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imothymiller/Desktop/Dataset-SS/"/>
    </mc:Choice>
  </mc:AlternateContent>
  <xr:revisionPtr revIDLastSave="0" documentId="13_ncr:1_{AD42418F-A844-4E43-9D84-1F0D51342838}" xr6:coauthVersionLast="47" xr6:coauthVersionMax="47" xr10:uidLastSave="{00000000-0000-0000-0000-000000000000}"/>
  <bookViews>
    <workbookView xWindow="3420" yWindow="500" windowWidth="25380" windowHeight="17500" activeTab="1" xr2:uid="{00000000-000D-0000-FFFF-FFFF00000000}"/>
  </bookViews>
  <sheets>
    <sheet name="Cover" sheetId="1" r:id="rId1"/>
    <sheet name="Incident" sheetId="2" r:id="rId2"/>
    <sheet name="Shooter" sheetId="3" r:id="rId3"/>
    <sheet name="Victim" sheetId="4" r:id="rId4"/>
    <sheet name="Weap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20" i="5" l="1"/>
  <c r="B2320" i="5"/>
  <c r="A2320" i="5"/>
  <c r="C2319" i="5"/>
  <c r="B2319" i="5"/>
  <c r="A2319" i="5"/>
  <c r="C2318" i="5"/>
  <c r="B2318" i="5"/>
  <c r="A2318" i="5"/>
  <c r="C2317" i="5"/>
  <c r="B2317" i="5"/>
  <c r="A2317" i="5"/>
  <c r="C2316" i="5"/>
  <c r="B2316" i="5"/>
  <c r="A2316" i="5"/>
  <c r="C2315" i="5"/>
  <c r="B2315" i="5"/>
  <c r="A2315" i="5"/>
  <c r="C2314" i="5"/>
  <c r="B2314" i="5"/>
  <c r="A2314" i="5"/>
  <c r="C2313" i="5"/>
  <c r="B2313" i="5"/>
  <c r="A2313" i="5"/>
  <c r="C2312" i="5"/>
  <c r="B2312" i="5"/>
  <c r="A2312" i="5"/>
  <c r="C2311" i="5"/>
  <c r="B2311" i="5"/>
  <c r="A2311" i="5"/>
  <c r="C2310" i="5"/>
  <c r="B2310" i="5"/>
  <c r="A2310" i="5"/>
  <c r="C2309" i="5"/>
  <c r="B2309" i="5"/>
  <c r="A2309" i="5"/>
  <c r="C2308" i="5"/>
  <c r="B2308" i="5"/>
  <c r="A2308" i="5"/>
  <c r="B2307" i="5"/>
  <c r="A2307" i="5"/>
  <c r="C2306" i="5"/>
  <c r="B2306" i="5"/>
  <c r="A2306" i="5"/>
  <c r="C2305" i="5"/>
  <c r="B2305" i="5"/>
  <c r="A2305" i="5"/>
  <c r="C2304" i="5"/>
  <c r="B2304" i="5"/>
  <c r="A2304" i="5"/>
  <c r="C2303" i="5"/>
  <c r="B2303" i="5"/>
  <c r="A2303" i="5"/>
  <c r="C2302" i="5"/>
  <c r="B2302" i="5"/>
  <c r="A2302" i="5"/>
  <c r="C2301" i="5"/>
  <c r="B2301" i="5"/>
  <c r="A2301" i="5"/>
  <c r="C2300" i="5"/>
  <c r="B2300" i="5"/>
  <c r="A2300" i="5"/>
  <c r="C2299" i="5"/>
  <c r="B2299" i="5"/>
  <c r="A2299" i="5"/>
  <c r="C2298" i="5"/>
  <c r="B2298" i="5"/>
  <c r="A2298" i="5"/>
  <c r="C2297" i="5"/>
  <c r="B2297" i="5"/>
  <c r="A2297" i="5"/>
  <c r="C2296" i="5"/>
  <c r="B2296" i="5"/>
  <c r="A2296" i="5"/>
  <c r="C2295" i="5"/>
  <c r="B2295" i="5"/>
  <c r="A2295" i="5"/>
  <c r="C2294" i="5"/>
  <c r="B2294" i="5"/>
  <c r="A2294" i="5"/>
  <c r="C2293" i="5"/>
  <c r="B2293" i="5"/>
  <c r="A2293" i="5"/>
  <c r="C2292" i="5"/>
  <c r="B2292" i="5"/>
  <c r="A2292" i="5"/>
  <c r="C2291" i="5"/>
  <c r="B2291" i="5"/>
  <c r="A2291" i="5"/>
  <c r="C2290" i="5"/>
  <c r="B2290" i="5"/>
  <c r="A2290" i="5"/>
  <c r="B2289" i="5"/>
  <c r="A2289" i="5"/>
  <c r="C2288" i="5"/>
  <c r="B2288" i="5"/>
  <c r="A2288" i="5"/>
  <c r="C2287" i="5"/>
  <c r="B2287" i="5"/>
  <c r="A2287" i="5"/>
  <c r="C2286" i="5"/>
  <c r="B2286" i="5"/>
  <c r="A2286" i="5"/>
  <c r="C2285" i="5"/>
  <c r="B2285" i="5"/>
  <c r="A2285" i="5"/>
  <c r="C2284" i="5"/>
  <c r="B2284" i="5"/>
  <c r="A2284" i="5"/>
  <c r="C2283" i="5"/>
  <c r="B2283" i="5"/>
  <c r="A2283" i="5"/>
  <c r="C2282" i="5"/>
  <c r="B2282" i="5"/>
  <c r="A2282" i="5"/>
  <c r="C2281" i="5"/>
  <c r="B2281" i="5"/>
  <c r="A2281" i="5"/>
  <c r="C2280" i="5"/>
  <c r="B2280" i="5"/>
  <c r="A2280" i="5"/>
  <c r="C2279" i="5"/>
  <c r="B2279" i="5"/>
  <c r="A2279" i="5"/>
  <c r="C2278" i="5"/>
  <c r="B2278" i="5"/>
  <c r="A2278" i="5"/>
  <c r="C2277" i="5"/>
  <c r="B2277" i="5"/>
  <c r="A2277" i="5"/>
  <c r="C2276" i="5"/>
  <c r="B2276" i="5"/>
  <c r="A2276" i="5"/>
  <c r="C2275" i="5"/>
  <c r="B2275" i="5"/>
  <c r="A2275" i="5"/>
  <c r="C2274" i="5"/>
  <c r="B2274" i="5"/>
  <c r="A2274" i="5"/>
  <c r="C2273" i="5"/>
  <c r="B2273" i="5"/>
  <c r="A2273" i="5"/>
  <c r="C2272" i="5"/>
  <c r="B2272" i="5"/>
  <c r="A2272" i="5"/>
  <c r="B2271" i="5"/>
  <c r="A2271" i="5"/>
  <c r="C2270" i="5"/>
  <c r="B2270" i="5"/>
  <c r="A2270" i="5"/>
  <c r="C2269" i="5"/>
  <c r="B2269" i="5"/>
  <c r="A2269" i="5"/>
  <c r="C2268" i="5"/>
  <c r="B2268" i="5"/>
  <c r="A2268" i="5"/>
  <c r="B2267" i="5"/>
  <c r="A2267" i="5"/>
  <c r="C2266" i="5"/>
  <c r="B2266" i="5"/>
  <c r="A2266" i="5"/>
  <c r="C2265" i="5"/>
  <c r="B2265" i="5"/>
  <c r="A2265" i="5"/>
  <c r="B2264" i="5"/>
  <c r="A2264" i="5"/>
  <c r="B2263" i="5"/>
  <c r="A2263" i="5"/>
  <c r="B2262" i="5"/>
  <c r="A2262" i="5"/>
  <c r="C2261" i="5"/>
  <c r="B2261" i="5"/>
  <c r="A2261" i="5"/>
  <c r="C2260" i="5"/>
  <c r="B2260" i="5"/>
  <c r="A2260" i="5"/>
  <c r="C2259" i="5"/>
  <c r="B2259" i="5"/>
  <c r="A2259" i="5"/>
  <c r="C2258" i="5"/>
  <c r="B2258" i="5"/>
  <c r="A2258" i="5"/>
  <c r="C2257" i="5"/>
  <c r="B2257" i="5"/>
  <c r="A2257" i="5"/>
  <c r="C2256" i="5"/>
  <c r="B2256" i="5"/>
  <c r="A2256" i="5"/>
  <c r="C2255" i="5"/>
  <c r="B2255" i="5"/>
  <c r="A2255" i="5"/>
  <c r="C2254" i="5"/>
  <c r="B2254" i="5"/>
  <c r="A2254" i="5"/>
  <c r="C2253" i="5"/>
  <c r="B2253" i="5"/>
  <c r="A2253" i="5"/>
  <c r="B2252" i="5"/>
  <c r="A2252" i="5"/>
  <c r="C2251" i="5"/>
  <c r="B2251" i="5"/>
  <c r="A2251" i="5"/>
  <c r="C2250" i="5"/>
  <c r="B2250" i="5"/>
  <c r="A2250" i="5"/>
  <c r="C2249" i="5"/>
  <c r="B2249" i="5"/>
  <c r="A2249" i="5"/>
  <c r="C2248" i="5"/>
  <c r="B2248" i="5"/>
  <c r="A2248" i="5"/>
  <c r="C2247" i="5"/>
  <c r="B2247" i="5"/>
  <c r="A2247" i="5"/>
  <c r="B2246" i="5"/>
  <c r="A2246" i="5"/>
  <c r="C2245" i="5"/>
  <c r="B2245" i="5"/>
  <c r="A2245" i="5"/>
  <c r="C2244" i="5"/>
  <c r="B2244" i="5"/>
  <c r="A2244" i="5"/>
  <c r="D2243" i="5"/>
  <c r="C2243" i="5"/>
  <c r="B2243" i="5"/>
  <c r="A2243" i="5"/>
  <c r="D2242" i="5"/>
  <c r="C2242" i="5"/>
  <c r="B2242" i="5"/>
  <c r="A2242" i="5"/>
  <c r="B2241" i="5"/>
  <c r="A2241" i="5"/>
  <c r="C2240" i="5"/>
  <c r="B2240" i="5"/>
  <c r="A2240" i="5"/>
  <c r="C2239" i="5"/>
  <c r="B2239" i="5"/>
  <c r="A2239" i="5"/>
  <c r="C2238" i="5"/>
  <c r="B2238" i="5"/>
  <c r="A2238" i="5"/>
  <c r="C2237" i="5"/>
  <c r="B2237" i="5"/>
  <c r="A2237" i="5"/>
  <c r="C2236" i="5"/>
  <c r="B2236" i="5"/>
  <c r="A2236" i="5"/>
  <c r="C2235" i="5"/>
  <c r="B2235" i="5"/>
  <c r="A2235" i="5"/>
  <c r="C2234" i="5"/>
  <c r="B2234" i="5"/>
  <c r="A2234" i="5"/>
  <c r="C2233" i="5"/>
  <c r="B2233" i="5"/>
  <c r="A2233" i="5"/>
  <c r="C2232" i="5"/>
  <c r="B2232" i="5"/>
  <c r="A2232" i="5"/>
  <c r="B2231" i="5"/>
  <c r="A2231" i="5"/>
  <c r="C2230" i="5"/>
  <c r="B2230" i="5"/>
  <c r="A2230" i="5"/>
  <c r="C2229" i="5"/>
  <c r="B2229" i="5"/>
  <c r="A2229" i="5"/>
  <c r="C2228" i="5"/>
  <c r="B2228" i="5"/>
  <c r="A2228" i="5"/>
  <c r="C2227" i="5"/>
  <c r="B2227" i="5"/>
  <c r="A2227" i="5"/>
  <c r="C2226" i="5"/>
  <c r="B2226" i="5"/>
  <c r="A2226" i="5"/>
  <c r="C2225" i="5"/>
  <c r="B2225" i="5"/>
  <c r="A2225" i="5"/>
  <c r="C2224" i="5"/>
  <c r="B2224" i="5"/>
  <c r="A2224" i="5"/>
  <c r="C2223" i="5"/>
  <c r="B2223" i="5"/>
  <c r="A2223" i="5"/>
  <c r="C2222" i="5"/>
  <c r="B2222" i="5"/>
  <c r="A2222" i="5"/>
  <c r="C2221" i="5"/>
  <c r="B2221" i="5"/>
  <c r="A2221" i="5"/>
  <c r="C2220" i="5"/>
  <c r="B2220" i="5"/>
  <c r="A2220" i="5"/>
  <c r="C2219" i="5"/>
  <c r="B2219" i="5"/>
  <c r="A2219" i="5"/>
  <c r="B2218" i="5"/>
  <c r="A2218" i="5"/>
  <c r="C2217" i="5"/>
  <c r="B2217" i="5"/>
  <c r="A2217" i="5"/>
  <c r="C2216" i="5"/>
  <c r="B2216" i="5"/>
  <c r="A2216" i="5"/>
  <c r="C2215" i="5"/>
  <c r="B2215" i="5"/>
  <c r="A2215" i="5"/>
  <c r="C2214" i="5"/>
  <c r="B2214" i="5"/>
  <c r="A2214" i="5"/>
  <c r="C2213" i="5"/>
  <c r="B2213" i="5"/>
  <c r="A2213" i="5"/>
  <c r="C2212" i="5"/>
  <c r="B2212" i="5"/>
  <c r="A2212" i="5"/>
  <c r="C2211" i="5"/>
  <c r="B2211" i="5"/>
  <c r="A2211" i="5"/>
  <c r="B2210" i="5"/>
  <c r="A2210" i="5"/>
  <c r="C2209" i="5"/>
  <c r="B2209" i="5"/>
  <c r="A2209" i="5"/>
  <c r="C2208" i="5"/>
  <c r="B2208" i="5"/>
  <c r="A2208" i="5"/>
  <c r="C2207" i="5"/>
  <c r="B2207" i="5"/>
  <c r="A2207" i="5"/>
  <c r="C2206" i="5"/>
  <c r="B2206" i="5"/>
  <c r="A2206" i="5"/>
  <c r="B2205" i="5"/>
  <c r="A2205" i="5"/>
  <c r="C2204" i="5"/>
  <c r="B2204" i="5"/>
  <c r="A2204" i="5"/>
  <c r="C2203" i="5"/>
  <c r="B2203" i="5"/>
  <c r="A2203" i="5"/>
  <c r="C2202" i="5"/>
  <c r="B2202" i="5"/>
  <c r="A2202" i="5"/>
  <c r="C2201" i="5"/>
  <c r="B2201" i="5"/>
  <c r="A2201" i="5"/>
  <c r="C2200" i="5"/>
  <c r="B2200" i="5"/>
  <c r="A2200" i="5"/>
  <c r="B2199" i="5"/>
  <c r="A2199" i="5"/>
  <c r="C2198" i="5"/>
  <c r="B2198" i="5"/>
  <c r="A2198" i="5"/>
  <c r="C2197" i="5"/>
  <c r="B2197" i="5"/>
  <c r="A2197" i="5"/>
  <c r="C2196" i="5"/>
  <c r="B2196" i="5"/>
  <c r="A2196" i="5"/>
  <c r="C2195" i="5"/>
  <c r="B2195" i="5"/>
  <c r="A2195" i="5"/>
  <c r="C2194" i="5"/>
  <c r="B2194" i="5"/>
  <c r="A2194" i="5"/>
  <c r="C2193" i="5"/>
  <c r="B2193" i="5"/>
  <c r="A2193" i="5"/>
  <c r="B2192" i="5"/>
  <c r="A2192" i="5"/>
  <c r="C2191" i="5"/>
  <c r="B2191" i="5"/>
  <c r="A2191" i="5"/>
  <c r="C2190" i="5"/>
  <c r="B2190" i="5"/>
  <c r="A2190" i="5"/>
  <c r="B2189" i="5"/>
  <c r="A2189" i="5"/>
  <c r="C2188" i="5"/>
  <c r="B2188" i="5"/>
  <c r="A2188" i="5"/>
  <c r="C2187" i="5"/>
  <c r="B2187" i="5"/>
  <c r="A2187" i="5"/>
  <c r="B2186" i="5"/>
  <c r="A2186" i="5"/>
  <c r="C2185" i="5"/>
  <c r="B2185" i="5"/>
  <c r="A2185" i="5"/>
  <c r="C2184" i="5"/>
  <c r="B2184" i="5"/>
  <c r="A2184" i="5"/>
  <c r="C2183" i="5"/>
  <c r="B2183" i="5"/>
  <c r="A2183" i="5"/>
  <c r="C2182" i="5"/>
  <c r="B2182" i="5"/>
  <c r="A2182" i="5"/>
  <c r="C2181" i="5"/>
  <c r="B2181" i="5"/>
  <c r="A2181" i="5"/>
  <c r="C2180" i="5"/>
  <c r="B2180" i="5"/>
  <c r="A2180" i="5"/>
  <c r="C2179" i="5"/>
  <c r="B2179" i="5"/>
  <c r="A2179" i="5"/>
  <c r="C2178" i="5"/>
  <c r="B2178" i="5"/>
  <c r="A2178" i="5"/>
  <c r="C2177" i="5"/>
  <c r="B2177" i="5"/>
  <c r="A2177" i="5"/>
  <c r="C2176" i="5"/>
  <c r="B2176" i="5"/>
  <c r="A2176" i="5"/>
  <c r="C2175" i="5"/>
  <c r="B2175" i="5"/>
  <c r="A2175" i="5"/>
  <c r="C2174" i="5"/>
  <c r="B2174" i="5"/>
  <c r="A2174" i="5"/>
  <c r="C2173" i="5"/>
  <c r="B2173" i="5"/>
  <c r="A2173" i="5"/>
  <c r="C2172" i="5"/>
  <c r="B2172" i="5"/>
  <c r="A2172" i="5"/>
  <c r="C2171" i="5"/>
  <c r="B2171" i="5"/>
  <c r="A2171" i="5"/>
  <c r="C2170" i="5"/>
  <c r="B2170" i="5"/>
  <c r="A2170" i="5"/>
  <c r="C2169" i="5"/>
  <c r="B2169" i="5"/>
  <c r="A2169" i="5"/>
  <c r="D2168" i="5"/>
  <c r="B2168" i="5"/>
  <c r="A2168" i="5"/>
  <c r="C2167" i="5"/>
  <c r="B2167" i="5"/>
  <c r="A2167" i="5"/>
  <c r="C2166" i="5"/>
  <c r="B2166" i="5"/>
  <c r="A2166" i="5"/>
  <c r="C2165" i="5"/>
  <c r="B2165" i="5"/>
  <c r="A2165" i="5"/>
  <c r="C2164" i="5"/>
  <c r="B2164" i="5"/>
  <c r="A2164" i="5"/>
  <c r="C2163" i="5"/>
  <c r="B2163" i="5"/>
  <c r="A2163" i="5"/>
  <c r="C2162" i="5"/>
  <c r="B2162" i="5"/>
  <c r="A2162" i="5"/>
  <c r="C2161" i="5"/>
  <c r="B2161" i="5"/>
  <c r="A2161" i="5"/>
  <c r="C2160" i="5"/>
  <c r="B2160" i="5"/>
  <c r="A2160" i="5"/>
  <c r="C2159" i="5"/>
  <c r="B2159" i="5"/>
  <c r="A2159" i="5"/>
  <c r="C2158" i="5"/>
  <c r="B2158" i="5"/>
  <c r="A2158" i="5"/>
  <c r="C2157" i="5"/>
  <c r="B2157" i="5"/>
  <c r="A2157" i="5"/>
  <c r="C2156" i="5"/>
  <c r="B2156" i="5"/>
  <c r="A2156" i="5"/>
  <c r="C2155" i="5"/>
  <c r="B2155" i="5"/>
  <c r="A2155" i="5"/>
  <c r="C2154" i="5"/>
  <c r="B2154" i="5"/>
  <c r="A2154" i="5"/>
  <c r="C2153" i="5"/>
  <c r="B2153" i="5"/>
  <c r="A2153" i="5"/>
  <c r="C2152" i="5"/>
  <c r="B2152" i="5"/>
  <c r="A2152" i="5"/>
  <c r="C2151" i="5"/>
  <c r="B2151" i="5"/>
  <c r="A2151" i="5"/>
  <c r="C2150" i="5"/>
  <c r="B2150" i="5"/>
  <c r="A2150" i="5"/>
  <c r="C2149" i="5"/>
  <c r="B2149" i="5"/>
  <c r="A2149" i="5"/>
  <c r="C2148" i="5"/>
  <c r="B2148" i="5"/>
  <c r="A2148" i="5"/>
  <c r="C2147" i="5"/>
  <c r="B2147" i="5"/>
  <c r="A2147" i="5"/>
  <c r="C2146" i="5"/>
  <c r="B2146" i="5"/>
  <c r="A2146" i="5"/>
  <c r="C2145" i="5"/>
  <c r="B2145" i="5"/>
  <c r="A2145" i="5"/>
  <c r="C2144" i="5"/>
  <c r="B2144" i="5"/>
  <c r="A2144" i="5"/>
  <c r="C2143" i="5"/>
  <c r="B2143" i="5"/>
  <c r="A2143" i="5"/>
  <c r="C2142" i="5"/>
  <c r="B2142" i="5"/>
  <c r="A2142" i="5"/>
  <c r="C2141" i="5"/>
  <c r="B2141" i="5"/>
  <c r="A2141" i="5"/>
  <c r="C2140" i="5"/>
  <c r="B2140" i="5"/>
  <c r="A2140" i="5"/>
  <c r="C2139" i="5"/>
  <c r="B2139" i="5"/>
  <c r="A2139" i="5"/>
  <c r="C2138" i="5"/>
  <c r="B2138" i="5"/>
  <c r="A2138" i="5"/>
  <c r="C2137" i="5"/>
  <c r="B2137" i="5"/>
  <c r="A2137" i="5"/>
  <c r="C2136" i="5"/>
  <c r="B2136" i="5"/>
  <c r="A2136" i="5"/>
  <c r="C2135" i="5"/>
  <c r="B2135" i="5"/>
  <c r="A2135" i="5"/>
  <c r="C2134" i="5"/>
  <c r="B2134" i="5"/>
  <c r="A2134" i="5"/>
  <c r="C2133" i="5"/>
  <c r="B2133" i="5"/>
  <c r="A2133" i="5"/>
  <c r="C2132" i="5"/>
  <c r="B2132" i="5"/>
  <c r="A2132" i="5"/>
  <c r="C2131" i="5"/>
  <c r="B2131" i="5"/>
  <c r="A2131" i="5"/>
  <c r="C2130" i="5"/>
  <c r="B2130" i="5"/>
  <c r="A2130" i="5"/>
  <c r="C2129" i="5"/>
  <c r="B2129" i="5"/>
  <c r="A2129" i="5"/>
  <c r="C2128" i="5"/>
  <c r="B2128" i="5"/>
  <c r="A2128" i="5"/>
  <c r="B2127" i="5"/>
  <c r="A2127" i="5"/>
  <c r="C2126" i="5"/>
  <c r="B2126" i="5"/>
  <c r="A2126" i="5"/>
  <c r="C2125" i="5"/>
  <c r="B2125" i="5"/>
  <c r="A2125" i="5"/>
  <c r="C2124" i="5"/>
  <c r="B2124" i="5"/>
  <c r="A2124" i="5"/>
  <c r="C2123" i="5"/>
  <c r="B2123" i="5"/>
  <c r="A2123" i="5"/>
  <c r="C2122" i="5"/>
  <c r="B2122" i="5"/>
  <c r="A2122" i="5"/>
  <c r="C2121" i="5"/>
  <c r="B2121" i="5"/>
  <c r="A2121" i="5"/>
  <c r="C2120" i="5"/>
  <c r="B2120" i="5"/>
  <c r="A2120" i="5"/>
  <c r="C2119" i="5"/>
  <c r="B2119" i="5"/>
  <c r="A2119" i="5"/>
  <c r="C2118" i="5"/>
  <c r="B2118" i="5"/>
  <c r="A2118" i="5"/>
  <c r="C2117" i="5"/>
  <c r="B2117" i="5"/>
  <c r="A2117" i="5"/>
  <c r="C2116" i="5"/>
  <c r="B2116" i="5"/>
  <c r="A2116" i="5"/>
  <c r="B2115" i="5"/>
  <c r="A2115" i="5"/>
  <c r="C2114" i="5"/>
  <c r="B2114" i="5"/>
  <c r="A2114" i="5"/>
  <c r="C2113" i="5"/>
  <c r="B2113" i="5"/>
  <c r="A2113" i="5"/>
  <c r="C2112" i="5"/>
  <c r="B2112" i="5"/>
  <c r="A2112" i="5"/>
  <c r="C2111" i="5"/>
  <c r="B2111" i="5"/>
  <c r="A2111" i="5"/>
  <c r="C2110" i="5"/>
  <c r="B2110" i="5"/>
  <c r="A2110" i="5"/>
  <c r="C2109" i="5"/>
  <c r="B2109" i="5"/>
  <c r="A2109" i="5"/>
  <c r="C2108" i="5"/>
  <c r="B2108" i="5"/>
  <c r="A2108" i="5"/>
  <c r="C2107" i="5"/>
  <c r="B2107" i="5"/>
  <c r="A2107" i="5"/>
  <c r="B2106" i="5"/>
  <c r="A2106" i="5"/>
  <c r="C2105" i="5"/>
  <c r="B2105" i="5"/>
  <c r="A2105" i="5"/>
  <c r="C2104" i="5"/>
  <c r="B2104" i="5"/>
  <c r="A2104" i="5"/>
  <c r="C2103" i="5"/>
  <c r="B2103" i="5"/>
  <c r="A2103" i="5"/>
  <c r="C2102" i="5"/>
  <c r="B2102" i="5"/>
  <c r="A2102" i="5"/>
  <c r="C2101" i="5"/>
  <c r="B2101" i="5"/>
  <c r="A2101" i="5"/>
  <c r="C2100" i="5"/>
  <c r="B2100" i="5"/>
  <c r="A2100" i="5"/>
  <c r="C2099" i="5"/>
  <c r="B2099" i="5"/>
  <c r="A2099" i="5"/>
  <c r="D2098" i="5"/>
  <c r="C2098" i="5"/>
  <c r="B2098" i="5"/>
  <c r="A2098" i="5"/>
  <c r="D2097" i="5"/>
  <c r="C2097" i="5"/>
  <c r="B2097" i="5"/>
  <c r="A2097" i="5"/>
  <c r="C2096" i="5"/>
  <c r="B2096" i="5"/>
  <c r="A2096" i="5"/>
  <c r="C2095" i="5"/>
  <c r="B2095" i="5"/>
  <c r="A2095" i="5"/>
  <c r="C2094" i="5"/>
  <c r="B2094" i="5"/>
  <c r="A2094" i="5"/>
  <c r="C2093" i="5"/>
  <c r="B2093" i="5"/>
  <c r="A2093" i="5"/>
  <c r="B2092" i="5"/>
  <c r="A2092" i="5"/>
  <c r="C2091" i="5"/>
  <c r="B2091" i="5"/>
  <c r="A2091" i="5"/>
  <c r="B2090" i="5"/>
  <c r="A2090" i="5"/>
  <c r="C2089" i="5"/>
  <c r="B2089" i="5"/>
  <c r="A2089" i="5"/>
  <c r="C2088" i="5"/>
  <c r="B2088" i="5"/>
  <c r="A2088" i="5"/>
  <c r="C2087" i="5"/>
  <c r="B2087" i="5"/>
  <c r="A2087" i="5"/>
  <c r="C2086" i="5"/>
  <c r="B2086" i="5"/>
  <c r="A2086" i="5"/>
  <c r="C2085" i="5"/>
  <c r="B2085" i="5"/>
  <c r="A2085" i="5"/>
  <c r="C2084" i="5"/>
  <c r="B2084" i="5"/>
  <c r="A2084" i="5"/>
  <c r="C2083" i="5"/>
  <c r="B2083" i="5"/>
  <c r="A2083" i="5"/>
  <c r="C2082" i="5"/>
  <c r="B2082" i="5"/>
  <c r="A2082" i="5"/>
  <c r="B2081" i="5"/>
  <c r="A2081" i="5"/>
  <c r="C2080" i="5"/>
  <c r="B2080" i="5"/>
  <c r="A2080" i="5"/>
  <c r="C2079" i="5"/>
  <c r="B2079" i="5"/>
  <c r="A2079" i="5"/>
  <c r="C2078" i="5"/>
  <c r="B2078" i="5"/>
  <c r="A2078" i="5"/>
  <c r="C2077" i="5"/>
  <c r="B2077" i="5"/>
  <c r="A2077" i="5"/>
  <c r="C2076" i="5"/>
  <c r="B2076" i="5"/>
  <c r="A2076" i="5"/>
  <c r="C2075" i="5"/>
  <c r="B2075" i="5"/>
  <c r="A2075" i="5"/>
  <c r="C2074" i="5"/>
  <c r="B2074" i="5"/>
  <c r="A2074" i="5"/>
  <c r="C2073" i="5"/>
  <c r="B2073" i="5"/>
  <c r="A2073" i="5"/>
  <c r="C2072" i="5"/>
  <c r="B2072" i="5"/>
  <c r="A2072" i="5"/>
  <c r="C2071" i="5"/>
  <c r="B2071" i="5"/>
  <c r="A2071" i="5"/>
  <c r="D2070" i="5"/>
  <c r="C2070" i="5"/>
  <c r="B2070" i="5"/>
  <c r="A2070" i="5"/>
  <c r="D2069" i="5"/>
  <c r="C2069" i="5"/>
  <c r="B2069" i="5"/>
  <c r="A2069" i="5"/>
  <c r="D2068" i="5"/>
  <c r="C2068" i="5"/>
  <c r="B2068" i="5"/>
  <c r="A2068" i="5"/>
  <c r="C2067" i="5"/>
  <c r="B2067" i="5"/>
  <c r="A2067" i="5"/>
  <c r="C2066" i="5"/>
  <c r="B2066" i="5"/>
  <c r="A2066" i="5"/>
  <c r="C2065" i="5"/>
  <c r="B2065" i="5"/>
  <c r="A2065" i="5"/>
  <c r="C2064" i="5"/>
  <c r="B2064" i="5"/>
  <c r="A2064" i="5"/>
  <c r="C2063" i="5"/>
  <c r="B2063" i="5"/>
  <c r="A2063" i="5"/>
  <c r="C2062" i="5"/>
  <c r="B2062" i="5"/>
  <c r="A2062" i="5"/>
  <c r="C2061" i="5"/>
  <c r="B2061" i="5"/>
  <c r="A2061" i="5"/>
  <c r="C2060" i="5"/>
  <c r="B2060" i="5"/>
  <c r="A2060" i="5"/>
  <c r="B2059" i="5"/>
  <c r="A2059" i="5"/>
  <c r="C2058" i="5"/>
  <c r="B2058" i="5"/>
  <c r="A2058" i="5"/>
  <c r="C2057" i="5"/>
  <c r="B2057" i="5"/>
  <c r="A2057" i="5"/>
  <c r="C2056" i="5"/>
  <c r="B2056" i="5"/>
  <c r="A2056" i="5"/>
  <c r="C2055" i="5"/>
  <c r="B2055" i="5"/>
  <c r="A2055" i="5"/>
  <c r="C2054" i="5"/>
  <c r="B2054" i="5"/>
  <c r="A2054" i="5"/>
  <c r="C2053" i="5"/>
  <c r="B2053" i="5"/>
  <c r="A2053" i="5"/>
  <c r="C2052" i="5"/>
  <c r="B2052" i="5"/>
  <c r="A2052" i="5"/>
  <c r="C2051" i="5"/>
  <c r="B2051" i="5"/>
  <c r="A2051" i="5"/>
  <c r="C2050" i="5"/>
  <c r="B2050" i="5"/>
  <c r="A2050" i="5"/>
  <c r="C2049" i="5"/>
  <c r="B2049" i="5"/>
  <c r="A2049" i="5"/>
  <c r="C2048" i="5"/>
  <c r="B2048" i="5"/>
  <c r="A2048" i="5"/>
  <c r="C2047" i="5"/>
  <c r="B2047" i="5"/>
  <c r="A2047" i="5"/>
  <c r="C2046" i="5"/>
  <c r="B2046" i="5"/>
  <c r="A2046" i="5"/>
  <c r="D2045" i="5"/>
  <c r="C2045" i="5"/>
  <c r="B2045" i="5"/>
  <c r="A2045" i="5"/>
  <c r="D2044" i="5"/>
  <c r="C2044" i="5"/>
  <c r="B2044" i="5"/>
  <c r="A2044" i="5"/>
  <c r="C2043" i="5"/>
  <c r="B2043" i="5"/>
  <c r="A2043" i="5"/>
  <c r="C2042" i="5"/>
  <c r="B2042" i="5"/>
  <c r="A2042" i="5"/>
  <c r="C2041" i="5"/>
  <c r="B2041" i="5"/>
  <c r="A2041" i="5"/>
  <c r="C2040" i="5"/>
  <c r="B2040" i="5"/>
  <c r="A2040" i="5"/>
  <c r="C2039" i="5"/>
  <c r="B2039" i="5"/>
  <c r="A2039" i="5"/>
  <c r="C2038" i="5"/>
  <c r="B2038" i="5"/>
  <c r="A2038" i="5"/>
  <c r="C2037" i="5"/>
  <c r="B2037" i="5"/>
  <c r="A2037" i="5"/>
  <c r="C2036" i="5"/>
  <c r="B2036" i="5"/>
  <c r="A2036" i="5"/>
  <c r="C2035" i="5"/>
  <c r="B2035" i="5"/>
  <c r="A2035" i="5"/>
  <c r="C2034" i="5"/>
  <c r="B2034" i="5"/>
  <c r="A2034" i="5"/>
  <c r="C2033" i="5"/>
  <c r="B2033" i="5"/>
  <c r="A2033" i="5"/>
  <c r="C2032" i="5"/>
  <c r="B2032" i="5"/>
  <c r="A2032" i="5"/>
  <c r="C2031" i="5"/>
  <c r="B2031" i="5"/>
  <c r="A2031" i="5"/>
  <c r="C2030" i="5"/>
  <c r="B2030" i="5"/>
  <c r="A2030" i="5"/>
  <c r="C2029" i="5"/>
  <c r="B2029" i="5"/>
  <c r="A2029" i="5"/>
  <c r="C2028" i="5"/>
  <c r="B2028" i="5"/>
  <c r="A2028" i="5"/>
  <c r="C2027" i="5"/>
  <c r="B2027" i="5"/>
  <c r="A2027" i="5"/>
  <c r="C2026" i="5"/>
  <c r="B2026" i="5"/>
  <c r="A2026" i="5"/>
  <c r="C2025" i="5"/>
  <c r="B2025" i="5"/>
  <c r="A2025" i="5"/>
  <c r="C2024" i="5"/>
  <c r="B2024" i="5"/>
  <c r="A2024" i="5"/>
  <c r="C2023" i="5"/>
  <c r="B2023" i="5"/>
  <c r="A2023" i="5"/>
  <c r="C2022" i="5"/>
  <c r="B2022" i="5"/>
  <c r="A2022" i="5"/>
  <c r="C2021" i="5"/>
  <c r="B2021" i="5"/>
  <c r="A2021" i="5"/>
  <c r="C2020" i="5"/>
  <c r="B2020" i="5"/>
  <c r="A2020" i="5"/>
  <c r="C2019" i="5"/>
  <c r="B2019" i="5"/>
  <c r="A2019" i="5"/>
  <c r="D2018" i="5"/>
  <c r="B2018" i="5"/>
  <c r="A2018" i="5"/>
  <c r="C2017" i="5"/>
  <c r="B2017" i="5"/>
  <c r="A2017" i="5"/>
  <c r="C2016" i="5"/>
  <c r="B2016" i="5"/>
  <c r="A2016" i="5"/>
  <c r="C2015" i="5"/>
  <c r="B2015" i="5"/>
  <c r="A2015" i="5"/>
  <c r="C2014" i="5"/>
  <c r="B2014" i="5"/>
  <c r="A2014" i="5"/>
  <c r="C2013" i="5"/>
  <c r="B2013" i="5"/>
  <c r="A2013" i="5"/>
  <c r="C2012" i="5"/>
  <c r="B2012" i="5"/>
  <c r="A2012" i="5"/>
  <c r="C2011" i="5"/>
  <c r="B2011" i="5"/>
  <c r="A2011" i="5"/>
  <c r="B2010" i="5"/>
  <c r="A2010" i="5"/>
  <c r="C2009" i="5"/>
  <c r="B2009" i="5"/>
  <c r="A2009" i="5"/>
  <c r="B2008" i="5"/>
  <c r="A2008" i="5"/>
  <c r="C2007" i="5"/>
  <c r="B2007" i="5"/>
  <c r="A2007" i="5"/>
  <c r="C2006" i="5"/>
  <c r="B2006" i="5"/>
  <c r="A2006" i="5"/>
  <c r="C2005" i="5"/>
  <c r="B2005" i="5"/>
  <c r="A2005" i="5"/>
  <c r="C2004" i="5"/>
  <c r="B2004" i="5"/>
  <c r="A2004" i="5"/>
  <c r="B2003" i="5"/>
  <c r="A2003" i="5"/>
  <c r="C2002" i="5"/>
  <c r="B2002" i="5"/>
  <c r="A2002" i="5"/>
  <c r="C2001" i="5"/>
  <c r="B2001" i="5"/>
  <c r="A2001" i="5"/>
  <c r="C2000" i="5"/>
  <c r="B2000" i="5"/>
  <c r="A2000" i="5"/>
  <c r="C1999" i="5"/>
  <c r="B1999" i="5"/>
  <c r="A1999" i="5"/>
  <c r="C1998" i="5"/>
  <c r="B1998" i="5"/>
  <c r="A1998" i="5"/>
  <c r="C1997" i="5"/>
  <c r="B1997" i="5"/>
  <c r="A1997" i="5"/>
  <c r="C1996" i="5"/>
  <c r="B1996" i="5"/>
  <c r="A1996" i="5"/>
  <c r="C1995" i="5"/>
  <c r="B1995" i="5"/>
  <c r="A1995" i="5"/>
  <c r="C1994" i="5"/>
  <c r="B1994" i="5"/>
  <c r="A1994" i="5"/>
  <c r="C1993" i="5"/>
  <c r="B1993" i="5"/>
  <c r="A1993" i="5"/>
  <c r="C1992" i="5"/>
  <c r="B1992" i="5"/>
  <c r="A1992" i="5"/>
  <c r="C1991" i="5"/>
  <c r="B1991" i="5"/>
  <c r="A1991" i="5"/>
  <c r="C1990" i="5"/>
  <c r="B1990" i="5"/>
  <c r="A1990" i="5"/>
  <c r="C1989" i="5"/>
  <c r="B1989" i="5"/>
  <c r="A1989" i="5"/>
  <c r="C1988" i="5"/>
  <c r="B1988" i="5"/>
  <c r="A1988" i="5"/>
  <c r="B1987" i="5"/>
  <c r="A1987" i="5"/>
  <c r="C1986" i="5"/>
  <c r="B1986" i="5"/>
  <c r="A1986" i="5"/>
  <c r="C1985" i="5"/>
  <c r="B1985" i="5"/>
  <c r="A1985" i="5"/>
  <c r="C1984" i="5"/>
  <c r="B1984" i="5"/>
  <c r="A1984" i="5"/>
  <c r="C1983" i="5"/>
  <c r="B1983" i="5"/>
  <c r="A1983" i="5"/>
  <c r="C1982" i="5"/>
  <c r="B1982" i="5"/>
  <c r="A1982" i="5"/>
  <c r="B1981" i="5"/>
  <c r="A1981" i="5"/>
  <c r="C1980" i="5"/>
  <c r="B1980" i="5"/>
  <c r="A1980" i="5"/>
  <c r="D1979" i="5"/>
  <c r="C1979" i="5"/>
  <c r="B1979" i="5"/>
  <c r="A1979" i="5"/>
  <c r="D1978" i="5"/>
  <c r="C1978" i="5"/>
  <c r="B1978" i="5"/>
  <c r="A1978" i="5"/>
  <c r="C1977" i="5"/>
  <c r="B1977" i="5"/>
  <c r="A1977" i="5"/>
  <c r="B1976" i="5"/>
  <c r="A1976" i="5"/>
  <c r="B1975" i="5"/>
  <c r="A1975" i="5"/>
  <c r="C1974" i="5"/>
  <c r="B1974" i="5"/>
  <c r="A1974" i="5"/>
  <c r="C1973" i="5"/>
  <c r="B1973" i="5"/>
  <c r="A1973" i="5"/>
  <c r="C1972" i="5"/>
  <c r="B1972" i="5"/>
  <c r="A1972" i="5"/>
  <c r="C1971" i="5"/>
  <c r="B1971" i="5"/>
  <c r="A1971" i="5"/>
  <c r="C1970" i="5"/>
  <c r="B1970" i="5"/>
  <c r="A1970" i="5"/>
  <c r="C1969" i="5"/>
  <c r="B1969" i="5"/>
  <c r="A1969" i="5"/>
  <c r="B1968" i="5"/>
  <c r="A1968" i="5"/>
  <c r="C1967" i="5"/>
  <c r="B1967" i="5"/>
  <c r="A1967" i="5"/>
  <c r="C1966" i="5"/>
  <c r="B1966" i="5"/>
  <c r="A1966" i="5"/>
  <c r="C1965" i="5"/>
  <c r="B1965" i="5"/>
  <c r="A1965" i="5"/>
  <c r="C1964" i="5"/>
  <c r="B1964" i="5"/>
  <c r="A1964" i="5"/>
  <c r="C1963" i="5"/>
  <c r="B1963" i="5"/>
  <c r="A1963" i="5"/>
  <c r="C1962" i="5"/>
  <c r="B1962" i="5"/>
  <c r="A1962" i="5"/>
  <c r="C1961" i="5"/>
  <c r="B1961" i="5"/>
  <c r="A1961" i="5"/>
  <c r="C1960" i="5"/>
  <c r="B1960" i="5"/>
  <c r="A1960" i="5"/>
  <c r="C1959" i="5"/>
  <c r="B1959" i="5"/>
  <c r="A1959" i="5"/>
  <c r="C1958" i="5"/>
  <c r="B1958" i="5"/>
  <c r="A1958" i="5"/>
  <c r="C1957" i="5"/>
  <c r="B1957" i="5"/>
  <c r="A1957" i="5"/>
  <c r="C1956" i="5"/>
  <c r="B1956" i="5"/>
  <c r="A1956" i="5"/>
  <c r="C1955" i="5"/>
  <c r="B1955" i="5"/>
  <c r="A1955" i="5"/>
  <c r="C1954" i="5"/>
  <c r="B1954" i="5"/>
  <c r="A1954" i="5"/>
  <c r="B1953" i="5"/>
  <c r="A1953" i="5"/>
  <c r="C1952" i="5"/>
  <c r="B1952" i="5"/>
  <c r="A1952" i="5"/>
  <c r="C1951" i="5"/>
  <c r="B1951" i="5"/>
  <c r="A1951" i="5"/>
  <c r="C1950" i="5"/>
  <c r="B1950" i="5"/>
  <c r="A1950" i="5"/>
  <c r="C1949" i="5"/>
  <c r="B1949" i="5"/>
  <c r="A1949" i="5"/>
  <c r="C1948" i="5"/>
  <c r="B1948" i="5"/>
  <c r="A1948" i="5"/>
  <c r="C1947" i="5"/>
  <c r="B1947" i="5"/>
  <c r="A1947" i="5"/>
  <c r="C1946" i="5"/>
  <c r="B1946" i="5"/>
  <c r="A1946" i="5"/>
  <c r="C1945" i="5"/>
  <c r="B1945" i="5"/>
  <c r="A1945" i="5"/>
  <c r="C1944" i="5"/>
  <c r="B1944" i="5"/>
  <c r="A1944" i="5"/>
  <c r="D1943" i="5"/>
  <c r="C1943" i="5"/>
  <c r="B1943" i="5"/>
  <c r="A1943" i="5"/>
  <c r="D1942" i="5"/>
  <c r="C1942" i="5"/>
  <c r="B1942" i="5"/>
  <c r="A1942" i="5"/>
  <c r="C1941" i="5"/>
  <c r="B1941" i="5"/>
  <c r="A1941" i="5"/>
  <c r="C1940" i="5"/>
  <c r="B1940" i="5"/>
  <c r="A1940" i="5"/>
  <c r="C1939" i="5"/>
  <c r="B1939" i="5"/>
  <c r="A1939" i="5"/>
  <c r="C1938" i="5"/>
  <c r="B1938" i="5"/>
  <c r="A1938" i="5"/>
  <c r="C1937" i="5"/>
  <c r="B1937" i="5"/>
  <c r="A1937" i="5"/>
  <c r="B1936" i="5"/>
  <c r="A1936" i="5"/>
  <c r="C1935" i="5"/>
  <c r="B1935" i="5"/>
  <c r="A1935" i="5"/>
  <c r="C1934" i="5"/>
  <c r="B1934" i="5"/>
  <c r="A1934" i="5"/>
  <c r="D1933" i="5"/>
  <c r="C1933" i="5"/>
  <c r="B1933" i="5"/>
  <c r="A1933" i="5"/>
  <c r="D1932" i="5"/>
  <c r="C1932" i="5"/>
  <c r="B1932" i="5"/>
  <c r="A1932" i="5"/>
  <c r="C1931" i="5"/>
  <c r="B1931" i="5"/>
  <c r="A1931" i="5"/>
  <c r="C1930" i="5"/>
  <c r="B1930" i="5"/>
  <c r="A1930" i="5"/>
  <c r="C1929" i="5"/>
  <c r="B1929" i="5"/>
  <c r="A1929" i="5"/>
  <c r="C1928" i="5"/>
  <c r="B1928" i="5"/>
  <c r="A1928" i="5"/>
  <c r="B1927" i="5"/>
  <c r="A1927" i="5"/>
  <c r="C1926" i="5"/>
  <c r="B1926" i="5"/>
  <c r="A1926" i="5"/>
  <c r="C1925" i="5"/>
  <c r="B1925" i="5"/>
  <c r="A1925" i="5"/>
  <c r="C1924" i="5"/>
  <c r="B1924" i="5"/>
  <c r="A1924" i="5"/>
  <c r="B1923" i="5"/>
  <c r="A1923" i="5"/>
  <c r="C1922" i="5"/>
  <c r="B1922" i="5"/>
  <c r="A1922" i="5"/>
  <c r="C1921" i="5"/>
  <c r="B1921" i="5"/>
  <c r="A1921" i="5"/>
  <c r="C1920" i="5"/>
  <c r="B1920" i="5"/>
  <c r="A1920" i="5"/>
  <c r="C1919" i="5"/>
  <c r="B1919" i="5"/>
  <c r="A1919" i="5"/>
  <c r="B1918" i="5"/>
  <c r="A1918" i="5"/>
  <c r="C1917" i="5"/>
  <c r="B1917" i="5"/>
  <c r="A1917" i="5"/>
  <c r="C1916" i="5"/>
  <c r="B1916" i="5"/>
  <c r="A1916" i="5"/>
  <c r="C1915" i="5"/>
  <c r="B1915" i="5"/>
  <c r="A1915" i="5"/>
  <c r="C1914" i="5"/>
  <c r="B1914" i="5"/>
  <c r="A1914" i="5"/>
  <c r="C1913" i="5"/>
  <c r="B1913" i="5"/>
  <c r="A1913" i="5"/>
  <c r="C1912" i="5"/>
  <c r="B1912" i="5"/>
  <c r="A1912" i="5"/>
  <c r="C1911" i="5"/>
  <c r="B1911" i="5"/>
  <c r="A1911" i="5"/>
  <c r="C1910" i="5"/>
  <c r="B1910" i="5"/>
  <c r="A1910" i="5"/>
  <c r="C1909" i="5"/>
  <c r="B1909" i="5"/>
  <c r="A1909" i="5"/>
  <c r="C1908" i="5"/>
  <c r="B1908" i="5"/>
  <c r="A1908" i="5"/>
  <c r="C1907" i="5"/>
  <c r="B1907" i="5"/>
  <c r="A1907" i="5"/>
  <c r="C1906" i="5"/>
  <c r="B1906" i="5"/>
  <c r="A1906" i="5"/>
  <c r="D1905" i="5"/>
  <c r="C1905" i="5"/>
  <c r="B1905" i="5"/>
  <c r="A1905" i="5"/>
  <c r="B1904" i="5"/>
  <c r="A1904" i="5"/>
  <c r="C1903" i="5"/>
  <c r="B1903" i="5"/>
  <c r="A1903" i="5"/>
  <c r="C1902" i="5"/>
  <c r="B1902" i="5"/>
  <c r="A1902" i="5"/>
  <c r="C1901" i="5"/>
  <c r="B1901" i="5"/>
  <c r="A1901" i="5"/>
  <c r="C1900" i="5"/>
  <c r="B1900" i="5"/>
  <c r="A1900" i="5"/>
  <c r="B1899" i="5"/>
  <c r="A1899" i="5"/>
  <c r="B1898" i="5"/>
  <c r="A1898" i="5"/>
  <c r="C1897" i="5"/>
  <c r="B1897" i="5"/>
  <c r="A1897" i="5"/>
  <c r="B1896" i="5"/>
  <c r="A1896" i="5"/>
  <c r="C1895" i="5"/>
  <c r="B1895" i="5"/>
  <c r="A1895" i="5"/>
  <c r="C1894" i="5"/>
  <c r="B1894" i="5"/>
  <c r="A1894" i="5"/>
  <c r="C1893" i="5"/>
  <c r="B1893" i="5"/>
  <c r="A1893" i="5"/>
  <c r="C1892" i="5"/>
  <c r="B1892" i="5"/>
  <c r="A1892" i="5"/>
  <c r="C1891" i="5"/>
  <c r="B1891" i="5"/>
  <c r="A1891" i="5"/>
  <c r="C1890" i="5"/>
  <c r="B1890" i="5"/>
  <c r="A1890" i="5"/>
  <c r="C1889" i="5"/>
  <c r="B1889" i="5"/>
  <c r="A1889" i="5"/>
  <c r="C1888" i="5"/>
  <c r="B1888" i="5"/>
  <c r="A1888" i="5"/>
  <c r="C1887" i="5"/>
  <c r="B1887" i="5"/>
  <c r="A1887" i="5"/>
  <c r="C1886" i="5"/>
  <c r="B1886" i="5"/>
  <c r="A1886" i="5"/>
  <c r="C1885" i="5"/>
  <c r="B1885" i="5"/>
  <c r="A1885" i="5"/>
  <c r="C1884" i="5"/>
  <c r="B1884" i="5"/>
  <c r="A1884" i="5"/>
  <c r="C1883" i="5"/>
  <c r="B1883" i="5"/>
  <c r="A1883" i="5"/>
  <c r="C1882" i="5"/>
  <c r="B1882" i="5"/>
  <c r="A1882" i="5"/>
  <c r="C1881" i="5"/>
  <c r="B1881" i="5"/>
  <c r="A1881" i="5"/>
  <c r="C1880" i="5"/>
  <c r="B1880" i="5"/>
  <c r="A1880" i="5"/>
  <c r="C1879" i="5"/>
  <c r="B1879" i="5"/>
  <c r="A1879" i="5"/>
  <c r="C1878" i="5"/>
  <c r="B1878" i="5"/>
  <c r="A1878" i="5"/>
  <c r="C1877" i="5"/>
  <c r="B1877" i="5"/>
  <c r="A1877" i="5"/>
  <c r="C1876" i="5"/>
  <c r="B1876" i="5"/>
  <c r="A1876" i="5"/>
  <c r="C1875" i="5"/>
  <c r="B1875" i="5"/>
  <c r="A1875" i="5"/>
  <c r="C1874" i="5"/>
  <c r="B1874" i="5"/>
  <c r="A1874" i="5"/>
  <c r="C1873" i="5"/>
  <c r="B1873" i="5"/>
  <c r="A1873" i="5"/>
  <c r="C1872" i="5"/>
  <c r="B1872" i="5"/>
  <c r="A1872" i="5"/>
  <c r="B1871" i="5"/>
  <c r="A1871" i="5"/>
  <c r="C1870" i="5"/>
  <c r="B1870" i="5"/>
  <c r="A1870" i="5"/>
  <c r="C1869" i="5"/>
  <c r="B1869" i="5"/>
  <c r="A1869" i="5"/>
  <c r="B1868" i="5"/>
  <c r="A1868" i="5"/>
  <c r="C1867" i="5"/>
  <c r="B1867" i="5"/>
  <c r="A1867" i="5"/>
  <c r="C1866" i="5"/>
  <c r="B1866" i="5"/>
  <c r="A1866" i="5"/>
  <c r="C1865" i="5"/>
  <c r="B1865" i="5"/>
  <c r="A1865" i="5"/>
  <c r="C1864" i="5"/>
  <c r="B1864" i="5"/>
  <c r="A1864" i="5"/>
  <c r="C1863" i="5"/>
  <c r="B1863" i="5"/>
  <c r="A1863" i="5"/>
  <c r="B1862" i="5"/>
  <c r="A1862" i="5"/>
  <c r="D1861" i="5"/>
  <c r="C1861" i="5"/>
  <c r="B1861" i="5"/>
  <c r="A1861" i="5"/>
  <c r="D1860" i="5"/>
  <c r="C1860" i="5"/>
  <c r="B1860" i="5"/>
  <c r="A1860" i="5"/>
  <c r="C1859" i="5"/>
  <c r="B1859" i="5"/>
  <c r="A1859" i="5"/>
  <c r="C1858" i="5"/>
  <c r="B1858" i="5"/>
  <c r="A1858" i="5"/>
  <c r="B1857" i="5"/>
  <c r="A1857" i="5"/>
  <c r="B1856" i="5"/>
  <c r="A1856" i="5"/>
  <c r="C1855" i="5"/>
  <c r="B1855" i="5"/>
  <c r="A1855" i="5"/>
  <c r="C1854" i="5"/>
  <c r="B1854" i="5"/>
  <c r="A1854" i="5"/>
  <c r="C1853" i="5"/>
  <c r="B1853" i="5"/>
  <c r="A1853" i="5"/>
  <c r="B1852" i="5"/>
  <c r="A1852" i="5"/>
  <c r="C1851" i="5"/>
  <c r="B1851" i="5"/>
  <c r="A1851" i="5"/>
  <c r="C1850" i="5"/>
  <c r="B1850" i="5"/>
  <c r="A1850" i="5"/>
  <c r="C1849" i="5"/>
  <c r="B1849" i="5"/>
  <c r="A1849" i="5"/>
  <c r="C1848" i="5"/>
  <c r="B1848" i="5"/>
  <c r="A1848" i="5"/>
  <c r="B1847" i="5"/>
  <c r="A1847" i="5"/>
  <c r="C1846" i="5"/>
  <c r="B1846" i="5"/>
  <c r="A1846" i="5"/>
  <c r="C1845" i="5"/>
  <c r="B1845" i="5"/>
  <c r="A1845" i="5"/>
  <c r="C1844" i="5"/>
  <c r="B1844" i="5"/>
  <c r="A1844" i="5"/>
  <c r="C1843" i="5"/>
  <c r="B1843" i="5"/>
  <c r="A1843" i="5"/>
  <c r="C1842" i="5"/>
  <c r="B1842" i="5"/>
  <c r="A1842" i="5"/>
  <c r="C1841" i="5"/>
  <c r="B1841" i="5"/>
  <c r="A1841" i="5"/>
  <c r="C1840" i="5"/>
  <c r="B1840" i="5"/>
  <c r="A1840" i="5"/>
  <c r="C1839" i="5"/>
  <c r="B1839" i="5"/>
  <c r="A1839" i="5"/>
  <c r="C1838" i="5"/>
  <c r="B1838" i="5"/>
  <c r="A1838" i="5"/>
  <c r="B1837" i="5"/>
  <c r="A1837" i="5"/>
  <c r="B1836" i="5"/>
  <c r="A1836" i="5"/>
  <c r="C1835" i="5"/>
  <c r="B1835" i="5"/>
  <c r="A1835" i="5"/>
  <c r="C1834" i="5"/>
  <c r="B1834" i="5"/>
  <c r="A1834" i="5"/>
  <c r="C1833" i="5"/>
  <c r="B1833" i="5"/>
  <c r="A1833" i="5"/>
  <c r="C1832" i="5"/>
  <c r="B1832" i="5"/>
  <c r="A1832" i="5"/>
  <c r="B1831" i="5"/>
  <c r="A1831" i="5"/>
  <c r="C1830" i="5"/>
  <c r="B1830" i="5"/>
  <c r="A1830" i="5"/>
  <c r="B1829" i="5"/>
  <c r="A1829" i="5"/>
  <c r="C1828" i="5"/>
  <c r="B1828" i="5"/>
  <c r="A1828" i="5"/>
  <c r="C1827" i="5"/>
  <c r="B1827" i="5"/>
  <c r="A1827" i="5"/>
  <c r="C1826" i="5"/>
  <c r="B1826" i="5"/>
  <c r="A1826" i="5"/>
  <c r="C1825" i="5"/>
  <c r="B1825" i="5"/>
  <c r="A1825" i="5"/>
  <c r="B1824" i="5"/>
  <c r="A1824" i="5"/>
  <c r="C1823" i="5"/>
  <c r="B1823" i="5"/>
  <c r="A1823" i="5"/>
  <c r="C1822" i="5"/>
  <c r="B1822" i="5"/>
  <c r="A1822" i="5"/>
  <c r="C1821" i="5"/>
  <c r="B1821" i="5"/>
  <c r="A1821" i="5"/>
  <c r="C1820" i="5"/>
  <c r="B1820" i="5"/>
  <c r="A1820" i="5"/>
  <c r="C1819" i="5"/>
  <c r="B1819" i="5"/>
  <c r="A1819" i="5"/>
  <c r="C1818" i="5"/>
  <c r="B1818" i="5"/>
  <c r="A1818" i="5"/>
  <c r="C1817" i="5"/>
  <c r="B1817" i="5"/>
  <c r="A1817" i="5"/>
  <c r="C1816" i="5"/>
  <c r="B1816" i="5"/>
  <c r="A1816" i="5"/>
  <c r="C1815" i="5"/>
  <c r="B1815" i="5"/>
  <c r="A1815" i="5"/>
  <c r="C1814" i="5"/>
  <c r="B1814" i="5"/>
  <c r="A1814" i="5"/>
  <c r="C1813" i="5"/>
  <c r="B1813" i="5"/>
  <c r="A1813" i="5"/>
  <c r="C1812" i="5"/>
  <c r="B1812" i="5"/>
  <c r="A1812" i="5"/>
  <c r="C1811" i="5"/>
  <c r="B1811" i="5"/>
  <c r="A1811" i="5"/>
  <c r="C1810" i="5"/>
  <c r="B1810" i="5"/>
  <c r="A1810" i="5"/>
  <c r="C1809" i="5"/>
  <c r="B1809" i="5"/>
  <c r="A1809" i="5"/>
  <c r="B1808" i="5"/>
  <c r="A1808" i="5"/>
  <c r="B1807" i="5"/>
  <c r="A1807" i="5"/>
  <c r="C1806" i="5"/>
  <c r="B1806" i="5"/>
  <c r="A1806" i="5"/>
  <c r="D1805" i="5"/>
  <c r="C1805" i="5"/>
  <c r="B1805" i="5"/>
  <c r="A1805" i="5"/>
  <c r="C1804" i="5"/>
  <c r="B1804" i="5"/>
  <c r="A1804" i="5"/>
  <c r="C1803" i="5"/>
  <c r="B1803" i="5"/>
  <c r="A1803" i="5"/>
  <c r="C1802" i="5"/>
  <c r="B1802" i="5"/>
  <c r="A1802" i="5"/>
  <c r="C1801" i="5"/>
  <c r="B1801" i="5"/>
  <c r="A1801" i="5"/>
  <c r="C1800" i="5"/>
  <c r="B1800" i="5"/>
  <c r="A1800" i="5"/>
  <c r="B1799" i="5"/>
  <c r="A1799" i="5"/>
  <c r="C1798" i="5"/>
  <c r="B1798" i="5"/>
  <c r="A1798" i="5"/>
  <c r="B1797" i="5"/>
  <c r="A1797" i="5"/>
  <c r="C1796" i="5"/>
  <c r="B1796" i="5"/>
  <c r="A1796" i="5"/>
  <c r="B1795" i="5"/>
  <c r="A1795" i="5"/>
  <c r="B1794" i="5"/>
  <c r="A1794" i="5"/>
  <c r="C1793" i="5"/>
  <c r="B1793" i="5"/>
  <c r="A1793" i="5"/>
  <c r="C1792" i="5"/>
  <c r="B1792" i="5"/>
  <c r="A1792" i="5"/>
  <c r="C1791" i="5"/>
  <c r="B1791" i="5"/>
  <c r="A1791" i="5"/>
  <c r="B1790" i="5"/>
  <c r="A1790" i="5"/>
  <c r="C1789" i="5"/>
  <c r="B1789" i="5"/>
  <c r="A1789" i="5"/>
  <c r="C1788" i="5"/>
  <c r="B1788" i="5"/>
  <c r="A1788" i="5"/>
  <c r="B1787" i="5"/>
  <c r="A1787" i="5"/>
  <c r="C1786" i="5"/>
  <c r="B1786" i="5"/>
  <c r="A1786" i="5"/>
  <c r="C1785" i="5"/>
  <c r="B1785" i="5"/>
  <c r="A1785" i="5"/>
  <c r="C1784" i="5"/>
  <c r="B1784" i="5"/>
  <c r="A1784" i="5"/>
  <c r="B1783" i="5"/>
  <c r="A1783" i="5"/>
  <c r="C1782" i="5"/>
  <c r="B1782" i="5"/>
  <c r="A1782" i="5"/>
  <c r="C1781" i="5"/>
  <c r="B1781" i="5"/>
  <c r="A1781" i="5"/>
  <c r="C1780" i="5"/>
  <c r="B1780" i="5"/>
  <c r="A1780" i="5"/>
  <c r="C1779" i="5"/>
  <c r="B1779" i="5"/>
  <c r="A1779" i="5"/>
  <c r="B1778" i="5"/>
  <c r="A1778" i="5"/>
  <c r="B1777" i="5"/>
  <c r="A1777" i="5"/>
  <c r="C1776" i="5"/>
  <c r="B1776" i="5"/>
  <c r="A1776" i="5"/>
  <c r="C1775" i="5"/>
  <c r="B1775" i="5"/>
  <c r="A1775" i="5"/>
  <c r="C1774" i="5"/>
  <c r="B1774" i="5"/>
  <c r="A1774" i="5"/>
  <c r="C1773" i="5"/>
  <c r="B1773" i="5"/>
  <c r="A1773" i="5"/>
  <c r="C1772" i="5"/>
  <c r="B1772" i="5"/>
  <c r="A1772" i="5"/>
  <c r="B1771" i="5"/>
  <c r="A1771" i="5"/>
  <c r="C1770" i="5"/>
  <c r="B1770" i="5"/>
  <c r="A1770" i="5"/>
  <c r="C1769" i="5"/>
  <c r="B1769" i="5"/>
  <c r="A1769" i="5"/>
  <c r="C1768" i="5"/>
  <c r="B1768" i="5"/>
  <c r="A1768" i="5"/>
  <c r="C1767" i="5"/>
  <c r="B1767" i="5"/>
  <c r="A1767" i="5"/>
  <c r="C1766" i="5"/>
  <c r="B1766" i="5"/>
  <c r="A1766" i="5"/>
  <c r="C1765" i="5"/>
  <c r="B1765" i="5"/>
  <c r="A1765" i="5"/>
  <c r="B1764" i="5"/>
  <c r="A1764" i="5"/>
  <c r="C1763" i="5"/>
  <c r="B1763" i="5"/>
  <c r="A1763" i="5"/>
  <c r="B1762" i="5"/>
  <c r="A1762" i="5"/>
  <c r="C1761" i="5"/>
  <c r="B1761" i="5"/>
  <c r="A1761" i="5"/>
  <c r="B1760" i="5"/>
  <c r="A1760" i="5"/>
  <c r="C1759" i="5"/>
  <c r="B1759" i="5"/>
  <c r="A1759" i="5"/>
  <c r="B1758" i="5"/>
  <c r="A1758" i="5"/>
  <c r="C1757" i="5"/>
  <c r="B1757" i="5"/>
  <c r="A1757" i="5"/>
  <c r="C1756" i="5"/>
  <c r="B1756" i="5"/>
  <c r="A1756" i="5"/>
  <c r="C1755" i="5"/>
  <c r="B1755" i="5"/>
  <c r="A1755" i="5"/>
  <c r="B1754" i="5"/>
  <c r="A1754" i="5"/>
  <c r="B1753" i="5"/>
  <c r="A1753" i="5"/>
  <c r="C1752" i="5"/>
  <c r="B1752" i="5"/>
  <c r="A1752" i="5"/>
  <c r="B1751" i="5"/>
  <c r="A1751" i="5"/>
  <c r="C1750" i="5"/>
  <c r="B1750" i="5"/>
  <c r="A1750" i="5"/>
  <c r="C1749" i="5"/>
  <c r="B1749" i="5"/>
  <c r="A1749" i="5"/>
  <c r="C1748" i="5"/>
  <c r="B1748" i="5"/>
  <c r="A1748" i="5"/>
  <c r="C1747" i="5"/>
  <c r="B1747" i="5"/>
  <c r="A1747" i="5"/>
  <c r="C1746" i="5"/>
  <c r="B1746" i="5"/>
  <c r="A1746" i="5"/>
  <c r="C1745" i="5"/>
  <c r="B1745" i="5"/>
  <c r="A1745" i="5"/>
  <c r="C1744" i="5"/>
  <c r="B1744" i="5"/>
  <c r="A1744" i="5"/>
  <c r="C1743" i="5"/>
  <c r="B1743" i="5"/>
  <c r="A1743" i="5"/>
  <c r="C1742" i="5"/>
  <c r="B1742" i="5"/>
  <c r="A1742" i="5"/>
  <c r="C1741" i="5"/>
  <c r="B1741" i="5"/>
  <c r="A1741" i="5"/>
  <c r="C1740" i="5"/>
  <c r="B1740" i="5"/>
  <c r="A1740" i="5"/>
  <c r="C1739" i="5"/>
  <c r="B1739" i="5"/>
  <c r="A1739" i="5"/>
  <c r="C1738" i="5"/>
  <c r="B1738" i="5"/>
  <c r="A1738" i="5"/>
  <c r="C1737" i="5"/>
  <c r="B1737" i="5"/>
  <c r="A1737" i="5"/>
  <c r="C1736" i="5"/>
  <c r="B1736" i="5"/>
  <c r="A1736" i="5"/>
  <c r="C1735" i="5"/>
  <c r="B1735" i="5"/>
  <c r="A1735" i="5"/>
  <c r="C1734" i="5"/>
  <c r="B1734" i="5"/>
  <c r="A1734" i="5"/>
  <c r="C1733" i="5"/>
  <c r="B1733" i="5"/>
  <c r="A1733" i="5"/>
  <c r="C1732" i="5"/>
  <c r="B1732" i="5"/>
  <c r="A1732" i="5"/>
  <c r="B1731" i="5"/>
  <c r="A1731" i="5"/>
  <c r="C1730" i="5"/>
  <c r="B1730" i="5"/>
  <c r="A1730" i="5"/>
  <c r="C1729" i="5"/>
  <c r="B1729" i="5"/>
  <c r="A1729" i="5"/>
  <c r="B1728" i="5"/>
  <c r="A1728" i="5"/>
  <c r="B1727" i="5"/>
  <c r="A1727" i="5"/>
  <c r="C1726" i="5"/>
  <c r="B1726" i="5"/>
  <c r="A1726" i="5"/>
  <c r="D1725" i="5"/>
  <c r="C1725" i="5"/>
  <c r="B1725" i="5"/>
  <c r="A1725" i="5"/>
  <c r="D1724" i="5"/>
  <c r="C1724" i="5"/>
  <c r="B1724" i="5"/>
  <c r="A1724" i="5"/>
  <c r="D1723" i="5"/>
  <c r="C1723" i="5"/>
  <c r="B1723" i="5"/>
  <c r="A1723" i="5"/>
  <c r="C1722" i="5"/>
  <c r="B1722" i="5"/>
  <c r="A1722" i="5"/>
  <c r="C1721" i="5"/>
  <c r="B1721" i="5"/>
  <c r="A1721" i="5"/>
  <c r="C1720" i="5"/>
  <c r="B1720" i="5"/>
  <c r="A1720" i="5"/>
  <c r="C1719" i="5"/>
  <c r="B1719" i="5"/>
  <c r="A1719" i="5"/>
  <c r="C1718" i="5"/>
  <c r="B1718" i="5"/>
  <c r="A1718" i="5"/>
  <c r="C1717" i="5"/>
  <c r="B1717" i="5"/>
  <c r="A1717" i="5"/>
  <c r="B1716" i="5"/>
  <c r="A1716" i="5"/>
  <c r="C1715" i="5"/>
  <c r="B1715" i="5"/>
  <c r="A1715" i="5"/>
  <c r="C1714" i="5"/>
  <c r="B1714" i="5"/>
  <c r="A1714" i="5"/>
  <c r="B1713" i="5"/>
  <c r="A1713" i="5"/>
  <c r="C1712" i="5"/>
  <c r="B1712" i="5"/>
  <c r="A1712" i="5"/>
  <c r="B1711" i="5"/>
  <c r="A1711" i="5"/>
  <c r="B1710" i="5"/>
  <c r="A1710" i="5"/>
  <c r="B1709" i="5"/>
  <c r="A1709" i="5"/>
  <c r="B1708" i="5"/>
  <c r="A1708" i="5"/>
  <c r="B1707" i="5"/>
  <c r="A1707" i="5"/>
  <c r="C1706" i="5"/>
  <c r="B1706" i="5"/>
  <c r="A1706" i="5"/>
  <c r="C1705" i="5"/>
  <c r="B1705" i="5"/>
  <c r="A1705" i="5"/>
  <c r="C1704" i="5"/>
  <c r="B1704" i="5"/>
  <c r="A1704" i="5"/>
  <c r="C1703" i="5"/>
  <c r="B1703" i="5"/>
  <c r="A1703" i="5"/>
  <c r="C1702" i="5"/>
  <c r="B1702" i="5"/>
  <c r="A1702" i="5"/>
  <c r="C1701" i="5"/>
  <c r="B1701" i="5"/>
  <c r="A1701" i="5"/>
  <c r="C1700" i="5"/>
  <c r="B1700" i="5"/>
  <c r="A1700" i="5"/>
  <c r="C1699" i="5"/>
  <c r="B1699" i="5"/>
  <c r="A1699" i="5"/>
  <c r="C1698" i="5"/>
  <c r="B1698" i="5"/>
  <c r="A1698" i="5"/>
  <c r="C1697" i="5"/>
  <c r="B1697" i="5"/>
  <c r="A1697" i="5"/>
  <c r="B1696" i="5"/>
  <c r="A1696" i="5"/>
  <c r="C1695" i="5"/>
  <c r="B1695" i="5"/>
  <c r="A1695" i="5"/>
  <c r="B1694" i="5"/>
  <c r="A1694" i="5"/>
  <c r="C1693" i="5"/>
  <c r="B1693" i="5"/>
  <c r="A1693" i="5"/>
  <c r="C1692" i="5"/>
  <c r="B1692" i="5"/>
  <c r="A1692" i="5"/>
  <c r="C1691" i="5"/>
  <c r="B1691" i="5"/>
  <c r="A1691" i="5"/>
  <c r="C1690" i="5"/>
  <c r="B1690" i="5"/>
  <c r="A1690" i="5"/>
  <c r="C1689" i="5"/>
  <c r="B1689" i="5"/>
  <c r="A1689" i="5"/>
  <c r="C1688" i="5"/>
  <c r="B1688" i="5"/>
  <c r="A1688" i="5"/>
  <c r="C1687" i="5"/>
  <c r="B1687" i="5"/>
  <c r="A1687" i="5"/>
  <c r="C1686" i="5"/>
  <c r="B1686" i="5"/>
  <c r="A1686" i="5"/>
  <c r="B1685" i="5"/>
  <c r="A1685" i="5"/>
  <c r="C1684" i="5"/>
  <c r="B1684" i="5"/>
  <c r="A1684" i="5"/>
  <c r="C1683" i="5"/>
  <c r="B1683" i="5"/>
  <c r="A1683" i="5"/>
  <c r="C1682" i="5"/>
  <c r="B1682" i="5"/>
  <c r="A1682" i="5"/>
  <c r="D1681" i="5"/>
  <c r="C1681" i="5"/>
  <c r="B1681" i="5"/>
  <c r="A1681" i="5"/>
  <c r="D1680" i="5"/>
  <c r="C1680" i="5"/>
  <c r="B1680" i="5"/>
  <c r="A1680" i="5"/>
  <c r="D1679" i="5"/>
  <c r="C1679" i="5"/>
  <c r="B1679" i="5"/>
  <c r="A1679" i="5"/>
  <c r="C1678" i="5"/>
  <c r="B1678" i="5"/>
  <c r="A1678" i="5"/>
  <c r="C1677" i="5"/>
  <c r="B1677" i="5"/>
  <c r="A1677" i="5"/>
  <c r="C1676" i="5"/>
  <c r="B1676" i="5"/>
  <c r="A1676" i="5"/>
  <c r="C1675" i="5"/>
  <c r="B1675" i="5"/>
  <c r="A1675" i="5"/>
  <c r="C1674" i="5"/>
  <c r="B1674" i="5"/>
  <c r="A1674" i="5"/>
  <c r="C1673" i="5"/>
  <c r="B1673" i="5"/>
  <c r="A1673" i="5"/>
  <c r="C1672" i="5"/>
  <c r="B1672" i="5"/>
  <c r="A1672" i="5"/>
  <c r="C1671" i="5"/>
  <c r="B1671" i="5"/>
  <c r="A1671" i="5"/>
  <c r="C1670" i="5"/>
  <c r="B1670" i="5"/>
  <c r="A1670" i="5"/>
  <c r="C1669" i="5"/>
  <c r="B1669" i="5"/>
  <c r="A1669" i="5"/>
  <c r="B1668" i="5"/>
  <c r="A1668" i="5"/>
  <c r="C1667" i="5"/>
  <c r="B1667" i="5"/>
  <c r="A1667" i="5"/>
  <c r="C1666" i="5"/>
  <c r="B1666" i="5"/>
  <c r="A1666" i="5"/>
  <c r="C1665" i="5"/>
  <c r="B1665" i="5"/>
  <c r="A1665" i="5"/>
  <c r="B1664" i="5"/>
  <c r="A1664" i="5"/>
  <c r="C1663" i="5"/>
  <c r="B1663" i="5"/>
  <c r="A1663" i="5"/>
  <c r="C1662" i="5"/>
  <c r="B1662" i="5"/>
  <c r="A1662" i="5"/>
  <c r="C1661" i="5"/>
  <c r="B1661" i="5"/>
  <c r="A1661" i="5"/>
  <c r="C1660" i="5"/>
  <c r="B1660" i="5"/>
  <c r="A1660" i="5"/>
  <c r="C1659" i="5"/>
  <c r="B1659" i="5"/>
  <c r="A1659" i="5"/>
  <c r="C1658" i="5"/>
  <c r="B1658" i="5"/>
  <c r="A1658" i="5"/>
  <c r="C1657" i="5"/>
  <c r="B1657" i="5"/>
  <c r="A1657" i="5"/>
  <c r="B1656" i="5"/>
  <c r="A1656" i="5"/>
  <c r="C1655" i="5"/>
  <c r="B1655" i="5"/>
  <c r="A1655" i="5"/>
  <c r="C1654" i="5"/>
  <c r="B1654" i="5"/>
  <c r="A1654" i="5"/>
  <c r="B1653" i="5"/>
  <c r="A1653" i="5"/>
  <c r="C1652" i="5"/>
  <c r="B1652" i="5"/>
  <c r="A1652" i="5"/>
  <c r="B1651" i="5"/>
  <c r="A1651" i="5"/>
  <c r="C1650" i="5"/>
  <c r="B1650" i="5"/>
  <c r="A1650" i="5"/>
  <c r="C1649" i="5"/>
  <c r="B1649" i="5"/>
  <c r="A1649" i="5"/>
  <c r="C1648" i="5"/>
  <c r="B1648" i="5"/>
  <c r="A1648" i="5"/>
  <c r="C1647" i="5"/>
  <c r="B1647" i="5"/>
  <c r="A1647" i="5"/>
  <c r="C1646" i="5"/>
  <c r="B1646" i="5"/>
  <c r="A1646" i="5"/>
  <c r="C1645" i="5"/>
  <c r="B1645" i="5"/>
  <c r="A1645" i="5"/>
  <c r="C1644" i="5"/>
  <c r="B1644" i="5"/>
  <c r="A1644" i="5"/>
  <c r="C1643" i="5"/>
  <c r="B1643" i="5"/>
  <c r="A1643" i="5"/>
  <c r="B1642" i="5"/>
  <c r="A1642" i="5"/>
  <c r="C1641" i="5"/>
  <c r="B1641" i="5"/>
  <c r="A1641" i="5"/>
  <c r="C1640" i="5"/>
  <c r="B1640" i="5"/>
  <c r="A1640" i="5"/>
  <c r="D1639" i="5"/>
  <c r="C1639" i="5"/>
  <c r="B1639" i="5"/>
  <c r="A1639" i="5"/>
  <c r="D1638" i="5"/>
  <c r="C1638" i="5"/>
  <c r="B1638" i="5"/>
  <c r="A1638" i="5"/>
  <c r="D1637" i="5"/>
  <c r="C1637" i="5"/>
  <c r="B1637" i="5"/>
  <c r="A1637" i="5"/>
  <c r="D1636" i="5"/>
  <c r="C1636" i="5"/>
  <c r="B1636" i="5"/>
  <c r="A1636" i="5"/>
  <c r="C1635" i="5"/>
  <c r="B1635" i="5"/>
  <c r="A1635" i="5"/>
  <c r="C1634" i="5"/>
  <c r="B1634" i="5"/>
  <c r="A1634" i="5"/>
  <c r="D1633" i="5"/>
  <c r="C1633" i="5"/>
  <c r="B1633" i="5"/>
  <c r="A1633" i="5"/>
  <c r="D1632" i="5"/>
  <c r="C1632" i="5"/>
  <c r="B1632" i="5"/>
  <c r="A1632" i="5"/>
  <c r="B1631" i="5"/>
  <c r="A1631" i="5"/>
  <c r="C1630" i="5"/>
  <c r="B1630" i="5"/>
  <c r="A1630" i="5"/>
  <c r="C1629" i="5"/>
  <c r="B1629" i="5"/>
  <c r="A1629" i="5"/>
  <c r="C1628" i="5"/>
  <c r="B1628" i="5"/>
  <c r="A1628" i="5"/>
  <c r="C1627" i="5"/>
  <c r="B1627" i="5"/>
  <c r="A1627" i="5"/>
  <c r="C1626" i="5"/>
  <c r="B1626" i="5"/>
  <c r="A1626" i="5"/>
  <c r="B1625" i="5"/>
  <c r="A1625" i="5"/>
  <c r="B1624" i="5"/>
  <c r="A1624" i="5"/>
  <c r="C1623" i="5"/>
  <c r="B1623" i="5"/>
  <c r="A1623" i="5"/>
  <c r="C1622" i="5"/>
  <c r="B1622" i="5"/>
  <c r="A1622" i="5"/>
  <c r="C1621" i="5"/>
  <c r="B1621" i="5"/>
  <c r="A1621" i="5"/>
  <c r="C1620" i="5"/>
  <c r="B1620" i="5"/>
  <c r="A1620" i="5"/>
  <c r="C1619" i="5"/>
  <c r="B1619" i="5"/>
  <c r="A1619" i="5"/>
  <c r="C1618" i="5"/>
  <c r="B1618" i="5"/>
  <c r="A1618" i="5"/>
  <c r="C1617" i="5"/>
  <c r="B1617" i="5"/>
  <c r="A1617" i="5"/>
  <c r="C1616" i="5"/>
  <c r="B1616" i="5"/>
  <c r="A1616" i="5"/>
  <c r="B1615" i="5"/>
  <c r="A1615" i="5"/>
  <c r="C1614" i="5"/>
  <c r="B1614" i="5"/>
  <c r="A1614" i="5"/>
  <c r="C1613" i="5"/>
  <c r="B1613" i="5"/>
  <c r="A1613" i="5"/>
  <c r="C1612" i="5"/>
  <c r="B1612" i="5"/>
  <c r="A1612" i="5"/>
  <c r="B1611" i="5"/>
  <c r="A1611" i="5"/>
  <c r="C1610" i="5"/>
  <c r="B1610" i="5"/>
  <c r="A1610" i="5"/>
  <c r="C1609" i="5"/>
  <c r="B1609" i="5"/>
  <c r="A1609" i="5"/>
  <c r="C1608" i="5"/>
  <c r="B1608" i="5"/>
  <c r="A1608" i="5"/>
  <c r="B1607" i="5"/>
  <c r="A1607" i="5"/>
  <c r="C1606" i="5"/>
  <c r="B1606" i="5"/>
  <c r="A1606" i="5"/>
  <c r="C1605" i="5"/>
  <c r="B1605" i="5"/>
  <c r="A1605" i="5"/>
  <c r="C1604" i="5"/>
  <c r="B1604" i="5"/>
  <c r="A1604" i="5"/>
  <c r="B1603" i="5"/>
  <c r="A1603" i="5"/>
  <c r="B1602" i="5"/>
  <c r="A1602" i="5"/>
  <c r="C1601" i="5"/>
  <c r="B1601" i="5"/>
  <c r="A1601" i="5"/>
  <c r="C1600" i="5"/>
  <c r="B1600" i="5"/>
  <c r="A1600" i="5"/>
  <c r="C1599" i="5"/>
  <c r="B1599" i="5"/>
  <c r="A1599" i="5"/>
  <c r="B1598" i="5"/>
  <c r="A1598" i="5"/>
  <c r="C1597" i="5"/>
  <c r="B1597" i="5"/>
  <c r="A1597" i="5"/>
  <c r="C1596" i="5"/>
  <c r="B1596" i="5"/>
  <c r="A1596" i="5"/>
  <c r="C1595" i="5"/>
  <c r="B1595" i="5"/>
  <c r="A1595" i="5"/>
  <c r="B1594" i="5"/>
  <c r="A1594" i="5"/>
  <c r="B1593" i="5"/>
  <c r="A1593" i="5"/>
  <c r="B1592" i="5"/>
  <c r="A1592" i="5"/>
  <c r="C1591" i="5"/>
  <c r="B1591" i="5"/>
  <c r="A1591" i="5"/>
  <c r="C1590" i="5"/>
  <c r="B1590" i="5"/>
  <c r="A1590" i="5"/>
  <c r="C1589" i="5"/>
  <c r="B1589" i="5"/>
  <c r="A1589" i="5"/>
  <c r="B1588" i="5"/>
  <c r="A1588" i="5"/>
  <c r="B1587" i="5"/>
  <c r="A1587" i="5"/>
  <c r="C1586" i="5"/>
  <c r="B1586" i="5"/>
  <c r="A1586" i="5"/>
  <c r="C1585" i="5"/>
  <c r="B1585" i="5"/>
  <c r="A1585" i="5"/>
  <c r="C1584" i="5"/>
  <c r="B1584" i="5"/>
  <c r="A1584" i="5"/>
  <c r="C1583" i="5"/>
  <c r="B1583" i="5"/>
  <c r="A1583" i="5"/>
  <c r="C1582" i="5"/>
  <c r="B1582" i="5"/>
  <c r="A1582" i="5"/>
  <c r="C1581" i="5"/>
  <c r="B1581" i="5"/>
  <c r="A1581" i="5"/>
  <c r="C1580" i="5"/>
  <c r="B1580" i="5"/>
  <c r="A1580" i="5"/>
  <c r="C1579" i="5"/>
  <c r="B1579" i="5"/>
  <c r="A1579" i="5"/>
  <c r="C1578" i="5"/>
  <c r="B1578" i="5"/>
  <c r="A1578" i="5"/>
  <c r="B1577" i="5"/>
  <c r="A1577" i="5"/>
  <c r="C1576" i="5"/>
  <c r="B1576" i="5"/>
  <c r="A1576" i="5"/>
  <c r="C1575" i="5"/>
  <c r="B1575" i="5"/>
  <c r="A1575" i="5"/>
  <c r="C1574" i="5"/>
  <c r="B1574" i="5"/>
  <c r="A1574" i="5"/>
  <c r="C1573" i="5"/>
  <c r="B1573" i="5"/>
  <c r="A1573" i="5"/>
  <c r="C1572" i="5"/>
  <c r="B1572" i="5"/>
  <c r="A1572" i="5"/>
  <c r="C1571" i="5"/>
  <c r="B1571" i="5"/>
  <c r="A1571" i="5"/>
  <c r="C1570" i="5"/>
  <c r="B1570" i="5"/>
  <c r="A1570" i="5"/>
  <c r="C1569" i="5"/>
  <c r="B1569" i="5"/>
  <c r="A1569" i="5"/>
  <c r="C1568" i="5"/>
  <c r="B1568" i="5"/>
  <c r="A1568" i="5"/>
  <c r="C1567" i="5"/>
  <c r="B1567" i="5"/>
  <c r="A1567" i="5"/>
  <c r="B1566" i="5"/>
  <c r="A1566" i="5"/>
  <c r="C1565" i="5"/>
  <c r="B1565" i="5"/>
  <c r="A1565" i="5"/>
  <c r="C1564" i="5"/>
  <c r="B1564" i="5"/>
  <c r="A1564" i="5"/>
  <c r="C1563" i="5"/>
  <c r="B1563" i="5"/>
  <c r="A1563" i="5"/>
  <c r="C1562" i="5"/>
  <c r="B1562" i="5"/>
  <c r="A1562" i="5"/>
  <c r="C1561" i="5"/>
  <c r="B1561" i="5"/>
  <c r="A1561" i="5"/>
  <c r="C1560" i="5"/>
  <c r="B1560" i="5"/>
  <c r="A1560" i="5"/>
  <c r="C1559" i="5"/>
  <c r="B1559" i="5"/>
  <c r="A1559" i="5"/>
  <c r="C1558" i="5"/>
  <c r="B1558" i="5"/>
  <c r="A1558" i="5"/>
  <c r="C1557" i="5"/>
  <c r="B1557" i="5"/>
  <c r="A1557" i="5"/>
  <c r="C1556" i="5"/>
  <c r="B1556" i="5"/>
  <c r="A1556" i="5"/>
  <c r="C1555" i="5"/>
  <c r="B1555" i="5"/>
  <c r="A1555" i="5"/>
  <c r="C1554" i="5"/>
  <c r="B1554" i="5"/>
  <c r="A1554" i="5"/>
  <c r="C1553" i="5"/>
  <c r="B1553" i="5"/>
  <c r="A1553" i="5"/>
  <c r="B1552" i="5"/>
  <c r="A1552" i="5"/>
  <c r="C1551" i="5"/>
  <c r="B1551" i="5"/>
  <c r="A1551" i="5"/>
  <c r="C1550" i="5"/>
  <c r="B1550" i="5"/>
  <c r="A1550" i="5"/>
  <c r="C1549" i="5"/>
  <c r="B1549" i="5"/>
  <c r="A1549" i="5"/>
  <c r="C1548" i="5"/>
  <c r="B1548" i="5"/>
  <c r="A1548" i="5"/>
  <c r="C1547" i="5"/>
  <c r="B1547" i="5"/>
  <c r="A1547" i="5"/>
  <c r="C1546" i="5"/>
  <c r="B1546" i="5"/>
  <c r="A1546" i="5"/>
  <c r="C1545" i="5"/>
  <c r="B1545" i="5"/>
  <c r="A1545" i="5"/>
  <c r="C1544" i="5"/>
  <c r="B1544" i="5"/>
  <c r="A1544" i="5"/>
  <c r="C1543" i="5"/>
  <c r="B1543" i="5"/>
  <c r="A1543" i="5"/>
  <c r="C1542" i="5"/>
  <c r="B1542" i="5"/>
  <c r="A1542" i="5"/>
  <c r="C1541" i="5"/>
  <c r="B1541" i="5"/>
  <c r="A1541" i="5"/>
  <c r="B1540" i="5"/>
  <c r="A1540" i="5"/>
  <c r="C1539" i="5"/>
  <c r="B1539" i="5"/>
  <c r="A1539" i="5"/>
  <c r="C1538" i="5"/>
  <c r="B1538" i="5"/>
  <c r="A1538" i="5"/>
  <c r="B1537" i="5"/>
  <c r="A1537" i="5"/>
  <c r="C1536" i="5"/>
  <c r="B1536" i="5"/>
  <c r="A1536" i="5"/>
  <c r="B1535" i="5"/>
  <c r="A1535" i="5"/>
  <c r="C1534" i="5"/>
  <c r="B1534" i="5"/>
  <c r="A1534" i="5"/>
  <c r="C1533" i="5"/>
  <c r="B1533" i="5"/>
  <c r="A1533" i="5"/>
  <c r="C1532" i="5"/>
  <c r="B1532" i="5"/>
  <c r="A1532" i="5"/>
  <c r="C1531" i="5"/>
  <c r="B1531" i="5"/>
  <c r="A1531" i="5"/>
  <c r="C1530" i="5"/>
  <c r="B1530" i="5"/>
  <c r="A1530" i="5"/>
  <c r="C1529" i="5"/>
  <c r="B1529" i="5"/>
  <c r="A1529" i="5"/>
  <c r="C1528" i="5"/>
  <c r="B1528" i="5"/>
  <c r="A1528" i="5"/>
  <c r="C1527" i="5"/>
  <c r="B1527" i="5"/>
  <c r="A1527" i="5"/>
  <c r="C1526" i="5"/>
  <c r="B1526" i="5"/>
  <c r="A1526" i="5"/>
  <c r="C1525" i="5"/>
  <c r="B1525" i="5"/>
  <c r="A1525" i="5"/>
  <c r="C1524" i="5"/>
  <c r="B1524" i="5"/>
  <c r="A1524" i="5"/>
  <c r="C1523" i="5"/>
  <c r="B1523" i="5"/>
  <c r="A1523" i="5"/>
  <c r="C1522" i="5"/>
  <c r="B1522" i="5"/>
  <c r="A1522" i="5"/>
  <c r="C1521" i="5"/>
  <c r="B1521" i="5"/>
  <c r="A1521" i="5"/>
  <c r="C1520" i="5"/>
  <c r="B1520" i="5"/>
  <c r="A1520" i="5"/>
  <c r="C1519" i="5"/>
  <c r="B1519" i="5"/>
  <c r="A1519" i="5"/>
  <c r="C1518" i="5"/>
  <c r="B1518" i="5"/>
  <c r="A1518" i="5"/>
  <c r="B1517" i="5"/>
  <c r="A1517" i="5"/>
  <c r="C1516" i="5"/>
  <c r="B1516" i="5"/>
  <c r="A1516" i="5"/>
  <c r="C1515" i="5"/>
  <c r="B1515" i="5"/>
  <c r="A1515" i="5"/>
  <c r="C1514" i="5"/>
  <c r="B1514" i="5"/>
  <c r="A1514" i="5"/>
  <c r="C1513" i="5"/>
  <c r="B1513" i="5"/>
  <c r="A1513" i="5"/>
  <c r="C1512" i="5"/>
  <c r="B1512" i="5"/>
  <c r="A1512" i="5"/>
  <c r="C1511" i="5"/>
  <c r="B1511" i="5"/>
  <c r="A1511" i="5"/>
  <c r="C1510" i="5"/>
  <c r="B1510" i="5"/>
  <c r="A1510" i="5"/>
  <c r="C1509" i="5"/>
  <c r="B1509" i="5"/>
  <c r="A1509" i="5"/>
  <c r="C1508" i="5"/>
  <c r="B1508" i="5"/>
  <c r="A1508" i="5"/>
  <c r="B1507" i="5"/>
  <c r="A1507" i="5"/>
  <c r="C1506" i="5"/>
  <c r="B1506" i="5"/>
  <c r="A1506" i="5"/>
  <c r="B1505" i="5"/>
  <c r="A1505" i="5"/>
  <c r="C1504" i="5"/>
  <c r="B1504" i="5"/>
  <c r="A1504" i="5"/>
  <c r="C1503" i="5"/>
  <c r="B1503" i="5"/>
  <c r="A1503" i="5"/>
  <c r="C1502" i="5"/>
  <c r="B1502" i="5"/>
  <c r="A1502" i="5"/>
  <c r="B1501" i="5"/>
  <c r="A1501" i="5"/>
  <c r="C1500" i="5"/>
  <c r="B1500" i="5"/>
  <c r="A1500" i="5"/>
  <c r="C1499" i="5"/>
  <c r="B1499" i="5"/>
  <c r="A1499" i="5"/>
  <c r="C1498" i="5"/>
  <c r="B1498" i="5"/>
  <c r="A1498" i="5"/>
  <c r="C1497" i="5"/>
  <c r="B1497" i="5"/>
  <c r="A1497" i="5"/>
  <c r="C1496" i="5"/>
  <c r="B1496" i="5"/>
  <c r="A1496" i="5"/>
  <c r="C1495" i="5"/>
  <c r="B1495" i="5"/>
  <c r="A1495" i="5"/>
  <c r="C1494" i="5"/>
  <c r="B1494" i="5"/>
  <c r="A1494" i="5"/>
  <c r="C1493" i="5"/>
  <c r="B1493" i="5"/>
  <c r="A1493" i="5"/>
  <c r="B1492" i="5"/>
  <c r="A1492" i="5"/>
  <c r="C1491" i="5"/>
  <c r="B1491" i="5"/>
  <c r="A1491" i="5"/>
  <c r="B1490" i="5"/>
  <c r="A1490" i="5"/>
  <c r="C1489" i="5"/>
  <c r="B1489" i="5"/>
  <c r="A1489" i="5"/>
  <c r="B1488" i="5"/>
  <c r="A1488" i="5"/>
  <c r="C1487" i="5"/>
  <c r="B1487" i="5"/>
  <c r="A1487" i="5"/>
  <c r="C1486" i="5"/>
  <c r="B1486" i="5"/>
  <c r="A1486" i="5"/>
  <c r="C1485" i="5"/>
  <c r="B1485" i="5"/>
  <c r="A1485" i="5"/>
  <c r="B1484" i="5"/>
  <c r="A1484" i="5"/>
  <c r="C1483" i="5"/>
  <c r="B1483" i="5"/>
  <c r="A1483" i="5"/>
  <c r="C1482" i="5"/>
  <c r="B1482" i="5"/>
  <c r="A1482" i="5"/>
  <c r="C1481" i="5"/>
  <c r="B1481" i="5"/>
  <c r="A1481" i="5"/>
  <c r="C1480" i="5"/>
  <c r="B1480" i="5"/>
  <c r="A1480" i="5"/>
  <c r="C1479" i="5"/>
  <c r="B1479" i="5"/>
  <c r="A1479" i="5"/>
  <c r="B1478" i="5"/>
  <c r="A1478" i="5"/>
  <c r="C1477" i="5"/>
  <c r="B1477" i="5"/>
  <c r="A1477" i="5"/>
  <c r="C1476" i="5"/>
  <c r="B1476" i="5"/>
  <c r="A1476" i="5"/>
  <c r="C1475" i="5"/>
  <c r="B1475" i="5"/>
  <c r="A1475" i="5"/>
  <c r="C1474" i="5"/>
  <c r="B1474" i="5"/>
  <c r="A1474" i="5"/>
  <c r="C1473" i="5"/>
  <c r="B1473" i="5"/>
  <c r="A1473" i="5"/>
  <c r="C1472" i="5"/>
  <c r="B1472" i="5"/>
  <c r="A1472" i="5"/>
  <c r="C1471" i="5"/>
  <c r="B1471" i="5"/>
  <c r="A1471" i="5"/>
  <c r="C1470" i="5"/>
  <c r="B1470" i="5"/>
  <c r="A1470" i="5"/>
  <c r="C1469" i="5"/>
  <c r="B1469" i="5"/>
  <c r="A1469" i="5"/>
  <c r="C1468" i="5"/>
  <c r="B1468" i="5"/>
  <c r="A1468" i="5"/>
  <c r="C1467" i="5"/>
  <c r="B1467" i="5"/>
  <c r="A1467" i="5"/>
  <c r="C1466" i="5"/>
  <c r="B1466" i="5"/>
  <c r="A1466" i="5"/>
  <c r="C1465" i="5"/>
  <c r="B1465" i="5"/>
  <c r="A1465" i="5"/>
  <c r="C1464" i="5"/>
  <c r="B1464" i="5"/>
  <c r="A1464" i="5"/>
  <c r="B1463" i="5"/>
  <c r="A1463" i="5"/>
  <c r="C1462" i="5"/>
  <c r="B1462" i="5"/>
  <c r="A1462" i="5"/>
  <c r="C1461" i="5"/>
  <c r="B1461" i="5"/>
  <c r="A1461" i="5"/>
  <c r="C1460" i="5"/>
  <c r="B1460" i="5"/>
  <c r="A1460" i="5"/>
  <c r="C1459" i="5"/>
  <c r="B1459" i="5"/>
  <c r="A1459" i="5"/>
  <c r="C1458" i="5"/>
  <c r="B1458" i="5"/>
  <c r="A1458" i="5"/>
  <c r="C1457" i="5"/>
  <c r="B1457" i="5"/>
  <c r="A1457" i="5"/>
  <c r="C1456" i="5"/>
  <c r="B1456" i="5"/>
  <c r="A1456" i="5"/>
  <c r="C1455" i="5"/>
  <c r="B1455" i="5"/>
  <c r="A1455" i="5"/>
  <c r="B1454" i="5"/>
  <c r="A1454" i="5"/>
  <c r="C1453" i="5"/>
  <c r="B1453" i="5"/>
  <c r="A1453" i="5"/>
  <c r="C1452" i="5"/>
  <c r="B1452" i="5"/>
  <c r="A1452" i="5"/>
  <c r="C1451" i="5"/>
  <c r="B1451" i="5"/>
  <c r="A1451" i="5"/>
  <c r="C1450" i="5"/>
  <c r="B1450" i="5"/>
  <c r="A1450" i="5"/>
  <c r="C1449" i="5"/>
  <c r="B1449" i="5"/>
  <c r="A1449" i="5"/>
  <c r="C1448" i="5"/>
  <c r="B1448" i="5"/>
  <c r="A1448" i="5"/>
  <c r="B1447" i="5"/>
  <c r="A1447" i="5"/>
  <c r="C1446" i="5"/>
  <c r="B1446" i="5"/>
  <c r="A1446" i="5"/>
  <c r="C1445" i="5"/>
  <c r="B1445" i="5"/>
  <c r="A1445" i="5"/>
  <c r="B1444" i="5"/>
  <c r="A1444" i="5"/>
  <c r="C1443" i="5"/>
  <c r="B1443" i="5"/>
  <c r="A1443" i="5"/>
  <c r="B1442" i="5"/>
  <c r="A1442" i="5"/>
  <c r="C1441" i="5"/>
  <c r="B1441" i="5"/>
  <c r="A1441" i="5"/>
  <c r="C1440" i="5"/>
  <c r="B1440" i="5"/>
  <c r="A1440" i="5"/>
  <c r="C1439" i="5"/>
  <c r="B1439" i="5"/>
  <c r="A1439" i="5"/>
  <c r="C1438" i="5"/>
  <c r="B1438" i="5"/>
  <c r="A1438" i="5"/>
  <c r="C1437" i="5"/>
  <c r="B1437" i="5"/>
  <c r="A1437" i="5"/>
  <c r="C1436" i="5"/>
  <c r="B1436" i="5"/>
  <c r="A1436" i="5"/>
  <c r="C1435" i="5"/>
  <c r="B1435" i="5"/>
  <c r="A1435" i="5"/>
  <c r="C1434" i="5"/>
  <c r="B1434" i="5"/>
  <c r="A1434" i="5"/>
  <c r="C1433" i="5"/>
  <c r="B1433" i="5"/>
  <c r="A1433" i="5"/>
  <c r="C1432" i="5"/>
  <c r="B1432" i="5"/>
  <c r="A1432" i="5"/>
  <c r="B1431" i="5"/>
  <c r="A1431" i="5"/>
  <c r="C1430" i="5"/>
  <c r="B1430" i="5"/>
  <c r="A1430" i="5"/>
  <c r="C1429" i="5"/>
  <c r="B1429" i="5"/>
  <c r="A1429" i="5"/>
  <c r="C1428" i="5"/>
  <c r="B1428" i="5"/>
  <c r="A1428" i="5"/>
  <c r="C1427" i="5"/>
  <c r="B1427" i="5"/>
  <c r="A1427" i="5"/>
  <c r="C1426" i="5"/>
  <c r="B1426" i="5"/>
  <c r="A1426" i="5"/>
  <c r="C1425" i="5"/>
  <c r="B1425" i="5"/>
  <c r="A1425" i="5"/>
  <c r="B1424" i="5"/>
  <c r="A1424" i="5"/>
  <c r="C1423" i="5"/>
  <c r="B1423" i="5"/>
  <c r="A1423" i="5"/>
  <c r="C1422" i="5"/>
  <c r="B1422" i="5"/>
  <c r="A1422" i="5"/>
  <c r="C1421" i="5"/>
  <c r="B1421" i="5"/>
  <c r="A1421" i="5"/>
  <c r="C1420" i="5"/>
  <c r="B1420" i="5"/>
  <c r="A1420" i="5"/>
  <c r="C1419" i="5"/>
  <c r="B1419" i="5"/>
  <c r="A1419" i="5"/>
  <c r="C1418" i="5"/>
  <c r="B1418" i="5"/>
  <c r="A1418" i="5"/>
  <c r="C1417" i="5"/>
  <c r="B1417" i="5"/>
  <c r="A1417" i="5"/>
  <c r="C1416" i="5"/>
  <c r="B1416" i="5"/>
  <c r="A1416" i="5"/>
  <c r="C1415" i="5"/>
  <c r="B1415" i="5"/>
  <c r="A1415" i="5"/>
  <c r="C1414" i="5"/>
  <c r="B1414" i="5"/>
  <c r="A1414" i="5"/>
  <c r="B1413" i="5"/>
  <c r="A1413" i="5"/>
  <c r="C1412" i="5"/>
  <c r="B1412" i="5"/>
  <c r="A1412" i="5"/>
  <c r="C1411" i="5"/>
  <c r="B1411" i="5"/>
  <c r="A1411" i="5"/>
  <c r="C1410" i="5"/>
  <c r="B1410" i="5"/>
  <c r="A1410" i="5"/>
  <c r="C1409" i="5"/>
  <c r="B1409" i="5"/>
  <c r="A1409" i="5"/>
  <c r="C1408" i="5"/>
  <c r="B1408" i="5"/>
  <c r="A1408" i="5"/>
  <c r="C1407" i="5"/>
  <c r="B1407" i="5"/>
  <c r="A1407" i="5"/>
  <c r="C1406" i="5"/>
  <c r="B1406" i="5"/>
  <c r="A1406" i="5"/>
  <c r="C1405" i="5"/>
  <c r="B1405" i="5"/>
  <c r="A1405" i="5"/>
  <c r="C1404" i="5"/>
  <c r="B1404" i="5"/>
  <c r="A1404" i="5"/>
  <c r="C1403" i="5"/>
  <c r="B1403" i="5"/>
  <c r="A1403" i="5"/>
  <c r="C1402" i="5"/>
  <c r="B1402" i="5"/>
  <c r="A1402" i="5"/>
  <c r="C1401" i="5"/>
  <c r="B1401" i="5"/>
  <c r="A1401" i="5"/>
  <c r="C1400" i="5"/>
  <c r="B1400" i="5"/>
  <c r="A1400" i="5"/>
  <c r="C1399" i="5"/>
  <c r="B1399" i="5"/>
  <c r="A1399" i="5"/>
  <c r="C1398" i="5"/>
  <c r="B1398" i="5"/>
  <c r="A1398" i="5"/>
  <c r="C1397" i="5"/>
  <c r="B1397" i="5"/>
  <c r="A1397" i="5"/>
  <c r="C1396" i="5"/>
  <c r="B1396" i="5"/>
  <c r="A1396" i="5"/>
  <c r="C1395" i="5"/>
  <c r="B1395" i="5"/>
  <c r="A1395" i="5"/>
  <c r="C1394" i="5"/>
  <c r="B1394" i="5"/>
  <c r="A1394" i="5"/>
  <c r="C1393" i="5"/>
  <c r="B1393" i="5"/>
  <c r="A1393" i="5"/>
  <c r="C1392" i="5"/>
  <c r="B1392" i="5"/>
  <c r="A1392" i="5"/>
  <c r="C1391" i="5"/>
  <c r="B1391" i="5"/>
  <c r="A1391" i="5"/>
  <c r="C1390" i="5"/>
  <c r="B1390" i="5"/>
  <c r="A1390" i="5"/>
  <c r="C1389" i="5"/>
  <c r="B1389" i="5"/>
  <c r="A1389" i="5"/>
  <c r="C1388" i="5"/>
  <c r="B1388" i="5"/>
  <c r="A1388" i="5"/>
  <c r="C1387" i="5"/>
  <c r="B1387" i="5"/>
  <c r="A1387" i="5"/>
  <c r="C1386" i="5"/>
  <c r="B1386" i="5"/>
  <c r="A1386" i="5"/>
  <c r="C1385" i="5"/>
  <c r="B1385" i="5"/>
  <c r="A1385" i="5"/>
  <c r="B1384" i="5"/>
  <c r="A1384" i="5"/>
  <c r="C1383" i="5"/>
  <c r="B1383" i="5"/>
  <c r="A1383" i="5"/>
  <c r="C1382" i="5"/>
  <c r="B1382" i="5"/>
  <c r="A1382" i="5"/>
  <c r="C1381" i="5"/>
  <c r="B1381" i="5"/>
  <c r="A1381" i="5"/>
  <c r="C1380" i="5"/>
  <c r="B1380" i="5"/>
  <c r="A1380" i="5"/>
  <c r="C1379" i="5"/>
  <c r="B1379" i="5"/>
  <c r="A1379" i="5"/>
  <c r="C1378" i="5"/>
  <c r="B1378" i="5"/>
  <c r="A1378" i="5"/>
  <c r="C1377" i="5"/>
  <c r="B1377" i="5"/>
  <c r="A1377" i="5"/>
  <c r="C1376" i="5"/>
  <c r="B1376" i="5"/>
  <c r="A1376" i="5"/>
  <c r="C1375" i="5"/>
  <c r="B1375" i="5"/>
  <c r="A1375" i="5"/>
  <c r="C1374" i="5"/>
  <c r="B1374" i="5"/>
  <c r="A1374" i="5"/>
  <c r="C1373" i="5"/>
  <c r="B1373" i="5"/>
  <c r="A1373" i="5"/>
  <c r="B1372" i="5"/>
  <c r="A1372" i="5"/>
  <c r="C1371" i="5"/>
  <c r="B1371" i="5"/>
  <c r="A1371" i="5"/>
  <c r="B1370" i="5"/>
  <c r="A1370" i="5"/>
  <c r="C1369" i="5"/>
  <c r="B1369" i="5"/>
  <c r="A1369" i="5"/>
  <c r="C1368" i="5"/>
  <c r="B1368" i="5"/>
  <c r="A1368" i="5"/>
  <c r="C1367" i="5"/>
  <c r="B1367" i="5"/>
  <c r="A1367" i="5"/>
  <c r="C1366" i="5"/>
  <c r="B1366" i="5"/>
  <c r="A1366" i="5"/>
  <c r="C1365" i="5"/>
  <c r="B1365" i="5"/>
  <c r="A1365" i="5"/>
  <c r="C1364" i="5"/>
  <c r="B1364" i="5"/>
  <c r="A1364" i="5"/>
  <c r="C1363" i="5"/>
  <c r="B1363" i="5"/>
  <c r="A1363" i="5"/>
  <c r="C1362" i="5"/>
  <c r="B1362" i="5"/>
  <c r="A1362" i="5"/>
  <c r="C1361" i="5"/>
  <c r="B1361" i="5"/>
  <c r="A1361" i="5"/>
  <c r="C1360" i="5"/>
  <c r="B1360" i="5"/>
  <c r="A1360" i="5"/>
  <c r="C1359" i="5"/>
  <c r="B1359" i="5"/>
  <c r="A1359" i="5"/>
  <c r="B1358" i="5"/>
  <c r="A1358" i="5"/>
  <c r="C1357" i="5"/>
  <c r="B1357" i="5"/>
  <c r="A1357" i="5"/>
  <c r="C1356" i="5"/>
  <c r="B1356" i="5"/>
  <c r="A1356" i="5"/>
  <c r="C1355" i="5"/>
  <c r="B1355" i="5"/>
  <c r="A1355" i="5"/>
  <c r="C1354" i="5"/>
  <c r="B1354" i="5"/>
  <c r="A1354" i="5"/>
  <c r="C1353" i="5"/>
  <c r="B1353" i="5"/>
  <c r="A1353" i="5"/>
  <c r="C1352" i="5"/>
  <c r="B1352" i="5"/>
  <c r="A1352" i="5"/>
  <c r="C1351" i="5"/>
  <c r="B1351" i="5"/>
  <c r="A1351" i="5"/>
  <c r="C1350" i="5"/>
  <c r="B1350" i="5"/>
  <c r="A1350" i="5"/>
  <c r="C1349" i="5"/>
  <c r="B1349" i="5"/>
  <c r="A1349" i="5"/>
  <c r="B1348" i="5"/>
  <c r="A1348" i="5"/>
  <c r="C1347" i="5"/>
  <c r="B1347" i="5"/>
  <c r="A1347" i="5"/>
  <c r="C1346" i="5"/>
  <c r="B1346" i="5"/>
  <c r="A1346" i="5"/>
  <c r="C1345" i="5"/>
  <c r="B1345" i="5"/>
  <c r="A1345" i="5"/>
  <c r="C1344" i="5"/>
  <c r="B1344" i="5"/>
  <c r="A1344" i="5"/>
  <c r="C1343" i="5"/>
  <c r="B1343" i="5"/>
  <c r="A1343" i="5"/>
  <c r="C1342" i="5"/>
  <c r="B1342" i="5"/>
  <c r="A1342" i="5"/>
  <c r="C1341" i="5"/>
  <c r="B1341" i="5"/>
  <c r="A1341" i="5"/>
  <c r="B1340" i="5"/>
  <c r="A1340" i="5"/>
  <c r="C1339" i="5"/>
  <c r="B1339" i="5"/>
  <c r="A1339" i="5"/>
  <c r="C1338" i="5"/>
  <c r="B1338" i="5"/>
  <c r="A1338" i="5"/>
  <c r="B1337" i="5"/>
  <c r="A1337" i="5"/>
  <c r="C1336" i="5"/>
  <c r="B1336" i="5"/>
  <c r="A1336" i="5"/>
  <c r="C1335" i="5"/>
  <c r="B1335" i="5"/>
  <c r="A1335" i="5"/>
  <c r="C1334" i="5"/>
  <c r="B1334" i="5"/>
  <c r="A1334" i="5"/>
  <c r="C1333" i="5"/>
  <c r="B1333" i="5"/>
  <c r="A1333" i="5"/>
  <c r="C1332" i="5"/>
  <c r="B1332" i="5"/>
  <c r="A1332" i="5"/>
  <c r="B1331" i="5"/>
  <c r="A1331" i="5"/>
  <c r="C1330" i="5"/>
  <c r="B1330" i="5"/>
  <c r="A1330" i="5"/>
  <c r="C1329" i="5"/>
  <c r="B1329" i="5"/>
  <c r="A1329" i="5"/>
  <c r="C1328" i="5"/>
  <c r="B1328" i="5"/>
  <c r="A1328" i="5"/>
  <c r="C1327" i="5"/>
  <c r="B1327" i="5"/>
  <c r="A1327" i="5"/>
  <c r="C1326" i="5"/>
  <c r="B1326" i="5"/>
  <c r="A1326" i="5"/>
  <c r="B1325" i="5"/>
  <c r="A1325" i="5"/>
  <c r="C1324" i="5"/>
  <c r="B1324" i="5"/>
  <c r="A1324" i="5"/>
  <c r="C1323" i="5"/>
  <c r="B1323" i="5"/>
  <c r="A1323" i="5"/>
  <c r="C1322" i="5"/>
  <c r="B1322" i="5"/>
  <c r="A1322" i="5"/>
  <c r="C1321" i="5"/>
  <c r="B1321" i="5"/>
  <c r="A1321" i="5"/>
  <c r="C1320" i="5"/>
  <c r="B1320" i="5"/>
  <c r="A1320" i="5"/>
  <c r="B1319" i="5"/>
  <c r="A1319" i="5"/>
  <c r="B1318" i="5"/>
  <c r="A1318" i="5"/>
  <c r="C1317" i="5"/>
  <c r="B1317" i="5"/>
  <c r="A1317" i="5"/>
  <c r="C1316" i="5"/>
  <c r="B1316" i="5"/>
  <c r="A1316" i="5"/>
  <c r="C1315" i="5"/>
  <c r="B1315" i="5"/>
  <c r="A1315" i="5"/>
  <c r="B1314" i="5"/>
  <c r="A1314" i="5"/>
  <c r="C1313" i="5"/>
  <c r="B1313" i="5"/>
  <c r="A1313" i="5"/>
  <c r="C1312" i="5"/>
  <c r="B1312" i="5"/>
  <c r="A1312" i="5"/>
  <c r="C1311" i="5"/>
  <c r="B1311" i="5"/>
  <c r="A1311" i="5"/>
  <c r="C1310" i="5"/>
  <c r="B1310" i="5"/>
  <c r="A1310" i="5"/>
  <c r="C1309" i="5"/>
  <c r="B1309" i="5"/>
  <c r="A1309" i="5"/>
  <c r="C1308" i="5"/>
  <c r="B1308" i="5"/>
  <c r="A1308" i="5"/>
  <c r="C1307" i="5"/>
  <c r="B1307" i="5"/>
  <c r="A1307" i="5"/>
  <c r="B1306" i="5"/>
  <c r="A1306" i="5"/>
  <c r="C1305" i="5"/>
  <c r="B1305" i="5"/>
  <c r="A1305" i="5"/>
  <c r="C1304" i="5"/>
  <c r="B1304" i="5"/>
  <c r="A1304" i="5"/>
  <c r="C1303" i="5"/>
  <c r="B1303" i="5"/>
  <c r="A1303" i="5"/>
  <c r="C1302" i="5"/>
  <c r="B1302" i="5"/>
  <c r="A1302" i="5"/>
  <c r="C1301" i="5"/>
  <c r="B1301" i="5"/>
  <c r="A1301" i="5"/>
  <c r="C1300" i="5"/>
  <c r="B1300" i="5"/>
  <c r="A1300" i="5"/>
  <c r="C1299" i="5"/>
  <c r="B1299" i="5"/>
  <c r="A1299" i="5"/>
  <c r="B1298" i="5"/>
  <c r="A1298" i="5"/>
  <c r="C1297" i="5"/>
  <c r="B1297" i="5"/>
  <c r="A1297" i="5"/>
  <c r="B1296" i="5"/>
  <c r="A1296" i="5"/>
  <c r="C1295" i="5"/>
  <c r="B1295" i="5"/>
  <c r="A1295" i="5"/>
  <c r="C1294" i="5"/>
  <c r="B1294" i="5"/>
  <c r="A1294" i="5"/>
  <c r="B1293" i="5"/>
  <c r="A1293" i="5"/>
  <c r="C1292" i="5"/>
  <c r="B1292" i="5"/>
  <c r="A1292" i="5"/>
  <c r="C1291" i="5"/>
  <c r="B1291" i="5"/>
  <c r="A1291" i="5"/>
  <c r="C1290" i="5"/>
  <c r="B1290" i="5"/>
  <c r="A1290" i="5"/>
  <c r="C1289" i="5"/>
  <c r="B1289" i="5"/>
  <c r="A1289" i="5"/>
  <c r="C1288" i="5"/>
  <c r="B1288" i="5"/>
  <c r="A1288" i="5"/>
  <c r="C1287" i="5"/>
  <c r="B1287" i="5"/>
  <c r="A1287" i="5"/>
  <c r="C1286" i="5"/>
  <c r="B1286" i="5"/>
  <c r="A1286" i="5"/>
  <c r="C1285" i="5"/>
  <c r="B1285" i="5"/>
  <c r="A1285" i="5"/>
  <c r="C1284" i="5"/>
  <c r="B1284" i="5"/>
  <c r="A1284" i="5"/>
  <c r="C1283" i="5"/>
  <c r="B1283" i="5"/>
  <c r="A1283" i="5"/>
  <c r="C1282" i="5"/>
  <c r="B1282" i="5"/>
  <c r="A1282" i="5"/>
  <c r="B1281" i="5"/>
  <c r="A1281" i="5"/>
  <c r="C1280" i="5"/>
  <c r="B1280" i="5"/>
  <c r="A1280" i="5"/>
  <c r="C1279" i="5"/>
  <c r="B1279" i="5"/>
  <c r="A1279" i="5"/>
  <c r="C1278" i="5"/>
  <c r="B1278" i="5"/>
  <c r="A1278" i="5"/>
  <c r="B1277" i="5"/>
  <c r="A1277" i="5"/>
  <c r="C1276" i="5"/>
  <c r="B1276" i="5"/>
  <c r="A1276" i="5"/>
  <c r="C1275" i="5"/>
  <c r="B1275" i="5"/>
  <c r="A1275" i="5"/>
  <c r="C1274" i="5"/>
  <c r="B1274" i="5"/>
  <c r="A1274" i="5"/>
  <c r="C1273" i="5"/>
  <c r="B1273" i="5"/>
  <c r="A1273" i="5"/>
  <c r="C1272" i="5"/>
  <c r="B1272" i="5"/>
  <c r="A1272" i="5"/>
  <c r="C1271" i="5"/>
  <c r="B1271" i="5"/>
  <c r="A1271" i="5"/>
  <c r="C1270" i="5"/>
  <c r="B1270" i="5"/>
  <c r="A1270" i="5"/>
  <c r="C1269" i="5"/>
  <c r="B1269" i="5"/>
  <c r="A1269" i="5"/>
  <c r="C1268" i="5"/>
  <c r="B1268" i="5"/>
  <c r="A1268" i="5"/>
  <c r="C1267" i="5"/>
  <c r="B1267" i="5"/>
  <c r="A1267" i="5"/>
  <c r="C1266" i="5"/>
  <c r="B1266" i="5"/>
  <c r="A1266" i="5"/>
  <c r="C1265" i="5"/>
  <c r="B1265" i="5"/>
  <c r="A1265" i="5"/>
  <c r="B1264" i="5"/>
  <c r="A1264" i="5"/>
  <c r="C1263" i="5"/>
  <c r="B1263" i="5"/>
  <c r="A1263" i="5"/>
  <c r="C1262" i="5"/>
  <c r="B1262" i="5"/>
  <c r="A1262" i="5"/>
  <c r="C1261" i="5"/>
  <c r="B1261" i="5"/>
  <c r="A1261" i="5"/>
  <c r="B1260" i="5"/>
  <c r="A1260" i="5"/>
  <c r="C1259" i="5"/>
  <c r="B1259" i="5"/>
  <c r="A1259" i="5"/>
  <c r="C1258" i="5"/>
  <c r="B1258" i="5"/>
  <c r="A1258" i="5"/>
  <c r="C1257" i="5"/>
  <c r="B1257" i="5"/>
  <c r="A1257" i="5"/>
  <c r="B1256" i="5"/>
  <c r="A1256" i="5"/>
  <c r="C1255" i="5"/>
  <c r="B1255" i="5"/>
  <c r="A1255" i="5"/>
  <c r="B1254" i="5"/>
  <c r="A1254" i="5"/>
  <c r="C1253" i="5"/>
  <c r="B1253" i="5"/>
  <c r="A1253" i="5"/>
  <c r="C1252" i="5"/>
  <c r="B1252" i="5"/>
  <c r="A1252" i="5"/>
  <c r="C1251" i="5"/>
  <c r="B1251" i="5"/>
  <c r="A1251" i="5"/>
  <c r="C1250" i="5"/>
  <c r="B1250" i="5"/>
  <c r="A1250" i="5"/>
  <c r="C1249" i="5"/>
  <c r="B1249" i="5"/>
  <c r="A1249" i="5"/>
  <c r="C1248" i="5"/>
  <c r="B1248" i="5"/>
  <c r="A1248" i="5"/>
  <c r="C1247" i="5"/>
  <c r="B1247" i="5"/>
  <c r="A1247" i="5"/>
  <c r="C1246" i="5"/>
  <c r="B1246" i="5"/>
  <c r="A1246" i="5"/>
  <c r="C1245" i="5"/>
  <c r="B1245" i="5"/>
  <c r="A1245" i="5"/>
  <c r="C1244" i="5"/>
  <c r="B1244" i="5"/>
  <c r="A1244" i="5"/>
  <c r="C1243" i="5"/>
  <c r="B1243" i="5"/>
  <c r="A1243" i="5"/>
  <c r="C1242" i="5"/>
  <c r="B1242" i="5"/>
  <c r="A1242" i="5"/>
  <c r="C1241" i="5"/>
  <c r="B1241" i="5"/>
  <c r="A1241" i="5"/>
  <c r="C1240" i="5"/>
  <c r="B1240" i="5"/>
  <c r="A1240" i="5"/>
  <c r="C1239" i="5"/>
  <c r="B1239" i="5"/>
  <c r="A1239" i="5"/>
  <c r="C1238" i="5"/>
  <c r="B1238" i="5"/>
  <c r="A1238" i="5"/>
  <c r="D1237" i="5"/>
  <c r="C1237" i="5"/>
  <c r="B1237" i="5"/>
  <c r="A1237" i="5"/>
  <c r="D1236" i="5"/>
  <c r="C1236" i="5"/>
  <c r="B1236" i="5"/>
  <c r="A1236" i="5"/>
  <c r="C1235" i="5"/>
  <c r="B1235" i="5"/>
  <c r="A1235" i="5"/>
  <c r="C1234" i="5"/>
  <c r="B1234" i="5"/>
  <c r="A1234" i="5"/>
  <c r="C1233" i="5"/>
  <c r="B1233" i="5"/>
  <c r="A1233" i="5"/>
  <c r="C1232" i="5"/>
  <c r="B1232" i="5"/>
  <c r="A1232" i="5"/>
  <c r="C1231" i="5"/>
  <c r="B1231" i="5"/>
  <c r="A1231" i="5"/>
  <c r="C1230" i="5"/>
  <c r="B1230" i="5"/>
  <c r="A1230" i="5"/>
  <c r="C1229" i="5"/>
  <c r="B1229" i="5"/>
  <c r="A1229" i="5"/>
  <c r="C1228" i="5"/>
  <c r="B1228" i="5"/>
  <c r="A1228" i="5"/>
  <c r="C1227" i="5"/>
  <c r="B1227" i="5"/>
  <c r="A1227" i="5"/>
  <c r="C1226" i="5"/>
  <c r="B1226" i="5"/>
  <c r="A1226" i="5"/>
  <c r="C1225" i="5"/>
  <c r="B1225" i="5"/>
  <c r="A1225" i="5"/>
  <c r="C1224" i="5"/>
  <c r="B1224" i="5"/>
  <c r="A1224" i="5"/>
  <c r="C1223" i="5"/>
  <c r="B1223" i="5"/>
  <c r="A1223" i="5"/>
  <c r="B1222" i="5"/>
  <c r="A1222" i="5"/>
  <c r="C1221" i="5"/>
  <c r="B1221" i="5"/>
  <c r="A1221" i="5"/>
  <c r="C1220" i="5"/>
  <c r="B1220" i="5"/>
  <c r="A1220" i="5"/>
  <c r="C1219" i="5"/>
  <c r="B1219" i="5"/>
  <c r="A1219" i="5"/>
  <c r="C1218" i="5"/>
  <c r="B1218" i="5"/>
  <c r="A1218" i="5"/>
  <c r="C1217" i="5"/>
  <c r="B1217" i="5"/>
  <c r="A1217" i="5"/>
  <c r="C1216" i="5"/>
  <c r="B1216" i="5"/>
  <c r="A1216" i="5"/>
  <c r="C1215" i="5"/>
  <c r="B1215" i="5"/>
  <c r="A1215" i="5"/>
  <c r="C1214" i="5"/>
  <c r="B1214" i="5"/>
  <c r="A1214" i="5"/>
  <c r="C1213" i="5"/>
  <c r="B1213" i="5"/>
  <c r="A1213" i="5"/>
  <c r="C1212" i="5"/>
  <c r="B1212" i="5"/>
  <c r="A1212" i="5"/>
  <c r="C1211" i="5"/>
  <c r="B1211" i="5"/>
  <c r="A1211" i="5"/>
  <c r="C1210" i="5"/>
  <c r="B1210" i="5"/>
  <c r="A1210" i="5"/>
  <c r="C1209" i="5"/>
  <c r="B1209" i="5"/>
  <c r="A1209" i="5"/>
  <c r="C1208" i="5"/>
  <c r="B1208" i="5"/>
  <c r="A1208" i="5"/>
  <c r="C1207" i="5"/>
  <c r="B1207" i="5"/>
  <c r="A1207" i="5"/>
  <c r="B1206" i="5"/>
  <c r="A1206" i="5"/>
  <c r="C1205" i="5"/>
  <c r="B1205" i="5"/>
  <c r="A1205" i="5"/>
  <c r="C1204" i="5"/>
  <c r="B1204" i="5"/>
  <c r="A1204" i="5"/>
  <c r="C1203" i="5"/>
  <c r="B1203" i="5"/>
  <c r="A1203" i="5"/>
  <c r="C1202" i="5"/>
  <c r="B1202" i="5"/>
  <c r="A1202" i="5"/>
  <c r="C1201" i="5"/>
  <c r="B1201" i="5"/>
  <c r="A1201" i="5"/>
  <c r="C1200" i="5"/>
  <c r="B1200" i="5"/>
  <c r="A1200" i="5"/>
  <c r="C1199" i="5"/>
  <c r="B1199" i="5"/>
  <c r="A1199" i="5"/>
  <c r="C1198" i="5"/>
  <c r="B1198" i="5"/>
  <c r="A1198" i="5"/>
  <c r="C1197" i="5"/>
  <c r="B1197" i="5"/>
  <c r="A1197" i="5"/>
  <c r="C1196" i="5"/>
  <c r="B1196" i="5"/>
  <c r="A1196" i="5"/>
  <c r="C1195" i="5"/>
  <c r="B1195" i="5"/>
  <c r="A1195" i="5"/>
  <c r="C1194" i="5"/>
  <c r="B1194" i="5"/>
  <c r="A1194" i="5"/>
  <c r="C1193" i="5"/>
  <c r="B1193" i="5"/>
  <c r="A1193" i="5"/>
  <c r="C1192" i="5"/>
  <c r="B1192" i="5"/>
  <c r="A1192" i="5"/>
  <c r="C1191" i="5"/>
  <c r="B1191" i="5"/>
  <c r="A1191" i="5"/>
  <c r="C1190" i="5"/>
  <c r="B1190" i="5"/>
  <c r="A1190" i="5"/>
  <c r="C1189" i="5"/>
  <c r="B1189" i="5"/>
  <c r="A1189" i="5"/>
  <c r="C1188" i="5"/>
  <c r="B1188" i="5"/>
  <c r="A1188" i="5"/>
  <c r="C1187" i="5"/>
  <c r="B1187" i="5"/>
  <c r="A1187" i="5"/>
  <c r="C1186" i="5"/>
  <c r="B1186" i="5"/>
  <c r="A1186" i="5"/>
  <c r="C1185" i="5"/>
  <c r="B1185" i="5"/>
  <c r="A1185" i="5"/>
  <c r="C1184" i="5"/>
  <c r="B1184" i="5"/>
  <c r="A1184" i="5"/>
  <c r="C1183" i="5"/>
  <c r="B1183" i="5"/>
  <c r="A1183" i="5"/>
  <c r="C1182" i="5"/>
  <c r="B1182" i="5"/>
  <c r="A1182" i="5"/>
  <c r="C1181" i="5"/>
  <c r="B1181" i="5"/>
  <c r="A1181" i="5"/>
  <c r="C1180" i="5"/>
  <c r="B1180" i="5"/>
  <c r="A1180" i="5"/>
  <c r="C1179" i="5"/>
  <c r="B1179" i="5"/>
  <c r="A1179" i="5"/>
  <c r="C1178" i="5"/>
  <c r="B1178" i="5"/>
  <c r="A1178" i="5"/>
  <c r="C1177" i="5"/>
  <c r="B1177" i="5"/>
  <c r="A1177" i="5"/>
  <c r="C1176" i="5"/>
  <c r="B1176" i="5"/>
  <c r="A1176" i="5"/>
  <c r="C1175" i="5"/>
  <c r="B1175" i="5"/>
  <c r="A1175" i="5"/>
  <c r="C1174" i="5"/>
  <c r="B1174" i="5"/>
  <c r="A1174" i="5"/>
  <c r="C1173" i="5"/>
  <c r="B1173" i="5"/>
  <c r="A1173" i="5"/>
  <c r="C1172" i="5"/>
  <c r="B1172" i="5"/>
  <c r="A1172" i="5"/>
  <c r="C1171" i="5"/>
  <c r="B1171" i="5"/>
  <c r="A1171" i="5"/>
  <c r="C1170" i="5"/>
  <c r="B1170" i="5"/>
  <c r="A1170" i="5"/>
  <c r="C1169" i="5"/>
  <c r="B1169" i="5"/>
  <c r="A1169" i="5"/>
  <c r="C1168" i="5"/>
  <c r="B1168" i="5"/>
  <c r="A1168" i="5"/>
  <c r="C1167" i="5"/>
  <c r="B1167" i="5"/>
  <c r="A1167" i="5"/>
  <c r="C1166" i="5"/>
  <c r="B1166" i="5"/>
  <c r="A1166" i="5"/>
  <c r="C1165" i="5"/>
  <c r="B1165" i="5"/>
  <c r="A1165" i="5"/>
  <c r="C1164" i="5"/>
  <c r="B1164" i="5"/>
  <c r="A1164" i="5"/>
  <c r="C1163" i="5"/>
  <c r="B1163" i="5"/>
  <c r="A1163" i="5"/>
  <c r="C1162" i="5"/>
  <c r="B1162" i="5"/>
  <c r="A1162" i="5"/>
  <c r="C1161" i="5"/>
  <c r="B1161" i="5"/>
  <c r="A1161" i="5"/>
  <c r="C1160" i="5"/>
  <c r="B1160" i="5"/>
  <c r="A1160" i="5"/>
  <c r="C1159" i="5"/>
  <c r="B1159" i="5"/>
  <c r="A1159" i="5"/>
  <c r="B1158" i="5"/>
  <c r="A1158" i="5"/>
  <c r="C1157" i="5"/>
  <c r="B1157" i="5"/>
  <c r="A1157" i="5"/>
  <c r="C1156" i="5"/>
  <c r="B1156" i="5"/>
  <c r="A1156" i="5"/>
  <c r="C1155" i="5"/>
  <c r="B1155" i="5"/>
  <c r="A1155" i="5"/>
  <c r="B1154" i="5"/>
  <c r="A1154" i="5"/>
  <c r="C1153" i="5"/>
  <c r="B1153" i="5"/>
  <c r="A1153" i="5"/>
  <c r="B1152" i="5"/>
  <c r="A1152" i="5"/>
  <c r="C1151" i="5"/>
  <c r="B1151" i="5"/>
  <c r="A1151" i="5"/>
  <c r="C1150" i="5"/>
  <c r="B1150" i="5"/>
  <c r="A1150" i="5"/>
  <c r="D1149" i="5"/>
  <c r="C1149" i="5"/>
  <c r="B1149" i="5"/>
  <c r="A1149" i="5"/>
  <c r="D1148" i="5"/>
  <c r="C1148" i="5"/>
  <c r="B1148" i="5"/>
  <c r="A1148" i="5"/>
  <c r="C1147" i="5"/>
  <c r="B1147" i="5"/>
  <c r="A1147" i="5"/>
  <c r="B1146" i="5"/>
  <c r="A1146" i="5"/>
  <c r="C1145" i="5"/>
  <c r="B1145" i="5"/>
  <c r="A1145" i="5"/>
  <c r="D1144" i="5"/>
  <c r="C1144" i="5"/>
  <c r="B1144" i="5"/>
  <c r="A1144" i="5"/>
  <c r="C1143" i="5"/>
  <c r="B1143" i="5"/>
  <c r="A1143" i="5"/>
  <c r="C1142" i="5"/>
  <c r="B1142" i="5"/>
  <c r="A1142" i="5"/>
  <c r="C1141" i="5"/>
  <c r="B1141" i="5"/>
  <c r="A1141" i="5"/>
  <c r="C1140" i="5"/>
  <c r="B1140" i="5"/>
  <c r="A1140" i="5"/>
  <c r="C1139" i="5"/>
  <c r="B1139" i="5"/>
  <c r="A1139" i="5"/>
  <c r="C1138" i="5"/>
  <c r="B1138" i="5"/>
  <c r="A1138" i="5"/>
  <c r="C1137" i="5"/>
  <c r="B1137" i="5"/>
  <c r="A1137" i="5"/>
  <c r="C1136" i="5"/>
  <c r="B1136" i="5"/>
  <c r="A1136" i="5"/>
  <c r="C1135" i="5"/>
  <c r="B1135" i="5"/>
  <c r="A1135" i="5"/>
  <c r="C1134" i="5"/>
  <c r="B1134" i="5"/>
  <c r="A1134" i="5"/>
  <c r="C1133" i="5"/>
  <c r="B1133" i="5"/>
  <c r="A1133" i="5"/>
  <c r="C1132" i="5"/>
  <c r="B1132" i="5"/>
  <c r="A1132" i="5"/>
  <c r="B1131" i="5"/>
  <c r="A1131" i="5"/>
  <c r="C1130" i="5"/>
  <c r="B1130" i="5"/>
  <c r="A1130" i="5"/>
  <c r="C1129" i="5"/>
  <c r="B1129" i="5"/>
  <c r="A1129" i="5"/>
  <c r="C1128" i="5"/>
  <c r="B1128" i="5"/>
  <c r="A1128" i="5"/>
  <c r="C1127" i="5"/>
  <c r="B1127" i="5"/>
  <c r="A1127" i="5"/>
  <c r="C1126" i="5"/>
  <c r="B1126" i="5"/>
  <c r="A1126" i="5"/>
  <c r="C1125" i="5"/>
  <c r="B1125" i="5"/>
  <c r="A1125" i="5"/>
  <c r="C1124" i="5"/>
  <c r="B1124" i="5"/>
  <c r="A1124" i="5"/>
  <c r="C1123" i="5"/>
  <c r="B1123" i="5"/>
  <c r="A1123" i="5"/>
  <c r="B1122" i="5"/>
  <c r="A1122" i="5"/>
  <c r="C1121" i="5"/>
  <c r="B1121" i="5"/>
  <c r="A1121" i="5"/>
  <c r="B1120" i="5"/>
  <c r="A1120" i="5"/>
  <c r="B1119" i="5"/>
  <c r="A1119" i="5"/>
  <c r="C1118" i="5"/>
  <c r="B1118" i="5"/>
  <c r="A1118" i="5"/>
  <c r="C1117" i="5"/>
  <c r="B1117" i="5"/>
  <c r="A1117" i="5"/>
  <c r="C1116" i="5"/>
  <c r="B1116" i="5"/>
  <c r="A1116" i="5"/>
  <c r="B1115" i="5"/>
  <c r="A1115" i="5"/>
  <c r="C1114" i="5"/>
  <c r="B1114" i="5"/>
  <c r="A1114" i="5"/>
  <c r="C1113" i="5"/>
  <c r="B1113" i="5"/>
  <c r="A1113" i="5"/>
  <c r="C1112" i="5"/>
  <c r="B1112" i="5"/>
  <c r="A1112" i="5"/>
  <c r="C1111" i="5"/>
  <c r="B1111" i="5"/>
  <c r="A1111" i="5"/>
  <c r="B1110" i="5"/>
  <c r="A1110" i="5"/>
  <c r="B1109" i="5"/>
  <c r="A1109" i="5"/>
  <c r="C1108" i="5"/>
  <c r="B1108" i="5"/>
  <c r="A1108" i="5"/>
  <c r="C1107" i="5"/>
  <c r="B1107" i="5"/>
  <c r="A1107" i="5"/>
  <c r="C1106" i="5"/>
  <c r="B1106" i="5"/>
  <c r="A1106" i="5"/>
  <c r="B1105" i="5"/>
  <c r="A1105" i="5"/>
  <c r="C1104" i="5"/>
  <c r="B1104" i="5"/>
  <c r="A1104" i="5"/>
  <c r="C1103" i="5"/>
  <c r="B1103" i="5"/>
  <c r="A1103" i="5"/>
  <c r="C1102" i="5"/>
  <c r="B1102" i="5"/>
  <c r="A1102" i="5"/>
  <c r="C1101" i="5"/>
  <c r="B1101" i="5"/>
  <c r="A1101" i="5"/>
  <c r="C1100" i="5"/>
  <c r="B1100" i="5"/>
  <c r="A1100" i="5"/>
  <c r="C1099" i="5"/>
  <c r="B1099" i="5"/>
  <c r="A1099" i="5"/>
  <c r="B1098" i="5"/>
  <c r="A1098" i="5"/>
  <c r="B1097" i="5"/>
  <c r="A1097" i="5"/>
  <c r="C1096" i="5"/>
  <c r="B1096" i="5"/>
  <c r="A1096" i="5"/>
  <c r="C1095" i="5"/>
  <c r="B1095" i="5"/>
  <c r="A1095" i="5"/>
  <c r="C1094" i="5"/>
  <c r="B1094" i="5"/>
  <c r="A1094" i="5"/>
  <c r="B1093" i="5"/>
  <c r="A1093" i="5"/>
  <c r="C1092" i="5"/>
  <c r="B1092" i="5"/>
  <c r="A1092" i="5"/>
  <c r="C1091" i="5"/>
  <c r="B1091" i="5"/>
  <c r="A1091" i="5"/>
  <c r="C1090" i="5"/>
  <c r="B1090" i="5"/>
  <c r="A1090" i="5"/>
  <c r="C1089" i="5"/>
  <c r="B1089" i="5"/>
  <c r="A1089" i="5"/>
  <c r="C1088" i="5"/>
  <c r="B1088" i="5"/>
  <c r="A1088" i="5"/>
  <c r="C1087" i="5"/>
  <c r="B1087" i="5"/>
  <c r="A1087" i="5"/>
  <c r="C1086" i="5"/>
  <c r="B1086" i="5"/>
  <c r="A1086" i="5"/>
  <c r="C1085" i="5"/>
  <c r="B1085" i="5"/>
  <c r="A1085" i="5"/>
  <c r="C1084" i="5"/>
  <c r="B1084" i="5"/>
  <c r="A1084" i="5"/>
  <c r="C1083" i="5"/>
  <c r="B1083" i="5"/>
  <c r="A1083" i="5"/>
  <c r="C1082" i="5"/>
  <c r="B1082" i="5"/>
  <c r="A1082" i="5"/>
  <c r="C1081" i="5"/>
  <c r="B1081" i="5"/>
  <c r="A1081" i="5"/>
  <c r="C1080" i="5"/>
  <c r="B1080" i="5"/>
  <c r="A1080" i="5"/>
  <c r="C1079" i="5"/>
  <c r="B1079" i="5"/>
  <c r="A1079" i="5"/>
  <c r="C1078" i="5"/>
  <c r="B1078" i="5"/>
  <c r="A1078" i="5"/>
  <c r="C1077" i="5"/>
  <c r="B1077" i="5"/>
  <c r="A1077" i="5"/>
  <c r="C1076" i="5"/>
  <c r="B1076" i="5"/>
  <c r="A1076" i="5"/>
  <c r="C1075" i="5"/>
  <c r="B1075" i="5"/>
  <c r="A1075" i="5"/>
  <c r="C1074" i="5"/>
  <c r="B1074" i="5"/>
  <c r="A1074" i="5"/>
  <c r="C1073" i="5"/>
  <c r="B1073" i="5"/>
  <c r="A1073" i="5"/>
  <c r="C1072" i="5"/>
  <c r="B1072" i="5"/>
  <c r="A1072" i="5"/>
  <c r="C1071" i="5"/>
  <c r="B1071" i="5"/>
  <c r="A1071" i="5"/>
  <c r="C1070" i="5"/>
  <c r="B1070" i="5"/>
  <c r="A1070" i="5"/>
  <c r="C1069" i="5"/>
  <c r="B1069" i="5"/>
  <c r="A1069" i="5"/>
  <c r="C1068" i="5"/>
  <c r="B1068" i="5"/>
  <c r="A1068" i="5"/>
  <c r="B1067" i="5"/>
  <c r="A1067" i="5"/>
  <c r="B1066" i="5"/>
  <c r="A1066" i="5"/>
  <c r="C1065" i="5"/>
  <c r="B1065" i="5"/>
  <c r="A1065" i="5"/>
  <c r="C1064" i="5"/>
  <c r="B1064" i="5"/>
  <c r="A1064" i="5"/>
  <c r="C1063" i="5"/>
  <c r="B1063" i="5"/>
  <c r="A1063" i="5"/>
  <c r="C1062" i="5"/>
  <c r="B1062" i="5"/>
  <c r="A1062" i="5"/>
  <c r="B1061" i="5"/>
  <c r="A1061" i="5"/>
  <c r="C1060" i="5"/>
  <c r="B1060" i="5"/>
  <c r="A1060" i="5"/>
  <c r="C1059" i="5"/>
  <c r="B1059" i="5"/>
  <c r="A1059" i="5"/>
  <c r="C1058" i="5"/>
  <c r="B1058" i="5"/>
  <c r="A1058" i="5"/>
  <c r="C1057" i="5"/>
  <c r="B1057" i="5"/>
  <c r="A1057" i="5"/>
  <c r="C1056" i="5"/>
  <c r="B1056" i="5"/>
  <c r="A1056" i="5"/>
  <c r="C1055" i="5"/>
  <c r="B1055" i="5"/>
  <c r="A1055" i="5"/>
  <c r="B1054" i="5"/>
  <c r="A1054" i="5"/>
  <c r="B1053" i="5"/>
  <c r="A1053" i="5"/>
  <c r="B1052" i="5"/>
  <c r="A1052" i="5"/>
  <c r="B1051" i="5"/>
  <c r="A1051" i="5"/>
  <c r="C1050" i="5"/>
  <c r="B1050" i="5"/>
  <c r="A1050" i="5"/>
  <c r="B1049" i="5"/>
  <c r="A1049" i="5"/>
  <c r="C1048" i="5"/>
  <c r="B1048" i="5"/>
  <c r="A1048" i="5"/>
  <c r="C1047" i="5"/>
  <c r="B1047" i="5"/>
  <c r="A1047" i="5"/>
  <c r="B1046" i="5"/>
  <c r="A1046" i="5"/>
  <c r="B1045" i="5"/>
  <c r="A1045" i="5"/>
  <c r="C1044" i="5"/>
  <c r="B1044" i="5"/>
  <c r="A1044" i="5"/>
  <c r="C1043" i="5"/>
  <c r="B1043" i="5"/>
  <c r="A1043" i="5"/>
  <c r="C1042" i="5"/>
  <c r="B1042" i="5"/>
  <c r="A1042" i="5"/>
  <c r="C1041" i="5"/>
  <c r="B1041" i="5"/>
  <c r="A1041" i="5"/>
  <c r="C1040" i="5"/>
  <c r="B1040" i="5"/>
  <c r="A1040" i="5"/>
  <c r="C1039" i="5"/>
  <c r="B1039" i="5"/>
  <c r="A1039" i="5"/>
  <c r="C1038" i="5"/>
  <c r="B1038" i="5"/>
  <c r="A1038" i="5"/>
  <c r="C1037" i="5"/>
  <c r="B1037" i="5"/>
  <c r="A1037" i="5"/>
  <c r="B1036" i="5"/>
  <c r="A1036" i="5"/>
  <c r="C1035" i="5"/>
  <c r="B1035" i="5"/>
  <c r="A1035" i="5"/>
  <c r="B1034" i="5"/>
  <c r="A1034" i="5"/>
  <c r="C1033" i="5"/>
  <c r="B1033" i="5"/>
  <c r="A1033" i="5"/>
  <c r="C1032" i="5"/>
  <c r="B1032" i="5"/>
  <c r="A1032" i="5"/>
  <c r="C1031" i="5"/>
  <c r="B1031" i="5"/>
  <c r="A1031" i="5"/>
  <c r="C1030" i="5"/>
  <c r="B1030" i="5"/>
  <c r="A1030" i="5"/>
  <c r="C1029" i="5"/>
  <c r="B1029" i="5"/>
  <c r="A1029" i="5"/>
  <c r="C1028" i="5"/>
  <c r="B1028" i="5"/>
  <c r="A1028" i="5"/>
  <c r="C1027" i="5"/>
  <c r="B1027" i="5"/>
  <c r="A1027" i="5"/>
  <c r="B1026" i="5"/>
  <c r="A1026" i="5"/>
  <c r="B1025" i="5"/>
  <c r="A1025" i="5"/>
  <c r="C1024" i="5"/>
  <c r="B1024" i="5"/>
  <c r="A1024" i="5"/>
  <c r="C1023" i="5"/>
  <c r="B1023" i="5"/>
  <c r="A1023" i="5"/>
  <c r="C1022" i="5"/>
  <c r="B1022" i="5"/>
  <c r="A1022" i="5"/>
  <c r="B1021" i="5"/>
  <c r="A1021" i="5"/>
  <c r="C1020" i="5"/>
  <c r="B1020" i="5"/>
  <c r="A1020" i="5"/>
  <c r="C1019" i="5"/>
  <c r="B1019" i="5"/>
  <c r="A1019" i="5"/>
  <c r="C1018" i="5"/>
  <c r="B1018" i="5"/>
  <c r="A1018" i="5"/>
  <c r="C1017" i="5"/>
  <c r="B1017" i="5"/>
  <c r="A1017" i="5"/>
  <c r="C1016" i="5"/>
  <c r="B1016" i="5"/>
  <c r="A1016" i="5"/>
  <c r="C1015" i="5"/>
  <c r="B1015" i="5"/>
  <c r="A1015" i="5"/>
  <c r="A1014" i="5"/>
  <c r="B1013" i="5"/>
  <c r="A1013" i="5"/>
  <c r="C1012" i="5"/>
  <c r="B1012" i="5"/>
  <c r="A1012" i="5"/>
  <c r="B1011" i="5"/>
  <c r="A1011" i="5"/>
  <c r="C1010" i="5"/>
  <c r="B1010" i="5"/>
  <c r="A1010" i="5"/>
  <c r="D1009" i="5"/>
  <c r="C1009" i="5"/>
  <c r="B1009" i="5"/>
  <c r="A1009" i="5"/>
  <c r="D1008" i="5"/>
  <c r="C1008" i="5"/>
  <c r="B1008" i="5"/>
  <c r="A1008" i="5"/>
  <c r="C1007" i="5"/>
  <c r="B1007" i="5"/>
  <c r="A1007" i="5"/>
  <c r="B1006" i="5"/>
  <c r="A1006" i="5"/>
  <c r="C1005" i="5"/>
  <c r="B1005" i="5"/>
  <c r="A1005" i="5"/>
  <c r="B1004" i="5"/>
  <c r="A1004" i="5"/>
  <c r="C1003" i="5"/>
  <c r="B1003" i="5"/>
  <c r="A1003" i="5"/>
  <c r="C1002" i="5"/>
  <c r="B1002" i="5"/>
  <c r="A1002" i="5"/>
  <c r="C1001" i="5"/>
  <c r="B1001" i="5"/>
  <c r="A1001" i="5"/>
  <c r="C1000" i="5"/>
  <c r="B1000" i="5"/>
  <c r="A1000" i="5"/>
  <c r="B999" i="5"/>
  <c r="A999" i="5"/>
  <c r="C998" i="5"/>
  <c r="B998" i="5"/>
  <c r="A998" i="5"/>
  <c r="C997" i="5"/>
  <c r="B997" i="5"/>
  <c r="A997" i="5"/>
  <c r="C996" i="5"/>
  <c r="B996" i="5"/>
  <c r="A996" i="5"/>
  <c r="D995" i="5"/>
  <c r="C995" i="5"/>
  <c r="B995" i="5"/>
  <c r="A995" i="5"/>
  <c r="D994" i="5"/>
  <c r="C994" i="5"/>
  <c r="B994" i="5"/>
  <c r="A994" i="5"/>
  <c r="D993" i="5"/>
  <c r="C993" i="5"/>
  <c r="B993" i="5"/>
  <c r="A993" i="5"/>
  <c r="D992" i="5"/>
  <c r="C992" i="5"/>
  <c r="B992" i="5"/>
  <c r="A992" i="5"/>
  <c r="C991" i="5"/>
  <c r="B991" i="5"/>
  <c r="A991" i="5"/>
  <c r="B990" i="5"/>
  <c r="A990" i="5"/>
  <c r="B989" i="5"/>
  <c r="A989" i="5"/>
  <c r="C988" i="5"/>
  <c r="B988" i="5"/>
  <c r="A988" i="5"/>
  <c r="C987" i="5"/>
  <c r="B987" i="5"/>
  <c r="A987" i="5"/>
  <c r="B986" i="5"/>
  <c r="A986" i="5"/>
  <c r="C985" i="5"/>
  <c r="B985" i="5"/>
  <c r="A985" i="5"/>
  <c r="C984" i="5"/>
  <c r="B984" i="5"/>
  <c r="A984" i="5"/>
  <c r="C983" i="5"/>
  <c r="B983" i="5"/>
  <c r="A983" i="5"/>
  <c r="B982" i="5"/>
  <c r="A982" i="5"/>
  <c r="C981" i="5"/>
  <c r="B981" i="5"/>
  <c r="A981" i="5"/>
  <c r="C980" i="5"/>
  <c r="B980" i="5"/>
  <c r="A980" i="5"/>
  <c r="C979" i="5"/>
  <c r="B979" i="5"/>
  <c r="A979" i="5"/>
  <c r="C978" i="5"/>
  <c r="B978" i="5"/>
  <c r="A978" i="5"/>
  <c r="B977" i="5"/>
  <c r="A977" i="5"/>
  <c r="B976" i="5"/>
  <c r="A976" i="5"/>
  <c r="C975" i="5"/>
  <c r="B975" i="5"/>
  <c r="A975" i="5"/>
  <c r="C974" i="5"/>
  <c r="B974" i="5"/>
  <c r="A974" i="5"/>
  <c r="C973" i="5"/>
  <c r="B973" i="5"/>
  <c r="A973" i="5"/>
  <c r="B972" i="5"/>
  <c r="A972" i="5"/>
  <c r="C971" i="5"/>
  <c r="B971" i="5"/>
  <c r="A971" i="5"/>
  <c r="C970" i="5"/>
  <c r="B970" i="5"/>
  <c r="A970" i="5"/>
  <c r="C969" i="5"/>
  <c r="B969" i="5"/>
  <c r="A969" i="5"/>
  <c r="B968" i="5"/>
  <c r="A968" i="5"/>
  <c r="D967" i="5"/>
  <c r="C967" i="5"/>
  <c r="B967" i="5"/>
  <c r="A967" i="5"/>
  <c r="C966" i="5"/>
  <c r="B966" i="5"/>
  <c r="A966" i="5"/>
  <c r="C965" i="5"/>
  <c r="B965" i="5"/>
  <c r="A965" i="5"/>
  <c r="C964" i="5"/>
  <c r="B964" i="5"/>
  <c r="A964" i="5"/>
  <c r="C963" i="5"/>
  <c r="B963" i="5"/>
  <c r="A963" i="5"/>
  <c r="C962" i="5"/>
  <c r="B962" i="5"/>
  <c r="A962" i="5"/>
  <c r="C961" i="5"/>
  <c r="B961" i="5"/>
  <c r="A961" i="5"/>
  <c r="C960" i="5"/>
  <c r="B960" i="5"/>
  <c r="A960" i="5"/>
  <c r="C959" i="5"/>
  <c r="B959" i="5"/>
  <c r="A959" i="5"/>
  <c r="C958" i="5"/>
  <c r="B958" i="5"/>
  <c r="A958" i="5"/>
  <c r="C957" i="5"/>
  <c r="B957" i="5"/>
  <c r="A957" i="5"/>
  <c r="B956" i="5"/>
  <c r="A956" i="5"/>
  <c r="C955" i="5"/>
  <c r="B955" i="5"/>
  <c r="A955" i="5"/>
  <c r="C954" i="5"/>
  <c r="B954" i="5"/>
  <c r="A954" i="5"/>
  <c r="C953" i="5"/>
  <c r="B953" i="5"/>
  <c r="A953" i="5"/>
  <c r="C952" i="5"/>
  <c r="B952" i="5"/>
  <c r="A952" i="5"/>
  <c r="C951" i="5"/>
  <c r="B951" i="5"/>
  <c r="A951" i="5"/>
  <c r="B950" i="5"/>
  <c r="A950" i="5"/>
  <c r="C949" i="5"/>
  <c r="B949" i="5"/>
  <c r="A949" i="5"/>
  <c r="C948" i="5"/>
  <c r="B948" i="5"/>
  <c r="A948" i="5"/>
  <c r="C947" i="5"/>
  <c r="B947" i="5"/>
  <c r="A947" i="5"/>
  <c r="C946" i="5"/>
  <c r="B946" i="5"/>
  <c r="A946" i="5"/>
  <c r="C945" i="5"/>
  <c r="B945" i="5"/>
  <c r="A945" i="5"/>
  <c r="C944" i="5"/>
  <c r="B944" i="5"/>
  <c r="A944" i="5"/>
  <c r="C943" i="5"/>
  <c r="B943" i="5"/>
  <c r="A943" i="5"/>
  <c r="C942" i="5"/>
  <c r="B942" i="5"/>
  <c r="A942" i="5"/>
  <c r="B941" i="5"/>
  <c r="A941" i="5"/>
  <c r="B940" i="5"/>
  <c r="A940" i="5"/>
  <c r="B939" i="5"/>
  <c r="A939" i="5"/>
  <c r="C938" i="5"/>
  <c r="B938" i="5"/>
  <c r="A938" i="5"/>
  <c r="C937" i="5"/>
  <c r="B937" i="5"/>
  <c r="A937" i="5"/>
  <c r="C936" i="5"/>
  <c r="B936" i="5"/>
  <c r="A936" i="5"/>
  <c r="C935" i="5"/>
  <c r="B935" i="5"/>
  <c r="A935" i="5"/>
  <c r="C934" i="5"/>
  <c r="B934" i="5"/>
  <c r="A934" i="5"/>
  <c r="D933" i="5"/>
  <c r="C933" i="5"/>
  <c r="B933" i="5"/>
  <c r="A933" i="5"/>
  <c r="D932" i="5"/>
  <c r="C932" i="5"/>
  <c r="B932" i="5"/>
  <c r="A932" i="5"/>
  <c r="B931" i="5"/>
  <c r="A931" i="5"/>
  <c r="D930" i="5"/>
  <c r="C930" i="5"/>
  <c r="B930" i="5"/>
  <c r="A930" i="5"/>
  <c r="D929" i="5"/>
  <c r="C929" i="5"/>
  <c r="B929" i="5"/>
  <c r="A929" i="5"/>
  <c r="B928" i="5"/>
  <c r="A928" i="5"/>
  <c r="B927" i="5"/>
  <c r="A927" i="5"/>
  <c r="B926" i="5"/>
  <c r="A926" i="5"/>
  <c r="B925" i="5"/>
  <c r="A925" i="5"/>
  <c r="C924" i="5"/>
  <c r="B924" i="5"/>
  <c r="A924" i="5"/>
  <c r="C923" i="5"/>
  <c r="B923" i="5"/>
  <c r="A923" i="5"/>
  <c r="B922" i="5"/>
  <c r="A922" i="5"/>
  <c r="C921" i="5"/>
  <c r="B921" i="5"/>
  <c r="A921" i="5"/>
  <c r="B920" i="5"/>
  <c r="A920" i="5"/>
  <c r="C919" i="5"/>
  <c r="B919" i="5"/>
  <c r="A919" i="5"/>
  <c r="B918" i="5"/>
  <c r="A918" i="5"/>
  <c r="B917" i="5"/>
  <c r="A917" i="5"/>
  <c r="B916" i="5"/>
  <c r="A916" i="5"/>
  <c r="B915" i="5"/>
  <c r="A915" i="5"/>
  <c r="C914" i="5"/>
  <c r="B914" i="5"/>
  <c r="A914" i="5"/>
  <c r="C913" i="5"/>
  <c r="B913" i="5"/>
  <c r="A913" i="5"/>
  <c r="C912" i="5"/>
  <c r="B912" i="5"/>
  <c r="A912" i="5"/>
  <c r="C911" i="5"/>
  <c r="B911" i="5"/>
  <c r="A911" i="5"/>
  <c r="C910" i="5"/>
  <c r="B910" i="5"/>
  <c r="A910" i="5"/>
  <c r="C909" i="5"/>
  <c r="B909" i="5"/>
  <c r="A909" i="5"/>
  <c r="C908" i="5"/>
  <c r="B908" i="5"/>
  <c r="A908" i="5"/>
  <c r="A907" i="5"/>
  <c r="C906" i="5"/>
  <c r="B906" i="5"/>
  <c r="A906" i="5"/>
  <c r="C905" i="5"/>
  <c r="B905" i="5"/>
  <c r="A905" i="5"/>
  <c r="C904" i="5"/>
  <c r="B904" i="5"/>
  <c r="A904" i="5"/>
  <c r="C903" i="5"/>
  <c r="B903" i="5"/>
  <c r="A903" i="5"/>
  <c r="C902" i="5"/>
  <c r="B902" i="5"/>
  <c r="A902" i="5"/>
  <c r="B901" i="5"/>
  <c r="A901" i="5"/>
  <c r="C900" i="5"/>
  <c r="B900" i="5"/>
  <c r="A900" i="5"/>
  <c r="C899" i="5"/>
  <c r="B899" i="5"/>
  <c r="A899" i="5"/>
  <c r="B898" i="5"/>
  <c r="A898" i="5"/>
  <c r="C897" i="5"/>
  <c r="B897" i="5"/>
  <c r="A897" i="5"/>
  <c r="C896" i="5"/>
  <c r="B896" i="5"/>
  <c r="A896" i="5"/>
  <c r="C895" i="5"/>
  <c r="B895" i="5"/>
  <c r="A895" i="5"/>
  <c r="C894" i="5"/>
  <c r="B894" i="5"/>
  <c r="A894" i="5"/>
  <c r="C893" i="5"/>
  <c r="B893" i="5"/>
  <c r="A893" i="5"/>
  <c r="B892" i="5"/>
  <c r="A892" i="5"/>
  <c r="C891" i="5"/>
  <c r="B891" i="5"/>
  <c r="A891" i="5"/>
  <c r="C890" i="5"/>
  <c r="B890" i="5"/>
  <c r="A890" i="5"/>
  <c r="C889" i="5"/>
  <c r="B889" i="5"/>
  <c r="A889" i="5"/>
  <c r="C888" i="5"/>
  <c r="B888" i="5"/>
  <c r="A888" i="5"/>
  <c r="C887" i="5"/>
  <c r="B887" i="5"/>
  <c r="A887" i="5"/>
  <c r="C886" i="5"/>
  <c r="B886" i="5"/>
  <c r="A886" i="5"/>
  <c r="C885" i="5"/>
  <c r="B885" i="5"/>
  <c r="A885" i="5"/>
  <c r="C884" i="5"/>
  <c r="B884" i="5"/>
  <c r="A884" i="5"/>
  <c r="C883" i="5"/>
  <c r="B883" i="5"/>
  <c r="A883" i="5"/>
  <c r="C882" i="5"/>
  <c r="B882" i="5"/>
  <c r="A882" i="5"/>
  <c r="C881" i="5"/>
  <c r="B881" i="5"/>
  <c r="A881" i="5"/>
  <c r="C880" i="5"/>
  <c r="B880" i="5"/>
  <c r="A880" i="5"/>
  <c r="B879" i="5"/>
  <c r="A879" i="5"/>
  <c r="B878" i="5"/>
  <c r="A878" i="5"/>
  <c r="C877" i="5"/>
  <c r="B877" i="5"/>
  <c r="A877" i="5"/>
  <c r="C876" i="5"/>
  <c r="B876" i="5"/>
  <c r="A876" i="5"/>
  <c r="C875" i="5"/>
  <c r="B875" i="5"/>
  <c r="A875" i="5"/>
  <c r="B874" i="5"/>
  <c r="A874" i="5"/>
  <c r="B873" i="5"/>
  <c r="A873" i="5"/>
  <c r="C872" i="5"/>
  <c r="B872" i="5"/>
  <c r="A872" i="5"/>
  <c r="C871" i="5"/>
  <c r="B871" i="5"/>
  <c r="A871" i="5"/>
  <c r="C870" i="5"/>
  <c r="B870" i="5"/>
  <c r="A870" i="5"/>
  <c r="B869" i="5"/>
  <c r="A869" i="5"/>
  <c r="C868" i="5"/>
  <c r="B868" i="5"/>
  <c r="A868" i="5"/>
  <c r="C867" i="5"/>
  <c r="B867" i="5"/>
  <c r="A867" i="5"/>
  <c r="C866" i="5"/>
  <c r="B866" i="5"/>
  <c r="A866" i="5"/>
  <c r="C865" i="5"/>
  <c r="B865" i="5"/>
  <c r="A865" i="5"/>
  <c r="C864" i="5"/>
  <c r="B864" i="5"/>
  <c r="A864" i="5"/>
  <c r="C863" i="5"/>
  <c r="B863" i="5"/>
  <c r="A863" i="5"/>
  <c r="C862" i="5"/>
  <c r="B862" i="5"/>
  <c r="A862" i="5"/>
  <c r="B861" i="5"/>
  <c r="A861" i="5"/>
  <c r="C860" i="5"/>
  <c r="B860" i="5"/>
  <c r="A860" i="5"/>
  <c r="C859" i="5"/>
  <c r="B859" i="5"/>
  <c r="A859" i="5"/>
  <c r="D858" i="5"/>
  <c r="C858" i="5"/>
  <c r="B858" i="5"/>
  <c r="A858" i="5"/>
  <c r="D857" i="5"/>
  <c r="C857" i="5"/>
  <c r="B857" i="5"/>
  <c r="A857" i="5"/>
  <c r="C856" i="5"/>
  <c r="B856" i="5"/>
  <c r="A856" i="5"/>
  <c r="C855" i="5"/>
  <c r="B855" i="5"/>
  <c r="A855" i="5"/>
  <c r="B854" i="5"/>
  <c r="A854" i="5"/>
  <c r="C853" i="5"/>
  <c r="B853" i="5"/>
  <c r="A853" i="5"/>
  <c r="C852" i="5"/>
  <c r="B852" i="5"/>
  <c r="A852" i="5"/>
  <c r="C851" i="5"/>
  <c r="B851" i="5"/>
  <c r="A851" i="5"/>
  <c r="B850" i="5"/>
  <c r="A850" i="5"/>
  <c r="C849" i="5"/>
  <c r="B849" i="5"/>
  <c r="A849" i="5"/>
  <c r="B848" i="5"/>
  <c r="A848" i="5"/>
  <c r="C847" i="5"/>
  <c r="B847" i="5"/>
  <c r="A847" i="5"/>
  <c r="C846" i="5"/>
  <c r="B846" i="5"/>
  <c r="A846" i="5"/>
  <c r="D845" i="5"/>
  <c r="B845" i="5"/>
  <c r="A845" i="5"/>
  <c r="C844" i="5"/>
  <c r="B844" i="5"/>
  <c r="A844" i="5"/>
  <c r="C843" i="5"/>
  <c r="B843" i="5"/>
  <c r="A843" i="5"/>
  <c r="C842" i="5"/>
  <c r="B842" i="5"/>
  <c r="A842" i="5"/>
  <c r="C841" i="5"/>
  <c r="B841" i="5"/>
  <c r="A841" i="5"/>
  <c r="C840" i="5"/>
  <c r="B840" i="5"/>
  <c r="A840" i="5"/>
  <c r="C839" i="5"/>
  <c r="B839" i="5"/>
  <c r="A839" i="5"/>
  <c r="C838" i="5"/>
  <c r="B838" i="5"/>
  <c r="A838" i="5"/>
  <c r="C837" i="5"/>
  <c r="B837" i="5"/>
  <c r="A837" i="5"/>
  <c r="C836" i="5"/>
  <c r="B836" i="5"/>
  <c r="A836" i="5"/>
  <c r="C835" i="5"/>
  <c r="B835" i="5"/>
  <c r="A835" i="5"/>
  <c r="C834" i="5"/>
  <c r="B834" i="5"/>
  <c r="A834" i="5"/>
  <c r="C833" i="5"/>
  <c r="B833" i="5"/>
  <c r="A833" i="5"/>
  <c r="C832" i="5"/>
  <c r="B832" i="5"/>
  <c r="A832" i="5"/>
  <c r="C831" i="5"/>
  <c r="B831" i="5"/>
  <c r="A831" i="5"/>
  <c r="C830" i="5"/>
  <c r="B830" i="5"/>
  <c r="A830" i="5"/>
  <c r="C829" i="5"/>
  <c r="B829" i="5"/>
  <c r="A829" i="5"/>
  <c r="B828" i="5"/>
  <c r="A828" i="5"/>
  <c r="C827" i="5"/>
  <c r="B827" i="5"/>
  <c r="A827" i="5"/>
  <c r="B826" i="5"/>
  <c r="A826" i="5"/>
  <c r="C825" i="5"/>
  <c r="B825" i="5"/>
  <c r="A825" i="5"/>
  <c r="C824" i="5"/>
  <c r="B824" i="5"/>
  <c r="A824" i="5"/>
  <c r="C823" i="5"/>
  <c r="B823" i="5"/>
  <c r="A823" i="5"/>
  <c r="C822" i="5"/>
  <c r="B822" i="5"/>
  <c r="A822" i="5"/>
  <c r="C821" i="5"/>
  <c r="B821" i="5"/>
  <c r="A821" i="5"/>
  <c r="C820" i="5"/>
  <c r="B820" i="5"/>
  <c r="A820" i="5"/>
  <c r="C819" i="5"/>
  <c r="B819" i="5"/>
  <c r="A819" i="5"/>
  <c r="C818" i="5"/>
  <c r="B818" i="5"/>
  <c r="A818" i="5"/>
  <c r="C817" i="5"/>
  <c r="B817" i="5"/>
  <c r="A817" i="5"/>
  <c r="C816" i="5"/>
  <c r="B816" i="5"/>
  <c r="A816" i="5"/>
  <c r="C815" i="5"/>
  <c r="B815" i="5"/>
  <c r="A815" i="5"/>
  <c r="B814" i="5"/>
  <c r="A814" i="5"/>
  <c r="C813" i="5"/>
  <c r="B813" i="5"/>
  <c r="A813" i="5"/>
  <c r="C812" i="5"/>
  <c r="B812" i="5"/>
  <c r="A812" i="5"/>
  <c r="C811" i="5"/>
  <c r="B811" i="5"/>
  <c r="A811" i="5"/>
  <c r="C810" i="5"/>
  <c r="B810" i="5"/>
  <c r="A810" i="5"/>
  <c r="C809" i="5"/>
  <c r="B809" i="5"/>
  <c r="A809" i="5"/>
  <c r="C808" i="5"/>
  <c r="B808" i="5"/>
  <c r="A808" i="5"/>
  <c r="C807" i="5"/>
  <c r="B807" i="5"/>
  <c r="A807" i="5"/>
  <c r="C806" i="5"/>
  <c r="B806" i="5"/>
  <c r="A806" i="5"/>
  <c r="C805" i="5"/>
  <c r="B805" i="5"/>
  <c r="A805" i="5"/>
  <c r="C804" i="5"/>
  <c r="B804" i="5"/>
  <c r="A804" i="5"/>
  <c r="B803" i="5"/>
  <c r="A803" i="5"/>
  <c r="C802" i="5"/>
  <c r="B802" i="5"/>
  <c r="A802" i="5"/>
  <c r="C801" i="5"/>
  <c r="B801" i="5"/>
  <c r="A801" i="5"/>
  <c r="B800" i="5"/>
  <c r="A800" i="5"/>
  <c r="C799" i="5"/>
  <c r="B799" i="5"/>
  <c r="A799" i="5"/>
  <c r="C798" i="5"/>
  <c r="B798" i="5"/>
  <c r="A798" i="5"/>
  <c r="C797" i="5"/>
  <c r="B797" i="5"/>
  <c r="A797" i="5"/>
  <c r="B796" i="5"/>
  <c r="A796" i="5"/>
  <c r="C795" i="5"/>
  <c r="B795" i="5"/>
  <c r="A795" i="5"/>
  <c r="B794" i="5"/>
  <c r="A794" i="5"/>
  <c r="C793" i="5"/>
  <c r="B793" i="5"/>
  <c r="A793" i="5"/>
  <c r="B792" i="5"/>
  <c r="A792" i="5"/>
  <c r="C791" i="5"/>
  <c r="B791" i="5"/>
  <c r="A791" i="5"/>
  <c r="C790" i="5"/>
  <c r="B790" i="5"/>
  <c r="A790" i="5"/>
  <c r="C789" i="5"/>
  <c r="B789" i="5"/>
  <c r="A789" i="5"/>
  <c r="C788" i="5"/>
  <c r="B788" i="5"/>
  <c r="A788" i="5"/>
  <c r="B787" i="5"/>
  <c r="A787" i="5"/>
  <c r="B786" i="5"/>
  <c r="A786" i="5"/>
  <c r="C785" i="5"/>
  <c r="B785" i="5"/>
  <c r="A785" i="5"/>
  <c r="B784" i="5"/>
  <c r="A784" i="5"/>
  <c r="C783" i="5"/>
  <c r="B783" i="5"/>
  <c r="A783" i="5"/>
  <c r="B782" i="5"/>
  <c r="A782" i="5"/>
  <c r="C781" i="5"/>
  <c r="B781" i="5"/>
  <c r="A781" i="5"/>
  <c r="C780" i="5"/>
  <c r="B780" i="5"/>
  <c r="A780" i="5"/>
  <c r="C779" i="5"/>
  <c r="B779" i="5"/>
  <c r="A779" i="5"/>
  <c r="B778" i="5"/>
  <c r="A778" i="5"/>
  <c r="C777" i="5"/>
  <c r="B777" i="5"/>
  <c r="A777" i="5"/>
  <c r="D776" i="5"/>
  <c r="B776" i="5"/>
  <c r="A776" i="5"/>
  <c r="C775" i="5"/>
  <c r="B775" i="5"/>
  <c r="A775" i="5"/>
  <c r="B774" i="5"/>
  <c r="A774" i="5"/>
  <c r="C773" i="5"/>
  <c r="B773" i="5"/>
  <c r="A773" i="5"/>
  <c r="C772" i="5"/>
  <c r="B772" i="5"/>
  <c r="A772" i="5"/>
  <c r="C771" i="5"/>
  <c r="B771" i="5"/>
  <c r="A771" i="5"/>
  <c r="B770" i="5"/>
  <c r="A770" i="5"/>
  <c r="C769" i="5"/>
  <c r="B769" i="5"/>
  <c r="A769" i="5"/>
  <c r="C768" i="5"/>
  <c r="B768" i="5"/>
  <c r="A768" i="5"/>
  <c r="C767" i="5"/>
  <c r="B767" i="5"/>
  <c r="A767" i="5"/>
  <c r="C766" i="5"/>
  <c r="B766" i="5"/>
  <c r="A766" i="5"/>
  <c r="B765" i="5"/>
  <c r="A765" i="5"/>
  <c r="C764" i="5"/>
  <c r="B764" i="5"/>
  <c r="A764" i="5"/>
  <c r="C763" i="5"/>
  <c r="B763" i="5"/>
  <c r="A763" i="5"/>
  <c r="C762" i="5"/>
  <c r="B762" i="5"/>
  <c r="A762" i="5"/>
  <c r="B761" i="5"/>
  <c r="A761" i="5"/>
  <c r="B760" i="5"/>
  <c r="A760" i="5"/>
  <c r="C759" i="5"/>
  <c r="B759" i="5"/>
  <c r="A759" i="5"/>
  <c r="C758" i="5"/>
  <c r="B758" i="5"/>
  <c r="A758" i="5"/>
  <c r="C757" i="5"/>
  <c r="B757" i="5"/>
  <c r="A757" i="5"/>
  <c r="C756" i="5"/>
  <c r="B756" i="5"/>
  <c r="A756" i="5"/>
  <c r="C755" i="5"/>
  <c r="B755" i="5"/>
  <c r="A755" i="5"/>
  <c r="C754" i="5"/>
  <c r="B754" i="5"/>
  <c r="A754" i="5"/>
  <c r="C753" i="5"/>
  <c r="B753" i="5"/>
  <c r="A753" i="5"/>
  <c r="C752" i="5"/>
  <c r="B752" i="5"/>
  <c r="A752" i="5"/>
  <c r="C751" i="5"/>
  <c r="B751" i="5"/>
  <c r="A751" i="5"/>
  <c r="C750" i="5"/>
  <c r="B750" i="5"/>
  <c r="A750" i="5"/>
  <c r="C749" i="5"/>
  <c r="B749" i="5"/>
  <c r="A749" i="5"/>
  <c r="C748" i="5"/>
  <c r="B748" i="5"/>
  <c r="A748" i="5"/>
  <c r="C747" i="5"/>
  <c r="B747" i="5"/>
  <c r="A747" i="5"/>
  <c r="C746" i="5"/>
  <c r="B746" i="5"/>
  <c r="A746" i="5"/>
  <c r="B745" i="5"/>
  <c r="A745" i="5"/>
  <c r="C744" i="5"/>
  <c r="B744" i="5"/>
  <c r="A744" i="5"/>
  <c r="C743" i="5"/>
  <c r="B743" i="5"/>
  <c r="A743" i="5"/>
  <c r="C742" i="5"/>
  <c r="B742" i="5"/>
  <c r="A742" i="5"/>
  <c r="C741" i="5"/>
  <c r="B741" i="5"/>
  <c r="A741" i="5"/>
  <c r="C740" i="5"/>
  <c r="B740" i="5"/>
  <c r="A740" i="5"/>
  <c r="B739" i="5"/>
  <c r="A739" i="5"/>
  <c r="C738" i="5"/>
  <c r="B738" i="5"/>
  <c r="A738" i="5"/>
  <c r="B737" i="5"/>
  <c r="A737" i="5"/>
  <c r="C736" i="5"/>
  <c r="B736" i="5"/>
  <c r="A736" i="5"/>
  <c r="C735" i="5"/>
  <c r="B735" i="5"/>
  <c r="A735" i="5"/>
  <c r="C734" i="5"/>
  <c r="B734" i="5"/>
  <c r="A734" i="5"/>
  <c r="C733" i="5"/>
  <c r="B733" i="5"/>
  <c r="A733" i="5"/>
  <c r="C732" i="5"/>
  <c r="B732" i="5"/>
  <c r="A732" i="5"/>
  <c r="C731" i="5"/>
  <c r="B731" i="5"/>
  <c r="A731" i="5"/>
  <c r="C730" i="5"/>
  <c r="B730" i="5"/>
  <c r="A730" i="5"/>
  <c r="B729" i="5"/>
  <c r="A729" i="5"/>
  <c r="C728" i="5"/>
  <c r="B728" i="5"/>
  <c r="A728" i="5"/>
  <c r="C727" i="5"/>
  <c r="B727" i="5"/>
  <c r="A727" i="5"/>
  <c r="C726" i="5"/>
  <c r="B726" i="5"/>
  <c r="A726" i="5"/>
  <c r="C725" i="5"/>
  <c r="B725" i="5"/>
  <c r="A725" i="5"/>
  <c r="C724" i="5"/>
  <c r="B724" i="5"/>
  <c r="A724" i="5"/>
  <c r="C723" i="5"/>
  <c r="B723" i="5"/>
  <c r="A723" i="5"/>
  <c r="C722" i="5"/>
  <c r="B722" i="5"/>
  <c r="A722" i="5"/>
  <c r="C721" i="5"/>
  <c r="B721" i="5"/>
  <c r="A721" i="5"/>
  <c r="C720" i="5"/>
  <c r="B720" i="5"/>
  <c r="A720" i="5"/>
  <c r="C719" i="5"/>
  <c r="B719" i="5"/>
  <c r="A719" i="5"/>
  <c r="C718" i="5"/>
  <c r="B718" i="5"/>
  <c r="A718" i="5"/>
  <c r="C717" i="5"/>
  <c r="B717" i="5"/>
  <c r="A717" i="5"/>
  <c r="C716" i="5"/>
  <c r="B716" i="5"/>
  <c r="A716" i="5"/>
  <c r="C715" i="5"/>
  <c r="B715" i="5"/>
  <c r="A715" i="5"/>
  <c r="B714" i="5"/>
  <c r="A714" i="5"/>
  <c r="B713" i="5"/>
  <c r="A713" i="5"/>
  <c r="C712" i="5"/>
  <c r="B712" i="5"/>
  <c r="A712" i="5"/>
  <c r="C711" i="5"/>
  <c r="B711" i="5"/>
  <c r="A711" i="5"/>
  <c r="C710" i="5"/>
  <c r="B710" i="5"/>
  <c r="A710" i="5"/>
  <c r="C709" i="5"/>
  <c r="B709" i="5"/>
  <c r="A709" i="5"/>
  <c r="C708" i="5"/>
  <c r="B708" i="5"/>
  <c r="A708" i="5"/>
  <c r="C707" i="5"/>
  <c r="B707" i="5"/>
  <c r="A707" i="5"/>
  <c r="C706" i="5"/>
  <c r="B706" i="5"/>
  <c r="A706" i="5"/>
  <c r="C705" i="5"/>
  <c r="B705" i="5"/>
  <c r="A705" i="5"/>
  <c r="C704" i="5"/>
  <c r="B704" i="5"/>
  <c r="A704" i="5"/>
  <c r="D703" i="5"/>
  <c r="B703" i="5"/>
  <c r="A703" i="5"/>
  <c r="B702" i="5"/>
  <c r="A702" i="5"/>
  <c r="C701" i="5"/>
  <c r="B701" i="5"/>
  <c r="A701" i="5"/>
  <c r="C700" i="5"/>
  <c r="B700" i="5"/>
  <c r="A700" i="5"/>
  <c r="B699" i="5"/>
  <c r="A699" i="5"/>
  <c r="C698" i="5"/>
  <c r="B698" i="5"/>
  <c r="A698" i="5"/>
  <c r="C697" i="5"/>
  <c r="B697" i="5"/>
  <c r="A697" i="5"/>
  <c r="B696" i="5"/>
  <c r="A696" i="5"/>
  <c r="B695" i="5"/>
  <c r="A695" i="5"/>
  <c r="D694" i="5"/>
  <c r="C694" i="5"/>
  <c r="B694" i="5"/>
  <c r="A694" i="5"/>
  <c r="C693" i="5"/>
  <c r="B693" i="5"/>
  <c r="A693" i="5"/>
  <c r="C692" i="5"/>
  <c r="B692" i="5"/>
  <c r="A692" i="5"/>
  <c r="C691" i="5"/>
  <c r="B691" i="5"/>
  <c r="A691" i="5"/>
  <c r="B690" i="5"/>
  <c r="A690" i="5"/>
  <c r="B689" i="5"/>
  <c r="A689" i="5"/>
  <c r="B688" i="5"/>
  <c r="A688" i="5"/>
  <c r="B687" i="5"/>
  <c r="A687" i="5"/>
  <c r="B686" i="5"/>
  <c r="A686" i="5"/>
  <c r="B685" i="5"/>
  <c r="A685" i="5"/>
  <c r="B684" i="5"/>
  <c r="A684" i="5"/>
  <c r="B683" i="5"/>
  <c r="A683" i="5"/>
  <c r="D682" i="5"/>
  <c r="C682" i="5"/>
  <c r="B682" i="5"/>
  <c r="A682" i="5"/>
  <c r="B681" i="5"/>
  <c r="A681" i="5"/>
  <c r="B680" i="5"/>
  <c r="A680" i="5"/>
  <c r="D679" i="5"/>
  <c r="C679" i="5"/>
  <c r="B679" i="5"/>
  <c r="A679" i="5"/>
  <c r="B678" i="5"/>
  <c r="A678" i="5"/>
  <c r="D677" i="5"/>
  <c r="B677" i="5"/>
  <c r="A677" i="5"/>
  <c r="B676" i="5"/>
  <c r="A676" i="5"/>
  <c r="C675" i="5"/>
  <c r="B675" i="5"/>
  <c r="A675" i="5"/>
  <c r="B674" i="5"/>
  <c r="A674" i="5"/>
  <c r="C673" i="5"/>
  <c r="B673" i="5"/>
  <c r="A673" i="5"/>
  <c r="B672" i="5"/>
  <c r="A672" i="5"/>
  <c r="C671" i="5"/>
  <c r="B671" i="5"/>
  <c r="A671" i="5"/>
  <c r="B670" i="5"/>
  <c r="A670" i="5"/>
  <c r="B669" i="5"/>
  <c r="A669" i="5"/>
  <c r="B668" i="5"/>
  <c r="A668" i="5"/>
  <c r="C667" i="5"/>
  <c r="B667" i="5"/>
  <c r="A667" i="5"/>
  <c r="B666" i="5"/>
  <c r="A666" i="5"/>
  <c r="C665" i="5"/>
  <c r="B665" i="5"/>
  <c r="A665" i="5"/>
  <c r="C664" i="5"/>
  <c r="B664" i="5"/>
  <c r="A664" i="5"/>
  <c r="C663" i="5"/>
  <c r="B663" i="5"/>
  <c r="A663" i="5"/>
  <c r="B662" i="5"/>
  <c r="A662" i="5"/>
  <c r="C661" i="5"/>
  <c r="B661" i="5"/>
  <c r="A661" i="5"/>
  <c r="B660" i="5"/>
  <c r="A660" i="5"/>
  <c r="B659" i="5"/>
  <c r="A659" i="5"/>
  <c r="B658" i="5"/>
  <c r="A658" i="5"/>
  <c r="B657" i="5"/>
  <c r="A657" i="5"/>
  <c r="B656" i="5"/>
  <c r="A656" i="5"/>
  <c r="B655" i="5"/>
  <c r="A655" i="5"/>
  <c r="B654" i="5"/>
  <c r="A654" i="5"/>
  <c r="A653" i="5"/>
  <c r="A652" i="5"/>
  <c r="B651" i="5"/>
  <c r="A651" i="5"/>
  <c r="B650" i="5"/>
  <c r="A650" i="5"/>
  <c r="D649" i="5"/>
  <c r="C649" i="5"/>
  <c r="B649" i="5"/>
  <c r="A649" i="5"/>
  <c r="B648" i="5"/>
  <c r="A648" i="5"/>
  <c r="B647" i="5"/>
  <c r="A647" i="5"/>
  <c r="A646" i="5"/>
  <c r="A645" i="5"/>
  <c r="A644" i="5"/>
  <c r="A643" i="5"/>
  <c r="A642" i="5"/>
  <c r="A641" i="5"/>
  <c r="C640" i="5"/>
  <c r="B640" i="5"/>
  <c r="A640" i="5"/>
  <c r="A639" i="5"/>
  <c r="A638" i="5"/>
  <c r="A637" i="5"/>
  <c r="B636" i="5"/>
  <c r="A636" i="5"/>
  <c r="B635" i="5"/>
  <c r="A635" i="5"/>
  <c r="C634" i="5"/>
  <c r="B634" i="5"/>
  <c r="A634" i="5"/>
  <c r="B633" i="5"/>
  <c r="A633" i="5"/>
  <c r="A632" i="5"/>
  <c r="B631" i="5"/>
  <c r="A631" i="5"/>
  <c r="A630" i="5"/>
  <c r="B629" i="5"/>
  <c r="A629" i="5"/>
  <c r="B628" i="5"/>
  <c r="A628" i="5"/>
  <c r="B627" i="5"/>
  <c r="A627" i="5"/>
  <c r="C626" i="5"/>
  <c r="B626" i="5"/>
  <c r="A626" i="5"/>
  <c r="B625" i="5"/>
  <c r="A625" i="5"/>
  <c r="B624" i="5"/>
  <c r="A624" i="5"/>
  <c r="A623" i="5"/>
  <c r="B622" i="5"/>
  <c r="A622" i="5"/>
  <c r="C621" i="5"/>
  <c r="B621" i="5"/>
  <c r="A621" i="5"/>
  <c r="D620" i="5"/>
  <c r="C620" i="5"/>
  <c r="B620" i="5"/>
  <c r="A620" i="5"/>
  <c r="D619" i="5"/>
  <c r="B619" i="5"/>
  <c r="A619" i="5"/>
  <c r="C618" i="5"/>
  <c r="B618" i="5"/>
  <c r="A618" i="5"/>
  <c r="B617" i="5"/>
  <c r="A617" i="5"/>
  <c r="B616" i="5"/>
  <c r="A616" i="5"/>
  <c r="A615" i="5"/>
  <c r="B614" i="5"/>
  <c r="A614" i="5"/>
  <c r="B613" i="5"/>
  <c r="A613" i="5"/>
  <c r="B612" i="5"/>
  <c r="A612" i="5"/>
  <c r="B611" i="5"/>
  <c r="A611" i="5"/>
  <c r="B610" i="5"/>
  <c r="A610" i="5"/>
  <c r="B609" i="5"/>
  <c r="A609" i="5"/>
  <c r="B608" i="5"/>
  <c r="A608" i="5"/>
  <c r="B607" i="5"/>
  <c r="A607" i="5"/>
  <c r="B606" i="5"/>
  <c r="A606" i="5"/>
  <c r="B605" i="5"/>
  <c r="A605" i="5"/>
  <c r="B604" i="5"/>
  <c r="A604" i="5"/>
  <c r="B603" i="5"/>
  <c r="A603" i="5"/>
  <c r="B602" i="5"/>
  <c r="A602" i="5"/>
  <c r="B601" i="5"/>
  <c r="A601" i="5"/>
  <c r="D600" i="5"/>
  <c r="B600" i="5"/>
  <c r="A600" i="5"/>
  <c r="C599" i="5"/>
  <c r="B599" i="5"/>
  <c r="A599" i="5"/>
  <c r="B598" i="5"/>
  <c r="A598" i="5"/>
  <c r="B597" i="5"/>
  <c r="A597" i="5"/>
  <c r="D596" i="5"/>
  <c r="B596" i="5"/>
  <c r="A596" i="5"/>
  <c r="B595" i="5"/>
  <c r="A595" i="5"/>
  <c r="C594" i="5"/>
  <c r="B594" i="5"/>
  <c r="A594" i="5"/>
  <c r="D593" i="5"/>
  <c r="B593" i="5"/>
  <c r="A593" i="5"/>
  <c r="B592" i="5"/>
  <c r="A592" i="5"/>
  <c r="B591" i="5"/>
  <c r="A591" i="5"/>
  <c r="B590" i="5"/>
  <c r="A590" i="5"/>
  <c r="A589" i="5"/>
  <c r="B588" i="5"/>
  <c r="A588" i="5"/>
  <c r="B587" i="5"/>
  <c r="A587" i="5"/>
  <c r="B586" i="5"/>
  <c r="A586" i="5"/>
  <c r="D585" i="5"/>
  <c r="C585" i="5"/>
  <c r="B585" i="5"/>
  <c r="A585" i="5"/>
  <c r="B584" i="5"/>
  <c r="A584" i="5"/>
  <c r="A583" i="5"/>
  <c r="B582" i="5"/>
  <c r="A582" i="5"/>
  <c r="D581" i="5"/>
  <c r="C581" i="5"/>
  <c r="B581" i="5"/>
  <c r="A581" i="5"/>
  <c r="B580" i="5"/>
  <c r="A580" i="5"/>
  <c r="B579" i="5"/>
  <c r="A579" i="5"/>
  <c r="B578" i="5"/>
  <c r="A578" i="5"/>
  <c r="C577" i="5"/>
  <c r="B577" i="5"/>
  <c r="A577" i="5"/>
  <c r="A576" i="5"/>
  <c r="A575" i="5"/>
  <c r="A574" i="5"/>
  <c r="B573" i="5"/>
  <c r="A573" i="5"/>
  <c r="B572" i="5"/>
  <c r="A572" i="5"/>
  <c r="B571" i="5"/>
  <c r="A571" i="5"/>
  <c r="D570" i="5"/>
  <c r="C570" i="5"/>
  <c r="B570" i="5"/>
  <c r="A570" i="5"/>
  <c r="A569" i="5"/>
  <c r="B568" i="5"/>
  <c r="A568" i="5"/>
  <c r="A567" i="5"/>
  <c r="B566" i="5"/>
  <c r="A566" i="5"/>
  <c r="A565" i="5"/>
  <c r="B564" i="5"/>
  <c r="A564" i="5"/>
  <c r="B563" i="5"/>
  <c r="A563" i="5"/>
  <c r="A562" i="5"/>
  <c r="B561" i="5"/>
  <c r="A561" i="5"/>
  <c r="C560" i="5"/>
  <c r="B560" i="5"/>
  <c r="A560" i="5"/>
  <c r="B559" i="5"/>
  <c r="A559" i="5"/>
  <c r="B558" i="5"/>
  <c r="A558" i="5"/>
  <c r="A557" i="5"/>
  <c r="C556" i="5"/>
  <c r="B556" i="5"/>
  <c r="A556" i="5"/>
  <c r="B555" i="5"/>
  <c r="A555" i="5"/>
  <c r="B554" i="5"/>
  <c r="A554" i="5"/>
  <c r="B553" i="5"/>
  <c r="A553" i="5"/>
  <c r="B552" i="5"/>
  <c r="A552" i="5"/>
  <c r="A551" i="5"/>
  <c r="B550" i="5"/>
  <c r="A550" i="5"/>
  <c r="B549" i="5"/>
  <c r="A549" i="5"/>
  <c r="B548" i="5"/>
  <c r="A548" i="5"/>
  <c r="B547" i="5"/>
  <c r="A547" i="5"/>
  <c r="B546" i="5"/>
  <c r="A546" i="5"/>
  <c r="B545" i="5"/>
  <c r="A545" i="5"/>
  <c r="B544" i="5"/>
  <c r="A544" i="5"/>
  <c r="B543" i="5"/>
  <c r="A543" i="5"/>
  <c r="C542" i="5"/>
  <c r="B542" i="5"/>
  <c r="A542" i="5"/>
  <c r="B541" i="5"/>
  <c r="A541" i="5"/>
  <c r="B540" i="5"/>
  <c r="A540" i="5"/>
  <c r="B539" i="5"/>
  <c r="A539" i="5"/>
  <c r="B538" i="5"/>
  <c r="A538" i="5"/>
  <c r="B537" i="5"/>
  <c r="A537" i="5"/>
  <c r="B536" i="5"/>
  <c r="A536" i="5"/>
  <c r="B535" i="5"/>
  <c r="A535" i="5"/>
  <c r="B534" i="5"/>
  <c r="A534" i="5"/>
  <c r="B533" i="5"/>
  <c r="A533" i="5"/>
  <c r="B532" i="5"/>
  <c r="A532" i="5"/>
  <c r="B531" i="5"/>
  <c r="A531" i="5"/>
  <c r="B530" i="5"/>
  <c r="A530" i="5"/>
  <c r="B529" i="5"/>
  <c r="A529" i="5"/>
  <c r="B528" i="5"/>
  <c r="A528" i="5"/>
  <c r="B527" i="5"/>
  <c r="A527" i="5"/>
  <c r="B526" i="5"/>
  <c r="A526" i="5"/>
  <c r="B525" i="5"/>
  <c r="A525" i="5"/>
  <c r="C524" i="5"/>
  <c r="B524" i="5"/>
  <c r="A524" i="5"/>
  <c r="B523" i="5"/>
  <c r="A523" i="5"/>
  <c r="B522" i="5"/>
  <c r="A522" i="5"/>
  <c r="B521" i="5"/>
  <c r="A521" i="5"/>
  <c r="B520" i="5"/>
  <c r="A520" i="5"/>
  <c r="B519" i="5"/>
  <c r="A519" i="5"/>
  <c r="B518" i="5"/>
  <c r="A518" i="5"/>
  <c r="A517" i="5"/>
  <c r="C516" i="5"/>
  <c r="B516" i="5"/>
  <c r="A516" i="5"/>
  <c r="B515" i="5"/>
  <c r="A515" i="5"/>
  <c r="B514" i="5"/>
  <c r="A514" i="5"/>
  <c r="B513" i="5"/>
  <c r="A513" i="5"/>
  <c r="B512" i="5"/>
  <c r="A512" i="5"/>
  <c r="B511" i="5"/>
  <c r="A511" i="5"/>
  <c r="B510" i="5"/>
  <c r="A510" i="5"/>
  <c r="D509" i="5"/>
  <c r="B509" i="5"/>
  <c r="A509" i="5"/>
  <c r="C508" i="5"/>
  <c r="B508" i="5"/>
  <c r="A508" i="5"/>
  <c r="B507" i="5"/>
  <c r="A507" i="5"/>
  <c r="B506" i="5"/>
  <c r="A506" i="5"/>
  <c r="B505" i="5"/>
  <c r="A505" i="5"/>
  <c r="B504" i="5"/>
  <c r="A504" i="5"/>
  <c r="B503" i="5"/>
  <c r="A503" i="5"/>
  <c r="B502" i="5"/>
  <c r="A502" i="5"/>
  <c r="B501" i="5"/>
  <c r="A501" i="5"/>
  <c r="B500" i="5"/>
  <c r="A500" i="5"/>
  <c r="B499" i="5"/>
  <c r="A499" i="5"/>
  <c r="B498" i="5"/>
  <c r="A498" i="5"/>
  <c r="C497" i="5"/>
  <c r="B497" i="5"/>
  <c r="A497" i="5"/>
  <c r="B496" i="5"/>
  <c r="A496" i="5"/>
  <c r="B495" i="5"/>
  <c r="A495" i="5"/>
  <c r="C494" i="5"/>
  <c r="B494" i="5"/>
  <c r="A494" i="5"/>
  <c r="B493" i="5"/>
  <c r="A493" i="5"/>
  <c r="A492" i="5"/>
  <c r="B491" i="5"/>
  <c r="A491" i="5"/>
  <c r="B490" i="5"/>
  <c r="A490" i="5"/>
  <c r="A489" i="5"/>
  <c r="B488" i="5"/>
  <c r="A488" i="5"/>
  <c r="B487" i="5"/>
  <c r="A487" i="5"/>
  <c r="B486" i="5"/>
  <c r="A486" i="5"/>
  <c r="B485" i="5"/>
  <c r="A485" i="5"/>
  <c r="C484" i="5"/>
  <c r="B484" i="5"/>
  <c r="A484" i="5"/>
  <c r="B483" i="5"/>
  <c r="A483" i="5"/>
  <c r="B482" i="5"/>
  <c r="A482" i="5"/>
  <c r="B481" i="5"/>
  <c r="A481" i="5"/>
  <c r="B480" i="5"/>
  <c r="A480" i="5"/>
  <c r="B479" i="5"/>
  <c r="A479" i="5"/>
  <c r="B478" i="5"/>
  <c r="A478" i="5"/>
  <c r="B477" i="5"/>
  <c r="A477" i="5"/>
  <c r="B476" i="5"/>
  <c r="A476" i="5"/>
  <c r="B475" i="5"/>
  <c r="A475" i="5"/>
  <c r="B474" i="5"/>
  <c r="A474" i="5"/>
  <c r="B473" i="5"/>
  <c r="A473" i="5"/>
  <c r="C472" i="5"/>
  <c r="B472" i="5"/>
  <c r="A472" i="5"/>
  <c r="B471" i="5"/>
  <c r="A471" i="5"/>
  <c r="B470" i="5"/>
  <c r="A470" i="5"/>
  <c r="B469" i="5"/>
  <c r="A469" i="5"/>
  <c r="B468" i="5"/>
  <c r="A468" i="5"/>
  <c r="D467" i="5"/>
  <c r="C467" i="5"/>
  <c r="B467" i="5"/>
  <c r="A467" i="5"/>
  <c r="B466" i="5"/>
  <c r="A466" i="5"/>
  <c r="A465" i="5"/>
  <c r="C464" i="5"/>
  <c r="B464" i="5"/>
  <c r="A464" i="5"/>
  <c r="A463" i="5"/>
  <c r="B462" i="5"/>
  <c r="A462" i="5"/>
  <c r="A461" i="5"/>
  <c r="C460" i="5"/>
  <c r="B460" i="5"/>
  <c r="A460" i="5"/>
  <c r="B459" i="5"/>
  <c r="A459" i="5"/>
  <c r="D458" i="5"/>
  <c r="C458" i="5"/>
  <c r="B458" i="5"/>
  <c r="A458" i="5"/>
  <c r="A457" i="5"/>
  <c r="C456" i="5"/>
  <c r="B456" i="5"/>
  <c r="A456" i="5"/>
  <c r="A455" i="5"/>
  <c r="B454" i="5"/>
  <c r="A454" i="5"/>
  <c r="C453" i="5"/>
  <c r="B453" i="5"/>
  <c r="A453" i="5"/>
  <c r="D452" i="5"/>
  <c r="C452" i="5"/>
  <c r="B452" i="5"/>
  <c r="A452" i="5"/>
  <c r="B451" i="5"/>
  <c r="A451" i="5"/>
  <c r="A450" i="5"/>
  <c r="B449" i="5"/>
  <c r="A449" i="5"/>
  <c r="B448" i="5"/>
  <c r="A448" i="5"/>
  <c r="B447" i="5"/>
  <c r="A447" i="5"/>
  <c r="B446" i="5"/>
  <c r="A446" i="5"/>
  <c r="B445" i="5"/>
  <c r="A445" i="5"/>
  <c r="B444" i="5"/>
  <c r="A444" i="5"/>
  <c r="D443" i="5"/>
  <c r="C443" i="5"/>
  <c r="B443" i="5"/>
  <c r="A443" i="5"/>
  <c r="B442" i="5"/>
  <c r="A442" i="5"/>
  <c r="B441" i="5"/>
  <c r="A441" i="5"/>
  <c r="B440" i="5"/>
  <c r="A440" i="5"/>
  <c r="A439" i="5"/>
  <c r="C438" i="5"/>
  <c r="B438" i="5"/>
  <c r="A438" i="5"/>
  <c r="A437" i="5"/>
  <c r="B436" i="5"/>
  <c r="A436" i="5"/>
  <c r="B435" i="5"/>
  <c r="A435" i="5"/>
  <c r="A434" i="5"/>
  <c r="B433" i="5"/>
  <c r="A433" i="5"/>
  <c r="A432" i="5"/>
  <c r="A431" i="5"/>
  <c r="B430" i="5"/>
  <c r="A430" i="5"/>
  <c r="B429" i="5"/>
  <c r="A429" i="5"/>
  <c r="B428" i="5"/>
  <c r="A428" i="5"/>
  <c r="C427" i="5"/>
  <c r="B427" i="5"/>
  <c r="A427" i="5"/>
  <c r="D426" i="5"/>
  <c r="C426" i="5"/>
  <c r="B426" i="5"/>
  <c r="A426" i="5"/>
  <c r="B425" i="5"/>
  <c r="A425" i="5"/>
  <c r="B424" i="5"/>
  <c r="A424" i="5"/>
  <c r="B423" i="5"/>
  <c r="A423" i="5"/>
  <c r="B422" i="5"/>
  <c r="A422" i="5"/>
  <c r="D421" i="5"/>
  <c r="B421" i="5"/>
  <c r="A421" i="5"/>
  <c r="B420" i="5"/>
  <c r="A420" i="5"/>
  <c r="D419" i="5"/>
  <c r="B419" i="5"/>
  <c r="A419" i="5"/>
  <c r="A418" i="5"/>
  <c r="B417" i="5"/>
  <c r="A417" i="5"/>
  <c r="B416" i="5"/>
  <c r="A416" i="5"/>
  <c r="A415" i="5"/>
  <c r="B414" i="5"/>
  <c r="A414" i="5"/>
  <c r="B413" i="5"/>
  <c r="A413" i="5"/>
  <c r="B412" i="5"/>
  <c r="A412" i="5"/>
  <c r="B411" i="5"/>
  <c r="A411" i="5"/>
  <c r="B410" i="5"/>
  <c r="A410" i="5"/>
  <c r="B409" i="5"/>
  <c r="A409" i="5"/>
  <c r="B408" i="5"/>
  <c r="A408" i="5"/>
  <c r="B407" i="5"/>
  <c r="A407" i="5"/>
  <c r="B406" i="5"/>
  <c r="A406" i="5"/>
  <c r="B405" i="5"/>
  <c r="A405" i="5"/>
  <c r="D404" i="5"/>
  <c r="B404" i="5"/>
  <c r="A404" i="5"/>
  <c r="B403" i="5"/>
  <c r="A403" i="5"/>
  <c r="A402" i="5"/>
  <c r="C401" i="5"/>
  <c r="B401" i="5"/>
  <c r="A401" i="5"/>
  <c r="B400" i="5"/>
  <c r="A400" i="5"/>
  <c r="B399" i="5"/>
  <c r="A399" i="5"/>
  <c r="A398" i="5"/>
  <c r="D397" i="5"/>
  <c r="C397" i="5"/>
  <c r="B397" i="5"/>
  <c r="A397" i="5"/>
  <c r="B396" i="5"/>
  <c r="A396" i="5"/>
  <c r="B395" i="5"/>
  <c r="A395" i="5"/>
  <c r="C394" i="5"/>
  <c r="B394" i="5"/>
  <c r="A394" i="5"/>
  <c r="B393" i="5"/>
  <c r="A393" i="5"/>
  <c r="B392" i="5"/>
  <c r="A392" i="5"/>
  <c r="A391" i="5"/>
  <c r="D390" i="5"/>
  <c r="C390" i="5"/>
  <c r="B390" i="5"/>
  <c r="A390" i="5"/>
  <c r="D389" i="5"/>
  <c r="B389" i="5"/>
  <c r="A389" i="5"/>
  <c r="A388" i="5"/>
  <c r="B387" i="5"/>
  <c r="A387" i="5"/>
  <c r="B386" i="5"/>
  <c r="A386" i="5"/>
  <c r="B385" i="5"/>
  <c r="A385" i="5"/>
  <c r="B384" i="5"/>
  <c r="A384" i="5"/>
  <c r="B383" i="5"/>
  <c r="A383" i="5"/>
  <c r="A382" i="5"/>
  <c r="B381" i="5"/>
  <c r="A381" i="5"/>
  <c r="B380" i="5"/>
  <c r="A380" i="5"/>
  <c r="A379" i="5"/>
  <c r="A378" i="5"/>
  <c r="B377" i="5"/>
  <c r="A377" i="5"/>
  <c r="B376" i="5"/>
  <c r="A376" i="5"/>
  <c r="B375" i="5"/>
  <c r="A375" i="5"/>
  <c r="B374" i="5"/>
  <c r="A374" i="5"/>
  <c r="A373" i="5"/>
  <c r="B372" i="5"/>
  <c r="A372" i="5"/>
  <c r="B371" i="5"/>
  <c r="A371" i="5"/>
  <c r="B370" i="5"/>
  <c r="A370" i="5"/>
  <c r="B369" i="5"/>
  <c r="A369" i="5"/>
  <c r="D368" i="5"/>
  <c r="C368" i="5"/>
  <c r="B368" i="5"/>
  <c r="A368" i="5"/>
  <c r="A367" i="5"/>
  <c r="A366" i="5"/>
  <c r="B365" i="5"/>
  <c r="A365" i="5"/>
  <c r="B364" i="5"/>
  <c r="A364" i="5"/>
  <c r="C363" i="5"/>
  <c r="B363" i="5"/>
  <c r="A363" i="5"/>
  <c r="B362" i="5"/>
  <c r="A362" i="5"/>
  <c r="B361" i="5"/>
  <c r="A361" i="5"/>
  <c r="B360" i="5"/>
  <c r="A360" i="5"/>
  <c r="D359" i="5"/>
  <c r="B359" i="5"/>
  <c r="A359" i="5"/>
  <c r="B358" i="5"/>
  <c r="A358" i="5"/>
  <c r="B357" i="5"/>
  <c r="A357" i="5"/>
  <c r="B356" i="5"/>
  <c r="A356" i="5"/>
  <c r="B355" i="5"/>
  <c r="A355" i="5"/>
  <c r="D354" i="5"/>
  <c r="B354" i="5"/>
  <c r="A354" i="5"/>
  <c r="D353" i="5"/>
  <c r="B353" i="5"/>
  <c r="A353" i="5"/>
  <c r="D352" i="5"/>
  <c r="B352" i="5"/>
  <c r="A352" i="5"/>
  <c r="D351" i="5"/>
  <c r="B351" i="5"/>
  <c r="A351" i="5"/>
  <c r="B350" i="5"/>
  <c r="A350" i="5"/>
  <c r="D349" i="5"/>
  <c r="B349" i="5"/>
  <c r="A349" i="5"/>
  <c r="B348" i="5"/>
  <c r="A348" i="5"/>
  <c r="B347" i="5"/>
  <c r="A347" i="5"/>
  <c r="B346" i="5"/>
  <c r="A346" i="5"/>
  <c r="B345" i="5"/>
  <c r="A345" i="5"/>
  <c r="A344" i="5"/>
  <c r="B343" i="5"/>
  <c r="A343" i="5"/>
  <c r="A342" i="5"/>
  <c r="A341" i="5"/>
  <c r="B340" i="5"/>
  <c r="A340" i="5"/>
  <c r="B339" i="5"/>
  <c r="A339" i="5"/>
  <c r="D338" i="5"/>
  <c r="B338" i="5"/>
  <c r="A338" i="5"/>
  <c r="B337" i="5"/>
  <c r="A337" i="5"/>
  <c r="B336" i="5"/>
  <c r="A336" i="5"/>
  <c r="B335" i="5"/>
  <c r="A335" i="5"/>
  <c r="B334" i="5"/>
  <c r="A334" i="5"/>
  <c r="D333" i="5"/>
  <c r="C333" i="5"/>
  <c r="B333" i="5"/>
  <c r="A333" i="5"/>
  <c r="D332" i="5"/>
  <c r="C332" i="5"/>
  <c r="B332" i="5"/>
  <c r="A332" i="5"/>
  <c r="B331" i="5"/>
  <c r="A331" i="5"/>
  <c r="B330" i="5"/>
  <c r="A330" i="5"/>
  <c r="C329" i="5"/>
  <c r="B329" i="5"/>
  <c r="A329" i="5"/>
  <c r="A328" i="5"/>
  <c r="D327" i="5"/>
  <c r="C327" i="5"/>
  <c r="B327" i="5"/>
  <c r="A327" i="5"/>
  <c r="B326" i="5"/>
  <c r="A326" i="5"/>
  <c r="B325" i="5"/>
  <c r="A325" i="5"/>
  <c r="D324" i="5"/>
  <c r="B324" i="5"/>
  <c r="A324" i="5"/>
  <c r="B323" i="5"/>
  <c r="A323" i="5"/>
  <c r="D322" i="5"/>
  <c r="C322" i="5"/>
  <c r="B322" i="5"/>
  <c r="A322" i="5"/>
  <c r="D321" i="5"/>
  <c r="C321" i="5"/>
  <c r="B321" i="5"/>
  <c r="A321" i="5"/>
  <c r="B320" i="5"/>
  <c r="A320" i="5"/>
  <c r="B319" i="5"/>
  <c r="A319" i="5"/>
  <c r="B318" i="5"/>
  <c r="A318" i="5"/>
  <c r="C317" i="5"/>
  <c r="B317" i="5"/>
  <c r="A317" i="5"/>
  <c r="B316" i="5"/>
  <c r="A316" i="5"/>
  <c r="B315" i="5"/>
  <c r="A315" i="5"/>
  <c r="B314" i="5"/>
  <c r="A314" i="5"/>
  <c r="B313" i="5"/>
  <c r="A313" i="5"/>
  <c r="B312" i="5"/>
  <c r="A312" i="5"/>
  <c r="C311" i="5"/>
  <c r="B311" i="5"/>
  <c r="A311" i="5"/>
  <c r="B310" i="5"/>
  <c r="A310" i="5"/>
  <c r="C309" i="5"/>
  <c r="B309" i="5"/>
  <c r="A309" i="5"/>
  <c r="C308" i="5"/>
  <c r="B308" i="5"/>
  <c r="A308" i="5"/>
  <c r="B307" i="5"/>
  <c r="A307" i="5"/>
  <c r="B306" i="5"/>
  <c r="A306" i="5"/>
  <c r="C305" i="5"/>
  <c r="B305" i="5"/>
  <c r="A305" i="5"/>
  <c r="D304" i="5"/>
  <c r="C304" i="5"/>
  <c r="B304" i="5"/>
  <c r="A304" i="5"/>
  <c r="B303" i="5"/>
  <c r="A303" i="5"/>
  <c r="B302" i="5"/>
  <c r="A302" i="5"/>
  <c r="C301" i="5"/>
  <c r="B301" i="5"/>
  <c r="A301" i="5"/>
  <c r="B300" i="5"/>
  <c r="A300" i="5"/>
  <c r="B299" i="5"/>
  <c r="A299" i="5"/>
  <c r="D298" i="5"/>
  <c r="B298" i="5"/>
  <c r="A298" i="5"/>
  <c r="B297" i="5"/>
  <c r="A297" i="5"/>
  <c r="B296" i="5"/>
  <c r="A296" i="5"/>
  <c r="B295" i="5"/>
  <c r="A295" i="5"/>
  <c r="C294" i="5"/>
  <c r="B294" i="5"/>
  <c r="A294" i="5"/>
  <c r="B293" i="5"/>
  <c r="A293" i="5"/>
  <c r="B292" i="5"/>
  <c r="A292" i="5"/>
  <c r="C291" i="5"/>
  <c r="B291" i="5"/>
  <c r="A291" i="5"/>
  <c r="C290" i="5"/>
  <c r="B290" i="5"/>
  <c r="A290" i="5"/>
  <c r="B289" i="5"/>
  <c r="A289" i="5"/>
  <c r="B288" i="5"/>
  <c r="A288" i="5"/>
  <c r="B287" i="5"/>
  <c r="A287" i="5"/>
  <c r="A286" i="5"/>
  <c r="C285" i="5"/>
  <c r="B285" i="5"/>
  <c r="A285" i="5"/>
  <c r="B284" i="5"/>
  <c r="A284" i="5"/>
  <c r="B283" i="5"/>
  <c r="A283" i="5"/>
  <c r="B282" i="5"/>
  <c r="A282" i="5"/>
  <c r="A281" i="5"/>
  <c r="B280" i="5"/>
  <c r="A280" i="5"/>
  <c r="A279" i="5"/>
  <c r="C278" i="5"/>
  <c r="B278" i="5"/>
  <c r="A278" i="5"/>
  <c r="A277" i="5"/>
  <c r="C276" i="5"/>
  <c r="B276" i="5"/>
  <c r="A276" i="5"/>
  <c r="C275" i="5"/>
  <c r="B275" i="5"/>
  <c r="A275" i="5"/>
  <c r="B274" i="5"/>
  <c r="A274" i="5"/>
  <c r="A273" i="5"/>
  <c r="B272" i="5"/>
  <c r="A272" i="5"/>
  <c r="B271" i="5"/>
  <c r="A271" i="5"/>
  <c r="B270" i="5"/>
  <c r="A270" i="5"/>
  <c r="B269" i="5"/>
  <c r="A269" i="5"/>
  <c r="A268" i="5"/>
  <c r="A267" i="5"/>
  <c r="A266" i="5"/>
  <c r="B265" i="5"/>
  <c r="A265" i="5"/>
  <c r="C264" i="5"/>
  <c r="B264" i="5"/>
  <c r="A264" i="5"/>
  <c r="A263" i="5"/>
  <c r="B262" i="5"/>
  <c r="A262" i="5"/>
  <c r="B261" i="5"/>
  <c r="A261" i="5"/>
  <c r="B260" i="5"/>
  <c r="A260" i="5"/>
  <c r="B259" i="5"/>
  <c r="A259" i="5"/>
  <c r="B258" i="5"/>
  <c r="A258" i="5"/>
  <c r="A257" i="5"/>
  <c r="A256" i="5"/>
  <c r="B255" i="5"/>
  <c r="A255" i="5"/>
  <c r="B254" i="5"/>
  <c r="A254" i="5"/>
  <c r="B253" i="5"/>
  <c r="A253" i="5"/>
  <c r="B252" i="5"/>
  <c r="A252" i="5"/>
  <c r="B251" i="5"/>
  <c r="A251" i="5"/>
  <c r="B250" i="5"/>
  <c r="A250" i="5"/>
  <c r="B249" i="5"/>
  <c r="A249" i="5"/>
  <c r="B248" i="5"/>
  <c r="A248" i="5"/>
  <c r="A247" i="5"/>
  <c r="C246" i="5"/>
  <c r="B246" i="5"/>
  <c r="A246" i="5"/>
  <c r="B245" i="5"/>
  <c r="A245" i="5"/>
  <c r="B244" i="5"/>
  <c r="A244" i="5"/>
  <c r="A243" i="5"/>
  <c r="A242" i="5"/>
  <c r="B241" i="5"/>
  <c r="A241" i="5"/>
  <c r="B240" i="5"/>
  <c r="A240" i="5"/>
  <c r="B239" i="5"/>
  <c r="A239" i="5"/>
  <c r="B238" i="5"/>
  <c r="A238" i="5"/>
  <c r="B237" i="5"/>
  <c r="A237" i="5"/>
  <c r="A236" i="5"/>
  <c r="B235" i="5"/>
  <c r="A235" i="5"/>
  <c r="B234" i="5"/>
  <c r="A234" i="5"/>
  <c r="A233" i="5"/>
  <c r="B232" i="5"/>
  <c r="A232" i="5"/>
  <c r="B231" i="5"/>
  <c r="A231" i="5"/>
  <c r="B230" i="5"/>
  <c r="A230" i="5"/>
  <c r="B229" i="5"/>
  <c r="A229" i="5"/>
  <c r="B228" i="5"/>
  <c r="A228" i="5"/>
  <c r="B227" i="5"/>
  <c r="A227" i="5"/>
  <c r="A226" i="5"/>
  <c r="B225" i="5"/>
  <c r="A225" i="5"/>
  <c r="A224" i="5"/>
  <c r="B223" i="5"/>
  <c r="A223" i="5"/>
  <c r="B222" i="5"/>
  <c r="A222" i="5"/>
  <c r="B221" i="5"/>
  <c r="A221" i="5"/>
  <c r="A220" i="5"/>
  <c r="D219" i="5"/>
  <c r="C219" i="5"/>
  <c r="B219" i="5"/>
  <c r="A219" i="5"/>
  <c r="B218" i="5"/>
  <c r="A218" i="5"/>
  <c r="B217" i="5"/>
  <c r="A217" i="5"/>
  <c r="C216" i="5"/>
  <c r="B216" i="5"/>
  <c r="A216" i="5"/>
  <c r="B215" i="5"/>
  <c r="A215" i="5"/>
  <c r="B214" i="5"/>
  <c r="A214" i="5"/>
  <c r="B213" i="5"/>
  <c r="A213" i="5"/>
  <c r="D212" i="5"/>
  <c r="B212" i="5"/>
  <c r="A212" i="5"/>
  <c r="B211" i="5"/>
  <c r="A211" i="5"/>
  <c r="B210" i="5"/>
  <c r="A210" i="5"/>
  <c r="B209" i="5"/>
  <c r="A209" i="5"/>
  <c r="B208" i="5"/>
  <c r="A208" i="5"/>
  <c r="B207" i="5"/>
  <c r="A207" i="5"/>
  <c r="B206" i="5"/>
  <c r="A206" i="5"/>
  <c r="C205" i="5"/>
  <c r="B205" i="5"/>
  <c r="A205" i="5"/>
  <c r="D204" i="5"/>
  <c r="B204" i="5"/>
  <c r="A204" i="5"/>
  <c r="D203" i="5"/>
  <c r="B203" i="5"/>
  <c r="A203" i="5"/>
  <c r="B202" i="5"/>
  <c r="A202" i="5"/>
  <c r="A201" i="5"/>
  <c r="A200" i="5"/>
  <c r="B199" i="5"/>
  <c r="A199" i="5"/>
  <c r="B198" i="5"/>
  <c r="A198" i="5"/>
  <c r="A197" i="5"/>
  <c r="A196" i="5"/>
  <c r="B195" i="5"/>
  <c r="A195" i="5"/>
  <c r="C194" i="5"/>
  <c r="B194" i="5"/>
  <c r="A194" i="5"/>
  <c r="C193" i="5"/>
  <c r="B193" i="5"/>
  <c r="A193" i="5"/>
  <c r="B192" i="5"/>
  <c r="A192" i="5"/>
  <c r="B191" i="5"/>
  <c r="A191" i="5"/>
  <c r="A190" i="5"/>
  <c r="C189" i="5"/>
  <c r="B189" i="5"/>
  <c r="A189" i="5"/>
  <c r="B188" i="5"/>
  <c r="A188" i="5"/>
  <c r="D187" i="5"/>
  <c r="B187" i="5"/>
  <c r="A187" i="5"/>
  <c r="B186" i="5"/>
  <c r="A186" i="5"/>
  <c r="B185" i="5"/>
  <c r="A185" i="5"/>
  <c r="B184" i="5"/>
  <c r="A184" i="5"/>
  <c r="B183" i="5"/>
  <c r="A183" i="5"/>
  <c r="B182" i="5"/>
  <c r="A182" i="5"/>
  <c r="B181" i="5"/>
  <c r="A181" i="5"/>
  <c r="B180" i="5"/>
  <c r="A180" i="5"/>
  <c r="A179" i="5"/>
  <c r="B178" i="5"/>
  <c r="A178" i="5"/>
  <c r="B177" i="5"/>
  <c r="A177" i="5"/>
  <c r="B176" i="5"/>
  <c r="A176" i="5"/>
  <c r="B175" i="5"/>
  <c r="A175" i="5"/>
  <c r="B174" i="5"/>
  <c r="A174" i="5"/>
  <c r="B173" i="5"/>
  <c r="A173" i="5"/>
  <c r="B172" i="5"/>
  <c r="A172" i="5"/>
  <c r="A171" i="5"/>
  <c r="B170" i="5"/>
  <c r="A170" i="5"/>
  <c r="B169" i="5"/>
  <c r="A169"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D152" i="5"/>
  <c r="B152" i="5"/>
  <c r="A152" i="5"/>
  <c r="B151" i="5"/>
  <c r="A151" i="5"/>
  <c r="B150" i="5"/>
  <c r="A150" i="5"/>
  <c r="A149" i="5"/>
  <c r="B148" i="5"/>
  <c r="A148" i="5"/>
  <c r="D147" i="5"/>
  <c r="C147" i="5"/>
  <c r="B147" i="5"/>
  <c r="A147" i="5"/>
  <c r="A146" i="5"/>
  <c r="A145" i="5"/>
  <c r="A144" i="5"/>
  <c r="B143" i="5"/>
  <c r="A143" i="5"/>
  <c r="C142" i="5"/>
  <c r="B142" i="5"/>
  <c r="A142" i="5"/>
  <c r="B141" i="5"/>
  <c r="A141" i="5"/>
  <c r="C140" i="5"/>
  <c r="B140" i="5"/>
  <c r="A140" i="5"/>
  <c r="A139" i="5"/>
  <c r="A138" i="5"/>
  <c r="D137" i="5"/>
  <c r="C137" i="5"/>
  <c r="B137" i="5"/>
  <c r="A137" i="5"/>
  <c r="B136" i="5"/>
  <c r="A136" i="5"/>
  <c r="B135" i="5"/>
  <c r="A135" i="5"/>
  <c r="B134" i="5"/>
  <c r="A134" i="5"/>
  <c r="D133" i="5"/>
  <c r="C133" i="5"/>
  <c r="B133" i="5"/>
  <c r="A133" i="5"/>
  <c r="B132" i="5"/>
  <c r="A132" i="5"/>
  <c r="B131" i="5"/>
  <c r="A131" i="5"/>
  <c r="B130" i="5"/>
  <c r="A130" i="5"/>
  <c r="B129" i="5"/>
  <c r="A129" i="5"/>
  <c r="B128" i="5"/>
  <c r="A128" i="5"/>
  <c r="A127" i="5"/>
  <c r="B126" i="5"/>
  <c r="A126" i="5"/>
  <c r="D125" i="5"/>
  <c r="C125" i="5"/>
  <c r="B125" i="5"/>
  <c r="A125" i="5"/>
  <c r="B124" i="5"/>
  <c r="A124" i="5"/>
  <c r="C123" i="5"/>
  <c r="B123" i="5"/>
  <c r="A123" i="5"/>
  <c r="B122" i="5"/>
  <c r="A122" i="5"/>
  <c r="B121" i="5"/>
  <c r="A121" i="5"/>
  <c r="B120" i="5"/>
  <c r="A120" i="5"/>
  <c r="B119" i="5"/>
  <c r="A119" i="5"/>
  <c r="B118" i="5"/>
  <c r="A118" i="5"/>
  <c r="A117" i="5"/>
  <c r="C116" i="5"/>
  <c r="B116" i="5"/>
  <c r="A116" i="5"/>
  <c r="B115" i="5"/>
  <c r="A115" i="5"/>
  <c r="A114" i="5"/>
  <c r="B113" i="5"/>
  <c r="A113" i="5"/>
  <c r="B112" i="5"/>
  <c r="A112" i="5"/>
  <c r="A111" i="5"/>
  <c r="B110" i="5"/>
  <c r="A110" i="5"/>
  <c r="B109" i="5"/>
  <c r="A109" i="5"/>
  <c r="C108" i="5"/>
  <c r="B108" i="5"/>
  <c r="A108" i="5"/>
  <c r="B107" i="5"/>
  <c r="A107" i="5"/>
  <c r="A106" i="5"/>
  <c r="B105" i="5"/>
  <c r="A105" i="5"/>
  <c r="A104" i="5"/>
  <c r="B103" i="5"/>
  <c r="A103" i="5"/>
  <c r="B102" i="5"/>
  <c r="A102" i="5"/>
  <c r="B101" i="5"/>
  <c r="A101" i="5"/>
  <c r="A100" i="5"/>
  <c r="A99" i="5"/>
  <c r="B98" i="5"/>
  <c r="A98" i="5"/>
  <c r="B97" i="5"/>
  <c r="A97" i="5"/>
  <c r="B96" i="5"/>
  <c r="A96" i="5"/>
  <c r="B95" i="5"/>
  <c r="A95" i="5"/>
  <c r="A94" i="5"/>
  <c r="B93" i="5"/>
  <c r="A93" i="5"/>
  <c r="B92" i="5"/>
  <c r="A92" i="5"/>
  <c r="B91" i="5"/>
  <c r="A91" i="5"/>
  <c r="C90" i="5"/>
  <c r="B90" i="5"/>
  <c r="A90" i="5"/>
  <c r="B89" i="5"/>
  <c r="A89" i="5"/>
  <c r="B88" i="5"/>
  <c r="A88" i="5"/>
  <c r="B87" i="5"/>
  <c r="A87" i="5"/>
  <c r="B86" i="5"/>
  <c r="A86" i="5"/>
  <c r="C85" i="5"/>
  <c r="B85" i="5"/>
  <c r="A85" i="5"/>
  <c r="A84" i="5"/>
  <c r="A83" i="5"/>
  <c r="D82" i="5"/>
  <c r="B82" i="5"/>
  <c r="A82" i="5"/>
  <c r="B81" i="5"/>
  <c r="A81" i="5"/>
  <c r="C80" i="5"/>
  <c r="B80" i="5"/>
  <c r="A80" i="5"/>
  <c r="A79" i="5"/>
  <c r="C78" i="5"/>
  <c r="B78" i="5"/>
  <c r="A78" i="5"/>
  <c r="D77" i="5"/>
  <c r="C77" i="5"/>
  <c r="B77" i="5"/>
  <c r="A77" i="5"/>
  <c r="B76" i="5"/>
  <c r="A76" i="5"/>
  <c r="B75" i="5"/>
  <c r="A75" i="5"/>
  <c r="B74" i="5"/>
  <c r="A74" i="5"/>
  <c r="B73" i="5"/>
  <c r="A73" i="5"/>
  <c r="B72" i="5"/>
  <c r="A72" i="5"/>
  <c r="A71" i="5"/>
  <c r="C70" i="5"/>
  <c r="B70" i="5"/>
  <c r="A70" i="5"/>
  <c r="C69" i="5"/>
  <c r="B69" i="5"/>
  <c r="A69" i="5"/>
  <c r="A68" i="5"/>
  <c r="A67" i="5"/>
  <c r="B66" i="5"/>
  <c r="A66" i="5"/>
  <c r="D65" i="5"/>
  <c r="B65" i="5"/>
  <c r="A65" i="5"/>
  <c r="B64" i="5"/>
  <c r="A64" i="5"/>
  <c r="B63" i="5"/>
  <c r="A63" i="5"/>
  <c r="B62" i="5"/>
  <c r="A62" i="5"/>
  <c r="A61" i="5"/>
  <c r="B60" i="5"/>
  <c r="A60" i="5"/>
  <c r="D59" i="5"/>
  <c r="B59" i="5"/>
  <c r="A59" i="5"/>
  <c r="B58" i="5"/>
  <c r="A58" i="5"/>
  <c r="B57" i="5"/>
  <c r="A57" i="5"/>
  <c r="B56" i="5"/>
  <c r="A56" i="5"/>
  <c r="B55" i="5"/>
  <c r="A55" i="5"/>
  <c r="B54" i="5"/>
  <c r="A54" i="5"/>
  <c r="C53" i="5"/>
  <c r="B53" i="5"/>
  <c r="A53" i="5"/>
  <c r="A52" i="5"/>
  <c r="A51" i="5"/>
  <c r="A50" i="5"/>
  <c r="B49" i="5"/>
  <c r="A49" i="5"/>
  <c r="B48" i="5"/>
  <c r="A48" i="5"/>
  <c r="A47" i="5"/>
  <c r="B46" i="5"/>
  <c r="A46" i="5"/>
  <c r="B45" i="5"/>
  <c r="A45" i="5"/>
  <c r="B44" i="5"/>
  <c r="A44" i="5"/>
  <c r="A43" i="5"/>
  <c r="B42" i="5"/>
  <c r="A42" i="5"/>
  <c r="A41" i="5"/>
  <c r="C40" i="5"/>
  <c r="A40" i="5"/>
  <c r="A39" i="5"/>
  <c r="B38" i="5"/>
  <c r="A38" i="5"/>
  <c r="A37" i="5"/>
  <c r="A36" i="5"/>
  <c r="B35" i="5"/>
  <c r="A35" i="5"/>
  <c r="B34" i="5"/>
  <c r="A34" i="5"/>
  <c r="C33" i="5"/>
  <c r="B33" i="5"/>
  <c r="A33" i="5"/>
  <c r="C32" i="5"/>
  <c r="B32" i="5"/>
  <c r="A32" i="5"/>
  <c r="B31" i="5"/>
  <c r="A31" i="5"/>
  <c r="B30" i="5"/>
  <c r="A30" i="5"/>
  <c r="B29" i="5"/>
  <c r="A29" i="5"/>
  <c r="A28" i="5"/>
  <c r="B27" i="5"/>
  <c r="A27" i="5"/>
  <c r="B26" i="5"/>
  <c r="A26" i="5"/>
  <c r="B25" i="5"/>
  <c r="A25" i="5"/>
  <c r="A24" i="5"/>
  <c r="B23" i="5"/>
  <c r="A23" i="5"/>
  <c r="B22" i="5"/>
  <c r="A22" i="5"/>
  <c r="B21" i="5"/>
  <c r="A21" i="5"/>
  <c r="B20" i="5"/>
  <c r="A20" i="5"/>
  <c r="B19" i="5"/>
  <c r="A19" i="5"/>
  <c r="A18" i="5"/>
  <c r="B17" i="5"/>
  <c r="A17" i="5"/>
  <c r="B16" i="5"/>
  <c r="A16" i="5"/>
  <c r="B15" i="5"/>
  <c r="A15" i="5"/>
  <c r="B14" i="5"/>
  <c r="A14" i="5"/>
  <c r="D13" i="5"/>
  <c r="B13" i="5"/>
  <c r="A13" i="5"/>
  <c r="B12" i="5"/>
  <c r="A12" i="5"/>
  <c r="B11" i="5"/>
  <c r="A11" i="5"/>
  <c r="B10" i="5"/>
  <c r="A10" i="5"/>
  <c r="B9" i="5"/>
  <c r="A9" i="5"/>
  <c r="B8" i="5"/>
  <c r="A8" i="5"/>
  <c r="B7" i="5"/>
  <c r="A7" i="5"/>
  <c r="B6" i="5"/>
  <c r="A6" i="5"/>
  <c r="D5" i="5"/>
  <c r="B5" i="5"/>
  <c r="A5" i="5"/>
  <c r="D4" i="5"/>
  <c r="B4" i="5"/>
  <c r="A4" i="5"/>
  <c r="D3" i="5"/>
  <c r="B3" i="5"/>
  <c r="A3" i="5"/>
  <c r="B2" i="5"/>
  <c r="A2" i="5"/>
  <c r="D1" i="5"/>
  <c r="C1" i="5"/>
  <c r="B1" i="5"/>
  <c r="A1" i="5"/>
  <c r="E2500" i="4"/>
  <c r="D2500" i="4"/>
  <c r="C2500" i="4"/>
  <c r="B2500" i="4"/>
  <c r="A2500" i="4"/>
  <c r="E2499" i="4"/>
  <c r="D2499" i="4"/>
  <c r="C2499" i="4"/>
  <c r="B2499" i="4"/>
  <c r="A2499" i="4"/>
  <c r="E2498" i="4"/>
  <c r="D2498" i="4"/>
  <c r="C2498" i="4"/>
  <c r="B2498" i="4"/>
  <c r="A2498" i="4"/>
  <c r="E2497" i="4"/>
  <c r="D2497" i="4"/>
  <c r="C2497" i="4"/>
  <c r="B2497" i="4"/>
  <c r="A2497" i="4"/>
  <c r="E2496" i="4"/>
  <c r="D2496" i="4"/>
  <c r="C2496" i="4"/>
  <c r="B2496" i="4"/>
  <c r="A2496" i="4"/>
  <c r="E2495" i="4"/>
  <c r="D2495" i="4"/>
  <c r="C2495" i="4"/>
  <c r="B2495" i="4"/>
  <c r="A2495" i="4"/>
  <c r="E2494" i="4"/>
  <c r="D2494" i="4"/>
  <c r="C2494" i="4"/>
  <c r="B2494" i="4"/>
  <c r="A2494" i="4"/>
  <c r="E2493" i="4"/>
  <c r="D2493" i="4"/>
  <c r="C2493" i="4"/>
  <c r="B2493" i="4"/>
  <c r="A2493" i="4"/>
  <c r="E2492" i="4"/>
  <c r="D2492" i="4"/>
  <c r="C2492" i="4"/>
  <c r="B2492" i="4"/>
  <c r="A2492" i="4"/>
  <c r="E2491" i="4"/>
  <c r="D2491" i="4"/>
  <c r="C2491" i="4"/>
  <c r="B2491" i="4"/>
  <c r="A2491" i="4"/>
  <c r="E2490" i="4"/>
  <c r="D2490" i="4"/>
  <c r="C2490" i="4"/>
  <c r="B2490" i="4"/>
  <c r="A2490" i="4"/>
  <c r="E2489" i="4"/>
  <c r="D2489" i="4"/>
  <c r="B2489" i="4"/>
  <c r="A2489" i="4"/>
  <c r="E2488" i="4"/>
  <c r="D2488" i="4"/>
  <c r="B2488" i="4"/>
  <c r="A2488" i="4"/>
  <c r="E2487" i="4"/>
  <c r="D2487" i="4"/>
  <c r="C2487" i="4"/>
  <c r="B2487" i="4"/>
  <c r="A2487" i="4"/>
  <c r="E2486" i="4"/>
  <c r="D2486" i="4"/>
  <c r="B2486" i="4"/>
  <c r="A2486" i="4"/>
  <c r="E2485" i="4"/>
  <c r="D2485" i="4"/>
  <c r="B2485" i="4"/>
  <c r="A2485" i="4"/>
  <c r="E2484" i="4"/>
  <c r="D2484" i="4"/>
  <c r="C2484" i="4"/>
  <c r="B2484" i="4"/>
  <c r="A2484" i="4"/>
  <c r="E2483" i="4"/>
  <c r="D2483" i="4"/>
  <c r="B2483" i="4"/>
  <c r="A2483" i="4"/>
  <c r="E2482" i="4"/>
  <c r="D2482" i="4"/>
  <c r="C2482" i="4"/>
  <c r="B2482" i="4"/>
  <c r="A2482" i="4"/>
  <c r="E2481" i="4"/>
  <c r="D2481" i="4"/>
  <c r="B2481" i="4"/>
  <c r="A2481" i="4"/>
  <c r="E2480" i="4"/>
  <c r="D2480" i="4"/>
  <c r="B2480" i="4"/>
  <c r="A2480" i="4"/>
  <c r="E2479" i="4"/>
  <c r="D2479" i="4"/>
  <c r="B2479" i="4"/>
  <c r="A2479" i="4"/>
  <c r="E2478" i="4"/>
  <c r="D2478" i="4"/>
  <c r="B2478" i="4"/>
  <c r="A2478" i="4"/>
  <c r="E2477" i="4"/>
  <c r="D2477" i="4"/>
  <c r="B2477" i="4"/>
  <c r="A2477" i="4"/>
  <c r="E2476" i="4"/>
  <c r="D2476" i="4"/>
  <c r="C2476" i="4"/>
  <c r="B2476" i="4"/>
  <c r="A2476" i="4"/>
  <c r="E2475" i="4"/>
  <c r="D2475" i="4"/>
  <c r="C2475" i="4"/>
  <c r="B2475" i="4"/>
  <c r="A2475" i="4"/>
  <c r="E2474" i="4"/>
  <c r="D2474" i="4"/>
  <c r="C2474" i="4"/>
  <c r="B2474" i="4"/>
  <c r="A2474" i="4"/>
  <c r="E2473" i="4"/>
  <c r="D2473" i="4"/>
  <c r="C2473" i="4"/>
  <c r="B2473" i="4"/>
  <c r="A2473" i="4"/>
  <c r="E2472" i="4"/>
  <c r="D2472" i="4"/>
  <c r="C2472" i="4"/>
  <c r="B2472" i="4"/>
  <c r="A2472" i="4"/>
  <c r="E2471" i="4"/>
  <c r="D2471" i="4"/>
  <c r="C2471" i="4"/>
  <c r="B2471" i="4"/>
  <c r="A2471" i="4"/>
  <c r="E2470" i="4"/>
  <c r="D2470" i="4"/>
  <c r="C2470" i="4"/>
  <c r="B2470" i="4"/>
  <c r="A2470" i="4"/>
  <c r="E2469" i="4"/>
  <c r="D2469" i="4"/>
  <c r="B2469" i="4"/>
  <c r="A2469" i="4"/>
  <c r="E2468" i="4"/>
  <c r="D2468" i="4"/>
  <c r="B2468" i="4"/>
  <c r="A2468" i="4"/>
  <c r="E2467" i="4"/>
  <c r="D2467" i="4"/>
  <c r="C2467" i="4"/>
  <c r="B2467" i="4"/>
  <c r="A2467" i="4"/>
  <c r="E2466" i="4"/>
  <c r="D2466" i="4"/>
  <c r="C2466" i="4"/>
  <c r="B2466" i="4"/>
  <c r="A2466" i="4"/>
  <c r="E2465" i="4"/>
  <c r="D2465" i="4"/>
  <c r="C2465" i="4"/>
  <c r="B2465" i="4"/>
  <c r="A2465" i="4"/>
  <c r="E2464" i="4"/>
  <c r="D2464" i="4"/>
  <c r="C2464" i="4"/>
  <c r="B2464" i="4"/>
  <c r="A2464" i="4"/>
  <c r="E2463" i="4"/>
  <c r="D2463" i="4"/>
  <c r="C2463" i="4"/>
  <c r="B2463" i="4"/>
  <c r="A2463" i="4"/>
  <c r="E2462" i="4"/>
  <c r="D2462" i="4"/>
  <c r="C2462" i="4"/>
  <c r="B2462" i="4"/>
  <c r="A2462" i="4"/>
  <c r="E2461" i="4"/>
  <c r="D2461" i="4"/>
  <c r="C2461" i="4"/>
  <c r="B2461" i="4"/>
  <c r="A2461" i="4"/>
  <c r="E2460" i="4"/>
  <c r="D2460" i="4"/>
  <c r="C2460" i="4"/>
  <c r="B2460" i="4"/>
  <c r="A2460" i="4"/>
  <c r="E2459" i="4"/>
  <c r="D2459" i="4"/>
  <c r="C2459" i="4"/>
  <c r="B2459" i="4"/>
  <c r="A2459" i="4"/>
  <c r="E2458" i="4"/>
  <c r="D2458" i="4"/>
  <c r="C2458" i="4"/>
  <c r="B2458" i="4"/>
  <c r="A2458" i="4"/>
  <c r="E2457" i="4"/>
  <c r="D2457" i="4"/>
  <c r="C2457" i="4"/>
  <c r="B2457" i="4"/>
  <c r="A2457" i="4"/>
  <c r="E2456" i="4"/>
  <c r="D2456" i="4"/>
  <c r="C2456" i="4"/>
  <c r="B2456" i="4"/>
  <c r="A2456" i="4"/>
  <c r="F2455" i="4"/>
  <c r="E2455" i="4"/>
  <c r="D2455" i="4"/>
  <c r="C2455" i="4"/>
  <c r="B2455" i="4"/>
  <c r="A2455" i="4"/>
  <c r="D2454" i="4"/>
  <c r="C2454" i="4"/>
  <c r="B2454" i="4"/>
  <c r="A2454" i="4"/>
  <c r="D2453" i="4"/>
  <c r="C2453" i="4"/>
  <c r="B2453" i="4"/>
  <c r="A2453" i="4"/>
  <c r="E2452" i="4"/>
  <c r="D2452" i="4"/>
  <c r="C2452" i="4"/>
  <c r="B2452" i="4"/>
  <c r="A2452" i="4"/>
  <c r="E2451" i="4"/>
  <c r="D2451" i="4"/>
  <c r="C2451" i="4"/>
  <c r="B2451" i="4"/>
  <c r="A2451" i="4"/>
  <c r="E2450" i="4"/>
  <c r="D2450" i="4"/>
  <c r="C2450" i="4"/>
  <c r="B2450" i="4"/>
  <c r="A2450" i="4"/>
  <c r="E2449" i="4"/>
  <c r="D2449" i="4"/>
  <c r="C2449" i="4"/>
  <c r="B2449" i="4"/>
  <c r="A2449" i="4"/>
  <c r="E2448" i="4"/>
  <c r="D2448" i="4"/>
  <c r="B2448" i="4"/>
  <c r="A2448" i="4"/>
  <c r="E2447" i="4"/>
  <c r="D2447" i="4"/>
  <c r="B2447" i="4"/>
  <c r="A2447" i="4"/>
  <c r="E2446" i="4"/>
  <c r="D2446" i="4"/>
  <c r="B2446" i="4"/>
  <c r="A2446" i="4"/>
  <c r="E2445" i="4"/>
  <c r="D2445" i="4"/>
  <c r="B2445" i="4"/>
  <c r="A2445" i="4"/>
  <c r="E2444" i="4"/>
  <c r="D2444" i="4"/>
  <c r="B2444" i="4"/>
  <c r="A2444" i="4"/>
  <c r="E2443" i="4"/>
  <c r="D2443" i="4"/>
  <c r="B2443" i="4"/>
  <c r="A2443" i="4"/>
  <c r="E2442" i="4"/>
  <c r="D2442" i="4"/>
  <c r="B2442" i="4"/>
  <c r="A2442" i="4"/>
  <c r="E2441" i="4"/>
  <c r="D2441" i="4"/>
  <c r="C2441" i="4"/>
  <c r="B2441" i="4"/>
  <c r="A2441" i="4"/>
  <c r="E2440" i="4"/>
  <c r="D2440" i="4"/>
  <c r="C2440" i="4"/>
  <c r="B2440" i="4"/>
  <c r="A2440" i="4"/>
  <c r="E2439" i="4"/>
  <c r="D2439" i="4"/>
  <c r="C2439" i="4"/>
  <c r="B2439" i="4"/>
  <c r="A2439" i="4"/>
  <c r="E2438" i="4"/>
  <c r="D2438" i="4"/>
  <c r="C2438" i="4"/>
  <c r="B2438" i="4"/>
  <c r="A2438" i="4"/>
  <c r="E2437" i="4"/>
  <c r="D2437" i="4"/>
  <c r="C2437" i="4"/>
  <c r="B2437" i="4"/>
  <c r="A2437" i="4"/>
  <c r="E2436" i="4"/>
  <c r="D2436" i="4"/>
  <c r="C2436" i="4"/>
  <c r="B2436" i="4"/>
  <c r="A2436" i="4"/>
  <c r="E2435" i="4"/>
  <c r="D2435" i="4"/>
  <c r="C2435" i="4"/>
  <c r="B2435" i="4"/>
  <c r="A2435" i="4"/>
  <c r="E2434" i="4"/>
  <c r="D2434" i="4"/>
  <c r="C2434" i="4"/>
  <c r="B2434" i="4"/>
  <c r="A2434" i="4"/>
  <c r="E2433" i="4"/>
  <c r="D2433" i="4"/>
  <c r="C2433" i="4"/>
  <c r="B2433" i="4"/>
  <c r="A2433" i="4"/>
  <c r="E2432" i="4"/>
  <c r="D2432" i="4"/>
  <c r="C2432" i="4"/>
  <c r="B2432" i="4"/>
  <c r="A2432" i="4"/>
  <c r="E2431" i="4"/>
  <c r="D2431" i="4"/>
  <c r="C2431" i="4"/>
  <c r="B2431" i="4"/>
  <c r="A2431" i="4"/>
  <c r="E2430" i="4"/>
  <c r="D2430" i="4"/>
  <c r="C2430" i="4"/>
  <c r="B2430" i="4"/>
  <c r="A2430" i="4"/>
  <c r="E2429" i="4"/>
  <c r="D2429" i="4"/>
  <c r="C2429" i="4"/>
  <c r="B2429" i="4"/>
  <c r="A2429" i="4"/>
  <c r="E2428" i="4"/>
  <c r="D2428" i="4"/>
  <c r="C2428" i="4"/>
  <c r="B2428" i="4"/>
  <c r="A2428" i="4"/>
  <c r="E2427" i="4"/>
  <c r="D2427" i="4"/>
  <c r="C2427" i="4"/>
  <c r="B2427" i="4"/>
  <c r="A2427" i="4"/>
  <c r="E2426" i="4"/>
  <c r="D2426" i="4"/>
  <c r="C2426" i="4"/>
  <c r="B2426" i="4"/>
  <c r="A2426" i="4"/>
  <c r="E2425" i="4"/>
  <c r="D2425" i="4"/>
  <c r="C2425" i="4"/>
  <c r="B2425" i="4"/>
  <c r="A2425" i="4"/>
  <c r="F2424" i="4"/>
  <c r="E2424" i="4"/>
  <c r="D2424" i="4"/>
  <c r="C2424" i="4"/>
  <c r="B2424" i="4"/>
  <c r="A2424" i="4"/>
  <c r="E2423" i="4"/>
  <c r="D2423" i="4"/>
  <c r="C2423" i="4"/>
  <c r="B2423" i="4"/>
  <c r="A2423" i="4"/>
  <c r="E2422" i="4"/>
  <c r="D2422" i="4"/>
  <c r="C2422" i="4"/>
  <c r="B2422" i="4"/>
  <c r="A2422" i="4"/>
  <c r="E2421" i="4"/>
  <c r="D2421" i="4"/>
  <c r="C2421" i="4"/>
  <c r="B2421" i="4"/>
  <c r="A2421" i="4"/>
  <c r="E2420" i="4"/>
  <c r="D2420" i="4"/>
  <c r="C2420" i="4"/>
  <c r="B2420" i="4"/>
  <c r="A2420" i="4"/>
  <c r="E2419" i="4"/>
  <c r="D2419" i="4"/>
  <c r="C2419" i="4"/>
  <c r="B2419" i="4"/>
  <c r="A2419" i="4"/>
  <c r="E2418" i="4"/>
  <c r="D2418" i="4"/>
  <c r="C2418" i="4"/>
  <c r="B2418" i="4"/>
  <c r="A2418" i="4"/>
  <c r="E2417" i="4"/>
  <c r="D2417" i="4"/>
  <c r="C2417" i="4"/>
  <c r="B2417" i="4"/>
  <c r="A2417" i="4"/>
  <c r="E2416" i="4"/>
  <c r="D2416" i="4"/>
  <c r="C2416" i="4"/>
  <c r="B2416" i="4"/>
  <c r="A2416" i="4"/>
  <c r="E2415" i="4"/>
  <c r="D2415" i="4"/>
  <c r="C2415" i="4"/>
  <c r="B2415" i="4"/>
  <c r="A2415" i="4"/>
  <c r="E2414" i="4"/>
  <c r="D2414" i="4"/>
  <c r="C2414" i="4"/>
  <c r="B2414" i="4"/>
  <c r="A2414" i="4"/>
  <c r="E2413" i="4"/>
  <c r="D2413" i="4"/>
  <c r="C2413" i="4"/>
  <c r="B2413" i="4"/>
  <c r="A2413" i="4"/>
  <c r="E2412" i="4"/>
  <c r="D2412" i="4"/>
  <c r="C2412" i="4"/>
  <c r="B2412" i="4"/>
  <c r="A2412" i="4"/>
  <c r="E2411" i="4"/>
  <c r="D2411" i="4"/>
  <c r="C2411" i="4"/>
  <c r="B2411" i="4"/>
  <c r="A2411" i="4"/>
  <c r="E2410" i="4"/>
  <c r="D2410" i="4"/>
  <c r="C2410" i="4"/>
  <c r="B2410" i="4"/>
  <c r="A2410" i="4"/>
  <c r="F2409" i="4"/>
  <c r="E2409" i="4"/>
  <c r="D2409" i="4"/>
  <c r="C2409" i="4"/>
  <c r="B2409" i="4"/>
  <c r="A2409" i="4"/>
  <c r="E2408" i="4"/>
  <c r="D2408" i="4"/>
  <c r="C2408" i="4"/>
  <c r="B2408" i="4"/>
  <c r="A2408" i="4"/>
  <c r="E2407" i="4"/>
  <c r="D2407" i="4"/>
  <c r="C2407" i="4"/>
  <c r="B2407" i="4"/>
  <c r="A2407" i="4"/>
  <c r="E2406" i="4"/>
  <c r="D2406" i="4"/>
  <c r="C2406" i="4"/>
  <c r="B2406" i="4"/>
  <c r="A2406" i="4"/>
  <c r="E2405" i="4"/>
  <c r="D2405" i="4"/>
  <c r="C2405" i="4"/>
  <c r="B2405" i="4"/>
  <c r="A2405" i="4"/>
  <c r="E2404" i="4"/>
  <c r="D2404" i="4"/>
  <c r="C2404" i="4"/>
  <c r="B2404" i="4"/>
  <c r="A2404" i="4"/>
  <c r="E2403" i="4"/>
  <c r="D2403" i="4"/>
  <c r="C2403" i="4"/>
  <c r="B2403" i="4"/>
  <c r="A2403" i="4"/>
  <c r="E2402" i="4"/>
  <c r="D2402" i="4"/>
  <c r="C2402" i="4"/>
  <c r="B2402" i="4"/>
  <c r="A2402" i="4"/>
  <c r="E2401" i="4"/>
  <c r="D2401" i="4"/>
  <c r="C2401" i="4"/>
  <c r="B2401" i="4"/>
  <c r="A2401" i="4"/>
  <c r="E2400" i="4"/>
  <c r="D2400" i="4"/>
  <c r="C2400" i="4"/>
  <c r="B2400" i="4"/>
  <c r="A2400" i="4"/>
  <c r="E2399" i="4"/>
  <c r="D2399" i="4"/>
  <c r="C2399" i="4"/>
  <c r="B2399" i="4"/>
  <c r="A2399" i="4"/>
  <c r="F2398" i="4"/>
  <c r="E2398" i="4"/>
  <c r="D2398" i="4"/>
  <c r="C2398" i="4"/>
  <c r="B2398" i="4"/>
  <c r="A2398" i="4"/>
  <c r="E2397" i="4"/>
  <c r="D2397" i="4"/>
  <c r="C2397" i="4"/>
  <c r="B2397" i="4"/>
  <c r="A2397" i="4"/>
  <c r="E2396" i="4"/>
  <c r="D2396" i="4"/>
  <c r="C2396" i="4"/>
  <c r="B2396" i="4"/>
  <c r="A2396" i="4"/>
  <c r="F2395" i="4"/>
  <c r="E2395" i="4"/>
  <c r="D2395" i="4"/>
  <c r="C2395" i="4"/>
  <c r="B2395" i="4"/>
  <c r="A2395" i="4"/>
  <c r="E2394" i="4"/>
  <c r="D2394" i="4"/>
  <c r="C2394" i="4"/>
  <c r="B2394" i="4"/>
  <c r="A2394" i="4"/>
  <c r="F2393" i="4"/>
  <c r="E2393" i="4"/>
  <c r="D2393" i="4"/>
  <c r="C2393" i="4"/>
  <c r="B2393" i="4"/>
  <c r="A2393" i="4"/>
  <c r="E2392" i="4"/>
  <c r="B2392" i="4"/>
  <c r="A2392" i="4"/>
  <c r="E2391" i="4"/>
  <c r="D2391" i="4"/>
  <c r="C2391" i="4"/>
  <c r="B2391" i="4"/>
  <c r="A2391" i="4"/>
  <c r="E2390" i="4"/>
  <c r="D2390" i="4"/>
  <c r="C2390" i="4"/>
  <c r="B2390" i="4"/>
  <c r="A2390" i="4"/>
  <c r="E2389" i="4"/>
  <c r="D2389" i="4"/>
  <c r="C2389" i="4"/>
  <c r="B2389" i="4"/>
  <c r="A2389" i="4"/>
  <c r="E2388" i="4"/>
  <c r="D2388" i="4"/>
  <c r="C2388" i="4"/>
  <c r="B2388" i="4"/>
  <c r="A2388" i="4"/>
  <c r="E2387" i="4"/>
  <c r="D2387" i="4"/>
  <c r="C2387" i="4"/>
  <c r="B2387" i="4"/>
  <c r="A2387" i="4"/>
  <c r="E2386" i="4"/>
  <c r="D2386" i="4"/>
  <c r="C2386" i="4"/>
  <c r="B2386" i="4"/>
  <c r="A2386" i="4"/>
  <c r="E2385" i="4"/>
  <c r="D2385" i="4"/>
  <c r="C2385" i="4"/>
  <c r="B2385" i="4"/>
  <c r="A2385" i="4"/>
  <c r="E2384" i="4"/>
  <c r="D2384" i="4"/>
  <c r="C2384" i="4"/>
  <c r="B2384" i="4"/>
  <c r="A2384" i="4"/>
  <c r="E2383" i="4"/>
  <c r="D2383" i="4"/>
  <c r="C2383" i="4"/>
  <c r="B2383" i="4"/>
  <c r="A2383" i="4"/>
  <c r="E2382" i="4"/>
  <c r="D2382" i="4"/>
  <c r="C2382" i="4"/>
  <c r="B2382" i="4"/>
  <c r="A2382" i="4"/>
  <c r="E2381" i="4"/>
  <c r="D2381" i="4"/>
  <c r="C2381" i="4"/>
  <c r="B2381" i="4"/>
  <c r="A2381" i="4"/>
  <c r="E2380" i="4"/>
  <c r="D2380" i="4"/>
  <c r="C2380" i="4"/>
  <c r="B2380" i="4"/>
  <c r="A2380" i="4"/>
  <c r="E2379" i="4"/>
  <c r="D2379" i="4"/>
  <c r="C2379" i="4"/>
  <c r="B2379" i="4"/>
  <c r="A2379" i="4"/>
  <c r="E2378" i="4"/>
  <c r="D2378" i="4"/>
  <c r="C2378" i="4"/>
  <c r="B2378" i="4"/>
  <c r="A2378" i="4"/>
  <c r="E2377" i="4"/>
  <c r="D2377" i="4"/>
  <c r="C2377" i="4"/>
  <c r="B2377" i="4"/>
  <c r="A2377" i="4"/>
  <c r="E2376" i="4"/>
  <c r="D2376" i="4"/>
  <c r="C2376" i="4"/>
  <c r="B2376" i="4"/>
  <c r="A2376" i="4"/>
  <c r="F2375" i="4"/>
  <c r="E2375" i="4"/>
  <c r="D2375" i="4"/>
  <c r="C2375" i="4"/>
  <c r="B2375" i="4"/>
  <c r="A2375" i="4"/>
  <c r="E2374" i="4"/>
  <c r="D2374" i="4"/>
  <c r="C2374" i="4"/>
  <c r="B2374" i="4"/>
  <c r="A2374" i="4"/>
  <c r="E2373" i="4"/>
  <c r="D2373" i="4"/>
  <c r="C2373" i="4"/>
  <c r="B2373" i="4"/>
  <c r="A2373" i="4"/>
  <c r="E2372" i="4"/>
  <c r="D2372" i="4"/>
  <c r="C2372" i="4"/>
  <c r="B2372" i="4"/>
  <c r="A2372" i="4"/>
  <c r="E2371" i="4"/>
  <c r="D2371" i="4"/>
  <c r="C2371" i="4"/>
  <c r="B2371" i="4"/>
  <c r="A2371" i="4"/>
  <c r="E2370" i="4"/>
  <c r="D2370" i="4"/>
  <c r="C2370" i="4"/>
  <c r="B2370" i="4"/>
  <c r="A2370" i="4"/>
  <c r="E2369" i="4"/>
  <c r="D2369" i="4"/>
  <c r="C2369" i="4"/>
  <c r="B2369" i="4"/>
  <c r="A2369" i="4"/>
  <c r="E2368" i="4"/>
  <c r="D2368" i="4"/>
  <c r="C2368" i="4"/>
  <c r="B2368" i="4"/>
  <c r="A2368" i="4"/>
  <c r="E2367" i="4"/>
  <c r="D2367" i="4"/>
  <c r="C2367" i="4"/>
  <c r="B2367" i="4"/>
  <c r="A2367" i="4"/>
  <c r="B2366" i="4"/>
  <c r="A2366" i="4"/>
  <c r="B2365" i="4"/>
  <c r="A2365" i="4"/>
  <c r="F2364" i="4"/>
  <c r="E2364" i="4"/>
  <c r="D2364" i="4"/>
  <c r="C2364" i="4"/>
  <c r="B2364" i="4"/>
  <c r="A2364" i="4"/>
  <c r="E2363" i="4"/>
  <c r="D2363" i="4"/>
  <c r="C2363" i="4"/>
  <c r="B2363" i="4"/>
  <c r="A2363" i="4"/>
  <c r="E2362" i="4"/>
  <c r="D2362" i="4"/>
  <c r="C2362" i="4"/>
  <c r="B2362" i="4"/>
  <c r="A2362" i="4"/>
  <c r="E2361" i="4"/>
  <c r="D2361" i="4"/>
  <c r="C2361" i="4"/>
  <c r="B2361" i="4"/>
  <c r="A2361" i="4"/>
  <c r="E2360" i="4"/>
  <c r="D2360" i="4"/>
  <c r="C2360" i="4"/>
  <c r="B2360" i="4"/>
  <c r="A2360" i="4"/>
  <c r="E2359" i="4"/>
  <c r="D2359" i="4"/>
  <c r="C2359" i="4"/>
  <c r="B2359" i="4"/>
  <c r="A2359" i="4"/>
  <c r="E2358" i="4"/>
  <c r="D2358" i="4"/>
  <c r="C2358" i="4"/>
  <c r="B2358" i="4"/>
  <c r="A2358" i="4"/>
  <c r="E2357" i="4"/>
  <c r="D2357" i="4"/>
  <c r="C2357" i="4"/>
  <c r="B2357" i="4"/>
  <c r="A2357" i="4"/>
  <c r="E2356" i="4"/>
  <c r="D2356" i="4"/>
  <c r="C2356" i="4"/>
  <c r="B2356" i="4"/>
  <c r="A2356" i="4"/>
  <c r="E2355" i="4"/>
  <c r="D2355" i="4"/>
  <c r="C2355" i="4"/>
  <c r="B2355" i="4"/>
  <c r="A2355" i="4"/>
  <c r="E2354" i="4"/>
  <c r="D2354" i="4"/>
  <c r="C2354" i="4"/>
  <c r="B2354" i="4"/>
  <c r="A2354" i="4"/>
  <c r="E2353" i="4"/>
  <c r="D2353" i="4"/>
  <c r="C2353" i="4"/>
  <c r="B2353" i="4"/>
  <c r="A2353" i="4"/>
  <c r="E2352" i="4"/>
  <c r="D2352" i="4"/>
  <c r="C2352" i="4"/>
  <c r="B2352" i="4"/>
  <c r="A2352" i="4"/>
  <c r="E2351" i="4"/>
  <c r="D2351" i="4"/>
  <c r="C2351" i="4"/>
  <c r="B2351" i="4"/>
  <c r="A2351" i="4"/>
  <c r="E2350" i="4"/>
  <c r="D2350" i="4"/>
  <c r="C2350" i="4"/>
  <c r="B2350" i="4"/>
  <c r="A2350" i="4"/>
  <c r="F2349" i="4"/>
  <c r="E2349" i="4"/>
  <c r="D2349" i="4"/>
  <c r="C2349" i="4"/>
  <c r="B2349" i="4"/>
  <c r="A2349" i="4"/>
  <c r="E2348" i="4"/>
  <c r="D2348" i="4"/>
  <c r="C2348" i="4"/>
  <c r="B2348" i="4"/>
  <c r="A2348" i="4"/>
  <c r="E2347" i="4"/>
  <c r="D2347" i="4"/>
  <c r="C2347" i="4"/>
  <c r="B2347" i="4"/>
  <c r="A2347" i="4"/>
  <c r="F2346" i="4"/>
  <c r="E2346" i="4"/>
  <c r="D2346" i="4"/>
  <c r="C2346" i="4"/>
  <c r="B2346" i="4"/>
  <c r="A2346" i="4"/>
  <c r="F2345" i="4"/>
  <c r="E2345" i="4"/>
  <c r="D2345" i="4"/>
  <c r="C2345" i="4"/>
  <c r="B2345" i="4"/>
  <c r="A2345" i="4"/>
  <c r="E2344" i="4"/>
  <c r="D2344" i="4"/>
  <c r="C2344" i="4"/>
  <c r="B2344" i="4"/>
  <c r="A2344" i="4"/>
  <c r="E2343" i="4"/>
  <c r="D2343" i="4"/>
  <c r="C2343" i="4"/>
  <c r="B2343" i="4"/>
  <c r="A2343" i="4"/>
  <c r="E2342" i="4"/>
  <c r="D2342" i="4"/>
  <c r="C2342" i="4"/>
  <c r="B2342" i="4"/>
  <c r="A2342" i="4"/>
  <c r="B2341" i="4"/>
  <c r="A2341" i="4"/>
  <c r="E2340" i="4"/>
  <c r="D2340" i="4"/>
  <c r="C2340" i="4"/>
  <c r="B2340" i="4"/>
  <c r="A2340" i="4"/>
  <c r="E2339" i="4"/>
  <c r="D2339" i="4"/>
  <c r="C2339" i="4"/>
  <c r="B2339" i="4"/>
  <c r="A2339" i="4"/>
  <c r="E2338" i="4"/>
  <c r="D2338" i="4"/>
  <c r="C2338" i="4"/>
  <c r="B2338" i="4"/>
  <c r="A2338" i="4"/>
  <c r="E2337" i="4"/>
  <c r="D2337" i="4"/>
  <c r="C2337" i="4"/>
  <c r="B2337" i="4"/>
  <c r="A2337" i="4"/>
  <c r="E2336" i="4"/>
  <c r="D2336" i="4"/>
  <c r="C2336" i="4"/>
  <c r="B2336" i="4"/>
  <c r="A2336" i="4"/>
  <c r="E2335" i="4"/>
  <c r="D2335" i="4"/>
  <c r="C2335" i="4"/>
  <c r="B2335" i="4"/>
  <c r="A2335" i="4"/>
  <c r="E2334" i="4"/>
  <c r="D2334" i="4"/>
  <c r="C2334" i="4"/>
  <c r="B2334" i="4"/>
  <c r="A2334" i="4"/>
  <c r="E2333" i="4"/>
  <c r="D2333" i="4"/>
  <c r="C2333" i="4"/>
  <c r="B2333" i="4"/>
  <c r="A2333" i="4"/>
  <c r="E2332" i="4"/>
  <c r="D2332" i="4"/>
  <c r="C2332" i="4"/>
  <c r="B2332" i="4"/>
  <c r="A2332" i="4"/>
  <c r="E2331" i="4"/>
  <c r="D2331" i="4"/>
  <c r="C2331" i="4"/>
  <c r="B2331" i="4"/>
  <c r="A2331" i="4"/>
  <c r="E2330" i="4"/>
  <c r="D2330" i="4"/>
  <c r="C2330" i="4"/>
  <c r="B2330" i="4"/>
  <c r="A2330" i="4"/>
  <c r="E2329" i="4"/>
  <c r="D2329" i="4"/>
  <c r="C2329" i="4"/>
  <c r="B2329" i="4"/>
  <c r="A2329" i="4"/>
  <c r="E2328" i="4"/>
  <c r="D2328" i="4"/>
  <c r="C2328" i="4"/>
  <c r="B2328" i="4"/>
  <c r="A2328" i="4"/>
  <c r="E2327" i="4"/>
  <c r="D2327" i="4"/>
  <c r="C2327" i="4"/>
  <c r="B2327" i="4"/>
  <c r="A2327" i="4"/>
  <c r="E2326" i="4"/>
  <c r="D2326" i="4"/>
  <c r="C2326" i="4"/>
  <c r="B2326" i="4"/>
  <c r="A2326" i="4"/>
  <c r="E2325" i="4"/>
  <c r="D2325" i="4"/>
  <c r="C2325" i="4"/>
  <c r="B2325" i="4"/>
  <c r="A2325" i="4"/>
  <c r="E2324" i="4"/>
  <c r="D2324" i="4"/>
  <c r="C2324" i="4"/>
  <c r="B2324" i="4"/>
  <c r="A2324" i="4"/>
  <c r="E2323" i="4"/>
  <c r="D2323" i="4"/>
  <c r="C2323" i="4"/>
  <c r="B2323" i="4"/>
  <c r="A2323" i="4"/>
  <c r="E2322" i="4"/>
  <c r="D2322" i="4"/>
  <c r="C2322" i="4"/>
  <c r="B2322" i="4"/>
  <c r="A2322" i="4"/>
  <c r="E2321" i="4"/>
  <c r="D2321" i="4"/>
  <c r="C2321" i="4"/>
  <c r="B2321" i="4"/>
  <c r="A2321" i="4"/>
  <c r="E2320" i="4"/>
  <c r="D2320" i="4"/>
  <c r="C2320" i="4"/>
  <c r="B2320" i="4"/>
  <c r="A2320" i="4"/>
  <c r="E2319" i="4"/>
  <c r="D2319" i="4"/>
  <c r="C2319" i="4"/>
  <c r="B2319" i="4"/>
  <c r="A2319" i="4"/>
  <c r="E2318" i="4"/>
  <c r="D2318" i="4"/>
  <c r="C2318" i="4"/>
  <c r="B2318" i="4"/>
  <c r="A2318" i="4"/>
  <c r="E2317" i="4"/>
  <c r="D2317" i="4"/>
  <c r="C2317" i="4"/>
  <c r="B2317" i="4"/>
  <c r="A2317" i="4"/>
  <c r="E2316" i="4"/>
  <c r="D2316" i="4"/>
  <c r="C2316" i="4"/>
  <c r="B2316" i="4"/>
  <c r="A2316" i="4"/>
  <c r="E2315" i="4"/>
  <c r="D2315" i="4"/>
  <c r="C2315" i="4"/>
  <c r="B2315" i="4"/>
  <c r="A2315" i="4"/>
  <c r="E2314" i="4"/>
  <c r="D2314" i="4"/>
  <c r="C2314" i="4"/>
  <c r="B2314" i="4"/>
  <c r="A2314" i="4"/>
  <c r="E2313" i="4"/>
  <c r="D2313" i="4"/>
  <c r="C2313" i="4"/>
  <c r="B2313" i="4"/>
  <c r="A2313" i="4"/>
  <c r="E2312" i="4"/>
  <c r="D2312" i="4"/>
  <c r="C2312" i="4"/>
  <c r="B2312" i="4"/>
  <c r="A2312" i="4"/>
  <c r="E2311" i="4"/>
  <c r="D2311" i="4"/>
  <c r="C2311" i="4"/>
  <c r="B2311" i="4"/>
  <c r="A2311" i="4"/>
  <c r="E2310" i="4"/>
  <c r="D2310" i="4"/>
  <c r="C2310" i="4"/>
  <c r="B2310" i="4"/>
  <c r="A2310" i="4"/>
  <c r="E2309" i="4"/>
  <c r="D2309" i="4"/>
  <c r="C2309" i="4"/>
  <c r="B2309" i="4"/>
  <c r="A2309" i="4"/>
  <c r="E2308" i="4"/>
  <c r="D2308" i="4"/>
  <c r="C2308" i="4"/>
  <c r="B2308" i="4"/>
  <c r="A2308" i="4"/>
  <c r="E2307" i="4"/>
  <c r="D2307" i="4"/>
  <c r="C2307" i="4"/>
  <c r="B2307" i="4"/>
  <c r="A2307" i="4"/>
  <c r="E2306" i="4"/>
  <c r="D2306" i="4"/>
  <c r="C2306" i="4"/>
  <c r="B2306" i="4"/>
  <c r="A2306" i="4"/>
  <c r="E2305" i="4"/>
  <c r="D2305" i="4"/>
  <c r="C2305" i="4"/>
  <c r="B2305" i="4"/>
  <c r="A2305" i="4"/>
  <c r="E2304" i="4"/>
  <c r="D2304" i="4"/>
  <c r="C2304" i="4"/>
  <c r="B2304" i="4"/>
  <c r="A2304" i="4"/>
  <c r="E2303" i="4"/>
  <c r="D2303" i="4"/>
  <c r="C2303" i="4"/>
  <c r="B2303" i="4"/>
  <c r="A2303" i="4"/>
  <c r="E2302" i="4"/>
  <c r="D2302" i="4"/>
  <c r="C2302" i="4"/>
  <c r="B2302" i="4"/>
  <c r="A2302" i="4"/>
  <c r="E2301" i="4"/>
  <c r="D2301" i="4"/>
  <c r="C2301" i="4"/>
  <c r="B2301" i="4"/>
  <c r="A2301" i="4"/>
  <c r="E2300" i="4"/>
  <c r="D2300" i="4"/>
  <c r="C2300" i="4"/>
  <c r="B2300" i="4"/>
  <c r="A2300" i="4"/>
  <c r="E2299" i="4"/>
  <c r="D2299" i="4"/>
  <c r="B2299" i="4"/>
  <c r="A2299" i="4"/>
  <c r="E2298" i="4"/>
  <c r="D2298" i="4"/>
  <c r="C2298" i="4"/>
  <c r="B2298" i="4"/>
  <c r="A2298" i="4"/>
  <c r="F2297" i="4"/>
  <c r="E2297" i="4"/>
  <c r="D2297" i="4"/>
  <c r="C2297" i="4"/>
  <c r="B2297" i="4"/>
  <c r="A2297" i="4"/>
  <c r="E2296" i="4"/>
  <c r="D2296" i="4"/>
  <c r="C2296" i="4"/>
  <c r="B2296" i="4"/>
  <c r="A2296" i="4"/>
  <c r="E2295" i="4"/>
  <c r="D2295" i="4"/>
  <c r="C2295" i="4"/>
  <c r="B2295" i="4"/>
  <c r="A2295" i="4"/>
  <c r="E2294" i="4"/>
  <c r="D2294" i="4"/>
  <c r="C2294" i="4"/>
  <c r="B2294" i="4"/>
  <c r="A2294" i="4"/>
  <c r="E2293" i="4"/>
  <c r="D2293" i="4"/>
  <c r="C2293" i="4"/>
  <c r="B2293" i="4"/>
  <c r="A2293" i="4"/>
  <c r="E2292" i="4"/>
  <c r="D2292" i="4"/>
  <c r="C2292" i="4"/>
  <c r="B2292" i="4"/>
  <c r="A2292" i="4"/>
  <c r="E2291" i="4"/>
  <c r="D2291" i="4"/>
  <c r="C2291" i="4"/>
  <c r="B2291" i="4"/>
  <c r="A2291" i="4"/>
  <c r="E2290" i="4"/>
  <c r="D2290" i="4"/>
  <c r="C2290" i="4"/>
  <c r="B2290" i="4"/>
  <c r="A2290" i="4"/>
  <c r="E2289" i="4"/>
  <c r="D2289" i="4"/>
  <c r="B2289" i="4"/>
  <c r="A2289" i="4"/>
  <c r="E2288" i="4"/>
  <c r="D2288" i="4"/>
  <c r="C2288" i="4"/>
  <c r="B2288" i="4"/>
  <c r="A2288" i="4"/>
  <c r="E2287" i="4"/>
  <c r="D2287" i="4"/>
  <c r="C2287" i="4"/>
  <c r="B2287" i="4"/>
  <c r="A2287" i="4"/>
  <c r="E2286" i="4"/>
  <c r="D2286" i="4"/>
  <c r="C2286" i="4"/>
  <c r="B2286" i="4"/>
  <c r="A2286" i="4"/>
  <c r="E2285" i="4"/>
  <c r="D2285" i="4"/>
  <c r="C2285" i="4"/>
  <c r="B2285" i="4"/>
  <c r="A2285" i="4"/>
  <c r="E2284" i="4"/>
  <c r="D2284" i="4"/>
  <c r="C2284" i="4"/>
  <c r="B2284" i="4"/>
  <c r="A2284" i="4"/>
  <c r="F2283" i="4"/>
  <c r="E2283" i="4"/>
  <c r="D2283" i="4"/>
  <c r="C2283" i="4"/>
  <c r="B2283" i="4"/>
  <c r="A2283" i="4"/>
  <c r="F2282" i="4"/>
  <c r="E2282" i="4"/>
  <c r="D2282" i="4"/>
  <c r="C2282" i="4"/>
  <c r="B2282" i="4"/>
  <c r="A2282" i="4"/>
  <c r="E2281" i="4"/>
  <c r="D2281" i="4"/>
  <c r="C2281" i="4"/>
  <c r="B2281" i="4"/>
  <c r="A2281" i="4"/>
  <c r="E2280" i="4"/>
  <c r="D2280" i="4"/>
  <c r="C2280" i="4"/>
  <c r="B2280" i="4"/>
  <c r="A2280" i="4"/>
  <c r="E2279" i="4"/>
  <c r="D2279" i="4"/>
  <c r="C2279" i="4"/>
  <c r="B2279" i="4"/>
  <c r="A2279" i="4"/>
  <c r="E2278" i="4"/>
  <c r="D2278" i="4"/>
  <c r="C2278" i="4"/>
  <c r="B2278" i="4"/>
  <c r="A2278" i="4"/>
  <c r="E2277" i="4"/>
  <c r="D2277" i="4"/>
  <c r="C2277" i="4"/>
  <c r="B2277" i="4"/>
  <c r="A2277" i="4"/>
  <c r="F2276" i="4"/>
  <c r="E2276" i="4"/>
  <c r="D2276" i="4"/>
  <c r="C2276" i="4"/>
  <c r="B2276" i="4"/>
  <c r="A2276" i="4"/>
  <c r="F2275" i="4"/>
  <c r="E2275" i="4"/>
  <c r="D2275" i="4"/>
  <c r="C2275" i="4"/>
  <c r="B2275" i="4"/>
  <c r="A2275" i="4"/>
  <c r="F2274" i="4"/>
  <c r="E2274" i="4"/>
  <c r="D2274" i="4"/>
  <c r="C2274" i="4"/>
  <c r="B2274" i="4"/>
  <c r="A2274" i="4"/>
  <c r="F2273" i="4"/>
  <c r="E2273" i="4"/>
  <c r="D2273" i="4"/>
  <c r="C2273" i="4"/>
  <c r="B2273" i="4"/>
  <c r="A2273" i="4"/>
  <c r="F2272" i="4"/>
  <c r="E2272" i="4"/>
  <c r="D2272" i="4"/>
  <c r="C2272" i="4"/>
  <c r="B2272" i="4"/>
  <c r="A2272" i="4"/>
  <c r="E2271" i="4"/>
  <c r="D2271" i="4"/>
  <c r="C2271" i="4"/>
  <c r="B2271" i="4"/>
  <c r="A2271" i="4"/>
  <c r="E2270" i="4"/>
  <c r="D2270" i="4"/>
  <c r="C2270" i="4"/>
  <c r="B2270" i="4"/>
  <c r="A2270" i="4"/>
  <c r="E2269" i="4"/>
  <c r="D2269" i="4"/>
  <c r="C2269" i="4"/>
  <c r="B2269" i="4"/>
  <c r="A2269" i="4"/>
  <c r="E2268" i="4"/>
  <c r="D2268" i="4"/>
  <c r="C2268" i="4"/>
  <c r="B2268" i="4"/>
  <c r="A2268" i="4"/>
  <c r="E2267" i="4"/>
  <c r="D2267" i="4"/>
  <c r="C2267" i="4"/>
  <c r="B2267" i="4"/>
  <c r="A2267" i="4"/>
  <c r="E2266" i="4"/>
  <c r="D2266" i="4"/>
  <c r="C2266" i="4"/>
  <c r="B2266" i="4"/>
  <c r="A2266" i="4"/>
  <c r="E2265" i="4"/>
  <c r="D2265" i="4"/>
  <c r="C2265" i="4"/>
  <c r="B2265" i="4"/>
  <c r="A2265" i="4"/>
  <c r="F2264" i="4"/>
  <c r="E2264" i="4"/>
  <c r="D2264" i="4"/>
  <c r="C2264" i="4"/>
  <c r="B2264" i="4"/>
  <c r="A2264" i="4"/>
  <c r="F2263" i="4"/>
  <c r="E2263" i="4"/>
  <c r="D2263" i="4"/>
  <c r="C2263" i="4"/>
  <c r="B2263" i="4"/>
  <c r="A2263" i="4"/>
  <c r="E2262" i="4"/>
  <c r="D2262" i="4"/>
  <c r="C2262" i="4"/>
  <c r="B2262" i="4"/>
  <c r="A2262" i="4"/>
  <c r="E2261" i="4"/>
  <c r="D2261" i="4"/>
  <c r="C2261" i="4"/>
  <c r="B2261" i="4"/>
  <c r="A2261" i="4"/>
  <c r="E2260" i="4"/>
  <c r="D2260" i="4"/>
  <c r="C2260" i="4"/>
  <c r="B2260" i="4"/>
  <c r="A2260" i="4"/>
  <c r="E2259" i="4"/>
  <c r="D2259" i="4"/>
  <c r="C2259" i="4"/>
  <c r="B2259" i="4"/>
  <c r="A2259" i="4"/>
  <c r="E2258" i="4"/>
  <c r="D2258" i="4"/>
  <c r="C2258" i="4"/>
  <c r="B2258" i="4"/>
  <c r="A2258" i="4"/>
  <c r="E2257" i="4"/>
  <c r="D2257" i="4"/>
  <c r="C2257" i="4"/>
  <c r="B2257" i="4"/>
  <c r="A2257" i="4"/>
  <c r="E2256" i="4"/>
  <c r="D2256" i="4"/>
  <c r="C2256" i="4"/>
  <c r="B2256" i="4"/>
  <c r="A2256" i="4"/>
  <c r="E2255" i="4"/>
  <c r="D2255" i="4"/>
  <c r="C2255" i="4"/>
  <c r="B2255" i="4"/>
  <c r="A2255" i="4"/>
  <c r="E2254" i="4"/>
  <c r="D2254" i="4"/>
  <c r="C2254" i="4"/>
  <c r="B2254" i="4"/>
  <c r="A2254" i="4"/>
  <c r="E2253" i="4"/>
  <c r="D2253" i="4"/>
  <c r="C2253" i="4"/>
  <c r="B2253" i="4"/>
  <c r="A2253" i="4"/>
  <c r="E2252" i="4"/>
  <c r="D2252" i="4"/>
  <c r="C2252" i="4"/>
  <c r="B2252" i="4"/>
  <c r="A2252" i="4"/>
  <c r="E2251" i="4"/>
  <c r="D2251" i="4"/>
  <c r="C2251" i="4"/>
  <c r="B2251" i="4"/>
  <c r="A2251" i="4"/>
  <c r="E2250" i="4"/>
  <c r="D2250" i="4"/>
  <c r="C2250" i="4"/>
  <c r="B2250" i="4"/>
  <c r="A2250" i="4"/>
  <c r="F2249" i="4"/>
  <c r="E2249" i="4"/>
  <c r="D2249" i="4"/>
  <c r="C2249" i="4"/>
  <c r="B2249" i="4"/>
  <c r="A2249" i="4"/>
  <c r="E2248" i="4"/>
  <c r="D2248" i="4"/>
  <c r="C2248" i="4"/>
  <c r="B2248" i="4"/>
  <c r="A2248" i="4"/>
  <c r="E2247" i="4"/>
  <c r="D2247" i="4"/>
  <c r="C2247" i="4"/>
  <c r="B2247" i="4"/>
  <c r="A2247" i="4"/>
  <c r="E2246" i="4"/>
  <c r="D2246" i="4"/>
  <c r="C2246" i="4"/>
  <c r="B2246" i="4"/>
  <c r="A2246" i="4"/>
  <c r="E2245" i="4"/>
  <c r="D2245" i="4"/>
  <c r="C2245" i="4"/>
  <c r="B2245" i="4"/>
  <c r="A2245" i="4"/>
  <c r="E2244" i="4"/>
  <c r="D2244" i="4"/>
  <c r="C2244" i="4"/>
  <c r="B2244" i="4"/>
  <c r="A2244" i="4"/>
  <c r="E2243" i="4"/>
  <c r="D2243" i="4"/>
  <c r="C2243" i="4"/>
  <c r="B2243" i="4"/>
  <c r="A2243" i="4"/>
  <c r="E2242" i="4"/>
  <c r="D2242" i="4"/>
  <c r="C2242" i="4"/>
  <c r="B2242" i="4"/>
  <c r="A2242" i="4"/>
  <c r="F2241" i="4"/>
  <c r="E2241" i="4"/>
  <c r="D2241" i="4"/>
  <c r="C2241" i="4"/>
  <c r="B2241" i="4"/>
  <c r="A2241" i="4"/>
  <c r="E2240" i="4"/>
  <c r="D2240" i="4"/>
  <c r="C2240" i="4"/>
  <c r="B2240" i="4"/>
  <c r="A2240" i="4"/>
  <c r="E2239" i="4"/>
  <c r="D2239" i="4"/>
  <c r="C2239" i="4"/>
  <c r="B2239" i="4"/>
  <c r="A2239" i="4"/>
  <c r="E2238" i="4"/>
  <c r="D2238" i="4"/>
  <c r="C2238" i="4"/>
  <c r="B2238" i="4"/>
  <c r="A2238" i="4"/>
  <c r="E2237" i="4"/>
  <c r="D2237" i="4"/>
  <c r="C2237" i="4"/>
  <c r="B2237" i="4"/>
  <c r="A2237" i="4"/>
  <c r="E2236" i="4"/>
  <c r="D2236" i="4"/>
  <c r="C2236" i="4"/>
  <c r="B2236" i="4"/>
  <c r="A2236" i="4"/>
  <c r="E2235" i="4"/>
  <c r="D2235" i="4"/>
  <c r="C2235" i="4"/>
  <c r="B2235" i="4"/>
  <c r="A2235" i="4"/>
  <c r="E2234" i="4"/>
  <c r="D2234" i="4"/>
  <c r="C2234" i="4"/>
  <c r="B2234" i="4"/>
  <c r="A2234" i="4"/>
  <c r="E2233" i="4"/>
  <c r="D2233" i="4"/>
  <c r="B2233" i="4"/>
  <c r="A2233" i="4"/>
  <c r="E2232" i="4"/>
  <c r="D2232" i="4"/>
  <c r="B2232" i="4"/>
  <c r="A2232" i="4"/>
  <c r="E2231" i="4"/>
  <c r="D2231" i="4"/>
  <c r="B2231" i="4"/>
  <c r="A2231" i="4"/>
  <c r="E2230" i="4"/>
  <c r="D2230" i="4"/>
  <c r="B2230" i="4"/>
  <c r="A2230" i="4"/>
  <c r="E2229" i="4"/>
  <c r="D2229" i="4"/>
  <c r="B2229" i="4"/>
  <c r="A2229" i="4"/>
  <c r="E2228" i="4"/>
  <c r="D2228" i="4"/>
  <c r="C2228" i="4"/>
  <c r="B2228" i="4"/>
  <c r="A2228" i="4"/>
  <c r="E2227" i="4"/>
  <c r="D2227" i="4"/>
  <c r="B2227" i="4"/>
  <c r="A2227" i="4"/>
  <c r="E2226" i="4"/>
  <c r="D2226" i="4"/>
  <c r="C2226" i="4"/>
  <c r="B2226" i="4"/>
  <c r="A2226" i="4"/>
  <c r="E2225" i="4"/>
  <c r="D2225" i="4"/>
  <c r="B2225" i="4"/>
  <c r="A2225" i="4"/>
  <c r="E2224" i="4"/>
  <c r="D2224" i="4"/>
  <c r="C2224" i="4"/>
  <c r="B2224" i="4"/>
  <c r="A2224" i="4"/>
  <c r="E2223" i="4"/>
  <c r="D2223" i="4"/>
  <c r="C2223" i="4"/>
  <c r="B2223" i="4"/>
  <c r="A2223" i="4"/>
  <c r="E2222" i="4"/>
  <c r="D2222" i="4"/>
  <c r="C2222" i="4"/>
  <c r="B2222" i="4"/>
  <c r="A2222" i="4"/>
  <c r="E2221" i="4"/>
  <c r="D2221" i="4"/>
  <c r="C2221" i="4"/>
  <c r="B2221" i="4"/>
  <c r="A2221" i="4"/>
  <c r="E2220" i="4"/>
  <c r="D2220" i="4"/>
  <c r="C2220" i="4"/>
  <c r="B2220" i="4"/>
  <c r="A2220" i="4"/>
  <c r="E2219" i="4"/>
  <c r="D2219" i="4"/>
  <c r="C2219" i="4"/>
  <c r="B2219" i="4"/>
  <c r="A2219" i="4"/>
  <c r="E2218" i="4"/>
  <c r="C2218" i="4"/>
  <c r="B2218" i="4"/>
  <c r="A2218" i="4"/>
  <c r="E2217" i="4"/>
  <c r="D2217" i="4"/>
  <c r="C2217" i="4"/>
  <c r="B2217" i="4"/>
  <c r="A2217" i="4"/>
  <c r="E2216" i="4"/>
  <c r="D2216" i="4"/>
  <c r="C2216" i="4"/>
  <c r="B2216" i="4"/>
  <c r="A2216" i="4"/>
  <c r="E2215" i="4"/>
  <c r="D2215" i="4"/>
  <c r="C2215" i="4"/>
  <c r="B2215" i="4"/>
  <c r="A2215" i="4"/>
  <c r="E2214" i="4"/>
  <c r="D2214" i="4"/>
  <c r="C2214" i="4"/>
  <c r="B2214" i="4"/>
  <c r="A2214" i="4"/>
  <c r="E2213" i="4"/>
  <c r="D2213" i="4"/>
  <c r="C2213" i="4"/>
  <c r="B2213" i="4"/>
  <c r="A2213" i="4"/>
  <c r="E2212" i="4"/>
  <c r="D2212" i="4"/>
  <c r="C2212" i="4"/>
  <c r="B2212" i="4"/>
  <c r="A2212" i="4"/>
  <c r="E2211" i="4"/>
  <c r="D2211" i="4"/>
  <c r="C2211" i="4"/>
  <c r="B2211" i="4"/>
  <c r="A2211" i="4"/>
  <c r="E2210" i="4"/>
  <c r="D2210" i="4"/>
  <c r="C2210" i="4"/>
  <c r="B2210" i="4"/>
  <c r="A2210" i="4"/>
  <c r="E2209" i="4"/>
  <c r="D2209" i="4"/>
  <c r="C2209" i="4"/>
  <c r="B2209" i="4"/>
  <c r="A2209" i="4"/>
  <c r="E2208" i="4"/>
  <c r="D2208" i="4"/>
  <c r="C2208" i="4"/>
  <c r="B2208" i="4"/>
  <c r="A2208" i="4"/>
  <c r="E2207" i="4"/>
  <c r="D2207" i="4"/>
  <c r="C2207" i="4"/>
  <c r="B2207" i="4"/>
  <c r="A2207" i="4"/>
  <c r="E2206" i="4"/>
  <c r="D2206" i="4"/>
  <c r="C2206" i="4"/>
  <c r="B2206" i="4"/>
  <c r="A2206" i="4"/>
  <c r="E2205" i="4"/>
  <c r="D2205" i="4"/>
  <c r="C2205" i="4"/>
  <c r="B2205" i="4"/>
  <c r="A2205" i="4"/>
  <c r="E2204" i="4"/>
  <c r="D2204" i="4"/>
  <c r="C2204" i="4"/>
  <c r="B2204" i="4"/>
  <c r="A2204" i="4"/>
  <c r="E2203" i="4"/>
  <c r="D2203" i="4"/>
  <c r="C2203" i="4"/>
  <c r="B2203" i="4"/>
  <c r="A2203" i="4"/>
  <c r="E2202" i="4"/>
  <c r="D2202" i="4"/>
  <c r="C2202" i="4"/>
  <c r="B2202" i="4"/>
  <c r="A2202" i="4"/>
  <c r="E2201" i="4"/>
  <c r="D2201" i="4"/>
  <c r="C2201" i="4"/>
  <c r="B2201" i="4"/>
  <c r="A2201" i="4"/>
  <c r="E2200" i="4"/>
  <c r="D2200" i="4"/>
  <c r="C2200" i="4"/>
  <c r="B2200" i="4"/>
  <c r="A2200" i="4"/>
  <c r="E2199" i="4"/>
  <c r="D2199" i="4"/>
  <c r="C2199" i="4"/>
  <c r="B2199" i="4"/>
  <c r="A2199" i="4"/>
  <c r="E2198" i="4"/>
  <c r="D2198" i="4"/>
  <c r="B2198" i="4"/>
  <c r="A2198" i="4"/>
  <c r="E2197" i="4"/>
  <c r="D2197" i="4"/>
  <c r="C2197" i="4"/>
  <c r="B2197" i="4"/>
  <c r="A2197" i="4"/>
  <c r="E2196" i="4"/>
  <c r="D2196" i="4"/>
  <c r="B2196" i="4"/>
  <c r="A2196" i="4"/>
  <c r="E2195" i="4"/>
  <c r="D2195" i="4"/>
  <c r="B2195" i="4"/>
  <c r="A2195" i="4"/>
  <c r="E2194" i="4"/>
  <c r="D2194" i="4"/>
  <c r="C2194" i="4"/>
  <c r="B2194" i="4"/>
  <c r="A2194" i="4"/>
  <c r="E2193" i="4"/>
  <c r="D2193" i="4"/>
  <c r="B2193" i="4"/>
  <c r="A2193" i="4"/>
  <c r="E2192" i="4"/>
  <c r="D2192" i="4"/>
  <c r="B2192" i="4"/>
  <c r="A2192" i="4"/>
  <c r="E2191" i="4"/>
  <c r="D2191" i="4"/>
  <c r="B2191" i="4"/>
  <c r="A2191" i="4"/>
  <c r="E2190" i="4"/>
  <c r="D2190" i="4"/>
  <c r="B2190" i="4"/>
  <c r="A2190" i="4"/>
  <c r="E2189" i="4"/>
  <c r="D2189" i="4"/>
  <c r="C2189" i="4"/>
  <c r="B2189" i="4"/>
  <c r="A2189" i="4"/>
  <c r="E2188" i="4"/>
  <c r="D2188" i="4"/>
  <c r="B2188" i="4"/>
  <c r="A2188" i="4"/>
  <c r="E2187" i="4"/>
  <c r="D2187" i="4"/>
  <c r="C2187" i="4"/>
  <c r="B2187" i="4"/>
  <c r="A2187" i="4"/>
  <c r="E2186" i="4"/>
  <c r="D2186" i="4"/>
  <c r="B2186" i="4"/>
  <c r="A2186" i="4"/>
  <c r="E2185" i="4"/>
  <c r="D2185" i="4"/>
  <c r="C2185" i="4"/>
  <c r="B2185" i="4"/>
  <c r="A2185" i="4"/>
  <c r="E2184" i="4"/>
  <c r="D2184" i="4"/>
  <c r="B2184" i="4"/>
  <c r="A2184" i="4"/>
  <c r="E2183" i="4"/>
  <c r="D2183" i="4"/>
  <c r="C2183" i="4"/>
  <c r="B2183" i="4"/>
  <c r="A2183" i="4"/>
  <c r="E2182" i="4"/>
  <c r="D2182" i="4"/>
  <c r="C2182" i="4"/>
  <c r="B2182" i="4"/>
  <c r="A2182" i="4"/>
  <c r="E2181" i="4"/>
  <c r="D2181" i="4"/>
  <c r="C2181" i="4"/>
  <c r="B2181" i="4"/>
  <c r="A2181" i="4"/>
  <c r="B2180" i="4"/>
  <c r="A2180" i="4"/>
  <c r="E2179" i="4"/>
  <c r="D2179" i="4"/>
  <c r="C2179" i="4"/>
  <c r="B2179" i="4"/>
  <c r="A2179" i="4"/>
  <c r="E2178" i="4"/>
  <c r="D2178" i="4"/>
  <c r="C2178" i="4"/>
  <c r="B2178" i="4"/>
  <c r="A2178" i="4"/>
  <c r="E2177" i="4"/>
  <c r="D2177" i="4"/>
  <c r="C2177" i="4"/>
  <c r="B2177" i="4"/>
  <c r="A2177" i="4"/>
  <c r="E2176" i="4"/>
  <c r="D2176" i="4"/>
  <c r="C2176" i="4"/>
  <c r="B2176" i="4"/>
  <c r="A2176" i="4"/>
  <c r="E2175" i="4"/>
  <c r="D2175" i="4"/>
  <c r="C2175" i="4"/>
  <c r="B2175" i="4"/>
  <c r="A2175" i="4"/>
  <c r="E2174" i="4"/>
  <c r="D2174" i="4"/>
  <c r="C2174" i="4"/>
  <c r="B2174" i="4"/>
  <c r="A2174" i="4"/>
  <c r="E2173" i="4"/>
  <c r="D2173" i="4"/>
  <c r="C2173" i="4"/>
  <c r="B2173" i="4"/>
  <c r="A2173" i="4"/>
  <c r="E2172" i="4"/>
  <c r="D2172" i="4"/>
  <c r="C2172" i="4"/>
  <c r="B2172" i="4"/>
  <c r="A2172" i="4"/>
  <c r="E2171" i="4"/>
  <c r="D2171" i="4"/>
  <c r="C2171" i="4"/>
  <c r="B2171" i="4"/>
  <c r="A2171" i="4"/>
  <c r="E2170" i="4"/>
  <c r="D2170" i="4"/>
  <c r="C2170" i="4"/>
  <c r="B2170" i="4"/>
  <c r="A2170" i="4"/>
  <c r="E2169" i="4"/>
  <c r="D2169" i="4"/>
  <c r="C2169" i="4"/>
  <c r="B2169" i="4"/>
  <c r="A2169" i="4"/>
  <c r="E2168" i="4"/>
  <c r="D2168" i="4"/>
  <c r="C2168" i="4"/>
  <c r="B2168" i="4"/>
  <c r="A2168" i="4"/>
  <c r="E2167" i="4"/>
  <c r="D2167" i="4"/>
  <c r="C2167" i="4"/>
  <c r="B2167" i="4"/>
  <c r="A2167" i="4"/>
  <c r="E2166" i="4"/>
  <c r="D2166" i="4"/>
  <c r="C2166" i="4"/>
  <c r="B2166" i="4"/>
  <c r="A2166" i="4"/>
  <c r="E2165" i="4"/>
  <c r="D2165" i="4"/>
  <c r="C2165" i="4"/>
  <c r="B2165" i="4"/>
  <c r="A2165" i="4"/>
  <c r="E2164" i="4"/>
  <c r="D2164" i="4"/>
  <c r="B2164" i="4"/>
  <c r="A2164" i="4"/>
  <c r="E2163" i="4"/>
  <c r="D2163" i="4"/>
  <c r="B2163" i="4"/>
  <c r="A2163" i="4"/>
  <c r="E2162" i="4"/>
  <c r="D2162" i="4"/>
  <c r="B2162" i="4"/>
  <c r="A2162" i="4"/>
  <c r="E2161" i="4"/>
  <c r="D2161" i="4"/>
  <c r="B2161" i="4"/>
  <c r="A2161" i="4"/>
  <c r="E2160" i="4"/>
  <c r="D2160" i="4"/>
  <c r="C2160" i="4"/>
  <c r="B2160" i="4"/>
  <c r="A2160" i="4"/>
  <c r="E2159" i="4"/>
  <c r="D2159" i="4"/>
  <c r="B2159" i="4"/>
  <c r="A2159" i="4"/>
  <c r="E2158" i="4"/>
  <c r="D2158" i="4"/>
  <c r="C2158" i="4"/>
  <c r="B2158" i="4"/>
  <c r="A2158" i="4"/>
  <c r="E2157" i="4"/>
  <c r="D2157" i="4"/>
  <c r="B2157" i="4"/>
  <c r="A2157" i="4"/>
  <c r="E2156" i="4"/>
  <c r="D2156" i="4"/>
  <c r="B2156" i="4"/>
  <c r="A2156" i="4"/>
  <c r="E2155" i="4"/>
  <c r="D2155" i="4"/>
  <c r="B2155" i="4"/>
  <c r="A2155" i="4"/>
  <c r="E2154" i="4"/>
  <c r="D2154" i="4"/>
  <c r="B2154" i="4"/>
  <c r="A2154" i="4"/>
  <c r="E2153" i="4"/>
  <c r="D2153" i="4"/>
  <c r="B2153" i="4"/>
  <c r="A2153" i="4"/>
  <c r="E2152" i="4"/>
  <c r="D2152" i="4"/>
  <c r="B2152" i="4"/>
  <c r="A2152" i="4"/>
  <c r="E2151" i="4"/>
  <c r="D2151" i="4"/>
  <c r="B2151" i="4"/>
  <c r="A2151" i="4"/>
  <c r="E2150" i="4"/>
  <c r="D2150" i="4"/>
  <c r="B2150" i="4"/>
  <c r="A2150" i="4"/>
  <c r="E2149" i="4"/>
  <c r="D2149" i="4"/>
  <c r="B2149" i="4"/>
  <c r="A2149" i="4"/>
  <c r="E2148" i="4"/>
  <c r="D2148" i="4"/>
  <c r="B2148" i="4"/>
  <c r="A2148" i="4"/>
  <c r="E2147" i="4"/>
  <c r="D2147" i="4"/>
  <c r="B2147" i="4"/>
  <c r="A2147" i="4"/>
  <c r="E2146" i="4"/>
  <c r="D2146" i="4"/>
  <c r="B2146" i="4"/>
  <c r="A2146" i="4"/>
  <c r="E2145" i="4"/>
  <c r="D2145" i="4"/>
  <c r="B2145" i="4"/>
  <c r="A2145" i="4"/>
  <c r="E2144" i="4"/>
  <c r="D2144" i="4"/>
  <c r="B2144" i="4"/>
  <c r="A2144" i="4"/>
  <c r="E2143" i="4"/>
  <c r="D2143" i="4"/>
  <c r="B2143" i="4"/>
  <c r="A2143" i="4"/>
  <c r="E2142" i="4"/>
  <c r="D2142" i="4"/>
  <c r="B2142" i="4"/>
  <c r="A2142" i="4"/>
  <c r="E2141" i="4"/>
  <c r="D2141" i="4"/>
  <c r="B2141" i="4"/>
  <c r="A2141" i="4"/>
  <c r="E2140" i="4"/>
  <c r="D2140" i="4"/>
  <c r="B2140" i="4"/>
  <c r="A2140" i="4"/>
  <c r="E2139" i="4"/>
  <c r="D2139" i="4"/>
  <c r="B2139" i="4"/>
  <c r="A2139" i="4"/>
  <c r="E2138" i="4"/>
  <c r="D2138" i="4"/>
  <c r="B2138" i="4"/>
  <c r="A2138" i="4"/>
  <c r="E2137" i="4"/>
  <c r="D2137" i="4"/>
  <c r="C2137" i="4"/>
  <c r="B2137" i="4"/>
  <c r="A2137" i="4"/>
  <c r="E2136" i="4"/>
  <c r="C2136" i="4"/>
  <c r="B2136" i="4"/>
  <c r="A2136" i="4"/>
  <c r="E2135" i="4"/>
  <c r="C2135" i="4"/>
  <c r="B2135" i="4"/>
  <c r="A2135" i="4"/>
  <c r="F2134" i="4"/>
  <c r="E2134" i="4"/>
  <c r="D2134" i="4"/>
  <c r="C2134" i="4"/>
  <c r="B2134" i="4"/>
  <c r="A2134" i="4"/>
  <c r="E2133" i="4"/>
  <c r="D2133" i="4"/>
  <c r="C2133" i="4"/>
  <c r="B2133" i="4"/>
  <c r="A2133" i="4"/>
  <c r="E2132" i="4"/>
  <c r="D2132" i="4"/>
  <c r="C2132" i="4"/>
  <c r="B2132" i="4"/>
  <c r="A2132" i="4"/>
  <c r="E2131" i="4"/>
  <c r="D2131" i="4"/>
  <c r="C2131" i="4"/>
  <c r="B2131" i="4"/>
  <c r="A2131" i="4"/>
  <c r="E2130" i="4"/>
  <c r="D2130" i="4"/>
  <c r="C2130" i="4"/>
  <c r="B2130" i="4"/>
  <c r="A2130" i="4"/>
  <c r="E2129" i="4"/>
  <c r="D2129" i="4"/>
  <c r="C2129" i="4"/>
  <c r="B2129" i="4"/>
  <c r="A2129" i="4"/>
  <c r="E2128" i="4"/>
  <c r="D2128" i="4"/>
  <c r="C2128" i="4"/>
  <c r="B2128" i="4"/>
  <c r="A2128" i="4"/>
  <c r="E2127" i="4"/>
  <c r="D2127" i="4"/>
  <c r="C2127" i="4"/>
  <c r="B2127" i="4"/>
  <c r="A2127" i="4"/>
  <c r="E2126" i="4"/>
  <c r="D2126" i="4"/>
  <c r="C2126" i="4"/>
  <c r="B2126" i="4"/>
  <c r="A2126" i="4"/>
  <c r="E2125" i="4"/>
  <c r="D2125" i="4"/>
  <c r="C2125" i="4"/>
  <c r="B2125" i="4"/>
  <c r="A2125" i="4"/>
  <c r="E2124" i="4"/>
  <c r="D2124" i="4"/>
  <c r="C2124" i="4"/>
  <c r="B2124" i="4"/>
  <c r="A2124" i="4"/>
  <c r="E2123" i="4"/>
  <c r="D2123" i="4"/>
  <c r="C2123" i="4"/>
  <c r="B2123" i="4"/>
  <c r="A2123" i="4"/>
  <c r="B2122" i="4"/>
  <c r="A2122" i="4"/>
  <c r="E2121" i="4"/>
  <c r="D2121" i="4"/>
  <c r="C2121" i="4"/>
  <c r="B2121" i="4"/>
  <c r="A2121" i="4"/>
  <c r="E2120" i="4"/>
  <c r="D2120" i="4"/>
  <c r="C2120" i="4"/>
  <c r="B2120" i="4"/>
  <c r="A2120" i="4"/>
  <c r="E2119" i="4"/>
  <c r="D2119" i="4"/>
  <c r="C2119" i="4"/>
  <c r="B2119" i="4"/>
  <c r="A2119" i="4"/>
  <c r="E2118" i="4"/>
  <c r="D2118" i="4"/>
  <c r="C2118" i="4"/>
  <c r="B2118" i="4"/>
  <c r="A2118" i="4"/>
  <c r="E2117" i="4"/>
  <c r="D2117" i="4"/>
  <c r="C2117" i="4"/>
  <c r="B2117" i="4"/>
  <c r="A2117" i="4"/>
  <c r="E2116" i="4"/>
  <c r="D2116" i="4"/>
  <c r="C2116" i="4"/>
  <c r="B2116" i="4"/>
  <c r="A2116" i="4"/>
  <c r="B2115" i="4"/>
  <c r="A2115" i="4"/>
  <c r="E2114" i="4"/>
  <c r="D2114" i="4"/>
  <c r="C2114" i="4"/>
  <c r="B2114" i="4"/>
  <c r="A2114" i="4"/>
  <c r="E2113" i="4"/>
  <c r="D2113" i="4"/>
  <c r="B2113" i="4"/>
  <c r="A2113" i="4"/>
  <c r="F2112" i="4"/>
  <c r="E2112" i="4"/>
  <c r="D2112" i="4"/>
  <c r="C2112" i="4"/>
  <c r="B2112" i="4"/>
  <c r="A2112" i="4"/>
  <c r="F2111" i="4"/>
  <c r="E2111" i="4"/>
  <c r="D2111" i="4"/>
  <c r="C2111" i="4"/>
  <c r="B2111" i="4"/>
  <c r="A2111" i="4"/>
  <c r="E2110" i="4"/>
  <c r="D2110" i="4"/>
  <c r="C2110" i="4"/>
  <c r="B2110" i="4"/>
  <c r="A2110" i="4"/>
  <c r="E2109" i="4"/>
  <c r="D2109" i="4"/>
  <c r="C2109" i="4"/>
  <c r="B2109" i="4"/>
  <c r="A2109" i="4"/>
  <c r="E2108" i="4"/>
  <c r="D2108" i="4"/>
  <c r="B2108" i="4"/>
  <c r="A2108" i="4"/>
  <c r="E2107" i="4"/>
  <c r="D2107" i="4"/>
  <c r="B2107" i="4"/>
  <c r="A2107" i="4"/>
  <c r="E2106" i="4"/>
  <c r="D2106" i="4"/>
  <c r="B2106" i="4"/>
  <c r="A2106" i="4"/>
  <c r="F2105" i="4"/>
  <c r="E2105" i="4"/>
  <c r="D2105" i="4"/>
  <c r="C2105" i="4"/>
  <c r="B2105" i="4"/>
  <c r="A2105" i="4"/>
  <c r="F2104" i="4"/>
  <c r="E2104" i="4"/>
  <c r="D2104" i="4"/>
  <c r="C2104" i="4"/>
  <c r="B2104" i="4"/>
  <c r="A2104" i="4"/>
  <c r="E2103" i="4"/>
  <c r="D2103" i="4"/>
  <c r="B2103" i="4"/>
  <c r="A2103" i="4"/>
  <c r="E2102" i="4"/>
  <c r="D2102" i="4"/>
  <c r="C2102" i="4"/>
  <c r="B2102" i="4"/>
  <c r="A2102" i="4"/>
  <c r="F2101" i="4"/>
  <c r="E2101" i="4"/>
  <c r="D2101" i="4"/>
  <c r="C2101" i="4"/>
  <c r="B2101" i="4"/>
  <c r="A2101" i="4"/>
  <c r="E2100" i="4"/>
  <c r="D2100" i="4"/>
  <c r="B2100" i="4"/>
  <c r="A2100" i="4"/>
  <c r="F2099" i="4"/>
  <c r="E2099" i="4"/>
  <c r="D2099" i="4"/>
  <c r="C2099" i="4"/>
  <c r="B2099" i="4"/>
  <c r="A2099" i="4"/>
  <c r="E2098" i="4"/>
  <c r="D2098" i="4"/>
  <c r="B2098" i="4"/>
  <c r="A2098" i="4"/>
  <c r="F2097" i="4"/>
  <c r="E2097" i="4"/>
  <c r="D2097" i="4"/>
  <c r="C2097" i="4"/>
  <c r="B2097" i="4"/>
  <c r="A2097" i="4"/>
  <c r="F2096" i="4"/>
  <c r="E2096" i="4"/>
  <c r="D2096" i="4"/>
  <c r="C2096" i="4"/>
  <c r="B2096" i="4"/>
  <c r="A2096" i="4"/>
  <c r="E2095" i="4"/>
  <c r="D2095" i="4"/>
  <c r="B2095" i="4"/>
  <c r="A2095" i="4"/>
  <c r="E2094" i="4"/>
  <c r="D2094" i="4"/>
  <c r="B2094" i="4"/>
  <c r="A2094" i="4"/>
  <c r="E2093" i="4"/>
  <c r="D2093" i="4"/>
  <c r="B2093" i="4"/>
  <c r="A2093" i="4"/>
  <c r="E2092" i="4"/>
  <c r="D2092" i="4"/>
  <c r="C2092" i="4"/>
  <c r="B2092" i="4"/>
  <c r="A2092" i="4"/>
  <c r="E2091" i="4"/>
  <c r="D2091" i="4"/>
  <c r="B2091" i="4"/>
  <c r="A2091" i="4"/>
  <c r="F2090" i="4"/>
  <c r="E2090" i="4"/>
  <c r="D2090" i="4"/>
  <c r="C2090" i="4"/>
  <c r="B2090" i="4"/>
  <c r="A2090" i="4"/>
  <c r="F2089" i="4"/>
  <c r="E2089" i="4"/>
  <c r="D2089" i="4"/>
  <c r="C2089" i="4"/>
  <c r="B2089" i="4"/>
  <c r="A2089" i="4"/>
  <c r="F2088" i="4"/>
  <c r="E2088" i="4"/>
  <c r="D2088" i="4"/>
  <c r="C2088" i="4"/>
  <c r="B2088" i="4"/>
  <c r="A2088" i="4"/>
  <c r="E2087" i="4"/>
  <c r="D2087" i="4"/>
  <c r="B2087" i="4"/>
  <c r="A2087" i="4"/>
  <c r="E2086" i="4"/>
  <c r="D2086" i="4"/>
  <c r="C2086" i="4"/>
  <c r="B2086" i="4"/>
  <c r="A2086" i="4"/>
  <c r="E2085" i="4"/>
  <c r="D2085" i="4"/>
  <c r="C2085" i="4"/>
  <c r="B2085" i="4"/>
  <c r="A2085" i="4"/>
  <c r="E2084" i="4"/>
  <c r="D2084" i="4"/>
  <c r="C2084" i="4"/>
  <c r="B2084" i="4"/>
  <c r="A2084" i="4"/>
  <c r="E2083" i="4"/>
  <c r="D2083" i="4"/>
  <c r="B2083" i="4"/>
  <c r="A2083" i="4"/>
  <c r="F2082" i="4"/>
  <c r="E2082" i="4"/>
  <c r="D2082" i="4"/>
  <c r="C2082" i="4"/>
  <c r="B2082" i="4"/>
  <c r="A2082" i="4"/>
  <c r="F2081" i="4"/>
  <c r="E2081" i="4"/>
  <c r="D2081" i="4"/>
  <c r="C2081" i="4"/>
  <c r="B2081" i="4"/>
  <c r="A2081" i="4"/>
  <c r="E2080" i="4"/>
  <c r="D2080" i="4"/>
  <c r="B2080" i="4"/>
  <c r="A2080" i="4"/>
  <c r="E2079" i="4"/>
  <c r="D2079" i="4"/>
  <c r="C2079" i="4"/>
  <c r="B2079" i="4"/>
  <c r="A2079" i="4"/>
  <c r="E2078" i="4"/>
  <c r="D2078" i="4"/>
  <c r="B2078" i="4"/>
  <c r="A2078" i="4"/>
  <c r="F2077" i="4"/>
  <c r="E2077" i="4"/>
  <c r="D2077" i="4"/>
  <c r="C2077" i="4"/>
  <c r="B2077" i="4"/>
  <c r="A2077" i="4"/>
  <c r="E2076" i="4"/>
  <c r="D2076" i="4"/>
  <c r="C2076" i="4"/>
  <c r="B2076" i="4"/>
  <c r="A2076" i="4"/>
  <c r="E2075" i="4"/>
  <c r="D2075" i="4"/>
  <c r="B2075" i="4"/>
  <c r="A2075" i="4"/>
  <c r="E2074" i="4"/>
  <c r="D2074" i="4"/>
  <c r="B2074" i="4"/>
  <c r="A2074" i="4"/>
  <c r="E2073" i="4"/>
  <c r="D2073" i="4"/>
  <c r="B2073" i="4"/>
  <c r="A2073" i="4"/>
  <c r="E2072" i="4"/>
  <c r="D2072" i="4"/>
  <c r="C2072" i="4"/>
  <c r="B2072" i="4"/>
  <c r="A2072" i="4"/>
  <c r="E2071" i="4"/>
  <c r="D2071" i="4"/>
  <c r="B2071" i="4"/>
  <c r="A2071" i="4"/>
  <c r="E2070" i="4"/>
  <c r="D2070" i="4"/>
  <c r="B2070" i="4"/>
  <c r="A2070" i="4"/>
  <c r="E2069" i="4"/>
  <c r="D2069" i="4"/>
  <c r="C2069" i="4"/>
  <c r="B2069" i="4"/>
  <c r="A2069" i="4"/>
  <c r="E2068" i="4"/>
  <c r="D2068" i="4"/>
  <c r="C2068" i="4"/>
  <c r="B2068" i="4"/>
  <c r="A2068" i="4"/>
  <c r="E2067" i="4"/>
  <c r="D2067" i="4"/>
  <c r="C2067" i="4"/>
  <c r="B2067" i="4"/>
  <c r="A2067" i="4"/>
  <c r="E2066" i="4"/>
  <c r="D2066" i="4"/>
  <c r="C2066" i="4"/>
  <c r="B2066" i="4"/>
  <c r="A2066" i="4"/>
  <c r="E2065" i="4"/>
  <c r="D2065" i="4"/>
  <c r="C2065" i="4"/>
  <c r="B2065" i="4"/>
  <c r="A2065" i="4"/>
  <c r="E2064" i="4"/>
  <c r="D2064" i="4"/>
  <c r="C2064" i="4"/>
  <c r="B2064" i="4"/>
  <c r="A2064" i="4"/>
  <c r="E2063" i="4"/>
  <c r="D2063" i="4"/>
  <c r="C2063" i="4"/>
  <c r="B2063" i="4"/>
  <c r="A2063" i="4"/>
  <c r="E2062" i="4"/>
  <c r="D2062" i="4"/>
  <c r="C2062" i="4"/>
  <c r="B2062" i="4"/>
  <c r="A2062" i="4"/>
  <c r="E2061" i="4"/>
  <c r="D2061" i="4"/>
  <c r="C2061" i="4"/>
  <c r="B2061" i="4"/>
  <c r="A2061" i="4"/>
  <c r="E2060" i="4"/>
  <c r="D2060" i="4"/>
  <c r="C2060" i="4"/>
  <c r="B2060" i="4"/>
  <c r="A2060" i="4"/>
  <c r="E2059" i="4"/>
  <c r="D2059" i="4"/>
  <c r="C2059" i="4"/>
  <c r="B2059" i="4"/>
  <c r="A2059" i="4"/>
  <c r="E2058" i="4"/>
  <c r="D2058" i="4"/>
  <c r="B2058" i="4"/>
  <c r="A2058" i="4"/>
  <c r="E2057" i="4"/>
  <c r="D2057" i="4"/>
  <c r="B2057" i="4"/>
  <c r="A2057" i="4"/>
  <c r="E2056" i="4"/>
  <c r="D2056" i="4"/>
  <c r="B2056" i="4"/>
  <c r="A2056" i="4"/>
  <c r="E2055" i="4"/>
  <c r="D2055" i="4"/>
  <c r="B2055" i="4"/>
  <c r="A2055" i="4"/>
  <c r="E2054" i="4"/>
  <c r="D2054" i="4"/>
  <c r="B2054" i="4"/>
  <c r="A2054" i="4"/>
  <c r="E2053" i="4"/>
  <c r="D2053" i="4"/>
  <c r="C2053" i="4"/>
  <c r="B2053" i="4"/>
  <c r="A2053" i="4"/>
  <c r="B2052" i="4"/>
  <c r="A2052" i="4"/>
  <c r="E2051" i="4"/>
  <c r="D2051" i="4"/>
  <c r="C2051" i="4"/>
  <c r="B2051" i="4"/>
  <c r="A2051" i="4"/>
  <c r="B2050" i="4"/>
  <c r="A2050" i="4"/>
  <c r="E2049" i="4"/>
  <c r="D2049" i="4"/>
  <c r="C2049" i="4"/>
  <c r="B2049" i="4"/>
  <c r="A2049" i="4"/>
  <c r="E2048" i="4"/>
  <c r="D2048" i="4"/>
  <c r="C2048" i="4"/>
  <c r="B2048" i="4"/>
  <c r="A2048" i="4"/>
  <c r="E2047" i="4"/>
  <c r="D2047" i="4"/>
  <c r="C2047" i="4"/>
  <c r="B2047" i="4"/>
  <c r="A2047" i="4"/>
  <c r="E2046" i="4"/>
  <c r="D2046" i="4"/>
  <c r="C2046" i="4"/>
  <c r="B2046" i="4"/>
  <c r="A2046" i="4"/>
  <c r="E2045" i="4"/>
  <c r="D2045" i="4"/>
  <c r="C2045" i="4"/>
  <c r="B2045" i="4"/>
  <c r="A2045" i="4"/>
  <c r="E2044" i="4"/>
  <c r="D2044" i="4"/>
  <c r="C2044" i="4"/>
  <c r="B2044" i="4"/>
  <c r="A2044" i="4"/>
  <c r="E2043" i="4"/>
  <c r="D2043" i="4"/>
  <c r="C2043" i="4"/>
  <c r="B2043" i="4"/>
  <c r="A2043" i="4"/>
  <c r="E2042" i="4"/>
  <c r="D2042" i="4"/>
  <c r="C2042" i="4"/>
  <c r="B2042" i="4"/>
  <c r="A2042" i="4"/>
  <c r="B2041" i="4"/>
  <c r="A2041" i="4"/>
  <c r="E2040" i="4"/>
  <c r="D2040" i="4"/>
  <c r="C2040" i="4"/>
  <c r="B2040" i="4"/>
  <c r="A2040" i="4"/>
  <c r="E2039" i="4"/>
  <c r="D2039" i="4"/>
  <c r="C2039" i="4"/>
  <c r="B2039" i="4"/>
  <c r="A2039" i="4"/>
  <c r="E2038" i="4"/>
  <c r="D2038" i="4"/>
  <c r="C2038" i="4"/>
  <c r="B2038" i="4"/>
  <c r="A2038" i="4"/>
  <c r="E2037" i="4"/>
  <c r="D2037" i="4"/>
  <c r="C2037" i="4"/>
  <c r="B2037" i="4"/>
  <c r="A2037" i="4"/>
  <c r="F2036" i="4"/>
  <c r="E2036" i="4"/>
  <c r="D2036" i="4"/>
  <c r="C2036" i="4"/>
  <c r="B2036" i="4"/>
  <c r="A2036" i="4"/>
  <c r="B2035" i="4"/>
  <c r="A2035" i="4"/>
  <c r="E2034" i="4"/>
  <c r="D2034" i="4"/>
  <c r="C2034" i="4"/>
  <c r="B2034" i="4"/>
  <c r="A2034" i="4"/>
  <c r="E2033" i="4"/>
  <c r="D2033" i="4"/>
  <c r="C2033" i="4"/>
  <c r="B2033" i="4"/>
  <c r="A2033" i="4"/>
  <c r="F2032" i="4"/>
  <c r="E2032" i="4"/>
  <c r="D2032" i="4"/>
  <c r="C2032" i="4"/>
  <c r="B2032" i="4"/>
  <c r="A2032" i="4"/>
  <c r="B2031" i="4"/>
  <c r="A2031" i="4"/>
  <c r="E2030" i="4"/>
  <c r="D2030" i="4"/>
  <c r="C2030" i="4"/>
  <c r="B2030" i="4"/>
  <c r="A2030" i="4"/>
  <c r="E2029" i="4"/>
  <c r="D2029" i="4"/>
  <c r="C2029" i="4"/>
  <c r="B2029" i="4"/>
  <c r="A2029" i="4"/>
  <c r="E2028" i="4"/>
  <c r="D2028" i="4"/>
  <c r="C2028" i="4"/>
  <c r="B2028" i="4"/>
  <c r="A2028" i="4"/>
  <c r="E2027" i="4"/>
  <c r="D2027" i="4"/>
  <c r="C2027" i="4"/>
  <c r="B2027" i="4"/>
  <c r="A2027" i="4"/>
  <c r="B2026" i="4"/>
  <c r="A2026" i="4"/>
  <c r="B2025" i="4"/>
  <c r="A2025" i="4"/>
  <c r="E2024" i="4"/>
  <c r="D2024" i="4"/>
  <c r="C2024" i="4"/>
  <c r="B2024" i="4"/>
  <c r="A2024" i="4"/>
  <c r="E2023" i="4"/>
  <c r="D2023" i="4"/>
  <c r="C2023" i="4"/>
  <c r="B2023" i="4"/>
  <c r="A2023" i="4"/>
  <c r="E2022" i="4"/>
  <c r="D2022" i="4"/>
  <c r="C2022" i="4"/>
  <c r="B2022" i="4"/>
  <c r="A2022" i="4"/>
  <c r="E2021" i="4"/>
  <c r="D2021" i="4"/>
  <c r="C2021" i="4"/>
  <c r="B2021" i="4"/>
  <c r="A2021" i="4"/>
  <c r="E2020" i="4"/>
  <c r="D2020" i="4"/>
  <c r="C2020" i="4"/>
  <c r="B2020" i="4"/>
  <c r="A2020" i="4"/>
  <c r="E2019" i="4"/>
  <c r="D2019" i="4"/>
  <c r="C2019" i="4"/>
  <c r="B2019" i="4"/>
  <c r="A2019" i="4"/>
  <c r="E2018" i="4"/>
  <c r="D2018" i="4"/>
  <c r="C2018" i="4"/>
  <c r="B2018" i="4"/>
  <c r="A2018" i="4"/>
  <c r="E2017" i="4"/>
  <c r="D2017" i="4"/>
  <c r="B2017" i="4"/>
  <c r="A2017" i="4"/>
  <c r="E2016" i="4"/>
  <c r="D2016" i="4"/>
  <c r="B2016" i="4"/>
  <c r="A2016" i="4"/>
  <c r="E2015" i="4"/>
  <c r="D2015" i="4"/>
  <c r="B2015" i="4"/>
  <c r="A2015" i="4"/>
  <c r="E2014" i="4"/>
  <c r="D2014" i="4"/>
  <c r="C2014" i="4"/>
  <c r="B2014" i="4"/>
  <c r="A2014" i="4"/>
  <c r="E2013" i="4"/>
  <c r="D2013" i="4"/>
  <c r="C2013" i="4"/>
  <c r="B2013" i="4"/>
  <c r="A2013" i="4"/>
  <c r="E2012" i="4"/>
  <c r="D2012" i="4"/>
  <c r="C2012" i="4"/>
  <c r="B2012" i="4"/>
  <c r="A2012" i="4"/>
  <c r="E2011" i="4"/>
  <c r="D2011" i="4"/>
  <c r="C2011" i="4"/>
  <c r="B2011" i="4"/>
  <c r="A2011" i="4"/>
  <c r="E2010" i="4"/>
  <c r="D2010" i="4"/>
  <c r="C2010" i="4"/>
  <c r="B2010" i="4"/>
  <c r="A2010" i="4"/>
  <c r="E2009" i="4"/>
  <c r="D2009" i="4"/>
  <c r="C2009" i="4"/>
  <c r="B2009" i="4"/>
  <c r="A2009" i="4"/>
  <c r="E2008" i="4"/>
  <c r="D2008" i="4"/>
  <c r="C2008" i="4"/>
  <c r="B2008" i="4"/>
  <c r="A2008" i="4"/>
  <c r="E2007" i="4"/>
  <c r="D2007" i="4"/>
  <c r="C2007" i="4"/>
  <c r="B2007" i="4"/>
  <c r="A2007" i="4"/>
  <c r="E2006" i="4"/>
  <c r="D2006" i="4"/>
  <c r="C2006" i="4"/>
  <c r="B2006" i="4"/>
  <c r="A2006" i="4"/>
  <c r="E2005" i="4"/>
  <c r="D2005" i="4"/>
  <c r="C2005" i="4"/>
  <c r="B2005" i="4"/>
  <c r="A2005" i="4"/>
  <c r="E2004" i="4"/>
  <c r="D2004" i="4"/>
  <c r="C2004" i="4"/>
  <c r="B2004" i="4"/>
  <c r="A2004" i="4"/>
  <c r="E2003" i="4"/>
  <c r="D2003" i="4"/>
  <c r="C2003" i="4"/>
  <c r="B2003" i="4"/>
  <c r="A2003" i="4"/>
  <c r="E2002" i="4"/>
  <c r="D2002" i="4"/>
  <c r="C2002" i="4"/>
  <c r="B2002" i="4"/>
  <c r="A2002" i="4"/>
  <c r="E2001" i="4"/>
  <c r="D2001" i="4"/>
  <c r="C2001" i="4"/>
  <c r="B2001" i="4"/>
  <c r="A2001" i="4"/>
  <c r="E2000" i="4"/>
  <c r="D2000" i="4"/>
  <c r="C2000" i="4"/>
  <c r="B2000" i="4"/>
  <c r="A2000" i="4"/>
  <c r="E1999" i="4"/>
  <c r="D1999" i="4"/>
  <c r="C1999" i="4"/>
  <c r="B1999" i="4"/>
  <c r="A1999" i="4"/>
  <c r="E1998" i="4"/>
  <c r="D1998" i="4"/>
  <c r="C1998" i="4"/>
  <c r="B1998" i="4"/>
  <c r="A1998" i="4"/>
  <c r="F1997" i="4"/>
  <c r="E1997" i="4"/>
  <c r="D1997" i="4"/>
  <c r="C1997" i="4"/>
  <c r="B1997" i="4"/>
  <c r="A1997" i="4"/>
  <c r="B1996" i="4"/>
  <c r="A1996" i="4"/>
  <c r="E1995" i="4"/>
  <c r="D1995" i="4"/>
  <c r="C1995" i="4"/>
  <c r="B1995" i="4"/>
  <c r="A1995" i="4"/>
  <c r="E1994" i="4"/>
  <c r="D1994" i="4"/>
  <c r="C1994" i="4"/>
  <c r="B1994" i="4"/>
  <c r="A1994" i="4"/>
  <c r="E1993" i="4"/>
  <c r="D1993" i="4"/>
  <c r="C1993" i="4"/>
  <c r="B1993" i="4"/>
  <c r="A1993" i="4"/>
  <c r="E1992" i="4"/>
  <c r="D1992" i="4"/>
  <c r="C1992" i="4"/>
  <c r="B1992" i="4"/>
  <c r="A1992" i="4"/>
  <c r="E1991" i="4"/>
  <c r="D1991" i="4"/>
  <c r="C1991" i="4"/>
  <c r="B1991" i="4"/>
  <c r="A1991" i="4"/>
  <c r="E1990" i="4"/>
  <c r="D1990" i="4"/>
  <c r="C1990" i="4"/>
  <c r="B1990" i="4"/>
  <c r="A1990" i="4"/>
  <c r="E1989" i="4"/>
  <c r="D1989" i="4"/>
  <c r="C1989" i="4"/>
  <c r="B1989" i="4"/>
  <c r="A1989" i="4"/>
  <c r="B1988" i="4"/>
  <c r="A1988" i="4"/>
  <c r="B1987" i="4"/>
  <c r="A1987" i="4"/>
  <c r="E1986" i="4"/>
  <c r="D1986" i="4"/>
  <c r="C1986" i="4"/>
  <c r="B1986" i="4"/>
  <c r="A1986" i="4"/>
  <c r="E1985" i="4"/>
  <c r="D1985" i="4"/>
  <c r="C1985" i="4"/>
  <c r="B1985" i="4"/>
  <c r="A1985" i="4"/>
  <c r="E1984" i="4"/>
  <c r="D1984" i="4"/>
  <c r="C1984" i="4"/>
  <c r="B1984" i="4"/>
  <c r="A1984" i="4"/>
  <c r="E1983" i="4"/>
  <c r="D1983" i="4"/>
  <c r="C1983" i="4"/>
  <c r="B1983" i="4"/>
  <c r="A1983" i="4"/>
  <c r="F1982" i="4"/>
  <c r="E1982" i="4"/>
  <c r="D1982" i="4"/>
  <c r="C1982" i="4"/>
  <c r="B1982" i="4"/>
  <c r="A1982" i="4"/>
  <c r="E1981" i="4"/>
  <c r="D1981" i="4"/>
  <c r="C1981" i="4"/>
  <c r="B1981" i="4"/>
  <c r="A1981" i="4"/>
  <c r="E1980" i="4"/>
  <c r="D1980" i="4"/>
  <c r="C1980" i="4"/>
  <c r="B1980" i="4"/>
  <c r="A1980" i="4"/>
  <c r="E1979" i="4"/>
  <c r="D1979" i="4"/>
  <c r="C1979" i="4"/>
  <c r="B1979" i="4"/>
  <c r="A1979" i="4"/>
  <c r="E1978" i="4"/>
  <c r="D1978" i="4"/>
  <c r="C1978" i="4"/>
  <c r="B1978" i="4"/>
  <c r="A1978" i="4"/>
  <c r="E1977" i="4"/>
  <c r="D1977" i="4"/>
  <c r="C1977" i="4"/>
  <c r="B1977" i="4"/>
  <c r="A1977" i="4"/>
  <c r="B1976" i="4"/>
  <c r="A1976" i="4"/>
  <c r="B1975" i="4"/>
  <c r="A1975" i="4"/>
  <c r="E1974" i="4"/>
  <c r="D1974" i="4"/>
  <c r="C1974" i="4"/>
  <c r="B1974" i="4"/>
  <c r="A1974" i="4"/>
  <c r="E1973" i="4"/>
  <c r="D1973" i="4"/>
  <c r="C1973" i="4"/>
  <c r="B1973" i="4"/>
  <c r="A1973" i="4"/>
  <c r="B1972" i="4"/>
  <c r="A1972" i="4"/>
  <c r="E1971" i="4"/>
  <c r="D1971" i="4"/>
  <c r="C1971" i="4"/>
  <c r="B1971" i="4"/>
  <c r="A1971" i="4"/>
  <c r="E1970" i="4"/>
  <c r="D1970" i="4"/>
  <c r="C1970" i="4"/>
  <c r="B1970" i="4"/>
  <c r="A1970" i="4"/>
  <c r="E1969" i="4"/>
  <c r="D1969" i="4"/>
  <c r="C1969" i="4"/>
  <c r="B1969" i="4"/>
  <c r="A1969" i="4"/>
  <c r="E1968" i="4"/>
  <c r="D1968" i="4"/>
  <c r="C1968" i="4"/>
  <c r="B1968" i="4"/>
  <c r="A1968" i="4"/>
  <c r="E1967" i="4"/>
  <c r="D1967" i="4"/>
  <c r="C1967" i="4"/>
  <c r="B1967" i="4"/>
  <c r="A1967" i="4"/>
  <c r="E1966" i="4"/>
  <c r="D1966" i="4"/>
  <c r="C1966" i="4"/>
  <c r="B1966" i="4"/>
  <c r="A1966" i="4"/>
  <c r="E1965" i="4"/>
  <c r="D1965" i="4"/>
  <c r="C1965" i="4"/>
  <c r="B1965" i="4"/>
  <c r="A1965" i="4"/>
  <c r="E1964" i="4"/>
  <c r="D1964" i="4"/>
  <c r="C1964" i="4"/>
  <c r="B1964" i="4"/>
  <c r="A1964" i="4"/>
  <c r="F1963" i="4"/>
  <c r="E1963" i="4"/>
  <c r="D1963" i="4"/>
  <c r="C1963" i="4"/>
  <c r="B1963" i="4"/>
  <c r="A1963" i="4"/>
  <c r="E1962" i="4"/>
  <c r="D1962" i="4"/>
  <c r="C1962" i="4"/>
  <c r="B1962" i="4"/>
  <c r="A1962" i="4"/>
  <c r="E1961" i="4"/>
  <c r="D1961" i="4"/>
  <c r="C1961" i="4"/>
  <c r="B1961" i="4"/>
  <c r="A1961" i="4"/>
  <c r="E1960" i="4"/>
  <c r="D1960" i="4"/>
  <c r="C1960" i="4"/>
  <c r="B1960" i="4"/>
  <c r="A1960" i="4"/>
  <c r="E1959" i="4"/>
  <c r="D1959" i="4"/>
  <c r="C1959" i="4"/>
  <c r="B1959" i="4"/>
  <c r="A1959" i="4"/>
  <c r="E1958" i="4"/>
  <c r="D1958" i="4"/>
  <c r="C1958" i="4"/>
  <c r="B1958" i="4"/>
  <c r="A1958" i="4"/>
  <c r="E1957" i="4"/>
  <c r="D1957" i="4"/>
  <c r="C1957" i="4"/>
  <c r="B1957" i="4"/>
  <c r="A1957" i="4"/>
  <c r="E1956" i="4"/>
  <c r="D1956" i="4"/>
  <c r="C1956" i="4"/>
  <c r="B1956" i="4"/>
  <c r="A1956" i="4"/>
  <c r="E1955" i="4"/>
  <c r="D1955" i="4"/>
  <c r="C1955" i="4"/>
  <c r="B1955" i="4"/>
  <c r="A1955" i="4"/>
  <c r="E1954" i="4"/>
  <c r="D1954" i="4"/>
  <c r="C1954" i="4"/>
  <c r="B1954" i="4"/>
  <c r="A1954" i="4"/>
  <c r="B1953" i="4"/>
  <c r="A1953" i="4"/>
  <c r="E1952" i="4"/>
  <c r="D1952" i="4"/>
  <c r="C1952" i="4"/>
  <c r="B1952" i="4"/>
  <c r="A1952" i="4"/>
  <c r="E1951" i="4"/>
  <c r="D1951" i="4"/>
  <c r="C1951" i="4"/>
  <c r="B1951" i="4"/>
  <c r="A1951" i="4"/>
  <c r="E1950" i="4"/>
  <c r="D1950" i="4"/>
  <c r="C1950" i="4"/>
  <c r="B1950" i="4"/>
  <c r="A1950" i="4"/>
  <c r="E1949" i="4"/>
  <c r="D1949" i="4"/>
  <c r="C1949" i="4"/>
  <c r="B1949" i="4"/>
  <c r="A1949" i="4"/>
  <c r="E1948" i="4"/>
  <c r="D1948" i="4"/>
  <c r="C1948" i="4"/>
  <c r="B1948" i="4"/>
  <c r="A1948" i="4"/>
  <c r="E1947" i="4"/>
  <c r="D1947" i="4"/>
  <c r="C1947" i="4"/>
  <c r="B1947" i="4"/>
  <c r="A1947" i="4"/>
  <c r="B1946" i="4"/>
  <c r="A1946" i="4"/>
  <c r="E1945" i="4"/>
  <c r="D1945" i="4"/>
  <c r="C1945" i="4"/>
  <c r="B1945" i="4"/>
  <c r="A1945" i="4"/>
  <c r="E1944" i="4"/>
  <c r="D1944" i="4"/>
  <c r="C1944" i="4"/>
  <c r="B1944" i="4"/>
  <c r="A1944" i="4"/>
  <c r="E1943" i="4"/>
  <c r="D1943" i="4"/>
  <c r="C1943" i="4"/>
  <c r="B1943" i="4"/>
  <c r="A1943" i="4"/>
  <c r="F1942" i="4"/>
  <c r="E1942" i="4"/>
  <c r="D1942" i="4"/>
  <c r="C1942" i="4"/>
  <c r="B1942" i="4"/>
  <c r="A1942" i="4"/>
  <c r="E1941" i="4"/>
  <c r="D1941" i="4"/>
  <c r="C1941" i="4"/>
  <c r="B1941" i="4"/>
  <c r="A1941" i="4"/>
  <c r="E1940" i="4"/>
  <c r="D1940" i="4"/>
  <c r="C1940" i="4"/>
  <c r="B1940" i="4"/>
  <c r="A1940" i="4"/>
  <c r="E1939" i="4"/>
  <c r="D1939" i="4"/>
  <c r="C1939" i="4"/>
  <c r="B1939" i="4"/>
  <c r="A1939" i="4"/>
  <c r="E1938" i="4"/>
  <c r="D1938" i="4"/>
  <c r="C1938" i="4"/>
  <c r="B1938" i="4"/>
  <c r="A1938" i="4"/>
  <c r="E1937" i="4"/>
  <c r="D1937" i="4"/>
  <c r="C1937" i="4"/>
  <c r="B1937" i="4"/>
  <c r="A1937" i="4"/>
  <c r="E1936" i="4"/>
  <c r="D1936" i="4"/>
  <c r="C1936" i="4"/>
  <c r="B1936" i="4"/>
  <c r="A1936" i="4"/>
  <c r="E1935" i="4"/>
  <c r="D1935" i="4"/>
  <c r="C1935" i="4"/>
  <c r="B1935" i="4"/>
  <c r="A1935" i="4"/>
  <c r="E1934" i="4"/>
  <c r="D1934" i="4"/>
  <c r="C1934" i="4"/>
  <c r="B1934" i="4"/>
  <c r="A1934" i="4"/>
  <c r="E1933" i="4"/>
  <c r="D1933" i="4"/>
  <c r="C1933" i="4"/>
  <c r="B1933" i="4"/>
  <c r="A1933" i="4"/>
  <c r="E1932" i="4"/>
  <c r="D1932" i="4"/>
  <c r="C1932" i="4"/>
  <c r="B1932" i="4"/>
  <c r="A1932" i="4"/>
  <c r="E1931" i="4"/>
  <c r="D1931" i="4"/>
  <c r="C1931" i="4"/>
  <c r="B1931" i="4"/>
  <c r="A1931" i="4"/>
  <c r="E1930" i="4"/>
  <c r="C1930" i="4"/>
  <c r="B1930" i="4"/>
  <c r="A1930" i="4"/>
  <c r="E1929" i="4"/>
  <c r="D1929" i="4"/>
  <c r="C1929" i="4"/>
  <c r="B1929" i="4"/>
  <c r="A1929" i="4"/>
  <c r="E1928" i="4"/>
  <c r="D1928" i="4"/>
  <c r="C1928" i="4"/>
  <c r="B1928" i="4"/>
  <c r="A1928" i="4"/>
  <c r="B1927" i="4"/>
  <c r="A1927" i="4"/>
  <c r="E1926" i="4"/>
  <c r="D1926" i="4"/>
  <c r="C1926" i="4"/>
  <c r="B1926" i="4"/>
  <c r="A1926" i="4"/>
  <c r="E1925" i="4"/>
  <c r="D1925" i="4"/>
  <c r="C1925" i="4"/>
  <c r="B1925" i="4"/>
  <c r="A1925" i="4"/>
  <c r="E1924" i="4"/>
  <c r="D1924" i="4"/>
  <c r="C1924" i="4"/>
  <c r="B1924" i="4"/>
  <c r="A1924" i="4"/>
  <c r="B1923" i="4"/>
  <c r="A1923" i="4"/>
  <c r="E1922" i="4"/>
  <c r="D1922" i="4"/>
  <c r="C1922" i="4"/>
  <c r="B1922" i="4"/>
  <c r="A1922" i="4"/>
  <c r="E1921" i="4"/>
  <c r="D1921" i="4"/>
  <c r="C1921" i="4"/>
  <c r="B1921" i="4"/>
  <c r="A1921" i="4"/>
  <c r="E1920" i="4"/>
  <c r="D1920" i="4"/>
  <c r="C1920" i="4"/>
  <c r="B1920" i="4"/>
  <c r="A1920" i="4"/>
  <c r="E1919" i="4"/>
  <c r="D1919" i="4"/>
  <c r="C1919" i="4"/>
  <c r="B1919" i="4"/>
  <c r="A1919" i="4"/>
  <c r="E1918" i="4"/>
  <c r="D1918" i="4"/>
  <c r="C1918" i="4"/>
  <c r="B1918" i="4"/>
  <c r="A1918" i="4"/>
  <c r="E1917" i="4"/>
  <c r="D1917" i="4"/>
  <c r="C1917" i="4"/>
  <c r="B1917" i="4"/>
  <c r="A1917" i="4"/>
  <c r="E1916" i="4"/>
  <c r="D1916" i="4"/>
  <c r="C1916" i="4"/>
  <c r="B1916" i="4"/>
  <c r="A1916" i="4"/>
  <c r="E1915" i="4"/>
  <c r="D1915" i="4"/>
  <c r="C1915" i="4"/>
  <c r="B1915" i="4"/>
  <c r="A1915" i="4"/>
  <c r="E1914" i="4"/>
  <c r="D1914" i="4"/>
  <c r="C1914" i="4"/>
  <c r="B1914" i="4"/>
  <c r="A1914" i="4"/>
  <c r="E1913" i="4"/>
  <c r="D1913" i="4"/>
  <c r="C1913" i="4"/>
  <c r="B1913" i="4"/>
  <c r="A1913" i="4"/>
  <c r="E1912" i="4"/>
  <c r="D1912" i="4"/>
  <c r="C1912" i="4"/>
  <c r="B1912" i="4"/>
  <c r="A1912" i="4"/>
  <c r="B1911" i="4"/>
  <c r="A1911" i="4"/>
  <c r="E1910" i="4"/>
  <c r="D1910" i="4"/>
  <c r="C1910" i="4"/>
  <c r="B1910" i="4"/>
  <c r="A1910" i="4"/>
  <c r="E1909" i="4"/>
  <c r="D1909" i="4"/>
  <c r="C1909" i="4"/>
  <c r="B1909" i="4"/>
  <c r="A1909" i="4"/>
  <c r="E1908" i="4"/>
  <c r="D1908" i="4"/>
  <c r="C1908" i="4"/>
  <c r="B1908" i="4"/>
  <c r="A1908" i="4"/>
  <c r="E1907" i="4"/>
  <c r="D1907" i="4"/>
  <c r="C1907" i="4"/>
  <c r="B1907" i="4"/>
  <c r="A1907" i="4"/>
  <c r="E1906" i="4"/>
  <c r="D1906" i="4"/>
  <c r="C1906" i="4"/>
  <c r="B1906" i="4"/>
  <c r="A1906" i="4"/>
  <c r="E1905" i="4"/>
  <c r="D1905" i="4"/>
  <c r="C1905" i="4"/>
  <c r="B1905" i="4"/>
  <c r="A1905" i="4"/>
  <c r="E1904" i="4"/>
  <c r="D1904" i="4"/>
  <c r="C1904" i="4"/>
  <c r="B1904" i="4"/>
  <c r="A1904" i="4"/>
  <c r="B1903" i="4"/>
  <c r="A1903" i="4"/>
  <c r="E1902" i="4"/>
  <c r="D1902" i="4"/>
  <c r="C1902" i="4"/>
  <c r="B1902" i="4"/>
  <c r="A1902" i="4"/>
  <c r="E1901" i="4"/>
  <c r="D1901" i="4"/>
  <c r="C1901" i="4"/>
  <c r="B1901" i="4"/>
  <c r="A1901" i="4"/>
  <c r="E1900" i="4"/>
  <c r="D1900" i="4"/>
  <c r="C1900" i="4"/>
  <c r="B1900" i="4"/>
  <c r="A1900" i="4"/>
  <c r="E1899" i="4"/>
  <c r="D1899" i="4"/>
  <c r="C1899" i="4"/>
  <c r="B1899" i="4"/>
  <c r="A1899" i="4"/>
  <c r="E1898" i="4"/>
  <c r="D1898" i="4"/>
  <c r="C1898" i="4"/>
  <c r="B1898" i="4"/>
  <c r="A1898" i="4"/>
  <c r="E1897" i="4"/>
  <c r="D1897" i="4"/>
  <c r="C1897" i="4"/>
  <c r="B1897" i="4"/>
  <c r="A1897" i="4"/>
  <c r="E1896" i="4"/>
  <c r="D1896" i="4"/>
  <c r="C1896" i="4"/>
  <c r="B1896" i="4"/>
  <c r="A1896" i="4"/>
  <c r="E1895" i="4"/>
  <c r="D1895" i="4"/>
  <c r="C1895" i="4"/>
  <c r="B1895" i="4"/>
  <c r="A1895" i="4"/>
  <c r="B1894" i="4"/>
  <c r="A1894" i="4"/>
  <c r="E1893" i="4"/>
  <c r="D1893" i="4"/>
  <c r="C1893" i="4"/>
  <c r="B1893" i="4"/>
  <c r="A1893" i="4"/>
  <c r="E1892" i="4"/>
  <c r="D1892" i="4"/>
  <c r="C1892" i="4"/>
  <c r="B1892" i="4"/>
  <c r="A1892" i="4"/>
  <c r="E1891" i="4"/>
  <c r="D1891" i="4"/>
  <c r="C1891" i="4"/>
  <c r="B1891" i="4"/>
  <c r="A1891" i="4"/>
  <c r="E1890" i="4"/>
  <c r="D1890" i="4"/>
  <c r="C1890" i="4"/>
  <c r="B1890" i="4"/>
  <c r="A1890" i="4"/>
  <c r="E1889" i="4"/>
  <c r="D1889" i="4"/>
  <c r="C1889" i="4"/>
  <c r="B1889" i="4"/>
  <c r="A1889" i="4"/>
  <c r="E1888" i="4"/>
  <c r="D1888" i="4"/>
  <c r="C1888" i="4"/>
  <c r="B1888" i="4"/>
  <c r="A1888" i="4"/>
  <c r="E1887" i="4"/>
  <c r="D1887" i="4"/>
  <c r="C1887" i="4"/>
  <c r="B1887" i="4"/>
  <c r="A1887" i="4"/>
  <c r="E1886" i="4"/>
  <c r="D1886" i="4"/>
  <c r="C1886" i="4"/>
  <c r="B1886" i="4"/>
  <c r="A1886" i="4"/>
  <c r="E1885" i="4"/>
  <c r="D1885" i="4"/>
  <c r="C1885" i="4"/>
  <c r="B1885" i="4"/>
  <c r="A1885" i="4"/>
  <c r="E1884" i="4"/>
  <c r="D1884" i="4"/>
  <c r="C1884" i="4"/>
  <c r="B1884" i="4"/>
  <c r="A1884" i="4"/>
  <c r="E1883" i="4"/>
  <c r="D1883" i="4"/>
  <c r="C1883" i="4"/>
  <c r="B1883" i="4"/>
  <c r="A1883" i="4"/>
  <c r="E1882" i="4"/>
  <c r="D1882" i="4"/>
  <c r="C1882" i="4"/>
  <c r="B1882" i="4"/>
  <c r="A1882" i="4"/>
  <c r="E1881" i="4"/>
  <c r="D1881" i="4"/>
  <c r="C1881" i="4"/>
  <c r="B1881" i="4"/>
  <c r="A1881" i="4"/>
  <c r="B1880" i="4"/>
  <c r="A1880" i="4"/>
  <c r="E1879" i="4"/>
  <c r="D1879" i="4"/>
  <c r="C1879" i="4"/>
  <c r="B1879" i="4"/>
  <c r="A1879" i="4"/>
  <c r="E1878" i="4"/>
  <c r="D1878" i="4"/>
  <c r="C1878" i="4"/>
  <c r="B1878" i="4"/>
  <c r="A1878" i="4"/>
  <c r="E1877" i="4"/>
  <c r="D1877" i="4"/>
  <c r="C1877" i="4"/>
  <c r="B1877" i="4"/>
  <c r="A1877" i="4"/>
  <c r="E1876" i="4"/>
  <c r="D1876" i="4"/>
  <c r="C1876" i="4"/>
  <c r="B1876" i="4"/>
  <c r="A1876" i="4"/>
  <c r="E1875" i="4"/>
  <c r="D1875" i="4"/>
  <c r="C1875" i="4"/>
  <c r="B1875" i="4"/>
  <c r="A1875" i="4"/>
  <c r="E1874" i="4"/>
  <c r="D1874" i="4"/>
  <c r="C1874" i="4"/>
  <c r="B1874" i="4"/>
  <c r="A1874" i="4"/>
  <c r="E1873" i="4"/>
  <c r="D1873" i="4"/>
  <c r="C1873" i="4"/>
  <c r="B1873" i="4"/>
  <c r="A1873" i="4"/>
  <c r="E1872" i="4"/>
  <c r="D1872" i="4"/>
  <c r="C1872" i="4"/>
  <c r="B1872" i="4"/>
  <c r="A1872" i="4"/>
  <c r="E1871" i="4"/>
  <c r="D1871" i="4"/>
  <c r="C1871" i="4"/>
  <c r="B1871" i="4"/>
  <c r="A1871" i="4"/>
  <c r="E1870" i="4"/>
  <c r="D1870" i="4"/>
  <c r="C1870" i="4"/>
  <c r="B1870" i="4"/>
  <c r="A1870" i="4"/>
  <c r="B1869" i="4"/>
  <c r="A1869" i="4"/>
  <c r="E1868" i="4"/>
  <c r="D1868" i="4"/>
  <c r="C1868" i="4"/>
  <c r="B1868" i="4"/>
  <c r="A1868" i="4"/>
  <c r="E1867" i="4"/>
  <c r="D1867" i="4"/>
  <c r="C1867" i="4"/>
  <c r="B1867" i="4"/>
  <c r="A1867" i="4"/>
  <c r="E1866" i="4"/>
  <c r="D1866" i="4"/>
  <c r="C1866" i="4"/>
  <c r="B1866" i="4"/>
  <c r="A1866" i="4"/>
  <c r="E1865" i="4"/>
  <c r="D1865" i="4"/>
  <c r="C1865" i="4"/>
  <c r="B1865" i="4"/>
  <c r="A1865" i="4"/>
  <c r="E1864" i="4"/>
  <c r="D1864" i="4"/>
  <c r="C1864" i="4"/>
  <c r="B1864" i="4"/>
  <c r="A1864" i="4"/>
  <c r="E1863" i="4"/>
  <c r="D1863" i="4"/>
  <c r="C1863" i="4"/>
  <c r="B1863" i="4"/>
  <c r="A1863" i="4"/>
  <c r="E1862" i="4"/>
  <c r="D1862" i="4"/>
  <c r="C1862" i="4"/>
  <c r="B1862" i="4"/>
  <c r="A1862" i="4"/>
  <c r="E1861" i="4"/>
  <c r="D1861" i="4"/>
  <c r="C1861" i="4"/>
  <c r="B1861" i="4"/>
  <c r="A1861" i="4"/>
  <c r="E1860" i="4"/>
  <c r="D1860" i="4"/>
  <c r="C1860" i="4"/>
  <c r="B1860" i="4"/>
  <c r="A1860" i="4"/>
  <c r="E1859" i="4"/>
  <c r="D1859" i="4"/>
  <c r="C1859" i="4"/>
  <c r="B1859" i="4"/>
  <c r="A1859" i="4"/>
  <c r="E1858" i="4"/>
  <c r="D1858" i="4"/>
  <c r="C1858" i="4"/>
  <c r="B1858" i="4"/>
  <c r="A1858" i="4"/>
  <c r="E1857" i="4"/>
  <c r="D1857" i="4"/>
  <c r="C1857" i="4"/>
  <c r="B1857" i="4"/>
  <c r="A1857" i="4"/>
  <c r="E1856" i="4"/>
  <c r="D1856" i="4"/>
  <c r="C1856" i="4"/>
  <c r="B1856" i="4"/>
  <c r="A1856" i="4"/>
  <c r="E1855" i="4"/>
  <c r="D1855" i="4"/>
  <c r="C1855" i="4"/>
  <c r="B1855" i="4"/>
  <c r="A1855" i="4"/>
  <c r="E1854" i="4"/>
  <c r="D1854" i="4"/>
  <c r="C1854" i="4"/>
  <c r="B1854" i="4"/>
  <c r="A1854" i="4"/>
  <c r="E1853" i="4"/>
  <c r="D1853" i="4"/>
  <c r="C1853" i="4"/>
  <c r="B1853" i="4"/>
  <c r="A1853" i="4"/>
  <c r="E1852" i="4"/>
  <c r="D1852" i="4"/>
  <c r="C1852" i="4"/>
  <c r="B1852" i="4"/>
  <c r="A1852" i="4"/>
  <c r="E1851" i="4"/>
  <c r="D1851" i="4"/>
  <c r="C1851" i="4"/>
  <c r="B1851" i="4"/>
  <c r="A1851" i="4"/>
  <c r="E1850" i="4"/>
  <c r="D1850" i="4"/>
  <c r="C1850" i="4"/>
  <c r="B1850" i="4"/>
  <c r="A1850" i="4"/>
  <c r="E1849" i="4"/>
  <c r="D1849" i="4"/>
  <c r="C1849" i="4"/>
  <c r="B1849" i="4"/>
  <c r="A1849" i="4"/>
  <c r="E1848" i="4"/>
  <c r="D1848" i="4"/>
  <c r="C1848" i="4"/>
  <c r="B1848" i="4"/>
  <c r="A1848" i="4"/>
  <c r="E1847" i="4"/>
  <c r="D1847" i="4"/>
  <c r="C1847" i="4"/>
  <c r="B1847" i="4"/>
  <c r="A1847" i="4"/>
  <c r="E1846" i="4"/>
  <c r="D1846" i="4"/>
  <c r="C1846" i="4"/>
  <c r="B1846" i="4"/>
  <c r="A1846" i="4"/>
  <c r="E1845" i="4"/>
  <c r="D1845" i="4"/>
  <c r="C1845" i="4"/>
  <c r="B1845" i="4"/>
  <c r="A1845" i="4"/>
  <c r="E1844" i="4"/>
  <c r="D1844" i="4"/>
  <c r="C1844" i="4"/>
  <c r="B1844" i="4"/>
  <c r="A1844" i="4"/>
  <c r="E1843" i="4"/>
  <c r="D1843" i="4"/>
  <c r="C1843" i="4"/>
  <c r="B1843" i="4"/>
  <c r="A1843" i="4"/>
  <c r="E1842" i="4"/>
  <c r="D1842" i="4"/>
  <c r="C1842" i="4"/>
  <c r="B1842" i="4"/>
  <c r="A1842" i="4"/>
  <c r="E1841" i="4"/>
  <c r="D1841" i="4"/>
  <c r="C1841" i="4"/>
  <c r="B1841" i="4"/>
  <c r="A1841" i="4"/>
  <c r="E1840" i="4"/>
  <c r="D1840" i="4"/>
  <c r="C1840" i="4"/>
  <c r="B1840" i="4"/>
  <c r="A1840" i="4"/>
  <c r="E1839" i="4"/>
  <c r="D1839" i="4"/>
  <c r="C1839" i="4"/>
  <c r="B1839" i="4"/>
  <c r="A1839" i="4"/>
  <c r="E1838" i="4"/>
  <c r="D1838" i="4"/>
  <c r="C1838" i="4"/>
  <c r="B1838" i="4"/>
  <c r="A1838" i="4"/>
  <c r="E1837" i="4"/>
  <c r="D1837" i="4"/>
  <c r="C1837" i="4"/>
  <c r="B1837" i="4"/>
  <c r="A1837" i="4"/>
  <c r="E1836" i="4"/>
  <c r="D1836" i="4"/>
  <c r="C1836" i="4"/>
  <c r="B1836" i="4"/>
  <c r="A1836" i="4"/>
  <c r="F1835" i="4"/>
  <c r="E1835" i="4"/>
  <c r="D1835" i="4"/>
  <c r="C1835" i="4"/>
  <c r="B1835" i="4"/>
  <c r="A1835" i="4"/>
  <c r="B1834" i="4"/>
  <c r="A1834" i="4"/>
  <c r="E1833" i="4"/>
  <c r="D1833" i="4"/>
  <c r="C1833" i="4"/>
  <c r="B1833" i="4"/>
  <c r="A1833" i="4"/>
  <c r="E1832" i="4"/>
  <c r="D1832" i="4"/>
  <c r="C1832" i="4"/>
  <c r="B1832" i="4"/>
  <c r="A1832" i="4"/>
  <c r="E1831" i="4"/>
  <c r="D1831" i="4"/>
  <c r="C1831" i="4"/>
  <c r="B1831" i="4"/>
  <c r="A1831" i="4"/>
  <c r="E1830" i="4"/>
  <c r="D1830" i="4"/>
  <c r="C1830" i="4"/>
  <c r="B1830" i="4"/>
  <c r="A1830" i="4"/>
  <c r="E1829" i="4"/>
  <c r="D1829" i="4"/>
  <c r="C1829" i="4"/>
  <c r="B1829" i="4"/>
  <c r="A1829" i="4"/>
  <c r="E1828" i="4"/>
  <c r="D1828" i="4"/>
  <c r="C1828" i="4"/>
  <c r="B1828" i="4"/>
  <c r="A1828" i="4"/>
  <c r="E1827" i="4"/>
  <c r="D1827" i="4"/>
  <c r="C1827" i="4"/>
  <c r="B1827" i="4"/>
  <c r="A1827" i="4"/>
  <c r="E1826" i="4"/>
  <c r="D1826" i="4"/>
  <c r="C1826" i="4"/>
  <c r="B1826" i="4"/>
  <c r="A1826" i="4"/>
  <c r="E1825" i="4"/>
  <c r="D1825" i="4"/>
  <c r="C1825" i="4"/>
  <c r="B1825" i="4"/>
  <c r="A1825" i="4"/>
  <c r="E1824" i="4"/>
  <c r="D1824" i="4"/>
  <c r="C1824" i="4"/>
  <c r="B1824" i="4"/>
  <c r="A1824" i="4"/>
  <c r="E1823" i="4"/>
  <c r="D1823" i="4"/>
  <c r="C1823" i="4"/>
  <c r="B1823" i="4"/>
  <c r="A1823" i="4"/>
  <c r="E1822" i="4"/>
  <c r="D1822" i="4"/>
  <c r="C1822" i="4"/>
  <c r="B1822" i="4"/>
  <c r="A1822" i="4"/>
  <c r="E1821" i="4"/>
  <c r="D1821" i="4"/>
  <c r="C1821" i="4"/>
  <c r="B1821" i="4"/>
  <c r="A1821" i="4"/>
  <c r="E1820" i="4"/>
  <c r="D1820" i="4"/>
  <c r="C1820" i="4"/>
  <c r="B1820" i="4"/>
  <c r="A1820" i="4"/>
  <c r="E1819" i="4"/>
  <c r="D1819" i="4"/>
  <c r="C1819" i="4"/>
  <c r="B1819" i="4"/>
  <c r="A1819" i="4"/>
  <c r="E1818" i="4"/>
  <c r="D1818" i="4"/>
  <c r="C1818" i="4"/>
  <c r="B1818" i="4"/>
  <c r="A1818" i="4"/>
  <c r="E1817" i="4"/>
  <c r="D1817" i="4"/>
  <c r="C1817" i="4"/>
  <c r="B1817" i="4"/>
  <c r="A1817" i="4"/>
  <c r="E1816" i="4"/>
  <c r="D1816" i="4"/>
  <c r="C1816" i="4"/>
  <c r="B1816" i="4"/>
  <c r="A1816" i="4"/>
  <c r="E1815" i="4"/>
  <c r="D1815" i="4"/>
  <c r="C1815" i="4"/>
  <c r="B1815" i="4"/>
  <c r="A1815" i="4"/>
  <c r="E1814" i="4"/>
  <c r="D1814" i="4"/>
  <c r="C1814" i="4"/>
  <c r="B1814" i="4"/>
  <c r="A1814" i="4"/>
  <c r="E1813" i="4"/>
  <c r="D1813" i="4"/>
  <c r="C1813" i="4"/>
  <c r="B1813" i="4"/>
  <c r="A1813" i="4"/>
  <c r="E1812" i="4"/>
  <c r="D1812" i="4"/>
  <c r="C1812" i="4"/>
  <c r="B1812" i="4"/>
  <c r="A1812" i="4"/>
  <c r="E1811" i="4"/>
  <c r="D1811" i="4"/>
  <c r="C1811" i="4"/>
  <c r="B1811" i="4"/>
  <c r="A1811" i="4"/>
  <c r="E1810" i="4"/>
  <c r="D1810" i="4"/>
  <c r="C1810" i="4"/>
  <c r="B1810" i="4"/>
  <c r="A1810" i="4"/>
  <c r="E1809" i="4"/>
  <c r="D1809" i="4"/>
  <c r="C1809" i="4"/>
  <c r="B1809" i="4"/>
  <c r="A1809" i="4"/>
  <c r="E1808" i="4"/>
  <c r="D1808" i="4"/>
  <c r="C1808" i="4"/>
  <c r="B1808" i="4"/>
  <c r="A1808" i="4"/>
  <c r="B1807" i="4"/>
  <c r="A1807" i="4"/>
  <c r="E1806" i="4"/>
  <c r="D1806" i="4"/>
  <c r="C1806" i="4"/>
  <c r="B1806" i="4"/>
  <c r="A1806" i="4"/>
  <c r="E1805" i="4"/>
  <c r="D1805" i="4"/>
  <c r="C1805" i="4"/>
  <c r="B1805" i="4"/>
  <c r="A1805" i="4"/>
  <c r="E1804" i="4"/>
  <c r="D1804" i="4"/>
  <c r="C1804" i="4"/>
  <c r="B1804" i="4"/>
  <c r="A1804" i="4"/>
  <c r="E1803" i="4"/>
  <c r="D1803" i="4"/>
  <c r="C1803" i="4"/>
  <c r="B1803" i="4"/>
  <c r="A1803" i="4"/>
  <c r="E1802" i="4"/>
  <c r="D1802" i="4"/>
  <c r="C1802" i="4"/>
  <c r="B1802" i="4"/>
  <c r="A1802" i="4"/>
  <c r="E1801" i="4"/>
  <c r="D1801" i="4"/>
  <c r="C1801" i="4"/>
  <c r="B1801" i="4"/>
  <c r="A1801" i="4"/>
  <c r="E1800" i="4"/>
  <c r="D1800" i="4"/>
  <c r="C1800" i="4"/>
  <c r="B1800" i="4"/>
  <c r="A1800" i="4"/>
  <c r="E1799" i="4"/>
  <c r="D1799" i="4"/>
  <c r="C1799" i="4"/>
  <c r="B1799" i="4"/>
  <c r="A1799" i="4"/>
  <c r="E1798" i="4"/>
  <c r="D1798" i="4"/>
  <c r="C1798" i="4"/>
  <c r="B1798" i="4"/>
  <c r="A1798" i="4"/>
  <c r="E1797" i="4"/>
  <c r="D1797" i="4"/>
  <c r="C1797" i="4"/>
  <c r="B1797" i="4"/>
  <c r="A1797" i="4"/>
  <c r="E1796" i="4"/>
  <c r="D1796" i="4"/>
  <c r="C1796" i="4"/>
  <c r="B1796" i="4"/>
  <c r="A1796" i="4"/>
  <c r="B1795" i="4"/>
  <c r="A1795" i="4"/>
  <c r="E1794" i="4"/>
  <c r="D1794" i="4"/>
  <c r="C1794" i="4"/>
  <c r="B1794" i="4"/>
  <c r="A1794" i="4"/>
  <c r="D1793" i="4"/>
  <c r="C1793" i="4"/>
  <c r="B1793" i="4"/>
  <c r="A1793" i="4"/>
  <c r="E1792" i="4"/>
  <c r="D1792" i="4"/>
  <c r="C1792" i="4"/>
  <c r="B1792" i="4"/>
  <c r="A1792" i="4"/>
  <c r="E1791" i="4"/>
  <c r="D1791" i="4"/>
  <c r="C1791" i="4"/>
  <c r="B1791" i="4"/>
  <c r="A1791" i="4"/>
  <c r="E1790" i="4"/>
  <c r="D1790" i="4"/>
  <c r="C1790" i="4"/>
  <c r="B1790" i="4"/>
  <c r="A1790" i="4"/>
  <c r="E1789" i="4"/>
  <c r="D1789" i="4"/>
  <c r="C1789" i="4"/>
  <c r="B1789" i="4"/>
  <c r="A1789" i="4"/>
  <c r="E1788" i="4"/>
  <c r="D1788" i="4"/>
  <c r="C1788" i="4"/>
  <c r="B1788" i="4"/>
  <c r="A1788" i="4"/>
  <c r="E1787" i="4"/>
  <c r="D1787" i="4"/>
  <c r="C1787" i="4"/>
  <c r="B1787" i="4"/>
  <c r="A1787" i="4"/>
  <c r="E1786" i="4"/>
  <c r="D1786" i="4"/>
  <c r="C1786" i="4"/>
  <c r="B1786" i="4"/>
  <c r="A1786" i="4"/>
  <c r="E1785" i="4"/>
  <c r="D1785" i="4"/>
  <c r="C1785" i="4"/>
  <c r="B1785" i="4"/>
  <c r="A1785" i="4"/>
  <c r="E1784" i="4"/>
  <c r="D1784" i="4"/>
  <c r="C1784" i="4"/>
  <c r="B1784" i="4"/>
  <c r="A1784" i="4"/>
  <c r="E1783" i="4"/>
  <c r="D1783" i="4"/>
  <c r="C1783" i="4"/>
  <c r="B1783" i="4"/>
  <c r="A1783" i="4"/>
  <c r="E1782" i="4"/>
  <c r="D1782" i="4"/>
  <c r="C1782" i="4"/>
  <c r="B1782" i="4"/>
  <c r="A1782" i="4"/>
  <c r="E1781" i="4"/>
  <c r="D1781" i="4"/>
  <c r="C1781" i="4"/>
  <c r="B1781" i="4"/>
  <c r="A1781" i="4"/>
  <c r="E1780" i="4"/>
  <c r="D1780" i="4"/>
  <c r="C1780" i="4"/>
  <c r="B1780" i="4"/>
  <c r="A1780" i="4"/>
  <c r="E1779" i="4"/>
  <c r="D1779" i="4"/>
  <c r="C1779" i="4"/>
  <c r="B1779" i="4"/>
  <c r="A1779" i="4"/>
  <c r="E1778" i="4"/>
  <c r="D1778" i="4"/>
  <c r="C1778" i="4"/>
  <c r="B1778" i="4"/>
  <c r="A1778" i="4"/>
  <c r="E1777" i="4"/>
  <c r="D1777" i="4"/>
  <c r="C1777" i="4"/>
  <c r="B1777" i="4"/>
  <c r="A1777" i="4"/>
  <c r="E1776" i="4"/>
  <c r="D1776" i="4"/>
  <c r="C1776" i="4"/>
  <c r="B1776" i="4"/>
  <c r="A1776" i="4"/>
  <c r="E1775" i="4"/>
  <c r="D1775" i="4"/>
  <c r="C1775" i="4"/>
  <c r="B1775" i="4"/>
  <c r="A1775" i="4"/>
  <c r="E1774" i="4"/>
  <c r="D1774" i="4"/>
  <c r="C1774" i="4"/>
  <c r="B1774" i="4"/>
  <c r="A1774" i="4"/>
  <c r="E1773" i="4"/>
  <c r="D1773" i="4"/>
  <c r="C1773" i="4"/>
  <c r="B1773" i="4"/>
  <c r="A1773" i="4"/>
  <c r="E1772" i="4"/>
  <c r="D1772" i="4"/>
  <c r="C1772" i="4"/>
  <c r="B1772" i="4"/>
  <c r="A1772" i="4"/>
  <c r="E1771" i="4"/>
  <c r="D1771" i="4"/>
  <c r="C1771" i="4"/>
  <c r="B1771" i="4"/>
  <c r="A1771" i="4"/>
  <c r="E1770" i="4"/>
  <c r="D1770" i="4"/>
  <c r="C1770" i="4"/>
  <c r="B1770" i="4"/>
  <c r="A1770" i="4"/>
  <c r="E1769" i="4"/>
  <c r="D1769" i="4"/>
  <c r="C1769" i="4"/>
  <c r="B1769" i="4"/>
  <c r="A1769" i="4"/>
  <c r="E1768" i="4"/>
  <c r="D1768" i="4"/>
  <c r="C1768" i="4"/>
  <c r="B1768" i="4"/>
  <c r="A1768" i="4"/>
  <c r="E1767" i="4"/>
  <c r="D1767" i="4"/>
  <c r="C1767" i="4"/>
  <c r="B1767" i="4"/>
  <c r="A1767" i="4"/>
  <c r="E1766" i="4"/>
  <c r="D1766" i="4"/>
  <c r="C1766" i="4"/>
  <c r="B1766" i="4"/>
  <c r="A1766" i="4"/>
  <c r="E1765" i="4"/>
  <c r="D1765" i="4"/>
  <c r="C1765" i="4"/>
  <c r="B1765" i="4"/>
  <c r="A1765" i="4"/>
  <c r="E1764" i="4"/>
  <c r="D1764" i="4"/>
  <c r="C1764" i="4"/>
  <c r="B1764" i="4"/>
  <c r="A1764" i="4"/>
  <c r="B1763" i="4"/>
  <c r="A1763" i="4"/>
  <c r="E1762" i="4"/>
  <c r="D1762" i="4"/>
  <c r="C1762" i="4"/>
  <c r="B1762" i="4"/>
  <c r="A1762" i="4"/>
  <c r="B1761" i="4"/>
  <c r="A1761" i="4"/>
  <c r="B1760" i="4"/>
  <c r="A1760" i="4"/>
  <c r="E1759" i="4"/>
  <c r="D1759" i="4"/>
  <c r="C1759" i="4"/>
  <c r="B1759" i="4"/>
  <c r="A1759" i="4"/>
  <c r="E1758" i="4"/>
  <c r="D1758" i="4"/>
  <c r="C1758" i="4"/>
  <c r="B1758" i="4"/>
  <c r="A1758" i="4"/>
  <c r="E1757" i="4"/>
  <c r="D1757" i="4"/>
  <c r="C1757" i="4"/>
  <c r="B1757" i="4"/>
  <c r="A1757" i="4"/>
  <c r="E1756" i="4"/>
  <c r="D1756" i="4"/>
  <c r="C1756" i="4"/>
  <c r="B1756" i="4"/>
  <c r="A1756" i="4"/>
  <c r="B1755" i="4"/>
  <c r="A1755" i="4"/>
  <c r="E1754" i="4"/>
  <c r="D1754" i="4"/>
  <c r="C1754" i="4"/>
  <c r="B1754" i="4"/>
  <c r="A1754" i="4"/>
  <c r="E1753" i="4"/>
  <c r="D1753" i="4"/>
  <c r="C1753" i="4"/>
  <c r="B1753" i="4"/>
  <c r="A1753" i="4"/>
  <c r="E1752" i="4"/>
  <c r="D1752" i="4"/>
  <c r="C1752" i="4"/>
  <c r="B1752" i="4"/>
  <c r="A1752" i="4"/>
  <c r="E1751" i="4"/>
  <c r="D1751" i="4"/>
  <c r="C1751" i="4"/>
  <c r="B1751" i="4"/>
  <c r="A1751" i="4"/>
  <c r="F1750" i="4"/>
  <c r="E1750" i="4"/>
  <c r="D1750" i="4"/>
  <c r="C1750" i="4"/>
  <c r="B1750" i="4"/>
  <c r="A1750" i="4"/>
  <c r="E1749" i="4"/>
  <c r="D1749" i="4"/>
  <c r="C1749" i="4"/>
  <c r="B1749" i="4"/>
  <c r="A1749" i="4"/>
  <c r="B1748" i="4"/>
  <c r="A1748" i="4"/>
  <c r="E1747" i="4"/>
  <c r="D1747" i="4"/>
  <c r="C1747" i="4"/>
  <c r="B1747" i="4"/>
  <c r="A1747" i="4"/>
  <c r="E1746" i="4"/>
  <c r="D1746" i="4"/>
  <c r="C1746" i="4"/>
  <c r="B1746" i="4"/>
  <c r="A1746" i="4"/>
  <c r="E1745" i="4"/>
  <c r="D1745" i="4"/>
  <c r="C1745" i="4"/>
  <c r="B1745" i="4"/>
  <c r="A1745" i="4"/>
  <c r="E1744" i="4"/>
  <c r="D1744" i="4"/>
  <c r="C1744" i="4"/>
  <c r="B1744" i="4"/>
  <c r="A1744" i="4"/>
  <c r="E1743" i="4"/>
  <c r="D1743" i="4"/>
  <c r="C1743" i="4"/>
  <c r="B1743" i="4"/>
  <c r="A1743" i="4"/>
  <c r="E1742" i="4"/>
  <c r="D1742" i="4"/>
  <c r="C1742" i="4"/>
  <c r="B1742" i="4"/>
  <c r="A1742" i="4"/>
  <c r="E1741" i="4"/>
  <c r="D1741" i="4"/>
  <c r="C1741" i="4"/>
  <c r="B1741" i="4"/>
  <c r="A1741" i="4"/>
  <c r="F1740" i="4"/>
  <c r="E1740" i="4"/>
  <c r="D1740" i="4"/>
  <c r="C1740" i="4"/>
  <c r="B1740" i="4"/>
  <c r="A1740" i="4"/>
  <c r="E1739" i="4"/>
  <c r="D1739" i="4"/>
  <c r="C1739" i="4"/>
  <c r="B1739" i="4"/>
  <c r="A1739" i="4"/>
  <c r="E1738" i="4"/>
  <c r="D1738" i="4"/>
  <c r="C1738" i="4"/>
  <c r="B1738" i="4"/>
  <c r="A1738" i="4"/>
  <c r="E1737" i="4"/>
  <c r="D1737" i="4"/>
  <c r="C1737" i="4"/>
  <c r="B1737" i="4"/>
  <c r="A1737" i="4"/>
  <c r="E1736" i="4"/>
  <c r="D1736" i="4"/>
  <c r="C1736" i="4"/>
  <c r="B1736" i="4"/>
  <c r="A1736" i="4"/>
  <c r="E1735" i="4"/>
  <c r="D1735" i="4"/>
  <c r="C1735" i="4"/>
  <c r="B1735" i="4"/>
  <c r="A1735" i="4"/>
  <c r="E1734" i="4"/>
  <c r="D1734" i="4"/>
  <c r="C1734" i="4"/>
  <c r="B1734" i="4"/>
  <c r="A1734" i="4"/>
  <c r="E1733" i="4"/>
  <c r="D1733" i="4"/>
  <c r="C1733" i="4"/>
  <c r="B1733" i="4"/>
  <c r="A1733" i="4"/>
  <c r="E1732" i="4"/>
  <c r="D1732" i="4"/>
  <c r="C1732" i="4"/>
  <c r="B1732" i="4"/>
  <c r="A1732" i="4"/>
  <c r="E1731" i="4"/>
  <c r="D1731" i="4"/>
  <c r="C1731" i="4"/>
  <c r="B1731" i="4"/>
  <c r="A1731" i="4"/>
  <c r="E1730" i="4"/>
  <c r="D1730" i="4"/>
  <c r="C1730" i="4"/>
  <c r="B1730" i="4"/>
  <c r="A1730" i="4"/>
  <c r="E1729" i="4"/>
  <c r="D1729" i="4"/>
  <c r="C1729" i="4"/>
  <c r="B1729" i="4"/>
  <c r="A1729" i="4"/>
  <c r="B1728" i="4"/>
  <c r="A1728" i="4"/>
  <c r="E1727" i="4"/>
  <c r="D1727" i="4"/>
  <c r="C1727" i="4"/>
  <c r="B1727" i="4"/>
  <c r="A1727" i="4"/>
  <c r="E1726" i="4"/>
  <c r="D1726" i="4"/>
  <c r="C1726" i="4"/>
  <c r="B1726" i="4"/>
  <c r="A1726" i="4"/>
  <c r="B1725" i="4"/>
  <c r="A1725" i="4"/>
  <c r="E1724" i="4"/>
  <c r="D1724" i="4"/>
  <c r="C1724" i="4"/>
  <c r="B1724" i="4"/>
  <c r="A1724" i="4"/>
  <c r="E1723" i="4"/>
  <c r="D1723" i="4"/>
  <c r="C1723" i="4"/>
  <c r="B1723" i="4"/>
  <c r="A1723" i="4"/>
  <c r="E1722" i="4"/>
  <c r="D1722" i="4"/>
  <c r="C1722" i="4"/>
  <c r="B1722" i="4"/>
  <c r="A1722" i="4"/>
  <c r="E1721" i="4"/>
  <c r="D1721" i="4"/>
  <c r="C1721" i="4"/>
  <c r="B1721" i="4"/>
  <c r="A1721" i="4"/>
  <c r="E1720" i="4"/>
  <c r="D1720" i="4"/>
  <c r="C1720" i="4"/>
  <c r="B1720" i="4"/>
  <c r="A1720" i="4"/>
  <c r="E1719" i="4"/>
  <c r="D1719" i="4"/>
  <c r="C1719" i="4"/>
  <c r="B1719" i="4"/>
  <c r="A1719" i="4"/>
  <c r="E1718" i="4"/>
  <c r="D1718" i="4"/>
  <c r="C1718" i="4"/>
  <c r="B1718" i="4"/>
  <c r="A1718" i="4"/>
  <c r="E1717" i="4"/>
  <c r="D1717" i="4"/>
  <c r="C1717" i="4"/>
  <c r="B1717" i="4"/>
  <c r="A1717" i="4"/>
  <c r="E1716" i="4"/>
  <c r="D1716" i="4"/>
  <c r="C1716" i="4"/>
  <c r="B1716" i="4"/>
  <c r="A1716" i="4"/>
  <c r="E1715" i="4"/>
  <c r="D1715" i="4"/>
  <c r="C1715" i="4"/>
  <c r="B1715" i="4"/>
  <c r="A1715" i="4"/>
  <c r="E1714" i="4"/>
  <c r="D1714" i="4"/>
  <c r="C1714" i="4"/>
  <c r="B1714" i="4"/>
  <c r="A1714" i="4"/>
  <c r="F1713" i="4"/>
  <c r="E1713" i="4"/>
  <c r="D1713" i="4"/>
  <c r="C1713" i="4"/>
  <c r="B1713" i="4"/>
  <c r="A1713" i="4"/>
  <c r="E1712" i="4"/>
  <c r="D1712" i="4"/>
  <c r="C1712" i="4"/>
  <c r="B1712" i="4"/>
  <c r="A1712" i="4"/>
  <c r="E1711" i="4"/>
  <c r="D1711" i="4"/>
  <c r="C1711" i="4"/>
  <c r="B1711" i="4"/>
  <c r="A1711" i="4"/>
  <c r="E1710" i="4"/>
  <c r="D1710" i="4"/>
  <c r="C1710" i="4"/>
  <c r="B1710" i="4"/>
  <c r="A1710" i="4"/>
  <c r="E1709" i="4"/>
  <c r="D1709" i="4"/>
  <c r="C1709" i="4"/>
  <c r="B1709" i="4"/>
  <c r="A1709" i="4"/>
  <c r="E1708" i="4"/>
  <c r="D1708" i="4"/>
  <c r="C1708" i="4"/>
  <c r="B1708" i="4"/>
  <c r="A1708" i="4"/>
  <c r="E1707" i="4"/>
  <c r="D1707" i="4"/>
  <c r="C1707" i="4"/>
  <c r="B1707" i="4"/>
  <c r="A1707" i="4"/>
  <c r="E1706" i="4"/>
  <c r="D1706" i="4"/>
  <c r="C1706" i="4"/>
  <c r="B1706" i="4"/>
  <c r="A1706" i="4"/>
  <c r="E1705" i="4"/>
  <c r="D1705" i="4"/>
  <c r="C1705" i="4"/>
  <c r="B1705" i="4"/>
  <c r="A1705" i="4"/>
  <c r="E1704" i="4"/>
  <c r="D1704" i="4"/>
  <c r="C1704" i="4"/>
  <c r="B1704" i="4"/>
  <c r="A1704" i="4"/>
  <c r="E1703" i="4"/>
  <c r="D1703" i="4"/>
  <c r="C1703" i="4"/>
  <c r="B1703" i="4"/>
  <c r="A1703" i="4"/>
  <c r="E1702" i="4"/>
  <c r="D1702" i="4"/>
  <c r="C1702" i="4"/>
  <c r="B1702" i="4"/>
  <c r="A1702" i="4"/>
  <c r="E1701" i="4"/>
  <c r="D1701" i="4"/>
  <c r="C1701" i="4"/>
  <c r="B1701" i="4"/>
  <c r="A1701" i="4"/>
  <c r="E1700" i="4"/>
  <c r="D1700" i="4"/>
  <c r="C1700" i="4"/>
  <c r="B1700" i="4"/>
  <c r="A1700" i="4"/>
  <c r="E1699" i="4"/>
  <c r="D1699" i="4"/>
  <c r="C1699" i="4"/>
  <c r="B1699" i="4"/>
  <c r="A1699" i="4"/>
  <c r="E1698" i="4"/>
  <c r="D1698" i="4"/>
  <c r="C1698" i="4"/>
  <c r="B1698" i="4"/>
  <c r="A1698" i="4"/>
  <c r="E1697" i="4"/>
  <c r="D1697" i="4"/>
  <c r="C1697" i="4"/>
  <c r="B1697" i="4"/>
  <c r="A1697" i="4"/>
  <c r="E1696" i="4"/>
  <c r="D1696" i="4"/>
  <c r="C1696" i="4"/>
  <c r="B1696" i="4"/>
  <c r="A1696" i="4"/>
  <c r="E1695" i="4"/>
  <c r="D1695" i="4"/>
  <c r="C1695" i="4"/>
  <c r="B1695" i="4"/>
  <c r="A1695" i="4"/>
  <c r="E1694" i="4"/>
  <c r="D1694" i="4"/>
  <c r="C1694" i="4"/>
  <c r="B1694" i="4"/>
  <c r="A1694" i="4"/>
  <c r="E1693" i="4"/>
  <c r="D1693" i="4"/>
  <c r="C1693" i="4"/>
  <c r="B1693" i="4"/>
  <c r="A1693" i="4"/>
  <c r="E1692" i="4"/>
  <c r="D1692" i="4"/>
  <c r="C1692" i="4"/>
  <c r="B1692" i="4"/>
  <c r="A1692" i="4"/>
  <c r="E1691" i="4"/>
  <c r="D1691" i="4"/>
  <c r="C1691" i="4"/>
  <c r="B1691" i="4"/>
  <c r="A1691" i="4"/>
  <c r="E1690" i="4"/>
  <c r="D1690" i="4"/>
  <c r="C1690" i="4"/>
  <c r="B1690" i="4"/>
  <c r="A1690" i="4"/>
  <c r="E1689" i="4"/>
  <c r="D1689" i="4"/>
  <c r="C1689" i="4"/>
  <c r="B1689" i="4"/>
  <c r="A1689" i="4"/>
  <c r="E1688" i="4"/>
  <c r="D1688" i="4"/>
  <c r="C1688" i="4"/>
  <c r="B1688" i="4"/>
  <c r="A1688" i="4"/>
  <c r="E1687" i="4"/>
  <c r="D1687" i="4"/>
  <c r="C1687" i="4"/>
  <c r="B1687" i="4"/>
  <c r="A1687" i="4"/>
  <c r="E1686" i="4"/>
  <c r="D1686" i="4"/>
  <c r="C1686" i="4"/>
  <c r="B1686" i="4"/>
  <c r="A1686" i="4"/>
  <c r="E1685" i="4"/>
  <c r="D1685" i="4"/>
  <c r="C1685" i="4"/>
  <c r="B1685" i="4"/>
  <c r="A1685" i="4"/>
  <c r="E1684" i="4"/>
  <c r="D1684" i="4"/>
  <c r="C1684" i="4"/>
  <c r="B1684" i="4"/>
  <c r="A1684" i="4"/>
  <c r="E1683" i="4"/>
  <c r="D1683" i="4"/>
  <c r="C1683" i="4"/>
  <c r="B1683" i="4"/>
  <c r="A1683" i="4"/>
  <c r="E1682" i="4"/>
  <c r="D1682" i="4"/>
  <c r="C1682" i="4"/>
  <c r="B1682" i="4"/>
  <c r="A1682" i="4"/>
  <c r="E1681" i="4"/>
  <c r="D1681" i="4"/>
  <c r="C1681" i="4"/>
  <c r="B1681" i="4"/>
  <c r="A1681" i="4"/>
  <c r="E1680" i="4"/>
  <c r="D1680" i="4"/>
  <c r="C1680" i="4"/>
  <c r="B1680" i="4"/>
  <c r="A1680" i="4"/>
  <c r="E1679" i="4"/>
  <c r="D1679" i="4"/>
  <c r="C1679" i="4"/>
  <c r="B1679" i="4"/>
  <c r="A1679" i="4"/>
  <c r="B1678" i="4"/>
  <c r="A1678" i="4"/>
  <c r="E1677" i="4"/>
  <c r="D1677" i="4"/>
  <c r="C1677" i="4"/>
  <c r="B1677" i="4"/>
  <c r="A1677" i="4"/>
  <c r="E1676" i="4"/>
  <c r="D1676" i="4"/>
  <c r="C1676" i="4"/>
  <c r="B1676" i="4"/>
  <c r="A1676" i="4"/>
  <c r="E1675" i="4"/>
  <c r="D1675" i="4"/>
  <c r="C1675" i="4"/>
  <c r="B1675" i="4"/>
  <c r="A1675" i="4"/>
  <c r="E1674" i="4"/>
  <c r="D1674" i="4"/>
  <c r="C1674" i="4"/>
  <c r="B1674" i="4"/>
  <c r="A1674" i="4"/>
  <c r="E1673" i="4"/>
  <c r="D1673" i="4"/>
  <c r="C1673" i="4"/>
  <c r="B1673" i="4"/>
  <c r="A1673" i="4"/>
  <c r="B1672" i="4"/>
  <c r="A1672" i="4"/>
  <c r="E1671" i="4"/>
  <c r="D1671" i="4"/>
  <c r="C1671" i="4"/>
  <c r="B1671" i="4"/>
  <c r="A1671" i="4"/>
  <c r="E1670" i="4"/>
  <c r="D1670" i="4"/>
  <c r="C1670" i="4"/>
  <c r="B1670" i="4"/>
  <c r="A1670" i="4"/>
  <c r="E1669" i="4"/>
  <c r="D1669" i="4"/>
  <c r="C1669" i="4"/>
  <c r="B1669" i="4"/>
  <c r="A1669" i="4"/>
  <c r="E1668" i="4"/>
  <c r="D1668" i="4"/>
  <c r="C1668" i="4"/>
  <c r="B1668" i="4"/>
  <c r="A1668" i="4"/>
  <c r="E1667" i="4"/>
  <c r="D1667" i="4"/>
  <c r="C1667" i="4"/>
  <c r="B1667" i="4"/>
  <c r="A1667" i="4"/>
  <c r="E1666" i="4"/>
  <c r="D1666" i="4"/>
  <c r="C1666" i="4"/>
  <c r="B1666" i="4"/>
  <c r="A1666" i="4"/>
  <c r="E1665" i="4"/>
  <c r="D1665" i="4"/>
  <c r="C1665" i="4"/>
  <c r="B1665" i="4"/>
  <c r="A1665" i="4"/>
  <c r="E1664" i="4"/>
  <c r="D1664" i="4"/>
  <c r="C1664" i="4"/>
  <c r="B1664" i="4"/>
  <c r="A1664" i="4"/>
  <c r="E1663" i="4"/>
  <c r="D1663" i="4"/>
  <c r="C1663" i="4"/>
  <c r="B1663" i="4"/>
  <c r="A1663" i="4"/>
  <c r="E1662" i="4"/>
  <c r="D1662" i="4"/>
  <c r="C1662" i="4"/>
  <c r="B1662" i="4"/>
  <c r="A1662" i="4"/>
  <c r="E1661" i="4"/>
  <c r="D1661" i="4"/>
  <c r="C1661" i="4"/>
  <c r="B1661" i="4"/>
  <c r="A1661" i="4"/>
  <c r="E1660" i="4"/>
  <c r="D1660" i="4"/>
  <c r="C1660" i="4"/>
  <c r="B1660" i="4"/>
  <c r="A1660" i="4"/>
  <c r="E1659" i="4"/>
  <c r="D1659" i="4"/>
  <c r="C1659" i="4"/>
  <c r="B1659" i="4"/>
  <c r="A1659" i="4"/>
  <c r="E1658" i="4"/>
  <c r="D1658" i="4"/>
  <c r="C1658" i="4"/>
  <c r="B1658" i="4"/>
  <c r="A1658" i="4"/>
  <c r="B1657" i="4"/>
  <c r="A1657" i="4"/>
  <c r="C1656" i="4"/>
  <c r="B1656" i="4"/>
  <c r="A1656" i="4"/>
  <c r="C1655" i="4"/>
  <c r="B1655" i="4"/>
  <c r="A1655" i="4"/>
  <c r="E1654" i="4"/>
  <c r="D1654" i="4"/>
  <c r="C1654" i="4"/>
  <c r="B1654" i="4"/>
  <c r="A1654" i="4"/>
  <c r="E1653" i="4"/>
  <c r="D1653" i="4"/>
  <c r="C1653" i="4"/>
  <c r="B1653" i="4"/>
  <c r="A1653" i="4"/>
  <c r="E1652" i="4"/>
  <c r="D1652" i="4"/>
  <c r="C1652" i="4"/>
  <c r="B1652" i="4"/>
  <c r="A1652" i="4"/>
  <c r="E1651" i="4"/>
  <c r="D1651" i="4"/>
  <c r="C1651" i="4"/>
  <c r="B1651" i="4"/>
  <c r="A1651" i="4"/>
  <c r="E1650" i="4"/>
  <c r="D1650" i="4"/>
  <c r="C1650" i="4"/>
  <c r="B1650" i="4"/>
  <c r="A1650" i="4"/>
  <c r="E1649" i="4"/>
  <c r="D1649" i="4"/>
  <c r="C1649" i="4"/>
  <c r="B1649" i="4"/>
  <c r="A1649" i="4"/>
  <c r="E1648" i="4"/>
  <c r="D1648" i="4"/>
  <c r="C1648" i="4"/>
  <c r="B1648" i="4"/>
  <c r="A1648" i="4"/>
  <c r="B1647" i="4"/>
  <c r="A1647" i="4"/>
  <c r="F1646" i="4"/>
  <c r="E1646" i="4"/>
  <c r="D1646" i="4"/>
  <c r="C1646" i="4"/>
  <c r="B1646" i="4"/>
  <c r="A1646" i="4"/>
  <c r="E1645" i="4"/>
  <c r="D1645" i="4"/>
  <c r="C1645" i="4"/>
  <c r="B1645" i="4"/>
  <c r="A1645" i="4"/>
  <c r="E1644" i="4"/>
  <c r="D1644" i="4"/>
  <c r="C1644" i="4"/>
  <c r="B1644" i="4"/>
  <c r="A1644" i="4"/>
  <c r="E1643" i="4"/>
  <c r="D1643" i="4"/>
  <c r="C1643" i="4"/>
  <c r="B1643" i="4"/>
  <c r="A1643" i="4"/>
  <c r="E1642" i="4"/>
  <c r="D1642" i="4"/>
  <c r="C1642" i="4"/>
  <c r="B1642" i="4"/>
  <c r="A1642" i="4"/>
  <c r="F1641" i="4"/>
  <c r="E1641" i="4"/>
  <c r="D1641" i="4"/>
  <c r="C1641" i="4"/>
  <c r="B1641" i="4"/>
  <c r="A1641" i="4"/>
  <c r="E1640" i="4"/>
  <c r="D1640" i="4"/>
  <c r="C1640" i="4"/>
  <c r="B1640" i="4"/>
  <c r="A1640" i="4"/>
  <c r="E1639" i="4"/>
  <c r="D1639" i="4"/>
  <c r="C1639" i="4"/>
  <c r="B1639" i="4"/>
  <c r="A1639" i="4"/>
  <c r="E1638" i="4"/>
  <c r="C1638" i="4"/>
  <c r="B1638" i="4"/>
  <c r="A1638" i="4"/>
  <c r="E1637" i="4"/>
  <c r="D1637" i="4"/>
  <c r="C1637" i="4"/>
  <c r="B1637" i="4"/>
  <c r="A1637" i="4"/>
  <c r="B1636" i="4"/>
  <c r="A1636" i="4"/>
  <c r="E1635" i="4"/>
  <c r="D1635" i="4"/>
  <c r="C1635" i="4"/>
  <c r="B1635" i="4"/>
  <c r="A1635" i="4"/>
  <c r="E1634" i="4"/>
  <c r="D1634" i="4"/>
  <c r="C1634" i="4"/>
  <c r="B1634" i="4"/>
  <c r="A1634" i="4"/>
  <c r="E1633" i="4"/>
  <c r="D1633" i="4"/>
  <c r="C1633" i="4"/>
  <c r="B1633" i="4"/>
  <c r="A1633" i="4"/>
  <c r="E1632" i="4"/>
  <c r="D1632" i="4"/>
  <c r="C1632" i="4"/>
  <c r="B1632" i="4"/>
  <c r="A1632" i="4"/>
  <c r="E1631" i="4"/>
  <c r="D1631" i="4"/>
  <c r="C1631" i="4"/>
  <c r="B1631" i="4"/>
  <c r="A1631" i="4"/>
  <c r="E1630" i="4"/>
  <c r="D1630" i="4"/>
  <c r="C1630" i="4"/>
  <c r="B1630" i="4"/>
  <c r="A1630" i="4"/>
  <c r="E1629" i="4"/>
  <c r="D1629" i="4"/>
  <c r="C1629" i="4"/>
  <c r="B1629" i="4"/>
  <c r="A1629" i="4"/>
  <c r="F1628" i="4"/>
  <c r="E1628" i="4"/>
  <c r="D1628" i="4"/>
  <c r="C1628" i="4"/>
  <c r="B1628" i="4"/>
  <c r="A1628" i="4"/>
  <c r="E1627" i="4"/>
  <c r="D1627" i="4"/>
  <c r="C1627" i="4"/>
  <c r="B1627" i="4"/>
  <c r="A1627" i="4"/>
  <c r="E1626" i="4"/>
  <c r="D1626" i="4"/>
  <c r="C1626" i="4"/>
  <c r="B1626" i="4"/>
  <c r="A1626" i="4"/>
  <c r="B1625" i="4"/>
  <c r="A1625" i="4"/>
  <c r="E1624" i="4"/>
  <c r="C1624" i="4"/>
  <c r="B1624" i="4"/>
  <c r="A1624" i="4"/>
  <c r="B1623" i="4"/>
  <c r="A1623" i="4"/>
  <c r="E1622" i="4"/>
  <c r="D1622" i="4"/>
  <c r="C1622" i="4"/>
  <c r="B1622" i="4"/>
  <c r="A1622" i="4"/>
  <c r="E1621" i="4"/>
  <c r="D1621" i="4"/>
  <c r="C1621" i="4"/>
  <c r="B1621" i="4"/>
  <c r="A1621" i="4"/>
  <c r="E1620" i="4"/>
  <c r="D1620" i="4"/>
  <c r="C1620" i="4"/>
  <c r="B1620" i="4"/>
  <c r="A1620" i="4"/>
  <c r="E1619" i="4"/>
  <c r="D1619" i="4"/>
  <c r="C1619" i="4"/>
  <c r="B1619" i="4"/>
  <c r="A1619" i="4"/>
  <c r="B1618" i="4"/>
  <c r="A1618" i="4"/>
  <c r="C1617" i="4"/>
  <c r="B1617" i="4"/>
  <c r="A1617" i="4"/>
  <c r="E1616" i="4"/>
  <c r="D1616" i="4"/>
  <c r="C1616" i="4"/>
  <c r="B1616" i="4"/>
  <c r="A1616" i="4"/>
  <c r="E1615" i="4"/>
  <c r="D1615" i="4"/>
  <c r="C1615" i="4"/>
  <c r="B1615" i="4"/>
  <c r="A1615" i="4"/>
  <c r="E1614" i="4"/>
  <c r="D1614" i="4"/>
  <c r="C1614" i="4"/>
  <c r="B1614" i="4"/>
  <c r="A1614" i="4"/>
  <c r="E1613" i="4"/>
  <c r="D1613" i="4"/>
  <c r="C1613" i="4"/>
  <c r="B1613" i="4"/>
  <c r="A1613" i="4"/>
  <c r="E1612" i="4"/>
  <c r="D1612" i="4"/>
  <c r="C1612" i="4"/>
  <c r="B1612" i="4"/>
  <c r="A1612" i="4"/>
  <c r="E1611" i="4"/>
  <c r="D1611" i="4"/>
  <c r="C1611" i="4"/>
  <c r="B1611" i="4"/>
  <c r="A1611" i="4"/>
  <c r="E1610" i="4"/>
  <c r="D1610" i="4"/>
  <c r="C1610" i="4"/>
  <c r="B1610" i="4"/>
  <c r="A1610" i="4"/>
  <c r="F1609" i="4"/>
  <c r="E1609" i="4"/>
  <c r="D1609" i="4"/>
  <c r="C1609" i="4"/>
  <c r="B1609" i="4"/>
  <c r="A1609" i="4"/>
  <c r="E1608" i="4"/>
  <c r="D1608" i="4"/>
  <c r="C1608" i="4"/>
  <c r="B1608" i="4"/>
  <c r="A1608" i="4"/>
  <c r="E1607" i="4"/>
  <c r="D1607" i="4"/>
  <c r="C1607" i="4"/>
  <c r="B1607" i="4"/>
  <c r="A1607" i="4"/>
  <c r="E1606" i="4"/>
  <c r="D1606" i="4"/>
  <c r="C1606" i="4"/>
  <c r="B1606" i="4"/>
  <c r="A1606" i="4"/>
  <c r="E1605" i="4"/>
  <c r="D1605" i="4"/>
  <c r="C1605" i="4"/>
  <c r="B1605" i="4"/>
  <c r="A1605" i="4"/>
  <c r="E1604" i="4"/>
  <c r="D1604" i="4"/>
  <c r="C1604" i="4"/>
  <c r="B1604" i="4"/>
  <c r="A1604" i="4"/>
  <c r="E1603" i="4"/>
  <c r="D1603" i="4"/>
  <c r="C1603" i="4"/>
  <c r="B1603" i="4"/>
  <c r="A1603" i="4"/>
  <c r="E1602" i="4"/>
  <c r="D1602" i="4"/>
  <c r="C1602" i="4"/>
  <c r="B1602" i="4"/>
  <c r="A1602" i="4"/>
  <c r="E1601" i="4"/>
  <c r="D1601" i="4"/>
  <c r="C1601" i="4"/>
  <c r="B1601" i="4"/>
  <c r="A1601" i="4"/>
  <c r="E1600" i="4"/>
  <c r="D1600" i="4"/>
  <c r="C1600" i="4"/>
  <c r="B1600" i="4"/>
  <c r="A1600" i="4"/>
  <c r="E1599" i="4"/>
  <c r="D1599" i="4"/>
  <c r="C1599" i="4"/>
  <c r="B1599" i="4"/>
  <c r="A1599" i="4"/>
  <c r="E1598" i="4"/>
  <c r="D1598" i="4"/>
  <c r="C1598" i="4"/>
  <c r="B1598" i="4"/>
  <c r="A1598" i="4"/>
  <c r="E1597" i="4"/>
  <c r="D1597" i="4"/>
  <c r="C1597" i="4"/>
  <c r="B1597" i="4"/>
  <c r="A1597" i="4"/>
  <c r="E1596" i="4"/>
  <c r="D1596" i="4"/>
  <c r="C1596" i="4"/>
  <c r="B1596" i="4"/>
  <c r="A1596" i="4"/>
  <c r="E1595" i="4"/>
  <c r="D1595" i="4"/>
  <c r="C1595" i="4"/>
  <c r="B1595" i="4"/>
  <c r="A1595" i="4"/>
  <c r="F1594" i="4"/>
  <c r="E1594" i="4"/>
  <c r="D1594" i="4"/>
  <c r="C1594" i="4"/>
  <c r="B1594" i="4"/>
  <c r="A1594" i="4"/>
  <c r="E1593" i="4"/>
  <c r="D1593" i="4"/>
  <c r="C1593" i="4"/>
  <c r="B1593" i="4"/>
  <c r="A1593" i="4"/>
  <c r="E1592" i="4"/>
  <c r="D1592" i="4"/>
  <c r="C1592" i="4"/>
  <c r="B1592" i="4"/>
  <c r="A1592" i="4"/>
  <c r="E1591" i="4"/>
  <c r="D1591" i="4"/>
  <c r="C1591" i="4"/>
  <c r="B1591" i="4"/>
  <c r="A1591" i="4"/>
  <c r="E1590" i="4"/>
  <c r="D1590" i="4"/>
  <c r="C1590" i="4"/>
  <c r="B1590" i="4"/>
  <c r="A1590" i="4"/>
  <c r="E1589" i="4"/>
  <c r="D1589" i="4"/>
  <c r="C1589" i="4"/>
  <c r="B1589" i="4"/>
  <c r="A1589" i="4"/>
  <c r="F1588" i="4"/>
  <c r="E1588" i="4"/>
  <c r="D1588" i="4"/>
  <c r="C1588" i="4"/>
  <c r="B1588" i="4"/>
  <c r="A1588" i="4"/>
  <c r="B1587" i="4"/>
  <c r="A1587" i="4"/>
  <c r="B1586" i="4"/>
  <c r="A1586" i="4"/>
  <c r="F1585" i="4"/>
  <c r="E1585" i="4"/>
  <c r="D1585" i="4"/>
  <c r="C1585" i="4"/>
  <c r="B1585" i="4"/>
  <c r="A1585" i="4"/>
  <c r="E1584" i="4"/>
  <c r="D1584" i="4"/>
  <c r="C1584" i="4"/>
  <c r="B1584" i="4"/>
  <c r="A1584" i="4"/>
  <c r="E1583" i="4"/>
  <c r="D1583" i="4"/>
  <c r="C1583" i="4"/>
  <c r="B1583" i="4"/>
  <c r="A1583" i="4"/>
  <c r="E1582" i="4"/>
  <c r="D1582" i="4"/>
  <c r="C1582" i="4"/>
  <c r="B1582" i="4"/>
  <c r="A1582" i="4"/>
  <c r="E1581" i="4"/>
  <c r="D1581" i="4"/>
  <c r="C1581" i="4"/>
  <c r="B1581" i="4"/>
  <c r="A1581" i="4"/>
  <c r="E1580" i="4"/>
  <c r="D1580" i="4"/>
  <c r="C1580" i="4"/>
  <c r="B1580" i="4"/>
  <c r="A1580" i="4"/>
  <c r="E1579" i="4"/>
  <c r="D1579" i="4"/>
  <c r="C1579" i="4"/>
  <c r="B1579" i="4"/>
  <c r="A1579" i="4"/>
  <c r="B1578" i="4"/>
  <c r="A1578" i="4"/>
  <c r="B1577" i="4"/>
  <c r="A1577" i="4"/>
  <c r="E1576" i="4"/>
  <c r="D1576" i="4"/>
  <c r="C1576" i="4"/>
  <c r="B1576" i="4"/>
  <c r="A1576" i="4"/>
  <c r="E1575" i="4"/>
  <c r="D1575" i="4"/>
  <c r="C1575" i="4"/>
  <c r="B1575" i="4"/>
  <c r="A1575" i="4"/>
  <c r="F1574" i="4"/>
  <c r="E1574" i="4"/>
  <c r="D1574" i="4"/>
  <c r="C1574" i="4"/>
  <c r="B1574" i="4"/>
  <c r="A1574" i="4"/>
  <c r="E1573" i="4"/>
  <c r="D1573" i="4"/>
  <c r="C1573" i="4"/>
  <c r="B1573" i="4"/>
  <c r="A1573" i="4"/>
  <c r="E1572" i="4"/>
  <c r="D1572" i="4"/>
  <c r="C1572" i="4"/>
  <c r="B1572" i="4"/>
  <c r="A1572" i="4"/>
  <c r="E1571" i="4"/>
  <c r="D1571" i="4"/>
  <c r="C1571" i="4"/>
  <c r="B1571" i="4"/>
  <c r="A1571" i="4"/>
  <c r="E1570" i="4"/>
  <c r="D1570" i="4"/>
  <c r="C1570" i="4"/>
  <c r="B1570" i="4"/>
  <c r="A1570" i="4"/>
  <c r="F1569" i="4"/>
  <c r="E1569" i="4"/>
  <c r="D1569" i="4"/>
  <c r="C1569" i="4"/>
  <c r="B1569" i="4"/>
  <c r="A1569" i="4"/>
  <c r="E1568" i="4"/>
  <c r="D1568" i="4"/>
  <c r="C1568" i="4"/>
  <c r="B1568" i="4"/>
  <c r="A1568" i="4"/>
  <c r="B1567" i="4"/>
  <c r="A1567" i="4"/>
  <c r="D1566" i="4"/>
  <c r="C1566" i="4"/>
  <c r="B1566" i="4"/>
  <c r="A1566" i="4"/>
  <c r="D1565" i="4"/>
  <c r="C1565" i="4"/>
  <c r="B1565" i="4"/>
  <c r="A1565" i="4"/>
  <c r="E1564" i="4"/>
  <c r="D1564" i="4"/>
  <c r="C1564" i="4"/>
  <c r="B1564" i="4"/>
  <c r="A1564" i="4"/>
  <c r="E1563" i="4"/>
  <c r="D1563" i="4"/>
  <c r="C1563" i="4"/>
  <c r="B1563" i="4"/>
  <c r="A1563" i="4"/>
  <c r="E1562" i="4"/>
  <c r="D1562" i="4"/>
  <c r="C1562" i="4"/>
  <c r="B1562" i="4"/>
  <c r="A1562" i="4"/>
  <c r="E1561" i="4"/>
  <c r="D1561" i="4"/>
  <c r="C1561" i="4"/>
  <c r="B1561" i="4"/>
  <c r="A1561" i="4"/>
  <c r="E1560" i="4"/>
  <c r="D1560" i="4"/>
  <c r="C1560" i="4"/>
  <c r="B1560" i="4"/>
  <c r="A1560" i="4"/>
  <c r="E1559" i="4"/>
  <c r="D1559" i="4"/>
  <c r="C1559" i="4"/>
  <c r="B1559" i="4"/>
  <c r="A1559" i="4"/>
  <c r="E1558" i="4"/>
  <c r="D1558" i="4"/>
  <c r="C1558" i="4"/>
  <c r="B1558" i="4"/>
  <c r="A1558" i="4"/>
  <c r="E1557" i="4"/>
  <c r="D1557" i="4"/>
  <c r="C1557" i="4"/>
  <c r="B1557" i="4"/>
  <c r="A1557" i="4"/>
  <c r="E1556" i="4"/>
  <c r="D1556" i="4"/>
  <c r="C1556" i="4"/>
  <c r="B1556" i="4"/>
  <c r="A1556" i="4"/>
  <c r="E1555" i="4"/>
  <c r="D1555" i="4"/>
  <c r="C1555" i="4"/>
  <c r="B1555" i="4"/>
  <c r="A1555" i="4"/>
  <c r="E1554" i="4"/>
  <c r="D1554" i="4"/>
  <c r="C1554" i="4"/>
  <c r="B1554" i="4"/>
  <c r="A1554" i="4"/>
  <c r="E1553" i="4"/>
  <c r="D1553" i="4"/>
  <c r="C1553" i="4"/>
  <c r="B1553" i="4"/>
  <c r="A1553" i="4"/>
  <c r="E1552" i="4"/>
  <c r="D1552" i="4"/>
  <c r="C1552" i="4"/>
  <c r="B1552" i="4"/>
  <c r="A1552" i="4"/>
  <c r="F1551" i="4"/>
  <c r="E1551" i="4"/>
  <c r="D1551" i="4"/>
  <c r="C1551" i="4"/>
  <c r="B1551" i="4"/>
  <c r="A1551" i="4"/>
  <c r="B1550" i="4"/>
  <c r="A1550" i="4"/>
  <c r="E1549" i="4"/>
  <c r="D1549" i="4"/>
  <c r="C1549" i="4"/>
  <c r="B1549" i="4"/>
  <c r="A1549" i="4"/>
  <c r="F1548" i="4"/>
  <c r="E1548" i="4"/>
  <c r="D1548" i="4"/>
  <c r="C1548" i="4"/>
  <c r="B1548" i="4"/>
  <c r="A1548" i="4"/>
  <c r="E1547" i="4"/>
  <c r="D1547" i="4"/>
  <c r="C1547" i="4"/>
  <c r="B1547" i="4"/>
  <c r="A1547" i="4"/>
  <c r="E1546" i="4"/>
  <c r="D1546" i="4"/>
  <c r="C1546" i="4"/>
  <c r="B1546" i="4"/>
  <c r="A1546" i="4"/>
  <c r="E1545" i="4"/>
  <c r="D1545" i="4"/>
  <c r="C1545" i="4"/>
  <c r="B1545" i="4"/>
  <c r="A1545" i="4"/>
  <c r="E1544" i="4"/>
  <c r="D1544" i="4"/>
  <c r="C1544" i="4"/>
  <c r="B1544" i="4"/>
  <c r="A1544" i="4"/>
  <c r="E1543" i="4"/>
  <c r="D1543" i="4"/>
  <c r="C1543" i="4"/>
  <c r="B1543" i="4"/>
  <c r="A1543" i="4"/>
  <c r="E1542" i="4"/>
  <c r="D1542" i="4"/>
  <c r="C1542" i="4"/>
  <c r="B1542" i="4"/>
  <c r="A1542" i="4"/>
  <c r="E1541" i="4"/>
  <c r="C1541" i="4"/>
  <c r="B1541" i="4"/>
  <c r="A1541" i="4"/>
  <c r="E1540" i="4"/>
  <c r="D1540" i="4"/>
  <c r="C1540" i="4"/>
  <c r="B1540" i="4"/>
  <c r="A1540" i="4"/>
  <c r="F1539" i="4"/>
  <c r="E1539" i="4"/>
  <c r="D1539" i="4"/>
  <c r="C1539" i="4"/>
  <c r="B1539" i="4"/>
  <c r="A1539" i="4"/>
  <c r="F1538" i="4"/>
  <c r="E1538" i="4"/>
  <c r="D1538" i="4"/>
  <c r="C1538" i="4"/>
  <c r="B1538" i="4"/>
  <c r="A1538" i="4"/>
  <c r="B1537" i="4"/>
  <c r="A1537" i="4"/>
  <c r="E1536" i="4"/>
  <c r="D1536" i="4"/>
  <c r="C1536" i="4"/>
  <c r="B1536" i="4"/>
  <c r="A1536" i="4"/>
  <c r="E1535" i="4"/>
  <c r="D1535" i="4"/>
  <c r="C1535" i="4"/>
  <c r="B1535" i="4"/>
  <c r="A1535" i="4"/>
  <c r="E1534" i="4"/>
  <c r="D1534" i="4"/>
  <c r="C1534" i="4"/>
  <c r="B1534" i="4"/>
  <c r="A1534" i="4"/>
  <c r="E1533" i="4"/>
  <c r="D1533" i="4"/>
  <c r="C1533" i="4"/>
  <c r="B1533" i="4"/>
  <c r="A1533" i="4"/>
  <c r="F1532" i="4"/>
  <c r="E1532" i="4"/>
  <c r="D1532" i="4"/>
  <c r="C1532" i="4"/>
  <c r="B1532" i="4"/>
  <c r="A1532" i="4"/>
  <c r="F1531" i="4"/>
  <c r="E1531" i="4"/>
  <c r="D1531" i="4"/>
  <c r="C1531" i="4"/>
  <c r="B1531" i="4"/>
  <c r="A1531" i="4"/>
  <c r="D1530" i="4"/>
  <c r="C1530" i="4"/>
  <c r="B1530" i="4"/>
  <c r="A1530" i="4"/>
  <c r="C1529" i="4"/>
  <c r="B1529" i="4"/>
  <c r="A1529" i="4"/>
  <c r="C1528" i="4"/>
  <c r="B1528" i="4"/>
  <c r="A1528" i="4"/>
  <c r="D1527" i="4"/>
  <c r="C1527" i="4"/>
  <c r="B1527" i="4"/>
  <c r="A1527" i="4"/>
  <c r="D1526" i="4"/>
  <c r="C1526" i="4"/>
  <c r="B1526" i="4"/>
  <c r="A1526" i="4"/>
  <c r="E1525" i="4"/>
  <c r="D1525" i="4"/>
  <c r="C1525" i="4"/>
  <c r="B1525" i="4"/>
  <c r="A1525" i="4"/>
  <c r="E1524" i="4"/>
  <c r="D1524" i="4"/>
  <c r="C1524" i="4"/>
  <c r="B1524" i="4"/>
  <c r="A1524" i="4"/>
  <c r="E1523" i="4"/>
  <c r="D1523" i="4"/>
  <c r="C1523" i="4"/>
  <c r="B1523" i="4"/>
  <c r="A1523" i="4"/>
  <c r="E1522" i="4"/>
  <c r="D1522" i="4"/>
  <c r="C1522" i="4"/>
  <c r="B1522" i="4"/>
  <c r="A1522" i="4"/>
  <c r="E1521" i="4"/>
  <c r="D1521" i="4"/>
  <c r="C1521" i="4"/>
  <c r="B1521" i="4"/>
  <c r="A1521" i="4"/>
  <c r="E1520" i="4"/>
  <c r="D1520" i="4"/>
  <c r="C1520" i="4"/>
  <c r="B1520" i="4"/>
  <c r="A1520" i="4"/>
  <c r="E1519" i="4"/>
  <c r="D1519" i="4"/>
  <c r="C1519" i="4"/>
  <c r="B1519" i="4"/>
  <c r="A1519" i="4"/>
  <c r="E1518" i="4"/>
  <c r="D1518" i="4"/>
  <c r="C1518" i="4"/>
  <c r="B1518" i="4"/>
  <c r="A1518" i="4"/>
  <c r="E1517" i="4"/>
  <c r="D1517" i="4"/>
  <c r="C1517" i="4"/>
  <c r="B1517" i="4"/>
  <c r="A1517" i="4"/>
  <c r="B1516" i="4"/>
  <c r="A1516" i="4"/>
  <c r="F1515" i="4"/>
  <c r="E1515" i="4"/>
  <c r="D1515" i="4"/>
  <c r="C1515" i="4"/>
  <c r="B1515" i="4"/>
  <c r="A1515" i="4"/>
  <c r="F1514" i="4"/>
  <c r="E1514" i="4"/>
  <c r="D1514" i="4"/>
  <c r="C1514" i="4"/>
  <c r="B1514" i="4"/>
  <c r="A1514" i="4"/>
  <c r="F1513" i="4"/>
  <c r="E1513" i="4"/>
  <c r="D1513" i="4"/>
  <c r="C1513" i="4"/>
  <c r="B1513" i="4"/>
  <c r="A1513" i="4"/>
  <c r="D1512" i="4"/>
  <c r="C1512" i="4"/>
  <c r="B1512" i="4"/>
  <c r="A1512" i="4"/>
  <c r="E1511" i="4"/>
  <c r="D1511" i="4"/>
  <c r="C1511" i="4"/>
  <c r="B1511" i="4"/>
  <c r="A1511" i="4"/>
  <c r="F1510" i="4"/>
  <c r="E1510" i="4"/>
  <c r="D1510" i="4"/>
  <c r="C1510" i="4"/>
  <c r="B1510" i="4"/>
  <c r="A1510" i="4"/>
  <c r="F1509" i="4"/>
  <c r="E1509" i="4"/>
  <c r="D1509" i="4"/>
  <c r="C1509" i="4"/>
  <c r="B1509" i="4"/>
  <c r="A1509" i="4"/>
  <c r="F1508" i="4"/>
  <c r="E1508" i="4"/>
  <c r="D1508" i="4"/>
  <c r="C1508" i="4"/>
  <c r="B1508" i="4"/>
  <c r="A1508" i="4"/>
  <c r="E1507" i="4"/>
  <c r="D1507" i="4"/>
  <c r="C1507" i="4"/>
  <c r="B1507" i="4"/>
  <c r="A1507" i="4"/>
  <c r="E1506" i="4"/>
  <c r="D1506" i="4"/>
  <c r="C1506" i="4"/>
  <c r="B1506" i="4"/>
  <c r="A1506" i="4"/>
  <c r="E1505" i="4"/>
  <c r="D1505" i="4"/>
  <c r="C1505" i="4"/>
  <c r="B1505" i="4"/>
  <c r="A1505" i="4"/>
  <c r="E1504" i="4"/>
  <c r="D1504" i="4"/>
  <c r="C1504" i="4"/>
  <c r="B1504" i="4"/>
  <c r="A1504" i="4"/>
  <c r="E1503" i="4"/>
  <c r="D1503" i="4"/>
  <c r="C1503" i="4"/>
  <c r="B1503" i="4"/>
  <c r="A1503" i="4"/>
  <c r="E1502" i="4"/>
  <c r="D1502" i="4"/>
  <c r="C1502" i="4"/>
  <c r="B1502" i="4"/>
  <c r="A1502" i="4"/>
  <c r="F1501" i="4"/>
  <c r="E1501" i="4"/>
  <c r="D1501" i="4"/>
  <c r="C1501" i="4"/>
  <c r="B1501" i="4"/>
  <c r="A1501" i="4"/>
  <c r="E1500" i="4"/>
  <c r="D1500" i="4"/>
  <c r="C1500" i="4"/>
  <c r="B1500" i="4"/>
  <c r="A1500" i="4"/>
  <c r="E1499" i="4"/>
  <c r="D1499" i="4"/>
  <c r="C1499" i="4"/>
  <c r="B1499" i="4"/>
  <c r="A1499" i="4"/>
  <c r="F1498" i="4"/>
  <c r="E1498" i="4"/>
  <c r="D1498" i="4"/>
  <c r="C1498" i="4"/>
  <c r="B1498" i="4"/>
  <c r="A1498" i="4"/>
  <c r="F1497" i="4"/>
  <c r="E1497" i="4"/>
  <c r="D1497" i="4"/>
  <c r="C1497" i="4"/>
  <c r="B1497" i="4"/>
  <c r="A1497" i="4"/>
  <c r="F1496" i="4"/>
  <c r="E1496" i="4"/>
  <c r="D1496" i="4"/>
  <c r="C1496" i="4"/>
  <c r="B1496" i="4"/>
  <c r="A1496" i="4"/>
  <c r="E1495" i="4"/>
  <c r="D1495" i="4"/>
  <c r="B1495" i="4"/>
  <c r="A1495" i="4"/>
  <c r="E1494" i="4"/>
  <c r="D1494" i="4"/>
  <c r="B1494" i="4"/>
  <c r="A1494" i="4"/>
  <c r="E1493" i="4"/>
  <c r="D1493" i="4"/>
  <c r="C1493" i="4"/>
  <c r="B1493" i="4"/>
  <c r="A1493" i="4"/>
  <c r="F1492" i="4"/>
  <c r="E1492" i="4"/>
  <c r="D1492" i="4"/>
  <c r="C1492" i="4"/>
  <c r="B1492" i="4"/>
  <c r="A1492" i="4"/>
  <c r="B1491" i="4"/>
  <c r="A1491" i="4"/>
  <c r="F1490" i="4"/>
  <c r="E1490" i="4"/>
  <c r="D1490" i="4"/>
  <c r="C1490" i="4"/>
  <c r="B1490" i="4"/>
  <c r="A1490" i="4"/>
  <c r="E1489" i="4"/>
  <c r="D1489" i="4"/>
  <c r="C1489" i="4"/>
  <c r="B1489" i="4"/>
  <c r="A1489" i="4"/>
  <c r="F1488" i="4"/>
  <c r="E1488" i="4"/>
  <c r="D1488" i="4"/>
  <c r="C1488" i="4"/>
  <c r="B1488" i="4"/>
  <c r="A1488" i="4"/>
  <c r="B1487" i="4"/>
  <c r="A1487" i="4"/>
  <c r="F1486" i="4"/>
  <c r="E1486" i="4"/>
  <c r="D1486" i="4"/>
  <c r="C1486" i="4"/>
  <c r="B1486" i="4"/>
  <c r="A1486" i="4"/>
  <c r="F1485" i="4"/>
  <c r="E1485" i="4"/>
  <c r="D1485" i="4"/>
  <c r="C1485" i="4"/>
  <c r="B1485" i="4"/>
  <c r="A1485" i="4"/>
  <c r="E1484" i="4"/>
  <c r="D1484" i="4"/>
  <c r="C1484" i="4"/>
  <c r="B1484" i="4"/>
  <c r="A1484" i="4"/>
  <c r="F1483" i="4"/>
  <c r="E1483" i="4"/>
  <c r="D1483" i="4"/>
  <c r="C1483" i="4"/>
  <c r="B1483" i="4"/>
  <c r="A1483" i="4"/>
  <c r="F1482" i="4"/>
  <c r="E1482" i="4"/>
  <c r="D1482" i="4"/>
  <c r="C1482" i="4"/>
  <c r="B1482" i="4"/>
  <c r="A1482" i="4"/>
  <c r="F1481" i="4"/>
  <c r="E1481" i="4"/>
  <c r="D1481" i="4"/>
  <c r="C1481" i="4"/>
  <c r="B1481" i="4"/>
  <c r="A1481" i="4"/>
  <c r="F1480" i="4"/>
  <c r="E1480" i="4"/>
  <c r="D1480" i="4"/>
  <c r="C1480" i="4"/>
  <c r="B1480" i="4"/>
  <c r="A1480" i="4"/>
  <c r="F1479" i="4"/>
  <c r="E1479" i="4"/>
  <c r="D1479" i="4"/>
  <c r="C1479" i="4"/>
  <c r="B1479" i="4"/>
  <c r="A1479" i="4"/>
  <c r="F1478" i="4"/>
  <c r="E1478" i="4"/>
  <c r="D1478" i="4"/>
  <c r="C1478" i="4"/>
  <c r="B1478" i="4"/>
  <c r="A1478" i="4"/>
  <c r="E1477" i="4"/>
  <c r="D1477" i="4"/>
  <c r="C1477" i="4"/>
  <c r="B1477" i="4"/>
  <c r="A1477" i="4"/>
  <c r="E1476" i="4"/>
  <c r="D1476" i="4"/>
  <c r="C1476" i="4"/>
  <c r="B1476" i="4"/>
  <c r="A1476" i="4"/>
  <c r="F1475" i="4"/>
  <c r="E1475" i="4"/>
  <c r="D1475" i="4"/>
  <c r="C1475" i="4"/>
  <c r="B1475" i="4"/>
  <c r="A1475" i="4"/>
  <c r="F1474" i="4"/>
  <c r="E1474" i="4"/>
  <c r="D1474" i="4"/>
  <c r="C1474" i="4"/>
  <c r="B1474" i="4"/>
  <c r="A1474" i="4"/>
  <c r="E1473" i="4"/>
  <c r="D1473" i="4"/>
  <c r="C1473" i="4"/>
  <c r="B1473" i="4"/>
  <c r="A1473" i="4"/>
  <c r="F1472" i="4"/>
  <c r="E1472" i="4"/>
  <c r="D1472" i="4"/>
  <c r="C1472" i="4"/>
  <c r="B1472" i="4"/>
  <c r="A1472" i="4"/>
  <c r="F1471" i="4"/>
  <c r="E1471" i="4"/>
  <c r="D1471" i="4"/>
  <c r="C1471" i="4"/>
  <c r="B1471" i="4"/>
  <c r="A1471" i="4"/>
  <c r="F1470" i="4"/>
  <c r="E1470" i="4"/>
  <c r="D1470" i="4"/>
  <c r="C1470" i="4"/>
  <c r="B1470" i="4"/>
  <c r="A1470" i="4"/>
  <c r="E1469" i="4"/>
  <c r="D1469" i="4"/>
  <c r="C1469" i="4"/>
  <c r="B1469" i="4"/>
  <c r="A1469" i="4"/>
  <c r="F1468" i="4"/>
  <c r="E1468" i="4"/>
  <c r="D1468" i="4"/>
  <c r="C1468" i="4"/>
  <c r="B1468" i="4"/>
  <c r="A1468" i="4"/>
  <c r="F1467" i="4"/>
  <c r="E1467" i="4"/>
  <c r="D1467" i="4"/>
  <c r="C1467" i="4"/>
  <c r="B1467" i="4"/>
  <c r="A1467" i="4"/>
  <c r="F1466" i="4"/>
  <c r="E1466" i="4"/>
  <c r="D1466" i="4"/>
  <c r="C1466" i="4"/>
  <c r="B1466" i="4"/>
  <c r="A1466" i="4"/>
  <c r="F1465" i="4"/>
  <c r="E1465" i="4"/>
  <c r="D1465" i="4"/>
  <c r="C1465" i="4"/>
  <c r="B1465" i="4"/>
  <c r="A1465" i="4"/>
  <c r="F1464" i="4"/>
  <c r="E1464" i="4"/>
  <c r="D1464" i="4"/>
  <c r="C1464" i="4"/>
  <c r="B1464" i="4"/>
  <c r="A1464" i="4"/>
  <c r="F1463" i="4"/>
  <c r="E1463" i="4"/>
  <c r="D1463" i="4"/>
  <c r="C1463" i="4"/>
  <c r="B1463" i="4"/>
  <c r="A1463" i="4"/>
  <c r="F1462" i="4"/>
  <c r="E1462" i="4"/>
  <c r="D1462" i="4"/>
  <c r="C1462" i="4"/>
  <c r="B1462" i="4"/>
  <c r="A1462" i="4"/>
  <c r="F1461" i="4"/>
  <c r="E1461" i="4"/>
  <c r="D1461" i="4"/>
  <c r="C1461" i="4"/>
  <c r="B1461" i="4"/>
  <c r="A1461" i="4"/>
  <c r="F1460" i="4"/>
  <c r="E1460" i="4"/>
  <c r="D1460" i="4"/>
  <c r="C1460" i="4"/>
  <c r="B1460" i="4"/>
  <c r="A1460" i="4"/>
  <c r="F1459" i="4"/>
  <c r="E1459" i="4"/>
  <c r="D1459" i="4"/>
  <c r="C1459" i="4"/>
  <c r="B1459" i="4"/>
  <c r="A1459" i="4"/>
  <c r="F1458" i="4"/>
  <c r="E1458" i="4"/>
  <c r="D1458" i="4"/>
  <c r="C1458" i="4"/>
  <c r="B1458" i="4"/>
  <c r="A1458" i="4"/>
  <c r="E1457" i="4"/>
  <c r="D1457" i="4"/>
  <c r="C1457" i="4"/>
  <c r="B1457" i="4"/>
  <c r="A1457" i="4"/>
  <c r="E1456" i="4"/>
  <c r="D1456" i="4"/>
  <c r="C1456" i="4"/>
  <c r="B1456" i="4"/>
  <c r="A1456" i="4"/>
  <c r="F1455" i="4"/>
  <c r="E1455" i="4"/>
  <c r="D1455" i="4"/>
  <c r="C1455" i="4"/>
  <c r="B1455" i="4"/>
  <c r="A1455" i="4"/>
  <c r="E1454" i="4"/>
  <c r="D1454" i="4"/>
  <c r="C1454" i="4"/>
  <c r="B1454" i="4"/>
  <c r="A1454" i="4"/>
  <c r="E1453" i="4"/>
  <c r="D1453" i="4"/>
  <c r="C1453" i="4"/>
  <c r="B1453" i="4"/>
  <c r="A1453" i="4"/>
  <c r="F1452" i="4"/>
  <c r="E1452" i="4"/>
  <c r="D1452" i="4"/>
  <c r="C1452" i="4"/>
  <c r="B1452" i="4"/>
  <c r="A1452" i="4"/>
  <c r="F1451" i="4"/>
  <c r="E1451" i="4"/>
  <c r="D1451" i="4"/>
  <c r="C1451" i="4"/>
  <c r="B1451" i="4"/>
  <c r="A1451" i="4"/>
  <c r="E1450" i="4"/>
  <c r="D1450" i="4"/>
  <c r="C1450" i="4"/>
  <c r="B1450" i="4"/>
  <c r="A1450" i="4"/>
  <c r="E1449" i="4"/>
  <c r="D1449" i="4"/>
  <c r="C1449" i="4"/>
  <c r="B1449" i="4"/>
  <c r="A1449" i="4"/>
  <c r="E1448" i="4"/>
  <c r="D1448" i="4"/>
  <c r="C1448" i="4"/>
  <c r="B1448" i="4"/>
  <c r="A1448" i="4"/>
  <c r="E1447" i="4"/>
  <c r="D1447" i="4"/>
  <c r="C1447" i="4"/>
  <c r="B1447" i="4"/>
  <c r="A1447" i="4"/>
  <c r="B1446" i="4"/>
  <c r="A1446" i="4"/>
  <c r="E1445" i="4"/>
  <c r="D1445" i="4"/>
  <c r="C1445" i="4"/>
  <c r="B1445" i="4"/>
  <c r="A1445" i="4"/>
  <c r="E1444" i="4"/>
  <c r="D1444" i="4"/>
  <c r="C1444" i="4"/>
  <c r="B1444" i="4"/>
  <c r="A1444" i="4"/>
  <c r="F1443" i="4"/>
  <c r="E1443" i="4"/>
  <c r="D1443" i="4"/>
  <c r="C1443" i="4"/>
  <c r="B1443" i="4"/>
  <c r="A1443" i="4"/>
  <c r="F1442" i="4"/>
  <c r="E1442" i="4"/>
  <c r="D1442" i="4"/>
  <c r="C1442" i="4"/>
  <c r="B1442" i="4"/>
  <c r="A1442" i="4"/>
  <c r="F1441" i="4"/>
  <c r="E1441" i="4"/>
  <c r="D1441" i="4"/>
  <c r="C1441" i="4"/>
  <c r="B1441" i="4"/>
  <c r="A1441" i="4"/>
  <c r="B1440" i="4"/>
  <c r="A1440" i="4"/>
  <c r="B1439" i="4"/>
  <c r="A1439" i="4"/>
  <c r="E1438" i="4"/>
  <c r="D1438" i="4"/>
  <c r="C1438" i="4"/>
  <c r="B1438" i="4"/>
  <c r="A1438" i="4"/>
  <c r="E1437" i="4"/>
  <c r="D1437" i="4"/>
  <c r="C1437" i="4"/>
  <c r="B1437" i="4"/>
  <c r="A1437" i="4"/>
  <c r="E1436" i="4"/>
  <c r="D1436" i="4"/>
  <c r="C1436" i="4"/>
  <c r="B1436" i="4"/>
  <c r="A1436" i="4"/>
  <c r="F1435" i="4"/>
  <c r="E1435" i="4"/>
  <c r="D1435" i="4"/>
  <c r="C1435" i="4"/>
  <c r="B1435" i="4"/>
  <c r="A1435" i="4"/>
  <c r="E1434" i="4"/>
  <c r="D1434" i="4"/>
  <c r="C1434" i="4"/>
  <c r="B1434" i="4"/>
  <c r="A1434" i="4"/>
  <c r="E1433" i="4"/>
  <c r="D1433" i="4"/>
  <c r="C1433" i="4"/>
  <c r="B1433" i="4"/>
  <c r="A1433" i="4"/>
  <c r="B1432" i="4"/>
  <c r="A1432" i="4"/>
  <c r="E1431" i="4"/>
  <c r="D1431" i="4"/>
  <c r="C1431" i="4"/>
  <c r="B1431" i="4"/>
  <c r="A1431" i="4"/>
  <c r="E1430" i="4"/>
  <c r="D1430" i="4"/>
  <c r="C1430" i="4"/>
  <c r="B1430" i="4"/>
  <c r="A1430" i="4"/>
  <c r="F1429" i="4"/>
  <c r="E1429" i="4"/>
  <c r="D1429" i="4"/>
  <c r="C1429" i="4"/>
  <c r="B1429" i="4"/>
  <c r="A1429" i="4"/>
  <c r="E1428" i="4"/>
  <c r="D1428" i="4"/>
  <c r="C1428" i="4"/>
  <c r="B1428" i="4"/>
  <c r="A1428" i="4"/>
  <c r="E1427" i="4"/>
  <c r="D1427" i="4"/>
  <c r="C1427" i="4"/>
  <c r="B1427" i="4"/>
  <c r="A1427" i="4"/>
  <c r="E1426" i="4"/>
  <c r="D1426" i="4"/>
  <c r="C1426" i="4"/>
  <c r="B1426" i="4"/>
  <c r="A1426" i="4"/>
  <c r="E1425" i="4"/>
  <c r="D1425" i="4"/>
  <c r="B1425" i="4"/>
  <c r="A1425" i="4"/>
  <c r="E1424" i="4"/>
  <c r="D1424" i="4"/>
  <c r="B1424" i="4"/>
  <c r="A1424" i="4"/>
  <c r="E1423" i="4"/>
  <c r="D1423" i="4"/>
  <c r="B1423" i="4"/>
  <c r="A1423" i="4"/>
  <c r="F1422" i="4"/>
  <c r="E1422" i="4"/>
  <c r="D1422" i="4"/>
  <c r="C1422" i="4"/>
  <c r="B1422" i="4"/>
  <c r="A1422" i="4"/>
  <c r="E1421" i="4"/>
  <c r="D1421" i="4"/>
  <c r="C1421" i="4"/>
  <c r="B1421" i="4"/>
  <c r="A1421" i="4"/>
  <c r="E1420" i="4"/>
  <c r="D1420" i="4"/>
  <c r="C1420" i="4"/>
  <c r="B1420" i="4"/>
  <c r="A1420" i="4"/>
  <c r="E1419" i="4"/>
  <c r="D1419" i="4"/>
  <c r="C1419" i="4"/>
  <c r="B1419" i="4"/>
  <c r="A1419" i="4"/>
  <c r="E1418" i="4"/>
  <c r="D1418" i="4"/>
  <c r="C1418" i="4"/>
  <c r="B1418" i="4"/>
  <c r="A1418" i="4"/>
  <c r="F1417" i="4"/>
  <c r="E1417" i="4"/>
  <c r="D1417" i="4"/>
  <c r="C1417" i="4"/>
  <c r="B1417" i="4"/>
  <c r="A1417" i="4"/>
  <c r="F1416" i="4"/>
  <c r="E1416" i="4"/>
  <c r="D1416" i="4"/>
  <c r="C1416" i="4"/>
  <c r="B1416" i="4"/>
  <c r="A1416" i="4"/>
  <c r="F1415" i="4"/>
  <c r="E1415" i="4"/>
  <c r="D1415" i="4"/>
  <c r="C1415" i="4"/>
  <c r="B1415" i="4"/>
  <c r="A1415" i="4"/>
  <c r="E1414" i="4"/>
  <c r="D1414" i="4"/>
  <c r="C1414" i="4"/>
  <c r="B1414" i="4"/>
  <c r="A1414" i="4"/>
  <c r="E1413" i="4"/>
  <c r="D1413" i="4"/>
  <c r="C1413" i="4"/>
  <c r="B1413" i="4"/>
  <c r="A1413" i="4"/>
  <c r="F1412" i="4"/>
  <c r="E1412" i="4"/>
  <c r="C1412" i="4"/>
  <c r="B1412" i="4"/>
  <c r="A1412" i="4"/>
  <c r="E1411" i="4"/>
  <c r="D1411" i="4"/>
  <c r="C1411" i="4"/>
  <c r="B1411" i="4"/>
  <c r="A1411" i="4"/>
  <c r="E1410" i="4"/>
  <c r="D1410" i="4"/>
  <c r="C1410" i="4"/>
  <c r="B1410" i="4"/>
  <c r="A1410" i="4"/>
  <c r="B1409" i="4"/>
  <c r="A1409" i="4"/>
  <c r="E1408" i="4"/>
  <c r="D1408" i="4"/>
  <c r="C1408" i="4"/>
  <c r="B1408" i="4"/>
  <c r="A1408" i="4"/>
  <c r="E1407" i="4"/>
  <c r="D1407" i="4"/>
  <c r="C1407" i="4"/>
  <c r="B1407" i="4"/>
  <c r="A1407" i="4"/>
  <c r="F1406" i="4"/>
  <c r="E1406" i="4"/>
  <c r="D1406" i="4"/>
  <c r="C1406" i="4"/>
  <c r="B1406" i="4"/>
  <c r="A1406" i="4"/>
  <c r="E1405" i="4"/>
  <c r="D1405" i="4"/>
  <c r="C1405" i="4"/>
  <c r="B1405" i="4"/>
  <c r="A1405" i="4"/>
  <c r="B1404" i="4"/>
  <c r="A1404" i="4"/>
  <c r="F1403" i="4"/>
  <c r="E1403" i="4"/>
  <c r="D1403" i="4"/>
  <c r="C1403" i="4"/>
  <c r="B1403" i="4"/>
  <c r="A1403" i="4"/>
  <c r="E1402" i="4"/>
  <c r="D1402" i="4"/>
  <c r="C1402" i="4"/>
  <c r="B1402" i="4"/>
  <c r="A1402" i="4"/>
  <c r="F1401" i="4"/>
  <c r="E1401" i="4"/>
  <c r="D1401" i="4"/>
  <c r="C1401" i="4"/>
  <c r="B1401" i="4"/>
  <c r="A1401" i="4"/>
  <c r="B1400" i="4"/>
  <c r="A1400" i="4"/>
  <c r="E1399" i="4"/>
  <c r="D1399" i="4"/>
  <c r="C1399" i="4"/>
  <c r="B1399" i="4"/>
  <c r="A1399" i="4"/>
  <c r="E1398" i="4"/>
  <c r="D1398" i="4"/>
  <c r="C1398" i="4"/>
  <c r="B1398" i="4"/>
  <c r="A1398" i="4"/>
  <c r="F1397" i="4"/>
  <c r="E1397" i="4"/>
  <c r="D1397" i="4"/>
  <c r="C1397" i="4"/>
  <c r="B1397" i="4"/>
  <c r="A1397" i="4"/>
  <c r="B1396" i="4"/>
  <c r="A1396" i="4"/>
  <c r="B1395" i="4"/>
  <c r="A1395" i="4"/>
  <c r="B1394" i="4"/>
  <c r="A1394" i="4"/>
  <c r="E1393" i="4"/>
  <c r="D1393" i="4"/>
  <c r="C1393" i="4"/>
  <c r="B1393" i="4"/>
  <c r="A1393" i="4"/>
  <c r="E1392" i="4"/>
  <c r="D1392" i="4"/>
  <c r="C1392" i="4"/>
  <c r="B1392" i="4"/>
  <c r="A1392" i="4"/>
  <c r="F1391" i="4"/>
  <c r="E1391" i="4"/>
  <c r="D1391" i="4"/>
  <c r="C1391" i="4"/>
  <c r="B1391" i="4"/>
  <c r="A1391" i="4"/>
  <c r="E1390" i="4"/>
  <c r="D1390" i="4"/>
  <c r="C1390" i="4"/>
  <c r="B1390" i="4"/>
  <c r="A1390" i="4"/>
  <c r="E1389" i="4"/>
  <c r="D1389" i="4"/>
  <c r="C1389" i="4"/>
  <c r="B1389" i="4"/>
  <c r="A1389" i="4"/>
  <c r="E1388" i="4"/>
  <c r="D1388" i="4"/>
  <c r="C1388" i="4"/>
  <c r="B1388" i="4"/>
  <c r="A1388" i="4"/>
  <c r="F1387" i="4"/>
  <c r="E1387" i="4"/>
  <c r="D1387" i="4"/>
  <c r="C1387" i="4"/>
  <c r="B1387" i="4"/>
  <c r="A1387" i="4"/>
  <c r="F1386" i="4"/>
  <c r="E1386" i="4"/>
  <c r="D1386" i="4"/>
  <c r="C1386" i="4"/>
  <c r="B1386" i="4"/>
  <c r="A1386" i="4"/>
  <c r="F1385" i="4"/>
  <c r="E1385" i="4"/>
  <c r="D1385" i="4"/>
  <c r="C1385" i="4"/>
  <c r="B1385" i="4"/>
  <c r="A1385" i="4"/>
  <c r="F1384" i="4"/>
  <c r="E1384" i="4"/>
  <c r="D1384" i="4"/>
  <c r="C1384" i="4"/>
  <c r="B1384" i="4"/>
  <c r="A1384" i="4"/>
  <c r="F1383" i="4"/>
  <c r="E1383" i="4"/>
  <c r="D1383" i="4"/>
  <c r="C1383" i="4"/>
  <c r="B1383" i="4"/>
  <c r="A1383" i="4"/>
  <c r="B1382" i="4"/>
  <c r="A1382" i="4"/>
  <c r="F1381" i="4"/>
  <c r="E1381" i="4"/>
  <c r="D1381" i="4"/>
  <c r="C1381" i="4"/>
  <c r="B1381" i="4"/>
  <c r="A1381" i="4"/>
  <c r="F1380" i="4"/>
  <c r="E1380" i="4"/>
  <c r="D1380" i="4"/>
  <c r="C1380" i="4"/>
  <c r="B1380" i="4"/>
  <c r="A1380" i="4"/>
  <c r="F1379" i="4"/>
  <c r="E1379" i="4"/>
  <c r="D1379" i="4"/>
  <c r="C1379" i="4"/>
  <c r="B1379" i="4"/>
  <c r="A1379" i="4"/>
  <c r="C1378" i="4"/>
  <c r="B1378" i="4"/>
  <c r="A1378" i="4"/>
  <c r="F1377" i="4"/>
  <c r="E1377" i="4"/>
  <c r="D1377" i="4"/>
  <c r="C1377" i="4"/>
  <c r="B1377" i="4"/>
  <c r="A1377" i="4"/>
  <c r="F1376" i="4"/>
  <c r="E1376" i="4"/>
  <c r="D1376" i="4"/>
  <c r="C1376" i="4"/>
  <c r="B1376" i="4"/>
  <c r="A1376" i="4"/>
  <c r="E1375" i="4"/>
  <c r="D1375" i="4"/>
  <c r="C1375" i="4"/>
  <c r="B1375" i="4"/>
  <c r="A1375" i="4"/>
  <c r="B1374" i="4"/>
  <c r="A1374" i="4"/>
  <c r="F1373" i="4"/>
  <c r="E1373" i="4"/>
  <c r="D1373" i="4"/>
  <c r="C1373" i="4"/>
  <c r="B1373" i="4"/>
  <c r="A1373" i="4"/>
  <c r="F1372" i="4"/>
  <c r="E1372" i="4"/>
  <c r="D1372" i="4"/>
  <c r="C1372" i="4"/>
  <c r="B1372" i="4"/>
  <c r="A1372" i="4"/>
  <c r="F1371" i="4"/>
  <c r="E1371" i="4"/>
  <c r="D1371" i="4"/>
  <c r="C1371" i="4"/>
  <c r="B1371" i="4"/>
  <c r="A1371" i="4"/>
  <c r="E1370" i="4"/>
  <c r="D1370" i="4"/>
  <c r="C1370" i="4"/>
  <c r="B1370" i="4"/>
  <c r="A1370" i="4"/>
  <c r="F1369" i="4"/>
  <c r="E1369" i="4"/>
  <c r="D1369" i="4"/>
  <c r="C1369" i="4"/>
  <c r="B1369" i="4"/>
  <c r="A1369" i="4"/>
  <c r="E1368" i="4"/>
  <c r="D1368" i="4"/>
  <c r="C1368" i="4"/>
  <c r="B1368" i="4"/>
  <c r="A1368" i="4"/>
  <c r="E1367" i="4"/>
  <c r="D1367" i="4"/>
  <c r="C1367" i="4"/>
  <c r="B1367" i="4"/>
  <c r="A1367" i="4"/>
  <c r="E1366" i="4"/>
  <c r="D1366" i="4"/>
  <c r="C1366" i="4"/>
  <c r="B1366" i="4"/>
  <c r="A1366" i="4"/>
  <c r="E1365" i="4"/>
  <c r="D1365" i="4"/>
  <c r="C1365" i="4"/>
  <c r="B1365" i="4"/>
  <c r="A1365" i="4"/>
  <c r="E1364" i="4"/>
  <c r="D1364" i="4"/>
  <c r="C1364" i="4"/>
  <c r="B1364" i="4"/>
  <c r="A1364" i="4"/>
  <c r="E1363" i="4"/>
  <c r="D1363" i="4"/>
  <c r="C1363" i="4"/>
  <c r="B1363" i="4"/>
  <c r="A1363" i="4"/>
  <c r="E1362" i="4"/>
  <c r="D1362" i="4"/>
  <c r="C1362" i="4"/>
  <c r="B1362" i="4"/>
  <c r="A1362" i="4"/>
  <c r="F1361" i="4"/>
  <c r="E1361" i="4"/>
  <c r="D1361" i="4"/>
  <c r="C1361" i="4"/>
  <c r="B1361" i="4"/>
  <c r="A1361" i="4"/>
  <c r="F1360" i="4"/>
  <c r="E1360" i="4"/>
  <c r="D1360" i="4"/>
  <c r="C1360" i="4"/>
  <c r="B1360" i="4"/>
  <c r="A1360" i="4"/>
  <c r="F1359" i="4"/>
  <c r="E1359" i="4"/>
  <c r="D1359" i="4"/>
  <c r="C1359" i="4"/>
  <c r="B1359" i="4"/>
  <c r="A1359" i="4"/>
  <c r="F1358" i="4"/>
  <c r="E1358" i="4"/>
  <c r="D1358" i="4"/>
  <c r="C1358" i="4"/>
  <c r="B1358" i="4"/>
  <c r="A1358" i="4"/>
  <c r="F1357" i="4"/>
  <c r="E1357" i="4"/>
  <c r="D1357" i="4"/>
  <c r="C1357" i="4"/>
  <c r="B1357" i="4"/>
  <c r="A1357" i="4"/>
  <c r="F1356" i="4"/>
  <c r="E1356" i="4"/>
  <c r="D1356" i="4"/>
  <c r="C1356" i="4"/>
  <c r="B1356" i="4"/>
  <c r="A1356" i="4"/>
  <c r="F1355" i="4"/>
  <c r="E1355" i="4"/>
  <c r="D1355" i="4"/>
  <c r="C1355" i="4"/>
  <c r="B1355" i="4"/>
  <c r="A1355" i="4"/>
  <c r="F1354" i="4"/>
  <c r="E1354" i="4"/>
  <c r="D1354" i="4"/>
  <c r="C1354" i="4"/>
  <c r="B1354" i="4"/>
  <c r="A1354" i="4"/>
  <c r="F1353" i="4"/>
  <c r="E1353" i="4"/>
  <c r="D1353" i="4"/>
  <c r="C1353" i="4"/>
  <c r="B1353" i="4"/>
  <c r="A1353" i="4"/>
  <c r="E1352" i="4"/>
  <c r="D1352" i="4"/>
  <c r="C1352" i="4"/>
  <c r="B1352" i="4"/>
  <c r="A1352" i="4"/>
  <c r="E1351" i="4"/>
  <c r="D1351" i="4"/>
  <c r="C1351" i="4"/>
  <c r="B1351" i="4"/>
  <c r="A1351" i="4"/>
  <c r="E1350" i="4"/>
  <c r="D1350" i="4"/>
  <c r="C1350" i="4"/>
  <c r="B1350" i="4"/>
  <c r="A1350" i="4"/>
  <c r="E1349" i="4"/>
  <c r="D1349" i="4"/>
  <c r="C1349" i="4"/>
  <c r="B1349" i="4"/>
  <c r="A1349" i="4"/>
  <c r="E1348" i="4"/>
  <c r="D1348" i="4"/>
  <c r="C1348" i="4"/>
  <c r="B1348" i="4"/>
  <c r="A1348" i="4"/>
  <c r="E1347" i="4"/>
  <c r="D1347" i="4"/>
  <c r="C1347" i="4"/>
  <c r="B1347" i="4"/>
  <c r="A1347" i="4"/>
  <c r="B1346" i="4"/>
  <c r="A1346" i="4"/>
  <c r="E1345" i="4"/>
  <c r="D1345" i="4"/>
  <c r="C1345" i="4"/>
  <c r="B1345" i="4"/>
  <c r="A1345" i="4"/>
  <c r="F1344" i="4"/>
  <c r="E1344" i="4"/>
  <c r="D1344" i="4"/>
  <c r="C1344" i="4"/>
  <c r="B1344" i="4"/>
  <c r="A1344" i="4"/>
  <c r="F1343" i="4"/>
  <c r="E1343" i="4"/>
  <c r="D1343" i="4"/>
  <c r="C1343" i="4"/>
  <c r="B1343" i="4"/>
  <c r="A1343" i="4"/>
  <c r="E1342" i="4"/>
  <c r="D1342" i="4"/>
  <c r="C1342" i="4"/>
  <c r="B1342" i="4"/>
  <c r="A1342" i="4"/>
  <c r="E1341" i="4"/>
  <c r="D1341" i="4"/>
  <c r="C1341" i="4"/>
  <c r="B1341" i="4"/>
  <c r="A1341" i="4"/>
  <c r="F1340" i="4"/>
  <c r="E1340" i="4"/>
  <c r="D1340" i="4"/>
  <c r="C1340" i="4"/>
  <c r="B1340" i="4"/>
  <c r="A1340" i="4"/>
  <c r="E1339" i="4"/>
  <c r="D1339" i="4"/>
  <c r="C1339" i="4"/>
  <c r="B1339" i="4"/>
  <c r="A1339" i="4"/>
  <c r="F1338" i="4"/>
  <c r="E1338" i="4"/>
  <c r="D1338" i="4"/>
  <c r="C1338" i="4"/>
  <c r="B1338" i="4"/>
  <c r="A1338" i="4"/>
  <c r="B1337" i="4"/>
  <c r="A1337" i="4"/>
  <c r="B1336" i="4"/>
  <c r="A1336" i="4"/>
  <c r="E1335" i="4"/>
  <c r="D1335" i="4"/>
  <c r="C1335" i="4"/>
  <c r="B1335" i="4"/>
  <c r="A1335" i="4"/>
  <c r="E1334" i="4"/>
  <c r="D1334" i="4"/>
  <c r="C1334" i="4"/>
  <c r="B1334" i="4"/>
  <c r="A1334" i="4"/>
  <c r="E1333" i="4"/>
  <c r="D1333" i="4"/>
  <c r="C1333" i="4"/>
  <c r="B1333" i="4"/>
  <c r="A1333" i="4"/>
  <c r="B1332" i="4"/>
  <c r="A1332" i="4"/>
  <c r="F1331" i="4"/>
  <c r="E1331" i="4"/>
  <c r="D1331" i="4"/>
  <c r="C1331" i="4"/>
  <c r="B1331" i="4"/>
  <c r="A1331" i="4"/>
  <c r="E1330" i="4"/>
  <c r="D1330" i="4"/>
  <c r="C1330" i="4"/>
  <c r="B1330" i="4"/>
  <c r="A1330" i="4"/>
  <c r="E1329" i="4"/>
  <c r="D1329" i="4"/>
  <c r="C1329" i="4"/>
  <c r="B1329" i="4"/>
  <c r="A1329" i="4"/>
  <c r="E1328" i="4"/>
  <c r="D1328" i="4"/>
  <c r="C1328" i="4"/>
  <c r="B1328" i="4"/>
  <c r="A1328" i="4"/>
  <c r="E1327" i="4"/>
  <c r="D1327" i="4"/>
  <c r="C1327" i="4"/>
  <c r="B1327" i="4"/>
  <c r="A1327" i="4"/>
  <c r="E1326" i="4"/>
  <c r="D1326" i="4"/>
  <c r="C1326" i="4"/>
  <c r="B1326" i="4"/>
  <c r="A1326" i="4"/>
  <c r="B1325" i="4"/>
  <c r="A1325" i="4"/>
  <c r="B1324" i="4"/>
  <c r="A1324" i="4"/>
  <c r="B1323" i="4"/>
  <c r="A1323" i="4"/>
  <c r="B1322" i="4"/>
  <c r="A1322" i="4"/>
  <c r="B1321" i="4"/>
  <c r="A1321" i="4"/>
  <c r="B1320" i="4"/>
  <c r="A1320" i="4"/>
  <c r="B1319" i="4"/>
  <c r="A1319" i="4"/>
  <c r="E1318" i="4"/>
  <c r="D1318" i="4"/>
  <c r="C1318" i="4"/>
  <c r="B1318" i="4"/>
  <c r="A1318" i="4"/>
  <c r="B1317" i="4"/>
  <c r="A1317" i="4"/>
  <c r="B1316" i="4"/>
  <c r="A1316" i="4"/>
  <c r="E1315" i="4"/>
  <c r="D1315" i="4"/>
  <c r="C1315" i="4"/>
  <c r="B1315" i="4"/>
  <c r="A1315" i="4"/>
  <c r="E1314" i="4"/>
  <c r="D1314" i="4"/>
  <c r="C1314" i="4"/>
  <c r="B1314" i="4"/>
  <c r="A1314" i="4"/>
  <c r="E1313" i="4"/>
  <c r="D1313" i="4"/>
  <c r="C1313" i="4"/>
  <c r="B1313" i="4"/>
  <c r="A1313" i="4"/>
  <c r="E1312" i="4"/>
  <c r="D1312" i="4"/>
  <c r="C1312" i="4"/>
  <c r="B1312" i="4"/>
  <c r="A1312" i="4"/>
  <c r="E1311" i="4"/>
  <c r="D1311" i="4"/>
  <c r="C1311" i="4"/>
  <c r="B1311" i="4"/>
  <c r="A1311" i="4"/>
  <c r="F1310" i="4"/>
  <c r="E1310" i="4"/>
  <c r="D1310" i="4"/>
  <c r="C1310" i="4"/>
  <c r="B1310" i="4"/>
  <c r="A1310" i="4"/>
  <c r="E1309" i="4"/>
  <c r="D1309" i="4"/>
  <c r="C1309" i="4"/>
  <c r="B1309" i="4"/>
  <c r="A1309" i="4"/>
  <c r="B1308" i="4"/>
  <c r="A1308" i="4"/>
  <c r="B1307" i="4"/>
  <c r="A1307" i="4"/>
  <c r="E1306" i="4"/>
  <c r="D1306" i="4"/>
  <c r="C1306" i="4"/>
  <c r="B1306" i="4"/>
  <c r="A1306" i="4"/>
  <c r="B1305" i="4"/>
  <c r="A1305" i="4"/>
  <c r="E1304" i="4"/>
  <c r="D1304" i="4"/>
  <c r="C1304" i="4"/>
  <c r="B1304" i="4"/>
  <c r="A1304" i="4"/>
  <c r="F1303" i="4"/>
  <c r="E1303" i="4"/>
  <c r="D1303" i="4"/>
  <c r="C1303" i="4"/>
  <c r="B1303" i="4"/>
  <c r="A1303" i="4"/>
  <c r="F1302" i="4"/>
  <c r="E1302" i="4"/>
  <c r="D1302" i="4"/>
  <c r="C1302" i="4"/>
  <c r="B1302" i="4"/>
  <c r="A1302" i="4"/>
  <c r="B1301" i="4"/>
  <c r="A1301" i="4"/>
  <c r="F1300" i="4"/>
  <c r="E1300" i="4"/>
  <c r="D1300" i="4"/>
  <c r="C1300" i="4"/>
  <c r="B1300" i="4"/>
  <c r="A1300" i="4"/>
  <c r="B1299" i="4"/>
  <c r="A1299" i="4"/>
  <c r="E1298" i="4"/>
  <c r="D1298" i="4"/>
  <c r="C1298" i="4"/>
  <c r="B1298" i="4"/>
  <c r="A1298" i="4"/>
  <c r="B1297" i="4"/>
  <c r="A1297" i="4"/>
  <c r="F1296" i="4"/>
  <c r="E1296" i="4"/>
  <c r="D1296" i="4"/>
  <c r="C1296" i="4"/>
  <c r="B1296" i="4"/>
  <c r="A1296" i="4"/>
  <c r="B1295" i="4"/>
  <c r="A1295" i="4"/>
  <c r="E1294" i="4"/>
  <c r="D1294" i="4"/>
  <c r="C1294" i="4"/>
  <c r="B1294" i="4"/>
  <c r="A1294" i="4"/>
  <c r="B1293" i="4"/>
  <c r="A1293" i="4"/>
  <c r="E1292" i="4"/>
  <c r="D1292" i="4"/>
  <c r="C1292" i="4"/>
  <c r="B1292" i="4"/>
  <c r="A1292" i="4"/>
  <c r="B1291" i="4"/>
  <c r="A1291" i="4"/>
  <c r="E1290" i="4"/>
  <c r="D1290" i="4"/>
  <c r="C1290" i="4"/>
  <c r="B1290" i="4"/>
  <c r="A1290" i="4"/>
  <c r="E1289" i="4"/>
  <c r="D1289" i="4"/>
  <c r="C1289" i="4"/>
  <c r="B1289" i="4"/>
  <c r="A1289" i="4"/>
  <c r="E1288" i="4"/>
  <c r="D1288" i="4"/>
  <c r="C1288" i="4"/>
  <c r="B1288" i="4"/>
  <c r="A1288" i="4"/>
  <c r="F1287" i="4"/>
  <c r="E1287" i="4"/>
  <c r="D1287" i="4"/>
  <c r="C1287" i="4"/>
  <c r="B1287" i="4"/>
  <c r="A1287" i="4"/>
  <c r="B1286" i="4"/>
  <c r="A1286" i="4"/>
  <c r="E1285" i="4"/>
  <c r="D1285" i="4"/>
  <c r="C1285" i="4"/>
  <c r="B1285" i="4"/>
  <c r="A1285" i="4"/>
  <c r="E1284" i="4"/>
  <c r="D1284" i="4"/>
  <c r="C1284" i="4"/>
  <c r="B1284" i="4"/>
  <c r="A1284" i="4"/>
  <c r="E1283" i="4"/>
  <c r="D1283" i="4"/>
  <c r="C1283" i="4"/>
  <c r="B1283" i="4"/>
  <c r="A1283" i="4"/>
  <c r="E1282" i="4"/>
  <c r="D1282" i="4"/>
  <c r="C1282" i="4"/>
  <c r="B1282" i="4"/>
  <c r="A1282" i="4"/>
  <c r="E1281" i="4"/>
  <c r="D1281" i="4"/>
  <c r="C1281" i="4"/>
  <c r="B1281" i="4"/>
  <c r="A1281" i="4"/>
  <c r="E1280" i="4"/>
  <c r="D1280" i="4"/>
  <c r="C1280" i="4"/>
  <c r="B1280" i="4"/>
  <c r="A1280" i="4"/>
  <c r="E1279" i="4"/>
  <c r="D1279" i="4"/>
  <c r="C1279" i="4"/>
  <c r="B1279" i="4"/>
  <c r="A1279" i="4"/>
  <c r="E1278" i="4"/>
  <c r="D1278" i="4"/>
  <c r="C1278" i="4"/>
  <c r="B1278" i="4"/>
  <c r="A1278" i="4"/>
  <c r="E1277" i="4"/>
  <c r="D1277" i="4"/>
  <c r="C1277" i="4"/>
  <c r="B1277" i="4"/>
  <c r="A1277" i="4"/>
  <c r="E1276" i="4"/>
  <c r="D1276" i="4"/>
  <c r="C1276" i="4"/>
  <c r="B1276" i="4"/>
  <c r="A1276" i="4"/>
  <c r="F1275" i="4"/>
  <c r="E1275" i="4"/>
  <c r="D1275" i="4"/>
  <c r="C1275" i="4"/>
  <c r="B1275" i="4"/>
  <c r="A1275" i="4"/>
  <c r="E1274" i="4"/>
  <c r="D1274" i="4"/>
  <c r="C1274" i="4"/>
  <c r="B1274" i="4"/>
  <c r="A1274" i="4"/>
  <c r="F1273" i="4"/>
  <c r="E1273" i="4"/>
  <c r="D1273" i="4"/>
  <c r="C1273" i="4"/>
  <c r="B1273" i="4"/>
  <c r="A1273" i="4"/>
  <c r="F1272" i="4"/>
  <c r="E1272" i="4"/>
  <c r="D1272" i="4"/>
  <c r="C1272" i="4"/>
  <c r="B1272" i="4"/>
  <c r="A1272" i="4"/>
  <c r="E1271" i="4"/>
  <c r="D1271" i="4"/>
  <c r="C1271" i="4"/>
  <c r="B1271" i="4"/>
  <c r="A1271" i="4"/>
  <c r="B1270" i="4"/>
  <c r="A1270" i="4"/>
  <c r="E1269" i="4"/>
  <c r="D1269" i="4"/>
  <c r="C1269" i="4"/>
  <c r="B1269" i="4"/>
  <c r="A1269" i="4"/>
  <c r="E1268" i="4"/>
  <c r="D1268" i="4"/>
  <c r="C1268" i="4"/>
  <c r="B1268" i="4"/>
  <c r="A1268" i="4"/>
  <c r="E1267" i="4"/>
  <c r="D1267" i="4"/>
  <c r="C1267" i="4"/>
  <c r="B1267" i="4"/>
  <c r="A1267" i="4"/>
  <c r="E1266" i="4"/>
  <c r="D1266" i="4"/>
  <c r="C1266" i="4"/>
  <c r="B1266" i="4"/>
  <c r="A1266" i="4"/>
  <c r="F1265" i="4"/>
  <c r="E1265" i="4"/>
  <c r="D1265" i="4"/>
  <c r="C1265" i="4"/>
  <c r="B1265" i="4"/>
  <c r="A1265" i="4"/>
  <c r="E1264" i="4"/>
  <c r="D1264" i="4"/>
  <c r="C1264" i="4"/>
  <c r="B1264" i="4"/>
  <c r="A1264" i="4"/>
  <c r="F1263" i="4"/>
  <c r="E1263" i="4"/>
  <c r="D1263" i="4"/>
  <c r="C1263" i="4"/>
  <c r="B1263" i="4"/>
  <c r="A1263" i="4"/>
  <c r="E1262" i="4"/>
  <c r="D1262" i="4"/>
  <c r="C1262" i="4"/>
  <c r="B1262" i="4"/>
  <c r="A1262" i="4"/>
  <c r="F1261" i="4"/>
  <c r="E1261" i="4"/>
  <c r="D1261" i="4"/>
  <c r="C1261" i="4"/>
  <c r="B1261" i="4"/>
  <c r="A1261" i="4"/>
  <c r="E1260" i="4"/>
  <c r="D1260" i="4"/>
  <c r="C1260" i="4"/>
  <c r="B1260" i="4"/>
  <c r="A1260" i="4"/>
  <c r="E1259" i="4"/>
  <c r="D1259" i="4"/>
  <c r="C1259" i="4"/>
  <c r="B1259" i="4"/>
  <c r="A1259" i="4"/>
  <c r="B1258" i="4"/>
  <c r="A1258" i="4"/>
  <c r="E1257" i="4"/>
  <c r="D1257" i="4"/>
  <c r="C1257" i="4"/>
  <c r="B1257" i="4"/>
  <c r="A1257" i="4"/>
  <c r="E1256" i="4"/>
  <c r="D1256" i="4"/>
  <c r="C1256" i="4"/>
  <c r="B1256" i="4"/>
  <c r="A1256" i="4"/>
  <c r="E1255" i="4"/>
  <c r="D1255" i="4"/>
  <c r="C1255" i="4"/>
  <c r="B1255" i="4"/>
  <c r="A1255" i="4"/>
  <c r="E1254" i="4"/>
  <c r="D1254" i="4"/>
  <c r="C1254" i="4"/>
  <c r="B1254" i="4"/>
  <c r="A1254" i="4"/>
  <c r="E1253" i="4"/>
  <c r="D1253" i="4"/>
  <c r="C1253" i="4"/>
  <c r="B1253" i="4"/>
  <c r="A1253" i="4"/>
  <c r="E1252" i="4"/>
  <c r="D1252" i="4"/>
  <c r="C1252" i="4"/>
  <c r="B1252" i="4"/>
  <c r="A1252" i="4"/>
  <c r="E1251" i="4"/>
  <c r="D1251" i="4"/>
  <c r="C1251" i="4"/>
  <c r="B1251" i="4"/>
  <c r="A1251" i="4"/>
  <c r="F1250" i="4"/>
  <c r="E1250" i="4"/>
  <c r="D1250" i="4"/>
  <c r="C1250" i="4"/>
  <c r="B1250" i="4"/>
  <c r="A1250" i="4"/>
  <c r="E1249" i="4"/>
  <c r="D1249" i="4"/>
  <c r="C1249" i="4"/>
  <c r="B1249" i="4"/>
  <c r="A1249" i="4"/>
  <c r="E1248" i="4"/>
  <c r="D1248" i="4"/>
  <c r="C1248" i="4"/>
  <c r="B1248" i="4"/>
  <c r="A1248" i="4"/>
  <c r="E1247" i="4"/>
  <c r="D1247" i="4"/>
  <c r="C1247" i="4"/>
  <c r="B1247" i="4"/>
  <c r="A1247" i="4"/>
  <c r="F1246" i="4"/>
  <c r="E1246" i="4"/>
  <c r="D1246" i="4"/>
  <c r="B1246" i="4"/>
  <c r="A1246" i="4"/>
  <c r="F1245" i="4"/>
  <c r="E1245" i="4"/>
  <c r="D1245" i="4"/>
  <c r="B1245" i="4"/>
  <c r="A1245" i="4"/>
  <c r="F1244" i="4"/>
  <c r="E1244" i="4"/>
  <c r="D1244" i="4"/>
  <c r="B1244" i="4"/>
  <c r="A1244" i="4"/>
  <c r="F1243" i="4"/>
  <c r="E1243" i="4"/>
  <c r="D1243" i="4"/>
  <c r="B1243" i="4"/>
  <c r="A1243" i="4"/>
  <c r="E1242" i="4"/>
  <c r="D1242" i="4"/>
  <c r="C1242" i="4"/>
  <c r="B1242" i="4"/>
  <c r="A1242" i="4"/>
  <c r="E1241" i="4"/>
  <c r="D1241" i="4"/>
  <c r="C1241" i="4"/>
  <c r="B1241" i="4"/>
  <c r="A1241" i="4"/>
  <c r="E1240" i="4"/>
  <c r="D1240" i="4"/>
  <c r="C1240" i="4"/>
  <c r="B1240" i="4"/>
  <c r="A1240" i="4"/>
  <c r="F1239" i="4"/>
  <c r="E1239" i="4"/>
  <c r="D1239" i="4"/>
  <c r="C1239" i="4"/>
  <c r="B1239" i="4"/>
  <c r="A1239" i="4"/>
  <c r="F1238" i="4"/>
  <c r="E1238" i="4"/>
  <c r="D1238" i="4"/>
  <c r="C1238" i="4"/>
  <c r="B1238" i="4"/>
  <c r="A1238" i="4"/>
  <c r="E1237" i="4"/>
  <c r="D1237" i="4"/>
  <c r="C1237" i="4"/>
  <c r="B1237" i="4"/>
  <c r="A1237" i="4"/>
  <c r="E1236" i="4"/>
  <c r="D1236" i="4"/>
  <c r="C1236" i="4"/>
  <c r="B1236" i="4"/>
  <c r="A1236" i="4"/>
  <c r="E1235" i="4"/>
  <c r="D1235" i="4"/>
  <c r="C1235" i="4"/>
  <c r="B1235" i="4"/>
  <c r="A1235" i="4"/>
  <c r="E1234" i="4"/>
  <c r="D1234" i="4"/>
  <c r="C1234" i="4"/>
  <c r="B1234" i="4"/>
  <c r="A1234" i="4"/>
  <c r="E1233" i="4"/>
  <c r="D1233" i="4"/>
  <c r="C1233" i="4"/>
  <c r="B1233" i="4"/>
  <c r="A1233" i="4"/>
  <c r="E1232" i="4"/>
  <c r="D1232" i="4"/>
  <c r="C1232" i="4"/>
  <c r="B1232" i="4"/>
  <c r="A1232" i="4"/>
  <c r="F1231" i="4"/>
  <c r="E1231" i="4"/>
  <c r="D1231" i="4"/>
  <c r="C1231" i="4"/>
  <c r="B1231" i="4"/>
  <c r="A1231" i="4"/>
  <c r="E1230" i="4"/>
  <c r="D1230" i="4"/>
  <c r="C1230" i="4"/>
  <c r="B1230" i="4"/>
  <c r="A1230" i="4"/>
  <c r="E1229" i="4"/>
  <c r="D1229" i="4"/>
  <c r="C1229" i="4"/>
  <c r="B1229" i="4"/>
  <c r="A1229" i="4"/>
  <c r="B1228" i="4"/>
  <c r="A1228" i="4"/>
  <c r="B1227" i="4"/>
  <c r="A1227" i="4"/>
  <c r="F1226" i="4"/>
  <c r="E1226" i="4"/>
  <c r="D1226" i="4"/>
  <c r="C1226" i="4"/>
  <c r="B1226" i="4"/>
  <c r="A1226" i="4"/>
  <c r="F1225" i="4"/>
  <c r="E1225" i="4"/>
  <c r="D1225" i="4"/>
  <c r="C1225" i="4"/>
  <c r="B1225" i="4"/>
  <c r="A1225" i="4"/>
  <c r="E1224" i="4"/>
  <c r="D1224" i="4"/>
  <c r="B1224" i="4"/>
  <c r="A1224" i="4"/>
  <c r="E1223" i="4"/>
  <c r="D1223" i="4"/>
  <c r="C1223" i="4"/>
  <c r="B1223" i="4"/>
  <c r="A1223" i="4"/>
  <c r="B1222" i="4"/>
  <c r="A1222" i="4"/>
  <c r="B1221" i="4"/>
  <c r="A1221" i="4"/>
  <c r="E1220" i="4"/>
  <c r="D1220" i="4"/>
  <c r="C1220" i="4"/>
  <c r="B1220" i="4"/>
  <c r="A1220" i="4"/>
  <c r="F1219" i="4"/>
  <c r="E1219" i="4"/>
  <c r="D1219" i="4"/>
  <c r="C1219" i="4"/>
  <c r="B1219" i="4"/>
  <c r="A1219" i="4"/>
  <c r="E1218" i="4"/>
  <c r="D1218" i="4"/>
  <c r="C1218" i="4"/>
  <c r="B1218" i="4"/>
  <c r="A1218" i="4"/>
  <c r="E1217" i="4"/>
  <c r="D1217" i="4"/>
  <c r="C1217" i="4"/>
  <c r="B1217" i="4"/>
  <c r="A1217" i="4"/>
  <c r="E1216" i="4"/>
  <c r="D1216" i="4"/>
  <c r="C1216" i="4"/>
  <c r="B1216" i="4"/>
  <c r="A1216" i="4"/>
  <c r="B1215" i="4"/>
  <c r="A1215" i="4"/>
  <c r="E1214" i="4"/>
  <c r="D1214" i="4"/>
  <c r="C1214" i="4"/>
  <c r="B1214" i="4"/>
  <c r="A1214" i="4"/>
  <c r="E1213" i="4"/>
  <c r="D1213" i="4"/>
  <c r="C1213" i="4"/>
  <c r="B1213" i="4"/>
  <c r="A1213" i="4"/>
  <c r="E1212" i="4"/>
  <c r="D1212" i="4"/>
  <c r="C1212" i="4"/>
  <c r="B1212" i="4"/>
  <c r="A1212" i="4"/>
  <c r="E1211" i="4"/>
  <c r="D1211" i="4"/>
  <c r="C1211" i="4"/>
  <c r="B1211" i="4"/>
  <c r="A1211" i="4"/>
  <c r="E1210" i="4"/>
  <c r="D1210" i="4"/>
  <c r="C1210" i="4"/>
  <c r="B1210" i="4"/>
  <c r="A1210" i="4"/>
  <c r="E1209" i="4"/>
  <c r="D1209" i="4"/>
  <c r="B1209" i="4"/>
  <c r="A1209" i="4"/>
  <c r="E1208" i="4"/>
  <c r="D1208" i="4"/>
  <c r="B1208" i="4"/>
  <c r="A1208" i="4"/>
  <c r="E1207" i="4"/>
  <c r="D1207" i="4"/>
  <c r="C1207" i="4"/>
  <c r="B1207" i="4"/>
  <c r="A1207" i="4"/>
  <c r="F1206" i="4"/>
  <c r="E1206" i="4"/>
  <c r="D1206" i="4"/>
  <c r="C1206" i="4"/>
  <c r="B1206" i="4"/>
  <c r="A1206" i="4"/>
  <c r="E1205" i="4"/>
  <c r="D1205" i="4"/>
  <c r="C1205" i="4"/>
  <c r="B1205" i="4"/>
  <c r="A1205" i="4"/>
  <c r="E1204" i="4"/>
  <c r="D1204" i="4"/>
  <c r="C1204" i="4"/>
  <c r="B1204" i="4"/>
  <c r="A1204" i="4"/>
  <c r="E1203" i="4"/>
  <c r="D1203" i="4"/>
  <c r="B1203" i="4"/>
  <c r="A1203" i="4"/>
  <c r="F1202" i="4"/>
  <c r="E1202" i="4"/>
  <c r="C1202" i="4"/>
  <c r="B1202" i="4"/>
  <c r="A1202" i="4"/>
  <c r="E1201" i="4"/>
  <c r="D1201" i="4"/>
  <c r="C1201" i="4"/>
  <c r="B1201" i="4"/>
  <c r="A1201" i="4"/>
  <c r="E1200" i="4"/>
  <c r="D1200" i="4"/>
  <c r="C1200" i="4"/>
  <c r="B1200" i="4"/>
  <c r="A1200" i="4"/>
  <c r="E1199" i="4"/>
  <c r="D1199" i="4"/>
  <c r="C1199" i="4"/>
  <c r="B1199" i="4"/>
  <c r="A1199" i="4"/>
  <c r="E1198" i="4"/>
  <c r="D1198" i="4"/>
  <c r="C1198" i="4"/>
  <c r="B1198" i="4"/>
  <c r="A1198" i="4"/>
  <c r="E1197" i="4"/>
  <c r="D1197" i="4"/>
  <c r="C1197" i="4"/>
  <c r="B1197" i="4"/>
  <c r="A1197" i="4"/>
  <c r="E1196" i="4"/>
  <c r="D1196" i="4"/>
  <c r="C1196" i="4"/>
  <c r="B1196" i="4"/>
  <c r="A1196" i="4"/>
  <c r="E1195" i="4"/>
  <c r="D1195" i="4"/>
  <c r="C1195" i="4"/>
  <c r="B1195" i="4"/>
  <c r="A1195" i="4"/>
  <c r="E1194" i="4"/>
  <c r="D1194" i="4"/>
  <c r="B1194" i="4"/>
  <c r="A1194" i="4"/>
  <c r="E1193" i="4"/>
  <c r="D1193" i="4"/>
  <c r="B1193" i="4"/>
  <c r="A1193" i="4"/>
  <c r="E1192" i="4"/>
  <c r="D1192" i="4"/>
  <c r="C1192" i="4"/>
  <c r="B1192" i="4"/>
  <c r="A1192" i="4"/>
  <c r="B1191" i="4"/>
  <c r="A1191" i="4"/>
  <c r="E1190" i="4"/>
  <c r="D1190" i="4"/>
  <c r="C1190" i="4"/>
  <c r="B1190" i="4"/>
  <c r="A1190" i="4"/>
  <c r="B1189" i="4"/>
  <c r="A1189" i="4"/>
  <c r="E1188" i="4"/>
  <c r="D1188" i="4"/>
  <c r="B1188" i="4"/>
  <c r="A1188" i="4"/>
  <c r="E1187" i="4"/>
  <c r="D1187" i="4"/>
  <c r="B1187" i="4"/>
  <c r="A1187" i="4"/>
  <c r="E1186" i="4"/>
  <c r="D1186" i="4"/>
  <c r="C1186" i="4"/>
  <c r="B1186" i="4"/>
  <c r="A1186" i="4"/>
  <c r="E1185" i="4"/>
  <c r="D1185" i="4"/>
  <c r="B1185" i="4"/>
  <c r="A1185" i="4"/>
  <c r="E1184" i="4"/>
  <c r="D1184" i="4"/>
  <c r="C1184" i="4"/>
  <c r="B1184" i="4"/>
  <c r="A1184" i="4"/>
  <c r="F1183" i="4"/>
  <c r="E1183" i="4"/>
  <c r="D1183" i="4"/>
  <c r="C1183" i="4"/>
  <c r="B1183" i="4"/>
  <c r="A1183" i="4"/>
  <c r="E1182" i="4"/>
  <c r="D1182" i="4"/>
  <c r="B1182" i="4"/>
  <c r="A1182" i="4"/>
  <c r="E1181" i="4"/>
  <c r="D1181" i="4"/>
  <c r="B1181" i="4"/>
  <c r="A1181" i="4"/>
  <c r="E1180" i="4"/>
  <c r="D1180" i="4"/>
  <c r="B1180" i="4"/>
  <c r="A1180" i="4"/>
  <c r="E1179" i="4"/>
  <c r="D1179" i="4"/>
  <c r="B1179" i="4"/>
  <c r="A1179" i="4"/>
  <c r="E1178" i="4"/>
  <c r="D1178" i="4"/>
  <c r="B1178" i="4"/>
  <c r="A1178" i="4"/>
  <c r="E1177" i="4"/>
  <c r="D1177" i="4"/>
  <c r="C1177" i="4"/>
  <c r="B1177" i="4"/>
  <c r="A1177" i="4"/>
  <c r="E1176" i="4"/>
  <c r="D1176" i="4"/>
  <c r="C1176" i="4"/>
  <c r="B1176" i="4"/>
  <c r="A1176" i="4"/>
  <c r="B1175" i="4"/>
  <c r="A1175" i="4"/>
  <c r="B1174" i="4"/>
  <c r="A1174" i="4"/>
  <c r="B1173" i="4"/>
  <c r="A1173" i="4"/>
  <c r="B1172" i="4"/>
  <c r="A1172" i="4"/>
  <c r="E1171" i="4"/>
  <c r="D1171" i="4"/>
  <c r="C1171" i="4"/>
  <c r="B1171" i="4"/>
  <c r="A1171" i="4"/>
  <c r="E1170" i="4"/>
  <c r="D1170" i="4"/>
  <c r="C1170" i="4"/>
  <c r="B1170" i="4"/>
  <c r="A1170" i="4"/>
  <c r="E1169" i="4"/>
  <c r="D1169" i="4"/>
  <c r="C1169" i="4"/>
  <c r="B1169" i="4"/>
  <c r="A1169" i="4"/>
  <c r="B1168" i="4"/>
  <c r="A1168" i="4"/>
  <c r="E1167" i="4"/>
  <c r="D1167" i="4"/>
  <c r="B1167" i="4"/>
  <c r="A1167" i="4"/>
  <c r="E1166" i="4"/>
  <c r="D1166" i="4"/>
  <c r="C1166" i="4"/>
  <c r="B1166" i="4"/>
  <c r="A1166" i="4"/>
  <c r="C1165" i="4"/>
  <c r="B1165" i="4"/>
  <c r="A1165" i="4"/>
  <c r="E1164" i="4"/>
  <c r="D1164" i="4"/>
  <c r="B1164" i="4"/>
  <c r="A1164" i="4"/>
  <c r="E1163" i="4"/>
  <c r="D1163" i="4"/>
  <c r="B1163" i="4"/>
  <c r="A1163" i="4"/>
  <c r="E1162" i="4"/>
  <c r="C1162" i="4"/>
  <c r="B1162" i="4"/>
  <c r="A1162" i="4"/>
  <c r="E1161" i="4"/>
  <c r="D1161" i="4"/>
  <c r="B1161" i="4"/>
  <c r="A1161" i="4"/>
  <c r="E1160" i="4"/>
  <c r="D1160" i="4"/>
  <c r="B1160" i="4"/>
  <c r="A1160" i="4"/>
  <c r="E1159" i="4"/>
  <c r="D1159" i="4"/>
  <c r="C1159" i="4"/>
  <c r="B1159" i="4"/>
  <c r="A1159" i="4"/>
  <c r="E1158" i="4"/>
  <c r="D1158" i="4"/>
  <c r="C1158" i="4"/>
  <c r="B1158" i="4"/>
  <c r="A1158" i="4"/>
  <c r="E1157" i="4"/>
  <c r="D1157" i="4"/>
  <c r="B1157" i="4"/>
  <c r="A1157" i="4"/>
  <c r="E1156" i="4"/>
  <c r="D1156" i="4"/>
  <c r="C1156" i="4"/>
  <c r="B1156" i="4"/>
  <c r="A1156" i="4"/>
  <c r="E1155" i="4"/>
  <c r="B1155" i="4"/>
  <c r="A1155" i="4"/>
  <c r="E1154" i="4"/>
  <c r="B1154" i="4"/>
  <c r="A1154" i="4"/>
  <c r="E1153" i="4"/>
  <c r="D1153" i="4"/>
  <c r="B1153" i="4"/>
  <c r="A1153" i="4"/>
  <c r="E1152" i="4"/>
  <c r="D1152" i="4"/>
  <c r="C1152" i="4"/>
  <c r="B1152" i="4"/>
  <c r="A1152" i="4"/>
  <c r="E1151" i="4"/>
  <c r="D1151" i="4"/>
  <c r="C1151" i="4"/>
  <c r="B1151" i="4"/>
  <c r="A1151" i="4"/>
  <c r="E1150" i="4"/>
  <c r="D1150" i="4"/>
  <c r="C1150" i="4"/>
  <c r="B1150" i="4"/>
  <c r="A1150" i="4"/>
  <c r="E1149" i="4"/>
  <c r="D1149" i="4"/>
  <c r="C1149" i="4"/>
  <c r="B1149" i="4"/>
  <c r="A1149" i="4"/>
  <c r="B1148" i="4"/>
  <c r="A1148" i="4"/>
  <c r="E1147" i="4"/>
  <c r="D1147" i="4"/>
  <c r="C1147" i="4"/>
  <c r="B1147" i="4"/>
  <c r="A1147" i="4"/>
  <c r="E1146" i="4"/>
  <c r="D1146" i="4"/>
  <c r="C1146" i="4"/>
  <c r="B1146" i="4"/>
  <c r="A1146" i="4"/>
  <c r="E1145" i="4"/>
  <c r="D1145" i="4"/>
  <c r="C1145" i="4"/>
  <c r="B1145" i="4"/>
  <c r="A1145" i="4"/>
  <c r="B1144" i="4"/>
  <c r="A1144" i="4"/>
  <c r="B1143" i="4"/>
  <c r="A1143" i="4"/>
  <c r="E1142" i="4"/>
  <c r="D1142" i="4"/>
  <c r="C1142" i="4"/>
  <c r="B1142" i="4"/>
  <c r="A1142" i="4"/>
  <c r="F1141" i="4"/>
  <c r="E1141" i="4"/>
  <c r="D1141" i="4"/>
  <c r="C1141" i="4"/>
  <c r="B1141" i="4"/>
  <c r="A1141" i="4"/>
  <c r="F1140" i="4"/>
  <c r="E1140" i="4"/>
  <c r="D1140" i="4"/>
  <c r="C1140" i="4"/>
  <c r="B1140" i="4"/>
  <c r="A1140" i="4"/>
  <c r="E1139" i="4"/>
  <c r="D1139" i="4"/>
  <c r="C1139" i="4"/>
  <c r="B1139" i="4"/>
  <c r="A1139" i="4"/>
  <c r="E1138" i="4"/>
  <c r="D1138" i="4"/>
  <c r="C1138" i="4"/>
  <c r="B1138" i="4"/>
  <c r="A1138" i="4"/>
  <c r="E1137" i="4"/>
  <c r="D1137" i="4"/>
  <c r="C1137" i="4"/>
  <c r="B1137" i="4"/>
  <c r="A1137" i="4"/>
  <c r="B1136" i="4"/>
  <c r="A1136" i="4"/>
  <c r="E1135" i="4"/>
  <c r="D1135" i="4"/>
  <c r="C1135" i="4"/>
  <c r="B1135" i="4"/>
  <c r="A1135" i="4"/>
  <c r="E1134" i="4"/>
  <c r="D1134" i="4"/>
  <c r="C1134" i="4"/>
  <c r="B1134" i="4"/>
  <c r="A1134" i="4"/>
  <c r="B1133" i="4"/>
  <c r="A1133" i="4"/>
  <c r="E1132" i="4"/>
  <c r="D1132" i="4"/>
  <c r="C1132" i="4"/>
  <c r="B1132" i="4"/>
  <c r="A1132" i="4"/>
  <c r="E1131" i="4"/>
  <c r="D1131" i="4"/>
  <c r="C1131" i="4"/>
  <c r="B1131" i="4"/>
  <c r="A1131" i="4"/>
  <c r="E1130" i="4"/>
  <c r="D1130" i="4"/>
  <c r="C1130" i="4"/>
  <c r="B1130" i="4"/>
  <c r="A1130" i="4"/>
  <c r="E1129" i="4"/>
  <c r="D1129" i="4"/>
  <c r="C1129" i="4"/>
  <c r="B1129" i="4"/>
  <c r="A1129" i="4"/>
  <c r="B1128" i="4"/>
  <c r="A1128" i="4"/>
  <c r="B1127" i="4"/>
  <c r="A1127" i="4"/>
  <c r="B1126" i="4"/>
  <c r="A1126" i="4"/>
  <c r="E1125" i="4"/>
  <c r="D1125" i="4"/>
  <c r="C1125" i="4"/>
  <c r="B1125" i="4"/>
  <c r="A1125" i="4"/>
  <c r="F1124" i="4"/>
  <c r="E1124" i="4"/>
  <c r="D1124" i="4"/>
  <c r="C1124" i="4"/>
  <c r="B1124" i="4"/>
  <c r="A1124" i="4"/>
  <c r="B1123" i="4"/>
  <c r="A1123" i="4"/>
  <c r="E1122" i="4"/>
  <c r="D1122" i="4"/>
  <c r="C1122" i="4"/>
  <c r="B1122" i="4"/>
  <c r="A1122" i="4"/>
  <c r="E1121" i="4"/>
  <c r="D1121" i="4"/>
  <c r="C1121" i="4"/>
  <c r="B1121" i="4"/>
  <c r="A1121" i="4"/>
  <c r="E1120" i="4"/>
  <c r="D1120" i="4"/>
  <c r="C1120" i="4"/>
  <c r="B1120" i="4"/>
  <c r="A1120" i="4"/>
  <c r="E1119" i="4"/>
  <c r="D1119" i="4"/>
  <c r="C1119" i="4"/>
  <c r="B1119" i="4"/>
  <c r="A1119" i="4"/>
  <c r="E1118" i="4"/>
  <c r="D1118" i="4"/>
  <c r="C1118" i="4"/>
  <c r="B1118" i="4"/>
  <c r="A1118" i="4"/>
  <c r="E1117" i="4"/>
  <c r="D1117" i="4"/>
  <c r="C1117" i="4"/>
  <c r="B1117" i="4"/>
  <c r="A1117" i="4"/>
  <c r="E1116" i="4"/>
  <c r="D1116" i="4"/>
  <c r="C1116" i="4"/>
  <c r="B1116" i="4"/>
  <c r="A1116" i="4"/>
  <c r="E1115" i="4"/>
  <c r="D1115" i="4"/>
  <c r="C1115" i="4"/>
  <c r="B1115" i="4"/>
  <c r="A1115" i="4"/>
  <c r="E1114" i="4"/>
  <c r="D1114" i="4"/>
  <c r="C1114" i="4"/>
  <c r="B1114" i="4"/>
  <c r="A1114" i="4"/>
  <c r="E1113" i="4"/>
  <c r="D1113" i="4"/>
  <c r="C1113" i="4"/>
  <c r="B1113" i="4"/>
  <c r="A1113" i="4"/>
  <c r="E1112" i="4"/>
  <c r="D1112" i="4"/>
  <c r="C1112" i="4"/>
  <c r="B1112" i="4"/>
  <c r="A1112" i="4"/>
  <c r="E1111" i="4"/>
  <c r="D1111" i="4"/>
  <c r="C1111" i="4"/>
  <c r="B1111" i="4"/>
  <c r="A1111" i="4"/>
  <c r="E1110" i="4"/>
  <c r="D1110" i="4"/>
  <c r="C1110" i="4"/>
  <c r="B1110" i="4"/>
  <c r="A1110" i="4"/>
  <c r="E1109" i="4"/>
  <c r="D1109" i="4"/>
  <c r="C1109" i="4"/>
  <c r="B1109" i="4"/>
  <c r="A1109" i="4"/>
  <c r="E1108" i="4"/>
  <c r="D1108" i="4"/>
  <c r="C1108" i="4"/>
  <c r="B1108" i="4"/>
  <c r="A1108" i="4"/>
  <c r="E1107" i="4"/>
  <c r="D1107" i="4"/>
  <c r="C1107" i="4"/>
  <c r="B1107" i="4"/>
  <c r="A1107" i="4"/>
  <c r="E1106" i="4"/>
  <c r="D1106" i="4"/>
  <c r="C1106" i="4"/>
  <c r="B1106" i="4"/>
  <c r="A1106" i="4"/>
  <c r="E1105" i="4"/>
  <c r="D1105" i="4"/>
  <c r="C1105" i="4"/>
  <c r="B1105" i="4"/>
  <c r="A1105" i="4"/>
  <c r="E1104" i="4"/>
  <c r="D1104" i="4"/>
  <c r="C1104" i="4"/>
  <c r="B1104" i="4"/>
  <c r="A1104" i="4"/>
  <c r="E1103" i="4"/>
  <c r="D1103" i="4"/>
  <c r="C1103" i="4"/>
  <c r="B1103" i="4"/>
  <c r="A1103" i="4"/>
  <c r="E1102" i="4"/>
  <c r="D1102" i="4"/>
  <c r="C1102" i="4"/>
  <c r="B1102" i="4"/>
  <c r="A1102" i="4"/>
  <c r="B1101" i="4"/>
  <c r="A1101" i="4"/>
  <c r="B1100" i="4"/>
  <c r="A1100" i="4"/>
  <c r="E1099" i="4"/>
  <c r="D1099" i="4"/>
  <c r="C1099" i="4"/>
  <c r="B1099" i="4"/>
  <c r="A1099" i="4"/>
  <c r="E1098" i="4"/>
  <c r="D1098" i="4"/>
  <c r="B1098" i="4"/>
  <c r="A1098" i="4"/>
  <c r="E1097" i="4"/>
  <c r="D1097" i="4"/>
  <c r="B1097" i="4"/>
  <c r="A1097" i="4"/>
  <c r="E1096" i="4"/>
  <c r="D1096" i="4"/>
  <c r="B1096" i="4"/>
  <c r="A1096" i="4"/>
  <c r="E1095" i="4"/>
  <c r="D1095" i="4"/>
  <c r="B1095" i="4"/>
  <c r="A1095" i="4"/>
  <c r="E1094" i="4"/>
  <c r="D1094" i="4"/>
  <c r="B1094" i="4"/>
  <c r="A1094" i="4"/>
  <c r="E1093" i="4"/>
  <c r="D1093" i="4"/>
  <c r="C1093" i="4"/>
  <c r="B1093" i="4"/>
  <c r="A1093" i="4"/>
  <c r="B1092" i="4"/>
  <c r="A1092" i="4"/>
  <c r="B1091" i="4"/>
  <c r="A1091" i="4"/>
  <c r="F1090" i="4"/>
  <c r="E1090" i="4"/>
  <c r="D1090" i="4"/>
  <c r="C1090" i="4"/>
  <c r="B1090" i="4"/>
  <c r="A1090" i="4"/>
  <c r="E1089" i="4"/>
  <c r="D1089" i="4"/>
  <c r="C1089" i="4"/>
  <c r="B1089" i="4"/>
  <c r="A1089" i="4"/>
  <c r="E1088" i="4"/>
  <c r="D1088" i="4"/>
  <c r="C1088" i="4"/>
  <c r="B1088" i="4"/>
  <c r="A1088" i="4"/>
  <c r="E1087" i="4"/>
  <c r="D1087" i="4"/>
  <c r="C1087" i="4"/>
  <c r="B1087" i="4"/>
  <c r="A1087" i="4"/>
  <c r="E1086" i="4"/>
  <c r="D1086" i="4"/>
  <c r="C1086" i="4"/>
  <c r="B1086" i="4"/>
  <c r="A1086" i="4"/>
  <c r="E1085" i="4"/>
  <c r="D1085" i="4"/>
  <c r="C1085" i="4"/>
  <c r="B1085" i="4"/>
  <c r="A1085" i="4"/>
  <c r="E1084" i="4"/>
  <c r="D1084" i="4"/>
  <c r="C1084" i="4"/>
  <c r="B1084" i="4"/>
  <c r="A1084" i="4"/>
  <c r="E1083" i="4"/>
  <c r="D1083" i="4"/>
  <c r="C1083" i="4"/>
  <c r="B1083" i="4"/>
  <c r="A1083" i="4"/>
  <c r="E1082" i="4"/>
  <c r="D1082" i="4"/>
  <c r="C1082" i="4"/>
  <c r="B1082" i="4"/>
  <c r="A1082" i="4"/>
  <c r="E1081" i="4"/>
  <c r="D1081" i="4"/>
  <c r="C1081" i="4"/>
  <c r="B1081" i="4"/>
  <c r="A1081" i="4"/>
  <c r="E1080" i="4"/>
  <c r="D1080" i="4"/>
  <c r="C1080" i="4"/>
  <c r="B1080" i="4"/>
  <c r="A1080" i="4"/>
  <c r="E1079" i="4"/>
  <c r="D1079" i="4"/>
  <c r="C1079" i="4"/>
  <c r="B1079" i="4"/>
  <c r="A1079" i="4"/>
  <c r="E1078" i="4"/>
  <c r="D1078" i="4"/>
  <c r="C1078" i="4"/>
  <c r="B1078" i="4"/>
  <c r="A1078" i="4"/>
  <c r="E1077" i="4"/>
  <c r="D1077" i="4"/>
  <c r="C1077" i="4"/>
  <c r="B1077" i="4"/>
  <c r="A1077" i="4"/>
  <c r="E1076" i="4"/>
  <c r="D1076" i="4"/>
  <c r="C1076" i="4"/>
  <c r="B1076" i="4"/>
  <c r="A1076" i="4"/>
  <c r="E1075" i="4"/>
  <c r="D1075" i="4"/>
  <c r="C1075" i="4"/>
  <c r="B1075" i="4"/>
  <c r="A1075" i="4"/>
  <c r="E1074" i="4"/>
  <c r="D1074" i="4"/>
  <c r="C1074" i="4"/>
  <c r="B1074" i="4"/>
  <c r="A1074" i="4"/>
  <c r="E1073" i="4"/>
  <c r="D1073" i="4"/>
  <c r="C1073" i="4"/>
  <c r="B1073" i="4"/>
  <c r="A1073" i="4"/>
  <c r="E1072" i="4"/>
  <c r="D1072" i="4"/>
  <c r="B1072" i="4"/>
  <c r="A1072" i="4"/>
  <c r="E1071" i="4"/>
  <c r="D1071" i="4"/>
  <c r="C1071" i="4"/>
  <c r="B1071" i="4"/>
  <c r="A1071" i="4"/>
  <c r="E1070" i="4"/>
  <c r="D1070" i="4"/>
  <c r="C1070" i="4"/>
  <c r="B1070" i="4"/>
  <c r="A1070" i="4"/>
  <c r="E1069" i="4"/>
  <c r="D1069" i="4"/>
  <c r="C1069" i="4"/>
  <c r="B1069" i="4"/>
  <c r="A1069" i="4"/>
  <c r="E1068" i="4"/>
  <c r="D1068" i="4"/>
  <c r="C1068" i="4"/>
  <c r="B1068" i="4"/>
  <c r="A1068" i="4"/>
  <c r="E1067" i="4"/>
  <c r="D1067" i="4"/>
  <c r="C1067" i="4"/>
  <c r="B1067" i="4"/>
  <c r="A1067" i="4"/>
  <c r="E1066" i="4"/>
  <c r="D1066" i="4"/>
  <c r="C1066" i="4"/>
  <c r="B1066" i="4"/>
  <c r="A1066" i="4"/>
  <c r="E1065" i="4"/>
  <c r="D1065" i="4"/>
  <c r="C1065" i="4"/>
  <c r="B1065" i="4"/>
  <c r="A1065" i="4"/>
  <c r="E1064" i="4"/>
  <c r="D1064" i="4"/>
  <c r="C1064" i="4"/>
  <c r="B1064" i="4"/>
  <c r="A1064" i="4"/>
  <c r="E1063" i="4"/>
  <c r="D1063" i="4"/>
  <c r="C1063" i="4"/>
  <c r="B1063" i="4"/>
  <c r="A1063" i="4"/>
  <c r="E1062" i="4"/>
  <c r="D1062" i="4"/>
  <c r="C1062" i="4"/>
  <c r="B1062" i="4"/>
  <c r="A1062" i="4"/>
  <c r="E1061" i="4"/>
  <c r="D1061" i="4"/>
  <c r="C1061" i="4"/>
  <c r="B1061" i="4"/>
  <c r="A1061" i="4"/>
  <c r="E1060" i="4"/>
  <c r="D1060" i="4"/>
  <c r="C1060" i="4"/>
  <c r="B1060" i="4"/>
  <c r="A1060" i="4"/>
  <c r="E1059" i="4"/>
  <c r="D1059" i="4"/>
  <c r="C1059" i="4"/>
  <c r="B1059" i="4"/>
  <c r="A1059" i="4"/>
  <c r="E1058" i="4"/>
  <c r="D1058" i="4"/>
  <c r="C1058" i="4"/>
  <c r="B1058" i="4"/>
  <c r="A1058" i="4"/>
  <c r="E1057" i="4"/>
  <c r="D1057" i="4"/>
  <c r="C1057" i="4"/>
  <c r="B1057" i="4"/>
  <c r="A1057" i="4"/>
  <c r="E1056" i="4"/>
  <c r="D1056" i="4"/>
  <c r="C1056" i="4"/>
  <c r="B1056" i="4"/>
  <c r="A1056" i="4"/>
  <c r="B1055" i="4"/>
  <c r="A1055" i="4"/>
  <c r="E1054" i="4"/>
  <c r="D1054" i="4"/>
  <c r="C1054" i="4"/>
  <c r="B1054" i="4"/>
  <c r="A1054" i="4"/>
  <c r="B1053" i="4"/>
  <c r="A1053" i="4"/>
  <c r="B1052" i="4"/>
  <c r="A1052" i="4"/>
  <c r="B1051" i="4"/>
  <c r="A1051" i="4"/>
  <c r="F1050" i="4"/>
  <c r="E1050" i="4"/>
  <c r="D1050" i="4"/>
  <c r="C1050" i="4"/>
  <c r="B1050" i="4"/>
  <c r="A1050" i="4"/>
  <c r="E1049" i="4"/>
  <c r="D1049" i="4"/>
  <c r="C1049" i="4"/>
  <c r="B1049" i="4"/>
  <c r="A1049" i="4"/>
  <c r="E1048" i="4"/>
  <c r="D1048" i="4"/>
  <c r="B1048" i="4"/>
  <c r="A1048" i="4"/>
  <c r="E1047" i="4"/>
  <c r="D1047" i="4"/>
  <c r="B1047" i="4"/>
  <c r="A1047" i="4"/>
  <c r="E1046" i="4"/>
  <c r="D1046" i="4"/>
  <c r="B1046" i="4"/>
  <c r="A1046" i="4"/>
  <c r="B1045" i="4"/>
  <c r="A1045" i="4"/>
  <c r="B1044" i="4"/>
  <c r="A1044" i="4"/>
  <c r="E1043" i="4"/>
  <c r="D1043" i="4"/>
  <c r="C1043" i="4"/>
  <c r="B1043" i="4"/>
  <c r="A1043" i="4"/>
  <c r="F1042" i="4"/>
  <c r="E1042" i="4"/>
  <c r="D1042" i="4"/>
  <c r="C1042" i="4"/>
  <c r="B1042" i="4"/>
  <c r="A1042" i="4"/>
  <c r="F1041" i="4"/>
  <c r="E1041" i="4"/>
  <c r="D1041" i="4"/>
  <c r="C1041" i="4"/>
  <c r="B1041" i="4"/>
  <c r="A1041" i="4"/>
  <c r="B1040" i="4"/>
  <c r="A1040" i="4"/>
  <c r="F1039" i="4"/>
  <c r="E1039" i="4"/>
  <c r="D1039" i="4"/>
  <c r="C1039" i="4"/>
  <c r="B1039" i="4"/>
  <c r="A1039" i="4"/>
  <c r="E1038" i="4"/>
  <c r="D1038" i="4"/>
  <c r="C1038" i="4"/>
  <c r="B1038" i="4"/>
  <c r="A1038" i="4"/>
  <c r="E1037" i="4"/>
  <c r="D1037" i="4"/>
  <c r="C1037" i="4"/>
  <c r="B1037" i="4"/>
  <c r="A1037" i="4"/>
  <c r="B1036" i="4"/>
  <c r="A1036" i="4"/>
  <c r="E1035" i="4"/>
  <c r="D1035" i="4"/>
  <c r="C1035" i="4"/>
  <c r="B1035" i="4"/>
  <c r="A1035" i="4"/>
  <c r="B1034" i="4"/>
  <c r="A1034" i="4"/>
  <c r="E1033" i="4"/>
  <c r="D1033" i="4"/>
  <c r="C1033" i="4"/>
  <c r="B1033" i="4"/>
  <c r="A1033" i="4"/>
  <c r="E1032" i="4"/>
  <c r="D1032" i="4"/>
  <c r="C1032" i="4"/>
  <c r="B1032" i="4"/>
  <c r="A1032" i="4"/>
  <c r="B1031" i="4"/>
  <c r="A1031" i="4"/>
  <c r="B1030" i="4"/>
  <c r="A1030" i="4"/>
  <c r="E1029" i="4"/>
  <c r="D1029" i="4"/>
  <c r="C1029" i="4"/>
  <c r="B1029" i="4"/>
  <c r="A1029" i="4"/>
  <c r="D1028" i="4"/>
  <c r="C1028" i="4"/>
  <c r="B1028" i="4"/>
  <c r="A1028" i="4"/>
  <c r="E1027" i="4"/>
  <c r="D1027" i="4"/>
  <c r="B1027" i="4"/>
  <c r="A1027" i="4"/>
  <c r="E1026" i="4"/>
  <c r="D1026" i="4"/>
  <c r="B1026" i="4"/>
  <c r="A1026" i="4"/>
  <c r="E1025" i="4"/>
  <c r="D1025" i="4"/>
  <c r="C1025" i="4"/>
  <c r="B1025" i="4"/>
  <c r="A1025" i="4"/>
  <c r="E1024" i="4"/>
  <c r="D1024" i="4"/>
  <c r="C1024" i="4"/>
  <c r="B1024" i="4"/>
  <c r="A1024" i="4"/>
  <c r="E1023" i="4"/>
  <c r="D1023" i="4"/>
  <c r="C1023" i="4"/>
  <c r="B1023" i="4"/>
  <c r="A1023" i="4"/>
  <c r="E1022" i="4"/>
  <c r="D1022" i="4"/>
  <c r="B1022" i="4"/>
  <c r="A1022" i="4"/>
  <c r="E1021" i="4"/>
  <c r="D1021" i="4"/>
  <c r="B1021" i="4"/>
  <c r="A1021" i="4"/>
  <c r="E1020" i="4"/>
  <c r="D1020" i="4"/>
  <c r="C1020" i="4"/>
  <c r="B1020" i="4"/>
  <c r="A1020" i="4"/>
  <c r="E1019" i="4"/>
  <c r="D1019" i="4"/>
  <c r="B1019" i="4"/>
  <c r="A1019" i="4"/>
  <c r="E1018" i="4"/>
  <c r="D1018" i="4"/>
  <c r="B1018" i="4"/>
  <c r="A1018" i="4"/>
  <c r="E1017" i="4"/>
  <c r="D1017" i="4"/>
  <c r="B1017" i="4"/>
  <c r="A1017" i="4"/>
  <c r="E1016" i="4"/>
  <c r="D1016" i="4"/>
  <c r="C1016" i="4"/>
  <c r="B1016" i="4"/>
  <c r="A1016" i="4"/>
  <c r="E1015" i="4"/>
  <c r="D1015" i="4"/>
  <c r="B1015" i="4"/>
  <c r="A1015" i="4"/>
  <c r="E1014" i="4"/>
  <c r="D1014" i="4"/>
  <c r="B1014" i="4"/>
  <c r="A1014" i="4"/>
  <c r="E1013" i="4"/>
  <c r="D1013" i="4"/>
  <c r="B1013" i="4"/>
  <c r="A1013" i="4"/>
  <c r="E1012" i="4"/>
  <c r="D1012" i="4"/>
  <c r="C1012" i="4"/>
  <c r="B1012" i="4"/>
  <c r="A1012" i="4"/>
  <c r="E1011" i="4"/>
  <c r="D1011" i="4"/>
  <c r="B1011" i="4"/>
  <c r="A1011" i="4"/>
  <c r="E1010" i="4"/>
  <c r="D1010" i="4"/>
  <c r="B1010" i="4"/>
  <c r="A1010" i="4"/>
  <c r="E1009" i="4"/>
  <c r="D1009" i="4"/>
  <c r="B1009" i="4"/>
  <c r="A1009" i="4"/>
  <c r="E1008" i="4"/>
  <c r="D1008" i="4"/>
  <c r="C1008" i="4"/>
  <c r="B1008" i="4"/>
  <c r="A1008" i="4"/>
  <c r="E1007" i="4"/>
  <c r="D1007" i="4"/>
  <c r="C1007" i="4"/>
  <c r="B1007" i="4"/>
  <c r="A1007" i="4"/>
  <c r="E1006" i="4"/>
  <c r="D1006" i="4"/>
  <c r="B1006" i="4"/>
  <c r="A1006" i="4"/>
  <c r="E1005" i="4"/>
  <c r="D1005" i="4"/>
  <c r="C1005" i="4"/>
  <c r="B1005" i="4"/>
  <c r="A1005" i="4"/>
  <c r="E1004" i="4"/>
  <c r="D1004" i="4"/>
  <c r="C1004" i="4"/>
  <c r="B1004" i="4"/>
  <c r="A1004" i="4"/>
  <c r="E1003" i="4"/>
  <c r="D1003" i="4"/>
  <c r="C1003" i="4"/>
  <c r="B1003" i="4"/>
  <c r="A1003" i="4"/>
  <c r="E1002" i="4"/>
  <c r="D1002" i="4"/>
  <c r="C1002" i="4"/>
  <c r="B1002" i="4"/>
  <c r="A1002" i="4"/>
  <c r="E1001" i="4"/>
  <c r="D1001" i="4"/>
  <c r="C1001" i="4"/>
  <c r="B1001" i="4"/>
  <c r="A1001" i="4"/>
  <c r="E1000" i="4"/>
  <c r="D1000" i="4"/>
  <c r="B1000" i="4"/>
  <c r="A1000" i="4"/>
  <c r="E999" i="4"/>
  <c r="D999" i="4"/>
  <c r="C999" i="4"/>
  <c r="B999" i="4"/>
  <c r="A999" i="4"/>
  <c r="F998" i="4"/>
  <c r="E998" i="4"/>
  <c r="D998" i="4"/>
  <c r="C998" i="4"/>
  <c r="B998" i="4"/>
  <c r="A998" i="4"/>
  <c r="F997" i="4"/>
  <c r="E997" i="4"/>
  <c r="D997" i="4"/>
  <c r="C997" i="4"/>
  <c r="B997" i="4"/>
  <c r="A997" i="4"/>
  <c r="E996" i="4"/>
  <c r="D996" i="4"/>
  <c r="C996" i="4"/>
  <c r="B996" i="4"/>
  <c r="A996" i="4"/>
  <c r="E995" i="4"/>
  <c r="D995" i="4"/>
  <c r="C995" i="4"/>
  <c r="B995" i="4"/>
  <c r="A995" i="4"/>
  <c r="E994" i="4"/>
  <c r="D994" i="4"/>
  <c r="C994" i="4"/>
  <c r="B994" i="4"/>
  <c r="A994" i="4"/>
  <c r="E993" i="4"/>
  <c r="D993" i="4"/>
  <c r="C993" i="4"/>
  <c r="B993" i="4"/>
  <c r="A993" i="4"/>
  <c r="E992" i="4"/>
  <c r="D992" i="4"/>
  <c r="C992" i="4"/>
  <c r="B992" i="4"/>
  <c r="A992" i="4"/>
  <c r="E991" i="4"/>
  <c r="D991" i="4"/>
  <c r="C991" i="4"/>
  <c r="B991" i="4"/>
  <c r="A991" i="4"/>
  <c r="E990" i="4"/>
  <c r="D990" i="4"/>
  <c r="C990" i="4"/>
  <c r="B990" i="4"/>
  <c r="A990" i="4"/>
  <c r="E989" i="4"/>
  <c r="D989" i="4"/>
  <c r="C989" i="4"/>
  <c r="B989" i="4"/>
  <c r="A989" i="4"/>
  <c r="E988" i="4"/>
  <c r="D988" i="4"/>
  <c r="C988" i="4"/>
  <c r="B988" i="4"/>
  <c r="A988" i="4"/>
  <c r="E987" i="4"/>
  <c r="D987" i="4"/>
  <c r="C987" i="4"/>
  <c r="B987" i="4"/>
  <c r="A987" i="4"/>
  <c r="F986" i="4"/>
  <c r="E986" i="4"/>
  <c r="C986" i="4"/>
  <c r="B986" i="4"/>
  <c r="A986" i="4"/>
  <c r="B985" i="4"/>
  <c r="A985" i="4"/>
  <c r="F984" i="4"/>
  <c r="E984" i="4"/>
  <c r="D984" i="4"/>
  <c r="C984" i="4"/>
  <c r="B984" i="4"/>
  <c r="A984" i="4"/>
  <c r="E983" i="4"/>
  <c r="C983" i="4"/>
  <c r="B983" i="4"/>
  <c r="A983" i="4"/>
  <c r="F982" i="4"/>
  <c r="E982" i="4"/>
  <c r="D982" i="4"/>
  <c r="C982" i="4"/>
  <c r="B982" i="4"/>
  <c r="A982" i="4"/>
  <c r="E981" i="4"/>
  <c r="D981" i="4"/>
  <c r="C981" i="4"/>
  <c r="B981" i="4"/>
  <c r="A981" i="4"/>
  <c r="E980" i="4"/>
  <c r="D980" i="4"/>
  <c r="C980" i="4"/>
  <c r="B980" i="4"/>
  <c r="A980" i="4"/>
  <c r="E979" i="4"/>
  <c r="D979" i="4"/>
  <c r="C979" i="4"/>
  <c r="B979" i="4"/>
  <c r="A979" i="4"/>
  <c r="B978" i="4"/>
  <c r="A978" i="4"/>
  <c r="E977" i="4"/>
  <c r="D977" i="4"/>
  <c r="C977" i="4"/>
  <c r="B977" i="4"/>
  <c r="A977" i="4"/>
  <c r="E976" i="4"/>
  <c r="D976" i="4"/>
  <c r="C976" i="4"/>
  <c r="B976" i="4"/>
  <c r="A976" i="4"/>
  <c r="E975" i="4"/>
  <c r="D975" i="4"/>
  <c r="C975" i="4"/>
  <c r="B975" i="4"/>
  <c r="A975" i="4"/>
  <c r="E974" i="4"/>
  <c r="D974" i="4"/>
  <c r="C974" i="4"/>
  <c r="B974" i="4"/>
  <c r="A974" i="4"/>
  <c r="E973" i="4"/>
  <c r="D973" i="4"/>
  <c r="C973" i="4"/>
  <c r="B973" i="4"/>
  <c r="A973" i="4"/>
  <c r="E972" i="4"/>
  <c r="D972" i="4"/>
  <c r="C972" i="4"/>
  <c r="B972" i="4"/>
  <c r="A972" i="4"/>
  <c r="E971" i="4"/>
  <c r="D971" i="4"/>
  <c r="C971" i="4"/>
  <c r="B971" i="4"/>
  <c r="A971" i="4"/>
  <c r="E970" i="4"/>
  <c r="D970" i="4"/>
  <c r="C970" i="4"/>
  <c r="B970" i="4"/>
  <c r="A970" i="4"/>
  <c r="E969" i="4"/>
  <c r="D969" i="4"/>
  <c r="C969" i="4"/>
  <c r="B969" i="4"/>
  <c r="A969" i="4"/>
  <c r="E968" i="4"/>
  <c r="D968" i="4"/>
  <c r="C968" i="4"/>
  <c r="B968" i="4"/>
  <c r="A968" i="4"/>
  <c r="B967" i="4"/>
  <c r="A967" i="4"/>
  <c r="E966" i="4"/>
  <c r="D966" i="4"/>
  <c r="C966" i="4"/>
  <c r="B966" i="4"/>
  <c r="A966" i="4"/>
  <c r="F965" i="4"/>
  <c r="E965" i="4"/>
  <c r="D965" i="4"/>
  <c r="C965" i="4"/>
  <c r="B965" i="4"/>
  <c r="A965" i="4"/>
  <c r="F964" i="4"/>
  <c r="E964" i="4"/>
  <c r="D964" i="4"/>
  <c r="C964" i="4"/>
  <c r="B964" i="4"/>
  <c r="A964" i="4"/>
  <c r="B963" i="4"/>
  <c r="A963" i="4"/>
  <c r="B962" i="4"/>
  <c r="A962" i="4"/>
  <c r="E961" i="4"/>
  <c r="D961" i="4"/>
  <c r="C961" i="4"/>
  <c r="B961" i="4"/>
  <c r="A961" i="4"/>
  <c r="E960" i="4"/>
  <c r="D960" i="4"/>
  <c r="C960" i="4"/>
  <c r="B960" i="4"/>
  <c r="A960" i="4"/>
  <c r="E959" i="4"/>
  <c r="D959" i="4"/>
  <c r="C959" i="4"/>
  <c r="B959" i="4"/>
  <c r="A959" i="4"/>
  <c r="E958" i="4"/>
  <c r="D958" i="4"/>
  <c r="C958" i="4"/>
  <c r="B958" i="4"/>
  <c r="A958" i="4"/>
  <c r="E957" i="4"/>
  <c r="D957" i="4"/>
  <c r="C957" i="4"/>
  <c r="B957" i="4"/>
  <c r="A957" i="4"/>
  <c r="B956" i="4"/>
  <c r="A956" i="4"/>
  <c r="B955" i="4"/>
  <c r="A955" i="4"/>
  <c r="E954" i="4"/>
  <c r="D954" i="4"/>
  <c r="C954" i="4"/>
  <c r="B954" i="4"/>
  <c r="A954" i="4"/>
  <c r="E953" i="4"/>
  <c r="D953" i="4"/>
  <c r="B953" i="4"/>
  <c r="A953" i="4"/>
  <c r="E952" i="4"/>
  <c r="D952" i="4"/>
  <c r="B952" i="4"/>
  <c r="A952" i="4"/>
  <c r="B951" i="4"/>
  <c r="A951" i="4"/>
  <c r="E950" i="4"/>
  <c r="D950" i="4"/>
  <c r="C950" i="4"/>
  <c r="B950" i="4"/>
  <c r="A950" i="4"/>
  <c r="B949" i="4"/>
  <c r="A949" i="4"/>
  <c r="E948" i="4"/>
  <c r="D948" i="4"/>
  <c r="C948" i="4"/>
  <c r="B948" i="4"/>
  <c r="A948" i="4"/>
  <c r="B947" i="4"/>
  <c r="A947" i="4"/>
  <c r="E946" i="4"/>
  <c r="D946" i="4"/>
  <c r="C946" i="4"/>
  <c r="B946" i="4"/>
  <c r="A946" i="4"/>
  <c r="E945" i="4"/>
  <c r="D945" i="4"/>
  <c r="C945" i="4"/>
  <c r="B945" i="4"/>
  <c r="A945" i="4"/>
  <c r="B944" i="4"/>
  <c r="A944" i="4"/>
  <c r="E943" i="4"/>
  <c r="D943" i="4"/>
  <c r="C943" i="4"/>
  <c r="B943" i="4"/>
  <c r="A943" i="4"/>
  <c r="B942" i="4"/>
  <c r="A942" i="4"/>
  <c r="E941" i="4"/>
  <c r="D941" i="4"/>
  <c r="C941" i="4"/>
  <c r="B941" i="4"/>
  <c r="A941" i="4"/>
  <c r="E940" i="4"/>
  <c r="D940" i="4"/>
  <c r="C940" i="4"/>
  <c r="B940" i="4"/>
  <c r="A940" i="4"/>
  <c r="B939" i="4"/>
  <c r="A939" i="4"/>
  <c r="E938" i="4"/>
  <c r="D938" i="4"/>
  <c r="C938" i="4"/>
  <c r="B938" i="4"/>
  <c r="A938" i="4"/>
  <c r="B937" i="4"/>
  <c r="A937" i="4"/>
  <c r="E936" i="4"/>
  <c r="C936" i="4"/>
  <c r="B936" i="4"/>
  <c r="A936" i="4"/>
  <c r="E935" i="4"/>
  <c r="C935" i="4"/>
  <c r="B935" i="4"/>
  <c r="A935" i="4"/>
  <c r="F934" i="4"/>
  <c r="E934" i="4"/>
  <c r="D934" i="4"/>
  <c r="C934" i="4"/>
  <c r="B934" i="4"/>
  <c r="A934" i="4"/>
  <c r="B933" i="4"/>
  <c r="A933" i="4"/>
  <c r="E932" i="4"/>
  <c r="D932" i="4"/>
  <c r="C932" i="4"/>
  <c r="B932" i="4"/>
  <c r="A932" i="4"/>
  <c r="E931" i="4"/>
  <c r="D931" i="4"/>
  <c r="C931" i="4"/>
  <c r="B931" i="4"/>
  <c r="A931" i="4"/>
  <c r="E930" i="4"/>
  <c r="D930" i="4"/>
  <c r="C930" i="4"/>
  <c r="B930" i="4"/>
  <c r="A930" i="4"/>
  <c r="F929" i="4"/>
  <c r="E929" i="4"/>
  <c r="D929" i="4"/>
  <c r="C929" i="4"/>
  <c r="B929" i="4"/>
  <c r="A929" i="4"/>
  <c r="E928" i="4"/>
  <c r="D928" i="4"/>
  <c r="C928" i="4"/>
  <c r="B928" i="4"/>
  <c r="A928" i="4"/>
  <c r="E927" i="4"/>
  <c r="D927" i="4"/>
  <c r="C927" i="4"/>
  <c r="B927" i="4"/>
  <c r="A927" i="4"/>
  <c r="E926" i="4"/>
  <c r="D926" i="4"/>
  <c r="C926" i="4"/>
  <c r="B926" i="4"/>
  <c r="A926" i="4"/>
  <c r="E925" i="4"/>
  <c r="D925" i="4"/>
  <c r="C925" i="4"/>
  <c r="B925" i="4"/>
  <c r="A925" i="4"/>
  <c r="B924" i="4"/>
  <c r="A924" i="4"/>
  <c r="E923" i="4"/>
  <c r="D923" i="4"/>
  <c r="C923" i="4"/>
  <c r="B923" i="4"/>
  <c r="A923" i="4"/>
  <c r="E922" i="4"/>
  <c r="D922" i="4"/>
  <c r="C922" i="4"/>
  <c r="B922" i="4"/>
  <c r="A922" i="4"/>
  <c r="B921" i="4"/>
  <c r="A921" i="4"/>
  <c r="F920" i="4"/>
  <c r="E920" i="4"/>
  <c r="C920" i="4"/>
  <c r="B920" i="4"/>
  <c r="A920" i="4"/>
  <c r="E919" i="4"/>
  <c r="D919" i="4"/>
  <c r="C919" i="4"/>
  <c r="B919" i="4"/>
  <c r="A919" i="4"/>
  <c r="E918" i="4"/>
  <c r="D918" i="4"/>
  <c r="C918" i="4"/>
  <c r="B918" i="4"/>
  <c r="A918" i="4"/>
  <c r="E917" i="4"/>
  <c r="D917" i="4"/>
  <c r="C917" i="4"/>
  <c r="B917" i="4"/>
  <c r="A917" i="4"/>
  <c r="B916" i="4"/>
  <c r="A916" i="4"/>
  <c r="E915" i="4"/>
  <c r="D915" i="4"/>
  <c r="C915" i="4"/>
  <c r="B915" i="4"/>
  <c r="A915" i="4"/>
  <c r="E914" i="4"/>
  <c r="D914" i="4"/>
  <c r="C914" i="4"/>
  <c r="B914" i="4"/>
  <c r="A914" i="4"/>
  <c r="E913" i="4"/>
  <c r="D913" i="4"/>
  <c r="C913" i="4"/>
  <c r="B913" i="4"/>
  <c r="A913" i="4"/>
  <c r="E912" i="4"/>
  <c r="D912" i="4"/>
  <c r="C912" i="4"/>
  <c r="B912" i="4"/>
  <c r="A912" i="4"/>
  <c r="B911" i="4"/>
  <c r="A911" i="4"/>
  <c r="B910" i="4"/>
  <c r="A910" i="4"/>
  <c r="F909" i="4"/>
  <c r="E909" i="4"/>
  <c r="D909" i="4"/>
  <c r="C909" i="4"/>
  <c r="B909" i="4"/>
  <c r="A909" i="4"/>
  <c r="E908" i="4"/>
  <c r="D908" i="4"/>
  <c r="C908" i="4"/>
  <c r="B908" i="4"/>
  <c r="A908" i="4"/>
  <c r="E907" i="4"/>
  <c r="D907" i="4"/>
  <c r="C907" i="4"/>
  <c r="B907" i="4"/>
  <c r="A907" i="4"/>
  <c r="B906" i="4"/>
  <c r="A906" i="4"/>
  <c r="E905" i="4"/>
  <c r="D905" i="4"/>
  <c r="B905" i="4"/>
  <c r="A905" i="4"/>
  <c r="E904" i="4"/>
  <c r="D904" i="4"/>
  <c r="C904" i="4"/>
  <c r="B904" i="4"/>
  <c r="A904" i="4"/>
  <c r="E903" i="4"/>
  <c r="D903" i="4"/>
  <c r="C903" i="4"/>
  <c r="B903" i="4"/>
  <c r="A903" i="4"/>
  <c r="E902" i="4"/>
  <c r="D902" i="4"/>
  <c r="C902" i="4"/>
  <c r="B902" i="4"/>
  <c r="A902" i="4"/>
  <c r="E901" i="4"/>
  <c r="D901" i="4"/>
  <c r="C901" i="4"/>
  <c r="B901" i="4"/>
  <c r="A901" i="4"/>
  <c r="E900" i="4"/>
  <c r="D900" i="4"/>
  <c r="C900" i="4"/>
  <c r="B900" i="4"/>
  <c r="A900" i="4"/>
  <c r="B899" i="4"/>
  <c r="A899" i="4"/>
  <c r="E898" i="4"/>
  <c r="D898" i="4"/>
  <c r="C898" i="4"/>
  <c r="B898" i="4"/>
  <c r="A898" i="4"/>
  <c r="E897" i="4"/>
  <c r="D897" i="4"/>
  <c r="C897" i="4"/>
  <c r="B897" i="4"/>
  <c r="A897" i="4"/>
  <c r="E896" i="4"/>
  <c r="D896" i="4"/>
  <c r="C896" i="4"/>
  <c r="B896" i="4"/>
  <c r="A896" i="4"/>
  <c r="D895" i="4"/>
  <c r="C895" i="4"/>
  <c r="B895" i="4"/>
  <c r="A895" i="4"/>
  <c r="E894" i="4"/>
  <c r="D894" i="4"/>
  <c r="C894" i="4"/>
  <c r="B894" i="4"/>
  <c r="A894" i="4"/>
  <c r="F893" i="4"/>
  <c r="E893" i="4"/>
  <c r="D893" i="4"/>
  <c r="C893" i="4"/>
  <c r="B893" i="4"/>
  <c r="A893" i="4"/>
  <c r="B892" i="4"/>
  <c r="A892" i="4"/>
  <c r="F891" i="4"/>
  <c r="E891" i="4"/>
  <c r="D891" i="4"/>
  <c r="C891" i="4"/>
  <c r="B891" i="4"/>
  <c r="A891" i="4"/>
  <c r="E890" i="4"/>
  <c r="D890" i="4"/>
  <c r="C890" i="4"/>
  <c r="B890" i="4"/>
  <c r="A890" i="4"/>
  <c r="B889" i="4"/>
  <c r="A889" i="4"/>
  <c r="E888" i="4"/>
  <c r="D888" i="4"/>
  <c r="C888" i="4"/>
  <c r="B888" i="4"/>
  <c r="A888" i="4"/>
  <c r="E887" i="4"/>
  <c r="D887" i="4"/>
  <c r="C887" i="4"/>
  <c r="B887" i="4"/>
  <c r="A887" i="4"/>
  <c r="E886" i="4"/>
  <c r="D886" i="4"/>
  <c r="C886" i="4"/>
  <c r="B886" i="4"/>
  <c r="A886" i="4"/>
  <c r="F885" i="4"/>
  <c r="E885" i="4"/>
  <c r="D885" i="4"/>
  <c r="C885" i="4"/>
  <c r="B885" i="4"/>
  <c r="A885" i="4"/>
  <c r="E884" i="4"/>
  <c r="D884" i="4"/>
  <c r="C884" i="4"/>
  <c r="B884" i="4"/>
  <c r="A884" i="4"/>
  <c r="B883" i="4"/>
  <c r="A883" i="4"/>
  <c r="B882" i="4"/>
  <c r="A882" i="4"/>
  <c r="E881" i="4"/>
  <c r="D881" i="4"/>
  <c r="B881" i="4"/>
  <c r="A881" i="4"/>
  <c r="B880" i="4"/>
  <c r="A880" i="4"/>
  <c r="E879" i="4"/>
  <c r="D879" i="4"/>
  <c r="C879" i="4"/>
  <c r="B879" i="4"/>
  <c r="A879" i="4"/>
  <c r="E878" i="4"/>
  <c r="D878" i="4"/>
  <c r="C878" i="4"/>
  <c r="B878" i="4"/>
  <c r="A878" i="4"/>
  <c r="E877" i="4"/>
  <c r="D877" i="4"/>
  <c r="C877" i="4"/>
  <c r="B877" i="4"/>
  <c r="A877" i="4"/>
  <c r="E876" i="4"/>
  <c r="D876" i="4"/>
  <c r="B876" i="4"/>
  <c r="A876" i="4"/>
  <c r="E875" i="4"/>
  <c r="D875" i="4"/>
  <c r="B875" i="4"/>
  <c r="A875" i="4"/>
  <c r="E874" i="4"/>
  <c r="D874" i="4"/>
  <c r="B874" i="4"/>
  <c r="A874" i="4"/>
  <c r="E873" i="4"/>
  <c r="D873" i="4"/>
  <c r="B873" i="4"/>
  <c r="A873" i="4"/>
  <c r="E872" i="4"/>
  <c r="D872" i="4"/>
  <c r="B872" i="4"/>
  <c r="A872" i="4"/>
  <c r="E871" i="4"/>
  <c r="D871" i="4"/>
  <c r="B871" i="4"/>
  <c r="A871" i="4"/>
  <c r="E870" i="4"/>
  <c r="D870" i="4"/>
  <c r="B870" i="4"/>
  <c r="A870" i="4"/>
  <c r="E869" i="4"/>
  <c r="D869" i="4"/>
  <c r="B869" i="4"/>
  <c r="A869" i="4"/>
  <c r="E868" i="4"/>
  <c r="D868" i="4"/>
  <c r="B868" i="4"/>
  <c r="A868" i="4"/>
  <c r="E867" i="4"/>
  <c r="D867" i="4"/>
  <c r="B867" i="4"/>
  <c r="A867" i="4"/>
  <c r="B866" i="4"/>
  <c r="A866" i="4"/>
  <c r="B865" i="4"/>
  <c r="A865" i="4"/>
  <c r="B864" i="4"/>
  <c r="A864" i="4"/>
  <c r="E863" i="4"/>
  <c r="D863" i="4"/>
  <c r="B863" i="4"/>
  <c r="A863" i="4"/>
  <c r="E862" i="4"/>
  <c r="D862" i="4"/>
  <c r="B862" i="4"/>
  <c r="A862" i="4"/>
  <c r="E861" i="4"/>
  <c r="D861" i="4"/>
  <c r="B861" i="4"/>
  <c r="A861" i="4"/>
  <c r="E860" i="4"/>
  <c r="D860" i="4"/>
  <c r="B860" i="4"/>
  <c r="A860" i="4"/>
  <c r="E859" i="4"/>
  <c r="D859" i="4"/>
  <c r="B859" i="4"/>
  <c r="A859" i="4"/>
  <c r="E858" i="4"/>
  <c r="D858" i="4"/>
  <c r="B858" i="4"/>
  <c r="A858" i="4"/>
  <c r="E857" i="4"/>
  <c r="D857" i="4"/>
  <c r="C857" i="4"/>
  <c r="B857" i="4"/>
  <c r="A857" i="4"/>
  <c r="E856" i="4"/>
  <c r="D856" i="4"/>
  <c r="B856" i="4"/>
  <c r="A856" i="4"/>
  <c r="E855" i="4"/>
  <c r="D855" i="4"/>
  <c r="B855" i="4"/>
  <c r="A855" i="4"/>
  <c r="E854" i="4"/>
  <c r="D854" i="4"/>
  <c r="C854" i="4"/>
  <c r="B854" i="4"/>
  <c r="A854" i="4"/>
  <c r="F853" i="4"/>
  <c r="E853" i="4"/>
  <c r="D853" i="4"/>
  <c r="C853" i="4"/>
  <c r="B853" i="4"/>
  <c r="A853" i="4"/>
  <c r="B852" i="4"/>
  <c r="A852" i="4"/>
  <c r="E851" i="4"/>
  <c r="D851" i="4"/>
  <c r="C851" i="4"/>
  <c r="B851" i="4"/>
  <c r="A851" i="4"/>
  <c r="F850" i="4"/>
  <c r="E850" i="4"/>
  <c r="D850" i="4"/>
  <c r="C850" i="4"/>
  <c r="B850" i="4"/>
  <c r="A850" i="4"/>
  <c r="B849" i="4"/>
  <c r="A849" i="4"/>
  <c r="E848" i="4"/>
  <c r="D848" i="4"/>
  <c r="C848" i="4"/>
  <c r="B848" i="4"/>
  <c r="A848" i="4"/>
  <c r="F847" i="4"/>
  <c r="E847" i="4"/>
  <c r="D847" i="4"/>
  <c r="C847" i="4"/>
  <c r="B847" i="4"/>
  <c r="A847" i="4"/>
  <c r="B846" i="4"/>
  <c r="A846" i="4"/>
  <c r="E845" i="4"/>
  <c r="D845" i="4"/>
  <c r="C845" i="4"/>
  <c r="B845" i="4"/>
  <c r="A845" i="4"/>
  <c r="B844" i="4"/>
  <c r="A844" i="4"/>
  <c r="E843" i="4"/>
  <c r="D843" i="4"/>
  <c r="C843" i="4"/>
  <c r="B843" i="4"/>
  <c r="A843" i="4"/>
  <c r="E842" i="4"/>
  <c r="D842" i="4"/>
  <c r="C842" i="4"/>
  <c r="B842" i="4"/>
  <c r="A842" i="4"/>
  <c r="E841" i="4"/>
  <c r="D841" i="4"/>
  <c r="C841" i="4"/>
  <c r="B841" i="4"/>
  <c r="A841" i="4"/>
  <c r="F840" i="4"/>
  <c r="E840" i="4"/>
  <c r="D840" i="4"/>
  <c r="C840" i="4"/>
  <c r="B840" i="4"/>
  <c r="A840" i="4"/>
  <c r="E839" i="4"/>
  <c r="D839" i="4"/>
  <c r="C839" i="4"/>
  <c r="B839" i="4"/>
  <c r="A839" i="4"/>
  <c r="F838" i="4"/>
  <c r="E838" i="4"/>
  <c r="D838" i="4"/>
  <c r="C838" i="4"/>
  <c r="B838" i="4"/>
  <c r="A838" i="4"/>
  <c r="B837" i="4"/>
  <c r="A837" i="4"/>
  <c r="B836" i="4"/>
  <c r="A836" i="4"/>
  <c r="E835" i="4"/>
  <c r="D835" i="4"/>
  <c r="B835" i="4"/>
  <c r="A835" i="4"/>
  <c r="E834" i="4"/>
  <c r="D834" i="4"/>
  <c r="B834" i="4"/>
  <c r="A834" i="4"/>
  <c r="B833" i="4"/>
  <c r="A833" i="4"/>
  <c r="F832" i="4"/>
  <c r="E832" i="4"/>
  <c r="D832" i="4"/>
  <c r="C832" i="4"/>
  <c r="B832" i="4"/>
  <c r="A832" i="4"/>
  <c r="F831" i="4"/>
  <c r="E831" i="4"/>
  <c r="D831" i="4"/>
  <c r="C831" i="4"/>
  <c r="B831" i="4"/>
  <c r="A831" i="4"/>
  <c r="E830" i="4"/>
  <c r="D830" i="4"/>
  <c r="C830" i="4"/>
  <c r="B830" i="4"/>
  <c r="A830" i="4"/>
  <c r="E829" i="4"/>
  <c r="D829" i="4"/>
  <c r="C829" i="4"/>
  <c r="B829" i="4"/>
  <c r="A829" i="4"/>
  <c r="B828" i="4"/>
  <c r="A828" i="4"/>
  <c r="F827" i="4"/>
  <c r="E827" i="4"/>
  <c r="D827" i="4"/>
  <c r="C827" i="4"/>
  <c r="B827" i="4"/>
  <c r="A827" i="4"/>
  <c r="F826" i="4"/>
  <c r="E826" i="4"/>
  <c r="D826" i="4"/>
  <c r="C826" i="4"/>
  <c r="B826" i="4"/>
  <c r="A826" i="4"/>
  <c r="E825" i="4"/>
  <c r="D825" i="4"/>
  <c r="C825" i="4"/>
  <c r="B825" i="4"/>
  <c r="A825" i="4"/>
  <c r="B824" i="4"/>
  <c r="A824" i="4"/>
  <c r="E823" i="4"/>
  <c r="D823" i="4"/>
  <c r="B823" i="4"/>
  <c r="A823" i="4"/>
  <c r="E822" i="4"/>
  <c r="D822" i="4"/>
  <c r="B822" i="4"/>
  <c r="A822" i="4"/>
  <c r="E821" i="4"/>
  <c r="D821" i="4"/>
  <c r="B821" i="4"/>
  <c r="A821" i="4"/>
  <c r="E820" i="4"/>
  <c r="D820" i="4"/>
  <c r="B820" i="4"/>
  <c r="A820" i="4"/>
  <c r="E819" i="4"/>
  <c r="D819" i="4"/>
  <c r="B819" i="4"/>
  <c r="A819" i="4"/>
  <c r="E818" i="4"/>
  <c r="D818" i="4"/>
  <c r="B818" i="4"/>
  <c r="A818" i="4"/>
  <c r="E817" i="4"/>
  <c r="D817" i="4"/>
  <c r="B817" i="4"/>
  <c r="A817" i="4"/>
  <c r="E816" i="4"/>
  <c r="D816" i="4"/>
  <c r="B816" i="4"/>
  <c r="A816" i="4"/>
  <c r="E815" i="4"/>
  <c r="D815" i="4"/>
  <c r="B815" i="4"/>
  <c r="A815" i="4"/>
  <c r="E814" i="4"/>
  <c r="D814" i="4"/>
  <c r="B814" i="4"/>
  <c r="A814" i="4"/>
  <c r="B813" i="4"/>
  <c r="A813" i="4"/>
  <c r="E812" i="4"/>
  <c r="D812" i="4"/>
  <c r="C812" i="4"/>
  <c r="B812" i="4"/>
  <c r="A812" i="4"/>
  <c r="E811" i="4"/>
  <c r="D811" i="4"/>
  <c r="C811" i="4"/>
  <c r="B811" i="4"/>
  <c r="A811" i="4"/>
  <c r="E810" i="4"/>
  <c r="D810" i="4"/>
  <c r="C810" i="4"/>
  <c r="B810" i="4"/>
  <c r="A810" i="4"/>
  <c r="E809" i="4"/>
  <c r="D809" i="4"/>
  <c r="C809" i="4"/>
  <c r="B809" i="4"/>
  <c r="A809" i="4"/>
  <c r="B808" i="4"/>
  <c r="A808" i="4"/>
  <c r="F807" i="4"/>
  <c r="E807" i="4"/>
  <c r="C807" i="4"/>
  <c r="B807" i="4"/>
  <c r="A807" i="4"/>
  <c r="D806" i="4"/>
  <c r="C806" i="4"/>
  <c r="B806" i="4"/>
  <c r="A806" i="4"/>
  <c r="B805" i="4"/>
  <c r="A805" i="4"/>
  <c r="B804" i="4"/>
  <c r="A804" i="4"/>
  <c r="B803" i="4"/>
  <c r="A803" i="4"/>
  <c r="E802" i="4"/>
  <c r="D802" i="4"/>
  <c r="B802" i="4"/>
  <c r="A802" i="4"/>
  <c r="E801" i="4"/>
  <c r="D801" i="4"/>
  <c r="B801" i="4"/>
  <c r="A801" i="4"/>
  <c r="E800" i="4"/>
  <c r="D800" i="4"/>
  <c r="B800" i="4"/>
  <c r="A800" i="4"/>
  <c r="E799" i="4"/>
  <c r="D799" i="4"/>
  <c r="C799" i="4"/>
  <c r="B799" i="4"/>
  <c r="A799" i="4"/>
  <c r="E798" i="4"/>
  <c r="D798" i="4"/>
  <c r="C798" i="4"/>
  <c r="B798" i="4"/>
  <c r="A798" i="4"/>
  <c r="B797" i="4"/>
  <c r="A797" i="4"/>
  <c r="E796" i="4"/>
  <c r="D796" i="4"/>
  <c r="C796" i="4"/>
  <c r="B796" i="4"/>
  <c r="A796" i="4"/>
  <c r="E795" i="4"/>
  <c r="D795" i="4"/>
  <c r="C795" i="4"/>
  <c r="B795" i="4"/>
  <c r="A795" i="4"/>
  <c r="E794" i="4"/>
  <c r="D794" i="4"/>
  <c r="C794" i="4"/>
  <c r="B794" i="4"/>
  <c r="A794" i="4"/>
  <c r="E793" i="4"/>
  <c r="D793" i="4"/>
  <c r="C793" i="4"/>
  <c r="B793" i="4"/>
  <c r="A793" i="4"/>
  <c r="E792" i="4"/>
  <c r="D792" i="4"/>
  <c r="C792" i="4"/>
  <c r="B792" i="4"/>
  <c r="A792" i="4"/>
  <c r="E791" i="4"/>
  <c r="D791" i="4"/>
  <c r="C791" i="4"/>
  <c r="B791" i="4"/>
  <c r="A791" i="4"/>
  <c r="E790" i="4"/>
  <c r="D790" i="4"/>
  <c r="C790" i="4"/>
  <c r="B790" i="4"/>
  <c r="A790" i="4"/>
  <c r="B789" i="4"/>
  <c r="A789" i="4"/>
  <c r="B788" i="4"/>
  <c r="A788" i="4"/>
  <c r="E787" i="4"/>
  <c r="D787" i="4"/>
  <c r="C787" i="4"/>
  <c r="B787" i="4"/>
  <c r="A787" i="4"/>
  <c r="E786" i="4"/>
  <c r="D786" i="4"/>
  <c r="B786" i="4"/>
  <c r="A786" i="4"/>
  <c r="E785" i="4"/>
  <c r="D785" i="4"/>
  <c r="B785" i="4"/>
  <c r="A785" i="4"/>
  <c r="E784" i="4"/>
  <c r="D784" i="4"/>
  <c r="B784" i="4"/>
  <c r="A784" i="4"/>
  <c r="E783" i="4"/>
  <c r="D783" i="4"/>
  <c r="B783" i="4"/>
  <c r="A783" i="4"/>
  <c r="E782" i="4"/>
  <c r="D782" i="4"/>
  <c r="B782" i="4"/>
  <c r="A782" i="4"/>
  <c r="E781" i="4"/>
  <c r="D781" i="4"/>
  <c r="B781" i="4"/>
  <c r="A781" i="4"/>
  <c r="B780" i="4"/>
  <c r="A780" i="4"/>
  <c r="E779" i="4"/>
  <c r="D779" i="4"/>
  <c r="C779" i="4"/>
  <c r="B779" i="4"/>
  <c r="A779" i="4"/>
  <c r="C778" i="4"/>
  <c r="B778" i="4"/>
  <c r="A778" i="4"/>
  <c r="B777" i="4"/>
  <c r="A777" i="4"/>
  <c r="E776" i="4"/>
  <c r="D776" i="4"/>
  <c r="C776" i="4"/>
  <c r="B776" i="4"/>
  <c r="A776" i="4"/>
  <c r="E775" i="4"/>
  <c r="D775" i="4"/>
  <c r="C775" i="4"/>
  <c r="B775" i="4"/>
  <c r="A775" i="4"/>
  <c r="E774" i="4"/>
  <c r="D774" i="4"/>
  <c r="C774" i="4"/>
  <c r="B774" i="4"/>
  <c r="A774" i="4"/>
  <c r="E773" i="4"/>
  <c r="D773" i="4"/>
  <c r="C773" i="4"/>
  <c r="B773" i="4"/>
  <c r="A773" i="4"/>
  <c r="B772" i="4"/>
  <c r="A772" i="4"/>
  <c r="F771" i="4"/>
  <c r="E771" i="4"/>
  <c r="D771" i="4"/>
  <c r="C771" i="4"/>
  <c r="B771" i="4"/>
  <c r="A771" i="4"/>
  <c r="E770" i="4"/>
  <c r="D770" i="4"/>
  <c r="C770" i="4"/>
  <c r="B770" i="4"/>
  <c r="A770" i="4"/>
  <c r="E769" i="4"/>
  <c r="D769" i="4"/>
  <c r="C769" i="4"/>
  <c r="B769" i="4"/>
  <c r="A769" i="4"/>
  <c r="E768" i="4"/>
  <c r="D768" i="4"/>
  <c r="C768" i="4"/>
  <c r="B768" i="4"/>
  <c r="A768" i="4"/>
  <c r="E767" i="4"/>
  <c r="D767" i="4"/>
  <c r="C767" i="4"/>
  <c r="B767" i="4"/>
  <c r="A767" i="4"/>
  <c r="E766" i="4"/>
  <c r="D766" i="4"/>
  <c r="C766" i="4"/>
  <c r="B766" i="4"/>
  <c r="A766" i="4"/>
  <c r="E765" i="4"/>
  <c r="D765" i="4"/>
  <c r="C765" i="4"/>
  <c r="B765" i="4"/>
  <c r="A765" i="4"/>
  <c r="E764" i="4"/>
  <c r="D764" i="4"/>
  <c r="C764" i="4"/>
  <c r="B764" i="4"/>
  <c r="A764" i="4"/>
  <c r="E763" i="4"/>
  <c r="D763" i="4"/>
  <c r="C763" i="4"/>
  <c r="B763" i="4"/>
  <c r="A763" i="4"/>
  <c r="E762" i="4"/>
  <c r="D762" i="4"/>
  <c r="C762" i="4"/>
  <c r="B762" i="4"/>
  <c r="A762" i="4"/>
  <c r="E761" i="4"/>
  <c r="D761" i="4"/>
  <c r="C761" i="4"/>
  <c r="B761" i="4"/>
  <c r="A761" i="4"/>
  <c r="E760" i="4"/>
  <c r="D760" i="4"/>
  <c r="B760" i="4"/>
  <c r="A760" i="4"/>
  <c r="E759" i="4"/>
  <c r="D759" i="4"/>
  <c r="C759" i="4"/>
  <c r="B759" i="4"/>
  <c r="A759" i="4"/>
  <c r="E758" i="4"/>
  <c r="D758" i="4"/>
  <c r="C758" i="4"/>
  <c r="B758" i="4"/>
  <c r="A758" i="4"/>
  <c r="E757" i="4"/>
  <c r="D757" i="4"/>
  <c r="C757" i="4"/>
  <c r="B757" i="4"/>
  <c r="A757" i="4"/>
  <c r="E756" i="4"/>
  <c r="D756" i="4"/>
  <c r="C756" i="4"/>
  <c r="B756" i="4"/>
  <c r="A756" i="4"/>
  <c r="E755" i="4"/>
  <c r="D755" i="4"/>
  <c r="C755" i="4"/>
  <c r="B755" i="4"/>
  <c r="A755" i="4"/>
  <c r="F754" i="4"/>
  <c r="E754" i="4"/>
  <c r="D754" i="4"/>
  <c r="C754" i="4"/>
  <c r="B754" i="4"/>
  <c r="A754" i="4"/>
  <c r="E753" i="4"/>
  <c r="D753" i="4"/>
  <c r="C753" i="4"/>
  <c r="B753" i="4"/>
  <c r="A753" i="4"/>
  <c r="E752" i="4"/>
  <c r="D752" i="4"/>
  <c r="C752" i="4"/>
  <c r="B752" i="4"/>
  <c r="A752" i="4"/>
  <c r="E751" i="4"/>
  <c r="D751" i="4"/>
  <c r="C751" i="4"/>
  <c r="B751" i="4"/>
  <c r="A751" i="4"/>
  <c r="E750" i="4"/>
  <c r="D750" i="4"/>
  <c r="C750" i="4"/>
  <c r="B750" i="4"/>
  <c r="A750" i="4"/>
  <c r="B749" i="4"/>
  <c r="A749" i="4"/>
  <c r="B748" i="4"/>
  <c r="A748" i="4"/>
  <c r="B747" i="4"/>
  <c r="A747" i="4"/>
  <c r="B746" i="4"/>
  <c r="A746" i="4"/>
  <c r="B745" i="4"/>
  <c r="A745" i="4"/>
  <c r="B744" i="4"/>
  <c r="A744" i="4"/>
  <c r="E743" i="4"/>
  <c r="D743" i="4"/>
  <c r="C743" i="4"/>
  <c r="B743" i="4"/>
  <c r="A743" i="4"/>
  <c r="E742" i="4"/>
  <c r="D742" i="4"/>
  <c r="C742" i="4"/>
  <c r="B742" i="4"/>
  <c r="A742" i="4"/>
  <c r="E741" i="4"/>
  <c r="D741" i="4"/>
  <c r="C741" i="4"/>
  <c r="B741" i="4"/>
  <c r="A741" i="4"/>
  <c r="E740" i="4"/>
  <c r="D740" i="4"/>
  <c r="B740" i="4"/>
  <c r="A740" i="4"/>
  <c r="E739" i="4"/>
  <c r="D739" i="4"/>
  <c r="B739" i="4"/>
  <c r="A739" i="4"/>
  <c r="E738" i="4"/>
  <c r="D738" i="4"/>
  <c r="B738" i="4"/>
  <c r="A738" i="4"/>
  <c r="E737" i="4"/>
  <c r="D737" i="4"/>
  <c r="B737" i="4"/>
  <c r="A737" i="4"/>
  <c r="F736" i="4"/>
  <c r="E736" i="4"/>
  <c r="D736" i="4"/>
  <c r="C736" i="4"/>
  <c r="B736" i="4"/>
  <c r="A736" i="4"/>
  <c r="B735" i="4"/>
  <c r="A735" i="4"/>
  <c r="B734" i="4"/>
  <c r="A734" i="4"/>
  <c r="E733" i="4"/>
  <c r="D733" i="4"/>
  <c r="C733" i="4"/>
  <c r="B733" i="4"/>
  <c r="A733" i="4"/>
  <c r="E732" i="4"/>
  <c r="D732" i="4"/>
  <c r="C732" i="4"/>
  <c r="B732" i="4"/>
  <c r="A732" i="4"/>
  <c r="E731" i="4"/>
  <c r="D731" i="4"/>
  <c r="C731" i="4"/>
  <c r="B731" i="4"/>
  <c r="A731" i="4"/>
  <c r="E730" i="4"/>
  <c r="D730" i="4"/>
  <c r="C730" i="4"/>
  <c r="B730" i="4"/>
  <c r="A730" i="4"/>
  <c r="B729" i="4"/>
  <c r="A729" i="4"/>
  <c r="E728" i="4"/>
  <c r="D728" i="4"/>
  <c r="C728" i="4"/>
  <c r="B728" i="4"/>
  <c r="A728" i="4"/>
  <c r="E727" i="4"/>
  <c r="D727" i="4"/>
  <c r="C727" i="4"/>
  <c r="B727" i="4"/>
  <c r="A727" i="4"/>
  <c r="E726" i="4"/>
  <c r="D726" i="4"/>
  <c r="B726" i="4"/>
  <c r="A726" i="4"/>
  <c r="E725" i="4"/>
  <c r="D725" i="4"/>
  <c r="B725" i="4"/>
  <c r="A725" i="4"/>
  <c r="E724" i="4"/>
  <c r="D724" i="4"/>
  <c r="C724" i="4"/>
  <c r="B724" i="4"/>
  <c r="A724" i="4"/>
  <c r="B723" i="4"/>
  <c r="A723" i="4"/>
  <c r="E722" i="4"/>
  <c r="D722" i="4"/>
  <c r="C722" i="4"/>
  <c r="B722" i="4"/>
  <c r="A722" i="4"/>
  <c r="B721" i="4"/>
  <c r="A721" i="4"/>
  <c r="E720" i="4"/>
  <c r="D720" i="4"/>
  <c r="C720" i="4"/>
  <c r="B720" i="4"/>
  <c r="A720" i="4"/>
  <c r="C719" i="4"/>
  <c r="B719" i="4"/>
  <c r="A719" i="4"/>
  <c r="F718" i="4"/>
  <c r="E718" i="4"/>
  <c r="D718" i="4"/>
  <c r="C718" i="4"/>
  <c r="B718" i="4"/>
  <c r="A718" i="4"/>
  <c r="E717" i="4"/>
  <c r="D717" i="4"/>
  <c r="C717" i="4"/>
  <c r="B717" i="4"/>
  <c r="A717" i="4"/>
  <c r="E716" i="4"/>
  <c r="D716" i="4"/>
  <c r="C716" i="4"/>
  <c r="B716" i="4"/>
  <c r="A716" i="4"/>
  <c r="E715" i="4"/>
  <c r="D715" i="4"/>
  <c r="C715" i="4"/>
  <c r="B715" i="4"/>
  <c r="A715" i="4"/>
  <c r="B714" i="4"/>
  <c r="A714" i="4"/>
  <c r="E713" i="4"/>
  <c r="D713" i="4"/>
  <c r="C713" i="4"/>
  <c r="B713" i="4"/>
  <c r="A713" i="4"/>
  <c r="E712" i="4"/>
  <c r="D712" i="4"/>
  <c r="C712" i="4"/>
  <c r="B712" i="4"/>
  <c r="A712" i="4"/>
  <c r="B711" i="4"/>
  <c r="A711" i="4"/>
  <c r="E710" i="4"/>
  <c r="D710" i="4"/>
  <c r="C710" i="4"/>
  <c r="B710" i="4"/>
  <c r="A710" i="4"/>
  <c r="B709" i="4"/>
  <c r="A709" i="4"/>
  <c r="B708" i="4"/>
  <c r="A708" i="4"/>
  <c r="D707" i="4"/>
  <c r="C707" i="4"/>
  <c r="B707" i="4"/>
  <c r="A707" i="4"/>
  <c r="B706" i="4"/>
  <c r="A706" i="4"/>
  <c r="B705" i="4"/>
  <c r="A705" i="4"/>
  <c r="F704" i="4"/>
  <c r="E704" i="4"/>
  <c r="D704" i="4"/>
  <c r="C704" i="4"/>
  <c r="B704" i="4"/>
  <c r="A704" i="4"/>
  <c r="E703" i="4"/>
  <c r="D703" i="4"/>
  <c r="C703" i="4"/>
  <c r="B703" i="4"/>
  <c r="A703" i="4"/>
  <c r="C702" i="4"/>
  <c r="B702" i="4"/>
  <c r="A702" i="4"/>
  <c r="D701" i="4"/>
  <c r="B701" i="4"/>
  <c r="A701" i="4"/>
  <c r="D700" i="4"/>
  <c r="B700" i="4"/>
  <c r="A700" i="4"/>
  <c r="D699" i="4"/>
  <c r="B699" i="4"/>
  <c r="A699" i="4"/>
  <c r="E698" i="4"/>
  <c r="D698" i="4"/>
  <c r="C698" i="4"/>
  <c r="B698" i="4"/>
  <c r="A698" i="4"/>
  <c r="F697" i="4"/>
  <c r="E697" i="4"/>
  <c r="D697" i="4"/>
  <c r="C697" i="4"/>
  <c r="B697" i="4"/>
  <c r="A697" i="4"/>
  <c r="F696" i="4"/>
  <c r="E696" i="4"/>
  <c r="D696" i="4"/>
  <c r="C696" i="4"/>
  <c r="B696" i="4"/>
  <c r="A696" i="4"/>
  <c r="F695" i="4"/>
  <c r="E695" i="4"/>
  <c r="D695" i="4"/>
  <c r="C695" i="4"/>
  <c r="B695" i="4"/>
  <c r="A695" i="4"/>
  <c r="B694" i="4"/>
  <c r="A694" i="4"/>
  <c r="B693" i="4"/>
  <c r="A693" i="4"/>
  <c r="E692" i="4"/>
  <c r="D692" i="4"/>
  <c r="C692" i="4"/>
  <c r="B692" i="4"/>
  <c r="A692" i="4"/>
  <c r="E691" i="4"/>
  <c r="D691" i="4"/>
  <c r="C691" i="4"/>
  <c r="B691" i="4"/>
  <c r="A691" i="4"/>
  <c r="E690" i="4"/>
  <c r="D690" i="4"/>
  <c r="C690" i="4"/>
  <c r="B690" i="4"/>
  <c r="A690" i="4"/>
  <c r="E689" i="4"/>
  <c r="D689" i="4"/>
  <c r="C689" i="4"/>
  <c r="B689" i="4"/>
  <c r="A689" i="4"/>
  <c r="B688" i="4"/>
  <c r="A688" i="4"/>
  <c r="E687" i="4"/>
  <c r="D687" i="4"/>
  <c r="C687" i="4"/>
  <c r="B687" i="4"/>
  <c r="A687" i="4"/>
  <c r="E686" i="4"/>
  <c r="D686" i="4"/>
  <c r="C686" i="4"/>
  <c r="B686" i="4"/>
  <c r="A686" i="4"/>
  <c r="E685" i="4"/>
  <c r="D685" i="4"/>
  <c r="C685" i="4"/>
  <c r="B685" i="4"/>
  <c r="A685" i="4"/>
  <c r="E684" i="4"/>
  <c r="D684" i="4"/>
  <c r="C684" i="4"/>
  <c r="B684" i="4"/>
  <c r="A684" i="4"/>
  <c r="B683" i="4"/>
  <c r="A683" i="4"/>
  <c r="F682" i="4"/>
  <c r="D682" i="4"/>
  <c r="C682" i="4"/>
  <c r="B682" i="4"/>
  <c r="A682" i="4"/>
  <c r="B681" i="4"/>
  <c r="A681" i="4"/>
  <c r="E680" i="4"/>
  <c r="D680" i="4"/>
  <c r="C680" i="4"/>
  <c r="B680" i="4"/>
  <c r="A680" i="4"/>
  <c r="E679" i="4"/>
  <c r="D679" i="4"/>
  <c r="C679" i="4"/>
  <c r="B679" i="4"/>
  <c r="A679" i="4"/>
  <c r="E678" i="4"/>
  <c r="D678" i="4"/>
  <c r="C678" i="4"/>
  <c r="B678" i="4"/>
  <c r="A678" i="4"/>
  <c r="E677" i="4"/>
  <c r="D677" i="4"/>
  <c r="C677" i="4"/>
  <c r="B677" i="4"/>
  <c r="A677" i="4"/>
  <c r="F676" i="4"/>
  <c r="E676" i="4"/>
  <c r="D676" i="4"/>
  <c r="C676" i="4"/>
  <c r="B676" i="4"/>
  <c r="A676" i="4"/>
  <c r="E675" i="4"/>
  <c r="D675" i="4"/>
  <c r="C675" i="4"/>
  <c r="B675" i="4"/>
  <c r="A675" i="4"/>
  <c r="E674" i="4"/>
  <c r="D674" i="4"/>
  <c r="C674" i="4"/>
  <c r="B674" i="4"/>
  <c r="A674" i="4"/>
  <c r="E673" i="4"/>
  <c r="D673" i="4"/>
  <c r="C673" i="4"/>
  <c r="B673" i="4"/>
  <c r="A673" i="4"/>
  <c r="E672" i="4"/>
  <c r="D672" i="4"/>
  <c r="C672" i="4"/>
  <c r="B672" i="4"/>
  <c r="A672" i="4"/>
  <c r="D671" i="4"/>
  <c r="B671" i="4"/>
  <c r="A671" i="4"/>
  <c r="E670" i="4"/>
  <c r="C670" i="4"/>
  <c r="B670" i="4"/>
  <c r="A670" i="4"/>
  <c r="E669" i="4"/>
  <c r="D669" i="4"/>
  <c r="C669" i="4"/>
  <c r="B669" i="4"/>
  <c r="A669" i="4"/>
  <c r="E668" i="4"/>
  <c r="D668" i="4"/>
  <c r="C668" i="4"/>
  <c r="B668" i="4"/>
  <c r="A668" i="4"/>
  <c r="E667" i="4"/>
  <c r="D667" i="4"/>
  <c r="C667" i="4"/>
  <c r="B667" i="4"/>
  <c r="A667" i="4"/>
  <c r="E666" i="4"/>
  <c r="D666" i="4"/>
  <c r="B666" i="4"/>
  <c r="A666" i="4"/>
  <c r="E665" i="4"/>
  <c r="D665" i="4"/>
  <c r="C665" i="4"/>
  <c r="B665" i="4"/>
  <c r="A665" i="4"/>
  <c r="B664" i="4"/>
  <c r="A664" i="4"/>
  <c r="C663" i="4"/>
  <c r="B663" i="4"/>
  <c r="A663" i="4"/>
  <c r="E662" i="4"/>
  <c r="D662" i="4"/>
  <c r="C662" i="4"/>
  <c r="B662" i="4"/>
  <c r="A662" i="4"/>
  <c r="E661" i="4"/>
  <c r="D661" i="4"/>
  <c r="C661" i="4"/>
  <c r="B661" i="4"/>
  <c r="A661" i="4"/>
  <c r="E660" i="4"/>
  <c r="D660" i="4"/>
  <c r="B660" i="4"/>
  <c r="A660" i="4"/>
  <c r="F659" i="4"/>
  <c r="E659" i="4"/>
  <c r="D659" i="4"/>
  <c r="C659" i="4"/>
  <c r="B659" i="4"/>
  <c r="A659" i="4"/>
  <c r="F658" i="4"/>
  <c r="E658" i="4"/>
  <c r="C658" i="4"/>
  <c r="B658" i="4"/>
  <c r="A658" i="4"/>
  <c r="E657" i="4"/>
  <c r="C657" i="4"/>
  <c r="B657" i="4"/>
  <c r="A657" i="4"/>
  <c r="E656" i="4"/>
  <c r="D656" i="4"/>
  <c r="B656" i="4"/>
  <c r="A656" i="4"/>
  <c r="E655" i="4"/>
  <c r="D655" i="4"/>
  <c r="C655" i="4"/>
  <c r="B655" i="4"/>
  <c r="A655" i="4"/>
  <c r="E654" i="4"/>
  <c r="D654" i="4"/>
  <c r="C654" i="4"/>
  <c r="B654" i="4"/>
  <c r="A654" i="4"/>
  <c r="E653" i="4"/>
  <c r="D653" i="4"/>
  <c r="C653" i="4"/>
  <c r="B653" i="4"/>
  <c r="A653" i="4"/>
  <c r="E652" i="4"/>
  <c r="D652" i="4"/>
  <c r="C652" i="4"/>
  <c r="B652" i="4"/>
  <c r="A652" i="4"/>
  <c r="F651" i="4"/>
  <c r="E651" i="4"/>
  <c r="D651" i="4"/>
  <c r="C651" i="4"/>
  <c r="B651" i="4"/>
  <c r="A651" i="4"/>
  <c r="E650" i="4"/>
  <c r="D650" i="4"/>
  <c r="C650" i="4"/>
  <c r="B650" i="4"/>
  <c r="A650" i="4"/>
  <c r="E649" i="4"/>
  <c r="D649" i="4"/>
  <c r="C649" i="4"/>
  <c r="B649" i="4"/>
  <c r="A649" i="4"/>
  <c r="E648" i="4"/>
  <c r="B648" i="4"/>
  <c r="A648" i="4"/>
  <c r="E647" i="4"/>
  <c r="B647" i="4"/>
  <c r="A647" i="4"/>
  <c r="E646" i="4"/>
  <c r="B646" i="4"/>
  <c r="A646" i="4"/>
  <c r="E645" i="4"/>
  <c r="C645" i="4"/>
  <c r="B645" i="4"/>
  <c r="A645" i="4"/>
  <c r="E644" i="4"/>
  <c r="D644" i="4"/>
  <c r="C644" i="4"/>
  <c r="B644" i="4"/>
  <c r="A644" i="4"/>
  <c r="E643" i="4"/>
  <c r="D643" i="4"/>
  <c r="C643" i="4"/>
  <c r="B643" i="4"/>
  <c r="A643" i="4"/>
  <c r="E642" i="4"/>
  <c r="D642" i="4"/>
  <c r="C642" i="4"/>
  <c r="B642" i="4"/>
  <c r="A642" i="4"/>
  <c r="F641" i="4"/>
  <c r="E641" i="4"/>
  <c r="D641" i="4"/>
  <c r="C641" i="4"/>
  <c r="B641" i="4"/>
  <c r="A641" i="4"/>
  <c r="E640" i="4"/>
  <c r="D640" i="4"/>
  <c r="C640" i="4"/>
  <c r="B640" i="4"/>
  <c r="A640" i="4"/>
  <c r="E639" i="4"/>
  <c r="D639" i="4"/>
  <c r="C639" i="4"/>
  <c r="B639" i="4"/>
  <c r="A639" i="4"/>
  <c r="F638" i="4"/>
  <c r="E638" i="4"/>
  <c r="D638" i="4"/>
  <c r="C638" i="4"/>
  <c r="B638" i="4"/>
  <c r="A638" i="4"/>
  <c r="E637" i="4"/>
  <c r="D637" i="4"/>
  <c r="C637" i="4"/>
  <c r="B637" i="4"/>
  <c r="A637" i="4"/>
  <c r="E636" i="4"/>
  <c r="D636" i="4"/>
  <c r="C636" i="4"/>
  <c r="B636" i="4"/>
  <c r="A636" i="4"/>
  <c r="E635" i="4"/>
  <c r="D635" i="4"/>
  <c r="C635" i="4"/>
  <c r="B635" i="4"/>
  <c r="A635" i="4"/>
  <c r="E634" i="4"/>
  <c r="D634" i="4"/>
  <c r="C634" i="4"/>
  <c r="B634" i="4"/>
  <c r="A634" i="4"/>
  <c r="F633" i="4"/>
  <c r="E633" i="4"/>
  <c r="D633" i="4"/>
  <c r="C633" i="4"/>
  <c r="B633" i="4"/>
  <c r="A633" i="4"/>
  <c r="E632" i="4"/>
  <c r="C632" i="4"/>
  <c r="B632" i="4"/>
  <c r="A632" i="4"/>
  <c r="E631" i="4"/>
  <c r="C631" i="4"/>
  <c r="B631" i="4"/>
  <c r="A631" i="4"/>
  <c r="E630" i="4"/>
  <c r="D630" i="4"/>
  <c r="C630" i="4"/>
  <c r="B630" i="4"/>
  <c r="A630" i="4"/>
  <c r="F629" i="4"/>
  <c r="E629" i="4"/>
  <c r="D629" i="4"/>
  <c r="C629" i="4"/>
  <c r="B629" i="4"/>
  <c r="A629" i="4"/>
  <c r="E628" i="4"/>
  <c r="D628" i="4"/>
  <c r="C628" i="4"/>
  <c r="B628" i="4"/>
  <c r="A628" i="4"/>
  <c r="E627" i="4"/>
  <c r="D627" i="4"/>
  <c r="C627" i="4"/>
  <c r="B627" i="4"/>
  <c r="A627" i="4"/>
  <c r="E626" i="4"/>
  <c r="D626" i="4"/>
  <c r="B626" i="4"/>
  <c r="A626" i="4"/>
  <c r="D625" i="4"/>
  <c r="B625" i="4"/>
  <c r="A625" i="4"/>
  <c r="E624" i="4"/>
  <c r="D624" i="4"/>
  <c r="C624" i="4"/>
  <c r="B624" i="4"/>
  <c r="A624" i="4"/>
  <c r="E623" i="4"/>
  <c r="D623" i="4"/>
  <c r="C623" i="4"/>
  <c r="B623" i="4"/>
  <c r="A623" i="4"/>
  <c r="E622" i="4"/>
  <c r="D622" i="4"/>
  <c r="C622" i="4"/>
  <c r="B622" i="4"/>
  <c r="A622" i="4"/>
  <c r="E621" i="4"/>
  <c r="D621" i="4"/>
  <c r="C621" i="4"/>
  <c r="B621" i="4"/>
  <c r="A621" i="4"/>
  <c r="E620" i="4"/>
  <c r="D620" i="4"/>
  <c r="C620" i="4"/>
  <c r="B620" i="4"/>
  <c r="A620" i="4"/>
  <c r="E619" i="4"/>
  <c r="D619" i="4"/>
  <c r="C619" i="4"/>
  <c r="B619" i="4"/>
  <c r="A619" i="4"/>
  <c r="E618" i="4"/>
  <c r="D618" i="4"/>
  <c r="B618" i="4"/>
  <c r="A618" i="4"/>
  <c r="E617" i="4"/>
  <c r="D617" i="4"/>
  <c r="C617" i="4"/>
  <c r="B617" i="4"/>
  <c r="A617" i="4"/>
  <c r="E616" i="4"/>
  <c r="D616" i="4"/>
  <c r="C616" i="4"/>
  <c r="B616" i="4"/>
  <c r="A616" i="4"/>
  <c r="E615" i="4"/>
  <c r="D615" i="4"/>
  <c r="C615" i="4"/>
  <c r="B615" i="4"/>
  <c r="A615" i="4"/>
  <c r="F614" i="4"/>
  <c r="E614" i="4"/>
  <c r="D614" i="4"/>
  <c r="C614" i="4"/>
  <c r="B614" i="4"/>
  <c r="A614" i="4"/>
  <c r="E613" i="4"/>
  <c r="D613" i="4"/>
  <c r="C613" i="4"/>
  <c r="B613" i="4"/>
  <c r="A613" i="4"/>
  <c r="E612" i="4"/>
  <c r="D612" i="4"/>
  <c r="C612" i="4"/>
  <c r="B612" i="4"/>
  <c r="A612" i="4"/>
  <c r="E611" i="4"/>
  <c r="D611" i="4"/>
  <c r="C611" i="4"/>
  <c r="B611" i="4"/>
  <c r="A611" i="4"/>
  <c r="E610" i="4"/>
  <c r="D610" i="4"/>
  <c r="C610" i="4"/>
  <c r="B610" i="4"/>
  <c r="A610" i="4"/>
  <c r="E609" i="4"/>
  <c r="D609" i="4"/>
  <c r="C609" i="4"/>
  <c r="B609" i="4"/>
  <c r="A609" i="4"/>
  <c r="F608" i="4"/>
  <c r="E608" i="4"/>
  <c r="D608" i="4"/>
  <c r="C608" i="4"/>
  <c r="B608" i="4"/>
  <c r="A608" i="4"/>
  <c r="E607" i="4"/>
  <c r="D607" i="4"/>
  <c r="C607" i="4"/>
  <c r="B607" i="4"/>
  <c r="A607" i="4"/>
  <c r="E606" i="4"/>
  <c r="D606" i="4"/>
  <c r="C606" i="4"/>
  <c r="B606" i="4"/>
  <c r="A606" i="4"/>
  <c r="E605" i="4"/>
  <c r="D605" i="4"/>
  <c r="C605" i="4"/>
  <c r="B605" i="4"/>
  <c r="A605" i="4"/>
  <c r="E604" i="4"/>
  <c r="D604" i="4"/>
  <c r="C604" i="4"/>
  <c r="B604" i="4"/>
  <c r="A604" i="4"/>
  <c r="E603" i="4"/>
  <c r="D603" i="4"/>
  <c r="C603" i="4"/>
  <c r="B603" i="4"/>
  <c r="A603" i="4"/>
  <c r="E602" i="4"/>
  <c r="D602" i="4"/>
  <c r="C602" i="4"/>
  <c r="B602" i="4"/>
  <c r="A602" i="4"/>
  <c r="E601" i="4"/>
  <c r="D601" i="4"/>
  <c r="C601" i="4"/>
  <c r="B601" i="4"/>
  <c r="A601" i="4"/>
  <c r="E600" i="4"/>
  <c r="D600" i="4"/>
  <c r="C600" i="4"/>
  <c r="B600" i="4"/>
  <c r="A600" i="4"/>
  <c r="E599" i="4"/>
  <c r="D599" i="4"/>
  <c r="B599" i="4"/>
  <c r="A599" i="4"/>
  <c r="E598" i="4"/>
  <c r="D598" i="4"/>
  <c r="C598" i="4"/>
  <c r="B598" i="4"/>
  <c r="A598" i="4"/>
  <c r="E597" i="4"/>
  <c r="D597" i="4"/>
  <c r="C597" i="4"/>
  <c r="B597" i="4"/>
  <c r="A597" i="4"/>
  <c r="F596" i="4"/>
  <c r="E596" i="4"/>
  <c r="D596" i="4"/>
  <c r="C596" i="4"/>
  <c r="B596" i="4"/>
  <c r="A596" i="4"/>
  <c r="E595" i="4"/>
  <c r="D595" i="4"/>
  <c r="C595" i="4"/>
  <c r="B595" i="4"/>
  <c r="A595" i="4"/>
  <c r="E594" i="4"/>
  <c r="D594" i="4"/>
  <c r="C594" i="4"/>
  <c r="B594" i="4"/>
  <c r="A594" i="4"/>
  <c r="E593" i="4"/>
  <c r="D593" i="4"/>
  <c r="C593" i="4"/>
  <c r="B593" i="4"/>
  <c r="A593" i="4"/>
  <c r="E592" i="4"/>
  <c r="D592" i="4"/>
  <c r="C592" i="4"/>
  <c r="B592" i="4"/>
  <c r="A592" i="4"/>
  <c r="E591" i="4"/>
  <c r="D591" i="4"/>
  <c r="C591" i="4"/>
  <c r="B591" i="4"/>
  <c r="A591" i="4"/>
  <c r="E590" i="4"/>
  <c r="D590" i="4"/>
  <c r="C590" i="4"/>
  <c r="B590" i="4"/>
  <c r="A590" i="4"/>
  <c r="E589" i="4"/>
  <c r="D589" i="4"/>
  <c r="C589" i="4"/>
  <c r="B589" i="4"/>
  <c r="A589" i="4"/>
  <c r="E588" i="4"/>
  <c r="D588" i="4"/>
  <c r="C588" i="4"/>
  <c r="B588" i="4"/>
  <c r="A588" i="4"/>
  <c r="E587" i="4"/>
  <c r="D587" i="4"/>
  <c r="C587" i="4"/>
  <c r="B587" i="4"/>
  <c r="A587" i="4"/>
  <c r="E586" i="4"/>
  <c r="D586" i="4"/>
  <c r="C586" i="4"/>
  <c r="B586" i="4"/>
  <c r="A586" i="4"/>
  <c r="E585" i="4"/>
  <c r="D585" i="4"/>
  <c r="C585" i="4"/>
  <c r="B585" i="4"/>
  <c r="A585" i="4"/>
  <c r="E584" i="4"/>
  <c r="D584" i="4"/>
  <c r="C584" i="4"/>
  <c r="B584" i="4"/>
  <c r="A584" i="4"/>
  <c r="E583" i="4"/>
  <c r="D583" i="4"/>
  <c r="C583" i="4"/>
  <c r="B583" i="4"/>
  <c r="A583" i="4"/>
  <c r="E582" i="4"/>
  <c r="D582" i="4"/>
  <c r="C582" i="4"/>
  <c r="B582" i="4"/>
  <c r="A582" i="4"/>
  <c r="E581" i="4"/>
  <c r="D581" i="4"/>
  <c r="C581" i="4"/>
  <c r="B581" i="4"/>
  <c r="A581" i="4"/>
  <c r="E580" i="4"/>
  <c r="D580" i="4"/>
  <c r="C580" i="4"/>
  <c r="B580" i="4"/>
  <c r="A580" i="4"/>
  <c r="E579" i="4"/>
  <c r="D579" i="4"/>
  <c r="C579" i="4"/>
  <c r="B579" i="4"/>
  <c r="A579" i="4"/>
  <c r="F578" i="4"/>
  <c r="E578" i="4"/>
  <c r="D578" i="4"/>
  <c r="C578" i="4"/>
  <c r="B578" i="4"/>
  <c r="A578" i="4"/>
  <c r="E577" i="4"/>
  <c r="D577" i="4"/>
  <c r="C577" i="4"/>
  <c r="B577" i="4"/>
  <c r="A577" i="4"/>
  <c r="E576" i="4"/>
  <c r="D576" i="4"/>
  <c r="C576" i="4"/>
  <c r="B576" i="4"/>
  <c r="A576" i="4"/>
  <c r="E575" i="4"/>
  <c r="D575" i="4"/>
  <c r="C575" i="4"/>
  <c r="B575" i="4"/>
  <c r="A575" i="4"/>
  <c r="E574" i="4"/>
  <c r="C574" i="4"/>
  <c r="B574" i="4"/>
  <c r="A574" i="4"/>
  <c r="E573" i="4"/>
  <c r="D573" i="4"/>
  <c r="C573" i="4"/>
  <c r="B573" i="4"/>
  <c r="A573" i="4"/>
  <c r="E572" i="4"/>
  <c r="D572" i="4"/>
  <c r="C572" i="4"/>
  <c r="B572" i="4"/>
  <c r="A572" i="4"/>
  <c r="F571" i="4"/>
  <c r="E571" i="4"/>
  <c r="D571" i="4"/>
  <c r="C571" i="4"/>
  <c r="B571" i="4"/>
  <c r="A571" i="4"/>
  <c r="E570" i="4"/>
  <c r="D570" i="4"/>
  <c r="C570" i="4"/>
  <c r="B570" i="4"/>
  <c r="A570" i="4"/>
  <c r="F569" i="4"/>
  <c r="E569" i="4"/>
  <c r="D569" i="4"/>
  <c r="C569" i="4"/>
  <c r="B569" i="4"/>
  <c r="A569" i="4"/>
  <c r="E568" i="4"/>
  <c r="D568" i="4"/>
  <c r="C568" i="4"/>
  <c r="B568" i="4"/>
  <c r="A568" i="4"/>
  <c r="E567" i="4"/>
  <c r="C567" i="4"/>
  <c r="B567" i="4"/>
  <c r="A567" i="4"/>
  <c r="E566" i="4"/>
  <c r="D566" i="4"/>
  <c r="C566" i="4"/>
  <c r="B566" i="4"/>
  <c r="A566" i="4"/>
  <c r="E565" i="4"/>
  <c r="D565" i="4"/>
  <c r="C565" i="4"/>
  <c r="B565" i="4"/>
  <c r="A565" i="4"/>
  <c r="E564" i="4"/>
  <c r="D564" i="4"/>
  <c r="C564" i="4"/>
  <c r="B564" i="4"/>
  <c r="A564" i="4"/>
  <c r="E563" i="4"/>
  <c r="C563" i="4"/>
  <c r="B563" i="4"/>
  <c r="A563" i="4"/>
  <c r="E562" i="4"/>
  <c r="D562" i="4"/>
  <c r="C562" i="4"/>
  <c r="B562" i="4"/>
  <c r="A562" i="4"/>
  <c r="E561" i="4"/>
  <c r="D561" i="4"/>
  <c r="C561" i="4"/>
  <c r="B561" i="4"/>
  <c r="A561" i="4"/>
  <c r="E560" i="4"/>
  <c r="D560" i="4"/>
  <c r="C560" i="4"/>
  <c r="B560" i="4"/>
  <c r="A560" i="4"/>
  <c r="E559" i="4"/>
  <c r="D559" i="4"/>
  <c r="C559" i="4"/>
  <c r="B559" i="4"/>
  <c r="A559" i="4"/>
  <c r="E558" i="4"/>
  <c r="D558" i="4"/>
  <c r="C558" i="4"/>
  <c r="B558" i="4"/>
  <c r="A558" i="4"/>
  <c r="E557" i="4"/>
  <c r="D557" i="4"/>
  <c r="C557" i="4"/>
  <c r="B557" i="4"/>
  <c r="A557" i="4"/>
  <c r="E556" i="4"/>
  <c r="D556" i="4"/>
  <c r="C556" i="4"/>
  <c r="B556" i="4"/>
  <c r="A556" i="4"/>
  <c r="E555" i="4"/>
  <c r="D555" i="4"/>
  <c r="C555" i="4"/>
  <c r="B555" i="4"/>
  <c r="A555" i="4"/>
  <c r="E554" i="4"/>
  <c r="D554" i="4"/>
  <c r="C554" i="4"/>
  <c r="B554" i="4"/>
  <c r="A554" i="4"/>
  <c r="E553" i="4"/>
  <c r="D553" i="4"/>
  <c r="C553" i="4"/>
  <c r="B553" i="4"/>
  <c r="A553" i="4"/>
  <c r="E552" i="4"/>
  <c r="C552" i="4"/>
  <c r="B552" i="4"/>
  <c r="A552" i="4"/>
  <c r="E551" i="4"/>
  <c r="C551" i="4"/>
  <c r="B551" i="4"/>
  <c r="A551" i="4"/>
  <c r="E550" i="4"/>
  <c r="D550" i="4"/>
  <c r="C550" i="4"/>
  <c r="B550" i="4"/>
  <c r="A550" i="4"/>
  <c r="E549" i="4"/>
  <c r="D549" i="4"/>
  <c r="C549" i="4"/>
  <c r="B549" i="4"/>
  <c r="A549" i="4"/>
  <c r="E548" i="4"/>
  <c r="D548" i="4"/>
  <c r="C548" i="4"/>
  <c r="B548" i="4"/>
  <c r="A548" i="4"/>
  <c r="E547" i="4"/>
  <c r="D547" i="4"/>
  <c r="C547" i="4"/>
  <c r="B547" i="4"/>
  <c r="A547" i="4"/>
  <c r="E546" i="4"/>
  <c r="C546" i="4"/>
  <c r="B546" i="4"/>
  <c r="A546" i="4"/>
  <c r="E545" i="4"/>
  <c r="D545" i="4"/>
  <c r="C545" i="4"/>
  <c r="B545" i="4"/>
  <c r="A545" i="4"/>
  <c r="E544" i="4"/>
  <c r="D544" i="4"/>
  <c r="C544" i="4"/>
  <c r="B544" i="4"/>
  <c r="A544" i="4"/>
  <c r="E543" i="4"/>
  <c r="D543" i="4"/>
  <c r="C543" i="4"/>
  <c r="B543" i="4"/>
  <c r="A543" i="4"/>
  <c r="E542" i="4"/>
  <c r="D542" i="4"/>
  <c r="B542" i="4"/>
  <c r="A542" i="4"/>
  <c r="E541" i="4"/>
  <c r="D541" i="4"/>
  <c r="B541" i="4"/>
  <c r="A541" i="4"/>
  <c r="E540" i="4"/>
  <c r="D540" i="4"/>
  <c r="B540" i="4"/>
  <c r="A540" i="4"/>
  <c r="F539" i="4"/>
  <c r="E539" i="4"/>
  <c r="D539" i="4"/>
  <c r="C539" i="4"/>
  <c r="B539" i="4"/>
  <c r="A539" i="4"/>
  <c r="F538" i="4"/>
  <c r="E538" i="4"/>
  <c r="D538" i="4"/>
  <c r="C538" i="4"/>
  <c r="B538" i="4"/>
  <c r="A538" i="4"/>
  <c r="F537" i="4"/>
  <c r="E537" i="4"/>
  <c r="D537" i="4"/>
  <c r="C537" i="4"/>
  <c r="B537" i="4"/>
  <c r="A537" i="4"/>
  <c r="E536" i="4"/>
  <c r="D536" i="4"/>
  <c r="C536" i="4"/>
  <c r="B536" i="4"/>
  <c r="A536" i="4"/>
  <c r="E535" i="4"/>
  <c r="D535" i="4"/>
  <c r="B535" i="4"/>
  <c r="A535" i="4"/>
  <c r="E534" i="4"/>
  <c r="D534" i="4"/>
  <c r="B534" i="4"/>
  <c r="A534" i="4"/>
  <c r="E533" i="4"/>
  <c r="D533" i="4"/>
  <c r="C533" i="4"/>
  <c r="B533" i="4"/>
  <c r="A533" i="4"/>
  <c r="E532" i="4"/>
  <c r="D532" i="4"/>
  <c r="B532" i="4"/>
  <c r="A532" i="4"/>
  <c r="E531" i="4"/>
  <c r="D531" i="4"/>
  <c r="B531" i="4"/>
  <c r="A531" i="4"/>
  <c r="E530" i="4"/>
  <c r="D530" i="4"/>
  <c r="B530" i="4"/>
  <c r="A530" i="4"/>
  <c r="F529" i="4"/>
  <c r="E529" i="4"/>
  <c r="D529" i="4"/>
  <c r="C529" i="4"/>
  <c r="B529" i="4"/>
  <c r="A529" i="4"/>
  <c r="E528" i="4"/>
  <c r="D528" i="4"/>
  <c r="B528" i="4"/>
  <c r="A528" i="4"/>
  <c r="E527" i="4"/>
  <c r="D527" i="4"/>
  <c r="C527" i="4"/>
  <c r="B527" i="4"/>
  <c r="A527" i="4"/>
  <c r="E526" i="4"/>
  <c r="D526" i="4"/>
  <c r="C526" i="4"/>
  <c r="B526" i="4"/>
  <c r="A526" i="4"/>
  <c r="E525" i="4"/>
  <c r="D525" i="4"/>
  <c r="C525" i="4"/>
  <c r="B525" i="4"/>
  <c r="A525" i="4"/>
  <c r="E524" i="4"/>
  <c r="D524" i="4"/>
  <c r="C524" i="4"/>
  <c r="B524" i="4"/>
  <c r="A524" i="4"/>
  <c r="E523" i="4"/>
  <c r="D523" i="4"/>
  <c r="C523" i="4"/>
  <c r="B523" i="4"/>
  <c r="A523" i="4"/>
  <c r="E522" i="4"/>
  <c r="D522" i="4"/>
  <c r="C522" i="4"/>
  <c r="B522" i="4"/>
  <c r="A522" i="4"/>
  <c r="F521" i="4"/>
  <c r="E521" i="4"/>
  <c r="D521" i="4"/>
  <c r="C521" i="4"/>
  <c r="B521" i="4"/>
  <c r="A521" i="4"/>
  <c r="E520" i="4"/>
  <c r="D520" i="4"/>
  <c r="C520" i="4"/>
  <c r="B520" i="4"/>
  <c r="A520" i="4"/>
  <c r="E519" i="4"/>
  <c r="D519" i="4"/>
  <c r="C519" i="4"/>
  <c r="B519" i="4"/>
  <c r="A519" i="4"/>
  <c r="E518" i="4"/>
  <c r="D518" i="4"/>
  <c r="C518" i="4"/>
  <c r="B518" i="4"/>
  <c r="A518" i="4"/>
  <c r="D517" i="4"/>
  <c r="B517" i="4"/>
  <c r="A517" i="4"/>
  <c r="E516" i="4"/>
  <c r="D516" i="4"/>
  <c r="C516" i="4"/>
  <c r="B516" i="4"/>
  <c r="A516" i="4"/>
  <c r="E515" i="4"/>
  <c r="D515" i="4"/>
  <c r="C515" i="4"/>
  <c r="B515" i="4"/>
  <c r="A515" i="4"/>
  <c r="E514" i="4"/>
  <c r="D514" i="4"/>
  <c r="C514" i="4"/>
  <c r="B514" i="4"/>
  <c r="A514" i="4"/>
  <c r="E513" i="4"/>
  <c r="D513" i="4"/>
  <c r="C513" i="4"/>
  <c r="B513" i="4"/>
  <c r="A513" i="4"/>
  <c r="E512" i="4"/>
  <c r="D512" i="4"/>
  <c r="C512" i="4"/>
  <c r="B512" i="4"/>
  <c r="A512" i="4"/>
  <c r="E511" i="4"/>
  <c r="D511" i="4"/>
  <c r="B511" i="4"/>
  <c r="A511" i="4"/>
  <c r="E510" i="4"/>
  <c r="D510" i="4"/>
  <c r="B510" i="4"/>
  <c r="A510" i="4"/>
  <c r="E509" i="4"/>
  <c r="D509" i="4"/>
  <c r="B509" i="4"/>
  <c r="A509" i="4"/>
  <c r="E508" i="4"/>
  <c r="D508" i="4"/>
  <c r="B508" i="4"/>
  <c r="A508" i="4"/>
  <c r="E507" i="4"/>
  <c r="D507" i="4"/>
  <c r="B507" i="4"/>
  <c r="A507" i="4"/>
  <c r="E506" i="4"/>
  <c r="C506" i="4"/>
  <c r="B506" i="4"/>
  <c r="A506" i="4"/>
  <c r="E505" i="4"/>
  <c r="D505" i="4"/>
  <c r="C505" i="4"/>
  <c r="B505" i="4"/>
  <c r="A505" i="4"/>
  <c r="E504" i="4"/>
  <c r="D504" i="4"/>
  <c r="B504" i="4"/>
  <c r="A504" i="4"/>
  <c r="E503" i="4"/>
  <c r="D503" i="4"/>
  <c r="B503" i="4"/>
  <c r="A503" i="4"/>
  <c r="E502" i="4"/>
  <c r="D502" i="4"/>
  <c r="B502" i="4"/>
  <c r="A502" i="4"/>
  <c r="E501" i="4"/>
  <c r="D501" i="4"/>
  <c r="C501" i="4"/>
  <c r="B501" i="4"/>
  <c r="A501" i="4"/>
  <c r="E500" i="4"/>
  <c r="D500" i="4"/>
  <c r="C500" i="4"/>
  <c r="B500" i="4"/>
  <c r="A500" i="4"/>
  <c r="E499" i="4"/>
  <c r="D499" i="4"/>
  <c r="C499" i="4"/>
  <c r="B499" i="4"/>
  <c r="A499" i="4"/>
  <c r="E498" i="4"/>
  <c r="D498" i="4"/>
  <c r="C498" i="4"/>
  <c r="B498" i="4"/>
  <c r="A498" i="4"/>
  <c r="E497" i="4"/>
  <c r="D497" i="4"/>
  <c r="C497" i="4"/>
  <c r="B497" i="4"/>
  <c r="A497" i="4"/>
  <c r="E496" i="4"/>
  <c r="D496" i="4"/>
  <c r="C496" i="4"/>
  <c r="B496" i="4"/>
  <c r="A496" i="4"/>
  <c r="E495" i="4"/>
  <c r="D495" i="4"/>
  <c r="C495" i="4"/>
  <c r="B495" i="4"/>
  <c r="A495" i="4"/>
  <c r="E494" i="4"/>
  <c r="D494" i="4"/>
  <c r="C494" i="4"/>
  <c r="B494" i="4"/>
  <c r="A494" i="4"/>
  <c r="E493" i="4"/>
  <c r="D493" i="4"/>
  <c r="C493" i="4"/>
  <c r="B493" i="4"/>
  <c r="A493" i="4"/>
  <c r="E492" i="4"/>
  <c r="D492" i="4"/>
  <c r="C492" i="4"/>
  <c r="B492" i="4"/>
  <c r="A492" i="4"/>
  <c r="E491" i="4"/>
  <c r="D491" i="4"/>
  <c r="C491" i="4"/>
  <c r="B491" i="4"/>
  <c r="A491" i="4"/>
  <c r="E490" i="4"/>
  <c r="D490" i="4"/>
  <c r="C490" i="4"/>
  <c r="B490" i="4"/>
  <c r="A490" i="4"/>
  <c r="E489" i="4"/>
  <c r="D489" i="4"/>
  <c r="B489" i="4"/>
  <c r="A489" i="4"/>
  <c r="E488" i="4"/>
  <c r="D488" i="4"/>
  <c r="B488" i="4"/>
  <c r="A488" i="4"/>
  <c r="E487" i="4"/>
  <c r="D487" i="4"/>
  <c r="B487" i="4"/>
  <c r="A487" i="4"/>
  <c r="E486" i="4"/>
  <c r="D486" i="4"/>
  <c r="C486" i="4"/>
  <c r="B486" i="4"/>
  <c r="A486" i="4"/>
  <c r="E485" i="4"/>
  <c r="D485" i="4"/>
  <c r="C485" i="4"/>
  <c r="B485" i="4"/>
  <c r="A485" i="4"/>
  <c r="E484" i="4"/>
  <c r="D484" i="4"/>
  <c r="C484" i="4"/>
  <c r="B484" i="4"/>
  <c r="A484" i="4"/>
  <c r="E483" i="4"/>
  <c r="D483" i="4"/>
  <c r="C483" i="4"/>
  <c r="B483" i="4"/>
  <c r="A483" i="4"/>
  <c r="E482" i="4"/>
  <c r="D482" i="4"/>
  <c r="C482" i="4"/>
  <c r="B482" i="4"/>
  <c r="A482" i="4"/>
  <c r="E481" i="4"/>
  <c r="D481" i="4"/>
  <c r="C481" i="4"/>
  <c r="B481" i="4"/>
  <c r="A481" i="4"/>
  <c r="E480" i="4"/>
  <c r="D480" i="4"/>
  <c r="C480" i="4"/>
  <c r="B480" i="4"/>
  <c r="A480" i="4"/>
  <c r="E479" i="4"/>
  <c r="D479" i="4"/>
  <c r="C479" i="4"/>
  <c r="B479" i="4"/>
  <c r="A479" i="4"/>
  <c r="E478" i="4"/>
  <c r="D478" i="4"/>
  <c r="C478" i="4"/>
  <c r="B478" i="4"/>
  <c r="A478" i="4"/>
  <c r="E477" i="4"/>
  <c r="D477" i="4"/>
  <c r="B477" i="4"/>
  <c r="A477" i="4"/>
  <c r="E476" i="4"/>
  <c r="D476" i="4"/>
  <c r="B476" i="4"/>
  <c r="A476" i="4"/>
  <c r="E475" i="4"/>
  <c r="D475" i="4"/>
  <c r="C475" i="4"/>
  <c r="B475" i="4"/>
  <c r="A475" i="4"/>
  <c r="E474" i="4"/>
  <c r="D474" i="4"/>
  <c r="B474" i="4"/>
  <c r="A474" i="4"/>
  <c r="E473" i="4"/>
  <c r="D473" i="4"/>
  <c r="C473" i="4"/>
  <c r="B473" i="4"/>
  <c r="A473" i="4"/>
  <c r="E472" i="4"/>
  <c r="D472" i="4"/>
  <c r="C472" i="4"/>
  <c r="B472" i="4"/>
  <c r="A472" i="4"/>
  <c r="E471" i="4"/>
  <c r="D471" i="4"/>
  <c r="C471" i="4"/>
  <c r="B471" i="4"/>
  <c r="A471" i="4"/>
  <c r="E470" i="4"/>
  <c r="D470" i="4"/>
  <c r="C470" i="4"/>
  <c r="B470" i="4"/>
  <c r="A470" i="4"/>
  <c r="E469" i="4"/>
  <c r="D469" i="4"/>
  <c r="C469" i="4"/>
  <c r="B469" i="4"/>
  <c r="A469" i="4"/>
  <c r="E468" i="4"/>
  <c r="D468" i="4"/>
  <c r="C468" i="4"/>
  <c r="B468" i="4"/>
  <c r="A468" i="4"/>
  <c r="E467" i="4"/>
  <c r="D467" i="4"/>
  <c r="C467" i="4"/>
  <c r="B467" i="4"/>
  <c r="A467" i="4"/>
  <c r="E466" i="4"/>
  <c r="D466" i="4"/>
  <c r="C466" i="4"/>
  <c r="B466" i="4"/>
  <c r="A466" i="4"/>
  <c r="E465" i="4"/>
  <c r="D465" i="4"/>
  <c r="C465" i="4"/>
  <c r="B465" i="4"/>
  <c r="A465" i="4"/>
  <c r="E464" i="4"/>
  <c r="D464" i="4"/>
  <c r="B464" i="4"/>
  <c r="A464" i="4"/>
  <c r="E463" i="4"/>
  <c r="D463" i="4"/>
  <c r="B463" i="4"/>
  <c r="A463" i="4"/>
  <c r="E462" i="4"/>
  <c r="D462" i="4"/>
  <c r="B462" i="4"/>
  <c r="A462" i="4"/>
  <c r="E461" i="4"/>
  <c r="D461" i="4"/>
  <c r="B461" i="4"/>
  <c r="A461" i="4"/>
  <c r="D460" i="4"/>
  <c r="B460" i="4"/>
  <c r="A460" i="4"/>
  <c r="C459" i="4"/>
  <c r="B459" i="4"/>
  <c r="A459" i="4"/>
  <c r="C458" i="4"/>
  <c r="B458" i="4"/>
  <c r="A458" i="4"/>
  <c r="C457" i="4"/>
  <c r="B457" i="4"/>
  <c r="A457" i="4"/>
  <c r="C456" i="4"/>
  <c r="B456" i="4"/>
  <c r="A456" i="4"/>
  <c r="B455" i="4"/>
  <c r="A455" i="4"/>
  <c r="E454" i="4"/>
  <c r="D454" i="4"/>
  <c r="C454" i="4"/>
  <c r="B454" i="4"/>
  <c r="A454" i="4"/>
  <c r="E453" i="4"/>
  <c r="D453" i="4"/>
  <c r="C453" i="4"/>
  <c r="B453" i="4"/>
  <c r="A453" i="4"/>
  <c r="B452" i="4"/>
  <c r="A452" i="4"/>
  <c r="E451" i="4"/>
  <c r="D451" i="4"/>
  <c r="C451" i="4"/>
  <c r="B451" i="4"/>
  <c r="A451" i="4"/>
  <c r="E450" i="4"/>
  <c r="D450" i="4"/>
  <c r="C450" i="4"/>
  <c r="B450" i="4"/>
  <c r="A450" i="4"/>
  <c r="E449" i="4"/>
  <c r="D449" i="4"/>
  <c r="B449" i="4"/>
  <c r="A449" i="4"/>
  <c r="E448" i="4"/>
  <c r="D448" i="4"/>
  <c r="B448" i="4"/>
  <c r="A448" i="4"/>
  <c r="E447" i="4"/>
  <c r="D447" i="4"/>
  <c r="B447" i="4"/>
  <c r="A447" i="4"/>
  <c r="E446" i="4"/>
  <c r="D446" i="4"/>
  <c r="C446" i="4"/>
  <c r="B446" i="4"/>
  <c r="A446" i="4"/>
  <c r="E445" i="4"/>
  <c r="D445" i="4"/>
  <c r="C445" i="4"/>
  <c r="B445" i="4"/>
  <c r="A445" i="4"/>
  <c r="E444" i="4"/>
  <c r="D444" i="4"/>
  <c r="C444" i="4"/>
  <c r="B444" i="4"/>
  <c r="A444" i="4"/>
  <c r="E443" i="4"/>
  <c r="D443" i="4"/>
  <c r="C443" i="4"/>
  <c r="B443" i="4"/>
  <c r="A443" i="4"/>
  <c r="E442" i="4"/>
  <c r="D442" i="4"/>
  <c r="C442" i="4"/>
  <c r="B442" i="4"/>
  <c r="A442" i="4"/>
  <c r="E441" i="4"/>
  <c r="C441" i="4"/>
  <c r="B441" i="4"/>
  <c r="A441" i="4"/>
  <c r="E440" i="4"/>
  <c r="D440" i="4"/>
  <c r="C440" i="4"/>
  <c r="B440" i="4"/>
  <c r="A440" i="4"/>
  <c r="E439" i="4"/>
  <c r="D439" i="4"/>
  <c r="C439" i="4"/>
  <c r="B439" i="4"/>
  <c r="A439" i="4"/>
  <c r="E438" i="4"/>
  <c r="D438" i="4"/>
  <c r="C438" i="4"/>
  <c r="B438" i="4"/>
  <c r="A438" i="4"/>
  <c r="E437" i="4"/>
  <c r="D437" i="4"/>
  <c r="C437" i="4"/>
  <c r="B437" i="4"/>
  <c r="A437" i="4"/>
  <c r="E436" i="4"/>
  <c r="D436" i="4"/>
  <c r="C436" i="4"/>
  <c r="B436" i="4"/>
  <c r="A436" i="4"/>
  <c r="E435" i="4"/>
  <c r="D435" i="4"/>
  <c r="C435" i="4"/>
  <c r="B435" i="4"/>
  <c r="A435" i="4"/>
  <c r="E434" i="4"/>
  <c r="D434" i="4"/>
  <c r="C434" i="4"/>
  <c r="B434" i="4"/>
  <c r="A434" i="4"/>
  <c r="F433" i="4"/>
  <c r="E433" i="4"/>
  <c r="D433" i="4"/>
  <c r="C433" i="4"/>
  <c r="B433" i="4"/>
  <c r="A433" i="4"/>
  <c r="E432" i="4"/>
  <c r="D432" i="4"/>
  <c r="C432" i="4"/>
  <c r="B432" i="4"/>
  <c r="A432" i="4"/>
  <c r="E431" i="4"/>
  <c r="D431" i="4"/>
  <c r="C431" i="4"/>
  <c r="B431" i="4"/>
  <c r="A431" i="4"/>
  <c r="E430" i="4"/>
  <c r="D430" i="4"/>
  <c r="C430" i="4"/>
  <c r="B430" i="4"/>
  <c r="A430" i="4"/>
  <c r="E429" i="4"/>
  <c r="D429" i="4"/>
  <c r="C429" i="4"/>
  <c r="B429" i="4"/>
  <c r="A429" i="4"/>
  <c r="E428" i="4"/>
  <c r="D428" i="4"/>
  <c r="C428" i="4"/>
  <c r="B428" i="4"/>
  <c r="A428" i="4"/>
  <c r="E427" i="4"/>
  <c r="D427" i="4"/>
  <c r="C427" i="4"/>
  <c r="B427" i="4"/>
  <c r="A427" i="4"/>
  <c r="E426" i="4"/>
  <c r="D426" i="4"/>
  <c r="C426" i="4"/>
  <c r="B426" i="4"/>
  <c r="A426" i="4"/>
  <c r="E425" i="4"/>
  <c r="D425" i="4"/>
  <c r="C425" i="4"/>
  <c r="B425" i="4"/>
  <c r="A425" i="4"/>
  <c r="E424" i="4"/>
  <c r="D424" i="4"/>
  <c r="C424" i="4"/>
  <c r="B424" i="4"/>
  <c r="A424" i="4"/>
  <c r="E423" i="4"/>
  <c r="D423" i="4"/>
  <c r="C423" i="4"/>
  <c r="B423" i="4"/>
  <c r="A423" i="4"/>
  <c r="E422" i="4"/>
  <c r="D422" i="4"/>
  <c r="C422" i="4"/>
  <c r="B422" i="4"/>
  <c r="A422" i="4"/>
  <c r="E421" i="4"/>
  <c r="D421" i="4"/>
  <c r="C421" i="4"/>
  <c r="B421" i="4"/>
  <c r="A421" i="4"/>
  <c r="E420" i="4"/>
  <c r="C420" i="4"/>
  <c r="B420" i="4"/>
  <c r="A420" i="4"/>
  <c r="E419" i="4"/>
  <c r="C419" i="4"/>
  <c r="B419" i="4"/>
  <c r="A419" i="4"/>
  <c r="E418" i="4"/>
  <c r="D418" i="4"/>
  <c r="C418" i="4"/>
  <c r="B418" i="4"/>
  <c r="A418" i="4"/>
  <c r="F417" i="4"/>
  <c r="E417" i="4"/>
  <c r="D417" i="4"/>
  <c r="C417" i="4"/>
  <c r="B417" i="4"/>
  <c r="A417" i="4"/>
  <c r="E416" i="4"/>
  <c r="D416" i="4"/>
  <c r="B416" i="4"/>
  <c r="A416" i="4"/>
  <c r="E415" i="4"/>
  <c r="D415" i="4"/>
  <c r="C415" i="4"/>
  <c r="B415" i="4"/>
  <c r="A415" i="4"/>
  <c r="E414" i="4"/>
  <c r="D414" i="4"/>
  <c r="C414" i="4"/>
  <c r="B414" i="4"/>
  <c r="A414" i="4"/>
  <c r="E413" i="4"/>
  <c r="D413" i="4"/>
  <c r="C413" i="4"/>
  <c r="B413" i="4"/>
  <c r="A413" i="4"/>
  <c r="E412" i="4"/>
  <c r="D412" i="4"/>
  <c r="C412" i="4"/>
  <c r="B412" i="4"/>
  <c r="A412" i="4"/>
  <c r="E411" i="4"/>
  <c r="D411" i="4"/>
  <c r="C411" i="4"/>
  <c r="B411" i="4"/>
  <c r="A411" i="4"/>
  <c r="E410" i="4"/>
  <c r="D410" i="4"/>
  <c r="C410" i="4"/>
  <c r="B410" i="4"/>
  <c r="A410" i="4"/>
  <c r="E409" i="4"/>
  <c r="D409" i="4"/>
  <c r="C409" i="4"/>
  <c r="B409" i="4"/>
  <c r="A409" i="4"/>
  <c r="E408" i="4"/>
  <c r="D408" i="4"/>
  <c r="C408" i="4"/>
  <c r="B408" i="4"/>
  <c r="A408" i="4"/>
  <c r="E407" i="4"/>
  <c r="D407" i="4"/>
  <c r="C407" i="4"/>
  <c r="B407" i="4"/>
  <c r="A407" i="4"/>
  <c r="E406" i="4"/>
  <c r="D406" i="4"/>
  <c r="C406" i="4"/>
  <c r="B406" i="4"/>
  <c r="A406" i="4"/>
  <c r="E405" i="4"/>
  <c r="D405" i="4"/>
  <c r="C405" i="4"/>
  <c r="B405" i="4"/>
  <c r="A405" i="4"/>
  <c r="E404" i="4"/>
  <c r="D404" i="4"/>
  <c r="C404" i="4"/>
  <c r="B404" i="4"/>
  <c r="A404" i="4"/>
  <c r="E403" i="4"/>
  <c r="D403" i="4"/>
  <c r="C403" i="4"/>
  <c r="B403" i="4"/>
  <c r="A403" i="4"/>
  <c r="E402" i="4"/>
  <c r="D402" i="4"/>
  <c r="C402" i="4"/>
  <c r="B402" i="4"/>
  <c r="A402" i="4"/>
  <c r="C401" i="4"/>
  <c r="B401" i="4"/>
  <c r="A401" i="4"/>
  <c r="E400" i="4"/>
  <c r="D400" i="4"/>
  <c r="C400" i="4"/>
  <c r="B400" i="4"/>
  <c r="A400" i="4"/>
  <c r="F399" i="4"/>
  <c r="E399" i="4"/>
  <c r="D399" i="4"/>
  <c r="C399" i="4"/>
  <c r="B399" i="4"/>
  <c r="A399" i="4"/>
  <c r="E398" i="4"/>
  <c r="D398" i="4"/>
  <c r="C398" i="4"/>
  <c r="B398" i="4"/>
  <c r="A398" i="4"/>
  <c r="E397" i="4"/>
  <c r="D397" i="4"/>
  <c r="C397" i="4"/>
  <c r="B397" i="4"/>
  <c r="A397" i="4"/>
  <c r="B396" i="4"/>
  <c r="A396" i="4"/>
  <c r="F395" i="4"/>
  <c r="E395" i="4"/>
  <c r="D395" i="4"/>
  <c r="C395" i="4"/>
  <c r="B395" i="4"/>
  <c r="A395" i="4"/>
  <c r="E394" i="4"/>
  <c r="D394" i="4"/>
  <c r="C394" i="4"/>
  <c r="B394" i="4"/>
  <c r="A394" i="4"/>
  <c r="E393" i="4"/>
  <c r="D393" i="4"/>
  <c r="B393" i="4"/>
  <c r="A393" i="4"/>
  <c r="E392" i="4"/>
  <c r="D392" i="4"/>
  <c r="B392" i="4"/>
  <c r="A392" i="4"/>
  <c r="E391" i="4"/>
  <c r="D391" i="4"/>
  <c r="C391" i="4"/>
  <c r="B391" i="4"/>
  <c r="A391" i="4"/>
  <c r="E390" i="4"/>
  <c r="D390" i="4"/>
  <c r="C390" i="4"/>
  <c r="B390" i="4"/>
  <c r="A390" i="4"/>
  <c r="E389" i="4"/>
  <c r="D389" i="4"/>
  <c r="C389" i="4"/>
  <c r="B389" i="4"/>
  <c r="A389" i="4"/>
  <c r="E388" i="4"/>
  <c r="D388" i="4"/>
  <c r="C388" i="4"/>
  <c r="B388" i="4"/>
  <c r="A388" i="4"/>
  <c r="F387" i="4"/>
  <c r="E387" i="4"/>
  <c r="D387" i="4"/>
  <c r="C387" i="4"/>
  <c r="B387" i="4"/>
  <c r="A387" i="4"/>
  <c r="E386" i="4"/>
  <c r="D386" i="4"/>
  <c r="C386" i="4"/>
  <c r="B386" i="4"/>
  <c r="A386" i="4"/>
  <c r="E385" i="4"/>
  <c r="D385" i="4"/>
  <c r="C385" i="4"/>
  <c r="B385" i="4"/>
  <c r="A385" i="4"/>
  <c r="E384" i="4"/>
  <c r="D384" i="4"/>
  <c r="C384" i="4"/>
  <c r="B384" i="4"/>
  <c r="A384" i="4"/>
  <c r="E383" i="4"/>
  <c r="D383" i="4"/>
  <c r="C383" i="4"/>
  <c r="B383" i="4"/>
  <c r="A383" i="4"/>
  <c r="E382" i="4"/>
  <c r="D382" i="4"/>
  <c r="C382" i="4"/>
  <c r="B382" i="4"/>
  <c r="A382" i="4"/>
  <c r="E381" i="4"/>
  <c r="D381" i="4"/>
  <c r="B381" i="4"/>
  <c r="A381" i="4"/>
  <c r="E380" i="4"/>
  <c r="D380" i="4"/>
  <c r="B380" i="4"/>
  <c r="A380" i="4"/>
  <c r="E379" i="4"/>
  <c r="D379" i="4"/>
  <c r="C379" i="4"/>
  <c r="B379" i="4"/>
  <c r="A379" i="4"/>
  <c r="E378" i="4"/>
  <c r="D378" i="4"/>
  <c r="B378" i="4"/>
  <c r="A378" i="4"/>
  <c r="E377" i="4"/>
  <c r="D377" i="4"/>
  <c r="C377" i="4"/>
  <c r="B377" i="4"/>
  <c r="A377" i="4"/>
  <c r="E376" i="4"/>
  <c r="D376" i="4"/>
  <c r="C376" i="4"/>
  <c r="B376" i="4"/>
  <c r="A376" i="4"/>
  <c r="E375" i="4"/>
  <c r="C375" i="4"/>
  <c r="B375" i="4"/>
  <c r="A375" i="4"/>
  <c r="E374" i="4"/>
  <c r="D374" i="4"/>
  <c r="C374" i="4"/>
  <c r="B374" i="4"/>
  <c r="A374" i="4"/>
  <c r="E373" i="4"/>
  <c r="D373" i="4"/>
  <c r="B373" i="4"/>
  <c r="A373" i="4"/>
  <c r="E372" i="4"/>
  <c r="D372" i="4"/>
  <c r="B372" i="4"/>
  <c r="A372" i="4"/>
  <c r="E371" i="4"/>
  <c r="D371" i="4"/>
  <c r="B371" i="4"/>
  <c r="A371" i="4"/>
  <c r="E370" i="4"/>
  <c r="D370" i="4"/>
  <c r="B370" i="4"/>
  <c r="A370" i="4"/>
  <c r="E369" i="4"/>
  <c r="D369" i="4"/>
  <c r="B369" i="4"/>
  <c r="A369" i="4"/>
  <c r="E368" i="4"/>
  <c r="D368" i="4"/>
  <c r="C368" i="4"/>
  <c r="B368" i="4"/>
  <c r="A368" i="4"/>
  <c r="E367" i="4"/>
  <c r="D367" i="4"/>
  <c r="B367" i="4"/>
  <c r="A367" i="4"/>
  <c r="E366" i="4"/>
  <c r="C366" i="4"/>
  <c r="B366" i="4"/>
  <c r="A366" i="4"/>
  <c r="E365" i="4"/>
  <c r="D365" i="4"/>
  <c r="C365" i="4"/>
  <c r="B365" i="4"/>
  <c r="A365" i="4"/>
  <c r="B364" i="4"/>
  <c r="A364" i="4"/>
  <c r="B363" i="4"/>
  <c r="A363" i="4"/>
  <c r="B362" i="4"/>
  <c r="A362" i="4"/>
  <c r="B361" i="4"/>
  <c r="A361" i="4"/>
  <c r="E360" i="4"/>
  <c r="D360" i="4"/>
  <c r="C360" i="4"/>
  <c r="B360" i="4"/>
  <c r="A360" i="4"/>
  <c r="E359" i="4"/>
  <c r="D359" i="4"/>
  <c r="C359" i="4"/>
  <c r="B359" i="4"/>
  <c r="A359" i="4"/>
  <c r="E358" i="4"/>
  <c r="D358" i="4"/>
  <c r="C358" i="4"/>
  <c r="B358" i="4"/>
  <c r="A358" i="4"/>
  <c r="E357" i="4"/>
  <c r="D357" i="4"/>
  <c r="C357" i="4"/>
  <c r="B357" i="4"/>
  <c r="A357" i="4"/>
  <c r="E356" i="4"/>
  <c r="D356" i="4"/>
  <c r="C356" i="4"/>
  <c r="B356" i="4"/>
  <c r="A356" i="4"/>
  <c r="E355" i="4"/>
  <c r="D355" i="4"/>
  <c r="C355" i="4"/>
  <c r="B355" i="4"/>
  <c r="A355" i="4"/>
  <c r="E354" i="4"/>
  <c r="D354" i="4"/>
  <c r="C354" i="4"/>
  <c r="B354" i="4"/>
  <c r="A354" i="4"/>
  <c r="E353" i="4"/>
  <c r="C353" i="4"/>
  <c r="B353" i="4"/>
  <c r="A353" i="4"/>
  <c r="E352" i="4"/>
  <c r="D352" i="4"/>
  <c r="C352" i="4"/>
  <c r="B352" i="4"/>
  <c r="A352" i="4"/>
  <c r="E351" i="4"/>
  <c r="D351" i="4"/>
  <c r="C351" i="4"/>
  <c r="B351" i="4"/>
  <c r="A351" i="4"/>
  <c r="E350" i="4"/>
  <c r="D350" i="4"/>
  <c r="C350" i="4"/>
  <c r="B350" i="4"/>
  <c r="A350" i="4"/>
  <c r="E349" i="4"/>
  <c r="D349" i="4"/>
  <c r="C349" i="4"/>
  <c r="B349" i="4"/>
  <c r="A349" i="4"/>
  <c r="F348" i="4"/>
  <c r="E348" i="4"/>
  <c r="D348" i="4"/>
  <c r="C348" i="4"/>
  <c r="B348" i="4"/>
  <c r="A348" i="4"/>
  <c r="E347" i="4"/>
  <c r="D347" i="4"/>
  <c r="B347" i="4"/>
  <c r="A347" i="4"/>
  <c r="E346" i="4"/>
  <c r="D346" i="4"/>
  <c r="C346" i="4"/>
  <c r="B346" i="4"/>
  <c r="A346" i="4"/>
  <c r="E345" i="4"/>
  <c r="D345" i="4"/>
  <c r="C345" i="4"/>
  <c r="B345" i="4"/>
  <c r="A345" i="4"/>
  <c r="E344" i="4"/>
  <c r="D344" i="4"/>
  <c r="C344" i="4"/>
  <c r="B344" i="4"/>
  <c r="A344" i="4"/>
  <c r="E343" i="4"/>
  <c r="C343" i="4"/>
  <c r="B343" i="4"/>
  <c r="A343" i="4"/>
  <c r="E342" i="4"/>
  <c r="D342" i="4"/>
  <c r="B342" i="4"/>
  <c r="A342" i="4"/>
  <c r="E341" i="4"/>
  <c r="D341" i="4"/>
  <c r="B341" i="4"/>
  <c r="A341" i="4"/>
  <c r="E340" i="4"/>
  <c r="D340" i="4"/>
  <c r="B340" i="4"/>
  <c r="A340" i="4"/>
  <c r="E339" i="4"/>
  <c r="D339" i="4"/>
  <c r="B339" i="4"/>
  <c r="A339" i="4"/>
  <c r="E338" i="4"/>
  <c r="D338" i="4"/>
  <c r="B338" i="4"/>
  <c r="A338" i="4"/>
  <c r="E337" i="4"/>
  <c r="D337" i="4"/>
  <c r="C337" i="4"/>
  <c r="B337" i="4"/>
  <c r="A337" i="4"/>
  <c r="E336" i="4"/>
  <c r="D336" i="4"/>
  <c r="C336" i="4"/>
  <c r="B336" i="4"/>
  <c r="A336" i="4"/>
  <c r="E335" i="4"/>
  <c r="D335" i="4"/>
  <c r="B335" i="4"/>
  <c r="A335" i="4"/>
  <c r="E334" i="4"/>
  <c r="D334" i="4"/>
  <c r="B334" i="4"/>
  <c r="A334" i="4"/>
  <c r="E333" i="4"/>
  <c r="D333" i="4"/>
  <c r="C333" i="4"/>
  <c r="B333" i="4"/>
  <c r="A333" i="4"/>
  <c r="E332" i="4"/>
  <c r="D332" i="4"/>
  <c r="C332" i="4"/>
  <c r="B332" i="4"/>
  <c r="A332" i="4"/>
  <c r="E331" i="4"/>
  <c r="D331" i="4"/>
  <c r="C331" i="4"/>
  <c r="B331" i="4"/>
  <c r="A331" i="4"/>
  <c r="E330" i="4"/>
  <c r="D330" i="4"/>
  <c r="C330" i="4"/>
  <c r="B330" i="4"/>
  <c r="A330" i="4"/>
  <c r="E329" i="4"/>
  <c r="D329" i="4"/>
  <c r="C329" i="4"/>
  <c r="B329" i="4"/>
  <c r="A329" i="4"/>
  <c r="E328" i="4"/>
  <c r="D328" i="4"/>
  <c r="B328" i="4"/>
  <c r="A328" i="4"/>
  <c r="E327" i="4"/>
  <c r="D327" i="4"/>
  <c r="C327" i="4"/>
  <c r="B327" i="4"/>
  <c r="A327" i="4"/>
  <c r="E326" i="4"/>
  <c r="D326" i="4"/>
  <c r="C326" i="4"/>
  <c r="B326" i="4"/>
  <c r="A326" i="4"/>
  <c r="E325" i="4"/>
  <c r="D325" i="4"/>
  <c r="C325" i="4"/>
  <c r="B325" i="4"/>
  <c r="A325" i="4"/>
  <c r="E324" i="4"/>
  <c r="D324" i="4"/>
  <c r="C324" i="4"/>
  <c r="B324" i="4"/>
  <c r="A324" i="4"/>
  <c r="E323" i="4"/>
  <c r="D323" i="4"/>
  <c r="C323" i="4"/>
  <c r="B323" i="4"/>
  <c r="A323" i="4"/>
  <c r="E322" i="4"/>
  <c r="D322" i="4"/>
  <c r="C322" i="4"/>
  <c r="B322" i="4"/>
  <c r="A322" i="4"/>
  <c r="E321" i="4"/>
  <c r="D321" i="4"/>
  <c r="C321" i="4"/>
  <c r="B321" i="4"/>
  <c r="A321" i="4"/>
  <c r="E320" i="4"/>
  <c r="D320" i="4"/>
  <c r="C320" i="4"/>
  <c r="B320" i="4"/>
  <c r="A320" i="4"/>
  <c r="F319" i="4"/>
  <c r="E319" i="4"/>
  <c r="D319" i="4"/>
  <c r="C319" i="4"/>
  <c r="B319" i="4"/>
  <c r="A319" i="4"/>
  <c r="E318" i="4"/>
  <c r="C318" i="4"/>
  <c r="B318" i="4"/>
  <c r="A318" i="4"/>
  <c r="E317" i="4"/>
  <c r="D317" i="4"/>
  <c r="B317" i="4"/>
  <c r="A317" i="4"/>
  <c r="E316" i="4"/>
  <c r="B316" i="4"/>
  <c r="A316" i="4"/>
  <c r="E315" i="4"/>
  <c r="D315" i="4"/>
  <c r="B315" i="4"/>
  <c r="A315" i="4"/>
  <c r="E314" i="4"/>
  <c r="D314" i="4"/>
  <c r="B314" i="4"/>
  <c r="A314" i="4"/>
  <c r="E313" i="4"/>
  <c r="D313" i="4"/>
  <c r="C313" i="4"/>
  <c r="B313" i="4"/>
  <c r="A313" i="4"/>
  <c r="E312" i="4"/>
  <c r="D312" i="4"/>
  <c r="B312" i="4"/>
  <c r="A312" i="4"/>
  <c r="E311" i="4"/>
  <c r="D311" i="4"/>
  <c r="C311" i="4"/>
  <c r="B311" i="4"/>
  <c r="A311" i="4"/>
  <c r="E310" i="4"/>
  <c r="D310" i="4"/>
  <c r="C310" i="4"/>
  <c r="B310" i="4"/>
  <c r="A310" i="4"/>
  <c r="E309" i="4"/>
  <c r="D309" i="4"/>
  <c r="C309" i="4"/>
  <c r="B309" i="4"/>
  <c r="A309" i="4"/>
  <c r="E308" i="4"/>
  <c r="D308" i="4"/>
  <c r="C308" i="4"/>
  <c r="B308" i="4"/>
  <c r="A308" i="4"/>
  <c r="E307" i="4"/>
  <c r="B307" i="4"/>
  <c r="A307" i="4"/>
  <c r="E306" i="4"/>
  <c r="C306" i="4"/>
  <c r="B306" i="4"/>
  <c r="A306" i="4"/>
  <c r="E305" i="4"/>
  <c r="D305" i="4"/>
  <c r="C305" i="4"/>
  <c r="B305" i="4"/>
  <c r="A305" i="4"/>
  <c r="E304" i="4"/>
  <c r="D304" i="4"/>
  <c r="C304" i="4"/>
  <c r="B304" i="4"/>
  <c r="A304" i="4"/>
  <c r="E303" i="4"/>
  <c r="D303" i="4"/>
  <c r="C303" i="4"/>
  <c r="B303" i="4"/>
  <c r="A303" i="4"/>
  <c r="E302" i="4"/>
  <c r="D302" i="4"/>
  <c r="C302" i="4"/>
  <c r="B302" i="4"/>
  <c r="A302" i="4"/>
  <c r="E301" i="4"/>
  <c r="D301" i="4"/>
  <c r="C301" i="4"/>
  <c r="B301" i="4"/>
  <c r="A301" i="4"/>
  <c r="E300" i="4"/>
  <c r="D300" i="4"/>
  <c r="C300" i="4"/>
  <c r="B300" i="4"/>
  <c r="A300" i="4"/>
  <c r="F299" i="4"/>
  <c r="E299" i="4"/>
  <c r="C299" i="4"/>
  <c r="B299" i="4"/>
  <c r="A299" i="4"/>
  <c r="E298" i="4"/>
  <c r="D298" i="4"/>
  <c r="C298" i="4"/>
  <c r="B298" i="4"/>
  <c r="A298" i="4"/>
  <c r="E297" i="4"/>
  <c r="D297" i="4"/>
  <c r="C297" i="4"/>
  <c r="B297" i="4"/>
  <c r="A297" i="4"/>
  <c r="E296" i="4"/>
  <c r="C296" i="4"/>
  <c r="B296" i="4"/>
  <c r="A296" i="4"/>
  <c r="E295" i="4"/>
  <c r="D295" i="4"/>
  <c r="C295" i="4"/>
  <c r="B295" i="4"/>
  <c r="A295" i="4"/>
  <c r="E294" i="4"/>
  <c r="D294" i="4"/>
  <c r="C294" i="4"/>
  <c r="B294" i="4"/>
  <c r="A294" i="4"/>
  <c r="E293" i="4"/>
  <c r="D293" i="4"/>
  <c r="C293" i="4"/>
  <c r="B293" i="4"/>
  <c r="A293" i="4"/>
  <c r="E292" i="4"/>
  <c r="C292" i="4"/>
  <c r="B292" i="4"/>
  <c r="A292" i="4"/>
  <c r="E291" i="4"/>
  <c r="D291" i="4"/>
  <c r="C291" i="4"/>
  <c r="B291" i="4"/>
  <c r="A291" i="4"/>
  <c r="E290" i="4"/>
  <c r="C290" i="4"/>
  <c r="B290" i="4"/>
  <c r="A290" i="4"/>
  <c r="B289" i="4"/>
  <c r="A289" i="4"/>
  <c r="B288" i="4"/>
  <c r="A288" i="4"/>
  <c r="E287" i="4"/>
  <c r="D287" i="4"/>
  <c r="B287" i="4"/>
  <c r="A287" i="4"/>
  <c r="E286" i="4"/>
  <c r="D286" i="4"/>
  <c r="C286" i="4"/>
  <c r="B286" i="4"/>
  <c r="A286" i="4"/>
  <c r="E285" i="4"/>
  <c r="C285" i="4"/>
  <c r="B285" i="4"/>
  <c r="A285" i="4"/>
  <c r="E284" i="4"/>
  <c r="D284" i="4"/>
  <c r="C284" i="4"/>
  <c r="B284" i="4"/>
  <c r="A284" i="4"/>
  <c r="E283" i="4"/>
  <c r="D283" i="4"/>
  <c r="C283" i="4"/>
  <c r="B283" i="4"/>
  <c r="A283" i="4"/>
  <c r="E282" i="4"/>
  <c r="D282" i="4"/>
  <c r="C282" i="4"/>
  <c r="B282" i="4"/>
  <c r="A282" i="4"/>
  <c r="E281" i="4"/>
  <c r="D281" i="4"/>
  <c r="C281" i="4"/>
  <c r="B281" i="4"/>
  <c r="A281" i="4"/>
  <c r="B280" i="4"/>
  <c r="A280" i="4"/>
  <c r="E279" i="4"/>
  <c r="D279" i="4"/>
  <c r="C279" i="4"/>
  <c r="B279" i="4"/>
  <c r="A279" i="4"/>
  <c r="E278" i="4"/>
  <c r="B278" i="4"/>
  <c r="A278" i="4"/>
  <c r="E277" i="4"/>
  <c r="B277" i="4"/>
  <c r="A277" i="4"/>
  <c r="E276" i="4"/>
  <c r="B276" i="4"/>
  <c r="A276" i="4"/>
  <c r="E275" i="4"/>
  <c r="B275" i="4"/>
  <c r="A275" i="4"/>
  <c r="E274" i="4"/>
  <c r="D274" i="4"/>
  <c r="C274" i="4"/>
  <c r="B274" i="4"/>
  <c r="A274" i="4"/>
  <c r="E273" i="4"/>
  <c r="D273" i="4"/>
  <c r="C273" i="4"/>
  <c r="B273" i="4"/>
  <c r="A273" i="4"/>
  <c r="E272" i="4"/>
  <c r="D272" i="4"/>
  <c r="B272" i="4"/>
  <c r="A272" i="4"/>
  <c r="E271" i="4"/>
  <c r="D271" i="4"/>
  <c r="C271" i="4"/>
  <c r="B271" i="4"/>
  <c r="A271" i="4"/>
  <c r="E270" i="4"/>
  <c r="D270" i="4"/>
  <c r="C270" i="4"/>
  <c r="B270" i="4"/>
  <c r="A270" i="4"/>
  <c r="E269" i="4"/>
  <c r="D269" i="4"/>
  <c r="C269" i="4"/>
  <c r="B269" i="4"/>
  <c r="A269" i="4"/>
  <c r="E268" i="4"/>
  <c r="D268" i="4"/>
  <c r="C268" i="4"/>
  <c r="B268" i="4"/>
  <c r="A268" i="4"/>
  <c r="E267" i="4"/>
  <c r="D267" i="4"/>
  <c r="C267" i="4"/>
  <c r="B267" i="4"/>
  <c r="A267" i="4"/>
  <c r="E266" i="4"/>
  <c r="D266" i="4"/>
  <c r="C266" i="4"/>
  <c r="B266" i="4"/>
  <c r="A266" i="4"/>
  <c r="B265" i="4"/>
  <c r="A265" i="4"/>
  <c r="E264" i="4"/>
  <c r="D264" i="4"/>
  <c r="B264" i="4"/>
  <c r="A264" i="4"/>
  <c r="B263" i="4"/>
  <c r="A263" i="4"/>
  <c r="E262" i="4"/>
  <c r="D262" i="4"/>
  <c r="B262" i="4"/>
  <c r="A262" i="4"/>
  <c r="E261" i="4"/>
  <c r="D261" i="4"/>
  <c r="B261" i="4"/>
  <c r="A261" i="4"/>
  <c r="E260" i="4"/>
  <c r="D260" i="4"/>
  <c r="B260" i="4"/>
  <c r="A260" i="4"/>
  <c r="B259" i="4"/>
  <c r="A259" i="4"/>
  <c r="E258" i="4"/>
  <c r="D258" i="4"/>
  <c r="B258" i="4"/>
  <c r="A258" i="4"/>
  <c r="B257" i="4"/>
  <c r="A257" i="4"/>
  <c r="B256" i="4"/>
  <c r="A256" i="4"/>
  <c r="E255" i="4"/>
  <c r="D255" i="4"/>
  <c r="B255" i="4"/>
  <c r="A255" i="4"/>
  <c r="E254" i="4"/>
  <c r="D254" i="4"/>
  <c r="C254" i="4"/>
  <c r="B254" i="4"/>
  <c r="A254" i="4"/>
  <c r="E253" i="4"/>
  <c r="D253" i="4"/>
  <c r="B253" i="4"/>
  <c r="A253" i="4"/>
  <c r="B252" i="4"/>
  <c r="A252" i="4"/>
  <c r="E251" i="4"/>
  <c r="D251" i="4"/>
  <c r="B251" i="4"/>
  <c r="A251" i="4"/>
  <c r="E250" i="4"/>
  <c r="B250" i="4"/>
  <c r="A250" i="4"/>
  <c r="B249" i="4"/>
  <c r="A249" i="4"/>
  <c r="E248" i="4"/>
  <c r="D248" i="4"/>
  <c r="B248" i="4"/>
  <c r="A248" i="4"/>
  <c r="E247" i="4"/>
  <c r="D247" i="4"/>
  <c r="B247" i="4"/>
  <c r="A247" i="4"/>
  <c r="E246" i="4"/>
  <c r="D246" i="4"/>
  <c r="B246" i="4"/>
  <c r="A246" i="4"/>
  <c r="B245" i="4"/>
  <c r="A245" i="4"/>
  <c r="E244" i="4"/>
  <c r="D244" i="4"/>
  <c r="B244" i="4"/>
  <c r="A244" i="4"/>
  <c r="E243" i="4"/>
  <c r="D243" i="4"/>
  <c r="B243" i="4"/>
  <c r="A243" i="4"/>
  <c r="B242" i="4"/>
  <c r="A242" i="4"/>
  <c r="E241" i="4"/>
  <c r="D241" i="4"/>
  <c r="B241" i="4"/>
  <c r="A241" i="4"/>
  <c r="B240" i="4"/>
  <c r="A240" i="4"/>
  <c r="E239" i="4"/>
  <c r="D239" i="4"/>
  <c r="B239" i="4"/>
  <c r="A239" i="4"/>
  <c r="E238" i="4"/>
  <c r="D238" i="4"/>
  <c r="B238" i="4"/>
  <c r="A238" i="4"/>
  <c r="E237" i="4"/>
  <c r="D237" i="4"/>
  <c r="B237" i="4"/>
  <c r="A237" i="4"/>
  <c r="B236" i="4"/>
  <c r="A236" i="4"/>
  <c r="E235" i="4"/>
  <c r="D235" i="4"/>
  <c r="B235" i="4"/>
  <c r="A235" i="4"/>
  <c r="B234" i="4"/>
  <c r="A234" i="4"/>
  <c r="E233" i="4"/>
  <c r="D233" i="4"/>
  <c r="B233" i="4"/>
  <c r="A233" i="4"/>
  <c r="B232" i="4"/>
  <c r="A232" i="4"/>
  <c r="E231" i="4"/>
  <c r="D231" i="4"/>
  <c r="B231" i="4"/>
  <c r="A231" i="4"/>
  <c r="E230" i="4"/>
  <c r="D230" i="4"/>
  <c r="B230" i="4"/>
  <c r="A230" i="4"/>
  <c r="E229" i="4"/>
  <c r="D229" i="4"/>
  <c r="B229" i="4"/>
  <c r="A229" i="4"/>
  <c r="E228" i="4"/>
  <c r="D228" i="4"/>
  <c r="B228" i="4"/>
  <c r="A228" i="4"/>
  <c r="B227" i="4"/>
  <c r="A227" i="4"/>
  <c r="E226" i="4"/>
  <c r="D226" i="4"/>
  <c r="C226" i="4"/>
  <c r="B226" i="4"/>
  <c r="A226" i="4"/>
  <c r="E225" i="4"/>
  <c r="C225" i="4"/>
  <c r="B225" i="4"/>
  <c r="A225" i="4"/>
  <c r="E224" i="4"/>
  <c r="C224" i="4"/>
  <c r="B224" i="4"/>
  <c r="A224" i="4"/>
  <c r="E223" i="4"/>
  <c r="C223" i="4"/>
  <c r="B223" i="4"/>
  <c r="A223" i="4"/>
  <c r="E222" i="4"/>
  <c r="C222" i="4"/>
  <c r="B222" i="4"/>
  <c r="A222" i="4"/>
  <c r="E221" i="4"/>
  <c r="C221" i="4"/>
  <c r="B221" i="4"/>
  <c r="A221" i="4"/>
  <c r="E220" i="4"/>
  <c r="D220" i="4"/>
  <c r="C220" i="4"/>
  <c r="B220" i="4"/>
  <c r="A220" i="4"/>
  <c r="F219" i="4"/>
  <c r="E219" i="4"/>
  <c r="D219" i="4"/>
  <c r="C219" i="4"/>
  <c r="B219" i="4"/>
  <c r="A219" i="4"/>
  <c r="E218" i="4"/>
  <c r="D218" i="4"/>
  <c r="C218" i="4"/>
  <c r="B218" i="4"/>
  <c r="A218" i="4"/>
  <c r="E217" i="4"/>
  <c r="D217" i="4"/>
  <c r="C217" i="4"/>
  <c r="B217" i="4"/>
  <c r="A217" i="4"/>
  <c r="E216" i="4"/>
  <c r="D216" i="4"/>
  <c r="C216" i="4"/>
  <c r="B216" i="4"/>
  <c r="A216" i="4"/>
  <c r="E215" i="4"/>
  <c r="C215" i="4"/>
  <c r="B215" i="4"/>
  <c r="A215" i="4"/>
  <c r="E214" i="4"/>
  <c r="C214" i="4"/>
  <c r="B214" i="4"/>
  <c r="A214" i="4"/>
  <c r="F213" i="4"/>
  <c r="E213" i="4"/>
  <c r="D213" i="4"/>
  <c r="C213" i="4"/>
  <c r="B213" i="4"/>
  <c r="A213" i="4"/>
  <c r="E212" i="4"/>
  <c r="D212" i="4"/>
  <c r="C212" i="4"/>
  <c r="B212" i="4"/>
  <c r="A212" i="4"/>
  <c r="E211" i="4"/>
  <c r="D211" i="4"/>
  <c r="C211" i="4"/>
  <c r="B211" i="4"/>
  <c r="A211" i="4"/>
  <c r="E210" i="4"/>
  <c r="D210" i="4"/>
  <c r="C210" i="4"/>
  <c r="B210" i="4"/>
  <c r="A210" i="4"/>
  <c r="E209" i="4"/>
  <c r="D209" i="4"/>
  <c r="C209" i="4"/>
  <c r="B209" i="4"/>
  <c r="A209" i="4"/>
  <c r="E208" i="4"/>
  <c r="D208" i="4"/>
  <c r="C208" i="4"/>
  <c r="B208" i="4"/>
  <c r="A208" i="4"/>
  <c r="E207" i="4"/>
  <c r="D207" i="4"/>
  <c r="C207" i="4"/>
  <c r="B207" i="4"/>
  <c r="A207" i="4"/>
  <c r="E206" i="4"/>
  <c r="D206" i="4"/>
  <c r="C206" i="4"/>
  <c r="B206" i="4"/>
  <c r="A206" i="4"/>
  <c r="E205" i="4"/>
  <c r="D205" i="4"/>
  <c r="C205" i="4"/>
  <c r="B205" i="4"/>
  <c r="A205" i="4"/>
  <c r="E204" i="4"/>
  <c r="D204" i="4"/>
  <c r="C204" i="4"/>
  <c r="B204" i="4"/>
  <c r="A204" i="4"/>
  <c r="E203" i="4"/>
  <c r="D203" i="4"/>
  <c r="C203" i="4"/>
  <c r="B203" i="4"/>
  <c r="A203" i="4"/>
  <c r="E202" i="4"/>
  <c r="D202" i="4"/>
  <c r="C202" i="4"/>
  <c r="B202" i="4"/>
  <c r="A202" i="4"/>
  <c r="E201" i="4"/>
  <c r="D201" i="4"/>
  <c r="C201" i="4"/>
  <c r="B201" i="4"/>
  <c r="A201" i="4"/>
  <c r="E200" i="4"/>
  <c r="D200" i="4"/>
  <c r="C200" i="4"/>
  <c r="B200" i="4"/>
  <c r="A200" i="4"/>
  <c r="E199" i="4"/>
  <c r="D199" i="4"/>
  <c r="C199" i="4"/>
  <c r="B199" i="4"/>
  <c r="A199" i="4"/>
  <c r="E198" i="4"/>
  <c r="D198" i="4"/>
  <c r="B198" i="4"/>
  <c r="A198" i="4"/>
  <c r="E197" i="4"/>
  <c r="D197" i="4"/>
  <c r="B197" i="4"/>
  <c r="A197" i="4"/>
  <c r="E196" i="4"/>
  <c r="D196" i="4"/>
  <c r="B196" i="4"/>
  <c r="A196" i="4"/>
  <c r="E195" i="4"/>
  <c r="D195" i="4"/>
  <c r="C195" i="4"/>
  <c r="B195" i="4"/>
  <c r="A195" i="4"/>
  <c r="E194" i="4"/>
  <c r="D194" i="4"/>
  <c r="C194" i="4"/>
  <c r="B194" i="4"/>
  <c r="A194" i="4"/>
  <c r="E193" i="4"/>
  <c r="D193" i="4"/>
  <c r="C193" i="4"/>
  <c r="B193" i="4"/>
  <c r="A193" i="4"/>
  <c r="E192" i="4"/>
  <c r="D192" i="4"/>
  <c r="C192" i="4"/>
  <c r="B192" i="4"/>
  <c r="A192" i="4"/>
  <c r="E191" i="4"/>
  <c r="D191" i="4"/>
  <c r="C191" i="4"/>
  <c r="B191" i="4"/>
  <c r="A191" i="4"/>
  <c r="E190" i="4"/>
  <c r="D190" i="4"/>
  <c r="C190" i="4"/>
  <c r="B190" i="4"/>
  <c r="A190" i="4"/>
  <c r="F189" i="4"/>
  <c r="E189" i="4"/>
  <c r="D189" i="4"/>
  <c r="C189" i="4"/>
  <c r="B189" i="4"/>
  <c r="A189" i="4"/>
  <c r="E188" i="4"/>
  <c r="D188" i="4"/>
  <c r="B188" i="4"/>
  <c r="A188" i="4"/>
  <c r="E187" i="4"/>
  <c r="D187" i="4"/>
  <c r="B187" i="4"/>
  <c r="A187" i="4"/>
  <c r="E186" i="4"/>
  <c r="D186" i="4"/>
  <c r="B186" i="4"/>
  <c r="A186" i="4"/>
  <c r="E185" i="4"/>
  <c r="D185" i="4"/>
  <c r="B185" i="4"/>
  <c r="A185" i="4"/>
  <c r="E184" i="4"/>
  <c r="D184" i="4"/>
  <c r="B184" i="4"/>
  <c r="A184" i="4"/>
  <c r="E183" i="4"/>
  <c r="D183" i="4"/>
  <c r="B183" i="4"/>
  <c r="A183" i="4"/>
  <c r="E182" i="4"/>
  <c r="D182" i="4"/>
  <c r="B182" i="4"/>
  <c r="A182" i="4"/>
  <c r="E181" i="4"/>
  <c r="D181" i="4"/>
  <c r="B181" i="4"/>
  <c r="A181" i="4"/>
  <c r="E180" i="4"/>
  <c r="D180" i="4"/>
  <c r="B180" i="4"/>
  <c r="A180" i="4"/>
  <c r="E179" i="4"/>
  <c r="D179" i="4"/>
  <c r="C179" i="4"/>
  <c r="B179" i="4"/>
  <c r="A179" i="4"/>
  <c r="E178" i="4"/>
  <c r="D178" i="4"/>
  <c r="C178" i="4"/>
  <c r="B178" i="4"/>
  <c r="A178" i="4"/>
  <c r="E177" i="4"/>
  <c r="D177" i="4"/>
  <c r="C177" i="4"/>
  <c r="B177" i="4"/>
  <c r="A177" i="4"/>
  <c r="B176" i="4"/>
  <c r="A176" i="4"/>
  <c r="E175" i="4"/>
  <c r="D175" i="4"/>
  <c r="B175" i="4"/>
  <c r="A175" i="4"/>
  <c r="E174" i="4"/>
  <c r="D174" i="4"/>
  <c r="B174" i="4"/>
  <c r="A174" i="4"/>
  <c r="E173" i="4"/>
  <c r="D173" i="4"/>
  <c r="B173" i="4"/>
  <c r="A173" i="4"/>
  <c r="E172" i="4"/>
  <c r="D172" i="4"/>
  <c r="B172" i="4"/>
  <c r="A172" i="4"/>
  <c r="E171" i="4"/>
  <c r="D171" i="4"/>
  <c r="B171" i="4"/>
  <c r="A171" i="4"/>
  <c r="D170" i="4"/>
  <c r="B170" i="4"/>
  <c r="A170" i="4"/>
  <c r="D169" i="4"/>
  <c r="C169" i="4"/>
  <c r="B169" i="4"/>
  <c r="A169" i="4"/>
  <c r="E168" i="4"/>
  <c r="D168" i="4"/>
  <c r="C168" i="4"/>
  <c r="B168" i="4"/>
  <c r="A168" i="4"/>
  <c r="E167" i="4"/>
  <c r="D167" i="4"/>
  <c r="C167" i="4"/>
  <c r="B167" i="4"/>
  <c r="A167" i="4"/>
  <c r="E166" i="4"/>
  <c r="D166" i="4"/>
  <c r="C166" i="4"/>
  <c r="B166" i="4"/>
  <c r="A166" i="4"/>
  <c r="E165" i="4"/>
  <c r="D165" i="4"/>
  <c r="C165" i="4"/>
  <c r="B165" i="4"/>
  <c r="A165" i="4"/>
  <c r="E164" i="4"/>
  <c r="D164" i="4"/>
  <c r="C164" i="4"/>
  <c r="B164" i="4"/>
  <c r="A164" i="4"/>
  <c r="D163" i="4"/>
  <c r="C163" i="4"/>
  <c r="B163" i="4"/>
  <c r="A163" i="4"/>
  <c r="E162" i="4"/>
  <c r="D162" i="4"/>
  <c r="C162" i="4"/>
  <c r="B162" i="4"/>
  <c r="A162" i="4"/>
  <c r="E161" i="4"/>
  <c r="D161" i="4"/>
  <c r="C161" i="4"/>
  <c r="B161" i="4"/>
  <c r="A161" i="4"/>
  <c r="E160" i="4"/>
  <c r="D160" i="4"/>
  <c r="C160" i="4"/>
  <c r="B160" i="4"/>
  <c r="A160" i="4"/>
  <c r="E159" i="4"/>
  <c r="D159" i="4"/>
  <c r="C159" i="4"/>
  <c r="B159" i="4"/>
  <c r="A159" i="4"/>
  <c r="E158" i="4"/>
  <c r="D158" i="4"/>
  <c r="C158" i="4"/>
  <c r="B158" i="4"/>
  <c r="A158" i="4"/>
  <c r="E157" i="4"/>
  <c r="D157" i="4"/>
  <c r="C157" i="4"/>
  <c r="B157" i="4"/>
  <c r="A157" i="4"/>
  <c r="E156" i="4"/>
  <c r="D156" i="4"/>
  <c r="C156" i="4"/>
  <c r="B156" i="4"/>
  <c r="A156" i="4"/>
  <c r="E155" i="4"/>
  <c r="D155" i="4"/>
  <c r="B155" i="4"/>
  <c r="A155" i="4"/>
  <c r="E154" i="4"/>
  <c r="D154" i="4"/>
  <c r="B154" i="4"/>
  <c r="A154" i="4"/>
  <c r="E153" i="4"/>
  <c r="D153" i="4"/>
  <c r="B153" i="4"/>
  <c r="A153" i="4"/>
  <c r="E152" i="4"/>
  <c r="D152" i="4"/>
  <c r="B152" i="4"/>
  <c r="A152" i="4"/>
  <c r="E151" i="4"/>
  <c r="D151" i="4"/>
  <c r="B151" i="4"/>
  <c r="A151" i="4"/>
  <c r="E150" i="4"/>
  <c r="D150" i="4"/>
  <c r="B150" i="4"/>
  <c r="A150" i="4"/>
  <c r="E149" i="4"/>
  <c r="D149" i="4"/>
  <c r="C149" i="4"/>
  <c r="B149" i="4"/>
  <c r="A149" i="4"/>
  <c r="E148" i="4"/>
  <c r="D148" i="4"/>
  <c r="C148" i="4"/>
  <c r="B148" i="4"/>
  <c r="A148" i="4"/>
  <c r="E147" i="4"/>
  <c r="D147" i="4"/>
  <c r="C147" i="4"/>
  <c r="B147" i="4"/>
  <c r="A147" i="4"/>
  <c r="E146" i="4"/>
  <c r="D146" i="4"/>
  <c r="C146" i="4"/>
  <c r="B146" i="4"/>
  <c r="A146" i="4"/>
  <c r="E145" i="4"/>
  <c r="D145" i="4"/>
  <c r="C145" i="4"/>
  <c r="B145" i="4"/>
  <c r="A145" i="4"/>
  <c r="E144" i="4"/>
  <c r="D144" i="4"/>
  <c r="C144" i="4"/>
  <c r="B144" i="4"/>
  <c r="A144" i="4"/>
  <c r="E143" i="4"/>
  <c r="D143" i="4"/>
  <c r="C143" i="4"/>
  <c r="B143" i="4"/>
  <c r="A143" i="4"/>
  <c r="E142" i="4"/>
  <c r="D142" i="4"/>
  <c r="C142" i="4"/>
  <c r="B142" i="4"/>
  <c r="A142" i="4"/>
  <c r="E141" i="4"/>
  <c r="D141" i="4"/>
  <c r="C141" i="4"/>
  <c r="B141" i="4"/>
  <c r="A141" i="4"/>
  <c r="E140" i="4"/>
  <c r="D140" i="4"/>
  <c r="C140" i="4"/>
  <c r="B140" i="4"/>
  <c r="A140" i="4"/>
  <c r="E139" i="4"/>
  <c r="D139" i="4"/>
  <c r="C139" i="4"/>
  <c r="B139" i="4"/>
  <c r="A139" i="4"/>
  <c r="E138" i="4"/>
  <c r="D138" i="4"/>
  <c r="C138" i="4"/>
  <c r="B138" i="4"/>
  <c r="A138" i="4"/>
  <c r="E137" i="4"/>
  <c r="D137" i="4"/>
  <c r="C137" i="4"/>
  <c r="B137" i="4"/>
  <c r="A137" i="4"/>
  <c r="E136" i="4"/>
  <c r="D136" i="4"/>
  <c r="C136" i="4"/>
  <c r="B136" i="4"/>
  <c r="A136" i="4"/>
  <c r="E135" i="4"/>
  <c r="D135" i="4"/>
  <c r="C135" i="4"/>
  <c r="B135" i="4"/>
  <c r="A135" i="4"/>
  <c r="E134" i="4"/>
  <c r="D134" i="4"/>
  <c r="C134" i="4"/>
  <c r="B134" i="4"/>
  <c r="A134" i="4"/>
  <c r="E133" i="4"/>
  <c r="D133" i="4"/>
  <c r="C133" i="4"/>
  <c r="B133" i="4"/>
  <c r="A133" i="4"/>
  <c r="E132" i="4"/>
  <c r="C132" i="4"/>
  <c r="B132" i="4"/>
  <c r="A132" i="4"/>
  <c r="E131" i="4"/>
  <c r="C131" i="4"/>
  <c r="B131" i="4"/>
  <c r="A131" i="4"/>
  <c r="E130" i="4"/>
  <c r="D130" i="4"/>
  <c r="C130" i="4"/>
  <c r="B130" i="4"/>
  <c r="A130" i="4"/>
  <c r="E129" i="4"/>
  <c r="D129" i="4"/>
  <c r="C129" i="4"/>
  <c r="B129" i="4"/>
  <c r="A129" i="4"/>
  <c r="E128" i="4"/>
  <c r="D128" i="4"/>
  <c r="C128" i="4"/>
  <c r="B128" i="4"/>
  <c r="A128" i="4"/>
  <c r="E127" i="4"/>
  <c r="D127" i="4"/>
  <c r="C127" i="4"/>
  <c r="B127" i="4"/>
  <c r="A127" i="4"/>
  <c r="E126" i="4"/>
  <c r="D126" i="4"/>
  <c r="C126" i="4"/>
  <c r="B126" i="4"/>
  <c r="A126" i="4"/>
  <c r="E125" i="4"/>
  <c r="D125" i="4"/>
  <c r="C125" i="4"/>
  <c r="B125" i="4"/>
  <c r="A125" i="4"/>
  <c r="E124" i="4"/>
  <c r="D124" i="4"/>
  <c r="C124" i="4"/>
  <c r="B124" i="4"/>
  <c r="A124" i="4"/>
  <c r="E123" i="4"/>
  <c r="C123" i="4"/>
  <c r="B123" i="4"/>
  <c r="A123" i="4"/>
  <c r="E122" i="4"/>
  <c r="D122" i="4"/>
  <c r="C122" i="4"/>
  <c r="B122" i="4"/>
  <c r="A122" i="4"/>
  <c r="E121" i="4"/>
  <c r="D121" i="4"/>
  <c r="C121" i="4"/>
  <c r="B121" i="4"/>
  <c r="A121" i="4"/>
  <c r="E120" i="4"/>
  <c r="D120" i="4"/>
  <c r="C120" i="4"/>
  <c r="B120" i="4"/>
  <c r="A120" i="4"/>
  <c r="E119" i="4"/>
  <c r="D119" i="4"/>
  <c r="C119" i="4"/>
  <c r="B119" i="4"/>
  <c r="A119" i="4"/>
  <c r="E118" i="4"/>
  <c r="D118" i="4"/>
  <c r="C118" i="4"/>
  <c r="B118" i="4"/>
  <c r="A118" i="4"/>
  <c r="E117" i="4"/>
  <c r="D117" i="4"/>
  <c r="C117" i="4"/>
  <c r="B117" i="4"/>
  <c r="A117" i="4"/>
  <c r="E116" i="4"/>
  <c r="D116" i="4"/>
  <c r="B116" i="4"/>
  <c r="A116" i="4"/>
  <c r="E115" i="4"/>
  <c r="D115" i="4"/>
  <c r="B115" i="4"/>
  <c r="A115" i="4"/>
  <c r="E114" i="4"/>
  <c r="D114" i="4"/>
  <c r="B114" i="4"/>
  <c r="A114" i="4"/>
  <c r="E113" i="4"/>
  <c r="D113" i="4"/>
  <c r="B113" i="4"/>
  <c r="A113" i="4"/>
  <c r="E112" i="4"/>
  <c r="D112" i="4"/>
  <c r="B112" i="4"/>
  <c r="A112" i="4"/>
  <c r="E111" i="4"/>
  <c r="D111" i="4"/>
  <c r="B111" i="4"/>
  <c r="A111" i="4"/>
  <c r="E110" i="4"/>
  <c r="D110" i="4"/>
  <c r="B110" i="4"/>
  <c r="A110" i="4"/>
  <c r="E109" i="4"/>
  <c r="D109" i="4"/>
  <c r="C109" i="4"/>
  <c r="B109" i="4"/>
  <c r="A109" i="4"/>
  <c r="E108" i="4"/>
  <c r="D108" i="4"/>
  <c r="C108" i="4"/>
  <c r="B108" i="4"/>
  <c r="A108" i="4"/>
  <c r="E107" i="4"/>
  <c r="D107" i="4"/>
  <c r="C107" i="4"/>
  <c r="B107" i="4"/>
  <c r="A107" i="4"/>
  <c r="E106" i="4"/>
  <c r="D106" i="4"/>
  <c r="C106" i="4"/>
  <c r="B106" i="4"/>
  <c r="A106" i="4"/>
  <c r="E105" i="4"/>
  <c r="D105" i="4"/>
  <c r="C105" i="4"/>
  <c r="B105" i="4"/>
  <c r="A105" i="4"/>
  <c r="D104" i="4"/>
  <c r="C104" i="4"/>
  <c r="B104" i="4"/>
  <c r="A104" i="4"/>
  <c r="B103" i="4"/>
  <c r="A103" i="4"/>
  <c r="E102" i="4"/>
  <c r="D102" i="4"/>
  <c r="C102" i="4"/>
  <c r="B102" i="4"/>
  <c r="A102" i="4"/>
  <c r="E101" i="4"/>
  <c r="D101" i="4"/>
  <c r="C101" i="4"/>
  <c r="B101" i="4"/>
  <c r="A101" i="4"/>
  <c r="F100" i="4"/>
  <c r="E100" i="4"/>
  <c r="D100" i="4"/>
  <c r="C100" i="4"/>
  <c r="B100" i="4"/>
  <c r="A100" i="4"/>
  <c r="E99" i="4"/>
  <c r="D99" i="4"/>
  <c r="C99" i="4"/>
  <c r="B99" i="4"/>
  <c r="A99" i="4"/>
  <c r="E98" i="4"/>
  <c r="D98" i="4"/>
  <c r="C98" i="4"/>
  <c r="B98" i="4"/>
  <c r="A98" i="4"/>
  <c r="E97" i="4"/>
  <c r="D97" i="4"/>
  <c r="C97" i="4"/>
  <c r="B97" i="4"/>
  <c r="A97" i="4"/>
  <c r="F96" i="4"/>
  <c r="E96" i="4"/>
  <c r="D96" i="4"/>
  <c r="C96" i="4"/>
  <c r="B96" i="4"/>
  <c r="A96" i="4"/>
  <c r="E95" i="4"/>
  <c r="D95" i="4"/>
  <c r="C95" i="4"/>
  <c r="B95" i="4"/>
  <c r="A95" i="4"/>
  <c r="E94" i="4"/>
  <c r="D94" i="4"/>
  <c r="C94" i="4"/>
  <c r="B94" i="4"/>
  <c r="A94" i="4"/>
  <c r="E93" i="4"/>
  <c r="C93" i="4"/>
  <c r="B93" i="4"/>
  <c r="A93" i="4"/>
  <c r="E92" i="4"/>
  <c r="C92" i="4"/>
  <c r="B92" i="4"/>
  <c r="A92" i="4"/>
  <c r="E91" i="4"/>
  <c r="D91" i="4"/>
  <c r="C91" i="4"/>
  <c r="B91" i="4"/>
  <c r="A91" i="4"/>
  <c r="F90" i="4"/>
  <c r="E90" i="4"/>
  <c r="D90" i="4"/>
  <c r="C90" i="4"/>
  <c r="B90" i="4"/>
  <c r="A90" i="4"/>
  <c r="F89" i="4"/>
  <c r="E89" i="4"/>
  <c r="D89" i="4"/>
  <c r="C89" i="4"/>
  <c r="B89" i="4"/>
  <c r="A89" i="4"/>
  <c r="E88" i="4"/>
  <c r="D88" i="4"/>
  <c r="C88" i="4"/>
  <c r="B88" i="4"/>
  <c r="A88" i="4"/>
  <c r="E87" i="4"/>
  <c r="D87" i="4"/>
  <c r="C87" i="4"/>
  <c r="B87" i="4"/>
  <c r="A87" i="4"/>
  <c r="E86" i="4"/>
  <c r="D86" i="4"/>
  <c r="C86" i="4"/>
  <c r="B86" i="4"/>
  <c r="A86" i="4"/>
  <c r="E85" i="4"/>
  <c r="D85" i="4"/>
  <c r="C85" i="4"/>
  <c r="B85" i="4"/>
  <c r="A85" i="4"/>
  <c r="E84" i="4"/>
  <c r="D84" i="4"/>
  <c r="C84" i="4"/>
  <c r="B84" i="4"/>
  <c r="A84" i="4"/>
  <c r="E83" i="4"/>
  <c r="D83" i="4"/>
  <c r="C83" i="4"/>
  <c r="B83" i="4"/>
  <c r="A83" i="4"/>
  <c r="E82" i="4"/>
  <c r="D82" i="4"/>
  <c r="C82" i="4"/>
  <c r="B82" i="4"/>
  <c r="A82" i="4"/>
  <c r="E81" i="4"/>
  <c r="D81" i="4"/>
  <c r="C81" i="4"/>
  <c r="B81" i="4"/>
  <c r="A81" i="4"/>
  <c r="E80" i="4"/>
  <c r="D80" i="4"/>
  <c r="C80" i="4"/>
  <c r="B80" i="4"/>
  <c r="A80" i="4"/>
  <c r="E79" i="4"/>
  <c r="D79" i="4"/>
  <c r="C79" i="4"/>
  <c r="B79" i="4"/>
  <c r="A79" i="4"/>
  <c r="E78" i="4"/>
  <c r="D78" i="4"/>
  <c r="C78" i="4"/>
  <c r="B78" i="4"/>
  <c r="A78" i="4"/>
  <c r="E77" i="4"/>
  <c r="D77" i="4"/>
  <c r="C77" i="4"/>
  <c r="B77" i="4"/>
  <c r="A77" i="4"/>
  <c r="E76" i="4"/>
  <c r="D76" i="4"/>
  <c r="C76" i="4"/>
  <c r="B76" i="4"/>
  <c r="A76" i="4"/>
  <c r="E75" i="4"/>
  <c r="D75" i="4"/>
  <c r="C75" i="4"/>
  <c r="B75" i="4"/>
  <c r="A75" i="4"/>
  <c r="E74" i="4"/>
  <c r="D74" i="4"/>
  <c r="C74" i="4"/>
  <c r="B74" i="4"/>
  <c r="A74" i="4"/>
  <c r="E73" i="4"/>
  <c r="D73" i="4"/>
  <c r="C73" i="4"/>
  <c r="B73" i="4"/>
  <c r="A73" i="4"/>
  <c r="E72" i="4"/>
  <c r="D72" i="4"/>
  <c r="C72" i="4"/>
  <c r="B72" i="4"/>
  <c r="A72" i="4"/>
  <c r="E71" i="4"/>
  <c r="D71" i="4"/>
  <c r="C71" i="4"/>
  <c r="B71" i="4"/>
  <c r="A71" i="4"/>
  <c r="E70" i="4"/>
  <c r="D70" i="4"/>
  <c r="B70" i="4"/>
  <c r="A70" i="4"/>
  <c r="E69" i="4"/>
  <c r="D69" i="4"/>
  <c r="B69" i="4"/>
  <c r="A69" i="4"/>
  <c r="E68" i="4"/>
  <c r="D68" i="4"/>
  <c r="C68" i="4"/>
  <c r="B68" i="4"/>
  <c r="A68" i="4"/>
  <c r="E67" i="4"/>
  <c r="D67" i="4"/>
  <c r="C67" i="4"/>
  <c r="B67" i="4"/>
  <c r="A67" i="4"/>
  <c r="E66" i="4"/>
  <c r="D66" i="4"/>
  <c r="C66" i="4"/>
  <c r="B66" i="4"/>
  <c r="A66" i="4"/>
  <c r="E65" i="4"/>
  <c r="D65" i="4"/>
  <c r="C65" i="4"/>
  <c r="B65" i="4"/>
  <c r="A65" i="4"/>
  <c r="E64" i="4"/>
  <c r="D64" i="4"/>
  <c r="C64" i="4"/>
  <c r="B64" i="4"/>
  <c r="A64" i="4"/>
  <c r="E63" i="4"/>
  <c r="D63" i="4"/>
  <c r="B63" i="4"/>
  <c r="A63" i="4"/>
  <c r="E62" i="4"/>
  <c r="D62" i="4"/>
  <c r="B62" i="4"/>
  <c r="A62" i="4"/>
  <c r="F61" i="4"/>
  <c r="E61" i="4"/>
  <c r="D61" i="4"/>
  <c r="B61" i="4"/>
  <c r="A61" i="4"/>
  <c r="F60" i="4"/>
  <c r="E60" i="4"/>
  <c r="D60" i="4"/>
  <c r="B60" i="4"/>
  <c r="A60" i="4"/>
  <c r="F59" i="4"/>
  <c r="E59" i="4"/>
  <c r="D59" i="4"/>
  <c r="B59" i="4"/>
  <c r="A59" i="4"/>
  <c r="E58" i="4"/>
  <c r="D58" i="4"/>
  <c r="B58" i="4"/>
  <c r="A58" i="4"/>
  <c r="E57" i="4"/>
  <c r="D57" i="4"/>
  <c r="B57" i="4"/>
  <c r="A57" i="4"/>
  <c r="E56" i="4"/>
  <c r="D56" i="4"/>
  <c r="B56" i="4"/>
  <c r="A56" i="4"/>
  <c r="E55" i="4"/>
  <c r="D55" i="4"/>
  <c r="B55" i="4"/>
  <c r="A55" i="4"/>
  <c r="E54" i="4"/>
  <c r="D54" i="4"/>
  <c r="C54" i="4"/>
  <c r="B54" i="4"/>
  <c r="A54" i="4"/>
  <c r="E53" i="4"/>
  <c r="D53" i="4"/>
  <c r="C53" i="4"/>
  <c r="B53" i="4"/>
  <c r="A53" i="4"/>
  <c r="E52" i="4"/>
  <c r="D52" i="4"/>
  <c r="C52" i="4"/>
  <c r="B52" i="4"/>
  <c r="A52" i="4"/>
  <c r="E51" i="4"/>
  <c r="D51" i="4"/>
  <c r="C51" i="4"/>
  <c r="B51" i="4"/>
  <c r="A51" i="4"/>
  <c r="E50" i="4"/>
  <c r="D50" i="4"/>
  <c r="C50" i="4"/>
  <c r="B50" i="4"/>
  <c r="A50" i="4"/>
  <c r="E49" i="4"/>
  <c r="D49" i="4"/>
  <c r="C49" i="4"/>
  <c r="B49" i="4"/>
  <c r="A49" i="4"/>
  <c r="E48" i="4"/>
  <c r="D48" i="4"/>
  <c r="C48" i="4"/>
  <c r="B48" i="4"/>
  <c r="A48" i="4"/>
  <c r="E47" i="4"/>
  <c r="D47" i="4"/>
  <c r="C47" i="4"/>
  <c r="B47" i="4"/>
  <c r="A47" i="4"/>
  <c r="E46" i="4"/>
  <c r="D46" i="4"/>
  <c r="C46" i="4"/>
  <c r="B46" i="4"/>
  <c r="A46" i="4"/>
  <c r="E45" i="4"/>
  <c r="D45" i="4"/>
  <c r="C45" i="4"/>
  <c r="B45" i="4"/>
  <c r="A45" i="4"/>
  <c r="E44" i="4"/>
  <c r="D44" i="4"/>
  <c r="C44" i="4"/>
  <c r="B44" i="4"/>
  <c r="A44" i="4"/>
  <c r="E43" i="4"/>
  <c r="D43" i="4"/>
  <c r="C43" i="4"/>
  <c r="B43" i="4"/>
  <c r="A43" i="4"/>
  <c r="E42" i="4"/>
  <c r="D42" i="4"/>
  <c r="C42" i="4"/>
  <c r="B42" i="4"/>
  <c r="A42" i="4"/>
  <c r="E41" i="4"/>
  <c r="D41" i="4"/>
  <c r="C41" i="4"/>
  <c r="B41" i="4"/>
  <c r="A41" i="4"/>
  <c r="E40" i="4"/>
  <c r="D40" i="4"/>
  <c r="C40" i="4"/>
  <c r="B40" i="4"/>
  <c r="A40" i="4"/>
  <c r="E39" i="4"/>
  <c r="D39" i="4"/>
  <c r="C39" i="4"/>
  <c r="B39" i="4"/>
  <c r="A39" i="4"/>
  <c r="E38" i="4"/>
  <c r="D38" i="4"/>
  <c r="C38" i="4"/>
  <c r="B38" i="4"/>
  <c r="A38" i="4"/>
  <c r="E37" i="4"/>
  <c r="D37" i="4"/>
  <c r="C37" i="4"/>
  <c r="B37" i="4"/>
  <c r="A37" i="4"/>
  <c r="E36" i="4"/>
  <c r="D36" i="4"/>
  <c r="C36" i="4"/>
  <c r="B36" i="4"/>
  <c r="A36" i="4"/>
  <c r="E35" i="4"/>
  <c r="D35" i="4"/>
  <c r="C35" i="4"/>
  <c r="B35" i="4"/>
  <c r="A35" i="4"/>
  <c r="E34" i="4"/>
  <c r="D34" i="4"/>
  <c r="C34" i="4"/>
  <c r="B34" i="4"/>
  <c r="A34" i="4"/>
  <c r="E33" i="4"/>
  <c r="D33" i="4"/>
  <c r="C33" i="4"/>
  <c r="B33" i="4"/>
  <c r="A33" i="4"/>
  <c r="E32" i="4"/>
  <c r="D32" i="4"/>
  <c r="C32" i="4"/>
  <c r="B32" i="4"/>
  <c r="A32" i="4"/>
  <c r="E31" i="4"/>
  <c r="D31" i="4"/>
  <c r="C31" i="4"/>
  <c r="B31" i="4"/>
  <c r="A31" i="4"/>
  <c r="E30" i="4"/>
  <c r="D30" i="4"/>
  <c r="B30" i="4"/>
  <c r="A30" i="4"/>
  <c r="E29" i="4"/>
  <c r="D29" i="4"/>
  <c r="C29" i="4"/>
  <c r="B29" i="4"/>
  <c r="A29" i="4"/>
  <c r="E28" i="4"/>
  <c r="D28" i="4"/>
  <c r="C28" i="4"/>
  <c r="B28" i="4"/>
  <c r="A28" i="4"/>
  <c r="E27" i="4"/>
  <c r="D27" i="4"/>
  <c r="C27" i="4"/>
  <c r="B27" i="4"/>
  <c r="A27" i="4"/>
  <c r="E26" i="4"/>
  <c r="D26" i="4"/>
  <c r="C26" i="4"/>
  <c r="B26" i="4"/>
  <c r="A26" i="4"/>
  <c r="E25" i="4"/>
  <c r="D25" i="4"/>
  <c r="C25" i="4"/>
  <c r="B25" i="4"/>
  <c r="A25" i="4"/>
  <c r="E24" i="4"/>
  <c r="D24" i="4"/>
  <c r="C24" i="4"/>
  <c r="B24" i="4"/>
  <c r="A24" i="4"/>
  <c r="E23" i="4"/>
  <c r="C23" i="4"/>
  <c r="B23" i="4"/>
  <c r="A23" i="4"/>
  <c r="E22" i="4"/>
  <c r="D22" i="4"/>
  <c r="C22" i="4"/>
  <c r="B22" i="4"/>
  <c r="A22" i="4"/>
  <c r="E21" i="4"/>
  <c r="D21" i="4"/>
  <c r="C21" i="4"/>
  <c r="B21" i="4"/>
  <c r="A21" i="4"/>
  <c r="E20" i="4"/>
  <c r="D20" i="4"/>
  <c r="C20" i="4"/>
  <c r="B20" i="4"/>
  <c r="A20" i="4"/>
  <c r="E19" i="4"/>
  <c r="D19" i="4"/>
  <c r="C19" i="4"/>
  <c r="B19" i="4"/>
  <c r="A19" i="4"/>
  <c r="E18" i="4"/>
  <c r="D18" i="4"/>
  <c r="C18" i="4"/>
  <c r="B18" i="4"/>
  <c r="A18" i="4"/>
  <c r="E17" i="4"/>
  <c r="D17" i="4"/>
  <c r="C17" i="4"/>
  <c r="B17" i="4"/>
  <c r="A17" i="4"/>
  <c r="E16" i="4"/>
  <c r="D16" i="4"/>
  <c r="C16" i="4"/>
  <c r="B16" i="4"/>
  <c r="A16" i="4"/>
  <c r="E15" i="4"/>
  <c r="D15" i="4"/>
  <c r="C15" i="4"/>
  <c r="B15" i="4"/>
  <c r="A15" i="4"/>
  <c r="E14" i="4"/>
  <c r="D14" i="4"/>
  <c r="C14" i="4"/>
  <c r="B14" i="4"/>
  <c r="A14" i="4"/>
  <c r="E13" i="4"/>
  <c r="D13" i="4"/>
  <c r="C13" i="4"/>
  <c r="B13" i="4"/>
  <c r="A13" i="4"/>
  <c r="E12" i="4"/>
  <c r="D12" i="4"/>
  <c r="C12" i="4"/>
  <c r="B12" i="4"/>
  <c r="A12" i="4"/>
  <c r="E11" i="4"/>
  <c r="D11" i="4"/>
  <c r="C11" i="4"/>
  <c r="B11" i="4"/>
  <c r="A11" i="4"/>
  <c r="E10" i="4"/>
  <c r="D10" i="4"/>
  <c r="C10" i="4"/>
  <c r="B10" i="4"/>
  <c r="A10" i="4"/>
  <c r="E9" i="4"/>
  <c r="D9" i="4"/>
  <c r="C9" i="4"/>
  <c r="B9" i="4"/>
  <c r="A9" i="4"/>
  <c r="E8" i="4"/>
  <c r="D8" i="4"/>
  <c r="B8" i="4"/>
  <c r="A8" i="4"/>
  <c r="E7" i="4"/>
  <c r="D7" i="4"/>
  <c r="C7" i="4"/>
  <c r="B7" i="4"/>
  <c r="A7" i="4"/>
  <c r="E6" i="4"/>
  <c r="D6" i="4"/>
  <c r="C6" i="4"/>
  <c r="B6" i="4"/>
  <c r="A6" i="4"/>
  <c r="E5" i="4"/>
  <c r="D5" i="4"/>
  <c r="C5" i="4"/>
  <c r="B5" i="4"/>
  <c r="A5" i="4"/>
  <c r="E4" i="4"/>
  <c r="D4" i="4"/>
  <c r="C4" i="4"/>
  <c r="B4" i="4"/>
  <c r="A4" i="4"/>
  <c r="E3" i="4"/>
  <c r="D3" i="4"/>
  <c r="C3" i="4"/>
  <c r="B3" i="4"/>
  <c r="A3" i="4"/>
  <c r="E2" i="4"/>
  <c r="D2" i="4"/>
  <c r="C2" i="4"/>
  <c r="B2" i="4"/>
  <c r="A2" i="4"/>
  <c r="F1" i="4"/>
  <c r="E1" i="4"/>
  <c r="D1" i="4"/>
  <c r="C1" i="4"/>
  <c r="B1" i="4"/>
  <c r="A1" i="4"/>
  <c r="H2500" i="3"/>
  <c r="G2500" i="3"/>
  <c r="F2500" i="3"/>
  <c r="E2500" i="3"/>
  <c r="D2500" i="3"/>
  <c r="C2500" i="3"/>
  <c r="B2500" i="3"/>
  <c r="A2500" i="3"/>
  <c r="H2499" i="3"/>
  <c r="G2499" i="3"/>
  <c r="F2499" i="3"/>
  <c r="E2499" i="3"/>
  <c r="C2499" i="3"/>
  <c r="B2499" i="3"/>
  <c r="A2499" i="3"/>
  <c r="H2498" i="3"/>
  <c r="G2498" i="3"/>
  <c r="F2498" i="3"/>
  <c r="E2498" i="3"/>
  <c r="D2498" i="3"/>
  <c r="C2498" i="3"/>
  <c r="B2498" i="3"/>
  <c r="A2498" i="3"/>
  <c r="H2497" i="3"/>
  <c r="G2497" i="3"/>
  <c r="F2497" i="3"/>
  <c r="E2497" i="3"/>
  <c r="C2497" i="3"/>
  <c r="B2497" i="3"/>
  <c r="A2497" i="3"/>
  <c r="H2496" i="3"/>
  <c r="G2496" i="3"/>
  <c r="F2496" i="3"/>
  <c r="E2496" i="3"/>
  <c r="C2496" i="3"/>
  <c r="B2496" i="3"/>
  <c r="A2496" i="3"/>
  <c r="H2495" i="3"/>
  <c r="G2495" i="3"/>
  <c r="F2495" i="3"/>
  <c r="E2495" i="3"/>
  <c r="C2495" i="3"/>
  <c r="B2495" i="3"/>
  <c r="A2495" i="3"/>
  <c r="H2494" i="3"/>
  <c r="G2494" i="3"/>
  <c r="F2494" i="3"/>
  <c r="E2494" i="3"/>
  <c r="C2494" i="3"/>
  <c r="B2494" i="3"/>
  <c r="A2494" i="3"/>
  <c r="H2493" i="3"/>
  <c r="G2493" i="3"/>
  <c r="F2493" i="3"/>
  <c r="E2493" i="3"/>
  <c r="D2493" i="3"/>
  <c r="C2493" i="3"/>
  <c r="B2493" i="3"/>
  <c r="A2493" i="3"/>
  <c r="H2492" i="3"/>
  <c r="G2492" i="3"/>
  <c r="F2492" i="3"/>
  <c r="E2492" i="3"/>
  <c r="C2492" i="3"/>
  <c r="A2492" i="3"/>
  <c r="H2491" i="3"/>
  <c r="G2491" i="3"/>
  <c r="F2491" i="3"/>
  <c r="E2491" i="3"/>
  <c r="C2491" i="3"/>
  <c r="B2491" i="3"/>
  <c r="A2491" i="3"/>
  <c r="H2490" i="3"/>
  <c r="G2490" i="3"/>
  <c r="F2490" i="3"/>
  <c r="E2490" i="3"/>
  <c r="C2490" i="3"/>
  <c r="B2490" i="3"/>
  <c r="A2490" i="3"/>
  <c r="H2489" i="3"/>
  <c r="G2489" i="3"/>
  <c r="F2489" i="3"/>
  <c r="E2489" i="3"/>
  <c r="C2489" i="3"/>
  <c r="B2489" i="3"/>
  <c r="A2489" i="3"/>
  <c r="H2488" i="3"/>
  <c r="G2488" i="3"/>
  <c r="F2488" i="3"/>
  <c r="E2488" i="3"/>
  <c r="C2488" i="3"/>
  <c r="B2488" i="3"/>
  <c r="A2488" i="3"/>
  <c r="H2487" i="3"/>
  <c r="G2487" i="3"/>
  <c r="F2487" i="3"/>
  <c r="E2487" i="3"/>
  <c r="C2487" i="3"/>
  <c r="B2487" i="3"/>
  <c r="A2487" i="3"/>
  <c r="H2486" i="3"/>
  <c r="G2486" i="3"/>
  <c r="F2486" i="3"/>
  <c r="E2486" i="3"/>
  <c r="C2486" i="3"/>
  <c r="B2486" i="3"/>
  <c r="A2486" i="3"/>
  <c r="H2485" i="3"/>
  <c r="G2485" i="3"/>
  <c r="F2485" i="3"/>
  <c r="E2485" i="3"/>
  <c r="D2485" i="3"/>
  <c r="C2485" i="3"/>
  <c r="B2485" i="3"/>
  <c r="A2485" i="3"/>
  <c r="H2484" i="3"/>
  <c r="G2484" i="3"/>
  <c r="F2484" i="3"/>
  <c r="E2484" i="3"/>
  <c r="C2484" i="3"/>
  <c r="B2484" i="3"/>
  <c r="A2484" i="3"/>
  <c r="H2483" i="3"/>
  <c r="G2483" i="3"/>
  <c r="F2483" i="3"/>
  <c r="E2483" i="3"/>
  <c r="C2483" i="3"/>
  <c r="B2483" i="3"/>
  <c r="A2483" i="3"/>
  <c r="H2482" i="3"/>
  <c r="G2482" i="3"/>
  <c r="F2482" i="3"/>
  <c r="E2482" i="3"/>
  <c r="C2482" i="3"/>
  <c r="B2482" i="3"/>
  <c r="A2482" i="3"/>
  <c r="H2481" i="3"/>
  <c r="G2481" i="3"/>
  <c r="F2481" i="3"/>
  <c r="E2481" i="3"/>
  <c r="C2481" i="3"/>
  <c r="B2481" i="3"/>
  <c r="A2481" i="3"/>
  <c r="H2480" i="3"/>
  <c r="G2480" i="3"/>
  <c r="F2480" i="3"/>
  <c r="E2480" i="3"/>
  <c r="A2480" i="3"/>
  <c r="H2479" i="3"/>
  <c r="G2479" i="3"/>
  <c r="F2479" i="3"/>
  <c r="E2479" i="3"/>
  <c r="C2479" i="3"/>
  <c r="B2479" i="3"/>
  <c r="A2479" i="3"/>
  <c r="H2478" i="3"/>
  <c r="G2478" i="3"/>
  <c r="F2478" i="3"/>
  <c r="E2478" i="3"/>
  <c r="C2478" i="3"/>
  <c r="B2478" i="3"/>
  <c r="A2478" i="3"/>
  <c r="H2477" i="3"/>
  <c r="G2477" i="3"/>
  <c r="F2477" i="3"/>
  <c r="E2477" i="3"/>
  <c r="C2477" i="3"/>
  <c r="B2477" i="3"/>
  <c r="A2477" i="3"/>
  <c r="H2476" i="3"/>
  <c r="G2476" i="3"/>
  <c r="F2476" i="3"/>
  <c r="E2476" i="3"/>
  <c r="D2476" i="3"/>
  <c r="C2476" i="3"/>
  <c r="B2476" i="3"/>
  <c r="A2476" i="3"/>
  <c r="H2475" i="3"/>
  <c r="G2475" i="3"/>
  <c r="F2475" i="3"/>
  <c r="E2475" i="3"/>
  <c r="D2475" i="3"/>
  <c r="C2475" i="3"/>
  <c r="B2475" i="3"/>
  <c r="A2475" i="3"/>
  <c r="H2474" i="3"/>
  <c r="G2474" i="3"/>
  <c r="F2474" i="3"/>
  <c r="E2474" i="3"/>
  <c r="A2474" i="3"/>
  <c r="H2473" i="3"/>
  <c r="G2473" i="3"/>
  <c r="F2473" i="3"/>
  <c r="E2473" i="3"/>
  <c r="C2473" i="3"/>
  <c r="B2473" i="3"/>
  <c r="A2473" i="3"/>
  <c r="H2472" i="3"/>
  <c r="G2472" i="3"/>
  <c r="F2472" i="3"/>
  <c r="E2472" i="3"/>
  <c r="C2472" i="3"/>
  <c r="B2472" i="3"/>
  <c r="A2472" i="3"/>
  <c r="H2471" i="3"/>
  <c r="G2471" i="3"/>
  <c r="F2471" i="3"/>
  <c r="E2471" i="3"/>
  <c r="C2471" i="3"/>
  <c r="B2471" i="3"/>
  <c r="A2471" i="3"/>
  <c r="H2470" i="3"/>
  <c r="G2470" i="3"/>
  <c r="F2470" i="3"/>
  <c r="E2470" i="3"/>
  <c r="C2470" i="3"/>
  <c r="B2470" i="3"/>
  <c r="A2470" i="3"/>
  <c r="H2469" i="3"/>
  <c r="G2469" i="3"/>
  <c r="F2469" i="3"/>
  <c r="E2469" i="3"/>
  <c r="C2469" i="3"/>
  <c r="B2469" i="3"/>
  <c r="A2469" i="3"/>
  <c r="H2468" i="3"/>
  <c r="G2468" i="3"/>
  <c r="F2468" i="3"/>
  <c r="E2468" i="3"/>
  <c r="C2468" i="3"/>
  <c r="B2468" i="3"/>
  <c r="A2468" i="3"/>
  <c r="H2467" i="3"/>
  <c r="G2467" i="3"/>
  <c r="F2467" i="3"/>
  <c r="E2467" i="3"/>
  <c r="D2467" i="3"/>
  <c r="C2467" i="3"/>
  <c r="B2467" i="3"/>
  <c r="A2467" i="3"/>
  <c r="H2466" i="3"/>
  <c r="G2466" i="3"/>
  <c r="F2466" i="3"/>
  <c r="E2466" i="3"/>
  <c r="C2466" i="3"/>
  <c r="B2466" i="3"/>
  <c r="A2466" i="3"/>
  <c r="H2465" i="3"/>
  <c r="G2465" i="3"/>
  <c r="F2465" i="3"/>
  <c r="E2465" i="3"/>
  <c r="C2465" i="3"/>
  <c r="A2465" i="3"/>
  <c r="H2464" i="3"/>
  <c r="G2464" i="3"/>
  <c r="F2464" i="3"/>
  <c r="E2464" i="3"/>
  <c r="C2464" i="3"/>
  <c r="B2464" i="3"/>
  <c r="A2464" i="3"/>
  <c r="H2463" i="3"/>
  <c r="G2463" i="3"/>
  <c r="F2463" i="3"/>
  <c r="E2463" i="3"/>
  <c r="C2463" i="3"/>
  <c r="B2463" i="3"/>
  <c r="A2463" i="3"/>
  <c r="H2462" i="3"/>
  <c r="G2462" i="3"/>
  <c r="F2462" i="3"/>
  <c r="E2462" i="3"/>
  <c r="C2462" i="3"/>
  <c r="B2462" i="3"/>
  <c r="A2462" i="3"/>
  <c r="H2461" i="3"/>
  <c r="G2461" i="3"/>
  <c r="F2461" i="3"/>
  <c r="E2461" i="3"/>
  <c r="C2461" i="3"/>
  <c r="B2461" i="3"/>
  <c r="A2461" i="3"/>
  <c r="H2460" i="3"/>
  <c r="G2460" i="3"/>
  <c r="F2460" i="3"/>
  <c r="E2460" i="3"/>
  <c r="D2460" i="3"/>
  <c r="C2460" i="3"/>
  <c r="B2460" i="3"/>
  <c r="A2460" i="3"/>
  <c r="H2459" i="3"/>
  <c r="G2459" i="3"/>
  <c r="F2459" i="3"/>
  <c r="E2459" i="3"/>
  <c r="C2459" i="3"/>
  <c r="B2459" i="3"/>
  <c r="A2459" i="3"/>
  <c r="H2458" i="3"/>
  <c r="G2458" i="3"/>
  <c r="F2458" i="3"/>
  <c r="E2458" i="3"/>
  <c r="C2458" i="3"/>
  <c r="B2458" i="3"/>
  <c r="A2458" i="3"/>
  <c r="H2457" i="3"/>
  <c r="G2457" i="3"/>
  <c r="F2457" i="3"/>
  <c r="E2457" i="3"/>
  <c r="B2457" i="3"/>
  <c r="A2457" i="3"/>
  <c r="H2456" i="3"/>
  <c r="G2456" i="3"/>
  <c r="F2456" i="3"/>
  <c r="E2456" i="3"/>
  <c r="C2456" i="3"/>
  <c r="B2456" i="3"/>
  <c r="A2456" i="3"/>
  <c r="H2455" i="3"/>
  <c r="G2455" i="3"/>
  <c r="F2455" i="3"/>
  <c r="E2455" i="3"/>
  <c r="C2455" i="3"/>
  <c r="B2455" i="3"/>
  <c r="A2455" i="3"/>
  <c r="H2454" i="3"/>
  <c r="G2454" i="3"/>
  <c r="F2454" i="3"/>
  <c r="E2454" i="3"/>
  <c r="C2454" i="3"/>
  <c r="B2454" i="3"/>
  <c r="A2454" i="3"/>
  <c r="H2453" i="3"/>
  <c r="G2453" i="3"/>
  <c r="F2453" i="3"/>
  <c r="E2453" i="3"/>
  <c r="C2453" i="3"/>
  <c r="B2453" i="3"/>
  <c r="A2453" i="3"/>
  <c r="H2452" i="3"/>
  <c r="G2452" i="3"/>
  <c r="F2452" i="3"/>
  <c r="E2452" i="3"/>
  <c r="C2452" i="3"/>
  <c r="B2452" i="3"/>
  <c r="A2452" i="3"/>
  <c r="H2451" i="3"/>
  <c r="G2451" i="3"/>
  <c r="F2451" i="3"/>
  <c r="E2451" i="3"/>
  <c r="D2451" i="3"/>
  <c r="C2451" i="3"/>
  <c r="B2451" i="3"/>
  <c r="A2451" i="3"/>
  <c r="H2450" i="3"/>
  <c r="G2450" i="3"/>
  <c r="F2450" i="3"/>
  <c r="E2450" i="3"/>
  <c r="C2450" i="3"/>
  <c r="B2450" i="3"/>
  <c r="A2450" i="3"/>
  <c r="H2449" i="3"/>
  <c r="G2449" i="3"/>
  <c r="F2449" i="3"/>
  <c r="E2449" i="3"/>
  <c r="D2449" i="3"/>
  <c r="C2449" i="3"/>
  <c r="B2449" i="3"/>
  <c r="A2449" i="3"/>
  <c r="H2448" i="3"/>
  <c r="G2448" i="3"/>
  <c r="F2448" i="3"/>
  <c r="E2448" i="3"/>
  <c r="C2448" i="3"/>
  <c r="B2448" i="3"/>
  <c r="A2448" i="3"/>
  <c r="H2447" i="3"/>
  <c r="G2447" i="3"/>
  <c r="F2447" i="3"/>
  <c r="E2447" i="3"/>
  <c r="C2447" i="3"/>
  <c r="B2447" i="3"/>
  <c r="A2447" i="3"/>
  <c r="H2446" i="3"/>
  <c r="G2446" i="3"/>
  <c r="F2446" i="3"/>
  <c r="E2446" i="3"/>
  <c r="C2446" i="3"/>
  <c r="B2446" i="3"/>
  <c r="A2446" i="3"/>
  <c r="H2445" i="3"/>
  <c r="G2445" i="3"/>
  <c r="F2445" i="3"/>
  <c r="E2445" i="3"/>
  <c r="A2445" i="3"/>
  <c r="H2444" i="3"/>
  <c r="G2444" i="3"/>
  <c r="F2444" i="3"/>
  <c r="E2444" i="3"/>
  <c r="C2444" i="3"/>
  <c r="B2444" i="3"/>
  <c r="A2444" i="3"/>
  <c r="H2443" i="3"/>
  <c r="G2443" i="3"/>
  <c r="F2443" i="3"/>
  <c r="E2443" i="3"/>
  <c r="A2443" i="3"/>
  <c r="H2442" i="3"/>
  <c r="G2442" i="3"/>
  <c r="F2442" i="3"/>
  <c r="E2442" i="3"/>
  <c r="C2442" i="3"/>
  <c r="B2442" i="3"/>
  <c r="A2442" i="3"/>
  <c r="H2441" i="3"/>
  <c r="G2441" i="3"/>
  <c r="F2441" i="3"/>
  <c r="E2441" i="3"/>
  <c r="C2441" i="3"/>
  <c r="B2441" i="3"/>
  <c r="A2441" i="3"/>
  <c r="H2440" i="3"/>
  <c r="G2440" i="3"/>
  <c r="F2440" i="3"/>
  <c r="E2440" i="3"/>
  <c r="C2440" i="3"/>
  <c r="B2440" i="3"/>
  <c r="A2440" i="3"/>
  <c r="H2439" i="3"/>
  <c r="G2439" i="3"/>
  <c r="F2439" i="3"/>
  <c r="E2439" i="3"/>
  <c r="C2439" i="3"/>
  <c r="B2439" i="3"/>
  <c r="A2439" i="3"/>
  <c r="H2438" i="3"/>
  <c r="G2438" i="3"/>
  <c r="F2438" i="3"/>
  <c r="E2438" i="3"/>
  <c r="C2438" i="3"/>
  <c r="B2438" i="3"/>
  <c r="A2438" i="3"/>
  <c r="H2437" i="3"/>
  <c r="G2437" i="3"/>
  <c r="F2437" i="3"/>
  <c r="E2437" i="3"/>
  <c r="C2437" i="3"/>
  <c r="B2437" i="3"/>
  <c r="A2437" i="3"/>
  <c r="H2436" i="3"/>
  <c r="G2436" i="3"/>
  <c r="F2436" i="3"/>
  <c r="E2436" i="3"/>
  <c r="C2436" i="3"/>
  <c r="B2436" i="3"/>
  <c r="A2436" i="3"/>
  <c r="H2435" i="3"/>
  <c r="G2435" i="3"/>
  <c r="F2435" i="3"/>
  <c r="E2435" i="3"/>
  <c r="C2435" i="3"/>
  <c r="B2435" i="3"/>
  <c r="A2435" i="3"/>
  <c r="H2434" i="3"/>
  <c r="G2434" i="3"/>
  <c r="F2434" i="3"/>
  <c r="E2434" i="3"/>
  <c r="C2434" i="3"/>
  <c r="B2434" i="3"/>
  <c r="A2434" i="3"/>
  <c r="H2433" i="3"/>
  <c r="G2433" i="3"/>
  <c r="F2433" i="3"/>
  <c r="E2433" i="3"/>
  <c r="A2433" i="3"/>
  <c r="H2432" i="3"/>
  <c r="G2432" i="3"/>
  <c r="F2432" i="3"/>
  <c r="E2432" i="3"/>
  <c r="C2432" i="3"/>
  <c r="B2432" i="3"/>
  <c r="A2432" i="3"/>
  <c r="H2431" i="3"/>
  <c r="G2431" i="3"/>
  <c r="F2431" i="3"/>
  <c r="E2431" i="3"/>
  <c r="C2431" i="3"/>
  <c r="B2431" i="3"/>
  <c r="A2431" i="3"/>
  <c r="H2430" i="3"/>
  <c r="G2430" i="3"/>
  <c r="F2430" i="3"/>
  <c r="E2430" i="3"/>
  <c r="C2430" i="3"/>
  <c r="B2430" i="3"/>
  <c r="A2430" i="3"/>
  <c r="H2429" i="3"/>
  <c r="G2429" i="3"/>
  <c r="F2429" i="3"/>
  <c r="E2429" i="3"/>
  <c r="C2429" i="3"/>
  <c r="B2429" i="3"/>
  <c r="A2429" i="3"/>
  <c r="H2428" i="3"/>
  <c r="G2428" i="3"/>
  <c r="F2428" i="3"/>
  <c r="E2428" i="3"/>
  <c r="C2428" i="3"/>
  <c r="B2428" i="3"/>
  <c r="A2428" i="3"/>
  <c r="H2427" i="3"/>
  <c r="G2427" i="3"/>
  <c r="F2427" i="3"/>
  <c r="E2427" i="3"/>
  <c r="C2427" i="3"/>
  <c r="B2427" i="3"/>
  <c r="A2427" i="3"/>
  <c r="H2426" i="3"/>
  <c r="G2426" i="3"/>
  <c r="F2426" i="3"/>
  <c r="E2426" i="3"/>
  <c r="C2426" i="3"/>
  <c r="B2426" i="3"/>
  <c r="A2426" i="3"/>
  <c r="H2425" i="3"/>
  <c r="G2425" i="3"/>
  <c r="F2425" i="3"/>
  <c r="E2425" i="3"/>
  <c r="C2425" i="3"/>
  <c r="B2425" i="3"/>
  <c r="A2425" i="3"/>
  <c r="H2424" i="3"/>
  <c r="G2424" i="3"/>
  <c r="F2424" i="3"/>
  <c r="E2424" i="3"/>
  <c r="C2424" i="3"/>
  <c r="B2424" i="3"/>
  <c r="A2424" i="3"/>
  <c r="H2423" i="3"/>
  <c r="G2423" i="3"/>
  <c r="F2423" i="3"/>
  <c r="E2423" i="3"/>
  <c r="C2423" i="3"/>
  <c r="B2423" i="3"/>
  <c r="A2423" i="3"/>
  <c r="H2422" i="3"/>
  <c r="G2422" i="3"/>
  <c r="F2422" i="3"/>
  <c r="E2422" i="3"/>
  <c r="C2422" i="3"/>
  <c r="B2422" i="3"/>
  <c r="A2422" i="3"/>
  <c r="H2421" i="3"/>
  <c r="G2421" i="3"/>
  <c r="F2421" i="3"/>
  <c r="E2421" i="3"/>
  <c r="C2421" i="3"/>
  <c r="B2421" i="3"/>
  <c r="A2421" i="3"/>
  <c r="H2420" i="3"/>
  <c r="G2420" i="3"/>
  <c r="F2420" i="3"/>
  <c r="E2420" i="3"/>
  <c r="B2420" i="3"/>
  <c r="A2420" i="3"/>
  <c r="H2419" i="3"/>
  <c r="G2419" i="3"/>
  <c r="F2419" i="3"/>
  <c r="E2419" i="3"/>
  <c r="B2419" i="3"/>
  <c r="A2419" i="3"/>
  <c r="H2418" i="3"/>
  <c r="G2418" i="3"/>
  <c r="F2418" i="3"/>
  <c r="E2418" i="3"/>
  <c r="C2418" i="3"/>
  <c r="B2418" i="3"/>
  <c r="A2418" i="3"/>
  <c r="H2417" i="3"/>
  <c r="G2417" i="3"/>
  <c r="F2417" i="3"/>
  <c r="E2417" i="3"/>
  <c r="C2417" i="3"/>
  <c r="B2417" i="3"/>
  <c r="A2417" i="3"/>
  <c r="H2416" i="3"/>
  <c r="G2416" i="3"/>
  <c r="F2416" i="3"/>
  <c r="E2416" i="3"/>
  <c r="C2416" i="3"/>
  <c r="B2416" i="3"/>
  <c r="A2416" i="3"/>
  <c r="H2415" i="3"/>
  <c r="G2415" i="3"/>
  <c r="F2415" i="3"/>
  <c r="E2415" i="3"/>
  <c r="C2415" i="3"/>
  <c r="B2415" i="3"/>
  <c r="A2415" i="3"/>
  <c r="H2414" i="3"/>
  <c r="G2414" i="3"/>
  <c r="F2414" i="3"/>
  <c r="E2414" i="3"/>
  <c r="C2414" i="3"/>
  <c r="A2414" i="3"/>
  <c r="H2413" i="3"/>
  <c r="G2413" i="3"/>
  <c r="F2413" i="3"/>
  <c r="E2413" i="3"/>
  <c r="C2413" i="3"/>
  <c r="B2413" i="3"/>
  <c r="A2413" i="3"/>
  <c r="H2412" i="3"/>
  <c r="G2412" i="3"/>
  <c r="F2412" i="3"/>
  <c r="E2412" i="3"/>
  <c r="D2412" i="3"/>
  <c r="C2412" i="3"/>
  <c r="B2412" i="3"/>
  <c r="A2412" i="3"/>
  <c r="H2411" i="3"/>
  <c r="G2411" i="3"/>
  <c r="F2411" i="3"/>
  <c r="E2411" i="3"/>
  <c r="D2411" i="3"/>
  <c r="C2411" i="3"/>
  <c r="B2411" i="3"/>
  <c r="A2411" i="3"/>
  <c r="H2410" i="3"/>
  <c r="G2410" i="3"/>
  <c r="F2410" i="3"/>
  <c r="E2410" i="3"/>
  <c r="C2410" i="3"/>
  <c r="B2410" i="3"/>
  <c r="A2410" i="3"/>
  <c r="H2409" i="3"/>
  <c r="G2409" i="3"/>
  <c r="F2409" i="3"/>
  <c r="E2409" i="3"/>
  <c r="D2409" i="3"/>
  <c r="C2409" i="3"/>
  <c r="B2409" i="3"/>
  <c r="A2409" i="3"/>
  <c r="H2408" i="3"/>
  <c r="G2408" i="3"/>
  <c r="F2408" i="3"/>
  <c r="E2408" i="3"/>
  <c r="C2408" i="3"/>
  <c r="B2408" i="3"/>
  <c r="A2408" i="3"/>
  <c r="H2407" i="3"/>
  <c r="G2407" i="3"/>
  <c r="F2407" i="3"/>
  <c r="E2407" i="3"/>
  <c r="C2407" i="3"/>
  <c r="B2407" i="3"/>
  <c r="A2407" i="3"/>
  <c r="H2406" i="3"/>
  <c r="G2406" i="3"/>
  <c r="F2406" i="3"/>
  <c r="E2406" i="3"/>
  <c r="C2406" i="3"/>
  <c r="B2406" i="3"/>
  <c r="A2406" i="3"/>
  <c r="H2405" i="3"/>
  <c r="G2405" i="3"/>
  <c r="F2405" i="3"/>
  <c r="E2405" i="3"/>
  <c r="D2405" i="3"/>
  <c r="C2405" i="3"/>
  <c r="B2405" i="3"/>
  <c r="A2405" i="3"/>
  <c r="H2404" i="3"/>
  <c r="G2404" i="3"/>
  <c r="F2404" i="3"/>
  <c r="E2404" i="3"/>
  <c r="A2404" i="3"/>
  <c r="H2403" i="3"/>
  <c r="G2403" i="3"/>
  <c r="F2403" i="3"/>
  <c r="E2403" i="3"/>
  <c r="C2403" i="3"/>
  <c r="B2403" i="3"/>
  <c r="A2403" i="3"/>
  <c r="H2402" i="3"/>
  <c r="G2402" i="3"/>
  <c r="F2402" i="3"/>
  <c r="E2402" i="3"/>
  <c r="C2402" i="3"/>
  <c r="B2402" i="3"/>
  <c r="A2402" i="3"/>
  <c r="H2401" i="3"/>
  <c r="G2401" i="3"/>
  <c r="F2401" i="3"/>
  <c r="E2401" i="3"/>
  <c r="D2401" i="3"/>
  <c r="C2401" i="3"/>
  <c r="B2401" i="3"/>
  <c r="A2401" i="3"/>
  <c r="H2400" i="3"/>
  <c r="G2400" i="3"/>
  <c r="F2400" i="3"/>
  <c r="E2400" i="3"/>
  <c r="D2400" i="3"/>
  <c r="C2400" i="3"/>
  <c r="B2400" i="3"/>
  <c r="A2400" i="3"/>
  <c r="H2399" i="3"/>
  <c r="G2399" i="3"/>
  <c r="F2399" i="3"/>
  <c r="E2399" i="3"/>
  <c r="C2399" i="3"/>
  <c r="B2399" i="3"/>
  <c r="A2399" i="3"/>
  <c r="H2398" i="3"/>
  <c r="G2398" i="3"/>
  <c r="F2398" i="3"/>
  <c r="E2398" i="3"/>
  <c r="C2398" i="3"/>
  <c r="B2398" i="3"/>
  <c r="A2398" i="3"/>
  <c r="H2397" i="3"/>
  <c r="G2397" i="3"/>
  <c r="F2397" i="3"/>
  <c r="E2397" i="3"/>
  <c r="D2397" i="3"/>
  <c r="C2397" i="3"/>
  <c r="B2397" i="3"/>
  <c r="A2397" i="3"/>
  <c r="H2396" i="3"/>
  <c r="G2396" i="3"/>
  <c r="F2396" i="3"/>
  <c r="E2396" i="3"/>
  <c r="D2396" i="3"/>
  <c r="C2396" i="3"/>
  <c r="B2396" i="3"/>
  <c r="A2396" i="3"/>
  <c r="H2395" i="3"/>
  <c r="G2395" i="3"/>
  <c r="F2395" i="3"/>
  <c r="E2395" i="3"/>
  <c r="D2395" i="3"/>
  <c r="C2395" i="3"/>
  <c r="B2395" i="3"/>
  <c r="A2395" i="3"/>
  <c r="H2394" i="3"/>
  <c r="G2394" i="3"/>
  <c r="F2394" i="3"/>
  <c r="E2394" i="3"/>
  <c r="C2394" i="3"/>
  <c r="B2394" i="3"/>
  <c r="A2394" i="3"/>
  <c r="H2393" i="3"/>
  <c r="G2393" i="3"/>
  <c r="F2393" i="3"/>
  <c r="E2393" i="3"/>
  <c r="C2393" i="3"/>
  <c r="B2393" i="3"/>
  <c r="A2393" i="3"/>
  <c r="H2392" i="3"/>
  <c r="G2392" i="3"/>
  <c r="F2392" i="3"/>
  <c r="E2392" i="3"/>
  <c r="A2392" i="3"/>
  <c r="H2391" i="3"/>
  <c r="G2391" i="3"/>
  <c r="F2391" i="3"/>
  <c r="E2391" i="3"/>
  <c r="C2391" i="3"/>
  <c r="B2391" i="3"/>
  <c r="A2391" i="3"/>
  <c r="H2390" i="3"/>
  <c r="G2390" i="3"/>
  <c r="F2390" i="3"/>
  <c r="E2390" i="3"/>
  <c r="C2390" i="3"/>
  <c r="B2390" i="3"/>
  <c r="A2390" i="3"/>
  <c r="H2389" i="3"/>
  <c r="G2389" i="3"/>
  <c r="F2389" i="3"/>
  <c r="E2389" i="3"/>
  <c r="C2389" i="3"/>
  <c r="B2389" i="3"/>
  <c r="A2389" i="3"/>
  <c r="H2388" i="3"/>
  <c r="G2388" i="3"/>
  <c r="F2388" i="3"/>
  <c r="E2388" i="3"/>
  <c r="C2388" i="3"/>
  <c r="B2388" i="3"/>
  <c r="A2388" i="3"/>
  <c r="H2387" i="3"/>
  <c r="G2387" i="3"/>
  <c r="F2387" i="3"/>
  <c r="E2387" i="3"/>
  <c r="D2387" i="3"/>
  <c r="C2387" i="3"/>
  <c r="B2387" i="3"/>
  <c r="A2387" i="3"/>
  <c r="H2386" i="3"/>
  <c r="G2386" i="3"/>
  <c r="F2386" i="3"/>
  <c r="E2386" i="3"/>
  <c r="D2386" i="3"/>
  <c r="C2386" i="3"/>
  <c r="B2386" i="3"/>
  <c r="A2386" i="3"/>
  <c r="H2385" i="3"/>
  <c r="G2385" i="3"/>
  <c r="F2385" i="3"/>
  <c r="E2385" i="3"/>
  <c r="C2385" i="3"/>
  <c r="B2385" i="3"/>
  <c r="A2385" i="3"/>
  <c r="H2384" i="3"/>
  <c r="G2384" i="3"/>
  <c r="F2384" i="3"/>
  <c r="E2384" i="3"/>
  <c r="C2384" i="3"/>
  <c r="B2384" i="3"/>
  <c r="A2384" i="3"/>
  <c r="H2383" i="3"/>
  <c r="G2383" i="3"/>
  <c r="F2383" i="3"/>
  <c r="E2383" i="3"/>
  <c r="C2383" i="3"/>
  <c r="B2383" i="3"/>
  <c r="A2383" i="3"/>
  <c r="H2382" i="3"/>
  <c r="G2382" i="3"/>
  <c r="F2382" i="3"/>
  <c r="E2382" i="3"/>
  <c r="C2382" i="3"/>
  <c r="B2382" i="3"/>
  <c r="A2382" i="3"/>
  <c r="H2381" i="3"/>
  <c r="G2381" i="3"/>
  <c r="F2381" i="3"/>
  <c r="E2381" i="3"/>
  <c r="C2381" i="3"/>
  <c r="B2381" i="3"/>
  <c r="A2381" i="3"/>
  <c r="H2380" i="3"/>
  <c r="G2380" i="3"/>
  <c r="F2380" i="3"/>
  <c r="E2380" i="3"/>
  <c r="C2380" i="3"/>
  <c r="B2380" i="3"/>
  <c r="A2380" i="3"/>
  <c r="H2379" i="3"/>
  <c r="G2379" i="3"/>
  <c r="F2379" i="3"/>
  <c r="E2379" i="3"/>
  <c r="C2379" i="3"/>
  <c r="B2379" i="3"/>
  <c r="A2379" i="3"/>
  <c r="H2378" i="3"/>
  <c r="G2378" i="3"/>
  <c r="F2378" i="3"/>
  <c r="E2378" i="3"/>
  <c r="C2378" i="3"/>
  <c r="B2378" i="3"/>
  <c r="A2378" i="3"/>
  <c r="H2377" i="3"/>
  <c r="G2377" i="3"/>
  <c r="F2377" i="3"/>
  <c r="E2377" i="3"/>
  <c r="D2377" i="3"/>
  <c r="C2377" i="3"/>
  <c r="B2377" i="3"/>
  <c r="A2377" i="3"/>
  <c r="H2376" i="3"/>
  <c r="G2376" i="3"/>
  <c r="F2376" i="3"/>
  <c r="E2376" i="3"/>
  <c r="C2376" i="3"/>
  <c r="B2376" i="3"/>
  <c r="A2376" i="3"/>
  <c r="H2375" i="3"/>
  <c r="G2375" i="3"/>
  <c r="F2375" i="3"/>
  <c r="E2375" i="3"/>
  <c r="C2375" i="3"/>
  <c r="B2375" i="3"/>
  <c r="A2375" i="3"/>
  <c r="H2374" i="3"/>
  <c r="G2374" i="3"/>
  <c r="F2374" i="3"/>
  <c r="E2374" i="3"/>
  <c r="C2374" i="3"/>
  <c r="B2374" i="3"/>
  <c r="A2374" i="3"/>
  <c r="H2373" i="3"/>
  <c r="G2373" i="3"/>
  <c r="F2373" i="3"/>
  <c r="E2373" i="3"/>
  <c r="C2373" i="3"/>
  <c r="B2373" i="3"/>
  <c r="A2373" i="3"/>
  <c r="H2372" i="3"/>
  <c r="G2372" i="3"/>
  <c r="F2372" i="3"/>
  <c r="E2372" i="3"/>
  <c r="C2372" i="3"/>
  <c r="B2372" i="3"/>
  <c r="A2372" i="3"/>
  <c r="H2371" i="3"/>
  <c r="G2371" i="3"/>
  <c r="F2371" i="3"/>
  <c r="E2371" i="3"/>
  <c r="C2371" i="3"/>
  <c r="B2371" i="3"/>
  <c r="A2371" i="3"/>
  <c r="H2370" i="3"/>
  <c r="G2370" i="3"/>
  <c r="F2370" i="3"/>
  <c r="E2370" i="3"/>
  <c r="C2370" i="3"/>
  <c r="B2370" i="3"/>
  <c r="A2370" i="3"/>
  <c r="H2369" i="3"/>
  <c r="G2369" i="3"/>
  <c r="F2369" i="3"/>
  <c r="E2369" i="3"/>
  <c r="D2369" i="3"/>
  <c r="C2369" i="3"/>
  <c r="B2369" i="3"/>
  <c r="A2369" i="3"/>
  <c r="H2368" i="3"/>
  <c r="G2368" i="3"/>
  <c r="F2368" i="3"/>
  <c r="E2368" i="3"/>
  <c r="C2368" i="3"/>
  <c r="B2368" i="3"/>
  <c r="A2368" i="3"/>
  <c r="H2367" i="3"/>
  <c r="G2367" i="3"/>
  <c r="F2367" i="3"/>
  <c r="E2367" i="3"/>
  <c r="C2367" i="3"/>
  <c r="B2367" i="3"/>
  <c r="A2367" i="3"/>
  <c r="H2366" i="3"/>
  <c r="G2366" i="3"/>
  <c r="F2366" i="3"/>
  <c r="E2366" i="3"/>
  <c r="D2366" i="3"/>
  <c r="C2366" i="3"/>
  <c r="B2366" i="3"/>
  <c r="A2366" i="3"/>
  <c r="H2365" i="3"/>
  <c r="G2365" i="3"/>
  <c r="F2365" i="3"/>
  <c r="E2365" i="3"/>
  <c r="C2365" i="3"/>
  <c r="B2365" i="3"/>
  <c r="A2365" i="3"/>
  <c r="H2364" i="3"/>
  <c r="G2364" i="3"/>
  <c r="F2364" i="3"/>
  <c r="E2364" i="3"/>
  <c r="C2364" i="3"/>
  <c r="B2364" i="3"/>
  <c r="A2364" i="3"/>
  <c r="H2363" i="3"/>
  <c r="G2363" i="3"/>
  <c r="F2363" i="3"/>
  <c r="E2363" i="3"/>
  <c r="C2363" i="3"/>
  <c r="B2363" i="3"/>
  <c r="A2363" i="3"/>
  <c r="H2362" i="3"/>
  <c r="G2362" i="3"/>
  <c r="F2362" i="3"/>
  <c r="E2362" i="3"/>
  <c r="C2362" i="3"/>
  <c r="B2362" i="3"/>
  <c r="A2362" i="3"/>
  <c r="H2361" i="3"/>
  <c r="G2361" i="3"/>
  <c r="F2361" i="3"/>
  <c r="E2361" i="3"/>
  <c r="C2361" i="3"/>
  <c r="B2361" i="3"/>
  <c r="A2361" i="3"/>
  <c r="H2360" i="3"/>
  <c r="G2360" i="3"/>
  <c r="F2360" i="3"/>
  <c r="E2360" i="3"/>
  <c r="C2360" i="3"/>
  <c r="B2360" i="3"/>
  <c r="A2360" i="3"/>
  <c r="H2359" i="3"/>
  <c r="G2359" i="3"/>
  <c r="F2359" i="3"/>
  <c r="E2359" i="3"/>
  <c r="C2359" i="3"/>
  <c r="B2359" i="3"/>
  <c r="A2359" i="3"/>
  <c r="H2358" i="3"/>
  <c r="G2358" i="3"/>
  <c r="F2358" i="3"/>
  <c r="E2358" i="3"/>
  <c r="C2358" i="3"/>
  <c r="B2358" i="3"/>
  <c r="A2358" i="3"/>
  <c r="H2357" i="3"/>
  <c r="G2357" i="3"/>
  <c r="F2357" i="3"/>
  <c r="E2357" i="3"/>
  <c r="C2357" i="3"/>
  <c r="B2357" i="3"/>
  <c r="A2357" i="3"/>
  <c r="H2356" i="3"/>
  <c r="G2356" i="3"/>
  <c r="F2356" i="3"/>
  <c r="E2356" i="3"/>
  <c r="D2356" i="3"/>
  <c r="C2356" i="3"/>
  <c r="B2356" i="3"/>
  <c r="A2356" i="3"/>
  <c r="H2355" i="3"/>
  <c r="G2355" i="3"/>
  <c r="F2355" i="3"/>
  <c r="E2355" i="3"/>
  <c r="C2355" i="3"/>
  <c r="B2355" i="3"/>
  <c r="A2355" i="3"/>
  <c r="H2354" i="3"/>
  <c r="G2354" i="3"/>
  <c r="F2354" i="3"/>
  <c r="E2354" i="3"/>
  <c r="C2354" i="3"/>
  <c r="B2354" i="3"/>
  <c r="A2354" i="3"/>
  <c r="H2353" i="3"/>
  <c r="G2353" i="3"/>
  <c r="F2353" i="3"/>
  <c r="E2353" i="3"/>
  <c r="C2353" i="3"/>
  <c r="B2353" i="3"/>
  <c r="A2353" i="3"/>
  <c r="H2352" i="3"/>
  <c r="G2352" i="3"/>
  <c r="F2352" i="3"/>
  <c r="E2352" i="3"/>
  <c r="C2352" i="3"/>
  <c r="B2352" i="3"/>
  <c r="A2352" i="3"/>
  <c r="H2351" i="3"/>
  <c r="G2351" i="3"/>
  <c r="F2351" i="3"/>
  <c r="E2351" i="3"/>
  <c r="C2351" i="3"/>
  <c r="B2351" i="3"/>
  <c r="A2351" i="3"/>
  <c r="H2350" i="3"/>
  <c r="G2350" i="3"/>
  <c r="F2350" i="3"/>
  <c r="E2350" i="3"/>
  <c r="C2350" i="3"/>
  <c r="B2350" i="3"/>
  <c r="A2350" i="3"/>
  <c r="H2349" i="3"/>
  <c r="G2349" i="3"/>
  <c r="F2349" i="3"/>
  <c r="E2349" i="3"/>
  <c r="A2349" i="3"/>
  <c r="H2348" i="3"/>
  <c r="G2348" i="3"/>
  <c r="F2348" i="3"/>
  <c r="E2348" i="3"/>
  <c r="C2348" i="3"/>
  <c r="B2348" i="3"/>
  <c r="A2348" i="3"/>
  <c r="H2347" i="3"/>
  <c r="G2347" i="3"/>
  <c r="F2347" i="3"/>
  <c r="E2347" i="3"/>
  <c r="C2347" i="3"/>
  <c r="A2347" i="3"/>
  <c r="H2346" i="3"/>
  <c r="G2346" i="3"/>
  <c r="F2346" i="3"/>
  <c r="E2346" i="3"/>
  <c r="C2346" i="3"/>
  <c r="B2346" i="3"/>
  <c r="A2346" i="3"/>
  <c r="H2345" i="3"/>
  <c r="G2345" i="3"/>
  <c r="F2345" i="3"/>
  <c r="E2345" i="3"/>
  <c r="C2345" i="3"/>
  <c r="B2345" i="3"/>
  <c r="A2345" i="3"/>
  <c r="H2344" i="3"/>
  <c r="G2344" i="3"/>
  <c r="F2344" i="3"/>
  <c r="E2344" i="3"/>
  <c r="B2344" i="3"/>
  <c r="A2344" i="3"/>
  <c r="H2343" i="3"/>
  <c r="G2343" i="3"/>
  <c r="F2343" i="3"/>
  <c r="E2343" i="3"/>
  <c r="C2343" i="3"/>
  <c r="B2343" i="3"/>
  <c r="A2343" i="3"/>
  <c r="H2342" i="3"/>
  <c r="G2342" i="3"/>
  <c r="F2342" i="3"/>
  <c r="E2342" i="3"/>
  <c r="C2342" i="3"/>
  <c r="A2342" i="3"/>
  <c r="H2341" i="3"/>
  <c r="G2341" i="3"/>
  <c r="F2341" i="3"/>
  <c r="E2341" i="3"/>
  <c r="C2341" i="3"/>
  <c r="B2341" i="3"/>
  <c r="A2341" i="3"/>
  <c r="H2340" i="3"/>
  <c r="G2340" i="3"/>
  <c r="F2340" i="3"/>
  <c r="E2340" i="3"/>
  <c r="C2340" i="3"/>
  <c r="B2340" i="3"/>
  <c r="A2340" i="3"/>
  <c r="H2339" i="3"/>
  <c r="G2339" i="3"/>
  <c r="F2339" i="3"/>
  <c r="E2339" i="3"/>
  <c r="C2339" i="3"/>
  <c r="A2339" i="3"/>
  <c r="H2338" i="3"/>
  <c r="G2338" i="3"/>
  <c r="F2338" i="3"/>
  <c r="E2338" i="3"/>
  <c r="D2338" i="3"/>
  <c r="C2338" i="3"/>
  <c r="B2338" i="3"/>
  <c r="A2338" i="3"/>
  <c r="H2337" i="3"/>
  <c r="G2337" i="3"/>
  <c r="F2337" i="3"/>
  <c r="E2337" i="3"/>
  <c r="C2337" i="3"/>
  <c r="B2337" i="3"/>
  <c r="A2337" i="3"/>
  <c r="H2336" i="3"/>
  <c r="G2336" i="3"/>
  <c r="F2336" i="3"/>
  <c r="E2336" i="3"/>
  <c r="C2336" i="3"/>
  <c r="B2336" i="3"/>
  <c r="A2336" i="3"/>
  <c r="H2335" i="3"/>
  <c r="G2335" i="3"/>
  <c r="F2335" i="3"/>
  <c r="E2335" i="3"/>
  <c r="C2335" i="3"/>
  <c r="B2335" i="3"/>
  <c r="A2335" i="3"/>
  <c r="H2334" i="3"/>
  <c r="G2334" i="3"/>
  <c r="F2334" i="3"/>
  <c r="E2334" i="3"/>
  <c r="C2334" i="3"/>
  <c r="B2334" i="3"/>
  <c r="A2334" i="3"/>
  <c r="H2333" i="3"/>
  <c r="G2333" i="3"/>
  <c r="F2333" i="3"/>
  <c r="E2333" i="3"/>
  <c r="D2333" i="3"/>
  <c r="C2333" i="3"/>
  <c r="B2333" i="3"/>
  <c r="A2333" i="3"/>
  <c r="H2332" i="3"/>
  <c r="G2332" i="3"/>
  <c r="F2332" i="3"/>
  <c r="E2332" i="3"/>
  <c r="D2332" i="3"/>
  <c r="C2332" i="3"/>
  <c r="B2332" i="3"/>
  <c r="A2332" i="3"/>
  <c r="H2331" i="3"/>
  <c r="G2331" i="3"/>
  <c r="F2331" i="3"/>
  <c r="E2331" i="3"/>
  <c r="C2331" i="3"/>
  <c r="B2331" i="3"/>
  <c r="A2331" i="3"/>
  <c r="H2330" i="3"/>
  <c r="G2330" i="3"/>
  <c r="F2330" i="3"/>
  <c r="E2330" i="3"/>
  <c r="D2330" i="3"/>
  <c r="C2330" i="3"/>
  <c r="B2330" i="3"/>
  <c r="A2330" i="3"/>
  <c r="H2329" i="3"/>
  <c r="G2329" i="3"/>
  <c r="F2329" i="3"/>
  <c r="E2329" i="3"/>
  <c r="C2329" i="3"/>
  <c r="B2329" i="3"/>
  <c r="A2329" i="3"/>
  <c r="H2328" i="3"/>
  <c r="G2328" i="3"/>
  <c r="F2328" i="3"/>
  <c r="E2328" i="3"/>
  <c r="C2328" i="3"/>
  <c r="B2328" i="3"/>
  <c r="A2328" i="3"/>
  <c r="H2327" i="3"/>
  <c r="G2327" i="3"/>
  <c r="F2327" i="3"/>
  <c r="E2327" i="3"/>
  <c r="C2327" i="3"/>
  <c r="B2327" i="3"/>
  <c r="A2327" i="3"/>
  <c r="H2326" i="3"/>
  <c r="G2326" i="3"/>
  <c r="F2326" i="3"/>
  <c r="E2326" i="3"/>
  <c r="C2326" i="3"/>
  <c r="B2326" i="3"/>
  <c r="A2326" i="3"/>
  <c r="H2325" i="3"/>
  <c r="G2325" i="3"/>
  <c r="F2325" i="3"/>
  <c r="E2325" i="3"/>
  <c r="C2325" i="3"/>
  <c r="B2325" i="3"/>
  <c r="A2325" i="3"/>
  <c r="H2324" i="3"/>
  <c r="G2324" i="3"/>
  <c r="F2324" i="3"/>
  <c r="E2324" i="3"/>
  <c r="C2324" i="3"/>
  <c r="B2324" i="3"/>
  <c r="A2324" i="3"/>
  <c r="H2323" i="3"/>
  <c r="G2323" i="3"/>
  <c r="F2323" i="3"/>
  <c r="E2323" i="3"/>
  <c r="C2323" i="3"/>
  <c r="B2323" i="3"/>
  <c r="A2323" i="3"/>
  <c r="H2322" i="3"/>
  <c r="G2322" i="3"/>
  <c r="F2322" i="3"/>
  <c r="E2322" i="3"/>
  <c r="C2322" i="3"/>
  <c r="B2322" i="3"/>
  <c r="A2322" i="3"/>
  <c r="H2321" i="3"/>
  <c r="G2321" i="3"/>
  <c r="F2321" i="3"/>
  <c r="E2321" i="3"/>
  <c r="C2321" i="3"/>
  <c r="B2321" i="3"/>
  <c r="A2321" i="3"/>
  <c r="H2320" i="3"/>
  <c r="G2320" i="3"/>
  <c r="F2320" i="3"/>
  <c r="E2320" i="3"/>
  <c r="C2320" i="3"/>
  <c r="B2320" i="3"/>
  <c r="A2320" i="3"/>
  <c r="H2319" i="3"/>
  <c r="G2319" i="3"/>
  <c r="F2319" i="3"/>
  <c r="E2319" i="3"/>
  <c r="C2319" i="3"/>
  <c r="B2319" i="3"/>
  <c r="A2319" i="3"/>
  <c r="H2318" i="3"/>
  <c r="G2318" i="3"/>
  <c r="F2318" i="3"/>
  <c r="E2318" i="3"/>
  <c r="C2318" i="3"/>
  <c r="B2318" i="3"/>
  <c r="A2318" i="3"/>
  <c r="H2317" i="3"/>
  <c r="G2317" i="3"/>
  <c r="F2317" i="3"/>
  <c r="E2317" i="3"/>
  <c r="D2317" i="3"/>
  <c r="C2317" i="3"/>
  <c r="B2317" i="3"/>
  <c r="A2317" i="3"/>
  <c r="H2316" i="3"/>
  <c r="G2316" i="3"/>
  <c r="F2316" i="3"/>
  <c r="E2316" i="3"/>
  <c r="C2316" i="3"/>
  <c r="B2316" i="3"/>
  <c r="A2316" i="3"/>
  <c r="H2315" i="3"/>
  <c r="G2315" i="3"/>
  <c r="F2315" i="3"/>
  <c r="E2315" i="3"/>
  <c r="C2315" i="3"/>
  <c r="A2315" i="3"/>
  <c r="H2314" i="3"/>
  <c r="G2314" i="3"/>
  <c r="F2314" i="3"/>
  <c r="E2314" i="3"/>
  <c r="C2314" i="3"/>
  <c r="B2314" i="3"/>
  <c r="A2314" i="3"/>
  <c r="H2313" i="3"/>
  <c r="G2313" i="3"/>
  <c r="F2313" i="3"/>
  <c r="E2313" i="3"/>
  <c r="C2313" i="3"/>
  <c r="B2313" i="3"/>
  <c r="A2313" i="3"/>
  <c r="H2312" i="3"/>
  <c r="G2312" i="3"/>
  <c r="F2312" i="3"/>
  <c r="E2312" i="3"/>
  <c r="C2312" i="3"/>
  <c r="A2312" i="3"/>
  <c r="H2311" i="3"/>
  <c r="G2311" i="3"/>
  <c r="F2311" i="3"/>
  <c r="E2311" i="3"/>
  <c r="C2311" i="3"/>
  <c r="B2311" i="3"/>
  <c r="A2311" i="3"/>
  <c r="H2310" i="3"/>
  <c r="G2310" i="3"/>
  <c r="F2310" i="3"/>
  <c r="E2310" i="3"/>
  <c r="C2310" i="3"/>
  <c r="B2310" i="3"/>
  <c r="A2310" i="3"/>
  <c r="H2309" i="3"/>
  <c r="G2309" i="3"/>
  <c r="F2309" i="3"/>
  <c r="E2309" i="3"/>
  <c r="C2309" i="3"/>
  <c r="B2309" i="3"/>
  <c r="A2309" i="3"/>
  <c r="H2308" i="3"/>
  <c r="G2308" i="3"/>
  <c r="F2308" i="3"/>
  <c r="E2308" i="3"/>
  <c r="C2308" i="3"/>
  <c r="B2308" i="3"/>
  <c r="A2308" i="3"/>
  <c r="H2307" i="3"/>
  <c r="G2307" i="3"/>
  <c r="F2307" i="3"/>
  <c r="E2307" i="3"/>
  <c r="D2307" i="3"/>
  <c r="C2307" i="3"/>
  <c r="B2307" i="3"/>
  <c r="A2307" i="3"/>
  <c r="H2306" i="3"/>
  <c r="G2306" i="3"/>
  <c r="F2306" i="3"/>
  <c r="E2306" i="3"/>
  <c r="C2306" i="3"/>
  <c r="B2306" i="3"/>
  <c r="A2306" i="3"/>
  <c r="H2305" i="3"/>
  <c r="G2305" i="3"/>
  <c r="F2305" i="3"/>
  <c r="E2305" i="3"/>
  <c r="C2305" i="3"/>
  <c r="B2305" i="3"/>
  <c r="A2305" i="3"/>
  <c r="H2304" i="3"/>
  <c r="G2304" i="3"/>
  <c r="F2304" i="3"/>
  <c r="E2304" i="3"/>
  <c r="C2304" i="3"/>
  <c r="B2304" i="3"/>
  <c r="A2304" i="3"/>
  <c r="H2303" i="3"/>
  <c r="G2303" i="3"/>
  <c r="F2303" i="3"/>
  <c r="E2303" i="3"/>
  <c r="C2303" i="3"/>
  <c r="B2303" i="3"/>
  <c r="A2303" i="3"/>
  <c r="H2302" i="3"/>
  <c r="G2302" i="3"/>
  <c r="F2302" i="3"/>
  <c r="E2302" i="3"/>
  <c r="D2302" i="3"/>
  <c r="C2302" i="3"/>
  <c r="B2302" i="3"/>
  <c r="A2302" i="3"/>
  <c r="H2301" i="3"/>
  <c r="G2301" i="3"/>
  <c r="F2301" i="3"/>
  <c r="E2301" i="3"/>
  <c r="C2301" i="3"/>
  <c r="B2301" i="3"/>
  <c r="A2301" i="3"/>
  <c r="H2300" i="3"/>
  <c r="G2300" i="3"/>
  <c r="F2300" i="3"/>
  <c r="E2300" i="3"/>
  <c r="C2300" i="3"/>
  <c r="B2300" i="3"/>
  <c r="A2300" i="3"/>
  <c r="H2299" i="3"/>
  <c r="G2299" i="3"/>
  <c r="F2299" i="3"/>
  <c r="E2299" i="3"/>
  <c r="C2299" i="3"/>
  <c r="A2299" i="3"/>
  <c r="H2298" i="3"/>
  <c r="G2298" i="3"/>
  <c r="F2298" i="3"/>
  <c r="E2298" i="3"/>
  <c r="C2298" i="3"/>
  <c r="B2298" i="3"/>
  <c r="A2298" i="3"/>
  <c r="H2297" i="3"/>
  <c r="G2297" i="3"/>
  <c r="F2297" i="3"/>
  <c r="E2297" i="3"/>
  <c r="C2297" i="3"/>
  <c r="B2297" i="3"/>
  <c r="A2297" i="3"/>
  <c r="H2296" i="3"/>
  <c r="G2296" i="3"/>
  <c r="F2296" i="3"/>
  <c r="E2296" i="3"/>
  <c r="C2296" i="3"/>
  <c r="B2296" i="3"/>
  <c r="A2296" i="3"/>
  <c r="H2295" i="3"/>
  <c r="G2295" i="3"/>
  <c r="F2295" i="3"/>
  <c r="E2295" i="3"/>
  <c r="D2295" i="3"/>
  <c r="C2295" i="3"/>
  <c r="B2295" i="3"/>
  <c r="A2295" i="3"/>
  <c r="H2294" i="3"/>
  <c r="G2294" i="3"/>
  <c r="F2294" i="3"/>
  <c r="E2294" i="3"/>
  <c r="C2294" i="3"/>
  <c r="B2294" i="3"/>
  <c r="A2294" i="3"/>
  <c r="H2293" i="3"/>
  <c r="G2293" i="3"/>
  <c r="F2293" i="3"/>
  <c r="E2293" i="3"/>
  <c r="C2293" i="3"/>
  <c r="B2293" i="3"/>
  <c r="A2293" i="3"/>
  <c r="H2292" i="3"/>
  <c r="G2292" i="3"/>
  <c r="F2292" i="3"/>
  <c r="E2292" i="3"/>
  <c r="C2292" i="3"/>
  <c r="A2292" i="3"/>
  <c r="H2291" i="3"/>
  <c r="G2291" i="3"/>
  <c r="F2291" i="3"/>
  <c r="E2291" i="3"/>
  <c r="C2291" i="3"/>
  <c r="B2291" i="3"/>
  <c r="A2291" i="3"/>
  <c r="H2290" i="3"/>
  <c r="G2290" i="3"/>
  <c r="F2290" i="3"/>
  <c r="E2290" i="3"/>
  <c r="C2290" i="3"/>
  <c r="B2290" i="3"/>
  <c r="A2290" i="3"/>
  <c r="H2289" i="3"/>
  <c r="G2289" i="3"/>
  <c r="F2289" i="3"/>
  <c r="E2289" i="3"/>
  <c r="D2289" i="3"/>
  <c r="C2289" i="3"/>
  <c r="B2289" i="3"/>
  <c r="A2289" i="3"/>
  <c r="H2288" i="3"/>
  <c r="G2288" i="3"/>
  <c r="F2288" i="3"/>
  <c r="E2288" i="3"/>
  <c r="D2288" i="3"/>
  <c r="C2288" i="3"/>
  <c r="B2288" i="3"/>
  <c r="A2288" i="3"/>
  <c r="H2287" i="3"/>
  <c r="G2287" i="3"/>
  <c r="F2287" i="3"/>
  <c r="E2287" i="3"/>
  <c r="B2287" i="3"/>
  <c r="A2287" i="3"/>
  <c r="H2286" i="3"/>
  <c r="G2286" i="3"/>
  <c r="F2286" i="3"/>
  <c r="E2286" i="3"/>
  <c r="C2286" i="3"/>
  <c r="B2286" i="3"/>
  <c r="A2286" i="3"/>
  <c r="H2285" i="3"/>
  <c r="G2285" i="3"/>
  <c r="F2285" i="3"/>
  <c r="E2285" i="3"/>
  <c r="C2285" i="3"/>
  <c r="B2285" i="3"/>
  <c r="A2285" i="3"/>
  <c r="H2284" i="3"/>
  <c r="G2284" i="3"/>
  <c r="F2284" i="3"/>
  <c r="E2284" i="3"/>
  <c r="C2284" i="3"/>
  <c r="B2284" i="3"/>
  <c r="A2284" i="3"/>
  <c r="H2283" i="3"/>
  <c r="G2283" i="3"/>
  <c r="F2283" i="3"/>
  <c r="E2283" i="3"/>
  <c r="C2283" i="3"/>
  <c r="B2283" i="3"/>
  <c r="A2283" i="3"/>
  <c r="H2282" i="3"/>
  <c r="G2282" i="3"/>
  <c r="F2282" i="3"/>
  <c r="E2282" i="3"/>
  <c r="C2282" i="3"/>
  <c r="B2282" i="3"/>
  <c r="A2282" i="3"/>
  <c r="H2281" i="3"/>
  <c r="G2281" i="3"/>
  <c r="F2281" i="3"/>
  <c r="E2281" i="3"/>
  <c r="C2281" i="3"/>
  <c r="B2281" i="3"/>
  <c r="A2281" i="3"/>
  <c r="H2280" i="3"/>
  <c r="G2280" i="3"/>
  <c r="F2280" i="3"/>
  <c r="E2280" i="3"/>
  <c r="C2280" i="3"/>
  <c r="B2280" i="3"/>
  <c r="A2280" i="3"/>
  <c r="H2279" i="3"/>
  <c r="G2279" i="3"/>
  <c r="F2279" i="3"/>
  <c r="E2279" i="3"/>
  <c r="C2279" i="3"/>
  <c r="A2279" i="3"/>
  <c r="H2278" i="3"/>
  <c r="G2278" i="3"/>
  <c r="F2278" i="3"/>
  <c r="E2278" i="3"/>
  <c r="A2278" i="3"/>
  <c r="H2277" i="3"/>
  <c r="G2277" i="3"/>
  <c r="F2277" i="3"/>
  <c r="E2277" i="3"/>
  <c r="D2277" i="3"/>
  <c r="C2277" i="3"/>
  <c r="B2277" i="3"/>
  <c r="A2277" i="3"/>
  <c r="H2276" i="3"/>
  <c r="G2276" i="3"/>
  <c r="F2276" i="3"/>
  <c r="E2276" i="3"/>
  <c r="C2276" i="3"/>
  <c r="A2276" i="3"/>
  <c r="H2275" i="3"/>
  <c r="G2275" i="3"/>
  <c r="F2275" i="3"/>
  <c r="E2275" i="3"/>
  <c r="D2275" i="3"/>
  <c r="C2275" i="3"/>
  <c r="B2275" i="3"/>
  <c r="A2275" i="3"/>
  <c r="H2274" i="3"/>
  <c r="G2274" i="3"/>
  <c r="F2274" i="3"/>
  <c r="E2274" i="3"/>
  <c r="C2274" i="3"/>
  <c r="B2274" i="3"/>
  <c r="A2274" i="3"/>
  <c r="H2273" i="3"/>
  <c r="G2273" i="3"/>
  <c r="F2273" i="3"/>
  <c r="E2273" i="3"/>
  <c r="D2273" i="3"/>
  <c r="C2273" i="3"/>
  <c r="B2273" i="3"/>
  <c r="A2273" i="3"/>
  <c r="H2272" i="3"/>
  <c r="G2272" i="3"/>
  <c r="F2272" i="3"/>
  <c r="E2272" i="3"/>
  <c r="C2272" i="3"/>
  <c r="B2272" i="3"/>
  <c r="A2272" i="3"/>
  <c r="H2271" i="3"/>
  <c r="G2271" i="3"/>
  <c r="F2271" i="3"/>
  <c r="E2271" i="3"/>
  <c r="D2271" i="3"/>
  <c r="C2271" i="3"/>
  <c r="B2271" i="3"/>
  <c r="A2271" i="3"/>
  <c r="H2270" i="3"/>
  <c r="G2270" i="3"/>
  <c r="F2270" i="3"/>
  <c r="E2270" i="3"/>
  <c r="C2270" i="3"/>
  <c r="B2270" i="3"/>
  <c r="A2270" i="3"/>
  <c r="H2269" i="3"/>
  <c r="G2269" i="3"/>
  <c r="F2269" i="3"/>
  <c r="E2269" i="3"/>
  <c r="C2269" i="3"/>
  <c r="B2269" i="3"/>
  <c r="A2269" i="3"/>
  <c r="H2268" i="3"/>
  <c r="G2268" i="3"/>
  <c r="F2268" i="3"/>
  <c r="E2268" i="3"/>
  <c r="D2268" i="3"/>
  <c r="C2268" i="3"/>
  <c r="B2268" i="3"/>
  <c r="A2268" i="3"/>
  <c r="H2267" i="3"/>
  <c r="G2267" i="3"/>
  <c r="F2267" i="3"/>
  <c r="E2267" i="3"/>
  <c r="D2267" i="3"/>
  <c r="C2267" i="3"/>
  <c r="B2267" i="3"/>
  <c r="A2267" i="3"/>
  <c r="H2266" i="3"/>
  <c r="G2266" i="3"/>
  <c r="F2266" i="3"/>
  <c r="E2266" i="3"/>
  <c r="D2266" i="3"/>
  <c r="C2266" i="3"/>
  <c r="B2266" i="3"/>
  <c r="A2266" i="3"/>
  <c r="H2265" i="3"/>
  <c r="G2265" i="3"/>
  <c r="F2265" i="3"/>
  <c r="E2265" i="3"/>
  <c r="C2265" i="3"/>
  <c r="B2265" i="3"/>
  <c r="A2265" i="3"/>
  <c r="H2264" i="3"/>
  <c r="G2264" i="3"/>
  <c r="F2264" i="3"/>
  <c r="E2264" i="3"/>
  <c r="C2264" i="3"/>
  <c r="B2264" i="3"/>
  <c r="A2264" i="3"/>
  <c r="H2263" i="3"/>
  <c r="G2263" i="3"/>
  <c r="F2263" i="3"/>
  <c r="E2263" i="3"/>
  <c r="C2263" i="3"/>
  <c r="B2263" i="3"/>
  <c r="A2263" i="3"/>
  <c r="H2262" i="3"/>
  <c r="G2262" i="3"/>
  <c r="F2262" i="3"/>
  <c r="E2262" i="3"/>
  <c r="C2262" i="3"/>
  <c r="B2262" i="3"/>
  <c r="A2262" i="3"/>
  <c r="H2261" i="3"/>
  <c r="G2261" i="3"/>
  <c r="F2261" i="3"/>
  <c r="E2261" i="3"/>
  <c r="C2261" i="3"/>
  <c r="B2261" i="3"/>
  <c r="A2261" i="3"/>
  <c r="H2260" i="3"/>
  <c r="G2260" i="3"/>
  <c r="F2260" i="3"/>
  <c r="E2260" i="3"/>
  <c r="C2260" i="3"/>
  <c r="B2260" i="3"/>
  <c r="A2260" i="3"/>
  <c r="H2259" i="3"/>
  <c r="G2259" i="3"/>
  <c r="F2259" i="3"/>
  <c r="E2259" i="3"/>
  <c r="C2259" i="3"/>
  <c r="B2259" i="3"/>
  <c r="A2259" i="3"/>
  <c r="H2258" i="3"/>
  <c r="G2258" i="3"/>
  <c r="F2258" i="3"/>
  <c r="E2258" i="3"/>
  <c r="C2258" i="3"/>
  <c r="B2258" i="3"/>
  <c r="A2258" i="3"/>
  <c r="H2257" i="3"/>
  <c r="G2257" i="3"/>
  <c r="F2257" i="3"/>
  <c r="E2257" i="3"/>
  <c r="C2257" i="3"/>
  <c r="B2257" i="3"/>
  <c r="A2257" i="3"/>
  <c r="H2256" i="3"/>
  <c r="G2256" i="3"/>
  <c r="F2256" i="3"/>
  <c r="E2256" i="3"/>
  <c r="C2256" i="3"/>
  <c r="B2256" i="3"/>
  <c r="A2256" i="3"/>
  <c r="H2255" i="3"/>
  <c r="G2255" i="3"/>
  <c r="F2255" i="3"/>
  <c r="E2255" i="3"/>
  <c r="C2255" i="3"/>
  <c r="B2255" i="3"/>
  <c r="A2255" i="3"/>
  <c r="H2254" i="3"/>
  <c r="G2254" i="3"/>
  <c r="F2254" i="3"/>
  <c r="E2254" i="3"/>
  <c r="C2254" i="3"/>
  <c r="B2254" i="3"/>
  <c r="A2254" i="3"/>
  <c r="H2253" i="3"/>
  <c r="G2253" i="3"/>
  <c r="F2253" i="3"/>
  <c r="E2253" i="3"/>
  <c r="C2253" i="3"/>
  <c r="B2253" i="3"/>
  <c r="A2253" i="3"/>
  <c r="H2252" i="3"/>
  <c r="G2252" i="3"/>
  <c r="F2252" i="3"/>
  <c r="E2252" i="3"/>
  <c r="A2252" i="3"/>
  <c r="H2251" i="3"/>
  <c r="G2251" i="3"/>
  <c r="F2251" i="3"/>
  <c r="E2251" i="3"/>
  <c r="B2251" i="3"/>
  <c r="A2251" i="3"/>
  <c r="H2250" i="3"/>
  <c r="G2250" i="3"/>
  <c r="F2250" i="3"/>
  <c r="E2250" i="3"/>
  <c r="C2250" i="3"/>
  <c r="B2250" i="3"/>
  <c r="A2250" i="3"/>
  <c r="H2249" i="3"/>
  <c r="G2249" i="3"/>
  <c r="F2249" i="3"/>
  <c r="E2249" i="3"/>
  <c r="C2249" i="3"/>
  <c r="B2249" i="3"/>
  <c r="A2249" i="3"/>
  <c r="H2248" i="3"/>
  <c r="G2248" i="3"/>
  <c r="F2248" i="3"/>
  <c r="E2248" i="3"/>
  <c r="D2248" i="3"/>
  <c r="C2248" i="3"/>
  <c r="B2248" i="3"/>
  <c r="A2248" i="3"/>
  <c r="H2247" i="3"/>
  <c r="G2247" i="3"/>
  <c r="F2247" i="3"/>
  <c r="E2247" i="3"/>
  <c r="C2247" i="3"/>
  <c r="B2247" i="3"/>
  <c r="A2247" i="3"/>
  <c r="H2246" i="3"/>
  <c r="G2246" i="3"/>
  <c r="F2246" i="3"/>
  <c r="E2246" i="3"/>
  <c r="C2246" i="3"/>
  <c r="B2246" i="3"/>
  <c r="A2246" i="3"/>
  <c r="H2245" i="3"/>
  <c r="G2245" i="3"/>
  <c r="F2245" i="3"/>
  <c r="E2245" i="3"/>
  <c r="C2245" i="3"/>
  <c r="B2245" i="3"/>
  <c r="A2245" i="3"/>
  <c r="H2244" i="3"/>
  <c r="G2244" i="3"/>
  <c r="F2244" i="3"/>
  <c r="E2244" i="3"/>
  <c r="C2244" i="3"/>
  <c r="B2244" i="3"/>
  <c r="A2244" i="3"/>
  <c r="H2243" i="3"/>
  <c r="G2243" i="3"/>
  <c r="F2243" i="3"/>
  <c r="E2243" i="3"/>
  <c r="C2243" i="3"/>
  <c r="B2243" i="3"/>
  <c r="A2243" i="3"/>
  <c r="H2242" i="3"/>
  <c r="G2242" i="3"/>
  <c r="F2242" i="3"/>
  <c r="E2242" i="3"/>
  <c r="C2242" i="3"/>
  <c r="B2242" i="3"/>
  <c r="A2242" i="3"/>
  <c r="H2241" i="3"/>
  <c r="G2241" i="3"/>
  <c r="F2241" i="3"/>
  <c r="E2241" i="3"/>
  <c r="C2241" i="3"/>
  <c r="B2241" i="3"/>
  <c r="A2241" i="3"/>
  <c r="H2240" i="3"/>
  <c r="G2240" i="3"/>
  <c r="F2240" i="3"/>
  <c r="E2240" i="3"/>
  <c r="C2240" i="3"/>
  <c r="B2240" i="3"/>
  <c r="A2240" i="3"/>
  <c r="H2239" i="3"/>
  <c r="G2239" i="3"/>
  <c r="F2239" i="3"/>
  <c r="E2239" i="3"/>
  <c r="C2239" i="3"/>
  <c r="B2239" i="3"/>
  <c r="A2239" i="3"/>
  <c r="H2238" i="3"/>
  <c r="G2238" i="3"/>
  <c r="F2238" i="3"/>
  <c r="E2238" i="3"/>
  <c r="C2238" i="3"/>
  <c r="B2238" i="3"/>
  <c r="A2238" i="3"/>
  <c r="H2237" i="3"/>
  <c r="G2237" i="3"/>
  <c r="F2237" i="3"/>
  <c r="E2237" i="3"/>
  <c r="C2237" i="3"/>
  <c r="B2237" i="3"/>
  <c r="A2237" i="3"/>
  <c r="H2236" i="3"/>
  <c r="G2236" i="3"/>
  <c r="F2236" i="3"/>
  <c r="E2236" i="3"/>
  <c r="B2236" i="3"/>
  <c r="A2236" i="3"/>
  <c r="H2235" i="3"/>
  <c r="G2235" i="3"/>
  <c r="F2235" i="3"/>
  <c r="E2235" i="3"/>
  <c r="D2235" i="3"/>
  <c r="C2235" i="3"/>
  <c r="B2235" i="3"/>
  <c r="A2235" i="3"/>
  <c r="H2234" i="3"/>
  <c r="G2234" i="3"/>
  <c r="F2234" i="3"/>
  <c r="E2234" i="3"/>
  <c r="D2234" i="3"/>
  <c r="C2234" i="3"/>
  <c r="B2234" i="3"/>
  <c r="A2234" i="3"/>
  <c r="H2233" i="3"/>
  <c r="G2233" i="3"/>
  <c r="F2233" i="3"/>
  <c r="E2233" i="3"/>
  <c r="C2233" i="3"/>
  <c r="B2233" i="3"/>
  <c r="A2233" i="3"/>
  <c r="H2232" i="3"/>
  <c r="G2232" i="3"/>
  <c r="F2232" i="3"/>
  <c r="E2232" i="3"/>
  <c r="C2232" i="3"/>
  <c r="B2232" i="3"/>
  <c r="A2232" i="3"/>
  <c r="H2231" i="3"/>
  <c r="G2231" i="3"/>
  <c r="F2231" i="3"/>
  <c r="E2231" i="3"/>
  <c r="C2231" i="3"/>
  <c r="B2231" i="3"/>
  <c r="A2231" i="3"/>
  <c r="H2230" i="3"/>
  <c r="G2230" i="3"/>
  <c r="F2230" i="3"/>
  <c r="E2230" i="3"/>
  <c r="C2230" i="3"/>
  <c r="B2230" i="3"/>
  <c r="A2230" i="3"/>
  <c r="H2229" i="3"/>
  <c r="G2229" i="3"/>
  <c r="F2229" i="3"/>
  <c r="E2229" i="3"/>
  <c r="C2229" i="3"/>
  <c r="B2229" i="3"/>
  <c r="A2229" i="3"/>
  <c r="H2228" i="3"/>
  <c r="G2228" i="3"/>
  <c r="F2228" i="3"/>
  <c r="E2228" i="3"/>
  <c r="C2228" i="3"/>
  <c r="B2228" i="3"/>
  <c r="A2228" i="3"/>
  <c r="H2227" i="3"/>
  <c r="G2227" i="3"/>
  <c r="F2227" i="3"/>
  <c r="E2227" i="3"/>
  <c r="C2227" i="3"/>
  <c r="B2227" i="3"/>
  <c r="A2227" i="3"/>
  <c r="H2226" i="3"/>
  <c r="G2226" i="3"/>
  <c r="F2226" i="3"/>
  <c r="E2226" i="3"/>
  <c r="C2226" i="3"/>
  <c r="B2226" i="3"/>
  <c r="A2226" i="3"/>
  <c r="H2225" i="3"/>
  <c r="G2225" i="3"/>
  <c r="F2225" i="3"/>
  <c r="E2225" i="3"/>
  <c r="C2225" i="3"/>
  <c r="B2225" i="3"/>
  <c r="A2225" i="3"/>
  <c r="H2224" i="3"/>
  <c r="G2224" i="3"/>
  <c r="F2224" i="3"/>
  <c r="E2224" i="3"/>
  <c r="C2224" i="3"/>
  <c r="B2224" i="3"/>
  <c r="A2224" i="3"/>
  <c r="H2223" i="3"/>
  <c r="G2223" i="3"/>
  <c r="F2223" i="3"/>
  <c r="E2223" i="3"/>
  <c r="C2223" i="3"/>
  <c r="B2223" i="3"/>
  <c r="A2223" i="3"/>
  <c r="H2222" i="3"/>
  <c r="G2222" i="3"/>
  <c r="F2222" i="3"/>
  <c r="E2222" i="3"/>
  <c r="D2222" i="3"/>
  <c r="C2222" i="3"/>
  <c r="B2222" i="3"/>
  <c r="A2222" i="3"/>
  <c r="H2221" i="3"/>
  <c r="G2221" i="3"/>
  <c r="F2221" i="3"/>
  <c r="E2221" i="3"/>
  <c r="C2221" i="3"/>
  <c r="B2221" i="3"/>
  <c r="A2221" i="3"/>
  <c r="H2220" i="3"/>
  <c r="G2220" i="3"/>
  <c r="F2220" i="3"/>
  <c r="E2220" i="3"/>
  <c r="C2220" i="3"/>
  <c r="B2220" i="3"/>
  <c r="A2220" i="3"/>
  <c r="H2219" i="3"/>
  <c r="G2219" i="3"/>
  <c r="F2219" i="3"/>
  <c r="E2219" i="3"/>
  <c r="D2219" i="3"/>
  <c r="C2219" i="3"/>
  <c r="B2219" i="3"/>
  <c r="A2219" i="3"/>
  <c r="H2218" i="3"/>
  <c r="G2218" i="3"/>
  <c r="F2218" i="3"/>
  <c r="E2218" i="3"/>
  <c r="C2218" i="3"/>
  <c r="B2218" i="3"/>
  <c r="A2218" i="3"/>
  <c r="H2217" i="3"/>
  <c r="G2217" i="3"/>
  <c r="F2217" i="3"/>
  <c r="E2217" i="3"/>
  <c r="C2217" i="3"/>
  <c r="B2217" i="3"/>
  <c r="A2217" i="3"/>
  <c r="H2216" i="3"/>
  <c r="G2216" i="3"/>
  <c r="F2216" i="3"/>
  <c r="E2216" i="3"/>
  <c r="C2216" i="3"/>
  <c r="B2216" i="3"/>
  <c r="A2216" i="3"/>
  <c r="H2215" i="3"/>
  <c r="G2215" i="3"/>
  <c r="F2215" i="3"/>
  <c r="E2215" i="3"/>
  <c r="C2215" i="3"/>
  <c r="B2215" i="3"/>
  <c r="A2215" i="3"/>
  <c r="H2214" i="3"/>
  <c r="G2214" i="3"/>
  <c r="F2214" i="3"/>
  <c r="E2214" i="3"/>
  <c r="C2214" i="3"/>
  <c r="B2214" i="3"/>
  <c r="A2214" i="3"/>
  <c r="H2213" i="3"/>
  <c r="G2213" i="3"/>
  <c r="F2213" i="3"/>
  <c r="E2213" i="3"/>
  <c r="D2213" i="3"/>
  <c r="C2213" i="3"/>
  <c r="B2213" i="3"/>
  <c r="A2213" i="3"/>
  <c r="H2212" i="3"/>
  <c r="G2212" i="3"/>
  <c r="F2212" i="3"/>
  <c r="E2212" i="3"/>
  <c r="C2212" i="3"/>
  <c r="B2212" i="3"/>
  <c r="A2212" i="3"/>
  <c r="H2211" i="3"/>
  <c r="G2211" i="3"/>
  <c r="F2211" i="3"/>
  <c r="E2211" i="3"/>
  <c r="D2211" i="3"/>
  <c r="C2211" i="3"/>
  <c r="B2211" i="3"/>
  <c r="A2211" i="3"/>
  <c r="H2210" i="3"/>
  <c r="G2210" i="3"/>
  <c r="F2210" i="3"/>
  <c r="E2210" i="3"/>
  <c r="C2210" i="3"/>
  <c r="B2210" i="3"/>
  <c r="A2210" i="3"/>
  <c r="H2209" i="3"/>
  <c r="G2209" i="3"/>
  <c r="F2209" i="3"/>
  <c r="E2209" i="3"/>
  <c r="C2209" i="3"/>
  <c r="B2209" i="3"/>
  <c r="A2209" i="3"/>
  <c r="H2208" i="3"/>
  <c r="G2208" i="3"/>
  <c r="F2208" i="3"/>
  <c r="E2208" i="3"/>
  <c r="C2208" i="3"/>
  <c r="B2208" i="3"/>
  <c r="A2208" i="3"/>
  <c r="H2207" i="3"/>
  <c r="G2207" i="3"/>
  <c r="F2207" i="3"/>
  <c r="E2207" i="3"/>
  <c r="C2207" i="3"/>
  <c r="B2207" i="3"/>
  <c r="A2207" i="3"/>
  <c r="H2206" i="3"/>
  <c r="G2206" i="3"/>
  <c r="F2206" i="3"/>
  <c r="C2206" i="3"/>
  <c r="A2206" i="3"/>
  <c r="H2205" i="3"/>
  <c r="G2205" i="3"/>
  <c r="F2205" i="3"/>
  <c r="E2205" i="3"/>
  <c r="C2205" i="3"/>
  <c r="A2205" i="3"/>
  <c r="H2204" i="3"/>
  <c r="G2204" i="3"/>
  <c r="F2204" i="3"/>
  <c r="E2204" i="3"/>
  <c r="C2204" i="3"/>
  <c r="B2204" i="3"/>
  <c r="A2204" i="3"/>
  <c r="H2203" i="3"/>
  <c r="G2203" i="3"/>
  <c r="F2203" i="3"/>
  <c r="E2203" i="3"/>
  <c r="C2203" i="3"/>
  <c r="B2203" i="3"/>
  <c r="A2203" i="3"/>
  <c r="H2202" i="3"/>
  <c r="G2202" i="3"/>
  <c r="F2202" i="3"/>
  <c r="E2202" i="3"/>
  <c r="C2202" i="3"/>
  <c r="B2202" i="3"/>
  <c r="A2202" i="3"/>
  <c r="H2201" i="3"/>
  <c r="G2201" i="3"/>
  <c r="F2201" i="3"/>
  <c r="E2201" i="3"/>
  <c r="C2201" i="3"/>
  <c r="B2201" i="3"/>
  <c r="A2201" i="3"/>
  <c r="H2200" i="3"/>
  <c r="G2200" i="3"/>
  <c r="F2200" i="3"/>
  <c r="E2200" i="3"/>
  <c r="C2200" i="3"/>
  <c r="B2200" i="3"/>
  <c r="A2200" i="3"/>
  <c r="H2199" i="3"/>
  <c r="G2199" i="3"/>
  <c r="F2199" i="3"/>
  <c r="E2199" i="3"/>
  <c r="D2199" i="3"/>
  <c r="C2199" i="3"/>
  <c r="B2199" i="3"/>
  <c r="A2199" i="3"/>
  <c r="H2198" i="3"/>
  <c r="G2198" i="3"/>
  <c r="F2198" i="3"/>
  <c r="E2198" i="3"/>
  <c r="C2198" i="3"/>
  <c r="B2198" i="3"/>
  <c r="A2198" i="3"/>
  <c r="H2197" i="3"/>
  <c r="G2197" i="3"/>
  <c r="F2197" i="3"/>
  <c r="E2197" i="3"/>
  <c r="C2197" i="3"/>
  <c r="B2197" i="3"/>
  <c r="A2197" i="3"/>
  <c r="H2196" i="3"/>
  <c r="G2196" i="3"/>
  <c r="F2196" i="3"/>
  <c r="E2196" i="3"/>
  <c r="C2196" i="3"/>
  <c r="B2196" i="3"/>
  <c r="A2196" i="3"/>
  <c r="H2195" i="3"/>
  <c r="G2195" i="3"/>
  <c r="F2195" i="3"/>
  <c r="E2195" i="3"/>
  <c r="C2195" i="3"/>
  <c r="B2195" i="3"/>
  <c r="A2195" i="3"/>
  <c r="H2194" i="3"/>
  <c r="G2194" i="3"/>
  <c r="F2194" i="3"/>
  <c r="E2194" i="3"/>
  <c r="C2194" i="3"/>
  <c r="B2194" i="3"/>
  <c r="A2194" i="3"/>
  <c r="H2193" i="3"/>
  <c r="G2193" i="3"/>
  <c r="F2193" i="3"/>
  <c r="E2193" i="3"/>
  <c r="C2193" i="3"/>
  <c r="B2193" i="3"/>
  <c r="A2193" i="3"/>
  <c r="H2192" i="3"/>
  <c r="G2192" i="3"/>
  <c r="F2192" i="3"/>
  <c r="E2192" i="3"/>
  <c r="C2192" i="3"/>
  <c r="B2192" i="3"/>
  <c r="A2192" i="3"/>
  <c r="H2191" i="3"/>
  <c r="G2191" i="3"/>
  <c r="F2191" i="3"/>
  <c r="E2191" i="3"/>
  <c r="D2191" i="3"/>
  <c r="C2191" i="3"/>
  <c r="B2191" i="3"/>
  <c r="A2191" i="3"/>
  <c r="H2190" i="3"/>
  <c r="G2190" i="3"/>
  <c r="F2190" i="3"/>
  <c r="E2190" i="3"/>
  <c r="D2190" i="3"/>
  <c r="C2190" i="3"/>
  <c r="B2190" i="3"/>
  <c r="A2190" i="3"/>
  <c r="H2189" i="3"/>
  <c r="G2189" i="3"/>
  <c r="F2189" i="3"/>
  <c r="E2189" i="3"/>
  <c r="C2189" i="3"/>
  <c r="B2189" i="3"/>
  <c r="A2189" i="3"/>
  <c r="H2188" i="3"/>
  <c r="G2188" i="3"/>
  <c r="F2188" i="3"/>
  <c r="E2188" i="3"/>
  <c r="C2188" i="3"/>
  <c r="B2188" i="3"/>
  <c r="A2188" i="3"/>
  <c r="H2187" i="3"/>
  <c r="G2187" i="3"/>
  <c r="F2187" i="3"/>
  <c r="E2187" i="3"/>
  <c r="A2187" i="3"/>
  <c r="H2186" i="3"/>
  <c r="G2186" i="3"/>
  <c r="F2186" i="3"/>
  <c r="E2186" i="3"/>
  <c r="C2186" i="3"/>
  <c r="B2186" i="3"/>
  <c r="A2186" i="3"/>
  <c r="H2185" i="3"/>
  <c r="G2185" i="3"/>
  <c r="F2185" i="3"/>
  <c r="E2185" i="3"/>
  <c r="C2185" i="3"/>
  <c r="B2185" i="3"/>
  <c r="A2185" i="3"/>
  <c r="H2184" i="3"/>
  <c r="G2184" i="3"/>
  <c r="F2184" i="3"/>
  <c r="E2184" i="3"/>
  <c r="C2184" i="3"/>
  <c r="B2184" i="3"/>
  <c r="A2184" i="3"/>
  <c r="H2183" i="3"/>
  <c r="G2183" i="3"/>
  <c r="F2183" i="3"/>
  <c r="E2183" i="3"/>
  <c r="D2183" i="3"/>
  <c r="C2183" i="3"/>
  <c r="B2183" i="3"/>
  <c r="A2183" i="3"/>
  <c r="H2182" i="3"/>
  <c r="G2182" i="3"/>
  <c r="F2182" i="3"/>
  <c r="E2182" i="3"/>
  <c r="C2182" i="3"/>
  <c r="B2182" i="3"/>
  <c r="A2182" i="3"/>
  <c r="H2181" i="3"/>
  <c r="G2181" i="3"/>
  <c r="F2181" i="3"/>
  <c r="E2181" i="3"/>
  <c r="C2181" i="3"/>
  <c r="B2181" i="3"/>
  <c r="A2181" i="3"/>
  <c r="H2180" i="3"/>
  <c r="G2180" i="3"/>
  <c r="F2180" i="3"/>
  <c r="E2180" i="3"/>
  <c r="C2180" i="3"/>
  <c r="B2180" i="3"/>
  <c r="A2180" i="3"/>
  <c r="H2179" i="3"/>
  <c r="G2179" i="3"/>
  <c r="F2179" i="3"/>
  <c r="E2179" i="3"/>
  <c r="C2179" i="3"/>
  <c r="B2179" i="3"/>
  <c r="A2179" i="3"/>
  <c r="H2178" i="3"/>
  <c r="G2178" i="3"/>
  <c r="F2178" i="3"/>
  <c r="E2178" i="3"/>
  <c r="C2178" i="3"/>
  <c r="B2178" i="3"/>
  <c r="A2178" i="3"/>
  <c r="H2177" i="3"/>
  <c r="G2177" i="3"/>
  <c r="F2177" i="3"/>
  <c r="E2177" i="3"/>
  <c r="D2177" i="3"/>
  <c r="C2177" i="3"/>
  <c r="B2177" i="3"/>
  <c r="A2177" i="3"/>
  <c r="H2176" i="3"/>
  <c r="G2176" i="3"/>
  <c r="F2176" i="3"/>
  <c r="E2176" i="3"/>
  <c r="C2176" i="3"/>
  <c r="B2176" i="3"/>
  <c r="A2176" i="3"/>
  <c r="H2175" i="3"/>
  <c r="G2175" i="3"/>
  <c r="F2175" i="3"/>
  <c r="E2175" i="3"/>
  <c r="C2175" i="3"/>
  <c r="B2175" i="3"/>
  <c r="A2175" i="3"/>
  <c r="H2174" i="3"/>
  <c r="G2174" i="3"/>
  <c r="F2174" i="3"/>
  <c r="E2174" i="3"/>
  <c r="C2174" i="3"/>
  <c r="B2174" i="3"/>
  <c r="A2174" i="3"/>
  <c r="H2173" i="3"/>
  <c r="G2173" i="3"/>
  <c r="F2173" i="3"/>
  <c r="E2173" i="3"/>
  <c r="C2173" i="3"/>
  <c r="B2173" i="3"/>
  <c r="A2173" i="3"/>
  <c r="H2172" i="3"/>
  <c r="G2172" i="3"/>
  <c r="F2172" i="3"/>
  <c r="E2172" i="3"/>
  <c r="C2172" i="3"/>
  <c r="B2172" i="3"/>
  <c r="A2172" i="3"/>
  <c r="H2171" i="3"/>
  <c r="G2171" i="3"/>
  <c r="F2171" i="3"/>
  <c r="E2171" i="3"/>
  <c r="A2171" i="3"/>
  <c r="H2170" i="3"/>
  <c r="G2170" i="3"/>
  <c r="F2170" i="3"/>
  <c r="E2170" i="3"/>
  <c r="C2170" i="3"/>
  <c r="B2170" i="3"/>
  <c r="A2170" i="3"/>
  <c r="H2169" i="3"/>
  <c r="G2169" i="3"/>
  <c r="F2169" i="3"/>
  <c r="E2169" i="3"/>
  <c r="C2169" i="3"/>
  <c r="B2169" i="3"/>
  <c r="A2169" i="3"/>
  <c r="H2168" i="3"/>
  <c r="G2168" i="3"/>
  <c r="F2168" i="3"/>
  <c r="E2168" i="3"/>
  <c r="C2168" i="3"/>
  <c r="B2168" i="3"/>
  <c r="A2168" i="3"/>
  <c r="H2167" i="3"/>
  <c r="G2167" i="3"/>
  <c r="F2167" i="3"/>
  <c r="E2167" i="3"/>
  <c r="C2167" i="3"/>
  <c r="B2167" i="3"/>
  <c r="A2167" i="3"/>
  <c r="H2166" i="3"/>
  <c r="G2166" i="3"/>
  <c r="F2166" i="3"/>
  <c r="E2166" i="3"/>
  <c r="C2166" i="3"/>
  <c r="B2166" i="3"/>
  <c r="A2166" i="3"/>
  <c r="H2165" i="3"/>
  <c r="G2165" i="3"/>
  <c r="F2165" i="3"/>
  <c r="E2165" i="3"/>
  <c r="D2165" i="3"/>
  <c r="C2165" i="3"/>
  <c r="B2165" i="3"/>
  <c r="A2165" i="3"/>
  <c r="H2164" i="3"/>
  <c r="G2164" i="3"/>
  <c r="F2164" i="3"/>
  <c r="E2164" i="3"/>
  <c r="D2164" i="3"/>
  <c r="C2164" i="3"/>
  <c r="B2164" i="3"/>
  <c r="A2164" i="3"/>
  <c r="H2163" i="3"/>
  <c r="G2163" i="3"/>
  <c r="F2163" i="3"/>
  <c r="E2163" i="3"/>
  <c r="A2163" i="3"/>
  <c r="H2162" i="3"/>
  <c r="G2162" i="3"/>
  <c r="F2162" i="3"/>
  <c r="E2162" i="3"/>
  <c r="A2162" i="3"/>
  <c r="H2161" i="3"/>
  <c r="G2161" i="3"/>
  <c r="F2161" i="3"/>
  <c r="E2161" i="3"/>
  <c r="C2161" i="3"/>
  <c r="B2161" i="3"/>
  <c r="A2161" i="3"/>
  <c r="H2160" i="3"/>
  <c r="G2160" i="3"/>
  <c r="F2160" i="3"/>
  <c r="E2160" i="3"/>
  <c r="C2160" i="3"/>
  <c r="B2160" i="3"/>
  <c r="A2160" i="3"/>
  <c r="H2159" i="3"/>
  <c r="G2159" i="3"/>
  <c r="F2159" i="3"/>
  <c r="E2159" i="3"/>
  <c r="C2159" i="3"/>
  <c r="B2159" i="3"/>
  <c r="A2159" i="3"/>
  <c r="H2158" i="3"/>
  <c r="G2158" i="3"/>
  <c r="F2158" i="3"/>
  <c r="E2158" i="3"/>
  <c r="C2158" i="3"/>
  <c r="B2158" i="3"/>
  <c r="A2158" i="3"/>
  <c r="H2157" i="3"/>
  <c r="G2157" i="3"/>
  <c r="F2157" i="3"/>
  <c r="E2157" i="3"/>
  <c r="C2157" i="3"/>
  <c r="B2157" i="3"/>
  <c r="A2157" i="3"/>
  <c r="H2156" i="3"/>
  <c r="G2156" i="3"/>
  <c r="F2156" i="3"/>
  <c r="E2156" i="3"/>
  <c r="C2156" i="3"/>
  <c r="B2156" i="3"/>
  <c r="A2156" i="3"/>
  <c r="H2155" i="3"/>
  <c r="G2155" i="3"/>
  <c r="F2155" i="3"/>
  <c r="E2155" i="3"/>
  <c r="C2155" i="3"/>
  <c r="B2155" i="3"/>
  <c r="A2155" i="3"/>
  <c r="H2154" i="3"/>
  <c r="G2154" i="3"/>
  <c r="F2154" i="3"/>
  <c r="E2154" i="3"/>
  <c r="D2154" i="3"/>
  <c r="C2154" i="3"/>
  <c r="B2154" i="3"/>
  <c r="A2154" i="3"/>
  <c r="H2153" i="3"/>
  <c r="G2153" i="3"/>
  <c r="F2153" i="3"/>
  <c r="E2153" i="3"/>
  <c r="D2153" i="3"/>
  <c r="C2153" i="3"/>
  <c r="B2153" i="3"/>
  <c r="A2153" i="3"/>
  <c r="H2152" i="3"/>
  <c r="G2152" i="3"/>
  <c r="F2152" i="3"/>
  <c r="E2152" i="3"/>
  <c r="C2152" i="3"/>
  <c r="B2152" i="3"/>
  <c r="A2152" i="3"/>
  <c r="H2151" i="3"/>
  <c r="G2151" i="3"/>
  <c r="F2151" i="3"/>
  <c r="E2151" i="3"/>
  <c r="D2151" i="3"/>
  <c r="C2151" i="3"/>
  <c r="B2151" i="3"/>
  <c r="A2151" i="3"/>
  <c r="H2150" i="3"/>
  <c r="G2150" i="3"/>
  <c r="F2150" i="3"/>
  <c r="E2150" i="3"/>
  <c r="C2150" i="3"/>
  <c r="B2150" i="3"/>
  <c r="A2150" i="3"/>
  <c r="H2149" i="3"/>
  <c r="G2149" i="3"/>
  <c r="F2149" i="3"/>
  <c r="E2149" i="3"/>
  <c r="C2149" i="3"/>
  <c r="B2149" i="3"/>
  <c r="A2149" i="3"/>
  <c r="H2148" i="3"/>
  <c r="G2148" i="3"/>
  <c r="F2148" i="3"/>
  <c r="E2148" i="3"/>
  <c r="C2148" i="3"/>
  <c r="B2148" i="3"/>
  <c r="A2148" i="3"/>
  <c r="H2147" i="3"/>
  <c r="G2147" i="3"/>
  <c r="F2147" i="3"/>
  <c r="E2147" i="3"/>
  <c r="C2147" i="3"/>
  <c r="B2147" i="3"/>
  <c r="A2147" i="3"/>
  <c r="H2146" i="3"/>
  <c r="G2146" i="3"/>
  <c r="F2146" i="3"/>
  <c r="E2146" i="3"/>
  <c r="C2146" i="3"/>
  <c r="B2146" i="3"/>
  <c r="A2146" i="3"/>
  <c r="H2145" i="3"/>
  <c r="G2145" i="3"/>
  <c r="F2145" i="3"/>
  <c r="E2145" i="3"/>
  <c r="C2145" i="3"/>
  <c r="B2145" i="3"/>
  <c r="A2145" i="3"/>
  <c r="H2144" i="3"/>
  <c r="G2144" i="3"/>
  <c r="F2144" i="3"/>
  <c r="E2144" i="3"/>
  <c r="C2144" i="3"/>
  <c r="B2144" i="3"/>
  <c r="A2144" i="3"/>
  <c r="H2143" i="3"/>
  <c r="G2143" i="3"/>
  <c r="F2143" i="3"/>
  <c r="E2143" i="3"/>
  <c r="C2143" i="3"/>
  <c r="B2143" i="3"/>
  <c r="A2143" i="3"/>
  <c r="H2142" i="3"/>
  <c r="G2142" i="3"/>
  <c r="F2142" i="3"/>
  <c r="E2142" i="3"/>
  <c r="C2142" i="3"/>
  <c r="A2142" i="3"/>
  <c r="H2141" i="3"/>
  <c r="G2141" i="3"/>
  <c r="F2141" i="3"/>
  <c r="E2141" i="3"/>
  <c r="C2141" i="3"/>
  <c r="B2141" i="3"/>
  <c r="A2141" i="3"/>
  <c r="H2140" i="3"/>
  <c r="G2140" i="3"/>
  <c r="F2140" i="3"/>
  <c r="E2140" i="3"/>
  <c r="C2140" i="3"/>
  <c r="B2140" i="3"/>
  <c r="A2140" i="3"/>
  <c r="H2139" i="3"/>
  <c r="G2139" i="3"/>
  <c r="F2139" i="3"/>
  <c r="E2139" i="3"/>
  <c r="C2139" i="3"/>
  <c r="B2139" i="3"/>
  <c r="A2139" i="3"/>
  <c r="H2138" i="3"/>
  <c r="G2138" i="3"/>
  <c r="F2138" i="3"/>
  <c r="E2138" i="3"/>
  <c r="C2138" i="3"/>
  <c r="B2138" i="3"/>
  <c r="A2138" i="3"/>
  <c r="H2137" i="3"/>
  <c r="G2137" i="3"/>
  <c r="F2137" i="3"/>
  <c r="E2137" i="3"/>
  <c r="C2137" i="3"/>
  <c r="B2137" i="3"/>
  <c r="A2137" i="3"/>
  <c r="H2136" i="3"/>
  <c r="G2136" i="3"/>
  <c r="F2136" i="3"/>
  <c r="E2136" i="3"/>
  <c r="D2136" i="3"/>
  <c r="C2136" i="3"/>
  <c r="B2136" i="3"/>
  <c r="A2136" i="3"/>
  <c r="H2135" i="3"/>
  <c r="G2135" i="3"/>
  <c r="F2135" i="3"/>
  <c r="E2135" i="3"/>
  <c r="C2135" i="3"/>
  <c r="B2135" i="3"/>
  <c r="A2135" i="3"/>
  <c r="H2134" i="3"/>
  <c r="G2134" i="3"/>
  <c r="F2134" i="3"/>
  <c r="E2134" i="3"/>
  <c r="D2134" i="3"/>
  <c r="C2134" i="3"/>
  <c r="B2134" i="3"/>
  <c r="A2134" i="3"/>
  <c r="H2133" i="3"/>
  <c r="G2133" i="3"/>
  <c r="F2133" i="3"/>
  <c r="E2133" i="3"/>
  <c r="D2133" i="3"/>
  <c r="C2133" i="3"/>
  <c r="B2133" i="3"/>
  <c r="A2133" i="3"/>
  <c r="H2132" i="3"/>
  <c r="G2132" i="3"/>
  <c r="F2132" i="3"/>
  <c r="E2132" i="3"/>
  <c r="C2132" i="3"/>
  <c r="B2132" i="3"/>
  <c r="A2132" i="3"/>
  <c r="H2131" i="3"/>
  <c r="G2131" i="3"/>
  <c r="F2131" i="3"/>
  <c r="E2131" i="3"/>
  <c r="D2131" i="3"/>
  <c r="C2131" i="3"/>
  <c r="B2131" i="3"/>
  <c r="A2131" i="3"/>
  <c r="H2130" i="3"/>
  <c r="G2130" i="3"/>
  <c r="F2130" i="3"/>
  <c r="E2130" i="3"/>
  <c r="C2130" i="3"/>
  <c r="B2130" i="3"/>
  <c r="A2130" i="3"/>
  <c r="H2129" i="3"/>
  <c r="G2129" i="3"/>
  <c r="F2129" i="3"/>
  <c r="E2129" i="3"/>
  <c r="D2129" i="3"/>
  <c r="C2129" i="3"/>
  <c r="B2129" i="3"/>
  <c r="A2129" i="3"/>
  <c r="H2128" i="3"/>
  <c r="G2128" i="3"/>
  <c r="F2128" i="3"/>
  <c r="E2128" i="3"/>
  <c r="C2128" i="3"/>
  <c r="B2128" i="3"/>
  <c r="A2128" i="3"/>
  <c r="H2127" i="3"/>
  <c r="G2127" i="3"/>
  <c r="F2127" i="3"/>
  <c r="E2127" i="3"/>
  <c r="D2127" i="3"/>
  <c r="C2127" i="3"/>
  <c r="B2127" i="3"/>
  <c r="A2127" i="3"/>
  <c r="H2126" i="3"/>
  <c r="G2126" i="3"/>
  <c r="F2126" i="3"/>
  <c r="E2126" i="3"/>
  <c r="C2126" i="3"/>
  <c r="B2126" i="3"/>
  <c r="A2126" i="3"/>
  <c r="H2125" i="3"/>
  <c r="G2125" i="3"/>
  <c r="F2125" i="3"/>
  <c r="E2125" i="3"/>
  <c r="D2125" i="3"/>
  <c r="C2125" i="3"/>
  <c r="B2125" i="3"/>
  <c r="A2125" i="3"/>
  <c r="H2124" i="3"/>
  <c r="G2124" i="3"/>
  <c r="F2124" i="3"/>
  <c r="E2124" i="3"/>
  <c r="A2124" i="3"/>
  <c r="H2123" i="3"/>
  <c r="G2123" i="3"/>
  <c r="F2123" i="3"/>
  <c r="E2123" i="3"/>
  <c r="C2123" i="3"/>
  <c r="B2123" i="3"/>
  <c r="A2123" i="3"/>
  <c r="H2122" i="3"/>
  <c r="G2122" i="3"/>
  <c r="F2122" i="3"/>
  <c r="E2122" i="3"/>
  <c r="C2122" i="3"/>
  <c r="A2122" i="3"/>
  <c r="H2121" i="3"/>
  <c r="G2121" i="3"/>
  <c r="F2121" i="3"/>
  <c r="E2121" i="3"/>
  <c r="C2121" i="3"/>
  <c r="B2121" i="3"/>
  <c r="A2121" i="3"/>
  <c r="H2120" i="3"/>
  <c r="G2120" i="3"/>
  <c r="F2120" i="3"/>
  <c r="E2120" i="3"/>
  <c r="D2120" i="3"/>
  <c r="C2120" i="3"/>
  <c r="A2120" i="3"/>
  <c r="H2119" i="3"/>
  <c r="G2119" i="3"/>
  <c r="F2119" i="3"/>
  <c r="E2119" i="3"/>
  <c r="C2119" i="3"/>
  <c r="A2119" i="3"/>
  <c r="H2118" i="3"/>
  <c r="G2118" i="3"/>
  <c r="F2118" i="3"/>
  <c r="E2118" i="3"/>
  <c r="D2118" i="3"/>
  <c r="C2118" i="3"/>
  <c r="B2118" i="3"/>
  <c r="A2118" i="3"/>
  <c r="H2117" i="3"/>
  <c r="G2117" i="3"/>
  <c r="F2117" i="3"/>
  <c r="E2117" i="3"/>
  <c r="D2117" i="3"/>
  <c r="C2117" i="3"/>
  <c r="B2117" i="3"/>
  <c r="A2117" i="3"/>
  <c r="H2116" i="3"/>
  <c r="G2116" i="3"/>
  <c r="F2116" i="3"/>
  <c r="E2116" i="3"/>
  <c r="D2116" i="3"/>
  <c r="C2116" i="3"/>
  <c r="B2116" i="3"/>
  <c r="A2116" i="3"/>
  <c r="H2115" i="3"/>
  <c r="G2115" i="3"/>
  <c r="F2115" i="3"/>
  <c r="E2115" i="3"/>
  <c r="A2115" i="3"/>
  <c r="H2114" i="3"/>
  <c r="G2114" i="3"/>
  <c r="F2114" i="3"/>
  <c r="E2114" i="3"/>
  <c r="A2114" i="3"/>
  <c r="H2113" i="3"/>
  <c r="G2113" i="3"/>
  <c r="F2113" i="3"/>
  <c r="E2113" i="3"/>
  <c r="D2113" i="3"/>
  <c r="C2113" i="3"/>
  <c r="B2113" i="3"/>
  <c r="A2113" i="3"/>
  <c r="H2112" i="3"/>
  <c r="G2112" i="3"/>
  <c r="F2112" i="3"/>
  <c r="E2112" i="3"/>
  <c r="A2112" i="3"/>
  <c r="H2111" i="3"/>
  <c r="G2111" i="3"/>
  <c r="F2111" i="3"/>
  <c r="E2111" i="3"/>
  <c r="A2111" i="3"/>
  <c r="H2110" i="3"/>
  <c r="G2110" i="3"/>
  <c r="F2110" i="3"/>
  <c r="E2110" i="3"/>
  <c r="D2110" i="3"/>
  <c r="C2110" i="3"/>
  <c r="B2110" i="3"/>
  <c r="A2110" i="3"/>
  <c r="H2109" i="3"/>
  <c r="G2109" i="3"/>
  <c r="F2109" i="3"/>
  <c r="E2109" i="3"/>
  <c r="C2109" i="3"/>
  <c r="B2109" i="3"/>
  <c r="A2109" i="3"/>
  <c r="H2108" i="3"/>
  <c r="G2108" i="3"/>
  <c r="F2108" i="3"/>
  <c r="E2108" i="3"/>
  <c r="D2108" i="3"/>
  <c r="C2108" i="3"/>
  <c r="A2108" i="3"/>
  <c r="H2107" i="3"/>
  <c r="G2107" i="3"/>
  <c r="F2107" i="3"/>
  <c r="E2107" i="3"/>
  <c r="D2107" i="3"/>
  <c r="C2107" i="3"/>
  <c r="B2107" i="3"/>
  <c r="A2107" i="3"/>
  <c r="H2106" i="3"/>
  <c r="G2106" i="3"/>
  <c r="F2106" i="3"/>
  <c r="E2106" i="3"/>
  <c r="C2106" i="3"/>
  <c r="B2106" i="3"/>
  <c r="A2106" i="3"/>
  <c r="H2105" i="3"/>
  <c r="G2105" i="3"/>
  <c r="F2105" i="3"/>
  <c r="E2105" i="3"/>
  <c r="D2105" i="3"/>
  <c r="C2105" i="3"/>
  <c r="B2105" i="3"/>
  <c r="A2105" i="3"/>
  <c r="H2104" i="3"/>
  <c r="G2104" i="3"/>
  <c r="F2104" i="3"/>
  <c r="E2104" i="3"/>
  <c r="C2104" i="3"/>
  <c r="B2104" i="3"/>
  <c r="A2104" i="3"/>
  <c r="H2103" i="3"/>
  <c r="G2103" i="3"/>
  <c r="F2103" i="3"/>
  <c r="E2103" i="3"/>
  <c r="C2103" i="3"/>
  <c r="B2103" i="3"/>
  <c r="A2103" i="3"/>
  <c r="H2102" i="3"/>
  <c r="G2102" i="3"/>
  <c r="F2102" i="3"/>
  <c r="E2102" i="3"/>
  <c r="C2102" i="3"/>
  <c r="B2102" i="3"/>
  <c r="A2102" i="3"/>
  <c r="H2101" i="3"/>
  <c r="G2101" i="3"/>
  <c r="F2101" i="3"/>
  <c r="E2101" i="3"/>
  <c r="C2101" i="3"/>
  <c r="B2101" i="3"/>
  <c r="A2101" i="3"/>
  <c r="H2100" i="3"/>
  <c r="G2100" i="3"/>
  <c r="F2100" i="3"/>
  <c r="E2100" i="3"/>
  <c r="C2100" i="3"/>
  <c r="B2100" i="3"/>
  <c r="A2100" i="3"/>
  <c r="H2099" i="3"/>
  <c r="G2099" i="3"/>
  <c r="F2099" i="3"/>
  <c r="E2099" i="3"/>
  <c r="D2099" i="3"/>
  <c r="C2099" i="3"/>
  <c r="B2099" i="3"/>
  <c r="A2099" i="3"/>
  <c r="H2098" i="3"/>
  <c r="G2098" i="3"/>
  <c r="F2098" i="3"/>
  <c r="E2098" i="3"/>
  <c r="C2098" i="3"/>
  <c r="B2098" i="3"/>
  <c r="A2098" i="3"/>
  <c r="H2097" i="3"/>
  <c r="G2097" i="3"/>
  <c r="F2097" i="3"/>
  <c r="E2097" i="3"/>
  <c r="C2097" i="3"/>
  <c r="A2097" i="3"/>
  <c r="H2096" i="3"/>
  <c r="G2096" i="3"/>
  <c r="F2096" i="3"/>
  <c r="E2096" i="3"/>
  <c r="C2096" i="3"/>
  <c r="A2096" i="3"/>
  <c r="H2095" i="3"/>
  <c r="G2095" i="3"/>
  <c r="F2095" i="3"/>
  <c r="E2095" i="3"/>
  <c r="A2095" i="3"/>
  <c r="H2094" i="3"/>
  <c r="G2094" i="3"/>
  <c r="F2094" i="3"/>
  <c r="E2094" i="3"/>
  <c r="D2094" i="3"/>
  <c r="C2094" i="3"/>
  <c r="B2094" i="3"/>
  <c r="A2094" i="3"/>
  <c r="H2093" i="3"/>
  <c r="G2093" i="3"/>
  <c r="F2093" i="3"/>
  <c r="E2093" i="3"/>
  <c r="D2093" i="3"/>
  <c r="C2093" i="3"/>
  <c r="B2093" i="3"/>
  <c r="A2093" i="3"/>
  <c r="H2092" i="3"/>
  <c r="G2092" i="3"/>
  <c r="F2092" i="3"/>
  <c r="E2092" i="3"/>
  <c r="C2092" i="3"/>
  <c r="B2092" i="3"/>
  <c r="A2092" i="3"/>
  <c r="H2091" i="3"/>
  <c r="G2091" i="3"/>
  <c r="F2091" i="3"/>
  <c r="E2091" i="3"/>
  <c r="A2091" i="3"/>
  <c r="H2090" i="3"/>
  <c r="G2090" i="3"/>
  <c r="F2090" i="3"/>
  <c r="E2090" i="3"/>
  <c r="A2090" i="3"/>
  <c r="H2089" i="3"/>
  <c r="G2089" i="3"/>
  <c r="F2089" i="3"/>
  <c r="E2089" i="3"/>
  <c r="C2089" i="3"/>
  <c r="A2089" i="3"/>
  <c r="H2088" i="3"/>
  <c r="G2088" i="3"/>
  <c r="F2088" i="3"/>
  <c r="E2088" i="3"/>
  <c r="D2088" i="3"/>
  <c r="C2088" i="3"/>
  <c r="B2088" i="3"/>
  <c r="A2088" i="3"/>
  <c r="H2087" i="3"/>
  <c r="G2087" i="3"/>
  <c r="F2087" i="3"/>
  <c r="E2087" i="3"/>
  <c r="C2087" i="3"/>
  <c r="B2087" i="3"/>
  <c r="A2087" i="3"/>
  <c r="H2086" i="3"/>
  <c r="G2086" i="3"/>
  <c r="F2086" i="3"/>
  <c r="E2086" i="3"/>
  <c r="C2086" i="3"/>
  <c r="B2086" i="3"/>
  <c r="A2086" i="3"/>
  <c r="H2085" i="3"/>
  <c r="G2085" i="3"/>
  <c r="F2085" i="3"/>
  <c r="E2085" i="3"/>
  <c r="C2085" i="3"/>
  <c r="B2085" i="3"/>
  <c r="A2085" i="3"/>
  <c r="H2084" i="3"/>
  <c r="G2084" i="3"/>
  <c r="F2084" i="3"/>
  <c r="E2084" i="3"/>
  <c r="C2084" i="3"/>
  <c r="B2084" i="3"/>
  <c r="A2084" i="3"/>
  <c r="H2083" i="3"/>
  <c r="G2083" i="3"/>
  <c r="F2083" i="3"/>
  <c r="E2083" i="3"/>
  <c r="D2083" i="3"/>
  <c r="C2083" i="3"/>
  <c r="B2083" i="3"/>
  <c r="A2083" i="3"/>
  <c r="H2082" i="3"/>
  <c r="G2082" i="3"/>
  <c r="F2082" i="3"/>
  <c r="E2082" i="3"/>
  <c r="C2082" i="3"/>
  <c r="B2082" i="3"/>
  <c r="A2082" i="3"/>
  <c r="H2081" i="3"/>
  <c r="G2081" i="3"/>
  <c r="F2081" i="3"/>
  <c r="E2081" i="3"/>
  <c r="C2081" i="3"/>
  <c r="B2081" i="3"/>
  <c r="A2081" i="3"/>
  <c r="H2080" i="3"/>
  <c r="G2080" i="3"/>
  <c r="F2080" i="3"/>
  <c r="E2080" i="3"/>
  <c r="C2080" i="3"/>
  <c r="B2080" i="3"/>
  <c r="A2080" i="3"/>
  <c r="H2079" i="3"/>
  <c r="G2079" i="3"/>
  <c r="F2079" i="3"/>
  <c r="E2079" i="3"/>
  <c r="C2079" i="3"/>
  <c r="B2079" i="3"/>
  <c r="A2079" i="3"/>
  <c r="H2078" i="3"/>
  <c r="G2078" i="3"/>
  <c r="F2078" i="3"/>
  <c r="E2078" i="3"/>
  <c r="C2078" i="3"/>
  <c r="B2078" i="3"/>
  <c r="A2078" i="3"/>
  <c r="H2077" i="3"/>
  <c r="G2077" i="3"/>
  <c r="F2077" i="3"/>
  <c r="E2077" i="3"/>
  <c r="D2077" i="3"/>
  <c r="C2077" i="3"/>
  <c r="B2077" i="3"/>
  <c r="A2077" i="3"/>
  <c r="H2076" i="3"/>
  <c r="G2076" i="3"/>
  <c r="F2076" i="3"/>
  <c r="E2076" i="3"/>
  <c r="C2076" i="3"/>
  <c r="B2076" i="3"/>
  <c r="A2076" i="3"/>
  <c r="H2075" i="3"/>
  <c r="G2075" i="3"/>
  <c r="F2075" i="3"/>
  <c r="E2075" i="3"/>
  <c r="C2075" i="3"/>
  <c r="B2075" i="3"/>
  <c r="A2075" i="3"/>
  <c r="H2074" i="3"/>
  <c r="G2074" i="3"/>
  <c r="F2074" i="3"/>
  <c r="E2074" i="3"/>
  <c r="C2074" i="3"/>
  <c r="B2074" i="3"/>
  <c r="A2074" i="3"/>
  <c r="H2073" i="3"/>
  <c r="G2073" i="3"/>
  <c r="F2073" i="3"/>
  <c r="E2073" i="3"/>
  <c r="C2073" i="3"/>
  <c r="B2073" i="3"/>
  <c r="A2073" i="3"/>
  <c r="H2072" i="3"/>
  <c r="G2072" i="3"/>
  <c r="F2072" i="3"/>
  <c r="E2072" i="3"/>
  <c r="C2072" i="3"/>
  <c r="B2072" i="3"/>
  <c r="A2072" i="3"/>
  <c r="H2071" i="3"/>
  <c r="G2071" i="3"/>
  <c r="F2071" i="3"/>
  <c r="E2071" i="3"/>
  <c r="C2071" i="3"/>
  <c r="A2071" i="3"/>
  <c r="H2070" i="3"/>
  <c r="G2070" i="3"/>
  <c r="F2070" i="3"/>
  <c r="E2070" i="3"/>
  <c r="D2070" i="3"/>
  <c r="C2070" i="3"/>
  <c r="B2070" i="3"/>
  <c r="A2070" i="3"/>
  <c r="H2069" i="3"/>
  <c r="G2069" i="3"/>
  <c r="F2069" i="3"/>
  <c r="E2069" i="3"/>
  <c r="D2069" i="3"/>
  <c r="C2069" i="3"/>
  <c r="B2069" i="3"/>
  <c r="A2069" i="3"/>
  <c r="H2068" i="3"/>
  <c r="G2068" i="3"/>
  <c r="F2068" i="3"/>
  <c r="E2068" i="3"/>
  <c r="C2068" i="3"/>
  <c r="B2068" i="3"/>
  <c r="A2068" i="3"/>
  <c r="H2067" i="3"/>
  <c r="G2067" i="3"/>
  <c r="F2067" i="3"/>
  <c r="E2067" i="3"/>
  <c r="D2067" i="3"/>
  <c r="C2067" i="3"/>
  <c r="B2067" i="3"/>
  <c r="A2067" i="3"/>
  <c r="H2066" i="3"/>
  <c r="G2066" i="3"/>
  <c r="F2066" i="3"/>
  <c r="E2066" i="3"/>
  <c r="A2066" i="3"/>
  <c r="H2065" i="3"/>
  <c r="G2065" i="3"/>
  <c r="F2065" i="3"/>
  <c r="E2065" i="3"/>
  <c r="D2065" i="3"/>
  <c r="C2065" i="3"/>
  <c r="B2065" i="3"/>
  <c r="A2065" i="3"/>
  <c r="H2064" i="3"/>
  <c r="G2064" i="3"/>
  <c r="F2064" i="3"/>
  <c r="E2064" i="3"/>
  <c r="C2064" i="3"/>
  <c r="B2064" i="3"/>
  <c r="A2064" i="3"/>
  <c r="H2063" i="3"/>
  <c r="G2063" i="3"/>
  <c r="F2063" i="3"/>
  <c r="E2063" i="3"/>
  <c r="D2063" i="3"/>
  <c r="C2063" i="3"/>
  <c r="B2063" i="3"/>
  <c r="A2063" i="3"/>
  <c r="H2062" i="3"/>
  <c r="G2062" i="3"/>
  <c r="F2062" i="3"/>
  <c r="E2062" i="3"/>
  <c r="A2062" i="3"/>
  <c r="H2061" i="3"/>
  <c r="G2061" i="3"/>
  <c r="F2061" i="3"/>
  <c r="C2061" i="3"/>
  <c r="A2061" i="3"/>
  <c r="H2060" i="3"/>
  <c r="G2060" i="3"/>
  <c r="F2060" i="3"/>
  <c r="E2060" i="3"/>
  <c r="D2060" i="3"/>
  <c r="C2060" i="3"/>
  <c r="B2060" i="3"/>
  <c r="A2060" i="3"/>
  <c r="H2059" i="3"/>
  <c r="G2059" i="3"/>
  <c r="F2059" i="3"/>
  <c r="E2059" i="3"/>
  <c r="C2059" i="3"/>
  <c r="B2059" i="3"/>
  <c r="A2059" i="3"/>
  <c r="H2058" i="3"/>
  <c r="G2058" i="3"/>
  <c r="F2058" i="3"/>
  <c r="E2058" i="3"/>
  <c r="D2058" i="3"/>
  <c r="C2058" i="3"/>
  <c r="B2058" i="3"/>
  <c r="A2058" i="3"/>
  <c r="H2057" i="3"/>
  <c r="G2057" i="3"/>
  <c r="F2057" i="3"/>
  <c r="E2057" i="3"/>
  <c r="D2057" i="3"/>
  <c r="C2057" i="3"/>
  <c r="B2057" i="3"/>
  <c r="A2057" i="3"/>
  <c r="H2056" i="3"/>
  <c r="G2056" i="3"/>
  <c r="F2056" i="3"/>
  <c r="E2056" i="3"/>
  <c r="D2056" i="3"/>
  <c r="C2056" i="3"/>
  <c r="B2056" i="3"/>
  <c r="A2056" i="3"/>
  <c r="H2055" i="3"/>
  <c r="G2055" i="3"/>
  <c r="F2055" i="3"/>
  <c r="E2055" i="3"/>
  <c r="C2055" i="3"/>
  <c r="B2055" i="3"/>
  <c r="A2055" i="3"/>
  <c r="H2054" i="3"/>
  <c r="G2054" i="3"/>
  <c r="F2054" i="3"/>
  <c r="E2054" i="3"/>
  <c r="D2054" i="3"/>
  <c r="C2054" i="3"/>
  <c r="B2054" i="3"/>
  <c r="A2054" i="3"/>
  <c r="H2053" i="3"/>
  <c r="G2053" i="3"/>
  <c r="F2053" i="3"/>
  <c r="E2053" i="3"/>
  <c r="D2053" i="3"/>
  <c r="C2053" i="3"/>
  <c r="B2053" i="3"/>
  <c r="A2053" i="3"/>
  <c r="H2052" i="3"/>
  <c r="G2052" i="3"/>
  <c r="F2052" i="3"/>
  <c r="E2052" i="3"/>
  <c r="D2052" i="3"/>
  <c r="C2052" i="3"/>
  <c r="A2052" i="3"/>
  <c r="H2051" i="3"/>
  <c r="G2051" i="3"/>
  <c r="F2051" i="3"/>
  <c r="E2051" i="3"/>
  <c r="D2051" i="3"/>
  <c r="C2051" i="3"/>
  <c r="B2051" i="3"/>
  <c r="A2051" i="3"/>
  <c r="H2050" i="3"/>
  <c r="G2050" i="3"/>
  <c r="F2050" i="3"/>
  <c r="E2050" i="3"/>
  <c r="D2050" i="3"/>
  <c r="C2050" i="3"/>
  <c r="B2050" i="3"/>
  <c r="A2050" i="3"/>
  <c r="H2049" i="3"/>
  <c r="G2049" i="3"/>
  <c r="F2049" i="3"/>
  <c r="E2049" i="3"/>
  <c r="D2049" i="3"/>
  <c r="C2049" i="3"/>
  <c r="B2049" i="3"/>
  <c r="A2049" i="3"/>
  <c r="H2048" i="3"/>
  <c r="G2048" i="3"/>
  <c r="F2048" i="3"/>
  <c r="E2048" i="3"/>
  <c r="A2048" i="3"/>
  <c r="H2047" i="3"/>
  <c r="G2047" i="3"/>
  <c r="F2047" i="3"/>
  <c r="E2047" i="3"/>
  <c r="C2047" i="3"/>
  <c r="B2047" i="3"/>
  <c r="A2047" i="3"/>
  <c r="H2046" i="3"/>
  <c r="G2046" i="3"/>
  <c r="F2046" i="3"/>
  <c r="E2046" i="3"/>
  <c r="C2046" i="3"/>
  <c r="B2046" i="3"/>
  <c r="A2046" i="3"/>
  <c r="H2045" i="3"/>
  <c r="G2045" i="3"/>
  <c r="F2045" i="3"/>
  <c r="E2045" i="3"/>
  <c r="C2045" i="3"/>
  <c r="B2045" i="3"/>
  <c r="A2045" i="3"/>
  <c r="H2044" i="3"/>
  <c r="G2044" i="3"/>
  <c r="F2044" i="3"/>
  <c r="E2044" i="3"/>
  <c r="C2044" i="3"/>
  <c r="B2044" i="3"/>
  <c r="A2044" i="3"/>
  <c r="H2043" i="3"/>
  <c r="G2043" i="3"/>
  <c r="F2043" i="3"/>
  <c r="E2043" i="3"/>
  <c r="C2043" i="3"/>
  <c r="B2043" i="3"/>
  <c r="A2043" i="3"/>
  <c r="H2042" i="3"/>
  <c r="G2042" i="3"/>
  <c r="F2042" i="3"/>
  <c r="E2042" i="3"/>
  <c r="C2042" i="3"/>
  <c r="B2042" i="3"/>
  <c r="A2042" i="3"/>
  <c r="H2041" i="3"/>
  <c r="G2041" i="3"/>
  <c r="F2041" i="3"/>
  <c r="E2041" i="3"/>
  <c r="C2041" i="3"/>
  <c r="B2041" i="3"/>
  <c r="A2041" i="3"/>
  <c r="H2040" i="3"/>
  <c r="G2040" i="3"/>
  <c r="F2040" i="3"/>
  <c r="E2040" i="3"/>
  <c r="B2040" i="3"/>
  <c r="A2040" i="3"/>
  <c r="H2039" i="3"/>
  <c r="G2039" i="3"/>
  <c r="F2039" i="3"/>
  <c r="E2039" i="3"/>
  <c r="C2039" i="3"/>
  <c r="B2039" i="3"/>
  <c r="A2039" i="3"/>
  <c r="H2038" i="3"/>
  <c r="G2038" i="3"/>
  <c r="F2038" i="3"/>
  <c r="E2038" i="3"/>
  <c r="C2038" i="3"/>
  <c r="B2038" i="3"/>
  <c r="A2038" i="3"/>
  <c r="H2037" i="3"/>
  <c r="G2037" i="3"/>
  <c r="F2037" i="3"/>
  <c r="E2037" i="3"/>
  <c r="C2037" i="3"/>
  <c r="B2037" i="3"/>
  <c r="A2037" i="3"/>
  <c r="H2036" i="3"/>
  <c r="G2036" i="3"/>
  <c r="F2036" i="3"/>
  <c r="E2036" i="3"/>
  <c r="C2036" i="3"/>
  <c r="B2036" i="3"/>
  <c r="A2036" i="3"/>
  <c r="H2035" i="3"/>
  <c r="G2035" i="3"/>
  <c r="F2035" i="3"/>
  <c r="E2035" i="3"/>
  <c r="C2035" i="3"/>
  <c r="B2035" i="3"/>
  <c r="A2035" i="3"/>
  <c r="H2034" i="3"/>
  <c r="G2034" i="3"/>
  <c r="F2034" i="3"/>
  <c r="E2034" i="3"/>
  <c r="C2034" i="3"/>
  <c r="B2034" i="3"/>
  <c r="A2034" i="3"/>
  <c r="H2033" i="3"/>
  <c r="G2033" i="3"/>
  <c r="F2033" i="3"/>
  <c r="C2033" i="3"/>
  <c r="A2033" i="3"/>
  <c r="H2032" i="3"/>
  <c r="G2032" i="3"/>
  <c r="F2032" i="3"/>
  <c r="E2032" i="3"/>
  <c r="C2032" i="3"/>
  <c r="B2032" i="3"/>
  <c r="A2032" i="3"/>
  <c r="H2031" i="3"/>
  <c r="G2031" i="3"/>
  <c r="F2031" i="3"/>
  <c r="E2031" i="3"/>
  <c r="D2031" i="3"/>
  <c r="C2031" i="3"/>
  <c r="B2031" i="3"/>
  <c r="A2031" i="3"/>
  <c r="H2030" i="3"/>
  <c r="G2030" i="3"/>
  <c r="F2030" i="3"/>
  <c r="E2030" i="3"/>
  <c r="C2030" i="3"/>
  <c r="B2030" i="3"/>
  <c r="A2030" i="3"/>
  <c r="H2029" i="3"/>
  <c r="G2029" i="3"/>
  <c r="F2029" i="3"/>
  <c r="E2029" i="3"/>
  <c r="C2029" i="3"/>
  <c r="B2029" i="3"/>
  <c r="A2029" i="3"/>
  <c r="H2028" i="3"/>
  <c r="G2028" i="3"/>
  <c r="F2028" i="3"/>
  <c r="E2028" i="3"/>
  <c r="C2028" i="3"/>
  <c r="B2028" i="3"/>
  <c r="A2028" i="3"/>
  <c r="H2027" i="3"/>
  <c r="G2027" i="3"/>
  <c r="F2027" i="3"/>
  <c r="A2027" i="3"/>
  <c r="H2026" i="3"/>
  <c r="G2026" i="3"/>
  <c r="F2026" i="3"/>
  <c r="E2026" i="3"/>
  <c r="C2026" i="3"/>
  <c r="B2026" i="3"/>
  <c r="A2026" i="3"/>
  <c r="H2025" i="3"/>
  <c r="G2025" i="3"/>
  <c r="F2025" i="3"/>
  <c r="E2025" i="3"/>
  <c r="C2025" i="3"/>
  <c r="B2025" i="3"/>
  <c r="A2025" i="3"/>
  <c r="H2024" i="3"/>
  <c r="G2024" i="3"/>
  <c r="F2024" i="3"/>
  <c r="E2024" i="3"/>
  <c r="C2024" i="3"/>
  <c r="A2024" i="3"/>
  <c r="H2023" i="3"/>
  <c r="G2023" i="3"/>
  <c r="F2023" i="3"/>
  <c r="E2023" i="3"/>
  <c r="C2023" i="3"/>
  <c r="B2023" i="3"/>
  <c r="A2023" i="3"/>
  <c r="H2022" i="3"/>
  <c r="G2022" i="3"/>
  <c r="F2022" i="3"/>
  <c r="E2022" i="3"/>
  <c r="D2022" i="3"/>
  <c r="C2022" i="3"/>
  <c r="B2022" i="3"/>
  <c r="A2022" i="3"/>
  <c r="H2021" i="3"/>
  <c r="G2021" i="3"/>
  <c r="F2021" i="3"/>
  <c r="E2021" i="3"/>
  <c r="C2021" i="3"/>
  <c r="B2021" i="3"/>
  <c r="A2021" i="3"/>
  <c r="H2020" i="3"/>
  <c r="G2020" i="3"/>
  <c r="F2020" i="3"/>
  <c r="E2020" i="3"/>
  <c r="D2020" i="3"/>
  <c r="C2020" i="3"/>
  <c r="B2020" i="3"/>
  <c r="A2020" i="3"/>
  <c r="H2019" i="3"/>
  <c r="G2019" i="3"/>
  <c r="F2019" i="3"/>
  <c r="E2019" i="3"/>
  <c r="C2019" i="3"/>
  <c r="B2019" i="3"/>
  <c r="A2019" i="3"/>
  <c r="H2018" i="3"/>
  <c r="G2018" i="3"/>
  <c r="F2018" i="3"/>
  <c r="E2018" i="3"/>
  <c r="C2018" i="3"/>
  <c r="B2018" i="3"/>
  <c r="A2018" i="3"/>
  <c r="H2017" i="3"/>
  <c r="G2017" i="3"/>
  <c r="F2017" i="3"/>
  <c r="E2017" i="3"/>
  <c r="C2017" i="3"/>
  <c r="A2017" i="3"/>
  <c r="H2016" i="3"/>
  <c r="G2016" i="3"/>
  <c r="F2016" i="3"/>
  <c r="E2016" i="3"/>
  <c r="D2016" i="3"/>
  <c r="C2016" i="3"/>
  <c r="B2016" i="3"/>
  <c r="A2016" i="3"/>
  <c r="H2015" i="3"/>
  <c r="G2015" i="3"/>
  <c r="F2015" i="3"/>
  <c r="E2015" i="3"/>
  <c r="A2015" i="3"/>
  <c r="H2014" i="3"/>
  <c r="G2014" i="3"/>
  <c r="F2014" i="3"/>
  <c r="E2014" i="3"/>
  <c r="C2014" i="3"/>
  <c r="B2014" i="3"/>
  <c r="A2014" i="3"/>
  <c r="H2013" i="3"/>
  <c r="G2013" i="3"/>
  <c r="F2013" i="3"/>
  <c r="E2013" i="3"/>
  <c r="D2013" i="3"/>
  <c r="C2013" i="3"/>
  <c r="B2013" i="3"/>
  <c r="A2013" i="3"/>
  <c r="H2012" i="3"/>
  <c r="G2012" i="3"/>
  <c r="F2012" i="3"/>
  <c r="E2012" i="3"/>
  <c r="D2012" i="3"/>
  <c r="C2012" i="3"/>
  <c r="B2012" i="3"/>
  <c r="A2012" i="3"/>
  <c r="H2011" i="3"/>
  <c r="G2011" i="3"/>
  <c r="F2011" i="3"/>
  <c r="E2011" i="3"/>
  <c r="D2011" i="3"/>
  <c r="C2011" i="3"/>
  <c r="B2011" i="3"/>
  <c r="A2011" i="3"/>
  <c r="H2010" i="3"/>
  <c r="G2010" i="3"/>
  <c r="F2010" i="3"/>
  <c r="E2010" i="3"/>
  <c r="C2010" i="3"/>
  <c r="B2010" i="3"/>
  <c r="A2010" i="3"/>
  <c r="H2009" i="3"/>
  <c r="G2009" i="3"/>
  <c r="F2009" i="3"/>
  <c r="E2009" i="3"/>
  <c r="C2009" i="3"/>
  <c r="A2009" i="3"/>
  <c r="H2008" i="3"/>
  <c r="G2008" i="3"/>
  <c r="F2008" i="3"/>
  <c r="E2008" i="3"/>
  <c r="D2008" i="3"/>
  <c r="C2008" i="3"/>
  <c r="B2008" i="3"/>
  <c r="A2008" i="3"/>
  <c r="H2007" i="3"/>
  <c r="G2007" i="3"/>
  <c r="F2007" i="3"/>
  <c r="E2007" i="3"/>
  <c r="C2007" i="3"/>
  <c r="B2007" i="3"/>
  <c r="A2007" i="3"/>
  <c r="H2006" i="3"/>
  <c r="G2006" i="3"/>
  <c r="F2006" i="3"/>
  <c r="E2006" i="3"/>
  <c r="C2006" i="3"/>
  <c r="B2006" i="3"/>
  <c r="A2006" i="3"/>
  <c r="H2005" i="3"/>
  <c r="G2005" i="3"/>
  <c r="F2005" i="3"/>
  <c r="E2005" i="3"/>
  <c r="A2005" i="3"/>
  <c r="H2004" i="3"/>
  <c r="G2004" i="3"/>
  <c r="F2004" i="3"/>
  <c r="E2004" i="3"/>
  <c r="C2004" i="3"/>
  <c r="A2004" i="3"/>
  <c r="H2003" i="3"/>
  <c r="G2003" i="3"/>
  <c r="F2003" i="3"/>
  <c r="E2003" i="3"/>
  <c r="D2003" i="3"/>
  <c r="C2003" i="3"/>
  <c r="B2003" i="3"/>
  <c r="A2003" i="3"/>
  <c r="H2002" i="3"/>
  <c r="G2002" i="3"/>
  <c r="F2002" i="3"/>
  <c r="E2002" i="3"/>
  <c r="D2002" i="3"/>
  <c r="C2002" i="3"/>
  <c r="B2002" i="3"/>
  <c r="A2002" i="3"/>
  <c r="H2001" i="3"/>
  <c r="G2001" i="3"/>
  <c r="F2001" i="3"/>
  <c r="E2001" i="3"/>
  <c r="C2001" i="3"/>
  <c r="B2001" i="3"/>
  <c r="A2001" i="3"/>
  <c r="H2000" i="3"/>
  <c r="G2000" i="3"/>
  <c r="F2000" i="3"/>
  <c r="E2000" i="3"/>
  <c r="C2000" i="3"/>
  <c r="B2000" i="3"/>
  <c r="A2000" i="3"/>
  <c r="H1999" i="3"/>
  <c r="G1999" i="3"/>
  <c r="F1999" i="3"/>
  <c r="E1999" i="3"/>
  <c r="C1999" i="3"/>
  <c r="B1999" i="3"/>
  <c r="A1999" i="3"/>
  <c r="H1998" i="3"/>
  <c r="G1998" i="3"/>
  <c r="F1998" i="3"/>
  <c r="E1998" i="3"/>
  <c r="C1998" i="3"/>
  <c r="B1998" i="3"/>
  <c r="A1998" i="3"/>
  <c r="H1997" i="3"/>
  <c r="G1997" i="3"/>
  <c r="F1997" i="3"/>
  <c r="E1997" i="3"/>
  <c r="C1997" i="3"/>
  <c r="B1997" i="3"/>
  <c r="A1997" i="3"/>
  <c r="H1996" i="3"/>
  <c r="G1996" i="3"/>
  <c r="F1996" i="3"/>
  <c r="E1996" i="3"/>
  <c r="C1996" i="3"/>
  <c r="B1996" i="3"/>
  <c r="A1996" i="3"/>
  <c r="H1995" i="3"/>
  <c r="G1995" i="3"/>
  <c r="F1995" i="3"/>
  <c r="E1995" i="3"/>
  <c r="D1995" i="3"/>
  <c r="C1995" i="3"/>
  <c r="B1995" i="3"/>
  <c r="A1995" i="3"/>
  <c r="H1994" i="3"/>
  <c r="G1994" i="3"/>
  <c r="F1994" i="3"/>
  <c r="E1994" i="3"/>
  <c r="C1994" i="3"/>
  <c r="B1994" i="3"/>
  <c r="A1994" i="3"/>
  <c r="H1993" i="3"/>
  <c r="G1993" i="3"/>
  <c r="F1993" i="3"/>
  <c r="E1993" i="3"/>
  <c r="A1993" i="3"/>
  <c r="H1992" i="3"/>
  <c r="G1992" i="3"/>
  <c r="F1992" i="3"/>
  <c r="E1992" i="3"/>
  <c r="A1992" i="3"/>
  <c r="H1991" i="3"/>
  <c r="G1991" i="3"/>
  <c r="F1991" i="3"/>
  <c r="E1991" i="3"/>
  <c r="D1991" i="3"/>
  <c r="C1991" i="3"/>
  <c r="B1991" i="3"/>
  <c r="A1991" i="3"/>
  <c r="H1990" i="3"/>
  <c r="G1990" i="3"/>
  <c r="F1990" i="3"/>
  <c r="E1990" i="3"/>
  <c r="C1990" i="3"/>
  <c r="A1990" i="3"/>
  <c r="H1989" i="3"/>
  <c r="G1989" i="3"/>
  <c r="F1989" i="3"/>
  <c r="E1989" i="3"/>
  <c r="C1989" i="3"/>
  <c r="B1989" i="3"/>
  <c r="A1989" i="3"/>
  <c r="H1988" i="3"/>
  <c r="G1988" i="3"/>
  <c r="F1988" i="3"/>
  <c r="E1988" i="3"/>
  <c r="C1988" i="3"/>
  <c r="B1988" i="3"/>
  <c r="A1988" i="3"/>
  <c r="H1987" i="3"/>
  <c r="G1987" i="3"/>
  <c r="F1987" i="3"/>
  <c r="E1987" i="3"/>
  <c r="C1987" i="3"/>
  <c r="B1987" i="3"/>
  <c r="A1987" i="3"/>
  <c r="H1986" i="3"/>
  <c r="G1986" i="3"/>
  <c r="F1986" i="3"/>
  <c r="E1986" i="3"/>
  <c r="C1986" i="3"/>
  <c r="B1986" i="3"/>
  <c r="A1986" i="3"/>
  <c r="H1985" i="3"/>
  <c r="G1985" i="3"/>
  <c r="F1985" i="3"/>
  <c r="E1985" i="3"/>
  <c r="C1985" i="3"/>
  <c r="B1985" i="3"/>
  <c r="A1985" i="3"/>
  <c r="H1984" i="3"/>
  <c r="G1984" i="3"/>
  <c r="F1984" i="3"/>
  <c r="E1984" i="3"/>
  <c r="D1984" i="3"/>
  <c r="C1984" i="3"/>
  <c r="B1984" i="3"/>
  <c r="A1984" i="3"/>
  <c r="H1983" i="3"/>
  <c r="G1983" i="3"/>
  <c r="F1983" i="3"/>
  <c r="E1983" i="3"/>
  <c r="A1983" i="3"/>
  <c r="H1982" i="3"/>
  <c r="G1982" i="3"/>
  <c r="F1982" i="3"/>
  <c r="E1982" i="3"/>
  <c r="C1982" i="3"/>
  <c r="B1982" i="3"/>
  <c r="A1982" i="3"/>
  <c r="H1981" i="3"/>
  <c r="G1981" i="3"/>
  <c r="F1981" i="3"/>
  <c r="E1981" i="3"/>
  <c r="D1981" i="3"/>
  <c r="C1981" i="3"/>
  <c r="B1981" i="3"/>
  <c r="A1981" i="3"/>
  <c r="H1980" i="3"/>
  <c r="G1980" i="3"/>
  <c r="F1980" i="3"/>
  <c r="E1980" i="3"/>
  <c r="D1980" i="3"/>
  <c r="C1980" i="3"/>
  <c r="B1980" i="3"/>
  <c r="A1980" i="3"/>
  <c r="H1979" i="3"/>
  <c r="G1979" i="3"/>
  <c r="F1979" i="3"/>
  <c r="E1979" i="3"/>
  <c r="A1979" i="3"/>
  <c r="H1978" i="3"/>
  <c r="G1978" i="3"/>
  <c r="F1978" i="3"/>
  <c r="E1978" i="3"/>
  <c r="C1978" i="3"/>
  <c r="B1978" i="3"/>
  <c r="A1978" i="3"/>
  <c r="H1977" i="3"/>
  <c r="G1977" i="3"/>
  <c r="F1977" i="3"/>
  <c r="E1977" i="3"/>
  <c r="D1977" i="3"/>
  <c r="C1977" i="3"/>
  <c r="B1977" i="3"/>
  <c r="A1977" i="3"/>
  <c r="H1976" i="3"/>
  <c r="G1976" i="3"/>
  <c r="F1976" i="3"/>
  <c r="E1976" i="3"/>
  <c r="C1976" i="3"/>
  <c r="B1976" i="3"/>
  <c r="A1976" i="3"/>
  <c r="H1975" i="3"/>
  <c r="G1975" i="3"/>
  <c r="F1975" i="3"/>
  <c r="E1975" i="3"/>
  <c r="C1975" i="3"/>
  <c r="B1975" i="3"/>
  <c r="A1975" i="3"/>
  <c r="H1974" i="3"/>
  <c r="G1974" i="3"/>
  <c r="F1974" i="3"/>
  <c r="E1974" i="3"/>
  <c r="C1974" i="3"/>
  <c r="B1974" i="3"/>
  <c r="A1974" i="3"/>
  <c r="H1973" i="3"/>
  <c r="G1973" i="3"/>
  <c r="F1973" i="3"/>
  <c r="E1973" i="3"/>
  <c r="D1973" i="3"/>
  <c r="C1973" i="3"/>
  <c r="B1973" i="3"/>
  <c r="A1973" i="3"/>
  <c r="H1972" i="3"/>
  <c r="G1972" i="3"/>
  <c r="F1972" i="3"/>
  <c r="E1972" i="3"/>
  <c r="C1972" i="3"/>
  <c r="B1972" i="3"/>
  <c r="A1972" i="3"/>
  <c r="H1971" i="3"/>
  <c r="G1971" i="3"/>
  <c r="F1971" i="3"/>
  <c r="E1971" i="3"/>
  <c r="C1971" i="3"/>
  <c r="B1971" i="3"/>
  <c r="A1971" i="3"/>
  <c r="H1970" i="3"/>
  <c r="G1970" i="3"/>
  <c r="F1970" i="3"/>
  <c r="E1970" i="3"/>
  <c r="C1970" i="3"/>
  <c r="B1970" i="3"/>
  <c r="A1970" i="3"/>
  <c r="H1969" i="3"/>
  <c r="G1969" i="3"/>
  <c r="F1969" i="3"/>
  <c r="E1969" i="3"/>
  <c r="D1969" i="3"/>
  <c r="C1969" i="3"/>
  <c r="B1969" i="3"/>
  <c r="A1969" i="3"/>
  <c r="H1968" i="3"/>
  <c r="G1968" i="3"/>
  <c r="F1968" i="3"/>
  <c r="E1968" i="3"/>
  <c r="D1968" i="3"/>
  <c r="C1968" i="3"/>
  <c r="B1968" i="3"/>
  <c r="A1968" i="3"/>
  <c r="H1967" i="3"/>
  <c r="G1967" i="3"/>
  <c r="F1967" i="3"/>
  <c r="E1967" i="3"/>
  <c r="A1967" i="3"/>
  <c r="H1966" i="3"/>
  <c r="G1966" i="3"/>
  <c r="F1966" i="3"/>
  <c r="E1966" i="3"/>
  <c r="C1966" i="3"/>
  <c r="B1966" i="3"/>
  <c r="A1966" i="3"/>
  <c r="H1965" i="3"/>
  <c r="G1965" i="3"/>
  <c r="F1965" i="3"/>
  <c r="E1965" i="3"/>
  <c r="D1965" i="3"/>
  <c r="C1965" i="3"/>
  <c r="B1965" i="3"/>
  <c r="A1965" i="3"/>
  <c r="H1964" i="3"/>
  <c r="G1964" i="3"/>
  <c r="F1964" i="3"/>
  <c r="E1964" i="3"/>
  <c r="C1964" i="3"/>
  <c r="B1964" i="3"/>
  <c r="A1964" i="3"/>
  <c r="H1963" i="3"/>
  <c r="G1963" i="3"/>
  <c r="F1963" i="3"/>
  <c r="E1963" i="3"/>
  <c r="C1963" i="3"/>
  <c r="B1963" i="3"/>
  <c r="A1963" i="3"/>
  <c r="H1962" i="3"/>
  <c r="G1962" i="3"/>
  <c r="F1962" i="3"/>
  <c r="E1962" i="3"/>
  <c r="C1962" i="3"/>
  <c r="B1962" i="3"/>
  <c r="A1962" i="3"/>
  <c r="H1961" i="3"/>
  <c r="G1961" i="3"/>
  <c r="F1961" i="3"/>
  <c r="E1961" i="3"/>
  <c r="D1961" i="3"/>
  <c r="C1961" i="3"/>
  <c r="B1961" i="3"/>
  <c r="A1961" i="3"/>
  <c r="H1960" i="3"/>
  <c r="G1960" i="3"/>
  <c r="F1960" i="3"/>
  <c r="E1960" i="3"/>
  <c r="C1960" i="3"/>
  <c r="B1960" i="3"/>
  <c r="A1960" i="3"/>
  <c r="H1959" i="3"/>
  <c r="G1959" i="3"/>
  <c r="F1959" i="3"/>
  <c r="E1959" i="3"/>
  <c r="C1959" i="3"/>
  <c r="B1959" i="3"/>
  <c r="A1959" i="3"/>
  <c r="H1958" i="3"/>
  <c r="G1958" i="3"/>
  <c r="F1958" i="3"/>
  <c r="E1958" i="3"/>
  <c r="C1958" i="3"/>
  <c r="A1958" i="3"/>
  <c r="H1957" i="3"/>
  <c r="G1957" i="3"/>
  <c r="F1957" i="3"/>
  <c r="E1957" i="3"/>
  <c r="C1957" i="3"/>
  <c r="B1957" i="3"/>
  <c r="A1957" i="3"/>
  <c r="H1956" i="3"/>
  <c r="G1956" i="3"/>
  <c r="F1956" i="3"/>
  <c r="E1956" i="3"/>
  <c r="C1956" i="3"/>
  <c r="A1956" i="3"/>
  <c r="H1955" i="3"/>
  <c r="G1955" i="3"/>
  <c r="F1955" i="3"/>
  <c r="E1955" i="3"/>
  <c r="C1955" i="3"/>
  <c r="B1955" i="3"/>
  <c r="A1955" i="3"/>
  <c r="H1954" i="3"/>
  <c r="G1954" i="3"/>
  <c r="F1954" i="3"/>
  <c r="E1954" i="3"/>
  <c r="D1954" i="3"/>
  <c r="C1954" i="3"/>
  <c r="B1954" i="3"/>
  <c r="A1954" i="3"/>
  <c r="H1953" i="3"/>
  <c r="G1953" i="3"/>
  <c r="F1953" i="3"/>
  <c r="E1953" i="3"/>
  <c r="C1953" i="3"/>
  <c r="A1953" i="3"/>
  <c r="H1952" i="3"/>
  <c r="G1952" i="3"/>
  <c r="F1952" i="3"/>
  <c r="E1952" i="3"/>
  <c r="C1952" i="3"/>
  <c r="B1952" i="3"/>
  <c r="A1952" i="3"/>
  <c r="H1951" i="3"/>
  <c r="G1951" i="3"/>
  <c r="F1951" i="3"/>
  <c r="E1951" i="3"/>
  <c r="C1951" i="3"/>
  <c r="B1951" i="3"/>
  <c r="A1951" i="3"/>
  <c r="H1950" i="3"/>
  <c r="G1950" i="3"/>
  <c r="F1950" i="3"/>
  <c r="E1950" i="3"/>
  <c r="D1950" i="3"/>
  <c r="C1950" i="3"/>
  <c r="B1950" i="3"/>
  <c r="A1950" i="3"/>
  <c r="H1949" i="3"/>
  <c r="G1949" i="3"/>
  <c r="F1949" i="3"/>
  <c r="E1949" i="3"/>
  <c r="C1949" i="3"/>
  <c r="B1949" i="3"/>
  <c r="A1949" i="3"/>
  <c r="H1948" i="3"/>
  <c r="G1948" i="3"/>
  <c r="F1948" i="3"/>
  <c r="E1948" i="3"/>
  <c r="D1948" i="3"/>
  <c r="C1948" i="3"/>
  <c r="B1948" i="3"/>
  <c r="A1948" i="3"/>
  <c r="H1947" i="3"/>
  <c r="G1947" i="3"/>
  <c r="F1947" i="3"/>
  <c r="E1947" i="3"/>
  <c r="C1947" i="3"/>
  <c r="B1947" i="3"/>
  <c r="A1947" i="3"/>
  <c r="H1946" i="3"/>
  <c r="G1946" i="3"/>
  <c r="F1946" i="3"/>
  <c r="E1946" i="3"/>
  <c r="D1946" i="3"/>
  <c r="C1946" i="3"/>
  <c r="B1946" i="3"/>
  <c r="A1946" i="3"/>
  <c r="H1945" i="3"/>
  <c r="G1945" i="3"/>
  <c r="F1945" i="3"/>
  <c r="E1945" i="3"/>
  <c r="C1945" i="3"/>
  <c r="B1945" i="3"/>
  <c r="A1945" i="3"/>
  <c r="H1944" i="3"/>
  <c r="G1944" i="3"/>
  <c r="F1944" i="3"/>
  <c r="E1944" i="3"/>
  <c r="D1944" i="3"/>
  <c r="C1944" i="3"/>
  <c r="B1944" i="3"/>
  <c r="A1944" i="3"/>
  <c r="H1943" i="3"/>
  <c r="G1943" i="3"/>
  <c r="F1943" i="3"/>
  <c r="E1943" i="3"/>
  <c r="D1943" i="3"/>
  <c r="C1943" i="3"/>
  <c r="B1943" i="3"/>
  <c r="A1943" i="3"/>
  <c r="H1942" i="3"/>
  <c r="G1942" i="3"/>
  <c r="F1942" i="3"/>
  <c r="E1942" i="3"/>
  <c r="C1942" i="3"/>
  <c r="B1942" i="3"/>
  <c r="A1942" i="3"/>
  <c r="H1941" i="3"/>
  <c r="G1941" i="3"/>
  <c r="F1941" i="3"/>
  <c r="E1941" i="3"/>
  <c r="C1941" i="3"/>
  <c r="A1941" i="3"/>
  <c r="H1940" i="3"/>
  <c r="G1940" i="3"/>
  <c r="F1940" i="3"/>
  <c r="E1940" i="3"/>
  <c r="C1940" i="3"/>
  <c r="B1940" i="3"/>
  <c r="A1940" i="3"/>
  <c r="H1939" i="3"/>
  <c r="G1939" i="3"/>
  <c r="F1939" i="3"/>
  <c r="E1939" i="3"/>
  <c r="A1939" i="3"/>
  <c r="H1938" i="3"/>
  <c r="G1938" i="3"/>
  <c r="F1938" i="3"/>
  <c r="E1938" i="3"/>
  <c r="C1938" i="3"/>
  <c r="B1938" i="3"/>
  <c r="A1938" i="3"/>
  <c r="H1937" i="3"/>
  <c r="G1937" i="3"/>
  <c r="F1937" i="3"/>
  <c r="E1937" i="3"/>
  <c r="C1937" i="3"/>
  <c r="B1937" i="3"/>
  <c r="A1937" i="3"/>
  <c r="H1936" i="3"/>
  <c r="G1936" i="3"/>
  <c r="F1936" i="3"/>
  <c r="E1936" i="3"/>
  <c r="D1936" i="3"/>
  <c r="C1936" i="3"/>
  <c r="B1936" i="3"/>
  <c r="A1936" i="3"/>
  <c r="H1935" i="3"/>
  <c r="G1935" i="3"/>
  <c r="F1935" i="3"/>
  <c r="E1935" i="3"/>
  <c r="D1935" i="3"/>
  <c r="C1935" i="3"/>
  <c r="B1935" i="3"/>
  <c r="A1935" i="3"/>
  <c r="H1934" i="3"/>
  <c r="G1934" i="3"/>
  <c r="F1934" i="3"/>
  <c r="E1934" i="3"/>
  <c r="D1934" i="3"/>
  <c r="C1934" i="3"/>
  <c r="B1934" i="3"/>
  <c r="A1934" i="3"/>
  <c r="H1933" i="3"/>
  <c r="G1933" i="3"/>
  <c r="F1933" i="3"/>
  <c r="E1933" i="3"/>
  <c r="C1933" i="3"/>
  <c r="B1933" i="3"/>
  <c r="A1933" i="3"/>
  <c r="H1932" i="3"/>
  <c r="G1932" i="3"/>
  <c r="F1932" i="3"/>
  <c r="E1932" i="3"/>
  <c r="C1932" i="3"/>
  <c r="B1932" i="3"/>
  <c r="A1932" i="3"/>
  <c r="H1931" i="3"/>
  <c r="G1931" i="3"/>
  <c r="F1931" i="3"/>
  <c r="E1931" i="3"/>
  <c r="D1931" i="3"/>
  <c r="C1931" i="3"/>
  <c r="B1931" i="3"/>
  <c r="A1931" i="3"/>
  <c r="H1930" i="3"/>
  <c r="G1930" i="3"/>
  <c r="F1930" i="3"/>
  <c r="E1930" i="3"/>
  <c r="D1930" i="3"/>
  <c r="C1930" i="3"/>
  <c r="B1930" i="3"/>
  <c r="A1930" i="3"/>
  <c r="H1929" i="3"/>
  <c r="G1929" i="3"/>
  <c r="F1929" i="3"/>
  <c r="E1929" i="3"/>
  <c r="C1929" i="3"/>
  <c r="B1929" i="3"/>
  <c r="A1929" i="3"/>
  <c r="H1928" i="3"/>
  <c r="G1928" i="3"/>
  <c r="F1928" i="3"/>
  <c r="E1928" i="3"/>
  <c r="D1928" i="3"/>
  <c r="C1928" i="3"/>
  <c r="B1928" i="3"/>
  <c r="A1928" i="3"/>
  <c r="H1927" i="3"/>
  <c r="G1927" i="3"/>
  <c r="F1927" i="3"/>
  <c r="E1927" i="3"/>
  <c r="D1927" i="3"/>
  <c r="C1927" i="3"/>
  <c r="B1927" i="3"/>
  <c r="A1927" i="3"/>
  <c r="H1926" i="3"/>
  <c r="G1926" i="3"/>
  <c r="F1926" i="3"/>
  <c r="E1926" i="3"/>
  <c r="D1926" i="3"/>
  <c r="C1926" i="3"/>
  <c r="B1926" i="3"/>
  <c r="A1926" i="3"/>
  <c r="H1925" i="3"/>
  <c r="G1925" i="3"/>
  <c r="F1925" i="3"/>
  <c r="E1925" i="3"/>
  <c r="C1925" i="3"/>
  <c r="A1925" i="3"/>
  <c r="H1924" i="3"/>
  <c r="G1924" i="3"/>
  <c r="F1924" i="3"/>
  <c r="E1924" i="3"/>
  <c r="C1924" i="3"/>
  <c r="B1924" i="3"/>
  <c r="A1924" i="3"/>
  <c r="H1923" i="3"/>
  <c r="G1923" i="3"/>
  <c r="F1923" i="3"/>
  <c r="E1923" i="3"/>
  <c r="D1923" i="3"/>
  <c r="C1923" i="3"/>
  <c r="B1923" i="3"/>
  <c r="A1923" i="3"/>
  <c r="H1922" i="3"/>
  <c r="G1922" i="3"/>
  <c r="F1922" i="3"/>
  <c r="E1922" i="3"/>
  <c r="B1922" i="3"/>
  <c r="A1922" i="3"/>
  <c r="H1921" i="3"/>
  <c r="G1921" i="3"/>
  <c r="F1921" i="3"/>
  <c r="E1921" i="3"/>
  <c r="D1921" i="3"/>
  <c r="C1921" i="3"/>
  <c r="B1921" i="3"/>
  <c r="A1921" i="3"/>
  <c r="H1920" i="3"/>
  <c r="G1920" i="3"/>
  <c r="F1920" i="3"/>
  <c r="E1920" i="3"/>
  <c r="D1920" i="3"/>
  <c r="C1920" i="3"/>
  <c r="B1920" i="3"/>
  <c r="A1920" i="3"/>
  <c r="H1919" i="3"/>
  <c r="G1919" i="3"/>
  <c r="F1919" i="3"/>
  <c r="E1919" i="3"/>
  <c r="D1919" i="3"/>
  <c r="C1919" i="3"/>
  <c r="B1919" i="3"/>
  <c r="A1919" i="3"/>
  <c r="H1918" i="3"/>
  <c r="G1918" i="3"/>
  <c r="F1918" i="3"/>
  <c r="E1918" i="3"/>
  <c r="D1918" i="3"/>
  <c r="C1918" i="3"/>
  <c r="B1918" i="3"/>
  <c r="A1918" i="3"/>
  <c r="H1917" i="3"/>
  <c r="G1917" i="3"/>
  <c r="F1917" i="3"/>
  <c r="E1917" i="3"/>
  <c r="D1917" i="3"/>
  <c r="C1917" i="3"/>
  <c r="B1917" i="3"/>
  <c r="A1917" i="3"/>
  <c r="H1916" i="3"/>
  <c r="G1916" i="3"/>
  <c r="F1916" i="3"/>
  <c r="E1916" i="3"/>
  <c r="B1916" i="3"/>
  <c r="A1916" i="3"/>
  <c r="H1915" i="3"/>
  <c r="G1915" i="3"/>
  <c r="F1915" i="3"/>
  <c r="E1915" i="3"/>
  <c r="C1915" i="3"/>
  <c r="B1915" i="3"/>
  <c r="A1915" i="3"/>
  <c r="H1914" i="3"/>
  <c r="G1914" i="3"/>
  <c r="F1914" i="3"/>
  <c r="E1914" i="3"/>
  <c r="A1914" i="3"/>
  <c r="H1913" i="3"/>
  <c r="G1913" i="3"/>
  <c r="F1913" i="3"/>
  <c r="E1913" i="3"/>
  <c r="D1913" i="3"/>
  <c r="C1913" i="3"/>
  <c r="B1913" i="3"/>
  <c r="A1913" i="3"/>
  <c r="H1912" i="3"/>
  <c r="G1912" i="3"/>
  <c r="F1912" i="3"/>
  <c r="E1912" i="3"/>
  <c r="D1912" i="3"/>
  <c r="C1912" i="3"/>
  <c r="B1912" i="3"/>
  <c r="A1912" i="3"/>
  <c r="H1911" i="3"/>
  <c r="G1911" i="3"/>
  <c r="F1911" i="3"/>
  <c r="E1911" i="3"/>
  <c r="C1911" i="3"/>
  <c r="B1911" i="3"/>
  <c r="A1911" i="3"/>
  <c r="H1910" i="3"/>
  <c r="G1910" i="3"/>
  <c r="F1910" i="3"/>
  <c r="E1910" i="3"/>
  <c r="D1910" i="3"/>
  <c r="C1910" i="3"/>
  <c r="B1910" i="3"/>
  <c r="A1910" i="3"/>
  <c r="H1909" i="3"/>
  <c r="G1909" i="3"/>
  <c r="F1909" i="3"/>
  <c r="E1909" i="3"/>
  <c r="D1909" i="3"/>
  <c r="C1909" i="3"/>
  <c r="B1909" i="3"/>
  <c r="A1909" i="3"/>
  <c r="H1908" i="3"/>
  <c r="G1908" i="3"/>
  <c r="F1908" i="3"/>
  <c r="E1908" i="3"/>
  <c r="C1908" i="3"/>
  <c r="B1908" i="3"/>
  <c r="A1908" i="3"/>
  <c r="H1907" i="3"/>
  <c r="G1907" i="3"/>
  <c r="F1907" i="3"/>
  <c r="E1907" i="3"/>
  <c r="C1907" i="3"/>
  <c r="B1907" i="3"/>
  <c r="A1907" i="3"/>
  <c r="H1906" i="3"/>
  <c r="G1906" i="3"/>
  <c r="F1906" i="3"/>
  <c r="E1906" i="3"/>
  <c r="D1906" i="3"/>
  <c r="C1906" i="3"/>
  <c r="B1906" i="3"/>
  <c r="A1906" i="3"/>
  <c r="H1905" i="3"/>
  <c r="G1905" i="3"/>
  <c r="F1905" i="3"/>
  <c r="E1905" i="3"/>
  <c r="C1905" i="3"/>
  <c r="B1905" i="3"/>
  <c r="A1905" i="3"/>
  <c r="H1904" i="3"/>
  <c r="G1904" i="3"/>
  <c r="F1904" i="3"/>
  <c r="E1904" i="3"/>
  <c r="A1904" i="3"/>
  <c r="H1903" i="3"/>
  <c r="G1903" i="3"/>
  <c r="F1903" i="3"/>
  <c r="E1903" i="3"/>
  <c r="D1903" i="3"/>
  <c r="C1903" i="3"/>
  <c r="B1903" i="3"/>
  <c r="A1903" i="3"/>
  <c r="H1902" i="3"/>
  <c r="G1902" i="3"/>
  <c r="F1902" i="3"/>
  <c r="E1902" i="3"/>
  <c r="D1902" i="3"/>
  <c r="C1902" i="3"/>
  <c r="B1902" i="3"/>
  <c r="A1902" i="3"/>
  <c r="H1901" i="3"/>
  <c r="G1901" i="3"/>
  <c r="F1901" i="3"/>
  <c r="E1901" i="3"/>
  <c r="D1901" i="3"/>
  <c r="C1901" i="3"/>
  <c r="B1901" i="3"/>
  <c r="A1901" i="3"/>
  <c r="H1900" i="3"/>
  <c r="G1900" i="3"/>
  <c r="F1900" i="3"/>
  <c r="E1900" i="3"/>
  <c r="D1900" i="3"/>
  <c r="C1900" i="3"/>
  <c r="B1900" i="3"/>
  <c r="A1900" i="3"/>
  <c r="H1899" i="3"/>
  <c r="G1899" i="3"/>
  <c r="F1899" i="3"/>
  <c r="E1899" i="3"/>
  <c r="D1899" i="3"/>
  <c r="C1899" i="3"/>
  <c r="B1899" i="3"/>
  <c r="A1899" i="3"/>
  <c r="H1898" i="3"/>
  <c r="G1898" i="3"/>
  <c r="F1898" i="3"/>
  <c r="E1898" i="3"/>
  <c r="C1898" i="3"/>
  <c r="B1898" i="3"/>
  <c r="A1898" i="3"/>
  <c r="H1897" i="3"/>
  <c r="G1897" i="3"/>
  <c r="F1897" i="3"/>
  <c r="E1897" i="3"/>
  <c r="C1897" i="3"/>
  <c r="B1897" i="3"/>
  <c r="A1897" i="3"/>
  <c r="H1896" i="3"/>
  <c r="G1896" i="3"/>
  <c r="F1896" i="3"/>
  <c r="E1896" i="3"/>
  <c r="D1896" i="3"/>
  <c r="C1896" i="3"/>
  <c r="B1896" i="3"/>
  <c r="A1896" i="3"/>
  <c r="H1895" i="3"/>
  <c r="G1895" i="3"/>
  <c r="F1895" i="3"/>
  <c r="E1895" i="3"/>
  <c r="C1895" i="3"/>
  <c r="B1895" i="3"/>
  <c r="A1895" i="3"/>
  <c r="H1894" i="3"/>
  <c r="G1894" i="3"/>
  <c r="F1894" i="3"/>
  <c r="E1894" i="3"/>
  <c r="D1894" i="3"/>
  <c r="C1894" i="3"/>
  <c r="B1894" i="3"/>
  <c r="A1894" i="3"/>
  <c r="H1893" i="3"/>
  <c r="G1893" i="3"/>
  <c r="F1893" i="3"/>
  <c r="E1893" i="3"/>
  <c r="C1893" i="3"/>
  <c r="B1893" i="3"/>
  <c r="A1893" i="3"/>
  <c r="H1892" i="3"/>
  <c r="G1892" i="3"/>
  <c r="F1892" i="3"/>
  <c r="E1892" i="3"/>
  <c r="A1892" i="3"/>
  <c r="H1891" i="3"/>
  <c r="G1891" i="3"/>
  <c r="F1891" i="3"/>
  <c r="E1891" i="3"/>
  <c r="C1891" i="3"/>
  <c r="B1891" i="3"/>
  <c r="A1891" i="3"/>
  <c r="H1890" i="3"/>
  <c r="G1890" i="3"/>
  <c r="F1890" i="3"/>
  <c r="E1890" i="3"/>
  <c r="A1890" i="3"/>
  <c r="H1889" i="3"/>
  <c r="G1889" i="3"/>
  <c r="F1889" i="3"/>
  <c r="E1889" i="3"/>
  <c r="C1889" i="3"/>
  <c r="B1889" i="3"/>
  <c r="A1889" i="3"/>
  <c r="H1888" i="3"/>
  <c r="G1888" i="3"/>
  <c r="F1888" i="3"/>
  <c r="E1888" i="3"/>
  <c r="C1888" i="3"/>
  <c r="B1888" i="3"/>
  <c r="A1888" i="3"/>
  <c r="H1887" i="3"/>
  <c r="G1887" i="3"/>
  <c r="F1887" i="3"/>
  <c r="E1887" i="3"/>
  <c r="D1887" i="3"/>
  <c r="C1887" i="3"/>
  <c r="B1887" i="3"/>
  <c r="A1887" i="3"/>
  <c r="H1886" i="3"/>
  <c r="G1886" i="3"/>
  <c r="F1886" i="3"/>
  <c r="E1886" i="3"/>
  <c r="D1886" i="3"/>
  <c r="C1886" i="3"/>
  <c r="B1886" i="3"/>
  <c r="A1886" i="3"/>
  <c r="H1885" i="3"/>
  <c r="G1885" i="3"/>
  <c r="F1885" i="3"/>
  <c r="E1885" i="3"/>
  <c r="D1885" i="3"/>
  <c r="C1885" i="3"/>
  <c r="A1885" i="3"/>
  <c r="H1884" i="3"/>
  <c r="G1884" i="3"/>
  <c r="F1884" i="3"/>
  <c r="E1884" i="3"/>
  <c r="C1884" i="3"/>
  <c r="B1884" i="3"/>
  <c r="A1884" i="3"/>
  <c r="H1883" i="3"/>
  <c r="G1883" i="3"/>
  <c r="F1883" i="3"/>
  <c r="E1883" i="3"/>
  <c r="C1883" i="3"/>
  <c r="B1883" i="3"/>
  <c r="A1883" i="3"/>
  <c r="H1882" i="3"/>
  <c r="G1882" i="3"/>
  <c r="F1882" i="3"/>
  <c r="E1882" i="3"/>
  <c r="C1882" i="3"/>
  <c r="B1882" i="3"/>
  <c r="A1882" i="3"/>
  <c r="H1881" i="3"/>
  <c r="G1881" i="3"/>
  <c r="F1881" i="3"/>
  <c r="E1881" i="3"/>
  <c r="A1881" i="3"/>
  <c r="H1880" i="3"/>
  <c r="G1880" i="3"/>
  <c r="F1880" i="3"/>
  <c r="E1880" i="3"/>
  <c r="D1880" i="3"/>
  <c r="C1880" i="3"/>
  <c r="B1880" i="3"/>
  <c r="A1880" i="3"/>
  <c r="H1879" i="3"/>
  <c r="G1879" i="3"/>
  <c r="F1879" i="3"/>
  <c r="E1879" i="3"/>
  <c r="C1879" i="3"/>
  <c r="B1879" i="3"/>
  <c r="A1879" i="3"/>
  <c r="H1878" i="3"/>
  <c r="G1878" i="3"/>
  <c r="F1878" i="3"/>
  <c r="E1878" i="3"/>
  <c r="C1878" i="3"/>
  <c r="B1878" i="3"/>
  <c r="A1878" i="3"/>
  <c r="H1877" i="3"/>
  <c r="G1877" i="3"/>
  <c r="F1877" i="3"/>
  <c r="E1877" i="3"/>
  <c r="D1877" i="3"/>
  <c r="C1877" i="3"/>
  <c r="B1877" i="3"/>
  <c r="A1877" i="3"/>
  <c r="H1876" i="3"/>
  <c r="G1876" i="3"/>
  <c r="F1876" i="3"/>
  <c r="E1876" i="3"/>
  <c r="D1876" i="3"/>
  <c r="C1876" i="3"/>
  <c r="B1876" i="3"/>
  <c r="A1876" i="3"/>
  <c r="H1875" i="3"/>
  <c r="G1875" i="3"/>
  <c r="F1875" i="3"/>
  <c r="E1875" i="3"/>
  <c r="C1875" i="3"/>
  <c r="B1875" i="3"/>
  <c r="A1875" i="3"/>
  <c r="H1874" i="3"/>
  <c r="G1874" i="3"/>
  <c r="F1874" i="3"/>
  <c r="E1874" i="3"/>
  <c r="C1874" i="3"/>
  <c r="B1874" i="3"/>
  <c r="A1874" i="3"/>
  <c r="H1873" i="3"/>
  <c r="G1873" i="3"/>
  <c r="F1873" i="3"/>
  <c r="E1873" i="3"/>
  <c r="D1873" i="3"/>
  <c r="C1873" i="3"/>
  <c r="B1873" i="3"/>
  <c r="A1873" i="3"/>
  <c r="H1872" i="3"/>
  <c r="G1872" i="3"/>
  <c r="F1872" i="3"/>
  <c r="E1872" i="3"/>
  <c r="D1872" i="3"/>
  <c r="C1872" i="3"/>
  <c r="B1872" i="3"/>
  <c r="A1872" i="3"/>
  <c r="H1871" i="3"/>
  <c r="G1871" i="3"/>
  <c r="F1871" i="3"/>
  <c r="E1871" i="3"/>
  <c r="D1871" i="3"/>
  <c r="C1871" i="3"/>
  <c r="B1871" i="3"/>
  <c r="A1871" i="3"/>
  <c r="H1870" i="3"/>
  <c r="G1870" i="3"/>
  <c r="F1870" i="3"/>
  <c r="E1870" i="3"/>
  <c r="C1870" i="3"/>
  <c r="B1870" i="3"/>
  <c r="A1870" i="3"/>
  <c r="H1869" i="3"/>
  <c r="G1869" i="3"/>
  <c r="F1869" i="3"/>
  <c r="E1869" i="3"/>
  <c r="C1869" i="3"/>
  <c r="B1869" i="3"/>
  <c r="A1869" i="3"/>
  <c r="H1868" i="3"/>
  <c r="G1868" i="3"/>
  <c r="F1868" i="3"/>
  <c r="E1868" i="3"/>
  <c r="C1868" i="3"/>
  <c r="B1868" i="3"/>
  <c r="A1868" i="3"/>
  <c r="H1867" i="3"/>
  <c r="G1867" i="3"/>
  <c r="F1867" i="3"/>
  <c r="E1867" i="3"/>
  <c r="C1867" i="3"/>
  <c r="B1867" i="3"/>
  <c r="A1867" i="3"/>
  <c r="H1866" i="3"/>
  <c r="G1866" i="3"/>
  <c r="F1866" i="3"/>
  <c r="E1866" i="3"/>
  <c r="D1866" i="3"/>
  <c r="C1866" i="3"/>
  <c r="B1866" i="3"/>
  <c r="A1866" i="3"/>
  <c r="H1865" i="3"/>
  <c r="G1865" i="3"/>
  <c r="F1865" i="3"/>
  <c r="E1865" i="3"/>
  <c r="A1865" i="3"/>
  <c r="H1864" i="3"/>
  <c r="G1864" i="3"/>
  <c r="F1864" i="3"/>
  <c r="E1864" i="3"/>
  <c r="D1864" i="3"/>
  <c r="C1864" i="3"/>
  <c r="B1864" i="3"/>
  <c r="A1864" i="3"/>
  <c r="H1863" i="3"/>
  <c r="G1863" i="3"/>
  <c r="F1863" i="3"/>
  <c r="E1863" i="3"/>
  <c r="C1863" i="3"/>
  <c r="B1863" i="3"/>
  <c r="A1863" i="3"/>
  <c r="H1862" i="3"/>
  <c r="G1862" i="3"/>
  <c r="F1862" i="3"/>
  <c r="E1862" i="3"/>
  <c r="C1862" i="3"/>
  <c r="B1862" i="3"/>
  <c r="A1862" i="3"/>
  <c r="H1861" i="3"/>
  <c r="G1861" i="3"/>
  <c r="F1861" i="3"/>
  <c r="E1861" i="3"/>
  <c r="C1861" i="3"/>
  <c r="B1861" i="3"/>
  <c r="A1861" i="3"/>
  <c r="H1860" i="3"/>
  <c r="G1860" i="3"/>
  <c r="F1860" i="3"/>
  <c r="E1860" i="3"/>
  <c r="C1860" i="3"/>
  <c r="B1860" i="3"/>
  <c r="A1860" i="3"/>
  <c r="H1859" i="3"/>
  <c r="G1859" i="3"/>
  <c r="F1859" i="3"/>
  <c r="E1859" i="3"/>
  <c r="C1859" i="3"/>
  <c r="B1859" i="3"/>
  <c r="A1859" i="3"/>
  <c r="H1858" i="3"/>
  <c r="G1858" i="3"/>
  <c r="F1858" i="3"/>
  <c r="E1858" i="3"/>
  <c r="D1858" i="3"/>
  <c r="C1858" i="3"/>
  <c r="B1858" i="3"/>
  <c r="A1858" i="3"/>
  <c r="H1857" i="3"/>
  <c r="G1857" i="3"/>
  <c r="F1857" i="3"/>
  <c r="E1857" i="3"/>
  <c r="D1857" i="3"/>
  <c r="C1857" i="3"/>
  <c r="B1857" i="3"/>
  <c r="A1857" i="3"/>
  <c r="H1856" i="3"/>
  <c r="G1856" i="3"/>
  <c r="F1856" i="3"/>
  <c r="E1856" i="3"/>
  <c r="C1856" i="3"/>
  <c r="B1856" i="3"/>
  <c r="A1856" i="3"/>
  <c r="H1855" i="3"/>
  <c r="G1855" i="3"/>
  <c r="F1855" i="3"/>
  <c r="E1855" i="3"/>
  <c r="C1855" i="3"/>
  <c r="A1855" i="3"/>
  <c r="H1854" i="3"/>
  <c r="G1854" i="3"/>
  <c r="F1854" i="3"/>
  <c r="E1854" i="3"/>
  <c r="D1854" i="3"/>
  <c r="C1854" i="3"/>
  <c r="B1854" i="3"/>
  <c r="A1854" i="3"/>
  <c r="H1853" i="3"/>
  <c r="G1853" i="3"/>
  <c r="F1853" i="3"/>
  <c r="E1853" i="3"/>
  <c r="C1853" i="3"/>
  <c r="B1853" i="3"/>
  <c r="A1853" i="3"/>
  <c r="H1852" i="3"/>
  <c r="G1852" i="3"/>
  <c r="F1852" i="3"/>
  <c r="E1852" i="3"/>
  <c r="C1852" i="3"/>
  <c r="B1852" i="3"/>
  <c r="A1852" i="3"/>
  <c r="H1851" i="3"/>
  <c r="G1851" i="3"/>
  <c r="F1851" i="3"/>
  <c r="E1851" i="3"/>
  <c r="C1851" i="3"/>
  <c r="B1851" i="3"/>
  <c r="A1851" i="3"/>
  <c r="H1850" i="3"/>
  <c r="G1850" i="3"/>
  <c r="F1850" i="3"/>
  <c r="E1850" i="3"/>
  <c r="C1850" i="3"/>
  <c r="B1850" i="3"/>
  <c r="A1850" i="3"/>
  <c r="H1849" i="3"/>
  <c r="G1849" i="3"/>
  <c r="F1849" i="3"/>
  <c r="E1849" i="3"/>
  <c r="C1849" i="3"/>
  <c r="B1849" i="3"/>
  <c r="A1849" i="3"/>
  <c r="H1848" i="3"/>
  <c r="G1848" i="3"/>
  <c r="F1848" i="3"/>
  <c r="E1848" i="3"/>
  <c r="C1848" i="3"/>
  <c r="B1848" i="3"/>
  <c r="A1848" i="3"/>
  <c r="H1847" i="3"/>
  <c r="G1847" i="3"/>
  <c r="F1847" i="3"/>
  <c r="E1847" i="3"/>
  <c r="C1847" i="3"/>
  <c r="B1847" i="3"/>
  <c r="A1847" i="3"/>
  <c r="H1846" i="3"/>
  <c r="G1846" i="3"/>
  <c r="F1846" i="3"/>
  <c r="E1846" i="3"/>
  <c r="C1846" i="3"/>
  <c r="B1846" i="3"/>
  <c r="A1846" i="3"/>
  <c r="H1845" i="3"/>
  <c r="G1845" i="3"/>
  <c r="F1845" i="3"/>
  <c r="E1845" i="3"/>
  <c r="C1845" i="3"/>
  <c r="B1845" i="3"/>
  <c r="A1845" i="3"/>
  <c r="H1844" i="3"/>
  <c r="G1844" i="3"/>
  <c r="F1844" i="3"/>
  <c r="E1844" i="3"/>
  <c r="C1844" i="3"/>
  <c r="B1844" i="3"/>
  <c r="A1844" i="3"/>
  <c r="H1843" i="3"/>
  <c r="G1843" i="3"/>
  <c r="F1843" i="3"/>
  <c r="E1843" i="3"/>
  <c r="C1843" i="3"/>
  <c r="B1843" i="3"/>
  <c r="A1843" i="3"/>
  <c r="H1842" i="3"/>
  <c r="G1842" i="3"/>
  <c r="F1842" i="3"/>
  <c r="E1842" i="3"/>
  <c r="C1842" i="3"/>
  <c r="B1842" i="3"/>
  <c r="A1842" i="3"/>
  <c r="H1841" i="3"/>
  <c r="G1841" i="3"/>
  <c r="F1841" i="3"/>
  <c r="E1841" i="3"/>
  <c r="C1841" i="3"/>
  <c r="B1841" i="3"/>
  <c r="A1841" i="3"/>
  <c r="H1840" i="3"/>
  <c r="G1840" i="3"/>
  <c r="F1840" i="3"/>
  <c r="E1840" i="3"/>
  <c r="C1840" i="3"/>
  <c r="B1840" i="3"/>
  <c r="A1840" i="3"/>
  <c r="H1839" i="3"/>
  <c r="G1839" i="3"/>
  <c r="F1839" i="3"/>
  <c r="E1839" i="3"/>
  <c r="C1839" i="3"/>
  <c r="A1839" i="3"/>
  <c r="H1838" i="3"/>
  <c r="G1838" i="3"/>
  <c r="F1838" i="3"/>
  <c r="E1838" i="3"/>
  <c r="C1838" i="3"/>
  <c r="B1838" i="3"/>
  <c r="A1838" i="3"/>
  <c r="H1837" i="3"/>
  <c r="G1837" i="3"/>
  <c r="F1837" i="3"/>
  <c r="E1837" i="3"/>
  <c r="C1837" i="3"/>
  <c r="B1837" i="3"/>
  <c r="A1837" i="3"/>
  <c r="H1836" i="3"/>
  <c r="G1836" i="3"/>
  <c r="F1836" i="3"/>
  <c r="E1836" i="3"/>
  <c r="D1836" i="3"/>
  <c r="C1836" i="3"/>
  <c r="B1836" i="3"/>
  <c r="A1836" i="3"/>
  <c r="H1835" i="3"/>
  <c r="G1835" i="3"/>
  <c r="F1835" i="3"/>
  <c r="E1835" i="3"/>
  <c r="D1835" i="3"/>
  <c r="C1835" i="3"/>
  <c r="B1835" i="3"/>
  <c r="A1835" i="3"/>
  <c r="H1834" i="3"/>
  <c r="G1834" i="3"/>
  <c r="F1834" i="3"/>
  <c r="E1834" i="3"/>
  <c r="D1834" i="3"/>
  <c r="C1834" i="3"/>
  <c r="B1834" i="3"/>
  <c r="A1834" i="3"/>
  <c r="H1833" i="3"/>
  <c r="G1833" i="3"/>
  <c r="F1833" i="3"/>
  <c r="E1833" i="3"/>
  <c r="C1833" i="3"/>
  <c r="B1833" i="3"/>
  <c r="A1833" i="3"/>
  <c r="H1832" i="3"/>
  <c r="G1832" i="3"/>
  <c r="F1832" i="3"/>
  <c r="E1832" i="3"/>
  <c r="C1832" i="3"/>
  <c r="B1832" i="3"/>
  <c r="A1832" i="3"/>
  <c r="H1831" i="3"/>
  <c r="G1831" i="3"/>
  <c r="F1831" i="3"/>
  <c r="E1831" i="3"/>
  <c r="D1831" i="3"/>
  <c r="C1831" i="3"/>
  <c r="B1831" i="3"/>
  <c r="A1831" i="3"/>
  <c r="H1830" i="3"/>
  <c r="G1830" i="3"/>
  <c r="F1830" i="3"/>
  <c r="E1830" i="3"/>
  <c r="C1830" i="3"/>
  <c r="B1830" i="3"/>
  <c r="A1830" i="3"/>
  <c r="H1829" i="3"/>
  <c r="G1829" i="3"/>
  <c r="F1829" i="3"/>
  <c r="E1829" i="3"/>
  <c r="C1829" i="3"/>
  <c r="B1829" i="3"/>
  <c r="A1829" i="3"/>
  <c r="H1828" i="3"/>
  <c r="G1828" i="3"/>
  <c r="F1828" i="3"/>
  <c r="E1828" i="3"/>
  <c r="A1828" i="3"/>
  <c r="H1827" i="3"/>
  <c r="G1827" i="3"/>
  <c r="F1827" i="3"/>
  <c r="E1827" i="3"/>
  <c r="C1827" i="3"/>
  <c r="B1827" i="3"/>
  <c r="A1827" i="3"/>
  <c r="H1826" i="3"/>
  <c r="G1826" i="3"/>
  <c r="F1826" i="3"/>
  <c r="E1826" i="3"/>
  <c r="D1826" i="3"/>
  <c r="C1826" i="3"/>
  <c r="B1826" i="3"/>
  <c r="A1826" i="3"/>
  <c r="H1825" i="3"/>
  <c r="G1825" i="3"/>
  <c r="F1825" i="3"/>
  <c r="E1825" i="3"/>
  <c r="C1825" i="3"/>
  <c r="B1825" i="3"/>
  <c r="A1825" i="3"/>
  <c r="H1824" i="3"/>
  <c r="G1824" i="3"/>
  <c r="F1824" i="3"/>
  <c r="E1824" i="3"/>
  <c r="C1824" i="3"/>
  <c r="B1824" i="3"/>
  <c r="A1824" i="3"/>
  <c r="H1823" i="3"/>
  <c r="G1823" i="3"/>
  <c r="F1823" i="3"/>
  <c r="E1823" i="3"/>
  <c r="C1823" i="3"/>
  <c r="B1823" i="3"/>
  <c r="A1823" i="3"/>
  <c r="H1822" i="3"/>
  <c r="G1822" i="3"/>
  <c r="F1822" i="3"/>
  <c r="E1822" i="3"/>
  <c r="C1822" i="3"/>
  <c r="B1822" i="3"/>
  <c r="A1822" i="3"/>
  <c r="H1821" i="3"/>
  <c r="G1821" i="3"/>
  <c r="F1821" i="3"/>
  <c r="E1821" i="3"/>
  <c r="D1821" i="3"/>
  <c r="C1821" i="3"/>
  <c r="B1821" i="3"/>
  <c r="A1821" i="3"/>
  <c r="H1820" i="3"/>
  <c r="G1820" i="3"/>
  <c r="F1820" i="3"/>
  <c r="E1820" i="3"/>
  <c r="D1820" i="3"/>
  <c r="C1820" i="3"/>
  <c r="B1820" i="3"/>
  <c r="A1820" i="3"/>
  <c r="H1819" i="3"/>
  <c r="G1819" i="3"/>
  <c r="F1819" i="3"/>
  <c r="E1819" i="3"/>
  <c r="C1819" i="3"/>
  <c r="B1819" i="3"/>
  <c r="A1819" i="3"/>
  <c r="H1818" i="3"/>
  <c r="G1818" i="3"/>
  <c r="F1818" i="3"/>
  <c r="E1818" i="3"/>
  <c r="C1818" i="3"/>
  <c r="B1818" i="3"/>
  <c r="A1818" i="3"/>
  <c r="H1817" i="3"/>
  <c r="G1817" i="3"/>
  <c r="F1817" i="3"/>
  <c r="E1817" i="3"/>
  <c r="D1817" i="3"/>
  <c r="C1817" i="3"/>
  <c r="B1817" i="3"/>
  <c r="A1817" i="3"/>
  <c r="H1816" i="3"/>
  <c r="G1816" i="3"/>
  <c r="F1816" i="3"/>
  <c r="E1816" i="3"/>
  <c r="C1816" i="3"/>
  <c r="B1816" i="3"/>
  <c r="A1816" i="3"/>
  <c r="H1815" i="3"/>
  <c r="G1815" i="3"/>
  <c r="F1815" i="3"/>
  <c r="E1815" i="3"/>
  <c r="C1815" i="3"/>
  <c r="B1815" i="3"/>
  <c r="A1815" i="3"/>
  <c r="H1814" i="3"/>
  <c r="G1814" i="3"/>
  <c r="F1814" i="3"/>
  <c r="E1814" i="3"/>
  <c r="C1814" i="3"/>
  <c r="B1814" i="3"/>
  <c r="A1814" i="3"/>
  <c r="H1813" i="3"/>
  <c r="G1813" i="3"/>
  <c r="F1813" i="3"/>
  <c r="E1813" i="3"/>
  <c r="C1813" i="3"/>
  <c r="B1813" i="3"/>
  <c r="A1813" i="3"/>
  <c r="H1812" i="3"/>
  <c r="G1812" i="3"/>
  <c r="F1812" i="3"/>
  <c r="E1812" i="3"/>
  <c r="C1812" i="3"/>
  <c r="B1812" i="3"/>
  <c r="A1812" i="3"/>
  <c r="H1811" i="3"/>
  <c r="G1811" i="3"/>
  <c r="F1811" i="3"/>
  <c r="E1811" i="3"/>
  <c r="D1811" i="3"/>
  <c r="C1811" i="3"/>
  <c r="B1811" i="3"/>
  <c r="A1811" i="3"/>
  <c r="H1810" i="3"/>
  <c r="G1810" i="3"/>
  <c r="F1810" i="3"/>
  <c r="E1810" i="3"/>
  <c r="C1810" i="3"/>
  <c r="B1810" i="3"/>
  <c r="A1810" i="3"/>
  <c r="H1809" i="3"/>
  <c r="G1809" i="3"/>
  <c r="F1809" i="3"/>
  <c r="E1809" i="3"/>
  <c r="C1809" i="3"/>
  <c r="B1809" i="3"/>
  <c r="A1809" i="3"/>
  <c r="H1808" i="3"/>
  <c r="G1808" i="3"/>
  <c r="F1808" i="3"/>
  <c r="E1808" i="3"/>
  <c r="C1808" i="3"/>
  <c r="B1808" i="3"/>
  <c r="A1808" i="3"/>
  <c r="H1807" i="3"/>
  <c r="G1807" i="3"/>
  <c r="F1807" i="3"/>
  <c r="E1807" i="3"/>
  <c r="C1807" i="3"/>
  <c r="B1807" i="3"/>
  <c r="A1807" i="3"/>
  <c r="H1806" i="3"/>
  <c r="G1806" i="3"/>
  <c r="F1806" i="3"/>
  <c r="E1806" i="3"/>
  <c r="C1806" i="3"/>
  <c r="B1806" i="3"/>
  <c r="A1806" i="3"/>
  <c r="H1805" i="3"/>
  <c r="G1805" i="3"/>
  <c r="F1805" i="3"/>
  <c r="E1805" i="3"/>
  <c r="C1805" i="3"/>
  <c r="B1805" i="3"/>
  <c r="A1805" i="3"/>
  <c r="H1804" i="3"/>
  <c r="G1804" i="3"/>
  <c r="F1804" i="3"/>
  <c r="E1804" i="3"/>
  <c r="D1804" i="3"/>
  <c r="C1804" i="3"/>
  <c r="B1804" i="3"/>
  <c r="A1804" i="3"/>
  <c r="H1803" i="3"/>
  <c r="G1803" i="3"/>
  <c r="F1803" i="3"/>
  <c r="E1803" i="3"/>
  <c r="C1803" i="3"/>
  <c r="B1803" i="3"/>
  <c r="A1803" i="3"/>
  <c r="H1802" i="3"/>
  <c r="G1802" i="3"/>
  <c r="F1802" i="3"/>
  <c r="E1802" i="3"/>
  <c r="C1802" i="3"/>
  <c r="B1802" i="3"/>
  <c r="A1802" i="3"/>
  <c r="H1801" i="3"/>
  <c r="G1801" i="3"/>
  <c r="F1801" i="3"/>
  <c r="E1801" i="3"/>
  <c r="C1801" i="3"/>
  <c r="B1801" i="3"/>
  <c r="A1801" i="3"/>
  <c r="H1800" i="3"/>
  <c r="G1800" i="3"/>
  <c r="F1800" i="3"/>
  <c r="E1800" i="3"/>
  <c r="D1800" i="3"/>
  <c r="C1800" i="3"/>
  <c r="B1800" i="3"/>
  <c r="A1800" i="3"/>
  <c r="H1799" i="3"/>
  <c r="G1799" i="3"/>
  <c r="F1799" i="3"/>
  <c r="E1799" i="3"/>
  <c r="C1799" i="3"/>
  <c r="B1799" i="3"/>
  <c r="A1799" i="3"/>
  <c r="H1798" i="3"/>
  <c r="G1798" i="3"/>
  <c r="F1798" i="3"/>
  <c r="E1798" i="3"/>
  <c r="D1798" i="3"/>
  <c r="C1798" i="3"/>
  <c r="B1798" i="3"/>
  <c r="A1798" i="3"/>
  <c r="H1797" i="3"/>
  <c r="G1797" i="3"/>
  <c r="F1797" i="3"/>
  <c r="E1797" i="3"/>
  <c r="D1797" i="3"/>
  <c r="C1797" i="3"/>
  <c r="B1797" i="3"/>
  <c r="A1797" i="3"/>
  <c r="H1796" i="3"/>
  <c r="G1796" i="3"/>
  <c r="F1796" i="3"/>
  <c r="E1796" i="3"/>
  <c r="C1796" i="3"/>
  <c r="A1796" i="3"/>
  <c r="H1795" i="3"/>
  <c r="G1795" i="3"/>
  <c r="F1795" i="3"/>
  <c r="E1795" i="3"/>
  <c r="C1795" i="3"/>
  <c r="B1795" i="3"/>
  <c r="A1795" i="3"/>
  <c r="H1794" i="3"/>
  <c r="G1794" i="3"/>
  <c r="F1794" i="3"/>
  <c r="E1794" i="3"/>
  <c r="C1794" i="3"/>
  <c r="B1794" i="3"/>
  <c r="A1794" i="3"/>
  <c r="H1793" i="3"/>
  <c r="G1793" i="3"/>
  <c r="F1793" i="3"/>
  <c r="E1793" i="3"/>
  <c r="C1793" i="3"/>
  <c r="B1793" i="3"/>
  <c r="A1793" i="3"/>
  <c r="H1792" i="3"/>
  <c r="G1792" i="3"/>
  <c r="F1792" i="3"/>
  <c r="E1792" i="3"/>
  <c r="C1792" i="3"/>
  <c r="B1792" i="3"/>
  <c r="A1792" i="3"/>
  <c r="H1791" i="3"/>
  <c r="G1791" i="3"/>
  <c r="F1791" i="3"/>
  <c r="E1791" i="3"/>
  <c r="B1791" i="3"/>
  <c r="A1791" i="3"/>
  <c r="H1790" i="3"/>
  <c r="G1790" i="3"/>
  <c r="F1790" i="3"/>
  <c r="E1790" i="3"/>
  <c r="C1790" i="3"/>
  <c r="B1790" i="3"/>
  <c r="A1790" i="3"/>
  <c r="H1789" i="3"/>
  <c r="G1789" i="3"/>
  <c r="F1789" i="3"/>
  <c r="E1789" i="3"/>
  <c r="C1789" i="3"/>
  <c r="B1789" i="3"/>
  <c r="A1789" i="3"/>
  <c r="H1788" i="3"/>
  <c r="G1788" i="3"/>
  <c r="F1788" i="3"/>
  <c r="E1788" i="3"/>
  <c r="D1788" i="3"/>
  <c r="C1788" i="3"/>
  <c r="B1788" i="3"/>
  <c r="A1788" i="3"/>
  <c r="H1787" i="3"/>
  <c r="G1787" i="3"/>
  <c r="F1787" i="3"/>
  <c r="E1787" i="3"/>
  <c r="C1787" i="3"/>
  <c r="B1787" i="3"/>
  <c r="A1787" i="3"/>
  <c r="H1786" i="3"/>
  <c r="G1786" i="3"/>
  <c r="F1786" i="3"/>
  <c r="E1786" i="3"/>
  <c r="C1786" i="3"/>
  <c r="B1786" i="3"/>
  <c r="A1786" i="3"/>
  <c r="H1785" i="3"/>
  <c r="G1785" i="3"/>
  <c r="F1785" i="3"/>
  <c r="E1785" i="3"/>
  <c r="C1785" i="3"/>
  <c r="B1785" i="3"/>
  <c r="A1785" i="3"/>
  <c r="H1784" i="3"/>
  <c r="G1784" i="3"/>
  <c r="F1784" i="3"/>
  <c r="E1784" i="3"/>
  <c r="D1784" i="3"/>
  <c r="C1784" i="3"/>
  <c r="B1784" i="3"/>
  <c r="A1784" i="3"/>
  <c r="H1783" i="3"/>
  <c r="G1783" i="3"/>
  <c r="F1783" i="3"/>
  <c r="E1783" i="3"/>
  <c r="C1783" i="3"/>
  <c r="B1783" i="3"/>
  <c r="A1783" i="3"/>
  <c r="H1782" i="3"/>
  <c r="G1782" i="3"/>
  <c r="F1782" i="3"/>
  <c r="E1782" i="3"/>
  <c r="D1782" i="3"/>
  <c r="C1782" i="3"/>
  <c r="B1782" i="3"/>
  <c r="A1782" i="3"/>
  <c r="H1781" i="3"/>
  <c r="G1781" i="3"/>
  <c r="F1781" i="3"/>
  <c r="E1781" i="3"/>
  <c r="C1781" i="3"/>
  <c r="B1781" i="3"/>
  <c r="A1781" i="3"/>
  <c r="H1780" i="3"/>
  <c r="G1780" i="3"/>
  <c r="F1780" i="3"/>
  <c r="E1780" i="3"/>
  <c r="D1780" i="3"/>
  <c r="C1780" i="3"/>
  <c r="B1780" i="3"/>
  <c r="A1780" i="3"/>
  <c r="H1779" i="3"/>
  <c r="G1779" i="3"/>
  <c r="F1779" i="3"/>
  <c r="E1779" i="3"/>
  <c r="D1779" i="3"/>
  <c r="C1779" i="3"/>
  <c r="B1779" i="3"/>
  <c r="A1779" i="3"/>
  <c r="H1778" i="3"/>
  <c r="G1778" i="3"/>
  <c r="F1778" i="3"/>
  <c r="E1778" i="3"/>
  <c r="C1778" i="3"/>
  <c r="B1778" i="3"/>
  <c r="A1778" i="3"/>
  <c r="H1777" i="3"/>
  <c r="G1777" i="3"/>
  <c r="F1777" i="3"/>
  <c r="E1777" i="3"/>
  <c r="C1777" i="3"/>
  <c r="B1777" i="3"/>
  <c r="A1777" i="3"/>
  <c r="H1776" i="3"/>
  <c r="G1776" i="3"/>
  <c r="F1776" i="3"/>
  <c r="E1776" i="3"/>
  <c r="C1776" i="3"/>
  <c r="B1776" i="3"/>
  <c r="A1776" i="3"/>
  <c r="H1775" i="3"/>
  <c r="G1775" i="3"/>
  <c r="F1775" i="3"/>
  <c r="E1775" i="3"/>
  <c r="A1775" i="3"/>
  <c r="H1774" i="3"/>
  <c r="G1774" i="3"/>
  <c r="F1774" i="3"/>
  <c r="E1774" i="3"/>
  <c r="C1774" i="3"/>
  <c r="B1774" i="3"/>
  <c r="A1774" i="3"/>
  <c r="H1773" i="3"/>
  <c r="G1773" i="3"/>
  <c r="F1773" i="3"/>
  <c r="E1773" i="3"/>
  <c r="B1773" i="3"/>
  <c r="A1773" i="3"/>
  <c r="H1772" i="3"/>
  <c r="G1772" i="3"/>
  <c r="F1772" i="3"/>
  <c r="E1772" i="3"/>
  <c r="C1772" i="3"/>
  <c r="A1772" i="3"/>
  <c r="H1771" i="3"/>
  <c r="G1771" i="3"/>
  <c r="F1771" i="3"/>
  <c r="E1771" i="3"/>
  <c r="D1771" i="3"/>
  <c r="C1771" i="3"/>
  <c r="B1771" i="3"/>
  <c r="A1771" i="3"/>
  <c r="H1770" i="3"/>
  <c r="G1770" i="3"/>
  <c r="F1770" i="3"/>
  <c r="E1770" i="3"/>
  <c r="C1770" i="3"/>
  <c r="B1770" i="3"/>
  <c r="A1770" i="3"/>
  <c r="H1769" i="3"/>
  <c r="G1769" i="3"/>
  <c r="F1769" i="3"/>
  <c r="E1769" i="3"/>
  <c r="C1769" i="3"/>
  <c r="B1769" i="3"/>
  <c r="A1769" i="3"/>
  <c r="H1768" i="3"/>
  <c r="G1768" i="3"/>
  <c r="F1768" i="3"/>
  <c r="E1768" i="3"/>
  <c r="C1768" i="3"/>
  <c r="B1768" i="3"/>
  <c r="A1768" i="3"/>
  <c r="H1767" i="3"/>
  <c r="G1767" i="3"/>
  <c r="F1767" i="3"/>
  <c r="E1767" i="3"/>
  <c r="C1767" i="3"/>
  <c r="B1767" i="3"/>
  <c r="A1767" i="3"/>
  <c r="H1766" i="3"/>
  <c r="G1766" i="3"/>
  <c r="F1766" i="3"/>
  <c r="E1766" i="3"/>
  <c r="C1766" i="3"/>
  <c r="B1766" i="3"/>
  <c r="A1766" i="3"/>
  <c r="H1765" i="3"/>
  <c r="G1765" i="3"/>
  <c r="F1765" i="3"/>
  <c r="E1765" i="3"/>
  <c r="C1765" i="3"/>
  <c r="B1765" i="3"/>
  <c r="A1765" i="3"/>
  <c r="H1764" i="3"/>
  <c r="G1764" i="3"/>
  <c r="F1764" i="3"/>
  <c r="E1764" i="3"/>
  <c r="D1764" i="3"/>
  <c r="C1764" i="3"/>
  <c r="B1764" i="3"/>
  <c r="A1764" i="3"/>
  <c r="H1763" i="3"/>
  <c r="G1763" i="3"/>
  <c r="F1763" i="3"/>
  <c r="E1763" i="3"/>
  <c r="D1763" i="3"/>
  <c r="C1763" i="3"/>
  <c r="B1763" i="3"/>
  <c r="A1763" i="3"/>
  <c r="H1762" i="3"/>
  <c r="G1762" i="3"/>
  <c r="F1762" i="3"/>
  <c r="E1762" i="3"/>
  <c r="C1762" i="3"/>
  <c r="B1762" i="3"/>
  <c r="A1762" i="3"/>
  <c r="H1761" i="3"/>
  <c r="G1761" i="3"/>
  <c r="F1761" i="3"/>
  <c r="E1761" i="3"/>
  <c r="C1761" i="3"/>
  <c r="B1761" i="3"/>
  <c r="A1761" i="3"/>
  <c r="H1760" i="3"/>
  <c r="G1760" i="3"/>
  <c r="F1760" i="3"/>
  <c r="E1760" i="3"/>
  <c r="C1760" i="3"/>
  <c r="B1760" i="3"/>
  <c r="A1760" i="3"/>
  <c r="H1759" i="3"/>
  <c r="G1759" i="3"/>
  <c r="F1759" i="3"/>
  <c r="E1759" i="3"/>
  <c r="C1759" i="3"/>
  <c r="B1759" i="3"/>
  <c r="A1759" i="3"/>
  <c r="H1758" i="3"/>
  <c r="G1758" i="3"/>
  <c r="F1758" i="3"/>
  <c r="E1758" i="3"/>
  <c r="C1758" i="3"/>
  <c r="B1758" i="3"/>
  <c r="A1758" i="3"/>
  <c r="H1757" i="3"/>
  <c r="G1757" i="3"/>
  <c r="F1757" i="3"/>
  <c r="E1757" i="3"/>
  <c r="D1757" i="3"/>
  <c r="C1757" i="3"/>
  <c r="B1757" i="3"/>
  <c r="A1757" i="3"/>
  <c r="H1756" i="3"/>
  <c r="G1756" i="3"/>
  <c r="F1756" i="3"/>
  <c r="E1756" i="3"/>
  <c r="C1756" i="3"/>
  <c r="B1756" i="3"/>
  <c r="A1756" i="3"/>
  <c r="H1755" i="3"/>
  <c r="G1755" i="3"/>
  <c r="F1755" i="3"/>
  <c r="E1755" i="3"/>
  <c r="D1755" i="3"/>
  <c r="C1755" i="3"/>
  <c r="B1755" i="3"/>
  <c r="A1755" i="3"/>
  <c r="H1754" i="3"/>
  <c r="G1754" i="3"/>
  <c r="F1754" i="3"/>
  <c r="E1754" i="3"/>
  <c r="C1754" i="3"/>
  <c r="B1754" i="3"/>
  <c r="A1754" i="3"/>
  <c r="H1753" i="3"/>
  <c r="G1753" i="3"/>
  <c r="F1753" i="3"/>
  <c r="E1753" i="3"/>
  <c r="D1753" i="3"/>
  <c r="C1753" i="3"/>
  <c r="B1753" i="3"/>
  <c r="A1753" i="3"/>
  <c r="H1752" i="3"/>
  <c r="G1752" i="3"/>
  <c r="F1752" i="3"/>
  <c r="E1752" i="3"/>
  <c r="C1752" i="3"/>
  <c r="B1752" i="3"/>
  <c r="A1752" i="3"/>
  <c r="H1751" i="3"/>
  <c r="G1751" i="3"/>
  <c r="F1751" i="3"/>
  <c r="E1751" i="3"/>
  <c r="C1751" i="3"/>
  <c r="B1751" i="3"/>
  <c r="A1751" i="3"/>
  <c r="H1750" i="3"/>
  <c r="G1750" i="3"/>
  <c r="F1750" i="3"/>
  <c r="E1750" i="3"/>
  <c r="A1750" i="3"/>
  <c r="H1749" i="3"/>
  <c r="G1749" i="3"/>
  <c r="F1749" i="3"/>
  <c r="E1749" i="3"/>
  <c r="C1749" i="3"/>
  <c r="B1749" i="3"/>
  <c r="A1749" i="3"/>
  <c r="H1748" i="3"/>
  <c r="G1748" i="3"/>
  <c r="F1748" i="3"/>
  <c r="E1748" i="3"/>
  <c r="C1748" i="3"/>
  <c r="B1748" i="3"/>
  <c r="A1748" i="3"/>
  <c r="H1747" i="3"/>
  <c r="G1747" i="3"/>
  <c r="F1747" i="3"/>
  <c r="E1747" i="3"/>
  <c r="C1747" i="3"/>
  <c r="B1747" i="3"/>
  <c r="A1747" i="3"/>
  <c r="H1746" i="3"/>
  <c r="G1746" i="3"/>
  <c r="F1746" i="3"/>
  <c r="E1746" i="3"/>
  <c r="C1746" i="3"/>
  <c r="B1746" i="3"/>
  <c r="A1746" i="3"/>
  <c r="H1745" i="3"/>
  <c r="G1745" i="3"/>
  <c r="F1745" i="3"/>
  <c r="E1745" i="3"/>
  <c r="C1745" i="3"/>
  <c r="B1745" i="3"/>
  <c r="A1745" i="3"/>
  <c r="H1744" i="3"/>
  <c r="G1744" i="3"/>
  <c r="F1744" i="3"/>
  <c r="E1744" i="3"/>
  <c r="C1744" i="3"/>
  <c r="B1744" i="3"/>
  <c r="A1744" i="3"/>
  <c r="H1743" i="3"/>
  <c r="G1743" i="3"/>
  <c r="F1743" i="3"/>
  <c r="E1743" i="3"/>
  <c r="C1743" i="3"/>
  <c r="B1743" i="3"/>
  <c r="A1743" i="3"/>
  <c r="H1742" i="3"/>
  <c r="G1742" i="3"/>
  <c r="F1742" i="3"/>
  <c r="E1742" i="3"/>
  <c r="C1742" i="3"/>
  <c r="B1742" i="3"/>
  <c r="A1742" i="3"/>
  <c r="H1741" i="3"/>
  <c r="G1741" i="3"/>
  <c r="F1741" i="3"/>
  <c r="E1741" i="3"/>
  <c r="C1741" i="3"/>
  <c r="B1741" i="3"/>
  <c r="A1741" i="3"/>
  <c r="H1740" i="3"/>
  <c r="G1740" i="3"/>
  <c r="F1740" i="3"/>
  <c r="E1740" i="3"/>
  <c r="C1740" i="3"/>
  <c r="B1740" i="3"/>
  <c r="A1740" i="3"/>
  <c r="H1739" i="3"/>
  <c r="G1739" i="3"/>
  <c r="F1739" i="3"/>
  <c r="E1739" i="3"/>
  <c r="C1739" i="3"/>
  <c r="B1739" i="3"/>
  <c r="A1739" i="3"/>
  <c r="H1738" i="3"/>
  <c r="G1738" i="3"/>
  <c r="F1738" i="3"/>
  <c r="E1738" i="3"/>
  <c r="C1738" i="3"/>
  <c r="B1738" i="3"/>
  <c r="A1738" i="3"/>
  <c r="H1737" i="3"/>
  <c r="G1737" i="3"/>
  <c r="F1737" i="3"/>
  <c r="E1737" i="3"/>
  <c r="C1737" i="3"/>
  <c r="B1737" i="3"/>
  <c r="A1737" i="3"/>
  <c r="H1736" i="3"/>
  <c r="G1736" i="3"/>
  <c r="F1736" i="3"/>
  <c r="E1736" i="3"/>
  <c r="D1736" i="3"/>
  <c r="C1736" i="3"/>
  <c r="B1736" i="3"/>
  <c r="A1736" i="3"/>
  <c r="H1735" i="3"/>
  <c r="G1735" i="3"/>
  <c r="F1735" i="3"/>
  <c r="E1735" i="3"/>
  <c r="D1735" i="3"/>
  <c r="C1735" i="3"/>
  <c r="B1735" i="3"/>
  <c r="A1735" i="3"/>
  <c r="H1734" i="3"/>
  <c r="G1734" i="3"/>
  <c r="F1734" i="3"/>
  <c r="E1734" i="3"/>
  <c r="D1734" i="3"/>
  <c r="C1734" i="3"/>
  <c r="B1734" i="3"/>
  <c r="A1734" i="3"/>
  <c r="H1733" i="3"/>
  <c r="G1733" i="3"/>
  <c r="F1733" i="3"/>
  <c r="E1733" i="3"/>
  <c r="C1733" i="3"/>
  <c r="B1733" i="3"/>
  <c r="A1733" i="3"/>
  <c r="H1732" i="3"/>
  <c r="G1732" i="3"/>
  <c r="F1732" i="3"/>
  <c r="E1732" i="3"/>
  <c r="D1732" i="3"/>
  <c r="C1732" i="3"/>
  <c r="B1732" i="3"/>
  <c r="A1732" i="3"/>
  <c r="H1731" i="3"/>
  <c r="G1731" i="3"/>
  <c r="F1731" i="3"/>
  <c r="E1731" i="3"/>
  <c r="C1731" i="3"/>
  <c r="B1731" i="3"/>
  <c r="A1731" i="3"/>
  <c r="H1730" i="3"/>
  <c r="G1730" i="3"/>
  <c r="F1730" i="3"/>
  <c r="E1730" i="3"/>
  <c r="C1730" i="3"/>
  <c r="B1730" i="3"/>
  <c r="A1730" i="3"/>
  <c r="H1729" i="3"/>
  <c r="G1729" i="3"/>
  <c r="F1729" i="3"/>
  <c r="E1729" i="3"/>
  <c r="C1729" i="3"/>
  <c r="B1729" i="3"/>
  <c r="A1729" i="3"/>
  <c r="H1728" i="3"/>
  <c r="G1728" i="3"/>
  <c r="F1728" i="3"/>
  <c r="E1728" i="3"/>
  <c r="C1728" i="3"/>
  <c r="B1728" i="3"/>
  <c r="A1728" i="3"/>
  <c r="H1727" i="3"/>
  <c r="G1727" i="3"/>
  <c r="F1727" i="3"/>
  <c r="E1727" i="3"/>
  <c r="C1727" i="3"/>
  <c r="B1727" i="3"/>
  <c r="A1727" i="3"/>
  <c r="H1726" i="3"/>
  <c r="G1726" i="3"/>
  <c r="F1726" i="3"/>
  <c r="E1726" i="3"/>
  <c r="D1726" i="3"/>
  <c r="C1726" i="3"/>
  <c r="B1726" i="3"/>
  <c r="A1726" i="3"/>
  <c r="H1725" i="3"/>
  <c r="G1725" i="3"/>
  <c r="F1725" i="3"/>
  <c r="E1725" i="3"/>
  <c r="D1725" i="3"/>
  <c r="C1725" i="3"/>
  <c r="B1725" i="3"/>
  <c r="A1725" i="3"/>
  <c r="H1724" i="3"/>
  <c r="G1724" i="3"/>
  <c r="F1724" i="3"/>
  <c r="E1724" i="3"/>
  <c r="C1724" i="3"/>
  <c r="B1724" i="3"/>
  <c r="A1724" i="3"/>
  <c r="H1723" i="3"/>
  <c r="G1723" i="3"/>
  <c r="F1723" i="3"/>
  <c r="E1723" i="3"/>
  <c r="C1723" i="3"/>
  <c r="B1723" i="3"/>
  <c r="A1723" i="3"/>
  <c r="H1722" i="3"/>
  <c r="G1722" i="3"/>
  <c r="F1722" i="3"/>
  <c r="E1722" i="3"/>
  <c r="C1722" i="3"/>
  <c r="B1722" i="3"/>
  <c r="A1722" i="3"/>
  <c r="H1721" i="3"/>
  <c r="G1721" i="3"/>
  <c r="F1721" i="3"/>
  <c r="E1721" i="3"/>
  <c r="C1721" i="3"/>
  <c r="B1721" i="3"/>
  <c r="A1721" i="3"/>
  <c r="H1720" i="3"/>
  <c r="G1720" i="3"/>
  <c r="F1720" i="3"/>
  <c r="E1720" i="3"/>
  <c r="C1720" i="3"/>
  <c r="A1720" i="3"/>
  <c r="H1719" i="3"/>
  <c r="G1719" i="3"/>
  <c r="F1719" i="3"/>
  <c r="E1719" i="3"/>
  <c r="C1719" i="3"/>
  <c r="B1719" i="3"/>
  <c r="A1719" i="3"/>
  <c r="H1718" i="3"/>
  <c r="G1718" i="3"/>
  <c r="F1718" i="3"/>
  <c r="E1718" i="3"/>
  <c r="C1718" i="3"/>
  <c r="B1718" i="3"/>
  <c r="A1718" i="3"/>
  <c r="H1717" i="3"/>
  <c r="G1717" i="3"/>
  <c r="F1717" i="3"/>
  <c r="E1717" i="3"/>
  <c r="C1717" i="3"/>
  <c r="B1717" i="3"/>
  <c r="A1717" i="3"/>
  <c r="H1716" i="3"/>
  <c r="G1716" i="3"/>
  <c r="F1716" i="3"/>
  <c r="E1716" i="3"/>
  <c r="C1716" i="3"/>
  <c r="B1716" i="3"/>
  <c r="A1716" i="3"/>
  <c r="H1715" i="3"/>
  <c r="G1715" i="3"/>
  <c r="F1715" i="3"/>
  <c r="E1715" i="3"/>
  <c r="C1715" i="3"/>
  <c r="B1715" i="3"/>
  <c r="A1715" i="3"/>
  <c r="H1714" i="3"/>
  <c r="G1714" i="3"/>
  <c r="F1714" i="3"/>
  <c r="E1714" i="3"/>
  <c r="A1714" i="3"/>
  <c r="H1713" i="3"/>
  <c r="G1713" i="3"/>
  <c r="F1713" i="3"/>
  <c r="E1713" i="3"/>
  <c r="C1713" i="3"/>
  <c r="B1713" i="3"/>
  <c r="A1713" i="3"/>
  <c r="H1712" i="3"/>
  <c r="G1712" i="3"/>
  <c r="F1712" i="3"/>
  <c r="E1712" i="3"/>
  <c r="C1712" i="3"/>
  <c r="B1712" i="3"/>
  <c r="A1712" i="3"/>
  <c r="H1711" i="3"/>
  <c r="G1711" i="3"/>
  <c r="F1711" i="3"/>
  <c r="E1711" i="3"/>
  <c r="C1711" i="3"/>
  <c r="B1711" i="3"/>
  <c r="A1711" i="3"/>
  <c r="H1710" i="3"/>
  <c r="G1710" i="3"/>
  <c r="F1710" i="3"/>
  <c r="E1710" i="3"/>
  <c r="D1710" i="3"/>
  <c r="C1710" i="3"/>
  <c r="B1710" i="3"/>
  <c r="A1710" i="3"/>
  <c r="H1709" i="3"/>
  <c r="G1709" i="3"/>
  <c r="F1709" i="3"/>
  <c r="E1709" i="3"/>
  <c r="D1709" i="3"/>
  <c r="C1709" i="3"/>
  <c r="B1709" i="3"/>
  <c r="A1709" i="3"/>
  <c r="H1708" i="3"/>
  <c r="G1708" i="3"/>
  <c r="F1708" i="3"/>
  <c r="E1708" i="3"/>
  <c r="C1708" i="3"/>
  <c r="B1708" i="3"/>
  <c r="A1708" i="3"/>
  <c r="H1707" i="3"/>
  <c r="G1707" i="3"/>
  <c r="F1707" i="3"/>
  <c r="E1707" i="3"/>
  <c r="B1707" i="3"/>
  <c r="A1707" i="3"/>
  <c r="H1706" i="3"/>
  <c r="G1706" i="3"/>
  <c r="F1706" i="3"/>
  <c r="E1706" i="3"/>
  <c r="D1706" i="3"/>
  <c r="C1706" i="3"/>
  <c r="B1706" i="3"/>
  <c r="A1706" i="3"/>
  <c r="H1705" i="3"/>
  <c r="G1705" i="3"/>
  <c r="F1705" i="3"/>
  <c r="E1705" i="3"/>
  <c r="D1705" i="3"/>
  <c r="C1705" i="3"/>
  <c r="B1705" i="3"/>
  <c r="A1705" i="3"/>
  <c r="H1704" i="3"/>
  <c r="G1704" i="3"/>
  <c r="F1704" i="3"/>
  <c r="E1704" i="3"/>
  <c r="D1704" i="3"/>
  <c r="C1704" i="3"/>
  <c r="B1704" i="3"/>
  <c r="A1704" i="3"/>
  <c r="H1703" i="3"/>
  <c r="G1703" i="3"/>
  <c r="F1703" i="3"/>
  <c r="E1703" i="3"/>
  <c r="C1703" i="3"/>
  <c r="B1703" i="3"/>
  <c r="A1703" i="3"/>
  <c r="H1702" i="3"/>
  <c r="G1702" i="3"/>
  <c r="F1702" i="3"/>
  <c r="E1702" i="3"/>
  <c r="C1702" i="3"/>
  <c r="B1702" i="3"/>
  <c r="A1702" i="3"/>
  <c r="H1701" i="3"/>
  <c r="G1701" i="3"/>
  <c r="F1701" i="3"/>
  <c r="E1701" i="3"/>
  <c r="C1701" i="3"/>
  <c r="A1701" i="3"/>
  <c r="H1700" i="3"/>
  <c r="G1700" i="3"/>
  <c r="F1700" i="3"/>
  <c r="E1700" i="3"/>
  <c r="C1700" i="3"/>
  <c r="B1700" i="3"/>
  <c r="A1700" i="3"/>
  <c r="H1699" i="3"/>
  <c r="G1699" i="3"/>
  <c r="F1699" i="3"/>
  <c r="E1699" i="3"/>
  <c r="C1699" i="3"/>
  <c r="B1699" i="3"/>
  <c r="A1699" i="3"/>
  <c r="H1698" i="3"/>
  <c r="G1698" i="3"/>
  <c r="F1698" i="3"/>
  <c r="E1698" i="3"/>
  <c r="D1698" i="3"/>
  <c r="C1698" i="3"/>
  <c r="B1698" i="3"/>
  <c r="A1698" i="3"/>
  <c r="H1697" i="3"/>
  <c r="G1697" i="3"/>
  <c r="F1697" i="3"/>
  <c r="E1697" i="3"/>
  <c r="D1697" i="3"/>
  <c r="C1697" i="3"/>
  <c r="B1697" i="3"/>
  <c r="A1697" i="3"/>
  <c r="H1696" i="3"/>
  <c r="G1696" i="3"/>
  <c r="F1696" i="3"/>
  <c r="E1696" i="3"/>
  <c r="C1696" i="3"/>
  <c r="B1696" i="3"/>
  <c r="A1696" i="3"/>
  <c r="H1695" i="3"/>
  <c r="G1695" i="3"/>
  <c r="F1695" i="3"/>
  <c r="E1695" i="3"/>
  <c r="C1695" i="3"/>
  <c r="B1695" i="3"/>
  <c r="A1695" i="3"/>
  <c r="H1694" i="3"/>
  <c r="G1694" i="3"/>
  <c r="F1694" i="3"/>
  <c r="E1694" i="3"/>
  <c r="C1694" i="3"/>
  <c r="A1694" i="3"/>
  <c r="H1693" i="3"/>
  <c r="G1693" i="3"/>
  <c r="F1693" i="3"/>
  <c r="E1693" i="3"/>
  <c r="C1693" i="3"/>
  <c r="B1693" i="3"/>
  <c r="A1693" i="3"/>
  <c r="H1692" i="3"/>
  <c r="G1692" i="3"/>
  <c r="F1692" i="3"/>
  <c r="E1692" i="3"/>
  <c r="C1692" i="3"/>
  <c r="B1692" i="3"/>
  <c r="A1692" i="3"/>
  <c r="H1691" i="3"/>
  <c r="G1691" i="3"/>
  <c r="F1691" i="3"/>
  <c r="E1691" i="3"/>
  <c r="D1691" i="3"/>
  <c r="C1691" i="3"/>
  <c r="B1691" i="3"/>
  <c r="A1691" i="3"/>
  <c r="H1690" i="3"/>
  <c r="G1690" i="3"/>
  <c r="F1690" i="3"/>
  <c r="E1690" i="3"/>
  <c r="C1690" i="3"/>
  <c r="B1690" i="3"/>
  <c r="A1690" i="3"/>
  <c r="H1689" i="3"/>
  <c r="G1689" i="3"/>
  <c r="F1689" i="3"/>
  <c r="E1689" i="3"/>
  <c r="C1689" i="3"/>
  <c r="B1689" i="3"/>
  <c r="A1689" i="3"/>
  <c r="H1688" i="3"/>
  <c r="G1688" i="3"/>
  <c r="F1688" i="3"/>
  <c r="E1688" i="3"/>
  <c r="C1688" i="3"/>
  <c r="B1688" i="3"/>
  <c r="A1688" i="3"/>
  <c r="H1687" i="3"/>
  <c r="G1687" i="3"/>
  <c r="F1687" i="3"/>
  <c r="E1687" i="3"/>
  <c r="C1687" i="3"/>
  <c r="B1687" i="3"/>
  <c r="A1687" i="3"/>
  <c r="H1686" i="3"/>
  <c r="G1686" i="3"/>
  <c r="F1686" i="3"/>
  <c r="E1686" i="3"/>
  <c r="C1686" i="3"/>
  <c r="B1686" i="3"/>
  <c r="A1686" i="3"/>
  <c r="H1685" i="3"/>
  <c r="G1685" i="3"/>
  <c r="F1685" i="3"/>
  <c r="E1685" i="3"/>
  <c r="C1685" i="3"/>
  <c r="B1685" i="3"/>
  <c r="A1685" i="3"/>
  <c r="H1684" i="3"/>
  <c r="G1684" i="3"/>
  <c r="F1684" i="3"/>
  <c r="E1684" i="3"/>
  <c r="C1684" i="3"/>
  <c r="B1684" i="3"/>
  <c r="A1684" i="3"/>
  <c r="H1683" i="3"/>
  <c r="G1683" i="3"/>
  <c r="F1683" i="3"/>
  <c r="E1683" i="3"/>
  <c r="C1683" i="3"/>
  <c r="B1683" i="3"/>
  <c r="A1683" i="3"/>
  <c r="H1682" i="3"/>
  <c r="G1682" i="3"/>
  <c r="F1682" i="3"/>
  <c r="E1682" i="3"/>
  <c r="A1682" i="3"/>
  <c r="H1681" i="3"/>
  <c r="G1681" i="3"/>
  <c r="F1681" i="3"/>
  <c r="E1681" i="3"/>
  <c r="C1681" i="3"/>
  <c r="B1681" i="3"/>
  <c r="A1681" i="3"/>
  <c r="H1680" i="3"/>
  <c r="G1680" i="3"/>
  <c r="F1680" i="3"/>
  <c r="E1680" i="3"/>
  <c r="C1680" i="3"/>
  <c r="B1680" i="3"/>
  <c r="A1680" i="3"/>
  <c r="H1679" i="3"/>
  <c r="G1679" i="3"/>
  <c r="F1679" i="3"/>
  <c r="E1679" i="3"/>
  <c r="C1679" i="3"/>
  <c r="B1679" i="3"/>
  <c r="A1679" i="3"/>
  <c r="H1678" i="3"/>
  <c r="G1678" i="3"/>
  <c r="F1678" i="3"/>
  <c r="E1678" i="3"/>
  <c r="C1678" i="3"/>
  <c r="B1678" i="3"/>
  <c r="A1678" i="3"/>
  <c r="H1677" i="3"/>
  <c r="G1677" i="3"/>
  <c r="F1677" i="3"/>
  <c r="E1677" i="3"/>
  <c r="C1677" i="3"/>
  <c r="B1677" i="3"/>
  <c r="A1677" i="3"/>
  <c r="H1676" i="3"/>
  <c r="G1676" i="3"/>
  <c r="F1676" i="3"/>
  <c r="E1676" i="3"/>
  <c r="C1676" i="3"/>
  <c r="B1676" i="3"/>
  <c r="A1676" i="3"/>
  <c r="H1675" i="3"/>
  <c r="G1675" i="3"/>
  <c r="F1675" i="3"/>
  <c r="E1675" i="3"/>
  <c r="C1675" i="3"/>
  <c r="B1675" i="3"/>
  <c r="A1675" i="3"/>
  <c r="H1674" i="3"/>
  <c r="G1674" i="3"/>
  <c r="F1674" i="3"/>
  <c r="E1674" i="3"/>
  <c r="C1674" i="3"/>
  <c r="A1674" i="3"/>
  <c r="H1673" i="3"/>
  <c r="G1673" i="3"/>
  <c r="F1673" i="3"/>
  <c r="E1673" i="3"/>
  <c r="C1673" i="3"/>
  <c r="B1673" i="3"/>
  <c r="A1673" i="3"/>
  <c r="H1672" i="3"/>
  <c r="G1672" i="3"/>
  <c r="F1672" i="3"/>
  <c r="E1672" i="3"/>
  <c r="C1672" i="3"/>
  <c r="B1672" i="3"/>
  <c r="A1672" i="3"/>
  <c r="H1671" i="3"/>
  <c r="G1671" i="3"/>
  <c r="F1671" i="3"/>
  <c r="E1671" i="3"/>
  <c r="C1671" i="3"/>
  <c r="B1671" i="3"/>
  <c r="A1671" i="3"/>
  <c r="H1670" i="3"/>
  <c r="G1670" i="3"/>
  <c r="F1670" i="3"/>
  <c r="E1670" i="3"/>
  <c r="C1670" i="3"/>
  <c r="B1670" i="3"/>
  <c r="A1670" i="3"/>
  <c r="H1669" i="3"/>
  <c r="G1669" i="3"/>
  <c r="F1669" i="3"/>
  <c r="E1669" i="3"/>
  <c r="C1669" i="3"/>
  <c r="B1669" i="3"/>
  <c r="A1669" i="3"/>
  <c r="H1668" i="3"/>
  <c r="G1668" i="3"/>
  <c r="F1668" i="3"/>
  <c r="E1668" i="3"/>
  <c r="D1668" i="3"/>
  <c r="C1668" i="3"/>
  <c r="B1668" i="3"/>
  <c r="A1668" i="3"/>
  <c r="H1667" i="3"/>
  <c r="G1667" i="3"/>
  <c r="F1667" i="3"/>
  <c r="E1667" i="3"/>
  <c r="C1667" i="3"/>
  <c r="B1667" i="3"/>
  <c r="A1667" i="3"/>
  <c r="H1666" i="3"/>
  <c r="G1666" i="3"/>
  <c r="F1666" i="3"/>
  <c r="E1666" i="3"/>
  <c r="C1666" i="3"/>
  <c r="A1666" i="3"/>
  <c r="H1665" i="3"/>
  <c r="G1665" i="3"/>
  <c r="F1665" i="3"/>
  <c r="E1665" i="3"/>
  <c r="C1665" i="3"/>
  <c r="B1665" i="3"/>
  <c r="A1665" i="3"/>
  <c r="H1664" i="3"/>
  <c r="G1664" i="3"/>
  <c r="F1664" i="3"/>
  <c r="E1664" i="3"/>
  <c r="C1664" i="3"/>
  <c r="B1664" i="3"/>
  <c r="A1664" i="3"/>
  <c r="H1663" i="3"/>
  <c r="G1663" i="3"/>
  <c r="F1663" i="3"/>
  <c r="E1663" i="3"/>
  <c r="D1663" i="3"/>
  <c r="C1663" i="3"/>
  <c r="B1663" i="3"/>
  <c r="A1663" i="3"/>
  <c r="H1662" i="3"/>
  <c r="G1662" i="3"/>
  <c r="F1662" i="3"/>
  <c r="E1662" i="3"/>
  <c r="C1662" i="3"/>
  <c r="A1662" i="3"/>
  <c r="H1661" i="3"/>
  <c r="G1661" i="3"/>
  <c r="F1661" i="3"/>
  <c r="E1661" i="3"/>
  <c r="D1661" i="3"/>
  <c r="C1661" i="3"/>
  <c r="B1661" i="3"/>
  <c r="A1661" i="3"/>
  <c r="H1660" i="3"/>
  <c r="G1660" i="3"/>
  <c r="F1660" i="3"/>
  <c r="E1660" i="3"/>
  <c r="C1660" i="3"/>
  <c r="B1660" i="3"/>
  <c r="A1660" i="3"/>
  <c r="H1659" i="3"/>
  <c r="G1659" i="3"/>
  <c r="F1659" i="3"/>
  <c r="E1659" i="3"/>
  <c r="C1659" i="3"/>
  <c r="B1659" i="3"/>
  <c r="A1659" i="3"/>
  <c r="H1658" i="3"/>
  <c r="G1658" i="3"/>
  <c r="F1658" i="3"/>
  <c r="E1658" i="3"/>
  <c r="C1658" i="3"/>
  <c r="B1658" i="3"/>
  <c r="A1658" i="3"/>
  <c r="H1657" i="3"/>
  <c r="G1657" i="3"/>
  <c r="F1657" i="3"/>
  <c r="E1657" i="3"/>
  <c r="D1657" i="3"/>
  <c r="C1657" i="3"/>
  <c r="B1657" i="3"/>
  <c r="A1657" i="3"/>
  <c r="H1656" i="3"/>
  <c r="G1656" i="3"/>
  <c r="F1656" i="3"/>
  <c r="E1656" i="3"/>
  <c r="C1656" i="3"/>
  <c r="B1656" i="3"/>
  <c r="A1656" i="3"/>
  <c r="H1655" i="3"/>
  <c r="G1655" i="3"/>
  <c r="F1655" i="3"/>
  <c r="E1655" i="3"/>
  <c r="C1655" i="3"/>
  <c r="B1655" i="3"/>
  <c r="A1655" i="3"/>
  <c r="H1654" i="3"/>
  <c r="G1654" i="3"/>
  <c r="F1654" i="3"/>
  <c r="E1654" i="3"/>
  <c r="C1654" i="3"/>
  <c r="B1654" i="3"/>
  <c r="A1654" i="3"/>
  <c r="H1653" i="3"/>
  <c r="G1653" i="3"/>
  <c r="F1653" i="3"/>
  <c r="E1653" i="3"/>
  <c r="C1653" i="3"/>
  <c r="B1653" i="3"/>
  <c r="A1653" i="3"/>
  <c r="H1652" i="3"/>
  <c r="G1652" i="3"/>
  <c r="F1652" i="3"/>
  <c r="E1652" i="3"/>
  <c r="C1652" i="3"/>
  <c r="B1652" i="3"/>
  <c r="A1652" i="3"/>
  <c r="H1651" i="3"/>
  <c r="G1651" i="3"/>
  <c r="F1651" i="3"/>
  <c r="E1651" i="3"/>
  <c r="A1651" i="3"/>
  <c r="H1650" i="3"/>
  <c r="G1650" i="3"/>
  <c r="F1650" i="3"/>
  <c r="E1650" i="3"/>
  <c r="C1650" i="3"/>
  <c r="B1650" i="3"/>
  <c r="A1650" i="3"/>
  <c r="H1649" i="3"/>
  <c r="G1649" i="3"/>
  <c r="F1649" i="3"/>
  <c r="E1649" i="3"/>
  <c r="C1649" i="3"/>
  <c r="B1649" i="3"/>
  <c r="A1649" i="3"/>
  <c r="H1648" i="3"/>
  <c r="G1648" i="3"/>
  <c r="F1648" i="3"/>
  <c r="E1648" i="3"/>
  <c r="C1648" i="3"/>
  <c r="B1648" i="3"/>
  <c r="A1648" i="3"/>
  <c r="H1647" i="3"/>
  <c r="G1647" i="3"/>
  <c r="F1647" i="3"/>
  <c r="E1647" i="3"/>
  <c r="C1647" i="3"/>
  <c r="B1647" i="3"/>
  <c r="A1647" i="3"/>
  <c r="H1646" i="3"/>
  <c r="G1646" i="3"/>
  <c r="F1646" i="3"/>
  <c r="E1646" i="3"/>
  <c r="C1646" i="3"/>
  <c r="B1646" i="3"/>
  <c r="A1646" i="3"/>
  <c r="H1645" i="3"/>
  <c r="G1645" i="3"/>
  <c r="F1645" i="3"/>
  <c r="E1645" i="3"/>
  <c r="C1645" i="3"/>
  <c r="B1645" i="3"/>
  <c r="A1645" i="3"/>
  <c r="H1644" i="3"/>
  <c r="G1644" i="3"/>
  <c r="F1644" i="3"/>
  <c r="E1644" i="3"/>
  <c r="C1644" i="3"/>
  <c r="B1644" i="3"/>
  <c r="A1644" i="3"/>
  <c r="H1643" i="3"/>
  <c r="G1643" i="3"/>
  <c r="F1643" i="3"/>
  <c r="E1643" i="3"/>
  <c r="C1643" i="3"/>
  <c r="A1643" i="3"/>
  <c r="H1642" i="3"/>
  <c r="G1642" i="3"/>
  <c r="F1642" i="3"/>
  <c r="E1642" i="3"/>
  <c r="C1642" i="3"/>
  <c r="B1642" i="3"/>
  <c r="A1642" i="3"/>
  <c r="H1641" i="3"/>
  <c r="G1641" i="3"/>
  <c r="F1641" i="3"/>
  <c r="E1641" i="3"/>
  <c r="C1641" i="3"/>
  <c r="B1641" i="3"/>
  <c r="A1641" i="3"/>
  <c r="H1640" i="3"/>
  <c r="G1640" i="3"/>
  <c r="F1640" i="3"/>
  <c r="E1640" i="3"/>
  <c r="C1640" i="3"/>
  <c r="B1640" i="3"/>
  <c r="A1640" i="3"/>
  <c r="H1639" i="3"/>
  <c r="G1639" i="3"/>
  <c r="F1639" i="3"/>
  <c r="E1639" i="3"/>
  <c r="D1639" i="3"/>
  <c r="C1639" i="3"/>
  <c r="B1639" i="3"/>
  <c r="A1639" i="3"/>
  <c r="H1638" i="3"/>
  <c r="G1638" i="3"/>
  <c r="F1638" i="3"/>
  <c r="E1638" i="3"/>
  <c r="A1638" i="3"/>
  <c r="H1637" i="3"/>
  <c r="G1637" i="3"/>
  <c r="F1637" i="3"/>
  <c r="E1637" i="3"/>
  <c r="C1637" i="3"/>
  <c r="B1637" i="3"/>
  <c r="A1637" i="3"/>
  <c r="H1636" i="3"/>
  <c r="G1636" i="3"/>
  <c r="F1636" i="3"/>
  <c r="E1636" i="3"/>
  <c r="C1636" i="3"/>
  <c r="B1636" i="3"/>
  <c r="A1636" i="3"/>
  <c r="H1635" i="3"/>
  <c r="G1635" i="3"/>
  <c r="F1635" i="3"/>
  <c r="E1635" i="3"/>
  <c r="C1635" i="3"/>
  <c r="B1635" i="3"/>
  <c r="A1635" i="3"/>
  <c r="H1634" i="3"/>
  <c r="G1634" i="3"/>
  <c r="F1634" i="3"/>
  <c r="E1634" i="3"/>
  <c r="C1634" i="3"/>
  <c r="B1634" i="3"/>
  <c r="A1634" i="3"/>
  <c r="H1633" i="3"/>
  <c r="G1633" i="3"/>
  <c r="F1633" i="3"/>
  <c r="E1633" i="3"/>
  <c r="C1633" i="3"/>
  <c r="B1633" i="3"/>
  <c r="A1633" i="3"/>
  <c r="H1632" i="3"/>
  <c r="G1632" i="3"/>
  <c r="F1632" i="3"/>
  <c r="E1632" i="3"/>
  <c r="C1632" i="3"/>
  <c r="B1632" i="3"/>
  <c r="A1632" i="3"/>
  <c r="H1631" i="3"/>
  <c r="G1631" i="3"/>
  <c r="F1631" i="3"/>
  <c r="E1631" i="3"/>
  <c r="C1631" i="3"/>
  <c r="A1631" i="3"/>
  <c r="H1630" i="3"/>
  <c r="G1630" i="3"/>
  <c r="F1630" i="3"/>
  <c r="E1630" i="3"/>
  <c r="D1630" i="3"/>
  <c r="C1630" i="3"/>
  <c r="B1630" i="3"/>
  <c r="A1630" i="3"/>
  <c r="H1629" i="3"/>
  <c r="G1629" i="3"/>
  <c r="F1629" i="3"/>
  <c r="E1629" i="3"/>
  <c r="C1629" i="3"/>
  <c r="B1629" i="3"/>
  <c r="A1629" i="3"/>
  <c r="H1628" i="3"/>
  <c r="G1628" i="3"/>
  <c r="F1628" i="3"/>
  <c r="E1628" i="3"/>
  <c r="C1628" i="3"/>
  <c r="B1628" i="3"/>
  <c r="A1628" i="3"/>
  <c r="H1627" i="3"/>
  <c r="G1627" i="3"/>
  <c r="F1627" i="3"/>
  <c r="E1627" i="3"/>
  <c r="D1627" i="3"/>
  <c r="C1627" i="3"/>
  <c r="B1627" i="3"/>
  <c r="A1627" i="3"/>
  <c r="H1626" i="3"/>
  <c r="G1626" i="3"/>
  <c r="F1626" i="3"/>
  <c r="E1626" i="3"/>
  <c r="D1626" i="3"/>
  <c r="C1626" i="3"/>
  <c r="A1626" i="3"/>
  <c r="H1625" i="3"/>
  <c r="G1625" i="3"/>
  <c r="F1625" i="3"/>
  <c r="E1625" i="3"/>
  <c r="A1625" i="3"/>
  <c r="H1624" i="3"/>
  <c r="G1624" i="3"/>
  <c r="F1624" i="3"/>
  <c r="E1624" i="3"/>
  <c r="C1624" i="3"/>
  <c r="B1624" i="3"/>
  <c r="A1624" i="3"/>
  <c r="H1623" i="3"/>
  <c r="G1623" i="3"/>
  <c r="F1623" i="3"/>
  <c r="E1623" i="3"/>
  <c r="C1623" i="3"/>
  <c r="B1623" i="3"/>
  <c r="A1623" i="3"/>
  <c r="H1622" i="3"/>
  <c r="G1622" i="3"/>
  <c r="F1622" i="3"/>
  <c r="E1622" i="3"/>
  <c r="A1622" i="3"/>
  <c r="H1621" i="3"/>
  <c r="G1621" i="3"/>
  <c r="F1621" i="3"/>
  <c r="E1621" i="3"/>
  <c r="C1621" i="3"/>
  <c r="B1621" i="3"/>
  <c r="A1621" i="3"/>
  <c r="H1620" i="3"/>
  <c r="G1620" i="3"/>
  <c r="F1620" i="3"/>
  <c r="E1620" i="3"/>
  <c r="D1620" i="3"/>
  <c r="C1620" i="3"/>
  <c r="B1620" i="3"/>
  <c r="A1620" i="3"/>
  <c r="H1619" i="3"/>
  <c r="G1619" i="3"/>
  <c r="F1619" i="3"/>
  <c r="E1619" i="3"/>
  <c r="C1619" i="3"/>
  <c r="B1619" i="3"/>
  <c r="A1619" i="3"/>
  <c r="H1618" i="3"/>
  <c r="G1618" i="3"/>
  <c r="F1618" i="3"/>
  <c r="E1618" i="3"/>
  <c r="C1618" i="3"/>
  <c r="B1618" i="3"/>
  <c r="A1618" i="3"/>
  <c r="H1617" i="3"/>
  <c r="G1617" i="3"/>
  <c r="F1617" i="3"/>
  <c r="E1617" i="3"/>
  <c r="C1617" i="3"/>
  <c r="B1617" i="3"/>
  <c r="A1617" i="3"/>
  <c r="H1616" i="3"/>
  <c r="G1616" i="3"/>
  <c r="F1616" i="3"/>
  <c r="E1616" i="3"/>
  <c r="C1616" i="3"/>
  <c r="B1616" i="3"/>
  <c r="A1616" i="3"/>
  <c r="H1615" i="3"/>
  <c r="G1615" i="3"/>
  <c r="F1615" i="3"/>
  <c r="E1615" i="3"/>
  <c r="C1615" i="3"/>
  <c r="B1615" i="3"/>
  <c r="A1615" i="3"/>
  <c r="H1614" i="3"/>
  <c r="G1614" i="3"/>
  <c r="F1614" i="3"/>
  <c r="E1614" i="3"/>
  <c r="C1614" i="3"/>
  <c r="B1614" i="3"/>
  <c r="A1614" i="3"/>
  <c r="H1613" i="3"/>
  <c r="G1613" i="3"/>
  <c r="F1613" i="3"/>
  <c r="E1613" i="3"/>
  <c r="C1613" i="3"/>
  <c r="B1613" i="3"/>
  <c r="A1613" i="3"/>
  <c r="H1612" i="3"/>
  <c r="G1612" i="3"/>
  <c r="F1612" i="3"/>
  <c r="E1612" i="3"/>
  <c r="C1612" i="3"/>
  <c r="B1612" i="3"/>
  <c r="A1612" i="3"/>
  <c r="H1611" i="3"/>
  <c r="G1611" i="3"/>
  <c r="F1611" i="3"/>
  <c r="E1611" i="3"/>
  <c r="C1611" i="3"/>
  <c r="B1611" i="3"/>
  <c r="A1611" i="3"/>
  <c r="H1610" i="3"/>
  <c r="G1610" i="3"/>
  <c r="F1610" i="3"/>
  <c r="E1610" i="3"/>
  <c r="C1610" i="3"/>
  <c r="B1610" i="3"/>
  <c r="A1610" i="3"/>
  <c r="H1609" i="3"/>
  <c r="G1609" i="3"/>
  <c r="F1609" i="3"/>
  <c r="E1609" i="3"/>
  <c r="C1609" i="3"/>
  <c r="A1609" i="3"/>
  <c r="H1608" i="3"/>
  <c r="G1608" i="3"/>
  <c r="F1608" i="3"/>
  <c r="E1608" i="3"/>
  <c r="C1608" i="3"/>
  <c r="B1608" i="3"/>
  <c r="A1608" i="3"/>
  <c r="H1607" i="3"/>
  <c r="G1607" i="3"/>
  <c r="F1607" i="3"/>
  <c r="E1607" i="3"/>
  <c r="C1607" i="3"/>
  <c r="B1607" i="3"/>
  <c r="A1607" i="3"/>
  <c r="H1606" i="3"/>
  <c r="G1606" i="3"/>
  <c r="F1606" i="3"/>
  <c r="E1606" i="3"/>
  <c r="D1606" i="3"/>
  <c r="C1606" i="3"/>
  <c r="B1606" i="3"/>
  <c r="A1606" i="3"/>
  <c r="H1605" i="3"/>
  <c r="G1605" i="3"/>
  <c r="F1605" i="3"/>
  <c r="E1605" i="3"/>
  <c r="C1605" i="3"/>
  <c r="B1605" i="3"/>
  <c r="A1605" i="3"/>
  <c r="H1604" i="3"/>
  <c r="G1604" i="3"/>
  <c r="F1604" i="3"/>
  <c r="E1604" i="3"/>
  <c r="C1604" i="3"/>
  <c r="B1604" i="3"/>
  <c r="A1604" i="3"/>
  <c r="H1603" i="3"/>
  <c r="G1603" i="3"/>
  <c r="F1603" i="3"/>
  <c r="E1603" i="3"/>
  <c r="D1603" i="3"/>
  <c r="C1603" i="3"/>
  <c r="B1603" i="3"/>
  <c r="A1603" i="3"/>
  <c r="H1602" i="3"/>
  <c r="G1602" i="3"/>
  <c r="F1602" i="3"/>
  <c r="E1602" i="3"/>
  <c r="A1602" i="3"/>
  <c r="H1601" i="3"/>
  <c r="G1601" i="3"/>
  <c r="F1601" i="3"/>
  <c r="E1601" i="3"/>
  <c r="C1601" i="3"/>
  <c r="A1601" i="3"/>
  <c r="H1600" i="3"/>
  <c r="G1600" i="3"/>
  <c r="F1600" i="3"/>
  <c r="E1600" i="3"/>
  <c r="C1600" i="3"/>
  <c r="B1600" i="3"/>
  <c r="A1600" i="3"/>
  <c r="H1599" i="3"/>
  <c r="G1599" i="3"/>
  <c r="F1599" i="3"/>
  <c r="E1599" i="3"/>
  <c r="C1599" i="3"/>
  <c r="B1599" i="3"/>
  <c r="A1599" i="3"/>
  <c r="H1598" i="3"/>
  <c r="G1598" i="3"/>
  <c r="F1598" i="3"/>
  <c r="E1598" i="3"/>
  <c r="C1598" i="3"/>
  <c r="B1598" i="3"/>
  <c r="A1598" i="3"/>
  <c r="H1597" i="3"/>
  <c r="G1597" i="3"/>
  <c r="F1597" i="3"/>
  <c r="E1597" i="3"/>
  <c r="C1597" i="3"/>
  <c r="B1597" i="3"/>
  <c r="A1597" i="3"/>
  <c r="H1596" i="3"/>
  <c r="G1596" i="3"/>
  <c r="F1596" i="3"/>
  <c r="E1596" i="3"/>
  <c r="D1596" i="3"/>
  <c r="C1596" i="3"/>
  <c r="A1596" i="3"/>
  <c r="H1595" i="3"/>
  <c r="G1595" i="3"/>
  <c r="F1595" i="3"/>
  <c r="E1595" i="3"/>
  <c r="C1595" i="3"/>
  <c r="B1595" i="3"/>
  <c r="A1595" i="3"/>
  <c r="H1594" i="3"/>
  <c r="G1594" i="3"/>
  <c r="F1594" i="3"/>
  <c r="E1594" i="3"/>
  <c r="C1594" i="3"/>
  <c r="B1594" i="3"/>
  <c r="A1594" i="3"/>
  <c r="H1593" i="3"/>
  <c r="G1593" i="3"/>
  <c r="F1593" i="3"/>
  <c r="E1593" i="3"/>
  <c r="D1593" i="3"/>
  <c r="C1593" i="3"/>
  <c r="B1593" i="3"/>
  <c r="A1593" i="3"/>
  <c r="H1592" i="3"/>
  <c r="G1592" i="3"/>
  <c r="F1592" i="3"/>
  <c r="E1592" i="3"/>
  <c r="C1592" i="3"/>
  <c r="B1592" i="3"/>
  <c r="A1592" i="3"/>
  <c r="H1591" i="3"/>
  <c r="G1591" i="3"/>
  <c r="F1591" i="3"/>
  <c r="E1591" i="3"/>
  <c r="D1591" i="3"/>
  <c r="C1591" i="3"/>
  <c r="B1591" i="3"/>
  <c r="A1591" i="3"/>
  <c r="H1590" i="3"/>
  <c r="G1590" i="3"/>
  <c r="F1590" i="3"/>
  <c r="E1590" i="3"/>
  <c r="D1590" i="3"/>
  <c r="C1590" i="3"/>
  <c r="B1590" i="3"/>
  <c r="A1590" i="3"/>
  <c r="H1589" i="3"/>
  <c r="G1589" i="3"/>
  <c r="F1589" i="3"/>
  <c r="E1589" i="3"/>
  <c r="C1589" i="3"/>
  <c r="B1589" i="3"/>
  <c r="A1589" i="3"/>
  <c r="H1588" i="3"/>
  <c r="G1588" i="3"/>
  <c r="F1588" i="3"/>
  <c r="E1588" i="3"/>
  <c r="C1588" i="3"/>
  <c r="B1588" i="3"/>
  <c r="A1588" i="3"/>
  <c r="H1587" i="3"/>
  <c r="G1587" i="3"/>
  <c r="F1587" i="3"/>
  <c r="E1587" i="3"/>
  <c r="C1587" i="3"/>
  <c r="B1587" i="3"/>
  <c r="A1587" i="3"/>
  <c r="H1586" i="3"/>
  <c r="G1586" i="3"/>
  <c r="F1586" i="3"/>
  <c r="E1586" i="3"/>
  <c r="D1586" i="3"/>
  <c r="C1586" i="3"/>
  <c r="B1586" i="3"/>
  <c r="A1586" i="3"/>
  <c r="H1585" i="3"/>
  <c r="G1585" i="3"/>
  <c r="F1585" i="3"/>
  <c r="E1585" i="3"/>
  <c r="C1585" i="3"/>
  <c r="B1585" i="3"/>
  <c r="A1585" i="3"/>
  <c r="H1584" i="3"/>
  <c r="G1584" i="3"/>
  <c r="F1584" i="3"/>
  <c r="E1584" i="3"/>
  <c r="D1584" i="3"/>
  <c r="C1584" i="3"/>
  <c r="B1584" i="3"/>
  <c r="A1584" i="3"/>
  <c r="H1583" i="3"/>
  <c r="G1583" i="3"/>
  <c r="F1583" i="3"/>
  <c r="E1583" i="3"/>
  <c r="C1583" i="3"/>
  <c r="B1583" i="3"/>
  <c r="A1583" i="3"/>
  <c r="H1582" i="3"/>
  <c r="G1582" i="3"/>
  <c r="F1582" i="3"/>
  <c r="E1582" i="3"/>
  <c r="B1582" i="3"/>
  <c r="A1582" i="3"/>
  <c r="H1581" i="3"/>
  <c r="G1581" i="3"/>
  <c r="F1581" i="3"/>
  <c r="E1581" i="3"/>
  <c r="C1581" i="3"/>
  <c r="B1581" i="3"/>
  <c r="A1581" i="3"/>
  <c r="H1580" i="3"/>
  <c r="G1580" i="3"/>
  <c r="F1580" i="3"/>
  <c r="E1580" i="3"/>
  <c r="C1580" i="3"/>
  <c r="B1580" i="3"/>
  <c r="A1580" i="3"/>
  <c r="H1579" i="3"/>
  <c r="G1579" i="3"/>
  <c r="F1579" i="3"/>
  <c r="E1579" i="3"/>
  <c r="C1579" i="3"/>
  <c r="B1579" i="3"/>
  <c r="A1579" i="3"/>
  <c r="H1578" i="3"/>
  <c r="G1578" i="3"/>
  <c r="F1578" i="3"/>
  <c r="E1578" i="3"/>
  <c r="D1578" i="3"/>
  <c r="C1578" i="3"/>
  <c r="B1578" i="3"/>
  <c r="A1578" i="3"/>
  <c r="H1577" i="3"/>
  <c r="G1577" i="3"/>
  <c r="F1577" i="3"/>
  <c r="E1577" i="3"/>
  <c r="D1577" i="3"/>
  <c r="C1577" i="3"/>
  <c r="B1577" i="3"/>
  <c r="A1577" i="3"/>
  <c r="H1576" i="3"/>
  <c r="G1576" i="3"/>
  <c r="F1576" i="3"/>
  <c r="E1576" i="3"/>
  <c r="D1576" i="3"/>
  <c r="C1576" i="3"/>
  <c r="B1576" i="3"/>
  <c r="A1576" i="3"/>
  <c r="H1575" i="3"/>
  <c r="G1575" i="3"/>
  <c r="F1575" i="3"/>
  <c r="E1575" i="3"/>
  <c r="D1575" i="3"/>
  <c r="C1575" i="3"/>
  <c r="B1575" i="3"/>
  <c r="A1575" i="3"/>
  <c r="H1574" i="3"/>
  <c r="G1574" i="3"/>
  <c r="F1574" i="3"/>
  <c r="E1574" i="3"/>
  <c r="C1574" i="3"/>
  <c r="B1574" i="3"/>
  <c r="A1574" i="3"/>
  <c r="H1573" i="3"/>
  <c r="G1573" i="3"/>
  <c r="F1573" i="3"/>
  <c r="E1573" i="3"/>
  <c r="C1573" i="3"/>
  <c r="B1573" i="3"/>
  <c r="A1573" i="3"/>
  <c r="H1572" i="3"/>
  <c r="G1572" i="3"/>
  <c r="F1572" i="3"/>
  <c r="E1572" i="3"/>
  <c r="C1572" i="3"/>
  <c r="B1572" i="3"/>
  <c r="A1572" i="3"/>
  <c r="H1571" i="3"/>
  <c r="G1571" i="3"/>
  <c r="F1571" i="3"/>
  <c r="E1571" i="3"/>
  <c r="C1571" i="3"/>
  <c r="B1571" i="3"/>
  <c r="A1571" i="3"/>
  <c r="H1570" i="3"/>
  <c r="G1570" i="3"/>
  <c r="F1570" i="3"/>
  <c r="E1570" i="3"/>
  <c r="C1570" i="3"/>
  <c r="B1570" i="3"/>
  <c r="A1570" i="3"/>
  <c r="H1569" i="3"/>
  <c r="G1569" i="3"/>
  <c r="F1569" i="3"/>
  <c r="E1569" i="3"/>
  <c r="C1569" i="3"/>
  <c r="A1569" i="3"/>
  <c r="H1568" i="3"/>
  <c r="G1568" i="3"/>
  <c r="F1568" i="3"/>
  <c r="E1568" i="3"/>
  <c r="C1568" i="3"/>
  <c r="B1568" i="3"/>
  <c r="A1568" i="3"/>
  <c r="H1567" i="3"/>
  <c r="G1567" i="3"/>
  <c r="F1567" i="3"/>
  <c r="E1567" i="3"/>
  <c r="C1567" i="3"/>
  <c r="B1567" i="3"/>
  <c r="A1567" i="3"/>
  <c r="H1566" i="3"/>
  <c r="G1566" i="3"/>
  <c r="F1566" i="3"/>
  <c r="E1566" i="3"/>
  <c r="C1566" i="3"/>
  <c r="B1566" i="3"/>
  <c r="A1566" i="3"/>
  <c r="H1565" i="3"/>
  <c r="G1565" i="3"/>
  <c r="F1565" i="3"/>
  <c r="E1565" i="3"/>
  <c r="C1565" i="3"/>
  <c r="B1565" i="3"/>
  <c r="A1565" i="3"/>
  <c r="H1564" i="3"/>
  <c r="G1564" i="3"/>
  <c r="F1564" i="3"/>
  <c r="E1564" i="3"/>
  <c r="C1564" i="3"/>
  <c r="B1564" i="3"/>
  <c r="A1564" i="3"/>
  <c r="H1563" i="3"/>
  <c r="G1563" i="3"/>
  <c r="F1563" i="3"/>
  <c r="E1563" i="3"/>
  <c r="D1563" i="3"/>
  <c r="C1563" i="3"/>
  <c r="B1563" i="3"/>
  <c r="A1563" i="3"/>
  <c r="H1562" i="3"/>
  <c r="G1562" i="3"/>
  <c r="F1562" i="3"/>
  <c r="E1562" i="3"/>
  <c r="C1562" i="3"/>
  <c r="B1562" i="3"/>
  <c r="A1562" i="3"/>
  <c r="H1561" i="3"/>
  <c r="G1561" i="3"/>
  <c r="F1561" i="3"/>
  <c r="E1561" i="3"/>
  <c r="D1561" i="3"/>
  <c r="C1561" i="3"/>
  <c r="B1561" i="3"/>
  <c r="A1561" i="3"/>
  <c r="H1560" i="3"/>
  <c r="G1560" i="3"/>
  <c r="F1560" i="3"/>
  <c r="E1560" i="3"/>
  <c r="C1560" i="3"/>
  <c r="A1560" i="3"/>
  <c r="H1559" i="3"/>
  <c r="G1559" i="3"/>
  <c r="F1559" i="3"/>
  <c r="E1559" i="3"/>
  <c r="C1559" i="3"/>
  <c r="B1559" i="3"/>
  <c r="A1559" i="3"/>
  <c r="H1558" i="3"/>
  <c r="G1558" i="3"/>
  <c r="F1558" i="3"/>
  <c r="E1558" i="3"/>
  <c r="C1558" i="3"/>
  <c r="A1558" i="3"/>
  <c r="H1557" i="3"/>
  <c r="G1557" i="3"/>
  <c r="F1557" i="3"/>
  <c r="E1557" i="3"/>
  <c r="C1557" i="3"/>
  <c r="B1557" i="3"/>
  <c r="A1557" i="3"/>
  <c r="H1556" i="3"/>
  <c r="G1556" i="3"/>
  <c r="F1556" i="3"/>
  <c r="E1556" i="3"/>
  <c r="C1556" i="3"/>
  <c r="B1556" i="3"/>
  <c r="A1556" i="3"/>
  <c r="H1555" i="3"/>
  <c r="G1555" i="3"/>
  <c r="F1555" i="3"/>
  <c r="E1555" i="3"/>
  <c r="C1555" i="3"/>
  <c r="B1555" i="3"/>
  <c r="A1555" i="3"/>
  <c r="H1554" i="3"/>
  <c r="G1554" i="3"/>
  <c r="F1554" i="3"/>
  <c r="E1554" i="3"/>
  <c r="C1554" i="3"/>
  <c r="A1554" i="3"/>
  <c r="H1553" i="3"/>
  <c r="G1553" i="3"/>
  <c r="F1553" i="3"/>
  <c r="E1553" i="3"/>
  <c r="C1553" i="3"/>
  <c r="B1553" i="3"/>
  <c r="A1553" i="3"/>
  <c r="H1552" i="3"/>
  <c r="G1552" i="3"/>
  <c r="F1552" i="3"/>
  <c r="E1552" i="3"/>
  <c r="C1552" i="3"/>
  <c r="B1552" i="3"/>
  <c r="A1552" i="3"/>
  <c r="H1551" i="3"/>
  <c r="G1551" i="3"/>
  <c r="F1551" i="3"/>
  <c r="E1551" i="3"/>
  <c r="C1551" i="3"/>
  <c r="B1551" i="3"/>
  <c r="A1551" i="3"/>
  <c r="H1550" i="3"/>
  <c r="G1550" i="3"/>
  <c r="F1550" i="3"/>
  <c r="E1550" i="3"/>
  <c r="C1550" i="3"/>
  <c r="B1550" i="3"/>
  <c r="A1550" i="3"/>
  <c r="H1549" i="3"/>
  <c r="G1549" i="3"/>
  <c r="F1549" i="3"/>
  <c r="E1549" i="3"/>
  <c r="C1549" i="3"/>
  <c r="B1549" i="3"/>
  <c r="A1549" i="3"/>
  <c r="H1548" i="3"/>
  <c r="G1548" i="3"/>
  <c r="F1548" i="3"/>
  <c r="E1548" i="3"/>
  <c r="C1548" i="3"/>
  <c r="A1548" i="3"/>
  <c r="H1547" i="3"/>
  <c r="G1547" i="3"/>
  <c r="F1547" i="3"/>
  <c r="E1547" i="3"/>
  <c r="C1547" i="3"/>
  <c r="B1547" i="3"/>
  <c r="A1547" i="3"/>
  <c r="H1546" i="3"/>
  <c r="G1546" i="3"/>
  <c r="F1546" i="3"/>
  <c r="E1546" i="3"/>
  <c r="C1546" i="3"/>
  <c r="B1546" i="3"/>
  <c r="A1546" i="3"/>
  <c r="H1545" i="3"/>
  <c r="G1545" i="3"/>
  <c r="F1545" i="3"/>
  <c r="E1545" i="3"/>
  <c r="C1545" i="3"/>
  <c r="B1545" i="3"/>
  <c r="A1545" i="3"/>
  <c r="H1544" i="3"/>
  <c r="G1544" i="3"/>
  <c r="F1544" i="3"/>
  <c r="E1544" i="3"/>
  <c r="C1544" i="3"/>
  <c r="B1544" i="3"/>
  <c r="A1544" i="3"/>
  <c r="H1543" i="3"/>
  <c r="G1543" i="3"/>
  <c r="F1543" i="3"/>
  <c r="E1543" i="3"/>
  <c r="C1543" i="3"/>
  <c r="A1543" i="3"/>
  <c r="H1542" i="3"/>
  <c r="G1542" i="3"/>
  <c r="F1542" i="3"/>
  <c r="E1542" i="3"/>
  <c r="C1542" i="3"/>
  <c r="B1542" i="3"/>
  <c r="A1542" i="3"/>
  <c r="H1541" i="3"/>
  <c r="G1541" i="3"/>
  <c r="F1541" i="3"/>
  <c r="E1541" i="3"/>
  <c r="C1541" i="3"/>
  <c r="B1541" i="3"/>
  <c r="A1541" i="3"/>
  <c r="H1540" i="3"/>
  <c r="G1540" i="3"/>
  <c r="F1540" i="3"/>
  <c r="E1540" i="3"/>
  <c r="C1540" i="3"/>
  <c r="B1540" i="3"/>
  <c r="A1540" i="3"/>
  <c r="H1539" i="3"/>
  <c r="G1539" i="3"/>
  <c r="F1539" i="3"/>
  <c r="E1539" i="3"/>
  <c r="C1539" i="3"/>
  <c r="B1539" i="3"/>
  <c r="A1539" i="3"/>
  <c r="H1538" i="3"/>
  <c r="G1538" i="3"/>
  <c r="F1538" i="3"/>
  <c r="E1538" i="3"/>
  <c r="C1538" i="3"/>
  <c r="B1538" i="3"/>
  <c r="A1538" i="3"/>
  <c r="H1537" i="3"/>
  <c r="G1537" i="3"/>
  <c r="F1537" i="3"/>
  <c r="E1537" i="3"/>
  <c r="C1537" i="3"/>
  <c r="B1537" i="3"/>
  <c r="A1537" i="3"/>
  <c r="H1536" i="3"/>
  <c r="G1536" i="3"/>
  <c r="F1536" i="3"/>
  <c r="E1536" i="3"/>
  <c r="A1536" i="3"/>
  <c r="H1535" i="3"/>
  <c r="G1535" i="3"/>
  <c r="F1535" i="3"/>
  <c r="E1535" i="3"/>
  <c r="C1535" i="3"/>
  <c r="B1535" i="3"/>
  <c r="A1535" i="3"/>
  <c r="H1534" i="3"/>
  <c r="G1534" i="3"/>
  <c r="F1534" i="3"/>
  <c r="E1534" i="3"/>
  <c r="C1534" i="3"/>
  <c r="B1534" i="3"/>
  <c r="A1534" i="3"/>
  <c r="H1533" i="3"/>
  <c r="G1533" i="3"/>
  <c r="F1533" i="3"/>
  <c r="E1533" i="3"/>
  <c r="C1533" i="3"/>
  <c r="B1533" i="3"/>
  <c r="A1533" i="3"/>
  <c r="H1532" i="3"/>
  <c r="G1532" i="3"/>
  <c r="F1532" i="3"/>
  <c r="E1532" i="3"/>
  <c r="C1532" i="3"/>
  <c r="A1532" i="3"/>
  <c r="H1531" i="3"/>
  <c r="G1531" i="3"/>
  <c r="F1531" i="3"/>
  <c r="E1531" i="3"/>
  <c r="C1531" i="3"/>
  <c r="A1531" i="3"/>
  <c r="H1530" i="3"/>
  <c r="G1530" i="3"/>
  <c r="F1530" i="3"/>
  <c r="E1530" i="3"/>
  <c r="C1530" i="3"/>
  <c r="B1530" i="3"/>
  <c r="A1530" i="3"/>
  <c r="H1529" i="3"/>
  <c r="G1529" i="3"/>
  <c r="F1529" i="3"/>
  <c r="E1529" i="3"/>
  <c r="C1529" i="3"/>
  <c r="B1529" i="3"/>
  <c r="A1529" i="3"/>
  <c r="H1528" i="3"/>
  <c r="G1528" i="3"/>
  <c r="F1528" i="3"/>
  <c r="E1528" i="3"/>
  <c r="C1528" i="3"/>
  <c r="A1528" i="3"/>
  <c r="H1527" i="3"/>
  <c r="G1527" i="3"/>
  <c r="F1527" i="3"/>
  <c r="E1527" i="3"/>
  <c r="C1527" i="3"/>
  <c r="B1527" i="3"/>
  <c r="A1527" i="3"/>
  <c r="H1526" i="3"/>
  <c r="G1526" i="3"/>
  <c r="F1526" i="3"/>
  <c r="E1526" i="3"/>
  <c r="D1526" i="3"/>
  <c r="C1526" i="3"/>
  <c r="B1526" i="3"/>
  <c r="A1526" i="3"/>
  <c r="H1525" i="3"/>
  <c r="G1525" i="3"/>
  <c r="F1525" i="3"/>
  <c r="E1525" i="3"/>
  <c r="D1525" i="3"/>
  <c r="C1525" i="3"/>
  <c r="B1525" i="3"/>
  <c r="A1525" i="3"/>
  <c r="H1524" i="3"/>
  <c r="G1524" i="3"/>
  <c r="F1524" i="3"/>
  <c r="E1524" i="3"/>
  <c r="C1524" i="3"/>
  <c r="B1524" i="3"/>
  <c r="A1524" i="3"/>
  <c r="H1523" i="3"/>
  <c r="G1523" i="3"/>
  <c r="F1523" i="3"/>
  <c r="E1523" i="3"/>
  <c r="D1523" i="3"/>
  <c r="C1523" i="3"/>
  <c r="B1523" i="3"/>
  <c r="A1523" i="3"/>
  <c r="H1522" i="3"/>
  <c r="G1522" i="3"/>
  <c r="F1522" i="3"/>
  <c r="E1522" i="3"/>
  <c r="C1522" i="3"/>
  <c r="B1522" i="3"/>
  <c r="A1522" i="3"/>
  <c r="H1521" i="3"/>
  <c r="G1521" i="3"/>
  <c r="F1521" i="3"/>
  <c r="E1521" i="3"/>
  <c r="C1521" i="3"/>
  <c r="B1521" i="3"/>
  <c r="A1521" i="3"/>
  <c r="H1520" i="3"/>
  <c r="G1520" i="3"/>
  <c r="F1520" i="3"/>
  <c r="E1520" i="3"/>
  <c r="D1520" i="3"/>
  <c r="C1520" i="3"/>
  <c r="B1520" i="3"/>
  <c r="A1520" i="3"/>
  <c r="H1519" i="3"/>
  <c r="G1519" i="3"/>
  <c r="F1519" i="3"/>
  <c r="E1519" i="3"/>
  <c r="D1519" i="3"/>
  <c r="C1519" i="3"/>
  <c r="B1519" i="3"/>
  <c r="A1519" i="3"/>
  <c r="H1518" i="3"/>
  <c r="G1518" i="3"/>
  <c r="F1518" i="3"/>
  <c r="E1518" i="3"/>
  <c r="D1518" i="3"/>
  <c r="C1518" i="3"/>
  <c r="B1518" i="3"/>
  <c r="A1518" i="3"/>
  <c r="H1517" i="3"/>
  <c r="G1517" i="3"/>
  <c r="F1517" i="3"/>
  <c r="E1517" i="3"/>
  <c r="C1517" i="3"/>
  <c r="B1517" i="3"/>
  <c r="A1517" i="3"/>
  <c r="H1516" i="3"/>
  <c r="G1516" i="3"/>
  <c r="F1516" i="3"/>
  <c r="E1516" i="3"/>
  <c r="C1516" i="3"/>
  <c r="B1516" i="3"/>
  <c r="A1516" i="3"/>
  <c r="H1515" i="3"/>
  <c r="G1515" i="3"/>
  <c r="F1515" i="3"/>
  <c r="E1515" i="3"/>
  <c r="C1515" i="3"/>
  <c r="B1515" i="3"/>
  <c r="A1515" i="3"/>
  <c r="H1514" i="3"/>
  <c r="G1514" i="3"/>
  <c r="F1514" i="3"/>
  <c r="E1514" i="3"/>
  <c r="B1514" i="3"/>
  <c r="A1514" i="3"/>
  <c r="H1513" i="3"/>
  <c r="G1513" i="3"/>
  <c r="F1513" i="3"/>
  <c r="E1513" i="3"/>
  <c r="C1513" i="3"/>
  <c r="B1513" i="3"/>
  <c r="A1513" i="3"/>
  <c r="H1512" i="3"/>
  <c r="G1512" i="3"/>
  <c r="F1512" i="3"/>
  <c r="E1512" i="3"/>
  <c r="C1512" i="3"/>
  <c r="B1512" i="3"/>
  <c r="A1512" i="3"/>
  <c r="H1511" i="3"/>
  <c r="G1511" i="3"/>
  <c r="F1511" i="3"/>
  <c r="E1511" i="3"/>
  <c r="D1511" i="3"/>
  <c r="C1511" i="3"/>
  <c r="B1511" i="3"/>
  <c r="A1511" i="3"/>
  <c r="H1510" i="3"/>
  <c r="G1510" i="3"/>
  <c r="F1510" i="3"/>
  <c r="E1510" i="3"/>
  <c r="D1510" i="3"/>
  <c r="C1510" i="3"/>
  <c r="B1510" i="3"/>
  <c r="A1510" i="3"/>
  <c r="H1509" i="3"/>
  <c r="G1509" i="3"/>
  <c r="F1509" i="3"/>
  <c r="E1509" i="3"/>
  <c r="C1509" i="3"/>
  <c r="B1509" i="3"/>
  <c r="A1509" i="3"/>
  <c r="H1508" i="3"/>
  <c r="G1508" i="3"/>
  <c r="F1508" i="3"/>
  <c r="E1508" i="3"/>
  <c r="C1508" i="3"/>
  <c r="B1508" i="3"/>
  <c r="A1508" i="3"/>
  <c r="H1507" i="3"/>
  <c r="G1507" i="3"/>
  <c r="F1507" i="3"/>
  <c r="E1507" i="3"/>
  <c r="C1507" i="3"/>
  <c r="A1507" i="3"/>
  <c r="H1506" i="3"/>
  <c r="G1506" i="3"/>
  <c r="F1506" i="3"/>
  <c r="E1506" i="3"/>
  <c r="D1506" i="3"/>
  <c r="C1506" i="3"/>
  <c r="B1506" i="3"/>
  <c r="A1506" i="3"/>
  <c r="H1505" i="3"/>
  <c r="G1505" i="3"/>
  <c r="F1505" i="3"/>
  <c r="E1505" i="3"/>
  <c r="D1505" i="3"/>
  <c r="C1505" i="3"/>
  <c r="B1505" i="3"/>
  <c r="A1505" i="3"/>
  <c r="H1504" i="3"/>
  <c r="G1504" i="3"/>
  <c r="F1504" i="3"/>
  <c r="E1504" i="3"/>
  <c r="C1504" i="3"/>
  <c r="B1504" i="3"/>
  <c r="A1504" i="3"/>
  <c r="H1503" i="3"/>
  <c r="G1503" i="3"/>
  <c r="F1503" i="3"/>
  <c r="E1503" i="3"/>
  <c r="C1503" i="3"/>
  <c r="B1503" i="3"/>
  <c r="A1503" i="3"/>
  <c r="H1502" i="3"/>
  <c r="G1502" i="3"/>
  <c r="F1502" i="3"/>
  <c r="E1502" i="3"/>
  <c r="C1502" i="3"/>
  <c r="B1502" i="3"/>
  <c r="A1502" i="3"/>
  <c r="H1501" i="3"/>
  <c r="G1501" i="3"/>
  <c r="F1501" i="3"/>
  <c r="E1501" i="3"/>
  <c r="A1501" i="3"/>
  <c r="H1500" i="3"/>
  <c r="G1500" i="3"/>
  <c r="F1500" i="3"/>
  <c r="E1500" i="3"/>
  <c r="A1500" i="3"/>
  <c r="H1499" i="3"/>
  <c r="G1499" i="3"/>
  <c r="F1499" i="3"/>
  <c r="E1499" i="3"/>
  <c r="D1499" i="3"/>
  <c r="C1499" i="3"/>
  <c r="B1499" i="3"/>
  <c r="A1499" i="3"/>
  <c r="H1498" i="3"/>
  <c r="G1498" i="3"/>
  <c r="F1498" i="3"/>
  <c r="E1498" i="3"/>
  <c r="C1498" i="3"/>
  <c r="B1498" i="3"/>
  <c r="A1498" i="3"/>
  <c r="H1497" i="3"/>
  <c r="G1497" i="3"/>
  <c r="F1497" i="3"/>
  <c r="E1497" i="3"/>
  <c r="C1497" i="3"/>
  <c r="B1497" i="3"/>
  <c r="A1497" i="3"/>
  <c r="H1496" i="3"/>
  <c r="G1496" i="3"/>
  <c r="F1496" i="3"/>
  <c r="E1496" i="3"/>
  <c r="C1496" i="3"/>
  <c r="B1496" i="3"/>
  <c r="A1496" i="3"/>
  <c r="H1495" i="3"/>
  <c r="G1495" i="3"/>
  <c r="F1495" i="3"/>
  <c r="E1495" i="3"/>
  <c r="C1495" i="3"/>
  <c r="B1495" i="3"/>
  <c r="A1495" i="3"/>
  <c r="H1494" i="3"/>
  <c r="G1494" i="3"/>
  <c r="F1494" i="3"/>
  <c r="E1494" i="3"/>
  <c r="C1494" i="3"/>
  <c r="B1494" i="3"/>
  <c r="A1494" i="3"/>
  <c r="H1493" i="3"/>
  <c r="G1493" i="3"/>
  <c r="F1493" i="3"/>
  <c r="E1493" i="3"/>
  <c r="C1493" i="3"/>
  <c r="B1493" i="3"/>
  <c r="A1493" i="3"/>
  <c r="H1492" i="3"/>
  <c r="G1492" i="3"/>
  <c r="F1492" i="3"/>
  <c r="E1492" i="3"/>
  <c r="C1492" i="3"/>
  <c r="B1492" i="3"/>
  <c r="A1492" i="3"/>
  <c r="H1491" i="3"/>
  <c r="G1491" i="3"/>
  <c r="F1491" i="3"/>
  <c r="E1491" i="3"/>
  <c r="C1491" i="3"/>
  <c r="B1491" i="3"/>
  <c r="A1491" i="3"/>
  <c r="H1490" i="3"/>
  <c r="G1490" i="3"/>
  <c r="F1490" i="3"/>
  <c r="E1490" i="3"/>
  <c r="C1490" i="3"/>
  <c r="B1490" i="3"/>
  <c r="A1490" i="3"/>
  <c r="H1489" i="3"/>
  <c r="G1489" i="3"/>
  <c r="F1489" i="3"/>
  <c r="E1489" i="3"/>
  <c r="D1489" i="3"/>
  <c r="C1489" i="3"/>
  <c r="B1489" i="3"/>
  <c r="A1489" i="3"/>
  <c r="H1488" i="3"/>
  <c r="G1488" i="3"/>
  <c r="F1488" i="3"/>
  <c r="E1488" i="3"/>
  <c r="C1488" i="3"/>
  <c r="B1488" i="3"/>
  <c r="A1488" i="3"/>
  <c r="H1487" i="3"/>
  <c r="G1487" i="3"/>
  <c r="F1487" i="3"/>
  <c r="E1487" i="3"/>
  <c r="D1487" i="3"/>
  <c r="C1487" i="3"/>
  <c r="B1487" i="3"/>
  <c r="A1487" i="3"/>
  <c r="H1486" i="3"/>
  <c r="G1486" i="3"/>
  <c r="F1486" i="3"/>
  <c r="E1486" i="3"/>
  <c r="A1486" i="3"/>
  <c r="H1485" i="3"/>
  <c r="G1485" i="3"/>
  <c r="F1485" i="3"/>
  <c r="E1485" i="3"/>
  <c r="C1485" i="3"/>
  <c r="B1485" i="3"/>
  <c r="A1485" i="3"/>
  <c r="H1484" i="3"/>
  <c r="G1484" i="3"/>
  <c r="F1484" i="3"/>
  <c r="E1484" i="3"/>
  <c r="C1484" i="3"/>
  <c r="B1484" i="3"/>
  <c r="A1484" i="3"/>
  <c r="H1483" i="3"/>
  <c r="G1483" i="3"/>
  <c r="F1483" i="3"/>
  <c r="E1483" i="3"/>
  <c r="C1483" i="3"/>
  <c r="B1483" i="3"/>
  <c r="A1483" i="3"/>
  <c r="H1482" i="3"/>
  <c r="G1482" i="3"/>
  <c r="F1482" i="3"/>
  <c r="E1482" i="3"/>
  <c r="D1482" i="3"/>
  <c r="C1482" i="3"/>
  <c r="B1482" i="3"/>
  <c r="A1482" i="3"/>
  <c r="H1481" i="3"/>
  <c r="G1481" i="3"/>
  <c r="F1481" i="3"/>
  <c r="E1481" i="3"/>
  <c r="A1481" i="3"/>
  <c r="H1480" i="3"/>
  <c r="G1480" i="3"/>
  <c r="F1480" i="3"/>
  <c r="E1480" i="3"/>
  <c r="C1480" i="3"/>
  <c r="B1480" i="3"/>
  <c r="A1480" i="3"/>
  <c r="H1479" i="3"/>
  <c r="G1479" i="3"/>
  <c r="F1479" i="3"/>
  <c r="E1479" i="3"/>
  <c r="C1479" i="3"/>
  <c r="B1479" i="3"/>
  <c r="A1479" i="3"/>
  <c r="H1478" i="3"/>
  <c r="G1478" i="3"/>
  <c r="F1478" i="3"/>
  <c r="E1478" i="3"/>
  <c r="C1478" i="3"/>
  <c r="B1478" i="3"/>
  <c r="A1478" i="3"/>
  <c r="H1477" i="3"/>
  <c r="G1477" i="3"/>
  <c r="F1477" i="3"/>
  <c r="E1477" i="3"/>
  <c r="D1477" i="3"/>
  <c r="C1477" i="3"/>
  <c r="B1477" i="3"/>
  <c r="A1477" i="3"/>
  <c r="H1476" i="3"/>
  <c r="G1476" i="3"/>
  <c r="F1476" i="3"/>
  <c r="E1476" i="3"/>
  <c r="C1476" i="3"/>
  <c r="B1476" i="3"/>
  <c r="A1476" i="3"/>
  <c r="H1475" i="3"/>
  <c r="G1475" i="3"/>
  <c r="F1475" i="3"/>
  <c r="E1475" i="3"/>
  <c r="D1475" i="3"/>
  <c r="C1475" i="3"/>
  <c r="B1475" i="3"/>
  <c r="A1475" i="3"/>
  <c r="H1474" i="3"/>
  <c r="G1474" i="3"/>
  <c r="F1474" i="3"/>
  <c r="E1474" i="3"/>
  <c r="C1474" i="3"/>
  <c r="B1474" i="3"/>
  <c r="A1474" i="3"/>
  <c r="H1473" i="3"/>
  <c r="G1473" i="3"/>
  <c r="F1473" i="3"/>
  <c r="E1473" i="3"/>
  <c r="C1473" i="3"/>
  <c r="B1473" i="3"/>
  <c r="A1473" i="3"/>
  <c r="H1472" i="3"/>
  <c r="G1472" i="3"/>
  <c r="F1472" i="3"/>
  <c r="E1472" i="3"/>
  <c r="C1472" i="3"/>
  <c r="B1472" i="3"/>
  <c r="A1472" i="3"/>
  <c r="H1471" i="3"/>
  <c r="G1471" i="3"/>
  <c r="F1471" i="3"/>
  <c r="E1471" i="3"/>
  <c r="C1471" i="3"/>
  <c r="B1471" i="3"/>
  <c r="A1471" i="3"/>
  <c r="H1470" i="3"/>
  <c r="G1470" i="3"/>
  <c r="F1470" i="3"/>
  <c r="E1470" i="3"/>
  <c r="C1470" i="3"/>
  <c r="A1470" i="3"/>
  <c r="H1469" i="3"/>
  <c r="G1469" i="3"/>
  <c r="F1469" i="3"/>
  <c r="E1469" i="3"/>
  <c r="C1469" i="3"/>
  <c r="B1469" i="3"/>
  <c r="A1469" i="3"/>
  <c r="H1468" i="3"/>
  <c r="G1468" i="3"/>
  <c r="F1468" i="3"/>
  <c r="E1468" i="3"/>
  <c r="C1468" i="3"/>
  <c r="B1468" i="3"/>
  <c r="A1468" i="3"/>
  <c r="H1467" i="3"/>
  <c r="G1467" i="3"/>
  <c r="F1467" i="3"/>
  <c r="E1467" i="3"/>
  <c r="C1467" i="3"/>
  <c r="B1467" i="3"/>
  <c r="A1467" i="3"/>
  <c r="H1466" i="3"/>
  <c r="G1466" i="3"/>
  <c r="F1466" i="3"/>
  <c r="E1466" i="3"/>
  <c r="C1466" i="3"/>
  <c r="B1466" i="3"/>
  <c r="A1466" i="3"/>
  <c r="H1465" i="3"/>
  <c r="G1465" i="3"/>
  <c r="F1465" i="3"/>
  <c r="E1465" i="3"/>
  <c r="C1465" i="3"/>
  <c r="B1465" i="3"/>
  <c r="A1465" i="3"/>
  <c r="H1464" i="3"/>
  <c r="G1464" i="3"/>
  <c r="F1464" i="3"/>
  <c r="E1464" i="3"/>
  <c r="C1464" i="3"/>
  <c r="B1464" i="3"/>
  <c r="A1464" i="3"/>
  <c r="H1463" i="3"/>
  <c r="G1463" i="3"/>
  <c r="F1463" i="3"/>
  <c r="E1463" i="3"/>
  <c r="D1463" i="3"/>
  <c r="C1463" i="3"/>
  <c r="A1463" i="3"/>
  <c r="H1462" i="3"/>
  <c r="G1462" i="3"/>
  <c r="F1462" i="3"/>
  <c r="E1462" i="3"/>
  <c r="C1462" i="3"/>
  <c r="B1462" i="3"/>
  <c r="A1462" i="3"/>
  <c r="H1461" i="3"/>
  <c r="G1461" i="3"/>
  <c r="F1461" i="3"/>
  <c r="E1461" i="3"/>
  <c r="D1461" i="3"/>
  <c r="C1461" i="3"/>
  <c r="B1461" i="3"/>
  <c r="A1461" i="3"/>
  <c r="H1460" i="3"/>
  <c r="G1460" i="3"/>
  <c r="F1460" i="3"/>
  <c r="E1460" i="3"/>
  <c r="D1460" i="3"/>
  <c r="C1460" i="3"/>
  <c r="B1460" i="3"/>
  <c r="A1460" i="3"/>
  <c r="H1459" i="3"/>
  <c r="G1459" i="3"/>
  <c r="F1459" i="3"/>
  <c r="E1459" i="3"/>
  <c r="C1459" i="3"/>
  <c r="A1459" i="3"/>
  <c r="H1458" i="3"/>
  <c r="G1458" i="3"/>
  <c r="F1458" i="3"/>
  <c r="E1458" i="3"/>
  <c r="D1458" i="3"/>
  <c r="C1458" i="3"/>
  <c r="B1458" i="3"/>
  <c r="A1458" i="3"/>
  <c r="H1457" i="3"/>
  <c r="G1457" i="3"/>
  <c r="F1457" i="3"/>
  <c r="E1457" i="3"/>
  <c r="C1457" i="3"/>
  <c r="B1457" i="3"/>
  <c r="A1457" i="3"/>
  <c r="H1456" i="3"/>
  <c r="G1456" i="3"/>
  <c r="F1456" i="3"/>
  <c r="E1456" i="3"/>
  <c r="C1456" i="3"/>
  <c r="B1456" i="3"/>
  <c r="A1456" i="3"/>
  <c r="H1455" i="3"/>
  <c r="G1455" i="3"/>
  <c r="F1455" i="3"/>
  <c r="E1455" i="3"/>
  <c r="C1455" i="3"/>
  <c r="B1455" i="3"/>
  <c r="A1455" i="3"/>
  <c r="H1454" i="3"/>
  <c r="G1454" i="3"/>
  <c r="F1454" i="3"/>
  <c r="E1454" i="3"/>
  <c r="C1454" i="3"/>
  <c r="B1454" i="3"/>
  <c r="A1454" i="3"/>
  <c r="H1453" i="3"/>
  <c r="G1453" i="3"/>
  <c r="F1453" i="3"/>
  <c r="E1453" i="3"/>
  <c r="C1453" i="3"/>
  <c r="B1453" i="3"/>
  <c r="A1453" i="3"/>
  <c r="H1452" i="3"/>
  <c r="G1452" i="3"/>
  <c r="F1452" i="3"/>
  <c r="E1452" i="3"/>
  <c r="D1452" i="3"/>
  <c r="C1452" i="3"/>
  <c r="B1452" i="3"/>
  <c r="A1452" i="3"/>
  <c r="H1451" i="3"/>
  <c r="G1451" i="3"/>
  <c r="F1451" i="3"/>
  <c r="E1451" i="3"/>
  <c r="C1451" i="3"/>
  <c r="B1451" i="3"/>
  <c r="A1451" i="3"/>
  <c r="H1450" i="3"/>
  <c r="G1450" i="3"/>
  <c r="F1450" i="3"/>
  <c r="E1450" i="3"/>
  <c r="C1450" i="3"/>
  <c r="B1450" i="3"/>
  <c r="A1450" i="3"/>
  <c r="H1449" i="3"/>
  <c r="G1449" i="3"/>
  <c r="F1449" i="3"/>
  <c r="E1449" i="3"/>
  <c r="D1449" i="3"/>
  <c r="C1449" i="3"/>
  <c r="B1449" i="3"/>
  <c r="A1449" i="3"/>
  <c r="H1448" i="3"/>
  <c r="G1448" i="3"/>
  <c r="F1448" i="3"/>
  <c r="E1448" i="3"/>
  <c r="D1448" i="3"/>
  <c r="C1448" i="3"/>
  <c r="B1448" i="3"/>
  <c r="A1448" i="3"/>
  <c r="H1447" i="3"/>
  <c r="G1447" i="3"/>
  <c r="F1447" i="3"/>
  <c r="E1447" i="3"/>
  <c r="C1447" i="3"/>
  <c r="B1447" i="3"/>
  <c r="A1447" i="3"/>
  <c r="H1446" i="3"/>
  <c r="G1446" i="3"/>
  <c r="F1446" i="3"/>
  <c r="E1446" i="3"/>
  <c r="D1446" i="3"/>
  <c r="C1446" i="3"/>
  <c r="B1446" i="3"/>
  <c r="A1446" i="3"/>
  <c r="H1445" i="3"/>
  <c r="G1445" i="3"/>
  <c r="F1445" i="3"/>
  <c r="E1445" i="3"/>
  <c r="D1445" i="3"/>
  <c r="C1445" i="3"/>
  <c r="B1445" i="3"/>
  <c r="A1445" i="3"/>
  <c r="H1444" i="3"/>
  <c r="G1444" i="3"/>
  <c r="F1444" i="3"/>
  <c r="E1444" i="3"/>
  <c r="D1444" i="3"/>
  <c r="C1444" i="3"/>
  <c r="B1444" i="3"/>
  <c r="A1444" i="3"/>
  <c r="H1443" i="3"/>
  <c r="G1443" i="3"/>
  <c r="F1443" i="3"/>
  <c r="E1443" i="3"/>
  <c r="C1443" i="3"/>
  <c r="B1443" i="3"/>
  <c r="A1443" i="3"/>
  <c r="H1442" i="3"/>
  <c r="G1442" i="3"/>
  <c r="F1442" i="3"/>
  <c r="E1442" i="3"/>
  <c r="D1442" i="3"/>
  <c r="C1442" i="3"/>
  <c r="B1442" i="3"/>
  <c r="A1442" i="3"/>
  <c r="H1441" i="3"/>
  <c r="G1441" i="3"/>
  <c r="F1441" i="3"/>
  <c r="E1441" i="3"/>
  <c r="D1441" i="3"/>
  <c r="C1441" i="3"/>
  <c r="B1441" i="3"/>
  <c r="A1441" i="3"/>
  <c r="H1440" i="3"/>
  <c r="G1440" i="3"/>
  <c r="F1440" i="3"/>
  <c r="E1440" i="3"/>
  <c r="D1440" i="3"/>
  <c r="C1440" i="3"/>
  <c r="B1440" i="3"/>
  <c r="A1440" i="3"/>
  <c r="H1439" i="3"/>
  <c r="G1439" i="3"/>
  <c r="F1439" i="3"/>
  <c r="E1439" i="3"/>
  <c r="A1439" i="3"/>
  <c r="H1438" i="3"/>
  <c r="G1438" i="3"/>
  <c r="F1438" i="3"/>
  <c r="E1438" i="3"/>
  <c r="D1438" i="3"/>
  <c r="C1438" i="3"/>
  <c r="B1438" i="3"/>
  <c r="A1438" i="3"/>
  <c r="H1437" i="3"/>
  <c r="G1437" i="3"/>
  <c r="F1437" i="3"/>
  <c r="E1437" i="3"/>
  <c r="D1437" i="3"/>
  <c r="C1437" i="3"/>
  <c r="B1437" i="3"/>
  <c r="A1437" i="3"/>
  <c r="H1436" i="3"/>
  <c r="G1436" i="3"/>
  <c r="F1436" i="3"/>
  <c r="E1436" i="3"/>
  <c r="D1436" i="3"/>
  <c r="C1436" i="3"/>
  <c r="B1436" i="3"/>
  <c r="A1436" i="3"/>
  <c r="H1435" i="3"/>
  <c r="G1435" i="3"/>
  <c r="F1435" i="3"/>
  <c r="E1435" i="3"/>
  <c r="D1435" i="3"/>
  <c r="C1435" i="3"/>
  <c r="B1435" i="3"/>
  <c r="A1435" i="3"/>
  <c r="H1434" i="3"/>
  <c r="G1434" i="3"/>
  <c r="F1434" i="3"/>
  <c r="E1434" i="3"/>
  <c r="D1434" i="3"/>
  <c r="C1434" i="3"/>
  <c r="B1434" i="3"/>
  <c r="A1434" i="3"/>
  <c r="H1433" i="3"/>
  <c r="G1433" i="3"/>
  <c r="F1433" i="3"/>
  <c r="E1433" i="3"/>
  <c r="A1433" i="3"/>
  <c r="H1432" i="3"/>
  <c r="G1432" i="3"/>
  <c r="F1432" i="3"/>
  <c r="E1432" i="3"/>
  <c r="D1432" i="3"/>
  <c r="C1432" i="3"/>
  <c r="B1432" i="3"/>
  <c r="A1432" i="3"/>
  <c r="H1431" i="3"/>
  <c r="G1431" i="3"/>
  <c r="F1431" i="3"/>
  <c r="E1431" i="3"/>
  <c r="D1431" i="3"/>
  <c r="C1431" i="3"/>
  <c r="B1431" i="3"/>
  <c r="A1431" i="3"/>
  <c r="H1430" i="3"/>
  <c r="G1430" i="3"/>
  <c r="F1430" i="3"/>
  <c r="E1430" i="3"/>
  <c r="D1430" i="3"/>
  <c r="C1430" i="3"/>
  <c r="B1430" i="3"/>
  <c r="A1430" i="3"/>
  <c r="H1429" i="3"/>
  <c r="G1429" i="3"/>
  <c r="F1429" i="3"/>
  <c r="E1429" i="3"/>
  <c r="D1429" i="3"/>
  <c r="C1429" i="3"/>
  <c r="B1429" i="3"/>
  <c r="A1429" i="3"/>
  <c r="H1428" i="3"/>
  <c r="G1428" i="3"/>
  <c r="F1428" i="3"/>
  <c r="E1428" i="3"/>
  <c r="D1428" i="3"/>
  <c r="C1428" i="3"/>
  <c r="A1428" i="3"/>
  <c r="H1427" i="3"/>
  <c r="G1427" i="3"/>
  <c r="F1427" i="3"/>
  <c r="E1427" i="3"/>
  <c r="D1427" i="3"/>
  <c r="C1427" i="3"/>
  <c r="B1427" i="3"/>
  <c r="A1427" i="3"/>
  <c r="H1426" i="3"/>
  <c r="G1426" i="3"/>
  <c r="F1426" i="3"/>
  <c r="E1426" i="3"/>
  <c r="D1426" i="3"/>
  <c r="C1426" i="3"/>
  <c r="B1426" i="3"/>
  <c r="A1426" i="3"/>
  <c r="H1425" i="3"/>
  <c r="G1425" i="3"/>
  <c r="F1425" i="3"/>
  <c r="E1425" i="3"/>
  <c r="C1425" i="3"/>
  <c r="B1425" i="3"/>
  <c r="A1425" i="3"/>
  <c r="H1424" i="3"/>
  <c r="G1424" i="3"/>
  <c r="F1424" i="3"/>
  <c r="E1424" i="3"/>
  <c r="C1424" i="3"/>
  <c r="B1424" i="3"/>
  <c r="A1424" i="3"/>
  <c r="H1423" i="3"/>
  <c r="G1423" i="3"/>
  <c r="F1423" i="3"/>
  <c r="E1423" i="3"/>
  <c r="C1423" i="3"/>
  <c r="B1423" i="3"/>
  <c r="A1423" i="3"/>
  <c r="H1422" i="3"/>
  <c r="G1422" i="3"/>
  <c r="F1422" i="3"/>
  <c r="E1422" i="3"/>
  <c r="D1422" i="3"/>
  <c r="C1422" i="3"/>
  <c r="B1422" i="3"/>
  <c r="A1422" i="3"/>
  <c r="H1421" i="3"/>
  <c r="G1421" i="3"/>
  <c r="F1421" i="3"/>
  <c r="E1421" i="3"/>
  <c r="C1421" i="3"/>
  <c r="B1421" i="3"/>
  <c r="A1421" i="3"/>
  <c r="H1420" i="3"/>
  <c r="G1420" i="3"/>
  <c r="F1420" i="3"/>
  <c r="E1420" i="3"/>
  <c r="C1420" i="3"/>
  <c r="A1420" i="3"/>
  <c r="H1419" i="3"/>
  <c r="G1419" i="3"/>
  <c r="F1419" i="3"/>
  <c r="E1419" i="3"/>
  <c r="D1419" i="3"/>
  <c r="C1419" i="3"/>
  <c r="B1419" i="3"/>
  <c r="A1419" i="3"/>
  <c r="H1418" i="3"/>
  <c r="G1418" i="3"/>
  <c r="F1418" i="3"/>
  <c r="E1418" i="3"/>
  <c r="D1418" i="3"/>
  <c r="C1418" i="3"/>
  <c r="B1418" i="3"/>
  <c r="A1418" i="3"/>
  <c r="H1417" i="3"/>
  <c r="G1417" i="3"/>
  <c r="F1417" i="3"/>
  <c r="E1417" i="3"/>
  <c r="D1417" i="3"/>
  <c r="C1417" i="3"/>
  <c r="B1417" i="3"/>
  <c r="A1417" i="3"/>
  <c r="H1416" i="3"/>
  <c r="G1416" i="3"/>
  <c r="F1416" i="3"/>
  <c r="E1416" i="3"/>
  <c r="D1416" i="3"/>
  <c r="C1416" i="3"/>
  <c r="B1416" i="3"/>
  <c r="A1416" i="3"/>
  <c r="H1415" i="3"/>
  <c r="G1415" i="3"/>
  <c r="F1415" i="3"/>
  <c r="E1415" i="3"/>
  <c r="D1415" i="3"/>
  <c r="C1415" i="3"/>
  <c r="B1415" i="3"/>
  <c r="A1415" i="3"/>
  <c r="H1414" i="3"/>
  <c r="G1414" i="3"/>
  <c r="F1414" i="3"/>
  <c r="E1414" i="3"/>
  <c r="D1414" i="3"/>
  <c r="C1414" i="3"/>
  <c r="B1414" i="3"/>
  <c r="A1414" i="3"/>
  <c r="H1413" i="3"/>
  <c r="G1413" i="3"/>
  <c r="F1413" i="3"/>
  <c r="E1413" i="3"/>
  <c r="B1413" i="3"/>
  <c r="A1413" i="3"/>
  <c r="H1412" i="3"/>
  <c r="G1412" i="3"/>
  <c r="F1412" i="3"/>
  <c r="E1412" i="3"/>
  <c r="D1412" i="3"/>
  <c r="C1412" i="3"/>
  <c r="B1412" i="3"/>
  <c r="A1412" i="3"/>
  <c r="H1411" i="3"/>
  <c r="G1411" i="3"/>
  <c r="F1411" i="3"/>
  <c r="E1411" i="3"/>
  <c r="D1411" i="3"/>
  <c r="C1411" i="3"/>
  <c r="B1411" i="3"/>
  <c r="A1411" i="3"/>
  <c r="H1410" i="3"/>
  <c r="G1410" i="3"/>
  <c r="F1410" i="3"/>
  <c r="E1410" i="3"/>
  <c r="D1410" i="3"/>
  <c r="C1410" i="3"/>
  <c r="B1410" i="3"/>
  <c r="A1410" i="3"/>
  <c r="H1409" i="3"/>
  <c r="G1409" i="3"/>
  <c r="F1409" i="3"/>
  <c r="E1409" i="3"/>
  <c r="D1409" i="3"/>
  <c r="C1409" i="3"/>
  <c r="B1409" i="3"/>
  <c r="A1409" i="3"/>
  <c r="H1408" i="3"/>
  <c r="G1408" i="3"/>
  <c r="F1408" i="3"/>
  <c r="E1408" i="3"/>
  <c r="D1408" i="3"/>
  <c r="C1408" i="3"/>
  <c r="B1408" i="3"/>
  <c r="A1408" i="3"/>
  <c r="H1407" i="3"/>
  <c r="G1407" i="3"/>
  <c r="F1407" i="3"/>
  <c r="E1407" i="3"/>
  <c r="D1407" i="3"/>
  <c r="C1407" i="3"/>
  <c r="B1407" i="3"/>
  <c r="A1407" i="3"/>
  <c r="H1406" i="3"/>
  <c r="G1406" i="3"/>
  <c r="F1406" i="3"/>
  <c r="E1406" i="3"/>
  <c r="D1406" i="3"/>
  <c r="C1406" i="3"/>
  <c r="B1406" i="3"/>
  <c r="A1406" i="3"/>
  <c r="H1405" i="3"/>
  <c r="G1405" i="3"/>
  <c r="F1405" i="3"/>
  <c r="E1405" i="3"/>
  <c r="D1405" i="3"/>
  <c r="C1405" i="3"/>
  <c r="B1405" i="3"/>
  <c r="A1405" i="3"/>
  <c r="H1404" i="3"/>
  <c r="G1404" i="3"/>
  <c r="F1404" i="3"/>
  <c r="E1404" i="3"/>
  <c r="D1404" i="3"/>
  <c r="C1404" i="3"/>
  <c r="B1404" i="3"/>
  <c r="A1404" i="3"/>
  <c r="H1403" i="3"/>
  <c r="G1403" i="3"/>
  <c r="F1403" i="3"/>
  <c r="E1403" i="3"/>
  <c r="D1403" i="3"/>
  <c r="C1403" i="3"/>
  <c r="B1403" i="3"/>
  <c r="A1403" i="3"/>
  <c r="H1402" i="3"/>
  <c r="G1402" i="3"/>
  <c r="F1402" i="3"/>
  <c r="E1402" i="3"/>
  <c r="C1402" i="3"/>
  <c r="B1402" i="3"/>
  <c r="A1402" i="3"/>
  <c r="H1401" i="3"/>
  <c r="G1401" i="3"/>
  <c r="F1401" i="3"/>
  <c r="E1401" i="3"/>
  <c r="C1401" i="3"/>
  <c r="B1401" i="3"/>
  <c r="A1401" i="3"/>
  <c r="H1400" i="3"/>
  <c r="G1400" i="3"/>
  <c r="F1400" i="3"/>
  <c r="E1400" i="3"/>
  <c r="D1400" i="3"/>
  <c r="C1400" i="3"/>
  <c r="B1400" i="3"/>
  <c r="A1400" i="3"/>
  <c r="H1399" i="3"/>
  <c r="G1399" i="3"/>
  <c r="F1399" i="3"/>
  <c r="E1399" i="3"/>
  <c r="D1399" i="3"/>
  <c r="C1399" i="3"/>
  <c r="B1399" i="3"/>
  <c r="A1399" i="3"/>
  <c r="H1398" i="3"/>
  <c r="G1398" i="3"/>
  <c r="F1398" i="3"/>
  <c r="E1398" i="3"/>
  <c r="D1398" i="3"/>
  <c r="C1398" i="3"/>
  <c r="B1398" i="3"/>
  <c r="A1398" i="3"/>
  <c r="H1397" i="3"/>
  <c r="G1397" i="3"/>
  <c r="F1397" i="3"/>
  <c r="E1397" i="3"/>
  <c r="C1397" i="3"/>
  <c r="B1397" i="3"/>
  <c r="A1397" i="3"/>
  <c r="H1396" i="3"/>
  <c r="G1396" i="3"/>
  <c r="F1396" i="3"/>
  <c r="E1396" i="3"/>
  <c r="D1396" i="3"/>
  <c r="C1396" i="3"/>
  <c r="B1396" i="3"/>
  <c r="A1396" i="3"/>
  <c r="H1395" i="3"/>
  <c r="G1395" i="3"/>
  <c r="F1395" i="3"/>
  <c r="E1395" i="3"/>
  <c r="D1395" i="3"/>
  <c r="C1395" i="3"/>
  <c r="B1395" i="3"/>
  <c r="A1395" i="3"/>
  <c r="H1394" i="3"/>
  <c r="G1394" i="3"/>
  <c r="F1394" i="3"/>
  <c r="E1394" i="3"/>
  <c r="C1394" i="3"/>
  <c r="B1394" i="3"/>
  <c r="A1394" i="3"/>
  <c r="H1393" i="3"/>
  <c r="G1393" i="3"/>
  <c r="F1393" i="3"/>
  <c r="E1393" i="3"/>
  <c r="D1393" i="3"/>
  <c r="C1393" i="3"/>
  <c r="B1393" i="3"/>
  <c r="A1393" i="3"/>
  <c r="H1392" i="3"/>
  <c r="G1392" i="3"/>
  <c r="F1392" i="3"/>
  <c r="E1392" i="3"/>
  <c r="A1392" i="3"/>
  <c r="H1391" i="3"/>
  <c r="G1391" i="3"/>
  <c r="F1391" i="3"/>
  <c r="E1391" i="3"/>
  <c r="D1391" i="3"/>
  <c r="C1391" i="3"/>
  <c r="B1391" i="3"/>
  <c r="A1391" i="3"/>
  <c r="H1390" i="3"/>
  <c r="G1390" i="3"/>
  <c r="F1390" i="3"/>
  <c r="E1390" i="3"/>
  <c r="C1390" i="3"/>
  <c r="B1390" i="3"/>
  <c r="A1390" i="3"/>
  <c r="H1389" i="3"/>
  <c r="G1389" i="3"/>
  <c r="F1389" i="3"/>
  <c r="E1389" i="3"/>
  <c r="D1389" i="3"/>
  <c r="C1389" i="3"/>
  <c r="B1389" i="3"/>
  <c r="A1389" i="3"/>
  <c r="H1388" i="3"/>
  <c r="G1388" i="3"/>
  <c r="F1388" i="3"/>
  <c r="E1388" i="3"/>
  <c r="C1388" i="3"/>
  <c r="B1388" i="3"/>
  <c r="A1388" i="3"/>
  <c r="H1387" i="3"/>
  <c r="G1387" i="3"/>
  <c r="F1387" i="3"/>
  <c r="E1387" i="3"/>
  <c r="C1387" i="3"/>
  <c r="B1387" i="3"/>
  <c r="A1387" i="3"/>
  <c r="H1386" i="3"/>
  <c r="G1386" i="3"/>
  <c r="F1386" i="3"/>
  <c r="E1386" i="3"/>
  <c r="C1386" i="3"/>
  <c r="B1386" i="3"/>
  <c r="A1386" i="3"/>
  <c r="H1385" i="3"/>
  <c r="G1385" i="3"/>
  <c r="F1385" i="3"/>
  <c r="E1385" i="3"/>
  <c r="D1385" i="3"/>
  <c r="C1385" i="3"/>
  <c r="B1385" i="3"/>
  <c r="A1385" i="3"/>
  <c r="H1384" i="3"/>
  <c r="G1384" i="3"/>
  <c r="F1384" i="3"/>
  <c r="E1384" i="3"/>
  <c r="D1384" i="3"/>
  <c r="C1384" i="3"/>
  <c r="B1384" i="3"/>
  <c r="A1384" i="3"/>
  <c r="H1383" i="3"/>
  <c r="G1383" i="3"/>
  <c r="F1383" i="3"/>
  <c r="E1383" i="3"/>
  <c r="D1383" i="3"/>
  <c r="C1383" i="3"/>
  <c r="B1383" i="3"/>
  <c r="A1383" i="3"/>
  <c r="H1382" i="3"/>
  <c r="G1382" i="3"/>
  <c r="F1382" i="3"/>
  <c r="E1382" i="3"/>
  <c r="C1382" i="3"/>
  <c r="B1382" i="3"/>
  <c r="A1382" i="3"/>
  <c r="H1381" i="3"/>
  <c r="G1381" i="3"/>
  <c r="F1381" i="3"/>
  <c r="E1381" i="3"/>
  <c r="C1381" i="3"/>
  <c r="B1381" i="3"/>
  <c r="A1381" i="3"/>
  <c r="H1380" i="3"/>
  <c r="G1380" i="3"/>
  <c r="F1380" i="3"/>
  <c r="E1380" i="3"/>
  <c r="C1380" i="3"/>
  <c r="B1380" i="3"/>
  <c r="A1380" i="3"/>
  <c r="H1379" i="3"/>
  <c r="G1379" i="3"/>
  <c r="F1379" i="3"/>
  <c r="E1379" i="3"/>
  <c r="D1379" i="3"/>
  <c r="C1379" i="3"/>
  <c r="B1379" i="3"/>
  <c r="A1379" i="3"/>
  <c r="H1378" i="3"/>
  <c r="G1378" i="3"/>
  <c r="F1378" i="3"/>
  <c r="E1378" i="3"/>
  <c r="C1378" i="3"/>
  <c r="B1378" i="3"/>
  <c r="A1378" i="3"/>
  <c r="H1377" i="3"/>
  <c r="G1377" i="3"/>
  <c r="F1377" i="3"/>
  <c r="E1377" i="3"/>
  <c r="D1377" i="3"/>
  <c r="C1377" i="3"/>
  <c r="B1377" i="3"/>
  <c r="A1377" i="3"/>
  <c r="H1376" i="3"/>
  <c r="G1376" i="3"/>
  <c r="F1376" i="3"/>
  <c r="E1376" i="3"/>
  <c r="D1376" i="3"/>
  <c r="C1376" i="3"/>
  <c r="B1376" i="3"/>
  <c r="A1376" i="3"/>
  <c r="H1375" i="3"/>
  <c r="G1375" i="3"/>
  <c r="F1375" i="3"/>
  <c r="E1375" i="3"/>
  <c r="D1375" i="3"/>
  <c r="C1375" i="3"/>
  <c r="B1375" i="3"/>
  <c r="A1375" i="3"/>
  <c r="H1374" i="3"/>
  <c r="G1374" i="3"/>
  <c r="F1374" i="3"/>
  <c r="E1374" i="3"/>
  <c r="D1374" i="3"/>
  <c r="C1374" i="3"/>
  <c r="B1374" i="3"/>
  <c r="A1374" i="3"/>
  <c r="H1373" i="3"/>
  <c r="G1373" i="3"/>
  <c r="F1373" i="3"/>
  <c r="E1373" i="3"/>
  <c r="D1373" i="3"/>
  <c r="C1373" i="3"/>
  <c r="B1373" i="3"/>
  <c r="A1373" i="3"/>
  <c r="H1372" i="3"/>
  <c r="G1372" i="3"/>
  <c r="F1372" i="3"/>
  <c r="E1372" i="3"/>
  <c r="C1372" i="3"/>
  <c r="B1372" i="3"/>
  <c r="A1372" i="3"/>
  <c r="H1371" i="3"/>
  <c r="G1371" i="3"/>
  <c r="F1371" i="3"/>
  <c r="E1371" i="3"/>
  <c r="D1371" i="3"/>
  <c r="C1371" i="3"/>
  <c r="B1371" i="3"/>
  <c r="A1371" i="3"/>
  <c r="H1370" i="3"/>
  <c r="G1370" i="3"/>
  <c r="F1370" i="3"/>
  <c r="E1370" i="3"/>
  <c r="D1370" i="3"/>
  <c r="C1370" i="3"/>
  <c r="B1370" i="3"/>
  <c r="A1370" i="3"/>
  <c r="H1369" i="3"/>
  <c r="G1369" i="3"/>
  <c r="F1369" i="3"/>
  <c r="E1369" i="3"/>
  <c r="D1369" i="3"/>
  <c r="C1369" i="3"/>
  <c r="B1369" i="3"/>
  <c r="A1369" i="3"/>
  <c r="H1368" i="3"/>
  <c r="G1368" i="3"/>
  <c r="F1368" i="3"/>
  <c r="E1368" i="3"/>
  <c r="D1368" i="3"/>
  <c r="C1368" i="3"/>
  <c r="B1368" i="3"/>
  <c r="A1368" i="3"/>
  <c r="H1367" i="3"/>
  <c r="G1367" i="3"/>
  <c r="F1367" i="3"/>
  <c r="E1367" i="3"/>
  <c r="D1367" i="3"/>
  <c r="C1367" i="3"/>
  <c r="B1367" i="3"/>
  <c r="A1367" i="3"/>
  <c r="H1366" i="3"/>
  <c r="G1366" i="3"/>
  <c r="F1366" i="3"/>
  <c r="E1366" i="3"/>
  <c r="C1366" i="3"/>
  <c r="B1366" i="3"/>
  <c r="A1366" i="3"/>
  <c r="H1365" i="3"/>
  <c r="G1365" i="3"/>
  <c r="F1365" i="3"/>
  <c r="E1365" i="3"/>
  <c r="D1365" i="3"/>
  <c r="C1365" i="3"/>
  <c r="B1365" i="3"/>
  <c r="A1365" i="3"/>
  <c r="H1364" i="3"/>
  <c r="G1364" i="3"/>
  <c r="F1364" i="3"/>
  <c r="E1364" i="3"/>
  <c r="C1364" i="3"/>
  <c r="A1364" i="3"/>
  <c r="H1363" i="3"/>
  <c r="G1363" i="3"/>
  <c r="F1363" i="3"/>
  <c r="E1363" i="3"/>
  <c r="D1363" i="3"/>
  <c r="C1363" i="3"/>
  <c r="B1363" i="3"/>
  <c r="A1363" i="3"/>
  <c r="H1362" i="3"/>
  <c r="G1362" i="3"/>
  <c r="F1362" i="3"/>
  <c r="E1362" i="3"/>
  <c r="D1362" i="3"/>
  <c r="C1362" i="3"/>
  <c r="B1362" i="3"/>
  <c r="A1362" i="3"/>
  <c r="H1361" i="3"/>
  <c r="G1361" i="3"/>
  <c r="F1361" i="3"/>
  <c r="E1361" i="3"/>
  <c r="B1361" i="3"/>
  <c r="A1361" i="3"/>
  <c r="H1360" i="3"/>
  <c r="G1360" i="3"/>
  <c r="F1360" i="3"/>
  <c r="E1360" i="3"/>
  <c r="D1360" i="3"/>
  <c r="C1360" i="3"/>
  <c r="B1360" i="3"/>
  <c r="A1360" i="3"/>
  <c r="H1359" i="3"/>
  <c r="G1359" i="3"/>
  <c r="F1359" i="3"/>
  <c r="E1359" i="3"/>
  <c r="C1359" i="3"/>
  <c r="B1359" i="3"/>
  <c r="A1359" i="3"/>
  <c r="H1358" i="3"/>
  <c r="G1358" i="3"/>
  <c r="F1358" i="3"/>
  <c r="E1358" i="3"/>
  <c r="D1358" i="3"/>
  <c r="C1358" i="3"/>
  <c r="B1358" i="3"/>
  <c r="A1358" i="3"/>
  <c r="H1357" i="3"/>
  <c r="G1357" i="3"/>
  <c r="F1357" i="3"/>
  <c r="E1357" i="3"/>
  <c r="D1357" i="3"/>
  <c r="C1357" i="3"/>
  <c r="B1357" i="3"/>
  <c r="A1357" i="3"/>
  <c r="H1356" i="3"/>
  <c r="G1356" i="3"/>
  <c r="F1356" i="3"/>
  <c r="E1356" i="3"/>
  <c r="D1356" i="3"/>
  <c r="C1356" i="3"/>
  <c r="B1356" i="3"/>
  <c r="A1356" i="3"/>
  <c r="H1355" i="3"/>
  <c r="G1355" i="3"/>
  <c r="F1355" i="3"/>
  <c r="E1355" i="3"/>
  <c r="D1355" i="3"/>
  <c r="C1355" i="3"/>
  <c r="B1355" i="3"/>
  <c r="A1355" i="3"/>
  <c r="H1354" i="3"/>
  <c r="G1354" i="3"/>
  <c r="F1354" i="3"/>
  <c r="E1354" i="3"/>
  <c r="D1354" i="3"/>
  <c r="C1354" i="3"/>
  <c r="B1354" i="3"/>
  <c r="A1354" i="3"/>
  <c r="H1353" i="3"/>
  <c r="G1353" i="3"/>
  <c r="F1353" i="3"/>
  <c r="E1353" i="3"/>
  <c r="D1353" i="3"/>
  <c r="C1353" i="3"/>
  <c r="B1353" i="3"/>
  <c r="A1353" i="3"/>
  <c r="H1352" i="3"/>
  <c r="G1352" i="3"/>
  <c r="F1352" i="3"/>
  <c r="E1352" i="3"/>
  <c r="D1352" i="3"/>
  <c r="C1352" i="3"/>
  <c r="B1352" i="3"/>
  <c r="A1352" i="3"/>
  <c r="H1351" i="3"/>
  <c r="G1351" i="3"/>
  <c r="F1351" i="3"/>
  <c r="E1351" i="3"/>
  <c r="D1351" i="3"/>
  <c r="C1351" i="3"/>
  <c r="B1351" i="3"/>
  <c r="A1351" i="3"/>
  <c r="H1350" i="3"/>
  <c r="G1350" i="3"/>
  <c r="F1350" i="3"/>
  <c r="E1350" i="3"/>
  <c r="D1350" i="3"/>
  <c r="C1350" i="3"/>
  <c r="A1350" i="3"/>
  <c r="H1349" i="3"/>
  <c r="G1349" i="3"/>
  <c r="F1349" i="3"/>
  <c r="E1349" i="3"/>
  <c r="D1349" i="3"/>
  <c r="C1349" i="3"/>
  <c r="B1349" i="3"/>
  <c r="A1349" i="3"/>
  <c r="H1348" i="3"/>
  <c r="G1348" i="3"/>
  <c r="F1348" i="3"/>
  <c r="E1348" i="3"/>
  <c r="D1348" i="3"/>
  <c r="C1348" i="3"/>
  <c r="B1348" i="3"/>
  <c r="A1348" i="3"/>
  <c r="H1347" i="3"/>
  <c r="G1347" i="3"/>
  <c r="F1347" i="3"/>
  <c r="E1347" i="3"/>
  <c r="B1347" i="3"/>
  <c r="A1347" i="3"/>
  <c r="H1346" i="3"/>
  <c r="G1346" i="3"/>
  <c r="F1346" i="3"/>
  <c r="E1346" i="3"/>
  <c r="D1346" i="3"/>
  <c r="C1346" i="3"/>
  <c r="B1346" i="3"/>
  <c r="A1346" i="3"/>
  <c r="H1345" i="3"/>
  <c r="G1345" i="3"/>
  <c r="F1345" i="3"/>
  <c r="E1345" i="3"/>
  <c r="D1345" i="3"/>
  <c r="C1345" i="3"/>
  <c r="B1345" i="3"/>
  <c r="A1345" i="3"/>
  <c r="H1344" i="3"/>
  <c r="G1344" i="3"/>
  <c r="F1344" i="3"/>
  <c r="E1344" i="3"/>
  <c r="D1344" i="3"/>
  <c r="C1344" i="3"/>
  <c r="B1344" i="3"/>
  <c r="A1344" i="3"/>
  <c r="H1343" i="3"/>
  <c r="G1343" i="3"/>
  <c r="F1343" i="3"/>
  <c r="E1343" i="3"/>
  <c r="D1343" i="3"/>
  <c r="C1343" i="3"/>
  <c r="B1343" i="3"/>
  <c r="A1343" i="3"/>
  <c r="H1342" i="3"/>
  <c r="G1342" i="3"/>
  <c r="F1342" i="3"/>
  <c r="E1342" i="3"/>
  <c r="D1342" i="3"/>
  <c r="C1342" i="3"/>
  <c r="B1342" i="3"/>
  <c r="A1342" i="3"/>
  <c r="H1341" i="3"/>
  <c r="G1341" i="3"/>
  <c r="F1341" i="3"/>
  <c r="E1341" i="3"/>
  <c r="D1341" i="3"/>
  <c r="C1341" i="3"/>
  <c r="B1341" i="3"/>
  <c r="A1341" i="3"/>
  <c r="H1340" i="3"/>
  <c r="G1340" i="3"/>
  <c r="F1340" i="3"/>
  <c r="E1340" i="3"/>
  <c r="D1340" i="3"/>
  <c r="C1340" i="3"/>
  <c r="B1340" i="3"/>
  <c r="A1340" i="3"/>
  <c r="H1339" i="3"/>
  <c r="G1339" i="3"/>
  <c r="F1339" i="3"/>
  <c r="E1339" i="3"/>
  <c r="D1339" i="3"/>
  <c r="C1339" i="3"/>
  <c r="B1339" i="3"/>
  <c r="A1339" i="3"/>
  <c r="H1338" i="3"/>
  <c r="G1338" i="3"/>
  <c r="F1338" i="3"/>
  <c r="E1338" i="3"/>
  <c r="C1338" i="3"/>
  <c r="B1338" i="3"/>
  <c r="A1338" i="3"/>
  <c r="H1337" i="3"/>
  <c r="G1337" i="3"/>
  <c r="F1337" i="3"/>
  <c r="E1337" i="3"/>
  <c r="D1337" i="3"/>
  <c r="C1337" i="3"/>
  <c r="B1337" i="3"/>
  <c r="A1337" i="3"/>
  <c r="H1336" i="3"/>
  <c r="G1336" i="3"/>
  <c r="F1336" i="3"/>
  <c r="E1336" i="3"/>
  <c r="C1336" i="3"/>
  <c r="B1336" i="3"/>
  <c r="A1336" i="3"/>
  <c r="H1335" i="3"/>
  <c r="G1335" i="3"/>
  <c r="F1335" i="3"/>
  <c r="E1335" i="3"/>
  <c r="D1335" i="3"/>
  <c r="C1335" i="3"/>
  <c r="B1335" i="3"/>
  <c r="A1335" i="3"/>
  <c r="H1334" i="3"/>
  <c r="G1334" i="3"/>
  <c r="F1334" i="3"/>
  <c r="E1334" i="3"/>
  <c r="D1334" i="3"/>
  <c r="C1334" i="3"/>
  <c r="B1334" i="3"/>
  <c r="A1334" i="3"/>
  <c r="H1333" i="3"/>
  <c r="G1333" i="3"/>
  <c r="F1333" i="3"/>
  <c r="E1333" i="3"/>
  <c r="D1333" i="3"/>
  <c r="C1333" i="3"/>
  <c r="B1333" i="3"/>
  <c r="A1333" i="3"/>
  <c r="H1332" i="3"/>
  <c r="G1332" i="3"/>
  <c r="F1332" i="3"/>
  <c r="E1332" i="3"/>
  <c r="D1332" i="3"/>
  <c r="C1332" i="3"/>
  <c r="B1332" i="3"/>
  <c r="A1332" i="3"/>
  <c r="H1331" i="3"/>
  <c r="G1331" i="3"/>
  <c r="F1331" i="3"/>
  <c r="E1331" i="3"/>
  <c r="D1331" i="3"/>
  <c r="C1331" i="3"/>
  <c r="B1331" i="3"/>
  <c r="A1331" i="3"/>
  <c r="H1330" i="3"/>
  <c r="G1330" i="3"/>
  <c r="F1330" i="3"/>
  <c r="E1330" i="3"/>
  <c r="D1330" i="3"/>
  <c r="C1330" i="3"/>
  <c r="B1330" i="3"/>
  <c r="A1330" i="3"/>
  <c r="H1329" i="3"/>
  <c r="G1329" i="3"/>
  <c r="F1329" i="3"/>
  <c r="E1329" i="3"/>
  <c r="D1329" i="3"/>
  <c r="C1329" i="3"/>
  <c r="B1329" i="3"/>
  <c r="A1329" i="3"/>
  <c r="H1328" i="3"/>
  <c r="G1328" i="3"/>
  <c r="F1328" i="3"/>
  <c r="E1328" i="3"/>
  <c r="D1328" i="3"/>
  <c r="C1328" i="3"/>
  <c r="B1328" i="3"/>
  <c r="A1328" i="3"/>
  <c r="H1327" i="3"/>
  <c r="G1327" i="3"/>
  <c r="F1327" i="3"/>
  <c r="E1327" i="3"/>
  <c r="D1327" i="3"/>
  <c r="C1327" i="3"/>
  <c r="A1327" i="3"/>
  <c r="H1326" i="3"/>
  <c r="G1326" i="3"/>
  <c r="F1326" i="3"/>
  <c r="E1326" i="3"/>
  <c r="D1326" i="3"/>
  <c r="C1326" i="3"/>
  <c r="B1326" i="3"/>
  <c r="A1326" i="3"/>
  <c r="H1325" i="3"/>
  <c r="G1325" i="3"/>
  <c r="F1325" i="3"/>
  <c r="E1325" i="3"/>
  <c r="C1325" i="3"/>
  <c r="B1325" i="3"/>
  <c r="A1325" i="3"/>
  <c r="H1324" i="3"/>
  <c r="G1324" i="3"/>
  <c r="F1324" i="3"/>
  <c r="E1324" i="3"/>
  <c r="C1324" i="3"/>
  <c r="A1324" i="3"/>
  <c r="H1323" i="3"/>
  <c r="G1323" i="3"/>
  <c r="F1323" i="3"/>
  <c r="E1323" i="3"/>
  <c r="D1323" i="3"/>
  <c r="C1323" i="3"/>
  <c r="A1323" i="3"/>
  <c r="H1322" i="3"/>
  <c r="G1322" i="3"/>
  <c r="F1322" i="3"/>
  <c r="E1322" i="3"/>
  <c r="D1322" i="3"/>
  <c r="C1322" i="3"/>
  <c r="B1322" i="3"/>
  <c r="A1322" i="3"/>
  <c r="H1321" i="3"/>
  <c r="G1321" i="3"/>
  <c r="F1321" i="3"/>
  <c r="E1321" i="3"/>
  <c r="D1321" i="3"/>
  <c r="C1321" i="3"/>
  <c r="B1321" i="3"/>
  <c r="A1321" i="3"/>
  <c r="H1320" i="3"/>
  <c r="G1320" i="3"/>
  <c r="F1320" i="3"/>
  <c r="E1320" i="3"/>
  <c r="C1320" i="3"/>
  <c r="B1320" i="3"/>
  <c r="A1320" i="3"/>
  <c r="H1319" i="3"/>
  <c r="G1319" i="3"/>
  <c r="F1319" i="3"/>
  <c r="E1319" i="3"/>
  <c r="D1319" i="3"/>
  <c r="C1319" i="3"/>
  <c r="B1319" i="3"/>
  <c r="A1319" i="3"/>
  <c r="H1318" i="3"/>
  <c r="G1318" i="3"/>
  <c r="F1318" i="3"/>
  <c r="E1318" i="3"/>
  <c r="D1318" i="3"/>
  <c r="C1318" i="3"/>
  <c r="B1318" i="3"/>
  <c r="A1318" i="3"/>
  <c r="H1317" i="3"/>
  <c r="G1317" i="3"/>
  <c r="F1317" i="3"/>
  <c r="E1317" i="3"/>
  <c r="C1317" i="3"/>
  <c r="B1317" i="3"/>
  <c r="A1317" i="3"/>
  <c r="H1316" i="3"/>
  <c r="G1316" i="3"/>
  <c r="F1316" i="3"/>
  <c r="E1316" i="3"/>
  <c r="D1316" i="3"/>
  <c r="C1316" i="3"/>
  <c r="B1316" i="3"/>
  <c r="A1316" i="3"/>
  <c r="H1315" i="3"/>
  <c r="G1315" i="3"/>
  <c r="F1315" i="3"/>
  <c r="E1315" i="3"/>
  <c r="D1315" i="3"/>
  <c r="C1315" i="3"/>
  <c r="B1315" i="3"/>
  <c r="A1315" i="3"/>
  <c r="H1314" i="3"/>
  <c r="G1314" i="3"/>
  <c r="F1314" i="3"/>
  <c r="E1314" i="3"/>
  <c r="D1314" i="3"/>
  <c r="C1314" i="3"/>
  <c r="B1314" i="3"/>
  <c r="A1314" i="3"/>
  <c r="H1313" i="3"/>
  <c r="G1313" i="3"/>
  <c r="F1313" i="3"/>
  <c r="E1313" i="3"/>
  <c r="D1313" i="3"/>
  <c r="C1313" i="3"/>
  <c r="B1313" i="3"/>
  <c r="A1313" i="3"/>
  <c r="H1312" i="3"/>
  <c r="G1312" i="3"/>
  <c r="F1312" i="3"/>
  <c r="E1312" i="3"/>
  <c r="D1312" i="3"/>
  <c r="C1312" i="3"/>
  <c r="B1312" i="3"/>
  <c r="A1312" i="3"/>
  <c r="H1311" i="3"/>
  <c r="G1311" i="3"/>
  <c r="F1311" i="3"/>
  <c r="E1311" i="3"/>
  <c r="D1311" i="3"/>
  <c r="C1311" i="3"/>
  <c r="B1311" i="3"/>
  <c r="A1311" i="3"/>
  <c r="H1310" i="3"/>
  <c r="G1310" i="3"/>
  <c r="F1310" i="3"/>
  <c r="E1310" i="3"/>
  <c r="D1310" i="3"/>
  <c r="C1310" i="3"/>
  <c r="B1310" i="3"/>
  <c r="A1310" i="3"/>
  <c r="H1309" i="3"/>
  <c r="G1309" i="3"/>
  <c r="F1309" i="3"/>
  <c r="E1309" i="3"/>
  <c r="D1309" i="3"/>
  <c r="C1309" i="3"/>
  <c r="B1309" i="3"/>
  <c r="A1309" i="3"/>
  <c r="H1308" i="3"/>
  <c r="G1308" i="3"/>
  <c r="F1308" i="3"/>
  <c r="E1308" i="3"/>
  <c r="D1308" i="3"/>
  <c r="C1308" i="3"/>
  <c r="B1308" i="3"/>
  <c r="A1308" i="3"/>
  <c r="H1307" i="3"/>
  <c r="G1307" i="3"/>
  <c r="F1307" i="3"/>
  <c r="E1307" i="3"/>
  <c r="D1307" i="3"/>
  <c r="C1307" i="3"/>
  <c r="B1307" i="3"/>
  <c r="A1307" i="3"/>
  <c r="H1306" i="3"/>
  <c r="G1306" i="3"/>
  <c r="F1306" i="3"/>
  <c r="E1306" i="3"/>
  <c r="D1306" i="3"/>
  <c r="C1306" i="3"/>
  <c r="B1306" i="3"/>
  <c r="A1306" i="3"/>
  <c r="H1305" i="3"/>
  <c r="G1305" i="3"/>
  <c r="F1305" i="3"/>
  <c r="E1305" i="3"/>
  <c r="D1305" i="3"/>
  <c r="C1305" i="3"/>
  <c r="B1305" i="3"/>
  <c r="A1305" i="3"/>
  <c r="H1304" i="3"/>
  <c r="G1304" i="3"/>
  <c r="F1304" i="3"/>
  <c r="E1304" i="3"/>
  <c r="C1304" i="3"/>
  <c r="B1304" i="3"/>
  <c r="A1304" i="3"/>
  <c r="H1303" i="3"/>
  <c r="G1303" i="3"/>
  <c r="F1303" i="3"/>
  <c r="E1303" i="3"/>
  <c r="D1303" i="3"/>
  <c r="C1303" i="3"/>
  <c r="B1303" i="3"/>
  <c r="A1303" i="3"/>
  <c r="H1302" i="3"/>
  <c r="G1302" i="3"/>
  <c r="F1302" i="3"/>
  <c r="E1302" i="3"/>
  <c r="D1302" i="3"/>
  <c r="C1302" i="3"/>
  <c r="B1302" i="3"/>
  <c r="A1302" i="3"/>
  <c r="H1301" i="3"/>
  <c r="G1301" i="3"/>
  <c r="F1301" i="3"/>
  <c r="E1301" i="3"/>
  <c r="D1301" i="3"/>
  <c r="C1301" i="3"/>
  <c r="B1301" i="3"/>
  <c r="A1301" i="3"/>
  <c r="H1300" i="3"/>
  <c r="G1300" i="3"/>
  <c r="F1300" i="3"/>
  <c r="E1300" i="3"/>
  <c r="D1300" i="3"/>
  <c r="C1300" i="3"/>
  <c r="B1300" i="3"/>
  <c r="A1300" i="3"/>
  <c r="H1299" i="3"/>
  <c r="G1299" i="3"/>
  <c r="F1299" i="3"/>
  <c r="E1299" i="3"/>
  <c r="A1299" i="3"/>
  <c r="H1298" i="3"/>
  <c r="G1298" i="3"/>
  <c r="F1298" i="3"/>
  <c r="E1298" i="3"/>
  <c r="D1298" i="3"/>
  <c r="C1298" i="3"/>
  <c r="B1298" i="3"/>
  <c r="A1298" i="3"/>
  <c r="H1297" i="3"/>
  <c r="G1297" i="3"/>
  <c r="F1297" i="3"/>
  <c r="E1297" i="3"/>
  <c r="C1297" i="3"/>
  <c r="A1297" i="3"/>
  <c r="H1296" i="3"/>
  <c r="G1296" i="3"/>
  <c r="F1296" i="3"/>
  <c r="E1296" i="3"/>
  <c r="D1296" i="3"/>
  <c r="C1296" i="3"/>
  <c r="B1296" i="3"/>
  <c r="A1296" i="3"/>
  <c r="H1295" i="3"/>
  <c r="G1295" i="3"/>
  <c r="F1295" i="3"/>
  <c r="E1295" i="3"/>
  <c r="D1295" i="3"/>
  <c r="C1295" i="3"/>
  <c r="B1295" i="3"/>
  <c r="A1295" i="3"/>
  <c r="H1294" i="3"/>
  <c r="G1294" i="3"/>
  <c r="F1294" i="3"/>
  <c r="E1294" i="3"/>
  <c r="C1294" i="3"/>
  <c r="B1294" i="3"/>
  <c r="A1294" i="3"/>
  <c r="H1293" i="3"/>
  <c r="G1293" i="3"/>
  <c r="F1293" i="3"/>
  <c r="E1293" i="3"/>
  <c r="C1293" i="3"/>
  <c r="B1293" i="3"/>
  <c r="A1293" i="3"/>
  <c r="H1292" i="3"/>
  <c r="G1292" i="3"/>
  <c r="F1292" i="3"/>
  <c r="E1292" i="3"/>
  <c r="C1292" i="3"/>
  <c r="B1292" i="3"/>
  <c r="A1292" i="3"/>
  <c r="H1291" i="3"/>
  <c r="G1291" i="3"/>
  <c r="F1291" i="3"/>
  <c r="E1291" i="3"/>
  <c r="D1291" i="3"/>
  <c r="C1291" i="3"/>
  <c r="A1291" i="3"/>
  <c r="H1290" i="3"/>
  <c r="G1290" i="3"/>
  <c r="F1290" i="3"/>
  <c r="E1290" i="3"/>
  <c r="D1290" i="3"/>
  <c r="C1290" i="3"/>
  <c r="B1290" i="3"/>
  <c r="A1290" i="3"/>
  <c r="H1289" i="3"/>
  <c r="G1289" i="3"/>
  <c r="F1289" i="3"/>
  <c r="E1289" i="3"/>
  <c r="D1289" i="3"/>
  <c r="C1289" i="3"/>
  <c r="B1289" i="3"/>
  <c r="A1289" i="3"/>
  <c r="H1288" i="3"/>
  <c r="G1288" i="3"/>
  <c r="F1288" i="3"/>
  <c r="E1288" i="3"/>
  <c r="D1288" i="3"/>
  <c r="C1288" i="3"/>
  <c r="B1288" i="3"/>
  <c r="A1288" i="3"/>
  <c r="H1287" i="3"/>
  <c r="G1287" i="3"/>
  <c r="F1287" i="3"/>
  <c r="E1287" i="3"/>
  <c r="D1287" i="3"/>
  <c r="C1287" i="3"/>
  <c r="B1287" i="3"/>
  <c r="A1287" i="3"/>
  <c r="H1286" i="3"/>
  <c r="G1286" i="3"/>
  <c r="F1286" i="3"/>
  <c r="E1286" i="3"/>
  <c r="D1286" i="3"/>
  <c r="C1286" i="3"/>
  <c r="B1286" i="3"/>
  <c r="A1286" i="3"/>
  <c r="H1285" i="3"/>
  <c r="G1285" i="3"/>
  <c r="F1285" i="3"/>
  <c r="E1285" i="3"/>
  <c r="C1285" i="3"/>
  <c r="B1285" i="3"/>
  <c r="A1285" i="3"/>
  <c r="H1284" i="3"/>
  <c r="G1284" i="3"/>
  <c r="F1284" i="3"/>
  <c r="E1284" i="3"/>
  <c r="D1284" i="3"/>
  <c r="C1284" i="3"/>
  <c r="B1284" i="3"/>
  <c r="A1284" i="3"/>
  <c r="H1283" i="3"/>
  <c r="G1283" i="3"/>
  <c r="F1283" i="3"/>
  <c r="E1283" i="3"/>
  <c r="C1283" i="3"/>
  <c r="A1283" i="3"/>
  <c r="H1282" i="3"/>
  <c r="G1282" i="3"/>
  <c r="F1282" i="3"/>
  <c r="E1282" i="3"/>
  <c r="A1282" i="3"/>
  <c r="H1281" i="3"/>
  <c r="G1281" i="3"/>
  <c r="F1281" i="3"/>
  <c r="E1281" i="3"/>
  <c r="C1281" i="3"/>
  <c r="B1281" i="3"/>
  <c r="A1281" i="3"/>
  <c r="H1280" i="3"/>
  <c r="G1280" i="3"/>
  <c r="F1280" i="3"/>
  <c r="E1280" i="3"/>
  <c r="D1280" i="3"/>
  <c r="C1280" i="3"/>
  <c r="B1280" i="3"/>
  <c r="A1280" i="3"/>
  <c r="H1279" i="3"/>
  <c r="G1279" i="3"/>
  <c r="F1279" i="3"/>
  <c r="E1279" i="3"/>
  <c r="D1279" i="3"/>
  <c r="C1279" i="3"/>
  <c r="A1279" i="3"/>
  <c r="H1278" i="3"/>
  <c r="G1278" i="3"/>
  <c r="F1278" i="3"/>
  <c r="E1278" i="3"/>
  <c r="C1278" i="3"/>
  <c r="B1278" i="3"/>
  <c r="A1278" i="3"/>
  <c r="H1277" i="3"/>
  <c r="G1277" i="3"/>
  <c r="F1277" i="3"/>
  <c r="E1277" i="3"/>
  <c r="D1277" i="3"/>
  <c r="C1277" i="3"/>
  <c r="B1277" i="3"/>
  <c r="A1277" i="3"/>
  <c r="H1276" i="3"/>
  <c r="G1276" i="3"/>
  <c r="F1276" i="3"/>
  <c r="E1276" i="3"/>
  <c r="A1276" i="3"/>
  <c r="H1275" i="3"/>
  <c r="G1275" i="3"/>
  <c r="F1275" i="3"/>
  <c r="E1275" i="3"/>
  <c r="D1275" i="3"/>
  <c r="C1275" i="3"/>
  <c r="B1275" i="3"/>
  <c r="A1275" i="3"/>
  <c r="H1274" i="3"/>
  <c r="G1274" i="3"/>
  <c r="F1274" i="3"/>
  <c r="E1274" i="3"/>
  <c r="D1274" i="3"/>
  <c r="C1274" i="3"/>
  <c r="B1274" i="3"/>
  <c r="A1274" i="3"/>
  <c r="H1273" i="3"/>
  <c r="G1273" i="3"/>
  <c r="F1273" i="3"/>
  <c r="E1273" i="3"/>
  <c r="D1273" i="3"/>
  <c r="C1273" i="3"/>
  <c r="B1273" i="3"/>
  <c r="A1273" i="3"/>
  <c r="H1272" i="3"/>
  <c r="G1272" i="3"/>
  <c r="F1272" i="3"/>
  <c r="E1272" i="3"/>
  <c r="D1272" i="3"/>
  <c r="C1272" i="3"/>
  <c r="B1272" i="3"/>
  <c r="A1272" i="3"/>
  <c r="H1271" i="3"/>
  <c r="G1271" i="3"/>
  <c r="F1271" i="3"/>
  <c r="E1271" i="3"/>
  <c r="C1271" i="3"/>
  <c r="A1271" i="3"/>
  <c r="H1270" i="3"/>
  <c r="G1270" i="3"/>
  <c r="F1270" i="3"/>
  <c r="E1270" i="3"/>
  <c r="C1270" i="3"/>
  <c r="B1270" i="3"/>
  <c r="A1270" i="3"/>
  <c r="H1269" i="3"/>
  <c r="G1269" i="3"/>
  <c r="F1269" i="3"/>
  <c r="E1269" i="3"/>
  <c r="D1269" i="3"/>
  <c r="C1269" i="3"/>
  <c r="B1269" i="3"/>
  <c r="A1269" i="3"/>
  <c r="H1268" i="3"/>
  <c r="G1268" i="3"/>
  <c r="F1268" i="3"/>
  <c r="E1268" i="3"/>
  <c r="D1268" i="3"/>
  <c r="C1268" i="3"/>
  <c r="B1268" i="3"/>
  <c r="A1268" i="3"/>
  <c r="H1267" i="3"/>
  <c r="G1267" i="3"/>
  <c r="F1267" i="3"/>
  <c r="E1267" i="3"/>
  <c r="D1267" i="3"/>
  <c r="C1267" i="3"/>
  <c r="B1267" i="3"/>
  <c r="A1267" i="3"/>
  <c r="H1266" i="3"/>
  <c r="G1266" i="3"/>
  <c r="F1266" i="3"/>
  <c r="E1266" i="3"/>
  <c r="D1266" i="3"/>
  <c r="C1266" i="3"/>
  <c r="B1266" i="3"/>
  <c r="A1266" i="3"/>
  <c r="H1265" i="3"/>
  <c r="G1265" i="3"/>
  <c r="F1265" i="3"/>
  <c r="E1265" i="3"/>
  <c r="C1265" i="3"/>
  <c r="B1265" i="3"/>
  <c r="A1265" i="3"/>
  <c r="H1264" i="3"/>
  <c r="G1264" i="3"/>
  <c r="F1264" i="3"/>
  <c r="E1264" i="3"/>
  <c r="D1264" i="3"/>
  <c r="C1264" i="3"/>
  <c r="B1264" i="3"/>
  <c r="A1264" i="3"/>
  <c r="H1263" i="3"/>
  <c r="G1263" i="3"/>
  <c r="F1263" i="3"/>
  <c r="E1263" i="3"/>
  <c r="D1263" i="3"/>
  <c r="C1263" i="3"/>
  <c r="A1263" i="3"/>
  <c r="H1262" i="3"/>
  <c r="G1262" i="3"/>
  <c r="F1262" i="3"/>
  <c r="E1262" i="3"/>
  <c r="D1262" i="3"/>
  <c r="C1262" i="3"/>
  <c r="B1262" i="3"/>
  <c r="A1262" i="3"/>
  <c r="H1261" i="3"/>
  <c r="G1261" i="3"/>
  <c r="F1261" i="3"/>
  <c r="E1261" i="3"/>
  <c r="D1261" i="3"/>
  <c r="C1261" i="3"/>
  <c r="B1261" i="3"/>
  <c r="A1261" i="3"/>
  <c r="H1260" i="3"/>
  <c r="G1260" i="3"/>
  <c r="F1260" i="3"/>
  <c r="E1260" i="3"/>
  <c r="D1260" i="3"/>
  <c r="C1260" i="3"/>
  <c r="B1260" i="3"/>
  <c r="A1260" i="3"/>
  <c r="H1259" i="3"/>
  <c r="G1259" i="3"/>
  <c r="F1259" i="3"/>
  <c r="E1259" i="3"/>
  <c r="C1259" i="3"/>
  <c r="A1259" i="3"/>
  <c r="H1258" i="3"/>
  <c r="G1258" i="3"/>
  <c r="F1258" i="3"/>
  <c r="E1258" i="3"/>
  <c r="C1258" i="3"/>
  <c r="B1258" i="3"/>
  <c r="A1258" i="3"/>
  <c r="H1257" i="3"/>
  <c r="G1257" i="3"/>
  <c r="F1257" i="3"/>
  <c r="E1257" i="3"/>
  <c r="C1257" i="3"/>
  <c r="B1257" i="3"/>
  <c r="A1257" i="3"/>
  <c r="H1256" i="3"/>
  <c r="G1256" i="3"/>
  <c r="F1256" i="3"/>
  <c r="E1256" i="3"/>
  <c r="C1256" i="3"/>
  <c r="B1256" i="3"/>
  <c r="A1256" i="3"/>
  <c r="H1255" i="3"/>
  <c r="G1255" i="3"/>
  <c r="F1255" i="3"/>
  <c r="E1255" i="3"/>
  <c r="D1255" i="3"/>
  <c r="C1255" i="3"/>
  <c r="B1255" i="3"/>
  <c r="A1255" i="3"/>
  <c r="H1254" i="3"/>
  <c r="G1254" i="3"/>
  <c r="F1254" i="3"/>
  <c r="E1254" i="3"/>
  <c r="C1254" i="3"/>
  <c r="B1254" i="3"/>
  <c r="A1254" i="3"/>
  <c r="H1253" i="3"/>
  <c r="G1253" i="3"/>
  <c r="F1253" i="3"/>
  <c r="E1253" i="3"/>
  <c r="C1253" i="3"/>
  <c r="B1253" i="3"/>
  <c r="A1253" i="3"/>
  <c r="H1252" i="3"/>
  <c r="G1252" i="3"/>
  <c r="F1252" i="3"/>
  <c r="E1252" i="3"/>
  <c r="C1252" i="3"/>
  <c r="B1252" i="3"/>
  <c r="A1252" i="3"/>
  <c r="H1251" i="3"/>
  <c r="G1251" i="3"/>
  <c r="F1251" i="3"/>
  <c r="E1251" i="3"/>
  <c r="D1251" i="3"/>
  <c r="C1251" i="3"/>
  <c r="B1251" i="3"/>
  <c r="A1251" i="3"/>
  <c r="H1250" i="3"/>
  <c r="G1250" i="3"/>
  <c r="F1250" i="3"/>
  <c r="E1250" i="3"/>
  <c r="D1250" i="3"/>
  <c r="C1250" i="3"/>
  <c r="B1250" i="3"/>
  <c r="A1250" i="3"/>
  <c r="H1249" i="3"/>
  <c r="G1249" i="3"/>
  <c r="F1249" i="3"/>
  <c r="E1249" i="3"/>
  <c r="D1249" i="3"/>
  <c r="C1249" i="3"/>
  <c r="B1249" i="3"/>
  <c r="A1249" i="3"/>
  <c r="H1248" i="3"/>
  <c r="G1248" i="3"/>
  <c r="F1248" i="3"/>
  <c r="E1248" i="3"/>
  <c r="D1248" i="3"/>
  <c r="C1248" i="3"/>
  <c r="B1248" i="3"/>
  <c r="A1248" i="3"/>
  <c r="H1247" i="3"/>
  <c r="G1247" i="3"/>
  <c r="F1247" i="3"/>
  <c r="E1247" i="3"/>
  <c r="C1247" i="3"/>
  <c r="B1247" i="3"/>
  <c r="A1247" i="3"/>
  <c r="H1246" i="3"/>
  <c r="G1246" i="3"/>
  <c r="F1246" i="3"/>
  <c r="E1246" i="3"/>
  <c r="D1246" i="3"/>
  <c r="C1246" i="3"/>
  <c r="B1246" i="3"/>
  <c r="A1246" i="3"/>
  <c r="H1245" i="3"/>
  <c r="G1245" i="3"/>
  <c r="F1245" i="3"/>
  <c r="E1245" i="3"/>
  <c r="D1245" i="3"/>
  <c r="C1245" i="3"/>
  <c r="B1245" i="3"/>
  <c r="A1245" i="3"/>
  <c r="H1244" i="3"/>
  <c r="G1244" i="3"/>
  <c r="F1244" i="3"/>
  <c r="E1244" i="3"/>
  <c r="D1244" i="3"/>
  <c r="C1244" i="3"/>
  <c r="B1244" i="3"/>
  <c r="A1244" i="3"/>
  <c r="H1243" i="3"/>
  <c r="G1243" i="3"/>
  <c r="F1243" i="3"/>
  <c r="E1243" i="3"/>
  <c r="D1243" i="3"/>
  <c r="C1243" i="3"/>
  <c r="B1243" i="3"/>
  <c r="A1243" i="3"/>
  <c r="H1242" i="3"/>
  <c r="G1242" i="3"/>
  <c r="F1242" i="3"/>
  <c r="E1242" i="3"/>
  <c r="D1242" i="3"/>
  <c r="C1242" i="3"/>
  <c r="B1242" i="3"/>
  <c r="A1242" i="3"/>
  <c r="H1241" i="3"/>
  <c r="G1241" i="3"/>
  <c r="F1241" i="3"/>
  <c r="E1241" i="3"/>
  <c r="D1241" i="3"/>
  <c r="C1241" i="3"/>
  <c r="B1241" i="3"/>
  <c r="A1241" i="3"/>
  <c r="H1240" i="3"/>
  <c r="G1240" i="3"/>
  <c r="F1240" i="3"/>
  <c r="E1240" i="3"/>
  <c r="D1240" i="3"/>
  <c r="C1240" i="3"/>
  <c r="B1240" i="3"/>
  <c r="A1240" i="3"/>
  <c r="H1239" i="3"/>
  <c r="G1239" i="3"/>
  <c r="F1239" i="3"/>
  <c r="E1239" i="3"/>
  <c r="D1239" i="3"/>
  <c r="C1239" i="3"/>
  <c r="B1239" i="3"/>
  <c r="A1239" i="3"/>
  <c r="H1238" i="3"/>
  <c r="G1238" i="3"/>
  <c r="F1238" i="3"/>
  <c r="E1238" i="3"/>
  <c r="C1238" i="3"/>
  <c r="B1238" i="3"/>
  <c r="A1238" i="3"/>
  <c r="H1237" i="3"/>
  <c r="G1237" i="3"/>
  <c r="F1237" i="3"/>
  <c r="E1237" i="3"/>
  <c r="C1237" i="3"/>
  <c r="B1237" i="3"/>
  <c r="A1237" i="3"/>
  <c r="H1236" i="3"/>
  <c r="G1236" i="3"/>
  <c r="F1236" i="3"/>
  <c r="E1236" i="3"/>
  <c r="C1236" i="3"/>
  <c r="B1236" i="3"/>
  <c r="A1236" i="3"/>
  <c r="H1235" i="3"/>
  <c r="G1235" i="3"/>
  <c r="F1235" i="3"/>
  <c r="E1235" i="3"/>
  <c r="C1235" i="3"/>
  <c r="B1235" i="3"/>
  <c r="A1235" i="3"/>
  <c r="H1234" i="3"/>
  <c r="G1234" i="3"/>
  <c r="F1234" i="3"/>
  <c r="E1234" i="3"/>
  <c r="D1234" i="3"/>
  <c r="C1234" i="3"/>
  <c r="B1234" i="3"/>
  <c r="A1234" i="3"/>
  <c r="H1233" i="3"/>
  <c r="G1233" i="3"/>
  <c r="F1233" i="3"/>
  <c r="E1233" i="3"/>
  <c r="D1233" i="3"/>
  <c r="C1233" i="3"/>
  <c r="B1233" i="3"/>
  <c r="A1233" i="3"/>
  <c r="H1232" i="3"/>
  <c r="G1232" i="3"/>
  <c r="F1232" i="3"/>
  <c r="E1232" i="3"/>
  <c r="A1232" i="3"/>
  <c r="H1231" i="3"/>
  <c r="G1231" i="3"/>
  <c r="F1231" i="3"/>
  <c r="E1231" i="3"/>
  <c r="A1231" i="3"/>
  <c r="H1230" i="3"/>
  <c r="G1230" i="3"/>
  <c r="F1230" i="3"/>
  <c r="E1230" i="3"/>
  <c r="D1230" i="3"/>
  <c r="C1230" i="3"/>
  <c r="B1230" i="3"/>
  <c r="A1230" i="3"/>
  <c r="H1229" i="3"/>
  <c r="G1229" i="3"/>
  <c r="F1229" i="3"/>
  <c r="E1229" i="3"/>
  <c r="C1229" i="3"/>
  <c r="B1229" i="3"/>
  <c r="A1229" i="3"/>
  <c r="H1228" i="3"/>
  <c r="G1228" i="3"/>
  <c r="F1228" i="3"/>
  <c r="E1228" i="3"/>
  <c r="C1228" i="3"/>
  <c r="A1228" i="3"/>
  <c r="H1227" i="3"/>
  <c r="G1227" i="3"/>
  <c r="F1227" i="3"/>
  <c r="E1227" i="3"/>
  <c r="C1227" i="3"/>
  <c r="B1227" i="3"/>
  <c r="A1227" i="3"/>
  <c r="H1226" i="3"/>
  <c r="G1226" i="3"/>
  <c r="F1226" i="3"/>
  <c r="E1226" i="3"/>
  <c r="A1226" i="3"/>
  <c r="H1225" i="3"/>
  <c r="G1225" i="3"/>
  <c r="F1225" i="3"/>
  <c r="E1225" i="3"/>
  <c r="C1225" i="3"/>
  <c r="B1225" i="3"/>
  <c r="A1225" i="3"/>
  <c r="H1224" i="3"/>
  <c r="G1224" i="3"/>
  <c r="F1224" i="3"/>
  <c r="E1224" i="3"/>
  <c r="C1224" i="3"/>
  <c r="B1224" i="3"/>
  <c r="A1224" i="3"/>
  <c r="H1223" i="3"/>
  <c r="G1223" i="3"/>
  <c r="F1223" i="3"/>
  <c r="E1223" i="3"/>
  <c r="C1223" i="3"/>
  <c r="A1223" i="3"/>
  <c r="H1222" i="3"/>
  <c r="G1222" i="3"/>
  <c r="F1222" i="3"/>
  <c r="E1222" i="3"/>
  <c r="D1222" i="3"/>
  <c r="C1222" i="3"/>
  <c r="B1222" i="3"/>
  <c r="A1222" i="3"/>
  <c r="H1221" i="3"/>
  <c r="G1221" i="3"/>
  <c r="F1221" i="3"/>
  <c r="E1221" i="3"/>
  <c r="A1221" i="3"/>
  <c r="H1220" i="3"/>
  <c r="G1220" i="3"/>
  <c r="F1220" i="3"/>
  <c r="E1220" i="3"/>
  <c r="D1220" i="3"/>
  <c r="C1220" i="3"/>
  <c r="B1220" i="3"/>
  <c r="A1220" i="3"/>
  <c r="H1219" i="3"/>
  <c r="G1219" i="3"/>
  <c r="F1219" i="3"/>
  <c r="E1219" i="3"/>
  <c r="C1219" i="3"/>
  <c r="B1219" i="3"/>
  <c r="A1219" i="3"/>
  <c r="H1218" i="3"/>
  <c r="G1218" i="3"/>
  <c r="F1218" i="3"/>
  <c r="E1218" i="3"/>
  <c r="A1218" i="3"/>
  <c r="H1217" i="3"/>
  <c r="G1217" i="3"/>
  <c r="F1217" i="3"/>
  <c r="E1217" i="3"/>
  <c r="A1217" i="3"/>
  <c r="H1216" i="3"/>
  <c r="G1216" i="3"/>
  <c r="F1216" i="3"/>
  <c r="E1216" i="3"/>
  <c r="D1216" i="3"/>
  <c r="C1216" i="3"/>
  <c r="B1216" i="3"/>
  <c r="A1216" i="3"/>
  <c r="H1215" i="3"/>
  <c r="G1215" i="3"/>
  <c r="F1215" i="3"/>
  <c r="E1215" i="3"/>
  <c r="D1215" i="3"/>
  <c r="C1215" i="3"/>
  <c r="B1215" i="3"/>
  <c r="A1215" i="3"/>
  <c r="H1214" i="3"/>
  <c r="G1214" i="3"/>
  <c r="F1214" i="3"/>
  <c r="E1214" i="3"/>
  <c r="D1214" i="3"/>
  <c r="C1214" i="3"/>
  <c r="B1214" i="3"/>
  <c r="A1214" i="3"/>
  <c r="H1213" i="3"/>
  <c r="G1213" i="3"/>
  <c r="F1213" i="3"/>
  <c r="E1213" i="3"/>
  <c r="C1213" i="3"/>
  <c r="A1213" i="3"/>
  <c r="H1212" i="3"/>
  <c r="G1212" i="3"/>
  <c r="F1212" i="3"/>
  <c r="E1212" i="3"/>
  <c r="C1212" i="3"/>
  <c r="B1212" i="3"/>
  <c r="A1212" i="3"/>
  <c r="H1211" i="3"/>
  <c r="G1211" i="3"/>
  <c r="F1211" i="3"/>
  <c r="E1211" i="3"/>
  <c r="C1211" i="3"/>
  <c r="B1211" i="3"/>
  <c r="A1211" i="3"/>
  <c r="H1210" i="3"/>
  <c r="G1210" i="3"/>
  <c r="F1210" i="3"/>
  <c r="E1210" i="3"/>
  <c r="C1210" i="3"/>
  <c r="B1210" i="3"/>
  <c r="A1210" i="3"/>
  <c r="H1209" i="3"/>
  <c r="G1209" i="3"/>
  <c r="F1209" i="3"/>
  <c r="E1209" i="3"/>
  <c r="C1209" i="3"/>
  <c r="B1209" i="3"/>
  <c r="A1209" i="3"/>
  <c r="H1208" i="3"/>
  <c r="G1208" i="3"/>
  <c r="F1208" i="3"/>
  <c r="E1208" i="3"/>
  <c r="C1208" i="3"/>
  <c r="B1208" i="3"/>
  <c r="A1208" i="3"/>
  <c r="H1207" i="3"/>
  <c r="G1207" i="3"/>
  <c r="F1207" i="3"/>
  <c r="E1207" i="3"/>
  <c r="D1207" i="3"/>
  <c r="C1207" i="3"/>
  <c r="B1207" i="3"/>
  <c r="A1207" i="3"/>
  <c r="H1206" i="3"/>
  <c r="G1206" i="3"/>
  <c r="F1206" i="3"/>
  <c r="E1206" i="3"/>
  <c r="C1206" i="3"/>
  <c r="B1206" i="3"/>
  <c r="A1206" i="3"/>
  <c r="H1205" i="3"/>
  <c r="G1205" i="3"/>
  <c r="F1205" i="3"/>
  <c r="E1205" i="3"/>
  <c r="D1205" i="3"/>
  <c r="C1205" i="3"/>
  <c r="B1205" i="3"/>
  <c r="A1205" i="3"/>
  <c r="H1204" i="3"/>
  <c r="G1204" i="3"/>
  <c r="F1204" i="3"/>
  <c r="E1204" i="3"/>
  <c r="C1204" i="3"/>
  <c r="B1204" i="3"/>
  <c r="A1204" i="3"/>
  <c r="H1203" i="3"/>
  <c r="G1203" i="3"/>
  <c r="F1203" i="3"/>
  <c r="E1203" i="3"/>
  <c r="C1203" i="3"/>
  <c r="B1203" i="3"/>
  <c r="A1203" i="3"/>
  <c r="H1202" i="3"/>
  <c r="G1202" i="3"/>
  <c r="F1202" i="3"/>
  <c r="E1202" i="3"/>
  <c r="C1202" i="3"/>
  <c r="A1202" i="3"/>
  <c r="H1201" i="3"/>
  <c r="G1201" i="3"/>
  <c r="F1201" i="3"/>
  <c r="E1201" i="3"/>
  <c r="B1201" i="3"/>
  <c r="A1201" i="3"/>
  <c r="H1200" i="3"/>
  <c r="G1200" i="3"/>
  <c r="F1200" i="3"/>
  <c r="E1200" i="3"/>
  <c r="D1200" i="3"/>
  <c r="C1200" i="3"/>
  <c r="B1200" i="3"/>
  <c r="A1200" i="3"/>
  <c r="H1199" i="3"/>
  <c r="G1199" i="3"/>
  <c r="F1199" i="3"/>
  <c r="E1199" i="3"/>
  <c r="D1199" i="3"/>
  <c r="C1199" i="3"/>
  <c r="B1199" i="3"/>
  <c r="A1199" i="3"/>
  <c r="H1198" i="3"/>
  <c r="G1198" i="3"/>
  <c r="F1198" i="3"/>
  <c r="E1198" i="3"/>
  <c r="C1198" i="3"/>
  <c r="B1198" i="3"/>
  <c r="A1198" i="3"/>
  <c r="H1197" i="3"/>
  <c r="G1197" i="3"/>
  <c r="F1197" i="3"/>
  <c r="E1197" i="3"/>
  <c r="B1197" i="3"/>
  <c r="A1197" i="3"/>
  <c r="H1196" i="3"/>
  <c r="G1196" i="3"/>
  <c r="F1196" i="3"/>
  <c r="E1196" i="3"/>
  <c r="D1196" i="3"/>
  <c r="C1196" i="3"/>
  <c r="B1196" i="3"/>
  <c r="A1196" i="3"/>
  <c r="H1195" i="3"/>
  <c r="G1195" i="3"/>
  <c r="F1195" i="3"/>
  <c r="E1195" i="3"/>
  <c r="A1195" i="3"/>
  <c r="H1194" i="3"/>
  <c r="G1194" i="3"/>
  <c r="F1194" i="3"/>
  <c r="E1194" i="3"/>
  <c r="D1194" i="3"/>
  <c r="C1194" i="3"/>
  <c r="B1194" i="3"/>
  <c r="A1194" i="3"/>
  <c r="H1193" i="3"/>
  <c r="G1193" i="3"/>
  <c r="F1193" i="3"/>
  <c r="E1193" i="3"/>
  <c r="D1193" i="3"/>
  <c r="C1193" i="3"/>
  <c r="B1193" i="3"/>
  <c r="A1193" i="3"/>
  <c r="H1192" i="3"/>
  <c r="G1192" i="3"/>
  <c r="F1192" i="3"/>
  <c r="E1192" i="3"/>
  <c r="C1192" i="3"/>
  <c r="B1192" i="3"/>
  <c r="A1192" i="3"/>
  <c r="H1191" i="3"/>
  <c r="G1191" i="3"/>
  <c r="F1191" i="3"/>
  <c r="E1191" i="3"/>
  <c r="C1191" i="3"/>
  <c r="B1191" i="3"/>
  <c r="A1191" i="3"/>
  <c r="H1190" i="3"/>
  <c r="G1190" i="3"/>
  <c r="F1190" i="3"/>
  <c r="E1190" i="3"/>
  <c r="D1190" i="3"/>
  <c r="C1190" i="3"/>
  <c r="B1190" i="3"/>
  <c r="A1190" i="3"/>
  <c r="H1189" i="3"/>
  <c r="G1189" i="3"/>
  <c r="F1189" i="3"/>
  <c r="E1189" i="3"/>
  <c r="D1189" i="3"/>
  <c r="C1189" i="3"/>
  <c r="B1189" i="3"/>
  <c r="A1189" i="3"/>
  <c r="H1188" i="3"/>
  <c r="G1188" i="3"/>
  <c r="F1188" i="3"/>
  <c r="E1188" i="3"/>
  <c r="D1188" i="3"/>
  <c r="C1188" i="3"/>
  <c r="B1188" i="3"/>
  <c r="A1188" i="3"/>
  <c r="H1187" i="3"/>
  <c r="G1187" i="3"/>
  <c r="F1187" i="3"/>
  <c r="E1187" i="3"/>
  <c r="D1187" i="3"/>
  <c r="C1187" i="3"/>
  <c r="B1187" i="3"/>
  <c r="A1187" i="3"/>
  <c r="H1186" i="3"/>
  <c r="G1186" i="3"/>
  <c r="F1186" i="3"/>
  <c r="E1186" i="3"/>
  <c r="D1186" i="3"/>
  <c r="C1186" i="3"/>
  <c r="B1186" i="3"/>
  <c r="A1186" i="3"/>
  <c r="H1185" i="3"/>
  <c r="G1185" i="3"/>
  <c r="F1185" i="3"/>
  <c r="E1185" i="3"/>
  <c r="A1185" i="3"/>
  <c r="H1184" i="3"/>
  <c r="G1184" i="3"/>
  <c r="F1184" i="3"/>
  <c r="E1184" i="3"/>
  <c r="D1184" i="3"/>
  <c r="C1184" i="3"/>
  <c r="B1184" i="3"/>
  <c r="A1184" i="3"/>
  <c r="H1183" i="3"/>
  <c r="G1183" i="3"/>
  <c r="F1183" i="3"/>
  <c r="E1183" i="3"/>
  <c r="D1183" i="3"/>
  <c r="C1183" i="3"/>
  <c r="B1183" i="3"/>
  <c r="A1183" i="3"/>
  <c r="H1182" i="3"/>
  <c r="G1182" i="3"/>
  <c r="F1182" i="3"/>
  <c r="E1182" i="3"/>
  <c r="C1182" i="3"/>
  <c r="B1182" i="3"/>
  <c r="A1182" i="3"/>
  <c r="H1181" i="3"/>
  <c r="G1181" i="3"/>
  <c r="F1181" i="3"/>
  <c r="E1181" i="3"/>
  <c r="C1181" i="3"/>
  <c r="B1181" i="3"/>
  <c r="A1181" i="3"/>
  <c r="H1180" i="3"/>
  <c r="G1180" i="3"/>
  <c r="F1180" i="3"/>
  <c r="E1180" i="3"/>
  <c r="D1180" i="3"/>
  <c r="C1180" i="3"/>
  <c r="B1180" i="3"/>
  <c r="A1180" i="3"/>
  <c r="H1179" i="3"/>
  <c r="G1179" i="3"/>
  <c r="F1179" i="3"/>
  <c r="E1179" i="3"/>
  <c r="C1179" i="3"/>
  <c r="B1179" i="3"/>
  <c r="A1179" i="3"/>
  <c r="H1178" i="3"/>
  <c r="G1178" i="3"/>
  <c r="F1178" i="3"/>
  <c r="E1178" i="3"/>
  <c r="D1178" i="3"/>
  <c r="C1178" i="3"/>
  <c r="B1178" i="3"/>
  <c r="A1178" i="3"/>
  <c r="H1177" i="3"/>
  <c r="G1177" i="3"/>
  <c r="F1177" i="3"/>
  <c r="E1177" i="3"/>
  <c r="D1177" i="3"/>
  <c r="C1177" i="3"/>
  <c r="B1177" i="3"/>
  <c r="A1177" i="3"/>
  <c r="H1176" i="3"/>
  <c r="G1176" i="3"/>
  <c r="F1176" i="3"/>
  <c r="E1176" i="3"/>
  <c r="D1176" i="3"/>
  <c r="C1176" i="3"/>
  <c r="B1176" i="3"/>
  <c r="A1176" i="3"/>
  <c r="H1175" i="3"/>
  <c r="G1175" i="3"/>
  <c r="F1175" i="3"/>
  <c r="E1175" i="3"/>
  <c r="C1175" i="3"/>
  <c r="B1175" i="3"/>
  <c r="A1175" i="3"/>
  <c r="H1174" i="3"/>
  <c r="G1174" i="3"/>
  <c r="F1174" i="3"/>
  <c r="E1174" i="3"/>
  <c r="C1174" i="3"/>
  <c r="B1174" i="3"/>
  <c r="A1174" i="3"/>
  <c r="H1173" i="3"/>
  <c r="G1173" i="3"/>
  <c r="F1173" i="3"/>
  <c r="E1173" i="3"/>
  <c r="C1173" i="3"/>
  <c r="B1173" i="3"/>
  <c r="A1173" i="3"/>
  <c r="H1172" i="3"/>
  <c r="G1172" i="3"/>
  <c r="F1172" i="3"/>
  <c r="E1172" i="3"/>
  <c r="C1172" i="3"/>
  <c r="A1172" i="3"/>
  <c r="H1171" i="3"/>
  <c r="G1171" i="3"/>
  <c r="F1171" i="3"/>
  <c r="E1171" i="3"/>
  <c r="D1171" i="3"/>
  <c r="C1171" i="3"/>
  <c r="B1171" i="3"/>
  <c r="A1171" i="3"/>
  <c r="H1170" i="3"/>
  <c r="G1170" i="3"/>
  <c r="F1170" i="3"/>
  <c r="E1170" i="3"/>
  <c r="C1170" i="3"/>
  <c r="B1170" i="3"/>
  <c r="A1170" i="3"/>
  <c r="H1169" i="3"/>
  <c r="G1169" i="3"/>
  <c r="F1169" i="3"/>
  <c r="E1169" i="3"/>
  <c r="C1169" i="3"/>
  <c r="A1169" i="3"/>
  <c r="H1168" i="3"/>
  <c r="G1168" i="3"/>
  <c r="F1168" i="3"/>
  <c r="E1168" i="3"/>
  <c r="A1168" i="3"/>
  <c r="H1167" i="3"/>
  <c r="G1167" i="3"/>
  <c r="F1167" i="3"/>
  <c r="E1167" i="3"/>
  <c r="D1167" i="3"/>
  <c r="C1167" i="3"/>
  <c r="B1167" i="3"/>
  <c r="A1167" i="3"/>
  <c r="H1166" i="3"/>
  <c r="G1166" i="3"/>
  <c r="F1166" i="3"/>
  <c r="E1166" i="3"/>
  <c r="D1166" i="3"/>
  <c r="C1166" i="3"/>
  <c r="B1166" i="3"/>
  <c r="A1166" i="3"/>
  <c r="H1165" i="3"/>
  <c r="G1165" i="3"/>
  <c r="F1165" i="3"/>
  <c r="E1165" i="3"/>
  <c r="D1165" i="3"/>
  <c r="C1165" i="3"/>
  <c r="B1165" i="3"/>
  <c r="A1165" i="3"/>
  <c r="H1164" i="3"/>
  <c r="G1164" i="3"/>
  <c r="F1164" i="3"/>
  <c r="E1164" i="3"/>
  <c r="C1164" i="3"/>
  <c r="B1164" i="3"/>
  <c r="A1164" i="3"/>
  <c r="H1163" i="3"/>
  <c r="G1163" i="3"/>
  <c r="F1163" i="3"/>
  <c r="E1163" i="3"/>
  <c r="A1163" i="3"/>
  <c r="H1162" i="3"/>
  <c r="G1162" i="3"/>
  <c r="F1162" i="3"/>
  <c r="E1162" i="3"/>
  <c r="C1162" i="3"/>
  <c r="B1162" i="3"/>
  <c r="A1162" i="3"/>
  <c r="H1161" i="3"/>
  <c r="G1161" i="3"/>
  <c r="F1161" i="3"/>
  <c r="E1161" i="3"/>
  <c r="C1161" i="3"/>
  <c r="B1161" i="3"/>
  <c r="A1161" i="3"/>
  <c r="H1160" i="3"/>
  <c r="G1160" i="3"/>
  <c r="F1160" i="3"/>
  <c r="E1160" i="3"/>
  <c r="D1160" i="3"/>
  <c r="C1160" i="3"/>
  <c r="B1160" i="3"/>
  <c r="A1160" i="3"/>
  <c r="H1159" i="3"/>
  <c r="G1159" i="3"/>
  <c r="F1159" i="3"/>
  <c r="E1159" i="3"/>
  <c r="D1159" i="3"/>
  <c r="C1159" i="3"/>
  <c r="B1159" i="3"/>
  <c r="A1159" i="3"/>
  <c r="H1158" i="3"/>
  <c r="G1158" i="3"/>
  <c r="F1158" i="3"/>
  <c r="E1158" i="3"/>
  <c r="D1158" i="3"/>
  <c r="C1158" i="3"/>
  <c r="B1158" i="3"/>
  <c r="A1158" i="3"/>
  <c r="H1157" i="3"/>
  <c r="G1157" i="3"/>
  <c r="F1157" i="3"/>
  <c r="E1157" i="3"/>
  <c r="A1157" i="3"/>
  <c r="H1156" i="3"/>
  <c r="G1156" i="3"/>
  <c r="F1156" i="3"/>
  <c r="E1156" i="3"/>
  <c r="C1156" i="3"/>
  <c r="A1156" i="3"/>
  <c r="H1155" i="3"/>
  <c r="G1155" i="3"/>
  <c r="F1155" i="3"/>
  <c r="E1155" i="3"/>
  <c r="D1155" i="3"/>
  <c r="C1155" i="3"/>
  <c r="B1155" i="3"/>
  <c r="A1155" i="3"/>
  <c r="H1154" i="3"/>
  <c r="G1154" i="3"/>
  <c r="F1154" i="3"/>
  <c r="E1154" i="3"/>
  <c r="C1154" i="3"/>
  <c r="B1154" i="3"/>
  <c r="A1154" i="3"/>
  <c r="H1153" i="3"/>
  <c r="G1153" i="3"/>
  <c r="F1153" i="3"/>
  <c r="E1153" i="3"/>
  <c r="C1153" i="3"/>
  <c r="B1153" i="3"/>
  <c r="A1153" i="3"/>
  <c r="H1152" i="3"/>
  <c r="G1152" i="3"/>
  <c r="F1152" i="3"/>
  <c r="E1152" i="3"/>
  <c r="D1152" i="3"/>
  <c r="C1152" i="3"/>
  <c r="B1152" i="3"/>
  <c r="A1152" i="3"/>
  <c r="H1151" i="3"/>
  <c r="G1151" i="3"/>
  <c r="F1151" i="3"/>
  <c r="E1151" i="3"/>
  <c r="C1151" i="3"/>
  <c r="B1151" i="3"/>
  <c r="A1151" i="3"/>
  <c r="H1150" i="3"/>
  <c r="G1150" i="3"/>
  <c r="F1150" i="3"/>
  <c r="E1150" i="3"/>
  <c r="A1150" i="3"/>
  <c r="H1149" i="3"/>
  <c r="G1149" i="3"/>
  <c r="F1149" i="3"/>
  <c r="E1149" i="3"/>
  <c r="C1149" i="3"/>
  <c r="A1149" i="3"/>
  <c r="H1148" i="3"/>
  <c r="G1148" i="3"/>
  <c r="F1148" i="3"/>
  <c r="E1148" i="3"/>
  <c r="C1148" i="3"/>
  <c r="A1148" i="3"/>
  <c r="H1147" i="3"/>
  <c r="G1147" i="3"/>
  <c r="F1147" i="3"/>
  <c r="E1147" i="3"/>
  <c r="C1147" i="3"/>
  <c r="A1147" i="3"/>
  <c r="H1146" i="3"/>
  <c r="G1146" i="3"/>
  <c r="F1146" i="3"/>
  <c r="E1146" i="3"/>
  <c r="D1146" i="3"/>
  <c r="C1146" i="3"/>
  <c r="B1146" i="3"/>
  <c r="A1146" i="3"/>
  <c r="H1145" i="3"/>
  <c r="G1145" i="3"/>
  <c r="F1145" i="3"/>
  <c r="E1145" i="3"/>
  <c r="D1145" i="3"/>
  <c r="C1145" i="3"/>
  <c r="B1145" i="3"/>
  <c r="A1145" i="3"/>
  <c r="H1144" i="3"/>
  <c r="G1144" i="3"/>
  <c r="F1144" i="3"/>
  <c r="E1144" i="3"/>
  <c r="B1144" i="3"/>
  <c r="A1144" i="3"/>
  <c r="H1143" i="3"/>
  <c r="G1143" i="3"/>
  <c r="F1143" i="3"/>
  <c r="E1143" i="3"/>
  <c r="D1143" i="3"/>
  <c r="C1143" i="3"/>
  <c r="B1143" i="3"/>
  <c r="A1143" i="3"/>
  <c r="H1142" i="3"/>
  <c r="G1142" i="3"/>
  <c r="F1142" i="3"/>
  <c r="E1142" i="3"/>
  <c r="A1142" i="3"/>
  <c r="H1141" i="3"/>
  <c r="G1141" i="3"/>
  <c r="F1141" i="3"/>
  <c r="E1141" i="3"/>
  <c r="D1141" i="3"/>
  <c r="C1141" i="3"/>
  <c r="B1141" i="3"/>
  <c r="A1141" i="3"/>
  <c r="H1140" i="3"/>
  <c r="G1140" i="3"/>
  <c r="F1140" i="3"/>
  <c r="E1140" i="3"/>
  <c r="D1140" i="3"/>
  <c r="C1140" i="3"/>
  <c r="B1140" i="3"/>
  <c r="A1140" i="3"/>
  <c r="H1139" i="3"/>
  <c r="G1139" i="3"/>
  <c r="F1139" i="3"/>
  <c r="E1139" i="3"/>
  <c r="C1139" i="3"/>
  <c r="B1139" i="3"/>
  <c r="A1139" i="3"/>
  <c r="H1138" i="3"/>
  <c r="G1138" i="3"/>
  <c r="F1138" i="3"/>
  <c r="E1138" i="3"/>
  <c r="C1138" i="3"/>
  <c r="B1138" i="3"/>
  <c r="A1138" i="3"/>
  <c r="H1137" i="3"/>
  <c r="G1137" i="3"/>
  <c r="F1137" i="3"/>
  <c r="E1137" i="3"/>
  <c r="B1137" i="3"/>
  <c r="A1137" i="3"/>
  <c r="H1136" i="3"/>
  <c r="G1136" i="3"/>
  <c r="F1136" i="3"/>
  <c r="E1136" i="3"/>
  <c r="A1136" i="3"/>
  <c r="H1135" i="3"/>
  <c r="G1135" i="3"/>
  <c r="F1135" i="3"/>
  <c r="E1135" i="3"/>
  <c r="C1135" i="3"/>
  <c r="B1135" i="3"/>
  <c r="A1135" i="3"/>
  <c r="H1134" i="3"/>
  <c r="G1134" i="3"/>
  <c r="F1134" i="3"/>
  <c r="E1134" i="3"/>
  <c r="C1134" i="3"/>
  <c r="B1134" i="3"/>
  <c r="A1134" i="3"/>
  <c r="H1133" i="3"/>
  <c r="G1133" i="3"/>
  <c r="F1133" i="3"/>
  <c r="E1133" i="3"/>
  <c r="C1133" i="3"/>
  <c r="B1133" i="3"/>
  <c r="A1133" i="3"/>
  <c r="H1132" i="3"/>
  <c r="G1132" i="3"/>
  <c r="F1132" i="3"/>
  <c r="E1132" i="3"/>
  <c r="C1132" i="3"/>
  <c r="B1132" i="3"/>
  <c r="A1132" i="3"/>
  <c r="H1131" i="3"/>
  <c r="G1131" i="3"/>
  <c r="F1131" i="3"/>
  <c r="E1131" i="3"/>
  <c r="A1131" i="3"/>
  <c r="H1130" i="3"/>
  <c r="G1130" i="3"/>
  <c r="F1130" i="3"/>
  <c r="E1130" i="3"/>
  <c r="D1130" i="3"/>
  <c r="C1130" i="3"/>
  <c r="B1130" i="3"/>
  <c r="A1130" i="3"/>
  <c r="H1129" i="3"/>
  <c r="G1129" i="3"/>
  <c r="F1129" i="3"/>
  <c r="E1129" i="3"/>
  <c r="C1129" i="3"/>
  <c r="B1129" i="3"/>
  <c r="A1129" i="3"/>
  <c r="H1128" i="3"/>
  <c r="G1128" i="3"/>
  <c r="F1128" i="3"/>
  <c r="E1128" i="3"/>
  <c r="D1128" i="3"/>
  <c r="C1128" i="3"/>
  <c r="B1128" i="3"/>
  <c r="A1128" i="3"/>
  <c r="H1127" i="3"/>
  <c r="G1127" i="3"/>
  <c r="F1127" i="3"/>
  <c r="E1127" i="3"/>
  <c r="C1127" i="3"/>
  <c r="A1127" i="3"/>
  <c r="H1126" i="3"/>
  <c r="G1126" i="3"/>
  <c r="F1126" i="3"/>
  <c r="E1126" i="3"/>
  <c r="D1126" i="3"/>
  <c r="C1126" i="3"/>
  <c r="B1126" i="3"/>
  <c r="A1126" i="3"/>
  <c r="H1125" i="3"/>
  <c r="G1125" i="3"/>
  <c r="F1125" i="3"/>
  <c r="E1125" i="3"/>
  <c r="D1125" i="3"/>
  <c r="C1125" i="3"/>
  <c r="B1125" i="3"/>
  <c r="A1125" i="3"/>
  <c r="H1124" i="3"/>
  <c r="G1124" i="3"/>
  <c r="F1124" i="3"/>
  <c r="E1124" i="3"/>
  <c r="D1124" i="3"/>
  <c r="C1124" i="3"/>
  <c r="B1124" i="3"/>
  <c r="A1124" i="3"/>
  <c r="H1123" i="3"/>
  <c r="G1123" i="3"/>
  <c r="F1123" i="3"/>
  <c r="E1123" i="3"/>
  <c r="C1123" i="3"/>
  <c r="B1123" i="3"/>
  <c r="A1123" i="3"/>
  <c r="H1122" i="3"/>
  <c r="G1122" i="3"/>
  <c r="F1122" i="3"/>
  <c r="E1122" i="3"/>
  <c r="A1122" i="3"/>
  <c r="H1121" i="3"/>
  <c r="G1121" i="3"/>
  <c r="F1121" i="3"/>
  <c r="E1121" i="3"/>
  <c r="A1121" i="3"/>
  <c r="H1120" i="3"/>
  <c r="G1120" i="3"/>
  <c r="F1120" i="3"/>
  <c r="E1120" i="3"/>
  <c r="A1120" i="3"/>
  <c r="H1119" i="3"/>
  <c r="G1119" i="3"/>
  <c r="F1119" i="3"/>
  <c r="E1119" i="3"/>
  <c r="C1119" i="3"/>
  <c r="B1119" i="3"/>
  <c r="A1119" i="3"/>
  <c r="H1118" i="3"/>
  <c r="G1118" i="3"/>
  <c r="F1118" i="3"/>
  <c r="E1118" i="3"/>
  <c r="D1118" i="3"/>
  <c r="C1118" i="3"/>
  <c r="B1118" i="3"/>
  <c r="A1118" i="3"/>
  <c r="H1117" i="3"/>
  <c r="G1117" i="3"/>
  <c r="F1117" i="3"/>
  <c r="E1117" i="3"/>
  <c r="D1117" i="3"/>
  <c r="C1117" i="3"/>
  <c r="B1117" i="3"/>
  <c r="A1117" i="3"/>
  <c r="H1116" i="3"/>
  <c r="G1116" i="3"/>
  <c r="F1116" i="3"/>
  <c r="E1116" i="3"/>
  <c r="B1116" i="3"/>
  <c r="A1116" i="3"/>
  <c r="H1115" i="3"/>
  <c r="G1115" i="3"/>
  <c r="F1115" i="3"/>
  <c r="E1115" i="3"/>
  <c r="C1115" i="3"/>
  <c r="B1115" i="3"/>
  <c r="A1115" i="3"/>
  <c r="H1114" i="3"/>
  <c r="G1114" i="3"/>
  <c r="F1114" i="3"/>
  <c r="E1114" i="3"/>
  <c r="D1114" i="3"/>
  <c r="C1114" i="3"/>
  <c r="B1114" i="3"/>
  <c r="A1114" i="3"/>
  <c r="H1113" i="3"/>
  <c r="G1113" i="3"/>
  <c r="F1113" i="3"/>
  <c r="E1113" i="3"/>
  <c r="D1113" i="3"/>
  <c r="C1113" i="3"/>
  <c r="B1113" i="3"/>
  <c r="A1113" i="3"/>
  <c r="H1112" i="3"/>
  <c r="G1112" i="3"/>
  <c r="F1112" i="3"/>
  <c r="E1112" i="3"/>
  <c r="B1112" i="3"/>
  <c r="A1112" i="3"/>
  <c r="H1111" i="3"/>
  <c r="G1111" i="3"/>
  <c r="F1111" i="3"/>
  <c r="E1111" i="3"/>
  <c r="C1111" i="3"/>
  <c r="B1111" i="3"/>
  <c r="A1111" i="3"/>
  <c r="H1110" i="3"/>
  <c r="G1110" i="3"/>
  <c r="F1110" i="3"/>
  <c r="E1110" i="3"/>
  <c r="C1110" i="3"/>
  <c r="B1110" i="3"/>
  <c r="A1110" i="3"/>
  <c r="H1109" i="3"/>
  <c r="G1109" i="3"/>
  <c r="F1109" i="3"/>
  <c r="E1109" i="3"/>
  <c r="D1109" i="3"/>
  <c r="C1109" i="3"/>
  <c r="B1109" i="3"/>
  <c r="A1109" i="3"/>
  <c r="H1108" i="3"/>
  <c r="G1108" i="3"/>
  <c r="F1108" i="3"/>
  <c r="E1108" i="3"/>
  <c r="C1108" i="3"/>
  <c r="B1108" i="3"/>
  <c r="A1108" i="3"/>
  <c r="H1107" i="3"/>
  <c r="G1107" i="3"/>
  <c r="F1107" i="3"/>
  <c r="E1107" i="3"/>
  <c r="D1107" i="3"/>
  <c r="C1107" i="3"/>
  <c r="B1107" i="3"/>
  <c r="A1107" i="3"/>
  <c r="H1106" i="3"/>
  <c r="G1106" i="3"/>
  <c r="F1106" i="3"/>
  <c r="E1106" i="3"/>
  <c r="C1106" i="3"/>
  <c r="B1106" i="3"/>
  <c r="A1106" i="3"/>
  <c r="H1105" i="3"/>
  <c r="G1105" i="3"/>
  <c r="F1105" i="3"/>
  <c r="E1105" i="3"/>
  <c r="D1105" i="3"/>
  <c r="C1105" i="3"/>
  <c r="B1105" i="3"/>
  <c r="A1105" i="3"/>
  <c r="H1104" i="3"/>
  <c r="G1104" i="3"/>
  <c r="F1104" i="3"/>
  <c r="E1104" i="3"/>
  <c r="D1104" i="3"/>
  <c r="C1104" i="3"/>
  <c r="B1104" i="3"/>
  <c r="A1104" i="3"/>
  <c r="H1103" i="3"/>
  <c r="G1103" i="3"/>
  <c r="F1103" i="3"/>
  <c r="E1103" i="3"/>
  <c r="C1103" i="3"/>
  <c r="B1103" i="3"/>
  <c r="A1103" i="3"/>
  <c r="H1102" i="3"/>
  <c r="G1102" i="3"/>
  <c r="F1102" i="3"/>
  <c r="E1102" i="3"/>
  <c r="B1102" i="3"/>
  <c r="A1102" i="3"/>
  <c r="H1101" i="3"/>
  <c r="G1101" i="3"/>
  <c r="F1101" i="3"/>
  <c r="E1101" i="3"/>
  <c r="D1101" i="3"/>
  <c r="C1101" i="3"/>
  <c r="B1101" i="3"/>
  <c r="A1101" i="3"/>
  <c r="H1100" i="3"/>
  <c r="G1100" i="3"/>
  <c r="F1100" i="3"/>
  <c r="E1100" i="3"/>
  <c r="D1100" i="3"/>
  <c r="C1100" i="3"/>
  <c r="B1100" i="3"/>
  <c r="A1100" i="3"/>
  <c r="H1099" i="3"/>
  <c r="G1099" i="3"/>
  <c r="F1099" i="3"/>
  <c r="E1099" i="3"/>
  <c r="D1099" i="3"/>
  <c r="C1099" i="3"/>
  <c r="B1099" i="3"/>
  <c r="A1099" i="3"/>
  <c r="H1098" i="3"/>
  <c r="G1098" i="3"/>
  <c r="F1098" i="3"/>
  <c r="E1098" i="3"/>
  <c r="C1098" i="3"/>
  <c r="B1098" i="3"/>
  <c r="A1098" i="3"/>
  <c r="H1097" i="3"/>
  <c r="G1097" i="3"/>
  <c r="F1097" i="3"/>
  <c r="E1097" i="3"/>
  <c r="C1097" i="3"/>
  <c r="A1097" i="3"/>
  <c r="H1096" i="3"/>
  <c r="G1096" i="3"/>
  <c r="F1096" i="3"/>
  <c r="E1096" i="3"/>
  <c r="A1096" i="3"/>
  <c r="H1095" i="3"/>
  <c r="G1095" i="3"/>
  <c r="F1095" i="3"/>
  <c r="E1095" i="3"/>
  <c r="D1095" i="3"/>
  <c r="C1095" i="3"/>
  <c r="B1095" i="3"/>
  <c r="A1095" i="3"/>
  <c r="H1094" i="3"/>
  <c r="G1094" i="3"/>
  <c r="F1094" i="3"/>
  <c r="E1094" i="3"/>
  <c r="D1094" i="3"/>
  <c r="C1094" i="3"/>
  <c r="A1094" i="3"/>
  <c r="H1093" i="3"/>
  <c r="G1093" i="3"/>
  <c r="F1093" i="3"/>
  <c r="E1093" i="3"/>
  <c r="D1093" i="3"/>
  <c r="C1093" i="3"/>
  <c r="B1093" i="3"/>
  <c r="A1093" i="3"/>
  <c r="H1092" i="3"/>
  <c r="G1092" i="3"/>
  <c r="F1092" i="3"/>
  <c r="E1092" i="3"/>
  <c r="A1092" i="3"/>
  <c r="H1091" i="3"/>
  <c r="G1091" i="3"/>
  <c r="F1091" i="3"/>
  <c r="E1091" i="3"/>
  <c r="B1091" i="3"/>
  <c r="A1091" i="3"/>
  <c r="H1090" i="3"/>
  <c r="G1090" i="3"/>
  <c r="F1090" i="3"/>
  <c r="E1090" i="3"/>
  <c r="C1090" i="3"/>
  <c r="B1090" i="3"/>
  <c r="A1090" i="3"/>
  <c r="H1089" i="3"/>
  <c r="G1089" i="3"/>
  <c r="F1089" i="3"/>
  <c r="E1089" i="3"/>
  <c r="C1089" i="3"/>
  <c r="B1089" i="3"/>
  <c r="A1089" i="3"/>
  <c r="H1088" i="3"/>
  <c r="G1088" i="3"/>
  <c r="F1088" i="3"/>
  <c r="E1088" i="3"/>
  <c r="D1088" i="3"/>
  <c r="C1088" i="3"/>
  <c r="B1088" i="3"/>
  <c r="A1088" i="3"/>
  <c r="H1087" i="3"/>
  <c r="G1087" i="3"/>
  <c r="F1087" i="3"/>
  <c r="E1087" i="3"/>
  <c r="D1087" i="3"/>
  <c r="C1087" i="3"/>
  <c r="B1087" i="3"/>
  <c r="A1087" i="3"/>
  <c r="H1086" i="3"/>
  <c r="G1086" i="3"/>
  <c r="F1086" i="3"/>
  <c r="E1086" i="3"/>
  <c r="A1086" i="3"/>
  <c r="H1085" i="3"/>
  <c r="G1085" i="3"/>
  <c r="F1085" i="3"/>
  <c r="E1085" i="3"/>
  <c r="D1085" i="3"/>
  <c r="C1085" i="3"/>
  <c r="B1085" i="3"/>
  <c r="A1085" i="3"/>
  <c r="H1084" i="3"/>
  <c r="G1084" i="3"/>
  <c r="F1084" i="3"/>
  <c r="E1084" i="3"/>
  <c r="B1084" i="3"/>
  <c r="A1084" i="3"/>
  <c r="H1083" i="3"/>
  <c r="G1083" i="3"/>
  <c r="F1083" i="3"/>
  <c r="E1083" i="3"/>
  <c r="C1083" i="3"/>
  <c r="B1083" i="3"/>
  <c r="A1083" i="3"/>
  <c r="H1082" i="3"/>
  <c r="G1082" i="3"/>
  <c r="F1082" i="3"/>
  <c r="E1082" i="3"/>
  <c r="C1082" i="3"/>
  <c r="B1082" i="3"/>
  <c r="A1082" i="3"/>
  <c r="H1081" i="3"/>
  <c r="G1081" i="3"/>
  <c r="F1081" i="3"/>
  <c r="E1081" i="3"/>
  <c r="C1081" i="3"/>
  <c r="B1081" i="3"/>
  <c r="A1081" i="3"/>
  <c r="H1080" i="3"/>
  <c r="G1080" i="3"/>
  <c r="F1080" i="3"/>
  <c r="E1080" i="3"/>
  <c r="A1080" i="3"/>
  <c r="H1079" i="3"/>
  <c r="G1079" i="3"/>
  <c r="F1079" i="3"/>
  <c r="E1079" i="3"/>
  <c r="A1079" i="3"/>
  <c r="H1078" i="3"/>
  <c r="G1078" i="3"/>
  <c r="F1078" i="3"/>
  <c r="E1078" i="3"/>
  <c r="D1078" i="3"/>
  <c r="C1078" i="3"/>
  <c r="B1078" i="3"/>
  <c r="A1078" i="3"/>
  <c r="H1077" i="3"/>
  <c r="G1077" i="3"/>
  <c r="F1077" i="3"/>
  <c r="E1077" i="3"/>
  <c r="D1077" i="3"/>
  <c r="C1077" i="3"/>
  <c r="B1077" i="3"/>
  <c r="A1077" i="3"/>
  <c r="H1076" i="3"/>
  <c r="G1076" i="3"/>
  <c r="F1076" i="3"/>
  <c r="E1076" i="3"/>
  <c r="D1076" i="3"/>
  <c r="C1076" i="3"/>
  <c r="B1076" i="3"/>
  <c r="A1076" i="3"/>
  <c r="H1075" i="3"/>
  <c r="G1075" i="3"/>
  <c r="F1075" i="3"/>
  <c r="E1075" i="3"/>
  <c r="A1075" i="3"/>
  <c r="H1074" i="3"/>
  <c r="G1074" i="3"/>
  <c r="F1074" i="3"/>
  <c r="E1074" i="3"/>
  <c r="C1074" i="3"/>
  <c r="B1074" i="3"/>
  <c r="A1074" i="3"/>
  <c r="H1073" i="3"/>
  <c r="G1073" i="3"/>
  <c r="F1073" i="3"/>
  <c r="E1073" i="3"/>
  <c r="B1073" i="3"/>
  <c r="A1073" i="3"/>
  <c r="H1072" i="3"/>
  <c r="G1072" i="3"/>
  <c r="F1072" i="3"/>
  <c r="E1072" i="3"/>
  <c r="C1072" i="3"/>
  <c r="B1072" i="3"/>
  <c r="A1072" i="3"/>
  <c r="H1071" i="3"/>
  <c r="G1071" i="3"/>
  <c r="F1071" i="3"/>
  <c r="E1071" i="3"/>
  <c r="A1071" i="3"/>
  <c r="H1070" i="3"/>
  <c r="G1070" i="3"/>
  <c r="F1070" i="3"/>
  <c r="E1070" i="3"/>
  <c r="D1070" i="3"/>
  <c r="C1070" i="3"/>
  <c r="B1070" i="3"/>
  <c r="A1070" i="3"/>
  <c r="H1069" i="3"/>
  <c r="G1069" i="3"/>
  <c r="F1069" i="3"/>
  <c r="E1069" i="3"/>
  <c r="D1069" i="3"/>
  <c r="C1069" i="3"/>
  <c r="B1069" i="3"/>
  <c r="A1069" i="3"/>
  <c r="H1068" i="3"/>
  <c r="G1068" i="3"/>
  <c r="F1068" i="3"/>
  <c r="E1068" i="3"/>
  <c r="D1068" i="3"/>
  <c r="C1068" i="3"/>
  <c r="B1068" i="3"/>
  <c r="A1068" i="3"/>
  <c r="H1067" i="3"/>
  <c r="G1067" i="3"/>
  <c r="F1067" i="3"/>
  <c r="E1067" i="3"/>
  <c r="A1067" i="3"/>
  <c r="H1066" i="3"/>
  <c r="G1066" i="3"/>
  <c r="F1066" i="3"/>
  <c r="E1066" i="3"/>
  <c r="C1066" i="3"/>
  <c r="A1066" i="3"/>
  <c r="H1065" i="3"/>
  <c r="G1065" i="3"/>
  <c r="F1065" i="3"/>
  <c r="E1065" i="3"/>
  <c r="D1065" i="3"/>
  <c r="C1065" i="3"/>
  <c r="B1065" i="3"/>
  <c r="A1065" i="3"/>
  <c r="H1064" i="3"/>
  <c r="G1064" i="3"/>
  <c r="F1064" i="3"/>
  <c r="E1064" i="3"/>
  <c r="A1064" i="3"/>
  <c r="H1063" i="3"/>
  <c r="G1063" i="3"/>
  <c r="F1063" i="3"/>
  <c r="E1063" i="3"/>
  <c r="A1063" i="3"/>
  <c r="H1062" i="3"/>
  <c r="G1062" i="3"/>
  <c r="F1062" i="3"/>
  <c r="E1062" i="3"/>
  <c r="C1062" i="3"/>
  <c r="B1062" i="3"/>
  <c r="A1062" i="3"/>
  <c r="H1061" i="3"/>
  <c r="G1061" i="3"/>
  <c r="F1061" i="3"/>
  <c r="E1061" i="3"/>
  <c r="C1061" i="3"/>
  <c r="A1061" i="3"/>
  <c r="H1060" i="3"/>
  <c r="G1060" i="3"/>
  <c r="F1060" i="3"/>
  <c r="E1060" i="3"/>
  <c r="C1060" i="3"/>
  <c r="B1060" i="3"/>
  <c r="A1060" i="3"/>
  <c r="H1059" i="3"/>
  <c r="G1059" i="3"/>
  <c r="F1059" i="3"/>
  <c r="E1059" i="3"/>
  <c r="D1059" i="3"/>
  <c r="C1059" i="3"/>
  <c r="B1059" i="3"/>
  <c r="A1059" i="3"/>
  <c r="H1058" i="3"/>
  <c r="G1058" i="3"/>
  <c r="F1058" i="3"/>
  <c r="E1058" i="3"/>
  <c r="C1058" i="3"/>
  <c r="A1058" i="3"/>
  <c r="H1057" i="3"/>
  <c r="G1057" i="3"/>
  <c r="F1057" i="3"/>
  <c r="E1057" i="3"/>
  <c r="D1057" i="3"/>
  <c r="C1057" i="3"/>
  <c r="B1057" i="3"/>
  <c r="A1057" i="3"/>
  <c r="H1056" i="3"/>
  <c r="G1056" i="3"/>
  <c r="F1056" i="3"/>
  <c r="E1056" i="3"/>
  <c r="C1056" i="3"/>
  <c r="B1056" i="3"/>
  <c r="A1056" i="3"/>
  <c r="H1055" i="3"/>
  <c r="G1055" i="3"/>
  <c r="F1055" i="3"/>
  <c r="E1055" i="3"/>
  <c r="D1055" i="3"/>
  <c r="C1055" i="3"/>
  <c r="B1055" i="3"/>
  <c r="A1055" i="3"/>
  <c r="H1054" i="3"/>
  <c r="G1054" i="3"/>
  <c r="F1054" i="3"/>
  <c r="E1054" i="3"/>
  <c r="C1054" i="3"/>
  <c r="A1054" i="3"/>
  <c r="H1053" i="3"/>
  <c r="G1053" i="3"/>
  <c r="F1053" i="3"/>
  <c r="E1053" i="3"/>
  <c r="D1053" i="3"/>
  <c r="C1053" i="3"/>
  <c r="B1053" i="3"/>
  <c r="A1053" i="3"/>
  <c r="H1052" i="3"/>
  <c r="G1052" i="3"/>
  <c r="F1052" i="3"/>
  <c r="E1052" i="3"/>
  <c r="A1052" i="3"/>
  <c r="H1051" i="3"/>
  <c r="G1051" i="3"/>
  <c r="F1051" i="3"/>
  <c r="E1051" i="3"/>
  <c r="B1051" i="3"/>
  <c r="A1051" i="3"/>
  <c r="H1050" i="3"/>
  <c r="G1050" i="3"/>
  <c r="F1050" i="3"/>
  <c r="E1050" i="3"/>
  <c r="C1050" i="3"/>
  <c r="A1050" i="3"/>
  <c r="H1049" i="3"/>
  <c r="G1049" i="3"/>
  <c r="F1049" i="3"/>
  <c r="E1049" i="3"/>
  <c r="C1049" i="3"/>
  <c r="B1049" i="3"/>
  <c r="A1049" i="3"/>
  <c r="H1048" i="3"/>
  <c r="G1048" i="3"/>
  <c r="F1048" i="3"/>
  <c r="E1048" i="3"/>
  <c r="D1048" i="3"/>
  <c r="C1048" i="3"/>
  <c r="B1048" i="3"/>
  <c r="A1048" i="3"/>
  <c r="H1047" i="3"/>
  <c r="G1047" i="3"/>
  <c r="F1047" i="3"/>
  <c r="E1047" i="3"/>
  <c r="C1047" i="3"/>
  <c r="B1047" i="3"/>
  <c r="A1047" i="3"/>
  <c r="H1046" i="3"/>
  <c r="G1046" i="3"/>
  <c r="F1046" i="3"/>
  <c r="E1046" i="3"/>
  <c r="A1046" i="3"/>
  <c r="H1045" i="3"/>
  <c r="G1045" i="3"/>
  <c r="F1045" i="3"/>
  <c r="E1045" i="3"/>
  <c r="C1045" i="3"/>
  <c r="B1045" i="3"/>
  <c r="A1045" i="3"/>
  <c r="H1044" i="3"/>
  <c r="G1044" i="3"/>
  <c r="F1044" i="3"/>
  <c r="E1044" i="3"/>
  <c r="C1044" i="3"/>
  <c r="B1044" i="3"/>
  <c r="A1044" i="3"/>
  <c r="H1043" i="3"/>
  <c r="G1043" i="3"/>
  <c r="F1043" i="3"/>
  <c r="E1043" i="3"/>
  <c r="C1043" i="3"/>
  <c r="B1043" i="3"/>
  <c r="A1043" i="3"/>
  <c r="H1042" i="3"/>
  <c r="G1042" i="3"/>
  <c r="F1042" i="3"/>
  <c r="E1042" i="3"/>
  <c r="C1042" i="3"/>
  <c r="B1042" i="3"/>
  <c r="A1042" i="3"/>
  <c r="H1041" i="3"/>
  <c r="G1041" i="3"/>
  <c r="F1041" i="3"/>
  <c r="E1041" i="3"/>
  <c r="C1041" i="3"/>
  <c r="B1041" i="3"/>
  <c r="A1041" i="3"/>
  <c r="H1040" i="3"/>
  <c r="G1040" i="3"/>
  <c r="F1040" i="3"/>
  <c r="E1040" i="3"/>
  <c r="C1040" i="3"/>
  <c r="A1040" i="3"/>
  <c r="H1039" i="3"/>
  <c r="G1039" i="3"/>
  <c r="F1039" i="3"/>
  <c r="E1039" i="3"/>
  <c r="C1039" i="3"/>
  <c r="A1039" i="3"/>
  <c r="H1038" i="3"/>
  <c r="G1038" i="3"/>
  <c r="F1038" i="3"/>
  <c r="E1038" i="3"/>
  <c r="C1038" i="3"/>
  <c r="A1038" i="3"/>
  <c r="H1037" i="3"/>
  <c r="G1037" i="3"/>
  <c r="F1037" i="3"/>
  <c r="E1037" i="3"/>
  <c r="C1037" i="3"/>
  <c r="B1037" i="3"/>
  <c r="A1037" i="3"/>
  <c r="H1036" i="3"/>
  <c r="G1036" i="3"/>
  <c r="F1036" i="3"/>
  <c r="E1036" i="3"/>
  <c r="C1036" i="3"/>
  <c r="B1036" i="3"/>
  <c r="A1036" i="3"/>
  <c r="H1035" i="3"/>
  <c r="G1035" i="3"/>
  <c r="F1035" i="3"/>
  <c r="E1035" i="3"/>
  <c r="C1035" i="3"/>
  <c r="B1035" i="3"/>
  <c r="A1035" i="3"/>
  <c r="H1034" i="3"/>
  <c r="G1034" i="3"/>
  <c r="F1034" i="3"/>
  <c r="E1034" i="3"/>
  <c r="A1034" i="3"/>
  <c r="H1033" i="3"/>
  <c r="G1033" i="3"/>
  <c r="F1033" i="3"/>
  <c r="E1033" i="3"/>
  <c r="D1033" i="3"/>
  <c r="C1033" i="3"/>
  <c r="B1033" i="3"/>
  <c r="A1033" i="3"/>
  <c r="H1032" i="3"/>
  <c r="G1032" i="3"/>
  <c r="F1032" i="3"/>
  <c r="E1032" i="3"/>
  <c r="C1032" i="3"/>
  <c r="B1032" i="3"/>
  <c r="A1032" i="3"/>
  <c r="H1031" i="3"/>
  <c r="G1031" i="3"/>
  <c r="F1031" i="3"/>
  <c r="E1031" i="3"/>
  <c r="C1031" i="3"/>
  <c r="B1031" i="3"/>
  <c r="A1031" i="3"/>
  <c r="H1030" i="3"/>
  <c r="G1030" i="3"/>
  <c r="F1030" i="3"/>
  <c r="E1030" i="3"/>
  <c r="C1030" i="3"/>
  <c r="A1030" i="3"/>
  <c r="H1029" i="3"/>
  <c r="G1029" i="3"/>
  <c r="F1029" i="3"/>
  <c r="E1029" i="3"/>
  <c r="C1029" i="3"/>
  <c r="A1029" i="3"/>
  <c r="H1028" i="3"/>
  <c r="G1028" i="3"/>
  <c r="F1028" i="3"/>
  <c r="E1028" i="3"/>
  <c r="A1028" i="3"/>
  <c r="H1027" i="3"/>
  <c r="G1027" i="3"/>
  <c r="F1027" i="3"/>
  <c r="E1027" i="3"/>
  <c r="D1027" i="3"/>
  <c r="C1027" i="3"/>
  <c r="A1027" i="3"/>
  <c r="H1026" i="3"/>
  <c r="G1026" i="3"/>
  <c r="F1026" i="3"/>
  <c r="E1026" i="3"/>
  <c r="D1026" i="3"/>
  <c r="C1026" i="3"/>
  <c r="B1026" i="3"/>
  <c r="A1026" i="3"/>
  <c r="H1025" i="3"/>
  <c r="G1025" i="3"/>
  <c r="F1025" i="3"/>
  <c r="E1025" i="3"/>
  <c r="D1025" i="3"/>
  <c r="C1025" i="3"/>
  <c r="B1025" i="3"/>
  <c r="A1025" i="3"/>
  <c r="H1024" i="3"/>
  <c r="G1024" i="3"/>
  <c r="F1024" i="3"/>
  <c r="E1024" i="3"/>
  <c r="C1024" i="3"/>
  <c r="A1024" i="3"/>
  <c r="H1023" i="3"/>
  <c r="G1023" i="3"/>
  <c r="F1023" i="3"/>
  <c r="E1023" i="3"/>
  <c r="A1023" i="3"/>
  <c r="H1022" i="3"/>
  <c r="G1022" i="3"/>
  <c r="F1022" i="3"/>
  <c r="E1022" i="3"/>
  <c r="D1022" i="3"/>
  <c r="C1022" i="3"/>
  <c r="B1022" i="3"/>
  <c r="A1022" i="3"/>
  <c r="H1021" i="3"/>
  <c r="G1021" i="3"/>
  <c r="F1021" i="3"/>
  <c r="E1021" i="3"/>
  <c r="D1021" i="3"/>
  <c r="C1021" i="3"/>
  <c r="B1021" i="3"/>
  <c r="A1021" i="3"/>
  <c r="H1020" i="3"/>
  <c r="G1020" i="3"/>
  <c r="F1020" i="3"/>
  <c r="E1020" i="3"/>
  <c r="C1020" i="3"/>
  <c r="B1020" i="3"/>
  <c r="A1020" i="3"/>
  <c r="H1019" i="3"/>
  <c r="G1019" i="3"/>
  <c r="F1019" i="3"/>
  <c r="E1019" i="3"/>
  <c r="C1019" i="3"/>
  <c r="B1019" i="3"/>
  <c r="A1019" i="3"/>
  <c r="H1018" i="3"/>
  <c r="G1018" i="3"/>
  <c r="F1018" i="3"/>
  <c r="E1018" i="3"/>
  <c r="D1018" i="3"/>
  <c r="C1018" i="3"/>
  <c r="B1018" i="3"/>
  <c r="A1018" i="3"/>
  <c r="H1017" i="3"/>
  <c r="G1017" i="3"/>
  <c r="F1017" i="3"/>
  <c r="E1017" i="3"/>
  <c r="D1017" i="3"/>
  <c r="C1017" i="3"/>
  <c r="B1017" i="3"/>
  <c r="A1017" i="3"/>
  <c r="H1016" i="3"/>
  <c r="G1016" i="3"/>
  <c r="F1016" i="3"/>
  <c r="E1016" i="3"/>
  <c r="C1016" i="3"/>
  <c r="B1016" i="3"/>
  <c r="A1016" i="3"/>
  <c r="H1015" i="3"/>
  <c r="G1015" i="3"/>
  <c r="F1015" i="3"/>
  <c r="E1015" i="3"/>
  <c r="C1015" i="3"/>
  <c r="A1015" i="3"/>
  <c r="H1014" i="3"/>
  <c r="G1014" i="3"/>
  <c r="F1014" i="3"/>
  <c r="E1014" i="3"/>
  <c r="D1014" i="3"/>
  <c r="C1014" i="3"/>
  <c r="B1014" i="3"/>
  <c r="A1014" i="3"/>
  <c r="H1013" i="3"/>
  <c r="G1013" i="3"/>
  <c r="F1013" i="3"/>
  <c r="E1013" i="3"/>
  <c r="C1013" i="3"/>
  <c r="B1013" i="3"/>
  <c r="A1013" i="3"/>
  <c r="H1012" i="3"/>
  <c r="G1012" i="3"/>
  <c r="F1012" i="3"/>
  <c r="E1012" i="3"/>
  <c r="D1012" i="3"/>
  <c r="C1012" i="3"/>
  <c r="B1012" i="3"/>
  <c r="A1012" i="3"/>
  <c r="H1011" i="3"/>
  <c r="G1011" i="3"/>
  <c r="F1011" i="3"/>
  <c r="E1011" i="3"/>
  <c r="C1011" i="3"/>
  <c r="B1011" i="3"/>
  <c r="A1011" i="3"/>
  <c r="H1010" i="3"/>
  <c r="G1010" i="3"/>
  <c r="F1010" i="3"/>
  <c r="E1010" i="3"/>
  <c r="C1010" i="3"/>
  <c r="B1010" i="3"/>
  <c r="A1010" i="3"/>
  <c r="H1009" i="3"/>
  <c r="G1009" i="3"/>
  <c r="F1009" i="3"/>
  <c r="E1009" i="3"/>
  <c r="A1009" i="3"/>
  <c r="H1008" i="3"/>
  <c r="G1008" i="3"/>
  <c r="F1008" i="3"/>
  <c r="E1008" i="3"/>
  <c r="C1008" i="3"/>
  <c r="B1008" i="3"/>
  <c r="A1008" i="3"/>
  <c r="H1007" i="3"/>
  <c r="G1007" i="3"/>
  <c r="F1007" i="3"/>
  <c r="E1007" i="3"/>
  <c r="A1007" i="3"/>
  <c r="H1006" i="3"/>
  <c r="G1006" i="3"/>
  <c r="F1006" i="3"/>
  <c r="E1006" i="3"/>
  <c r="C1006" i="3"/>
  <c r="B1006" i="3"/>
  <c r="A1006" i="3"/>
  <c r="H1005" i="3"/>
  <c r="G1005" i="3"/>
  <c r="F1005" i="3"/>
  <c r="E1005" i="3"/>
  <c r="C1005" i="3"/>
  <c r="B1005" i="3"/>
  <c r="A1005" i="3"/>
  <c r="H1004" i="3"/>
  <c r="G1004" i="3"/>
  <c r="F1004" i="3"/>
  <c r="E1004" i="3"/>
  <c r="A1004" i="3"/>
  <c r="H1003" i="3"/>
  <c r="G1003" i="3"/>
  <c r="F1003" i="3"/>
  <c r="E1003" i="3"/>
  <c r="A1003" i="3"/>
  <c r="H1002" i="3"/>
  <c r="G1002" i="3"/>
  <c r="F1002" i="3"/>
  <c r="E1002" i="3"/>
  <c r="C1002" i="3"/>
  <c r="B1002" i="3"/>
  <c r="A1002" i="3"/>
  <c r="H1001" i="3"/>
  <c r="G1001" i="3"/>
  <c r="F1001" i="3"/>
  <c r="E1001" i="3"/>
  <c r="D1001" i="3"/>
  <c r="C1001" i="3"/>
  <c r="B1001" i="3"/>
  <c r="A1001" i="3"/>
  <c r="H1000" i="3"/>
  <c r="G1000" i="3"/>
  <c r="F1000" i="3"/>
  <c r="E1000" i="3"/>
  <c r="C1000" i="3"/>
  <c r="A1000" i="3"/>
  <c r="H999" i="3"/>
  <c r="G999" i="3"/>
  <c r="F999" i="3"/>
  <c r="E999" i="3"/>
  <c r="C999" i="3"/>
  <c r="A999" i="3"/>
  <c r="H998" i="3"/>
  <c r="G998" i="3"/>
  <c r="F998" i="3"/>
  <c r="E998" i="3"/>
  <c r="C998" i="3"/>
  <c r="A998" i="3"/>
  <c r="H997" i="3"/>
  <c r="G997" i="3"/>
  <c r="F997" i="3"/>
  <c r="E997" i="3"/>
  <c r="B997" i="3"/>
  <c r="A997" i="3"/>
  <c r="H996" i="3"/>
  <c r="G996" i="3"/>
  <c r="F996" i="3"/>
  <c r="E996" i="3"/>
  <c r="C996" i="3"/>
  <c r="B996" i="3"/>
  <c r="A996" i="3"/>
  <c r="H995" i="3"/>
  <c r="G995" i="3"/>
  <c r="F995" i="3"/>
  <c r="E995" i="3"/>
  <c r="D995" i="3"/>
  <c r="C995" i="3"/>
  <c r="B995" i="3"/>
  <c r="A995" i="3"/>
  <c r="H994" i="3"/>
  <c r="G994" i="3"/>
  <c r="F994" i="3"/>
  <c r="E994" i="3"/>
  <c r="D994" i="3"/>
  <c r="C994" i="3"/>
  <c r="B994" i="3"/>
  <c r="A994" i="3"/>
  <c r="H993" i="3"/>
  <c r="G993" i="3"/>
  <c r="F993" i="3"/>
  <c r="E993" i="3"/>
  <c r="D993" i="3"/>
  <c r="C993" i="3"/>
  <c r="B993" i="3"/>
  <c r="A993" i="3"/>
  <c r="H992" i="3"/>
  <c r="G992" i="3"/>
  <c r="F992" i="3"/>
  <c r="E992" i="3"/>
  <c r="C992" i="3"/>
  <c r="B992" i="3"/>
  <c r="A992" i="3"/>
  <c r="H991" i="3"/>
  <c r="G991" i="3"/>
  <c r="F991" i="3"/>
  <c r="E991" i="3"/>
  <c r="A991" i="3"/>
  <c r="H990" i="3"/>
  <c r="G990" i="3"/>
  <c r="F990" i="3"/>
  <c r="E990" i="3"/>
  <c r="C990" i="3"/>
  <c r="B990" i="3"/>
  <c r="A990" i="3"/>
  <c r="H989" i="3"/>
  <c r="G989" i="3"/>
  <c r="F989" i="3"/>
  <c r="E989" i="3"/>
  <c r="C989" i="3"/>
  <c r="B989" i="3"/>
  <c r="A989" i="3"/>
  <c r="H988" i="3"/>
  <c r="G988" i="3"/>
  <c r="F988" i="3"/>
  <c r="E988" i="3"/>
  <c r="D988" i="3"/>
  <c r="C988" i="3"/>
  <c r="B988" i="3"/>
  <c r="A988" i="3"/>
  <c r="H987" i="3"/>
  <c r="G987" i="3"/>
  <c r="F987" i="3"/>
  <c r="E987" i="3"/>
  <c r="D987" i="3"/>
  <c r="C987" i="3"/>
  <c r="B987" i="3"/>
  <c r="A987" i="3"/>
  <c r="H986" i="3"/>
  <c r="G986" i="3"/>
  <c r="F986" i="3"/>
  <c r="E986" i="3"/>
  <c r="C986" i="3"/>
  <c r="B986" i="3"/>
  <c r="A986" i="3"/>
  <c r="H985" i="3"/>
  <c r="G985" i="3"/>
  <c r="F985" i="3"/>
  <c r="E985" i="3"/>
  <c r="D985" i="3"/>
  <c r="C985" i="3"/>
  <c r="B985" i="3"/>
  <c r="A985" i="3"/>
  <c r="H984" i="3"/>
  <c r="G984" i="3"/>
  <c r="F984" i="3"/>
  <c r="E984" i="3"/>
  <c r="D984" i="3"/>
  <c r="C984" i="3"/>
  <c r="B984" i="3"/>
  <c r="A984" i="3"/>
  <c r="H983" i="3"/>
  <c r="G983" i="3"/>
  <c r="F983" i="3"/>
  <c r="E983" i="3"/>
  <c r="D983" i="3"/>
  <c r="C983" i="3"/>
  <c r="B983" i="3"/>
  <c r="A983" i="3"/>
  <c r="H982" i="3"/>
  <c r="G982" i="3"/>
  <c r="F982" i="3"/>
  <c r="E982" i="3"/>
  <c r="C982" i="3"/>
  <c r="B982" i="3"/>
  <c r="A982" i="3"/>
  <c r="H981" i="3"/>
  <c r="G981" i="3"/>
  <c r="F981" i="3"/>
  <c r="E981" i="3"/>
  <c r="D981" i="3"/>
  <c r="C981" i="3"/>
  <c r="B981" i="3"/>
  <c r="A981" i="3"/>
  <c r="H980" i="3"/>
  <c r="G980" i="3"/>
  <c r="F980" i="3"/>
  <c r="A980" i="3"/>
  <c r="H979" i="3"/>
  <c r="G979" i="3"/>
  <c r="F979" i="3"/>
  <c r="E979" i="3"/>
  <c r="A979" i="3"/>
  <c r="H978" i="3"/>
  <c r="G978" i="3"/>
  <c r="F978" i="3"/>
  <c r="E978" i="3"/>
  <c r="C978" i="3"/>
  <c r="B978" i="3"/>
  <c r="A978" i="3"/>
  <c r="H977" i="3"/>
  <c r="G977" i="3"/>
  <c r="F977" i="3"/>
  <c r="E977" i="3"/>
  <c r="D977" i="3"/>
  <c r="C977" i="3"/>
  <c r="B977" i="3"/>
  <c r="A977" i="3"/>
  <c r="H976" i="3"/>
  <c r="G976" i="3"/>
  <c r="F976" i="3"/>
  <c r="E976" i="3"/>
  <c r="A976" i="3"/>
  <c r="H975" i="3"/>
  <c r="G975" i="3"/>
  <c r="F975" i="3"/>
  <c r="E975" i="3"/>
  <c r="C975" i="3"/>
  <c r="B975" i="3"/>
  <c r="A975" i="3"/>
  <c r="H974" i="3"/>
  <c r="G974" i="3"/>
  <c r="F974" i="3"/>
  <c r="E974" i="3"/>
  <c r="A974" i="3"/>
  <c r="H973" i="3"/>
  <c r="G973" i="3"/>
  <c r="F973" i="3"/>
  <c r="E973" i="3"/>
  <c r="C973" i="3"/>
  <c r="A973" i="3"/>
  <c r="H972" i="3"/>
  <c r="G972" i="3"/>
  <c r="F972" i="3"/>
  <c r="E972" i="3"/>
  <c r="C972" i="3"/>
  <c r="A972" i="3"/>
  <c r="H971" i="3"/>
  <c r="G971" i="3"/>
  <c r="F971" i="3"/>
  <c r="E971" i="3"/>
  <c r="C971" i="3"/>
  <c r="B971" i="3"/>
  <c r="A971" i="3"/>
  <c r="H970" i="3"/>
  <c r="G970" i="3"/>
  <c r="F970" i="3"/>
  <c r="E970" i="3"/>
  <c r="C970" i="3"/>
  <c r="B970" i="3"/>
  <c r="A970" i="3"/>
  <c r="H969" i="3"/>
  <c r="G969" i="3"/>
  <c r="F969" i="3"/>
  <c r="E969" i="3"/>
  <c r="A969" i="3"/>
  <c r="H968" i="3"/>
  <c r="G968" i="3"/>
  <c r="F968" i="3"/>
  <c r="E968" i="3"/>
  <c r="B968" i="3"/>
  <c r="A968" i="3"/>
  <c r="H967" i="3"/>
  <c r="G967" i="3"/>
  <c r="F967" i="3"/>
  <c r="E967" i="3"/>
  <c r="D967" i="3"/>
  <c r="B967" i="3"/>
  <c r="A967" i="3"/>
  <c r="H966" i="3"/>
  <c r="G966" i="3"/>
  <c r="F966" i="3"/>
  <c r="E966" i="3"/>
  <c r="C966" i="3"/>
  <c r="B966" i="3"/>
  <c r="A966" i="3"/>
  <c r="H965" i="3"/>
  <c r="G965" i="3"/>
  <c r="F965" i="3"/>
  <c r="E965" i="3"/>
  <c r="D965" i="3"/>
  <c r="C965" i="3"/>
  <c r="B965" i="3"/>
  <c r="A965" i="3"/>
  <c r="H964" i="3"/>
  <c r="G964" i="3"/>
  <c r="F964" i="3"/>
  <c r="E964" i="3"/>
  <c r="D964" i="3"/>
  <c r="C964" i="3"/>
  <c r="B964" i="3"/>
  <c r="A964" i="3"/>
  <c r="H963" i="3"/>
  <c r="G963" i="3"/>
  <c r="F963" i="3"/>
  <c r="E963" i="3"/>
  <c r="D963" i="3"/>
  <c r="C963" i="3"/>
  <c r="B963" i="3"/>
  <c r="A963" i="3"/>
  <c r="H962" i="3"/>
  <c r="G962" i="3"/>
  <c r="F962" i="3"/>
  <c r="E962" i="3"/>
  <c r="D962" i="3"/>
  <c r="C962" i="3"/>
  <c r="B962" i="3"/>
  <c r="A962" i="3"/>
  <c r="H961" i="3"/>
  <c r="G961" i="3"/>
  <c r="F961" i="3"/>
  <c r="E961" i="3"/>
  <c r="D961" i="3"/>
  <c r="C961" i="3"/>
  <c r="B961" i="3"/>
  <c r="A961" i="3"/>
  <c r="H960" i="3"/>
  <c r="G960" i="3"/>
  <c r="F960" i="3"/>
  <c r="E960" i="3"/>
  <c r="C960" i="3"/>
  <c r="B960" i="3"/>
  <c r="A960" i="3"/>
  <c r="H959" i="3"/>
  <c r="G959" i="3"/>
  <c r="F959" i="3"/>
  <c r="E959" i="3"/>
  <c r="A959" i="3"/>
  <c r="H958" i="3"/>
  <c r="G958" i="3"/>
  <c r="F958" i="3"/>
  <c r="E958" i="3"/>
  <c r="A958" i="3"/>
  <c r="H957" i="3"/>
  <c r="G957" i="3"/>
  <c r="F957" i="3"/>
  <c r="E957" i="3"/>
  <c r="C957" i="3"/>
  <c r="B957" i="3"/>
  <c r="A957" i="3"/>
  <c r="H956" i="3"/>
  <c r="G956" i="3"/>
  <c r="F956" i="3"/>
  <c r="E956" i="3"/>
  <c r="C956" i="3"/>
  <c r="B956" i="3"/>
  <c r="A956" i="3"/>
  <c r="H955" i="3"/>
  <c r="G955" i="3"/>
  <c r="F955" i="3"/>
  <c r="E955" i="3"/>
  <c r="A955" i="3"/>
  <c r="H954" i="3"/>
  <c r="G954" i="3"/>
  <c r="F954" i="3"/>
  <c r="E954" i="3"/>
  <c r="C954" i="3"/>
  <c r="B954" i="3"/>
  <c r="A954" i="3"/>
  <c r="H953" i="3"/>
  <c r="G953" i="3"/>
  <c r="F953" i="3"/>
  <c r="E953" i="3"/>
  <c r="C953" i="3"/>
  <c r="B953" i="3"/>
  <c r="A953" i="3"/>
  <c r="H952" i="3"/>
  <c r="G952" i="3"/>
  <c r="F952" i="3"/>
  <c r="E952" i="3"/>
  <c r="D952" i="3"/>
  <c r="C952" i="3"/>
  <c r="B952" i="3"/>
  <c r="A952" i="3"/>
  <c r="H951" i="3"/>
  <c r="G951" i="3"/>
  <c r="F951" i="3"/>
  <c r="E951" i="3"/>
  <c r="A951" i="3"/>
  <c r="H950" i="3"/>
  <c r="G950" i="3"/>
  <c r="F950" i="3"/>
  <c r="E950" i="3"/>
  <c r="C950" i="3"/>
  <c r="A950" i="3"/>
  <c r="H949" i="3"/>
  <c r="G949" i="3"/>
  <c r="F949" i="3"/>
  <c r="E949" i="3"/>
  <c r="C949" i="3"/>
  <c r="B949" i="3"/>
  <c r="A949" i="3"/>
  <c r="H948" i="3"/>
  <c r="G948" i="3"/>
  <c r="F948" i="3"/>
  <c r="E948" i="3"/>
  <c r="C948" i="3"/>
  <c r="B948" i="3"/>
  <c r="A948" i="3"/>
  <c r="H947" i="3"/>
  <c r="G947" i="3"/>
  <c r="F947" i="3"/>
  <c r="E947" i="3"/>
  <c r="D947" i="3"/>
  <c r="C947" i="3"/>
  <c r="B947" i="3"/>
  <c r="A947" i="3"/>
  <c r="H946" i="3"/>
  <c r="G946" i="3"/>
  <c r="F946" i="3"/>
  <c r="E946" i="3"/>
  <c r="C946" i="3"/>
  <c r="B946" i="3"/>
  <c r="A946" i="3"/>
  <c r="H945" i="3"/>
  <c r="G945" i="3"/>
  <c r="F945" i="3"/>
  <c r="E945" i="3"/>
  <c r="C945" i="3"/>
  <c r="B945" i="3"/>
  <c r="A945" i="3"/>
  <c r="H944" i="3"/>
  <c r="G944" i="3"/>
  <c r="F944" i="3"/>
  <c r="E944" i="3"/>
  <c r="C944" i="3"/>
  <c r="B944" i="3"/>
  <c r="A944" i="3"/>
  <c r="H943" i="3"/>
  <c r="G943" i="3"/>
  <c r="F943" i="3"/>
  <c r="E943" i="3"/>
  <c r="C943" i="3"/>
  <c r="B943" i="3"/>
  <c r="A943" i="3"/>
  <c r="H942" i="3"/>
  <c r="G942" i="3"/>
  <c r="F942" i="3"/>
  <c r="E942" i="3"/>
  <c r="C942" i="3"/>
  <c r="B942" i="3"/>
  <c r="A942" i="3"/>
  <c r="H941" i="3"/>
  <c r="G941" i="3"/>
  <c r="F941" i="3"/>
  <c r="E941" i="3"/>
  <c r="C941" i="3"/>
  <c r="B941" i="3"/>
  <c r="A941" i="3"/>
  <c r="H940" i="3"/>
  <c r="G940" i="3"/>
  <c r="F940" i="3"/>
  <c r="E940" i="3"/>
  <c r="C940" i="3"/>
  <c r="B940" i="3"/>
  <c r="A940" i="3"/>
  <c r="H939" i="3"/>
  <c r="G939" i="3"/>
  <c r="F939" i="3"/>
  <c r="E939" i="3"/>
  <c r="C939" i="3"/>
  <c r="A939" i="3"/>
  <c r="H938" i="3"/>
  <c r="G938" i="3"/>
  <c r="F938" i="3"/>
  <c r="E938" i="3"/>
  <c r="A938" i="3"/>
  <c r="H937" i="3"/>
  <c r="G937" i="3"/>
  <c r="F937" i="3"/>
  <c r="E937" i="3"/>
  <c r="C937" i="3"/>
  <c r="A937" i="3"/>
  <c r="H936" i="3"/>
  <c r="G936" i="3"/>
  <c r="F936" i="3"/>
  <c r="E936" i="3"/>
  <c r="A936" i="3"/>
  <c r="H935" i="3"/>
  <c r="G935" i="3"/>
  <c r="F935" i="3"/>
  <c r="E935" i="3"/>
  <c r="C935" i="3"/>
  <c r="B935" i="3"/>
  <c r="A935" i="3"/>
  <c r="H934" i="3"/>
  <c r="G934" i="3"/>
  <c r="F934" i="3"/>
  <c r="E934" i="3"/>
  <c r="D934" i="3"/>
  <c r="C934" i="3"/>
  <c r="B934" i="3"/>
  <c r="A934" i="3"/>
  <c r="H933" i="3"/>
  <c r="G933" i="3"/>
  <c r="F933" i="3"/>
  <c r="E933" i="3"/>
  <c r="D933" i="3"/>
  <c r="C933" i="3"/>
  <c r="B933" i="3"/>
  <c r="A933" i="3"/>
  <c r="H932" i="3"/>
  <c r="G932" i="3"/>
  <c r="F932" i="3"/>
  <c r="E932" i="3"/>
  <c r="C932" i="3"/>
  <c r="A932" i="3"/>
  <c r="H931" i="3"/>
  <c r="G931" i="3"/>
  <c r="F931" i="3"/>
  <c r="E931" i="3"/>
  <c r="A931" i="3"/>
  <c r="H930" i="3"/>
  <c r="G930" i="3"/>
  <c r="F930" i="3"/>
  <c r="E930" i="3"/>
  <c r="A930" i="3"/>
  <c r="H929" i="3"/>
  <c r="G929" i="3"/>
  <c r="F929" i="3"/>
  <c r="E929" i="3"/>
  <c r="D929" i="3"/>
  <c r="C929" i="3"/>
  <c r="B929" i="3"/>
  <c r="A929" i="3"/>
  <c r="H928" i="3"/>
  <c r="G928" i="3"/>
  <c r="F928" i="3"/>
  <c r="E928" i="3"/>
  <c r="A928" i="3"/>
  <c r="H927" i="3"/>
  <c r="G927" i="3"/>
  <c r="F927" i="3"/>
  <c r="E927" i="3"/>
  <c r="D927" i="3"/>
  <c r="C927" i="3"/>
  <c r="B927" i="3"/>
  <c r="A927" i="3"/>
  <c r="H926" i="3"/>
  <c r="G926" i="3"/>
  <c r="F926" i="3"/>
  <c r="E926" i="3"/>
  <c r="C926" i="3"/>
  <c r="B926" i="3"/>
  <c r="A926" i="3"/>
  <c r="H925" i="3"/>
  <c r="G925" i="3"/>
  <c r="F925" i="3"/>
  <c r="E925" i="3"/>
  <c r="C925" i="3"/>
  <c r="A925" i="3"/>
  <c r="H924" i="3"/>
  <c r="G924" i="3"/>
  <c r="F924" i="3"/>
  <c r="E924" i="3"/>
  <c r="A924" i="3"/>
  <c r="H923" i="3"/>
  <c r="G923" i="3"/>
  <c r="F923" i="3"/>
  <c r="E923" i="3"/>
  <c r="C923" i="3"/>
  <c r="B923" i="3"/>
  <c r="A923" i="3"/>
  <c r="H922" i="3"/>
  <c r="G922" i="3"/>
  <c r="F922" i="3"/>
  <c r="E922" i="3"/>
  <c r="C922" i="3"/>
  <c r="A922" i="3"/>
  <c r="H921" i="3"/>
  <c r="G921" i="3"/>
  <c r="F921" i="3"/>
  <c r="E921" i="3"/>
  <c r="C921" i="3"/>
  <c r="A921" i="3"/>
  <c r="H920" i="3"/>
  <c r="G920" i="3"/>
  <c r="F920" i="3"/>
  <c r="E920" i="3"/>
  <c r="C920" i="3"/>
  <c r="B920" i="3"/>
  <c r="A920" i="3"/>
  <c r="H919" i="3"/>
  <c r="G919" i="3"/>
  <c r="F919" i="3"/>
  <c r="E919" i="3"/>
  <c r="C919" i="3"/>
  <c r="A919" i="3"/>
  <c r="H918" i="3"/>
  <c r="G918" i="3"/>
  <c r="F918" i="3"/>
  <c r="E918" i="3"/>
  <c r="C918" i="3"/>
  <c r="B918" i="3"/>
  <c r="A918" i="3"/>
  <c r="H917" i="3"/>
  <c r="G917" i="3"/>
  <c r="F917" i="3"/>
  <c r="E917" i="3"/>
  <c r="C917" i="3"/>
  <c r="B917" i="3"/>
  <c r="A917" i="3"/>
  <c r="H916" i="3"/>
  <c r="G916" i="3"/>
  <c r="F916" i="3"/>
  <c r="E916" i="3"/>
  <c r="A916" i="3"/>
  <c r="H915" i="3"/>
  <c r="G915" i="3"/>
  <c r="F915" i="3"/>
  <c r="E915" i="3"/>
  <c r="C915" i="3"/>
  <c r="B915" i="3"/>
  <c r="A915" i="3"/>
  <c r="H914" i="3"/>
  <c r="G914" i="3"/>
  <c r="F914" i="3"/>
  <c r="E914" i="3"/>
  <c r="C914" i="3"/>
  <c r="B914" i="3"/>
  <c r="A914" i="3"/>
  <c r="H913" i="3"/>
  <c r="G913" i="3"/>
  <c r="F913" i="3"/>
  <c r="E913" i="3"/>
  <c r="A913" i="3"/>
  <c r="H912" i="3"/>
  <c r="G912" i="3"/>
  <c r="F912" i="3"/>
  <c r="E912" i="3"/>
  <c r="D912" i="3"/>
  <c r="C912" i="3"/>
  <c r="A912" i="3"/>
  <c r="H911" i="3"/>
  <c r="G911" i="3"/>
  <c r="F911" i="3"/>
  <c r="E911" i="3"/>
  <c r="D911" i="3"/>
  <c r="C911" i="3"/>
  <c r="A911" i="3"/>
  <c r="H910" i="3"/>
  <c r="G910" i="3"/>
  <c r="F910" i="3"/>
  <c r="E910" i="3"/>
  <c r="C910" i="3"/>
  <c r="B910" i="3"/>
  <c r="A910" i="3"/>
  <c r="H909" i="3"/>
  <c r="G909" i="3"/>
  <c r="F909" i="3"/>
  <c r="E909" i="3"/>
  <c r="C909" i="3"/>
  <c r="A909" i="3"/>
  <c r="H908" i="3"/>
  <c r="G908" i="3"/>
  <c r="F908" i="3"/>
  <c r="E908" i="3"/>
  <c r="B908" i="3"/>
  <c r="A908" i="3"/>
  <c r="H907" i="3"/>
  <c r="G907" i="3"/>
  <c r="F907" i="3"/>
  <c r="E907" i="3"/>
  <c r="A907" i="3"/>
  <c r="H906" i="3"/>
  <c r="G906" i="3"/>
  <c r="F906" i="3"/>
  <c r="E906" i="3"/>
  <c r="D906" i="3"/>
  <c r="C906" i="3"/>
  <c r="B906" i="3"/>
  <c r="A906" i="3"/>
  <c r="H905" i="3"/>
  <c r="G905" i="3"/>
  <c r="F905" i="3"/>
  <c r="E905" i="3"/>
  <c r="D905" i="3"/>
  <c r="C905" i="3"/>
  <c r="B905" i="3"/>
  <c r="A905" i="3"/>
  <c r="H904" i="3"/>
  <c r="G904" i="3"/>
  <c r="F904" i="3"/>
  <c r="E904" i="3"/>
  <c r="D904" i="3"/>
  <c r="C904" i="3"/>
  <c r="B904" i="3"/>
  <c r="A904" i="3"/>
  <c r="H903" i="3"/>
  <c r="G903" i="3"/>
  <c r="F903" i="3"/>
  <c r="E903" i="3"/>
  <c r="D903" i="3"/>
  <c r="C903" i="3"/>
  <c r="A903" i="3"/>
  <c r="H902" i="3"/>
  <c r="G902" i="3"/>
  <c r="F902" i="3"/>
  <c r="E902" i="3"/>
  <c r="A902" i="3"/>
  <c r="H901" i="3"/>
  <c r="G901" i="3"/>
  <c r="F901" i="3"/>
  <c r="E901" i="3"/>
  <c r="C901" i="3"/>
  <c r="A901" i="3"/>
  <c r="H900" i="3"/>
  <c r="G900" i="3"/>
  <c r="F900" i="3"/>
  <c r="E900" i="3"/>
  <c r="C900" i="3"/>
  <c r="A900" i="3"/>
  <c r="H899" i="3"/>
  <c r="G899" i="3"/>
  <c r="F899" i="3"/>
  <c r="E899" i="3"/>
  <c r="D899" i="3"/>
  <c r="B899" i="3"/>
  <c r="A899" i="3"/>
  <c r="H898" i="3"/>
  <c r="G898" i="3"/>
  <c r="F898" i="3"/>
  <c r="E898" i="3"/>
  <c r="D898" i="3"/>
  <c r="C898" i="3"/>
  <c r="B898" i="3"/>
  <c r="A898" i="3"/>
  <c r="H897" i="3"/>
  <c r="G897" i="3"/>
  <c r="F897" i="3"/>
  <c r="E897" i="3"/>
  <c r="D897" i="3"/>
  <c r="C897" i="3"/>
  <c r="B897" i="3"/>
  <c r="A897" i="3"/>
  <c r="H896" i="3"/>
  <c r="G896" i="3"/>
  <c r="F896" i="3"/>
  <c r="E896" i="3"/>
  <c r="D896" i="3"/>
  <c r="C896" i="3"/>
  <c r="B896" i="3"/>
  <c r="A896" i="3"/>
  <c r="H895" i="3"/>
  <c r="G895" i="3"/>
  <c r="F895" i="3"/>
  <c r="E895" i="3"/>
  <c r="D895" i="3"/>
  <c r="C895" i="3"/>
  <c r="B895" i="3"/>
  <c r="A895" i="3"/>
  <c r="H894" i="3"/>
  <c r="G894" i="3"/>
  <c r="F894" i="3"/>
  <c r="E894" i="3"/>
  <c r="D894" i="3"/>
  <c r="C894" i="3"/>
  <c r="B894" i="3"/>
  <c r="A894" i="3"/>
  <c r="H893" i="3"/>
  <c r="G893" i="3"/>
  <c r="F893" i="3"/>
  <c r="E893" i="3"/>
  <c r="D893" i="3"/>
  <c r="C893" i="3"/>
  <c r="B893" i="3"/>
  <c r="A893" i="3"/>
  <c r="H892" i="3"/>
  <c r="G892" i="3"/>
  <c r="F892" i="3"/>
  <c r="E892" i="3"/>
  <c r="D892" i="3"/>
  <c r="C892" i="3"/>
  <c r="B892" i="3"/>
  <c r="A892" i="3"/>
  <c r="H891" i="3"/>
  <c r="G891" i="3"/>
  <c r="F891" i="3"/>
  <c r="E891" i="3"/>
  <c r="C891" i="3"/>
  <c r="A891" i="3"/>
  <c r="H890" i="3"/>
  <c r="G890" i="3"/>
  <c r="F890" i="3"/>
  <c r="E890" i="3"/>
  <c r="D890" i="3"/>
  <c r="C890" i="3"/>
  <c r="B890" i="3"/>
  <c r="A890" i="3"/>
  <c r="H889" i="3"/>
  <c r="G889" i="3"/>
  <c r="F889" i="3"/>
  <c r="E889" i="3"/>
  <c r="D889" i="3"/>
  <c r="C889" i="3"/>
  <c r="B889" i="3"/>
  <c r="A889" i="3"/>
  <c r="H888" i="3"/>
  <c r="G888" i="3"/>
  <c r="F888" i="3"/>
  <c r="E888" i="3"/>
  <c r="C888" i="3"/>
  <c r="B888" i="3"/>
  <c r="A888" i="3"/>
  <c r="H887" i="3"/>
  <c r="G887" i="3"/>
  <c r="F887" i="3"/>
  <c r="E887" i="3"/>
  <c r="C887" i="3"/>
  <c r="B887" i="3"/>
  <c r="A887" i="3"/>
  <c r="H886" i="3"/>
  <c r="G886" i="3"/>
  <c r="F886" i="3"/>
  <c r="E886" i="3"/>
  <c r="C886" i="3"/>
  <c r="B886" i="3"/>
  <c r="A886" i="3"/>
  <c r="H885" i="3"/>
  <c r="G885" i="3"/>
  <c r="F885" i="3"/>
  <c r="E885" i="3"/>
  <c r="D885" i="3"/>
  <c r="C885" i="3"/>
  <c r="B885" i="3"/>
  <c r="A885" i="3"/>
  <c r="H884" i="3"/>
  <c r="G884" i="3"/>
  <c r="F884" i="3"/>
  <c r="E884" i="3"/>
  <c r="D884" i="3"/>
  <c r="C884" i="3"/>
  <c r="B884" i="3"/>
  <c r="A884" i="3"/>
  <c r="H883" i="3"/>
  <c r="G883" i="3"/>
  <c r="F883" i="3"/>
  <c r="E883" i="3"/>
  <c r="A883" i="3"/>
  <c r="H882" i="3"/>
  <c r="G882" i="3"/>
  <c r="F882" i="3"/>
  <c r="E882" i="3"/>
  <c r="D882" i="3"/>
  <c r="C882" i="3"/>
  <c r="B882" i="3"/>
  <c r="A882" i="3"/>
  <c r="H881" i="3"/>
  <c r="G881" i="3"/>
  <c r="F881" i="3"/>
  <c r="E881" i="3"/>
  <c r="D881" i="3"/>
  <c r="C881" i="3"/>
  <c r="B881" i="3"/>
  <c r="A881" i="3"/>
  <c r="H880" i="3"/>
  <c r="G880" i="3"/>
  <c r="F880" i="3"/>
  <c r="E880" i="3"/>
  <c r="A880" i="3"/>
  <c r="H879" i="3"/>
  <c r="G879" i="3"/>
  <c r="F879" i="3"/>
  <c r="E879" i="3"/>
  <c r="A879" i="3"/>
  <c r="H878" i="3"/>
  <c r="G878" i="3"/>
  <c r="F878" i="3"/>
  <c r="E878" i="3"/>
  <c r="C878" i="3"/>
  <c r="B878" i="3"/>
  <c r="A878" i="3"/>
  <c r="H877" i="3"/>
  <c r="G877" i="3"/>
  <c r="F877" i="3"/>
  <c r="E877" i="3"/>
  <c r="C877" i="3"/>
  <c r="B877" i="3"/>
  <c r="A877" i="3"/>
  <c r="H876" i="3"/>
  <c r="G876" i="3"/>
  <c r="F876" i="3"/>
  <c r="E876" i="3"/>
  <c r="D876" i="3"/>
  <c r="C876" i="3"/>
  <c r="B876" i="3"/>
  <c r="A876" i="3"/>
  <c r="H875" i="3"/>
  <c r="G875" i="3"/>
  <c r="F875" i="3"/>
  <c r="E875" i="3"/>
  <c r="D875" i="3"/>
  <c r="C875" i="3"/>
  <c r="B875" i="3"/>
  <c r="A875" i="3"/>
  <c r="H874" i="3"/>
  <c r="G874" i="3"/>
  <c r="F874" i="3"/>
  <c r="E874" i="3"/>
  <c r="D874" i="3"/>
  <c r="C874" i="3"/>
  <c r="B874" i="3"/>
  <c r="A874" i="3"/>
  <c r="H873" i="3"/>
  <c r="G873" i="3"/>
  <c r="F873" i="3"/>
  <c r="E873" i="3"/>
  <c r="C873" i="3"/>
  <c r="B873" i="3"/>
  <c r="A873" i="3"/>
  <c r="H872" i="3"/>
  <c r="G872" i="3"/>
  <c r="F872" i="3"/>
  <c r="E872" i="3"/>
  <c r="C872" i="3"/>
  <c r="B872" i="3"/>
  <c r="A872" i="3"/>
  <c r="H871" i="3"/>
  <c r="G871" i="3"/>
  <c r="F871" i="3"/>
  <c r="E871" i="3"/>
  <c r="A871" i="3"/>
  <c r="H870" i="3"/>
  <c r="G870" i="3"/>
  <c r="F870" i="3"/>
  <c r="E870" i="3"/>
  <c r="C870" i="3"/>
  <c r="B870" i="3"/>
  <c r="A870" i="3"/>
  <c r="H869" i="3"/>
  <c r="G869" i="3"/>
  <c r="F869" i="3"/>
  <c r="E869" i="3"/>
  <c r="D869" i="3"/>
  <c r="C869" i="3"/>
  <c r="B869" i="3"/>
  <c r="A869" i="3"/>
  <c r="H868" i="3"/>
  <c r="G868" i="3"/>
  <c r="F868" i="3"/>
  <c r="E868" i="3"/>
  <c r="C868" i="3"/>
  <c r="B868" i="3"/>
  <c r="A868" i="3"/>
  <c r="H867" i="3"/>
  <c r="G867" i="3"/>
  <c r="F867" i="3"/>
  <c r="E867" i="3"/>
  <c r="D867" i="3"/>
  <c r="C867" i="3"/>
  <c r="B867" i="3"/>
  <c r="A867" i="3"/>
  <c r="H866" i="3"/>
  <c r="G866" i="3"/>
  <c r="F866" i="3"/>
  <c r="E866" i="3"/>
  <c r="D866" i="3"/>
  <c r="C866" i="3"/>
  <c r="B866" i="3"/>
  <c r="A866" i="3"/>
  <c r="H865" i="3"/>
  <c r="G865" i="3"/>
  <c r="F865" i="3"/>
  <c r="E865" i="3"/>
  <c r="C865" i="3"/>
  <c r="B865" i="3"/>
  <c r="A865" i="3"/>
  <c r="H864" i="3"/>
  <c r="G864" i="3"/>
  <c r="F864" i="3"/>
  <c r="E864" i="3"/>
  <c r="C864" i="3"/>
  <c r="B864" i="3"/>
  <c r="A864" i="3"/>
  <c r="H863" i="3"/>
  <c r="G863" i="3"/>
  <c r="F863" i="3"/>
  <c r="E863" i="3"/>
  <c r="C863" i="3"/>
  <c r="B863" i="3"/>
  <c r="A863" i="3"/>
  <c r="H862" i="3"/>
  <c r="G862" i="3"/>
  <c r="F862" i="3"/>
  <c r="E862" i="3"/>
  <c r="C862" i="3"/>
  <c r="B862" i="3"/>
  <c r="A862" i="3"/>
  <c r="H861" i="3"/>
  <c r="G861" i="3"/>
  <c r="F861" i="3"/>
  <c r="E861" i="3"/>
  <c r="C861" i="3"/>
  <c r="A861" i="3"/>
  <c r="H860" i="3"/>
  <c r="G860" i="3"/>
  <c r="F860" i="3"/>
  <c r="E860" i="3"/>
  <c r="A860" i="3"/>
  <c r="H859" i="3"/>
  <c r="G859" i="3"/>
  <c r="F859" i="3"/>
  <c r="E859" i="3"/>
  <c r="A859" i="3"/>
  <c r="H858" i="3"/>
  <c r="G858" i="3"/>
  <c r="F858" i="3"/>
  <c r="E858" i="3"/>
  <c r="D858" i="3"/>
  <c r="C858" i="3"/>
  <c r="B858" i="3"/>
  <c r="A858" i="3"/>
  <c r="H857" i="3"/>
  <c r="G857" i="3"/>
  <c r="F857" i="3"/>
  <c r="E857" i="3"/>
  <c r="C857" i="3"/>
  <c r="B857" i="3"/>
  <c r="A857" i="3"/>
  <c r="H856" i="3"/>
  <c r="G856" i="3"/>
  <c r="F856" i="3"/>
  <c r="E856" i="3"/>
  <c r="D856" i="3"/>
  <c r="C856" i="3"/>
  <c r="B856" i="3"/>
  <c r="A856" i="3"/>
  <c r="H855" i="3"/>
  <c r="G855" i="3"/>
  <c r="F855" i="3"/>
  <c r="E855" i="3"/>
  <c r="D855" i="3"/>
  <c r="C855" i="3"/>
  <c r="B855" i="3"/>
  <c r="A855" i="3"/>
  <c r="H854" i="3"/>
  <c r="G854" i="3"/>
  <c r="F854" i="3"/>
  <c r="E854" i="3"/>
  <c r="C854" i="3"/>
  <c r="B854" i="3"/>
  <c r="A854" i="3"/>
  <c r="H853" i="3"/>
  <c r="G853" i="3"/>
  <c r="F853" i="3"/>
  <c r="E853" i="3"/>
  <c r="C853" i="3"/>
  <c r="B853" i="3"/>
  <c r="A853" i="3"/>
  <c r="H852" i="3"/>
  <c r="G852" i="3"/>
  <c r="F852" i="3"/>
  <c r="E852" i="3"/>
  <c r="A852" i="3"/>
  <c r="H851" i="3"/>
  <c r="G851" i="3"/>
  <c r="F851" i="3"/>
  <c r="E851" i="3"/>
  <c r="D851" i="3"/>
  <c r="C851" i="3"/>
  <c r="B851" i="3"/>
  <c r="A851" i="3"/>
  <c r="H850" i="3"/>
  <c r="G850" i="3"/>
  <c r="F850" i="3"/>
  <c r="E850" i="3"/>
  <c r="C850" i="3"/>
  <c r="B850" i="3"/>
  <c r="A850" i="3"/>
  <c r="H849" i="3"/>
  <c r="G849" i="3"/>
  <c r="F849" i="3"/>
  <c r="E849" i="3"/>
  <c r="C849" i="3"/>
  <c r="B849" i="3"/>
  <c r="A849" i="3"/>
  <c r="H848" i="3"/>
  <c r="G848" i="3"/>
  <c r="F848" i="3"/>
  <c r="E848" i="3"/>
  <c r="A848" i="3"/>
  <c r="H847" i="3"/>
  <c r="G847" i="3"/>
  <c r="F847" i="3"/>
  <c r="E847" i="3"/>
  <c r="A847" i="3"/>
  <c r="H846" i="3"/>
  <c r="G846" i="3"/>
  <c r="F846" i="3"/>
  <c r="E846" i="3"/>
  <c r="C846" i="3"/>
  <c r="B846" i="3"/>
  <c r="A846" i="3"/>
  <c r="H845" i="3"/>
  <c r="G845" i="3"/>
  <c r="F845" i="3"/>
  <c r="E845" i="3"/>
  <c r="D845" i="3"/>
  <c r="C845" i="3"/>
  <c r="B845" i="3"/>
  <c r="A845" i="3"/>
  <c r="H844" i="3"/>
  <c r="G844" i="3"/>
  <c r="F844" i="3"/>
  <c r="E844" i="3"/>
  <c r="C844" i="3"/>
  <c r="B844" i="3"/>
  <c r="A844" i="3"/>
  <c r="H843" i="3"/>
  <c r="G843" i="3"/>
  <c r="F843" i="3"/>
  <c r="E843" i="3"/>
  <c r="C843" i="3"/>
  <c r="B843" i="3"/>
  <c r="A843" i="3"/>
  <c r="H842" i="3"/>
  <c r="G842" i="3"/>
  <c r="F842" i="3"/>
  <c r="E842" i="3"/>
  <c r="D842" i="3"/>
  <c r="C842" i="3"/>
  <c r="B842" i="3"/>
  <c r="A842" i="3"/>
  <c r="H841" i="3"/>
  <c r="G841" i="3"/>
  <c r="F841" i="3"/>
  <c r="E841" i="3"/>
  <c r="C841" i="3"/>
  <c r="B841" i="3"/>
  <c r="A841" i="3"/>
  <c r="H840" i="3"/>
  <c r="G840" i="3"/>
  <c r="F840" i="3"/>
  <c r="E840" i="3"/>
  <c r="C840" i="3"/>
  <c r="B840" i="3"/>
  <c r="A840" i="3"/>
  <c r="H839" i="3"/>
  <c r="G839" i="3"/>
  <c r="F839" i="3"/>
  <c r="E839" i="3"/>
  <c r="C839" i="3"/>
  <c r="B839" i="3"/>
  <c r="A839" i="3"/>
  <c r="H838" i="3"/>
  <c r="G838" i="3"/>
  <c r="F838" i="3"/>
  <c r="E838" i="3"/>
  <c r="C838" i="3"/>
  <c r="B838" i="3"/>
  <c r="A838" i="3"/>
  <c r="H837" i="3"/>
  <c r="G837" i="3"/>
  <c r="F837" i="3"/>
  <c r="E837" i="3"/>
  <c r="A837" i="3"/>
  <c r="H836" i="3"/>
  <c r="G836" i="3"/>
  <c r="F836" i="3"/>
  <c r="E836" i="3"/>
  <c r="A836" i="3"/>
  <c r="H835" i="3"/>
  <c r="G835" i="3"/>
  <c r="F835" i="3"/>
  <c r="E835" i="3"/>
  <c r="C835" i="3"/>
  <c r="A835" i="3"/>
  <c r="H834" i="3"/>
  <c r="G834" i="3"/>
  <c r="F834" i="3"/>
  <c r="E834" i="3"/>
  <c r="C834" i="3"/>
  <c r="B834" i="3"/>
  <c r="A834" i="3"/>
  <c r="H833" i="3"/>
  <c r="G833" i="3"/>
  <c r="F833" i="3"/>
  <c r="E833" i="3"/>
  <c r="A833" i="3"/>
  <c r="H832" i="3"/>
  <c r="G832" i="3"/>
  <c r="F832" i="3"/>
  <c r="E832" i="3"/>
  <c r="D832" i="3"/>
  <c r="C832" i="3"/>
  <c r="B832" i="3"/>
  <c r="A832" i="3"/>
  <c r="H831" i="3"/>
  <c r="G831" i="3"/>
  <c r="F831" i="3"/>
  <c r="E831" i="3"/>
  <c r="C831" i="3"/>
  <c r="B831" i="3"/>
  <c r="A831" i="3"/>
  <c r="H830" i="3"/>
  <c r="G830" i="3"/>
  <c r="F830" i="3"/>
  <c r="E830" i="3"/>
  <c r="A830" i="3"/>
  <c r="H829" i="3"/>
  <c r="G829" i="3"/>
  <c r="F829" i="3"/>
  <c r="E829" i="3"/>
  <c r="C829" i="3"/>
  <c r="A829" i="3"/>
  <c r="H828" i="3"/>
  <c r="G828" i="3"/>
  <c r="F828" i="3"/>
  <c r="E828" i="3"/>
  <c r="C828" i="3"/>
  <c r="B828" i="3"/>
  <c r="A828" i="3"/>
  <c r="H827" i="3"/>
  <c r="G827" i="3"/>
  <c r="F827" i="3"/>
  <c r="E827" i="3"/>
  <c r="C827" i="3"/>
  <c r="B827" i="3"/>
  <c r="A827" i="3"/>
  <c r="H826" i="3"/>
  <c r="G826" i="3"/>
  <c r="F826" i="3"/>
  <c r="E826" i="3"/>
  <c r="C826" i="3"/>
  <c r="B826" i="3"/>
  <c r="A826" i="3"/>
  <c r="H825" i="3"/>
  <c r="G825" i="3"/>
  <c r="F825" i="3"/>
  <c r="E825" i="3"/>
  <c r="C825" i="3"/>
  <c r="A825" i="3"/>
  <c r="F824" i="3"/>
  <c r="E824" i="3"/>
  <c r="A824" i="3"/>
  <c r="H823" i="3"/>
  <c r="G823" i="3"/>
  <c r="F823" i="3"/>
  <c r="E823" i="3"/>
  <c r="C823" i="3"/>
  <c r="B823" i="3"/>
  <c r="A823" i="3"/>
  <c r="H822" i="3"/>
  <c r="G822" i="3"/>
  <c r="F822" i="3"/>
  <c r="E822" i="3"/>
  <c r="C822" i="3"/>
  <c r="B822" i="3"/>
  <c r="A822" i="3"/>
  <c r="H821" i="3"/>
  <c r="G821" i="3"/>
  <c r="F821" i="3"/>
  <c r="E821" i="3"/>
  <c r="C821" i="3"/>
  <c r="B821" i="3"/>
  <c r="A821" i="3"/>
  <c r="H820" i="3"/>
  <c r="G820" i="3"/>
  <c r="F820" i="3"/>
  <c r="E820" i="3"/>
  <c r="C820" i="3"/>
  <c r="B820" i="3"/>
  <c r="A820" i="3"/>
  <c r="H819" i="3"/>
  <c r="G819" i="3"/>
  <c r="F819" i="3"/>
  <c r="E819" i="3"/>
  <c r="D819" i="3"/>
  <c r="C819" i="3"/>
  <c r="B819" i="3"/>
  <c r="A819" i="3"/>
  <c r="H818" i="3"/>
  <c r="G818" i="3"/>
  <c r="F818" i="3"/>
  <c r="E818" i="3"/>
  <c r="D818" i="3"/>
  <c r="C818" i="3"/>
  <c r="B818" i="3"/>
  <c r="A818" i="3"/>
  <c r="H817" i="3"/>
  <c r="G817" i="3"/>
  <c r="F817" i="3"/>
  <c r="E817" i="3"/>
  <c r="D817" i="3"/>
  <c r="C817" i="3"/>
  <c r="B817" i="3"/>
  <c r="A817" i="3"/>
  <c r="H816" i="3"/>
  <c r="G816" i="3"/>
  <c r="F816" i="3"/>
  <c r="E816" i="3"/>
  <c r="C816" i="3"/>
  <c r="B816" i="3"/>
  <c r="A816" i="3"/>
  <c r="H815" i="3"/>
  <c r="G815" i="3"/>
  <c r="F815" i="3"/>
  <c r="E815" i="3"/>
  <c r="D815" i="3"/>
  <c r="C815" i="3"/>
  <c r="B815" i="3"/>
  <c r="A815" i="3"/>
  <c r="H814" i="3"/>
  <c r="G814" i="3"/>
  <c r="F814" i="3"/>
  <c r="E814" i="3"/>
  <c r="C814" i="3"/>
  <c r="B814" i="3"/>
  <c r="A814" i="3"/>
  <c r="H813" i="3"/>
  <c r="G813" i="3"/>
  <c r="F813" i="3"/>
  <c r="C813" i="3"/>
  <c r="B813" i="3"/>
  <c r="A813" i="3"/>
  <c r="H812" i="3"/>
  <c r="G812" i="3"/>
  <c r="F812" i="3"/>
  <c r="E812" i="3"/>
  <c r="C812" i="3"/>
  <c r="B812" i="3"/>
  <c r="A812" i="3"/>
  <c r="H811" i="3"/>
  <c r="G811" i="3"/>
  <c r="F811" i="3"/>
  <c r="E811" i="3"/>
  <c r="C811" i="3"/>
  <c r="B811" i="3"/>
  <c r="A811" i="3"/>
  <c r="H810" i="3"/>
  <c r="G810" i="3"/>
  <c r="F810" i="3"/>
  <c r="E810" i="3"/>
  <c r="B810" i="3"/>
  <c r="A810" i="3"/>
  <c r="H809" i="3"/>
  <c r="G809" i="3"/>
  <c r="F809" i="3"/>
  <c r="E809" i="3"/>
  <c r="D809" i="3"/>
  <c r="C809" i="3"/>
  <c r="B809" i="3"/>
  <c r="A809" i="3"/>
  <c r="H808" i="3"/>
  <c r="G808" i="3"/>
  <c r="F808" i="3"/>
  <c r="E808" i="3"/>
  <c r="B808" i="3"/>
  <c r="A808" i="3"/>
  <c r="H807" i="3"/>
  <c r="G807" i="3"/>
  <c r="F807" i="3"/>
  <c r="E807" i="3"/>
  <c r="B807" i="3"/>
  <c r="A807" i="3"/>
  <c r="H806" i="3"/>
  <c r="G806" i="3"/>
  <c r="F806" i="3"/>
  <c r="E806" i="3"/>
  <c r="D806" i="3"/>
  <c r="C806" i="3"/>
  <c r="B806" i="3"/>
  <c r="A806" i="3"/>
  <c r="H805" i="3"/>
  <c r="G805" i="3"/>
  <c r="F805" i="3"/>
  <c r="E805" i="3"/>
  <c r="C805" i="3"/>
  <c r="B805" i="3"/>
  <c r="A805" i="3"/>
  <c r="H804" i="3"/>
  <c r="G804" i="3"/>
  <c r="F804" i="3"/>
  <c r="E804" i="3"/>
  <c r="C804" i="3"/>
  <c r="B804" i="3"/>
  <c r="A804" i="3"/>
  <c r="H803" i="3"/>
  <c r="G803" i="3"/>
  <c r="F803" i="3"/>
  <c r="E803" i="3"/>
  <c r="B803" i="3"/>
  <c r="A803" i="3"/>
  <c r="H802" i="3"/>
  <c r="G802" i="3"/>
  <c r="F802" i="3"/>
  <c r="A802" i="3"/>
  <c r="H801" i="3"/>
  <c r="G801" i="3"/>
  <c r="F801" i="3"/>
  <c r="E801" i="3"/>
  <c r="C801" i="3"/>
  <c r="B801" i="3"/>
  <c r="A801" i="3"/>
  <c r="H800" i="3"/>
  <c r="G800" i="3"/>
  <c r="F800" i="3"/>
  <c r="E800" i="3"/>
  <c r="D800" i="3"/>
  <c r="C800" i="3"/>
  <c r="B800" i="3"/>
  <c r="A800" i="3"/>
  <c r="H799" i="3"/>
  <c r="G799" i="3"/>
  <c r="F799" i="3"/>
  <c r="E799" i="3"/>
  <c r="C799" i="3"/>
  <c r="B799" i="3"/>
  <c r="A799" i="3"/>
  <c r="H798" i="3"/>
  <c r="G798" i="3"/>
  <c r="F798" i="3"/>
  <c r="C798" i="3"/>
  <c r="B798" i="3"/>
  <c r="A798" i="3"/>
  <c r="H797" i="3"/>
  <c r="G797" i="3"/>
  <c r="F797" i="3"/>
  <c r="E797" i="3"/>
  <c r="A797" i="3"/>
  <c r="H796" i="3"/>
  <c r="G796" i="3"/>
  <c r="F796" i="3"/>
  <c r="E796" i="3"/>
  <c r="A796" i="3"/>
  <c r="H795" i="3"/>
  <c r="G795" i="3"/>
  <c r="F795" i="3"/>
  <c r="A795" i="3"/>
  <c r="H794" i="3"/>
  <c r="G794" i="3"/>
  <c r="F794" i="3"/>
  <c r="E794" i="3"/>
  <c r="A794" i="3"/>
  <c r="H793" i="3"/>
  <c r="G793" i="3"/>
  <c r="F793" i="3"/>
  <c r="E793" i="3"/>
  <c r="C793" i="3"/>
  <c r="B793" i="3"/>
  <c r="A793" i="3"/>
  <c r="H792" i="3"/>
  <c r="G792" i="3"/>
  <c r="F792" i="3"/>
  <c r="E792" i="3"/>
  <c r="D792" i="3"/>
  <c r="C792" i="3"/>
  <c r="B792" i="3"/>
  <c r="A792" i="3"/>
  <c r="H791" i="3"/>
  <c r="G791" i="3"/>
  <c r="F791" i="3"/>
  <c r="E791" i="3"/>
  <c r="D791" i="3"/>
  <c r="C791" i="3"/>
  <c r="B791" i="3"/>
  <c r="A791" i="3"/>
  <c r="H790" i="3"/>
  <c r="G790" i="3"/>
  <c r="F790" i="3"/>
  <c r="E790" i="3"/>
  <c r="D790" i="3"/>
  <c r="C790" i="3"/>
  <c r="B790" i="3"/>
  <c r="A790" i="3"/>
  <c r="H789" i="3"/>
  <c r="G789" i="3"/>
  <c r="F789" i="3"/>
  <c r="E789" i="3"/>
  <c r="D789" i="3"/>
  <c r="C789" i="3"/>
  <c r="B789" i="3"/>
  <c r="A789" i="3"/>
  <c r="H788" i="3"/>
  <c r="G788" i="3"/>
  <c r="F788" i="3"/>
  <c r="E788" i="3"/>
  <c r="D788" i="3"/>
  <c r="C788" i="3"/>
  <c r="B788" i="3"/>
  <c r="A788" i="3"/>
  <c r="H787" i="3"/>
  <c r="G787" i="3"/>
  <c r="F787" i="3"/>
  <c r="E787" i="3"/>
  <c r="C787" i="3"/>
  <c r="A787" i="3"/>
  <c r="H786" i="3"/>
  <c r="G786" i="3"/>
  <c r="F786" i="3"/>
  <c r="E786" i="3"/>
  <c r="C786" i="3"/>
  <c r="B786" i="3"/>
  <c r="A786" i="3"/>
  <c r="H785" i="3"/>
  <c r="G785" i="3"/>
  <c r="F785" i="3"/>
  <c r="E785" i="3"/>
  <c r="A785" i="3"/>
  <c r="H784" i="3"/>
  <c r="G784" i="3"/>
  <c r="F784" i="3"/>
  <c r="E784" i="3"/>
  <c r="B784" i="3"/>
  <c r="A784" i="3"/>
  <c r="H783" i="3"/>
  <c r="G783" i="3"/>
  <c r="F783" i="3"/>
  <c r="E783" i="3"/>
  <c r="A783" i="3"/>
  <c r="H782" i="3"/>
  <c r="G782" i="3"/>
  <c r="F782" i="3"/>
  <c r="A782" i="3"/>
  <c r="H781" i="3"/>
  <c r="G781" i="3"/>
  <c r="F781" i="3"/>
  <c r="A781" i="3"/>
  <c r="H780" i="3"/>
  <c r="G780" i="3"/>
  <c r="F780" i="3"/>
  <c r="C780" i="3"/>
  <c r="B780" i="3"/>
  <c r="A780" i="3"/>
  <c r="H779" i="3"/>
  <c r="G779" i="3"/>
  <c r="F779" i="3"/>
  <c r="E779" i="3"/>
  <c r="B779" i="3"/>
  <c r="A779" i="3"/>
  <c r="H778" i="3"/>
  <c r="G778" i="3"/>
  <c r="F778" i="3"/>
  <c r="E778" i="3"/>
  <c r="C778" i="3"/>
  <c r="B778" i="3"/>
  <c r="A778" i="3"/>
  <c r="H777" i="3"/>
  <c r="G777" i="3"/>
  <c r="F777" i="3"/>
  <c r="E777" i="3"/>
  <c r="A777" i="3"/>
  <c r="H776" i="3"/>
  <c r="G776" i="3"/>
  <c r="F776" i="3"/>
  <c r="E776" i="3"/>
  <c r="C776" i="3"/>
  <c r="B776" i="3"/>
  <c r="A776" i="3"/>
  <c r="H775" i="3"/>
  <c r="G775" i="3"/>
  <c r="F775" i="3"/>
  <c r="E775" i="3"/>
  <c r="A775" i="3"/>
  <c r="H774" i="3"/>
  <c r="G774" i="3"/>
  <c r="F774" i="3"/>
  <c r="E774" i="3"/>
  <c r="C774" i="3"/>
  <c r="B774" i="3"/>
  <c r="A774" i="3"/>
  <c r="H773" i="3"/>
  <c r="G773" i="3"/>
  <c r="F773" i="3"/>
  <c r="E773" i="3"/>
  <c r="D773" i="3"/>
  <c r="C773" i="3"/>
  <c r="B773" i="3"/>
  <c r="A773" i="3"/>
  <c r="H772" i="3"/>
  <c r="G772" i="3"/>
  <c r="F772" i="3"/>
  <c r="E772" i="3"/>
  <c r="D772" i="3"/>
  <c r="C772" i="3"/>
  <c r="B772" i="3"/>
  <c r="A772" i="3"/>
  <c r="H771" i="3"/>
  <c r="G771" i="3"/>
  <c r="F771" i="3"/>
  <c r="A771" i="3"/>
  <c r="H770" i="3"/>
  <c r="G770" i="3"/>
  <c r="F770" i="3"/>
  <c r="C770" i="3"/>
  <c r="B770" i="3"/>
  <c r="A770" i="3"/>
  <c r="H769" i="3"/>
  <c r="G769" i="3"/>
  <c r="F769" i="3"/>
  <c r="A769" i="3"/>
  <c r="H768" i="3"/>
  <c r="G768" i="3"/>
  <c r="F768" i="3"/>
  <c r="E768" i="3"/>
  <c r="D768" i="3"/>
  <c r="C768" i="3"/>
  <c r="B768" i="3"/>
  <c r="A768" i="3"/>
  <c r="H767" i="3"/>
  <c r="G767" i="3"/>
  <c r="F767" i="3"/>
  <c r="E767" i="3"/>
  <c r="A767" i="3"/>
  <c r="H766" i="3"/>
  <c r="G766" i="3"/>
  <c r="F766" i="3"/>
  <c r="E766" i="3"/>
  <c r="A766" i="3"/>
  <c r="H765" i="3"/>
  <c r="G765" i="3"/>
  <c r="F765" i="3"/>
  <c r="A765" i="3"/>
  <c r="H764" i="3"/>
  <c r="G764" i="3"/>
  <c r="F764" i="3"/>
  <c r="E764" i="3"/>
  <c r="D764" i="3"/>
  <c r="C764" i="3"/>
  <c r="B764" i="3"/>
  <c r="A764" i="3"/>
  <c r="H763" i="3"/>
  <c r="G763" i="3"/>
  <c r="F763" i="3"/>
  <c r="E763" i="3"/>
  <c r="D763" i="3"/>
  <c r="C763" i="3"/>
  <c r="B763" i="3"/>
  <c r="A763" i="3"/>
  <c r="H762" i="3"/>
  <c r="G762" i="3"/>
  <c r="F762" i="3"/>
  <c r="E762" i="3"/>
  <c r="C762" i="3"/>
  <c r="B762" i="3"/>
  <c r="A762" i="3"/>
  <c r="H761" i="3"/>
  <c r="G761" i="3"/>
  <c r="F761" i="3"/>
  <c r="E761" i="3"/>
  <c r="A761" i="3"/>
  <c r="H760" i="3"/>
  <c r="G760" i="3"/>
  <c r="F760" i="3"/>
  <c r="E760" i="3"/>
  <c r="B760" i="3"/>
  <c r="A760" i="3"/>
  <c r="H759" i="3"/>
  <c r="G759" i="3"/>
  <c r="F759" i="3"/>
  <c r="E759" i="3"/>
  <c r="C759" i="3"/>
  <c r="B759" i="3"/>
  <c r="A759" i="3"/>
  <c r="H758" i="3"/>
  <c r="G758" i="3"/>
  <c r="F758" i="3"/>
  <c r="E758" i="3"/>
  <c r="A758" i="3"/>
  <c r="H757" i="3"/>
  <c r="G757" i="3"/>
  <c r="F757" i="3"/>
  <c r="E757" i="3"/>
  <c r="D757" i="3"/>
  <c r="C757" i="3"/>
  <c r="B757" i="3"/>
  <c r="A757" i="3"/>
  <c r="H756" i="3"/>
  <c r="G756" i="3"/>
  <c r="F756" i="3"/>
  <c r="E756" i="3"/>
  <c r="D756" i="3"/>
  <c r="C756" i="3"/>
  <c r="B756" i="3"/>
  <c r="A756" i="3"/>
  <c r="H755" i="3"/>
  <c r="G755" i="3"/>
  <c r="F755" i="3"/>
  <c r="E755" i="3"/>
  <c r="C755" i="3"/>
  <c r="B755" i="3"/>
  <c r="A755" i="3"/>
  <c r="H754" i="3"/>
  <c r="G754" i="3"/>
  <c r="F754" i="3"/>
  <c r="E754" i="3"/>
  <c r="C754" i="3"/>
  <c r="B754" i="3"/>
  <c r="A754" i="3"/>
  <c r="H753" i="3"/>
  <c r="G753" i="3"/>
  <c r="F753" i="3"/>
  <c r="E753" i="3"/>
  <c r="C753" i="3"/>
  <c r="B753" i="3"/>
  <c r="A753" i="3"/>
  <c r="H752" i="3"/>
  <c r="G752" i="3"/>
  <c r="F752" i="3"/>
  <c r="E752" i="3"/>
  <c r="A752" i="3"/>
  <c r="H751" i="3"/>
  <c r="G751" i="3"/>
  <c r="F751" i="3"/>
  <c r="E751" i="3"/>
  <c r="A751" i="3"/>
  <c r="H750" i="3"/>
  <c r="G750" i="3"/>
  <c r="F750" i="3"/>
  <c r="E750" i="3"/>
  <c r="A750" i="3"/>
  <c r="H749" i="3"/>
  <c r="G749" i="3"/>
  <c r="F749" i="3"/>
  <c r="A749" i="3"/>
  <c r="H748" i="3"/>
  <c r="G748" i="3"/>
  <c r="F748" i="3"/>
  <c r="A748" i="3"/>
  <c r="H747" i="3"/>
  <c r="G747" i="3"/>
  <c r="F747" i="3"/>
  <c r="E747" i="3"/>
  <c r="C747" i="3"/>
  <c r="B747" i="3"/>
  <c r="A747" i="3"/>
  <c r="H746" i="3"/>
  <c r="G746" i="3"/>
  <c r="F746" i="3"/>
  <c r="A746" i="3"/>
  <c r="H745" i="3"/>
  <c r="G745" i="3"/>
  <c r="F745" i="3"/>
  <c r="E745" i="3"/>
  <c r="A745" i="3"/>
  <c r="H744" i="3"/>
  <c r="G744" i="3"/>
  <c r="F744" i="3"/>
  <c r="E744" i="3"/>
  <c r="C744" i="3"/>
  <c r="B744" i="3"/>
  <c r="A744" i="3"/>
  <c r="H743" i="3"/>
  <c r="G743" i="3"/>
  <c r="F743" i="3"/>
  <c r="E743" i="3"/>
  <c r="C743" i="3"/>
  <c r="B743" i="3"/>
  <c r="A743" i="3"/>
  <c r="H742" i="3"/>
  <c r="G742" i="3"/>
  <c r="F742" i="3"/>
  <c r="E742" i="3"/>
  <c r="B742" i="3"/>
  <c r="A742" i="3"/>
  <c r="H741" i="3"/>
  <c r="G741" i="3"/>
  <c r="F741" i="3"/>
  <c r="E741" i="3"/>
  <c r="B741" i="3"/>
  <c r="A741" i="3"/>
  <c r="H740" i="3"/>
  <c r="G740" i="3"/>
  <c r="F740" i="3"/>
  <c r="D740" i="3"/>
  <c r="C740" i="3"/>
  <c r="B740" i="3"/>
  <c r="A740" i="3"/>
  <c r="H739" i="3"/>
  <c r="G739" i="3"/>
  <c r="F739" i="3"/>
  <c r="E739" i="3"/>
  <c r="D739" i="3"/>
  <c r="C739" i="3"/>
  <c r="B739" i="3"/>
  <c r="A739" i="3"/>
  <c r="H738" i="3"/>
  <c r="G738" i="3"/>
  <c r="F738" i="3"/>
  <c r="E738" i="3"/>
  <c r="A738" i="3"/>
  <c r="H737" i="3"/>
  <c r="G737" i="3"/>
  <c r="F737" i="3"/>
  <c r="E737" i="3"/>
  <c r="C737" i="3"/>
  <c r="A737" i="3"/>
  <c r="H736" i="3"/>
  <c r="G736" i="3"/>
  <c r="F736" i="3"/>
  <c r="E736" i="3"/>
  <c r="D736" i="3"/>
  <c r="C736" i="3"/>
  <c r="B736" i="3"/>
  <c r="A736" i="3"/>
  <c r="H735" i="3"/>
  <c r="G735" i="3"/>
  <c r="F735" i="3"/>
  <c r="E735" i="3"/>
  <c r="A735" i="3"/>
  <c r="H734" i="3"/>
  <c r="G734" i="3"/>
  <c r="F734" i="3"/>
  <c r="E734" i="3"/>
  <c r="D734" i="3"/>
  <c r="C734" i="3"/>
  <c r="B734" i="3"/>
  <c r="A734" i="3"/>
  <c r="H733" i="3"/>
  <c r="G733" i="3"/>
  <c r="F733" i="3"/>
  <c r="E733" i="3"/>
  <c r="C733" i="3"/>
  <c r="B733" i="3"/>
  <c r="A733" i="3"/>
  <c r="H732" i="3"/>
  <c r="G732" i="3"/>
  <c r="F732" i="3"/>
  <c r="E732" i="3"/>
  <c r="A732" i="3"/>
  <c r="H731" i="3"/>
  <c r="G731" i="3"/>
  <c r="F731" i="3"/>
  <c r="E731" i="3"/>
  <c r="C731" i="3"/>
  <c r="B731" i="3"/>
  <c r="A731" i="3"/>
  <c r="H730" i="3"/>
  <c r="G730" i="3"/>
  <c r="F730" i="3"/>
  <c r="E730" i="3"/>
  <c r="C730" i="3"/>
  <c r="B730" i="3"/>
  <c r="A730" i="3"/>
  <c r="H729" i="3"/>
  <c r="G729" i="3"/>
  <c r="F729" i="3"/>
  <c r="E729" i="3"/>
  <c r="D729" i="3"/>
  <c r="C729" i="3"/>
  <c r="B729" i="3"/>
  <c r="A729" i="3"/>
  <c r="H728" i="3"/>
  <c r="G728" i="3"/>
  <c r="F728" i="3"/>
  <c r="E728" i="3"/>
  <c r="A728" i="3"/>
  <c r="H727" i="3"/>
  <c r="G727" i="3"/>
  <c r="F727" i="3"/>
  <c r="E727" i="3"/>
  <c r="A727" i="3"/>
  <c r="H726" i="3"/>
  <c r="G726" i="3"/>
  <c r="F726" i="3"/>
  <c r="E726" i="3"/>
  <c r="C726" i="3"/>
  <c r="B726" i="3"/>
  <c r="A726" i="3"/>
  <c r="H725" i="3"/>
  <c r="G725" i="3"/>
  <c r="F725" i="3"/>
  <c r="E725" i="3"/>
  <c r="D725" i="3"/>
  <c r="C725" i="3"/>
  <c r="B725" i="3"/>
  <c r="A725" i="3"/>
  <c r="H724" i="3"/>
  <c r="G724" i="3"/>
  <c r="F724" i="3"/>
  <c r="E724" i="3"/>
  <c r="C724" i="3"/>
  <c r="B724" i="3"/>
  <c r="A724" i="3"/>
  <c r="H723" i="3"/>
  <c r="G723" i="3"/>
  <c r="F723" i="3"/>
  <c r="E723" i="3"/>
  <c r="D723" i="3"/>
  <c r="C723" i="3"/>
  <c r="B723" i="3"/>
  <c r="A723" i="3"/>
  <c r="H722" i="3"/>
  <c r="G722" i="3"/>
  <c r="F722" i="3"/>
  <c r="E722" i="3"/>
  <c r="A722" i="3"/>
  <c r="H721" i="3"/>
  <c r="G721" i="3"/>
  <c r="F721" i="3"/>
  <c r="E721" i="3"/>
  <c r="B721" i="3"/>
  <c r="A721" i="3"/>
  <c r="H720" i="3"/>
  <c r="G720" i="3"/>
  <c r="F720" i="3"/>
  <c r="E720" i="3"/>
  <c r="D720" i="3"/>
  <c r="C720" i="3"/>
  <c r="B720" i="3"/>
  <c r="A720" i="3"/>
  <c r="H719" i="3"/>
  <c r="G719" i="3"/>
  <c r="F719" i="3"/>
  <c r="E719" i="3"/>
  <c r="D719" i="3"/>
  <c r="C719" i="3"/>
  <c r="B719" i="3"/>
  <c r="A719" i="3"/>
  <c r="H718" i="3"/>
  <c r="G718" i="3"/>
  <c r="F718" i="3"/>
  <c r="E718" i="3"/>
  <c r="C718" i="3"/>
  <c r="B718" i="3"/>
  <c r="A718" i="3"/>
  <c r="H717" i="3"/>
  <c r="G717" i="3"/>
  <c r="F717" i="3"/>
  <c r="E717" i="3"/>
  <c r="D717" i="3"/>
  <c r="C717" i="3"/>
  <c r="B717" i="3"/>
  <c r="A717" i="3"/>
  <c r="H716" i="3"/>
  <c r="G716" i="3"/>
  <c r="F716" i="3"/>
  <c r="C716" i="3"/>
  <c r="B716" i="3"/>
  <c r="A716" i="3"/>
  <c r="H715" i="3"/>
  <c r="G715" i="3"/>
  <c r="F715" i="3"/>
  <c r="C715" i="3"/>
  <c r="B715" i="3"/>
  <c r="A715" i="3"/>
  <c r="H714" i="3"/>
  <c r="G714" i="3"/>
  <c r="F714" i="3"/>
  <c r="E714" i="3"/>
  <c r="C714" i="3"/>
  <c r="B714" i="3"/>
  <c r="A714" i="3"/>
  <c r="H713" i="3"/>
  <c r="G713" i="3"/>
  <c r="F713" i="3"/>
  <c r="E713" i="3"/>
  <c r="C713" i="3"/>
  <c r="B713" i="3"/>
  <c r="A713" i="3"/>
  <c r="H712" i="3"/>
  <c r="G712" i="3"/>
  <c r="F712" i="3"/>
  <c r="E712" i="3"/>
  <c r="A712" i="3"/>
  <c r="H711" i="3"/>
  <c r="G711" i="3"/>
  <c r="F711" i="3"/>
  <c r="E711" i="3"/>
  <c r="C711" i="3"/>
  <c r="B711" i="3"/>
  <c r="A711" i="3"/>
  <c r="H710" i="3"/>
  <c r="G710" i="3"/>
  <c r="F710" i="3"/>
  <c r="A710" i="3"/>
  <c r="H709" i="3"/>
  <c r="G709" i="3"/>
  <c r="F709" i="3"/>
  <c r="E709" i="3"/>
  <c r="C709" i="3"/>
  <c r="B709" i="3"/>
  <c r="A709" i="3"/>
  <c r="H708" i="3"/>
  <c r="G708" i="3"/>
  <c r="F708" i="3"/>
  <c r="E708" i="3"/>
  <c r="C708" i="3"/>
  <c r="B708" i="3"/>
  <c r="A708" i="3"/>
  <c r="H707" i="3"/>
  <c r="G707" i="3"/>
  <c r="F707" i="3"/>
  <c r="E707" i="3"/>
  <c r="D707" i="3"/>
  <c r="C707" i="3"/>
  <c r="B707" i="3"/>
  <c r="A707" i="3"/>
  <c r="H706" i="3"/>
  <c r="G706" i="3"/>
  <c r="F706" i="3"/>
  <c r="E706" i="3"/>
  <c r="D706" i="3"/>
  <c r="C706" i="3"/>
  <c r="B706" i="3"/>
  <c r="A706" i="3"/>
  <c r="H705" i="3"/>
  <c r="G705" i="3"/>
  <c r="F705" i="3"/>
  <c r="E705" i="3"/>
  <c r="D705" i="3"/>
  <c r="C705" i="3"/>
  <c r="B705" i="3"/>
  <c r="A705" i="3"/>
  <c r="H704" i="3"/>
  <c r="G704" i="3"/>
  <c r="F704" i="3"/>
  <c r="E704" i="3"/>
  <c r="D704" i="3"/>
  <c r="C704" i="3"/>
  <c r="B704" i="3"/>
  <c r="A704" i="3"/>
  <c r="H703" i="3"/>
  <c r="G703" i="3"/>
  <c r="F703" i="3"/>
  <c r="E703" i="3"/>
  <c r="A703" i="3"/>
  <c r="H702" i="3"/>
  <c r="G702" i="3"/>
  <c r="F702" i="3"/>
  <c r="E702" i="3"/>
  <c r="D702" i="3"/>
  <c r="C702" i="3"/>
  <c r="B702" i="3"/>
  <c r="A702" i="3"/>
  <c r="H701" i="3"/>
  <c r="G701" i="3"/>
  <c r="F701" i="3"/>
  <c r="E701" i="3"/>
  <c r="D701" i="3"/>
  <c r="C701" i="3"/>
  <c r="B701" i="3"/>
  <c r="A701" i="3"/>
  <c r="H700" i="3"/>
  <c r="G700" i="3"/>
  <c r="F700" i="3"/>
  <c r="E700" i="3"/>
  <c r="C700" i="3"/>
  <c r="B700" i="3"/>
  <c r="A700" i="3"/>
  <c r="H699" i="3"/>
  <c r="G699" i="3"/>
  <c r="F699" i="3"/>
  <c r="E699" i="3"/>
  <c r="C699" i="3"/>
  <c r="B699" i="3"/>
  <c r="A699" i="3"/>
  <c r="H698" i="3"/>
  <c r="G698" i="3"/>
  <c r="F698" i="3"/>
  <c r="E698" i="3"/>
  <c r="D698" i="3"/>
  <c r="C698" i="3"/>
  <c r="B698" i="3"/>
  <c r="A698" i="3"/>
  <c r="H697" i="3"/>
  <c r="G697" i="3"/>
  <c r="F697" i="3"/>
  <c r="E697" i="3"/>
  <c r="C697" i="3"/>
  <c r="B697" i="3"/>
  <c r="A697" i="3"/>
  <c r="H696" i="3"/>
  <c r="G696" i="3"/>
  <c r="F696" i="3"/>
  <c r="E696" i="3"/>
  <c r="C696" i="3"/>
  <c r="B696" i="3"/>
  <c r="A696" i="3"/>
  <c r="H695" i="3"/>
  <c r="G695" i="3"/>
  <c r="F695" i="3"/>
  <c r="E695" i="3"/>
  <c r="C695" i="3"/>
  <c r="B695" i="3"/>
  <c r="A695" i="3"/>
  <c r="H694" i="3"/>
  <c r="G694" i="3"/>
  <c r="F694" i="3"/>
  <c r="E694" i="3"/>
  <c r="C694" i="3"/>
  <c r="B694" i="3"/>
  <c r="A694" i="3"/>
  <c r="H693" i="3"/>
  <c r="G693" i="3"/>
  <c r="F693" i="3"/>
  <c r="E693" i="3"/>
  <c r="C693" i="3"/>
  <c r="B693" i="3"/>
  <c r="A693" i="3"/>
  <c r="H692" i="3"/>
  <c r="G692" i="3"/>
  <c r="F692" i="3"/>
  <c r="E692" i="3"/>
  <c r="C692" i="3"/>
  <c r="B692" i="3"/>
  <c r="A692" i="3"/>
  <c r="H691" i="3"/>
  <c r="G691" i="3"/>
  <c r="F691" i="3"/>
  <c r="E691" i="3"/>
  <c r="C691" i="3"/>
  <c r="B691" i="3"/>
  <c r="A691" i="3"/>
  <c r="H690" i="3"/>
  <c r="G690" i="3"/>
  <c r="F690" i="3"/>
  <c r="E690" i="3"/>
  <c r="B690" i="3"/>
  <c r="A690" i="3"/>
  <c r="H689" i="3"/>
  <c r="G689" i="3"/>
  <c r="F689" i="3"/>
  <c r="E689" i="3"/>
  <c r="B689" i="3"/>
  <c r="A689" i="3"/>
  <c r="H688" i="3"/>
  <c r="G688" i="3"/>
  <c r="F688" i="3"/>
  <c r="E688" i="3"/>
  <c r="C688" i="3"/>
  <c r="B688" i="3"/>
  <c r="A688" i="3"/>
  <c r="H687" i="3"/>
  <c r="G687" i="3"/>
  <c r="F687" i="3"/>
  <c r="E687" i="3"/>
  <c r="C687" i="3"/>
  <c r="B687" i="3"/>
  <c r="A687" i="3"/>
  <c r="H686" i="3"/>
  <c r="G686" i="3"/>
  <c r="F686" i="3"/>
  <c r="E686" i="3"/>
  <c r="C686" i="3"/>
  <c r="B686" i="3"/>
  <c r="A686" i="3"/>
  <c r="H685" i="3"/>
  <c r="G685" i="3"/>
  <c r="F685" i="3"/>
  <c r="E685" i="3"/>
  <c r="C685" i="3"/>
  <c r="B685" i="3"/>
  <c r="A685" i="3"/>
  <c r="H684" i="3"/>
  <c r="G684" i="3"/>
  <c r="F684" i="3"/>
  <c r="E684" i="3"/>
  <c r="A684" i="3"/>
  <c r="H683" i="3"/>
  <c r="G683" i="3"/>
  <c r="F683" i="3"/>
  <c r="E683" i="3"/>
  <c r="D683" i="3"/>
  <c r="C683" i="3"/>
  <c r="B683" i="3"/>
  <c r="A683" i="3"/>
  <c r="H682" i="3"/>
  <c r="G682" i="3"/>
  <c r="F682" i="3"/>
  <c r="E682" i="3"/>
  <c r="C682" i="3"/>
  <c r="B682" i="3"/>
  <c r="A682" i="3"/>
  <c r="H681" i="3"/>
  <c r="G681" i="3"/>
  <c r="F681" i="3"/>
  <c r="E681" i="3"/>
  <c r="C681" i="3"/>
  <c r="B681" i="3"/>
  <c r="A681" i="3"/>
  <c r="H680" i="3"/>
  <c r="G680" i="3"/>
  <c r="F680" i="3"/>
  <c r="E680" i="3"/>
  <c r="D680" i="3"/>
  <c r="C680" i="3"/>
  <c r="B680" i="3"/>
  <c r="A680" i="3"/>
  <c r="H679" i="3"/>
  <c r="G679" i="3"/>
  <c r="F679" i="3"/>
  <c r="E679" i="3"/>
  <c r="C679" i="3"/>
  <c r="B679" i="3"/>
  <c r="A679" i="3"/>
  <c r="H678" i="3"/>
  <c r="G678" i="3"/>
  <c r="F678" i="3"/>
  <c r="E678" i="3"/>
  <c r="D678" i="3"/>
  <c r="C678" i="3"/>
  <c r="B678" i="3"/>
  <c r="A678" i="3"/>
  <c r="H677" i="3"/>
  <c r="G677" i="3"/>
  <c r="F677" i="3"/>
  <c r="E677" i="3"/>
  <c r="C677" i="3"/>
  <c r="B677" i="3"/>
  <c r="A677" i="3"/>
  <c r="H676" i="3"/>
  <c r="G676" i="3"/>
  <c r="F676" i="3"/>
  <c r="E676" i="3"/>
  <c r="C676" i="3"/>
  <c r="B676" i="3"/>
  <c r="A676" i="3"/>
  <c r="H675" i="3"/>
  <c r="G675" i="3"/>
  <c r="F675" i="3"/>
  <c r="C675" i="3"/>
  <c r="B675" i="3"/>
  <c r="A675" i="3"/>
  <c r="H674" i="3"/>
  <c r="G674" i="3"/>
  <c r="F674" i="3"/>
  <c r="E674" i="3"/>
  <c r="A674" i="3"/>
  <c r="H673" i="3"/>
  <c r="G673" i="3"/>
  <c r="F673" i="3"/>
  <c r="E673" i="3"/>
  <c r="A673" i="3"/>
  <c r="H672" i="3"/>
  <c r="G672" i="3"/>
  <c r="F672" i="3"/>
  <c r="A672" i="3"/>
  <c r="H671" i="3"/>
  <c r="G671" i="3"/>
  <c r="F671" i="3"/>
  <c r="C671" i="3"/>
  <c r="B671" i="3"/>
  <c r="A671" i="3"/>
  <c r="H670" i="3"/>
  <c r="G670" i="3"/>
  <c r="F670" i="3"/>
  <c r="E670" i="3"/>
  <c r="C670" i="3"/>
  <c r="B670" i="3"/>
  <c r="A670" i="3"/>
  <c r="H669" i="3"/>
  <c r="G669" i="3"/>
  <c r="F669" i="3"/>
  <c r="E669" i="3"/>
  <c r="C669" i="3"/>
  <c r="B669" i="3"/>
  <c r="A669" i="3"/>
  <c r="H668" i="3"/>
  <c r="G668" i="3"/>
  <c r="F668" i="3"/>
  <c r="E668" i="3"/>
  <c r="C668" i="3"/>
  <c r="B668" i="3"/>
  <c r="A668" i="3"/>
  <c r="H667" i="3"/>
  <c r="G667" i="3"/>
  <c r="F667" i="3"/>
  <c r="E667" i="3"/>
  <c r="C667" i="3"/>
  <c r="B667" i="3"/>
  <c r="A667" i="3"/>
  <c r="H666" i="3"/>
  <c r="G666" i="3"/>
  <c r="F666" i="3"/>
  <c r="E666" i="3"/>
  <c r="D666" i="3"/>
  <c r="C666" i="3"/>
  <c r="B666" i="3"/>
  <c r="A666" i="3"/>
  <c r="H665" i="3"/>
  <c r="G665" i="3"/>
  <c r="F665" i="3"/>
  <c r="E665" i="3"/>
  <c r="D665" i="3"/>
  <c r="C665" i="3"/>
  <c r="B665" i="3"/>
  <c r="A665" i="3"/>
  <c r="H664" i="3"/>
  <c r="G664" i="3"/>
  <c r="F664" i="3"/>
  <c r="E664" i="3"/>
  <c r="D664" i="3"/>
  <c r="C664" i="3"/>
  <c r="B664" i="3"/>
  <c r="A664" i="3"/>
  <c r="H663" i="3"/>
  <c r="G663" i="3"/>
  <c r="F663" i="3"/>
  <c r="E663" i="3"/>
  <c r="C663" i="3"/>
  <c r="B663" i="3"/>
  <c r="A663" i="3"/>
  <c r="H662" i="3"/>
  <c r="G662" i="3"/>
  <c r="F662" i="3"/>
  <c r="E662" i="3"/>
  <c r="C662" i="3"/>
  <c r="A662" i="3"/>
  <c r="H661" i="3"/>
  <c r="G661" i="3"/>
  <c r="F661" i="3"/>
  <c r="E661" i="3"/>
  <c r="D661" i="3"/>
  <c r="C661" i="3"/>
  <c r="B661" i="3"/>
  <c r="A661" i="3"/>
  <c r="H660" i="3"/>
  <c r="G660" i="3"/>
  <c r="F660" i="3"/>
  <c r="A660" i="3"/>
  <c r="H659" i="3"/>
  <c r="G659" i="3"/>
  <c r="F659" i="3"/>
  <c r="A659" i="3"/>
  <c r="H658" i="3"/>
  <c r="G658" i="3"/>
  <c r="F658" i="3"/>
  <c r="A658" i="3"/>
  <c r="H657" i="3"/>
  <c r="G657" i="3"/>
  <c r="F657" i="3"/>
  <c r="C657" i="3"/>
  <c r="A657" i="3"/>
  <c r="H656" i="3"/>
  <c r="G656" i="3"/>
  <c r="F656" i="3"/>
  <c r="E656" i="3"/>
  <c r="B656" i="3"/>
  <c r="A656" i="3"/>
  <c r="H655" i="3"/>
  <c r="G655" i="3"/>
  <c r="F655" i="3"/>
  <c r="B655" i="3"/>
  <c r="A655" i="3"/>
  <c r="H654" i="3"/>
  <c r="G654" i="3"/>
  <c r="F654" i="3"/>
  <c r="E654" i="3"/>
  <c r="B654" i="3"/>
  <c r="A654" i="3"/>
  <c r="H653" i="3"/>
  <c r="G653" i="3"/>
  <c r="F653" i="3"/>
  <c r="A653" i="3"/>
  <c r="H652" i="3"/>
  <c r="G652" i="3"/>
  <c r="F652" i="3"/>
  <c r="E652" i="3"/>
  <c r="B652" i="3"/>
  <c r="A652" i="3"/>
  <c r="H651" i="3"/>
  <c r="G651" i="3"/>
  <c r="F651" i="3"/>
  <c r="E651" i="3"/>
  <c r="C651" i="3"/>
  <c r="B651" i="3"/>
  <c r="A651" i="3"/>
  <c r="H650" i="3"/>
  <c r="G650" i="3"/>
  <c r="F650" i="3"/>
  <c r="E650" i="3"/>
  <c r="B650" i="3"/>
  <c r="A650" i="3"/>
  <c r="H649" i="3"/>
  <c r="G649" i="3"/>
  <c r="F649" i="3"/>
  <c r="E649" i="3"/>
  <c r="B649" i="3"/>
  <c r="A649" i="3"/>
  <c r="H648" i="3"/>
  <c r="G648" i="3"/>
  <c r="F648" i="3"/>
  <c r="E648" i="3"/>
  <c r="A648" i="3"/>
  <c r="H647" i="3"/>
  <c r="G647" i="3"/>
  <c r="F647" i="3"/>
  <c r="E647" i="3"/>
  <c r="C647" i="3"/>
  <c r="B647" i="3"/>
  <c r="A647" i="3"/>
  <c r="H646" i="3"/>
  <c r="G646" i="3"/>
  <c r="F646" i="3"/>
  <c r="A646" i="3"/>
  <c r="H645" i="3"/>
  <c r="G645" i="3"/>
  <c r="F645" i="3"/>
  <c r="E645" i="3"/>
  <c r="D645" i="3"/>
  <c r="C645" i="3"/>
  <c r="B645" i="3"/>
  <c r="A645" i="3"/>
  <c r="H644" i="3"/>
  <c r="G644" i="3"/>
  <c r="F644" i="3"/>
  <c r="E644" i="3"/>
  <c r="D644" i="3"/>
  <c r="C644" i="3"/>
  <c r="B644" i="3"/>
  <c r="A644" i="3"/>
  <c r="H643" i="3"/>
  <c r="G643" i="3"/>
  <c r="F643" i="3"/>
  <c r="A643" i="3"/>
  <c r="H642" i="3"/>
  <c r="G642" i="3"/>
  <c r="F642" i="3"/>
  <c r="E642" i="3"/>
  <c r="C642" i="3"/>
  <c r="B642" i="3"/>
  <c r="A642" i="3"/>
  <c r="H641" i="3"/>
  <c r="G641" i="3"/>
  <c r="F641" i="3"/>
  <c r="A641" i="3"/>
  <c r="H640" i="3"/>
  <c r="G640" i="3"/>
  <c r="F640" i="3"/>
  <c r="E640" i="3"/>
  <c r="A640" i="3"/>
  <c r="H639" i="3"/>
  <c r="G639" i="3"/>
  <c r="F639" i="3"/>
  <c r="E639" i="3"/>
  <c r="B639" i="3"/>
  <c r="A639" i="3"/>
  <c r="E638" i="3"/>
  <c r="A638" i="3"/>
  <c r="H637" i="3"/>
  <c r="G637" i="3"/>
  <c r="F637" i="3"/>
  <c r="A637" i="3"/>
  <c r="H636" i="3"/>
  <c r="G636" i="3"/>
  <c r="F636" i="3"/>
  <c r="E636" i="3"/>
  <c r="D636" i="3"/>
  <c r="C636" i="3"/>
  <c r="B636" i="3"/>
  <c r="A636" i="3"/>
  <c r="H635" i="3"/>
  <c r="G635" i="3"/>
  <c r="F635" i="3"/>
  <c r="E635" i="3"/>
  <c r="A635" i="3"/>
  <c r="H634" i="3"/>
  <c r="G634" i="3"/>
  <c r="F634" i="3"/>
  <c r="A634" i="3"/>
  <c r="H633" i="3"/>
  <c r="G633" i="3"/>
  <c r="F633" i="3"/>
  <c r="E633" i="3"/>
  <c r="A633" i="3"/>
  <c r="H632" i="3"/>
  <c r="G632" i="3"/>
  <c r="F632" i="3"/>
  <c r="E632" i="3"/>
  <c r="C632" i="3"/>
  <c r="B632" i="3"/>
  <c r="A632" i="3"/>
  <c r="H631" i="3"/>
  <c r="G631" i="3"/>
  <c r="F631" i="3"/>
  <c r="E631" i="3"/>
  <c r="C631" i="3"/>
  <c r="B631" i="3"/>
  <c r="A631" i="3"/>
  <c r="H630" i="3"/>
  <c r="G630" i="3"/>
  <c r="F630" i="3"/>
  <c r="E630" i="3"/>
  <c r="C630" i="3"/>
  <c r="B630" i="3"/>
  <c r="A630" i="3"/>
  <c r="H629" i="3"/>
  <c r="G629" i="3"/>
  <c r="F629" i="3"/>
  <c r="E629" i="3"/>
  <c r="B629" i="3"/>
  <c r="A629" i="3"/>
  <c r="H628" i="3"/>
  <c r="G628" i="3"/>
  <c r="F628" i="3"/>
  <c r="E628" i="3"/>
  <c r="C628" i="3"/>
  <c r="B628" i="3"/>
  <c r="A628" i="3"/>
  <c r="H627" i="3"/>
  <c r="G627" i="3"/>
  <c r="F627" i="3"/>
  <c r="C627" i="3"/>
  <c r="B627" i="3"/>
  <c r="A627" i="3"/>
  <c r="H626" i="3"/>
  <c r="G626" i="3"/>
  <c r="F626" i="3"/>
  <c r="E626" i="3"/>
  <c r="C626" i="3"/>
  <c r="B626" i="3"/>
  <c r="A626" i="3"/>
  <c r="H625" i="3"/>
  <c r="G625" i="3"/>
  <c r="F625" i="3"/>
  <c r="E625" i="3"/>
  <c r="C625" i="3"/>
  <c r="B625" i="3"/>
  <c r="A625" i="3"/>
  <c r="H624" i="3"/>
  <c r="G624" i="3"/>
  <c r="F624" i="3"/>
  <c r="E624" i="3"/>
  <c r="C624" i="3"/>
  <c r="B624" i="3"/>
  <c r="A624" i="3"/>
  <c r="H623" i="3"/>
  <c r="G623" i="3"/>
  <c r="F623" i="3"/>
  <c r="E623" i="3"/>
  <c r="D623" i="3"/>
  <c r="C623" i="3"/>
  <c r="B623" i="3"/>
  <c r="A623" i="3"/>
  <c r="H622" i="3"/>
  <c r="G622" i="3"/>
  <c r="F622" i="3"/>
  <c r="E622" i="3"/>
  <c r="C622" i="3"/>
  <c r="B622" i="3"/>
  <c r="A622" i="3"/>
  <c r="H621" i="3"/>
  <c r="G621" i="3"/>
  <c r="F621" i="3"/>
  <c r="C621" i="3"/>
  <c r="B621" i="3"/>
  <c r="A621" i="3"/>
  <c r="H620" i="3"/>
  <c r="G620" i="3"/>
  <c r="F620" i="3"/>
  <c r="E620" i="3"/>
  <c r="C620" i="3"/>
  <c r="B620" i="3"/>
  <c r="A620" i="3"/>
  <c r="F619" i="3"/>
  <c r="E619" i="3"/>
  <c r="A619" i="3"/>
  <c r="F618" i="3"/>
  <c r="E618" i="3"/>
  <c r="A618" i="3"/>
  <c r="F617" i="3"/>
  <c r="E617" i="3"/>
  <c r="A617" i="3"/>
  <c r="H616" i="3"/>
  <c r="G616" i="3"/>
  <c r="F616" i="3"/>
  <c r="E616" i="3"/>
  <c r="C616" i="3"/>
  <c r="B616" i="3"/>
  <c r="A616" i="3"/>
  <c r="H615" i="3"/>
  <c r="G615" i="3"/>
  <c r="F615" i="3"/>
  <c r="A615" i="3"/>
  <c r="H614" i="3"/>
  <c r="G614" i="3"/>
  <c r="F614" i="3"/>
  <c r="A614" i="3"/>
  <c r="H613" i="3"/>
  <c r="G613" i="3"/>
  <c r="F613" i="3"/>
  <c r="E613" i="3"/>
  <c r="C613" i="3"/>
  <c r="B613" i="3"/>
  <c r="A613" i="3"/>
  <c r="H612" i="3"/>
  <c r="G612" i="3"/>
  <c r="F612" i="3"/>
  <c r="E612" i="3"/>
  <c r="C612" i="3"/>
  <c r="B612" i="3"/>
  <c r="A612" i="3"/>
  <c r="H611" i="3"/>
  <c r="G611" i="3"/>
  <c r="F611" i="3"/>
  <c r="E611" i="3"/>
  <c r="D611" i="3"/>
  <c r="C611" i="3"/>
  <c r="B611" i="3"/>
  <c r="A611" i="3"/>
  <c r="H610" i="3"/>
  <c r="G610" i="3"/>
  <c r="F610" i="3"/>
  <c r="A610" i="3"/>
  <c r="H609" i="3"/>
  <c r="G609" i="3"/>
  <c r="F609" i="3"/>
  <c r="E609" i="3"/>
  <c r="A609" i="3"/>
  <c r="H608" i="3"/>
  <c r="G608" i="3"/>
  <c r="F608" i="3"/>
  <c r="E608" i="3"/>
  <c r="D608" i="3"/>
  <c r="C608" i="3"/>
  <c r="B608" i="3"/>
  <c r="A608" i="3"/>
  <c r="H607" i="3"/>
  <c r="G607" i="3"/>
  <c r="F607" i="3"/>
  <c r="E607" i="3"/>
  <c r="D607" i="3"/>
  <c r="C607" i="3"/>
  <c r="B607" i="3"/>
  <c r="A607" i="3"/>
  <c r="H606" i="3"/>
  <c r="G606" i="3"/>
  <c r="F606" i="3"/>
  <c r="E606" i="3"/>
  <c r="C606" i="3"/>
  <c r="B606" i="3"/>
  <c r="A606" i="3"/>
  <c r="H605" i="3"/>
  <c r="G605" i="3"/>
  <c r="F605" i="3"/>
  <c r="E605" i="3"/>
  <c r="C605" i="3"/>
  <c r="B605" i="3"/>
  <c r="A605" i="3"/>
  <c r="H604" i="3"/>
  <c r="G604" i="3"/>
  <c r="F604" i="3"/>
  <c r="E604" i="3"/>
  <c r="C604" i="3"/>
  <c r="B604" i="3"/>
  <c r="A604" i="3"/>
  <c r="H603" i="3"/>
  <c r="G603" i="3"/>
  <c r="F603" i="3"/>
  <c r="C603" i="3"/>
  <c r="B603" i="3"/>
  <c r="A603" i="3"/>
  <c r="H602" i="3"/>
  <c r="G602" i="3"/>
  <c r="F602" i="3"/>
  <c r="E602" i="3"/>
  <c r="B602" i="3"/>
  <c r="A602" i="3"/>
  <c r="H601" i="3"/>
  <c r="G601" i="3"/>
  <c r="F601" i="3"/>
  <c r="E601" i="3"/>
  <c r="C601" i="3"/>
  <c r="B601" i="3"/>
  <c r="A601" i="3"/>
  <c r="H600" i="3"/>
  <c r="G600" i="3"/>
  <c r="F600" i="3"/>
  <c r="E600" i="3"/>
  <c r="C600" i="3"/>
  <c r="B600" i="3"/>
  <c r="A600" i="3"/>
  <c r="H599" i="3"/>
  <c r="G599" i="3"/>
  <c r="F599" i="3"/>
  <c r="E599" i="3"/>
  <c r="C599" i="3"/>
  <c r="B599" i="3"/>
  <c r="A599" i="3"/>
  <c r="H598" i="3"/>
  <c r="G598" i="3"/>
  <c r="F598" i="3"/>
  <c r="E598" i="3"/>
  <c r="C598" i="3"/>
  <c r="B598" i="3"/>
  <c r="A598" i="3"/>
  <c r="H597" i="3"/>
  <c r="G597" i="3"/>
  <c r="F597" i="3"/>
  <c r="E597" i="3"/>
  <c r="A597" i="3"/>
  <c r="H596" i="3"/>
  <c r="G596" i="3"/>
  <c r="F596" i="3"/>
  <c r="E596" i="3"/>
  <c r="B596" i="3"/>
  <c r="A596" i="3"/>
  <c r="H595" i="3"/>
  <c r="G595" i="3"/>
  <c r="F595" i="3"/>
  <c r="E595" i="3"/>
  <c r="C595" i="3"/>
  <c r="B595" i="3"/>
  <c r="A595" i="3"/>
  <c r="H594" i="3"/>
  <c r="G594" i="3"/>
  <c r="F594" i="3"/>
  <c r="E594" i="3"/>
  <c r="C594" i="3"/>
  <c r="B594" i="3"/>
  <c r="A594" i="3"/>
  <c r="H593" i="3"/>
  <c r="G593" i="3"/>
  <c r="F593" i="3"/>
  <c r="E593" i="3"/>
  <c r="C593" i="3"/>
  <c r="B593" i="3"/>
  <c r="A593" i="3"/>
  <c r="H592" i="3"/>
  <c r="G592" i="3"/>
  <c r="F592" i="3"/>
  <c r="E592" i="3"/>
  <c r="C592" i="3"/>
  <c r="B592" i="3"/>
  <c r="A592" i="3"/>
  <c r="H591" i="3"/>
  <c r="G591" i="3"/>
  <c r="F591" i="3"/>
  <c r="E591" i="3"/>
  <c r="C591" i="3"/>
  <c r="B591" i="3"/>
  <c r="A591" i="3"/>
  <c r="H590" i="3"/>
  <c r="G590" i="3"/>
  <c r="F590" i="3"/>
  <c r="E590" i="3"/>
  <c r="A590" i="3"/>
  <c r="H589" i="3"/>
  <c r="G589" i="3"/>
  <c r="F589" i="3"/>
  <c r="E589" i="3"/>
  <c r="A589" i="3"/>
  <c r="H588" i="3"/>
  <c r="G588" i="3"/>
  <c r="F588" i="3"/>
  <c r="E588" i="3"/>
  <c r="A588" i="3"/>
  <c r="H587" i="3"/>
  <c r="G587" i="3"/>
  <c r="F587" i="3"/>
  <c r="E587" i="3"/>
  <c r="B587" i="3"/>
  <c r="A587" i="3"/>
  <c r="H586" i="3"/>
  <c r="G586" i="3"/>
  <c r="F586" i="3"/>
  <c r="E586" i="3"/>
  <c r="C586" i="3"/>
  <c r="B586" i="3"/>
  <c r="A586" i="3"/>
  <c r="H585" i="3"/>
  <c r="G585" i="3"/>
  <c r="F585" i="3"/>
  <c r="A585" i="3"/>
  <c r="H584" i="3"/>
  <c r="G584" i="3"/>
  <c r="F584" i="3"/>
  <c r="E584" i="3"/>
  <c r="D584" i="3"/>
  <c r="C584" i="3"/>
  <c r="B584" i="3"/>
  <c r="A584" i="3"/>
  <c r="H583" i="3"/>
  <c r="G583" i="3"/>
  <c r="F583" i="3"/>
  <c r="E583" i="3"/>
  <c r="C583" i="3"/>
  <c r="A583" i="3"/>
  <c r="H582" i="3"/>
  <c r="G582" i="3"/>
  <c r="F582" i="3"/>
  <c r="E582" i="3"/>
  <c r="D582" i="3"/>
  <c r="C582" i="3"/>
  <c r="B582" i="3"/>
  <c r="A582" i="3"/>
  <c r="H581" i="3"/>
  <c r="G581" i="3"/>
  <c r="F581" i="3"/>
  <c r="E581" i="3"/>
  <c r="C581" i="3"/>
  <c r="B581" i="3"/>
  <c r="A581" i="3"/>
  <c r="H580" i="3"/>
  <c r="G580" i="3"/>
  <c r="F580" i="3"/>
  <c r="E580" i="3"/>
  <c r="C580" i="3"/>
  <c r="B580" i="3"/>
  <c r="A580" i="3"/>
  <c r="H579" i="3"/>
  <c r="G579" i="3"/>
  <c r="F579" i="3"/>
  <c r="E579" i="3"/>
  <c r="C579" i="3"/>
  <c r="B579" i="3"/>
  <c r="A579" i="3"/>
  <c r="H578" i="3"/>
  <c r="G578" i="3"/>
  <c r="F578" i="3"/>
  <c r="E578" i="3"/>
  <c r="C578" i="3"/>
  <c r="B578" i="3"/>
  <c r="A578" i="3"/>
  <c r="H577" i="3"/>
  <c r="G577" i="3"/>
  <c r="F577" i="3"/>
  <c r="E577" i="3"/>
  <c r="D577" i="3"/>
  <c r="C577" i="3"/>
  <c r="B577" i="3"/>
  <c r="A577" i="3"/>
  <c r="H576" i="3"/>
  <c r="G576" i="3"/>
  <c r="F576" i="3"/>
  <c r="E576" i="3"/>
  <c r="B576" i="3"/>
  <c r="A576" i="3"/>
  <c r="H575" i="3"/>
  <c r="G575" i="3"/>
  <c r="F575" i="3"/>
  <c r="E575" i="3"/>
  <c r="B575" i="3"/>
  <c r="A575" i="3"/>
  <c r="H574" i="3"/>
  <c r="G574" i="3"/>
  <c r="F574" i="3"/>
  <c r="A574" i="3"/>
  <c r="H573" i="3"/>
  <c r="G573" i="3"/>
  <c r="F573" i="3"/>
  <c r="E573" i="3"/>
  <c r="C573" i="3"/>
  <c r="B573" i="3"/>
  <c r="A573" i="3"/>
  <c r="H572" i="3"/>
  <c r="G572" i="3"/>
  <c r="F572" i="3"/>
  <c r="E572" i="3"/>
  <c r="C572" i="3"/>
  <c r="B572" i="3"/>
  <c r="A572" i="3"/>
  <c r="H571" i="3"/>
  <c r="G571" i="3"/>
  <c r="F571" i="3"/>
  <c r="A571" i="3"/>
  <c r="H570" i="3"/>
  <c r="G570" i="3"/>
  <c r="F570" i="3"/>
  <c r="C570" i="3"/>
  <c r="B570" i="3"/>
  <c r="A570" i="3"/>
  <c r="H569" i="3"/>
  <c r="G569" i="3"/>
  <c r="F569" i="3"/>
  <c r="B569" i="3"/>
  <c r="A569" i="3"/>
  <c r="H568" i="3"/>
  <c r="G568" i="3"/>
  <c r="F568" i="3"/>
  <c r="A568" i="3"/>
  <c r="H567" i="3"/>
  <c r="G567" i="3"/>
  <c r="F567" i="3"/>
  <c r="A567" i="3"/>
  <c r="H566" i="3"/>
  <c r="G566" i="3"/>
  <c r="F566" i="3"/>
  <c r="A566" i="3"/>
  <c r="H565" i="3"/>
  <c r="G565" i="3"/>
  <c r="F565" i="3"/>
  <c r="E565" i="3"/>
  <c r="C565" i="3"/>
  <c r="A565" i="3"/>
  <c r="H564" i="3"/>
  <c r="G564" i="3"/>
  <c r="F564" i="3"/>
  <c r="E564" i="3"/>
  <c r="C564" i="3"/>
  <c r="A564" i="3"/>
  <c r="H563" i="3"/>
  <c r="G563" i="3"/>
  <c r="F563" i="3"/>
  <c r="E563" i="3"/>
  <c r="C563" i="3"/>
  <c r="B563" i="3"/>
  <c r="A563" i="3"/>
  <c r="H562" i="3"/>
  <c r="G562" i="3"/>
  <c r="F562" i="3"/>
  <c r="B562" i="3"/>
  <c r="A562" i="3"/>
  <c r="H561" i="3"/>
  <c r="G561" i="3"/>
  <c r="F561" i="3"/>
  <c r="E561" i="3"/>
  <c r="B561" i="3"/>
  <c r="A561" i="3"/>
  <c r="H560" i="3"/>
  <c r="G560" i="3"/>
  <c r="F560" i="3"/>
  <c r="E560" i="3"/>
  <c r="C560" i="3"/>
  <c r="B560" i="3"/>
  <c r="A560" i="3"/>
  <c r="H559" i="3"/>
  <c r="G559" i="3"/>
  <c r="F559" i="3"/>
  <c r="A559" i="3"/>
  <c r="H558" i="3"/>
  <c r="G558" i="3"/>
  <c r="F558" i="3"/>
  <c r="A558" i="3"/>
  <c r="H557" i="3"/>
  <c r="G557" i="3"/>
  <c r="F557" i="3"/>
  <c r="E557" i="3"/>
  <c r="A557" i="3"/>
  <c r="H556" i="3"/>
  <c r="G556" i="3"/>
  <c r="F556" i="3"/>
  <c r="A556" i="3"/>
  <c r="H555" i="3"/>
  <c r="G555" i="3"/>
  <c r="F555" i="3"/>
  <c r="E555" i="3"/>
  <c r="C555" i="3"/>
  <c r="B555" i="3"/>
  <c r="A555" i="3"/>
  <c r="H554" i="3"/>
  <c r="G554" i="3"/>
  <c r="F554" i="3"/>
  <c r="A554" i="3"/>
  <c r="H553" i="3"/>
  <c r="G553" i="3"/>
  <c r="F553" i="3"/>
  <c r="E553" i="3"/>
  <c r="A553" i="3"/>
  <c r="H552" i="3"/>
  <c r="G552" i="3"/>
  <c r="F552" i="3"/>
  <c r="E552" i="3"/>
  <c r="D552" i="3"/>
  <c r="C552" i="3"/>
  <c r="B552" i="3"/>
  <c r="A552" i="3"/>
  <c r="H551" i="3"/>
  <c r="G551" i="3"/>
  <c r="F551" i="3"/>
  <c r="E551" i="3"/>
  <c r="D551" i="3"/>
  <c r="C551" i="3"/>
  <c r="B551" i="3"/>
  <c r="A551" i="3"/>
  <c r="H550" i="3"/>
  <c r="G550" i="3"/>
  <c r="F550" i="3"/>
  <c r="A550" i="3"/>
  <c r="H549" i="3"/>
  <c r="G549" i="3"/>
  <c r="F549" i="3"/>
  <c r="E549" i="3"/>
  <c r="B549" i="3"/>
  <c r="A549" i="3"/>
  <c r="H548" i="3"/>
  <c r="G548" i="3"/>
  <c r="F548" i="3"/>
  <c r="A548" i="3"/>
  <c r="H547" i="3"/>
  <c r="G547" i="3"/>
  <c r="F547" i="3"/>
  <c r="E547" i="3"/>
  <c r="C547" i="3"/>
  <c r="B547" i="3"/>
  <c r="A547" i="3"/>
  <c r="H546" i="3"/>
  <c r="G546" i="3"/>
  <c r="F546" i="3"/>
  <c r="E546" i="3"/>
  <c r="C546" i="3"/>
  <c r="B546" i="3"/>
  <c r="A546" i="3"/>
  <c r="H545" i="3"/>
  <c r="G545" i="3"/>
  <c r="F545" i="3"/>
  <c r="E545" i="3"/>
  <c r="C545" i="3"/>
  <c r="B545" i="3"/>
  <c r="A545" i="3"/>
  <c r="H544" i="3"/>
  <c r="G544" i="3"/>
  <c r="F544" i="3"/>
  <c r="E544" i="3"/>
  <c r="C544" i="3"/>
  <c r="B544" i="3"/>
  <c r="A544" i="3"/>
  <c r="H543" i="3"/>
  <c r="G543" i="3"/>
  <c r="F543" i="3"/>
  <c r="E543" i="3"/>
  <c r="D543" i="3"/>
  <c r="C543" i="3"/>
  <c r="B543" i="3"/>
  <c r="A543" i="3"/>
  <c r="H542" i="3"/>
  <c r="G542" i="3"/>
  <c r="F542" i="3"/>
  <c r="A542" i="3"/>
  <c r="H541" i="3"/>
  <c r="G541" i="3"/>
  <c r="F541" i="3"/>
  <c r="A541" i="3"/>
  <c r="H540" i="3"/>
  <c r="G540" i="3"/>
  <c r="F540" i="3"/>
  <c r="E540" i="3"/>
  <c r="D540" i="3"/>
  <c r="C540" i="3"/>
  <c r="B540" i="3"/>
  <c r="A540" i="3"/>
  <c r="H539" i="3"/>
  <c r="G539" i="3"/>
  <c r="F539" i="3"/>
  <c r="A539" i="3"/>
  <c r="H538" i="3"/>
  <c r="G538" i="3"/>
  <c r="F538" i="3"/>
  <c r="C538" i="3"/>
  <c r="A538" i="3"/>
  <c r="H537" i="3"/>
  <c r="G537" i="3"/>
  <c r="F537" i="3"/>
  <c r="E537" i="3"/>
  <c r="C537" i="3"/>
  <c r="B537" i="3"/>
  <c r="A537" i="3"/>
  <c r="H536" i="3"/>
  <c r="G536" i="3"/>
  <c r="F536" i="3"/>
  <c r="E536" i="3"/>
  <c r="C536" i="3"/>
  <c r="B536" i="3"/>
  <c r="A536" i="3"/>
  <c r="H535" i="3"/>
  <c r="F535" i="3"/>
  <c r="E535" i="3"/>
  <c r="B535" i="3"/>
  <c r="A535" i="3"/>
  <c r="H534" i="3"/>
  <c r="G534" i="3"/>
  <c r="F534" i="3"/>
  <c r="E534" i="3"/>
  <c r="D534" i="3"/>
  <c r="C534" i="3"/>
  <c r="B534" i="3"/>
  <c r="A534" i="3"/>
  <c r="H533" i="3"/>
  <c r="G533" i="3"/>
  <c r="F533" i="3"/>
  <c r="E533" i="3"/>
  <c r="D533" i="3"/>
  <c r="C533" i="3"/>
  <c r="B533" i="3"/>
  <c r="A533" i="3"/>
  <c r="H532" i="3"/>
  <c r="G532" i="3"/>
  <c r="F532" i="3"/>
  <c r="E532" i="3"/>
  <c r="C532" i="3"/>
  <c r="B532" i="3"/>
  <c r="A532" i="3"/>
  <c r="H531" i="3"/>
  <c r="G531" i="3"/>
  <c r="F531" i="3"/>
  <c r="A531" i="3"/>
  <c r="H530" i="3"/>
  <c r="G530" i="3"/>
  <c r="F530" i="3"/>
  <c r="E530" i="3"/>
  <c r="A530" i="3"/>
  <c r="H529" i="3"/>
  <c r="G529" i="3"/>
  <c r="F529" i="3"/>
  <c r="E529" i="3"/>
  <c r="B529" i="3"/>
  <c r="A529" i="3"/>
  <c r="H528" i="3"/>
  <c r="G528" i="3"/>
  <c r="F528" i="3"/>
  <c r="A528" i="3"/>
  <c r="H527" i="3"/>
  <c r="G527" i="3"/>
  <c r="F527" i="3"/>
  <c r="E527" i="3"/>
  <c r="A527" i="3"/>
  <c r="H526" i="3"/>
  <c r="G526" i="3"/>
  <c r="F526" i="3"/>
  <c r="A526" i="3"/>
  <c r="H525" i="3"/>
  <c r="G525" i="3"/>
  <c r="F525" i="3"/>
  <c r="E525" i="3"/>
  <c r="C525" i="3"/>
  <c r="A525" i="3"/>
  <c r="H524" i="3"/>
  <c r="G524" i="3"/>
  <c r="F524" i="3"/>
  <c r="E524" i="3"/>
  <c r="C524" i="3"/>
  <c r="B524" i="3"/>
  <c r="A524" i="3"/>
  <c r="H523" i="3"/>
  <c r="G523" i="3"/>
  <c r="F523" i="3"/>
  <c r="E523" i="3"/>
  <c r="A523" i="3"/>
  <c r="H522" i="3"/>
  <c r="G522" i="3"/>
  <c r="F522" i="3"/>
  <c r="E522" i="3"/>
  <c r="C522" i="3"/>
  <c r="B522" i="3"/>
  <c r="A522" i="3"/>
  <c r="H521" i="3"/>
  <c r="G521" i="3"/>
  <c r="F521" i="3"/>
  <c r="E521" i="3"/>
  <c r="C521" i="3"/>
  <c r="B521" i="3"/>
  <c r="A521" i="3"/>
  <c r="H520" i="3"/>
  <c r="G520" i="3"/>
  <c r="F520" i="3"/>
  <c r="E520" i="3"/>
  <c r="A520" i="3"/>
  <c r="H519" i="3"/>
  <c r="G519" i="3"/>
  <c r="F519" i="3"/>
  <c r="E519" i="3"/>
  <c r="D519" i="3"/>
  <c r="C519" i="3"/>
  <c r="B519" i="3"/>
  <c r="A519" i="3"/>
  <c r="H518" i="3"/>
  <c r="G518" i="3"/>
  <c r="F518" i="3"/>
  <c r="E518" i="3"/>
  <c r="D518" i="3"/>
  <c r="C518" i="3"/>
  <c r="B518" i="3"/>
  <c r="A518" i="3"/>
  <c r="H517" i="3"/>
  <c r="G517" i="3"/>
  <c r="F517" i="3"/>
  <c r="E517" i="3"/>
  <c r="C517" i="3"/>
  <c r="B517" i="3"/>
  <c r="A517" i="3"/>
  <c r="H516" i="3"/>
  <c r="G516" i="3"/>
  <c r="F516" i="3"/>
  <c r="E516" i="3"/>
  <c r="C516" i="3"/>
  <c r="B516" i="3"/>
  <c r="A516" i="3"/>
  <c r="H515" i="3"/>
  <c r="G515" i="3"/>
  <c r="F515" i="3"/>
  <c r="E515" i="3"/>
  <c r="D515" i="3"/>
  <c r="C515" i="3"/>
  <c r="B515" i="3"/>
  <c r="A515" i="3"/>
  <c r="H514" i="3"/>
  <c r="G514" i="3"/>
  <c r="F514" i="3"/>
  <c r="E514" i="3"/>
  <c r="C514" i="3"/>
  <c r="B514" i="3"/>
  <c r="A514" i="3"/>
  <c r="H513" i="3"/>
  <c r="G513" i="3"/>
  <c r="F513" i="3"/>
  <c r="E513" i="3"/>
  <c r="C513" i="3"/>
  <c r="B513" i="3"/>
  <c r="A513" i="3"/>
  <c r="H512" i="3"/>
  <c r="G512" i="3"/>
  <c r="F512" i="3"/>
  <c r="E512" i="3"/>
  <c r="C512" i="3"/>
  <c r="B512" i="3"/>
  <c r="A512" i="3"/>
  <c r="H511" i="3"/>
  <c r="G511" i="3"/>
  <c r="F511" i="3"/>
  <c r="A511" i="3"/>
  <c r="H510" i="3"/>
  <c r="G510" i="3"/>
  <c r="F510" i="3"/>
  <c r="E510" i="3"/>
  <c r="C510" i="3"/>
  <c r="B510" i="3"/>
  <c r="A510" i="3"/>
  <c r="H509" i="3"/>
  <c r="G509" i="3"/>
  <c r="F509" i="3"/>
  <c r="E509" i="3"/>
  <c r="C509" i="3"/>
  <c r="B509" i="3"/>
  <c r="A509" i="3"/>
  <c r="H508" i="3"/>
  <c r="G508" i="3"/>
  <c r="F508" i="3"/>
  <c r="E508" i="3"/>
  <c r="C508" i="3"/>
  <c r="B508" i="3"/>
  <c r="A508" i="3"/>
  <c r="H507" i="3"/>
  <c r="G507" i="3"/>
  <c r="F507" i="3"/>
  <c r="E507" i="3"/>
  <c r="D507" i="3"/>
  <c r="C507" i="3"/>
  <c r="B507" i="3"/>
  <c r="A507" i="3"/>
  <c r="H506" i="3"/>
  <c r="G506" i="3"/>
  <c r="F506" i="3"/>
  <c r="E506" i="3"/>
  <c r="C506" i="3"/>
  <c r="B506" i="3"/>
  <c r="A506" i="3"/>
  <c r="H505" i="3"/>
  <c r="G505" i="3"/>
  <c r="F505" i="3"/>
  <c r="E505" i="3"/>
  <c r="C505" i="3"/>
  <c r="B505" i="3"/>
  <c r="A505" i="3"/>
  <c r="H504" i="3"/>
  <c r="G504" i="3"/>
  <c r="F504" i="3"/>
  <c r="E504" i="3"/>
  <c r="C504" i="3"/>
  <c r="B504" i="3"/>
  <c r="A504" i="3"/>
  <c r="H503" i="3"/>
  <c r="G503" i="3"/>
  <c r="F503" i="3"/>
  <c r="E503" i="3"/>
  <c r="A503" i="3"/>
  <c r="H502" i="3"/>
  <c r="G502" i="3"/>
  <c r="F502" i="3"/>
  <c r="E502" i="3"/>
  <c r="C502" i="3"/>
  <c r="B502" i="3"/>
  <c r="A502" i="3"/>
  <c r="H501" i="3"/>
  <c r="G501" i="3"/>
  <c r="F501" i="3"/>
  <c r="E501" i="3"/>
  <c r="B501" i="3"/>
  <c r="A501" i="3"/>
  <c r="H500" i="3"/>
  <c r="G500" i="3"/>
  <c r="F500" i="3"/>
  <c r="E500" i="3"/>
  <c r="C500" i="3"/>
  <c r="B500" i="3"/>
  <c r="A500" i="3"/>
  <c r="H499" i="3"/>
  <c r="G499" i="3"/>
  <c r="F499" i="3"/>
  <c r="E499" i="3"/>
  <c r="C499" i="3"/>
  <c r="B499" i="3"/>
  <c r="A499" i="3"/>
  <c r="H498" i="3"/>
  <c r="G498" i="3"/>
  <c r="F498" i="3"/>
  <c r="E498" i="3"/>
  <c r="C498" i="3"/>
  <c r="B498" i="3"/>
  <c r="A498" i="3"/>
  <c r="H497" i="3"/>
  <c r="G497" i="3"/>
  <c r="F497" i="3"/>
  <c r="E497" i="3"/>
  <c r="C497" i="3"/>
  <c r="B497" i="3"/>
  <c r="A497" i="3"/>
  <c r="H496" i="3"/>
  <c r="G496" i="3"/>
  <c r="F496" i="3"/>
  <c r="E496" i="3"/>
  <c r="C496" i="3"/>
  <c r="B496" i="3"/>
  <c r="A496" i="3"/>
  <c r="H495" i="3"/>
  <c r="G495" i="3"/>
  <c r="F495" i="3"/>
  <c r="E495" i="3"/>
  <c r="A495" i="3"/>
  <c r="H494" i="3"/>
  <c r="G494" i="3"/>
  <c r="F494" i="3"/>
  <c r="E494" i="3"/>
  <c r="C494" i="3"/>
  <c r="B494" i="3"/>
  <c r="A494" i="3"/>
  <c r="H493" i="3"/>
  <c r="G493" i="3"/>
  <c r="F493" i="3"/>
  <c r="A493" i="3"/>
  <c r="H492" i="3"/>
  <c r="G492" i="3"/>
  <c r="F492" i="3"/>
  <c r="A492" i="3"/>
  <c r="H491" i="3"/>
  <c r="G491" i="3"/>
  <c r="F491" i="3"/>
  <c r="E491" i="3"/>
  <c r="C491" i="3"/>
  <c r="B491" i="3"/>
  <c r="A491" i="3"/>
  <c r="H490" i="3"/>
  <c r="G490" i="3"/>
  <c r="F490" i="3"/>
  <c r="E490" i="3"/>
  <c r="C490" i="3"/>
  <c r="B490" i="3"/>
  <c r="A490" i="3"/>
  <c r="H489" i="3"/>
  <c r="G489" i="3"/>
  <c r="F489" i="3"/>
  <c r="E489" i="3"/>
  <c r="C489" i="3"/>
  <c r="B489" i="3"/>
  <c r="A489" i="3"/>
  <c r="H488" i="3"/>
  <c r="G488" i="3"/>
  <c r="F488" i="3"/>
  <c r="E488" i="3"/>
  <c r="A488" i="3"/>
  <c r="H487" i="3"/>
  <c r="G487" i="3"/>
  <c r="F487" i="3"/>
  <c r="E487" i="3"/>
  <c r="C487" i="3"/>
  <c r="B487" i="3"/>
  <c r="A487" i="3"/>
  <c r="H486" i="3"/>
  <c r="G486" i="3"/>
  <c r="F486" i="3"/>
  <c r="C486" i="3"/>
  <c r="B486" i="3"/>
  <c r="A486" i="3"/>
  <c r="H485" i="3"/>
  <c r="G485" i="3"/>
  <c r="F485" i="3"/>
  <c r="E485" i="3"/>
  <c r="D485" i="3"/>
  <c r="C485" i="3"/>
  <c r="B485" i="3"/>
  <c r="A485" i="3"/>
  <c r="H484" i="3"/>
  <c r="G484" i="3"/>
  <c r="F484" i="3"/>
  <c r="E484" i="3"/>
  <c r="C484" i="3"/>
  <c r="B484" i="3"/>
  <c r="A484" i="3"/>
  <c r="H483" i="3"/>
  <c r="G483" i="3"/>
  <c r="F483" i="3"/>
  <c r="C483" i="3"/>
  <c r="B483" i="3"/>
  <c r="A483" i="3"/>
  <c r="H482" i="3"/>
  <c r="G482" i="3"/>
  <c r="F482" i="3"/>
  <c r="E482" i="3"/>
  <c r="C482" i="3"/>
  <c r="B482" i="3"/>
  <c r="A482" i="3"/>
  <c r="H481" i="3"/>
  <c r="G481" i="3"/>
  <c r="F481" i="3"/>
  <c r="E481" i="3"/>
  <c r="C481" i="3"/>
  <c r="B481" i="3"/>
  <c r="A481" i="3"/>
  <c r="H480" i="3"/>
  <c r="G480" i="3"/>
  <c r="F480" i="3"/>
  <c r="E480" i="3"/>
  <c r="C480" i="3"/>
  <c r="B480" i="3"/>
  <c r="A480" i="3"/>
  <c r="H479" i="3"/>
  <c r="G479" i="3"/>
  <c r="F479" i="3"/>
  <c r="E479" i="3"/>
  <c r="C479" i="3"/>
  <c r="B479" i="3"/>
  <c r="A479" i="3"/>
  <c r="H478" i="3"/>
  <c r="G478" i="3"/>
  <c r="F478" i="3"/>
  <c r="E478" i="3"/>
  <c r="D478" i="3"/>
  <c r="C478" i="3"/>
  <c r="B478" i="3"/>
  <c r="A478" i="3"/>
  <c r="H477" i="3"/>
  <c r="G477" i="3"/>
  <c r="F477" i="3"/>
  <c r="E477" i="3"/>
  <c r="A477" i="3"/>
  <c r="H476" i="3"/>
  <c r="G476" i="3"/>
  <c r="F476" i="3"/>
  <c r="C476" i="3"/>
  <c r="A476" i="3"/>
  <c r="H475" i="3"/>
  <c r="G475" i="3"/>
  <c r="F475" i="3"/>
  <c r="E475" i="3"/>
  <c r="C475" i="3"/>
  <c r="B475" i="3"/>
  <c r="A475" i="3"/>
  <c r="H474" i="3"/>
  <c r="G474" i="3"/>
  <c r="F474" i="3"/>
  <c r="E474" i="3"/>
  <c r="A474" i="3"/>
  <c r="H473" i="3"/>
  <c r="G473" i="3"/>
  <c r="F473" i="3"/>
  <c r="E473" i="3"/>
  <c r="A473" i="3"/>
  <c r="H472" i="3"/>
  <c r="G472" i="3"/>
  <c r="F472" i="3"/>
  <c r="E472" i="3"/>
  <c r="C472" i="3"/>
  <c r="B472" i="3"/>
  <c r="A472" i="3"/>
  <c r="H471" i="3"/>
  <c r="G471" i="3"/>
  <c r="F471" i="3"/>
  <c r="E471" i="3"/>
  <c r="C471" i="3"/>
  <c r="B471" i="3"/>
  <c r="A471" i="3"/>
  <c r="H470" i="3"/>
  <c r="G470" i="3"/>
  <c r="F470" i="3"/>
  <c r="E470" i="3"/>
  <c r="C470" i="3"/>
  <c r="B470" i="3"/>
  <c r="A470" i="3"/>
  <c r="H469" i="3"/>
  <c r="G469" i="3"/>
  <c r="F469" i="3"/>
  <c r="E469" i="3"/>
  <c r="C469" i="3"/>
  <c r="B469" i="3"/>
  <c r="A469" i="3"/>
  <c r="H468" i="3"/>
  <c r="G468" i="3"/>
  <c r="F468" i="3"/>
  <c r="E468" i="3"/>
  <c r="B468" i="3"/>
  <c r="A468" i="3"/>
  <c r="H467" i="3"/>
  <c r="G467" i="3"/>
  <c r="F467" i="3"/>
  <c r="E467" i="3"/>
  <c r="C467" i="3"/>
  <c r="B467" i="3"/>
  <c r="A467" i="3"/>
  <c r="H466" i="3"/>
  <c r="G466" i="3"/>
  <c r="F466" i="3"/>
  <c r="E466" i="3"/>
  <c r="D466" i="3"/>
  <c r="C466" i="3"/>
  <c r="B466" i="3"/>
  <c r="A466" i="3"/>
  <c r="H465" i="3"/>
  <c r="G465" i="3"/>
  <c r="F465" i="3"/>
  <c r="E465" i="3"/>
  <c r="D465" i="3"/>
  <c r="C465" i="3"/>
  <c r="B465" i="3"/>
  <c r="A465" i="3"/>
  <c r="H464" i="3"/>
  <c r="G464" i="3"/>
  <c r="F464" i="3"/>
  <c r="E464" i="3"/>
  <c r="C464" i="3"/>
  <c r="B464" i="3"/>
  <c r="A464" i="3"/>
  <c r="H463" i="3"/>
  <c r="G463" i="3"/>
  <c r="F463" i="3"/>
  <c r="E463" i="3"/>
  <c r="C463" i="3"/>
  <c r="B463" i="3"/>
  <c r="A463" i="3"/>
  <c r="H462" i="3"/>
  <c r="G462" i="3"/>
  <c r="F462" i="3"/>
  <c r="E462" i="3"/>
  <c r="D462" i="3"/>
  <c r="C462" i="3"/>
  <c r="B462" i="3"/>
  <c r="A462" i="3"/>
  <c r="H461" i="3"/>
  <c r="G461" i="3"/>
  <c r="F461" i="3"/>
  <c r="E461" i="3"/>
  <c r="C461" i="3"/>
  <c r="B461" i="3"/>
  <c r="A461" i="3"/>
  <c r="H460" i="3"/>
  <c r="G460" i="3"/>
  <c r="F460" i="3"/>
  <c r="E460" i="3"/>
  <c r="C460" i="3"/>
  <c r="B460" i="3"/>
  <c r="A460" i="3"/>
  <c r="H459" i="3"/>
  <c r="G459" i="3"/>
  <c r="F459" i="3"/>
  <c r="E459" i="3"/>
  <c r="A459" i="3"/>
  <c r="H458" i="3"/>
  <c r="G458" i="3"/>
  <c r="F458" i="3"/>
  <c r="E458" i="3"/>
  <c r="C458" i="3"/>
  <c r="B458" i="3"/>
  <c r="A458" i="3"/>
  <c r="H457" i="3"/>
  <c r="G457" i="3"/>
  <c r="F457" i="3"/>
  <c r="E457" i="3"/>
  <c r="C457" i="3"/>
  <c r="B457" i="3"/>
  <c r="A457" i="3"/>
  <c r="H456" i="3"/>
  <c r="G456" i="3"/>
  <c r="F456" i="3"/>
  <c r="E456" i="3"/>
  <c r="C456" i="3"/>
  <c r="B456" i="3"/>
  <c r="A456" i="3"/>
  <c r="H455" i="3"/>
  <c r="G455" i="3"/>
  <c r="F455" i="3"/>
  <c r="E455" i="3"/>
  <c r="C455" i="3"/>
  <c r="B455" i="3"/>
  <c r="A455" i="3"/>
  <c r="H454" i="3"/>
  <c r="G454" i="3"/>
  <c r="F454" i="3"/>
  <c r="A454" i="3"/>
  <c r="H453" i="3"/>
  <c r="G453" i="3"/>
  <c r="F453" i="3"/>
  <c r="E453" i="3"/>
  <c r="D453" i="3"/>
  <c r="C453" i="3"/>
  <c r="B453" i="3"/>
  <c r="A453" i="3"/>
  <c r="H452" i="3"/>
  <c r="G452" i="3"/>
  <c r="F452" i="3"/>
  <c r="E452" i="3"/>
  <c r="C452" i="3"/>
  <c r="B452" i="3"/>
  <c r="A452" i="3"/>
  <c r="H451" i="3"/>
  <c r="G451" i="3"/>
  <c r="F451" i="3"/>
  <c r="E451" i="3"/>
  <c r="C451" i="3"/>
  <c r="B451" i="3"/>
  <c r="A451" i="3"/>
  <c r="H450" i="3"/>
  <c r="G450" i="3"/>
  <c r="F450" i="3"/>
  <c r="E450" i="3"/>
  <c r="C450" i="3"/>
  <c r="B450" i="3"/>
  <c r="A450" i="3"/>
  <c r="H449" i="3"/>
  <c r="G449" i="3"/>
  <c r="F449" i="3"/>
  <c r="E449" i="3"/>
  <c r="C449" i="3"/>
  <c r="B449" i="3"/>
  <c r="A449" i="3"/>
  <c r="H448" i="3"/>
  <c r="G448" i="3"/>
  <c r="F448" i="3"/>
  <c r="E448" i="3"/>
  <c r="D448" i="3"/>
  <c r="C448" i="3"/>
  <c r="B448" i="3"/>
  <c r="A448" i="3"/>
  <c r="H447" i="3"/>
  <c r="G447" i="3"/>
  <c r="F447" i="3"/>
  <c r="C447" i="3"/>
  <c r="A447" i="3"/>
  <c r="H446" i="3"/>
  <c r="G446" i="3"/>
  <c r="F446" i="3"/>
  <c r="C446" i="3"/>
  <c r="A446" i="3"/>
  <c r="H445" i="3"/>
  <c r="G445" i="3"/>
  <c r="F445" i="3"/>
  <c r="C445" i="3"/>
  <c r="B445" i="3"/>
  <c r="A445" i="3"/>
  <c r="H444" i="3"/>
  <c r="G444" i="3"/>
  <c r="F444" i="3"/>
  <c r="C444" i="3"/>
  <c r="B444" i="3"/>
  <c r="A444" i="3"/>
  <c r="H443" i="3"/>
  <c r="G443" i="3"/>
  <c r="F443" i="3"/>
  <c r="C443" i="3"/>
  <c r="B443" i="3"/>
  <c r="A443" i="3"/>
  <c r="H442" i="3"/>
  <c r="G442" i="3"/>
  <c r="F442" i="3"/>
  <c r="E442" i="3"/>
  <c r="D442" i="3"/>
  <c r="C442" i="3"/>
  <c r="B442" i="3"/>
  <c r="A442" i="3"/>
  <c r="H441" i="3"/>
  <c r="G441" i="3"/>
  <c r="F441" i="3"/>
  <c r="E441" i="3"/>
  <c r="C441" i="3"/>
  <c r="B441" i="3"/>
  <c r="A441" i="3"/>
  <c r="H440" i="3"/>
  <c r="G440" i="3"/>
  <c r="F440" i="3"/>
  <c r="E440" i="3"/>
  <c r="D440" i="3"/>
  <c r="C440" i="3"/>
  <c r="B440" i="3"/>
  <c r="A440" i="3"/>
  <c r="H439" i="3"/>
  <c r="G439" i="3"/>
  <c r="F439" i="3"/>
  <c r="A439" i="3"/>
  <c r="H438" i="3"/>
  <c r="G438" i="3"/>
  <c r="F438" i="3"/>
  <c r="A438" i="3"/>
  <c r="H437" i="3"/>
  <c r="G437" i="3"/>
  <c r="F437" i="3"/>
  <c r="E437" i="3"/>
  <c r="C437" i="3"/>
  <c r="B437" i="3"/>
  <c r="A437" i="3"/>
  <c r="H436" i="3"/>
  <c r="G436" i="3"/>
  <c r="F436" i="3"/>
  <c r="E436" i="3"/>
  <c r="C436" i="3"/>
  <c r="B436" i="3"/>
  <c r="A436" i="3"/>
  <c r="H435" i="3"/>
  <c r="G435" i="3"/>
  <c r="F435" i="3"/>
  <c r="C435" i="3"/>
  <c r="B435" i="3"/>
  <c r="A435" i="3"/>
  <c r="H434" i="3"/>
  <c r="G434" i="3"/>
  <c r="F434" i="3"/>
  <c r="E434" i="3"/>
  <c r="C434" i="3"/>
  <c r="B434" i="3"/>
  <c r="A434" i="3"/>
  <c r="H433" i="3"/>
  <c r="G433" i="3"/>
  <c r="F433" i="3"/>
  <c r="E433" i="3"/>
  <c r="D433" i="3"/>
  <c r="C433" i="3"/>
  <c r="B433" i="3"/>
  <c r="A433" i="3"/>
  <c r="H432" i="3"/>
  <c r="G432" i="3"/>
  <c r="F432" i="3"/>
  <c r="E432" i="3"/>
  <c r="D432" i="3"/>
  <c r="C432" i="3"/>
  <c r="B432" i="3"/>
  <c r="A432" i="3"/>
  <c r="H431" i="3"/>
  <c r="G431" i="3"/>
  <c r="F431" i="3"/>
  <c r="E431" i="3"/>
  <c r="C431" i="3"/>
  <c r="B431" i="3"/>
  <c r="A431" i="3"/>
  <c r="H430" i="3"/>
  <c r="G430" i="3"/>
  <c r="F430" i="3"/>
  <c r="A430" i="3"/>
  <c r="H429" i="3"/>
  <c r="G429" i="3"/>
  <c r="F429" i="3"/>
  <c r="A429" i="3"/>
  <c r="H428" i="3"/>
  <c r="G428" i="3"/>
  <c r="F428" i="3"/>
  <c r="A428" i="3"/>
  <c r="H427" i="3"/>
  <c r="G427" i="3"/>
  <c r="E427" i="3"/>
  <c r="C427" i="3"/>
  <c r="B427" i="3"/>
  <c r="A427" i="3"/>
  <c r="H426" i="3"/>
  <c r="G426" i="3"/>
  <c r="F426" i="3"/>
  <c r="E426" i="3"/>
  <c r="C426" i="3"/>
  <c r="B426" i="3"/>
  <c r="A426" i="3"/>
  <c r="H425" i="3"/>
  <c r="G425" i="3"/>
  <c r="F425" i="3"/>
  <c r="A425" i="3"/>
  <c r="H424" i="3"/>
  <c r="G424" i="3"/>
  <c r="F424" i="3"/>
  <c r="E424" i="3"/>
  <c r="C424" i="3"/>
  <c r="B424" i="3"/>
  <c r="A424" i="3"/>
  <c r="H423" i="3"/>
  <c r="G423" i="3"/>
  <c r="F423" i="3"/>
  <c r="E423" i="3"/>
  <c r="C423" i="3"/>
  <c r="B423" i="3"/>
  <c r="A423" i="3"/>
  <c r="H422" i="3"/>
  <c r="G422" i="3"/>
  <c r="F422" i="3"/>
  <c r="A422" i="3"/>
  <c r="H421" i="3"/>
  <c r="G421" i="3"/>
  <c r="F421" i="3"/>
  <c r="D421" i="3"/>
  <c r="C421" i="3"/>
  <c r="B421" i="3"/>
  <c r="A421" i="3"/>
  <c r="H420" i="3"/>
  <c r="G420" i="3"/>
  <c r="F420" i="3"/>
  <c r="E420" i="3"/>
  <c r="C420" i="3"/>
  <c r="B420" i="3"/>
  <c r="A420" i="3"/>
  <c r="H419" i="3"/>
  <c r="G419" i="3"/>
  <c r="F419" i="3"/>
  <c r="E419" i="3"/>
  <c r="C419" i="3"/>
  <c r="B419" i="3"/>
  <c r="A419" i="3"/>
  <c r="H418" i="3"/>
  <c r="G418" i="3"/>
  <c r="F418" i="3"/>
  <c r="E418" i="3"/>
  <c r="C418" i="3"/>
  <c r="B418" i="3"/>
  <c r="A418" i="3"/>
  <c r="H417" i="3"/>
  <c r="G417" i="3"/>
  <c r="F417" i="3"/>
  <c r="E417" i="3"/>
  <c r="C417" i="3"/>
  <c r="B417" i="3"/>
  <c r="A417" i="3"/>
  <c r="H416" i="3"/>
  <c r="G416" i="3"/>
  <c r="F416" i="3"/>
  <c r="E416" i="3"/>
  <c r="C416" i="3"/>
  <c r="B416" i="3"/>
  <c r="A416" i="3"/>
  <c r="H415" i="3"/>
  <c r="G415" i="3"/>
  <c r="F415" i="3"/>
  <c r="A415" i="3"/>
  <c r="H414" i="3"/>
  <c r="G414" i="3"/>
  <c r="F414" i="3"/>
  <c r="C414" i="3"/>
  <c r="B414" i="3"/>
  <c r="A414" i="3"/>
  <c r="H413" i="3"/>
  <c r="G413" i="3"/>
  <c r="F413" i="3"/>
  <c r="C413" i="3"/>
  <c r="B413" i="3"/>
  <c r="A413" i="3"/>
  <c r="H412" i="3"/>
  <c r="G412" i="3"/>
  <c r="F412" i="3"/>
  <c r="E412" i="3"/>
  <c r="C412" i="3"/>
  <c r="B412" i="3"/>
  <c r="A412" i="3"/>
  <c r="F411" i="3"/>
  <c r="E411" i="3"/>
  <c r="A411" i="3"/>
  <c r="H410" i="3"/>
  <c r="G410" i="3"/>
  <c r="F410" i="3"/>
  <c r="E410" i="3"/>
  <c r="C410" i="3"/>
  <c r="B410" i="3"/>
  <c r="A410" i="3"/>
  <c r="H409" i="3"/>
  <c r="G409" i="3"/>
  <c r="F409" i="3"/>
  <c r="A409" i="3"/>
  <c r="H408" i="3"/>
  <c r="G408" i="3"/>
  <c r="F408" i="3"/>
  <c r="E408" i="3"/>
  <c r="B408" i="3"/>
  <c r="A408" i="3"/>
  <c r="H407" i="3"/>
  <c r="G407" i="3"/>
  <c r="F407" i="3"/>
  <c r="E407" i="3"/>
  <c r="D407" i="3"/>
  <c r="C407" i="3"/>
  <c r="B407" i="3"/>
  <c r="A407" i="3"/>
  <c r="H406" i="3"/>
  <c r="G406" i="3"/>
  <c r="F406" i="3"/>
  <c r="A406" i="3"/>
  <c r="H405" i="3"/>
  <c r="G405" i="3"/>
  <c r="F405" i="3"/>
  <c r="E405" i="3"/>
  <c r="C405" i="3"/>
  <c r="B405" i="3"/>
  <c r="A405" i="3"/>
  <c r="H404" i="3"/>
  <c r="G404" i="3"/>
  <c r="F404" i="3"/>
  <c r="C404" i="3"/>
  <c r="A404" i="3"/>
  <c r="H403" i="3"/>
  <c r="G403" i="3"/>
  <c r="F403" i="3"/>
  <c r="E403" i="3"/>
  <c r="D403" i="3"/>
  <c r="C403" i="3"/>
  <c r="B403" i="3"/>
  <c r="A403" i="3"/>
  <c r="H402" i="3"/>
  <c r="G402" i="3"/>
  <c r="F402" i="3"/>
  <c r="C402" i="3"/>
  <c r="B402" i="3"/>
  <c r="A402" i="3"/>
  <c r="H401" i="3"/>
  <c r="G401" i="3"/>
  <c r="F401" i="3"/>
  <c r="D401" i="3"/>
  <c r="C401" i="3"/>
  <c r="B401" i="3"/>
  <c r="A401" i="3"/>
  <c r="H400" i="3"/>
  <c r="G400" i="3"/>
  <c r="F400" i="3"/>
  <c r="D400" i="3"/>
  <c r="C400" i="3"/>
  <c r="B400" i="3"/>
  <c r="A400" i="3"/>
  <c r="H399" i="3"/>
  <c r="G399" i="3"/>
  <c r="F399" i="3"/>
  <c r="D399" i="3"/>
  <c r="C399" i="3"/>
  <c r="B399" i="3"/>
  <c r="A399" i="3"/>
  <c r="H398" i="3"/>
  <c r="G398" i="3"/>
  <c r="F398" i="3"/>
  <c r="C398" i="3"/>
  <c r="B398" i="3"/>
  <c r="A398" i="3"/>
  <c r="H397" i="3"/>
  <c r="G397" i="3"/>
  <c r="F397" i="3"/>
  <c r="C397" i="3"/>
  <c r="B397" i="3"/>
  <c r="A397" i="3"/>
  <c r="H396" i="3"/>
  <c r="G396" i="3"/>
  <c r="F396" i="3"/>
  <c r="D396" i="3"/>
  <c r="C396" i="3"/>
  <c r="B396" i="3"/>
  <c r="A396" i="3"/>
  <c r="H395" i="3"/>
  <c r="G395" i="3"/>
  <c r="F395" i="3"/>
  <c r="D395" i="3"/>
  <c r="C395" i="3"/>
  <c r="B395" i="3"/>
  <c r="A395" i="3"/>
  <c r="H394" i="3"/>
  <c r="G394" i="3"/>
  <c r="F394" i="3"/>
  <c r="A394" i="3"/>
  <c r="H393" i="3"/>
  <c r="G393" i="3"/>
  <c r="F393" i="3"/>
  <c r="E393" i="3"/>
  <c r="D393" i="3"/>
  <c r="C393" i="3"/>
  <c r="B393" i="3"/>
  <c r="A393" i="3"/>
  <c r="H392" i="3"/>
  <c r="G392" i="3"/>
  <c r="F392" i="3"/>
  <c r="E392" i="3"/>
  <c r="C392" i="3"/>
  <c r="B392" i="3"/>
  <c r="A392" i="3"/>
  <c r="H391" i="3"/>
  <c r="G391" i="3"/>
  <c r="F391" i="3"/>
  <c r="C391" i="3"/>
  <c r="B391" i="3"/>
  <c r="A391" i="3"/>
  <c r="H390" i="3"/>
  <c r="G390" i="3"/>
  <c r="F390" i="3"/>
  <c r="E390" i="3"/>
  <c r="D390" i="3"/>
  <c r="C390" i="3"/>
  <c r="B390" i="3"/>
  <c r="A390" i="3"/>
  <c r="H389" i="3"/>
  <c r="G389" i="3"/>
  <c r="F389" i="3"/>
  <c r="E389" i="3"/>
  <c r="C389" i="3"/>
  <c r="B389" i="3"/>
  <c r="A389" i="3"/>
  <c r="H388" i="3"/>
  <c r="G388" i="3"/>
  <c r="F388" i="3"/>
  <c r="E388" i="3"/>
  <c r="C388" i="3"/>
  <c r="B388" i="3"/>
  <c r="A388" i="3"/>
  <c r="H387" i="3"/>
  <c r="G387" i="3"/>
  <c r="F387" i="3"/>
  <c r="A387" i="3"/>
  <c r="H386" i="3"/>
  <c r="G386" i="3"/>
  <c r="F386" i="3"/>
  <c r="E386" i="3"/>
  <c r="B386" i="3"/>
  <c r="A386" i="3"/>
  <c r="H385" i="3"/>
  <c r="G385" i="3"/>
  <c r="F385" i="3"/>
  <c r="A385" i="3"/>
  <c r="H384" i="3"/>
  <c r="G384" i="3"/>
  <c r="F384" i="3"/>
  <c r="E384" i="3"/>
  <c r="C384" i="3"/>
  <c r="B384" i="3"/>
  <c r="A384" i="3"/>
  <c r="H383" i="3"/>
  <c r="G383" i="3"/>
  <c r="F383" i="3"/>
  <c r="E383" i="3"/>
  <c r="B383" i="3"/>
  <c r="A383" i="3"/>
  <c r="H382" i="3"/>
  <c r="G382" i="3"/>
  <c r="F382" i="3"/>
  <c r="C382" i="3"/>
  <c r="B382" i="3"/>
  <c r="A382" i="3"/>
  <c r="H381" i="3"/>
  <c r="G381" i="3"/>
  <c r="F381" i="3"/>
  <c r="C381" i="3"/>
  <c r="B381" i="3"/>
  <c r="A381" i="3"/>
  <c r="H380" i="3"/>
  <c r="G380" i="3"/>
  <c r="F380" i="3"/>
  <c r="A380" i="3"/>
  <c r="H379" i="3"/>
  <c r="G379" i="3"/>
  <c r="F379" i="3"/>
  <c r="E379" i="3"/>
  <c r="C379" i="3"/>
  <c r="B379" i="3"/>
  <c r="A379" i="3"/>
  <c r="H378" i="3"/>
  <c r="G378" i="3"/>
  <c r="F378" i="3"/>
  <c r="E378" i="3"/>
  <c r="C378" i="3"/>
  <c r="B378" i="3"/>
  <c r="A378" i="3"/>
  <c r="H377" i="3"/>
  <c r="G377" i="3"/>
  <c r="F377" i="3"/>
  <c r="E377" i="3"/>
  <c r="C377" i="3"/>
  <c r="B377" i="3"/>
  <c r="A377" i="3"/>
  <c r="H376" i="3"/>
  <c r="G376" i="3"/>
  <c r="F376" i="3"/>
  <c r="E376" i="3"/>
  <c r="C376" i="3"/>
  <c r="B376" i="3"/>
  <c r="A376" i="3"/>
  <c r="H375" i="3"/>
  <c r="G375" i="3"/>
  <c r="F375" i="3"/>
  <c r="E375" i="3"/>
  <c r="C375" i="3"/>
  <c r="B375" i="3"/>
  <c r="A375" i="3"/>
  <c r="H374" i="3"/>
  <c r="G374" i="3"/>
  <c r="F374" i="3"/>
  <c r="E374" i="3"/>
  <c r="C374" i="3"/>
  <c r="B374" i="3"/>
  <c r="A374" i="3"/>
  <c r="H373" i="3"/>
  <c r="G373" i="3"/>
  <c r="F373" i="3"/>
  <c r="E373" i="3"/>
  <c r="D373" i="3"/>
  <c r="C373" i="3"/>
  <c r="B373" i="3"/>
  <c r="A373" i="3"/>
  <c r="H372" i="3"/>
  <c r="G372" i="3"/>
  <c r="F372" i="3"/>
  <c r="E372" i="3"/>
  <c r="C372" i="3"/>
  <c r="B372" i="3"/>
  <c r="A372" i="3"/>
  <c r="H371" i="3"/>
  <c r="G371" i="3"/>
  <c r="F371" i="3"/>
  <c r="E371" i="3"/>
  <c r="D371" i="3"/>
  <c r="C371" i="3"/>
  <c r="B371" i="3"/>
  <c r="A371" i="3"/>
  <c r="H370" i="3"/>
  <c r="G370" i="3"/>
  <c r="F370" i="3"/>
  <c r="E370" i="3"/>
  <c r="C370" i="3"/>
  <c r="B370" i="3"/>
  <c r="A370" i="3"/>
  <c r="H369" i="3"/>
  <c r="G369" i="3"/>
  <c r="F369" i="3"/>
  <c r="E369" i="3"/>
  <c r="D369" i="3"/>
  <c r="C369" i="3"/>
  <c r="B369" i="3"/>
  <c r="A369" i="3"/>
  <c r="H368" i="3"/>
  <c r="G368" i="3"/>
  <c r="F368" i="3"/>
  <c r="E368" i="3"/>
  <c r="B368" i="3"/>
  <c r="A368" i="3"/>
  <c r="H367" i="3"/>
  <c r="G367" i="3"/>
  <c r="F367" i="3"/>
  <c r="E367" i="3"/>
  <c r="B367" i="3"/>
  <c r="A367" i="3"/>
  <c r="H366" i="3"/>
  <c r="G366" i="3"/>
  <c r="F366" i="3"/>
  <c r="E366" i="3"/>
  <c r="D366" i="3"/>
  <c r="C366" i="3"/>
  <c r="B366" i="3"/>
  <c r="A366" i="3"/>
  <c r="H365" i="3"/>
  <c r="G365" i="3"/>
  <c r="F365" i="3"/>
  <c r="E365" i="3"/>
  <c r="C365" i="3"/>
  <c r="B365" i="3"/>
  <c r="A365" i="3"/>
  <c r="H364" i="3"/>
  <c r="G364" i="3"/>
  <c r="F364" i="3"/>
  <c r="E364" i="3"/>
  <c r="B364" i="3"/>
  <c r="A364" i="3"/>
  <c r="H363" i="3"/>
  <c r="G363" i="3"/>
  <c r="F363" i="3"/>
  <c r="E363" i="3"/>
  <c r="B363" i="3"/>
  <c r="A363" i="3"/>
  <c r="H362" i="3"/>
  <c r="G362" i="3"/>
  <c r="F362" i="3"/>
  <c r="E362" i="3"/>
  <c r="B362" i="3"/>
  <c r="A362" i="3"/>
  <c r="H361" i="3"/>
  <c r="G361" i="3"/>
  <c r="F361" i="3"/>
  <c r="E361" i="3"/>
  <c r="B361" i="3"/>
  <c r="A361" i="3"/>
  <c r="H360" i="3"/>
  <c r="G360" i="3"/>
  <c r="F360" i="3"/>
  <c r="E360" i="3"/>
  <c r="B360" i="3"/>
  <c r="A360" i="3"/>
  <c r="H359" i="3"/>
  <c r="G359" i="3"/>
  <c r="F359" i="3"/>
  <c r="E359" i="3"/>
  <c r="C359" i="3"/>
  <c r="B359" i="3"/>
  <c r="A359" i="3"/>
  <c r="H358" i="3"/>
  <c r="G358" i="3"/>
  <c r="F358" i="3"/>
  <c r="E358" i="3"/>
  <c r="C358" i="3"/>
  <c r="B358" i="3"/>
  <c r="A358" i="3"/>
  <c r="H357" i="3"/>
  <c r="G357" i="3"/>
  <c r="F357" i="3"/>
  <c r="E357" i="3"/>
  <c r="D357" i="3"/>
  <c r="C357" i="3"/>
  <c r="B357" i="3"/>
  <c r="A357" i="3"/>
  <c r="H356" i="3"/>
  <c r="G356" i="3"/>
  <c r="F356" i="3"/>
  <c r="A356" i="3"/>
  <c r="H355" i="3"/>
  <c r="G355" i="3"/>
  <c r="E355" i="3"/>
  <c r="B355" i="3"/>
  <c r="A355" i="3"/>
  <c r="H354" i="3"/>
  <c r="G354" i="3"/>
  <c r="F354" i="3"/>
  <c r="E354" i="3"/>
  <c r="B354" i="3"/>
  <c r="A354" i="3"/>
  <c r="H353" i="3"/>
  <c r="G353" i="3"/>
  <c r="F353" i="3"/>
  <c r="E353" i="3"/>
  <c r="C353" i="3"/>
  <c r="B353" i="3"/>
  <c r="A353" i="3"/>
  <c r="H352" i="3"/>
  <c r="G352" i="3"/>
  <c r="F352" i="3"/>
  <c r="E352" i="3"/>
  <c r="D352" i="3"/>
  <c r="C352" i="3"/>
  <c r="B352" i="3"/>
  <c r="A352" i="3"/>
  <c r="H351" i="3"/>
  <c r="G351" i="3"/>
  <c r="F351" i="3"/>
  <c r="E351" i="3"/>
  <c r="C351" i="3"/>
  <c r="B351" i="3"/>
  <c r="A351" i="3"/>
  <c r="H350" i="3"/>
  <c r="G350" i="3"/>
  <c r="F350" i="3"/>
  <c r="E350" i="3"/>
  <c r="C350" i="3"/>
  <c r="B350" i="3"/>
  <c r="A350" i="3"/>
  <c r="H349" i="3"/>
  <c r="G349" i="3"/>
  <c r="F349" i="3"/>
  <c r="B349" i="3"/>
  <c r="A349" i="3"/>
  <c r="H348" i="3"/>
  <c r="G348" i="3"/>
  <c r="F348" i="3"/>
  <c r="C348" i="3"/>
  <c r="B348" i="3"/>
  <c r="A348" i="3"/>
  <c r="H347" i="3"/>
  <c r="G347" i="3"/>
  <c r="F347" i="3"/>
  <c r="E347" i="3"/>
  <c r="C347" i="3"/>
  <c r="B347" i="3"/>
  <c r="A347" i="3"/>
  <c r="H346" i="3"/>
  <c r="G346" i="3"/>
  <c r="F346" i="3"/>
  <c r="A346" i="3"/>
  <c r="H345" i="3"/>
  <c r="G345" i="3"/>
  <c r="F345" i="3"/>
  <c r="E345" i="3"/>
  <c r="A345" i="3"/>
  <c r="H344" i="3"/>
  <c r="G344" i="3"/>
  <c r="F344" i="3"/>
  <c r="E344" i="3"/>
  <c r="C344" i="3"/>
  <c r="B344" i="3"/>
  <c r="A344" i="3"/>
  <c r="H343" i="3"/>
  <c r="G343" i="3"/>
  <c r="F343" i="3"/>
  <c r="E343" i="3"/>
  <c r="A343" i="3"/>
  <c r="H342" i="3"/>
  <c r="G342" i="3"/>
  <c r="F342" i="3"/>
  <c r="C342" i="3"/>
  <c r="B342" i="3"/>
  <c r="A342" i="3"/>
  <c r="H341" i="3"/>
  <c r="G341" i="3"/>
  <c r="F341" i="3"/>
  <c r="E341" i="3"/>
  <c r="C341" i="3"/>
  <c r="B341" i="3"/>
  <c r="A341" i="3"/>
  <c r="H340" i="3"/>
  <c r="G340" i="3"/>
  <c r="F340" i="3"/>
  <c r="E340" i="3"/>
  <c r="C340" i="3"/>
  <c r="B340" i="3"/>
  <c r="A340" i="3"/>
  <c r="H339" i="3"/>
  <c r="G339" i="3"/>
  <c r="F339" i="3"/>
  <c r="E339" i="3"/>
  <c r="C339" i="3"/>
  <c r="B339" i="3"/>
  <c r="A339" i="3"/>
  <c r="H338" i="3"/>
  <c r="G338" i="3"/>
  <c r="F338" i="3"/>
  <c r="E338" i="3"/>
  <c r="C338" i="3"/>
  <c r="B338" i="3"/>
  <c r="A338" i="3"/>
  <c r="H337" i="3"/>
  <c r="G337" i="3"/>
  <c r="F337" i="3"/>
  <c r="E337" i="3"/>
  <c r="C337" i="3"/>
  <c r="B337" i="3"/>
  <c r="A337" i="3"/>
  <c r="H336" i="3"/>
  <c r="G336" i="3"/>
  <c r="F336" i="3"/>
  <c r="B336" i="3"/>
  <c r="A336" i="3"/>
  <c r="H335" i="3"/>
  <c r="G335" i="3"/>
  <c r="F335" i="3"/>
  <c r="E335" i="3"/>
  <c r="A335" i="3"/>
  <c r="H334" i="3"/>
  <c r="G334" i="3"/>
  <c r="F334" i="3"/>
  <c r="A334" i="3"/>
  <c r="H333" i="3"/>
  <c r="G333" i="3"/>
  <c r="F333" i="3"/>
  <c r="E333" i="3"/>
  <c r="C333" i="3"/>
  <c r="B333" i="3"/>
  <c r="A333" i="3"/>
  <c r="H332" i="3"/>
  <c r="G332" i="3"/>
  <c r="F332" i="3"/>
  <c r="C332" i="3"/>
  <c r="B332" i="3"/>
  <c r="A332" i="3"/>
  <c r="H331" i="3"/>
  <c r="G331" i="3"/>
  <c r="F331" i="3"/>
  <c r="D331" i="3"/>
  <c r="C331" i="3"/>
  <c r="B331" i="3"/>
  <c r="A331" i="3"/>
  <c r="H330" i="3"/>
  <c r="G330" i="3"/>
  <c r="F330" i="3"/>
  <c r="D330" i="3"/>
  <c r="C330" i="3"/>
  <c r="B330" i="3"/>
  <c r="A330" i="3"/>
  <c r="H329" i="3"/>
  <c r="G329" i="3"/>
  <c r="F329" i="3"/>
  <c r="A329" i="3"/>
  <c r="H328" i="3"/>
  <c r="G328" i="3"/>
  <c r="F328" i="3"/>
  <c r="A328" i="3"/>
  <c r="H327" i="3"/>
  <c r="G327" i="3"/>
  <c r="F327" i="3"/>
  <c r="C327" i="3"/>
  <c r="B327" i="3"/>
  <c r="A327" i="3"/>
  <c r="H326" i="3"/>
  <c r="G326" i="3"/>
  <c r="F326" i="3"/>
  <c r="A326" i="3"/>
  <c r="H325" i="3"/>
  <c r="G325" i="3"/>
  <c r="F325" i="3"/>
  <c r="E325" i="3"/>
  <c r="B325" i="3"/>
  <c r="A325" i="3"/>
  <c r="H324" i="3"/>
  <c r="G324" i="3"/>
  <c r="F324" i="3"/>
  <c r="E324" i="3"/>
  <c r="B324" i="3"/>
  <c r="A324" i="3"/>
  <c r="E323" i="3"/>
  <c r="A323" i="3"/>
  <c r="H322" i="3"/>
  <c r="G322" i="3"/>
  <c r="F322" i="3"/>
  <c r="E322" i="3"/>
  <c r="C322" i="3"/>
  <c r="B322" i="3"/>
  <c r="A322" i="3"/>
  <c r="H321" i="3"/>
  <c r="G321" i="3"/>
  <c r="F321" i="3"/>
  <c r="A321" i="3"/>
  <c r="H320" i="3"/>
  <c r="G320" i="3"/>
  <c r="F320" i="3"/>
  <c r="E320" i="3"/>
  <c r="D320" i="3"/>
  <c r="C320" i="3"/>
  <c r="B320" i="3"/>
  <c r="A320" i="3"/>
  <c r="H319" i="3"/>
  <c r="G319" i="3"/>
  <c r="F319" i="3"/>
  <c r="E319" i="3"/>
  <c r="A319" i="3"/>
  <c r="H318" i="3"/>
  <c r="G318" i="3"/>
  <c r="F318" i="3"/>
  <c r="E318" i="3"/>
  <c r="C318" i="3"/>
  <c r="B318" i="3"/>
  <c r="A318" i="3"/>
  <c r="H317" i="3"/>
  <c r="G317" i="3"/>
  <c r="F317" i="3"/>
  <c r="E317" i="3"/>
  <c r="D317" i="3"/>
  <c r="C317" i="3"/>
  <c r="B317" i="3"/>
  <c r="A317" i="3"/>
  <c r="H316" i="3"/>
  <c r="G316" i="3"/>
  <c r="F316" i="3"/>
  <c r="E316" i="3"/>
  <c r="C316" i="3"/>
  <c r="B316" i="3"/>
  <c r="A316" i="3"/>
  <c r="H315" i="3"/>
  <c r="G315" i="3"/>
  <c r="F315" i="3"/>
  <c r="E315" i="3"/>
  <c r="D315" i="3"/>
  <c r="C315" i="3"/>
  <c r="B315" i="3"/>
  <c r="A315" i="3"/>
  <c r="H314" i="3"/>
  <c r="G314" i="3"/>
  <c r="F314" i="3"/>
  <c r="C314" i="3"/>
  <c r="B314" i="3"/>
  <c r="A314" i="3"/>
  <c r="H313" i="3"/>
  <c r="G313" i="3"/>
  <c r="F313" i="3"/>
  <c r="C313" i="3"/>
  <c r="A313" i="3"/>
  <c r="H312" i="3"/>
  <c r="G312" i="3"/>
  <c r="F312" i="3"/>
  <c r="C312" i="3"/>
  <c r="B312" i="3"/>
  <c r="A312" i="3"/>
  <c r="H311" i="3"/>
  <c r="G311" i="3"/>
  <c r="F311" i="3"/>
  <c r="E311" i="3"/>
  <c r="C311" i="3"/>
  <c r="B311" i="3"/>
  <c r="A311" i="3"/>
  <c r="E310" i="3"/>
  <c r="A310" i="3"/>
  <c r="H309" i="3"/>
  <c r="G309" i="3"/>
  <c r="F309" i="3"/>
  <c r="A309" i="3"/>
  <c r="H308" i="3"/>
  <c r="G308" i="3"/>
  <c r="F308" i="3"/>
  <c r="E308" i="3"/>
  <c r="C308" i="3"/>
  <c r="B308" i="3"/>
  <c r="A308" i="3"/>
  <c r="H307" i="3"/>
  <c r="G307" i="3"/>
  <c r="F307" i="3"/>
  <c r="E307" i="3"/>
  <c r="C307" i="3"/>
  <c r="B307" i="3"/>
  <c r="A307" i="3"/>
  <c r="H306" i="3"/>
  <c r="G306" i="3"/>
  <c r="F306" i="3"/>
  <c r="E306" i="3"/>
  <c r="C306" i="3"/>
  <c r="B306" i="3"/>
  <c r="A306" i="3"/>
  <c r="H305" i="3"/>
  <c r="G305" i="3"/>
  <c r="F305" i="3"/>
  <c r="E305" i="3"/>
  <c r="B305" i="3"/>
  <c r="A305" i="3"/>
  <c r="H304" i="3"/>
  <c r="G304" i="3"/>
  <c r="F304" i="3"/>
  <c r="E304" i="3"/>
  <c r="A304" i="3"/>
  <c r="H303" i="3"/>
  <c r="G303" i="3"/>
  <c r="F303" i="3"/>
  <c r="E303" i="3"/>
  <c r="B303" i="3"/>
  <c r="A303" i="3"/>
  <c r="H302" i="3"/>
  <c r="G302" i="3"/>
  <c r="F302" i="3"/>
  <c r="E302" i="3"/>
  <c r="C302" i="3"/>
  <c r="B302" i="3"/>
  <c r="A302" i="3"/>
  <c r="H301" i="3"/>
  <c r="G301" i="3"/>
  <c r="F301" i="3"/>
  <c r="E301" i="3"/>
  <c r="C301" i="3"/>
  <c r="B301" i="3"/>
  <c r="A301" i="3"/>
  <c r="H300" i="3"/>
  <c r="G300" i="3"/>
  <c r="F300" i="3"/>
  <c r="A300" i="3"/>
  <c r="H299" i="3"/>
  <c r="G299" i="3"/>
  <c r="F299" i="3"/>
  <c r="A299" i="3"/>
  <c r="H298" i="3"/>
  <c r="G298" i="3"/>
  <c r="F298" i="3"/>
  <c r="A298" i="3"/>
  <c r="H297" i="3"/>
  <c r="G297" i="3"/>
  <c r="F297" i="3"/>
  <c r="E297" i="3"/>
  <c r="D297" i="3"/>
  <c r="C297" i="3"/>
  <c r="B297" i="3"/>
  <c r="A297" i="3"/>
  <c r="H296" i="3"/>
  <c r="G296" i="3"/>
  <c r="F296" i="3"/>
  <c r="E296" i="3"/>
  <c r="D296" i="3"/>
  <c r="C296" i="3"/>
  <c r="B296" i="3"/>
  <c r="A296" i="3"/>
  <c r="H295" i="3"/>
  <c r="G295" i="3"/>
  <c r="F295" i="3"/>
  <c r="A295" i="3"/>
  <c r="H294" i="3"/>
  <c r="G294" i="3"/>
  <c r="F294" i="3"/>
  <c r="E294" i="3"/>
  <c r="A294" i="3"/>
  <c r="H293" i="3"/>
  <c r="G293" i="3"/>
  <c r="F293" i="3"/>
  <c r="E293" i="3"/>
  <c r="C293" i="3"/>
  <c r="B293" i="3"/>
  <c r="A293" i="3"/>
  <c r="H292" i="3"/>
  <c r="G292" i="3"/>
  <c r="F292" i="3"/>
  <c r="E292" i="3"/>
  <c r="C292" i="3"/>
  <c r="B292" i="3"/>
  <c r="A292" i="3"/>
  <c r="H291" i="3"/>
  <c r="G291" i="3"/>
  <c r="F291" i="3"/>
  <c r="E291" i="3"/>
  <c r="A291" i="3"/>
  <c r="H290" i="3"/>
  <c r="G290" i="3"/>
  <c r="F290" i="3"/>
  <c r="E290" i="3"/>
  <c r="C290" i="3"/>
  <c r="B290" i="3"/>
  <c r="A290" i="3"/>
  <c r="H289" i="3"/>
  <c r="G289" i="3"/>
  <c r="F289" i="3"/>
  <c r="A289" i="3"/>
  <c r="H288" i="3"/>
  <c r="G288" i="3"/>
  <c r="F288" i="3"/>
  <c r="A288" i="3"/>
  <c r="H287" i="3"/>
  <c r="G287" i="3"/>
  <c r="F287" i="3"/>
  <c r="C287" i="3"/>
  <c r="B287" i="3"/>
  <c r="A287" i="3"/>
  <c r="H286" i="3"/>
  <c r="G286" i="3"/>
  <c r="F286" i="3"/>
  <c r="E286" i="3"/>
  <c r="C286" i="3"/>
  <c r="B286" i="3"/>
  <c r="A286" i="3"/>
  <c r="H285" i="3"/>
  <c r="G285" i="3"/>
  <c r="F285" i="3"/>
  <c r="A285" i="3"/>
  <c r="H284" i="3"/>
  <c r="G284" i="3"/>
  <c r="F284" i="3"/>
  <c r="A284" i="3"/>
  <c r="H283" i="3"/>
  <c r="G283" i="3"/>
  <c r="F283" i="3"/>
  <c r="E283" i="3"/>
  <c r="D283" i="3"/>
  <c r="C283" i="3"/>
  <c r="B283" i="3"/>
  <c r="A283" i="3"/>
  <c r="H282" i="3"/>
  <c r="G282" i="3"/>
  <c r="F282" i="3"/>
  <c r="A282" i="3"/>
  <c r="H281" i="3"/>
  <c r="G281" i="3"/>
  <c r="F281" i="3"/>
  <c r="A281" i="3"/>
  <c r="H280" i="3"/>
  <c r="G280" i="3"/>
  <c r="F280" i="3"/>
  <c r="A280" i="3"/>
  <c r="H279" i="3"/>
  <c r="G279" i="3"/>
  <c r="F279" i="3"/>
  <c r="E279" i="3"/>
  <c r="C279" i="3"/>
  <c r="B279" i="3"/>
  <c r="A279" i="3"/>
  <c r="H278" i="3"/>
  <c r="G278" i="3"/>
  <c r="F278" i="3"/>
  <c r="E278" i="3"/>
  <c r="C278" i="3"/>
  <c r="B278" i="3"/>
  <c r="A278" i="3"/>
  <c r="H277" i="3"/>
  <c r="G277" i="3"/>
  <c r="F277" i="3"/>
  <c r="D277" i="3"/>
  <c r="C277" i="3"/>
  <c r="B277" i="3"/>
  <c r="A277" i="3"/>
  <c r="H276" i="3"/>
  <c r="G276" i="3"/>
  <c r="F276" i="3"/>
  <c r="C276" i="3"/>
  <c r="A276" i="3"/>
  <c r="H275" i="3"/>
  <c r="G275" i="3"/>
  <c r="F275" i="3"/>
  <c r="B275" i="3"/>
  <c r="A275" i="3"/>
  <c r="H274" i="3"/>
  <c r="G274" i="3"/>
  <c r="F274" i="3"/>
  <c r="A274" i="3"/>
  <c r="H273" i="3"/>
  <c r="G273" i="3"/>
  <c r="F273" i="3"/>
  <c r="E273" i="3"/>
  <c r="A273" i="3"/>
  <c r="H272" i="3"/>
  <c r="G272" i="3"/>
  <c r="F272" i="3"/>
  <c r="E272" i="3"/>
  <c r="A272" i="3"/>
  <c r="H271" i="3"/>
  <c r="G271" i="3"/>
  <c r="F271" i="3"/>
  <c r="E271" i="3"/>
  <c r="C271" i="3"/>
  <c r="B271" i="3"/>
  <c r="A271" i="3"/>
  <c r="H270" i="3"/>
  <c r="G270" i="3"/>
  <c r="F270" i="3"/>
  <c r="E270" i="3"/>
  <c r="C270" i="3"/>
  <c r="B270" i="3"/>
  <c r="A270" i="3"/>
  <c r="H269" i="3"/>
  <c r="G269" i="3"/>
  <c r="F269" i="3"/>
  <c r="E269" i="3"/>
  <c r="A269" i="3"/>
  <c r="H268" i="3"/>
  <c r="G268" i="3"/>
  <c r="F268" i="3"/>
  <c r="E268" i="3"/>
  <c r="A268" i="3"/>
  <c r="H267" i="3"/>
  <c r="G267" i="3"/>
  <c r="F267" i="3"/>
  <c r="E267" i="3"/>
  <c r="B267" i="3"/>
  <c r="A267" i="3"/>
  <c r="H266" i="3"/>
  <c r="G266" i="3"/>
  <c r="F266" i="3"/>
  <c r="E266" i="3"/>
  <c r="C266" i="3"/>
  <c r="B266" i="3"/>
  <c r="A266" i="3"/>
  <c r="H265" i="3"/>
  <c r="G265" i="3"/>
  <c r="F265" i="3"/>
  <c r="E265" i="3"/>
  <c r="D265" i="3"/>
  <c r="C265" i="3"/>
  <c r="B265" i="3"/>
  <c r="A265" i="3"/>
  <c r="H264" i="3"/>
  <c r="G264" i="3"/>
  <c r="F264" i="3"/>
  <c r="E264" i="3"/>
  <c r="D264" i="3"/>
  <c r="C264" i="3"/>
  <c r="B264" i="3"/>
  <c r="A264" i="3"/>
  <c r="H263" i="3"/>
  <c r="G263" i="3"/>
  <c r="F263" i="3"/>
  <c r="D263" i="3"/>
  <c r="C263" i="3"/>
  <c r="B263" i="3"/>
  <c r="A263" i="3"/>
  <c r="H262" i="3"/>
  <c r="G262" i="3"/>
  <c r="F262" i="3"/>
  <c r="E262" i="3"/>
  <c r="D262" i="3"/>
  <c r="C262" i="3"/>
  <c r="B262" i="3"/>
  <c r="A262" i="3"/>
  <c r="H261" i="3"/>
  <c r="G261" i="3"/>
  <c r="F261" i="3"/>
  <c r="E261" i="3"/>
  <c r="C261" i="3"/>
  <c r="B261" i="3"/>
  <c r="A261" i="3"/>
  <c r="H260" i="3"/>
  <c r="G260" i="3"/>
  <c r="F260" i="3"/>
  <c r="E260" i="3"/>
  <c r="C260" i="3"/>
  <c r="B260" i="3"/>
  <c r="A260" i="3"/>
  <c r="H259" i="3"/>
  <c r="G259" i="3"/>
  <c r="F259" i="3"/>
  <c r="E259" i="3"/>
  <c r="A259" i="3"/>
  <c r="H258" i="3"/>
  <c r="G258" i="3"/>
  <c r="F258" i="3"/>
  <c r="E258" i="3"/>
  <c r="C258" i="3"/>
  <c r="B258" i="3"/>
  <c r="A258" i="3"/>
  <c r="H257" i="3"/>
  <c r="G257" i="3"/>
  <c r="F257" i="3"/>
  <c r="E257" i="3"/>
  <c r="B257" i="3"/>
  <c r="A257" i="3"/>
  <c r="H256" i="3"/>
  <c r="G256" i="3"/>
  <c r="F256" i="3"/>
  <c r="E256" i="3"/>
  <c r="B256" i="3"/>
  <c r="A256" i="3"/>
  <c r="H255" i="3"/>
  <c r="G255" i="3"/>
  <c r="F255" i="3"/>
  <c r="E255" i="3"/>
  <c r="C255" i="3"/>
  <c r="B255" i="3"/>
  <c r="A255" i="3"/>
  <c r="H254" i="3"/>
  <c r="G254" i="3"/>
  <c r="F254" i="3"/>
  <c r="E254" i="3"/>
  <c r="D254" i="3"/>
  <c r="C254" i="3"/>
  <c r="B254" i="3"/>
  <c r="A254" i="3"/>
  <c r="H253" i="3"/>
  <c r="G253" i="3"/>
  <c r="F253" i="3"/>
  <c r="E253" i="3"/>
  <c r="C253" i="3"/>
  <c r="B253" i="3"/>
  <c r="A253" i="3"/>
  <c r="H252" i="3"/>
  <c r="G252" i="3"/>
  <c r="F252" i="3"/>
  <c r="E252" i="3"/>
  <c r="B252" i="3"/>
  <c r="A252" i="3"/>
  <c r="H251" i="3"/>
  <c r="G251" i="3"/>
  <c r="F251" i="3"/>
  <c r="E251" i="3"/>
  <c r="C251" i="3"/>
  <c r="B251" i="3"/>
  <c r="A251" i="3"/>
  <c r="H250" i="3"/>
  <c r="G250" i="3"/>
  <c r="F250" i="3"/>
  <c r="E250" i="3"/>
  <c r="C250" i="3"/>
  <c r="B250" i="3"/>
  <c r="A250" i="3"/>
  <c r="H249" i="3"/>
  <c r="G249" i="3"/>
  <c r="F249" i="3"/>
  <c r="A249" i="3"/>
  <c r="H248" i="3"/>
  <c r="G248" i="3"/>
  <c r="F248" i="3"/>
  <c r="E248" i="3"/>
  <c r="A248" i="3"/>
  <c r="H247" i="3"/>
  <c r="G247" i="3"/>
  <c r="F247" i="3"/>
  <c r="E247" i="3"/>
  <c r="C247" i="3"/>
  <c r="B247" i="3"/>
  <c r="A247" i="3"/>
  <c r="H246" i="3"/>
  <c r="G246" i="3"/>
  <c r="F246" i="3"/>
  <c r="E246" i="3"/>
  <c r="C246" i="3"/>
  <c r="B246" i="3"/>
  <c r="A246" i="3"/>
  <c r="H245" i="3"/>
  <c r="G245" i="3"/>
  <c r="F245" i="3"/>
  <c r="E245" i="3"/>
  <c r="C245" i="3"/>
  <c r="B245" i="3"/>
  <c r="A245" i="3"/>
  <c r="H244" i="3"/>
  <c r="G244" i="3"/>
  <c r="F244" i="3"/>
  <c r="C244" i="3"/>
  <c r="B244" i="3"/>
  <c r="A244" i="3"/>
  <c r="H243" i="3"/>
  <c r="G243" i="3"/>
  <c r="F243" i="3"/>
  <c r="E243" i="3"/>
  <c r="D243" i="3"/>
  <c r="C243" i="3"/>
  <c r="B243" i="3"/>
  <c r="A243" i="3"/>
  <c r="H242" i="3"/>
  <c r="G242" i="3"/>
  <c r="F242" i="3"/>
  <c r="E242" i="3"/>
  <c r="D242" i="3"/>
  <c r="C242" i="3"/>
  <c r="B242" i="3"/>
  <c r="A242" i="3"/>
  <c r="H241" i="3"/>
  <c r="G241" i="3"/>
  <c r="F241" i="3"/>
  <c r="E241" i="3"/>
  <c r="B241" i="3"/>
  <c r="A241" i="3"/>
  <c r="H240" i="3"/>
  <c r="G240" i="3"/>
  <c r="F240" i="3"/>
  <c r="A240" i="3"/>
  <c r="H239" i="3"/>
  <c r="G239" i="3"/>
  <c r="F239" i="3"/>
  <c r="A239" i="3"/>
  <c r="H238" i="3"/>
  <c r="G238" i="3"/>
  <c r="F238" i="3"/>
  <c r="E238" i="3"/>
  <c r="C238" i="3"/>
  <c r="B238" i="3"/>
  <c r="A238" i="3"/>
  <c r="H237" i="3"/>
  <c r="G237" i="3"/>
  <c r="F237" i="3"/>
  <c r="E237" i="3"/>
  <c r="C237" i="3"/>
  <c r="B237" i="3"/>
  <c r="A237" i="3"/>
  <c r="H236" i="3"/>
  <c r="G236" i="3"/>
  <c r="F236" i="3"/>
  <c r="E236" i="3"/>
  <c r="A236" i="3"/>
  <c r="H235" i="3"/>
  <c r="G235" i="3"/>
  <c r="F235" i="3"/>
  <c r="E235" i="3"/>
  <c r="C235" i="3"/>
  <c r="B235" i="3"/>
  <c r="A235" i="3"/>
  <c r="H234" i="3"/>
  <c r="G234" i="3"/>
  <c r="F234" i="3"/>
  <c r="E234" i="3"/>
  <c r="C234" i="3"/>
  <c r="B234" i="3"/>
  <c r="A234" i="3"/>
  <c r="H233" i="3"/>
  <c r="G233" i="3"/>
  <c r="F233" i="3"/>
  <c r="E233" i="3"/>
  <c r="C233" i="3"/>
  <c r="B233" i="3"/>
  <c r="A233" i="3"/>
  <c r="H232" i="3"/>
  <c r="G232" i="3"/>
  <c r="F232" i="3"/>
  <c r="E232" i="3"/>
  <c r="C232" i="3"/>
  <c r="B232" i="3"/>
  <c r="A232" i="3"/>
  <c r="H231" i="3"/>
  <c r="G231" i="3"/>
  <c r="F231" i="3"/>
  <c r="E231" i="3"/>
  <c r="C231" i="3"/>
  <c r="B231" i="3"/>
  <c r="A231" i="3"/>
  <c r="H230" i="3"/>
  <c r="G230" i="3"/>
  <c r="F230" i="3"/>
  <c r="E230" i="3"/>
  <c r="B230" i="3"/>
  <c r="A230" i="3"/>
  <c r="H229" i="3"/>
  <c r="G229" i="3"/>
  <c r="F229" i="3"/>
  <c r="E229" i="3"/>
  <c r="B229" i="3"/>
  <c r="A229" i="3"/>
  <c r="H228" i="3"/>
  <c r="G228" i="3"/>
  <c r="F228" i="3"/>
  <c r="E228" i="3"/>
  <c r="D228" i="3"/>
  <c r="C228" i="3"/>
  <c r="B228" i="3"/>
  <c r="A228" i="3"/>
  <c r="H227" i="3"/>
  <c r="G227" i="3"/>
  <c r="F227" i="3"/>
  <c r="E227" i="3"/>
  <c r="D227" i="3"/>
  <c r="C227" i="3"/>
  <c r="B227" i="3"/>
  <c r="A227" i="3"/>
  <c r="H226" i="3"/>
  <c r="G226" i="3"/>
  <c r="F226" i="3"/>
  <c r="A226" i="3"/>
  <c r="H225" i="3"/>
  <c r="G225" i="3"/>
  <c r="F225" i="3"/>
  <c r="E225" i="3"/>
  <c r="D225" i="3"/>
  <c r="C225" i="3"/>
  <c r="B225" i="3"/>
  <c r="A225" i="3"/>
  <c r="H224" i="3"/>
  <c r="G224" i="3"/>
  <c r="F224" i="3"/>
  <c r="E224" i="3"/>
  <c r="A224" i="3"/>
  <c r="H223" i="3"/>
  <c r="G223" i="3"/>
  <c r="F223" i="3"/>
  <c r="A223" i="3"/>
  <c r="H222" i="3"/>
  <c r="G222" i="3"/>
  <c r="F222" i="3"/>
  <c r="E222" i="3"/>
  <c r="C222" i="3"/>
  <c r="B222" i="3"/>
  <c r="A222" i="3"/>
  <c r="H221" i="3"/>
  <c r="G221" i="3"/>
  <c r="F221" i="3"/>
  <c r="A221" i="3"/>
  <c r="H220" i="3"/>
  <c r="G220" i="3"/>
  <c r="F220" i="3"/>
  <c r="A220" i="3"/>
  <c r="H219" i="3"/>
  <c r="G219" i="3"/>
  <c r="F219" i="3"/>
  <c r="E219" i="3"/>
  <c r="C219" i="3"/>
  <c r="B219" i="3"/>
  <c r="A219" i="3"/>
  <c r="H218" i="3"/>
  <c r="G218" i="3"/>
  <c r="F218" i="3"/>
  <c r="E218" i="3"/>
  <c r="B218" i="3"/>
  <c r="A218" i="3"/>
  <c r="H217" i="3"/>
  <c r="G217" i="3"/>
  <c r="F217" i="3"/>
  <c r="E217" i="3"/>
  <c r="C217" i="3"/>
  <c r="B217" i="3"/>
  <c r="A217" i="3"/>
  <c r="H216" i="3"/>
  <c r="G216" i="3"/>
  <c r="F216" i="3"/>
  <c r="E216" i="3"/>
  <c r="B216" i="3"/>
  <c r="A216" i="3"/>
  <c r="H215" i="3"/>
  <c r="G215" i="3"/>
  <c r="F215" i="3"/>
  <c r="E215" i="3"/>
  <c r="B215" i="3"/>
  <c r="A215" i="3"/>
  <c r="H214" i="3"/>
  <c r="G214" i="3"/>
  <c r="F214" i="3"/>
  <c r="E214" i="3"/>
  <c r="B214" i="3"/>
  <c r="A214" i="3"/>
  <c r="H213" i="3"/>
  <c r="G213" i="3"/>
  <c r="F213" i="3"/>
  <c r="E213" i="3"/>
  <c r="D213" i="3"/>
  <c r="C213" i="3"/>
  <c r="B213" i="3"/>
  <c r="A213" i="3"/>
  <c r="H212" i="3"/>
  <c r="G212" i="3"/>
  <c r="F212" i="3"/>
  <c r="E212" i="3"/>
  <c r="C212" i="3"/>
  <c r="B212" i="3"/>
  <c r="A212" i="3"/>
  <c r="H211" i="3"/>
  <c r="G211" i="3"/>
  <c r="F211" i="3"/>
  <c r="E211" i="3"/>
  <c r="C211" i="3"/>
  <c r="B211" i="3"/>
  <c r="A211" i="3"/>
  <c r="H210" i="3"/>
  <c r="G210" i="3"/>
  <c r="F210" i="3"/>
  <c r="E210" i="3"/>
  <c r="C210" i="3"/>
  <c r="B210" i="3"/>
  <c r="A210" i="3"/>
  <c r="H209" i="3"/>
  <c r="G209" i="3"/>
  <c r="F209" i="3"/>
  <c r="E209" i="3"/>
  <c r="B209" i="3"/>
  <c r="A209" i="3"/>
  <c r="H208" i="3"/>
  <c r="G208" i="3"/>
  <c r="F208" i="3"/>
  <c r="E208" i="3"/>
  <c r="D208" i="3"/>
  <c r="C208" i="3"/>
  <c r="B208" i="3"/>
  <c r="A208" i="3"/>
  <c r="H207" i="3"/>
  <c r="G207" i="3"/>
  <c r="F207" i="3"/>
  <c r="E207" i="3"/>
  <c r="C207" i="3"/>
  <c r="B207" i="3"/>
  <c r="A207" i="3"/>
  <c r="H206" i="3"/>
  <c r="G206" i="3"/>
  <c r="F206" i="3"/>
  <c r="E206" i="3"/>
  <c r="C206" i="3"/>
  <c r="B206" i="3"/>
  <c r="A206" i="3"/>
  <c r="H205" i="3"/>
  <c r="G205" i="3"/>
  <c r="F205" i="3"/>
  <c r="A205" i="3"/>
  <c r="H204" i="3"/>
  <c r="G204" i="3"/>
  <c r="F204" i="3"/>
  <c r="A204" i="3"/>
  <c r="H203" i="3"/>
  <c r="G203" i="3"/>
  <c r="F203" i="3"/>
  <c r="E203" i="3"/>
  <c r="C203" i="3"/>
  <c r="B203" i="3"/>
  <c r="A203" i="3"/>
  <c r="H202" i="3"/>
  <c r="G202" i="3"/>
  <c r="F202" i="3"/>
  <c r="E202" i="3"/>
  <c r="C202" i="3"/>
  <c r="B202" i="3"/>
  <c r="A202" i="3"/>
  <c r="H201" i="3"/>
  <c r="G201" i="3"/>
  <c r="F201" i="3"/>
  <c r="C201" i="3"/>
  <c r="A201" i="3"/>
  <c r="H200" i="3"/>
  <c r="G200" i="3"/>
  <c r="F200" i="3"/>
  <c r="A200" i="3"/>
  <c r="H199" i="3"/>
  <c r="G199" i="3"/>
  <c r="F199" i="3"/>
  <c r="B199" i="3"/>
  <c r="A199" i="3"/>
  <c r="H198" i="3"/>
  <c r="G198" i="3"/>
  <c r="F198" i="3"/>
  <c r="C198" i="3"/>
  <c r="B198" i="3"/>
  <c r="A198" i="3"/>
  <c r="H197" i="3"/>
  <c r="G197" i="3"/>
  <c r="F197" i="3"/>
  <c r="B197" i="3"/>
  <c r="A197" i="3"/>
  <c r="H196" i="3"/>
  <c r="G196" i="3"/>
  <c r="F196" i="3"/>
  <c r="B196" i="3"/>
  <c r="A196" i="3"/>
  <c r="H195" i="3"/>
  <c r="G195" i="3"/>
  <c r="F195" i="3"/>
  <c r="E195" i="3"/>
  <c r="D195" i="3"/>
  <c r="C195" i="3"/>
  <c r="B195" i="3"/>
  <c r="A195" i="3"/>
  <c r="H194" i="3"/>
  <c r="G194" i="3"/>
  <c r="F194" i="3"/>
  <c r="B194" i="3"/>
  <c r="A194" i="3"/>
  <c r="H193" i="3"/>
  <c r="G193" i="3"/>
  <c r="F193" i="3"/>
  <c r="B193" i="3"/>
  <c r="A193" i="3"/>
  <c r="H192" i="3"/>
  <c r="G192" i="3"/>
  <c r="F192" i="3"/>
  <c r="E192" i="3"/>
  <c r="C192" i="3"/>
  <c r="B192" i="3"/>
  <c r="A192" i="3"/>
  <c r="H191" i="3"/>
  <c r="G191" i="3"/>
  <c r="F191" i="3"/>
  <c r="A191" i="3"/>
  <c r="H190" i="3"/>
  <c r="G190" i="3"/>
  <c r="F190" i="3"/>
  <c r="A190" i="3"/>
  <c r="H189" i="3"/>
  <c r="G189" i="3"/>
  <c r="F189" i="3"/>
  <c r="C189" i="3"/>
  <c r="B189" i="3"/>
  <c r="A189" i="3"/>
  <c r="H188" i="3"/>
  <c r="G188" i="3"/>
  <c r="F188" i="3"/>
  <c r="E188" i="3"/>
  <c r="B188" i="3"/>
  <c r="A188" i="3"/>
  <c r="H187" i="3"/>
  <c r="G187" i="3"/>
  <c r="F187" i="3"/>
  <c r="E187" i="3"/>
  <c r="B187" i="3"/>
  <c r="A187" i="3"/>
  <c r="H186" i="3"/>
  <c r="G186" i="3"/>
  <c r="F186" i="3"/>
  <c r="E186" i="3"/>
  <c r="C186" i="3"/>
  <c r="B186" i="3"/>
  <c r="A186" i="3"/>
  <c r="H185" i="3"/>
  <c r="G185" i="3"/>
  <c r="F185" i="3"/>
  <c r="E185" i="3"/>
  <c r="B185" i="3"/>
  <c r="A185" i="3"/>
  <c r="H184" i="3"/>
  <c r="G184" i="3"/>
  <c r="F184" i="3"/>
  <c r="C184" i="3"/>
  <c r="A184" i="3"/>
  <c r="H183" i="3"/>
  <c r="G183" i="3"/>
  <c r="F183" i="3"/>
  <c r="A183" i="3"/>
  <c r="H182" i="3"/>
  <c r="G182" i="3"/>
  <c r="F182" i="3"/>
  <c r="A182" i="3"/>
  <c r="H181" i="3"/>
  <c r="G181" i="3"/>
  <c r="F181" i="3"/>
  <c r="A181" i="3"/>
  <c r="H180" i="3"/>
  <c r="G180" i="3"/>
  <c r="F180" i="3"/>
  <c r="E180" i="3"/>
  <c r="B180" i="3"/>
  <c r="A180" i="3"/>
  <c r="H179" i="3"/>
  <c r="G179" i="3"/>
  <c r="F179" i="3"/>
  <c r="E179" i="3"/>
  <c r="A179" i="3"/>
  <c r="H178" i="3"/>
  <c r="G178" i="3"/>
  <c r="F178" i="3"/>
  <c r="E178" i="3"/>
  <c r="D178" i="3"/>
  <c r="C178" i="3"/>
  <c r="B178" i="3"/>
  <c r="A178" i="3"/>
  <c r="H177" i="3"/>
  <c r="G177" i="3"/>
  <c r="F177" i="3"/>
  <c r="E177" i="3"/>
  <c r="C177" i="3"/>
  <c r="B177" i="3"/>
  <c r="A177" i="3"/>
  <c r="H176" i="3"/>
  <c r="G176" i="3"/>
  <c r="F176" i="3"/>
  <c r="A176" i="3"/>
  <c r="H175" i="3"/>
  <c r="G175" i="3"/>
  <c r="F175" i="3"/>
  <c r="E175" i="3"/>
  <c r="C175" i="3"/>
  <c r="B175" i="3"/>
  <c r="A175" i="3"/>
  <c r="H174" i="3"/>
  <c r="G174" i="3"/>
  <c r="F174" i="3"/>
  <c r="E174" i="3"/>
  <c r="B174" i="3"/>
  <c r="A174" i="3"/>
  <c r="H173" i="3"/>
  <c r="G173" i="3"/>
  <c r="F173" i="3"/>
  <c r="E173" i="3"/>
  <c r="B173" i="3"/>
  <c r="A173" i="3"/>
  <c r="H172" i="3"/>
  <c r="G172" i="3"/>
  <c r="F172" i="3"/>
  <c r="E172" i="3"/>
  <c r="B172" i="3"/>
  <c r="A172" i="3"/>
  <c r="H171" i="3"/>
  <c r="G171" i="3"/>
  <c r="F171" i="3"/>
  <c r="A171" i="3"/>
  <c r="H170" i="3"/>
  <c r="G170" i="3"/>
  <c r="F170" i="3"/>
  <c r="E170" i="3"/>
  <c r="B170" i="3"/>
  <c r="A170" i="3"/>
  <c r="H169" i="3"/>
  <c r="G169" i="3"/>
  <c r="F169" i="3"/>
  <c r="E169" i="3"/>
  <c r="B169" i="3"/>
  <c r="A169" i="3"/>
  <c r="H168" i="3"/>
  <c r="G168" i="3"/>
  <c r="F168" i="3"/>
  <c r="E168" i="3"/>
  <c r="B168" i="3"/>
  <c r="A168" i="3"/>
  <c r="H167" i="3"/>
  <c r="G167" i="3"/>
  <c r="F167" i="3"/>
  <c r="B167" i="3"/>
  <c r="A167" i="3"/>
  <c r="H166" i="3"/>
  <c r="G166" i="3"/>
  <c r="F166" i="3"/>
  <c r="E166" i="3"/>
  <c r="B166" i="3"/>
  <c r="A166" i="3"/>
  <c r="H165" i="3"/>
  <c r="G165" i="3"/>
  <c r="F165" i="3"/>
  <c r="E165" i="3"/>
  <c r="B165" i="3"/>
  <c r="A165" i="3"/>
  <c r="H164" i="3"/>
  <c r="G164" i="3"/>
  <c r="F164" i="3"/>
  <c r="B164" i="3"/>
  <c r="A164" i="3"/>
  <c r="H163" i="3"/>
  <c r="G163" i="3"/>
  <c r="F163" i="3"/>
  <c r="A163" i="3"/>
  <c r="H162" i="3"/>
  <c r="G162" i="3"/>
  <c r="F162" i="3"/>
  <c r="E162" i="3"/>
  <c r="B162" i="3"/>
  <c r="A162" i="3"/>
  <c r="H161" i="3"/>
  <c r="G161" i="3"/>
  <c r="F161" i="3"/>
  <c r="E161" i="3"/>
  <c r="C161" i="3"/>
  <c r="B161" i="3"/>
  <c r="A161" i="3"/>
  <c r="H160" i="3"/>
  <c r="G160" i="3"/>
  <c r="F160" i="3"/>
  <c r="A160" i="3"/>
  <c r="H159" i="3"/>
  <c r="G159" i="3"/>
  <c r="F159" i="3"/>
  <c r="A159" i="3"/>
  <c r="H158" i="3"/>
  <c r="G158" i="3"/>
  <c r="F158" i="3"/>
  <c r="A158" i="3"/>
  <c r="H157" i="3"/>
  <c r="G157" i="3"/>
  <c r="F157" i="3"/>
  <c r="C157" i="3"/>
  <c r="A157" i="3"/>
  <c r="H156" i="3"/>
  <c r="G156" i="3"/>
  <c r="F156" i="3"/>
  <c r="E156" i="3"/>
  <c r="C156" i="3"/>
  <c r="B156" i="3"/>
  <c r="A156" i="3"/>
  <c r="H155" i="3"/>
  <c r="G155" i="3"/>
  <c r="F155" i="3"/>
  <c r="E155" i="3"/>
  <c r="C155" i="3"/>
  <c r="B155" i="3"/>
  <c r="A155" i="3"/>
  <c r="H154" i="3"/>
  <c r="G154" i="3"/>
  <c r="F154" i="3"/>
  <c r="E154" i="3"/>
  <c r="C154" i="3"/>
  <c r="B154" i="3"/>
  <c r="A154" i="3"/>
  <c r="H153" i="3"/>
  <c r="G153" i="3"/>
  <c r="F153" i="3"/>
  <c r="E153" i="3"/>
  <c r="B153" i="3"/>
  <c r="A153" i="3"/>
  <c r="H152" i="3"/>
  <c r="G152" i="3"/>
  <c r="F152" i="3"/>
  <c r="E152" i="3"/>
  <c r="C152" i="3"/>
  <c r="B152" i="3"/>
  <c r="A152" i="3"/>
  <c r="H151" i="3"/>
  <c r="G151" i="3"/>
  <c r="F151" i="3"/>
  <c r="E151" i="3"/>
  <c r="C151" i="3"/>
  <c r="B151" i="3"/>
  <c r="A151" i="3"/>
  <c r="H150" i="3"/>
  <c r="G150" i="3"/>
  <c r="F150" i="3"/>
  <c r="E150" i="3"/>
  <c r="A150" i="3"/>
  <c r="H149" i="3"/>
  <c r="G149" i="3"/>
  <c r="F149" i="3"/>
  <c r="E149" i="3"/>
  <c r="C149" i="3"/>
  <c r="B149" i="3"/>
  <c r="A149" i="3"/>
  <c r="H148" i="3"/>
  <c r="G148" i="3"/>
  <c r="F148" i="3"/>
  <c r="E148" i="3"/>
  <c r="C148" i="3"/>
  <c r="B148" i="3"/>
  <c r="A148" i="3"/>
  <c r="H147" i="3"/>
  <c r="G147" i="3"/>
  <c r="F147" i="3"/>
  <c r="E147" i="3"/>
  <c r="C147" i="3"/>
  <c r="B147" i="3"/>
  <c r="A147" i="3"/>
  <c r="H146" i="3"/>
  <c r="G146" i="3"/>
  <c r="F146" i="3"/>
  <c r="E146" i="3"/>
  <c r="A146" i="3"/>
  <c r="H145" i="3"/>
  <c r="G145" i="3"/>
  <c r="F145" i="3"/>
  <c r="B145" i="3"/>
  <c r="A145" i="3"/>
  <c r="H144" i="3"/>
  <c r="G144" i="3"/>
  <c r="F144" i="3"/>
  <c r="E144" i="3"/>
  <c r="C144" i="3"/>
  <c r="B144" i="3"/>
  <c r="A144" i="3"/>
  <c r="H143" i="3"/>
  <c r="G143" i="3"/>
  <c r="F143" i="3"/>
  <c r="E143" i="3"/>
  <c r="C143" i="3"/>
  <c r="B143" i="3"/>
  <c r="A143" i="3"/>
  <c r="H142" i="3"/>
  <c r="G142" i="3"/>
  <c r="F142" i="3"/>
  <c r="E142" i="3"/>
  <c r="C142" i="3"/>
  <c r="B142" i="3"/>
  <c r="A142" i="3"/>
  <c r="H141" i="3"/>
  <c r="G141" i="3"/>
  <c r="F141" i="3"/>
  <c r="E141" i="3"/>
  <c r="C141" i="3"/>
  <c r="B141" i="3"/>
  <c r="A141" i="3"/>
  <c r="H140" i="3"/>
  <c r="G140" i="3"/>
  <c r="F140" i="3"/>
  <c r="C140" i="3"/>
  <c r="B140" i="3"/>
  <c r="A140" i="3"/>
  <c r="H139" i="3"/>
  <c r="G139" i="3"/>
  <c r="F139" i="3"/>
  <c r="A139" i="3"/>
  <c r="H138" i="3"/>
  <c r="G138" i="3"/>
  <c r="F138" i="3"/>
  <c r="E138" i="3"/>
  <c r="C138" i="3"/>
  <c r="B138" i="3"/>
  <c r="A138" i="3"/>
  <c r="H137" i="3"/>
  <c r="G137" i="3"/>
  <c r="F137" i="3"/>
  <c r="E137" i="3"/>
  <c r="B137" i="3"/>
  <c r="A137" i="3"/>
  <c r="H136" i="3"/>
  <c r="G136" i="3"/>
  <c r="F136" i="3"/>
  <c r="E136" i="3"/>
  <c r="C136" i="3"/>
  <c r="B136" i="3"/>
  <c r="A136" i="3"/>
  <c r="H135" i="3"/>
  <c r="G135" i="3"/>
  <c r="F135" i="3"/>
  <c r="E135" i="3"/>
  <c r="C135" i="3"/>
  <c r="B135" i="3"/>
  <c r="A135" i="3"/>
  <c r="H134" i="3"/>
  <c r="G134" i="3"/>
  <c r="F134" i="3"/>
  <c r="E134" i="3"/>
  <c r="C134" i="3"/>
  <c r="B134" i="3"/>
  <c r="A134" i="3"/>
  <c r="H133" i="3"/>
  <c r="G133" i="3"/>
  <c r="F133" i="3"/>
  <c r="A133" i="3"/>
  <c r="H132" i="3"/>
  <c r="G132" i="3"/>
  <c r="F132" i="3"/>
  <c r="C132" i="3"/>
  <c r="B132" i="3"/>
  <c r="A132" i="3"/>
  <c r="H131" i="3"/>
  <c r="G131" i="3"/>
  <c r="F131" i="3"/>
  <c r="E131" i="3"/>
  <c r="D131" i="3"/>
  <c r="C131" i="3"/>
  <c r="B131" i="3"/>
  <c r="A131" i="3"/>
  <c r="H130" i="3"/>
  <c r="G130" i="3"/>
  <c r="F130" i="3"/>
  <c r="C130" i="3"/>
  <c r="B130" i="3"/>
  <c r="A130" i="3"/>
  <c r="H129" i="3"/>
  <c r="G129" i="3"/>
  <c r="F129" i="3"/>
  <c r="E129" i="3"/>
  <c r="C129" i="3"/>
  <c r="B129" i="3"/>
  <c r="A129" i="3"/>
  <c r="H128" i="3"/>
  <c r="G128" i="3"/>
  <c r="F128" i="3"/>
  <c r="E128" i="3"/>
  <c r="C128" i="3"/>
  <c r="B128" i="3"/>
  <c r="A128" i="3"/>
  <c r="H127" i="3"/>
  <c r="G127" i="3"/>
  <c r="F127" i="3"/>
  <c r="E127" i="3"/>
  <c r="C127" i="3"/>
  <c r="B127" i="3"/>
  <c r="A127" i="3"/>
  <c r="H126" i="3"/>
  <c r="G126" i="3"/>
  <c r="F126" i="3"/>
  <c r="C126" i="3"/>
  <c r="B126" i="3"/>
  <c r="A126" i="3"/>
  <c r="H125" i="3"/>
  <c r="G125" i="3"/>
  <c r="F125" i="3"/>
  <c r="A125" i="3"/>
  <c r="H124" i="3"/>
  <c r="G124" i="3"/>
  <c r="F124" i="3"/>
  <c r="E124" i="3"/>
  <c r="C124" i="3"/>
  <c r="B124" i="3"/>
  <c r="A124" i="3"/>
  <c r="H123" i="3"/>
  <c r="G123" i="3"/>
  <c r="F123" i="3"/>
  <c r="C123" i="3"/>
  <c r="A123" i="3"/>
  <c r="H122" i="3"/>
  <c r="G122" i="3"/>
  <c r="F122" i="3"/>
  <c r="A122" i="3"/>
  <c r="H121" i="3"/>
  <c r="G121" i="3"/>
  <c r="F121" i="3"/>
  <c r="A121" i="3"/>
  <c r="H120" i="3"/>
  <c r="G120" i="3"/>
  <c r="F120" i="3"/>
  <c r="D120" i="3"/>
  <c r="C120" i="3"/>
  <c r="B120" i="3"/>
  <c r="A120" i="3"/>
  <c r="H119" i="3"/>
  <c r="G119" i="3"/>
  <c r="F119" i="3"/>
  <c r="D119" i="3"/>
  <c r="C119" i="3"/>
  <c r="B119" i="3"/>
  <c r="A119" i="3"/>
  <c r="H118" i="3"/>
  <c r="G118" i="3"/>
  <c r="F118" i="3"/>
  <c r="E118" i="3"/>
  <c r="D118" i="3"/>
  <c r="C118" i="3"/>
  <c r="B118" i="3"/>
  <c r="A118" i="3"/>
  <c r="H117" i="3"/>
  <c r="G117" i="3"/>
  <c r="F117" i="3"/>
  <c r="E117" i="3"/>
  <c r="C117" i="3"/>
  <c r="B117" i="3"/>
  <c r="A117" i="3"/>
  <c r="H116" i="3"/>
  <c r="G116" i="3"/>
  <c r="F116" i="3"/>
  <c r="E116" i="3"/>
  <c r="C116" i="3"/>
  <c r="B116" i="3"/>
  <c r="A116" i="3"/>
  <c r="H115" i="3"/>
  <c r="G115" i="3"/>
  <c r="F115" i="3"/>
  <c r="E115" i="3"/>
  <c r="C115" i="3"/>
  <c r="B115" i="3"/>
  <c r="A115" i="3"/>
  <c r="H114" i="3"/>
  <c r="G114" i="3"/>
  <c r="F114" i="3"/>
  <c r="E114" i="3"/>
  <c r="C114" i="3"/>
  <c r="B114" i="3"/>
  <c r="A114" i="3"/>
  <c r="H113" i="3"/>
  <c r="G113" i="3"/>
  <c r="F113" i="3"/>
  <c r="A113" i="3"/>
  <c r="H112" i="3"/>
  <c r="G112" i="3"/>
  <c r="F112" i="3"/>
  <c r="E112" i="3"/>
  <c r="C112" i="3"/>
  <c r="B112" i="3"/>
  <c r="A112" i="3"/>
  <c r="H111" i="3"/>
  <c r="G111" i="3"/>
  <c r="F111" i="3"/>
  <c r="E111" i="3"/>
  <c r="C111" i="3"/>
  <c r="B111" i="3"/>
  <c r="A111" i="3"/>
  <c r="H110" i="3"/>
  <c r="G110" i="3"/>
  <c r="F110" i="3"/>
  <c r="A110" i="3"/>
  <c r="H109" i="3"/>
  <c r="G109" i="3"/>
  <c r="F109" i="3"/>
  <c r="E109" i="3"/>
  <c r="C109" i="3"/>
  <c r="B109" i="3"/>
  <c r="A109" i="3"/>
  <c r="H108" i="3"/>
  <c r="G108" i="3"/>
  <c r="F108" i="3"/>
  <c r="E108" i="3"/>
  <c r="C108" i="3"/>
  <c r="B108" i="3"/>
  <c r="A108" i="3"/>
  <c r="H107" i="3"/>
  <c r="G107" i="3"/>
  <c r="F107" i="3"/>
  <c r="A107" i="3"/>
  <c r="H106" i="3"/>
  <c r="G106" i="3"/>
  <c r="F106" i="3"/>
  <c r="E106" i="3"/>
  <c r="A106" i="3"/>
  <c r="H105" i="3"/>
  <c r="G105" i="3"/>
  <c r="F105" i="3"/>
  <c r="A105" i="3"/>
  <c r="H104" i="3"/>
  <c r="G104" i="3"/>
  <c r="F104" i="3"/>
  <c r="A104" i="3"/>
  <c r="H103" i="3"/>
  <c r="G103" i="3"/>
  <c r="F103" i="3"/>
  <c r="E103" i="3"/>
  <c r="B103" i="3"/>
  <c r="A103" i="3"/>
  <c r="H102" i="3"/>
  <c r="G102" i="3"/>
  <c r="F102" i="3"/>
  <c r="E102" i="3"/>
  <c r="C102" i="3"/>
  <c r="B102" i="3"/>
  <c r="A102" i="3"/>
  <c r="H101" i="3"/>
  <c r="G101" i="3"/>
  <c r="F101" i="3"/>
  <c r="E101" i="3"/>
  <c r="B101" i="3"/>
  <c r="A101" i="3"/>
  <c r="H100" i="3"/>
  <c r="G100" i="3"/>
  <c r="F100" i="3"/>
  <c r="E100" i="3"/>
  <c r="A100" i="3"/>
  <c r="H99" i="3"/>
  <c r="G99" i="3"/>
  <c r="F99" i="3"/>
  <c r="E99" i="3"/>
  <c r="A99" i="3"/>
  <c r="H98" i="3"/>
  <c r="G98" i="3"/>
  <c r="F98" i="3"/>
  <c r="A98" i="3"/>
  <c r="H97" i="3"/>
  <c r="G97" i="3"/>
  <c r="F97" i="3"/>
  <c r="E97" i="3"/>
  <c r="C97" i="3"/>
  <c r="B97" i="3"/>
  <c r="A97" i="3"/>
  <c r="H96" i="3"/>
  <c r="G96" i="3"/>
  <c r="E96" i="3"/>
  <c r="C96" i="3"/>
  <c r="B96" i="3"/>
  <c r="A96" i="3"/>
  <c r="H95" i="3"/>
  <c r="G95" i="3"/>
  <c r="F95" i="3"/>
  <c r="C95" i="3"/>
  <c r="A95" i="3"/>
  <c r="H94" i="3"/>
  <c r="G94" i="3"/>
  <c r="F94" i="3"/>
  <c r="A94" i="3"/>
  <c r="H93" i="3"/>
  <c r="G93" i="3"/>
  <c r="F93" i="3"/>
  <c r="E93" i="3"/>
  <c r="C93" i="3"/>
  <c r="B93" i="3"/>
  <c r="A93" i="3"/>
  <c r="H92" i="3"/>
  <c r="G92" i="3"/>
  <c r="F92" i="3"/>
  <c r="E92" i="3"/>
  <c r="C92" i="3"/>
  <c r="B92" i="3"/>
  <c r="A92" i="3"/>
  <c r="H91" i="3"/>
  <c r="G91" i="3"/>
  <c r="F91" i="3"/>
  <c r="E91" i="3"/>
  <c r="C91" i="3"/>
  <c r="B91" i="3"/>
  <c r="A91" i="3"/>
  <c r="H90" i="3"/>
  <c r="G90" i="3"/>
  <c r="F90" i="3"/>
  <c r="E90" i="3"/>
  <c r="C90" i="3"/>
  <c r="B90" i="3"/>
  <c r="A90" i="3"/>
  <c r="H89" i="3"/>
  <c r="G89" i="3"/>
  <c r="F89" i="3"/>
  <c r="A89" i="3"/>
  <c r="H88" i="3"/>
  <c r="G88" i="3"/>
  <c r="F88" i="3"/>
  <c r="A88" i="3"/>
  <c r="H87" i="3"/>
  <c r="G87" i="3"/>
  <c r="F87" i="3"/>
  <c r="E87" i="3"/>
  <c r="C87" i="3"/>
  <c r="B87" i="3"/>
  <c r="A87" i="3"/>
  <c r="H86" i="3"/>
  <c r="G86" i="3"/>
  <c r="F86" i="3"/>
  <c r="E86" i="3"/>
  <c r="B86" i="3"/>
  <c r="A86" i="3"/>
  <c r="H85" i="3"/>
  <c r="G85" i="3"/>
  <c r="F85" i="3"/>
  <c r="A85" i="3"/>
  <c r="H84" i="3"/>
  <c r="G84" i="3"/>
  <c r="F84" i="3"/>
  <c r="A84" i="3"/>
  <c r="H83" i="3"/>
  <c r="G83" i="3"/>
  <c r="F83" i="3"/>
  <c r="E83" i="3"/>
  <c r="B83" i="3"/>
  <c r="A83" i="3"/>
  <c r="H82" i="3"/>
  <c r="G82" i="3"/>
  <c r="F82" i="3"/>
  <c r="E82" i="3"/>
  <c r="C82" i="3"/>
  <c r="B82" i="3"/>
  <c r="A82" i="3"/>
  <c r="H81" i="3"/>
  <c r="G81" i="3"/>
  <c r="F81" i="3"/>
  <c r="E81" i="3"/>
  <c r="C81" i="3"/>
  <c r="B81" i="3"/>
  <c r="A81" i="3"/>
  <c r="H80" i="3"/>
  <c r="G80" i="3"/>
  <c r="F80" i="3"/>
  <c r="E80" i="3"/>
  <c r="C80" i="3"/>
  <c r="B80" i="3"/>
  <c r="A80" i="3"/>
  <c r="H79" i="3"/>
  <c r="G79" i="3"/>
  <c r="F79" i="3"/>
  <c r="E79" i="3"/>
  <c r="C79" i="3"/>
  <c r="B79" i="3"/>
  <c r="A79" i="3"/>
  <c r="H78" i="3"/>
  <c r="G78" i="3"/>
  <c r="F78" i="3"/>
  <c r="E78" i="3"/>
  <c r="C78" i="3"/>
  <c r="B78" i="3"/>
  <c r="A78" i="3"/>
  <c r="H77" i="3"/>
  <c r="G77" i="3"/>
  <c r="F77" i="3"/>
  <c r="E77" i="3"/>
  <c r="C77" i="3"/>
  <c r="B77" i="3"/>
  <c r="A77" i="3"/>
  <c r="H76" i="3"/>
  <c r="G76" i="3"/>
  <c r="F76" i="3"/>
  <c r="E76" i="3"/>
  <c r="D76" i="3"/>
  <c r="C76" i="3"/>
  <c r="B76" i="3"/>
  <c r="A76" i="3"/>
  <c r="H75" i="3"/>
  <c r="G75" i="3"/>
  <c r="F75" i="3"/>
  <c r="E75" i="3"/>
  <c r="B75" i="3"/>
  <c r="A75" i="3"/>
  <c r="H74" i="3"/>
  <c r="G74" i="3"/>
  <c r="F74" i="3"/>
  <c r="E74" i="3"/>
  <c r="D74" i="3"/>
  <c r="C74" i="3"/>
  <c r="B74" i="3"/>
  <c r="A74" i="3"/>
  <c r="H73" i="3"/>
  <c r="G73" i="3"/>
  <c r="F73" i="3"/>
  <c r="E73" i="3"/>
  <c r="B73" i="3"/>
  <c r="A73" i="3"/>
  <c r="H72" i="3"/>
  <c r="G72" i="3"/>
  <c r="F72" i="3"/>
  <c r="A72" i="3"/>
  <c r="H71" i="3"/>
  <c r="G71" i="3"/>
  <c r="F71" i="3"/>
  <c r="E71" i="3"/>
  <c r="A71" i="3"/>
  <c r="H70" i="3"/>
  <c r="G70" i="3"/>
  <c r="F70" i="3"/>
  <c r="E70" i="3"/>
  <c r="C70" i="3"/>
  <c r="B70" i="3"/>
  <c r="A70" i="3"/>
  <c r="H69" i="3"/>
  <c r="G69" i="3"/>
  <c r="F69" i="3"/>
  <c r="E69" i="3"/>
  <c r="C69" i="3"/>
  <c r="B69" i="3"/>
  <c r="A69" i="3"/>
  <c r="H68" i="3"/>
  <c r="G68" i="3"/>
  <c r="F68" i="3"/>
  <c r="E68" i="3"/>
  <c r="C68" i="3"/>
  <c r="B68" i="3"/>
  <c r="A68" i="3"/>
  <c r="H67" i="3"/>
  <c r="G67" i="3"/>
  <c r="F67" i="3"/>
  <c r="E67" i="3"/>
  <c r="C67" i="3"/>
  <c r="B67" i="3"/>
  <c r="A67" i="3"/>
  <c r="H66" i="3"/>
  <c r="G66" i="3"/>
  <c r="F66" i="3"/>
  <c r="A66" i="3"/>
  <c r="H65" i="3"/>
  <c r="G65" i="3"/>
  <c r="F65" i="3"/>
  <c r="A65" i="3"/>
  <c r="H64" i="3"/>
  <c r="G64" i="3"/>
  <c r="F64" i="3"/>
  <c r="E64" i="3"/>
  <c r="C64" i="3"/>
  <c r="B64" i="3"/>
  <c r="A64" i="3"/>
  <c r="H63" i="3"/>
  <c r="G63" i="3"/>
  <c r="F63" i="3"/>
  <c r="E63" i="3"/>
  <c r="C63" i="3"/>
  <c r="B63" i="3"/>
  <c r="A63" i="3"/>
  <c r="H62" i="3"/>
  <c r="G62" i="3"/>
  <c r="F62" i="3"/>
  <c r="E62" i="3"/>
  <c r="C62" i="3"/>
  <c r="B62" i="3"/>
  <c r="A62" i="3"/>
  <c r="H61" i="3"/>
  <c r="G61" i="3"/>
  <c r="F61" i="3"/>
  <c r="E61" i="3"/>
  <c r="C61" i="3"/>
  <c r="B61" i="3"/>
  <c r="A61" i="3"/>
  <c r="H60" i="3"/>
  <c r="G60" i="3"/>
  <c r="F60" i="3"/>
  <c r="E60" i="3"/>
  <c r="C60" i="3"/>
  <c r="B60" i="3"/>
  <c r="A60" i="3"/>
  <c r="H59" i="3"/>
  <c r="G59" i="3"/>
  <c r="F59" i="3"/>
  <c r="E59" i="3"/>
  <c r="C59" i="3"/>
  <c r="B59" i="3"/>
  <c r="A59" i="3"/>
  <c r="H58" i="3"/>
  <c r="G58" i="3"/>
  <c r="F58" i="3"/>
  <c r="E58" i="3"/>
  <c r="D58" i="3"/>
  <c r="C58" i="3"/>
  <c r="B58" i="3"/>
  <c r="A58" i="3"/>
  <c r="H57" i="3"/>
  <c r="G57" i="3"/>
  <c r="F57" i="3"/>
  <c r="E57" i="3"/>
  <c r="C57" i="3"/>
  <c r="B57" i="3"/>
  <c r="A57" i="3"/>
  <c r="H56" i="3"/>
  <c r="G56" i="3"/>
  <c r="F56" i="3"/>
  <c r="E56" i="3"/>
  <c r="B56" i="3"/>
  <c r="A56" i="3"/>
  <c r="H55" i="3"/>
  <c r="G55" i="3"/>
  <c r="F55" i="3"/>
  <c r="E55" i="3"/>
  <c r="C55" i="3"/>
  <c r="B55" i="3"/>
  <c r="A55" i="3"/>
  <c r="H54" i="3"/>
  <c r="G54" i="3"/>
  <c r="F54" i="3"/>
  <c r="E54" i="3"/>
  <c r="C54" i="3"/>
  <c r="B54" i="3"/>
  <c r="A54" i="3"/>
  <c r="H53" i="3"/>
  <c r="G53" i="3"/>
  <c r="F53" i="3"/>
  <c r="A53" i="3"/>
  <c r="H52" i="3"/>
  <c r="G52" i="3"/>
  <c r="F52" i="3"/>
  <c r="A52" i="3"/>
  <c r="H51" i="3"/>
  <c r="G51" i="3"/>
  <c r="F51" i="3"/>
  <c r="E51" i="3"/>
  <c r="B51" i="3"/>
  <c r="A51" i="3"/>
  <c r="H50" i="3"/>
  <c r="G50" i="3"/>
  <c r="F50" i="3"/>
  <c r="A50" i="3"/>
  <c r="H49" i="3"/>
  <c r="G49" i="3"/>
  <c r="F49" i="3"/>
  <c r="E49" i="3"/>
  <c r="C49" i="3"/>
  <c r="B49" i="3"/>
  <c r="A49" i="3"/>
  <c r="H48" i="3"/>
  <c r="G48" i="3"/>
  <c r="F48" i="3"/>
  <c r="E48" i="3"/>
  <c r="B48" i="3"/>
  <c r="A48" i="3"/>
  <c r="H47" i="3"/>
  <c r="G47" i="3"/>
  <c r="F47" i="3"/>
  <c r="C47" i="3"/>
  <c r="B47" i="3"/>
  <c r="A47" i="3"/>
  <c r="H46" i="3"/>
  <c r="G46" i="3"/>
  <c r="F46" i="3"/>
  <c r="A46" i="3"/>
  <c r="H45" i="3"/>
  <c r="G45" i="3"/>
  <c r="F45" i="3"/>
  <c r="E45" i="3"/>
  <c r="C45" i="3"/>
  <c r="B45" i="3"/>
  <c r="A45" i="3"/>
  <c r="H44" i="3"/>
  <c r="G44" i="3"/>
  <c r="F44" i="3"/>
  <c r="A44" i="3"/>
  <c r="H43" i="3"/>
  <c r="G43" i="3"/>
  <c r="F43" i="3"/>
  <c r="E43" i="3"/>
  <c r="B43" i="3"/>
  <c r="A43" i="3"/>
  <c r="H42" i="3"/>
  <c r="G42" i="3"/>
  <c r="F42" i="3"/>
  <c r="A42" i="3"/>
  <c r="H41" i="3"/>
  <c r="G41" i="3"/>
  <c r="F41" i="3"/>
  <c r="A41" i="3"/>
  <c r="H40" i="3"/>
  <c r="G40" i="3"/>
  <c r="F40" i="3"/>
  <c r="B40" i="3"/>
  <c r="A40" i="3"/>
  <c r="H39" i="3"/>
  <c r="G39" i="3"/>
  <c r="F39" i="3"/>
  <c r="E39" i="3"/>
  <c r="C39" i="3"/>
  <c r="B39" i="3"/>
  <c r="A39" i="3"/>
  <c r="H38" i="3"/>
  <c r="G38" i="3"/>
  <c r="F38" i="3"/>
  <c r="E38" i="3"/>
  <c r="C38" i="3"/>
  <c r="B38" i="3"/>
  <c r="A38" i="3"/>
  <c r="H37" i="3"/>
  <c r="G37" i="3"/>
  <c r="F37" i="3"/>
  <c r="E37" i="3"/>
  <c r="C37" i="3"/>
  <c r="B37" i="3"/>
  <c r="A37" i="3"/>
  <c r="H36" i="3"/>
  <c r="G36" i="3"/>
  <c r="F36" i="3"/>
  <c r="E36" i="3"/>
  <c r="D36" i="3"/>
  <c r="C36" i="3"/>
  <c r="B36" i="3"/>
  <c r="A36" i="3"/>
  <c r="H35" i="3"/>
  <c r="G35" i="3"/>
  <c r="F35" i="3"/>
  <c r="E35" i="3"/>
  <c r="D35" i="3"/>
  <c r="C35" i="3"/>
  <c r="B35" i="3"/>
  <c r="A35" i="3"/>
  <c r="H34" i="3"/>
  <c r="G34" i="3"/>
  <c r="F34" i="3"/>
  <c r="E34" i="3"/>
  <c r="D34" i="3"/>
  <c r="C34" i="3"/>
  <c r="B34" i="3"/>
  <c r="A34" i="3"/>
  <c r="H33" i="3"/>
  <c r="G33" i="3"/>
  <c r="F33" i="3"/>
  <c r="B33" i="3"/>
  <c r="A33" i="3"/>
  <c r="H32" i="3"/>
  <c r="G32" i="3"/>
  <c r="F32" i="3"/>
  <c r="B32" i="3"/>
  <c r="A32" i="3"/>
  <c r="H31" i="3"/>
  <c r="G31" i="3"/>
  <c r="F31" i="3"/>
  <c r="E31" i="3"/>
  <c r="C31" i="3"/>
  <c r="B31" i="3"/>
  <c r="A31" i="3"/>
  <c r="H30" i="3"/>
  <c r="G30" i="3"/>
  <c r="F30" i="3"/>
  <c r="E30" i="3"/>
  <c r="C30" i="3"/>
  <c r="B30" i="3"/>
  <c r="A30" i="3"/>
  <c r="H29" i="3"/>
  <c r="G29" i="3"/>
  <c r="F29" i="3"/>
  <c r="E29" i="3"/>
  <c r="C29" i="3"/>
  <c r="B29" i="3"/>
  <c r="A29" i="3"/>
  <c r="H28" i="3"/>
  <c r="G28" i="3"/>
  <c r="F28" i="3"/>
  <c r="E28" i="3"/>
  <c r="A28" i="3"/>
  <c r="H27" i="3"/>
  <c r="G27" i="3"/>
  <c r="F27" i="3"/>
  <c r="A27" i="3"/>
  <c r="H26" i="3"/>
  <c r="G26" i="3"/>
  <c r="F26" i="3"/>
  <c r="A26" i="3"/>
  <c r="H25" i="3"/>
  <c r="G25" i="3"/>
  <c r="F25" i="3"/>
  <c r="E25" i="3"/>
  <c r="A25" i="3"/>
  <c r="H24" i="3"/>
  <c r="G24" i="3"/>
  <c r="F24" i="3"/>
  <c r="E24" i="3"/>
  <c r="D24" i="3"/>
  <c r="C24" i="3"/>
  <c r="B24" i="3"/>
  <c r="A24" i="3"/>
  <c r="H23" i="3"/>
  <c r="G23" i="3"/>
  <c r="F23" i="3"/>
  <c r="E23" i="3"/>
  <c r="A23" i="3"/>
  <c r="H22" i="3"/>
  <c r="G22" i="3"/>
  <c r="F22" i="3"/>
  <c r="E22" i="3"/>
  <c r="D22" i="3"/>
  <c r="C22" i="3"/>
  <c r="B22" i="3"/>
  <c r="A22" i="3"/>
  <c r="H21" i="3"/>
  <c r="G21" i="3"/>
  <c r="F21" i="3"/>
  <c r="E21" i="3"/>
  <c r="B21" i="3"/>
  <c r="A21" i="3"/>
  <c r="H20" i="3"/>
  <c r="G20" i="3"/>
  <c r="F20" i="3"/>
  <c r="E20" i="3"/>
  <c r="C20" i="3"/>
  <c r="B20" i="3"/>
  <c r="A20" i="3"/>
  <c r="H19" i="3"/>
  <c r="G19" i="3"/>
  <c r="F19" i="3"/>
  <c r="E19" i="3"/>
  <c r="C19" i="3"/>
  <c r="B19" i="3"/>
  <c r="A19" i="3"/>
  <c r="H18" i="3"/>
  <c r="G18" i="3"/>
  <c r="F18" i="3"/>
  <c r="A18" i="3"/>
  <c r="H17" i="3"/>
  <c r="G17" i="3"/>
  <c r="F17" i="3"/>
  <c r="A17" i="3"/>
  <c r="H16" i="3"/>
  <c r="G16" i="3"/>
  <c r="F16" i="3"/>
  <c r="E16" i="3"/>
  <c r="C16" i="3"/>
  <c r="B16" i="3"/>
  <c r="A16" i="3"/>
  <c r="H15" i="3"/>
  <c r="G15" i="3"/>
  <c r="F15" i="3"/>
  <c r="E15" i="3"/>
  <c r="C15" i="3"/>
  <c r="B15" i="3"/>
  <c r="A15" i="3"/>
  <c r="H14" i="3"/>
  <c r="G14" i="3"/>
  <c r="F14" i="3"/>
  <c r="E14" i="3"/>
  <c r="C14" i="3"/>
  <c r="B14" i="3"/>
  <c r="A14" i="3"/>
  <c r="H13" i="3"/>
  <c r="G13" i="3"/>
  <c r="F13" i="3"/>
  <c r="E13" i="3"/>
  <c r="C13" i="3"/>
  <c r="B13" i="3"/>
  <c r="A13" i="3"/>
  <c r="H12" i="3"/>
  <c r="G12" i="3"/>
  <c r="F12" i="3"/>
  <c r="C12" i="3"/>
  <c r="B12" i="3"/>
  <c r="A12" i="3"/>
  <c r="H11" i="3"/>
  <c r="G11" i="3"/>
  <c r="F11" i="3"/>
  <c r="E11" i="3"/>
  <c r="C11" i="3"/>
  <c r="B11" i="3"/>
  <c r="A11" i="3"/>
  <c r="H10" i="3"/>
  <c r="G10" i="3"/>
  <c r="F10" i="3"/>
  <c r="E10" i="3"/>
  <c r="C10" i="3"/>
  <c r="B10" i="3"/>
  <c r="A10" i="3"/>
  <c r="H9" i="3"/>
  <c r="G9" i="3"/>
  <c r="F9" i="3"/>
  <c r="E9" i="3"/>
  <c r="C9" i="3"/>
  <c r="B9" i="3"/>
  <c r="A9" i="3"/>
  <c r="H8" i="3"/>
  <c r="G8" i="3"/>
  <c r="F8" i="3"/>
  <c r="E8" i="3"/>
  <c r="C8" i="3"/>
  <c r="B8" i="3"/>
  <c r="A8" i="3"/>
  <c r="H7" i="3"/>
  <c r="G7" i="3"/>
  <c r="F7" i="3"/>
  <c r="E7" i="3"/>
  <c r="A7" i="3"/>
  <c r="H6" i="3"/>
  <c r="G6" i="3"/>
  <c r="F6" i="3"/>
  <c r="E6" i="3"/>
  <c r="C6" i="3"/>
  <c r="B6" i="3"/>
  <c r="A6" i="3"/>
  <c r="H5" i="3"/>
  <c r="G5" i="3"/>
  <c r="F5" i="3"/>
  <c r="A5" i="3"/>
  <c r="H4" i="3"/>
  <c r="G4" i="3"/>
  <c r="F4" i="3"/>
  <c r="E4" i="3"/>
  <c r="D4" i="3"/>
  <c r="C4" i="3"/>
  <c r="B4" i="3"/>
  <c r="A4" i="3"/>
  <c r="H3" i="3"/>
  <c r="G3" i="3"/>
  <c r="F3" i="3"/>
  <c r="E3" i="3"/>
  <c r="D3" i="3"/>
  <c r="C3" i="3"/>
  <c r="B3" i="3"/>
  <c r="A3" i="3"/>
  <c r="H2" i="3"/>
  <c r="G2" i="3"/>
  <c r="F2" i="3"/>
  <c r="E2" i="3"/>
  <c r="D2" i="3"/>
  <c r="C2" i="3"/>
  <c r="B2" i="3"/>
  <c r="A2" i="3"/>
  <c r="H1" i="3"/>
  <c r="G1" i="3"/>
  <c r="F1" i="3"/>
  <c r="E1" i="3"/>
  <c r="D1" i="3"/>
  <c r="C1" i="3"/>
  <c r="B1" i="3"/>
  <c r="A1" i="3"/>
  <c r="AI2310" i="2"/>
  <c r="AH2310" i="2"/>
  <c r="AG2310" i="2"/>
  <c r="AF2310" i="2"/>
  <c r="AE2310" i="2"/>
  <c r="AD2310" i="2"/>
  <c r="AC2310" i="2"/>
  <c r="AB2310" i="2"/>
  <c r="AA2310" i="2"/>
  <c r="Z2310" i="2"/>
  <c r="Y2310" i="2"/>
  <c r="X2310" i="2"/>
  <c r="U2310" i="2"/>
  <c r="T2310" i="2"/>
  <c r="S2310" i="2"/>
  <c r="R2310" i="2"/>
  <c r="Q2310" i="2"/>
  <c r="P2310" i="2"/>
  <c r="O2310" i="2"/>
  <c r="N2310" i="2"/>
  <c r="K2310" i="2"/>
  <c r="J2310" i="2"/>
  <c r="I2310" i="2"/>
  <c r="H2310" i="2"/>
  <c r="G2310" i="2"/>
  <c r="F2310" i="2"/>
  <c r="E2310" i="2"/>
  <c r="D2310" i="2"/>
  <c r="C2310" i="2"/>
  <c r="B2310" i="2"/>
  <c r="A2310" i="2"/>
  <c r="AI2309" i="2"/>
  <c r="AH2309" i="2"/>
  <c r="AG2309" i="2"/>
  <c r="AF2309" i="2"/>
  <c r="AE2309" i="2"/>
  <c r="AD2309" i="2"/>
  <c r="AC2309" i="2"/>
  <c r="AB2309" i="2"/>
  <c r="AA2309" i="2"/>
  <c r="Z2309" i="2"/>
  <c r="Y2309" i="2"/>
  <c r="X2309" i="2"/>
  <c r="U2309" i="2"/>
  <c r="T2309" i="2"/>
  <c r="S2309" i="2"/>
  <c r="R2309" i="2"/>
  <c r="Q2309" i="2"/>
  <c r="P2309" i="2"/>
  <c r="O2309" i="2"/>
  <c r="N2309" i="2"/>
  <c r="K2309" i="2"/>
  <c r="J2309" i="2"/>
  <c r="I2309" i="2"/>
  <c r="H2309" i="2"/>
  <c r="G2309" i="2"/>
  <c r="F2309" i="2"/>
  <c r="E2309" i="2"/>
  <c r="D2309" i="2"/>
  <c r="C2309" i="2"/>
  <c r="B2309" i="2"/>
  <c r="A2309" i="2"/>
  <c r="AI2308" i="2"/>
  <c r="AH2308" i="2"/>
  <c r="AG2308" i="2"/>
  <c r="AF2308" i="2"/>
  <c r="AE2308" i="2"/>
  <c r="AD2308" i="2"/>
  <c r="AC2308" i="2"/>
  <c r="AB2308" i="2"/>
  <c r="AA2308" i="2"/>
  <c r="Z2308" i="2"/>
  <c r="Y2308" i="2"/>
  <c r="X2308" i="2"/>
  <c r="U2308" i="2"/>
  <c r="T2308" i="2"/>
  <c r="S2308" i="2"/>
  <c r="R2308" i="2"/>
  <c r="Q2308" i="2"/>
  <c r="P2308" i="2"/>
  <c r="O2308" i="2"/>
  <c r="N2308" i="2"/>
  <c r="K2308" i="2"/>
  <c r="J2308" i="2"/>
  <c r="I2308" i="2"/>
  <c r="H2308" i="2"/>
  <c r="G2308" i="2"/>
  <c r="F2308" i="2"/>
  <c r="E2308" i="2"/>
  <c r="D2308" i="2"/>
  <c r="C2308" i="2"/>
  <c r="B2308" i="2"/>
  <c r="A2308" i="2"/>
  <c r="AI2307" i="2"/>
  <c r="AH2307" i="2"/>
  <c r="AG2307" i="2"/>
  <c r="AF2307" i="2"/>
  <c r="AE2307" i="2"/>
  <c r="AD2307" i="2"/>
  <c r="AC2307" i="2"/>
  <c r="AB2307" i="2"/>
  <c r="AA2307" i="2"/>
  <c r="Z2307" i="2"/>
  <c r="Y2307" i="2"/>
  <c r="X2307" i="2"/>
  <c r="U2307" i="2"/>
  <c r="T2307" i="2"/>
  <c r="S2307" i="2"/>
  <c r="R2307" i="2"/>
  <c r="Q2307" i="2"/>
  <c r="P2307" i="2"/>
  <c r="O2307" i="2"/>
  <c r="N2307" i="2"/>
  <c r="K2307" i="2"/>
  <c r="J2307" i="2"/>
  <c r="I2307" i="2"/>
  <c r="H2307" i="2"/>
  <c r="G2307" i="2"/>
  <c r="F2307" i="2"/>
  <c r="E2307" i="2"/>
  <c r="D2307" i="2"/>
  <c r="C2307" i="2"/>
  <c r="B2307" i="2"/>
  <c r="A2307" i="2"/>
  <c r="AI2306" i="2"/>
  <c r="AH2306" i="2"/>
  <c r="AG2306" i="2"/>
  <c r="AF2306" i="2"/>
  <c r="AE2306" i="2"/>
  <c r="AD2306" i="2"/>
  <c r="AC2306" i="2"/>
  <c r="AB2306" i="2"/>
  <c r="AA2306" i="2"/>
  <c r="Z2306" i="2"/>
  <c r="Y2306" i="2"/>
  <c r="V2306" i="2"/>
  <c r="U2306" i="2"/>
  <c r="T2306" i="2"/>
  <c r="S2306" i="2"/>
  <c r="R2306" i="2"/>
  <c r="Q2306" i="2"/>
  <c r="P2306" i="2"/>
  <c r="O2306" i="2"/>
  <c r="N2306" i="2"/>
  <c r="K2306" i="2"/>
  <c r="J2306" i="2"/>
  <c r="I2306" i="2"/>
  <c r="H2306" i="2"/>
  <c r="G2306" i="2"/>
  <c r="F2306" i="2"/>
  <c r="E2306" i="2"/>
  <c r="D2306" i="2"/>
  <c r="C2306" i="2"/>
  <c r="B2306" i="2"/>
  <c r="A2306" i="2"/>
  <c r="AI2305" i="2"/>
  <c r="AH2305" i="2"/>
  <c r="AG2305" i="2"/>
  <c r="AF2305" i="2"/>
  <c r="AE2305" i="2"/>
  <c r="AD2305" i="2"/>
  <c r="AC2305" i="2"/>
  <c r="AB2305" i="2"/>
  <c r="AA2305" i="2"/>
  <c r="Z2305" i="2"/>
  <c r="Y2305" i="2"/>
  <c r="X2305" i="2"/>
  <c r="W2305" i="2"/>
  <c r="V2305" i="2"/>
  <c r="U2305" i="2"/>
  <c r="T2305" i="2"/>
  <c r="S2305" i="2"/>
  <c r="R2305" i="2"/>
  <c r="Q2305" i="2"/>
  <c r="P2305" i="2"/>
  <c r="O2305" i="2"/>
  <c r="N2305" i="2"/>
  <c r="K2305" i="2"/>
  <c r="J2305" i="2"/>
  <c r="I2305" i="2"/>
  <c r="H2305" i="2"/>
  <c r="G2305" i="2"/>
  <c r="F2305" i="2"/>
  <c r="E2305" i="2"/>
  <c r="D2305" i="2"/>
  <c r="C2305" i="2"/>
  <c r="B2305" i="2"/>
  <c r="A2305" i="2"/>
  <c r="AI2304" i="2"/>
  <c r="AH2304" i="2"/>
  <c r="AG2304" i="2"/>
  <c r="AF2304" i="2"/>
  <c r="AE2304" i="2"/>
  <c r="AD2304" i="2"/>
  <c r="AC2304" i="2"/>
  <c r="AB2304" i="2"/>
  <c r="AA2304" i="2"/>
  <c r="Z2304" i="2"/>
  <c r="Y2304" i="2"/>
  <c r="X2304" i="2"/>
  <c r="W2304" i="2"/>
  <c r="V2304" i="2"/>
  <c r="U2304" i="2"/>
  <c r="T2304" i="2"/>
  <c r="S2304" i="2"/>
  <c r="R2304" i="2"/>
  <c r="Q2304" i="2"/>
  <c r="P2304" i="2"/>
  <c r="O2304" i="2"/>
  <c r="N2304" i="2"/>
  <c r="K2304" i="2"/>
  <c r="J2304" i="2"/>
  <c r="I2304" i="2"/>
  <c r="H2304" i="2"/>
  <c r="G2304" i="2"/>
  <c r="F2304" i="2"/>
  <c r="E2304" i="2"/>
  <c r="D2304" i="2"/>
  <c r="C2304" i="2"/>
  <c r="B2304" i="2"/>
  <c r="A2304" i="2"/>
  <c r="AI2303" i="2"/>
  <c r="AH2303" i="2"/>
  <c r="AG2303" i="2"/>
  <c r="AF2303" i="2"/>
  <c r="AE2303" i="2"/>
  <c r="AD2303" i="2"/>
  <c r="AC2303" i="2"/>
  <c r="AB2303" i="2"/>
  <c r="AA2303" i="2"/>
  <c r="Z2303" i="2"/>
  <c r="Y2303" i="2"/>
  <c r="X2303" i="2"/>
  <c r="W2303" i="2"/>
  <c r="V2303" i="2"/>
  <c r="U2303" i="2"/>
  <c r="T2303" i="2"/>
  <c r="S2303" i="2"/>
  <c r="R2303" i="2"/>
  <c r="Q2303" i="2"/>
  <c r="P2303" i="2"/>
  <c r="O2303" i="2"/>
  <c r="N2303" i="2"/>
  <c r="K2303" i="2"/>
  <c r="J2303" i="2"/>
  <c r="I2303" i="2"/>
  <c r="H2303" i="2"/>
  <c r="G2303" i="2"/>
  <c r="F2303" i="2"/>
  <c r="E2303" i="2"/>
  <c r="D2303" i="2"/>
  <c r="C2303" i="2"/>
  <c r="B2303" i="2"/>
  <c r="A2303" i="2"/>
  <c r="AI2302" i="2"/>
  <c r="AH2302" i="2"/>
  <c r="AF2302" i="2"/>
  <c r="AE2302" i="2"/>
  <c r="AD2302" i="2"/>
  <c r="AC2302" i="2"/>
  <c r="AB2302" i="2"/>
  <c r="AA2302" i="2"/>
  <c r="Z2302" i="2"/>
  <c r="Y2302" i="2"/>
  <c r="U2302" i="2"/>
  <c r="T2302" i="2"/>
  <c r="S2302" i="2"/>
  <c r="R2302" i="2"/>
  <c r="Q2302" i="2"/>
  <c r="P2302" i="2"/>
  <c r="O2302" i="2"/>
  <c r="N2302" i="2"/>
  <c r="K2302" i="2"/>
  <c r="J2302" i="2"/>
  <c r="I2302" i="2"/>
  <c r="H2302" i="2"/>
  <c r="G2302" i="2"/>
  <c r="F2302" i="2"/>
  <c r="E2302" i="2"/>
  <c r="D2302" i="2"/>
  <c r="C2302" i="2"/>
  <c r="B2302" i="2"/>
  <c r="A2302" i="2"/>
  <c r="AI2301" i="2"/>
  <c r="AH2301" i="2"/>
  <c r="AG2301" i="2"/>
  <c r="AF2301" i="2"/>
  <c r="AE2301" i="2"/>
  <c r="AD2301" i="2"/>
  <c r="AC2301" i="2"/>
  <c r="AB2301" i="2"/>
  <c r="AA2301" i="2"/>
  <c r="Z2301" i="2"/>
  <c r="Y2301" i="2"/>
  <c r="X2301" i="2"/>
  <c r="W2301" i="2"/>
  <c r="V2301" i="2"/>
  <c r="U2301" i="2"/>
  <c r="T2301" i="2"/>
  <c r="S2301" i="2"/>
  <c r="R2301" i="2"/>
  <c r="Q2301" i="2"/>
  <c r="P2301" i="2"/>
  <c r="O2301" i="2"/>
  <c r="N2301" i="2"/>
  <c r="K2301" i="2"/>
  <c r="J2301" i="2"/>
  <c r="I2301" i="2"/>
  <c r="H2301" i="2"/>
  <c r="G2301" i="2"/>
  <c r="F2301" i="2"/>
  <c r="E2301" i="2"/>
  <c r="D2301" i="2"/>
  <c r="C2301" i="2"/>
  <c r="B2301" i="2"/>
  <c r="A2301" i="2"/>
  <c r="AI2300" i="2"/>
  <c r="AH2300" i="2"/>
  <c r="AG2300" i="2"/>
  <c r="AF2300" i="2"/>
  <c r="AE2300" i="2"/>
  <c r="AD2300" i="2"/>
  <c r="AC2300" i="2"/>
  <c r="AB2300" i="2"/>
  <c r="AA2300" i="2"/>
  <c r="Z2300" i="2"/>
  <c r="Y2300" i="2"/>
  <c r="V2300" i="2"/>
  <c r="U2300" i="2"/>
  <c r="T2300" i="2"/>
  <c r="S2300" i="2"/>
  <c r="R2300" i="2"/>
  <c r="Q2300" i="2"/>
  <c r="P2300" i="2"/>
  <c r="O2300" i="2"/>
  <c r="N2300" i="2"/>
  <c r="K2300" i="2"/>
  <c r="J2300" i="2"/>
  <c r="I2300" i="2"/>
  <c r="H2300" i="2"/>
  <c r="G2300" i="2"/>
  <c r="F2300" i="2"/>
  <c r="E2300" i="2"/>
  <c r="D2300" i="2"/>
  <c r="C2300" i="2"/>
  <c r="B2300" i="2"/>
  <c r="A2300" i="2"/>
  <c r="AI2299" i="2"/>
  <c r="AH2299" i="2"/>
  <c r="AG2299" i="2"/>
  <c r="AF2299" i="2"/>
  <c r="AE2299" i="2"/>
  <c r="AD2299" i="2"/>
  <c r="AC2299" i="2"/>
  <c r="AB2299" i="2"/>
  <c r="AA2299" i="2"/>
  <c r="Z2299" i="2"/>
  <c r="Y2299" i="2"/>
  <c r="U2299" i="2"/>
  <c r="T2299" i="2"/>
  <c r="S2299" i="2"/>
  <c r="R2299" i="2"/>
  <c r="Q2299" i="2"/>
  <c r="P2299" i="2"/>
  <c r="O2299" i="2"/>
  <c r="N2299" i="2"/>
  <c r="K2299" i="2"/>
  <c r="J2299" i="2"/>
  <c r="I2299" i="2"/>
  <c r="H2299" i="2"/>
  <c r="G2299" i="2"/>
  <c r="F2299" i="2"/>
  <c r="E2299" i="2"/>
  <c r="D2299" i="2"/>
  <c r="C2299" i="2"/>
  <c r="B2299" i="2"/>
  <c r="A2299" i="2"/>
  <c r="AJ2298" i="2"/>
  <c r="AI2298" i="2"/>
  <c r="AH2298" i="2"/>
  <c r="AG2298" i="2"/>
  <c r="AF2298" i="2"/>
  <c r="AD2298" i="2"/>
  <c r="AC2298" i="2"/>
  <c r="AB2298" i="2"/>
  <c r="AA2298" i="2"/>
  <c r="Z2298" i="2"/>
  <c r="Y2298" i="2"/>
  <c r="T2298" i="2"/>
  <c r="S2298" i="2"/>
  <c r="R2298" i="2"/>
  <c r="Q2298" i="2"/>
  <c r="P2298" i="2"/>
  <c r="O2298" i="2"/>
  <c r="N2298" i="2"/>
  <c r="K2298" i="2"/>
  <c r="J2298" i="2"/>
  <c r="I2298" i="2"/>
  <c r="H2298" i="2"/>
  <c r="G2298" i="2"/>
  <c r="F2298" i="2"/>
  <c r="E2298" i="2"/>
  <c r="D2298" i="2"/>
  <c r="C2298" i="2"/>
  <c r="B2298" i="2"/>
  <c r="A2298" i="2"/>
  <c r="AI2297" i="2"/>
  <c r="AH2297" i="2"/>
  <c r="AG2297" i="2"/>
  <c r="AF2297" i="2"/>
  <c r="AE2297" i="2"/>
  <c r="AD2297" i="2"/>
  <c r="AC2297" i="2"/>
  <c r="AB2297" i="2"/>
  <c r="AA2297" i="2"/>
  <c r="Z2297" i="2"/>
  <c r="Y2297" i="2"/>
  <c r="U2297" i="2"/>
  <c r="T2297" i="2"/>
  <c r="S2297" i="2"/>
  <c r="R2297" i="2"/>
  <c r="Q2297" i="2"/>
  <c r="P2297" i="2"/>
  <c r="O2297" i="2"/>
  <c r="N2297" i="2"/>
  <c r="K2297" i="2"/>
  <c r="J2297" i="2"/>
  <c r="I2297" i="2"/>
  <c r="H2297" i="2"/>
  <c r="G2297" i="2"/>
  <c r="F2297" i="2"/>
  <c r="E2297" i="2"/>
  <c r="D2297" i="2"/>
  <c r="C2297" i="2"/>
  <c r="B2297" i="2"/>
  <c r="A2297" i="2"/>
  <c r="AI2296" i="2"/>
  <c r="AH2296" i="2"/>
  <c r="AG2296" i="2"/>
  <c r="AF2296" i="2"/>
  <c r="AE2296" i="2"/>
  <c r="AD2296" i="2"/>
  <c r="AC2296" i="2"/>
  <c r="AB2296" i="2"/>
  <c r="AA2296" i="2"/>
  <c r="Z2296" i="2"/>
  <c r="Y2296" i="2"/>
  <c r="U2296" i="2"/>
  <c r="T2296" i="2"/>
  <c r="S2296" i="2"/>
  <c r="R2296" i="2"/>
  <c r="Q2296" i="2"/>
  <c r="P2296" i="2"/>
  <c r="O2296" i="2"/>
  <c r="N2296" i="2"/>
  <c r="K2296" i="2"/>
  <c r="J2296" i="2"/>
  <c r="I2296" i="2"/>
  <c r="H2296" i="2"/>
  <c r="G2296" i="2"/>
  <c r="F2296" i="2"/>
  <c r="E2296" i="2"/>
  <c r="D2296" i="2"/>
  <c r="C2296" i="2"/>
  <c r="B2296" i="2"/>
  <c r="A2296" i="2"/>
  <c r="AI2295" i="2"/>
  <c r="AH2295" i="2"/>
  <c r="AG2295" i="2"/>
  <c r="AF2295" i="2"/>
  <c r="AE2295" i="2"/>
  <c r="AD2295" i="2"/>
  <c r="AC2295" i="2"/>
  <c r="AB2295" i="2"/>
  <c r="AA2295" i="2"/>
  <c r="Z2295" i="2"/>
  <c r="Y2295" i="2"/>
  <c r="U2295" i="2"/>
  <c r="T2295" i="2"/>
  <c r="S2295" i="2"/>
  <c r="R2295" i="2"/>
  <c r="Q2295" i="2"/>
  <c r="P2295" i="2"/>
  <c r="O2295" i="2"/>
  <c r="N2295" i="2"/>
  <c r="K2295" i="2"/>
  <c r="J2295" i="2"/>
  <c r="I2295" i="2"/>
  <c r="H2295" i="2"/>
  <c r="G2295" i="2"/>
  <c r="F2295" i="2"/>
  <c r="E2295" i="2"/>
  <c r="D2295" i="2"/>
  <c r="C2295" i="2"/>
  <c r="B2295" i="2"/>
  <c r="A2295" i="2"/>
  <c r="AI2294" i="2"/>
  <c r="AH2294" i="2"/>
  <c r="AG2294" i="2"/>
  <c r="AF2294" i="2"/>
  <c r="AE2294" i="2"/>
  <c r="AD2294" i="2"/>
  <c r="AC2294" i="2"/>
  <c r="AB2294" i="2"/>
  <c r="AA2294" i="2"/>
  <c r="Z2294" i="2"/>
  <c r="Y2294" i="2"/>
  <c r="X2294" i="2"/>
  <c r="W2294" i="2"/>
  <c r="V2294" i="2"/>
  <c r="U2294" i="2"/>
  <c r="T2294" i="2"/>
  <c r="S2294" i="2"/>
  <c r="R2294" i="2"/>
  <c r="Q2294" i="2"/>
  <c r="P2294" i="2"/>
  <c r="O2294" i="2"/>
  <c r="N2294" i="2"/>
  <c r="K2294" i="2"/>
  <c r="J2294" i="2"/>
  <c r="I2294" i="2"/>
  <c r="H2294" i="2"/>
  <c r="G2294" i="2"/>
  <c r="F2294" i="2"/>
  <c r="E2294" i="2"/>
  <c r="D2294" i="2"/>
  <c r="C2294" i="2"/>
  <c r="B2294" i="2"/>
  <c r="A2294" i="2"/>
  <c r="AI2293" i="2"/>
  <c r="AH2293" i="2"/>
  <c r="AF2293" i="2"/>
  <c r="AE2293" i="2"/>
  <c r="AD2293" i="2"/>
  <c r="AC2293" i="2"/>
  <c r="AB2293" i="2"/>
  <c r="AA2293" i="2"/>
  <c r="Z2293" i="2"/>
  <c r="Y2293" i="2"/>
  <c r="X2293" i="2"/>
  <c r="W2293" i="2"/>
  <c r="V2293" i="2"/>
  <c r="U2293" i="2"/>
  <c r="T2293" i="2"/>
  <c r="S2293" i="2"/>
  <c r="R2293" i="2"/>
  <c r="Q2293" i="2"/>
  <c r="P2293" i="2"/>
  <c r="O2293" i="2"/>
  <c r="N2293" i="2"/>
  <c r="K2293" i="2"/>
  <c r="J2293" i="2"/>
  <c r="I2293" i="2"/>
  <c r="H2293" i="2"/>
  <c r="G2293" i="2"/>
  <c r="F2293" i="2"/>
  <c r="E2293" i="2"/>
  <c r="D2293" i="2"/>
  <c r="C2293" i="2"/>
  <c r="B2293" i="2"/>
  <c r="A2293" i="2"/>
  <c r="AI2292" i="2"/>
  <c r="AH2292" i="2"/>
  <c r="AG2292" i="2"/>
  <c r="AF2292" i="2"/>
  <c r="AE2292" i="2"/>
  <c r="AD2292" i="2"/>
  <c r="AC2292" i="2"/>
  <c r="AA2292" i="2"/>
  <c r="Z2292" i="2"/>
  <c r="Y2292" i="2"/>
  <c r="X2292" i="2"/>
  <c r="U2292" i="2"/>
  <c r="T2292" i="2"/>
  <c r="S2292" i="2"/>
  <c r="R2292" i="2"/>
  <c r="Q2292" i="2"/>
  <c r="P2292" i="2"/>
  <c r="O2292" i="2"/>
  <c r="N2292" i="2"/>
  <c r="K2292" i="2"/>
  <c r="J2292" i="2"/>
  <c r="I2292" i="2"/>
  <c r="H2292" i="2"/>
  <c r="G2292" i="2"/>
  <c r="F2292" i="2"/>
  <c r="E2292" i="2"/>
  <c r="D2292" i="2"/>
  <c r="C2292" i="2"/>
  <c r="B2292" i="2"/>
  <c r="A2292" i="2"/>
  <c r="AJ2291" i="2"/>
  <c r="AI2291" i="2"/>
  <c r="AH2291" i="2"/>
  <c r="AG2291" i="2"/>
  <c r="AF2291" i="2"/>
  <c r="AE2291" i="2"/>
  <c r="AD2291" i="2"/>
  <c r="AC2291" i="2"/>
  <c r="AB2291" i="2"/>
  <c r="AA2291" i="2"/>
  <c r="Z2291" i="2"/>
  <c r="Y2291" i="2"/>
  <c r="X2291" i="2"/>
  <c r="W2291" i="2"/>
  <c r="V2291" i="2"/>
  <c r="U2291" i="2"/>
  <c r="T2291" i="2"/>
  <c r="S2291" i="2"/>
  <c r="R2291" i="2"/>
  <c r="Q2291" i="2"/>
  <c r="P2291" i="2"/>
  <c r="O2291" i="2"/>
  <c r="N2291" i="2"/>
  <c r="K2291" i="2"/>
  <c r="J2291" i="2"/>
  <c r="I2291" i="2"/>
  <c r="H2291" i="2"/>
  <c r="G2291" i="2"/>
  <c r="F2291" i="2"/>
  <c r="E2291" i="2"/>
  <c r="D2291" i="2"/>
  <c r="C2291" i="2"/>
  <c r="B2291" i="2"/>
  <c r="A2291" i="2"/>
  <c r="AI2290" i="2"/>
  <c r="AH2290" i="2"/>
  <c r="AG2290" i="2"/>
  <c r="AF2290" i="2"/>
  <c r="AE2290" i="2"/>
  <c r="AD2290" i="2"/>
  <c r="AC2290" i="2"/>
  <c r="AB2290" i="2"/>
  <c r="AA2290" i="2"/>
  <c r="Z2290" i="2"/>
  <c r="Y2290" i="2"/>
  <c r="U2290" i="2"/>
  <c r="T2290" i="2"/>
  <c r="S2290" i="2"/>
  <c r="R2290" i="2"/>
  <c r="Q2290" i="2"/>
  <c r="P2290" i="2"/>
  <c r="O2290" i="2"/>
  <c r="N2290" i="2"/>
  <c r="K2290" i="2"/>
  <c r="J2290" i="2"/>
  <c r="I2290" i="2"/>
  <c r="H2290" i="2"/>
  <c r="G2290" i="2"/>
  <c r="F2290" i="2"/>
  <c r="E2290" i="2"/>
  <c r="D2290" i="2"/>
  <c r="C2290" i="2"/>
  <c r="B2290" i="2"/>
  <c r="A2290" i="2"/>
  <c r="AI2289" i="2"/>
  <c r="AF2289" i="2"/>
  <c r="AE2289" i="2"/>
  <c r="AD2289" i="2"/>
  <c r="AC2289" i="2"/>
  <c r="AB2289" i="2"/>
  <c r="AA2289" i="2"/>
  <c r="Z2289" i="2"/>
  <c r="Y2289" i="2"/>
  <c r="V2289" i="2"/>
  <c r="U2289" i="2"/>
  <c r="T2289" i="2"/>
  <c r="S2289" i="2"/>
  <c r="R2289" i="2"/>
  <c r="Q2289" i="2"/>
  <c r="P2289" i="2"/>
  <c r="O2289" i="2"/>
  <c r="N2289" i="2"/>
  <c r="K2289" i="2"/>
  <c r="J2289" i="2"/>
  <c r="I2289" i="2"/>
  <c r="H2289" i="2"/>
  <c r="G2289" i="2"/>
  <c r="F2289" i="2"/>
  <c r="E2289" i="2"/>
  <c r="D2289" i="2"/>
  <c r="C2289" i="2"/>
  <c r="B2289" i="2"/>
  <c r="A2289" i="2"/>
  <c r="AI2288" i="2"/>
  <c r="AH2288" i="2"/>
  <c r="AG2288" i="2"/>
  <c r="AF2288" i="2"/>
  <c r="AE2288" i="2"/>
  <c r="AD2288" i="2"/>
  <c r="AC2288" i="2"/>
  <c r="AB2288" i="2"/>
  <c r="AA2288" i="2"/>
  <c r="Z2288" i="2"/>
  <c r="Y2288" i="2"/>
  <c r="U2288" i="2"/>
  <c r="T2288" i="2"/>
  <c r="S2288" i="2"/>
  <c r="R2288" i="2"/>
  <c r="Q2288" i="2"/>
  <c r="P2288" i="2"/>
  <c r="O2288" i="2"/>
  <c r="N2288" i="2"/>
  <c r="K2288" i="2"/>
  <c r="J2288" i="2"/>
  <c r="I2288" i="2"/>
  <c r="H2288" i="2"/>
  <c r="G2288" i="2"/>
  <c r="F2288" i="2"/>
  <c r="E2288" i="2"/>
  <c r="D2288" i="2"/>
  <c r="C2288" i="2"/>
  <c r="B2288" i="2"/>
  <c r="A2288" i="2"/>
  <c r="AI2287" i="2"/>
  <c r="AH2287" i="2"/>
  <c r="AF2287" i="2"/>
  <c r="AE2287" i="2"/>
  <c r="AD2287" i="2"/>
  <c r="AC2287" i="2"/>
  <c r="AB2287" i="2"/>
  <c r="AA2287" i="2"/>
  <c r="Z2287" i="2"/>
  <c r="Y2287" i="2"/>
  <c r="U2287" i="2"/>
  <c r="T2287" i="2"/>
  <c r="S2287" i="2"/>
  <c r="R2287" i="2"/>
  <c r="Q2287" i="2"/>
  <c r="P2287" i="2"/>
  <c r="O2287" i="2"/>
  <c r="N2287" i="2"/>
  <c r="K2287" i="2"/>
  <c r="J2287" i="2"/>
  <c r="I2287" i="2"/>
  <c r="H2287" i="2"/>
  <c r="G2287" i="2"/>
  <c r="F2287" i="2"/>
  <c r="E2287" i="2"/>
  <c r="D2287" i="2"/>
  <c r="C2287" i="2"/>
  <c r="B2287" i="2"/>
  <c r="A2287" i="2"/>
  <c r="AI2286" i="2"/>
  <c r="AH2286" i="2"/>
  <c r="AG2286" i="2"/>
  <c r="AF2286" i="2"/>
  <c r="AE2286" i="2"/>
  <c r="AD2286" i="2"/>
  <c r="AC2286" i="2"/>
  <c r="AB2286" i="2"/>
  <c r="AA2286" i="2"/>
  <c r="Z2286" i="2"/>
  <c r="Y2286" i="2"/>
  <c r="X2286" i="2"/>
  <c r="U2286" i="2"/>
  <c r="T2286" i="2"/>
  <c r="S2286" i="2"/>
  <c r="R2286" i="2"/>
  <c r="Q2286" i="2"/>
  <c r="P2286" i="2"/>
  <c r="O2286" i="2"/>
  <c r="N2286" i="2"/>
  <c r="K2286" i="2"/>
  <c r="J2286" i="2"/>
  <c r="I2286" i="2"/>
  <c r="H2286" i="2"/>
  <c r="G2286" i="2"/>
  <c r="F2286" i="2"/>
  <c r="E2286" i="2"/>
  <c r="D2286" i="2"/>
  <c r="C2286" i="2"/>
  <c r="B2286" i="2"/>
  <c r="A2286" i="2"/>
  <c r="AI2285" i="2"/>
  <c r="AH2285" i="2"/>
  <c r="AG2285" i="2"/>
  <c r="AF2285" i="2"/>
  <c r="AE2285" i="2"/>
  <c r="AD2285" i="2"/>
  <c r="AC2285" i="2"/>
  <c r="AB2285" i="2"/>
  <c r="AA2285" i="2"/>
  <c r="Z2285" i="2"/>
  <c r="Y2285" i="2"/>
  <c r="X2285" i="2"/>
  <c r="U2285" i="2"/>
  <c r="T2285" i="2"/>
  <c r="S2285" i="2"/>
  <c r="R2285" i="2"/>
  <c r="Q2285" i="2"/>
  <c r="P2285" i="2"/>
  <c r="O2285" i="2"/>
  <c r="N2285" i="2"/>
  <c r="K2285" i="2"/>
  <c r="J2285" i="2"/>
  <c r="I2285" i="2"/>
  <c r="H2285" i="2"/>
  <c r="G2285" i="2"/>
  <c r="F2285" i="2"/>
  <c r="E2285" i="2"/>
  <c r="D2285" i="2"/>
  <c r="C2285" i="2"/>
  <c r="B2285" i="2"/>
  <c r="A2285" i="2"/>
  <c r="AI2284" i="2"/>
  <c r="AH2284" i="2"/>
  <c r="AG2284" i="2"/>
  <c r="AF2284" i="2"/>
  <c r="AE2284" i="2"/>
  <c r="AD2284" i="2"/>
  <c r="AC2284" i="2"/>
  <c r="AB2284" i="2"/>
  <c r="AA2284" i="2"/>
  <c r="Z2284" i="2"/>
  <c r="Y2284" i="2"/>
  <c r="X2284" i="2"/>
  <c r="U2284" i="2"/>
  <c r="T2284" i="2"/>
  <c r="S2284" i="2"/>
  <c r="R2284" i="2"/>
  <c r="Q2284" i="2"/>
  <c r="P2284" i="2"/>
  <c r="O2284" i="2"/>
  <c r="N2284" i="2"/>
  <c r="K2284" i="2"/>
  <c r="J2284" i="2"/>
  <c r="I2284" i="2"/>
  <c r="H2284" i="2"/>
  <c r="G2284" i="2"/>
  <c r="F2284" i="2"/>
  <c r="E2284" i="2"/>
  <c r="D2284" i="2"/>
  <c r="C2284" i="2"/>
  <c r="B2284" i="2"/>
  <c r="A2284" i="2"/>
  <c r="AI2283" i="2"/>
  <c r="AH2283" i="2"/>
  <c r="AG2283" i="2"/>
  <c r="AF2283" i="2"/>
  <c r="AE2283" i="2"/>
  <c r="AD2283" i="2"/>
  <c r="AC2283" i="2"/>
  <c r="AB2283" i="2"/>
  <c r="AA2283" i="2"/>
  <c r="Z2283" i="2"/>
  <c r="Y2283" i="2"/>
  <c r="X2283" i="2"/>
  <c r="V2283" i="2"/>
  <c r="U2283" i="2"/>
  <c r="T2283" i="2"/>
  <c r="S2283" i="2"/>
  <c r="R2283" i="2"/>
  <c r="Q2283" i="2"/>
  <c r="P2283" i="2"/>
  <c r="O2283" i="2"/>
  <c r="N2283" i="2"/>
  <c r="K2283" i="2"/>
  <c r="J2283" i="2"/>
  <c r="I2283" i="2"/>
  <c r="H2283" i="2"/>
  <c r="G2283" i="2"/>
  <c r="F2283" i="2"/>
  <c r="E2283" i="2"/>
  <c r="D2283" i="2"/>
  <c r="C2283" i="2"/>
  <c r="B2283" i="2"/>
  <c r="A2283" i="2"/>
  <c r="AI2282" i="2"/>
  <c r="AH2282" i="2"/>
  <c r="AG2282" i="2"/>
  <c r="AF2282" i="2"/>
  <c r="AE2282" i="2"/>
  <c r="AD2282" i="2"/>
  <c r="AC2282" i="2"/>
  <c r="AB2282" i="2"/>
  <c r="AA2282" i="2"/>
  <c r="Z2282" i="2"/>
  <c r="Y2282" i="2"/>
  <c r="V2282" i="2"/>
  <c r="U2282" i="2"/>
  <c r="T2282" i="2"/>
  <c r="S2282" i="2"/>
  <c r="R2282" i="2"/>
  <c r="Q2282" i="2"/>
  <c r="P2282" i="2"/>
  <c r="O2282" i="2"/>
  <c r="N2282" i="2"/>
  <c r="K2282" i="2"/>
  <c r="J2282" i="2"/>
  <c r="I2282" i="2"/>
  <c r="H2282" i="2"/>
  <c r="G2282" i="2"/>
  <c r="F2282" i="2"/>
  <c r="E2282" i="2"/>
  <c r="D2282" i="2"/>
  <c r="C2282" i="2"/>
  <c r="B2282" i="2"/>
  <c r="A2282" i="2"/>
  <c r="AI2281" i="2"/>
  <c r="AH2281" i="2"/>
  <c r="AG2281" i="2"/>
  <c r="AF2281" i="2"/>
  <c r="AE2281" i="2"/>
  <c r="AD2281" i="2"/>
  <c r="AC2281" i="2"/>
  <c r="AB2281" i="2"/>
  <c r="AA2281" i="2"/>
  <c r="Z2281" i="2"/>
  <c r="Y2281" i="2"/>
  <c r="V2281" i="2"/>
  <c r="U2281" i="2"/>
  <c r="T2281" i="2"/>
  <c r="S2281" i="2"/>
  <c r="R2281" i="2"/>
  <c r="Q2281" i="2"/>
  <c r="P2281" i="2"/>
  <c r="O2281" i="2"/>
  <c r="N2281" i="2"/>
  <c r="K2281" i="2"/>
  <c r="J2281" i="2"/>
  <c r="I2281" i="2"/>
  <c r="H2281" i="2"/>
  <c r="G2281" i="2"/>
  <c r="F2281" i="2"/>
  <c r="E2281" i="2"/>
  <c r="D2281" i="2"/>
  <c r="C2281" i="2"/>
  <c r="B2281" i="2"/>
  <c r="A2281" i="2"/>
  <c r="AI2280" i="2"/>
  <c r="AH2280" i="2"/>
  <c r="AG2280" i="2"/>
  <c r="AF2280" i="2"/>
  <c r="AE2280" i="2"/>
  <c r="AD2280" i="2"/>
  <c r="AC2280" i="2"/>
  <c r="AB2280" i="2"/>
  <c r="AA2280" i="2"/>
  <c r="Z2280" i="2"/>
  <c r="Y2280" i="2"/>
  <c r="X2280" i="2"/>
  <c r="U2280" i="2"/>
  <c r="T2280" i="2"/>
  <c r="S2280" i="2"/>
  <c r="R2280" i="2"/>
  <c r="Q2280" i="2"/>
  <c r="P2280" i="2"/>
  <c r="O2280" i="2"/>
  <c r="N2280" i="2"/>
  <c r="K2280" i="2"/>
  <c r="J2280" i="2"/>
  <c r="I2280" i="2"/>
  <c r="H2280" i="2"/>
  <c r="G2280" i="2"/>
  <c r="F2280" i="2"/>
  <c r="E2280" i="2"/>
  <c r="D2280" i="2"/>
  <c r="C2280" i="2"/>
  <c r="B2280" i="2"/>
  <c r="A2280" i="2"/>
  <c r="AI2279" i="2"/>
  <c r="AH2279" i="2"/>
  <c r="AG2279" i="2"/>
  <c r="AF2279" i="2"/>
  <c r="AE2279" i="2"/>
  <c r="AD2279" i="2"/>
  <c r="AC2279" i="2"/>
  <c r="AB2279" i="2"/>
  <c r="AA2279" i="2"/>
  <c r="Z2279" i="2"/>
  <c r="Y2279" i="2"/>
  <c r="X2279" i="2"/>
  <c r="W2279" i="2"/>
  <c r="V2279" i="2"/>
  <c r="U2279" i="2"/>
  <c r="T2279" i="2"/>
  <c r="S2279" i="2"/>
  <c r="R2279" i="2"/>
  <c r="Q2279" i="2"/>
  <c r="P2279" i="2"/>
  <c r="O2279" i="2"/>
  <c r="N2279" i="2"/>
  <c r="K2279" i="2"/>
  <c r="J2279" i="2"/>
  <c r="I2279" i="2"/>
  <c r="H2279" i="2"/>
  <c r="G2279" i="2"/>
  <c r="F2279" i="2"/>
  <c r="E2279" i="2"/>
  <c r="D2279" i="2"/>
  <c r="C2279" i="2"/>
  <c r="B2279" i="2"/>
  <c r="A2279" i="2"/>
  <c r="AJ2278" i="2"/>
  <c r="AI2278" i="2"/>
  <c r="AH2278" i="2"/>
  <c r="AF2278" i="2"/>
  <c r="AE2278" i="2"/>
  <c r="AD2278" i="2"/>
  <c r="AC2278" i="2"/>
  <c r="AB2278" i="2"/>
  <c r="AA2278" i="2"/>
  <c r="Z2278" i="2"/>
  <c r="Y2278" i="2"/>
  <c r="X2278" i="2"/>
  <c r="U2278" i="2"/>
  <c r="T2278" i="2"/>
  <c r="S2278" i="2"/>
  <c r="R2278" i="2"/>
  <c r="Q2278" i="2"/>
  <c r="P2278" i="2"/>
  <c r="O2278" i="2"/>
  <c r="N2278" i="2"/>
  <c r="K2278" i="2"/>
  <c r="J2278" i="2"/>
  <c r="I2278" i="2"/>
  <c r="H2278" i="2"/>
  <c r="G2278" i="2"/>
  <c r="F2278" i="2"/>
  <c r="E2278" i="2"/>
  <c r="D2278" i="2"/>
  <c r="C2278" i="2"/>
  <c r="B2278" i="2"/>
  <c r="A2278" i="2"/>
  <c r="AI2277" i="2"/>
  <c r="AH2277" i="2"/>
  <c r="AG2277" i="2"/>
  <c r="AF2277" i="2"/>
  <c r="AE2277" i="2"/>
  <c r="AD2277" i="2"/>
  <c r="AC2277" i="2"/>
  <c r="AB2277" i="2"/>
  <c r="AA2277" i="2"/>
  <c r="Z2277" i="2"/>
  <c r="Y2277" i="2"/>
  <c r="X2277" i="2"/>
  <c r="W2277" i="2"/>
  <c r="V2277" i="2"/>
  <c r="U2277" i="2"/>
  <c r="T2277" i="2"/>
  <c r="S2277" i="2"/>
  <c r="R2277" i="2"/>
  <c r="Q2277" i="2"/>
  <c r="P2277" i="2"/>
  <c r="O2277" i="2"/>
  <c r="N2277" i="2"/>
  <c r="K2277" i="2"/>
  <c r="J2277" i="2"/>
  <c r="I2277" i="2"/>
  <c r="H2277" i="2"/>
  <c r="G2277" i="2"/>
  <c r="F2277" i="2"/>
  <c r="E2277" i="2"/>
  <c r="D2277" i="2"/>
  <c r="C2277" i="2"/>
  <c r="B2277" i="2"/>
  <c r="A2277" i="2"/>
  <c r="AI2276" i="2"/>
  <c r="AH2276" i="2"/>
  <c r="AG2276" i="2"/>
  <c r="AF2276" i="2"/>
  <c r="AE2276" i="2"/>
  <c r="AD2276" i="2"/>
  <c r="AC2276" i="2"/>
  <c r="AB2276" i="2"/>
  <c r="AA2276" i="2"/>
  <c r="Z2276" i="2"/>
  <c r="Y2276" i="2"/>
  <c r="X2276" i="2"/>
  <c r="W2276" i="2"/>
  <c r="V2276" i="2"/>
  <c r="U2276" i="2"/>
  <c r="T2276" i="2"/>
  <c r="S2276" i="2"/>
  <c r="R2276" i="2"/>
  <c r="Q2276" i="2"/>
  <c r="P2276" i="2"/>
  <c r="O2276" i="2"/>
  <c r="N2276" i="2"/>
  <c r="K2276" i="2"/>
  <c r="J2276" i="2"/>
  <c r="I2276" i="2"/>
  <c r="H2276" i="2"/>
  <c r="G2276" i="2"/>
  <c r="F2276" i="2"/>
  <c r="E2276" i="2"/>
  <c r="D2276" i="2"/>
  <c r="C2276" i="2"/>
  <c r="B2276" i="2"/>
  <c r="A2276" i="2"/>
  <c r="AI2275" i="2"/>
  <c r="AH2275" i="2"/>
  <c r="AG2275" i="2"/>
  <c r="AF2275" i="2"/>
  <c r="AE2275" i="2"/>
  <c r="AD2275" i="2"/>
  <c r="AC2275" i="2"/>
  <c r="AB2275" i="2"/>
  <c r="AA2275" i="2"/>
  <c r="Z2275" i="2"/>
  <c r="Y2275" i="2"/>
  <c r="X2275" i="2"/>
  <c r="W2275" i="2"/>
  <c r="V2275" i="2"/>
  <c r="U2275" i="2"/>
  <c r="T2275" i="2"/>
  <c r="S2275" i="2"/>
  <c r="R2275" i="2"/>
  <c r="Q2275" i="2"/>
  <c r="P2275" i="2"/>
  <c r="O2275" i="2"/>
  <c r="N2275" i="2"/>
  <c r="K2275" i="2"/>
  <c r="J2275" i="2"/>
  <c r="I2275" i="2"/>
  <c r="H2275" i="2"/>
  <c r="G2275" i="2"/>
  <c r="F2275" i="2"/>
  <c r="E2275" i="2"/>
  <c r="D2275" i="2"/>
  <c r="C2275" i="2"/>
  <c r="B2275" i="2"/>
  <c r="A2275" i="2"/>
  <c r="AJ2274" i="2"/>
  <c r="AI2274" i="2"/>
  <c r="AH2274" i="2"/>
  <c r="AG2274" i="2"/>
  <c r="AF2274" i="2"/>
  <c r="AE2274" i="2"/>
  <c r="AD2274" i="2"/>
  <c r="AC2274" i="2"/>
  <c r="AB2274" i="2"/>
  <c r="AA2274" i="2"/>
  <c r="Z2274" i="2"/>
  <c r="Y2274" i="2"/>
  <c r="X2274" i="2"/>
  <c r="W2274" i="2"/>
  <c r="V2274" i="2"/>
  <c r="U2274" i="2"/>
  <c r="T2274" i="2"/>
  <c r="S2274" i="2"/>
  <c r="R2274" i="2"/>
  <c r="Q2274" i="2"/>
  <c r="P2274" i="2"/>
  <c r="O2274" i="2"/>
  <c r="N2274" i="2"/>
  <c r="K2274" i="2"/>
  <c r="J2274" i="2"/>
  <c r="I2274" i="2"/>
  <c r="H2274" i="2"/>
  <c r="G2274" i="2"/>
  <c r="F2274" i="2"/>
  <c r="E2274" i="2"/>
  <c r="D2274" i="2"/>
  <c r="C2274" i="2"/>
  <c r="B2274" i="2"/>
  <c r="A2274" i="2"/>
  <c r="AI2273" i="2"/>
  <c r="AH2273" i="2"/>
  <c r="AG2273" i="2"/>
  <c r="AF2273" i="2"/>
  <c r="AE2273" i="2"/>
  <c r="AD2273" i="2"/>
  <c r="AC2273" i="2"/>
  <c r="AB2273" i="2"/>
  <c r="AA2273" i="2"/>
  <c r="Z2273" i="2"/>
  <c r="Y2273" i="2"/>
  <c r="X2273" i="2"/>
  <c r="W2273" i="2"/>
  <c r="V2273" i="2"/>
  <c r="U2273" i="2"/>
  <c r="T2273" i="2"/>
  <c r="S2273" i="2"/>
  <c r="R2273" i="2"/>
  <c r="Q2273" i="2"/>
  <c r="P2273" i="2"/>
  <c r="O2273" i="2"/>
  <c r="N2273" i="2"/>
  <c r="K2273" i="2"/>
  <c r="J2273" i="2"/>
  <c r="I2273" i="2"/>
  <c r="H2273" i="2"/>
  <c r="G2273" i="2"/>
  <c r="F2273" i="2"/>
  <c r="E2273" i="2"/>
  <c r="D2273" i="2"/>
  <c r="C2273" i="2"/>
  <c r="B2273" i="2"/>
  <c r="A2273" i="2"/>
  <c r="AI2272" i="2"/>
  <c r="AH2272" i="2"/>
  <c r="AG2272" i="2"/>
  <c r="AF2272" i="2"/>
  <c r="AE2272" i="2"/>
  <c r="AD2272" i="2"/>
  <c r="AC2272" i="2"/>
  <c r="AB2272" i="2"/>
  <c r="AA2272" i="2"/>
  <c r="Z2272" i="2"/>
  <c r="Y2272" i="2"/>
  <c r="X2272" i="2"/>
  <c r="W2272" i="2"/>
  <c r="V2272" i="2"/>
  <c r="U2272" i="2"/>
  <c r="T2272" i="2"/>
  <c r="S2272" i="2"/>
  <c r="R2272" i="2"/>
  <c r="Q2272" i="2"/>
  <c r="P2272" i="2"/>
  <c r="O2272" i="2"/>
  <c r="N2272" i="2"/>
  <c r="K2272" i="2"/>
  <c r="J2272" i="2"/>
  <c r="I2272" i="2"/>
  <c r="H2272" i="2"/>
  <c r="G2272" i="2"/>
  <c r="F2272" i="2"/>
  <c r="E2272" i="2"/>
  <c r="D2272" i="2"/>
  <c r="C2272" i="2"/>
  <c r="B2272" i="2"/>
  <c r="A2272" i="2"/>
  <c r="AI2271" i="2"/>
  <c r="AH2271" i="2"/>
  <c r="AG2271" i="2"/>
  <c r="AF2271" i="2"/>
  <c r="AE2271" i="2"/>
  <c r="AD2271" i="2"/>
  <c r="AC2271" i="2"/>
  <c r="AB2271" i="2"/>
  <c r="AA2271" i="2"/>
  <c r="Z2271" i="2"/>
  <c r="Y2271" i="2"/>
  <c r="U2271" i="2"/>
  <c r="T2271" i="2"/>
  <c r="S2271" i="2"/>
  <c r="R2271" i="2"/>
  <c r="Q2271" i="2"/>
  <c r="P2271" i="2"/>
  <c r="O2271" i="2"/>
  <c r="N2271" i="2"/>
  <c r="K2271" i="2"/>
  <c r="J2271" i="2"/>
  <c r="I2271" i="2"/>
  <c r="H2271" i="2"/>
  <c r="G2271" i="2"/>
  <c r="F2271" i="2"/>
  <c r="E2271" i="2"/>
  <c r="D2271" i="2"/>
  <c r="C2271" i="2"/>
  <c r="B2271" i="2"/>
  <c r="A2271" i="2"/>
  <c r="AI2270" i="2"/>
  <c r="AH2270" i="2"/>
  <c r="AG2270" i="2"/>
  <c r="AF2270" i="2"/>
  <c r="AE2270" i="2"/>
  <c r="AD2270" i="2"/>
  <c r="AC2270" i="2"/>
  <c r="AB2270" i="2"/>
  <c r="AA2270" i="2"/>
  <c r="Z2270" i="2"/>
  <c r="Y2270" i="2"/>
  <c r="X2270" i="2"/>
  <c r="W2270" i="2"/>
  <c r="V2270" i="2"/>
  <c r="U2270" i="2"/>
  <c r="T2270" i="2"/>
  <c r="S2270" i="2"/>
  <c r="R2270" i="2"/>
  <c r="Q2270" i="2"/>
  <c r="P2270" i="2"/>
  <c r="O2270" i="2"/>
  <c r="N2270" i="2"/>
  <c r="K2270" i="2"/>
  <c r="J2270" i="2"/>
  <c r="I2270" i="2"/>
  <c r="H2270" i="2"/>
  <c r="G2270" i="2"/>
  <c r="F2270" i="2"/>
  <c r="E2270" i="2"/>
  <c r="D2270" i="2"/>
  <c r="C2270" i="2"/>
  <c r="B2270" i="2"/>
  <c r="A2270" i="2"/>
  <c r="AI2269" i="2"/>
  <c r="AH2269" i="2"/>
  <c r="AG2269" i="2"/>
  <c r="AF2269" i="2"/>
  <c r="AE2269" i="2"/>
  <c r="AD2269" i="2"/>
  <c r="AC2269" i="2"/>
  <c r="AB2269" i="2"/>
  <c r="AA2269" i="2"/>
  <c r="Z2269" i="2"/>
  <c r="Y2269" i="2"/>
  <c r="W2269" i="2"/>
  <c r="V2269" i="2"/>
  <c r="U2269" i="2"/>
  <c r="T2269" i="2"/>
  <c r="S2269" i="2"/>
  <c r="R2269" i="2"/>
  <c r="Q2269" i="2"/>
  <c r="P2269" i="2"/>
  <c r="O2269" i="2"/>
  <c r="N2269" i="2"/>
  <c r="K2269" i="2"/>
  <c r="J2269" i="2"/>
  <c r="I2269" i="2"/>
  <c r="H2269" i="2"/>
  <c r="G2269" i="2"/>
  <c r="F2269" i="2"/>
  <c r="E2269" i="2"/>
  <c r="D2269" i="2"/>
  <c r="C2269" i="2"/>
  <c r="B2269" i="2"/>
  <c r="A2269" i="2"/>
  <c r="AI2268" i="2"/>
  <c r="AH2268" i="2"/>
  <c r="AG2268" i="2"/>
  <c r="AF2268" i="2"/>
  <c r="AE2268" i="2"/>
  <c r="AD2268" i="2"/>
  <c r="AC2268" i="2"/>
  <c r="AB2268" i="2"/>
  <c r="AA2268" i="2"/>
  <c r="Z2268" i="2"/>
  <c r="Y2268" i="2"/>
  <c r="X2268" i="2"/>
  <c r="W2268" i="2"/>
  <c r="V2268" i="2"/>
  <c r="U2268" i="2"/>
  <c r="T2268" i="2"/>
  <c r="S2268" i="2"/>
  <c r="R2268" i="2"/>
  <c r="Q2268" i="2"/>
  <c r="P2268" i="2"/>
  <c r="O2268" i="2"/>
  <c r="N2268" i="2"/>
  <c r="K2268" i="2"/>
  <c r="J2268" i="2"/>
  <c r="I2268" i="2"/>
  <c r="H2268" i="2"/>
  <c r="G2268" i="2"/>
  <c r="F2268" i="2"/>
  <c r="E2268" i="2"/>
  <c r="D2268" i="2"/>
  <c r="C2268" i="2"/>
  <c r="B2268" i="2"/>
  <c r="A2268" i="2"/>
  <c r="AI2267" i="2"/>
  <c r="AH2267" i="2"/>
  <c r="AF2267" i="2"/>
  <c r="AE2267" i="2"/>
  <c r="AD2267" i="2"/>
  <c r="AC2267" i="2"/>
  <c r="AB2267" i="2"/>
  <c r="AA2267" i="2"/>
  <c r="Z2267" i="2"/>
  <c r="Y2267" i="2"/>
  <c r="X2267" i="2"/>
  <c r="W2267" i="2"/>
  <c r="V2267" i="2"/>
  <c r="U2267" i="2"/>
  <c r="T2267" i="2"/>
  <c r="S2267" i="2"/>
  <c r="R2267" i="2"/>
  <c r="Q2267" i="2"/>
  <c r="P2267" i="2"/>
  <c r="O2267" i="2"/>
  <c r="N2267" i="2"/>
  <c r="K2267" i="2"/>
  <c r="J2267" i="2"/>
  <c r="I2267" i="2"/>
  <c r="H2267" i="2"/>
  <c r="G2267" i="2"/>
  <c r="F2267" i="2"/>
  <c r="E2267" i="2"/>
  <c r="D2267" i="2"/>
  <c r="C2267" i="2"/>
  <c r="B2267" i="2"/>
  <c r="A2267" i="2"/>
  <c r="AI2266" i="2"/>
  <c r="AH2266" i="2"/>
  <c r="AG2266" i="2"/>
  <c r="AF2266" i="2"/>
  <c r="AE2266" i="2"/>
  <c r="AD2266" i="2"/>
  <c r="AC2266" i="2"/>
  <c r="AB2266" i="2"/>
  <c r="AA2266" i="2"/>
  <c r="Z2266" i="2"/>
  <c r="Y2266" i="2"/>
  <c r="X2266" i="2"/>
  <c r="W2266" i="2"/>
  <c r="V2266" i="2"/>
  <c r="U2266" i="2"/>
  <c r="T2266" i="2"/>
  <c r="S2266" i="2"/>
  <c r="R2266" i="2"/>
  <c r="Q2266" i="2"/>
  <c r="P2266" i="2"/>
  <c r="O2266" i="2"/>
  <c r="N2266" i="2"/>
  <c r="K2266" i="2"/>
  <c r="J2266" i="2"/>
  <c r="I2266" i="2"/>
  <c r="H2266" i="2"/>
  <c r="G2266" i="2"/>
  <c r="F2266" i="2"/>
  <c r="E2266" i="2"/>
  <c r="D2266" i="2"/>
  <c r="C2266" i="2"/>
  <c r="B2266" i="2"/>
  <c r="A2266" i="2"/>
  <c r="AI2265" i="2"/>
  <c r="AH2265" i="2"/>
  <c r="AG2265" i="2"/>
  <c r="AF2265" i="2"/>
  <c r="AE2265" i="2"/>
  <c r="AD2265" i="2"/>
  <c r="AC2265" i="2"/>
  <c r="AB2265" i="2"/>
  <c r="AA2265" i="2"/>
  <c r="Z2265" i="2"/>
  <c r="Y2265" i="2"/>
  <c r="X2265" i="2"/>
  <c r="V2265" i="2"/>
  <c r="U2265" i="2"/>
  <c r="T2265" i="2"/>
  <c r="S2265" i="2"/>
  <c r="R2265" i="2"/>
  <c r="Q2265" i="2"/>
  <c r="P2265" i="2"/>
  <c r="O2265" i="2"/>
  <c r="N2265" i="2"/>
  <c r="K2265" i="2"/>
  <c r="J2265" i="2"/>
  <c r="I2265" i="2"/>
  <c r="H2265" i="2"/>
  <c r="G2265" i="2"/>
  <c r="F2265" i="2"/>
  <c r="E2265" i="2"/>
  <c r="D2265" i="2"/>
  <c r="C2265" i="2"/>
  <c r="B2265" i="2"/>
  <c r="A2265" i="2"/>
  <c r="AJ2264" i="2"/>
  <c r="AI2264" i="2"/>
  <c r="AH2264" i="2"/>
  <c r="AG2264" i="2"/>
  <c r="AF2264" i="2"/>
  <c r="AE2264" i="2"/>
  <c r="AD2264" i="2"/>
  <c r="AC2264" i="2"/>
  <c r="AB2264" i="2"/>
  <c r="AA2264" i="2"/>
  <c r="Z2264" i="2"/>
  <c r="Y2264" i="2"/>
  <c r="X2264" i="2"/>
  <c r="V2264" i="2"/>
  <c r="U2264" i="2"/>
  <c r="T2264" i="2"/>
  <c r="S2264" i="2"/>
  <c r="R2264" i="2"/>
  <c r="Q2264" i="2"/>
  <c r="P2264" i="2"/>
  <c r="O2264" i="2"/>
  <c r="N2264" i="2"/>
  <c r="K2264" i="2"/>
  <c r="J2264" i="2"/>
  <c r="I2264" i="2"/>
  <c r="H2264" i="2"/>
  <c r="G2264" i="2"/>
  <c r="F2264" i="2"/>
  <c r="E2264" i="2"/>
  <c r="D2264" i="2"/>
  <c r="C2264" i="2"/>
  <c r="B2264" i="2"/>
  <c r="A2264" i="2"/>
  <c r="AI2263" i="2"/>
  <c r="AH2263" i="2"/>
  <c r="AG2263" i="2"/>
  <c r="AF2263" i="2"/>
  <c r="AE2263" i="2"/>
  <c r="AD2263" i="2"/>
  <c r="AC2263" i="2"/>
  <c r="AB2263" i="2"/>
  <c r="AA2263" i="2"/>
  <c r="Z2263" i="2"/>
  <c r="Y2263" i="2"/>
  <c r="X2263" i="2"/>
  <c r="U2263" i="2"/>
  <c r="T2263" i="2"/>
  <c r="S2263" i="2"/>
  <c r="R2263" i="2"/>
  <c r="Q2263" i="2"/>
  <c r="P2263" i="2"/>
  <c r="O2263" i="2"/>
  <c r="N2263" i="2"/>
  <c r="K2263" i="2"/>
  <c r="J2263" i="2"/>
  <c r="I2263" i="2"/>
  <c r="H2263" i="2"/>
  <c r="G2263" i="2"/>
  <c r="F2263" i="2"/>
  <c r="E2263" i="2"/>
  <c r="D2263" i="2"/>
  <c r="C2263" i="2"/>
  <c r="B2263" i="2"/>
  <c r="A2263" i="2"/>
  <c r="AI2262" i="2"/>
  <c r="AH2262" i="2"/>
  <c r="AG2262" i="2"/>
  <c r="AF2262" i="2"/>
  <c r="AE2262" i="2"/>
  <c r="AD2262" i="2"/>
  <c r="AC2262" i="2"/>
  <c r="AB2262" i="2"/>
  <c r="AA2262" i="2"/>
  <c r="Z2262" i="2"/>
  <c r="Y2262" i="2"/>
  <c r="X2262" i="2"/>
  <c r="U2262" i="2"/>
  <c r="T2262" i="2"/>
  <c r="S2262" i="2"/>
  <c r="R2262" i="2"/>
  <c r="Q2262" i="2"/>
  <c r="P2262" i="2"/>
  <c r="O2262" i="2"/>
  <c r="N2262" i="2"/>
  <c r="K2262" i="2"/>
  <c r="J2262" i="2"/>
  <c r="I2262" i="2"/>
  <c r="H2262" i="2"/>
  <c r="G2262" i="2"/>
  <c r="F2262" i="2"/>
  <c r="E2262" i="2"/>
  <c r="D2262" i="2"/>
  <c r="C2262" i="2"/>
  <c r="B2262" i="2"/>
  <c r="A2262" i="2"/>
  <c r="AI2261" i="2"/>
  <c r="AH2261" i="2"/>
  <c r="AG2261" i="2"/>
  <c r="AF2261" i="2"/>
  <c r="AE2261" i="2"/>
  <c r="AD2261" i="2"/>
  <c r="AC2261" i="2"/>
  <c r="AB2261" i="2"/>
  <c r="AA2261" i="2"/>
  <c r="Z2261" i="2"/>
  <c r="Y2261" i="2"/>
  <c r="X2261" i="2"/>
  <c r="V2261" i="2"/>
  <c r="U2261" i="2"/>
  <c r="T2261" i="2"/>
  <c r="S2261" i="2"/>
  <c r="R2261" i="2"/>
  <c r="Q2261" i="2"/>
  <c r="P2261" i="2"/>
  <c r="O2261" i="2"/>
  <c r="N2261" i="2"/>
  <c r="K2261" i="2"/>
  <c r="J2261" i="2"/>
  <c r="I2261" i="2"/>
  <c r="H2261" i="2"/>
  <c r="G2261" i="2"/>
  <c r="F2261" i="2"/>
  <c r="E2261" i="2"/>
  <c r="D2261" i="2"/>
  <c r="C2261" i="2"/>
  <c r="B2261" i="2"/>
  <c r="A2261" i="2"/>
  <c r="AI2260" i="2"/>
  <c r="AH2260" i="2"/>
  <c r="AG2260" i="2"/>
  <c r="AF2260" i="2"/>
  <c r="AE2260" i="2"/>
  <c r="AD2260" i="2"/>
  <c r="AC2260" i="2"/>
  <c r="AB2260" i="2"/>
  <c r="AA2260" i="2"/>
  <c r="Z2260" i="2"/>
  <c r="Y2260" i="2"/>
  <c r="X2260" i="2"/>
  <c r="W2260" i="2"/>
  <c r="V2260" i="2"/>
  <c r="U2260" i="2"/>
  <c r="T2260" i="2"/>
  <c r="S2260" i="2"/>
  <c r="R2260" i="2"/>
  <c r="Q2260" i="2"/>
  <c r="P2260" i="2"/>
  <c r="O2260" i="2"/>
  <c r="N2260" i="2"/>
  <c r="K2260" i="2"/>
  <c r="J2260" i="2"/>
  <c r="I2260" i="2"/>
  <c r="H2260" i="2"/>
  <c r="G2260" i="2"/>
  <c r="F2260" i="2"/>
  <c r="E2260" i="2"/>
  <c r="D2260" i="2"/>
  <c r="C2260" i="2"/>
  <c r="B2260" i="2"/>
  <c r="A2260" i="2"/>
  <c r="AI2259" i="2"/>
  <c r="AH2259" i="2"/>
  <c r="AG2259" i="2"/>
  <c r="AF2259" i="2"/>
  <c r="AE2259" i="2"/>
  <c r="AD2259" i="2"/>
  <c r="AB2259" i="2"/>
  <c r="AA2259" i="2"/>
  <c r="Z2259" i="2"/>
  <c r="Y2259" i="2"/>
  <c r="X2259" i="2"/>
  <c r="W2259" i="2"/>
  <c r="V2259" i="2"/>
  <c r="U2259" i="2"/>
  <c r="T2259" i="2"/>
  <c r="S2259" i="2"/>
  <c r="R2259" i="2"/>
  <c r="Q2259" i="2"/>
  <c r="P2259" i="2"/>
  <c r="O2259" i="2"/>
  <c r="N2259" i="2"/>
  <c r="K2259" i="2"/>
  <c r="J2259" i="2"/>
  <c r="I2259" i="2"/>
  <c r="H2259" i="2"/>
  <c r="G2259" i="2"/>
  <c r="F2259" i="2"/>
  <c r="E2259" i="2"/>
  <c r="D2259" i="2"/>
  <c r="C2259" i="2"/>
  <c r="B2259" i="2"/>
  <c r="A2259" i="2"/>
  <c r="AI2258" i="2"/>
  <c r="AH2258" i="2"/>
  <c r="AG2258" i="2"/>
  <c r="AF2258" i="2"/>
  <c r="AE2258" i="2"/>
  <c r="AD2258" i="2"/>
  <c r="AC2258" i="2"/>
  <c r="AB2258" i="2"/>
  <c r="AA2258" i="2"/>
  <c r="Z2258" i="2"/>
  <c r="Y2258" i="2"/>
  <c r="X2258" i="2"/>
  <c r="W2258" i="2"/>
  <c r="V2258" i="2"/>
  <c r="U2258" i="2"/>
  <c r="T2258" i="2"/>
  <c r="S2258" i="2"/>
  <c r="R2258" i="2"/>
  <c r="Q2258" i="2"/>
  <c r="P2258" i="2"/>
  <c r="O2258" i="2"/>
  <c r="N2258" i="2"/>
  <c r="K2258" i="2"/>
  <c r="J2258" i="2"/>
  <c r="I2258" i="2"/>
  <c r="H2258" i="2"/>
  <c r="G2258" i="2"/>
  <c r="F2258" i="2"/>
  <c r="E2258" i="2"/>
  <c r="D2258" i="2"/>
  <c r="C2258" i="2"/>
  <c r="B2258" i="2"/>
  <c r="A2258" i="2"/>
  <c r="AF2257" i="2"/>
  <c r="AE2257" i="2"/>
  <c r="AD2257" i="2"/>
  <c r="AC2257" i="2"/>
  <c r="AA2257" i="2"/>
  <c r="Z2257" i="2"/>
  <c r="Y2257" i="2"/>
  <c r="X2257" i="2"/>
  <c r="V2257" i="2"/>
  <c r="U2257" i="2"/>
  <c r="T2257" i="2"/>
  <c r="S2257" i="2"/>
  <c r="R2257" i="2"/>
  <c r="Q2257" i="2"/>
  <c r="P2257" i="2"/>
  <c r="O2257" i="2"/>
  <c r="N2257" i="2"/>
  <c r="K2257" i="2"/>
  <c r="J2257" i="2"/>
  <c r="I2257" i="2"/>
  <c r="H2257" i="2"/>
  <c r="G2257" i="2"/>
  <c r="F2257" i="2"/>
  <c r="E2257" i="2"/>
  <c r="D2257" i="2"/>
  <c r="C2257" i="2"/>
  <c r="B2257" i="2"/>
  <c r="A2257" i="2"/>
  <c r="AI2256" i="2"/>
  <c r="AH2256" i="2"/>
  <c r="AG2256" i="2"/>
  <c r="AF2256" i="2"/>
  <c r="AE2256" i="2"/>
  <c r="AD2256" i="2"/>
  <c r="AC2256" i="2"/>
  <c r="AB2256" i="2"/>
  <c r="AA2256" i="2"/>
  <c r="Z2256" i="2"/>
  <c r="Y2256" i="2"/>
  <c r="X2256" i="2"/>
  <c r="V2256" i="2"/>
  <c r="U2256" i="2"/>
  <c r="T2256" i="2"/>
  <c r="S2256" i="2"/>
  <c r="R2256" i="2"/>
  <c r="Q2256" i="2"/>
  <c r="P2256" i="2"/>
  <c r="O2256" i="2"/>
  <c r="N2256" i="2"/>
  <c r="K2256" i="2"/>
  <c r="J2256" i="2"/>
  <c r="I2256" i="2"/>
  <c r="H2256" i="2"/>
  <c r="G2256" i="2"/>
  <c r="F2256" i="2"/>
  <c r="E2256" i="2"/>
  <c r="D2256" i="2"/>
  <c r="C2256" i="2"/>
  <c r="B2256" i="2"/>
  <c r="A2256" i="2"/>
  <c r="AI2255" i="2"/>
  <c r="AH2255" i="2"/>
  <c r="AG2255" i="2"/>
  <c r="AF2255" i="2"/>
  <c r="AE2255" i="2"/>
  <c r="AD2255" i="2"/>
  <c r="AC2255" i="2"/>
  <c r="AB2255" i="2"/>
  <c r="AA2255" i="2"/>
  <c r="Z2255" i="2"/>
  <c r="Y2255" i="2"/>
  <c r="X2255" i="2"/>
  <c r="V2255" i="2"/>
  <c r="U2255" i="2"/>
  <c r="T2255" i="2"/>
  <c r="S2255" i="2"/>
  <c r="R2255" i="2"/>
  <c r="Q2255" i="2"/>
  <c r="P2255" i="2"/>
  <c r="O2255" i="2"/>
  <c r="N2255" i="2"/>
  <c r="K2255" i="2"/>
  <c r="J2255" i="2"/>
  <c r="I2255" i="2"/>
  <c r="H2255" i="2"/>
  <c r="G2255" i="2"/>
  <c r="F2255" i="2"/>
  <c r="E2255" i="2"/>
  <c r="D2255" i="2"/>
  <c r="C2255" i="2"/>
  <c r="B2255" i="2"/>
  <c r="A2255" i="2"/>
  <c r="AI2254" i="2"/>
  <c r="AH2254" i="2"/>
  <c r="AG2254" i="2"/>
  <c r="AF2254" i="2"/>
  <c r="AE2254" i="2"/>
  <c r="AD2254" i="2"/>
  <c r="AC2254" i="2"/>
  <c r="AB2254" i="2"/>
  <c r="AA2254" i="2"/>
  <c r="Z2254" i="2"/>
  <c r="Y2254" i="2"/>
  <c r="V2254" i="2"/>
  <c r="U2254" i="2"/>
  <c r="T2254" i="2"/>
  <c r="S2254" i="2"/>
  <c r="R2254" i="2"/>
  <c r="Q2254" i="2"/>
  <c r="P2254" i="2"/>
  <c r="O2254" i="2"/>
  <c r="N2254" i="2"/>
  <c r="K2254" i="2"/>
  <c r="J2254" i="2"/>
  <c r="I2254" i="2"/>
  <c r="H2254" i="2"/>
  <c r="G2254" i="2"/>
  <c r="F2254" i="2"/>
  <c r="E2254" i="2"/>
  <c r="D2254" i="2"/>
  <c r="C2254" i="2"/>
  <c r="B2254" i="2"/>
  <c r="A2254" i="2"/>
  <c r="AI2253" i="2"/>
  <c r="AH2253" i="2"/>
  <c r="AG2253" i="2"/>
  <c r="AF2253" i="2"/>
  <c r="AE2253" i="2"/>
  <c r="AD2253" i="2"/>
  <c r="AC2253" i="2"/>
  <c r="AB2253" i="2"/>
  <c r="AA2253" i="2"/>
  <c r="Z2253" i="2"/>
  <c r="Y2253" i="2"/>
  <c r="U2253" i="2"/>
  <c r="T2253" i="2"/>
  <c r="S2253" i="2"/>
  <c r="R2253" i="2"/>
  <c r="Q2253" i="2"/>
  <c r="P2253" i="2"/>
  <c r="O2253" i="2"/>
  <c r="N2253" i="2"/>
  <c r="K2253" i="2"/>
  <c r="J2253" i="2"/>
  <c r="I2253" i="2"/>
  <c r="H2253" i="2"/>
  <c r="G2253" i="2"/>
  <c r="F2253" i="2"/>
  <c r="E2253" i="2"/>
  <c r="D2253" i="2"/>
  <c r="C2253" i="2"/>
  <c r="B2253" i="2"/>
  <c r="A2253" i="2"/>
  <c r="AI2252" i="2"/>
  <c r="AH2252" i="2"/>
  <c r="AG2252" i="2"/>
  <c r="AF2252" i="2"/>
  <c r="AE2252" i="2"/>
  <c r="AD2252" i="2"/>
  <c r="AC2252" i="2"/>
  <c r="AA2252" i="2"/>
  <c r="Z2252" i="2"/>
  <c r="Y2252" i="2"/>
  <c r="X2252" i="2"/>
  <c r="U2252" i="2"/>
  <c r="T2252" i="2"/>
  <c r="S2252" i="2"/>
  <c r="R2252" i="2"/>
  <c r="Q2252" i="2"/>
  <c r="P2252" i="2"/>
  <c r="O2252" i="2"/>
  <c r="N2252" i="2"/>
  <c r="K2252" i="2"/>
  <c r="J2252" i="2"/>
  <c r="I2252" i="2"/>
  <c r="H2252" i="2"/>
  <c r="G2252" i="2"/>
  <c r="F2252" i="2"/>
  <c r="E2252" i="2"/>
  <c r="D2252" i="2"/>
  <c r="C2252" i="2"/>
  <c r="B2252" i="2"/>
  <c r="A2252" i="2"/>
  <c r="AI2251" i="2"/>
  <c r="AH2251" i="2"/>
  <c r="AG2251" i="2"/>
  <c r="AF2251" i="2"/>
  <c r="AE2251" i="2"/>
  <c r="AD2251" i="2"/>
  <c r="AC2251" i="2"/>
  <c r="AB2251" i="2"/>
  <c r="AA2251" i="2"/>
  <c r="Z2251" i="2"/>
  <c r="Y2251" i="2"/>
  <c r="V2251" i="2"/>
  <c r="U2251" i="2"/>
  <c r="T2251" i="2"/>
  <c r="S2251" i="2"/>
  <c r="R2251" i="2"/>
  <c r="Q2251" i="2"/>
  <c r="P2251" i="2"/>
  <c r="O2251" i="2"/>
  <c r="N2251" i="2"/>
  <c r="K2251" i="2"/>
  <c r="J2251" i="2"/>
  <c r="I2251" i="2"/>
  <c r="H2251" i="2"/>
  <c r="G2251" i="2"/>
  <c r="F2251" i="2"/>
  <c r="E2251" i="2"/>
  <c r="D2251" i="2"/>
  <c r="C2251" i="2"/>
  <c r="B2251" i="2"/>
  <c r="A2251" i="2"/>
  <c r="AI2250" i="2"/>
  <c r="AH2250" i="2"/>
  <c r="AG2250" i="2"/>
  <c r="AF2250" i="2"/>
  <c r="AE2250" i="2"/>
  <c r="AD2250" i="2"/>
  <c r="AC2250" i="2"/>
  <c r="AB2250" i="2"/>
  <c r="AA2250" i="2"/>
  <c r="Z2250" i="2"/>
  <c r="Y2250" i="2"/>
  <c r="X2250" i="2"/>
  <c r="V2250" i="2"/>
  <c r="U2250" i="2"/>
  <c r="T2250" i="2"/>
  <c r="S2250" i="2"/>
  <c r="R2250" i="2"/>
  <c r="Q2250" i="2"/>
  <c r="P2250" i="2"/>
  <c r="O2250" i="2"/>
  <c r="N2250" i="2"/>
  <c r="K2250" i="2"/>
  <c r="J2250" i="2"/>
  <c r="I2250" i="2"/>
  <c r="H2250" i="2"/>
  <c r="G2250" i="2"/>
  <c r="F2250" i="2"/>
  <c r="E2250" i="2"/>
  <c r="D2250" i="2"/>
  <c r="C2250" i="2"/>
  <c r="B2250" i="2"/>
  <c r="A2250" i="2"/>
  <c r="AI2249" i="2"/>
  <c r="AH2249" i="2"/>
  <c r="AG2249" i="2"/>
  <c r="AF2249" i="2"/>
  <c r="AE2249" i="2"/>
  <c r="AD2249" i="2"/>
  <c r="AC2249" i="2"/>
  <c r="AB2249" i="2"/>
  <c r="AA2249" i="2"/>
  <c r="Z2249" i="2"/>
  <c r="Y2249" i="2"/>
  <c r="X2249" i="2"/>
  <c r="W2249" i="2"/>
  <c r="V2249" i="2"/>
  <c r="U2249" i="2"/>
  <c r="T2249" i="2"/>
  <c r="S2249" i="2"/>
  <c r="R2249" i="2"/>
  <c r="Q2249" i="2"/>
  <c r="P2249" i="2"/>
  <c r="O2249" i="2"/>
  <c r="N2249" i="2"/>
  <c r="K2249" i="2"/>
  <c r="J2249" i="2"/>
  <c r="I2249" i="2"/>
  <c r="H2249" i="2"/>
  <c r="G2249" i="2"/>
  <c r="F2249" i="2"/>
  <c r="E2249" i="2"/>
  <c r="D2249" i="2"/>
  <c r="C2249" i="2"/>
  <c r="B2249" i="2"/>
  <c r="A2249" i="2"/>
  <c r="AH2248" i="2"/>
  <c r="AG2248" i="2"/>
  <c r="AF2248" i="2"/>
  <c r="AE2248" i="2"/>
  <c r="AD2248" i="2"/>
  <c r="AC2248" i="2"/>
  <c r="AA2248" i="2"/>
  <c r="Z2248" i="2"/>
  <c r="Y2248" i="2"/>
  <c r="X2248" i="2"/>
  <c r="W2248" i="2"/>
  <c r="V2248" i="2"/>
  <c r="U2248" i="2"/>
  <c r="T2248" i="2"/>
  <c r="S2248" i="2"/>
  <c r="R2248" i="2"/>
  <c r="Q2248" i="2"/>
  <c r="P2248" i="2"/>
  <c r="O2248" i="2"/>
  <c r="N2248" i="2"/>
  <c r="K2248" i="2"/>
  <c r="J2248" i="2"/>
  <c r="I2248" i="2"/>
  <c r="H2248" i="2"/>
  <c r="G2248" i="2"/>
  <c r="F2248" i="2"/>
  <c r="E2248" i="2"/>
  <c r="D2248" i="2"/>
  <c r="C2248" i="2"/>
  <c r="B2248" i="2"/>
  <c r="A2248" i="2"/>
  <c r="AI2247" i="2"/>
  <c r="AH2247" i="2"/>
  <c r="AG2247" i="2"/>
  <c r="AF2247" i="2"/>
  <c r="AE2247" i="2"/>
  <c r="AD2247" i="2"/>
  <c r="AC2247" i="2"/>
  <c r="AB2247" i="2"/>
  <c r="AA2247" i="2"/>
  <c r="Z2247" i="2"/>
  <c r="Y2247" i="2"/>
  <c r="X2247" i="2"/>
  <c r="W2247" i="2"/>
  <c r="V2247" i="2"/>
  <c r="U2247" i="2"/>
  <c r="T2247" i="2"/>
  <c r="S2247" i="2"/>
  <c r="R2247" i="2"/>
  <c r="Q2247" i="2"/>
  <c r="P2247" i="2"/>
  <c r="O2247" i="2"/>
  <c r="N2247" i="2"/>
  <c r="K2247" i="2"/>
  <c r="J2247" i="2"/>
  <c r="I2247" i="2"/>
  <c r="H2247" i="2"/>
  <c r="G2247" i="2"/>
  <c r="F2247" i="2"/>
  <c r="E2247" i="2"/>
  <c r="D2247" i="2"/>
  <c r="C2247" i="2"/>
  <c r="B2247" i="2"/>
  <c r="A2247" i="2"/>
  <c r="AI2246" i="2"/>
  <c r="AH2246" i="2"/>
  <c r="AG2246" i="2"/>
  <c r="AF2246" i="2"/>
  <c r="AE2246" i="2"/>
  <c r="AD2246" i="2"/>
  <c r="AC2246" i="2"/>
  <c r="AB2246" i="2"/>
  <c r="AA2246" i="2"/>
  <c r="Z2246" i="2"/>
  <c r="Y2246" i="2"/>
  <c r="U2246" i="2"/>
  <c r="T2246" i="2"/>
  <c r="S2246" i="2"/>
  <c r="R2246" i="2"/>
  <c r="Q2246" i="2"/>
  <c r="P2246" i="2"/>
  <c r="O2246" i="2"/>
  <c r="N2246" i="2"/>
  <c r="K2246" i="2"/>
  <c r="J2246" i="2"/>
  <c r="I2246" i="2"/>
  <c r="H2246" i="2"/>
  <c r="G2246" i="2"/>
  <c r="F2246" i="2"/>
  <c r="E2246" i="2"/>
  <c r="D2246" i="2"/>
  <c r="C2246" i="2"/>
  <c r="B2246" i="2"/>
  <c r="A2246" i="2"/>
  <c r="AI2245" i="2"/>
  <c r="AH2245" i="2"/>
  <c r="AG2245" i="2"/>
  <c r="AF2245" i="2"/>
  <c r="AE2245" i="2"/>
  <c r="AD2245" i="2"/>
  <c r="AC2245" i="2"/>
  <c r="AB2245" i="2"/>
  <c r="AA2245" i="2"/>
  <c r="Z2245" i="2"/>
  <c r="Y2245" i="2"/>
  <c r="X2245" i="2"/>
  <c r="U2245" i="2"/>
  <c r="T2245" i="2"/>
  <c r="S2245" i="2"/>
  <c r="R2245" i="2"/>
  <c r="Q2245" i="2"/>
  <c r="P2245" i="2"/>
  <c r="O2245" i="2"/>
  <c r="N2245" i="2"/>
  <c r="K2245" i="2"/>
  <c r="J2245" i="2"/>
  <c r="I2245" i="2"/>
  <c r="H2245" i="2"/>
  <c r="G2245" i="2"/>
  <c r="F2245" i="2"/>
  <c r="E2245" i="2"/>
  <c r="D2245" i="2"/>
  <c r="C2245" i="2"/>
  <c r="B2245" i="2"/>
  <c r="A2245" i="2"/>
  <c r="AI2244" i="2"/>
  <c r="AH2244" i="2"/>
  <c r="AG2244" i="2"/>
  <c r="AF2244" i="2"/>
  <c r="AE2244" i="2"/>
  <c r="AD2244" i="2"/>
  <c r="AC2244" i="2"/>
  <c r="AB2244" i="2"/>
  <c r="AA2244" i="2"/>
  <c r="Z2244" i="2"/>
  <c r="Y2244" i="2"/>
  <c r="X2244" i="2"/>
  <c r="W2244" i="2"/>
  <c r="V2244" i="2"/>
  <c r="U2244" i="2"/>
  <c r="T2244" i="2"/>
  <c r="S2244" i="2"/>
  <c r="R2244" i="2"/>
  <c r="Q2244" i="2"/>
  <c r="P2244" i="2"/>
  <c r="O2244" i="2"/>
  <c r="N2244" i="2"/>
  <c r="K2244" i="2"/>
  <c r="J2244" i="2"/>
  <c r="I2244" i="2"/>
  <c r="H2244" i="2"/>
  <c r="G2244" i="2"/>
  <c r="F2244" i="2"/>
  <c r="E2244" i="2"/>
  <c r="D2244" i="2"/>
  <c r="C2244" i="2"/>
  <c r="B2244" i="2"/>
  <c r="A2244" i="2"/>
  <c r="AJ2243" i="2"/>
  <c r="AI2243" i="2"/>
  <c r="AH2243" i="2"/>
  <c r="AG2243" i="2"/>
  <c r="AF2243" i="2"/>
  <c r="AE2243" i="2"/>
  <c r="AD2243" i="2"/>
  <c r="AC2243" i="2"/>
  <c r="AB2243" i="2"/>
  <c r="AA2243" i="2"/>
  <c r="Z2243" i="2"/>
  <c r="Y2243" i="2"/>
  <c r="X2243" i="2"/>
  <c r="V2243" i="2"/>
  <c r="U2243" i="2"/>
  <c r="T2243" i="2"/>
  <c r="S2243" i="2"/>
  <c r="R2243" i="2"/>
  <c r="Q2243" i="2"/>
  <c r="P2243" i="2"/>
  <c r="O2243" i="2"/>
  <c r="N2243" i="2"/>
  <c r="K2243" i="2"/>
  <c r="J2243" i="2"/>
  <c r="I2243" i="2"/>
  <c r="H2243" i="2"/>
  <c r="G2243" i="2"/>
  <c r="F2243" i="2"/>
  <c r="E2243" i="2"/>
  <c r="D2243" i="2"/>
  <c r="C2243" i="2"/>
  <c r="B2243" i="2"/>
  <c r="A2243" i="2"/>
  <c r="AI2242" i="2"/>
  <c r="AH2242" i="2"/>
  <c r="AG2242" i="2"/>
  <c r="AF2242" i="2"/>
  <c r="AE2242" i="2"/>
  <c r="AD2242" i="2"/>
  <c r="AC2242" i="2"/>
  <c r="AA2242" i="2"/>
  <c r="Z2242" i="2"/>
  <c r="Y2242" i="2"/>
  <c r="V2242" i="2"/>
  <c r="U2242" i="2"/>
  <c r="T2242" i="2"/>
  <c r="S2242" i="2"/>
  <c r="R2242" i="2"/>
  <c r="Q2242" i="2"/>
  <c r="P2242" i="2"/>
  <c r="O2242" i="2"/>
  <c r="N2242" i="2"/>
  <c r="K2242" i="2"/>
  <c r="J2242" i="2"/>
  <c r="I2242" i="2"/>
  <c r="H2242" i="2"/>
  <c r="G2242" i="2"/>
  <c r="F2242" i="2"/>
  <c r="E2242" i="2"/>
  <c r="D2242" i="2"/>
  <c r="C2242" i="2"/>
  <c r="B2242" i="2"/>
  <c r="A2242" i="2"/>
  <c r="AJ2241" i="2"/>
  <c r="AI2241" i="2"/>
  <c r="AH2241" i="2"/>
  <c r="AG2241" i="2"/>
  <c r="AF2241" i="2"/>
  <c r="AE2241" i="2"/>
  <c r="AD2241" i="2"/>
  <c r="AC2241" i="2"/>
  <c r="AB2241" i="2"/>
  <c r="AA2241" i="2"/>
  <c r="Z2241" i="2"/>
  <c r="Y2241" i="2"/>
  <c r="X2241" i="2"/>
  <c r="W2241" i="2"/>
  <c r="V2241" i="2"/>
  <c r="U2241" i="2"/>
  <c r="T2241" i="2"/>
  <c r="S2241" i="2"/>
  <c r="R2241" i="2"/>
  <c r="Q2241" i="2"/>
  <c r="P2241" i="2"/>
  <c r="O2241" i="2"/>
  <c r="N2241" i="2"/>
  <c r="K2241" i="2"/>
  <c r="J2241" i="2"/>
  <c r="I2241" i="2"/>
  <c r="H2241" i="2"/>
  <c r="G2241" i="2"/>
  <c r="F2241" i="2"/>
  <c r="E2241" i="2"/>
  <c r="D2241" i="2"/>
  <c r="C2241" i="2"/>
  <c r="B2241" i="2"/>
  <c r="A2241" i="2"/>
  <c r="AI2240" i="2"/>
  <c r="AH2240" i="2"/>
  <c r="AG2240" i="2"/>
  <c r="AF2240" i="2"/>
  <c r="AE2240" i="2"/>
  <c r="AD2240" i="2"/>
  <c r="AC2240" i="2"/>
  <c r="AB2240" i="2"/>
  <c r="AA2240" i="2"/>
  <c r="Z2240" i="2"/>
  <c r="Y2240" i="2"/>
  <c r="X2240" i="2"/>
  <c r="W2240" i="2"/>
  <c r="V2240" i="2"/>
  <c r="U2240" i="2"/>
  <c r="T2240" i="2"/>
  <c r="S2240" i="2"/>
  <c r="R2240" i="2"/>
  <c r="Q2240" i="2"/>
  <c r="P2240" i="2"/>
  <c r="O2240" i="2"/>
  <c r="N2240" i="2"/>
  <c r="K2240" i="2"/>
  <c r="J2240" i="2"/>
  <c r="I2240" i="2"/>
  <c r="H2240" i="2"/>
  <c r="G2240" i="2"/>
  <c r="F2240" i="2"/>
  <c r="E2240" i="2"/>
  <c r="D2240" i="2"/>
  <c r="C2240" i="2"/>
  <c r="B2240" i="2"/>
  <c r="A2240" i="2"/>
  <c r="AI2239" i="2"/>
  <c r="AH2239" i="2"/>
  <c r="AG2239" i="2"/>
  <c r="AF2239" i="2"/>
  <c r="AE2239" i="2"/>
  <c r="AD2239" i="2"/>
  <c r="AC2239" i="2"/>
  <c r="AB2239" i="2"/>
  <c r="AA2239" i="2"/>
  <c r="Z2239" i="2"/>
  <c r="Y2239" i="2"/>
  <c r="X2239" i="2"/>
  <c r="U2239" i="2"/>
  <c r="T2239" i="2"/>
  <c r="S2239" i="2"/>
  <c r="R2239" i="2"/>
  <c r="Q2239" i="2"/>
  <c r="P2239" i="2"/>
  <c r="O2239" i="2"/>
  <c r="N2239" i="2"/>
  <c r="K2239" i="2"/>
  <c r="J2239" i="2"/>
  <c r="I2239" i="2"/>
  <c r="H2239" i="2"/>
  <c r="G2239" i="2"/>
  <c r="F2239" i="2"/>
  <c r="E2239" i="2"/>
  <c r="D2239" i="2"/>
  <c r="C2239" i="2"/>
  <c r="B2239" i="2"/>
  <c r="A2239" i="2"/>
  <c r="AH2238" i="2"/>
  <c r="AG2238" i="2"/>
  <c r="AF2238" i="2"/>
  <c r="AE2238" i="2"/>
  <c r="AD2238" i="2"/>
  <c r="AC2238" i="2"/>
  <c r="AB2238" i="2"/>
  <c r="AA2238" i="2"/>
  <c r="Z2238" i="2"/>
  <c r="Y2238" i="2"/>
  <c r="X2238" i="2"/>
  <c r="U2238" i="2"/>
  <c r="T2238" i="2"/>
  <c r="S2238" i="2"/>
  <c r="R2238" i="2"/>
  <c r="Q2238" i="2"/>
  <c r="P2238" i="2"/>
  <c r="O2238" i="2"/>
  <c r="N2238" i="2"/>
  <c r="K2238" i="2"/>
  <c r="J2238" i="2"/>
  <c r="I2238" i="2"/>
  <c r="H2238" i="2"/>
  <c r="G2238" i="2"/>
  <c r="F2238" i="2"/>
  <c r="E2238" i="2"/>
  <c r="D2238" i="2"/>
  <c r="C2238" i="2"/>
  <c r="B2238" i="2"/>
  <c r="A2238" i="2"/>
  <c r="AI2237" i="2"/>
  <c r="AH2237" i="2"/>
  <c r="AG2237" i="2"/>
  <c r="AF2237" i="2"/>
  <c r="AE2237" i="2"/>
  <c r="AD2237" i="2"/>
  <c r="AC2237" i="2"/>
  <c r="AB2237" i="2"/>
  <c r="AA2237" i="2"/>
  <c r="Z2237" i="2"/>
  <c r="Y2237" i="2"/>
  <c r="X2237" i="2"/>
  <c r="W2237" i="2"/>
  <c r="V2237" i="2"/>
  <c r="U2237" i="2"/>
  <c r="T2237" i="2"/>
  <c r="S2237" i="2"/>
  <c r="R2237" i="2"/>
  <c r="Q2237" i="2"/>
  <c r="P2237" i="2"/>
  <c r="O2237" i="2"/>
  <c r="N2237" i="2"/>
  <c r="K2237" i="2"/>
  <c r="J2237" i="2"/>
  <c r="I2237" i="2"/>
  <c r="H2237" i="2"/>
  <c r="G2237" i="2"/>
  <c r="F2237" i="2"/>
  <c r="E2237" i="2"/>
  <c r="D2237" i="2"/>
  <c r="C2237" i="2"/>
  <c r="B2237" i="2"/>
  <c r="A2237" i="2"/>
  <c r="AI2236" i="2"/>
  <c r="AG2236" i="2"/>
  <c r="AF2236" i="2"/>
  <c r="AE2236" i="2"/>
  <c r="AD2236" i="2"/>
  <c r="AC2236" i="2"/>
  <c r="AA2236" i="2"/>
  <c r="Z2236" i="2"/>
  <c r="Y2236" i="2"/>
  <c r="X2236" i="2"/>
  <c r="T2236" i="2"/>
  <c r="S2236" i="2"/>
  <c r="R2236" i="2"/>
  <c r="Q2236" i="2"/>
  <c r="P2236" i="2"/>
  <c r="O2236" i="2"/>
  <c r="N2236" i="2"/>
  <c r="K2236" i="2"/>
  <c r="J2236" i="2"/>
  <c r="I2236" i="2"/>
  <c r="H2236" i="2"/>
  <c r="G2236" i="2"/>
  <c r="F2236" i="2"/>
  <c r="E2236" i="2"/>
  <c r="D2236" i="2"/>
  <c r="C2236" i="2"/>
  <c r="B2236" i="2"/>
  <c r="A2236" i="2"/>
  <c r="AI2235" i="2"/>
  <c r="AH2235" i="2"/>
  <c r="AG2235" i="2"/>
  <c r="AF2235" i="2"/>
  <c r="AE2235" i="2"/>
  <c r="AD2235" i="2"/>
  <c r="AC2235" i="2"/>
  <c r="AB2235" i="2"/>
  <c r="AA2235" i="2"/>
  <c r="Z2235" i="2"/>
  <c r="Y2235" i="2"/>
  <c r="X2235" i="2"/>
  <c r="U2235" i="2"/>
  <c r="T2235" i="2"/>
  <c r="S2235" i="2"/>
  <c r="R2235" i="2"/>
  <c r="Q2235" i="2"/>
  <c r="P2235" i="2"/>
  <c r="O2235" i="2"/>
  <c r="N2235" i="2"/>
  <c r="K2235" i="2"/>
  <c r="J2235" i="2"/>
  <c r="I2235" i="2"/>
  <c r="H2235" i="2"/>
  <c r="G2235" i="2"/>
  <c r="F2235" i="2"/>
  <c r="E2235" i="2"/>
  <c r="D2235" i="2"/>
  <c r="C2235" i="2"/>
  <c r="B2235" i="2"/>
  <c r="A2235" i="2"/>
  <c r="AI2234" i="2"/>
  <c r="AH2234" i="2"/>
  <c r="AG2234" i="2"/>
  <c r="AF2234" i="2"/>
  <c r="AE2234" i="2"/>
  <c r="AD2234" i="2"/>
  <c r="AC2234" i="2"/>
  <c r="AB2234" i="2"/>
  <c r="AA2234" i="2"/>
  <c r="Z2234" i="2"/>
  <c r="Y2234" i="2"/>
  <c r="X2234" i="2"/>
  <c r="W2234" i="2"/>
  <c r="V2234" i="2"/>
  <c r="U2234" i="2"/>
  <c r="T2234" i="2"/>
  <c r="S2234" i="2"/>
  <c r="R2234" i="2"/>
  <c r="Q2234" i="2"/>
  <c r="P2234" i="2"/>
  <c r="O2234" i="2"/>
  <c r="N2234" i="2"/>
  <c r="K2234" i="2"/>
  <c r="J2234" i="2"/>
  <c r="I2234" i="2"/>
  <c r="H2234" i="2"/>
  <c r="G2234" i="2"/>
  <c r="F2234" i="2"/>
  <c r="E2234" i="2"/>
  <c r="D2234" i="2"/>
  <c r="C2234" i="2"/>
  <c r="B2234" i="2"/>
  <c r="A2234" i="2"/>
  <c r="AJ2233" i="2"/>
  <c r="AI2233" i="2"/>
  <c r="AH2233" i="2"/>
  <c r="AF2233" i="2"/>
  <c r="AE2233" i="2"/>
  <c r="AD2233" i="2"/>
  <c r="AC2233" i="2"/>
  <c r="AB2233" i="2"/>
  <c r="AA2233" i="2"/>
  <c r="Z2233" i="2"/>
  <c r="Y2233" i="2"/>
  <c r="U2233" i="2"/>
  <c r="T2233" i="2"/>
  <c r="S2233" i="2"/>
  <c r="R2233" i="2"/>
  <c r="Q2233" i="2"/>
  <c r="P2233" i="2"/>
  <c r="O2233" i="2"/>
  <c r="N2233" i="2"/>
  <c r="K2233" i="2"/>
  <c r="J2233" i="2"/>
  <c r="I2233" i="2"/>
  <c r="H2233" i="2"/>
  <c r="G2233" i="2"/>
  <c r="F2233" i="2"/>
  <c r="E2233" i="2"/>
  <c r="D2233" i="2"/>
  <c r="C2233" i="2"/>
  <c r="B2233" i="2"/>
  <c r="A2233" i="2"/>
  <c r="AI2232" i="2"/>
  <c r="AH2232" i="2"/>
  <c r="AG2232" i="2"/>
  <c r="AF2232" i="2"/>
  <c r="AE2232" i="2"/>
  <c r="AD2232" i="2"/>
  <c r="AC2232" i="2"/>
  <c r="AB2232" i="2"/>
  <c r="AA2232" i="2"/>
  <c r="Z2232" i="2"/>
  <c r="Y2232" i="2"/>
  <c r="X2232" i="2"/>
  <c r="U2232" i="2"/>
  <c r="T2232" i="2"/>
  <c r="S2232" i="2"/>
  <c r="R2232" i="2"/>
  <c r="Q2232" i="2"/>
  <c r="P2232" i="2"/>
  <c r="O2232" i="2"/>
  <c r="N2232" i="2"/>
  <c r="K2232" i="2"/>
  <c r="J2232" i="2"/>
  <c r="I2232" i="2"/>
  <c r="H2232" i="2"/>
  <c r="G2232" i="2"/>
  <c r="F2232" i="2"/>
  <c r="E2232" i="2"/>
  <c r="D2232" i="2"/>
  <c r="C2232" i="2"/>
  <c r="B2232" i="2"/>
  <c r="A2232" i="2"/>
  <c r="AJ2231" i="2"/>
  <c r="AI2231" i="2"/>
  <c r="AH2231" i="2"/>
  <c r="AG2231" i="2"/>
  <c r="AF2231" i="2"/>
  <c r="AE2231" i="2"/>
  <c r="AD2231" i="2"/>
  <c r="AC2231" i="2"/>
  <c r="AB2231" i="2"/>
  <c r="AA2231" i="2"/>
  <c r="Z2231" i="2"/>
  <c r="Y2231" i="2"/>
  <c r="V2231" i="2"/>
  <c r="U2231" i="2"/>
  <c r="T2231" i="2"/>
  <c r="S2231" i="2"/>
  <c r="R2231" i="2"/>
  <c r="Q2231" i="2"/>
  <c r="P2231" i="2"/>
  <c r="O2231" i="2"/>
  <c r="N2231" i="2"/>
  <c r="K2231" i="2"/>
  <c r="J2231" i="2"/>
  <c r="I2231" i="2"/>
  <c r="H2231" i="2"/>
  <c r="G2231" i="2"/>
  <c r="F2231" i="2"/>
  <c r="E2231" i="2"/>
  <c r="D2231" i="2"/>
  <c r="C2231" i="2"/>
  <c r="B2231" i="2"/>
  <c r="A2231" i="2"/>
  <c r="AI2230" i="2"/>
  <c r="AH2230" i="2"/>
  <c r="AG2230" i="2"/>
  <c r="AF2230" i="2"/>
  <c r="AE2230" i="2"/>
  <c r="AD2230" i="2"/>
  <c r="AC2230" i="2"/>
  <c r="AB2230" i="2"/>
  <c r="AA2230" i="2"/>
  <c r="Z2230" i="2"/>
  <c r="Y2230" i="2"/>
  <c r="X2230" i="2"/>
  <c r="W2230" i="2"/>
  <c r="V2230" i="2"/>
  <c r="U2230" i="2"/>
  <c r="T2230" i="2"/>
  <c r="S2230" i="2"/>
  <c r="R2230" i="2"/>
  <c r="Q2230" i="2"/>
  <c r="P2230" i="2"/>
  <c r="O2230" i="2"/>
  <c r="N2230" i="2"/>
  <c r="K2230" i="2"/>
  <c r="J2230" i="2"/>
  <c r="I2230" i="2"/>
  <c r="H2230" i="2"/>
  <c r="G2230" i="2"/>
  <c r="F2230" i="2"/>
  <c r="E2230" i="2"/>
  <c r="D2230" i="2"/>
  <c r="C2230" i="2"/>
  <c r="B2230" i="2"/>
  <c r="A2230" i="2"/>
  <c r="AI2229" i="2"/>
  <c r="AG2229" i="2"/>
  <c r="AF2229" i="2"/>
  <c r="AE2229" i="2"/>
  <c r="AD2229" i="2"/>
  <c r="AC2229" i="2"/>
  <c r="AA2229" i="2"/>
  <c r="Z2229" i="2"/>
  <c r="Y2229" i="2"/>
  <c r="X2229" i="2"/>
  <c r="W2229" i="2"/>
  <c r="V2229" i="2"/>
  <c r="U2229" i="2"/>
  <c r="T2229" i="2"/>
  <c r="S2229" i="2"/>
  <c r="R2229" i="2"/>
  <c r="Q2229" i="2"/>
  <c r="P2229" i="2"/>
  <c r="O2229" i="2"/>
  <c r="N2229" i="2"/>
  <c r="K2229" i="2"/>
  <c r="J2229" i="2"/>
  <c r="I2229" i="2"/>
  <c r="H2229" i="2"/>
  <c r="G2229" i="2"/>
  <c r="F2229" i="2"/>
  <c r="E2229" i="2"/>
  <c r="D2229" i="2"/>
  <c r="C2229" i="2"/>
  <c r="B2229" i="2"/>
  <c r="A2229" i="2"/>
  <c r="AI2228" i="2"/>
  <c r="AH2228" i="2"/>
  <c r="AG2228" i="2"/>
  <c r="AF2228" i="2"/>
  <c r="AE2228" i="2"/>
  <c r="AD2228" i="2"/>
  <c r="AB2228" i="2"/>
  <c r="AA2228" i="2"/>
  <c r="Z2228" i="2"/>
  <c r="Y2228" i="2"/>
  <c r="X2228" i="2"/>
  <c r="V2228" i="2"/>
  <c r="U2228" i="2"/>
  <c r="T2228" i="2"/>
  <c r="S2228" i="2"/>
  <c r="R2228" i="2"/>
  <c r="Q2228" i="2"/>
  <c r="P2228" i="2"/>
  <c r="O2228" i="2"/>
  <c r="N2228" i="2"/>
  <c r="K2228" i="2"/>
  <c r="J2228" i="2"/>
  <c r="I2228" i="2"/>
  <c r="H2228" i="2"/>
  <c r="G2228" i="2"/>
  <c r="F2228" i="2"/>
  <c r="E2228" i="2"/>
  <c r="D2228" i="2"/>
  <c r="C2228" i="2"/>
  <c r="B2228" i="2"/>
  <c r="A2228" i="2"/>
  <c r="AI2227" i="2"/>
  <c r="AH2227" i="2"/>
  <c r="AG2227" i="2"/>
  <c r="AF2227" i="2"/>
  <c r="AE2227" i="2"/>
  <c r="AD2227" i="2"/>
  <c r="AC2227" i="2"/>
  <c r="AB2227" i="2"/>
  <c r="AA2227" i="2"/>
  <c r="Z2227" i="2"/>
  <c r="Y2227" i="2"/>
  <c r="X2227" i="2"/>
  <c r="V2227" i="2"/>
  <c r="U2227" i="2"/>
  <c r="T2227" i="2"/>
  <c r="S2227" i="2"/>
  <c r="R2227" i="2"/>
  <c r="Q2227" i="2"/>
  <c r="P2227" i="2"/>
  <c r="O2227" i="2"/>
  <c r="N2227" i="2"/>
  <c r="K2227" i="2"/>
  <c r="J2227" i="2"/>
  <c r="I2227" i="2"/>
  <c r="H2227" i="2"/>
  <c r="G2227" i="2"/>
  <c r="F2227" i="2"/>
  <c r="E2227" i="2"/>
  <c r="D2227" i="2"/>
  <c r="C2227" i="2"/>
  <c r="B2227" i="2"/>
  <c r="A2227" i="2"/>
  <c r="AI2226" i="2"/>
  <c r="AH2226" i="2"/>
  <c r="AF2226" i="2"/>
  <c r="AE2226" i="2"/>
  <c r="AD2226" i="2"/>
  <c r="AC2226" i="2"/>
  <c r="AB2226" i="2"/>
  <c r="AA2226" i="2"/>
  <c r="Z2226" i="2"/>
  <c r="Y2226" i="2"/>
  <c r="U2226" i="2"/>
  <c r="T2226" i="2"/>
  <c r="S2226" i="2"/>
  <c r="R2226" i="2"/>
  <c r="Q2226" i="2"/>
  <c r="P2226" i="2"/>
  <c r="O2226" i="2"/>
  <c r="N2226" i="2"/>
  <c r="K2226" i="2"/>
  <c r="J2226" i="2"/>
  <c r="I2226" i="2"/>
  <c r="H2226" i="2"/>
  <c r="G2226" i="2"/>
  <c r="F2226" i="2"/>
  <c r="E2226" i="2"/>
  <c r="D2226" i="2"/>
  <c r="C2226" i="2"/>
  <c r="B2226" i="2"/>
  <c r="A2226" i="2"/>
  <c r="AI2225" i="2"/>
  <c r="AF2225" i="2"/>
  <c r="AE2225" i="2"/>
  <c r="AD2225" i="2"/>
  <c r="AC2225" i="2"/>
  <c r="AA2225" i="2"/>
  <c r="Z2225" i="2"/>
  <c r="Y2225" i="2"/>
  <c r="X2225" i="2"/>
  <c r="U2225" i="2"/>
  <c r="T2225" i="2"/>
  <c r="S2225" i="2"/>
  <c r="R2225" i="2"/>
  <c r="Q2225" i="2"/>
  <c r="P2225" i="2"/>
  <c r="O2225" i="2"/>
  <c r="N2225" i="2"/>
  <c r="K2225" i="2"/>
  <c r="J2225" i="2"/>
  <c r="I2225" i="2"/>
  <c r="H2225" i="2"/>
  <c r="G2225" i="2"/>
  <c r="F2225" i="2"/>
  <c r="E2225" i="2"/>
  <c r="D2225" i="2"/>
  <c r="C2225" i="2"/>
  <c r="B2225" i="2"/>
  <c r="A2225" i="2"/>
  <c r="AI2224" i="2"/>
  <c r="AH2224" i="2"/>
  <c r="AG2224" i="2"/>
  <c r="AF2224" i="2"/>
  <c r="AE2224" i="2"/>
  <c r="AD2224" i="2"/>
  <c r="AC2224" i="2"/>
  <c r="AB2224" i="2"/>
  <c r="AA2224" i="2"/>
  <c r="Z2224" i="2"/>
  <c r="Y2224" i="2"/>
  <c r="X2224" i="2"/>
  <c r="V2224" i="2"/>
  <c r="U2224" i="2"/>
  <c r="T2224" i="2"/>
  <c r="S2224" i="2"/>
  <c r="R2224" i="2"/>
  <c r="Q2224" i="2"/>
  <c r="P2224" i="2"/>
  <c r="O2224" i="2"/>
  <c r="N2224" i="2"/>
  <c r="K2224" i="2"/>
  <c r="J2224" i="2"/>
  <c r="I2224" i="2"/>
  <c r="H2224" i="2"/>
  <c r="G2224" i="2"/>
  <c r="F2224" i="2"/>
  <c r="E2224" i="2"/>
  <c r="D2224" i="2"/>
  <c r="C2224" i="2"/>
  <c r="B2224" i="2"/>
  <c r="A2224" i="2"/>
  <c r="AI2223" i="2"/>
  <c r="AH2223" i="2"/>
  <c r="AG2223" i="2"/>
  <c r="AF2223" i="2"/>
  <c r="AE2223" i="2"/>
  <c r="AD2223" i="2"/>
  <c r="AC2223" i="2"/>
  <c r="AB2223" i="2"/>
  <c r="AA2223" i="2"/>
  <c r="Z2223" i="2"/>
  <c r="Y2223" i="2"/>
  <c r="X2223" i="2"/>
  <c r="V2223" i="2"/>
  <c r="U2223" i="2"/>
  <c r="T2223" i="2"/>
  <c r="S2223" i="2"/>
  <c r="R2223" i="2"/>
  <c r="Q2223" i="2"/>
  <c r="P2223" i="2"/>
  <c r="O2223" i="2"/>
  <c r="N2223" i="2"/>
  <c r="K2223" i="2"/>
  <c r="J2223" i="2"/>
  <c r="I2223" i="2"/>
  <c r="H2223" i="2"/>
  <c r="G2223" i="2"/>
  <c r="F2223" i="2"/>
  <c r="E2223" i="2"/>
  <c r="D2223" i="2"/>
  <c r="C2223" i="2"/>
  <c r="B2223" i="2"/>
  <c r="A2223" i="2"/>
  <c r="AI2222" i="2"/>
  <c r="AH2222" i="2"/>
  <c r="AG2222" i="2"/>
  <c r="AF2222" i="2"/>
  <c r="AE2222" i="2"/>
  <c r="AD2222" i="2"/>
  <c r="AC2222" i="2"/>
  <c r="AB2222" i="2"/>
  <c r="AA2222" i="2"/>
  <c r="Z2222" i="2"/>
  <c r="Y2222" i="2"/>
  <c r="X2222" i="2"/>
  <c r="W2222" i="2"/>
  <c r="V2222" i="2"/>
  <c r="U2222" i="2"/>
  <c r="T2222" i="2"/>
  <c r="S2222" i="2"/>
  <c r="R2222" i="2"/>
  <c r="Q2222" i="2"/>
  <c r="P2222" i="2"/>
  <c r="O2222" i="2"/>
  <c r="N2222" i="2"/>
  <c r="K2222" i="2"/>
  <c r="J2222" i="2"/>
  <c r="I2222" i="2"/>
  <c r="H2222" i="2"/>
  <c r="G2222" i="2"/>
  <c r="F2222" i="2"/>
  <c r="E2222" i="2"/>
  <c r="D2222" i="2"/>
  <c r="C2222" i="2"/>
  <c r="B2222" i="2"/>
  <c r="A2222" i="2"/>
  <c r="AI2221" i="2"/>
  <c r="AH2221" i="2"/>
  <c r="AG2221" i="2"/>
  <c r="AF2221" i="2"/>
  <c r="AE2221" i="2"/>
  <c r="AD2221" i="2"/>
  <c r="AC2221" i="2"/>
  <c r="AB2221" i="2"/>
  <c r="AA2221" i="2"/>
  <c r="Z2221" i="2"/>
  <c r="Y2221" i="2"/>
  <c r="X2221" i="2"/>
  <c r="W2221" i="2"/>
  <c r="V2221" i="2"/>
  <c r="U2221" i="2"/>
  <c r="T2221" i="2"/>
  <c r="S2221" i="2"/>
  <c r="R2221" i="2"/>
  <c r="Q2221" i="2"/>
  <c r="P2221" i="2"/>
  <c r="O2221" i="2"/>
  <c r="N2221" i="2"/>
  <c r="K2221" i="2"/>
  <c r="J2221" i="2"/>
  <c r="I2221" i="2"/>
  <c r="H2221" i="2"/>
  <c r="G2221" i="2"/>
  <c r="F2221" i="2"/>
  <c r="E2221" i="2"/>
  <c r="D2221" i="2"/>
  <c r="C2221" i="2"/>
  <c r="B2221" i="2"/>
  <c r="A2221" i="2"/>
  <c r="AI2220" i="2"/>
  <c r="AH2220" i="2"/>
  <c r="AG2220" i="2"/>
  <c r="AF2220" i="2"/>
  <c r="AE2220" i="2"/>
  <c r="AD2220" i="2"/>
  <c r="AC2220" i="2"/>
  <c r="AB2220" i="2"/>
  <c r="AA2220" i="2"/>
  <c r="Z2220" i="2"/>
  <c r="Y2220" i="2"/>
  <c r="X2220" i="2"/>
  <c r="W2220" i="2"/>
  <c r="V2220" i="2"/>
  <c r="U2220" i="2"/>
  <c r="T2220" i="2"/>
  <c r="S2220" i="2"/>
  <c r="R2220" i="2"/>
  <c r="Q2220" i="2"/>
  <c r="P2220" i="2"/>
  <c r="O2220" i="2"/>
  <c r="N2220" i="2"/>
  <c r="K2220" i="2"/>
  <c r="J2220" i="2"/>
  <c r="I2220" i="2"/>
  <c r="H2220" i="2"/>
  <c r="G2220" i="2"/>
  <c r="F2220" i="2"/>
  <c r="E2220" i="2"/>
  <c r="D2220" i="2"/>
  <c r="C2220" i="2"/>
  <c r="B2220" i="2"/>
  <c r="A2220" i="2"/>
  <c r="AI2219" i="2"/>
  <c r="AH2219" i="2"/>
  <c r="AG2219" i="2"/>
  <c r="AF2219" i="2"/>
  <c r="AE2219" i="2"/>
  <c r="AD2219" i="2"/>
  <c r="AC2219" i="2"/>
  <c r="AB2219" i="2"/>
  <c r="AA2219" i="2"/>
  <c r="Z2219" i="2"/>
  <c r="Y2219" i="2"/>
  <c r="X2219" i="2"/>
  <c r="W2219" i="2"/>
  <c r="V2219" i="2"/>
  <c r="U2219" i="2"/>
  <c r="T2219" i="2"/>
  <c r="S2219" i="2"/>
  <c r="R2219" i="2"/>
  <c r="Q2219" i="2"/>
  <c r="P2219" i="2"/>
  <c r="O2219" i="2"/>
  <c r="N2219" i="2"/>
  <c r="K2219" i="2"/>
  <c r="J2219" i="2"/>
  <c r="I2219" i="2"/>
  <c r="H2219" i="2"/>
  <c r="G2219" i="2"/>
  <c r="F2219" i="2"/>
  <c r="E2219" i="2"/>
  <c r="D2219" i="2"/>
  <c r="C2219" i="2"/>
  <c r="B2219" i="2"/>
  <c r="A2219" i="2"/>
  <c r="AJ2218" i="2"/>
  <c r="AI2218" i="2"/>
  <c r="AH2218" i="2"/>
  <c r="AG2218" i="2"/>
  <c r="AF2218" i="2"/>
  <c r="AE2218" i="2"/>
  <c r="AD2218" i="2"/>
  <c r="AC2218" i="2"/>
  <c r="AB2218" i="2"/>
  <c r="AA2218" i="2"/>
  <c r="Z2218" i="2"/>
  <c r="Y2218" i="2"/>
  <c r="X2218" i="2"/>
  <c r="W2218" i="2"/>
  <c r="V2218" i="2"/>
  <c r="U2218" i="2"/>
  <c r="T2218" i="2"/>
  <c r="S2218" i="2"/>
  <c r="R2218" i="2"/>
  <c r="Q2218" i="2"/>
  <c r="P2218" i="2"/>
  <c r="O2218" i="2"/>
  <c r="N2218" i="2"/>
  <c r="K2218" i="2"/>
  <c r="J2218" i="2"/>
  <c r="I2218" i="2"/>
  <c r="H2218" i="2"/>
  <c r="G2218" i="2"/>
  <c r="F2218" i="2"/>
  <c r="E2218" i="2"/>
  <c r="D2218" i="2"/>
  <c r="C2218" i="2"/>
  <c r="B2218" i="2"/>
  <c r="A2218" i="2"/>
  <c r="AI2217" i="2"/>
  <c r="AH2217" i="2"/>
  <c r="AG2217" i="2"/>
  <c r="AF2217" i="2"/>
  <c r="AE2217" i="2"/>
  <c r="AD2217" i="2"/>
  <c r="AC2217" i="2"/>
  <c r="AB2217" i="2"/>
  <c r="AA2217" i="2"/>
  <c r="Z2217" i="2"/>
  <c r="Y2217" i="2"/>
  <c r="X2217" i="2"/>
  <c r="V2217" i="2"/>
  <c r="U2217" i="2"/>
  <c r="T2217" i="2"/>
  <c r="S2217" i="2"/>
  <c r="R2217" i="2"/>
  <c r="Q2217" i="2"/>
  <c r="P2217" i="2"/>
  <c r="O2217" i="2"/>
  <c r="N2217" i="2"/>
  <c r="K2217" i="2"/>
  <c r="J2217" i="2"/>
  <c r="I2217" i="2"/>
  <c r="H2217" i="2"/>
  <c r="G2217" i="2"/>
  <c r="F2217" i="2"/>
  <c r="E2217" i="2"/>
  <c r="D2217" i="2"/>
  <c r="C2217" i="2"/>
  <c r="B2217" i="2"/>
  <c r="A2217" i="2"/>
  <c r="AJ2216" i="2"/>
  <c r="AI2216" i="2"/>
  <c r="AH2216" i="2"/>
  <c r="AF2216" i="2"/>
  <c r="AE2216" i="2"/>
  <c r="AD2216" i="2"/>
  <c r="AC2216" i="2"/>
  <c r="AB2216" i="2"/>
  <c r="AA2216" i="2"/>
  <c r="Z2216" i="2"/>
  <c r="Y2216" i="2"/>
  <c r="X2216" i="2"/>
  <c r="V2216" i="2"/>
  <c r="U2216" i="2"/>
  <c r="T2216" i="2"/>
  <c r="S2216" i="2"/>
  <c r="R2216" i="2"/>
  <c r="Q2216" i="2"/>
  <c r="P2216" i="2"/>
  <c r="O2216" i="2"/>
  <c r="N2216" i="2"/>
  <c r="K2216" i="2"/>
  <c r="J2216" i="2"/>
  <c r="I2216" i="2"/>
  <c r="H2216" i="2"/>
  <c r="G2216" i="2"/>
  <c r="F2216" i="2"/>
  <c r="E2216" i="2"/>
  <c r="D2216" i="2"/>
  <c r="C2216" i="2"/>
  <c r="B2216" i="2"/>
  <c r="A2216" i="2"/>
  <c r="AI2215" i="2"/>
  <c r="AH2215" i="2"/>
  <c r="AG2215" i="2"/>
  <c r="AF2215" i="2"/>
  <c r="AE2215" i="2"/>
  <c r="AD2215" i="2"/>
  <c r="AC2215" i="2"/>
  <c r="AA2215" i="2"/>
  <c r="Z2215" i="2"/>
  <c r="Y2215" i="2"/>
  <c r="X2215" i="2"/>
  <c r="V2215" i="2"/>
  <c r="U2215" i="2"/>
  <c r="T2215" i="2"/>
  <c r="S2215" i="2"/>
  <c r="R2215" i="2"/>
  <c r="Q2215" i="2"/>
  <c r="P2215" i="2"/>
  <c r="O2215" i="2"/>
  <c r="N2215" i="2"/>
  <c r="K2215" i="2"/>
  <c r="J2215" i="2"/>
  <c r="I2215" i="2"/>
  <c r="H2215" i="2"/>
  <c r="G2215" i="2"/>
  <c r="F2215" i="2"/>
  <c r="E2215" i="2"/>
  <c r="D2215" i="2"/>
  <c r="C2215" i="2"/>
  <c r="B2215" i="2"/>
  <c r="A2215" i="2"/>
  <c r="AI2214" i="2"/>
  <c r="AH2214" i="2"/>
  <c r="AG2214" i="2"/>
  <c r="AF2214" i="2"/>
  <c r="AE2214" i="2"/>
  <c r="AD2214" i="2"/>
  <c r="AC2214" i="2"/>
  <c r="AB2214" i="2"/>
  <c r="AA2214" i="2"/>
  <c r="Z2214" i="2"/>
  <c r="Y2214" i="2"/>
  <c r="X2214" i="2"/>
  <c r="V2214" i="2"/>
  <c r="U2214" i="2"/>
  <c r="T2214" i="2"/>
  <c r="S2214" i="2"/>
  <c r="R2214" i="2"/>
  <c r="Q2214" i="2"/>
  <c r="P2214" i="2"/>
  <c r="O2214" i="2"/>
  <c r="N2214" i="2"/>
  <c r="K2214" i="2"/>
  <c r="J2214" i="2"/>
  <c r="I2214" i="2"/>
  <c r="H2214" i="2"/>
  <c r="G2214" i="2"/>
  <c r="F2214" i="2"/>
  <c r="E2214" i="2"/>
  <c r="D2214" i="2"/>
  <c r="C2214" i="2"/>
  <c r="B2214" i="2"/>
  <c r="A2214" i="2"/>
  <c r="AI2213" i="2"/>
  <c r="AH2213" i="2"/>
  <c r="AG2213" i="2"/>
  <c r="AF2213" i="2"/>
  <c r="AE2213" i="2"/>
  <c r="AD2213" i="2"/>
  <c r="AC2213" i="2"/>
  <c r="AB2213" i="2"/>
  <c r="AA2213" i="2"/>
  <c r="Z2213" i="2"/>
  <c r="Y2213" i="2"/>
  <c r="X2213" i="2"/>
  <c r="W2213" i="2"/>
  <c r="V2213" i="2"/>
  <c r="U2213" i="2"/>
  <c r="T2213" i="2"/>
  <c r="S2213" i="2"/>
  <c r="R2213" i="2"/>
  <c r="Q2213" i="2"/>
  <c r="P2213" i="2"/>
  <c r="O2213" i="2"/>
  <c r="N2213" i="2"/>
  <c r="K2213" i="2"/>
  <c r="J2213" i="2"/>
  <c r="I2213" i="2"/>
  <c r="H2213" i="2"/>
  <c r="G2213" i="2"/>
  <c r="F2213" i="2"/>
  <c r="E2213" i="2"/>
  <c r="D2213" i="2"/>
  <c r="C2213" i="2"/>
  <c r="B2213" i="2"/>
  <c r="A2213" i="2"/>
  <c r="AJ2212" i="2"/>
  <c r="AI2212" i="2"/>
  <c r="AH2212" i="2"/>
  <c r="AG2212" i="2"/>
  <c r="AF2212" i="2"/>
  <c r="AE2212" i="2"/>
  <c r="AD2212" i="2"/>
  <c r="AC2212" i="2"/>
  <c r="AB2212" i="2"/>
  <c r="AA2212" i="2"/>
  <c r="Z2212" i="2"/>
  <c r="Y2212" i="2"/>
  <c r="X2212" i="2"/>
  <c r="V2212" i="2"/>
  <c r="U2212" i="2"/>
  <c r="T2212" i="2"/>
  <c r="S2212" i="2"/>
  <c r="R2212" i="2"/>
  <c r="Q2212" i="2"/>
  <c r="P2212" i="2"/>
  <c r="O2212" i="2"/>
  <c r="N2212" i="2"/>
  <c r="K2212" i="2"/>
  <c r="J2212" i="2"/>
  <c r="I2212" i="2"/>
  <c r="H2212" i="2"/>
  <c r="G2212" i="2"/>
  <c r="F2212" i="2"/>
  <c r="E2212" i="2"/>
  <c r="D2212" i="2"/>
  <c r="C2212" i="2"/>
  <c r="B2212" i="2"/>
  <c r="A2212" i="2"/>
  <c r="AI2211" i="2"/>
  <c r="AH2211" i="2"/>
  <c r="AG2211" i="2"/>
  <c r="AF2211" i="2"/>
  <c r="AE2211" i="2"/>
  <c r="AD2211" i="2"/>
  <c r="AC2211" i="2"/>
  <c r="AB2211" i="2"/>
  <c r="AA2211" i="2"/>
  <c r="Z2211" i="2"/>
  <c r="Y2211" i="2"/>
  <c r="X2211" i="2"/>
  <c r="W2211" i="2"/>
  <c r="V2211" i="2"/>
  <c r="U2211" i="2"/>
  <c r="T2211" i="2"/>
  <c r="S2211" i="2"/>
  <c r="R2211" i="2"/>
  <c r="Q2211" i="2"/>
  <c r="P2211" i="2"/>
  <c r="O2211" i="2"/>
  <c r="N2211" i="2"/>
  <c r="K2211" i="2"/>
  <c r="J2211" i="2"/>
  <c r="I2211" i="2"/>
  <c r="H2211" i="2"/>
  <c r="G2211" i="2"/>
  <c r="F2211" i="2"/>
  <c r="E2211" i="2"/>
  <c r="D2211" i="2"/>
  <c r="C2211" i="2"/>
  <c r="B2211" i="2"/>
  <c r="A2211" i="2"/>
  <c r="AI2210" i="2"/>
  <c r="AH2210" i="2"/>
  <c r="AG2210" i="2"/>
  <c r="AF2210" i="2"/>
  <c r="AE2210" i="2"/>
  <c r="AD2210" i="2"/>
  <c r="AC2210" i="2"/>
  <c r="AB2210" i="2"/>
  <c r="AA2210" i="2"/>
  <c r="Z2210" i="2"/>
  <c r="Y2210" i="2"/>
  <c r="X2210" i="2"/>
  <c r="V2210" i="2"/>
  <c r="U2210" i="2"/>
  <c r="T2210" i="2"/>
  <c r="S2210" i="2"/>
  <c r="R2210" i="2"/>
  <c r="Q2210" i="2"/>
  <c r="P2210" i="2"/>
  <c r="O2210" i="2"/>
  <c r="N2210" i="2"/>
  <c r="K2210" i="2"/>
  <c r="J2210" i="2"/>
  <c r="I2210" i="2"/>
  <c r="H2210" i="2"/>
  <c r="G2210" i="2"/>
  <c r="F2210" i="2"/>
  <c r="E2210" i="2"/>
  <c r="D2210" i="2"/>
  <c r="C2210" i="2"/>
  <c r="B2210" i="2"/>
  <c r="A2210" i="2"/>
  <c r="AI2209" i="2"/>
  <c r="AH2209" i="2"/>
  <c r="AG2209" i="2"/>
  <c r="AF2209" i="2"/>
  <c r="AE2209" i="2"/>
  <c r="AD2209" i="2"/>
  <c r="AC2209" i="2"/>
  <c r="AB2209" i="2"/>
  <c r="AA2209" i="2"/>
  <c r="Z2209" i="2"/>
  <c r="Y2209" i="2"/>
  <c r="X2209" i="2"/>
  <c r="W2209" i="2"/>
  <c r="V2209" i="2"/>
  <c r="U2209" i="2"/>
  <c r="T2209" i="2"/>
  <c r="S2209" i="2"/>
  <c r="R2209" i="2"/>
  <c r="Q2209" i="2"/>
  <c r="P2209" i="2"/>
  <c r="O2209" i="2"/>
  <c r="N2209" i="2"/>
  <c r="K2209" i="2"/>
  <c r="J2209" i="2"/>
  <c r="I2209" i="2"/>
  <c r="H2209" i="2"/>
  <c r="G2209" i="2"/>
  <c r="F2209" i="2"/>
  <c r="E2209" i="2"/>
  <c r="D2209" i="2"/>
  <c r="C2209" i="2"/>
  <c r="B2209" i="2"/>
  <c r="A2209" i="2"/>
  <c r="AI2208" i="2"/>
  <c r="AH2208" i="2"/>
  <c r="AG2208" i="2"/>
  <c r="AF2208" i="2"/>
  <c r="AE2208" i="2"/>
  <c r="AD2208" i="2"/>
  <c r="AC2208" i="2"/>
  <c r="AB2208" i="2"/>
  <c r="AA2208" i="2"/>
  <c r="Z2208" i="2"/>
  <c r="Y2208" i="2"/>
  <c r="X2208" i="2"/>
  <c r="W2208" i="2"/>
  <c r="V2208" i="2"/>
  <c r="U2208" i="2"/>
  <c r="T2208" i="2"/>
  <c r="S2208" i="2"/>
  <c r="R2208" i="2"/>
  <c r="Q2208" i="2"/>
  <c r="P2208" i="2"/>
  <c r="O2208" i="2"/>
  <c r="N2208" i="2"/>
  <c r="K2208" i="2"/>
  <c r="J2208" i="2"/>
  <c r="I2208" i="2"/>
  <c r="H2208" i="2"/>
  <c r="G2208" i="2"/>
  <c r="F2208" i="2"/>
  <c r="E2208" i="2"/>
  <c r="D2208" i="2"/>
  <c r="C2208" i="2"/>
  <c r="B2208" i="2"/>
  <c r="A2208" i="2"/>
  <c r="AI2207" i="2"/>
  <c r="AH2207" i="2"/>
  <c r="AG2207" i="2"/>
  <c r="AF2207" i="2"/>
  <c r="AE2207" i="2"/>
  <c r="AD2207" i="2"/>
  <c r="AC2207" i="2"/>
  <c r="AB2207" i="2"/>
  <c r="AA2207" i="2"/>
  <c r="Z2207" i="2"/>
  <c r="Y2207" i="2"/>
  <c r="U2207" i="2"/>
  <c r="T2207" i="2"/>
  <c r="S2207" i="2"/>
  <c r="R2207" i="2"/>
  <c r="Q2207" i="2"/>
  <c r="P2207" i="2"/>
  <c r="O2207" i="2"/>
  <c r="N2207" i="2"/>
  <c r="K2207" i="2"/>
  <c r="J2207" i="2"/>
  <c r="I2207" i="2"/>
  <c r="H2207" i="2"/>
  <c r="G2207" i="2"/>
  <c r="F2207" i="2"/>
  <c r="E2207" i="2"/>
  <c r="D2207" i="2"/>
  <c r="C2207" i="2"/>
  <c r="B2207" i="2"/>
  <c r="A2207" i="2"/>
  <c r="AI2206" i="2"/>
  <c r="AH2206" i="2"/>
  <c r="AG2206" i="2"/>
  <c r="AF2206" i="2"/>
  <c r="AE2206" i="2"/>
  <c r="AD2206" i="2"/>
  <c r="AB2206" i="2"/>
  <c r="AA2206" i="2"/>
  <c r="Z2206" i="2"/>
  <c r="Y2206" i="2"/>
  <c r="W2206" i="2"/>
  <c r="V2206" i="2"/>
  <c r="U2206" i="2"/>
  <c r="T2206" i="2"/>
  <c r="S2206" i="2"/>
  <c r="R2206" i="2"/>
  <c r="Q2206" i="2"/>
  <c r="P2206" i="2"/>
  <c r="O2206" i="2"/>
  <c r="N2206" i="2"/>
  <c r="K2206" i="2"/>
  <c r="J2206" i="2"/>
  <c r="I2206" i="2"/>
  <c r="H2206" i="2"/>
  <c r="G2206" i="2"/>
  <c r="F2206" i="2"/>
  <c r="E2206" i="2"/>
  <c r="D2206" i="2"/>
  <c r="C2206" i="2"/>
  <c r="B2206" i="2"/>
  <c r="A2206" i="2"/>
  <c r="AI2205" i="2"/>
  <c r="AH2205" i="2"/>
  <c r="AG2205" i="2"/>
  <c r="AF2205" i="2"/>
  <c r="AE2205" i="2"/>
  <c r="AD2205" i="2"/>
  <c r="AC2205" i="2"/>
  <c r="AB2205" i="2"/>
  <c r="AA2205" i="2"/>
  <c r="Z2205" i="2"/>
  <c r="Y2205" i="2"/>
  <c r="X2205" i="2"/>
  <c r="V2205" i="2"/>
  <c r="U2205" i="2"/>
  <c r="T2205" i="2"/>
  <c r="S2205" i="2"/>
  <c r="R2205" i="2"/>
  <c r="Q2205" i="2"/>
  <c r="P2205" i="2"/>
  <c r="O2205" i="2"/>
  <c r="N2205" i="2"/>
  <c r="K2205" i="2"/>
  <c r="J2205" i="2"/>
  <c r="I2205" i="2"/>
  <c r="H2205" i="2"/>
  <c r="G2205" i="2"/>
  <c r="F2205" i="2"/>
  <c r="E2205" i="2"/>
  <c r="D2205" i="2"/>
  <c r="C2205" i="2"/>
  <c r="B2205" i="2"/>
  <c r="A2205" i="2"/>
  <c r="AI2204" i="2"/>
  <c r="AH2204" i="2"/>
  <c r="AG2204" i="2"/>
  <c r="AF2204" i="2"/>
  <c r="AE2204" i="2"/>
  <c r="AD2204" i="2"/>
  <c r="AC2204" i="2"/>
  <c r="AB2204" i="2"/>
  <c r="AA2204" i="2"/>
  <c r="Z2204" i="2"/>
  <c r="Y2204" i="2"/>
  <c r="X2204" i="2"/>
  <c r="W2204" i="2"/>
  <c r="V2204" i="2"/>
  <c r="U2204" i="2"/>
  <c r="T2204" i="2"/>
  <c r="S2204" i="2"/>
  <c r="R2204" i="2"/>
  <c r="Q2204" i="2"/>
  <c r="P2204" i="2"/>
  <c r="O2204" i="2"/>
  <c r="N2204" i="2"/>
  <c r="K2204" i="2"/>
  <c r="J2204" i="2"/>
  <c r="I2204" i="2"/>
  <c r="H2204" i="2"/>
  <c r="G2204" i="2"/>
  <c r="F2204" i="2"/>
  <c r="E2204" i="2"/>
  <c r="D2204" i="2"/>
  <c r="C2204" i="2"/>
  <c r="B2204" i="2"/>
  <c r="A2204" i="2"/>
  <c r="AI2203" i="2"/>
  <c r="AH2203" i="2"/>
  <c r="AG2203" i="2"/>
  <c r="AF2203" i="2"/>
  <c r="AE2203" i="2"/>
  <c r="AD2203" i="2"/>
  <c r="AC2203" i="2"/>
  <c r="AA2203" i="2"/>
  <c r="Z2203" i="2"/>
  <c r="Y2203" i="2"/>
  <c r="X2203" i="2"/>
  <c r="V2203" i="2"/>
  <c r="U2203" i="2"/>
  <c r="T2203" i="2"/>
  <c r="S2203" i="2"/>
  <c r="R2203" i="2"/>
  <c r="Q2203" i="2"/>
  <c r="P2203" i="2"/>
  <c r="O2203" i="2"/>
  <c r="N2203" i="2"/>
  <c r="K2203" i="2"/>
  <c r="J2203" i="2"/>
  <c r="I2203" i="2"/>
  <c r="H2203" i="2"/>
  <c r="G2203" i="2"/>
  <c r="F2203" i="2"/>
  <c r="E2203" i="2"/>
  <c r="D2203" i="2"/>
  <c r="C2203" i="2"/>
  <c r="B2203" i="2"/>
  <c r="A2203" i="2"/>
  <c r="AI2202" i="2"/>
  <c r="AF2202" i="2"/>
  <c r="AE2202" i="2"/>
  <c r="AD2202" i="2"/>
  <c r="AC2202" i="2"/>
  <c r="AB2202" i="2"/>
  <c r="AA2202" i="2"/>
  <c r="Z2202" i="2"/>
  <c r="Y2202" i="2"/>
  <c r="W2202" i="2"/>
  <c r="V2202" i="2"/>
  <c r="U2202" i="2"/>
  <c r="T2202" i="2"/>
  <c r="S2202" i="2"/>
  <c r="R2202" i="2"/>
  <c r="Q2202" i="2"/>
  <c r="P2202" i="2"/>
  <c r="O2202" i="2"/>
  <c r="N2202" i="2"/>
  <c r="K2202" i="2"/>
  <c r="J2202" i="2"/>
  <c r="I2202" i="2"/>
  <c r="H2202" i="2"/>
  <c r="G2202" i="2"/>
  <c r="F2202" i="2"/>
  <c r="E2202" i="2"/>
  <c r="D2202" i="2"/>
  <c r="C2202" i="2"/>
  <c r="B2202" i="2"/>
  <c r="A2202" i="2"/>
  <c r="AI2201" i="2"/>
  <c r="AH2201" i="2"/>
  <c r="AG2201" i="2"/>
  <c r="AF2201" i="2"/>
  <c r="AE2201" i="2"/>
  <c r="AD2201" i="2"/>
  <c r="AC2201" i="2"/>
  <c r="AB2201" i="2"/>
  <c r="AA2201" i="2"/>
  <c r="Z2201" i="2"/>
  <c r="Y2201" i="2"/>
  <c r="X2201" i="2"/>
  <c r="V2201" i="2"/>
  <c r="U2201" i="2"/>
  <c r="T2201" i="2"/>
  <c r="S2201" i="2"/>
  <c r="R2201" i="2"/>
  <c r="Q2201" i="2"/>
  <c r="P2201" i="2"/>
  <c r="O2201" i="2"/>
  <c r="N2201" i="2"/>
  <c r="K2201" i="2"/>
  <c r="J2201" i="2"/>
  <c r="I2201" i="2"/>
  <c r="H2201" i="2"/>
  <c r="G2201" i="2"/>
  <c r="F2201" i="2"/>
  <c r="E2201" i="2"/>
  <c r="D2201" i="2"/>
  <c r="C2201" i="2"/>
  <c r="B2201" i="2"/>
  <c r="A2201" i="2"/>
  <c r="AI2200" i="2"/>
  <c r="AH2200" i="2"/>
  <c r="AG2200" i="2"/>
  <c r="AF2200" i="2"/>
  <c r="AE2200" i="2"/>
  <c r="AD2200" i="2"/>
  <c r="AC2200" i="2"/>
  <c r="AB2200" i="2"/>
  <c r="AA2200" i="2"/>
  <c r="Z2200" i="2"/>
  <c r="Y2200" i="2"/>
  <c r="X2200" i="2"/>
  <c r="U2200" i="2"/>
  <c r="T2200" i="2"/>
  <c r="S2200" i="2"/>
  <c r="R2200" i="2"/>
  <c r="Q2200" i="2"/>
  <c r="P2200" i="2"/>
  <c r="O2200" i="2"/>
  <c r="N2200" i="2"/>
  <c r="K2200" i="2"/>
  <c r="J2200" i="2"/>
  <c r="I2200" i="2"/>
  <c r="H2200" i="2"/>
  <c r="G2200" i="2"/>
  <c r="F2200" i="2"/>
  <c r="E2200" i="2"/>
  <c r="D2200" i="2"/>
  <c r="C2200" i="2"/>
  <c r="B2200" i="2"/>
  <c r="A2200" i="2"/>
  <c r="AI2199" i="2"/>
  <c r="AH2199" i="2"/>
  <c r="AF2199" i="2"/>
  <c r="AE2199" i="2"/>
  <c r="AD2199" i="2"/>
  <c r="AC2199" i="2"/>
  <c r="AB2199" i="2"/>
  <c r="AA2199" i="2"/>
  <c r="Z2199" i="2"/>
  <c r="Y2199" i="2"/>
  <c r="X2199" i="2"/>
  <c r="V2199" i="2"/>
  <c r="U2199" i="2"/>
  <c r="T2199" i="2"/>
  <c r="S2199" i="2"/>
  <c r="R2199" i="2"/>
  <c r="Q2199" i="2"/>
  <c r="P2199" i="2"/>
  <c r="O2199" i="2"/>
  <c r="N2199" i="2"/>
  <c r="K2199" i="2"/>
  <c r="J2199" i="2"/>
  <c r="I2199" i="2"/>
  <c r="H2199" i="2"/>
  <c r="G2199" i="2"/>
  <c r="F2199" i="2"/>
  <c r="E2199" i="2"/>
  <c r="D2199" i="2"/>
  <c r="C2199" i="2"/>
  <c r="B2199" i="2"/>
  <c r="A2199" i="2"/>
  <c r="AI2198" i="2"/>
  <c r="AH2198" i="2"/>
  <c r="AG2198" i="2"/>
  <c r="AF2198" i="2"/>
  <c r="AE2198" i="2"/>
  <c r="AD2198" i="2"/>
  <c r="AC2198" i="2"/>
  <c r="AB2198" i="2"/>
  <c r="AA2198" i="2"/>
  <c r="Z2198" i="2"/>
  <c r="Y2198" i="2"/>
  <c r="X2198" i="2"/>
  <c r="V2198" i="2"/>
  <c r="U2198" i="2"/>
  <c r="T2198" i="2"/>
  <c r="S2198" i="2"/>
  <c r="R2198" i="2"/>
  <c r="Q2198" i="2"/>
  <c r="P2198" i="2"/>
  <c r="O2198" i="2"/>
  <c r="N2198" i="2"/>
  <c r="K2198" i="2"/>
  <c r="J2198" i="2"/>
  <c r="I2198" i="2"/>
  <c r="H2198" i="2"/>
  <c r="G2198" i="2"/>
  <c r="F2198" i="2"/>
  <c r="E2198" i="2"/>
  <c r="D2198" i="2"/>
  <c r="C2198" i="2"/>
  <c r="B2198" i="2"/>
  <c r="A2198" i="2"/>
  <c r="AI2197" i="2"/>
  <c r="AH2197" i="2"/>
  <c r="AG2197" i="2"/>
  <c r="AF2197" i="2"/>
  <c r="AE2197" i="2"/>
  <c r="AD2197" i="2"/>
  <c r="AC2197" i="2"/>
  <c r="AB2197" i="2"/>
  <c r="AA2197" i="2"/>
  <c r="Z2197" i="2"/>
  <c r="Y2197" i="2"/>
  <c r="X2197" i="2"/>
  <c r="W2197" i="2"/>
  <c r="V2197" i="2"/>
  <c r="U2197" i="2"/>
  <c r="T2197" i="2"/>
  <c r="S2197" i="2"/>
  <c r="R2197" i="2"/>
  <c r="Q2197" i="2"/>
  <c r="P2197" i="2"/>
  <c r="O2197" i="2"/>
  <c r="N2197" i="2"/>
  <c r="K2197" i="2"/>
  <c r="J2197" i="2"/>
  <c r="I2197" i="2"/>
  <c r="H2197" i="2"/>
  <c r="G2197" i="2"/>
  <c r="F2197" i="2"/>
  <c r="E2197" i="2"/>
  <c r="D2197" i="2"/>
  <c r="C2197" i="2"/>
  <c r="B2197" i="2"/>
  <c r="A2197" i="2"/>
  <c r="AI2196" i="2"/>
  <c r="AH2196" i="2"/>
  <c r="AF2196" i="2"/>
  <c r="AE2196" i="2"/>
  <c r="AD2196" i="2"/>
  <c r="AC2196" i="2"/>
  <c r="AA2196" i="2"/>
  <c r="Z2196" i="2"/>
  <c r="Y2196" i="2"/>
  <c r="W2196" i="2"/>
  <c r="V2196" i="2"/>
  <c r="U2196" i="2"/>
  <c r="T2196" i="2"/>
  <c r="S2196" i="2"/>
  <c r="R2196" i="2"/>
  <c r="Q2196" i="2"/>
  <c r="P2196" i="2"/>
  <c r="O2196" i="2"/>
  <c r="N2196" i="2"/>
  <c r="K2196" i="2"/>
  <c r="J2196" i="2"/>
  <c r="I2196" i="2"/>
  <c r="H2196" i="2"/>
  <c r="G2196" i="2"/>
  <c r="F2196" i="2"/>
  <c r="E2196" i="2"/>
  <c r="D2196" i="2"/>
  <c r="C2196" i="2"/>
  <c r="B2196" i="2"/>
  <c r="A2196" i="2"/>
  <c r="AI2195" i="2"/>
  <c r="AH2195" i="2"/>
  <c r="AG2195" i="2"/>
  <c r="AF2195" i="2"/>
  <c r="AE2195" i="2"/>
  <c r="AD2195" i="2"/>
  <c r="AC2195" i="2"/>
  <c r="AB2195" i="2"/>
  <c r="AA2195" i="2"/>
  <c r="Z2195" i="2"/>
  <c r="Y2195" i="2"/>
  <c r="U2195" i="2"/>
  <c r="T2195" i="2"/>
  <c r="S2195" i="2"/>
  <c r="Q2195" i="2"/>
  <c r="P2195" i="2"/>
  <c r="O2195" i="2"/>
  <c r="N2195" i="2"/>
  <c r="K2195" i="2"/>
  <c r="J2195" i="2"/>
  <c r="I2195" i="2"/>
  <c r="H2195" i="2"/>
  <c r="G2195" i="2"/>
  <c r="F2195" i="2"/>
  <c r="E2195" i="2"/>
  <c r="D2195" i="2"/>
  <c r="C2195" i="2"/>
  <c r="B2195" i="2"/>
  <c r="A2195" i="2"/>
  <c r="AI2194" i="2"/>
  <c r="AH2194" i="2"/>
  <c r="AG2194" i="2"/>
  <c r="AF2194" i="2"/>
  <c r="AE2194" i="2"/>
  <c r="AD2194" i="2"/>
  <c r="AC2194" i="2"/>
  <c r="AB2194" i="2"/>
  <c r="AA2194" i="2"/>
  <c r="Z2194" i="2"/>
  <c r="Y2194" i="2"/>
  <c r="X2194" i="2"/>
  <c r="V2194" i="2"/>
  <c r="U2194" i="2"/>
  <c r="T2194" i="2"/>
  <c r="S2194" i="2"/>
  <c r="R2194" i="2"/>
  <c r="Q2194" i="2"/>
  <c r="P2194" i="2"/>
  <c r="O2194" i="2"/>
  <c r="N2194" i="2"/>
  <c r="K2194" i="2"/>
  <c r="J2194" i="2"/>
  <c r="I2194" i="2"/>
  <c r="H2194" i="2"/>
  <c r="G2194" i="2"/>
  <c r="F2194" i="2"/>
  <c r="E2194" i="2"/>
  <c r="D2194" i="2"/>
  <c r="C2194" i="2"/>
  <c r="B2194" i="2"/>
  <c r="A2194" i="2"/>
  <c r="AJ2193" i="2"/>
  <c r="AI2193" i="2"/>
  <c r="AH2193" i="2"/>
  <c r="AG2193" i="2"/>
  <c r="AF2193" i="2"/>
  <c r="AE2193" i="2"/>
  <c r="AD2193" i="2"/>
  <c r="AB2193" i="2"/>
  <c r="AA2193" i="2"/>
  <c r="Z2193" i="2"/>
  <c r="Y2193" i="2"/>
  <c r="X2193" i="2"/>
  <c r="V2193" i="2"/>
  <c r="U2193" i="2"/>
  <c r="T2193" i="2"/>
  <c r="S2193" i="2"/>
  <c r="R2193" i="2"/>
  <c r="Q2193" i="2"/>
  <c r="P2193" i="2"/>
  <c r="O2193" i="2"/>
  <c r="N2193" i="2"/>
  <c r="K2193" i="2"/>
  <c r="J2193" i="2"/>
  <c r="I2193" i="2"/>
  <c r="H2193" i="2"/>
  <c r="G2193" i="2"/>
  <c r="F2193" i="2"/>
  <c r="E2193" i="2"/>
  <c r="D2193" i="2"/>
  <c r="C2193" i="2"/>
  <c r="B2193" i="2"/>
  <c r="A2193" i="2"/>
  <c r="AI2192" i="2"/>
  <c r="AH2192" i="2"/>
  <c r="AG2192" i="2"/>
  <c r="AF2192" i="2"/>
  <c r="AE2192" i="2"/>
  <c r="AD2192" i="2"/>
  <c r="AC2192" i="2"/>
  <c r="AB2192" i="2"/>
  <c r="AA2192" i="2"/>
  <c r="Z2192" i="2"/>
  <c r="Y2192" i="2"/>
  <c r="X2192" i="2"/>
  <c r="W2192" i="2"/>
  <c r="V2192" i="2"/>
  <c r="U2192" i="2"/>
  <c r="T2192" i="2"/>
  <c r="S2192" i="2"/>
  <c r="R2192" i="2"/>
  <c r="Q2192" i="2"/>
  <c r="P2192" i="2"/>
  <c r="O2192" i="2"/>
  <c r="N2192" i="2"/>
  <c r="K2192" i="2"/>
  <c r="J2192" i="2"/>
  <c r="I2192" i="2"/>
  <c r="H2192" i="2"/>
  <c r="G2192" i="2"/>
  <c r="F2192" i="2"/>
  <c r="E2192" i="2"/>
  <c r="D2192" i="2"/>
  <c r="C2192" i="2"/>
  <c r="B2192" i="2"/>
  <c r="A2192" i="2"/>
  <c r="AI2191" i="2"/>
  <c r="AH2191" i="2"/>
  <c r="AG2191" i="2"/>
  <c r="AF2191" i="2"/>
  <c r="AE2191" i="2"/>
  <c r="AD2191" i="2"/>
  <c r="AC2191" i="2"/>
  <c r="AB2191" i="2"/>
  <c r="AA2191" i="2"/>
  <c r="Z2191" i="2"/>
  <c r="Y2191" i="2"/>
  <c r="X2191" i="2"/>
  <c r="V2191" i="2"/>
  <c r="U2191" i="2"/>
  <c r="T2191" i="2"/>
  <c r="S2191" i="2"/>
  <c r="R2191" i="2"/>
  <c r="Q2191" i="2"/>
  <c r="P2191" i="2"/>
  <c r="O2191" i="2"/>
  <c r="N2191" i="2"/>
  <c r="K2191" i="2"/>
  <c r="J2191" i="2"/>
  <c r="I2191" i="2"/>
  <c r="H2191" i="2"/>
  <c r="G2191" i="2"/>
  <c r="F2191" i="2"/>
  <c r="E2191" i="2"/>
  <c r="D2191" i="2"/>
  <c r="C2191" i="2"/>
  <c r="B2191" i="2"/>
  <c r="A2191" i="2"/>
  <c r="AI2190" i="2"/>
  <c r="AH2190" i="2"/>
  <c r="AG2190" i="2"/>
  <c r="AF2190" i="2"/>
  <c r="AE2190" i="2"/>
  <c r="AD2190" i="2"/>
  <c r="AC2190" i="2"/>
  <c r="AB2190" i="2"/>
  <c r="AA2190" i="2"/>
  <c r="Z2190" i="2"/>
  <c r="Y2190" i="2"/>
  <c r="U2190" i="2"/>
  <c r="T2190" i="2"/>
  <c r="S2190" i="2"/>
  <c r="R2190" i="2"/>
  <c r="Q2190" i="2"/>
  <c r="P2190" i="2"/>
  <c r="O2190" i="2"/>
  <c r="N2190" i="2"/>
  <c r="K2190" i="2"/>
  <c r="J2190" i="2"/>
  <c r="I2190" i="2"/>
  <c r="H2190" i="2"/>
  <c r="G2190" i="2"/>
  <c r="F2190" i="2"/>
  <c r="E2190" i="2"/>
  <c r="D2190" i="2"/>
  <c r="C2190" i="2"/>
  <c r="B2190" i="2"/>
  <c r="A2190" i="2"/>
  <c r="AI2189" i="2"/>
  <c r="AH2189" i="2"/>
  <c r="AG2189" i="2"/>
  <c r="AF2189" i="2"/>
  <c r="AE2189" i="2"/>
  <c r="AD2189" i="2"/>
  <c r="AC2189" i="2"/>
  <c r="AB2189" i="2"/>
  <c r="AA2189" i="2"/>
  <c r="Z2189" i="2"/>
  <c r="Y2189" i="2"/>
  <c r="V2189" i="2"/>
  <c r="U2189" i="2"/>
  <c r="T2189" i="2"/>
  <c r="S2189" i="2"/>
  <c r="R2189" i="2"/>
  <c r="Q2189" i="2"/>
  <c r="P2189" i="2"/>
  <c r="O2189" i="2"/>
  <c r="N2189" i="2"/>
  <c r="K2189" i="2"/>
  <c r="J2189" i="2"/>
  <c r="I2189" i="2"/>
  <c r="H2189" i="2"/>
  <c r="G2189" i="2"/>
  <c r="F2189" i="2"/>
  <c r="E2189" i="2"/>
  <c r="D2189" i="2"/>
  <c r="C2189" i="2"/>
  <c r="B2189" i="2"/>
  <c r="A2189" i="2"/>
  <c r="AI2188" i="2"/>
  <c r="AH2188" i="2"/>
  <c r="AG2188" i="2"/>
  <c r="AF2188" i="2"/>
  <c r="AE2188" i="2"/>
  <c r="AD2188" i="2"/>
  <c r="AC2188" i="2"/>
  <c r="AB2188" i="2"/>
  <c r="AA2188" i="2"/>
  <c r="Z2188" i="2"/>
  <c r="Y2188" i="2"/>
  <c r="X2188" i="2"/>
  <c r="W2188" i="2"/>
  <c r="V2188" i="2"/>
  <c r="U2188" i="2"/>
  <c r="T2188" i="2"/>
  <c r="S2188" i="2"/>
  <c r="R2188" i="2"/>
  <c r="Q2188" i="2"/>
  <c r="P2188" i="2"/>
  <c r="O2188" i="2"/>
  <c r="N2188" i="2"/>
  <c r="K2188" i="2"/>
  <c r="J2188" i="2"/>
  <c r="I2188" i="2"/>
  <c r="H2188" i="2"/>
  <c r="G2188" i="2"/>
  <c r="F2188" i="2"/>
  <c r="E2188" i="2"/>
  <c r="D2188" i="2"/>
  <c r="C2188" i="2"/>
  <c r="B2188" i="2"/>
  <c r="A2188" i="2"/>
  <c r="AI2187" i="2"/>
  <c r="AH2187" i="2"/>
  <c r="AG2187" i="2"/>
  <c r="AF2187" i="2"/>
  <c r="AE2187" i="2"/>
  <c r="AD2187" i="2"/>
  <c r="AC2187" i="2"/>
  <c r="AB2187" i="2"/>
  <c r="AA2187" i="2"/>
  <c r="Z2187" i="2"/>
  <c r="Y2187" i="2"/>
  <c r="U2187" i="2"/>
  <c r="T2187" i="2"/>
  <c r="S2187" i="2"/>
  <c r="R2187" i="2"/>
  <c r="Q2187" i="2"/>
  <c r="P2187" i="2"/>
  <c r="O2187" i="2"/>
  <c r="N2187" i="2"/>
  <c r="K2187" i="2"/>
  <c r="J2187" i="2"/>
  <c r="I2187" i="2"/>
  <c r="H2187" i="2"/>
  <c r="G2187" i="2"/>
  <c r="F2187" i="2"/>
  <c r="E2187" i="2"/>
  <c r="D2187" i="2"/>
  <c r="C2187" i="2"/>
  <c r="B2187" i="2"/>
  <c r="A2187" i="2"/>
  <c r="AI2186" i="2"/>
  <c r="AH2186" i="2"/>
  <c r="AG2186" i="2"/>
  <c r="AF2186" i="2"/>
  <c r="AE2186" i="2"/>
  <c r="AD2186" i="2"/>
  <c r="AC2186" i="2"/>
  <c r="AB2186" i="2"/>
  <c r="AA2186" i="2"/>
  <c r="Z2186" i="2"/>
  <c r="Y2186" i="2"/>
  <c r="X2186" i="2"/>
  <c r="W2186" i="2"/>
  <c r="V2186" i="2"/>
  <c r="U2186" i="2"/>
  <c r="T2186" i="2"/>
  <c r="S2186" i="2"/>
  <c r="R2186" i="2"/>
  <c r="Q2186" i="2"/>
  <c r="P2186" i="2"/>
  <c r="O2186" i="2"/>
  <c r="N2186" i="2"/>
  <c r="K2186" i="2"/>
  <c r="J2186" i="2"/>
  <c r="I2186" i="2"/>
  <c r="H2186" i="2"/>
  <c r="G2186" i="2"/>
  <c r="F2186" i="2"/>
  <c r="E2186" i="2"/>
  <c r="D2186" i="2"/>
  <c r="C2186" i="2"/>
  <c r="B2186" i="2"/>
  <c r="A2186" i="2"/>
  <c r="AI2185" i="2"/>
  <c r="AH2185" i="2"/>
  <c r="AG2185" i="2"/>
  <c r="AF2185" i="2"/>
  <c r="AE2185" i="2"/>
  <c r="AD2185" i="2"/>
  <c r="AC2185" i="2"/>
  <c r="AB2185" i="2"/>
  <c r="AA2185" i="2"/>
  <c r="Z2185" i="2"/>
  <c r="Y2185" i="2"/>
  <c r="X2185" i="2"/>
  <c r="W2185" i="2"/>
  <c r="V2185" i="2"/>
  <c r="U2185" i="2"/>
  <c r="T2185" i="2"/>
  <c r="S2185" i="2"/>
  <c r="R2185" i="2"/>
  <c r="Q2185" i="2"/>
  <c r="P2185" i="2"/>
  <c r="O2185" i="2"/>
  <c r="N2185" i="2"/>
  <c r="K2185" i="2"/>
  <c r="J2185" i="2"/>
  <c r="I2185" i="2"/>
  <c r="H2185" i="2"/>
  <c r="G2185" i="2"/>
  <c r="F2185" i="2"/>
  <c r="E2185" i="2"/>
  <c r="D2185" i="2"/>
  <c r="C2185" i="2"/>
  <c r="B2185" i="2"/>
  <c r="A2185" i="2"/>
  <c r="AI2184" i="2"/>
  <c r="AF2184" i="2"/>
  <c r="AE2184" i="2"/>
  <c r="AD2184" i="2"/>
  <c r="AC2184" i="2"/>
  <c r="AA2184" i="2"/>
  <c r="Z2184" i="2"/>
  <c r="Y2184" i="2"/>
  <c r="W2184" i="2"/>
  <c r="V2184" i="2"/>
  <c r="U2184" i="2"/>
  <c r="T2184" i="2"/>
  <c r="S2184" i="2"/>
  <c r="R2184" i="2"/>
  <c r="Q2184" i="2"/>
  <c r="P2184" i="2"/>
  <c r="O2184" i="2"/>
  <c r="N2184" i="2"/>
  <c r="K2184" i="2"/>
  <c r="J2184" i="2"/>
  <c r="I2184" i="2"/>
  <c r="H2184" i="2"/>
  <c r="G2184" i="2"/>
  <c r="F2184" i="2"/>
  <c r="E2184" i="2"/>
  <c r="D2184" i="2"/>
  <c r="C2184" i="2"/>
  <c r="B2184" i="2"/>
  <c r="A2184" i="2"/>
  <c r="AI2183" i="2"/>
  <c r="AH2183" i="2"/>
  <c r="AG2183" i="2"/>
  <c r="AF2183" i="2"/>
  <c r="AE2183" i="2"/>
  <c r="AD2183" i="2"/>
  <c r="AC2183" i="2"/>
  <c r="AB2183" i="2"/>
  <c r="AA2183" i="2"/>
  <c r="Z2183" i="2"/>
  <c r="Y2183" i="2"/>
  <c r="U2183" i="2"/>
  <c r="T2183" i="2"/>
  <c r="S2183" i="2"/>
  <c r="R2183" i="2"/>
  <c r="Q2183" i="2"/>
  <c r="P2183" i="2"/>
  <c r="O2183" i="2"/>
  <c r="N2183" i="2"/>
  <c r="K2183" i="2"/>
  <c r="J2183" i="2"/>
  <c r="I2183" i="2"/>
  <c r="H2183" i="2"/>
  <c r="G2183" i="2"/>
  <c r="F2183" i="2"/>
  <c r="E2183" i="2"/>
  <c r="D2183" i="2"/>
  <c r="C2183" i="2"/>
  <c r="B2183" i="2"/>
  <c r="A2183" i="2"/>
  <c r="AI2182" i="2"/>
  <c r="AH2182" i="2"/>
  <c r="AG2182" i="2"/>
  <c r="AF2182" i="2"/>
  <c r="AE2182" i="2"/>
  <c r="AD2182" i="2"/>
  <c r="AC2182" i="2"/>
  <c r="AA2182" i="2"/>
  <c r="Z2182" i="2"/>
  <c r="Y2182" i="2"/>
  <c r="V2182" i="2"/>
  <c r="U2182" i="2"/>
  <c r="T2182" i="2"/>
  <c r="S2182" i="2"/>
  <c r="R2182" i="2"/>
  <c r="Q2182" i="2"/>
  <c r="P2182" i="2"/>
  <c r="O2182" i="2"/>
  <c r="N2182" i="2"/>
  <c r="K2182" i="2"/>
  <c r="J2182" i="2"/>
  <c r="I2182" i="2"/>
  <c r="H2182" i="2"/>
  <c r="G2182" i="2"/>
  <c r="F2182" i="2"/>
  <c r="E2182" i="2"/>
  <c r="D2182" i="2"/>
  <c r="C2182" i="2"/>
  <c r="B2182" i="2"/>
  <c r="A2182" i="2"/>
  <c r="AI2181" i="2"/>
  <c r="AF2181" i="2"/>
  <c r="AE2181" i="2"/>
  <c r="AD2181" i="2"/>
  <c r="AC2181" i="2"/>
  <c r="AB2181" i="2"/>
  <c r="AA2181" i="2"/>
  <c r="Z2181" i="2"/>
  <c r="Y2181" i="2"/>
  <c r="U2181" i="2"/>
  <c r="T2181" i="2"/>
  <c r="S2181" i="2"/>
  <c r="R2181" i="2"/>
  <c r="Q2181" i="2"/>
  <c r="P2181" i="2"/>
  <c r="O2181" i="2"/>
  <c r="N2181" i="2"/>
  <c r="K2181" i="2"/>
  <c r="J2181" i="2"/>
  <c r="I2181" i="2"/>
  <c r="H2181" i="2"/>
  <c r="G2181" i="2"/>
  <c r="F2181" i="2"/>
  <c r="E2181" i="2"/>
  <c r="D2181" i="2"/>
  <c r="C2181" i="2"/>
  <c r="B2181" i="2"/>
  <c r="A2181" i="2"/>
  <c r="AJ2180" i="2"/>
  <c r="AI2180" i="2"/>
  <c r="AF2180" i="2"/>
  <c r="AE2180" i="2"/>
  <c r="AD2180" i="2"/>
  <c r="AC2180" i="2"/>
  <c r="AB2180" i="2"/>
  <c r="AA2180" i="2"/>
  <c r="Z2180" i="2"/>
  <c r="Y2180" i="2"/>
  <c r="X2180" i="2"/>
  <c r="W2180" i="2"/>
  <c r="V2180" i="2"/>
  <c r="U2180" i="2"/>
  <c r="T2180" i="2"/>
  <c r="S2180" i="2"/>
  <c r="R2180" i="2"/>
  <c r="Q2180" i="2"/>
  <c r="P2180" i="2"/>
  <c r="O2180" i="2"/>
  <c r="N2180" i="2"/>
  <c r="K2180" i="2"/>
  <c r="J2180" i="2"/>
  <c r="I2180" i="2"/>
  <c r="H2180" i="2"/>
  <c r="G2180" i="2"/>
  <c r="F2180" i="2"/>
  <c r="E2180" i="2"/>
  <c r="D2180" i="2"/>
  <c r="C2180" i="2"/>
  <c r="B2180" i="2"/>
  <c r="A2180" i="2"/>
  <c r="AI2179" i="2"/>
  <c r="AH2179" i="2"/>
  <c r="AG2179" i="2"/>
  <c r="AF2179" i="2"/>
  <c r="AE2179" i="2"/>
  <c r="AD2179" i="2"/>
  <c r="AC2179" i="2"/>
  <c r="AB2179" i="2"/>
  <c r="AA2179" i="2"/>
  <c r="Z2179" i="2"/>
  <c r="Y2179" i="2"/>
  <c r="X2179" i="2"/>
  <c r="U2179" i="2"/>
  <c r="T2179" i="2"/>
  <c r="S2179" i="2"/>
  <c r="R2179" i="2"/>
  <c r="Q2179" i="2"/>
  <c r="P2179" i="2"/>
  <c r="O2179" i="2"/>
  <c r="N2179" i="2"/>
  <c r="K2179" i="2"/>
  <c r="J2179" i="2"/>
  <c r="I2179" i="2"/>
  <c r="H2179" i="2"/>
  <c r="G2179" i="2"/>
  <c r="F2179" i="2"/>
  <c r="E2179" i="2"/>
  <c r="D2179" i="2"/>
  <c r="C2179" i="2"/>
  <c r="B2179" i="2"/>
  <c r="A2179" i="2"/>
  <c r="AI2178" i="2"/>
  <c r="AH2178" i="2"/>
  <c r="AG2178" i="2"/>
  <c r="AF2178" i="2"/>
  <c r="AE2178" i="2"/>
  <c r="AD2178" i="2"/>
  <c r="AC2178" i="2"/>
  <c r="AB2178" i="2"/>
  <c r="AA2178" i="2"/>
  <c r="Z2178" i="2"/>
  <c r="Y2178" i="2"/>
  <c r="X2178" i="2"/>
  <c r="W2178" i="2"/>
  <c r="V2178" i="2"/>
  <c r="U2178" i="2"/>
  <c r="T2178" i="2"/>
  <c r="S2178" i="2"/>
  <c r="R2178" i="2"/>
  <c r="Q2178" i="2"/>
  <c r="P2178" i="2"/>
  <c r="O2178" i="2"/>
  <c r="N2178" i="2"/>
  <c r="K2178" i="2"/>
  <c r="J2178" i="2"/>
  <c r="I2178" i="2"/>
  <c r="H2178" i="2"/>
  <c r="G2178" i="2"/>
  <c r="F2178" i="2"/>
  <c r="E2178" i="2"/>
  <c r="D2178" i="2"/>
  <c r="C2178" i="2"/>
  <c r="B2178" i="2"/>
  <c r="A2178" i="2"/>
  <c r="AJ2177" i="2"/>
  <c r="AI2177" i="2"/>
  <c r="AH2177" i="2"/>
  <c r="AF2177" i="2"/>
  <c r="AE2177" i="2"/>
  <c r="AD2177" i="2"/>
  <c r="AC2177" i="2"/>
  <c r="AA2177" i="2"/>
  <c r="Z2177" i="2"/>
  <c r="Y2177" i="2"/>
  <c r="X2177" i="2"/>
  <c r="U2177" i="2"/>
  <c r="T2177" i="2"/>
  <c r="S2177" i="2"/>
  <c r="R2177" i="2"/>
  <c r="Q2177" i="2"/>
  <c r="P2177" i="2"/>
  <c r="O2177" i="2"/>
  <c r="N2177" i="2"/>
  <c r="K2177" i="2"/>
  <c r="J2177" i="2"/>
  <c r="I2177" i="2"/>
  <c r="H2177" i="2"/>
  <c r="G2177" i="2"/>
  <c r="F2177" i="2"/>
  <c r="E2177" i="2"/>
  <c r="D2177" i="2"/>
  <c r="C2177" i="2"/>
  <c r="B2177" i="2"/>
  <c r="A2177" i="2"/>
  <c r="AI2176" i="2"/>
  <c r="AH2176" i="2"/>
  <c r="AF2176" i="2"/>
  <c r="AE2176" i="2"/>
  <c r="AD2176" i="2"/>
  <c r="AC2176" i="2"/>
  <c r="AB2176" i="2"/>
  <c r="AA2176" i="2"/>
  <c r="Z2176" i="2"/>
  <c r="Y2176" i="2"/>
  <c r="X2176" i="2"/>
  <c r="W2176" i="2"/>
  <c r="V2176" i="2"/>
  <c r="U2176" i="2"/>
  <c r="T2176" i="2"/>
  <c r="S2176" i="2"/>
  <c r="R2176" i="2"/>
  <c r="Q2176" i="2"/>
  <c r="P2176" i="2"/>
  <c r="O2176" i="2"/>
  <c r="N2176" i="2"/>
  <c r="K2176" i="2"/>
  <c r="J2176" i="2"/>
  <c r="I2176" i="2"/>
  <c r="H2176" i="2"/>
  <c r="G2176" i="2"/>
  <c r="F2176" i="2"/>
  <c r="E2176" i="2"/>
  <c r="D2176" i="2"/>
  <c r="C2176" i="2"/>
  <c r="B2176" i="2"/>
  <c r="A2176" i="2"/>
  <c r="AI2175" i="2"/>
  <c r="AH2175" i="2"/>
  <c r="AG2175" i="2"/>
  <c r="AF2175" i="2"/>
  <c r="AE2175" i="2"/>
  <c r="AD2175" i="2"/>
  <c r="AC2175" i="2"/>
  <c r="AB2175" i="2"/>
  <c r="AA2175" i="2"/>
  <c r="Z2175" i="2"/>
  <c r="Y2175" i="2"/>
  <c r="X2175" i="2"/>
  <c r="W2175" i="2"/>
  <c r="V2175" i="2"/>
  <c r="U2175" i="2"/>
  <c r="T2175" i="2"/>
  <c r="S2175" i="2"/>
  <c r="R2175" i="2"/>
  <c r="Q2175" i="2"/>
  <c r="P2175" i="2"/>
  <c r="O2175" i="2"/>
  <c r="N2175" i="2"/>
  <c r="K2175" i="2"/>
  <c r="J2175" i="2"/>
  <c r="I2175" i="2"/>
  <c r="H2175" i="2"/>
  <c r="G2175" i="2"/>
  <c r="F2175" i="2"/>
  <c r="E2175" i="2"/>
  <c r="D2175" i="2"/>
  <c r="C2175" i="2"/>
  <c r="B2175" i="2"/>
  <c r="A2175" i="2"/>
  <c r="AJ2174" i="2"/>
  <c r="AI2174" i="2"/>
  <c r="AH2174" i="2"/>
  <c r="AG2174" i="2"/>
  <c r="AF2174" i="2"/>
  <c r="AE2174" i="2"/>
  <c r="AD2174" i="2"/>
  <c r="AC2174" i="2"/>
  <c r="AB2174" i="2"/>
  <c r="AA2174" i="2"/>
  <c r="Z2174" i="2"/>
  <c r="Y2174" i="2"/>
  <c r="X2174" i="2"/>
  <c r="W2174" i="2"/>
  <c r="V2174" i="2"/>
  <c r="U2174" i="2"/>
  <c r="T2174" i="2"/>
  <c r="S2174" i="2"/>
  <c r="R2174" i="2"/>
  <c r="Q2174" i="2"/>
  <c r="P2174" i="2"/>
  <c r="O2174" i="2"/>
  <c r="N2174" i="2"/>
  <c r="K2174" i="2"/>
  <c r="J2174" i="2"/>
  <c r="I2174" i="2"/>
  <c r="H2174" i="2"/>
  <c r="G2174" i="2"/>
  <c r="F2174" i="2"/>
  <c r="E2174" i="2"/>
  <c r="D2174" i="2"/>
  <c r="C2174" i="2"/>
  <c r="B2174" i="2"/>
  <c r="A2174" i="2"/>
  <c r="AI2173" i="2"/>
  <c r="AH2173" i="2"/>
  <c r="AG2173" i="2"/>
  <c r="AF2173" i="2"/>
  <c r="AE2173" i="2"/>
  <c r="AD2173" i="2"/>
  <c r="AB2173" i="2"/>
  <c r="AA2173" i="2"/>
  <c r="Z2173" i="2"/>
  <c r="Y2173" i="2"/>
  <c r="X2173" i="2"/>
  <c r="V2173" i="2"/>
  <c r="U2173" i="2"/>
  <c r="T2173" i="2"/>
  <c r="S2173" i="2"/>
  <c r="R2173" i="2"/>
  <c r="Q2173" i="2"/>
  <c r="P2173" i="2"/>
  <c r="O2173" i="2"/>
  <c r="N2173" i="2"/>
  <c r="K2173" i="2"/>
  <c r="J2173" i="2"/>
  <c r="I2173" i="2"/>
  <c r="H2173" i="2"/>
  <c r="G2173" i="2"/>
  <c r="F2173" i="2"/>
  <c r="E2173" i="2"/>
  <c r="D2173" i="2"/>
  <c r="C2173" i="2"/>
  <c r="B2173" i="2"/>
  <c r="A2173" i="2"/>
  <c r="AI2172" i="2"/>
  <c r="AH2172" i="2"/>
  <c r="AG2172" i="2"/>
  <c r="AF2172" i="2"/>
  <c r="AE2172" i="2"/>
  <c r="AD2172" i="2"/>
  <c r="AB2172" i="2"/>
  <c r="AA2172" i="2"/>
  <c r="Z2172" i="2"/>
  <c r="Y2172" i="2"/>
  <c r="X2172" i="2"/>
  <c r="V2172" i="2"/>
  <c r="U2172" i="2"/>
  <c r="T2172" i="2"/>
  <c r="S2172" i="2"/>
  <c r="R2172" i="2"/>
  <c r="Q2172" i="2"/>
  <c r="P2172" i="2"/>
  <c r="O2172" i="2"/>
  <c r="N2172" i="2"/>
  <c r="K2172" i="2"/>
  <c r="J2172" i="2"/>
  <c r="I2172" i="2"/>
  <c r="H2172" i="2"/>
  <c r="G2172" i="2"/>
  <c r="F2172" i="2"/>
  <c r="E2172" i="2"/>
  <c r="D2172" i="2"/>
  <c r="C2172" i="2"/>
  <c r="B2172" i="2"/>
  <c r="A2172" i="2"/>
  <c r="AF2171" i="2"/>
  <c r="AE2171" i="2"/>
  <c r="AD2171" i="2"/>
  <c r="AC2171" i="2"/>
  <c r="AB2171" i="2"/>
  <c r="AA2171" i="2"/>
  <c r="Z2171" i="2"/>
  <c r="Y2171" i="2"/>
  <c r="X2171" i="2"/>
  <c r="W2171" i="2"/>
  <c r="V2171" i="2"/>
  <c r="U2171" i="2"/>
  <c r="T2171" i="2"/>
  <c r="S2171" i="2"/>
  <c r="R2171" i="2"/>
  <c r="Q2171" i="2"/>
  <c r="P2171" i="2"/>
  <c r="O2171" i="2"/>
  <c r="N2171" i="2"/>
  <c r="K2171" i="2"/>
  <c r="J2171" i="2"/>
  <c r="I2171" i="2"/>
  <c r="H2171" i="2"/>
  <c r="G2171" i="2"/>
  <c r="F2171" i="2"/>
  <c r="E2171" i="2"/>
  <c r="D2171" i="2"/>
  <c r="C2171" i="2"/>
  <c r="B2171" i="2"/>
  <c r="A2171" i="2"/>
  <c r="AI2170" i="2"/>
  <c r="AH2170" i="2"/>
  <c r="AG2170" i="2"/>
  <c r="AF2170" i="2"/>
  <c r="AE2170" i="2"/>
  <c r="AD2170" i="2"/>
  <c r="AC2170" i="2"/>
  <c r="AB2170" i="2"/>
  <c r="AA2170" i="2"/>
  <c r="Z2170" i="2"/>
  <c r="Y2170" i="2"/>
  <c r="X2170" i="2"/>
  <c r="V2170" i="2"/>
  <c r="U2170" i="2"/>
  <c r="T2170" i="2"/>
  <c r="S2170" i="2"/>
  <c r="R2170" i="2"/>
  <c r="Q2170" i="2"/>
  <c r="P2170" i="2"/>
  <c r="O2170" i="2"/>
  <c r="N2170" i="2"/>
  <c r="K2170" i="2"/>
  <c r="J2170" i="2"/>
  <c r="I2170" i="2"/>
  <c r="H2170" i="2"/>
  <c r="G2170" i="2"/>
  <c r="F2170" i="2"/>
  <c r="E2170" i="2"/>
  <c r="D2170" i="2"/>
  <c r="C2170" i="2"/>
  <c r="B2170" i="2"/>
  <c r="A2170" i="2"/>
  <c r="AJ2169" i="2"/>
  <c r="AI2169" i="2"/>
  <c r="AH2169" i="2"/>
  <c r="AF2169" i="2"/>
  <c r="AE2169" i="2"/>
  <c r="AD2169" i="2"/>
  <c r="AC2169" i="2"/>
  <c r="AA2169" i="2"/>
  <c r="Z2169" i="2"/>
  <c r="Y2169" i="2"/>
  <c r="X2169" i="2"/>
  <c r="W2169" i="2"/>
  <c r="V2169" i="2"/>
  <c r="U2169" i="2"/>
  <c r="T2169" i="2"/>
  <c r="S2169" i="2"/>
  <c r="R2169" i="2"/>
  <c r="Q2169" i="2"/>
  <c r="P2169" i="2"/>
  <c r="O2169" i="2"/>
  <c r="N2169" i="2"/>
  <c r="K2169" i="2"/>
  <c r="J2169" i="2"/>
  <c r="I2169" i="2"/>
  <c r="H2169" i="2"/>
  <c r="G2169" i="2"/>
  <c r="F2169" i="2"/>
  <c r="E2169" i="2"/>
  <c r="D2169" i="2"/>
  <c r="C2169" i="2"/>
  <c r="B2169" i="2"/>
  <c r="A2169" i="2"/>
  <c r="AJ2168" i="2"/>
  <c r="AI2168" i="2"/>
  <c r="AH2168" i="2"/>
  <c r="AG2168" i="2"/>
  <c r="AF2168" i="2"/>
  <c r="AE2168" i="2"/>
  <c r="AD2168" i="2"/>
  <c r="AC2168" i="2"/>
  <c r="AB2168" i="2"/>
  <c r="AA2168" i="2"/>
  <c r="Z2168" i="2"/>
  <c r="Y2168" i="2"/>
  <c r="X2168" i="2"/>
  <c r="W2168" i="2"/>
  <c r="V2168" i="2"/>
  <c r="U2168" i="2"/>
  <c r="T2168" i="2"/>
  <c r="S2168" i="2"/>
  <c r="R2168" i="2"/>
  <c r="Q2168" i="2"/>
  <c r="P2168" i="2"/>
  <c r="O2168" i="2"/>
  <c r="N2168" i="2"/>
  <c r="M2168" i="2"/>
  <c r="K2168" i="2"/>
  <c r="J2168" i="2"/>
  <c r="I2168" i="2"/>
  <c r="H2168" i="2"/>
  <c r="G2168" i="2"/>
  <c r="F2168" i="2"/>
  <c r="E2168" i="2"/>
  <c r="D2168" i="2"/>
  <c r="C2168" i="2"/>
  <c r="B2168" i="2"/>
  <c r="A2168" i="2"/>
  <c r="AJ2167" i="2"/>
  <c r="AF2167" i="2"/>
  <c r="AE2167" i="2"/>
  <c r="AD2167" i="2"/>
  <c r="AC2167" i="2"/>
  <c r="AA2167" i="2"/>
  <c r="Z2167" i="2"/>
  <c r="Y2167" i="2"/>
  <c r="X2167" i="2"/>
  <c r="V2167" i="2"/>
  <c r="U2167" i="2"/>
  <c r="T2167" i="2"/>
  <c r="S2167" i="2"/>
  <c r="R2167" i="2"/>
  <c r="Q2167" i="2"/>
  <c r="P2167" i="2"/>
  <c r="O2167" i="2"/>
  <c r="N2167" i="2"/>
  <c r="K2167" i="2"/>
  <c r="J2167" i="2"/>
  <c r="I2167" i="2"/>
  <c r="H2167" i="2"/>
  <c r="G2167" i="2"/>
  <c r="F2167" i="2"/>
  <c r="E2167" i="2"/>
  <c r="D2167" i="2"/>
  <c r="C2167" i="2"/>
  <c r="B2167" i="2"/>
  <c r="A2167" i="2"/>
  <c r="AI2166" i="2"/>
  <c r="AH2166" i="2"/>
  <c r="AG2166" i="2"/>
  <c r="AF2166" i="2"/>
  <c r="AE2166" i="2"/>
  <c r="AD2166" i="2"/>
  <c r="AC2166" i="2"/>
  <c r="AB2166" i="2"/>
  <c r="AA2166" i="2"/>
  <c r="Z2166" i="2"/>
  <c r="Y2166" i="2"/>
  <c r="X2166" i="2"/>
  <c r="V2166" i="2"/>
  <c r="U2166" i="2"/>
  <c r="T2166" i="2"/>
  <c r="S2166" i="2"/>
  <c r="R2166" i="2"/>
  <c r="Q2166" i="2"/>
  <c r="P2166" i="2"/>
  <c r="O2166" i="2"/>
  <c r="N2166" i="2"/>
  <c r="K2166" i="2"/>
  <c r="J2166" i="2"/>
  <c r="I2166" i="2"/>
  <c r="H2166" i="2"/>
  <c r="G2166" i="2"/>
  <c r="F2166" i="2"/>
  <c r="E2166" i="2"/>
  <c r="D2166" i="2"/>
  <c r="C2166" i="2"/>
  <c r="B2166" i="2"/>
  <c r="A2166" i="2"/>
  <c r="AI2165" i="2"/>
  <c r="AH2165" i="2"/>
  <c r="AG2165" i="2"/>
  <c r="AF2165" i="2"/>
  <c r="AE2165" i="2"/>
  <c r="AD2165" i="2"/>
  <c r="AC2165" i="2"/>
  <c r="AB2165" i="2"/>
  <c r="AA2165" i="2"/>
  <c r="Z2165" i="2"/>
  <c r="Y2165" i="2"/>
  <c r="X2165" i="2"/>
  <c r="V2165" i="2"/>
  <c r="U2165" i="2"/>
  <c r="T2165" i="2"/>
  <c r="S2165" i="2"/>
  <c r="R2165" i="2"/>
  <c r="Q2165" i="2"/>
  <c r="P2165" i="2"/>
  <c r="O2165" i="2"/>
  <c r="N2165" i="2"/>
  <c r="K2165" i="2"/>
  <c r="J2165" i="2"/>
  <c r="I2165" i="2"/>
  <c r="H2165" i="2"/>
  <c r="G2165" i="2"/>
  <c r="F2165" i="2"/>
  <c r="E2165" i="2"/>
  <c r="D2165" i="2"/>
  <c r="C2165" i="2"/>
  <c r="B2165" i="2"/>
  <c r="A2165" i="2"/>
  <c r="AI2164" i="2"/>
  <c r="AH2164" i="2"/>
  <c r="AG2164" i="2"/>
  <c r="AF2164" i="2"/>
  <c r="AE2164" i="2"/>
  <c r="AD2164" i="2"/>
  <c r="AC2164" i="2"/>
  <c r="AB2164" i="2"/>
  <c r="AA2164" i="2"/>
  <c r="Z2164" i="2"/>
  <c r="Y2164" i="2"/>
  <c r="X2164" i="2"/>
  <c r="W2164" i="2"/>
  <c r="V2164" i="2"/>
  <c r="U2164" i="2"/>
  <c r="T2164" i="2"/>
  <c r="S2164" i="2"/>
  <c r="R2164" i="2"/>
  <c r="Q2164" i="2"/>
  <c r="P2164" i="2"/>
  <c r="O2164" i="2"/>
  <c r="N2164" i="2"/>
  <c r="K2164" i="2"/>
  <c r="J2164" i="2"/>
  <c r="I2164" i="2"/>
  <c r="H2164" i="2"/>
  <c r="G2164" i="2"/>
  <c r="F2164" i="2"/>
  <c r="E2164" i="2"/>
  <c r="D2164" i="2"/>
  <c r="C2164" i="2"/>
  <c r="B2164" i="2"/>
  <c r="A2164" i="2"/>
  <c r="AI2163" i="2"/>
  <c r="AH2163" i="2"/>
  <c r="AG2163" i="2"/>
  <c r="AF2163" i="2"/>
  <c r="AE2163" i="2"/>
  <c r="AD2163" i="2"/>
  <c r="AC2163" i="2"/>
  <c r="AB2163" i="2"/>
  <c r="AA2163" i="2"/>
  <c r="Z2163" i="2"/>
  <c r="Y2163" i="2"/>
  <c r="X2163" i="2"/>
  <c r="V2163" i="2"/>
  <c r="U2163" i="2"/>
  <c r="T2163" i="2"/>
  <c r="S2163" i="2"/>
  <c r="R2163" i="2"/>
  <c r="Q2163" i="2"/>
  <c r="P2163" i="2"/>
  <c r="O2163" i="2"/>
  <c r="N2163" i="2"/>
  <c r="K2163" i="2"/>
  <c r="J2163" i="2"/>
  <c r="I2163" i="2"/>
  <c r="H2163" i="2"/>
  <c r="G2163" i="2"/>
  <c r="F2163" i="2"/>
  <c r="E2163" i="2"/>
  <c r="D2163" i="2"/>
  <c r="C2163" i="2"/>
  <c r="B2163" i="2"/>
  <c r="A2163" i="2"/>
  <c r="AI2162" i="2"/>
  <c r="AH2162" i="2"/>
  <c r="AG2162" i="2"/>
  <c r="AF2162" i="2"/>
  <c r="AE2162" i="2"/>
  <c r="AD2162" i="2"/>
  <c r="AC2162" i="2"/>
  <c r="AB2162" i="2"/>
  <c r="AA2162" i="2"/>
  <c r="Z2162" i="2"/>
  <c r="Y2162" i="2"/>
  <c r="X2162" i="2"/>
  <c r="W2162" i="2"/>
  <c r="V2162" i="2"/>
  <c r="U2162" i="2"/>
  <c r="T2162" i="2"/>
  <c r="S2162" i="2"/>
  <c r="R2162" i="2"/>
  <c r="Q2162" i="2"/>
  <c r="P2162" i="2"/>
  <c r="O2162" i="2"/>
  <c r="N2162" i="2"/>
  <c r="K2162" i="2"/>
  <c r="J2162" i="2"/>
  <c r="I2162" i="2"/>
  <c r="H2162" i="2"/>
  <c r="G2162" i="2"/>
  <c r="F2162" i="2"/>
  <c r="E2162" i="2"/>
  <c r="D2162" i="2"/>
  <c r="C2162" i="2"/>
  <c r="B2162" i="2"/>
  <c r="A2162" i="2"/>
  <c r="AI2161" i="2"/>
  <c r="AH2161" i="2"/>
  <c r="AG2161" i="2"/>
  <c r="AF2161" i="2"/>
  <c r="AE2161" i="2"/>
  <c r="AD2161" i="2"/>
  <c r="AC2161" i="2"/>
  <c r="AB2161" i="2"/>
  <c r="AA2161" i="2"/>
  <c r="Z2161" i="2"/>
  <c r="Y2161" i="2"/>
  <c r="X2161" i="2"/>
  <c r="U2161" i="2"/>
  <c r="T2161" i="2"/>
  <c r="S2161" i="2"/>
  <c r="R2161" i="2"/>
  <c r="Q2161" i="2"/>
  <c r="P2161" i="2"/>
  <c r="O2161" i="2"/>
  <c r="N2161" i="2"/>
  <c r="K2161" i="2"/>
  <c r="J2161" i="2"/>
  <c r="I2161" i="2"/>
  <c r="H2161" i="2"/>
  <c r="G2161" i="2"/>
  <c r="F2161" i="2"/>
  <c r="E2161" i="2"/>
  <c r="D2161" i="2"/>
  <c r="C2161" i="2"/>
  <c r="B2161" i="2"/>
  <c r="A2161" i="2"/>
  <c r="AJ2160" i="2"/>
  <c r="AI2160" i="2"/>
  <c r="AH2160" i="2"/>
  <c r="AG2160" i="2"/>
  <c r="AF2160" i="2"/>
  <c r="AE2160" i="2"/>
  <c r="AD2160" i="2"/>
  <c r="AC2160" i="2"/>
  <c r="AB2160" i="2"/>
  <c r="AA2160" i="2"/>
  <c r="Z2160" i="2"/>
  <c r="Y2160" i="2"/>
  <c r="X2160" i="2"/>
  <c r="W2160" i="2"/>
  <c r="V2160" i="2"/>
  <c r="U2160" i="2"/>
  <c r="T2160" i="2"/>
  <c r="S2160" i="2"/>
  <c r="R2160" i="2"/>
  <c r="Q2160" i="2"/>
  <c r="P2160" i="2"/>
  <c r="O2160" i="2"/>
  <c r="N2160" i="2"/>
  <c r="K2160" i="2"/>
  <c r="J2160" i="2"/>
  <c r="I2160" i="2"/>
  <c r="H2160" i="2"/>
  <c r="G2160" i="2"/>
  <c r="F2160" i="2"/>
  <c r="E2160" i="2"/>
  <c r="D2160" i="2"/>
  <c r="C2160" i="2"/>
  <c r="B2160" i="2"/>
  <c r="A2160" i="2"/>
  <c r="AJ2159" i="2"/>
  <c r="AI2159" i="2"/>
  <c r="AH2159" i="2"/>
  <c r="AG2159" i="2"/>
  <c r="AF2159" i="2"/>
  <c r="AE2159" i="2"/>
  <c r="AD2159" i="2"/>
  <c r="AC2159" i="2"/>
  <c r="AB2159" i="2"/>
  <c r="AA2159" i="2"/>
  <c r="Z2159" i="2"/>
  <c r="Y2159" i="2"/>
  <c r="X2159" i="2"/>
  <c r="V2159" i="2"/>
  <c r="U2159" i="2"/>
  <c r="T2159" i="2"/>
  <c r="S2159" i="2"/>
  <c r="R2159" i="2"/>
  <c r="Q2159" i="2"/>
  <c r="P2159" i="2"/>
  <c r="O2159" i="2"/>
  <c r="N2159" i="2"/>
  <c r="M2159" i="2"/>
  <c r="L2159" i="2"/>
  <c r="K2159" i="2"/>
  <c r="J2159" i="2"/>
  <c r="I2159" i="2"/>
  <c r="H2159" i="2"/>
  <c r="G2159" i="2"/>
  <c r="F2159" i="2"/>
  <c r="E2159" i="2"/>
  <c r="D2159" i="2"/>
  <c r="C2159" i="2"/>
  <c r="B2159" i="2"/>
  <c r="A2159" i="2"/>
  <c r="AI2158" i="2"/>
  <c r="AH2158" i="2"/>
  <c r="AG2158" i="2"/>
  <c r="AF2158" i="2"/>
  <c r="AE2158" i="2"/>
  <c r="AD2158" i="2"/>
  <c r="AC2158" i="2"/>
  <c r="AB2158" i="2"/>
  <c r="AA2158" i="2"/>
  <c r="Z2158" i="2"/>
  <c r="Y2158" i="2"/>
  <c r="X2158" i="2"/>
  <c r="W2158" i="2"/>
  <c r="V2158" i="2"/>
  <c r="U2158" i="2"/>
  <c r="T2158" i="2"/>
  <c r="S2158" i="2"/>
  <c r="R2158" i="2"/>
  <c r="Q2158" i="2"/>
  <c r="P2158" i="2"/>
  <c r="O2158" i="2"/>
  <c r="N2158" i="2"/>
  <c r="K2158" i="2"/>
  <c r="J2158" i="2"/>
  <c r="I2158" i="2"/>
  <c r="H2158" i="2"/>
  <c r="G2158" i="2"/>
  <c r="F2158" i="2"/>
  <c r="E2158" i="2"/>
  <c r="D2158" i="2"/>
  <c r="C2158" i="2"/>
  <c r="B2158" i="2"/>
  <c r="A2158" i="2"/>
  <c r="AI2157" i="2"/>
  <c r="AH2157" i="2"/>
  <c r="AG2157" i="2"/>
  <c r="AF2157" i="2"/>
  <c r="AE2157" i="2"/>
  <c r="AD2157" i="2"/>
  <c r="AC2157" i="2"/>
  <c r="AB2157" i="2"/>
  <c r="AA2157" i="2"/>
  <c r="Z2157" i="2"/>
  <c r="Y2157" i="2"/>
  <c r="X2157" i="2"/>
  <c r="W2157" i="2"/>
  <c r="V2157" i="2"/>
  <c r="U2157" i="2"/>
  <c r="T2157" i="2"/>
  <c r="S2157" i="2"/>
  <c r="R2157" i="2"/>
  <c r="Q2157" i="2"/>
  <c r="P2157" i="2"/>
  <c r="O2157" i="2"/>
  <c r="N2157" i="2"/>
  <c r="K2157" i="2"/>
  <c r="J2157" i="2"/>
  <c r="I2157" i="2"/>
  <c r="H2157" i="2"/>
  <c r="G2157" i="2"/>
  <c r="F2157" i="2"/>
  <c r="E2157" i="2"/>
  <c r="D2157" i="2"/>
  <c r="C2157" i="2"/>
  <c r="B2157" i="2"/>
  <c r="A2157" i="2"/>
  <c r="AI2156" i="2"/>
  <c r="AH2156" i="2"/>
  <c r="AG2156" i="2"/>
  <c r="AF2156" i="2"/>
  <c r="AE2156" i="2"/>
  <c r="AD2156" i="2"/>
  <c r="AB2156" i="2"/>
  <c r="AA2156" i="2"/>
  <c r="Z2156" i="2"/>
  <c r="Y2156" i="2"/>
  <c r="X2156" i="2"/>
  <c r="V2156" i="2"/>
  <c r="U2156" i="2"/>
  <c r="T2156" i="2"/>
  <c r="S2156" i="2"/>
  <c r="R2156" i="2"/>
  <c r="Q2156" i="2"/>
  <c r="P2156" i="2"/>
  <c r="O2156" i="2"/>
  <c r="N2156" i="2"/>
  <c r="K2156" i="2"/>
  <c r="J2156" i="2"/>
  <c r="I2156" i="2"/>
  <c r="H2156" i="2"/>
  <c r="G2156" i="2"/>
  <c r="F2156" i="2"/>
  <c r="E2156" i="2"/>
  <c r="D2156" i="2"/>
  <c r="C2156" i="2"/>
  <c r="B2156" i="2"/>
  <c r="A2156" i="2"/>
  <c r="AI2155" i="2"/>
  <c r="AH2155" i="2"/>
  <c r="AG2155" i="2"/>
  <c r="AF2155" i="2"/>
  <c r="AE2155" i="2"/>
  <c r="AD2155" i="2"/>
  <c r="AC2155" i="2"/>
  <c r="AB2155" i="2"/>
  <c r="AA2155" i="2"/>
  <c r="Z2155" i="2"/>
  <c r="Y2155" i="2"/>
  <c r="X2155" i="2"/>
  <c r="V2155" i="2"/>
  <c r="U2155" i="2"/>
  <c r="T2155" i="2"/>
  <c r="S2155" i="2"/>
  <c r="R2155" i="2"/>
  <c r="Q2155" i="2"/>
  <c r="P2155" i="2"/>
  <c r="O2155" i="2"/>
  <c r="N2155" i="2"/>
  <c r="K2155" i="2"/>
  <c r="J2155" i="2"/>
  <c r="I2155" i="2"/>
  <c r="H2155" i="2"/>
  <c r="G2155" i="2"/>
  <c r="F2155" i="2"/>
  <c r="E2155" i="2"/>
  <c r="D2155" i="2"/>
  <c r="C2155" i="2"/>
  <c r="B2155" i="2"/>
  <c r="A2155" i="2"/>
  <c r="AI2154" i="2"/>
  <c r="AH2154" i="2"/>
  <c r="AG2154" i="2"/>
  <c r="AF2154" i="2"/>
  <c r="AE2154" i="2"/>
  <c r="AD2154" i="2"/>
  <c r="AC2154" i="2"/>
  <c r="AB2154" i="2"/>
  <c r="AA2154" i="2"/>
  <c r="Z2154" i="2"/>
  <c r="Y2154" i="2"/>
  <c r="X2154" i="2"/>
  <c r="W2154" i="2"/>
  <c r="V2154" i="2"/>
  <c r="U2154" i="2"/>
  <c r="T2154" i="2"/>
  <c r="S2154" i="2"/>
  <c r="R2154" i="2"/>
  <c r="Q2154" i="2"/>
  <c r="P2154" i="2"/>
  <c r="O2154" i="2"/>
  <c r="N2154" i="2"/>
  <c r="K2154" i="2"/>
  <c r="J2154" i="2"/>
  <c r="I2154" i="2"/>
  <c r="H2154" i="2"/>
  <c r="G2154" i="2"/>
  <c r="F2154" i="2"/>
  <c r="E2154" i="2"/>
  <c r="D2154" i="2"/>
  <c r="C2154" i="2"/>
  <c r="B2154" i="2"/>
  <c r="A2154" i="2"/>
  <c r="AI2153" i="2"/>
  <c r="AH2153" i="2"/>
  <c r="AG2153" i="2"/>
  <c r="AF2153" i="2"/>
  <c r="AE2153" i="2"/>
  <c r="AD2153" i="2"/>
  <c r="AC2153" i="2"/>
  <c r="AB2153" i="2"/>
  <c r="AA2153" i="2"/>
  <c r="Z2153" i="2"/>
  <c r="Y2153" i="2"/>
  <c r="X2153" i="2"/>
  <c r="V2153" i="2"/>
  <c r="U2153" i="2"/>
  <c r="T2153" i="2"/>
  <c r="S2153" i="2"/>
  <c r="R2153" i="2"/>
  <c r="Q2153" i="2"/>
  <c r="P2153" i="2"/>
  <c r="O2153" i="2"/>
  <c r="N2153" i="2"/>
  <c r="K2153" i="2"/>
  <c r="J2153" i="2"/>
  <c r="I2153" i="2"/>
  <c r="H2153" i="2"/>
  <c r="G2153" i="2"/>
  <c r="F2153" i="2"/>
  <c r="E2153" i="2"/>
  <c r="D2153" i="2"/>
  <c r="C2153" i="2"/>
  <c r="B2153" i="2"/>
  <c r="A2153" i="2"/>
  <c r="AI2152" i="2"/>
  <c r="AH2152" i="2"/>
  <c r="AG2152" i="2"/>
  <c r="AF2152" i="2"/>
  <c r="AE2152" i="2"/>
  <c r="AD2152" i="2"/>
  <c r="AC2152" i="2"/>
  <c r="AB2152" i="2"/>
  <c r="AA2152" i="2"/>
  <c r="Z2152" i="2"/>
  <c r="Y2152" i="2"/>
  <c r="X2152" i="2"/>
  <c r="W2152" i="2"/>
  <c r="V2152" i="2"/>
  <c r="U2152" i="2"/>
  <c r="T2152" i="2"/>
  <c r="S2152" i="2"/>
  <c r="R2152" i="2"/>
  <c r="Q2152" i="2"/>
  <c r="P2152" i="2"/>
  <c r="O2152" i="2"/>
  <c r="N2152" i="2"/>
  <c r="K2152" i="2"/>
  <c r="J2152" i="2"/>
  <c r="I2152" i="2"/>
  <c r="H2152" i="2"/>
  <c r="G2152" i="2"/>
  <c r="F2152" i="2"/>
  <c r="E2152" i="2"/>
  <c r="D2152" i="2"/>
  <c r="C2152" i="2"/>
  <c r="B2152" i="2"/>
  <c r="A2152" i="2"/>
  <c r="AI2151" i="2"/>
  <c r="AH2151" i="2"/>
  <c r="AG2151" i="2"/>
  <c r="AF2151" i="2"/>
  <c r="AE2151" i="2"/>
  <c r="AD2151" i="2"/>
  <c r="AC2151" i="2"/>
  <c r="AB2151" i="2"/>
  <c r="AA2151" i="2"/>
  <c r="Z2151" i="2"/>
  <c r="Y2151" i="2"/>
  <c r="X2151" i="2"/>
  <c r="V2151" i="2"/>
  <c r="U2151" i="2"/>
  <c r="T2151" i="2"/>
  <c r="S2151" i="2"/>
  <c r="R2151" i="2"/>
  <c r="Q2151" i="2"/>
  <c r="P2151" i="2"/>
  <c r="O2151" i="2"/>
  <c r="N2151" i="2"/>
  <c r="K2151" i="2"/>
  <c r="J2151" i="2"/>
  <c r="I2151" i="2"/>
  <c r="H2151" i="2"/>
  <c r="G2151" i="2"/>
  <c r="F2151" i="2"/>
  <c r="E2151" i="2"/>
  <c r="D2151" i="2"/>
  <c r="C2151" i="2"/>
  <c r="B2151" i="2"/>
  <c r="A2151" i="2"/>
  <c r="AI2150" i="2"/>
  <c r="AH2150" i="2"/>
  <c r="AG2150" i="2"/>
  <c r="AF2150" i="2"/>
  <c r="AE2150" i="2"/>
  <c r="AD2150" i="2"/>
  <c r="AC2150" i="2"/>
  <c r="AB2150" i="2"/>
  <c r="AA2150" i="2"/>
  <c r="Z2150" i="2"/>
  <c r="Y2150" i="2"/>
  <c r="X2150" i="2"/>
  <c r="V2150" i="2"/>
  <c r="U2150" i="2"/>
  <c r="T2150" i="2"/>
  <c r="S2150" i="2"/>
  <c r="R2150" i="2"/>
  <c r="Q2150" i="2"/>
  <c r="P2150" i="2"/>
  <c r="O2150" i="2"/>
  <c r="N2150" i="2"/>
  <c r="K2150" i="2"/>
  <c r="J2150" i="2"/>
  <c r="I2150" i="2"/>
  <c r="H2150" i="2"/>
  <c r="G2150" i="2"/>
  <c r="F2150" i="2"/>
  <c r="E2150" i="2"/>
  <c r="D2150" i="2"/>
  <c r="C2150" i="2"/>
  <c r="B2150" i="2"/>
  <c r="A2150" i="2"/>
  <c r="AH2149" i="2"/>
  <c r="AF2149" i="2"/>
  <c r="AE2149" i="2"/>
  <c r="AD2149" i="2"/>
  <c r="AC2149" i="2"/>
  <c r="AB2149" i="2"/>
  <c r="AA2149" i="2"/>
  <c r="Z2149" i="2"/>
  <c r="Y2149" i="2"/>
  <c r="X2149" i="2"/>
  <c r="V2149" i="2"/>
  <c r="U2149" i="2"/>
  <c r="T2149" i="2"/>
  <c r="S2149" i="2"/>
  <c r="R2149" i="2"/>
  <c r="Q2149" i="2"/>
  <c r="P2149" i="2"/>
  <c r="O2149" i="2"/>
  <c r="N2149" i="2"/>
  <c r="K2149" i="2"/>
  <c r="J2149" i="2"/>
  <c r="I2149" i="2"/>
  <c r="H2149" i="2"/>
  <c r="G2149" i="2"/>
  <c r="F2149" i="2"/>
  <c r="E2149" i="2"/>
  <c r="D2149" i="2"/>
  <c r="C2149" i="2"/>
  <c r="B2149" i="2"/>
  <c r="A2149" i="2"/>
  <c r="AF2148" i="2"/>
  <c r="AE2148" i="2"/>
  <c r="AD2148" i="2"/>
  <c r="AC2148" i="2"/>
  <c r="AB2148" i="2"/>
  <c r="AA2148" i="2"/>
  <c r="Z2148" i="2"/>
  <c r="Y2148" i="2"/>
  <c r="X2148" i="2"/>
  <c r="U2148" i="2"/>
  <c r="T2148" i="2"/>
  <c r="S2148" i="2"/>
  <c r="Q2148" i="2"/>
  <c r="P2148" i="2"/>
  <c r="O2148" i="2"/>
  <c r="N2148" i="2"/>
  <c r="K2148" i="2"/>
  <c r="J2148" i="2"/>
  <c r="I2148" i="2"/>
  <c r="H2148" i="2"/>
  <c r="G2148" i="2"/>
  <c r="F2148" i="2"/>
  <c r="E2148" i="2"/>
  <c r="D2148" i="2"/>
  <c r="C2148" i="2"/>
  <c r="B2148" i="2"/>
  <c r="A2148" i="2"/>
  <c r="AI2147" i="2"/>
  <c r="AH2147" i="2"/>
  <c r="AG2147" i="2"/>
  <c r="AF2147" i="2"/>
  <c r="AE2147" i="2"/>
  <c r="AD2147" i="2"/>
  <c r="AC2147" i="2"/>
  <c r="AB2147" i="2"/>
  <c r="AA2147" i="2"/>
  <c r="Z2147" i="2"/>
  <c r="Y2147" i="2"/>
  <c r="X2147" i="2"/>
  <c r="V2147" i="2"/>
  <c r="U2147" i="2"/>
  <c r="T2147" i="2"/>
  <c r="S2147" i="2"/>
  <c r="R2147" i="2"/>
  <c r="Q2147" i="2"/>
  <c r="P2147" i="2"/>
  <c r="O2147" i="2"/>
  <c r="N2147" i="2"/>
  <c r="K2147" i="2"/>
  <c r="J2147" i="2"/>
  <c r="I2147" i="2"/>
  <c r="H2147" i="2"/>
  <c r="G2147" i="2"/>
  <c r="F2147" i="2"/>
  <c r="E2147" i="2"/>
  <c r="D2147" i="2"/>
  <c r="C2147" i="2"/>
  <c r="B2147" i="2"/>
  <c r="A2147" i="2"/>
  <c r="AI2146" i="2"/>
  <c r="AH2146" i="2"/>
  <c r="AG2146" i="2"/>
  <c r="AF2146" i="2"/>
  <c r="AE2146" i="2"/>
  <c r="AD2146" i="2"/>
  <c r="AC2146" i="2"/>
  <c r="AB2146" i="2"/>
  <c r="AA2146" i="2"/>
  <c r="Z2146" i="2"/>
  <c r="Y2146" i="2"/>
  <c r="X2146" i="2"/>
  <c r="V2146" i="2"/>
  <c r="U2146" i="2"/>
  <c r="T2146" i="2"/>
  <c r="S2146" i="2"/>
  <c r="R2146" i="2"/>
  <c r="Q2146" i="2"/>
  <c r="P2146" i="2"/>
  <c r="O2146" i="2"/>
  <c r="N2146" i="2"/>
  <c r="K2146" i="2"/>
  <c r="J2146" i="2"/>
  <c r="I2146" i="2"/>
  <c r="H2146" i="2"/>
  <c r="G2146" i="2"/>
  <c r="F2146" i="2"/>
  <c r="E2146" i="2"/>
  <c r="D2146" i="2"/>
  <c r="C2146" i="2"/>
  <c r="B2146" i="2"/>
  <c r="A2146" i="2"/>
  <c r="AI2145" i="2"/>
  <c r="AH2145" i="2"/>
  <c r="AF2145" i="2"/>
  <c r="AE2145" i="2"/>
  <c r="AD2145" i="2"/>
  <c r="AC2145" i="2"/>
  <c r="AB2145" i="2"/>
  <c r="AA2145" i="2"/>
  <c r="Z2145" i="2"/>
  <c r="Y2145" i="2"/>
  <c r="X2145" i="2"/>
  <c r="W2145" i="2"/>
  <c r="V2145" i="2"/>
  <c r="U2145" i="2"/>
  <c r="T2145" i="2"/>
  <c r="S2145" i="2"/>
  <c r="R2145" i="2"/>
  <c r="Q2145" i="2"/>
  <c r="P2145" i="2"/>
  <c r="O2145" i="2"/>
  <c r="N2145" i="2"/>
  <c r="K2145" i="2"/>
  <c r="J2145" i="2"/>
  <c r="I2145" i="2"/>
  <c r="H2145" i="2"/>
  <c r="G2145" i="2"/>
  <c r="F2145" i="2"/>
  <c r="E2145" i="2"/>
  <c r="D2145" i="2"/>
  <c r="C2145" i="2"/>
  <c r="B2145" i="2"/>
  <c r="A2145" i="2"/>
  <c r="AI2144" i="2"/>
  <c r="AH2144" i="2"/>
  <c r="AF2144" i="2"/>
  <c r="AE2144" i="2"/>
  <c r="AD2144" i="2"/>
  <c r="AC2144" i="2"/>
  <c r="AB2144" i="2"/>
  <c r="AA2144" i="2"/>
  <c r="Z2144" i="2"/>
  <c r="Y2144" i="2"/>
  <c r="X2144" i="2"/>
  <c r="W2144" i="2"/>
  <c r="V2144" i="2"/>
  <c r="U2144" i="2"/>
  <c r="T2144" i="2"/>
  <c r="S2144" i="2"/>
  <c r="R2144" i="2"/>
  <c r="Q2144" i="2"/>
  <c r="P2144" i="2"/>
  <c r="O2144" i="2"/>
  <c r="N2144" i="2"/>
  <c r="K2144" i="2"/>
  <c r="J2144" i="2"/>
  <c r="I2144" i="2"/>
  <c r="H2144" i="2"/>
  <c r="G2144" i="2"/>
  <c r="F2144" i="2"/>
  <c r="E2144" i="2"/>
  <c r="D2144" i="2"/>
  <c r="C2144" i="2"/>
  <c r="B2144" i="2"/>
  <c r="A2144" i="2"/>
  <c r="AI2143" i="2"/>
  <c r="AH2143" i="2"/>
  <c r="AG2143" i="2"/>
  <c r="AF2143" i="2"/>
  <c r="AE2143" i="2"/>
  <c r="AD2143" i="2"/>
  <c r="AC2143" i="2"/>
  <c r="AB2143" i="2"/>
  <c r="AA2143" i="2"/>
  <c r="Z2143" i="2"/>
  <c r="Y2143" i="2"/>
  <c r="X2143" i="2"/>
  <c r="W2143" i="2"/>
  <c r="V2143" i="2"/>
  <c r="U2143" i="2"/>
  <c r="T2143" i="2"/>
  <c r="S2143" i="2"/>
  <c r="R2143" i="2"/>
  <c r="Q2143" i="2"/>
  <c r="P2143" i="2"/>
  <c r="O2143" i="2"/>
  <c r="N2143" i="2"/>
  <c r="K2143" i="2"/>
  <c r="J2143" i="2"/>
  <c r="I2143" i="2"/>
  <c r="H2143" i="2"/>
  <c r="G2143" i="2"/>
  <c r="F2143" i="2"/>
  <c r="E2143" i="2"/>
  <c r="D2143" i="2"/>
  <c r="C2143" i="2"/>
  <c r="B2143" i="2"/>
  <c r="A2143" i="2"/>
  <c r="AI2142" i="2"/>
  <c r="AH2142" i="2"/>
  <c r="AG2142" i="2"/>
  <c r="AF2142" i="2"/>
  <c r="AE2142" i="2"/>
  <c r="AD2142" i="2"/>
  <c r="AB2142" i="2"/>
  <c r="AA2142" i="2"/>
  <c r="Z2142" i="2"/>
  <c r="Y2142" i="2"/>
  <c r="X2142" i="2"/>
  <c r="W2142" i="2"/>
  <c r="V2142" i="2"/>
  <c r="U2142" i="2"/>
  <c r="T2142" i="2"/>
  <c r="S2142" i="2"/>
  <c r="R2142" i="2"/>
  <c r="Q2142" i="2"/>
  <c r="P2142" i="2"/>
  <c r="O2142" i="2"/>
  <c r="N2142" i="2"/>
  <c r="K2142" i="2"/>
  <c r="J2142" i="2"/>
  <c r="I2142" i="2"/>
  <c r="H2142" i="2"/>
  <c r="G2142" i="2"/>
  <c r="F2142" i="2"/>
  <c r="E2142" i="2"/>
  <c r="D2142" i="2"/>
  <c r="C2142" i="2"/>
  <c r="B2142" i="2"/>
  <c r="A2142" i="2"/>
  <c r="AI2141" i="2"/>
  <c r="AH2141" i="2"/>
  <c r="AG2141" i="2"/>
  <c r="AF2141" i="2"/>
  <c r="AE2141" i="2"/>
  <c r="AD2141" i="2"/>
  <c r="AC2141" i="2"/>
  <c r="AB2141" i="2"/>
  <c r="AA2141" i="2"/>
  <c r="Z2141" i="2"/>
  <c r="Y2141" i="2"/>
  <c r="X2141" i="2"/>
  <c r="W2141" i="2"/>
  <c r="V2141" i="2"/>
  <c r="U2141" i="2"/>
  <c r="T2141" i="2"/>
  <c r="S2141" i="2"/>
  <c r="R2141" i="2"/>
  <c r="Q2141" i="2"/>
  <c r="P2141" i="2"/>
  <c r="O2141" i="2"/>
  <c r="N2141" i="2"/>
  <c r="K2141" i="2"/>
  <c r="J2141" i="2"/>
  <c r="I2141" i="2"/>
  <c r="H2141" i="2"/>
  <c r="G2141" i="2"/>
  <c r="F2141" i="2"/>
  <c r="E2141" i="2"/>
  <c r="D2141" i="2"/>
  <c r="C2141" i="2"/>
  <c r="B2141" i="2"/>
  <c r="A2141" i="2"/>
  <c r="AI2140" i="2"/>
  <c r="AH2140" i="2"/>
  <c r="AG2140" i="2"/>
  <c r="AF2140" i="2"/>
  <c r="AE2140" i="2"/>
  <c r="AD2140" i="2"/>
  <c r="AC2140" i="2"/>
  <c r="AB2140" i="2"/>
  <c r="AA2140" i="2"/>
  <c r="Z2140" i="2"/>
  <c r="Y2140" i="2"/>
  <c r="X2140" i="2"/>
  <c r="W2140" i="2"/>
  <c r="V2140" i="2"/>
  <c r="U2140" i="2"/>
  <c r="T2140" i="2"/>
  <c r="S2140" i="2"/>
  <c r="R2140" i="2"/>
  <c r="Q2140" i="2"/>
  <c r="P2140" i="2"/>
  <c r="O2140" i="2"/>
  <c r="N2140" i="2"/>
  <c r="K2140" i="2"/>
  <c r="J2140" i="2"/>
  <c r="I2140" i="2"/>
  <c r="H2140" i="2"/>
  <c r="G2140" i="2"/>
  <c r="F2140" i="2"/>
  <c r="E2140" i="2"/>
  <c r="D2140" i="2"/>
  <c r="C2140" i="2"/>
  <c r="B2140" i="2"/>
  <c r="A2140" i="2"/>
  <c r="AI2139" i="2"/>
  <c r="AH2139" i="2"/>
  <c r="AF2139" i="2"/>
  <c r="AE2139" i="2"/>
  <c r="AD2139" i="2"/>
  <c r="AC2139" i="2"/>
  <c r="AB2139" i="2"/>
  <c r="AA2139" i="2"/>
  <c r="Z2139" i="2"/>
  <c r="Y2139" i="2"/>
  <c r="X2139" i="2"/>
  <c r="W2139" i="2"/>
  <c r="V2139" i="2"/>
  <c r="U2139" i="2"/>
  <c r="T2139" i="2"/>
  <c r="S2139" i="2"/>
  <c r="R2139" i="2"/>
  <c r="Q2139" i="2"/>
  <c r="P2139" i="2"/>
  <c r="O2139" i="2"/>
  <c r="N2139" i="2"/>
  <c r="K2139" i="2"/>
  <c r="J2139" i="2"/>
  <c r="I2139" i="2"/>
  <c r="H2139" i="2"/>
  <c r="G2139" i="2"/>
  <c r="F2139" i="2"/>
  <c r="E2139" i="2"/>
  <c r="D2139" i="2"/>
  <c r="C2139" i="2"/>
  <c r="B2139" i="2"/>
  <c r="A2139" i="2"/>
  <c r="AI2138" i="2"/>
  <c r="AH2138" i="2"/>
  <c r="AG2138" i="2"/>
  <c r="AF2138" i="2"/>
  <c r="AE2138" i="2"/>
  <c r="AD2138" i="2"/>
  <c r="AC2138" i="2"/>
  <c r="AB2138" i="2"/>
  <c r="AA2138" i="2"/>
  <c r="Z2138" i="2"/>
  <c r="Y2138" i="2"/>
  <c r="X2138" i="2"/>
  <c r="W2138" i="2"/>
  <c r="V2138" i="2"/>
  <c r="U2138" i="2"/>
  <c r="T2138" i="2"/>
  <c r="S2138" i="2"/>
  <c r="R2138" i="2"/>
  <c r="Q2138" i="2"/>
  <c r="P2138" i="2"/>
  <c r="O2138" i="2"/>
  <c r="N2138" i="2"/>
  <c r="K2138" i="2"/>
  <c r="J2138" i="2"/>
  <c r="I2138" i="2"/>
  <c r="H2138" i="2"/>
  <c r="G2138" i="2"/>
  <c r="F2138" i="2"/>
  <c r="E2138" i="2"/>
  <c r="D2138" i="2"/>
  <c r="C2138" i="2"/>
  <c r="B2138" i="2"/>
  <c r="A2138" i="2"/>
  <c r="AI2137" i="2"/>
  <c r="AH2137" i="2"/>
  <c r="AG2137" i="2"/>
  <c r="AF2137" i="2"/>
  <c r="AE2137" i="2"/>
  <c r="AD2137" i="2"/>
  <c r="AC2137" i="2"/>
  <c r="AB2137" i="2"/>
  <c r="AA2137" i="2"/>
  <c r="Z2137" i="2"/>
  <c r="Y2137" i="2"/>
  <c r="X2137" i="2"/>
  <c r="W2137" i="2"/>
  <c r="V2137" i="2"/>
  <c r="U2137" i="2"/>
  <c r="T2137" i="2"/>
  <c r="S2137" i="2"/>
  <c r="R2137" i="2"/>
  <c r="Q2137" i="2"/>
  <c r="P2137" i="2"/>
  <c r="O2137" i="2"/>
  <c r="N2137" i="2"/>
  <c r="K2137" i="2"/>
  <c r="J2137" i="2"/>
  <c r="I2137" i="2"/>
  <c r="H2137" i="2"/>
  <c r="G2137" i="2"/>
  <c r="F2137" i="2"/>
  <c r="E2137" i="2"/>
  <c r="D2137" i="2"/>
  <c r="C2137" i="2"/>
  <c r="B2137" i="2"/>
  <c r="A2137" i="2"/>
  <c r="AI2136" i="2"/>
  <c r="AH2136" i="2"/>
  <c r="AG2136" i="2"/>
  <c r="AF2136" i="2"/>
  <c r="AE2136" i="2"/>
  <c r="AD2136" i="2"/>
  <c r="AC2136" i="2"/>
  <c r="AB2136" i="2"/>
  <c r="AA2136" i="2"/>
  <c r="Z2136" i="2"/>
  <c r="Y2136" i="2"/>
  <c r="X2136" i="2"/>
  <c r="W2136" i="2"/>
  <c r="V2136" i="2"/>
  <c r="U2136" i="2"/>
  <c r="T2136" i="2"/>
  <c r="S2136" i="2"/>
  <c r="R2136" i="2"/>
  <c r="Q2136" i="2"/>
  <c r="P2136" i="2"/>
  <c r="O2136" i="2"/>
  <c r="N2136" i="2"/>
  <c r="K2136" i="2"/>
  <c r="J2136" i="2"/>
  <c r="I2136" i="2"/>
  <c r="H2136" i="2"/>
  <c r="G2136" i="2"/>
  <c r="F2136" i="2"/>
  <c r="E2136" i="2"/>
  <c r="D2136" i="2"/>
  <c r="C2136" i="2"/>
  <c r="B2136" i="2"/>
  <c r="A2136" i="2"/>
  <c r="AJ2135" i="2"/>
  <c r="AI2135" i="2"/>
  <c r="AH2135" i="2"/>
  <c r="AF2135" i="2"/>
  <c r="AE2135" i="2"/>
  <c r="AD2135" i="2"/>
  <c r="AC2135" i="2"/>
  <c r="AB2135" i="2"/>
  <c r="AA2135" i="2"/>
  <c r="Z2135" i="2"/>
  <c r="Y2135" i="2"/>
  <c r="X2135" i="2"/>
  <c r="V2135" i="2"/>
  <c r="U2135" i="2"/>
  <c r="T2135" i="2"/>
  <c r="S2135" i="2"/>
  <c r="R2135" i="2"/>
  <c r="Q2135" i="2"/>
  <c r="P2135" i="2"/>
  <c r="O2135" i="2"/>
  <c r="N2135" i="2"/>
  <c r="K2135" i="2"/>
  <c r="J2135" i="2"/>
  <c r="I2135" i="2"/>
  <c r="H2135" i="2"/>
  <c r="G2135" i="2"/>
  <c r="F2135" i="2"/>
  <c r="E2135" i="2"/>
  <c r="D2135" i="2"/>
  <c r="C2135" i="2"/>
  <c r="B2135" i="2"/>
  <c r="A2135" i="2"/>
  <c r="AI2134" i="2"/>
  <c r="AH2134" i="2"/>
  <c r="AG2134" i="2"/>
  <c r="AF2134" i="2"/>
  <c r="AE2134" i="2"/>
  <c r="AD2134" i="2"/>
  <c r="AC2134" i="2"/>
  <c r="AB2134" i="2"/>
  <c r="AA2134" i="2"/>
  <c r="Z2134" i="2"/>
  <c r="Y2134" i="2"/>
  <c r="X2134" i="2"/>
  <c r="U2134" i="2"/>
  <c r="T2134" i="2"/>
  <c r="S2134" i="2"/>
  <c r="R2134" i="2"/>
  <c r="Q2134" i="2"/>
  <c r="P2134" i="2"/>
  <c r="O2134" i="2"/>
  <c r="N2134" i="2"/>
  <c r="K2134" i="2"/>
  <c r="J2134" i="2"/>
  <c r="I2134" i="2"/>
  <c r="H2134" i="2"/>
  <c r="G2134" i="2"/>
  <c r="F2134" i="2"/>
  <c r="E2134" i="2"/>
  <c r="D2134" i="2"/>
  <c r="C2134" i="2"/>
  <c r="B2134" i="2"/>
  <c r="A2134" i="2"/>
  <c r="AI2133" i="2"/>
  <c r="AH2133" i="2"/>
  <c r="AG2133" i="2"/>
  <c r="AF2133" i="2"/>
  <c r="AE2133" i="2"/>
  <c r="AD2133" i="2"/>
  <c r="AC2133" i="2"/>
  <c r="AB2133" i="2"/>
  <c r="AA2133" i="2"/>
  <c r="Z2133" i="2"/>
  <c r="Y2133" i="2"/>
  <c r="X2133" i="2"/>
  <c r="W2133" i="2"/>
  <c r="V2133" i="2"/>
  <c r="U2133" i="2"/>
  <c r="T2133" i="2"/>
  <c r="S2133" i="2"/>
  <c r="R2133" i="2"/>
  <c r="Q2133" i="2"/>
  <c r="P2133" i="2"/>
  <c r="O2133" i="2"/>
  <c r="N2133" i="2"/>
  <c r="K2133" i="2"/>
  <c r="J2133" i="2"/>
  <c r="I2133" i="2"/>
  <c r="H2133" i="2"/>
  <c r="G2133" i="2"/>
  <c r="F2133" i="2"/>
  <c r="E2133" i="2"/>
  <c r="D2133" i="2"/>
  <c r="C2133" i="2"/>
  <c r="B2133" i="2"/>
  <c r="A2133" i="2"/>
  <c r="AI2132" i="2"/>
  <c r="AH2132" i="2"/>
  <c r="AG2132" i="2"/>
  <c r="AF2132" i="2"/>
  <c r="AE2132" i="2"/>
  <c r="AD2132" i="2"/>
  <c r="AB2132" i="2"/>
  <c r="AA2132" i="2"/>
  <c r="Z2132" i="2"/>
  <c r="Y2132" i="2"/>
  <c r="X2132" i="2"/>
  <c r="U2132" i="2"/>
  <c r="T2132" i="2"/>
  <c r="S2132" i="2"/>
  <c r="R2132" i="2"/>
  <c r="Q2132" i="2"/>
  <c r="P2132" i="2"/>
  <c r="O2132" i="2"/>
  <c r="N2132" i="2"/>
  <c r="K2132" i="2"/>
  <c r="J2132" i="2"/>
  <c r="I2132" i="2"/>
  <c r="H2132" i="2"/>
  <c r="G2132" i="2"/>
  <c r="F2132" i="2"/>
  <c r="E2132" i="2"/>
  <c r="D2132" i="2"/>
  <c r="C2132" i="2"/>
  <c r="B2132" i="2"/>
  <c r="A2132" i="2"/>
  <c r="AJ2131" i="2"/>
  <c r="AI2131" i="2"/>
  <c r="AH2131" i="2"/>
  <c r="AG2131" i="2"/>
  <c r="AF2131" i="2"/>
  <c r="AE2131" i="2"/>
  <c r="AD2131" i="2"/>
  <c r="AC2131" i="2"/>
  <c r="AB2131" i="2"/>
  <c r="AA2131" i="2"/>
  <c r="Z2131" i="2"/>
  <c r="Y2131" i="2"/>
  <c r="W2131" i="2"/>
  <c r="V2131" i="2"/>
  <c r="U2131" i="2"/>
  <c r="T2131" i="2"/>
  <c r="S2131" i="2"/>
  <c r="R2131" i="2"/>
  <c r="Q2131" i="2"/>
  <c r="P2131" i="2"/>
  <c r="O2131" i="2"/>
  <c r="N2131" i="2"/>
  <c r="K2131" i="2"/>
  <c r="J2131" i="2"/>
  <c r="I2131" i="2"/>
  <c r="H2131" i="2"/>
  <c r="G2131" i="2"/>
  <c r="F2131" i="2"/>
  <c r="E2131" i="2"/>
  <c r="D2131" i="2"/>
  <c r="C2131" i="2"/>
  <c r="B2131" i="2"/>
  <c r="A2131" i="2"/>
  <c r="AI2130" i="2"/>
  <c r="AH2130" i="2"/>
  <c r="AF2130" i="2"/>
  <c r="AE2130" i="2"/>
  <c r="AD2130" i="2"/>
  <c r="AC2130" i="2"/>
  <c r="AB2130" i="2"/>
  <c r="AA2130" i="2"/>
  <c r="Z2130" i="2"/>
  <c r="Y2130" i="2"/>
  <c r="X2130" i="2"/>
  <c r="V2130" i="2"/>
  <c r="U2130" i="2"/>
  <c r="T2130" i="2"/>
  <c r="S2130" i="2"/>
  <c r="R2130" i="2"/>
  <c r="Q2130" i="2"/>
  <c r="P2130" i="2"/>
  <c r="O2130" i="2"/>
  <c r="N2130" i="2"/>
  <c r="K2130" i="2"/>
  <c r="J2130" i="2"/>
  <c r="I2130" i="2"/>
  <c r="H2130" i="2"/>
  <c r="G2130" i="2"/>
  <c r="F2130" i="2"/>
  <c r="E2130" i="2"/>
  <c r="D2130" i="2"/>
  <c r="C2130" i="2"/>
  <c r="B2130" i="2"/>
  <c r="A2130" i="2"/>
  <c r="AI2129" i="2"/>
  <c r="AH2129" i="2"/>
  <c r="AF2129" i="2"/>
  <c r="AE2129" i="2"/>
  <c r="AD2129" i="2"/>
  <c r="AC2129" i="2"/>
  <c r="AB2129" i="2"/>
  <c r="AA2129" i="2"/>
  <c r="Z2129" i="2"/>
  <c r="Y2129" i="2"/>
  <c r="X2129" i="2"/>
  <c r="U2129" i="2"/>
  <c r="T2129" i="2"/>
  <c r="S2129" i="2"/>
  <c r="R2129" i="2"/>
  <c r="Q2129" i="2"/>
  <c r="P2129" i="2"/>
  <c r="O2129" i="2"/>
  <c r="N2129" i="2"/>
  <c r="K2129" i="2"/>
  <c r="J2129" i="2"/>
  <c r="I2129" i="2"/>
  <c r="H2129" i="2"/>
  <c r="G2129" i="2"/>
  <c r="F2129" i="2"/>
  <c r="E2129" i="2"/>
  <c r="D2129" i="2"/>
  <c r="C2129" i="2"/>
  <c r="B2129" i="2"/>
  <c r="A2129" i="2"/>
  <c r="AI2128" i="2"/>
  <c r="AH2128" i="2"/>
  <c r="AF2128" i="2"/>
  <c r="AE2128" i="2"/>
  <c r="AD2128" i="2"/>
  <c r="AC2128" i="2"/>
  <c r="AB2128" i="2"/>
  <c r="AA2128" i="2"/>
  <c r="Z2128" i="2"/>
  <c r="Y2128" i="2"/>
  <c r="X2128" i="2"/>
  <c r="W2128" i="2"/>
  <c r="V2128" i="2"/>
  <c r="U2128" i="2"/>
  <c r="T2128" i="2"/>
  <c r="S2128" i="2"/>
  <c r="R2128" i="2"/>
  <c r="Q2128" i="2"/>
  <c r="P2128" i="2"/>
  <c r="O2128" i="2"/>
  <c r="N2128" i="2"/>
  <c r="K2128" i="2"/>
  <c r="J2128" i="2"/>
  <c r="I2128" i="2"/>
  <c r="H2128" i="2"/>
  <c r="G2128" i="2"/>
  <c r="F2128" i="2"/>
  <c r="E2128" i="2"/>
  <c r="D2128" i="2"/>
  <c r="C2128" i="2"/>
  <c r="B2128" i="2"/>
  <c r="A2128" i="2"/>
  <c r="AJ2127" i="2"/>
  <c r="AI2127" i="2"/>
  <c r="AH2127" i="2"/>
  <c r="AF2127" i="2"/>
  <c r="AE2127" i="2"/>
  <c r="AD2127" i="2"/>
  <c r="AC2127" i="2"/>
  <c r="AB2127" i="2"/>
  <c r="AA2127" i="2"/>
  <c r="Z2127" i="2"/>
  <c r="Y2127" i="2"/>
  <c r="X2127" i="2"/>
  <c r="W2127" i="2"/>
  <c r="V2127" i="2"/>
  <c r="U2127" i="2"/>
  <c r="T2127" i="2"/>
  <c r="S2127" i="2"/>
  <c r="R2127" i="2"/>
  <c r="Q2127" i="2"/>
  <c r="P2127" i="2"/>
  <c r="O2127" i="2"/>
  <c r="N2127" i="2"/>
  <c r="K2127" i="2"/>
  <c r="J2127" i="2"/>
  <c r="I2127" i="2"/>
  <c r="H2127" i="2"/>
  <c r="G2127" i="2"/>
  <c r="F2127" i="2"/>
  <c r="E2127" i="2"/>
  <c r="D2127" i="2"/>
  <c r="C2127" i="2"/>
  <c r="B2127" i="2"/>
  <c r="A2127" i="2"/>
  <c r="AH2126" i="2"/>
  <c r="AG2126" i="2"/>
  <c r="AF2126" i="2"/>
  <c r="AE2126" i="2"/>
  <c r="AD2126" i="2"/>
  <c r="AC2126" i="2"/>
  <c r="AB2126" i="2"/>
  <c r="AA2126" i="2"/>
  <c r="Z2126" i="2"/>
  <c r="Y2126" i="2"/>
  <c r="X2126" i="2"/>
  <c r="W2126" i="2"/>
  <c r="V2126" i="2"/>
  <c r="U2126" i="2"/>
  <c r="T2126" i="2"/>
  <c r="S2126" i="2"/>
  <c r="R2126" i="2"/>
  <c r="Q2126" i="2"/>
  <c r="P2126" i="2"/>
  <c r="O2126" i="2"/>
  <c r="N2126" i="2"/>
  <c r="K2126" i="2"/>
  <c r="J2126" i="2"/>
  <c r="I2126" i="2"/>
  <c r="H2126" i="2"/>
  <c r="G2126" i="2"/>
  <c r="F2126" i="2"/>
  <c r="E2126" i="2"/>
  <c r="D2126" i="2"/>
  <c r="C2126" i="2"/>
  <c r="B2126" i="2"/>
  <c r="A2126" i="2"/>
  <c r="AI2125" i="2"/>
  <c r="AH2125" i="2"/>
  <c r="AF2125" i="2"/>
  <c r="AE2125" i="2"/>
  <c r="AD2125" i="2"/>
  <c r="AC2125" i="2"/>
  <c r="AB2125" i="2"/>
  <c r="AA2125" i="2"/>
  <c r="Z2125" i="2"/>
  <c r="Y2125" i="2"/>
  <c r="X2125" i="2"/>
  <c r="W2125" i="2"/>
  <c r="V2125" i="2"/>
  <c r="U2125" i="2"/>
  <c r="T2125" i="2"/>
  <c r="S2125" i="2"/>
  <c r="R2125" i="2"/>
  <c r="Q2125" i="2"/>
  <c r="P2125" i="2"/>
  <c r="O2125" i="2"/>
  <c r="N2125" i="2"/>
  <c r="K2125" i="2"/>
  <c r="J2125" i="2"/>
  <c r="I2125" i="2"/>
  <c r="H2125" i="2"/>
  <c r="G2125" i="2"/>
  <c r="F2125" i="2"/>
  <c r="E2125" i="2"/>
  <c r="D2125" i="2"/>
  <c r="C2125" i="2"/>
  <c r="B2125" i="2"/>
  <c r="A2125" i="2"/>
  <c r="AI2124" i="2"/>
  <c r="AH2124" i="2"/>
  <c r="AG2124" i="2"/>
  <c r="AF2124" i="2"/>
  <c r="AE2124" i="2"/>
  <c r="AD2124" i="2"/>
  <c r="AC2124" i="2"/>
  <c r="AB2124" i="2"/>
  <c r="AA2124" i="2"/>
  <c r="Z2124" i="2"/>
  <c r="Y2124" i="2"/>
  <c r="X2124" i="2"/>
  <c r="W2124" i="2"/>
  <c r="V2124" i="2"/>
  <c r="U2124" i="2"/>
  <c r="T2124" i="2"/>
  <c r="S2124" i="2"/>
  <c r="R2124" i="2"/>
  <c r="Q2124" i="2"/>
  <c r="P2124" i="2"/>
  <c r="O2124" i="2"/>
  <c r="N2124" i="2"/>
  <c r="K2124" i="2"/>
  <c r="J2124" i="2"/>
  <c r="I2124" i="2"/>
  <c r="H2124" i="2"/>
  <c r="G2124" i="2"/>
  <c r="F2124" i="2"/>
  <c r="E2124" i="2"/>
  <c r="D2124" i="2"/>
  <c r="C2124" i="2"/>
  <c r="B2124" i="2"/>
  <c r="A2124" i="2"/>
  <c r="AI2123" i="2"/>
  <c r="AH2123" i="2"/>
  <c r="AG2123" i="2"/>
  <c r="AF2123" i="2"/>
  <c r="AE2123" i="2"/>
  <c r="AD2123" i="2"/>
  <c r="AC2123" i="2"/>
  <c r="AB2123" i="2"/>
  <c r="AA2123" i="2"/>
  <c r="Z2123" i="2"/>
  <c r="Y2123" i="2"/>
  <c r="X2123" i="2"/>
  <c r="W2123" i="2"/>
  <c r="V2123" i="2"/>
  <c r="U2123" i="2"/>
  <c r="T2123" i="2"/>
  <c r="S2123" i="2"/>
  <c r="R2123" i="2"/>
  <c r="Q2123" i="2"/>
  <c r="P2123" i="2"/>
  <c r="O2123" i="2"/>
  <c r="N2123" i="2"/>
  <c r="K2123" i="2"/>
  <c r="J2123" i="2"/>
  <c r="I2123" i="2"/>
  <c r="H2123" i="2"/>
  <c r="G2123" i="2"/>
  <c r="F2123" i="2"/>
  <c r="E2123" i="2"/>
  <c r="D2123" i="2"/>
  <c r="C2123" i="2"/>
  <c r="B2123" i="2"/>
  <c r="A2123" i="2"/>
  <c r="AI2122" i="2"/>
  <c r="AG2122" i="2"/>
  <c r="AF2122" i="2"/>
  <c r="AE2122" i="2"/>
  <c r="AD2122" i="2"/>
  <c r="AC2122" i="2"/>
  <c r="AB2122" i="2"/>
  <c r="AA2122" i="2"/>
  <c r="Z2122" i="2"/>
  <c r="Y2122" i="2"/>
  <c r="X2122" i="2"/>
  <c r="V2122" i="2"/>
  <c r="U2122" i="2"/>
  <c r="T2122" i="2"/>
  <c r="S2122" i="2"/>
  <c r="R2122" i="2"/>
  <c r="Q2122" i="2"/>
  <c r="P2122" i="2"/>
  <c r="O2122" i="2"/>
  <c r="N2122" i="2"/>
  <c r="K2122" i="2"/>
  <c r="J2122" i="2"/>
  <c r="I2122" i="2"/>
  <c r="H2122" i="2"/>
  <c r="G2122" i="2"/>
  <c r="F2122" i="2"/>
  <c r="E2122" i="2"/>
  <c r="D2122" i="2"/>
  <c r="C2122" i="2"/>
  <c r="B2122" i="2"/>
  <c r="A2122" i="2"/>
  <c r="AI2121" i="2"/>
  <c r="AH2121" i="2"/>
  <c r="AF2121" i="2"/>
  <c r="AE2121" i="2"/>
  <c r="AD2121" i="2"/>
  <c r="AC2121" i="2"/>
  <c r="AB2121" i="2"/>
  <c r="AA2121" i="2"/>
  <c r="Z2121" i="2"/>
  <c r="Y2121" i="2"/>
  <c r="X2121" i="2"/>
  <c r="W2121" i="2"/>
  <c r="V2121" i="2"/>
  <c r="U2121" i="2"/>
  <c r="T2121" i="2"/>
  <c r="S2121" i="2"/>
  <c r="R2121" i="2"/>
  <c r="Q2121" i="2"/>
  <c r="P2121" i="2"/>
  <c r="O2121" i="2"/>
  <c r="N2121" i="2"/>
  <c r="K2121" i="2"/>
  <c r="J2121" i="2"/>
  <c r="I2121" i="2"/>
  <c r="H2121" i="2"/>
  <c r="G2121" i="2"/>
  <c r="F2121" i="2"/>
  <c r="E2121" i="2"/>
  <c r="D2121" i="2"/>
  <c r="C2121" i="2"/>
  <c r="B2121" i="2"/>
  <c r="A2121" i="2"/>
  <c r="AI2120" i="2"/>
  <c r="AH2120" i="2"/>
  <c r="AG2120" i="2"/>
  <c r="AF2120" i="2"/>
  <c r="AE2120" i="2"/>
  <c r="AD2120" i="2"/>
  <c r="AC2120" i="2"/>
  <c r="AB2120" i="2"/>
  <c r="AA2120" i="2"/>
  <c r="Z2120" i="2"/>
  <c r="Y2120" i="2"/>
  <c r="X2120" i="2"/>
  <c r="W2120" i="2"/>
  <c r="V2120" i="2"/>
  <c r="U2120" i="2"/>
  <c r="T2120" i="2"/>
  <c r="S2120" i="2"/>
  <c r="R2120" i="2"/>
  <c r="Q2120" i="2"/>
  <c r="P2120" i="2"/>
  <c r="O2120" i="2"/>
  <c r="N2120" i="2"/>
  <c r="K2120" i="2"/>
  <c r="J2120" i="2"/>
  <c r="I2120" i="2"/>
  <c r="H2120" i="2"/>
  <c r="G2120" i="2"/>
  <c r="F2120" i="2"/>
  <c r="E2120" i="2"/>
  <c r="D2120" i="2"/>
  <c r="C2120" i="2"/>
  <c r="B2120" i="2"/>
  <c r="A2120" i="2"/>
  <c r="AI2119" i="2"/>
  <c r="AH2119" i="2"/>
  <c r="AG2119" i="2"/>
  <c r="AF2119" i="2"/>
  <c r="AE2119" i="2"/>
  <c r="AD2119" i="2"/>
  <c r="AC2119" i="2"/>
  <c r="AB2119" i="2"/>
  <c r="AA2119" i="2"/>
  <c r="Z2119" i="2"/>
  <c r="Y2119" i="2"/>
  <c r="X2119" i="2"/>
  <c r="W2119" i="2"/>
  <c r="V2119" i="2"/>
  <c r="U2119" i="2"/>
  <c r="T2119" i="2"/>
  <c r="S2119" i="2"/>
  <c r="R2119" i="2"/>
  <c r="Q2119" i="2"/>
  <c r="P2119" i="2"/>
  <c r="O2119" i="2"/>
  <c r="N2119" i="2"/>
  <c r="K2119" i="2"/>
  <c r="J2119" i="2"/>
  <c r="I2119" i="2"/>
  <c r="H2119" i="2"/>
  <c r="G2119" i="2"/>
  <c r="F2119" i="2"/>
  <c r="E2119" i="2"/>
  <c r="D2119" i="2"/>
  <c r="C2119" i="2"/>
  <c r="B2119" i="2"/>
  <c r="A2119" i="2"/>
  <c r="AH2118" i="2"/>
  <c r="AG2118" i="2"/>
  <c r="AF2118" i="2"/>
  <c r="AE2118" i="2"/>
  <c r="AD2118" i="2"/>
  <c r="AC2118" i="2"/>
  <c r="AA2118" i="2"/>
  <c r="Z2118" i="2"/>
  <c r="Y2118" i="2"/>
  <c r="X2118" i="2"/>
  <c r="V2118" i="2"/>
  <c r="U2118" i="2"/>
  <c r="T2118" i="2"/>
  <c r="S2118" i="2"/>
  <c r="R2118" i="2"/>
  <c r="Q2118" i="2"/>
  <c r="P2118" i="2"/>
  <c r="O2118" i="2"/>
  <c r="N2118" i="2"/>
  <c r="K2118" i="2"/>
  <c r="J2118" i="2"/>
  <c r="I2118" i="2"/>
  <c r="H2118" i="2"/>
  <c r="G2118" i="2"/>
  <c r="F2118" i="2"/>
  <c r="E2118" i="2"/>
  <c r="D2118" i="2"/>
  <c r="C2118" i="2"/>
  <c r="B2118" i="2"/>
  <c r="A2118" i="2"/>
  <c r="AI2117" i="2"/>
  <c r="AH2117" i="2"/>
  <c r="AG2117" i="2"/>
  <c r="AF2117" i="2"/>
  <c r="AE2117" i="2"/>
  <c r="AD2117" i="2"/>
  <c r="AC2117" i="2"/>
  <c r="AB2117" i="2"/>
  <c r="AA2117" i="2"/>
  <c r="Z2117" i="2"/>
  <c r="Y2117" i="2"/>
  <c r="X2117" i="2"/>
  <c r="W2117" i="2"/>
  <c r="V2117" i="2"/>
  <c r="U2117" i="2"/>
  <c r="T2117" i="2"/>
  <c r="S2117" i="2"/>
  <c r="R2117" i="2"/>
  <c r="Q2117" i="2"/>
  <c r="P2117" i="2"/>
  <c r="O2117" i="2"/>
  <c r="N2117" i="2"/>
  <c r="K2117" i="2"/>
  <c r="J2117" i="2"/>
  <c r="I2117" i="2"/>
  <c r="H2117" i="2"/>
  <c r="G2117" i="2"/>
  <c r="F2117" i="2"/>
  <c r="E2117" i="2"/>
  <c r="D2117" i="2"/>
  <c r="C2117" i="2"/>
  <c r="B2117" i="2"/>
  <c r="A2117" i="2"/>
  <c r="AI2116" i="2"/>
  <c r="AH2116" i="2"/>
  <c r="AG2116" i="2"/>
  <c r="AF2116" i="2"/>
  <c r="AE2116" i="2"/>
  <c r="AD2116" i="2"/>
  <c r="AC2116" i="2"/>
  <c r="AB2116" i="2"/>
  <c r="AA2116" i="2"/>
  <c r="Z2116" i="2"/>
  <c r="Y2116" i="2"/>
  <c r="X2116" i="2"/>
  <c r="W2116" i="2"/>
  <c r="V2116" i="2"/>
  <c r="U2116" i="2"/>
  <c r="T2116" i="2"/>
  <c r="S2116" i="2"/>
  <c r="R2116" i="2"/>
  <c r="Q2116" i="2"/>
  <c r="P2116" i="2"/>
  <c r="O2116" i="2"/>
  <c r="N2116" i="2"/>
  <c r="K2116" i="2"/>
  <c r="J2116" i="2"/>
  <c r="I2116" i="2"/>
  <c r="H2116" i="2"/>
  <c r="G2116" i="2"/>
  <c r="F2116" i="2"/>
  <c r="E2116" i="2"/>
  <c r="D2116" i="2"/>
  <c r="C2116" i="2"/>
  <c r="B2116" i="2"/>
  <c r="A2116" i="2"/>
  <c r="AH2115" i="2"/>
  <c r="AF2115" i="2"/>
  <c r="AE2115" i="2"/>
  <c r="AD2115" i="2"/>
  <c r="AC2115" i="2"/>
  <c r="AB2115" i="2"/>
  <c r="AA2115" i="2"/>
  <c r="Z2115" i="2"/>
  <c r="Y2115" i="2"/>
  <c r="X2115" i="2"/>
  <c r="W2115" i="2"/>
  <c r="V2115" i="2"/>
  <c r="U2115" i="2"/>
  <c r="T2115" i="2"/>
  <c r="S2115" i="2"/>
  <c r="R2115" i="2"/>
  <c r="Q2115" i="2"/>
  <c r="P2115" i="2"/>
  <c r="O2115" i="2"/>
  <c r="N2115" i="2"/>
  <c r="K2115" i="2"/>
  <c r="J2115" i="2"/>
  <c r="I2115" i="2"/>
  <c r="H2115" i="2"/>
  <c r="G2115" i="2"/>
  <c r="F2115" i="2"/>
  <c r="E2115" i="2"/>
  <c r="D2115" i="2"/>
  <c r="C2115" i="2"/>
  <c r="B2115" i="2"/>
  <c r="A2115" i="2"/>
  <c r="AI2114" i="2"/>
  <c r="AF2114" i="2"/>
  <c r="AE2114" i="2"/>
  <c r="AD2114" i="2"/>
  <c r="AC2114" i="2"/>
  <c r="AB2114" i="2"/>
  <c r="AA2114" i="2"/>
  <c r="Z2114" i="2"/>
  <c r="Y2114" i="2"/>
  <c r="X2114" i="2"/>
  <c r="U2114" i="2"/>
  <c r="T2114" i="2"/>
  <c r="S2114" i="2"/>
  <c r="R2114" i="2"/>
  <c r="Q2114" i="2"/>
  <c r="P2114" i="2"/>
  <c r="O2114" i="2"/>
  <c r="N2114" i="2"/>
  <c r="K2114" i="2"/>
  <c r="J2114" i="2"/>
  <c r="I2114" i="2"/>
  <c r="H2114" i="2"/>
  <c r="G2114" i="2"/>
  <c r="F2114" i="2"/>
  <c r="E2114" i="2"/>
  <c r="D2114" i="2"/>
  <c r="C2114" i="2"/>
  <c r="B2114" i="2"/>
  <c r="A2114" i="2"/>
  <c r="AJ2113" i="2"/>
  <c r="AI2113" i="2"/>
  <c r="AH2113" i="2"/>
  <c r="AG2113" i="2"/>
  <c r="AF2113" i="2"/>
  <c r="AE2113" i="2"/>
  <c r="AD2113" i="2"/>
  <c r="AC2113" i="2"/>
  <c r="AB2113" i="2"/>
  <c r="AA2113" i="2"/>
  <c r="Z2113" i="2"/>
  <c r="Y2113" i="2"/>
  <c r="X2113" i="2"/>
  <c r="V2113" i="2"/>
  <c r="U2113" i="2"/>
  <c r="R2113" i="2"/>
  <c r="Q2113" i="2"/>
  <c r="P2113" i="2"/>
  <c r="O2113" i="2"/>
  <c r="N2113" i="2"/>
  <c r="K2113" i="2"/>
  <c r="J2113" i="2"/>
  <c r="I2113" i="2"/>
  <c r="H2113" i="2"/>
  <c r="G2113" i="2"/>
  <c r="F2113" i="2"/>
  <c r="E2113" i="2"/>
  <c r="D2113" i="2"/>
  <c r="C2113" i="2"/>
  <c r="B2113" i="2"/>
  <c r="A2113" i="2"/>
  <c r="AI2112" i="2"/>
  <c r="AF2112" i="2"/>
  <c r="AE2112" i="2"/>
  <c r="AD2112" i="2"/>
  <c r="AC2112" i="2"/>
  <c r="AB2112" i="2"/>
  <c r="AA2112" i="2"/>
  <c r="Z2112" i="2"/>
  <c r="Y2112" i="2"/>
  <c r="X2112" i="2"/>
  <c r="W2112" i="2"/>
  <c r="V2112" i="2"/>
  <c r="U2112" i="2"/>
  <c r="T2112" i="2"/>
  <c r="S2112" i="2"/>
  <c r="R2112" i="2"/>
  <c r="Q2112" i="2"/>
  <c r="P2112" i="2"/>
  <c r="O2112" i="2"/>
  <c r="N2112" i="2"/>
  <c r="K2112" i="2"/>
  <c r="J2112" i="2"/>
  <c r="I2112" i="2"/>
  <c r="H2112" i="2"/>
  <c r="G2112" i="2"/>
  <c r="F2112" i="2"/>
  <c r="E2112" i="2"/>
  <c r="D2112" i="2"/>
  <c r="C2112" i="2"/>
  <c r="B2112" i="2"/>
  <c r="A2112" i="2"/>
  <c r="AI2111" i="2"/>
  <c r="AH2111" i="2"/>
  <c r="AG2111" i="2"/>
  <c r="AF2111" i="2"/>
  <c r="AE2111" i="2"/>
  <c r="AD2111" i="2"/>
  <c r="AC2111" i="2"/>
  <c r="AB2111" i="2"/>
  <c r="AA2111" i="2"/>
  <c r="Z2111" i="2"/>
  <c r="Y2111" i="2"/>
  <c r="X2111" i="2"/>
  <c r="T2111" i="2"/>
  <c r="S2111" i="2"/>
  <c r="R2111" i="2"/>
  <c r="Q2111" i="2"/>
  <c r="P2111" i="2"/>
  <c r="O2111" i="2"/>
  <c r="N2111" i="2"/>
  <c r="K2111" i="2"/>
  <c r="J2111" i="2"/>
  <c r="I2111" i="2"/>
  <c r="H2111" i="2"/>
  <c r="G2111" i="2"/>
  <c r="F2111" i="2"/>
  <c r="E2111" i="2"/>
  <c r="D2111" i="2"/>
  <c r="C2111" i="2"/>
  <c r="B2111" i="2"/>
  <c r="A2111" i="2"/>
  <c r="AI2110" i="2"/>
  <c r="AH2110" i="2"/>
  <c r="AG2110" i="2"/>
  <c r="AF2110" i="2"/>
  <c r="AE2110" i="2"/>
  <c r="AD2110" i="2"/>
  <c r="AC2110" i="2"/>
  <c r="AB2110" i="2"/>
  <c r="AA2110" i="2"/>
  <c r="Z2110" i="2"/>
  <c r="Y2110" i="2"/>
  <c r="X2110" i="2"/>
  <c r="W2110" i="2"/>
  <c r="V2110" i="2"/>
  <c r="U2110" i="2"/>
  <c r="T2110" i="2"/>
  <c r="S2110" i="2"/>
  <c r="R2110" i="2"/>
  <c r="Q2110" i="2"/>
  <c r="P2110" i="2"/>
  <c r="O2110" i="2"/>
  <c r="N2110" i="2"/>
  <c r="K2110" i="2"/>
  <c r="J2110" i="2"/>
  <c r="I2110" i="2"/>
  <c r="H2110" i="2"/>
  <c r="G2110" i="2"/>
  <c r="F2110" i="2"/>
  <c r="E2110" i="2"/>
  <c r="D2110" i="2"/>
  <c r="C2110" i="2"/>
  <c r="B2110" i="2"/>
  <c r="A2110" i="2"/>
  <c r="AI2109" i="2"/>
  <c r="AH2109" i="2"/>
  <c r="AG2109" i="2"/>
  <c r="AF2109" i="2"/>
  <c r="AE2109" i="2"/>
  <c r="AD2109" i="2"/>
  <c r="AC2109" i="2"/>
  <c r="AB2109" i="2"/>
  <c r="AA2109" i="2"/>
  <c r="Z2109" i="2"/>
  <c r="Y2109" i="2"/>
  <c r="X2109" i="2"/>
  <c r="W2109" i="2"/>
  <c r="V2109" i="2"/>
  <c r="U2109" i="2"/>
  <c r="T2109" i="2"/>
  <c r="S2109" i="2"/>
  <c r="R2109" i="2"/>
  <c r="Q2109" i="2"/>
  <c r="P2109" i="2"/>
  <c r="O2109" i="2"/>
  <c r="N2109" i="2"/>
  <c r="K2109" i="2"/>
  <c r="J2109" i="2"/>
  <c r="I2109" i="2"/>
  <c r="H2109" i="2"/>
  <c r="G2109" i="2"/>
  <c r="F2109" i="2"/>
  <c r="E2109" i="2"/>
  <c r="D2109" i="2"/>
  <c r="C2109" i="2"/>
  <c r="B2109" i="2"/>
  <c r="A2109" i="2"/>
  <c r="AI2108" i="2"/>
  <c r="AH2108" i="2"/>
  <c r="AG2108" i="2"/>
  <c r="AF2108" i="2"/>
  <c r="AE2108" i="2"/>
  <c r="AD2108" i="2"/>
  <c r="AC2108" i="2"/>
  <c r="AB2108" i="2"/>
  <c r="AA2108" i="2"/>
  <c r="Z2108" i="2"/>
  <c r="Y2108" i="2"/>
  <c r="X2108" i="2"/>
  <c r="V2108" i="2"/>
  <c r="U2108" i="2"/>
  <c r="T2108" i="2"/>
  <c r="S2108" i="2"/>
  <c r="R2108" i="2"/>
  <c r="Q2108" i="2"/>
  <c r="P2108" i="2"/>
  <c r="O2108" i="2"/>
  <c r="N2108" i="2"/>
  <c r="K2108" i="2"/>
  <c r="J2108" i="2"/>
  <c r="I2108" i="2"/>
  <c r="H2108" i="2"/>
  <c r="G2108" i="2"/>
  <c r="F2108" i="2"/>
  <c r="E2108" i="2"/>
  <c r="D2108" i="2"/>
  <c r="C2108" i="2"/>
  <c r="B2108" i="2"/>
  <c r="A2108" i="2"/>
  <c r="AI2107" i="2"/>
  <c r="AH2107" i="2"/>
  <c r="AG2107" i="2"/>
  <c r="AF2107" i="2"/>
  <c r="AE2107" i="2"/>
  <c r="AD2107" i="2"/>
  <c r="AC2107" i="2"/>
  <c r="AB2107" i="2"/>
  <c r="AA2107" i="2"/>
  <c r="Z2107" i="2"/>
  <c r="Y2107" i="2"/>
  <c r="X2107" i="2"/>
  <c r="W2107" i="2"/>
  <c r="V2107" i="2"/>
  <c r="U2107" i="2"/>
  <c r="T2107" i="2"/>
  <c r="S2107" i="2"/>
  <c r="R2107" i="2"/>
  <c r="Q2107" i="2"/>
  <c r="P2107" i="2"/>
  <c r="O2107" i="2"/>
  <c r="N2107" i="2"/>
  <c r="K2107" i="2"/>
  <c r="J2107" i="2"/>
  <c r="I2107" i="2"/>
  <c r="H2107" i="2"/>
  <c r="G2107" i="2"/>
  <c r="F2107" i="2"/>
  <c r="E2107" i="2"/>
  <c r="D2107" i="2"/>
  <c r="C2107" i="2"/>
  <c r="B2107" i="2"/>
  <c r="A2107" i="2"/>
  <c r="AI2106" i="2"/>
  <c r="AF2106" i="2"/>
  <c r="AE2106" i="2"/>
  <c r="AD2106" i="2"/>
  <c r="AC2106" i="2"/>
  <c r="AB2106" i="2"/>
  <c r="AA2106" i="2"/>
  <c r="Z2106" i="2"/>
  <c r="Y2106" i="2"/>
  <c r="X2106" i="2"/>
  <c r="W2106" i="2"/>
  <c r="V2106" i="2"/>
  <c r="U2106" i="2"/>
  <c r="T2106" i="2"/>
  <c r="S2106" i="2"/>
  <c r="R2106" i="2"/>
  <c r="Q2106" i="2"/>
  <c r="P2106" i="2"/>
  <c r="O2106" i="2"/>
  <c r="N2106" i="2"/>
  <c r="K2106" i="2"/>
  <c r="J2106" i="2"/>
  <c r="I2106" i="2"/>
  <c r="H2106" i="2"/>
  <c r="G2106" i="2"/>
  <c r="F2106" i="2"/>
  <c r="E2106" i="2"/>
  <c r="D2106" i="2"/>
  <c r="C2106" i="2"/>
  <c r="B2106" i="2"/>
  <c r="A2106" i="2"/>
  <c r="AI2105" i="2"/>
  <c r="AF2105" i="2"/>
  <c r="AE2105" i="2"/>
  <c r="AD2105" i="2"/>
  <c r="AC2105" i="2"/>
  <c r="AB2105" i="2"/>
  <c r="AA2105" i="2"/>
  <c r="Z2105" i="2"/>
  <c r="Y2105" i="2"/>
  <c r="X2105" i="2"/>
  <c r="W2105" i="2"/>
  <c r="V2105" i="2"/>
  <c r="U2105" i="2"/>
  <c r="T2105" i="2"/>
  <c r="S2105" i="2"/>
  <c r="R2105" i="2"/>
  <c r="Q2105" i="2"/>
  <c r="P2105" i="2"/>
  <c r="O2105" i="2"/>
  <c r="N2105" i="2"/>
  <c r="K2105" i="2"/>
  <c r="J2105" i="2"/>
  <c r="I2105" i="2"/>
  <c r="H2105" i="2"/>
  <c r="G2105" i="2"/>
  <c r="F2105" i="2"/>
  <c r="E2105" i="2"/>
  <c r="D2105" i="2"/>
  <c r="C2105" i="2"/>
  <c r="B2105" i="2"/>
  <c r="A2105" i="2"/>
  <c r="AI2104" i="2"/>
  <c r="AF2104" i="2"/>
  <c r="AE2104" i="2"/>
  <c r="AD2104" i="2"/>
  <c r="AC2104" i="2"/>
  <c r="AB2104" i="2"/>
  <c r="AA2104" i="2"/>
  <c r="Z2104" i="2"/>
  <c r="Y2104" i="2"/>
  <c r="X2104" i="2"/>
  <c r="V2104" i="2"/>
  <c r="U2104" i="2"/>
  <c r="T2104" i="2"/>
  <c r="S2104" i="2"/>
  <c r="R2104" i="2"/>
  <c r="Q2104" i="2"/>
  <c r="P2104" i="2"/>
  <c r="O2104" i="2"/>
  <c r="N2104" i="2"/>
  <c r="K2104" i="2"/>
  <c r="J2104" i="2"/>
  <c r="I2104" i="2"/>
  <c r="H2104" i="2"/>
  <c r="G2104" i="2"/>
  <c r="F2104" i="2"/>
  <c r="E2104" i="2"/>
  <c r="D2104" i="2"/>
  <c r="C2104" i="2"/>
  <c r="B2104" i="2"/>
  <c r="A2104" i="2"/>
  <c r="AJ2103" i="2"/>
  <c r="AI2103" i="2"/>
  <c r="AH2103" i="2"/>
  <c r="AG2103" i="2"/>
  <c r="AF2103" i="2"/>
  <c r="AE2103" i="2"/>
  <c r="AD2103" i="2"/>
  <c r="AC2103" i="2"/>
  <c r="AB2103" i="2"/>
  <c r="AA2103" i="2"/>
  <c r="Z2103" i="2"/>
  <c r="Y2103" i="2"/>
  <c r="X2103" i="2"/>
  <c r="W2103" i="2"/>
  <c r="V2103" i="2"/>
  <c r="U2103" i="2"/>
  <c r="T2103" i="2"/>
  <c r="S2103" i="2"/>
  <c r="R2103" i="2"/>
  <c r="Q2103" i="2"/>
  <c r="P2103" i="2"/>
  <c r="O2103" i="2"/>
  <c r="N2103" i="2"/>
  <c r="K2103" i="2"/>
  <c r="J2103" i="2"/>
  <c r="I2103" i="2"/>
  <c r="H2103" i="2"/>
  <c r="G2103" i="2"/>
  <c r="F2103" i="2"/>
  <c r="E2103" i="2"/>
  <c r="D2103" i="2"/>
  <c r="C2103" i="2"/>
  <c r="B2103" i="2"/>
  <c r="A2103" i="2"/>
  <c r="AI2102" i="2"/>
  <c r="AH2102" i="2"/>
  <c r="AG2102" i="2"/>
  <c r="AF2102" i="2"/>
  <c r="AE2102" i="2"/>
  <c r="AD2102" i="2"/>
  <c r="AC2102" i="2"/>
  <c r="AB2102" i="2"/>
  <c r="AA2102" i="2"/>
  <c r="Z2102" i="2"/>
  <c r="Y2102" i="2"/>
  <c r="V2102" i="2"/>
  <c r="U2102" i="2"/>
  <c r="T2102" i="2"/>
  <c r="S2102" i="2"/>
  <c r="R2102" i="2"/>
  <c r="Q2102" i="2"/>
  <c r="P2102" i="2"/>
  <c r="O2102" i="2"/>
  <c r="N2102" i="2"/>
  <c r="M2102" i="2"/>
  <c r="K2102" i="2"/>
  <c r="J2102" i="2"/>
  <c r="I2102" i="2"/>
  <c r="H2102" i="2"/>
  <c r="G2102" i="2"/>
  <c r="F2102" i="2"/>
  <c r="E2102" i="2"/>
  <c r="D2102" i="2"/>
  <c r="C2102" i="2"/>
  <c r="B2102" i="2"/>
  <c r="A2102" i="2"/>
  <c r="AI2101" i="2"/>
  <c r="AH2101" i="2"/>
  <c r="AG2101" i="2"/>
  <c r="AF2101" i="2"/>
  <c r="AE2101" i="2"/>
  <c r="AD2101" i="2"/>
  <c r="AC2101" i="2"/>
  <c r="AB2101" i="2"/>
  <c r="AA2101" i="2"/>
  <c r="Z2101" i="2"/>
  <c r="Y2101" i="2"/>
  <c r="X2101" i="2"/>
  <c r="W2101" i="2"/>
  <c r="V2101" i="2"/>
  <c r="U2101" i="2"/>
  <c r="T2101" i="2"/>
  <c r="S2101" i="2"/>
  <c r="R2101" i="2"/>
  <c r="Q2101" i="2"/>
  <c r="P2101" i="2"/>
  <c r="O2101" i="2"/>
  <c r="N2101" i="2"/>
  <c r="K2101" i="2"/>
  <c r="J2101" i="2"/>
  <c r="I2101" i="2"/>
  <c r="H2101" i="2"/>
  <c r="G2101" i="2"/>
  <c r="F2101" i="2"/>
  <c r="E2101" i="2"/>
  <c r="D2101" i="2"/>
  <c r="C2101" i="2"/>
  <c r="B2101" i="2"/>
  <c r="A2101" i="2"/>
  <c r="AI2100" i="2"/>
  <c r="AH2100" i="2"/>
  <c r="AG2100" i="2"/>
  <c r="AF2100" i="2"/>
  <c r="AE2100" i="2"/>
  <c r="AD2100" i="2"/>
  <c r="AB2100" i="2"/>
  <c r="AA2100" i="2"/>
  <c r="Z2100" i="2"/>
  <c r="Y2100" i="2"/>
  <c r="X2100" i="2"/>
  <c r="W2100" i="2"/>
  <c r="V2100" i="2"/>
  <c r="U2100" i="2"/>
  <c r="T2100" i="2"/>
  <c r="S2100" i="2"/>
  <c r="R2100" i="2"/>
  <c r="Q2100" i="2"/>
  <c r="P2100" i="2"/>
  <c r="O2100" i="2"/>
  <c r="N2100" i="2"/>
  <c r="K2100" i="2"/>
  <c r="J2100" i="2"/>
  <c r="I2100" i="2"/>
  <c r="H2100" i="2"/>
  <c r="G2100" i="2"/>
  <c r="F2100" i="2"/>
  <c r="E2100" i="2"/>
  <c r="D2100" i="2"/>
  <c r="C2100" i="2"/>
  <c r="B2100" i="2"/>
  <c r="A2100" i="2"/>
  <c r="AI2099" i="2"/>
  <c r="AH2099" i="2"/>
  <c r="AG2099" i="2"/>
  <c r="AF2099" i="2"/>
  <c r="AE2099" i="2"/>
  <c r="AD2099" i="2"/>
  <c r="AC2099" i="2"/>
  <c r="AB2099" i="2"/>
  <c r="AA2099" i="2"/>
  <c r="Z2099" i="2"/>
  <c r="Y2099" i="2"/>
  <c r="X2099" i="2"/>
  <c r="W2099" i="2"/>
  <c r="V2099" i="2"/>
  <c r="U2099" i="2"/>
  <c r="T2099" i="2"/>
  <c r="S2099" i="2"/>
  <c r="R2099" i="2"/>
  <c r="Q2099" i="2"/>
  <c r="P2099" i="2"/>
  <c r="O2099" i="2"/>
  <c r="N2099" i="2"/>
  <c r="K2099" i="2"/>
  <c r="J2099" i="2"/>
  <c r="I2099" i="2"/>
  <c r="H2099" i="2"/>
  <c r="G2099" i="2"/>
  <c r="F2099" i="2"/>
  <c r="E2099" i="2"/>
  <c r="D2099" i="2"/>
  <c r="C2099" i="2"/>
  <c r="B2099" i="2"/>
  <c r="A2099" i="2"/>
  <c r="AI2098" i="2"/>
  <c r="AF2098" i="2"/>
  <c r="AE2098" i="2"/>
  <c r="AD2098" i="2"/>
  <c r="AC2098" i="2"/>
  <c r="AA2098" i="2"/>
  <c r="Z2098" i="2"/>
  <c r="Y2098" i="2"/>
  <c r="X2098" i="2"/>
  <c r="V2098" i="2"/>
  <c r="U2098" i="2"/>
  <c r="T2098" i="2"/>
  <c r="S2098" i="2"/>
  <c r="R2098" i="2"/>
  <c r="Q2098" i="2"/>
  <c r="P2098" i="2"/>
  <c r="O2098" i="2"/>
  <c r="N2098" i="2"/>
  <c r="K2098" i="2"/>
  <c r="J2098" i="2"/>
  <c r="I2098" i="2"/>
  <c r="H2098" i="2"/>
  <c r="G2098" i="2"/>
  <c r="F2098" i="2"/>
  <c r="E2098" i="2"/>
  <c r="D2098" i="2"/>
  <c r="C2098" i="2"/>
  <c r="B2098" i="2"/>
  <c r="A2098" i="2"/>
  <c r="AJ2097" i="2"/>
  <c r="AI2097" i="2"/>
  <c r="AH2097" i="2"/>
  <c r="AG2097" i="2"/>
  <c r="AF2097" i="2"/>
  <c r="AE2097" i="2"/>
  <c r="AD2097" i="2"/>
  <c r="AC2097" i="2"/>
  <c r="AB2097" i="2"/>
  <c r="AA2097" i="2"/>
  <c r="Z2097" i="2"/>
  <c r="Y2097" i="2"/>
  <c r="X2097" i="2"/>
  <c r="W2097" i="2"/>
  <c r="V2097" i="2"/>
  <c r="U2097" i="2"/>
  <c r="T2097" i="2"/>
  <c r="S2097" i="2"/>
  <c r="R2097" i="2"/>
  <c r="Q2097" i="2"/>
  <c r="P2097" i="2"/>
  <c r="O2097" i="2"/>
  <c r="N2097" i="2"/>
  <c r="K2097" i="2"/>
  <c r="J2097" i="2"/>
  <c r="I2097" i="2"/>
  <c r="H2097" i="2"/>
  <c r="G2097" i="2"/>
  <c r="F2097" i="2"/>
  <c r="E2097" i="2"/>
  <c r="D2097" i="2"/>
  <c r="C2097" i="2"/>
  <c r="B2097" i="2"/>
  <c r="A2097" i="2"/>
  <c r="AI2096" i="2"/>
  <c r="AF2096" i="2"/>
  <c r="AE2096" i="2"/>
  <c r="AD2096" i="2"/>
  <c r="AC2096" i="2"/>
  <c r="AB2096" i="2"/>
  <c r="AA2096" i="2"/>
  <c r="Z2096" i="2"/>
  <c r="Y2096" i="2"/>
  <c r="X2096" i="2"/>
  <c r="V2096" i="2"/>
  <c r="U2096" i="2"/>
  <c r="T2096" i="2"/>
  <c r="S2096" i="2"/>
  <c r="R2096" i="2"/>
  <c r="Q2096" i="2"/>
  <c r="P2096" i="2"/>
  <c r="O2096" i="2"/>
  <c r="N2096" i="2"/>
  <c r="K2096" i="2"/>
  <c r="J2096" i="2"/>
  <c r="I2096" i="2"/>
  <c r="H2096" i="2"/>
  <c r="G2096" i="2"/>
  <c r="F2096" i="2"/>
  <c r="E2096" i="2"/>
  <c r="D2096" i="2"/>
  <c r="C2096" i="2"/>
  <c r="B2096" i="2"/>
  <c r="A2096" i="2"/>
  <c r="AI2095" i="2"/>
  <c r="AH2095" i="2"/>
  <c r="AG2095" i="2"/>
  <c r="AF2095" i="2"/>
  <c r="AE2095" i="2"/>
  <c r="AD2095" i="2"/>
  <c r="AC2095" i="2"/>
  <c r="AB2095" i="2"/>
  <c r="AA2095" i="2"/>
  <c r="Z2095" i="2"/>
  <c r="Y2095" i="2"/>
  <c r="X2095" i="2"/>
  <c r="W2095" i="2"/>
  <c r="V2095" i="2"/>
  <c r="U2095" i="2"/>
  <c r="T2095" i="2"/>
  <c r="S2095" i="2"/>
  <c r="R2095" i="2"/>
  <c r="Q2095" i="2"/>
  <c r="P2095" i="2"/>
  <c r="O2095" i="2"/>
  <c r="N2095" i="2"/>
  <c r="K2095" i="2"/>
  <c r="J2095" i="2"/>
  <c r="I2095" i="2"/>
  <c r="H2095" i="2"/>
  <c r="G2095" i="2"/>
  <c r="F2095" i="2"/>
  <c r="E2095" i="2"/>
  <c r="D2095" i="2"/>
  <c r="C2095" i="2"/>
  <c r="B2095" i="2"/>
  <c r="A2095" i="2"/>
  <c r="AI2094" i="2"/>
  <c r="AH2094" i="2"/>
  <c r="AG2094" i="2"/>
  <c r="AF2094" i="2"/>
  <c r="AE2094" i="2"/>
  <c r="AD2094" i="2"/>
  <c r="AB2094" i="2"/>
  <c r="AA2094" i="2"/>
  <c r="Z2094" i="2"/>
  <c r="Y2094" i="2"/>
  <c r="X2094" i="2"/>
  <c r="W2094" i="2"/>
  <c r="V2094" i="2"/>
  <c r="U2094" i="2"/>
  <c r="T2094" i="2"/>
  <c r="S2094" i="2"/>
  <c r="R2094" i="2"/>
  <c r="Q2094" i="2"/>
  <c r="P2094" i="2"/>
  <c r="O2094" i="2"/>
  <c r="N2094" i="2"/>
  <c r="K2094" i="2"/>
  <c r="J2094" i="2"/>
  <c r="I2094" i="2"/>
  <c r="H2094" i="2"/>
  <c r="G2094" i="2"/>
  <c r="F2094" i="2"/>
  <c r="E2094" i="2"/>
  <c r="D2094" i="2"/>
  <c r="C2094" i="2"/>
  <c r="B2094" i="2"/>
  <c r="A2094" i="2"/>
  <c r="AI2093" i="2"/>
  <c r="AH2093" i="2"/>
  <c r="AG2093" i="2"/>
  <c r="AF2093" i="2"/>
  <c r="AE2093" i="2"/>
  <c r="AD2093" i="2"/>
  <c r="AC2093" i="2"/>
  <c r="AB2093" i="2"/>
  <c r="AA2093" i="2"/>
  <c r="Z2093" i="2"/>
  <c r="Y2093" i="2"/>
  <c r="X2093" i="2"/>
  <c r="V2093" i="2"/>
  <c r="U2093" i="2"/>
  <c r="T2093" i="2"/>
  <c r="S2093" i="2"/>
  <c r="R2093" i="2"/>
  <c r="Q2093" i="2"/>
  <c r="P2093" i="2"/>
  <c r="O2093" i="2"/>
  <c r="N2093" i="2"/>
  <c r="K2093" i="2"/>
  <c r="J2093" i="2"/>
  <c r="I2093" i="2"/>
  <c r="H2093" i="2"/>
  <c r="G2093" i="2"/>
  <c r="F2093" i="2"/>
  <c r="E2093" i="2"/>
  <c r="D2093" i="2"/>
  <c r="C2093" i="2"/>
  <c r="B2093" i="2"/>
  <c r="A2093" i="2"/>
  <c r="AI2092" i="2"/>
  <c r="AH2092" i="2"/>
  <c r="AG2092" i="2"/>
  <c r="AF2092" i="2"/>
  <c r="AE2092" i="2"/>
  <c r="AD2092" i="2"/>
  <c r="AC2092" i="2"/>
  <c r="AB2092" i="2"/>
  <c r="AA2092" i="2"/>
  <c r="Z2092" i="2"/>
  <c r="Y2092" i="2"/>
  <c r="W2092" i="2"/>
  <c r="V2092" i="2"/>
  <c r="U2092" i="2"/>
  <c r="T2092" i="2"/>
  <c r="S2092" i="2"/>
  <c r="R2092" i="2"/>
  <c r="Q2092" i="2"/>
  <c r="P2092" i="2"/>
  <c r="O2092" i="2"/>
  <c r="N2092" i="2"/>
  <c r="K2092" i="2"/>
  <c r="J2092" i="2"/>
  <c r="I2092" i="2"/>
  <c r="H2092" i="2"/>
  <c r="G2092" i="2"/>
  <c r="F2092" i="2"/>
  <c r="E2092" i="2"/>
  <c r="D2092" i="2"/>
  <c r="C2092" i="2"/>
  <c r="B2092" i="2"/>
  <c r="A2092" i="2"/>
  <c r="AI2091" i="2"/>
  <c r="AH2091" i="2"/>
  <c r="AG2091" i="2"/>
  <c r="AF2091" i="2"/>
  <c r="AE2091" i="2"/>
  <c r="AD2091" i="2"/>
  <c r="AC2091" i="2"/>
  <c r="AB2091" i="2"/>
  <c r="AA2091" i="2"/>
  <c r="Z2091" i="2"/>
  <c r="Y2091" i="2"/>
  <c r="X2091" i="2"/>
  <c r="W2091" i="2"/>
  <c r="V2091" i="2"/>
  <c r="U2091" i="2"/>
  <c r="T2091" i="2"/>
  <c r="S2091" i="2"/>
  <c r="R2091" i="2"/>
  <c r="Q2091" i="2"/>
  <c r="P2091" i="2"/>
  <c r="O2091" i="2"/>
  <c r="N2091" i="2"/>
  <c r="K2091" i="2"/>
  <c r="J2091" i="2"/>
  <c r="I2091" i="2"/>
  <c r="H2091" i="2"/>
  <c r="G2091" i="2"/>
  <c r="F2091" i="2"/>
  <c r="E2091" i="2"/>
  <c r="D2091" i="2"/>
  <c r="C2091" i="2"/>
  <c r="B2091" i="2"/>
  <c r="A2091" i="2"/>
  <c r="AI2090" i="2"/>
  <c r="AH2090" i="2"/>
  <c r="AG2090" i="2"/>
  <c r="AF2090" i="2"/>
  <c r="AE2090" i="2"/>
  <c r="AD2090" i="2"/>
  <c r="AC2090" i="2"/>
  <c r="AB2090" i="2"/>
  <c r="AA2090" i="2"/>
  <c r="Z2090" i="2"/>
  <c r="Y2090" i="2"/>
  <c r="X2090" i="2"/>
  <c r="W2090" i="2"/>
  <c r="V2090" i="2"/>
  <c r="U2090" i="2"/>
  <c r="T2090" i="2"/>
  <c r="S2090" i="2"/>
  <c r="R2090" i="2"/>
  <c r="Q2090" i="2"/>
  <c r="P2090" i="2"/>
  <c r="O2090" i="2"/>
  <c r="N2090" i="2"/>
  <c r="K2090" i="2"/>
  <c r="J2090" i="2"/>
  <c r="I2090" i="2"/>
  <c r="H2090" i="2"/>
  <c r="G2090" i="2"/>
  <c r="F2090" i="2"/>
  <c r="E2090" i="2"/>
  <c r="D2090" i="2"/>
  <c r="C2090" i="2"/>
  <c r="B2090" i="2"/>
  <c r="A2090" i="2"/>
  <c r="AJ2089" i="2"/>
  <c r="AI2089" i="2"/>
  <c r="AH2089" i="2"/>
  <c r="AG2089" i="2"/>
  <c r="AF2089" i="2"/>
  <c r="AE2089" i="2"/>
  <c r="AD2089" i="2"/>
  <c r="AC2089" i="2"/>
  <c r="AB2089" i="2"/>
  <c r="AA2089" i="2"/>
  <c r="Z2089" i="2"/>
  <c r="Y2089" i="2"/>
  <c r="W2089" i="2"/>
  <c r="V2089" i="2"/>
  <c r="U2089" i="2"/>
  <c r="T2089" i="2"/>
  <c r="S2089" i="2"/>
  <c r="R2089" i="2"/>
  <c r="Q2089" i="2"/>
  <c r="P2089" i="2"/>
  <c r="O2089" i="2"/>
  <c r="N2089" i="2"/>
  <c r="K2089" i="2"/>
  <c r="J2089" i="2"/>
  <c r="I2089" i="2"/>
  <c r="H2089" i="2"/>
  <c r="G2089" i="2"/>
  <c r="F2089" i="2"/>
  <c r="E2089" i="2"/>
  <c r="D2089" i="2"/>
  <c r="C2089" i="2"/>
  <c r="B2089" i="2"/>
  <c r="A2089" i="2"/>
  <c r="AI2088" i="2"/>
  <c r="AH2088" i="2"/>
  <c r="AG2088" i="2"/>
  <c r="AF2088" i="2"/>
  <c r="AE2088" i="2"/>
  <c r="AD2088" i="2"/>
  <c r="AB2088" i="2"/>
  <c r="AA2088" i="2"/>
  <c r="Z2088" i="2"/>
  <c r="Y2088" i="2"/>
  <c r="X2088" i="2"/>
  <c r="V2088" i="2"/>
  <c r="U2088" i="2"/>
  <c r="T2088" i="2"/>
  <c r="S2088" i="2"/>
  <c r="R2088" i="2"/>
  <c r="Q2088" i="2"/>
  <c r="P2088" i="2"/>
  <c r="O2088" i="2"/>
  <c r="N2088" i="2"/>
  <c r="K2088" i="2"/>
  <c r="J2088" i="2"/>
  <c r="I2088" i="2"/>
  <c r="H2088" i="2"/>
  <c r="G2088" i="2"/>
  <c r="F2088" i="2"/>
  <c r="E2088" i="2"/>
  <c r="D2088" i="2"/>
  <c r="C2088" i="2"/>
  <c r="B2088" i="2"/>
  <c r="A2088" i="2"/>
  <c r="AI2087" i="2"/>
  <c r="AH2087" i="2"/>
  <c r="AG2087" i="2"/>
  <c r="AF2087" i="2"/>
  <c r="AE2087" i="2"/>
  <c r="AD2087" i="2"/>
  <c r="AC2087" i="2"/>
  <c r="AB2087" i="2"/>
  <c r="AA2087" i="2"/>
  <c r="Z2087" i="2"/>
  <c r="Y2087" i="2"/>
  <c r="X2087" i="2"/>
  <c r="W2087" i="2"/>
  <c r="V2087" i="2"/>
  <c r="U2087" i="2"/>
  <c r="S2087" i="2"/>
  <c r="R2087" i="2"/>
  <c r="Q2087" i="2"/>
  <c r="P2087" i="2"/>
  <c r="O2087" i="2"/>
  <c r="N2087" i="2"/>
  <c r="K2087" i="2"/>
  <c r="J2087" i="2"/>
  <c r="I2087" i="2"/>
  <c r="H2087" i="2"/>
  <c r="G2087" i="2"/>
  <c r="F2087" i="2"/>
  <c r="E2087" i="2"/>
  <c r="D2087" i="2"/>
  <c r="C2087" i="2"/>
  <c r="B2087" i="2"/>
  <c r="A2087" i="2"/>
  <c r="AI2086" i="2"/>
  <c r="AH2086" i="2"/>
  <c r="AG2086" i="2"/>
  <c r="AF2086" i="2"/>
  <c r="AE2086" i="2"/>
  <c r="AD2086" i="2"/>
  <c r="AC2086" i="2"/>
  <c r="AB2086" i="2"/>
  <c r="AA2086" i="2"/>
  <c r="Z2086" i="2"/>
  <c r="Y2086" i="2"/>
  <c r="X2086" i="2"/>
  <c r="U2086" i="2"/>
  <c r="T2086" i="2"/>
  <c r="S2086" i="2"/>
  <c r="R2086" i="2"/>
  <c r="Q2086" i="2"/>
  <c r="P2086" i="2"/>
  <c r="O2086" i="2"/>
  <c r="N2086" i="2"/>
  <c r="K2086" i="2"/>
  <c r="J2086" i="2"/>
  <c r="I2086" i="2"/>
  <c r="H2086" i="2"/>
  <c r="G2086" i="2"/>
  <c r="F2086" i="2"/>
  <c r="E2086" i="2"/>
  <c r="D2086" i="2"/>
  <c r="C2086" i="2"/>
  <c r="B2086" i="2"/>
  <c r="A2086" i="2"/>
  <c r="AI2085" i="2"/>
  <c r="AH2085" i="2"/>
  <c r="AG2085" i="2"/>
  <c r="AF2085" i="2"/>
  <c r="AE2085" i="2"/>
  <c r="AD2085" i="2"/>
  <c r="AB2085" i="2"/>
  <c r="AA2085" i="2"/>
  <c r="Z2085" i="2"/>
  <c r="Y2085" i="2"/>
  <c r="X2085" i="2"/>
  <c r="V2085" i="2"/>
  <c r="U2085" i="2"/>
  <c r="T2085" i="2"/>
  <c r="S2085" i="2"/>
  <c r="R2085" i="2"/>
  <c r="Q2085" i="2"/>
  <c r="P2085" i="2"/>
  <c r="O2085" i="2"/>
  <c r="N2085" i="2"/>
  <c r="K2085" i="2"/>
  <c r="J2085" i="2"/>
  <c r="I2085" i="2"/>
  <c r="H2085" i="2"/>
  <c r="G2085" i="2"/>
  <c r="F2085" i="2"/>
  <c r="E2085" i="2"/>
  <c r="D2085" i="2"/>
  <c r="C2085" i="2"/>
  <c r="B2085" i="2"/>
  <c r="A2085" i="2"/>
  <c r="AH2084" i="2"/>
  <c r="AG2084" i="2"/>
  <c r="AF2084" i="2"/>
  <c r="AE2084" i="2"/>
  <c r="AD2084" i="2"/>
  <c r="AC2084" i="2"/>
  <c r="AA2084" i="2"/>
  <c r="Z2084" i="2"/>
  <c r="Y2084" i="2"/>
  <c r="X2084" i="2"/>
  <c r="V2084" i="2"/>
  <c r="U2084" i="2"/>
  <c r="T2084" i="2"/>
  <c r="S2084" i="2"/>
  <c r="R2084" i="2"/>
  <c r="Q2084" i="2"/>
  <c r="P2084" i="2"/>
  <c r="O2084" i="2"/>
  <c r="N2084" i="2"/>
  <c r="K2084" i="2"/>
  <c r="J2084" i="2"/>
  <c r="I2084" i="2"/>
  <c r="H2084" i="2"/>
  <c r="G2084" i="2"/>
  <c r="F2084" i="2"/>
  <c r="E2084" i="2"/>
  <c r="D2084" i="2"/>
  <c r="C2084" i="2"/>
  <c r="B2084" i="2"/>
  <c r="A2084" i="2"/>
  <c r="AI2083" i="2"/>
  <c r="AH2083" i="2"/>
  <c r="AG2083" i="2"/>
  <c r="AF2083" i="2"/>
  <c r="AE2083" i="2"/>
  <c r="AD2083" i="2"/>
  <c r="AB2083" i="2"/>
  <c r="AA2083" i="2"/>
  <c r="Z2083" i="2"/>
  <c r="Y2083" i="2"/>
  <c r="X2083" i="2"/>
  <c r="V2083" i="2"/>
  <c r="U2083" i="2"/>
  <c r="T2083" i="2"/>
  <c r="S2083" i="2"/>
  <c r="R2083" i="2"/>
  <c r="Q2083" i="2"/>
  <c r="P2083" i="2"/>
  <c r="O2083" i="2"/>
  <c r="N2083" i="2"/>
  <c r="K2083" i="2"/>
  <c r="J2083" i="2"/>
  <c r="I2083" i="2"/>
  <c r="H2083" i="2"/>
  <c r="G2083" i="2"/>
  <c r="F2083" i="2"/>
  <c r="E2083" i="2"/>
  <c r="D2083" i="2"/>
  <c r="C2083" i="2"/>
  <c r="B2083" i="2"/>
  <c r="A2083" i="2"/>
  <c r="AI2082" i="2"/>
  <c r="AH2082" i="2"/>
  <c r="AG2082" i="2"/>
  <c r="AF2082" i="2"/>
  <c r="AE2082" i="2"/>
  <c r="AD2082" i="2"/>
  <c r="AC2082" i="2"/>
  <c r="AB2082" i="2"/>
  <c r="AA2082" i="2"/>
  <c r="Z2082" i="2"/>
  <c r="Y2082" i="2"/>
  <c r="X2082" i="2"/>
  <c r="W2082" i="2"/>
  <c r="V2082" i="2"/>
  <c r="U2082" i="2"/>
  <c r="T2082" i="2"/>
  <c r="S2082" i="2"/>
  <c r="R2082" i="2"/>
  <c r="Q2082" i="2"/>
  <c r="P2082" i="2"/>
  <c r="O2082" i="2"/>
  <c r="N2082" i="2"/>
  <c r="K2082" i="2"/>
  <c r="J2082" i="2"/>
  <c r="I2082" i="2"/>
  <c r="H2082" i="2"/>
  <c r="G2082" i="2"/>
  <c r="F2082" i="2"/>
  <c r="E2082" i="2"/>
  <c r="D2082" i="2"/>
  <c r="C2082" i="2"/>
  <c r="B2082" i="2"/>
  <c r="A2082" i="2"/>
  <c r="AJ2081" i="2"/>
  <c r="AI2081" i="2"/>
  <c r="AH2081" i="2"/>
  <c r="AG2081" i="2"/>
  <c r="AF2081" i="2"/>
  <c r="AE2081" i="2"/>
  <c r="AD2081" i="2"/>
  <c r="AC2081" i="2"/>
  <c r="AB2081" i="2"/>
  <c r="AA2081" i="2"/>
  <c r="Z2081" i="2"/>
  <c r="Y2081" i="2"/>
  <c r="W2081" i="2"/>
  <c r="V2081" i="2"/>
  <c r="U2081" i="2"/>
  <c r="T2081" i="2"/>
  <c r="S2081" i="2"/>
  <c r="R2081" i="2"/>
  <c r="Q2081" i="2"/>
  <c r="P2081" i="2"/>
  <c r="O2081" i="2"/>
  <c r="N2081" i="2"/>
  <c r="K2081" i="2"/>
  <c r="J2081" i="2"/>
  <c r="I2081" i="2"/>
  <c r="H2081" i="2"/>
  <c r="G2081" i="2"/>
  <c r="F2081" i="2"/>
  <c r="E2081" i="2"/>
  <c r="D2081" i="2"/>
  <c r="C2081" i="2"/>
  <c r="B2081" i="2"/>
  <c r="A2081" i="2"/>
  <c r="AI2080" i="2"/>
  <c r="AH2080" i="2"/>
  <c r="AG2080" i="2"/>
  <c r="AF2080" i="2"/>
  <c r="AE2080" i="2"/>
  <c r="AD2080" i="2"/>
  <c r="AC2080" i="2"/>
  <c r="AB2080" i="2"/>
  <c r="AA2080" i="2"/>
  <c r="Z2080" i="2"/>
  <c r="Y2080" i="2"/>
  <c r="X2080" i="2"/>
  <c r="V2080" i="2"/>
  <c r="U2080" i="2"/>
  <c r="T2080" i="2"/>
  <c r="S2080" i="2"/>
  <c r="R2080" i="2"/>
  <c r="Q2080" i="2"/>
  <c r="P2080" i="2"/>
  <c r="O2080" i="2"/>
  <c r="N2080" i="2"/>
  <c r="M2080" i="2"/>
  <c r="K2080" i="2"/>
  <c r="J2080" i="2"/>
  <c r="I2080" i="2"/>
  <c r="H2080" i="2"/>
  <c r="G2080" i="2"/>
  <c r="F2080" i="2"/>
  <c r="E2080" i="2"/>
  <c r="D2080" i="2"/>
  <c r="C2080" i="2"/>
  <c r="B2080" i="2"/>
  <c r="A2080" i="2"/>
  <c r="AI2079" i="2"/>
  <c r="AH2079" i="2"/>
  <c r="AG2079" i="2"/>
  <c r="AF2079" i="2"/>
  <c r="AE2079" i="2"/>
  <c r="AD2079" i="2"/>
  <c r="AC2079" i="2"/>
  <c r="AB2079" i="2"/>
  <c r="AA2079" i="2"/>
  <c r="Z2079" i="2"/>
  <c r="Y2079" i="2"/>
  <c r="X2079" i="2"/>
  <c r="W2079" i="2"/>
  <c r="V2079" i="2"/>
  <c r="U2079" i="2"/>
  <c r="T2079" i="2"/>
  <c r="S2079" i="2"/>
  <c r="R2079" i="2"/>
  <c r="Q2079" i="2"/>
  <c r="P2079" i="2"/>
  <c r="O2079" i="2"/>
  <c r="N2079" i="2"/>
  <c r="K2079" i="2"/>
  <c r="J2079" i="2"/>
  <c r="I2079" i="2"/>
  <c r="H2079" i="2"/>
  <c r="G2079" i="2"/>
  <c r="F2079" i="2"/>
  <c r="E2079" i="2"/>
  <c r="D2079" i="2"/>
  <c r="C2079" i="2"/>
  <c r="B2079" i="2"/>
  <c r="A2079" i="2"/>
  <c r="AI2078" i="2"/>
  <c r="AH2078" i="2"/>
  <c r="AG2078" i="2"/>
  <c r="AF2078" i="2"/>
  <c r="AE2078" i="2"/>
  <c r="AD2078" i="2"/>
  <c r="AC2078" i="2"/>
  <c r="AB2078" i="2"/>
  <c r="AA2078" i="2"/>
  <c r="Z2078" i="2"/>
  <c r="Y2078" i="2"/>
  <c r="X2078" i="2"/>
  <c r="W2078" i="2"/>
  <c r="V2078" i="2"/>
  <c r="U2078" i="2"/>
  <c r="T2078" i="2"/>
  <c r="S2078" i="2"/>
  <c r="R2078" i="2"/>
  <c r="Q2078" i="2"/>
  <c r="P2078" i="2"/>
  <c r="O2078" i="2"/>
  <c r="N2078" i="2"/>
  <c r="K2078" i="2"/>
  <c r="J2078" i="2"/>
  <c r="I2078" i="2"/>
  <c r="H2078" i="2"/>
  <c r="G2078" i="2"/>
  <c r="F2078" i="2"/>
  <c r="E2078" i="2"/>
  <c r="D2078" i="2"/>
  <c r="C2078" i="2"/>
  <c r="B2078" i="2"/>
  <c r="A2078" i="2"/>
  <c r="AI2077" i="2"/>
  <c r="AH2077" i="2"/>
  <c r="AG2077" i="2"/>
  <c r="AF2077" i="2"/>
  <c r="AE2077" i="2"/>
  <c r="AD2077" i="2"/>
  <c r="AC2077" i="2"/>
  <c r="AB2077" i="2"/>
  <c r="AA2077" i="2"/>
  <c r="Z2077" i="2"/>
  <c r="Y2077" i="2"/>
  <c r="X2077" i="2"/>
  <c r="U2077" i="2"/>
  <c r="T2077" i="2"/>
  <c r="S2077" i="2"/>
  <c r="R2077" i="2"/>
  <c r="Q2077" i="2"/>
  <c r="P2077" i="2"/>
  <c r="O2077" i="2"/>
  <c r="N2077" i="2"/>
  <c r="K2077" i="2"/>
  <c r="J2077" i="2"/>
  <c r="I2077" i="2"/>
  <c r="H2077" i="2"/>
  <c r="G2077" i="2"/>
  <c r="F2077" i="2"/>
  <c r="E2077" i="2"/>
  <c r="D2077" i="2"/>
  <c r="C2077" i="2"/>
  <c r="B2077" i="2"/>
  <c r="A2077" i="2"/>
  <c r="AI2076" i="2"/>
  <c r="AH2076" i="2"/>
  <c r="AG2076" i="2"/>
  <c r="AF2076" i="2"/>
  <c r="AE2076" i="2"/>
  <c r="AD2076" i="2"/>
  <c r="AC2076" i="2"/>
  <c r="AB2076" i="2"/>
  <c r="AA2076" i="2"/>
  <c r="Z2076" i="2"/>
  <c r="Y2076" i="2"/>
  <c r="X2076" i="2"/>
  <c r="W2076" i="2"/>
  <c r="V2076" i="2"/>
  <c r="U2076" i="2"/>
  <c r="T2076" i="2"/>
  <c r="S2076" i="2"/>
  <c r="R2076" i="2"/>
  <c r="Q2076" i="2"/>
  <c r="P2076" i="2"/>
  <c r="O2076" i="2"/>
  <c r="N2076" i="2"/>
  <c r="K2076" i="2"/>
  <c r="J2076" i="2"/>
  <c r="I2076" i="2"/>
  <c r="H2076" i="2"/>
  <c r="G2076" i="2"/>
  <c r="F2076" i="2"/>
  <c r="E2076" i="2"/>
  <c r="D2076" i="2"/>
  <c r="C2076" i="2"/>
  <c r="B2076" i="2"/>
  <c r="A2076" i="2"/>
  <c r="AI2075" i="2"/>
  <c r="AH2075" i="2"/>
  <c r="AG2075" i="2"/>
  <c r="AF2075" i="2"/>
  <c r="AE2075" i="2"/>
  <c r="AD2075" i="2"/>
  <c r="AC2075" i="2"/>
  <c r="AB2075" i="2"/>
  <c r="AA2075" i="2"/>
  <c r="Z2075" i="2"/>
  <c r="Y2075" i="2"/>
  <c r="X2075" i="2"/>
  <c r="V2075" i="2"/>
  <c r="U2075" i="2"/>
  <c r="T2075" i="2"/>
  <c r="S2075" i="2"/>
  <c r="R2075" i="2"/>
  <c r="Q2075" i="2"/>
  <c r="P2075" i="2"/>
  <c r="O2075" i="2"/>
  <c r="N2075" i="2"/>
  <c r="K2075" i="2"/>
  <c r="J2075" i="2"/>
  <c r="I2075" i="2"/>
  <c r="H2075" i="2"/>
  <c r="G2075" i="2"/>
  <c r="F2075" i="2"/>
  <c r="E2075" i="2"/>
  <c r="D2075" i="2"/>
  <c r="C2075" i="2"/>
  <c r="B2075" i="2"/>
  <c r="A2075" i="2"/>
  <c r="AI2074" i="2"/>
  <c r="AH2074" i="2"/>
  <c r="AG2074" i="2"/>
  <c r="AF2074" i="2"/>
  <c r="AE2074" i="2"/>
  <c r="AD2074" i="2"/>
  <c r="AB2074" i="2"/>
  <c r="AA2074" i="2"/>
  <c r="Z2074" i="2"/>
  <c r="Y2074" i="2"/>
  <c r="X2074" i="2"/>
  <c r="W2074" i="2"/>
  <c r="V2074" i="2"/>
  <c r="U2074" i="2"/>
  <c r="T2074" i="2"/>
  <c r="S2074" i="2"/>
  <c r="R2074" i="2"/>
  <c r="Q2074" i="2"/>
  <c r="P2074" i="2"/>
  <c r="O2074" i="2"/>
  <c r="N2074" i="2"/>
  <c r="K2074" i="2"/>
  <c r="J2074" i="2"/>
  <c r="I2074" i="2"/>
  <c r="H2074" i="2"/>
  <c r="G2074" i="2"/>
  <c r="F2074" i="2"/>
  <c r="E2074" i="2"/>
  <c r="D2074" i="2"/>
  <c r="C2074" i="2"/>
  <c r="B2074" i="2"/>
  <c r="A2074" i="2"/>
  <c r="AI2073" i="2"/>
  <c r="AH2073" i="2"/>
  <c r="AG2073" i="2"/>
  <c r="AF2073" i="2"/>
  <c r="AE2073" i="2"/>
  <c r="AD2073" i="2"/>
  <c r="AC2073" i="2"/>
  <c r="AB2073" i="2"/>
  <c r="AA2073" i="2"/>
  <c r="Z2073" i="2"/>
  <c r="Y2073" i="2"/>
  <c r="X2073" i="2"/>
  <c r="V2073" i="2"/>
  <c r="U2073" i="2"/>
  <c r="T2073" i="2"/>
  <c r="S2073" i="2"/>
  <c r="R2073" i="2"/>
  <c r="Q2073" i="2"/>
  <c r="P2073" i="2"/>
  <c r="O2073" i="2"/>
  <c r="N2073" i="2"/>
  <c r="K2073" i="2"/>
  <c r="J2073" i="2"/>
  <c r="I2073" i="2"/>
  <c r="H2073" i="2"/>
  <c r="G2073" i="2"/>
  <c r="F2073" i="2"/>
  <c r="E2073" i="2"/>
  <c r="D2073" i="2"/>
  <c r="C2073" i="2"/>
  <c r="B2073" i="2"/>
  <c r="A2073" i="2"/>
  <c r="AI2072" i="2"/>
  <c r="AH2072" i="2"/>
  <c r="AG2072" i="2"/>
  <c r="AF2072" i="2"/>
  <c r="AE2072" i="2"/>
  <c r="AD2072" i="2"/>
  <c r="AC2072" i="2"/>
  <c r="AB2072" i="2"/>
  <c r="AA2072" i="2"/>
  <c r="Z2072" i="2"/>
  <c r="Y2072" i="2"/>
  <c r="X2072" i="2"/>
  <c r="U2072" i="2"/>
  <c r="T2072" i="2"/>
  <c r="S2072" i="2"/>
  <c r="R2072" i="2"/>
  <c r="Q2072" i="2"/>
  <c r="P2072" i="2"/>
  <c r="O2072" i="2"/>
  <c r="N2072" i="2"/>
  <c r="K2072" i="2"/>
  <c r="J2072" i="2"/>
  <c r="I2072" i="2"/>
  <c r="H2072" i="2"/>
  <c r="G2072" i="2"/>
  <c r="F2072" i="2"/>
  <c r="E2072" i="2"/>
  <c r="D2072" i="2"/>
  <c r="C2072" i="2"/>
  <c r="B2072" i="2"/>
  <c r="A2072" i="2"/>
  <c r="AI2071" i="2"/>
  <c r="AH2071" i="2"/>
  <c r="AG2071" i="2"/>
  <c r="AF2071" i="2"/>
  <c r="AE2071" i="2"/>
  <c r="AD2071" i="2"/>
  <c r="AC2071" i="2"/>
  <c r="AB2071" i="2"/>
  <c r="AA2071" i="2"/>
  <c r="Z2071" i="2"/>
  <c r="Y2071" i="2"/>
  <c r="X2071" i="2"/>
  <c r="W2071" i="2"/>
  <c r="V2071" i="2"/>
  <c r="U2071" i="2"/>
  <c r="T2071" i="2"/>
  <c r="S2071" i="2"/>
  <c r="R2071" i="2"/>
  <c r="Q2071" i="2"/>
  <c r="P2071" i="2"/>
  <c r="O2071" i="2"/>
  <c r="N2071" i="2"/>
  <c r="K2071" i="2"/>
  <c r="J2071" i="2"/>
  <c r="I2071" i="2"/>
  <c r="H2071" i="2"/>
  <c r="G2071" i="2"/>
  <c r="F2071" i="2"/>
  <c r="E2071" i="2"/>
  <c r="D2071" i="2"/>
  <c r="C2071" i="2"/>
  <c r="B2071" i="2"/>
  <c r="A2071" i="2"/>
  <c r="AI2070" i="2"/>
  <c r="AH2070" i="2"/>
  <c r="AF2070" i="2"/>
  <c r="AE2070" i="2"/>
  <c r="AD2070" i="2"/>
  <c r="AB2070" i="2"/>
  <c r="AA2070" i="2"/>
  <c r="Z2070" i="2"/>
  <c r="Y2070" i="2"/>
  <c r="X2070" i="2"/>
  <c r="W2070" i="2"/>
  <c r="V2070" i="2"/>
  <c r="U2070" i="2"/>
  <c r="T2070" i="2"/>
  <c r="S2070" i="2"/>
  <c r="R2070" i="2"/>
  <c r="Q2070" i="2"/>
  <c r="P2070" i="2"/>
  <c r="O2070" i="2"/>
  <c r="N2070" i="2"/>
  <c r="K2070" i="2"/>
  <c r="J2070" i="2"/>
  <c r="I2070" i="2"/>
  <c r="H2070" i="2"/>
  <c r="G2070" i="2"/>
  <c r="F2070" i="2"/>
  <c r="E2070" i="2"/>
  <c r="D2070" i="2"/>
  <c r="C2070" i="2"/>
  <c r="B2070" i="2"/>
  <c r="A2070" i="2"/>
  <c r="AI2069" i="2"/>
  <c r="AH2069" i="2"/>
  <c r="AG2069" i="2"/>
  <c r="AF2069" i="2"/>
  <c r="AE2069" i="2"/>
  <c r="AD2069" i="2"/>
  <c r="AC2069" i="2"/>
  <c r="AB2069" i="2"/>
  <c r="AA2069" i="2"/>
  <c r="Z2069" i="2"/>
  <c r="Y2069" i="2"/>
  <c r="X2069" i="2"/>
  <c r="V2069" i="2"/>
  <c r="U2069" i="2"/>
  <c r="T2069" i="2"/>
  <c r="S2069" i="2"/>
  <c r="R2069" i="2"/>
  <c r="Q2069" i="2"/>
  <c r="P2069" i="2"/>
  <c r="O2069" i="2"/>
  <c r="N2069" i="2"/>
  <c r="K2069" i="2"/>
  <c r="J2069" i="2"/>
  <c r="I2069" i="2"/>
  <c r="H2069" i="2"/>
  <c r="G2069" i="2"/>
  <c r="F2069" i="2"/>
  <c r="E2069" i="2"/>
  <c r="D2069" i="2"/>
  <c r="C2069" i="2"/>
  <c r="B2069" i="2"/>
  <c r="A2069" i="2"/>
  <c r="AI2068" i="2"/>
  <c r="AH2068" i="2"/>
  <c r="AG2068" i="2"/>
  <c r="AF2068" i="2"/>
  <c r="AE2068" i="2"/>
  <c r="AD2068" i="2"/>
  <c r="AC2068" i="2"/>
  <c r="AB2068" i="2"/>
  <c r="AA2068" i="2"/>
  <c r="Z2068" i="2"/>
  <c r="Y2068" i="2"/>
  <c r="X2068" i="2"/>
  <c r="W2068" i="2"/>
  <c r="V2068" i="2"/>
  <c r="U2068" i="2"/>
  <c r="T2068" i="2"/>
  <c r="S2068" i="2"/>
  <c r="R2068" i="2"/>
  <c r="Q2068" i="2"/>
  <c r="P2068" i="2"/>
  <c r="O2068" i="2"/>
  <c r="N2068" i="2"/>
  <c r="K2068" i="2"/>
  <c r="J2068" i="2"/>
  <c r="I2068" i="2"/>
  <c r="H2068" i="2"/>
  <c r="G2068" i="2"/>
  <c r="F2068" i="2"/>
  <c r="E2068" i="2"/>
  <c r="D2068" i="2"/>
  <c r="C2068" i="2"/>
  <c r="B2068" i="2"/>
  <c r="A2068" i="2"/>
  <c r="AI2067" i="2"/>
  <c r="AH2067" i="2"/>
  <c r="AG2067" i="2"/>
  <c r="AF2067" i="2"/>
  <c r="AE2067" i="2"/>
  <c r="AD2067" i="2"/>
  <c r="AC2067" i="2"/>
  <c r="AB2067" i="2"/>
  <c r="AA2067" i="2"/>
  <c r="Z2067" i="2"/>
  <c r="Y2067" i="2"/>
  <c r="X2067" i="2"/>
  <c r="W2067" i="2"/>
  <c r="V2067" i="2"/>
  <c r="U2067" i="2"/>
  <c r="T2067" i="2"/>
  <c r="S2067" i="2"/>
  <c r="R2067" i="2"/>
  <c r="Q2067" i="2"/>
  <c r="P2067" i="2"/>
  <c r="O2067" i="2"/>
  <c r="N2067" i="2"/>
  <c r="K2067" i="2"/>
  <c r="J2067" i="2"/>
  <c r="I2067" i="2"/>
  <c r="H2067" i="2"/>
  <c r="G2067" i="2"/>
  <c r="F2067" i="2"/>
  <c r="E2067" i="2"/>
  <c r="D2067" i="2"/>
  <c r="C2067" i="2"/>
  <c r="B2067" i="2"/>
  <c r="A2067" i="2"/>
  <c r="AI2066" i="2"/>
  <c r="AH2066" i="2"/>
  <c r="AG2066" i="2"/>
  <c r="AF2066" i="2"/>
  <c r="AE2066" i="2"/>
  <c r="AD2066" i="2"/>
  <c r="AC2066" i="2"/>
  <c r="AB2066" i="2"/>
  <c r="AA2066" i="2"/>
  <c r="Z2066" i="2"/>
  <c r="Y2066" i="2"/>
  <c r="X2066" i="2"/>
  <c r="V2066" i="2"/>
  <c r="U2066" i="2"/>
  <c r="T2066" i="2"/>
  <c r="S2066" i="2"/>
  <c r="R2066" i="2"/>
  <c r="Q2066" i="2"/>
  <c r="P2066" i="2"/>
  <c r="O2066" i="2"/>
  <c r="N2066" i="2"/>
  <c r="K2066" i="2"/>
  <c r="J2066" i="2"/>
  <c r="I2066" i="2"/>
  <c r="H2066" i="2"/>
  <c r="G2066" i="2"/>
  <c r="F2066" i="2"/>
  <c r="E2066" i="2"/>
  <c r="D2066" i="2"/>
  <c r="C2066" i="2"/>
  <c r="B2066" i="2"/>
  <c r="A2066" i="2"/>
  <c r="AI2065" i="2"/>
  <c r="AH2065" i="2"/>
  <c r="AG2065" i="2"/>
  <c r="AF2065" i="2"/>
  <c r="AE2065" i="2"/>
  <c r="AD2065" i="2"/>
  <c r="AC2065" i="2"/>
  <c r="AB2065" i="2"/>
  <c r="AA2065" i="2"/>
  <c r="Z2065" i="2"/>
  <c r="Y2065" i="2"/>
  <c r="X2065" i="2"/>
  <c r="W2065" i="2"/>
  <c r="V2065" i="2"/>
  <c r="U2065" i="2"/>
  <c r="T2065" i="2"/>
  <c r="S2065" i="2"/>
  <c r="R2065" i="2"/>
  <c r="Q2065" i="2"/>
  <c r="P2065" i="2"/>
  <c r="O2065" i="2"/>
  <c r="N2065" i="2"/>
  <c r="K2065" i="2"/>
  <c r="J2065" i="2"/>
  <c r="I2065" i="2"/>
  <c r="H2065" i="2"/>
  <c r="G2065" i="2"/>
  <c r="F2065" i="2"/>
  <c r="E2065" i="2"/>
  <c r="D2065" i="2"/>
  <c r="C2065" i="2"/>
  <c r="B2065" i="2"/>
  <c r="A2065" i="2"/>
  <c r="AI2064" i="2"/>
  <c r="AH2064" i="2"/>
  <c r="AG2064" i="2"/>
  <c r="AF2064" i="2"/>
  <c r="AE2064" i="2"/>
  <c r="AD2064" i="2"/>
  <c r="AC2064" i="2"/>
  <c r="AB2064" i="2"/>
  <c r="AA2064" i="2"/>
  <c r="Z2064" i="2"/>
  <c r="Y2064" i="2"/>
  <c r="X2064" i="2"/>
  <c r="V2064" i="2"/>
  <c r="U2064" i="2"/>
  <c r="T2064" i="2"/>
  <c r="S2064" i="2"/>
  <c r="R2064" i="2"/>
  <c r="Q2064" i="2"/>
  <c r="P2064" i="2"/>
  <c r="O2064" i="2"/>
  <c r="N2064" i="2"/>
  <c r="K2064" i="2"/>
  <c r="J2064" i="2"/>
  <c r="I2064" i="2"/>
  <c r="H2064" i="2"/>
  <c r="G2064" i="2"/>
  <c r="F2064" i="2"/>
  <c r="E2064" i="2"/>
  <c r="D2064" i="2"/>
  <c r="C2064" i="2"/>
  <c r="B2064" i="2"/>
  <c r="A2064" i="2"/>
  <c r="AI2063" i="2"/>
  <c r="AH2063" i="2"/>
  <c r="AG2063" i="2"/>
  <c r="AF2063" i="2"/>
  <c r="AE2063" i="2"/>
  <c r="AD2063" i="2"/>
  <c r="AB2063" i="2"/>
  <c r="AA2063" i="2"/>
  <c r="Z2063" i="2"/>
  <c r="Y2063" i="2"/>
  <c r="X2063" i="2"/>
  <c r="V2063" i="2"/>
  <c r="U2063" i="2"/>
  <c r="T2063" i="2"/>
  <c r="S2063" i="2"/>
  <c r="R2063" i="2"/>
  <c r="Q2063" i="2"/>
  <c r="P2063" i="2"/>
  <c r="O2063" i="2"/>
  <c r="N2063" i="2"/>
  <c r="K2063" i="2"/>
  <c r="J2063" i="2"/>
  <c r="I2063" i="2"/>
  <c r="H2063" i="2"/>
  <c r="G2063" i="2"/>
  <c r="F2063" i="2"/>
  <c r="E2063" i="2"/>
  <c r="D2063" i="2"/>
  <c r="C2063" i="2"/>
  <c r="B2063" i="2"/>
  <c r="A2063" i="2"/>
  <c r="AJ2062" i="2"/>
  <c r="AI2062" i="2"/>
  <c r="AH2062" i="2"/>
  <c r="AG2062" i="2"/>
  <c r="AF2062" i="2"/>
  <c r="AE2062" i="2"/>
  <c r="AD2062" i="2"/>
  <c r="AC2062" i="2"/>
  <c r="AB2062" i="2"/>
  <c r="AA2062" i="2"/>
  <c r="Z2062" i="2"/>
  <c r="Y2062" i="2"/>
  <c r="W2062" i="2"/>
  <c r="V2062" i="2"/>
  <c r="U2062" i="2"/>
  <c r="T2062" i="2"/>
  <c r="S2062" i="2"/>
  <c r="R2062" i="2"/>
  <c r="Q2062" i="2"/>
  <c r="P2062" i="2"/>
  <c r="O2062" i="2"/>
  <c r="N2062" i="2"/>
  <c r="K2062" i="2"/>
  <c r="J2062" i="2"/>
  <c r="I2062" i="2"/>
  <c r="H2062" i="2"/>
  <c r="G2062" i="2"/>
  <c r="F2062" i="2"/>
  <c r="E2062" i="2"/>
  <c r="D2062" i="2"/>
  <c r="C2062" i="2"/>
  <c r="B2062" i="2"/>
  <c r="A2062" i="2"/>
  <c r="AI2061" i="2"/>
  <c r="AH2061" i="2"/>
  <c r="AF2061" i="2"/>
  <c r="AE2061" i="2"/>
  <c r="AD2061" i="2"/>
  <c r="AC2061" i="2"/>
  <c r="AB2061" i="2"/>
  <c r="AA2061" i="2"/>
  <c r="Z2061" i="2"/>
  <c r="Y2061" i="2"/>
  <c r="X2061" i="2"/>
  <c r="U2061" i="2"/>
  <c r="T2061" i="2"/>
  <c r="S2061" i="2"/>
  <c r="R2061" i="2"/>
  <c r="Q2061" i="2"/>
  <c r="P2061" i="2"/>
  <c r="O2061" i="2"/>
  <c r="N2061" i="2"/>
  <c r="K2061" i="2"/>
  <c r="J2061" i="2"/>
  <c r="I2061" i="2"/>
  <c r="H2061" i="2"/>
  <c r="G2061" i="2"/>
  <c r="F2061" i="2"/>
  <c r="E2061" i="2"/>
  <c r="D2061" i="2"/>
  <c r="C2061" i="2"/>
  <c r="B2061" i="2"/>
  <c r="A2061" i="2"/>
  <c r="AI2060" i="2"/>
  <c r="AH2060" i="2"/>
  <c r="AG2060" i="2"/>
  <c r="AF2060" i="2"/>
  <c r="AE2060" i="2"/>
  <c r="AD2060" i="2"/>
  <c r="AC2060" i="2"/>
  <c r="AB2060" i="2"/>
  <c r="AA2060" i="2"/>
  <c r="Z2060" i="2"/>
  <c r="Y2060" i="2"/>
  <c r="X2060" i="2"/>
  <c r="U2060" i="2"/>
  <c r="T2060" i="2"/>
  <c r="S2060" i="2"/>
  <c r="R2060" i="2"/>
  <c r="Q2060" i="2"/>
  <c r="P2060" i="2"/>
  <c r="O2060" i="2"/>
  <c r="N2060" i="2"/>
  <c r="K2060" i="2"/>
  <c r="J2060" i="2"/>
  <c r="I2060" i="2"/>
  <c r="H2060" i="2"/>
  <c r="G2060" i="2"/>
  <c r="F2060" i="2"/>
  <c r="E2060" i="2"/>
  <c r="D2060" i="2"/>
  <c r="C2060" i="2"/>
  <c r="B2060" i="2"/>
  <c r="A2060" i="2"/>
  <c r="AI2059" i="2"/>
  <c r="AH2059" i="2"/>
  <c r="AG2059" i="2"/>
  <c r="AF2059" i="2"/>
  <c r="AE2059" i="2"/>
  <c r="AD2059" i="2"/>
  <c r="AC2059" i="2"/>
  <c r="AB2059" i="2"/>
  <c r="AA2059" i="2"/>
  <c r="Z2059" i="2"/>
  <c r="Y2059" i="2"/>
  <c r="X2059" i="2"/>
  <c r="U2059" i="2"/>
  <c r="T2059" i="2"/>
  <c r="S2059" i="2"/>
  <c r="R2059" i="2"/>
  <c r="Q2059" i="2"/>
  <c r="P2059" i="2"/>
  <c r="O2059" i="2"/>
  <c r="N2059" i="2"/>
  <c r="K2059" i="2"/>
  <c r="J2059" i="2"/>
  <c r="I2059" i="2"/>
  <c r="H2059" i="2"/>
  <c r="G2059" i="2"/>
  <c r="F2059" i="2"/>
  <c r="E2059" i="2"/>
  <c r="D2059" i="2"/>
  <c r="C2059" i="2"/>
  <c r="B2059" i="2"/>
  <c r="A2059" i="2"/>
  <c r="AI2058" i="2"/>
  <c r="AH2058" i="2"/>
  <c r="AG2058" i="2"/>
  <c r="AF2058" i="2"/>
  <c r="AE2058" i="2"/>
  <c r="AD2058" i="2"/>
  <c r="AC2058" i="2"/>
  <c r="AB2058" i="2"/>
  <c r="AA2058" i="2"/>
  <c r="Z2058" i="2"/>
  <c r="Y2058" i="2"/>
  <c r="X2058" i="2"/>
  <c r="W2058" i="2"/>
  <c r="V2058" i="2"/>
  <c r="U2058" i="2"/>
  <c r="T2058" i="2"/>
  <c r="S2058" i="2"/>
  <c r="R2058" i="2"/>
  <c r="Q2058" i="2"/>
  <c r="P2058" i="2"/>
  <c r="O2058" i="2"/>
  <c r="N2058" i="2"/>
  <c r="K2058" i="2"/>
  <c r="J2058" i="2"/>
  <c r="I2058" i="2"/>
  <c r="H2058" i="2"/>
  <c r="G2058" i="2"/>
  <c r="F2058" i="2"/>
  <c r="E2058" i="2"/>
  <c r="D2058" i="2"/>
  <c r="C2058" i="2"/>
  <c r="B2058" i="2"/>
  <c r="A2058" i="2"/>
  <c r="AI2057" i="2"/>
  <c r="AH2057" i="2"/>
  <c r="AG2057" i="2"/>
  <c r="AF2057" i="2"/>
  <c r="AE2057" i="2"/>
  <c r="AD2057" i="2"/>
  <c r="AC2057" i="2"/>
  <c r="AB2057" i="2"/>
  <c r="AA2057" i="2"/>
  <c r="Z2057" i="2"/>
  <c r="Y2057" i="2"/>
  <c r="X2057" i="2"/>
  <c r="W2057" i="2"/>
  <c r="V2057" i="2"/>
  <c r="U2057" i="2"/>
  <c r="T2057" i="2"/>
  <c r="S2057" i="2"/>
  <c r="R2057" i="2"/>
  <c r="Q2057" i="2"/>
  <c r="P2057" i="2"/>
  <c r="O2057" i="2"/>
  <c r="N2057" i="2"/>
  <c r="K2057" i="2"/>
  <c r="J2057" i="2"/>
  <c r="I2057" i="2"/>
  <c r="H2057" i="2"/>
  <c r="G2057" i="2"/>
  <c r="F2057" i="2"/>
  <c r="E2057" i="2"/>
  <c r="D2057" i="2"/>
  <c r="C2057" i="2"/>
  <c r="B2057" i="2"/>
  <c r="A2057" i="2"/>
  <c r="AJ2056" i="2"/>
  <c r="AI2056" i="2"/>
  <c r="AH2056" i="2"/>
  <c r="AG2056" i="2"/>
  <c r="AF2056" i="2"/>
  <c r="AE2056" i="2"/>
  <c r="AD2056" i="2"/>
  <c r="AC2056" i="2"/>
  <c r="AB2056" i="2"/>
  <c r="AA2056" i="2"/>
  <c r="Z2056" i="2"/>
  <c r="Y2056" i="2"/>
  <c r="X2056" i="2"/>
  <c r="W2056" i="2"/>
  <c r="V2056" i="2"/>
  <c r="U2056" i="2"/>
  <c r="T2056" i="2"/>
  <c r="S2056" i="2"/>
  <c r="R2056" i="2"/>
  <c r="Q2056" i="2"/>
  <c r="P2056" i="2"/>
  <c r="O2056" i="2"/>
  <c r="N2056" i="2"/>
  <c r="K2056" i="2"/>
  <c r="J2056" i="2"/>
  <c r="I2056" i="2"/>
  <c r="H2056" i="2"/>
  <c r="G2056" i="2"/>
  <c r="F2056" i="2"/>
  <c r="E2056" i="2"/>
  <c r="D2056" i="2"/>
  <c r="C2056" i="2"/>
  <c r="B2056" i="2"/>
  <c r="A2056" i="2"/>
  <c r="AI2055" i="2"/>
  <c r="AH2055" i="2"/>
  <c r="AG2055" i="2"/>
  <c r="AF2055" i="2"/>
  <c r="AE2055" i="2"/>
  <c r="AD2055" i="2"/>
  <c r="AC2055" i="2"/>
  <c r="AB2055" i="2"/>
  <c r="AA2055" i="2"/>
  <c r="Z2055" i="2"/>
  <c r="Y2055" i="2"/>
  <c r="X2055" i="2"/>
  <c r="W2055" i="2"/>
  <c r="V2055" i="2"/>
  <c r="U2055" i="2"/>
  <c r="T2055" i="2"/>
  <c r="S2055" i="2"/>
  <c r="R2055" i="2"/>
  <c r="Q2055" i="2"/>
  <c r="P2055" i="2"/>
  <c r="O2055" i="2"/>
  <c r="N2055" i="2"/>
  <c r="K2055" i="2"/>
  <c r="J2055" i="2"/>
  <c r="I2055" i="2"/>
  <c r="H2055" i="2"/>
  <c r="G2055" i="2"/>
  <c r="F2055" i="2"/>
  <c r="E2055" i="2"/>
  <c r="D2055" i="2"/>
  <c r="C2055" i="2"/>
  <c r="B2055" i="2"/>
  <c r="A2055" i="2"/>
  <c r="AI2054" i="2"/>
  <c r="AH2054" i="2"/>
  <c r="AG2054" i="2"/>
  <c r="AF2054" i="2"/>
  <c r="AE2054" i="2"/>
  <c r="AD2054" i="2"/>
  <c r="AB2054" i="2"/>
  <c r="AA2054" i="2"/>
  <c r="Z2054" i="2"/>
  <c r="Y2054" i="2"/>
  <c r="X2054" i="2"/>
  <c r="U2054" i="2"/>
  <c r="T2054" i="2"/>
  <c r="S2054" i="2"/>
  <c r="R2054" i="2"/>
  <c r="Q2054" i="2"/>
  <c r="P2054" i="2"/>
  <c r="O2054" i="2"/>
  <c r="N2054" i="2"/>
  <c r="K2054" i="2"/>
  <c r="J2054" i="2"/>
  <c r="I2054" i="2"/>
  <c r="H2054" i="2"/>
  <c r="G2054" i="2"/>
  <c r="F2054" i="2"/>
  <c r="E2054" i="2"/>
  <c r="D2054" i="2"/>
  <c r="C2054" i="2"/>
  <c r="B2054" i="2"/>
  <c r="A2054" i="2"/>
  <c r="AI2053" i="2"/>
  <c r="AH2053" i="2"/>
  <c r="AG2053" i="2"/>
  <c r="AF2053" i="2"/>
  <c r="AE2053" i="2"/>
  <c r="AD2053" i="2"/>
  <c r="AC2053" i="2"/>
  <c r="AB2053" i="2"/>
  <c r="AA2053" i="2"/>
  <c r="Z2053" i="2"/>
  <c r="Y2053" i="2"/>
  <c r="X2053" i="2"/>
  <c r="W2053" i="2"/>
  <c r="V2053" i="2"/>
  <c r="U2053" i="2"/>
  <c r="T2053" i="2"/>
  <c r="S2053" i="2"/>
  <c r="R2053" i="2"/>
  <c r="Q2053" i="2"/>
  <c r="P2053" i="2"/>
  <c r="O2053" i="2"/>
  <c r="N2053" i="2"/>
  <c r="K2053" i="2"/>
  <c r="J2053" i="2"/>
  <c r="I2053" i="2"/>
  <c r="H2053" i="2"/>
  <c r="G2053" i="2"/>
  <c r="F2053" i="2"/>
  <c r="E2053" i="2"/>
  <c r="D2053" i="2"/>
  <c r="C2053" i="2"/>
  <c r="B2053" i="2"/>
  <c r="A2053" i="2"/>
  <c r="AI2052" i="2"/>
  <c r="AH2052" i="2"/>
  <c r="AG2052" i="2"/>
  <c r="AF2052" i="2"/>
  <c r="AE2052" i="2"/>
  <c r="AD2052" i="2"/>
  <c r="AC2052" i="2"/>
  <c r="AB2052" i="2"/>
  <c r="AA2052" i="2"/>
  <c r="Z2052" i="2"/>
  <c r="Y2052" i="2"/>
  <c r="X2052" i="2"/>
  <c r="V2052" i="2"/>
  <c r="U2052" i="2"/>
  <c r="T2052" i="2"/>
  <c r="S2052" i="2"/>
  <c r="R2052" i="2"/>
  <c r="Q2052" i="2"/>
  <c r="P2052" i="2"/>
  <c r="O2052" i="2"/>
  <c r="N2052" i="2"/>
  <c r="K2052" i="2"/>
  <c r="J2052" i="2"/>
  <c r="I2052" i="2"/>
  <c r="H2052" i="2"/>
  <c r="G2052" i="2"/>
  <c r="F2052" i="2"/>
  <c r="E2052" i="2"/>
  <c r="D2052" i="2"/>
  <c r="C2052" i="2"/>
  <c r="B2052" i="2"/>
  <c r="A2052" i="2"/>
  <c r="AJ2051" i="2"/>
  <c r="AI2051" i="2"/>
  <c r="AH2051" i="2"/>
  <c r="AF2051" i="2"/>
  <c r="AE2051" i="2"/>
  <c r="AD2051" i="2"/>
  <c r="AB2051" i="2"/>
  <c r="AA2051" i="2"/>
  <c r="Z2051" i="2"/>
  <c r="Y2051" i="2"/>
  <c r="U2051" i="2"/>
  <c r="T2051" i="2"/>
  <c r="S2051" i="2"/>
  <c r="R2051" i="2"/>
  <c r="Q2051" i="2"/>
  <c r="P2051" i="2"/>
  <c r="O2051" i="2"/>
  <c r="N2051" i="2"/>
  <c r="M2051" i="2"/>
  <c r="K2051" i="2"/>
  <c r="J2051" i="2"/>
  <c r="I2051" i="2"/>
  <c r="H2051" i="2"/>
  <c r="G2051" i="2"/>
  <c r="F2051" i="2"/>
  <c r="E2051" i="2"/>
  <c r="D2051" i="2"/>
  <c r="C2051" i="2"/>
  <c r="B2051" i="2"/>
  <c r="A2051" i="2"/>
  <c r="AJ2050" i="2"/>
  <c r="AI2050" i="2"/>
  <c r="AH2050" i="2"/>
  <c r="AG2050" i="2"/>
  <c r="AF2050" i="2"/>
  <c r="AE2050" i="2"/>
  <c r="AD2050" i="2"/>
  <c r="AC2050" i="2"/>
  <c r="AB2050" i="2"/>
  <c r="AA2050" i="2"/>
  <c r="Z2050" i="2"/>
  <c r="Y2050" i="2"/>
  <c r="X2050" i="2"/>
  <c r="W2050" i="2"/>
  <c r="V2050" i="2"/>
  <c r="U2050" i="2"/>
  <c r="T2050" i="2"/>
  <c r="S2050" i="2"/>
  <c r="R2050" i="2"/>
  <c r="Q2050" i="2"/>
  <c r="P2050" i="2"/>
  <c r="O2050" i="2"/>
  <c r="N2050" i="2"/>
  <c r="K2050" i="2"/>
  <c r="J2050" i="2"/>
  <c r="I2050" i="2"/>
  <c r="H2050" i="2"/>
  <c r="G2050" i="2"/>
  <c r="F2050" i="2"/>
  <c r="E2050" i="2"/>
  <c r="D2050" i="2"/>
  <c r="C2050" i="2"/>
  <c r="B2050" i="2"/>
  <c r="A2050" i="2"/>
  <c r="AI2049" i="2"/>
  <c r="AH2049" i="2"/>
  <c r="AG2049" i="2"/>
  <c r="AF2049" i="2"/>
  <c r="AE2049" i="2"/>
  <c r="AD2049" i="2"/>
  <c r="AC2049" i="2"/>
  <c r="AA2049" i="2"/>
  <c r="Z2049" i="2"/>
  <c r="Y2049" i="2"/>
  <c r="X2049" i="2"/>
  <c r="V2049" i="2"/>
  <c r="U2049" i="2"/>
  <c r="T2049" i="2"/>
  <c r="S2049" i="2"/>
  <c r="R2049" i="2"/>
  <c r="Q2049" i="2"/>
  <c r="P2049" i="2"/>
  <c r="O2049" i="2"/>
  <c r="N2049" i="2"/>
  <c r="K2049" i="2"/>
  <c r="J2049" i="2"/>
  <c r="I2049" i="2"/>
  <c r="H2049" i="2"/>
  <c r="G2049" i="2"/>
  <c r="F2049" i="2"/>
  <c r="E2049" i="2"/>
  <c r="D2049" i="2"/>
  <c r="C2049" i="2"/>
  <c r="B2049" i="2"/>
  <c r="A2049" i="2"/>
  <c r="AI2048" i="2"/>
  <c r="AH2048" i="2"/>
  <c r="AG2048" i="2"/>
  <c r="AF2048" i="2"/>
  <c r="AE2048" i="2"/>
  <c r="AD2048" i="2"/>
  <c r="AC2048" i="2"/>
  <c r="AB2048" i="2"/>
  <c r="AA2048" i="2"/>
  <c r="Z2048" i="2"/>
  <c r="Y2048" i="2"/>
  <c r="X2048" i="2"/>
  <c r="W2048" i="2"/>
  <c r="V2048" i="2"/>
  <c r="U2048" i="2"/>
  <c r="T2048" i="2"/>
  <c r="S2048" i="2"/>
  <c r="R2048" i="2"/>
  <c r="Q2048" i="2"/>
  <c r="P2048" i="2"/>
  <c r="O2048" i="2"/>
  <c r="N2048" i="2"/>
  <c r="K2048" i="2"/>
  <c r="J2048" i="2"/>
  <c r="I2048" i="2"/>
  <c r="H2048" i="2"/>
  <c r="G2048" i="2"/>
  <c r="F2048" i="2"/>
  <c r="E2048" i="2"/>
  <c r="D2048" i="2"/>
  <c r="C2048" i="2"/>
  <c r="B2048" i="2"/>
  <c r="A2048" i="2"/>
  <c r="AI2047" i="2"/>
  <c r="AH2047" i="2"/>
  <c r="AG2047" i="2"/>
  <c r="AF2047" i="2"/>
  <c r="AE2047" i="2"/>
  <c r="AD2047" i="2"/>
  <c r="AB2047" i="2"/>
  <c r="AA2047" i="2"/>
  <c r="Z2047" i="2"/>
  <c r="Y2047" i="2"/>
  <c r="X2047" i="2"/>
  <c r="W2047" i="2"/>
  <c r="V2047" i="2"/>
  <c r="U2047" i="2"/>
  <c r="T2047" i="2"/>
  <c r="S2047" i="2"/>
  <c r="R2047" i="2"/>
  <c r="Q2047" i="2"/>
  <c r="P2047" i="2"/>
  <c r="O2047" i="2"/>
  <c r="N2047" i="2"/>
  <c r="K2047" i="2"/>
  <c r="J2047" i="2"/>
  <c r="I2047" i="2"/>
  <c r="H2047" i="2"/>
  <c r="G2047" i="2"/>
  <c r="F2047" i="2"/>
  <c r="E2047" i="2"/>
  <c r="D2047" i="2"/>
  <c r="C2047" i="2"/>
  <c r="B2047" i="2"/>
  <c r="A2047" i="2"/>
  <c r="AI2046" i="2"/>
  <c r="AH2046" i="2"/>
  <c r="AG2046" i="2"/>
  <c r="AF2046" i="2"/>
  <c r="AE2046" i="2"/>
  <c r="AD2046" i="2"/>
  <c r="AC2046" i="2"/>
  <c r="AB2046" i="2"/>
  <c r="AA2046" i="2"/>
  <c r="Z2046" i="2"/>
  <c r="Y2046" i="2"/>
  <c r="V2046" i="2"/>
  <c r="U2046" i="2"/>
  <c r="T2046" i="2"/>
  <c r="S2046" i="2"/>
  <c r="R2046" i="2"/>
  <c r="Q2046" i="2"/>
  <c r="P2046" i="2"/>
  <c r="O2046" i="2"/>
  <c r="N2046" i="2"/>
  <c r="M2046" i="2"/>
  <c r="L2046" i="2"/>
  <c r="K2046" i="2"/>
  <c r="J2046" i="2"/>
  <c r="I2046" i="2"/>
  <c r="H2046" i="2"/>
  <c r="G2046" i="2"/>
  <c r="F2046" i="2"/>
  <c r="E2046" i="2"/>
  <c r="D2046" i="2"/>
  <c r="C2046" i="2"/>
  <c r="B2046" i="2"/>
  <c r="A2046" i="2"/>
  <c r="AI2045" i="2"/>
  <c r="AH2045" i="2"/>
  <c r="AG2045" i="2"/>
  <c r="AF2045" i="2"/>
  <c r="AE2045" i="2"/>
  <c r="AD2045" i="2"/>
  <c r="AC2045" i="2"/>
  <c r="AB2045" i="2"/>
  <c r="AA2045" i="2"/>
  <c r="Z2045" i="2"/>
  <c r="Y2045" i="2"/>
  <c r="W2045" i="2"/>
  <c r="V2045" i="2"/>
  <c r="U2045" i="2"/>
  <c r="T2045" i="2"/>
  <c r="S2045" i="2"/>
  <c r="R2045" i="2"/>
  <c r="Q2045" i="2"/>
  <c r="P2045" i="2"/>
  <c r="O2045" i="2"/>
  <c r="N2045" i="2"/>
  <c r="K2045" i="2"/>
  <c r="J2045" i="2"/>
  <c r="I2045" i="2"/>
  <c r="H2045" i="2"/>
  <c r="G2045" i="2"/>
  <c r="F2045" i="2"/>
  <c r="E2045" i="2"/>
  <c r="D2045" i="2"/>
  <c r="C2045" i="2"/>
  <c r="B2045" i="2"/>
  <c r="A2045" i="2"/>
  <c r="AI2044" i="2"/>
  <c r="AH2044" i="2"/>
  <c r="AG2044" i="2"/>
  <c r="AF2044" i="2"/>
  <c r="AE2044" i="2"/>
  <c r="AD2044" i="2"/>
  <c r="AC2044" i="2"/>
  <c r="AB2044" i="2"/>
  <c r="AA2044" i="2"/>
  <c r="Z2044" i="2"/>
  <c r="Y2044" i="2"/>
  <c r="X2044" i="2"/>
  <c r="W2044" i="2"/>
  <c r="V2044" i="2"/>
  <c r="U2044" i="2"/>
  <c r="T2044" i="2"/>
  <c r="S2044" i="2"/>
  <c r="R2044" i="2"/>
  <c r="Q2044" i="2"/>
  <c r="P2044" i="2"/>
  <c r="O2044" i="2"/>
  <c r="N2044" i="2"/>
  <c r="K2044" i="2"/>
  <c r="J2044" i="2"/>
  <c r="I2044" i="2"/>
  <c r="H2044" i="2"/>
  <c r="G2044" i="2"/>
  <c r="F2044" i="2"/>
  <c r="E2044" i="2"/>
  <c r="D2044" i="2"/>
  <c r="C2044" i="2"/>
  <c r="B2044" i="2"/>
  <c r="A2044" i="2"/>
  <c r="AI2043" i="2"/>
  <c r="AH2043" i="2"/>
  <c r="AG2043" i="2"/>
  <c r="AF2043" i="2"/>
  <c r="AE2043" i="2"/>
  <c r="AD2043" i="2"/>
  <c r="AC2043" i="2"/>
  <c r="AB2043" i="2"/>
  <c r="AA2043" i="2"/>
  <c r="Z2043" i="2"/>
  <c r="Y2043" i="2"/>
  <c r="X2043" i="2"/>
  <c r="W2043" i="2"/>
  <c r="V2043" i="2"/>
  <c r="U2043" i="2"/>
  <c r="T2043" i="2"/>
  <c r="S2043" i="2"/>
  <c r="R2043" i="2"/>
  <c r="Q2043" i="2"/>
  <c r="P2043" i="2"/>
  <c r="O2043" i="2"/>
  <c r="N2043" i="2"/>
  <c r="K2043" i="2"/>
  <c r="J2043" i="2"/>
  <c r="I2043" i="2"/>
  <c r="H2043" i="2"/>
  <c r="G2043" i="2"/>
  <c r="F2043" i="2"/>
  <c r="E2043" i="2"/>
  <c r="D2043" i="2"/>
  <c r="C2043" i="2"/>
  <c r="B2043" i="2"/>
  <c r="A2043" i="2"/>
  <c r="AI2042" i="2"/>
  <c r="AH2042" i="2"/>
  <c r="AG2042" i="2"/>
  <c r="AF2042" i="2"/>
  <c r="AE2042" i="2"/>
  <c r="AD2042" i="2"/>
  <c r="AC2042" i="2"/>
  <c r="AB2042" i="2"/>
  <c r="AA2042" i="2"/>
  <c r="Z2042" i="2"/>
  <c r="Y2042" i="2"/>
  <c r="X2042" i="2"/>
  <c r="W2042" i="2"/>
  <c r="V2042" i="2"/>
  <c r="U2042" i="2"/>
  <c r="T2042" i="2"/>
  <c r="S2042" i="2"/>
  <c r="R2042" i="2"/>
  <c r="Q2042" i="2"/>
  <c r="P2042" i="2"/>
  <c r="O2042" i="2"/>
  <c r="N2042" i="2"/>
  <c r="K2042" i="2"/>
  <c r="J2042" i="2"/>
  <c r="I2042" i="2"/>
  <c r="H2042" i="2"/>
  <c r="G2042" i="2"/>
  <c r="F2042" i="2"/>
  <c r="E2042" i="2"/>
  <c r="D2042" i="2"/>
  <c r="C2042" i="2"/>
  <c r="B2042" i="2"/>
  <c r="A2042" i="2"/>
  <c r="AJ2041" i="2"/>
  <c r="AI2041" i="2"/>
  <c r="AH2041" i="2"/>
  <c r="AG2041" i="2"/>
  <c r="AF2041" i="2"/>
  <c r="AE2041" i="2"/>
  <c r="AD2041" i="2"/>
  <c r="AC2041" i="2"/>
  <c r="AB2041" i="2"/>
  <c r="AA2041" i="2"/>
  <c r="Z2041" i="2"/>
  <c r="Y2041" i="2"/>
  <c r="X2041" i="2"/>
  <c r="W2041" i="2"/>
  <c r="V2041" i="2"/>
  <c r="U2041" i="2"/>
  <c r="T2041" i="2"/>
  <c r="S2041" i="2"/>
  <c r="R2041" i="2"/>
  <c r="Q2041" i="2"/>
  <c r="P2041" i="2"/>
  <c r="O2041" i="2"/>
  <c r="N2041" i="2"/>
  <c r="K2041" i="2"/>
  <c r="J2041" i="2"/>
  <c r="I2041" i="2"/>
  <c r="H2041" i="2"/>
  <c r="G2041" i="2"/>
  <c r="F2041" i="2"/>
  <c r="E2041" i="2"/>
  <c r="D2041" i="2"/>
  <c r="C2041" i="2"/>
  <c r="B2041" i="2"/>
  <c r="A2041" i="2"/>
  <c r="AI2040" i="2"/>
  <c r="AH2040" i="2"/>
  <c r="AG2040" i="2"/>
  <c r="AF2040" i="2"/>
  <c r="AE2040" i="2"/>
  <c r="AD2040" i="2"/>
  <c r="AC2040" i="2"/>
  <c r="AB2040" i="2"/>
  <c r="AA2040" i="2"/>
  <c r="Z2040" i="2"/>
  <c r="Y2040" i="2"/>
  <c r="X2040" i="2"/>
  <c r="U2040" i="2"/>
  <c r="T2040" i="2"/>
  <c r="S2040" i="2"/>
  <c r="R2040" i="2"/>
  <c r="Q2040" i="2"/>
  <c r="P2040" i="2"/>
  <c r="O2040" i="2"/>
  <c r="N2040" i="2"/>
  <c r="K2040" i="2"/>
  <c r="J2040" i="2"/>
  <c r="I2040" i="2"/>
  <c r="H2040" i="2"/>
  <c r="G2040" i="2"/>
  <c r="F2040" i="2"/>
  <c r="E2040" i="2"/>
  <c r="D2040" i="2"/>
  <c r="C2040" i="2"/>
  <c r="B2040" i="2"/>
  <c r="A2040" i="2"/>
  <c r="AJ2039" i="2"/>
  <c r="AI2039" i="2"/>
  <c r="AH2039" i="2"/>
  <c r="AG2039" i="2"/>
  <c r="AF2039" i="2"/>
  <c r="AE2039" i="2"/>
  <c r="AD2039" i="2"/>
  <c r="AC2039" i="2"/>
  <c r="AB2039" i="2"/>
  <c r="AA2039" i="2"/>
  <c r="Z2039" i="2"/>
  <c r="Y2039" i="2"/>
  <c r="X2039" i="2"/>
  <c r="W2039" i="2"/>
  <c r="V2039" i="2"/>
  <c r="U2039" i="2"/>
  <c r="T2039" i="2"/>
  <c r="S2039" i="2"/>
  <c r="R2039" i="2"/>
  <c r="Q2039" i="2"/>
  <c r="P2039" i="2"/>
  <c r="O2039" i="2"/>
  <c r="N2039" i="2"/>
  <c r="K2039" i="2"/>
  <c r="J2039" i="2"/>
  <c r="I2039" i="2"/>
  <c r="H2039" i="2"/>
  <c r="G2039" i="2"/>
  <c r="F2039" i="2"/>
  <c r="E2039" i="2"/>
  <c r="D2039" i="2"/>
  <c r="C2039" i="2"/>
  <c r="B2039" i="2"/>
  <c r="A2039" i="2"/>
  <c r="AI2038" i="2"/>
  <c r="AH2038" i="2"/>
  <c r="AG2038" i="2"/>
  <c r="AF2038" i="2"/>
  <c r="AE2038" i="2"/>
  <c r="AD2038" i="2"/>
  <c r="AC2038" i="2"/>
  <c r="AB2038" i="2"/>
  <c r="AA2038" i="2"/>
  <c r="Z2038" i="2"/>
  <c r="Y2038" i="2"/>
  <c r="X2038" i="2"/>
  <c r="W2038" i="2"/>
  <c r="V2038" i="2"/>
  <c r="U2038" i="2"/>
  <c r="T2038" i="2"/>
  <c r="S2038" i="2"/>
  <c r="R2038" i="2"/>
  <c r="Q2038" i="2"/>
  <c r="P2038" i="2"/>
  <c r="O2038" i="2"/>
  <c r="N2038" i="2"/>
  <c r="K2038" i="2"/>
  <c r="J2038" i="2"/>
  <c r="I2038" i="2"/>
  <c r="H2038" i="2"/>
  <c r="G2038" i="2"/>
  <c r="F2038" i="2"/>
  <c r="E2038" i="2"/>
  <c r="D2038" i="2"/>
  <c r="C2038" i="2"/>
  <c r="B2038" i="2"/>
  <c r="A2038" i="2"/>
  <c r="AI2037" i="2"/>
  <c r="AH2037" i="2"/>
  <c r="AG2037" i="2"/>
  <c r="AF2037" i="2"/>
  <c r="AE2037" i="2"/>
  <c r="AD2037" i="2"/>
  <c r="AC2037" i="2"/>
  <c r="AB2037" i="2"/>
  <c r="AA2037" i="2"/>
  <c r="Z2037" i="2"/>
  <c r="Y2037" i="2"/>
  <c r="X2037" i="2"/>
  <c r="W2037" i="2"/>
  <c r="V2037" i="2"/>
  <c r="U2037" i="2"/>
  <c r="T2037" i="2"/>
  <c r="S2037" i="2"/>
  <c r="R2037" i="2"/>
  <c r="Q2037" i="2"/>
  <c r="P2037" i="2"/>
  <c r="O2037" i="2"/>
  <c r="N2037" i="2"/>
  <c r="K2037" i="2"/>
  <c r="J2037" i="2"/>
  <c r="I2037" i="2"/>
  <c r="H2037" i="2"/>
  <c r="G2037" i="2"/>
  <c r="F2037" i="2"/>
  <c r="E2037" i="2"/>
  <c r="D2037" i="2"/>
  <c r="C2037" i="2"/>
  <c r="B2037" i="2"/>
  <c r="A2037" i="2"/>
  <c r="AI2036" i="2"/>
  <c r="AH2036" i="2"/>
  <c r="AG2036" i="2"/>
  <c r="AF2036" i="2"/>
  <c r="AE2036" i="2"/>
  <c r="AD2036" i="2"/>
  <c r="AC2036" i="2"/>
  <c r="AB2036" i="2"/>
  <c r="AA2036" i="2"/>
  <c r="Z2036" i="2"/>
  <c r="Y2036" i="2"/>
  <c r="V2036" i="2"/>
  <c r="U2036" i="2"/>
  <c r="T2036" i="2"/>
  <c r="S2036" i="2"/>
  <c r="R2036" i="2"/>
  <c r="Q2036" i="2"/>
  <c r="P2036" i="2"/>
  <c r="O2036" i="2"/>
  <c r="N2036" i="2"/>
  <c r="K2036" i="2"/>
  <c r="J2036" i="2"/>
  <c r="I2036" i="2"/>
  <c r="H2036" i="2"/>
  <c r="G2036" i="2"/>
  <c r="F2036" i="2"/>
  <c r="E2036" i="2"/>
  <c r="D2036" i="2"/>
  <c r="C2036" i="2"/>
  <c r="B2036" i="2"/>
  <c r="A2036" i="2"/>
  <c r="AJ2035" i="2"/>
  <c r="AI2035" i="2"/>
  <c r="AH2035" i="2"/>
  <c r="AG2035" i="2"/>
  <c r="AF2035" i="2"/>
  <c r="AE2035" i="2"/>
  <c r="AD2035" i="2"/>
  <c r="AC2035" i="2"/>
  <c r="AB2035" i="2"/>
  <c r="AA2035" i="2"/>
  <c r="Z2035" i="2"/>
  <c r="Y2035" i="2"/>
  <c r="X2035" i="2"/>
  <c r="V2035" i="2"/>
  <c r="U2035" i="2"/>
  <c r="T2035" i="2"/>
  <c r="S2035" i="2"/>
  <c r="R2035" i="2"/>
  <c r="Q2035" i="2"/>
  <c r="P2035" i="2"/>
  <c r="O2035" i="2"/>
  <c r="N2035" i="2"/>
  <c r="M2035" i="2"/>
  <c r="L2035" i="2"/>
  <c r="K2035" i="2"/>
  <c r="J2035" i="2"/>
  <c r="I2035" i="2"/>
  <c r="H2035" i="2"/>
  <c r="G2035" i="2"/>
  <c r="F2035" i="2"/>
  <c r="E2035" i="2"/>
  <c r="D2035" i="2"/>
  <c r="C2035" i="2"/>
  <c r="B2035" i="2"/>
  <c r="A2035" i="2"/>
  <c r="AI2034" i="2"/>
  <c r="AH2034" i="2"/>
  <c r="AG2034" i="2"/>
  <c r="AF2034" i="2"/>
  <c r="AE2034" i="2"/>
  <c r="AD2034" i="2"/>
  <c r="AC2034" i="2"/>
  <c r="AB2034" i="2"/>
  <c r="AA2034" i="2"/>
  <c r="Z2034" i="2"/>
  <c r="Y2034" i="2"/>
  <c r="X2034" i="2"/>
  <c r="W2034" i="2"/>
  <c r="V2034" i="2"/>
  <c r="U2034" i="2"/>
  <c r="T2034" i="2"/>
  <c r="S2034" i="2"/>
  <c r="R2034" i="2"/>
  <c r="Q2034" i="2"/>
  <c r="P2034" i="2"/>
  <c r="O2034" i="2"/>
  <c r="N2034" i="2"/>
  <c r="K2034" i="2"/>
  <c r="J2034" i="2"/>
  <c r="I2034" i="2"/>
  <c r="H2034" i="2"/>
  <c r="G2034" i="2"/>
  <c r="F2034" i="2"/>
  <c r="E2034" i="2"/>
  <c r="D2034" i="2"/>
  <c r="C2034" i="2"/>
  <c r="B2034" i="2"/>
  <c r="A2034" i="2"/>
  <c r="AI2033" i="2"/>
  <c r="AH2033" i="2"/>
  <c r="AG2033" i="2"/>
  <c r="AF2033" i="2"/>
  <c r="AE2033" i="2"/>
  <c r="AD2033" i="2"/>
  <c r="AB2033" i="2"/>
  <c r="AA2033" i="2"/>
  <c r="Z2033" i="2"/>
  <c r="Y2033" i="2"/>
  <c r="X2033" i="2"/>
  <c r="W2033" i="2"/>
  <c r="V2033" i="2"/>
  <c r="U2033" i="2"/>
  <c r="T2033" i="2"/>
  <c r="S2033" i="2"/>
  <c r="R2033" i="2"/>
  <c r="Q2033" i="2"/>
  <c r="P2033" i="2"/>
  <c r="O2033" i="2"/>
  <c r="N2033" i="2"/>
  <c r="K2033" i="2"/>
  <c r="J2033" i="2"/>
  <c r="I2033" i="2"/>
  <c r="H2033" i="2"/>
  <c r="G2033" i="2"/>
  <c r="F2033" i="2"/>
  <c r="E2033" i="2"/>
  <c r="D2033" i="2"/>
  <c r="C2033" i="2"/>
  <c r="B2033" i="2"/>
  <c r="A2033" i="2"/>
  <c r="AI2032" i="2"/>
  <c r="AH2032" i="2"/>
  <c r="AF2032" i="2"/>
  <c r="AE2032" i="2"/>
  <c r="AD2032" i="2"/>
  <c r="AC2032" i="2"/>
  <c r="AB2032" i="2"/>
  <c r="AA2032" i="2"/>
  <c r="Z2032" i="2"/>
  <c r="Y2032" i="2"/>
  <c r="X2032" i="2"/>
  <c r="V2032" i="2"/>
  <c r="U2032" i="2"/>
  <c r="T2032" i="2"/>
  <c r="S2032" i="2"/>
  <c r="R2032" i="2"/>
  <c r="Q2032" i="2"/>
  <c r="P2032" i="2"/>
  <c r="O2032" i="2"/>
  <c r="N2032" i="2"/>
  <c r="M2032" i="2"/>
  <c r="L2032" i="2"/>
  <c r="K2032" i="2"/>
  <c r="J2032" i="2"/>
  <c r="I2032" i="2"/>
  <c r="H2032" i="2"/>
  <c r="G2032" i="2"/>
  <c r="F2032" i="2"/>
  <c r="E2032" i="2"/>
  <c r="D2032" i="2"/>
  <c r="C2032" i="2"/>
  <c r="B2032" i="2"/>
  <c r="A2032" i="2"/>
  <c r="AI2031" i="2"/>
  <c r="AH2031" i="2"/>
  <c r="AG2031" i="2"/>
  <c r="AF2031" i="2"/>
  <c r="AE2031" i="2"/>
  <c r="AD2031" i="2"/>
  <c r="AC2031" i="2"/>
  <c r="AB2031" i="2"/>
  <c r="AA2031" i="2"/>
  <c r="Z2031" i="2"/>
  <c r="Y2031" i="2"/>
  <c r="X2031" i="2"/>
  <c r="V2031" i="2"/>
  <c r="U2031" i="2"/>
  <c r="T2031" i="2"/>
  <c r="S2031" i="2"/>
  <c r="R2031" i="2"/>
  <c r="Q2031" i="2"/>
  <c r="P2031" i="2"/>
  <c r="O2031" i="2"/>
  <c r="N2031" i="2"/>
  <c r="K2031" i="2"/>
  <c r="J2031" i="2"/>
  <c r="I2031" i="2"/>
  <c r="H2031" i="2"/>
  <c r="G2031" i="2"/>
  <c r="F2031" i="2"/>
  <c r="E2031" i="2"/>
  <c r="D2031" i="2"/>
  <c r="C2031" i="2"/>
  <c r="B2031" i="2"/>
  <c r="A2031" i="2"/>
  <c r="AI2030" i="2"/>
  <c r="AH2030" i="2"/>
  <c r="AG2030" i="2"/>
  <c r="AF2030" i="2"/>
  <c r="AE2030" i="2"/>
  <c r="AD2030" i="2"/>
  <c r="AC2030" i="2"/>
  <c r="AB2030" i="2"/>
  <c r="AA2030" i="2"/>
  <c r="Z2030" i="2"/>
  <c r="Y2030" i="2"/>
  <c r="X2030" i="2"/>
  <c r="W2030" i="2"/>
  <c r="V2030" i="2"/>
  <c r="U2030" i="2"/>
  <c r="T2030" i="2"/>
  <c r="S2030" i="2"/>
  <c r="R2030" i="2"/>
  <c r="Q2030" i="2"/>
  <c r="P2030" i="2"/>
  <c r="O2030" i="2"/>
  <c r="N2030" i="2"/>
  <c r="K2030" i="2"/>
  <c r="J2030" i="2"/>
  <c r="I2030" i="2"/>
  <c r="H2030" i="2"/>
  <c r="G2030" i="2"/>
  <c r="F2030" i="2"/>
  <c r="E2030" i="2"/>
  <c r="D2030" i="2"/>
  <c r="C2030" i="2"/>
  <c r="B2030" i="2"/>
  <c r="A2030" i="2"/>
  <c r="AI2029" i="2"/>
  <c r="AH2029" i="2"/>
  <c r="AG2029" i="2"/>
  <c r="AF2029" i="2"/>
  <c r="AE2029" i="2"/>
  <c r="AD2029" i="2"/>
  <c r="AC2029" i="2"/>
  <c r="AB2029" i="2"/>
  <c r="AA2029" i="2"/>
  <c r="Z2029" i="2"/>
  <c r="Y2029" i="2"/>
  <c r="X2029" i="2"/>
  <c r="W2029" i="2"/>
  <c r="V2029" i="2"/>
  <c r="U2029" i="2"/>
  <c r="T2029" i="2"/>
  <c r="S2029" i="2"/>
  <c r="R2029" i="2"/>
  <c r="Q2029" i="2"/>
  <c r="P2029" i="2"/>
  <c r="O2029" i="2"/>
  <c r="N2029" i="2"/>
  <c r="K2029" i="2"/>
  <c r="J2029" i="2"/>
  <c r="I2029" i="2"/>
  <c r="H2029" i="2"/>
  <c r="G2029" i="2"/>
  <c r="F2029" i="2"/>
  <c r="E2029" i="2"/>
  <c r="D2029" i="2"/>
  <c r="C2029" i="2"/>
  <c r="B2029" i="2"/>
  <c r="A2029" i="2"/>
  <c r="AI2028" i="2"/>
  <c r="AH2028" i="2"/>
  <c r="AG2028" i="2"/>
  <c r="AF2028" i="2"/>
  <c r="AE2028" i="2"/>
  <c r="AD2028" i="2"/>
  <c r="AC2028" i="2"/>
  <c r="AB2028" i="2"/>
  <c r="AA2028" i="2"/>
  <c r="Z2028" i="2"/>
  <c r="Y2028" i="2"/>
  <c r="X2028" i="2"/>
  <c r="W2028" i="2"/>
  <c r="V2028" i="2"/>
  <c r="U2028" i="2"/>
  <c r="T2028" i="2"/>
  <c r="S2028" i="2"/>
  <c r="R2028" i="2"/>
  <c r="Q2028" i="2"/>
  <c r="P2028" i="2"/>
  <c r="O2028" i="2"/>
  <c r="N2028" i="2"/>
  <c r="K2028" i="2"/>
  <c r="J2028" i="2"/>
  <c r="I2028" i="2"/>
  <c r="H2028" i="2"/>
  <c r="G2028" i="2"/>
  <c r="F2028" i="2"/>
  <c r="E2028" i="2"/>
  <c r="D2028" i="2"/>
  <c r="C2028" i="2"/>
  <c r="B2028" i="2"/>
  <c r="A2028" i="2"/>
  <c r="AJ2027" i="2"/>
  <c r="AI2027" i="2"/>
  <c r="AH2027" i="2"/>
  <c r="AG2027" i="2"/>
  <c r="AF2027" i="2"/>
  <c r="AE2027" i="2"/>
  <c r="AD2027" i="2"/>
  <c r="AC2027" i="2"/>
  <c r="AA2027" i="2"/>
  <c r="Z2027" i="2"/>
  <c r="Y2027" i="2"/>
  <c r="V2027" i="2"/>
  <c r="U2027" i="2"/>
  <c r="T2027" i="2"/>
  <c r="S2027" i="2"/>
  <c r="R2027" i="2"/>
  <c r="Q2027" i="2"/>
  <c r="P2027" i="2"/>
  <c r="O2027" i="2"/>
  <c r="N2027" i="2"/>
  <c r="K2027" i="2"/>
  <c r="J2027" i="2"/>
  <c r="I2027" i="2"/>
  <c r="H2027" i="2"/>
  <c r="G2027" i="2"/>
  <c r="F2027" i="2"/>
  <c r="E2027" i="2"/>
  <c r="D2027" i="2"/>
  <c r="C2027" i="2"/>
  <c r="B2027" i="2"/>
  <c r="A2027" i="2"/>
  <c r="AJ2026" i="2"/>
  <c r="AI2026" i="2"/>
  <c r="AH2026" i="2"/>
  <c r="AG2026" i="2"/>
  <c r="AF2026" i="2"/>
  <c r="AE2026" i="2"/>
  <c r="AD2026" i="2"/>
  <c r="AC2026" i="2"/>
  <c r="AB2026" i="2"/>
  <c r="AA2026" i="2"/>
  <c r="Z2026" i="2"/>
  <c r="Y2026" i="2"/>
  <c r="X2026" i="2"/>
  <c r="V2026" i="2"/>
  <c r="U2026" i="2"/>
  <c r="T2026" i="2"/>
  <c r="S2026" i="2"/>
  <c r="R2026" i="2"/>
  <c r="Q2026" i="2"/>
  <c r="P2026" i="2"/>
  <c r="O2026" i="2"/>
  <c r="N2026" i="2"/>
  <c r="K2026" i="2"/>
  <c r="J2026" i="2"/>
  <c r="I2026" i="2"/>
  <c r="H2026" i="2"/>
  <c r="G2026" i="2"/>
  <c r="F2026" i="2"/>
  <c r="E2026" i="2"/>
  <c r="D2026" i="2"/>
  <c r="C2026" i="2"/>
  <c r="B2026" i="2"/>
  <c r="A2026" i="2"/>
  <c r="AI2025" i="2"/>
  <c r="AH2025" i="2"/>
  <c r="AG2025" i="2"/>
  <c r="AF2025" i="2"/>
  <c r="AE2025" i="2"/>
  <c r="AD2025" i="2"/>
  <c r="AC2025" i="2"/>
  <c r="AB2025" i="2"/>
  <c r="AA2025" i="2"/>
  <c r="Z2025" i="2"/>
  <c r="Y2025" i="2"/>
  <c r="X2025" i="2"/>
  <c r="W2025" i="2"/>
  <c r="V2025" i="2"/>
  <c r="U2025" i="2"/>
  <c r="T2025" i="2"/>
  <c r="S2025" i="2"/>
  <c r="R2025" i="2"/>
  <c r="Q2025" i="2"/>
  <c r="P2025" i="2"/>
  <c r="O2025" i="2"/>
  <c r="N2025" i="2"/>
  <c r="K2025" i="2"/>
  <c r="J2025" i="2"/>
  <c r="I2025" i="2"/>
  <c r="H2025" i="2"/>
  <c r="G2025" i="2"/>
  <c r="F2025" i="2"/>
  <c r="E2025" i="2"/>
  <c r="D2025" i="2"/>
  <c r="C2025" i="2"/>
  <c r="B2025" i="2"/>
  <c r="A2025" i="2"/>
  <c r="AI2024" i="2"/>
  <c r="AH2024" i="2"/>
  <c r="AF2024" i="2"/>
  <c r="AE2024" i="2"/>
  <c r="AD2024" i="2"/>
  <c r="AC2024" i="2"/>
  <c r="AB2024" i="2"/>
  <c r="AA2024" i="2"/>
  <c r="Z2024" i="2"/>
  <c r="Y2024" i="2"/>
  <c r="X2024" i="2"/>
  <c r="W2024" i="2"/>
  <c r="V2024" i="2"/>
  <c r="U2024" i="2"/>
  <c r="T2024" i="2"/>
  <c r="S2024" i="2"/>
  <c r="R2024" i="2"/>
  <c r="Q2024" i="2"/>
  <c r="P2024" i="2"/>
  <c r="O2024" i="2"/>
  <c r="N2024" i="2"/>
  <c r="K2024" i="2"/>
  <c r="J2024" i="2"/>
  <c r="I2024" i="2"/>
  <c r="H2024" i="2"/>
  <c r="G2024" i="2"/>
  <c r="F2024" i="2"/>
  <c r="E2024" i="2"/>
  <c r="D2024" i="2"/>
  <c r="C2024" i="2"/>
  <c r="B2024" i="2"/>
  <c r="A2024" i="2"/>
  <c r="AJ2023" i="2"/>
  <c r="AI2023" i="2"/>
  <c r="AH2023" i="2"/>
  <c r="AG2023" i="2"/>
  <c r="AF2023" i="2"/>
  <c r="AE2023" i="2"/>
  <c r="AD2023" i="2"/>
  <c r="AC2023" i="2"/>
  <c r="AB2023" i="2"/>
  <c r="AA2023" i="2"/>
  <c r="Z2023" i="2"/>
  <c r="Y2023" i="2"/>
  <c r="W2023" i="2"/>
  <c r="V2023" i="2"/>
  <c r="U2023" i="2"/>
  <c r="T2023" i="2"/>
  <c r="S2023" i="2"/>
  <c r="R2023" i="2"/>
  <c r="Q2023" i="2"/>
  <c r="P2023" i="2"/>
  <c r="O2023" i="2"/>
  <c r="N2023" i="2"/>
  <c r="K2023" i="2"/>
  <c r="J2023" i="2"/>
  <c r="I2023" i="2"/>
  <c r="H2023" i="2"/>
  <c r="G2023" i="2"/>
  <c r="F2023" i="2"/>
  <c r="E2023" i="2"/>
  <c r="D2023" i="2"/>
  <c r="C2023" i="2"/>
  <c r="B2023" i="2"/>
  <c r="A2023" i="2"/>
  <c r="AJ2022" i="2"/>
  <c r="AI2022" i="2"/>
  <c r="AH2022" i="2"/>
  <c r="AF2022" i="2"/>
  <c r="AE2022" i="2"/>
  <c r="AD2022" i="2"/>
  <c r="AC2022" i="2"/>
  <c r="AB2022" i="2"/>
  <c r="AA2022" i="2"/>
  <c r="Z2022" i="2"/>
  <c r="Y2022" i="2"/>
  <c r="X2022" i="2"/>
  <c r="V2022" i="2"/>
  <c r="U2022" i="2"/>
  <c r="T2022" i="2"/>
  <c r="S2022" i="2"/>
  <c r="R2022" i="2"/>
  <c r="Q2022" i="2"/>
  <c r="P2022" i="2"/>
  <c r="O2022" i="2"/>
  <c r="N2022" i="2"/>
  <c r="K2022" i="2"/>
  <c r="J2022" i="2"/>
  <c r="I2022" i="2"/>
  <c r="H2022" i="2"/>
  <c r="G2022" i="2"/>
  <c r="F2022" i="2"/>
  <c r="E2022" i="2"/>
  <c r="D2022" i="2"/>
  <c r="C2022" i="2"/>
  <c r="B2022" i="2"/>
  <c r="A2022" i="2"/>
  <c r="AJ2021" i="2"/>
  <c r="AI2021" i="2"/>
  <c r="AH2021" i="2"/>
  <c r="AG2021" i="2"/>
  <c r="AF2021" i="2"/>
  <c r="AE2021" i="2"/>
  <c r="AD2021" i="2"/>
  <c r="AB2021" i="2"/>
  <c r="AA2021" i="2"/>
  <c r="Z2021" i="2"/>
  <c r="Y2021" i="2"/>
  <c r="X2021" i="2"/>
  <c r="W2021" i="2"/>
  <c r="V2021" i="2"/>
  <c r="U2021" i="2"/>
  <c r="T2021" i="2"/>
  <c r="S2021" i="2"/>
  <c r="R2021" i="2"/>
  <c r="Q2021" i="2"/>
  <c r="P2021" i="2"/>
  <c r="O2021" i="2"/>
  <c r="N2021" i="2"/>
  <c r="K2021" i="2"/>
  <c r="J2021" i="2"/>
  <c r="I2021" i="2"/>
  <c r="H2021" i="2"/>
  <c r="G2021" i="2"/>
  <c r="F2021" i="2"/>
  <c r="E2021" i="2"/>
  <c r="D2021" i="2"/>
  <c r="C2021" i="2"/>
  <c r="B2021" i="2"/>
  <c r="A2021" i="2"/>
  <c r="AI2020" i="2"/>
  <c r="AH2020" i="2"/>
  <c r="AG2020" i="2"/>
  <c r="AF2020" i="2"/>
  <c r="AE2020" i="2"/>
  <c r="AD2020" i="2"/>
  <c r="AC2020" i="2"/>
  <c r="AB2020" i="2"/>
  <c r="AA2020" i="2"/>
  <c r="Z2020" i="2"/>
  <c r="Y2020" i="2"/>
  <c r="X2020" i="2"/>
  <c r="W2020" i="2"/>
  <c r="V2020" i="2"/>
  <c r="U2020" i="2"/>
  <c r="T2020" i="2"/>
  <c r="S2020" i="2"/>
  <c r="R2020" i="2"/>
  <c r="Q2020" i="2"/>
  <c r="P2020" i="2"/>
  <c r="O2020" i="2"/>
  <c r="N2020" i="2"/>
  <c r="K2020" i="2"/>
  <c r="J2020" i="2"/>
  <c r="I2020" i="2"/>
  <c r="H2020" i="2"/>
  <c r="G2020" i="2"/>
  <c r="F2020" i="2"/>
  <c r="E2020" i="2"/>
  <c r="D2020" i="2"/>
  <c r="C2020" i="2"/>
  <c r="B2020" i="2"/>
  <c r="A2020" i="2"/>
  <c r="AI2019" i="2"/>
  <c r="AH2019" i="2"/>
  <c r="AG2019" i="2"/>
  <c r="AF2019" i="2"/>
  <c r="AE2019" i="2"/>
  <c r="AD2019" i="2"/>
  <c r="AC2019" i="2"/>
  <c r="AB2019" i="2"/>
  <c r="AA2019" i="2"/>
  <c r="Z2019" i="2"/>
  <c r="Y2019" i="2"/>
  <c r="X2019" i="2"/>
  <c r="V2019" i="2"/>
  <c r="U2019" i="2"/>
  <c r="T2019" i="2"/>
  <c r="S2019" i="2"/>
  <c r="R2019" i="2"/>
  <c r="Q2019" i="2"/>
  <c r="P2019" i="2"/>
  <c r="O2019" i="2"/>
  <c r="N2019" i="2"/>
  <c r="K2019" i="2"/>
  <c r="J2019" i="2"/>
  <c r="I2019" i="2"/>
  <c r="H2019" i="2"/>
  <c r="G2019" i="2"/>
  <c r="F2019" i="2"/>
  <c r="E2019" i="2"/>
  <c r="D2019" i="2"/>
  <c r="C2019" i="2"/>
  <c r="B2019" i="2"/>
  <c r="A2019" i="2"/>
  <c r="AI2018" i="2"/>
  <c r="AH2018" i="2"/>
  <c r="AG2018" i="2"/>
  <c r="AF2018" i="2"/>
  <c r="AE2018" i="2"/>
  <c r="AD2018" i="2"/>
  <c r="AC2018" i="2"/>
  <c r="AB2018" i="2"/>
  <c r="AA2018" i="2"/>
  <c r="Z2018" i="2"/>
  <c r="Y2018" i="2"/>
  <c r="X2018" i="2"/>
  <c r="U2018" i="2"/>
  <c r="T2018" i="2"/>
  <c r="S2018" i="2"/>
  <c r="R2018" i="2"/>
  <c r="Q2018" i="2"/>
  <c r="P2018" i="2"/>
  <c r="O2018" i="2"/>
  <c r="N2018" i="2"/>
  <c r="K2018" i="2"/>
  <c r="J2018" i="2"/>
  <c r="I2018" i="2"/>
  <c r="H2018" i="2"/>
  <c r="G2018" i="2"/>
  <c r="F2018" i="2"/>
  <c r="E2018" i="2"/>
  <c r="D2018" i="2"/>
  <c r="C2018" i="2"/>
  <c r="B2018" i="2"/>
  <c r="A2018" i="2"/>
  <c r="AI2017" i="2"/>
  <c r="AH2017" i="2"/>
  <c r="AG2017" i="2"/>
  <c r="AF2017" i="2"/>
  <c r="AE2017" i="2"/>
  <c r="AD2017" i="2"/>
  <c r="AC2017" i="2"/>
  <c r="AB2017" i="2"/>
  <c r="AA2017" i="2"/>
  <c r="Z2017" i="2"/>
  <c r="Y2017" i="2"/>
  <c r="X2017" i="2"/>
  <c r="U2017" i="2"/>
  <c r="T2017" i="2"/>
  <c r="S2017" i="2"/>
  <c r="R2017" i="2"/>
  <c r="Q2017" i="2"/>
  <c r="P2017" i="2"/>
  <c r="O2017" i="2"/>
  <c r="N2017" i="2"/>
  <c r="K2017" i="2"/>
  <c r="J2017" i="2"/>
  <c r="I2017" i="2"/>
  <c r="H2017" i="2"/>
  <c r="G2017" i="2"/>
  <c r="F2017" i="2"/>
  <c r="E2017" i="2"/>
  <c r="D2017" i="2"/>
  <c r="C2017" i="2"/>
  <c r="B2017" i="2"/>
  <c r="A2017" i="2"/>
  <c r="AI2016" i="2"/>
  <c r="AH2016" i="2"/>
  <c r="AF2016" i="2"/>
  <c r="AE2016" i="2"/>
  <c r="AD2016" i="2"/>
  <c r="AB2016" i="2"/>
  <c r="AA2016" i="2"/>
  <c r="Z2016" i="2"/>
  <c r="Y2016" i="2"/>
  <c r="U2016" i="2"/>
  <c r="T2016" i="2"/>
  <c r="S2016" i="2"/>
  <c r="R2016" i="2"/>
  <c r="Q2016" i="2"/>
  <c r="P2016" i="2"/>
  <c r="O2016" i="2"/>
  <c r="N2016" i="2"/>
  <c r="K2016" i="2"/>
  <c r="J2016" i="2"/>
  <c r="I2016" i="2"/>
  <c r="H2016" i="2"/>
  <c r="G2016" i="2"/>
  <c r="F2016" i="2"/>
  <c r="E2016" i="2"/>
  <c r="D2016" i="2"/>
  <c r="C2016" i="2"/>
  <c r="B2016" i="2"/>
  <c r="A2016" i="2"/>
  <c r="AI2015" i="2"/>
  <c r="AH2015" i="2"/>
  <c r="AG2015" i="2"/>
  <c r="AF2015" i="2"/>
  <c r="AE2015" i="2"/>
  <c r="AD2015" i="2"/>
  <c r="AC2015" i="2"/>
  <c r="AB2015" i="2"/>
  <c r="AA2015" i="2"/>
  <c r="Z2015" i="2"/>
  <c r="Y2015" i="2"/>
  <c r="X2015" i="2"/>
  <c r="W2015" i="2"/>
  <c r="V2015" i="2"/>
  <c r="U2015" i="2"/>
  <c r="T2015" i="2"/>
  <c r="S2015" i="2"/>
  <c r="R2015" i="2"/>
  <c r="Q2015" i="2"/>
  <c r="P2015" i="2"/>
  <c r="O2015" i="2"/>
  <c r="N2015" i="2"/>
  <c r="K2015" i="2"/>
  <c r="J2015" i="2"/>
  <c r="I2015" i="2"/>
  <c r="H2015" i="2"/>
  <c r="G2015" i="2"/>
  <c r="F2015" i="2"/>
  <c r="E2015" i="2"/>
  <c r="D2015" i="2"/>
  <c r="C2015" i="2"/>
  <c r="B2015" i="2"/>
  <c r="A2015" i="2"/>
  <c r="AI2014" i="2"/>
  <c r="AH2014" i="2"/>
  <c r="AF2014" i="2"/>
  <c r="AE2014" i="2"/>
  <c r="AD2014" i="2"/>
  <c r="AC2014" i="2"/>
  <c r="AB2014" i="2"/>
  <c r="AA2014" i="2"/>
  <c r="Z2014" i="2"/>
  <c r="Y2014" i="2"/>
  <c r="X2014" i="2"/>
  <c r="V2014" i="2"/>
  <c r="U2014" i="2"/>
  <c r="T2014" i="2"/>
  <c r="S2014" i="2"/>
  <c r="R2014" i="2"/>
  <c r="Q2014" i="2"/>
  <c r="P2014" i="2"/>
  <c r="O2014" i="2"/>
  <c r="N2014" i="2"/>
  <c r="K2014" i="2"/>
  <c r="J2014" i="2"/>
  <c r="I2014" i="2"/>
  <c r="H2014" i="2"/>
  <c r="G2014" i="2"/>
  <c r="F2014" i="2"/>
  <c r="E2014" i="2"/>
  <c r="D2014" i="2"/>
  <c r="C2014" i="2"/>
  <c r="B2014" i="2"/>
  <c r="A2014" i="2"/>
  <c r="AJ2013" i="2"/>
  <c r="AI2013" i="2"/>
  <c r="AH2013" i="2"/>
  <c r="AF2013" i="2"/>
  <c r="AE2013" i="2"/>
  <c r="AD2013" i="2"/>
  <c r="AC2013" i="2"/>
  <c r="AB2013" i="2"/>
  <c r="AA2013" i="2"/>
  <c r="Z2013" i="2"/>
  <c r="Y2013" i="2"/>
  <c r="X2013" i="2"/>
  <c r="W2013" i="2"/>
  <c r="V2013" i="2"/>
  <c r="U2013" i="2"/>
  <c r="T2013" i="2"/>
  <c r="S2013" i="2"/>
  <c r="R2013" i="2"/>
  <c r="Q2013" i="2"/>
  <c r="P2013" i="2"/>
  <c r="O2013" i="2"/>
  <c r="N2013" i="2"/>
  <c r="K2013" i="2"/>
  <c r="J2013" i="2"/>
  <c r="I2013" i="2"/>
  <c r="H2013" i="2"/>
  <c r="G2013" i="2"/>
  <c r="F2013" i="2"/>
  <c r="E2013" i="2"/>
  <c r="D2013" i="2"/>
  <c r="C2013" i="2"/>
  <c r="B2013" i="2"/>
  <c r="A2013" i="2"/>
  <c r="AI2012" i="2"/>
  <c r="AH2012" i="2"/>
  <c r="AG2012" i="2"/>
  <c r="AF2012" i="2"/>
  <c r="AE2012" i="2"/>
  <c r="AD2012" i="2"/>
  <c r="AC2012" i="2"/>
  <c r="AB2012" i="2"/>
  <c r="AA2012" i="2"/>
  <c r="Z2012" i="2"/>
  <c r="Y2012" i="2"/>
  <c r="X2012" i="2"/>
  <c r="W2012" i="2"/>
  <c r="V2012" i="2"/>
  <c r="U2012" i="2"/>
  <c r="T2012" i="2"/>
  <c r="S2012" i="2"/>
  <c r="R2012" i="2"/>
  <c r="Q2012" i="2"/>
  <c r="P2012" i="2"/>
  <c r="O2012" i="2"/>
  <c r="N2012" i="2"/>
  <c r="K2012" i="2"/>
  <c r="J2012" i="2"/>
  <c r="I2012" i="2"/>
  <c r="H2012" i="2"/>
  <c r="G2012" i="2"/>
  <c r="F2012" i="2"/>
  <c r="E2012" i="2"/>
  <c r="D2012" i="2"/>
  <c r="C2012" i="2"/>
  <c r="B2012" i="2"/>
  <c r="A2012" i="2"/>
  <c r="AI2011" i="2"/>
  <c r="AH2011" i="2"/>
  <c r="AG2011" i="2"/>
  <c r="AF2011" i="2"/>
  <c r="AE2011" i="2"/>
  <c r="AD2011" i="2"/>
  <c r="AB2011" i="2"/>
  <c r="AA2011" i="2"/>
  <c r="Z2011" i="2"/>
  <c r="Y2011" i="2"/>
  <c r="X2011" i="2"/>
  <c r="U2011" i="2"/>
  <c r="T2011" i="2"/>
  <c r="S2011" i="2"/>
  <c r="R2011" i="2"/>
  <c r="Q2011" i="2"/>
  <c r="P2011" i="2"/>
  <c r="O2011" i="2"/>
  <c r="N2011" i="2"/>
  <c r="K2011" i="2"/>
  <c r="J2011" i="2"/>
  <c r="I2011" i="2"/>
  <c r="H2011" i="2"/>
  <c r="G2011" i="2"/>
  <c r="F2011" i="2"/>
  <c r="E2011" i="2"/>
  <c r="D2011" i="2"/>
  <c r="C2011" i="2"/>
  <c r="B2011" i="2"/>
  <c r="A2011" i="2"/>
  <c r="AJ2010" i="2"/>
  <c r="AI2010" i="2"/>
  <c r="AH2010" i="2"/>
  <c r="AG2010" i="2"/>
  <c r="AF2010" i="2"/>
  <c r="AE2010" i="2"/>
  <c r="AD2010" i="2"/>
  <c r="AC2010" i="2"/>
  <c r="AB2010" i="2"/>
  <c r="AA2010" i="2"/>
  <c r="Z2010" i="2"/>
  <c r="Y2010" i="2"/>
  <c r="X2010" i="2"/>
  <c r="W2010" i="2"/>
  <c r="V2010" i="2"/>
  <c r="U2010" i="2"/>
  <c r="T2010" i="2"/>
  <c r="S2010" i="2"/>
  <c r="R2010" i="2"/>
  <c r="Q2010" i="2"/>
  <c r="P2010" i="2"/>
  <c r="O2010" i="2"/>
  <c r="N2010" i="2"/>
  <c r="K2010" i="2"/>
  <c r="J2010" i="2"/>
  <c r="I2010" i="2"/>
  <c r="H2010" i="2"/>
  <c r="G2010" i="2"/>
  <c r="F2010" i="2"/>
  <c r="E2010" i="2"/>
  <c r="D2010" i="2"/>
  <c r="C2010" i="2"/>
  <c r="B2010" i="2"/>
  <c r="A2010" i="2"/>
  <c r="AI2009" i="2"/>
  <c r="AH2009" i="2"/>
  <c r="AG2009" i="2"/>
  <c r="AF2009" i="2"/>
  <c r="AE2009" i="2"/>
  <c r="AD2009" i="2"/>
  <c r="AC2009" i="2"/>
  <c r="AB2009" i="2"/>
  <c r="AA2009" i="2"/>
  <c r="Z2009" i="2"/>
  <c r="Y2009" i="2"/>
  <c r="X2009" i="2"/>
  <c r="W2009" i="2"/>
  <c r="V2009" i="2"/>
  <c r="U2009" i="2"/>
  <c r="T2009" i="2"/>
  <c r="S2009" i="2"/>
  <c r="R2009" i="2"/>
  <c r="Q2009" i="2"/>
  <c r="P2009" i="2"/>
  <c r="O2009" i="2"/>
  <c r="N2009" i="2"/>
  <c r="K2009" i="2"/>
  <c r="J2009" i="2"/>
  <c r="I2009" i="2"/>
  <c r="H2009" i="2"/>
  <c r="G2009" i="2"/>
  <c r="F2009" i="2"/>
  <c r="E2009" i="2"/>
  <c r="D2009" i="2"/>
  <c r="C2009" i="2"/>
  <c r="B2009" i="2"/>
  <c r="A2009" i="2"/>
  <c r="AI2008" i="2"/>
  <c r="AH2008" i="2"/>
  <c r="AG2008" i="2"/>
  <c r="AF2008" i="2"/>
  <c r="AE2008" i="2"/>
  <c r="AD2008" i="2"/>
  <c r="AC2008" i="2"/>
  <c r="AB2008" i="2"/>
  <c r="AA2008" i="2"/>
  <c r="Z2008" i="2"/>
  <c r="Y2008" i="2"/>
  <c r="X2008" i="2"/>
  <c r="W2008" i="2"/>
  <c r="V2008" i="2"/>
  <c r="U2008" i="2"/>
  <c r="T2008" i="2"/>
  <c r="S2008" i="2"/>
  <c r="R2008" i="2"/>
  <c r="Q2008" i="2"/>
  <c r="P2008" i="2"/>
  <c r="O2008" i="2"/>
  <c r="N2008" i="2"/>
  <c r="K2008" i="2"/>
  <c r="J2008" i="2"/>
  <c r="I2008" i="2"/>
  <c r="H2008" i="2"/>
  <c r="G2008" i="2"/>
  <c r="F2008" i="2"/>
  <c r="E2008" i="2"/>
  <c r="D2008" i="2"/>
  <c r="C2008" i="2"/>
  <c r="B2008" i="2"/>
  <c r="A2008" i="2"/>
  <c r="AI2007" i="2"/>
  <c r="AH2007" i="2"/>
  <c r="AG2007" i="2"/>
  <c r="AF2007" i="2"/>
  <c r="AE2007" i="2"/>
  <c r="AD2007" i="2"/>
  <c r="AC2007" i="2"/>
  <c r="AB2007" i="2"/>
  <c r="AA2007" i="2"/>
  <c r="Z2007" i="2"/>
  <c r="Y2007" i="2"/>
  <c r="X2007" i="2"/>
  <c r="V2007" i="2"/>
  <c r="U2007" i="2"/>
  <c r="T2007" i="2"/>
  <c r="S2007" i="2"/>
  <c r="R2007" i="2"/>
  <c r="Q2007" i="2"/>
  <c r="P2007" i="2"/>
  <c r="O2007" i="2"/>
  <c r="N2007" i="2"/>
  <c r="K2007" i="2"/>
  <c r="J2007" i="2"/>
  <c r="I2007" i="2"/>
  <c r="H2007" i="2"/>
  <c r="G2007" i="2"/>
  <c r="F2007" i="2"/>
  <c r="E2007" i="2"/>
  <c r="D2007" i="2"/>
  <c r="C2007" i="2"/>
  <c r="B2007" i="2"/>
  <c r="A2007" i="2"/>
  <c r="AI2006" i="2"/>
  <c r="AH2006" i="2"/>
  <c r="AG2006" i="2"/>
  <c r="AF2006" i="2"/>
  <c r="AE2006" i="2"/>
  <c r="AD2006" i="2"/>
  <c r="AC2006" i="2"/>
  <c r="AB2006" i="2"/>
  <c r="AA2006" i="2"/>
  <c r="Z2006" i="2"/>
  <c r="Y2006" i="2"/>
  <c r="X2006" i="2"/>
  <c r="V2006" i="2"/>
  <c r="U2006" i="2"/>
  <c r="T2006" i="2"/>
  <c r="S2006" i="2"/>
  <c r="R2006" i="2"/>
  <c r="Q2006" i="2"/>
  <c r="P2006" i="2"/>
  <c r="O2006" i="2"/>
  <c r="N2006" i="2"/>
  <c r="K2006" i="2"/>
  <c r="J2006" i="2"/>
  <c r="I2006" i="2"/>
  <c r="H2006" i="2"/>
  <c r="G2006" i="2"/>
  <c r="F2006" i="2"/>
  <c r="E2006" i="2"/>
  <c r="D2006" i="2"/>
  <c r="C2006" i="2"/>
  <c r="B2006" i="2"/>
  <c r="A2006" i="2"/>
  <c r="AI2005" i="2"/>
  <c r="AH2005" i="2"/>
  <c r="AG2005" i="2"/>
  <c r="AF2005" i="2"/>
  <c r="AE2005" i="2"/>
  <c r="AD2005" i="2"/>
  <c r="AC2005" i="2"/>
  <c r="AB2005" i="2"/>
  <c r="AA2005" i="2"/>
  <c r="Z2005" i="2"/>
  <c r="Y2005" i="2"/>
  <c r="X2005" i="2"/>
  <c r="W2005" i="2"/>
  <c r="V2005" i="2"/>
  <c r="U2005" i="2"/>
  <c r="T2005" i="2"/>
  <c r="S2005" i="2"/>
  <c r="R2005" i="2"/>
  <c r="Q2005" i="2"/>
  <c r="P2005" i="2"/>
  <c r="O2005" i="2"/>
  <c r="N2005" i="2"/>
  <c r="K2005" i="2"/>
  <c r="J2005" i="2"/>
  <c r="I2005" i="2"/>
  <c r="H2005" i="2"/>
  <c r="G2005" i="2"/>
  <c r="F2005" i="2"/>
  <c r="E2005" i="2"/>
  <c r="D2005" i="2"/>
  <c r="C2005" i="2"/>
  <c r="B2005" i="2"/>
  <c r="A2005" i="2"/>
  <c r="AI2004" i="2"/>
  <c r="AH2004" i="2"/>
  <c r="AF2004" i="2"/>
  <c r="AE2004" i="2"/>
  <c r="AD2004" i="2"/>
  <c r="AC2004" i="2"/>
  <c r="AB2004" i="2"/>
  <c r="AA2004" i="2"/>
  <c r="Z2004" i="2"/>
  <c r="Y2004" i="2"/>
  <c r="X2004" i="2"/>
  <c r="U2004" i="2"/>
  <c r="T2004" i="2"/>
  <c r="S2004" i="2"/>
  <c r="R2004" i="2"/>
  <c r="Q2004" i="2"/>
  <c r="P2004" i="2"/>
  <c r="O2004" i="2"/>
  <c r="N2004" i="2"/>
  <c r="K2004" i="2"/>
  <c r="J2004" i="2"/>
  <c r="I2004" i="2"/>
  <c r="H2004" i="2"/>
  <c r="G2004" i="2"/>
  <c r="F2004" i="2"/>
  <c r="E2004" i="2"/>
  <c r="D2004" i="2"/>
  <c r="C2004" i="2"/>
  <c r="B2004" i="2"/>
  <c r="A2004" i="2"/>
  <c r="AI2003" i="2"/>
  <c r="AH2003" i="2"/>
  <c r="AG2003" i="2"/>
  <c r="AF2003" i="2"/>
  <c r="AE2003" i="2"/>
  <c r="AD2003" i="2"/>
  <c r="AC2003" i="2"/>
  <c r="AB2003" i="2"/>
  <c r="AA2003" i="2"/>
  <c r="Z2003" i="2"/>
  <c r="Y2003" i="2"/>
  <c r="X2003" i="2"/>
  <c r="U2003" i="2"/>
  <c r="T2003" i="2"/>
  <c r="S2003" i="2"/>
  <c r="R2003" i="2"/>
  <c r="Q2003" i="2"/>
  <c r="P2003" i="2"/>
  <c r="O2003" i="2"/>
  <c r="N2003" i="2"/>
  <c r="K2003" i="2"/>
  <c r="J2003" i="2"/>
  <c r="I2003" i="2"/>
  <c r="H2003" i="2"/>
  <c r="G2003" i="2"/>
  <c r="F2003" i="2"/>
  <c r="E2003" i="2"/>
  <c r="D2003" i="2"/>
  <c r="C2003" i="2"/>
  <c r="B2003" i="2"/>
  <c r="A2003" i="2"/>
  <c r="AI2002" i="2"/>
  <c r="AH2002" i="2"/>
  <c r="AG2002" i="2"/>
  <c r="AF2002" i="2"/>
  <c r="AE2002" i="2"/>
  <c r="AD2002" i="2"/>
  <c r="AC2002" i="2"/>
  <c r="AB2002" i="2"/>
  <c r="AA2002" i="2"/>
  <c r="Z2002" i="2"/>
  <c r="Y2002" i="2"/>
  <c r="X2002" i="2"/>
  <c r="W2002" i="2"/>
  <c r="V2002" i="2"/>
  <c r="U2002" i="2"/>
  <c r="T2002" i="2"/>
  <c r="S2002" i="2"/>
  <c r="R2002" i="2"/>
  <c r="Q2002" i="2"/>
  <c r="P2002" i="2"/>
  <c r="O2002" i="2"/>
  <c r="N2002" i="2"/>
  <c r="K2002" i="2"/>
  <c r="J2002" i="2"/>
  <c r="I2002" i="2"/>
  <c r="H2002" i="2"/>
  <c r="G2002" i="2"/>
  <c r="F2002" i="2"/>
  <c r="E2002" i="2"/>
  <c r="D2002" i="2"/>
  <c r="C2002" i="2"/>
  <c r="B2002" i="2"/>
  <c r="A2002" i="2"/>
  <c r="AI2001" i="2"/>
  <c r="AH2001" i="2"/>
  <c r="AG2001" i="2"/>
  <c r="AF2001" i="2"/>
  <c r="AE2001" i="2"/>
  <c r="AD2001" i="2"/>
  <c r="AC2001" i="2"/>
  <c r="AB2001" i="2"/>
  <c r="AA2001" i="2"/>
  <c r="Z2001" i="2"/>
  <c r="Y2001" i="2"/>
  <c r="X2001" i="2"/>
  <c r="W2001" i="2"/>
  <c r="V2001" i="2"/>
  <c r="U2001" i="2"/>
  <c r="T2001" i="2"/>
  <c r="S2001" i="2"/>
  <c r="R2001" i="2"/>
  <c r="Q2001" i="2"/>
  <c r="P2001" i="2"/>
  <c r="O2001" i="2"/>
  <c r="N2001" i="2"/>
  <c r="K2001" i="2"/>
  <c r="J2001" i="2"/>
  <c r="I2001" i="2"/>
  <c r="H2001" i="2"/>
  <c r="G2001" i="2"/>
  <c r="F2001" i="2"/>
  <c r="E2001" i="2"/>
  <c r="D2001" i="2"/>
  <c r="C2001" i="2"/>
  <c r="B2001" i="2"/>
  <c r="A2001" i="2"/>
  <c r="AJ2000" i="2"/>
  <c r="AI2000" i="2"/>
  <c r="AH2000" i="2"/>
  <c r="AG2000" i="2"/>
  <c r="AF2000" i="2"/>
  <c r="AE2000" i="2"/>
  <c r="AD2000" i="2"/>
  <c r="AC2000" i="2"/>
  <c r="AB2000" i="2"/>
  <c r="AA2000" i="2"/>
  <c r="Z2000" i="2"/>
  <c r="Y2000" i="2"/>
  <c r="W2000" i="2"/>
  <c r="V2000" i="2"/>
  <c r="U2000" i="2"/>
  <c r="T2000" i="2"/>
  <c r="S2000" i="2"/>
  <c r="R2000" i="2"/>
  <c r="Q2000" i="2"/>
  <c r="P2000" i="2"/>
  <c r="O2000" i="2"/>
  <c r="N2000" i="2"/>
  <c r="K2000" i="2"/>
  <c r="J2000" i="2"/>
  <c r="I2000" i="2"/>
  <c r="H2000" i="2"/>
  <c r="G2000" i="2"/>
  <c r="F2000" i="2"/>
  <c r="E2000" i="2"/>
  <c r="D2000" i="2"/>
  <c r="C2000" i="2"/>
  <c r="B2000" i="2"/>
  <c r="A2000" i="2"/>
  <c r="AI1999" i="2"/>
  <c r="AH1999" i="2"/>
  <c r="AG1999" i="2"/>
  <c r="AF1999" i="2"/>
  <c r="AE1999" i="2"/>
  <c r="AD1999" i="2"/>
  <c r="AC1999" i="2"/>
  <c r="AB1999" i="2"/>
  <c r="AA1999" i="2"/>
  <c r="Z1999" i="2"/>
  <c r="Y1999" i="2"/>
  <c r="X1999" i="2"/>
  <c r="W1999" i="2"/>
  <c r="V1999" i="2"/>
  <c r="U1999" i="2"/>
  <c r="T1999" i="2"/>
  <c r="S1999" i="2"/>
  <c r="R1999" i="2"/>
  <c r="Q1999" i="2"/>
  <c r="P1999" i="2"/>
  <c r="O1999" i="2"/>
  <c r="N1999" i="2"/>
  <c r="K1999" i="2"/>
  <c r="J1999" i="2"/>
  <c r="I1999" i="2"/>
  <c r="H1999" i="2"/>
  <c r="G1999" i="2"/>
  <c r="F1999" i="2"/>
  <c r="E1999" i="2"/>
  <c r="D1999" i="2"/>
  <c r="C1999" i="2"/>
  <c r="B1999" i="2"/>
  <c r="A1999" i="2"/>
  <c r="AI1998" i="2"/>
  <c r="AH1998" i="2"/>
  <c r="AG1998" i="2"/>
  <c r="AF1998" i="2"/>
  <c r="AE1998" i="2"/>
  <c r="AD1998" i="2"/>
  <c r="AC1998" i="2"/>
  <c r="AB1998" i="2"/>
  <c r="AA1998" i="2"/>
  <c r="Z1998" i="2"/>
  <c r="Y1998" i="2"/>
  <c r="W1998" i="2"/>
  <c r="V1998" i="2"/>
  <c r="U1998" i="2"/>
  <c r="T1998" i="2"/>
  <c r="S1998" i="2"/>
  <c r="R1998" i="2"/>
  <c r="Q1998" i="2"/>
  <c r="P1998" i="2"/>
  <c r="O1998" i="2"/>
  <c r="N1998" i="2"/>
  <c r="K1998" i="2"/>
  <c r="J1998" i="2"/>
  <c r="I1998" i="2"/>
  <c r="H1998" i="2"/>
  <c r="G1998" i="2"/>
  <c r="F1998" i="2"/>
  <c r="E1998" i="2"/>
  <c r="D1998" i="2"/>
  <c r="C1998" i="2"/>
  <c r="B1998" i="2"/>
  <c r="A1998" i="2"/>
  <c r="AI1997" i="2"/>
  <c r="AH1997" i="2"/>
  <c r="AG1997" i="2"/>
  <c r="AF1997" i="2"/>
  <c r="AE1997" i="2"/>
  <c r="AD1997" i="2"/>
  <c r="AC1997" i="2"/>
  <c r="AB1997" i="2"/>
  <c r="AA1997" i="2"/>
  <c r="Z1997" i="2"/>
  <c r="Y1997" i="2"/>
  <c r="X1997" i="2"/>
  <c r="V1997" i="2"/>
  <c r="U1997" i="2"/>
  <c r="T1997" i="2"/>
  <c r="S1997" i="2"/>
  <c r="R1997" i="2"/>
  <c r="Q1997" i="2"/>
  <c r="P1997" i="2"/>
  <c r="O1997" i="2"/>
  <c r="N1997" i="2"/>
  <c r="K1997" i="2"/>
  <c r="J1997" i="2"/>
  <c r="I1997" i="2"/>
  <c r="H1997" i="2"/>
  <c r="G1997" i="2"/>
  <c r="F1997" i="2"/>
  <c r="E1997" i="2"/>
  <c r="D1997" i="2"/>
  <c r="C1997" i="2"/>
  <c r="B1997" i="2"/>
  <c r="A1997" i="2"/>
  <c r="AI1996" i="2"/>
  <c r="AH1996" i="2"/>
  <c r="AG1996" i="2"/>
  <c r="AF1996" i="2"/>
  <c r="AE1996" i="2"/>
  <c r="AD1996" i="2"/>
  <c r="AC1996" i="2"/>
  <c r="AB1996" i="2"/>
  <c r="AA1996" i="2"/>
  <c r="Z1996" i="2"/>
  <c r="Y1996" i="2"/>
  <c r="X1996" i="2"/>
  <c r="W1996" i="2"/>
  <c r="V1996" i="2"/>
  <c r="U1996" i="2"/>
  <c r="T1996" i="2"/>
  <c r="S1996" i="2"/>
  <c r="R1996" i="2"/>
  <c r="Q1996" i="2"/>
  <c r="P1996" i="2"/>
  <c r="O1996" i="2"/>
  <c r="N1996" i="2"/>
  <c r="K1996" i="2"/>
  <c r="J1996" i="2"/>
  <c r="I1996" i="2"/>
  <c r="H1996" i="2"/>
  <c r="G1996" i="2"/>
  <c r="F1996" i="2"/>
  <c r="E1996" i="2"/>
  <c r="D1996" i="2"/>
  <c r="C1996" i="2"/>
  <c r="B1996" i="2"/>
  <c r="A1996" i="2"/>
  <c r="AI1995" i="2"/>
  <c r="AH1995" i="2"/>
  <c r="AF1995" i="2"/>
  <c r="AE1995" i="2"/>
  <c r="AD1995" i="2"/>
  <c r="AC1995" i="2"/>
  <c r="AB1995" i="2"/>
  <c r="AA1995" i="2"/>
  <c r="Z1995" i="2"/>
  <c r="Y1995" i="2"/>
  <c r="X1995" i="2"/>
  <c r="W1995" i="2"/>
  <c r="V1995" i="2"/>
  <c r="U1995" i="2"/>
  <c r="T1995" i="2"/>
  <c r="S1995" i="2"/>
  <c r="R1995" i="2"/>
  <c r="Q1995" i="2"/>
  <c r="P1995" i="2"/>
  <c r="O1995" i="2"/>
  <c r="N1995" i="2"/>
  <c r="K1995" i="2"/>
  <c r="J1995" i="2"/>
  <c r="I1995" i="2"/>
  <c r="H1995" i="2"/>
  <c r="G1995" i="2"/>
  <c r="F1995" i="2"/>
  <c r="E1995" i="2"/>
  <c r="D1995" i="2"/>
  <c r="C1995" i="2"/>
  <c r="B1995" i="2"/>
  <c r="A1995" i="2"/>
  <c r="AI1994" i="2"/>
  <c r="AH1994" i="2"/>
  <c r="AG1994" i="2"/>
  <c r="AF1994" i="2"/>
  <c r="AE1994" i="2"/>
  <c r="AD1994" i="2"/>
  <c r="AC1994" i="2"/>
  <c r="AB1994" i="2"/>
  <c r="AA1994" i="2"/>
  <c r="Z1994" i="2"/>
  <c r="Y1994" i="2"/>
  <c r="X1994" i="2"/>
  <c r="W1994" i="2"/>
  <c r="V1994" i="2"/>
  <c r="U1994" i="2"/>
  <c r="T1994" i="2"/>
  <c r="S1994" i="2"/>
  <c r="R1994" i="2"/>
  <c r="Q1994" i="2"/>
  <c r="P1994" i="2"/>
  <c r="O1994" i="2"/>
  <c r="N1994" i="2"/>
  <c r="K1994" i="2"/>
  <c r="J1994" i="2"/>
  <c r="I1994" i="2"/>
  <c r="H1994" i="2"/>
  <c r="G1994" i="2"/>
  <c r="F1994" i="2"/>
  <c r="E1994" i="2"/>
  <c r="D1994" i="2"/>
  <c r="C1994" i="2"/>
  <c r="B1994" i="2"/>
  <c r="A1994" i="2"/>
  <c r="AI1993" i="2"/>
  <c r="AH1993" i="2"/>
  <c r="AG1993" i="2"/>
  <c r="AF1993" i="2"/>
  <c r="AE1993" i="2"/>
  <c r="AD1993" i="2"/>
  <c r="AC1993" i="2"/>
  <c r="AB1993" i="2"/>
  <c r="AA1993" i="2"/>
  <c r="Z1993" i="2"/>
  <c r="Y1993" i="2"/>
  <c r="X1993" i="2"/>
  <c r="W1993" i="2"/>
  <c r="V1993" i="2"/>
  <c r="U1993" i="2"/>
  <c r="T1993" i="2"/>
  <c r="S1993" i="2"/>
  <c r="R1993" i="2"/>
  <c r="Q1993" i="2"/>
  <c r="P1993" i="2"/>
  <c r="O1993" i="2"/>
  <c r="N1993" i="2"/>
  <c r="K1993" i="2"/>
  <c r="J1993" i="2"/>
  <c r="I1993" i="2"/>
  <c r="H1993" i="2"/>
  <c r="G1993" i="2"/>
  <c r="F1993" i="2"/>
  <c r="E1993" i="2"/>
  <c r="D1993" i="2"/>
  <c r="C1993" i="2"/>
  <c r="B1993" i="2"/>
  <c r="A1993" i="2"/>
  <c r="AI1992" i="2"/>
  <c r="AH1992" i="2"/>
  <c r="AG1992" i="2"/>
  <c r="AF1992" i="2"/>
  <c r="AE1992" i="2"/>
  <c r="AD1992" i="2"/>
  <c r="AC1992" i="2"/>
  <c r="AB1992" i="2"/>
  <c r="AA1992" i="2"/>
  <c r="Z1992" i="2"/>
  <c r="Y1992" i="2"/>
  <c r="X1992" i="2"/>
  <c r="V1992" i="2"/>
  <c r="U1992" i="2"/>
  <c r="T1992" i="2"/>
  <c r="S1992" i="2"/>
  <c r="R1992" i="2"/>
  <c r="Q1992" i="2"/>
  <c r="P1992" i="2"/>
  <c r="O1992" i="2"/>
  <c r="N1992" i="2"/>
  <c r="K1992" i="2"/>
  <c r="J1992" i="2"/>
  <c r="I1992" i="2"/>
  <c r="H1992" i="2"/>
  <c r="G1992" i="2"/>
  <c r="F1992" i="2"/>
  <c r="E1992" i="2"/>
  <c r="D1992" i="2"/>
  <c r="C1992" i="2"/>
  <c r="B1992" i="2"/>
  <c r="A1992" i="2"/>
  <c r="AI1991" i="2"/>
  <c r="AH1991" i="2"/>
  <c r="AG1991" i="2"/>
  <c r="AF1991" i="2"/>
  <c r="AE1991" i="2"/>
  <c r="AD1991" i="2"/>
  <c r="AC1991" i="2"/>
  <c r="AB1991" i="2"/>
  <c r="AA1991" i="2"/>
  <c r="Z1991" i="2"/>
  <c r="Y1991" i="2"/>
  <c r="X1991" i="2"/>
  <c r="W1991" i="2"/>
  <c r="V1991" i="2"/>
  <c r="U1991" i="2"/>
  <c r="T1991" i="2"/>
  <c r="S1991" i="2"/>
  <c r="R1991" i="2"/>
  <c r="Q1991" i="2"/>
  <c r="P1991" i="2"/>
  <c r="O1991" i="2"/>
  <c r="N1991" i="2"/>
  <c r="K1991" i="2"/>
  <c r="J1991" i="2"/>
  <c r="I1991" i="2"/>
  <c r="H1991" i="2"/>
  <c r="G1991" i="2"/>
  <c r="F1991" i="2"/>
  <c r="E1991" i="2"/>
  <c r="D1991" i="2"/>
  <c r="C1991" i="2"/>
  <c r="B1991" i="2"/>
  <c r="A1991" i="2"/>
  <c r="AI1990" i="2"/>
  <c r="AH1990" i="2"/>
  <c r="AG1990" i="2"/>
  <c r="AF1990" i="2"/>
  <c r="AE1990" i="2"/>
  <c r="AD1990" i="2"/>
  <c r="AC1990" i="2"/>
  <c r="AB1990" i="2"/>
  <c r="AA1990" i="2"/>
  <c r="Z1990" i="2"/>
  <c r="Y1990" i="2"/>
  <c r="X1990" i="2"/>
  <c r="V1990" i="2"/>
  <c r="U1990" i="2"/>
  <c r="T1990" i="2"/>
  <c r="S1990" i="2"/>
  <c r="R1990" i="2"/>
  <c r="Q1990" i="2"/>
  <c r="P1990" i="2"/>
  <c r="O1990" i="2"/>
  <c r="N1990" i="2"/>
  <c r="K1990" i="2"/>
  <c r="J1990" i="2"/>
  <c r="I1990" i="2"/>
  <c r="H1990" i="2"/>
  <c r="G1990" i="2"/>
  <c r="F1990" i="2"/>
  <c r="E1990" i="2"/>
  <c r="D1990" i="2"/>
  <c r="C1990" i="2"/>
  <c r="B1990" i="2"/>
  <c r="A1990" i="2"/>
  <c r="AI1989" i="2"/>
  <c r="AH1989" i="2"/>
  <c r="AF1989" i="2"/>
  <c r="AE1989" i="2"/>
  <c r="AD1989" i="2"/>
  <c r="AC1989" i="2"/>
  <c r="AA1989" i="2"/>
  <c r="Z1989" i="2"/>
  <c r="Y1989" i="2"/>
  <c r="X1989" i="2"/>
  <c r="V1989" i="2"/>
  <c r="U1989" i="2"/>
  <c r="T1989" i="2"/>
  <c r="S1989" i="2"/>
  <c r="R1989" i="2"/>
  <c r="Q1989" i="2"/>
  <c r="P1989" i="2"/>
  <c r="O1989" i="2"/>
  <c r="N1989" i="2"/>
  <c r="K1989" i="2"/>
  <c r="J1989" i="2"/>
  <c r="I1989" i="2"/>
  <c r="H1989" i="2"/>
  <c r="G1989" i="2"/>
  <c r="F1989" i="2"/>
  <c r="E1989" i="2"/>
  <c r="D1989" i="2"/>
  <c r="C1989" i="2"/>
  <c r="B1989" i="2"/>
  <c r="A1989" i="2"/>
  <c r="AI1988" i="2"/>
  <c r="AF1988" i="2"/>
  <c r="AE1988" i="2"/>
  <c r="AD1988" i="2"/>
  <c r="AC1988" i="2"/>
  <c r="AA1988" i="2"/>
  <c r="Z1988" i="2"/>
  <c r="Y1988" i="2"/>
  <c r="X1988" i="2"/>
  <c r="W1988" i="2"/>
  <c r="V1988" i="2"/>
  <c r="U1988" i="2"/>
  <c r="T1988" i="2"/>
  <c r="S1988" i="2"/>
  <c r="R1988" i="2"/>
  <c r="Q1988" i="2"/>
  <c r="P1988" i="2"/>
  <c r="O1988" i="2"/>
  <c r="N1988" i="2"/>
  <c r="K1988" i="2"/>
  <c r="J1988" i="2"/>
  <c r="I1988" i="2"/>
  <c r="H1988" i="2"/>
  <c r="G1988" i="2"/>
  <c r="F1988" i="2"/>
  <c r="E1988" i="2"/>
  <c r="D1988" i="2"/>
  <c r="C1988" i="2"/>
  <c r="B1988" i="2"/>
  <c r="A1988" i="2"/>
  <c r="AI1987" i="2"/>
  <c r="AH1987" i="2"/>
  <c r="AG1987" i="2"/>
  <c r="AF1987" i="2"/>
  <c r="AE1987" i="2"/>
  <c r="AD1987" i="2"/>
  <c r="AC1987" i="2"/>
  <c r="AA1987" i="2"/>
  <c r="Z1987" i="2"/>
  <c r="Y1987" i="2"/>
  <c r="X1987" i="2"/>
  <c r="W1987" i="2"/>
  <c r="V1987" i="2"/>
  <c r="U1987" i="2"/>
  <c r="T1987" i="2"/>
  <c r="S1987" i="2"/>
  <c r="R1987" i="2"/>
  <c r="Q1987" i="2"/>
  <c r="P1987" i="2"/>
  <c r="O1987" i="2"/>
  <c r="N1987" i="2"/>
  <c r="K1987" i="2"/>
  <c r="J1987" i="2"/>
  <c r="I1987" i="2"/>
  <c r="H1987" i="2"/>
  <c r="G1987" i="2"/>
  <c r="F1987" i="2"/>
  <c r="E1987" i="2"/>
  <c r="D1987" i="2"/>
  <c r="C1987" i="2"/>
  <c r="B1987" i="2"/>
  <c r="A1987" i="2"/>
  <c r="AJ1986" i="2"/>
  <c r="AI1986" i="2"/>
  <c r="AH1986" i="2"/>
  <c r="AF1986" i="2"/>
  <c r="AE1986" i="2"/>
  <c r="AD1986" i="2"/>
  <c r="AC1986" i="2"/>
  <c r="AB1986" i="2"/>
  <c r="AA1986" i="2"/>
  <c r="Z1986" i="2"/>
  <c r="Y1986" i="2"/>
  <c r="X1986" i="2"/>
  <c r="W1986" i="2"/>
  <c r="V1986" i="2"/>
  <c r="U1986" i="2"/>
  <c r="T1986" i="2"/>
  <c r="S1986" i="2"/>
  <c r="R1986" i="2"/>
  <c r="Q1986" i="2"/>
  <c r="P1986" i="2"/>
  <c r="O1986" i="2"/>
  <c r="N1986" i="2"/>
  <c r="M1986" i="2"/>
  <c r="L1986" i="2"/>
  <c r="K1986" i="2"/>
  <c r="J1986" i="2"/>
  <c r="I1986" i="2"/>
  <c r="H1986" i="2"/>
  <c r="G1986" i="2"/>
  <c r="F1986" i="2"/>
  <c r="E1986" i="2"/>
  <c r="D1986" i="2"/>
  <c r="C1986" i="2"/>
  <c r="B1986" i="2"/>
  <c r="A1986" i="2"/>
  <c r="AI1985" i="2"/>
  <c r="AH1985" i="2"/>
  <c r="AG1985" i="2"/>
  <c r="AF1985" i="2"/>
  <c r="AE1985" i="2"/>
  <c r="AD1985" i="2"/>
  <c r="AC1985" i="2"/>
  <c r="AB1985" i="2"/>
  <c r="AA1985" i="2"/>
  <c r="Z1985" i="2"/>
  <c r="Y1985" i="2"/>
  <c r="X1985" i="2"/>
  <c r="W1985" i="2"/>
  <c r="V1985" i="2"/>
  <c r="U1985" i="2"/>
  <c r="T1985" i="2"/>
  <c r="S1985" i="2"/>
  <c r="R1985" i="2"/>
  <c r="Q1985" i="2"/>
  <c r="P1985" i="2"/>
  <c r="O1985" i="2"/>
  <c r="N1985" i="2"/>
  <c r="K1985" i="2"/>
  <c r="J1985" i="2"/>
  <c r="I1985" i="2"/>
  <c r="H1985" i="2"/>
  <c r="G1985" i="2"/>
  <c r="F1985" i="2"/>
  <c r="E1985" i="2"/>
  <c r="D1985" i="2"/>
  <c r="C1985" i="2"/>
  <c r="B1985" i="2"/>
  <c r="A1985" i="2"/>
  <c r="AI1984" i="2"/>
  <c r="AH1984" i="2"/>
  <c r="AG1984" i="2"/>
  <c r="AF1984" i="2"/>
  <c r="AE1984" i="2"/>
  <c r="AD1984" i="2"/>
  <c r="AC1984" i="2"/>
  <c r="AB1984" i="2"/>
  <c r="AA1984" i="2"/>
  <c r="Z1984" i="2"/>
  <c r="Y1984" i="2"/>
  <c r="X1984" i="2"/>
  <c r="U1984" i="2"/>
  <c r="T1984" i="2"/>
  <c r="S1984" i="2"/>
  <c r="R1984" i="2"/>
  <c r="Q1984" i="2"/>
  <c r="P1984" i="2"/>
  <c r="O1984" i="2"/>
  <c r="N1984" i="2"/>
  <c r="K1984" i="2"/>
  <c r="J1984" i="2"/>
  <c r="I1984" i="2"/>
  <c r="H1984" i="2"/>
  <c r="G1984" i="2"/>
  <c r="F1984" i="2"/>
  <c r="E1984" i="2"/>
  <c r="D1984" i="2"/>
  <c r="C1984" i="2"/>
  <c r="B1984" i="2"/>
  <c r="A1984" i="2"/>
  <c r="AI1983" i="2"/>
  <c r="AH1983" i="2"/>
  <c r="AG1983" i="2"/>
  <c r="AF1983" i="2"/>
  <c r="AE1983" i="2"/>
  <c r="AD1983" i="2"/>
  <c r="AC1983" i="2"/>
  <c r="AB1983" i="2"/>
  <c r="AA1983" i="2"/>
  <c r="Z1983" i="2"/>
  <c r="Y1983" i="2"/>
  <c r="X1983" i="2"/>
  <c r="W1983" i="2"/>
  <c r="V1983" i="2"/>
  <c r="U1983" i="2"/>
  <c r="T1983" i="2"/>
  <c r="S1983" i="2"/>
  <c r="R1983" i="2"/>
  <c r="Q1983" i="2"/>
  <c r="P1983" i="2"/>
  <c r="O1983" i="2"/>
  <c r="N1983" i="2"/>
  <c r="K1983" i="2"/>
  <c r="J1983" i="2"/>
  <c r="I1983" i="2"/>
  <c r="H1983" i="2"/>
  <c r="G1983" i="2"/>
  <c r="F1983" i="2"/>
  <c r="E1983" i="2"/>
  <c r="D1983" i="2"/>
  <c r="C1983" i="2"/>
  <c r="B1983" i="2"/>
  <c r="A1983" i="2"/>
  <c r="AI1982" i="2"/>
  <c r="AF1982" i="2"/>
  <c r="AE1982" i="2"/>
  <c r="AD1982" i="2"/>
  <c r="AC1982" i="2"/>
  <c r="AB1982" i="2"/>
  <c r="AA1982" i="2"/>
  <c r="Z1982" i="2"/>
  <c r="Y1982" i="2"/>
  <c r="U1982" i="2"/>
  <c r="T1982" i="2"/>
  <c r="S1982" i="2"/>
  <c r="R1982" i="2"/>
  <c r="Q1982" i="2"/>
  <c r="P1982" i="2"/>
  <c r="O1982" i="2"/>
  <c r="N1982" i="2"/>
  <c r="K1982" i="2"/>
  <c r="J1982" i="2"/>
  <c r="I1982" i="2"/>
  <c r="H1982" i="2"/>
  <c r="G1982" i="2"/>
  <c r="F1982" i="2"/>
  <c r="E1982" i="2"/>
  <c r="D1982" i="2"/>
  <c r="C1982" i="2"/>
  <c r="B1982" i="2"/>
  <c r="A1982" i="2"/>
  <c r="AI1981" i="2"/>
  <c r="AH1981" i="2"/>
  <c r="AG1981" i="2"/>
  <c r="AF1981" i="2"/>
  <c r="AE1981" i="2"/>
  <c r="AD1981" i="2"/>
  <c r="AC1981" i="2"/>
  <c r="AB1981" i="2"/>
  <c r="AA1981" i="2"/>
  <c r="Z1981" i="2"/>
  <c r="Y1981" i="2"/>
  <c r="X1981" i="2"/>
  <c r="W1981" i="2"/>
  <c r="V1981" i="2"/>
  <c r="U1981" i="2"/>
  <c r="T1981" i="2"/>
  <c r="S1981" i="2"/>
  <c r="R1981" i="2"/>
  <c r="Q1981" i="2"/>
  <c r="P1981" i="2"/>
  <c r="O1981" i="2"/>
  <c r="N1981" i="2"/>
  <c r="K1981" i="2"/>
  <c r="J1981" i="2"/>
  <c r="I1981" i="2"/>
  <c r="H1981" i="2"/>
  <c r="G1981" i="2"/>
  <c r="F1981" i="2"/>
  <c r="E1981" i="2"/>
  <c r="D1981" i="2"/>
  <c r="C1981" i="2"/>
  <c r="B1981" i="2"/>
  <c r="A1981" i="2"/>
  <c r="AI1980" i="2"/>
  <c r="AH1980" i="2"/>
  <c r="AG1980" i="2"/>
  <c r="AF1980" i="2"/>
  <c r="AE1980" i="2"/>
  <c r="AD1980" i="2"/>
  <c r="AC1980" i="2"/>
  <c r="AB1980" i="2"/>
  <c r="AA1980" i="2"/>
  <c r="Z1980" i="2"/>
  <c r="Y1980" i="2"/>
  <c r="X1980" i="2"/>
  <c r="W1980" i="2"/>
  <c r="V1980" i="2"/>
  <c r="U1980" i="2"/>
  <c r="T1980" i="2"/>
  <c r="S1980" i="2"/>
  <c r="R1980" i="2"/>
  <c r="Q1980" i="2"/>
  <c r="P1980" i="2"/>
  <c r="O1980" i="2"/>
  <c r="N1980" i="2"/>
  <c r="K1980" i="2"/>
  <c r="J1980" i="2"/>
  <c r="I1980" i="2"/>
  <c r="H1980" i="2"/>
  <c r="G1980" i="2"/>
  <c r="F1980" i="2"/>
  <c r="E1980" i="2"/>
  <c r="D1980" i="2"/>
  <c r="C1980" i="2"/>
  <c r="B1980" i="2"/>
  <c r="A1980" i="2"/>
  <c r="AI1979" i="2"/>
  <c r="AH1979" i="2"/>
  <c r="AF1979" i="2"/>
  <c r="AE1979" i="2"/>
  <c r="AD1979" i="2"/>
  <c r="AC1979" i="2"/>
  <c r="AA1979" i="2"/>
  <c r="Z1979" i="2"/>
  <c r="Y1979" i="2"/>
  <c r="X1979" i="2"/>
  <c r="W1979" i="2"/>
  <c r="V1979" i="2"/>
  <c r="U1979" i="2"/>
  <c r="T1979" i="2"/>
  <c r="S1979" i="2"/>
  <c r="R1979" i="2"/>
  <c r="Q1979" i="2"/>
  <c r="P1979" i="2"/>
  <c r="O1979" i="2"/>
  <c r="N1979" i="2"/>
  <c r="K1979" i="2"/>
  <c r="J1979" i="2"/>
  <c r="I1979" i="2"/>
  <c r="H1979" i="2"/>
  <c r="G1979" i="2"/>
  <c r="F1979" i="2"/>
  <c r="E1979" i="2"/>
  <c r="D1979" i="2"/>
  <c r="C1979" i="2"/>
  <c r="B1979" i="2"/>
  <c r="A1979" i="2"/>
  <c r="AI1978" i="2"/>
  <c r="AH1978" i="2"/>
  <c r="AG1978" i="2"/>
  <c r="AF1978" i="2"/>
  <c r="AE1978" i="2"/>
  <c r="AD1978" i="2"/>
  <c r="AC1978" i="2"/>
  <c r="AB1978" i="2"/>
  <c r="AA1978" i="2"/>
  <c r="Z1978" i="2"/>
  <c r="Y1978" i="2"/>
  <c r="X1978" i="2"/>
  <c r="W1978" i="2"/>
  <c r="V1978" i="2"/>
  <c r="U1978" i="2"/>
  <c r="T1978" i="2"/>
  <c r="S1978" i="2"/>
  <c r="R1978" i="2"/>
  <c r="Q1978" i="2"/>
  <c r="P1978" i="2"/>
  <c r="O1978" i="2"/>
  <c r="N1978" i="2"/>
  <c r="K1978" i="2"/>
  <c r="J1978" i="2"/>
  <c r="I1978" i="2"/>
  <c r="H1978" i="2"/>
  <c r="G1978" i="2"/>
  <c r="F1978" i="2"/>
  <c r="E1978" i="2"/>
  <c r="D1978" i="2"/>
  <c r="C1978" i="2"/>
  <c r="B1978" i="2"/>
  <c r="A1978" i="2"/>
  <c r="AI1977" i="2"/>
  <c r="AH1977" i="2"/>
  <c r="AG1977" i="2"/>
  <c r="AF1977" i="2"/>
  <c r="AE1977" i="2"/>
  <c r="AD1977" i="2"/>
  <c r="AC1977" i="2"/>
  <c r="AB1977" i="2"/>
  <c r="AA1977" i="2"/>
  <c r="Z1977" i="2"/>
  <c r="Y1977" i="2"/>
  <c r="X1977" i="2"/>
  <c r="W1977" i="2"/>
  <c r="V1977" i="2"/>
  <c r="U1977" i="2"/>
  <c r="T1977" i="2"/>
  <c r="S1977" i="2"/>
  <c r="R1977" i="2"/>
  <c r="Q1977" i="2"/>
  <c r="P1977" i="2"/>
  <c r="O1977" i="2"/>
  <c r="N1977" i="2"/>
  <c r="K1977" i="2"/>
  <c r="J1977" i="2"/>
  <c r="I1977" i="2"/>
  <c r="H1977" i="2"/>
  <c r="G1977" i="2"/>
  <c r="F1977" i="2"/>
  <c r="E1977" i="2"/>
  <c r="D1977" i="2"/>
  <c r="C1977" i="2"/>
  <c r="B1977" i="2"/>
  <c r="A1977" i="2"/>
  <c r="AI1976" i="2"/>
  <c r="AF1976" i="2"/>
  <c r="AE1976" i="2"/>
  <c r="AD1976" i="2"/>
  <c r="AC1976" i="2"/>
  <c r="AA1976" i="2"/>
  <c r="Z1976" i="2"/>
  <c r="Y1976" i="2"/>
  <c r="X1976" i="2"/>
  <c r="W1976" i="2"/>
  <c r="V1976" i="2"/>
  <c r="U1976" i="2"/>
  <c r="T1976" i="2"/>
  <c r="S1976" i="2"/>
  <c r="R1976" i="2"/>
  <c r="Q1976" i="2"/>
  <c r="P1976" i="2"/>
  <c r="O1976" i="2"/>
  <c r="N1976" i="2"/>
  <c r="K1976" i="2"/>
  <c r="J1976" i="2"/>
  <c r="I1976" i="2"/>
  <c r="H1976" i="2"/>
  <c r="G1976" i="2"/>
  <c r="F1976" i="2"/>
  <c r="E1976" i="2"/>
  <c r="D1976" i="2"/>
  <c r="C1976" i="2"/>
  <c r="B1976" i="2"/>
  <c r="A1976" i="2"/>
  <c r="AI1975" i="2"/>
  <c r="AH1975" i="2"/>
  <c r="AG1975" i="2"/>
  <c r="AF1975" i="2"/>
  <c r="AE1975" i="2"/>
  <c r="AD1975" i="2"/>
  <c r="AC1975" i="2"/>
  <c r="AB1975" i="2"/>
  <c r="AA1975" i="2"/>
  <c r="Z1975" i="2"/>
  <c r="Y1975" i="2"/>
  <c r="X1975" i="2"/>
  <c r="W1975" i="2"/>
  <c r="V1975" i="2"/>
  <c r="U1975" i="2"/>
  <c r="T1975" i="2"/>
  <c r="S1975" i="2"/>
  <c r="R1975" i="2"/>
  <c r="Q1975" i="2"/>
  <c r="P1975" i="2"/>
  <c r="O1975" i="2"/>
  <c r="N1975" i="2"/>
  <c r="K1975" i="2"/>
  <c r="J1975" i="2"/>
  <c r="I1975" i="2"/>
  <c r="H1975" i="2"/>
  <c r="G1975" i="2"/>
  <c r="F1975" i="2"/>
  <c r="E1975" i="2"/>
  <c r="D1975" i="2"/>
  <c r="C1975" i="2"/>
  <c r="B1975" i="2"/>
  <c r="A1975" i="2"/>
  <c r="AI1974" i="2"/>
  <c r="AH1974" i="2"/>
  <c r="AG1974" i="2"/>
  <c r="AF1974" i="2"/>
  <c r="AE1974" i="2"/>
  <c r="AD1974" i="2"/>
  <c r="AC1974" i="2"/>
  <c r="AB1974" i="2"/>
  <c r="AA1974" i="2"/>
  <c r="Z1974" i="2"/>
  <c r="Y1974" i="2"/>
  <c r="X1974" i="2"/>
  <c r="W1974" i="2"/>
  <c r="V1974" i="2"/>
  <c r="U1974" i="2"/>
  <c r="T1974" i="2"/>
  <c r="S1974" i="2"/>
  <c r="R1974" i="2"/>
  <c r="Q1974" i="2"/>
  <c r="P1974" i="2"/>
  <c r="O1974" i="2"/>
  <c r="N1974" i="2"/>
  <c r="K1974" i="2"/>
  <c r="J1974" i="2"/>
  <c r="I1974" i="2"/>
  <c r="H1974" i="2"/>
  <c r="G1974" i="2"/>
  <c r="F1974" i="2"/>
  <c r="E1974" i="2"/>
  <c r="D1974" i="2"/>
  <c r="C1974" i="2"/>
  <c r="B1974" i="2"/>
  <c r="A1974" i="2"/>
  <c r="AJ1973" i="2"/>
  <c r="AI1973" i="2"/>
  <c r="AH1973" i="2"/>
  <c r="AG1973" i="2"/>
  <c r="AF1973" i="2"/>
  <c r="AE1973" i="2"/>
  <c r="AD1973" i="2"/>
  <c r="AC1973" i="2"/>
  <c r="AB1973" i="2"/>
  <c r="AA1973" i="2"/>
  <c r="Z1973" i="2"/>
  <c r="Y1973" i="2"/>
  <c r="X1973" i="2"/>
  <c r="W1973" i="2"/>
  <c r="V1973" i="2"/>
  <c r="U1973" i="2"/>
  <c r="T1973" i="2"/>
  <c r="S1973" i="2"/>
  <c r="R1973" i="2"/>
  <c r="Q1973" i="2"/>
  <c r="P1973" i="2"/>
  <c r="O1973" i="2"/>
  <c r="N1973" i="2"/>
  <c r="K1973" i="2"/>
  <c r="J1973" i="2"/>
  <c r="I1973" i="2"/>
  <c r="H1973" i="2"/>
  <c r="G1973" i="2"/>
  <c r="F1973" i="2"/>
  <c r="E1973" i="2"/>
  <c r="D1973" i="2"/>
  <c r="C1973" i="2"/>
  <c r="B1973" i="2"/>
  <c r="A1973" i="2"/>
  <c r="AJ1972" i="2"/>
  <c r="AI1972" i="2"/>
  <c r="AH1972" i="2"/>
  <c r="AG1972" i="2"/>
  <c r="AF1972" i="2"/>
  <c r="AE1972" i="2"/>
  <c r="AD1972" i="2"/>
  <c r="AC1972" i="2"/>
  <c r="AB1972" i="2"/>
  <c r="AA1972" i="2"/>
  <c r="Z1972" i="2"/>
  <c r="Y1972" i="2"/>
  <c r="X1972" i="2"/>
  <c r="V1972" i="2"/>
  <c r="U1972" i="2"/>
  <c r="T1972" i="2"/>
  <c r="S1972" i="2"/>
  <c r="R1972" i="2"/>
  <c r="Q1972" i="2"/>
  <c r="P1972" i="2"/>
  <c r="O1972" i="2"/>
  <c r="N1972" i="2"/>
  <c r="M1972" i="2"/>
  <c r="K1972" i="2"/>
  <c r="J1972" i="2"/>
  <c r="I1972" i="2"/>
  <c r="H1972" i="2"/>
  <c r="G1972" i="2"/>
  <c r="F1972" i="2"/>
  <c r="E1972" i="2"/>
  <c r="D1972" i="2"/>
  <c r="C1972" i="2"/>
  <c r="B1972" i="2"/>
  <c r="A1972" i="2"/>
  <c r="AI1971" i="2"/>
  <c r="AH1971" i="2"/>
  <c r="AG1971" i="2"/>
  <c r="AF1971" i="2"/>
  <c r="AE1971" i="2"/>
  <c r="AD1971" i="2"/>
  <c r="AC1971" i="2"/>
  <c r="AB1971" i="2"/>
  <c r="AA1971" i="2"/>
  <c r="Z1971" i="2"/>
  <c r="Y1971" i="2"/>
  <c r="X1971" i="2"/>
  <c r="W1971" i="2"/>
  <c r="V1971" i="2"/>
  <c r="U1971" i="2"/>
  <c r="T1971" i="2"/>
  <c r="S1971" i="2"/>
  <c r="R1971" i="2"/>
  <c r="Q1971" i="2"/>
  <c r="P1971" i="2"/>
  <c r="O1971" i="2"/>
  <c r="N1971" i="2"/>
  <c r="K1971" i="2"/>
  <c r="J1971" i="2"/>
  <c r="I1971" i="2"/>
  <c r="H1971" i="2"/>
  <c r="G1971" i="2"/>
  <c r="F1971" i="2"/>
  <c r="E1971" i="2"/>
  <c r="D1971" i="2"/>
  <c r="C1971" i="2"/>
  <c r="B1971" i="2"/>
  <c r="A1971" i="2"/>
  <c r="AI1970" i="2"/>
  <c r="AH1970" i="2"/>
  <c r="AG1970" i="2"/>
  <c r="AF1970" i="2"/>
  <c r="AE1970" i="2"/>
  <c r="AD1970" i="2"/>
  <c r="AC1970" i="2"/>
  <c r="AB1970" i="2"/>
  <c r="AA1970" i="2"/>
  <c r="Z1970" i="2"/>
  <c r="Y1970" i="2"/>
  <c r="X1970" i="2"/>
  <c r="U1970" i="2"/>
  <c r="T1970" i="2"/>
  <c r="S1970" i="2"/>
  <c r="R1970" i="2"/>
  <c r="Q1970" i="2"/>
  <c r="P1970" i="2"/>
  <c r="O1970" i="2"/>
  <c r="N1970" i="2"/>
  <c r="K1970" i="2"/>
  <c r="J1970" i="2"/>
  <c r="I1970" i="2"/>
  <c r="H1970" i="2"/>
  <c r="G1970" i="2"/>
  <c r="F1970" i="2"/>
  <c r="E1970" i="2"/>
  <c r="D1970" i="2"/>
  <c r="C1970" i="2"/>
  <c r="B1970" i="2"/>
  <c r="A1970" i="2"/>
  <c r="AI1969" i="2"/>
  <c r="AF1969" i="2"/>
  <c r="AE1969" i="2"/>
  <c r="AD1969" i="2"/>
  <c r="AC1969" i="2"/>
  <c r="AA1969" i="2"/>
  <c r="Z1969" i="2"/>
  <c r="Y1969" i="2"/>
  <c r="X1969" i="2"/>
  <c r="V1969" i="2"/>
  <c r="U1969" i="2"/>
  <c r="T1969" i="2"/>
  <c r="S1969" i="2"/>
  <c r="R1969" i="2"/>
  <c r="Q1969" i="2"/>
  <c r="P1969" i="2"/>
  <c r="O1969" i="2"/>
  <c r="N1969" i="2"/>
  <c r="K1969" i="2"/>
  <c r="J1969" i="2"/>
  <c r="I1969" i="2"/>
  <c r="H1969" i="2"/>
  <c r="G1969" i="2"/>
  <c r="F1969" i="2"/>
  <c r="E1969" i="2"/>
  <c r="D1969" i="2"/>
  <c r="C1969" i="2"/>
  <c r="B1969" i="2"/>
  <c r="A1969" i="2"/>
  <c r="AI1968" i="2"/>
  <c r="AF1968" i="2"/>
  <c r="AE1968" i="2"/>
  <c r="AD1968" i="2"/>
  <c r="AC1968" i="2"/>
  <c r="AA1968" i="2"/>
  <c r="Z1968" i="2"/>
  <c r="Y1968" i="2"/>
  <c r="X1968" i="2"/>
  <c r="W1968" i="2"/>
  <c r="V1968" i="2"/>
  <c r="U1968" i="2"/>
  <c r="T1968" i="2"/>
  <c r="S1968" i="2"/>
  <c r="R1968" i="2"/>
  <c r="Q1968" i="2"/>
  <c r="P1968" i="2"/>
  <c r="O1968" i="2"/>
  <c r="N1968" i="2"/>
  <c r="K1968" i="2"/>
  <c r="J1968" i="2"/>
  <c r="I1968" i="2"/>
  <c r="H1968" i="2"/>
  <c r="G1968" i="2"/>
  <c r="F1968" i="2"/>
  <c r="E1968" i="2"/>
  <c r="D1968" i="2"/>
  <c r="C1968" i="2"/>
  <c r="B1968" i="2"/>
  <c r="A1968" i="2"/>
  <c r="AI1967" i="2"/>
  <c r="AH1967" i="2"/>
  <c r="AG1967" i="2"/>
  <c r="AF1967" i="2"/>
  <c r="AE1967" i="2"/>
  <c r="AD1967" i="2"/>
  <c r="AB1967" i="2"/>
  <c r="AA1967" i="2"/>
  <c r="Z1967" i="2"/>
  <c r="Y1967" i="2"/>
  <c r="X1967" i="2"/>
  <c r="U1967" i="2"/>
  <c r="T1967" i="2"/>
  <c r="S1967" i="2"/>
  <c r="R1967" i="2"/>
  <c r="Q1967" i="2"/>
  <c r="P1967" i="2"/>
  <c r="O1967" i="2"/>
  <c r="N1967" i="2"/>
  <c r="K1967" i="2"/>
  <c r="J1967" i="2"/>
  <c r="I1967" i="2"/>
  <c r="H1967" i="2"/>
  <c r="G1967" i="2"/>
  <c r="F1967" i="2"/>
  <c r="E1967" i="2"/>
  <c r="D1967" i="2"/>
  <c r="C1967" i="2"/>
  <c r="B1967" i="2"/>
  <c r="A1967" i="2"/>
  <c r="AI1966" i="2"/>
  <c r="AH1966" i="2"/>
  <c r="AF1966" i="2"/>
  <c r="AE1966" i="2"/>
  <c r="AD1966" i="2"/>
  <c r="AC1966" i="2"/>
  <c r="AB1966" i="2"/>
  <c r="AA1966" i="2"/>
  <c r="Z1966" i="2"/>
  <c r="Y1966" i="2"/>
  <c r="X1966" i="2"/>
  <c r="W1966" i="2"/>
  <c r="V1966" i="2"/>
  <c r="U1966" i="2"/>
  <c r="T1966" i="2"/>
  <c r="S1966" i="2"/>
  <c r="R1966" i="2"/>
  <c r="Q1966" i="2"/>
  <c r="P1966" i="2"/>
  <c r="O1966" i="2"/>
  <c r="N1966" i="2"/>
  <c r="K1966" i="2"/>
  <c r="J1966" i="2"/>
  <c r="I1966" i="2"/>
  <c r="H1966" i="2"/>
  <c r="G1966" i="2"/>
  <c r="F1966" i="2"/>
  <c r="E1966" i="2"/>
  <c r="D1966" i="2"/>
  <c r="C1966" i="2"/>
  <c r="B1966" i="2"/>
  <c r="A1966" i="2"/>
  <c r="AJ1965" i="2"/>
  <c r="AI1965" i="2"/>
  <c r="AH1965" i="2"/>
  <c r="AG1965" i="2"/>
  <c r="AF1965" i="2"/>
  <c r="AE1965" i="2"/>
  <c r="AD1965" i="2"/>
  <c r="AC1965" i="2"/>
  <c r="AB1965" i="2"/>
  <c r="AA1965" i="2"/>
  <c r="Z1965" i="2"/>
  <c r="Y1965" i="2"/>
  <c r="X1965" i="2"/>
  <c r="W1965" i="2"/>
  <c r="V1965" i="2"/>
  <c r="U1965" i="2"/>
  <c r="T1965" i="2"/>
  <c r="S1965" i="2"/>
  <c r="R1965" i="2"/>
  <c r="Q1965" i="2"/>
  <c r="P1965" i="2"/>
  <c r="O1965" i="2"/>
  <c r="N1965" i="2"/>
  <c r="K1965" i="2"/>
  <c r="J1965" i="2"/>
  <c r="I1965" i="2"/>
  <c r="H1965" i="2"/>
  <c r="G1965" i="2"/>
  <c r="F1965" i="2"/>
  <c r="E1965" i="2"/>
  <c r="D1965" i="2"/>
  <c r="C1965" i="2"/>
  <c r="B1965" i="2"/>
  <c r="A1965" i="2"/>
  <c r="AI1964" i="2"/>
  <c r="AH1964" i="2"/>
  <c r="AG1964" i="2"/>
  <c r="AF1964" i="2"/>
  <c r="AE1964" i="2"/>
  <c r="AD1964" i="2"/>
  <c r="AC1964" i="2"/>
  <c r="AB1964" i="2"/>
  <c r="AA1964" i="2"/>
  <c r="Z1964" i="2"/>
  <c r="Y1964" i="2"/>
  <c r="X1964" i="2"/>
  <c r="V1964" i="2"/>
  <c r="U1964" i="2"/>
  <c r="T1964" i="2"/>
  <c r="S1964" i="2"/>
  <c r="R1964" i="2"/>
  <c r="Q1964" i="2"/>
  <c r="P1964" i="2"/>
  <c r="O1964" i="2"/>
  <c r="N1964" i="2"/>
  <c r="K1964" i="2"/>
  <c r="J1964" i="2"/>
  <c r="I1964" i="2"/>
  <c r="H1964" i="2"/>
  <c r="G1964" i="2"/>
  <c r="F1964" i="2"/>
  <c r="E1964" i="2"/>
  <c r="D1964" i="2"/>
  <c r="C1964" i="2"/>
  <c r="B1964" i="2"/>
  <c r="A1964" i="2"/>
  <c r="AI1963" i="2"/>
  <c r="AH1963" i="2"/>
  <c r="AG1963" i="2"/>
  <c r="AF1963" i="2"/>
  <c r="AE1963" i="2"/>
  <c r="AD1963" i="2"/>
  <c r="AC1963" i="2"/>
  <c r="AB1963" i="2"/>
  <c r="AA1963" i="2"/>
  <c r="Z1963" i="2"/>
  <c r="Y1963" i="2"/>
  <c r="X1963" i="2"/>
  <c r="W1963" i="2"/>
  <c r="V1963" i="2"/>
  <c r="U1963" i="2"/>
  <c r="T1963" i="2"/>
  <c r="S1963" i="2"/>
  <c r="R1963" i="2"/>
  <c r="Q1963" i="2"/>
  <c r="P1963" i="2"/>
  <c r="O1963" i="2"/>
  <c r="N1963" i="2"/>
  <c r="K1963" i="2"/>
  <c r="J1963" i="2"/>
  <c r="I1963" i="2"/>
  <c r="H1963" i="2"/>
  <c r="G1963" i="2"/>
  <c r="F1963" i="2"/>
  <c r="E1963" i="2"/>
  <c r="D1963" i="2"/>
  <c r="C1963" i="2"/>
  <c r="B1963" i="2"/>
  <c r="A1963" i="2"/>
  <c r="AI1962" i="2"/>
  <c r="AH1962" i="2"/>
  <c r="AG1962" i="2"/>
  <c r="AF1962" i="2"/>
  <c r="AE1962" i="2"/>
  <c r="AD1962" i="2"/>
  <c r="AC1962" i="2"/>
  <c r="AB1962" i="2"/>
  <c r="AA1962" i="2"/>
  <c r="Z1962" i="2"/>
  <c r="Y1962" i="2"/>
  <c r="X1962" i="2"/>
  <c r="W1962" i="2"/>
  <c r="V1962" i="2"/>
  <c r="U1962" i="2"/>
  <c r="T1962" i="2"/>
  <c r="S1962" i="2"/>
  <c r="R1962" i="2"/>
  <c r="Q1962" i="2"/>
  <c r="P1962" i="2"/>
  <c r="O1962" i="2"/>
  <c r="N1962" i="2"/>
  <c r="K1962" i="2"/>
  <c r="J1962" i="2"/>
  <c r="I1962" i="2"/>
  <c r="H1962" i="2"/>
  <c r="G1962" i="2"/>
  <c r="F1962" i="2"/>
  <c r="E1962" i="2"/>
  <c r="D1962" i="2"/>
  <c r="C1962" i="2"/>
  <c r="B1962" i="2"/>
  <c r="A1962" i="2"/>
  <c r="AI1961" i="2"/>
  <c r="AH1961" i="2"/>
  <c r="AG1961" i="2"/>
  <c r="AF1961" i="2"/>
  <c r="AE1961" i="2"/>
  <c r="AD1961" i="2"/>
  <c r="AC1961" i="2"/>
  <c r="AB1961" i="2"/>
  <c r="AA1961" i="2"/>
  <c r="Z1961" i="2"/>
  <c r="Y1961" i="2"/>
  <c r="X1961" i="2"/>
  <c r="W1961" i="2"/>
  <c r="V1961" i="2"/>
  <c r="U1961" i="2"/>
  <c r="T1961" i="2"/>
  <c r="S1961" i="2"/>
  <c r="R1961" i="2"/>
  <c r="Q1961" i="2"/>
  <c r="P1961" i="2"/>
  <c r="O1961" i="2"/>
  <c r="N1961" i="2"/>
  <c r="K1961" i="2"/>
  <c r="J1961" i="2"/>
  <c r="I1961" i="2"/>
  <c r="H1961" i="2"/>
  <c r="G1961" i="2"/>
  <c r="F1961" i="2"/>
  <c r="E1961" i="2"/>
  <c r="D1961" i="2"/>
  <c r="C1961" i="2"/>
  <c r="B1961" i="2"/>
  <c r="A1961" i="2"/>
  <c r="AI1960" i="2"/>
  <c r="AH1960" i="2"/>
  <c r="AF1960" i="2"/>
  <c r="AE1960" i="2"/>
  <c r="AD1960" i="2"/>
  <c r="AC1960" i="2"/>
  <c r="AB1960" i="2"/>
  <c r="AA1960" i="2"/>
  <c r="Z1960" i="2"/>
  <c r="Y1960" i="2"/>
  <c r="X1960" i="2"/>
  <c r="W1960" i="2"/>
  <c r="V1960" i="2"/>
  <c r="U1960" i="2"/>
  <c r="T1960" i="2"/>
  <c r="S1960" i="2"/>
  <c r="R1960" i="2"/>
  <c r="Q1960" i="2"/>
  <c r="P1960" i="2"/>
  <c r="O1960" i="2"/>
  <c r="N1960" i="2"/>
  <c r="M1960" i="2"/>
  <c r="L1960" i="2"/>
  <c r="K1960" i="2"/>
  <c r="J1960" i="2"/>
  <c r="I1960" i="2"/>
  <c r="H1960" i="2"/>
  <c r="G1960" i="2"/>
  <c r="F1960" i="2"/>
  <c r="E1960" i="2"/>
  <c r="D1960" i="2"/>
  <c r="C1960" i="2"/>
  <c r="B1960" i="2"/>
  <c r="A1960" i="2"/>
  <c r="AI1959" i="2"/>
  <c r="AH1959" i="2"/>
  <c r="AF1959" i="2"/>
  <c r="AE1959" i="2"/>
  <c r="AD1959" i="2"/>
  <c r="AC1959" i="2"/>
  <c r="AB1959" i="2"/>
  <c r="AA1959" i="2"/>
  <c r="Z1959" i="2"/>
  <c r="Y1959" i="2"/>
  <c r="X1959" i="2"/>
  <c r="W1959" i="2"/>
  <c r="V1959" i="2"/>
  <c r="U1959" i="2"/>
  <c r="T1959" i="2"/>
  <c r="S1959" i="2"/>
  <c r="R1959" i="2"/>
  <c r="Q1959" i="2"/>
  <c r="P1959" i="2"/>
  <c r="O1959" i="2"/>
  <c r="N1959" i="2"/>
  <c r="K1959" i="2"/>
  <c r="J1959" i="2"/>
  <c r="I1959" i="2"/>
  <c r="H1959" i="2"/>
  <c r="G1959" i="2"/>
  <c r="F1959" i="2"/>
  <c r="E1959" i="2"/>
  <c r="D1959" i="2"/>
  <c r="C1959" i="2"/>
  <c r="B1959" i="2"/>
  <c r="A1959" i="2"/>
  <c r="AI1958" i="2"/>
  <c r="AH1958" i="2"/>
  <c r="AG1958" i="2"/>
  <c r="AF1958" i="2"/>
  <c r="AE1958" i="2"/>
  <c r="AD1958" i="2"/>
  <c r="AC1958" i="2"/>
  <c r="AB1958" i="2"/>
  <c r="AA1958" i="2"/>
  <c r="Z1958" i="2"/>
  <c r="Y1958" i="2"/>
  <c r="X1958" i="2"/>
  <c r="W1958" i="2"/>
  <c r="V1958" i="2"/>
  <c r="U1958" i="2"/>
  <c r="T1958" i="2"/>
  <c r="S1958" i="2"/>
  <c r="R1958" i="2"/>
  <c r="Q1958" i="2"/>
  <c r="P1958" i="2"/>
  <c r="O1958" i="2"/>
  <c r="N1958" i="2"/>
  <c r="K1958" i="2"/>
  <c r="J1958" i="2"/>
  <c r="I1958" i="2"/>
  <c r="H1958" i="2"/>
  <c r="G1958" i="2"/>
  <c r="F1958" i="2"/>
  <c r="E1958" i="2"/>
  <c r="D1958" i="2"/>
  <c r="C1958" i="2"/>
  <c r="B1958" i="2"/>
  <c r="A1958" i="2"/>
  <c r="AI1957" i="2"/>
  <c r="AH1957" i="2"/>
  <c r="AG1957" i="2"/>
  <c r="AF1957" i="2"/>
  <c r="AE1957" i="2"/>
  <c r="AD1957" i="2"/>
  <c r="AC1957" i="2"/>
  <c r="AB1957" i="2"/>
  <c r="AA1957" i="2"/>
  <c r="Z1957" i="2"/>
  <c r="Y1957" i="2"/>
  <c r="X1957" i="2"/>
  <c r="W1957" i="2"/>
  <c r="V1957" i="2"/>
  <c r="U1957" i="2"/>
  <c r="T1957" i="2"/>
  <c r="S1957" i="2"/>
  <c r="R1957" i="2"/>
  <c r="Q1957" i="2"/>
  <c r="P1957" i="2"/>
  <c r="O1957" i="2"/>
  <c r="N1957" i="2"/>
  <c r="K1957" i="2"/>
  <c r="J1957" i="2"/>
  <c r="I1957" i="2"/>
  <c r="H1957" i="2"/>
  <c r="G1957" i="2"/>
  <c r="F1957" i="2"/>
  <c r="E1957" i="2"/>
  <c r="D1957" i="2"/>
  <c r="C1957" i="2"/>
  <c r="B1957" i="2"/>
  <c r="A1957" i="2"/>
  <c r="AI1956" i="2"/>
  <c r="AH1956" i="2"/>
  <c r="AG1956" i="2"/>
  <c r="AF1956" i="2"/>
  <c r="AE1956" i="2"/>
  <c r="AD1956" i="2"/>
  <c r="AC1956" i="2"/>
  <c r="AB1956" i="2"/>
  <c r="AA1956" i="2"/>
  <c r="Z1956" i="2"/>
  <c r="Y1956" i="2"/>
  <c r="X1956" i="2"/>
  <c r="W1956" i="2"/>
  <c r="V1956" i="2"/>
  <c r="U1956" i="2"/>
  <c r="T1956" i="2"/>
  <c r="S1956" i="2"/>
  <c r="R1956" i="2"/>
  <c r="Q1956" i="2"/>
  <c r="P1956" i="2"/>
  <c r="O1956" i="2"/>
  <c r="N1956" i="2"/>
  <c r="M1956" i="2"/>
  <c r="K1956" i="2"/>
  <c r="J1956" i="2"/>
  <c r="I1956" i="2"/>
  <c r="H1956" i="2"/>
  <c r="G1956" i="2"/>
  <c r="F1956" i="2"/>
  <c r="E1956" i="2"/>
  <c r="D1956" i="2"/>
  <c r="C1956" i="2"/>
  <c r="B1956" i="2"/>
  <c r="A1956" i="2"/>
  <c r="AI1955" i="2"/>
  <c r="AH1955" i="2"/>
  <c r="AG1955" i="2"/>
  <c r="AF1955" i="2"/>
  <c r="AE1955" i="2"/>
  <c r="AD1955" i="2"/>
  <c r="AC1955" i="2"/>
  <c r="AB1955" i="2"/>
  <c r="AA1955" i="2"/>
  <c r="Z1955" i="2"/>
  <c r="Y1955" i="2"/>
  <c r="X1955" i="2"/>
  <c r="W1955" i="2"/>
  <c r="V1955" i="2"/>
  <c r="U1955" i="2"/>
  <c r="T1955" i="2"/>
  <c r="S1955" i="2"/>
  <c r="R1955" i="2"/>
  <c r="Q1955" i="2"/>
  <c r="P1955" i="2"/>
  <c r="O1955" i="2"/>
  <c r="N1955" i="2"/>
  <c r="M1955" i="2"/>
  <c r="K1955" i="2"/>
  <c r="J1955" i="2"/>
  <c r="I1955" i="2"/>
  <c r="H1955" i="2"/>
  <c r="G1955" i="2"/>
  <c r="F1955" i="2"/>
  <c r="E1955" i="2"/>
  <c r="D1955" i="2"/>
  <c r="C1955" i="2"/>
  <c r="B1955" i="2"/>
  <c r="A1955" i="2"/>
  <c r="AH1954" i="2"/>
  <c r="AG1954" i="2"/>
  <c r="AF1954" i="2"/>
  <c r="AE1954" i="2"/>
  <c r="AD1954" i="2"/>
  <c r="AC1954" i="2"/>
  <c r="AB1954" i="2"/>
  <c r="AA1954" i="2"/>
  <c r="Z1954" i="2"/>
  <c r="Y1954" i="2"/>
  <c r="X1954" i="2"/>
  <c r="V1954" i="2"/>
  <c r="U1954" i="2"/>
  <c r="T1954" i="2"/>
  <c r="S1954" i="2"/>
  <c r="R1954" i="2"/>
  <c r="Q1954" i="2"/>
  <c r="P1954" i="2"/>
  <c r="O1954" i="2"/>
  <c r="N1954" i="2"/>
  <c r="K1954" i="2"/>
  <c r="J1954" i="2"/>
  <c r="I1954" i="2"/>
  <c r="H1954" i="2"/>
  <c r="G1954" i="2"/>
  <c r="F1954" i="2"/>
  <c r="E1954" i="2"/>
  <c r="D1954" i="2"/>
  <c r="C1954" i="2"/>
  <c r="B1954" i="2"/>
  <c r="A1954" i="2"/>
  <c r="AJ1953" i="2"/>
  <c r="AI1953" i="2"/>
  <c r="AH1953" i="2"/>
  <c r="AG1953" i="2"/>
  <c r="AF1953" i="2"/>
  <c r="AE1953" i="2"/>
  <c r="AD1953" i="2"/>
  <c r="AC1953" i="2"/>
  <c r="AB1953" i="2"/>
  <c r="AA1953" i="2"/>
  <c r="Z1953" i="2"/>
  <c r="Y1953" i="2"/>
  <c r="X1953" i="2"/>
  <c r="W1953" i="2"/>
  <c r="V1953" i="2"/>
  <c r="U1953" i="2"/>
  <c r="T1953" i="2"/>
  <c r="S1953" i="2"/>
  <c r="R1953" i="2"/>
  <c r="Q1953" i="2"/>
  <c r="P1953" i="2"/>
  <c r="O1953" i="2"/>
  <c r="N1953" i="2"/>
  <c r="K1953" i="2"/>
  <c r="J1953" i="2"/>
  <c r="I1953" i="2"/>
  <c r="H1953" i="2"/>
  <c r="G1953" i="2"/>
  <c r="F1953" i="2"/>
  <c r="E1953" i="2"/>
  <c r="D1953" i="2"/>
  <c r="C1953" i="2"/>
  <c r="B1953" i="2"/>
  <c r="A1953" i="2"/>
  <c r="AJ1952" i="2"/>
  <c r="AI1952" i="2"/>
  <c r="AH1952" i="2"/>
  <c r="AG1952" i="2"/>
  <c r="AF1952" i="2"/>
  <c r="AE1952" i="2"/>
  <c r="AD1952" i="2"/>
  <c r="AC1952" i="2"/>
  <c r="AB1952" i="2"/>
  <c r="AA1952" i="2"/>
  <c r="Z1952" i="2"/>
  <c r="Y1952" i="2"/>
  <c r="W1952" i="2"/>
  <c r="V1952" i="2"/>
  <c r="U1952" i="2"/>
  <c r="T1952" i="2"/>
  <c r="S1952" i="2"/>
  <c r="R1952" i="2"/>
  <c r="Q1952" i="2"/>
  <c r="P1952" i="2"/>
  <c r="O1952" i="2"/>
  <c r="N1952" i="2"/>
  <c r="M1952" i="2"/>
  <c r="K1952" i="2"/>
  <c r="J1952" i="2"/>
  <c r="I1952" i="2"/>
  <c r="H1952" i="2"/>
  <c r="G1952" i="2"/>
  <c r="F1952" i="2"/>
  <c r="E1952" i="2"/>
  <c r="D1952" i="2"/>
  <c r="C1952" i="2"/>
  <c r="B1952" i="2"/>
  <c r="A1952" i="2"/>
  <c r="AJ1951" i="2"/>
  <c r="AI1951" i="2"/>
  <c r="AH1951" i="2"/>
  <c r="AF1951" i="2"/>
  <c r="AE1951" i="2"/>
  <c r="AD1951" i="2"/>
  <c r="AC1951" i="2"/>
  <c r="AA1951" i="2"/>
  <c r="Z1951" i="2"/>
  <c r="Y1951" i="2"/>
  <c r="X1951" i="2"/>
  <c r="W1951" i="2"/>
  <c r="V1951" i="2"/>
  <c r="U1951" i="2"/>
  <c r="T1951" i="2"/>
  <c r="S1951" i="2"/>
  <c r="R1951" i="2"/>
  <c r="Q1951" i="2"/>
  <c r="P1951" i="2"/>
  <c r="O1951" i="2"/>
  <c r="N1951" i="2"/>
  <c r="M1951" i="2"/>
  <c r="K1951" i="2"/>
  <c r="J1951" i="2"/>
  <c r="I1951" i="2"/>
  <c r="H1951" i="2"/>
  <c r="G1951" i="2"/>
  <c r="F1951" i="2"/>
  <c r="E1951" i="2"/>
  <c r="D1951" i="2"/>
  <c r="C1951" i="2"/>
  <c r="B1951" i="2"/>
  <c r="A1951" i="2"/>
  <c r="AI1950" i="2"/>
  <c r="AH1950" i="2"/>
  <c r="AG1950" i="2"/>
  <c r="AF1950" i="2"/>
  <c r="AE1950" i="2"/>
  <c r="AD1950" i="2"/>
  <c r="AC1950" i="2"/>
  <c r="AB1950" i="2"/>
  <c r="AA1950" i="2"/>
  <c r="Z1950" i="2"/>
  <c r="Y1950" i="2"/>
  <c r="X1950" i="2"/>
  <c r="T1950" i="2"/>
  <c r="S1950" i="2"/>
  <c r="R1950" i="2"/>
  <c r="Q1950" i="2"/>
  <c r="P1950" i="2"/>
  <c r="O1950" i="2"/>
  <c r="N1950" i="2"/>
  <c r="K1950" i="2"/>
  <c r="J1950" i="2"/>
  <c r="I1950" i="2"/>
  <c r="H1950" i="2"/>
  <c r="G1950" i="2"/>
  <c r="F1950" i="2"/>
  <c r="E1950" i="2"/>
  <c r="D1950" i="2"/>
  <c r="C1950" i="2"/>
  <c r="B1950" i="2"/>
  <c r="A1950" i="2"/>
  <c r="AH1949" i="2"/>
  <c r="AG1949" i="2"/>
  <c r="AF1949" i="2"/>
  <c r="AE1949" i="2"/>
  <c r="AD1949" i="2"/>
  <c r="AC1949" i="2"/>
  <c r="AB1949" i="2"/>
  <c r="AA1949" i="2"/>
  <c r="Z1949" i="2"/>
  <c r="Y1949" i="2"/>
  <c r="X1949" i="2"/>
  <c r="V1949" i="2"/>
  <c r="U1949" i="2"/>
  <c r="T1949" i="2"/>
  <c r="S1949" i="2"/>
  <c r="R1949" i="2"/>
  <c r="Q1949" i="2"/>
  <c r="P1949" i="2"/>
  <c r="O1949" i="2"/>
  <c r="N1949" i="2"/>
  <c r="K1949" i="2"/>
  <c r="J1949" i="2"/>
  <c r="I1949" i="2"/>
  <c r="H1949" i="2"/>
  <c r="G1949" i="2"/>
  <c r="F1949" i="2"/>
  <c r="E1949" i="2"/>
  <c r="D1949" i="2"/>
  <c r="C1949" i="2"/>
  <c r="B1949" i="2"/>
  <c r="A1949" i="2"/>
  <c r="AI1948" i="2"/>
  <c r="AH1948" i="2"/>
  <c r="AG1948" i="2"/>
  <c r="AF1948" i="2"/>
  <c r="AE1948" i="2"/>
  <c r="AD1948" i="2"/>
  <c r="AC1948" i="2"/>
  <c r="AB1948" i="2"/>
  <c r="AA1948" i="2"/>
  <c r="Z1948" i="2"/>
  <c r="Y1948" i="2"/>
  <c r="X1948" i="2"/>
  <c r="W1948" i="2"/>
  <c r="V1948" i="2"/>
  <c r="U1948" i="2"/>
  <c r="T1948" i="2"/>
  <c r="S1948" i="2"/>
  <c r="R1948" i="2"/>
  <c r="Q1948" i="2"/>
  <c r="P1948" i="2"/>
  <c r="O1948" i="2"/>
  <c r="N1948" i="2"/>
  <c r="K1948" i="2"/>
  <c r="J1948" i="2"/>
  <c r="I1948" i="2"/>
  <c r="H1948" i="2"/>
  <c r="G1948" i="2"/>
  <c r="F1948" i="2"/>
  <c r="E1948" i="2"/>
  <c r="D1948" i="2"/>
  <c r="C1948" i="2"/>
  <c r="B1948" i="2"/>
  <c r="A1948" i="2"/>
  <c r="AI1947" i="2"/>
  <c r="AH1947" i="2"/>
  <c r="AG1947" i="2"/>
  <c r="AF1947" i="2"/>
  <c r="AE1947" i="2"/>
  <c r="AD1947" i="2"/>
  <c r="AC1947" i="2"/>
  <c r="AB1947" i="2"/>
  <c r="AA1947" i="2"/>
  <c r="Z1947" i="2"/>
  <c r="Y1947" i="2"/>
  <c r="X1947" i="2"/>
  <c r="U1947" i="2"/>
  <c r="T1947" i="2"/>
  <c r="S1947" i="2"/>
  <c r="R1947" i="2"/>
  <c r="Q1947" i="2"/>
  <c r="P1947" i="2"/>
  <c r="O1947" i="2"/>
  <c r="N1947" i="2"/>
  <c r="K1947" i="2"/>
  <c r="J1947" i="2"/>
  <c r="I1947" i="2"/>
  <c r="H1947" i="2"/>
  <c r="G1947" i="2"/>
  <c r="F1947" i="2"/>
  <c r="E1947" i="2"/>
  <c r="D1947" i="2"/>
  <c r="C1947" i="2"/>
  <c r="B1947" i="2"/>
  <c r="A1947" i="2"/>
  <c r="AI1946" i="2"/>
  <c r="AH1946" i="2"/>
  <c r="AG1946" i="2"/>
  <c r="AF1946" i="2"/>
  <c r="AE1946" i="2"/>
  <c r="AD1946" i="2"/>
  <c r="AC1946" i="2"/>
  <c r="AB1946" i="2"/>
  <c r="AA1946" i="2"/>
  <c r="Z1946" i="2"/>
  <c r="Y1946" i="2"/>
  <c r="X1946" i="2"/>
  <c r="U1946" i="2"/>
  <c r="T1946" i="2"/>
  <c r="S1946" i="2"/>
  <c r="R1946" i="2"/>
  <c r="Q1946" i="2"/>
  <c r="P1946" i="2"/>
  <c r="O1946" i="2"/>
  <c r="N1946" i="2"/>
  <c r="K1946" i="2"/>
  <c r="J1946" i="2"/>
  <c r="I1946" i="2"/>
  <c r="H1946" i="2"/>
  <c r="G1946" i="2"/>
  <c r="F1946" i="2"/>
  <c r="E1946" i="2"/>
  <c r="D1946" i="2"/>
  <c r="C1946" i="2"/>
  <c r="B1946" i="2"/>
  <c r="A1946" i="2"/>
  <c r="AI1945" i="2"/>
  <c r="AH1945" i="2"/>
  <c r="AG1945" i="2"/>
  <c r="AF1945" i="2"/>
  <c r="AE1945" i="2"/>
  <c r="AD1945" i="2"/>
  <c r="AC1945" i="2"/>
  <c r="AB1945" i="2"/>
  <c r="AA1945" i="2"/>
  <c r="Z1945" i="2"/>
  <c r="Y1945" i="2"/>
  <c r="X1945" i="2"/>
  <c r="W1945" i="2"/>
  <c r="V1945" i="2"/>
  <c r="U1945" i="2"/>
  <c r="T1945" i="2"/>
  <c r="S1945" i="2"/>
  <c r="R1945" i="2"/>
  <c r="Q1945" i="2"/>
  <c r="P1945" i="2"/>
  <c r="O1945" i="2"/>
  <c r="N1945" i="2"/>
  <c r="K1945" i="2"/>
  <c r="J1945" i="2"/>
  <c r="I1945" i="2"/>
  <c r="H1945" i="2"/>
  <c r="G1945" i="2"/>
  <c r="F1945" i="2"/>
  <c r="E1945" i="2"/>
  <c r="D1945" i="2"/>
  <c r="C1945" i="2"/>
  <c r="B1945" i="2"/>
  <c r="A1945" i="2"/>
  <c r="AI1944" i="2"/>
  <c r="AF1944" i="2"/>
  <c r="AE1944" i="2"/>
  <c r="AD1944" i="2"/>
  <c r="AC1944" i="2"/>
  <c r="AB1944" i="2"/>
  <c r="AA1944" i="2"/>
  <c r="Z1944" i="2"/>
  <c r="Y1944" i="2"/>
  <c r="X1944" i="2"/>
  <c r="U1944" i="2"/>
  <c r="T1944" i="2"/>
  <c r="S1944" i="2"/>
  <c r="R1944" i="2"/>
  <c r="Q1944" i="2"/>
  <c r="P1944" i="2"/>
  <c r="O1944" i="2"/>
  <c r="N1944" i="2"/>
  <c r="K1944" i="2"/>
  <c r="J1944" i="2"/>
  <c r="I1944" i="2"/>
  <c r="H1944" i="2"/>
  <c r="G1944" i="2"/>
  <c r="F1944" i="2"/>
  <c r="E1944" i="2"/>
  <c r="D1944" i="2"/>
  <c r="C1944" i="2"/>
  <c r="B1944" i="2"/>
  <c r="A1944" i="2"/>
  <c r="AI1943" i="2"/>
  <c r="AH1943" i="2"/>
  <c r="AF1943" i="2"/>
  <c r="AE1943" i="2"/>
  <c r="AD1943" i="2"/>
  <c r="AC1943" i="2"/>
  <c r="AA1943" i="2"/>
  <c r="Z1943" i="2"/>
  <c r="Y1943" i="2"/>
  <c r="X1943" i="2"/>
  <c r="U1943" i="2"/>
  <c r="T1943" i="2"/>
  <c r="S1943" i="2"/>
  <c r="R1943" i="2"/>
  <c r="Q1943" i="2"/>
  <c r="P1943" i="2"/>
  <c r="O1943" i="2"/>
  <c r="N1943" i="2"/>
  <c r="K1943" i="2"/>
  <c r="J1943" i="2"/>
  <c r="I1943" i="2"/>
  <c r="H1943" i="2"/>
  <c r="G1943" i="2"/>
  <c r="F1943" i="2"/>
  <c r="E1943" i="2"/>
  <c r="D1943" i="2"/>
  <c r="C1943" i="2"/>
  <c r="B1943" i="2"/>
  <c r="A1943" i="2"/>
  <c r="AI1942" i="2"/>
  <c r="AH1942" i="2"/>
  <c r="AF1942" i="2"/>
  <c r="AE1942" i="2"/>
  <c r="AD1942" i="2"/>
  <c r="AC1942" i="2"/>
  <c r="AB1942" i="2"/>
  <c r="AA1942" i="2"/>
  <c r="Z1942" i="2"/>
  <c r="Y1942" i="2"/>
  <c r="V1942" i="2"/>
  <c r="U1942" i="2"/>
  <c r="T1942" i="2"/>
  <c r="S1942" i="2"/>
  <c r="R1942" i="2"/>
  <c r="Q1942" i="2"/>
  <c r="P1942" i="2"/>
  <c r="O1942" i="2"/>
  <c r="N1942" i="2"/>
  <c r="K1942" i="2"/>
  <c r="J1942" i="2"/>
  <c r="I1942" i="2"/>
  <c r="H1942" i="2"/>
  <c r="G1942" i="2"/>
  <c r="F1942" i="2"/>
  <c r="E1942" i="2"/>
  <c r="D1942" i="2"/>
  <c r="C1942" i="2"/>
  <c r="B1942" i="2"/>
  <c r="A1942" i="2"/>
  <c r="AJ1941" i="2"/>
  <c r="AI1941" i="2"/>
  <c r="AH1941" i="2"/>
  <c r="AG1941" i="2"/>
  <c r="AF1941" i="2"/>
  <c r="AE1941" i="2"/>
  <c r="AD1941" i="2"/>
  <c r="AC1941" i="2"/>
  <c r="AB1941" i="2"/>
  <c r="AA1941" i="2"/>
  <c r="Z1941" i="2"/>
  <c r="Y1941" i="2"/>
  <c r="X1941" i="2"/>
  <c r="W1941" i="2"/>
  <c r="V1941" i="2"/>
  <c r="U1941" i="2"/>
  <c r="T1941" i="2"/>
  <c r="S1941" i="2"/>
  <c r="R1941" i="2"/>
  <c r="Q1941" i="2"/>
  <c r="P1941" i="2"/>
  <c r="O1941" i="2"/>
  <c r="N1941" i="2"/>
  <c r="M1941" i="2"/>
  <c r="K1941" i="2"/>
  <c r="J1941" i="2"/>
  <c r="I1941" i="2"/>
  <c r="H1941" i="2"/>
  <c r="G1941" i="2"/>
  <c r="F1941" i="2"/>
  <c r="E1941" i="2"/>
  <c r="D1941" i="2"/>
  <c r="C1941" i="2"/>
  <c r="B1941" i="2"/>
  <c r="A1941" i="2"/>
  <c r="AJ1940" i="2"/>
  <c r="AH1940" i="2"/>
  <c r="AG1940" i="2"/>
  <c r="AF1940" i="2"/>
  <c r="AD1940" i="2"/>
  <c r="AC1940" i="2"/>
  <c r="AB1940" i="2"/>
  <c r="AA1940" i="2"/>
  <c r="Z1940" i="2"/>
  <c r="Y1940" i="2"/>
  <c r="X1940" i="2"/>
  <c r="W1940" i="2"/>
  <c r="V1940" i="2"/>
  <c r="U1940" i="2"/>
  <c r="T1940" i="2"/>
  <c r="S1940" i="2"/>
  <c r="R1940" i="2"/>
  <c r="Q1940" i="2"/>
  <c r="P1940" i="2"/>
  <c r="O1940" i="2"/>
  <c r="N1940" i="2"/>
  <c r="K1940" i="2"/>
  <c r="J1940" i="2"/>
  <c r="I1940" i="2"/>
  <c r="H1940" i="2"/>
  <c r="G1940" i="2"/>
  <c r="F1940" i="2"/>
  <c r="E1940" i="2"/>
  <c r="D1940" i="2"/>
  <c r="C1940" i="2"/>
  <c r="B1940" i="2"/>
  <c r="A1940" i="2"/>
  <c r="AJ1939" i="2"/>
  <c r="AI1939" i="2"/>
  <c r="AH1939" i="2"/>
  <c r="AF1939" i="2"/>
  <c r="AE1939" i="2"/>
  <c r="AD1939" i="2"/>
  <c r="AC1939" i="2"/>
  <c r="AB1939" i="2"/>
  <c r="AA1939" i="2"/>
  <c r="Z1939" i="2"/>
  <c r="Y1939" i="2"/>
  <c r="X1939" i="2"/>
  <c r="W1939" i="2"/>
  <c r="U1939" i="2"/>
  <c r="T1939" i="2"/>
  <c r="S1939" i="2"/>
  <c r="R1939" i="2"/>
  <c r="Q1939" i="2"/>
  <c r="P1939" i="2"/>
  <c r="O1939" i="2"/>
  <c r="N1939" i="2"/>
  <c r="M1939" i="2"/>
  <c r="K1939" i="2"/>
  <c r="J1939" i="2"/>
  <c r="I1939" i="2"/>
  <c r="H1939" i="2"/>
  <c r="G1939" i="2"/>
  <c r="F1939" i="2"/>
  <c r="E1939" i="2"/>
  <c r="D1939" i="2"/>
  <c r="C1939" i="2"/>
  <c r="B1939" i="2"/>
  <c r="A1939" i="2"/>
  <c r="AI1938" i="2"/>
  <c r="AH1938" i="2"/>
  <c r="AG1938" i="2"/>
  <c r="AF1938" i="2"/>
  <c r="AE1938" i="2"/>
  <c r="AD1938" i="2"/>
  <c r="AC1938" i="2"/>
  <c r="AB1938" i="2"/>
  <c r="AA1938" i="2"/>
  <c r="Z1938" i="2"/>
  <c r="Y1938" i="2"/>
  <c r="X1938" i="2"/>
  <c r="W1938" i="2"/>
  <c r="V1938" i="2"/>
  <c r="U1938" i="2"/>
  <c r="T1938" i="2"/>
  <c r="S1938" i="2"/>
  <c r="R1938" i="2"/>
  <c r="Q1938" i="2"/>
  <c r="P1938" i="2"/>
  <c r="O1938" i="2"/>
  <c r="N1938" i="2"/>
  <c r="K1938" i="2"/>
  <c r="J1938" i="2"/>
  <c r="I1938" i="2"/>
  <c r="H1938" i="2"/>
  <c r="G1938" i="2"/>
  <c r="F1938" i="2"/>
  <c r="E1938" i="2"/>
  <c r="D1938" i="2"/>
  <c r="C1938" i="2"/>
  <c r="B1938" i="2"/>
  <c r="A1938" i="2"/>
  <c r="AJ1937" i="2"/>
  <c r="AI1937" i="2"/>
  <c r="AF1937" i="2"/>
  <c r="AE1937" i="2"/>
  <c r="AD1937" i="2"/>
  <c r="AC1937" i="2"/>
  <c r="AA1937" i="2"/>
  <c r="Z1937" i="2"/>
  <c r="Y1937" i="2"/>
  <c r="X1937" i="2"/>
  <c r="W1937" i="2"/>
  <c r="Q1937" i="2"/>
  <c r="P1937" i="2"/>
  <c r="O1937" i="2"/>
  <c r="N1937" i="2"/>
  <c r="M1937" i="2"/>
  <c r="L1937" i="2"/>
  <c r="K1937" i="2"/>
  <c r="J1937" i="2"/>
  <c r="I1937" i="2"/>
  <c r="H1937" i="2"/>
  <c r="G1937" i="2"/>
  <c r="F1937" i="2"/>
  <c r="E1937" i="2"/>
  <c r="D1937" i="2"/>
  <c r="C1937" i="2"/>
  <c r="B1937" i="2"/>
  <c r="A1937" i="2"/>
  <c r="AI1936" i="2"/>
  <c r="AH1936" i="2"/>
  <c r="AF1936" i="2"/>
  <c r="AE1936" i="2"/>
  <c r="AD1936" i="2"/>
  <c r="AC1936" i="2"/>
  <c r="AB1936" i="2"/>
  <c r="AA1936" i="2"/>
  <c r="Z1936" i="2"/>
  <c r="Y1936" i="2"/>
  <c r="X1936" i="2"/>
  <c r="U1936" i="2"/>
  <c r="T1936" i="2"/>
  <c r="S1936" i="2"/>
  <c r="R1936" i="2"/>
  <c r="Q1936" i="2"/>
  <c r="P1936" i="2"/>
  <c r="O1936" i="2"/>
  <c r="N1936" i="2"/>
  <c r="K1936" i="2"/>
  <c r="J1936" i="2"/>
  <c r="I1936" i="2"/>
  <c r="H1936" i="2"/>
  <c r="G1936" i="2"/>
  <c r="F1936" i="2"/>
  <c r="E1936" i="2"/>
  <c r="D1936" i="2"/>
  <c r="C1936" i="2"/>
  <c r="B1936" i="2"/>
  <c r="A1936" i="2"/>
  <c r="AI1935" i="2"/>
  <c r="AH1935" i="2"/>
  <c r="AG1935" i="2"/>
  <c r="AF1935" i="2"/>
  <c r="AE1935" i="2"/>
  <c r="AD1935" i="2"/>
  <c r="AC1935" i="2"/>
  <c r="AB1935" i="2"/>
  <c r="AA1935" i="2"/>
  <c r="Z1935" i="2"/>
  <c r="Y1935" i="2"/>
  <c r="X1935" i="2"/>
  <c r="W1935" i="2"/>
  <c r="V1935" i="2"/>
  <c r="U1935" i="2"/>
  <c r="T1935" i="2"/>
  <c r="S1935" i="2"/>
  <c r="R1935" i="2"/>
  <c r="Q1935" i="2"/>
  <c r="P1935" i="2"/>
  <c r="O1935" i="2"/>
  <c r="N1935" i="2"/>
  <c r="K1935" i="2"/>
  <c r="J1935" i="2"/>
  <c r="I1935" i="2"/>
  <c r="H1935" i="2"/>
  <c r="G1935" i="2"/>
  <c r="F1935" i="2"/>
  <c r="E1935" i="2"/>
  <c r="D1935" i="2"/>
  <c r="C1935" i="2"/>
  <c r="B1935" i="2"/>
  <c r="A1935" i="2"/>
  <c r="AI1934" i="2"/>
  <c r="AH1934" i="2"/>
  <c r="AG1934" i="2"/>
  <c r="AF1934" i="2"/>
  <c r="AE1934" i="2"/>
  <c r="AD1934" i="2"/>
  <c r="AC1934" i="2"/>
  <c r="AB1934" i="2"/>
  <c r="AA1934" i="2"/>
  <c r="Z1934" i="2"/>
  <c r="Y1934" i="2"/>
  <c r="X1934" i="2"/>
  <c r="V1934" i="2"/>
  <c r="U1934" i="2"/>
  <c r="T1934" i="2"/>
  <c r="S1934" i="2"/>
  <c r="R1934" i="2"/>
  <c r="Q1934" i="2"/>
  <c r="P1934" i="2"/>
  <c r="O1934" i="2"/>
  <c r="N1934" i="2"/>
  <c r="K1934" i="2"/>
  <c r="J1934" i="2"/>
  <c r="I1934" i="2"/>
  <c r="H1934" i="2"/>
  <c r="G1934" i="2"/>
  <c r="F1934" i="2"/>
  <c r="E1934" i="2"/>
  <c r="D1934" i="2"/>
  <c r="C1934" i="2"/>
  <c r="B1934" i="2"/>
  <c r="A1934" i="2"/>
  <c r="AJ1933" i="2"/>
  <c r="AI1933" i="2"/>
  <c r="AH1933" i="2"/>
  <c r="AG1933" i="2"/>
  <c r="AF1933" i="2"/>
  <c r="AE1933" i="2"/>
  <c r="AD1933" i="2"/>
  <c r="AC1933" i="2"/>
  <c r="AB1933" i="2"/>
  <c r="AA1933" i="2"/>
  <c r="Z1933" i="2"/>
  <c r="Y1933" i="2"/>
  <c r="X1933" i="2"/>
  <c r="W1933" i="2"/>
  <c r="V1933" i="2"/>
  <c r="U1933" i="2"/>
  <c r="T1933" i="2"/>
  <c r="S1933" i="2"/>
  <c r="R1933" i="2"/>
  <c r="Q1933" i="2"/>
  <c r="P1933" i="2"/>
  <c r="O1933" i="2"/>
  <c r="N1933" i="2"/>
  <c r="M1933" i="2"/>
  <c r="L1933" i="2"/>
  <c r="K1933" i="2"/>
  <c r="J1933" i="2"/>
  <c r="I1933" i="2"/>
  <c r="H1933" i="2"/>
  <c r="G1933" i="2"/>
  <c r="F1933" i="2"/>
  <c r="E1933" i="2"/>
  <c r="D1933" i="2"/>
  <c r="C1933" i="2"/>
  <c r="B1933" i="2"/>
  <c r="A1933" i="2"/>
  <c r="AI1932" i="2"/>
  <c r="AH1932" i="2"/>
  <c r="AG1932" i="2"/>
  <c r="AF1932" i="2"/>
  <c r="AE1932" i="2"/>
  <c r="AD1932" i="2"/>
  <c r="AC1932" i="2"/>
  <c r="AB1932" i="2"/>
  <c r="AA1932" i="2"/>
  <c r="Z1932" i="2"/>
  <c r="Y1932" i="2"/>
  <c r="X1932" i="2"/>
  <c r="W1932" i="2"/>
  <c r="V1932" i="2"/>
  <c r="U1932" i="2"/>
  <c r="T1932" i="2"/>
  <c r="S1932" i="2"/>
  <c r="R1932" i="2"/>
  <c r="Q1932" i="2"/>
  <c r="P1932" i="2"/>
  <c r="O1932" i="2"/>
  <c r="N1932" i="2"/>
  <c r="K1932" i="2"/>
  <c r="J1932" i="2"/>
  <c r="I1932" i="2"/>
  <c r="H1932" i="2"/>
  <c r="G1932" i="2"/>
  <c r="F1932" i="2"/>
  <c r="E1932" i="2"/>
  <c r="D1932" i="2"/>
  <c r="C1932" i="2"/>
  <c r="B1932" i="2"/>
  <c r="A1932" i="2"/>
  <c r="AJ1931" i="2"/>
  <c r="AI1931" i="2"/>
  <c r="AH1931" i="2"/>
  <c r="AG1931" i="2"/>
  <c r="AF1931" i="2"/>
  <c r="AE1931" i="2"/>
  <c r="AD1931" i="2"/>
  <c r="AB1931" i="2"/>
  <c r="AA1931" i="2"/>
  <c r="Z1931" i="2"/>
  <c r="Y1931" i="2"/>
  <c r="U1931" i="2"/>
  <c r="T1931" i="2"/>
  <c r="S1931" i="2"/>
  <c r="R1931" i="2"/>
  <c r="Q1931" i="2"/>
  <c r="P1931" i="2"/>
  <c r="O1931" i="2"/>
  <c r="N1931" i="2"/>
  <c r="K1931" i="2"/>
  <c r="J1931" i="2"/>
  <c r="I1931" i="2"/>
  <c r="H1931" i="2"/>
  <c r="G1931" i="2"/>
  <c r="F1931" i="2"/>
  <c r="E1931" i="2"/>
  <c r="D1931" i="2"/>
  <c r="C1931" i="2"/>
  <c r="B1931" i="2"/>
  <c r="A1931" i="2"/>
  <c r="AJ1930" i="2"/>
  <c r="AI1930" i="2"/>
  <c r="AH1930" i="2"/>
  <c r="AG1930" i="2"/>
  <c r="AF1930" i="2"/>
  <c r="AE1930" i="2"/>
  <c r="AD1930" i="2"/>
  <c r="AC1930" i="2"/>
  <c r="AB1930" i="2"/>
  <c r="AA1930" i="2"/>
  <c r="Z1930" i="2"/>
  <c r="Y1930" i="2"/>
  <c r="X1930" i="2"/>
  <c r="W1930" i="2"/>
  <c r="V1930" i="2"/>
  <c r="U1930" i="2"/>
  <c r="T1930" i="2"/>
  <c r="S1930" i="2"/>
  <c r="R1930" i="2"/>
  <c r="Q1930" i="2"/>
  <c r="P1930" i="2"/>
  <c r="O1930" i="2"/>
  <c r="N1930" i="2"/>
  <c r="K1930" i="2"/>
  <c r="J1930" i="2"/>
  <c r="I1930" i="2"/>
  <c r="H1930" i="2"/>
  <c r="G1930" i="2"/>
  <c r="F1930" i="2"/>
  <c r="E1930" i="2"/>
  <c r="D1930" i="2"/>
  <c r="C1930" i="2"/>
  <c r="B1930" i="2"/>
  <c r="A1930" i="2"/>
  <c r="AI1929" i="2"/>
  <c r="AH1929" i="2"/>
  <c r="AG1929" i="2"/>
  <c r="AF1929" i="2"/>
  <c r="AE1929" i="2"/>
  <c r="AD1929" i="2"/>
  <c r="AB1929" i="2"/>
  <c r="AA1929" i="2"/>
  <c r="Z1929" i="2"/>
  <c r="Y1929" i="2"/>
  <c r="X1929" i="2"/>
  <c r="V1929" i="2"/>
  <c r="U1929" i="2"/>
  <c r="T1929" i="2"/>
  <c r="S1929" i="2"/>
  <c r="R1929" i="2"/>
  <c r="Q1929" i="2"/>
  <c r="P1929" i="2"/>
  <c r="O1929" i="2"/>
  <c r="N1929" i="2"/>
  <c r="K1929" i="2"/>
  <c r="J1929" i="2"/>
  <c r="I1929" i="2"/>
  <c r="H1929" i="2"/>
  <c r="G1929" i="2"/>
  <c r="F1929" i="2"/>
  <c r="E1929" i="2"/>
  <c r="D1929" i="2"/>
  <c r="C1929" i="2"/>
  <c r="B1929" i="2"/>
  <c r="A1929" i="2"/>
  <c r="AI1928" i="2"/>
  <c r="AH1928" i="2"/>
  <c r="AG1928" i="2"/>
  <c r="AF1928" i="2"/>
  <c r="AE1928" i="2"/>
  <c r="AD1928" i="2"/>
  <c r="AC1928" i="2"/>
  <c r="AB1928" i="2"/>
  <c r="AA1928" i="2"/>
  <c r="Z1928" i="2"/>
  <c r="Y1928" i="2"/>
  <c r="X1928" i="2"/>
  <c r="V1928" i="2"/>
  <c r="U1928" i="2"/>
  <c r="T1928" i="2"/>
  <c r="S1928" i="2"/>
  <c r="R1928" i="2"/>
  <c r="Q1928" i="2"/>
  <c r="P1928" i="2"/>
  <c r="O1928" i="2"/>
  <c r="N1928" i="2"/>
  <c r="K1928" i="2"/>
  <c r="J1928" i="2"/>
  <c r="I1928" i="2"/>
  <c r="H1928" i="2"/>
  <c r="G1928" i="2"/>
  <c r="F1928" i="2"/>
  <c r="E1928" i="2"/>
  <c r="D1928" i="2"/>
  <c r="C1928" i="2"/>
  <c r="B1928" i="2"/>
  <c r="A1928" i="2"/>
  <c r="AJ1927" i="2"/>
  <c r="AI1927" i="2"/>
  <c r="AH1927" i="2"/>
  <c r="AG1927" i="2"/>
  <c r="AF1927" i="2"/>
  <c r="AE1927" i="2"/>
  <c r="AD1927" i="2"/>
  <c r="AC1927" i="2"/>
  <c r="AB1927" i="2"/>
  <c r="AA1927" i="2"/>
  <c r="Z1927" i="2"/>
  <c r="Y1927" i="2"/>
  <c r="X1927" i="2"/>
  <c r="W1927" i="2"/>
  <c r="V1927" i="2"/>
  <c r="U1927" i="2"/>
  <c r="T1927" i="2"/>
  <c r="S1927" i="2"/>
  <c r="R1927" i="2"/>
  <c r="Q1927" i="2"/>
  <c r="P1927" i="2"/>
  <c r="O1927" i="2"/>
  <c r="N1927" i="2"/>
  <c r="K1927" i="2"/>
  <c r="J1927" i="2"/>
  <c r="I1927" i="2"/>
  <c r="H1927" i="2"/>
  <c r="G1927" i="2"/>
  <c r="F1927" i="2"/>
  <c r="E1927" i="2"/>
  <c r="D1927" i="2"/>
  <c r="C1927" i="2"/>
  <c r="B1927" i="2"/>
  <c r="A1927" i="2"/>
  <c r="AI1926" i="2"/>
  <c r="AH1926" i="2"/>
  <c r="AG1926" i="2"/>
  <c r="AF1926" i="2"/>
  <c r="AE1926" i="2"/>
  <c r="AD1926" i="2"/>
  <c r="AC1926" i="2"/>
  <c r="AB1926" i="2"/>
  <c r="AA1926" i="2"/>
  <c r="Z1926" i="2"/>
  <c r="Y1926" i="2"/>
  <c r="X1926" i="2"/>
  <c r="W1926" i="2"/>
  <c r="V1926" i="2"/>
  <c r="U1926" i="2"/>
  <c r="T1926" i="2"/>
  <c r="S1926" i="2"/>
  <c r="R1926" i="2"/>
  <c r="Q1926" i="2"/>
  <c r="P1926" i="2"/>
  <c r="O1926" i="2"/>
  <c r="N1926" i="2"/>
  <c r="K1926" i="2"/>
  <c r="J1926" i="2"/>
  <c r="I1926" i="2"/>
  <c r="H1926" i="2"/>
  <c r="G1926" i="2"/>
  <c r="F1926" i="2"/>
  <c r="E1926" i="2"/>
  <c r="D1926" i="2"/>
  <c r="C1926" i="2"/>
  <c r="B1926" i="2"/>
  <c r="A1926" i="2"/>
  <c r="AI1925" i="2"/>
  <c r="AH1925" i="2"/>
  <c r="AG1925" i="2"/>
  <c r="AF1925" i="2"/>
  <c r="AE1925" i="2"/>
  <c r="AD1925" i="2"/>
  <c r="AC1925" i="2"/>
  <c r="AB1925" i="2"/>
  <c r="AA1925" i="2"/>
  <c r="Z1925" i="2"/>
  <c r="Y1925" i="2"/>
  <c r="X1925" i="2"/>
  <c r="V1925" i="2"/>
  <c r="U1925" i="2"/>
  <c r="T1925" i="2"/>
  <c r="S1925" i="2"/>
  <c r="R1925" i="2"/>
  <c r="Q1925" i="2"/>
  <c r="P1925" i="2"/>
  <c r="O1925" i="2"/>
  <c r="N1925" i="2"/>
  <c r="K1925" i="2"/>
  <c r="J1925" i="2"/>
  <c r="I1925" i="2"/>
  <c r="H1925" i="2"/>
  <c r="G1925" i="2"/>
  <c r="F1925" i="2"/>
  <c r="E1925" i="2"/>
  <c r="D1925" i="2"/>
  <c r="C1925" i="2"/>
  <c r="B1925" i="2"/>
  <c r="A1925" i="2"/>
  <c r="AI1924" i="2"/>
  <c r="AH1924" i="2"/>
  <c r="AG1924" i="2"/>
  <c r="AF1924" i="2"/>
  <c r="AE1924" i="2"/>
  <c r="AD1924" i="2"/>
  <c r="AC1924" i="2"/>
  <c r="AB1924" i="2"/>
  <c r="AA1924" i="2"/>
  <c r="Z1924" i="2"/>
  <c r="Y1924" i="2"/>
  <c r="X1924" i="2"/>
  <c r="W1924" i="2"/>
  <c r="V1924" i="2"/>
  <c r="U1924" i="2"/>
  <c r="T1924" i="2"/>
  <c r="S1924" i="2"/>
  <c r="R1924" i="2"/>
  <c r="Q1924" i="2"/>
  <c r="P1924" i="2"/>
  <c r="O1924" i="2"/>
  <c r="N1924" i="2"/>
  <c r="K1924" i="2"/>
  <c r="J1924" i="2"/>
  <c r="I1924" i="2"/>
  <c r="H1924" i="2"/>
  <c r="G1924" i="2"/>
  <c r="F1924" i="2"/>
  <c r="E1924" i="2"/>
  <c r="D1924" i="2"/>
  <c r="C1924" i="2"/>
  <c r="B1924" i="2"/>
  <c r="A1924" i="2"/>
  <c r="AI1923" i="2"/>
  <c r="AH1923" i="2"/>
  <c r="AG1923" i="2"/>
  <c r="AF1923" i="2"/>
  <c r="AE1923" i="2"/>
  <c r="AD1923" i="2"/>
  <c r="AC1923" i="2"/>
  <c r="AB1923" i="2"/>
  <c r="AA1923" i="2"/>
  <c r="Z1923" i="2"/>
  <c r="Y1923" i="2"/>
  <c r="V1923" i="2"/>
  <c r="U1923" i="2"/>
  <c r="T1923" i="2"/>
  <c r="S1923" i="2"/>
  <c r="R1923" i="2"/>
  <c r="Q1923" i="2"/>
  <c r="P1923" i="2"/>
  <c r="O1923" i="2"/>
  <c r="N1923" i="2"/>
  <c r="M1923" i="2"/>
  <c r="L1923" i="2"/>
  <c r="K1923" i="2"/>
  <c r="J1923" i="2"/>
  <c r="I1923" i="2"/>
  <c r="H1923" i="2"/>
  <c r="G1923" i="2"/>
  <c r="F1923" i="2"/>
  <c r="E1923" i="2"/>
  <c r="D1923" i="2"/>
  <c r="C1923" i="2"/>
  <c r="B1923" i="2"/>
  <c r="A1923" i="2"/>
  <c r="AI1922" i="2"/>
  <c r="AH1922" i="2"/>
  <c r="AG1922" i="2"/>
  <c r="AF1922" i="2"/>
  <c r="AE1922" i="2"/>
  <c r="AD1922" i="2"/>
  <c r="AC1922" i="2"/>
  <c r="AB1922" i="2"/>
  <c r="AA1922" i="2"/>
  <c r="Z1922" i="2"/>
  <c r="Y1922" i="2"/>
  <c r="X1922" i="2"/>
  <c r="V1922" i="2"/>
  <c r="U1922" i="2"/>
  <c r="T1922" i="2"/>
  <c r="S1922" i="2"/>
  <c r="R1922" i="2"/>
  <c r="Q1922" i="2"/>
  <c r="P1922" i="2"/>
  <c r="O1922" i="2"/>
  <c r="N1922" i="2"/>
  <c r="K1922" i="2"/>
  <c r="J1922" i="2"/>
  <c r="I1922" i="2"/>
  <c r="H1922" i="2"/>
  <c r="G1922" i="2"/>
  <c r="F1922" i="2"/>
  <c r="E1922" i="2"/>
  <c r="D1922" i="2"/>
  <c r="C1922" i="2"/>
  <c r="B1922" i="2"/>
  <c r="A1922" i="2"/>
  <c r="AI1921" i="2"/>
  <c r="AH1921" i="2"/>
  <c r="AG1921" i="2"/>
  <c r="AF1921" i="2"/>
  <c r="AE1921" i="2"/>
  <c r="AD1921" i="2"/>
  <c r="AC1921" i="2"/>
  <c r="AB1921" i="2"/>
  <c r="AA1921" i="2"/>
  <c r="Z1921" i="2"/>
  <c r="Y1921" i="2"/>
  <c r="X1921" i="2"/>
  <c r="V1921" i="2"/>
  <c r="U1921" i="2"/>
  <c r="T1921" i="2"/>
  <c r="S1921" i="2"/>
  <c r="R1921" i="2"/>
  <c r="Q1921" i="2"/>
  <c r="P1921" i="2"/>
  <c r="O1921" i="2"/>
  <c r="N1921" i="2"/>
  <c r="K1921" i="2"/>
  <c r="J1921" i="2"/>
  <c r="I1921" i="2"/>
  <c r="H1921" i="2"/>
  <c r="G1921" i="2"/>
  <c r="F1921" i="2"/>
  <c r="E1921" i="2"/>
  <c r="D1921" i="2"/>
  <c r="C1921" i="2"/>
  <c r="B1921" i="2"/>
  <c r="A1921" i="2"/>
  <c r="AI1920" i="2"/>
  <c r="AH1920" i="2"/>
  <c r="AG1920" i="2"/>
  <c r="AF1920" i="2"/>
  <c r="AE1920" i="2"/>
  <c r="AD1920" i="2"/>
  <c r="AC1920" i="2"/>
  <c r="AB1920" i="2"/>
  <c r="AA1920" i="2"/>
  <c r="Z1920" i="2"/>
  <c r="Y1920" i="2"/>
  <c r="X1920" i="2"/>
  <c r="W1920" i="2"/>
  <c r="V1920" i="2"/>
  <c r="U1920" i="2"/>
  <c r="T1920" i="2"/>
  <c r="S1920" i="2"/>
  <c r="R1920" i="2"/>
  <c r="Q1920" i="2"/>
  <c r="P1920" i="2"/>
  <c r="O1920" i="2"/>
  <c r="N1920" i="2"/>
  <c r="K1920" i="2"/>
  <c r="J1920" i="2"/>
  <c r="I1920" i="2"/>
  <c r="H1920" i="2"/>
  <c r="G1920" i="2"/>
  <c r="F1920" i="2"/>
  <c r="E1920" i="2"/>
  <c r="D1920" i="2"/>
  <c r="C1920" i="2"/>
  <c r="B1920" i="2"/>
  <c r="A1920" i="2"/>
  <c r="AI1919" i="2"/>
  <c r="AH1919" i="2"/>
  <c r="AG1919" i="2"/>
  <c r="AF1919" i="2"/>
  <c r="AE1919" i="2"/>
  <c r="AD1919" i="2"/>
  <c r="AC1919" i="2"/>
  <c r="AB1919" i="2"/>
  <c r="AA1919" i="2"/>
  <c r="Z1919" i="2"/>
  <c r="Y1919" i="2"/>
  <c r="X1919" i="2"/>
  <c r="W1919" i="2"/>
  <c r="V1919" i="2"/>
  <c r="U1919" i="2"/>
  <c r="T1919" i="2"/>
  <c r="S1919" i="2"/>
  <c r="R1919" i="2"/>
  <c r="Q1919" i="2"/>
  <c r="P1919" i="2"/>
  <c r="O1919" i="2"/>
  <c r="N1919" i="2"/>
  <c r="K1919" i="2"/>
  <c r="J1919" i="2"/>
  <c r="I1919" i="2"/>
  <c r="H1919" i="2"/>
  <c r="G1919" i="2"/>
  <c r="F1919" i="2"/>
  <c r="E1919" i="2"/>
  <c r="D1919" i="2"/>
  <c r="C1919" i="2"/>
  <c r="B1919" i="2"/>
  <c r="A1919" i="2"/>
  <c r="AI1918" i="2"/>
  <c r="AH1918" i="2"/>
  <c r="AG1918" i="2"/>
  <c r="AF1918" i="2"/>
  <c r="AE1918" i="2"/>
  <c r="AD1918" i="2"/>
  <c r="AC1918" i="2"/>
  <c r="AB1918" i="2"/>
  <c r="AA1918" i="2"/>
  <c r="Z1918" i="2"/>
  <c r="Y1918" i="2"/>
  <c r="U1918" i="2"/>
  <c r="T1918" i="2"/>
  <c r="S1918" i="2"/>
  <c r="R1918" i="2"/>
  <c r="Q1918" i="2"/>
  <c r="P1918" i="2"/>
  <c r="O1918" i="2"/>
  <c r="N1918" i="2"/>
  <c r="K1918" i="2"/>
  <c r="J1918" i="2"/>
  <c r="I1918" i="2"/>
  <c r="H1918" i="2"/>
  <c r="G1918" i="2"/>
  <c r="F1918" i="2"/>
  <c r="E1918" i="2"/>
  <c r="D1918" i="2"/>
  <c r="C1918" i="2"/>
  <c r="B1918" i="2"/>
  <c r="A1918" i="2"/>
  <c r="AI1917" i="2"/>
  <c r="AH1917" i="2"/>
  <c r="AG1917" i="2"/>
  <c r="AF1917" i="2"/>
  <c r="AE1917" i="2"/>
  <c r="AD1917" i="2"/>
  <c r="AC1917" i="2"/>
  <c r="AB1917" i="2"/>
  <c r="AA1917" i="2"/>
  <c r="Z1917" i="2"/>
  <c r="Y1917" i="2"/>
  <c r="X1917" i="2"/>
  <c r="U1917" i="2"/>
  <c r="T1917" i="2"/>
  <c r="S1917" i="2"/>
  <c r="R1917" i="2"/>
  <c r="Q1917" i="2"/>
  <c r="P1917" i="2"/>
  <c r="O1917" i="2"/>
  <c r="N1917" i="2"/>
  <c r="K1917" i="2"/>
  <c r="J1917" i="2"/>
  <c r="I1917" i="2"/>
  <c r="H1917" i="2"/>
  <c r="G1917" i="2"/>
  <c r="F1917" i="2"/>
  <c r="E1917" i="2"/>
  <c r="D1917" i="2"/>
  <c r="C1917" i="2"/>
  <c r="B1917" i="2"/>
  <c r="A1917" i="2"/>
  <c r="AI1916" i="2"/>
  <c r="AH1916" i="2"/>
  <c r="AG1916" i="2"/>
  <c r="AF1916" i="2"/>
  <c r="AE1916" i="2"/>
  <c r="AD1916" i="2"/>
  <c r="AC1916" i="2"/>
  <c r="AB1916" i="2"/>
  <c r="AA1916" i="2"/>
  <c r="Z1916" i="2"/>
  <c r="Y1916" i="2"/>
  <c r="W1916" i="2"/>
  <c r="V1916" i="2"/>
  <c r="U1916" i="2"/>
  <c r="T1916" i="2"/>
  <c r="S1916" i="2"/>
  <c r="R1916" i="2"/>
  <c r="Q1916" i="2"/>
  <c r="P1916" i="2"/>
  <c r="O1916" i="2"/>
  <c r="N1916" i="2"/>
  <c r="K1916" i="2"/>
  <c r="J1916" i="2"/>
  <c r="I1916" i="2"/>
  <c r="H1916" i="2"/>
  <c r="G1916" i="2"/>
  <c r="F1916" i="2"/>
  <c r="E1916" i="2"/>
  <c r="D1916" i="2"/>
  <c r="C1916" i="2"/>
  <c r="B1916" i="2"/>
  <c r="A1916" i="2"/>
  <c r="AI1915" i="2"/>
  <c r="AH1915" i="2"/>
  <c r="AG1915" i="2"/>
  <c r="AF1915" i="2"/>
  <c r="AE1915" i="2"/>
  <c r="AD1915" i="2"/>
  <c r="AC1915" i="2"/>
  <c r="AB1915" i="2"/>
  <c r="AA1915" i="2"/>
  <c r="Z1915" i="2"/>
  <c r="Y1915" i="2"/>
  <c r="X1915" i="2"/>
  <c r="W1915" i="2"/>
  <c r="V1915" i="2"/>
  <c r="U1915" i="2"/>
  <c r="T1915" i="2"/>
  <c r="S1915" i="2"/>
  <c r="R1915" i="2"/>
  <c r="Q1915" i="2"/>
  <c r="P1915" i="2"/>
  <c r="O1915" i="2"/>
  <c r="N1915" i="2"/>
  <c r="K1915" i="2"/>
  <c r="J1915" i="2"/>
  <c r="I1915" i="2"/>
  <c r="H1915" i="2"/>
  <c r="G1915" i="2"/>
  <c r="F1915" i="2"/>
  <c r="E1915" i="2"/>
  <c r="D1915" i="2"/>
  <c r="C1915" i="2"/>
  <c r="B1915" i="2"/>
  <c r="A1915" i="2"/>
  <c r="AH1914" i="2"/>
  <c r="AG1914" i="2"/>
  <c r="AF1914" i="2"/>
  <c r="AE1914" i="2"/>
  <c r="AD1914" i="2"/>
  <c r="AC1914" i="2"/>
  <c r="AA1914" i="2"/>
  <c r="Z1914" i="2"/>
  <c r="Y1914" i="2"/>
  <c r="X1914" i="2"/>
  <c r="V1914" i="2"/>
  <c r="U1914" i="2"/>
  <c r="T1914" i="2"/>
  <c r="S1914" i="2"/>
  <c r="R1914" i="2"/>
  <c r="Q1914" i="2"/>
  <c r="P1914" i="2"/>
  <c r="O1914" i="2"/>
  <c r="N1914" i="2"/>
  <c r="K1914" i="2"/>
  <c r="J1914" i="2"/>
  <c r="I1914" i="2"/>
  <c r="H1914" i="2"/>
  <c r="G1914" i="2"/>
  <c r="F1914" i="2"/>
  <c r="E1914" i="2"/>
  <c r="D1914" i="2"/>
  <c r="C1914" i="2"/>
  <c r="B1914" i="2"/>
  <c r="A1914" i="2"/>
  <c r="AI1913" i="2"/>
  <c r="AH1913" i="2"/>
  <c r="AG1913" i="2"/>
  <c r="AF1913" i="2"/>
  <c r="AE1913" i="2"/>
  <c r="AD1913" i="2"/>
  <c r="AC1913" i="2"/>
  <c r="AB1913" i="2"/>
  <c r="AA1913" i="2"/>
  <c r="Z1913" i="2"/>
  <c r="Y1913" i="2"/>
  <c r="X1913" i="2"/>
  <c r="W1913" i="2"/>
  <c r="V1913" i="2"/>
  <c r="U1913" i="2"/>
  <c r="T1913" i="2"/>
  <c r="S1913" i="2"/>
  <c r="R1913" i="2"/>
  <c r="Q1913" i="2"/>
  <c r="P1913" i="2"/>
  <c r="O1913" i="2"/>
  <c r="N1913" i="2"/>
  <c r="K1913" i="2"/>
  <c r="J1913" i="2"/>
  <c r="I1913" i="2"/>
  <c r="H1913" i="2"/>
  <c r="G1913" i="2"/>
  <c r="F1913" i="2"/>
  <c r="E1913" i="2"/>
  <c r="D1913" i="2"/>
  <c r="C1913" i="2"/>
  <c r="B1913" i="2"/>
  <c r="A1913" i="2"/>
  <c r="AI1912" i="2"/>
  <c r="AH1912" i="2"/>
  <c r="AG1912" i="2"/>
  <c r="AF1912" i="2"/>
  <c r="AE1912" i="2"/>
  <c r="AD1912" i="2"/>
  <c r="AC1912" i="2"/>
  <c r="AB1912" i="2"/>
  <c r="AA1912" i="2"/>
  <c r="Z1912" i="2"/>
  <c r="Y1912" i="2"/>
  <c r="X1912" i="2"/>
  <c r="W1912" i="2"/>
  <c r="V1912" i="2"/>
  <c r="U1912" i="2"/>
  <c r="T1912" i="2"/>
  <c r="S1912" i="2"/>
  <c r="R1912" i="2"/>
  <c r="Q1912" i="2"/>
  <c r="P1912" i="2"/>
  <c r="O1912" i="2"/>
  <c r="N1912" i="2"/>
  <c r="K1912" i="2"/>
  <c r="J1912" i="2"/>
  <c r="I1912" i="2"/>
  <c r="H1912" i="2"/>
  <c r="G1912" i="2"/>
  <c r="F1912" i="2"/>
  <c r="E1912" i="2"/>
  <c r="D1912" i="2"/>
  <c r="C1912" i="2"/>
  <c r="B1912" i="2"/>
  <c r="A1912" i="2"/>
  <c r="AJ1911" i="2"/>
  <c r="AI1911" i="2"/>
  <c r="AH1911" i="2"/>
  <c r="AF1911" i="2"/>
  <c r="AE1911" i="2"/>
  <c r="AD1911" i="2"/>
  <c r="AC1911" i="2"/>
  <c r="AB1911" i="2"/>
  <c r="AA1911" i="2"/>
  <c r="Z1911" i="2"/>
  <c r="Y1911" i="2"/>
  <c r="X1911" i="2"/>
  <c r="W1911" i="2"/>
  <c r="V1911" i="2"/>
  <c r="U1911" i="2"/>
  <c r="T1911" i="2"/>
  <c r="S1911" i="2"/>
  <c r="R1911" i="2"/>
  <c r="Q1911" i="2"/>
  <c r="P1911" i="2"/>
  <c r="O1911" i="2"/>
  <c r="N1911" i="2"/>
  <c r="M1911" i="2"/>
  <c r="L1911" i="2"/>
  <c r="K1911" i="2"/>
  <c r="J1911" i="2"/>
  <c r="I1911" i="2"/>
  <c r="H1911" i="2"/>
  <c r="G1911" i="2"/>
  <c r="F1911" i="2"/>
  <c r="E1911" i="2"/>
  <c r="D1911" i="2"/>
  <c r="C1911" i="2"/>
  <c r="B1911" i="2"/>
  <c r="A1911" i="2"/>
  <c r="AI1910" i="2"/>
  <c r="AH1910" i="2"/>
  <c r="AG1910" i="2"/>
  <c r="AF1910" i="2"/>
  <c r="AE1910" i="2"/>
  <c r="AD1910" i="2"/>
  <c r="AC1910" i="2"/>
  <c r="AB1910" i="2"/>
  <c r="AA1910" i="2"/>
  <c r="Z1910" i="2"/>
  <c r="Y1910" i="2"/>
  <c r="X1910" i="2"/>
  <c r="W1910" i="2"/>
  <c r="V1910" i="2"/>
  <c r="U1910" i="2"/>
  <c r="T1910" i="2"/>
  <c r="S1910" i="2"/>
  <c r="R1910" i="2"/>
  <c r="Q1910" i="2"/>
  <c r="P1910" i="2"/>
  <c r="O1910" i="2"/>
  <c r="N1910" i="2"/>
  <c r="K1910" i="2"/>
  <c r="J1910" i="2"/>
  <c r="I1910" i="2"/>
  <c r="H1910" i="2"/>
  <c r="G1910" i="2"/>
  <c r="F1910" i="2"/>
  <c r="E1910" i="2"/>
  <c r="D1910" i="2"/>
  <c r="C1910" i="2"/>
  <c r="B1910" i="2"/>
  <c r="A1910" i="2"/>
  <c r="AJ1909" i="2"/>
  <c r="AH1909" i="2"/>
  <c r="AG1909" i="2"/>
  <c r="AF1909" i="2"/>
  <c r="AE1909" i="2"/>
  <c r="AD1909" i="2"/>
  <c r="AC1909" i="2"/>
  <c r="AA1909" i="2"/>
  <c r="Z1909" i="2"/>
  <c r="Y1909" i="2"/>
  <c r="X1909" i="2"/>
  <c r="V1909" i="2"/>
  <c r="U1909" i="2"/>
  <c r="T1909" i="2"/>
  <c r="S1909" i="2"/>
  <c r="R1909" i="2"/>
  <c r="Q1909" i="2"/>
  <c r="P1909" i="2"/>
  <c r="O1909" i="2"/>
  <c r="N1909" i="2"/>
  <c r="K1909" i="2"/>
  <c r="J1909" i="2"/>
  <c r="I1909" i="2"/>
  <c r="H1909" i="2"/>
  <c r="G1909" i="2"/>
  <c r="F1909" i="2"/>
  <c r="E1909" i="2"/>
  <c r="D1909" i="2"/>
  <c r="C1909" i="2"/>
  <c r="B1909" i="2"/>
  <c r="A1909" i="2"/>
  <c r="AH1908" i="2"/>
  <c r="AG1908" i="2"/>
  <c r="AF1908" i="2"/>
  <c r="AE1908" i="2"/>
  <c r="AD1908" i="2"/>
  <c r="AC1908" i="2"/>
  <c r="AB1908" i="2"/>
  <c r="AA1908" i="2"/>
  <c r="Z1908" i="2"/>
  <c r="Y1908" i="2"/>
  <c r="X1908" i="2"/>
  <c r="W1908" i="2"/>
  <c r="V1908" i="2"/>
  <c r="U1908" i="2"/>
  <c r="T1908" i="2"/>
  <c r="S1908" i="2"/>
  <c r="R1908" i="2"/>
  <c r="Q1908" i="2"/>
  <c r="P1908" i="2"/>
  <c r="O1908" i="2"/>
  <c r="N1908" i="2"/>
  <c r="K1908" i="2"/>
  <c r="J1908" i="2"/>
  <c r="I1908" i="2"/>
  <c r="H1908" i="2"/>
  <c r="G1908" i="2"/>
  <c r="F1908" i="2"/>
  <c r="E1908" i="2"/>
  <c r="D1908" i="2"/>
  <c r="C1908" i="2"/>
  <c r="B1908" i="2"/>
  <c r="A1908" i="2"/>
  <c r="AJ1907" i="2"/>
  <c r="AI1907" i="2"/>
  <c r="AH1907" i="2"/>
  <c r="AG1907" i="2"/>
  <c r="AF1907" i="2"/>
  <c r="AE1907" i="2"/>
  <c r="AD1907" i="2"/>
  <c r="AC1907" i="2"/>
  <c r="AB1907" i="2"/>
  <c r="AA1907" i="2"/>
  <c r="Z1907" i="2"/>
  <c r="Y1907" i="2"/>
  <c r="X1907" i="2"/>
  <c r="W1907" i="2"/>
  <c r="V1907" i="2"/>
  <c r="U1907" i="2"/>
  <c r="T1907" i="2"/>
  <c r="S1907" i="2"/>
  <c r="R1907" i="2"/>
  <c r="Q1907" i="2"/>
  <c r="P1907" i="2"/>
  <c r="O1907" i="2"/>
  <c r="N1907" i="2"/>
  <c r="M1907" i="2"/>
  <c r="K1907" i="2"/>
  <c r="J1907" i="2"/>
  <c r="I1907" i="2"/>
  <c r="H1907" i="2"/>
  <c r="G1907" i="2"/>
  <c r="F1907" i="2"/>
  <c r="E1907" i="2"/>
  <c r="D1907" i="2"/>
  <c r="C1907" i="2"/>
  <c r="B1907" i="2"/>
  <c r="A1907" i="2"/>
  <c r="AI1906" i="2"/>
  <c r="AH1906" i="2"/>
  <c r="AG1906" i="2"/>
  <c r="AF1906" i="2"/>
  <c r="AE1906" i="2"/>
  <c r="AD1906" i="2"/>
  <c r="AC1906" i="2"/>
  <c r="AB1906" i="2"/>
  <c r="AA1906" i="2"/>
  <c r="Z1906" i="2"/>
  <c r="Y1906" i="2"/>
  <c r="X1906" i="2"/>
  <c r="V1906" i="2"/>
  <c r="U1906" i="2"/>
  <c r="T1906" i="2"/>
  <c r="S1906" i="2"/>
  <c r="R1906" i="2"/>
  <c r="Q1906" i="2"/>
  <c r="P1906" i="2"/>
  <c r="O1906" i="2"/>
  <c r="N1906" i="2"/>
  <c r="K1906" i="2"/>
  <c r="J1906" i="2"/>
  <c r="I1906" i="2"/>
  <c r="H1906" i="2"/>
  <c r="G1906" i="2"/>
  <c r="F1906" i="2"/>
  <c r="E1906" i="2"/>
  <c r="D1906" i="2"/>
  <c r="C1906" i="2"/>
  <c r="B1906" i="2"/>
  <c r="A1906" i="2"/>
  <c r="AJ1905" i="2"/>
  <c r="AH1905" i="2"/>
  <c r="AG1905" i="2"/>
  <c r="AF1905" i="2"/>
  <c r="AE1905" i="2"/>
  <c r="AD1905" i="2"/>
  <c r="AC1905" i="2"/>
  <c r="AB1905" i="2"/>
  <c r="AA1905" i="2"/>
  <c r="Z1905" i="2"/>
  <c r="Y1905" i="2"/>
  <c r="X1905" i="2"/>
  <c r="W1905" i="2"/>
  <c r="V1905" i="2"/>
  <c r="U1905" i="2"/>
  <c r="T1905" i="2"/>
  <c r="S1905" i="2"/>
  <c r="R1905" i="2"/>
  <c r="Q1905" i="2"/>
  <c r="P1905" i="2"/>
  <c r="O1905" i="2"/>
  <c r="N1905" i="2"/>
  <c r="M1905" i="2"/>
  <c r="L1905" i="2"/>
  <c r="K1905" i="2"/>
  <c r="J1905" i="2"/>
  <c r="I1905" i="2"/>
  <c r="H1905" i="2"/>
  <c r="G1905" i="2"/>
  <c r="F1905" i="2"/>
  <c r="E1905" i="2"/>
  <c r="D1905" i="2"/>
  <c r="C1905" i="2"/>
  <c r="B1905" i="2"/>
  <c r="A1905" i="2"/>
  <c r="AI1904" i="2"/>
  <c r="AH1904" i="2"/>
  <c r="AG1904" i="2"/>
  <c r="AF1904" i="2"/>
  <c r="AE1904" i="2"/>
  <c r="AD1904" i="2"/>
  <c r="AC1904" i="2"/>
  <c r="AB1904" i="2"/>
  <c r="AA1904" i="2"/>
  <c r="Z1904" i="2"/>
  <c r="Y1904" i="2"/>
  <c r="X1904" i="2"/>
  <c r="W1904" i="2"/>
  <c r="V1904" i="2"/>
  <c r="U1904" i="2"/>
  <c r="T1904" i="2"/>
  <c r="S1904" i="2"/>
  <c r="R1904" i="2"/>
  <c r="Q1904" i="2"/>
  <c r="P1904" i="2"/>
  <c r="O1904" i="2"/>
  <c r="N1904" i="2"/>
  <c r="K1904" i="2"/>
  <c r="J1904" i="2"/>
  <c r="I1904" i="2"/>
  <c r="H1904" i="2"/>
  <c r="G1904" i="2"/>
  <c r="F1904" i="2"/>
  <c r="E1904" i="2"/>
  <c r="D1904" i="2"/>
  <c r="C1904" i="2"/>
  <c r="B1904" i="2"/>
  <c r="A1904" i="2"/>
  <c r="AI1903" i="2"/>
  <c r="AH1903" i="2"/>
  <c r="AG1903" i="2"/>
  <c r="AF1903" i="2"/>
  <c r="AE1903" i="2"/>
  <c r="AD1903" i="2"/>
  <c r="AC1903" i="2"/>
  <c r="AB1903" i="2"/>
  <c r="AA1903" i="2"/>
  <c r="Z1903" i="2"/>
  <c r="Y1903" i="2"/>
  <c r="X1903" i="2"/>
  <c r="W1903" i="2"/>
  <c r="V1903" i="2"/>
  <c r="U1903" i="2"/>
  <c r="T1903" i="2"/>
  <c r="S1903" i="2"/>
  <c r="R1903" i="2"/>
  <c r="Q1903" i="2"/>
  <c r="P1903" i="2"/>
  <c r="O1903" i="2"/>
  <c r="N1903" i="2"/>
  <c r="K1903" i="2"/>
  <c r="J1903" i="2"/>
  <c r="I1903" i="2"/>
  <c r="H1903" i="2"/>
  <c r="G1903" i="2"/>
  <c r="F1903" i="2"/>
  <c r="E1903" i="2"/>
  <c r="D1903" i="2"/>
  <c r="C1903" i="2"/>
  <c r="B1903" i="2"/>
  <c r="A1903" i="2"/>
  <c r="AI1902" i="2"/>
  <c r="AH1902" i="2"/>
  <c r="AG1902" i="2"/>
  <c r="AF1902" i="2"/>
  <c r="AE1902" i="2"/>
  <c r="AD1902" i="2"/>
  <c r="AC1902" i="2"/>
  <c r="AB1902" i="2"/>
  <c r="AA1902" i="2"/>
  <c r="Z1902" i="2"/>
  <c r="Y1902" i="2"/>
  <c r="V1902" i="2"/>
  <c r="U1902" i="2"/>
  <c r="T1902" i="2"/>
  <c r="S1902" i="2"/>
  <c r="R1902" i="2"/>
  <c r="Q1902" i="2"/>
  <c r="P1902" i="2"/>
  <c r="O1902" i="2"/>
  <c r="N1902" i="2"/>
  <c r="K1902" i="2"/>
  <c r="J1902" i="2"/>
  <c r="I1902" i="2"/>
  <c r="H1902" i="2"/>
  <c r="G1902" i="2"/>
  <c r="F1902" i="2"/>
  <c r="E1902" i="2"/>
  <c r="D1902" i="2"/>
  <c r="C1902" i="2"/>
  <c r="B1902" i="2"/>
  <c r="A1902" i="2"/>
  <c r="AI1901" i="2"/>
  <c r="AH1901" i="2"/>
  <c r="AG1901" i="2"/>
  <c r="AF1901" i="2"/>
  <c r="AE1901" i="2"/>
  <c r="AD1901" i="2"/>
  <c r="AC1901" i="2"/>
  <c r="AB1901" i="2"/>
  <c r="AA1901" i="2"/>
  <c r="Z1901" i="2"/>
  <c r="Y1901" i="2"/>
  <c r="X1901" i="2"/>
  <c r="W1901" i="2"/>
  <c r="V1901" i="2"/>
  <c r="U1901" i="2"/>
  <c r="T1901" i="2"/>
  <c r="S1901" i="2"/>
  <c r="R1901" i="2"/>
  <c r="Q1901" i="2"/>
  <c r="P1901" i="2"/>
  <c r="O1901" i="2"/>
  <c r="N1901" i="2"/>
  <c r="M1901" i="2"/>
  <c r="K1901" i="2"/>
  <c r="J1901" i="2"/>
  <c r="I1901" i="2"/>
  <c r="H1901" i="2"/>
  <c r="G1901" i="2"/>
  <c r="F1901" i="2"/>
  <c r="E1901" i="2"/>
  <c r="D1901" i="2"/>
  <c r="C1901" i="2"/>
  <c r="B1901" i="2"/>
  <c r="A1901" i="2"/>
  <c r="AI1900" i="2"/>
  <c r="AH1900" i="2"/>
  <c r="AG1900" i="2"/>
  <c r="AF1900" i="2"/>
  <c r="AE1900" i="2"/>
  <c r="AD1900" i="2"/>
  <c r="AC1900" i="2"/>
  <c r="AB1900" i="2"/>
  <c r="AA1900" i="2"/>
  <c r="Z1900" i="2"/>
  <c r="Y1900" i="2"/>
  <c r="X1900" i="2"/>
  <c r="W1900" i="2"/>
  <c r="V1900" i="2"/>
  <c r="U1900" i="2"/>
  <c r="T1900" i="2"/>
  <c r="S1900" i="2"/>
  <c r="R1900" i="2"/>
  <c r="Q1900" i="2"/>
  <c r="P1900" i="2"/>
  <c r="O1900" i="2"/>
  <c r="N1900" i="2"/>
  <c r="K1900" i="2"/>
  <c r="J1900" i="2"/>
  <c r="I1900" i="2"/>
  <c r="H1900" i="2"/>
  <c r="G1900" i="2"/>
  <c r="F1900" i="2"/>
  <c r="E1900" i="2"/>
  <c r="D1900" i="2"/>
  <c r="C1900" i="2"/>
  <c r="B1900" i="2"/>
  <c r="A1900" i="2"/>
  <c r="AI1899" i="2"/>
  <c r="AH1899" i="2"/>
  <c r="AG1899" i="2"/>
  <c r="AF1899" i="2"/>
  <c r="AE1899" i="2"/>
  <c r="AD1899" i="2"/>
  <c r="AC1899" i="2"/>
  <c r="AB1899" i="2"/>
  <c r="AA1899" i="2"/>
  <c r="Z1899" i="2"/>
  <c r="Y1899" i="2"/>
  <c r="V1899" i="2"/>
  <c r="U1899" i="2"/>
  <c r="T1899" i="2"/>
  <c r="S1899" i="2"/>
  <c r="R1899" i="2"/>
  <c r="Q1899" i="2"/>
  <c r="P1899" i="2"/>
  <c r="O1899" i="2"/>
  <c r="N1899" i="2"/>
  <c r="K1899" i="2"/>
  <c r="J1899" i="2"/>
  <c r="I1899" i="2"/>
  <c r="H1899" i="2"/>
  <c r="G1899" i="2"/>
  <c r="F1899" i="2"/>
  <c r="E1899" i="2"/>
  <c r="D1899" i="2"/>
  <c r="C1899" i="2"/>
  <c r="B1899" i="2"/>
  <c r="A1899" i="2"/>
  <c r="AH1898" i="2"/>
  <c r="AG1898" i="2"/>
  <c r="AF1898" i="2"/>
  <c r="AE1898" i="2"/>
  <c r="AD1898" i="2"/>
  <c r="AC1898" i="2"/>
  <c r="AB1898" i="2"/>
  <c r="AA1898" i="2"/>
  <c r="Z1898" i="2"/>
  <c r="Y1898" i="2"/>
  <c r="X1898" i="2"/>
  <c r="W1898" i="2"/>
  <c r="V1898" i="2"/>
  <c r="U1898" i="2"/>
  <c r="T1898" i="2"/>
  <c r="S1898" i="2"/>
  <c r="R1898" i="2"/>
  <c r="Q1898" i="2"/>
  <c r="P1898" i="2"/>
  <c r="O1898" i="2"/>
  <c r="N1898" i="2"/>
  <c r="K1898" i="2"/>
  <c r="J1898" i="2"/>
  <c r="I1898" i="2"/>
  <c r="H1898" i="2"/>
  <c r="G1898" i="2"/>
  <c r="F1898" i="2"/>
  <c r="E1898" i="2"/>
  <c r="D1898" i="2"/>
  <c r="C1898" i="2"/>
  <c r="B1898" i="2"/>
  <c r="A1898" i="2"/>
  <c r="AI1897" i="2"/>
  <c r="AH1897" i="2"/>
  <c r="AG1897" i="2"/>
  <c r="AF1897" i="2"/>
  <c r="AE1897" i="2"/>
  <c r="AD1897" i="2"/>
  <c r="AC1897" i="2"/>
  <c r="AB1897" i="2"/>
  <c r="AA1897" i="2"/>
  <c r="Z1897" i="2"/>
  <c r="Y1897" i="2"/>
  <c r="X1897" i="2"/>
  <c r="W1897" i="2"/>
  <c r="V1897" i="2"/>
  <c r="U1897" i="2"/>
  <c r="T1897" i="2"/>
  <c r="S1897" i="2"/>
  <c r="R1897" i="2"/>
  <c r="Q1897" i="2"/>
  <c r="P1897" i="2"/>
  <c r="O1897" i="2"/>
  <c r="N1897" i="2"/>
  <c r="K1897" i="2"/>
  <c r="J1897" i="2"/>
  <c r="I1897" i="2"/>
  <c r="H1897" i="2"/>
  <c r="G1897" i="2"/>
  <c r="F1897" i="2"/>
  <c r="E1897" i="2"/>
  <c r="D1897" i="2"/>
  <c r="C1897" i="2"/>
  <c r="B1897" i="2"/>
  <c r="A1897" i="2"/>
  <c r="AI1896" i="2"/>
  <c r="AH1896" i="2"/>
  <c r="AG1896" i="2"/>
  <c r="AF1896" i="2"/>
  <c r="AE1896" i="2"/>
  <c r="AD1896" i="2"/>
  <c r="AC1896" i="2"/>
  <c r="AB1896" i="2"/>
  <c r="AA1896" i="2"/>
  <c r="Z1896" i="2"/>
  <c r="Y1896" i="2"/>
  <c r="X1896" i="2"/>
  <c r="U1896" i="2"/>
  <c r="T1896" i="2"/>
  <c r="S1896" i="2"/>
  <c r="R1896" i="2"/>
  <c r="Q1896" i="2"/>
  <c r="P1896" i="2"/>
  <c r="O1896" i="2"/>
  <c r="N1896" i="2"/>
  <c r="K1896" i="2"/>
  <c r="J1896" i="2"/>
  <c r="I1896" i="2"/>
  <c r="H1896" i="2"/>
  <c r="G1896" i="2"/>
  <c r="F1896" i="2"/>
  <c r="E1896" i="2"/>
  <c r="D1896" i="2"/>
  <c r="C1896" i="2"/>
  <c r="B1896" i="2"/>
  <c r="A1896" i="2"/>
  <c r="AI1895" i="2"/>
  <c r="AH1895" i="2"/>
  <c r="AG1895" i="2"/>
  <c r="AF1895" i="2"/>
  <c r="AE1895" i="2"/>
  <c r="AD1895" i="2"/>
  <c r="AC1895" i="2"/>
  <c r="AB1895" i="2"/>
  <c r="AA1895" i="2"/>
  <c r="Z1895" i="2"/>
  <c r="Y1895" i="2"/>
  <c r="X1895" i="2"/>
  <c r="V1895" i="2"/>
  <c r="U1895" i="2"/>
  <c r="T1895" i="2"/>
  <c r="S1895" i="2"/>
  <c r="R1895" i="2"/>
  <c r="Q1895" i="2"/>
  <c r="P1895" i="2"/>
  <c r="O1895" i="2"/>
  <c r="N1895" i="2"/>
  <c r="K1895" i="2"/>
  <c r="J1895" i="2"/>
  <c r="I1895" i="2"/>
  <c r="H1895" i="2"/>
  <c r="G1895" i="2"/>
  <c r="F1895" i="2"/>
  <c r="E1895" i="2"/>
  <c r="D1895" i="2"/>
  <c r="C1895" i="2"/>
  <c r="B1895" i="2"/>
  <c r="A1895" i="2"/>
  <c r="AH1894" i="2"/>
  <c r="AG1894" i="2"/>
  <c r="AF1894" i="2"/>
  <c r="AE1894" i="2"/>
  <c r="AD1894" i="2"/>
  <c r="AC1894" i="2"/>
  <c r="AB1894" i="2"/>
  <c r="AA1894" i="2"/>
  <c r="Z1894" i="2"/>
  <c r="Y1894" i="2"/>
  <c r="X1894" i="2"/>
  <c r="W1894" i="2"/>
  <c r="V1894" i="2"/>
  <c r="U1894" i="2"/>
  <c r="T1894" i="2"/>
  <c r="S1894" i="2"/>
  <c r="R1894" i="2"/>
  <c r="Q1894" i="2"/>
  <c r="P1894" i="2"/>
  <c r="O1894" i="2"/>
  <c r="N1894" i="2"/>
  <c r="K1894" i="2"/>
  <c r="J1894" i="2"/>
  <c r="I1894" i="2"/>
  <c r="H1894" i="2"/>
  <c r="G1894" i="2"/>
  <c r="F1894" i="2"/>
  <c r="E1894" i="2"/>
  <c r="D1894" i="2"/>
  <c r="C1894" i="2"/>
  <c r="B1894" i="2"/>
  <c r="A1894" i="2"/>
  <c r="AI1893" i="2"/>
  <c r="AH1893" i="2"/>
  <c r="AG1893" i="2"/>
  <c r="AF1893" i="2"/>
  <c r="AE1893" i="2"/>
  <c r="AD1893" i="2"/>
  <c r="AC1893" i="2"/>
  <c r="AA1893" i="2"/>
  <c r="Z1893" i="2"/>
  <c r="Y1893" i="2"/>
  <c r="X1893" i="2"/>
  <c r="U1893" i="2"/>
  <c r="T1893" i="2"/>
  <c r="S1893" i="2"/>
  <c r="R1893" i="2"/>
  <c r="Q1893" i="2"/>
  <c r="P1893" i="2"/>
  <c r="O1893" i="2"/>
  <c r="N1893" i="2"/>
  <c r="K1893" i="2"/>
  <c r="J1893" i="2"/>
  <c r="I1893" i="2"/>
  <c r="H1893" i="2"/>
  <c r="G1893" i="2"/>
  <c r="F1893" i="2"/>
  <c r="E1893" i="2"/>
  <c r="D1893" i="2"/>
  <c r="C1893" i="2"/>
  <c r="B1893" i="2"/>
  <c r="A1893" i="2"/>
  <c r="AJ1892" i="2"/>
  <c r="AI1892" i="2"/>
  <c r="AH1892" i="2"/>
  <c r="AG1892" i="2"/>
  <c r="AF1892" i="2"/>
  <c r="AE1892" i="2"/>
  <c r="AD1892" i="2"/>
  <c r="AC1892" i="2"/>
  <c r="AB1892" i="2"/>
  <c r="AA1892" i="2"/>
  <c r="Z1892" i="2"/>
  <c r="Y1892" i="2"/>
  <c r="X1892" i="2"/>
  <c r="W1892" i="2"/>
  <c r="V1892" i="2"/>
  <c r="U1892" i="2"/>
  <c r="T1892" i="2"/>
  <c r="S1892" i="2"/>
  <c r="R1892" i="2"/>
  <c r="Q1892" i="2"/>
  <c r="P1892" i="2"/>
  <c r="O1892" i="2"/>
  <c r="N1892" i="2"/>
  <c r="K1892" i="2"/>
  <c r="J1892" i="2"/>
  <c r="I1892" i="2"/>
  <c r="H1892" i="2"/>
  <c r="G1892" i="2"/>
  <c r="F1892" i="2"/>
  <c r="E1892" i="2"/>
  <c r="D1892" i="2"/>
  <c r="C1892" i="2"/>
  <c r="B1892" i="2"/>
  <c r="A1892" i="2"/>
  <c r="AI1891" i="2"/>
  <c r="AH1891" i="2"/>
  <c r="AG1891" i="2"/>
  <c r="AF1891" i="2"/>
  <c r="AE1891" i="2"/>
  <c r="AD1891" i="2"/>
  <c r="AC1891" i="2"/>
  <c r="AB1891" i="2"/>
  <c r="AA1891" i="2"/>
  <c r="Z1891" i="2"/>
  <c r="Y1891" i="2"/>
  <c r="X1891" i="2"/>
  <c r="V1891" i="2"/>
  <c r="U1891" i="2"/>
  <c r="T1891" i="2"/>
  <c r="S1891" i="2"/>
  <c r="R1891" i="2"/>
  <c r="Q1891" i="2"/>
  <c r="P1891" i="2"/>
  <c r="O1891" i="2"/>
  <c r="N1891" i="2"/>
  <c r="K1891" i="2"/>
  <c r="J1891" i="2"/>
  <c r="I1891" i="2"/>
  <c r="H1891" i="2"/>
  <c r="G1891" i="2"/>
  <c r="F1891" i="2"/>
  <c r="E1891" i="2"/>
  <c r="D1891" i="2"/>
  <c r="C1891" i="2"/>
  <c r="B1891" i="2"/>
  <c r="A1891" i="2"/>
  <c r="AI1890" i="2"/>
  <c r="AH1890" i="2"/>
  <c r="AG1890" i="2"/>
  <c r="AF1890" i="2"/>
  <c r="AE1890" i="2"/>
  <c r="AD1890" i="2"/>
  <c r="AC1890" i="2"/>
  <c r="AB1890" i="2"/>
  <c r="AA1890" i="2"/>
  <c r="Z1890" i="2"/>
  <c r="Y1890" i="2"/>
  <c r="X1890" i="2"/>
  <c r="W1890" i="2"/>
  <c r="V1890" i="2"/>
  <c r="U1890" i="2"/>
  <c r="T1890" i="2"/>
  <c r="S1890" i="2"/>
  <c r="R1890" i="2"/>
  <c r="Q1890" i="2"/>
  <c r="P1890" i="2"/>
  <c r="O1890" i="2"/>
  <c r="N1890" i="2"/>
  <c r="K1890" i="2"/>
  <c r="J1890" i="2"/>
  <c r="I1890" i="2"/>
  <c r="H1890" i="2"/>
  <c r="G1890" i="2"/>
  <c r="F1890" i="2"/>
  <c r="E1890" i="2"/>
  <c r="D1890" i="2"/>
  <c r="C1890" i="2"/>
  <c r="B1890" i="2"/>
  <c r="A1890" i="2"/>
  <c r="AI1889" i="2"/>
  <c r="AH1889" i="2"/>
  <c r="AG1889" i="2"/>
  <c r="AF1889" i="2"/>
  <c r="AE1889" i="2"/>
  <c r="AD1889" i="2"/>
  <c r="AC1889" i="2"/>
  <c r="AB1889" i="2"/>
  <c r="AA1889" i="2"/>
  <c r="Z1889" i="2"/>
  <c r="Y1889" i="2"/>
  <c r="X1889" i="2"/>
  <c r="V1889" i="2"/>
  <c r="U1889" i="2"/>
  <c r="T1889" i="2"/>
  <c r="S1889" i="2"/>
  <c r="R1889" i="2"/>
  <c r="Q1889" i="2"/>
  <c r="P1889" i="2"/>
  <c r="O1889" i="2"/>
  <c r="N1889" i="2"/>
  <c r="K1889" i="2"/>
  <c r="J1889" i="2"/>
  <c r="I1889" i="2"/>
  <c r="H1889" i="2"/>
  <c r="G1889" i="2"/>
  <c r="F1889" i="2"/>
  <c r="E1889" i="2"/>
  <c r="D1889" i="2"/>
  <c r="C1889" i="2"/>
  <c r="B1889" i="2"/>
  <c r="A1889" i="2"/>
  <c r="AI1888" i="2"/>
  <c r="AH1888" i="2"/>
  <c r="AG1888" i="2"/>
  <c r="AF1888" i="2"/>
  <c r="AE1888" i="2"/>
  <c r="AD1888" i="2"/>
  <c r="AC1888" i="2"/>
  <c r="AB1888" i="2"/>
  <c r="AA1888" i="2"/>
  <c r="Z1888" i="2"/>
  <c r="Y1888" i="2"/>
  <c r="X1888" i="2"/>
  <c r="W1888" i="2"/>
  <c r="V1888" i="2"/>
  <c r="U1888" i="2"/>
  <c r="T1888" i="2"/>
  <c r="S1888" i="2"/>
  <c r="R1888" i="2"/>
  <c r="Q1888" i="2"/>
  <c r="P1888" i="2"/>
  <c r="O1888" i="2"/>
  <c r="N1888" i="2"/>
  <c r="K1888" i="2"/>
  <c r="J1888" i="2"/>
  <c r="I1888" i="2"/>
  <c r="H1888" i="2"/>
  <c r="G1888" i="2"/>
  <c r="F1888" i="2"/>
  <c r="E1888" i="2"/>
  <c r="D1888" i="2"/>
  <c r="C1888" i="2"/>
  <c r="B1888" i="2"/>
  <c r="A1888" i="2"/>
  <c r="AI1887" i="2"/>
  <c r="AH1887" i="2"/>
  <c r="AG1887" i="2"/>
  <c r="AF1887" i="2"/>
  <c r="AE1887" i="2"/>
  <c r="AD1887" i="2"/>
  <c r="AC1887" i="2"/>
  <c r="AB1887" i="2"/>
  <c r="AA1887" i="2"/>
  <c r="Z1887" i="2"/>
  <c r="Y1887" i="2"/>
  <c r="X1887" i="2"/>
  <c r="W1887" i="2"/>
  <c r="V1887" i="2"/>
  <c r="U1887" i="2"/>
  <c r="T1887" i="2"/>
  <c r="S1887" i="2"/>
  <c r="R1887" i="2"/>
  <c r="Q1887" i="2"/>
  <c r="P1887" i="2"/>
  <c r="O1887" i="2"/>
  <c r="N1887" i="2"/>
  <c r="K1887" i="2"/>
  <c r="J1887" i="2"/>
  <c r="I1887" i="2"/>
  <c r="H1887" i="2"/>
  <c r="G1887" i="2"/>
  <c r="F1887" i="2"/>
  <c r="E1887" i="2"/>
  <c r="D1887" i="2"/>
  <c r="C1887" i="2"/>
  <c r="B1887" i="2"/>
  <c r="A1887" i="2"/>
  <c r="AI1886" i="2"/>
  <c r="AH1886" i="2"/>
  <c r="AG1886" i="2"/>
  <c r="AF1886" i="2"/>
  <c r="AE1886" i="2"/>
  <c r="AD1886" i="2"/>
  <c r="AC1886" i="2"/>
  <c r="AB1886" i="2"/>
  <c r="AA1886" i="2"/>
  <c r="Z1886" i="2"/>
  <c r="Y1886" i="2"/>
  <c r="X1886" i="2"/>
  <c r="V1886" i="2"/>
  <c r="U1886" i="2"/>
  <c r="T1886" i="2"/>
  <c r="S1886" i="2"/>
  <c r="R1886" i="2"/>
  <c r="Q1886" i="2"/>
  <c r="P1886" i="2"/>
  <c r="O1886" i="2"/>
  <c r="N1886" i="2"/>
  <c r="K1886" i="2"/>
  <c r="J1886" i="2"/>
  <c r="I1886" i="2"/>
  <c r="H1886" i="2"/>
  <c r="G1886" i="2"/>
  <c r="F1886" i="2"/>
  <c r="E1886" i="2"/>
  <c r="D1886" i="2"/>
  <c r="C1886" i="2"/>
  <c r="B1886" i="2"/>
  <c r="A1886" i="2"/>
  <c r="AI1885" i="2"/>
  <c r="AH1885" i="2"/>
  <c r="AG1885" i="2"/>
  <c r="AF1885" i="2"/>
  <c r="AE1885" i="2"/>
  <c r="AD1885" i="2"/>
  <c r="AC1885" i="2"/>
  <c r="AB1885" i="2"/>
  <c r="AA1885" i="2"/>
  <c r="Z1885" i="2"/>
  <c r="Y1885" i="2"/>
  <c r="X1885" i="2"/>
  <c r="W1885" i="2"/>
  <c r="V1885" i="2"/>
  <c r="U1885" i="2"/>
  <c r="T1885" i="2"/>
  <c r="S1885" i="2"/>
  <c r="R1885" i="2"/>
  <c r="Q1885" i="2"/>
  <c r="P1885" i="2"/>
  <c r="O1885" i="2"/>
  <c r="N1885" i="2"/>
  <c r="K1885" i="2"/>
  <c r="J1885" i="2"/>
  <c r="I1885" i="2"/>
  <c r="H1885" i="2"/>
  <c r="G1885" i="2"/>
  <c r="F1885" i="2"/>
  <c r="E1885" i="2"/>
  <c r="D1885" i="2"/>
  <c r="C1885" i="2"/>
  <c r="B1885" i="2"/>
  <c r="A1885" i="2"/>
  <c r="AI1884" i="2"/>
  <c r="AH1884" i="2"/>
  <c r="AG1884" i="2"/>
  <c r="AF1884" i="2"/>
  <c r="AE1884" i="2"/>
  <c r="AD1884" i="2"/>
  <c r="AC1884" i="2"/>
  <c r="AB1884" i="2"/>
  <c r="AA1884" i="2"/>
  <c r="Z1884" i="2"/>
  <c r="Y1884" i="2"/>
  <c r="X1884" i="2"/>
  <c r="W1884" i="2"/>
  <c r="V1884" i="2"/>
  <c r="U1884" i="2"/>
  <c r="T1884" i="2"/>
  <c r="S1884" i="2"/>
  <c r="R1884" i="2"/>
  <c r="Q1884" i="2"/>
  <c r="P1884" i="2"/>
  <c r="O1884" i="2"/>
  <c r="N1884" i="2"/>
  <c r="K1884" i="2"/>
  <c r="J1884" i="2"/>
  <c r="I1884" i="2"/>
  <c r="H1884" i="2"/>
  <c r="G1884" i="2"/>
  <c r="F1884" i="2"/>
  <c r="E1884" i="2"/>
  <c r="D1884" i="2"/>
  <c r="C1884" i="2"/>
  <c r="B1884" i="2"/>
  <c r="A1884" i="2"/>
  <c r="AI1883" i="2"/>
  <c r="AH1883" i="2"/>
  <c r="AG1883" i="2"/>
  <c r="AF1883" i="2"/>
  <c r="AE1883" i="2"/>
  <c r="AD1883" i="2"/>
  <c r="AC1883" i="2"/>
  <c r="AA1883" i="2"/>
  <c r="Z1883" i="2"/>
  <c r="Y1883" i="2"/>
  <c r="X1883" i="2"/>
  <c r="V1883" i="2"/>
  <c r="U1883" i="2"/>
  <c r="T1883" i="2"/>
  <c r="S1883" i="2"/>
  <c r="R1883" i="2"/>
  <c r="Q1883" i="2"/>
  <c r="P1883" i="2"/>
  <c r="O1883" i="2"/>
  <c r="N1883" i="2"/>
  <c r="K1883" i="2"/>
  <c r="J1883" i="2"/>
  <c r="I1883" i="2"/>
  <c r="H1883" i="2"/>
  <c r="G1883" i="2"/>
  <c r="F1883" i="2"/>
  <c r="E1883" i="2"/>
  <c r="D1883" i="2"/>
  <c r="C1883" i="2"/>
  <c r="B1883" i="2"/>
  <c r="A1883" i="2"/>
  <c r="AI1882" i="2"/>
  <c r="AH1882" i="2"/>
  <c r="AG1882" i="2"/>
  <c r="AF1882" i="2"/>
  <c r="AE1882" i="2"/>
  <c r="AD1882" i="2"/>
  <c r="AC1882" i="2"/>
  <c r="AB1882" i="2"/>
  <c r="AA1882" i="2"/>
  <c r="Z1882" i="2"/>
  <c r="Y1882" i="2"/>
  <c r="X1882" i="2"/>
  <c r="W1882" i="2"/>
  <c r="V1882" i="2"/>
  <c r="U1882" i="2"/>
  <c r="T1882" i="2"/>
  <c r="S1882" i="2"/>
  <c r="R1882" i="2"/>
  <c r="Q1882" i="2"/>
  <c r="P1882" i="2"/>
  <c r="O1882" i="2"/>
  <c r="N1882" i="2"/>
  <c r="K1882" i="2"/>
  <c r="J1882" i="2"/>
  <c r="I1882" i="2"/>
  <c r="H1882" i="2"/>
  <c r="G1882" i="2"/>
  <c r="F1882" i="2"/>
  <c r="E1882" i="2"/>
  <c r="D1882" i="2"/>
  <c r="C1882" i="2"/>
  <c r="B1882" i="2"/>
  <c r="A1882" i="2"/>
  <c r="AJ1881" i="2"/>
  <c r="AI1881" i="2"/>
  <c r="AH1881" i="2"/>
  <c r="AG1881" i="2"/>
  <c r="AF1881" i="2"/>
  <c r="AE1881" i="2"/>
  <c r="AD1881" i="2"/>
  <c r="AC1881" i="2"/>
  <c r="AB1881" i="2"/>
  <c r="AA1881" i="2"/>
  <c r="Z1881" i="2"/>
  <c r="Y1881" i="2"/>
  <c r="X1881" i="2"/>
  <c r="W1881" i="2"/>
  <c r="V1881" i="2"/>
  <c r="U1881" i="2"/>
  <c r="T1881" i="2"/>
  <c r="S1881" i="2"/>
  <c r="R1881" i="2"/>
  <c r="Q1881" i="2"/>
  <c r="P1881" i="2"/>
  <c r="O1881" i="2"/>
  <c r="N1881" i="2"/>
  <c r="M1881" i="2"/>
  <c r="L1881" i="2"/>
  <c r="K1881" i="2"/>
  <c r="J1881" i="2"/>
  <c r="I1881" i="2"/>
  <c r="H1881" i="2"/>
  <c r="G1881" i="2"/>
  <c r="F1881" i="2"/>
  <c r="E1881" i="2"/>
  <c r="D1881" i="2"/>
  <c r="C1881" i="2"/>
  <c r="B1881" i="2"/>
  <c r="A1881" i="2"/>
  <c r="AJ1880" i="2"/>
  <c r="AI1880" i="2"/>
  <c r="AG1880" i="2"/>
  <c r="AF1880" i="2"/>
  <c r="AE1880" i="2"/>
  <c r="AD1880" i="2"/>
  <c r="AC1880" i="2"/>
  <c r="AB1880" i="2"/>
  <c r="AA1880" i="2"/>
  <c r="Z1880" i="2"/>
  <c r="Y1880" i="2"/>
  <c r="X1880" i="2"/>
  <c r="V1880" i="2"/>
  <c r="U1880" i="2"/>
  <c r="T1880" i="2"/>
  <c r="S1880" i="2"/>
  <c r="R1880" i="2"/>
  <c r="Q1880" i="2"/>
  <c r="P1880" i="2"/>
  <c r="O1880" i="2"/>
  <c r="N1880" i="2"/>
  <c r="K1880" i="2"/>
  <c r="J1880" i="2"/>
  <c r="I1880" i="2"/>
  <c r="H1880" i="2"/>
  <c r="G1880" i="2"/>
  <c r="F1880" i="2"/>
  <c r="E1880" i="2"/>
  <c r="D1880" i="2"/>
  <c r="C1880" i="2"/>
  <c r="B1880" i="2"/>
  <c r="A1880" i="2"/>
  <c r="AI1879" i="2"/>
  <c r="AH1879" i="2"/>
  <c r="AG1879" i="2"/>
  <c r="AF1879" i="2"/>
  <c r="AE1879" i="2"/>
  <c r="AD1879" i="2"/>
  <c r="AC1879" i="2"/>
  <c r="AB1879" i="2"/>
  <c r="AA1879" i="2"/>
  <c r="Z1879" i="2"/>
  <c r="Y1879" i="2"/>
  <c r="X1879" i="2"/>
  <c r="W1879" i="2"/>
  <c r="V1879" i="2"/>
  <c r="U1879" i="2"/>
  <c r="T1879" i="2"/>
  <c r="S1879" i="2"/>
  <c r="R1879" i="2"/>
  <c r="Q1879" i="2"/>
  <c r="P1879" i="2"/>
  <c r="O1879" i="2"/>
  <c r="N1879" i="2"/>
  <c r="K1879" i="2"/>
  <c r="J1879" i="2"/>
  <c r="I1879" i="2"/>
  <c r="H1879" i="2"/>
  <c r="G1879" i="2"/>
  <c r="F1879" i="2"/>
  <c r="E1879" i="2"/>
  <c r="D1879" i="2"/>
  <c r="C1879" i="2"/>
  <c r="B1879" i="2"/>
  <c r="A1879" i="2"/>
  <c r="AI1878" i="2"/>
  <c r="AH1878" i="2"/>
  <c r="AG1878" i="2"/>
  <c r="AF1878" i="2"/>
  <c r="AE1878" i="2"/>
  <c r="AD1878" i="2"/>
  <c r="AC1878" i="2"/>
  <c r="AB1878" i="2"/>
  <c r="AA1878" i="2"/>
  <c r="Z1878" i="2"/>
  <c r="Y1878" i="2"/>
  <c r="X1878" i="2"/>
  <c r="W1878" i="2"/>
  <c r="V1878" i="2"/>
  <c r="U1878" i="2"/>
  <c r="T1878" i="2"/>
  <c r="S1878" i="2"/>
  <c r="R1878" i="2"/>
  <c r="Q1878" i="2"/>
  <c r="P1878" i="2"/>
  <c r="O1878" i="2"/>
  <c r="N1878" i="2"/>
  <c r="K1878" i="2"/>
  <c r="J1878" i="2"/>
  <c r="I1878" i="2"/>
  <c r="H1878" i="2"/>
  <c r="G1878" i="2"/>
  <c r="F1878" i="2"/>
  <c r="E1878" i="2"/>
  <c r="D1878" i="2"/>
  <c r="C1878" i="2"/>
  <c r="B1878" i="2"/>
  <c r="A1878" i="2"/>
  <c r="AI1877" i="2"/>
  <c r="AH1877" i="2"/>
  <c r="AG1877" i="2"/>
  <c r="AF1877" i="2"/>
  <c r="AE1877" i="2"/>
  <c r="AD1877" i="2"/>
  <c r="AC1877" i="2"/>
  <c r="AB1877" i="2"/>
  <c r="AA1877" i="2"/>
  <c r="Z1877" i="2"/>
  <c r="Y1877" i="2"/>
  <c r="X1877" i="2"/>
  <c r="W1877" i="2"/>
  <c r="V1877" i="2"/>
  <c r="U1877" i="2"/>
  <c r="T1877" i="2"/>
  <c r="S1877" i="2"/>
  <c r="R1877" i="2"/>
  <c r="Q1877" i="2"/>
  <c r="P1877" i="2"/>
  <c r="O1877" i="2"/>
  <c r="N1877" i="2"/>
  <c r="K1877" i="2"/>
  <c r="J1877" i="2"/>
  <c r="I1877" i="2"/>
  <c r="H1877" i="2"/>
  <c r="G1877" i="2"/>
  <c r="F1877" i="2"/>
  <c r="E1877" i="2"/>
  <c r="D1877" i="2"/>
  <c r="C1877" i="2"/>
  <c r="B1877" i="2"/>
  <c r="A1877" i="2"/>
  <c r="AI1876" i="2"/>
  <c r="AH1876" i="2"/>
  <c r="AG1876" i="2"/>
  <c r="AF1876" i="2"/>
  <c r="AE1876" i="2"/>
  <c r="AD1876" i="2"/>
  <c r="AC1876" i="2"/>
  <c r="AB1876" i="2"/>
  <c r="AA1876" i="2"/>
  <c r="Z1876" i="2"/>
  <c r="Y1876" i="2"/>
  <c r="X1876" i="2"/>
  <c r="W1876" i="2"/>
  <c r="V1876" i="2"/>
  <c r="U1876" i="2"/>
  <c r="T1876" i="2"/>
  <c r="S1876" i="2"/>
  <c r="R1876" i="2"/>
  <c r="Q1876" i="2"/>
  <c r="P1876" i="2"/>
  <c r="O1876" i="2"/>
  <c r="N1876" i="2"/>
  <c r="K1876" i="2"/>
  <c r="J1876" i="2"/>
  <c r="I1876" i="2"/>
  <c r="H1876" i="2"/>
  <c r="G1876" i="2"/>
  <c r="F1876" i="2"/>
  <c r="E1876" i="2"/>
  <c r="D1876" i="2"/>
  <c r="C1876" i="2"/>
  <c r="B1876" i="2"/>
  <c r="A1876" i="2"/>
  <c r="AI1875" i="2"/>
  <c r="AH1875" i="2"/>
  <c r="AG1875" i="2"/>
  <c r="AF1875" i="2"/>
  <c r="AE1875" i="2"/>
  <c r="AD1875" i="2"/>
  <c r="AC1875" i="2"/>
  <c r="AA1875" i="2"/>
  <c r="Z1875" i="2"/>
  <c r="Y1875" i="2"/>
  <c r="X1875" i="2"/>
  <c r="V1875" i="2"/>
  <c r="U1875" i="2"/>
  <c r="T1875" i="2"/>
  <c r="S1875" i="2"/>
  <c r="R1875" i="2"/>
  <c r="Q1875" i="2"/>
  <c r="P1875" i="2"/>
  <c r="O1875" i="2"/>
  <c r="N1875" i="2"/>
  <c r="K1875" i="2"/>
  <c r="J1875" i="2"/>
  <c r="I1875" i="2"/>
  <c r="H1875" i="2"/>
  <c r="G1875" i="2"/>
  <c r="F1875" i="2"/>
  <c r="E1875" i="2"/>
  <c r="D1875" i="2"/>
  <c r="C1875" i="2"/>
  <c r="B1875" i="2"/>
  <c r="A1875" i="2"/>
  <c r="AI1874" i="2"/>
  <c r="AH1874" i="2"/>
  <c r="AF1874" i="2"/>
  <c r="AE1874" i="2"/>
  <c r="AD1874" i="2"/>
  <c r="AC1874" i="2"/>
  <c r="AA1874" i="2"/>
  <c r="Z1874" i="2"/>
  <c r="Y1874" i="2"/>
  <c r="X1874" i="2"/>
  <c r="W1874" i="2"/>
  <c r="V1874" i="2"/>
  <c r="U1874" i="2"/>
  <c r="T1874" i="2"/>
  <c r="S1874" i="2"/>
  <c r="R1874" i="2"/>
  <c r="Q1874" i="2"/>
  <c r="P1874" i="2"/>
  <c r="O1874" i="2"/>
  <c r="N1874" i="2"/>
  <c r="K1874" i="2"/>
  <c r="J1874" i="2"/>
  <c r="I1874" i="2"/>
  <c r="H1874" i="2"/>
  <c r="G1874" i="2"/>
  <c r="F1874" i="2"/>
  <c r="E1874" i="2"/>
  <c r="D1874" i="2"/>
  <c r="C1874" i="2"/>
  <c r="B1874" i="2"/>
  <c r="A1874" i="2"/>
  <c r="AI1873" i="2"/>
  <c r="AH1873" i="2"/>
  <c r="AG1873" i="2"/>
  <c r="AF1873" i="2"/>
  <c r="AE1873" i="2"/>
  <c r="AD1873" i="2"/>
  <c r="AC1873" i="2"/>
  <c r="AB1873" i="2"/>
  <c r="AA1873" i="2"/>
  <c r="Z1873" i="2"/>
  <c r="Y1873" i="2"/>
  <c r="X1873" i="2"/>
  <c r="W1873" i="2"/>
  <c r="V1873" i="2"/>
  <c r="U1873" i="2"/>
  <c r="T1873" i="2"/>
  <c r="S1873" i="2"/>
  <c r="R1873" i="2"/>
  <c r="Q1873" i="2"/>
  <c r="P1873" i="2"/>
  <c r="O1873" i="2"/>
  <c r="N1873" i="2"/>
  <c r="K1873" i="2"/>
  <c r="J1873" i="2"/>
  <c r="I1873" i="2"/>
  <c r="H1873" i="2"/>
  <c r="G1873" i="2"/>
  <c r="F1873" i="2"/>
  <c r="E1873" i="2"/>
  <c r="D1873" i="2"/>
  <c r="C1873" i="2"/>
  <c r="B1873" i="2"/>
  <c r="A1873" i="2"/>
  <c r="AH1872" i="2"/>
  <c r="AG1872" i="2"/>
  <c r="AF1872" i="2"/>
  <c r="AE1872" i="2"/>
  <c r="AD1872" i="2"/>
  <c r="AC1872" i="2"/>
  <c r="AB1872" i="2"/>
  <c r="AA1872" i="2"/>
  <c r="Z1872" i="2"/>
  <c r="Y1872" i="2"/>
  <c r="X1872" i="2"/>
  <c r="V1872" i="2"/>
  <c r="U1872" i="2"/>
  <c r="T1872" i="2"/>
  <c r="S1872" i="2"/>
  <c r="R1872" i="2"/>
  <c r="Q1872" i="2"/>
  <c r="P1872" i="2"/>
  <c r="O1872" i="2"/>
  <c r="N1872" i="2"/>
  <c r="K1872" i="2"/>
  <c r="J1872" i="2"/>
  <c r="I1872" i="2"/>
  <c r="H1872" i="2"/>
  <c r="G1872" i="2"/>
  <c r="F1872" i="2"/>
  <c r="E1872" i="2"/>
  <c r="D1872" i="2"/>
  <c r="C1872" i="2"/>
  <c r="B1872" i="2"/>
  <c r="A1872" i="2"/>
  <c r="AJ1871" i="2"/>
  <c r="AI1871" i="2"/>
  <c r="AH1871" i="2"/>
  <c r="AG1871" i="2"/>
  <c r="AF1871" i="2"/>
  <c r="AE1871" i="2"/>
  <c r="AD1871" i="2"/>
  <c r="AC1871" i="2"/>
  <c r="AB1871" i="2"/>
  <c r="AA1871" i="2"/>
  <c r="Z1871" i="2"/>
  <c r="Y1871" i="2"/>
  <c r="X1871" i="2"/>
  <c r="W1871" i="2"/>
  <c r="V1871" i="2"/>
  <c r="U1871" i="2"/>
  <c r="T1871" i="2"/>
  <c r="S1871" i="2"/>
  <c r="R1871" i="2"/>
  <c r="Q1871" i="2"/>
  <c r="P1871" i="2"/>
  <c r="O1871" i="2"/>
  <c r="N1871" i="2"/>
  <c r="M1871" i="2"/>
  <c r="L1871" i="2"/>
  <c r="K1871" i="2"/>
  <c r="J1871" i="2"/>
  <c r="I1871" i="2"/>
  <c r="H1871" i="2"/>
  <c r="G1871" i="2"/>
  <c r="F1871" i="2"/>
  <c r="E1871" i="2"/>
  <c r="D1871" i="2"/>
  <c r="C1871" i="2"/>
  <c r="B1871" i="2"/>
  <c r="A1871" i="2"/>
  <c r="AI1870" i="2"/>
  <c r="AH1870" i="2"/>
  <c r="AG1870" i="2"/>
  <c r="AF1870" i="2"/>
  <c r="AE1870" i="2"/>
  <c r="AD1870" i="2"/>
  <c r="AC1870" i="2"/>
  <c r="AB1870" i="2"/>
  <c r="AA1870" i="2"/>
  <c r="Z1870" i="2"/>
  <c r="Y1870" i="2"/>
  <c r="X1870" i="2"/>
  <c r="T1870" i="2"/>
  <c r="S1870" i="2"/>
  <c r="R1870" i="2"/>
  <c r="Q1870" i="2"/>
  <c r="P1870" i="2"/>
  <c r="O1870" i="2"/>
  <c r="N1870" i="2"/>
  <c r="K1870" i="2"/>
  <c r="J1870" i="2"/>
  <c r="I1870" i="2"/>
  <c r="H1870" i="2"/>
  <c r="G1870" i="2"/>
  <c r="F1870" i="2"/>
  <c r="E1870" i="2"/>
  <c r="D1870" i="2"/>
  <c r="C1870" i="2"/>
  <c r="B1870" i="2"/>
  <c r="A1870" i="2"/>
  <c r="AI1869" i="2"/>
  <c r="AH1869" i="2"/>
  <c r="AG1869" i="2"/>
  <c r="AF1869" i="2"/>
  <c r="AE1869" i="2"/>
  <c r="AD1869" i="2"/>
  <c r="AC1869" i="2"/>
  <c r="AB1869" i="2"/>
  <c r="AA1869" i="2"/>
  <c r="Z1869" i="2"/>
  <c r="Y1869" i="2"/>
  <c r="X1869" i="2"/>
  <c r="W1869" i="2"/>
  <c r="V1869" i="2"/>
  <c r="U1869" i="2"/>
  <c r="T1869" i="2"/>
  <c r="S1869" i="2"/>
  <c r="R1869" i="2"/>
  <c r="Q1869" i="2"/>
  <c r="P1869" i="2"/>
  <c r="O1869" i="2"/>
  <c r="N1869" i="2"/>
  <c r="K1869" i="2"/>
  <c r="J1869" i="2"/>
  <c r="I1869" i="2"/>
  <c r="H1869" i="2"/>
  <c r="G1869" i="2"/>
  <c r="F1869" i="2"/>
  <c r="E1869" i="2"/>
  <c r="D1869" i="2"/>
  <c r="C1869" i="2"/>
  <c r="B1869" i="2"/>
  <c r="A1869" i="2"/>
  <c r="AI1868" i="2"/>
  <c r="AH1868" i="2"/>
  <c r="AG1868" i="2"/>
  <c r="AF1868" i="2"/>
  <c r="AE1868" i="2"/>
  <c r="AD1868" i="2"/>
  <c r="AC1868" i="2"/>
  <c r="AB1868" i="2"/>
  <c r="AA1868" i="2"/>
  <c r="Z1868" i="2"/>
  <c r="Y1868" i="2"/>
  <c r="X1868" i="2"/>
  <c r="W1868" i="2"/>
  <c r="V1868" i="2"/>
  <c r="U1868" i="2"/>
  <c r="T1868" i="2"/>
  <c r="S1868" i="2"/>
  <c r="R1868" i="2"/>
  <c r="Q1868" i="2"/>
  <c r="P1868" i="2"/>
  <c r="O1868" i="2"/>
  <c r="N1868" i="2"/>
  <c r="K1868" i="2"/>
  <c r="J1868" i="2"/>
  <c r="I1868" i="2"/>
  <c r="H1868" i="2"/>
  <c r="G1868" i="2"/>
  <c r="F1868" i="2"/>
  <c r="E1868" i="2"/>
  <c r="D1868" i="2"/>
  <c r="C1868" i="2"/>
  <c r="B1868" i="2"/>
  <c r="A1868" i="2"/>
  <c r="AI1867" i="2"/>
  <c r="AH1867" i="2"/>
  <c r="AG1867" i="2"/>
  <c r="AF1867" i="2"/>
  <c r="AE1867" i="2"/>
  <c r="AD1867" i="2"/>
  <c r="AC1867" i="2"/>
  <c r="AB1867" i="2"/>
  <c r="AA1867" i="2"/>
  <c r="Z1867" i="2"/>
  <c r="Y1867" i="2"/>
  <c r="X1867" i="2"/>
  <c r="W1867" i="2"/>
  <c r="V1867" i="2"/>
  <c r="U1867" i="2"/>
  <c r="T1867" i="2"/>
  <c r="S1867" i="2"/>
  <c r="R1867" i="2"/>
  <c r="Q1867" i="2"/>
  <c r="P1867" i="2"/>
  <c r="O1867" i="2"/>
  <c r="N1867" i="2"/>
  <c r="K1867" i="2"/>
  <c r="J1867" i="2"/>
  <c r="I1867" i="2"/>
  <c r="H1867" i="2"/>
  <c r="G1867" i="2"/>
  <c r="F1867" i="2"/>
  <c r="E1867" i="2"/>
  <c r="D1867" i="2"/>
  <c r="C1867" i="2"/>
  <c r="B1867" i="2"/>
  <c r="A1867" i="2"/>
  <c r="AI1866" i="2"/>
  <c r="AH1866" i="2"/>
  <c r="AF1866" i="2"/>
  <c r="AE1866" i="2"/>
  <c r="AD1866" i="2"/>
  <c r="AC1866" i="2"/>
  <c r="AB1866" i="2"/>
  <c r="AA1866" i="2"/>
  <c r="Z1866" i="2"/>
  <c r="Y1866" i="2"/>
  <c r="X1866" i="2"/>
  <c r="W1866" i="2"/>
  <c r="V1866" i="2"/>
  <c r="U1866" i="2"/>
  <c r="T1866" i="2"/>
  <c r="S1866" i="2"/>
  <c r="R1866" i="2"/>
  <c r="Q1866" i="2"/>
  <c r="P1866" i="2"/>
  <c r="O1866" i="2"/>
  <c r="N1866" i="2"/>
  <c r="K1866" i="2"/>
  <c r="J1866" i="2"/>
  <c r="I1866" i="2"/>
  <c r="H1866" i="2"/>
  <c r="G1866" i="2"/>
  <c r="F1866" i="2"/>
  <c r="E1866" i="2"/>
  <c r="D1866" i="2"/>
  <c r="C1866" i="2"/>
  <c r="B1866" i="2"/>
  <c r="A1866" i="2"/>
  <c r="AI1865" i="2"/>
  <c r="AH1865" i="2"/>
  <c r="AF1865" i="2"/>
  <c r="AE1865" i="2"/>
  <c r="AD1865" i="2"/>
  <c r="AC1865" i="2"/>
  <c r="AB1865" i="2"/>
  <c r="AA1865" i="2"/>
  <c r="Z1865" i="2"/>
  <c r="Y1865" i="2"/>
  <c r="X1865" i="2"/>
  <c r="V1865" i="2"/>
  <c r="U1865" i="2"/>
  <c r="T1865" i="2"/>
  <c r="S1865" i="2"/>
  <c r="R1865" i="2"/>
  <c r="Q1865" i="2"/>
  <c r="P1865" i="2"/>
  <c r="O1865" i="2"/>
  <c r="N1865" i="2"/>
  <c r="K1865" i="2"/>
  <c r="J1865" i="2"/>
  <c r="I1865" i="2"/>
  <c r="H1865" i="2"/>
  <c r="G1865" i="2"/>
  <c r="F1865" i="2"/>
  <c r="E1865" i="2"/>
  <c r="D1865" i="2"/>
  <c r="C1865" i="2"/>
  <c r="B1865" i="2"/>
  <c r="A1865" i="2"/>
  <c r="AI1864" i="2"/>
  <c r="AH1864" i="2"/>
  <c r="AG1864" i="2"/>
  <c r="AF1864" i="2"/>
  <c r="AE1864" i="2"/>
  <c r="AD1864" i="2"/>
  <c r="AB1864" i="2"/>
  <c r="AA1864" i="2"/>
  <c r="Z1864" i="2"/>
  <c r="Y1864" i="2"/>
  <c r="X1864" i="2"/>
  <c r="W1864" i="2"/>
  <c r="V1864" i="2"/>
  <c r="U1864" i="2"/>
  <c r="T1864" i="2"/>
  <c r="S1864" i="2"/>
  <c r="R1864" i="2"/>
  <c r="Q1864" i="2"/>
  <c r="P1864" i="2"/>
  <c r="O1864" i="2"/>
  <c r="N1864" i="2"/>
  <c r="K1864" i="2"/>
  <c r="J1864" i="2"/>
  <c r="I1864" i="2"/>
  <c r="H1864" i="2"/>
  <c r="G1864" i="2"/>
  <c r="F1864" i="2"/>
  <c r="E1864" i="2"/>
  <c r="D1864" i="2"/>
  <c r="C1864" i="2"/>
  <c r="B1864" i="2"/>
  <c r="A1864" i="2"/>
  <c r="AI1863" i="2"/>
  <c r="AH1863" i="2"/>
  <c r="AG1863" i="2"/>
  <c r="AF1863" i="2"/>
  <c r="AE1863" i="2"/>
  <c r="AD1863" i="2"/>
  <c r="AC1863" i="2"/>
  <c r="AB1863" i="2"/>
  <c r="AA1863" i="2"/>
  <c r="Z1863" i="2"/>
  <c r="Y1863" i="2"/>
  <c r="X1863" i="2"/>
  <c r="W1863" i="2"/>
  <c r="V1863" i="2"/>
  <c r="U1863" i="2"/>
  <c r="T1863" i="2"/>
  <c r="S1863" i="2"/>
  <c r="R1863" i="2"/>
  <c r="Q1863" i="2"/>
  <c r="P1863" i="2"/>
  <c r="O1863" i="2"/>
  <c r="N1863" i="2"/>
  <c r="K1863" i="2"/>
  <c r="J1863" i="2"/>
  <c r="I1863" i="2"/>
  <c r="H1863" i="2"/>
  <c r="G1863" i="2"/>
  <c r="F1863" i="2"/>
  <c r="E1863" i="2"/>
  <c r="D1863" i="2"/>
  <c r="C1863" i="2"/>
  <c r="B1863" i="2"/>
  <c r="A1863" i="2"/>
  <c r="AI1862" i="2"/>
  <c r="AH1862" i="2"/>
  <c r="AG1862" i="2"/>
  <c r="AF1862" i="2"/>
  <c r="AE1862" i="2"/>
  <c r="AD1862" i="2"/>
  <c r="AB1862" i="2"/>
  <c r="AA1862" i="2"/>
  <c r="Z1862" i="2"/>
  <c r="Y1862" i="2"/>
  <c r="V1862" i="2"/>
  <c r="U1862" i="2"/>
  <c r="T1862" i="2"/>
  <c r="S1862" i="2"/>
  <c r="R1862" i="2"/>
  <c r="Q1862" i="2"/>
  <c r="P1862" i="2"/>
  <c r="O1862" i="2"/>
  <c r="N1862" i="2"/>
  <c r="K1862" i="2"/>
  <c r="J1862" i="2"/>
  <c r="I1862" i="2"/>
  <c r="H1862" i="2"/>
  <c r="G1862" i="2"/>
  <c r="F1862" i="2"/>
  <c r="E1862" i="2"/>
  <c r="D1862" i="2"/>
  <c r="C1862" i="2"/>
  <c r="B1862" i="2"/>
  <c r="A1862" i="2"/>
  <c r="AJ1861" i="2"/>
  <c r="AI1861" i="2"/>
  <c r="AH1861" i="2"/>
  <c r="AG1861" i="2"/>
  <c r="AF1861" i="2"/>
  <c r="AE1861" i="2"/>
  <c r="AD1861" i="2"/>
  <c r="AC1861" i="2"/>
  <c r="AB1861" i="2"/>
  <c r="AA1861" i="2"/>
  <c r="Z1861" i="2"/>
  <c r="Y1861" i="2"/>
  <c r="X1861" i="2"/>
  <c r="V1861" i="2"/>
  <c r="U1861" i="2"/>
  <c r="T1861" i="2"/>
  <c r="S1861" i="2"/>
  <c r="R1861" i="2"/>
  <c r="Q1861" i="2"/>
  <c r="P1861" i="2"/>
  <c r="O1861" i="2"/>
  <c r="N1861" i="2"/>
  <c r="K1861" i="2"/>
  <c r="J1861" i="2"/>
  <c r="I1861" i="2"/>
  <c r="H1861" i="2"/>
  <c r="G1861" i="2"/>
  <c r="F1861" i="2"/>
  <c r="E1861" i="2"/>
  <c r="D1861" i="2"/>
  <c r="C1861" i="2"/>
  <c r="B1861" i="2"/>
  <c r="A1861" i="2"/>
  <c r="AI1860" i="2"/>
  <c r="AH1860" i="2"/>
  <c r="AG1860" i="2"/>
  <c r="AF1860" i="2"/>
  <c r="AE1860" i="2"/>
  <c r="AD1860" i="2"/>
  <c r="AB1860" i="2"/>
  <c r="AA1860" i="2"/>
  <c r="Z1860" i="2"/>
  <c r="Y1860" i="2"/>
  <c r="X1860" i="2"/>
  <c r="W1860" i="2"/>
  <c r="V1860" i="2"/>
  <c r="U1860" i="2"/>
  <c r="T1860" i="2"/>
  <c r="S1860" i="2"/>
  <c r="R1860" i="2"/>
  <c r="Q1860" i="2"/>
  <c r="P1860" i="2"/>
  <c r="O1860" i="2"/>
  <c r="N1860" i="2"/>
  <c r="K1860" i="2"/>
  <c r="J1860" i="2"/>
  <c r="I1860" i="2"/>
  <c r="H1860" i="2"/>
  <c r="G1860" i="2"/>
  <c r="F1860" i="2"/>
  <c r="E1860" i="2"/>
  <c r="D1860" i="2"/>
  <c r="C1860" i="2"/>
  <c r="B1860" i="2"/>
  <c r="A1860" i="2"/>
  <c r="AJ1859" i="2"/>
  <c r="AI1859" i="2"/>
  <c r="AH1859" i="2"/>
  <c r="AG1859" i="2"/>
  <c r="AF1859" i="2"/>
  <c r="AE1859" i="2"/>
  <c r="AD1859" i="2"/>
  <c r="AA1859" i="2"/>
  <c r="Z1859" i="2"/>
  <c r="Y1859" i="2"/>
  <c r="W1859" i="2"/>
  <c r="V1859" i="2"/>
  <c r="U1859" i="2"/>
  <c r="T1859" i="2"/>
  <c r="S1859" i="2"/>
  <c r="R1859" i="2"/>
  <c r="Q1859" i="2"/>
  <c r="P1859" i="2"/>
  <c r="O1859" i="2"/>
  <c r="N1859" i="2"/>
  <c r="K1859" i="2"/>
  <c r="J1859" i="2"/>
  <c r="I1859" i="2"/>
  <c r="H1859" i="2"/>
  <c r="G1859" i="2"/>
  <c r="F1859" i="2"/>
  <c r="E1859" i="2"/>
  <c r="D1859" i="2"/>
  <c r="C1859" i="2"/>
  <c r="B1859" i="2"/>
  <c r="A1859" i="2"/>
  <c r="AI1858" i="2"/>
  <c r="AH1858" i="2"/>
  <c r="AG1858" i="2"/>
  <c r="AF1858" i="2"/>
  <c r="AE1858" i="2"/>
  <c r="AD1858" i="2"/>
  <c r="AC1858" i="2"/>
  <c r="AB1858" i="2"/>
  <c r="AA1858" i="2"/>
  <c r="Z1858" i="2"/>
  <c r="Y1858" i="2"/>
  <c r="X1858" i="2"/>
  <c r="U1858" i="2"/>
  <c r="T1858" i="2"/>
  <c r="S1858" i="2"/>
  <c r="R1858" i="2"/>
  <c r="Q1858" i="2"/>
  <c r="P1858" i="2"/>
  <c r="O1858" i="2"/>
  <c r="N1858" i="2"/>
  <c r="K1858" i="2"/>
  <c r="J1858" i="2"/>
  <c r="I1858" i="2"/>
  <c r="H1858" i="2"/>
  <c r="G1858" i="2"/>
  <c r="F1858" i="2"/>
  <c r="E1858" i="2"/>
  <c r="D1858" i="2"/>
  <c r="C1858" i="2"/>
  <c r="B1858" i="2"/>
  <c r="A1858" i="2"/>
  <c r="AJ1857" i="2"/>
  <c r="AH1857" i="2"/>
  <c r="AG1857" i="2"/>
  <c r="AF1857" i="2"/>
  <c r="AE1857" i="2"/>
  <c r="AD1857" i="2"/>
  <c r="AC1857" i="2"/>
  <c r="AB1857" i="2"/>
  <c r="AA1857" i="2"/>
  <c r="Z1857" i="2"/>
  <c r="Y1857" i="2"/>
  <c r="X1857" i="2"/>
  <c r="W1857" i="2"/>
  <c r="V1857" i="2"/>
  <c r="U1857" i="2"/>
  <c r="T1857" i="2"/>
  <c r="S1857" i="2"/>
  <c r="R1857" i="2"/>
  <c r="Q1857" i="2"/>
  <c r="P1857" i="2"/>
  <c r="O1857" i="2"/>
  <c r="N1857" i="2"/>
  <c r="M1857" i="2"/>
  <c r="L1857" i="2"/>
  <c r="K1857" i="2"/>
  <c r="J1857" i="2"/>
  <c r="I1857" i="2"/>
  <c r="H1857" i="2"/>
  <c r="G1857" i="2"/>
  <c r="F1857" i="2"/>
  <c r="E1857" i="2"/>
  <c r="D1857" i="2"/>
  <c r="C1857" i="2"/>
  <c r="B1857" i="2"/>
  <c r="A1857" i="2"/>
  <c r="AI1856" i="2"/>
  <c r="AH1856" i="2"/>
  <c r="AG1856" i="2"/>
  <c r="AF1856" i="2"/>
  <c r="AE1856" i="2"/>
  <c r="AD1856" i="2"/>
  <c r="AC1856" i="2"/>
  <c r="AB1856" i="2"/>
  <c r="AA1856" i="2"/>
  <c r="Z1856" i="2"/>
  <c r="Y1856" i="2"/>
  <c r="X1856" i="2"/>
  <c r="W1856" i="2"/>
  <c r="V1856" i="2"/>
  <c r="U1856" i="2"/>
  <c r="T1856" i="2"/>
  <c r="S1856" i="2"/>
  <c r="R1856" i="2"/>
  <c r="Q1856" i="2"/>
  <c r="P1856" i="2"/>
  <c r="O1856" i="2"/>
  <c r="N1856" i="2"/>
  <c r="K1856" i="2"/>
  <c r="J1856" i="2"/>
  <c r="I1856" i="2"/>
  <c r="H1856" i="2"/>
  <c r="G1856" i="2"/>
  <c r="F1856" i="2"/>
  <c r="E1856" i="2"/>
  <c r="D1856" i="2"/>
  <c r="C1856" i="2"/>
  <c r="B1856" i="2"/>
  <c r="A1856" i="2"/>
  <c r="AI1855" i="2"/>
  <c r="AH1855" i="2"/>
  <c r="AG1855" i="2"/>
  <c r="AF1855" i="2"/>
  <c r="AE1855" i="2"/>
  <c r="AD1855" i="2"/>
  <c r="AC1855" i="2"/>
  <c r="AB1855" i="2"/>
  <c r="AA1855" i="2"/>
  <c r="Z1855" i="2"/>
  <c r="Y1855" i="2"/>
  <c r="X1855" i="2"/>
  <c r="W1855" i="2"/>
  <c r="V1855" i="2"/>
  <c r="U1855" i="2"/>
  <c r="T1855" i="2"/>
  <c r="S1855" i="2"/>
  <c r="R1855" i="2"/>
  <c r="Q1855" i="2"/>
  <c r="P1855" i="2"/>
  <c r="O1855" i="2"/>
  <c r="N1855" i="2"/>
  <c r="K1855" i="2"/>
  <c r="J1855" i="2"/>
  <c r="I1855" i="2"/>
  <c r="H1855" i="2"/>
  <c r="G1855" i="2"/>
  <c r="F1855" i="2"/>
  <c r="E1855" i="2"/>
  <c r="D1855" i="2"/>
  <c r="C1855" i="2"/>
  <c r="B1855" i="2"/>
  <c r="A1855" i="2"/>
  <c r="AI1854" i="2"/>
  <c r="AH1854" i="2"/>
  <c r="AG1854" i="2"/>
  <c r="AF1854" i="2"/>
  <c r="AE1854" i="2"/>
  <c r="AD1854" i="2"/>
  <c r="AC1854" i="2"/>
  <c r="AB1854" i="2"/>
  <c r="AA1854" i="2"/>
  <c r="Z1854" i="2"/>
  <c r="Y1854" i="2"/>
  <c r="X1854" i="2"/>
  <c r="W1854" i="2"/>
  <c r="V1854" i="2"/>
  <c r="U1854" i="2"/>
  <c r="T1854" i="2"/>
  <c r="S1854" i="2"/>
  <c r="R1854" i="2"/>
  <c r="Q1854" i="2"/>
  <c r="P1854" i="2"/>
  <c r="O1854" i="2"/>
  <c r="N1854" i="2"/>
  <c r="K1854" i="2"/>
  <c r="J1854" i="2"/>
  <c r="I1854" i="2"/>
  <c r="H1854" i="2"/>
  <c r="G1854" i="2"/>
  <c r="F1854" i="2"/>
  <c r="E1854" i="2"/>
  <c r="D1854" i="2"/>
  <c r="C1854" i="2"/>
  <c r="B1854" i="2"/>
  <c r="A1854" i="2"/>
  <c r="AI1853" i="2"/>
  <c r="AH1853" i="2"/>
  <c r="AG1853" i="2"/>
  <c r="AF1853" i="2"/>
  <c r="AE1853" i="2"/>
  <c r="AD1853" i="2"/>
  <c r="AC1853" i="2"/>
  <c r="AB1853" i="2"/>
  <c r="AA1853" i="2"/>
  <c r="Z1853" i="2"/>
  <c r="Y1853" i="2"/>
  <c r="X1853" i="2"/>
  <c r="W1853" i="2"/>
  <c r="V1853" i="2"/>
  <c r="U1853" i="2"/>
  <c r="T1853" i="2"/>
  <c r="S1853" i="2"/>
  <c r="R1853" i="2"/>
  <c r="Q1853" i="2"/>
  <c r="P1853" i="2"/>
  <c r="O1853" i="2"/>
  <c r="N1853" i="2"/>
  <c r="K1853" i="2"/>
  <c r="J1853" i="2"/>
  <c r="I1853" i="2"/>
  <c r="H1853" i="2"/>
  <c r="G1853" i="2"/>
  <c r="F1853" i="2"/>
  <c r="E1853" i="2"/>
  <c r="D1853" i="2"/>
  <c r="C1853" i="2"/>
  <c r="B1853" i="2"/>
  <c r="A1853" i="2"/>
  <c r="AJ1852" i="2"/>
  <c r="AI1852" i="2"/>
  <c r="AH1852" i="2"/>
  <c r="AG1852" i="2"/>
  <c r="AF1852" i="2"/>
  <c r="AE1852" i="2"/>
  <c r="AD1852" i="2"/>
  <c r="AC1852" i="2"/>
  <c r="AB1852" i="2"/>
  <c r="AA1852" i="2"/>
  <c r="Z1852" i="2"/>
  <c r="Y1852" i="2"/>
  <c r="X1852" i="2"/>
  <c r="W1852" i="2"/>
  <c r="V1852" i="2"/>
  <c r="U1852" i="2"/>
  <c r="T1852" i="2"/>
  <c r="S1852" i="2"/>
  <c r="R1852" i="2"/>
  <c r="Q1852" i="2"/>
  <c r="P1852" i="2"/>
  <c r="O1852" i="2"/>
  <c r="N1852" i="2"/>
  <c r="M1852" i="2"/>
  <c r="K1852" i="2"/>
  <c r="J1852" i="2"/>
  <c r="I1852" i="2"/>
  <c r="H1852" i="2"/>
  <c r="G1852" i="2"/>
  <c r="F1852" i="2"/>
  <c r="E1852" i="2"/>
  <c r="D1852" i="2"/>
  <c r="C1852" i="2"/>
  <c r="B1852" i="2"/>
  <c r="A1852" i="2"/>
  <c r="AI1851" i="2"/>
  <c r="AH1851" i="2"/>
  <c r="AG1851" i="2"/>
  <c r="AF1851" i="2"/>
  <c r="AE1851" i="2"/>
  <c r="AD1851" i="2"/>
  <c r="AC1851" i="2"/>
  <c r="AB1851" i="2"/>
  <c r="AA1851" i="2"/>
  <c r="Z1851" i="2"/>
  <c r="Y1851" i="2"/>
  <c r="X1851" i="2"/>
  <c r="V1851" i="2"/>
  <c r="U1851" i="2"/>
  <c r="T1851" i="2"/>
  <c r="S1851" i="2"/>
  <c r="R1851" i="2"/>
  <c r="Q1851" i="2"/>
  <c r="P1851" i="2"/>
  <c r="O1851" i="2"/>
  <c r="N1851" i="2"/>
  <c r="K1851" i="2"/>
  <c r="J1851" i="2"/>
  <c r="I1851" i="2"/>
  <c r="H1851" i="2"/>
  <c r="G1851" i="2"/>
  <c r="F1851" i="2"/>
  <c r="E1851" i="2"/>
  <c r="D1851" i="2"/>
  <c r="C1851" i="2"/>
  <c r="B1851" i="2"/>
  <c r="A1851" i="2"/>
  <c r="AI1850" i="2"/>
  <c r="AH1850" i="2"/>
  <c r="AG1850" i="2"/>
  <c r="AF1850" i="2"/>
  <c r="AE1850" i="2"/>
  <c r="AD1850" i="2"/>
  <c r="AC1850" i="2"/>
  <c r="AB1850" i="2"/>
  <c r="AA1850" i="2"/>
  <c r="Z1850" i="2"/>
  <c r="Y1850" i="2"/>
  <c r="X1850" i="2"/>
  <c r="W1850" i="2"/>
  <c r="V1850" i="2"/>
  <c r="U1850" i="2"/>
  <c r="T1850" i="2"/>
  <c r="S1850" i="2"/>
  <c r="R1850" i="2"/>
  <c r="Q1850" i="2"/>
  <c r="P1850" i="2"/>
  <c r="O1850" i="2"/>
  <c r="N1850" i="2"/>
  <c r="K1850" i="2"/>
  <c r="J1850" i="2"/>
  <c r="I1850" i="2"/>
  <c r="H1850" i="2"/>
  <c r="G1850" i="2"/>
  <c r="F1850" i="2"/>
  <c r="E1850" i="2"/>
  <c r="D1850" i="2"/>
  <c r="C1850" i="2"/>
  <c r="B1850" i="2"/>
  <c r="A1850" i="2"/>
  <c r="AI1849" i="2"/>
  <c r="AH1849" i="2"/>
  <c r="AG1849" i="2"/>
  <c r="AF1849" i="2"/>
  <c r="AE1849" i="2"/>
  <c r="AD1849" i="2"/>
  <c r="AC1849" i="2"/>
  <c r="AB1849" i="2"/>
  <c r="AA1849" i="2"/>
  <c r="Z1849" i="2"/>
  <c r="Y1849" i="2"/>
  <c r="X1849" i="2"/>
  <c r="W1849" i="2"/>
  <c r="V1849" i="2"/>
  <c r="U1849" i="2"/>
  <c r="T1849" i="2"/>
  <c r="S1849" i="2"/>
  <c r="R1849" i="2"/>
  <c r="Q1849" i="2"/>
  <c r="P1849" i="2"/>
  <c r="O1849" i="2"/>
  <c r="N1849" i="2"/>
  <c r="K1849" i="2"/>
  <c r="J1849" i="2"/>
  <c r="I1849" i="2"/>
  <c r="H1849" i="2"/>
  <c r="G1849" i="2"/>
  <c r="F1849" i="2"/>
  <c r="E1849" i="2"/>
  <c r="D1849" i="2"/>
  <c r="C1849" i="2"/>
  <c r="B1849" i="2"/>
  <c r="A1849" i="2"/>
  <c r="AI1848" i="2"/>
  <c r="AH1848" i="2"/>
  <c r="AG1848" i="2"/>
  <c r="AF1848" i="2"/>
  <c r="AE1848" i="2"/>
  <c r="AD1848" i="2"/>
  <c r="AC1848" i="2"/>
  <c r="AA1848" i="2"/>
  <c r="Z1848" i="2"/>
  <c r="Y1848" i="2"/>
  <c r="X1848" i="2"/>
  <c r="W1848" i="2"/>
  <c r="V1848" i="2"/>
  <c r="U1848" i="2"/>
  <c r="T1848" i="2"/>
  <c r="S1848" i="2"/>
  <c r="R1848" i="2"/>
  <c r="Q1848" i="2"/>
  <c r="P1848" i="2"/>
  <c r="O1848" i="2"/>
  <c r="N1848" i="2"/>
  <c r="K1848" i="2"/>
  <c r="J1848" i="2"/>
  <c r="I1848" i="2"/>
  <c r="H1848" i="2"/>
  <c r="G1848" i="2"/>
  <c r="F1848" i="2"/>
  <c r="E1848" i="2"/>
  <c r="D1848" i="2"/>
  <c r="C1848" i="2"/>
  <c r="B1848" i="2"/>
  <c r="A1848" i="2"/>
  <c r="AI1847" i="2"/>
  <c r="AH1847" i="2"/>
  <c r="AG1847" i="2"/>
  <c r="AF1847" i="2"/>
  <c r="AE1847" i="2"/>
  <c r="AD1847" i="2"/>
  <c r="AC1847" i="2"/>
  <c r="AA1847" i="2"/>
  <c r="Z1847" i="2"/>
  <c r="Y1847" i="2"/>
  <c r="X1847" i="2"/>
  <c r="W1847" i="2"/>
  <c r="V1847" i="2"/>
  <c r="U1847" i="2"/>
  <c r="T1847" i="2"/>
  <c r="S1847" i="2"/>
  <c r="R1847" i="2"/>
  <c r="Q1847" i="2"/>
  <c r="P1847" i="2"/>
  <c r="O1847" i="2"/>
  <c r="N1847" i="2"/>
  <c r="K1847" i="2"/>
  <c r="J1847" i="2"/>
  <c r="I1847" i="2"/>
  <c r="H1847" i="2"/>
  <c r="G1847" i="2"/>
  <c r="F1847" i="2"/>
  <c r="E1847" i="2"/>
  <c r="D1847" i="2"/>
  <c r="C1847" i="2"/>
  <c r="B1847" i="2"/>
  <c r="A1847" i="2"/>
  <c r="AI1846" i="2"/>
  <c r="AH1846" i="2"/>
  <c r="AG1846" i="2"/>
  <c r="AF1846" i="2"/>
  <c r="AE1846" i="2"/>
  <c r="AD1846" i="2"/>
  <c r="AC1846" i="2"/>
  <c r="AB1846" i="2"/>
  <c r="AA1846" i="2"/>
  <c r="Z1846" i="2"/>
  <c r="Y1846" i="2"/>
  <c r="X1846" i="2"/>
  <c r="U1846" i="2"/>
  <c r="T1846" i="2"/>
  <c r="S1846" i="2"/>
  <c r="R1846" i="2"/>
  <c r="Q1846" i="2"/>
  <c r="P1846" i="2"/>
  <c r="O1846" i="2"/>
  <c r="N1846" i="2"/>
  <c r="K1846" i="2"/>
  <c r="J1846" i="2"/>
  <c r="I1846" i="2"/>
  <c r="H1846" i="2"/>
  <c r="G1846" i="2"/>
  <c r="F1846" i="2"/>
  <c r="E1846" i="2"/>
  <c r="D1846" i="2"/>
  <c r="C1846" i="2"/>
  <c r="B1846" i="2"/>
  <c r="A1846" i="2"/>
  <c r="AI1845" i="2"/>
  <c r="AH1845" i="2"/>
  <c r="AG1845" i="2"/>
  <c r="AF1845" i="2"/>
  <c r="AE1845" i="2"/>
  <c r="AD1845" i="2"/>
  <c r="AC1845" i="2"/>
  <c r="AB1845" i="2"/>
  <c r="AA1845" i="2"/>
  <c r="Z1845" i="2"/>
  <c r="Y1845" i="2"/>
  <c r="X1845" i="2"/>
  <c r="W1845" i="2"/>
  <c r="V1845" i="2"/>
  <c r="U1845" i="2"/>
  <c r="T1845" i="2"/>
  <c r="S1845" i="2"/>
  <c r="R1845" i="2"/>
  <c r="Q1845" i="2"/>
  <c r="P1845" i="2"/>
  <c r="O1845" i="2"/>
  <c r="N1845" i="2"/>
  <c r="K1845" i="2"/>
  <c r="J1845" i="2"/>
  <c r="I1845" i="2"/>
  <c r="H1845" i="2"/>
  <c r="G1845" i="2"/>
  <c r="F1845" i="2"/>
  <c r="E1845" i="2"/>
  <c r="D1845" i="2"/>
  <c r="C1845" i="2"/>
  <c r="B1845" i="2"/>
  <c r="A1845" i="2"/>
  <c r="AI1844" i="2"/>
  <c r="AH1844" i="2"/>
  <c r="AG1844" i="2"/>
  <c r="AF1844" i="2"/>
  <c r="AE1844" i="2"/>
  <c r="AD1844" i="2"/>
  <c r="AC1844" i="2"/>
  <c r="AB1844" i="2"/>
  <c r="AA1844" i="2"/>
  <c r="Z1844" i="2"/>
  <c r="Y1844" i="2"/>
  <c r="X1844" i="2"/>
  <c r="U1844" i="2"/>
  <c r="T1844" i="2"/>
  <c r="S1844" i="2"/>
  <c r="R1844" i="2"/>
  <c r="Q1844" i="2"/>
  <c r="P1844" i="2"/>
  <c r="O1844" i="2"/>
  <c r="N1844" i="2"/>
  <c r="K1844" i="2"/>
  <c r="J1844" i="2"/>
  <c r="I1844" i="2"/>
  <c r="H1844" i="2"/>
  <c r="G1844" i="2"/>
  <c r="F1844" i="2"/>
  <c r="E1844" i="2"/>
  <c r="D1844" i="2"/>
  <c r="C1844" i="2"/>
  <c r="B1844" i="2"/>
  <c r="A1844" i="2"/>
  <c r="AI1843" i="2"/>
  <c r="AH1843" i="2"/>
  <c r="AG1843" i="2"/>
  <c r="AF1843" i="2"/>
  <c r="AE1843" i="2"/>
  <c r="AD1843" i="2"/>
  <c r="AC1843" i="2"/>
  <c r="AB1843" i="2"/>
  <c r="AA1843" i="2"/>
  <c r="Z1843" i="2"/>
  <c r="Y1843" i="2"/>
  <c r="X1843" i="2"/>
  <c r="W1843" i="2"/>
  <c r="V1843" i="2"/>
  <c r="U1843" i="2"/>
  <c r="T1843" i="2"/>
  <c r="S1843" i="2"/>
  <c r="R1843" i="2"/>
  <c r="Q1843" i="2"/>
  <c r="P1843" i="2"/>
  <c r="O1843" i="2"/>
  <c r="N1843" i="2"/>
  <c r="K1843" i="2"/>
  <c r="J1843" i="2"/>
  <c r="I1843" i="2"/>
  <c r="H1843" i="2"/>
  <c r="G1843" i="2"/>
  <c r="F1843" i="2"/>
  <c r="E1843" i="2"/>
  <c r="D1843" i="2"/>
  <c r="C1843" i="2"/>
  <c r="B1843" i="2"/>
  <c r="A1843" i="2"/>
  <c r="AI1842" i="2"/>
  <c r="AH1842" i="2"/>
  <c r="AG1842" i="2"/>
  <c r="AF1842" i="2"/>
  <c r="AE1842" i="2"/>
  <c r="AD1842" i="2"/>
  <c r="AC1842" i="2"/>
  <c r="AB1842" i="2"/>
  <c r="AA1842" i="2"/>
  <c r="Z1842" i="2"/>
  <c r="Y1842" i="2"/>
  <c r="X1842" i="2"/>
  <c r="U1842" i="2"/>
  <c r="T1842" i="2"/>
  <c r="S1842" i="2"/>
  <c r="R1842" i="2"/>
  <c r="Q1842" i="2"/>
  <c r="P1842" i="2"/>
  <c r="O1842" i="2"/>
  <c r="N1842" i="2"/>
  <c r="K1842" i="2"/>
  <c r="J1842" i="2"/>
  <c r="I1842" i="2"/>
  <c r="H1842" i="2"/>
  <c r="G1842" i="2"/>
  <c r="F1842" i="2"/>
  <c r="E1842" i="2"/>
  <c r="D1842" i="2"/>
  <c r="C1842" i="2"/>
  <c r="B1842" i="2"/>
  <c r="A1842" i="2"/>
  <c r="AI1841" i="2"/>
  <c r="AH1841" i="2"/>
  <c r="AG1841" i="2"/>
  <c r="AF1841" i="2"/>
  <c r="AE1841" i="2"/>
  <c r="AD1841" i="2"/>
  <c r="AC1841" i="2"/>
  <c r="AB1841" i="2"/>
  <c r="AA1841" i="2"/>
  <c r="Z1841" i="2"/>
  <c r="Y1841" i="2"/>
  <c r="V1841" i="2"/>
  <c r="U1841" i="2"/>
  <c r="T1841" i="2"/>
  <c r="S1841" i="2"/>
  <c r="R1841" i="2"/>
  <c r="Q1841" i="2"/>
  <c r="P1841" i="2"/>
  <c r="O1841" i="2"/>
  <c r="N1841" i="2"/>
  <c r="K1841" i="2"/>
  <c r="J1841" i="2"/>
  <c r="I1841" i="2"/>
  <c r="H1841" i="2"/>
  <c r="G1841" i="2"/>
  <c r="F1841" i="2"/>
  <c r="E1841" i="2"/>
  <c r="D1841" i="2"/>
  <c r="C1841" i="2"/>
  <c r="B1841" i="2"/>
  <c r="A1841" i="2"/>
  <c r="AI1840" i="2"/>
  <c r="AH1840" i="2"/>
  <c r="AG1840" i="2"/>
  <c r="AF1840" i="2"/>
  <c r="AE1840" i="2"/>
  <c r="AD1840" i="2"/>
  <c r="AC1840" i="2"/>
  <c r="AB1840" i="2"/>
  <c r="AA1840" i="2"/>
  <c r="Z1840" i="2"/>
  <c r="Y1840" i="2"/>
  <c r="X1840" i="2"/>
  <c r="W1840" i="2"/>
  <c r="V1840" i="2"/>
  <c r="U1840" i="2"/>
  <c r="T1840" i="2"/>
  <c r="S1840" i="2"/>
  <c r="R1840" i="2"/>
  <c r="Q1840" i="2"/>
  <c r="P1840" i="2"/>
  <c r="O1840" i="2"/>
  <c r="N1840" i="2"/>
  <c r="K1840" i="2"/>
  <c r="J1840" i="2"/>
  <c r="I1840" i="2"/>
  <c r="H1840" i="2"/>
  <c r="G1840" i="2"/>
  <c r="F1840" i="2"/>
  <c r="E1840" i="2"/>
  <c r="D1840" i="2"/>
  <c r="C1840" i="2"/>
  <c r="B1840" i="2"/>
  <c r="A1840" i="2"/>
  <c r="AI1839" i="2"/>
  <c r="AH1839" i="2"/>
  <c r="AG1839" i="2"/>
  <c r="AF1839" i="2"/>
  <c r="AE1839" i="2"/>
  <c r="AD1839" i="2"/>
  <c r="AB1839" i="2"/>
  <c r="AA1839" i="2"/>
  <c r="Z1839" i="2"/>
  <c r="Y1839" i="2"/>
  <c r="X1839" i="2"/>
  <c r="W1839" i="2"/>
  <c r="V1839" i="2"/>
  <c r="U1839" i="2"/>
  <c r="T1839" i="2"/>
  <c r="S1839" i="2"/>
  <c r="R1839" i="2"/>
  <c r="Q1839" i="2"/>
  <c r="P1839" i="2"/>
  <c r="O1839" i="2"/>
  <c r="N1839" i="2"/>
  <c r="K1839" i="2"/>
  <c r="J1839" i="2"/>
  <c r="I1839" i="2"/>
  <c r="H1839" i="2"/>
  <c r="G1839" i="2"/>
  <c r="F1839" i="2"/>
  <c r="E1839" i="2"/>
  <c r="D1839" i="2"/>
  <c r="C1839" i="2"/>
  <c r="B1839" i="2"/>
  <c r="A1839" i="2"/>
  <c r="AI1838" i="2"/>
  <c r="AH1838" i="2"/>
  <c r="AG1838" i="2"/>
  <c r="AF1838" i="2"/>
  <c r="AE1838" i="2"/>
  <c r="AD1838" i="2"/>
  <c r="AC1838" i="2"/>
  <c r="AB1838" i="2"/>
  <c r="AA1838" i="2"/>
  <c r="Z1838" i="2"/>
  <c r="Y1838" i="2"/>
  <c r="X1838" i="2"/>
  <c r="W1838" i="2"/>
  <c r="V1838" i="2"/>
  <c r="U1838" i="2"/>
  <c r="T1838" i="2"/>
  <c r="S1838" i="2"/>
  <c r="R1838" i="2"/>
  <c r="Q1838" i="2"/>
  <c r="P1838" i="2"/>
  <c r="O1838" i="2"/>
  <c r="N1838" i="2"/>
  <c r="K1838" i="2"/>
  <c r="J1838" i="2"/>
  <c r="I1838" i="2"/>
  <c r="H1838" i="2"/>
  <c r="G1838" i="2"/>
  <c r="F1838" i="2"/>
  <c r="E1838" i="2"/>
  <c r="D1838" i="2"/>
  <c r="C1838" i="2"/>
  <c r="B1838" i="2"/>
  <c r="A1838" i="2"/>
  <c r="AJ1837" i="2"/>
  <c r="AH1837" i="2"/>
  <c r="AG1837" i="2"/>
  <c r="AF1837" i="2"/>
  <c r="AE1837" i="2"/>
  <c r="AD1837" i="2"/>
  <c r="AC1837" i="2"/>
  <c r="AB1837" i="2"/>
  <c r="Z1837" i="2"/>
  <c r="Y1837" i="2"/>
  <c r="X1837" i="2"/>
  <c r="W1837" i="2"/>
  <c r="V1837" i="2"/>
  <c r="U1837" i="2"/>
  <c r="T1837" i="2"/>
  <c r="S1837" i="2"/>
  <c r="R1837" i="2"/>
  <c r="Q1837" i="2"/>
  <c r="P1837" i="2"/>
  <c r="O1837" i="2"/>
  <c r="N1837" i="2"/>
  <c r="M1837" i="2"/>
  <c r="L1837" i="2"/>
  <c r="K1837" i="2"/>
  <c r="J1837" i="2"/>
  <c r="I1837" i="2"/>
  <c r="H1837" i="2"/>
  <c r="G1837" i="2"/>
  <c r="F1837" i="2"/>
  <c r="E1837" i="2"/>
  <c r="D1837" i="2"/>
  <c r="C1837" i="2"/>
  <c r="B1837" i="2"/>
  <c r="A1837" i="2"/>
  <c r="AI1836" i="2"/>
  <c r="AH1836" i="2"/>
  <c r="AG1836" i="2"/>
  <c r="AF1836" i="2"/>
  <c r="AE1836" i="2"/>
  <c r="AD1836" i="2"/>
  <c r="AC1836" i="2"/>
  <c r="AB1836" i="2"/>
  <c r="AA1836" i="2"/>
  <c r="Z1836" i="2"/>
  <c r="Y1836" i="2"/>
  <c r="X1836" i="2"/>
  <c r="W1836" i="2"/>
  <c r="V1836" i="2"/>
  <c r="U1836" i="2"/>
  <c r="T1836" i="2"/>
  <c r="S1836" i="2"/>
  <c r="R1836" i="2"/>
  <c r="Q1836" i="2"/>
  <c r="P1836" i="2"/>
  <c r="O1836" i="2"/>
  <c r="N1836" i="2"/>
  <c r="K1836" i="2"/>
  <c r="J1836" i="2"/>
  <c r="I1836" i="2"/>
  <c r="H1836" i="2"/>
  <c r="G1836" i="2"/>
  <c r="F1836" i="2"/>
  <c r="E1836" i="2"/>
  <c r="D1836" i="2"/>
  <c r="C1836" i="2"/>
  <c r="B1836" i="2"/>
  <c r="A1836" i="2"/>
  <c r="AJ1835" i="2"/>
  <c r="AI1835" i="2"/>
  <c r="AH1835" i="2"/>
  <c r="AG1835" i="2"/>
  <c r="AF1835" i="2"/>
  <c r="AE1835" i="2"/>
  <c r="AD1835" i="2"/>
  <c r="AC1835" i="2"/>
  <c r="AB1835" i="2"/>
  <c r="AA1835" i="2"/>
  <c r="Z1835" i="2"/>
  <c r="Y1835" i="2"/>
  <c r="X1835" i="2"/>
  <c r="W1835" i="2"/>
  <c r="V1835" i="2"/>
  <c r="U1835" i="2"/>
  <c r="T1835" i="2"/>
  <c r="S1835" i="2"/>
  <c r="R1835" i="2"/>
  <c r="Q1835" i="2"/>
  <c r="P1835" i="2"/>
  <c r="O1835" i="2"/>
  <c r="N1835" i="2"/>
  <c r="K1835" i="2"/>
  <c r="J1835" i="2"/>
  <c r="I1835" i="2"/>
  <c r="H1835" i="2"/>
  <c r="G1835" i="2"/>
  <c r="F1835" i="2"/>
  <c r="E1835" i="2"/>
  <c r="D1835" i="2"/>
  <c r="C1835" i="2"/>
  <c r="B1835" i="2"/>
  <c r="A1835" i="2"/>
  <c r="AI1834" i="2"/>
  <c r="AH1834" i="2"/>
  <c r="AG1834" i="2"/>
  <c r="AF1834" i="2"/>
  <c r="AE1834" i="2"/>
  <c r="AD1834" i="2"/>
  <c r="AB1834" i="2"/>
  <c r="AA1834" i="2"/>
  <c r="Z1834" i="2"/>
  <c r="Y1834" i="2"/>
  <c r="X1834" i="2"/>
  <c r="U1834" i="2"/>
  <c r="T1834" i="2"/>
  <c r="S1834" i="2"/>
  <c r="R1834" i="2"/>
  <c r="Q1834" i="2"/>
  <c r="P1834" i="2"/>
  <c r="O1834" i="2"/>
  <c r="N1834" i="2"/>
  <c r="K1834" i="2"/>
  <c r="J1834" i="2"/>
  <c r="I1834" i="2"/>
  <c r="H1834" i="2"/>
  <c r="G1834" i="2"/>
  <c r="F1834" i="2"/>
  <c r="E1834" i="2"/>
  <c r="D1834" i="2"/>
  <c r="C1834" i="2"/>
  <c r="B1834" i="2"/>
  <c r="A1834" i="2"/>
  <c r="AI1833" i="2"/>
  <c r="AH1833" i="2"/>
  <c r="AF1833" i="2"/>
  <c r="AE1833" i="2"/>
  <c r="AD1833" i="2"/>
  <c r="AC1833" i="2"/>
  <c r="AB1833" i="2"/>
  <c r="AA1833" i="2"/>
  <c r="Z1833" i="2"/>
  <c r="Y1833" i="2"/>
  <c r="X1833" i="2"/>
  <c r="W1833" i="2"/>
  <c r="V1833" i="2"/>
  <c r="U1833" i="2"/>
  <c r="T1833" i="2"/>
  <c r="S1833" i="2"/>
  <c r="R1833" i="2"/>
  <c r="Q1833" i="2"/>
  <c r="P1833" i="2"/>
  <c r="O1833" i="2"/>
  <c r="N1833" i="2"/>
  <c r="K1833" i="2"/>
  <c r="J1833" i="2"/>
  <c r="I1833" i="2"/>
  <c r="H1833" i="2"/>
  <c r="G1833" i="2"/>
  <c r="F1833" i="2"/>
  <c r="E1833" i="2"/>
  <c r="D1833" i="2"/>
  <c r="C1833" i="2"/>
  <c r="B1833" i="2"/>
  <c r="A1833" i="2"/>
  <c r="AI1832" i="2"/>
  <c r="AH1832" i="2"/>
  <c r="AF1832" i="2"/>
  <c r="AE1832" i="2"/>
  <c r="AD1832" i="2"/>
  <c r="AC1832" i="2"/>
  <c r="AB1832" i="2"/>
  <c r="AA1832" i="2"/>
  <c r="Z1832" i="2"/>
  <c r="Y1832" i="2"/>
  <c r="X1832" i="2"/>
  <c r="W1832" i="2"/>
  <c r="V1832" i="2"/>
  <c r="U1832" i="2"/>
  <c r="T1832" i="2"/>
  <c r="S1832" i="2"/>
  <c r="R1832" i="2"/>
  <c r="Q1832" i="2"/>
  <c r="P1832" i="2"/>
  <c r="O1832" i="2"/>
  <c r="N1832" i="2"/>
  <c r="K1832" i="2"/>
  <c r="J1832" i="2"/>
  <c r="I1832" i="2"/>
  <c r="H1832" i="2"/>
  <c r="G1832" i="2"/>
  <c r="F1832" i="2"/>
  <c r="E1832" i="2"/>
  <c r="D1832" i="2"/>
  <c r="C1832" i="2"/>
  <c r="B1832" i="2"/>
  <c r="A1832" i="2"/>
  <c r="AJ1831" i="2"/>
  <c r="AH1831" i="2"/>
  <c r="AG1831" i="2"/>
  <c r="AF1831" i="2"/>
  <c r="AE1831" i="2"/>
  <c r="AD1831" i="2"/>
  <c r="AC1831" i="2"/>
  <c r="AB1831" i="2"/>
  <c r="AA1831" i="2"/>
  <c r="Z1831" i="2"/>
  <c r="Y1831" i="2"/>
  <c r="X1831" i="2"/>
  <c r="U1831" i="2"/>
  <c r="T1831" i="2"/>
  <c r="S1831" i="2"/>
  <c r="R1831" i="2"/>
  <c r="Q1831" i="2"/>
  <c r="P1831" i="2"/>
  <c r="O1831" i="2"/>
  <c r="N1831" i="2"/>
  <c r="M1831" i="2"/>
  <c r="L1831" i="2"/>
  <c r="K1831" i="2"/>
  <c r="J1831" i="2"/>
  <c r="I1831" i="2"/>
  <c r="H1831" i="2"/>
  <c r="G1831" i="2"/>
  <c r="F1831" i="2"/>
  <c r="E1831" i="2"/>
  <c r="D1831" i="2"/>
  <c r="C1831" i="2"/>
  <c r="B1831" i="2"/>
  <c r="A1831" i="2"/>
  <c r="AJ1830" i="2"/>
  <c r="AH1830" i="2"/>
  <c r="AG1830" i="2"/>
  <c r="AF1830" i="2"/>
  <c r="AE1830" i="2"/>
  <c r="AD1830" i="2"/>
  <c r="AC1830" i="2"/>
  <c r="AB1830" i="2"/>
  <c r="Z1830" i="2"/>
  <c r="Y1830" i="2"/>
  <c r="X1830" i="2"/>
  <c r="W1830" i="2"/>
  <c r="V1830" i="2"/>
  <c r="U1830" i="2"/>
  <c r="T1830" i="2"/>
  <c r="S1830" i="2"/>
  <c r="R1830" i="2"/>
  <c r="Q1830" i="2"/>
  <c r="P1830" i="2"/>
  <c r="O1830" i="2"/>
  <c r="N1830" i="2"/>
  <c r="M1830" i="2"/>
  <c r="L1830" i="2"/>
  <c r="K1830" i="2"/>
  <c r="J1830" i="2"/>
  <c r="I1830" i="2"/>
  <c r="H1830" i="2"/>
  <c r="G1830" i="2"/>
  <c r="F1830" i="2"/>
  <c r="E1830" i="2"/>
  <c r="D1830" i="2"/>
  <c r="C1830" i="2"/>
  <c r="B1830" i="2"/>
  <c r="A1830" i="2"/>
  <c r="AI1829" i="2"/>
  <c r="AH1829" i="2"/>
  <c r="AG1829" i="2"/>
  <c r="AF1829" i="2"/>
  <c r="AE1829" i="2"/>
  <c r="AD1829" i="2"/>
  <c r="AB1829" i="2"/>
  <c r="AA1829" i="2"/>
  <c r="Z1829" i="2"/>
  <c r="Y1829" i="2"/>
  <c r="X1829" i="2"/>
  <c r="W1829" i="2"/>
  <c r="V1829" i="2"/>
  <c r="U1829" i="2"/>
  <c r="T1829" i="2"/>
  <c r="S1829" i="2"/>
  <c r="R1829" i="2"/>
  <c r="Q1829" i="2"/>
  <c r="P1829" i="2"/>
  <c r="O1829" i="2"/>
  <c r="N1829" i="2"/>
  <c r="K1829" i="2"/>
  <c r="J1829" i="2"/>
  <c r="I1829" i="2"/>
  <c r="H1829" i="2"/>
  <c r="G1829" i="2"/>
  <c r="F1829" i="2"/>
  <c r="E1829" i="2"/>
  <c r="D1829" i="2"/>
  <c r="C1829" i="2"/>
  <c r="B1829" i="2"/>
  <c r="A1829" i="2"/>
  <c r="AI1828" i="2"/>
  <c r="AH1828" i="2"/>
  <c r="AF1828" i="2"/>
  <c r="AE1828" i="2"/>
  <c r="AD1828" i="2"/>
  <c r="AC1828" i="2"/>
  <c r="AB1828" i="2"/>
  <c r="AA1828" i="2"/>
  <c r="Z1828" i="2"/>
  <c r="Y1828" i="2"/>
  <c r="X1828" i="2"/>
  <c r="U1828" i="2"/>
  <c r="T1828" i="2"/>
  <c r="S1828" i="2"/>
  <c r="R1828" i="2"/>
  <c r="Q1828" i="2"/>
  <c r="P1828" i="2"/>
  <c r="O1828" i="2"/>
  <c r="N1828" i="2"/>
  <c r="K1828" i="2"/>
  <c r="J1828" i="2"/>
  <c r="I1828" i="2"/>
  <c r="H1828" i="2"/>
  <c r="G1828" i="2"/>
  <c r="F1828" i="2"/>
  <c r="E1828" i="2"/>
  <c r="D1828" i="2"/>
  <c r="C1828" i="2"/>
  <c r="B1828" i="2"/>
  <c r="A1828" i="2"/>
  <c r="AI1827" i="2"/>
  <c r="AH1827" i="2"/>
  <c r="AG1827" i="2"/>
  <c r="AF1827" i="2"/>
  <c r="AE1827" i="2"/>
  <c r="AD1827" i="2"/>
  <c r="AC1827" i="2"/>
  <c r="AB1827" i="2"/>
  <c r="AA1827" i="2"/>
  <c r="Z1827" i="2"/>
  <c r="Y1827" i="2"/>
  <c r="X1827" i="2"/>
  <c r="W1827" i="2"/>
  <c r="V1827" i="2"/>
  <c r="U1827" i="2"/>
  <c r="T1827" i="2"/>
  <c r="S1827" i="2"/>
  <c r="R1827" i="2"/>
  <c r="Q1827" i="2"/>
  <c r="P1827" i="2"/>
  <c r="O1827" i="2"/>
  <c r="N1827" i="2"/>
  <c r="K1827" i="2"/>
  <c r="J1827" i="2"/>
  <c r="I1827" i="2"/>
  <c r="H1827" i="2"/>
  <c r="G1827" i="2"/>
  <c r="F1827" i="2"/>
  <c r="E1827" i="2"/>
  <c r="D1827" i="2"/>
  <c r="C1827" i="2"/>
  <c r="B1827" i="2"/>
  <c r="A1827" i="2"/>
  <c r="AJ1826" i="2"/>
  <c r="AI1826" i="2"/>
  <c r="AH1826" i="2"/>
  <c r="AG1826" i="2"/>
  <c r="AF1826" i="2"/>
  <c r="AE1826" i="2"/>
  <c r="AD1826" i="2"/>
  <c r="AC1826" i="2"/>
  <c r="AB1826" i="2"/>
  <c r="AA1826" i="2"/>
  <c r="Z1826" i="2"/>
  <c r="Y1826" i="2"/>
  <c r="X1826" i="2"/>
  <c r="W1826" i="2"/>
  <c r="V1826" i="2"/>
  <c r="U1826" i="2"/>
  <c r="T1826" i="2"/>
  <c r="S1826" i="2"/>
  <c r="R1826" i="2"/>
  <c r="Q1826" i="2"/>
  <c r="P1826" i="2"/>
  <c r="O1826" i="2"/>
  <c r="N1826" i="2"/>
  <c r="M1826" i="2"/>
  <c r="K1826" i="2"/>
  <c r="J1826" i="2"/>
  <c r="I1826" i="2"/>
  <c r="H1826" i="2"/>
  <c r="G1826" i="2"/>
  <c r="F1826" i="2"/>
  <c r="E1826" i="2"/>
  <c r="D1826" i="2"/>
  <c r="C1826" i="2"/>
  <c r="B1826" i="2"/>
  <c r="A1826" i="2"/>
  <c r="AI1825" i="2"/>
  <c r="AH1825" i="2"/>
  <c r="AG1825" i="2"/>
  <c r="AF1825" i="2"/>
  <c r="AE1825" i="2"/>
  <c r="AD1825" i="2"/>
  <c r="AC1825" i="2"/>
  <c r="AB1825" i="2"/>
  <c r="AA1825" i="2"/>
  <c r="Z1825" i="2"/>
  <c r="Y1825" i="2"/>
  <c r="X1825" i="2"/>
  <c r="V1825" i="2"/>
  <c r="U1825" i="2"/>
  <c r="T1825" i="2"/>
  <c r="S1825" i="2"/>
  <c r="R1825" i="2"/>
  <c r="Q1825" i="2"/>
  <c r="P1825" i="2"/>
  <c r="O1825" i="2"/>
  <c r="N1825" i="2"/>
  <c r="K1825" i="2"/>
  <c r="J1825" i="2"/>
  <c r="I1825" i="2"/>
  <c r="H1825" i="2"/>
  <c r="G1825" i="2"/>
  <c r="F1825" i="2"/>
  <c r="E1825" i="2"/>
  <c r="D1825" i="2"/>
  <c r="C1825" i="2"/>
  <c r="B1825" i="2"/>
  <c r="A1825" i="2"/>
  <c r="AJ1824" i="2"/>
  <c r="AI1824" i="2"/>
  <c r="AH1824" i="2"/>
  <c r="AG1824" i="2"/>
  <c r="AF1824" i="2"/>
  <c r="AE1824" i="2"/>
  <c r="AD1824" i="2"/>
  <c r="AC1824" i="2"/>
  <c r="AB1824" i="2"/>
  <c r="AA1824" i="2"/>
  <c r="Z1824" i="2"/>
  <c r="Y1824" i="2"/>
  <c r="V1824" i="2"/>
  <c r="U1824" i="2"/>
  <c r="T1824" i="2"/>
  <c r="S1824" i="2"/>
  <c r="R1824" i="2"/>
  <c r="Q1824" i="2"/>
  <c r="P1824" i="2"/>
  <c r="O1824" i="2"/>
  <c r="N1824" i="2"/>
  <c r="K1824" i="2"/>
  <c r="J1824" i="2"/>
  <c r="I1824" i="2"/>
  <c r="H1824" i="2"/>
  <c r="G1824" i="2"/>
  <c r="F1824" i="2"/>
  <c r="E1824" i="2"/>
  <c r="D1824" i="2"/>
  <c r="C1824" i="2"/>
  <c r="B1824" i="2"/>
  <c r="A1824" i="2"/>
  <c r="AI1823" i="2"/>
  <c r="AH1823" i="2"/>
  <c r="AG1823" i="2"/>
  <c r="AF1823" i="2"/>
  <c r="AE1823" i="2"/>
  <c r="AD1823" i="2"/>
  <c r="AC1823" i="2"/>
  <c r="AB1823" i="2"/>
  <c r="AA1823" i="2"/>
  <c r="Z1823" i="2"/>
  <c r="Y1823" i="2"/>
  <c r="X1823" i="2"/>
  <c r="W1823" i="2"/>
  <c r="V1823" i="2"/>
  <c r="U1823" i="2"/>
  <c r="T1823" i="2"/>
  <c r="S1823" i="2"/>
  <c r="R1823" i="2"/>
  <c r="Q1823" i="2"/>
  <c r="P1823" i="2"/>
  <c r="O1823" i="2"/>
  <c r="N1823" i="2"/>
  <c r="K1823" i="2"/>
  <c r="J1823" i="2"/>
  <c r="I1823" i="2"/>
  <c r="H1823" i="2"/>
  <c r="G1823" i="2"/>
  <c r="F1823" i="2"/>
  <c r="E1823" i="2"/>
  <c r="D1823" i="2"/>
  <c r="C1823" i="2"/>
  <c r="B1823" i="2"/>
  <c r="A1823" i="2"/>
  <c r="AI1822" i="2"/>
  <c r="AH1822" i="2"/>
  <c r="AG1822" i="2"/>
  <c r="AF1822" i="2"/>
  <c r="AE1822" i="2"/>
  <c r="AD1822" i="2"/>
  <c r="AC1822" i="2"/>
  <c r="AB1822" i="2"/>
  <c r="AA1822" i="2"/>
  <c r="Z1822" i="2"/>
  <c r="Y1822" i="2"/>
  <c r="X1822" i="2"/>
  <c r="W1822" i="2"/>
  <c r="V1822" i="2"/>
  <c r="U1822" i="2"/>
  <c r="T1822" i="2"/>
  <c r="S1822" i="2"/>
  <c r="R1822" i="2"/>
  <c r="Q1822" i="2"/>
  <c r="P1822" i="2"/>
  <c r="O1822" i="2"/>
  <c r="N1822" i="2"/>
  <c r="K1822" i="2"/>
  <c r="J1822" i="2"/>
  <c r="I1822" i="2"/>
  <c r="H1822" i="2"/>
  <c r="G1822" i="2"/>
  <c r="F1822" i="2"/>
  <c r="E1822" i="2"/>
  <c r="D1822" i="2"/>
  <c r="C1822" i="2"/>
  <c r="B1822" i="2"/>
  <c r="A1822" i="2"/>
  <c r="AH1821" i="2"/>
  <c r="AG1821" i="2"/>
  <c r="AF1821" i="2"/>
  <c r="AE1821" i="2"/>
  <c r="AD1821" i="2"/>
  <c r="AC1821" i="2"/>
  <c r="AA1821" i="2"/>
  <c r="Z1821" i="2"/>
  <c r="Y1821" i="2"/>
  <c r="X1821" i="2"/>
  <c r="V1821" i="2"/>
  <c r="U1821" i="2"/>
  <c r="T1821" i="2"/>
  <c r="S1821" i="2"/>
  <c r="R1821" i="2"/>
  <c r="Q1821" i="2"/>
  <c r="P1821" i="2"/>
  <c r="O1821" i="2"/>
  <c r="N1821" i="2"/>
  <c r="K1821" i="2"/>
  <c r="J1821" i="2"/>
  <c r="I1821" i="2"/>
  <c r="H1821" i="2"/>
  <c r="G1821" i="2"/>
  <c r="F1821" i="2"/>
  <c r="E1821" i="2"/>
  <c r="D1821" i="2"/>
  <c r="C1821" i="2"/>
  <c r="B1821" i="2"/>
  <c r="A1821" i="2"/>
  <c r="AJ1820" i="2"/>
  <c r="AI1820" i="2"/>
  <c r="AH1820" i="2"/>
  <c r="AG1820" i="2"/>
  <c r="AF1820" i="2"/>
  <c r="AE1820" i="2"/>
  <c r="AD1820" i="2"/>
  <c r="AC1820" i="2"/>
  <c r="AB1820" i="2"/>
  <c r="AA1820" i="2"/>
  <c r="Z1820" i="2"/>
  <c r="Y1820" i="2"/>
  <c r="V1820" i="2"/>
  <c r="U1820" i="2"/>
  <c r="T1820" i="2"/>
  <c r="S1820" i="2"/>
  <c r="R1820" i="2"/>
  <c r="Q1820" i="2"/>
  <c r="P1820" i="2"/>
  <c r="O1820" i="2"/>
  <c r="N1820" i="2"/>
  <c r="K1820" i="2"/>
  <c r="J1820" i="2"/>
  <c r="I1820" i="2"/>
  <c r="H1820" i="2"/>
  <c r="G1820" i="2"/>
  <c r="F1820" i="2"/>
  <c r="E1820" i="2"/>
  <c r="D1820" i="2"/>
  <c r="C1820" i="2"/>
  <c r="B1820" i="2"/>
  <c r="A1820" i="2"/>
  <c r="AI1819" i="2"/>
  <c r="AH1819" i="2"/>
  <c r="AG1819" i="2"/>
  <c r="AF1819" i="2"/>
  <c r="AE1819" i="2"/>
  <c r="AD1819" i="2"/>
  <c r="AC1819" i="2"/>
  <c r="AB1819" i="2"/>
  <c r="AA1819" i="2"/>
  <c r="Z1819" i="2"/>
  <c r="Y1819" i="2"/>
  <c r="T1819" i="2"/>
  <c r="S1819" i="2"/>
  <c r="R1819" i="2"/>
  <c r="Q1819" i="2"/>
  <c r="P1819" i="2"/>
  <c r="O1819" i="2"/>
  <c r="N1819" i="2"/>
  <c r="K1819" i="2"/>
  <c r="J1819" i="2"/>
  <c r="I1819" i="2"/>
  <c r="H1819" i="2"/>
  <c r="G1819" i="2"/>
  <c r="F1819" i="2"/>
  <c r="E1819" i="2"/>
  <c r="D1819" i="2"/>
  <c r="C1819" i="2"/>
  <c r="B1819" i="2"/>
  <c r="A1819" i="2"/>
  <c r="AH1818" i="2"/>
  <c r="AG1818" i="2"/>
  <c r="AF1818" i="2"/>
  <c r="AE1818" i="2"/>
  <c r="AD1818" i="2"/>
  <c r="AC1818" i="2"/>
  <c r="AA1818" i="2"/>
  <c r="Z1818" i="2"/>
  <c r="Y1818" i="2"/>
  <c r="X1818" i="2"/>
  <c r="W1818" i="2"/>
  <c r="V1818" i="2"/>
  <c r="U1818" i="2"/>
  <c r="T1818" i="2"/>
  <c r="S1818" i="2"/>
  <c r="R1818" i="2"/>
  <c r="Q1818" i="2"/>
  <c r="P1818" i="2"/>
  <c r="O1818" i="2"/>
  <c r="N1818" i="2"/>
  <c r="K1818" i="2"/>
  <c r="J1818" i="2"/>
  <c r="I1818" i="2"/>
  <c r="H1818" i="2"/>
  <c r="G1818" i="2"/>
  <c r="F1818" i="2"/>
  <c r="E1818" i="2"/>
  <c r="D1818" i="2"/>
  <c r="C1818" i="2"/>
  <c r="B1818" i="2"/>
  <c r="A1818" i="2"/>
  <c r="AJ1817" i="2"/>
  <c r="AI1817" i="2"/>
  <c r="AH1817" i="2"/>
  <c r="AG1817" i="2"/>
  <c r="AF1817" i="2"/>
  <c r="AE1817" i="2"/>
  <c r="AD1817" i="2"/>
  <c r="AC1817" i="2"/>
  <c r="AB1817" i="2"/>
  <c r="AA1817" i="2"/>
  <c r="Z1817" i="2"/>
  <c r="Y1817" i="2"/>
  <c r="X1817" i="2"/>
  <c r="W1817" i="2"/>
  <c r="V1817" i="2"/>
  <c r="U1817" i="2"/>
  <c r="T1817" i="2"/>
  <c r="S1817" i="2"/>
  <c r="R1817" i="2"/>
  <c r="Q1817" i="2"/>
  <c r="P1817" i="2"/>
  <c r="O1817" i="2"/>
  <c r="N1817" i="2"/>
  <c r="M1817" i="2"/>
  <c r="K1817" i="2"/>
  <c r="J1817" i="2"/>
  <c r="I1817" i="2"/>
  <c r="H1817" i="2"/>
  <c r="G1817" i="2"/>
  <c r="F1817" i="2"/>
  <c r="E1817" i="2"/>
  <c r="D1817" i="2"/>
  <c r="C1817" i="2"/>
  <c r="B1817" i="2"/>
  <c r="A1817" i="2"/>
  <c r="AI1816" i="2"/>
  <c r="AH1816" i="2"/>
  <c r="AG1816" i="2"/>
  <c r="AF1816" i="2"/>
  <c r="AE1816" i="2"/>
  <c r="AD1816" i="2"/>
  <c r="AB1816" i="2"/>
  <c r="AA1816" i="2"/>
  <c r="Z1816" i="2"/>
  <c r="Y1816" i="2"/>
  <c r="X1816" i="2"/>
  <c r="U1816" i="2"/>
  <c r="T1816" i="2"/>
  <c r="S1816" i="2"/>
  <c r="R1816" i="2"/>
  <c r="Q1816" i="2"/>
  <c r="P1816" i="2"/>
  <c r="O1816" i="2"/>
  <c r="N1816" i="2"/>
  <c r="K1816" i="2"/>
  <c r="J1816" i="2"/>
  <c r="I1816" i="2"/>
  <c r="H1816" i="2"/>
  <c r="G1816" i="2"/>
  <c r="F1816" i="2"/>
  <c r="E1816" i="2"/>
  <c r="D1816" i="2"/>
  <c r="C1816" i="2"/>
  <c r="B1816" i="2"/>
  <c r="A1816" i="2"/>
  <c r="AI1815" i="2"/>
  <c r="AH1815" i="2"/>
  <c r="AG1815" i="2"/>
  <c r="AF1815" i="2"/>
  <c r="AE1815" i="2"/>
  <c r="AD1815" i="2"/>
  <c r="AC1815" i="2"/>
  <c r="AB1815" i="2"/>
  <c r="AA1815" i="2"/>
  <c r="Z1815" i="2"/>
  <c r="Y1815" i="2"/>
  <c r="X1815" i="2"/>
  <c r="V1815" i="2"/>
  <c r="U1815" i="2"/>
  <c r="T1815" i="2"/>
  <c r="S1815" i="2"/>
  <c r="R1815" i="2"/>
  <c r="Q1815" i="2"/>
  <c r="P1815" i="2"/>
  <c r="O1815" i="2"/>
  <c r="N1815" i="2"/>
  <c r="K1815" i="2"/>
  <c r="J1815" i="2"/>
  <c r="I1815" i="2"/>
  <c r="H1815" i="2"/>
  <c r="G1815" i="2"/>
  <c r="F1815" i="2"/>
  <c r="E1815" i="2"/>
  <c r="D1815" i="2"/>
  <c r="C1815" i="2"/>
  <c r="B1815" i="2"/>
  <c r="A1815" i="2"/>
  <c r="AI1814" i="2"/>
  <c r="AH1814" i="2"/>
  <c r="AG1814" i="2"/>
  <c r="AF1814" i="2"/>
  <c r="AE1814" i="2"/>
  <c r="AD1814" i="2"/>
  <c r="AC1814" i="2"/>
  <c r="AB1814" i="2"/>
  <c r="AA1814" i="2"/>
  <c r="Z1814" i="2"/>
  <c r="Y1814" i="2"/>
  <c r="X1814" i="2"/>
  <c r="W1814" i="2"/>
  <c r="V1814" i="2"/>
  <c r="U1814" i="2"/>
  <c r="T1814" i="2"/>
  <c r="S1814" i="2"/>
  <c r="R1814" i="2"/>
  <c r="Q1814" i="2"/>
  <c r="P1814" i="2"/>
  <c r="O1814" i="2"/>
  <c r="N1814" i="2"/>
  <c r="K1814" i="2"/>
  <c r="J1814" i="2"/>
  <c r="I1814" i="2"/>
  <c r="H1814" i="2"/>
  <c r="G1814" i="2"/>
  <c r="F1814" i="2"/>
  <c r="E1814" i="2"/>
  <c r="D1814" i="2"/>
  <c r="C1814" i="2"/>
  <c r="B1814" i="2"/>
  <c r="A1814" i="2"/>
  <c r="AF1813" i="2"/>
  <c r="AE1813" i="2"/>
  <c r="AD1813" i="2"/>
  <c r="AC1813" i="2"/>
  <c r="AB1813" i="2"/>
  <c r="AA1813" i="2"/>
  <c r="Z1813" i="2"/>
  <c r="Y1813" i="2"/>
  <c r="X1813" i="2"/>
  <c r="V1813" i="2"/>
  <c r="U1813" i="2"/>
  <c r="T1813" i="2"/>
  <c r="S1813" i="2"/>
  <c r="R1813" i="2"/>
  <c r="Q1813" i="2"/>
  <c r="P1813" i="2"/>
  <c r="O1813" i="2"/>
  <c r="N1813" i="2"/>
  <c r="K1813" i="2"/>
  <c r="J1813" i="2"/>
  <c r="I1813" i="2"/>
  <c r="H1813" i="2"/>
  <c r="G1813" i="2"/>
  <c r="F1813" i="2"/>
  <c r="E1813" i="2"/>
  <c r="D1813" i="2"/>
  <c r="C1813" i="2"/>
  <c r="B1813" i="2"/>
  <c r="A1813" i="2"/>
  <c r="AH1812" i="2"/>
  <c r="AF1812" i="2"/>
  <c r="AE1812" i="2"/>
  <c r="AD1812" i="2"/>
  <c r="AC1812" i="2"/>
  <c r="AB1812" i="2"/>
  <c r="AA1812" i="2"/>
  <c r="Z1812" i="2"/>
  <c r="Y1812" i="2"/>
  <c r="X1812" i="2"/>
  <c r="U1812" i="2"/>
  <c r="T1812" i="2"/>
  <c r="S1812" i="2"/>
  <c r="R1812" i="2"/>
  <c r="Q1812" i="2"/>
  <c r="P1812" i="2"/>
  <c r="O1812" i="2"/>
  <c r="N1812" i="2"/>
  <c r="K1812" i="2"/>
  <c r="J1812" i="2"/>
  <c r="I1812" i="2"/>
  <c r="H1812" i="2"/>
  <c r="G1812" i="2"/>
  <c r="F1812" i="2"/>
  <c r="E1812" i="2"/>
  <c r="D1812" i="2"/>
  <c r="C1812" i="2"/>
  <c r="B1812" i="2"/>
  <c r="A1812" i="2"/>
  <c r="AI1811" i="2"/>
  <c r="AH1811" i="2"/>
  <c r="AG1811" i="2"/>
  <c r="AF1811" i="2"/>
  <c r="AE1811" i="2"/>
  <c r="AD1811" i="2"/>
  <c r="AC1811" i="2"/>
  <c r="AB1811" i="2"/>
  <c r="AA1811" i="2"/>
  <c r="Z1811" i="2"/>
  <c r="Y1811" i="2"/>
  <c r="X1811" i="2"/>
  <c r="V1811" i="2"/>
  <c r="U1811" i="2"/>
  <c r="T1811" i="2"/>
  <c r="S1811" i="2"/>
  <c r="R1811" i="2"/>
  <c r="Q1811" i="2"/>
  <c r="P1811" i="2"/>
  <c r="O1811" i="2"/>
  <c r="N1811" i="2"/>
  <c r="K1811" i="2"/>
  <c r="J1811" i="2"/>
  <c r="I1811" i="2"/>
  <c r="H1811" i="2"/>
  <c r="G1811" i="2"/>
  <c r="F1811" i="2"/>
  <c r="E1811" i="2"/>
  <c r="D1811" i="2"/>
  <c r="C1811" i="2"/>
  <c r="B1811" i="2"/>
  <c r="A1811" i="2"/>
  <c r="AI1810" i="2"/>
  <c r="AH1810" i="2"/>
  <c r="AG1810" i="2"/>
  <c r="AF1810" i="2"/>
  <c r="AE1810" i="2"/>
  <c r="AD1810" i="2"/>
  <c r="AC1810" i="2"/>
  <c r="AB1810" i="2"/>
  <c r="AA1810" i="2"/>
  <c r="Z1810" i="2"/>
  <c r="Y1810" i="2"/>
  <c r="X1810" i="2"/>
  <c r="W1810" i="2"/>
  <c r="V1810" i="2"/>
  <c r="U1810" i="2"/>
  <c r="T1810" i="2"/>
  <c r="S1810" i="2"/>
  <c r="R1810" i="2"/>
  <c r="Q1810" i="2"/>
  <c r="P1810" i="2"/>
  <c r="O1810" i="2"/>
  <c r="N1810" i="2"/>
  <c r="K1810" i="2"/>
  <c r="J1810" i="2"/>
  <c r="I1810" i="2"/>
  <c r="H1810" i="2"/>
  <c r="G1810" i="2"/>
  <c r="F1810" i="2"/>
  <c r="E1810" i="2"/>
  <c r="D1810" i="2"/>
  <c r="C1810" i="2"/>
  <c r="B1810" i="2"/>
  <c r="A1810" i="2"/>
  <c r="AJ1809" i="2"/>
  <c r="AI1809" i="2"/>
  <c r="AH1809" i="2"/>
  <c r="AG1809" i="2"/>
  <c r="AF1809" i="2"/>
  <c r="AE1809" i="2"/>
  <c r="AD1809" i="2"/>
  <c r="AC1809" i="2"/>
  <c r="AB1809" i="2"/>
  <c r="AA1809" i="2"/>
  <c r="Y1809" i="2"/>
  <c r="X1809" i="2"/>
  <c r="W1809" i="2"/>
  <c r="V1809" i="2"/>
  <c r="U1809" i="2"/>
  <c r="T1809" i="2"/>
  <c r="S1809" i="2"/>
  <c r="R1809" i="2"/>
  <c r="Q1809" i="2"/>
  <c r="P1809" i="2"/>
  <c r="O1809" i="2"/>
  <c r="N1809" i="2"/>
  <c r="M1809" i="2"/>
  <c r="L1809" i="2"/>
  <c r="K1809" i="2"/>
  <c r="J1809" i="2"/>
  <c r="I1809" i="2"/>
  <c r="H1809" i="2"/>
  <c r="G1809" i="2"/>
  <c r="F1809" i="2"/>
  <c r="E1809" i="2"/>
  <c r="D1809" i="2"/>
  <c r="C1809" i="2"/>
  <c r="B1809" i="2"/>
  <c r="A1809" i="2"/>
  <c r="AI1808" i="2"/>
  <c r="AF1808" i="2"/>
  <c r="AE1808" i="2"/>
  <c r="AD1808" i="2"/>
  <c r="AC1808" i="2"/>
  <c r="AA1808" i="2"/>
  <c r="Z1808" i="2"/>
  <c r="Y1808" i="2"/>
  <c r="X1808" i="2"/>
  <c r="W1808" i="2"/>
  <c r="V1808" i="2"/>
  <c r="U1808" i="2"/>
  <c r="T1808" i="2"/>
  <c r="S1808" i="2"/>
  <c r="R1808" i="2"/>
  <c r="Q1808" i="2"/>
  <c r="P1808" i="2"/>
  <c r="O1808" i="2"/>
  <c r="N1808" i="2"/>
  <c r="K1808" i="2"/>
  <c r="J1808" i="2"/>
  <c r="I1808" i="2"/>
  <c r="H1808" i="2"/>
  <c r="G1808" i="2"/>
  <c r="F1808" i="2"/>
  <c r="E1808" i="2"/>
  <c r="D1808" i="2"/>
  <c r="C1808" i="2"/>
  <c r="B1808" i="2"/>
  <c r="A1808" i="2"/>
  <c r="AJ1807" i="2"/>
  <c r="AI1807" i="2"/>
  <c r="AH1807" i="2"/>
  <c r="AG1807" i="2"/>
  <c r="AF1807" i="2"/>
  <c r="AE1807" i="2"/>
  <c r="AD1807" i="2"/>
  <c r="AC1807" i="2"/>
  <c r="AB1807" i="2"/>
  <c r="AA1807" i="2"/>
  <c r="Z1807" i="2"/>
  <c r="Y1807" i="2"/>
  <c r="X1807" i="2"/>
  <c r="U1807" i="2"/>
  <c r="T1807" i="2"/>
  <c r="S1807" i="2"/>
  <c r="R1807" i="2"/>
  <c r="Q1807" i="2"/>
  <c r="P1807" i="2"/>
  <c r="O1807" i="2"/>
  <c r="N1807" i="2"/>
  <c r="K1807" i="2"/>
  <c r="J1807" i="2"/>
  <c r="I1807" i="2"/>
  <c r="H1807" i="2"/>
  <c r="G1807" i="2"/>
  <c r="F1807" i="2"/>
  <c r="E1807" i="2"/>
  <c r="D1807" i="2"/>
  <c r="C1807" i="2"/>
  <c r="B1807" i="2"/>
  <c r="A1807" i="2"/>
  <c r="AI1806" i="2"/>
  <c r="AH1806" i="2"/>
  <c r="AG1806" i="2"/>
  <c r="AF1806" i="2"/>
  <c r="AE1806" i="2"/>
  <c r="AD1806" i="2"/>
  <c r="AC1806" i="2"/>
  <c r="AB1806" i="2"/>
  <c r="AA1806" i="2"/>
  <c r="Z1806" i="2"/>
  <c r="Y1806" i="2"/>
  <c r="X1806" i="2"/>
  <c r="V1806" i="2"/>
  <c r="U1806" i="2"/>
  <c r="T1806" i="2"/>
  <c r="S1806" i="2"/>
  <c r="R1806" i="2"/>
  <c r="Q1806" i="2"/>
  <c r="P1806" i="2"/>
  <c r="O1806" i="2"/>
  <c r="N1806" i="2"/>
  <c r="K1806" i="2"/>
  <c r="J1806" i="2"/>
  <c r="I1806" i="2"/>
  <c r="H1806" i="2"/>
  <c r="G1806" i="2"/>
  <c r="F1806" i="2"/>
  <c r="E1806" i="2"/>
  <c r="D1806" i="2"/>
  <c r="C1806" i="2"/>
  <c r="B1806" i="2"/>
  <c r="A1806" i="2"/>
  <c r="AI1805" i="2"/>
  <c r="AH1805" i="2"/>
  <c r="AG1805" i="2"/>
  <c r="AF1805" i="2"/>
  <c r="AE1805" i="2"/>
  <c r="AD1805" i="2"/>
  <c r="AC1805" i="2"/>
  <c r="AB1805" i="2"/>
  <c r="AA1805" i="2"/>
  <c r="Z1805" i="2"/>
  <c r="Y1805" i="2"/>
  <c r="X1805" i="2"/>
  <c r="V1805" i="2"/>
  <c r="U1805" i="2"/>
  <c r="T1805" i="2"/>
  <c r="S1805" i="2"/>
  <c r="R1805" i="2"/>
  <c r="Q1805" i="2"/>
  <c r="P1805" i="2"/>
  <c r="O1805" i="2"/>
  <c r="N1805" i="2"/>
  <c r="K1805" i="2"/>
  <c r="J1805" i="2"/>
  <c r="I1805" i="2"/>
  <c r="H1805" i="2"/>
  <c r="G1805" i="2"/>
  <c r="F1805" i="2"/>
  <c r="E1805" i="2"/>
  <c r="D1805" i="2"/>
  <c r="C1805" i="2"/>
  <c r="B1805" i="2"/>
  <c r="A1805" i="2"/>
  <c r="AI1804" i="2"/>
  <c r="AH1804" i="2"/>
  <c r="AG1804" i="2"/>
  <c r="AF1804" i="2"/>
  <c r="AE1804" i="2"/>
  <c r="AD1804" i="2"/>
  <c r="AC1804" i="2"/>
  <c r="AB1804" i="2"/>
  <c r="AA1804" i="2"/>
  <c r="Z1804" i="2"/>
  <c r="Y1804" i="2"/>
  <c r="X1804" i="2"/>
  <c r="W1804" i="2"/>
  <c r="V1804" i="2"/>
  <c r="U1804" i="2"/>
  <c r="T1804" i="2"/>
  <c r="S1804" i="2"/>
  <c r="R1804" i="2"/>
  <c r="Q1804" i="2"/>
  <c r="P1804" i="2"/>
  <c r="O1804" i="2"/>
  <c r="N1804" i="2"/>
  <c r="K1804" i="2"/>
  <c r="J1804" i="2"/>
  <c r="I1804" i="2"/>
  <c r="H1804" i="2"/>
  <c r="G1804" i="2"/>
  <c r="F1804" i="2"/>
  <c r="E1804" i="2"/>
  <c r="D1804" i="2"/>
  <c r="C1804" i="2"/>
  <c r="B1804" i="2"/>
  <c r="A1804" i="2"/>
  <c r="AI1803" i="2"/>
  <c r="AH1803" i="2"/>
  <c r="AF1803" i="2"/>
  <c r="AE1803" i="2"/>
  <c r="AD1803" i="2"/>
  <c r="AC1803" i="2"/>
  <c r="AB1803" i="2"/>
  <c r="AA1803" i="2"/>
  <c r="Z1803" i="2"/>
  <c r="Y1803" i="2"/>
  <c r="X1803" i="2"/>
  <c r="U1803" i="2"/>
  <c r="T1803" i="2"/>
  <c r="S1803" i="2"/>
  <c r="R1803" i="2"/>
  <c r="Q1803" i="2"/>
  <c r="P1803" i="2"/>
  <c r="O1803" i="2"/>
  <c r="N1803" i="2"/>
  <c r="K1803" i="2"/>
  <c r="J1803" i="2"/>
  <c r="I1803" i="2"/>
  <c r="H1803" i="2"/>
  <c r="G1803" i="2"/>
  <c r="F1803" i="2"/>
  <c r="E1803" i="2"/>
  <c r="D1803" i="2"/>
  <c r="C1803" i="2"/>
  <c r="B1803" i="2"/>
  <c r="A1803" i="2"/>
  <c r="AH1802" i="2"/>
  <c r="AF1802" i="2"/>
  <c r="AE1802" i="2"/>
  <c r="AD1802" i="2"/>
  <c r="AC1802" i="2"/>
  <c r="AB1802" i="2"/>
  <c r="AA1802" i="2"/>
  <c r="Z1802" i="2"/>
  <c r="Y1802" i="2"/>
  <c r="X1802" i="2"/>
  <c r="W1802" i="2"/>
  <c r="U1802" i="2"/>
  <c r="T1802" i="2"/>
  <c r="S1802" i="2"/>
  <c r="R1802" i="2"/>
  <c r="Q1802" i="2"/>
  <c r="P1802" i="2"/>
  <c r="O1802" i="2"/>
  <c r="N1802" i="2"/>
  <c r="K1802" i="2"/>
  <c r="J1802" i="2"/>
  <c r="I1802" i="2"/>
  <c r="H1802" i="2"/>
  <c r="G1802" i="2"/>
  <c r="F1802" i="2"/>
  <c r="E1802" i="2"/>
  <c r="D1802" i="2"/>
  <c r="C1802" i="2"/>
  <c r="B1802" i="2"/>
  <c r="A1802" i="2"/>
  <c r="AI1801" i="2"/>
  <c r="AH1801" i="2"/>
  <c r="AG1801" i="2"/>
  <c r="AF1801" i="2"/>
  <c r="AE1801" i="2"/>
  <c r="AD1801" i="2"/>
  <c r="AC1801" i="2"/>
  <c r="AB1801" i="2"/>
  <c r="AA1801" i="2"/>
  <c r="Z1801" i="2"/>
  <c r="Y1801" i="2"/>
  <c r="X1801" i="2"/>
  <c r="U1801" i="2"/>
  <c r="T1801" i="2"/>
  <c r="S1801" i="2"/>
  <c r="R1801" i="2"/>
  <c r="Q1801" i="2"/>
  <c r="P1801" i="2"/>
  <c r="O1801" i="2"/>
  <c r="N1801" i="2"/>
  <c r="K1801" i="2"/>
  <c r="J1801" i="2"/>
  <c r="I1801" i="2"/>
  <c r="H1801" i="2"/>
  <c r="G1801" i="2"/>
  <c r="F1801" i="2"/>
  <c r="E1801" i="2"/>
  <c r="D1801" i="2"/>
  <c r="C1801" i="2"/>
  <c r="B1801" i="2"/>
  <c r="A1801" i="2"/>
  <c r="AI1800" i="2"/>
  <c r="AF1800" i="2"/>
  <c r="AE1800" i="2"/>
  <c r="AD1800" i="2"/>
  <c r="AC1800" i="2"/>
  <c r="AB1800" i="2"/>
  <c r="AA1800" i="2"/>
  <c r="Z1800" i="2"/>
  <c r="Y1800" i="2"/>
  <c r="X1800" i="2"/>
  <c r="U1800" i="2"/>
  <c r="T1800" i="2"/>
  <c r="S1800" i="2"/>
  <c r="R1800" i="2"/>
  <c r="Q1800" i="2"/>
  <c r="P1800" i="2"/>
  <c r="O1800" i="2"/>
  <c r="N1800" i="2"/>
  <c r="K1800" i="2"/>
  <c r="J1800" i="2"/>
  <c r="I1800" i="2"/>
  <c r="H1800" i="2"/>
  <c r="G1800" i="2"/>
  <c r="F1800" i="2"/>
  <c r="E1800" i="2"/>
  <c r="D1800" i="2"/>
  <c r="C1800" i="2"/>
  <c r="B1800" i="2"/>
  <c r="A1800" i="2"/>
  <c r="AI1799" i="2"/>
  <c r="AH1799" i="2"/>
  <c r="AG1799" i="2"/>
  <c r="AF1799" i="2"/>
  <c r="AE1799" i="2"/>
  <c r="AD1799" i="2"/>
  <c r="AC1799" i="2"/>
  <c r="AB1799" i="2"/>
  <c r="AA1799" i="2"/>
  <c r="Z1799" i="2"/>
  <c r="Y1799" i="2"/>
  <c r="X1799" i="2"/>
  <c r="V1799" i="2"/>
  <c r="U1799" i="2"/>
  <c r="T1799" i="2"/>
  <c r="S1799" i="2"/>
  <c r="R1799" i="2"/>
  <c r="Q1799" i="2"/>
  <c r="P1799" i="2"/>
  <c r="O1799" i="2"/>
  <c r="N1799" i="2"/>
  <c r="K1799" i="2"/>
  <c r="J1799" i="2"/>
  <c r="I1799" i="2"/>
  <c r="H1799" i="2"/>
  <c r="G1799" i="2"/>
  <c r="F1799" i="2"/>
  <c r="E1799" i="2"/>
  <c r="D1799" i="2"/>
  <c r="C1799" i="2"/>
  <c r="B1799" i="2"/>
  <c r="A1799" i="2"/>
  <c r="AI1798" i="2"/>
  <c r="AH1798" i="2"/>
  <c r="AG1798" i="2"/>
  <c r="AF1798" i="2"/>
  <c r="AE1798" i="2"/>
  <c r="AD1798" i="2"/>
  <c r="AC1798" i="2"/>
  <c r="AB1798" i="2"/>
  <c r="AA1798" i="2"/>
  <c r="Z1798" i="2"/>
  <c r="Y1798" i="2"/>
  <c r="X1798" i="2"/>
  <c r="V1798" i="2"/>
  <c r="U1798" i="2"/>
  <c r="T1798" i="2"/>
  <c r="S1798" i="2"/>
  <c r="R1798" i="2"/>
  <c r="Q1798" i="2"/>
  <c r="P1798" i="2"/>
  <c r="O1798" i="2"/>
  <c r="N1798" i="2"/>
  <c r="K1798" i="2"/>
  <c r="J1798" i="2"/>
  <c r="I1798" i="2"/>
  <c r="H1798" i="2"/>
  <c r="G1798" i="2"/>
  <c r="F1798" i="2"/>
  <c r="E1798" i="2"/>
  <c r="D1798" i="2"/>
  <c r="C1798" i="2"/>
  <c r="B1798" i="2"/>
  <c r="A1798" i="2"/>
  <c r="AI1797" i="2"/>
  <c r="AH1797" i="2"/>
  <c r="AG1797" i="2"/>
  <c r="AF1797" i="2"/>
  <c r="AE1797" i="2"/>
  <c r="AD1797" i="2"/>
  <c r="AC1797" i="2"/>
  <c r="AB1797" i="2"/>
  <c r="AA1797" i="2"/>
  <c r="Z1797" i="2"/>
  <c r="Y1797" i="2"/>
  <c r="X1797" i="2"/>
  <c r="W1797" i="2"/>
  <c r="V1797" i="2"/>
  <c r="U1797" i="2"/>
  <c r="T1797" i="2"/>
  <c r="S1797" i="2"/>
  <c r="R1797" i="2"/>
  <c r="Q1797" i="2"/>
  <c r="P1797" i="2"/>
  <c r="O1797" i="2"/>
  <c r="N1797" i="2"/>
  <c r="K1797" i="2"/>
  <c r="J1797" i="2"/>
  <c r="I1797" i="2"/>
  <c r="H1797" i="2"/>
  <c r="G1797" i="2"/>
  <c r="F1797" i="2"/>
  <c r="E1797" i="2"/>
  <c r="D1797" i="2"/>
  <c r="C1797" i="2"/>
  <c r="B1797" i="2"/>
  <c r="A1797" i="2"/>
  <c r="AI1796" i="2"/>
  <c r="AH1796" i="2"/>
  <c r="AG1796" i="2"/>
  <c r="AF1796" i="2"/>
  <c r="AE1796" i="2"/>
  <c r="AD1796" i="2"/>
  <c r="AC1796" i="2"/>
  <c r="AB1796" i="2"/>
  <c r="AA1796" i="2"/>
  <c r="Z1796" i="2"/>
  <c r="Y1796" i="2"/>
  <c r="V1796" i="2"/>
  <c r="U1796" i="2"/>
  <c r="T1796" i="2"/>
  <c r="S1796" i="2"/>
  <c r="R1796" i="2"/>
  <c r="Q1796" i="2"/>
  <c r="P1796" i="2"/>
  <c r="O1796" i="2"/>
  <c r="N1796" i="2"/>
  <c r="K1796" i="2"/>
  <c r="J1796" i="2"/>
  <c r="I1796" i="2"/>
  <c r="H1796" i="2"/>
  <c r="G1796" i="2"/>
  <c r="F1796" i="2"/>
  <c r="E1796" i="2"/>
  <c r="D1796" i="2"/>
  <c r="C1796" i="2"/>
  <c r="B1796" i="2"/>
  <c r="A1796" i="2"/>
  <c r="AI1795" i="2"/>
  <c r="AH1795" i="2"/>
  <c r="AG1795" i="2"/>
  <c r="AF1795" i="2"/>
  <c r="AE1795" i="2"/>
  <c r="AD1795" i="2"/>
  <c r="AC1795" i="2"/>
  <c r="AB1795" i="2"/>
  <c r="AA1795" i="2"/>
  <c r="Z1795" i="2"/>
  <c r="Y1795" i="2"/>
  <c r="X1795" i="2"/>
  <c r="U1795" i="2"/>
  <c r="T1795" i="2"/>
  <c r="S1795" i="2"/>
  <c r="R1795" i="2"/>
  <c r="Q1795" i="2"/>
  <c r="P1795" i="2"/>
  <c r="O1795" i="2"/>
  <c r="N1795" i="2"/>
  <c r="K1795" i="2"/>
  <c r="J1795" i="2"/>
  <c r="I1795" i="2"/>
  <c r="H1795" i="2"/>
  <c r="G1795" i="2"/>
  <c r="F1795" i="2"/>
  <c r="E1795" i="2"/>
  <c r="D1795" i="2"/>
  <c r="C1795" i="2"/>
  <c r="B1795" i="2"/>
  <c r="A1795" i="2"/>
  <c r="AI1794" i="2"/>
  <c r="AH1794" i="2"/>
  <c r="AG1794" i="2"/>
  <c r="AF1794" i="2"/>
  <c r="AE1794" i="2"/>
  <c r="AD1794" i="2"/>
  <c r="AC1794" i="2"/>
  <c r="AB1794" i="2"/>
  <c r="AA1794" i="2"/>
  <c r="Z1794" i="2"/>
  <c r="Y1794" i="2"/>
  <c r="X1794" i="2"/>
  <c r="W1794" i="2"/>
  <c r="V1794" i="2"/>
  <c r="U1794" i="2"/>
  <c r="T1794" i="2"/>
  <c r="S1794" i="2"/>
  <c r="R1794" i="2"/>
  <c r="Q1794" i="2"/>
  <c r="P1794" i="2"/>
  <c r="O1794" i="2"/>
  <c r="N1794" i="2"/>
  <c r="K1794" i="2"/>
  <c r="J1794" i="2"/>
  <c r="I1794" i="2"/>
  <c r="H1794" i="2"/>
  <c r="G1794" i="2"/>
  <c r="F1794" i="2"/>
  <c r="E1794" i="2"/>
  <c r="D1794" i="2"/>
  <c r="C1794" i="2"/>
  <c r="B1794" i="2"/>
  <c r="A1794" i="2"/>
  <c r="AI1793" i="2"/>
  <c r="AH1793" i="2"/>
  <c r="AG1793" i="2"/>
  <c r="AF1793" i="2"/>
  <c r="AE1793" i="2"/>
  <c r="AD1793" i="2"/>
  <c r="AC1793" i="2"/>
  <c r="AB1793" i="2"/>
  <c r="AA1793" i="2"/>
  <c r="Z1793" i="2"/>
  <c r="Y1793" i="2"/>
  <c r="X1793" i="2"/>
  <c r="W1793" i="2"/>
  <c r="V1793" i="2"/>
  <c r="U1793" i="2"/>
  <c r="T1793" i="2"/>
  <c r="S1793" i="2"/>
  <c r="R1793" i="2"/>
  <c r="Q1793" i="2"/>
  <c r="P1793" i="2"/>
  <c r="O1793" i="2"/>
  <c r="N1793" i="2"/>
  <c r="K1793" i="2"/>
  <c r="J1793" i="2"/>
  <c r="I1793" i="2"/>
  <c r="H1793" i="2"/>
  <c r="G1793" i="2"/>
  <c r="F1793" i="2"/>
  <c r="E1793" i="2"/>
  <c r="D1793" i="2"/>
  <c r="C1793" i="2"/>
  <c r="B1793" i="2"/>
  <c r="A1793" i="2"/>
  <c r="AJ1792" i="2"/>
  <c r="AI1792" i="2"/>
  <c r="AH1792" i="2"/>
  <c r="AG1792" i="2"/>
  <c r="AF1792" i="2"/>
  <c r="AE1792" i="2"/>
  <c r="AD1792" i="2"/>
  <c r="AB1792" i="2"/>
  <c r="AA1792" i="2"/>
  <c r="Z1792" i="2"/>
  <c r="Y1792" i="2"/>
  <c r="V1792" i="2"/>
  <c r="U1792" i="2"/>
  <c r="T1792" i="2"/>
  <c r="S1792" i="2"/>
  <c r="R1792" i="2"/>
  <c r="Q1792" i="2"/>
  <c r="P1792" i="2"/>
  <c r="O1792" i="2"/>
  <c r="N1792" i="2"/>
  <c r="K1792" i="2"/>
  <c r="J1792" i="2"/>
  <c r="I1792" i="2"/>
  <c r="H1792" i="2"/>
  <c r="G1792" i="2"/>
  <c r="F1792" i="2"/>
  <c r="E1792" i="2"/>
  <c r="D1792" i="2"/>
  <c r="C1792" i="2"/>
  <c r="B1792" i="2"/>
  <c r="A1792" i="2"/>
  <c r="AI1791" i="2"/>
  <c r="AH1791" i="2"/>
  <c r="AG1791" i="2"/>
  <c r="AF1791" i="2"/>
  <c r="AE1791" i="2"/>
  <c r="AD1791" i="2"/>
  <c r="AC1791" i="2"/>
  <c r="AB1791" i="2"/>
  <c r="AA1791" i="2"/>
  <c r="Z1791" i="2"/>
  <c r="Y1791" i="2"/>
  <c r="X1791" i="2"/>
  <c r="W1791" i="2"/>
  <c r="V1791" i="2"/>
  <c r="U1791" i="2"/>
  <c r="T1791" i="2"/>
  <c r="S1791" i="2"/>
  <c r="R1791" i="2"/>
  <c r="Q1791" i="2"/>
  <c r="P1791" i="2"/>
  <c r="O1791" i="2"/>
  <c r="N1791" i="2"/>
  <c r="K1791" i="2"/>
  <c r="J1791" i="2"/>
  <c r="I1791" i="2"/>
  <c r="H1791" i="2"/>
  <c r="G1791" i="2"/>
  <c r="F1791" i="2"/>
  <c r="E1791" i="2"/>
  <c r="D1791" i="2"/>
  <c r="C1791" i="2"/>
  <c r="B1791" i="2"/>
  <c r="A1791" i="2"/>
  <c r="AI1790" i="2"/>
  <c r="AH1790" i="2"/>
  <c r="AG1790" i="2"/>
  <c r="AF1790" i="2"/>
  <c r="AE1790" i="2"/>
  <c r="AD1790" i="2"/>
  <c r="AC1790" i="2"/>
  <c r="AB1790" i="2"/>
  <c r="AA1790" i="2"/>
  <c r="Z1790" i="2"/>
  <c r="Y1790" i="2"/>
  <c r="X1790" i="2"/>
  <c r="W1790" i="2"/>
  <c r="V1790" i="2"/>
  <c r="U1790" i="2"/>
  <c r="T1790" i="2"/>
  <c r="S1790" i="2"/>
  <c r="R1790" i="2"/>
  <c r="Q1790" i="2"/>
  <c r="P1790" i="2"/>
  <c r="O1790" i="2"/>
  <c r="N1790" i="2"/>
  <c r="K1790" i="2"/>
  <c r="J1790" i="2"/>
  <c r="I1790" i="2"/>
  <c r="H1790" i="2"/>
  <c r="G1790" i="2"/>
  <c r="F1790" i="2"/>
  <c r="E1790" i="2"/>
  <c r="D1790" i="2"/>
  <c r="C1790" i="2"/>
  <c r="B1790" i="2"/>
  <c r="A1790" i="2"/>
  <c r="AI1789" i="2"/>
  <c r="AH1789" i="2"/>
  <c r="AG1789" i="2"/>
  <c r="AF1789" i="2"/>
  <c r="AE1789" i="2"/>
  <c r="AD1789" i="2"/>
  <c r="AC1789" i="2"/>
  <c r="AB1789" i="2"/>
  <c r="AA1789" i="2"/>
  <c r="Z1789" i="2"/>
  <c r="Y1789" i="2"/>
  <c r="X1789" i="2"/>
  <c r="V1789" i="2"/>
  <c r="U1789" i="2"/>
  <c r="T1789" i="2"/>
  <c r="S1789" i="2"/>
  <c r="R1789" i="2"/>
  <c r="Q1789" i="2"/>
  <c r="P1789" i="2"/>
  <c r="O1789" i="2"/>
  <c r="N1789" i="2"/>
  <c r="K1789" i="2"/>
  <c r="J1789" i="2"/>
  <c r="I1789" i="2"/>
  <c r="H1789" i="2"/>
  <c r="G1789" i="2"/>
  <c r="F1789" i="2"/>
  <c r="E1789" i="2"/>
  <c r="D1789" i="2"/>
  <c r="C1789" i="2"/>
  <c r="B1789" i="2"/>
  <c r="A1789" i="2"/>
  <c r="AJ1788" i="2"/>
  <c r="AI1788" i="2"/>
  <c r="AH1788" i="2"/>
  <c r="AG1788" i="2"/>
  <c r="AF1788" i="2"/>
  <c r="AE1788" i="2"/>
  <c r="AD1788" i="2"/>
  <c r="AC1788" i="2"/>
  <c r="AA1788" i="2"/>
  <c r="Z1788" i="2"/>
  <c r="Y1788" i="2"/>
  <c r="W1788" i="2"/>
  <c r="V1788" i="2"/>
  <c r="U1788" i="2"/>
  <c r="T1788" i="2"/>
  <c r="S1788" i="2"/>
  <c r="R1788" i="2"/>
  <c r="Q1788" i="2"/>
  <c r="P1788" i="2"/>
  <c r="O1788" i="2"/>
  <c r="N1788" i="2"/>
  <c r="K1788" i="2"/>
  <c r="J1788" i="2"/>
  <c r="I1788" i="2"/>
  <c r="H1788" i="2"/>
  <c r="G1788" i="2"/>
  <c r="F1788" i="2"/>
  <c r="E1788" i="2"/>
  <c r="D1788" i="2"/>
  <c r="C1788" i="2"/>
  <c r="B1788" i="2"/>
  <c r="A1788" i="2"/>
  <c r="AH1787" i="2"/>
  <c r="AG1787" i="2"/>
  <c r="AF1787" i="2"/>
  <c r="AE1787" i="2"/>
  <c r="AD1787" i="2"/>
  <c r="AC1787" i="2"/>
  <c r="AA1787" i="2"/>
  <c r="Z1787" i="2"/>
  <c r="Y1787" i="2"/>
  <c r="X1787" i="2"/>
  <c r="W1787" i="2"/>
  <c r="V1787" i="2"/>
  <c r="U1787" i="2"/>
  <c r="T1787" i="2"/>
  <c r="S1787" i="2"/>
  <c r="R1787" i="2"/>
  <c r="Q1787" i="2"/>
  <c r="P1787" i="2"/>
  <c r="O1787" i="2"/>
  <c r="N1787" i="2"/>
  <c r="K1787" i="2"/>
  <c r="J1787" i="2"/>
  <c r="I1787" i="2"/>
  <c r="H1787" i="2"/>
  <c r="G1787" i="2"/>
  <c r="F1787" i="2"/>
  <c r="E1787" i="2"/>
  <c r="D1787" i="2"/>
  <c r="C1787" i="2"/>
  <c r="B1787" i="2"/>
  <c r="A1787" i="2"/>
  <c r="AI1786" i="2"/>
  <c r="AH1786" i="2"/>
  <c r="AG1786" i="2"/>
  <c r="AF1786" i="2"/>
  <c r="AE1786" i="2"/>
  <c r="AD1786" i="2"/>
  <c r="AC1786" i="2"/>
  <c r="AB1786" i="2"/>
  <c r="AA1786" i="2"/>
  <c r="Z1786" i="2"/>
  <c r="Y1786" i="2"/>
  <c r="X1786" i="2"/>
  <c r="W1786" i="2"/>
  <c r="U1786" i="2"/>
  <c r="T1786" i="2"/>
  <c r="S1786" i="2"/>
  <c r="R1786" i="2"/>
  <c r="Q1786" i="2"/>
  <c r="P1786" i="2"/>
  <c r="O1786" i="2"/>
  <c r="N1786" i="2"/>
  <c r="K1786" i="2"/>
  <c r="J1786" i="2"/>
  <c r="I1786" i="2"/>
  <c r="H1786" i="2"/>
  <c r="G1786" i="2"/>
  <c r="F1786" i="2"/>
  <c r="E1786" i="2"/>
  <c r="D1786" i="2"/>
  <c r="C1786" i="2"/>
  <c r="B1786" i="2"/>
  <c r="A1786" i="2"/>
  <c r="AI1785" i="2"/>
  <c r="AH1785" i="2"/>
  <c r="AG1785" i="2"/>
  <c r="AF1785" i="2"/>
  <c r="AE1785" i="2"/>
  <c r="AD1785" i="2"/>
  <c r="AC1785" i="2"/>
  <c r="AB1785" i="2"/>
  <c r="AA1785" i="2"/>
  <c r="Z1785" i="2"/>
  <c r="Y1785" i="2"/>
  <c r="X1785" i="2"/>
  <c r="W1785" i="2"/>
  <c r="V1785" i="2"/>
  <c r="U1785" i="2"/>
  <c r="T1785" i="2"/>
  <c r="S1785" i="2"/>
  <c r="R1785" i="2"/>
  <c r="Q1785" i="2"/>
  <c r="P1785" i="2"/>
  <c r="O1785" i="2"/>
  <c r="N1785" i="2"/>
  <c r="K1785" i="2"/>
  <c r="J1785" i="2"/>
  <c r="I1785" i="2"/>
  <c r="H1785" i="2"/>
  <c r="G1785" i="2"/>
  <c r="F1785" i="2"/>
  <c r="E1785" i="2"/>
  <c r="D1785" i="2"/>
  <c r="C1785" i="2"/>
  <c r="B1785" i="2"/>
  <c r="A1785" i="2"/>
  <c r="AI1784" i="2"/>
  <c r="AH1784" i="2"/>
  <c r="AG1784" i="2"/>
  <c r="AF1784" i="2"/>
  <c r="AE1784" i="2"/>
  <c r="AD1784" i="2"/>
  <c r="AC1784" i="2"/>
  <c r="AA1784" i="2"/>
  <c r="Z1784" i="2"/>
  <c r="Y1784" i="2"/>
  <c r="X1784" i="2"/>
  <c r="U1784" i="2"/>
  <c r="T1784" i="2"/>
  <c r="S1784" i="2"/>
  <c r="R1784" i="2"/>
  <c r="Q1784" i="2"/>
  <c r="P1784" i="2"/>
  <c r="O1784" i="2"/>
  <c r="N1784" i="2"/>
  <c r="K1784" i="2"/>
  <c r="J1784" i="2"/>
  <c r="I1784" i="2"/>
  <c r="H1784" i="2"/>
  <c r="G1784" i="2"/>
  <c r="F1784" i="2"/>
  <c r="E1784" i="2"/>
  <c r="D1784" i="2"/>
  <c r="C1784" i="2"/>
  <c r="B1784" i="2"/>
  <c r="A1784" i="2"/>
  <c r="AI1783" i="2"/>
  <c r="AH1783" i="2"/>
  <c r="AG1783" i="2"/>
  <c r="AF1783" i="2"/>
  <c r="AE1783" i="2"/>
  <c r="AD1783" i="2"/>
  <c r="AC1783" i="2"/>
  <c r="AB1783" i="2"/>
  <c r="AA1783" i="2"/>
  <c r="Z1783" i="2"/>
  <c r="Y1783" i="2"/>
  <c r="X1783" i="2"/>
  <c r="W1783" i="2"/>
  <c r="V1783" i="2"/>
  <c r="U1783" i="2"/>
  <c r="T1783" i="2"/>
  <c r="S1783" i="2"/>
  <c r="R1783" i="2"/>
  <c r="Q1783" i="2"/>
  <c r="P1783" i="2"/>
  <c r="O1783" i="2"/>
  <c r="N1783" i="2"/>
  <c r="K1783" i="2"/>
  <c r="J1783" i="2"/>
  <c r="I1783" i="2"/>
  <c r="H1783" i="2"/>
  <c r="G1783" i="2"/>
  <c r="F1783" i="2"/>
  <c r="E1783" i="2"/>
  <c r="D1783" i="2"/>
  <c r="C1783" i="2"/>
  <c r="B1783" i="2"/>
  <c r="A1783" i="2"/>
  <c r="AJ1782" i="2"/>
  <c r="AI1782" i="2"/>
  <c r="AH1782" i="2"/>
  <c r="AG1782" i="2"/>
  <c r="AF1782" i="2"/>
  <c r="AE1782" i="2"/>
  <c r="AD1782" i="2"/>
  <c r="AC1782" i="2"/>
  <c r="AB1782" i="2"/>
  <c r="AA1782" i="2"/>
  <c r="Z1782" i="2"/>
  <c r="Y1782" i="2"/>
  <c r="W1782" i="2"/>
  <c r="V1782" i="2"/>
  <c r="U1782" i="2"/>
  <c r="T1782" i="2"/>
  <c r="S1782" i="2"/>
  <c r="R1782" i="2"/>
  <c r="Q1782" i="2"/>
  <c r="P1782" i="2"/>
  <c r="O1782" i="2"/>
  <c r="N1782" i="2"/>
  <c r="K1782" i="2"/>
  <c r="J1782" i="2"/>
  <c r="I1782" i="2"/>
  <c r="H1782" i="2"/>
  <c r="G1782" i="2"/>
  <c r="F1782" i="2"/>
  <c r="E1782" i="2"/>
  <c r="D1782" i="2"/>
  <c r="C1782" i="2"/>
  <c r="B1782" i="2"/>
  <c r="A1782" i="2"/>
  <c r="AI1781" i="2"/>
  <c r="AH1781" i="2"/>
  <c r="AG1781" i="2"/>
  <c r="AF1781" i="2"/>
  <c r="AE1781" i="2"/>
  <c r="AD1781" i="2"/>
  <c r="AC1781" i="2"/>
  <c r="AB1781" i="2"/>
  <c r="AA1781" i="2"/>
  <c r="Z1781" i="2"/>
  <c r="Y1781" i="2"/>
  <c r="X1781" i="2"/>
  <c r="V1781" i="2"/>
  <c r="U1781" i="2"/>
  <c r="T1781" i="2"/>
  <c r="S1781" i="2"/>
  <c r="R1781" i="2"/>
  <c r="Q1781" i="2"/>
  <c r="P1781" i="2"/>
  <c r="O1781" i="2"/>
  <c r="N1781" i="2"/>
  <c r="K1781" i="2"/>
  <c r="J1781" i="2"/>
  <c r="I1781" i="2"/>
  <c r="H1781" i="2"/>
  <c r="G1781" i="2"/>
  <c r="F1781" i="2"/>
  <c r="E1781" i="2"/>
  <c r="D1781" i="2"/>
  <c r="C1781" i="2"/>
  <c r="B1781" i="2"/>
  <c r="A1781" i="2"/>
  <c r="AJ1780" i="2"/>
  <c r="AI1780" i="2"/>
  <c r="AH1780" i="2"/>
  <c r="AG1780" i="2"/>
  <c r="AF1780" i="2"/>
  <c r="AE1780" i="2"/>
  <c r="AD1780" i="2"/>
  <c r="AC1780" i="2"/>
  <c r="AB1780" i="2"/>
  <c r="AA1780" i="2"/>
  <c r="Z1780" i="2"/>
  <c r="Y1780" i="2"/>
  <c r="X1780" i="2"/>
  <c r="W1780" i="2"/>
  <c r="V1780" i="2"/>
  <c r="U1780" i="2"/>
  <c r="T1780" i="2"/>
  <c r="S1780" i="2"/>
  <c r="R1780" i="2"/>
  <c r="Q1780" i="2"/>
  <c r="P1780" i="2"/>
  <c r="O1780" i="2"/>
  <c r="N1780" i="2"/>
  <c r="K1780" i="2"/>
  <c r="J1780" i="2"/>
  <c r="I1780" i="2"/>
  <c r="H1780" i="2"/>
  <c r="G1780" i="2"/>
  <c r="F1780" i="2"/>
  <c r="E1780" i="2"/>
  <c r="D1780" i="2"/>
  <c r="C1780" i="2"/>
  <c r="B1780" i="2"/>
  <c r="A1780" i="2"/>
  <c r="AI1779" i="2"/>
  <c r="AH1779" i="2"/>
  <c r="AG1779" i="2"/>
  <c r="AF1779" i="2"/>
  <c r="AE1779" i="2"/>
  <c r="AD1779" i="2"/>
  <c r="AC1779" i="2"/>
  <c r="AB1779" i="2"/>
  <c r="AA1779" i="2"/>
  <c r="Z1779" i="2"/>
  <c r="Y1779" i="2"/>
  <c r="X1779" i="2"/>
  <c r="V1779" i="2"/>
  <c r="U1779" i="2"/>
  <c r="T1779" i="2"/>
  <c r="S1779" i="2"/>
  <c r="R1779" i="2"/>
  <c r="Q1779" i="2"/>
  <c r="P1779" i="2"/>
  <c r="O1779" i="2"/>
  <c r="N1779" i="2"/>
  <c r="K1779" i="2"/>
  <c r="J1779" i="2"/>
  <c r="I1779" i="2"/>
  <c r="H1779" i="2"/>
  <c r="G1779" i="2"/>
  <c r="F1779" i="2"/>
  <c r="E1779" i="2"/>
  <c r="D1779" i="2"/>
  <c r="C1779" i="2"/>
  <c r="B1779" i="2"/>
  <c r="A1779" i="2"/>
  <c r="AI1778" i="2"/>
  <c r="AH1778" i="2"/>
  <c r="AG1778" i="2"/>
  <c r="AF1778" i="2"/>
  <c r="AE1778" i="2"/>
  <c r="AD1778" i="2"/>
  <c r="AC1778" i="2"/>
  <c r="AB1778" i="2"/>
  <c r="AA1778" i="2"/>
  <c r="Z1778" i="2"/>
  <c r="Y1778" i="2"/>
  <c r="X1778" i="2"/>
  <c r="W1778" i="2"/>
  <c r="V1778" i="2"/>
  <c r="U1778" i="2"/>
  <c r="T1778" i="2"/>
  <c r="S1778" i="2"/>
  <c r="R1778" i="2"/>
  <c r="Q1778" i="2"/>
  <c r="P1778" i="2"/>
  <c r="O1778" i="2"/>
  <c r="N1778" i="2"/>
  <c r="K1778" i="2"/>
  <c r="J1778" i="2"/>
  <c r="I1778" i="2"/>
  <c r="H1778" i="2"/>
  <c r="G1778" i="2"/>
  <c r="F1778" i="2"/>
  <c r="E1778" i="2"/>
  <c r="D1778" i="2"/>
  <c r="C1778" i="2"/>
  <c r="B1778" i="2"/>
  <c r="A1778" i="2"/>
  <c r="AI1777" i="2"/>
  <c r="AH1777" i="2"/>
  <c r="AG1777" i="2"/>
  <c r="AF1777" i="2"/>
  <c r="AE1777" i="2"/>
  <c r="AD1777" i="2"/>
  <c r="AC1777" i="2"/>
  <c r="AB1777" i="2"/>
  <c r="AA1777" i="2"/>
  <c r="Z1777" i="2"/>
  <c r="Y1777" i="2"/>
  <c r="U1777" i="2"/>
  <c r="T1777" i="2"/>
  <c r="S1777" i="2"/>
  <c r="R1777" i="2"/>
  <c r="Q1777" i="2"/>
  <c r="P1777" i="2"/>
  <c r="O1777" i="2"/>
  <c r="N1777" i="2"/>
  <c r="K1777" i="2"/>
  <c r="J1777" i="2"/>
  <c r="I1777" i="2"/>
  <c r="H1777" i="2"/>
  <c r="G1777" i="2"/>
  <c r="F1777" i="2"/>
  <c r="E1777" i="2"/>
  <c r="D1777" i="2"/>
  <c r="C1777" i="2"/>
  <c r="B1777" i="2"/>
  <c r="A1777" i="2"/>
  <c r="AI1776" i="2"/>
  <c r="AH1776" i="2"/>
  <c r="AG1776" i="2"/>
  <c r="AF1776" i="2"/>
  <c r="AE1776" i="2"/>
  <c r="AD1776" i="2"/>
  <c r="AC1776" i="2"/>
  <c r="AB1776" i="2"/>
  <c r="AA1776" i="2"/>
  <c r="Z1776" i="2"/>
  <c r="Y1776" i="2"/>
  <c r="X1776" i="2"/>
  <c r="U1776" i="2"/>
  <c r="T1776" i="2"/>
  <c r="S1776" i="2"/>
  <c r="R1776" i="2"/>
  <c r="Q1776" i="2"/>
  <c r="P1776" i="2"/>
  <c r="O1776" i="2"/>
  <c r="N1776" i="2"/>
  <c r="K1776" i="2"/>
  <c r="J1776" i="2"/>
  <c r="I1776" i="2"/>
  <c r="H1776" i="2"/>
  <c r="G1776" i="2"/>
  <c r="F1776" i="2"/>
  <c r="E1776" i="2"/>
  <c r="D1776" i="2"/>
  <c r="C1776" i="2"/>
  <c r="B1776" i="2"/>
  <c r="A1776" i="2"/>
  <c r="AI1775" i="2"/>
  <c r="AH1775" i="2"/>
  <c r="AG1775" i="2"/>
  <c r="AF1775" i="2"/>
  <c r="AE1775" i="2"/>
  <c r="AD1775" i="2"/>
  <c r="AC1775" i="2"/>
  <c r="AB1775" i="2"/>
  <c r="AA1775" i="2"/>
  <c r="Z1775" i="2"/>
  <c r="Y1775" i="2"/>
  <c r="X1775" i="2"/>
  <c r="W1775" i="2"/>
  <c r="V1775" i="2"/>
  <c r="U1775" i="2"/>
  <c r="T1775" i="2"/>
  <c r="S1775" i="2"/>
  <c r="R1775" i="2"/>
  <c r="Q1775" i="2"/>
  <c r="P1775" i="2"/>
  <c r="O1775" i="2"/>
  <c r="N1775" i="2"/>
  <c r="K1775" i="2"/>
  <c r="J1775" i="2"/>
  <c r="I1775" i="2"/>
  <c r="H1775" i="2"/>
  <c r="G1775" i="2"/>
  <c r="F1775" i="2"/>
  <c r="E1775" i="2"/>
  <c r="D1775" i="2"/>
  <c r="C1775" i="2"/>
  <c r="B1775" i="2"/>
  <c r="A1775" i="2"/>
  <c r="AJ1774" i="2"/>
  <c r="AI1774" i="2"/>
  <c r="AH1774" i="2"/>
  <c r="AG1774" i="2"/>
  <c r="AF1774" i="2"/>
  <c r="AE1774" i="2"/>
  <c r="AD1774" i="2"/>
  <c r="AC1774" i="2"/>
  <c r="AB1774" i="2"/>
  <c r="AA1774" i="2"/>
  <c r="Z1774" i="2"/>
  <c r="Y1774" i="2"/>
  <c r="X1774" i="2"/>
  <c r="V1774" i="2"/>
  <c r="U1774" i="2"/>
  <c r="T1774" i="2"/>
  <c r="S1774" i="2"/>
  <c r="R1774" i="2"/>
  <c r="Q1774" i="2"/>
  <c r="P1774" i="2"/>
  <c r="O1774" i="2"/>
  <c r="N1774" i="2"/>
  <c r="K1774" i="2"/>
  <c r="J1774" i="2"/>
  <c r="I1774" i="2"/>
  <c r="H1774" i="2"/>
  <c r="G1774" i="2"/>
  <c r="F1774" i="2"/>
  <c r="E1774" i="2"/>
  <c r="D1774" i="2"/>
  <c r="C1774" i="2"/>
  <c r="B1774" i="2"/>
  <c r="A1774" i="2"/>
  <c r="AI1773" i="2"/>
  <c r="AH1773" i="2"/>
  <c r="AG1773" i="2"/>
  <c r="AF1773" i="2"/>
  <c r="AE1773" i="2"/>
  <c r="AD1773" i="2"/>
  <c r="AC1773" i="2"/>
  <c r="AB1773" i="2"/>
  <c r="AA1773" i="2"/>
  <c r="Z1773" i="2"/>
  <c r="Y1773" i="2"/>
  <c r="X1773" i="2"/>
  <c r="V1773" i="2"/>
  <c r="U1773" i="2"/>
  <c r="T1773" i="2"/>
  <c r="S1773" i="2"/>
  <c r="R1773" i="2"/>
  <c r="Q1773" i="2"/>
  <c r="P1773" i="2"/>
  <c r="O1773" i="2"/>
  <c r="N1773" i="2"/>
  <c r="K1773" i="2"/>
  <c r="J1773" i="2"/>
  <c r="I1773" i="2"/>
  <c r="H1773" i="2"/>
  <c r="G1773" i="2"/>
  <c r="F1773" i="2"/>
  <c r="E1773" i="2"/>
  <c r="D1773" i="2"/>
  <c r="C1773" i="2"/>
  <c r="B1773" i="2"/>
  <c r="A1773" i="2"/>
  <c r="AH1772" i="2"/>
  <c r="AG1772" i="2"/>
  <c r="AF1772" i="2"/>
  <c r="AE1772" i="2"/>
  <c r="AD1772" i="2"/>
  <c r="AC1772" i="2"/>
  <c r="AA1772" i="2"/>
  <c r="Z1772" i="2"/>
  <c r="Y1772" i="2"/>
  <c r="X1772" i="2"/>
  <c r="V1772" i="2"/>
  <c r="U1772" i="2"/>
  <c r="T1772" i="2"/>
  <c r="S1772" i="2"/>
  <c r="R1772" i="2"/>
  <c r="Q1772" i="2"/>
  <c r="P1772" i="2"/>
  <c r="O1772" i="2"/>
  <c r="N1772" i="2"/>
  <c r="K1772" i="2"/>
  <c r="J1772" i="2"/>
  <c r="I1772" i="2"/>
  <c r="H1772" i="2"/>
  <c r="G1772" i="2"/>
  <c r="F1772" i="2"/>
  <c r="E1772" i="2"/>
  <c r="D1772" i="2"/>
  <c r="C1772" i="2"/>
  <c r="B1772" i="2"/>
  <c r="A1772" i="2"/>
  <c r="AJ1771" i="2"/>
  <c r="AH1771" i="2"/>
  <c r="AG1771" i="2"/>
  <c r="AF1771" i="2"/>
  <c r="AD1771" i="2"/>
  <c r="AC1771" i="2"/>
  <c r="AB1771" i="2"/>
  <c r="AA1771" i="2"/>
  <c r="Z1771" i="2"/>
  <c r="Y1771" i="2"/>
  <c r="X1771" i="2"/>
  <c r="W1771" i="2"/>
  <c r="V1771" i="2"/>
  <c r="U1771" i="2"/>
  <c r="T1771" i="2"/>
  <c r="S1771" i="2"/>
  <c r="R1771" i="2"/>
  <c r="Q1771" i="2"/>
  <c r="P1771" i="2"/>
  <c r="O1771" i="2"/>
  <c r="N1771" i="2"/>
  <c r="K1771" i="2"/>
  <c r="J1771" i="2"/>
  <c r="I1771" i="2"/>
  <c r="H1771" i="2"/>
  <c r="G1771" i="2"/>
  <c r="F1771" i="2"/>
  <c r="E1771" i="2"/>
  <c r="D1771" i="2"/>
  <c r="C1771" i="2"/>
  <c r="B1771" i="2"/>
  <c r="A1771" i="2"/>
  <c r="AJ1770" i="2"/>
  <c r="AI1770" i="2"/>
  <c r="AH1770" i="2"/>
  <c r="AG1770" i="2"/>
  <c r="AF1770" i="2"/>
  <c r="AE1770" i="2"/>
  <c r="AD1770" i="2"/>
  <c r="AC1770" i="2"/>
  <c r="AB1770" i="2"/>
  <c r="AA1770" i="2"/>
  <c r="Z1770" i="2"/>
  <c r="Y1770" i="2"/>
  <c r="X1770" i="2"/>
  <c r="W1770" i="2"/>
  <c r="V1770" i="2"/>
  <c r="U1770" i="2"/>
  <c r="T1770" i="2"/>
  <c r="S1770" i="2"/>
  <c r="R1770" i="2"/>
  <c r="Q1770" i="2"/>
  <c r="P1770" i="2"/>
  <c r="O1770" i="2"/>
  <c r="N1770" i="2"/>
  <c r="M1770" i="2"/>
  <c r="K1770" i="2"/>
  <c r="J1770" i="2"/>
  <c r="I1770" i="2"/>
  <c r="H1770" i="2"/>
  <c r="G1770" i="2"/>
  <c r="F1770" i="2"/>
  <c r="E1770" i="2"/>
  <c r="D1770" i="2"/>
  <c r="C1770" i="2"/>
  <c r="B1770" i="2"/>
  <c r="A1770" i="2"/>
  <c r="AI1769" i="2"/>
  <c r="AH1769" i="2"/>
  <c r="AG1769" i="2"/>
  <c r="AF1769" i="2"/>
  <c r="AE1769" i="2"/>
  <c r="AD1769" i="2"/>
  <c r="AC1769" i="2"/>
  <c r="AB1769" i="2"/>
  <c r="AA1769" i="2"/>
  <c r="Z1769" i="2"/>
  <c r="Y1769" i="2"/>
  <c r="X1769" i="2"/>
  <c r="W1769" i="2"/>
  <c r="V1769" i="2"/>
  <c r="U1769" i="2"/>
  <c r="T1769" i="2"/>
  <c r="S1769" i="2"/>
  <c r="R1769" i="2"/>
  <c r="Q1769" i="2"/>
  <c r="P1769" i="2"/>
  <c r="O1769" i="2"/>
  <c r="N1769" i="2"/>
  <c r="K1769" i="2"/>
  <c r="J1769" i="2"/>
  <c r="I1769" i="2"/>
  <c r="H1769" i="2"/>
  <c r="G1769" i="2"/>
  <c r="F1769" i="2"/>
  <c r="E1769" i="2"/>
  <c r="D1769" i="2"/>
  <c r="C1769" i="2"/>
  <c r="B1769" i="2"/>
  <c r="A1769" i="2"/>
  <c r="AI1768" i="2"/>
  <c r="AH1768" i="2"/>
  <c r="AG1768" i="2"/>
  <c r="AF1768" i="2"/>
  <c r="AE1768" i="2"/>
  <c r="AD1768" i="2"/>
  <c r="AC1768" i="2"/>
  <c r="AB1768" i="2"/>
  <c r="AA1768" i="2"/>
  <c r="Z1768" i="2"/>
  <c r="Y1768" i="2"/>
  <c r="X1768" i="2"/>
  <c r="W1768" i="2"/>
  <c r="V1768" i="2"/>
  <c r="U1768" i="2"/>
  <c r="T1768" i="2"/>
  <c r="S1768" i="2"/>
  <c r="R1768" i="2"/>
  <c r="Q1768" i="2"/>
  <c r="P1768" i="2"/>
  <c r="O1768" i="2"/>
  <c r="N1768" i="2"/>
  <c r="K1768" i="2"/>
  <c r="J1768" i="2"/>
  <c r="I1768" i="2"/>
  <c r="H1768" i="2"/>
  <c r="G1768" i="2"/>
  <c r="F1768" i="2"/>
  <c r="E1768" i="2"/>
  <c r="D1768" i="2"/>
  <c r="C1768" i="2"/>
  <c r="B1768" i="2"/>
  <c r="A1768" i="2"/>
  <c r="AJ1767" i="2"/>
  <c r="AI1767" i="2"/>
  <c r="AH1767" i="2"/>
  <c r="AG1767" i="2"/>
  <c r="AF1767" i="2"/>
  <c r="AE1767" i="2"/>
  <c r="AD1767" i="2"/>
  <c r="AC1767" i="2"/>
  <c r="AB1767" i="2"/>
  <c r="AA1767" i="2"/>
  <c r="Z1767" i="2"/>
  <c r="Y1767" i="2"/>
  <c r="X1767" i="2"/>
  <c r="W1767" i="2"/>
  <c r="V1767" i="2"/>
  <c r="U1767" i="2"/>
  <c r="T1767" i="2"/>
  <c r="S1767" i="2"/>
  <c r="R1767" i="2"/>
  <c r="Q1767" i="2"/>
  <c r="P1767" i="2"/>
  <c r="O1767" i="2"/>
  <c r="N1767" i="2"/>
  <c r="K1767" i="2"/>
  <c r="J1767" i="2"/>
  <c r="I1767" i="2"/>
  <c r="H1767" i="2"/>
  <c r="G1767" i="2"/>
  <c r="F1767" i="2"/>
  <c r="E1767" i="2"/>
  <c r="D1767" i="2"/>
  <c r="C1767" i="2"/>
  <c r="B1767" i="2"/>
  <c r="A1767" i="2"/>
  <c r="AJ1766" i="2"/>
  <c r="AI1766" i="2"/>
  <c r="AH1766" i="2"/>
  <c r="AG1766" i="2"/>
  <c r="AF1766" i="2"/>
  <c r="AE1766" i="2"/>
  <c r="AD1766" i="2"/>
  <c r="AC1766" i="2"/>
  <c r="AB1766" i="2"/>
  <c r="AA1766" i="2"/>
  <c r="Z1766" i="2"/>
  <c r="Y1766" i="2"/>
  <c r="X1766" i="2"/>
  <c r="W1766" i="2"/>
  <c r="V1766" i="2"/>
  <c r="U1766" i="2"/>
  <c r="T1766" i="2"/>
  <c r="S1766" i="2"/>
  <c r="R1766" i="2"/>
  <c r="Q1766" i="2"/>
  <c r="P1766" i="2"/>
  <c r="O1766" i="2"/>
  <c r="N1766" i="2"/>
  <c r="K1766" i="2"/>
  <c r="J1766" i="2"/>
  <c r="I1766" i="2"/>
  <c r="H1766" i="2"/>
  <c r="G1766" i="2"/>
  <c r="F1766" i="2"/>
  <c r="E1766" i="2"/>
  <c r="D1766" i="2"/>
  <c r="C1766" i="2"/>
  <c r="B1766" i="2"/>
  <c r="A1766" i="2"/>
  <c r="AI1765" i="2"/>
  <c r="AH1765" i="2"/>
  <c r="AG1765" i="2"/>
  <c r="AF1765" i="2"/>
  <c r="AE1765" i="2"/>
  <c r="AD1765" i="2"/>
  <c r="AC1765" i="2"/>
  <c r="AB1765" i="2"/>
  <c r="AA1765" i="2"/>
  <c r="Z1765" i="2"/>
  <c r="Y1765" i="2"/>
  <c r="X1765" i="2"/>
  <c r="V1765" i="2"/>
  <c r="U1765" i="2"/>
  <c r="T1765" i="2"/>
  <c r="S1765" i="2"/>
  <c r="R1765" i="2"/>
  <c r="Q1765" i="2"/>
  <c r="P1765" i="2"/>
  <c r="O1765" i="2"/>
  <c r="N1765" i="2"/>
  <c r="K1765" i="2"/>
  <c r="J1765" i="2"/>
  <c r="I1765" i="2"/>
  <c r="H1765" i="2"/>
  <c r="G1765" i="2"/>
  <c r="F1765" i="2"/>
  <c r="E1765" i="2"/>
  <c r="D1765" i="2"/>
  <c r="C1765" i="2"/>
  <c r="B1765" i="2"/>
  <c r="A1765" i="2"/>
  <c r="AI1764" i="2"/>
  <c r="AH1764" i="2"/>
  <c r="AG1764" i="2"/>
  <c r="AF1764" i="2"/>
  <c r="AE1764" i="2"/>
  <c r="AD1764" i="2"/>
  <c r="AC1764" i="2"/>
  <c r="AB1764" i="2"/>
  <c r="AA1764" i="2"/>
  <c r="Z1764" i="2"/>
  <c r="Y1764" i="2"/>
  <c r="X1764" i="2"/>
  <c r="W1764" i="2"/>
  <c r="V1764" i="2"/>
  <c r="U1764" i="2"/>
  <c r="T1764" i="2"/>
  <c r="S1764" i="2"/>
  <c r="R1764" i="2"/>
  <c r="Q1764" i="2"/>
  <c r="P1764" i="2"/>
  <c r="O1764" i="2"/>
  <c r="N1764" i="2"/>
  <c r="K1764" i="2"/>
  <c r="J1764" i="2"/>
  <c r="I1764" i="2"/>
  <c r="H1764" i="2"/>
  <c r="G1764" i="2"/>
  <c r="F1764" i="2"/>
  <c r="E1764" i="2"/>
  <c r="D1764" i="2"/>
  <c r="C1764" i="2"/>
  <c r="B1764" i="2"/>
  <c r="A1764" i="2"/>
  <c r="AI1763" i="2"/>
  <c r="AH1763" i="2"/>
  <c r="AG1763" i="2"/>
  <c r="AF1763" i="2"/>
  <c r="AE1763" i="2"/>
  <c r="AD1763" i="2"/>
  <c r="AC1763" i="2"/>
  <c r="AB1763" i="2"/>
  <c r="AA1763" i="2"/>
  <c r="Z1763" i="2"/>
  <c r="Y1763" i="2"/>
  <c r="X1763" i="2"/>
  <c r="W1763" i="2"/>
  <c r="V1763" i="2"/>
  <c r="U1763" i="2"/>
  <c r="T1763" i="2"/>
  <c r="S1763" i="2"/>
  <c r="R1763" i="2"/>
  <c r="Q1763" i="2"/>
  <c r="P1763" i="2"/>
  <c r="O1763" i="2"/>
  <c r="N1763" i="2"/>
  <c r="K1763" i="2"/>
  <c r="J1763" i="2"/>
  <c r="I1763" i="2"/>
  <c r="H1763" i="2"/>
  <c r="G1763" i="2"/>
  <c r="F1763" i="2"/>
  <c r="E1763" i="2"/>
  <c r="D1763" i="2"/>
  <c r="C1763" i="2"/>
  <c r="B1763" i="2"/>
  <c r="A1763" i="2"/>
  <c r="AI1762" i="2"/>
  <c r="AH1762" i="2"/>
  <c r="AG1762" i="2"/>
  <c r="AF1762" i="2"/>
  <c r="AE1762" i="2"/>
  <c r="AD1762" i="2"/>
  <c r="AC1762" i="2"/>
  <c r="AB1762" i="2"/>
  <c r="AA1762" i="2"/>
  <c r="Z1762" i="2"/>
  <c r="Y1762" i="2"/>
  <c r="X1762" i="2"/>
  <c r="W1762" i="2"/>
  <c r="V1762" i="2"/>
  <c r="U1762" i="2"/>
  <c r="T1762" i="2"/>
  <c r="S1762" i="2"/>
  <c r="R1762" i="2"/>
  <c r="Q1762" i="2"/>
  <c r="P1762" i="2"/>
  <c r="O1762" i="2"/>
  <c r="N1762" i="2"/>
  <c r="K1762" i="2"/>
  <c r="J1762" i="2"/>
  <c r="I1762" i="2"/>
  <c r="H1762" i="2"/>
  <c r="G1762" i="2"/>
  <c r="F1762" i="2"/>
  <c r="E1762" i="2"/>
  <c r="D1762" i="2"/>
  <c r="C1762" i="2"/>
  <c r="B1762" i="2"/>
  <c r="A1762" i="2"/>
  <c r="AI1761" i="2"/>
  <c r="AH1761" i="2"/>
  <c r="AG1761" i="2"/>
  <c r="AF1761" i="2"/>
  <c r="AE1761" i="2"/>
  <c r="AD1761" i="2"/>
  <c r="AC1761" i="2"/>
  <c r="AB1761" i="2"/>
  <c r="AA1761" i="2"/>
  <c r="Z1761" i="2"/>
  <c r="Y1761" i="2"/>
  <c r="X1761" i="2"/>
  <c r="W1761" i="2"/>
  <c r="V1761" i="2"/>
  <c r="U1761" i="2"/>
  <c r="T1761" i="2"/>
  <c r="S1761" i="2"/>
  <c r="R1761" i="2"/>
  <c r="Q1761" i="2"/>
  <c r="P1761" i="2"/>
  <c r="O1761" i="2"/>
  <c r="N1761" i="2"/>
  <c r="K1761" i="2"/>
  <c r="J1761" i="2"/>
  <c r="I1761" i="2"/>
  <c r="H1761" i="2"/>
  <c r="G1761" i="2"/>
  <c r="F1761" i="2"/>
  <c r="E1761" i="2"/>
  <c r="D1761" i="2"/>
  <c r="C1761" i="2"/>
  <c r="B1761" i="2"/>
  <c r="A1761" i="2"/>
  <c r="AI1760" i="2"/>
  <c r="AH1760" i="2"/>
  <c r="AG1760" i="2"/>
  <c r="AF1760" i="2"/>
  <c r="AE1760" i="2"/>
  <c r="AD1760" i="2"/>
  <c r="AC1760" i="2"/>
  <c r="AB1760" i="2"/>
  <c r="AA1760" i="2"/>
  <c r="Z1760" i="2"/>
  <c r="Y1760" i="2"/>
  <c r="X1760" i="2"/>
  <c r="V1760" i="2"/>
  <c r="U1760" i="2"/>
  <c r="T1760" i="2"/>
  <c r="S1760" i="2"/>
  <c r="R1760" i="2"/>
  <c r="Q1760" i="2"/>
  <c r="P1760" i="2"/>
  <c r="O1760" i="2"/>
  <c r="N1760" i="2"/>
  <c r="K1760" i="2"/>
  <c r="J1760" i="2"/>
  <c r="I1760" i="2"/>
  <c r="H1760" i="2"/>
  <c r="G1760" i="2"/>
  <c r="F1760" i="2"/>
  <c r="E1760" i="2"/>
  <c r="D1760" i="2"/>
  <c r="C1760" i="2"/>
  <c r="B1760" i="2"/>
  <c r="A1760" i="2"/>
  <c r="AI1759" i="2"/>
  <c r="AH1759" i="2"/>
  <c r="AG1759" i="2"/>
  <c r="AF1759" i="2"/>
  <c r="AE1759" i="2"/>
  <c r="AD1759" i="2"/>
  <c r="AC1759" i="2"/>
  <c r="AB1759" i="2"/>
  <c r="AA1759" i="2"/>
  <c r="Z1759" i="2"/>
  <c r="Y1759" i="2"/>
  <c r="X1759" i="2"/>
  <c r="V1759" i="2"/>
  <c r="U1759" i="2"/>
  <c r="T1759" i="2"/>
  <c r="S1759" i="2"/>
  <c r="R1759" i="2"/>
  <c r="Q1759" i="2"/>
  <c r="P1759" i="2"/>
  <c r="O1759" i="2"/>
  <c r="N1759" i="2"/>
  <c r="K1759" i="2"/>
  <c r="J1759" i="2"/>
  <c r="I1759" i="2"/>
  <c r="H1759" i="2"/>
  <c r="G1759" i="2"/>
  <c r="F1759" i="2"/>
  <c r="E1759" i="2"/>
  <c r="D1759" i="2"/>
  <c r="C1759" i="2"/>
  <c r="B1759" i="2"/>
  <c r="A1759" i="2"/>
  <c r="AI1758" i="2"/>
  <c r="AH1758" i="2"/>
  <c r="AG1758" i="2"/>
  <c r="AF1758" i="2"/>
  <c r="AE1758" i="2"/>
  <c r="AD1758" i="2"/>
  <c r="AC1758" i="2"/>
  <c r="AB1758" i="2"/>
  <c r="AA1758" i="2"/>
  <c r="Z1758" i="2"/>
  <c r="Y1758" i="2"/>
  <c r="X1758" i="2"/>
  <c r="W1758" i="2"/>
  <c r="V1758" i="2"/>
  <c r="U1758" i="2"/>
  <c r="T1758" i="2"/>
  <c r="S1758" i="2"/>
  <c r="R1758" i="2"/>
  <c r="Q1758" i="2"/>
  <c r="P1758" i="2"/>
  <c r="O1758" i="2"/>
  <c r="N1758" i="2"/>
  <c r="K1758" i="2"/>
  <c r="J1758" i="2"/>
  <c r="I1758" i="2"/>
  <c r="H1758" i="2"/>
  <c r="G1758" i="2"/>
  <c r="F1758" i="2"/>
  <c r="E1758" i="2"/>
  <c r="D1758" i="2"/>
  <c r="C1758" i="2"/>
  <c r="B1758" i="2"/>
  <c r="A1758" i="2"/>
  <c r="AI1757" i="2"/>
  <c r="AH1757" i="2"/>
  <c r="AG1757" i="2"/>
  <c r="AF1757" i="2"/>
  <c r="AE1757" i="2"/>
  <c r="AD1757" i="2"/>
  <c r="AC1757" i="2"/>
  <c r="AB1757" i="2"/>
  <c r="AA1757" i="2"/>
  <c r="Z1757" i="2"/>
  <c r="Y1757" i="2"/>
  <c r="X1757" i="2"/>
  <c r="W1757" i="2"/>
  <c r="V1757" i="2"/>
  <c r="U1757" i="2"/>
  <c r="T1757" i="2"/>
  <c r="S1757" i="2"/>
  <c r="R1757" i="2"/>
  <c r="Q1757" i="2"/>
  <c r="P1757" i="2"/>
  <c r="O1757" i="2"/>
  <c r="N1757" i="2"/>
  <c r="K1757" i="2"/>
  <c r="J1757" i="2"/>
  <c r="I1757" i="2"/>
  <c r="H1757" i="2"/>
  <c r="G1757" i="2"/>
  <c r="F1757" i="2"/>
  <c r="E1757" i="2"/>
  <c r="D1757" i="2"/>
  <c r="C1757" i="2"/>
  <c r="B1757" i="2"/>
  <c r="A1757" i="2"/>
  <c r="AI1756" i="2"/>
  <c r="AG1756" i="2"/>
  <c r="AF1756" i="2"/>
  <c r="AE1756" i="2"/>
  <c r="AD1756" i="2"/>
  <c r="AC1756" i="2"/>
  <c r="AB1756" i="2"/>
  <c r="AA1756" i="2"/>
  <c r="Z1756" i="2"/>
  <c r="Y1756" i="2"/>
  <c r="V1756" i="2"/>
  <c r="U1756" i="2"/>
  <c r="T1756" i="2"/>
  <c r="S1756" i="2"/>
  <c r="R1756" i="2"/>
  <c r="Q1756" i="2"/>
  <c r="P1756" i="2"/>
  <c r="O1756" i="2"/>
  <c r="N1756" i="2"/>
  <c r="K1756" i="2"/>
  <c r="J1756" i="2"/>
  <c r="I1756" i="2"/>
  <c r="H1756" i="2"/>
  <c r="G1756" i="2"/>
  <c r="F1756" i="2"/>
  <c r="E1756" i="2"/>
  <c r="D1756" i="2"/>
  <c r="C1756" i="2"/>
  <c r="B1756" i="2"/>
  <c r="A1756" i="2"/>
  <c r="AJ1755" i="2"/>
  <c r="AI1755" i="2"/>
  <c r="AH1755" i="2"/>
  <c r="AG1755" i="2"/>
  <c r="AF1755" i="2"/>
  <c r="AE1755" i="2"/>
  <c r="AD1755" i="2"/>
  <c r="AC1755" i="2"/>
  <c r="AB1755" i="2"/>
  <c r="AA1755" i="2"/>
  <c r="Z1755" i="2"/>
  <c r="Y1755" i="2"/>
  <c r="U1755" i="2"/>
  <c r="T1755" i="2"/>
  <c r="S1755" i="2"/>
  <c r="R1755" i="2"/>
  <c r="Q1755" i="2"/>
  <c r="P1755" i="2"/>
  <c r="O1755" i="2"/>
  <c r="N1755" i="2"/>
  <c r="K1755" i="2"/>
  <c r="J1755" i="2"/>
  <c r="I1755" i="2"/>
  <c r="H1755" i="2"/>
  <c r="G1755" i="2"/>
  <c r="F1755" i="2"/>
  <c r="E1755" i="2"/>
  <c r="D1755" i="2"/>
  <c r="C1755" i="2"/>
  <c r="B1755" i="2"/>
  <c r="A1755" i="2"/>
  <c r="AI1754" i="2"/>
  <c r="AH1754" i="2"/>
  <c r="AG1754" i="2"/>
  <c r="AF1754" i="2"/>
  <c r="AE1754" i="2"/>
  <c r="AD1754" i="2"/>
  <c r="AC1754" i="2"/>
  <c r="AB1754" i="2"/>
  <c r="AA1754" i="2"/>
  <c r="Z1754" i="2"/>
  <c r="Y1754" i="2"/>
  <c r="X1754" i="2"/>
  <c r="W1754" i="2"/>
  <c r="V1754" i="2"/>
  <c r="U1754" i="2"/>
  <c r="T1754" i="2"/>
  <c r="S1754" i="2"/>
  <c r="R1754" i="2"/>
  <c r="Q1754" i="2"/>
  <c r="P1754" i="2"/>
  <c r="O1754" i="2"/>
  <c r="N1754" i="2"/>
  <c r="K1754" i="2"/>
  <c r="J1754" i="2"/>
  <c r="I1754" i="2"/>
  <c r="H1754" i="2"/>
  <c r="G1754" i="2"/>
  <c r="F1754" i="2"/>
  <c r="E1754" i="2"/>
  <c r="D1754" i="2"/>
  <c r="C1754" i="2"/>
  <c r="B1754" i="2"/>
  <c r="A1754" i="2"/>
  <c r="AI1753" i="2"/>
  <c r="AH1753" i="2"/>
  <c r="AG1753" i="2"/>
  <c r="AF1753" i="2"/>
  <c r="AE1753" i="2"/>
  <c r="AD1753" i="2"/>
  <c r="AC1753" i="2"/>
  <c r="AB1753" i="2"/>
  <c r="AA1753" i="2"/>
  <c r="Z1753" i="2"/>
  <c r="Y1753" i="2"/>
  <c r="X1753" i="2"/>
  <c r="V1753" i="2"/>
  <c r="U1753" i="2"/>
  <c r="T1753" i="2"/>
  <c r="S1753" i="2"/>
  <c r="R1753" i="2"/>
  <c r="Q1753" i="2"/>
  <c r="P1753" i="2"/>
  <c r="O1753" i="2"/>
  <c r="N1753" i="2"/>
  <c r="K1753" i="2"/>
  <c r="J1753" i="2"/>
  <c r="I1753" i="2"/>
  <c r="H1753" i="2"/>
  <c r="G1753" i="2"/>
  <c r="F1753" i="2"/>
  <c r="E1753" i="2"/>
  <c r="D1753" i="2"/>
  <c r="C1753" i="2"/>
  <c r="B1753" i="2"/>
  <c r="A1753" i="2"/>
  <c r="AJ1752" i="2"/>
  <c r="AI1752" i="2"/>
  <c r="AH1752" i="2"/>
  <c r="AG1752" i="2"/>
  <c r="AF1752" i="2"/>
  <c r="AE1752" i="2"/>
  <c r="AD1752" i="2"/>
  <c r="AC1752" i="2"/>
  <c r="AB1752" i="2"/>
  <c r="AA1752" i="2"/>
  <c r="Z1752" i="2"/>
  <c r="Y1752" i="2"/>
  <c r="X1752" i="2"/>
  <c r="W1752" i="2"/>
  <c r="V1752" i="2"/>
  <c r="U1752" i="2"/>
  <c r="T1752" i="2"/>
  <c r="S1752" i="2"/>
  <c r="R1752" i="2"/>
  <c r="Q1752" i="2"/>
  <c r="P1752" i="2"/>
  <c r="O1752" i="2"/>
  <c r="N1752" i="2"/>
  <c r="M1752" i="2"/>
  <c r="L1752" i="2"/>
  <c r="K1752" i="2"/>
  <c r="J1752" i="2"/>
  <c r="I1752" i="2"/>
  <c r="H1752" i="2"/>
  <c r="G1752" i="2"/>
  <c r="F1752" i="2"/>
  <c r="E1752" i="2"/>
  <c r="D1752" i="2"/>
  <c r="C1752" i="2"/>
  <c r="B1752" i="2"/>
  <c r="A1752" i="2"/>
  <c r="AJ1751" i="2"/>
  <c r="AI1751" i="2"/>
  <c r="AH1751" i="2"/>
  <c r="AG1751" i="2"/>
  <c r="AF1751" i="2"/>
  <c r="AE1751" i="2"/>
  <c r="AD1751" i="2"/>
  <c r="AC1751" i="2"/>
  <c r="AB1751" i="2"/>
  <c r="AA1751" i="2"/>
  <c r="Z1751" i="2"/>
  <c r="Y1751" i="2"/>
  <c r="X1751" i="2"/>
  <c r="W1751" i="2"/>
  <c r="V1751" i="2"/>
  <c r="U1751" i="2"/>
  <c r="T1751" i="2"/>
  <c r="S1751" i="2"/>
  <c r="R1751" i="2"/>
  <c r="Q1751" i="2"/>
  <c r="P1751" i="2"/>
  <c r="O1751" i="2"/>
  <c r="N1751" i="2"/>
  <c r="K1751" i="2"/>
  <c r="J1751" i="2"/>
  <c r="I1751" i="2"/>
  <c r="H1751" i="2"/>
  <c r="G1751" i="2"/>
  <c r="F1751" i="2"/>
  <c r="E1751" i="2"/>
  <c r="D1751" i="2"/>
  <c r="C1751" i="2"/>
  <c r="B1751" i="2"/>
  <c r="A1751" i="2"/>
  <c r="AI1750" i="2"/>
  <c r="AH1750" i="2"/>
  <c r="AG1750" i="2"/>
  <c r="AF1750" i="2"/>
  <c r="AE1750" i="2"/>
  <c r="AD1750" i="2"/>
  <c r="AC1750" i="2"/>
  <c r="AB1750" i="2"/>
  <c r="AA1750" i="2"/>
  <c r="Z1750" i="2"/>
  <c r="Y1750" i="2"/>
  <c r="X1750" i="2"/>
  <c r="W1750" i="2"/>
  <c r="V1750" i="2"/>
  <c r="U1750" i="2"/>
  <c r="T1750" i="2"/>
  <c r="S1750" i="2"/>
  <c r="R1750" i="2"/>
  <c r="Q1750" i="2"/>
  <c r="P1750" i="2"/>
  <c r="O1750" i="2"/>
  <c r="N1750" i="2"/>
  <c r="K1750" i="2"/>
  <c r="J1750" i="2"/>
  <c r="I1750" i="2"/>
  <c r="H1750" i="2"/>
  <c r="G1750" i="2"/>
  <c r="F1750" i="2"/>
  <c r="E1750" i="2"/>
  <c r="D1750" i="2"/>
  <c r="C1750" i="2"/>
  <c r="B1750" i="2"/>
  <c r="A1750" i="2"/>
  <c r="AI1749" i="2"/>
  <c r="AH1749" i="2"/>
  <c r="AF1749" i="2"/>
  <c r="AE1749" i="2"/>
  <c r="AD1749" i="2"/>
  <c r="AC1749" i="2"/>
  <c r="AB1749" i="2"/>
  <c r="AA1749" i="2"/>
  <c r="Z1749" i="2"/>
  <c r="Y1749" i="2"/>
  <c r="X1749" i="2"/>
  <c r="U1749" i="2"/>
  <c r="T1749" i="2"/>
  <c r="S1749" i="2"/>
  <c r="R1749" i="2"/>
  <c r="Q1749" i="2"/>
  <c r="P1749" i="2"/>
  <c r="O1749" i="2"/>
  <c r="N1749" i="2"/>
  <c r="K1749" i="2"/>
  <c r="J1749" i="2"/>
  <c r="I1749" i="2"/>
  <c r="H1749" i="2"/>
  <c r="G1749" i="2"/>
  <c r="F1749" i="2"/>
  <c r="E1749" i="2"/>
  <c r="D1749" i="2"/>
  <c r="C1749" i="2"/>
  <c r="B1749" i="2"/>
  <c r="A1749" i="2"/>
  <c r="AI1748" i="2"/>
  <c r="AH1748" i="2"/>
  <c r="AG1748" i="2"/>
  <c r="AF1748" i="2"/>
  <c r="AE1748" i="2"/>
  <c r="AD1748" i="2"/>
  <c r="AC1748" i="2"/>
  <c r="AB1748" i="2"/>
  <c r="AA1748" i="2"/>
  <c r="Z1748" i="2"/>
  <c r="Y1748" i="2"/>
  <c r="U1748" i="2"/>
  <c r="T1748" i="2"/>
  <c r="S1748" i="2"/>
  <c r="R1748" i="2"/>
  <c r="Q1748" i="2"/>
  <c r="P1748" i="2"/>
  <c r="O1748" i="2"/>
  <c r="N1748" i="2"/>
  <c r="K1748" i="2"/>
  <c r="J1748" i="2"/>
  <c r="I1748" i="2"/>
  <c r="H1748" i="2"/>
  <c r="G1748" i="2"/>
  <c r="F1748" i="2"/>
  <c r="E1748" i="2"/>
  <c r="D1748" i="2"/>
  <c r="C1748" i="2"/>
  <c r="B1748" i="2"/>
  <c r="A1748" i="2"/>
  <c r="AJ1747" i="2"/>
  <c r="AH1747" i="2"/>
  <c r="AG1747" i="2"/>
  <c r="AF1747" i="2"/>
  <c r="AE1747" i="2"/>
  <c r="AD1747" i="2"/>
  <c r="AC1747" i="2"/>
  <c r="AB1747" i="2"/>
  <c r="AA1747" i="2"/>
  <c r="Z1747" i="2"/>
  <c r="Y1747" i="2"/>
  <c r="X1747" i="2"/>
  <c r="W1747" i="2"/>
  <c r="V1747" i="2"/>
  <c r="U1747" i="2"/>
  <c r="T1747" i="2"/>
  <c r="S1747" i="2"/>
  <c r="R1747" i="2"/>
  <c r="Q1747" i="2"/>
  <c r="P1747" i="2"/>
  <c r="O1747" i="2"/>
  <c r="N1747" i="2"/>
  <c r="K1747" i="2"/>
  <c r="J1747" i="2"/>
  <c r="I1747" i="2"/>
  <c r="H1747" i="2"/>
  <c r="G1747" i="2"/>
  <c r="F1747" i="2"/>
  <c r="E1747" i="2"/>
  <c r="D1747" i="2"/>
  <c r="C1747" i="2"/>
  <c r="B1747" i="2"/>
  <c r="A1747" i="2"/>
  <c r="AI1746" i="2"/>
  <c r="AH1746" i="2"/>
  <c r="AG1746" i="2"/>
  <c r="AF1746" i="2"/>
  <c r="AE1746" i="2"/>
  <c r="AD1746" i="2"/>
  <c r="AC1746" i="2"/>
  <c r="AB1746" i="2"/>
  <c r="AA1746" i="2"/>
  <c r="Z1746" i="2"/>
  <c r="Y1746" i="2"/>
  <c r="X1746" i="2"/>
  <c r="V1746" i="2"/>
  <c r="U1746" i="2"/>
  <c r="T1746" i="2"/>
  <c r="S1746" i="2"/>
  <c r="R1746" i="2"/>
  <c r="Q1746" i="2"/>
  <c r="P1746" i="2"/>
  <c r="O1746" i="2"/>
  <c r="N1746" i="2"/>
  <c r="K1746" i="2"/>
  <c r="J1746" i="2"/>
  <c r="I1746" i="2"/>
  <c r="H1746" i="2"/>
  <c r="G1746" i="2"/>
  <c r="F1746" i="2"/>
  <c r="E1746" i="2"/>
  <c r="D1746" i="2"/>
  <c r="C1746" i="2"/>
  <c r="B1746" i="2"/>
  <c r="A1746" i="2"/>
  <c r="AI1745" i="2"/>
  <c r="AH1745" i="2"/>
  <c r="AG1745" i="2"/>
  <c r="AF1745" i="2"/>
  <c r="AE1745" i="2"/>
  <c r="AD1745" i="2"/>
  <c r="AC1745" i="2"/>
  <c r="AB1745" i="2"/>
  <c r="AA1745" i="2"/>
  <c r="Z1745" i="2"/>
  <c r="Y1745" i="2"/>
  <c r="X1745" i="2"/>
  <c r="V1745" i="2"/>
  <c r="U1745" i="2"/>
  <c r="T1745" i="2"/>
  <c r="S1745" i="2"/>
  <c r="R1745" i="2"/>
  <c r="Q1745" i="2"/>
  <c r="P1745" i="2"/>
  <c r="O1745" i="2"/>
  <c r="N1745" i="2"/>
  <c r="K1745" i="2"/>
  <c r="J1745" i="2"/>
  <c r="I1745" i="2"/>
  <c r="H1745" i="2"/>
  <c r="G1745" i="2"/>
  <c r="F1745" i="2"/>
  <c r="E1745" i="2"/>
  <c r="D1745" i="2"/>
  <c r="C1745" i="2"/>
  <c r="B1745" i="2"/>
  <c r="A1745" i="2"/>
  <c r="AJ1744" i="2"/>
  <c r="AH1744" i="2"/>
  <c r="AG1744" i="2"/>
  <c r="AF1744" i="2"/>
  <c r="AE1744" i="2"/>
  <c r="AD1744" i="2"/>
  <c r="AC1744" i="2"/>
  <c r="AB1744" i="2"/>
  <c r="AA1744" i="2"/>
  <c r="Z1744" i="2"/>
  <c r="Y1744" i="2"/>
  <c r="X1744" i="2"/>
  <c r="W1744" i="2"/>
  <c r="V1744" i="2"/>
  <c r="U1744" i="2"/>
  <c r="T1744" i="2"/>
  <c r="S1744" i="2"/>
  <c r="R1744" i="2"/>
  <c r="Q1744" i="2"/>
  <c r="P1744" i="2"/>
  <c r="O1744" i="2"/>
  <c r="N1744" i="2"/>
  <c r="K1744" i="2"/>
  <c r="J1744" i="2"/>
  <c r="I1744" i="2"/>
  <c r="H1744" i="2"/>
  <c r="G1744" i="2"/>
  <c r="F1744" i="2"/>
  <c r="E1744" i="2"/>
  <c r="D1744" i="2"/>
  <c r="C1744" i="2"/>
  <c r="B1744" i="2"/>
  <c r="A1744" i="2"/>
  <c r="AI1743" i="2"/>
  <c r="AH1743" i="2"/>
  <c r="AG1743" i="2"/>
  <c r="AF1743" i="2"/>
  <c r="AE1743" i="2"/>
  <c r="AD1743" i="2"/>
  <c r="AC1743" i="2"/>
  <c r="AB1743" i="2"/>
  <c r="AA1743" i="2"/>
  <c r="Z1743" i="2"/>
  <c r="Y1743" i="2"/>
  <c r="X1743" i="2"/>
  <c r="W1743" i="2"/>
  <c r="V1743" i="2"/>
  <c r="U1743" i="2"/>
  <c r="T1743" i="2"/>
  <c r="S1743" i="2"/>
  <c r="R1743" i="2"/>
  <c r="Q1743" i="2"/>
  <c r="P1743" i="2"/>
  <c r="O1743" i="2"/>
  <c r="N1743" i="2"/>
  <c r="K1743" i="2"/>
  <c r="J1743" i="2"/>
  <c r="I1743" i="2"/>
  <c r="H1743" i="2"/>
  <c r="G1743" i="2"/>
  <c r="F1743" i="2"/>
  <c r="E1743" i="2"/>
  <c r="D1743" i="2"/>
  <c r="C1743" i="2"/>
  <c r="B1743" i="2"/>
  <c r="A1743" i="2"/>
  <c r="AI1742" i="2"/>
  <c r="AH1742" i="2"/>
  <c r="AG1742" i="2"/>
  <c r="AF1742" i="2"/>
  <c r="AE1742" i="2"/>
  <c r="AD1742" i="2"/>
  <c r="AC1742" i="2"/>
  <c r="AB1742" i="2"/>
  <c r="AA1742" i="2"/>
  <c r="Z1742" i="2"/>
  <c r="Y1742" i="2"/>
  <c r="X1742" i="2"/>
  <c r="W1742" i="2"/>
  <c r="V1742" i="2"/>
  <c r="U1742" i="2"/>
  <c r="T1742" i="2"/>
  <c r="S1742" i="2"/>
  <c r="R1742" i="2"/>
  <c r="Q1742" i="2"/>
  <c r="P1742" i="2"/>
  <c r="O1742" i="2"/>
  <c r="N1742" i="2"/>
  <c r="K1742" i="2"/>
  <c r="J1742" i="2"/>
  <c r="I1742" i="2"/>
  <c r="H1742" i="2"/>
  <c r="G1742" i="2"/>
  <c r="F1742" i="2"/>
  <c r="E1742" i="2"/>
  <c r="D1742" i="2"/>
  <c r="C1742" i="2"/>
  <c r="B1742" i="2"/>
  <c r="A1742" i="2"/>
  <c r="AI1741" i="2"/>
  <c r="AH1741" i="2"/>
  <c r="AG1741" i="2"/>
  <c r="AF1741" i="2"/>
  <c r="AE1741" i="2"/>
  <c r="AD1741" i="2"/>
  <c r="AC1741" i="2"/>
  <c r="AB1741" i="2"/>
  <c r="AA1741" i="2"/>
  <c r="Z1741" i="2"/>
  <c r="Y1741" i="2"/>
  <c r="X1741" i="2"/>
  <c r="W1741" i="2"/>
  <c r="V1741" i="2"/>
  <c r="U1741" i="2"/>
  <c r="T1741" i="2"/>
  <c r="S1741" i="2"/>
  <c r="R1741" i="2"/>
  <c r="Q1741" i="2"/>
  <c r="P1741" i="2"/>
  <c r="O1741" i="2"/>
  <c r="N1741" i="2"/>
  <c r="K1741" i="2"/>
  <c r="J1741" i="2"/>
  <c r="I1741" i="2"/>
  <c r="H1741" i="2"/>
  <c r="G1741" i="2"/>
  <c r="F1741" i="2"/>
  <c r="E1741" i="2"/>
  <c r="D1741" i="2"/>
  <c r="C1741" i="2"/>
  <c r="B1741" i="2"/>
  <c r="A1741" i="2"/>
  <c r="AI1740" i="2"/>
  <c r="AH1740" i="2"/>
  <c r="AG1740" i="2"/>
  <c r="AF1740" i="2"/>
  <c r="AE1740" i="2"/>
  <c r="AD1740" i="2"/>
  <c r="AC1740" i="2"/>
  <c r="AB1740" i="2"/>
  <c r="AA1740" i="2"/>
  <c r="Z1740" i="2"/>
  <c r="Y1740" i="2"/>
  <c r="X1740" i="2"/>
  <c r="W1740" i="2"/>
  <c r="V1740" i="2"/>
  <c r="U1740" i="2"/>
  <c r="T1740" i="2"/>
  <c r="S1740" i="2"/>
  <c r="R1740" i="2"/>
  <c r="Q1740" i="2"/>
  <c r="P1740" i="2"/>
  <c r="O1740" i="2"/>
  <c r="N1740" i="2"/>
  <c r="K1740" i="2"/>
  <c r="J1740" i="2"/>
  <c r="I1740" i="2"/>
  <c r="H1740" i="2"/>
  <c r="G1740" i="2"/>
  <c r="F1740" i="2"/>
  <c r="E1740" i="2"/>
  <c r="D1740" i="2"/>
  <c r="C1740" i="2"/>
  <c r="B1740" i="2"/>
  <c r="A1740" i="2"/>
  <c r="AI1739" i="2"/>
  <c r="AH1739" i="2"/>
  <c r="AG1739" i="2"/>
  <c r="AF1739" i="2"/>
  <c r="AE1739" i="2"/>
  <c r="AD1739" i="2"/>
  <c r="AC1739" i="2"/>
  <c r="AB1739" i="2"/>
  <c r="AA1739" i="2"/>
  <c r="Z1739" i="2"/>
  <c r="Y1739" i="2"/>
  <c r="X1739" i="2"/>
  <c r="V1739" i="2"/>
  <c r="U1739" i="2"/>
  <c r="T1739" i="2"/>
  <c r="S1739" i="2"/>
  <c r="R1739" i="2"/>
  <c r="Q1739" i="2"/>
  <c r="P1739" i="2"/>
  <c r="O1739" i="2"/>
  <c r="N1739" i="2"/>
  <c r="K1739" i="2"/>
  <c r="J1739" i="2"/>
  <c r="I1739" i="2"/>
  <c r="H1739" i="2"/>
  <c r="G1739" i="2"/>
  <c r="F1739" i="2"/>
  <c r="E1739" i="2"/>
  <c r="D1739" i="2"/>
  <c r="C1739" i="2"/>
  <c r="B1739" i="2"/>
  <c r="A1739" i="2"/>
  <c r="AJ1738" i="2"/>
  <c r="AI1738" i="2"/>
  <c r="AH1738" i="2"/>
  <c r="AF1738" i="2"/>
  <c r="AE1738" i="2"/>
  <c r="AD1738" i="2"/>
  <c r="AC1738" i="2"/>
  <c r="AB1738" i="2"/>
  <c r="AA1738" i="2"/>
  <c r="Z1738" i="2"/>
  <c r="Y1738" i="2"/>
  <c r="V1738" i="2"/>
  <c r="U1738" i="2"/>
  <c r="T1738" i="2"/>
  <c r="S1738" i="2"/>
  <c r="R1738" i="2"/>
  <c r="Q1738" i="2"/>
  <c r="P1738" i="2"/>
  <c r="O1738" i="2"/>
  <c r="N1738" i="2"/>
  <c r="K1738" i="2"/>
  <c r="J1738" i="2"/>
  <c r="I1738" i="2"/>
  <c r="H1738" i="2"/>
  <c r="G1738" i="2"/>
  <c r="F1738" i="2"/>
  <c r="E1738" i="2"/>
  <c r="D1738" i="2"/>
  <c r="C1738" i="2"/>
  <c r="B1738" i="2"/>
  <c r="A1738" i="2"/>
  <c r="AI1737" i="2"/>
  <c r="AH1737" i="2"/>
  <c r="AG1737" i="2"/>
  <c r="AF1737" i="2"/>
  <c r="AE1737" i="2"/>
  <c r="AD1737" i="2"/>
  <c r="AC1737" i="2"/>
  <c r="AB1737" i="2"/>
  <c r="AA1737" i="2"/>
  <c r="Z1737" i="2"/>
  <c r="Y1737" i="2"/>
  <c r="X1737" i="2"/>
  <c r="W1737" i="2"/>
  <c r="V1737" i="2"/>
  <c r="U1737" i="2"/>
  <c r="T1737" i="2"/>
  <c r="S1737" i="2"/>
  <c r="R1737" i="2"/>
  <c r="Q1737" i="2"/>
  <c r="P1737" i="2"/>
  <c r="O1737" i="2"/>
  <c r="N1737" i="2"/>
  <c r="K1737" i="2"/>
  <c r="J1737" i="2"/>
  <c r="I1737" i="2"/>
  <c r="H1737" i="2"/>
  <c r="G1737" i="2"/>
  <c r="F1737" i="2"/>
  <c r="E1737" i="2"/>
  <c r="D1737" i="2"/>
  <c r="C1737" i="2"/>
  <c r="B1737" i="2"/>
  <c r="A1737" i="2"/>
  <c r="AI1736" i="2"/>
  <c r="AH1736" i="2"/>
  <c r="AG1736" i="2"/>
  <c r="AF1736" i="2"/>
  <c r="AE1736" i="2"/>
  <c r="AD1736" i="2"/>
  <c r="AC1736" i="2"/>
  <c r="AB1736" i="2"/>
  <c r="AA1736" i="2"/>
  <c r="Z1736" i="2"/>
  <c r="Y1736" i="2"/>
  <c r="X1736" i="2"/>
  <c r="V1736" i="2"/>
  <c r="U1736" i="2"/>
  <c r="T1736" i="2"/>
  <c r="S1736" i="2"/>
  <c r="R1736" i="2"/>
  <c r="Q1736" i="2"/>
  <c r="P1736" i="2"/>
  <c r="O1736" i="2"/>
  <c r="N1736" i="2"/>
  <c r="K1736" i="2"/>
  <c r="J1736" i="2"/>
  <c r="I1736" i="2"/>
  <c r="H1736" i="2"/>
  <c r="G1736" i="2"/>
  <c r="F1736" i="2"/>
  <c r="E1736" i="2"/>
  <c r="D1736" i="2"/>
  <c r="C1736" i="2"/>
  <c r="B1736" i="2"/>
  <c r="A1736" i="2"/>
  <c r="AJ1735" i="2"/>
  <c r="AI1735" i="2"/>
  <c r="AH1735" i="2"/>
  <c r="AG1735" i="2"/>
  <c r="AF1735" i="2"/>
  <c r="AE1735" i="2"/>
  <c r="AD1735" i="2"/>
  <c r="AC1735" i="2"/>
  <c r="AB1735" i="2"/>
  <c r="AA1735" i="2"/>
  <c r="Z1735" i="2"/>
  <c r="Y1735" i="2"/>
  <c r="W1735" i="2"/>
  <c r="V1735" i="2"/>
  <c r="U1735" i="2"/>
  <c r="T1735" i="2"/>
  <c r="S1735" i="2"/>
  <c r="R1735" i="2"/>
  <c r="Q1735" i="2"/>
  <c r="P1735" i="2"/>
  <c r="O1735" i="2"/>
  <c r="N1735" i="2"/>
  <c r="K1735" i="2"/>
  <c r="J1735" i="2"/>
  <c r="I1735" i="2"/>
  <c r="H1735" i="2"/>
  <c r="G1735" i="2"/>
  <c r="F1735" i="2"/>
  <c r="E1735" i="2"/>
  <c r="D1735" i="2"/>
  <c r="C1735" i="2"/>
  <c r="B1735" i="2"/>
  <c r="A1735" i="2"/>
  <c r="AI1734" i="2"/>
  <c r="AH1734" i="2"/>
  <c r="AG1734" i="2"/>
  <c r="AF1734" i="2"/>
  <c r="AE1734" i="2"/>
  <c r="AD1734" i="2"/>
  <c r="AC1734" i="2"/>
  <c r="AB1734" i="2"/>
  <c r="AA1734" i="2"/>
  <c r="Z1734" i="2"/>
  <c r="Y1734" i="2"/>
  <c r="X1734" i="2"/>
  <c r="W1734" i="2"/>
  <c r="V1734" i="2"/>
  <c r="U1734" i="2"/>
  <c r="T1734" i="2"/>
  <c r="S1734" i="2"/>
  <c r="R1734" i="2"/>
  <c r="Q1734" i="2"/>
  <c r="P1734" i="2"/>
  <c r="O1734" i="2"/>
  <c r="N1734" i="2"/>
  <c r="K1734" i="2"/>
  <c r="J1734" i="2"/>
  <c r="I1734" i="2"/>
  <c r="H1734" i="2"/>
  <c r="G1734" i="2"/>
  <c r="F1734" i="2"/>
  <c r="E1734" i="2"/>
  <c r="D1734" i="2"/>
  <c r="C1734" i="2"/>
  <c r="B1734" i="2"/>
  <c r="A1734" i="2"/>
  <c r="AI1733" i="2"/>
  <c r="AH1733" i="2"/>
  <c r="AG1733" i="2"/>
  <c r="AF1733" i="2"/>
  <c r="AE1733" i="2"/>
  <c r="AD1733" i="2"/>
  <c r="AC1733" i="2"/>
  <c r="AB1733" i="2"/>
  <c r="AA1733" i="2"/>
  <c r="Z1733" i="2"/>
  <c r="Y1733" i="2"/>
  <c r="X1733" i="2"/>
  <c r="W1733" i="2"/>
  <c r="V1733" i="2"/>
  <c r="U1733" i="2"/>
  <c r="T1733" i="2"/>
  <c r="S1733" i="2"/>
  <c r="R1733" i="2"/>
  <c r="Q1733" i="2"/>
  <c r="P1733" i="2"/>
  <c r="O1733" i="2"/>
  <c r="N1733" i="2"/>
  <c r="K1733" i="2"/>
  <c r="J1733" i="2"/>
  <c r="I1733" i="2"/>
  <c r="H1733" i="2"/>
  <c r="G1733" i="2"/>
  <c r="F1733" i="2"/>
  <c r="E1733" i="2"/>
  <c r="D1733" i="2"/>
  <c r="C1733" i="2"/>
  <c r="B1733" i="2"/>
  <c r="A1733" i="2"/>
  <c r="AI1732" i="2"/>
  <c r="AH1732" i="2"/>
  <c r="AG1732" i="2"/>
  <c r="AF1732" i="2"/>
  <c r="AE1732" i="2"/>
  <c r="AD1732" i="2"/>
  <c r="AC1732" i="2"/>
  <c r="AB1732" i="2"/>
  <c r="AA1732" i="2"/>
  <c r="Z1732" i="2"/>
  <c r="Y1732" i="2"/>
  <c r="W1732" i="2"/>
  <c r="V1732" i="2"/>
  <c r="U1732" i="2"/>
  <c r="T1732" i="2"/>
  <c r="S1732" i="2"/>
  <c r="R1732" i="2"/>
  <c r="Q1732" i="2"/>
  <c r="P1732" i="2"/>
  <c r="O1732" i="2"/>
  <c r="N1732" i="2"/>
  <c r="K1732" i="2"/>
  <c r="J1732" i="2"/>
  <c r="I1732" i="2"/>
  <c r="H1732" i="2"/>
  <c r="G1732" i="2"/>
  <c r="F1732" i="2"/>
  <c r="E1732" i="2"/>
  <c r="D1732" i="2"/>
  <c r="C1732" i="2"/>
  <c r="B1732" i="2"/>
  <c r="A1732" i="2"/>
  <c r="AJ1731" i="2"/>
  <c r="AI1731" i="2"/>
  <c r="AH1731" i="2"/>
  <c r="AG1731" i="2"/>
  <c r="AF1731" i="2"/>
  <c r="AE1731" i="2"/>
  <c r="AD1731" i="2"/>
  <c r="AC1731" i="2"/>
  <c r="AB1731" i="2"/>
  <c r="AA1731" i="2"/>
  <c r="Z1731" i="2"/>
  <c r="Y1731" i="2"/>
  <c r="V1731" i="2"/>
  <c r="U1731" i="2"/>
  <c r="T1731" i="2"/>
  <c r="S1731" i="2"/>
  <c r="R1731" i="2"/>
  <c r="Q1731" i="2"/>
  <c r="P1731" i="2"/>
  <c r="O1731" i="2"/>
  <c r="N1731" i="2"/>
  <c r="K1731" i="2"/>
  <c r="J1731" i="2"/>
  <c r="I1731" i="2"/>
  <c r="H1731" i="2"/>
  <c r="G1731" i="2"/>
  <c r="F1731" i="2"/>
  <c r="E1731" i="2"/>
  <c r="D1731" i="2"/>
  <c r="C1731" i="2"/>
  <c r="B1731" i="2"/>
  <c r="A1731" i="2"/>
  <c r="AI1730" i="2"/>
  <c r="AH1730" i="2"/>
  <c r="AG1730" i="2"/>
  <c r="AF1730" i="2"/>
  <c r="AE1730" i="2"/>
  <c r="AD1730" i="2"/>
  <c r="AC1730" i="2"/>
  <c r="AB1730" i="2"/>
  <c r="AA1730" i="2"/>
  <c r="Z1730" i="2"/>
  <c r="Y1730" i="2"/>
  <c r="X1730" i="2"/>
  <c r="W1730" i="2"/>
  <c r="V1730" i="2"/>
  <c r="U1730" i="2"/>
  <c r="T1730" i="2"/>
  <c r="S1730" i="2"/>
  <c r="R1730" i="2"/>
  <c r="Q1730" i="2"/>
  <c r="P1730" i="2"/>
  <c r="O1730" i="2"/>
  <c r="N1730" i="2"/>
  <c r="K1730" i="2"/>
  <c r="J1730" i="2"/>
  <c r="I1730" i="2"/>
  <c r="H1730" i="2"/>
  <c r="G1730" i="2"/>
  <c r="F1730" i="2"/>
  <c r="E1730" i="2"/>
  <c r="D1730" i="2"/>
  <c r="C1730" i="2"/>
  <c r="B1730" i="2"/>
  <c r="A1730" i="2"/>
  <c r="AJ1729" i="2"/>
  <c r="AF1729" i="2"/>
  <c r="AE1729" i="2"/>
  <c r="AD1729" i="2"/>
  <c r="AC1729" i="2"/>
  <c r="AB1729" i="2"/>
  <c r="AA1729" i="2"/>
  <c r="Z1729" i="2"/>
  <c r="Y1729" i="2"/>
  <c r="X1729" i="2"/>
  <c r="T1729" i="2"/>
  <c r="S1729" i="2"/>
  <c r="R1729" i="2"/>
  <c r="Q1729" i="2"/>
  <c r="P1729" i="2"/>
  <c r="O1729" i="2"/>
  <c r="N1729" i="2"/>
  <c r="K1729" i="2"/>
  <c r="J1729" i="2"/>
  <c r="I1729" i="2"/>
  <c r="H1729" i="2"/>
  <c r="G1729" i="2"/>
  <c r="F1729" i="2"/>
  <c r="E1729" i="2"/>
  <c r="D1729" i="2"/>
  <c r="C1729" i="2"/>
  <c r="B1729" i="2"/>
  <c r="A1729" i="2"/>
  <c r="AJ1728" i="2"/>
  <c r="AI1728" i="2"/>
  <c r="AH1728" i="2"/>
  <c r="AG1728" i="2"/>
  <c r="AF1728" i="2"/>
  <c r="AE1728" i="2"/>
  <c r="AD1728" i="2"/>
  <c r="AC1728" i="2"/>
  <c r="AB1728" i="2"/>
  <c r="AA1728" i="2"/>
  <c r="Z1728" i="2"/>
  <c r="Y1728" i="2"/>
  <c r="X1728" i="2"/>
  <c r="V1728" i="2"/>
  <c r="U1728" i="2"/>
  <c r="T1728" i="2"/>
  <c r="S1728" i="2"/>
  <c r="R1728" i="2"/>
  <c r="Q1728" i="2"/>
  <c r="P1728" i="2"/>
  <c r="O1728" i="2"/>
  <c r="N1728" i="2"/>
  <c r="K1728" i="2"/>
  <c r="J1728" i="2"/>
  <c r="I1728" i="2"/>
  <c r="H1728" i="2"/>
  <c r="G1728" i="2"/>
  <c r="F1728" i="2"/>
  <c r="E1728" i="2"/>
  <c r="D1728" i="2"/>
  <c r="C1728" i="2"/>
  <c r="B1728" i="2"/>
  <c r="A1728" i="2"/>
  <c r="AI1727" i="2"/>
  <c r="AH1727" i="2"/>
  <c r="AG1727" i="2"/>
  <c r="AF1727" i="2"/>
  <c r="AE1727" i="2"/>
  <c r="AD1727" i="2"/>
  <c r="AC1727" i="2"/>
  <c r="AB1727" i="2"/>
  <c r="AA1727" i="2"/>
  <c r="Z1727" i="2"/>
  <c r="Y1727" i="2"/>
  <c r="X1727" i="2"/>
  <c r="W1727" i="2"/>
  <c r="V1727" i="2"/>
  <c r="U1727" i="2"/>
  <c r="T1727" i="2"/>
  <c r="S1727" i="2"/>
  <c r="R1727" i="2"/>
  <c r="Q1727" i="2"/>
  <c r="P1727" i="2"/>
  <c r="O1727" i="2"/>
  <c r="N1727" i="2"/>
  <c r="K1727" i="2"/>
  <c r="J1727" i="2"/>
  <c r="I1727" i="2"/>
  <c r="H1727" i="2"/>
  <c r="G1727" i="2"/>
  <c r="F1727" i="2"/>
  <c r="E1727" i="2"/>
  <c r="D1727" i="2"/>
  <c r="C1727" i="2"/>
  <c r="B1727" i="2"/>
  <c r="A1727" i="2"/>
  <c r="AJ1726" i="2"/>
  <c r="AI1726" i="2"/>
  <c r="AH1726" i="2"/>
  <c r="AG1726" i="2"/>
  <c r="AF1726" i="2"/>
  <c r="AE1726" i="2"/>
  <c r="AD1726" i="2"/>
  <c r="AC1726" i="2"/>
  <c r="AB1726" i="2"/>
  <c r="AA1726" i="2"/>
  <c r="Z1726" i="2"/>
  <c r="Y1726" i="2"/>
  <c r="V1726" i="2"/>
  <c r="U1726" i="2"/>
  <c r="T1726" i="2"/>
  <c r="S1726" i="2"/>
  <c r="R1726" i="2"/>
  <c r="Q1726" i="2"/>
  <c r="P1726" i="2"/>
  <c r="O1726" i="2"/>
  <c r="N1726" i="2"/>
  <c r="K1726" i="2"/>
  <c r="J1726" i="2"/>
  <c r="I1726" i="2"/>
  <c r="H1726" i="2"/>
  <c r="G1726" i="2"/>
  <c r="F1726" i="2"/>
  <c r="E1726" i="2"/>
  <c r="D1726" i="2"/>
  <c r="C1726" i="2"/>
  <c r="B1726" i="2"/>
  <c r="A1726" i="2"/>
  <c r="AJ1725" i="2"/>
  <c r="AI1725" i="2"/>
  <c r="AH1725" i="2"/>
  <c r="AG1725" i="2"/>
  <c r="AF1725" i="2"/>
  <c r="AE1725" i="2"/>
  <c r="AD1725" i="2"/>
  <c r="AC1725" i="2"/>
  <c r="AB1725" i="2"/>
  <c r="AA1725" i="2"/>
  <c r="Z1725" i="2"/>
  <c r="Y1725" i="2"/>
  <c r="X1725" i="2"/>
  <c r="W1725" i="2"/>
  <c r="V1725" i="2"/>
  <c r="U1725" i="2"/>
  <c r="T1725" i="2"/>
  <c r="S1725" i="2"/>
  <c r="R1725" i="2"/>
  <c r="Q1725" i="2"/>
  <c r="P1725" i="2"/>
  <c r="O1725" i="2"/>
  <c r="N1725" i="2"/>
  <c r="K1725" i="2"/>
  <c r="J1725" i="2"/>
  <c r="I1725" i="2"/>
  <c r="H1725" i="2"/>
  <c r="G1725" i="2"/>
  <c r="F1725" i="2"/>
  <c r="E1725" i="2"/>
  <c r="D1725" i="2"/>
  <c r="C1725" i="2"/>
  <c r="B1725" i="2"/>
  <c r="A1725" i="2"/>
  <c r="AI1724" i="2"/>
  <c r="AH1724" i="2"/>
  <c r="AG1724" i="2"/>
  <c r="AF1724" i="2"/>
  <c r="AE1724" i="2"/>
  <c r="AD1724" i="2"/>
  <c r="AC1724" i="2"/>
  <c r="AB1724" i="2"/>
  <c r="AA1724" i="2"/>
  <c r="Z1724" i="2"/>
  <c r="Y1724" i="2"/>
  <c r="X1724" i="2"/>
  <c r="V1724" i="2"/>
  <c r="U1724" i="2"/>
  <c r="T1724" i="2"/>
  <c r="S1724" i="2"/>
  <c r="R1724" i="2"/>
  <c r="Q1724" i="2"/>
  <c r="P1724" i="2"/>
  <c r="O1724" i="2"/>
  <c r="N1724" i="2"/>
  <c r="K1724" i="2"/>
  <c r="J1724" i="2"/>
  <c r="I1724" i="2"/>
  <c r="H1724" i="2"/>
  <c r="G1724" i="2"/>
  <c r="F1724" i="2"/>
  <c r="E1724" i="2"/>
  <c r="D1724" i="2"/>
  <c r="C1724" i="2"/>
  <c r="B1724" i="2"/>
  <c r="A1724" i="2"/>
  <c r="AI1723" i="2"/>
  <c r="AH1723" i="2"/>
  <c r="AG1723" i="2"/>
  <c r="AF1723" i="2"/>
  <c r="AE1723" i="2"/>
  <c r="AD1723" i="2"/>
  <c r="AC1723" i="2"/>
  <c r="AB1723" i="2"/>
  <c r="AA1723" i="2"/>
  <c r="Z1723" i="2"/>
  <c r="Y1723" i="2"/>
  <c r="X1723" i="2"/>
  <c r="W1723" i="2"/>
  <c r="V1723" i="2"/>
  <c r="U1723" i="2"/>
  <c r="T1723" i="2"/>
  <c r="S1723" i="2"/>
  <c r="R1723" i="2"/>
  <c r="Q1723" i="2"/>
  <c r="P1723" i="2"/>
  <c r="O1723" i="2"/>
  <c r="N1723" i="2"/>
  <c r="K1723" i="2"/>
  <c r="J1723" i="2"/>
  <c r="I1723" i="2"/>
  <c r="H1723" i="2"/>
  <c r="G1723" i="2"/>
  <c r="F1723" i="2"/>
  <c r="E1723" i="2"/>
  <c r="D1723" i="2"/>
  <c r="C1723" i="2"/>
  <c r="B1723" i="2"/>
  <c r="A1723" i="2"/>
  <c r="AI1722" i="2"/>
  <c r="AH1722" i="2"/>
  <c r="AG1722" i="2"/>
  <c r="AF1722" i="2"/>
  <c r="AE1722" i="2"/>
  <c r="AD1722" i="2"/>
  <c r="AC1722" i="2"/>
  <c r="AB1722" i="2"/>
  <c r="AA1722" i="2"/>
  <c r="Z1722" i="2"/>
  <c r="Y1722" i="2"/>
  <c r="X1722" i="2"/>
  <c r="V1722" i="2"/>
  <c r="U1722" i="2"/>
  <c r="T1722" i="2"/>
  <c r="S1722" i="2"/>
  <c r="R1722" i="2"/>
  <c r="Q1722" i="2"/>
  <c r="P1722" i="2"/>
  <c r="O1722" i="2"/>
  <c r="N1722" i="2"/>
  <c r="K1722" i="2"/>
  <c r="J1722" i="2"/>
  <c r="I1722" i="2"/>
  <c r="H1722" i="2"/>
  <c r="G1722" i="2"/>
  <c r="F1722" i="2"/>
  <c r="E1722" i="2"/>
  <c r="D1722" i="2"/>
  <c r="C1722" i="2"/>
  <c r="B1722" i="2"/>
  <c r="A1722" i="2"/>
  <c r="AI1721" i="2"/>
  <c r="AH1721" i="2"/>
  <c r="AF1721" i="2"/>
  <c r="AE1721" i="2"/>
  <c r="AD1721" i="2"/>
  <c r="AC1721" i="2"/>
  <c r="AA1721" i="2"/>
  <c r="Z1721" i="2"/>
  <c r="Y1721" i="2"/>
  <c r="X1721" i="2"/>
  <c r="W1721" i="2"/>
  <c r="V1721" i="2"/>
  <c r="U1721" i="2"/>
  <c r="T1721" i="2"/>
  <c r="S1721" i="2"/>
  <c r="R1721" i="2"/>
  <c r="Q1721" i="2"/>
  <c r="P1721" i="2"/>
  <c r="O1721" i="2"/>
  <c r="N1721" i="2"/>
  <c r="K1721" i="2"/>
  <c r="J1721" i="2"/>
  <c r="I1721" i="2"/>
  <c r="H1721" i="2"/>
  <c r="G1721" i="2"/>
  <c r="F1721" i="2"/>
  <c r="E1721" i="2"/>
  <c r="D1721" i="2"/>
  <c r="C1721" i="2"/>
  <c r="B1721" i="2"/>
  <c r="A1721" i="2"/>
  <c r="AH1720" i="2"/>
  <c r="AG1720" i="2"/>
  <c r="AF1720" i="2"/>
  <c r="AE1720" i="2"/>
  <c r="AD1720" i="2"/>
  <c r="AC1720" i="2"/>
  <c r="AB1720" i="2"/>
  <c r="AA1720" i="2"/>
  <c r="Z1720" i="2"/>
  <c r="Y1720" i="2"/>
  <c r="X1720" i="2"/>
  <c r="T1720" i="2"/>
  <c r="S1720" i="2"/>
  <c r="R1720" i="2"/>
  <c r="Q1720" i="2"/>
  <c r="P1720" i="2"/>
  <c r="O1720" i="2"/>
  <c r="N1720" i="2"/>
  <c r="K1720" i="2"/>
  <c r="J1720" i="2"/>
  <c r="I1720" i="2"/>
  <c r="H1720" i="2"/>
  <c r="G1720" i="2"/>
  <c r="F1720" i="2"/>
  <c r="E1720" i="2"/>
  <c r="D1720" i="2"/>
  <c r="C1720" i="2"/>
  <c r="B1720" i="2"/>
  <c r="A1720" i="2"/>
  <c r="AH1719" i="2"/>
  <c r="AG1719" i="2"/>
  <c r="AF1719" i="2"/>
  <c r="AE1719" i="2"/>
  <c r="AD1719" i="2"/>
  <c r="AC1719" i="2"/>
  <c r="AA1719" i="2"/>
  <c r="Z1719" i="2"/>
  <c r="Y1719" i="2"/>
  <c r="X1719" i="2"/>
  <c r="V1719" i="2"/>
  <c r="U1719" i="2"/>
  <c r="T1719" i="2"/>
  <c r="S1719" i="2"/>
  <c r="R1719" i="2"/>
  <c r="Q1719" i="2"/>
  <c r="P1719" i="2"/>
  <c r="O1719" i="2"/>
  <c r="N1719" i="2"/>
  <c r="K1719" i="2"/>
  <c r="J1719" i="2"/>
  <c r="I1719" i="2"/>
  <c r="H1719" i="2"/>
  <c r="G1719" i="2"/>
  <c r="F1719" i="2"/>
  <c r="E1719" i="2"/>
  <c r="D1719" i="2"/>
  <c r="C1719" i="2"/>
  <c r="B1719" i="2"/>
  <c r="A1719" i="2"/>
  <c r="AI1718" i="2"/>
  <c r="AH1718" i="2"/>
  <c r="AG1718" i="2"/>
  <c r="AF1718" i="2"/>
  <c r="AE1718" i="2"/>
  <c r="AD1718" i="2"/>
  <c r="AC1718" i="2"/>
  <c r="AB1718" i="2"/>
  <c r="AA1718" i="2"/>
  <c r="Z1718" i="2"/>
  <c r="Y1718" i="2"/>
  <c r="T1718" i="2"/>
  <c r="S1718" i="2"/>
  <c r="R1718" i="2"/>
  <c r="Q1718" i="2"/>
  <c r="P1718" i="2"/>
  <c r="O1718" i="2"/>
  <c r="N1718" i="2"/>
  <c r="K1718" i="2"/>
  <c r="J1718" i="2"/>
  <c r="I1718" i="2"/>
  <c r="H1718" i="2"/>
  <c r="G1718" i="2"/>
  <c r="F1718" i="2"/>
  <c r="E1718" i="2"/>
  <c r="D1718" i="2"/>
  <c r="C1718" i="2"/>
  <c r="B1718" i="2"/>
  <c r="A1718" i="2"/>
  <c r="AI1717" i="2"/>
  <c r="AH1717" i="2"/>
  <c r="AF1717" i="2"/>
  <c r="AE1717" i="2"/>
  <c r="AD1717" i="2"/>
  <c r="AC1717" i="2"/>
  <c r="AB1717" i="2"/>
  <c r="AA1717" i="2"/>
  <c r="Z1717" i="2"/>
  <c r="Y1717" i="2"/>
  <c r="X1717" i="2"/>
  <c r="W1717" i="2"/>
  <c r="V1717" i="2"/>
  <c r="U1717" i="2"/>
  <c r="T1717" i="2"/>
  <c r="S1717" i="2"/>
  <c r="R1717" i="2"/>
  <c r="Q1717" i="2"/>
  <c r="P1717" i="2"/>
  <c r="O1717" i="2"/>
  <c r="N1717" i="2"/>
  <c r="K1717" i="2"/>
  <c r="J1717" i="2"/>
  <c r="I1717" i="2"/>
  <c r="H1717" i="2"/>
  <c r="G1717" i="2"/>
  <c r="F1717" i="2"/>
  <c r="E1717" i="2"/>
  <c r="D1717" i="2"/>
  <c r="C1717" i="2"/>
  <c r="B1717" i="2"/>
  <c r="A1717" i="2"/>
  <c r="AI1716" i="2"/>
  <c r="AH1716" i="2"/>
  <c r="AG1716" i="2"/>
  <c r="AF1716" i="2"/>
  <c r="AE1716" i="2"/>
  <c r="AD1716" i="2"/>
  <c r="AC1716" i="2"/>
  <c r="AB1716" i="2"/>
  <c r="AA1716" i="2"/>
  <c r="Z1716" i="2"/>
  <c r="Y1716" i="2"/>
  <c r="X1716" i="2"/>
  <c r="V1716" i="2"/>
  <c r="U1716" i="2"/>
  <c r="T1716" i="2"/>
  <c r="S1716" i="2"/>
  <c r="R1716" i="2"/>
  <c r="Q1716" i="2"/>
  <c r="P1716" i="2"/>
  <c r="O1716" i="2"/>
  <c r="N1716" i="2"/>
  <c r="K1716" i="2"/>
  <c r="J1716" i="2"/>
  <c r="I1716" i="2"/>
  <c r="H1716" i="2"/>
  <c r="G1716" i="2"/>
  <c r="F1716" i="2"/>
  <c r="E1716" i="2"/>
  <c r="D1716" i="2"/>
  <c r="C1716" i="2"/>
  <c r="B1716" i="2"/>
  <c r="A1716" i="2"/>
  <c r="AI1715" i="2"/>
  <c r="AH1715" i="2"/>
  <c r="AG1715" i="2"/>
  <c r="AF1715" i="2"/>
  <c r="AE1715" i="2"/>
  <c r="AD1715" i="2"/>
  <c r="AC1715" i="2"/>
  <c r="AB1715" i="2"/>
  <c r="AA1715" i="2"/>
  <c r="Z1715" i="2"/>
  <c r="Y1715" i="2"/>
  <c r="X1715" i="2"/>
  <c r="W1715" i="2"/>
  <c r="V1715" i="2"/>
  <c r="U1715" i="2"/>
  <c r="T1715" i="2"/>
  <c r="S1715" i="2"/>
  <c r="R1715" i="2"/>
  <c r="Q1715" i="2"/>
  <c r="P1715" i="2"/>
  <c r="O1715" i="2"/>
  <c r="N1715" i="2"/>
  <c r="K1715" i="2"/>
  <c r="J1715" i="2"/>
  <c r="I1715" i="2"/>
  <c r="H1715" i="2"/>
  <c r="G1715" i="2"/>
  <c r="F1715" i="2"/>
  <c r="E1715" i="2"/>
  <c r="D1715" i="2"/>
  <c r="C1715" i="2"/>
  <c r="B1715" i="2"/>
  <c r="A1715" i="2"/>
  <c r="AI1714" i="2"/>
  <c r="AH1714" i="2"/>
  <c r="AG1714" i="2"/>
  <c r="AF1714" i="2"/>
  <c r="AE1714" i="2"/>
  <c r="AD1714" i="2"/>
  <c r="AC1714" i="2"/>
  <c r="AB1714" i="2"/>
  <c r="AA1714" i="2"/>
  <c r="Z1714" i="2"/>
  <c r="Y1714" i="2"/>
  <c r="X1714" i="2"/>
  <c r="V1714" i="2"/>
  <c r="U1714" i="2"/>
  <c r="T1714" i="2"/>
  <c r="S1714" i="2"/>
  <c r="R1714" i="2"/>
  <c r="Q1714" i="2"/>
  <c r="P1714" i="2"/>
  <c r="O1714" i="2"/>
  <c r="N1714" i="2"/>
  <c r="K1714" i="2"/>
  <c r="J1714" i="2"/>
  <c r="I1714" i="2"/>
  <c r="H1714" i="2"/>
  <c r="G1714" i="2"/>
  <c r="F1714" i="2"/>
  <c r="E1714" i="2"/>
  <c r="D1714" i="2"/>
  <c r="C1714" i="2"/>
  <c r="B1714" i="2"/>
  <c r="A1714" i="2"/>
  <c r="AI1713" i="2"/>
  <c r="AH1713" i="2"/>
  <c r="AG1713" i="2"/>
  <c r="AF1713" i="2"/>
  <c r="AE1713" i="2"/>
  <c r="AD1713" i="2"/>
  <c r="AC1713" i="2"/>
  <c r="AB1713" i="2"/>
  <c r="AA1713" i="2"/>
  <c r="Z1713" i="2"/>
  <c r="Y1713" i="2"/>
  <c r="X1713" i="2"/>
  <c r="V1713" i="2"/>
  <c r="U1713" i="2"/>
  <c r="T1713" i="2"/>
  <c r="S1713" i="2"/>
  <c r="R1713" i="2"/>
  <c r="Q1713" i="2"/>
  <c r="P1713" i="2"/>
  <c r="O1713" i="2"/>
  <c r="N1713" i="2"/>
  <c r="K1713" i="2"/>
  <c r="J1713" i="2"/>
  <c r="I1713" i="2"/>
  <c r="H1713" i="2"/>
  <c r="G1713" i="2"/>
  <c r="F1713" i="2"/>
  <c r="E1713" i="2"/>
  <c r="D1713" i="2"/>
  <c r="C1713" i="2"/>
  <c r="B1713" i="2"/>
  <c r="A1713" i="2"/>
  <c r="AH1712" i="2"/>
  <c r="AG1712" i="2"/>
  <c r="AF1712" i="2"/>
  <c r="AE1712" i="2"/>
  <c r="AD1712" i="2"/>
  <c r="AC1712" i="2"/>
  <c r="AA1712" i="2"/>
  <c r="Z1712" i="2"/>
  <c r="Y1712" i="2"/>
  <c r="X1712" i="2"/>
  <c r="W1712" i="2"/>
  <c r="V1712" i="2"/>
  <c r="U1712" i="2"/>
  <c r="T1712" i="2"/>
  <c r="S1712" i="2"/>
  <c r="R1712" i="2"/>
  <c r="Q1712" i="2"/>
  <c r="P1712" i="2"/>
  <c r="O1712" i="2"/>
  <c r="N1712" i="2"/>
  <c r="K1712" i="2"/>
  <c r="J1712" i="2"/>
  <c r="I1712" i="2"/>
  <c r="H1712" i="2"/>
  <c r="G1712" i="2"/>
  <c r="F1712" i="2"/>
  <c r="E1712" i="2"/>
  <c r="D1712" i="2"/>
  <c r="C1712" i="2"/>
  <c r="B1712" i="2"/>
  <c r="A1712" i="2"/>
  <c r="AI1711" i="2"/>
  <c r="AH1711" i="2"/>
  <c r="AG1711" i="2"/>
  <c r="AF1711" i="2"/>
  <c r="AE1711" i="2"/>
  <c r="AD1711" i="2"/>
  <c r="AC1711" i="2"/>
  <c r="AB1711" i="2"/>
  <c r="AA1711" i="2"/>
  <c r="Z1711" i="2"/>
  <c r="Y1711" i="2"/>
  <c r="X1711" i="2"/>
  <c r="U1711" i="2"/>
  <c r="T1711" i="2"/>
  <c r="S1711" i="2"/>
  <c r="R1711" i="2"/>
  <c r="Q1711" i="2"/>
  <c r="P1711" i="2"/>
  <c r="O1711" i="2"/>
  <c r="N1711" i="2"/>
  <c r="K1711" i="2"/>
  <c r="J1711" i="2"/>
  <c r="I1711" i="2"/>
  <c r="H1711" i="2"/>
  <c r="G1711" i="2"/>
  <c r="F1711" i="2"/>
  <c r="E1711" i="2"/>
  <c r="D1711" i="2"/>
  <c r="C1711" i="2"/>
  <c r="B1711" i="2"/>
  <c r="A1711" i="2"/>
  <c r="AH1710" i="2"/>
  <c r="AG1710" i="2"/>
  <c r="AF1710" i="2"/>
  <c r="AE1710" i="2"/>
  <c r="AD1710" i="2"/>
  <c r="AC1710" i="2"/>
  <c r="AB1710" i="2"/>
  <c r="AA1710" i="2"/>
  <c r="Z1710" i="2"/>
  <c r="Y1710" i="2"/>
  <c r="X1710" i="2"/>
  <c r="U1710" i="2"/>
  <c r="T1710" i="2"/>
  <c r="S1710" i="2"/>
  <c r="R1710" i="2"/>
  <c r="Q1710" i="2"/>
  <c r="P1710" i="2"/>
  <c r="O1710" i="2"/>
  <c r="N1710" i="2"/>
  <c r="K1710" i="2"/>
  <c r="J1710" i="2"/>
  <c r="I1710" i="2"/>
  <c r="H1710" i="2"/>
  <c r="G1710" i="2"/>
  <c r="F1710" i="2"/>
  <c r="E1710" i="2"/>
  <c r="D1710" i="2"/>
  <c r="C1710" i="2"/>
  <c r="B1710" i="2"/>
  <c r="A1710" i="2"/>
  <c r="AJ1709" i="2"/>
  <c r="AI1709" i="2"/>
  <c r="AH1709" i="2"/>
  <c r="AG1709" i="2"/>
  <c r="AF1709" i="2"/>
  <c r="AE1709" i="2"/>
  <c r="AD1709" i="2"/>
  <c r="AC1709" i="2"/>
  <c r="AB1709" i="2"/>
  <c r="AA1709" i="2"/>
  <c r="Z1709" i="2"/>
  <c r="Y1709" i="2"/>
  <c r="X1709" i="2"/>
  <c r="V1709" i="2"/>
  <c r="U1709" i="2"/>
  <c r="T1709" i="2"/>
  <c r="S1709" i="2"/>
  <c r="R1709" i="2"/>
  <c r="Q1709" i="2"/>
  <c r="P1709" i="2"/>
  <c r="O1709" i="2"/>
  <c r="N1709" i="2"/>
  <c r="K1709" i="2"/>
  <c r="J1709" i="2"/>
  <c r="I1709" i="2"/>
  <c r="H1709" i="2"/>
  <c r="G1709" i="2"/>
  <c r="F1709" i="2"/>
  <c r="E1709" i="2"/>
  <c r="D1709" i="2"/>
  <c r="C1709" i="2"/>
  <c r="B1709" i="2"/>
  <c r="A1709" i="2"/>
  <c r="AI1708" i="2"/>
  <c r="AH1708" i="2"/>
  <c r="AG1708" i="2"/>
  <c r="AF1708" i="2"/>
  <c r="AE1708" i="2"/>
  <c r="AD1708" i="2"/>
  <c r="AC1708" i="2"/>
  <c r="AB1708" i="2"/>
  <c r="AA1708" i="2"/>
  <c r="Z1708" i="2"/>
  <c r="Y1708" i="2"/>
  <c r="X1708" i="2"/>
  <c r="W1708" i="2"/>
  <c r="V1708" i="2"/>
  <c r="U1708" i="2"/>
  <c r="T1708" i="2"/>
  <c r="S1708" i="2"/>
  <c r="R1708" i="2"/>
  <c r="Q1708" i="2"/>
  <c r="P1708" i="2"/>
  <c r="O1708" i="2"/>
  <c r="N1708" i="2"/>
  <c r="K1708" i="2"/>
  <c r="J1708" i="2"/>
  <c r="I1708" i="2"/>
  <c r="H1708" i="2"/>
  <c r="G1708" i="2"/>
  <c r="F1708" i="2"/>
  <c r="E1708" i="2"/>
  <c r="D1708" i="2"/>
  <c r="C1708" i="2"/>
  <c r="B1708" i="2"/>
  <c r="A1708" i="2"/>
  <c r="AI1707" i="2"/>
  <c r="AH1707" i="2"/>
  <c r="AG1707" i="2"/>
  <c r="AF1707" i="2"/>
  <c r="AE1707" i="2"/>
  <c r="AD1707" i="2"/>
  <c r="AC1707" i="2"/>
  <c r="AB1707" i="2"/>
  <c r="AA1707" i="2"/>
  <c r="Z1707" i="2"/>
  <c r="Y1707" i="2"/>
  <c r="X1707" i="2"/>
  <c r="W1707" i="2"/>
  <c r="V1707" i="2"/>
  <c r="U1707" i="2"/>
  <c r="T1707" i="2"/>
  <c r="S1707" i="2"/>
  <c r="R1707" i="2"/>
  <c r="Q1707" i="2"/>
  <c r="P1707" i="2"/>
  <c r="O1707" i="2"/>
  <c r="N1707" i="2"/>
  <c r="K1707" i="2"/>
  <c r="J1707" i="2"/>
  <c r="I1707" i="2"/>
  <c r="H1707" i="2"/>
  <c r="G1707" i="2"/>
  <c r="F1707" i="2"/>
  <c r="E1707" i="2"/>
  <c r="D1707" i="2"/>
  <c r="C1707" i="2"/>
  <c r="B1707" i="2"/>
  <c r="A1707" i="2"/>
  <c r="AJ1706" i="2"/>
  <c r="AI1706" i="2"/>
  <c r="AH1706" i="2"/>
  <c r="AG1706" i="2"/>
  <c r="AF1706" i="2"/>
  <c r="AE1706" i="2"/>
  <c r="AD1706" i="2"/>
  <c r="AC1706" i="2"/>
  <c r="AB1706" i="2"/>
  <c r="AA1706" i="2"/>
  <c r="Z1706" i="2"/>
  <c r="Y1706" i="2"/>
  <c r="X1706" i="2"/>
  <c r="W1706" i="2"/>
  <c r="V1706" i="2"/>
  <c r="U1706" i="2"/>
  <c r="T1706" i="2"/>
  <c r="S1706" i="2"/>
  <c r="R1706" i="2"/>
  <c r="Q1706" i="2"/>
  <c r="P1706" i="2"/>
  <c r="O1706" i="2"/>
  <c r="N1706" i="2"/>
  <c r="K1706" i="2"/>
  <c r="J1706" i="2"/>
  <c r="I1706" i="2"/>
  <c r="H1706" i="2"/>
  <c r="G1706" i="2"/>
  <c r="F1706" i="2"/>
  <c r="E1706" i="2"/>
  <c r="D1706" i="2"/>
  <c r="C1706" i="2"/>
  <c r="B1706" i="2"/>
  <c r="A1706" i="2"/>
  <c r="AJ1705" i="2"/>
  <c r="AI1705" i="2"/>
  <c r="AH1705" i="2"/>
  <c r="AG1705" i="2"/>
  <c r="AF1705" i="2"/>
  <c r="AE1705" i="2"/>
  <c r="AD1705" i="2"/>
  <c r="AC1705" i="2"/>
  <c r="AB1705" i="2"/>
  <c r="AA1705" i="2"/>
  <c r="Z1705" i="2"/>
  <c r="Y1705" i="2"/>
  <c r="X1705" i="2"/>
  <c r="V1705" i="2"/>
  <c r="U1705" i="2"/>
  <c r="T1705" i="2"/>
  <c r="S1705" i="2"/>
  <c r="R1705" i="2"/>
  <c r="Q1705" i="2"/>
  <c r="P1705" i="2"/>
  <c r="O1705" i="2"/>
  <c r="N1705" i="2"/>
  <c r="K1705" i="2"/>
  <c r="J1705" i="2"/>
  <c r="I1705" i="2"/>
  <c r="H1705" i="2"/>
  <c r="G1705" i="2"/>
  <c r="F1705" i="2"/>
  <c r="E1705" i="2"/>
  <c r="D1705" i="2"/>
  <c r="C1705" i="2"/>
  <c r="B1705" i="2"/>
  <c r="A1705" i="2"/>
  <c r="AJ1704" i="2"/>
  <c r="AI1704" i="2"/>
  <c r="AH1704" i="2"/>
  <c r="AG1704" i="2"/>
  <c r="AF1704" i="2"/>
  <c r="AE1704" i="2"/>
  <c r="AD1704" i="2"/>
  <c r="AC1704" i="2"/>
  <c r="AB1704" i="2"/>
  <c r="AA1704" i="2"/>
  <c r="Z1704" i="2"/>
  <c r="Y1704" i="2"/>
  <c r="X1704" i="2"/>
  <c r="V1704" i="2"/>
  <c r="U1704" i="2"/>
  <c r="T1704" i="2"/>
  <c r="S1704" i="2"/>
  <c r="R1704" i="2"/>
  <c r="Q1704" i="2"/>
  <c r="P1704" i="2"/>
  <c r="O1704" i="2"/>
  <c r="N1704" i="2"/>
  <c r="K1704" i="2"/>
  <c r="J1704" i="2"/>
  <c r="I1704" i="2"/>
  <c r="H1704" i="2"/>
  <c r="G1704" i="2"/>
  <c r="F1704" i="2"/>
  <c r="E1704" i="2"/>
  <c r="D1704" i="2"/>
  <c r="C1704" i="2"/>
  <c r="B1704" i="2"/>
  <c r="A1704" i="2"/>
  <c r="AJ1703" i="2"/>
  <c r="AI1703" i="2"/>
  <c r="AH1703" i="2"/>
  <c r="AG1703" i="2"/>
  <c r="AF1703" i="2"/>
  <c r="AE1703" i="2"/>
  <c r="AD1703" i="2"/>
  <c r="AB1703" i="2"/>
  <c r="AA1703" i="2"/>
  <c r="Z1703" i="2"/>
  <c r="Y1703" i="2"/>
  <c r="W1703" i="2"/>
  <c r="V1703" i="2"/>
  <c r="U1703" i="2"/>
  <c r="T1703" i="2"/>
  <c r="S1703" i="2"/>
  <c r="R1703" i="2"/>
  <c r="Q1703" i="2"/>
  <c r="P1703" i="2"/>
  <c r="O1703" i="2"/>
  <c r="N1703" i="2"/>
  <c r="K1703" i="2"/>
  <c r="J1703" i="2"/>
  <c r="I1703" i="2"/>
  <c r="H1703" i="2"/>
  <c r="G1703" i="2"/>
  <c r="F1703" i="2"/>
  <c r="E1703" i="2"/>
  <c r="D1703" i="2"/>
  <c r="C1703" i="2"/>
  <c r="B1703" i="2"/>
  <c r="A1703" i="2"/>
  <c r="AI1702" i="2"/>
  <c r="AH1702" i="2"/>
  <c r="AG1702" i="2"/>
  <c r="AF1702" i="2"/>
  <c r="AE1702" i="2"/>
  <c r="AD1702" i="2"/>
  <c r="AC1702" i="2"/>
  <c r="AB1702" i="2"/>
  <c r="AA1702" i="2"/>
  <c r="Z1702" i="2"/>
  <c r="Y1702" i="2"/>
  <c r="X1702" i="2"/>
  <c r="V1702" i="2"/>
  <c r="U1702" i="2"/>
  <c r="T1702" i="2"/>
  <c r="S1702" i="2"/>
  <c r="R1702" i="2"/>
  <c r="Q1702" i="2"/>
  <c r="P1702" i="2"/>
  <c r="O1702" i="2"/>
  <c r="N1702" i="2"/>
  <c r="K1702" i="2"/>
  <c r="J1702" i="2"/>
  <c r="I1702" i="2"/>
  <c r="H1702" i="2"/>
  <c r="G1702" i="2"/>
  <c r="F1702" i="2"/>
  <c r="E1702" i="2"/>
  <c r="D1702" i="2"/>
  <c r="C1702" i="2"/>
  <c r="B1702" i="2"/>
  <c r="A1702" i="2"/>
  <c r="AJ1701" i="2"/>
  <c r="AI1701" i="2"/>
  <c r="AH1701" i="2"/>
  <c r="AG1701" i="2"/>
  <c r="AF1701" i="2"/>
  <c r="AE1701" i="2"/>
  <c r="AD1701" i="2"/>
  <c r="AC1701" i="2"/>
  <c r="AB1701" i="2"/>
  <c r="AA1701" i="2"/>
  <c r="Z1701" i="2"/>
  <c r="Y1701" i="2"/>
  <c r="X1701" i="2"/>
  <c r="W1701" i="2"/>
  <c r="V1701" i="2"/>
  <c r="U1701" i="2"/>
  <c r="T1701" i="2"/>
  <c r="S1701" i="2"/>
  <c r="R1701" i="2"/>
  <c r="Q1701" i="2"/>
  <c r="P1701" i="2"/>
  <c r="O1701" i="2"/>
  <c r="N1701" i="2"/>
  <c r="K1701" i="2"/>
  <c r="J1701" i="2"/>
  <c r="I1701" i="2"/>
  <c r="H1701" i="2"/>
  <c r="G1701" i="2"/>
  <c r="F1701" i="2"/>
  <c r="E1701" i="2"/>
  <c r="D1701" i="2"/>
  <c r="C1701" i="2"/>
  <c r="B1701" i="2"/>
  <c r="A1701" i="2"/>
  <c r="AI1700" i="2"/>
  <c r="AH1700" i="2"/>
  <c r="AG1700" i="2"/>
  <c r="AF1700" i="2"/>
  <c r="AE1700" i="2"/>
  <c r="AD1700" i="2"/>
  <c r="AC1700" i="2"/>
  <c r="AB1700" i="2"/>
  <c r="AA1700" i="2"/>
  <c r="Z1700" i="2"/>
  <c r="Y1700" i="2"/>
  <c r="X1700" i="2"/>
  <c r="W1700" i="2"/>
  <c r="V1700" i="2"/>
  <c r="U1700" i="2"/>
  <c r="T1700" i="2"/>
  <c r="S1700" i="2"/>
  <c r="R1700" i="2"/>
  <c r="Q1700" i="2"/>
  <c r="P1700" i="2"/>
  <c r="O1700" i="2"/>
  <c r="N1700" i="2"/>
  <c r="K1700" i="2"/>
  <c r="J1700" i="2"/>
  <c r="I1700" i="2"/>
  <c r="H1700" i="2"/>
  <c r="G1700" i="2"/>
  <c r="F1700" i="2"/>
  <c r="E1700" i="2"/>
  <c r="D1700" i="2"/>
  <c r="C1700" i="2"/>
  <c r="B1700" i="2"/>
  <c r="A1700" i="2"/>
  <c r="AI1699" i="2"/>
  <c r="AH1699" i="2"/>
  <c r="AG1699" i="2"/>
  <c r="AF1699" i="2"/>
  <c r="AE1699" i="2"/>
  <c r="AD1699" i="2"/>
  <c r="AC1699" i="2"/>
  <c r="AA1699" i="2"/>
  <c r="Z1699" i="2"/>
  <c r="Y1699" i="2"/>
  <c r="T1699" i="2"/>
  <c r="S1699" i="2"/>
  <c r="R1699" i="2"/>
  <c r="Q1699" i="2"/>
  <c r="P1699" i="2"/>
  <c r="O1699" i="2"/>
  <c r="N1699" i="2"/>
  <c r="K1699" i="2"/>
  <c r="J1699" i="2"/>
  <c r="I1699" i="2"/>
  <c r="H1699" i="2"/>
  <c r="G1699" i="2"/>
  <c r="F1699" i="2"/>
  <c r="E1699" i="2"/>
  <c r="D1699" i="2"/>
  <c r="C1699" i="2"/>
  <c r="B1699" i="2"/>
  <c r="A1699" i="2"/>
  <c r="AI1698" i="2"/>
  <c r="AH1698" i="2"/>
  <c r="AG1698" i="2"/>
  <c r="AF1698" i="2"/>
  <c r="AE1698" i="2"/>
  <c r="AD1698" i="2"/>
  <c r="AC1698" i="2"/>
  <c r="AB1698" i="2"/>
  <c r="AA1698" i="2"/>
  <c r="Z1698" i="2"/>
  <c r="Y1698" i="2"/>
  <c r="T1698" i="2"/>
  <c r="S1698" i="2"/>
  <c r="R1698" i="2"/>
  <c r="Q1698" i="2"/>
  <c r="P1698" i="2"/>
  <c r="O1698" i="2"/>
  <c r="N1698" i="2"/>
  <c r="K1698" i="2"/>
  <c r="J1698" i="2"/>
  <c r="I1698" i="2"/>
  <c r="H1698" i="2"/>
  <c r="G1698" i="2"/>
  <c r="F1698" i="2"/>
  <c r="E1698" i="2"/>
  <c r="D1698" i="2"/>
  <c r="C1698" i="2"/>
  <c r="B1698" i="2"/>
  <c r="A1698" i="2"/>
  <c r="AH1697" i="2"/>
  <c r="AF1697" i="2"/>
  <c r="AE1697" i="2"/>
  <c r="AD1697" i="2"/>
  <c r="AC1697" i="2"/>
  <c r="AA1697" i="2"/>
  <c r="Z1697" i="2"/>
  <c r="Y1697" i="2"/>
  <c r="X1697" i="2"/>
  <c r="W1697" i="2"/>
  <c r="V1697" i="2"/>
  <c r="U1697" i="2"/>
  <c r="T1697" i="2"/>
  <c r="S1697" i="2"/>
  <c r="R1697" i="2"/>
  <c r="Q1697" i="2"/>
  <c r="P1697" i="2"/>
  <c r="O1697" i="2"/>
  <c r="N1697" i="2"/>
  <c r="K1697" i="2"/>
  <c r="J1697" i="2"/>
  <c r="I1697" i="2"/>
  <c r="H1697" i="2"/>
  <c r="G1697" i="2"/>
  <c r="F1697" i="2"/>
  <c r="E1697" i="2"/>
  <c r="D1697" i="2"/>
  <c r="C1697" i="2"/>
  <c r="B1697" i="2"/>
  <c r="A1697" i="2"/>
  <c r="AI1696" i="2"/>
  <c r="AH1696" i="2"/>
  <c r="AG1696" i="2"/>
  <c r="AF1696" i="2"/>
  <c r="AE1696" i="2"/>
  <c r="AD1696" i="2"/>
  <c r="AC1696" i="2"/>
  <c r="AB1696" i="2"/>
  <c r="AA1696" i="2"/>
  <c r="Z1696" i="2"/>
  <c r="Y1696" i="2"/>
  <c r="X1696" i="2"/>
  <c r="W1696" i="2"/>
  <c r="V1696" i="2"/>
  <c r="U1696" i="2"/>
  <c r="T1696" i="2"/>
  <c r="S1696" i="2"/>
  <c r="R1696" i="2"/>
  <c r="Q1696" i="2"/>
  <c r="P1696" i="2"/>
  <c r="O1696" i="2"/>
  <c r="N1696" i="2"/>
  <c r="K1696" i="2"/>
  <c r="J1696" i="2"/>
  <c r="I1696" i="2"/>
  <c r="H1696" i="2"/>
  <c r="G1696" i="2"/>
  <c r="F1696" i="2"/>
  <c r="E1696" i="2"/>
  <c r="D1696" i="2"/>
  <c r="C1696" i="2"/>
  <c r="B1696" i="2"/>
  <c r="A1696" i="2"/>
  <c r="AI1695" i="2"/>
  <c r="AH1695" i="2"/>
  <c r="AG1695" i="2"/>
  <c r="AF1695" i="2"/>
  <c r="AE1695" i="2"/>
  <c r="AD1695" i="2"/>
  <c r="AC1695" i="2"/>
  <c r="AB1695" i="2"/>
  <c r="AA1695" i="2"/>
  <c r="Z1695" i="2"/>
  <c r="Y1695" i="2"/>
  <c r="X1695" i="2"/>
  <c r="V1695" i="2"/>
  <c r="U1695" i="2"/>
  <c r="T1695" i="2"/>
  <c r="S1695" i="2"/>
  <c r="R1695" i="2"/>
  <c r="Q1695" i="2"/>
  <c r="P1695" i="2"/>
  <c r="O1695" i="2"/>
  <c r="N1695" i="2"/>
  <c r="K1695" i="2"/>
  <c r="J1695" i="2"/>
  <c r="I1695" i="2"/>
  <c r="H1695" i="2"/>
  <c r="G1695" i="2"/>
  <c r="F1695" i="2"/>
  <c r="E1695" i="2"/>
  <c r="D1695" i="2"/>
  <c r="C1695" i="2"/>
  <c r="B1695" i="2"/>
  <c r="A1695" i="2"/>
  <c r="AJ1694" i="2"/>
  <c r="AI1694" i="2"/>
  <c r="AH1694" i="2"/>
  <c r="AF1694" i="2"/>
  <c r="AE1694" i="2"/>
  <c r="AD1694" i="2"/>
  <c r="AC1694" i="2"/>
  <c r="AB1694" i="2"/>
  <c r="AA1694" i="2"/>
  <c r="Z1694" i="2"/>
  <c r="Y1694" i="2"/>
  <c r="X1694" i="2"/>
  <c r="W1694" i="2"/>
  <c r="V1694" i="2"/>
  <c r="U1694" i="2"/>
  <c r="T1694" i="2"/>
  <c r="S1694" i="2"/>
  <c r="R1694" i="2"/>
  <c r="Q1694" i="2"/>
  <c r="P1694" i="2"/>
  <c r="O1694" i="2"/>
  <c r="N1694" i="2"/>
  <c r="K1694" i="2"/>
  <c r="J1694" i="2"/>
  <c r="I1694" i="2"/>
  <c r="H1694" i="2"/>
  <c r="G1694" i="2"/>
  <c r="F1694" i="2"/>
  <c r="E1694" i="2"/>
  <c r="D1694" i="2"/>
  <c r="C1694" i="2"/>
  <c r="B1694" i="2"/>
  <c r="A1694" i="2"/>
  <c r="AJ1693" i="2"/>
  <c r="AI1693" i="2"/>
  <c r="AH1693" i="2"/>
  <c r="AG1693" i="2"/>
  <c r="AF1693" i="2"/>
  <c r="AE1693" i="2"/>
  <c r="AD1693" i="2"/>
  <c r="AC1693" i="2"/>
  <c r="AB1693" i="2"/>
  <c r="AA1693" i="2"/>
  <c r="Z1693" i="2"/>
  <c r="Y1693" i="2"/>
  <c r="V1693" i="2"/>
  <c r="U1693" i="2"/>
  <c r="T1693" i="2"/>
  <c r="S1693" i="2"/>
  <c r="R1693" i="2"/>
  <c r="Q1693" i="2"/>
  <c r="P1693" i="2"/>
  <c r="O1693" i="2"/>
  <c r="N1693" i="2"/>
  <c r="K1693" i="2"/>
  <c r="J1693" i="2"/>
  <c r="I1693" i="2"/>
  <c r="H1693" i="2"/>
  <c r="G1693" i="2"/>
  <c r="F1693" i="2"/>
  <c r="E1693" i="2"/>
  <c r="D1693" i="2"/>
  <c r="C1693" i="2"/>
  <c r="B1693" i="2"/>
  <c r="A1693" i="2"/>
  <c r="AJ1692" i="2"/>
  <c r="AI1692" i="2"/>
  <c r="AH1692" i="2"/>
  <c r="AG1692" i="2"/>
  <c r="AF1692" i="2"/>
  <c r="AE1692" i="2"/>
  <c r="AD1692" i="2"/>
  <c r="AC1692" i="2"/>
  <c r="AB1692" i="2"/>
  <c r="AA1692" i="2"/>
  <c r="Z1692" i="2"/>
  <c r="Y1692" i="2"/>
  <c r="X1692" i="2"/>
  <c r="W1692" i="2"/>
  <c r="V1692" i="2"/>
  <c r="U1692" i="2"/>
  <c r="T1692" i="2"/>
  <c r="S1692" i="2"/>
  <c r="R1692" i="2"/>
  <c r="Q1692" i="2"/>
  <c r="P1692" i="2"/>
  <c r="O1692" i="2"/>
  <c r="N1692" i="2"/>
  <c r="K1692" i="2"/>
  <c r="J1692" i="2"/>
  <c r="I1692" i="2"/>
  <c r="H1692" i="2"/>
  <c r="G1692" i="2"/>
  <c r="F1692" i="2"/>
  <c r="E1692" i="2"/>
  <c r="D1692" i="2"/>
  <c r="C1692" i="2"/>
  <c r="B1692" i="2"/>
  <c r="A1692" i="2"/>
  <c r="AI1691" i="2"/>
  <c r="AH1691" i="2"/>
  <c r="AG1691" i="2"/>
  <c r="AF1691" i="2"/>
  <c r="AE1691" i="2"/>
  <c r="AD1691" i="2"/>
  <c r="AC1691" i="2"/>
  <c r="AB1691" i="2"/>
  <c r="AA1691" i="2"/>
  <c r="Z1691" i="2"/>
  <c r="Y1691" i="2"/>
  <c r="X1691" i="2"/>
  <c r="V1691" i="2"/>
  <c r="U1691" i="2"/>
  <c r="T1691" i="2"/>
  <c r="S1691" i="2"/>
  <c r="R1691" i="2"/>
  <c r="Q1691" i="2"/>
  <c r="P1691" i="2"/>
  <c r="O1691" i="2"/>
  <c r="N1691" i="2"/>
  <c r="K1691" i="2"/>
  <c r="J1691" i="2"/>
  <c r="I1691" i="2"/>
  <c r="H1691" i="2"/>
  <c r="G1691" i="2"/>
  <c r="F1691" i="2"/>
  <c r="E1691" i="2"/>
  <c r="D1691" i="2"/>
  <c r="C1691" i="2"/>
  <c r="B1691" i="2"/>
  <c r="A1691" i="2"/>
  <c r="AI1690" i="2"/>
  <c r="AH1690" i="2"/>
  <c r="AG1690" i="2"/>
  <c r="AF1690" i="2"/>
  <c r="AE1690" i="2"/>
  <c r="AD1690" i="2"/>
  <c r="AC1690" i="2"/>
  <c r="AB1690" i="2"/>
  <c r="AA1690" i="2"/>
  <c r="Z1690" i="2"/>
  <c r="Y1690" i="2"/>
  <c r="X1690" i="2"/>
  <c r="U1690" i="2"/>
  <c r="T1690" i="2"/>
  <c r="S1690" i="2"/>
  <c r="R1690" i="2"/>
  <c r="Q1690" i="2"/>
  <c r="P1690" i="2"/>
  <c r="O1690" i="2"/>
  <c r="N1690" i="2"/>
  <c r="K1690" i="2"/>
  <c r="J1690" i="2"/>
  <c r="I1690" i="2"/>
  <c r="H1690" i="2"/>
  <c r="G1690" i="2"/>
  <c r="F1690" i="2"/>
  <c r="E1690" i="2"/>
  <c r="D1690" i="2"/>
  <c r="C1690" i="2"/>
  <c r="B1690" i="2"/>
  <c r="A1690" i="2"/>
  <c r="AI1689" i="2"/>
  <c r="AH1689" i="2"/>
  <c r="AF1689" i="2"/>
  <c r="AE1689" i="2"/>
  <c r="AD1689" i="2"/>
  <c r="AC1689" i="2"/>
  <c r="AA1689" i="2"/>
  <c r="Z1689" i="2"/>
  <c r="Y1689" i="2"/>
  <c r="X1689" i="2"/>
  <c r="V1689" i="2"/>
  <c r="U1689" i="2"/>
  <c r="T1689" i="2"/>
  <c r="S1689" i="2"/>
  <c r="R1689" i="2"/>
  <c r="Q1689" i="2"/>
  <c r="P1689" i="2"/>
  <c r="O1689" i="2"/>
  <c r="N1689" i="2"/>
  <c r="K1689" i="2"/>
  <c r="J1689" i="2"/>
  <c r="I1689" i="2"/>
  <c r="H1689" i="2"/>
  <c r="G1689" i="2"/>
  <c r="F1689" i="2"/>
  <c r="E1689" i="2"/>
  <c r="D1689" i="2"/>
  <c r="C1689" i="2"/>
  <c r="B1689" i="2"/>
  <c r="A1689" i="2"/>
  <c r="AI1688" i="2"/>
  <c r="AG1688" i="2"/>
  <c r="AF1688" i="2"/>
  <c r="AE1688" i="2"/>
  <c r="AD1688" i="2"/>
  <c r="AC1688" i="2"/>
  <c r="AB1688" i="2"/>
  <c r="AA1688" i="2"/>
  <c r="Z1688" i="2"/>
  <c r="Y1688" i="2"/>
  <c r="X1688" i="2"/>
  <c r="W1688" i="2"/>
  <c r="V1688" i="2"/>
  <c r="U1688" i="2"/>
  <c r="T1688" i="2"/>
  <c r="S1688" i="2"/>
  <c r="R1688" i="2"/>
  <c r="Q1688" i="2"/>
  <c r="P1688" i="2"/>
  <c r="O1688" i="2"/>
  <c r="N1688" i="2"/>
  <c r="K1688" i="2"/>
  <c r="J1688" i="2"/>
  <c r="I1688" i="2"/>
  <c r="H1688" i="2"/>
  <c r="G1688" i="2"/>
  <c r="F1688" i="2"/>
  <c r="E1688" i="2"/>
  <c r="D1688" i="2"/>
  <c r="C1688" i="2"/>
  <c r="B1688" i="2"/>
  <c r="A1688" i="2"/>
  <c r="AI1687" i="2"/>
  <c r="AH1687" i="2"/>
  <c r="AG1687" i="2"/>
  <c r="AF1687" i="2"/>
  <c r="AE1687" i="2"/>
  <c r="AD1687" i="2"/>
  <c r="AC1687" i="2"/>
  <c r="AB1687" i="2"/>
  <c r="AA1687" i="2"/>
  <c r="Z1687" i="2"/>
  <c r="Y1687" i="2"/>
  <c r="X1687" i="2"/>
  <c r="W1687" i="2"/>
  <c r="V1687" i="2"/>
  <c r="U1687" i="2"/>
  <c r="T1687" i="2"/>
  <c r="S1687" i="2"/>
  <c r="R1687" i="2"/>
  <c r="Q1687" i="2"/>
  <c r="P1687" i="2"/>
  <c r="O1687" i="2"/>
  <c r="N1687" i="2"/>
  <c r="K1687" i="2"/>
  <c r="J1687" i="2"/>
  <c r="I1687" i="2"/>
  <c r="H1687" i="2"/>
  <c r="G1687" i="2"/>
  <c r="F1687" i="2"/>
  <c r="E1687" i="2"/>
  <c r="D1687" i="2"/>
  <c r="C1687" i="2"/>
  <c r="B1687" i="2"/>
  <c r="A1687" i="2"/>
  <c r="AI1686" i="2"/>
  <c r="AH1686" i="2"/>
  <c r="AG1686" i="2"/>
  <c r="AF1686" i="2"/>
  <c r="AE1686" i="2"/>
  <c r="AD1686" i="2"/>
  <c r="AC1686" i="2"/>
  <c r="AB1686" i="2"/>
  <c r="AA1686" i="2"/>
  <c r="Z1686" i="2"/>
  <c r="Y1686" i="2"/>
  <c r="X1686" i="2"/>
  <c r="W1686" i="2"/>
  <c r="V1686" i="2"/>
  <c r="U1686" i="2"/>
  <c r="T1686" i="2"/>
  <c r="S1686" i="2"/>
  <c r="R1686" i="2"/>
  <c r="Q1686" i="2"/>
  <c r="P1686" i="2"/>
  <c r="O1686" i="2"/>
  <c r="N1686" i="2"/>
  <c r="K1686" i="2"/>
  <c r="J1686" i="2"/>
  <c r="I1686" i="2"/>
  <c r="H1686" i="2"/>
  <c r="G1686" i="2"/>
  <c r="F1686" i="2"/>
  <c r="E1686" i="2"/>
  <c r="D1686" i="2"/>
  <c r="C1686" i="2"/>
  <c r="B1686" i="2"/>
  <c r="A1686" i="2"/>
  <c r="AI1685" i="2"/>
  <c r="AH1685" i="2"/>
  <c r="AG1685" i="2"/>
  <c r="AF1685" i="2"/>
  <c r="AE1685" i="2"/>
  <c r="AD1685" i="2"/>
  <c r="AC1685" i="2"/>
  <c r="AB1685" i="2"/>
  <c r="AA1685" i="2"/>
  <c r="Z1685" i="2"/>
  <c r="Y1685" i="2"/>
  <c r="X1685" i="2"/>
  <c r="V1685" i="2"/>
  <c r="U1685" i="2"/>
  <c r="T1685" i="2"/>
  <c r="S1685" i="2"/>
  <c r="R1685" i="2"/>
  <c r="Q1685" i="2"/>
  <c r="P1685" i="2"/>
  <c r="O1685" i="2"/>
  <c r="N1685" i="2"/>
  <c r="K1685" i="2"/>
  <c r="J1685" i="2"/>
  <c r="I1685" i="2"/>
  <c r="H1685" i="2"/>
  <c r="G1685" i="2"/>
  <c r="F1685" i="2"/>
  <c r="E1685" i="2"/>
  <c r="D1685" i="2"/>
  <c r="C1685" i="2"/>
  <c r="B1685" i="2"/>
  <c r="A1685" i="2"/>
  <c r="AJ1684" i="2"/>
  <c r="AI1684" i="2"/>
  <c r="AH1684" i="2"/>
  <c r="AG1684" i="2"/>
  <c r="AF1684" i="2"/>
  <c r="AE1684" i="2"/>
  <c r="AD1684" i="2"/>
  <c r="AC1684" i="2"/>
  <c r="AB1684" i="2"/>
  <c r="AA1684" i="2"/>
  <c r="Z1684" i="2"/>
  <c r="Y1684" i="2"/>
  <c r="W1684" i="2"/>
  <c r="V1684" i="2"/>
  <c r="U1684" i="2"/>
  <c r="T1684" i="2"/>
  <c r="S1684" i="2"/>
  <c r="R1684" i="2"/>
  <c r="Q1684" i="2"/>
  <c r="P1684" i="2"/>
  <c r="O1684" i="2"/>
  <c r="N1684" i="2"/>
  <c r="M1684" i="2"/>
  <c r="K1684" i="2"/>
  <c r="J1684" i="2"/>
  <c r="I1684" i="2"/>
  <c r="H1684" i="2"/>
  <c r="G1684" i="2"/>
  <c r="F1684" i="2"/>
  <c r="E1684" i="2"/>
  <c r="D1684" i="2"/>
  <c r="C1684" i="2"/>
  <c r="B1684" i="2"/>
  <c r="A1684" i="2"/>
  <c r="AJ1683" i="2"/>
  <c r="AI1683" i="2"/>
  <c r="AH1683" i="2"/>
  <c r="AF1683" i="2"/>
  <c r="AE1683" i="2"/>
  <c r="AD1683" i="2"/>
  <c r="AC1683" i="2"/>
  <c r="AB1683" i="2"/>
  <c r="AA1683" i="2"/>
  <c r="Z1683" i="2"/>
  <c r="Y1683" i="2"/>
  <c r="U1683" i="2"/>
  <c r="T1683" i="2"/>
  <c r="S1683" i="2"/>
  <c r="R1683" i="2"/>
  <c r="Q1683" i="2"/>
  <c r="P1683" i="2"/>
  <c r="O1683" i="2"/>
  <c r="N1683" i="2"/>
  <c r="K1683" i="2"/>
  <c r="J1683" i="2"/>
  <c r="I1683" i="2"/>
  <c r="H1683" i="2"/>
  <c r="G1683" i="2"/>
  <c r="F1683" i="2"/>
  <c r="E1683" i="2"/>
  <c r="D1683" i="2"/>
  <c r="C1683" i="2"/>
  <c r="B1683" i="2"/>
  <c r="A1683" i="2"/>
  <c r="AI1682" i="2"/>
  <c r="AH1682" i="2"/>
  <c r="AG1682" i="2"/>
  <c r="AF1682" i="2"/>
  <c r="AE1682" i="2"/>
  <c r="AD1682" i="2"/>
  <c r="AC1682" i="2"/>
  <c r="AB1682" i="2"/>
  <c r="AA1682" i="2"/>
  <c r="Z1682" i="2"/>
  <c r="Y1682" i="2"/>
  <c r="X1682" i="2"/>
  <c r="W1682" i="2"/>
  <c r="V1682" i="2"/>
  <c r="U1682" i="2"/>
  <c r="T1682" i="2"/>
  <c r="S1682" i="2"/>
  <c r="R1682" i="2"/>
  <c r="Q1682" i="2"/>
  <c r="P1682" i="2"/>
  <c r="O1682" i="2"/>
  <c r="N1682" i="2"/>
  <c r="K1682" i="2"/>
  <c r="J1682" i="2"/>
  <c r="I1682" i="2"/>
  <c r="H1682" i="2"/>
  <c r="G1682" i="2"/>
  <c r="F1682" i="2"/>
  <c r="E1682" i="2"/>
  <c r="D1682" i="2"/>
  <c r="C1682" i="2"/>
  <c r="B1682" i="2"/>
  <c r="A1682" i="2"/>
  <c r="AI1681" i="2"/>
  <c r="AH1681" i="2"/>
  <c r="AF1681" i="2"/>
  <c r="AE1681" i="2"/>
  <c r="AD1681" i="2"/>
  <c r="AC1681" i="2"/>
  <c r="AB1681" i="2"/>
  <c r="AA1681" i="2"/>
  <c r="Z1681" i="2"/>
  <c r="Y1681" i="2"/>
  <c r="X1681" i="2"/>
  <c r="W1681" i="2"/>
  <c r="V1681" i="2"/>
  <c r="U1681" i="2"/>
  <c r="T1681" i="2"/>
  <c r="S1681" i="2"/>
  <c r="R1681" i="2"/>
  <c r="Q1681" i="2"/>
  <c r="P1681" i="2"/>
  <c r="O1681" i="2"/>
  <c r="N1681" i="2"/>
  <c r="K1681" i="2"/>
  <c r="J1681" i="2"/>
  <c r="I1681" i="2"/>
  <c r="H1681" i="2"/>
  <c r="G1681" i="2"/>
  <c r="F1681" i="2"/>
  <c r="E1681" i="2"/>
  <c r="D1681" i="2"/>
  <c r="C1681" i="2"/>
  <c r="B1681" i="2"/>
  <c r="A1681" i="2"/>
  <c r="AI1680" i="2"/>
  <c r="AH1680" i="2"/>
  <c r="AG1680" i="2"/>
  <c r="AF1680" i="2"/>
  <c r="AE1680" i="2"/>
  <c r="AD1680" i="2"/>
  <c r="AC1680" i="2"/>
  <c r="AB1680" i="2"/>
  <c r="AA1680" i="2"/>
  <c r="Z1680" i="2"/>
  <c r="Y1680" i="2"/>
  <c r="X1680" i="2"/>
  <c r="W1680" i="2"/>
  <c r="V1680" i="2"/>
  <c r="U1680" i="2"/>
  <c r="T1680" i="2"/>
  <c r="S1680" i="2"/>
  <c r="R1680" i="2"/>
  <c r="Q1680" i="2"/>
  <c r="P1680" i="2"/>
  <c r="O1680" i="2"/>
  <c r="N1680" i="2"/>
  <c r="K1680" i="2"/>
  <c r="J1680" i="2"/>
  <c r="I1680" i="2"/>
  <c r="H1680" i="2"/>
  <c r="G1680" i="2"/>
  <c r="F1680" i="2"/>
  <c r="E1680" i="2"/>
  <c r="D1680" i="2"/>
  <c r="C1680" i="2"/>
  <c r="B1680" i="2"/>
  <c r="A1680" i="2"/>
  <c r="AJ1679" i="2"/>
  <c r="AI1679" i="2"/>
  <c r="AH1679" i="2"/>
  <c r="AG1679" i="2"/>
  <c r="AF1679" i="2"/>
  <c r="AE1679" i="2"/>
  <c r="AD1679" i="2"/>
  <c r="AC1679" i="2"/>
  <c r="AB1679" i="2"/>
  <c r="AA1679" i="2"/>
  <c r="Z1679" i="2"/>
  <c r="Y1679" i="2"/>
  <c r="W1679" i="2"/>
  <c r="V1679" i="2"/>
  <c r="U1679" i="2"/>
  <c r="T1679" i="2"/>
  <c r="S1679" i="2"/>
  <c r="R1679" i="2"/>
  <c r="Q1679" i="2"/>
  <c r="P1679" i="2"/>
  <c r="O1679" i="2"/>
  <c r="N1679" i="2"/>
  <c r="K1679" i="2"/>
  <c r="J1679" i="2"/>
  <c r="I1679" i="2"/>
  <c r="H1679" i="2"/>
  <c r="G1679" i="2"/>
  <c r="F1679" i="2"/>
  <c r="E1679" i="2"/>
  <c r="D1679" i="2"/>
  <c r="C1679" i="2"/>
  <c r="B1679" i="2"/>
  <c r="A1679" i="2"/>
  <c r="AI1678" i="2"/>
  <c r="AH1678" i="2"/>
  <c r="AG1678" i="2"/>
  <c r="AF1678" i="2"/>
  <c r="AE1678" i="2"/>
  <c r="AD1678" i="2"/>
  <c r="AC1678" i="2"/>
  <c r="AB1678" i="2"/>
  <c r="AA1678" i="2"/>
  <c r="Z1678" i="2"/>
  <c r="Y1678" i="2"/>
  <c r="X1678" i="2"/>
  <c r="W1678" i="2"/>
  <c r="V1678" i="2"/>
  <c r="U1678" i="2"/>
  <c r="T1678" i="2"/>
  <c r="S1678" i="2"/>
  <c r="R1678" i="2"/>
  <c r="Q1678" i="2"/>
  <c r="P1678" i="2"/>
  <c r="O1678" i="2"/>
  <c r="N1678" i="2"/>
  <c r="K1678" i="2"/>
  <c r="J1678" i="2"/>
  <c r="I1678" i="2"/>
  <c r="H1678" i="2"/>
  <c r="G1678" i="2"/>
  <c r="F1678" i="2"/>
  <c r="E1678" i="2"/>
  <c r="D1678" i="2"/>
  <c r="C1678" i="2"/>
  <c r="B1678" i="2"/>
  <c r="A1678" i="2"/>
  <c r="AI1677" i="2"/>
  <c r="AH1677" i="2"/>
  <c r="AG1677" i="2"/>
  <c r="AF1677" i="2"/>
  <c r="AE1677" i="2"/>
  <c r="AD1677" i="2"/>
  <c r="AC1677" i="2"/>
  <c r="AB1677" i="2"/>
  <c r="AA1677" i="2"/>
  <c r="Z1677" i="2"/>
  <c r="Y1677" i="2"/>
  <c r="X1677" i="2"/>
  <c r="W1677" i="2"/>
  <c r="V1677" i="2"/>
  <c r="U1677" i="2"/>
  <c r="T1677" i="2"/>
  <c r="S1677" i="2"/>
  <c r="R1677" i="2"/>
  <c r="Q1677" i="2"/>
  <c r="P1677" i="2"/>
  <c r="O1677" i="2"/>
  <c r="N1677" i="2"/>
  <c r="K1677" i="2"/>
  <c r="J1677" i="2"/>
  <c r="I1677" i="2"/>
  <c r="H1677" i="2"/>
  <c r="G1677" i="2"/>
  <c r="F1677" i="2"/>
  <c r="E1677" i="2"/>
  <c r="D1677" i="2"/>
  <c r="C1677" i="2"/>
  <c r="B1677" i="2"/>
  <c r="A1677" i="2"/>
  <c r="AI1676" i="2"/>
  <c r="AH1676" i="2"/>
  <c r="AG1676" i="2"/>
  <c r="AF1676" i="2"/>
  <c r="AE1676" i="2"/>
  <c r="AD1676" i="2"/>
  <c r="AC1676" i="2"/>
  <c r="AB1676" i="2"/>
  <c r="AA1676" i="2"/>
  <c r="Z1676" i="2"/>
  <c r="Y1676" i="2"/>
  <c r="X1676" i="2"/>
  <c r="W1676" i="2"/>
  <c r="U1676" i="2"/>
  <c r="T1676" i="2"/>
  <c r="S1676" i="2"/>
  <c r="R1676" i="2"/>
  <c r="Q1676" i="2"/>
  <c r="P1676" i="2"/>
  <c r="O1676" i="2"/>
  <c r="N1676" i="2"/>
  <c r="K1676" i="2"/>
  <c r="J1676" i="2"/>
  <c r="I1676" i="2"/>
  <c r="H1676" i="2"/>
  <c r="G1676" i="2"/>
  <c r="F1676" i="2"/>
  <c r="E1676" i="2"/>
  <c r="D1676" i="2"/>
  <c r="C1676" i="2"/>
  <c r="B1676" i="2"/>
  <c r="A1676" i="2"/>
  <c r="AJ1675" i="2"/>
  <c r="AI1675" i="2"/>
  <c r="AH1675" i="2"/>
  <c r="AG1675" i="2"/>
  <c r="AF1675" i="2"/>
  <c r="AE1675" i="2"/>
  <c r="AD1675" i="2"/>
  <c r="AC1675" i="2"/>
  <c r="AB1675" i="2"/>
  <c r="AA1675" i="2"/>
  <c r="Z1675" i="2"/>
  <c r="Y1675" i="2"/>
  <c r="X1675" i="2"/>
  <c r="U1675" i="2"/>
  <c r="T1675" i="2"/>
  <c r="S1675" i="2"/>
  <c r="R1675" i="2"/>
  <c r="Q1675" i="2"/>
  <c r="P1675" i="2"/>
  <c r="O1675" i="2"/>
  <c r="N1675" i="2"/>
  <c r="K1675" i="2"/>
  <c r="J1675" i="2"/>
  <c r="I1675" i="2"/>
  <c r="H1675" i="2"/>
  <c r="G1675" i="2"/>
  <c r="F1675" i="2"/>
  <c r="E1675" i="2"/>
  <c r="D1675" i="2"/>
  <c r="C1675" i="2"/>
  <c r="B1675" i="2"/>
  <c r="A1675" i="2"/>
  <c r="AJ1674" i="2"/>
  <c r="AI1674" i="2"/>
  <c r="AH1674" i="2"/>
  <c r="AF1674" i="2"/>
  <c r="AE1674" i="2"/>
  <c r="AD1674" i="2"/>
  <c r="AC1674" i="2"/>
  <c r="AB1674" i="2"/>
  <c r="AA1674" i="2"/>
  <c r="Z1674" i="2"/>
  <c r="Y1674" i="2"/>
  <c r="X1674" i="2"/>
  <c r="W1674" i="2"/>
  <c r="V1674" i="2"/>
  <c r="U1674" i="2"/>
  <c r="T1674" i="2"/>
  <c r="S1674" i="2"/>
  <c r="R1674" i="2"/>
  <c r="Q1674" i="2"/>
  <c r="P1674" i="2"/>
  <c r="O1674" i="2"/>
  <c r="N1674" i="2"/>
  <c r="M1674" i="2"/>
  <c r="L1674" i="2"/>
  <c r="K1674" i="2"/>
  <c r="J1674" i="2"/>
  <c r="I1674" i="2"/>
  <c r="H1674" i="2"/>
  <c r="G1674" i="2"/>
  <c r="F1674" i="2"/>
  <c r="E1674" i="2"/>
  <c r="D1674" i="2"/>
  <c r="C1674" i="2"/>
  <c r="B1674" i="2"/>
  <c r="A1674" i="2"/>
  <c r="AI1673" i="2"/>
  <c r="AH1673" i="2"/>
  <c r="AG1673" i="2"/>
  <c r="AF1673" i="2"/>
  <c r="AE1673" i="2"/>
  <c r="AD1673" i="2"/>
  <c r="AC1673" i="2"/>
  <c r="AA1673" i="2"/>
  <c r="Z1673" i="2"/>
  <c r="Y1673" i="2"/>
  <c r="X1673" i="2"/>
  <c r="W1673" i="2"/>
  <c r="V1673" i="2"/>
  <c r="U1673" i="2"/>
  <c r="T1673" i="2"/>
  <c r="S1673" i="2"/>
  <c r="R1673" i="2"/>
  <c r="Q1673" i="2"/>
  <c r="P1673" i="2"/>
  <c r="O1673" i="2"/>
  <c r="N1673" i="2"/>
  <c r="K1673" i="2"/>
  <c r="J1673" i="2"/>
  <c r="I1673" i="2"/>
  <c r="H1673" i="2"/>
  <c r="G1673" i="2"/>
  <c r="F1673" i="2"/>
  <c r="E1673" i="2"/>
  <c r="D1673" i="2"/>
  <c r="C1673" i="2"/>
  <c r="B1673" i="2"/>
  <c r="A1673" i="2"/>
  <c r="AJ1672" i="2"/>
  <c r="AI1672" i="2"/>
  <c r="AH1672" i="2"/>
  <c r="AG1672" i="2"/>
  <c r="AF1672" i="2"/>
  <c r="AE1672" i="2"/>
  <c r="AD1672" i="2"/>
  <c r="AC1672" i="2"/>
  <c r="AB1672" i="2"/>
  <c r="AA1672" i="2"/>
  <c r="Z1672" i="2"/>
  <c r="Y1672" i="2"/>
  <c r="X1672" i="2"/>
  <c r="W1672" i="2"/>
  <c r="V1672" i="2"/>
  <c r="U1672" i="2"/>
  <c r="T1672" i="2"/>
  <c r="S1672" i="2"/>
  <c r="R1672" i="2"/>
  <c r="Q1672" i="2"/>
  <c r="P1672" i="2"/>
  <c r="O1672" i="2"/>
  <c r="N1672" i="2"/>
  <c r="K1672" i="2"/>
  <c r="J1672" i="2"/>
  <c r="I1672" i="2"/>
  <c r="H1672" i="2"/>
  <c r="G1672" i="2"/>
  <c r="F1672" i="2"/>
  <c r="E1672" i="2"/>
  <c r="D1672" i="2"/>
  <c r="C1672" i="2"/>
  <c r="B1672" i="2"/>
  <c r="A1672" i="2"/>
  <c r="AI1671" i="2"/>
  <c r="AH1671" i="2"/>
  <c r="AG1671" i="2"/>
  <c r="AF1671" i="2"/>
  <c r="AE1671" i="2"/>
  <c r="AD1671" i="2"/>
  <c r="AC1671" i="2"/>
  <c r="AB1671" i="2"/>
  <c r="AA1671" i="2"/>
  <c r="Z1671" i="2"/>
  <c r="Y1671" i="2"/>
  <c r="X1671" i="2"/>
  <c r="V1671" i="2"/>
  <c r="U1671" i="2"/>
  <c r="T1671" i="2"/>
  <c r="S1671" i="2"/>
  <c r="R1671" i="2"/>
  <c r="Q1671" i="2"/>
  <c r="P1671" i="2"/>
  <c r="O1671" i="2"/>
  <c r="N1671" i="2"/>
  <c r="K1671" i="2"/>
  <c r="J1671" i="2"/>
  <c r="I1671" i="2"/>
  <c r="H1671" i="2"/>
  <c r="G1671" i="2"/>
  <c r="F1671" i="2"/>
  <c r="E1671" i="2"/>
  <c r="D1671" i="2"/>
  <c r="C1671" i="2"/>
  <c r="B1671" i="2"/>
  <c r="A1671" i="2"/>
  <c r="AI1670" i="2"/>
  <c r="AH1670" i="2"/>
  <c r="AG1670" i="2"/>
  <c r="AF1670" i="2"/>
  <c r="AE1670" i="2"/>
  <c r="AD1670" i="2"/>
  <c r="AC1670" i="2"/>
  <c r="AB1670" i="2"/>
  <c r="AA1670" i="2"/>
  <c r="Z1670" i="2"/>
  <c r="Y1670" i="2"/>
  <c r="X1670" i="2"/>
  <c r="W1670" i="2"/>
  <c r="V1670" i="2"/>
  <c r="U1670" i="2"/>
  <c r="T1670" i="2"/>
  <c r="S1670" i="2"/>
  <c r="R1670" i="2"/>
  <c r="Q1670" i="2"/>
  <c r="P1670" i="2"/>
  <c r="O1670" i="2"/>
  <c r="N1670" i="2"/>
  <c r="K1670" i="2"/>
  <c r="J1670" i="2"/>
  <c r="I1670" i="2"/>
  <c r="H1670" i="2"/>
  <c r="G1670" i="2"/>
  <c r="F1670" i="2"/>
  <c r="E1670" i="2"/>
  <c r="D1670" i="2"/>
  <c r="C1670" i="2"/>
  <c r="B1670" i="2"/>
  <c r="A1670" i="2"/>
  <c r="AI1669" i="2"/>
  <c r="AH1669" i="2"/>
  <c r="AG1669" i="2"/>
  <c r="AF1669" i="2"/>
  <c r="AE1669" i="2"/>
  <c r="AD1669" i="2"/>
  <c r="AC1669" i="2"/>
  <c r="AB1669" i="2"/>
  <c r="AA1669" i="2"/>
  <c r="Z1669" i="2"/>
  <c r="Y1669" i="2"/>
  <c r="X1669" i="2"/>
  <c r="W1669" i="2"/>
  <c r="V1669" i="2"/>
  <c r="U1669" i="2"/>
  <c r="T1669" i="2"/>
  <c r="S1669" i="2"/>
  <c r="R1669" i="2"/>
  <c r="Q1669" i="2"/>
  <c r="P1669" i="2"/>
  <c r="O1669" i="2"/>
  <c r="N1669" i="2"/>
  <c r="K1669" i="2"/>
  <c r="J1669" i="2"/>
  <c r="I1669" i="2"/>
  <c r="H1669" i="2"/>
  <c r="G1669" i="2"/>
  <c r="F1669" i="2"/>
  <c r="E1669" i="2"/>
  <c r="D1669" i="2"/>
  <c r="C1669" i="2"/>
  <c r="B1669" i="2"/>
  <c r="A1669" i="2"/>
  <c r="AI1668" i="2"/>
  <c r="AH1668" i="2"/>
  <c r="AG1668" i="2"/>
  <c r="AF1668" i="2"/>
  <c r="AE1668" i="2"/>
  <c r="AD1668" i="2"/>
  <c r="AC1668" i="2"/>
  <c r="AB1668" i="2"/>
  <c r="AA1668" i="2"/>
  <c r="Z1668" i="2"/>
  <c r="Y1668" i="2"/>
  <c r="X1668" i="2"/>
  <c r="V1668" i="2"/>
  <c r="U1668" i="2"/>
  <c r="T1668" i="2"/>
  <c r="S1668" i="2"/>
  <c r="R1668" i="2"/>
  <c r="Q1668" i="2"/>
  <c r="P1668" i="2"/>
  <c r="O1668" i="2"/>
  <c r="N1668" i="2"/>
  <c r="K1668" i="2"/>
  <c r="J1668" i="2"/>
  <c r="I1668" i="2"/>
  <c r="H1668" i="2"/>
  <c r="G1668" i="2"/>
  <c r="F1668" i="2"/>
  <c r="E1668" i="2"/>
  <c r="D1668" i="2"/>
  <c r="C1668" i="2"/>
  <c r="B1668" i="2"/>
  <c r="A1668" i="2"/>
  <c r="AI1667" i="2"/>
  <c r="AH1667" i="2"/>
  <c r="AG1667" i="2"/>
  <c r="AF1667" i="2"/>
  <c r="AE1667" i="2"/>
  <c r="AD1667" i="2"/>
  <c r="AC1667" i="2"/>
  <c r="AB1667" i="2"/>
  <c r="AA1667" i="2"/>
  <c r="Z1667" i="2"/>
  <c r="Y1667" i="2"/>
  <c r="X1667" i="2"/>
  <c r="W1667" i="2"/>
  <c r="V1667" i="2"/>
  <c r="U1667" i="2"/>
  <c r="T1667" i="2"/>
  <c r="S1667" i="2"/>
  <c r="R1667" i="2"/>
  <c r="Q1667" i="2"/>
  <c r="P1667" i="2"/>
  <c r="O1667" i="2"/>
  <c r="N1667" i="2"/>
  <c r="K1667" i="2"/>
  <c r="J1667" i="2"/>
  <c r="I1667" i="2"/>
  <c r="H1667" i="2"/>
  <c r="G1667" i="2"/>
  <c r="F1667" i="2"/>
  <c r="E1667" i="2"/>
  <c r="D1667" i="2"/>
  <c r="C1667" i="2"/>
  <c r="B1667" i="2"/>
  <c r="A1667" i="2"/>
  <c r="AI1666" i="2"/>
  <c r="AH1666" i="2"/>
  <c r="AG1666" i="2"/>
  <c r="AF1666" i="2"/>
  <c r="AE1666" i="2"/>
  <c r="AD1666" i="2"/>
  <c r="AC1666" i="2"/>
  <c r="AB1666" i="2"/>
  <c r="AA1666" i="2"/>
  <c r="Z1666" i="2"/>
  <c r="Y1666" i="2"/>
  <c r="X1666" i="2"/>
  <c r="V1666" i="2"/>
  <c r="U1666" i="2"/>
  <c r="T1666" i="2"/>
  <c r="S1666" i="2"/>
  <c r="R1666" i="2"/>
  <c r="Q1666" i="2"/>
  <c r="P1666" i="2"/>
  <c r="O1666" i="2"/>
  <c r="N1666" i="2"/>
  <c r="K1666" i="2"/>
  <c r="J1666" i="2"/>
  <c r="I1666" i="2"/>
  <c r="H1666" i="2"/>
  <c r="G1666" i="2"/>
  <c r="F1666" i="2"/>
  <c r="E1666" i="2"/>
  <c r="D1666" i="2"/>
  <c r="C1666" i="2"/>
  <c r="B1666" i="2"/>
  <c r="A1666" i="2"/>
  <c r="AJ1665" i="2"/>
  <c r="AI1665" i="2"/>
  <c r="AH1665" i="2"/>
  <c r="AG1665" i="2"/>
  <c r="AF1665" i="2"/>
  <c r="AE1665" i="2"/>
  <c r="AD1665" i="2"/>
  <c r="AC1665" i="2"/>
  <c r="AB1665" i="2"/>
  <c r="AA1665" i="2"/>
  <c r="Z1665" i="2"/>
  <c r="Y1665" i="2"/>
  <c r="X1665" i="2"/>
  <c r="W1665" i="2"/>
  <c r="V1665" i="2"/>
  <c r="U1665" i="2"/>
  <c r="T1665" i="2"/>
  <c r="S1665" i="2"/>
  <c r="R1665" i="2"/>
  <c r="Q1665" i="2"/>
  <c r="P1665" i="2"/>
  <c r="O1665" i="2"/>
  <c r="N1665" i="2"/>
  <c r="K1665" i="2"/>
  <c r="J1665" i="2"/>
  <c r="I1665" i="2"/>
  <c r="H1665" i="2"/>
  <c r="G1665" i="2"/>
  <c r="F1665" i="2"/>
  <c r="E1665" i="2"/>
  <c r="D1665" i="2"/>
  <c r="C1665" i="2"/>
  <c r="B1665" i="2"/>
  <c r="A1665" i="2"/>
  <c r="AI1664" i="2"/>
  <c r="AH1664" i="2"/>
  <c r="AG1664" i="2"/>
  <c r="AF1664" i="2"/>
  <c r="AE1664" i="2"/>
  <c r="AD1664" i="2"/>
  <c r="AC1664" i="2"/>
  <c r="AB1664" i="2"/>
  <c r="AA1664" i="2"/>
  <c r="Z1664" i="2"/>
  <c r="Y1664" i="2"/>
  <c r="V1664" i="2"/>
  <c r="U1664" i="2"/>
  <c r="T1664" i="2"/>
  <c r="S1664" i="2"/>
  <c r="R1664" i="2"/>
  <c r="Q1664" i="2"/>
  <c r="P1664" i="2"/>
  <c r="O1664" i="2"/>
  <c r="N1664" i="2"/>
  <c r="K1664" i="2"/>
  <c r="J1664" i="2"/>
  <c r="I1664" i="2"/>
  <c r="H1664" i="2"/>
  <c r="G1664" i="2"/>
  <c r="F1664" i="2"/>
  <c r="E1664" i="2"/>
  <c r="D1664" i="2"/>
  <c r="C1664" i="2"/>
  <c r="B1664" i="2"/>
  <c r="A1664" i="2"/>
  <c r="AI1663" i="2"/>
  <c r="AH1663" i="2"/>
  <c r="AG1663" i="2"/>
  <c r="AF1663" i="2"/>
  <c r="AE1663" i="2"/>
  <c r="AD1663" i="2"/>
  <c r="AC1663" i="2"/>
  <c r="AB1663" i="2"/>
  <c r="AA1663" i="2"/>
  <c r="Z1663" i="2"/>
  <c r="Y1663" i="2"/>
  <c r="X1663" i="2"/>
  <c r="W1663" i="2"/>
  <c r="V1663" i="2"/>
  <c r="U1663" i="2"/>
  <c r="T1663" i="2"/>
  <c r="S1663" i="2"/>
  <c r="R1663" i="2"/>
  <c r="Q1663" i="2"/>
  <c r="P1663" i="2"/>
  <c r="O1663" i="2"/>
  <c r="N1663" i="2"/>
  <c r="K1663" i="2"/>
  <c r="J1663" i="2"/>
  <c r="I1663" i="2"/>
  <c r="H1663" i="2"/>
  <c r="G1663" i="2"/>
  <c r="F1663" i="2"/>
  <c r="E1663" i="2"/>
  <c r="D1663" i="2"/>
  <c r="C1663" i="2"/>
  <c r="B1663" i="2"/>
  <c r="A1663" i="2"/>
  <c r="AJ1662" i="2"/>
  <c r="AI1662" i="2"/>
  <c r="AH1662" i="2"/>
  <c r="AG1662" i="2"/>
  <c r="AF1662" i="2"/>
  <c r="AE1662" i="2"/>
  <c r="AD1662" i="2"/>
  <c r="AC1662" i="2"/>
  <c r="AB1662" i="2"/>
  <c r="AA1662" i="2"/>
  <c r="Z1662" i="2"/>
  <c r="Y1662" i="2"/>
  <c r="X1662" i="2"/>
  <c r="W1662" i="2"/>
  <c r="V1662" i="2"/>
  <c r="U1662" i="2"/>
  <c r="T1662" i="2"/>
  <c r="S1662" i="2"/>
  <c r="R1662" i="2"/>
  <c r="Q1662" i="2"/>
  <c r="P1662" i="2"/>
  <c r="O1662" i="2"/>
  <c r="N1662" i="2"/>
  <c r="K1662" i="2"/>
  <c r="J1662" i="2"/>
  <c r="I1662" i="2"/>
  <c r="H1662" i="2"/>
  <c r="G1662" i="2"/>
  <c r="F1662" i="2"/>
  <c r="E1662" i="2"/>
  <c r="D1662" i="2"/>
  <c r="C1662" i="2"/>
  <c r="B1662" i="2"/>
  <c r="A1662" i="2"/>
  <c r="AI1661" i="2"/>
  <c r="AH1661" i="2"/>
  <c r="AF1661" i="2"/>
  <c r="AE1661" i="2"/>
  <c r="AD1661" i="2"/>
  <c r="AC1661" i="2"/>
  <c r="AB1661" i="2"/>
  <c r="AA1661" i="2"/>
  <c r="Z1661" i="2"/>
  <c r="Y1661" i="2"/>
  <c r="X1661" i="2"/>
  <c r="W1661" i="2"/>
  <c r="V1661" i="2"/>
  <c r="U1661" i="2"/>
  <c r="T1661" i="2"/>
  <c r="S1661" i="2"/>
  <c r="R1661" i="2"/>
  <c r="Q1661" i="2"/>
  <c r="P1661" i="2"/>
  <c r="O1661" i="2"/>
  <c r="N1661" i="2"/>
  <c r="K1661" i="2"/>
  <c r="J1661" i="2"/>
  <c r="I1661" i="2"/>
  <c r="H1661" i="2"/>
  <c r="G1661" i="2"/>
  <c r="F1661" i="2"/>
  <c r="E1661" i="2"/>
  <c r="D1661" i="2"/>
  <c r="C1661" i="2"/>
  <c r="B1661" i="2"/>
  <c r="A1661" i="2"/>
  <c r="AI1660" i="2"/>
  <c r="AH1660" i="2"/>
  <c r="AG1660" i="2"/>
  <c r="AF1660" i="2"/>
  <c r="AE1660" i="2"/>
  <c r="AD1660" i="2"/>
  <c r="AC1660" i="2"/>
  <c r="AB1660" i="2"/>
  <c r="AA1660" i="2"/>
  <c r="Z1660" i="2"/>
  <c r="Y1660" i="2"/>
  <c r="X1660" i="2"/>
  <c r="V1660" i="2"/>
  <c r="U1660" i="2"/>
  <c r="T1660" i="2"/>
  <c r="S1660" i="2"/>
  <c r="R1660" i="2"/>
  <c r="Q1660" i="2"/>
  <c r="P1660" i="2"/>
  <c r="O1660" i="2"/>
  <c r="N1660" i="2"/>
  <c r="K1660" i="2"/>
  <c r="J1660" i="2"/>
  <c r="I1660" i="2"/>
  <c r="H1660" i="2"/>
  <c r="G1660" i="2"/>
  <c r="F1660" i="2"/>
  <c r="E1660" i="2"/>
  <c r="D1660" i="2"/>
  <c r="C1660" i="2"/>
  <c r="B1660" i="2"/>
  <c r="A1660" i="2"/>
  <c r="AI1659" i="2"/>
  <c r="AH1659" i="2"/>
  <c r="AG1659" i="2"/>
  <c r="AF1659" i="2"/>
  <c r="AE1659" i="2"/>
  <c r="AD1659" i="2"/>
  <c r="AC1659" i="2"/>
  <c r="AB1659" i="2"/>
  <c r="AA1659" i="2"/>
  <c r="Z1659" i="2"/>
  <c r="Y1659" i="2"/>
  <c r="X1659" i="2"/>
  <c r="U1659" i="2"/>
  <c r="T1659" i="2"/>
  <c r="S1659" i="2"/>
  <c r="R1659" i="2"/>
  <c r="Q1659" i="2"/>
  <c r="P1659" i="2"/>
  <c r="O1659" i="2"/>
  <c r="N1659" i="2"/>
  <c r="K1659" i="2"/>
  <c r="J1659" i="2"/>
  <c r="I1659" i="2"/>
  <c r="H1659" i="2"/>
  <c r="G1659" i="2"/>
  <c r="F1659" i="2"/>
  <c r="E1659" i="2"/>
  <c r="D1659" i="2"/>
  <c r="C1659" i="2"/>
  <c r="B1659" i="2"/>
  <c r="A1659" i="2"/>
  <c r="AI1658" i="2"/>
  <c r="AH1658" i="2"/>
  <c r="AG1658" i="2"/>
  <c r="AF1658" i="2"/>
  <c r="AE1658" i="2"/>
  <c r="AD1658" i="2"/>
  <c r="AC1658" i="2"/>
  <c r="AB1658" i="2"/>
  <c r="AA1658" i="2"/>
  <c r="Z1658" i="2"/>
  <c r="Y1658" i="2"/>
  <c r="X1658" i="2"/>
  <c r="W1658" i="2"/>
  <c r="V1658" i="2"/>
  <c r="U1658" i="2"/>
  <c r="T1658" i="2"/>
  <c r="S1658" i="2"/>
  <c r="R1658" i="2"/>
  <c r="Q1658" i="2"/>
  <c r="P1658" i="2"/>
  <c r="O1658" i="2"/>
  <c r="N1658" i="2"/>
  <c r="K1658" i="2"/>
  <c r="J1658" i="2"/>
  <c r="I1658" i="2"/>
  <c r="H1658" i="2"/>
  <c r="G1658" i="2"/>
  <c r="F1658" i="2"/>
  <c r="E1658" i="2"/>
  <c r="D1658" i="2"/>
  <c r="C1658" i="2"/>
  <c r="B1658" i="2"/>
  <c r="A1658" i="2"/>
  <c r="AI1657" i="2"/>
  <c r="AH1657" i="2"/>
  <c r="AG1657" i="2"/>
  <c r="AF1657" i="2"/>
  <c r="AE1657" i="2"/>
  <c r="AD1657" i="2"/>
  <c r="AC1657" i="2"/>
  <c r="AB1657" i="2"/>
  <c r="AA1657" i="2"/>
  <c r="Z1657" i="2"/>
  <c r="Y1657" i="2"/>
  <c r="X1657" i="2"/>
  <c r="W1657" i="2"/>
  <c r="V1657" i="2"/>
  <c r="U1657" i="2"/>
  <c r="T1657" i="2"/>
  <c r="S1657" i="2"/>
  <c r="R1657" i="2"/>
  <c r="Q1657" i="2"/>
  <c r="P1657" i="2"/>
  <c r="O1657" i="2"/>
  <c r="N1657" i="2"/>
  <c r="K1657" i="2"/>
  <c r="J1657" i="2"/>
  <c r="I1657" i="2"/>
  <c r="H1657" i="2"/>
  <c r="G1657" i="2"/>
  <c r="F1657" i="2"/>
  <c r="E1657" i="2"/>
  <c r="D1657" i="2"/>
  <c r="C1657" i="2"/>
  <c r="B1657" i="2"/>
  <c r="A1657" i="2"/>
  <c r="AI1656" i="2"/>
  <c r="AF1656" i="2"/>
  <c r="AE1656" i="2"/>
  <c r="AD1656" i="2"/>
  <c r="AC1656" i="2"/>
  <c r="AB1656" i="2"/>
  <c r="AA1656" i="2"/>
  <c r="Z1656" i="2"/>
  <c r="Y1656" i="2"/>
  <c r="X1656" i="2"/>
  <c r="W1656" i="2"/>
  <c r="V1656" i="2"/>
  <c r="U1656" i="2"/>
  <c r="T1656" i="2"/>
  <c r="S1656" i="2"/>
  <c r="R1656" i="2"/>
  <c r="Q1656" i="2"/>
  <c r="P1656" i="2"/>
  <c r="O1656" i="2"/>
  <c r="N1656" i="2"/>
  <c r="K1656" i="2"/>
  <c r="J1656" i="2"/>
  <c r="I1656" i="2"/>
  <c r="H1656" i="2"/>
  <c r="G1656" i="2"/>
  <c r="F1656" i="2"/>
  <c r="E1656" i="2"/>
  <c r="D1656" i="2"/>
  <c r="C1656" i="2"/>
  <c r="B1656" i="2"/>
  <c r="A1656" i="2"/>
  <c r="AI1655" i="2"/>
  <c r="AH1655" i="2"/>
  <c r="AG1655" i="2"/>
  <c r="AF1655" i="2"/>
  <c r="AE1655" i="2"/>
  <c r="AD1655" i="2"/>
  <c r="AC1655" i="2"/>
  <c r="AB1655" i="2"/>
  <c r="AA1655" i="2"/>
  <c r="Z1655" i="2"/>
  <c r="Y1655" i="2"/>
  <c r="X1655" i="2"/>
  <c r="V1655" i="2"/>
  <c r="U1655" i="2"/>
  <c r="T1655" i="2"/>
  <c r="S1655" i="2"/>
  <c r="R1655" i="2"/>
  <c r="Q1655" i="2"/>
  <c r="P1655" i="2"/>
  <c r="O1655" i="2"/>
  <c r="N1655" i="2"/>
  <c r="K1655" i="2"/>
  <c r="J1655" i="2"/>
  <c r="I1655" i="2"/>
  <c r="H1655" i="2"/>
  <c r="G1655" i="2"/>
  <c r="F1655" i="2"/>
  <c r="E1655" i="2"/>
  <c r="D1655" i="2"/>
  <c r="C1655" i="2"/>
  <c r="B1655" i="2"/>
  <c r="A1655" i="2"/>
  <c r="AI1654" i="2"/>
  <c r="AH1654" i="2"/>
  <c r="AG1654" i="2"/>
  <c r="AF1654" i="2"/>
  <c r="AE1654" i="2"/>
  <c r="AD1654" i="2"/>
  <c r="AC1654" i="2"/>
  <c r="AB1654" i="2"/>
  <c r="AA1654" i="2"/>
  <c r="Z1654" i="2"/>
  <c r="Y1654" i="2"/>
  <c r="X1654" i="2"/>
  <c r="V1654" i="2"/>
  <c r="U1654" i="2"/>
  <c r="T1654" i="2"/>
  <c r="S1654" i="2"/>
  <c r="R1654" i="2"/>
  <c r="Q1654" i="2"/>
  <c r="P1654" i="2"/>
  <c r="O1654" i="2"/>
  <c r="N1654" i="2"/>
  <c r="K1654" i="2"/>
  <c r="J1654" i="2"/>
  <c r="I1654" i="2"/>
  <c r="H1654" i="2"/>
  <c r="G1654" i="2"/>
  <c r="F1654" i="2"/>
  <c r="E1654" i="2"/>
  <c r="D1654" i="2"/>
  <c r="C1654" i="2"/>
  <c r="B1654" i="2"/>
  <c r="A1654" i="2"/>
  <c r="AI1653" i="2"/>
  <c r="AH1653" i="2"/>
  <c r="AG1653" i="2"/>
  <c r="AF1653" i="2"/>
  <c r="AE1653" i="2"/>
  <c r="AD1653" i="2"/>
  <c r="AC1653" i="2"/>
  <c r="AB1653" i="2"/>
  <c r="AA1653" i="2"/>
  <c r="Z1653" i="2"/>
  <c r="Y1653" i="2"/>
  <c r="X1653" i="2"/>
  <c r="V1653" i="2"/>
  <c r="U1653" i="2"/>
  <c r="T1653" i="2"/>
  <c r="S1653" i="2"/>
  <c r="R1653" i="2"/>
  <c r="Q1653" i="2"/>
  <c r="P1653" i="2"/>
  <c r="O1653" i="2"/>
  <c r="N1653" i="2"/>
  <c r="K1653" i="2"/>
  <c r="J1653" i="2"/>
  <c r="I1653" i="2"/>
  <c r="H1653" i="2"/>
  <c r="G1653" i="2"/>
  <c r="F1653" i="2"/>
  <c r="E1653" i="2"/>
  <c r="D1653" i="2"/>
  <c r="C1653" i="2"/>
  <c r="B1653" i="2"/>
  <c r="A1653" i="2"/>
  <c r="AI1652" i="2"/>
  <c r="AH1652" i="2"/>
  <c r="AG1652" i="2"/>
  <c r="AF1652" i="2"/>
  <c r="AE1652" i="2"/>
  <c r="AD1652" i="2"/>
  <c r="AC1652" i="2"/>
  <c r="AB1652" i="2"/>
  <c r="AA1652" i="2"/>
  <c r="Z1652" i="2"/>
  <c r="Y1652" i="2"/>
  <c r="X1652" i="2"/>
  <c r="W1652" i="2"/>
  <c r="V1652" i="2"/>
  <c r="U1652" i="2"/>
  <c r="T1652" i="2"/>
  <c r="S1652" i="2"/>
  <c r="R1652" i="2"/>
  <c r="Q1652" i="2"/>
  <c r="P1652" i="2"/>
  <c r="O1652" i="2"/>
  <c r="N1652" i="2"/>
  <c r="K1652" i="2"/>
  <c r="J1652" i="2"/>
  <c r="I1652" i="2"/>
  <c r="H1652" i="2"/>
  <c r="G1652" i="2"/>
  <c r="F1652" i="2"/>
  <c r="E1652" i="2"/>
  <c r="D1652" i="2"/>
  <c r="C1652" i="2"/>
  <c r="B1652" i="2"/>
  <c r="A1652" i="2"/>
  <c r="AI1651" i="2"/>
  <c r="AH1651" i="2"/>
  <c r="AF1651" i="2"/>
  <c r="AE1651" i="2"/>
  <c r="AD1651" i="2"/>
  <c r="AC1651" i="2"/>
  <c r="AB1651" i="2"/>
  <c r="AA1651" i="2"/>
  <c r="Z1651" i="2"/>
  <c r="Y1651" i="2"/>
  <c r="X1651" i="2"/>
  <c r="V1651" i="2"/>
  <c r="U1651" i="2"/>
  <c r="T1651" i="2"/>
  <c r="S1651" i="2"/>
  <c r="R1651" i="2"/>
  <c r="Q1651" i="2"/>
  <c r="P1651" i="2"/>
  <c r="O1651" i="2"/>
  <c r="N1651" i="2"/>
  <c r="K1651" i="2"/>
  <c r="J1651" i="2"/>
  <c r="I1651" i="2"/>
  <c r="H1651" i="2"/>
  <c r="G1651" i="2"/>
  <c r="F1651" i="2"/>
  <c r="E1651" i="2"/>
  <c r="D1651" i="2"/>
  <c r="C1651" i="2"/>
  <c r="B1651" i="2"/>
  <c r="A1651" i="2"/>
  <c r="AJ1650" i="2"/>
  <c r="AI1650" i="2"/>
  <c r="AH1650" i="2"/>
  <c r="AG1650" i="2"/>
  <c r="AF1650" i="2"/>
  <c r="AE1650" i="2"/>
  <c r="AD1650" i="2"/>
  <c r="AC1650" i="2"/>
  <c r="AB1650" i="2"/>
  <c r="AA1650" i="2"/>
  <c r="Z1650" i="2"/>
  <c r="Y1650" i="2"/>
  <c r="X1650" i="2"/>
  <c r="U1650" i="2"/>
  <c r="T1650" i="2"/>
  <c r="S1650" i="2"/>
  <c r="R1650" i="2"/>
  <c r="Q1650" i="2"/>
  <c r="P1650" i="2"/>
  <c r="O1650" i="2"/>
  <c r="N1650" i="2"/>
  <c r="K1650" i="2"/>
  <c r="J1650" i="2"/>
  <c r="I1650" i="2"/>
  <c r="H1650" i="2"/>
  <c r="G1650" i="2"/>
  <c r="F1650" i="2"/>
  <c r="E1650" i="2"/>
  <c r="D1650" i="2"/>
  <c r="C1650" i="2"/>
  <c r="B1650" i="2"/>
  <c r="A1650" i="2"/>
  <c r="AI1649" i="2"/>
  <c r="AH1649" i="2"/>
  <c r="AG1649" i="2"/>
  <c r="AF1649" i="2"/>
  <c r="AE1649" i="2"/>
  <c r="AD1649" i="2"/>
  <c r="AC1649" i="2"/>
  <c r="AB1649" i="2"/>
  <c r="AA1649" i="2"/>
  <c r="Z1649" i="2"/>
  <c r="Y1649" i="2"/>
  <c r="X1649" i="2"/>
  <c r="W1649" i="2"/>
  <c r="V1649" i="2"/>
  <c r="U1649" i="2"/>
  <c r="T1649" i="2"/>
  <c r="S1649" i="2"/>
  <c r="R1649" i="2"/>
  <c r="Q1649" i="2"/>
  <c r="P1649" i="2"/>
  <c r="O1649" i="2"/>
  <c r="N1649" i="2"/>
  <c r="K1649" i="2"/>
  <c r="J1649" i="2"/>
  <c r="I1649" i="2"/>
  <c r="H1649" i="2"/>
  <c r="G1649" i="2"/>
  <c r="F1649" i="2"/>
  <c r="E1649" i="2"/>
  <c r="D1649" i="2"/>
  <c r="C1649" i="2"/>
  <c r="B1649" i="2"/>
  <c r="A1649" i="2"/>
  <c r="AI1648" i="2"/>
  <c r="AH1648" i="2"/>
  <c r="AG1648" i="2"/>
  <c r="AF1648" i="2"/>
  <c r="AE1648" i="2"/>
  <c r="AD1648" i="2"/>
  <c r="AC1648" i="2"/>
  <c r="AB1648" i="2"/>
  <c r="AA1648" i="2"/>
  <c r="Z1648" i="2"/>
  <c r="Y1648" i="2"/>
  <c r="X1648" i="2"/>
  <c r="W1648" i="2"/>
  <c r="V1648" i="2"/>
  <c r="U1648" i="2"/>
  <c r="T1648" i="2"/>
  <c r="S1648" i="2"/>
  <c r="R1648" i="2"/>
  <c r="Q1648" i="2"/>
  <c r="P1648" i="2"/>
  <c r="O1648" i="2"/>
  <c r="N1648" i="2"/>
  <c r="K1648" i="2"/>
  <c r="J1648" i="2"/>
  <c r="I1648" i="2"/>
  <c r="H1648" i="2"/>
  <c r="G1648" i="2"/>
  <c r="F1648" i="2"/>
  <c r="E1648" i="2"/>
  <c r="D1648" i="2"/>
  <c r="C1648" i="2"/>
  <c r="B1648" i="2"/>
  <c r="A1648" i="2"/>
  <c r="AJ1647" i="2"/>
  <c r="AI1647" i="2"/>
  <c r="AH1647" i="2"/>
  <c r="AG1647" i="2"/>
  <c r="AF1647" i="2"/>
  <c r="AE1647" i="2"/>
  <c r="AD1647" i="2"/>
  <c r="AB1647" i="2"/>
  <c r="AA1647" i="2"/>
  <c r="Z1647" i="2"/>
  <c r="Y1647" i="2"/>
  <c r="V1647" i="2"/>
  <c r="U1647" i="2"/>
  <c r="T1647" i="2"/>
  <c r="S1647" i="2"/>
  <c r="R1647" i="2"/>
  <c r="Q1647" i="2"/>
  <c r="P1647" i="2"/>
  <c r="O1647" i="2"/>
  <c r="N1647" i="2"/>
  <c r="K1647" i="2"/>
  <c r="J1647" i="2"/>
  <c r="I1647" i="2"/>
  <c r="H1647" i="2"/>
  <c r="G1647" i="2"/>
  <c r="F1647" i="2"/>
  <c r="E1647" i="2"/>
  <c r="D1647" i="2"/>
  <c r="C1647" i="2"/>
  <c r="B1647" i="2"/>
  <c r="A1647" i="2"/>
  <c r="AJ1646" i="2"/>
  <c r="AI1646" i="2"/>
  <c r="AH1646" i="2"/>
  <c r="AG1646" i="2"/>
  <c r="AF1646" i="2"/>
  <c r="AE1646" i="2"/>
  <c r="AD1646" i="2"/>
  <c r="AC1646" i="2"/>
  <c r="AB1646" i="2"/>
  <c r="AA1646" i="2"/>
  <c r="Z1646" i="2"/>
  <c r="Y1646" i="2"/>
  <c r="X1646" i="2"/>
  <c r="W1646" i="2"/>
  <c r="V1646" i="2"/>
  <c r="U1646" i="2"/>
  <c r="T1646" i="2"/>
  <c r="S1646" i="2"/>
  <c r="R1646" i="2"/>
  <c r="Q1646" i="2"/>
  <c r="P1646" i="2"/>
  <c r="O1646" i="2"/>
  <c r="N1646" i="2"/>
  <c r="K1646" i="2"/>
  <c r="J1646" i="2"/>
  <c r="I1646" i="2"/>
  <c r="H1646" i="2"/>
  <c r="G1646" i="2"/>
  <c r="F1646" i="2"/>
  <c r="E1646" i="2"/>
  <c r="D1646" i="2"/>
  <c r="C1646" i="2"/>
  <c r="B1646" i="2"/>
  <c r="A1646" i="2"/>
  <c r="AI1645" i="2"/>
  <c r="AH1645" i="2"/>
  <c r="AG1645" i="2"/>
  <c r="AF1645" i="2"/>
  <c r="AE1645" i="2"/>
  <c r="AD1645" i="2"/>
  <c r="AC1645" i="2"/>
  <c r="AB1645" i="2"/>
  <c r="AA1645" i="2"/>
  <c r="Z1645" i="2"/>
  <c r="Y1645" i="2"/>
  <c r="X1645" i="2"/>
  <c r="W1645" i="2"/>
  <c r="V1645" i="2"/>
  <c r="U1645" i="2"/>
  <c r="T1645" i="2"/>
  <c r="S1645" i="2"/>
  <c r="R1645" i="2"/>
  <c r="Q1645" i="2"/>
  <c r="P1645" i="2"/>
  <c r="O1645" i="2"/>
  <c r="N1645" i="2"/>
  <c r="K1645" i="2"/>
  <c r="J1645" i="2"/>
  <c r="I1645" i="2"/>
  <c r="H1645" i="2"/>
  <c r="G1645" i="2"/>
  <c r="F1645" i="2"/>
  <c r="E1645" i="2"/>
  <c r="D1645" i="2"/>
  <c r="C1645" i="2"/>
  <c r="B1645" i="2"/>
  <c r="A1645" i="2"/>
  <c r="AI1644" i="2"/>
  <c r="AH1644" i="2"/>
  <c r="AG1644" i="2"/>
  <c r="AF1644" i="2"/>
  <c r="AE1644" i="2"/>
  <c r="AD1644" i="2"/>
  <c r="AC1644" i="2"/>
  <c r="AB1644" i="2"/>
  <c r="AA1644" i="2"/>
  <c r="Z1644" i="2"/>
  <c r="Y1644" i="2"/>
  <c r="X1644" i="2"/>
  <c r="W1644" i="2"/>
  <c r="V1644" i="2"/>
  <c r="U1644" i="2"/>
  <c r="T1644" i="2"/>
  <c r="S1644" i="2"/>
  <c r="R1644" i="2"/>
  <c r="Q1644" i="2"/>
  <c r="P1644" i="2"/>
  <c r="O1644" i="2"/>
  <c r="N1644" i="2"/>
  <c r="K1644" i="2"/>
  <c r="J1644" i="2"/>
  <c r="I1644" i="2"/>
  <c r="H1644" i="2"/>
  <c r="G1644" i="2"/>
  <c r="F1644" i="2"/>
  <c r="E1644" i="2"/>
  <c r="D1644" i="2"/>
  <c r="C1644" i="2"/>
  <c r="B1644" i="2"/>
  <c r="A1644" i="2"/>
  <c r="AJ1643" i="2"/>
  <c r="AI1643" i="2"/>
  <c r="AH1643" i="2"/>
  <c r="AG1643" i="2"/>
  <c r="AF1643" i="2"/>
  <c r="AE1643" i="2"/>
  <c r="AD1643" i="2"/>
  <c r="AC1643" i="2"/>
  <c r="AB1643" i="2"/>
  <c r="AA1643" i="2"/>
  <c r="Z1643" i="2"/>
  <c r="Y1643" i="2"/>
  <c r="X1643" i="2"/>
  <c r="W1643" i="2"/>
  <c r="V1643" i="2"/>
  <c r="U1643" i="2"/>
  <c r="T1643" i="2"/>
  <c r="S1643" i="2"/>
  <c r="R1643" i="2"/>
  <c r="Q1643" i="2"/>
  <c r="P1643" i="2"/>
  <c r="O1643" i="2"/>
  <c r="N1643" i="2"/>
  <c r="K1643" i="2"/>
  <c r="J1643" i="2"/>
  <c r="I1643" i="2"/>
  <c r="H1643" i="2"/>
  <c r="G1643" i="2"/>
  <c r="F1643" i="2"/>
  <c r="E1643" i="2"/>
  <c r="D1643" i="2"/>
  <c r="C1643" i="2"/>
  <c r="B1643" i="2"/>
  <c r="A1643" i="2"/>
  <c r="AI1642" i="2"/>
  <c r="AH1642" i="2"/>
  <c r="AG1642" i="2"/>
  <c r="AF1642" i="2"/>
  <c r="AE1642" i="2"/>
  <c r="AD1642" i="2"/>
  <c r="AC1642" i="2"/>
  <c r="AB1642" i="2"/>
  <c r="AA1642" i="2"/>
  <c r="Z1642" i="2"/>
  <c r="Y1642" i="2"/>
  <c r="X1642" i="2"/>
  <c r="V1642" i="2"/>
  <c r="U1642" i="2"/>
  <c r="T1642" i="2"/>
  <c r="S1642" i="2"/>
  <c r="R1642" i="2"/>
  <c r="Q1642" i="2"/>
  <c r="P1642" i="2"/>
  <c r="O1642" i="2"/>
  <c r="N1642" i="2"/>
  <c r="K1642" i="2"/>
  <c r="J1642" i="2"/>
  <c r="I1642" i="2"/>
  <c r="H1642" i="2"/>
  <c r="G1642" i="2"/>
  <c r="F1642" i="2"/>
  <c r="E1642" i="2"/>
  <c r="D1642" i="2"/>
  <c r="C1642" i="2"/>
  <c r="B1642" i="2"/>
  <c r="A1642" i="2"/>
  <c r="AI1641" i="2"/>
  <c r="AH1641" i="2"/>
  <c r="AG1641" i="2"/>
  <c r="AF1641" i="2"/>
  <c r="AE1641" i="2"/>
  <c r="AD1641" i="2"/>
  <c r="AC1641" i="2"/>
  <c r="AB1641" i="2"/>
  <c r="AA1641" i="2"/>
  <c r="Z1641" i="2"/>
  <c r="Y1641" i="2"/>
  <c r="X1641" i="2"/>
  <c r="W1641" i="2"/>
  <c r="V1641" i="2"/>
  <c r="U1641" i="2"/>
  <c r="T1641" i="2"/>
  <c r="S1641" i="2"/>
  <c r="R1641" i="2"/>
  <c r="Q1641" i="2"/>
  <c r="P1641" i="2"/>
  <c r="O1641" i="2"/>
  <c r="N1641" i="2"/>
  <c r="K1641" i="2"/>
  <c r="J1641" i="2"/>
  <c r="I1641" i="2"/>
  <c r="H1641" i="2"/>
  <c r="G1641" i="2"/>
  <c r="F1641" i="2"/>
  <c r="E1641" i="2"/>
  <c r="D1641" i="2"/>
  <c r="C1641" i="2"/>
  <c r="B1641" i="2"/>
  <c r="A1641" i="2"/>
  <c r="AI1640" i="2"/>
  <c r="AH1640" i="2"/>
  <c r="AG1640" i="2"/>
  <c r="AF1640" i="2"/>
  <c r="AE1640" i="2"/>
  <c r="AD1640" i="2"/>
  <c r="AC1640" i="2"/>
  <c r="AB1640" i="2"/>
  <c r="AA1640" i="2"/>
  <c r="Z1640" i="2"/>
  <c r="Y1640" i="2"/>
  <c r="X1640" i="2"/>
  <c r="W1640" i="2"/>
  <c r="V1640" i="2"/>
  <c r="U1640" i="2"/>
  <c r="T1640" i="2"/>
  <c r="S1640" i="2"/>
  <c r="R1640" i="2"/>
  <c r="Q1640" i="2"/>
  <c r="P1640" i="2"/>
  <c r="O1640" i="2"/>
  <c r="N1640" i="2"/>
  <c r="K1640" i="2"/>
  <c r="J1640" i="2"/>
  <c r="I1640" i="2"/>
  <c r="H1640" i="2"/>
  <c r="G1640" i="2"/>
  <c r="F1640" i="2"/>
  <c r="E1640" i="2"/>
  <c r="D1640" i="2"/>
  <c r="C1640" i="2"/>
  <c r="B1640" i="2"/>
  <c r="A1640" i="2"/>
  <c r="AI1639" i="2"/>
  <c r="AH1639" i="2"/>
  <c r="AG1639" i="2"/>
  <c r="AF1639" i="2"/>
  <c r="AE1639" i="2"/>
  <c r="AD1639" i="2"/>
  <c r="AC1639" i="2"/>
  <c r="AB1639" i="2"/>
  <c r="AA1639" i="2"/>
  <c r="Z1639" i="2"/>
  <c r="Y1639" i="2"/>
  <c r="X1639" i="2"/>
  <c r="W1639" i="2"/>
  <c r="V1639" i="2"/>
  <c r="U1639" i="2"/>
  <c r="T1639" i="2"/>
  <c r="S1639" i="2"/>
  <c r="R1639" i="2"/>
  <c r="Q1639" i="2"/>
  <c r="P1639" i="2"/>
  <c r="O1639" i="2"/>
  <c r="N1639" i="2"/>
  <c r="K1639" i="2"/>
  <c r="J1639" i="2"/>
  <c r="I1639" i="2"/>
  <c r="H1639" i="2"/>
  <c r="G1639" i="2"/>
  <c r="F1639" i="2"/>
  <c r="E1639" i="2"/>
  <c r="D1639" i="2"/>
  <c r="C1639" i="2"/>
  <c r="B1639" i="2"/>
  <c r="A1639" i="2"/>
  <c r="AI1638" i="2"/>
  <c r="AH1638" i="2"/>
  <c r="AG1638" i="2"/>
  <c r="AF1638" i="2"/>
  <c r="AE1638" i="2"/>
  <c r="AD1638" i="2"/>
  <c r="AC1638" i="2"/>
  <c r="AB1638" i="2"/>
  <c r="AA1638" i="2"/>
  <c r="Z1638" i="2"/>
  <c r="Y1638" i="2"/>
  <c r="X1638" i="2"/>
  <c r="W1638" i="2"/>
  <c r="V1638" i="2"/>
  <c r="U1638" i="2"/>
  <c r="T1638" i="2"/>
  <c r="S1638" i="2"/>
  <c r="R1638" i="2"/>
  <c r="Q1638" i="2"/>
  <c r="P1638" i="2"/>
  <c r="O1638" i="2"/>
  <c r="N1638" i="2"/>
  <c r="K1638" i="2"/>
  <c r="J1638" i="2"/>
  <c r="I1638" i="2"/>
  <c r="H1638" i="2"/>
  <c r="G1638" i="2"/>
  <c r="F1638" i="2"/>
  <c r="E1638" i="2"/>
  <c r="D1638" i="2"/>
  <c r="C1638" i="2"/>
  <c r="B1638" i="2"/>
  <c r="A1638" i="2"/>
  <c r="AH1637" i="2"/>
  <c r="AG1637" i="2"/>
  <c r="AF1637" i="2"/>
  <c r="AE1637" i="2"/>
  <c r="AD1637" i="2"/>
  <c r="AC1637" i="2"/>
  <c r="AB1637" i="2"/>
  <c r="AA1637" i="2"/>
  <c r="Z1637" i="2"/>
  <c r="Y1637" i="2"/>
  <c r="X1637" i="2"/>
  <c r="W1637" i="2"/>
  <c r="V1637" i="2"/>
  <c r="U1637" i="2"/>
  <c r="T1637" i="2"/>
  <c r="S1637" i="2"/>
  <c r="R1637" i="2"/>
  <c r="Q1637" i="2"/>
  <c r="P1637" i="2"/>
  <c r="O1637" i="2"/>
  <c r="N1637" i="2"/>
  <c r="K1637" i="2"/>
  <c r="J1637" i="2"/>
  <c r="I1637" i="2"/>
  <c r="H1637" i="2"/>
  <c r="G1637" i="2"/>
  <c r="F1637" i="2"/>
  <c r="E1637" i="2"/>
  <c r="D1637" i="2"/>
  <c r="C1637" i="2"/>
  <c r="B1637" i="2"/>
  <c r="A1637" i="2"/>
  <c r="AI1636" i="2"/>
  <c r="AH1636" i="2"/>
  <c r="AG1636" i="2"/>
  <c r="AF1636" i="2"/>
  <c r="AE1636" i="2"/>
  <c r="AD1636" i="2"/>
  <c r="AC1636" i="2"/>
  <c r="AB1636" i="2"/>
  <c r="AA1636" i="2"/>
  <c r="Z1636" i="2"/>
  <c r="Y1636" i="2"/>
  <c r="W1636" i="2"/>
  <c r="V1636" i="2"/>
  <c r="U1636" i="2"/>
  <c r="T1636" i="2"/>
  <c r="S1636" i="2"/>
  <c r="R1636" i="2"/>
  <c r="Q1636" i="2"/>
  <c r="P1636" i="2"/>
  <c r="O1636" i="2"/>
  <c r="N1636" i="2"/>
  <c r="K1636" i="2"/>
  <c r="J1636" i="2"/>
  <c r="I1636" i="2"/>
  <c r="H1636" i="2"/>
  <c r="G1636" i="2"/>
  <c r="F1636" i="2"/>
  <c r="E1636" i="2"/>
  <c r="D1636" i="2"/>
  <c r="C1636" i="2"/>
  <c r="B1636" i="2"/>
  <c r="A1636" i="2"/>
  <c r="AI1635" i="2"/>
  <c r="AH1635" i="2"/>
  <c r="AG1635" i="2"/>
  <c r="AF1635" i="2"/>
  <c r="AE1635" i="2"/>
  <c r="AD1635" i="2"/>
  <c r="AC1635" i="2"/>
  <c r="AB1635" i="2"/>
  <c r="AA1635" i="2"/>
  <c r="Z1635" i="2"/>
  <c r="Y1635" i="2"/>
  <c r="X1635" i="2"/>
  <c r="W1635" i="2"/>
  <c r="V1635" i="2"/>
  <c r="U1635" i="2"/>
  <c r="T1635" i="2"/>
  <c r="S1635" i="2"/>
  <c r="R1635" i="2"/>
  <c r="Q1635" i="2"/>
  <c r="P1635" i="2"/>
  <c r="O1635" i="2"/>
  <c r="N1635" i="2"/>
  <c r="K1635" i="2"/>
  <c r="J1635" i="2"/>
  <c r="I1635" i="2"/>
  <c r="H1635" i="2"/>
  <c r="G1635" i="2"/>
  <c r="F1635" i="2"/>
  <c r="E1635" i="2"/>
  <c r="D1635" i="2"/>
  <c r="C1635" i="2"/>
  <c r="B1635" i="2"/>
  <c r="A1635" i="2"/>
  <c r="AI1634" i="2"/>
  <c r="AH1634" i="2"/>
  <c r="AG1634" i="2"/>
  <c r="AF1634" i="2"/>
  <c r="AE1634" i="2"/>
  <c r="AD1634" i="2"/>
  <c r="AC1634" i="2"/>
  <c r="AB1634" i="2"/>
  <c r="AA1634" i="2"/>
  <c r="Z1634" i="2"/>
  <c r="Y1634" i="2"/>
  <c r="X1634" i="2"/>
  <c r="W1634" i="2"/>
  <c r="V1634" i="2"/>
  <c r="U1634" i="2"/>
  <c r="T1634" i="2"/>
  <c r="S1634" i="2"/>
  <c r="R1634" i="2"/>
  <c r="Q1634" i="2"/>
  <c r="P1634" i="2"/>
  <c r="O1634" i="2"/>
  <c r="N1634" i="2"/>
  <c r="K1634" i="2"/>
  <c r="J1634" i="2"/>
  <c r="I1634" i="2"/>
  <c r="H1634" i="2"/>
  <c r="G1634" i="2"/>
  <c r="F1634" i="2"/>
  <c r="E1634" i="2"/>
  <c r="D1634" i="2"/>
  <c r="C1634" i="2"/>
  <c r="B1634" i="2"/>
  <c r="A1634" i="2"/>
  <c r="AJ1633" i="2"/>
  <c r="AI1633" i="2"/>
  <c r="AH1633" i="2"/>
  <c r="AG1633" i="2"/>
  <c r="AF1633" i="2"/>
  <c r="AE1633" i="2"/>
  <c r="AD1633" i="2"/>
  <c r="AB1633" i="2"/>
  <c r="AA1633" i="2"/>
  <c r="Z1633" i="2"/>
  <c r="Y1633" i="2"/>
  <c r="X1633" i="2"/>
  <c r="W1633" i="2"/>
  <c r="V1633" i="2"/>
  <c r="U1633" i="2"/>
  <c r="T1633" i="2"/>
  <c r="S1633" i="2"/>
  <c r="R1633" i="2"/>
  <c r="Q1633" i="2"/>
  <c r="P1633" i="2"/>
  <c r="O1633" i="2"/>
  <c r="N1633" i="2"/>
  <c r="K1633" i="2"/>
  <c r="J1633" i="2"/>
  <c r="I1633" i="2"/>
  <c r="H1633" i="2"/>
  <c r="G1633" i="2"/>
  <c r="F1633" i="2"/>
  <c r="E1633" i="2"/>
  <c r="D1633" i="2"/>
  <c r="C1633" i="2"/>
  <c r="B1633" i="2"/>
  <c r="A1633" i="2"/>
  <c r="AJ1632" i="2"/>
  <c r="AI1632" i="2"/>
  <c r="AH1632" i="2"/>
  <c r="AG1632" i="2"/>
  <c r="AF1632" i="2"/>
  <c r="AE1632" i="2"/>
  <c r="AD1632" i="2"/>
  <c r="AC1632" i="2"/>
  <c r="AB1632" i="2"/>
  <c r="AA1632" i="2"/>
  <c r="Z1632" i="2"/>
  <c r="Y1632" i="2"/>
  <c r="X1632" i="2"/>
  <c r="W1632" i="2"/>
  <c r="V1632" i="2"/>
  <c r="U1632" i="2"/>
  <c r="T1632" i="2"/>
  <c r="S1632" i="2"/>
  <c r="R1632" i="2"/>
  <c r="Q1632" i="2"/>
  <c r="P1632" i="2"/>
  <c r="O1632" i="2"/>
  <c r="N1632" i="2"/>
  <c r="K1632" i="2"/>
  <c r="J1632" i="2"/>
  <c r="I1632" i="2"/>
  <c r="H1632" i="2"/>
  <c r="G1632" i="2"/>
  <c r="F1632" i="2"/>
  <c r="E1632" i="2"/>
  <c r="D1632" i="2"/>
  <c r="C1632" i="2"/>
  <c r="B1632" i="2"/>
  <c r="A1632" i="2"/>
  <c r="AI1631" i="2"/>
  <c r="AH1631" i="2"/>
  <c r="AG1631" i="2"/>
  <c r="AF1631" i="2"/>
  <c r="AE1631" i="2"/>
  <c r="AD1631" i="2"/>
  <c r="AC1631" i="2"/>
  <c r="AB1631" i="2"/>
  <c r="AA1631" i="2"/>
  <c r="Z1631" i="2"/>
  <c r="Y1631" i="2"/>
  <c r="X1631" i="2"/>
  <c r="V1631" i="2"/>
  <c r="U1631" i="2"/>
  <c r="T1631" i="2"/>
  <c r="S1631" i="2"/>
  <c r="R1631" i="2"/>
  <c r="Q1631" i="2"/>
  <c r="P1631" i="2"/>
  <c r="O1631" i="2"/>
  <c r="N1631" i="2"/>
  <c r="K1631" i="2"/>
  <c r="J1631" i="2"/>
  <c r="I1631" i="2"/>
  <c r="H1631" i="2"/>
  <c r="G1631" i="2"/>
  <c r="F1631" i="2"/>
  <c r="E1631" i="2"/>
  <c r="D1631" i="2"/>
  <c r="C1631" i="2"/>
  <c r="B1631" i="2"/>
  <c r="A1631" i="2"/>
  <c r="AI1630" i="2"/>
  <c r="AH1630" i="2"/>
  <c r="AG1630" i="2"/>
  <c r="AF1630" i="2"/>
  <c r="AE1630" i="2"/>
  <c r="AD1630" i="2"/>
  <c r="AC1630" i="2"/>
  <c r="AB1630" i="2"/>
  <c r="AA1630" i="2"/>
  <c r="Z1630" i="2"/>
  <c r="Y1630" i="2"/>
  <c r="X1630" i="2"/>
  <c r="W1630" i="2"/>
  <c r="V1630" i="2"/>
  <c r="U1630" i="2"/>
  <c r="T1630" i="2"/>
  <c r="S1630" i="2"/>
  <c r="R1630" i="2"/>
  <c r="Q1630" i="2"/>
  <c r="P1630" i="2"/>
  <c r="O1630" i="2"/>
  <c r="N1630" i="2"/>
  <c r="K1630" i="2"/>
  <c r="J1630" i="2"/>
  <c r="I1630" i="2"/>
  <c r="H1630" i="2"/>
  <c r="G1630" i="2"/>
  <c r="F1630" i="2"/>
  <c r="E1630" i="2"/>
  <c r="D1630" i="2"/>
  <c r="C1630" i="2"/>
  <c r="B1630" i="2"/>
  <c r="A1630" i="2"/>
  <c r="AI1629" i="2"/>
  <c r="AH1629" i="2"/>
  <c r="AG1629" i="2"/>
  <c r="AF1629" i="2"/>
  <c r="AE1629" i="2"/>
  <c r="AD1629" i="2"/>
  <c r="AC1629" i="2"/>
  <c r="AB1629" i="2"/>
  <c r="AA1629" i="2"/>
  <c r="Z1629" i="2"/>
  <c r="Y1629" i="2"/>
  <c r="X1629" i="2"/>
  <c r="W1629" i="2"/>
  <c r="V1629" i="2"/>
  <c r="U1629" i="2"/>
  <c r="T1629" i="2"/>
  <c r="S1629" i="2"/>
  <c r="R1629" i="2"/>
  <c r="Q1629" i="2"/>
  <c r="P1629" i="2"/>
  <c r="O1629" i="2"/>
  <c r="N1629" i="2"/>
  <c r="K1629" i="2"/>
  <c r="J1629" i="2"/>
  <c r="I1629" i="2"/>
  <c r="H1629" i="2"/>
  <c r="G1629" i="2"/>
  <c r="F1629" i="2"/>
  <c r="E1629" i="2"/>
  <c r="D1629" i="2"/>
  <c r="C1629" i="2"/>
  <c r="B1629" i="2"/>
  <c r="A1629" i="2"/>
  <c r="AJ1628" i="2"/>
  <c r="AI1628" i="2"/>
  <c r="AH1628" i="2"/>
  <c r="AG1628" i="2"/>
  <c r="AF1628" i="2"/>
  <c r="AE1628" i="2"/>
  <c r="AD1628" i="2"/>
  <c r="AC1628" i="2"/>
  <c r="AB1628" i="2"/>
  <c r="AA1628" i="2"/>
  <c r="Z1628" i="2"/>
  <c r="Y1628" i="2"/>
  <c r="V1628" i="2"/>
  <c r="U1628" i="2"/>
  <c r="T1628" i="2"/>
  <c r="S1628" i="2"/>
  <c r="R1628" i="2"/>
  <c r="Q1628" i="2"/>
  <c r="P1628" i="2"/>
  <c r="O1628" i="2"/>
  <c r="N1628" i="2"/>
  <c r="K1628" i="2"/>
  <c r="J1628" i="2"/>
  <c r="I1628" i="2"/>
  <c r="H1628" i="2"/>
  <c r="G1628" i="2"/>
  <c r="F1628" i="2"/>
  <c r="E1628" i="2"/>
  <c r="D1628" i="2"/>
  <c r="C1628" i="2"/>
  <c r="B1628" i="2"/>
  <c r="A1628" i="2"/>
  <c r="AI1627" i="2"/>
  <c r="AH1627" i="2"/>
  <c r="AG1627" i="2"/>
  <c r="AF1627" i="2"/>
  <c r="AE1627" i="2"/>
  <c r="AD1627" i="2"/>
  <c r="AC1627" i="2"/>
  <c r="AB1627" i="2"/>
  <c r="AA1627" i="2"/>
  <c r="Z1627" i="2"/>
  <c r="Y1627" i="2"/>
  <c r="X1627" i="2"/>
  <c r="W1627" i="2"/>
  <c r="V1627" i="2"/>
  <c r="U1627" i="2"/>
  <c r="T1627" i="2"/>
  <c r="S1627" i="2"/>
  <c r="R1627" i="2"/>
  <c r="Q1627" i="2"/>
  <c r="P1627" i="2"/>
  <c r="O1627" i="2"/>
  <c r="N1627" i="2"/>
  <c r="M1627" i="2"/>
  <c r="K1627" i="2"/>
  <c r="J1627" i="2"/>
  <c r="I1627" i="2"/>
  <c r="H1627" i="2"/>
  <c r="G1627" i="2"/>
  <c r="F1627" i="2"/>
  <c r="E1627" i="2"/>
  <c r="D1627" i="2"/>
  <c r="C1627" i="2"/>
  <c r="B1627" i="2"/>
  <c r="A1627" i="2"/>
  <c r="AI1626" i="2"/>
  <c r="AH1626" i="2"/>
  <c r="AG1626" i="2"/>
  <c r="AF1626" i="2"/>
  <c r="AE1626" i="2"/>
  <c r="AD1626" i="2"/>
  <c r="AC1626" i="2"/>
  <c r="AB1626" i="2"/>
  <c r="AA1626" i="2"/>
  <c r="Z1626" i="2"/>
  <c r="Y1626" i="2"/>
  <c r="X1626" i="2"/>
  <c r="V1626" i="2"/>
  <c r="U1626" i="2"/>
  <c r="T1626" i="2"/>
  <c r="S1626" i="2"/>
  <c r="R1626" i="2"/>
  <c r="Q1626" i="2"/>
  <c r="P1626" i="2"/>
  <c r="O1626" i="2"/>
  <c r="N1626" i="2"/>
  <c r="K1626" i="2"/>
  <c r="J1626" i="2"/>
  <c r="I1626" i="2"/>
  <c r="H1626" i="2"/>
  <c r="G1626" i="2"/>
  <c r="F1626" i="2"/>
  <c r="E1626" i="2"/>
  <c r="D1626" i="2"/>
  <c r="C1626" i="2"/>
  <c r="B1626" i="2"/>
  <c r="A1626" i="2"/>
  <c r="AI1625" i="2"/>
  <c r="AH1625" i="2"/>
  <c r="AG1625" i="2"/>
  <c r="AF1625" i="2"/>
  <c r="AE1625" i="2"/>
  <c r="AD1625" i="2"/>
  <c r="AC1625" i="2"/>
  <c r="AB1625" i="2"/>
  <c r="AA1625" i="2"/>
  <c r="Z1625" i="2"/>
  <c r="Y1625" i="2"/>
  <c r="X1625" i="2"/>
  <c r="W1625" i="2"/>
  <c r="V1625" i="2"/>
  <c r="U1625" i="2"/>
  <c r="T1625" i="2"/>
  <c r="S1625" i="2"/>
  <c r="R1625" i="2"/>
  <c r="Q1625" i="2"/>
  <c r="P1625" i="2"/>
  <c r="O1625" i="2"/>
  <c r="N1625" i="2"/>
  <c r="K1625" i="2"/>
  <c r="J1625" i="2"/>
  <c r="I1625" i="2"/>
  <c r="H1625" i="2"/>
  <c r="G1625" i="2"/>
  <c r="F1625" i="2"/>
  <c r="E1625" i="2"/>
  <c r="D1625" i="2"/>
  <c r="C1625" i="2"/>
  <c r="B1625" i="2"/>
  <c r="A1625" i="2"/>
  <c r="AI1624" i="2"/>
  <c r="AH1624" i="2"/>
  <c r="AG1624" i="2"/>
  <c r="AF1624" i="2"/>
  <c r="AE1624" i="2"/>
  <c r="AD1624" i="2"/>
  <c r="AC1624" i="2"/>
  <c r="AB1624" i="2"/>
  <c r="AA1624" i="2"/>
  <c r="Z1624" i="2"/>
  <c r="Y1624" i="2"/>
  <c r="X1624" i="2"/>
  <c r="W1624" i="2"/>
  <c r="V1624" i="2"/>
  <c r="U1624" i="2"/>
  <c r="T1624" i="2"/>
  <c r="S1624" i="2"/>
  <c r="R1624" i="2"/>
  <c r="Q1624" i="2"/>
  <c r="P1624" i="2"/>
  <c r="O1624" i="2"/>
  <c r="N1624" i="2"/>
  <c r="M1624" i="2"/>
  <c r="L1624" i="2"/>
  <c r="K1624" i="2"/>
  <c r="J1624" i="2"/>
  <c r="I1624" i="2"/>
  <c r="H1624" i="2"/>
  <c r="G1624" i="2"/>
  <c r="F1624" i="2"/>
  <c r="E1624" i="2"/>
  <c r="D1624" i="2"/>
  <c r="C1624" i="2"/>
  <c r="B1624" i="2"/>
  <c r="A1624" i="2"/>
  <c r="AJ1623" i="2"/>
  <c r="AI1623" i="2"/>
  <c r="AH1623" i="2"/>
  <c r="AG1623" i="2"/>
  <c r="AF1623" i="2"/>
  <c r="AE1623" i="2"/>
  <c r="AD1623" i="2"/>
  <c r="AC1623" i="2"/>
  <c r="AB1623" i="2"/>
  <c r="AA1623" i="2"/>
  <c r="Z1623" i="2"/>
  <c r="Y1623" i="2"/>
  <c r="X1623" i="2"/>
  <c r="W1623" i="2"/>
  <c r="V1623" i="2"/>
  <c r="U1623" i="2"/>
  <c r="T1623" i="2"/>
  <c r="S1623" i="2"/>
  <c r="R1623" i="2"/>
  <c r="Q1623" i="2"/>
  <c r="P1623" i="2"/>
  <c r="O1623" i="2"/>
  <c r="N1623" i="2"/>
  <c r="M1623" i="2"/>
  <c r="L1623" i="2"/>
  <c r="K1623" i="2"/>
  <c r="J1623" i="2"/>
  <c r="I1623" i="2"/>
  <c r="H1623" i="2"/>
  <c r="G1623" i="2"/>
  <c r="F1623" i="2"/>
  <c r="E1623" i="2"/>
  <c r="D1623" i="2"/>
  <c r="C1623" i="2"/>
  <c r="B1623" i="2"/>
  <c r="A1623" i="2"/>
  <c r="AI1622" i="2"/>
  <c r="AH1622" i="2"/>
  <c r="AF1622" i="2"/>
  <c r="AE1622" i="2"/>
  <c r="AD1622" i="2"/>
  <c r="AC1622" i="2"/>
  <c r="AA1622" i="2"/>
  <c r="Z1622" i="2"/>
  <c r="Y1622" i="2"/>
  <c r="X1622" i="2"/>
  <c r="W1622" i="2"/>
  <c r="V1622" i="2"/>
  <c r="U1622" i="2"/>
  <c r="T1622" i="2"/>
  <c r="S1622" i="2"/>
  <c r="R1622" i="2"/>
  <c r="Q1622" i="2"/>
  <c r="P1622" i="2"/>
  <c r="O1622" i="2"/>
  <c r="N1622" i="2"/>
  <c r="K1622" i="2"/>
  <c r="J1622" i="2"/>
  <c r="I1622" i="2"/>
  <c r="H1622" i="2"/>
  <c r="G1622" i="2"/>
  <c r="F1622" i="2"/>
  <c r="E1622" i="2"/>
  <c r="D1622" i="2"/>
  <c r="C1622" i="2"/>
  <c r="B1622" i="2"/>
  <c r="A1622" i="2"/>
  <c r="AJ1621" i="2"/>
  <c r="AI1621" i="2"/>
  <c r="AH1621" i="2"/>
  <c r="AF1621" i="2"/>
  <c r="AE1621" i="2"/>
  <c r="AD1621" i="2"/>
  <c r="AC1621" i="2"/>
  <c r="AA1621" i="2"/>
  <c r="Z1621" i="2"/>
  <c r="Y1621" i="2"/>
  <c r="X1621" i="2"/>
  <c r="W1621" i="2"/>
  <c r="V1621" i="2"/>
  <c r="U1621" i="2"/>
  <c r="T1621" i="2"/>
  <c r="S1621" i="2"/>
  <c r="R1621" i="2"/>
  <c r="Q1621" i="2"/>
  <c r="P1621" i="2"/>
  <c r="O1621" i="2"/>
  <c r="N1621" i="2"/>
  <c r="K1621" i="2"/>
  <c r="J1621" i="2"/>
  <c r="I1621" i="2"/>
  <c r="H1621" i="2"/>
  <c r="G1621" i="2"/>
  <c r="F1621" i="2"/>
  <c r="E1621" i="2"/>
  <c r="D1621" i="2"/>
  <c r="C1621" i="2"/>
  <c r="B1621" i="2"/>
  <c r="A1621" i="2"/>
  <c r="AI1620" i="2"/>
  <c r="AH1620" i="2"/>
  <c r="AG1620" i="2"/>
  <c r="AF1620" i="2"/>
  <c r="AE1620" i="2"/>
  <c r="AD1620" i="2"/>
  <c r="AC1620" i="2"/>
  <c r="AB1620" i="2"/>
  <c r="AA1620" i="2"/>
  <c r="Z1620" i="2"/>
  <c r="Y1620" i="2"/>
  <c r="X1620" i="2"/>
  <c r="W1620" i="2"/>
  <c r="V1620" i="2"/>
  <c r="U1620" i="2"/>
  <c r="T1620" i="2"/>
  <c r="S1620" i="2"/>
  <c r="R1620" i="2"/>
  <c r="Q1620" i="2"/>
  <c r="P1620" i="2"/>
  <c r="O1620" i="2"/>
  <c r="N1620" i="2"/>
  <c r="K1620" i="2"/>
  <c r="J1620" i="2"/>
  <c r="I1620" i="2"/>
  <c r="H1620" i="2"/>
  <c r="G1620" i="2"/>
  <c r="F1620" i="2"/>
  <c r="E1620" i="2"/>
  <c r="D1620" i="2"/>
  <c r="C1620" i="2"/>
  <c r="B1620" i="2"/>
  <c r="A1620" i="2"/>
  <c r="AI1619" i="2"/>
  <c r="AH1619" i="2"/>
  <c r="AG1619" i="2"/>
  <c r="AF1619" i="2"/>
  <c r="AE1619" i="2"/>
  <c r="AD1619" i="2"/>
  <c r="AB1619" i="2"/>
  <c r="AA1619" i="2"/>
  <c r="Z1619" i="2"/>
  <c r="Y1619" i="2"/>
  <c r="X1619" i="2"/>
  <c r="V1619" i="2"/>
  <c r="U1619" i="2"/>
  <c r="T1619" i="2"/>
  <c r="S1619" i="2"/>
  <c r="R1619" i="2"/>
  <c r="Q1619" i="2"/>
  <c r="P1619" i="2"/>
  <c r="O1619" i="2"/>
  <c r="N1619" i="2"/>
  <c r="K1619" i="2"/>
  <c r="J1619" i="2"/>
  <c r="I1619" i="2"/>
  <c r="H1619" i="2"/>
  <c r="G1619" i="2"/>
  <c r="F1619" i="2"/>
  <c r="E1619" i="2"/>
  <c r="D1619" i="2"/>
  <c r="C1619" i="2"/>
  <c r="B1619" i="2"/>
  <c r="A1619" i="2"/>
  <c r="AI1618" i="2"/>
  <c r="AH1618" i="2"/>
  <c r="AG1618" i="2"/>
  <c r="AF1618" i="2"/>
  <c r="AE1618" i="2"/>
  <c r="AD1618" i="2"/>
  <c r="AC1618" i="2"/>
  <c r="AB1618" i="2"/>
  <c r="AA1618" i="2"/>
  <c r="Z1618" i="2"/>
  <c r="Y1618" i="2"/>
  <c r="X1618" i="2"/>
  <c r="U1618" i="2"/>
  <c r="T1618" i="2"/>
  <c r="S1618" i="2"/>
  <c r="R1618" i="2"/>
  <c r="Q1618" i="2"/>
  <c r="P1618" i="2"/>
  <c r="O1618" i="2"/>
  <c r="N1618" i="2"/>
  <c r="K1618" i="2"/>
  <c r="J1618" i="2"/>
  <c r="I1618" i="2"/>
  <c r="H1618" i="2"/>
  <c r="G1618" i="2"/>
  <c r="F1618" i="2"/>
  <c r="E1618" i="2"/>
  <c r="D1618" i="2"/>
  <c r="C1618" i="2"/>
  <c r="B1618" i="2"/>
  <c r="A1618" i="2"/>
  <c r="AI1617" i="2"/>
  <c r="AH1617" i="2"/>
  <c r="AG1617" i="2"/>
  <c r="AF1617" i="2"/>
  <c r="AE1617" i="2"/>
  <c r="AD1617" i="2"/>
  <c r="AC1617" i="2"/>
  <c r="AB1617" i="2"/>
  <c r="AA1617" i="2"/>
  <c r="Z1617" i="2"/>
  <c r="Y1617" i="2"/>
  <c r="X1617" i="2"/>
  <c r="W1617" i="2"/>
  <c r="V1617" i="2"/>
  <c r="U1617" i="2"/>
  <c r="T1617" i="2"/>
  <c r="S1617" i="2"/>
  <c r="R1617" i="2"/>
  <c r="Q1617" i="2"/>
  <c r="P1617" i="2"/>
  <c r="O1617" i="2"/>
  <c r="N1617" i="2"/>
  <c r="K1617" i="2"/>
  <c r="J1617" i="2"/>
  <c r="I1617" i="2"/>
  <c r="H1617" i="2"/>
  <c r="G1617" i="2"/>
  <c r="F1617" i="2"/>
  <c r="E1617" i="2"/>
  <c r="D1617" i="2"/>
  <c r="C1617" i="2"/>
  <c r="B1617" i="2"/>
  <c r="A1617" i="2"/>
  <c r="AI1616" i="2"/>
  <c r="AH1616" i="2"/>
  <c r="AG1616" i="2"/>
  <c r="AF1616" i="2"/>
  <c r="AE1616" i="2"/>
  <c r="AD1616" i="2"/>
  <c r="AC1616" i="2"/>
  <c r="AB1616" i="2"/>
  <c r="AA1616" i="2"/>
  <c r="Z1616" i="2"/>
  <c r="Y1616" i="2"/>
  <c r="X1616" i="2"/>
  <c r="W1616" i="2"/>
  <c r="V1616" i="2"/>
  <c r="U1616" i="2"/>
  <c r="T1616" i="2"/>
  <c r="S1616" i="2"/>
  <c r="R1616" i="2"/>
  <c r="Q1616" i="2"/>
  <c r="P1616" i="2"/>
  <c r="O1616" i="2"/>
  <c r="N1616" i="2"/>
  <c r="K1616" i="2"/>
  <c r="J1616" i="2"/>
  <c r="I1616" i="2"/>
  <c r="H1616" i="2"/>
  <c r="G1616" i="2"/>
  <c r="F1616" i="2"/>
  <c r="E1616" i="2"/>
  <c r="D1616" i="2"/>
  <c r="C1616" i="2"/>
  <c r="B1616" i="2"/>
  <c r="A1616" i="2"/>
  <c r="AJ1615" i="2"/>
  <c r="AI1615" i="2"/>
  <c r="AH1615" i="2"/>
  <c r="AF1615" i="2"/>
  <c r="AE1615" i="2"/>
  <c r="AD1615" i="2"/>
  <c r="AC1615" i="2"/>
  <c r="AB1615" i="2"/>
  <c r="AA1615" i="2"/>
  <c r="Z1615" i="2"/>
  <c r="Y1615" i="2"/>
  <c r="X1615" i="2"/>
  <c r="W1615" i="2"/>
  <c r="V1615" i="2"/>
  <c r="U1615" i="2"/>
  <c r="T1615" i="2"/>
  <c r="S1615" i="2"/>
  <c r="R1615" i="2"/>
  <c r="Q1615" i="2"/>
  <c r="P1615" i="2"/>
  <c r="O1615" i="2"/>
  <c r="N1615" i="2"/>
  <c r="K1615" i="2"/>
  <c r="J1615" i="2"/>
  <c r="I1615" i="2"/>
  <c r="H1615" i="2"/>
  <c r="G1615" i="2"/>
  <c r="F1615" i="2"/>
  <c r="E1615" i="2"/>
  <c r="D1615" i="2"/>
  <c r="C1615" i="2"/>
  <c r="B1615" i="2"/>
  <c r="A1615" i="2"/>
  <c r="AI1614" i="2"/>
  <c r="AH1614" i="2"/>
  <c r="AG1614" i="2"/>
  <c r="AF1614" i="2"/>
  <c r="AE1614" i="2"/>
  <c r="AD1614" i="2"/>
  <c r="AC1614" i="2"/>
  <c r="AB1614" i="2"/>
  <c r="AA1614" i="2"/>
  <c r="Z1614" i="2"/>
  <c r="Y1614" i="2"/>
  <c r="X1614" i="2"/>
  <c r="V1614" i="2"/>
  <c r="U1614" i="2"/>
  <c r="T1614" i="2"/>
  <c r="S1614" i="2"/>
  <c r="R1614" i="2"/>
  <c r="Q1614" i="2"/>
  <c r="P1614" i="2"/>
  <c r="O1614" i="2"/>
  <c r="N1614" i="2"/>
  <c r="K1614" i="2"/>
  <c r="J1614" i="2"/>
  <c r="I1614" i="2"/>
  <c r="H1614" i="2"/>
  <c r="G1614" i="2"/>
  <c r="F1614" i="2"/>
  <c r="E1614" i="2"/>
  <c r="D1614" i="2"/>
  <c r="C1614" i="2"/>
  <c r="B1614" i="2"/>
  <c r="A1614" i="2"/>
  <c r="AI1613" i="2"/>
  <c r="AH1613" i="2"/>
  <c r="AG1613" i="2"/>
  <c r="AF1613" i="2"/>
  <c r="AE1613" i="2"/>
  <c r="AD1613" i="2"/>
  <c r="AC1613" i="2"/>
  <c r="AB1613" i="2"/>
  <c r="AA1613" i="2"/>
  <c r="Z1613" i="2"/>
  <c r="Y1613" i="2"/>
  <c r="X1613" i="2"/>
  <c r="W1613" i="2"/>
  <c r="V1613" i="2"/>
  <c r="U1613" i="2"/>
  <c r="T1613" i="2"/>
  <c r="S1613" i="2"/>
  <c r="R1613" i="2"/>
  <c r="Q1613" i="2"/>
  <c r="P1613" i="2"/>
  <c r="O1613" i="2"/>
  <c r="N1613" i="2"/>
  <c r="K1613" i="2"/>
  <c r="J1613" i="2"/>
  <c r="I1613" i="2"/>
  <c r="H1613" i="2"/>
  <c r="G1613" i="2"/>
  <c r="F1613" i="2"/>
  <c r="E1613" i="2"/>
  <c r="D1613" i="2"/>
  <c r="C1613" i="2"/>
  <c r="B1613" i="2"/>
  <c r="A1613" i="2"/>
  <c r="AJ1612" i="2"/>
  <c r="AI1612" i="2"/>
  <c r="AH1612" i="2"/>
  <c r="AG1612" i="2"/>
  <c r="AF1612" i="2"/>
  <c r="AE1612" i="2"/>
  <c r="AD1612" i="2"/>
  <c r="AC1612" i="2"/>
  <c r="AB1612" i="2"/>
  <c r="AA1612" i="2"/>
  <c r="Z1612" i="2"/>
  <c r="Y1612" i="2"/>
  <c r="X1612" i="2"/>
  <c r="W1612" i="2"/>
  <c r="V1612" i="2"/>
  <c r="U1612" i="2"/>
  <c r="T1612" i="2"/>
  <c r="S1612" i="2"/>
  <c r="R1612" i="2"/>
  <c r="Q1612" i="2"/>
  <c r="P1612" i="2"/>
  <c r="O1612" i="2"/>
  <c r="N1612" i="2"/>
  <c r="K1612" i="2"/>
  <c r="J1612" i="2"/>
  <c r="I1612" i="2"/>
  <c r="H1612" i="2"/>
  <c r="G1612" i="2"/>
  <c r="F1612" i="2"/>
  <c r="E1612" i="2"/>
  <c r="D1612" i="2"/>
  <c r="C1612" i="2"/>
  <c r="B1612" i="2"/>
  <c r="A1612" i="2"/>
  <c r="AJ1611" i="2"/>
  <c r="AI1611" i="2"/>
  <c r="AH1611" i="2"/>
  <c r="AG1611" i="2"/>
  <c r="AF1611" i="2"/>
  <c r="AE1611" i="2"/>
  <c r="AD1611" i="2"/>
  <c r="AB1611" i="2"/>
  <c r="AA1611" i="2"/>
  <c r="Z1611" i="2"/>
  <c r="Y1611" i="2"/>
  <c r="X1611" i="2"/>
  <c r="U1611" i="2"/>
  <c r="T1611" i="2"/>
  <c r="S1611" i="2"/>
  <c r="R1611" i="2"/>
  <c r="Q1611" i="2"/>
  <c r="P1611" i="2"/>
  <c r="O1611" i="2"/>
  <c r="N1611" i="2"/>
  <c r="K1611" i="2"/>
  <c r="J1611" i="2"/>
  <c r="I1611" i="2"/>
  <c r="H1611" i="2"/>
  <c r="G1611" i="2"/>
  <c r="F1611" i="2"/>
  <c r="E1611" i="2"/>
  <c r="D1611" i="2"/>
  <c r="C1611" i="2"/>
  <c r="B1611" i="2"/>
  <c r="A1611" i="2"/>
  <c r="AI1610" i="2"/>
  <c r="AH1610" i="2"/>
  <c r="AG1610" i="2"/>
  <c r="AF1610" i="2"/>
  <c r="AE1610" i="2"/>
  <c r="AD1610" i="2"/>
  <c r="AC1610" i="2"/>
  <c r="AB1610" i="2"/>
  <c r="AA1610" i="2"/>
  <c r="Z1610" i="2"/>
  <c r="Y1610" i="2"/>
  <c r="X1610" i="2"/>
  <c r="W1610" i="2"/>
  <c r="V1610" i="2"/>
  <c r="U1610" i="2"/>
  <c r="T1610" i="2"/>
  <c r="S1610" i="2"/>
  <c r="R1610" i="2"/>
  <c r="Q1610" i="2"/>
  <c r="P1610" i="2"/>
  <c r="O1610" i="2"/>
  <c r="N1610" i="2"/>
  <c r="K1610" i="2"/>
  <c r="J1610" i="2"/>
  <c r="I1610" i="2"/>
  <c r="H1610" i="2"/>
  <c r="G1610" i="2"/>
  <c r="F1610" i="2"/>
  <c r="E1610" i="2"/>
  <c r="D1610" i="2"/>
  <c r="C1610" i="2"/>
  <c r="B1610" i="2"/>
  <c r="A1610" i="2"/>
  <c r="AI1609" i="2"/>
  <c r="AH1609" i="2"/>
  <c r="AG1609" i="2"/>
  <c r="AF1609" i="2"/>
  <c r="AE1609" i="2"/>
  <c r="AD1609" i="2"/>
  <c r="AC1609" i="2"/>
  <c r="AA1609" i="2"/>
  <c r="Z1609" i="2"/>
  <c r="Y1609" i="2"/>
  <c r="X1609" i="2"/>
  <c r="W1609" i="2"/>
  <c r="V1609" i="2"/>
  <c r="U1609" i="2"/>
  <c r="T1609" i="2"/>
  <c r="S1609" i="2"/>
  <c r="R1609" i="2"/>
  <c r="Q1609" i="2"/>
  <c r="P1609" i="2"/>
  <c r="O1609" i="2"/>
  <c r="N1609" i="2"/>
  <c r="K1609" i="2"/>
  <c r="J1609" i="2"/>
  <c r="I1609" i="2"/>
  <c r="H1609" i="2"/>
  <c r="G1609" i="2"/>
  <c r="F1609" i="2"/>
  <c r="E1609" i="2"/>
  <c r="D1609" i="2"/>
  <c r="C1609" i="2"/>
  <c r="B1609" i="2"/>
  <c r="A1609" i="2"/>
  <c r="AJ1608" i="2"/>
  <c r="AI1608" i="2"/>
  <c r="AH1608" i="2"/>
  <c r="AG1608" i="2"/>
  <c r="AF1608" i="2"/>
  <c r="AE1608" i="2"/>
  <c r="AD1608" i="2"/>
  <c r="AC1608" i="2"/>
  <c r="AB1608" i="2"/>
  <c r="AA1608" i="2"/>
  <c r="Z1608" i="2"/>
  <c r="Y1608" i="2"/>
  <c r="W1608" i="2"/>
  <c r="V1608" i="2"/>
  <c r="U1608" i="2"/>
  <c r="T1608" i="2"/>
  <c r="S1608" i="2"/>
  <c r="R1608" i="2"/>
  <c r="Q1608" i="2"/>
  <c r="P1608" i="2"/>
  <c r="O1608" i="2"/>
  <c r="N1608" i="2"/>
  <c r="K1608" i="2"/>
  <c r="J1608" i="2"/>
  <c r="I1608" i="2"/>
  <c r="H1608" i="2"/>
  <c r="G1608" i="2"/>
  <c r="F1608" i="2"/>
  <c r="E1608" i="2"/>
  <c r="D1608" i="2"/>
  <c r="C1608" i="2"/>
  <c r="B1608" i="2"/>
  <c r="A1608" i="2"/>
  <c r="AJ1607" i="2"/>
  <c r="AI1607" i="2"/>
  <c r="AH1607" i="2"/>
  <c r="AG1607" i="2"/>
  <c r="AF1607" i="2"/>
  <c r="AE1607" i="2"/>
  <c r="AD1607" i="2"/>
  <c r="AC1607" i="2"/>
  <c r="AA1607" i="2"/>
  <c r="Z1607" i="2"/>
  <c r="Y1607" i="2"/>
  <c r="X1607" i="2"/>
  <c r="W1607" i="2"/>
  <c r="V1607" i="2"/>
  <c r="U1607" i="2"/>
  <c r="T1607" i="2"/>
  <c r="S1607" i="2"/>
  <c r="R1607" i="2"/>
  <c r="Q1607" i="2"/>
  <c r="P1607" i="2"/>
  <c r="O1607" i="2"/>
  <c r="N1607" i="2"/>
  <c r="K1607" i="2"/>
  <c r="J1607" i="2"/>
  <c r="I1607" i="2"/>
  <c r="H1607" i="2"/>
  <c r="G1607" i="2"/>
  <c r="F1607" i="2"/>
  <c r="E1607" i="2"/>
  <c r="D1607" i="2"/>
  <c r="C1607" i="2"/>
  <c r="B1607" i="2"/>
  <c r="A1607" i="2"/>
  <c r="AI1606" i="2"/>
  <c r="AH1606" i="2"/>
  <c r="AG1606" i="2"/>
  <c r="AF1606" i="2"/>
  <c r="AE1606" i="2"/>
  <c r="AD1606" i="2"/>
  <c r="AB1606" i="2"/>
  <c r="AA1606" i="2"/>
  <c r="Z1606" i="2"/>
  <c r="Y1606" i="2"/>
  <c r="V1606" i="2"/>
  <c r="U1606" i="2"/>
  <c r="T1606" i="2"/>
  <c r="S1606" i="2"/>
  <c r="R1606" i="2"/>
  <c r="Q1606" i="2"/>
  <c r="P1606" i="2"/>
  <c r="O1606" i="2"/>
  <c r="N1606" i="2"/>
  <c r="K1606" i="2"/>
  <c r="J1606" i="2"/>
  <c r="I1606" i="2"/>
  <c r="H1606" i="2"/>
  <c r="G1606" i="2"/>
  <c r="F1606" i="2"/>
  <c r="E1606" i="2"/>
  <c r="D1606" i="2"/>
  <c r="C1606" i="2"/>
  <c r="B1606" i="2"/>
  <c r="A1606" i="2"/>
  <c r="AI1605" i="2"/>
  <c r="AH1605" i="2"/>
  <c r="AG1605" i="2"/>
  <c r="AF1605" i="2"/>
  <c r="AE1605" i="2"/>
  <c r="AD1605" i="2"/>
  <c r="AC1605" i="2"/>
  <c r="AB1605" i="2"/>
  <c r="AA1605" i="2"/>
  <c r="Z1605" i="2"/>
  <c r="Y1605" i="2"/>
  <c r="X1605" i="2"/>
  <c r="W1605" i="2"/>
  <c r="V1605" i="2"/>
  <c r="U1605" i="2"/>
  <c r="T1605" i="2"/>
  <c r="S1605" i="2"/>
  <c r="R1605" i="2"/>
  <c r="Q1605" i="2"/>
  <c r="P1605" i="2"/>
  <c r="O1605" i="2"/>
  <c r="N1605" i="2"/>
  <c r="K1605" i="2"/>
  <c r="J1605" i="2"/>
  <c r="I1605" i="2"/>
  <c r="H1605" i="2"/>
  <c r="G1605" i="2"/>
  <c r="F1605" i="2"/>
  <c r="E1605" i="2"/>
  <c r="D1605" i="2"/>
  <c r="C1605" i="2"/>
  <c r="B1605" i="2"/>
  <c r="A1605" i="2"/>
  <c r="AI1604" i="2"/>
  <c r="AH1604" i="2"/>
  <c r="AG1604" i="2"/>
  <c r="AF1604" i="2"/>
  <c r="AE1604" i="2"/>
  <c r="AD1604" i="2"/>
  <c r="AC1604" i="2"/>
  <c r="AA1604" i="2"/>
  <c r="Z1604" i="2"/>
  <c r="Y1604" i="2"/>
  <c r="X1604" i="2"/>
  <c r="W1604" i="2"/>
  <c r="V1604" i="2"/>
  <c r="U1604" i="2"/>
  <c r="T1604" i="2"/>
  <c r="S1604" i="2"/>
  <c r="R1604" i="2"/>
  <c r="Q1604" i="2"/>
  <c r="P1604" i="2"/>
  <c r="O1604" i="2"/>
  <c r="N1604" i="2"/>
  <c r="K1604" i="2"/>
  <c r="J1604" i="2"/>
  <c r="I1604" i="2"/>
  <c r="H1604" i="2"/>
  <c r="G1604" i="2"/>
  <c r="F1604" i="2"/>
  <c r="E1604" i="2"/>
  <c r="D1604" i="2"/>
  <c r="C1604" i="2"/>
  <c r="B1604" i="2"/>
  <c r="A1604" i="2"/>
  <c r="AI1603" i="2"/>
  <c r="AH1603" i="2"/>
  <c r="AG1603" i="2"/>
  <c r="AF1603" i="2"/>
  <c r="AE1603" i="2"/>
  <c r="AD1603" i="2"/>
  <c r="AC1603" i="2"/>
  <c r="AB1603" i="2"/>
  <c r="AA1603" i="2"/>
  <c r="Z1603" i="2"/>
  <c r="Y1603" i="2"/>
  <c r="X1603" i="2"/>
  <c r="W1603" i="2"/>
  <c r="V1603" i="2"/>
  <c r="U1603" i="2"/>
  <c r="T1603" i="2"/>
  <c r="S1603" i="2"/>
  <c r="R1603" i="2"/>
  <c r="Q1603" i="2"/>
  <c r="P1603" i="2"/>
  <c r="O1603" i="2"/>
  <c r="N1603" i="2"/>
  <c r="K1603" i="2"/>
  <c r="J1603" i="2"/>
  <c r="I1603" i="2"/>
  <c r="H1603" i="2"/>
  <c r="G1603" i="2"/>
  <c r="F1603" i="2"/>
  <c r="E1603" i="2"/>
  <c r="D1603" i="2"/>
  <c r="C1603" i="2"/>
  <c r="B1603" i="2"/>
  <c r="A1603" i="2"/>
  <c r="AI1602" i="2"/>
  <c r="AH1602" i="2"/>
  <c r="AG1602" i="2"/>
  <c r="AF1602" i="2"/>
  <c r="AE1602" i="2"/>
  <c r="AD1602" i="2"/>
  <c r="AC1602" i="2"/>
  <c r="AB1602" i="2"/>
  <c r="AA1602" i="2"/>
  <c r="Z1602" i="2"/>
  <c r="Y1602" i="2"/>
  <c r="X1602" i="2"/>
  <c r="W1602" i="2"/>
  <c r="V1602" i="2"/>
  <c r="U1602" i="2"/>
  <c r="T1602" i="2"/>
  <c r="S1602" i="2"/>
  <c r="R1602" i="2"/>
  <c r="Q1602" i="2"/>
  <c r="P1602" i="2"/>
  <c r="O1602" i="2"/>
  <c r="N1602" i="2"/>
  <c r="K1602" i="2"/>
  <c r="J1602" i="2"/>
  <c r="I1602" i="2"/>
  <c r="H1602" i="2"/>
  <c r="G1602" i="2"/>
  <c r="F1602" i="2"/>
  <c r="E1602" i="2"/>
  <c r="D1602" i="2"/>
  <c r="C1602" i="2"/>
  <c r="B1602" i="2"/>
  <c r="A1602" i="2"/>
  <c r="AJ1601" i="2"/>
  <c r="AI1601" i="2"/>
  <c r="AH1601" i="2"/>
  <c r="AG1601" i="2"/>
  <c r="AF1601" i="2"/>
  <c r="AE1601" i="2"/>
  <c r="AD1601" i="2"/>
  <c r="AC1601" i="2"/>
  <c r="AB1601" i="2"/>
  <c r="AA1601" i="2"/>
  <c r="Z1601" i="2"/>
  <c r="Y1601" i="2"/>
  <c r="W1601" i="2"/>
  <c r="V1601" i="2"/>
  <c r="U1601" i="2"/>
  <c r="T1601" i="2"/>
  <c r="S1601" i="2"/>
  <c r="R1601" i="2"/>
  <c r="Q1601" i="2"/>
  <c r="P1601" i="2"/>
  <c r="O1601" i="2"/>
  <c r="N1601" i="2"/>
  <c r="K1601" i="2"/>
  <c r="J1601" i="2"/>
  <c r="I1601" i="2"/>
  <c r="H1601" i="2"/>
  <c r="G1601" i="2"/>
  <c r="F1601" i="2"/>
  <c r="E1601" i="2"/>
  <c r="D1601" i="2"/>
  <c r="C1601" i="2"/>
  <c r="B1601" i="2"/>
  <c r="A1601" i="2"/>
  <c r="AI1600" i="2"/>
  <c r="AH1600" i="2"/>
  <c r="AG1600" i="2"/>
  <c r="AF1600" i="2"/>
  <c r="AE1600" i="2"/>
  <c r="AD1600" i="2"/>
  <c r="AC1600" i="2"/>
  <c r="AB1600" i="2"/>
  <c r="AA1600" i="2"/>
  <c r="Z1600" i="2"/>
  <c r="Y1600" i="2"/>
  <c r="X1600" i="2"/>
  <c r="W1600" i="2"/>
  <c r="V1600" i="2"/>
  <c r="U1600" i="2"/>
  <c r="T1600" i="2"/>
  <c r="S1600" i="2"/>
  <c r="R1600" i="2"/>
  <c r="Q1600" i="2"/>
  <c r="P1600" i="2"/>
  <c r="O1600" i="2"/>
  <c r="N1600" i="2"/>
  <c r="K1600" i="2"/>
  <c r="J1600" i="2"/>
  <c r="I1600" i="2"/>
  <c r="H1600" i="2"/>
  <c r="G1600" i="2"/>
  <c r="F1600" i="2"/>
  <c r="E1600" i="2"/>
  <c r="D1600" i="2"/>
  <c r="C1600" i="2"/>
  <c r="B1600" i="2"/>
  <c r="A1600" i="2"/>
  <c r="AJ1599" i="2"/>
  <c r="AI1599" i="2"/>
  <c r="AH1599" i="2"/>
  <c r="AG1599" i="2"/>
  <c r="AF1599" i="2"/>
  <c r="AE1599" i="2"/>
  <c r="AD1599" i="2"/>
  <c r="AC1599" i="2"/>
  <c r="AA1599" i="2"/>
  <c r="Z1599" i="2"/>
  <c r="Y1599" i="2"/>
  <c r="U1599" i="2"/>
  <c r="T1599" i="2"/>
  <c r="S1599" i="2"/>
  <c r="R1599" i="2"/>
  <c r="Q1599" i="2"/>
  <c r="P1599" i="2"/>
  <c r="O1599" i="2"/>
  <c r="N1599" i="2"/>
  <c r="K1599" i="2"/>
  <c r="J1599" i="2"/>
  <c r="I1599" i="2"/>
  <c r="H1599" i="2"/>
  <c r="G1599" i="2"/>
  <c r="F1599" i="2"/>
  <c r="E1599" i="2"/>
  <c r="D1599" i="2"/>
  <c r="C1599" i="2"/>
  <c r="B1599" i="2"/>
  <c r="A1599" i="2"/>
  <c r="AI1598" i="2"/>
  <c r="AH1598" i="2"/>
  <c r="AG1598" i="2"/>
  <c r="AF1598" i="2"/>
  <c r="AE1598" i="2"/>
  <c r="AD1598" i="2"/>
  <c r="AC1598" i="2"/>
  <c r="AB1598" i="2"/>
  <c r="AA1598" i="2"/>
  <c r="Z1598" i="2"/>
  <c r="Y1598" i="2"/>
  <c r="V1598" i="2"/>
  <c r="U1598" i="2"/>
  <c r="T1598" i="2"/>
  <c r="S1598" i="2"/>
  <c r="R1598" i="2"/>
  <c r="Q1598" i="2"/>
  <c r="P1598" i="2"/>
  <c r="O1598" i="2"/>
  <c r="N1598" i="2"/>
  <c r="K1598" i="2"/>
  <c r="J1598" i="2"/>
  <c r="I1598" i="2"/>
  <c r="H1598" i="2"/>
  <c r="G1598" i="2"/>
  <c r="F1598" i="2"/>
  <c r="E1598" i="2"/>
  <c r="D1598" i="2"/>
  <c r="C1598" i="2"/>
  <c r="B1598" i="2"/>
  <c r="A1598" i="2"/>
  <c r="AJ1597" i="2"/>
  <c r="AI1597" i="2"/>
  <c r="AH1597" i="2"/>
  <c r="AG1597" i="2"/>
  <c r="AF1597" i="2"/>
  <c r="AE1597" i="2"/>
  <c r="AD1597" i="2"/>
  <c r="AC1597" i="2"/>
  <c r="AB1597" i="2"/>
  <c r="AA1597" i="2"/>
  <c r="Z1597" i="2"/>
  <c r="Y1597" i="2"/>
  <c r="W1597" i="2"/>
  <c r="V1597" i="2"/>
  <c r="U1597" i="2"/>
  <c r="T1597" i="2"/>
  <c r="S1597" i="2"/>
  <c r="R1597" i="2"/>
  <c r="Q1597" i="2"/>
  <c r="P1597" i="2"/>
  <c r="O1597" i="2"/>
  <c r="N1597" i="2"/>
  <c r="K1597" i="2"/>
  <c r="J1597" i="2"/>
  <c r="I1597" i="2"/>
  <c r="H1597" i="2"/>
  <c r="G1597" i="2"/>
  <c r="F1597" i="2"/>
  <c r="E1597" i="2"/>
  <c r="D1597" i="2"/>
  <c r="C1597" i="2"/>
  <c r="B1597" i="2"/>
  <c r="A1597" i="2"/>
  <c r="AI1596" i="2"/>
  <c r="AH1596" i="2"/>
  <c r="AG1596" i="2"/>
  <c r="AF1596" i="2"/>
  <c r="AE1596" i="2"/>
  <c r="AD1596" i="2"/>
  <c r="AC1596" i="2"/>
  <c r="AB1596" i="2"/>
  <c r="AA1596" i="2"/>
  <c r="Z1596" i="2"/>
  <c r="Y1596" i="2"/>
  <c r="X1596" i="2"/>
  <c r="W1596" i="2"/>
  <c r="V1596" i="2"/>
  <c r="U1596" i="2"/>
  <c r="T1596" i="2"/>
  <c r="S1596" i="2"/>
  <c r="R1596" i="2"/>
  <c r="Q1596" i="2"/>
  <c r="P1596" i="2"/>
  <c r="O1596" i="2"/>
  <c r="N1596" i="2"/>
  <c r="K1596" i="2"/>
  <c r="J1596" i="2"/>
  <c r="I1596" i="2"/>
  <c r="H1596" i="2"/>
  <c r="G1596" i="2"/>
  <c r="F1596" i="2"/>
  <c r="E1596" i="2"/>
  <c r="D1596" i="2"/>
  <c r="C1596" i="2"/>
  <c r="B1596" i="2"/>
  <c r="A1596" i="2"/>
  <c r="AJ1595" i="2"/>
  <c r="AI1595" i="2"/>
  <c r="AH1595" i="2"/>
  <c r="AG1595" i="2"/>
  <c r="AF1595" i="2"/>
  <c r="AE1595" i="2"/>
  <c r="AD1595" i="2"/>
  <c r="AC1595" i="2"/>
  <c r="AB1595" i="2"/>
  <c r="AA1595" i="2"/>
  <c r="Z1595" i="2"/>
  <c r="Y1595" i="2"/>
  <c r="U1595" i="2"/>
  <c r="T1595" i="2"/>
  <c r="S1595" i="2"/>
  <c r="R1595" i="2"/>
  <c r="Q1595" i="2"/>
  <c r="P1595" i="2"/>
  <c r="O1595" i="2"/>
  <c r="N1595" i="2"/>
  <c r="K1595" i="2"/>
  <c r="J1595" i="2"/>
  <c r="I1595" i="2"/>
  <c r="H1595" i="2"/>
  <c r="G1595" i="2"/>
  <c r="F1595" i="2"/>
  <c r="E1595" i="2"/>
  <c r="D1595" i="2"/>
  <c r="C1595" i="2"/>
  <c r="B1595" i="2"/>
  <c r="A1595" i="2"/>
  <c r="AI1594" i="2"/>
  <c r="AH1594" i="2"/>
  <c r="AG1594" i="2"/>
  <c r="AF1594" i="2"/>
  <c r="AE1594" i="2"/>
  <c r="AD1594" i="2"/>
  <c r="AC1594" i="2"/>
  <c r="AB1594" i="2"/>
  <c r="AA1594" i="2"/>
  <c r="Z1594" i="2"/>
  <c r="Y1594" i="2"/>
  <c r="X1594" i="2"/>
  <c r="W1594" i="2"/>
  <c r="V1594" i="2"/>
  <c r="U1594" i="2"/>
  <c r="T1594" i="2"/>
  <c r="S1594" i="2"/>
  <c r="R1594" i="2"/>
  <c r="Q1594" i="2"/>
  <c r="P1594" i="2"/>
  <c r="O1594" i="2"/>
  <c r="N1594" i="2"/>
  <c r="K1594" i="2"/>
  <c r="J1594" i="2"/>
  <c r="I1594" i="2"/>
  <c r="H1594" i="2"/>
  <c r="G1594" i="2"/>
  <c r="F1594" i="2"/>
  <c r="E1594" i="2"/>
  <c r="D1594" i="2"/>
  <c r="C1594" i="2"/>
  <c r="B1594" i="2"/>
  <c r="A1594" i="2"/>
  <c r="AJ1593" i="2"/>
  <c r="AI1593" i="2"/>
  <c r="AH1593" i="2"/>
  <c r="AG1593" i="2"/>
  <c r="AF1593" i="2"/>
  <c r="AE1593" i="2"/>
  <c r="AD1593" i="2"/>
  <c r="AC1593" i="2"/>
  <c r="AB1593" i="2"/>
  <c r="AA1593" i="2"/>
  <c r="Z1593" i="2"/>
  <c r="Y1593" i="2"/>
  <c r="W1593" i="2"/>
  <c r="V1593" i="2"/>
  <c r="U1593" i="2"/>
  <c r="T1593" i="2"/>
  <c r="S1593" i="2"/>
  <c r="R1593" i="2"/>
  <c r="Q1593" i="2"/>
  <c r="P1593" i="2"/>
  <c r="O1593" i="2"/>
  <c r="N1593" i="2"/>
  <c r="K1593" i="2"/>
  <c r="J1593" i="2"/>
  <c r="I1593" i="2"/>
  <c r="H1593" i="2"/>
  <c r="G1593" i="2"/>
  <c r="F1593" i="2"/>
  <c r="E1593" i="2"/>
  <c r="D1593" i="2"/>
  <c r="C1593" i="2"/>
  <c r="B1593" i="2"/>
  <c r="A1593" i="2"/>
  <c r="AI1592" i="2"/>
  <c r="AH1592" i="2"/>
  <c r="AG1592" i="2"/>
  <c r="AF1592" i="2"/>
  <c r="AE1592" i="2"/>
  <c r="AD1592" i="2"/>
  <c r="AC1592" i="2"/>
  <c r="AB1592" i="2"/>
  <c r="AA1592" i="2"/>
  <c r="Z1592" i="2"/>
  <c r="Y1592" i="2"/>
  <c r="X1592" i="2"/>
  <c r="W1592" i="2"/>
  <c r="V1592" i="2"/>
  <c r="U1592" i="2"/>
  <c r="T1592" i="2"/>
  <c r="S1592" i="2"/>
  <c r="R1592" i="2"/>
  <c r="Q1592" i="2"/>
  <c r="P1592" i="2"/>
  <c r="O1592" i="2"/>
  <c r="N1592" i="2"/>
  <c r="K1592" i="2"/>
  <c r="J1592" i="2"/>
  <c r="I1592" i="2"/>
  <c r="H1592" i="2"/>
  <c r="G1592" i="2"/>
  <c r="F1592" i="2"/>
  <c r="E1592" i="2"/>
  <c r="D1592" i="2"/>
  <c r="C1592" i="2"/>
  <c r="B1592" i="2"/>
  <c r="A1592" i="2"/>
  <c r="AI1591" i="2"/>
  <c r="AH1591" i="2"/>
  <c r="AG1591" i="2"/>
  <c r="AF1591" i="2"/>
  <c r="AE1591" i="2"/>
  <c r="AD1591" i="2"/>
  <c r="AC1591" i="2"/>
  <c r="AB1591" i="2"/>
  <c r="AA1591" i="2"/>
  <c r="Z1591" i="2"/>
  <c r="Y1591" i="2"/>
  <c r="X1591" i="2"/>
  <c r="W1591" i="2"/>
  <c r="V1591" i="2"/>
  <c r="U1591" i="2"/>
  <c r="T1591" i="2"/>
  <c r="S1591" i="2"/>
  <c r="R1591" i="2"/>
  <c r="Q1591" i="2"/>
  <c r="P1591" i="2"/>
  <c r="O1591" i="2"/>
  <c r="N1591" i="2"/>
  <c r="K1591" i="2"/>
  <c r="J1591" i="2"/>
  <c r="I1591" i="2"/>
  <c r="H1591" i="2"/>
  <c r="G1591" i="2"/>
  <c r="F1591" i="2"/>
  <c r="E1591" i="2"/>
  <c r="D1591" i="2"/>
  <c r="C1591" i="2"/>
  <c r="B1591" i="2"/>
  <c r="A1591" i="2"/>
  <c r="AJ1590" i="2"/>
  <c r="AI1590" i="2"/>
  <c r="AH1590" i="2"/>
  <c r="AG1590" i="2"/>
  <c r="AF1590" i="2"/>
  <c r="AE1590" i="2"/>
  <c r="AD1590" i="2"/>
  <c r="AC1590" i="2"/>
  <c r="AB1590" i="2"/>
  <c r="AA1590" i="2"/>
  <c r="Z1590" i="2"/>
  <c r="Y1590" i="2"/>
  <c r="X1590" i="2"/>
  <c r="U1590" i="2"/>
  <c r="T1590" i="2"/>
  <c r="S1590" i="2"/>
  <c r="R1590" i="2"/>
  <c r="Q1590" i="2"/>
  <c r="P1590" i="2"/>
  <c r="O1590" i="2"/>
  <c r="N1590" i="2"/>
  <c r="K1590" i="2"/>
  <c r="J1590" i="2"/>
  <c r="I1590" i="2"/>
  <c r="H1590" i="2"/>
  <c r="G1590" i="2"/>
  <c r="F1590" i="2"/>
  <c r="E1590" i="2"/>
  <c r="D1590" i="2"/>
  <c r="C1590" i="2"/>
  <c r="B1590" i="2"/>
  <c r="A1590" i="2"/>
  <c r="AJ1589" i="2"/>
  <c r="AI1589" i="2"/>
  <c r="AH1589" i="2"/>
  <c r="AG1589" i="2"/>
  <c r="AF1589" i="2"/>
  <c r="AE1589" i="2"/>
  <c r="AD1589" i="2"/>
  <c r="AC1589" i="2"/>
  <c r="AA1589" i="2"/>
  <c r="Z1589" i="2"/>
  <c r="Y1589" i="2"/>
  <c r="W1589" i="2"/>
  <c r="V1589" i="2"/>
  <c r="U1589" i="2"/>
  <c r="T1589" i="2"/>
  <c r="S1589" i="2"/>
  <c r="R1589" i="2"/>
  <c r="Q1589" i="2"/>
  <c r="P1589" i="2"/>
  <c r="O1589" i="2"/>
  <c r="N1589" i="2"/>
  <c r="K1589" i="2"/>
  <c r="J1589" i="2"/>
  <c r="I1589" i="2"/>
  <c r="H1589" i="2"/>
  <c r="G1589" i="2"/>
  <c r="F1589" i="2"/>
  <c r="E1589" i="2"/>
  <c r="D1589" i="2"/>
  <c r="C1589" i="2"/>
  <c r="B1589" i="2"/>
  <c r="A1589" i="2"/>
  <c r="AH1588" i="2"/>
  <c r="AG1588" i="2"/>
  <c r="AF1588" i="2"/>
  <c r="AE1588" i="2"/>
  <c r="AD1588" i="2"/>
  <c r="AC1588" i="2"/>
  <c r="AA1588" i="2"/>
  <c r="Z1588" i="2"/>
  <c r="Y1588" i="2"/>
  <c r="X1588" i="2"/>
  <c r="W1588" i="2"/>
  <c r="V1588" i="2"/>
  <c r="U1588" i="2"/>
  <c r="T1588" i="2"/>
  <c r="S1588" i="2"/>
  <c r="R1588" i="2"/>
  <c r="Q1588" i="2"/>
  <c r="P1588" i="2"/>
  <c r="O1588" i="2"/>
  <c r="N1588" i="2"/>
  <c r="K1588" i="2"/>
  <c r="J1588" i="2"/>
  <c r="I1588" i="2"/>
  <c r="H1588" i="2"/>
  <c r="G1588" i="2"/>
  <c r="F1588" i="2"/>
  <c r="E1588" i="2"/>
  <c r="D1588" i="2"/>
  <c r="C1588" i="2"/>
  <c r="B1588" i="2"/>
  <c r="A1588" i="2"/>
  <c r="AJ1587" i="2"/>
  <c r="AI1587" i="2"/>
  <c r="AH1587" i="2"/>
  <c r="AG1587" i="2"/>
  <c r="AF1587" i="2"/>
  <c r="AE1587" i="2"/>
  <c r="AD1587" i="2"/>
  <c r="AC1587" i="2"/>
  <c r="AB1587" i="2"/>
  <c r="AA1587" i="2"/>
  <c r="Z1587" i="2"/>
  <c r="Y1587" i="2"/>
  <c r="W1587" i="2"/>
  <c r="V1587" i="2"/>
  <c r="U1587" i="2"/>
  <c r="T1587" i="2"/>
  <c r="S1587" i="2"/>
  <c r="R1587" i="2"/>
  <c r="Q1587" i="2"/>
  <c r="P1587" i="2"/>
  <c r="O1587" i="2"/>
  <c r="N1587" i="2"/>
  <c r="K1587" i="2"/>
  <c r="J1587" i="2"/>
  <c r="I1587" i="2"/>
  <c r="H1587" i="2"/>
  <c r="G1587" i="2"/>
  <c r="F1587" i="2"/>
  <c r="E1587" i="2"/>
  <c r="D1587" i="2"/>
  <c r="C1587" i="2"/>
  <c r="B1587" i="2"/>
  <c r="A1587" i="2"/>
  <c r="AJ1586" i="2"/>
  <c r="AI1586" i="2"/>
  <c r="AH1586" i="2"/>
  <c r="AG1586" i="2"/>
  <c r="AF1586" i="2"/>
  <c r="AE1586" i="2"/>
  <c r="AD1586" i="2"/>
  <c r="AC1586" i="2"/>
  <c r="AB1586" i="2"/>
  <c r="AA1586" i="2"/>
  <c r="Z1586" i="2"/>
  <c r="Y1586" i="2"/>
  <c r="X1586" i="2"/>
  <c r="W1586" i="2"/>
  <c r="V1586" i="2"/>
  <c r="U1586" i="2"/>
  <c r="T1586" i="2"/>
  <c r="S1586" i="2"/>
  <c r="R1586" i="2"/>
  <c r="Q1586" i="2"/>
  <c r="P1586" i="2"/>
  <c r="O1586" i="2"/>
  <c r="N1586" i="2"/>
  <c r="K1586" i="2"/>
  <c r="J1586" i="2"/>
  <c r="I1586" i="2"/>
  <c r="H1586" i="2"/>
  <c r="G1586" i="2"/>
  <c r="F1586" i="2"/>
  <c r="E1586" i="2"/>
  <c r="D1586" i="2"/>
  <c r="C1586" i="2"/>
  <c r="B1586" i="2"/>
  <c r="A1586" i="2"/>
  <c r="AH1585" i="2"/>
  <c r="AG1585" i="2"/>
  <c r="AF1585" i="2"/>
  <c r="AE1585" i="2"/>
  <c r="AD1585" i="2"/>
  <c r="AC1585" i="2"/>
  <c r="AA1585" i="2"/>
  <c r="Z1585" i="2"/>
  <c r="Y1585" i="2"/>
  <c r="X1585" i="2"/>
  <c r="W1585" i="2"/>
  <c r="V1585" i="2"/>
  <c r="U1585" i="2"/>
  <c r="T1585" i="2"/>
  <c r="S1585" i="2"/>
  <c r="R1585" i="2"/>
  <c r="Q1585" i="2"/>
  <c r="P1585" i="2"/>
  <c r="O1585" i="2"/>
  <c r="N1585" i="2"/>
  <c r="K1585" i="2"/>
  <c r="J1585" i="2"/>
  <c r="I1585" i="2"/>
  <c r="H1585" i="2"/>
  <c r="G1585" i="2"/>
  <c r="F1585" i="2"/>
  <c r="E1585" i="2"/>
  <c r="D1585" i="2"/>
  <c r="C1585" i="2"/>
  <c r="B1585" i="2"/>
  <c r="A1585" i="2"/>
  <c r="AI1584" i="2"/>
  <c r="AH1584" i="2"/>
  <c r="AG1584" i="2"/>
  <c r="AF1584" i="2"/>
  <c r="AE1584" i="2"/>
  <c r="AD1584" i="2"/>
  <c r="AB1584" i="2"/>
  <c r="AA1584" i="2"/>
  <c r="Z1584" i="2"/>
  <c r="Y1584" i="2"/>
  <c r="X1584" i="2"/>
  <c r="W1584" i="2"/>
  <c r="V1584" i="2"/>
  <c r="U1584" i="2"/>
  <c r="T1584" i="2"/>
  <c r="S1584" i="2"/>
  <c r="R1584" i="2"/>
  <c r="Q1584" i="2"/>
  <c r="P1584" i="2"/>
  <c r="O1584" i="2"/>
  <c r="N1584" i="2"/>
  <c r="K1584" i="2"/>
  <c r="J1584" i="2"/>
  <c r="I1584" i="2"/>
  <c r="H1584" i="2"/>
  <c r="G1584" i="2"/>
  <c r="F1584" i="2"/>
  <c r="E1584" i="2"/>
  <c r="D1584" i="2"/>
  <c r="C1584" i="2"/>
  <c r="B1584" i="2"/>
  <c r="A1584" i="2"/>
  <c r="AI1583" i="2"/>
  <c r="AH1583" i="2"/>
  <c r="AG1583" i="2"/>
  <c r="AF1583" i="2"/>
  <c r="AE1583" i="2"/>
  <c r="AD1583" i="2"/>
  <c r="AC1583" i="2"/>
  <c r="AB1583" i="2"/>
  <c r="AA1583" i="2"/>
  <c r="Z1583" i="2"/>
  <c r="Y1583" i="2"/>
  <c r="X1583" i="2"/>
  <c r="W1583" i="2"/>
  <c r="V1583" i="2"/>
  <c r="U1583" i="2"/>
  <c r="T1583" i="2"/>
  <c r="S1583" i="2"/>
  <c r="R1583" i="2"/>
  <c r="Q1583" i="2"/>
  <c r="P1583" i="2"/>
  <c r="O1583" i="2"/>
  <c r="N1583" i="2"/>
  <c r="K1583" i="2"/>
  <c r="J1583" i="2"/>
  <c r="I1583" i="2"/>
  <c r="H1583" i="2"/>
  <c r="G1583" i="2"/>
  <c r="F1583" i="2"/>
  <c r="E1583" i="2"/>
  <c r="D1583" i="2"/>
  <c r="C1583" i="2"/>
  <c r="B1583" i="2"/>
  <c r="A1583" i="2"/>
  <c r="AI1582" i="2"/>
  <c r="AH1582" i="2"/>
  <c r="AG1582" i="2"/>
  <c r="AF1582" i="2"/>
  <c r="AE1582" i="2"/>
  <c r="AD1582" i="2"/>
  <c r="AC1582" i="2"/>
  <c r="AB1582" i="2"/>
  <c r="AA1582" i="2"/>
  <c r="Z1582" i="2"/>
  <c r="Y1582" i="2"/>
  <c r="X1582" i="2"/>
  <c r="V1582" i="2"/>
  <c r="U1582" i="2"/>
  <c r="T1582" i="2"/>
  <c r="S1582" i="2"/>
  <c r="R1582" i="2"/>
  <c r="Q1582" i="2"/>
  <c r="P1582" i="2"/>
  <c r="O1582" i="2"/>
  <c r="N1582" i="2"/>
  <c r="K1582" i="2"/>
  <c r="J1582" i="2"/>
  <c r="I1582" i="2"/>
  <c r="H1582" i="2"/>
  <c r="G1582" i="2"/>
  <c r="F1582" i="2"/>
  <c r="E1582" i="2"/>
  <c r="D1582" i="2"/>
  <c r="C1582" i="2"/>
  <c r="B1582" i="2"/>
  <c r="A1582" i="2"/>
  <c r="AI1581" i="2"/>
  <c r="AH1581" i="2"/>
  <c r="AG1581" i="2"/>
  <c r="AF1581" i="2"/>
  <c r="AE1581" i="2"/>
  <c r="AD1581" i="2"/>
  <c r="AC1581" i="2"/>
  <c r="AB1581" i="2"/>
  <c r="AA1581" i="2"/>
  <c r="Z1581" i="2"/>
  <c r="Y1581" i="2"/>
  <c r="X1581" i="2"/>
  <c r="W1581" i="2"/>
  <c r="V1581" i="2"/>
  <c r="U1581" i="2"/>
  <c r="T1581" i="2"/>
  <c r="S1581" i="2"/>
  <c r="R1581" i="2"/>
  <c r="Q1581" i="2"/>
  <c r="P1581" i="2"/>
  <c r="O1581" i="2"/>
  <c r="N1581" i="2"/>
  <c r="K1581" i="2"/>
  <c r="J1581" i="2"/>
  <c r="I1581" i="2"/>
  <c r="H1581" i="2"/>
  <c r="G1581" i="2"/>
  <c r="F1581" i="2"/>
  <c r="E1581" i="2"/>
  <c r="D1581" i="2"/>
  <c r="C1581" i="2"/>
  <c r="B1581" i="2"/>
  <c r="A1581" i="2"/>
  <c r="AI1580" i="2"/>
  <c r="AH1580" i="2"/>
  <c r="AG1580" i="2"/>
  <c r="AF1580" i="2"/>
  <c r="AE1580" i="2"/>
  <c r="AD1580" i="2"/>
  <c r="AC1580" i="2"/>
  <c r="AB1580" i="2"/>
  <c r="AA1580" i="2"/>
  <c r="Z1580" i="2"/>
  <c r="Y1580" i="2"/>
  <c r="X1580" i="2"/>
  <c r="W1580" i="2"/>
  <c r="V1580" i="2"/>
  <c r="U1580" i="2"/>
  <c r="T1580" i="2"/>
  <c r="S1580" i="2"/>
  <c r="R1580" i="2"/>
  <c r="Q1580" i="2"/>
  <c r="P1580" i="2"/>
  <c r="O1580" i="2"/>
  <c r="N1580" i="2"/>
  <c r="K1580" i="2"/>
  <c r="J1580" i="2"/>
  <c r="I1580" i="2"/>
  <c r="H1580" i="2"/>
  <c r="G1580" i="2"/>
  <c r="F1580" i="2"/>
  <c r="E1580" i="2"/>
  <c r="D1580" i="2"/>
  <c r="C1580" i="2"/>
  <c r="B1580" i="2"/>
  <c r="A1580" i="2"/>
  <c r="AJ1579" i="2"/>
  <c r="AI1579" i="2"/>
  <c r="AH1579" i="2"/>
  <c r="AG1579" i="2"/>
  <c r="AF1579" i="2"/>
  <c r="AE1579" i="2"/>
  <c r="AD1579" i="2"/>
  <c r="AC1579" i="2"/>
  <c r="AB1579" i="2"/>
  <c r="AA1579" i="2"/>
  <c r="Z1579" i="2"/>
  <c r="Y1579" i="2"/>
  <c r="X1579" i="2"/>
  <c r="W1579" i="2"/>
  <c r="V1579" i="2"/>
  <c r="U1579" i="2"/>
  <c r="T1579" i="2"/>
  <c r="S1579" i="2"/>
  <c r="R1579" i="2"/>
  <c r="Q1579" i="2"/>
  <c r="P1579" i="2"/>
  <c r="O1579" i="2"/>
  <c r="N1579" i="2"/>
  <c r="K1579" i="2"/>
  <c r="J1579" i="2"/>
  <c r="I1579" i="2"/>
  <c r="H1579" i="2"/>
  <c r="G1579" i="2"/>
  <c r="F1579" i="2"/>
  <c r="E1579" i="2"/>
  <c r="D1579" i="2"/>
  <c r="C1579" i="2"/>
  <c r="B1579" i="2"/>
  <c r="A1579" i="2"/>
  <c r="AI1578" i="2"/>
  <c r="AH1578" i="2"/>
  <c r="AG1578" i="2"/>
  <c r="AF1578" i="2"/>
  <c r="AE1578" i="2"/>
  <c r="AD1578" i="2"/>
  <c r="AC1578" i="2"/>
  <c r="AA1578" i="2"/>
  <c r="Z1578" i="2"/>
  <c r="Y1578" i="2"/>
  <c r="X1578" i="2"/>
  <c r="W1578" i="2"/>
  <c r="V1578" i="2"/>
  <c r="U1578" i="2"/>
  <c r="T1578" i="2"/>
  <c r="S1578" i="2"/>
  <c r="R1578" i="2"/>
  <c r="Q1578" i="2"/>
  <c r="P1578" i="2"/>
  <c r="O1578" i="2"/>
  <c r="N1578" i="2"/>
  <c r="K1578" i="2"/>
  <c r="J1578" i="2"/>
  <c r="I1578" i="2"/>
  <c r="H1578" i="2"/>
  <c r="G1578" i="2"/>
  <c r="F1578" i="2"/>
  <c r="E1578" i="2"/>
  <c r="D1578" i="2"/>
  <c r="C1578" i="2"/>
  <c r="B1578" i="2"/>
  <c r="A1578" i="2"/>
  <c r="AJ1577" i="2"/>
  <c r="AI1577" i="2"/>
  <c r="AH1577" i="2"/>
  <c r="AG1577" i="2"/>
  <c r="AF1577" i="2"/>
  <c r="AE1577" i="2"/>
  <c r="AD1577" i="2"/>
  <c r="AC1577" i="2"/>
  <c r="AB1577" i="2"/>
  <c r="AA1577" i="2"/>
  <c r="Z1577" i="2"/>
  <c r="Y1577" i="2"/>
  <c r="X1577" i="2"/>
  <c r="W1577" i="2"/>
  <c r="V1577" i="2"/>
  <c r="U1577" i="2"/>
  <c r="T1577" i="2"/>
  <c r="S1577" i="2"/>
  <c r="R1577" i="2"/>
  <c r="Q1577" i="2"/>
  <c r="P1577" i="2"/>
  <c r="O1577" i="2"/>
  <c r="N1577" i="2"/>
  <c r="M1577" i="2"/>
  <c r="L1577" i="2"/>
  <c r="K1577" i="2"/>
  <c r="J1577" i="2"/>
  <c r="I1577" i="2"/>
  <c r="H1577" i="2"/>
  <c r="G1577" i="2"/>
  <c r="F1577" i="2"/>
  <c r="E1577" i="2"/>
  <c r="D1577" i="2"/>
  <c r="C1577" i="2"/>
  <c r="B1577" i="2"/>
  <c r="A1577" i="2"/>
  <c r="AI1576" i="2"/>
  <c r="AH1576" i="2"/>
  <c r="AG1576" i="2"/>
  <c r="AF1576" i="2"/>
  <c r="AE1576" i="2"/>
  <c r="AD1576" i="2"/>
  <c r="AC1576" i="2"/>
  <c r="AB1576" i="2"/>
  <c r="AA1576" i="2"/>
  <c r="Z1576" i="2"/>
  <c r="Y1576" i="2"/>
  <c r="X1576" i="2"/>
  <c r="W1576" i="2"/>
  <c r="V1576" i="2"/>
  <c r="U1576" i="2"/>
  <c r="T1576" i="2"/>
  <c r="S1576" i="2"/>
  <c r="R1576" i="2"/>
  <c r="Q1576" i="2"/>
  <c r="P1576" i="2"/>
  <c r="O1576" i="2"/>
  <c r="N1576" i="2"/>
  <c r="K1576" i="2"/>
  <c r="J1576" i="2"/>
  <c r="I1576" i="2"/>
  <c r="H1576" i="2"/>
  <c r="G1576" i="2"/>
  <c r="F1576" i="2"/>
  <c r="E1576" i="2"/>
  <c r="D1576" i="2"/>
  <c r="C1576" i="2"/>
  <c r="B1576" i="2"/>
  <c r="A1576" i="2"/>
  <c r="AI1575" i="2"/>
  <c r="AH1575" i="2"/>
  <c r="AG1575" i="2"/>
  <c r="AF1575" i="2"/>
  <c r="AE1575" i="2"/>
  <c r="AD1575" i="2"/>
  <c r="AC1575" i="2"/>
  <c r="AB1575" i="2"/>
  <c r="AA1575" i="2"/>
  <c r="Z1575" i="2"/>
  <c r="Y1575" i="2"/>
  <c r="X1575" i="2"/>
  <c r="V1575" i="2"/>
  <c r="U1575" i="2"/>
  <c r="T1575" i="2"/>
  <c r="S1575" i="2"/>
  <c r="R1575" i="2"/>
  <c r="Q1575" i="2"/>
  <c r="P1575" i="2"/>
  <c r="O1575" i="2"/>
  <c r="N1575" i="2"/>
  <c r="K1575" i="2"/>
  <c r="J1575" i="2"/>
  <c r="I1575" i="2"/>
  <c r="H1575" i="2"/>
  <c r="G1575" i="2"/>
  <c r="F1575" i="2"/>
  <c r="E1575" i="2"/>
  <c r="D1575" i="2"/>
  <c r="C1575" i="2"/>
  <c r="B1575" i="2"/>
  <c r="A1575" i="2"/>
  <c r="AI1574" i="2"/>
  <c r="AH1574" i="2"/>
  <c r="AG1574" i="2"/>
  <c r="AF1574" i="2"/>
  <c r="AE1574" i="2"/>
  <c r="AD1574" i="2"/>
  <c r="AC1574" i="2"/>
  <c r="AB1574" i="2"/>
  <c r="AA1574" i="2"/>
  <c r="Z1574" i="2"/>
  <c r="Y1574" i="2"/>
  <c r="V1574" i="2"/>
  <c r="U1574" i="2"/>
  <c r="T1574" i="2"/>
  <c r="S1574" i="2"/>
  <c r="R1574" i="2"/>
  <c r="Q1574" i="2"/>
  <c r="P1574" i="2"/>
  <c r="O1574" i="2"/>
  <c r="N1574" i="2"/>
  <c r="K1574" i="2"/>
  <c r="J1574" i="2"/>
  <c r="I1574" i="2"/>
  <c r="H1574" i="2"/>
  <c r="G1574" i="2"/>
  <c r="F1574" i="2"/>
  <c r="E1574" i="2"/>
  <c r="D1574" i="2"/>
  <c r="C1574" i="2"/>
  <c r="B1574" i="2"/>
  <c r="A1574" i="2"/>
  <c r="AI1573" i="2"/>
  <c r="AH1573" i="2"/>
  <c r="AG1573" i="2"/>
  <c r="AF1573" i="2"/>
  <c r="AE1573" i="2"/>
  <c r="AD1573" i="2"/>
  <c r="AC1573" i="2"/>
  <c r="AB1573" i="2"/>
  <c r="AA1573" i="2"/>
  <c r="Z1573" i="2"/>
  <c r="Y1573" i="2"/>
  <c r="X1573" i="2"/>
  <c r="W1573" i="2"/>
  <c r="V1573" i="2"/>
  <c r="U1573" i="2"/>
  <c r="T1573" i="2"/>
  <c r="S1573" i="2"/>
  <c r="R1573" i="2"/>
  <c r="Q1573" i="2"/>
  <c r="P1573" i="2"/>
  <c r="O1573" i="2"/>
  <c r="N1573" i="2"/>
  <c r="K1573" i="2"/>
  <c r="J1573" i="2"/>
  <c r="I1573" i="2"/>
  <c r="H1573" i="2"/>
  <c r="G1573" i="2"/>
  <c r="F1573" i="2"/>
  <c r="E1573" i="2"/>
  <c r="D1573" i="2"/>
  <c r="C1573" i="2"/>
  <c r="B1573" i="2"/>
  <c r="A1573" i="2"/>
  <c r="AI1572" i="2"/>
  <c r="AH1572" i="2"/>
  <c r="AG1572" i="2"/>
  <c r="AF1572" i="2"/>
  <c r="AE1572" i="2"/>
  <c r="AD1572" i="2"/>
  <c r="AC1572" i="2"/>
  <c r="AB1572" i="2"/>
  <c r="AA1572" i="2"/>
  <c r="Z1572" i="2"/>
  <c r="Y1572" i="2"/>
  <c r="X1572" i="2"/>
  <c r="W1572" i="2"/>
  <c r="V1572" i="2"/>
  <c r="U1572" i="2"/>
  <c r="T1572" i="2"/>
  <c r="S1572" i="2"/>
  <c r="R1572" i="2"/>
  <c r="Q1572" i="2"/>
  <c r="P1572" i="2"/>
  <c r="O1572" i="2"/>
  <c r="N1572" i="2"/>
  <c r="K1572" i="2"/>
  <c r="J1572" i="2"/>
  <c r="I1572" i="2"/>
  <c r="H1572" i="2"/>
  <c r="G1572" i="2"/>
  <c r="F1572" i="2"/>
  <c r="E1572" i="2"/>
  <c r="D1572" i="2"/>
  <c r="C1572" i="2"/>
  <c r="B1572" i="2"/>
  <c r="A1572" i="2"/>
  <c r="AJ1571" i="2"/>
  <c r="AI1571" i="2"/>
  <c r="AH1571" i="2"/>
  <c r="AG1571" i="2"/>
  <c r="AF1571" i="2"/>
  <c r="AE1571" i="2"/>
  <c r="AD1571" i="2"/>
  <c r="AC1571" i="2"/>
  <c r="AB1571" i="2"/>
  <c r="AA1571" i="2"/>
  <c r="Z1571" i="2"/>
  <c r="Y1571" i="2"/>
  <c r="V1571" i="2"/>
  <c r="U1571" i="2"/>
  <c r="T1571" i="2"/>
  <c r="S1571" i="2"/>
  <c r="R1571" i="2"/>
  <c r="Q1571" i="2"/>
  <c r="P1571" i="2"/>
  <c r="O1571" i="2"/>
  <c r="N1571" i="2"/>
  <c r="K1571" i="2"/>
  <c r="J1571" i="2"/>
  <c r="I1571" i="2"/>
  <c r="H1571" i="2"/>
  <c r="G1571" i="2"/>
  <c r="F1571" i="2"/>
  <c r="E1571" i="2"/>
  <c r="D1571" i="2"/>
  <c r="C1571" i="2"/>
  <c r="B1571" i="2"/>
  <c r="A1571" i="2"/>
  <c r="AJ1570" i="2"/>
  <c r="AI1570" i="2"/>
  <c r="AH1570" i="2"/>
  <c r="AG1570" i="2"/>
  <c r="AF1570" i="2"/>
  <c r="AE1570" i="2"/>
  <c r="AD1570" i="2"/>
  <c r="AC1570" i="2"/>
  <c r="AA1570" i="2"/>
  <c r="Z1570" i="2"/>
  <c r="Y1570" i="2"/>
  <c r="X1570" i="2"/>
  <c r="W1570" i="2"/>
  <c r="V1570" i="2"/>
  <c r="U1570" i="2"/>
  <c r="T1570" i="2"/>
  <c r="S1570" i="2"/>
  <c r="R1570" i="2"/>
  <c r="Q1570" i="2"/>
  <c r="P1570" i="2"/>
  <c r="O1570" i="2"/>
  <c r="N1570" i="2"/>
  <c r="K1570" i="2"/>
  <c r="J1570" i="2"/>
  <c r="I1570" i="2"/>
  <c r="H1570" i="2"/>
  <c r="G1570" i="2"/>
  <c r="F1570" i="2"/>
  <c r="E1570" i="2"/>
  <c r="D1570" i="2"/>
  <c r="C1570" i="2"/>
  <c r="B1570" i="2"/>
  <c r="A1570" i="2"/>
  <c r="AI1569" i="2"/>
  <c r="AH1569" i="2"/>
  <c r="AG1569" i="2"/>
  <c r="AF1569" i="2"/>
  <c r="AE1569" i="2"/>
  <c r="AD1569" i="2"/>
  <c r="AC1569" i="2"/>
  <c r="AB1569" i="2"/>
  <c r="AA1569" i="2"/>
  <c r="Z1569" i="2"/>
  <c r="Y1569" i="2"/>
  <c r="X1569" i="2"/>
  <c r="W1569" i="2"/>
  <c r="V1569" i="2"/>
  <c r="U1569" i="2"/>
  <c r="T1569" i="2"/>
  <c r="S1569" i="2"/>
  <c r="R1569" i="2"/>
  <c r="Q1569" i="2"/>
  <c r="P1569" i="2"/>
  <c r="O1569" i="2"/>
  <c r="N1569" i="2"/>
  <c r="K1569" i="2"/>
  <c r="J1569" i="2"/>
  <c r="I1569" i="2"/>
  <c r="H1569" i="2"/>
  <c r="G1569" i="2"/>
  <c r="F1569" i="2"/>
  <c r="E1569" i="2"/>
  <c r="D1569" i="2"/>
  <c r="C1569" i="2"/>
  <c r="B1569" i="2"/>
  <c r="A1569" i="2"/>
  <c r="AI1568" i="2"/>
  <c r="AH1568" i="2"/>
  <c r="AG1568" i="2"/>
  <c r="AF1568" i="2"/>
  <c r="AE1568" i="2"/>
  <c r="AD1568" i="2"/>
  <c r="AC1568" i="2"/>
  <c r="AB1568" i="2"/>
  <c r="AA1568" i="2"/>
  <c r="Z1568" i="2"/>
  <c r="Y1568" i="2"/>
  <c r="X1568" i="2"/>
  <c r="W1568" i="2"/>
  <c r="V1568" i="2"/>
  <c r="U1568" i="2"/>
  <c r="T1568" i="2"/>
  <c r="S1568" i="2"/>
  <c r="R1568" i="2"/>
  <c r="Q1568" i="2"/>
  <c r="P1568" i="2"/>
  <c r="O1568" i="2"/>
  <c r="N1568" i="2"/>
  <c r="K1568" i="2"/>
  <c r="J1568" i="2"/>
  <c r="I1568" i="2"/>
  <c r="H1568" i="2"/>
  <c r="G1568" i="2"/>
  <c r="F1568" i="2"/>
  <c r="E1568" i="2"/>
  <c r="D1568" i="2"/>
  <c r="C1568" i="2"/>
  <c r="B1568" i="2"/>
  <c r="A1568" i="2"/>
  <c r="AI1567" i="2"/>
  <c r="AH1567" i="2"/>
  <c r="AG1567" i="2"/>
  <c r="AF1567" i="2"/>
  <c r="AE1567" i="2"/>
  <c r="AD1567" i="2"/>
  <c r="AC1567" i="2"/>
  <c r="AB1567" i="2"/>
  <c r="AA1567" i="2"/>
  <c r="Z1567" i="2"/>
  <c r="Y1567" i="2"/>
  <c r="X1567" i="2"/>
  <c r="W1567" i="2"/>
  <c r="V1567" i="2"/>
  <c r="U1567" i="2"/>
  <c r="T1567" i="2"/>
  <c r="S1567" i="2"/>
  <c r="R1567" i="2"/>
  <c r="Q1567" i="2"/>
  <c r="P1567" i="2"/>
  <c r="O1567" i="2"/>
  <c r="N1567" i="2"/>
  <c r="K1567" i="2"/>
  <c r="J1567" i="2"/>
  <c r="I1567" i="2"/>
  <c r="H1567" i="2"/>
  <c r="G1567" i="2"/>
  <c r="F1567" i="2"/>
  <c r="E1567" i="2"/>
  <c r="D1567" i="2"/>
  <c r="C1567" i="2"/>
  <c r="B1567" i="2"/>
  <c r="A1567" i="2"/>
  <c r="AI1566" i="2"/>
  <c r="AH1566" i="2"/>
  <c r="AG1566" i="2"/>
  <c r="AF1566" i="2"/>
  <c r="AE1566" i="2"/>
  <c r="AD1566" i="2"/>
  <c r="AC1566" i="2"/>
  <c r="AB1566" i="2"/>
  <c r="AA1566" i="2"/>
  <c r="Z1566" i="2"/>
  <c r="Y1566" i="2"/>
  <c r="X1566" i="2"/>
  <c r="W1566" i="2"/>
  <c r="V1566" i="2"/>
  <c r="U1566" i="2"/>
  <c r="T1566" i="2"/>
  <c r="S1566" i="2"/>
  <c r="R1566" i="2"/>
  <c r="Q1566" i="2"/>
  <c r="P1566" i="2"/>
  <c r="O1566" i="2"/>
  <c r="N1566" i="2"/>
  <c r="K1566" i="2"/>
  <c r="J1566" i="2"/>
  <c r="I1566" i="2"/>
  <c r="H1566" i="2"/>
  <c r="G1566" i="2"/>
  <c r="F1566" i="2"/>
  <c r="E1566" i="2"/>
  <c r="D1566" i="2"/>
  <c r="C1566" i="2"/>
  <c r="B1566" i="2"/>
  <c r="A1566" i="2"/>
  <c r="AI1565" i="2"/>
  <c r="AH1565" i="2"/>
  <c r="AG1565" i="2"/>
  <c r="AF1565" i="2"/>
  <c r="AE1565" i="2"/>
  <c r="AD1565" i="2"/>
  <c r="AC1565" i="2"/>
  <c r="AB1565" i="2"/>
  <c r="AA1565" i="2"/>
  <c r="Z1565" i="2"/>
  <c r="Y1565" i="2"/>
  <c r="X1565" i="2"/>
  <c r="W1565" i="2"/>
  <c r="V1565" i="2"/>
  <c r="U1565" i="2"/>
  <c r="T1565" i="2"/>
  <c r="S1565" i="2"/>
  <c r="R1565" i="2"/>
  <c r="Q1565" i="2"/>
  <c r="P1565" i="2"/>
  <c r="O1565" i="2"/>
  <c r="N1565" i="2"/>
  <c r="K1565" i="2"/>
  <c r="J1565" i="2"/>
  <c r="I1565" i="2"/>
  <c r="H1565" i="2"/>
  <c r="G1565" i="2"/>
  <c r="F1565" i="2"/>
  <c r="E1565" i="2"/>
  <c r="D1565" i="2"/>
  <c r="C1565" i="2"/>
  <c r="B1565" i="2"/>
  <c r="A1565" i="2"/>
  <c r="AI1564" i="2"/>
  <c r="AH1564" i="2"/>
  <c r="AG1564" i="2"/>
  <c r="AF1564" i="2"/>
  <c r="AE1564" i="2"/>
  <c r="AD1564" i="2"/>
  <c r="AC1564" i="2"/>
  <c r="AB1564" i="2"/>
  <c r="AA1564" i="2"/>
  <c r="Z1564" i="2"/>
  <c r="Y1564" i="2"/>
  <c r="X1564" i="2"/>
  <c r="W1564" i="2"/>
  <c r="V1564" i="2"/>
  <c r="U1564" i="2"/>
  <c r="T1564" i="2"/>
  <c r="S1564" i="2"/>
  <c r="R1564" i="2"/>
  <c r="Q1564" i="2"/>
  <c r="P1564" i="2"/>
  <c r="O1564" i="2"/>
  <c r="N1564" i="2"/>
  <c r="K1564" i="2"/>
  <c r="J1564" i="2"/>
  <c r="I1564" i="2"/>
  <c r="H1564" i="2"/>
  <c r="G1564" i="2"/>
  <c r="F1564" i="2"/>
  <c r="E1564" i="2"/>
  <c r="D1564" i="2"/>
  <c r="C1564" i="2"/>
  <c r="B1564" i="2"/>
  <c r="A1564" i="2"/>
  <c r="AJ1563" i="2"/>
  <c r="AI1563" i="2"/>
  <c r="AH1563" i="2"/>
  <c r="AG1563" i="2"/>
  <c r="AF1563" i="2"/>
  <c r="AE1563" i="2"/>
  <c r="AD1563" i="2"/>
  <c r="AC1563" i="2"/>
  <c r="AB1563" i="2"/>
  <c r="AA1563" i="2"/>
  <c r="Z1563" i="2"/>
  <c r="Y1563" i="2"/>
  <c r="W1563" i="2"/>
  <c r="V1563" i="2"/>
  <c r="U1563" i="2"/>
  <c r="T1563" i="2"/>
  <c r="S1563" i="2"/>
  <c r="R1563" i="2"/>
  <c r="Q1563" i="2"/>
  <c r="P1563" i="2"/>
  <c r="O1563" i="2"/>
  <c r="N1563" i="2"/>
  <c r="K1563" i="2"/>
  <c r="J1563" i="2"/>
  <c r="I1563" i="2"/>
  <c r="H1563" i="2"/>
  <c r="G1563" i="2"/>
  <c r="F1563" i="2"/>
  <c r="E1563" i="2"/>
  <c r="D1563" i="2"/>
  <c r="C1563" i="2"/>
  <c r="B1563" i="2"/>
  <c r="A1563" i="2"/>
  <c r="AJ1562" i="2"/>
  <c r="AH1562" i="2"/>
  <c r="AG1562" i="2"/>
  <c r="AF1562" i="2"/>
  <c r="AE1562" i="2"/>
  <c r="AD1562" i="2"/>
  <c r="AC1562" i="2"/>
  <c r="AA1562" i="2"/>
  <c r="Z1562" i="2"/>
  <c r="Y1562" i="2"/>
  <c r="X1562" i="2"/>
  <c r="W1562" i="2"/>
  <c r="V1562" i="2"/>
  <c r="U1562" i="2"/>
  <c r="T1562" i="2"/>
  <c r="S1562" i="2"/>
  <c r="R1562" i="2"/>
  <c r="Q1562" i="2"/>
  <c r="P1562" i="2"/>
  <c r="O1562" i="2"/>
  <c r="N1562" i="2"/>
  <c r="K1562" i="2"/>
  <c r="J1562" i="2"/>
  <c r="I1562" i="2"/>
  <c r="H1562" i="2"/>
  <c r="G1562" i="2"/>
  <c r="F1562" i="2"/>
  <c r="E1562" i="2"/>
  <c r="D1562" i="2"/>
  <c r="C1562" i="2"/>
  <c r="B1562" i="2"/>
  <c r="A1562" i="2"/>
  <c r="AI1561" i="2"/>
  <c r="AH1561" i="2"/>
  <c r="AG1561" i="2"/>
  <c r="AF1561" i="2"/>
  <c r="AE1561" i="2"/>
  <c r="AD1561" i="2"/>
  <c r="AC1561" i="2"/>
  <c r="AB1561" i="2"/>
  <c r="AA1561" i="2"/>
  <c r="Z1561" i="2"/>
  <c r="Y1561" i="2"/>
  <c r="X1561" i="2"/>
  <c r="W1561" i="2"/>
  <c r="V1561" i="2"/>
  <c r="U1561" i="2"/>
  <c r="T1561" i="2"/>
  <c r="S1561" i="2"/>
  <c r="R1561" i="2"/>
  <c r="Q1561" i="2"/>
  <c r="P1561" i="2"/>
  <c r="O1561" i="2"/>
  <c r="N1561" i="2"/>
  <c r="K1561" i="2"/>
  <c r="J1561" i="2"/>
  <c r="I1561" i="2"/>
  <c r="H1561" i="2"/>
  <c r="G1561" i="2"/>
  <c r="F1561" i="2"/>
  <c r="E1561" i="2"/>
  <c r="D1561" i="2"/>
  <c r="C1561" i="2"/>
  <c r="B1561" i="2"/>
  <c r="A1561" i="2"/>
  <c r="AI1560" i="2"/>
  <c r="AH1560" i="2"/>
  <c r="AF1560" i="2"/>
  <c r="AE1560" i="2"/>
  <c r="AD1560" i="2"/>
  <c r="AC1560" i="2"/>
  <c r="AA1560" i="2"/>
  <c r="Z1560" i="2"/>
  <c r="Y1560" i="2"/>
  <c r="X1560" i="2"/>
  <c r="W1560" i="2"/>
  <c r="V1560" i="2"/>
  <c r="U1560" i="2"/>
  <c r="T1560" i="2"/>
  <c r="S1560" i="2"/>
  <c r="R1560" i="2"/>
  <c r="Q1560" i="2"/>
  <c r="P1560" i="2"/>
  <c r="O1560" i="2"/>
  <c r="N1560" i="2"/>
  <c r="K1560" i="2"/>
  <c r="J1560" i="2"/>
  <c r="I1560" i="2"/>
  <c r="H1560" i="2"/>
  <c r="G1560" i="2"/>
  <c r="F1560" i="2"/>
  <c r="E1560" i="2"/>
  <c r="D1560" i="2"/>
  <c r="C1560" i="2"/>
  <c r="B1560" i="2"/>
  <c r="A1560" i="2"/>
  <c r="AI1559" i="2"/>
  <c r="AH1559" i="2"/>
  <c r="AG1559" i="2"/>
  <c r="AF1559" i="2"/>
  <c r="AE1559" i="2"/>
  <c r="AD1559" i="2"/>
  <c r="AC1559" i="2"/>
  <c r="AB1559" i="2"/>
  <c r="AA1559" i="2"/>
  <c r="Z1559" i="2"/>
  <c r="Y1559" i="2"/>
  <c r="X1559" i="2"/>
  <c r="W1559" i="2"/>
  <c r="V1559" i="2"/>
  <c r="U1559" i="2"/>
  <c r="T1559" i="2"/>
  <c r="S1559" i="2"/>
  <c r="R1559" i="2"/>
  <c r="Q1559" i="2"/>
  <c r="P1559" i="2"/>
  <c r="O1559" i="2"/>
  <c r="N1559" i="2"/>
  <c r="K1559" i="2"/>
  <c r="J1559" i="2"/>
  <c r="I1559" i="2"/>
  <c r="H1559" i="2"/>
  <c r="G1559" i="2"/>
  <c r="F1559" i="2"/>
  <c r="E1559" i="2"/>
  <c r="D1559" i="2"/>
  <c r="C1559" i="2"/>
  <c r="B1559" i="2"/>
  <c r="A1559" i="2"/>
  <c r="AJ1558" i="2"/>
  <c r="AI1558" i="2"/>
  <c r="AH1558" i="2"/>
  <c r="AG1558" i="2"/>
  <c r="AF1558" i="2"/>
  <c r="AE1558" i="2"/>
  <c r="AD1558" i="2"/>
  <c r="AC1558" i="2"/>
  <c r="AB1558" i="2"/>
  <c r="AA1558" i="2"/>
  <c r="Z1558" i="2"/>
  <c r="Y1558" i="2"/>
  <c r="W1558" i="2"/>
  <c r="V1558" i="2"/>
  <c r="U1558" i="2"/>
  <c r="T1558" i="2"/>
  <c r="S1558" i="2"/>
  <c r="R1558" i="2"/>
  <c r="Q1558" i="2"/>
  <c r="P1558" i="2"/>
  <c r="O1558" i="2"/>
  <c r="N1558" i="2"/>
  <c r="K1558" i="2"/>
  <c r="J1558" i="2"/>
  <c r="I1558" i="2"/>
  <c r="H1558" i="2"/>
  <c r="G1558" i="2"/>
  <c r="F1558" i="2"/>
  <c r="E1558" i="2"/>
  <c r="D1558" i="2"/>
  <c r="C1558" i="2"/>
  <c r="B1558" i="2"/>
  <c r="A1558" i="2"/>
  <c r="AI1557" i="2"/>
  <c r="AH1557" i="2"/>
  <c r="AF1557" i="2"/>
  <c r="AE1557" i="2"/>
  <c r="AD1557" i="2"/>
  <c r="AC1557" i="2"/>
  <c r="AB1557" i="2"/>
  <c r="AA1557" i="2"/>
  <c r="Z1557" i="2"/>
  <c r="Y1557" i="2"/>
  <c r="X1557" i="2"/>
  <c r="W1557" i="2"/>
  <c r="V1557" i="2"/>
  <c r="U1557" i="2"/>
  <c r="T1557" i="2"/>
  <c r="S1557" i="2"/>
  <c r="R1557" i="2"/>
  <c r="Q1557" i="2"/>
  <c r="P1557" i="2"/>
  <c r="O1557" i="2"/>
  <c r="N1557" i="2"/>
  <c r="K1557" i="2"/>
  <c r="J1557" i="2"/>
  <c r="I1557" i="2"/>
  <c r="H1557" i="2"/>
  <c r="G1557" i="2"/>
  <c r="F1557" i="2"/>
  <c r="E1557" i="2"/>
  <c r="D1557" i="2"/>
  <c r="C1557" i="2"/>
  <c r="B1557" i="2"/>
  <c r="A1557" i="2"/>
  <c r="AI1556" i="2"/>
  <c r="AH1556" i="2"/>
  <c r="AG1556" i="2"/>
  <c r="AF1556" i="2"/>
  <c r="AE1556" i="2"/>
  <c r="AD1556" i="2"/>
  <c r="AC1556" i="2"/>
  <c r="AB1556" i="2"/>
  <c r="AA1556" i="2"/>
  <c r="Z1556" i="2"/>
  <c r="Y1556" i="2"/>
  <c r="X1556" i="2"/>
  <c r="W1556" i="2"/>
  <c r="V1556" i="2"/>
  <c r="U1556" i="2"/>
  <c r="T1556" i="2"/>
  <c r="S1556" i="2"/>
  <c r="R1556" i="2"/>
  <c r="Q1556" i="2"/>
  <c r="P1556" i="2"/>
  <c r="O1556" i="2"/>
  <c r="N1556" i="2"/>
  <c r="K1556" i="2"/>
  <c r="J1556" i="2"/>
  <c r="I1556" i="2"/>
  <c r="H1556" i="2"/>
  <c r="G1556" i="2"/>
  <c r="F1556" i="2"/>
  <c r="E1556" i="2"/>
  <c r="D1556" i="2"/>
  <c r="C1556" i="2"/>
  <c r="B1556" i="2"/>
  <c r="A1556" i="2"/>
  <c r="AI1555" i="2"/>
  <c r="AH1555" i="2"/>
  <c r="AG1555" i="2"/>
  <c r="AF1555" i="2"/>
  <c r="AE1555" i="2"/>
  <c r="AD1555" i="2"/>
  <c r="AC1555" i="2"/>
  <c r="AB1555" i="2"/>
  <c r="AA1555" i="2"/>
  <c r="Z1555" i="2"/>
  <c r="Y1555" i="2"/>
  <c r="X1555" i="2"/>
  <c r="V1555" i="2"/>
  <c r="U1555" i="2"/>
  <c r="T1555" i="2"/>
  <c r="S1555" i="2"/>
  <c r="R1555" i="2"/>
  <c r="Q1555" i="2"/>
  <c r="P1555" i="2"/>
  <c r="O1555" i="2"/>
  <c r="N1555" i="2"/>
  <c r="K1555" i="2"/>
  <c r="J1555" i="2"/>
  <c r="I1555" i="2"/>
  <c r="H1555" i="2"/>
  <c r="G1555" i="2"/>
  <c r="F1555" i="2"/>
  <c r="E1555" i="2"/>
  <c r="D1555" i="2"/>
  <c r="C1555" i="2"/>
  <c r="B1555" i="2"/>
  <c r="A1555" i="2"/>
  <c r="AI1554" i="2"/>
  <c r="AH1554" i="2"/>
  <c r="AF1554" i="2"/>
  <c r="AE1554" i="2"/>
  <c r="AD1554" i="2"/>
  <c r="AC1554" i="2"/>
  <c r="AB1554" i="2"/>
  <c r="AA1554" i="2"/>
  <c r="Z1554" i="2"/>
  <c r="Y1554" i="2"/>
  <c r="X1554" i="2"/>
  <c r="W1554" i="2"/>
  <c r="V1554" i="2"/>
  <c r="U1554" i="2"/>
  <c r="T1554" i="2"/>
  <c r="S1554" i="2"/>
  <c r="R1554" i="2"/>
  <c r="Q1554" i="2"/>
  <c r="P1554" i="2"/>
  <c r="O1554" i="2"/>
  <c r="N1554" i="2"/>
  <c r="K1554" i="2"/>
  <c r="J1554" i="2"/>
  <c r="I1554" i="2"/>
  <c r="H1554" i="2"/>
  <c r="G1554" i="2"/>
  <c r="F1554" i="2"/>
  <c r="E1554" i="2"/>
  <c r="D1554" i="2"/>
  <c r="C1554" i="2"/>
  <c r="B1554" i="2"/>
  <c r="A1554" i="2"/>
  <c r="AI1553" i="2"/>
  <c r="AH1553" i="2"/>
  <c r="AG1553" i="2"/>
  <c r="AF1553" i="2"/>
  <c r="AE1553" i="2"/>
  <c r="AD1553" i="2"/>
  <c r="AC1553" i="2"/>
  <c r="AB1553" i="2"/>
  <c r="AA1553" i="2"/>
  <c r="Z1553" i="2"/>
  <c r="Y1553" i="2"/>
  <c r="X1553" i="2"/>
  <c r="W1553" i="2"/>
  <c r="V1553" i="2"/>
  <c r="U1553" i="2"/>
  <c r="T1553" i="2"/>
  <c r="S1553" i="2"/>
  <c r="R1553" i="2"/>
  <c r="Q1553" i="2"/>
  <c r="P1553" i="2"/>
  <c r="O1553" i="2"/>
  <c r="N1553" i="2"/>
  <c r="K1553" i="2"/>
  <c r="J1553" i="2"/>
  <c r="I1553" i="2"/>
  <c r="H1553" i="2"/>
  <c r="G1553" i="2"/>
  <c r="F1553" i="2"/>
  <c r="E1553" i="2"/>
  <c r="D1553" i="2"/>
  <c r="C1553" i="2"/>
  <c r="B1553" i="2"/>
  <c r="A1553" i="2"/>
  <c r="AI1552" i="2"/>
  <c r="AH1552" i="2"/>
  <c r="AG1552" i="2"/>
  <c r="AF1552" i="2"/>
  <c r="AE1552" i="2"/>
  <c r="AD1552" i="2"/>
  <c r="AC1552" i="2"/>
  <c r="AB1552" i="2"/>
  <c r="AA1552" i="2"/>
  <c r="Z1552" i="2"/>
  <c r="Y1552" i="2"/>
  <c r="X1552" i="2"/>
  <c r="W1552" i="2"/>
  <c r="V1552" i="2"/>
  <c r="U1552" i="2"/>
  <c r="T1552" i="2"/>
  <c r="S1552" i="2"/>
  <c r="R1552" i="2"/>
  <c r="Q1552" i="2"/>
  <c r="P1552" i="2"/>
  <c r="O1552" i="2"/>
  <c r="N1552" i="2"/>
  <c r="K1552" i="2"/>
  <c r="J1552" i="2"/>
  <c r="I1552" i="2"/>
  <c r="H1552" i="2"/>
  <c r="G1552" i="2"/>
  <c r="F1552" i="2"/>
  <c r="E1552" i="2"/>
  <c r="D1552" i="2"/>
  <c r="C1552" i="2"/>
  <c r="B1552" i="2"/>
  <c r="A1552" i="2"/>
  <c r="AJ1551" i="2"/>
  <c r="AI1551" i="2"/>
  <c r="AH1551" i="2"/>
  <c r="AG1551" i="2"/>
  <c r="AF1551" i="2"/>
  <c r="AE1551" i="2"/>
  <c r="AD1551" i="2"/>
  <c r="AC1551" i="2"/>
  <c r="AB1551" i="2"/>
  <c r="AA1551" i="2"/>
  <c r="Z1551" i="2"/>
  <c r="Y1551" i="2"/>
  <c r="X1551" i="2"/>
  <c r="W1551" i="2"/>
  <c r="V1551" i="2"/>
  <c r="U1551" i="2"/>
  <c r="T1551" i="2"/>
  <c r="S1551" i="2"/>
  <c r="R1551" i="2"/>
  <c r="Q1551" i="2"/>
  <c r="P1551" i="2"/>
  <c r="O1551" i="2"/>
  <c r="N1551" i="2"/>
  <c r="M1551" i="2"/>
  <c r="L1551" i="2"/>
  <c r="K1551" i="2"/>
  <c r="J1551" i="2"/>
  <c r="I1551" i="2"/>
  <c r="H1551" i="2"/>
  <c r="G1551" i="2"/>
  <c r="F1551" i="2"/>
  <c r="E1551" i="2"/>
  <c r="D1551" i="2"/>
  <c r="C1551" i="2"/>
  <c r="B1551" i="2"/>
  <c r="A1551" i="2"/>
  <c r="AI1550" i="2"/>
  <c r="AH1550" i="2"/>
  <c r="AG1550" i="2"/>
  <c r="AF1550" i="2"/>
  <c r="AE1550" i="2"/>
  <c r="AD1550" i="2"/>
  <c r="AC1550" i="2"/>
  <c r="AB1550" i="2"/>
  <c r="AA1550" i="2"/>
  <c r="Z1550" i="2"/>
  <c r="Y1550" i="2"/>
  <c r="X1550" i="2"/>
  <c r="W1550" i="2"/>
  <c r="V1550" i="2"/>
  <c r="U1550" i="2"/>
  <c r="T1550" i="2"/>
  <c r="S1550" i="2"/>
  <c r="R1550" i="2"/>
  <c r="Q1550" i="2"/>
  <c r="P1550" i="2"/>
  <c r="O1550" i="2"/>
  <c r="N1550" i="2"/>
  <c r="K1550" i="2"/>
  <c r="J1550" i="2"/>
  <c r="I1550" i="2"/>
  <c r="H1550" i="2"/>
  <c r="G1550" i="2"/>
  <c r="F1550" i="2"/>
  <c r="E1550" i="2"/>
  <c r="D1550" i="2"/>
  <c r="C1550" i="2"/>
  <c r="B1550" i="2"/>
  <c r="A1550" i="2"/>
  <c r="AJ1549" i="2"/>
  <c r="AI1549" i="2"/>
  <c r="AH1549" i="2"/>
  <c r="AG1549" i="2"/>
  <c r="AF1549" i="2"/>
  <c r="AE1549" i="2"/>
  <c r="AD1549" i="2"/>
  <c r="AC1549" i="2"/>
  <c r="AB1549" i="2"/>
  <c r="AA1549" i="2"/>
  <c r="Z1549" i="2"/>
  <c r="Y1549" i="2"/>
  <c r="X1549" i="2"/>
  <c r="W1549" i="2"/>
  <c r="V1549" i="2"/>
  <c r="U1549" i="2"/>
  <c r="T1549" i="2"/>
  <c r="S1549" i="2"/>
  <c r="R1549" i="2"/>
  <c r="Q1549" i="2"/>
  <c r="P1549" i="2"/>
  <c r="O1549" i="2"/>
  <c r="N1549" i="2"/>
  <c r="K1549" i="2"/>
  <c r="J1549" i="2"/>
  <c r="I1549" i="2"/>
  <c r="H1549" i="2"/>
  <c r="G1549" i="2"/>
  <c r="F1549" i="2"/>
  <c r="E1549" i="2"/>
  <c r="D1549" i="2"/>
  <c r="C1549" i="2"/>
  <c r="B1549" i="2"/>
  <c r="A1549" i="2"/>
  <c r="AI1548" i="2"/>
  <c r="AH1548" i="2"/>
  <c r="AF1548" i="2"/>
  <c r="AE1548" i="2"/>
  <c r="AD1548" i="2"/>
  <c r="AC1548" i="2"/>
  <c r="AB1548" i="2"/>
  <c r="AA1548" i="2"/>
  <c r="Z1548" i="2"/>
  <c r="Y1548" i="2"/>
  <c r="X1548" i="2"/>
  <c r="W1548" i="2"/>
  <c r="V1548" i="2"/>
  <c r="U1548" i="2"/>
  <c r="T1548" i="2"/>
  <c r="S1548" i="2"/>
  <c r="R1548" i="2"/>
  <c r="Q1548" i="2"/>
  <c r="P1548" i="2"/>
  <c r="O1548" i="2"/>
  <c r="N1548" i="2"/>
  <c r="K1548" i="2"/>
  <c r="J1548" i="2"/>
  <c r="I1548" i="2"/>
  <c r="H1548" i="2"/>
  <c r="G1548" i="2"/>
  <c r="F1548" i="2"/>
  <c r="E1548" i="2"/>
  <c r="D1548" i="2"/>
  <c r="C1548" i="2"/>
  <c r="B1548" i="2"/>
  <c r="A1548" i="2"/>
  <c r="AJ1547" i="2"/>
  <c r="AI1547" i="2"/>
  <c r="AH1547" i="2"/>
  <c r="AG1547" i="2"/>
  <c r="AF1547" i="2"/>
  <c r="AE1547" i="2"/>
  <c r="AD1547" i="2"/>
  <c r="AC1547" i="2"/>
  <c r="AB1547" i="2"/>
  <c r="AA1547" i="2"/>
  <c r="Z1547" i="2"/>
  <c r="Y1547" i="2"/>
  <c r="X1547" i="2"/>
  <c r="W1547" i="2"/>
  <c r="V1547" i="2"/>
  <c r="U1547" i="2"/>
  <c r="T1547" i="2"/>
  <c r="S1547" i="2"/>
  <c r="R1547" i="2"/>
  <c r="Q1547" i="2"/>
  <c r="P1547" i="2"/>
  <c r="O1547" i="2"/>
  <c r="N1547" i="2"/>
  <c r="K1547" i="2"/>
  <c r="J1547" i="2"/>
  <c r="I1547" i="2"/>
  <c r="H1547" i="2"/>
  <c r="G1547" i="2"/>
  <c r="F1547" i="2"/>
  <c r="E1547" i="2"/>
  <c r="D1547" i="2"/>
  <c r="C1547" i="2"/>
  <c r="B1547" i="2"/>
  <c r="A1547" i="2"/>
  <c r="AI1546" i="2"/>
  <c r="AH1546" i="2"/>
  <c r="AG1546" i="2"/>
  <c r="AF1546" i="2"/>
  <c r="AE1546" i="2"/>
  <c r="AD1546" i="2"/>
  <c r="AC1546" i="2"/>
  <c r="AB1546" i="2"/>
  <c r="AA1546" i="2"/>
  <c r="Z1546" i="2"/>
  <c r="Y1546" i="2"/>
  <c r="X1546" i="2"/>
  <c r="V1546" i="2"/>
  <c r="U1546" i="2"/>
  <c r="T1546" i="2"/>
  <c r="S1546" i="2"/>
  <c r="R1546" i="2"/>
  <c r="Q1546" i="2"/>
  <c r="P1546" i="2"/>
  <c r="O1546" i="2"/>
  <c r="N1546" i="2"/>
  <c r="K1546" i="2"/>
  <c r="J1546" i="2"/>
  <c r="I1546" i="2"/>
  <c r="H1546" i="2"/>
  <c r="G1546" i="2"/>
  <c r="F1546" i="2"/>
  <c r="E1546" i="2"/>
  <c r="D1546" i="2"/>
  <c r="C1546" i="2"/>
  <c r="B1546" i="2"/>
  <c r="A1546" i="2"/>
  <c r="AJ1545" i="2"/>
  <c r="AI1545" i="2"/>
  <c r="AH1545" i="2"/>
  <c r="AG1545" i="2"/>
  <c r="AF1545" i="2"/>
  <c r="AE1545" i="2"/>
  <c r="AD1545" i="2"/>
  <c r="AC1545" i="2"/>
  <c r="AA1545" i="2"/>
  <c r="Z1545" i="2"/>
  <c r="Y1545" i="2"/>
  <c r="X1545" i="2"/>
  <c r="W1545" i="2"/>
  <c r="V1545" i="2"/>
  <c r="U1545" i="2"/>
  <c r="T1545" i="2"/>
  <c r="S1545" i="2"/>
  <c r="R1545" i="2"/>
  <c r="Q1545" i="2"/>
  <c r="P1545" i="2"/>
  <c r="O1545" i="2"/>
  <c r="N1545" i="2"/>
  <c r="K1545" i="2"/>
  <c r="J1545" i="2"/>
  <c r="I1545" i="2"/>
  <c r="H1545" i="2"/>
  <c r="G1545" i="2"/>
  <c r="F1545" i="2"/>
  <c r="E1545" i="2"/>
  <c r="D1545" i="2"/>
  <c r="C1545" i="2"/>
  <c r="B1545" i="2"/>
  <c r="A1545" i="2"/>
  <c r="AI1544" i="2"/>
  <c r="AH1544" i="2"/>
  <c r="AG1544" i="2"/>
  <c r="AF1544" i="2"/>
  <c r="AE1544" i="2"/>
  <c r="AD1544" i="2"/>
  <c r="AC1544" i="2"/>
  <c r="AB1544" i="2"/>
  <c r="AA1544" i="2"/>
  <c r="Z1544" i="2"/>
  <c r="Y1544" i="2"/>
  <c r="X1544" i="2"/>
  <c r="W1544" i="2"/>
  <c r="V1544" i="2"/>
  <c r="U1544" i="2"/>
  <c r="T1544" i="2"/>
  <c r="S1544" i="2"/>
  <c r="R1544" i="2"/>
  <c r="Q1544" i="2"/>
  <c r="P1544" i="2"/>
  <c r="O1544" i="2"/>
  <c r="N1544" i="2"/>
  <c r="K1544" i="2"/>
  <c r="J1544" i="2"/>
  <c r="I1544" i="2"/>
  <c r="H1544" i="2"/>
  <c r="G1544" i="2"/>
  <c r="F1544" i="2"/>
  <c r="E1544" i="2"/>
  <c r="D1544" i="2"/>
  <c r="C1544" i="2"/>
  <c r="B1544" i="2"/>
  <c r="A1544" i="2"/>
  <c r="AI1543" i="2"/>
  <c r="AH1543" i="2"/>
  <c r="AG1543" i="2"/>
  <c r="AF1543" i="2"/>
  <c r="AE1543" i="2"/>
  <c r="AD1543" i="2"/>
  <c r="AC1543" i="2"/>
  <c r="AA1543" i="2"/>
  <c r="Z1543" i="2"/>
  <c r="Y1543" i="2"/>
  <c r="X1543" i="2"/>
  <c r="W1543" i="2"/>
  <c r="V1543" i="2"/>
  <c r="U1543" i="2"/>
  <c r="T1543" i="2"/>
  <c r="S1543" i="2"/>
  <c r="R1543" i="2"/>
  <c r="Q1543" i="2"/>
  <c r="P1543" i="2"/>
  <c r="O1543" i="2"/>
  <c r="N1543" i="2"/>
  <c r="K1543" i="2"/>
  <c r="J1543" i="2"/>
  <c r="I1543" i="2"/>
  <c r="H1543" i="2"/>
  <c r="G1543" i="2"/>
  <c r="F1543" i="2"/>
  <c r="E1543" i="2"/>
  <c r="D1543" i="2"/>
  <c r="C1543" i="2"/>
  <c r="B1543" i="2"/>
  <c r="A1543" i="2"/>
  <c r="AI1542" i="2"/>
  <c r="AH1542" i="2"/>
  <c r="AG1542" i="2"/>
  <c r="AF1542" i="2"/>
  <c r="AE1542" i="2"/>
  <c r="AD1542" i="2"/>
  <c r="AC1542" i="2"/>
  <c r="AB1542" i="2"/>
  <c r="AA1542" i="2"/>
  <c r="Z1542" i="2"/>
  <c r="Y1542" i="2"/>
  <c r="X1542" i="2"/>
  <c r="W1542" i="2"/>
  <c r="V1542" i="2"/>
  <c r="U1542" i="2"/>
  <c r="T1542" i="2"/>
  <c r="S1542" i="2"/>
  <c r="R1542" i="2"/>
  <c r="Q1542" i="2"/>
  <c r="P1542" i="2"/>
  <c r="O1542" i="2"/>
  <c r="N1542" i="2"/>
  <c r="K1542" i="2"/>
  <c r="J1542" i="2"/>
  <c r="I1542" i="2"/>
  <c r="H1542" i="2"/>
  <c r="G1542" i="2"/>
  <c r="F1542" i="2"/>
  <c r="E1542" i="2"/>
  <c r="D1542" i="2"/>
  <c r="C1542" i="2"/>
  <c r="B1542" i="2"/>
  <c r="A1542" i="2"/>
  <c r="AJ1541" i="2"/>
  <c r="AI1541" i="2"/>
  <c r="AH1541" i="2"/>
  <c r="AF1541" i="2"/>
  <c r="AE1541" i="2"/>
  <c r="AD1541" i="2"/>
  <c r="AC1541" i="2"/>
  <c r="AA1541" i="2"/>
  <c r="Z1541" i="2"/>
  <c r="Y1541" i="2"/>
  <c r="X1541" i="2"/>
  <c r="W1541" i="2"/>
  <c r="V1541" i="2"/>
  <c r="U1541" i="2"/>
  <c r="T1541" i="2"/>
  <c r="S1541" i="2"/>
  <c r="R1541" i="2"/>
  <c r="Q1541" i="2"/>
  <c r="P1541" i="2"/>
  <c r="O1541" i="2"/>
  <c r="N1541" i="2"/>
  <c r="K1541" i="2"/>
  <c r="J1541" i="2"/>
  <c r="I1541" i="2"/>
  <c r="H1541" i="2"/>
  <c r="G1541" i="2"/>
  <c r="F1541" i="2"/>
  <c r="E1541" i="2"/>
  <c r="D1541" i="2"/>
  <c r="C1541" i="2"/>
  <c r="B1541" i="2"/>
  <c r="A1541" i="2"/>
  <c r="AJ1540" i="2"/>
  <c r="AI1540" i="2"/>
  <c r="AH1540" i="2"/>
  <c r="AG1540" i="2"/>
  <c r="AF1540" i="2"/>
  <c r="AE1540" i="2"/>
  <c r="AD1540" i="2"/>
  <c r="AC1540" i="2"/>
  <c r="AB1540" i="2"/>
  <c r="AA1540" i="2"/>
  <c r="Z1540" i="2"/>
  <c r="Y1540" i="2"/>
  <c r="X1540" i="2"/>
  <c r="W1540" i="2"/>
  <c r="V1540" i="2"/>
  <c r="U1540" i="2"/>
  <c r="T1540" i="2"/>
  <c r="S1540" i="2"/>
  <c r="R1540" i="2"/>
  <c r="Q1540" i="2"/>
  <c r="P1540" i="2"/>
  <c r="O1540" i="2"/>
  <c r="N1540" i="2"/>
  <c r="K1540" i="2"/>
  <c r="J1540" i="2"/>
  <c r="I1540" i="2"/>
  <c r="H1540" i="2"/>
  <c r="G1540" i="2"/>
  <c r="F1540" i="2"/>
  <c r="E1540" i="2"/>
  <c r="D1540" i="2"/>
  <c r="C1540" i="2"/>
  <c r="B1540" i="2"/>
  <c r="A1540" i="2"/>
  <c r="AJ1539" i="2"/>
  <c r="AI1539" i="2"/>
  <c r="AG1539" i="2"/>
  <c r="AF1539" i="2"/>
  <c r="AE1539" i="2"/>
  <c r="AD1539" i="2"/>
  <c r="AC1539" i="2"/>
  <c r="AB1539" i="2"/>
  <c r="AA1539" i="2"/>
  <c r="Z1539" i="2"/>
  <c r="Y1539" i="2"/>
  <c r="X1539" i="2"/>
  <c r="W1539" i="2"/>
  <c r="V1539" i="2"/>
  <c r="U1539" i="2"/>
  <c r="T1539" i="2"/>
  <c r="S1539" i="2"/>
  <c r="R1539" i="2"/>
  <c r="Q1539" i="2"/>
  <c r="P1539" i="2"/>
  <c r="O1539" i="2"/>
  <c r="N1539" i="2"/>
  <c r="K1539" i="2"/>
  <c r="J1539" i="2"/>
  <c r="I1539" i="2"/>
  <c r="H1539" i="2"/>
  <c r="G1539" i="2"/>
  <c r="F1539" i="2"/>
  <c r="E1539" i="2"/>
  <c r="D1539" i="2"/>
  <c r="C1539" i="2"/>
  <c r="B1539" i="2"/>
  <c r="A1539" i="2"/>
  <c r="AI1538" i="2"/>
  <c r="AH1538" i="2"/>
  <c r="AG1538" i="2"/>
  <c r="AF1538" i="2"/>
  <c r="AE1538" i="2"/>
  <c r="AD1538" i="2"/>
  <c r="AC1538" i="2"/>
  <c r="AB1538" i="2"/>
  <c r="AA1538" i="2"/>
  <c r="Z1538" i="2"/>
  <c r="Y1538" i="2"/>
  <c r="W1538" i="2"/>
  <c r="V1538" i="2"/>
  <c r="U1538" i="2"/>
  <c r="T1538" i="2"/>
  <c r="S1538" i="2"/>
  <c r="R1538" i="2"/>
  <c r="Q1538" i="2"/>
  <c r="P1538" i="2"/>
  <c r="O1538" i="2"/>
  <c r="N1538" i="2"/>
  <c r="K1538" i="2"/>
  <c r="J1538" i="2"/>
  <c r="I1538" i="2"/>
  <c r="H1538" i="2"/>
  <c r="G1538" i="2"/>
  <c r="F1538" i="2"/>
  <c r="E1538" i="2"/>
  <c r="D1538" i="2"/>
  <c r="C1538" i="2"/>
  <c r="B1538" i="2"/>
  <c r="A1538" i="2"/>
  <c r="AI1537" i="2"/>
  <c r="AH1537" i="2"/>
  <c r="AG1537" i="2"/>
  <c r="AF1537" i="2"/>
  <c r="AE1537" i="2"/>
  <c r="AD1537" i="2"/>
  <c r="AC1537" i="2"/>
  <c r="AB1537" i="2"/>
  <c r="AA1537" i="2"/>
  <c r="Z1537" i="2"/>
  <c r="Y1537" i="2"/>
  <c r="X1537" i="2"/>
  <c r="V1537" i="2"/>
  <c r="U1537" i="2"/>
  <c r="T1537" i="2"/>
  <c r="S1537" i="2"/>
  <c r="R1537" i="2"/>
  <c r="Q1537" i="2"/>
  <c r="P1537" i="2"/>
  <c r="O1537" i="2"/>
  <c r="N1537" i="2"/>
  <c r="K1537" i="2"/>
  <c r="J1537" i="2"/>
  <c r="I1537" i="2"/>
  <c r="H1537" i="2"/>
  <c r="G1537" i="2"/>
  <c r="F1537" i="2"/>
  <c r="E1537" i="2"/>
  <c r="D1537" i="2"/>
  <c r="C1537" i="2"/>
  <c r="B1537" i="2"/>
  <c r="A1537" i="2"/>
  <c r="AJ1536" i="2"/>
  <c r="AI1536" i="2"/>
  <c r="AH1536" i="2"/>
  <c r="AG1536" i="2"/>
  <c r="AF1536" i="2"/>
  <c r="AE1536" i="2"/>
  <c r="AD1536" i="2"/>
  <c r="AC1536" i="2"/>
  <c r="AA1536" i="2"/>
  <c r="Z1536" i="2"/>
  <c r="Y1536" i="2"/>
  <c r="W1536" i="2"/>
  <c r="V1536" i="2"/>
  <c r="U1536" i="2"/>
  <c r="T1536" i="2"/>
  <c r="S1536" i="2"/>
  <c r="R1536" i="2"/>
  <c r="Q1536" i="2"/>
  <c r="P1536" i="2"/>
  <c r="O1536" i="2"/>
  <c r="N1536" i="2"/>
  <c r="K1536" i="2"/>
  <c r="J1536" i="2"/>
  <c r="I1536" i="2"/>
  <c r="H1536" i="2"/>
  <c r="G1536" i="2"/>
  <c r="F1536" i="2"/>
  <c r="E1536" i="2"/>
  <c r="D1536" i="2"/>
  <c r="C1536" i="2"/>
  <c r="B1536" i="2"/>
  <c r="A1536" i="2"/>
  <c r="AI1535" i="2"/>
  <c r="AH1535" i="2"/>
  <c r="AG1535" i="2"/>
  <c r="AF1535" i="2"/>
  <c r="AE1535" i="2"/>
  <c r="AD1535" i="2"/>
  <c r="AC1535" i="2"/>
  <c r="AB1535" i="2"/>
  <c r="AA1535" i="2"/>
  <c r="Z1535" i="2"/>
  <c r="Y1535" i="2"/>
  <c r="X1535" i="2"/>
  <c r="W1535" i="2"/>
  <c r="V1535" i="2"/>
  <c r="U1535" i="2"/>
  <c r="T1535" i="2"/>
  <c r="S1535" i="2"/>
  <c r="R1535" i="2"/>
  <c r="Q1535" i="2"/>
  <c r="P1535" i="2"/>
  <c r="O1535" i="2"/>
  <c r="N1535" i="2"/>
  <c r="K1535" i="2"/>
  <c r="J1535" i="2"/>
  <c r="I1535" i="2"/>
  <c r="H1535" i="2"/>
  <c r="G1535" i="2"/>
  <c r="F1535" i="2"/>
  <c r="E1535" i="2"/>
  <c r="D1535" i="2"/>
  <c r="C1535" i="2"/>
  <c r="B1535" i="2"/>
  <c r="A1535" i="2"/>
  <c r="AI1534" i="2"/>
  <c r="AH1534" i="2"/>
  <c r="AG1534" i="2"/>
  <c r="AF1534" i="2"/>
  <c r="AE1534" i="2"/>
  <c r="AD1534" i="2"/>
  <c r="AC1534" i="2"/>
  <c r="AB1534" i="2"/>
  <c r="AA1534" i="2"/>
  <c r="Z1534" i="2"/>
  <c r="Y1534" i="2"/>
  <c r="X1534" i="2"/>
  <c r="W1534" i="2"/>
  <c r="V1534" i="2"/>
  <c r="U1534" i="2"/>
  <c r="T1534" i="2"/>
  <c r="S1534" i="2"/>
  <c r="R1534" i="2"/>
  <c r="Q1534" i="2"/>
  <c r="P1534" i="2"/>
  <c r="O1534" i="2"/>
  <c r="N1534" i="2"/>
  <c r="K1534" i="2"/>
  <c r="J1534" i="2"/>
  <c r="I1534" i="2"/>
  <c r="H1534" i="2"/>
  <c r="G1534" i="2"/>
  <c r="F1534" i="2"/>
  <c r="E1534" i="2"/>
  <c r="D1534" i="2"/>
  <c r="C1534" i="2"/>
  <c r="B1534" i="2"/>
  <c r="A1534" i="2"/>
  <c r="AI1533" i="2"/>
  <c r="AH1533" i="2"/>
  <c r="AG1533" i="2"/>
  <c r="AF1533" i="2"/>
  <c r="AE1533" i="2"/>
  <c r="AD1533" i="2"/>
  <c r="AC1533" i="2"/>
  <c r="AB1533" i="2"/>
  <c r="AA1533" i="2"/>
  <c r="Z1533" i="2"/>
  <c r="Y1533" i="2"/>
  <c r="X1533" i="2"/>
  <c r="W1533" i="2"/>
  <c r="V1533" i="2"/>
  <c r="U1533" i="2"/>
  <c r="T1533" i="2"/>
  <c r="S1533" i="2"/>
  <c r="R1533" i="2"/>
  <c r="Q1533" i="2"/>
  <c r="P1533" i="2"/>
  <c r="O1533" i="2"/>
  <c r="N1533" i="2"/>
  <c r="K1533" i="2"/>
  <c r="J1533" i="2"/>
  <c r="I1533" i="2"/>
  <c r="H1533" i="2"/>
  <c r="G1533" i="2"/>
  <c r="F1533" i="2"/>
  <c r="E1533" i="2"/>
  <c r="D1533" i="2"/>
  <c r="C1533" i="2"/>
  <c r="B1533" i="2"/>
  <c r="A1533" i="2"/>
  <c r="AH1532" i="2"/>
  <c r="AG1532" i="2"/>
  <c r="AF1532" i="2"/>
  <c r="AE1532" i="2"/>
  <c r="AD1532" i="2"/>
  <c r="AC1532" i="2"/>
  <c r="AB1532" i="2"/>
  <c r="AA1532" i="2"/>
  <c r="Z1532" i="2"/>
  <c r="Y1532" i="2"/>
  <c r="X1532" i="2"/>
  <c r="W1532" i="2"/>
  <c r="V1532" i="2"/>
  <c r="U1532" i="2"/>
  <c r="T1532" i="2"/>
  <c r="S1532" i="2"/>
  <c r="R1532" i="2"/>
  <c r="Q1532" i="2"/>
  <c r="P1532" i="2"/>
  <c r="O1532" i="2"/>
  <c r="N1532" i="2"/>
  <c r="K1532" i="2"/>
  <c r="J1532" i="2"/>
  <c r="I1532" i="2"/>
  <c r="H1532" i="2"/>
  <c r="G1532" i="2"/>
  <c r="F1532" i="2"/>
  <c r="E1532" i="2"/>
  <c r="D1532" i="2"/>
  <c r="C1532" i="2"/>
  <c r="B1532" i="2"/>
  <c r="A1532" i="2"/>
  <c r="AI1531" i="2"/>
  <c r="AH1531" i="2"/>
  <c r="AG1531" i="2"/>
  <c r="AF1531" i="2"/>
  <c r="AE1531" i="2"/>
  <c r="AD1531" i="2"/>
  <c r="AC1531" i="2"/>
  <c r="AB1531" i="2"/>
  <c r="AA1531" i="2"/>
  <c r="Z1531" i="2"/>
  <c r="Y1531" i="2"/>
  <c r="X1531" i="2"/>
  <c r="W1531" i="2"/>
  <c r="V1531" i="2"/>
  <c r="U1531" i="2"/>
  <c r="T1531" i="2"/>
  <c r="S1531" i="2"/>
  <c r="R1531" i="2"/>
  <c r="Q1531" i="2"/>
  <c r="P1531" i="2"/>
  <c r="O1531" i="2"/>
  <c r="N1531" i="2"/>
  <c r="K1531" i="2"/>
  <c r="J1531" i="2"/>
  <c r="I1531" i="2"/>
  <c r="H1531" i="2"/>
  <c r="G1531" i="2"/>
  <c r="F1531" i="2"/>
  <c r="E1531" i="2"/>
  <c r="D1531" i="2"/>
  <c r="C1531" i="2"/>
  <c r="B1531" i="2"/>
  <c r="A1531" i="2"/>
  <c r="AI1530" i="2"/>
  <c r="AH1530" i="2"/>
  <c r="AG1530" i="2"/>
  <c r="AF1530" i="2"/>
  <c r="AE1530" i="2"/>
  <c r="AD1530" i="2"/>
  <c r="AC1530" i="2"/>
  <c r="AB1530" i="2"/>
  <c r="AA1530" i="2"/>
  <c r="Z1530" i="2"/>
  <c r="Y1530" i="2"/>
  <c r="X1530" i="2"/>
  <c r="V1530" i="2"/>
  <c r="U1530" i="2"/>
  <c r="T1530" i="2"/>
  <c r="S1530" i="2"/>
  <c r="R1530" i="2"/>
  <c r="Q1530" i="2"/>
  <c r="P1530" i="2"/>
  <c r="O1530" i="2"/>
  <c r="N1530" i="2"/>
  <c r="K1530" i="2"/>
  <c r="J1530" i="2"/>
  <c r="I1530" i="2"/>
  <c r="H1530" i="2"/>
  <c r="G1530" i="2"/>
  <c r="F1530" i="2"/>
  <c r="E1530" i="2"/>
  <c r="D1530" i="2"/>
  <c r="C1530" i="2"/>
  <c r="B1530" i="2"/>
  <c r="A1530" i="2"/>
  <c r="AI1529" i="2"/>
  <c r="AF1529" i="2"/>
  <c r="AE1529" i="2"/>
  <c r="AD1529" i="2"/>
  <c r="AC1529" i="2"/>
  <c r="AA1529" i="2"/>
  <c r="Z1529" i="2"/>
  <c r="Y1529" i="2"/>
  <c r="X1529" i="2"/>
  <c r="V1529" i="2"/>
  <c r="U1529" i="2"/>
  <c r="T1529" i="2"/>
  <c r="S1529" i="2"/>
  <c r="R1529" i="2"/>
  <c r="Q1529" i="2"/>
  <c r="P1529" i="2"/>
  <c r="O1529" i="2"/>
  <c r="N1529" i="2"/>
  <c r="K1529" i="2"/>
  <c r="J1529" i="2"/>
  <c r="I1529" i="2"/>
  <c r="H1529" i="2"/>
  <c r="G1529" i="2"/>
  <c r="F1529" i="2"/>
  <c r="E1529" i="2"/>
  <c r="D1529" i="2"/>
  <c r="C1529" i="2"/>
  <c r="B1529" i="2"/>
  <c r="A1529" i="2"/>
  <c r="AI1528" i="2"/>
  <c r="AH1528" i="2"/>
  <c r="AG1528" i="2"/>
  <c r="AF1528" i="2"/>
  <c r="AE1528" i="2"/>
  <c r="AD1528" i="2"/>
  <c r="AC1528" i="2"/>
  <c r="AB1528" i="2"/>
  <c r="AA1528" i="2"/>
  <c r="Z1528" i="2"/>
  <c r="Y1528" i="2"/>
  <c r="X1528" i="2"/>
  <c r="W1528" i="2"/>
  <c r="V1528" i="2"/>
  <c r="U1528" i="2"/>
  <c r="T1528" i="2"/>
  <c r="S1528" i="2"/>
  <c r="R1528" i="2"/>
  <c r="Q1528" i="2"/>
  <c r="P1528" i="2"/>
  <c r="O1528" i="2"/>
  <c r="N1528" i="2"/>
  <c r="K1528" i="2"/>
  <c r="J1528" i="2"/>
  <c r="I1528" i="2"/>
  <c r="H1528" i="2"/>
  <c r="G1528" i="2"/>
  <c r="F1528" i="2"/>
  <c r="E1528" i="2"/>
  <c r="D1528" i="2"/>
  <c r="C1528" i="2"/>
  <c r="B1528" i="2"/>
  <c r="A1528" i="2"/>
  <c r="AI1527" i="2"/>
  <c r="AH1527" i="2"/>
  <c r="AG1527" i="2"/>
  <c r="AF1527" i="2"/>
  <c r="AE1527" i="2"/>
  <c r="AD1527" i="2"/>
  <c r="AC1527" i="2"/>
  <c r="AB1527" i="2"/>
  <c r="AA1527" i="2"/>
  <c r="Z1527" i="2"/>
  <c r="Y1527" i="2"/>
  <c r="X1527" i="2"/>
  <c r="W1527" i="2"/>
  <c r="V1527" i="2"/>
  <c r="U1527" i="2"/>
  <c r="T1527" i="2"/>
  <c r="S1527" i="2"/>
  <c r="R1527" i="2"/>
  <c r="Q1527" i="2"/>
  <c r="P1527" i="2"/>
  <c r="O1527" i="2"/>
  <c r="N1527" i="2"/>
  <c r="K1527" i="2"/>
  <c r="J1527" i="2"/>
  <c r="I1527" i="2"/>
  <c r="H1527" i="2"/>
  <c r="G1527" i="2"/>
  <c r="F1527" i="2"/>
  <c r="E1527" i="2"/>
  <c r="D1527" i="2"/>
  <c r="C1527" i="2"/>
  <c r="B1527" i="2"/>
  <c r="A1527" i="2"/>
  <c r="AI1526" i="2"/>
  <c r="AH1526" i="2"/>
  <c r="AG1526" i="2"/>
  <c r="AF1526" i="2"/>
  <c r="AE1526" i="2"/>
  <c r="AD1526" i="2"/>
  <c r="AC1526" i="2"/>
  <c r="AB1526" i="2"/>
  <c r="AA1526" i="2"/>
  <c r="Z1526" i="2"/>
  <c r="Y1526" i="2"/>
  <c r="X1526" i="2"/>
  <c r="V1526" i="2"/>
  <c r="U1526" i="2"/>
  <c r="T1526" i="2"/>
  <c r="S1526" i="2"/>
  <c r="R1526" i="2"/>
  <c r="Q1526" i="2"/>
  <c r="P1526" i="2"/>
  <c r="O1526" i="2"/>
  <c r="N1526" i="2"/>
  <c r="K1526" i="2"/>
  <c r="J1526" i="2"/>
  <c r="I1526" i="2"/>
  <c r="H1526" i="2"/>
  <c r="G1526" i="2"/>
  <c r="F1526" i="2"/>
  <c r="E1526" i="2"/>
  <c r="D1526" i="2"/>
  <c r="C1526" i="2"/>
  <c r="B1526" i="2"/>
  <c r="A1526" i="2"/>
  <c r="AJ1525" i="2"/>
  <c r="AI1525" i="2"/>
  <c r="AH1525" i="2"/>
  <c r="AG1525" i="2"/>
  <c r="AF1525" i="2"/>
  <c r="AE1525" i="2"/>
  <c r="AD1525" i="2"/>
  <c r="AC1525" i="2"/>
  <c r="AB1525" i="2"/>
  <c r="AA1525" i="2"/>
  <c r="Z1525" i="2"/>
  <c r="Y1525" i="2"/>
  <c r="X1525" i="2"/>
  <c r="W1525" i="2"/>
  <c r="V1525" i="2"/>
  <c r="U1525" i="2"/>
  <c r="T1525" i="2"/>
  <c r="S1525" i="2"/>
  <c r="R1525" i="2"/>
  <c r="Q1525" i="2"/>
  <c r="P1525" i="2"/>
  <c r="O1525" i="2"/>
  <c r="N1525" i="2"/>
  <c r="M1525" i="2"/>
  <c r="L1525" i="2"/>
  <c r="K1525" i="2"/>
  <c r="J1525" i="2"/>
  <c r="I1525" i="2"/>
  <c r="H1525" i="2"/>
  <c r="G1525" i="2"/>
  <c r="F1525" i="2"/>
  <c r="E1525" i="2"/>
  <c r="D1525" i="2"/>
  <c r="C1525" i="2"/>
  <c r="B1525" i="2"/>
  <c r="A1525" i="2"/>
  <c r="AI1524" i="2"/>
  <c r="AH1524" i="2"/>
  <c r="AG1524" i="2"/>
  <c r="AF1524" i="2"/>
  <c r="AE1524" i="2"/>
  <c r="AD1524" i="2"/>
  <c r="AC1524" i="2"/>
  <c r="AB1524" i="2"/>
  <c r="AA1524" i="2"/>
  <c r="Z1524" i="2"/>
  <c r="Y1524" i="2"/>
  <c r="X1524" i="2"/>
  <c r="W1524" i="2"/>
  <c r="V1524" i="2"/>
  <c r="U1524" i="2"/>
  <c r="T1524" i="2"/>
  <c r="S1524" i="2"/>
  <c r="R1524" i="2"/>
  <c r="Q1524" i="2"/>
  <c r="P1524" i="2"/>
  <c r="O1524" i="2"/>
  <c r="N1524" i="2"/>
  <c r="K1524" i="2"/>
  <c r="J1524" i="2"/>
  <c r="I1524" i="2"/>
  <c r="H1524" i="2"/>
  <c r="G1524" i="2"/>
  <c r="F1524" i="2"/>
  <c r="E1524" i="2"/>
  <c r="D1524" i="2"/>
  <c r="C1524" i="2"/>
  <c r="B1524" i="2"/>
  <c r="A1524" i="2"/>
  <c r="AI1523" i="2"/>
  <c r="AH1523" i="2"/>
  <c r="AG1523" i="2"/>
  <c r="AF1523" i="2"/>
  <c r="AE1523" i="2"/>
  <c r="AD1523" i="2"/>
  <c r="AC1523" i="2"/>
  <c r="AB1523" i="2"/>
  <c r="AA1523" i="2"/>
  <c r="Z1523" i="2"/>
  <c r="Y1523" i="2"/>
  <c r="X1523" i="2"/>
  <c r="W1523" i="2"/>
  <c r="V1523" i="2"/>
  <c r="U1523" i="2"/>
  <c r="T1523" i="2"/>
  <c r="S1523" i="2"/>
  <c r="R1523" i="2"/>
  <c r="Q1523" i="2"/>
  <c r="P1523" i="2"/>
  <c r="O1523" i="2"/>
  <c r="N1523" i="2"/>
  <c r="K1523" i="2"/>
  <c r="J1523" i="2"/>
  <c r="I1523" i="2"/>
  <c r="H1523" i="2"/>
  <c r="G1523" i="2"/>
  <c r="F1523" i="2"/>
  <c r="E1523" i="2"/>
  <c r="D1523" i="2"/>
  <c r="C1523" i="2"/>
  <c r="B1523" i="2"/>
  <c r="A1523" i="2"/>
  <c r="AJ1522" i="2"/>
  <c r="AI1522" i="2"/>
  <c r="AH1522" i="2"/>
  <c r="AG1522" i="2"/>
  <c r="AF1522" i="2"/>
  <c r="AE1522" i="2"/>
  <c r="AD1522" i="2"/>
  <c r="AC1522" i="2"/>
  <c r="AB1522" i="2"/>
  <c r="AA1522" i="2"/>
  <c r="Z1522" i="2"/>
  <c r="Y1522" i="2"/>
  <c r="X1522" i="2"/>
  <c r="U1522" i="2"/>
  <c r="T1522" i="2"/>
  <c r="S1522" i="2"/>
  <c r="R1522" i="2"/>
  <c r="Q1522" i="2"/>
  <c r="P1522" i="2"/>
  <c r="O1522" i="2"/>
  <c r="N1522" i="2"/>
  <c r="K1522" i="2"/>
  <c r="J1522" i="2"/>
  <c r="I1522" i="2"/>
  <c r="H1522" i="2"/>
  <c r="G1522" i="2"/>
  <c r="F1522" i="2"/>
  <c r="E1522" i="2"/>
  <c r="D1522" i="2"/>
  <c r="C1522" i="2"/>
  <c r="B1522" i="2"/>
  <c r="A1522" i="2"/>
  <c r="AJ1521" i="2"/>
  <c r="AI1521" i="2"/>
  <c r="AH1521" i="2"/>
  <c r="AG1521" i="2"/>
  <c r="AF1521" i="2"/>
  <c r="AE1521" i="2"/>
  <c r="AD1521" i="2"/>
  <c r="AC1521" i="2"/>
  <c r="AA1521" i="2"/>
  <c r="Z1521" i="2"/>
  <c r="Y1521" i="2"/>
  <c r="X1521" i="2"/>
  <c r="W1521" i="2"/>
  <c r="V1521" i="2"/>
  <c r="U1521" i="2"/>
  <c r="T1521" i="2"/>
  <c r="S1521" i="2"/>
  <c r="R1521" i="2"/>
  <c r="Q1521" i="2"/>
  <c r="P1521" i="2"/>
  <c r="O1521" i="2"/>
  <c r="N1521" i="2"/>
  <c r="K1521" i="2"/>
  <c r="J1521" i="2"/>
  <c r="I1521" i="2"/>
  <c r="H1521" i="2"/>
  <c r="G1521" i="2"/>
  <c r="F1521" i="2"/>
  <c r="E1521" i="2"/>
  <c r="D1521" i="2"/>
  <c r="C1521" i="2"/>
  <c r="B1521" i="2"/>
  <c r="A1521" i="2"/>
  <c r="AI1520" i="2"/>
  <c r="AH1520" i="2"/>
  <c r="AG1520" i="2"/>
  <c r="AF1520" i="2"/>
  <c r="AE1520" i="2"/>
  <c r="AD1520" i="2"/>
  <c r="AC1520" i="2"/>
  <c r="AB1520" i="2"/>
  <c r="AA1520" i="2"/>
  <c r="Z1520" i="2"/>
  <c r="Y1520" i="2"/>
  <c r="X1520" i="2"/>
  <c r="W1520" i="2"/>
  <c r="V1520" i="2"/>
  <c r="U1520" i="2"/>
  <c r="T1520" i="2"/>
  <c r="S1520" i="2"/>
  <c r="R1520" i="2"/>
  <c r="Q1520" i="2"/>
  <c r="P1520" i="2"/>
  <c r="O1520" i="2"/>
  <c r="N1520" i="2"/>
  <c r="K1520" i="2"/>
  <c r="J1520" i="2"/>
  <c r="I1520" i="2"/>
  <c r="H1520" i="2"/>
  <c r="G1520" i="2"/>
  <c r="F1520" i="2"/>
  <c r="E1520" i="2"/>
  <c r="D1520" i="2"/>
  <c r="C1520" i="2"/>
  <c r="B1520" i="2"/>
  <c r="A1520" i="2"/>
  <c r="AI1519" i="2"/>
  <c r="AH1519" i="2"/>
  <c r="AG1519" i="2"/>
  <c r="AF1519" i="2"/>
  <c r="AE1519" i="2"/>
  <c r="AD1519" i="2"/>
  <c r="AC1519" i="2"/>
  <c r="AB1519" i="2"/>
  <c r="AA1519" i="2"/>
  <c r="Z1519" i="2"/>
  <c r="Y1519" i="2"/>
  <c r="X1519" i="2"/>
  <c r="W1519" i="2"/>
  <c r="V1519" i="2"/>
  <c r="U1519" i="2"/>
  <c r="T1519" i="2"/>
  <c r="S1519" i="2"/>
  <c r="R1519" i="2"/>
  <c r="Q1519" i="2"/>
  <c r="P1519" i="2"/>
  <c r="O1519" i="2"/>
  <c r="N1519" i="2"/>
  <c r="K1519" i="2"/>
  <c r="J1519" i="2"/>
  <c r="I1519" i="2"/>
  <c r="H1519" i="2"/>
  <c r="G1519" i="2"/>
  <c r="F1519" i="2"/>
  <c r="E1519" i="2"/>
  <c r="D1519" i="2"/>
  <c r="C1519" i="2"/>
  <c r="B1519" i="2"/>
  <c r="A1519" i="2"/>
  <c r="AI1518" i="2"/>
  <c r="AH1518" i="2"/>
  <c r="AG1518" i="2"/>
  <c r="AF1518" i="2"/>
  <c r="AE1518" i="2"/>
  <c r="AD1518" i="2"/>
  <c r="AC1518" i="2"/>
  <c r="AB1518" i="2"/>
  <c r="AA1518" i="2"/>
  <c r="Z1518" i="2"/>
  <c r="Y1518" i="2"/>
  <c r="X1518" i="2"/>
  <c r="W1518" i="2"/>
  <c r="V1518" i="2"/>
  <c r="U1518" i="2"/>
  <c r="T1518" i="2"/>
  <c r="S1518" i="2"/>
  <c r="R1518" i="2"/>
  <c r="Q1518" i="2"/>
  <c r="P1518" i="2"/>
  <c r="O1518" i="2"/>
  <c r="N1518" i="2"/>
  <c r="K1518" i="2"/>
  <c r="J1518" i="2"/>
  <c r="I1518" i="2"/>
  <c r="H1518" i="2"/>
  <c r="G1518" i="2"/>
  <c r="F1518" i="2"/>
  <c r="E1518" i="2"/>
  <c r="D1518" i="2"/>
  <c r="C1518" i="2"/>
  <c r="B1518" i="2"/>
  <c r="A1518" i="2"/>
  <c r="AI1517" i="2"/>
  <c r="AH1517" i="2"/>
  <c r="AG1517" i="2"/>
  <c r="AF1517" i="2"/>
  <c r="AE1517" i="2"/>
  <c r="AD1517" i="2"/>
  <c r="AC1517" i="2"/>
  <c r="AB1517" i="2"/>
  <c r="AA1517" i="2"/>
  <c r="Z1517" i="2"/>
  <c r="Y1517" i="2"/>
  <c r="X1517" i="2"/>
  <c r="W1517" i="2"/>
  <c r="V1517" i="2"/>
  <c r="U1517" i="2"/>
  <c r="T1517" i="2"/>
  <c r="S1517" i="2"/>
  <c r="R1517" i="2"/>
  <c r="Q1517" i="2"/>
  <c r="P1517" i="2"/>
  <c r="O1517" i="2"/>
  <c r="N1517" i="2"/>
  <c r="K1517" i="2"/>
  <c r="J1517" i="2"/>
  <c r="I1517" i="2"/>
  <c r="H1517" i="2"/>
  <c r="G1517" i="2"/>
  <c r="F1517" i="2"/>
  <c r="E1517" i="2"/>
  <c r="D1517" i="2"/>
  <c r="C1517" i="2"/>
  <c r="B1517" i="2"/>
  <c r="A1517" i="2"/>
  <c r="AI1516" i="2"/>
  <c r="AH1516" i="2"/>
  <c r="AG1516" i="2"/>
  <c r="AF1516" i="2"/>
  <c r="AE1516" i="2"/>
  <c r="AD1516" i="2"/>
  <c r="AC1516" i="2"/>
  <c r="AB1516" i="2"/>
  <c r="AA1516" i="2"/>
  <c r="Z1516" i="2"/>
  <c r="Y1516" i="2"/>
  <c r="X1516" i="2"/>
  <c r="W1516" i="2"/>
  <c r="V1516" i="2"/>
  <c r="U1516" i="2"/>
  <c r="T1516" i="2"/>
  <c r="S1516" i="2"/>
  <c r="R1516" i="2"/>
  <c r="Q1516" i="2"/>
  <c r="P1516" i="2"/>
  <c r="O1516" i="2"/>
  <c r="N1516" i="2"/>
  <c r="K1516" i="2"/>
  <c r="J1516" i="2"/>
  <c r="I1516" i="2"/>
  <c r="H1516" i="2"/>
  <c r="G1516" i="2"/>
  <c r="F1516" i="2"/>
  <c r="E1516" i="2"/>
  <c r="D1516" i="2"/>
  <c r="C1516" i="2"/>
  <c r="B1516" i="2"/>
  <c r="A1516" i="2"/>
  <c r="AF1515" i="2"/>
  <c r="AE1515" i="2"/>
  <c r="AD1515" i="2"/>
  <c r="AC1515" i="2"/>
  <c r="AA1515" i="2"/>
  <c r="Z1515" i="2"/>
  <c r="Y1515" i="2"/>
  <c r="X1515" i="2"/>
  <c r="W1515" i="2"/>
  <c r="V1515" i="2"/>
  <c r="U1515" i="2"/>
  <c r="T1515" i="2"/>
  <c r="S1515" i="2"/>
  <c r="R1515" i="2"/>
  <c r="Q1515" i="2"/>
  <c r="P1515" i="2"/>
  <c r="O1515" i="2"/>
  <c r="N1515" i="2"/>
  <c r="K1515" i="2"/>
  <c r="J1515" i="2"/>
  <c r="I1515" i="2"/>
  <c r="H1515" i="2"/>
  <c r="G1515" i="2"/>
  <c r="F1515" i="2"/>
  <c r="E1515" i="2"/>
  <c r="D1515" i="2"/>
  <c r="C1515" i="2"/>
  <c r="B1515" i="2"/>
  <c r="A1515" i="2"/>
  <c r="AI1514" i="2"/>
  <c r="AH1514" i="2"/>
  <c r="AG1514" i="2"/>
  <c r="AF1514" i="2"/>
  <c r="AE1514" i="2"/>
  <c r="AD1514" i="2"/>
  <c r="AC1514" i="2"/>
  <c r="AB1514" i="2"/>
  <c r="AA1514" i="2"/>
  <c r="Z1514" i="2"/>
  <c r="Y1514" i="2"/>
  <c r="X1514" i="2"/>
  <c r="W1514" i="2"/>
  <c r="V1514" i="2"/>
  <c r="U1514" i="2"/>
  <c r="T1514" i="2"/>
  <c r="S1514" i="2"/>
  <c r="R1514" i="2"/>
  <c r="Q1514" i="2"/>
  <c r="P1514" i="2"/>
  <c r="O1514" i="2"/>
  <c r="N1514" i="2"/>
  <c r="K1514" i="2"/>
  <c r="J1514" i="2"/>
  <c r="I1514" i="2"/>
  <c r="H1514" i="2"/>
  <c r="G1514" i="2"/>
  <c r="F1514" i="2"/>
  <c r="E1514" i="2"/>
  <c r="D1514" i="2"/>
  <c r="C1514" i="2"/>
  <c r="B1514" i="2"/>
  <c r="A1514" i="2"/>
  <c r="AI1513" i="2"/>
  <c r="AH1513" i="2"/>
  <c r="AG1513" i="2"/>
  <c r="AF1513" i="2"/>
  <c r="AE1513" i="2"/>
  <c r="AD1513" i="2"/>
  <c r="AC1513" i="2"/>
  <c r="AB1513" i="2"/>
  <c r="AA1513" i="2"/>
  <c r="Z1513" i="2"/>
  <c r="Y1513" i="2"/>
  <c r="X1513" i="2"/>
  <c r="W1513" i="2"/>
  <c r="V1513" i="2"/>
  <c r="U1513" i="2"/>
  <c r="T1513" i="2"/>
  <c r="S1513" i="2"/>
  <c r="R1513" i="2"/>
  <c r="Q1513" i="2"/>
  <c r="P1513" i="2"/>
  <c r="O1513" i="2"/>
  <c r="N1513" i="2"/>
  <c r="K1513" i="2"/>
  <c r="J1513" i="2"/>
  <c r="I1513" i="2"/>
  <c r="H1513" i="2"/>
  <c r="G1513" i="2"/>
  <c r="F1513" i="2"/>
  <c r="E1513" i="2"/>
  <c r="D1513" i="2"/>
  <c r="C1513" i="2"/>
  <c r="B1513" i="2"/>
  <c r="A1513" i="2"/>
  <c r="AI1512" i="2"/>
  <c r="AH1512" i="2"/>
  <c r="AG1512" i="2"/>
  <c r="AF1512" i="2"/>
  <c r="AE1512" i="2"/>
  <c r="AD1512" i="2"/>
  <c r="AC1512" i="2"/>
  <c r="AB1512" i="2"/>
  <c r="AA1512" i="2"/>
  <c r="Z1512" i="2"/>
  <c r="Y1512" i="2"/>
  <c r="X1512" i="2"/>
  <c r="W1512" i="2"/>
  <c r="V1512" i="2"/>
  <c r="U1512" i="2"/>
  <c r="T1512" i="2"/>
  <c r="S1512" i="2"/>
  <c r="R1512" i="2"/>
  <c r="Q1512" i="2"/>
  <c r="P1512" i="2"/>
  <c r="O1512" i="2"/>
  <c r="N1512" i="2"/>
  <c r="K1512" i="2"/>
  <c r="J1512" i="2"/>
  <c r="I1512" i="2"/>
  <c r="H1512" i="2"/>
  <c r="G1512" i="2"/>
  <c r="F1512" i="2"/>
  <c r="E1512" i="2"/>
  <c r="D1512" i="2"/>
  <c r="C1512" i="2"/>
  <c r="B1512" i="2"/>
  <c r="A1512" i="2"/>
  <c r="AI1511" i="2"/>
  <c r="AH1511" i="2"/>
  <c r="AG1511" i="2"/>
  <c r="AF1511" i="2"/>
  <c r="AE1511" i="2"/>
  <c r="AD1511" i="2"/>
  <c r="AC1511" i="2"/>
  <c r="AB1511" i="2"/>
  <c r="AA1511" i="2"/>
  <c r="Z1511" i="2"/>
  <c r="Y1511" i="2"/>
  <c r="X1511" i="2"/>
  <c r="W1511" i="2"/>
  <c r="V1511" i="2"/>
  <c r="U1511" i="2"/>
  <c r="T1511" i="2"/>
  <c r="S1511" i="2"/>
  <c r="R1511" i="2"/>
  <c r="Q1511" i="2"/>
  <c r="P1511" i="2"/>
  <c r="O1511" i="2"/>
  <c r="N1511" i="2"/>
  <c r="K1511" i="2"/>
  <c r="J1511" i="2"/>
  <c r="I1511" i="2"/>
  <c r="H1511" i="2"/>
  <c r="G1511" i="2"/>
  <c r="F1511" i="2"/>
  <c r="E1511" i="2"/>
  <c r="D1511" i="2"/>
  <c r="C1511" i="2"/>
  <c r="B1511" i="2"/>
  <c r="A1511" i="2"/>
  <c r="AI1510" i="2"/>
  <c r="AH1510" i="2"/>
  <c r="AG1510" i="2"/>
  <c r="AF1510" i="2"/>
  <c r="AE1510" i="2"/>
  <c r="AD1510" i="2"/>
  <c r="AC1510" i="2"/>
  <c r="AB1510" i="2"/>
  <c r="AA1510" i="2"/>
  <c r="Z1510" i="2"/>
  <c r="Y1510" i="2"/>
  <c r="X1510" i="2"/>
  <c r="W1510" i="2"/>
  <c r="V1510" i="2"/>
  <c r="U1510" i="2"/>
  <c r="T1510" i="2"/>
  <c r="S1510" i="2"/>
  <c r="R1510" i="2"/>
  <c r="Q1510" i="2"/>
  <c r="P1510" i="2"/>
  <c r="O1510" i="2"/>
  <c r="N1510" i="2"/>
  <c r="K1510" i="2"/>
  <c r="J1510" i="2"/>
  <c r="I1510" i="2"/>
  <c r="H1510" i="2"/>
  <c r="G1510" i="2"/>
  <c r="F1510" i="2"/>
  <c r="E1510" i="2"/>
  <c r="D1510" i="2"/>
  <c r="C1510" i="2"/>
  <c r="B1510" i="2"/>
  <c r="A1510" i="2"/>
  <c r="AI1509" i="2"/>
  <c r="AH1509" i="2"/>
  <c r="AG1509" i="2"/>
  <c r="AF1509" i="2"/>
  <c r="AE1509" i="2"/>
  <c r="AD1509" i="2"/>
  <c r="AC1509" i="2"/>
  <c r="AB1509" i="2"/>
  <c r="AA1509" i="2"/>
  <c r="Z1509" i="2"/>
  <c r="Y1509" i="2"/>
  <c r="X1509" i="2"/>
  <c r="U1509" i="2"/>
  <c r="T1509" i="2"/>
  <c r="S1509" i="2"/>
  <c r="R1509" i="2"/>
  <c r="Q1509" i="2"/>
  <c r="P1509" i="2"/>
  <c r="O1509" i="2"/>
  <c r="N1509" i="2"/>
  <c r="K1509" i="2"/>
  <c r="J1509" i="2"/>
  <c r="I1509" i="2"/>
  <c r="H1509" i="2"/>
  <c r="G1509" i="2"/>
  <c r="F1509" i="2"/>
  <c r="E1509" i="2"/>
  <c r="D1509" i="2"/>
  <c r="C1509" i="2"/>
  <c r="B1509" i="2"/>
  <c r="A1509" i="2"/>
  <c r="AI1508" i="2"/>
  <c r="AH1508" i="2"/>
  <c r="AG1508" i="2"/>
  <c r="AF1508" i="2"/>
  <c r="AE1508" i="2"/>
  <c r="AD1508" i="2"/>
  <c r="AC1508" i="2"/>
  <c r="AB1508" i="2"/>
  <c r="AA1508" i="2"/>
  <c r="Z1508" i="2"/>
  <c r="Y1508" i="2"/>
  <c r="X1508" i="2"/>
  <c r="W1508" i="2"/>
  <c r="V1508" i="2"/>
  <c r="U1508" i="2"/>
  <c r="T1508" i="2"/>
  <c r="S1508" i="2"/>
  <c r="R1508" i="2"/>
  <c r="Q1508" i="2"/>
  <c r="P1508" i="2"/>
  <c r="O1508" i="2"/>
  <c r="N1508" i="2"/>
  <c r="K1508" i="2"/>
  <c r="J1508" i="2"/>
  <c r="I1508" i="2"/>
  <c r="H1508" i="2"/>
  <c r="G1508" i="2"/>
  <c r="F1508" i="2"/>
  <c r="E1508" i="2"/>
  <c r="D1508" i="2"/>
  <c r="C1508" i="2"/>
  <c r="B1508" i="2"/>
  <c r="A1508" i="2"/>
  <c r="AI1507" i="2"/>
  <c r="AH1507" i="2"/>
  <c r="AG1507" i="2"/>
  <c r="AF1507" i="2"/>
  <c r="AE1507" i="2"/>
  <c r="AD1507" i="2"/>
  <c r="AC1507" i="2"/>
  <c r="AB1507" i="2"/>
  <c r="AA1507" i="2"/>
  <c r="Z1507" i="2"/>
  <c r="Y1507" i="2"/>
  <c r="X1507" i="2"/>
  <c r="W1507" i="2"/>
  <c r="V1507" i="2"/>
  <c r="U1507" i="2"/>
  <c r="T1507" i="2"/>
  <c r="S1507" i="2"/>
  <c r="R1507" i="2"/>
  <c r="Q1507" i="2"/>
  <c r="P1507" i="2"/>
  <c r="O1507" i="2"/>
  <c r="N1507" i="2"/>
  <c r="K1507" i="2"/>
  <c r="J1507" i="2"/>
  <c r="I1507" i="2"/>
  <c r="H1507" i="2"/>
  <c r="G1507" i="2"/>
  <c r="F1507" i="2"/>
  <c r="E1507" i="2"/>
  <c r="D1507" i="2"/>
  <c r="C1507" i="2"/>
  <c r="B1507" i="2"/>
  <c r="A1507" i="2"/>
  <c r="AI1506" i="2"/>
  <c r="AH1506" i="2"/>
  <c r="AG1506" i="2"/>
  <c r="AF1506" i="2"/>
  <c r="AE1506" i="2"/>
  <c r="AD1506" i="2"/>
  <c r="AC1506" i="2"/>
  <c r="AB1506" i="2"/>
  <c r="AA1506" i="2"/>
  <c r="Z1506" i="2"/>
  <c r="Y1506" i="2"/>
  <c r="X1506" i="2"/>
  <c r="V1506" i="2"/>
  <c r="U1506" i="2"/>
  <c r="T1506" i="2"/>
  <c r="S1506" i="2"/>
  <c r="R1506" i="2"/>
  <c r="Q1506" i="2"/>
  <c r="P1506" i="2"/>
  <c r="O1506" i="2"/>
  <c r="N1506" i="2"/>
  <c r="K1506" i="2"/>
  <c r="J1506" i="2"/>
  <c r="I1506" i="2"/>
  <c r="H1506" i="2"/>
  <c r="G1506" i="2"/>
  <c r="F1506" i="2"/>
  <c r="E1506" i="2"/>
  <c r="D1506" i="2"/>
  <c r="C1506" i="2"/>
  <c r="B1506" i="2"/>
  <c r="A1506" i="2"/>
  <c r="AI1505" i="2"/>
  <c r="AH1505" i="2"/>
  <c r="AG1505" i="2"/>
  <c r="AF1505" i="2"/>
  <c r="AE1505" i="2"/>
  <c r="AD1505" i="2"/>
  <c r="AC1505" i="2"/>
  <c r="AB1505" i="2"/>
  <c r="AA1505" i="2"/>
  <c r="Z1505" i="2"/>
  <c r="Y1505" i="2"/>
  <c r="X1505" i="2"/>
  <c r="W1505" i="2"/>
  <c r="V1505" i="2"/>
  <c r="U1505" i="2"/>
  <c r="T1505" i="2"/>
  <c r="S1505" i="2"/>
  <c r="R1505" i="2"/>
  <c r="Q1505" i="2"/>
  <c r="P1505" i="2"/>
  <c r="O1505" i="2"/>
  <c r="N1505" i="2"/>
  <c r="K1505" i="2"/>
  <c r="J1505" i="2"/>
  <c r="I1505" i="2"/>
  <c r="H1505" i="2"/>
  <c r="G1505" i="2"/>
  <c r="F1505" i="2"/>
  <c r="E1505" i="2"/>
  <c r="D1505" i="2"/>
  <c r="C1505" i="2"/>
  <c r="B1505" i="2"/>
  <c r="A1505" i="2"/>
  <c r="AI1504" i="2"/>
  <c r="AH1504" i="2"/>
  <c r="AG1504" i="2"/>
  <c r="AF1504" i="2"/>
  <c r="AE1504" i="2"/>
  <c r="AD1504" i="2"/>
  <c r="AC1504" i="2"/>
  <c r="AB1504" i="2"/>
  <c r="AA1504" i="2"/>
  <c r="Z1504" i="2"/>
  <c r="Y1504" i="2"/>
  <c r="X1504" i="2"/>
  <c r="W1504" i="2"/>
  <c r="V1504" i="2"/>
  <c r="U1504" i="2"/>
  <c r="T1504" i="2"/>
  <c r="S1504" i="2"/>
  <c r="R1504" i="2"/>
  <c r="Q1504" i="2"/>
  <c r="P1504" i="2"/>
  <c r="O1504" i="2"/>
  <c r="N1504" i="2"/>
  <c r="K1504" i="2"/>
  <c r="J1504" i="2"/>
  <c r="I1504" i="2"/>
  <c r="H1504" i="2"/>
  <c r="G1504" i="2"/>
  <c r="F1504" i="2"/>
  <c r="E1504" i="2"/>
  <c r="D1504" i="2"/>
  <c r="C1504" i="2"/>
  <c r="B1504" i="2"/>
  <c r="A1504" i="2"/>
  <c r="AI1503" i="2"/>
  <c r="AH1503" i="2"/>
  <c r="AG1503" i="2"/>
  <c r="AF1503" i="2"/>
  <c r="AE1503" i="2"/>
  <c r="AD1503" i="2"/>
  <c r="AC1503" i="2"/>
  <c r="AB1503" i="2"/>
  <c r="AA1503" i="2"/>
  <c r="Z1503" i="2"/>
  <c r="Y1503" i="2"/>
  <c r="X1503" i="2"/>
  <c r="T1503" i="2"/>
  <c r="S1503" i="2"/>
  <c r="R1503" i="2"/>
  <c r="Q1503" i="2"/>
  <c r="P1503" i="2"/>
  <c r="O1503" i="2"/>
  <c r="N1503" i="2"/>
  <c r="K1503" i="2"/>
  <c r="J1503" i="2"/>
  <c r="I1503" i="2"/>
  <c r="H1503" i="2"/>
  <c r="G1503" i="2"/>
  <c r="F1503" i="2"/>
  <c r="E1503" i="2"/>
  <c r="D1503" i="2"/>
  <c r="C1503" i="2"/>
  <c r="B1503" i="2"/>
  <c r="A1503" i="2"/>
  <c r="AI1502" i="2"/>
  <c r="AH1502" i="2"/>
  <c r="AG1502" i="2"/>
  <c r="AF1502" i="2"/>
  <c r="AE1502" i="2"/>
  <c r="AD1502" i="2"/>
  <c r="AC1502" i="2"/>
  <c r="AB1502" i="2"/>
  <c r="AA1502" i="2"/>
  <c r="Z1502" i="2"/>
  <c r="Y1502" i="2"/>
  <c r="X1502" i="2"/>
  <c r="W1502" i="2"/>
  <c r="V1502" i="2"/>
  <c r="U1502" i="2"/>
  <c r="T1502" i="2"/>
  <c r="S1502" i="2"/>
  <c r="R1502" i="2"/>
  <c r="Q1502" i="2"/>
  <c r="P1502" i="2"/>
  <c r="O1502" i="2"/>
  <c r="N1502" i="2"/>
  <c r="K1502" i="2"/>
  <c r="J1502" i="2"/>
  <c r="I1502" i="2"/>
  <c r="H1502" i="2"/>
  <c r="G1502" i="2"/>
  <c r="F1502" i="2"/>
  <c r="E1502" i="2"/>
  <c r="D1502" i="2"/>
  <c r="C1502" i="2"/>
  <c r="B1502" i="2"/>
  <c r="A1502" i="2"/>
  <c r="AI1501" i="2"/>
  <c r="AH1501" i="2"/>
  <c r="AG1501" i="2"/>
  <c r="AF1501" i="2"/>
  <c r="AE1501" i="2"/>
  <c r="AD1501" i="2"/>
  <c r="AC1501" i="2"/>
  <c r="AB1501" i="2"/>
  <c r="AA1501" i="2"/>
  <c r="Z1501" i="2"/>
  <c r="Y1501" i="2"/>
  <c r="X1501" i="2"/>
  <c r="W1501" i="2"/>
  <c r="V1501" i="2"/>
  <c r="U1501" i="2"/>
  <c r="T1501" i="2"/>
  <c r="S1501" i="2"/>
  <c r="R1501" i="2"/>
  <c r="Q1501" i="2"/>
  <c r="P1501" i="2"/>
  <c r="O1501" i="2"/>
  <c r="N1501" i="2"/>
  <c r="K1501" i="2"/>
  <c r="J1501" i="2"/>
  <c r="I1501" i="2"/>
  <c r="H1501" i="2"/>
  <c r="G1501" i="2"/>
  <c r="F1501" i="2"/>
  <c r="E1501" i="2"/>
  <c r="D1501" i="2"/>
  <c r="C1501" i="2"/>
  <c r="B1501" i="2"/>
  <c r="A1501" i="2"/>
  <c r="AI1500" i="2"/>
  <c r="AH1500" i="2"/>
  <c r="AG1500" i="2"/>
  <c r="AF1500" i="2"/>
  <c r="AE1500" i="2"/>
  <c r="AD1500" i="2"/>
  <c r="AC1500" i="2"/>
  <c r="AB1500" i="2"/>
  <c r="AA1500" i="2"/>
  <c r="Z1500" i="2"/>
  <c r="Y1500" i="2"/>
  <c r="X1500" i="2"/>
  <c r="W1500" i="2"/>
  <c r="V1500" i="2"/>
  <c r="U1500" i="2"/>
  <c r="T1500" i="2"/>
  <c r="S1500" i="2"/>
  <c r="R1500" i="2"/>
  <c r="Q1500" i="2"/>
  <c r="P1500" i="2"/>
  <c r="O1500" i="2"/>
  <c r="N1500" i="2"/>
  <c r="K1500" i="2"/>
  <c r="J1500" i="2"/>
  <c r="I1500" i="2"/>
  <c r="H1500" i="2"/>
  <c r="G1500" i="2"/>
  <c r="F1500" i="2"/>
  <c r="E1500" i="2"/>
  <c r="D1500" i="2"/>
  <c r="C1500" i="2"/>
  <c r="B1500" i="2"/>
  <c r="A1500" i="2"/>
  <c r="AI1499" i="2"/>
  <c r="AH1499" i="2"/>
  <c r="AG1499" i="2"/>
  <c r="AF1499" i="2"/>
  <c r="AE1499" i="2"/>
  <c r="AD1499" i="2"/>
  <c r="AC1499" i="2"/>
  <c r="AB1499" i="2"/>
  <c r="AA1499" i="2"/>
  <c r="Z1499" i="2"/>
  <c r="Y1499" i="2"/>
  <c r="X1499" i="2"/>
  <c r="W1499" i="2"/>
  <c r="V1499" i="2"/>
  <c r="U1499" i="2"/>
  <c r="T1499" i="2"/>
  <c r="S1499" i="2"/>
  <c r="R1499" i="2"/>
  <c r="Q1499" i="2"/>
  <c r="P1499" i="2"/>
  <c r="O1499" i="2"/>
  <c r="N1499" i="2"/>
  <c r="K1499" i="2"/>
  <c r="J1499" i="2"/>
  <c r="I1499" i="2"/>
  <c r="H1499" i="2"/>
  <c r="G1499" i="2"/>
  <c r="F1499" i="2"/>
  <c r="E1499" i="2"/>
  <c r="D1499" i="2"/>
  <c r="C1499" i="2"/>
  <c r="B1499" i="2"/>
  <c r="A1499" i="2"/>
  <c r="AI1498" i="2"/>
  <c r="AH1498" i="2"/>
  <c r="AG1498" i="2"/>
  <c r="AF1498" i="2"/>
  <c r="AE1498" i="2"/>
  <c r="AD1498" i="2"/>
  <c r="AC1498" i="2"/>
  <c r="AB1498" i="2"/>
  <c r="AA1498" i="2"/>
  <c r="Z1498" i="2"/>
  <c r="Y1498" i="2"/>
  <c r="X1498" i="2"/>
  <c r="V1498" i="2"/>
  <c r="U1498" i="2"/>
  <c r="T1498" i="2"/>
  <c r="S1498" i="2"/>
  <c r="R1498" i="2"/>
  <c r="Q1498" i="2"/>
  <c r="P1498" i="2"/>
  <c r="O1498" i="2"/>
  <c r="N1498" i="2"/>
  <c r="K1498" i="2"/>
  <c r="J1498" i="2"/>
  <c r="I1498" i="2"/>
  <c r="H1498" i="2"/>
  <c r="G1498" i="2"/>
  <c r="F1498" i="2"/>
  <c r="E1498" i="2"/>
  <c r="D1498" i="2"/>
  <c r="C1498" i="2"/>
  <c r="B1498" i="2"/>
  <c r="A1498" i="2"/>
  <c r="AI1497" i="2"/>
  <c r="AH1497" i="2"/>
  <c r="AG1497" i="2"/>
  <c r="AF1497" i="2"/>
  <c r="AE1497" i="2"/>
  <c r="AD1497" i="2"/>
  <c r="AC1497" i="2"/>
  <c r="AB1497" i="2"/>
  <c r="AA1497" i="2"/>
  <c r="Z1497" i="2"/>
  <c r="Y1497" i="2"/>
  <c r="X1497" i="2"/>
  <c r="W1497" i="2"/>
  <c r="V1497" i="2"/>
  <c r="U1497" i="2"/>
  <c r="T1497" i="2"/>
  <c r="S1497" i="2"/>
  <c r="R1497" i="2"/>
  <c r="Q1497" i="2"/>
  <c r="P1497" i="2"/>
  <c r="O1497" i="2"/>
  <c r="N1497" i="2"/>
  <c r="K1497" i="2"/>
  <c r="J1497" i="2"/>
  <c r="I1497" i="2"/>
  <c r="H1497" i="2"/>
  <c r="G1497" i="2"/>
  <c r="F1497" i="2"/>
  <c r="E1497" i="2"/>
  <c r="D1497" i="2"/>
  <c r="C1497" i="2"/>
  <c r="B1497" i="2"/>
  <c r="A1497" i="2"/>
  <c r="AI1496" i="2"/>
  <c r="AH1496" i="2"/>
  <c r="AG1496" i="2"/>
  <c r="AF1496" i="2"/>
  <c r="AE1496" i="2"/>
  <c r="AD1496" i="2"/>
  <c r="AC1496" i="2"/>
  <c r="AB1496" i="2"/>
  <c r="AA1496" i="2"/>
  <c r="Z1496" i="2"/>
  <c r="Y1496" i="2"/>
  <c r="X1496" i="2"/>
  <c r="U1496" i="2"/>
  <c r="T1496" i="2"/>
  <c r="S1496" i="2"/>
  <c r="R1496" i="2"/>
  <c r="Q1496" i="2"/>
  <c r="P1496" i="2"/>
  <c r="O1496" i="2"/>
  <c r="N1496" i="2"/>
  <c r="K1496" i="2"/>
  <c r="J1496" i="2"/>
  <c r="I1496" i="2"/>
  <c r="H1496" i="2"/>
  <c r="G1496" i="2"/>
  <c r="F1496" i="2"/>
  <c r="E1496" i="2"/>
  <c r="D1496" i="2"/>
  <c r="C1496" i="2"/>
  <c r="B1496" i="2"/>
  <c r="A1496" i="2"/>
  <c r="AI1495" i="2"/>
  <c r="AH1495" i="2"/>
  <c r="AG1495" i="2"/>
  <c r="AF1495" i="2"/>
  <c r="AE1495" i="2"/>
  <c r="AD1495" i="2"/>
  <c r="AC1495" i="2"/>
  <c r="AB1495" i="2"/>
  <c r="AA1495" i="2"/>
  <c r="Z1495" i="2"/>
  <c r="Y1495" i="2"/>
  <c r="X1495" i="2"/>
  <c r="W1495" i="2"/>
  <c r="V1495" i="2"/>
  <c r="U1495" i="2"/>
  <c r="T1495" i="2"/>
  <c r="S1495" i="2"/>
  <c r="R1495" i="2"/>
  <c r="Q1495" i="2"/>
  <c r="P1495" i="2"/>
  <c r="O1495" i="2"/>
  <c r="N1495" i="2"/>
  <c r="K1495" i="2"/>
  <c r="J1495" i="2"/>
  <c r="I1495" i="2"/>
  <c r="H1495" i="2"/>
  <c r="G1495" i="2"/>
  <c r="F1495" i="2"/>
  <c r="E1495" i="2"/>
  <c r="D1495" i="2"/>
  <c r="C1495" i="2"/>
  <c r="B1495" i="2"/>
  <c r="A1495" i="2"/>
  <c r="AI1494" i="2"/>
  <c r="AH1494" i="2"/>
  <c r="AG1494" i="2"/>
  <c r="AF1494" i="2"/>
  <c r="AE1494" i="2"/>
  <c r="AD1494" i="2"/>
  <c r="AC1494" i="2"/>
  <c r="AB1494" i="2"/>
  <c r="AA1494" i="2"/>
  <c r="Z1494" i="2"/>
  <c r="Y1494" i="2"/>
  <c r="X1494" i="2"/>
  <c r="W1494" i="2"/>
  <c r="V1494" i="2"/>
  <c r="U1494" i="2"/>
  <c r="T1494" i="2"/>
  <c r="S1494" i="2"/>
  <c r="R1494" i="2"/>
  <c r="Q1494" i="2"/>
  <c r="P1494" i="2"/>
  <c r="O1494" i="2"/>
  <c r="N1494" i="2"/>
  <c r="K1494" i="2"/>
  <c r="J1494" i="2"/>
  <c r="I1494" i="2"/>
  <c r="H1494" i="2"/>
  <c r="G1494" i="2"/>
  <c r="F1494" i="2"/>
  <c r="E1494" i="2"/>
  <c r="D1494" i="2"/>
  <c r="C1494" i="2"/>
  <c r="B1494" i="2"/>
  <c r="A1494" i="2"/>
  <c r="AH1493" i="2"/>
  <c r="AG1493" i="2"/>
  <c r="AF1493" i="2"/>
  <c r="AE1493" i="2"/>
  <c r="AD1493" i="2"/>
  <c r="AC1493" i="2"/>
  <c r="AB1493" i="2"/>
  <c r="AA1493" i="2"/>
  <c r="Z1493" i="2"/>
  <c r="Y1493" i="2"/>
  <c r="X1493" i="2"/>
  <c r="W1493" i="2"/>
  <c r="V1493" i="2"/>
  <c r="U1493" i="2"/>
  <c r="T1493" i="2"/>
  <c r="S1493" i="2"/>
  <c r="R1493" i="2"/>
  <c r="Q1493" i="2"/>
  <c r="P1493" i="2"/>
  <c r="O1493" i="2"/>
  <c r="N1493" i="2"/>
  <c r="K1493" i="2"/>
  <c r="J1493" i="2"/>
  <c r="I1493" i="2"/>
  <c r="H1493" i="2"/>
  <c r="G1493" i="2"/>
  <c r="F1493" i="2"/>
  <c r="E1493" i="2"/>
  <c r="D1493" i="2"/>
  <c r="C1493" i="2"/>
  <c r="B1493" i="2"/>
  <c r="A1493" i="2"/>
  <c r="AI1492" i="2"/>
  <c r="AG1492" i="2"/>
  <c r="AF1492" i="2"/>
  <c r="AE1492" i="2"/>
  <c r="AD1492" i="2"/>
  <c r="AC1492" i="2"/>
  <c r="AB1492" i="2"/>
  <c r="AA1492" i="2"/>
  <c r="Z1492" i="2"/>
  <c r="Y1492" i="2"/>
  <c r="X1492" i="2"/>
  <c r="W1492" i="2"/>
  <c r="V1492" i="2"/>
  <c r="U1492" i="2"/>
  <c r="T1492" i="2"/>
  <c r="S1492" i="2"/>
  <c r="R1492" i="2"/>
  <c r="Q1492" i="2"/>
  <c r="P1492" i="2"/>
  <c r="O1492" i="2"/>
  <c r="N1492" i="2"/>
  <c r="K1492" i="2"/>
  <c r="J1492" i="2"/>
  <c r="I1492" i="2"/>
  <c r="H1492" i="2"/>
  <c r="G1492" i="2"/>
  <c r="F1492" i="2"/>
  <c r="E1492" i="2"/>
  <c r="D1492" i="2"/>
  <c r="C1492" i="2"/>
  <c r="B1492" i="2"/>
  <c r="A1492" i="2"/>
  <c r="AI1491" i="2"/>
  <c r="AH1491" i="2"/>
  <c r="AG1491" i="2"/>
  <c r="AF1491" i="2"/>
  <c r="AE1491" i="2"/>
  <c r="AD1491" i="2"/>
  <c r="AC1491" i="2"/>
  <c r="AB1491" i="2"/>
  <c r="AA1491" i="2"/>
  <c r="Z1491" i="2"/>
  <c r="Y1491" i="2"/>
  <c r="X1491" i="2"/>
  <c r="W1491" i="2"/>
  <c r="V1491" i="2"/>
  <c r="U1491" i="2"/>
  <c r="T1491" i="2"/>
  <c r="S1491" i="2"/>
  <c r="R1491" i="2"/>
  <c r="Q1491" i="2"/>
  <c r="P1491" i="2"/>
  <c r="O1491" i="2"/>
  <c r="N1491" i="2"/>
  <c r="K1491" i="2"/>
  <c r="J1491" i="2"/>
  <c r="I1491" i="2"/>
  <c r="H1491" i="2"/>
  <c r="G1491" i="2"/>
  <c r="F1491" i="2"/>
  <c r="E1491" i="2"/>
  <c r="D1491" i="2"/>
  <c r="C1491" i="2"/>
  <c r="B1491" i="2"/>
  <c r="A1491" i="2"/>
  <c r="AI1490" i="2"/>
  <c r="AH1490" i="2"/>
  <c r="AG1490" i="2"/>
  <c r="AF1490" i="2"/>
  <c r="AE1490" i="2"/>
  <c r="AD1490" i="2"/>
  <c r="AC1490" i="2"/>
  <c r="AB1490" i="2"/>
  <c r="AA1490" i="2"/>
  <c r="Z1490" i="2"/>
  <c r="Y1490" i="2"/>
  <c r="X1490" i="2"/>
  <c r="V1490" i="2"/>
  <c r="U1490" i="2"/>
  <c r="T1490" i="2"/>
  <c r="S1490" i="2"/>
  <c r="R1490" i="2"/>
  <c r="Q1490" i="2"/>
  <c r="P1490" i="2"/>
  <c r="O1490" i="2"/>
  <c r="N1490" i="2"/>
  <c r="K1490" i="2"/>
  <c r="J1490" i="2"/>
  <c r="I1490" i="2"/>
  <c r="H1490" i="2"/>
  <c r="G1490" i="2"/>
  <c r="F1490" i="2"/>
  <c r="E1490" i="2"/>
  <c r="D1490" i="2"/>
  <c r="C1490" i="2"/>
  <c r="B1490" i="2"/>
  <c r="A1490" i="2"/>
  <c r="AI1489" i="2"/>
  <c r="AH1489" i="2"/>
  <c r="AG1489" i="2"/>
  <c r="AF1489" i="2"/>
  <c r="AE1489" i="2"/>
  <c r="AD1489" i="2"/>
  <c r="AC1489" i="2"/>
  <c r="AB1489" i="2"/>
  <c r="AA1489" i="2"/>
  <c r="Z1489" i="2"/>
  <c r="Y1489" i="2"/>
  <c r="X1489" i="2"/>
  <c r="T1489" i="2"/>
  <c r="S1489" i="2"/>
  <c r="R1489" i="2"/>
  <c r="Q1489" i="2"/>
  <c r="P1489" i="2"/>
  <c r="O1489" i="2"/>
  <c r="N1489" i="2"/>
  <c r="K1489" i="2"/>
  <c r="J1489" i="2"/>
  <c r="I1489" i="2"/>
  <c r="H1489" i="2"/>
  <c r="G1489" i="2"/>
  <c r="F1489" i="2"/>
  <c r="E1489" i="2"/>
  <c r="D1489" i="2"/>
  <c r="C1489" i="2"/>
  <c r="B1489" i="2"/>
  <c r="A1489" i="2"/>
  <c r="AI1488" i="2"/>
  <c r="AH1488" i="2"/>
  <c r="AF1488" i="2"/>
  <c r="AE1488" i="2"/>
  <c r="AD1488" i="2"/>
  <c r="AC1488" i="2"/>
  <c r="AA1488" i="2"/>
  <c r="Z1488" i="2"/>
  <c r="Y1488" i="2"/>
  <c r="X1488" i="2"/>
  <c r="W1488" i="2"/>
  <c r="V1488" i="2"/>
  <c r="U1488" i="2"/>
  <c r="T1488" i="2"/>
  <c r="S1488" i="2"/>
  <c r="R1488" i="2"/>
  <c r="Q1488" i="2"/>
  <c r="P1488" i="2"/>
  <c r="O1488" i="2"/>
  <c r="N1488" i="2"/>
  <c r="K1488" i="2"/>
  <c r="J1488" i="2"/>
  <c r="I1488" i="2"/>
  <c r="H1488" i="2"/>
  <c r="G1488" i="2"/>
  <c r="F1488" i="2"/>
  <c r="E1488" i="2"/>
  <c r="D1488" i="2"/>
  <c r="C1488" i="2"/>
  <c r="B1488" i="2"/>
  <c r="A1488" i="2"/>
  <c r="AI1487" i="2"/>
  <c r="AH1487" i="2"/>
  <c r="AG1487" i="2"/>
  <c r="AF1487" i="2"/>
  <c r="AE1487" i="2"/>
  <c r="AD1487" i="2"/>
  <c r="AC1487" i="2"/>
  <c r="AB1487" i="2"/>
  <c r="AA1487" i="2"/>
  <c r="Z1487" i="2"/>
  <c r="Y1487" i="2"/>
  <c r="X1487" i="2"/>
  <c r="W1487" i="2"/>
  <c r="V1487" i="2"/>
  <c r="U1487" i="2"/>
  <c r="T1487" i="2"/>
  <c r="S1487" i="2"/>
  <c r="R1487" i="2"/>
  <c r="Q1487" i="2"/>
  <c r="P1487" i="2"/>
  <c r="O1487" i="2"/>
  <c r="N1487" i="2"/>
  <c r="K1487" i="2"/>
  <c r="J1487" i="2"/>
  <c r="I1487" i="2"/>
  <c r="H1487" i="2"/>
  <c r="G1487" i="2"/>
  <c r="F1487" i="2"/>
  <c r="E1487" i="2"/>
  <c r="D1487" i="2"/>
  <c r="C1487" i="2"/>
  <c r="B1487" i="2"/>
  <c r="A1487" i="2"/>
  <c r="AI1486" i="2"/>
  <c r="AH1486" i="2"/>
  <c r="AG1486" i="2"/>
  <c r="AF1486" i="2"/>
  <c r="AE1486" i="2"/>
  <c r="AD1486" i="2"/>
  <c r="AC1486" i="2"/>
  <c r="AB1486" i="2"/>
  <c r="AA1486" i="2"/>
  <c r="Z1486" i="2"/>
  <c r="Y1486" i="2"/>
  <c r="X1486" i="2"/>
  <c r="W1486" i="2"/>
  <c r="V1486" i="2"/>
  <c r="U1486" i="2"/>
  <c r="T1486" i="2"/>
  <c r="S1486" i="2"/>
  <c r="R1486" i="2"/>
  <c r="Q1486" i="2"/>
  <c r="P1486" i="2"/>
  <c r="O1486" i="2"/>
  <c r="N1486" i="2"/>
  <c r="K1486" i="2"/>
  <c r="J1486" i="2"/>
  <c r="I1486" i="2"/>
  <c r="H1486" i="2"/>
  <c r="G1486" i="2"/>
  <c r="F1486" i="2"/>
  <c r="E1486" i="2"/>
  <c r="D1486" i="2"/>
  <c r="C1486" i="2"/>
  <c r="B1486" i="2"/>
  <c r="A1486" i="2"/>
  <c r="AH1485" i="2"/>
  <c r="AG1485" i="2"/>
  <c r="AF1485" i="2"/>
  <c r="AE1485" i="2"/>
  <c r="AD1485" i="2"/>
  <c r="AC1485" i="2"/>
  <c r="AA1485" i="2"/>
  <c r="Z1485" i="2"/>
  <c r="Y1485" i="2"/>
  <c r="X1485" i="2"/>
  <c r="W1485" i="2"/>
  <c r="V1485" i="2"/>
  <c r="U1485" i="2"/>
  <c r="T1485" i="2"/>
  <c r="S1485" i="2"/>
  <c r="R1485" i="2"/>
  <c r="Q1485" i="2"/>
  <c r="P1485" i="2"/>
  <c r="O1485" i="2"/>
  <c r="N1485" i="2"/>
  <c r="K1485" i="2"/>
  <c r="J1485" i="2"/>
  <c r="I1485" i="2"/>
  <c r="H1485" i="2"/>
  <c r="G1485" i="2"/>
  <c r="F1485" i="2"/>
  <c r="E1485" i="2"/>
  <c r="D1485" i="2"/>
  <c r="C1485" i="2"/>
  <c r="B1485" i="2"/>
  <c r="A1485" i="2"/>
  <c r="AI1484" i="2"/>
  <c r="AH1484" i="2"/>
  <c r="AG1484" i="2"/>
  <c r="AF1484" i="2"/>
  <c r="AE1484" i="2"/>
  <c r="AD1484" i="2"/>
  <c r="AC1484" i="2"/>
  <c r="AB1484" i="2"/>
  <c r="AA1484" i="2"/>
  <c r="Z1484" i="2"/>
  <c r="Y1484" i="2"/>
  <c r="X1484" i="2"/>
  <c r="W1484" i="2"/>
  <c r="V1484" i="2"/>
  <c r="U1484" i="2"/>
  <c r="T1484" i="2"/>
  <c r="S1484" i="2"/>
  <c r="R1484" i="2"/>
  <c r="Q1484" i="2"/>
  <c r="P1484" i="2"/>
  <c r="O1484" i="2"/>
  <c r="N1484" i="2"/>
  <c r="K1484" i="2"/>
  <c r="J1484" i="2"/>
  <c r="I1484" i="2"/>
  <c r="H1484" i="2"/>
  <c r="G1484" i="2"/>
  <c r="F1484" i="2"/>
  <c r="E1484" i="2"/>
  <c r="D1484" i="2"/>
  <c r="C1484" i="2"/>
  <c r="B1484" i="2"/>
  <c r="A1484" i="2"/>
  <c r="AI1483" i="2"/>
  <c r="AH1483" i="2"/>
  <c r="AG1483" i="2"/>
  <c r="AF1483" i="2"/>
  <c r="AE1483" i="2"/>
  <c r="AD1483" i="2"/>
  <c r="AC1483" i="2"/>
  <c r="AB1483" i="2"/>
  <c r="AA1483" i="2"/>
  <c r="Z1483" i="2"/>
  <c r="Y1483" i="2"/>
  <c r="X1483" i="2"/>
  <c r="W1483" i="2"/>
  <c r="V1483" i="2"/>
  <c r="U1483" i="2"/>
  <c r="T1483" i="2"/>
  <c r="S1483" i="2"/>
  <c r="R1483" i="2"/>
  <c r="Q1483" i="2"/>
  <c r="P1483" i="2"/>
  <c r="O1483" i="2"/>
  <c r="N1483" i="2"/>
  <c r="K1483" i="2"/>
  <c r="J1483" i="2"/>
  <c r="I1483" i="2"/>
  <c r="H1483" i="2"/>
  <c r="G1483" i="2"/>
  <c r="F1483" i="2"/>
  <c r="E1483" i="2"/>
  <c r="D1483" i="2"/>
  <c r="C1483" i="2"/>
  <c r="B1483" i="2"/>
  <c r="A1483" i="2"/>
  <c r="AI1482" i="2"/>
  <c r="AH1482" i="2"/>
  <c r="AG1482" i="2"/>
  <c r="AF1482" i="2"/>
  <c r="AE1482" i="2"/>
  <c r="AD1482" i="2"/>
  <c r="AC1482" i="2"/>
  <c r="AA1482" i="2"/>
  <c r="Z1482" i="2"/>
  <c r="Y1482" i="2"/>
  <c r="X1482" i="2"/>
  <c r="W1482" i="2"/>
  <c r="V1482" i="2"/>
  <c r="U1482" i="2"/>
  <c r="T1482" i="2"/>
  <c r="S1482" i="2"/>
  <c r="R1482" i="2"/>
  <c r="Q1482" i="2"/>
  <c r="P1482" i="2"/>
  <c r="O1482" i="2"/>
  <c r="N1482" i="2"/>
  <c r="K1482" i="2"/>
  <c r="J1482" i="2"/>
  <c r="I1482" i="2"/>
  <c r="H1482" i="2"/>
  <c r="G1482" i="2"/>
  <c r="F1482" i="2"/>
  <c r="E1482" i="2"/>
  <c r="D1482" i="2"/>
  <c r="C1482" i="2"/>
  <c r="B1482" i="2"/>
  <c r="A1482" i="2"/>
  <c r="AI1481" i="2"/>
  <c r="AH1481" i="2"/>
  <c r="AG1481" i="2"/>
  <c r="AF1481" i="2"/>
  <c r="AE1481" i="2"/>
  <c r="AD1481" i="2"/>
  <c r="AC1481" i="2"/>
  <c r="AB1481" i="2"/>
  <c r="AA1481" i="2"/>
  <c r="Z1481" i="2"/>
  <c r="Y1481" i="2"/>
  <c r="X1481" i="2"/>
  <c r="V1481" i="2"/>
  <c r="U1481" i="2"/>
  <c r="T1481" i="2"/>
  <c r="S1481" i="2"/>
  <c r="R1481" i="2"/>
  <c r="Q1481" i="2"/>
  <c r="P1481" i="2"/>
  <c r="O1481" i="2"/>
  <c r="N1481" i="2"/>
  <c r="K1481" i="2"/>
  <c r="J1481" i="2"/>
  <c r="I1481" i="2"/>
  <c r="H1481" i="2"/>
  <c r="G1481" i="2"/>
  <c r="F1481" i="2"/>
  <c r="E1481" i="2"/>
  <c r="D1481" i="2"/>
  <c r="C1481" i="2"/>
  <c r="B1481" i="2"/>
  <c r="A1481" i="2"/>
  <c r="AI1480" i="2"/>
  <c r="AH1480" i="2"/>
  <c r="AG1480" i="2"/>
  <c r="AF1480" i="2"/>
  <c r="AE1480" i="2"/>
  <c r="AD1480" i="2"/>
  <c r="AC1480" i="2"/>
  <c r="AB1480" i="2"/>
  <c r="AA1480" i="2"/>
  <c r="Z1480" i="2"/>
  <c r="Y1480" i="2"/>
  <c r="X1480" i="2"/>
  <c r="W1480" i="2"/>
  <c r="V1480" i="2"/>
  <c r="U1480" i="2"/>
  <c r="T1480" i="2"/>
  <c r="S1480" i="2"/>
  <c r="R1480" i="2"/>
  <c r="Q1480" i="2"/>
  <c r="P1480" i="2"/>
  <c r="O1480" i="2"/>
  <c r="N1480" i="2"/>
  <c r="M1480" i="2"/>
  <c r="L1480" i="2"/>
  <c r="K1480" i="2"/>
  <c r="J1480" i="2"/>
  <c r="I1480" i="2"/>
  <c r="H1480" i="2"/>
  <c r="G1480" i="2"/>
  <c r="F1480" i="2"/>
  <c r="E1480" i="2"/>
  <c r="D1480" i="2"/>
  <c r="C1480" i="2"/>
  <c r="B1480" i="2"/>
  <c r="A1480" i="2"/>
  <c r="AJ1479" i="2"/>
  <c r="AI1479" i="2"/>
  <c r="AH1479" i="2"/>
  <c r="AG1479" i="2"/>
  <c r="AF1479" i="2"/>
  <c r="AE1479" i="2"/>
  <c r="AD1479" i="2"/>
  <c r="AC1479" i="2"/>
  <c r="AB1479" i="2"/>
  <c r="AA1479" i="2"/>
  <c r="Z1479" i="2"/>
  <c r="Y1479" i="2"/>
  <c r="W1479" i="2"/>
  <c r="V1479" i="2"/>
  <c r="U1479" i="2"/>
  <c r="T1479" i="2"/>
  <c r="S1479" i="2"/>
  <c r="R1479" i="2"/>
  <c r="Q1479" i="2"/>
  <c r="P1479" i="2"/>
  <c r="O1479" i="2"/>
  <c r="N1479" i="2"/>
  <c r="K1479" i="2"/>
  <c r="J1479" i="2"/>
  <c r="I1479" i="2"/>
  <c r="H1479" i="2"/>
  <c r="G1479" i="2"/>
  <c r="F1479" i="2"/>
  <c r="E1479" i="2"/>
  <c r="D1479" i="2"/>
  <c r="C1479" i="2"/>
  <c r="B1479" i="2"/>
  <c r="A1479" i="2"/>
  <c r="AI1478" i="2"/>
  <c r="AH1478" i="2"/>
  <c r="AG1478" i="2"/>
  <c r="AF1478" i="2"/>
  <c r="AE1478" i="2"/>
  <c r="AD1478" i="2"/>
  <c r="AC1478" i="2"/>
  <c r="AB1478" i="2"/>
  <c r="AA1478" i="2"/>
  <c r="Z1478" i="2"/>
  <c r="Y1478" i="2"/>
  <c r="X1478" i="2"/>
  <c r="U1478" i="2"/>
  <c r="T1478" i="2"/>
  <c r="S1478" i="2"/>
  <c r="R1478" i="2"/>
  <c r="Q1478" i="2"/>
  <c r="P1478" i="2"/>
  <c r="O1478" i="2"/>
  <c r="N1478" i="2"/>
  <c r="K1478" i="2"/>
  <c r="J1478" i="2"/>
  <c r="I1478" i="2"/>
  <c r="H1478" i="2"/>
  <c r="G1478" i="2"/>
  <c r="F1478" i="2"/>
  <c r="E1478" i="2"/>
  <c r="D1478" i="2"/>
  <c r="C1478" i="2"/>
  <c r="B1478" i="2"/>
  <c r="A1478" i="2"/>
  <c r="AI1477" i="2"/>
  <c r="AH1477" i="2"/>
  <c r="AG1477" i="2"/>
  <c r="AF1477" i="2"/>
  <c r="AE1477" i="2"/>
  <c r="AD1477" i="2"/>
  <c r="AC1477" i="2"/>
  <c r="AB1477" i="2"/>
  <c r="AA1477" i="2"/>
  <c r="Z1477" i="2"/>
  <c r="Y1477" i="2"/>
  <c r="X1477" i="2"/>
  <c r="W1477" i="2"/>
  <c r="V1477" i="2"/>
  <c r="U1477" i="2"/>
  <c r="T1477" i="2"/>
  <c r="S1477" i="2"/>
  <c r="R1477" i="2"/>
  <c r="Q1477" i="2"/>
  <c r="P1477" i="2"/>
  <c r="O1477" i="2"/>
  <c r="N1477" i="2"/>
  <c r="K1477" i="2"/>
  <c r="J1477" i="2"/>
  <c r="I1477" i="2"/>
  <c r="H1477" i="2"/>
  <c r="G1477" i="2"/>
  <c r="F1477" i="2"/>
  <c r="E1477" i="2"/>
  <c r="D1477" i="2"/>
  <c r="C1477" i="2"/>
  <c r="B1477" i="2"/>
  <c r="A1477" i="2"/>
  <c r="AI1476" i="2"/>
  <c r="AH1476" i="2"/>
  <c r="AG1476" i="2"/>
  <c r="AF1476" i="2"/>
  <c r="AE1476" i="2"/>
  <c r="AD1476" i="2"/>
  <c r="AC1476" i="2"/>
  <c r="AB1476" i="2"/>
  <c r="AA1476" i="2"/>
  <c r="Z1476" i="2"/>
  <c r="Y1476" i="2"/>
  <c r="X1476" i="2"/>
  <c r="W1476" i="2"/>
  <c r="V1476" i="2"/>
  <c r="U1476" i="2"/>
  <c r="T1476" i="2"/>
  <c r="S1476" i="2"/>
  <c r="R1476" i="2"/>
  <c r="Q1476" i="2"/>
  <c r="P1476" i="2"/>
  <c r="O1476" i="2"/>
  <c r="N1476" i="2"/>
  <c r="K1476" i="2"/>
  <c r="J1476" i="2"/>
  <c r="I1476" i="2"/>
  <c r="H1476" i="2"/>
  <c r="G1476" i="2"/>
  <c r="F1476" i="2"/>
  <c r="E1476" i="2"/>
  <c r="D1476" i="2"/>
  <c r="C1476" i="2"/>
  <c r="B1476" i="2"/>
  <c r="A1476" i="2"/>
  <c r="AI1475" i="2"/>
  <c r="AH1475" i="2"/>
  <c r="AG1475" i="2"/>
  <c r="AF1475" i="2"/>
  <c r="AE1475" i="2"/>
  <c r="AD1475" i="2"/>
  <c r="AC1475" i="2"/>
  <c r="AB1475" i="2"/>
  <c r="AA1475" i="2"/>
  <c r="Z1475" i="2"/>
  <c r="Y1475" i="2"/>
  <c r="X1475" i="2"/>
  <c r="W1475" i="2"/>
  <c r="V1475" i="2"/>
  <c r="U1475" i="2"/>
  <c r="T1475" i="2"/>
  <c r="S1475" i="2"/>
  <c r="R1475" i="2"/>
  <c r="Q1475" i="2"/>
  <c r="P1475" i="2"/>
  <c r="O1475" i="2"/>
  <c r="N1475" i="2"/>
  <c r="K1475" i="2"/>
  <c r="J1475" i="2"/>
  <c r="I1475" i="2"/>
  <c r="H1475" i="2"/>
  <c r="G1475" i="2"/>
  <c r="F1475" i="2"/>
  <c r="E1475" i="2"/>
  <c r="D1475" i="2"/>
  <c r="C1475" i="2"/>
  <c r="B1475" i="2"/>
  <c r="A1475" i="2"/>
  <c r="AI1474" i="2"/>
  <c r="AH1474" i="2"/>
  <c r="AG1474" i="2"/>
  <c r="AF1474" i="2"/>
  <c r="AE1474" i="2"/>
  <c r="AD1474" i="2"/>
  <c r="AC1474" i="2"/>
  <c r="AA1474" i="2"/>
  <c r="Z1474" i="2"/>
  <c r="Y1474" i="2"/>
  <c r="X1474" i="2"/>
  <c r="T1474" i="2"/>
  <c r="S1474" i="2"/>
  <c r="R1474" i="2"/>
  <c r="Q1474" i="2"/>
  <c r="P1474" i="2"/>
  <c r="O1474" i="2"/>
  <c r="N1474" i="2"/>
  <c r="K1474" i="2"/>
  <c r="J1474" i="2"/>
  <c r="I1474" i="2"/>
  <c r="H1474" i="2"/>
  <c r="G1474" i="2"/>
  <c r="F1474" i="2"/>
  <c r="E1474" i="2"/>
  <c r="D1474" i="2"/>
  <c r="C1474" i="2"/>
  <c r="B1474" i="2"/>
  <c r="A1474" i="2"/>
  <c r="AI1473" i="2"/>
  <c r="AH1473" i="2"/>
  <c r="AG1473" i="2"/>
  <c r="AF1473" i="2"/>
  <c r="AE1473" i="2"/>
  <c r="AD1473" i="2"/>
  <c r="AC1473" i="2"/>
  <c r="AB1473" i="2"/>
  <c r="AA1473" i="2"/>
  <c r="Z1473" i="2"/>
  <c r="Y1473" i="2"/>
  <c r="X1473" i="2"/>
  <c r="W1473" i="2"/>
  <c r="V1473" i="2"/>
  <c r="U1473" i="2"/>
  <c r="T1473" i="2"/>
  <c r="S1473" i="2"/>
  <c r="R1473" i="2"/>
  <c r="Q1473" i="2"/>
  <c r="P1473" i="2"/>
  <c r="O1473" i="2"/>
  <c r="N1473" i="2"/>
  <c r="K1473" i="2"/>
  <c r="J1473" i="2"/>
  <c r="I1473" i="2"/>
  <c r="H1473" i="2"/>
  <c r="G1473" i="2"/>
  <c r="F1473" i="2"/>
  <c r="E1473" i="2"/>
  <c r="D1473" i="2"/>
  <c r="C1473" i="2"/>
  <c r="B1473" i="2"/>
  <c r="A1473" i="2"/>
  <c r="AI1472" i="2"/>
  <c r="AH1472" i="2"/>
  <c r="AG1472" i="2"/>
  <c r="AF1472" i="2"/>
  <c r="AE1472" i="2"/>
  <c r="AD1472" i="2"/>
  <c r="AC1472" i="2"/>
  <c r="AB1472" i="2"/>
  <c r="AA1472" i="2"/>
  <c r="Z1472" i="2"/>
  <c r="Y1472" i="2"/>
  <c r="X1472" i="2"/>
  <c r="W1472" i="2"/>
  <c r="V1472" i="2"/>
  <c r="U1472" i="2"/>
  <c r="T1472" i="2"/>
  <c r="S1472" i="2"/>
  <c r="R1472" i="2"/>
  <c r="Q1472" i="2"/>
  <c r="P1472" i="2"/>
  <c r="O1472" i="2"/>
  <c r="N1472" i="2"/>
  <c r="K1472" i="2"/>
  <c r="J1472" i="2"/>
  <c r="I1472" i="2"/>
  <c r="H1472" i="2"/>
  <c r="G1472" i="2"/>
  <c r="F1472" i="2"/>
  <c r="E1472" i="2"/>
  <c r="D1472" i="2"/>
  <c r="C1472" i="2"/>
  <c r="B1472" i="2"/>
  <c r="A1472" i="2"/>
  <c r="AI1471" i="2"/>
  <c r="AH1471" i="2"/>
  <c r="AG1471" i="2"/>
  <c r="AF1471" i="2"/>
  <c r="AE1471" i="2"/>
  <c r="AD1471" i="2"/>
  <c r="AC1471" i="2"/>
  <c r="AB1471" i="2"/>
  <c r="AA1471" i="2"/>
  <c r="Z1471" i="2"/>
  <c r="Y1471" i="2"/>
  <c r="X1471" i="2"/>
  <c r="W1471" i="2"/>
  <c r="V1471" i="2"/>
  <c r="U1471" i="2"/>
  <c r="T1471" i="2"/>
  <c r="S1471" i="2"/>
  <c r="R1471" i="2"/>
  <c r="Q1471" i="2"/>
  <c r="P1471" i="2"/>
  <c r="O1471" i="2"/>
  <c r="N1471" i="2"/>
  <c r="K1471" i="2"/>
  <c r="J1471" i="2"/>
  <c r="I1471" i="2"/>
  <c r="H1471" i="2"/>
  <c r="G1471" i="2"/>
  <c r="F1471" i="2"/>
  <c r="E1471" i="2"/>
  <c r="D1471" i="2"/>
  <c r="C1471" i="2"/>
  <c r="B1471" i="2"/>
  <c r="A1471" i="2"/>
  <c r="AI1470" i="2"/>
  <c r="AH1470" i="2"/>
  <c r="AG1470" i="2"/>
  <c r="AF1470" i="2"/>
  <c r="AE1470" i="2"/>
  <c r="AD1470" i="2"/>
  <c r="AC1470" i="2"/>
  <c r="AB1470" i="2"/>
  <c r="AA1470" i="2"/>
  <c r="Z1470" i="2"/>
  <c r="Y1470" i="2"/>
  <c r="X1470" i="2"/>
  <c r="W1470" i="2"/>
  <c r="V1470" i="2"/>
  <c r="U1470" i="2"/>
  <c r="T1470" i="2"/>
  <c r="S1470" i="2"/>
  <c r="R1470" i="2"/>
  <c r="Q1470" i="2"/>
  <c r="P1470" i="2"/>
  <c r="O1470" i="2"/>
  <c r="N1470" i="2"/>
  <c r="K1470" i="2"/>
  <c r="J1470" i="2"/>
  <c r="I1470" i="2"/>
  <c r="H1470" i="2"/>
  <c r="G1470" i="2"/>
  <c r="F1470" i="2"/>
  <c r="E1470" i="2"/>
  <c r="D1470" i="2"/>
  <c r="C1470" i="2"/>
  <c r="B1470" i="2"/>
  <c r="A1470" i="2"/>
  <c r="AI1469" i="2"/>
  <c r="AH1469" i="2"/>
  <c r="AG1469" i="2"/>
  <c r="AF1469" i="2"/>
  <c r="AE1469" i="2"/>
  <c r="AD1469" i="2"/>
  <c r="AC1469" i="2"/>
  <c r="AB1469" i="2"/>
  <c r="AA1469" i="2"/>
  <c r="Z1469" i="2"/>
  <c r="Y1469" i="2"/>
  <c r="X1469" i="2"/>
  <c r="W1469" i="2"/>
  <c r="V1469" i="2"/>
  <c r="U1469" i="2"/>
  <c r="T1469" i="2"/>
  <c r="S1469" i="2"/>
  <c r="R1469" i="2"/>
  <c r="Q1469" i="2"/>
  <c r="P1469" i="2"/>
  <c r="O1469" i="2"/>
  <c r="N1469" i="2"/>
  <c r="K1469" i="2"/>
  <c r="J1469" i="2"/>
  <c r="I1469" i="2"/>
  <c r="H1469" i="2"/>
  <c r="G1469" i="2"/>
  <c r="F1469" i="2"/>
  <c r="E1469" i="2"/>
  <c r="D1469" i="2"/>
  <c r="C1469" i="2"/>
  <c r="B1469" i="2"/>
  <c r="A1469" i="2"/>
  <c r="AI1468" i="2"/>
  <c r="AH1468" i="2"/>
  <c r="AG1468" i="2"/>
  <c r="AF1468" i="2"/>
  <c r="AE1468" i="2"/>
  <c r="AD1468" i="2"/>
  <c r="AC1468" i="2"/>
  <c r="AA1468" i="2"/>
  <c r="Z1468" i="2"/>
  <c r="Y1468" i="2"/>
  <c r="X1468" i="2"/>
  <c r="W1468" i="2"/>
  <c r="V1468" i="2"/>
  <c r="U1468" i="2"/>
  <c r="T1468" i="2"/>
  <c r="S1468" i="2"/>
  <c r="R1468" i="2"/>
  <c r="Q1468" i="2"/>
  <c r="P1468" i="2"/>
  <c r="O1468" i="2"/>
  <c r="N1468" i="2"/>
  <c r="K1468" i="2"/>
  <c r="J1468" i="2"/>
  <c r="I1468" i="2"/>
  <c r="H1468" i="2"/>
  <c r="G1468" i="2"/>
  <c r="F1468" i="2"/>
  <c r="E1468" i="2"/>
  <c r="D1468" i="2"/>
  <c r="C1468" i="2"/>
  <c r="B1468" i="2"/>
  <c r="A1468" i="2"/>
  <c r="AI1467" i="2"/>
  <c r="AH1467" i="2"/>
  <c r="AG1467" i="2"/>
  <c r="AF1467" i="2"/>
  <c r="AE1467" i="2"/>
  <c r="AD1467" i="2"/>
  <c r="AC1467" i="2"/>
  <c r="AA1467" i="2"/>
  <c r="Z1467" i="2"/>
  <c r="Y1467" i="2"/>
  <c r="X1467" i="2"/>
  <c r="W1467" i="2"/>
  <c r="V1467" i="2"/>
  <c r="U1467" i="2"/>
  <c r="T1467" i="2"/>
  <c r="S1467" i="2"/>
  <c r="R1467" i="2"/>
  <c r="Q1467" i="2"/>
  <c r="P1467" i="2"/>
  <c r="O1467" i="2"/>
  <c r="N1467" i="2"/>
  <c r="K1467" i="2"/>
  <c r="J1467" i="2"/>
  <c r="I1467" i="2"/>
  <c r="H1467" i="2"/>
  <c r="G1467" i="2"/>
  <c r="F1467" i="2"/>
  <c r="E1467" i="2"/>
  <c r="D1467" i="2"/>
  <c r="C1467" i="2"/>
  <c r="B1467" i="2"/>
  <c r="A1467" i="2"/>
  <c r="AI1466" i="2"/>
  <c r="AH1466" i="2"/>
  <c r="AG1466" i="2"/>
  <c r="AF1466" i="2"/>
  <c r="AE1466" i="2"/>
  <c r="AD1466" i="2"/>
  <c r="AC1466" i="2"/>
  <c r="AB1466" i="2"/>
  <c r="AA1466" i="2"/>
  <c r="Z1466" i="2"/>
  <c r="Y1466" i="2"/>
  <c r="X1466" i="2"/>
  <c r="W1466" i="2"/>
  <c r="V1466" i="2"/>
  <c r="U1466" i="2"/>
  <c r="T1466" i="2"/>
  <c r="S1466" i="2"/>
  <c r="R1466" i="2"/>
  <c r="Q1466" i="2"/>
  <c r="P1466" i="2"/>
  <c r="O1466" i="2"/>
  <c r="N1466" i="2"/>
  <c r="K1466" i="2"/>
  <c r="J1466" i="2"/>
  <c r="I1466" i="2"/>
  <c r="H1466" i="2"/>
  <c r="G1466" i="2"/>
  <c r="F1466" i="2"/>
  <c r="E1466" i="2"/>
  <c r="D1466" i="2"/>
  <c r="C1466" i="2"/>
  <c r="B1466" i="2"/>
  <c r="A1466" i="2"/>
  <c r="AI1465" i="2"/>
  <c r="AH1465" i="2"/>
  <c r="AG1465" i="2"/>
  <c r="AF1465" i="2"/>
  <c r="AE1465" i="2"/>
  <c r="AD1465" i="2"/>
  <c r="AC1465" i="2"/>
  <c r="AB1465" i="2"/>
  <c r="AA1465" i="2"/>
  <c r="Z1465" i="2"/>
  <c r="Y1465" i="2"/>
  <c r="X1465" i="2"/>
  <c r="W1465" i="2"/>
  <c r="V1465" i="2"/>
  <c r="U1465" i="2"/>
  <c r="T1465" i="2"/>
  <c r="S1465" i="2"/>
  <c r="R1465" i="2"/>
  <c r="Q1465" i="2"/>
  <c r="P1465" i="2"/>
  <c r="O1465" i="2"/>
  <c r="N1465" i="2"/>
  <c r="K1465" i="2"/>
  <c r="J1465" i="2"/>
  <c r="I1465" i="2"/>
  <c r="H1465" i="2"/>
  <c r="G1465" i="2"/>
  <c r="F1465" i="2"/>
  <c r="E1465" i="2"/>
  <c r="D1465" i="2"/>
  <c r="C1465" i="2"/>
  <c r="B1465" i="2"/>
  <c r="A1465" i="2"/>
  <c r="AI1464" i="2"/>
  <c r="AH1464" i="2"/>
  <c r="AG1464" i="2"/>
  <c r="AF1464" i="2"/>
  <c r="AE1464" i="2"/>
  <c r="AD1464" i="2"/>
  <c r="AC1464" i="2"/>
  <c r="AB1464" i="2"/>
  <c r="AA1464" i="2"/>
  <c r="Z1464" i="2"/>
  <c r="Y1464" i="2"/>
  <c r="X1464" i="2"/>
  <c r="W1464" i="2"/>
  <c r="V1464" i="2"/>
  <c r="U1464" i="2"/>
  <c r="T1464" i="2"/>
  <c r="S1464" i="2"/>
  <c r="R1464" i="2"/>
  <c r="Q1464" i="2"/>
  <c r="P1464" i="2"/>
  <c r="O1464" i="2"/>
  <c r="N1464" i="2"/>
  <c r="K1464" i="2"/>
  <c r="J1464" i="2"/>
  <c r="I1464" i="2"/>
  <c r="H1464" i="2"/>
  <c r="G1464" i="2"/>
  <c r="F1464" i="2"/>
  <c r="E1464" i="2"/>
  <c r="D1464" i="2"/>
  <c r="C1464" i="2"/>
  <c r="B1464" i="2"/>
  <c r="A1464" i="2"/>
  <c r="AH1463" i="2"/>
  <c r="AG1463" i="2"/>
  <c r="AF1463" i="2"/>
  <c r="AE1463" i="2"/>
  <c r="AD1463" i="2"/>
  <c r="AC1463" i="2"/>
  <c r="AB1463" i="2"/>
  <c r="AA1463" i="2"/>
  <c r="Z1463" i="2"/>
  <c r="Y1463" i="2"/>
  <c r="X1463" i="2"/>
  <c r="W1463" i="2"/>
  <c r="V1463" i="2"/>
  <c r="U1463" i="2"/>
  <c r="T1463" i="2"/>
  <c r="S1463" i="2"/>
  <c r="R1463" i="2"/>
  <c r="Q1463" i="2"/>
  <c r="P1463" i="2"/>
  <c r="O1463" i="2"/>
  <c r="N1463" i="2"/>
  <c r="K1463" i="2"/>
  <c r="J1463" i="2"/>
  <c r="I1463" i="2"/>
  <c r="H1463" i="2"/>
  <c r="G1463" i="2"/>
  <c r="F1463" i="2"/>
  <c r="E1463" i="2"/>
  <c r="D1463" i="2"/>
  <c r="C1463" i="2"/>
  <c r="B1463" i="2"/>
  <c r="A1463" i="2"/>
  <c r="AI1462" i="2"/>
  <c r="AH1462" i="2"/>
  <c r="AG1462" i="2"/>
  <c r="AF1462" i="2"/>
  <c r="AE1462" i="2"/>
  <c r="AD1462" i="2"/>
  <c r="AC1462" i="2"/>
  <c r="AB1462" i="2"/>
  <c r="AA1462" i="2"/>
  <c r="Z1462" i="2"/>
  <c r="Y1462" i="2"/>
  <c r="X1462" i="2"/>
  <c r="W1462" i="2"/>
  <c r="V1462" i="2"/>
  <c r="U1462" i="2"/>
  <c r="T1462" i="2"/>
  <c r="S1462" i="2"/>
  <c r="R1462" i="2"/>
  <c r="Q1462" i="2"/>
  <c r="P1462" i="2"/>
  <c r="O1462" i="2"/>
  <c r="N1462" i="2"/>
  <c r="K1462" i="2"/>
  <c r="J1462" i="2"/>
  <c r="I1462" i="2"/>
  <c r="H1462" i="2"/>
  <c r="G1462" i="2"/>
  <c r="F1462" i="2"/>
  <c r="E1462" i="2"/>
  <c r="D1462" i="2"/>
  <c r="C1462" i="2"/>
  <c r="B1462" i="2"/>
  <c r="A1462" i="2"/>
  <c r="AI1461" i="2"/>
  <c r="AH1461" i="2"/>
  <c r="AG1461" i="2"/>
  <c r="AF1461" i="2"/>
  <c r="AE1461" i="2"/>
  <c r="AD1461" i="2"/>
  <c r="AC1461" i="2"/>
  <c r="AB1461" i="2"/>
  <c r="AA1461" i="2"/>
  <c r="Z1461" i="2"/>
  <c r="Y1461" i="2"/>
  <c r="X1461" i="2"/>
  <c r="W1461" i="2"/>
  <c r="V1461" i="2"/>
  <c r="U1461" i="2"/>
  <c r="T1461" i="2"/>
  <c r="S1461" i="2"/>
  <c r="R1461" i="2"/>
  <c r="Q1461" i="2"/>
  <c r="P1461" i="2"/>
  <c r="O1461" i="2"/>
  <c r="N1461" i="2"/>
  <c r="K1461" i="2"/>
  <c r="J1461" i="2"/>
  <c r="I1461" i="2"/>
  <c r="H1461" i="2"/>
  <c r="G1461" i="2"/>
  <c r="F1461" i="2"/>
  <c r="E1461" i="2"/>
  <c r="D1461" i="2"/>
  <c r="C1461" i="2"/>
  <c r="B1461" i="2"/>
  <c r="A1461" i="2"/>
  <c r="AI1460" i="2"/>
  <c r="AH1460" i="2"/>
  <c r="AF1460" i="2"/>
  <c r="AE1460" i="2"/>
  <c r="AD1460" i="2"/>
  <c r="AC1460" i="2"/>
  <c r="AB1460" i="2"/>
  <c r="AA1460" i="2"/>
  <c r="Z1460" i="2"/>
  <c r="Y1460" i="2"/>
  <c r="X1460" i="2"/>
  <c r="W1460" i="2"/>
  <c r="V1460" i="2"/>
  <c r="U1460" i="2"/>
  <c r="T1460" i="2"/>
  <c r="S1460" i="2"/>
  <c r="R1460" i="2"/>
  <c r="Q1460" i="2"/>
  <c r="P1460" i="2"/>
  <c r="O1460" i="2"/>
  <c r="N1460" i="2"/>
  <c r="K1460" i="2"/>
  <c r="J1460" i="2"/>
  <c r="I1460" i="2"/>
  <c r="H1460" i="2"/>
  <c r="G1460" i="2"/>
  <c r="F1460" i="2"/>
  <c r="E1460" i="2"/>
  <c r="D1460" i="2"/>
  <c r="C1460" i="2"/>
  <c r="B1460" i="2"/>
  <c r="A1460" i="2"/>
  <c r="AI1459" i="2"/>
  <c r="AH1459" i="2"/>
  <c r="AF1459" i="2"/>
  <c r="AE1459" i="2"/>
  <c r="AD1459" i="2"/>
  <c r="AC1459" i="2"/>
  <c r="AB1459" i="2"/>
  <c r="AA1459" i="2"/>
  <c r="Z1459" i="2"/>
  <c r="Y1459" i="2"/>
  <c r="X1459" i="2"/>
  <c r="W1459" i="2"/>
  <c r="V1459" i="2"/>
  <c r="U1459" i="2"/>
  <c r="T1459" i="2"/>
  <c r="S1459" i="2"/>
  <c r="R1459" i="2"/>
  <c r="Q1459" i="2"/>
  <c r="P1459" i="2"/>
  <c r="O1459" i="2"/>
  <c r="N1459" i="2"/>
  <c r="K1459" i="2"/>
  <c r="J1459" i="2"/>
  <c r="I1459" i="2"/>
  <c r="H1459" i="2"/>
  <c r="G1459" i="2"/>
  <c r="F1459" i="2"/>
  <c r="E1459" i="2"/>
  <c r="D1459" i="2"/>
  <c r="C1459" i="2"/>
  <c r="B1459" i="2"/>
  <c r="A1459" i="2"/>
  <c r="AI1458" i="2"/>
  <c r="AH1458" i="2"/>
  <c r="AG1458" i="2"/>
  <c r="AF1458" i="2"/>
  <c r="AE1458" i="2"/>
  <c r="AD1458" i="2"/>
  <c r="AC1458" i="2"/>
  <c r="AA1458" i="2"/>
  <c r="Z1458" i="2"/>
  <c r="Y1458" i="2"/>
  <c r="X1458" i="2"/>
  <c r="W1458" i="2"/>
  <c r="V1458" i="2"/>
  <c r="U1458" i="2"/>
  <c r="T1458" i="2"/>
  <c r="S1458" i="2"/>
  <c r="R1458" i="2"/>
  <c r="Q1458" i="2"/>
  <c r="P1458" i="2"/>
  <c r="O1458" i="2"/>
  <c r="N1458" i="2"/>
  <c r="K1458" i="2"/>
  <c r="J1458" i="2"/>
  <c r="I1458" i="2"/>
  <c r="H1458" i="2"/>
  <c r="G1458" i="2"/>
  <c r="F1458" i="2"/>
  <c r="E1458" i="2"/>
  <c r="D1458" i="2"/>
  <c r="C1458" i="2"/>
  <c r="B1458" i="2"/>
  <c r="A1458" i="2"/>
  <c r="AJ1457" i="2"/>
  <c r="AI1457" i="2"/>
  <c r="AF1457" i="2"/>
  <c r="AE1457" i="2"/>
  <c r="AD1457" i="2"/>
  <c r="AC1457" i="2"/>
  <c r="AB1457" i="2"/>
  <c r="AA1457" i="2"/>
  <c r="Z1457" i="2"/>
  <c r="Y1457" i="2"/>
  <c r="X1457" i="2"/>
  <c r="W1457" i="2"/>
  <c r="V1457" i="2"/>
  <c r="U1457" i="2"/>
  <c r="T1457" i="2"/>
  <c r="S1457" i="2"/>
  <c r="R1457" i="2"/>
  <c r="Q1457" i="2"/>
  <c r="P1457" i="2"/>
  <c r="O1457" i="2"/>
  <c r="N1457" i="2"/>
  <c r="K1457" i="2"/>
  <c r="J1457" i="2"/>
  <c r="I1457" i="2"/>
  <c r="H1457" i="2"/>
  <c r="G1457" i="2"/>
  <c r="F1457" i="2"/>
  <c r="E1457" i="2"/>
  <c r="D1457" i="2"/>
  <c r="C1457" i="2"/>
  <c r="B1457" i="2"/>
  <c r="A1457" i="2"/>
  <c r="AI1456" i="2"/>
  <c r="AH1456" i="2"/>
  <c r="AG1456" i="2"/>
  <c r="AF1456" i="2"/>
  <c r="AE1456" i="2"/>
  <c r="AD1456" i="2"/>
  <c r="AC1456" i="2"/>
  <c r="AB1456" i="2"/>
  <c r="AA1456" i="2"/>
  <c r="Z1456" i="2"/>
  <c r="Y1456" i="2"/>
  <c r="X1456" i="2"/>
  <c r="W1456" i="2"/>
  <c r="V1456" i="2"/>
  <c r="U1456" i="2"/>
  <c r="T1456" i="2"/>
  <c r="S1456" i="2"/>
  <c r="R1456" i="2"/>
  <c r="Q1456" i="2"/>
  <c r="P1456" i="2"/>
  <c r="O1456" i="2"/>
  <c r="N1456" i="2"/>
  <c r="K1456" i="2"/>
  <c r="J1456" i="2"/>
  <c r="I1456" i="2"/>
  <c r="H1456" i="2"/>
  <c r="G1456" i="2"/>
  <c r="F1456" i="2"/>
  <c r="E1456" i="2"/>
  <c r="D1456" i="2"/>
  <c r="C1456" i="2"/>
  <c r="B1456" i="2"/>
  <c r="A1456" i="2"/>
  <c r="AI1455" i="2"/>
  <c r="AH1455" i="2"/>
  <c r="AG1455" i="2"/>
  <c r="AF1455" i="2"/>
  <c r="AE1455" i="2"/>
  <c r="AD1455" i="2"/>
  <c r="AC1455" i="2"/>
  <c r="AB1455" i="2"/>
  <c r="AA1455" i="2"/>
  <c r="Z1455" i="2"/>
  <c r="Y1455" i="2"/>
  <c r="X1455" i="2"/>
  <c r="W1455" i="2"/>
  <c r="V1455" i="2"/>
  <c r="U1455" i="2"/>
  <c r="T1455" i="2"/>
  <c r="S1455" i="2"/>
  <c r="R1455" i="2"/>
  <c r="Q1455" i="2"/>
  <c r="P1455" i="2"/>
  <c r="O1455" i="2"/>
  <c r="N1455" i="2"/>
  <c r="K1455" i="2"/>
  <c r="J1455" i="2"/>
  <c r="I1455" i="2"/>
  <c r="H1455" i="2"/>
  <c r="G1455" i="2"/>
  <c r="F1455" i="2"/>
  <c r="E1455" i="2"/>
  <c r="D1455" i="2"/>
  <c r="C1455" i="2"/>
  <c r="B1455" i="2"/>
  <c r="A1455" i="2"/>
  <c r="AI1454" i="2"/>
  <c r="AH1454" i="2"/>
  <c r="AF1454" i="2"/>
  <c r="AE1454" i="2"/>
  <c r="AD1454" i="2"/>
  <c r="AC1454" i="2"/>
  <c r="AB1454" i="2"/>
  <c r="AA1454" i="2"/>
  <c r="Z1454" i="2"/>
  <c r="Y1454" i="2"/>
  <c r="X1454" i="2"/>
  <c r="W1454" i="2"/>
  <c r="V1454" i="2"/>
  <c r="U1454" i="2"/>
  <c r="T1454" i="2"/>
  <c r="S1454" i="2"/>
  <c r="R1454" i="2"/>
  <c r="Q1454" i="2"/>
  <c r="P1454" i="2"/>
  <c r="O1454" i="2"/>
  <c r="N1454" i="2"/>
  <c r="K1454" i="2"/>
  <c r="J1454" i="2"/>
  <c r="I1454" i="2"/>
  <c r="H1454" i="2"/>
  <c r="G1454" i="2"/>
  <c r="F1454" i="2"/>
  <c r="E1454" i="2"/>
  <c r="D1454" i="2"/>
  <c r="C1454" i="2"/>
  <c r="B1454" i="2"/>
  <c r="A1454" i="2"/>
  <c r="AI1453" i="2"/>
  <c r="AH1453" i="2"/>
  <c r="AG1453" i="2"/>
  <c r="AF1453" i="2"/>
  <c r="AE1453" i="2"/>
  <c r="AD1453" i="2"/>
  <c r="AC1453" i="2"/>
  <c r="AB1453" i="2"/>
  <c r="AA1453" i="2"/>
  <c r="Z1453" i="2"/>
  <c r="Y1453" i="2"/>
  <c r="X1453" i="2"/>
  <c r="U1453" i="2"/>
  <c r="T1453" i="2"/>
  <c r="S1453" i="2"/>
  <c r="R1453" i="2"/>
  <c r="Q1453" i="2"/>
  <c r="P1453" i="2"/>
  <c r="O1453" i="2"/>
  <c r="N1453" i="2"/>
  <c r="K1453" i="2"/>
  <c r="J1453" i="2"/>
  <c r="I1453" i="2"/>
  <c r="H1453" i="2"/>
  <c r="G1453" i="2"/>
  <c r="F1453" i="2"/>
  <c r="E1453" i="2"/>
  <c r="D1453" i="2"/>
  <c r="C1453" i="2"/>
  <c r="B1453" i="2"/>
  <c r="A1453" i="2"/>
  <c r="AI1452" i="2"/>
  <c r="AH1452" i="2"/>
  <c r="AG1452" i="2"/>
  <c r="AF1452" i="2"/>
  <c r="AE1452" i="2"/>
  <c r="AD1452" i="2"/>
  <c r="AC1452" i="2"/>
  <c r="AB1452" i="2"/>
  <c r="AA1452" i="2"/>
  <c r="Z1452" i="2"/>
  <c r="Y1452" i="2"/>
  <c r="X1452" i="2"/>
  <c r="W1452" i="2"/>
  <c r="V1452" i="2"/>
  <c r="U1452" i="2"/>
  <c r="T1452" i="2"/>
  <c r="S1452" i="2"/>
  <c r="R1452" i="2"/>
  <c r="Q1452" i="2"/>
  <c r="P1452" i="2"/>
  <c r="O1452" i="2"/>
  <c r="N1452" i="2"/>
  <c r="K1452" i="2"/>
  <c r="J1452" i="2"/>
  <c r="I1452" i="2"/>
  <c r="H1452" i="2"/>
  <c r="G1452" i="2"/>
  <c r="F1452" i="2"/>
  <c r="E1452" i="2"/>
  <c r="D1452" i="2"/>
  <c r="C1452" i="2"/>
  <c r="B1452" i="2"/>
  <c r="A1452" i="2"/>
  <c r="AI1451" i="2"/>
  <c r="AH1451" i="2"/>
  <c r="AG1451" i="2"/>
  <c r="AF1451" i="2"/>
  <c r="AE1451" i="2"/>
  <c r="AD1451" i="2"/>
  <c r="AC1451" i="2"/>
  <c r="AB1451" i="2"/>
  <c r="AA1451" i="2"/>
  <c r="Z1451" i="2"/>
  <c r="Y1451" i="2"/>
  <c r="X1451" i="2"/>
  <c r="W1451" i="2"/>
  <c r="V1451" i="2"/>
  <c r="U1451" i="2"/>
  <c r="T1451" i="2"/>
  <c r="S1451" i="2"/>
  <c r="R1451" i="2"/>
  <c r="Q1451" i="2"/>
  <c r="P1451" i="2"/>
  <c r="O1451" i="2"/>
  <c r="N1451" i="2"/>
  <c r="K1451" i="2"/>
  <c r="J1451" i="2"/>
  <c r="I1451" i="2"/>
  <c r="H1451" i="2"/>
  <c r="G1451" i="2"/>
  <c r="F1451" i="2"/>
  <c r="E1451" i="2"/>
  <c r="D1451" i="2"/>
  <c r="C1451" i="2"/>
  <c r="B1451" i="2"/>
  <c r="A1451" i="2"/>
  <c r="AJ1450" i="2"/>
  <c r="AI1450" i="2"/>
  <c r="AH1450" i="2"/>
  <c r="AG1450" i="2"/>
  <c r="AF1450" i="2"/>
  <c r="AE1450" i="2"/>
  <c r="AD1450" i="2"/>
  <c r="AC1450" i="2"/>
  <c r="AB1450" i="2"/>
  <c r="AA1450" i="2"/>
  <c r="Z1450" i="2"/>
  <c r="Y1450" i="2"/>
  <c r="X1450" i="2"/>
  <c r="W1450" i="2"/>
  <c r="V1450" i="2"/>
  <c r="U1450" i="2"/>
  <c r="T1450" i="2"/>
  <c r="S1450" i="2"/>
  <c r="R1450" i="2"/>
  <c r="Q1450" i="2"/>
  <c r="P1450" i="2"/>
  <c r="O1450" i="2"/>
  <c r="N1450" i="2"/>
  <c r="M1450" i="2"/>
  <c r="K1450" i="2"/>
  <c r="J1450" i="2"/>
  <c r="I1450" i="2"/>
  <c r="H1450" i="2"/>
  <c r="G1450" i="2"/>
  <c r="F1450" i="2"/>
  <c r="E1450" i="2"/>
  <c r="D1450" i="2"/>
  <c r="C1450" i="2"/>
  <c r="B1450" i="2"/>
  <c r="A1450" i="2"/>
  <c r="AI1449" i="2"/>
  <c r="AH1449" i="2"/>
  <c r="AG1449" i="2"/>
  <c r="AF1449" i="2"/>
  <c r="AE1449" i="2"/>
  <c r="AD1449" i="2"/>
  <c r="AC1449" i="2"/>
  <c r="AB1449" i="2"/>
  <c r="AA1449" i="2"/>
  <c r="Z1449" i="2"/>
  <c r="Y1449" i="2"/>
  <c r="X1449" i="2"/>
  <c r="W1449" i="2"/>
  <c r="V1449" i="2"/>
  <c r="U1449" i="2"/>
  <c r="T1449" i="2"/>
  <c r="S1449" i="2"/>
  <c r="R1449" i="2"/>
  <c r="Q1449" i="2"/>
  <c r="P1449" i="2"/>
  <c r="O1449" i="2"/>
  <c r="N1449" i="2"/>
  <c r="K1449" i="2"/>
  <c r="J1449" i="2"/>
  <c r="I1449" i="2"/>
  <c r="H1449" i="2"/>
  <c r="G1449" i="2"/>
  <c r="F1449" i="2"/>
  <c r="E1449" i="2"/>
  <c r="D1449" i="2"/>
  <c r="C1449" i="2"/>
  <c r="B1449" i="2"/>
  <c r="A1449" i="2"/>
  <c r="AF1448" i="2"/>
  <c r="AE1448" i="2"/>
  <c r="AD1448" i="2"/>
  <c r="AC1448" i="2"/>
  <c r="AB1448" i="2"/>
  <c r="AA1448" i="2"/>
  <c r="Z1448" i="2"/>
  <c r="Y1448" i="2"/>
  <c r="X1448" i="2"/>
  <c r="U1448" i="2"/>
  <c r="T1448" i="2"/>
  <c r="S1448" i="2"/>
  <c r="R1448" i="2"/>
  <c r="Q1448" i="2"/>
  <c r="P1448" i="2"/>
  <c r="O1448" i="2"/>
  <c r="N1448" i="2"/>
  <c r="K1448" i="2"/>
  <c r="J1448" i="2"/>
  <c r="I1448" i="2"/>
  <c r="H1448" i="2"/>
  <c r="G1448" i="2"/>
  <c r="F1448" i="2"/>
  <c r="E1448" i="2"/>
  <c r="D1448" i="2"/>
  <c r="C1448" i="2"/>
  <c r="B1448" i="2"/>
  <c r="A1448" i="2"/>
  <c r="AI1447" i="2"/>
  <c r="AH1447" i="2"/>
  <c r="AG1447" i="2"/>
  <c r="AF1447" i="2"/>
  <c r="AE1447" i="2"/>
  <c r="AD1447" i="2"/>
  <c r="AC1447" i="2"/>
  <c r="AB1447" i="2"/>
  <c r="AA1447" i="2"/>
  <c r="Z1447" i="2"/>
  <c r="Y1447" i="2"/>
  <c r="X1447" i="2"/>
  <c r="W1447" i="2"/>
  <c r="V1447" i="2"/>
  <c r="U1447" i="2"/>
  <c r="T1447" i="2"/>
  <c r="S1447" i="2"/>
  <c r="R1447" i="2"/>
  <c r="Q1447" i="2"/>
  <c r="P1447" i="2"/>
  <c r="O1447" i="2"/>
  <c r="N1447" i="2"/>
  <c r="K1447" i="2"/>
  <c r="J1447" i="2"/>
  <c r="I1447" i="2"/>
  <c r="H1447" i="2"/>
  <c r="G1447" i="2"/>
  <c r="F1447" i="2"/>
  <c r="E1447" i="2"/>
  <c r="D1447" i="2"/>
  <c r="C1447" i="2"/>
  <c r="B1447" i="2"/>
  <c r="A1447" i="2"/>
  <c r="AH1446" i="2"/>
  <c r="AG1446" i="2"/>
  <c r="AF1446" i="2"/>
  <c r="AE1446" i="2"/>
  <c r="AD1446" i="2"/>
  <c r="AC1446" i="2"/>
  <c r="AB1446" i="2"/>
  <c r="AA1446" i="2"/>
  <c r="Z1446" i="2"/>
  <c r="Y1446" i="2"/>
  <c r="X1446" i="2"/>
  <c r="W1446" i="2"/>
  <c r="V1446" i="2"/>
  <c r="U1446" i="2"/>
  <c r="T1446" i="2"/>
  <c r="S1446" i="2"/>
  <c r="R1446" i="2"/>
  <c r="Q1446" i="2"/>
  <c r="P1446" i="2"/>
  <c r="O1446" i="2"/>
  <c r="N1446" i="2"/>
  <c r="K1446" i="2"/>
  <c r="J1446" i="2"/>
  <c r="I1446" i="2"/>
  <c r="H1446" i="2"/>
  <c r="G1446" i="2"/>
  <c r="F1446" i="2"/>
  <c r="E1446" i="2"/>
  <c r="D1446" i="2"/>
  <c r="C1446" i="2"/>
  <c r="B1446" i="2"/>
  <c r="A1446" i="2"/>
  <c r="AI1445" i="2"/>
  <c r="AH1445" i="2"/>
  <c r="AG1445" i="2"/>
  <c r="AF1445" i="2"/>
  <c r="AE1445" i="2"/>
  <c r="AD1445" i="2"/>
  <c r="AC1445" i="2"/>
  <c r="AB1445" i="2"/>
  <c r="AA1445" i="2"/>
  <c r="Z1445" i="2"/>
  <c r="Y1445" i="2"/>
  <c r="X1445" i="2"/>
  <c r="W1445" i="2"/>
  <c r="V1445" i="2"/>
  <c r="U1445" i="2"/>
  <c r="T1445" i="2"/>
  <c r="S1445" i="2"/>
  <c r="R1445" i="2"/>
  <c r="Q1445" i="2"/>
  <c r="P1445" i="2"/>
  <c r="O1445" i="2"/>
  <c r="N1445" i="2"/>
  <c r="K1445" i="2"/>
  <c r="J1445" i="2"/>
  <c r="I1445" i="2"/>
  <c r="H1445" i="2"/>
  <c r="G1445" i="2"/>
  <c r="F1445" i="2"/>
  <c r="E1445" i="2"/>
  <c r="D1445" i="2"/>
  <c r="C1445" i="2"/>
  <c r="B1445" i="2"/>
  <c r="A1445" i="2"/>
  <c r="AI1444" i="2"/>
  <c r="AH1444" i="2"/>
  <c r="AG1444" i="2"/>
  <c r="AF1444" i="2"/>
  <c r="AE1444" i="2"/>
  <c r="AD1444" i="2"/>
  <c r="AC1444" i="2"/>
  <c r="AA1444" i="2"/>
  <c r="Z1444" i="2"/>
  <c r="Y1444" i="2"/>
  <c r="X1444" i="2"/>
  <c r="W1444" i="2"/>
  <c r="V1444" i="2"/>
  <c r="U1444" i="2"/>
  <c r="T1444" i="2"/>
  <c r="S1444" i="2"/>
  <c r="R1444" i="2"/>
  <c r="Q1444" i="2"/>
  <c r="P1444" i="2"/>
  <c r="O1444" i="2"/>
  <c r="N1444" i="2"/>
  <c r="K1444" i="2"/>
  <c r="J1444" i="2"/>
  <c r="I1444" i="2"/>
  <c r="H1444" i="2"/>
  <c r="G1444" i="2"/>
  <c r="F1444" i="2"/>
  <c r="E1444" i="2"/>
  <c r="D1444" i="2"/>
  <c r="C1444" i="2"/>
  <c r="B1444" i="2"/>
  <c r="A1444" i="2"/>
  <c r="AI1443" i="2"/>
  <c r="AH1443" i="2"/>
  <c r="AG1443" i="2"/>
  <c r="AF1443" i="2"/>
  <c r="AE1443" i="2"/>
  <c r="AD1443" i="2"/>
  <c r="AC1443" i="2"/>
  <c r="AB1443" i="2"/>
  <c r="AA1443" i="2"/>
  <c r="Z1443" i="2"/>
  <c r="Y1443" i="2"/>
  <c r="X1443" i="2"/>
  <c r="V1443" i="2"/>
  <c r="U1443" i="2"/>
  <c r="T1443" i="2"/>
  <c r="S1443" i="2"/>
  <c r="R1443" i="2"/>
  <c r="Q1443" i="2"/>
  <c r="P1443" i="2"/>
  <c r="O1443" i="2"/>
  <c r="N1443" i="2"/>
  <c r="K1443" i="2"/>
  <c r="J1443" i="2"/>
  <c r="I1443" i="2"/>
  <c r="H1443" i="2"/>
  <c r="G1443" i="2"/>
  <c r="F1443" i="2"/>
  <c r="E1443" i="2"/>
  <c r="D1443" i="2"/>
  <c r="C1443" i="2"/>
  <c r="B1443" i="2"/>
  <c r="A1443" i="2"/>
  <c r="AI1442" i="2"/>
  <c r="AH1442" i="2"/>
  <c r="AG1442" i="2"/>
  <c r="AF1442" i="2"/>
  <c r="AE1442" i="2"/>
  <c r="AD1442" i="2"/>
  <c r="AC1442" i="2"/>
  <c r="AB1442" i="2"/>
  <c r="AA1442" i="2"/>
  <c r="Z1442" i="2"/>
  <c r="Y1442" i="2"/>
  <c r="X1442" i="2"/>
  <c r="W1442" i="2"/>
  <c r="V1442" i="2"/>
  <c r="U1442" i="2"/>
  <c r="T1442" i="2"/>
  <c r="S1442" i="2"/>
  <c r="R1442" i="2"/>
  <c r="Q1442" i="2"/>
  <c r="P1442" i="2"/>
  <c r="O1442" i="2"/>
  <c r="N1442" i="2"/>
  <c r="K1442" i="2"/>
  <c r="J1442" i="2"/>
  <c r="I1442" i="2"/>
  <c r="H1442" i="2"/>
  <c r="G1442" i="2"/>
  <c r="F1442" i="2"/>
  <c r="E1442" i="2"/>
  <c r="D1442" i="2"/>
  <c r="C1442" i="2"/>
  <c r="B1442" i="2"/>
  <c r="A1442" i="2"/>
  <c r="AH1441" i="2"/>
  <c r="AG1441" i="2"/>
  <c r="AF1441" i="2"/>
  <c r="AE1441" i="2"/>
  <c r="AD1441" i="2"/>
  <c r="AC1441" i="2"/>
  <c r="AB1441" i="2"/>
  <c r="AA1441" i="2"/>
  <c r="Z1441" i="2"/>
  <c r="Y1441" i="2"/>
  <c r="X1441" i="2"/>
  <c r="W1441" i="2"/>
  <c r="V1441" i="2"/>
  <c r="U1441" i="2"/>
  <c r="T1441" i="2"/>
  <c r="S1441" i="2"/>
  <c r="R1441" i="2"/>
  <c r="Q1441" i="2"/>
  <c r="P1441" i="2"/>
  <c r="O1441" i="2"/>
  <c r="N1441" i="2"/>
  <c r="K1441" i="2"/>
  <c r="J1441" i="2"/>
  <c r="I1441" i="2"/>
  <c r="H1441" i="2"/>
  <c r="G1441" i="2"/>
  <c r="F1441" i="2"/>
  <c r="E1441" i="2"/>
  <c r="D1441" i="2"/>
  <c r="C1441" i="2"/>
  <c r="B1441" i="2"/>
  <c r="A1441" i="2"/>
  <c r="AI1440" i="2"/>
  <c r="AH1440" i="2"/>
  <c r="AG1440" i="2"/>
  <c r="AF1440" i="2"/>
  <c r="AE1440" i="2"/>
  <c r="AD1440" i="2"/>
  <c r="AC1440" i="2"/>
  <c r="AB1440" i="2"/>
  <c r="AA1440" i="2"/>
  <c r="Z1440" i="2"/>
  <c r="Y1440" i="2"/>
  <c r="X1440" i="2"/>
  <c r="W1440" i="2"/>
  <c r="V1440" i="2"/>
  <c r="U1440" i="2"/>
  <c r="T1440" i="2"/>
  <c r="S1440" i="2"/>
  <c r="R1440" i="2"/>
  <c r="Q1440" i="2"/>
  <c r="P1440" i="2"/>
  <c r="O1440" i="2"/>
  <c r="N1440" i="2"/>
  <c r="K1440" i="2"/>
  <c r="J1440" i="2"/>
  <c r="I1440" i="2"/>
  <c r="H1440" i="2"/>
  <c r="G1440" i="2"/>
  <c r="F1440" i="2"/>
  <c r="E1440" i="2"/>
  <c r="D1440" i="2"/>
  <c r="C1440" i="2"/>
  <c r="B1440" i="2"/>
  <c r="A1440" i="2"/>
  <c r="AI1439" i="2"/>
  <c r="AH1439" i="2"/>
  <c r="AG1439" i="2"/>
  <c r="AF1439" i="2"/>
  <c r="AE1439" i="2"/>
  <c r="AD1439" i="2"/>
  <c r="AC1439" i="2"/>
  <c r="AB1439" i="2"/>
  <c r="AA1439" i="2"/>
  <c r="Z1439" i="2"/>
  <c r="Y1439" i="2"/>
  <c r="X1439" i="2"/>
  <c r="W1439" i="2"/>
  <c r="V1439" i="2"/>
  <c r="U1439" i="2"/>
  <c r="T1439" i="2"/>
  <c r="S1439" i="2"/>
  <c r="R1439" i="2"/>
  <c r="Q1439" i="2"/>
  <c r="P1439" i="2"/>
  <c r="O1439" i="2"/>
  <c r="N1439" i="2"/>
  <c r="K1439" i="2"/>
  <c r="J1439" i="2"/>
  <c r="I1439" i="2"/>
  <c r="H1439" i="2"/>
  <c r="G1439" i="2"/>
  <c r="F1439" i="2"/>
  <c r="E1439" i="2"/>
  <c r="D1439" i="2"/>
  <c r="C1439" i="2"/>
  <c r="B1439" i="2"/>
  <c r="A1439" i="2"/>
  <c r="AI1438" i="2"/>
  <c r="AH1438" i="2"/>
  <c r="AG1438" i="2"/>
  <c r="AF1438" i="2"/>
  <c r="AE1438" i="2"/>
  <c r="AD1438" i="2"/>
  <c r="AC1438" i="2"/>
  <c r="AB1438" i="2"/>
  <c r="AA1438" i="2"/>
  <c r="Z1438" i="2"/>
  <c r="Y1438" i="2"/>
  <c r="X1438" i="2"/>
  <c r="W1438" i="2"/>
  <c r="V1438" i="2"/>
  <c r="U1438" i="2"/>
  <c r="T1438" i="2"/>
  <c r="S1438" i="2"/>
  <c r="R1438" i="2"/>
  <c r="Q1438" i="2"/>
  <c r="P1438" i="2"/>
  <c r="O1438" i="2"/>
  <c r="N1438" i="2"/>
  <c r="K1438" i="2"/>
  <c r="J1438" i="2"/>
  <c r="I1438" i="2"/>
  <c r="H1438" i="2"/>
  <c r="G1438" i="2"/>
  <c r="F1438" i="2"/>
  <c r="E1438" i="2"/>
  <c r="D1438" i="2"/>
  <c r="C1438" i="2"/>
  <c r="B1438" i="2"/>
  <c r="A1438" i="2"/>
  <c r="AI1437" i="2"/>
  <c r="AH1437" i="2"/>
  <c r="AG1437" i="2"/>
  <c r="AF1437" i="2"/>
  <c r="AE1437" i="2"/>
  <c r="AD1437" i="2"/>
  <c r="AC1437" i="2"/>
  <c r="AB1437" i="2"/>
  <c r="AA1437" i="2"/>
  <c r="Z1437" i="2"/>
  <c r="Y1437" i="2"/>
  <c r="X1437" i="2"/>
  <c r="W1437" i="2"/>
  <c r="V1437" i="2"/>
  <c r="U1437" i="2"/>
  <c r="T1437" i="2"/>
  <c r="S1437" i="2"/>
  <c r="R1437" i="2"/>
  <c r="Q1437" i="2"/>
  <c r="P1437" i="2"/>
  <c r="O1437" i="2"/>
  <c r="N1437" i="2"/>
  <c r="K1437" i="2"/>
  <c r="J1437" i="2"/>
  <c r="I1437" i="2"/>
  <c r="H1437" i="2"/>
  <c r="G1437" i="2"/>
  <c r="F1437" i="2"/>
  <c r="E1437" i="2"/>
  <c r="D1437" i="2"/>
  <c r="C1437" i="2"/>
  <c r="B1437" i="2"/>
  <c r="A1437" i="2"/>
  <c r="AI1436" i="2"/>
  <c r="AG1436" i="2"/>
  <c r="AF1436" i="2"/>
  <c r="AE1436" i="2"/>
  <c r="AD1436" i="2"/>
  <c r="AC1436" i="2"/>
  <c r="AB1436" i="2"/>
  <c r="AA1436" i="2"/>
  <c r="Z1436" i="2"/>
  <c r="Y1436" i="2"/>
  <c r="X1436" i="2"/>
  <c r="V1436" i="2"/>
  <c r="U1436" i="2"/>
  <c r="T1436" i="2"/>
  <c r="S1436" i="2"/>
  <c r="R1436" i="2"/>
  <c r="Q1436" i="2"/>
  <c r="P1436" i="2"/>
  <c r="O1436" i="2"/>
  <c r="N1436" i="2"/>
  <c r="K1436" i="2"/>
  <c r="J1436" i="2"/>
  <c r="I1436" i="2"/>
  <c r="H1436" i="2"/>
  <c r="G1436" i="2"/>
  <c r="F1436" i="2"/>
  <c r="E1436" i="2"/>
  <c r="D1436" i="2"/>
  <c r="C1436" i="2"/>
  <c r="B1436" i="2"/>
  <c r="A1436" i="2"/>
  <c r="AI1435" i="2"/>
  <c r="AH1435" i="2"/>
  <c r="AG1435" i="2"/>
  <c r="AF1435" i="2"/>
  <c r="AE1435" i="2"/>
  <c r="AD1435" i="2"/>
  <c r="AC1435" i="2"/>
  <c r="AB1435" i="2"/>
  <c r="AA1435" i="2"/>
  <c r="Z1435" i="2"/>
  <c r="Y1435" i="2"/>
  <c r="X1435" i="2"/>
  <c r="W1435" i="2"/>
  <c r="V1435" i="2"/>
  <c r="U1435" i="2"/>
  <c r="T1435" i="2"/>
  <c r="S1435" i="2"/>
  <c r="R1435" i="2"/>
  <c r="Q1435" i="2"/>
  <c r="P1435" i="2"/>
  <c r="O1435" i="2"/>
  <c r="N1435" i="2"/>
  <c r="K1435" i="2"/>
  <c r="J1435" i="2"/>
  <c r="I1435" i="2"/>
  <c r="H1435" i="2"/>
  <c r="G1435" i="2"/>
  <c r="F1435" i="2"/>
  <c r="E1435" i="2"/>
  <c r="D1435" i="2"/>
  <c r="C1435" i="2"/>
  <c r="B1435" i="2"/>
  <c r="A1435" i="2"/>
  <c r="AI1434" i="2"/>
  <c r="AH1434" i="2"/>
  <c r="AG1434" i="2"/>
  <c r="AF1434" i="2"/>
  <c r="AE1434" i="2"/>
  <c r="AD1434" i="2"/>
  <c r="AC1434" i="2"/>
  <c r="AB1434" i="2"/>
  <c r="AA1434" i="2"/>
  <c r="Z1434" i="2"/>
  <c r="Y1434" i="2"/>
  <c r="X1434" i="2"/>
  <c r="W1434" i="2"/>
  <c r="V1434" i="2"/>
  <c r="U1434" i="2"/>
  <c r="T1434" i="2"/>
  <c r="S1434" i="2"/>
  <c r="R1434" i="2"/>
  <c r="Q1434" i="2"/>
  <c r="P1434" i="2"/>
  <c r="O1434" i="2"/>
  <c r="N1434" i="2"/>
  <c r="K1434" i="2"/>
  <c r="J1434" i="2"/>
  <c r="I1434" i="2"/>
  <c r="H1434" i="2"/>
  <c r="G1434" i="2"/>
  <c r="F1434" i="2"/>
  <c r="E1434" i="2"/>
  <c r="D1434" i="2"/>
  <c r="C1434" i="2"/>
  <c r="B1434" i="2"/>
  <c r="A1434" i="2"/>
  <c r="AI1433" i="2"/>
  <c r="AH1433" i="2"/>
  <c r="AG1433" i="2"/>
  <c r="AF1433" i="2"/>
  <c r="AE1433" i="2"/>
  <c r="AD1433" i="2"/>
  <c r="AC1433" i="2"/>
  <c r="AB1433" i="2"/>
  <c r="AA1433" i="2"/>
  <c r="Z1433" i="2"/>
  <c r="Y1433" i="2"/>
  <c r="X1433" i="2"/>
  <c r="U1433" i="2"/>
  <c r="T1433" i="2"/>
  <c r="S1433" i="2"/>
  <c r="R1433" i="2"/>
  <c r="Q1433" i="2"/>
  <c r="P1433" i="2"/>
  <c r="O1433" i="2"/>
  <c r="N1433" i="2"/>
  <c r="K1433" i="2"/>
  <c r="J1433" i="2"/>
  <c r="I1433" i="2"/>
  <c r="H1433" i="2"/>
  <c r="G1433" i="2"/>
  <c r="F1433" i="2"/>
  <c r="E1433" i="2"/>
  <c r="D1433" i="2"/>
  <c r="C1433" i="2"/>
  <c r="B1433" i="2"/>
  <c r="A1433" i="2"/>
  <c r="AI1432" i="2"/>
  <c r="AH1432" i="2"/>
  <c r="AF1432" i="2"/>
  <c r="AE1432" i="2"/>
  <c r="AD1432" i="2"/>
  <c r="AC1432" i="2"/>
  <c r="AB1432" i="2"/>
  <c r="AA1432" i="2"/>
  <c r="Z1432" i="2"/>
  <c r="Y1432" i="2"/>
  <c r="X1432" i="2"/>
  <c r="W1432" i="2"/>
  <c r="V1432" i="2"/>
  <c r="U1432" i="2"/>
  <c r="T1432" i="2"/>
  <c r="S1432" i="2"/>
  <c r="R1432" i="2"/>
  <c r="Q1432" i="2"/>
  <c r="P1432" i="2"/>
  <c r="O1432" i="2"/>
  <c r="N1432" i="2"/>
  <c r="K1432" i="2"/>
  <c r="J1432" i="2"/>
  <c r="I1432" i="2"/>
  <c r="H1432" i="2"/>
  <c r="G1432" i="2"/>
  <c r="F1432" i="2"/>
  <c r="E1432" i="2"/>
  <c r="D1432" i="2"/>
  <c r="C1432" i="2"/>
  <c r="B1432" i="2"/>
  <c r="A1432" i="2"/>
  <c r="AI1431" i="2"/>
  <c r="AH1431" i="2"/>
  <c r="AG1431" i="2"/>
  <c r="AF1431" i="2"/>
  <c r="AE1431" i="2"/>
  <c r="AD1431" i="2"/>
  <c r="AC1431" i="2"/>
  <c r="AB1431" i="2"/>
  <c r="AA1431" i="2"/>
  <c r="Z1431" i="2"/>
  <c r="Y1431" i="2"/>
  <c r="X1431" i="2"/>
  <c r="W1431" i="2"/>
  <c r="V1431" i="2"/>
  <c r="U1431" i="2"/>
  <c r="T1431" i="2"/>
  <c r="S1431" i="2"/>
  <c r="R1431" i="2"/>
  <c r="Q1431" i="2"/>
  <c r="P1431" i="2"/>
  <c r="O1431" i="2"/>
  <c r="N1431" i="2"/>
  <c r="K1431" i="2"/>
  <c r="J1431" i="2"/>
  <c r="I1431" i="2"/>
  <c r="H1431" i="2"/>
  <c r="G1431" i="2"/>
  <c r="F1431" i="2"/>
  <c r="E1431" i="2"/>
  <c r="D1431" i="2"/>
  <c r="C1431" i="2"/>
  <c r="B1431" i="2"/>
  <c r="A1431" i="2"/>
  <c r="AI1430" i="2"/>
  <c r="AH1430" i="2"/>
  <c r="AG1430" i="2"/>
  <c r="AF1430" i="2"/>
  <c r="AE1430" i="2"/>
  <c r="AD1430" i="2"/>
  <c r="AC1430" i="2"/>
  <c r="AB1430" i="2"/>
  <c r="AA1430" i="2"/>
  <c r="Z1430" i="2"/>
  <c r="Y1430" i="2"/>
  <c r="X1430" i="2"/>
  <c r="W1430" i="2"/>
  <c r="V1430" i="2"/>
  <c r="U1430" i="2"/>
  <c r="T1430" i="2"/>
  <c r="S1430" i="2"/>
  <c r="R1430" i="2"/>
  <c r="Q1430" i="2"/>
  <c r="P1430" i="2"/>
  <c r="O1430" i="2"/>
  <c r="N1430" i="2"/>
  <c r="K1430" i="2"/>
  <c r="J1430" i="2"/>
  <c r="I1430" i="2"/>
  <c r="H1430" i="2"/>
  <c r="G1430" i="2"/>
  <c r="F1430" i="2"/>
  <c r="E1430" i="2"/>
  <c r="D1430" i="2"/>
  <c r="C1430" i="2"/>
  <c r="B1430" i="2"/>
  <c r="A1430" i="2"/>
  <c r="AI1429" i="2"/>
  <c r="AH1429" i="2"/>
  <c r="AG1429" i="2"/>
  <c r="AF1429" i="2"/>
  <c r="AE1429" i="2"/>
  <c r="AD1429" i="2"/>
  <c r="AC1429" i="2"/>
  <c r="AB1429" i="2"/>
  <c r="AA1429" i="2"/>
  <c r="Z1429" i="2"/>
  <c r="Y1429" i="2"/>
  <c r="X1429" i="2"/>
  <c r="V1429" i="2"/>
  <c r="U1429" i="2"/>
  <c r="T1429" i="2"/>
  <c r="S1429" i="2"/>
  <c r="R1429" i="2"/>
  <c r="Q1429" i="2"/>
  <c r="P1429" i="2"/>
  <c r="O1429" i="2"/>
  <c r="N1429" i="2"/>
  <c r="K1429" i="2"/>
  <c r="J1429" i="2"/>
  <c r="I1429" i="2"/>
  <c r="H1429" i="2"/>
  <c r="G1429" i="2"/>
  <c r="F1429" i="2"/>
  <c r="E1429" i="2"/>
  <c r="D1429" i="2"/>
  <c r="C1429" i="2"/>
  <c r="B1429" i="2"/>
  <c r="A1429" i="2"/>
  <c r="AH1428" i="2"/>
  <c r="AG1428" i="2"/>
  <c r="AF1428" i="2"/>
  <c r="AE1428" i="2"/>
  <c r="AD1428" i="2"/>
  <c r="AC1428" i="2"/>
  <c r="AB1428" i="2"/>
  <c r="AA1428" i="2"/>
  <c r="Z1428" i="2"/>
  <c r="Y1428" i="2"/>
  <c r="X1428" i="2"/>
  <c r="W1428" i="2"/>
  <c r="V1428" i="2"/>
  <c r="U1428" i="2"/>
  <c r="T1428" i="2"/>
  <c r="S1428" i="2"/>
  <c r="R1428" i="2"/>
  <c r="Q1428" i="2"/>
  <c r="P1428" i="2"/>
  <c r="O1428" i="2"/>
  <c r="N1428" i="2"/>
  <c r="K1428" i="2"/>
  <c r="J1428" i="2"/>
  <c r="I1428" i="2"/>
  <c r="H1428" i="2"/>
  <c r="G1428" i="2"/>
  <c r="F1428" i="2"/>
  <c r="E1428" i="2"/>
  <c r="D1428" i="2"/>
  <c r="C1428" i="2"/>
  <c r="B1428" i="2"/>
  <c r="A1428" i="2"/>
  <c r="AJ1427" i="2"/>
  <c r="AI1427" i="2"/>
  <c r="AH1427" i="2"/>
  <c r="AG1427" i="2"/>
  <c r="AF1427" i="2"/>
  <c r="AE1427" i="2"/>
  <c r="AD1427" i="2"/>
  <c r="AC1427" i="2"/>
  <c r="AB1427" i="2"/>
  <c r="AA1427" i="2"/>
  <c r="Z1427" i="2"/>
  <c r="Y1427" i="2"/>
  <c r="X1427" i="2"/>
  <c r="W1427" i="2"/>
  <c r="V1427" i="2"/>
  <c r="U1427" i="2"/>
  <c r="T1427" i="2"/>
  <c r="S1427" i="2"/>
  <c r="R1427" i="2"/>
  <c r="Q1427" i="2"/>
  <c r="P1427" i="2"/>
  <c r="O1427" i="2"/>
  <c r="N1427" i="2"/>
  <c r="K1427" i="2"/>
  <c r="J1427" i="2"/>
  <c r="I1427" i="2"/>
  <c r="H1427" i="2"/>
  <c r="G1427" i="2"/>
  <c r="F1427" i="2"/>
  <c r="E1427" i="2"/>
  <c r="D1427" i="2"/>
  <c r="C1427" i="2"/>
  <c r="B1427" i="2"/>
  <c r="A1427" i="2"/>
  <c r="AI1426" i="2"/>
  <c r="AH1426" i="2"/>
  <c r="AG1426" i="2"/>
  <c r="AF1426" i="2"/>
  <c r="AE1426" i="2"/>
  <c r="AD1426" i="2"/>
  <c r="AC1426" i="2"/>
  <c r="AB1426" i="2"/>
  <c r="AA1426" i="2"/>
  <c r="Z1426" i="2"/>
  <c r="Y1426" i="2"/>
  <c r="X1426" i="2"/>
  <c r="W1426" i="2"/>
  <c r="V1426" i="2"/>
  <c r="U1426" i="2"/>
  <c r="T1426" i="2"/>
  <c r="S1426" i="2"/>
  <c r="R1426" i="2"/>
  <c r="Q1426" i="2"/>
  <c r="P1426" i="2"/>
  <c r="O1426" i="2"/>
  <c r="N1426" i="2"/>
  <c r="K1426" i="2"/>
  <c r="J1426" i="2"/>
  <c r="I1426" i="2"/>
  <c r="H1426" i="2"/>
  <c r="G1426" i="2"/>
  <c r="F1426" i="2"/>
  <c r="E1426" i="2"/>
  <c r="D1426" i="2"/>
  <c r="C1426" i="2"/>
  <c r="B1426" i="2"/>
  <c r="A1426" i="2"/>
  <c r="AJ1425" i="2"/>
  <c r="AI1425" i="2"/>
  <c r="AH1425" i="2"/>
  <c r="AG1425" i="2"/>
  <c r="AF1425" i="2"/>
  <c r="AE1425" i="2"/>
  <c r="AD1425" i="2"/>
  <c r="AC1425" i="2"/>
  <c r="AB1425" i="2"/>
  <c r="AA1425" i="2"/>
  <c r="Z1425" i="2"/>
  <c r="Y1425" i="2"/>
  <c r="X1425" i="2"/>
  <c r="W1425" i="2"/>
  <c r="V1425" i="2"/>
  <c r="U1425" i="2"/>
  <c r="T1425" i="2"/>
  <c r="S1425" i="2"/>
  <c r="R1425" i="2"/>
  <c r="Q1425" i="2"/>
  <c r="P1425" i="2"/>
  <c r="O1425" i="2"/>
  <c r="N1425" i="2"/>
  <c r="K1425" i="2"/>
  <c r="J1425" i="2"/>
  <c r="I1425" i="2"/>
  <c r="H1425" i="2"/>
  <c r="G1425" i="2"/>
  <c r="F1425" i="2"/>
  <c r="E1425" i="2"/>
  <c r="D1425" i="2"/>
  <c r="C1425" i="2"/>
  <c r="B1425" i="2"/>
  <c r="A1425" i="2"/>
  <c r="AH1424" i="2"/>
  <c r="AG1424" i="2"/>
  <c r="AF1424" i="2"/>
  <c r="AE1424" i="2"/>
  <c r="AD1424" i="2"/>
  <c r="AC1424" i="2"/>
  <c r="AB1424" i="2"/>
  <c r="AA1424" i="2"/>
  <c r="Z1424" i="2"/>
  <c r="Y1424" i="2"/>
  <c r="X1424" i="2"/>
  <c r="W1424" i="2"/>
  <c r="V1424" i="2"/>
  <c r="U1424" i="2"/>
  <c r="T1424" i="2"/>
  <c r="S1424" i="2"/>
  <c r="R1424" i="2"/>
  <c r="Q1424" i="2"/>
  <c r="P1424" i="2"/>
  <c r="O1424" i="2"/>
  <c r="N1424" i="2"/>
  <c r="K1424" i="2"/>
  <c r="J1424" i="2"/>
  <c r="I1424" i="2"/>
  <c r="H1424" i="2"/>
  <c r="G1424" i="2"/>
  <c r="F1424" i="2"/>
  <c r="E1424" i="2"/>
  <c r="D1424" i="2"/>
  <c r="C1424" i="2"/>
  <c r="B1424" i="2"/>
  <c r="A1424" i="2"/>
  <c r="AH1423" i="2"/>
  <c r="AG1423" i="2"/>
  <c r="AF1423" i="2"/>
  <c r="AE1423" i="2"/>
  <c r="AD1423" i="2"/>
  <c r="AC1423" i="2"/>
  <c r="AB1423" i="2"/>
  <c r="AA1423" i="2"/>
  <c r="Z1423" i="2"/>
  <c r="Y1423" i="2"/>
  <c r="X1423" i="2"/>
  <c r="W1423" i="2"/>
  <c r="V1423" i="2"/>
  <c r="U1423" i="2"/>
  <c r="T1423" i="2"/>
  <c r="S1423" i="2"/>
  <c r="R1423" i="2"/>
  <c r="Q1423" i="2"/>
  <c r="P1423" i="2"/>
  <c r="O1423" i="2"/>
  <c r="N1423" i="2"/>
  <c r="K1423" i="2"/>
  <c r="J1423" i="2"/>
  <c r="I1423" i="2"/>
  <c r="H1423" i="2"/>
  <c r="G1423" i="2"/>
  <c r="F1423" i="2"/>
  <c r="E1423" i="2"/>
  <c r="D1423" i="2"/>
  <c r="C1423" i="2"/>
  <c r="B1423" i="2"/>
  <c r="A1423" i="2"/>
  <c r="AJ1422" i="2"/>
  <c r="AI1422" i="2"/>
  <c r="AH1422" i="2"/>
  <c r="AG1422" i="2"/>
  <c r="AF1422" i="2"/>
  <c r="AE1422" i="2"/>
  <c r="AD1422" i="2"/>
  <c r="AC1422" i="2"/>
  <c r="AB1422" i="2"/>
  <c r="AA1422" i="2"/>
  <c r="Z1422" i="2"/>
  <c r="Y1422" i="2"/>
  <c r="X1422" i="2"/>
  <c r="W1422" i="2"/>
  <c r="V1422" i="2"/>
  <c r="U1422" i="2"/>
  <c r="T1422" i="2"/>
  <c r="S1422" i="2"/>
  <c r="R1422" i="2"/>
  <c r="Q1422" i="2"/>
  <c r="P1422" i="2"/>
  <c r="O1422" i="2"/>
  <c r="N1422" i="2"/>
  <c r="K1422" i="2"/>
  <c r="J1422" i="2"/>
  <c r="I1422" i="2"/>
  <c r="H1422" i="2"/>
  <c r="G1422" i="2"/>
  <c r="F1422" i="2"/>
  <c r="E1422" i="2"/>
  <c r="D1422" i="2"/>
  <c r="C1422" i="2"/>
  <c r="B1422" i="2"/>
  <c r="A1422" i="2"/>
  <c r="AI1421" i="2"/>
  <c r="AH1421" i="2"/>
  <c r="AG1421" i="2"/>
  <c r="AF1421" i="2"/>
  <c r="AE1421" i="2"/>
  <c r="AD1421" i="2"/>
  <c r="AC1421" i="2"/>
  <c r="AB1421" i="2"/>
  <c r="AA1421" i="2"/>
  <c r="Z1421" i="2"/>
  <c r="Y1421" i="2"/>
  <c r="X1421" i="2"/>
  <c r="W1421" i="2"/>
  <c r="V1421" i="2"/>
  <c r="U1421" i="2"/>
  <c r="T1421" i="2"/>
  <c r="S1421" i="2"/>
  <c r="R1421" i="2"/>
  <c r="Q1421" i="2"/>
  <c r="P1421" i="2"/>
  <c r="O1421" i="2"/>
  <c r="N1421" i="2"/>
  <c r="K1421" i="2"/>
  <c r="J1421" i="2"/>
  <c r="I1421" i="2"/>
  <c r="H1421" i="2"/>
  <c r="G1421" i="2"/>
  <c r="F1421" i="2"/>
  <c r="E1421" i="2"/>
  <c r="D1421" i="2"/>
  <c r="C1421" i="2"/>
  <c r="B1421" i="2"/>
  <c r="A1421" i="2"/>
  <c r="AI1420" i="2"/>
  <c r="AH1420" i="2"/>
  <c r="AG1420" i="2"/>
  <c r="AF1420" i="2"/>
  <c r="AE1420" i="2"/>
  <c r="AD1420" i="2"/>
  <c r="AC1420" i="2"/>
  <c r="AB1420" i="2"/>
  <c r="AA1420" i="2"/>
  <c r="Z1420" i="2"/>
  <c r="Y1420" i="2"/>
  <c r="X1420" i="2"/>
  <c r="W1420" i="2"/>
  <c r="V1420" i="2"/>
  <c r="U1420" i="2"/>
  <c r="T1420" i="2"/>
  <c r="S1420" i="2"/>
  <c r="R1420" i="2"/>
  <c r="Q1420" i="2"/>
  <c r="P1420" i="2"/>
  <c r="O1420" i="2"/>
  <c r="N1420" i="2"/>
  <c r="K1420" i="2"/>
  <c r="J1420" i="2"/>
  <c r="I1420" i="2"/>
  <c r="H1420" i="2"/>
  <c r="G1420" i="2"/>
  <c r="F1420" i="2"/>
  <c r="E1420" i="2"/>
  <c r="D1420" i="2"/>
  <c r="C1420" i="2"/>
  <c r="B1420" i="2"/>
  <c r="A1420" i="2"/>
  <c r="AJ1419" i="2"/>
  <c r="AI1419" i="2"/>
  <c r="AH1419" i="2"/>
  <c r="AF1419" i="2"/>
  <c r="AE1419" i="2"/>
  <c r="AD1419" i="2"/>
  <c r="AC1419" i="2"/>
  <c r="AA1419" i="2"/>
  <c r="Z1419" i="2"/>
  <c r="Y1419" i="2"/>
  <c r="X1419" i="2"/>
  <c r="W1419" i="2"/>
  <c r="V1419" i="2"/>
  <c r="U1419" i="2"/>
  <c r="T1419" i="2"/>
  <c r="S1419" i="2"/>
  <c r="R1419" i="2"/>
  <c r="Q1419" i="2"/>
  <c r="P1419" i="2"/>
  <c r="O1419" i="2"/>
  <c r="N1419" i="2"/>
  <c r="K1419" i="2"/>
  <c r="J1419" i="2"/>
  <c r="I1419" i="2"/>
  <c r="H1419" i="2"/>
  <c r="G1419" i="2"/>
  <c r="F1419" i="2"/>
  <c r="E1419" i="2"/>
  <c r="D1419" i="2"/>
  <c r="C1419" i="2"/>
  <c r="B1419" i="2"/>
  <c r="A1419" i="2"/>
  <c r="AI1418" i="2"/>
  <c r="AH1418" i="2"/>
  <c r="AG1418" i="2"/>
  <c r="AF1418" i="2"/>
  <c r="AE1418" i="2"/>
  <c r="AD1418" i="2"/>
  <c r="AC1418" i="2"/>
  <c r="AB1418" i="2"/>
  <c r="AA1418" i="2"/>
  <c r="Z1418" i="2"/>
  <c r="Y1418" i="2"/>
  <c r="X1418" i="2"/>
  <c r="W1418" i="2"/>
  <c r="V1418" i="2"/>
  <c r="U1418" i="2"/>
  <c r="T1418" i="2"/>
  <c r="S1418" i="2"/>
  <c r="R1418" i="2"/>
  <c r="Q1418" i="2"/>
  <c r="P1418" i="2"/>
  <c r="O1418" i="2"/>
  <c r="N1418" i="2"/>
  <c r="K1418" i="2"/>
  <c r="J1418" i="2"/>
  <c r="I1418" i="2"/>
  <c r="H1418" i="2"/>
  <c r="G1418" i="2"/>
  <c r="F1418" i="2"/>
  <c r="E1418" i="2"/>
  <c r="D1418" i="2"/>
  <c r="C1418" i="2"/>
  <c r="B1418" i="2"/>
  <c r="A1418" i="2"/>
  <c r="AI1417" i="2"/>
  <c r="AH1417" i="2"/>
  <c r="AG1417" i="2"/>
  <c r="AF1417" i="2"/>
  <c r="AE1417" i="2"/>
  <c r="AD1417" i="2"/>
  <c r="AC1417" i="2"/>
  <c r="AB1417" i="2"/>
  <c r="AA1417" i="2"/>
  <c r="Z1417" i="2"/>
  <c r="Y1417" i="2"/>
  <c r="X1417" i="2"/>
  <c r="V1417" i="2"/>
  <c r="U1417" i="2"/>
  <c r="T1417" i="2"/>
  <c r="S1417" i="2"/>
  <c r="R1417" i="2"/>
  <c r="Q1417" i="2"/>
  <c r="P1417" i="2"/>
  <c r="O1417" i="2"/>
  <c r="N1417" i="2"/>
  <c r="K1417" i="2"/>
  <c r="J1417" i="2"/>
  <c r="I1417" i="2"/>
  <c r="H1417" i="2"/>
  <c r="G1417" i="2"/>
  <c r="F1417" i="2"/>
  <c r="E1417" i="2"/>
  <c r="D1417" i="2"/>
  <c r="C1417" i="2"/>
  <c r="B1417" i="2"/>
  <c r="A1417" i="2"/>
  <c r="AI1416" i="2"/>
  <c r="AH1416" i="2"/>
  <c r="AG1416" i="2"/>
  <c r="AF1416" i="2"/>
  <c r="AE1416" i="2"/>
  <c r="AD1416" i="2"/>
  <c r="AC1416" i="2"/>
  <c r="AB1416" i="2"/>
  <c r="AA1416" i="2"/>
  <c r="Z1416" i="2"/>
  <c r="Y1416" i="2"/>
  <c r="X1416" i="2"/>
  <c r="W1416" i="2"/>
  <c r="V1416" i="2"/>
  <c r="U1416" i="2"/>
  <c r="T1416" i="2"/>
  <c r="S1416" i="2"/>
  <c r="R1416" i="2"/>
  <c r="Q1416" i="2"/>
  <c r="P1416" i="2"/>
  <c r="O1416" i="2"/>
  <c r="N1416" i="2"/>
  <c r="K1416" i="2"/>
  <c r="J1416" i="2"/>
  <c r="I1416" i="2"/>
  <c r="H1416" i="2"/>
  <c r="G1416" i="2"/>
  <c r="F1416" i="2"/>
  <c r="E1416" i="2"/>
  <c r="D1416" i="2"/>
  <c r="C1416" i="2"/>
  <c r="B1416" i="2"/>
  <c r="A1416" i="2"/>
  <c r="AI1415" i="2"/>
  <c r="AH1415" i="2"/>
  <c r="AG1415" i="2"/>
  <c r="AF1415" i="2"/>
  <c r="AE1415" i="2"/>
  <c r="AD1415" i="2"/>
  <c r="AC1415" i="2"/>
  <c r="AB1415" i="2"/>
  <c r="AA1415" i="2"/>
  <c r="Z1415" i="2"/>
  <c r="Y1415" i="2"/>
  <c r="X1415" i="2"/>
  <c r="W1415" i="2"/>
  <c r="V1415" i="2"/>
  <c r="U1415" i="2"/>
  <c r="T1415" i="2"/>
  <c r="S1415" i="2"/>
  <c r="R1415" i="2"/>
  <c r="Q1415" i="2"/>
  <c r="P1415" i="2"/>
  <c r="O1415" i="2"/>
  <c r="N1415" i="2"/>
  <c r="K1415" i="2"/>
  <c r="J1415" i="2"/>
  <c r="I1415" i="2"/>
  <c r="H1415" i="2"/>
  <c r="G1415" i="2"/>
  <c r="F1415" i="2"/>
  <c r="E1415" i="2"/>
  <c r="D1415" i="2"/>
  <c r="C1415" i="2"/>
  <c r="B1415" i="2"/>
  <c r="A1415" i="2"/>
  <c r="AI1414" i="2"/>
  <c r="AH1414" i="2"/>
  <c r="AG1414" i="2"/>
  <c r="AF1414" i="2"/>
  <c r="AE1414" i="2"/>
  <c r="AD1414" i="2"/>
  <c r="AC1414" i="2"/>
  <c r="AB1414" i="2"/>
  <c r="AA1414" i="2"/>
  <c r="Z1414" i="2"/>
  <c r="Y1414" i="2"/>
  <c r="X1414" i="2"/>
  <c r="U1414" i="2"/>
  <c r="T1414" i="2"/>
  <c r="S1414" i="2"/>
  <c r="R1414" i="2"/>
  <c r="Q1414" i="2"/>
  <c r="P1414" i="2"/>
  <c r="O1414" i="2"/>
  <c r="N1414" i="2"/>
  <c r="K1414" i="2"/>
  <c r="J1414" i="2"/>
  <c r="I1414" i="2"/>
  <c r="H1414" i="2"/>
  <c r="G1414" i="2"/>
  <c r="F1414" i="2"/>
  <c r="E1414" i="2"/>
  <c r="D1414" i="2"/>
  <c r="C1414" i="2"/>
  <c r="B1414" i="2"/>
  <c r="A1414" i="2"/>
  <c r="AI1413" i="2"/>
  <c r="AH1413" i="2"/>
  <c r="AG1413" i="2"/>
  <c r="AF1413" i="2"/>
  <c r="AE1413" i="2"/>
  <c r="AD1413" i="2"/>
  <c r="AC1413" i="2"/>
  <c r="AB1413" i="2"/>
  <c r="AA1413" i="2"/>
  <c r="Z1413" i="2"/>
  <c r="Y1413" i="2"/>
  <c r="X1413" i="2"/>
  <c r="W1413" i="2"/>
  <c r="V1413" i="2"/>
  <c r="U1413" i="2"/>
  <c r="T1413" i="2"/>
  <c r="S1413" i="2"/>
  <c r="R1413" i="2"/>
  <c r="Q1413" i="2"/>
  <c r="P1413" i="2"/>
  <c r="O1413" i="2"/>
  <c r="N1413" i="2"/>
  <c r="K1413" i="2"/>
  <c r="J1413" i="2"/>
  <c r="I1413" i="2"/>
  <c r="H1413" i="2"/>
  <c r="G1413" i="2"/>
  <c r="F1413" i="2"/>
  <c r="E1413" i="2"/>
  <c r="D1413" i="2"/>
  <c r="C1413" i="2"/>
  <c r="B1413" i="2"/>
  <c r="A1413" i="2"/>
  <c r="AI1412" i="2"/>
  <c r="AH1412" i="2"/>
  <c r="AG1412" i="2"/>
  <c r="AF1412" i="2"/>
  <c r="AE1412" i="2"/>
  <c r="AD1412" i="2"/>
  <c r="AC1412" i="2"/>
  <c r="AB1412" i="2"/>
  <c r="AA1412" i="2"/>
  <c r="Z1412" i="2"/>
  <c r="Y1412" i="2"/>
  <c r="X1412" i="2"/>
  <c r="W1412" i="2"/>
  <c r="V1412" i="2"/>
  <c r="U1412" i="2"/>
  <c r="T1412" i="2"/>
  <c r="S1412" i="2"/>
  <c r="R1412" i="2"/>
  <c r="Q1412" i="2"/>
  <c r="P1412" i="2"/>
  <c r="O1412" i="2"/>
  <c r="N1412" i="2"/>
  <c r="K1412" i="2"/>
  <c r="J1412" i="2"/>
  <c r="I1412" i="2"/>
  <c r="H1412" i="2"/>
  <c r="G1412" i="2"/>
  <c r="F1412" i="2"/>
  <c r="E1412" i="2"/>
  <c r="D1412" i="2"/>
  <c r="C1412" i="2"/>
  <c r="B1412" i="2"/>
  <c r="A1412" i="2"/>
  <c r="AI1411" i="2"/>
  <c r="AH1411" i="2"/>
  <c r="AG1411" i="2"/>
  <c r="AF1411" i="2"/>
  <c r="AE1411" i="2"/>
  <c r="AD1411" i="2"/>
  <c r="AC1411" i="2"/>
  <c r="AB1411" i="2"/>
  <c r="AA1411" i="2"/>
  <c r="Z1411" i="2"/>
  <c r="Y1411" i="2"/>
  <c r="X1411" i="2"/>
  <c r="W1411" i="2"/>
  <c r="V1411" i="2"/>
  <c r="U1411" i="2"/>
  <c r="T1411" i="2"/>
  <c r="S1411" i="2"/>
  <c r="R1411" i="2"/>
  <c r="Q1411" i="2"/>
  <c r="P1411" i="2"/>
  <c r="O1411" i="2"/>
  <c r="N1411" i="2"/>
  <c r="K1411" i="2"/>
  <c r="J1411" i="2"/>
  <c r="I1411" i="2"/>
  <c r="H1411" i="2"/>
  <c r="G1411" i="2"/>
  <c r="F1411" i="2"/>
  <c r="E1411" i="2"/>
  <c r="D1411" i="2"/>
  <c r="C1411" i="2"/>
  <c r="B1411" i="2"/>
  <c r="A1411" i="2"/>
  <c r="AI1410" i="2"/>
  <c r="AH1410" i="2"/>
  <c r="AG1410" i="2"/>
  <c r="AF1410" i="2"/>
  <c r="AE1410" i="2"/>
  <c r="AD1410" i="2"/>
  <c r="AC1410" i="2"/>
  <c r="AB1410" i="2"/>
  <c r="AA1410" i="2"/>
  <c r="Z1410" i="2"/>
  <c r="Y1410" i="2"/>
  <c r="X1410" i="2"/>
  <c r="V1410" i="2"/>
  <c r="U1410" i="2"/>
  <c r="T1410" i="2"/>
  <c r="S1410" i="2"/>
  <c r="R1410" i="2"/>
  <c r="Q1410" i="2"/>
  <c r="P1410" i="2"/>
  <c r="O1410" i="2"/>
  <c r="N1410" i="2"/>
  <c r="K1410" i="2"/>
  <c r="J1410" i="2"/>
  <c r="I1410" i="2"/>
  <c r="H1410" i="2"/>
  <c r="G1410" i="2"/>
  <c r="F1410" i="2"/>
  <c r="E1410" i="2"/>
  <c r="D1410" i="2"/>
  <c r="C1410" i="2"/>
  <c r="B1410" i="2"/>
  <c r="A1410" i="2"/>
  <c r="AI1409" i="2"/>
  <c r="AH1409" i="2"/>
  <c r="AG1409" i="2"/>
  <c r="AF1409" i="2"/>
  <c r="AE1409" i="2"/>
  <c r="AD1409" i="2"/>
  <c r="AC1409" i="2"/>
  <c r="AB1409" i="2"/>
  <c r="AA1409" i="2"/>
  <c r="Z1409" i="2"/>
  <c r="Y1409" i="2"/>
  <c r="X1409" i="2"/>
  <c r="U1409" i="2"/>
  <c r="T1409" i="2"/>
  <c r="S1409" i="2"/>
  <c r="R1409" i="2"/>
  <c r="Q1409" i="2"/>
  <c r="P1409" i="2"/>
  <c r="O1409" i="2"/>
  <c r="N1409" i="2"/>
  <c r="K1409" i="2"/>
  <c r="J1409" i="2"/>
  <c r="I1409" i="2"/>
  <c r="H1409" i="2"/>
  <c r="G1409" i="2"/>
  <c r="F1409" i="2"/>
  <c r="E1409" i="2"/>
  <c r="D1409" i="2"/>
  <c r="C1409" i="2"/>
  <c r="B1409" i="2"/>
  <c r="A1409" i="2"/>
  <c r="AI1408" i="2"/>
  <c r="AH1408" i="2"/>
  <c r="AG1408" i="2"/>
  <c r="AF1408" i="2"/>
  <c r="AE1408" i="2"/>
  <c r="AD1408" i="2"/>
  <c r="AC1408" i="2"/>
  <c r="AB1408" i="2"/>
  <c r="AA1408" i="2"/>
  <c r="Z1408" i="2"/>
  <c r="Y1408" i="2"/>
  <c r="X1408" i="2"/>
  <c r="W1408" i="2"/>
  <c r="V1408" i="2"/>
  <c r="U1408" i="2"/>
  <c r="T1408" i="2"/>
  <c r="S1408" i="2"/>
  <c r="R1408" i="2"/>
  <c r="Q1408" i="2"/>
  <c r="P1408" i="2"/>
  <c r="O1408" i="2"/>
  <c r="N1408" i="2"/>
  <c r="K1408" i="2"/>
  <c r="J1408" i="2"/>
  <c r="I1408" i="2"/>
  <c r="H1408" i="2"/>
  <c r="G1408" i="2"/>
  <c r="F1408" i="2"/>
  <c r="E1408" i="2"/>
  <c r="D1408" i="2"/>
  <c r="C1408" i="2"/>
  <c r="B1408" i="2"/>
  <c r="A1408" i="2"/>
  <c r="AJ1407" i="2"/>
  <c r="AI1407" i="2"/>
  <c r="AH1407" i="2"/>
  <c r="AG1407" i="2"/>
  <c r="AF1407" i="2"/>
  <c r="AE1407" i="2"/>
  <c r="AD1407" i="2"/>
  <c r="AC1407" i="2"/>
  <c r="AB1407" i="2"/>
  <c r="AA1407" i="2"/>
  <c r="Z1407" i="2"/>
  <c r="Y1407" i="2"/>
  <c r="W1407" i="2"/>
  <c r="V1407" i="2"/>
  <c r="U1407" i="2"/>
  <c r="T1407" i="2"/>
  <c r="S1407" i="2"/>
  <c r="R1407" i="2"/>
  <c r="Q1407" i="2"/>
  <c r="P1407" i="2"/>
  <c r="O1407" i="2"/>
  <c r="N1407" i="2"/>
  <c r="K1407" i="2"/>
  <c r="J1407" i="2"/>
  <c r="I1407" i="2"/>
  <c r="H1407" i="2"/>
  <c r="G1407" i="2"/>
  <c r="F1407" i="2"/>
  <c r="E1407" i="2"/>
  <c r="D1407" i="2"/>
  <c r="C1407" i="2"/>
  <c r="B1407" i="2"/>
  <c r="A1407" i="2"/>
  <c r="AI1406" i="2"/>
  <c r="AH1406" i="2"/>
  <c r="AG1406" i="2"/>
  <c r="AF1406" i="2"/>
  <c r="AE1406" i="2"/>
  <c r="AD1406" i="2"/>
  <c r="AC1406" i="2"/>
  <c r="AB1406" i="2"/>
  <c r="AA1406" i="2"/>
  <c r="Z1406" i="2"/>
  <c r="Y1406" i="2"/>
  <c r="X1406" i="2"/>
  <c r="W1406" i="2"/>
  <c r="V1406" i="2"/>
  <c r="U1406" i="2"/>
  <c r="T1406" i="2"/>
  <c r="S1406" i="2"/>
  <c r="R1406" i="2"/>
  <c r="Q1406" i="2"/>
  <c r="P1406" i="2"/>
  <c r="O1406" i="2"/>
  <c r="N1406" i="2"/>
  <c r="K1406" i="2"/>
  <c r="J1406" i="2"/>
  <c r="I1406" i="2"/>
  <c r="H1406" i="2"/>
  <c r="G1406" i="2"/>
  <c r="F1406" i="2"/>
  <c r="E1406" i="2"/>
  <c r="D1406" i="2"/>
  <c r="C1406" i="2"/>
  <c r="B1406" i="2"/>
  <c r="A1406" i="2"/>
  <c r="AI1405" i="2"/>
  <c r="AH1405" i="2"/>
  <c r="AG1405" i="2"/>
  <c r="AF1405" i="2"/>
  <c r="AE1405" i="2"/>
  <c r="AD1405" i="2"/>
  <c r="AC1405" i="2"/>
  <c r="AB1405" i="2"/>
  <c r="AA1405" i="2"/>
  <c r="Z1405" i="2"/>
  <c r="Y1405" i="2"/>
  <c r="X1405" i="2"/>
  <c r="V1405" i="2"/>
  <c r="U1405" i="2"/>
  <c r="T1405" i="2"/>
  <c r="S1405" i="2"/>
  <c r="R1405" i="2"/>
  <c r="Q1405" i="2"/>
  <c r="P1405" i="2"/>
  <c r="O1405" i="2"/>
  <c r="N1405" i="2"/>
  <c r="K1405" i="2"/>
  <c r="J1405" i="2"/>
  <c r="I1405" i="2"/>
  <c r="H1405" i="2"/>
  <c r="G1405" i="2"/>
  <c r="F1405" i="2"/>
  <c r="E1405" i="2"/>
  <c r="D1405" i="2"/>
  <c r="C1405" i="2"/>
  <c r="B1405" i="2"/>
  <c r="A1405" i="2"/>
  <c r="AJ1404" i="2"/>
  <c r="AI1404" i="2"/>
  <c r="AH1404" i="2"/>
  <c r="AG1404" i="2"/>
  <c r="AF1404" i="2"/>
  <c r="AE1404" i="2"/>
  <c r="AD1404" i="2"/>
  <c r="AC1404" i="2"/>
  <c r="AB1404" i="2"/>
  <c r="AA1404" i="2"/>
  <c r="Z1404" i="2"/>
  <c r="Y1404" i="2"/>
  <c r="X1404" i="2"/>
  <c r="W1404" i="2"/>
  <c r="V1404" i="2"/>
  <c r="U1404" i="2"/>
  <c r="T1404" i="2"/>
  <c r="S1404" i="2"/>
  <c r="R1404" i="2"/>
  <c r="Q1404" i="2"/>
  <c r="P1404" i="2"/>
  <c r="O1404" i="2"/>
  <c r="N1404" i="2"/>
  <c r="K1404" i="2"/>
  <c r="J1404" i="2"/>
  <c r="I1404" i="2"/>
  <c r="H1404" i="2"/>
  <c r="G1404" i="2"/>
  <c r="F1404" i="2"/>
  <c r="E1404" i="2"/>
  <c r="D1404" i="2"/>
  <c r="C1404" i="2"/>
  <c r="B1404" i="2"/>
  <c r="A1404" i="2"/>
  <c r="AF1403" i="2"/>
  <c r="AE1403" i="2"/>
  <c r="AD1403" i="2"/>
  <c r="AC1403" i="2"/>
  <c r="AB1403" i="2"/>
  <c r="AA1403" i="2"/>
  <c r="Z1403" i="2"/>
  <c r="Y1403" i="2"/>
  <c r="V1403" i="2"/>
  <c r="U1403" i="2"/>
  <c r="T1403" i="2"/>
  <c r="S1403" i="2"/>
  <c r="R1403" i="2"/>
  <c r="Q1403" i="2"/>
  <c r="P1403" i="2"/>
  <c r="O1403" i="2"/>
  <c r="N1403" i="2"/>
  <c r="K1403" i="2"/>
  <c r="J1403" i="2"/>
  <c r="I1403" i="2"/>
  <c r="H1403" i="2"/>
  <c r="G1403" i="2"/>
  <c r="F1403" i="2"/>
  <c r="E1403" i="2"/>
  <c r="D1403" i="2"/>
  <c r="C1403" i="2"/>
  <c r="B1403" i="2"/>
  <c r="A1403" i="2"/>
  <c r="AI1402" i="2"/>
  <c r="AH1402" i="2"/>
  <c r="AG1402" i="2"/>
  <c r="AF1402" i="2"/>
  <c r="AE1402" i="2"/>
  <c r="AD1402" i="2"/>
  <c r="AC1402" i="2"/>
  <c r="AB1402" i="2"/>
  <c r="AA1402" i="2"/>
  <c r="Z1402" i="2"/>
  <c r="Y1402" i="2"/>
  <c r="X1402" i="2"/>
  <c r="W1402" i="2"/>
  <c r="V1402" i="2"/>
  <c r="U1402" i="2"/>
  <c r="T1402" i="2"/>
  <c r="S1402" i="2"/>
  <c r="R1402" i="2"/>
  <c r="Q1402" i="2"/>
  <c r="P1402" i="2"/>
  <c r="O1402" i="2"/>
  <c r="N1402" i="2"/>
  <c r="K1402" i="2"/>
  <c r="J1402" i="2"/>
  <c r="I1402" i="2"/>
  <c r="H1402" i="2"/>
  <c r="G1402" i="2"/>
  <c r="F1402" i="2"/>
  <c r="E1402" i="2"/>
  <c r="D1402" i="2"/>
  <c r="C1402" i="2"/>
  <c r="B1402" i="2"/>
  <c r="A1402" i="2"/>
  <c r="AJ1401" i="2"/>
  <c r="AI1401" i="2"/>
  <c r="AH1401" i="2"/>
  <c r="AG1401" i="2"/>
  <c r="AF1401" i="2"/>
  <c r="AE1401" i="2"/>
  <c r="AD1401" i="2"/>
  <c r="AC1401" i="2"/>
  <c r="AB1401" i="2"/>
  <c r="AA1401" i="2"/>
  <c r="Z1401" i="2"/>
  <c r="Y1401" i="2"/>
  <c r="X1401" i="2"/>
  <c r="W1401" i="2"/>
  <c r="V1401" i="2"/>
  <c r="U1401" i="2"/>
  <c r="T1401" i="2"/>
  <c r="S1401" i="2"/>
  <c r="R1401" i="2"/>
  <c r="Q1401" i="2"/>
  <c r="P1401" i="2"/>
  <c r="O1401" i="2"/>
  <c r="N1401" i="2"/>
  <c r="M1401" i="2"/>
  <c r="K1401" i="2"/>
  <c r="J1401" i="2"/>
  <c r="I1401" i="2"/>
  <c r="H1401" i="2"/>
  <c r="G1401" i="2"/>
  <c r="F1401" i="2"/>
  <c r="E1401" i="2"/>
  <c r="D1401" i="2"/>
  <c r="C1401" i="2"/>
  <c r="B1401" i="2"/>
  <c r="A1401" i="2"/>
  <c r="AJ1400" i="2"/>
  <c r="AI1400" i="2"/>
  <c r="AH1400" i="2"/>
  <c r="AG1400" i="2"/>
  <c r="AF1400" i="2"/>
  <c r="AE1400" i="2"/>
  <c r="AD1400" i="2"/>
  <c r="AC1400" i="2"/>
  <c r="AB1400" i="2"/>
  <c r="AA1400" i="2"/>
  <c r="Z1400" i="2"/>
  <c r="Y1400" i="2"/>
  <c r="X1400" i="2"/>
  <c r="W1400" i="2"/>
  <c r="V1400" i="2"/>
  <c r="U1400" i="2"/>
  <c r="T1400" i="2"/>
  <c r="S1400" i="2"/>
  <c r="R1400" i="2"/>
  <c r="Q1400" i="2"/>
  <c r="P1400" i="2"/>
  <c r="O1400" i="2"/>
  <c r="N1400" i="2"/>
  <c r="K1400" i="2"/>
  <c r="J1400" i="2"/>
  <c r="I1400" i="2"/>
  <c r="H1400" i="2"/>
  <c r="G1400" i="2"/>
  <c r="F1400" i="2"/>
  <c r="E1400" i="2"/>
  <c r="D1400" i="2"/>
  <c r="C1400" i="2"/>
  <c r="B1400" i="2"/>
  <c r="A1400" i="2"/>
  <c r="AJ1399" i="2"/>
  <c r="AI1399" i="2"/>
  <c r="AH1399" i="2"/>
  <c r="AG1399" i="2"/>
  <c r="AF1399" i="2"/>
  <c r="AE1399" i="2"/>
  <c r="AD1399" i="2"/>
  <c r="AC1399" i="2"/>
  <c r="AB1399" i="2"/>
  <c r="AA1399" i="2"/>
  <c r="Z1399" i="2"/>
  <c r="Y1399" i="2"/>
  <c r="W1399" i="2"/>
  <c r="V1399" i="2"/>
  <c r="U1399" i="2"/>
  <c r="T1399" i="2"/>
  <c r="S1399" i="2"/>
  <c r="R1399" i="2"/>
  <c r="Q1399" i="2"/>
  <c r="P1399" i="2"/>
  <c r="O1399" i="2"/>
  <c r="N1399" i="2"/>
  <c r="K1399" i="2"/>
  <c r="J1399" i="2"/>
  <c r="I1399" i="2"/>
  <c r="H1399" i="2"/>
  <c r="G1399" i="2"/>
  <c r="F1399" i="2"/>
  <c r="E1399" i="2"/>
  <c r="D1399" i="2"/>
  <c r="C1399" i="2"/>
  <c r="B1399" i="2"/>
  <c r="A1399" i="2"/>
  <c r="AJ1398" i="2"/>
  <c r="AI1398" i="2"/>
  <c r="AH1398" i="2"/>
  <c r="AG1398" i="2"/>
  <c r="AF1398" i="2"/>
  <c r="AE1398" i="2"/>
  <c r="AD1398" i="2"/>
  <c r="AC1398" i="2"/>
  <c r="AB1398" i="2"/>
  <c r="AA1398" i="2"/>
  <c r="Z1398" i="2"/>
  <c r="Y1398" i="2"/>
  <c r="X1398" i="2"/>
  <c r="W1398" i="2"/>
  <c r="V1398" i="2"/>
  <c r="U1398" i="2"/>
  <c r="T1398" i="2"/>
  <c r="S1398" i="2"/>
  <c r="R1398" i="2"/>
  <c r="Q1398" i="2"/>
  <c r="P1398" i="2"/>
  <c r="O1398" i="2"/>
  <c r="N1398" i="2"/>
  <c r="K1398" i="2"/>
  <c r="J1398" i="2"/>
  <c r="I1398" i="2"/>
  <c r="H1398" i="2"/>
  <c r="G1398" i="2"/>
  <c r="F1398" i="2"/>
  <c r="E1398" i="2"/>
  <c r="D1398" i="2"/>
  <c r="C1398" i="2"/>
  <c r="B1398" i="2"/>
  <c r="A1398" i="2"/>
  <c r="AI1397" i="2"/>
  <c r="AH1397" i="2"/>
  <c r="AF1397" i="2"/>
  <c r="AE1397" i="2"/>
  <c r="AD1397" i="2"/>
  <c r="AC1397" i="2"/>
  <c r="AA1397" i="2"/>
  <c r="Z1397" i="2"/>
  <c r="Y1397" i="2"/>
  <c r="X1397" i="2"/>
  <c r="W1397" i="2"/>
  <c r="V1397" i="2"/>
  <c r="U1397" i="2"/>
  <c r="T1397" i="2"/>
  <c r="S1397" i="2"/>
  <c r="R1397" i="2"/>
  <c r="Q1397" i="2"/>
  <c r="P1397" i="2"/>
  <c r="O1397" i="2"/>
  <c r="N1397" i="2"/>
  <c r="K1397" i="2"/>
  <c r="J1397" i="2"/>
  <c r="I1397" i="2"/>
  <c r="H1397" i="2"/>
  <c r="G1397" i="2"/>
  <c r="F1397" i="2"/>
  <c r="E1397" i="2"/>
  <c r="D1397" i="2"/>
  <c r="C1397" i="2"/>
  <c r="B1397" i="2"/>
  <c r="A1397" i="2"/>
  <c r="AI1396" i="2"/>
  <c r="AH1396" i="2"/>
  <c r="AG1396" i="2"/>
  <c r="AF1396" i="2"/>
  <c r="AE1396" i="2"/>
  <c r="AD1396" i="2"/>
  <c r="AC1396" i="2"/>
  <c r="AB1396" i="2"/>
  <c r="AA1396" i="2"/>
  <c r="Z1396" i="2"/>
  <c r="Y1396" i="2"/>
  <c r="X1396" i="2"/>
  <c r="V1396" i="2"/>
  <c r="U1396" i="2"/>
  <c r="T1396" i="2"/>
  <c r="S1396" i="2"/>
  <c r="R1396" i="2"/>
  <c r="Q1396" i="2"/>
  <c r="P1396" i="2"/>
  <c r="O1396" i="2"/>
  <c r="N1396" i="2"/>
  <c r="K1396" i="2"/>
  <c r="J1396" i="2"/>
  <c r="I1396" i="2"/>
  <c r="H1396" i="2"/>
  <c r="G1396" i="2"/>
  <c r="F1396" i="2"/>
  <c r="E1396" i="2"/>
  <c r="D1396" i="2"/>
  <c r="C1396" i="2"/>
  <c r="B1396" i="2"/>
  <c r="A1396" i="2"/>
  <c r="AI1395" i="2"/>
  <c r="AF1395" i="2"/>
  <c r="AE1395" i="2"/>
  <c r="AD1395" i="2"/>
  <c r="AC1395" i="2"/>
  <c r="AB1395" i="2"/>
  <c r="AA1395" i="2"/>
  <c r="Z1395" i="2"/>
  <c r="Y1395" i="2"/>
  <c r="X1395" i="2"/>
  <c r="W1395" i="2"/>
  <c r="V1395" i="2"/>
  <c r="U1395" i="2"/>
  <c r="T1395" i="2"/>
  <c r="S1395" i="2"/>
  <c r="R1395" i="2"/>
  <c r="Q1395" i="2"/>
  <c r="P1395" i="2"/>
  <c r="O1395" i="2"/>
  <c r="N1395" i="2"/>
  <c r="K1395" i="2"/>
  <c r="J1395" i="2"/>
  <c r="I1395" i="2"/>
  <c r="H1395" i="2"/>
  <c r="G1395" i="2"/>
  <c r="F1395" i="2"/>
  <c r="E1395" i="2"/>
  <c r="D1395" i="2"/>
  <c r="C1395" i="2"/>
  <c r="B1395" i="2"/>
  <c r="A1395" i="2"/>
  <c r="AI1394" i="2"/>
  <c r="AH1394" i="2"/>
  <c r="AG1394" i="2"/>
  <c r="AF1394" i="2"/>
  <c r="AE1394" i="2"/>
  <c r="AD1394" i="2"/>
  <c r="AC1394" i="2"/>
  <c r="AB1394" i="2"/>
  <c r="AA1394" i="2"/>
  <c r="Z1394" i="2"/>
  <c r="Y1394" i="2"/>
  <c r="X1394" i="2"/>
  <c r="W1394" i="2"/>
  <c r="V1394" i="2"/>
  <c r="U1394" i="2"/>
  <c r="T1394" i="2"/>
  <c r="S1394" i="2"/>
  <c r="R1394" i="2"/>
  <c r="Q1394" i="2"/>
  <c r="P1394" i="2"/>
  <c r="O1394" i="2"/>
  <c r="N1394" i="2"/>
  <c r="K1394" i="2"/>
  <c r="J1394" i="2"/>
  <c r="I1394" i="2"/>
  <c r="H1394" i="2"/>
  <c r="G1394" i="2"/>
  <c r="F1394" i="2"/>
  <c r="E1394" i="2"/>
  <c r="D1394" i="2"/>
  <c r="C1394" i="2"/>
  <c r="B1394" i="2"/>
  <c r="A1394" i="2"/>
  <c r="AI1393" i="2"/>
  <c r="AH1393" i="2"/>
  <c r="AG1393" i="2"/>
  <c r="AF1393" i="2"/>
  <c r="AE1393" i="2"/>
  <c r="AD1393" i="2"/>
  <c r="AC1393" i="2"/>
  <c r="AB1393" i="2"/>
  <c r="AA1393" i="2"/>
  <c r="Z1393" i="2"/>
  <c r="Y1393" i="2"/>
  <c r="X1393" i="2"/>
  <c r="W1393" i="2"/>
  <c r="V1393" i="2"/>
  <c r="U1393" i="2"/>
  <c r="T1393" i="2"/>
  <c r="S1393" i="2"/>
  <c r="R1393" i="2"/>
  <c r="Q1393" i="2"/>
  <c r="P1393" i="2"/>
  <c r="O1393" i="2"/>
  <c r="N1393" i="2"/>
  <c r="K1393" i="2"/>
  <c r="J1393" i="2"/>
  <c r="I1393" i="2"/>
  <c r="H1393" i="2"/>
  <c r="G1393" i="2"/>
  <c r="F1393" i="2"/>
  <c r="E1393" i="2"/>
  <c r="D1393" i="2"/>
  <c r="C1393" i="2"/>
  <c r="B1393" i="2"/>
  <c r="A1393" i="2"/>
  <c r="AH1392" i="2"/>
  <c r="AG1392" i="2"/>
  <c r="AF1392" i="2"/>
  <c r="AE1392" i="2"/>
  <c r="AD1392" i="2"/>
  <c r="AC1392" i="2"/>
  <c r="AB1392" i="2"/>
  <c r="AA1392" i="2"/>
  <c r="Z1392" i="2"/>
  <c r="Y1392" i="2"/>
  <c r="X1392" i="2"/>
  <c r="W1392" i="2"/>
  <c r="V1392" i="2"/>
  <c r="U1392" i="2"/>
  <c r="T1392" i="2"/>
  <c r="S1392" i="2"/>
  <c r="R1392" i="2"/>
  <c r="Q1392" i="2"/>
  <c r="P1392" i="2"/>
  <c r="O1392" i="2"/>
  <c r="N1392" i="2"/>
  <c r="K1392" i="2"/>
  <c r="J1392" i="2"/>
  <c r="I1392" i="2"/>
  <c r="H1392" i="2"/>
  <c r="G1392" i="2"/>
  <c r="F1392" i="2"/>
  <c r="E1392" i="2"/>
  <c r="D1392" i="2"/>
  <c r="C1392" i="2"/>
  <c r="B1392" i="2"/>
  <c r="A1392" i="2"/>
  <c r="AI1391" i="2"/>
  <c r="AH1391" i="2"/>
  <c r="AG1391" i="2"/>
  <c r="AF1391" i="2"/>
  <c r="AE1391" i="2"/>
  <c r="AD1391" i="2"/>
  <c r="AC1391" i="2"/>
  <c r="AB1391" i="2"/>
  <c r="AA1391" i="2"/>
  <c r="Z1391" i="2"/>
  <c r="Y1391" i="2"/>
  <c r="X1391" i="2"/>
  <c r="W1391" i="2"/>
  <c r="V1391" i="2"/>
  <c r="U1391" i="2"/>
  <c r="T1391" i="2"/>
  <c r="S1391" i="2"/>
  <c r="R1391" i="2"/>
  <c r="Q1391" i="2"/>
  <c r="P1391" i="2"/>
  <c r="O1391" i="2"/>
  <c r="N1391" i="2"/>
  <c r="K1391" i="2"/>
  <c r="J1391" i="2"/>
  <c r="I1391" i="2"/>
  <c r="H1391" i="2"/>
  <c r="G1391" i="2"/>
  <c r="F1391" i="2"/>
  <c r="E1391" i="2"/>
  <c r="D1391" i="2"/>
  <c r="C1391" i="2"/>
  <c r="B1391" i="2"/>
  <c r="A1391" i="2"/>
  <c r="AI1390" i="2"/>
  <c r="AH1390" i="2"/>
  <c r="AG1390" i="2"/>
  <c r="AF1390" i="2"/>
  <c r="AE1390" i="2"/>
  <c r="AD1390" i="2"/>
  <c r="AC1390" i="2"/>
  <c r="AB1390" i="2"/>
  <c r="AA1390" i="2"/>
  <c r="Z1390" i="2"/>
  <c r="Y1390" i="2"/>
  <c r="X1390" i="2"/>
  <c r="U1390" i="2"/>
  <c r="T1390" i="2"/>
  <c r="S1390" i="2"/>
  <c r="R1390" i="2"/>
  <c r="Q1390" i="2"/>
  <c r="P1390" i="2"/>
  <c r="O1390" i="2"/>
  <c r="N1390" i="2"/>
  <c r="K1390" i="2"/>
  <c r="J1390" i="2"/>
  <c r="I1390" i="2"/>
  <c r="H1390" i="2"/>
  <c r="G1390" i="2"/>
  <c r="F1390" i="2"/>
  <c r="E1390" i="2"/>
  <c r="D1390" i="2"/>
  <c r="C1390" i="2"/>
  <c r="B1390" i="2"/>
  <c r="A1390" i="2"/>
  <c r="AI1389" i="2"/>
  <c r="AH1389" i="2"/>
  <c r="AG1389" i="2"/>
  <c r="AF1389" i="2"/>
  <c r="AE1389" i="2"/>
  <c r="AD1389" i="2"/>
  <c r="AC1389" i="2"/>
  <c r="AB1389" i="2"/>
  <c r="AA1389" i="2"/>
  <c r="Z1389" i="2"/>
  <c r="Y1389" i="2"/>
  <c r="X1389" i="2"/>
  <c r="W1389" i="2"/>
  <c r="V1389" i="2"/>
  <c r="U1389" i="2"/>
  <c r="T1389" i="2"/>
  <c r="S1389" i="2"/>
  <c r="R1389" i="2"/>
  <c r="Q1389" i="2"/>
  <c r="P1389" i="2"/>
  <c r="O1389" i="2"/>
  <c r="N1389" i="2"/>
  <c r="K1389" i="2"/>
  <c r="J1389" i="2"/>
  <c r="I1389" i="2"/>
  <c r="H1389" i="2"/>
  <c r="G1389" i="2"/>
  <c r="F1389" i="2"/>
  <c r="E1389" i="2"/>
  <c r="D1389" i="2"/>
  <c r="C1389" i="2"/>
  <c r="B1389" i="2"/>
  <c r="A1389" i="2"/>
  <c r="AI1388" i="2"/>
  <c r="AH1388" i="2"/>
  <c r="AF1388" i="2"/>
  <c r="AE1388" i="2"/>
  <c r="AD1388" i="2"/>
  <c r="AC1388" i="2"/>
  <c r="AB1388" i="2"/>
  <c r="AA1388" i="2"/>
  <c r="Z1388" i="2"/>
  <c r="Y1388" i="2"/>
  <c r="X1388" i="2"/>
  <c r="W1388" i="2"/>
  <c r="V1388" i="2"/>
  <c r="U1388" i="2"/>
  <c r="T1388" i="2"/>
  <c r="S1388" i="2"/>
  <c r="R1388" i="2"/>
  <c r="Q1388" i="2"/>
  <c r="P1388" i="2"/>
  <c r="O1388" i="2"/>
  <c r="N1388" i="2"/>
  <c r="K1388" i="2"/>
  <c r="J1388" i="2"/>
  <c r="I1388" i="2"/>
  <c r="H1388" i="2"/>
  <c r="G1388" i="2"/>
  <c r="F1388" i="2"/>
  <c r="E1388" i="2"/>
  <c r="D1388" i="2"/>
  <c r="C1388" i="2"/>
  <c r="B1388" i="2"/>
  <c r="A1388" i="2"/>
  <c r="AI1387" i="2"/>
  <c r="AH1387" i="2"/>
  <c r="AG1387" i="2"/>
  <c r="AF1387" i="2"/>
  <c r="AE1387" i="2"/>
  <c r="AD1387" i="2"/>
  <c r="AC1387" i="2"/>
  <c r="AA1387" i="2"/>
  <c r="Z1387" i="2"/>
  <c r="Y1387" i="2"/>
  <c r="X1387" i="2"/>
  <c r="W1387" i="2"/>
  <c r="V1387" i="2"/>
  <c r="U1387" i="2"/>
  <c r="T1387" i="2"/>
  <c r="S1387" i="2"/>
  <c r="R1387" i="2"/>
  <c r="Q1387" i="2"/>
  <c r="P1387" i="2"/>
  <c r="O1387" i="2"/>
  <c r="N1387" i="2"/>
  <c r="K1387" i="2"/>
  <c r="J1387" i="2"/>
  <c r="I1387" i="2"/>
  <c r="H1387" i="2"/>
  <c r="G1387" i="2"/>
  <c r="F1387" i="2"/>
  <c r="E1387" i="2"/>
  <c r="D1387" i="2"/>
  <c r="C1387" i="2"/>
  <c r="B1387" i="2"/>
  <c r="A1387" i="2"/>
  <c r="AI1386" i="2"/>
  <c r="AH1386" i="2"/>
  <c r="AF1386" i="2"/>
  <c r="AE1386" i="2"/>
  <c r="AD1386" i="2"/>
  <c r="AC1386" i="2"/>
  <c r="AB1386" i="2"/>
  <c r="AA1386" i="2"/>
  <c r="Z1386" i="2"/>
  <c r="Y1386" i="2"/>
  <c r="X1386" i="2"/>
  <c r="W1386" i="2"/>
  <c r="V1386" i="2"/>
  <c r="U1386" i="2"/>
  <c r="T1386" i="2"/>
  <c r="S1386" i="2"/>
  <c r="R1386" i="2"/>
  <c r="Q1386" i="2"/>
  <c r="P1386" i="2"/>
  <c r="O1386" i="2"/>
  <c r="N1386" i="2"/>
  <c r="K1386" i="2"/>
  <c r="J1386" i="2"/>
  <c r="I1386" i="2"/>
  <c r="H1386" i="2"/>
  <c r="G1386" i="2"/>
  <c r="F1386" i="2"/>
  <c r="E1386" i="2"/>
  <c r="D1386" i="2"/>
  <c r="C1386" i="2"/>
  <c r="B1386" i="2"/>
  <c r="A1386" i="2"/>
  <c r="AI1385" i="2"/>
  <c r="AH1385" i="2"/>
  <c r="AF1385" i="2"/>
  <c r="AE1385" i="2"/>
  <c r="AD1385" i="2"/>
  <c r="AC1385" i="2"/>
  <c r="AB1385" i="2"/>
  <c r="AA1385" i="2"/>
  <c r="Z1385" i="2"/>
  <c r="Y1385" i="2"/>
  <c r="X1385" i="2"/>
  <c r="W1385" i="2"/>
  <c r="V1385" i="2"/>
  <c r="U1385" i="2"/>
  <c r="T1385" i="2"/>
  <c r="S1385" i="2"/>
  <c r="R1385" i="2"/>
  <c r="Q1385" i="2"/>
  <c r="P1385" i="2"/>
  <c r="O1385" i="2"/>
  <c r="N1385" i="2"/>
  <c r="K1385" i="2"/>
  <c r="J1385" i="2"/>
  <c r="I1385" i="2"/>
  <c r="H1385" i="2"/>
  <c r="G1385" i="2"/>
  <c r="F1385" i="2"/>
  <c r="E1385" i="2"/>
  <c r="D1385" i="2"/>
  <c r="C1385" i="2"/>
  <c r="B1385" i="2"/>
  <c r="A1385" i="2"/>
  <c r="AI1384" i="2"/>
  <c r="AH1384" i="2"/>
  <c r="AG1384" i="2"/>
  <c r="AF1384" i="2"/>
  <c r="AE1384" i="2"/>
  <c r="AD1384" i="2"/>
  <c r="AC1384" i="2"/>
  <c r="AB1384" i="2"/>
  <c r="AA1384" i="2"/>
  <c r="Z1384" i="2"/>
  <c r="Y1384" i="2"/>
  <c r="X1384" i="2"/>
  <c r="W1384" i="2"/>
  <c r="V1384" i="2"/>
  <c r="U1384" i="2"/>
  <c r="T1384" i="2"/>
  <c r="S1384" i="2"/>
  <c r="R1384" i="2"/>
  <c r="Q1384" i="2"/>
  <c r="P1384" i="2"/>
  <c r="O1384" i="2"/>
  <c r="N1384" i="2"/>
  <c r="K1384" i="2"/>
  <c r="J1384" i="2"/>
  <c r="I1384" i="2"/>
  <c r="H1384" i="2"/>
  <c r="G1384" i="2"/>
  <c r="F1384" i="2"/>
  <c r="E1384" i="2"/>
  <c r="D1384" i="2"/>
  <c r="C1384" i="2"/>
  <c r="B1384" i="2"/>
  <c r="A1384" i="2"/>
  <c r="AH1383" i="2"/>
  <c r="AG1383" i="2"/>
  <c r="AF1383" i="2"/>
  <c r="AE1383" i="2"/>
  <c r="AD1383" i="2"/>
  <c r="AC1383" i="2"/>
  <c r="AA1383" i="2"/>
  <c r="Z1383" i="2"/>
  <c r="Y1383" i="2"/>
  <c r="X1383" i="2"/>
  <c r="U1383" i="2"/>
  <c r="T1383" i="2"/>
  <c r="S1383" i="2"/>
  <c r="R1383" i="2"/>
  <c r="Q1383" i="2"/>
  <c r="P1383" i="2"/>
  <c r="O1383" i="2"/>
  <c r="N1383" i="2"/>
  <c r="K1383" i="2"/>
  <c r="J1383" i="2"/>
  <c r="I1383" i="2"/>
  <c r="H1383" i="2"/>
  <c r="G1383" i="2"/>
  <c r="F1383" i="2"/>
  <c r="E1383" i="2"/>
  <c r="D1383" i="2"/>
  <c r="C1383" i="2"/>
  <c r="B1383" i="2"/>
  <c r="A1383" i="2"/>
  <c r="AJ1382" i="2"/>
  <c r="AI1382" i="2"/>
  <c r="AH1382" i="2"/>
  <c r="AF1382" i="2"/>
  <c r="AE1382" i="2"/>
  <c r="AD1382" i="2"/>
  <c r="AC1382" i="2"/>
  <c r="AA1382" i="2"/>
  <c r="Z1382" i="2"/>
  <c r="Y1382" i="2"/>
  <c r="X1382" i="2"/>
  <c r="W1382" i="2"/>
  <c r="V1382" i="2"/>
  <c r="U1382" i="2"/>
  <c r="T1382" i="2"/>
  <c r="S1382" i="2"/>
  <c r="R1382" i="2"/>
  <c r="Q1382" i="2"/>
  <c r="P1382" i="2"/>
  <c r="O1382" i="2"/>
  <c r="N1382" i="2"/>
  <c r="K1382" i="2"/>
  <c r="J1382" i="2"/>
  <c r="I1382" i="2"/>
  <c r="H1382" i="2"/>
  <c r="G1382" i="2"/>
  <c r="F1382" i="2"/>
  <c r="E1382" i="2"/>
  <c r="D1382" i="2"/>
  <c r="C1382" i="2"/>
  <c r="B1382" i="2"/>
  <c r="A1382" i="2"/>
  <c r="AI1381" i="2"/>
  <c r="AH1381" i="2"/>
  <c r="AG1381" i="2"/>
  <c r="AF1381" i="2"/>
  <c r="AE1381" i="2"/>
  <c r="AD1381" i="2"/>
  <c r="AC1381" i="2"/>
  <c r="AB1381" i="2"/>
  <c r="AA1381" i="2"/>
  <c r="Z1381" i="2"/>
  <c r="Y1381" i="2"/>
  <c r="X1381" i="2"/>
  <c r="W1381" i="2"/>
  <c r="V1381" i="2"/>
  <c r="U1381" i="2"/>
  <c r="T1381" i="2"/>
  <c r="S1381" i="2"/>
  <c r="R1381" i="2"/>
  <c r="Q1381" i="2"/>
  <c r="P1381" i="2"/>
  <c r="O1381" i="2"/>
  <c r="N1381" i="2"/>
  <c r="K1381" i="2"/>
  <c r="J1381" i="2"/>
  <c r="I1381" i="2"/>
  <c r="H1381" i="2"/>
  <c r="G1381" i="2"/>
  <c r="F1381" i="2"/>
  <c r="E1381" i="2"/>
  <c r="D1381" i="2"/>
  <c r="C1381" i="2"/>
  <c r="B1381" i="2"/>
  <c r="A1381" i="2"/>
  <c r="AI1380" i="2"/>
  <c r="AH1380" i="2"/>
  <c r="AG1380" i="2"/>
  <c r="AF1380" i="2"/>
  <c r="AE1380" i="2"/>
  <c r="AD1380" i="2"/>
  <c r="AC1380" i="2"/>
  <c r="AB1380" i="2"/>
  <c r="AA1380" i="2"/>
  <c r="Z1380" i="2"/>
  <c r="Y1380" i="2"/>
  <c r="X1380" i="2"/>
  <c r="W1380" i="2"/>
  <c r="V1380" i="2"/>
  <c r="U1380" i="2"/>
  <c r="T1380" i="2"/>
  <c r="S1380" i="2"/>
  <c r="R1380" i="2"/>
  <c r="Q1380" i="2"/>
  <c r="P1380" i="2"/>
  <c r="O1380" i="2"/>
  <c r="N1380" i="2"/>
  <c r="K1380" i="2"/>
  <c r="J1380" i="2"/>
  <c r="I1380" i="2"/>
  <c r="H1380" i="2"/>
  <c r="G1380" i="2"/>
  <c r="F1380" i="2"/>
  <c r="E1380" i="2"/>
  <c r="D1380" i="2"/>
  <c r="C1380" i="2"/>
  <c r="B1380" i="2"/>
  <c r="A1380" i="2"/>
  <c r="AI1379" i="2"/>
  <c r="AH1379" i="2"/>
  <c r="AG1379" i="2"/>
  <c r="AF1379" i="2"/>
  <c r="AE1379" i="2"/>
  <c r="AD1379" i="2"/>
  <c r="AC1379" i="2"/>
  <c r="AB1379" i="2"/>
  <c r="AA1379" i="2"/>
  <c r="Z1379" i="2"/>
  <c r="Y1379" i="2"/>
  <c r="X1379" i="2"/>
  <c r="W1379" i="2"/>
  <c r="V1379" i="2"/>
  <c r="U1379" i="2"/>
  <c r="T1379" i="2"/>
  <c r="S1379" i="2"/>
  <c r="R1379" i="2"/>
  <c r="Q1379" i="2"/>
  <c r="P1379" i="2"/>
  <c r="O1379" i="2"/>
  <c r="N1379" i="2"/>
  <c r="K1379" i="2"/>
  <c r="J1379" i="2"/>
  <c r="I1379" i="2"/>
  <c r="H1379" i="2"/>
  <c r="G1379" i="2"/>
  <c r="F1379" i="2"/>
  <c r="E1379" i="2"/>
  <c r="D1379" i="2"/>
  <c r="C1379" i="2"/>
  <c r="B1379" i="2"/>
  <c r="A1379" i="2"/>
  <c r="AI1378" i="2"/>
  <c r="AH1378" i="2"/>
  <c r="AG1378" i="2"/>
  <c r="AF1378" i="2"/>
  <c r="AE1378" i="2"/>
  <c r="AD1378" i="2"/>
  <c r="AC1378" i="2"/>
  <c r="AB1378" i="2"/>
  <c r="AA1378" i="2"/>
  <c r="Z1378" i="2"/>
  <c r="Y1378" i="2"/>
  <c r="X1378" i="2"/>
  <c r="W1378" i="2"/>
  <c r="V1378" i="2"/>
  <c r="U1378" i="2"/>
  <c r="T1378" i="2"/>
  <c r="S1378" i="2"/>
  <c r="R1378" i="2"/>
  <c r="Q1378" i="2"/>
  <c r="P1378" i="2"/>
  <c r="O1378" i="2"/>
  <c r="N1378" i="2"/>
  <c r="K1378" i="2"/>
  <c r="J1378" i="2"/>
  <c r="I1378" i="2"/>
  <c r="H1378" i="2"/>
  <c r="G1378" i="2"/>
  <c r="F1378" i="2"/>
  <c r="E1378" i="2"/>
  <c r="D1378" i="2"/>
  <c r="C1378" i="2"/>
  <c r="B1378" i="2"/>
  <c r="A1378" i="2"/>
  <c r="AI1377" i="2"/>
  <c r="AH1377" i="2"/>
  <c r="AG1377" i="2"/>
  <c r="AF1377" i="2"/>
  <c r="AE1377" i="2"/>
  <c r="AD1377" i="2"/>
  <c r="AC1377" i="2"/>
  <c r="AA1377" i="2"/>
  <c r="Z1377" i="2"/>
  <c r="Y1377" i="2"/>
  <c r="X1377" i="2"/>
  <c r="W1377" i="2"/>
  <c r="V1377" i="2"/>
  <c r="U1377" i="2"/>
  <c r="T1377" i="2"/>
  <c r="S1377" i="2"/>
  <c r="R1377" i="2"/>
  <c r="Q1377" i="2"/>
  <c r="P1377" i="2"/>
  <c r="O1377" i="2"/>
  <c r="N1377" i="2"/>
  <c r="K1377" i="2"/>
  <c r="J1377" i="2"/>
  <c r="I1377" i="2"/>
  <c r="H1377" i="2"/>
  <c r="G1377" i="2"/>
  <c r="F1377" i="2"/>
  <c r="E1377" i="2"/>
  <c r="D1377" i="2"/>
  <c r="C1377" i="2"/>
  <c r="B1377" i="2"/>
  <c r="A1377" i="2"/>
  <c r="AI1376" i="2"/>
  <c r="AH1376" i="2"/>
  <c r="AG1376" i="2"/>
  <c r="AF1376" i="2"/>
  <c r="AE1376" i="2"/>
  <c r="AD1376" i="2"/>
  <c r="AC1376" i="2"/>
  <c r="AB1376" i="2"/>
  <c r="AA1376" i="2"/>
  <c r="Z1376" i="2"/>
  <c r="Y1376" i="2"/>
  <c r="X1376" i="2"/>
  <c r="U1376" i="2"/>
  <c r="T1376" i="2"/>
  <c r="S1376" i="2"/>
  <c r="R1376" i="2"/>
  <c r="Q1376" i="2"/>
  <c r="P1376" i="2"/>
  <c r="O1376" i="2"/>
  <c r="N1376" i="2"/>
  <c r="K1376" i="2"/>
  <c r="J1376" i="2"/>
  <c r="I1376" i="2"/>
  <c r="H1376" i="2"/>
  <c r="G1376" i="2"/>
  <c r="F1376" i="2"/>
  <c r="E1376" i="2"/>
  <c r="D1376" i="2"/>
  <c r="C1376" i="2"/>
  <c r="B1376" i="2"/>
  <c r="A1376" i="2"/>
  <c r="AI1375" i="2"/>
  <c r="AH1375" i="2"/>
  <c r="AG1375" i="2"/>
  <c r="AF1375" i="2"/>
  <c r="AE1375" i="2"/>
  <c r="AD1375" i="2"/>
  <c r="AC1375" i="2"/>
  <c r="AB1375" i="2"/>
  <c r="AA1375" i="2"/>
  <c r="Z1375" i="2"/>
  <c r="Y1375" i="2"/>
  <c r="X1375" i="2"/>
  <c r="U1375" i="2"/>
  <c r="T1375" i="2"/>
  <c r="S1375" i="2"/>
  <c r="R1375" i="2"/>
  <c r="Q1375" i="2"/>
  <c r="P1375" i="2"/>
  <c r="O1375" i="2"/>
  <c r="N1375" i="2"/>
  <c r="K1375" i="2"/>
  <c r="J1375" i="2"/>
  <c r="I1375" i="2"/>
  <c r="H1375" i="2"/>
  <c r="G1375" i="2"/>
  <c r="F1375" i="2"/>
  <c r="E1375" i="2"/>
  <c r="D1375" i="2"/>
  <c r="C1375" i="2"/>
  <c r="B1375" i="2"/>
  <c r="A1375" i="2"/>
  <c r="AI1374" i="2"/>
  <c r="AH1374" i="2"/>
  <c r="AG1374" i="2"/>
  <c r="AF1374" i="2"/>
  <c r="AE1374" i="2"/>
  <c r="AD1374" i="2"/>
  <c r="AC1374" i="2"/>
  <c r="AB1374" i="2"/>
  <c r="AA1374" i="2"/>
  <c r="Z1374" i="2"/>
  <c r="Y1374" i="2"/>
  <c r="X1374" i="2"/>
  <c r="W1374" i="2"/>
  <c r="V1374" i="2"/>
  <c r="U1374" i="2"/>
  <c r="T1374" i="2"/>
  <c r="S1374" i="2"/>
  <c r="R1374" i="2"/>
  <c r="Q1374" i="2"/>
  <c r="P1374" i="2"/>
  <c r="O1374" i="2"/>
  <c r="N1374" i="2"/>
  <c r="K1374" i="2"/>
  <c r="J1374" i="2"/>
  <c r="I1374" i="2"/>
  <c r="H1374" i="2"/>
  <c r="G1374" i="2"/>
  <c r="F1374" i="2"/>
  <c r="E1374" i="2"/>
  <c r="D1374" i="2"/>
  <c r="C1374" i="2"/>
  <c r="B1374" i="2"/>
  <c r="A1374" i="2"/>
  <c r="AI1373" i="2"/>
  <c r="AH1373" i="2"/>
  <c r="AG1373" i="2"/>
  <c r="AF1373" i="2"/>
  <c r="AE1373" i="2"/>
  <c r="AD1373" i="2"/>
  <c r="AC1373" i="2"/>
  <c r="AA1373" i="2"/>
  <c r="Z1373" i="2"/>
  <c r="Y1373" i="2"/>
  <c r="V1373" i="2"/>
  <c r="U1373" i="2"/>
  <c r="T1373" i="2"/>
  <c r="S1373" i="2"/>
  <c r="R1373" i="2"/>
  <c r="Q1373" i="2"/>
  <c r="P1373" i="2"/>
  <c r="O1373" i="2"/>
  <c r="N1373" i="2"/>
  <c r="K1373" i="2"/>
  <c r="J1373" i="2"/>
  <c r="I1373" i="2"/>
  <c r="H1373" i="2"/>
  <c r="G1373" i="2"/>
  <c r="F1373" i="2"/>
  <c r="E1373" i="2"/>
  <c r="D1373" i="2"/>
  <c r="C1373" i="2"/>
  <c r="B1373" i="2"/>
  <c r="A1373" i="2"/>
  <c r="AI1372" i="2"/>
  <c r="AH1372" i="2"/>
  <c r="AG1372" i="2"/>
  <c r="AF1372" i="2"/>
  <c r="AE1372" i="2"/>
  <c r="AD1372" i="2"/>
  <c r="AC1372" i="2"/>
  <c r="AA1372" i="2"/>
  <c r="Z1372" i="2"/>
  <c r="Y1372" i="2"/>
  <c r="X1372" i="2"/>
  <c r="V1372" i="2"/>
  <c r="U1372" i="2"/>
  <c r="T1372" i="2"/>
  <c r="S1372" i="2"/>
  <c r="R1372" i="2"/>
  <c r="Q1372" i="2"/>
  <c r="P1372" i="2"/>
  <c r="O1372" i="2"/>
  <c r="N1372" i="2"/>
  <c r="K1372" i="2"/>
  <c r="J1372" i="2"/>
  <c r="I1372" i="2"/>
  <c r="H1372" i="2"/>
  <c r="G1372" i="2"/>
  <c r="F1372" i="2"/>
  <c r="E1372" i="2"/>
  <c r="D1372" i="2"/>
  <c r="C1372" i="2"/>
  <c r="B1372" i="2"/>
  <c r="A1372" i="2"/>
  <c r="AI1371" i="2"/>
  <c r="AH1371" i="2"/>
  <c r="AG1371" i="2"/>
  <c r="AF1371" i="2"/>
  <c r="AE1371" i="2"/>
  <c r="AD1371" i="2"/>
  <c r="AC1371" i="2"/>
  <c r="AB1371" i="2"/>
  <c r="AA1371" i="2"/>
  <c r="Z1371" i="2"/>
  <c r="Y1371" i="2"/>
  <c r="X1371" i="2"/>
  <c r="W1371" i="2"/>
  <c r="V1371" i="2"/>
  <c r="U1371" i="2"/>
  <c r="T1371" i="2"/>
  <c r="S1371" i="2"/>
  <c r="R1371" i="2"/>
  <c r="Q1371" i="2"/>
  <c r="P1371" i="2"/>
  <c r="O1371" i="2"/>
  <c r="N1371" i="2"/>
  <c r="K1371" i="2"/>
  <c r="J1371" i="2"/>
  <c r="I1371" i="2"/>
  <c r="H1371" i="2"/>
  <c r="G1371" i="2"/>
  <c r="F1371" i="2"/>
  <c r="E1371" i="2"/>
  <c r="D1371" i="2"/>
  <c r="C1371" i="2"/>
  <c r="B1371" i="2"/>
  <c r="A1371" i="2"/>
  <c r="AI1370" i="2"/>
  <c r="AH1370" i="2"/>
  <c r="AG1370" i="2"/>
  <c r="AF1370" i="2"/>
  <c r="AE1370" i="2"/>
  <c r="AD1370" i="2"/>
  <c r="AC1370" i="2"/>
  <c r="AB1370" i="2"/>
  <c r="AA1370" i="2"/>
  <c r="Z1370" i="2"/>
  <c r="Y1370" i="2"/>
  <c r="X1370" i="2"/>
  <c r="W1370" i="2"/>
  <c r="V1370" i="2"/>
  <c r="U1370" i="2"/>
  <c r="T1370" i="2"/>
  <c r="S1370" i="2"/>
  <c r="R1370" i="2"/>
  <c r="Q1370" i="2"/>
  <c r="P1370" i="2"/>
  <c r="O1370" i="2"/>
  <c r="N1370" i="2"/>
  <c r="K1370" i="2"/>
  <c r="J1370" i="2"/>
  <c r="I1370" i="2"/>
  <c r="H1370" i="2"/>
  <c r="G1370" i="2"/>
  <c r="F1370" i="2"/>
  <c r="E1370" i="2"/>
  <c r="D1370" i="2"/>
  <c r="C1370" i="2"/>
  <c r="B1370" i="2"/>
  <c r="A1370" i="2"/>
  <c r="AI1369" i="2"/>
  <c r="AH1369" i="2"/>
  <c r="AF1369" i="2"/>
  <c r="AE1369" i="2"/>
  <c r="AD1369" i="2"/>
  <c r="AC1369" i="2"/>
  <c r="AB1369" i="2"/>
  <c r="AA1369" i="2"/>
  <c r="Z1369" i="2"/>
  <c r="Y1369" i="2"/>
  <c r="X1369" i="2"/>
  <c r="W1369" i="2"/>
  <c r="V1369" i="2"/>
  <c r="U1369" i="2"/>
  <c r="T1369" i="2"/>
  <c r="S1369" i="2"/>
  <c r="R1369" i="2"/>
  <c r="Q1369" i="2"/>
  <c r="P1369" i="2"/>
  <c r="O1369" i="2"/>
  <c r="N1369" i="2"/>
  <c r="K1369" i="2"/>
  <c r="J1369" i="2"/>
  <c r="I1369" i="2"/>
  <c r="H1369" i="2"/>
  <c r="G1369" i="2"/>
  <c r="F1369" i="2"/>
  <c r="E1369" i="2"/>
  <c r="D1369" i="2"/>
  <c r="C1369" i="2"/>
  <c r="B1369" i="2"/>
  <c r="A1369" i="2"/>
  <c r="AI1368" i="2"/>
  <c r="AH1368" i="2"/>
  <c r="AG1368" i="2"/>
  <c r="AF1368" i="2"/>
  <c r="AE1368" i="2"/>
  <c r="AD1368" i="2"/>
  <c r="AC1368" i="2"/>
  <c r="AB1368" i="2"/>
  <c r="AA1368" i="2"/>
  <c r="Z1368" i="2"/>
  <c r="Y1368" i="2"/>
  <c r="X1368" i="2"/>
  <c r="W1368" i="2"/>
  <c r="V1368" i="2"/>
  <c r="U1368" i="2"/>
  <c r="T1368" i="2"/>
  <c r="S1368" i="2"/>
  <c r="R1368" i="2"/>
  <c r="Q1368" i="2"/>
  <c r="P1368" i="2"/>
  <c r="O1368" i="2"/>
  <c r="N1368" i="2"/>
  <c r="K1368" i="2"/>
  <c r="J1368" i="2"/>
  <c r="I1368" i="2"/>
  <c r="H1368" i="2"/>
  <c r="G1368" i="2"/>
  <c r="F1368" i="2"/>
  <c r="E1368" i="2"/>
  <c r="D1368" i="2"/>
  <c r="C1368" i="2"/>
  <c r="B1368" i="2"/>
  <c r="A1368" i="2"/>
  <c r="AI1367" i="2"/>
  <c r="AH1367" i="2"/>
  <c r="AG1367" i="2"/>
  <c r="AF1367" i="2"/>
  <c r="AE1367" i="2"/>
  <c r="AD1367" i="2"/>
  <c r="AC1367" i="2"/>
  <c r="AB1367" i="2"/>
  <c r="AA1367" i="2"/>
  <c r="Z1367" i="2"/>
  <c r="Y1367" i="2"/>
  <c r="X1367" i="2"/>
  <c r="W1367" i="2"/>
  <c r="V1367" i="2"/>
  <c r="U1367" i="2"/>
  <c r="T1367" i="2"/>
  <c r="S1367" i="2"/>
  <c r="R1367" i="2"/>
  <c r="Q1367" i="2"/>
  <c r="P1367" i="2"/>
  <c r="O1367" i="2"/>
  <c r="N1367" i="2"/>
  <c r="K1367" i="2"/>
  <c r="J1367" i="2"/>
  <c r="I1367" i="2"/>
  <c r="H1367" i="2"/>
  <c r="G1367" i="2"/>
  <c r="F1367" i="2"/>
  <c r="E1367" i="2"/>
  <c r="D1367" i="2"/>
  <c r="C1367" i="2"/>
  <c r="B1367" i="2"/>
  <c r="A1367" i="2"/>
  <c r="AI1366" i="2"/>
  <c r="AH1366" i="2"/>
  <c r="AG1366" i="2"/>
  <c r="AF1366" i="2"/>
  <c r="AE1366" i="2"/>
  <c r="AD1366" i="2"/>
  <c r="AC1366" i="2"/>
  <c r="AB1366" i="2"/>
  <c r="AA1366" i="2"/>
  <c r="Z1366" i="2"/>
  <c r="Y1366" i="2"/>
  <c r="X1366" i="2"/>
  <c r="W1366" i="2"/>
  <c r="V1366" i="2"/>
  <c r="U1366" i="2"/>
  <c r="T1366" i="2"/>
  <c r="S1366" i="2"/>
  <c r="R1366" i="2"/>
  <c r="Q1366" i="2"/>
  <c r="P1366" i="2"/>
  <c r="O1366" i="2"/>
  <c r="N1366" i="2"/>
  <c r="K1366" i="2"/>
  <c r="J1366" i="2"/>
  <c r="I1366" i="2"/>
  <c r="H1366" i="2"/>
  <c r="G1366" i="2"/>
  <c r="F1366" i="2"/>
  <c r="E1366" i="2"/>
  <c r="D1366" i="2"/>
  <c r="C1366" i="2"/>
  <c r="B1366" i="2"/>
  <c r="A1366" i="2"/>
  <c r="AI1365" i="2"/>
  <c r="AH1365" i="2"/>
  <c r="AG1365" i="2"/>
  <c r="AF1365" i="2"/>
  <c r="AE1365" i="2"/>
  <c r="AD1365" i="2"/>
  <c r="AC1365" i="2"/>
  <c r="AB1365" i="2"/>
  <c r="AA1365" i="2"/>
  <c r="Z1365" i="2"/>
  <c r="Y1365" i="2"/>
  <c r="X1365" i="2"/>
  <c r="U1365" i="2"/>
  <c r="T1365" i="2"/>
  <c r="S1365" i="2"/>
  <c r="R1365" i="2"/>
  <c r="Q1365" i="2"/>
  <c r="P1365" i="2"/>
  <c r="O1365" i="2"/>
  <c r="N1365" i="2"/>
  <c r="K1365" i="2"/>
  <c r="J1365" i="2"/>
  <c r="I1365" i="2"/>
  <c r="H1365" i="2"/>
  <c r="G1365" i="2"/>
  <c r="F1365" i="2"/>
  <c r="E1365" i="2"/>
  <c r="D1365" i="2"/>
  <c r="C1365" i="2"/>
  <c r="B1365" i="2"/>
  <c r="A1365" i="2"/>
  <c r="AI1364" i="2"/>
  <c r="AH1364" i="2"/>
  <c r="AG1364" i="2"/>
  <c r="AF1364" i="2"/>
  <c r="AE1364" i="2"/>
  <c r="AD1364" i="2"/>
  <c r="AC1364" i="2"/>
  <c r="AB1364" i="2"/>
  <c r="AA1364" i="2"/>
  <c r="Z1364" i="2"/>
  <c r="Y1364" i="2"/>
  <c r="X1364" i="2"/>
  <c r="W1364" i="2"/>
  <c r="V1364" i="2"/>
  <c r="U1364" i="2"/>
  <c r="T1364" i="2"/>
  <c r="S1364" i="2"/>
  <c r="R1364" i="2"/>
  <c r="Q1364" i="2"/>
  <c r="P1364" i="2"/>
  <c r="O1364" i="2"/>
  <c r="N1364" i="2"/>
  <c r="K1364" i="2"/>
  <c r="J1364" i="2"/>
  <c r="I1364" i="2"/>
  <c r="H1364" i="2"/>
  <c r="G1364" i="2"/>
  <c r="F1364" i="2"/>
  <c r="E1364" i="2"/>
  <c r="D1364" i="2"/>
  <c r="C1364" i="2"/>
  <c r="B1364" i="2"/>
  <c r="A1364" i="2"/>
  <c r="AJ1363" i="2"/>
  <c r="AI1363" i="2"/>
  <c r="AH1363" i="2"/>
  <c r="AG1363" i="2"/>
  <c r="AF1363" i="2"/>
  <c r="AE1363" i="2"/>
  <c r="AD1363" i="2"/>
  <c r="AC1363" i="2"/>
  <c r="AB1363" i="2"/>
  <c r="AA1363" i="2"/>
  <c r="Z1363" i="2"/>
  <c r="Y1363" i="2"/>
  <c r="W1363" i="2"/>
  <c r="V1363" i="2"/>
  <c r="U1363" i="2"/>
  <c r="T1363" i="2"/>
  <c r="S1363" i="2"/>
  <c r="R1363" i="2"/>
  <c r="Q1363" i="2"/>
  <c r="P1363" i="2"/>
  <c r="O1363" i="2"/>
  <c r="N1363" i="2"/>
  <c r="K1363" i="2"/>
  <c r="J1363" i="2"/>
  <c r="I1363" i="2"/>
  <c r="H1363" i="2"/>
  <c r="G1363" i="2"/>
  <c r="F1363" i="2"/>
  <c r="E1363" i="2"/>
  <c r="D1363" i="2"/>
  <c r="C1363" i="2"/>
  <c r="B1363" i="2"/>
  <c r="A1363" i="2"/>
  <c r="AI1362" i="2"/>
  <c r="AH1362" i="2"/>
  <c r="AG1362" i="2"/>
  <c r="AF1362" i="2"/>
  <c r="AE1362" i="2"/>
  <c r="AD1362" i="2"/>
  <c r="AC1362" i="2"/>
  <c r="AB1362" i="2"/>
  <c r="AA1362" i="2"/>
  <c r="Z1362" i="2"/>
  <c r="Y1362" i="2"/>
  <c r="U1362" i="2"/>
  <c r="T1362" i="2"/>
  <c r="S1362" i="2"/>
  <c r="R1362" i="2"/>
  <c r="Q1362" i="2"/>
  <c r="P1362" i="2"/>
  <c r="O1362" i="2"/>
  <c r="N1362" i="2"/>
  <c r="K1362" i="2"/>
  <c r="J1362" i="2"/>
  <c r="I1362" i="2"/>
  <c r="H1362" i="2"/>
  <c r="G1362" i="2"/>
  <c r="F1362" i="2"/>
  <c r="E1362" i="2"/>
  <c r="D1362" i="2"/>
  <c r="C1362" i="2"/>
  <c r="B1362" i="2"/>
  <c r="A1362" i="2"/>
  <c r="AI1361" i="2"/>
  <c r="AH1361" i="2"/>
  <c r="AG1361" i="2"/>
  <c r="AF1361" i="2"/>
  <c r="AE1361" i="2"/>
  <c r="AD1361" i="2"/>
  <c r="AC1361" i="2"/>
  <c r="AA1361" i="2"/>
  <c r="Z1361" i="2"/>
  <c r="Y1361" i="2"/>
  <c r="X1361" i="2"/>
  <c r="W1361" i="2"/>
  <c r="V1361" i="2"/>
  <c r="U1361" i="2"/>
  <c r="T1361" i="2"/>
  <c r="S1361" i="2"/>
  <c r="R1361" i="2"/>
  <c r="Q1361" i="2"/>
  <c r="P1361" i="2"/>
  <c r="O1361" i="2"/>
  <c r="N1361" i="2"/>
  <c r="K1361" i="2"/>
  <c r="J1361" i="2"/>
  <c r="I1361" i="2"/>
  <c r="H1361" i="2"/>
  <c r="G1361" i="2"/>
  <c r="F1361" i="2"/>
  <c r="E1361" i="2"/>
  <c r="D1361" i="2"/>
  <c r="C1361" i="2"/>
  <c r="B1361" i="2"/>
  <c r="A1361" i="2"/>
  <c r="AI1360" i="2"/>
  <c r="AH1360" i="2"/>
  <c r="AG1360" i="2"/>
  <c r="AF1360" i="2"/>
  <c r="AE1360" i="2"/>
  <c r="AD1360" i="2"/>
  <c r="AC1360" i="2"/>
  <c r="AB1360" i="2"/>
  <c r="AA1360" i="2"/>
  <c r="Z1360" i="2"/>
  <c r="Y1360" i="2"/>
  <c r="X1360" i="2"/>
  <c r="W1360" i="2"/>
  <c r="V1360" i="2"/>
  <c r="U1360" i="2"/>
  <c r="T1360" i="2"/>
  <c r="S1360" i="2"/>
  <c r="R1360" i="2"/>
  <c r="Q1360" i="2"/>
  <c r="P1360" i="2"/>
  <c r="O1360" i="2"/>
  <c r="N1360" i="2"/>
  <c r="K1360" i="2"/>
  <c r="J1360" i="2"/>
  <c r="I1360" i="2"/>
  <c r="H1360" i="2"/>
  <c r="G1360" i="2"/>
  <c r="F1360" i="2"/>
  <c r="E1360" i="2"/>
  <c r="D1360" i="2"/>
  <c r="C1360" i="2"/>
  <c r="B1360" i="2"/>
  <c r="A1360" i="2"/>
  <c r="AI1359" i="2"/>
  <c r="AH1359" i="2"/>
  <c r="AG1359" i="2"/>
  <c r="AF1359" i="2"/>
  <c r="AE1359" i="2"/>
  <c r="AD1359" i="2"/>
  <c r="AA1359" i="2"/>
  <c r="Z1359" i="2"/>
  <c r="Y1359" i="2"/>
  <c r="X1359" i="2"/>
  <c r="U1359" i="2"/>
  <c r="T1359" i="2"/>
  <c r="S1359" i="2"/>
  <c r="R1359" i="2"/>
  <c r="Q1359" i="2"/>
  <c r="P1359" i="2"/>
  <c r="O1359" i="2"/>
  <c r="N1359" i="2"/>
  <c r="K1359" i="2"/>
  <c r="J1359" i="2"/>
  <c r="I1359" i="2"/>
  <c r="H1359" i="2"/>
  <c r="G1359" i="2"/>
  <c r="F1359" i="2"/>
  <c r="E1359" i="2"/>
  <c r="D1359" i="2"/>
  <c r="C1359" i="2"/>
  <c r="B1359" i="2"/>
  <c r="A1359" i="2"/>
  <c r="AI1358" i="2"/>
  <c r="AH1358" i="2"/>
  <c r="AG1358" i="2"/>
  <c r="AF1358" i="2"/>
  <c r="AE1358" i="2"/>
  <c r="AD1358" i="2"/>
  <c r="AC1358" i="2"/>
  <c r="AA1358" i="2"/>
  <c r="Z1358" i="2"/>
  <c r="Y1358" i="2"/>
  <c r="X1358" i="2"/>
  <c r="V1358" i="2"/>
  <c r="U1358" i="2"/>
  <c r="T1358" i="2"/>
  <c r="S1358" i="2"/>
  <c r="R1358" i="2"/>
  <c r="Q1358" i="2"/>
  <c r="P1358" i="2"/>
  <c r="O1358" i="2"/>
  <c r="N1358" i="2"/>
  <c r="K1358" i="2"/>
  <c r="J1358" i="2"/>
  <c r="I1358" i="2"/>
  <c r="H1358" i="2"/>
  <c r="G1358" i="2"/>
  <c r="F1358" i="2"/>
  <c r="E1358" i="2"/>
  <c r="D1358" i="2"/>
  <c r="C1358" i="2"/>
  <c r="B1358" i="2"/>
  <c r="A1358" i="2"/>
  <c r="AI1357" i="2"/>
  <c r="AH1357" i="2"/>
  <c r="AF1357" i="2"/>
  <c r="AE1357" i="2"/>
  <c r="AD1357" i="2"/>
  <c r="AC1357" i="2"/>
  <c r="AA1357" i="2"/>
  <c r="Z1357" i="2"/>
  <c r="Y1357" i="2"/>
  <c r="X1357" i="2"/>
  <c r="W1357" i="2"/>
  <c r="V1357" i="2"/>
  <c r="U1357" i="2"/>
  <c r="T1357" i="2"/>
  <c r="S1357" i="2"/>
  <c r="R1357" i="2"/>
  <c r="Q1357" i="2"/>
  <c r="P1357" i="2"/>
  <c r="O1357" i="2"/>
  <c r="N1357" i="2"/>
  <c r="K1357" i="2"/>
  <c r="J1357" i="2"/>
  <c r="I1357" i="2"/>
  <c r="H1357" i="2"/>
  <c r="G1357" i="2"/>
  <c r="F1357" i="2"/>
  <c r="E1357" i="2"/>
  <c r="D1357" i="2"/>
  <c r="C1357" i="2"/>
  <c r="B1357" i="2"/>
  <c r="A1357" i="2"/>
  <c r="AI1356" i="2"/>
  <c r="AH1356" i="2"/>
  <c r="AG1356" i="2"/>
  <c r="AF1356" i="2"/>
  <c r="AE1356" i="2"/>
  <c r="AD1356" i="2"/>
  <c r="AC1356" i="2"/>
  <c r="AB1356" i="2"/>
  <c r="AA1356" i="2"/>
  <c r="Z1356" i="2"/>
  <c r="Y1356" i="2"/>
  <c r="X1356" i="2"/>
  <c r="W1356" i="2"/>
  <c r="V1356" i="2"/>
  <c r="U1356" i="2"/>
  <c r="T1356" i="2"/>
  <c r="S1356" i="2"/>
  <c r="R1356" i="2"/>
  <c r="Q1356" i="2"/>
  <c r="P1356" i="2"/>
  <c r="O1356" i="2"/>
  <c r="N1356" i="2"/>
  <c r="K1356" i="2"/>
  <c r="J1356" i="2"/>
  <c r="I1356" i="2"/>
  <c r="H1356" i="2"/>
  <c r="G1356" i="2"/>
  <c r="F1356" i="2"/>
  <c r="E1356" i="2"/>
  <c r="D1356" i="2"/>
  <c r="C1356" i="2"/>
  <c r="B1356" i="2"/>
  <c r="A1356" i="2"/>
  <c r="AI1355" i="2"/>
  <c r="AH1355" i="2"/>
  <c r="AG1355" i="2"/>
  <c r="AF1355" i="2"/>
  <c r="AE1355" i="2"/>
  <c r="AD1355" i="2"/>
  <c r="AC1355" i="2"/>
  <c r="AA1355" i="2"/>
  <c r="Z1355" i="2"/>
  <c r="Y1355" i="2"/>
  <c r="X1355" i="2"/>
  <c r="U1355" i="2"/>
  <c r="T1355" i="2"/>
  <c r="S1355" i="2"/>
  <c r="R1355" i="2"/>
  <c r="Q1355" i="2"/>
  <c r="P1355" i="2"/>
  <c r="O1355" i="2"/>
  <c r="N1355" i="2"/>
  <c r="K1355" i="2"/>
  <c r="J1355" i="2"/>
  <c r="I1355" i="2"/>
  <c r="H1355" i="2"/>
  <c r="G1355" i="2"/>
  <c r="F1355" i="2"/>
  <c r="E1355" i="2"/>
  <c r="D1355" i="2"/>
  <c r="C1355" i="2"/>
  <c r="B1355" i="2"/>
  <c r="A1355" i="2"/>
  <c r="AI1354" i="2"/>
  <c r="AH1354" i="2"/>
  <c r="AG1354" i="2"/>
  <c r="AF1354" i="2"/>
  <c r="AE1354" i="2"/>
  <c r="AD1354" i="2"/>
  <c r="AC1354" i="2"/>
  <c r="AA1354" i="2"/>
  <c r="Z1354" i="2"/>
  <c r="Y1354" i="2"/>
  <c r="X1354" i="2"/>
  <c r="U1354" i="2"/>
  <c r="T1354" i="2"/>
  <c r="S1354" i="2"/>
  <c r="R1354" i="2"/>
  <c r="Q1354" i="2"/>
  <c r="P1354" i="2"/>
  <c r="O1354" i="2"/>
  <c r="N1354" i="2"/>
  <c r="K1354" i="2"/>
  <c r="J1354" i="2"/>
  <c r="I1354" i="2"/>
  <c r="H1354" i="2"/>
  <c r="G1354" i="2"/>
  <c r="F1354" i="2"/>
  <c r="E1354" i="2"/>
  <c r="D1354" i="2"/>
  <c r="C1354" i="2"/>
  <c r="B1354" i="2"/>
  <c r="A1354" i="2"/>
  <c r="AI1353" i="2"/>
  <c r="AH1353" i="2"/>
  <c r="AG1353" i="2"/>
  <c r="AF1353" i="2"/>
  <c r="AE1353" i="2"/>
  <c r="AD1353" i="2"/>
  <c r="AC1353" i="2"/>
  <c r="AB1353" i="2"/>
  <c r="AA1353" i="2"/>
  <c r="Z1353" i="2"/>
  <c r="Y1353" i="2"/>
  <c r="X1353" i="2"/>
  <c r="V1353" i="2"/>
  <c r="U1353" i="2"/>
  <c r="T1353" i="2"/>
  <c r="S1353" i="2"/>
  <c r="R1353" i="2"/>
  <c r="Q1353" i="2"/>
  <c r="P1353" i="2"/>
  <c r="O1353" i="2"/>
  <c r="N1353" i="2"/>
  <c r="K1353" i="2"/>
  <c r="J1353" i="2"/>
  <c r="I1353" i="2"/>
  <c r="H1353" i="2"/>
  <c r="G1353" i="2"/>
  <c r="F1353" i="2"/>
  <c r="E1353" i="2"/>
  <c r="D1353" i="2"/>
  <c r="C1353" i="2"/>
  <c r="B1353" i="2"/>
  <c r="A1353" i="2"/>
  <c r="AI1352" i="2"/>
  <c r="AH1352" i="2"/>
  <c r="AG1352" i="2"/>
  <c r="AF1352" i="2"/>
  <c r="AE1352" i="2"/>
  <c r="AD1352" i="2"/>
  <c r="AC1352" i="2"/>
  <c r="AB1352" i="2"/>
  <c r="AA1352" i="2"/>
  <c r="Z1352" i="2"/>
  <c r="Y1352" i="2"/>
  <c r="X1352" i="2"/>
  <c r="W1352" i="2"/>
  <c r="V1352" i="2"/>
  <c r="U1352" i="2"/>
  <c r="T1352" i="2"/>
  <c r="S1352" i="2"/>
  <c r="R1352" i="2"/>
  <c r="Q1352" i="2"/>
  <c r="P1352" i="2"/>
  <c r="O1352" i="2"/>
  <c r="N1352" i="2"/>
  <c r="K1352" i="2"/>
  <c r="J1352" i="2"/>
  <c r="I1352" i="2"/>
  <c r="H1352" i="2"/>
  <c r="G1352" i="2"/>
  <c r="F1352" i="2"/>
  <c r="E1352" i="2"/>
  <c r="D1352" i="2"/>
  <c r="C1352" i="2"/>
  <c r="B1352" i="2"/>
  <c r="A1352" i="2"/>
  <c r="AI1351" i="2"/>
  <c r="AH1351" i="2"/>
  <c r="AG1351" i="2"/>
  <c r="AF1351" i="2"/>
  <c r="AE1351" i="2"/>
  <c r="AD1351" i="2"/>
  <c r="AC1351" i="2"/>
  <c r="AA1351" i="2"/>
  <c r="Z1351" i="2"/>
  <c r="Y1351" i="2"/>
  <c r="X1351" i="2"/>
  <c r="W1351" i="2"/>
  <c r="V1351" i="2"/>
  <c r="U1351" i="2"/>
  <c r="T1351" i="2"/>
  <c r="S1351" i="2"/>
  <c r="R1351" i="2"/>
  <c r="Q1351" i="2"/>
  <c r="P1351" i="2"/>
  <c r="O1351" i="2"/>
  <c r="N1351" i="2"/>
  <c r="K1351" i="2"/>
  <c r="J1351" i="2"/>
  <c r="I1351" i="2"/>
  <c r="H1351" i="2"/>
  <c r="G1351" i="2"/>
  <c r="F1351" i="2"/>
  <c r="E1351" i="2"/>
  <c r="D1351" i="2"/>
  <c r="C1351" i="2"/>
  <c r="B1351" i="2"/>
  <c r="A1351" i="2"/>
  <c r="AI1350" i="2"/>
  <c r="AH1350" i="2"/>
  <c r="AG1350" i="2"/>
  <c r="AF1350" i="2"/>
  <c r="AE1350" i="2"/>
  <c r="AD1350" i="2"/>
  <c r="AC1350" i="2"/>
  <c r="AB1350" i="2"/>
  <c r="AA1350" i="2"/>
  <c r="Z1350" i="2"/>
  <c r="Y1350" i="2"/>
  <c r="V1350" i="2"/>
  <c r="U1350" i="2"/>
  <c r="T1350" i="2"/>
  <c r="S1350" i="2"/>
  <c r="R1350" i="2"/>
  <c r="Q1350" i="2"/>
  <c r="P1350" i="2"/>
  <c r="O1350" i="2"/>
  <c r="N1350" i="2"/>
  <c r="K1350" i="2"/>
  <c r="J1350" i="2"/>
  <c r="I1350" i="2"/>
  <c r="H1350" i="2"/>
  <c r="G1350" i="2"/>
  <c r="F1350" i="2"/>
  <c r="E1350" i="2"/>
  <c r="D1350" i="2"/>
  <c r="C1350" i="2"/>
  <c r="B1350" i="2"/>
  <c r="A1350" i="2"/>
  <c r="AJ1349" i="2"/>
  <c r="AI1349" i="2"/>
  <c r="AH1349" i="2"/>
  <c r="AF1349" i="2"/>
  <c r="AE1349" i="2"/>
  <c r="AD1349" i="2"/>
  <c r="AC1349" i="2"/>
  <c r="AB1349" i="2"/>
  <c r="AA1349" i="2"/>
  <c r="Z1349" i="2"/>
  <c r="Y1349" i="2"/>
  <c r="X1349" i="2"/>
  <c r="W1349" i="2"/>
  <c r="V1349" i="2"/>
  <c r="U1349" i="2"/>
  <c r="T1349" i="2"/>
  <c r="S1349" i="2"/>
  <c r="R1349" i="2"/>
  <c r="Q1349" i="2"/>
  <c r="P1349" i="2"/>
  <c r="O1349" i="2"/>
  <c r="N1349" i="2"/>
  <c r="K1349" i="2"/>
  <c r="J1349" i="2"/>
  <c r="I1349" i="2"/>
  <c r="H1349" i="2"/>
  <c r="G1349" i="2"/>
  <c r="F1349" i="2"/>
  <c r="E1349" i="2"/>
  <c r="D1349" i="2"/>
  <c r="C1349" i="2"/>
  <c r="B1349" i="2"/>
  <c r="A1349" i="2"/>
  <c r="AJ1348" i="2"/>
  <c r="AI1348" i="2"/>
  <c r="AF1348" i="2"/>
  <c r="AE1348" i="2"/>
  <c r="AD1348" i="2"/>
  <c r="AA1348" i="2"/>
  <c r="Z1348" i="2"/>
  <c r="Y1348" i="2"/>
  <c r="X1348" i="2"/>
  <c r="W1348" i="2"/>
  <c r="V1348" i="2"/>
  <c r="U1348" i="2"/>
  <c r="T1348" i="2"/>
  <c r="S1348" i="2"/>
  <c r="R1348" i="2"/>
  <c r="Q1348" i="2"/>
  <c r="P1348" i="2"/>
  <c r="O1348" i="2"/>
  <c r="N1348" i="2"/>
  <c r="K1348" i="2"/>
  <c r="J1348" i="2"/>
  <c r="I1348" i="2"/>
  <c r="H1348" i="2"/>
  <c r="G1348" i="2"/>
  <c r="F1348" i="2"/>
  <c r="E1348" i="2"/>
  <c r="D1348" i="2"/>
  <c r="C1348" i="2"/>
  <c r="B1348" i="2"/>
  <c r="A1348" i="2"/>
  <c r="AF1347" i="2"/>
  <c r="AE1347" i="2"/>
  <c r="AD1347" i="2"/>
  <c r="AC1347" i="2"/>
  <c r="AB1347" i="2"/>
  <c r="AA1347" i="2"/>
  <c r="Z1347" i="2"/>
  <c r="Y1347" i="2"/>
  <c r="X1347" i="2"/>
  <c r="W1347" i="2"/>
  <c r="V1347" i="2"/>
  <c r="U1347" i="2"/>
  <c r="T1347" i="2"/>
  <c r="S1347" i="2"/>
  <c r="R1347" i="2"/>
  <c r="Q1347" i="2"/>
  <c r="P1347" i="2"/>
  <c r="O1347" i="2"/>
  <c r="N1347" i="2"/>
  <c r="K1347" i="2"/>
  <c r="J1347" i="2"/>
  <c r="I1347" i="2"/>
  <c r="H1347" i="2"/>
  <c r="G1347" i="2"/>
  <c r="F1347" i="2"/>
  <c r="E1347" i="2"/>
  <c r="D1347" i="2"/>
  <c r="C1347" i="2"/>
  <c r="B1347" i="2"/>
  <c r="A1347" i="2"/>
  <c r="AJ1346" i="2"/>
  <c r="AI1346" i="2"/>
  <c r="AH1346" i="2"/>
  <c r="AG1346" i="2"/>
  <c r="AF1346" i="2"/>
  <c r="AE1346" i="2"/>
  <c r="AD1346" i="2"/>
  <c r="AC1346" i="2"/>
  <c r="AB1346" i="2"/>
  <c r="AA1346" i="2"/>
  <c r="Z1346" i="2"/>
  <c r="Y1346" i="2"/>
  <c r="W1346" i="2"/>
  <c r="V1346" i="2"/>
  <c r="U1346" i="2"/>
  <c r="T1346" i="2"/>
  <c r="S1346" i="2"/>
  <c r="R1346" i="2"/>
  <c r="Q1346" i="2"/>
  <c r="P1346" i="2"/>
  <c r="O1346" i="2"/>
  <c r="N1346" i="2"/>
  <c r="K1346" i="2"/>
  <c r="J1346" i="2"/>
  <c r="I1346" i="2"/>
  <c r="H1346" i="2"/>
  <c r="G1346" i="2"/>
  <c r="F1346" i="2"/>
  <c r="E1346" i="2"/>
  <c r="D1346" i="2"/>
  <c r="C1346" i="2"/>
  <c r="B1346" i="2"/>
  <c r="A1346" i="2"/>
  <c r="AI1345" i="2"/>
  <c r="AH1345" i="2"/>
  <c r="AG1345" i="2"/>
  <c r="AF1345" i="2"/>
  <c r="AE1345" i="2"/>
  <c r="AD1345" i="2"/>
  <c r="AC1345" i="2"/>
  <c r="AB1345" i="2"/>
  <c r="AA1345" i="2"/>
  <c r="Z1345" i="2"/>
  <c r="Y1345" i="2"/>
  <c r="X1345" i="2"/>
  <c r="W1345" i="2"/>
  <c r="V1345" i="2"/>
  <c r="U1345" i="2"/>
  <c r="T1345" i="2"/>
  <c r="S1345" i="2"/>
  <c r="R1345" i="2"/>
  <c r="Q1345" i="2"/>
  <c r="P1345" i="2"/>
  <c r="O1345" i="2"/>
  <c r="N1345" i="2"/>
  <c r="K1345" i="2"/>
  <c r="J1345" i="2"/>
  <c r="I1345" i="2"/>
  <c r="H1345" i="2"/>
  <c r="G1345" i="2"/>
  <c r="F1345" i="2"/>
  <c r="E1345" i="2"/>
  <c r="D1345" i="2"/>
  <c r="C1345" i="2"/>
  <c r="B1345" i="2"/>
  <c r="A1345" i="2"/>
  <c r="AI1344" i="2"/>
  <c r="AF1344" i="2"/>
  <c r="AE1344" i="2"/>
  <c r="AD1344" i="2"/>
  <c r="AC1344" i="2"/>
  <c r="AB1344" i="2"/>
  <c r="AA1344" i="2"/>
  <c r="Z1344" i="2"/>
  <c r="Y1344" i="2"/>
  <c r="X1344" i="2"/>
  <c r="V1344" i="2"/>
  <c r="U1344" i="2"/>
  <c r="T1344" i="2"/>
  <c r="S1344" i="2"/>
  <c r="R1344" i="2"/>
  <c r="Q1344" i="2"/>
  <c r="P1344" i="2"/>
  <c r="O1344" i="2"/>
  <c r="N1344" i="2"/>
  <c r="K1344" i="2"/>
  <c r="J1344" i="2"/>
  <c r="I1344" i="2"/>
  <c r="H1344" i="2"/>
  <c r="G1344" i="2"/>
  <c r="F1344" i="2"/>
  <c r="E1344" i="2"/>
  <c r="D1344" i="2"/>
  <c r="C1344" i="2"/>
  <c r="B1344" i="2"/>
  <c r="A1344" i="2"/>
  <c r="AI1343" i="2"/>
  <c r="AF1343" i="2"/>
  <c r="AE1343" i="2"/>
  <c r="AD1343" i="2"/>
  <c r="AC1343" i="2"/>
  <c r="AA1343" i="2"/>
  <c r="Z1343" i="2"/>
  <c r="Y1343" i="2"/>
  <c r="X1343" i="2"/>
  <c r="W1343" i="2"/>
  <c r="V1343" i="2"/>
  <c r="U1343" i="2"/>
  <c r="T1343" i="2"/>
  <c r="S1343" i="2"/>
  <c r="R1343" i="2"/>
  <c r="Q1343" i="2"/>
  <c r="P1343" i="2"/>
  <c r="O1343" i="2"/>
  <c r="N1343" i="2"/>
  <c r="K1343" i="2"/>
  <c r="J1343" i="2"/>
  <c r="I1343" i="2"/>
  <c r="H1343" i="2"/>
  <c r="G1343" i="2"/>
  <c r="F1343" i="2"/>
  <c r="E1343" i="2"/>
  <c r="D1343" i="2"/>
  <c r="C1343" i="2"/>
  <c r="B1343" i="2"/>
  <c r="A1343" i="2"/>
  <c r="AI1342" i="2"/>
  <c r="AH1342" i="2"/>
  <c r="AG1342" i="2"/>
  <c r="AF1342" i="2"/>
  <c r="AE1342" i="2"/>
  <c r="AD1342" i="2"/>
  <c r="AC1342" i="2"/>
  <c r="AB1342" i="2"/>
  <c r="AA1342" i="2"/>
  <c r="Z1342" i="2"/>
  <c r="Y1342" i="2"/>
  <c r="X1342" i="2"/>
  <c r="W1342" i="2"/>
  <c r="V1342" i="2"/>
  <c r="U1342" i="2"/>
  <c r="T1342" i="2"/>
  <c r="S1342" i="2"/>
  <c r="R1342" i="2"/>
  <c r="Q1342" i="2"/>
  <c r="P1342" i="2"/>
  <c r="O1342" i="2"/>
  <c r="N1342" i="2"/>
  <c r="K1342" i="2"/>
  <c r="J1342" i="2"/>
  <c r="I1342" i="2"/>
  <c r="H1342" i="2"/>
  <c r="G1342" i="2"/>
  <c r="F1342" i="2"/>
  <c r="E1342" i="2"/>
  <c r="D1342" i="2"/>
  <c r="C1342" i="2"/>
  <c r="B1342" i="2"/>
  <c r="A1342" i="2"/>
  <c r="AI1341" i="2"/>
  <c r="AH1341" i="2"/>
  <c r="AG1341" i="2"/>
  <c r="AF1341" i="2"/>
  <c r="AE1341" i="2"/>
  <c r="AD1341" i="2"/>
  <c r="AB1341" i="2"/>
  <c r="AA1341" i="2"/>
  <c r="Z1341" i="2"/>
  <c r="Y1341" i="2"/>
  <c r="X1341" i="2"/>
  <c r="W1341" i="2"/>
  <c r="V1341" i="2"/>
  <c r="U1341" i="2"/>
  <c r="T1341" i="2"/>
  <c r="S1341" i="2"/>
  <c r="R1341" i="2"/>
  <c r="Q1341" i="2"/>
  <c r="P1341" i="2"/>
  <c r="O1341" i="2"/>
  <c r="N1341" i="2"/>
  <c r="K1341" i="2"/>
  <c r="J1341" i="2"/>
  <c r="I1341" i="2"/>
  <c r="H1341" i="2"/>
  <c r="G1341" i="2"/>
  <c r="F1341" i="2"/>
  <c r="E1341" i="2"/>
  <c r="D1341" i="2"/>
  <c r="C1341" i="2"/>
  <c r="B1341" i="2"/>
  <c r="A1341" i="2"/>
  <c r="AI1340" i="2"/>
  <c r="AH1340" i="2"/>
  <c r="AF1340" i="2"/>
  <c r="AE1340" i="2"/>
  <c r="AD1340" i="2"/>
  <c r="AC1340" i="2"/>
  <c r="AB1340" i="2"/>
  <c r="AA1340" i="2"/>
  <c r="Z1340" i="2"/>
  <c r="Y1340" i="2"/>
  <c r="X1340" i="2"/>
  <c r="W1340" i="2"/>
  <c r="V1340" i="2"/>
  <c r="U1340" i="2"/>
  <c r="T1340" i="2"/>
  <c r="S1340" i="2"/>
  <c r="R1340" i="2"/>
  <c r="Q1340" i="2"/>
  <c r="P1340" i="2"/>
  <c r="O1340" i="2"/>
  <c r="N1340" i="2"/>
  <c r="K1340" i="2"/>
  <c r="J1340" i="2"/>
  <c r="I1340" i="2"/>
  <c r="H1340" i="2"/>
  <c r="G1340" i="2"/>
  <c r="F1340" i="2"/>
  <c r="E1340" i="2"/>
  <c r="D1340" i="2"/>
  <c r="C1340" i="2"/>
  <c r="B1340" i="2"/>
  <c r="A1340" i="2"/>
  <c r="AI1339" i="2"/>
  <c r="AH1339" i="2"/>
  <c r="AG1339" i="2"/>
  <c r="AF1339" i="2"/>
  <c r="AE1339" i="2"/>
  <c r="AD1339" i="2"/>
  <c r="AC1339" i="2"/>
  <c r="AB1339" i="2"/>
  <c r="AA1339" i="2"/>
  <c r="Z1339" i="2"/>
  <c r="Y1339" i="2"/>
  <c r="X1339" i="2"/>
  <c r="W1339" i="2"/>
  <c r="V1339" i="2"/>
  <c r="U1339" i="2"/>
  <c r="T1339" i="2"/>
  <c r="S1339" i="2"/>
  <c r="R1339" i="2"/>
  <c r="Q1339" i="2"/>
  <c r="P1339" i="2"/>
  <c r="O1339" i="2"/>
  <c r="N1339" i="2"/>
  <c r="M1339" i="2"/>
  <c r="K1339" i="2"/>
  <c r="J1339" i="2"/>
  <c r="I1339" i="2"/>
  <c r="H1339" i="2"/>
  <c r="G1339" i="2"/>
  <c r="F1339" i="2"/>
  <c r="E1339" i="2"/>
  <c r="D1339" i="2"/>
  <c r="C1339" i="2"/>
  <c r="B1339" i="2"/>
  <c r="A1339" i="2"/>
  <c r="AI1338" i="2"/>
  <c r="AH1338" i="2"/>
  <c r="AG1338" i="2"/>
  <c r="AF1338" i="2"/>
  <c r="AE1338" i="2"/>
  <c r="AD1338" i="2"/>
  <c r="AC1338" i="2"/>
  <c r="AB1338" i="2"/>
  <c r="AA1338" i="2"/>
  <c r="Z1338" i="2"/>
  <c r="Y1338" i="2"/>
  <c r="X1338" i="2"/>
  <c r="W1338" i="2"/>
  <c r="V1338" i="2"/>
  <c r="U1338" i="2"/>
  <c r="T1338" i="2"/>
  <c r="S1338" i="2"/>
  <c r="R1338" i="2"/>
  <c r="Q1338" i="2"/>
  <c r="P1338" i="2"/>
  <c r="O1338" i="2"/>
  <c r="N1338" i="2"/>
  <c r="K1338" i="2"/>
  <c r="J1338" i="2"/>
  <c r="I1338" i="2"/>
  <c r="H1338" i="2"/>
  <c r="G1338" i="2"/>
  <c r="F1338" i="2"/>
  <c r="E1338" i="2"/>
  <c r="D1338" i="2"/>
  <c r="C1338" i="2"/>
  <c r="B1338" i="2"/>
  <c r="A1338" i="2"/>
  <c r="AJ1337" i="2"/>
  <c r="AI1337" i="2"/>
  <c r="AH1337" i="2"/>
  <c r="AG1337" i="2"/>
  <c r="AF1337" i="2"/>
  <c r="AE1337" i="2"/>
  <c r="AD1337" i="2"/>
  <c r="AC1337" i="2"/>
  <c r="AB1337" i="2"/>
  <c r="AA1337" i="2"/>
  <c r="Z1337" i="2"/>
  <c r="Y1337" i="2"/>
  <c r="X1337" i="2"/>
  <c r="W1337" i="2"/>
  <c r="V1337" i="2"/>
  <c r="U1337" i="2"/>
  <c r="T1337" i="2"/>
  <c r="S1337" i="2"/>
  <c r="R1337" i="2"/>
  <c r="Q1337" i="2"/>
  <c r="P1337" i="2"/>
  <c r="O1337" i="2"/>
  <c r="N1337" i="2"/>
  <c r="K1337" i="2"/>
  <c r="J1337" i="2"/>
  <c r="I1337" i="2"/>
  <c r="H1337" i="2"/>
  <c r="G1337" i="2"/>
  <c r="F1337" i="2"/>
  <c r="E1337" i="2"/>
  <c r="D1337" i="2"/>
  <c r="C1337" i="2"/>
  <c r="B1337" i="2"/>
  <c r="A1337" i="2"/>
  <c r="AI1336" i="2"/>
  <c r="AH1336" i="2"/>
  <c r="AF1336" i="2"/>
  <c r="AE1336" i="2"/>
  <c r="AD1336" i="2"/>
  <c r="AC1336" i="2"/>
  <c r="AB1336" i="2"/>
  <c r="AA1336" i="2"/>
  <c r="Z1336" i="2"/>
  <c r="Y1336" i="2"/>
  <c r="X1336" i="2"/>
  <c r="U1336" i="2"/>
  <c r="T1336" i="2"/>
  <c r="S1336" i="2"/>
  <c r="R1336" i="2"/>
  <c r="Q1336" i="2"/>
  <c r="P1336" i="2"/>
  <c r="O1336" i="2"/>
  <c r="N1336" i="2"/>
  <c r="K1336" i="2"/>
  <c r="J1336" i="2"/>
  <c r="I1336" i="2"/>
  <c r="H1336" i="2"/>
  <c r="G1336" i="2"/>
  <c r="F1336" i="2"/>
  <c r="E1336" i="2"/>
  <c r="D1336" i="2"/>
  <c r="C1336" i="2"/>
  <c r="B1336" i="2"/>
  <c r="A1336" i="2"/>
  <c r="AI1335" i="2"/>
  <c r="AH1335" i="2"/>
  <c r="AG1335" i="2"/>
  <c r="AF1335" i="2"/>
  <c r="AE1335" i="2"/>
  <c r="AD1335" i="2"/>
  <c r="AC1335" i="2"/>
  <c r="AB1335" i="2"/>
  <c r="AA1335" i="2"/>
  <c r="Z1335" i="2"/>
  <c r="Y1335" i="2"/>
  <c r="X1335" i="2"/>
  <c r="U1335" i="2"/>
  <c r="T1335" i="2"/>
  <c r="S1335" i="2"/>
  <c r="R1335" i="2"/>
  <c r="Q1335" i="2"/>
  <c r="P1335" i="2"/>
  <c r="O1335" i="2"/>
  <c r="N1335" i="2"/>
  <c r="K1335" i="2"/>
  <c r="J1335" i="2"/>
  <c r="I1335" i="2"/>
  <c r="H1335" i="2"/>
  <c r="G1335" i="2"/>
  <c r="F1335" i="2"/>
  <c r="E1335" i="2"/>
  <c r="D1335" i="2"/>
  <c r="C1335" i="2"/>
  <c r="B1335" i="2"/>
  <c r="A1335" i="2"/>
  <c r="AI1334" i="2"/>
  <c r="AH1334" i="2"/>
  <c r="AF1334" i="2"/>
  <c r="AE1334" i="2"/>
  <c r="AD1334" i="2"/>
  <c r="AC1334" i="2"/>
  <c r="AB1334" i="2"/>
  <c r="AA1334" i="2"/>
  <c r="Z1334" i="2"/>
  <c r="Y1334" i="2"/>
  <c r="X1334" i="2"/>
  <c r="W1334" i="2"/>
  <c r="V1334" i="2"/>
  <c r="U1334" i="2"/>
  <c r="T1334" i="2"/>
  <c r="S1334" i="2"/>
  <c r="R1334" i="2"/>
  <c r="Q1334" i="2"/>
  <c r="P1334" i="2"/>
  <c r="O1334" i="2"/>
  <c r="N1334" i="2"/>
  <c r="K1334" i="2"/>
  <c r="J1334" i="2"/>
  <c r="I1334" i="2"/>
  <c r="H1334" i="2"/>
  <c r="G1334" i="2"/>
  <c r="F1334" i="2"/>
  <c r="E1334" i="2"/>
  <c r="D1334" i="2"/>
  <c r="C1334" i="2"/>
  <c r="B1334" i="2"/>
  <c r="A1334" i="2"/>
  <c r="AJ1333" i="2"/>
  <c r="AI1333" i="2"/>
  <c r="AH1333" i="2"/>
  <c r="AG1333" i="2"/>
  <c r="AF1333" i="2"/>
  <c r="AE1333" i="2"/>
  <c r="AD1333" i="2"/>
  <c r="AC1333" i="2"/>
  <c r="AB1333" i="2"/>
  <c r="AA1333" i="2"/>
  <c r="Z1333" i="2"/>
  <c r="Y1333" i="2"/>
  <c r="X1333" i="2"/>
  <c r="W1333" i="2"/>
  <c r="V1333" i="2"/>
  <c r="U1333" i="2"/>
  <c r="T1333" i="2"/>
  <c r="S1333" i="2"/>
  <c r="R1333" i="2"/>
  <c r="Q1333" i="2"/>
  <c r="P1333" i="2"/>
  <c r="O1333" i="2"/>
  <c r="N1333" i="2"/>
  <c r="M1333" i="2"/>
  <c r="K1333" i="2"/>
  <c r="J1333" i="2"/>
  <c r="I1333" i="2"/>
  <c r="H1333" i="2"/>
  <c r="G1333" i="2"/>
  <c r="F1333" i="2"/>
  <c r="E1333" i="2"/>
  <c r="D1333" i="2"/>
  <c r="C1333" i="2"/>
  <c r="B1333" i="2"/>
  <c r="A1333" i="2"/>
  <c r="AJ1332" i="2"/>
  <c r="AI1332" i="2"/>
  <c r="AH1332" i="2"/>
  <c r="AG1332" i="2"/>
  <c r="AF1332" i="2"/>
  <c r="AE1332" i="2"/>
  <c r="AD1332" i="2"/>
  <c r="AC1332" i="2"/>
  <c r="AB1332" i="2"/>
  <c r="AA1332" i="2"/>
  <c r="Z1332" i="2"/>
  <c r="Y1332" i="2"/>
  <c r="X1332" i="2"/>
  <c r="V1332" i="2"/>
  <c r="U1332" i="2"/>
  <c r="T1332" i="2"/>
  <c r="S1332" i="2"/>
  <c r="R1332" i="2"/>
  <c r="Q1332" i="2"/>
  <c r="P1332" i="2"/>
  <c r="O1332" i="2"/>
  <c r="N1332" i="2"/>
  <c r="M1332" i="2"/>
  <c r="K1332" i="2"/>
  <c r="J1332" i="2"/>
  <c r="I1332" i="2"/>
  <c r="H1332" i="2"/>
  <c r="G1332" i="2"/>
  <c r="F1332" i="2"/>
  <c r="E1332" i="2"/>
  <c r="D1332" i="2"/>
  <c r="C1332" i="2"/>
  <c r="B1332" i="2"/>
  <c r="A1332" i="2"/>
  <c r="AI1331" i="2"/>
  <c r="AH1331" i="2"/>
  <c r="AG1331" i="2"/>
  <c r="AF1331" i="2"/>
  <c r="AE1331" i="2"/>
  <c r="AD1331" i="2"/>
  <c r="AC1331" i="2"/>
  <c r="AB1331" i="2"/>
  <c r="AA1331" i="2"/>
  <c r="Z1331" i="2"/>
  <c r="Y1331" i="2"/>
  <c r="X1331" i="2"/>
  <c r="V1331" i="2"/>
  <c r="U1331" i="2"/>
  <c r="T1331" i="2"/>
  <c r="S1331" i="2"/>
  <c r="R1331" i="2"/>
  <c r="Q1331" i="2"/>
  <c r="P1331" i="2"/>
  <c r="O1331" i="2"/>
  <c r="N1331" i="2"/>
  <c r="K1331" i="2"/>
  <c r="J1331" i="2"/>
  <c r="I1331" i="2"/>
  <c r="H1331" i="2"/>
  <c r="G1331" i="2"/>
  <c r="F1331" i="2"/>
  <c r="E1331" i="2"/>
  <c r="D1331" i="2"/>
  <c r="C1331" i="2"/>
  <c r="B1331" i="2"/>
  <c r="A1331" i="2"/>
  <c r="AI1330" i="2"/>
  <c r="AH1330" i="2"/>
  <c r="AG1330" i="2"/>
  <c r="AF1330" i="2"/>
  <c r="AE1330" i="2"/>
  <c r="AD1330" i="2"/>
  <c r="AC1330" i="2"/>
  <c r="AB1330" i="2"/>
  <c r="AA1330" i="2"/>
  <c r="Z1330" i="2"/>
  <c r="Y1330" i="2"/>
  <c r="X1330" i="2"/>
  <c r="W1330" i="2"/>
  <c r="V1330" i="2"/>
  <c r="U1330" i="2"/>
  <c r="T1330" i="2"/>
  <c r="S1330" i="2"/>
  <c r="R1330" i="2"/>
  <c r="Q1330" i="2"/>
  <c r="P1330" i="2"/>
  <c r="O1330" i="2"/>
  <c r="N1330" i="2"/>
  <c r="K1330" i="2"/>
  <c r="J1330" i="2"/>
  <c r="I1330" i="2"/>
  <c r="H1330" i="2"/>
  <c r="G1330" i="2"/>
  <c r="F1330" i="2"/>
  <c r="E1330" i="2"/>
  <c r="D1330" i="2"/>
  <c r="C1330" i="2"/>
  <c r="B1330" i="2"/>
  <c r="A1330" i="2"/>
  <c r="AI1329" i="2"/>
  <c r="AH1329" i="2"/>
  <c r="AG1329" i="2"/>
  <c r="AF1329" i="2"/>
  <c r="AE1329" i="2"/>
  <c r="AD1329" i="2"/>
  <c r="AC1329" i="2"/>
  <c r="AB1329" i="2"/>
  <c r="AA1329" i="2"/>
  <c r="Z1329" i="2"/>
  <c r="Y1329" i="2"/>
  <c r="X1329" i="2"/>
  <c r="W1329" i="2"/>
  <c r="V1329" i="2"/>
  <c r="U1329" i="2"/>
  <c r="T1329" i="2"/>
  <c r="S1329" i="2"/>
  <c r="R1329" i="2"/>
  <c r="Q1329" i="2"/>
  <c r="P1329" i="2"/>
  <c r="O1329" i="2"/>
  <c r="N1329" i="2"/>
  <c r="K1329" i="2"/>
  <c r="J1329" i="2"/>
  <c r="I1329" i="2"/>
  <c r="H1329" i="2"/>
  <c r="G1329" i="2"/>
  <c r="F1329" i="2"/>
  <c r="E1329" i="2"/>
  <c r="D1329" i="2"/>
  <c r="C1329" i="2"/>
  <c r="B1329" i="2"/>
  <c r="A1329" i="2"/>
  <c r="AI1328" i="2"/>
  <c r="AH1328" i="2"/>
  <c r="AG1328" i="2"/>
  <c r="AF1328" i="2"/>
  <c r="AE1328" i="2"/>
  <c r="AD1328" i="2"/>
  <c r="AC1328" i="2"/>
  <c r="AB1328" i="2"/>
  <c r="AA1328" i="2"/>
  <c r="Z1328" i="2"/>
  <c r="Y1328" i="2"/>
  <c r="X1328" i="2"/>
  <c r="V1328" i="2"/>
  <c r="U1328" i="2"/>
  <c r="T1328" i="2"/>
  <c r="S1328" i="2"/>
  <c r="R1328" i="2"/>
  <c r="Q1328" i="2"/>
  <c r="P1328" i="2"/>
  <c r="O1328" i="2"/>
  <c r="N1328" i="2"/>
  <c r="K1328" i="2"/>
  <c r="J1328" i="2"/>
  <c r="I1328" i="2"/>
  <c r="H1328" i="2"/>
  <c r="G1328" i="2"/>
  <c r="F1328" i="2"/>
  <c r="E1328" i="2"/>
  <c r="D1328" i="2"/>
  <c r="C1328" i="2"/>
  <c r="B1328" i="2"/>
  <c r="A1328" i="2"/>
  <c r="AI1327" i="2"/>
  <c r="AH1327" i="2"/>
  <c r="AG1327" i="2"/>
  <c r="AF1327" i="2"/>
  <c r="AE1327" i="2"/>
  <c r="AD1327" i="2"/>
  <c r="AC1327" i="2"/>
  <c r="AB1327" i="2"/>
  <c r="AA1327" i="2"/>
  <c r="Z1327" i="2"/>
  <c r="Y1327" i="2"/>
  <c r="X1327" i="2"/>
  <c r="U1327" i="2"/>
  <c r="T1327" i="2"/>
  <c r="S1327" i="2"/>
  <c r="R1327" i="2"/>
  <c r="Q1327" i="2"/>
  <c r="P1327" i="2"/>
  <c r="O1327" i="2"/>
  <c r="N1327" i="2"/>
  <c r="K1327" i="2"/>
  <c r="J1327" i="2"/>
  <c r="I1327" i="2"/>
  <c r="H1327" i="2"/>
  <c r="G1327" i="2"/>
  <c r="F1327" i="2"/>
  <c r="E1327" i="2"/>
  <c r="D1327" i="2"/>
  <c r="C1327" i="2"/>
  <c r="B1327" i="2"/>
  <c r="A1327" i="2"/>
  <c r="AI1326" i="2"/>
  <c r="AH1326" i="2"/>
  <c r="AG1326" i="2"/>
  <c r="AF1326" i="2"/>
  <c r="AE1326" i="2"/>
  <c r="AD1326" i="2"/>
  <c r="AC1326" i="2"/>
  <c r="AB1326" i="2"/>
  <c r="AA1326" i="2"/>
  <c r="Z1326" i="2"/>
  <c r="Y1326" i="2"/>
  <c r="X1326" i="2"/>
  <c r="V1326" i="2"/>
  <c r="U1326" i="2"/>
  <c r="T1326" i="2"/>
  <c r="S1326" i="2"/>
  <c r="R1326" i="2"/>
  <c r="Q1326" i="2"/>
  <c r="P1326" i="2"/>
  <c r="O1326" i="2"/>
  <c r="N1326" i="2"/>
  <c r="K1326" i="2"/>
  <c r="J1326" i="2"/>
  <c r="I1326" i="2"/>
  <c r="H1326" i="2"/>
  <c r="G1326" i="2"/>
  <c r="F1326" i="2"/>
  <c r="E1326" i="2"/>
  <c r="D1326" i="2"/>
  <c r="C1326" i="2"/>
  <c r="B1326" i="2"/>
  <c r="A1326" i="2"/>
  <c r="AJ1325" i="2"/>
  <c r="AI1325" i="2"/>
  <c r="AH1325" i="2"/>
  <c r="AG1325" i="2"/>
  <c r="AF1325" i="2"/>
  <c r="AE1325" i="2"/>
  <c r="AD1325" i="2"/>
  <c r="AC1325" i="2"/>
  <c r="AA1325" i="2"/>
  <c r="Z1325" i="2"/>
  <c r="Y1325" i="2"/>
  <c r="X1325" i="2"/>
  <c r="W1325" i="2"/>
  <c r="V1325" i="2"/>
  <c r="U1325" i="2"/>
  <c r="T1325" i="2"/>
  <c r="S1325" i="2"/>
  <c r="R1325" i="2"/>
  <c r="Q1325" i="2"/>
  <c r="P1325" i="2"/>
  <c r="O1325" i="2"/>
  <c r="N1325" i="2"/>
  <c r="K1325" i="2"/>
  <c r="J1325" i="2"/>
  <c r="I1325" i="2"/>
  <c r="H1325" i="2"/>
  <c r="G1325" i="2"/>
  <c r="F1325" i="2"/>
  <c r="E1325" i="2"/>
  <c r="D1325" i="2"/>
  <c r="C1325" i="2"/>
  <c r="B1325" i="2"/>
  <c r="A1325" i="2"/>
  <c r="AH1324" i="2"/>
  <c r="AG1324" i="2"/>
  <c r="AF1324" i="2"/>
  <c r="AE1324" i="2"/>
  <c r="AD1324" i="2"/>
  <c r="AC1324" i="2"/>
  <c r="AB1324" i="2"/>
  <c r="AA1324" i="2"/>
  <c r="Z1324" i="2"/>
  <c r="Y1324" i="2"/>
  <c r="X1324" i="2"/>
  <c r="W1324" i="2"/>
  <c r="V1324" i="2"/>
  <c r="U1324" i="2"/>
  <c r="T1324" i="2"/>
  <c r="S1324" i="2"/>
  <c r="R1324" i="2"/>
  <c r="Q1324" i="2"/>
  <c r="P1324" i="2"/>
  <c r="O1324" i="2"/>
  <c r="N1324" i="2"/>
  <c r="K1324" i="2"/>
  <c r="J1324" i="2"/>
  <c r="I1324" i="2"/>
  <c r="H1324" i="2"/>
  <c r="G1324" i="2"/>
  <c r="F1324" i="2"/>
  <c r="E1324" i="2"/>
  <c r="D1324" i="2"/>
  <c r="C1324" i="2"/>
  <c r="B1324" i="2"/>
  <c r="A1324" i="2"/>
  <c r="AI1323" i="2"/>
  <c r="AH1323" i="2"/>
  <c r="AG1323" i="2"/>
  <c r="AF1323" i="2"/>
  <c r="AE1323" i="2"/>
  <c r="AD1323" i="2"/>
  <c r="AC1323" i="2"/>
  <c r="AA1323" i="2"/>
  <c r="Z1323" i="2"/>
  <c r="Y1323" i="2"/>
  <c r="X1323" i="2"/>
  <c r="W1323" i="2"/>
  <c r="V1323" i="2"/>
  <c r="U1323" i="2"/>
  <c r="T1323" i="2"/>
  <c r="S1323" i="2"/>
  <c r="R1323" i="2"/>
  <c r="Q1323" i="2"/>
  <c r="P1323" i="2"/>
  <c r="O1323" i="2"/>
  <c r="N1323" i="2"/>
  <c r="K1323" i="2"/>
  <c r="J1323" i="2"/>
  <c r="I1323" i="2"/>
  <c r="H1323" i="2"/>
  <c r="G1323" i="2"/>
  <c r="F1323" i="2"/>
  <c r="E1323" i="2"/>
  <c r="D1323" i="2"/>
  <c r="C1323" i="2"/>
  <c r="B1323" i="2"/>
  <c r="A1323" i="2"/>
  <c r="AI1322" i="2"/>
  <c r="AH1322" i="2"/>
  <c r="AG1322" i="2"/>
  <c r="AF1322" i="2"/>
  <c r="AE1322" i="2"/>
  <c r="AD1322" i="2"/>
  <c r="AC1322" i="2"/>
  <c r="AB1322" i="2"/>
  <c r="AA1322" i="2"/>
  <c r="Z1322" i="2"/>
  <c r="Y1322" i="2"/>
  <c r="X1322" i="2"/>
  <c r="W1322" i="2"/>
  <c r="V1322" i="2"/>
  <c r="U1322" i="2"/>
  <c r="T1322" i="2"/>
  <c r="S1322" i="2"/>
  <c r="R1322" i="2"/>
  <c r="Q1322" i="2"/>
  <c r="P1322" i="2"/>
  <c r="O1322" i="2"/>
  <c r="N1322" i="2"/>
  <c r="K1322" i="2"/>
  <c r="J1322" i="2"/>
  <c r="I1322" i="2"/>
  <c r="H1322" i="2"/>
  <c r="G1322" i="2"/>
  <c r="F1322" i="2"/>
  <c r="E1322" i="2"/>
  <c r="D1322" i="2"/>
  <c r="C1322" i="2"/>
  <c r="B1322" i="2"/>
  <c r="A1322" i="2"/>
  <c r="AI1321" i="2"/>
  <c r="AH1321" i="2"/>
  <c r="AG1321" i="2"/>
  <c r="AF1321" i="2"/>
  <c r="AE1321" i="2"/>
  <c r="AD1321" i="2"/>
  <c r="AC1321" i="2"/>
  <c r="AB1321" i="2"/>
  <c r="AA1321" i="2"/>
  <c r="Z1321" i="2"/>
  <c r="Y1321" i="2"/>
  <c r="X1321" i="2"/>
  <c r="W1321" i="2"/>
  <c r="V1321" i="2"/>
  <c r="U1321" i="2"/>
  <c r="T1321" i="2"/>
  <c r="S1321" i="2"/>
  <c r="R1321" i="2"/>
  <c r="Q1321" i="2"/>
  <c r="P1321" i="2"/>
  <c r="O1321" i="2"/>
  <c r="N1321" i="2"/>
  <c r="K1321" i="2"/>
  <c r="J1321" i="2"/>
  <c r="I1321" i="2"/>
  <c r="H1321" i="2"/>
  <c r="G1321" i="2"/>
  <c r="F1321" i="2"/>
  <c r="E1321" i="2"/>
  <c r="D1321" i="2"/>
  <c r="C1321" i="2"/>
  <c r="B1321" i="2"/>
  <c r="A1321" i="2"/>
  <c r="AI1320" i="2"/>
  <c r="AH1320" i="2"/>
  <c r="AG1320" i="2"/>
  <c r="AF1320" i="2"/>
  <c r="AE1320" i="2"/>
  <c r="AD1320" i="2"/>
  <c r="AC1320" i="2"/>
  <c r="AB1320" i="2"/>
  <c r="AA1320" i="2"/>
  <c r="Z1320" i="2"/>
  <c r="Y1320" i="2"/>
  <c r="X1320" i="2"/>
  <c r="W1320" i="2"/>
  <c r="V1320" i="2"/>
  <c r="U1320" i="2"/>
  <c r="T1320" i="2"/>
  <c r="S1320" i="2"/>
  <c r="R1320" i="2"/>
  <c r="Q1320" i="2"/>
  <c r="P1320" i="2"/>
  <c r="O1320" i="2"/>
  <c r="N1320" i="2"/>
  <c r="K1320" i="2"/>
  <c r="J1320" i="2"/>
  <c r="I1320" i="2"/>
  <c r="H1320" i="2"/>
  <c r="G1320" i="2"/>
  <c r="F1320" i="2"/>
  <c r="E1320" i="2"/>
  <c r="D1320" i="2"/>
  <c r="C1320" i="2"/>
  <c r="B1320" i="2"/>
  <c r="A1320" i="2"/>
  <c r="AI1319" i="2"/>
  <c r="AH1319" i="2"/>
  <c r="AG1319" i="2"/>
  <c r="AF1319" i="2"/>
  <c r="AE1319" i="2"/>
  <c r="AD1319" i="2"/>
  <c r="AC1319" i="2"/>
  <c r="AA1319" i="2"/>
  <c r="Z1319" i="2"/>
  <c r="Y1319" i="2"/>
  <c r="X1319" i="2"/>
  <c r="W1319" i="2"/>
  <c r="V1319" i="2"/>
  <c r="U1319" i="2"/>
  <c r="T1319" i="2"/>
  <c r="S1319" i="2"/>
  <c r="R1319" i="2"/>
  <c r="Q1319" i="2"/>
  <c r="P1319" i="2"/>
  <c r="O1319" i="2"/>
  <c r="N1319" i="2"/>
  <c r="K1319" i="2"/>
  <c r="J1319" i="2"/>
  <c r="I1319" i="2"/>
  <c r="H1319" i="2"/>
  <c r="G1319" i="2"/>
  <c r="F1319" i="2"/>
  <c r="E1319" i="2"/>
  <c r="D1319" i="2"/>
  <c r="C1319" i="2"/>
  <c r="B1319" i="2"/>
  <c r="A1319" i="2"/>
  <c r="AI1318" i="2"/>
  <c r="AH1318" i="2"/>
  <c r="AG1318" i="2"/>
  <c r="AF1318" i="2"/>
  <c r="AE1318" i="2"/>
  <c r="AD1318" i="2"/>
  <c r="AC1318" i="2"/>
  <c r="AB1318" i="2"/>
  <c r="AA1318" i="2"/>
  <c r="Z1318" i="2"/>
  <c r="Y1318" i="2"/>
  <c r="X1318" i="2"/>
  <c r="W1318" i="2"/>
  <c r="V1318" i="2"/>
  <c r="U1318" i="2"/>
  <c r="T1318" i="2"/>
  <c r="S1318" i="2"/>
  <c r="R1318" i="2"/>
  <c r="Q1318" i="2"/>
  <c r="P1318" i="2"/>
  <c r="O1318" i="2"/>
  <c r="N1318" i="2"/>
  <c r="K1318" i="2"/>
  <c r="J1318" i="2"/>
  <c r="I1318" i="2"/>
  <c r="H1318" i="2"/>
  <c r="G1318" i="2"/>
  <c r="F1318" i="2"/>
  <c r="E1318" i="2"/>
  <c r="D1318" i="2"/>
  <c r="C1318" i="2"/>
  <c r="B1318" i="2"/>
  <c r="A1318" i="2"/>
  <c r="AI1317" i="2"/>
  <c r="AH1317" i="2"/>
  <c r="AG1317" i="2"/>
  <c r="AF1317" i="2"/>
  <c r="AE1317" i="2"/>
  <c r="AD1317" i="2"/>
  <c r="AA1317" i="2"/>
  <c r="Z1317" i="2"/>
  <c r="Y1317" i="2"/>
  <c r="X1317" i="2"/>
  <c r="W1317" i="2"/>
  <c r="V1317" i="2"/>
  <c r="U1317" i="2"/>
  <c r="T1317" i="2"/>
  <c r="S1317" i="2"/>
  <c r="R1317" i="2"/>
  <c r="Q1317" i="2"/>
  <c r="P1317" i="2"/>
  <c r="O1317" i="2"/>
  <c r="N1317" i="2"/>
  <c r="K1317" i="2"/>
  <c r="J1317" i="2"/>
  <c r="I1317" i="2"/>
  <c r="H1317" i="2"/>
  <c r="G1317" i="2"/>
  <c r="F1317" i="2"/>
  <c r="E1317" i="2"/>
  <c r="D1317" i="2"/>
  <c r="C1317" i="2"/>
  <c r="B1317" i="2"/>
  <c r="A1317" i="2"/>
  <c r="AI1316" i="2"/>
  <c r="AH1316" i="2"/>
  <c r="AG1316" i="2"/>
  <c r="AF1316" i="2"/>
  <c r="AE1316" i="2"/>
  <c r="AD1316" i="2"/>
  <c r="AC1316" i="2"/>
  <c r="AB1316" i="2"/>
  <c r="AA1316" i="2"/>
  <c r="Z1316" i="2"/>
  <c r="Y1316" i="2"/>
  <c r="X1316" i="2"/>
  <c r="W1316" i="2"/>
  <c r="V1316" i="2"/>
  <c r="U1316" i="2"/>
  <c r="T1316" i="2"/>
  <c r="S1316" i="2"/>
  <c r="R1316" i="2"/>
  <c r="Q1316" i="2"/>
  <c r="P1316" i="2"/>
  <c r="O1316" i="2"/>
  <c r="N1316" i="2"/>
  <c r="K1316" i="2"/>
  <c r="J1316" i="2"/>
  <c r="I1316" i="2"/>
  <c r="H1316" i="2"/>
  <c r="G1316" i="2"/>
  <c r="F1316" i="2"/>
  <c r="E1316" i="2"/>
  <c r="D1316" i="2"/>
  <c r="C1316" i="2"/>
  <c r="B1316" i="2"/>
  <c r="A1316" i="2"/>
  <c r="AI1315" i="2"/>
  <c r="AH1315" i="2"/>
  <c r="AG1315" i="2"/>
  <c r="AF1315" i="2"/>
  <c r="AE1315" i="2"/>
  <c r="AD1315" i="2"/>
  <c r="AC1315" i="2"/>
  <c r="AB1315" i="2"/>
  <c r="AA1315" i="2"/>
  <c r="Z1315" i="2"/>
  <c r="Y1315" i="2"/>
  <c r="X1315" i="2"/>
  <c r="W1315" i="2"/>
  <c r="V1315" i="2"/>
  <c r="U1315" i="2"/>
  <c r="T1315" i="2"/>
  <c r="S1315" i="2"/>
  <c r="R1315" i="2"/>
  <c r="Q1315" i="2"/>
  <c r="P1315" i="2"/>
  <c r="O1315" i="2"/>
  <c r="N1315" i="2"/>
  <c r="K1315" i="2"/>
  <c r="J1315" i="2"/>
  <c r="I1315" i="2"/>
  <c r="H1315" i="2"/>
  <c r="G1315" i="2"/>
  <c r="F1315" i="2"/>
  <c r="E1315" i="2"/>
  <c r="D1315" i="2"/>
  <c r="C1315" i="2"/>
  <c r="B1315" i="2"/>
  <c r="A1315" i="2"/>
  <c r="AI1314" i="2"/>
  <c r="AH1314" i="2"/>
  <c r="AG1314" i="2"/>
  <c r="AF1314" i="2"/>
  <c r="AE1314" i="2"/>
  <c r="AD1314" i="2"/>
  <c r="AC1314" i="2"/>
  <c r="AB1314" i="2"/>
  <c r="AA1314" i="2"/>
  <c r="Z1314" i="2"/>
  <c r="Y1314" i="2"/>
  <c r="X1314" i="2"/>
  <c r="W1314" i="2"/>
  <c r="V1314" i="2"/>
  <c r="U1314" i="2"/>
  <c r="T1314" i="2"/>
  <c r="S1314" i="2"/>
  <c r="R1314" i="2"/>
  <c r="Q1314" i="2"/>
  <c r="P1314" i="2"/>
  <c r="O1314" i="2"/>
  <c r="N1314" i="2"/>
  <c r="K1314" i="2"/>
  <c r="J1314" i="2"/>
  <c r="I1314" i="2"/>
  <c r="H1314" i="2"/>
  <c r="G1314" i="2"/>
  <c r="F1314" i="2"/>
  <c r="E1314" i="2"/>
  <c r="D1314" i="2"/>
  <c r="C1314" i="2"/>
  <c r="B1314" i="2"/>
  <c r="A1314" i="2"/>
  <c r="AI1313" i="2"/>
  <c r="AH1313" i="2"/>
  <c r="AG1313" i="2"/>
  <c r="AF1313" i="2"/>
  <c r="AE1313" i="2"/>
  <c r="AD1313" i="2"/>
  <c r="AC1313" i="2"/>
  <c r="AB1313" i="2"/>
  <c r="AA1313" i="2"/>
  <c r="Z1313" i="2"/>
  <c r="Y1313" i="2"/>
  <c r="X1313" i="2"/>
  <c r="W1313" i="2"/>
  <c r="V1313" i="2"/>
  <c r="U1313" i="2"/>
  <c r="T1313" i="2"/>
  <c r="S1313" i="2"/>
  <c r="R1313" i="2"/>
  <c r="Q1313" i="2"/>
  <c r="P1313" i="2"/>
  <c r="O1313" i="2"/>
  <c r="N1313" i="2"/>
  <c r="K1313" i="2"/>
  <c r="J1313" i="2"/>
  <c r="I1313" i="2"/>
  <c r="H1313" i="2"/>
  <c r="G1313" i="2"/>
  <c r="F1313" i="2"/>
  <c r="E1313" i="2"/>
  <c r="D1313" i="2"/>
  <c r="C1313" i="2"/>
  <c r="B1313" i="2"/>
  <c r="A1313" i="2"/>
  <c r="AI1312" i="2"/>
  <c r="AH1312" i="2"/>
  <c r="AG1312" i="2"/>
  <c r="AF1312" i="2"/>
  <c r="AE1312" i="2"/>
  <c r="AD1312" i="2"/>
  <c r="AC1312" i="2"/>
  <c r="AB1312" i="2"/>
  <c r="AA1312" i="2"/>
  <c r="Z1312" i="2"/>
  <c r="Y1312" i="2"/>
  <c r="X1312" i="2"/>
  <c r="W1312" i="2"/>
  <c r="V1312" i="2"/>
  <c r="U1312" i="2"/>
  <c r="T1312" i="2"/>
  <c r="S1312" i="2"/>
  <c r="R1312" i="2"/>
  <c r="Q1312" i="2"/>
  <c r="P1312" i="2"/>
  <c r="O1312" i="2"/>
  <c r="N1312" i="2"/>
  <c r="K1312" i="2"/>
  <c r="J1312" i="2"/>
  <c r="I1312" i="2"/>
  <c r="H1312" i="2"/>
  <c r="G1312" i="2"/>
  <c r="F1312" i="2"/>
  <c r="E1312" i="2"/>
  <c r="D1312" i="2"/>
  <c r="C1312" i="2"/>
  <c r="B1312" i="2"/>
  <c r="A1312" i="2"/>
  <c r="AI1311" i="2"/>
  <c r="AH1311" i="2"/>
  <c r="AG1311" i="2"/>
  <c r="AF1311" i="2"/>
  <c r="AE1311" i="2"/>
  <c r="AD1311" i="2"/>
  <c r="AB1311" i="2"/>
  <c r="AA1311" i="2"/>
  <c r="Z1311" i="2"/>
  <c r="Y1311" i="2"/>
  <c r="X1311" i="2"/>
  <c r="W1311" i="2"/>
  <c r="V1311" i="2"/>
  <c r="U1311" i="2"/>
  <c r="T1311" i="2"/>
  <c r="S1311" i="2"/>
  <c r="R1311" i="2"/>
  <c r="Q1311" i="2"/>
  <c r="P1311" i="2"/>
  <c r="O1311" i="2"/>
  <c r="N1311" i="2"/>
  <c r="K1311" i="2"/>
  <c r="J1311" i="2"/>
  <c r="I1311" i="2"/>
  <c r="H1311" i="2"/>
  <c r="G1311" i="2"/>
  <c r="F1311" i="2"/>
  <c r="E1311" i="2"/>
  <c r="D1311" i="2"/>
  <c r="C1311" i="2"/>
  <c r="B1311" i="2"/>
  <c r="A1311" i="2"/>
  <c r="AI1310" i="2"/>
  <c r="AH1310" i="2"/>
  <c r="AG1310" i="2"/>
  <c r="AF1310" i="2"/>
  <c r="AE1310" i="2"/>
  <c r="AD1310" i="2"/>
  <c r="AC1310" i="2"/>
  <c r="AB1310" i="2"/>
  <c r="AA1310" i="2"/>
  <c r="Z1310" i="2"/>
  <c r="Y1310" i="2"/>
  <c r="X1310" i="2"/>
  <c r="V1310" i="2"/>
  <c r="U1310" i="2"/>
  <c r="T1310" i="2"/>
  <c r="S1310" i="2"/>
  <c r="R1310" i="2"/>
  <c r="Q1310" i="2"/>
  <c r="P1310" i="2"/>
  <c r="O1310" i="2"/>
  <c r="N1310" i="2"/>
  <c r="K1310" i="2"/>
  <c r="J1310" i="2"/>
  <c r="I1310" i="2"/>
  <c r="H1310" i="2"/>
  <c r="G1310" i="2"/>
  <c r="F1310" i="2"/>
  <c r="E1310" i="2"/>
  <c r="D1310" i="2"/>
  <c r="C1310" i="2"/>
  <c r="B1310" i="2"/>
  <c r="A1310" i="2"/>
  <c r="AH1309" i="2"/>
  <c r="AG1309" i="2"/>
  <c r="AF1309" i="2"/>
  <c r="AE1309" i="2"/>
  <c r="AD1309" i="2"/>
  <c r="AA1309" i="2"/>
  <c r="Z1309" i="2"/>
  <c r="Y1309" i="2"/>
  <c r="X1309" i="2"/>
  <c r="W1309" i="2"/>
  <c r="V1309" i="2"/>
  <c r="U1309" i="2"/>
  <c r="T1309" i="2"/>
  <c r="S1309" i="2"/>
  <c r="R1309" i="2"/>
  <c r="Q1309" i="2"/>
  <c r="P1309" i="2"/>
  <c r="O1309" i="2"/>
  <c r="N1309" i="2"/>
  <c r="K1309" i="2"/>
  <c r="J1309" i="2"/>
  <c r="I1309" i="2"/>
  <c r="H1309" i="2"/>
  <c r="G1309" i="2"/>
  <c r="F1309" i="2"/>
  <c r="E1309" i="2"/>
  <c r="D1309" i="2"/>
  <c r="C1309" i="2"/>
  <c r="B1309" i="2"/>
  <c r="A1309" i="2"/>
  <c r="AI1308" i="2"/>
  <c r="AH1308" i="2"/>
  <c r="AG1308" i="2"/>
  <c r="AF1308" i="2"/>
  <c r="AE1308" i="2"/>
  <c r="AD1308" i="2"/>
  <c r="AC1308" i="2"/>
  <c r="AB1308" i="2"/>
  <c r="AA1308" i="2"/>
  <c r="Z1308" i="2"/>
  <c r="Y1308" i="2"/>
  <c r="X1308" i="2"/>
  <c r="V1308" i="2"/>
  <c r="U1308" i="2"/>
  <c r="T1308" i="2"/>
  <c r="S1308" i="2"/>
  <c r="R1308" i="2"/>
  <c r="Q1308" i="2"/>
  <c r="P1308" i="2"/>
  <c r="O1308" i="2"/>
  <c r="N1308" i="2"/>
  <c r="K1308" i="2"/>
  <c r="J1308" i="2"/>
  <c r="I1308" i="2"/>
  <c r="H1308" i="2"/>
  <c r="G1308" i="2"/>
  <c r="F1308" i="2"/>
  <c r="E1308" i="2"/>
  <c r="D1308" i="2"/>
  <c r="C1308" i="2"/>
  <c r="B1308" i="2"/>
  <c r="A1308" i="2"/>
  <c r="AI1307" i="2"/>
  <c r="AH1307" i="2"/>
  <c r="AG1307" i="2"/>
  <c r="AF1307" i="2"/>
  <c r="AE1307" i="2"/>
  <c r="AD1307" i="2"/>
  <c r="AC1307" i="2"/>
  <c r="AB1307" i="2"/>
  <c r="AA1307" i="2"/>
  <c r="Z1307" i="2"/>
  <c r="Y1307" i="2"/>
  <c r="X1307" i="2"/>
  <c r="V1307" i="2"/>
  <c r="U1307" i="2"/>
  <c r="T1307" i="2"/>
  <c r="S1307" i="2"/>
  <c r="R1307" i="2"/>
  <c r="Q1307" i="2"/>
  <c r="P1307" i="2"/>
  <c r="O1307" i="2"/>
  <c r="N1307" i="2"/>
  <c r="K1307" i="2"/>
  <c r="J1307" i="2"/>
  <c r="I1307" i="2"/>
  <c r="H1307" i="2"/>
  <c r="G1307" i="2"/>
  <c r="F1307" i="2"/>
  <c r="E1307" i="2"/>
  <c r="D1307" i="2"/>
  <c r="C1307" i="2"/>
  <c r="B1307" i="2"/>
  <c r="A1307" i="2"/>
  <c r="AI1306" i="2"/>
  <c r="AH1306" i="2"/>
  <c r="AG1306" i="2"/>
  <c r="AF1306" i="2"/>
  <c r="AE1306" i="2"/>
  <c r="AD1306" i="2"/>
  <c r="AC1306" i="2"/>
  <c r="AB1306" i="2"/>
  <c r="AA1306" i="2"/>
  <c r="Z1306" i="2"/>
  <c r="Y1306" i="2"/>
  <c r="X1306" i="2"/>
  <c r="W1306" i="2"/>
  <c r="V1306" i="2"/>
  <c r="U1306" i="2"/>
  <c r="T1306" i="2"/>
  <c r="S1306" i="2"/>
  <c r="R1306" i="2"/>
  <c r="Q1306" i="2"/>
  <c r="P1306" i="2"/>
  <c r="O1306" i="2"/>
  <c r="N1306" i="2"/>
  <c r="K1306" i="2"/>
  <c r="J1306" i="2"/>
  <c r="I1306" i="2"/>
  <c r="H1306" i="2"/>
  <c r="G1306" i="2"/>
  <c r="F1306" i="2"/>
  <c r="E1306" i="2"/>
  <c r="D1306" i="2"/>
  <c r="C1306" i="2"/>
  <c r="B1306" i="2"/>
  <c r="A1306" i="2"/>
  <c r="AI1305" i="2"/>
  <c r="AH1305" i="2"/>
  <c r="AG1305" i="2"/>
  <c r="AF1305" i="2"/>
  <c r="AE1305" i="2"/>
  <c r="AD1305" i="2"/>
  <c r="AB1305" i="2"/>
  <c r="AA1305" i="2"/>
  <c r="Z1305" i="2"/>
  <c r="Y1305" i="2"/>
  <c r="X1305" i="2"/>
  <c r="W1305" i="2"/>
  <c r="V1305" i="2"/>
  <c r="U1305" i="2"/>
  <c r="T1305" i="2"/>
  <c r="S1305" i="2"/>
  <c r="R1305" i="2"/>
  <c r="Q1305" i="2"/>
  <c r="P1305" i="2"/>
  <c r="O1305" i="2"/>
  <c r="N1305" i="2"/>
  <c r="K1305" i="2"/>
  <c r="J1305" i="2"/>
  <c r="I1305" i="2"/>
  <c r="H1305" i="2"/>
  <c r="G1305" i="2"/>
  <c r="F1305" i="2"/>
  <c r="E1305" i="2"/>
  <c r="D1305" i="2"/>
  <c r="C1305" i="2"/>
  <c r="B1305" i="2"/>
  <c r="A1305" i="2"/>
  <c r="AH1304" i="2"/>
  <c r="AG1304" i="2"/>
  <c r="AF1304" i="2"/>
  <c r="AE1304" i="2"/>
  <c r="AD1304" i="2"/>
  <c r="AC1304" i="2"/>
  <c r="AB1304" i="2"/>
  <c r="AA1304" i="2"/>
  <c r="Z1304" i="2"/>
  <c r="Y1304" i="2"/>
  <c r="X1304" i="2"/>
  <c r="W1304" i="2"/>
  <c r="V1304" i="2"/>
  <c r="U1304" i="2"/>
  <c r="T1304" i="2"/>
  <c r="S1304" i="2"/>
  <c r="R1304" i="2"/>
  <c r="Q1304" i="2"/>
  <c r="P1304" i="2"/>
  <c r="O1304" i="2"/>
  <c r="N1304" i="2"/>
  <c r="K1304" i="2"/>
  <c r="J1304" i="2"/>
  <c r="I1304" i="2"/>
  <c r="H1304" i="2"/>
  <c r="G1304" i="2"/>
  <c r="F1304" i="2"/>
  <c r="E1304" i="2"/>
  <c r="D1304" i="2"/>
  <c r="C1304" i="2"/>
  <c r="B1304" i="2"/>
  <c r="A1304" i="2"/>
  <c r="AI1303" i="2"/>
  <c r="AH1303" i="2"/>
  <c r="AG1303" i="2"/>
  <c r="AF1303" i="2"/>
  <c r="AE1303" i="2"/>
  <c r="AD1303" i="2"/>
  <c r="AA1303" i="2"/>
  <c r="Z1303" i="2"/>
  <c r="Y1303" i="2"/>
  <c r="X1303" i="2"/>
  <c r="V1303" i="2"/>
  <c r="U1303" i="2"/>
  <c r="T1303" i="2"/>
  <c r="S1303" i="2"/>
  <c r="R1303" i="2"/>
  <c r="Q1303" i="2"/>
  <c r="P1303" i="2"/>
  <c r="O1303" i="2"/>
  <c r="N1303" i="2"/>
  <c r="K1303" i="2"/>
  <c r="J1303" i="2"/>
  <c r="I1303" i="2"/>
  <c r="H1303" i="2"/>
  <c r="G1303" i="2"/>
  <c r="F1303" i="2"/>
  <c r="E1303" i="2"/>
  <c r="D1303" i="2"/>
  <c r="C1303" i="2"/>
  <c r="B1303" i="2"/>
  <c r="A1303" i="2"/>
  <c r="AI1302" i="2"/>
  <c r="AH1302" i="2"/>
  <c r="AF1302" i="2"/>
  <c r="AE1302" i="2"/>
  <c r="AD1302" i="2"/>
  <c r="AC1302" i="2"/>
  <c r="AA1302" i="2"/>
  <c r="Z1302" i="2"/>
  <c r="Y1302" i="2"/>
  <c r="X1302" i="2"/>
  <c r="V1302" i="2"/>
  <c r="U1302" i="2"/>
  <c r="T1302" i="2"/>
  <c r="S1302" i="2"/>
  <c r="R1302" i="2"/>
  <c r="Q1302" i="2"/>
  <c r="P1302" i="2"/>
  <c r="O1302" i="2"/>
  <c r="N1302" i="2"/>
  <c r="K1302" i="2"/>
  <c r="J1302" i="2"/>
  <c r="I1302" i="2"/>
  <c r="H1302" i="2"/>
  <c r="G1302" i="2"/>
  <c r="F1302" i="2"/>
  <c r="E1302" i="2"/>
  <c r="D1302" i="2"/>
  <c r="C1302" i="2"/>
  <c r="B1302" i="2"/>
  <c r="A1302" i="2"/>
  <c r="AI1301" i="2"/>
  <c r="AH1301" i="2"/>
  <c r="AG1301" i="2"/>
  <c r="AF1301" i="2"/>
  <c r="AE1301" i="2"/>
  <c r="AD1301" i="2"/>
  <c r="AC1301" i="2"/>
  <c r="AB1301" i="2"/>
  <c r="AA1301" i="2"/>
  <c r="Z1301" i="2"/>
  <c r="Y1301" i="2"/>
  <c r="X1301" i="2"/>
  <c r="W1301" i="2"/>
  <c r="V1301" i="2"/>
  <c r="U1301" i="2"/>
  <c r="T1301" i="2"/>
  <c r="S1301" i="2"/>
  <c r="R1301" i="2"/>
  <c r="Q1301" i="2"/>
  <c r="P1301" i="2"/>
  <c r="O1301" i="2"/>
  <c r="N1301" i="2"/>
  <c r="K1301" i="2"/>
  <c r="J1301" i="2"/>
  <c r="I1301" i="2"/>
  <c r="H1301" i="2"/>
  <c r="G1301" i="2"/>
  <c r="F1301" i="2"/>
  <c r="E1301" i="2"/>
  <c r="D1301" i="2"/>
  <c r="C1301" i="2"/>
  <c r="B1301" i="2"/>
  <c r="A1301" i="2"/>
  <c r="AI1300" i="2"/>
  <c r="AH1300" i="2"/>
  <c r="AG1300" i="2"/>
  <c r="AF1300" i="2"/>
  <c r="AE1300" i="2"/>
  <c r="AD1300" i="2"/>
  <c r="AC1300" i="2"/>
  <c r="AB1300" i="2"/>
  <c r="AA1300" i="2"/>
  <c r="Z1300" i="2"/>
  <c r="Y1300" i="2"/>
  <c r="X1300" i="2"/>
  <c r="V1300" i="2"/>
  <c r="U1300" i="2"/>
  <c r="T1300" i="2"/>
  <c r="S1300" i="2"/>
  <c r="R1300" i="2"/>
  <c r="Q1300" i="2"/>
  <c r="P1300" i="2"/>
  <c r="O1300" i="2"/>
  <c r="N1300" i="2"/>
  <c r="K1300" i="2"/>
  <c r="J1300" i="2"/>
  <c r="I1300" i="2"/>
  <c r="H1300" i="2"/>
  <c r="G1300" i="2"/>
  <c r="F1300" i="2"/>
  <c r="E1300" i="2"/>
  <c r="D1300" i="2"/>
  <c r="C1300" i="2"/>
  <c r="B1300" i="2"/>
  <c r="A1300" i="2"/>
  <c r="AI1299" i="2"/>
  <c r="AH1299" i="2"/>
  <c r="AG1299" i="2"/>
  <c r="AF1299" i="2"/>
  <c r="AE1299" i="2"/>
  <c r="AD1299" i="2"/>
  <c r="AC1299" i="2"/>
  <c r="AB1299" i="2"/>
  <c r="AA1299" i="2"/>
  <c r="Z1299" i="2"/>
  <c r="Y1299" i="2"/>
  <c r="X1299" i="2"/>
  <c r="V1299" i="2"/>
  <c r="U1299" i="2"/>
  <c r="T1299" i="2"/>
  <c r="S1299" i="2"/>
  <c r="R1299" i="2"/>
  <c r="Q1299" i="2"/>
  <c r="P1299" i="2"/>
  <c r="O1299" i="2"/>
  <c r="N1299" i="2"/>
  <c r="K1299" i="2"/>
  <c r="J1299" i="2"/>
  <c r="I1299" i="2"/>
  <c r="H1299" i="2"/>
  <c r="G1299" i="2"/>
  <c r="F1299" i="2"/>
  <c r="E1299" i="2"/>
  <c r="D1299" i="2"/>
  <c r="C1299" i="2"/>
  <c r="B1299" i="2"/>
  <c r="A1299" i="2"/>
  <c r="AI1298" i="2"/>
  <c r="AH1298" i="2"/>
  <c r="AG1298" i="2"/>
  <c r="AF1298" i="2"/>
  <c r="AE1298" i="2"/>
  <c r="AD1298" i="2"/>
  <c r="AC1298" i="2"/>
  <c r="AB1298" i="2"/>
  <c r="AA1298" i="2"/>
  <c r="Z1298" i="2"/>
  <c r="Y1298" i="2"/>
  <c r="X1298" i="2"/>
  <c r="W1298" i="2"/>
  <c r="V1298" i="2"/>
  <c r="U1298" i="2"/>
  <c r="T1298" i="2"/>
  <c r="S1298" i="2"/>
  <c r="R1298" i="2"/>
  <c r="Q1298" i="2"/>
  <c r="P1298" i="2"/>
  <c r="O1298" i="2"/>
  <c r="N1298" i="2"/>
  <c r="K1298" i="2"/>
  <c r="J1298" i="2"/>
  <c r="I1298" i="2"/>
  <c r="H1298" i="2"/>
  <c r="G1298" i="2"/>
  <c r="F1298" i="2"/>
  <c r="E1298" i="2"/>
  <c r="D1298" i="2"/>
  <c r="C1298" i="2"/>
  <c r="B1298" i="2"/>
  <c r="A1298" i="2"/>
  <c r="AI1297" i="2"/>
  <c r="AH1297" i="2"/>
  <c r="AG1297" i="2"/>
  <c r="AF1297" i="2"/>
  <c r="AE1297" i="2"/>
  <c r="AD1297" i="2"/>
  <c r="AC1297" i="2"/>
  <c r="AB1297" i="2"/>
  <c r="AA1297" i="2"/>
  <c r="Z1297" i="2"/>
  <c r="Y1297" i="2"/>
  <c r="X1297" i="2"/>
  <c r="V1297" i="2"/>
  <c r="U1297" i="2"/>
  <c r="T1297" i="2"/>
  <c r="S1297" i="2"/>
  <c r="R1297" i="2"/>
  <c r="Q1297" i="2"/>
  <c r="P1297" i="2"/>
  <c r="O1297" i="2"/>
  <c r="N1297" i="2"/>
  <c r="K1297" i="2"/>
  <c r="J1297" i="2"/>
  <c r="I1297" i="2"/>
  <c r="H1297" i="2"/>
  <c r="G1297" i="2"/>
  <c r="F1297" i="2"/>
  <c r="E1297" i="2"/>
  <c r="D1297" i="2"/>
  <c r="C1297" i="2"/>
  <c r="B1297" i="2"/>
  <c r="A1297" i="2"/>
  <c r="AI1296" i="2"/>
  <c r="AH1296" i="2"/>
  <c r="AG1296" i="2"/>
  <c r="AF1296" i="2"/>
  <c r="AE1296" i="2"/>
  <c r="AD1296" i="2"/>
  <c r="AB1296" i="2"/>
  <c r="AA1296" i="2"/>
  <c r="Z1296" i="2"/>
  <c r="Y1296" i="2"/>
  <c r="X1296" i="2"/>
  <c r="W1296" i="2"/>
  <c r="V1296" i="2"/>
  <c r="U1296" i="2"/>
  <c r="T1296" i="2"/>
  <c r="S1296" i="2"/>
  <c r="R1296" i="2"/>
  <c r="Q1296" i="2"/>
  <c r="P1296" i="2"/>
  <c r="O1296" i="2"/>
  <c r="N1296" i="2"/>
  <c r="K1296" i="2"/>
  <c r="J1296" i="2"/>
  <c r="I1296" i="2"/>
  <c r="H1296" i="2"/>
  <c r="G1296" i="2"/>
  <c r="F1296" i="2"/>
  <c r="E1296" i="2"/>
  <c r="D1296" i="2"/>
  <c r="C1296" i="2"/>
  <c r="B1296" i="2"/>
  <c r="A1296" i="2"/>
  <c r="AH1295" i="2"/>
  <c r="AG1295" i="2"/>
  <c r="AF1295" i="2"/>
  <c r="AE1295" i="2"/>
  <c r="AD1295" i="2"/>
  <c r="AC1295" i="2"/>
  <c r="AB1295" i="2"/>
  <c r="AA1295" i="2"/>
  <c r="Z1295" i="2"/>
  <c r="Y1295" i="2"/>
  <c r="X1295" i="2"/>
  <c r="W1295" i="2"/>
  <c r="V1295" i="2"/>
  <c r="U1295" i="2"/>
  <c r="T1295" i="2"/>
  <c r="S1295" i="2"/>
  <c r="R1295" i="2"/>
  <c r="Q1295" i="2"/>
  <c r="P1295" i="2"/>
  <c r="O1295" i="2"/>
  <c r="N1295" i="2"/>
  <c r="K1295" i="2"/>
  <c r="J1295" i="2"/>
  <c r="I1295" i="2"/>
  <c r="H1295" i="2"/>
  <c r="G1295" i="2"/>
  <c r="F1295" i="2"/>
  <c r="E1295" i="2"/>
  <c r="D1295" i="2"/>
  <c r="C1295" i="2"/>
  <c r="B1295" i="2"/>
  <c r="A1295" i="2"/>
  <c r="AI1294" i="2"/>
  <c r="AF1294" i="2"/>
  <c r="AE1294" i="2"/>
  <c r="AD1294" i="2"/>
  <c r="AA1294" i="2"/>
  <c r="Z1294" i="2"/>
  <c r="Y1294" i="2"/>
  <c r="X1294" i="2"/>
  <c r="W1294" i="2"/>
  <c r="V1294" i="2"/>
  <c r="U1294" i="2"/>
  <c r="T1294" i="2"/>
  <c r="S1294" i="2"/>
  <c r="R1294" i="2"/>
  <c r="Q1294" i="2"/>
  <c r="P1294" i="2"/>
  <c r="O1294" i="2"/>
  <c r="N1294" i="2"/>
  <c r="K1294" i="2"/>
  <c r="J1294" i="2"/>
  <c r="I1294" i="2"/>
  <c r="H1294" i="2"/>
  <c r="G1294" i="2"/>
  <c r="F1294" i="2"/>
  <c r="E1294" i="2"/>
  <c r="D1294" i="2"/>
  <c r="C1294" i="2"/>
  <c r="B1294" i="2"/>
  <c r="A1294" i="2"/>
  <c r="AI1293" i="2"/>
  <c r="AH1293" i="2"/>
  <c r="AF1293" i="2"/>
  <c r="AE1293" i="2"/>
  <c r="AD1293" i="2"/>
  <c r="AC1293" i="2"/>
  <c r="AB1293" i="2"/>
  <c r="AA1293" i="2"/>
  <c r="Z1293" i="2"/>
  <c r="Y1293" i="2"/>
  <c r="X1293" i="2"/>
  <c r="W1293" i="2"/>
  <c r="V1293" i="2"/>
  <c r="U1293" i="2"/>
  <c r="T1293" i="2"/>
  <c r="S1293" i="2"/>
  <c r="R1293" i="2"/>
  <c r="Q1293" i="2"/>
  <c r="P1293" i="2"/>
  <c r="O1293" i="2"/>
  <c r="N1293" i="2"/>
  <c r="K1293" i="2"/>
  <c r="J1293" i="2"/>
  <c r="I1293" i="2"/>
  <c r="H1293" i="2"/>
  <c r="G1293" i="2"/>
  <c r="F1293" i="2"/>
  <c r="E1293" i="2"/>
  <c r="D1293" i="2"/>
  <c r="C1293" i="2"/>
  <c r="B1293" i="2"/>
  <c r="A1293" i="2"/>
  <c r="AI1292" i="2"/>
  <c r="AH1292" i="2"/>
  <c r="AG1292" i="2"/>
  <c r="AF1292" i="2"/>
  <c r="AE1292" i="2"/>
  <c r="AD1292" i="2"/>
  <c r="AB1292" i="2"/>
  <c r="AA1292" i="2"/>
  <c r="Z1292" i="2"/>
  <c r="Y1292" i="2"/>
  <c r="X1292" i="2"/>
  <c r="W1292" i="2"/>
  <c r="V1292" i="2"/>
  <c r="U1292" i="2"/>
  <c r="T1292" i="2"/>
  <c r="S1292" i="2"/>
  <c r="R1292" i="2"/>
  <c r="Q1292" i="2"/>
  <c r="P1292" i="2"/>
  <c r="O1292" i="2"/>
  <c r="N1292" i="2"/>
  <c r="K1292" i="2"/>
  <c r="J1292" i="2"/>
  <c r="I1292" i="2"/>
  <c r="H1292" i="2"/>
  <c r="G1292" i="2"/>
  <c r="F1292" i="2"/>
  <c r="E1292" i="2"/>
  <c r="D1292" i="2"/>
  <c r="C1292" i="2"/>
  <c r="B1292" i="2"/>
  <c r="A1292" i="2"/>
  <c r="AI1291" i="2"/>
  <c r="AH1291" i="2"/>
  <c r="AG1291" i="2"/>
  <c r="AF1291" i="2"/>
  <c r="AE1291" i="2"/>
  <c r="AD1291" i="2"/>
  <c r="AA1291" i="2"/>
  <c r="Z1291" i="2"/>
  <c r="Y1291" i="2"/>
  <c r="X1291" i="2"/>
  <c r="W1291" i="2"/>
  <c r="V1291" i="2"/>
  <c r="U1291" i="2"/>
  <c r="T1291" i="2"/>
  <c r="S1291" i="2"/>
  <c r="R1291" i="2"/>
  <c r="Q1291" i="2"/>
  <c r="P1291" i="2"/>
  <c r="O1291" i="2"/>
  <c r="N1291" i="2"/>
  <c r="K1291" i="2"/>
  <c r="J1291" i="2"/>
  <c r="I1291" i="2"/>
  <c r="H1291" i="2"/>
  <c r="G1291" i="2"/>
  <c r="F1291" i="2"/>
  <c r="E1291" i="2"/>
  <c r="D1291" i="2"/>
  <c r="C1291" i="2"/>
  <c r="B1291" i="2"/>
  <c r="A1291" i="2"/>
  <c r="AI1290" i="2"/>
  <c r="AH1290" i="2"/>
  <c r="AG1290" i="2"/>
  <c r="AF1290" i="2"/>
  <c r="AE1290" i="2"/>
  <c r="AD1290" i="2"/>
  <c r="AC1290" i="2"/>
  <c r="AB1290" i="2"/>
  <c r="AA1290" i="2"/>
  <c r="Z1290" i="2"/>
  <c r="Y1290" i="2"/>
  <c r="X1290" i="2"/>
  <c r="V1290" i="2"/>
  <c r="U1290" i="2"/>
  <c r="T1290" i="2"/>
  <c r="S1290" i="2"/>
  <c r="R1290" i="2"/>
  <c r="Q1290" i="2"/>
  <c r="P1290" i="2"/>
  <c r="O1290" i="2"/>
  <c r="N1290" i="2"/>
  <c r="K1290" i="2"/>
  <c r="J1290" i="2"/>
  <c r="I1290" i="2"/>
  <c r="H1290" i="2"/>
  <c r="G1290" i="2"/>
  <c r="F1290" i="2"/>
  <c r="E1290" i="2"/>
  <c r="D1290" i="2"/>
  <c r="C1290" i="2"/>
  <c r="B1290" i="2"/>
  <c r="A1290" i="2"/>
  <c r="AI1289" i="2"/>
  <c r="AF1289" i="2"/>
  <c r="AE1289" i="2"/>
  <c r="AD1289" i="2"/>
  <c r="AB1289" i="2"/>
  <c r="AA1289" i="2"/>
  <c r="Z1289" i="2"/>
  <c r="Y1289" i="2"/>
  <c r="X1289" i="2"/>
  <c r="V1289" i="2"/>
  <c r="U1289" i="2"/>
  <c r="T1289" i="2"/>
  <c r="S1289" i="2"/>
  <c r="R1289" i="2"/>
  <c r="Q1289" i="2"/>
  <c r="P1289" i="2"/>
  <c r="O1289" i="2"/>
  <c r="N1289" i="2"/>
  <c r="K1289" i="2"/>
  <c r="J1289" i="2"/>
  <c r="I1289" i="2"/>
  <c r="H1289" i="2"/>
  <c r="G1289" i="2"/>
  <c r="F1289" i="2"/>
  <c r="E1289" i="2"/>
  <c r="D1289" i="2"/>
  <c r="C1289" i="2"/>
  <c r="B1289" i="2"/>
  <c r="A1289" i="2"/>
  <c r="AI1288" i="2"/>
  <c r="AF1288" i="2"/>
  <c r="AE1288" i="2"/>
  <c r="AD1288" i="2"/>
  <c r="AC1288" i="2"/>
  <c r="AB1288" i="2"/>
  <c r="AA1288" i="2"/>
  <c r="Z1288" i="2"/>
  <c r="Y1288" i="2"/>
  <c r="X1288" i="2"/>
  <c r="W1288" i="2"/>
  <c r="V1288" i="2"/>
  <c r="U1288" i="2"/>
  <c r="T1288" i="2"/>
  <c r="S1288" i="2"/>
  <c r="R1288" i="2"/>
  <c r="Q1288" i="2"/>
  <c r="P1288" i="2"/>
  <c r="O1288" i="2"/>
  <c r="N1288" i="2"/>
  <c r="K1288" i="2"/>
  <c r="J1288" i="2"/>
  <c r="I1288" i="2"/>
  <c r="H1288" i="2"/>
  <c r="G1288" i="2"/>
  <c r="F1288" i="2"/>
  <c r="E1288" i="2"/>
  <c r="D1288" i="2"/>
  <c r="C1288" i="2"/>
  <c r="B1288" i="2"/>
  <c r="A1288" i="2"/>
  <c r="AJ1287" i="2"/>
  <c r="AI1287" i="2"/>
  <c r="AF1287" i="2"/>
  <c r="AE1287" i="2"/>
  <c r="AD1287" i="2"/>
  <c r="AC1287" i="2"/>
  <c r="AB1287" i="2"/>
  <c r="AA1287" i="2"/>
  <c r="Z1287" i="2"/>
  <c r="Y1287" i="2"/>
  <c r="X1287" i="2"/>
  <c r="W1287" i="2"/>
  <c r="V1287" i="2"/>
  <c r="U1287" i="2"/>
  <c r="T1287" i="2"/>
  <c r="S1287" i="2"/>
  <c r="R1287" i="2"/>
  <c r="Q1287" i="2"/>
  <c r="P1287" i="2"/>
  <c r="O1287" i="2"/>
  <c r="N1287" i="2"/>
  <c r="K1287" i="2"/>
  <c r="J1287" i="2"/>
  <c r="I1287" i="2"/>
  <c r="H1287" i="2"/>
  <c r="G1287" i="2"/>
  <c r="F1287" i="2"/>
  <c r="E1287" i="2"/>
  <c r="D1287" i="2"/>
  <c r="C1287" i="2"/>
  <c r="B1287" i="2"/>
  <c r="A1287" i="2"/>
  <c r="AJ1286" i="2"/>
  <c r="AI1286" i="2"/>
  <c r="AH1286" i="2"/>
  <c r="AF1286" i="2"/>
  <c r="AE1286" i="2"/>
  <c r="AD1286" i="2"/>
  <c r="AC1286" i="2"/>
  <c r="AA1286" i="2"/>
  <c r="Z1286" i="2"/>
  <c r="Y1286" i="2"/>
  <c r="X1286" i="2"/>
  <c r="W1286" i="2"/>
  <c r="V1286" i="2"/>
  <c r="U1286" i="2"/>
  <c r="T1286" i="2"/>
  <c r="S1286" i="2"/>
  <c r="R1286" i="2"/>
  <c r="Q1286" i="2"/>
  <c r="P1286" i="2"/>
  <c r="O1286" i="2"/>
  <c r="N1286" i="2"/>
  <c r="M1286" i="2"/>
  <c r="K1286" i="2"/>
  <c r="J1286" i="2"/>
  <c r="I1286" i="2"/>
  <c r="H1286" i="2"/>
  <c r="G1286" i="2"/>
  <c r="F1286" i="2"/>
  <c r="E1286" i="2"/>
  <c r="D1286" i="2"/>
  <c r="C1286" i="2"/>
  <c r="B1286" i="2"/>
  <c r="A1286" i="2"/>
  <c r="AI1285" i="2"/>
  <c r="AH1285" i="2"/>
  <c r="AF1285" i="2"/>
  <c r="AE1285" i="2"/>
  <c r="AD1285" i="2"/>
  <c r="AA1285" i="2"/>
  <c r="Z1285" i="2"/>
  <c r="Y1285" i="2"/>
  <c r="X1285" i="2"/>
  <c r="V1285" i="2"/>
  <c r="U1285" i="2"/>
  <c r="T1285" i="2"/>
  <c r="S1285" i="2"/>
  <c r="R1285" i="2"/>
  <c r="Q1285" i="2"/>
  <c r="P1285" i="2"/>
  <c r="O1285" i="2"/>
  <c r="N1285" i="2"/>
  <c r="K1285" i="2"/>
  <c r="J1285" i="2"/>
  <c r="I1285" i="2"/>
  <c r="H1285" i="2"/>
  <c r="G1285" i="2"/>
  <c r="F1285" i="2"/>
  <c r="E1285" i="2"/>
  <c r="D1285" i="2"/>
  <c r="C1285" i="2"/>
  <c r="B1285" i="2"/>
  <c r="A1285" i="2"/>
  <c r="AI1284" i="2"/>
  <c r="AH1284" i="2"/>
  <c r="AF1284" i="2"/>
  <c r="AE1284" i="2"/>
  <c r="AD1284" i="2"/>
  <c r="AC1284" i="2"/>
  <c r="AB1284" i="2"/>
  <c r="AA1284" i="2"/>
  <c r="Z1284" i="2"/>
  <c r="Y1284" i="2"/>
  <c r="X1284" i="2"/>
  <c r="W1284" i="2"/>
  <c r="V1284" i="2"/>
  <c r="U1284" i="2"/>
  <c r="T1284" i="2"/>
  <c r="S1284" i="2"/>
  <c r="R1284" i="2"/>
  <c r="Q1284" i="2"/>
  <c r="P1284" i="2"/>
  <c r="O1284" i="2"/>
  <c r="N1284" i="2"/>
  <c r="K1284" i="2"/>
  <c r="J1284" i="2"/>
  <c r="I1284" i="2"/>
  <c r="H1284" i="2"/>
  <c r="G1284" i="2"/>
  <c r="F1284" i="2"/>
  <c r="E1284" i="2"/>
  <c r="D1284" i="2"/>
  <c r="C1284" i="2"/>
  <c r="B1284" i="2"/>
  <c r="A1284" i="2"/>
  <c r="AI1283" i="2"/>
  <c r="AH1283" i="2"/>
  <c r="AG1283" i="2"/>
  <c r="AF1283" i="2"/>
  <c r="AE1283" i="2"/>
  <c r="AD1283" i="2"/>
  <c r="AC1283" i="2"/>
  <c r="AB1283" i="2"/>
  <c r="AA1283" i="2"/>
  <c r="Z1283" i="2"/>
  <c r="Y1283" i="2"/>
  <c r="X1283" i="2"/>
  <c r="W1283" i="2"/>
  <c r="V1283" i="2"/>
  <c r="U1283" i="2"/>
  <c r="T1283" i="2"/>
  <c r="S1283" i="2"/>
  <c r="R1283" i="2"/>
  <c r="Q1283" i="2"/>
  <c r="P1283" i="2"/>
  <c r="O1283" i="2"/>
  <c r="N1283" i="2"/>
  <c r="K1283" i="2"/>
  <c r="J1283" i="2"/>
  <c r="I1283" i="2"/>
  <c r="H1283" i="2"/>
  <c r="G1283" i="2"/>
  <c r="F1283" i="2"/>
  <c r="E1283" i="2"/>
  <c r="D1283" i="2"/>
  <c r="C1283" i="2"/>
  <c r="B1283" i="2"/>
  <c r="A1283" i="2"/>
  <c r="AI1282" i="2"/>
  <c r="AH1282" i="2"/>
  <c r="AG1282" i="2"/>
  <c r="AF1282" i="2"/>
  <c r="AE1282" i="2"/>
  <c r="AD1282" i="2"/>
  <c r="AB1282" i="2"/>
  <c r="AA1282" i="2"/>
  <c r="Z1282" i="2"/>
  <c r="Y1282" i="2"/>
  <c r="X1282" i="2"/>
  <c r="W1282" i="2"/>
  <c r="V1282" i="2"/>
  <c r="U1282" i="2"/>
  <c r="T1282" i="2"/>
  <c r="S1282" i="2"/>
  <c r="R1282" i="2"/>
  <c r="Q1282" i="2"/>
  <c r="P1282" i="2"/>
  <c r="O1282" i="2"/>
  <c r="N1282" i="2"/>
  <c r="K1282" i="2"/>
  <c r="J1282" i="2"/>
  <c r="I1282" i="2"/>
  <c r="H1282" i="2"/>
  <c r="G1282" i="2"/>
  <c r="F1282" i="2"/>
  <c r="E1282" i="2"/>
  <c r="D1282" i="2"/>
  <c r="C1282" i="2"/>
  <c r="B1282" i="2"/>
  <c r="A1282" i="2"/>
  <c r="AI1281" i="2"/>
  <c r="AF1281" i="2"/>
  <c r="AE1281" i="2"/>
  <c r="AD1281" i="2"/>
  <c r="AB1281" i="2"/>
  <c r="AA1281" i="2"/>
  <c r="Z1281" i="2"/>
  <c r="Y1281" i="2"/>
  <c r="X1281" i="2"/>
  <c r="W1281" i="2"/>
  <c r="V1281" i="2"/>
  <c r="U1281" i="2"/>
  <c r="T1281" i="2"/>
  <c r="S1281" i="2"/>
  <c r="R1281" i="2"/>
  <c r="Q1281" i="2"/>
  <c r="P1281" i="2"/>
  <c r="O1281" i="2"/>
  <c r="N1281" i="2"/>
  <c r="K1281" i="2"/>
  <c r="J1281" i="2"/>
  <c r="I1281" i="2"/>
  <c r="H1281" i="2"/>
  <c r="G1281" i="2"/>
  <c r="F1281" i="2"/>
  <c r="E1281" i="2"/>
  <c r="D1281" i="2"/>
  <c r="C1281" i="2"/>
  <c r="B1281" i="2"/>
  <c r="A1281" i="2"/>
  <c r="AI1280" i="2"/>
  <c r="AH1280" i="2"/>
  <c r="AG1280" i="2"/>
  <c r="AF1280" i="2"/>
  <c r="AE1280" i="2"/>
  <c r="AD1280" i="2"/>
  <c r="AC1280" i="2"/>
  <c r="AB1280" i="2"/>
  <c r="AA1280" i="2"/>
  <c r="Z1280" i="2"/>
  <c r="Y1280" i="2"/>
  <c r="X1280" i="2"/>
  <c r="W1280" i="2"/>
  <c r="V1280" i="2"/>
  <c r="U1280" i="2"/>
  <c r="T1280" i="2"/>
  <c r="S1280" i="2"/>
  <c r="R1280" i="2"/>
  <c r="Q1280" i="2"/>
  <c r="P1280" i="2"/>
  <c r="O1280" i="2"/>
  <c r="N1280" i="2"/>
  <c r="K1280" i="2"/>
  <c r="J1280" i="2"/>
  <c r="I1280" i="2"/>
  <c r="H1280" i="2"/>
  <c r="G1280" i="2"/>
  <c r="F1280" i="2"/>
  <c r="E1280" i="2"/>
  <c r="D1280" i="2"/>
  <c r="C1280" i="2"/>
  <c r="B1280" i="2"/>
  <c r="A1280" i="2"/>
  <c r="AJ1279" i="2"/>
  <c r="AI1279" i="2"/>
  <c r="AH1279" i="2"/>
  <c r="AG1279" i="2"/>
  <c r="AF1279" i="2"/>
  <c r="AE1279" i="2"/>
  <c r="AD1279" i="2"/>
  <c r="AC1279" i="2"/>
  <c r="AB1279" i="2"/>
  <c r="AA1279" i="2"/>
  <c r="Z1279" i="2"/>
  <c r="Y1279" i="2"/>
  <c r="X1279" i="2"/>
  <c r="W1279" i="2"/>
  <c r="V1279" i="2"/>
  <c r="U1279" i="2"/>
  <c r="T1279" i="2"/>
  <c r="S1279" i="2"/>
  <c r="R1279" i="2"/>
  <c r="Q1279" i="2"/>
  <c r="P1279" i="2"/>
  <c r="O1279" i="2"/>
  <c r="N1279" i="2"/>
  <c r="K1279" i="2"/>
  <c r="J1279" i="2"/>
  <c r="I1279" i="2"/>
  <c r="H1279" i="2"/>
  <c r="G1279" i="2"/>
  <c r="F1279" i="2"/>
  <c r="E1279" i="2"/>
  <c r="D1279" i="2"/>
  <c r="C1279" i="2"/>
  <c r="B1279" i="2"/>
  <c r="A1279" i="2"/>
  <c r="AI1278" i="2"/>
  <c r="AH1278" i="2"/>
  <c r="AG1278" i="2"/>
  <c r="AF1278" i="2"/>
  <c r="AE1278" i="2"/>
  <c r="AD1278" i="2"/>
  <c r="AC1278" i="2"/>
  <c r="AB1278" i="2"/>
  <c r="AA1278" i="2"/>
  <c r="Z1278" i="2"/>
  <c r="Y1278" i="2"/>
  <c r="X1278" i="2"/>
  <c r="V1278" i="2"/>
  <c r="U1278" i="2"/>
  <c r="T1278" i="2"/>
  <c r="S1278" i="2"/>
  <c r="R1278" i="2"/>
  <c r="Q1278" i="2"/>
  <c r="P1278" i="2"/>
  <c r="O1278" i="2"/>
  <c r="N1278" i="2"/>
  <c r="K1278" i="2"/>
  <c r="J1278" i="2"/>
  <c r="I1278" i="2"/>
  <c r="H1278" i="2"/>
  <c r="G1278" i="2"/>
  <c r="F1278" i="2"/>
  <c r="E1278" i="2"/>
  <c r="D1278" i="2"/>
  <c r="C1278" i="2"/>
  <c r="B1278" i="2"/>
  <c r="A1278" i="2"/>
  <c r="AI1277" i="2"/>
  <c r="AH1277" i="2"/>
  <c r="AG1277" i="2"/>
  <c r="AF1277" i="2"/>
  <c r="AE1277" i="2"/>
  <c r="AD1277" i="2"/>
  <c r="AB1277" i="2"/>
  <c r="AA1277" i="2"/>
  <c r="Z1277" i="2"/>
  <c r="Y1277" i="2"/>
  <c r="X1277" i="2"/>
  <c r="W1277" i="2"/>
  <c r="V1277" i="2"/>
  <c r="U1277" i="2"/>
  <c r="T1277" i="2"/>
  <c r="S1277" i="2"/>
  <c r="R1277" i="2"/>
  <c r="Q1277" i="2"/>
  <c r="P1277" i="2"/>
  <c r="O1277" i="2"/>
  <c r="N1277" i="2"/>
  <c r="K1277" i="2"/>
  <c r="J1277" i="2"/>
  <c r="I1277" i="2"/>
  <c r="H1277" i="2"/>
  <c r="G1277" i="2"/>
  <c r="F1277" i="2"/>
  <c r="E1277" i="2"/>
  <c r="D1277" i="2"/>
  <c r="C1277" i="2"/>
  <c r="B1277" i="2"/>
  <c r="A1277" i="2"/>
  <c r="AI1276" i="2"/>
  <c r="AH1276" i="2"/>
  <c r="AG1276" i="2"/>
  <c r="AF1276" i="2"/>
  <c r="AE1276" i="2"/>
  <c r="AD1276" i="2"/>
  <c r="AC1276" i="2"/>
  <c r="AB1276" i="2"/>
  <c r="AA1276" i="2"/>
  <c r="Z1276" i="2"/>
  <c r="Y1276" i="2"/>
  <c r="X1276" i="2"/>
  <c r="W1276" i="2"/>
  <c r="V1276" i="2"/>
  <c r="U1276" i="2"/>
  <c r="T1276" i="2"/>
  <c r="S1276" i="2"/>
  <c r="R1276" i="2"/>
  <c r="Q1276" i="2"/>
  <c r="P1276" i="2"/>
  <c r="O1276" i="2"/>
  <c r="N1276" i="2"/>
  <c r="K1276" i="2"/>
  <c r="J1276" i="2"/>
  <c r="I1276" i="2"/>
  <c r="H1276" i="2"/>
  <c r="G1276" i="2"/>
  <c r="F1276" i="2"/>
  <c r="E1276" i="2"/>
  <c r="D1276" i="2"/>
  <c r="C1276" i="2"/>
  <c r="B1276" i="2"/>
  <c r="A1276" i="2"/>
  <c r="AJ1275" i="2"/>
  <c r="AI1275" i="2"/>
  <c r="AH1275" i="2"/>
  <c r="AG1275" i="2"/>
  <c r="AF1275" i="2"/>
  <c r="AE1275" i="2"/>
  <c r="AD1275" i="2"/>
  <c r="AC1275" i="2"/>
  <c r="AB1275" i="2"/>
  <c r="AA1275" i="2"/>
  <c r="Z1275" i="2"/>
  <c r="Y1275" i="2"/>
  <c r="X1275" i="2"/>
  <c r="W1275" i="2"/>
  <c r="V1275" i="2"/>
  <c r="U1275" i="2"/>
  <c r="T1275" i="2"/>
  <c r="S1275" i="2"/>
  <c r="R1275" i="2"/>
  <c r="Q1275" i="2"/>
  <c r="P1275" i="2"/>
  <c r="O1275" i="2"/>
  <c r="N1275" i="2"/>
  <c r="K1275" i="2"/>
  <c r="J1275" i="2"/>
  <c r="I1275" i="2"/>
  <c r="H1275" i="2"/>
  <c r="G1275" i="2"/>
  <c r="F1275" i="2"/>
  <c r="E1275" i="2"/>
  <c r="D1275" i="2"/>
  <c r="C1275" i="2"/>
  <c r="B1275" i="2"/>
  <c r="A1275" i="2"/>
  <c r="AJ1274" i="2"/>
  <c r="AH1274" i="2"/>
  <c r="AF1274" i="2"/>
  <c r="AE1274" i="2"/>
  <c r="AD1274" i="2"/>
  <c r="AC1274" i="2"/>
  <c r="AB1274" i="2"/>
  <c r="AA1274" i="2"/>
  <c r="Z1274" i="2"/>
  <c r="Y1274" i="2"/>
  <c r="X1274" i="2"/>
  <c r="W1274" i="2"/>
  <c r="V1274" i="2"/>
  <c r="U1274" i="2"/>
  <c r="T1274" i="2"/>
  <c r="S1274" i="2"/>
  <c r="R1274" i="2"/>
  <c r="Q1274" i="2"/>
  <c r="P1274" i="2"/>
  <c r="O1274" i="2"/>
  <c r="N1274" i="2"/>
  <c r="K1274" i="2"/>
  <c r="J1274" i="2"/>
  <c r="I1274" i="2"/>
  <c r="H1274" i="2"/>
  <c r="G1274" i="2"/>
  <c r="F1274" i="2"/>
  <c r="E1274" i="2"/>
  <c r="D1274" i="2"/>
  <c r="C1274" i="2"/>
  <c r="B1274" i="2"/>
  <c r="A1274" i="2"/>
  <c r="AJ1273" i="2"/>
  <c r="AI1273" i="2"/>
  <c r="AH1273" i="2"/>
  <c r="AG1273" i="2"/>
  <c r="AF1273" i="2"/>
  <c r="AE1273" i="2"/>
  <c r="AD1273" i="2"/>
  <c r="AC1273" i="2"/>
  <c r="AB1273" i="2"/>
  <c r="AA1273" i="2"/>
  <c r="Z1273" i="2"/>
  <c r="Y1273" i="2"/>
  <c r="X1273" i="2"/>
  <c r="W1273" i="2"/>
  <c r="V1273" i="2"/>
  <c r="U1273" i="2"/>
  <c r="T1273" i="2"/>
  <c r="S1273" i="2"/>
  <c r="R1273" i="2"/>
  <c r="Q1273" i="2"/>
  <c r="P1273" i="2"/>
  <c r="O1273" i="2"/>
  <c r="N1273" i="2"/>
  <c r="M1273" i="2"/>
  <c r="K1273" i="2"/>
  <c r="J1273" i="2"/>
  <c r="I1273" i="2"/>
  <c r="H1273" i="2"/>
  <c r="G1273" i="2"/>
  <c r="F1273" i="2"/>
  <c r="E1273" i="2"/>
  <c r="D1273" i="2"/>
  <c r="C1273" i="2"/>
  <c r="B1273" i="2"/>
  <c r="A1273" i="2"/>
  <c r="AJ1272" i="2"/>
  <c r="AI1272" i="2"/>
  <c r="AH1272" i="2"/>
  <c r="AF1272" i="2"/>
  <c r="AE1272" i="2"/>
  <c r="AD1272" i="2"/>
  <c r="AC1272" i="2"/>
  <c r="AB1272" i="2"/>
  <c r="AA1272" i="2"/>
  <c r="Z1272" i="2"/>
  <c r="Y1272" i="2"/>
  <c r="X1272" i="2"/>
  <c r="W1272" i="2"/>
  <c r="V1272" i="2"/>
  <c r="U1272" i="2"/>
  <c r="T1272" i="2"/>
  <c r="S1272" i="2"/>
  <c r="R1272" i="2"/>
  <c r="Q1272" i="2"/>
  <c r="P1272" i="2"/>
  <c r="O1272" i="2"/>
  <c r="N1272" i="2"/>
  <c r="M1272" i="2"/>
  <c r="K1272" i="2"/>
  <c r="J1272" i="2"/>
  <c r="I1272" i="2"/>
  <c r="H1272" i="2"/>
  <c r="G1272" i="2"/>
  <c r="F1272" i="2"/>
  <c r="E1272" i="2"/>
  <c r="D1272" i="2"/>
  <c r="C1272" i="2"/>
  <c r="B1272" i="2"/>
  <c r="A1272" i="2"/>
  <c r="AI1271" i="2"/>
  <c r="AH1271" i="2"/>
  <c r="AG1271" i="2"/>
  <c r="AF1271" i="2"/>
  <c r="AE1271" i="2"/>
  <c r="AD1271" i="2"/>
  <c r="AB1271" i="2"/>
  <c r="AA1271" i="2"/>
  <c r="Z1271" i="2"/>
  <c r="Y1271" i="2"/>
  <c r="X1271" i="2"/>
  <c r="V1271" i="2"/>
  <c r="U1271" i="2"/>
  <c r="T1271" i="2"/>
  <c r="S1271" i="2"/>
  <c r="R1271" i="2"/>
  <c r="Q1271" i="2"/>
  <c r="P1271" i="2"/>
  <c r="O1271" i="2"/>
  <c r="N1271" i="2"/>
  <c r="K1271" i="2"/>
  <c r="J1271" i="2"/>
  <c r="I1271" i="2"/>
  <c r="H1271" i="2"/>
  <c r="G1271" i="2"/>
  <c r="F1271" i="2"/>
  <c r="E1271" i="2"/>
  <c r="D1271" i="2"/>
  <c r="C1271" i="2"/>
  <c r="B1271" i="2"/>
  <c r="A1271" i="2"/>
  <c r="AJ1270" i="2"/>
  <c r="AI1270" i="2"/>
  <c r="AH1270" i="2"/>
  <c r="AG1270" i="2"/>
  <c r="AF1270" i="2"/>
  <c r="AE1270" i="2"/>
  <c r="AD1270" i="2"/>
  <c r="AB1270" i="2"/>
  <c r="AA1270" i="2"/>
  <c r="Z1270" i="2"/>
  <c r="Y1270" i="2"/>
  <c r="X1270" i="2"/>
  <c r="W1270" i="2"/>
  <c r="V1270" i="2"/>
  <c r="U1270" i="2"/>
  <c r="T1270" i="2"/>
  <c r="S1270" i="2"/>
  <c r="R1270" i="2"/>
  <c r="Q1270" i="2"/>
  <c r="P1270" i="2"/>
  <c r="O1270" i="2"/>
  <c r="N1270" i="2"/>
  <c r="K1270" i="2"/>
  <c r="J1270" i="2"/>
  <c r="I1270" i="2"/>
  <c r="H1270" i="2"/>
  <c r="G1270" i="2"/>
  <c r="F1270" i="2"/>
  <c r="E1270" i="2"/>
  <c r="D1270" i="2"/>
  <c r="C1270" i="2"/>
  <c r="B1270" i="2"/>
  <c r="A1270" i="2"/>
  <c r="AF1269" i="2"/>
  <c r="AE1269" i="2"/>
  <c r="AD1269" i="2"/>
  <c r="AB1269" i="2"/>
  <c r="AA1269" i="2"/>
  <c r="Z1269" i="2"/>
  <c r="Y1269" i="2"/>
  <c r="X1269" i="2"/>
  <c r="W1269" i="2"/>
  <c r="V1269" i="2"/>
  <c r="U1269" i="2"/>
  <c r="T1269" i="2"/>
  <c r="S1269" i="2"/>
  <c r="R1269" i="2"/>
  <c r="Q1269" i="2"/>
  <c r="P1269" i="2"/>
  <c r="O1269" i="2"/>
  <c r="N1269" i="2"/>
  <c r="K1269" i="2"/>
  <c r="J1269" i="2"/>
  <c r="I1269" i="2"/>
  <c r="H1269" i="2"/>
  <c r="G1269" i="2"/>
  <c r="F1269" i="2"/>
  <c r="E1269" i="2"/>
  <c r="D1269" i="2"/>
  <c r="C1269" i="2"/>
  <c r="B1269" i="2"/>
  <c r="A1269" i="2"/>
  <c r="AJ1268" i="2"/>
  <c r="AI1268" i="2"/>
  <c r="AH1268" i="2"/>
  <c r="AG1268" i="2"/>
  <c r="AF1268" i="2"/>
  <c r="AE1268" i="2"/>
  <c r="AD1268" i="2"/>
  <c r="AC1268" i="2"/>
  <c r="AB1268" i="2"/>
  <c r="AA1268" i="2"/>
  <c r="Z1268" i="2"/>
  <c r="Y1268" i="2"/>
  <c r="X1268" i="2"/>
  <c r="W1268" i="2"/>
  <c r="V1268" i="2"/>
  <c r="U1268" i="2"/>
  <c r="T1268" i="2"/>
  <c r="S1268" i="2"/>
  <c r="R1268" i="2"/>
  <c r="Q1268" i="2"/>
  <c r="P1268" i="2"/>
  <c r="O1268" i="2"/>
  <c r="N1268" i="2"/>
  <c r="K1268" i="2"/>
  <c r="J1268" i="2"/>
  <c r="I1268" i="2"/>
  <c r="H1268" i="2"/>
  <c r="G1268" i="2"/>
  <c r="F1268" i="2"/>
  <c r="E1268" i="2"/>
  <c r="D1268" i="2"/>
  <c r="C1268" i="2"/>
  <c r="B1268" i="2"/>
  <c r="A1268" i="2"/>
  <c r="AI1267" i="2"/>
  <c r="AH1267" i="2"/>
  <c r="AG1267" i="2"/>
  <c r="AF1267" i="2"/>
  <c r="AE1267" i="2"/>
  <c r="AD1267" i="2"/>
  <c r="AB1267" i="2"/>
  <c r="AA1267" i="2"/>
  <c r="Z1267" i="2"/>
  <c r="Y1267" i="2"/>
  <c r="X1267" i="2"/>
  <c r="W1267" i="2"/>
  <c r="U1267" i="2"/>
  <c r="T1267" i="2"/>
  <c r="S1267" i="2"/>
  <c r="R1267" i="2"/>
  <c r="Q1267" i="2"/>
  <c r="P1267" i="2"/>
  <c r="O1267" i="2"/>
  <c r="N1267" i="2"/>
  <c r="K1267" i="2"/>
  <c r="J1267" i="2"/>
  <c r="I1267" i="2"/>
  <c r="H1267" i="2"/>
  <c r="G1267" i="2"/>
  <c r="F1267" i="2"/>
  <c r="E1267" i="2"/>
  <c r="D1267" i="2"/>
  <c r="C1267" i="2"/>
  <c r="B1267" i="2"/>
  <c r="A1267" i="2"/>
  <c r="AJ1266" i="2"/>
  <c r="AI1266" i="2"/>
  <c r="AH1266" i="2"/>
  <c r="AG1266" i="2"/>
  <c r="AF1266" i="2"/>
  <c r="AE1266" i="2"/>
  <c r="AD1266" i="2"/>
  <c r="AC1266" i="2"/>
  <c r="AB1266" i="2"/>
  <c r="AA1266" i="2"/>
  <c r="Z1266" i="2"/>
  <c r="Y1266" i="2"/>
  <c r="X1266" i="2"/>
  <c r="W1266" i="2"/>
  <c r="V1266" i="2"/>
  <c r="U1266" i="2"/>
  <c r="T1266" i="2"/>
  <c r="S1266" i="2"/>
  <c r="R1266" i="2"/>
  <c r="Q1266" i="2"/>
  <c r="P1266" i="2"/>
  <c r="O1266" i="2"/>
  <c r="N1266" i="2"/>
  <c r="K1266" i="2"/>
  <c r="J1266" i="2"/>
  <c r="I1266" i="2"/>
  <c r="H1266" i="2"/>
  <c r="G1266" i="2"/>
  <c r="F1266" i="2"/>
  <c r="E1266" i="2"/>
  <c r="D1266" i="2"/>
  <c r="C1266" i="2"/>
  <c r="B1266" i="2"/>
  <c r="A1266" i="2"/>
  <c r="AI1265" i="2"/>
  <c r="AH1265" i="2"/>
  <c r="AF1265" i="2"/>
  <c r="AE1265" i="2"/>
  <c r="AD1265" i="2"/>
  <c r="AB1265" i="2"/>
  <c r="AA1265" i="2"/>
  <c r="Z1265" i="2"/>
  <c r="Y1265" i="2"/>
  <c r="X1265" i="2"/>
  <c r="W1265" i="2"/>
  <c r="V1265" i="2"/>
  <c r="U1265" i="2"/>
  <c r="T1265" i="2"/>
  <c r="S1265" i="2"/>
  <c r="R1265" i="2"/>
  <c r="Q1265" i="2"/>
  <c r="P1265" i="2"/>
  <c r="O1265" i="2"/>
  <c r="N1265" i="2"/>
  <c r="K1265" i="2"/>
  <c r="J1265" i="2"/>
  <c r="I1265" i="2"/>
  <c r="H1265" i="2"/>
  <c r="G1265" i="2"/>
  <c r="F1265" i="2"/>
  <c r="E1265" i="2"/>
  <c r="D1265" i="2"/>
  <c r="C1265" i="2"/>
  <c r="B1265" i="2"/>
  <c r="A1265" i="2"/>
  <c r="AJ1264" i="2"/>
  <c r="AI1264" i="2"/>
  <c r="AH1264" i="2"/>
  <c r="AG1264" i="2"/>
  <c r="AF1264" i="2"/>
  <c r="AE1264" i="2"/>
  <c r="AD1264" i="2"/>
  <c r="AC1264" i="2"/>
  <c r="AB1264" i="2"/>
  <c r="AA1264" i="2"/>
  <c r="Z1264" i="2"/>
  <c r="Y1264" i="2"/>
  <c r="X1264" i="2"/>
  <c r="W1264" i="2"/>
  <c r="V1264" i="2"/>
  <c r="U1264" i="2"/>
  <c r="T1264" i="2"/>
  <c r="S1264" i="2"/>
  <c r="R1264" i="2"/>
  <c r="Q1264" i="2"/>
  <c r="P1264" i="2"/>
  <c r="O1264" i="2"/>
  <c r="N1264" i="2"/>
  <c r="K1264" i="2"/>
  <c r="J1264" i="2"/>
  <c r="I1264" i="2"/>
  <c r="H1264" i="2"/>
  <c r="G1264" i="2"/>
  <c r="F1264" i="2"/>
  <c r="E1264" i="2"/>
  <c r="D1264" i="2"/>
  <c r="C1264" i="2"/>
  <c r="B1264" i="2"/>
  <c r="A1264" i="2"/>
  <c r="AI1263" i="2"/>
  <c r="AH1263" i="2"/>
  <c r="AG1263" i="2"/>
  <c r="AF1263" i="2"/>
  <c r="AE1263" i="2"/>
  <c r="AD1263" i="2"/>
  <c r="AC1263" i="2"/>
  <c r="AB1263" i="2"/>
  <c r="AA1263" i="2"/>
  <c r="Z1263" i="2"/>
  <c r="Y1263" i="2"/>
  <c r="X1263" i="2"/>
  <c r="W1263" i="2"/>
  <c r="V1263" i="2"/>
  <c r="U1263" i="2"/>
  <c r="T1263" i="2"/>
  <c r="S1263" i="2"/>
  <c r="R1263" i="2"/>
  <c r="Q1263" i="2"/>
  <c r="P1263" i="2"/>
  <c r="O1263" i="2"/>
  <c r="N1263" i="2"/>
  <c r="M1263" i="2"/>
  <c r="L1263" i="2"/>
  <c r="K1263" i="2"/>
  <c r="J1263" i="2"/>
  <c r="I1263" i="2"/>
  <c r="H1263" i="2"/>
  <c r="G1263" i="2"/>
  <c r="F1263" i="2"/>
  <c r="E1263" i="2"/>
  <c r="D1263" i="2"/>
  <c r="C1263" i="2"/>
  <c r="B1263" i="2"/>
  <c r="A1263" i="2"/>
  <c r="AJ1262" i="2"/>
  <c r="AI1262" i="2"/>
  <c r="AH1262" i="2"/>
  <c r="AG1262" i="2"/>
  <c r="AF1262" i="2"/>
  <c r="AE1262" i="2"/>
  <c r="AD1262" i="2"/>
  <c r="AC1262" i="2"/>
  <c r="AB1262" i="2"/>
  <c r="AA1262" i="2"/>
  <c r="Z1262" i="2"/>
  <c r="Y1262" i="2"/>
  <c r="X1262" i="2"/>
  <c r="W1262" i="2"/>
  <c r="V1262" i="2"/>
  <c r="U1262" i="2"/>
  <c r="T1262" i="2"/>
  <c r="S1262" i="2"/>
  <c r="R1262" i="2"/>
  <c r="Q1262" i="2"/>
  <c r="P1262" i="2"/>
  <c r="O1262" i="2"/>
  <c r="N1262" i="2"/>
  <c r="M1262" i="2"/>
  <c r="L1262" i="2"/>
  <c r="K1262" i="2"/>
  <c r="J1262" i="2"/>
  <c r="I1262" i="2"/>
  <c r="H1262" i="2"/>
  <c r="G1262" i="2"/>
  <c r="F1262" i="2"/>
  <c r="E1262" i="2"/>
  <c r="D1262" i="2"/>
  <c r="C1262" i="2"/>
  <c r="B1262" i="2"/>
  <c r="A1262" i="2"/>
  <c r="AI1261" i="2"/>
  <c r="AH1261" i="2"/>
  <c r="AG1261" i="2"/>
  <c r="AF1261" i="2"/>
  <c r="AE1261" i="2"/>
  <c r="AD1261" i="2"/>
  <c r="AC1261" i="2"/>
  <c r="AB1261" i="2"/>
  <c r="AA1261" i="2"/>
  <c r="Z1261" i="2"/>
  <c r="Y1261" i="2"/>
  <c r="X1261" i="2"/>
  <c r="W1261" i="2"/>
  <c r="V1261" i="2"/>
  <c r="U1261" i="2"/>
  <c r="T1261" i="2"/>
  <c r="S1261" i="2"/>
  <c r="R1261" i="2"/>
  <c r="Q1261" i="2"/>
  <c r="P1261" i="2"/>
  <c r="O1261" i="2"/>
  <c r="N1261" i="2"/>
  <c r="M1261" i="2"/>
  <c r="L1261" i="2"/>
  <c r="K1261" i="2"/>
  <c r="J1261" i="2"/>
  <c r="I1261" i="2"/>
  <c r="H1261" i="2"/>
  <c r="G1261" i="2"/>
  <c r="F1261" i="2"/>
  <c r="E1261" i="2"/>
  <c r="D1261" i="2"/>
  <c r="C1261" i="2"/>
  <c r="B1261" i="2"/>
  <c r="A1261" i="2"/>
  <c r="AG1260" i="2"/>
  <c r="AF1260" i="2"/>
  <c r="AE1260" i="2"/>
  <c r="AD1260" i="2"/>
  <c r="AB1260" i="2"/>
  <c r="AA1260" i="2"/>
  <c r="Z1260" i="2"/>
  <c r="Y1260" i="2"/>
  <c r="X1260" i="2"/>
  <c r="W1260" i="2"/>
  <c r="V1260" i="2"/>
  <c r="U1260" i="2"/>
  <c r="T1260" i="2"/>
  <c r="S1260" i="2"/>
  <c r="R1260" i="2"/>
  <c r="Q1260" i="2"/>
  <c r="P1260" i="2"/>
  <c r="O1260" i="2"/>
  <c r="N1260" i="2"/>
  <c r="K1260" i="2"/>
  <c r="J1260" i="2"/>
  <c r="I1260" i="2"/>
  <c r="H1260" i="2"/>
  <c r="G1260" i="2"/>
  <c r="F1260" i="2"/>
  <c r="E1260" i="2"/>
  <c r="D1260" i="2"/>
  <c r="C1260" i="2"/>
  <c r="B1260" i="2"/>
  <c r="A1260" i="2"/>
  <c r="AJ1259" i="2"/>
  <c r="AI1259" i="2"/>
  <c r="AH1259" i="2"/>
  <c r="AG1259" i="2"/>
  <c r="AF1259" i="2"/>
  <c r="AE1259" i="2"/>
  <c r="AD1259" i="2"/>
  <c r="AC1259" i="2"/>
  <c r="AB1259" i="2"/>
  <c r="AA1259" i="2"/>
  <c r="Z1259" i="2"/>
  <c r="Y1259" i="2"/>
  <c r="X1259" i="2"/>
  <c r="W1259" i="2"/>
  <c r="V1259" i="2"/>
  <c r="U1259" i="2"/>
  <c r="T1259" i="2"/>
  <c r="S1259" i="2"/>
  <c r="R1259" i="2"/>
  <c r="Q1259" i="2"/>
  <c r="P1259" i="2"/>
  <c r="O1259" i="2"/>
  <c r="N1259" i="2"/>
  <c r="M1259" i="2"/>
  <c r="L1259" i="2"/>
  <c r="K1259" i="2"/>
  <c r="J1259" i="2"/>
  <c r="I1259" i="2"/>
  <c r="H1259" i="2"/>
  <c r="G1259" i="2"/>
  <c r="F1259" i="2"/>
  <c r="E1259" i="2"/>
  <c r="D1259" i="2"/>
  <c r="C1259" i="2"/>
  <c r="B1259" i="2"/>
  <c r="A1259" i="2"/>
  <c r="AI1258" i="2"/>
  <c r="AH1258" i="2"/>
  <c r="AG1258" i="2"/>
  <c r="AF1258" i="2"/>
  <c r="AE1258" i="2"/>
  <c r="AD1258" i="2"/>
  <c r="AC1258" i="2"/>
  <c r="AB1258" i="2"/>
  <c r="AA1258" i="2"/>
  <c r="Z1258" i="2"/>
  <c r="Y1258" i="2"/>
  <c r="X1258" i="2"/>
  <c r="W1258" i="2"/>
  <c r="V1258" i="2"/>
  <c r="U1258" i="2"/>
  <c r="T1258" i="2"/>
  <c r="S1258" i="2"/>
  <c r="R1258" i="2"/>
  <c r="Q1258" i="2"/>
  <c r="P1258" i="2"/>
  <c r="O1258" i="2"/>
  <c r="N1258" i="2"/>
  <c r="M1258" i="2"/>
  <c r="L1258" i="2"/>
  <c r="K1258" i="2"/>
  <c r="J1258" i="2"/>
  <c r="I1258" i="2"/>
  <c r="H1258" i="2"/>
  <c r="G1258" i="2"/>
  <c r="F1258" i="2"/>
  <c r="E1258" i="2"/>
  <c r="D1258" i="2"/>
  <c r="C1258" i="2"/>
  <c r="B1258" i="2"/>
  <c r="A1258" i="2"/>
  <c r="AI1257" i="2"/>
  <c r="AH1257" i="2"/>
  <c r="AG1257" i="2"/>
  <c r="AF1257" i="2"/>
  <c r="AE1257" i="2"/>
  <c r="AD1257" i="2"/>
  <c r="AC1257" i="2"/>
  <c r="AB1257" i="2"/>
  <c r="AA1257" i="2"/>
  <c r="Z1257" i="2"/>
  <c r="Y1257" i="2"/>
  <c r="X1257" i="2"/>
  <c r="W1257" i="2"/>
  <c r="V1257" i="2"/>
  <c r="U1257" i="2"/>
  <c r="T1257" i="2"/>
  <c r="S1257" i="2"/>
  <c r="R1257" i="2"/>
  <c r="Q1257" i="2"/>
  <c r="P1257" i="2"/>
  <c r="O1257" i="2"/>
  <c r="N1257" i="2"/>
  <c r="M1257" i="2"/>
  <c r="L1257" i="2"/>
  <c r="K1257" i="2"/>
  <c r="J1257" i="2"/>
  <c r="I1257" i="2"/>
  <c r="H1257" i="2"/>
  <c r="G1257" i="2"/>
  <c r="F1257" i="2"/>
  <c r="E1257" i="2"/>
  <c r="D1257" i="2"/>
  <c r="C1257" i="2"/>
  <c r="B1257" i="2"/>
  <c r="A1257" i="2"/>
  <c r="AI1256" i="2"/>
  <c r="AH1256" i="2"/>
  <c r="AG1256" i="2"/>
  <c r="AF1256" i="2"/>
  <c r="AE1256" i="2"/>
  <c r="AD1256" i="2"/>
  <c r="AC1256" i="2"/>
  <c r="AB1256" i="2"/>
  <c r="AA1256" i="2"/>
  <c r="Z1256" i="2"/>
  <c r="Y1256" i="2"/>
  <c r="X1256" i="2"/>
  <c r="W1256" i="2"/>
  <c r="V1256" i="2"/>
  <c r="U1256" i="2"/>
  <c r="T1256" i="2"/>
  <c r="S1256" i="2"/>
  <c r="R1256" i="2"/>
  <c r="Q1256" i="2"/>
  <c r="P1256" i="2"/>
  <c r="O1256" i="2"/>
  <c r="N1256" i="2"/>
  <c r="M1256" i="2"/>
  <c r="L1256" i="2"/>
  <c r="K1256" i="2"/>
  <c r="J1256" i="2"/>
  <c r="I1256" i="2"/>
  <c r="H1256" i="2"/>
  <c r="G1256" i="2"/>
  <c r="F1256" i="2"/>
  <c r="E1256" i="2"/>
  <c r="D1256" i="2"/>
  <c r="C1256" i="2"/>
  <c r="B1256" i="2"/>
  <c r="A1256" i="2"/>
  <c r="AI1255" i="2"/>
  <c r="AH1255" i="2"/>
  <c r="AG1255" i="2"/>
  <c r="AF1255" i="2"/>
  <c r="AE1255" i="2"/>
  <c r="AD1255" i="2"/>
  <c r="AB1255" i="2"/>
  <c r="AA1255" i="2"/>
  <c r="Z1255" i="2"/>
  <c r="Y1255" i="2"/>
  <c r="X1255" i="2"/>
  <c r="W1255" i="2"/>
  <c r="V1255" i="2"/>
  <c r="U1255" i="2"/>
  <c r="T1255" i="2"/>
  <c r="S1255" i="2"/>
  <c r="R1255" i="2"/>
  <c r="Q1255" i="2"/>
  <c r="P1255" i="2"/>
  <c r="O1255" i="2"/>
  <c r="N1255" i="2"/>
  <c r="M1255" i="2"/>
  <c r="L1255" i="2"/>
  <c r="K1255" i="2"/>
  <c r="J1255" i="2"/>
  <c r="I1255" i="2"/>
  <c r="H1255" i="2"/>
  <c r="G1255" i="2"/>
  <c r="F1255" i="2"/>
  <c r="E1255" i="2"/>
  <c r="D1255" i="2"/>
  <c r="C1255" i="2"/>
  <c r="B1255" i="2"/>
  <c r="A1255" i="2"/>
  <c r="AI1254" i="2"/>
  <c r="AH1254" i="2"/>
  <c r="AG1254" i="2"/>
  <c r="AF1254" i="2"/>
  <c r="AE1254" i="2"/>
  <c r="AD1254" i="2"/>
  <c r="AC1254" i="2"/>
  <c r="AB1254" i="2"/>
  <c r="AA1254" i="2"/>
  <c r="Z1254" i="2"/>
  <c r="Y1254" i="2"/>
  <c r="X1254" i="2"/>
  <c r="W1254" i="2"/>
  <c r="V1254" i="2"/>
  <c r="U1254" i="2"/>
  <c r="T1254" i="2"/>
  <c r="S1254" i="2"/>
  <c r="R1254" i="2"/>
  <c r="Q1254" i="2"/>
  <c r="P1254" i="2"/>
  <c r="O1254" i="2"/>
  <c r="N1254" i="2"/>
  <c r="M1254" i="2"/>
  <c r="L1254" i="2"/>
  <c r="K1254" i="2"/>
  <c r="J1254" i="2"/>
  <c r="I1254" i="2"/>
  <c r="H1254" i="2"/>
  <c r="G1254" i="2"/>
  <c r="F1254" i="2"/>
  <c r="E1254" i="2"/>
  <c r="D1254" i="2"/>
  <c r="C1254" i="2"/>
  <c r="B1254" i="2"/>
  <c r="A1254" i="2"/>
  <c r="AI1253" i="2"/>
  <c r="AH1253" i="2"/>
  <c r="AG1253" i="2"/>
  <c r="AF1253" i="2"/>
  <c r="AE1253" i="2"/>
  <c r="AD1253" i="2"/>
  <c r="AC1253" i="2"/>
  <c r="AB1253" i="2"/>
  <c r="AA1253" i="2"/>
  <c r="Z1253" i="2"/>
  <c r="Y1253" i="2"/>
  <c r="X1253" i="2"/>
  <c r="W1253" i="2"/>
  <c r="V1253" i="2"/>
  <c r="U1253" i="2"/>
  <c r="T1253" i="2"/>
  <c r="S1253" i="2"/>
  <c r="R1253" i="2"/>
  <c r="Q1253" i="2"/>
  <c r="P1253" i="2"/>
  <c r="O1253" i="2"/>
  <c r="N1253" i="2"/>
  <c r="M1253" i="2"/>
  <c r="L1253" i="2"/>
  <c r="K1253" i="2"/>
  <c r="J1253" i="2"/>
  <c r="I1253" i="2"/>
  <c r="H1253" i="2"/>
  <c r="G1253" i="2"/>
  <c r="F1253" i="2"/>
  <c r="E1253" i="2"/>
  <c r="D1253" i="2"/>
  <c r="C1253" i="2"/>
  <c r="B1253" i="2"/>
  <c r="A1253" i="2"/>
  <c r="AI1252" i="2"/>
  <c r="AH1252" i="2"/>
  <c r="AG1252" i="2"/>
  <c r="AF1252" i="2"/>
  <c r="AE1252" i="2"/>
  <c r="AD1252" i="2"/>
  <c r="AB1252" i="2"/>
  <c r="AA1252" i="2"/>
  <c r="Z1252" i="2"/>
  <c r="Y1252" i="2"/>
  <c r="X1252" i="2"/>
  <c r="W1252" i="2"/>
  <c r="V1252" i="2"/>
  <c r="U1252" i="2"/>
  <c r="T1252" i="2"/>
  <c r="S1252" i="2"/>
  <c r="R1252" i="2"/>
  <c r="Q1252" i="2"/>
  <c r="P1252" i="2"/>
  <c r="O1252" i="2"/>
  <c r="N1252" i="2"/>
  <c r="M1252" i="2"/>
  <c r="L1252" i="2"/>
  <c r="K1252" i="2"/>
  <c r="J1252" i="2"/>
  <c r="I1252" i="2"/>
  <c r="H1252" i="2"/>
  <c r="G1252" i="2"/>
  <c r="F1252" i="2"/>
  <c r="E1252" i="2"/>
  <c r="D1252" i="2"/>
  <c r="C1252" i="2"/>
  <c r="B1252" i="2"/>
  <c r="A1252" i="2"/>
  <c r="AI1251" i="2"/>
  <c r="AH1251" i="2"/>
  <c r="AG1251" i="2"/>
  <c r="AF1251" i="2"/>
  <c r="AE1251" i="2"/>
  <c r="AD1251" i="2"/>
  <c r="AC1251" i="2"/>
  <c r="AB1251" i="2"/>
  <c r="AA1251" i="2"/>
  <c r="Z1251" i="2"/>
  <c r="Y1251" i="2"/>
  <c r="X1251" i="2"/>
  <c r="W1251" i="2"/>
  <c r="V1251" i="2"/>
  <c r="U1251" i="2"/>
  <c r="T1251" i="2"/>
  <c r="S1251" i="2"/>
  <c r="R1251" i="2"/>
  <c r="Q1251" i="2"/>
  <c r="P1251" i="2"/>
  <c r="O1251" i="2"/>
  <c r="N1251" i="2"/>
  <c r="M1251" i="2"/>
  <c r="L1251" i="2"/>
  <c r="K1251" i="2"/>
  <c r="J1251" i="2"/>
  <c r="I1251" i="2"/>
  <c r="H1251" i="2"/>
  <c r="G1251" i="2"/>
  <c r="F1251" i="2"/>
  <c r="E1251" i="2"/>
  <c r="D1251" i="2"/>
  <c r="C1251" i="2"/>
  <c r="B1251" i="2"/>
  <c r="A1251" i="2"/>
  <c r="AJ1250" i="2"/>
  <c r="AI1250" i="2"/>
  <c r="AH1250" i="2"/>
  <c r="AG1250" i="2"/>
  <c r="AF1250" i="2"/>
  <c r="AE1250" i="2"/>
  <c r="AD1250" i="2"/>
  <c r="AC1250" i="2"/>
  <c r="AA1250" i="2"/>
  <c r="Z1250" i="2"/>
  <c r="Y1250" i="2"/>
  <c r="W1250" i="2"/>
  <c r="V1250" i="2"/>
  <c r="U1250" i="2"/>
  <c r="T1250" i="2"/>
  <c r="S1250" i="2"/>
  <c r="R1250" i="2"/>
  <c r="Q1250" i="2"/>
  <c r="P1250" i="2"/>
  <c r="O1250" i="2"/>
  <c r="N1250" i="2"/>
  <c r="K1250" i="2"/>
  <c r="J1250" i="2"/>
  <c r="I1250" i="2"/>
  <c r="H1250" i="2"/>
  <c r="G1250" i="2"/>
  <c r="F1250" i="2"/>
  <c r="E1250" i="2"/>
  <c r="D1250" i="2"/>
  <c r="C1250" i="2"/>
  <c r="B1250" i="2"/>
  <c r="A1250" i="2"/>
  <c r="AJ1249" i="2"/>
  <c r="AI1249" i="2"/>
  <c r="AH1249" i="2"/>
  <c r="AG1249" i="2"/>
  <c r="AF1249" i="2"/>
  <c r="AE1249" i="2"/>
  <c r="AD1249" i="2"/>
  <c r="AB1249" i="2"/>
  <c r="AA1249" i="2"/>
  <c r="Z1249" i="2"/>
  <c r="Y1249" i="2"/>
  <c r="X1249" i="2"/>
  <c r="W1249" i="2"/>
  <c r="V1249" i="2"/>
  <c r="U1249" i="2"/>
  <c r="T1249" i="2"/>
  <c r="S1249" i="2"/>
  <c r="R1249" i="2"/>
  <c r="Q1249" i="2"/>
  <c r="P1249" i="2"/>
  <c r="O1249" i="2"/>
  <c r="N1249" i="2"/>
  <c r="K1249" i="2"/>
  <c r="J1249" i="2"/>
  <c r="I1249" i="2"/>
  <c r="H1249" i="2"/>
  <c r="G1249" i="2"/>
  <c r="F1249" i="2"/>
  <c r="E1249" i="2"/>
  <c r="D1249" i="2"/>
  <c r="C1249" i="2"/>
  <c r="B1249" i="2"/>
  <c r="A1249" i="2"/>
  <c r="AJ1248" i="2"/>
  <c r="AI1248" i="2"/>
  <c r="AH1248" i="2"/>
  <c r="AG1248" i="2"/>
  <c r="AF1248" i="2"/>
  <c r="AE1248" i="2"/>
  <c r="AD1248" i="2"/>
  <c r="AC1248" i="2"/>
  <c r="AB1248" i="2"/>
  <c r="AA1248" i="2"/>
  <c r="Z1248" i="2"/>
  <c r="Y1248" i="2"/>
  <c r="X1248" i="2"/>
  <c r="W1248" i="2"/>
  <c r="V1248" i="2"/>
  <c r="U1248" i="2"/>
  <c r="T1248" i="2"/>
  <c r="S1248" i="2"/>
  <c r="R1248" i="2"/>
  <c r="Q1248" i="2"/>
  <c r="P1248" i="2"/>
  <c r="O1248" i="2"/>
  <c r="N1248" i="2"/>
  <c r="K1248" i="2"/>
  <c r="J1248" i="2"/>
  <c r="I1248" i="2"/>
  <c r="H1248" i="2"/>
  <c r="G1248" i="2"/>
  <c r="F1248" i="2"/>
  <c r="E1248" i="2"/>
  <c r="D1248" i="2"/>
  <c r="C1248" i="2"/>
  <c r="B1248" i="2"/>
  <c r="A1248" i="2"/>
  <c r="AI1247" i="2"/>
  <c r="AH1247" i="2"/>
  <c r="AG1247" i="2"/>
  <c r="AF1247" i="2"/>
  <c r="AE1247" i="2"/>
  <c r="AD1247" i="2"/>
  <c r="AC1247" i="2"/>
  <c r="AB1247" i="2"/>
  <c r="AA1247" i="2"/>
  <c r="Z1247" i="2"/>
  <c r="Y1247" i="2"/>
  <c r="X1247" i="2"/>
  <c r="W1247" i="2"/>
  <c r="V1247" i="2"/>
  <c r="U1247" i="2"/>
  <c r="T1247" i="2"/>
  <c r="S1247" i="2"/>
  <c r="R1247" i="2"/>
  <c r="Q1247" i="2"/>
  <c r="P1247" i="2"/>
  <c r="O1247" i="2"/>
  <c r="N1247" i="2"/>
  <c r="M1247" i="2"/>
  <c r="L1247" i="2"/>
  <c r="K1247" i="2"/>
  <c r="J1247" i="2"/>
  <c r="I1247" i="2"/>
  <c r="H1247" i="2"/>
  <c r="G1247" i="2"/>
  <c r="F1247" i="2"/>
  <c r="E1247" i="2"/>
  <c r="D1247" i="2"/>
  <c r="C1247" i="2"/>
  <c r="B1247" i="2"/>
  <c r="A1247" i="2"/>
  <c r="AI1246" i="2"/>
  <c r="AH1246" i="2"/>
  <c r="AG1246" i="2"/>
  <c r="AF1246" i="2"/>
  <c r="AE1246" i="2"/>
  <c r="AD1246" i="2"/>
  <c r="AC1246" i="2"/>
  <c r="AA1246" i="2"/>
  <c r="Z1246" i="2"/>
  <c r="Y1246" i="2"/>
  <c r="X1246" i="2"/>
  <c r="W1246" i="2"/>
  <c r="V1246" i="2"/>
  <c r="U1246" i="2"/>
  <c r="T1246" i="2"/>
  <c r="S1246" i="2"/>
  <c r="R1246" i="2"/>
  <c r="Q1246" i="2"/>
  <c r="P1246" i="2"/>
  <c r="O1246" i="2"/>
  <c r="N1246" i="2"/>
  <c r="K1246" i="2"/>
  <c r="J1246" i="2"/>
  <c r="I1246" i="2"/>
  <c r="H1246" i="2"/>
  <c r="G1246" i="2"/>
  <c r="F1246" i="2"/>
  <c r="E1246" i="2"/>
  <c r="D1246" i="2"/>
  <c r="C1246" i="2"/>
  <c r="B1246" i="2"/>
  <c r="A1246" i="2"/>
  <c r="AI1245" i="2"/>
  <c r="AH1245" i="2"/>
  <c r="AG1245" i="2"/>
  <c r="AF1245" i="2"/>
  <c r="AE1245" i="2"/>
  <c r="AD1245" i="2"/>
  <c r="AC1245" i="2"/>
  <c r="AA1245" i="2"/>
  <c r="Z1245" i="2"/>
  <c r="Y1245" i="2"/>
  <c r="X1245" i="2"/>
  <c r="V1245" i="2"/>
  <c r="U1245" i="2"/>
  <c r="T1245" i="2"/>
  <c r="S1245" i="2"/>
  <c r="R1245" i="2"/>
  <c r="Q1245" i="2"/>
  <c r="P1245" i="2"/>
  <c r="O1245" i="2"/>
  <c r="N1245" i="2"/>
  <c r="K1245" i="2"/>
  <c r="J1245" i="2"/>
  <c r="I1245" i="2"/>
  <c r="H1245" i="2"/>
  <c r="G1245" i="2"/>
  <c r="F1245" i="2"/>
  <c r="E1245" i="2"/>
  <c r="D1245" i="2"/>
  <c r="C1245" i="2"/>
  <c r="B1245" i="2"/>
  <c r="A1245" i="2"/>
  <c r="AJ1244" i="2"/>
  <c r="AI1244" i="2"/>
  <c r="AH1244" i="2"/>
  <c r="AG1244" i="2"/>
  <c r="AF1244" i="2"/>
  <c r="AE1244" i="2"/>
  <c r="AD1244" i="2"/>
  <c r="AC1244" i="2"/>
  <c r="AB1244" i="2"/>
  <c r="AA1244" i="2"/>
  <c r="Z1244" i="2"/>
  <c r="Y1244" i="2"/>
  <c r="X1244" i="2"/>
  <c r="W1244" i="2"/>
  <c r="V1244" i="2"/>
  <c r="U1244" i="2"/>
  <c r="T1244" i="2"/>
  <c r="S1244" i="2"/>
  <c r="R1244" i="2"/>
  <c r="Q1244" i="2"/>
  <c r="P1244" i="2"/>
  <c r="O1244" i="2"/>
  <c r="N1244" i="2"/>
  <c r="M1244" i="2"/>
  <c r="K1244" i="2"/>
  <c r="J1244" i="2"/>
  <c r="I1244" i="2"/>
  <c r="H1244" i="2"/>
  <c r="G1244" i="2"/>
  <c r="F1244" i="2"/>
  <c r="E1244" i="2"/>
  <c r="D1244" i="2"/>
  <c r="C1244" i="2"/>
  <c r="B1244" i="2"/>
  <c r="A1244" i="2"/>
  <c r="AI1243" i="2"/>
  <c r="AH1243" i="2"/>
  <c r="AF1243" i="2"/>
  <c r="AE1243" i="2"/>
  <c r="AD1243" i="2"/>
  <c r="AC1243" i="2"/>
  <c r="AB1243" i="2"/>
  <c r="AA1243" i="2"/>
  <c r="Z1243" i="2"/>
  <c r="Y1243" i="2"/>
  <c r="X1243" i="2"/>
  <c r="W1243" i="2"/>
  <c r="V1243" i="2"/>
  <c r="U1243" i="2"/>
  <c r="T1243" i="2"/>
  <c r="S1243" i="2"/>
  <c r="R1243" i="2"/>
  <c r="Q1243" i="2"/>
  <c r="P1243" i="2"/>
  <c r="O1243" i="2"/>
  <c r="N1243" i="2"/>
  <c r="M1243" i="2"/>
  <c r="L1243" i="2"/>
  <c r="K1243" i="2"/>
  <c r="J1243" i="2"/>
  <c r="I1243" i="2"/>
  <c r="H1243" i="2"/>
  <c r="G1243" i="2"/>
  <c r="F1243" i="2"/>
  <c r="E1243" i="2"/>
  <c r="D1243" i="2"/>
  <c r="C1243" i="2"/>
  <c r="B1243" i="2"/>
  <c r="A1243" i="2"/>
  <c r="AI1242" i="2"/>
  <c r="AH1242" i="2"/>
  <c r="AF1242" i="2"/>
  <c r="AE1242" i="2"/>
  <c r="AD1242" i="2"/>
  <c r="AC1242" i="2"/>
  <c r="AB1242" i="2"/>
  <c r="AA1242" i="2"/>
  <c r="Z1242" i="2"/>
  <c r="Y1242" i="2"/>
  <c r="X1242" i="2"/>
  <c r="W1242" i="2"/>
  <c r="V1242" i="2"/>
  <c r="U1242" i="2"/>
  <c r="T1242" i="2"/>
  <c r="S1242" i="2"/>
  <c r="R1242" i="2"/>
  <c r="Q1242" i="2"/>
  <c r="P1242" i="2"/>
  <c r="O1242" i="2"/>
  <c r="N1242" i="2"/>
  <c r="M1242" i="2"/>
  <c r="L1242" i="2"/>
  <c r="K1242" i="2"/>
  <c r="J1242" i="2"/>
  <c r="I1242" i="2"/>
  <c r="H1242" i="2"/>
  <c r="G1242" i="2"/>
  <c r="F1242" i="2"/>
  <c r="E1242" i="2"/>
  <c r="D1242" i="2"/>
  <c r="C1242" i="2"/>
  <c r="B1242" i="2"/>
  <c r="A1242" i="2"/>
  <c r="AJ1241" i="2"/>
  <c r="AI1241" i="2"/>
  <c r="AH1241" i="2"/>
  <c r="AG1241" i="2"/>
  <c r="AF1241" i="2"/>
  <c r="AE1241" i="2"/>
  <c r="AD1241" i="2"/>
  <c r="AC1241" i="2"/>
  <c r="AB1241" i="2"/>
  <c r="AA1241" i="2"/>
  <c r="Z1241" i="2"/>
  <c r="Y1241" i="2"/>
  <c r="X1241" i="2"/>
  <c r="W1241" i="2"/>
  <c r="V1241" i="2"/>
  <c r="U1241" i="2"/>
  <c r="T1241" i="2"/>
  <c r="S1241" i="2"/>
  <c r="R1241" i="2"/>
  <c r="Q1241" i="2"/>
  <c r="P1241" i="2"/>
  <c r="O1241" i="2"/>
  <c r="N1241" i="2"/>
  <c r="M1241" i="2"/>
  <c r="L1241" i="2"/>
  <c r="K1241" i="2"/>
  <c r="J1241" i="2"/>
  <c r="I1241" i="2"/>
  <c r="H1241" i="2"/>
  <c r="G1241" i="2"/>
  <c r="F1241" i="2"/>
  <c r="E1241" i="2"/>
  <c r="D1241" i="2"/>
  <c r="C1241" i="2"/>
  <c r="B1241" i="2"/>
  <c r="A1241" i="2"/>
  <c r="AJ1240" i="2"/>
  <c r="AI1240" i="2"/>
  <c r="AH1240" i="2"/>
  <c r="AG1240" i="2"/>
  <c r="AF1240" i="2"/>
  <c r="AE1240" i="2"/>
  <c r="AD1240" i="2"/>
  <c r="AC1240" i="2"/>
  <c r="AB1240" i="2"/>
  <c r="AA1240" i="2"/>
  <c r="Z1240" i="2"/>
  <c r="Y1240" i="2"/>
  <c r="W1240" i="2"/>
  <c r="V1240" i="2"/>
  <c r="U1240" i="2"/>
  <c r="T1240" i="2"/>
  <c r="S1240" i="2"/>
  <c r="R1240" i="2"/>
  <c r="Q1240" i="2"/>
  <c r="P1240" i="2"/>
  <c r="O1240" i="2"/>
  <c r="N1240" i="2"/>
  <c r="M1240" i="2"/>
  <c r="L1240" i="2"/>
  <c r="K1240" i="2"/>
  <c r="J1240" i="2"/>
  <c r="I1240" i="2"/>
  <c r="H1240" i="2"/>
  <c r="G1240" i="2"/>
  <c r="F1240" i="2"/>
  <c r="E1240" i="2"/>
  <c r="D1240" i="2"/>
  <c r="C1240" i="2"/>
  <c r="B1240" i="2"/>
  <c r="A1240" i="2"/>
  <c r="AJ1239" i="2"/>
  <c r="AI1239" i="2"/>
  <c r="AH1239" i="2"/>
  <c r="AG1239" i="2"/>
  <c r="AF1239" i="2"/>
  <c r="AE1239" i="2"/>
  <c r="AD1239" i="2"/>
  <c r="AC1239" i="2"/>
  <c r="AB1239" i="2"/>
  <c r="AA1239" i="2"/>
  <c r="Z1239" i="2"/>
  <c r="Y1239" i="2"/>
  <c r="W1239" i="2"/>
  <c r="V1239" i="2"/>
  <c r="U1239" i="2"/>
  <c r="T1239" i="2"/>
  <c r="S1239" i="2"/>
  <c r="R1239" i="2"/>
  <c r="Q1239" i="2"/>
  <c r="P1239" i="2"/>
  <c r="O1239" i="2"/>
  <c r="N1239" i="2"/>
  <c r="M1239" i="2"/>
  <c r="L1239" i="2"/>
  <c r="K1239" i="2"/>
  <c r="J1239" i="2"/>
  <c r="I1239" i="2"/>
  <c r="H1239" i="2"/>
  <c r="G1239" i="2"/>
  <c r="F1239" i="2"/>
  <c r="E1239" i="2"/>
  <c r="D1239" i="2"/>
  <c r="C1239" i="2"/>
  <c r="B1239" i="2"/>
  <c r="A1239" i="2"/>
  <c r="AI1238" i="2"/>
  <c r="AH1238" i="2"/>
  <c r="AG1238" i="2"/>
  <c r="AF1238" i="2"/>
  <c r="AE1238" i="2"/>
  <c r="AD1238" i="2"/>
  <c r="AC1238" i="2"/>
  <c r="AB1238" i="2"/>
  <c r="AA1238" i="2"/>
  <c r="Z1238" i="2"/>
  <c r="Y1238" i="2"/>
  <c r="X1238" i="2"/>
  <c r="W1238" i="2"/>
  <c r="V1238" i="2"/>
  <c r="U1238" i="2"/>
  <c r="T1238" i="2"/>
  <c r="S1238" i="2"/>
  <c r="R1238" i="2"/>
  <c r="Q1238" i="2"/>
  <c r="P1238" i="2"/>
  <c r="O1238" i="2"/>
  <c r="N1238" i="2"/>
  <c r="M1238" i="2"/>
  <c r="L1238" i="2"/>
  <c r="K1238" i="2"/>
  <c r="J1238" i="2"/>
  <c r="I1238" i="2"/>
  <c r="H1238" i="2"/>
  <c r="G1238" i="2"/>
  <c r="F1238" i="2"/>
  <c r="E1238" i="2"/>
  <c r="D1238" i="2"/>
  <c r="C1238" i="2"/>
  <c r="B1238" i="2"/>
  <c r="A1238" i="2"/>
  <c r="AI1237" i="2"/>
  <c r="AH1237" i="2"/>
  <c r="AG1237" i="2"/>
  <c r="AF1237" i="2"/>
  <c r="AE1237" i="2"/>
  <c r="AD1237" i="2"/>
  <c r="AC1237" i="2"/>
  <c r="AB1237" i="2"/>
  <c r="AA1237" i="2"/>
  <c r="Z1237" i="2"/>
  <c r="Y1237" i="2"/>
  <c r="X1237" i="2"/>
  <c r="W1237" i="2"/>
  <c r="V1237" i="2"/>
  <c r="U1237" i="2"/>
  <c r="T1237" i="2"/>
  <c r="S1237" i="2"/>
  <c r="R1237" i="2"/>
  <c r="Q1237" i="2"/>
  <c r="P1237" i="2"/>
  <c r="O1237" i="2"/>
  <c r="N1237" i="2"/>
  <c r="M1237" i="2"/>
  <c r="L1237" i="2"/>
  <c r="K1237" i="2"/>
  <c r="J1237" i="2"/>
  <c r="I1237" i="2"/>
  <c r="H1237" i="2"/>
  <c r="G1237" i="2"/>
  <c r="F1237" i="2"/>
  <c r="E1237" i="2"/>
  <c r="D1237" i="2"/>
  <c r="C1237" i="2"/>
  <c r="B1237" i="2"/>
  <c r="A1237" i="2"/>
  <c r="AJ1236" i="2"/>
  <c r="AI1236" i="2"/>
  <c r="AH1236" i="2"/>
  <c r="AG1236" i="2"/>
  <c r="AF1236" i="2"/>
  <c r="AE1236" i="2"/>
  <c r="AD1236" i="2"/>
  <c r="AC1236" i="2"/>
  <c r="AB1236" i="2"/>
  <c r="AA1236" i="2"/>
  <c r="Z1236" i="2"/>
  <c r="Y1236" i="2"/>
  <c r="X1236" i="2"/>
  <c r="W1236" i="2"/>
  <c r="V1236" i="2"/>
  <c r="U1236" i="2"/>
  <c r="T1236" i="2"/>
  <c r="S1236" i="2"/>
  <c r="R1236" i="2"/>
  <c r="Q1236" i="2"/>
  <c r="P1236" i="2"/>
  <c r="O1236" i="2"/>
  <c r="N1236" i="2"/>
  <c r="K1236" i="2"/>
  <c r="J1236" i="2"/>
  <c r="I1236" i="2"/>
  <c r="H1236" i="2"/>
  <c r="G1236" i="2"/>
  <c r="F1236" i="2"/>
  <c r="E1236" i="2"/>
  <c r="D1236" i="2"/>
  <c r="C1236" i="2"/>
  <c r="B1236" i="2"/>
  <c r="A1236" i="2"/>
  <c r="AI1235" i="2"/>
  <c r="AH1235" i="2"/>
  <c r="AG1235" i="2"/>
  <c r="AF1235" i="2"/>
  <c r="AE1235" i="2"/>
  <c r="AD1235" i="2"/>
  <c r="AC1235" i="2"/>
  <c r="AB1235" i="2"/>
  <c r="AA1235" i="2"/>
  <c r="Z1235" i="2"/>
  <c r="Y1235" i="2"/>
  <c r="X1235" i="2"/>
  <c r="W1235" i="2"/>
  <c r="V1235" i="2"/>
  <c r="U1235" i="2"/>
  <c r="T1235" i="2"/>
  <c r="S1235" i="2"/>
  <c r="R1235" i="2"/>
  <c r="Q1235" i="2"/>
  <c r="P1235" i="2"/>
  <c r="O1235" i="2"/>
  <c r="N1235" i="2"/>
  <c r="M1235" i="2"/>
  <c r="L1235" i="2"/>
  <c r="K1235" i="2"/>
  <c r="J1235" i="2"/>
  <c r="I1235" i="2"/>
  <c r="H1235" i="2"/>
  <c r="G1235" i="2"/>
  <c r="F1235" i="2"/>
  <c r="E1235" i="2"/>
  <c r="D1235" i="2"/>
  <c r="C1235" i="2"/>
  <c r="B1235" i="2"/>
  <c r="A1235" i="2"/>
  <c r="AJ1234" i="2"/>
  <c r="AI1234" i="2"/>
  <c r="AH1234" i="2"/>
  <c r="AG1234" i="2"/>
  <c r="AF1234" i="2"/>
  <c r="AE1234" i="2"/>
  <c r="AD1234" i="2"/>
  <c r="AC1234" i="2"/>
  <c r="AB1234" i="2"/>
  <c r="AA1234" i="2"/>
  <c r="Z1234" i="2"/>
  <c r="Y1234" i="2"/>
  <c r="X1234" i="2"/>
  <c r="W1234" i="2"/>
  <c r="V1234" i="2"/>
  <c r="U1234" i="2"/>
  <c r="T1234" i="2"/>
  <c r="S1234" i="2"/>
  <c r="R1234" i="2"/>
  <c r="Q1234" i="2"/>
  <c r="P1234" i="2"/>
  <c r="O1234" i="2"/>
  <c r="N1234" i="2"/>
  <c r="K1234" i="2"/>
  <c r="J1234" i="2"/>
  <c r="I1234" i="2"/>
  <c r="H1234" i="2"/>
  <c r="G1234" i="2"/>
  <c r="F1234" i="2"/>
  <c r="E1234" i="2"/>
  <c r="D1234" i="2"/>
  <c r="C1234" i="2"/>
  <c r="B1234" i="2"/>
  <c r="A1234" i="2"/>
  <c r="AI1233" i="2"/>
  <c r="AH1233" i="2"/>
  <c r="AG1233" i="2"/>
  <c r="AF1233" i="2"/>
  <c r="AE1233" i="2"/>
  <c r="AD1233" i="2"/>
  <c r="AB1233" i="2"/>
  <c r="AA1233" i="2"/>
  <c r="Z1233" i="2"/>
  <c r="Y1233" i="2"/>
  <c r="X1233" i="2"/>
  <c r="W1233" i="2"/>
  <c r="V1233" i="2"/>
  <c r="U1233" i="2"/>
  <c r="T1233" i="2"/>
  <c r="S1233" i="2"/>
  <c r="R1233" i="2"/>
  <c r="Q1233" i="2"/>
  <c r="P1233" i="2"/>
  <c r="O1233" i="2"/>
  <c r="N1233" i="2"/>
  <c r="M1233" i="2"/>
  <c r="L1233" i="2"/>
  <c r="K1233" i="2"/>
  <c r="J1233" i="2"/>
  <c r="I1233" i="2"/>
  <c r="H1233" i="2"/>
  <c r="G1233" i="2"/>
  <c r="F1233" i="2"/>
  <c r="E1233" i="2"/>
  <c r="D1233" i="2"/>
  <c r="C1233" i="2"/>
  <c r="B1233" i="2"/>
  <c r="A1233" i="2"/>
  <c r="AI1232" i="2"/>
  <c r="AH1232" i="2"/>
  <c r="AF1232" i="2"/>
  <c r="AE1232" i="2"/>
  <c r="AD1232" i="2"/>
  <c r="AC1232" i="2"/>
  <c r="AB1232" i="2"/>
  <c r="AA1232" i="2"/>
  <c r="Z1232" i="2"/>
  <c r="Y1232" i="2"/>
  <c r="X1232" i="2"/>
  <c r="W1232" i="2"/>
  <c r="V1232" i="2"/>
  <c r="U1232" i="2"/>
  <c r="T1232" i="2"/>
  <c r="S1232" i="2"/>
  <c r="R1232" i="2"/>
  <c r="Q1232" i="2"/>
  <c r="P1232" i="2"/>
  <c r="O1232" i="2"/>
  <c r="N1232" i="2"/>
  <c r="K1232" i="2"/>
  <c r="J1232" i="2"/>
  <c r="I1232" i="2"/>
  <c r="H1232" i="2"/>
  <c r="G1232" i="2"/>
  <c r="F1232" i="2"/>
  <c r="E1232" i="2"/>
  <c r="D1232" i="2"/>
  <c r="C1232" i="2"/>
  <c r="B1232" i="2"/>
  <c r="A1232" i="2"/>
  <c r="AJ1231" i="2"/>
  <c r="AI1231" i="2"/>
  <c r="AH1231" i="2"/>
  <c r="AG1231" i="2"/>
  <c r="AF1231" i="2"/>
  <c r="AE1231" i="2"/>
  <c r="AD1231" i="2"/>
  <c r="AC1231" i="2"/>
  <c r="AB1231" i="2"/>
  <c r="AA1231" i="2"/>
  <c r="Z1231" i="2"/>
  <c r="Y1231" i="2"/>
  <c r="X1231" i="2"/>
  <c r="W1231" i="2"/>
  <c r="V1231" i="2"/>
  <c r="U1231" i="2"/>
  <c r="T1231" i="2"/>
  <c r="S1231" i="2"/>
  <c r="R1231" i="2"/>
  <c r="Q1231" i="2"/>
  <c r="P1231" i="2"/>
  <c r="O1231" i="2"/>
  <c r="N1231" i="2"/>
  <c r="M1231" i="2"/>
  <c r="L1231" i="2"/>
  <c r="K1231" i="2"/>
  <c r="J1231" i="2"/>
  <c r="I1231" i="2"/>
  <c r="H1231" i="2"/>
  <c r="G1231" i="2"/>
  <c r="F1231" i="2"/>
  <c r="E1231" i="2"/>
  <c r="D1231" i="2"/>
  <c r="C1231" i="2"/>
  <c r="B1231" i="2"/>
  <c r="A1231" i="2"/>
  <c r="AJ1230" i="2"/>
  <c r="AI1230" i="2"/>
  <c r="AH1230" i="2"/>
  <c r="AG1230" i="2"/>
  <c r="AF1230" i="2"/>
  <c r="AE1230" i="2"/>
  <c r="AD1230" i="2"/>
  <c r="AC1230" i="2"/>
  <c r="AB1230" i="2"/>
  <c r="AA1230" i="2"/>
  <c r="Z1230" i="2"/>
  <c r="Y1230" i="2"/>
  <c r="W1230" i="2"/>
  <c r="V1230" i="2"/>
  <c r="U1230" i="2"/>
  <c r="T1230" i="2"/>
  <c r="S1230" i="2"/>
  <c r="R1230" i="2"/>
  <c r="Q1230" i="2"/>
  <c r="P1230" i="2"/>
  <c r="O1230" i="2"/>
  <c r="N1230" i="2"/>
  <c r="M1230" i="2"/>
  <c r="L1230" i="2"/>
  <c r="K1230" i="2"/>
  <c r="J1230" i="2"/>
  <c r="I1230" i="2"/>
  <c r="H1230" i="2"/>
  <c r="G1230" i="2"/>
  <c r="F1230" i="2"/>
  <c r="E1230" i="2"/>
  <c r="D1230" i="2"/>
  <c r="C1230" i="2"/>
  <c r="B1230" i="2"/>
  <c r="A1230" i="2"/>
  <c r="AI1229" i="2"/>
  <c r="AH1229" i="2"/>
  <c r="AG1229" i="2"/>
  <c r="AF1229" i="2"/>
  <c r="AE1229" i="2"/>
  <c r="AD1229" i="2"/>
  <c r="AC1229" i="2"/>
  <c r="AB1229" i="2"/>
  <c r="AA1229" i="2"/>
  <c r="Z1229" i="2"/>
  <c r="Y1229" i="2"/>
  <c r="X1229" i="2"/>
  <c r="W1229" i="2"/>
  <c r="V1229" i="2"/>
  <c r="U1229" i="2"/>
  <c r="T1229" i="2"/>
  <c r="S1229" i="2"/>
  <c r="R1229" i="2"/>
  <c r="Q1229" i="2"/>
  <c r="P1229" i="2"/>
  <c r="O1229" i="2"/>
  <c r="N1229" i="2"/>
  <c r="M1229" i="2"/>
  <c r="L1229" i="2"/>
  <c r="K1229" i="2"/>
  <c r="J1229" i="2"/>
  <c r="I1229" i="2"/>
  <c r="H1229" i="2"/>
  <c r="G1229" i="2"/>
  <c r="F1229" i="2"/>
  <c r="E1229" i="2"/>
  <c r="D1229" i="2"/>
  <c r="C1229" i="2"/>
  <c r="B1229" i="2"/>
  <c r="A1229" i="2"/>
  <c r="AI1228" i="2"/>
  <c r="AH1228" i="2"/>
  <c r="AG1228" i="2"/>
  <c r="AF1228" i="2"/>
  <c r="AE1228" i="2"/>
  <c r="AD1228" i="2"/>
  <c r="AC1228" i="2"/>
  <c r="AB1228" i="2"/>
  <c r="AA1228" i="2"/>
  <c r="Z1228" i="2"/>
  <c r="Y1228" i="2"/>
  <c r="X1228" i="2"/>
  <c r="V1228" i="2"/>
  <c r="U1228" i="2"/>
  <c r="T1228" i="2"/>
  <c r="S1228" i="2"/>
  <c r="R1228" i="2"/>
  <c r="Q1228" i="2"/>
  <c r="P1228" i="2"/>
  <c r="O1228" i="2"/>
  <c r="N1228" i="2"/>
  <c r="K1228" i="2"/>
  <c r="J1228" i="2"/>
  <c r="I1228" i="2"/>
  <c r="H1228" i="2"/>
  <c r="G1228" i="2"/>
  <c r="F1228" i="2"/>
  <c r="E1228" i="2"/>
  <c r="D1228" i="2"/>
  <c r="C1228" i="2"/>
  <c r="B1228" i="2"/>
  <c r="A1228" i="2"/>
  <c r="AI1227" i="2"/>
  <c r="AH1227" i="2"/>
  <c r="AG1227" i="2"/>
  <c r="AF1227" i="2"/>
  <c r="AE1227" i="2"/>
  <c r="AD1227" i="2"/>
  <c r="AC1227" i="2"/>
  <c r="AB1227" i="2"/>
  <c r="AA1227" i="2"/>
  <c r="Z1227" i="2"/>
  <c r="Y1227" i="2"/>
  <c r="V1227" i="2"/>
  <c r="U1227" i="2"/>
  <c r="T1227" i="2"/>
  <c r="S1227" i="2"/>
  <c r="R1227" i="2"/>
  <c r="Q1227" i="2"/>
  <c r="P1227" i="2"/>
  <c r="O1227" i="2"/>
  <c r="N1227" i="2"/>
  <c r="M1227" i="2"/>
  <c r="L1227" i="2"/>
  <c r="K1227" i="2"/>
  <c r="J1227" i="2"/>
  <c r="I1227" i="2"/>
  <c r="H1227" i="2"/>
  <c r="G1227" i="2"/>
  <c r="F1227" i="2"/>
  <c r="E1227" i="2"/>
  <c r="D1227" i="2"/>
  <c r="C1227" i="2"/>
  <c r="B1227" i="2"/>
  <c r="A1227" i="2"/>
  <c r="AI1226" i="2"/>
  <c r="AH1226" i="2"/>
  <c r="AG1226" i="2"/>
  <c r="AF1226" i="2"/>
  <c r="AE1226" i="2"/>
  <c r="AD1226" i="2"/>
  <c r="AC1226" i="2"/>
  <c r="AB1226" i="2"/>
  <c r="AA1226" i="2"/>
  <c r="Z1226" i="2"/>
  <c r="Y1226" i="2"/>
  <c r="X1226" i="2"/>
  <c r="W1226" i="2"/>
  <c r="V1226" i="2"/>
  <c r="U1226" i="2"/>
  <c r="T1226" i="2"/>
  <c r="S1226" i="2"/>
  <c r="R1226" i="2"/>
  <c r="Q1226" i="2"/>
  <c r="P1226" i="2"/>
  <c r="O1226" i="2"/>
  <c r="N1226" i="2"/>
  <c r="M1226" i="2"/>
  <c r="L1226" i="2"/>
  <c r="K1226" i="2"/>
  <c r="J1226" i="2"/>
  <c r="I1226" i="2"/>
  <c r="H1226" i="2"/>
  <c r="G1226" i="2"/>
  <c r="F1226" i="2"/>
  <c r="E1226" i="2"/>
  <c r="D1226" i="2"/>
  <c r="C1226" i="2"/>
  <c r="B1226" i="2"/>
  <c r="A1226" i="2"/>
  <c r="AJ1225" i="2"/>
  <c r="AI1225" i="2"/>
  <c r="AH1225" i="2"/>
  <c r="AF1225" i="2"/>
  <c r="AE1225" i="2"/>
  <c r="AD1225" i="2"/>
  <c r="AC1225" i="2"/>
  <c r="AB1225" i="2"/>
  <c r="AA1225" i="2"/>
  <c r="Z1225" i="2"/>
  <c r="Y1225" i="2"/>
  <c r="X1225" i="2"/>
  <c r="W1225" i="2"/>
  <c r="V1225" i="2"/>
  <c r="U1225" i="2"/>
  <c r="T1225" i="2"/>
  <c r="S1225" i="2"/>
  <c r="R1225" i="2"/>
  <c r="Q1225" i="2"/>
  <c r="P1225" i="2"/>
  <c r="O1225" i="2"/>
  <c r="N1225" i="2"/>
  <c r="M1225" i="2"/>
  <c r="L1225" i="2"/>
  <c r="K1225" i="2"/>
  <c r="J1225" i="2"/>
  <c r="I1225" i="2"/>
  <c r="H1225" i="2"/>
  <c r="G1225" i="2"/>
  <c r="F1225" i="2"/>
  <c r="E1225" i="2"/>
  <c r="D1225" i="2"/>
  <c r="C1225" i="2"/>
  <c r="B1225" i="2"/>
  <c r="A1225" i="2"/>
  <c r="AI1224" i="2"/>
  <c r="AH1224" i="2"/>
  <c r="AG1224" i="2"/>
  <c r="AF1224" i="2"/>
  <c r="AE1224" i="2"/>
  <c r="AD1224" i="2"/>
  <c r="AB1224" i="2"/>
  <c r="AA1224" i="2"/>
  <c r="Z1224" i="2"/>
  <c r="Y1224" i="2"/>
  <c r="X1224" i="2"/>
  <c r="W1224" i="2"/>
  <c r="V1224" i="2"/>
  <c r="U1224" i="2"/>
  <c r="T1224" i="2"/>
  <c r="S1224" i="2"/>
  <c r="R1224" i="2"/>
  <c r="Q1224" i="2"/>
  <c r="P1224" i="2"/>
  <c r="O1224" i="2"/>
  <c r="N1224" i="2"/>
  <c r="M1224" i="2"/>
  <c r="L1224" i="2"/>
  <c r="K1224" i="2"/>
  <c r="J1224" i="2"/>
  <c r="I1224" i="2"/>
  <c r="H1224" i="2"/>
  <c r="G1224" i="2"/>
  <c r="F1224" i="2"/>
  <c r="E1224" i="2"/>
  <c r="D1224" i="2"/>
  <c r="C1224" i="2"/>
  <c r="B1224" i="2"/>
  <c r="A1224" i="2"/>
  <c r="AJ1223" i="2"/>
  <c r="AI1223" i="2"/>
  <c r="AH1223" i="2"/>
  <c r="AG1223" i="2"/>
  <c r="AF1223" i="2"/>
  <c r="AE1223" i="2"/>
  <c r="AD1223" i="2"/>
  <c r="AC1223" i="2"/>
  <c r="AB1223" i="2"/>
  <c r="AA1223" i="2"/>
  <c r="Z1223" i="2"/>
  <c r="Y1223" i="2"/>
  <c r="X1223" i="2"/>
  <c r="W1223" i="2"/>
  <c r="V1223" i="2"/>
  <c r="U1223" i="2"/>
  <c r="T1223" i="2"/>
  <c r="S1223" i="2"/>
  <c r="R1223" i="2"/>
  <c r="Q1223" i="2"/>
  <c r="P1223" i="2"/>
  <c r="O1223" i="2"/>
  <c r="N1223" i="2"/>
  <c r="M1223" i="2"/>
  <c r="L1223" i="2"/>
  <c r="K1223" i="2"/>
  <c r="J1223" i="2"/>
  <c r="I1223" i="2"/>
  <c r="H1223" i="2"/>
  <c r="G1223" i="2"/>
  <c r="F1223" i="2"/>
  <c r="E1223" i="2"/>
  <c r="D1223" i="2"/>
  <c r="C1223" i="2"/>
  <c r="B1223" i="2"/>
  <c r="A1223" i="2"/>
  <c r="AI1222" i="2"/>
  <c r="AH1222" i="2"/>
  <c r="AG1222" i="2"/>
  <c r="AF1222" i="2"/>
  <c r="AE1222" i="2"/>
  <c r="AD1222" i="2"/>
  <c r="AB1222" i="2"/>
  <c r="AA1222" i="2"/>
  <c r="Z1222" i="2"/>
  <c r="Y1222" i="2"/>
  <c r="X1222" i="2"/>
  <c r="V1222" i="2"/>
  <c r="U1222" i="2"/>
  <c r="T1222" i="2"/>
  <c r="S1222" i="2"/>
  <c r="R1222" i="2"/>
  <c r="Q1222" i="2"/>
  <c r="P1222" i="2"/>
  <c r="O1222" i="2"/>
  <c r="N1222" i="2"/>
  <c r="M1222" i="2"/>
  <c r="L1222" i="2"/>
  <c r="K1222" i="2"/>
  <c r="J1222" i="2"/>
  <c r="I1222" i="2"/>
  <c r="H1222" i="2"/>
  <c r="G1222" i="2"/>
  <c r="F1222" i="2"/>
  <c r="E1222" i="2"/>
  <c r="D1222" i="2"/>
  <c r="C1222" i="2"/>
  <c r="B1222" i="2"/>
  <c r="A1222" i="2"/>
  <c r="AJ1221" i="2"/>
  <c r="AI1221" i="2"/>
  <c r="AH1221" i="2"/>
  <c r="AG1221" i="2"/>
  <c r="AF1221" i="2"/>
  <c r="AE1221" i="2"/>
  <c r="AD1221" i="2"/>
  <c r="AC1221" i="2"/>
  <c r="AB1221" i="2"/>
  <c r="AA1221" i="2"/>
  <c r="Z1221" i="2"/>
  <c r="Y1221" i="2"/>
  <c r="X1221" i="2"/>
  <c r="W1221" i="2"/>
  <c r="V1221" i="2"/>
  <c r="U1221" i="2"/>
  <c r="T1221" i="2"/>
  <c r="S1221" i="2"/>
  <c r="R1221" i="2"/>
  <c r="Q1221" i="2"/>
  <c r="P1221" i="2"/>
  <c r="O1221" i="2"/>
  <c r="N1221" i="2"/>
  <c r="M1221" i="2"/>
  <c r="K1221" i="2"/>
  <c r="J1221" i="2"/>
  <c r="I1221" i="2"/>
  <c r="H1221" i="2"/>
  <c r="G1221" i="2"/>
  <c r="F1221" i="2"/>
  <c r="E1221" i="2"/>
  <c r="D1221" i="2"/>
  <c r="C1221" i="2"/>
  <c r="B1221" i="2"/>
  <c r="A1221" i="2"/>
  <c r="AI1220" i="2"/>
  <c r="AH1220" i="2"/>
  <c r="AG1220" i="2"/>
  <c r="AF1220" i="2"/>
  <c r="AE1220" i="2"/>
  <c r="AD1220" i="2"/>
  <c r="AC1220" i="2"/>
  <c r="AB1220" i="2"/>
  <c r="AA1220" i="2"/>
  <c r="Z1220" i="2"/>
  <c r="Y1220" i="2"/>
  <c r="X1220" i="2"/>
  <c r="W1220" i="2"/>
  <c r="V1220" i="2"/>
  <c r="U1220" i="2"/>
  <c r="T1220" i="2"/>
  <c r="S1220" i="2"/>
  <c r="R1220" i="2"/>
  <c r="Q1220" i="2"/>
  <c r="P1220" i="2"/>
  <c r="O1220" i="2"/>
  <c r="N1220" i="2"/>
  <c r="M1220" i="2"/>
  <c r="L1220" i="2"/>
  <c r="K1220" i="2"/>
  <c r="J1220" i="2"/>
  <c r="I1220" i="2"/>
  <c r="H1220" i="2"/>
  <c r="G1220" i="2"/>
  <c r="F1220" i="2"/>
  <c r="E1220" i="2"/>
  <c r="D1220" i="2"/>
  <c r="C1220" i="2"/>
  <c r="B1220" i="2"/>
  <c r="A1220" i="2"/>
  <c r="AI1219" i="2"/>
  <c r="AH1219" i="2"/>
  <c r="AG1219" i="2"/>
  <c r="AF1219" i="2"/>
  <c r="AE1219" i="2"/>
  <c r="AD1219" i="2"/>
  <c r="AC1219" i="2"/>
  <c r="AB1219" i="2"/>
  <c r="AA1219" i="2"/>
  <c r="Z1219" i="2"/>
  <c r="Y1219" i="2"/>
  <c r="X1219" i="2"/>
  <c r="W1219" i="2"/>
  <c r="V1219" i="2"/>
  <c r="U1219" i="2"/>
  <c r="T1219" i="2"/>
  <c r="S1219" i="2"/>
  <c r="R1219" i="2"/>
  <c r="Q1219" i="2"/>
  <c r="P1219" i="2"/>
  <c r="O1219" i="2"/>
  <c r="N1219" i="2"/>
  <c r="M1219" i="2"/>
  <c r="L1219" i="2"/>
  <c r="K1219" i="2"/>
  <c r="J1219" i="2"/>
  <c r="I1219" i="2"/>
  <c r="H1219" i="2"/>
  <c r="G1219" i="2"/>
  <c r="F1219" i="2"/>
  <c r="E1219" i="2"/>
  <c r="D1219" i="2"/>
  <c r="C1219" i="2"/>
  <c r="B1219" i="2"/>
  <c r="A1219" i="2"/>
  <c r="AI1218" i="2"/>
  <c r="AH1218" i="2"/>
  <c r="AG1218" i="2"/>
  <c r="AF1218" i="2"/>
  <c r="AE1218" i="2"/>
  <c r="AD1218" i="2"/>
  <c r="AC1218" i="2"/>
  <c r="AB1218" i="2"/>
  <c r="AA1218" i="2"/>
  <c r="Z1218" i="2"/>
  <c r="Y1218" i="2"/>
  <c r="X1218" i="2"/>
  <c r="W1218" i="2"/>
  <c r="V1218" i="2"/>
  <c r="U1218" i="2"/>
  <c r="T1218" i="2"/>
  <c r="S1218" i="2"/>
  <c r="R1218" i="2"/>
  <c r="Q1218" i="2"/>
  <c r="P1218" i="2"/>
  <c r="O1218" i="2"/>
  <c r="N1218" i="2"/>
  <c r="M1218" i="2"/>
  <c r="L1218" i="2"/>
  <c r="K1218" i="2"/>
  <c r="J1218" i="2"/>
  <c r="I1218" i="2"/>
  <c r="H1218" i="2"/>
  <c r="G1218" i="2"/>
  <c r="F1218" i="2"/>
  <c r="E1218" i="2"/>
  <c r="D1218" i="2"/>
  <c r="C1218" i="2"/>
  <c r="B1218" i="2"/>
  <c r="A1218" i="2"/>
  <c r="AI1217" i="2"/>
  <c r="AH1217" i="2"/>
  <c r="AG1217" i="2"/>
  <c r="AF1217" i="2"/>
  <c r="AE1217" i="2"/>
  <c r="AD1217" i="2"/>
  <c r="AC1217" i="2"/>
  <c r="AB1217" i="2"/>
  <c r="AA1217" i="2"/>
  <c r="Z1217" i="2"/>
  <c r="Y1217" i="2"/>
  <c r="X1217" i="2"/>
  <c r="W1217" i="2"/>
  <c r="V1217" i="2"/>
  <c r="U1217" i="2"/>
  <c r="T1217" i="2"/>
  <c r="S1217" i="2"/>
  <c r="R1217" i="2"/>
  <c r="Q1217" i="2"/>
  <c r="P1217" i="2"/>
  <c r="O1217" i="2"/>
  <c r="N1217" i="2"/>
  <c r="M1217" i="2"/>
  <c r="L1217" i="2"/>
  <c r="K1217" i="2"/>
  <c r="J1217" i="2"/>
  <c r="I1217" i="2"/>
  <c r="H1217" i="2"/>
  <c r="G1217" i="2"/>
  <c r="F1217" i="2"/>
  <c r="E1217" i="2"/>
  <c r="D1217" i="2"/>
  <c r="C1217" i="2"/>
  <c r="B1217" i="2"/>
  <c r="A1217" i="2"/>
  <c r="AI1216" i="2"/>
  <c r="AH1216" i="2"/>
  <c r="AG1216" i="2"/>
  <c r="AF1216" i="2"/>
  <c r="AE1216" i="2"/>
  <c r="AD1216" i="2"/>
  <c r="AC1216" i="2"/>
  <c r="AB1216" i="2"/>
  <c r="AA1216" i="2"/>
  <c r="Z1216" i="2"/>
  <c r="Y1216" i="2"/>
  <c r="X1216" i="2"/>
  <c r="W1216" i="2"/>
  <c r="V1216" i="2"/>
  <c r="U1216" i="2"/>
  <c r="T1216" i="2"/>
  <c r="S1216" i="2"/>
  <c r="R1216" i="2"/>
  <c r="Q1216" i="2"/>
  <c r="P1216" i="2"/>
  <c r="O1216" i="2"/>
  <c r="N1216" i="2"/>
  <c r="M1216" i="2"/>
  <c r="L1216" i="2"/>
  <c r="K1216" i="2"/>
  <c r="J1216" i="2"/>
  <c r="I1216" i="2"/>
  <c r="H1216" i="2"/>
  <c r="G1216" i="2"/>
  <c r="F1216" i="2"/>
  <c r="E1216" i="2"/>
  <c r="D1216" i="2"/>
  <c r="C1216" i="2"/>
  <c r="B1216" i="2"/>
  <c r="A1216" i="2"/>
  <c r="AI1215" i="2"/>
  <c r="AH1215" i="2"/>
  <c r="AG1215" i="2"/>
  <c r="AF1215" i="2"/>
  <c r="AE1215" i="2"/>
  <c r="AD1215" i="2"/>
  <c r="AC1215" i="2"/>
  <c r="AB1215" i="2"/>
  <c r="AA1215" i="2"/>
  <c r="Z1215" i="2"/>
  <c r="Y1215" i="2"/>
  <c r="X1215" i="2"/>
  <c r="V1215" i="2"/>
  <c r="U1215" i="2"/>
  <c r="T1215" i="2"/>
  <c r="S1215" i="2"/>
  <c r="R1215" i="2"/>
  <c r="Q1215" i="2"/>
  <c r="P1215" i="2"/>
  <c r="O1215" i="2"/>
  <c r="N1215" i="2"/>
  <c r="K1215" i="2"/>
  <c r="J1215" i="2"/>
  <c r="I1215" i="2"/>
  <c r="H1215" i="2"/>
  <c r="G1215" i="2"/>
  <c r="F1215" i="2"/>
  <c r="E1215" i="2"/>
  <c r="D1215" i="2"/>
  <c r="C1215" i="2"/>
  <c r="B1215" i="2"/>
  <c r="A1215" i="2"/>
  <c r="AI1214" i="2"/>
  <c r="AH1214" i="2"/>
  <c r="AF1214" i="2"/>
  <c r="AE1214" i="2"/>
  <c r="AD1214" i="2"/>
  <c r="AC1214" i="2"/>
  <c r="AB1214" i="2"/>
  <c r="AA1214" i="2"/>
  <c r="Z1214" i="2"/>
  <c r="Y1214" i="2"/>
  <c r="X1214" i="2"/>
  <c r="W1214" i="2"/>
  <c r="V1214" i="2"/>
  <c r="U1214" i="2"/>
  <c r="T1214" i="2"/>
  <c r="S1214" i="2"/>
  <c r="R1214" i="2"/>
  <c r="Q1214" i="2"/>
  <c r="P1214" i="2"/>
  <c r="O1214" i="2"/>
  <c r="N1214" i="2"/>
  <c r="M1214" i="2"/>
  <c r="L1214" i="2"/>
  <c r="K1214" i="2"/>
  <c r="J1214" i="2"/>
  <c r="I1214" i="2"/>
  <c r="H1214" i="2"/>
  <c r="G1214" i="2"/>
  <c r="F1214" i="2"/>
  <c r="E1214" i="2"/>
  <c r="D1214" i="2"/>
  <c r="C1214" i="2"/>
  <c r="B1214" i="2"/>
  <c r="A1214" i="2"/>
  <c r="AI1213" i="2"/>
  <c r="AH1213" i="2"/>
  <c r="AG1213" i="2"/>
  <c r="AF1213" i="2"/>
  <c r="AE1213" i="2"/>
  <c r="AD1213" i="2"/>
  <c r="AC1213" i="2"/>
  <c r="AB1213" i="2"/>
  <c r="AA1213" i="2"/>
  <c r="Z1213" i="2"/>
  <c r="Y1213" i="2"/>
  <c r="V1213" i="2"/>
  <c r="U1213" i="2"/>
  <c r="T1213" i="2"/>
  <c r="S1213" i="2"/>
  <c r="R1213" i="2"/>
  <c r="Q1213" i="2"/>
  <c r="P1213" i="2"/>
  <c r="O1213" i="2"/>
  <c r="N1213" i="2"/>
  <c r="M1213" i="2"/>
  <c r="L1213" i="2"/>
  <c r="K1213" i="2"/>
  <c r="J1213" i="2"/>
  <c r="I1213" i="2"/>
  <c r="H1213" i="2"/>
  <c r="G1213" i="2"/>
  <c r="F1213" i="2"/>
  <c r="E1213" i="2"/>
  <c r="D1213" i="2"/>
  <c r="C1213" i="2"/>
  <c r="B1213" i="2"/>
  <c r="A1213" i="2"/>
  <c r="AI1212" i="2"/>
  <c r="AH1212" i="2"/>
  <c r="AG1212" i="2"/>
  <c r="AF1212" i="2"/>
  <c r="AE1212" i="2"/>
  <c r="AD1212" i="2"/>
  <c r="AC1212" i="2"/>
  <c r="AB1212" i="2"/>
  <c r="AA1212" i="2"/>
  <c r="Z1212" i="2"/>
  <c r="Y1212" i="2"/>
  <c r="X1212" i="2"/>
  <c r="V1212" i="2"/>
  <c r="U1212" i="2"/>
  <c r="T1212" i="2"/>
  <c r="S1212" i="2"/>
  <c r="R1212" i="2"/>
  <c r="Q1212" i="2"/>
  <c r="P1212" i="2"/>
  <c r="O1212" i="2"/>
  <c r="N1212" i="2"/>
  <c r="M1212" i="2"/>
  <c r="L1212" i="2"/>
  <c r="K1212" i="2"/>
  <c r="J1212" i="2"/>
  <c r="I1212" i="2"/>
  <c r="H1212" i="2"/>
  <c r="G1212" i="2"/>
  <c r="F1212" i="2"/>
  <c r="E1212" i="2"/>
  <c r="D1212" i="2"/>
  <c r="C1212" i="2"/>
  <c r="B1212" i="2"/>
  <c r="A1212" i="2"/>
  <c r="AI1211" i="2"/>
  <c r="AH1211" i="2"/>
  <c r="AG1211" i="2"/>
  <c r="AF1211" i="2"/>
  <c r="AE1211" i="2"/>
  <c r="AD1211" i="2"/>
  <c r="AC1211" i="2"/>
  <c r="AB1211" i="2"/>
  <c r="AA1211" i="2"/>
  <c r="Z1211" i="2"/>
  <c r="Y1211" i="2"/>
  <c r="X1211" i="2"/>
  <c r="W1211" i="2"/>
  <c r="V1211" i="2"/>
  <c r="U1211" i="2"/>
  <c r="T1211" i="2"/>
  <c r="S1211" i="2"/>
  <c r="R1211" i="2"/>
  <c r="Q1211" i="2"/>
  <c r="P1211" i="2"/>
  <c r="O1211" i="2"/>
  <c r="N1211" i="2"/>
  <c r="M1211" i="2"/>
  <c r="L1211" i="2"/>
  <c r="K1211" i="2"/>
  <c r="J1211" i="2"/>
  <c r="I1211" i="2"/>
  <c r="H1211" i="2"/>
  <c r="G1211" i="2"/>
  <c r="F1211" i="2"/>
  <c r="E1211" i="2"/>
  <c r="D1211" i="2"/>
  <c r="C1211" i="2"/>
  <c r="B1211" i="2"/>
  <c r="A1211" i="2"/>
  <c r="AI1210" i="2"/>
  <c r="AH1210" i="2"/>
  <c r="AG1210" i="2"/>
  <c r="AF1210" i="2"/>
  <c r="AE1210" i="2"/>
  <c r="AD1210" i="2"/>
  <c r="AC1210" i="2"/>
  <c r="AB1210" i="2"/>
  <c r="AA1210" i="2"/>
  <c r="Z1210" i="2"/>
  <c r="Y1210" i="2"/>
  <c r="X1210" i="2"/>
  <c r="W1210" i="2"/>
  <c r="V1210" i="2"/>
  <c r="U1210" i="2"/>
  <c r="T1210" i="2"/>
  <c r="S1210" i="2"/>
  <c r="R1210" i="2"/>
  <c r="Q1210" i="2"/>
  <c r="P1210" i="2"/>
  <c r="O1210" i="2"/>
  <c r="N1210" i="2"/>
  <c r="M1210" i="2"/>
  <c r="L1210" i="2"/>
  <c r="K1210" i="2"/>
  <c r="J1210" i="2"/>
  <c r="I1210" i="2"/>
  <c r="H1210" i="2"/>
  <c r="G1210" i="2"/>
  <c r="F1210" i="2"/>
  <c r="E1210" i="2"/>
  <c r="D1210" i="2"/>
  <c r="C1210" i="2"/>
  <c r="B1210" i="2"/>
  <c r="A1210" i="2"/>
  <c r="AI1209" i="2"/>
  <c r="AH1209" i="2"/>
  <c r="AG1209" i="2"/>
  <c r="AF1209" i="2"/>
  <c r="AE1209" i="2"/>
  <c r="AD1209" i="2"/>
  <c r="AC1209" i="2"/>
  <c r="AB1209" i="2"/>
  <c r="AA1209" i="2"/>
  <c r="Z1209" i="2"/>
  <c r="Y1209" i="2"/>
  <c r="X1209" i="2"/>
  <c r="W1209" i="2"/>
  <c r="V1209" i="2"/>
  <c r="U1209" i="2"/>
  <c r="T1209" i="2"/>
  <c r="S1209" i="2"/>
  <c r="R1209" i="2"/>
  <c r="Q1209" i="2"/>
  <c r="P1209" i="2"/>
  <c r="O1209" i="2"/>
  <c r="N1209" i="2"/>
  <c r="M1209" i="2"/>
  <c r="L1209" i="2"/>
  <c r="K1209" i="2"/>
  <c r="J1209" i="2"/>
  <c r="I1209" i="2"/>
  <c r="H1209" i="2"/>
  <c r="G1209" i="2"/>
  <c r="F1209" i="2"/>
  <c r="E1209" i="2"/>
  <c r="D1209" i="2"/>
  <c r="C1209" i="2"/>
  <c r="B1209" i="2"/>
  <c r="A1209" i="2"/>
  <c r="AI1208" i="2"/>
  <c r="AH1208" i="2"/>
  <c r="AG1208" i="2"/>
  <c r="AF1208" i="2"/>
  <c r="AE1208" i="2"/>
  <c r="AD1208" i="2"/>
  <c r="AC1208" i="2"/>
  <c r="AB1208" i="2"/>
  <c r="AA1208" i="2"/>
  <c r="Z1208" i="2"/>
  <c r="Y1208" i="2"/>
  <c r="X1208" i="2"/>
  <c r="W1208" i="2"/>
  <c r="V1208" i="2"/>
  <c r="U1208" i="2"/>
  <c r="T1208" i="2"/>
  <c r="S1208" i="2"/>
  <c r="R1208" i="2"/>
  <c r="Q1208" i="2"/>
  <c r="P1208" i="2"/>
  <c r="O1208" i="2"/>
  <c r="N1208" i="2"/>
  <c r="M1208" i="2"/>
  <c r="L1208" i="2"/>
  <c r="K1208" i="2"/>
  <c r="J1208" i="2"/>
  <c r="I1208" i="2"/>
  <c r="H1208" i="2"/>
  <c r="G1208" i="2"/>
  <c r="F1208" i="2"/>
  <c r="E1208" i="2"/>
  <c r="D1208" i="2"/>
  <c r="C1208" i="2"/>
  <c r="B1208" i="2"/>
  <c r="A1208" i="2"/>
  <c r="AJ1207" i="2"/>
  <c r="AI1207" i="2"/>
  <c r="AH1207" i="2"/>
  <c r="AG1207" i="2"/>
  <c r="AF1207" i="2"/>
  <c r="AE1207" i="2"/>
  <c r="AD1207" i="2"/>
  <c r="AC1207" i="2"/>
  <c r="AB1207" i="2"/>
  <c r="AA1207" i="2"/>
  <c r="Z1207" i="2"/>
  <c r="Y1207" i="2"/>
  <c r="X1207" i="2"/>
  <c r="W1207" i="2"/>
  <c r="V1207" i="2"/>
  <c r="U1207" i="2"/>
  <c r="T1207" i="2"/>
  <c r="S1207" i="2"/>
  <c r="R1207" i="2"/>
  <c r="Q1207" i="2"/>
  <c r="P1207" i="2"/>
  <c r="O1207" i="2"/>
  <c r="N1207" i="2"/>
  <c r="M1207" i="2"/>
  <c r="L1207" i="2"/>
  <c r="K1207" i="2"/>
  <c r="J1207" i="2"/>
  <c r="I1207" i="2"/>
  <c r="H1207" i="2"/>
  <c r="G1207" i="2"/>
  <c r="F1207" i="2"/>
  <c r="E1207" i="2"/>
  <c r="D1207" i="2"/>
  <c r="C1207" i="2"/>
  <c r="B1207" i="2"/>
  <c r="A1207" i="2"/>
  <c r="AI1206" i="2"/>
  <c r="AH1206" i="2"/>
  <c r="AG1206" i="2"/>
  <c r="AF1206" i="2"/>
  <c r="AE1206" i="2"/>
  <c r="AD1206" i="2"/>
  <c r="AC1206" i="2"/>
  <c r="AB1206" i="2"/>
  <c r="AA1206" i="2"/>
  <c r="Z1206" i="2"/>
  <c r="Y1206" i="2"/>
  <c r="X1206" i="2"/>
  <c r="W1206" i="2"/>
  <c r="V1206" i="2"/>
  <c r="U1206" i="2"/>
  <c r="T1206" i="2"/>
  <c r="S1206" i="2"/>
  <c r="R1206" i="2"/>
  <c r="Q1206" i="2"/>
  <c r="P1206" i="2"/>
  <c r="O1206" i="2"/>
  <c r="N1206" i="2"/>
  <c r="M1206" i="2"/>
  <c r="L1206" i="2"/>
  <c r="K1206" i="2"/>
  <c r="J1206" i="2"/>
  <c r="I1206" i="2"/>
  <c r="H1206" i="2"/>
  <c r="G1206" i="2"/>
  <c r="F1206" i="2"/>
  <c r="E1206" i="2"/>
  <c r="D1206" i="2"/>
  <c r="C1206" i="2"/>
  <c r="B1206" i="2"/>
  <c r="A1206" i="2"/>
  <c r="AI1205" i="2"/>
  <c r="AH1205" i="2"/>
  <c r="AG1205" i="2"/>
  <c r="AF1205" i="2"/>
  <c r="AE1205" i="2"/>
  <c r="AD1205" i="2"/>
  <c r="AC1205" i="2"/>
  <c r="AA1205" i="2"/>
  <c r="Z1205" i="2"/>
  <c r="Y1205" i="2"/>
  <c r="X1205" i="2"/>
  <c r="W1205" i="2"/>
  <c r="V1205" i="2"/>
  <c r="U1205" i="2"/>
  <c r="T1205" i="2"/>
  <c r="S1205" i="2"/>
  <c r="R1205" i="2"/>
  <c r="Q1205" i="2"/>
  <c r="P1205" i="2"/>
  <c r="O1205" i="2"/>
  <c r="N1205" i="2"/>
  <c r="M1205" i="2"/>
  <c r="L1205" i="2"/>
  <c r="K1205" i="2"/>
  <c r="J1205" i="2"/>
  <c r="I1205" i="2"/>
  <c r="H1205" i="2"/>
  <c r="G1205" i="2"/>
  <c r="F1205" i="2"/>
  <c r="E1205" i="2"/>
  <c r="D1205" i="2"/>
  <c r="C1205" i="2"/>
  <c r="B1205" i="2"/>
  <c r="A1205" i="2"/>
  <c r="AI1204" i="2"/>
  <c r="AH1204" i="2"/>
  <c r="AG1204" i="2"/>
  <c r="AF1204" i="2"/>
  <c r="AE1204" i="2"/>
  <c r="AD1204" i="2"/>
  <c r="AC1204" i="2"/>
  <c r="AB1204" i="2"/>
  <c r="AA1204" i="2"/>
  <c r="Z1204" i="2"/>
  <c r="Y1204" i="2"/>
  <c r="X1204" i="2"/>
  <c r="W1204" i="2"/>
  <c r="V1204" i="2"/>
  <c r="U1204" i="2"/>
  <c r="T1204" i="2"/>
  <c r="S1204" i="2"/>
  <c r="R1204" i="2"/>
  <c r="Q1204" i="2"/>
  <c r="P1204" i="2"/>
  <c r="O1204" i="2"/>
  <c r="N1204" i="2"/>
  <c r="M1204" i="2"/>
  <c r="L1204" i="2"/>
  <c r="K1204" i="2"/>
  <c r="J1204" i="2"/>
  <c r="I1204" i="2"/>
  <c r="H1204" i="2"/>
  <c r="G1204" i="2"/>
  <c r="F1204" i="2"/>
  <c r="E1204" i="2"/>
  <c r="D1204" i="2"/>
  <c r="C1204" i="2"/>
  <c r="B1204" i="2"/>
  <c r="A1204" i="2"/>
  <c r="AI1203" i="2"/>
  <c r="AH1203" i="2"/>
  <c r="AG1203" i="2"/>
  <c r="AF1203" i="2"/>
  <c r="AE1203" i="2"/>
  <c r="AD1203" i="2"/>
  <c r="AC1203" i="2"/>
  <c r="AB1203" i="2"/>
  <c r="AA1203" i="2"/>
  <c r="Z1203" i="2"/>
  <c r="Y1203" i="2"/>
  <c r="X1203" i="2"/>
  <c r="W1203" i="2"/>
  <c r="V1203" i="2"/>
  <c r="U1203" i="2"/>
  <c r="T1203" i="2"/>
  <c r="S1203" i="2"/>
  <c r="R1203" i="2"/>
  <c r="Q1203" i="2"/>
  <c r="P1203" i="2"/>
  <c r="O1203" i="2"/>
  <c r="N1203" i="2"/>
  <c r="M1203" i="2"/>
  <c r="L1203" i="2"/>
  <c r="K1203" i="2"/>
  <c r="J1203" i="2"/>
  <c r="I1203" i="2"/>
  <c r="H1203" i="2"/>
  <c r="G1203" i="2"/>
  <c r="F1203" i="2"/>
  <c r="E1203" i="2"/>
  <c r="D1203" i="2"/>
  <c r="C1203" i="2"/>
  <c r="B1203" i="2"/>
  <c r="A1203" i="2"/>
  <c r="AI1202" i="2"/>
  <c r="AF1202" i="2"/>
  <c r="AE1202" i="2"/>
  <c r="AD1202" i="2"/>
  <c r="AC1202" i="2"/>
  <c r="AB1202" i="2"/>
  <c r="AA1202" i="2"/>
  <c r="Z1202" i="2"/>
  <c r="Y1202" i="2"/>
  <c r="X1202" i="2"/>
  <c r="W1202" i="2"/>
  <c r="V1202" i="2"/>
  <c r="U1202" i="2"/>
  <c r="T1202" i="2"/>
  <c r="S1202" i="2"/>
  <c r="R1202" i="2"/>
  <c r="Q1202" i="2"/>
  <c r="P1202" i="2"/>
  <c r="O1202" i="2"/>
  <c r="N1202" i="2"/>
  <c r="M1202" i="2"/>
  <c r="L1202" i="2"/>
  <c r="K1202" i="2"/>
  <c r="J1202" i="2"/>
  <c r="I1202" i="2"/>
  <c r="H1202" i="2"/>
  <c r="G1202" i="2"/>
  <c r="F1202" i="2"/>
  <c r="E1202" i="2"/>
  <c r="D1202" i="2"/>
  <c r="C1202" i="2"/>
  <c r="B1202" i="2"/>
  <c r="A1202" i="2"/>
  <c r="AI1201" i="2"/>
  <c r="AH1201" i="2"/>
  <c r="AG1201" i="2"/>
  <c r="AF1201" i="2"/>
  <c r="AE1201" i="2"/>
  <c r="AD1201" i="2"/>
  <c r="AC1201" i="2"/>
  <c r="AB1201" i="2"/>
  <c r="AA1201" i="2"/>
  <c r="Z1201" i="2"/>
  <c r="Y1201" i="2"/>
  <c r="V1201" i="2"/>
  <c r="U1201" i="2"/>
  <c r="T1201" i="2"/>
  <c r="S1201" i="2"/>
  <c r="Q1201" i="2"/>
  <c r="P1201" i="2"/>
  <c r="O1201" i="2"/>
  <c r="N1201" i="2"/>
  <c r="K1201" i="2"/>
  <c r="J1201" i="2"/>
  <c r="I1201" i="2"/>
  <c r="H1201" i="2"/>
  <c r="G1201" i="2"/>
  <c r="F1201" i="2"/>
  <c r="E1201" i="2"/>
  <c r="D1201" i="2"/>
  <c r="C1201" i="2"/>
  <c r="B1201" i="2"/>
  <c r="A1201" i="2"/>
  <c r="AI1200" i="2"/>
  <c r="AH1200" i="2"/>
  <c r="AG1200" i="2"/>
  <c r="AF1200" i="2"/>
  <c r="AE1200" i="2"/>
  <c r="AD1200" i="2"/>
  <c r="AC1200" i="2"/>
  <c r="AB1200" i="2"/>
  <c r="AA1200" i="2"/>
  <c r="Z1200" i="2"/>
  <c r="Y1200" i="2"/>
  <c r="X1200" i="2"/>
  <c r="W1200" i="2"/>
  <c r="V1200" i="2"/>
  <c r="U1200" i="2"/>
  <c r="T1200" i="2"/>
  <c r="S1200" i="2"/>
  <c r="R1200" i="2"/>
  <c r="Q1200" i="2"/>
  <c r="P1200" i="2"/>
  <c r="O1200" i="2"/>
  <c r="N1200" i="2"/>
  <c r="M1200" i="2"/>
  <c r="L1200" i="2"/>
  <c r="K1200" i="2"/>
  <c r="J1200" i="2"/>
  <c r="I1200" i="2"/>
  <c r="H1200" i="2"/>
  <c r="G1200" i="2"/>
  <c r="F1200" i="2"/>
  <c r="E1200" i="2"/>
  <c r="D1200" i="2"/>
  <c r="C1200" i="2"/>
  <c r="B1200" i="2"/>
  <c r="A1200" i="2"/>
  <c r="AI1199" i="2"/>
  <c r="AH1199" i="2"/>
  <c r="AG1199" i="2"/>
  <c r="AF1199" i="2"/>
  <c r="AE1199" i="2"/>
  <c r="AD1199" i="2"/>
  <c r="AC1199" i="2"/>
  <c r="AB1199" i="2"/>
  <c r="AA1199" i="2"/>
  <c r="Z1199" i="2"/>
  <c r="Y1199" i="2"/>
  <c r="X1199" i="2"/>
  <c r="W1199" i="2"/>
  <c r="V1199" i="2"/>
  <c r="U1199" i="2"/>
  <c r="T1199" i="2"/>
  <c r="S1199" i="2"/>
  <c r="R1199" i="2"/>
  <c r="Q1199" i="2"/>
  <c r="P1199" i="2"/>
  <c r="O1199" i="2"/>
  <c r="N1199" i="2"/>
  <c r="M1199" i="2"/>
  <c r="L1199" i="2"/>
  <c r="K1199" i="2"/>
  <c r="J1199" i="2"/>
  <c r="I1199" i="2"/>
  <c r="H1199" i="2"/>
  <c r="G1199" i="2"/>
  <c r="F1199" i="2"/>
  <c r="E1199" i="2"/>
  <c r="D1199" i="2"/>
  <c r="C1199" i="2"/>
  <c r="B1199" i="2"/>
  <c r="A1199" i="2"/>
  <c r="AJ1198" i="2"/>
  <c r="AI1198" i="2"/>
  <c r="AH1198" i="2"/>
  <c r="AG1198" i="2"/>
  <c r="AF1198" i="2"/>
  <c r="AE1198" i="2"/>
  <c r="AD1198" i="2"/>
  <c r="AC1198" i="2"/>
  <c r="AB1198" i="2"/>
  <c r="AA1198" i="2"/>
  <c r="Z1198" i="2"/>
  <c r="Y1198" i="2"/>
  <c r="X1198" i="2"/>
  <c r="W1198" i="2"/>
  <c r="V1198" i="2"/>
  <c r="U1198" i="2"/>
  <c r="T1198" i="2"/>
  <c r="S1198" i="2"/>
  <c r="R1198" i="2"/>
  <c r="Q1198" i="2"/>
  <c r="P1198" i="2"/>
  <c r="O1198" i="2"/>
  <c r="N1198" i="2"/>
  <c r="M1198" i="2"/>
  <c r="L1198" i="2"/>
  <c r="K1198" i="2"/>
  <c r="J1198" i="2"/>
  <c r="I1198" i="2"/>
  <c r="H1198" i="2"/>
  <c r="G1198" i="2"/>
  <c r="F1198" i="2"/>
  <c r="E1198" i="2"/>
  <c r="D1198" i="2"/>
  <c r="C1198" i="2"/>
  <c r="B1198" i="2"/>
  <c r="A1198" i="2"/>
  <c r="AI1197" i="2"/>
  <c r="AH1197" i="2"/>
  <c r="AG1197" i="2"/>
  <c r="AF1197" i="2"/>
  <c r="AE1197" i="2"/>
  <c r="AD1197" i="2"/>
  <c r="AC1197" i="2"/>
  <c r="AB1197" i="2"/>
  <c r="AA1197" i="2"/>
  <c r="Z1197" i="2"/>
  <c r="Y1197" i="2"/>
  <c r="X1197" i="2"/>
  <c r="W1197" i="2"/>
  <c r="V1197" i="2"/>
  <c r="U1197" i="2"/>
  <c r="T1197" i="2"/>
  <c r="S1197" i="2"/>
  <c r="R1197" i="2"/>
  <c r="Q1197" i="2"/>
  <c r="P1197" i="2"/>
  <c r="O1197" i="2"/>
  <c r="N1197" i="2"/>
  <c r="M1197" i="2"/>
  <c r="L1197" i="2"/>
  <c r="K1197" i="2"/>
  <c r="J1197" i="2"/>
  <c r="I1197" i="2"/>
  <c r="H1197" i="2"/>
  <c r="G1197" i="2"/>
  <c r="F1197" i="2"/>
  <c r="E1197" i="2"/>
  <c r="D1197" i="2"/>
  <c r="C1197" i="2"/>
  <c r="B1197" i="2"/>
  <c r="A1197" i="2"/>
  <c r="AI1196" i="2"/>
  <c r="AH1196" i="2"/>
  <c r="AG1196" i="2"/>
  <c r="AF1196" i="2"/>
  <c r="AE1196" i="2"/>
  <c r="AD1196" i="2"/>
  <c r="AC1196" i="2"/>
  <c r="AB1196" i="2"/>
  <c r="AA1196" i="2"/>
  <c r="Z1196" i="2"/>
  <c r="Y1196" i="2"/>
  <c r="X1196" i="2"/>
  <c r="W1196" i="2"/>
  <c r="V1196" i="2"/>
  <c r="U1196" i="2"/>
  <c r="T1196" i="2"/>
  <c r="S1196" i="2"/>
  <c r="R1196" i="2"/>
  <c r="Q1196" i="2"/>
  <c r="P1196" i="2"/>
  <c r="O1196" i="2"/>
  <c r="N1196" i="2"/>
  <c r="M1196" i="2"/>
  <c r="L1196" i="2"/>
  <c r="K1196" i="2"/>
  <c r="J1196" i="2"/>
  <c r="I1196" i="2"/>
  <c r="H1196" i="2"/>
  <c r="G1196" i="2"/>
  <c r="F1196" i="2"/>
  <c r="E1196" i="2"/>
  <c r="D1196" i="2"/>
  <c r="C1196" i="2"/>
  <c r="B1196" i="2"/>
  <c r="A1196" i="2"/>
  <c r="AI1195" i="2"/>
  <c r="AH1195" i="2"/>
  <c r="AG1195" i="2"/>
  <c r="AF1195" i="2"/>
  <c r="AE1195" i="2"/>
  <c r="AD1195" i="2"/>
  <c r="AC1195" i="2"/>
  <c r="AB1195" i="2"/>
  <c r="AA1195" i="2"/>
  <c r="Z1195" i="2"/>
  <c r="Y1195" i="2"/>
  <c r="X1195" i="2"/>
  <c r="V1195" i="2"/>
  <c r="U1195" i="2"/>
  <c r="T1195" i="2"/>
  <c r="S1195" i="2"/>
  <c r="R1195" i="2"/>
  <c r="Q1195" i="2"/>
  <c r="P1195" i="2"/>
  <c r="O1195" i="2"/>
  <c r="N1195" i="2"/>
  <c r="M1195" i="2"/>
  <c r="L1195" i="2"/>
  <c r="K1195" i="2"/>
  <c r="J1195" i="2"/>
  <c r="I1195" i="2"/>
  <c r="H1195" i="2"/>
  <c r="G1195" i="2"/>
  <c r="F1195" i="2"/>
  <c r="E1195" i="2"/>
  <c r="D1195" i="2"/>
  <c r="C1195" i="2"/>
  <c r="B1195" i="2"/>
  <c r="A1195" i="2"/>
  <c r="AI1194" i="2"/>
  <c r="AH1194" i="2"/>
  <c r="AG1194" i="2"/>
  <c r="AF1194" i="2"/>
  <c r="AE1194" i="2"/>
  <c r="AD1194" i="2"/>
  <c r="AC1194" i="2"/>
  <c r="AB1194" i="2"/>
  <c r="AA1194" i="2"/>
  <c r="Z1194" i="2"/>
  <c r="Y1194" i="2"/>
  <c r="X1194" i="2"/>
  <c r="W1194" i="2"/>
  <c r="V1194" i="2"/>
  <c r="U1194" i="2"/>
  <c r="T1194" i="2"/>
  <c r="S1194" i="2"/>
  <c r="R1194" i="2"/>
  <c r="Q1194" i="2"/>
  <c r="P1194" i="2"/>
  <c r="O1194" i="2"/>
  <c r="N1194" i="2"/>
  <c r="M1194" i="2"/>
  <c r="L1194" i="2"/>
  <c r="K1194" i="2"/>
  <c r="J1194" i="2"/>
  <c r="I1194" i="2"/>
  <c r="H1194" i="2"/>
  <c r="G1194" i="2"/>
  <c r="F1194" i="2"/>
  <c r="E1194" i="2"/>
  <c r="D1194" i="2"/>
  <c r="C1194" i="2"/>
  <c r="B1194" i="2"/>
  <c r="A1194" i="2"/>
  <c r="AI1193" i="2"/>
  <c r="AH1193" i="2"/>
  <c r="AG1193" i="2"/>
  <c r="AF1193" i="2"/>
  <c r="AE1193" i="2"/>
  <c r="AD1193" i="2"/>
  <c r="AC1193" i="2"/>
  <c r="AB1193" i="2"/>
  <c r="AA1193" i="2"/>
  <c r="Z1193" i="2"/>
  <c r="Y1193" i="2"/>
  <c r="X1193" i="2"/>
  <c r="W1193" i="2"/>
  <c r="V1193" i="2"/>
  <c r="U1193" i="2"/>
  <c r="T1193" i="2"/>
  <c r="S1193" i="2"/>
  <c r="R1193" i="2"/>
  <c r="Q1193" i="2"/>
  <c r="P1193" i="2"/>
  <c r="O1193" i="2"/>
  <c r="N1193" i="2"/>
  <c r="M1193" i="2"/>
  <c r="L1193" i="2"/>
  <c r="K1193" i="2"/>
  <c r="J1193" i="2"/>
  <c r="I1193" i="2"/>
  <c r="H1193" i="2"/>
  <c r="G1193" i="2"/>
  <c r="F1193" i="2"/>
  <c r="E1193" i="2"/>
  <c r="D1193" i="2"/>
  <c r="C1193" i="2"/>
  <c r="B1193" i="2"/>
  <c r="A1193" i="2"/>
  <c r="AJ1192" i="2"/>
  <c r="AI1192" i="2"/>
  <c r="AH1192" i="2"/>
  <c r="AG1192" i="2"/>
  <c r="AF1192" i="2"/>
  <c r="AE1192" i="2"/>
  <c r="AD1192" i="2"/>
  <c r="AC1192" i="2"/>
  <c r="AB1192" i="2"/>
  <c r="AA1192" i="2"/>
  <c r="Z1192" i="2"/>
  <c r="Y1192" i="2"/>
  <c r="X1192" i="2"/>
  <c r="W1192" i="2"/>
  <c r="V1192" i="2"/>
  <c r="U1192" i="2"/>
  <c r="T1192" i="2"/>
  <c r="S1192" i="2"/>
  <c r="R1192" i="2"/>
  <c r="Q1192" i="2"/>
  <c r="P1192" i="2"/>
  <c r="O1192" i="2"/>
  <c r="N1192" i="2"/>
  <c r="M1192" i="2"/>
  <c r="L1192" i="2"/>
  <c r="K1192" i="2"/>
  <c r="J1192" i="2"/>
  <c r="I1192" i="2"/>
  <c r="H1192" i="2"/>
  <c r="G1192" i="2"/>
  <c r="F1192" i="2"/>
  <c r="E1192" i="2"/>
  <c r="D1192" i="2"/>
  <c r="C1192" i="2"/>
  <c r="B1192" i="2"/>
  <c r="A1192" i="2"/>
  <c r="AI1191" i="2"/>
  <c r="AH1191" i="2"/>
  <c r="AG1191" i="2"/>
  <c r="AF1191" i="2"/>
  <c r="AE1191" i="2"/>
  <c r="AD1191" i="2"/>
  <c r="AC1191" i="2"/>
  <c r="AB1191" i="2"/>
  <c r="AA1191" i="2"/>
  <c r="Z1191" i="2"/>
  <c r="Y1191" i="2"/>
  <c r="X1191" i="2"/>
  <c r="W1191" i="2"/>
  <c r="V1191" i="2"/>
  <c r="U1191" i="2"/>
  <c r="T1191" i="2"/>
  <c r="S1191" i="2"/>
  <c r="R1191" i="2"/>
  <c r="Q1191" i="2"/>
  <c r="P1191" i="2"/>
  <c r="O1191" i="2"/>
  <c r="N1191" i="2"/>
  <c r="M1191" i="2"/>
  <c r="L1191" i="2"/>
  <c r="K1191" i="2"/>
  <c r="J1191" i="2"/>
  <c r="I1191" i="2"/>
  <c r="H1191" i="2"/>
  <c r="G1191" i="2"/>
  <c r="F1191" i="2"/>
  <c r="E1191" i="2"/>
  <c r="D1191" i="2"/>
  <c r="C1191" i="2"/>
  <c r="B1191" i="2"/>
  <c r="A1191" i="2"/>
  <c r="AI1190" i="2"/>
  <c r="AH1190" i="2"/>
  <c r="AG1190" i="2"/>
  <c r="AF1190" i="2"/>
  <c r="AE1190" i="2"/>
  <c r="AD1190" i="2"/>
  <c r="AC1190" i="2"/>
  <c r="AB1190" i="2"/>
  <c r="AA1190" i="2"/>
  <c r="Z1190" i="2"/>
  <c r="Y1190" i="2"/>
  <c r="X1190" i="2"/>
  <c r="W1190" i="2"/>
  <c r="V1190" i="2"/>
  <c r="U1190" i="2"/>
  <c r="T1190" i="2"/>
  <c r="S1190" i="2"/>
  <c r="R1190" i="2"/>
  <c r="Q1190" i="2"/>
  <c r="P1190" i="2"/>
  <c r="O1190" i="2"/>
  <c r="N1190" i="2"/>
  <c r="M1190" i="2"/>
  <c r="L1190" i="2"/>
  <c r="K1190" i="2"/>
  <c r="J1190" i="2"/>
  <c r="I1190" i="2"/>
  <c r="H1190" i="2"/>
  <c r="G1190" i="2"/>
  <c r="F1190" i="2"/>
  <c r="E1190" i="2"/>
  <c r="D1190" i="2"/>
  <c r="C1190" i="2"/>
  <c r="B1190" i="2"/>
  <c r="A1190" i="2"/>
  <c r="AI1189" i="2"/>
  <c r="AH1189" i="2"/>
  <c r="AG1189" i="2"/>
  <c r="AF1189" i="2"/>
  <c r="AE1189" i="2"/>
  <c r="AD1189" i="2"/>
  <c r="AC1189" i="2"/>
  <c r="AB1189" i="2"/>
  <c r="AA1189" i="2"/>
  <c r="Z1189" i="2"/>
  <c r="Y1189" i="2"/>
  <c r="X1189" i="2"/>
  <c r="W1189" i="2"/>
  <c r="V1189" i="2"/>
  <c r="U1189" i="2"/>
  <c r="T1189" i="2"/>
  <c r="S1189" i="2"/>
  <c r="R1189" i="2"/>
  <c r="Q1189" i="2"/>
  <c r="P1189" i="2"/>
  <c r="O1189" i="2"/>
  <c r="N1189" i="2"/>
  <c r="M1189" i="2"/>
  <c r="L1189" i="2"/>
  <c r="K1189" i="2"/>
  <c r="J1189" i="2"/>
  <c r="I1189" i="2"/>
  <c r="H1189" i="2"/>
  <c r="G1189" i="2"/>
  <c r="F1189" i="2"/>
  <c r="E1189" i="2"/>
  <c r="D1189" i="2"/>
  <c r="C1189" i="2"/>
  <c r="B1189" i="2"/>
  <c r="A1189" i="2"/>
  <c r="AJ1188" i="2"/>
  <c r="AI1188" i="2"/>
  <c r="AH1188" i="2"/>
  <c r="AG1188" i="2"/>
  <c r="AF1188" i="2"/>
  <c r="AE1188" i="2"/>
  <c r="AD1188" i="2"/>
  <c r="AC1188" i="2"/>
  <c r="AB1188" i="2"/>
  <c r="AA1188" i="2"/>
  <c r="Z1188" i="2"/>
  <c r="Y1188" i="2"/>
  <c r="X1188" i="2"/>
  <c r="V1188" i="2"/>
  <c r="U1188" i="2"/>
  <c r="T1188" i="2"/>
  <c r="S1188" i="2"/>
  <c r="R1188" i="2"/>
  <c r="Q1188" i="2"/>
  <c r="P1188" i="2"/>
  <c r="O1188" i="2"/>
  <c r="N1188" i="2"/>
  <c r="K1188" i="2"/>
  <c r="J1188" i="2"/>
  <c r="I1188" i="2"/>
  <c r="H1188" i="2"/>
  <c r="G1188" i="2"/>
  <c r="F1188" i="2"/>
  <c r="E1188" i="2"/>
  <c r="D1188" i="2"/>
  <c r="C1188" i="2"/>
  <c r="B1188" i="2"/>
  <c r="A1188" i="2"/>
  <c r="AJ1187" i="2"/>
  <c r="AI1187" i="2"/>
  <c r="AH1187" i="2"/>
  <c r="AG1187" i="2"/>
  <c r="AF1187" i="2"/>
  <c r="AE1187" i="2"/>
  <c r="AD1187" i="2"/>
  <c r="AC1187" i="2"/>
  <c r="AB1187" i="2"/>
  <c r="AA1187" i="2"/>
  <c r="Z1187" i="2"/>
  <c r="Y1187" i="2"/>
  <c r="X1187" i="2"/>
  <c r="W1187" i="2"/>
  <c r="V1187" i="2"/>
  <c r="U1187" i="2"/>
  <c r="T1187" i="2"/>
  <c r="S1187" i="2"/>
  <c r="R1187" i="2"/>
  <c r="Q1187" i="2"/>
  <c r="P1187" i="2"/>
  <c r="O1187" i="2"/>
  <c r="N1187" i="2"/>
  <c r="M1187" i="2"/>
  <c r="L1187" i="2"/>
  <c r="K1187" i="2"/>
  <c r="J1187" i="2"/>
  <c r="I1187" i="2"/>
  <c r="H1187" i="2"/>
  <c r="G1187" i="2"/>
  <c r="F1187" i="2"/>
  <c r="E1187" i="2"/>
  <c r="D1187" i="2"/>
  <c r="C1187" i="2"/>
  <c r="B1187" i="2"/>
  <c r="A1187" i="2"/>
  <c r="AH1186" i="2"/>
  <c r="AG1186" i="2"/>
  <c r="AF1186" i="2"/>
  <c r="AE1186" i="2"/>
  <c r="AD1186" i="2"/>
  <c r="AC1186" i="2"/>
  <c r="AA1186" i="2"/>
  <c r="Z1186" i="2"/>
  <c r="Y1186" i="2"/>
  <c r="X1186" i="2"/>
  <c r="W1186" i="2"/>
  <c r="V1186" i="2"/>
  <c r="U1186" i="2"/>
  <c r="T1186" i="2"/>
  <c r="S1186" i="2"/>
  <c r="R1186" i="2"/>
  <c r="Q1186" i="2"/>
  <c r="P1186" i="2"/>
  <c r="O1186" i="2"/>
  <c r="N1186" i="2"/>
  <c r="M1186" i="2"/>
  <c r="L1186" i="2"/>
  <c r="K1186" i="2"/>
  <c r="J1186" i="2"/>
  <c r="I1186" i="2"/>
  <c r="H1186" i="2"/>
  <c r="G1186" i="2"/>
  <c r="F1186" i="2"/>
  <c r="E1186" i="2"/>
  <c r="D1186" i="2"/>
  <c r="C1186" i="2"/>
  <c r="B1186" i="2"/>
  <c r="A1186" i="2"/>
  <c r="AI1185" i="2"/>
  <c r="AH1185" i="2"/>
  <c r="AG1185" i="2"/>
  <c r="AF1185" i="2"/>
  <c r="AE1185" i="2"/>
  <c r="AD1185" i="2"/>
  <c r="AC1185" i="2"/>
  <c r="AB1185" i="2"/>
  <c r="AA1185" i="2"/>
  <c r="Z1185" i="2"/>
  <c r="Y1185" i="2"/>
  <c r="X1185" i="2"/>
  <c r="W1185" i="2"/>
  <c r="V1185" i="2"/>
  <c r="U1185" i="2"/>
  <c r="T1185" i="2"/>
  <c r="S1185" i="2"/>
  <c r="R1185" i="2"/>
  <c r="Q1185" i="2"/>
  <c r="P1185" i="2"/>
  <c r="O1185" i="2"/>
  <c r="N1185" i="2"/>
  <c r="K1185" i="2"/>
  <c r="J1185" i="2"/>
  <c r="I1185" i="2"/>
  <c r="H1185" i="2"/>
  <c r="G1185" i="2"/>
  <c r="F1185" i="2"/>
  <c r="E1185" i="2"/>
  <c r="D1185" i="2"/>
  <c r="C1185" i="2"/>
  <c r="B1185" i="2"/>
  <c r="A1185" i="2"/>
  <c r="AI1184" i="2"/>
  <c r="AH1184" i="2"/>
  <c r="AF1184" i="2"/>
  <c r="AE1184" i="2"/>
  <c r="AD1184" i="2"/>
  <c r="AC1184" i="2"/>
  <c r="AB1184" i="2"/>
  <c r="AA1184" i="2"/>
  <c r="Z1184" i="2"/>
  <c r="Y1184" i="2"/>
  <c r="X1184" i="2"/>
  <c r="W1184" i="2"/>
  <c r="V1184" i="2"/>
  <c r="U1184" i="2"/>
  <c r="T1184" i="2"/>
  <c r="S1184" i="2"/>
  <c r="R1184" i="2"/>
  <c r="Q1184" i="2"/>
  <c r="P1184" i="2"/>
  <c r="O1184" i="2"/>
  <c r="N1184" i="2"/>
  <c r="M1184" i="2"/>
  <c r="L1184" i="2"/>
  <c r="K1184" i="2"/>
  <c r="J1184" i="2"/>
  <c r="I1184" i="2"/>
  <c r="H1184" i="2"/>
  <c r="G1184" i="2"/>
  <c r="F1184" i="2"/>
  <c r="E1184" i="2"/>
  <c r="D1184" i="2"/>
  <c r="C1184" i="2"/>
  <c r="B1184" i="2"/>
  <c r="A1184" i="2"/>
  <c r="AJ1183" i="2"/>
  <c r="AI1183" i="2"/>
  <c r="AH1183" i="2"/>
  <c r="AG1183" i="2"/>
  <c r="AF1183" i="2"/>
  <c r="AE1183" i="2"/>
  <c r="AD1183" i="2"/>
  <c r="AC1183" i="2"/>
  <c r="AB1183" i="2"/>
  <c r="AA1183" i="2"/>
  <c r="Z1183" i="2"/>
  <c r="Y1183" i="2"/>
  <c r="X1183" i="2"/>
  <c r="W1183" i="2"/>
  <c r="V1183" i="2"/>
  <c r="U1183" i="2"/>
  <c r="T1183" i="2"/>
  <c r="S1183" i="2"/>
  <c r="R1183" i="2"/>
  <c r="Q1183" i="2"/>
  <c r="P1183" i="2"/>
  <c r="O1183" i="2"/>
  <c r="N1183" i="2"/>
  <c r="K1183" i="2"/>
  <c r="J1183" i="2"/>
  <c r="I1183" i="2"/>
  <c r="H1183" i="2"/>
  <c r="G1183" i="2"/>
  <c r="F1183" i="2"/>
  <c r="E1183" i="2"/>
  <c r="D1183" i="2"/>
  <c r="C1183" i="2"/>
  <c r="B1183" i="2"/>
  <c r="A1183" i="2"/>
  <c r="AI1182" i="2"/>
  <c r="AH1182" i="2"/>
  <c r="AG1182" i="2"/>
  <c r="AF1182" i="2"/>
  <c r="AE1182" i="2"/>
  <c r="AD1182" i="2"/>
  <c r="AC1182" i="2"/>
  <c r="AB1182" i="2"/>
  <c r="AA1182" i="2"/>
  <c r="Z1182" i="2"/>
  <c r="Y1182" i="2"/>
  <c r="V1182" i="2"/>
  <c r="U1182" i="2"/>
  <c r="T1182" i="2"/>
  <c r="S1182" i="2"/>
  <c r="R1182" i="2"/>
  <c r="Q1182" i="2"/>
  <c r="P1182" i="2"/>
  <c r="O1182" i="2"/>
  <c r="N1182" i="2"/>
  <c r="M1182" i="2"/>
  <c r="L1182" i="2"/>
  <c r="K1182" i="2"/>
  <c r="J1182" i="2"/>
  <c r="I1182" i="2"/>
  <c r="H1182" i="2"/>
  <c r="G1182" i="2"/>
  <c r="F1182" i="2"/>
  <c r="E1182" i="2"/>
  <c r="D1182" i="2"/>
  <c r="C1182" i="2"/>
  <c r="B1182" i="2"/>
  <c r="A1182" i="2"/>
  <c r="AI1181" i="2"/>
  <c r="AH1181" i="2"/>
  <c r="AG1181" i="2"/>
  <c r="AF1181" i="2"/>
  <c r="AE1181" i="2"/>
  <c r="AD1181" i="2"/>
  <c r="AC1181" i="2"/>
  <c r="AB1181" i="2"/>
  <c r="AA1181" i="2"/>
  <c r="Z1181" i="2"/>
  <c r="Y1181" i="2"/>
  <c r="V1181" i="2"/>
  <c r="U1181" i="2"/>
  <c r="T1181" i="2"/>
  <c r="S1181" i="2"/>
  <c r="R1181" i="2"/>
  <c r="Q1181" i="2"/>
  <c r="P1181" i="2"/>
  <c r="O1181" i="2"/>
  <c r="N1181" i="2"/>
  <c r="M1181" i="2"/>
  <c r="L1181" i="2"/>
  <c r="K1181" i="2"/>
  <c r="J1181" i="2"/>
  <c r="I1181" i="2"/>
  <c r="H1181" i="2"/>
  <c r="G1181" i="2"/>
  <c r="F1181" i="2"/>
  <c r="E1181" i="2"/>
  <c r="D1181" i="2"/>
  <c r="C1181" i="2"/>
  <c r="B1181" i="2"/>
  <c r="A1181" i="2"/>
  <c r="AI1180" i="2"/>
  <c r="AH1180" i="2"/>
  <c r="AG1180" i="2"/>
  <c r="AF1180" i="2"/>
  <c r="AE1180" i="2"/>
  <c r="AD1180" i="2"/>
  <c r="AC1180" i="2"/>
  <c r="AB1180" i="2"/>
  <c r="AA1180" i="2"/>
  <c r="Z1180" i="2"/>
  <c r="Y1180" i="2"/>
  <c r="X1180" i="2"/>
  <c r="W1180" i="2"/>
  <c r="V1180" i="2"/>
  <c r="U1180" i="2"/>
  <c r="T1180" i="2"/>
  <c r="S1180" i="2"/>
  <c r="R1180" i="2"/>
  <c r="Q1180" i="2"/>
  <c r="P1180" i="2"/>
  <c r="O1180" i="2"/>
  <c r="N1180" i="2"/>
  <c r="M1180" i="2"/>
  <c r="L1180" i="2"/>
  <c r="K1180" i="2"/>
  <c r="J1180" i="2"/>
  <c r="I1180" i="2"/>
  <c r="H1180" i="2"/>
  <c r="G1180" i="2"/>
  <c r="F1180" i="2"/>
  <c r="E1180" i="2"/>
  <c r="D1180" i="2"/>
  <c r="C1180" i="2"/>
  <c r="B1180" i="2"/>
  <c r="A1180" i="2"/>
  <c r="AI1179" i="2"/>
  <c r="AH1179" i="2"/>
  <c r="AG1179" i="2"/>
  <c r="AF1179" i="2"/>
  <c r="AE1179" i="2"/>
  <c r="AD1179" i="2"/>
  <c r="AC1179" i="2"/>
  <c r="AB1179" i="2"/>
  <c r="AA1179" i="2"/>
  <c r="Z1179" i="2"/>
  <c r="Y1179" i="2"/>
  <c r="X1179" i="2"/>
  <c r="W1179" i="2"/>
  <c r="V1179" i="2"/>
  <c r="U1179" i="2"/>
  <c r="T1179" i="2"/>
  <c r="S1179" i="2"/>
  <c r="R1179" i="2"/>
  <c r="Q1179" i="2"/>
  <c r="P1179" i="2"/>
  <c r="O1179" i="2"/>
  <c r="N1179" i="2"/>
  <c r="M1179" i="2"/>
  <c r="L1179" i="2"/>
  <c r="K1179" i="2"/>
  <c r="J1179" i="2"/>
  <c r="I1179" i="2"/>
  <c r="H1179" i="2"/>
  <c r="G1179" i="2"/>
  <c r="F1179" i="2"/>
  <c r="E1179" i="2"/>
  <c r="D1179" i="2"/>
  <c r="C1179" i="2"/>
  <c r="B1179" i="2"/>
  <c r="A1179" i="2"/>
  <c r="AI1178" i="2"/>
  <c r="AH1178" i="2"/>
  <c r="AG1178" i="2"/>
  <c r="AF1178" i="2"/>
  <c r="AE1178" i="2"/>
  <c r="AD1178" i="2"/>
  <c r="AC1178" i="2"/>
  <c r="AB1178" i="2"/>
  <c r="AA1178" i="2"/>
  <c r="Z1178" i="2"/>
  <c r="Y1178" i="2"/>
  <c r="X1178" i="2"/>
  <c r="W1178" i="2"/>
  <c r="V1178" i="2"/>
  <c r="U1178" i="2"/>
  <c r="T1178" i="2"/>
  <c r="S1178" i="2"/>
  <c r="R1178" i="2"/>
  <c r="Q1178" i="2"/>
  <c r="P1178" i="2"/>
  <c r="O1178" i="2"/>
  <c r="N1178" i="2"/>
  <c r="K1178" i="2"/>
  <c r="J1178" i="2"/>
  <c r="I1178" i="2"/>
  <c r="H1178" i="2"/>
  <c r="G1178" i="2"/>
  <c r="F1178" i="2"/>
  <c r="E1178" i="2"/>
  <c r="D1178" i="2"/>
  <c r="C1178" i="2"/>
  <c r="B1178" i="2"/>
  <c r="A1178" i="2"/>
  <c r="AI1177" i="2"/>
  <c r="AH1177" i="2"/>
  <c r="AG1177" i="2"/>
  <c r="AF1177" i="2"/>
  <c r="AE1177" i="2"/>
  <c r="AD1177" i="2"/>
  <c r="AC1177" i="2"/>
  <c r="AB1177" i="2"/>
  <c r="AA1177" i="2"/>
  <c r="Z1177" i="2"/>
  <c r="Y1177" i="2"/>
  <c r="X1177" i="2"/>
  <c r="W1177" i="2"/>
  <c r="V1177" i="2"/>
  <c r="U1177" i="2"/>
  <c r="T1177" i="2"/>
  <c r="S1177" i="2"/>
  <c r="R1177" i="2"/>
  <c r="Q1177" i="2"/>
  <c r="P1177" i="2"/>
  <c r="O1177" i="2"/>
  <c r="N1177" i="2"/>
  <c r="M1177" i="2"/>
  <c r="L1177" i="2"/>
  <c r="K1177" i="2"/>
  <c r="J1177" i="2"/>
  <c r="I1177" i="2"/>
  <c r="H1177" i="2"/>
  <c r="G1177" i="2"/>
  <c r="F1177" i="2"/>
  <c r="E1177" i="2"/>
  <c r="D1177" i="2"/>
  <c r="C1177" i="2"/>
  <c r="B1177" i="2"/>
  <c r="A1177" i="2"/>
  <c r="AF1176" i="2"/>
  <c r="AE1176" i="2"/>
  <c r="AD1176" i="2"/>
  <c r="AC1176" i="2"/>
  <c r="AA1176" i="2"/>
  <c r="Z1176" i="2"/>
  <c r="Y1176" i="2"/>
  <c r="V1176" i="2"/>
  <c r="U1176" i="2"/>
  <c r="T1176" i="2"/>
  <c r="S1176" i="2"/>
  <c r="R1176" i="2"/>
  <c r="Q1176" i="2"/>
  <c r="P1176" i="2"/>
  <c r="O1176" i="2"/>
  <c r="N1176" i="2"/>
  <c r="K1176" i="2"/>
  <c r="J1176" i="2"/>
  <c r="I1176" i="2"/>
  <c r="H1176" i="2"/>
  <c r="G1176" i="2"/>
  <c r="F1176" i="2"/>
  <c r="E1176" i="2"/>
  <c r="D1176" i="2"/>
  <c r="C1176" i="2"/>
  <c r="B1176" i="2"/>
  <c r="A1176" i="2"/>
  <c r="AJ1175" i="2"/>
  <c r="AI1175" i="2"/>
  <c r="AH1175" i="2"/>
  <c r="AG1175" i="2"/>
  <c r="AF1175" i="2"/>
  <c r="AE1175" i="2"/>
  <c r="AD1175" i="2"/>
  <c r="AC1175" i="2"/>
  <c r="AB1175" i="2"/>
  <c r="AA1175" i="2"/>
  <c r="Z1175" i="2"/>
  <c r="Y1175" i="2"/>
  <c r="X1175" i="2"/>
  <c r="W1175" i="2"/>
  <c r="V1175" i="2"/>
  <c r="U1175" i="2"/>
  <c r="T1175" i="2"/>
  <c r="S1175" i="2"/>
  <c r="R1175" i="2"/>
  <c r="Q1175" i="2"/>
  <c r="P1175" i="2"/>
  <c r="O1175" i="2"/>
  <c r="N1175" i="2"/>
  <c r="M1175" i="2"/>
  <c r="L1175" i="2"/>
  <c r="K1175" i="2"/>
  <c r="J1175" i="2"/>
  <c r="I1175" i="2"/>
  <c r="H1175" i="2"/>
  <c r="G1175" i="2"/>
  <c r="F1175" i="2"/>
  <c r="E1175" i="2"/>
  <c r="D1175" i="2"/>
  <c r="C1175" i="2"/>
  <c r="B1175" i="2"/>
  <c r="A1175" i="2"/>
  <c r="AI1174" i="2"/>
  <c r="AH1174" i="2"/>
  <c r="AG1174" i="2"/>
  <c r="AF1174" i="2"/>
  <c r="AE1174" i="2"/>
  <c r="AD1174" i="2"/>
  <c r="AC1174" i="2"/>
  <c r="AB1174" i="2"/>
  <c r="AA1174" i="2"/>
  <c r="Z1174" i="2"/>
  <c r="Y1174" i="2"/>
  <c r="X1174" i="2"/>
  <c r="W1174" i="2"/>
  <c r="V1174" i="2"/>
  <c r="U1174" i="2"/>
  <c r="T1174" i="2"/>
  <c r="S1174" i="2"/>
  <c r="R1174" i="2"/>
  <c r="Q1174" i="2"/>
  <c r="P1174" i="2"/>
  <c r="O1174" i="2"/>
  <c r="N1174" i="2"/>
  <c r="M1174" i="2"/>
  <c r="L1174" i="2"/>
  <c r="K1174" i="2"/>
  <c r="J1174" i="2"/>
  <c r="I1174" i="2"/>
  <c r="H1174" i="2"/>
  <c r="G1174" i="2"/>
  <c r="F1174" i="2"/>
  <c r="E1174" i="2"/>
  <c r="D1174" i="2"/>
  <c r="C1174" i="2"/>
  <c r="B1174" i="2"/>
  <c r="A1174" i="2"/>
  <c r="AI1173" i="2"/>
  <c r="AH1173" i="2"/>
  <c r="AG1173" i="2"/>
  <c r="AF1173" i="2"/>
  <c r="AE1173" i="2"/>
  <c r="AD1173" i="2"/>
  <c r="AC1173" i="2"/>
  <c r="AB1173" i="2"/>
  <c r="AA1173" i="2"/>
  <c r="Z1173" i="2"/>
  <c r="Y1173" i="2"/>
  <c r="X1173" i="2"/>
  <c r="W1173" i="2"/>
  <c r="V1173" i="2"/>
  <c r="U1173" i="2"/>
  <c r="T1173" i="2"/>
  <c r="S1173" i="2"/>
  <c r="Q1173" i="2"/>
  <c r="P1173" i="2"/>
  <c r="O1173" i="2"/>
  <c r="N1173" i="2"/>
  <c r="K1173" i="2"/>
  <c r="J1173" i="2"/>
  <c r="I1173" i="2"/>
  <c r="H1173" i="2"/>
  <c r="G1173" i="2"/>
  <c r="F1173" i="2"/>
  <c r="E1173" i="2"/>
  <c r="D1173" i="2"/>
  <c r="C1173" i="2"/>
  <c r="B1173" i="2"/>
  <c r="A1173" i="2"/>
  <c r="AI1172" i="2"/>
  <c r="AH1172" i="2"/>
  <c r="AG1172" i="2"/>
  <c r="AF1172" i="2"/>
  <c r="AE1172" i="2"/>
  <c r="AD1172" i="2"/>
  <c r="AC1172" i="2"/>
  <c r="AB1172" i="2"/>
  <c r="AA1172" i="2"/>
  <c r="Z1172" i="2"/>
  <c r="Y1172" i="2"/>
  <c r="X1172" i="2"/>
  <c r="W1172" i="2"/>
  <c r="V1172" i="2"/>
  <c r="U1172" i="2"/>
  <c r="T1172" i="2"/>
  <c r="S1172" i="2"/>
  <c r="R1172" i="2"/>
  <c r="Q1172" i="2"/>
  <c r="P1172" i="2"/>
  <c r="O1172" i="2"/>
  <c r="N1172" i="2"/>
  <c r="M1172" i="2"/>
  <c r="L1172" i="2"/>
  <c r="K1172" i="2"/>
  <c r="J1172" i="2"/>
  <c r="I1172" i="2"/>
  <c r="H1172" i="2"/>
  <c r="G1172" i="2"/>
  <c r="F1172" i="2"/>
  <c r="E1172" i="2"/>
  <c r="D1172" i="2"/>
  <c r="C1172" i="2"/>
  <c r="B1172" i="2"/>
  <c r="A1172" i="2"/>
  <c r="AI1171" i="2"/>
  <c r="AH1171" i="2"/>
  <c r="AG1171" i="2"/>
  <c r="AF1171" i="2"/>
  <c r="AE1171" i="2"/>
  <c r="AD1171" i="2"/>
  <c r="AC1171" i="2"/>
  <c r="AB1171" i="2"/>
  <c r="AA1171" i="2"/>
  <c r="Z1171" i="2"/>
  <c r="Y1171" i="2"/>
  <c r="X1171" i="2"/>
  <c r="W1171" i="2"/>
  <c r="V1171" i="2"/>
  <c r="U1171" i="2"/>
  <c r="T1171" i="2"/>
  <c r="S1171" i="2"/>
  <c r="R1171" i="2"/>
  <c r="Q1171" i="2"/>
  <c r="P1171" i="2"/>
  <c r="O1171" i="2"/>
  <c r="N1171" i="2"/>
  <c r="K1171" i="2"/>
  <c r="J1171" i="2"/>
  <c r="I1171" i="2"/>
  <c r="H1171" i="2"/>
  <c r="G1171" i="2"/>
  <c r="F1171" i="2"/>
  <c r="E1171" i="2"/>
  <c r="D1171" i="2"/>
  <c r="C1171" i="2"/>
  <c r="B1171" i="2"/>
  <c r="A1171" i="2"/>
  <c r="AI1170" i="2"/>
  <c r="AH1170" i="2"/>
  <c r="AG1170" i="2"/>
  <c r="AF1170" i="2"/>
  <c r="AE1170" i="2"/>
  <c r="AD1170" i="2"/>
  <c r="AC1170" i="2"/>
  <c r="AB1170" i="2"/>
  <c r="AA1170" i="2"/>
  <c r="Z1170" i="2"/>
  <c r="Y1170" i="2"/>
  <c r="X1170" i="2"/>
  <c r="W1170" i="2"/>
  <c r="V1170" i="2"/>
  <c r="U1170" i="2"/>
  <c r="T1170" i="2"/>
  <c r="S1170" i="2"/>
  <c r="R1170" i="2"/>
  <c r="Q1170" i="2"/>
  <c r="P1170" i="2"/>
  <c r="O1170" i="2"/>
  <c r="N1170" i="2"/>
  <c r="M1170" i="2"/>
  <c r="L1170" i="2"/>
  <c r="K1170" i="2"/>
  <c r="J1170" i="2"/>
  <c r="I1170" i="2"/>
  <c r="H1170" i="2"/>
  <c r="G1170" i="2"/>
  <c r="F1170" i="2"/>
  <c r="E1170" i="2"/>
  <c r="D1170" i="2"/>
  <c r="C1170" i="2"/>
  <c r="B1170" i="2"/>
  <c r="A1170" i="2"/>
  <c r="AI1169" i="2"/>
  <c r="AF1169" i="2"/>
  <c r="AE1169" i="2"/>
  <c r="AD1169" i="2"/>
  <c r="AC1169" i="2"/>
  <c r="AB1169" i="2"/>
  <c r="AA1169" i="2"/>
  <c r="Z1169" i="2"/>
  <c r="Y1169" i="2"/>
  <c r="X1169" i="2"/>
  <c r="W1169" i="2"/>
  <c r="V1169" i="2"/>
  <c r="U1169" i="2"/>
  <c r="T1169" i="2"/>
  <c r="S1169" i="2"/>
  <c r="R1169" i="2"/>
  <c r="Q1169" i="2"/>
  <c r="P1169" i="2"/>
  <c r="O1169" i="2"/>
  <c r="N1169" i="2"/>
  <c r="K1169" i="2"/>
  <c r="J1169" i="2"/>
  <c r="I1169" i="2"/>
  <c r="H1169" i="2"/>
  <c r="G1169" i="2"/>
  <c r="F1169" i="2"/>
  <c r="E1169" i="2"/>
  <c r="D1169" i="2"/>
  <c r="C1169" i="2"/>
  <c r="B1169" i="2"/>
  <c r="A1169" i="2"/>
  <c r="AI1168" i="2"/>
  <c r="AH1168" i="2"/>
  <c r="AG1168" i="2"/>
  <c r="AF1168" i="2"/>
  <c r="AE1168" i="2"/>
  <c r="AD1168" i="2"/>
  <c r="AC1168" i="2"/>
  <c r="AB1168" i="2"/>
  <c r="AA1168" i="2"/>
  <c r="Z1168" i="2"/>
  <c r="Y1168" i="2"/>
  <c r="X1168" i="2"/>
  <c r="W1168" i="2"/>
  <c r="V1168" i="2"/>
  <c r="U1168" i="2"/>
  <c r="T1168" i="2"/>
  <c r="S1168" i="2"/>
  <c r="R1168" i="2"/>
  <c r="Q1168" i="2"/>
  <c r="P1168" i="2"/>
  <c r="O1168" i="2"/>
  <c r="N1168" i="2"/>
  <c r="K1168" i="2"/>
  <c r="J1168" i="2"/>
  <c r="I1168" i="2"/>
  <c r="H1168" i="2"/>
  <c r="G1168" i="2"/>
  <c r="F1168" i="2"/>
  <c r="E1168" i="2"/>
  <c r="D1168" i="2"/>
  <c r="C1168" i="2"/>
  <c r="B1168" i="2"/>
  <c r="A1168" i="2"/>
  <c r="AI1167" i="2"/>
  <c r="AH1167" i="2"/>
  <c r="AF1167" i="2"/>
  <c r="AE1167" i="2"/>
  <c r="AD1167" i="2"/>
  <c r="AA1167" i="2"/>
  <c r="Z1167" i="2"/>
  <c r="Y1167" i="2"/>
  <c r="X1167" i="2"/>
  <c r="W1167" i="2"/>
  <c r="V1167" i="2"/>
  <c r="U1167" i="2"/>
  <c r="T1167" i="2"/>
  <c r="S1167" i="2"/>
  <c r="R1167" i="2"/>
  <c r="Q1167" i="2"/>
  <c r="P1167" i="2"/>
  <c r="O1167" i="2"/>
  <c r="N1167" i="2"/>
  <c r="K1167" i="2"/>
  <c r="J1167" i="2"/>
  <c r="I1167" i="2"/>
  <c r="H1167" i="2"/>
  <c r="G1167" i="2"/>
  <c r="F1167" i="2"/>
  <c r="E1167" i="2"/>
  <c r="D1167" i="2"/>
  <c r="C1167" i="2"/>
  <c r="B1167" i="2"/>
  <c r="A1167" i="2"/>
  <c r="AI1166" i="2"/>
  <c r="AH1166" i="2"/>
  <c r="AG1166" i="2"/>
  <c r="AF1166" i="2"/>
  <c r="AE1166" i="2"/>
  <c r="AD1166" i="2"/>
  <c r="AA1166" i="2"/>
  <c r="Z1166" i="2"/>
  <c r="Y1166" i="2"/>
  <c r="W1166" i="2"/>
  <c r="V1166" i="2"/>
  <c r="U1166" i="2"/>
  <c r="T1166" i="2"/>
  <c r="S1166" i="2"/>
  <c r="R1166" i="2"/>
  <c r="Q1166" i="2"/>
  <c r="P1166" i="2"/>
  <c r="O1166" i="2"/>
  <c r="N1166" i="2"/>
  <c r="M1166" i="2"/>
  <c r="L1166" i="2"/>
  <c r="K1166" i="2"/>
  <c r="J1166" i="2"/>
  <c r="I1166" i="2"/>
  <c r="H1166" i="2"/>
  <c r="G1166" i="2"/>
  <c r="F1166" i="2"/>
  <c r="E1166" i="2"/>
  <c r="D1166" i="2"/>
  <c r="C1166" i="2"/>
  <c r="B1166" i="2"/>
  <c r="A1166" i="2"/>
  <c r="AI1165" i="2"/>
  <c r="AH1165" i="2"/>
  <c r="AG1165" i="2"/>
  <c r="AF1165" i="2"/>
  <c r="AE1165" i="2"/>
  <c r="AD1165" i="2"/>
  <c r="AB1165" i="2"/>
  <c r="AA1165" i="2"/>
  <c r="Z1165" i="2"/>
  <c r="Y1165" i="2"/>
  <c r="X1165" i="2"/>
  <c r="W1165" i="2"/>
  <c r="V1165" i="2"/>
  <c r="U1165" i="2"/>
  <c r="T1165" i="2"/>
  <c r="S1165" i="2"/>
  <c r="R1165" i="2"/>
  <c r="Q1165" i="2"/>
  <c r="P1165" i="2"/>
  <c r="O1165" i="2"/>
  <c r="N1165" i="2"/>
  <c r="K1165" i="2"/>
  <c r="J1165" i="2"/>
  <c r="I1165" i="2"/>
  <c r="H1165" i="2"/>
  <c r="G1165" i="2"/>
  <c r="F1165" i="2"/>
  <c r="E1165" i="2"/>
  <c r="D1165" i="2"/>
  <c r="C1165" i="2"/>
  <c r="B1165" i="2"/>
  <c r="A1165" i="2"/>
  <c r="AJ1164" i="2"/>
  <c r="AI1164" i="2"/>
  <c r="AG1164" i="2"/>
  <c r="AF1164" i="2"/>
  <c r="AE1164" i="2"/>
  <c r="AD1164" i="2"/>
  <c r="AC1164" i="2"/>
  <c r="AB1164" i="2"/>
  <c r="AA1164" i="2"/>
  <c r="Z1164" i="2"/>
  <c r="Y1164" i="2"/>
  <c r="W1164" i="2"/>
  <c r="V1164" i="2"/>
  <c r="U1164" i="2"/>
  <c r="T1164" i="2"/>
  <c r="S1164" i="2"/>
  <c r="R1164" i="2"/>
  <c r="Q1164" i="2"/>
  <c r="P1164" i="2"/>
  <c r="O1164" i="2"/>
  <c r="N1164" i="2"/>
  <c r="M1164" i="2"/>
  <c r="L1164" i="2"/>
  <c r="K1164" i="2"/>
  <c r="J1164" i="2"/>
  <c r="I1164" i="2"/>
  <c r="H1164" i="2"/>
  <c r="G1164" i="2"/>
  <c r="F1164" i="2"/>
  <c r="E1164" i="2"/>
  <c r="D1164" i="2"/>
  <c r="C1164" i="2"/>
  <c r="B1164" i="2"/>
  <c r="A1164" i="2"/>
  <c r="AI1163" i="2"/>
  <c r="AH1163" i="2"/>
  <c r="AG1163" i="2"/>
  <c r="AF1163" i="2"/>
  <c r="AE1163" i="2"/>
  <c r="AD1163" i="2"/>
  <c r="AC1163" i="2"/>
  <c r="AB1163" i="2"/>
  <c r="AA1163" i="2"/>
  <c r="Z1163" i="2"/>
  <c r="Y1163" i="2"/>
  <c r="X1163" i="2"/>
  <c r="W1163" i="2"/>
  <c r="V1163" i="2"/>
  <c r="U1163" i="2"/>
  <c r="T1163" i="2"/>
  <c r="S1163" i="2"/>
  <c r="R1163" i="2"/>
  <c r="Q1163" i="2"/>
  <c r="P1163" i="2"/>
  <c r="O1163" i="2"/>
  <c r="N1163" i="2"/>
  <c r="K1163" i="2"/>
  <c r="J1163" i="2"/>
  <c r="I1163" i="2"/>
  <c r="H1163" i="2"/>
  <c r="G1163" i="2"/>
  <c r="F1163" i="2"/>
  <c r="E1163" i="2"/>
  <c r="D1163" i="2"/>
  <c r="C1163" i="2"/>
  <c r="B1163" i="2"/>
  <c r="A1163" i="2"/>
  <c r="AI1162" i="2"/>
  <c r="AH1162" i="2"/>
  <c r="AG1162" i="2"/>
  <c r="AF1162" i="2"/>
  <c r="AE1162" i="2"/>
  <c r="AD1162" i="2"/>
  <c r="AB1162" i="2"/>
  <c r="AA1162" i="2"/>
  <c r="Z1162" i="2"/>
  <c r="Y1162" i="2"/>
  <c r="X1162" i="2"/>
  <c r="W1162" i="2"/>
  <c r="V1162" i="2"/>
  <c r="U1162" i="2"/>
  <c r="T1162" i="2"/>
  <c r="S1162" i="2"/>
  <c r="R1162" i="2"/>
  <c r="Q1162" i="2"/>
  <c r="P1162" i="2"/>
  <c r="O1162" i="2"/>
  <c r="N1162" i="2"/>
  <c r="K1162" i="2"/>
  <c r="J1162" i="2"/>
  <c r="I1162" i="2"/>
  <c r="H1162" i="2"/>
  <c r="G1162" i="2"/>
  <c r="F1162" i="2"/>
  <c r="E1162" i="2"/>
  <c r="D1162" i="2"/>
  <c r="C1162" i="2"/>
  <c r="B1162" i="2"/>
  <c r="A1162" i="2"/>
  <c r="AI1161" i="2"/>
  <c r="AH1161" i="2"/>
  <c r="AG1161" i="2"/>
  <c r="AF1161" i="2"/>
  <c r="AE1161" i="2"/>
  <c r="AD1161" i="2"/>
  <c r="AC1161" i="2"/>
  <c r="AB1161" i="2"/>
  <c r="AA1161" i="2"/>
  <c r="Z1161" i="2"/>
  <c r="Y1161" i="2"/>
  <c r="X1161" i="2"/>
  <c r="W1161" i="2"/>
  <c r="V1161" i="2"/>
  <c r="U1161" i="2"/>
  <c r="T1161" i="2"/>
  <c r="S1161" i="2"/>
  <c r="R1161" i="2"/>
  <c r="Q1161" i="2"/>
  <c r="P1161" i="2"/>
  <c r="O1161" i="2"/>
  <c r="N1161" i="2"/>
  <c r="K1161" i="2"/>
  <c r="J1161" i="2"/>
  <c r="I1161" i="2"/>
  <c r="H1161" i="2"/>
  <c r="G1161" i="2"/>
  <c r="F1161" i="2"/>
  <c r="E1161" i="2"/>
  <c r="D1161" i="2"/>
  <c r="C1161" i="2"/>
  <c r="B1161" i="2"/>
  <c r="A1161" i="2"/>
  <c r="AI1160" i="2"/>
  <c r="AH1160" i="2"/>
  <c r="AG1160" i="2"/>
  <c r="AF1160" i="2"/>
  <c r="AE1160" i="2"/>
  <c r="AD1160" i="2"/>
  <c r="AC1160" i="2"/>
  <c r="AB1160" i="2"/>
  <c r="AA1160" i="2"/>
  <c r="Z1160" i="2"/>
  <c r="Y1160" i="2"/>
  <c r="V1160" i="2"/>
  <c r="U1160" i="2"/>
  <c r="T1160" i="2"/>
  <c r="S1160" i="2"/>
  <c r="R1160" i="2"/>
  <c r="Q1160" i="2"/>
  <c r="P1160" i="2"/>
  <c r="O1160" i="2"/>
  <c r="N1160" i="2"/>
  <c r="M1160" i="2"/>
  <c r="L1160" i="2"/>
  <c r="K1160" i="2"/>
  <c r="J1160" i="2"/>
  <c r="I1160" i="2"/>
  <c r="H1160" i="2"/>
  <c r="G1160" i="2"/>
  <c r="F1160" i="2"/>
  <c r="E1160" i="2"/>
  <c r="D1160" i="2"/>
  <c r="C1160" i="2"/>
  <c r="B1160" i="2"/>
  <c r="A1160" i="2"/>
  <c r="AI1159" i="2"/>
  <c r="AH1159" i="2"/>
  <c r="AG1159" i="2"/>
  <c r="AF1159" i="2"/>
  <c r="AE1159" i="2"/>
  <c r="AD1159" i="2"/>
  <c r="AC1159" i="2"/>
  <c r="AB1159" i="2"/>
  <c r="AA1159" i="2"/>
  <c r="Z1159" i="2"/>
  <c r="Y1159" i="2"/>
  <c r="X1159" i="2"/>
  <c r="W1159" i="2"/>
  <c r="V1159" i="2"/>
  <c r="U1159" i="2"/>
  <c r="T1159" i="2"/>
  <c r="S1159" i="2"/>
  <c r="R1159" i="2"/>
  <c r="Q1159" i="2"/>
  <c r="P1159" i="2"/>
  <c r="O1159" i="2"/>
  <c r="N1159" i="2"/>
  <c r="K1159" i="2"/>
  <c r="J1159" i="2"/>
  <c r="I1159" i="2"/>
  <c r="H1159" i="2"/>
  <c r="G1159" i="2"/>
  <c r="F1159" i="2"/>
  <c r="E1159" i="2"/>
  <c r="D1159" i="2"/>
  <c r="C1159" i="2"/>
  <c r="B1159" i="2"/>
  <c r="A1159" i="2"/>
  <c r="AI1158" i="2"/>
  <c r="AH1158" i="2"/>
  <c r="AG1158" i="2"/>
  <c r="AF1158" i="2"/>
  <c r="AE1158" i="2"/>
  <c r="AD1158" i="2"/>
  <c r="AC1158" i="2"/>
  <c r="AB1158" i="2"/>
  <c r="AA1158" i="2"/>
  <c r="Z1158" i="2"/>
  <c r="Y1158" i="2"/>
  <c r="X1158" i="2"/>
  <c r="W1158" i="2"/>
  <c r="V1158" i="2"/>
  <c r="U1158" i="2"/>
  <c r="T1158" i="2"/>
  <c r="S1158" i="2"/>
  <c r="R1158" i="2"/>
  <c r="Q1158" i="2"/>
  <c r="P1158" i="2"/>
  <c r="O1158" i="2"/>
  <c r="N1158" i="2"/>
  <c r="K1158" i="2"/>
  <c r="J1158" i="2"/>
  <c r="I1158" i="2"/>
  <c r="H1158" i="2"/>
  <c r="G1158" i="2"/>
  <c r="F1158" i="2"/>
  <c r="E1158" i="2"/>
  <c r="D1158" i="2"/>
  <c r="C1158" i="2"/>
  <c r="B1158" i="2"/>
  <c r="A1158" i="2"/>
  <c r="AI1157" i="2"/>
  <c r="AH1157" i="2"/>
  <c r="AG1157" i="2"/>
  <c r="AF1157" i="2"/>
  <c r="AE1157" i="2"/>
  <c r="AD1157" i="2"/>
  <c r="AC1157" i="2"/>
  <c r="AB1157" i="2"/>
  <c r="AA1157" i="2"/>
  <c r="Z1157" i="2"/>
  <c r="Y1157" i="2"/>
  <c r="X1157" i="2"/>
  <c r="W1157" i="2"/>
  <c r="V1157" i="2"/>
  <c r="U1157" i="2"/>
  <c r="T1157" i="2"/>
  <c r="S1157" i="2"/>
  <c r="R1157" i="2"/>
  <c r="Q1157" i="2"/>
  <c r="P1157" i="2"/>
  <c r="O1157" i="2"/>
  <c r="N1157" i="2"/>
  <c r="M1157" i="2"/>
  <c r="L1157" i="2"/>
  <c r="K1157" i="2"/>
  <c r="J1157" i="2"/>
  <c r="I1157" i="2"/>
  <c r="H1157" i="2"/>
  <c r="G1157" i="2"/>
  <c r="F1157" i="2"/>
  <c r="E1157" i="2"/>
  <c r="D1157" i="2"/>
  <c r="C1157" i="2"/>
  <c r="B1157" i="2"/>
  <c r="A1157" i="2"/>
  <c r="AJ1156" i="2"/>
  <c r="AI1156" i="2"/>
  <c r="AH1156" i="2"/>
  <c r="AF1156" i="2"/>
  <c r="AE1156" i="2"/>
  <c r="AD1156" i="2"/>
  <c r="AC1156" i="2"/>
  <c r="AB1156" i="2"/>
  <c r="AA1156" i="2"/>
  <c r="Z1156" i="2"/>
  <c r="Y1156" i="2"/>
  <c r="X1156" i="2"/>
  <c r="W1156" i="2"/>
  <c r="V1156" i="2"/>
  <c r="U1156" i="2"/>
  <c r="T1156" i="2"/>
  <c r="S1156" i="2"/>
  <c r="R1156" i="2"/>
  <c r="Q1156" i="2"/>
  <c r="P1156" i="2"/>
  <c r="O1156" i="2"/>
  <c r="N1156" i="2"/>
  <c r="K1156" i="2"/>
  <c r="J1156" i="2"/>
  <c r="I1156" i="2"/>
  <c r="H1156" i="2"/>
  <c r="G1156" i="2"/>
  <c r="F1156" i="2"/>
  <c r="E1156" i="2"/>
  <c r="D1156" i="2"/>
  <c r="C1156" i="2"/>
  <c r="B1156" i="2"/>
  <c r="A1156" i="2"/>
  <c r="AI1155" i="2"/>
  <c r="AH1155" i="2"/>
  <c r="AG1155" i="2"/>
  <c r="AF1155" i="2"/>
  <c r="AE1155" i="2"/>
  <c r="AD1155" i="2"/>
  <c r="AC1155" i="2"/>
  <c r="AB1155" i="2"/>
  <c r="AA1155" i="2"/>
  <c r="Z1155" i="2"/>
  <c r="Y1155" i="2"/>
  <c r="W1155" i="2"/>
  <c r="V1155" i="2"/>
  <c r="U1155" i="2"/>
  <c r="T1155" i="2"/>
  <c r="S1155" i="2"/>
  <c r="R1155" i="2"/>
  <c r="Q1155" i="2"/>
  <c r="P1155" i="2"/>
  <c r="O1155" i="2"/>
  <c r="N1155" i="2"/>
  <c r="M1155" i="2"/>
  <c r="L1155" i="2"/>
  <c r="K1155" i="2"/>
  <c r="J1155" i="2"/>
  <c r="I1155" i="2"/>
  <c r="H1155" i="2"/>
  <c r="G1155" i="2"/>
  <c r="F1155" i="2"/>
  <c r="E1155" i="2"/>
  <c r="D1155" i="2"/>
  <c r="C1155" i="2"/>
  <c r="B1155" i="2"/>
  <c r="A1155" i="2"/>
  <c r="AI1154" i="2"/>
  <c r="AH1154" i="2"/>
  <c r="AG1154" i="2"/>
  <c r="AF1154" i="2"/>
  <c r="AE1154" i="2"/>
  <c r="AD1154" i="2"/>
  <c r="AC1154" i="2"/>
  <c r="AB1154" i="2"/>
  <c r="AA1154" i="2"/>
  <c r="Z1154" i="2"/>
  <c r="Y1154" i="2"/>
  <c r="X1154" i="2"/>
  <c r="W1154" i="2"/>
  <c r="V1154" i="2"/>
  <c r="U1154" i="2"/>
  <c r="T1154" i="2"/>
  <c r="S1154" i="2"/>
  <c r="R1154" i="2"/>
  <c r="Q1154" i="2"/>
  <c r="P1154" i="2"/>
  <c r="O1154" i="2"/>
  <c r="N1154" i="2"/>
  <c r="M1154" i="2"/>
  <c r="L1154" i="2"/>
  <c r="K1154" i="2"/>
  <c r="J1154" i="2"/>
  <c r="I1154" i="2"/>
  <c r="H1154" i="2"/>
  <c r="G1154" i="2"/>
  <c r="F1154" i="2"/>
  <c r="E1154" i="2"/>
  <c r="D1154" i="2"/>
  <c r="C1154" i="2"/>
  <c r="B1154" i="2"/>
  <c r="A1154" i="2"/>
  <c r="AI1153" i="2"/>
  <c r="AH1153" i="2"/>
  <c r="AG1153" i="2"/>
  <c r="AF1153" i="2"/>
  <c r="AE1153" i="2"/>
  <c r="AD1153" i="2"/>
  <c r="AC1153" i="2"/>
  <c r="AB1153" i="2"/>
  <c r="AA1153" i="2"/>
  <c r="Z1153" i="2"/>
  <c r="Y1153" i="2"/>
  <c r="X1153" i="2"/>
  <c r="W1153" i="2"/>
  <c r="V1153" i="2"/>
  <c r="U1153" i="2"/>
  <c r="T1153" i="2"/>
  <c r="S1153" i="2"/>
  <c r="R1153" i="2"/>
  <c r="Q1153" i="2"/>
  <c r="P1153" i="2"/>
  <c r="O1153" i="2"/>
  <c r="N1153" i="2"/>
  <c r="M1153" i="2"/>
  <c r="L1153" i="2"/>
  <c r="K1153" i="2"/>
  <c r="J1153" i="2"/>
  <c r="I1153" i="2"/>
  <c r="H1153" i="2"/>
  <c r="G1153" i="2"/>
  <c r="F1153" i="2"/>
  <c r="E1153" i="2"/>
  <c r="D1153" i="2"/>
  <c r="C1153" i="2"/>
  <c r="B1153" i="2"/>
  <c r="A1153" i="2"/>
  <c r="AI1152" i="2"/>
  <c r="AH1152" i="2"/>
  <c r="AG1152" i="2"/>
  <c r="AF1152" i="2"/>
  <c r="AE1152" i="2"/>
  <c r="AD1152" i="2"/>
  <c r="AC1152" i="2"/>
  <c r="AB1152" i="2"/>
  <c r="AA1152" i="2"/>
  <c r="Z1152" i="2"/>
  <c r="Y1152" i="2"/>
  <c r="X1152" i="2"/>
  <c r="W1152" i="2"/>
  <c r="V1152" i="2"/>
  <c r="U1152" i="2"/>
  <c r="T1152" i="2"/>
  <c r="S1152" i="2"/>
  <c r="R1152" i="2"/>
  <c r="Q1152" i="2"/>
  <c r="P1152" i="2"/>
  <c r="O1152" i="2"/>
  <c r="N1152" i="2"/>
  <c r="M1152" i="2"/>
  <c r="L1152" i="2"/>
  <c r="K1152" i="2"/>
  <c r="J1152" i="2"/>
  <c r="I1152" i="2"/>
  <c r="H1152" i="2"/>
  <c r="G1152" i="2"/>
  <c r="F1152" i="2"/>
  <c r="E1152" i="2"/>
  <c r="D1152" i="2"/>
  <c r="C1152" i="2"/>
  <c r="B1152" i="2"/>
  <c r="A1152" i="2"/>
  <c r="AJ1151" i="2"/>
  <c r="AH1151" i="2"/>
  <c r="AG1151" i="2"/>
  <c r="AF1151" i="2"/>
  <c r="AE1151" i="2"/>
  <c r="AD1151" i="2"/>
  <c r="AC1151" i="2"/>
  <c r="AB1151" i="2"/>
  <c r="AA1151" i="2"/>
  <c r="Z1151" i="2"/>
  <c r="Y1151" i="2"/>
  <c r="X1151" i="2"/>
  <c r="W1151" i="2"/>
  <c r="V1151" i="2"/>
  <c r="U1151" i="2"/>
  <c r="T1151" i="2"/>
  <c r="S1151" i="2"/>
  <c r="R1151" i="2"/>
  <c r="Q1151" i="2"/>
  <c r="P1151" i="2"/>
  <c r="O1151" i="2"/>
  <c r="N1151" i="2"/>
  <c r="K1151" i="2"/>
  <c r="J1151" i="2"/>
  <c r="I1151" i="2"/>
  <c r="H1151" i="2"/>
  <c r="G1151" i="2"/>
  <c r="F1151" i="2"/>
  <c r="E1151" i="2"/>
  <c r="D1151" i="2"/>
  <c r="C1151" i="2"/>
  <c r="B1151" i="2"/>
  <c r="A1151" i="2"/>
  <c r="AJ1150" i="2"/>
  <c r="AI1150" i="2"/>
  <c r="AH1150" i="2"/>
  <c r="AG1150" i="2"/>
  <c r="AF1150" i="2"/>
  <c r="AE1150" i="2"/>
  <c r="AD1150" i="2"/>
  <c r="AC1150" i="2"/>
  <c r="AB1150" i="2"/>
  <c r="AA1150" i="2"/>
  <c r="Z1150" i="2"/>
  <c r="Y1150" i="2"/>
  <c r="X1150" i="2"/>
  <c r="W1150" i="2"/>
  <c r="V1150" i="2"/>
  <c r="U1150" i="2"/>
  <c r="T1150" i="2"/>
  <c r="S1150" i="2"/>
  <c r="R1150" i="2"/>
  <c r="Q1150" i="2"/>
  <c r="P1150" i="2"/>
  <c r="O1150" i="2"/>
  <c r="N1150" i="2"/>
  <c r="M1150" i="2"/>
  <c r="L1150" i="2"/>
  <c r="K1150" i="2"/>
  <c r="J1150" i="2"/>
  <c r="I1150" i="2"/>
  <c r="H1150" i="2"/>
  <c r="G1150" i="2"/>
  <c r="F1150" i="2"/>
  <c r="E1150" i="2"/>
  <c r="D1150" i="2"/>
  <c r="C1150" i="2"/>
  <c r="B1150" i="2"/>
  <c r="A1150" i="2"/>
  <c r="AI1149" i="2"/>
  <c r="AH1149" i="2"/>
  <c r="AG1149" i="2"/>
  <c r="AF1149" i="2"/>
  <c r="AE1149" i="2"/>
  <c r="AD1149" i="2"/>
  <c r="AC1149" i="2"/>
  <c r="AB1149" i="2"/>
  <c r="AA1149" i="2"/>
  <c r="Z1149" i="2"/>
  <c r="Y1149" i="2"/>
  <c r="W1149" i="2"/>
  <c r="V1149" i="2"/>
  <c r="U1149" i="2"/>
  <c r="T1149" i="2"/>
  <c r="S1149" i="2"/>
  <c r="R1149" i="2"/>
  <c r="Q1149" i="2"/>
  <c r="P1149" i="2"/>
  <c r="O1149" i="2"/>
  <c r="N1149" i="2"/>
  <c r="M1149" i="2"/>
  <c r="L1149" i="2"/>
  <c r="K1149" i="2"/>
  <c r="J1149" i="2"/>
  <c r="I1149" i="2"/>
  <c r="H1149" i="2"/>
  <c r="G1149" i="2"/>
  <c r="F1149" i="2"/>
  <c r="E1149" i="2"/>
  <c r="D1149" i="2"/>
  <c r="C1149" i="2"/>
  <c r="B1149" i="2"/>
  <c r="A1149" i="2"/>
  <c r="AI1148" i="2"/>
  <c r="AH1148" i="2"/>
  <c r="AG1148" i="2"/>
  <c r="AF1148" i="2"/>
  <c r="AE1148" i="2"/>
  <c r="AD1148" i="2"/>
  <c r="AC1148" i="2"/>
  <c r="AB1148" i="2"/>
  <c r="AA1148" i="2"/>
  <c r="Z1148" i="2"/>
  <c r="Y1148" i="2"/>
  <c r="V1148" i="2"/>
  <c r="U1148" i="2"/>
  <c r="T1148" i="2"/>
  <c r="S1148" i="2"/>
  <c r="R1148" i="2"/>
  <c r="Q1148" i="2"/>
  <c r="P1148" i="2"/>
  <c r="O1148" i="2"/>
  <c r="N1148" i="2"/>
  <c r="M1148" i="2"/>
  <c r="L1148" i="2"/>
  <c r="K1148" i="2"/>
  <c r="J1148" i="2"/>
  <c r="I1148" i="2"/>
  <c r="H1148" i="2"/>
  <c r="G1148" i="2"/>
  <c r="F1148" i="2"/>
  <c r="E1148" i="2"/>
  <c r="D1148" i="2"/>
  <c r="C1148" i="2"/>
  <c r="B1148" i="2"/>
  <c r="A1148" i="2"/>
  <c r="AF1147" i="2"/>
  <c r="AE1147" i="2"/>
  <c r="AD1147" i="2"/>
  <c r="AA1147" i="2"/>
  <c r="Z1147" i="2"/>
  <c r="Y1147" i="2"/>
  <c r="X1147" i="2"/>
  <c r="W1147" i="2"/>
  <c r="V1147" i="2"/>
  <c r="U1147" i="2"/>
  <c r="T1147" i="2"/>
  <c r="S1147" i="2"/>
  <c r="R1147" i="2"/>
  <c r="Q1147" i="2"/>
  <c r="P1147" i="2"/>
  <c r="O1147" i="2"/>
  <c r="N1147" i="2"/>
  <c r="K1147" i="2"/>
  <c r="J1147" i="2"/>
  <c r="I1147" i="2"/>
  <c r="H1147" i="2"/>
  <c r="G1147" i="2"/>
  <c r="F1147" i="2"/>
  <c r="E1147" i="2"/>
  <c r="D1147" i="2"/>
  <c r="C1147" i="2"/>
  <c r="B1147" i="2"/>
  <c r="A1147" i="2"/>
  <c r="AJ1146" i="2"/>
  <c r="AH1146" i="2"/>
  <c r="AG1146" i="2"/>
  <c r="AF1146" i="2"/>
  <c r="AE1146" i="2"/>
  <c r="AD1146" i="2"/>
  <c r="AB1146" i="2"/>
  <c r="AA1146" i="2"/>
  <c r="Z1146" i="2"/>
  <c r="Y1146" i="2"/>
  <c r="X1146" i="2"/>
  <c r="W1146" i="2"/>
  <c r="V1146" i="2"/>
  <c r="U1146" i="2"/>
  <c r="T1146" i="2"/>
  <c r="S1146" i="2"/>
  <c r="R1146" i="2"/>
  <c r="Q1146" i="2"/>
  <c r="P1146" i="2"/>
  <c r="O1146" i="2"/>
  <c r="N1146" i="2"/>
  <c r="K1146" i="2"/>
  <c r="J1146" i="2"/>
  <c r="I1146" i="2"/>
  <c r="H1146" i="2"/>
  <c r="G1146" i="2"/>
  <c r="F1146" i="2"/>
  <c r="E1146" i="2"/>
  <c r="D1146" i="2"/>
  <c r="C1146" i="2"/>
  <c r="B1146" i="2"/>
  <c r="A1146" i="2"/>
  <c r="AI1145" i="2"/>
  <c r="AH1145" i="2"/>
  <c r="AG1145" i="2"/>
  <c r="AF1145" i="2"/>
  <c r="AE1145" i="2"/>
  <c r="AD1145" i="2"/>
  <c r="AC1145" i="2"/>
  <c r="AB1145" i="2"/>
  <c r="AA1145" i="2"/>
  <c r="Z1145" i="2"/>
  <c r="Y1145" i="2"/>
  <c r="X1145" i="2"/>
  <c r="W1145" i="2"/>
  <c r="V1145" i="2"/>
  <c r="U1145" i="2"/>
  <c r="T1145" i="2"/>
  <c r="S1145" i="2"/>
  <c r="R1145" i="2"/>
  <c r="Q1145" i="2"/>
  <c r="P1145" i="2"/>
  <c r="O1145" i="2"/>
  <c r="N1145" i="2"/>
  <c r="M1145" i="2"/>
  <c r="L1145" i="2"/>
  <c r="K1145" i="2"/>
  <c r="J1145" i="2"/>
  <c r="I1145" i="2"/>
  <c r="H1145" i="2"/>
  <c r="G1145" i="2"/>
  <c r="F1145" i="2"/>
  <c r="E1145" i="2"/>
  <c r="D1145" i="2"/>
  <c r="C1145" i="2"/>
  <c r="B1145" i="2"/>
  <c r="A1145" i="2"/>
  <c r="AJ1144" i="2"/>
  <c r="AI1144" i="2"/>
  <c r="AH1144" i="2"/>
  <c r="AG1144" i="2"/>
  <c r="AF1144" i="2"/>
  <c r="AE1144" i="2"/>
  <c r="AD1144" i="2"/>
  <c r="AC1144" i="2"/>
  <c r="AB1144" i="2"/>
  <c r="AA1144" i="2"/>
  <c r="Z1144" i="2"/>
  <c r="Y1144" i="2"/>
  <c r="V1144" i="2"/>
  <c r="U1144" i="2"/>
  <c r="T1144" i="2"/>
  <c r="S1144" i="2"/>
  <c r="R1144" i="2"/>
  <c r="Q1144" i="2"/>
  <c r="P1144" i="2"/>
  <c r="O1144" i="2"/>
  <c r="N1144" i="2"/>
  <c r="M1144" i="2"/>
  <c r="L1144" i="2"/>
  <c r="K1144" i="2"/>
  <c r="J1144" i="2"/>
  <c r="I1144" i="2"/>
  <c r="H1144" i="2"/>
  <c r="G1144" i="2"/>
  <c r="F1144" i="2"/>
  <c r="E1144" i="2"/>
  <c r="D1144" i="2"/>
  <c r="C1144" i="2"/>
  <c r="B1144" i="2"/>
  <c r="A1144" i="2"/>
  <c r="AJ1143" i="2"/>
  <c r="AI1143" i="2"/>
  <c r="AH1143" i="2"/>
  <c r="AF1143" i="2"/>
  <c r="AE1143" i="2"/>
  <c r="AD1143" i="2"/>
  <c r="AC1143" i="2"/>
  <c r="AB1143" i="2"/>
  <c r="AA1143" i="2"/>
  <c r="Z1143" i="2"/>
  <c r="Y1143" i="2"/>
  <c r="X1143" i="2"/>
  <c r="V1143" i="2"/>
  <c r="U1143" i="2"/>
  <c r="T1143" i="2"/>
  <c r="S1143" i="2"/>
  <c r="R1143" i="2"/>
  <c r="Q1143" i="2"/>
  <c r="P1143" i="2"/>
  <c r="O1143" i="2"/>
  <c r="N1143" i="2"/>
  <c r="M1143" i="2"/>
  <c r="L1143" i="2"/>
  <c r="K1143" i="2"/>
  <c r="J1143" i="2"/>
  <c r="I1143" i="2"/>
  <c r="H1143" i="2"/>
  <c r="G1143" i="2"/>
  <c r="F1143" i="2"/>
  <c r="E1143" i="2"/>
  <c r="D1143" i="2"/>
  <c r="C1143" i="2"/>
  <c r="B1143" i="2"/>
  <c r="A1143" i="2"/>
  <c r="AJ1142" i="2"/>
  <c r="AI1142" i="2"/>
  <c r="AH1142" i="2"/>
  <c r="AG1142" i="2"/>
  <c r="AF1142" i="2"/>
  <c r="AE1142" i="2"/>
  <c r="AD1142" i="2"/>
  <c r="AC1142" i="2"/>
  <c r="AB1142" i="2"/>
  <c r="AA1142" i="2"/>
  <c r="Z1142" i="2"/>
  <c r="Y1142" i="2"/>
  <c r="X1142" i="2"/>
  <c r="V1142" i="2"/>
  <c r="U1142" i="2"/>
  <c r="T1142" i="2"/>
  <c r="S1142" i="2"/>
  <c r="R1142" i="2"/>
  <c r="Q1142" i="2"/>
  <c r="P1142" i="2"/>
  <c r="O1142" i="2"/>
  <c r="N1142" i="2"/>
  <c r="K1142" i="2"/>
  <c r="J1142" i="2"/>
  <c r="I1142" i="2"/>
  <c r="H1142" i="2"/>
  <c r="G1142" i="2"/>
  <c r="F1142" i="2"/>
  <c r="E1142" i="2"/>
  <c r="D1142" i="2"/>
  <c r="C1142" i="2"/>
  <c r="B1142" i="2"/>
  <c r="A1142" i="2"/>
  <c r="AJ1141" i="2"/>
  <c r="AI1141" i="2"/>
  <c r="AH1141" i="2"/>
  <c r="AG1141" i="2"/>
  <c r="AF1141" i="2"/>
  <c r="AE1141" i="2"/>
  <c r="AD1141" i="2"/>
  <c r="AC1141" i="2"/>
  <c r="AA1141" i="2"/>
  <c r="Z1141" i="2"/>
  <c r="Y1141" i="2"/>
  <c r="X1141" i="2"/>
  <c r="W1141" i="2"/>
  <c r="V1141" i="2"/>
  <c r="U1141" i="2"/>
  <c r="T1141" i="2"/>
  <c r="S1141" i="2"/>
  <c r="R1141" i="2"/>
  <c r="Q1141" i="2"/>
  <c r="P1141" i="2"/>
  <c r="O1141" i="2"/>
  <c r="N1141" i="2"/>
  <c r="K1141" i="2"/>
  <c r="J1141" i="2"/>
  <c r="I1141" i="2"/>
  <c r="H1141" i="2"/>
  <c r="G1141" i="2"/>
  <c r="F1141" i="2"/>
  <c r="E1141" i="2"/>
  <c r="D1141" i="2"/>
  <c r="C1141" i="2"/>
  <c r="B1141" i="2"/>
  <c r="A1141" i="2"/>
  <c r="AJ1140" i="2"/>
  <c r="AG1140" i="2"/>
  <c r="AF1140" i="2"/>
  <c r="AE1140" i="2"/>
  <c r="AD1140" i="2"/>
  <c r="AC1140" i="2"/>
  <c r="AB1140" i="2"/>
  <c r="AA1140" i="2"/>
  <c r="Z1140" i="2"/>
  <c r="Y1140" i="2"/>
  <c r="X1140" i="2"/>
  <c r="W1140" i="2"/>
  <c r="V1140" i="2"/>
  <c r="U1140" i="2"/>
  <c r="T1140" i="2"/>
  <c r="S1140" i="2"/>
  <c r="R1140" i="2"/>
  <c r="Q1140" i="2"/>
  <c r="P1140" i="2"/>
  <c r="O1140" i="2"/>
  <c r="N1140" i="2"/>
  <c r="M1140" i="2"/>
  <c r="L1140" i="2"/>
  <c r="K1140" i="2"/>
  <c r="J1140" i="2"/>
  <c r="I1140" i="2"/>
  <c r="H1140" i="2"/>
  <c r="G1140" i="2"/>
  <c r="F1140" i="2"/>
  <c r="E1140" i="2"/>
  <c r="D1140" i="2"/>
  <c r="C1140" i="2"/>
  <c r="B1140" i="2"/>
  <c r="A1140" i="2"/>
  <c r="AJ1139" i="2"/>
  <c r="AI1139" i="2"/>
  <c r="AH1139" i="2"/>
  <c r="AG1139" i="2"/>
  <c r="AF1139" i="2"/>
  <c r="AE1139" i="2"/>
  <c r="AD1139" i="2"/>
  <c r="AC1139" i="2"/>
  <c r="AB1139" i="2"/>
  <c r="AA1139" i="2"/>
  <c r="Z1139" i="2"/>
  <c r="Y1139" i="2"/>
  <c r="X1139" i="2"/>
  <c r="W1139" i="2"/>
  <c r="V1139" i="2"/>
  <c r="U1139" i="2"/>
  <c r="T1139" i="2"/>
  <c r="S1139" i="2"/>
  <c r="R1139" i="2"/>
  <c r="Q1139" i="2"/>
  <c r="P1139" i="2"/>
  <c r="O1139" i="2"/>
  <c r="N1139" i="2"/>
  <c r="M1139" i="2"/>
  <c r="L1139" i="2"/>
  <c r="K1139" i="2"/>
  <c r="J1139" i="2"/>
  <c r="I1139" i="2"/>
  <c r="H1139" i="2"/>
  <c r="G1139" i="2"/>
  <c r="F1139" i="2"/>
  <c r="E1139" i="2"/>
  <c r="D1139" i="2"/>
  <c r="C1139" i="2"/>
  <c r="B1139" i="2"/>
  <c r="A1139" i="2"/>
  <c r="AJ1138" i="2"/>
  <c r="AI1138" i="2"/>
  <c r="AH1138" i="2"/>
  <c r="AG1138" i="2"/>
  <c r="AF1138" i="2"/>
  <c r="AE1138" i="2"/>
  <c r="AD1138" i="2"/>
  <c r="AB1138" i="2"/>
  <c r="AA1138" i="2"/>
  <c r="Z1138" i="2"/>
  <c r="Y1138" i="2"/>
  <c r="X1138" i="2"/>
  <c r="W1138" i="2"/>
  <c r="V1138" i="2"/>
  <c r="U1138" i="2"/>
  <c r="T1138" i="2"/>
  <c r="S1138" i="2"/>
  <c r="R1138" i="2"/>
  <c r="Q1138" i="2"/>
  <c r="P1138" i="2"/>
  <c r="O1138" i="2"/>
  <c r="N1138" i="2"/>
  <c r="K1138" i="2"/>
  <c r="J1138" i="2"/>
  <c r="I1138" i="2"/>
  <c r="H1138" i="2"/>
  <c r="G1138" i="2"/>
  <c r="F1138" i="2"/>
  <c r="E1138" i="2"/>
  <c r="D1138" i="2"/>
  <c r="C1138" i="2"/>
  <c r="B1138" i="2"/>
  <c r="A1138" i="2"/>
  <c r="AJ1137" i="2"/>
  <c r="AI1137" i="2"/>
  <c r="AH1137" i="2"/>
  <c r="AG1137" i="2"/>
  <c r="AF1137" i="2"/>
  <c r="AE1137" i="2"/>
  <c r="AD1137" i="2"/>
  <c r="AC1137" i="2"/>
  <c r="AB1137" i="2"/>
  <c r="AA1137" i="2"/>
  <c r="Z1137" i="2"/>
  <c r="Y1137" i="2"/>
  <c r="X1137" i="2"/>
  <c r="W1137" i="2"/>
  <c r="V1137" i="2"/>
  <c r="U1137" i="2"/>
  <c r="T1137" i="2"/>
  <c r="S1137" i="2"/>
  <c r="R1137" i="2"/>
  <c r="Q1137" i="2"/>
  <c r="P1137" i="2"/>
  <c r="O1137" i="2"/>
  <c r="N1137" i="2"/>
  <c r="M1137" i="2"/>
  <c r="L1137" i="2"/>
  <c r="K1137" i="2"/>
  <c r="J1137" i="2"/>
  <c r="I1137" i="2"/>
  <c r="H1137" i="2"/>
  <c r="G1137" i="2"/>
  <c r="F1137" i="2"/>
  <c r="E1137" i="2"/>
  <c r="D1137" i="2"/>
  <c r="C1137" i="2"/>
  <c r="B1137" i="2"/>
  <c r="A1137" i="2"/>
  <c r="AJ1136" i="2"/>
  <c r="AI1136" i="2"/>
  <c r="AH1136" i="2"/>
  <c r="AG1136" i="2"/>
  <c r="AF1136" i="2"/>
  <c r="AE1136" i="2"/>
  <c r="AD1136" i="2"/>
  <c r="AA1136" i="2"/>
  <c r="Z1136" i="2"/>
  <c r="Y1136" i="2"/>
  <c r="X1136" i="2"/>
  <c r="W1136" i="2"/>
  <c r="V1136" i="2"/>
  <c r="U1136" i="2"/>
  <c r="T1136" i="2"/>
  <c r="S1136" i="2"/>
  <c r="R1136" i="2"/>
  <c r="Q1136" i="2"/>
  <c r="P1136" i="2"/>
  <c r="O1136" i="2"/>
  <c r="N1136" i="2"/>
  <c r="K1136" i="2"/>
  <c r="J1136" i="2"/>
  <c r="I1136" i="2"/>
  <c r="H1136" i="2"/>
  <c r="G1136" i="2"/>
  <c r="F1136" i="2"/>
  <c r="E1136" i="2"/>
  <c r="D1136" i="2"/>
  <c r="C1136" i="2"/>
  <c r="B1136" i="2"/>
  <c r="A1136" i="2"/>
  <c r="AJ1135" i="2"/>
  <c r="AI1135" i="2"/>
  <c r="AF1135" i="2"/>
  <c r="AE1135" i="2"/>
  <c r="AD1135" i="2"/>
  <c r="AC1135" i="2"/>
  <c r="AB1135" i="2"/>
  <c r="AA1135" i="2"/>
  <c r="Z1135" i="2"/>
  <c r="Y1135" i="2"/>
  <c r="X1135" i="2"/>
  <c r="W1135" i="2"/>
  <c r="V1135" i="2"/>
  <c r="U1135" i="2"/>
  <c r="T1135" i="2"/>
  <c r="S1135" i="2"/>
  <c r="R1135" i="2"/>
  <c r="Q1135" i="2"/>
  <c r="P1135" i="2"/>
  <c r="O1135" i="2"/>
  <c r="N1135" i="2"/>
  <c r="K1135" i="2"/>
  <c r="J1135" i="2"/>
  <c r="I1135" i="2"/>
  <c r="H1135" i="2"/>
  <c r="G1135" i="2"/>
  <c r="F1135" i="2"/>
  <c r="E1135" i="2"/>
  <c r="D1135" i="2"/>
  <c r="C1135" i="2"/>
  <c r="B1135" i="2"/>
  <c r="A1135" i="2"/>
  <c r="AJ1134" i="2"/>
  <c r="AI1134" i="2"/>
  <c r="AH1134" i="2"/>
  <c r="AG1134" i="2"/>
  <c r="AF1134" i="2"/>
  <c r="AE1134" i="2"/>
  <c r="AD1134" i="2"/>
  <c r="AC1134" i="2"/>
  <c r="AB1134" i="2"/>
  <c r="AA1134" i="2"/>
  <c r="Z1134" i="2"/>
  <c r="Y1134" i="2"/>
  <c r="X1134" i="2"/>
  <c r="W1134" i="2"/>
  <c r="V1134" i="2"/>
  <c r="U1134" i="2"/>
  <c r="T1134" i="2"/>
  <c r="S1134" i="2"/>
  <c r="R1134" i="2"/>
  <c r="Q1134" i="2"/>
  <c r="P1134" i="2"/>
  <c r="O1134" i="2"/>
  <c r="N1134" i="2"/>
  <c r="K1134" i="2"/>
  <c r="J1134" i="2"/>
  <c r="I1134" i="2"/>
  <c r="H1134" i="2"/>
  <c r="G1134" i="2"/>
  <c r="F1134" i="2"/>
  <c r="E1134" i="2"/>
  <c r="D1134" i="2"/>
  <c r="C1134" i="2"/>
  <c r="B1134" i="2"/>
  <c r="A1134" i="2"/>
  <c r="AJ1133" i="2"/>
  <c r="AI1133" i="2"/>
  <c r="AH1133" i="2"/>
  <c r="AG1133" i="2"/>
  <c r="AF1133" i="2"/>
  <c r="AE1133" i="2"/>
  <c r="AD1133" i="2"/>
  <c r="AC1133" i="2"/>
  <c r="AB1133" i="2"/>
  <c r="AA1133" i="2"/>
  <c r="Z1133" i="2"/>
  <c r="Y1133" i="2"/>
  <c r="X1133" i="2"/>
  <c r="W1133" i="2"/>
  <c r="V1133" i="2"/>
  <c r="U1133" i="2"/>
  <c r="T1133" i="2"/>
  <c r="S1133" i="2"/>
  <c r="R1133" i="2"/>
  <c r="Q1133" i="2"/>
  <c r="P1133" i="2"/>
  <c r="O1133" i="2"/>
  <c r="N1133" i="2"/>
  <c r="M1133" i="2"/>
  <c r="L1133" i="2"/>
  <c r="K1133" i="2"/>
  <c r="J1133" i="2"/>
  <c r="I1133" i="2"/>
  <c r="H1133" i="2"/>
  <c r="G1133" i="2"/>
  <c r="F1133" i="2"/>
  <c r="E1133" i="2"/>
  <c r="D1133" i="2"/>
  <c r="C1133" i="2"/>
  <c r="B1133" i="2"/>
  <c r="A1133" i="2"/>
  <c r="AJ1132" i="2"/>
  <c r="AH1132" i="2"/>
  <c r="AG1132" i="2"/>
  <c r="AF1132" i="2"/>
  <c r="AE1132" i="2"/>
  <c r="AD1132" i="2"/>
  <c r="AC1132" i="2"/>
  <c r="AB1132" i="2"/>
  <c r="AA1132" i="2"/>
  <c r="Z1132" i="2"/>
  <c r="Y1132" i="2"/>
  <c r="X1132" i="2"/>
  <c r="W1132" i="2"/>
  <c r="V1132" i="2"/>
  <c r="U1132" i="2"/>
  <c r="T1132" i="2"/>
  <c r="S1132" i="2"/>
  <c r="R1132" i="2"/>
  <c r="Q1132" i="2"/>
  <c r="P1132" i="2"/>
  <c r="O1132" i="2"/>
  <c r="N1132" i="2"/>
  <c r="K1132" i="2"/>
  <c r="J1132" i="2"/>
  <c r="I1132" i="2"/>
  <c r="H1132" i="2"/>
  <c r="G1132" i="2"/>
  <c r="F1132" i="2"/>
  <c r="E1132" i="2"/>
  <c r="D1132" i="2"/>
  <c r="C1132" i="2"/>
  <c r="B1132" i="2"/>
  <c r="A1132" i="2"/>
  <c r="AJ1131" i="2"/>
  <c r="AF1131" i="2"/>
  <c r="AE1131" i="2"/>
  <c r="AD1131" i="2"/>
  <c r="AA1131" i="2"/>
  <c r="Z1131" i="2"/>
  <c r="Y1131" i="2"/>
  <c r="W1131" i="2"/>
  <c r="V1131" i="2"/>
  <c r="U1131" i="2"/>
  <c r="T1131" i="2"/>
  <c r="S1131" i="2"/>
  <c r="R1131" i="2"/>
  <c r="Q1131" i="2"/>
  <c r="P1131" i="2"/>
  <c r="O1131" i="2"/>
  <c r="N1131" i="2"/>
  <c r="K1131" i="2"/>
  <c r="J1131" i="2"/>
  <c r="I1131" i="2"/>
  <c r="H1131" i="2"/>
  <c r="G1131" i="2"/>
  <c r="F1131" i="2"/>
  <c r="E1131" i="2"/>
  <c r="D1131" i="2"/>
  <c r="C1131" i="2"/>
  <c r="B1131" i="2"/>
  <c r="A1131" i="2"/>
  <c r="AJ1130" i="2"/>
  <c r="AF1130" i="2"/>
  <c r="AE1130" i="2"/>
  <c r="AD1130" i="2"/>
  <c r="AC1130" i="2"/>
  <c r="AB1130" i="2"/>
  <c r="AA1130" i="2"/>
  <c r="Z1130" i="2"/>
  <c r="Y1130" i="2"/>
  <c r="X1130" i="2"/>
  <c r="W1130" i="2"/>
  <c r="V1130" i="2"/>
  <c r="U1130" i="2"/>
  <c r="T1130" i="2"/>
  <c r="S1130" i="2"/>
  <c r="R1130" i="2"/>
  <c r="Q1130" i="2"/>
  <c r="P1130" i="2"/>
  <c r="O1130" i="2"/>
  <c r="N1130" i="2"/>
  <c r="K1130" i="2"/>
  <c r="J1130" i="2"/>
  <c r="I1130" i="2"/>
  <c r="H1130" i="2"/>
  <c r="G1130" i="2"/>
  <c r="F1130" i="2"/>
  <c r="E1130" i="2"/>
  <c r="D1130" i="2"/>
  <c r="C1130" i="2"/>
  <c r="B1130" i="2"/>
  <c r="A1130" i="2"/>
  <c r="AJ1129" i="2"/>
  <c r="AI1129" i="2"/>
  <c r="AF1129" i="2"/>
  <c r="AE1129" i="2"/>
  <c r="AD1129" i="2"/>
  <c r="AC1129" i="2"/>
  <c r="AB1129" i="2"/>
  <c r="AA1129" i="2"/>
  <c r="Z1129" i="2"/>
  <c r="Y1129" i="2"/>
  <c r="X1129" i="2"/>
  <c r="W1129" i="2"/>
  <c r="V1129" i="2"/>
  <c r="U1129" i="2"/>
  <c r="T1129" i="2"/>
  <c r="S1129" i="2"/>
  <c r="R1129" i="2"/>
  <c r="Q1129" i="2"/>
  <c r="P1129" i="2"/>
  <c r="O1129" i="2"/>
  <c r="N1129" i="2"/>
  <c r="K1129" i="2"/>
  <c r="J1129" i="2"/>
  <c r="I1129" i="2"/>
  <c r="H1129" i="2"/>
  <c r="G1129" i="2"/>
  <c r="F1129" i="2"/>
  <c r="E1129" i="2"/>
  <c r="D1129" i="2"/>
  <c r="C1129" i="2"/>
  <c r="B1129" i="2"/>
  <c r="A1129" i="2"/>
  <c r="AJ1128" i="2"/>
  <c r="AI1128" i="2"/>
  <c r="AH1128" i="2"/>
  <c r="AG1128" i="2"/>
  <c r="AF1128" i="2"/>
  <c r="AE1128" i="2"/>
  <c r="AD1128" i="2"/>
  <c r="AC1128" i="2"/>
  <c r="AB1128" i="2"/>
  <c r="AA1128" i="2"/>
  <c r="Z1128" i="2"/>
  <c r="Y1128" i="2"/>
  <c r="X1128" i="2"/>
  <c r="W1128" i="2"/>
  <c r="V1128" i="2"/>
  <c r="U1128" i="2"/>
  <c r="T1128" i="2"/>
  <c r="S1128" i="2"/>
  <c r="Q1128" i="2"/>
  <c r="P1128" i="2"/>
  <c r="O1128" i="2"/>
  <c r="N1128" i="2"/>
  <c r="M1128" i="2"/>
  <c r="L1128" i="2"/>
  <c r="K1128" i="2"/>
  <c r="J1128" i="2"/>
  <c r="I1128" i="2"/>
  <c r="H1128" i="2"/>
  <c r="G1128" i="2"/>
  <c r="F1128" i="2"/>
  <c r="E1128" i="2"/>
  <c r="D1128" i="2"/>
  <c r="C1128" i="2"/>
  <c r="B1128" i="2"/>
  <c r="A1128" i="2"/>
  <c r="AJ1127" i="2"/>
  <c r="AI1127" i="2"/>
  <c r="AF1127" i="2"/>
  <c r="AE1127" i="2"/>
  <c r="AD1127" i="2"/>
  <c r="AC1127" i="2"/>
  <c r="AB1127" i="2"/>
  <c r="AA1127" i="2"/>
  <c r="Z1127" i="2"/>
  <c r="Y1127" i="2"/>
  <c r="X1127" i="2"/>
  <c r="W1127" i="2"/>
  <c r="V1127" i="2"/>
  <c r="U1127" i="2"/>
  <c r="T1127" i="2"/>
  <c r="S1127" i="2"/>
  <c r="R1127" i="2"/>
  <c r="Q1127" i="2"/>
  <c r="P1127" i="2"/>
  <c r="O1127" i="2"/>
  <c r="N1127" i="2"/>
  <c r="K1127" i="2"/>
  <c r="J1127" i="2"/>
  <c r="I1127" i="2"/>
  <c r="H1127" i="2"/>
  <c r="G1127" i="2"/>
  <c r="F1127" i="2"/>
  <c r="E1127" i="2"/>
  <c r="D1127" i="2"/>
  <c r="C1127" i="2"/>
  <c r="B1127" i="2"/>
  <c r="A1127" i="2"/>
  <c r="AJ1126" i="2"/>
  <c r="AH1126" i="2"/>
  <c r="AG1126" i="2"/>
  <c r="AF1126" i="2"/>
  <c r="AE1126" i="2"/>
  <c r="AD1126" i="2"/>
  <c r="AC1126" i="2"/>
  <c r="AB1126" i="2"/>
  <c r="AA1126" i="2"/>
  <c r="Z1126" i="2"/>
  <c r="Y1126" i="2"/>
  <c r="X1126" i="2"/>
  <c r="V1126" i="2"/>
  <c r="U1126" i="2"/>
  <c r="T1126" i="2"/>
  <c r="S1126" i="2"/>
  <c r="R1126" i="2"/>
  <c r="Q1126" i="2"/>
  <c r="P1126" i="2"/>
  <c r="O1126" i="2"/>
  <c r="N1126" i="2"/>
  <c r="M1126" i="2"/>
  <c r="L1126" i="2"/>
  <c r="K1126" i="2"/>
  <c r="J1126" i="2"/>
  <c r="I1126" i="2"/>
  <c r="H1126" i="2"/>
  <c r="G1126" i="2"/>
  <c r="F1126" i="2"/>
  <c r="E1126" i="2"/>
  <c r="D1126" i="2"/>
  <c r="C1126" i="2"/>
  <c r="B1126" i="2"/>
  <c r="A1126" i="2"/>
  <c r="AJ1125" i="2"/>
  <c r="AI1125" i="2"/>
  <c r="AF1125" i="2"/>
  <c r="AE1125" i="2"/>
  <c r="AD1125" i="2"/>
  <c r="AA1125" i="2"/>
  <c r="Z1125" i="2"/>
  <c r="Y1125" i="2"/>
  <c r="X1125" i="2"/>
  <c r="W1125" i="2"/>
  <c r="V1125" i="2"/>
  <c r="U1125" i="2"/>
  <c r="T1125" i="2"/>
  <c r="S1125" i="2"/>
  <c r="R1125" i="2"/>
  <c r="Q1125" i="2"/>
  <c r="P1125" i="2"/>
  <c r="O1125" i="2"/>
  <c r="N1125" i="2"/>
  <c r="K1125" i="2"/>
  <c r="J1125" i="2"/>
  <c r="I1125" i="2"/>
  <c r="H1125" i="2"/>
  <c r="G1125" i="2"/>
  <c r="F1125" i="2"/>
  <c r="E1125" i="2"/>
  <c r="D1125" i="2"/>
  <c r="C1125" i="2"/>
  <c r="B1125" i="2"/>
  <c r="A1125" i="2"/>
  <c r="AJ1124" i="2"/>
  <c r="AI1124" i="2"/>
  <c r="AG1124" i="2"/>
  <c r="AF1124" i="2"/>
  <c r="AE1124" i="2"/>
  <c r="AD1124" i="2"/>
  <c r="AC1124" i="2"/>
  <c r="AB1124" i="2"/>
  <c r="AA1124" i="2"/>
  <c r="Z1124" i="2"/>
  <c r="Y1124" i="2"/>
  <c r="X1124" i="2"/>
  <c r="W1124" i="2"/>
  <c r="V1124" i="2"/>
  <c r="U1124" i="2"/>
  <c r="T1124" i="2"/>
  <c r="S1124" i="2"/>
  <c r="R1124" i="2"/>
  <c r="Q1124" i="2"/>
  <c r="P1124" i="2"/>
  <c r="O1124" i="2"/>
  <c r="N1124" i="2"/>
  <c r="K1124" i="2"/>
  <c r="J1124" i="2"/>
  <c r="I1124" i="2"/>
  <c r="H1124" i="2"/>
  <c r="G1124" i="2"/>
  <c r="F1124" i="2"/>
  <c r="E1124" i="2"/>
  <c r="D1124" i="2"/>
  <c r="C1124" i="2"/>
  <c r="B1124" i="2"/>
  <c r="A1124" i="2"/>
  <c r="AJ1123" i="2"/>
  <c r="AI1123" i="2"/>
  <c r="AH1123" i="2"/>
  <c r="AG1123" i="2"/>
  <c r="AF1123" i="2"/>
  <c r="AE1123" i="2"/>
  <c r="AD1123" i="2"/>
  <c r="AC1123" i="2"/>
  <c r="AB1123" i="2"/>
  <c r="AA1123" i="2"/>
  <c r="Z1123" i="2"/>
  <c r="Y1123" i="2"/>
  <c r="X1123" i="2"/>
  <c r="W1123" i="2"/>
  <c r="V1123" i="2"/>
  <c r="U1123" i="2"/>
  <c r="T1123" i="2"/>
  <c r="S1123" i="2"/>
  <c r="R1123" i="2"/>
  <c r="Q1123" i="2"/>
  <c r="P1123" i="2"/>
  <c r="O1123" i="2"/>
  <c r="N1123" i="2"/>
  <c r="M1123" i="2"/>
  <c r="K1123" i="2"/>
  <c r="J1123" i="2"/>
  <c r="I1123" i="2"/>
  <c r="H1123" i="2"/>
  <c r="G1123" i="2"/>
  <c r="F1123" i="2"/>
  <c r="E1123" i="2"/>
  <c r="D1123" i="2"/>
  <c r="C1123" i="2"/>
  <c r="B1123" i="2"/>
  <c r="A1123" i="2"/>
  <c r="AJ1122" i="2"/>
  <c r="AI1122" i="2"/>
  <c r="AH1122" i="2"/>
  <c r="AG1122" i="2"/>
  <c r="AF1122" i="2"/>
  <c r="AE1122" i="2"/>
  <c r="AD1122" i="2"/>
  <c r="AC1122" i="2"/>
  <c r="AB1122" i="2"/>
  <c r="AA1122" i="2"/>
  <c r="Z1122" i="2"/>
  <c r="Y1122" i="2"/>
  <c r="X1122" i="2"/>
  <c r="W1122" i="2"/>
  <c r="V1122" i="2"/>
  <c r="U1122" i="2"/>
  <c r="T1122" i="2"/>
  <c r="S1122" i="2"/>
  <c r="R1122" i="2"/>
  <c r="Q1122" i="2"/>
  <c r="P1122" i="2"/>
  <c r="O1122" i="2"/>
  <c r="N1122" i="2"/>
  <c r="K1122" i="2"/>
  <c r="J1122" i="2"/>
  <c r="I1122" i="2"/>
  <c r="H1122" i="2"/>
  <c r="G1122" i="2"/>
  <c r="F1122" i="2"/>
  <c r="E1122" i="2"/>
  <c r="D1122" i="2"/>
  <c r="C1122" i="2"/>
  <c r="B1122" i="2"/>
  <c r="A1122" i="2"/>
  <c r="AJ1121" i="2"/>
  <c r="AI1121" i="2"/>
  <c r="AH1121" i="2"/>
  <c r="AG1121" i="2"/>
  <c r="AF1121" i="2"/>
  <c r="AE1121" i="2"/>
  <c r="AD1121" i="2"/>
  <c r="AC1121" i="2"/>
  <c r="AA1121" i="2"/>
  <c r="Z1121" i="2"/>
  <c r="Y1121" i="2"/>
  <c r="X1121" i="2"/>
  <c r="W1121" i="2"/>
  <c r="V1121" i="2"/>
  <c r="U1121" i="2"/>
  <c r="T1121" i="2"/>
  <c r="S1121" i="2"/>
  <c r="R1121" i="2"/>
  <c r="Q1121" i="2"/>
  <c r="P1121" i="2"/>
  <c r="O1121" i="2"/>
  <c r="N1121" i="2"/>
  <c r="K1121" i="2"/>
  <c r="J1121" i="2"/>
  <c r="I1121" i="2"/>
  <c r="H1121" i="2"/>
  <c r="G1121" i="2"/>
  <c r="F1121" i="2"/>
  <c r="E1121" i="2"/>
  <c r="D1121" i="2"/>
  <c r="C1121" i="2"/>
  <c r="B1121" i="2"/>
  <c r="A1121" i="2"/>
  <c r="AJ1120" i="2"/>
  <c r="AI1120" i="2"/>
  <c r="AH1120" i="2"/>
  <c r="AG1120" i="2"/>
  <c r="AF1120" i="2"/>
  <c r="AE1120" i="2"/>
  <c r="AD1120" i="2"/>
  <c r="AC1120" i="2"/>
  <c r="AB1120" i="2"/>
  <c r="AA1120" i="2"/>
  <c r="Z1120" i="2"/>
  <c r="Y1120" i="2"/>
  <c r="X1120" i="2"/>
  <c r="W1120" i="2"/>
  <c r="V1120" i="2"/>
  <c r="U1120" i="2"/>
  <c r="T1120" i="2"/>
  <c r="S1120" i="2"/>
  <c r="R1120" i="2"/>
  <c r="Q1120" i="2"/>
  <c r="P1120" i="2"/>
  <c r="O1120" i="2"/>
  <c r="N1120" i="2"/>
  <c r="K1120" i="2"/>
  <c r="J1120" i="2"/>
  <c r="I1120" i="2"/>
  <c r="H1120" i="2"/>
  <c r="G1120" i="2"/>
  <c r="F1120" i="2"/>
  <c r="E1120" i="2"/>
  <c r="D1120" i="2"/>
  <c r="C1120" i="2"/>
  <c r="B1120" i="2"/>
  <c r="A1120" i="2"/>
  <c r="AJ1119" i="2"/>
  <c r="AI1119" i="2"/>
  <c r="AH1119" i="2"/>
  <c r="AG1119" i="2"/>
  <c r="AF1119" i="2"/>
  <c r="AE1119" i="2"/>
  <c r="AD1119" i="2"/>
  <c r="AB1119" i="2"/>
  <c r="AA1119" i="2"/>
  <c r="Z1119" i="2"/>
  <c r="Y1119" i="2"/>
  <c r="X1119" i="2"/>
  <c r="W1119" i="2"/>
  <c r="V1119" i="2"/>
  <c r="U1119" i="2"/>
  <c r="T1119" i="2"/>
  <c r="S1119" i="2"/>
  <c r="R1119" i="2"/>
  <c r="Q1119" i="2"/>
  <c r="P1119" i="2"/>
  <c r="O1119" i="2"/>
  <c r="N1119" i="2"/>
  <c r="K1119" i="2"/>
  <c r="J1119" i="2"/>
  <c r="I1119" i="2"/>
  <c r="H1119" i="2"/>
  <c r="G1119" i="2"/>
  <c r="F1119" i="2"/>
  <c r="E1119" i="2"/>
  <c r="D1119" i="2"/>
  <c r="C1119" i="2"/>
  <c r="B1119" i="2"/>
  <c r="A1119" i="2"/>
  <c r="AJ1118" i="2"/>
  <c r="AI1118" i="2"/>
  <c r="AH1118" i="2"/>
  <c r="AG1118" i="2"/>
  <c r="AF1118" i="2"/>
  <c r="AE1118" i="2"/>
  <c r="AD1118" i="2"/>
  <c r="AC1118" i="2"/>
  <c r="AB1118" i="2"/>
  <c r="AA1118" i="2"/>
  <c r="Z1118" i="2"/>
  <c r="Y1118" i="2"/>
  <c r="X1118" i="2"/>
  <c r="W1118" i="2"/>
  <c r="V1118" i="2"/>
  <c r="U1118" i="2"/>
  <c r="T1118" i="2"/>
  <c r="S1118" i="2"/>
  <c r="R1118" i="2"/>
  <c r="Q1118" i="2"/>
  <c r="P1118" i="2"/>
  <c r="O1118" i="2"/>
  <c r="N1118" i="2"/>
  <c r="K1118" i="2"/>
  <c r="J1118" i="2"/>
  <c r="I1118" i="2"/>
  <c r="H1118" i="2"/>
  <c r="G1118" i="2"/>
  <c r="F1118" i="2"/>
  <c r="E1118" i="2"/>
  <c r="D1118" i="2"/>
  <c r="C1118" i="2"/>
  <c r="B1118" i="2"/>
  <c r="A1118" i="2"/>
  <c r="AJ1117" i="2"/>
  <c r="AI1117" i="2"/>
  <c r="AH1117" i="2"/>
  <c r="AG1117" i="2"/>
  <c r="AF1117" i="2"/>
  <c r="AE1117" i="2"/>
  <c r="AD1117" i="2"/>
  <c r="AC1117" i="2"/>
  <c r="AB1117" i="2"/>
  <c r="AA1117" i="2"/>
  <c r="Z1117" i="2"/>
  <c r="Y1117" i="2"/>
  <c r="X1117" i="2"/>
  <c r="W1117" i="2"/>
  <c r="V1117" i="2"/>
  <c r="U1117" i="2"/>
  <c r="T1117" i="2"/>
  <c r="S1117" i="2"/>
  <c r="R1117" i="2"/>
  <c r="Q1117" i="2"/>
  <c r="P1117" i="2"/>
  <c r="O1117" i="2"/>
  <c r="N1117" i="2"/>
  <c r="K1117" i="2"/>
  <c r="J1117" i="2"/>
  <c r="I1117" i="2"/>
  <c r="H1117" i="2"/>
  <c r="G1117" i="2"/>
  <c r="F1117" i="2"/>
  <c r="E1117" i="2"/>
  <c r="D1117" i="2"/>
  <c r="C1117" i="2"/>
  <c r="B1117" i="2"/>
  <c r="A1117" i="2"/>
  <c r="AJ1116" i="2"/>
  <c r="AI1116" i="2"/>
  <c r="AH1116" i="2"/>
  <c r="AG1116" i="2"/>
  <c r="AF1116" i="2"/>
  <c r="AE1116" i="2"/>
  <c r="AD1116" i="2"/>
  <c r="AC1116" i="2"/>
  <c r="AB1116" i="2"/>
  <c r="AA1116" i="2"/>
  <c r="Z1116" i="2"/>
  <c r="Y1116" i="2"/>
  <c r="W1116" i="2"/>
  <c r="V1116" i="2"/>
  <c r="U1116" i="2"/>
  <c r="T1116" i="2"/>
  <c r="S1116" i="2"/>
  <c r="R1116" i="2"/>
  <c r="Q1116" i="2"/>
  <c r="P1116" i="2"/>
  <c r="O1116" i="2"/>
  <c r="N1116" i="2"/>
  <c r="K1116" i="2"/>
  <c r="J1116" i="2"/>
  <c r="I1116" i="2"/>
  <c r="H1116" i="2"/>
  <c r="G1116" i="2"/>
  <c r="F1116" i="2"/>
  <c r="E1116" i="2"/>
  <c r="D1116" i="2"/>
  <c r="C1116" i="2"/>
  <c r="B1116" i="2"/>
  <c r="A1116" i="2"/>
  <c r="AJ1115" i="2"/>
  <c r="AI1115" i="2"/>
  <c r="AH1115" i="2"/>
  <c r="AG1115" i="2"/>
  <c r="AF1115" i="2"/>
  <c r="AE1115" i="2"/>
  <c r="AD1115" i="2"/>
  <c r="AC1115" i="2"/>
  <c r="AB1115" i="2"/>
  <c r="AA1115" i="2"/>
  <c r="Z1115" i="2"/>
  <c r="Y1115" i="2"/>
  <c r="X1115" i="2"/>
  <c r="W1115" i="2"/>
  <c r="V1115" i="2"/>
  <c r="U1115" i="2"/>
  <c r="T1115" i="2"/>
  <c r="S1115" i="2"/>
  <c r="R1115" i="2"/>
  <c r="Q1115" i="2"/>
  <c r="P1115" i="2"/>
  <c r="O1115" i="2"/>
  <c r="N1115" i="2"/>
  <c r="M1115" i="2"/>
  <c r="L1115" i="2"/>
  <c r="K1115" i="2"/>
  <c r="J1115" i="2"/>
  <c r="I1115" i="2"/>
  <c r="H1115" i="2"/>
  <c r="G1115" i="2"/>
  <c r="F1115" i="2"/>
  <c r="E1115" i="2"/>
  <c r="D1115" i="2"/>
  <c r="C1115" i="2"/>
  <c r="B1115" i="2"/>
  <c r="A1115" i="2"/>
  <c r="AJ1114" i="2"/>
  <c r="AI1114" i="2"/>
  <c r="AH1114" i="2"/>
  <c r="AG1114" i="2"/>
  <c r="AF1114" i="2"/>
  <c r="AE1114" i="2"/>
  <c r="AD1114" i="2"/>
  <c r="AC1114" i="2"/>
  <c r="AA1114" i="2"/>
  <c r="Z1114" i="2"/>
  <c r="Y1114" i="2"/>
  <c r="X1114" i="2"/>
  <c r="W1114" i="2"/>
  <c r="V1114" i="2"/>
  <c r="U1114" i="2"/>
  <c r="T1114" i="2"/>
  <c r="S1114" i="2"/>
  <c r="R1114" i="2"/>
  <c r="Q1114" i="2"/>
  <c r="P1114" i="2"/>
  <c r="O1114" i="2"/>
  <c r="N1114" i="2"/>
  <c r="K1114" i="2"/>
  <c r="J1114" i="2"/>
  <c r="I1114" i="2"/>
  <c r="H1114" i="2"/>
  <c r="G1114" i="2"/>
  <c r="F1114" i="2"/>
  <c r="E1114" i="2"/>
  <c r="D1114" i="2"/>
  <c r="C1114" i="2"/>
  <c r="B1114" i="2"/>
  <c r="A1114" i="2"/>
  <c r="AJ1113" i="2"/>
  <c r="AH1113" i="2"/>
  <c r="AG1113" i="2"/>
  <c r="AF1113" i="2"/>
  <c r="AE1113" i="2"/>
  <c r="AD1113" i="2"/>
  <c r="AB1113" i="2"/>
  <c r="AA1113" i="2"/>
  <c r="Z1113" i="2"/>
  <c r="Y1113" i="2"/>
  <c r="X1113" i="2"/>
  <c r="W1113" i="2"/>
  <c r="V1113" i="2"/>
  <c r="U1113" i="2"/>
  <c r="T1113" i="2"/>
  <c r="S1113" i="2"/>
  <c r="R1113" i="2"/>
  <c r="Q1113" i="2"/>
  <c r="P1113" i="2"/>
  <c r="O1113" i="2"/>
  <c r="N1113" i="2"/>
  <c r="K1113" i="2"/>
  <c r="J1113" i="2"/>
  <c r="I1113" i="2"/>
  <c r="H1113" i="2"/>
  <c r="G1113" i="2"/>
  <c r="F1113" i="2"/>
  <c r="E1113" i="2"/>
  <c r="D1113" i="2"/>
  <c r="C1113" i="2"/>
  <c r="B1113" i="2"/>
  <c r="A1113" i="2"/>
  <c r="AJ1112" i="2"/>
  <c r="AI1112" i="2"/>
  <c r="AH1112" i="2"/>
  <c r="AG1112" i="2"/>
  <c r="AF1112" i="2"/>
  <c r="AE1112" i="2"/>
  <c r="AD1112" i="2"/>
  <c r="AC1112" i="2"/>
  <c r="AB1112" i="2"/>
  <c r="AA1112" i="2"/>
  <c r="Z1112" i="2"/>
  <c r="Y1112" i="2"/>
  <c r="X1112" i="2"/>
  <c r="W1112" i="2"/>
  <c r="V1112" i="2"/>
  <c r="U1112" i="2"/>
  <c r="T1112" i="2"/>
  <c r="S1112" i="2"/>
  <c r="R1112" i="2"/>
  <c r="Q1112" i="2"/>
  <c r="P1112" i="2"/>
  <c r="O1112" i="2"/>
  <c r="N1112" i="2"/>
  <c r="K1112" i="2"/>
  <c r="J1112" i="2"/>
  <c r="I1112" i="2"/>
  <c r="H1112" i="2"/>
  <c r="G1112" i="2"/>
  <c r="F1112" i="2"/>
  <c r="E1112" i="2"/>
  <c r="D1112" i="2"/>
  <c r="C1112" i="2"/>
  <c r="B1112" i="2"/>
  <c r="A1112" i="2"/>
  <c r="AJ1111" i="2"/>
  <c r="AI1111" i="2"/>
  <c r="AH1111" i="2"/>
  <c r="AG1111" i="2"/>
  <c r="AF1111" i="2"/>
  <c r="AE1111" i="2"/>
  <c r="AD1111" i="2"/>
  <c r="AC1111" i="2"/>
  <c r="AB1111" i="2"/>
  <c r="AA1111" i="2"/>
  <c r="Z1111" i="2"/>
  <c r="Y1111" i="2"/>
  <c r="X1111" i="2"/>
  <c r="W1111" i="2"/>
  <c r="V1111" i="2"/>
  <c r="U1111" i="2"/>
  <c r="T1111" i="2"/>
  <c r="S1111" i="2"/>
  <c r="R1111" i="2"/>
  <c r="Q1111" i="2"/>
  <c r="P1111" i="2"/>
  <c r="O1111" i="2"/>
  <c r="N1111" i="2"/>
  <c r="M1111" i="2"/>
  <c r="L1111" i="2"/>
  <c r="K1111" i="2"/>
  <c r="J1111" i="2"/>
  <c r="I1111" i="2"/>
  <c r="H1111" i="2"/>
  <c r="G1111" i="2"/>
  <c r="F1111" i="2"/>
  <c r="E1111" i="2"/>
  <c r="D1111" i="2"/>
  <c r="C1111" i="2"/>
  <c r="B1111" i="2"/>
  <c r="A1111" i="2"/>
  <c r="AJ1110" i="2"/>
  <c r="AI1110" i="2"/>
  <c r="AH1110" i="2"/>
  <c r="AG1110" i="2"/>
  <c r="AF1110" i="2"/>
  <c r="AE1110" i="2"/>
  <c r="AD1110" i="2"/>
  <c r="AC1110" i="2"/>
  <c r="AB1110" i="2"/>
  <c r="AA1110" i="2"/>
  <c r="Z1110" i="2"/>
  <c r="Y1110" i="2"/>
  <c r="X1110" i="2"/>
  <c r="W1110" i="2"/>
  <c r="V1110" i="2"/>
  <c r="U1110" i="2"/>
  <c r="T1110" i="2"/>
  <c r="S1110" i="2"/>
  <c r="R1110" i="2"/>
  <c r="Q1110" i="2"/>
  <c r="P1110" i="2"/>
  <c r="O1110" i="2"/>
  <c r="N1110" i="2"/>
  <c r="M1110" i="2"/>
  <c r="L1110" i="2"/>
  <c r="K1110" i="2"/>
  <c r="J1110" i="2"/>
  <c r="I1110" i="2"/>
  <c r="H1110" i="2"/>
  <c r="G1110" i="2"/>
  <c r="F1110" i="2"/>
  <c r="E1110" i="2"/>
  <c r="D1110" i="2"/>
  <c r="C1110" i="2"/>
  <c r="B1110" i="2"/>
  <c r="A1110" i="2"/>
  <c r="AJ1109" i="2"/>
  <c r="AH1109" i="2"/>
  <c r="AG1109" i="2"/>
  <c r="AF1109" i="2"/>
  <c r="AE1109" i="2"/>
  <c r="AD1109" i="2"/>
  <c r="AB1109" i="2"/>
  <c r="AA1109" i="2"/>
  <c r="Z1109" i="2"/>
  <c r="Y1109" i="2"/>
  <c r="X1109" i="2"/>
  <c r="W1109" i="2"/>
  <c r="V1109" i="2"/>
  <c r="U1109" i="2"/>
  <c r="T1109" i="2"/>
  <c r="S1109" i="2"/>
  <c r="R1109" i="2"/>
  <c r="Q1109" i="2"/>
  <c r="P1109" i="2"/>
  <c r="O1109" i="2"/>
  <c r="N1109" i="2"/>
  <c r="K1109" i="2"/>
  <c r="J1109" i="2"/>
  <c r="I1109" i="2"/>
  <c r="H1109" i="2"/>
  <c r="G1109" i="2"/>
  <c r="F1109" i="2"/>
  <c r="E1109" i="2"/>
  <c r="D1109" i="2"/>
  <c r="C1109" i="2"/>
  <c r="B1109" i="2"/>
  <c r="A1109" i="2"/>
  <c r="AJ1108" i="2"/>
  <c r="AI1108" i="2"/>
  <c r="AH1108" i="2"/>
  <c r="AG1108" i="2"/>
  <c r="AF1108" i="2"/>
  <c r="AE1108" i="2"/>
  <c r="AD1108" i="2"/>
  <c r="AC1108" i="2"/>
  <c r="AB1108" i="2"/>
  <c r="AA1108" i="2"/>
  <c r="Z1108" i="2"/>
  <c r="Y1108" i="2"/>
  <c r="U1108" i="2"/>
  <c r="T1108" i="2"/>
  <c r="S1108" i="2"/>
  <c r="R1108" i="2"/>
  <c r="Q1108" i="2"/>
  <c r="P1108" i="2"/>
  <c r="O1108" i="2"/>
  <c r="N1108" i="2"/>
  <c r="M1108" i="2"/>
  <c r="L1108" i="2"/>
  <c r="K1108" i="2"/>
  <c r="J1108" i="2"/>
  <c r="I1108" i="2"/>
  <c r="H1108" i="2"/>
  <c r="G1108" i="2"/>
  <c r="F1108" i="2"/>
  <c r="E1108" i="2"/>
  <c r="D1108" i="2"/>
  <c r="C1108" i="2"/>
  <c r="B1108" i="2"/>
  <c r="A1108" i="2"/>
  <c r="AJ1107" i="2"/>
  <c r="AI1107" i="2"/>
  <c r="AH1107" i="2"/>
  <c r="AG1107" i="2"/>
  <c r="AF1107" i="2"/>
  <c r="AE1107" i="2"/>
  <c r="AD1107" i="2"/>
  <c r="AC1107" i="2"/>
  <c r="AB1107" i="2"/>
  <c r="AA1107" i="2"/>
  <c r="Z1107" i="2"/>
  <c r="Y1107" i="2"/>
  <c r="X1107" i="2"/>
  <c r="W1107" i="2"/>
  <c r="V1107" i="2"/>
  <c r="U1107" i="2"/>
  <c r="T1107" i="2"/>
  <c r="S1107" i="2"/>
  <c r="R1107" i="2"/>
  <c r="Q1107" i="2"/>
  <c r="P1107" i="2"/>
  <c r="O1107" i="2"/>
  <c r="N1107" i="2"/>
  <c r="K1107" i="2"/>
  <c r="J1107" i="2"/>
  <c r="I1107" i="2"/>
  <c r="H1107" i="2"/>
  <c r="G1107" i="2"/>
  <c r="F1107" i="2"/>
  <c r="E1107" i="2"/>
  <c r="D1107" i="2"/>
  <c r="C1107" i="2"/>
  <c r="B1107" i="2"/>
  <c r="A1107" i="2"/>
  <c r="AJ1106" i="2"/>
  <c r="AH1106" i="2"/>
  <c r="AG1106" i="2"/>
  <c r="AF1106" i="2"/>
  <c r="AE1106" i="2"/>
  <c r="AD1106" i="2"/>
  <c r="AC1106" i="2"/>
  <c r="AA1106" i="2"/>
  <c r="Z1106" i="2"/>
  <c r="Y1106" i="2"/>
  <c r="X1106" i="2"/>
  <c r="W1106" i="2"/>
  <c r="V1106" i="2"/>
  <c r="U1106" i="2"/>
  <c r="T1106" i="2"/>
  <c r="S1106" i="2"/>
  <c r="R1106" i="2"/>
  <c r="Q1106" i="2"/>
  <c r="P1106" i="2"/>
  <c r="O1106" i="2"/>
  <c r="N1106" i="2"/>
  <c r="K1106" i="2"/>
  <c r="J1106" i="2"/>
  <c r="I1106" i="2"/>
  <c r="H1106" i="2"/>
  <c r="G1106" i="2"/>
  <c r="F1106" i="2"/>
  <c r="E1106" i="2"/>
  <c r="D1106" i="2"/>
  <c r="C1106" i="2"/>
  <c r="B1106" i="2"/>
  <c r="A1106" i="2"/>
  <c r="AJ1105" i="2"/>
  <c r="AH1105" i="2"/>
  <c r="AG1105" i="2"/>
  <c r="AF1105" i="2"/>
  <c r="AE1105" i="2"/>
  <c r="AD1105" i="2"/>
  <c r="AC1105" i="2"/>
  <c r="AA1105" i="2"/>
  <c r="Z1105" i="2"/>
  <c r="Y1105" i="2"/>
  <c r="X1105" i="2"/>
  <c r="W1105" i="2"/>
  <c r="V1105" i="2"/>
  <c r="U1105" i="2"/>
  <c r="T1105" i="2"/>
  <c r="S1105" i="2"/>
  <c r="R1105" i="2"/>
  <c r="Q1105" i="2"/>
  <c r="P1105" i="2"/>
  <c r="O1105" i="2"/>
  <c r="N1105" i="2"/>
  <c r="K1105" i="2"/>
  <c r="J1105" i="2"/>
  <c r="I1105" i="2"/>
  <c r="H1105" i="2"/>
  <c r="G1105" i="2"/>
  <c r="F1105" i="2"/>
  <c r="E1105" i="2"/>
  <c r="D1105" i="2"/>
  <c r="C1105" i="2"/>
  <c r="B1105" i="2"/>
  <c r="A1105" i="2"/>
  <c r="AJ1104" i="2"/>
  <c r="AI1104" i="2"/>
  <c r="AH1104" i="2"/>
  <c r="AG1104" i="2"/>
  <c r="AF1104" i="2"/>
  <c r="AE1104" i="2"/>
  <c r="AD1104" i="2"/>
  <c r="AB1104" i="2"/>
  <c r="AA1104" i="2"/>
  <c r="Z1104" i="2"/>
  <c r="Y1104" i="2"/>
  <c r="X1104" i="2"/>
  <c r="W1104" i="2"/>
  <c r="V1104" i="2"/>
  <c r="U1104" i="2"/>
  <c r="T1104" i="2"/>
  <c r="S1104" i="2"/>
  <c r="R1104" i="2"/>
  <c r="Q1104" i="2"/>
  <c r="P1104" i="2"/>
  <c r="O1104" i="2"/>
  <c r="N1104" i="2"/>
  <c r="M1104" i="2"/>
  <c r="L1104" i="2"/>
  <c r="K1104" i="2"/>
  <c r="J1104" i="2"/>
  <c r="I1104" i="2"/>
  <c r="H1104" i="2"/>
  <c r="G1104" i="2"/>
  <c r="F1104" i="2"/>
  <c r="E1104" i="2"/>
  <c r="D1104" i="2"/>
  <c r="C1104" i="2"/>
  <c r="B1104" i="2"/>
  <c r="A1104" i="2"/>
  <c r="AJ1103" i="2"/>
  <c r="AI1103" i="2"/>
  <c r="AH1103" i="2"/>
  <c r="AG1103" i="2"/>
  <c r="AF1103" i="2"/>
  <c r="AE1103" i="2"/>
  <c r="AD1103" i="2"/>
  <c r="AC1103" i="2"/>
  <c r="AB1103" i="2"/>
  <c r="AA1103" i="2"/>
  <c r="Z1103" i="2"/>
  <c r="Y1103" i="2"/>
  <c r="X1103" i="2"/>
  <c r="W1103" i="2"/>
  <c r="V1103" i="2"/>
  <c r="U1103" i="2"/>
  <c r="T1103" i="2"/>
  <c r="S1103" i="2"/>
  <c r="R1103" i="2"/>
  <c r="Q1103" i="2"/>
  <c r="P1103" i="2"/>
  <c r="O1103" i="2"/>
  <c r="N1103" i="2"/>
  <c r="M1103" i="2"/>
  <c r="L1103" i="2"/>
  <c r="K1103" i="2"/>
  <c r="J1103" i="2"/>
  <c r="I1103" i="2"/>
  <c r="H1103" i="2"/>
  <c r="G1103" i="2"/>
  <c r="F1103" i="2"/>
  <c r="E1103" i="2"/>
  <c r="D1103" i="2"/>
  <c r="C1103" i="2"/>
  <c r="B1103" i="2"/>
  <c r="A1103" i="2"/>
  <c r="AJ1102" i="2"/>
  <c r="AI1102" i="2"/>
  <c r="AH1102" i="2"/>
  <c r="AG1102" i="2"/>
  <c r="AF1102" i="2"/>
  <c r="AE1102" i="2"/>
  <c r="AD1102" i="2"/>
  <c r="AC1102" i="2"/>
  <c r="AB1102" i="2"/>
  <c r="AA1102" i="2"/>
  <c r="Z1102" i="2"/>
  <c r="Y1102" i="2"/>
  <c r="X1102" i="2"/>
  <c r="V1102" i="2"/>
  <c r="U1102" i="2"/>
  <c r="T1102" i="2"/>
  <c r="S1102" i="2"/>
  <c r="R1102" i="2"/>
  <c r="Q1102" i="2"/>
  <c r="P1102" i="2"/>
  <c r="O1102" i="2"/>
  <c r="N1102" i="2"/>
  <c r="K1102" i="2"/>
  <c r="J1102" i="2"/>
  <c r="I1102" i="2"/>
  <c r="H1102" i="2"/>
  <c r="G1102" i="2"/>
  <c r="F1102" i="2"/>
  <c r="E1102" i="2"/>
  <c r="D1102" i="2"/>
  <c r="C1102" i="2"/>
  <c r="B1102" i="2"/>
  <c r="A1102" i="2"/>
  <c r="AJ1101" i="2"/>
  <c r="AI1101" i="2"/>
  <c r="AH1101" i="2"/>
  <c r="AG1101" i="2"/>
  <c r="AF1101" i="2"/>
  <c r="AE1101" i="2"/>
  <c r="AD1101" i="2"/>
  <c r="AB1101" i="2"/>
  <c r="AA1101" i="2"/>
  <c r="Z1101" i="2"/>
  <c r="Y1101" i="2"/>
  <c r="X1101" i="2"/>
  <c r="W1101" i="2"/>
  <c r="V1101" i="2"/>
  <c r="U1101" i="2"/>
  <c r="T1101" i="2"/>
  <c r="S1101" i="2"/>
  <c r="R1101" i="2"/>
  <c r="Q1101" i="2"/>
  <c r="P1101" i="2"/>
  <c r="O1101" i="2"/>
  <c r="N1101" i="2"/>
  <c r="M1101" i="2"/>
  <c r="L1101" i="2"/>
  <c r="K1101" i="2"/>
  <c r="J1101" i="2"/>
  <c r="I1101" i="2"/>
  <c r="H1101" i="2"/>
  <c r="G1101" i="2"/>
  <c r="F1101" i="2"/>
  <c r="E1101" i="2"/>
  <c r="D1101" i="2"/>
  <c r="C1101" i="2"/>
  <c r="B1101" i="2"/>
  <c r="A1101" i="2"/>
  <c r="AJ1100" i="2"/>
  <c r="AI1100" i="2"/>
  <c r="AH1100" i="2"/>
  <c r="AG1100" i="2"/>
  <c r="AF1100" i="2"/>
  <c r="AE1100" i="2"/>
  <c r="AD1100" i="2"/>
  <c r="AC1100" i="2"/>
  <c r="AB1100" i="2"/>
  <c r="AA1100" i="2"/>
  <c r="Z1100" i="2"/>
  <c r="Y1100" i="2"/>
  <c r="X1100" i="2"/>
  <c r="W1100" i="2"/>
  <c r="V1100" i="2"/>
  <c r="U1100" i="2"/>
  <c r="T1100" i="2"/>
  <c r="S1100" i="2"/>
  <c r="R1100" i="2"/>
  <c r="Q1100" i="2"/>
  <c r="P1100" i="2"/>
  <c r="O1100" i="2"/>
  <c r="N1100" i="2"/>
  <c r="M1100" i="2"/>
  <c r="L1100" i="2"/>
  <c r="K1100" i="2"/>
  <c r="J1100" i="2"/>
  <c r="I1100" i="2"/>
  <c r="H1100" i="2"/>
  <c r="G1100" i="2"/>
  <c r="F1100" i="2"/>
  <c r="E1100" i="2"/>
  <c r="D1100" i="2"/>
  <c r="C1100" i="2"/>
  <c r="B1100" i="2"/>
  <c r="A1100" i="2"/>
  <c r="AJ1099" i="2"/>
  <c r="AI1099" i="2"/>
  <c r="AH1099" i="2"/>
  <c r="AG1099" i="2"/>
  <c r="AF1099" i="2"/>
  <c r="AE1099" i="2"/>
  <c r="AD1099" i="2"/>
  <c r="AC1099" i="2"/>
  <c r="AB1099" i="2"/>
  <c r="AA1099" i="2"/>
  <c r="Z1099" i="2"/>
  <c r="Y1099" i="2"/>
  <c r="X1099" i="2"/>
  <c r="V1099" i="2"/>
  <c r="U1099" i="2"/>
  <c r="T1099" i="2"/>
  <c r="S1099" i="2"/>
  <c r="R1099" i="2"/>
  <c r="Q1099" i="2"/>
  <c r="P1099" i="2"/>
  <c r="O1099" i="2"/>
  <c r="N1099" i="2"/>
  <c r="M1099" i="2"/>
  <c r="L1099" i="2"/>
  <c r="K1099" i="2"/>
  <c r="J1099" i="2"/>
  <c r="I1099" i="2"/>
  <c r="H1099" i="2"/>
  <c r="G1099" i="2"/>
  <c r="F1099" i="2"/>
  <c r="E1099" i="2"/>
  <c r="D1099" i="2"/>
  <c r="C1099" i="2"/>
  <c r="B1099" i="2"/>
  <c r="A1099" i="2"/>
  <c r="AJ1098" i="2"/>
  <c r="AI1098" i="2"/>
  <c r="AH1098" i="2"/>
  <c r="AG1098" i="2"/>
  <c r="AF1098" i="2"/>
  <c r="AE1098" i="2"/>
  <c r="AD1098" i="2"/>
  <c r="AC1098" i="2"/>
  <c r="AB1098" i="2"/>
  <c r="AA1098" i="2"/>
  <c r="Z1098" i="2"/>
  <c r="Y1098" i="2"/>
  <c r="X1098" i="2"/>
  <c r="W1098" i="2"/>
  <c r="V1098" i="2"/>
  <c r="U1098" i="2"/>
  <c r="T1098" i="2"/>
  <c r="S1098" i="2"/>
  <c r="R1098" i="2"/>
  <c r="Q1098" i="2"/>
  <c r="P1098" i="2"/>
  <c r="O1098" i="2"/>
  <c r="N1098" i="2"/>
  <c r="M1098" i="2"/>
  <c r="L1098" i="2"/>
  <c r="K1098" i="2"/>
  <c r="J1098" i="2"/>
  <c r="I1098" i="2"/>
  <c r="H1098" i="2"/>
  <c r="G1098" i="2"/>
  <c r="F1098" i="2"/>
  <c r="E1098" i="2"/>
  <c r="D1098" i="2"/>
  <c r="C1098" i="2"/>
  <c r="B1098" i="2"/>
  <c r="A1098" i="2"/>
  <c r="AJ1097" i="2"/>
  <c r="AI1097" i="2"/>
  <c r="AH1097" i="2"/>
  <c r="AG1097" i="2"/>
  <c r="AF1097" i="2"/>
  <c r="AE1097" i="2"/>
  <c r="AD1097" i="2"/>
  <c r="AC1097" i="2"/>
  <c r="AB1097" i="2"/>
  <c r="AA1097" i="2"/>
  <c r="Z1097" i="2"/>
  <c r="Y1097" i="2"/>
  <c r="X1097" i="2"/>
  <c r="W1097" i="2"/>
  <c r="V1097" i="2"/>
  <c r="U1097" i="2"/>
  <c r="T1097" i="2"/>
  <c r="S1097" i="2"/>
  <c r="R1097" i="2"/>
  <c r="Q1097" i="2"/>
  <c r="P1097" i="2"/>
  <c r="O1097" i="2"/>
  <c r="N1097" i="2"/>
  <c r="K1097" i="2"/>
  <c r="J1097" i="2"/>
  <c r="I1097" i="2"/>
  <c r="H1097" i="2"/>
  <c r="G1097" i="2"/>
  <c r="F1097" i="2"/>
  <c r="E1097" i="2"/>
  <c r="D1097" i="2"/>
  <c r="C1097" i="2"/>
  <c r="B1097" i="2"/>
  <c r="A1097" i="2"/>
  <c r="AJ1096" i="2"/>
  <c r="AI1096" i="2"/>
  <c r="AH1096" i="2"/>
  <c r="AF1096" i="2"/>
  <c r="AE1096" i="2"/>
  <c r="AD1096" i="2"/>
  <c r="AB1096" i="2"/>
  <c r="AA1096" i="2"/>
  <c r="Z1096" i="2"/>
  <c r="Y1096" i="2"/>
  <c r="X1096" i="2"/>
  <c r="W1096" i="2"/>
  <c r="V1096" i="2"/>
  <c r="U1096" i="2"/>
  <c r="T1096" i="2"/>
  <c r="S1096" i="2"/>
  <c r="R1096" i="2"/>
  <c r="Q1096" i="2"/>
  <c r="P1096" i="2"/>
  <c r="O1096" i="2"/>
  <c r="N1096" i="2"/>
  <c r="M1096" i="2"/>
  <c r="L1096" i="2"/>
  <c r="K1096" i="2"/>
  <c r="J1096" i="2"/>
  <c r="I1096" i="2"/>
  <c r="H1096" i="2"/>
  <c r="G1096" i="2"/>
  <c r="F1096" i="2"/>
  <c r="E1096" i="2"/>
  <c r="D1096" i="2"/>
  <c r="C1096" i="2"/>
  <c r="B1096" i="2"/>
  <c r="A1096" i="2"/>
  <c r="AJ1095" i="2"/>
  <c r="AI1095" i="2"/>
  <c r="AH1095" i="2"/>
  <c r="AG1095" i="2"/>
  <c r="AF1095" i="2"/>
  <c r="AE1095" i="2"/>
  <c r="AD1095" i="2"/>
  <c r="AC1095" i="2"/>
  <c r="AB1095" i="2"/>
  <c r="AA1095" i="2"/>
  <c r="Z1095" i="2"/>
  <c r="Y1095" i="2"/>
  <c r="X1095" i="2"/>
  <c r="W1095" i="2"/>
  <c r="V1095" i="2"/>
  <c r="U1095" i="2"/>
  <c r="T1095" i="2"/>
  <c r="S1095" i="2"/>
  <c r="R1095" i="2"/>
  <c r="Q1095" i="2"/>
  <c r="P1095" i="2"/>
  <c r="O1095" i="2"/>
  <c r="N1095" i="2"/>
  <c r="K1095" i="2"/>
  <c r="J1095" i="2"/>
  <c r="I1095" i="2"/>
  <c r="H1095" i="2"/>
  <c r="G1095" i="2"/>
  <c r="F1095" i="2"/>
  <c r="E1095" i="2"/>
  <c r="D1095" i="2"/>
  <c r="C1095" i="2"/>
  <c r="B1095" i="2"/>
  <c r="A1095" i="2"/>
  <c r="AJ1094" i="2"/>
  <c r="AI1094" i="2"/>
  <c r="AH1094" i="2"/>
  <c r="AG1094" i="2"/>
  <c r="AF1094" i="2"/>
  <c r="AE1094" i="2"/>
  <c r="AD1094" i="2"/>
  <c r="AB1094" i="2"/>
  <c r="AA1094" i="2"/>
  <c r="Z1094" i="2"/>
  <c r="Y1094" i="2"/>
  <c r="W1094" i="2"/>
  <c r="V1094" i="2"/>
  <c r="U1094" i="2"/>
  <c r="T1094" i="2"/>
  <c r="S1094" i="2"/>
  <c r="R1094" i="2"/>
  <c r="Q1094" i="2"/>
  <c r="P1094" i="2"/>
  <c r="O1094" i="2"/>
  <c r="N1094" i="2"/>
  <c r="M1094" i="2"/>
  <c r="L1094" i="2"/>
  <c r="K1094" i="2"/>
  <c r="J1094" i="2"/>
  <c r="I1094" i="2"/>
  <c r="H1094" i="2"/>
  <c r="G1094" i="2"/>
  <c r="F1094" i="2"/>
  <c r="E1094" i="2"/>
  <c r="D1094" i="2"/>
  <c r="C1094" i="2"/>
  <c r="B1094" i="2"/>
  <c r="A1094" i="2"/>
  <c r="AJ1093" i="2"/>
  <c r="AI1093" i="2"/>
  <c r="AH1093" i="2"/>
  <c r="AG1093" i="2"/>
  <c r="AF1093" i="2"/>
  <c r="AE1093" i="2"/>
  <c r="AD1093" i="2"/>
  <c r="AC1093" i="2"/>
  <c r="AB1093" i="2"/>
  <c r="AA1093" i="2"/>
  <c r="Z1093" i="2"/>
  <c r="Y1093" i="2"/>
  <c r="X1093" i="2"/>
  <c r="W1093" i="2"/>
  <c r="V1093" i="2"/>
  <c r="U1093" i="2"/>
  <c r="T1093" i="2"/>
  <c r="S1093" i="2"/>
  <c r="R1093" i="2"/>
  <c r="Q1093" i="2"/>
  <c r="P1093" i="2"/>
  <c r="O1093" i="2"/>
  <c r="N1093" i="2"/>
  <c r="M1093" i="2"/>
  <c r="L1093" i="2"/>
  <c r="K1093" i="2"/>
  <c r="J1093" i="2"/>
  <c r="I1093" i="2"/>
  <c r="H1093" i="2"/>
  <c r="G1093" i="2"/>
  <c r="F1093" i="2"/>
  <c r="E1093" i="2"/>
  <c r="D1093" i="2"/>
  <c r="C1093" i="2"/>
  <c r="B1093" i="2"/>
  <c r="A1093" i="2"/>
  <c r="AJ1092" i="2"/>
  <c r="AI1092" i="2"/>
  <c r="AH1092" i="2"/>
  <c r="AG1092" i="2"/>
  <c r="AF1092" i="2"/>
  <c r="AE1092" i="2"/>
  <c r="AD1092" i="2"/>
  <c r="AC1092" i="2"/>
  <c r="AB1092" i="2"/>
  <c r="AA1092" i="2"/>
  <c r="Z1092" i="2"/>
  <c r="Y1092" i="2"/>
  <c r="X1092" i="2"/>
  <c r="W1092" i="2"/>
  <c r="V1092" i="2"/>
  <c r="U1092" i="2"/>
  <c r="T1092" i="2"/>
  <c r="S1092" i="2"/>
  <c r="R1092" i="2"/>
  <c r="Q1092" i="2"/>
  <c r="P1092" i="2"/>
  <c r="O1092" i="2"/>
  <c r="N1092" i="2"/>
  <c r="M1092" i="2"/>
  <c r="L1092" i="2"/>
  <c r="K1092" i="2"/>
  <c r="J1092" i="2"/>
  <c r="I1092" i="2"/>
  <c r="H1092" i="2"/>
  <c r="G1092" i="2"/>
  <c r="F1092" i="2"/>
  <c r="E1092" i="2"/>
  <c r="D1092" i="2"/>
  <c r="C1092" i="2"/>
  <c r="B1092" i="2"/>
  <c r="A1092" i="2"/>
  <c r="AJ1091" i="2"/>
  <c r="AI1091" i="2"/>
  <c r="AH1091" i="2"/>
  <c r="AG1091" i="2"/>
  <c r="AF1091" i="2"/>
  <c r="AE1091" i="2"/>
  <c r="AD1091" i="2"/>
  <c r="AC1091" i="2"/>
  <c r="AB1091" i="2"/>
  <c r="AA1091" i="2"/>
  <c r="Z1091" i="2"/>
  <c r="Y1091" i="2"/>
  <c r="X1091" i="2"/>
  <c r="W1091" i="2"/>
  <c r="V1091" i="2"/>
  <c r="U1091" i="2"/>
  <c r="T1091" i="2"/>
  <c r="S1091" i="2"/>
  <c r="R1091" i="2"/>
  <c r="Q1091" i="2"/>
  <c r="P1091" i="2"/>
  <c r="O1091" i="2"/>
  <c r="N1091" i="2"/>
  <c r="K1091" i="2"/>
  <c r="J1091" i="2"/>
  <c r="I1091" i="2"/>
  <c r="H1091" i="2"/>
  <c r="G1091" i="2"/>
  <c r="F1091" i="2"/>
  <c r="E1091" i="2"/>
  <c r="D1091" i="2"/>
  <c r="C1091" i="2"/>
  <c r="B1091" i="2"/>
  <c r="A1091" i="2"/>
  <c r="AJ1090" i="2"/>
  <c r="AI1090" i="2"/>
  <c r="AH1090" i="2"/>
  <c r="AF1090" i="2"/>
  <c r="AE1090" i="2"/>
  <c r="AD1090" i="2"/>
  <c r="AC1090" i="2"/>
  <c r="AB1090" i="2"/>
  <c r="AA1090" i="2"/>
  <c r="Z1090" i="2"/>
  <c r="Y1090" i="2"/>
  <c r="X1090" i="2"/>
  <c r="W1090" i="2"/>
  <c r="V1090" i="2"/>
  <c r="U1090" i="2"/>
  <c r="T1090" i="2"/>
  <c r="S1090" i="2"/>
  <c r="R1090" i="2"/>
  <c r="Q1090" i="2"/>
  <c r="P1090" i="2"/>
  <c r="O1090" i="2"/>
  <c r="N1090" i="2"/>
  <c r="M1090" i="2"/>
  <c r="L1090" i="2"/>
  <c r="K1090" i="2"/>
  <c r="J1090" i="2"/>
  <c r="I1090" i="2"/>
  <c r="H1090" i="2"/>
  <c r="G1090" i="2"/>
  <c r="F1090" i="2"/>
  <c r="E1090" i="2"/>
  <c r="D1090" i="2"/>
  <c r="C1090" i="2"/>
  <c r="B1090" i="2"/>
  <c r="A1090" i="2"/>
  <c r="AJ1089" i="2"/>
  <c r="AI1089" i="2"/>
  <c r="AH1089" i="2"/>
  <c r="AF1089" i="2"/>
  <c r="AE1089" i="2"/>
  <c r="AD1089" i="2"/>
  <c r="AB1089" i="2"/>
  <c r="AA1089" i="2"/>
  <c r="Z1089" i="2"/>
  <c r="Y1089" i="2"/>
  <c r="X1089" i="2"/>
  <c r="W1089" i="2"/>
  <c r="V1089" i="2"/>
  <c r="U1089" i="2"/>
  <c r="T1089" i="2"/>
  <c r="S1089" i="2"/>
  <c r="R1089" i="2"/>
  <c r="Q1089" i="2"/>
  <c r="P1089" i="2"/>
  <c r="O1089" i="2"/>
  <c r="N1089" i="2"/>
  <c r="M1089" i="2"/>
  <c r="L1089" i="2"/>
  <c r="K1089" i="2"/>
  <c r="J1089" i="2"/>
  <c r="I1089" i="2"/>
  <c r="H1089" i="2"/>
  <c r="G1089" i="2"/>
  <c r="F1089" i="2"/>
  <c r="E1089" i="2"/>
  <c r="D1089" i="2"/>
  <c r="C1089" i="2"/>
  <c r="B1089" i="2"/>
  <c r="A1089" i="2"/>
  <c r="AJ1088" i="2"/>
  <c r="AI1088" i="2"/>
  <c r="AH1088" i="2"/>
  <c r="AG1088" i="2"/>
  <c r="AF1088" i="2"/>
  <c r="AE1088" i="2"/>
  <c r="AD1088" i="2"/>
  <c r="AC1088" i="2"/>
  <c r="AB1088" i="2"/>
  <c r="AA1088" i="2"/>
  <c r="Z1088" i="2"/>
  <c r="Y1088" i="2"/>
  <c r="X1088" i="2"/>
  <c r="U1088" i="2"/>
  <c r="T1088" i="2"/>
  <c r="S1088" i="2"/>
  <c r="R1088" i="2"/>
  <c r="Q1088" i="2"/>
  <c r="P1088" i="2"/>
  <c r="O1088" i="2"/>
  <c r="N1088" i="2"/>
  <c r="K1088" i="2"/>
  <c r="J1088" i="2"/>
  <c r="I1088" i="2"/>
  <c r="H1088" i="2"/>
  <c r="G1088" i="2"/>
  <c r="F1088" i="2"/>
  <c r="E1088" i="2"/>
  <c r="D1088" i="2"/>
  <c r="C1088" i="2"/>
  <c r="B1088" i="2"/>
  <c r="A1088" i="2"/>
  <c r="AJ1087" i="2"/>
  <c r="AI1087" i="2"/>
  <c r="AH1087" i="2"/>
  <c r="AG1087" i="2"/>
  <c r="AF1087" i="2"/>
  <c r="AE1087" i="2"/>
  <c r="AD1087" i="2"/>
  <c r="AC1087" i="2"/>
  <c r="AB1087" i="2"/>
  <c r="AA1087" i="2"/>
  <c r="Z1087" i="2"/>
  <c r="Y1087" i="2"/>
  <c r="X1087" i="2"/>
  <c r="W1087" i="2"/>
  <c r="V1087" i="2"/>
  <c r="U1087" i="2"/>
  <c r="T1087" i="2"/>
  <c r="S1087" i="2"/>
  <c r="R1087" i="2"/>
  <c r="Q1087" i="2"/>
  <c r="P1087" i="2"/>
  <c r="O1087" i="2"/>
  <c r="N1087" i="2"/>
  <c r="K1087" i="2"/>
  <c r="J1087" i="2"/>
  <c r="I1087" i="2"/>
  <c r="H1087" i="2"/>
  <c r="G1087" i="2"/>
  <c r="F1087" i="2"/>
  <c r="E1087" i="2"/>
  <c r="D1087" i="2"/>
  <c r="C1087" i="2"/>
  <c r="B1087" i="2"/>
  <c r="A1087" i="2"/>
  <c r="AJ1086" i="2"/>
  <c r="AI1086" i="2"/>
  <c r="AH1086" i="2"/>
  <c r="AG1086" i="2"/>
  <c r="AF1086" i="2"/>
  <c r="AE1086" i="2"/>
  <c r="AD1086" i="2"/>
  <c r="AC1086" i="2"/>
  <c r="AB1086" i="2"/>
  <c r="AA1086" i="2"/>
  <c r="Z1086" i="2"/>
  <c r="Y1086" i="2"/>
  <c r="X1086" i="2"/>
  <c r="W1086" i="2"/>
  <c r="V1086" i="2"/>
  <c r="U1086" i="2"/>
  <c r="T1086" i="2"/>
  <c r="S1086" i="2"/>
  <c r="R1086" i="2"/>
  <c r="Q1086" i="2"/>
  <c r="P1086" i="2"/>
  <c r="O1086" i="2"/>
  <c r="N1086" i="2"/>
  <c r="M1086" i="2"/>
  <c r="L1086" i="2"/>
  <c r="K1086" i="2"/>
  <c r="J1086" i="2"/>
  <c r="I1086" i="2"/>
  <c r="H1086" i="2"/>
  <c r="G1086" i="2"/>
  <c r="F1086" i="2"/>
  <c r="E1086" i="2"/>
  <c r="D1086" i="2"/>
  <c r="C1086" i="2"/>
  <c r="B1086" i="2"/>
  <c r="A1086" i="2"/>
  <c r="AJ1085" i="2"/>
  <c r="AI1085" i="2"/>
  <c r="AH1085" i="2"/>
  <c r="AG1085" i="2"/>
  <c r="AF1085" i="2"/>
  <c r="AE1085" i="2"/>
  <c r="AD1085" i="2"/>
  <c r="AC1085" i="2"/>
  <c r="AB1085" i="2"/>
  <c r="AA1085" i="2"/>
  <c r="Z1085" i="2"/>
  <c r="Y1085" i="2"/>
  <c r="X1085" i="2"/>
  <c r="W1085" i="2"/>
  <c r="V1085" i="2"/>
  <c r="U1085" i="2"/>
  <c r="T1085" i="2"/>
  <c r="S1085" i="2"/>
  <c r="R1085" i="2"/>
  <c r="Q1085" i="2"/>
  <c r="P1085" i="2"/>
  <c r="O1085" i="2"/>
  <c r="N1085" i="2"/>
  <c r="M1085" i="2"/>
  <c r="K1085" i="2"/>
  <c r="J1085" i="2"/>
  <c r="I1085" i="2"/>
  <c r="H1085" i="2"/>
  <c r="G1085" i="2"/>
  <c r="F1085" i="2"/>
  <c r="E1085" i="2"/>
  <c r="D1085" i="2"/>
  <c r="C1085" i="2"/>
  <c r="B1085" i="2"/>
  <c r="A1085" i="2"/>
  <c r="AJ1084" i="2"/>
  <c r="AI1084" i="2"/>
  <c r="AH1084" i="2"/>
  <c r="AG1084" i="2"/>
  <c r="AF1084" i="2"/>
  <c r="AE1084" i="2"/>
  <c r="AD1084" i="2"/>
  <c r="AB1084" i="2"/>
  <c r="AA1084" i="2"/>
  <c r="Z1084" i="2"/>
  <c r="Y1084" i="2"/>
  <c r="X1084" i="2"/>
  <c r="W1084" i="2"/>
  <c r="V1084" i="2"/>
  <c r="U1084" i="2"/>
  <c r="T1084" i="2"/>
  <c r="S1084" i="2"/>
  <c r="R1084" i="2"/>
  <c r="Q1084" i="2"/>
  <c r="P1084" i="2"/>
  <c r="O1084" i="2"/>
  <c r="N1084" i="2"/>
  <c r="M1084" i="2"/>
  <c r="L1084" i="2"/>
  <c r="K1084" i="2"/>
  <c r="J1084" i="2"/>
  <c r="I1084" i="2"/>
  <c r="H1084" i="2"/>
  <c r="G1084" i="2"/>
  <c r="F1084" i="2"/>
  <c r="E1084" i="2"/>
  <c r="D1084" i="2"/>
  <c r="C1084" i="2"/>
  <c r="B1084" i="2"/>
  <c r="A1084" i="2"/>
  <c r="AJ1083" i="2"/>
  <c r="AI1083" i="2"/>
  <c r="AH1083" i="2"/>
  <c r="AF1083" i="2"/>
  <c r="AE1083" i="2"/>
  <c r="AD1083" i="2"/>
  <c r="AB1083" i="2"/>
  <c r="AA1083" i="2"/>
  <c r="Z1083" i="2"/>
  <c r="Y1083" i="2"/>
  <c r="X1083" i="2"/>
  <c r="W1083" i="2"/>
  <c r="V1083" i="2"/>
  <c r="U1083" i="2"/>
  <c r="T1083" i="2"/>
  <c r="S1083" i="2"/>
  <c r="R1083" i="2"/>
  <c r="Q1083" i="2"/>
  <c r="P1083" i="2"/>
  <c r="O1083" i="2"/>
  <c r="N1083" i="2"/>
  <c r="M1083" i="2"/>
  <c r="L1083" i="2"/>
  <c r="K1083" i="2"/>
  <c r="J1083" i="2"/>
  <c r="I1083" i="2"/>
  <c r="H1083" i="2"/>
  <c r="G1083" i="2"/>
  <c r="F1083" i="2"/>
  <c r="E1083" i="2"/>
  <c r="D1083" i="2"/>
  <c r="C1083" i="2"/>
  <c r="B1083" i="2"/>
  <c r="A1083" i="2"/>
  <c r="AJ1082" i="2"/>
  <c r="AI1082" i="2"/>
  <c r="AH1082" i="2"/>
  <c r="AF1082" i="2"/>
  <c r="AE1082" i="2"/>
  <c r="AD1082" i="2"/>
  <c r="AA1082" i="2"/>
  <c r="Z1082" i="2"/>
  <c r="Y1082" i="2"/>
  <c r="X1082" i="2"/>
  <c r="W1082" i="2"/>
  <c r="V1082" i="2"/>
  <c r="U1082" i="2"/>
  <c r="T1082" i="2"/>
  <c r="S1082" i="2"/>
  <c r="R1082" i="2"/>
  <c r="Q1082" i="2"/>
  <c r="P1082" i="2"/>
  <c r="O1082" i="2"/>
  <c r="N1082" i="2"/>
  <c r="M1082" i="2"/>
  <c r="L1082" i="2"/>
  <c r="K1082" i="2"/>
  <c r="J1082" i="2"/>
  <c r="I1082" i="2"/>
  <c r="H1082" i="2"/>
  <c r="G1082" i="2"/>
  <c r="F1082" i="2"/>
  <c r="E1082" i="2"/>
  <c r="D1082" i="2"/>
  <c r="C1082" i="2"/>
  <c r="B1082" i="2"/>
  <c r="A1082" i="2"/>
  <c r="AJ1081" i="2"/>
  <c r="AI1081" i="2"/>
  <c r="AH1081" i="2"/>
  <c r="AG1081" i="2"/>
  <c r="AF1081" i="2"/>
  <c r="AE1081" i="2"/>
  <c r="AD1081" i="2"/>
  <c r="AC1081" i="2"/>
  <c r="AB1081" i="2"/>
  <c r="AA1081" i="2"/>
  <c r="Z1081" i="2"/>
  <c r="Y1081" i="2"/>
  <c r="X1081" i="2"/>
  <c r="W1081" i="2"/>
  <c r="V1081" i="2"/>
  <c r="U1081" i="2"/>
  <c r="T1081" i="2"/>
  <c r="S1081" i="2"/>
  <c r="R1081" i="2"/>
  <c r="Q1081" i="2"/>
  <c r="P1081" i="2"/>
  <c r="O1081" i="2"/>
  <c r="N1081" i="2"/>
  <c r="K1081" i="2"/>
  <c r="J1081" i="2"/>
  <c r="I1081" i="2"/>
  <c r="H1081" i="2"/>
  <c r="G1081" i="2"/>
  <c r="F1081" i="2"/>
  <c r="E1081" i="2"/>
  <c r="D1081" i="2"/>
  <c r="C1081" i="2"/>
  <c r="B1081" i="2"/>
  <c r="A1081" i="2"/>
  <c r="AJ1080" i="2"/>
  <c r="AH1080" i="2"/>
  <c r="AF1080" i="2"/>
  <c r="AE1080" i="2"/>
  <c r="AD1080" i="2"/>
  <c r="AA1080" i="2"/>
  <c r="Z1080" i="2"/>
  <c r="Y1080" i="2"/>
  <c r="X1080" i="2"/>
  <c r="W1080" i="2"/>
  <c r="V1080" i="2"/>
  <c r="U1080" i="2"/>
  <c r="T1080" i="2"/>
  <c r="S1080" i="2"/>
  <c r="R1080" i="2"/>
  <c r="Q1080" i="2"/>
  <c r="P1080" i="2"/>
  <c r="O1080" i="2"/>
  <c r="N1080" i="2"/>
  <c r="M1080" i="2"/>
  <c r="L1080" i="2"/>
  <c r="K1080" i="2"/>
  <c r="J1080" i="2"/>
  <c r="I1080" i="2"/>
  <c r="H1080" i="2"/>
  <c r="G1080" i="2"/>
  <c r="F1080" i="2"/>
  <c r="E1080" i="2"/>
  <c r="D1080" i="2"/>
  <c r="C1080" i="2"/>
  <c r="B1080" i="2"/>
  <c r="A1080" i="2"/>
  <c r="AJ1079" i="2"/>
  <c r="AH1079" i="2"/>
  <c r="AG1079" i="2"/>
  <c r="AF1079" i="2"/>
  <c r="AE1079" i="2"/>
  <c r="AD1079" i="2"/>
  <c r="AC1079" i="2"/>
  <c r="AA1079" i="2"/>
  <c r="Z1079" i="2"/>
  <c r="Y1079" i="2"/>
  <c r="X1079" i="2"/>
  <c r="W1079" i="2"/>
  <c r="V1079" i="2"/>
  <c r="U1079" i="2"/>
  <c r="T1079" i="2"/>
  <c r="S1079" i="2"/>
  <c r="R1079" i="2"/>
  <c r="Q1079" i="2"/>
  <c r="P1079" i="2"/>
  <c r="O1079" i="2"/>
  <c r="N1079" i="2"/>
  <c r="K1079" i="2"/>
  <c r="J1079" i="2"/>
  <c r="I1079" i="2"/>
  <c r="H1079" i="2"/>
  <c r="G1079" i="2"/>
  <c r="F1079" i="2"/>
  <c r="E1079" i="2"/>
  <c r="D1079" i="2"/>
  <c r="C1079" i="2"/>
  <c r="B1079" i="2"/>
  <c r="A1079" i="2"/>
  <c r="AJ1078" i="2"/>
  <c r="AI1078" i="2"/>
  <c r="AH1078" i="2"/>
  <c r="AG1078" i="2"/>
  <c r="AF1078" i="2"/>
  <c r="AE1078" i="2"/>
  <c r="AD1078" i="2"/>
  <c r="AB1078" i="2"/>
  <c r="AA1078" i="2"/>
  <c r="Z1078" i="2"/>
  <c r="Y1078" i="2"/>
  <c r="X1078" i="2"/>
  <c r="W1078" i="2"/>
  <c r="V1078" i="2"/>
  <c r="U1078" i="2"/>
  <c r="T1078" i="2"/>
  <c r="S1078" i="2"/>
  <c r="R1078" i="2"/>
  <c r="Q1078" i="2"/>
  <c r="P1078" i="2"/>
  <c r="O1078" i="2"/>
  <c r="N1078" i="2"/>
  <c r="M1078" i="2"/>
  <c r="L1078" i="2"/>
  <c r="K1078" i="2"/>
  <c r="J1078" i="2"/>
  <c r="I1078" i="2"/>
  <c r="H1078" i="2"/>
  <c r="G1078" i="2"/>
  <c r="F1078" i="2"/>
  <c r="E1078" i="2"/>
  <c r="D1078" i="2"/>
  <c r="C1078" i="2"/>
  <c r="B1078" i="2"/>
  <c r="A1078" i="2"/>
  <c r="AJ1077" i="2"/>
  <c r="AF1077" i="2"/>
  <c r="AE1077" i="2"/>
  <c r="AD1077" i="2"/>
  <c r="AB1077" i="2"/>
  <c r="AA1077" i="2"/>
  <c r="Z1077" i="2"/>
  <c r="Y1077" i="2"/>
  <c r="W1077" i="2"/>
  <c r="V1077" i="2"/>
  <c r="U1077" i="2"/>
  <c r="T1077" i="2"/>
  <c r="S1077" i="2"/>
  <c r="R1077" i="2"/>
  <c r="Q1077" i="2"/>
  <c r="P1077" i="2"/>
  <c r="O1077" i="2"/>
  <c r="N1077" i="2"/>
  <c r="K1077" i="2"/>
  <c r="J1077" i="2"/>
  <c r="I1077" i="2"/>
  <c r="H1077" i="2"/>
  <c r="G1077" i="2"/>
  <c r="F1077" i="2"/>
  <c r="E1077" i="2"/>
  <c r="D1077" i="2"/>
  <c r="C1077" i="2"/>
  <c r="B1077" i="2"/>
  <c r="A1077" i="2"/>
  <c r="AJ1076" i="2"/>
  <c r="AI1076" i="2"/>
  <c r="AH1076" i="2"/>
  <c r="AG1076" i="2"/>
  <c r="AF1076" i="2"/>
  <c r="AE1076" i="2"/>
  <c r="AD1076" i="2"/>
  <c r="AC1076" i="2"/>
  <c r="AB1076" i="2"/>
  <c r="AA1076" i="2"/>
  <c r="Z1076" i="2"/>
  <c r="Y1076" i="2"/>
  <c r="X1076" i="2"/>
  <c r="W1076" i="2"/>
  <c r="V1076" i="2"/>
  <c r="U1076" i="2"/>
  <c r="T1076" i="2"/>
  <c r="S1076" i="2"/>
  <c r="R1076" i="2"/>
  <c r="Q1076" i="2"/>
  <c r="P1076" i="2"/>
  <c r="O1076" i="2"/>
  <c r="N1076" i="2"/>
  <c r="M1076" i="2"/>
  <c r="L1076" i="2"/>
  <c r="K1076" i="2"/>
  <c r="J1076" i="2"/>
  <c r="I1076" i="2"/>
  <c r="H1076" i="2"/>
  <c r="G1076" i="2"/>
  <c r="F1076" i="2"/>
  <c r="E1076" i="2"/>
  <c r="D1076" i="2"/>
  <c r="C1076" i="2"/>
  <c r="B1076" i="2"/>
  <c r="A1076" i="2"/>
  <c r="AJ1075" i="2"/>
  <c r="AI1075" i="2"/>
  <c r="AH1075" i="2"/>
  <c r="AG1075" i="2"/>
  <c r="AF1075" i="2"/>
  <c r="AE1075" i="2"/>
  <c r="AD1075" i="2"/>
  <c r="AB1075" i="2"/>
  <c r="AA1075" i="2"/>
  <c r="Z1075" i="2"/>
  <c r="Y1075" i="2"/>
  <c r="X1075" i="2"/>
  <c r="W1075" i="2"/>
  <c r="V1075" i="2"/>
  <c r="U1075" i="2"/>
  <c r="T1075" i="2"/>
  <c r="S1075" i="2"/>
  <c r="R1075" i="2"/>
  <c r="Q1075" i="2"/>
  <c r="P1075" i="2"/>
  <c r="O1075" i="2"/>
  <c r="N1075" i="2"/>
  <c r="K1075" i="2"/>
  <c r="J1075" i="2"/>
  <c r="I1075" i="2"/>
  <c r="H1075" i="2"/>
  <c r="G1075" i="2"/>
  <c r="F1075" i="2"/>
  <c r="E1075" i="2"/>
  <c r="D1075" i="2"/>
  <c r="C1075" i="2"/>
  <c r="B1075" i="2"/>
  <c r="A1075" i="2"/>
  <c r="AJ1074" i="2"/>
  <c r="AI1074" i="2"/>
  <c r="AF1074" i="2"/>
  <c r="AE1074" i="2"/>
  <c r="AD1074" i="2"/>
  <c r="AC1074" i="2"/>
  <c r="AB1074" i="2"/>
  <c r="AA1074" i="2"/>
  <c r="Z1074" i="2"/>
  <c r="Y1074" i="2"/>
  <c r="X1074" i="2"/>
  <c r="W1074" i="2"/>
  <c r="V1074" i="2"/>
  <c r="U1074" i="2"/>
  <c r="T1074" i="2"/>
  <c r="S1074" i="2"/>
  <c r="R1074" i="2"/>
  <c r="Q1074" i="2"/>
  <c r="P1074" i="2"/>
  <c r="O1074" i="2"/>
  <c r="N1074" i="2"/>
  <c r="K1074" i="2"/>
  <c r="J1074" i="2"/>
  <c r="I1074" i="2"/>
  <c r="H1074" i="2"/>
  <c r="G1074" i="2"/>
  <c r="F1074" i="2"/>
  <c r="E1074" i="2"/>
  <c r="D1074" i="2"/>
  <c r="C1074" i="2"/>
  <c r="B1074" i="2"/>
  <c r="A1074" i="2"/>
  <c r="AJ1073" i="2"/>
  <c r="AI1073" i="2"/>
  <c r="AG1073" i="2"/>
  <c r="AF1073" i="2"/>
  <c r="AE1073" i="2"/>
  <c r="AD1073" i="2"/>
  <c r="AB1073" i="2"/>
  <c r="AA1073" i="2"/>
  <c r="Z1073" i="2"/>
  <c r="Y1073" i="2"/>
  <c r="X1073" i="2"/>
  <c r="W1073" i="2"/>
  <c r="V1073" i="2"/>
  <c r="U1073" i="2"/>
  <c r="T1073" i="2"/>
  <c r="S1073" i="2"/>
  <c r="R1073" i="2"/>
  <c r="Q1073" i="2"/>
  <c r="P1073" i="2"/>
  <c r="O1073" i="2"/>
  <c r="N1073" i="2"/>
  <c r="M1073" i="2"/>
  <c r="L1073" i="2"/>
  <c r="K1073" i="2"/>
  <c r="J1073" i="2"/>
  <c r="I1073" i="2"/>
  <c r="H1073" i="2"/>
  <c r="G1073" i="2"/>
  <c r="F1073" i="2"/>
  <c r="E1073" i="2"/>
  <c r="D1073" i="2"/>
  <c r="C1073" i="2"/>
  <c r="B1073" i="2"/>
  <c r="A1073" i="2"/>
  <c r="AJ1072" i="2"/>
  <c r="AH1072" i="2"/>
  <c r="AG1072" i="2"/>
  <c r="AF1072" i="2"/>
  <c r="AE1072" i="2"/>
  <c r="AD1072" i="2"/>
  <c r="AA1072" i="2"/>
  <c r="Z1072" i="2"/>
  <c r="Y1072" i="2"/>
  <c r="X1072" i="2"/>
  <c r="W1072" i="2"/>
  <c r="V1072" i="2"/>
  <c r="U1072" i="2"/>
  <c r="T1072" i="2"/>
  <c r="S1072" i="2"/>
  <c r="R1072" i="2"/>
  <c r="Q1072" i="2"/>
  <c r="P1072" i="2"/>
  <c r="O1072" i="2"/>
  <c r="N1072" i="2"/>
  <c r="K1072" i="2"/>
  <c r="J1072" i="2"/>
  <c r="I1072" i="2"/>
  <c r="H1072" i="2"/>
  <c r="G1072" i="2"/>
  <c r="F1072" i="2"/>
  <c r="E1072" i="2"/>
  <c r="D1072" i="2"/>
  <c r="C1072" i="2"/>
  <c r="B1072" i="2"/>
  <c r="A1072" i="2"/>
  <c r="AJ1071" i="2"/>
  <c r="AI1071" i="2"/>
  <c r="AH1071" i="2"/>
  <c r="AF1071" i="2"/>
  <c r="AE1071" i="2"/>
  <c r="AD1071" i="2"/>
  <c r="AC1071" i="2"/>
  <c r="AB1071" i="2"/>
  <c r="AA1071" i="2"/>
  <c r="Z1071" i="2"/>
  <c r="Y1071" i="2"/>
  <c r="X1071" i="2"/>
  <c r="W1071" i="2"/>
  <c r="V1071" i="2"/>
  <c r="U1071" i="2"/>
  <c r="T1071" i="2"/>
  <c r="S1071" i="2"/>
  <c r="R1071" i="2"/>
  <c r="Q1071" i="2"/>
  <c r="P1071" i="2"/>
  <c r="O1071" i="2"/>
  <c r="N1071" i="2"/>
  <c r="M1071" i="2"/>
  <c r="K1071" i="2"/>
  <c r="J1071" i="2"/>
  <c r="I1071" i="2"/>
  <c r="H1071" i="2"/>
  <c r="G1071" i="2"/>
  <c r="F1071" i="2"/>
  <c r="E1071" i="2"/>
  <c r="D1071" i="2"/>
  <c r="C1071" i="2"/>
  <c r="B1071" i="2"/>
  <c r="A1071" i="2"/>
  <c r="AJ1070" i="2"/>
  <c r="AI1070" i="2"/>
  <c r="AH1070" i="2"/>
  <c r="AG1070" i="2"/>
  <c r="AF1070" i="2"/>
  <c r="AE1070" i="2"/>
  <c r="AD1070" i="2"/>
  <c r="AC1070" i="2"/>
  <c r="AB1070" i="2"/>
  <c r="AA1070" i="2"/>
  <c r="Z1070" i="2"/>
  <c r="Y1070" i="2"/>
  <c r="W1070" i="2"/>
  <c r="V1070" i="2"/>
  <c r="U1070" i="2"/>
  <c r="T1070" i="2"/>
  <c r="S1070" i="2"/>
  <c r="R1070" i="2"/>
  <c r="Q1070" i="2"/>
  <c r="P1070" i="2"/>
  <c r="O1070" i="2"/>
  <c r="N1070" i="2"/>
  <c r="M1070" i="2"/>
  <c r="L1070" i="2"/>
  <c r="K1070" i="2"/>
  <c r="J1070" i="2"/>
  <c r="I1070" i="2"/>
  <c r="H1070" i="2"/>
  <c r="G1070" i="2"/>
  <c r="F1070" i="2"/>
  <c r="E1070" i="2"/>
  <c r="D1070" i="2"/>
  <c r="C1070" i="2"/>
  <c r="B1070" i="2"/>
  <c r="A1070" i="2"/>
  <c r="AJ1069" i="2"/>
  <c r="AH1069" i="2"/>
  <c r="AF1069" i="2"/>
  <c r="AE1069" i="2"/>
  <c r="AD1069" i="2"/>
  <c r="AA1069" i="2"/>
  <c r="Z1069" i="2"/>
  <c r="Y1069" i="2"/>
  <c r="X1069" i="2"/>
  <c r="W1069" i="2"/>
  <c r="V1069" i="2"/>
  <c r="U1069" i="2"/>
  <c r="T1069" i="2"/>
  <c r="S1069" i="2"/>
  <c r="R1069" i="2"/>
  <c r="Q1069" i="2"/>
  <c r="P1069" i="2"/>
  <c r="O1069" i="2"/>
  <c r="N1069" i="2"/>
  <c r="M1069" i="2"/>
  <c r="L1069" i="2"/>
  <c r="K1069" i="2"/>
  <c r="J1069" i="2"/>
  <c r="I1069" i="2"/>
  <c r="H1069" i="2"/>
  <c r="G1069" i="2"/>
  <c r="F1069" i="2"/>
  <c r="E1069" i="2"/>
  <c r="D1069" i="2"/>
  <c r="C1069" i="2"/>
  <c r="B1069" i="2"/>
  <c r="A1069" i="2"/>
  <c r="AJ1068" i="2"/>
  <c r="AI1068" i="2"/>
  <c r="AF1068" i="2"/>
  <c r="AE1068" i="2"/>
  <c r="AD1068" i="2"/>
  <c r="AA1068" i="2"/>
  <c r="Z1068" i="2"/>
  <c r="Y1068" i="2"/>
  <c r="X1068" i="2"/>
  <c r="W1068" i="2"/>
  <c r="V1068" i="2"/>
  <c r="U1068" i="2"/>
  <c r="T1068" i="2"/>
  <c r="S1068" i="2"/>
  <c r="R1068" i="2"/>
  <c r="Q1068" i="2"/>
  <c r="P1068" i="2"/>
  <c r="O1068" i="2"/>
  <c r="N1068" i="2"/>
  <c r="K1068" i="2"/>
  <c r="J1068" i="2"/>
  <c r="I1068" i="2"/>
  <c r="H1068" i="2"/>
  <c r="G1068" i="2"/>
  <c r="F1068" i="2"/>
  <c r="E1068" i="2"/>
  <c r="D1068" i="2"/>
  <c r="C1068" i="2"/>
  <c r="B1068" i="2"/>
  <c r="A1068" i="2"/>
  <c r="AJ1067" i="2"/>
  <c r="AI1067" i="2"/>
  <c r="AH1067" i="2"/>
  <c r="AG1067" i="2"/>
  <c r="AF1067" i="2"/>
  <c r="AE1067" i="2"/>
  <c r="AD1067" i="2"/>
  <c r="AC1067" i="2"/>
  <c r="AB1067" i="2"/>
  <c r="AA1067" i="2"/>
  <c r="Z1067" i="2"/>
  <c r="Y1067" i="2"/>
  <c r="X1067" i="2"/>
  <c r="W1067" i="2"/>
  <c r="V1067" i="2"/>
  <c r="U1067" i="2"/>
  <c r="T1067" i="2"/>
  <c r="S1067" i="2"/>
  <c r="R1067" i="2"/>
  <c r="Q1067" i="2"/>
  <c r="P1067" i="2"/>
  <c r="O1067" i="2"/>
  <c r="N1067" i="2"/>
  <c r="M1067" i="2"/>
  <c r="L1067" i="2"/>
  <c r="K1067" i="2"/>
  <c r="J1067" i="2"/>
  <c r="I1067" i="2"/>
  <c r="H1067" i="2"/>
  <c r="G1067" i="2"/>
  <c r="F1067" i="2"/>
  <c r="E1067" i="2"/>
  <c r="D1067" i="2"/>
  <c r="C1067" i="2"/>
  <c r="B1067" i="2"/>
  <c r="A1067" i="2"/>
  <c r="AJ1066" i="2"/>
  <c r="AI1066" i="2"/>
  <c r="AH1066" i="2"/>
  <c r="AG1066" i="2"/>
  <c r="AF1066" i="2"/>
  <c r="AE1066" i="2"/>
  <c r="AD1066" i="2"/>
  <c r="AB1066" i="2"/>
  <c r="AA1066" i="2"/>
  <c r="Z1066" i="2"/>
  <c r="Y1066" i="2"/>
  <c r="X1066" i="2"/>
  <c r="W1066" i="2"/>
  <c r="V1066" i="2"/>
  <c r="U1066" i="2"/>
  <c r="T1066" i="2"/>
  <c r="S1066" i="2"/>
  <c r="R1066" i="2"/>
  <c r="Q1066" i="2"/>
  <c r="P1066" i="2"/>
  <c r="O1066" i="2"/>
  <c r="N1066" i="2"/>
  <c r="M1066" i="2"/>
  <c r="L1066" i="2"/>
  <c r="K1066" i="2"/>
  <c r="J1066" i="2"/>
  <c r="I1066" i="2"/>
  <c r="H1066" i="2"/>
  <c r="G1066" i="2"/>
  <c r="F1066" i="2"/>
  <c r="E1066" i="2"/>
  <c r="D1066" i="2"/>
  <c r="C1066" i="2"/>
  <c r="B1066" i="2"/>
  <c r="A1066" i="2"/>
  <c r="AJ1065" i="2"/>
  <c r="AI1065" i="2"/>
  <c r="AH1065" i="2"/>
  <c r="AG1065" i="2"/>
  <c r="AF1065" i="2"/>
  <c r="AE1065" i="2"/>
  <c r="AD1065" i="2"/>
  <c r="AA1065" i="2"/>
  <c r="Z1065" i="2"/>
  <c r="Y1065" i="2"/>
  <c r="X1065" i="2"/>
  <c r="V1065" i="2"/>
  <c r="U1065" i="2"/>
  <c r="T1065" i="2"/>
  <c r="S1065" i="2"/>
  <c r="R1065" i="2"/>
  <c r="Q1065" i="2"/>
  <c r="P1065" i="2"/>
  <c r="O1065" i="2"/>
  <c r="N1065" i="2"/>
  <c r="M1065" i="2"/>
  <c r="L1065" i="2"/>
  <c r="K1065" i="2"/>
  <c r="J1065" i="2"/>
  <c r="I1065" i="2"/>
  <c r="H1065" i="2"/>
  <c r="G1065" i="2"/>
  <c r="F1065" i="2"/>
  <c r="E1065" i="2"/>
  <c r="D1065" i="2"/>
  <c r="C1065" i="2"/>
  <c r="B1065" i="2"/>
  <c r="A1065" i="2"/>
  <c r="AJ1064" i="2"/>
  <c r="AH1064" i="2"/>
  <c r="AG1064" i="2"/>
  <c r="AF1064" i="2"/>
  <c r="AE1064" i="2"/>
  <c r="AD1064" i="2"/>
  <c r="AC1064" i="2"/>
  <c r="AB1064" i="2"/>
  <c r="AA1064" i="2"/>
  <c r="Z1064" i="2"/>
  <c r="Y1064" i="2"/>
  <c r="X1064" i="2"/>
  <c r="W1064" i="2"/>
  <c r="V1064" i="2"/>
  <c r="U1064" i="2"/>
  <c r="T1064" i="2"/>
  <c r="S1064" i="2"/>
  <c r="R1064" i="2"/>
  <c r="Q1064" i="2"/>
  <c r="P1064" i="2"/>
  <c r="O1064" i="2"/>
  <c r="N1064" i="2"/>
  <c r="M1064" i="2"/>
  <c r="L1064" i="2"/>
  <c r="K1064" i="2"/>
  <c r="J1064" i="2"/>
  <c r="I1064" i="2"/>
  <c r="H1064" i="2"/>
  <c r="G1064" i="2"/>
  <c r="F1064" i="2"/>
  <c r="E1064" i="2"/>
  <c r="D1064" i="2"/>
  <c r="C1064" i="2"/>
  <c r="B1064" i="2"/>
  <c r="A1064" i="2"/>
  <c r="AJ1063" i="2"/>
  <c r="AI1063" i="2"/>
  <c r="AH1063" i="2"/>
  <c r="AG1063" i="2"/>
  <c r="AF1063" i="2"/>
  <c r="AE1063" i="2"/>
  <c r="AD1063" i="2"/>
  <c r="AC1063" i="2"/>
  <c r="AB1063" i="2"/>
  <c r="AA1063" i="2"/>
  <c r="Z1063" i="2"/>
  <c r="Y1063" i="2"/>
  <c r="X1063" i="2"/>
  <c r="W1063" i="2"/>
  <c r="V1063" i="2"/>
  <c r="U1063" i="2"/>
  <c r="T1063" i="2"/>
  <c r="S1063" i="2"/>
  <c r="R1063" i="2"/>
  <c r="Q1063" i="2"/>
  <c r="P1063" i="2"/>
  <c r="O1063" i="2"/>
  <c r="N1063" i="2"/>
  <c r="M1063" i="2"/>
  <c r="L1063" i="2"/>
  <c r="K1063" i="2"/>
  <c r="J1063" i="2"/>
  <c r="I1063" i="2"/>
  <c r="H1063" i="2"/>
  <c r="G1063" i="2"/>
  <c r="F1063" i="2"/>
  <c r="E1063" i="2"/>
  <c r="D1063" i="2"/>
  <c r="C1063" i="2"/>
  <c r="B1063" i="2"/>
  <c r="A1063" i="2"/>
  <c r="AJ1062" i="2"/>
  <c r="AI1062" i="2"/>
  <c r="AF1062" i="2"/>
  <c r="AE1062" i="2"/>
  <c r="AD1062" i="2"/>
  <c r="AC1062" i="2"/>
  <c r="AB1062" i="2"/>
  <c r="AA1062" i="2"/>
  <c r="Z1062" i="2"/>
  <c r="Y1062" i="2"/>
  <c r="X1062" i="2"/>
  <c r="W1062" i="2"/>
  <c r="V1062" i="2"/>
  <c r="U1062" i="2"/>
  <c r="T1062" i="2"/>
  <c r="S1062" i="2"/>
  <c r="R1062" i="2"/>
  <c r="Q1062" i="2"/>
  <c r="P1062" i="2"/>
  <c r="O1062" i="2"/>
  <c r="N1062" i="2"/>
  <c r="K1062" i="2"/>
  <c r="J1062" i="2"/>
  <c r="I1062" i="2"/>
  <c r="H1062" i="2"/>
  <c r="G1062" i="2"/>
  <c r="F1062" i="2"/>
  <c r="E1062" i="2"/>
  <c r="D1062" i="2"/>
  <c r="C1062" i="2"/>
  <c r="B1062" i="2"/>
  <c r="A1062" i="2"/>
  <c r="AJ1061" i="2"/>
  <c r="AI1061" i="2"/>
  <c r="AH1061" i="2"/>
  <c r="AG1061" i="2"/>
  <c r="AF1061" i="2"/>
  <c r="AE1061" i="2"/>
  <c r="AD1061" i="2"/>
  <c r="AC1061" i="2"/>
  <c r="AB1061" i="2"/>
  <c r="AA1061" i="2"/>
  <c r="Z1061" i="2"/>
  <c r="Y1061" i="2"/>
  <c r="X1061" i="2"/>
  <c r="V1061" i="2"/>
  <c r="U1061" i="2"/>
  <c r="T1061" i="2"/>
  <c r="S1061" i="2"/>
  <c r="R1061" i="2"/>
  <c r="Q1061" i="2"/>
  <c r="P1061" i="2"/>
  <c r="O1061" i="2"/>
  <c r="N1061" i="2"/>
  <c r="K1061" i="2"/>
  <c r="J1061" i="2"/>
  <c r="I1061" i="2"/>
  <c r="H1061" i="2"/>
  <c r="G1061" i="2"/>
  <c r="F1061" i="2"/>
  <c r="E1061" i="2"/>
  <c r="D1061" i="2"/>
  <c r="C1061" i="2"/>
  <c r="B1061" i="2"/>
  <c r="A1061" i="2"/>
  <c r="AJ1060" i="2"/>
  <c r="AI1060" i="2"/>
  <c r="AH1060" i="2"/>
  <c r="AG1060" i="2"/>
  <c r="AF1060" i="2"/>
  <c r="AE1060" i="2"/>
  <c r="AD1060" i="2"/>
  <c r="AB1060" i="2"/>
  <c r="AA1060" i="2"/>
  <c r="Z1060" i="2"/>
  <c r="Y1060" i="2"/>
  <c r="X1060" i="2"/>
  <c r="W1060" i="2"/>
  <c r="V1060" i="2"/>
  <c r="U1060" i="2"/>
  <c r="T1060" i="2"/>
  <c r="S1060" i="2"/>
  <c r="R1060" i="2"/>
  <c r="Q1060" i="2"/>
  <c r="P1060" i="2"/>
  <c r="O1060" i="2"/>
  <c r="N1060" i="2"/>
  <c r="M1060" i="2"/>
  <c r="L1060" i="2"/>
  <c r="K1060" i="2"/>
  <c r="J1060" i="2"/>
  <c r="I1060" i="2"/>
  <c r="H1060" i="2"/>
  <c r="G1060" i="2"/>
  <c r="F1060" i="2"/>
  <c r="E1060" i="2"/>
  <c r="D1060" i="2"/>
  <c r="C1060" i="2"/>
  <c r="B1060" i="2"/>
  <c r="A1060" i="2"/>
  <c r="AJ1059" i="2"/>
  <c r="AI1059" i="2"/>
  <c r="AH1059" i="2"/>
  <c r="AG1059" i="2"/>
  <c r="AF1059" i="2"/>
  <c r="AE1059" i="2"/>
  <c r="AD1059" i="2"/>
  <c r="AC1059" i="2"/>
  <c r="AB1059" i="2"/>
  <c r="AA1059" i="2"/>
  <c r="Z1059" i="2"/>
  <c r="Y1059" i="2"/>
  <c r="X1059" i="2"/>
  <c r="W1059" i="2"/>
  <c r="V1059" i="2"/>
  <c r="U1059" i="2"/>
  <c r="T1059" i="2"/>
  <c r="S1059" i="2"/>
  <c r="R1059" i="2"/>
  <c r="Q1059" i="2"/>
  <c r="P1059" i="2"/>
  <c r="O1059" i="2"/>
  <c r="N1059" i="2"/>
  <c r="K1059" i="2"/>
  <c r="J1059" i="2"/>
  <c r="I1059" i="2"/>
  <c r="H1059" i="2"/>
  <c r="G1059" i="2"/>
  <c r="F1059" i="2"/>
  <c r="E1059" i="2"/>
  <c r="D1059" i="2"/>
  <c r="C1059" i="2"/>
  <c r="B1059" i="2"/>
  <c r="A1059" i="2"/>
  <c r="AJ1058" i="2"/>
  <c r="AI1058" i="2"/>
  <c r="AH1058" i="2"/>
  <c r="AG1058" i="2"/>
  <c r="AF1058" i="2"/>
  <c r="AE1058" i="2"/>
  <c r="AD1058" i="2"/>
  <c r="AC1058" i="2"/>
  <c r="AB1058" i="2"/>
  <c r="AA1058" i="2"/>
  <c r="Z1058" i="2"/>
  <c r="Y1058" i="2"/>
  <c r="W1058" i="2"/>
  <c r="V1058" i="2"/>
  <c r="U1058" i="2"/>
  <c r="T1058" i="2"/>
  <c r="S1058" i="2"/>
  <c r="R1058" i="2"/>
  <c r="Q1058" i="2"/>
  <c r="P1058" i="2"/>
  <c r="O1058" i="2"/>
  <c r="N1058" i="2"/>
  <c r="M1058" i="2"/>
  <c r="L1058" i="2"/>
  <c r="K1058" i="2"/>
  <c r="J1058" i="2"/>
  <c r="I1058" i="2"/>
  <c r="H1058" i="2"/>
  <c r="G1058" i="2"/>
  <c r="F1058" i="2"/>
  <c r="E1058" i="2"/>
  <c r="D1058" i="2"/>
  <c r="C1058" i="2"/>
  <c r="B1058" i="2"/>
  <c r="A1058" i="2"/>
  <c r="AJ1057" i="2"/>
  <c r="AI1057" i="2"/>
  <c r="AH1057" i="2"/>
  <c r="AG1057" i="2"/>
  <c r="AF1057" i="2"/>
  <c r="AE1057" i="2"/>
  <c r="AD1057" i="2"/>
  <c r="AC1057" i="2"/>
  <c r="AB1057" i="2"/>
  <c r="AA1057" i="2"/>
  <c r="Z1057" i="2"/>
  <c r="Y1057" i="2"/>
  <c r="X1057" i="2"/>
  <c r="W1057" i="2"/>
  <c r="V1057" i="2"/>
  <c r="U1057" i="2"/>
  <c r="T1057" i="2"/>
  <c r="S1057" i="2"/>
  <c r="R1057" i="2"/>
  <c r="Q1057" i="2"/>
  <c r="P1057" i="2"/>
  <c r="O1057" i="2"/>
  <c r="N1057" i="2"/>
  <c r="K1057" i="2"/>
  <c r="J1057" i="2"/>
  <c r="I1057" i="2"/>
  <c r="H1057" i="2"/>
  <c r="G1057" i="2"/>
  <c r="F1057" i="2"/>
  <c r="E1057" i="2"/>
  <c r="D1057" i="2"/>
  <c r="C1057" i="2"/>
  <c r="B1057" i="2"/>
  <c r="A1057" i="2"/>
  <c r="AJ1056" i="2"/>
  <c r="AF1056" i="2"/>
  <c r="AE1056" i="2"/>
  <c r="AD1056" i="2"/>
  <c r="AC1056" i="2"/>
  <c r="AB1056" i="2"/>
  <c r="AA1056" i="2"/>
  <c r="Z1056" i="2"/>
  <c r="Y1056" i="2"/>
  <c r="X1056" i="2"/>
  <c r="W1056" i="2"/>
  <c r="V1056" i="2"/>
  <c r="U1056" i="2"/>
  <c r="T1056" i="2"/>
  <c r="S1056" i="2"/>
  <c r="R1056" i="2"/>
  <c r="Q1056" i="2"/>
  <c r="P1056" i="2"/>
  <c r="O1056" i="2"/>
  <c r="N1056" i="2"/>
  <c r="K1056" i="2"/>
  <c r="J1056" i="2"/>
  <c r="I1056" i="2"/>
  <c r="H1056" i="2"/>
  <c r="G1056" i="2"/>
  <c r="F1056" i="2"/>
  <c r="E1056" i="2"/>
  <c r="D1056" i="2"/>
  <c r="C1056" i="2"/>
  <c r="B1056" i="2"/>
  <c r="A1056" i="2"/>
  <c r="AJ1055" i="2"/>
  <c r="AI1055" i="2"/>
  <c r="AH1055" i="2"/>
  <c r="AG1055" i="2"/>
  <c r="AF1055" i="2"/>
  <c r="AE1055" i="2"/>
  <c r="AD1055" i="2"/>
  <c r="AC1055" i="2"/>
  <c r="AB1055" i="2"/>
  <c r="AA1055" i="2"/>
  <c r="Z1055" i="2"/>
  <c r="Y1055" i="2"/>
  <c r="X1055" i="2"/>
  <c r="W1055" i="2"/>
  <c r="V1055" i="2"/>
  <c r="U1055" i="2"/>
  <c r="T1055" i="2"/>
  <c r="S1055" i="2"/>
  <c r="R1055" i="2"/>
  <c r="Q1055" i="2"/>
  <c r="P1055" i="2"/>
  <c r="O1055" i="2"/>
  <c r="N1055" i="2"/>
  <c r="M1055" i="2"/>
  <c r="L1055" i="2"/>
  <c r="K1055" i="2"/>
  <c r="J1055" i="2"/>
  <c r="I1055" i="2"/>
  <c r="H1055" i="2"/>
  <c r="G1055" i="2"/>
  <c r="F1055" i="2"/>
  <c r="E1055" i="2"/>
  <c r="D1055" i="2"/>
  <c r="C1055" i="2"/>
  <c r="B1055" i="2"/>
  <c r="A1055" i="2"/>
  <c r="AJ1054" i="2"/>
  <c r="AI1054" i="2"/>
  <c r="AH1054" i="2"/>
  <c r="AG1054" i="2"/>
  <c r="AF1054" i="2"/>
  <c r="AE1054" i="2"/>
  <c r="AD1054" i="2"/>
  <c r="AC1054" i="2"/>
  <c r="AA1054" i="2"/>
  <c r="Z1054" i="2"/>
  <c r="Y1054" i="2"/>
  <c r="X1054" i="2"/>
  <c r="W1054" i="2"/>
  <c r="V1054" i="2"/>
  <c r="U1054" i="2"/>
  <c r="T1054" i="2"/>
  <c r="S1054" i="2"/>
  <c r="R1054" i="2"/>
  <c r="Q1054" i="2"/>
  <c r="P1054" i="2"/>
  <c r="O1054" i="2"/>
  <c r="N1054" i="2"/>
  <c r="K1054" i="2"/>
  <c r="J1054" i="2"/>
  <c r="I1054" i="2"/>
  <c r="H1054" i="2"/>
  <c r="G1054" i="2"/>
  <c r="F1054" i="2"/>
  <c r="E1054" i="2"/>
  <c r="D1054" i="2"/>
  <c r="C1054" i="2"/>
  <c r="B1054" i="2"/>
  <c r="A1054" i="2"/>
  <c r="AJ1053" i="2"/>
  <c r="AI1053" i="2"/>
  <c r="AH1053" i="2"/>
  <c r="AG1053" i="2"/>
  <c r="AF1053" i="2"/>
  <c r="AE1053" i="2"/>
  <c r="AD1053" i="2"/>
  <c r="AC1053" i="2"/>
  <c r="AB1053" i="2"/>
  <c r="AA1053" i="2"/>
  <c r="Z1053" i="2"/>
  <c r="Y1053" i="2"/>
  <c r="X1053" i="2"/>
  <c r="W1053" i="2"/>
  <c r="V1053" i="2"/>
  <c r="U1053" i="2"/>
  <c r="T1053" i="2"/>
  <c r="S1053" i="2"/>
  <c r="R1053" i="2"/>
  <c r="Q1053" i="2"/>
  <c r="P1053" i="2"/>
  <c r="O1053" i="2"/>
  <c r="N1053" i="2"/>
  <c r="K1053" i="2"/>
  <c r="J1053" i="2"/>
  <c r="I1053" i="2"/>
  <c r="H1053" i="2"/>
  <c r="G1053" i="2"/>
  <c r="F1053" i="2"/>
  <c r="E1053" i="2"/>
  <c r="D1053" i="2"/>
  <c r="C1053" i="2"/>
  <c r="B1053" i="2"/>
  <c r="A1053" i="2"/>
  <c r="AJ1052" i="2"/>
  <c r="AI1052" i="2"/>
  <c r="AH1052" i="2"/>
  <c r="AG1052" i="2"/>
  <c r="AF1052" i="2"/>
  <c r="AE1052" i="2"/>
  <c r="AD1052" i="2"/>
  <c r="AC1052" i="2"/>
  <c r="AB1052" i="2"/>
  <c r="AA1052" i="2"/>
  <c r="Z1052" i="2"/>
  <c r="Y1052" i="2"/>
  <c r="X1052" i="2"/>
  <c r="V1052" i="2"/>
  <c r="U1052" i="2"/>
  <c r="T1052" i="2"/>
  <c r="S1052" i="2"/>
  <c r="R1052" i="2"/>
  <c r="Q1052" i="2"/>
  <c r="P1052" i="2"/>
  <c r="O1052" i="2"/>
  <c r="N1052" i="2"/>
  <c r="K1052" i="2"/>
  <c r="J1052" i="2"/>
  <c r="I1052" i="2"/>
  <c r="H1052" i="2"/>
  <c r="G1052" i="2"/>
  <c r="F1052" i="2"/>
  <c r="E1052" i="2"/>
  <c r="D1052" i="2"/>
  <c r="C1052" i="2"/>
  <c r="B1052" i="2"/>
  <c r="A1052" i="2"/>
  <c r="AJ1051" i="2"/>
  <c r="AI1051" i="2"/>
  <c r="AH1051" i="2"/>
  <c r="AG1051" i="2"/>
  <c r="AF1051" i="2"/>
  <c r="AE1051" i="2"/>
  <c r="AD1051" i="2"/>
  <c r="AC1051" i="2"/>
  <c r="AB1051" i="2"/>
  <c r="AA1051" i="2"/>
  <c r="Z1051" i="2"/>
  <c r="Y1051" i="2"/>
  <c r="W1051" i="2"/>
  <c r="V1051" i="2"/>
  <c r="U1051" i="2"/>
  <c r="T1051" i="2"/>
  <c r="S1051" i="2"/>
  <c r="R1051" i="2"/>
  <c r="Q1051" i="2"/>
  <c r="P1051" i="2"/>
  <c r="O1051" i="2"/>
  <c r="N1051" i="2"/>
  <c r="M1051" i="2"/>
  <c r="L1051" i="2"/>
  <c r="K1051" i="2"/>
  <c r="J1051" i="2"/>
  <c r="I1051" i="2"/>
  <c r="H1051" i="2"/>
  <c r="G1051" i="2"/>
  <c r="F1051" i="2"/>
  <c r="E1051" i="2"/>
  <c r="D1051" i="2"/>
  <c r="C1051" i="2"/>
  <c r="B1051" i="2"/>
  <c r="A1051" i="2"/>
  <c r="AJ1050" i="2"/>
  <c r="AI1050" i="2"/>
  <c r="AH1050" i="2"/>
  <c r="AG1050" i="2"/>
  <c r="AF1050" i="2"/>
  <c r="AE1050" i="2"/>
  <c r="AD1050" i="2"/>
  <c r="AC1050" i="2"/>
  <c r="AB1050" i="2"/>
  <c r="AA1050" i="2"/>
  <c r="Z1050" i="2"/>
  <c r="Y1050" i="2"/>
  <c r="X1050" i="2"/>
  <c r="W1050" i="2"/>
  <c r="V1050" i="2"/>
  <c r="U1050" i="2"/>
  <c r="T1050" i="2"/>
  <c r="S1050" i="2"/>
  <c r="R1050" i="2"/>
  <c r="Q1050" i="2"/>
  <c r="P1050" i="2"/>
  <c r="O1050" i="2"/>
  <c r="N1050" i="2"/>
  <c r="M1050" i="2"/>
  <c r="L1050" i="2"/>
  <c r="K1050" i="2"/>
  <c r="J1050" i="2"/>
  <c r="I1050" i="2"/>
  <c r="H1050" i="2"/>
  <c r="G1050" i="2"/>
  <c r="F1050" i="2"/>
  <c r="E1050" i="2"/>
  <c r="D1050" i="2"/>
  <c r="C1050" i="2"/>
  <c r="B1050" i="2"/>
  <c r="A1050" i="2"/>
  <c r="AJ1049" i="2"/>
  <c r="AI1049" i="2"/>
  <c r="AH1049" i="2"/>
  <c r="AG1049" i="2"/>
  <c r="AF1049" i="2"/>
  <c r="AE1049" i="2"/>
  <c r="AD1049" i="2"/>
  <c r="AC1049" i="2"/>
  <c r="AB1049" i="2"/>
  <c r="AA1049" i="2"/>
  <c r="Z1049" i="2"/>
  <c r="Y1049" i="2"/>
  <c r="X1049" i="2"/>
  <c r="W1049" i="2"/>
  <c r="V1049" i="2"/>
  <c r="U1049" i="2"/>
  <c r="T1049" i="2"/>
  <c r="S1049" i="2"/>
  <c r="R1049" i="2"/>
  <c r="Q1049" i="2"/>
  <c r="P1049" i="2"/>
  <c r="O1049" i="2"/>
  <c r="N1049" i="2"/>
  <c r="M1049" i="2"/>
  <c r="L1049" i="2"/>
  <c r="K1049" i="2"/>
  <c r="J1049" i="2"/>
  <c r="I1049" i="2"/>
  <c r="H1049" i="2"/>
  <c r="G1049" i="2"/>
  <c r="F1049" i="2"/>
  <c r="E1049" i="2"/>
  <c r="D1049" i="2"/>
  <c r="C1049" i="2"/>
  <c r="B1049" i="2"/>
  <c r="A1049" i="2"/>
  <c r="AJ1048" i="2"/>
  <c r="AI1048" i="2"/>
  <c r="AF1048" i="2"/>
  <c r="AE1048" i="2"/>
  <c r="AD1048" i="2"/>
  <c r="AB1048" i="2"/>
  <c r="AA1048" i="2"/>
  <c r="Z1048" i="2"/>
  <c r="Y1048" i="2"/>
  <c r="X1048" i="2"/>
  <c r="W1048" i="2"/>
  <c r="V1048" i="2"/>
  <c r="U1048" i="2"/>
  <c r="T1048" i="2"/>
  <c r="S1048" i="2"/>
  <c r="R1048" i="2"/>
  <c r="Q1048" i="2"/>
  <c r="P1048" i="2"/>
  <c r="O1048" i="2"/>
  <c r="N1048" i="2"/>
  <c r="K1048" i="2"/>
  <c r="J1048" i="2"/>
  <c r="I1048" i="2"/>
  <c r="H1048" i="2"/>
  <c r="G1048" i="2"/>
  <c r="F1048" i="2"/>
  <c r="E1048" i="2"/>
  <c r="D1048" i="2"/>
  <c r="C1048" i="2"/>
  <c r="B1048" i="2"/>
  <c r="A1048" i="2"/>
  <c r="AJ1047" i="2"/>
  <c r="AI1047" i="2"/>
  <c r="AG1047" i="2"/>
  <c r="AF1047" i="2"/>
  <c r="AE1047" i="2"/>
  <c r="AD1047" i="2"/>
  <c r="AC1047" i="2"/>
  <c r="AB1047" i="2"/>
  <c r="AA1047" i="2"/>
  <c r="Z1047" i="2"/>
  <c r="Y1047" i="2"/>
  <c r="W1047" i="2"/>
  <c r="V1047" i="2"/>
  <c r="U1047" i="2"/>
  <c r="T1047" i="2"/>
  <c r="S1047" i="2"/>
  <c r="R1047" i="2"/>
  <c r="Q1047" i="2"/>
  <c r="P1047" i="2"/>
  <c r="O1047" i="2"/>
  <c r="N1047" i="2"/>
  <c r="M1047" i="2"/>
  <c r="L1047" i="2"/>
  <c r="K1047" i="2"/>
  <c r="J1047" i="2"/>
  <c r="I1047" i="2"/>
  <c r="H1047" i="2"/>
  <c r="G1047" i="2"/>
  <c r="F1047" i="2"/>
  <c r="E1047" i="2"/>
  <c r="D1047" i="2"/>
  <c r="C1047" i="2"/>
  <c r="B1047" i="2"/>
  <c r="A1047" i="2"/>
  <c r="AJ1046" i="2"/>
  <c r="AI1046" i="2"/>
  <c r="AH1046" i="2"/>
  <c r="AF1046" i="2"/>
  <c r="AE1046" i="2"/>
  <c r="AD1046" i="2"/>
  <c r="AC1046" i="2"/>
  <c r="AB1046" i="2"/>
  <c r="AA1046" i="2"/>
  <c r="Z1046" i="2"/>
  <c r="Y1046" i="2"/>
  <c r="X1046" i="2"/>
  <c r="W1046" i="2"/>
  <c r="V1046" i="2"/>
  <c r="U1046" i="2"/>
  <c r="T1046" i="2"/>
  <c r="S1046" i="2"/>
  <c r="R1046" i="2"/>
  <c r="Q1046" i="2"/>
  <c r="P1046" i="2"/>
  <c r="O1046" i="2"/>
  <c r="N1046" i="2"/>
  <c r="M1046" i="2"/>
  <c r="K1046" i="2"/>
  <c r="J1046" i="2"/>
  <c r="I1046" i="2"/>
  <c r="H1046" i="2"/>
  <c r="G1046" i="2"/>
  <c r="F1046" i="2"/>
  <c r="E1046" i="2"/>
  <c r="D1046" i="2"/>
  <c r="C1046" i="2"/>
  <c r="B1046" i="2"/>
  <c r="A1046" i="2"/>
  <c r="AJ1045" i="2"/>
  <c r="AI1045" i="2"/>
  <c r="AH1045" i="2"/>
  <c r="AG1045" i="2"/>
  <c r="AF1045" i="2"/>
  <c r="AE1045" i="2"/>
  <c r="AD1045" i="2"/>
  <c r="AC1045" i="2"/>
  <c r="AB1045" i="2"/>
  <c r="AA1045" i="2"/>
  <c r="Z1045" i="2"/>
  <c r="Y1045" i="2"/>
  <c r="X1045" i="2"/>
  <c r="W1045" i="2"/>
  <c r="V1045" i="2"/>
  <c r="U1045" i="2"/>
  <c r="T1045" i="2"/>
  <c r="S1045" i="2"/>
  <c r="R1045" i="2"/>
  <c r="Q1045" i="2"/>
  <c r="P1045" i="2"/>
  <c r="O1045" i="2"/>
  <c r="N1045" i="2"/>
  <c r="M1045" i="2"/>
  <c r="L1045" i="2"/>
  <c r="K1045" i="2"/>
  <c r="J1045" i="2"/>
  <c r="I1045" i="2"/>
  <c r="H1045" i="2"/>
  <c r="G1045" i="2"/>
  <c r="F1045" i="2"/>
  <c r="E1045" i="2"/>
  <c r="D1045" i="2"/>
  <c r="C1045" i="2"/>
  <c r="B1045" i="2"/>
  <c r="A1045" i="2"/>
  <c r="AJ1044" i="2"/>
  <c r="AI1044" i="2"/>
  <c r="AH1044" i="2"/>
  <c r="AG1044" i="2"/>
  <c r="AF1044" i="2"/>
  <c r="AE1044" i="2"/>
  <c r="AD1044" i="2"/>
  <c r="AC1044" i="2"/>
  <c r="AB1044" i="2"/>
  <c r="AA1044" i="2"/>
  <c r="Z1044" i="2"/>
  <c r="Y1044" i="2"/>
  <c r="X1044" i="2"/>
  <c r="W1044" i="2"/>
  <c r="V1044" i="2"/>
  <c r="U1044" i="2"/>
  <c r="T1044" i="2"/>
  <c r="S1044" i="2"/>
  <c r="R1044" i="2"/>
  <c r="Q1044" i="2"/>
  <c r="P1044" i="2"/>
  <c r="O1044" i="2"/>
  <c r="N1044" i="2"/>
  <c r="K1044" i="2"/>
  <c r="J1044" i="2"/>
  <c r="I1044" i="2"/>
  <c r="H1044" i="2"/>
  <c r="G1044" i="2"/>
  <c r="F1044" i="2"/>
  <c r="E1044" i="2"/>
  <c r="D1044" i="2"/>
  <c r="C1044" i="2"/>
  <c r="B1044" i="2"/>
  <c r="A1044" i="2"/>
  <c r="AJ1043" i="2"/>
  <c r="AI1043" i="2"/>
  <c r="AH1043" i="2"/>
  <c r="AG1043" i="2"/>
  <c r="AF1043" i="2"/>
  <c r="AE1043" i="2"/>
  <c r="AD1043" i="2"/>
  <c r="AC1043" i="2"/>
  <c r="AB1043" i="2"/>
  <c r="AA1043" i="2"/>
  <c r="Z1043" i="2"/>
  <c r="Y1043" i="2"/>
  <c r="X1043" i="2"/>
  <c r="W1043" i="2"/>
  <c r="V1043" i="2"/>
  <c r="U1043" i="2"/>
  <c r="T1043" i="2"/>
  <c r="S1043" i="2"/>
  <c r="R1043" i="2"/>
  <c r="Q1043" i="2"/>
  <c r="P1043" i="2"/>
  <c r="O1043" i="2"/>
  <c r="N1043" i="2"/>
  <c r="M1043" i="2"/>
  <c r="L1043" i="2"/>
  <c r="K1043" i="2"/>
  <c r="J1043" i="2"/>
  <c r="I1043" i="2"/>
  <c r="H1043" i="2"/>
  <c r="G1043" i="2"/>
  <c r="F1043" i="2"/>
  <c r="E1043" i="2"/>
  <c r="D1043" i="2"/>
  <c r="C1043" i="2"/>
  <c r="B1043" i="2"/>
  <c r="A1043" i="2"/>
  <c r="AJ1042" i="2"/>
  <c r="AH1042" i="2"/>
  <c r="AG1042" i="2"/>
  <c r="AF1042" i="2"/>
  <c r="AE1042" i="2"/>
  <c r="AD1042" i="2"/>
  <c r="AC1042" i="2"/>
  <c r="AA1042" i="2"/>
  <c r="Z1042" i="2"/>
  <c r="Y1042" i="2"/>
  <c r="X1042" i="2"/>
  <c r="W1042" i="2"/>
  <c r="V1042" i="2"/>
  <c r="U1042" i="2"/>
  <c r="T1042" i="2"/>
  <c r="S1042" i="2"/>
  <c r="R1042" i="2"/>
  <c r="Q1042" i="2"/>
  <c r="P1042" i="2"/>
  <c r="O1042" i="2"/>
  <c r="N1042" i="2"/>
  <c r="K1042" i="2"/>
  <c r="J1042" i="2"/>
  <c r="I1042" i="2"/>
  <c r="H1042" i="2"/>
  <c r="G1042" i="2"/>
  <c r="F1042" i="2"/>
  <c r="E1042" i="2"/>
  <c r="D1042" i="2"/>
  <c r="C1042" i="2"/>
  <c r="B1042" i="2"/>
  <c r="A1042" i="2"/>
  <c r="AJ1041" i="2"/>
  <c r="AH1041" i="2"/>
  <c r="AG1041" i="2"/>
  <c r="AF1041" i="2"/>
  <c r="AE1041" i="2"/>
  <c r="AD1041" i="2"/>
  <c r="AC1041" i="2"/>
  <c r="AB1041" i="2"/>
  <c r="Z1041" i="2"/>
  <c r="Y1041" i="2"/>
  <c r="X1041" i="2"/>
  <c r="W1041" i="2"/>
  <c r="V1041" i="2"/>
  <c r="U1041" i="2"/>
  <c r="T1041" i="2"/>
  <c r="S1041" i="2"/>
  <c r="R1041" i="2"/>
  <c r="Q1041" i="2"/>
  <c r="P1041" i="2"/>
  <c r="O1041" i="2"/>
  <c r="N1041" i="2"/>
  <c r="M1041" i="2"/>
  <c r="L1041" i="2"/>
  <c r="K1041" i="2"/>
  <c r="J1041" i="2"/>
  <c r="I1041" i="2"/>
  <c r="H1041" i="2"/>
  <c r="G1041" i="2"/>
  <c r="F1041" i="2"/>
  <c r="E1041" i="2"/>
  <c r="D1041" i="2"/>
  <c r="C1041" i="2"/>
  <c r="B1041" i="2"/>
  <c r="A1041" i="2"/>
  <c r="AJ1040" i="2"/>
  <c r="AI1040" i="2"/>
  <c r="AH1040" i="2"/>
  <c r="AG1040" i="2"/>
  <c r="AF1040" i="2"/>
  <c r="AE1040" i="2"/>
  <c r="AD1040" i="2"/>
  <c r="AC1040" i="2"/>
  <c r="AB1040" i="2"/>
  <c r="AA1040" i="2"/>
  <c r="Z1040" i="2"/>
  <c r="Y1040" i="2"/>
  <c r="X1040" i="2"/>
  <c r="W1040" i="2"/>
  <c r="V1040" i="2"/>
  <c r="U1040" i="2"/>
  <c r="T1040" i="2"/>
  <c r="S1040" i="2"/>
  <c r="R1040" i="2"/>
  <c r="Q1040" i="2"/>
  <c r="P1040" i="2"/>
  <c r="O1040" i="2"/>
  <c r="N1040" i="2"/>
  <c r="M1040" i="2"/>
  <c r="L1040" i="2"/>
  <c r="K1040" i="2"/>
  <c r="J1040" i="2"/>
  <c r="I1040" i="2"/>
  <c r="H1040" i="2"/>
  <c r="G1040" i="2"/>
  <c r="F1040" i="2"/>
  <c r="E1040" i="2"/>
  <c r="D1040" i="2"/>
  <c r="C1040" i="2"/>
  <c r="B1040" i="2"/>
  <c r="A1040" i="2"/>
  <c r="AJ1039" i="2"/>
  <c r="AI1039" i="2"/>
  <c r="AH1039" i="2"/>
  <c r="AG1039" i="2"/>
  <c r="AF1039" i="2"/>
  <c r="AE1039" i="2"/>
  <c r="AD1039" i="2"/>
  <c r="AC1039" i="2"/>
  <c r="AB1039" i="2"/>
  <c r="AA1039" i="2"/>
  <c r="Z1039" i="2"/>
  <c r="Y1039" i="2"/>
  <c r="X1039" i="2"/>
  <c r="W1039" i="2"/>
  <c r="V1039" i="2"/>
  <c r="U1039" i="2"/>
  <c r="T1039" i="2"/>
  <c r="S1039" i="2"/>
  <c r="R1039" i="2"/>
  <c r="Q1039" i="2"/>
  <c r="P1039" i="2"/>
  <c r="O1039" i="2"/>
  <c r="N1039" i="2"/>
  <c r="K1039" i="2"/>
  <c r="J1039" i="2"/>
  <c r="I1039" i="2"/>
  <c r="H1039" i="2"/>
  <c r="G1039" i="2"/>
  <c r="F1039" i="2"/>
  <c r="E1039" i="2"/>
  <c r="D1039" i="2"/>
  <c r="C1039" i="2"/>
  <c r="B1039" i="2"/>
  <c r="A1039" i="2"/>
  <c r="AJ1038" i="2"/>
  <c r="AI1038" i="2"/>
  <c r="AF1038" i="2"/>
  <c r="AE1038" i="2"/>
  <c r="AD1038" i="2"/>
  <c r="AC1038" i="2"/>
  <c r="AB1038" i="2"/>
  <c r="AA1038" i="2"/>
  <c r="Z1038" i="2"/>
  <c r="Y1038" i="2"/>
  <c r="X1038" i="2"/>
  <c r="W1038" i="2"/>
  <c r="V1038" i="2"/>
  <c r="U1038" i="2"/>
  <c r="T1038" i="2"/>
  <c r="S1038" i="2"/>
  <c r="R1038" i="2"/>
  <c r="Q1038" i="2"/>
  <c r="P1038" i="2"/>
  <c r="O1038" i="2"/>
  <c r="N1038" i="2"/>
  <c r="M1038" i="2"/>
  <c r="L1038" i="2"/>
  <c r="K1038" i="2"/>
  <c r="J1038" i="2"/>
  <c r="I1038" i="2"/>
  <c r="H1038" i="2"/>
  <c r="G1038" i="2"/>
  <c r="F1038" i="2"/>
  <c r="E1038" i="2"/>
  <c r="D1038" i="2"/>
  <c r="C1038" i="2"/>
  <c r="B1038" i="2"/>
  <c r="A1038" i="2"/>
  <c r="AJ1037" i="2"/>
  <c r="AI1037" i="2"/>
  <c r="AH1037" i="2"/>
  <c r="AG1037" i="2"/>
  <c r="AF1037" i="2"/>
  <c r="AE1037" i="2"/>
  <c r="AD1037" i="2"/>
  <c r="AB1037" i="2"/>
  <c r="AA1037" i="2"/>
  <c r="Z1037" i="2"/>
  <c r="Y1037" i="2"/>
  <c r="X1037" i="2"/>
  <c r="W1037" i="2"/>
  <c r="V1037" i="2"/>
  <c r="U1037" i="2"/>
  <c r="T1037" i="2"/>
  <c r="S1037" i="2"/>
  <c r="R1037" i="2"/>
  <c r="Q1037" i="2"/>
  <c r="P1037" i="2"/>
  <c r="O1037" i="2"/>
  <c r="N1037" i="2"/>
  <c r="K1037" i="2"/>
  <c r="J1037" i="2"/>
  <c r="I1037" i="2"/>
  <c r="H1037" i="2"/>
  <c r="G1037" i="2"/>
  <c r="F1037" i="2"/>
  <c r="E1037" i="2"/>
  <c r="D1037" i="2"/>
  <c r="C1037" i="2"/>
  <c r="B1037" i="2"/>
  <c r="A1037" i="2"/>
  <c r="AJ1036" i="2"/>
  <c r="AH1036" i="2"/>
  <c r="AF1036" i="2"/>
  <c r="AE1036" i="2"/>
  <c r="AD1036" i="2"/>
  <c r="AC1036" i="2"/>
  <c r="AB1036" i="2"/>
  <c r="AA1036" i="2"/>
  <c r="Z1036" i="2"/>
  <c r="Y1036" i="2"/>
  <c r="X1036" i="2"/>
  <c r="V1036" i="2"/>
  <c r="U1036" i="2"/>
  <c r="T1036" i="2"/>
  <c r="S1036" i="2"/>
  <c r="R1036" i="2"/>
  <c r="Q1036" i="2"/>
  <c r="P1036" i="2"/>
  <c r="O1036" i="2"/>
  <c r="N1036" i="2"/>
  <c r="K1036" i="2"/>
  <c r="J1036" i="2"/>
  <c r="I1036" i="2"/>
  <c r="H1036" i="2"/>
  <c r="G1036" i="2"/>
  <c r="F1036" i="2"/>
  <c r="E1036" i="2"/>
  <c r="D1036" i="2"/>
  <c r="C1036" i="2"/>
  <c r="B1036" i="2"/>
  <c r="A1036" i="2"/>
  <c r="AJ1035" i="2"/>
  <c r="AI1035" i="2"/>
  <c r="AH1035" i="2"/>
  <c r="AG1035" i="2"/>
  <c r="AF1035" i="2"/>
  <c r="AE1035" i="2"/>
  <c r="AD1035" i="2"/>
  <c r="AB1035" i="2"/>
  <c r="AA1035" i="2"/>
  <c r="Z1035" i="2"/>
  <c r="Y1035" i="2"/>
  <c r="X1035" i="2"/>
  <c r="W1035" i="2"/>
  <c r="V1035" i="2"/>
  <c r="U1035" i="2"/>
  <c r="T1035" i="2"/>
  <c r="S1035" i="2"/>
  <c r="R1035" i="2"/>
  <c r="Q1035" i="2"/>
  <c r="P1035" i="2"/>
  <c r="O1035" i="2"/>
  <c r="N1035" i="2"/>
  <c r="M1035" i="2"/>
  <c r="L1035" i="2"/>
  <c r="K1035" i="2"/>
  <c r="J1035" i="2"/>
  <c r="I1035" i="2"/>
  <c r="H1035" i="2"/>
  <c r="G1035" i="2"/>
  <c r="F1035" i="2"/>
  <c r="E1035" i="2"/>
  <c r="D1035" i="2"/>
  <c r="C1035" i="2"/>
  <c r="B1035" i="2"/>
  <c r="A1035" i="2"/>
  <c r="AJ1034" i="2"/>
  <c r="AI1034" i="2"/>
  <c r="AH1034" i="2"/>
  <c r="AG1034" i="2"/>
  <c r="AF1034" i="2"/>
  <c r="AE1034" i="2"/>
  <c r="AD1034" i="2"/>
  <c r="AC1034" i="2"/>
  <c r="AB1034" i="2"/>
  <c r="AA1034" i="2"/>
  <c r="Z1034" i="2"/>
  <c r="Y1034" i="2"/>
  <c r="X1034" i="2"/>
  <c r="W1034" i="2"/>
  <c r="V1034" i="2"/>
  <c r="U1034" i="2"/>
  <c r="T1034" i="2"/>
  <c r="S1034" i="2"/>
  <c r="R1034" i="2"/>
  <c r="Q1034" i="2"/>
  <c r="P1034" i="2"/>
  <c r="O1034" i="2"/>
  <c r="N1034" i="2"/>
  <c r="K1034" i="2"/>
  <c r="J1034" i="2"/>
  <c r="I1034" i="2"/>
  <c r="H1034" i="2"/>
  <c r="G1034" i="2"/>
  <c r="F1034" i="2"/>
  <c r="E1034" i="2"/>
  <c r="D1034" i="2"/>
  <c r="C1034" i="2"/>
  <c r="B1034" i="2"/>
  <c r="A1034" i="2"/>
  <c r="AJ1033" i="2"/>
  <c r="AI1033" i="2"/>
  <c r="AH1033" i="2"/>
  <c r="AG1033" i="2"/>
  <c r="AF1033" i="2"/>
  <c r="AE1033" i="2"/>
  <c r="AD1033" i="2"/>
  <c r="AB1033" i="2"/>
  <c r="AA1033" i="2"/>
  <c r="Z1033" i="2"/>
  <c r="Y1033" i="2"/>
  <c r="X1033" i="2"/>
  <c r="W1033" i="2"/>
  <c r="V1033" i="2"/>
  <c r="U1033" i="2"/>
  <c r="T1033" i="2"/>
  <c r="S1033" i="2"/>
  <c r="R1033" i="2"/>
  <c r="Q1033" i="2"/>
  <c r="P1033" i="2"/>
  <c r="O1033" i="2"/>
  <c r="N1033" i="2"/>
  <c r="K1033" i="2"/>
  <c r="J1033" i="2"/>
  <c r="I1033" i="2"/>
  <c r="H1033" i="2"/>
  <c r="G1033" i="2"/>
  <c r="F1033" i="2"/>
  <c r="E1033" i="2"/>
  <c r="D1033" i="2"/>
  <c r="C1033" i="2"/>
  <c r="B1033" i="2"/>
  <c r="A1033" i="2"/>
  <c r="AJ1032" i="2"/>
  <c r="AI1032" i="2"/>
  <c r="AH1032" i="2"/>
  <c r="AG1032" i="2"/>
  <c r="AF1032" i="2"/>
  <c r="AE1032" i="2"/>
  <c r="AD1032" i="2"/>
  <c r="AC1032" i="2"/>
  <c r="AB1032" i="2"/>
  <c r="AA1032" i="2"/>
  <c r="Z1032" i="2"/>
  <c r="Y1032" i="2"/>
  <c r="X1032" i="2"/>
  <c r="W1032" i="2"/>
  <c r="V1032" i="2"/>
  <c r="U1032" i="2"/>
  <c r="T1032" i="2"/>
  <c r="S1032" i="2"/>
  <c r="R1032" i="2"/>
  <c r="Q1032" i="2"/>
  <c r="P1032" i="2"/>
  <c r="O1032" i="2"/>
  <c r="N1032" i="2"/>
  <c r="K1032" i="2"/>
  <c r="J1032" i="2"/>
  <c r="I1032" i="2"/>
  <c r="H1032" i="2"/>
  <c r="G1032" i="2"/>
  <c r="F1032" i="2"/>
  <c r="E1032" i="2"/>
  <c r="D1032" i="2"/>
  <c r="C1032" i="2"/>
  <c r="B1032" i="2"/>
  <c r="A1032" i="2"/>
  <c r="AJ1031" i="2"/>
  <c r="AI1031" i="2"/>
  <c r="AH1031" i="2"/>
  <c r="AG1031" i="2"/>
  <c r="AF1031" i="2"/>
  <c r="AE1031" i="2"/>
  <c r="AD1031" i="2"/>
  <c r="AB1031" i="2"/>
  <c r="AA1031" i="2"/>
  <c r="Z1031" i="2"/>
  <c r="Y1031" i="2"/>
  <c r="X1031" i="2"/>
  <c r="W1031" i="2"/>
  <c r="V1031" i="2"/>
  <c r="U1031" i="2"/>
  <c r="T1031" i="2"/>
  <c r="S1031" i="2"/>
  <c r="R1031" i="2"/>
  <c r="Q1031" i="2"/>
  <c r="P1031" i="2"/>
  <c r="O1031" i="2"/>
  <c r="N1031" i="2"/>
  <c r="K1031" i="2"/>
  <c r="J1031" i="2"/>
  <c r="I1031" i="2"/>
  <c r="H1031" i="2"/>
  <c r="G1031" i="2"/>
  <c r="F1031" i="2"/>
  <c r="E1031" i="2"/>
  <c r="D1031" i="2"/>
  <c r="C1031" i="2"/>
  <c r="B1031" i="2"/>
  <c r="A1031" i="2"/>
  <c r="AJ1030" i="2"/>
  <c r="AH1030" i="2"/>
  <c r="AG1030" i="2"/>
  <c r="AF1030" i="2"/>
  <c r="AE1030" i="2"/>
  <c r="AD1030" i="2"/>
  <c r="AC1030" i="2"/>
  <c r="AB1030" i="2"/>
  <c r="Z1030" i="2"/>
  <c r="Y1030" i="2"/>
  <c r="X1030" i="2"/>
  <c r="T1030" i="2"/>
  <c r="S1030" i="2"/>
  <c r="Q1030" i="2"/>
  <c r="P1030" i="2"/>
  <c r="O1030" i="2"/>
  <c r="N1030" i="2"/>
  <c r="M1030" i="2"/>
  <c r="L1030" i="2"/>
  <c r="K1030" i="2"/>
  <c r="J1030" i="2"/>
  <c r="I1030" i="2"/>
  <c r="H1030" i="2"/>
  <c r="G1030" i="2"/>
  <c r="F1030" i="2"/>
  <c r="E1030" i="2"/>
  <c r="D1030" i="2"/>
  <c r="C1030" i="2"/>
  <c r="B1030" i="2"/>
  <c r="A1030" i="2"/>
  <c r="AJ1029" i="2"/>
  <c r="AI1029" i="2"/>
  <c r="AH1029" i="2"/>
  <c r="AG1029" i="2"/>
  <c r="AF1029" i="2"/>
  <c r="AE1029" i="2"/>
  <c r="AD1029" i="2"/>
  <c r="AC1029" i="2"/>
  <c r="AB1029" i="2"/>
  <c r="AA1029" i="2"/>
  <c r="Z1029" i="2"/>
  <c r="Y1029" i="2"/>
  <c r="X1029" i="2"/>
  <c r="W1029" i="2"/>
  <c r="V1029" i="2"/>
  <c r="U1029" i="2"/>
  <c r="T1029" i="2"/>
  <c r="S1029" i="2"/>
  <c r="R1029" i="2"/>
  <c r="Q1029" i="2"/>
  <c r="P1029" i="2"/>
  <c r="O1029" i="2"/>
  <c r="N1029" i="2"/>
  <c r="K1029" i="2"/>
  <c r="J1029" i="2"/>
  <c r="I1029" i="2"/>
  <c r="H1029" i="2"/>
  <c r="G1029" i="2"/>
  <c r="F1029" i="2"/>
  <c r="E1029" i="2"/>
  <c r="D1029" i="2"/>
  <c r="C1029" i="2"/>
  <c r="B1029" i="2"/>
  <c r="A1029" i="2"/>
  <c r="AJ1028" i="2"/>
  <c r="AI1028" i="2"/>
  <c r="AH1028" i="2"/>
  <c r="AG1028" i="2"/>
  <c r="AF1028" i="2"/>
  <c r="AE1028" i="2"/>
  <c r="AD1028" i="2"/>
  <c r="AC1028" i="2"/>
  <c r="AB1028" i="2"/>
  <c r="AA1028" i="2"/>
  <c r="Z1028" i="2"/>
  <c r="Y1028" i="2"/>
  <c r="X1028" i="2"/>
  <c r="W1028" i="2"/>
  <c r="V1028" i="2"/>
  <c r="U1028" i="2"/>
  <c r="T1028" i="2"/>
  <c r="S1028" i="2"/>
  <c r="R1028" i="2"/>
  <c r="Q1028" i="2"/>
  <c r="P1028" i="2"/>
  <c r="O1028" i="2"/>
  <c r="N1028" i="2"/>
  <c r="K1028" i="2"/>
  <c r="J1028" i="2"/>
  <c r="I1028" i="2"/>
  <c r="H1028" i="2"/>
  <c r="G1028" i="2"/>
  <c r="F1028" i="2"/>
  <c r="E1028" i="2"/>
  <c r="D1028" i="2"/>
  <c r="C1028" i="2"/>
  <c r="B1028" i="2"/>
  <c r="A1028" i="2"/>
  <c r="AJ1027" i="2"/>
  <c r="AH1027" i="2"/>
  <c r="AG1027" i="2"/>
  <c r="AF1027" i="2"/>
  <c r="AE1027" i="2"/>
  <c r="AD1027" i="2"/>
  <c r="AC1027" i="2"/>
  <c r="AB1027" i="2"/>
  <c r="AA1027" i="2"/>
  <c r="Z1027" i="2"/>
  <c r="Y1027" i="2"/>
  <c r="X1027" i="2"/>
  <c r="V1027" i="2"/>
  <c r="U1027" i="2"/>
  <c r="T1027" i="2"/>
  <c r="S1027" i="2"/>
  <c r="R1027" i="2"/>
  <c r="Q1027" i="2"/>
  <c r="P1027" i="2"/>
  <c r="O1027" i="2"/>
  <c r="N1027" i="2"/>
  <c r="K1027" i="2"/>
  <c r="J1027" i="2"/>
  <c r="I1027" i="2"/>
  <c r="H1027" i="2"/>
  <c r="G1027" i="2"/>
  <c r="F1027" i="2"/>
  <c r="E1027" i="2"/>
  <c r="D1027" i="2"/>
  <c r="C1027" i="2"/>
  <c r="B1027" i="2"/>
  <c r="A1027" i="2"/>
  <c r="AJ1026" i="2"/>
  <c r="AI1026" i="2"/>
  <c r="AF1026" i="2"/>
  <c r="AE1026" i="2"/>
  <c r="AD1026" i="2"/>
  <c r="AC1026" i="2"/>
  <c r="AB1026" i="2"/>
  <c r="AA1026" i="2"/>
  <c r="Z1026" i="2"/>
  <c r="Y1026" i="2"/>
  <c r="W1026" i="2"/>
  <c r="V1026" i="2"/>
  <c r="U1026" i="2"/>
  <c r="T1026" i="2"/>
  <c r="S1026" i="2"/>
  <c r="R1026" i="2"/>
  <c r="Q1026" i="2"/>
  <c r="P1026" i="2"/>
  <c r="O1026" i="2"/>
  <c r="N1026" i="2"/>
  <c r="M1026" i="2"/>
  <c r="L1026" i="2"/>
  <c r="K1026" i="2"/>
  <c r="J1026" i="2"/>
  <c r="I1026" i="2"/>
  <c r="H1026" i="2"/>
  <c r="G1026" i="2"/>
  <c r="F1026" i="2"/>
  <c r="E1026" i="2"/>
  <c r="D1026" i="2"/>
  <c r="C1026" i="2"/>
  <c r="B1026" i="2"/>
  <c r="A1026" i="2"/>
  <c r="AJ1025" i="2"/>
  <c r="AI1025" i="2"/>
  <c r="AH1025" i="2"/>
  <c r="AG1025" i="2"/>
  <c r="AF1025" i="2"/>
  <c r="AE1025" i="2"/>
  <c r="AD1025" i="2"/>
  <c r="AC1025" i="2"/>
  <c r="AB1025" i="2"/>
  <c r="AA1025" i="2"/>
  <c r="Z1025" i="2"/>
  <c r="Y1025" i="2"/>
  <c r="X1025" i="2"/>
  <c r="W1025" i="2"/>
  <c r="V1025" i="2"/>
  <c r="U1025" i="2"/>
  <c r="T1025" i="2"/>
  <c r="S1025" i="2"/>
  <c r="R1025" i="2"/>
  <c r="Q1025" i="2"/>
  <c r="P1025" i="2"/>
  <c r="O1025" i="2"/>
  <c r="N1025" i="2"/>
  <c r="M1025" i="2"/>
  <c r="L1025" i="2"/>
  <c r="K1025" i="2"/>
  <c r="J1025" i="2"/>
  <c r="I1025" i="2"/>
  <c r="H1025" i="2"/>
  <c r="G1025" i="2"/>
  <c r="F1025" i="2"/>
  <c r="E1025" i="2"/>
  <c r="D1025" i="2"/>
  <c r="C1025" i="2"/>
  <c r="B1025" i="2"/>
  <c r="A1025" i="2"/>
  <c r="AJ1024" i="2"/>
  <c r="AI1024" i="2"/>
  <c r="AH1024" i="2"/>
  <c r="AG1024" i="2"/>
  <c r="AF1024" i="2"/>
  <c r="AE1024" i="2"/>
  <c r="AD1024" i="2"/>
  <c r="AC1024" i="2"/>
  <c r="AB1024" i="2"/>
  <c r="AA1024" i="2"/>
  <c r="Z1024" i="2"/>
  <c r="Y1024" i="2"/>
  <c r="X1024" i="2"/>
  <c r="W1024" i="2"/>
  <c r="V1024" i="2"/>
  <c r="U1024" i="2"/>
  <c r="T1024" i="2"/>
  <c r="S1024" i="2"/>
  <c r="R1024" i="2"/>
  <c r="Q1024" i="2"/>
  <c r="P1024" i="2"/>
  <c r="O1024" i="2"/>
  <c r="N1024" i="2"/>
  <c r="M1024" i="2"/>
  <c r="L1024" i="2"/>
  <c r="K1024" i="2"/>
  <c r="J1024" i="2"/>
  <c r="I1024" i="2"/>
  <c r="H1024" i="2"/>
  <c r="G1024" i="2"/>
  <c r="F1024" i="2"/>
  <c r="E1024" i="2"/>
  <c r="D1024" i="2"/>
  <c r="C1024" i="2"/>
  <c r="B1024" i="2"/>
  <c r="A1024" i="2"/>
  <c r="AJ1023" i="2"/>
  <c r="AI1023" i="2"/>
  <c r="AH1023" i="2"/>
  <c r="AG1023" i="2"/>
  <c r="AF1023" i="2"/>
  <c r="AE1023" i="2"/>
  <c r="AD1023" i="2"/>
  <c r="AA1023" i="2"/>
  <c r="Z1023" i="2"/>
  <c r="Y1023" i="2"/>
  <c r="X1023" i="2"/>
  <c r="W1023" i="2"/>
  <c r="V1023" i="2"/>
  <c r="U1023" i="2"/>
  <c r="T1023" i="2"/>
  <c r="S1023" i="2"/>
  <c r="R1023" i="2"/>
  <c r="Q1023" i="2"/>
  <c r="P1023" i="2"/>
  <c r="O1023" i="2"/>
  <c r="N1023" i="2"/>
  <c r="K1023" i="2"/>
  <c r="J1023" i="2"/>
  <c r="I1023" i="2"/>
  <c r="H1023" i="2"/>
  <c r="G1023" i="2"/>
  <c r="F1023" i="2"/>
  <c r="E1023" i="2"/>
  <c r="D1023" i="2"/>
  <c r="C1023" i="2"/>
  <c r="B1023" i="2"/>
  <c r="A1023" i="2"/>
  <c r="AJ1022" i="2"/>
  <c r="AI1022" i="2"/>
  <c r="AH1022" i="2"/>
  <c r="AG1022" i="2"/>
  <c r="AF1022" i="2"/>
  <c r="AE1022" i="2"/>
  <c r="AD1022" i="2"/>
  <c r="AC1022" i="2"/>
  <c r="AB1022" i="2"/>
  <c r="AA1022" i="2"/>
  <c r="Z1022" i="2"/>
  <c r="Y1022" i="2"/>
  <c r="X1022" i="2"/>
  <c r="W1022" i="2"/>
  <c r="V1022" i="2"/>
  <c r="U1022" i="2"/>
  <c r="T1022" i="2"/>
  <c r="S1022" i="2"/>
  <c r="R1022" i="2"/>
  <c r="Q1022" i="2"/>
  <c r="P1022" i="2"/>
  <c r="O1022" i="2"/>
  <c r="N1022" i="2"/>
  <c r="K1022" i="2"/>
  <c r="J1022" i="2"/>
  <c r="I1022" i="2"/>
  <c r="H1022" i="2"/>
  <c r="G1022" i="2"/>
  <c r="F1022" i="2"/>
  <c r="E1022" i="2"/>
  <c r="D1022" i="2"/>
  <c r="C1022" i="2"/>
  <c r="B1022" i="2"/>
  <c r="A1022" i="2"/>
  <c r="AJ1021" i="2"/>
  <c r="AI1021" i="2"/>
  <c r="AH1021" i="2"/>
  <c r="AG1021" i="2"/>
  <c r="AF1021" i="2"/>
  <c r="AE1021" i="2"/>
  <c r="AD1021" i="2"/>
  <c r="AA1021" i="2"/>
  <c r="Z1021" i="2"/>
  <c r="Y1021" i="2"/>
  <c r="W1021" i="2"/>
  <c r="V1021" i="2"/>
  <c r="U1021" i="2"/>
  <c r="T1021" i="2"/>
  <c r="S1021" i="2"/>
  <c r="R1021" i="2"/>
  <c r="Q1021" i="2"/>
  <c r="P1021" i="2"/>
  <c r="O1021" i="2"/>
  <c r="N1021" i="2"/>
  <c r="K1021" i="2"/>
  <c r="J1021" i="2"/>
  <c r="I1021" i="2"/>
  <c r="H1021" i="2"/>
  <c r="G1021" i="2"/>
  <c r="F1021" i="2"/>
  <c r="E1021" i="2"/>
  <c r="D1021" i="2"/>
  <c r="C1021" i="2"/>
  <c r="B1021" i="2"/>
  <c r="A1021" i="2"/>
  <c r="AJ1020" i="2"/>
  <c r="AI1020" i="2"/>
  <c r="AH1020" i="2"/>
  <c r="AG1020" i="2"/>
  <c r="AF1020" i="2"/>
  <c r="AE1020" i="2"/>
  <c r="AD1020" i="2"/>
  <c r="AC1020" i="2"/>
  <c r="AB1020" i="2"/>
  <c r="AA1020" i="2"/>
  <c r="Z1020" i="2"/>
  <c r="Y1020" i="2"/>
  <c r="X1020" i="2"/>
  <c r="W1020" i="2"/>
  <c r="V1020" i="2"/>
  <c r="U1020" i="2"/>
  <c r="T1020" i="2"/>
  <c r="S1020" i="2"/>
  <c r="R1020" i="2"/>
  <c r="Q1020" i="2"/>
  <c r="P1020" i="2"/>
  <c r="O1020" i="2"/>
  <c r="N1020" i="2"/>
  <c r="K1020" i="2"/>
  <c r="J1020" i="2"/>
  <c r="I1020" i="2"/>
  <c r="H1020" i="2"/>
  <c r="G1020" i="2"/>
  <c r="F1020" i="2"/>
  <c r="E1020" i="2"/>
  <c r="D1020" i="2"/>
  <c r="C1020" i="2"/>
  <c r="B1020" i="2"/>
  <c r="A1020" i="2"/>
  <c r="AJ1019" i="2"/>
  <c r="AI1019" i="2"/>
  <c r="AH1019" i="2"/>
  <c r="AG1019" i="2"/>
  <c r="AF1019" i="2"/>
  <c r="AE1019" i="2"/>
  <c r="AD1019" i="2"/>
  <c r="AC1019" i="2"/>
  <c r="AB1019" i="2"/>
  <c r="AA1019" i="2"/>
  <c r="Z1019" i="2"/>
  <c r="Y1019" i="2"/>
  <c r="X1019" i="2"/>
  <c r="W1019" i="2"/>
  <c r="V1019" i="2"/>
  <c r="U1019" i="2"/>
  <c r="T1019" i="2"/>
  <c r="S1019" i="2"/>
  <c r="Q1019" i="2"/>
  <c r="P1019" i="2"/>
  <c r="O1019" i="2"/>
  <c r="N1019" i="2"/>
  <c r="K1019" i="2"/>
  <c r="J1019" i="2"/>
  <c r="I1019" i="2"/>
  <c r="H1019" i="2"/>
  <c r="G1019" i="2"/>
  <c r="F1019" i="2"/>
  <c r="E1019" i="2"/>
  <c r="D1019" i="2"/>
  <c r="C1019" i="2"/>
  <c r="B1019" i="2"/>
  <c r="A1019" i="2"/>
  <c r="AJ1018" i="2"/>
  <c r="AI1018" i="2"/>
  <c r="AH1018" i="2"/>
  <c r="AG1018" i="2"/>
  <c r="AF1018" i="2"/>
  <c r="AE1018" i="2"/>
  <c r="AD1018" i="2"/>
  <c r="AC1018" i="2"/>
  <c r="AB1018" i="2"/>
  <c r="AA1018" i="2"/>
  <c r="Z1018" i="2"/>
  <c r="Y1018" i="2"/>
  <c r="X1018" i="2"/>
  <c r="W1018" i="2"/>
  <c r="V1018" i="2"/>
  <c r="U1018" i="2"/>
  <c r="T1018" i="2"/>
  <c r="S1018" i="2"/>
  <c r="R1018" i="2"/>
  <c r="Q1018" i="2"/>
  <c r="P1018" i="2"/>
  <c r="O1018" i="2"/>
  <c r="N1018" i="2"/>
  <c r="K1018" i="2"/>
  <c r="J1018" i="2"/>
  <c r="I1018" i="2"/>
  <c r="H1018" i="2"/>
  <c r="G1018" i="2"/>
  <c r="F1018" i="2"/>
  <c r="E1018" i="2"/>
  <c r="D1018" i="2"/>
  <c r="C1018" i="2"/>
  <c r="B1018" i="2"/>
  <c r="A1018" i="2"/>
  <c r="AJ1017" i="2"/>
  <c r="AH1017" i="2"/>
  <c r="AG1017" i="2"/>
  <c r="AF1017" i="2"/>
  <c r="AE1017" i="2"/>
  <c r="AD1017" i="2"/>
  <c r="AC1017" i="2"/>
  <c r="AA1017" i="2"/>
  <c r="Z1017" i="2"/>
  <c r="Y1017" i="2"/>
  <c r="X1017" i="2"/>
  <c r="W1017" i="2"/>
  <c r="V1017" i="2"/>
  <c r="U1017" i="2"/>
  <c r="T1017" i="2"/>
  <c r="S1017" i="2"/>
  <c r="R1017" i="2"/>
  <c r="Q1017" i="2"/>
  <c r="P1017" i="2"/>
  <c r="O1017" i="2"/>
  <c r="N1017" i="2"/>
  <c r="K1017" i="2"/>
  <c r="J1017" i="2"/>
  <c r="I1017" i="2"/>
  <c r="H1017" i="2"/>
  <c r="G1017" i="2"/>
  <c r="F1017" i="2"/>
  <c r="E1017" i="2"/>
  <c r="D1017" i="2"/>
  <c r="C1017" i="2"/>
  <c r="B1017" i="2"/>
  <c r="A1017" i="2"/>
  <c r="AJ1016" i="2"/>
  <c r="AI1016" i="2"/>
  <c r="AH1016" i="2"/>
  <c r="AG1016" i="2"/>
  <c r="AF1016" i="2"/>
  <c r="AE1016" i="2"/>
  <c r="AD1016" i="2"/>
  <c r="AB1016" i="2"/>
  <c r="AA1016" i="2"/>
  <c r="Z1016" i="2"/>
  <c r="Y1016" i="2"/>
  <c r="X1016" i="2"/>
  <c r="W1016" i="2"/>
  <c r="V1016" i="2"/>
  <c r="U1016" i="2"/>
  <c r="T1016" i="2"/>
  <c r="S1016" i="2"/>
  <c r="R1016" i="2"/>
  <c r="Q1016" i="2"/>
  <c r="P1016" i="2"/>
  <c r="O1016" i="2"/>
  <c r="N1016" i="2"/>
  <c r="K1016" i="2"/>
  <c r="J1016" i="2"/>
  <c r="I1016" i="2"/>
  <c r="H1016" i="2"/>
  <c r="G1016" i="2"/>
  <c r="F1016" i="2"/>
  <c r="E1016" i="2"/>
  <c r="D1016" i="2"/>
  <c r="C1016" i="2"/>
  <c r="B1016" i="2"/>
  <c r="A1016" i="2"/>
  <c r="AJ1015" i="2"/>
  <c r="AH1015" i="2"/>
  <c r="AG1015" i="2"/>
  <c r="AF1015" i="2"/>
  <c r="AE1015" i="2"/>
  <c r="AD1015" i="2"/>
  <c r="AB1015" i="2"/>
  <c r="AA1015" i="2"/>
  <c r="Z1015" i="2"/>
  <c r="Y1015" i="2"/>
  <c r="X1015" i="2"/>
  <c r="W1015" i="2"/>
  <c r="V1015" i="2"/>
  <c r="U1015" i="2"/>
  <c r="T1015" i="2"/>
  <c r="S1015" i="2"/>
  <c r="R1015" i="2"/>
  <c r="Q1015" i="2"/>
  <c r="P1015" i="2"/>
  <c r="O1015" i="2"/>
  <c r="N1015" i="2"/>
  <c r="M1015" i="2"/>
  <c r="L1015" i="2"/>
  <c r="K1015" i="2"/>
  <c r="J1015" i="2"/>
  <c r="I1015" i="2"/>
  <c r="H1015" i="2"/>
  <c r="G1015" i="2"/>
  <c r="F1015" i="2"/>
  <c r="E1015" i="2"/>
  <c r="D1015" i="2"/>
  <c r="C1015" i="2"/>
  <c r="B1015" i="2"/>
  <c r="A1015" i="2"/>
  <c r="AJ1014" i="2"/>
  <c r="AI1014" i="2"/>
  <c r="AH1014" i="2"/>
  <c r="AG1014" i="2"/>
  <c r="AF1014" i="2"/>
  <c r="AE1014" i="2"/>
  <c r="AD1014" i="2"/>
  <c r="AC1014" i="2"/>
  <c r="AB1014" i="2"/>
  <c r="AA1014" i="2"/>
  <c r="Z1014" i="2"/>
  <c r="Y1014" i="2"/>
  <c r="X1014" i="2"/>
  <c r="W1014" i="2"/>
  <c r="V1014" i="2"/>
  <c r="U1014" i="2"/>
  <c r="T1014" i="2"/>
  <c r="S1014" i="2"/>
  <c r="R1014" i="2"/>
  <c r="Q1014" i="2"/>
  <c r="P1014" i="2"/>
  <c r="O1014" i="2"/>
  <c r="N1014" i="2"/>
  <c r="M1014" i="2"/>
  <c r="L1014" i="2"/>
  <c r="K1014" i="2"/>
  <c r="J1014" i="2"/>
  <c r="I1014" i="2"/>
  <c r="H1014" i="2"/>
  <c r="G1014" i="2"/>
  <c r="F1014" i="2"/>
  <c r="E1014" i="2"/>
  <c r="D1014" i="2"/>
  <c r="C1014" i="2"/>
  <c r="B1014" i="2"/>
  <c r="A1014" i="2"/>
  <c r="AJ1013" i="2"/>
  <c r="AI1013" i="2"/>
  <c r="AH1013" i="2"/>
  <c r="AG1013" i="2"/>
  <c r="AF1013" i="2"/>
  <c r="AE1013" i="2"/>
  <c r="AD1013" i="2"/>
  <c r="AC1013" i="2"/>
  <c r="AB1013" i="2"/>
  <c r="AA1013" i="2"/>
  <c r="Z1013" i="2"/>
  <c r="Y1013" i="2"/>
  <c r="X1013" i="2"/>
  <c r="W1013" i="2"/>
  <c r="V1013" i="2"/>
  <c r="U1013" i="2"/>
  <c r="T1013" i="2"/>
  <c r="S1013" i="2"/>
  <c r="R1013" i="2"/>
  <c r="Q1013" i="2"/>
  <c r="P1013" i="2"/>
  <c r="O1013" i="2"/>
  <c r="N1013" i="2"/>
  <c r="K1013" i="2"/>
  <c r="J1013" i="2"/>
  <c r="I1013" i="2"/>
  <c r="H1013" i="2"/>
  <c r="G1013" i="2"/>
  <c r="F1013" i="2"/>
  <c r="E1013" i="2"/>
  <c r="D1013" i="2"/>
  <c r="C1013" i="2"/>
  <c r="B1013" i="2"/>
  <c r="A1013" i="2"/>
  <c r="AJ1012" i="2"/>
  <c r="AI1012" i="2"/>
  <c r="AH1012" i="2"/>
  <c r="AG1012" i="2"/>
  <c r="AF1012" i="2"/>
  <c r="AE1012" i="2"/>
  <c r="AD1012" i="2"/>
  <c r="AC1012" i="2"/>
  <c r="AB1012" i="2"/>
  <c r="AA1012" i="2"/>
  <c r="Z1012" i="2"/>
  <c r="Y1012" i="2"/>
  <c r="W1012" i="2"/>
  <c r="V1012" i="2"/>
  <c r="U1012" i="2"/>
  <c r="T1012" i="2"/>
  <c r="S1012" i="2"/>
  <c r="R1012" i="2"/>
  <c r="Q1012" i="2"/>
  <c r="P1012" i="2"/>
  <c r="O1012" i="2"/>
  <c r="N1012" i="2"/>
  <c r="M1012" i="2"/>
  <c r="L1012" i="2"/>
  <c r="K1012" i="2"/>
  <c r="J1012" i="2"/>
  <c r="I1012" i="2"/>
  <c r="H1012" i="2"/>
  <c r="G1012" i="2"/>
  <c r="F1012" i="2"/>
  <c r="E1012" i="2"/>
  <c r="D1012" i="2"/>
  <c r="C1012" i="2"/>
  <c r="B1012" i="2"/>
  <c r="A1012" i="2"/>
  <c r="AJ1011" i="2"/>
  <c r="AI1011" i="2"/>
  <c r="AH1011" i="2"/>
  <c r="AG1011" i="2"/>
  <c r="AF1011" i="2"/>
  <c r="AE1011" i="2"/>
  <c r="AD1011" i="2"/>
  <c r="AC1011" i="2"/>
  <c r="AB1011" i="2"/>
  <c r="AA1011" i="2"/>
  <c r="Z1011" i="2"/>
  <c r="Y1011" i="2"/>
  <c r="X1011" i="2"/>
  <c r="V1011" i="2"/>
  <c r="U1011" i="2"/>
  <c r="T1011" i="2"/>
  <c r="S1011" i="2"/>
  <c r="R1011" i="2"/>
  <c r="Q1011" i="2"/>
  <c r="P1011" i="2"/>
  <c r="O1011" i="2"/>
  <c r="N1011" i="2"/>
  <c r="K1011" i="2"/>
  <c r="J1011" i="2"/>
  <c r="I1011" i="2"/>
  <c r="H1011" i="2"/>
  <c r="G1011" i="2"/>
  <c r="F1011" i="2"/>
  <c r="E1011" i="2"/>
  <c r="D1011" i="2"/>
  <c r="C1011" i="2"/>
  <c r="B1011" i="2"/>
  <c r="A1011" i="2"/>
  <c r="AJ1010" i="2"/>
  <c r="AH1010" i="2"/>
  <c r="AG1010" i="2"/>
  <c r="AF1010" i="2"/>
  <c r="AE1010" i="2"/>
  <c r="AD1010" i="2"/>
  <c r="AC1010" i="2"/>
  <c r="AA1010" i="2"/>
  <c r="Z1010" i="2"/>
  <c r="Y1010" i="2"/>
  <c r="X1010" i="2"/>
  <c r="W1010" i="2"/>
  <c r="V1010" i="2"/>
  <c r="U1010" i="2"/>
  <c r="T1010" i="2"/>
  <c r="S1010" i="2"/>
  <c r="R1010" i="2"/>
  <c r="Q1010" i="2"/>
  <c r="P1010" i="2"/>
  <c r="O1010" i="2"/>
  <c r="N1010" i="2"/>
  <c r="K1010" i="2"/>
  <c r="J1010" i="2"/>
  <c r="I1010" i="2"/>
  <c r="H1010" i="2"/>
  <c r="G1010" i="2"/>
  <c r="F1010" i="2"/>
  <c r="E1010" i="2"/>
  <c r="D1010" i="2"/>
  <c r="C1010" i="2"/>
  <c r="B1010" i="2"/>
  <c r="A1010" i="2"/>
  <c r="AJ1009" i="2"/>
  <c r="AI1009" i="2"/>
  <c r="AH1009" i="2"/>
  <c r="AG1009" i="2"/>
  <c r="AF1009" i="2"/>
  <c r="AE1009" i="2"/>
  <c r="AD1009" i="2"/>
  <c r="AC1009" i="2"/>
  <c r="AA1009" i="2"/>
  <c r="Z1009" i="2"/>
  <c r="Y1009" i="2"/>
  <c r="X1009" i="2"/>
  <c r="W1009" i="2"/>
  <c r="V1009" i="2"/>
  <c r="U1009" i="2"/>
  <c r="T1009" i="2"/>
  <c r="S1009" i="2"/>
  <c r="R1009" i="2"/>
  <c r="Q1009" i="2"/>
  <c r="P1009" i="2"/>
  <c r="O1009" i="2"/>
  <c r="N1009" i="2"/>
  <c r="K1009" i="2"/>
  <c r="J1009" i="2"/>
  <c r="I1009" i="2"/>
  <c r="H1009" i="2"/>
  <c r="G1009" i="2"/>
  <c r="F1009" i="2"/>
  <c r="E1009" i="2"/>
  <c r="D1009" i="2"/>
  <c r="C1009" i="2"/>
  <c r="B1009" i="2"/>
  <c r="A1009" i="2"/>
  <c r="AJ1008" i="2"/>
  <c r="AI1008" i="2"/>
  <c r="AH1008" i="2"/>
  <c r="AG1008" i="2"/>
  <c r="AF1008" i="2"/>
  <c r="AE1008" i="2"/>
  <c r="AD1008" i="2"/>
  <c r="AB1008" i="2"/>
  <c r="AA1008" i="2"/>
  <c r="Z1008" i="2"/>
  <c r="Y1008" i="2"/>
  <c r="X1008" i="2"/>
  <c r="W1008" i="2"/>
  <c r="V1008" i="2"/>
  <c r="U1008" i="2"/>
  <c r="T1008" i="2"/>
  <c r="S1008" i="2"/>
  <c r="R1008" i="2"/>
  <c r="Q1008" i="2"/>
  <c r="P1008" i="2"/>
  <c r="O1008" i="2"/>
  <c r="N1008" i="2"/>
  <c r="K1008" i="2"/>
  <c r="J1008" i="2"/>
  <c r="I1008" i="2"/>
  <c r="H1008" i="2"/>
  <c r="G1008" i="2"/>
  <c r="F1008" i="2"/>
  <c r="E1008" i="2"/>
  <c r="D1008" i="2"/>
  <c r="C1008" i="2"/>
  <c r="B1008" i="2"/>
  <c r="A1008" i="2"/>
  <c r="AJ1007" i="2"/>
  <c r="AI1007" i="2"/>
  <c r="AH1007" i="2"/>
  <c r="AG1007" i="2"/>
  <c r="AF1007" i="2"/>
  <c r="AE1007" i="2"/>
  <c r="AD1007" i="2"/>
  <c r="AC1007" i="2"/>
  <c r="AB1007" i="2"/>
  <c r="AA1007" i="2"/>
  <c r="Z1007" i="2"/>
  <c r="Y1007" i="2"/>
  <c r="X1007" i="2"/>
  <c r="W1007" i="2"/>
  <c r="V1007" i="2"/>
  <c r="U1007" i="2"/>
  <c r="T1007" i="2"/>
  <c r="S1007" i="2"/>
  <c r="R1007" i="2"/>
  <c r="Q1007" i="2"/>
  <c r="P1007" i="2"/>
  <c r="O1007" i="2"/>
  <c r="N1007" i="2"/>
  <c r="K1007" i="2"/>
  <c r="J1007" i="2"/>
  <c r="I1007" i="2"/>
  <c r="H1007" i="2"/>
  <c r="G1007" i="2"/>
  <c r="F1007" i="2"/>
  <c r="E1007" i="2"/>
  <c r="D1007" i="2"/>
  <c r="C1007" i="2"/>
  <c r="B1007" i="2"/>
  <c r="A1007" i="2"/>
  <c r="AJ1006" i="2"/>
  <c r="AI1006" i="2"/>
  <c r="AH1006" i="2"/>
  <c r="AG1006" i="2"/>
  <c r="AF1006" i="2"/>
  <c r="AE1006" i="2"/>
  <c r="AD1006" i="2"/>
  <c r="AC1006" i="2"/>
  <c r="AB1006" i="2"/>
  <c r="AA1006" i="2"/>
  <c r="Z1006" i="2"/>
  <c r="Y1006" i="2"/>
  <c r="X1006" i="2"/>
  <c r="W1006" i="2"/>
  <c r="V1006" i="2"/>
  <c r="U1006" i="2"/>
  <c r="T1006" i="2"/>
  <c r="S1006" i="2"/>
  <c r="R1006" i="2"/>
  <c r="Q1006" i="2"/>
  <c r="P1006" i="2"/>
  <c r="O1006" i="2"/>
  <c r="N1006" i="2"/>
  <c r="K1006" i="2"/>
  <c r="J1006" i="2"/>
  <c r="I1006" i="2"/>
  <c r="H1006" i="2"/>
  <c r="G1006" i="2"/>
  <c r="F1006" i="2"/>
  <c r="E1006" i="2"/>
  <c r="D1006" i="2"/>
  <c r="C1006" i="2"/>
  <c r="B1006" i="2"/>
  <c r="A1006" i="2"/>
  <c r="AJ1005" i="2"/>
  <c r="AI1005" i="2"/>
  <c r="AH1005" i="2"/>
  <c r="AG1005" i="2"/>
  <c r="AF1005" i="2"/>
  <c r="AE1005" i="2"/>
  <c r="AD1005" i="2"/>
  <c r="AC1005" i="2"/>
  <c r="AB1005" i="2"/>
  <c r="AA1005" i="2"/>
  <c r="Z1005" i="2"/>
  <c r="Y1005" i="2"/>
  <c r="X1005" i="2"/>
  <c r="W1005" i="2"/>
  <c r="V1005" i="2"/>
  <c r="U1005" i="2"/>
  <c r="T1005" i="2"/>
  <c r="S1005" i="2"/>
  <c r="R1005" i="2"/>
  <c r="Q1005" i="2"/>
  <c r="P1005" i="2"/>
  <c r="O1005" i="2"/>
  <c r="N1005" i="2"/>
  <c r="M1005" i="2"/>
  <c r="L1005" i="2"/>
  <c r="K1005" i="2"/>
  <c r="J1005" i="2"/>
  <c r="I1005" i="2"/>
  <c r="H1005" i="2"/>
  <c r="G1005" i="2"/>
  <c r="F1005" i="2"/>
  <c r="E1005" i="2"/>
  <c r="D1005" i="2"/>
  <c r="C1005" i="2"/>
  <c r="B1005" i="2"/>
  <c r="A1005" i="2"/>
  <c r="AJ1004" i="2"/>
  <c r="AI1004" i="2"/>
  <c r="AH1004" i="2"/>
  <c r="AG1004" i="2"/>
  <c r="AF1004" i="2"/>
  <c r="AE1004" i="2"/>
  <c r="AD1004" i="2"/>
  <c r="AB1004" i="2"/>
  <c r="AA1004" i="2"/>
  <c r="Z1004" i="2"/>
  <c r="Y1004" i="2"/>
  <c r="X1004" i="2"/>
  <c r="W1004" i="2"/>
  <c r="V1004" i="2"/>
  <c r="U1004" i="2"/>
  <c r="T1004" i="2"/>
  <c r="S1004" i="2"/>
  <c r="R1004" i="2"/>
  <c r="Q1004" i="2"/>
  <c r="P1004" i="2"/>
  <c r="O1004" i="2"/>
  <c r="N1004" i="2"/>
  <c r="K1004" i="2"/>
  <c r="J1004" i="2"/>
  <c r="I1004" i="2"/>
  <c r="H1004" i="2"/>
  <c r="G1004" i="2"/>
  <c r="F1004" i="2"/>
  <c r="E1004" i="2"/>
  <c r="D1004" i="2"/>
  <c r="C1004" i="2"/>
  <c r="B1004" i="2"/>
  <c r="A1004" i="2"/>
  <c r="AJ1003" i="2"/>
  <c r="AI1003" i="2"/>
  <c r="AH1003" i="2"/>
  <c r="AG1003" i="2"/>
  <c r="AF1003" i="2"/>
  <c r="AE1003" i="2"/>
  <c r="AD1003" i="2"/>
  <c r="AB1003" i="2"/>
  <c r="AA1003" i="2"/>
  <c r="Z1003" i="2"/>
  <c r="Y1003" i="2"/>
  <c r="X1003" i="2"/>
  <c r="W1003" i="2"/>
  <c r="V1003" i="2"/>
  <c r="U1003" i="2"/>
  <c r="T1003" i="2"/>
  <c r="S1003" i="2"/>
  <c r="R1003" i="2"/>
  <c r="Q1003" i="2"/>
  <c r="P1003" i="2"/>
  <c r="O1003" i="2"/>
  <c r="N1003" i="2"/>
  <c r="M1003" i="2"/>
  <c r="L1003" i="2"/>
  <c r="K1003" i="2"/>
  <c r="J1003" i="2"/>
  <c r="I1003" i="2"/>
  <c r="H1003" i="2"/>
  <c r="G1003" i="2"/>
  <c r="F1003" i="2"/>
  <c r="E1003" i="2"/>
  <c r="D1003" i="2"/>
  <c r="C1003" i="2"/>
  <c r="B1003" i="2"/>
  <c r="A1003" i="2"/>
  <c r="AJ1002" i="2"/>
  <c r="AI1002" i="2"/>
  <c r="AH1002" i="2"/>
  <c r="AG1002" i="2"/>
  <c r="AF1002" i="2"/>
  <c r="AE1002" i="2"/>
  <c r="AD1002" i="2"/>
  <c r="AC1002" i="2"/>
  <c r="AB1002" i="2"/>
  <c r="AA1002" i="2"/>
  <c r="Z1002" i="2"/>
  <c r="Y1002" i="2"/>
  <c r="X1002" i="2"/>
  <c r="W1002" i="2"/>
  <c r="V1002" i="2"/>
  <c r="U1002" i="2"/>
  <c r="T1002" i="2"/>
  <c r="S1002" i="2"/>
  <c r="R1002" i="2"/>
  <c r="Q1002" i="2"/>
  <c r="P1002" i="2"/>
  <c r="O1002" i="2"/>
  <c r="N1002" i="2"/>
  <c r="K1002" i="2"/>
  <c r="J1002" i="2"/>
  <c r="I1002" i="2"/>
  <c r="H1002" i="2"/>
  <c r="G1002" i="2"/>
  <c r="F1002" i="2"/>
  <c r="E1002" i="2"/>
  <c r="D1002" i="2"/>
  <c r="C1002" i="2"/>
  <c r="B1002" i="2"/>
  <c r="A1002" i="2"/>
  <c r="AJ1001" i="2"/>
  <c r="AI1001" i="2"/>
  <c r="AH1001" i="2"/>
  <c r="AG1001" i="2"/>
  <c r="AF1001" i="2"/>
  <c r="AE1001" i="2"/>
  <c r="AD1001" i="2"/>
  <c r="AC1001" i="2"/>
  <c r="AB1001" i="2"/>
  <c r="AA1001" i="2"/>
  <c r="Z1001" i="2"/>
  <c r="Y1001" i="2"/>
  <c r="X1001" i="2"/>
  <c r="V1001" i="2"/>
  <c r="U1001" i="2"/>
  <c r="T1001" i="2"/>
  <c r="S1001" i="2"/>
  <c r="R1001" i="2"/>
  <c r="Q1001" i="2"/>
  <c r="P1001" i="2"/>
  <c r="O1001" i="2"/>
  <c r="N1001" i="2"/>
  <c r="K1001" i="2"/>
  <c r="J1001" i="2"/>
  <c r="I1001" i="2"/>
  <c r="H1001" i="2"/>
  <c r="G1001" i="2"/>
  <c r="F1001" i="2"/>
  <c r="E1001" i="2"/>
  <c r="D1001" i="2"/>
  <c r="C1001" i="2"/>
  <c r="B1001" i="2"/>
  <c r="A1001" i="2"/>
  <c r="AJ1000" i="2"/>
  <c r="AI1000" i="2"/>
  <c r="AH1000" i="2"/>
  <c r="AG1000" i="2"/>
  <c r="AF1000" i="2"/>
  <c r="AE1000" i="2"/>
  <c r="AD1000" i="2"/>
  <c r="AC1000" i="2"/>
  <c r="AB1000" i="2"/>
  <c r="AA1000" i="2"/>
  <c r="Z1000" i="2"/>
  <c r="Y1000" i="2"/>
  <c r="X1000" i="2"/>
  <c r="V1000" i="2"/>
  <c r="U1000" i="2"/>
  <c r="T1000" i="2"/>
  <c r="S1000" i="2"/>
  <c r="R1000" i="2"/>
  <c r="Q1000" i="2"/>
  <c r="P1000" i="2"/>
  <c r="O1000" i="2"/>
  <c r="N1000" i="2"/>
  <c r="K1000" i="2"/>
  <c r="J1000" i="2"/>
  <c r="I1000" i="2"/>
  <c r="H1000" i="2"/>
  <c r="G1000" i="2"/>
  <c r="F1000" i="2"/>
  <c r="E1000" i="2"/>
  <c r="D1000" i="2"/>
  <c r="C1000" i="2"/>
  <c r="B1000" i="2"/>
  <c r="A1000" i="2"/>
  <c r="AJ999" i="2"/>
  <c r="AI999" i="2"/>
  <c r="AH999" i="2"/>
  <c r="AG999" i="2"/>
  <c r="AF999" i="2"/>
  <c r="AE999" i="2"/>
  <c r="AD999" i="2"/>
  <c r="AB999" i="2"/>
  <c r="AA999" i="2"/>
  <c r="Z999" i="2"/>
  <c r="Y999" i="2"/>
  <c r="X999" i="2"/>
  <c r="W999" i="2"/>
  <c r="V999" i="2"/>
  <c r="U999" i="2"/>
  <c r="T999" i="2"/>
  <c r="S999" i="2"/>
  <c r="R999" i="2"/>
  <c r="Q999" i="2"/>
  <c r="P999" i="2"/>
  <c r="O999" i="2"/>
  <c r="N999" i="2"/>
  <c r="K999" i="2"/>
  <c r="J999" i="2"/>
  <c r="I999" i="2"/>
  <c r="H999" i="2"/>
  <c r="G999" i="2"/>
  <c r="F999" i="2"/>
  <c r="E999" i="2"/>
  <c r="D999" i="2"/>
  <c r="C999" i="2"/>
  <c r="B999" i="2"/>
  <c r="A999" i="2"/>
  <c r="AJ998" i="2"/>
  <c r="AI998" i="2"/>
  <c r="AH998" i="2"/>
  <c r="AG998" i="2"/>
  <c r="AF998" i="2"/>
  <c r="AE998" i="2"/>
  <c r="AD998" i="2"/>
  <c r="AC998" i="2"/>
  <c r="AB998" i="2"/>
  <c r="AA998" i="2"/>
  <c r="Z998" i="2"/>
  <c r="Y998" i="2"/>
  <c r="X998" i="2"/>
  <c r="W998" i="2"/>
  <c r="V998" i="2"/>
  <c r="U998" i="2"/>
  <c r="T998" i="2"/>
  <c r="S998" i="2"/>
  <c r="R998" i="2"/>
  <c r="Q998" i="2"/>
  <c r="P998" i="2"/>
  <c r="O998" i="2"/>
  <c r="N998" i="2"/>
  <c r="K998" i="2"/>
  <c r="J998" i="2"/>
  <c r="I998" i="2"/>
  <c r="H998" i="2"/>
  <c r="G998" i="2"/>
  <c r="F998" i="2"/>
  <c r="E998" i="2"/>
  <c r="D998" i="2"/>
  <c r="C998" i="2"/>
  <c r="B998" i="2"/>
  <c r="A998" i="2"/>
  <c r="AJ997" i="2"/>
  <c r="AI997" i="2"/>
  <c r="AH997" i="2"/>
  <c r="AG997" i="2"/>
  <c r="AF997" i="2"/>
  <c r="AE997" i="2"/>
  <c r="AD997" i="2"/>
  <c r="AC997" i="2"/>
  <c r="AB997" i="2"/>
  <c r="AA997" i="2"/>
  <c r="Z997" i="2"/>
  <c r="Y997" i="2"/>
  <c r="W997" i="2"/>
  <c r="V997" i="2"/>
  <c r="U997" i="2"/>
  <c r="T997" i="2"/>
  <c r="S997" i="2"/>
  <c r="R997" i="2"/>
  <c r="Q997" i="2"/>
  <c r="P997" i="2"/>
  <c r="O997" i="2"/>
  <c r="N997" i="2"/>
  <c r="K997" i="2"/>
  <c r="J997" i="2"/>
  <c r="I997" i="2"/>
  <c r="H997" i="2"/>
  <c r="G997" i="2"/>
  <c r="F997" i="2"/>
  <c r="E997" i="2"/>
  <c r="D997" i="2"/>
  <c r="C997" i="2"/>
  <c r="B997" i="2"/>
  <c r="A997" i="2"/>
  <c r="AJ996" i="2"/>
  <c r="AH996" i="2"/>
  <c r="AG996" i="2"/>
  <c r="AF996" i="2"/>
  <c r="AE996" i="2"/>
  <c r="AD996" i="2"/>
  <c r="AB996" i="2"/>
  <c r="AA996" i="2"/>
  <c r="Z996" i="2"/>
  <c r="Y996" i="2"/>
  <c r="X996" i="2"/>
  <c r="W996" i="2"/>
  <c r="V996" i="2"/>
  <c r="U996" i="2"/>
  <c r="T996" i="2"/>
  <c r="S996" i="2"/>
  <c r="R996" i="2"/>
  <c r="Q996" i="2"/>
  <c r="P996" i="2"/>
  <c r="O996" i="2"/>
  <c r="N996" i="2"/>
  <c r="K996" i="2"/>
  <c r="J996" i="2"/>
  <c r="I996" i="2"/>
  <c r="H996" i="2"/>
  <c r="G996" i="2"/>
  <c r="F996" i="2"/>
  <c r="E996" i="2"/>
  <c r="D996" i="2"/>
  <c r="C996" i="2"/>
  <c r="B996" i="2"/>
  <c r="A996" i="2"/>
  <c r="AJ995" i="2"/>
  <c r="AI995" i="2"/>
  <c r="AH995" i="2"/>
  <c r="AG995" i="2"/>
  <c r="AF995" i="2"/>
  <c r="AE995" i="2"/>
  <c r="AD995" i="2"/>
  <c r="AC995" i="2"/>
  <c r="AB995" i="2"/>
  <c r="AA995" i="2"/>
  <c r="Z995" i="2"/>
  <c r="Y995" i="2"/>
  <c r="X995" i="2"/>
  <c r="V995" i="2"/>
  <c r="U995" i="2"/>
  <c r="T995" i="2"/>
  <c r="S995" i="2"/>
  <c r="Q995" i="2"/>
  <c r="P995" i="2"/>
  <c r="O995" i="2"/>
  <c r="N995" i="2"/>
  <c r="K995" i="2"/>
  <c r="J995" i="2"/>
  <c r="I995" i="2"/>
  <c r="H995" i="2"/>
  <c r="G995" i="2"/>
  <c r="F995" i="2"/>
  <c r="E995" i="2"/>
  <c r="D995" i="2"/>
  <c r="C995" i="2"/>
  <c r="B995" i="2"/>
  <c r="A995" i="2"/>
  <c r="AJ994" i="2"/>
  <c r="AI994" i="2"/>
  <c r="AH994" i="2"/>
  <c r="AF994" i="2"/>
  <c r="AE994" i="2"/>
  <c r="AD994" i="2"/>
  <c r="AC994" i="2"/>
  <c r="AB994" i="2"/>
  <c r="AA994" i="2"/>
  <c r="Z994" i="2"/>
  <c r="Y994" i="2"/>
  <c r="X994" i="2"/>
  <c r="W994" i="2"/>
  <c r="V994" i="2"/>
  <c r="U994" i="2"/>
  <c r="T994" i="2"/>
  <c r="S994" i="2"/>
  <c r="R994" i="2"/>
  <c r="Q994" i="2"/>
  <c r="P994" i="2"/>
  <c r="O994" i="2"/>
  <c r="N994" i="2"/>
  <c r="M994" i="2"/>
  <c r="L994" i="2"/>
  <c r="K994" i="2"/>
  <c r="J994" i="2"/>
  <c r="I994" i="2"/>
  <c r="H994" i="2"/>
  <c r="G994" i="2"/>
  <c r="F994" i="2"/>
  <c r="E994" i="2"/>
  <c r="D994" i="2"/>
  <c r="C994" i="2"/>
  <c r="B994" i="2"/>
  <c r="A994" i="2"/>
  <c r="AJ993" i="2"/>
  <c r="AI993" i="2"/>
  <c r="AH993" i="2"/>
  <c r="AG993" i="2"/>
  <c r="AF993" i="2"/>
  <c r="AE993" i="2"/>
  <c r="AD993" i="2"/>
  <c r="AC993" i="2"/>
  <c r="AB993" i="2"/>
  <c r="AA993" i="2"/>
  <c r="Z993" i="2"/>
  <c r="Y993" i="2"/>
  <c r="X993" i="2"/>
  <c r="W993" i="2"/>
  <c r="V993" i="2"/>
  <c r="U993" i="2"/>
  <c r="T993" i="2"/>
  <c r="S993" i="2"/>
  <c r="R993" i="2"/>
  <c r="Q993" i="2"/>
  <c r="P993" i="2"/>
  <c r="O993" i="2"/>
  <c r="N993" i="2"/>
  <c r="K993" i="2"/>
  <c r="J993" i="2"/>
  <c r="I993" i="2"/>
  <c r="H993" i="2"/>
  <c r="G993" i="2"/>
  <c r="F993" i="2"/>
  <c r="E993" i="2"/>
  <c r="D993" i="2"/>
  <c r="C993" i="2"/>
  <c r="B993" i="2"/>
  <c r="A993" i="2"/>
  <c r="AJ992" i="2"/>
  <c r="AI992" i="2"/>
  <c r="AH992" i="2"/>
  <c r="AG992" i="2"/>
  <c r="AF992" i="2"/>
  <c r="AE992" i="2"/>
  <c r="AD992" i="2"/>
  <c r="AB992" i="2"/>
  <c r="AA992" i="2"/>
  <c r="Z992" i="2"/>
  <c r="Y992" i="2"/>
  <c r="X992" i="2"/>
  <c r="W992" i="2"/>
  <c r="V992" i="2"/>
  <c r="U992" i="2"/>
  <c r="T992" i="2"/>
  <c r="S992" i="2"/>
  <c r="R992" i="2"/>
  <c r="Q992" i="2"/>
  <c r="P992" i="2"/>
  <c r="O992" i="2"/>
  <c r="N992" i="2"/>
  <c r="M992" i="2"/>
  <c r="L992" i="2"/>
  <c r="K992" i="2"/>
  <c r="J992" i="2"/>
  <c r="I992" i="2"/>
  <c r="H992" i="2"/>
  <c r="G992" i="2"/>
  <c r="F992" i="2"/>
  <c r="E992" i="2"/>
  <c r="D992" i="2"/>
  <c r="C992" i="2"/>
  <c r="B992" i="2"/>
  <c r="A992" i="2"/>
  <c r="AJ991" i="2"/>
  <c r="AI991" i="2"/>
  <c r="AH991" i="2"/>
  <c r="AG991" i="2"/>
  <c r="AF991" i="2"/>
  <c r="AE991" i="2"/>
  <c r="AD991" i="2"/>
  <c r="AB991" i="2"/>
  <c r="AA991" i="2"/>
  <c r="Z991" i="2"/>
  <c r="Y991" i="2"/>
  <c r="X991" i="2"/>
  <c r="W991" i="2"/>
  <c r="V991" i="2"/>
  <c r="U991" i="2"/>
  <c r="T991" i="2"/>
  <c r="S991" i="2"/>
  <c r="R991" i="2"/>
  <c r="Q991" i="2"/>
  <c r="P991" i="2"/>
  <c r="O991" i="2"/>
  <c r="N991" i="2"/>
  <c r="M991" i="2"/>
  <c r="L991" i="2"/>
  <c r="K991" i="2"/>
  <c r="J991" i="2"/>
  <c r="I991" i="2"/>
  <c r="H991" i="2"/>
  <c r="G991" i="2"/>
  <c r="F991" i="2"/>
  <c r="E991" i="2"/>
  <c r="D991" i="2"/>
  <c r="C991" i="2"/>
  <c r="B991" i="2"/>
  <c r="A991" i="2"/>
  <c r="AJ990" i="2"/>
  <c r="AI990" i="2"/>
  <c r="AH990" i="2"/>
  <c r="AF990" i="2"/>
  <c r="AE990" i="2"/>
  <c r="AD990" i="2"/>
  <c r="AC990" i="2"/>
  <c r="AB990" i="2"/>
  <c r="AA990" i="2"/>
  <c r="Z990" i="2"/>
  <c r="Y990" i="2"/>
  <c r="X990" i="2"/>
  <c r="W990" i="2"/>
  <c r="V990" i="2"/>
  <c r="U990" i="2"/>
  <c r="T990" i="2"/>
  <c r="S990" i="2"/>
  <c r="R990" i="2"/>
  <c r="Q990" i="2"/>
  <c r="P990" i="2"/>
  <c r="O990" i="2"/>
  <c r="N990" i="2"/>
  <c r="M990" i="2"/>
  <c r="L990" i="2"/>
  <c r="K990" i="2"/>
  <c r="J990" i="2"/>
  <c r="I990" i="2"/>
  <c r="H990" i="2"/>
  <c r="G990" i="2"/>
  <c r="F990" i="2"/>
  <c r="E990" i="2"/>
  <c r="D990" i="2"/>
  <c r="C990" i="2"/>
  <c r="B990" i="2"/>
  <c r="A990" i="2"/>
  <c r="AJ989" i="2"/>
  <c r="AI989" i="2"/>
  <c r="AH989" i="2"/>
  <c r="AF989" i="2"/>
  <c r="AE989" i="2"/>
  <c r="AD989" i="2"/>
  <c r="AC989" i="2"/>
  <c r="AB989" i="2"/>
  <c r="AA989" i="2"/>
  <c r="Z989" i="2"/>
  <c r="Y989" i="2"/>
  <c r="X989" i="2"/>
  <c r="W989" i="2"/>
  <c r="V989" i="2"/>
  <c r="U989" i="2"/>
  <c r="T989" i="2"/>
  <c r="S989" i="2"/>
  <c r="R989" i="2"/>
  <c r="Q989" i="2"/>
  <c r="P989" i="2"/>
  <c r="O989" i="2"/>
  <c r="N989" i="2"/>
  <c r="M989" i="2"/>
  <c r="L989" i="2"/>
  <c r="K989" i="2"/>
  <c r="J989" i="2"/>
  <c r="I989" i="2"/>
  <c r="H989" i="2"/>
  <c r="G989" i="2"/>
  <c r="F989" i="2"/>
  <c r="E989" i="2"/>
  <c r="D989" i="2"/>
  <c r="C989" i="2"/>
  <c r="B989" i="2"/>
  <c r="A989" i="2"/>
  <c r="AJ988" i="2"/>
  <c r="AI988" i="2"/>
  <c r="AH988" i="2"/>
  <c r="AG988" i="2"/>
  <c r="AF988" i="2"/>
  <c r="AE988" i="2"/>
  <c r="AD988" i="2"/>
  <c r="AC988" i="2"/>
  <c r="AA988" i="2"/>
  <c r="Z988" i="2"/>
  <c r="Y988" i="2"/>
  <c r="X988" i="2"/>
  <c r="W988" i="2"/>
  <c r="V988" i="2"/>
  <c r="U988" i="2"/>
  <c r="T988" i="2"/>
  <c r="S988" i="2"/>
  <c r="R988" i="2"/>
  <c r="Q988" i="2"/>
  <c r="P988" i="2"/>
  <c r="O988" i="2"/>
  <c r="N988" i="2"/>
  <c r="K988" i="2"/>
  <c r="J988" i="2"/>
  <c r="I988" i="2"/>
  <c r="H988" i="2"/>
  <c r="G988" i="2"/>
  <c r="F988" i="2"/>
  <c r="E988" i="2"/>
  <c r="D988" i="2"/>
  <c r="C988" i="2"/>
  <c r="B988" i="2"/>
  <c r="A988" i="2"/>
  <c r="AJ987" i="2"/>
  <c r="AI987" i="2"/>
  <c r="AH987" i="2"/>
  <c r="AF987" i="2"/>
  <c r="AE987" i="2"/>
  <c r="AD987" i="2"/>
  <c r="AB987" i="2"/>
  <c r="AA987" i="2"/>
  <c r="Z987" i="2"/>
  <c r="Y987" i="2"/>
  <c r="X987" i="2"/>
  <c r="W987" i="2"/>
  <c r="V987" i="2"/>
  <c r="U987" i="2"/>
  <c r="T987" i="2"/>
  <c r="S987" i="2"/>
  <c r="R987" i="2"/>
  <c r="Q987" i="2"/>
  <c r="P987" i="2"/>
  <c r="O987" i="2"/>
  <c r="N987" i="2"/>
  <c r="M987" i="2"/>
  <c r="L987" i="2"/>
  <c r="K987" i="2"/>
  <c r="J987" i="2"/>
  <c r="I987" i="2"/>
  <c r="H987" i="2"/>
  <c r="G987" i="2"/>
  <c r="F987" i="2"/>
  <c r="E987" i="2"/>
  <c r="D987" i="2"/>
  <c r="C987" i="2"/>
  <c r="B987" i="2"/>
  <c r="A987" i="2"/>
  <c r="AJ986" i="2"/>
  <c r="AI986" i="2"/>
  <c r="AH986" i="2"/>
  <c r="AG986" i="2"/>
  <c r="AF986" i="2"/>
  <c r="AE986" i="2"/>
  <c r="AD986" i="2"/>
  <c r="AC986" i="2"/>
  <c r="AB986" i="2"/>
  <c r="AA986" i="2"/>
  <c r="Z986" i="2"/>
  <c r="Y986" i="2"/>
  <c r="X986" i="2"/>
  <c r="W986" i="2"/>
  <c r="V986" i="2"/>
  <c r="U986" i="2"/>
  <c r="T986" i="2"/>
  <c r="S986" i="2"/>
  <c r="R986" i="2"/>
  <c r="Q986" i="2"/>
  <c r="P986" i="2"/>
  <c r="O986" i="2"/>
  <c r="N986" i="2"/>
  <c r="M986" i="2"/>
  <c r="L986" i="2"/>
  <c r="K986" i="2"/>
  <c r="J986" i="2"/>
  <c r="I986" i="2"/>
  <c r="H986" i="2"/>
  <c r="G986" i="2"/>
  <c r="F986" i="2"/>
  <c r="E986" i="2"/>
  <c r="D986" i="2"/>
  <c r="C986" i="2"/>
  <c r="B986" i="2"/>
  <c r="A986" i="2"/>
  <c r="AJ985" i="2"/>
  <c r="AI985" i="2"/>
  <c r="AH985" i="2"/>
  <c r="AF985" i="2"/>
  <c r="AE985" i="2"/>
  <c r="AD985" i="2"/>
  <c r="AB985" i="2"/>
  <c r="AA985" i="2"/>
  <c r="Z985" i="2"/>
  <c r="Y985" i="2"/>
  <c r="X985" i="2"/>
  <c r="V985" i="2"/>
  <c r="U985" i="2"/>
  <c r="T985" i="2"/>
  <c r="S985" i="2"/>
  <c r="R985" i="2"/>
  <c r="Q985" i="2"/>
  <c r="P985" i="2"/>
  <c r="O985" i="2"/>
  <c r="N985" i="2"/>
  <c r="M985" i="2"/>
  <c r="L985" i="2"/>
  <c r="K985" i="2"/>
  <c r="J985" i="2"/>
  <c r="I985" i="2"/>
  <c r="H985" i="2"/>
  <c r="G985" i="2"/>
  <c r="F985" i="2"/>
  <c r="E985" i="2"/>
  <c r="D985" i="2"/>
  <c r="C985" i="2"/>
  <c r="B985" i="2"/>
  <c r="A985" i="2"/>
  <c r="AJ984" i="2"/>
  <c r="AI984" i="2"/>
  <c r="AH984" i="2"/>
  <c r="AG984" i="2"/>
  <c r="AF984" i="2"/>
  <c r="AE984" i="2"/>
  <c r="AD984" i="2"/>
  <c r="AC984" i="2"/>
  <c r="AB984" i="2"/>
  <c r="AA984" i="2"/>
  <c r="Z984" i="2"/>
  <c r="Y984" i="2"/>
  <c r="X984" i="2"/>
  <c r="W984" i="2"/>
  <c r="V984" i="2"/>
  <c r="U984" i="2"/>
  <c r="T984" i="2"/>
  <c r="S984" i="2"/>
  <c r="R984" i="2"/>
  <c r="Q984" i="2"/>
  <c r="P984" i="2"/>
  <c r="O984" i="2"/>
  <c r="N984" i="2"/>
  <c r="K984" i="2"/>
  <c r="J984" i="2"/>
  <c r="I984" i="2"/>
  <c r="H984" i="2"/>
  <c r="G984" i="2"/>
  <c r="F984" i="2"/>
  <c r="E984" i="2"/>
  <c r="D984" i="2"/>
  <c r="C984" i="2"/>
  <c r="B984" i="2"/>
  <c r="A984" i="2"/>
  <c r="AJ983" i="2"/>
  <c r="AF983" i="2"/>
  <c r="AE983" i="2"/>
  <c r="AD983" i="2"/>
  <c r="AC983" i="2"/>
  <c r="AA983" i="2"/>
  <c r="Z983" i="2"/>
  <c r="Y983" i="2"/>
  <c r="X983" i="2"/>
  <c r="W983" i="2"/>
  <c r="V983" i="2"/>
  <c r="U983" i="2"/>
  <c r="T983" i="2"/>
  <c r="S983" i="2"/>
  <c r="R983" i="2"/>
  <c r="Q983" i="2"/>
  <c r="P983" i="2"/>
  <c r="O983" i="2"/>
  <c r="N983" i="2"/>
  <c r="K983" i="2"/>
  <c r="J983" i="2"/>
  <c r="I983" i="2"/>
  <c r="H983" i="2"/>
  <c r="G983" i="2"/>
  <c r="F983" i="2"/>
  <c r="E983" i="2"/>
  <c r="D983" i="2"/>
  <c r="C983" i="2"/>
  <c r="B983" i="2"/>
  <c r="A983" i="2"/>
  <c r="AJ982" i="2"/>
  <c r="AI982" i="2"/>
  <c r="AH982" i="2"/>
  <c r="AF982" i="2"/>
  <c r="AE982" i="2"/>
  <c r="AD982" i="2"/>
  <c r="AB982" i="2"/>
  <c r="AA982" i="2"/>
  <c r="Z982" i="2"/>
  <c r="Y982" i="2"/>
  <c r="X982" i="2"/>
  <c r="V982" i="2"/>
  <c r="U982" i="2"/>
  <c r="T982" i="2"/>
  <c r="S982" i="2"/>
  <c r="R982" i="2"/>
  <c r="Q982" i="2"/>
  <c r="P982" i="2"/>
  <c r="O982" i="2"/>
  <c r="N982" i="2"/>
  <c r="M982" i="2"/>
  <c r="L982" i="2"/>
  <c r="K982" i="2"/>
  <c r="J982" i="2"/>
  <c r="I982" i="2"/>
  <c r="H982" i="2"/>
  <c r="G982" i="2"/>
  <c r="F982" i="2"/>
  <c r="E982" i="2"/>
  <c r="D982" i="2"/>
  <c r="C982" i="2"/>
  <c r="B982" i="2"/>
  <c r="A982" i="2"/>
  <c r="AJ981" i="2"/>
  <c r="AI981" i="2"/>
  <c r="AH981" i="2"/>
  <c r="AG981" i="2"/>
  <c r="AF981" i="2"/>
  <c r="AE981" i="2"/>
  <c r="AD981" i="2"/>
  <c r="AC981" i="2"/>
  <c r="AB981" i="2"/>
  <c r="AA981" i="2"/>
  <c r="Z981" i="2"/>
  <c r="Y981" i="2"/>
  <c r="X981" i="2"/>
  <c r="W981" i="2"/>
  <c r="V981" i="2"/>
  <c r="U981" i="2"/>
  <c r="T981" i="2"/>
  <c r="S981" i="2"/>
  <c r="R981" i="2"/>
  <c r="Q981" i="2"/>
  <c r="P981" i="2"/>
  <c r="O981" i="2"/>
  <c r="N981" i="2"/>
  <c r="M981" i="2"/>
  <c r="L981" i="2"/>
  <c r="K981" i="2"/>
  <c r="J981" i="2"/>
  <c r="I981" i="2"/>
  <c r="H981" i="2"/>
  <c r="G981" i="2"/>
  <c r="F981" i="2"/>
  <c r="E981" i="2"/>
  <c r="D981" i="2"/>
  <c r="C981" i="2"/>
  <c r="B981" i="2"/>
  <c r="A981" i="2"/>
  <c r="AJ980" i="2"/>
  <c r="AI980" i="2"/>
  <c r="AH980" i="2"/>
  <c r="AG980" i="2"/>
  <c r="AF980" i="2"/>
  <c r="AE980" i="2"/>
  <c r="AD980" i="2"/>
  <c r="AC980" i="2"/>
  <c r="AB980" i="2"/>
  <c r="AA980" i="2"/>
  <c r="Z980" i="2"/>
  <c r="Y980" i="2"/>
  <c r="X980" i="2"/>
  <c r="W980" i="2"/>
  <c r="V980" i="2"/>
  <c r="U980" i="2"/>
  <c r="T980" i="2"/>
  <c r="S980" i="2"/>
  <c r="R980" i="2"/>
  <c r="Q980" i="2"/>
  <c r="P980" i="2"/>
  <c r="O980" i="2"/>
  <c r="N980" i="2"/>
  <c r="K980" i="2"/>
  <c r="J980" i="2"/>
  <c r="I980" i="2"/>
  <c r="H980" i="2"/>
  <c r="G980" i="2"/>
  <c r="F980" i="2"/>
  <c r="E980" i="2"/>
  <c r="D980" i="2"/>
  <c r="C980" i="2"/>
  <c r="B980" i="2"/>
  <c r="A980" i="2"/>
  <c r="AJ979" i="2"/>
  <c r="AI979" i="2"/>
  <c r="AH979" i="2"/>
  <c r="AF979" i="2"/>
  <c r="AE979" i="2"/>
  <c r="AD979" i="2"/>
  <c r="AC979" i="2"/>
  <c r="AB979" i="2"/>
  <c r="AA979" i="2"/>
  <c r="Z979" i="2"/>
  <c r="Y979" i="2"/>
  <c r="X979" i="2"/>
  <c r="V979" i="2"/>
  <c r="U979" i="2"/>
  <c r="T979" i="2"/>
  <c r="S979" i="2"/>
  <c r="R979" i="2"/>
  <c r="Q979" i="2"/>
  <c r="P979" i="2"/>
  <c r="O979" i="2"/>
  <c r="N979" i="2"/>
  <c r="K979" i="2"/>
  <c r="J979" i="2"/>
  <c r="I979" i="2"/>
  <c r="H979" i="2"/>
  <c r="G979" i="2"/>
  <c r="F979" i="2"/>
  <c r="E979" i="2"/>
  <c r="D979" i="2"/>
  <c r="C979" i="2"/>
  <c r="B979" i="2"/>
  <c r="A979" i="2"/>
  <c r="AJ978" i="2"/>
  <c r="AI978" i="2"/>
  <c r="AH978" i="2"/>
  <c r="AG978" i="2"/>
  <c r="AF978" i="2"/>
  <c r="AE978" i="2"/>
  <c r="AD978" i="2"/>
  <c r="AC978" i="2"/>
  <c r="AB978" i="2"/>
  <c r="AA978" i="2"/>
  <c r="Z978" i="2"/>
  <c r="Y978" i="2"/>
  <c r="X978" i="2"/>
  <c r="V978" i="2"/>
  <c r="U978" i="2"/>
  <c r="T978" i="2"/>
  <c r="S978" i="2"/>
  <c r="R978" i="2"/>
  <c r="Q978" i="2"/>
  <c r="P978" i="2"/>
  <c r="O978" i="2"/>
  <c r="N978" i="2"/>
  <c r="K978" i="2"/>
  <c r="J978" i="2"/>
  <c r="I978" i="2"/>
  <c r="H978" i="2"/>
  <c r="G978" i="2"/>
  <c r="F978" i="2"/>
  <c r="E978" i="2"/>
  <c r="D978" i="2"/>
  <c r="C978" i="2"/>
  <c r="B978" i="2"/>
  <c r="A978" i="2"/>
  <c r="AJ977" i="2"/>
  <c r="AI977" i="2"/>
  <c r="AH977" i="2"/>
  <c r="AG977" i="2"/>
  <c r="AF977" i="2"/>
  <c r="AE977" i="2"/>
  <c r="AD977" i="2"/>
  <c r="AC977" i="2"/>
  <c r="AB977" i="2"/>
  <c r="AA977" i="2"/>
  <c r="Z977" i="2"/>
  <c r="Y977" i="2"/>
  <c r="W977" i="2"/>
  <c r="V977" i="2"/>
  <c r="U977" i="2"/>
  <c r="T977" i="2"/>
  <c r="S977" i="2"/>
  <c r="R977" i="2"/>
  <c r="Q977" i="2"/>
  <c r="P977" i="2"/>
  <c r="O977" i="2"/>
  <c r="N977" i="2"/>
  <c r="M977" i="2"/>
  <c r="K977" i="2"/>
  <c r="J977" i="2"/>
  <c r="I977" i="2"/>
  <c r="H977" i="2"/>
  <c r="G977" i="2"/>
  <c r="F977" i="2"/>
  <c r="E977" i="2"/>
  <c r="D977" i="2"/>
  <c r="C977" i="2"/>
  <c r="B977" i="2"/>
  <c r="A977" i="2"/>
  <c r="AJ976" i="2"/>
  <c r="AI976" i="2"/>
  <c r="AH976" i="2"/>
  <c r="AG976" i="2"/>
  <c r="AF976" i="2"/>
  <c r="AE976" i="2"/>
  <c r="AD976" i="2"/>
  <c r="AC976" i="2"/>
  <c r="AB976" i="2"/>
  <c r="AA976" i="2"/>
  <c r="Z976" i="2"/>
  <c r="Y976" i="2"/>
  <c r="X976" i="2"/>
  <c r="W976" i="2"/>
  <c r="V976" i="2"/>
  <c r="U976" i="2"/>
  <c r="T976" i="2"/>
  <c r="S976" i="2"/>
  <c r="R976" i="2"/>
  <c r="Q976" i="2"/>
  <c r="P976" i="2"/>
  <c r="O976" i="2"/>
  <c r="N976" i="2"/>
  <c r="K976" i="2"/>
  <c r="J976" i="2"/>
  <c r="I976" i="2"/>
  <c r="H976" i="2"/>
  <c r="G976" i="2"/>
  <c r="F976" i="2"/>
  <c r="E976" i="2"/>
  <c r="D976" i="2"/>
  <c r="C976" i="2"/>
  <c r="B976" i="2"/>
  <c r="A976" i="2"/>
  <c r="AJ975" i="2"/>
  <c r="AI975" i="2"/>
  <c r="AH975" i="2"/>
  <c r="AG975" i="2"/>
  <c r="AF975" i="2"/>
  <c r="AE975" i="2"/>
  <c r="AD975" i="2"/>
  <c r="AB975" i="2"/>
  <c r="AA975" i="2"/>
  <c r="Z975" i="2"/>
  <c r="Y975" i="2"/>
  <c r="X975" i="2"/>
  <c r="W975" i="2"/>
  <c r="V975" i="2"/>
  <c r="U975" i="2"/>
  <c r="T975" i="2"/>
  <c r="S975" i="2"/>
  <c r="R975" i="2"/>
  <c r="Q975" i="2"/>
  <c r="P975" i="2"/>
  <c r="O975" i="2"/>
  <c r="N975" i="2"/>
  <c r="K975" i="2"/>
  <c r="J975" i="2"/>
  <c r="I975" i="2"/>
  <c r="H975" i="2"/>
  <c r="G975" i="2"/>
  <c r="F975" i="2"/>
  <c r="E975" i="2"/>
  <c r="D975" i="2"/>
  <c r="C975" i="2"/>
  <c r="B975" i="2"/>
  <c r="A975" i="2"/>
  <c r="AJ974" i="2"/>
  <c r="AI974" i="2"/>
  <c r="AH974" i="2"/>
  <c r="AG974" i="2"/>
  <c r="AF974" i="2"/>
  <c r="AE974" i="2"/>
  <c r="AD974" i="2"/>
  <c r="AC974" i="2"/>
  <c r="AB974" i="2"/>
  <c r="AA974" i="2"/>
  <c r="Z974" i="2"/>
  <c r="Y974" i="2"/>
  <c r="X974" i="2"/>
  <c r="V974" i="2"/>
  <c r="U974" i="2"/>
  <c r="T974" i="2"/>
  <c r="S974" i="2"/>
  <c r="R974" i="2"/>
  <c r="Q974" i="2"/>
  <c r="P974" i="2"/>
  <c r="O974" i="2"/>
  <c r="N974" i="2"/>
  <c r="K974" i="2"/>
  <c r="J974" i="2"/>
  <c r="I974" i="2"/>
  <c r="H974" i="2"/>
  <c r="G974" i="2"/>
  <c r="F974" i="2"/>
  <c r="E974" i="2"/>
  <c r="D974" i="2"/>
  <c r="C974" i="2"/>
  <c r="B974" i="2"/>
  <c r="A974" i="2"/>
  <c r="AJ973" i="2"/>
  <c r="AI973" i="2"/>
  <c r="AH973" i="2"/>
  <c r="AG973" i="2"/>
  <c r="AF973" i="2"/>
  <c r="AE973" i="2"/>
  <c r="AD973" i="2"/>
  <c r="AC973" i="2"/>
  <c r="AB973" i="2"/>
  <c r="AA973" i="2"/>
  <c r="Z973" i="2"/>
  <c r="Y973" i="2"/>
  <c r="X973" i="2"/>
  <c r="W973" i="2"/>
  <c r="V973" i="2"/>
  <c r="U973" i="2"/>
  <c r="T973" i="2"/>
  <c r="S973" i="2"/>
  <c r="R973" i="2"/>
  <c r="Q973" i="2"/>
  <c r="P973" i="2"/>
  <c r="O973" i="2"/>
  <c r="N973" i="2"/>
  <c r="K973" i="2"/>
  <c r="J973" i="2"/>
  <c r="I973" i="2"/>
  <c r="H973" i="2"/>
  <c r="G973" i="2"/>
  <c r="F973" i="2"/>
  <c r="E973" i="2"/>
  <c r="D973" i="2"/>
  <c r="C973" i="2"/>
  <c r="B973" i="2"/>
  <c r="A973" i="2"/>
  <c r="AJ972" i="2"/>
  <c r="AI972" i="2"/>
  <c r="AH972" i="2"/>
  <c r="AG972" i="2"/>
  <c r="AF972" i="2"/>
  <c r="AE972" i="2"/>
  <c r="AD972" i="2"/>
  <c r="AC972" i="2"/>
  <c r="AB972" i="2"/>
  <c r="AA972" i="2"/>
  <c r="Z972" i="2"/>
  <c r="Y972" i="2"/>
  <c r="X972" i="2"/>
  <c r="W972" i="2"/>
  <c r="V972" i="2"/>
  <c r="U972" i="2"/>
  <c r="T972" i="2"/>
  <c r="S972" i="2"/>
  <c r="R972" i="2"/>
  <c r="Q972" i="2"/>
  <c r="P972" i="2"/>
  <c r="O972" i="2"/>
  <c r="N972" i="2"/>
  <c r="M972" i="2"/>
  <c r="K972" i="2"/>
  <c r="J972" i="2"/>
  <c r="I972" i="2"/>
  <c r="H972" i="2"/>
  <c r="G972" i="2"/>
  <c r="F972" i="2"/>
  <c r="E972" i="2"/>
  <c r="D972" i="2"/>
  <c r="C972" i="2"/>
  <c r="B972" i="2"/>
  <c r="A972" i="2"/>
  <c r="AJ971" i="2"/>
  <c r="AI971" i="2"/>
  <c r="AH971" i="2"/>
  <c r="AG971" i="2"/>
  <c r="AF971" i="2"/>
  <c r="AE971" i="2"/>
  <c r="AD971" i="2"/>
  <c r="AC971" i="2"/>
  <c r="AB971" i="2"/>
  <c r="AA971" i="2"/>
  <c r="Z971" i="2"/>
  <c r="Y971" i="2"/>
  <c r="X971" i="2"/>
  <c r="W971" i="2"/>
  <c r="V971" i="2"/>
  <c r="U971" i="2"/>
  <c r="T971" i="2"/>
  <c r="S971" i="2"/>
  <c r="R971" i="2"/>
  <c r="Q971" i="2"/>
  <c r="P971" i="2"/>
  <c r="O971" i="2"/>
  <c r="N971" i="2"/>
  <c r="M971" i="2"/>
  <c r="L971" i="2"/>
  <c r="K971" i="2"/>
  <c r="J971" i="2"/>
  <c r="I971" i="2"/>
  <c r="H971" i="2"/>
  <c r="G971" i="2"/>
  <c r="F971" i="2"/>
  <c r="E971" i="2"/>
  <c r="D971" i="2"/>
  <c r="C971" i="2"/>
  <c r="B971" i="2"/>
  <c r="A971" i="2"/>
  <c r="AJ970" i="2"/>
  <c r="AI970" i="2"/>
  <c r="AH970" i="2"/>
  <c r="AG970" i="2"/>
  <c r="AF970" i="2"/>
  <c r="AE970" i="2"/>
  <c r="AD970" i="2"/>
  <c r="AB970" i="2"/>
  <c r="AA970" i="2"/>
  <c r="Z970" i="2"/>
  <c r="Y970" i="2"/>
  <c r="X970" i="2"/>
  <c r="W970" i="2"/>
  <c r="V970" i="2"/>
  <c r="U970" i="2"/>
  <c r="T970" i="2"/>
  <c r="S970" i="2"/>
  <c r="R970" i="2"/>
  <c r="Q970" i="2"/>
  <c r="P970" i="2"/>
  <c r="O970" i="2"/>
  <c r="N970" i="2"/>
  <c r="K970" i="2"/>
  <c r="J970" i="2"/>
  <c r="I970" i="2"/>
  <c r="H970" i="2"/>
  <c r="G970" i="2"/>
  <c r="F970" i="2"/>
  <c r="E970" i="2"/>
  <c r="D970" i="2"/>
  <c r="C970" i="2"/>
  <c r="B970" i="2"/>
  <c r="A970" i="2"/>
  <c r="AJ969" i="2"/>
  <c r="AI969" i="2"/>
  <c r="AH969" i="2"/>
  <c r="AG969" i="2"/>
  <c r="AF969" i="2"/>
  <c r="AE969" i="2"/>
  <c r="AD969" i="2"/>
  <c r="AC969" i="2"/>
  <c r="AB969" i="2"/>
  <c r="AA969" i="2"/>
  <c r="Z969" i="2"/>
  <c r="Y969" i="2"/>
  <c r="X969" i="2"/>
  <c r="W969" i="2"/>
  <c r="V969" i="2"/>
  <c r="U969" i="2"/>
  <c r="T969" i="2"/>
  <c r="S969" i="2"/>
  <c r="R969" i="2"/>
  <c r="Q969" i="2"/>
  <c r="P969" i="2"/>
  <c r="O969" i="2"/>
  <c r="N969" i="2"/>
  <c r="M969" i="2"/>
  <c r="L969" i="2"/>
  <c r="K969" i="2"/>
  <c r="J969" i="2"/>
  <c r="I969" i="2"/>
  <c r="H969" i="2"/>
  <c r="G969" i="2"/>
  <c r="F969" i="2"/>
  <c r="E969" i="2"/>
  <c r="D969" i="2"/>
  <c r="C969" i="2"/>
  <c r="B969" i="2"/>
  <c r="A969" i="2"/>
  <c r="AJ968" i="2"/>
  <c r="AI968" i="2"/>
  <c r="AH968" i="2"/>
  <c r="AF968" i="2"/>
  <c r="AE968" i="2"/>
  <c r="AD968" i="2"/>
  <c r="AB968" i="2"/>
  <c r="AA968" i="2"/>
  <c r="Z968" i="2"/>
  <c r="Y968" i="2"/>
  <c r="W968" i="2"/>
  <c r="V968" i="2"/>
  <c r="U968" i="2"/>
  <c r="T968" i="2"/>
  <c r="S968" i="2"/>
  <c r="R968" i="2"/>
  <c r="Q968" i="2"/>
  <c r="P968" i="2"/>
  <c r="O968" i="2"/>
  <c r="N968" i="2"/>
  <c r="M968" i="2"/>
  <c r="L968" i="2"/>
  <c r="K968" i="2"/>
  <c r="J968" i="2"/>
  <c r="I968" i="2"/>
  <c r="H968" i="2"/>
  <c r="G968" i="2"/>
  <c r="F968" i="2"/>
  <c r="E968" i="2"/>
  <c r="D968" i="2"/>
  <c r="C968" i="2"/>
  <c r="B968" i="2"/>
  <c r="A968" i="2"/>
  <c r="AJ967" i="2"/>
  <c r="AI967" i="2"/>
  <c r="AH967" i="2"/>
  <c r="AG967" i="2"/>
  <c r="AF967" i="2"/>
  <c r="AE967" i="2"/>
  <c r="AD967" i="2"/>
  <c r="AC967" i="2"/>
  <c r="AA967" i="2"/>
  <c r="Z967" i="2"/>
  <c r="Y967" i="2"/>
  <c r="X967" i="2"/>
  <c r="W967" i="2"/>
  <c r="V967" i="2"/>
  <c r="U967" i="2"/>
  <c r="T967" i="2"/>
  <c r="S967" i="2"/>
  <c r="R967" i="2"/>
  <c r="Q967" i="2"/>
  <c r="P967" i="2"/>
  <c r="O967" i="2"/>
  <c r="N967" i="2"/>
  <c r="K967" i="2"/>
  <c r="J967" i="2"/>
  <c r="I967" i="2"/>
  <c r="H967" i="2"/>
  <c r="G967" i="2"/>
  <c r="F967" i="2"/>
  <c r="E967" i="2"/>
  <c r="D967" i="2"/>
  <c r="C967" i="2"/>
  <c r="B967" i="2"/>
  <c r="A967" i="2"/>
  <c r="AJ966" i="2"/>
  <c r="AI966" i="2"/>
  <c r="AH966" i="2"/>
  <c r="AG966" i="2"/>
  <c r="AF966" i="2"/>
  <c r="AE966" i="2"/>
  <c r="AD966" i="2"/>
  <c r="AB966" i="2"/>
  <c r="AA966" i="2"/>
  <c r="Z966" i="2"/>
  <c r="Y966" i="2"/>
  <c r="W966" i="2"/>
  <c r="V966" i="2"/>
  <c r="U966" i="2"/>
  <c r="T966" i="2"/>
  <c r="S966" i="2"/>
  <c r="R966" i="2"/>
  <c r="Q966" i="2"/>
  <c r="P966" i="2"/>
  <c r="O966" i="2"/>
  <c r="N966" i="2"/>
  <c r="M966" i="2"/>
  <c r="K966" i="2"/>
  <c r="J966" i="2"/>
  <c r="I966" i="2"/>
  <c r="H966" i="2"/>
  <c r="G966" i="2"/>
  <c r="F966" i="2"/>
  <c r="E966" i="2"/>
  <c r="D966" i="2"/>
  <c r="C966" i="2"/>
  <c r="B966" i="2"/>
  <c r="A966" i="2"/>
  <c r="AJ965" i="2"/>
  <c r="AI965" i="2"/>
  <c r="AH965" i="2"/>
  <c r="AG965" i="2"/>
  <c r="AF965" i="2"/>
  <c r="AE965" i="2"/>
  <c r="AD965" i="2"/>
  <c r="AB965" i="2"/>
  <c r="AA965" i="2"/>
  <c r="Z965" i="2"/>
  <c r="Y965" i="2"/>
  <c r="X965" i="2"/>
  <c r="W965" i="2"/>
  <c r="V965" i="2"/>
  <c r="U965" i="2"/>
  <c r="T965" i="2"/>
  <c r="S965" i="2"/>
  <c r="R965" i="2"/>
  <c r="Q965" i="2"/>
  <c r="P965" i="2"/>
  <c r="O965" i="2"/>
  <c r="N965" i="2"/>
  <c r="K965" i="2"/>
  <c r="J965" i="2"/>
  <c r="I965" i="2"/>
  <c r="H965" i="2"/>
  <c r="G965" i="2"/>
  <c r="F965" i="2"/>
  <c r="E965" i="2"/>
  <c r="D965" i="2"/>
  <c r="C965" i="2"/>
  <c r="B965" i="2"/>
  <c r="A965" i="2"/>
  <c r="AJ964" i="2"/>
  <c r="AH964" i="2"/>
  <c r="AG964" i="2"/>
  <c r="AF964" i="2"/>
  <c r="AE964" i="2"/>
  <c r="AD964" i="2"/>
  <c r="AC964" i="2"/>
  <c r="AB964" i="2"/>
  <c r="AA964" i="2"/>
  <c r="Z964" i="2"/>
  <c r="Y964" i="2"/>
  <c r="X964" i="2"/>
  <c r="W964" i="2"/>
  <c r="V964" i="2"/>
  <c r="U964" i="2"/>
  <c r="T964" i="2"/>
  <c r="S964" i="2"/>
  <c r="R964" i="2"/>
  <c r="Q964" i="2"/>
  <c r="P964" i="2"/>
  <c r="O964" i="2"/>
  <c r="N964" i="2"/>
  <c r="K964" i="2"/>
  <c r="J964" i="2"/>
  <c r="I964" i="2"/>
  <c r="H964" i="2"/>
  <c r="G964" i="2"/>
  <c r="F964" i="2"/>
  <c r="E964" i="2"/>
  <c r="D964" i="2"/>
  <c r="C964" i="2"/>
  <c r="B964" i="2"/>
  <c r="A964" i="2"/>
  <c r="AJ963" i="2"/>
  <c r="AI963" i="2"/>
  <c r="AH963" i="2"/>
  <c r="AG963" i="2"/>
  <c r="AF963" i="2"/>
  <c r="AE963" i="2"/>
  <c r="AD963" i="2"/>
  <c r="AC963" i="2"/>
  <c r="AB963" i="2"/>
  <c r="AA963" i="2"/>
  <c r="Z963" i="2"/>
  <c r="Y963" i="2"/>
  <c r="X963" i="2"/>
  <c r="W963" i="2"/>
  <c r="V963" i="2"/>
  <c r="U963" i="2"/>
  <c r="T963" i="2"/>
  <c r="S963" i="2"/>
  <c r="R963" i="2"/>
  <c r="Q963" i="2"/>
  <c r="P963" i="2"/>
  <c r="O963" i="2"/>
  <c r="N963" i="2"/>
  <c r="M963" i="2"/>
  <c r="L963" i="2"/>
  <c r="K963" i="2"/>
  <c r="J963" i="2"/>
  <c r="I963" i="2"/>
  <c r="H963" i="2"/>
  <c r="G963" i="2"/>
  <c r="F963" i="2"/>
  <c r="E963" i="2"/>
  <c r="D963" i="2"/>
  <c r="C963" i="2"/>
  <c r="B963" i="2"/>
  <c r="A963" i="2"/>
  <c r="AJ962" i="2"/>
  <c r="AI962" i="2"/>
  <c r="AH962" i="2"/>
  <c r="AG962" i="2"/>
  <c r="AF962" i="2"/>
  <c r="AE962" i="2"/>
  <c r="AD962" i="2"/>
  <c r="AB962" i="2"/>
  <c r="AA962" i="2"/>
  <c r="Z962" i="2"/>
  <c r="Y962" i="2"/>
  <c r="X962" i="2"/>
  <c r="W962" i="2"/>
  <c r="V962" i="2"/>
  <c r="U962" i="2"/>
  <c r="T962" i="2"/>
  <c r="S962" i="2"/>
  <c r="R962" i="2"/>
  <c r="Q962" i="2"/>
  <c r="P962" i="2"/>
  <c r="O962" i="2"/>
  <c r="N962" i="2"/>
  <c r="M962" i="2"/>
  <c r="L962" i="2"/>
  <c r="K962" i="2"/>
  <c r="J962" i="2"/>
  <c r="I962" i="2"/>
  <c r="H962" i="2"/>
  <c r="G962" i="2"/>
  <c r="F962" i="2"/>
  <c r="E962" i="2"/>
  <c r="D962" i="2"/>
  <c r="C962" i="2"/>
  <c r="B962" i="2"/>
  <c r="A962" i="2"/>
  <c r="AJ961" i="2"/>
  <c r="AI961" i="2"/>
  <c r="AH961" i="2"/>
  <c r="AG961" i="2"/>
  <c r="AF961" i="2"/>
  <c r="AE961" i="2"/>
  <c r="AD961" i="2"/>
  <c r="AC961" i="2"/>
  <c r="AB961" i="2"/>
  <c r="AA961" i="2"/>
  <c r="Z961" i="2"/>
  <c r="Y961" i="2"/>
  <c r="X961" i="2"/>
  <c r="W961" i="2"/>
  <c r="V961" i="2"/>
  <c r="U961" i="2"/>
  <c r="T961" i="2"/>
  <c r="S961" i="2"/>
  <c r="R961" i="2"/>
  <c r="Q961" i="2"/>
  <c r="P961" i="2"/>
  <c r="O961" i="2"/>
  <c r="N961" i="2"/>
  <c r="M961" i="2"/>
  <c r="L961" i="2"/>
  <c r="K961" i="2"/>
  <c r="J961" i="2"/>
  <c r="I961" i="2"/>
  <c r="H961" i="2"/>
  <c r="G961" i="2"/>
  <c r="F961" i="2"/>
  <c r="E961" i="2"/>
  <c r="D961" i="2"/>
  <c r="C961" i="2"/>
  <c r="B961" i="2"/>
  <c r="A961" i="2"/>
  <c r="AJ960" i="2"/>
  <c r="AI960" i="2"/>
  <c r="AH960" i="2"/>
  <c r="AG960" i="2"/>
  <c r="AF960" i="2"/>
  <c r="AE960" i="2"/>
  <c r="AD960" i="2"/>
  <c r="AC960" i="2"/>
  <c r="AB960" i="2"/>
  <c r="AA960" i="2"/>
  <c r="Z960" i="2"/>
  <c r="Y960" i="2"/>
  <c r="X960" i="2"/>
  <c r="V960" i="2"/>
  <c r="U960" i="2"/>
  <c r="T960" i="2"/>
  <c r="S960" i="2"/>
  <c r="R960" i="2"/>
  <c r="Q960" i="2"/>
  <c r="P960" i="2"/>
  <c r="O960" i="2"/>
  <c r="N960" i="2"/>
  <c r="K960" i="2"/>
  <c r="J960" i="2"/>
  <c r="I960" i="2"/>
  <c r="H960" i="2"/>
  <c r="G960" i="2"/>
  <c r="F960" i="2"/>
  <c r="E960" i="2"/>
  <c r="D960" i="2"/>
  <c r="C960" i="2"/>
  <c r="B960" i="2"/>
  <c r="A960" i="2"/>
  <c r="AJ959" i="2"/>
  <c r="AI959" i="2"/>
  <c r="AF959" i="2"/>
  <c r="AE959" i="2"/>
  <c r="AD959" i="2"/>
  <c r="AA959" i="2"/>
  <c r="Z959" i="2"/>
  <c r="Y959" i="2"/>
  <c r="X959" i="2"/>
  <c r="W959" i="2"/>
  <c r="V959" i="2"/>
  <c r="U959" i="2"/>
  <c r="T959" i="2"/>
  <c r="S959" i="2"/>
  <c r="R959" i="2"/>
  <c r="Q959" i="2"/>
  <c r="P959" i="2"/>
  <c r="O959" i="2"/>
  <c r="N959" i="2"/>
  <c r="K959" i="2"/>
  <c r="J959" i="2"/>
  <c r="I959" i="2"/>
  <c r="H959" i="2"/>
  <c r="G959" i="2"/>
  <c r="F959" i="2"/>
  <c r="E959" i="2"/>
  <c r="D959" i="2"/>
  <c r="C959" i="2"/>
  <c r="B959" i="2"/>
  <c r="A959" i="2"/>
  <c r="AJ958" i="2"/>
  <c r="AI958" i="2"/>
  <c r="AH958" i="2"/>
  <c r="AG958" i="2"/>
  <c r="AF958" i="2"/>
  <c r="AE958" i="2"/>
  <c r="AD958" i="2"/>
  <c r="AC958" i="2"/>
  <c r="AB958" i="2"/>
  <c r="AA958" i="2"/>
  <c r="Z958" i="2"/>
  <c r="Y958" i="2"/>
  <c r="X958" i="2"/>
  <c r="W958" i="2"/>
  <c r="V958" i="2"/>
  <c r="U958" i="2"/>
  <c r="T958" i="2"/>
  <c r="S958" i="2"/>
  <c r="R958" i="2"/>
  <c r="Q958" i="2"/>
  <c r="P958" i="2"/>
  <c r="O958" i="2"/>
  <c r="N958" i="2"/>
  <c r="K958" i="2"/>
  <c r="J958" i="2"/>
  <c r="I958" i="2"/>
  <c r="H958" i="2"/>
  <c r="G958" i="2"/>
  <c r="F958" i="2"/>
  <c r="E958" i="2"/>
  <c r="D958" i="2"/>
  <c r="C958" i="2"/>
  <c r="B958" i="2"/>
  <c r="A958" i="2"/>
  <c r="AJ957" i="2"/>
  <c r="AI957" i="2"/>
  <c r="AH957" i="2"/>
  <c r="AF957" i="2"/>
  <c r="AE957" i="2"/>
  <c r="AD957" i="2"/>
  <c r="AC957" i="2"/>
  <c r="AB957" i="2"/>
  <c r="AA957" i="2"/>
  <c r="Z957" i="2"/>
  <c r="Y957" i="2"/>
  <c r="X957" i="2"/>
  <c r="W957" i="2"/>
  <c r="V957" i="2"/>
  <c r="U957" i="2"/>
  <c r="T957" i="2"/>
  <c r="S957" i="2"/>
  <c r="R957" i="2"/>
  <c r="Q957" i="2"/>
  <c r="P957" i="2"/>
  <c r="O957" i="2"/>
  <c r="N957" i="2"/>
  <c r="K957" i="2"/>
  <c r="J957" i="2"/>
  <c r="I957" i="2"/>
  <c r="H957" i="2"/>
  <c r="G957" i="2"/>
  <c r="F957" i="2"/>
  <c r="E957" i="2"/>
  <c r="D957" i="2"/>
  <c r="C957" i="2"/>
  <c r="B957" i="2"/>
  <c r="A957" i="2"/>
  <c r="AJ956" i="2"/>
  <c r="AI956" i="2"/>
  <c r="AH956" i="2"/>
  <c r="AG956" i="2"/>
  <c r="AF956" i="2"/>
  <c r="AE956" i="2"/>
  <c r="AD956" i="2"/>
  <c r="AC956" i="2"/>
  <c r="AB956" i="2"/>
  <c r="AA956" i="2"/>
  <c r="Z956" i="2"/>
  <c r="Y956" i="2"/>
  <c r="X956" i="2"/>
  <c r="W956" i="2"/>
  <c r="V956" i="2"/>
  <c r="U956" i="2"/>
  <c r="T956" i="2"/>
  <c r="S956" i="2"/>
  <c r="R956" i="2"/>
  <c r="Q956" i="2"/>
  <c r="P956" i="2"/>
  <c r="O956" i="2"/>
  <c r="N956" i="2"/>
  <c r="K956" i="2"/>
  <c r="J956" i="2"/>
  <c r="I956" i="2"/>
  <c r="H956" i="2"/>
  <c r="G956" i="2"/>
  <c r="F956" i="2"/>
  <c r="E956" i="2"/>
  <c r="D956" i="2"/>
  <c r="C956" i="2"/>
  <c r="B956" i="2"/>
  <c r="A956" i="2"/>
  <c r="AJ955" i="2"/>
  <c r="AI955" i="2"/>
  <c r="AH955" i="2"/>
  <c r="AG955" i="2"/>
  <c r="AF955" i="2"/>
  <c r="AE955" i="2"/>
  <c r="AD955" i="2"/>
  <c r="AC955" i="2"/>
  <c r="AA955" i="2"/>
  <c r="Z955" i="2"/>
  <c r="Y955" i="2"/>
  <c r="X955" i="2"/>
  <c r="W955" i="2"/>
  <c r="V955" i="2"/>
  <c r="U955" i="2"/>
  <c r="T955" i="2"/>
  <c r="S955" i="2"/>
  <c r="R955" i="2"/>
  <c r="Q955" i="2"/>
  <c r="P955" i="2"/>
  <c r="O955" i="2"/>
  <c r="N955" i="2"/>
  <c r="K955" i="2"/>
  <c r="J955" i="2"/>
  <c r="I955" i="2"/>
  <c r="H955" i="2"/>
  <c r="G955" i="2"/>
  <c r="F955" i="2"/>
  <c r="E955" i="2"/>
  <c r="D955" i="2"/>
  <c r="C955" i="2"/>
  <c r="B955" i="2"/>
  <c r="A955" i="2"/>
  <c r="AJ954" i="2"/>
  <c r="AI954" i="2"/>
  <c r="AH954" i="2"/>
  <c r="AG954" i="2"/>
  <c r="AF954" i="2"/>
  <c r="AE954" i="2"/>
  <c r="AD954" i="2"/>
  <c r="AB954" i="2"/>
  <c r="AA954" i="2"/>
  <c r="Z954" i="2"/>
  <c r="Y954" i="2"/>
  <c r="X954" i="2"/>
  <c r="V954" i="2"/>
  <c r="U954" i="2"/>
  <c r="T954" i="2"/>
  <c r="S954" i="2"/>
  <c r="R954" i="2"/>
  <c r="Q954" i="2"/>
  <c r="P954" i="2"/>
  <c r="O954" i="2"/>
  <c r="N954" i="2"/>
  <c r="K954" i="2"/>
  <c r="J954" i="2"/>
  <c r="I954" i="2"/>
  <c r="H954" i="2"/>
  <c r="G954" i="2"/>
  <c r="F954" i="2"/>
  <c r="E954" i="2"/>
  <c r="D954" i="2"/>
  <c r="C954" i="2"/>
  <c r="B954" i="2"/>
  <c r="A954" i="2"/>
  <c r="AJ953" i="2"/>
  <c r="AI953" i="2"/>
  <c r="AH953" i="2"/>
  <c r="AG953" i="2"/>
  <c r="AF953" i="2"/>
  <c r="AE953" i="2"/>
  <c r="AD953" i="2"/>
  <c r="AC953" i="2"/>
  <c r="AB953" i="2"/>
  <c r="AA953" i="2"/>
  <c r="Z953" i="2"/>
  <c r="Y953" i="2"/>
  <c r="X953" i="2"/>
  <c r="W953" i="2"/>
  <c r="V953" i="2"/>
  <c r="U953" i="2"/>
  <c r="T953" i="2"/>
  <c r="S953" i="2"/>
  <c r="R953" i="2"/>
  <c r="Q953" i="2"/>
  <c r="P953" i="2"/>
  <c r="O953" i="2"/>
  <c r="N953" i="2"/>
  <c r="M953" i="2"/>
  <c r="K953" i="2"/>
  <c r="J953" i="2"/>
  <c r="I953" i="2"/>
  <c r="H953" i="2"/>
  <c r="G953" i="2"/>
  <c r="F953" i="2"/>
  <c r="E953" i="2"/>
  <c r="D953" i="2"/>
  <c r="C953" i="2"/>
  <c r="B953" i="2"/>
  <c r="A953" i="2"/>
  <c r="AJ952" i="2"/>
  <c r="AI952" i="2"/>
  <c r="AH952" i="2"/>
  <c r="AG952" i="2"/>
  <c r="AF952" i="2"/>
  <c r="AE952" i="2"/>
  <c r="AD952" i="2"/>
  <c r="AB952" i="2"/>
  <c r="AA952" i="2"/>
  <c r="Z952" i="2"/>
  <c r="Y952" i="2"/>
  <c r="X952" i="2"/>
  <c r="V952" i="2"/>
  <c r="U952" i="2"/>
  <c r="T952" i="2"/>
  <c r="S952" i="2"/>
  <c r="R952" i="2"/>
  <c r="Q952" i="2"/>
  <c r="P952" i="2"/>
  <c r="O952" i="2"/>
  <c r="N952" i="2"/>
  <c r="K952" i="2"/>
  <c r="J952" i="2"/>
  <c r="I952" i="2"/>
  <c r="H952" i="2"/>
  <c r="G952" i="2"/>
  <c r="F952" i="2"/>
  <c r="E952" i="2"/>
  <c r="D952" i="2"/>
  <c r="C952" i="2"/>
  <c r="B952" i="2"/>
  <c r="A952" i="2"/>
  <c r="AJ951" i="2"/>
  <c r="AI951" i="2"/>
  <c r="AH951" i="2"/>
  <c r="AG951" i="2"/>
  <c r="AF951" i="2"/>
  <c r="AE951" i="2"/>
  <c r="AD951" i="2"/>
  <c r="AC951" i="2"/>
  <c r="AB951" i="2"/>
  <c r="AA951" i="2"/>
  <c r="Z951" i="2"/>
  <c r="Y951" i="2"/>
  <c r="X951" i="2"/>
  <c r="W951" i="2"/>
  <c r="V951" i="2"/>
  <c r="U951" i="2"/>
  <c r="T951" i="2"/>
  <c r="S951" i="2"/>
  <c r="R951" i="2"/>
  <c r="Q951" i="2"/>
  <c r="P951" i="2"/>
  <c r="O951" i="2"/>
  <c r="N951" i="2"/>
  <c r="M951" i="2"/>
  <c r="L951" i="2"/>
  <c r="K951" i="2"/>
  <c r="J951" i="2"/>
  <c r="I951" i="2"/>
  <c r="H951" i="2"/>
  <c r="G951" i="2"/>
  <c r="F951" i="2"/>
  <c r="E951" i="2"/>
  <c r="D951" i="2"/>
  <c r="C951" i="2"/>
  <c r="B951" i="2"/>
  <c r="A951" i="2"/>
  <c r="AJ950" i="2"/>
  <c r="AI950" i="2"/>
  <c r="AH950" i="2"/>
  <c r="AG950" i="2"/>
  <c r="AF950" i="2"/>
  <c r="AE950" i="2"/>
  <c r="AD950" i="2"/>
  <c r="AC950" i="2"/>
  <c r="AB950" i="2"/>
  <c r="AA950" i="2"/>
  <c r="Z950" i="2"/>
  <c r="Y950" i="2"/>
  <c r="X950" i="2"/>
  <c r="V950" i="2"/>
  <c r="U950" i="2"/>
  <c r="T950" i="2"/>
  <c r="S950" i="2"/>
  <c r="R950" i="2"/>
  <c r="Q950" i="2"/>
  <c r="P950" i="2"/>
  <c r="O950" i="2"/>
  <c r="N950" i="2"/>
  <c r="M950" i="2"/>
  <c r="K950" i="2"/>
  <c r="J950" i="2"/>
  <c r="I950" i="2"/>
  <c r="H950" i="2"/>
  <c r="G950" i="2"/>
  <c r="F950" i="2"/>
  <c r="E950" i="2"/>
  <c r="D950" i="2"/>
  <c r="C950" i="2"/>
  <c r="B950" i="2"/>
  <c r="A950" i="2"/>
  <c r="AJ949" i="2"/>
  <c r="AI949" i="2"/>
  <c r="AH949" i="2"/>
  <c r="AG949" i="2"/>
  <c r="AF949" i="2"/>
  <c r="AE949" i="2"/>
  <c r="AD949" i="2"/>
  <c r="AB949" i="2"/>
  <c r="AA949" i="2"/>
  <c r="Z949" i="2"/>
  <c r="Y949" i="2"/>
  <c r="X949" i="2"/>
  <c r="W949" i="2"/>
  <c r="V949" i="2"/>
  <c r="U949" i="2"/>
  <c r="T949" i="2"/>
  <c r="S949" i="2"/>
  <c r="R949" i="2"/>
  <c r="Q949" i="2"/>
  <c r="P949" i="2"/>
  <c r="O949" i="2"/>
  <c r="N949" i="2"/>
  <c r="K949" i="2"/>
  <c r="J949" i="2"/>
  <c r="I949" i="2"/>
  <c r="H949" i="2"/>
  <c r="G949" i="2"/>
  <c r="F949" i="2"/>
  <c r="E949" i="2"/>
  <c r="D949" i="2"/>
  <c r="C949" i="2"/>
  <c r="B949" i="2"/>
  <c r="A949" i="2"/>
  <c r="AJ948" i="2"/>
  <c r="AH948" i="2"/>
  <c r="AG948" i="2"/>
  <c r="AF948" i="2"/>
  <c r="AE948" i="2"/>
  <c r="AD948" i="2"/>
  <c r="AA948" i="2"/>
  <c r="Z948" i="2"/>
  <c r="Y948" i="2"/>
  <c r="X948" i="2"/>
  <c r="W948" i="2"/>
  <c r="V948" i="2"/>
  <c r="U948" i="2"/>
  <c r="T948" i="2"/>
  <c r="S948" i="2"/>
  <c r="R948" i="2"/>
  <c r="Q948" i="2"/>
  <c r="P948" i="2"/>
  <c r="O948" i="2"/>
  <c r="N948" i="2"/>
  <c r="K948" i="2"/>
  <c r="J948" i="2"/>
  <c r="I948" i="2"/>
  <c r="H948" i="2"/>
  <c r="G948" i="2"/>
  <c r="F948" i="2"/>
  <c r="E948" i="2"/>
  <c r="D948" i="2"/>
  <c r="C948" i="2"/>
  <c r="B948" i="2"/>
  <c r="A948" i="2"/>
  <c r="AJ947" i="2"/>
  <c r="AH947" i="2"/>
  <c r="AG947" i="2"/>
  <c r="AF947" i="2"/>
  <c r="AE947" i="2"/>
  <c r="AD947" i="2"/>
  <c r="AA947" i="2"/>
  <c r="Z947" i="2"/>
  <c r="Y947" i="2"/>
  <c r="X947" i="2"/>
  <c r="W947" i="2"/>
  <c r="V947" i="2"/>
  <c r="U947" i="2"/>
  <c r="T947" i="2"/>
  <c r="S947" i="2"/>
  <c r="R947" i="2"/>
  <c r="Q947" i="2"/>
  <c r="P947" i="2"/>
  <c r="O947" i="2"/>
  <c r="N947" i="2"/>
  <c r="M947" i="2"/>
  <c r="L947" i="2"/>
  <c r="K947" i="2"/>
  <c r="J947" i="2"/>
  <c r="I947" i="2"/>
  <c r="H947" i="2"/>
  <c r="G947" i="2"/>
  <c r="F947" i="2"/>
  <c r="E947" i="2"/>
  <c r="D947" i="2"/>
  <c r="C947" i="2"/>
  <c r="B947" i="2"/>
  <c r="A947" i="2"/>
  <c r="AJ946" i="2"/>
  <c r="AI946" i="2"/>
  <c r="AH946" i="2"/>
  <c r="AG946" i="2"/>
  <c r="AF946" i="2"/>
  <c r="AE946" i="2"/>
  <c r="AD946" i="2"/>
  <c r="AC946" i="2"/>
  <c r="AB946" i="2"/>
  <c r="AA946" i="2"/>
  <c r="Z946" i="2"/>
  <c r="Y946" i="2"/>
  <c r="X946" i="2"/>
  <c r="W946" i="2"/>
  <c r="V946" i="2"/>
  <c r="U946" i="2"/>
  <c r="T946" i="2"/>
  <c r="S946" i="2"/>
  <c r="R946" i="2"/>
  <c r="Q946" i="2"/>
  <c r="P946" i="2"/>
  <c r="O946" i="2"/>
  <c r="N946" i="2"/>
  <c r="M946" i="2"/>
  <c r="L946" i="2"/>
  <c r="K946" i="2"/>
  <c r="J946" i="2"/>
  <c r="I946" i="2"/>
  <c r="H946" i="2"/>
  <c r="G946" i="2"/>
  <c r="F946" i="2"/>
  <c r="E946" i="2"/>
  <c r="D946" i="2"/>
  <c r="C946" i="2"/>
  <c r="B946" i="2"/>
  <c r="A946" i="2"/>
  <c r="AJ945" i="2"/>
  <c r="AI945" i="2"/>
  <c r="AH945" i="2"/>
  <c r="AG945" i="2"/>
  <c r="AF945" i="2"/>
  <c r="AE945" i="2"/>
  <c r="AD945" i="2"/>
  <c r="AB945" i="2"/>
  <c r="AA945" i="2"/>
  <c r="Z945" i="2"/>
  <c r="Y945" i="2"/>
  <c r="X945" i="2"/>
  <c r="W945" i="2"/>
  <c r="V945" i="2"/>
  <c r="U945" i="2"/>
  <c r="T945" i="2"/>
  <c r="S945" i="2"/>
  <c r="R945" i="2"/>
  <c r="Q945" i="2"/>
  <c r="P945" i="2"/>
  <c r="O945" i="2"/>
  <c r="N945" i="2"/>
  <c r="M945" i="2"/>
  <c r="L945" i="2"/>
  <c r="K945" i="2"/>
  <c r="J945" i="2"/>
  <c r="I945" i="2"/>
  <c r="H945" i="2"/>
  <c r="G945" i="2"/>
  <c r="F945" i="2"/>
  <c r="E945" i="2"/>
  <c r="D945" i="2"/>
  <c r="C945" i="2"/>
  <c r="B945" i="2"/>
  <c r="A945" i="2"/>
  <c r="AJ944" i="2"/>
  <c r="AG944" i="2"/>
  <c r="AF944" i="2"/>
  <c r="AE944" i="2"/>
  <c r="AD944" i="2"/>
  <c r="AA944" i="2"/>
  <c r="Z944" i="2"/>
  <c r="Y944" i="2"/>
  <c r="X944" i="2"/>
  <c r="W944" i="2"/>
  <c r="V944" i="2"/>
  <c r="U944" i="2"/>
  <c r="T944" i="2"/>
  <c r="S944" i="2"/>
  <c r="R944" i="2"/>
  <c r="Q944" i="2"/>
  <c r="P944" i="2"/>
  <c r="O944" i="2"/>
  <c r="N944" i="2"/>
  <c r="M944" i="2"/>
  <c r="L944" i="2"/>
  <c r="K944" i="2"/>
  <c r="J944" i="2"/>
  <c r="I944" i="2"/>
  <c r="H944" i="2"/>
  <c r="G944" i="2"/>
  <c r="F944" i="2"/>
  <c r="E944" i="2"/>
  <c r="D944" i="2"/>
  <c r="C944" i="2"/>
  <c r="B944" i="2"/>
  <c r="A944" i="2"/>
  <c r="AJ943" i="2"/>
  <c r="AI943" i="2"/>
  <c r="AH943" i="2"/>
  <c r="AG943" i="2"/>
  <c r="AF943" i="2"/>
  <c r="AE943" i="2"/>
  <c r="AD943" i="2"/>
  <c r="AB943" i="2"/>
  <c r="AA943" i="2"/>
  <c r="Z943" i="2"/>
  <c r="Y943" i="2"/>
  <c r="X943" i="2"/>
  <c r="W943" i="2"/>
  <c r="V943" i="2"/>
  <c r="U943" i="2"/>
  <c r="T943" i="2"/>
  <c r="S943" i="2"/>
  <c r="R943" i="2"/>
  <c r="Q943" i="2"/>
  <c r="P943" i="2"/>
  <c r="O943" i="2"/>
  <c r="N943" i="2"/>
  <c r="M943" i="2"/>
  <c r="L943" i="2"/>
  <c r="K943" i="2"/>
  <c r="J943" i="2"/>
  <c r="I943" i="2"/>
  <c r="H943" i="2"/>
  <c r="G943" i="2"/>
  <c r="F943" i="2"/>
  <c r="E943" i="2"/>
  <c r="D943" i="2"/>
  <c r="C943" i="2"/>
  <c r="B943" i="2"/>
  <c r="A943" i="2"/>
  <c r="AJ942" i="2"/>
  <c r="AI942" i="2"/>
  <c r="AF942" i="2"/>
  <c r="AE942" i="2"/>
  <c r="AD942" i="2"/>
  <c r="AA942" i="2"/>
  <c r="Z942" i="2"/>
  <c r="Y942" i="2"/>
  <c r="X942" i="2"/>
  <c r="W942" i="2"/>
  <c r="V942" i="2"/>
  <c r="U942" i="2"/>
  <c r="T942" i="2"/>
  <c r="S942" i="2"/>
  <c r="R942" i="2"/>
  <c r="Q942" i="2"/>
  <c r="P942" i="2"/>
  <c r="O942" i="2"/>
  <c r="N942" i="2"/>
  <c r="K942" i="2"/>
  <c r="J942" i="2"/>
  <c r="I942" i="2"/>
  <c r="H942" i="2"/>
  <c r="G942" i="2"/>
  <c r="F942" i="2"/>
  <c r="E942" i="2"/>
  <c r="D942" i="2"/>
  <c r="C942" i="2"/>
  <c r="B942" i="2"/>
  <c r="A942" i="2"/>
  <c r="AJ941" i="2"/>
  <c r="AI941" i="2"/>
  <c r="AH941" i="2"/>
  <c r="AG941" i="2"/>
  <c r="AF941" i="2"/>
  <c r="AE941" i="2"/>
  <c r="AD941" i="2"/>
  <c r="AC941" i="2"/>
  <c r="AB941" i="2"/>
  <c r="AA941" i="2"/>
  <c r="Z941" i="2"/>
  <c r="Y941" i="2"/>
  <c r="X941" i="2"/>
  <c r="W941" i="2"/>
  <c r="V941" i="2"/>
  <c r="U941" i="2"/>
  <c r="T941" i="2"/>
  <c r="S941" i="2"/>
  <c r="R941" i="2"/>
  <c r="Q941" i="2"/>
  <c r="P941" i="2"/>
  <c r="O941" i="2"/>
  <c r="N941" i="2"/>
  <c r="K941" i="2"/>
  <c r="J941" i="2"/>
  <c r="I941" i="2"/>
  <c r="H941" i="2"/>
  <c r="G941" i="2"/>
  <c r="F941" i="2"/>
  <c r="E941" i="2"/>
  <c r="D941" i="2"/>
  <c r="C941" i="2"/>
  <c r="B941" i="2"/>
  <c r="A941" i="2"/>
  <c r="AJ940" i="2"/>
  <c r="AF940" i="2"/>
  <c r="AE940" i="2"/>
  <c r="AD940" i="2"/>
  <c r="AA940" i="2"/>
  <c r="Z940" i="2"/>
  <c r="Y940" i="2"/>
  <c r="X940" i="2"/>
  <c r="W940" i="2"/>
  <c r="V940" i="2"/>
  <c r="U940" i="2"/>
  <c r="T940" i="2"/>
  <c r="S940" i="2"/>
  <c r="R940" i="2"/>
  <c r="Q940" i="2"/>
  <c r="P940" i="2"/>
  <c r="O940" i="2"/>
  <c r="N940" i="2"/>
  <c r="K940" i="2"/>
  <c r="J940" i="2"/>
  <c r="I940" i="2"/>
  <c r="H940" i="2"/>
  <c r="G940" i="2"/>
  <c r="F940" i="2"/>
  <c r="E940" i="2"/>
  <c r="D940" i="2"/>
  <c r="C940" i="2"/>
  <c r="B940" i="2"/>
  <c r="A940" i="2"/>
  <c r="AJ939" i="2"/>
  <c r="AI939" i="2"/>
  <c r="AH939" i="2"/>
  <c r="AG939" i="2"/>
  <c r="AF939" i="2"/>
  <c r="AE939" i="2"/>
  <c r="AD939" i="2"/>
  <c r="AC939" i="2"/>
  <c r="AB939" i="2"/>
  <c r="AA939" i="2"/>
  <c r="Z939" i="2"/>
  <c r="Y939" i="2"/>
  <c r="X939" i="2"/>
  <c r="W939" i="2"/>
  <c r="V939" i="2"/>
  <c r="U939" i="2"/>
  <c r="T939" i="2"/>
  <c r="S939" i="2"/>
  <c r="R939" i="2"/>
  <c r="Q939" i="2"/>
  <c r="P939" i="2"/>
  <c r="O939" i="2"/>
  <c r="N939" i="2"/>
  <c r="M939" i="2"/>
  <c r="L939" i="2"/>
  <c r="K939" i="2"/>
  <c r="J939" i="2"/>
  <c r="I939" i="2"/>
  <c r="H939" i="2"/>
  <c r="G939" i="2"/>
  <c r="F939" i="2"/>
  <c r="E939" i="2"/>
  <c r="D939" i="2"/>
  <c r="C939" i="2"/>
  <c r="B939" i="2"/>
  <c r="A939" i="2"/>
  <c r="AJ938" i="2"/>
  <c r="AF938" i="2"/>
  <c r="AE938" i="2"/>
  <c r="AD938" i="2"/>
  <c r="AA938" i="2"/>
  <c r="Z938" i="2"/>
  <c r="Y938" i="2"/>
  <c r="X938" i="2"/>
  <c r="W938" i="2"/>
  <c r="V938" i="2"/>
  <c r="U938" i="2"/>
  <c r="T938" i="2"/>
  <c r="S938" i="2"/>
  <c r="R938" i="2"/>
  <c r="Q938" i="2"/>
  <c r="P938" i="2"/>
  <c r="O938" i="2"/>
  <c r="N938" i="2"/>
  <c r="K938" i="2"/>
  <c r="J938" i="2"/>
  <c r="I938" i="2"/>
  <c r="H938" i="2"/>
  <c r="G938" i="2"/>
  <c r="F938" i="2"/>
  <c r="E938" i="2"/>
  <c r="D938" i="2"/>
  <c r="C938" i="2"/>
  <c r="B938" i="2"/>
  <c r="A938" i="2"/>
  <c r="AJ937" i="2"/>
  <c r="AH937" i="2"/>
  <c r="AG937" i="2"/>
  <c r="AF937" i="2"/>
  <c r="AE937" i="2"/>
  <c r="AD937" i="2"/>
  <c r="AB937" i="2"/>
  <c r="AA937" i="2"/>
  <c r="Z937" i="2"/>
  <c r="Y937" i="2"/>
  <c r="X937" i="2"/>
  <c r="W937" i="2"/>
  <c r="V937" i="2"/>
  <c r="U937" i="2"/>
  <c r="T937" i="2"/>
  <c r="S937" i="2"/>
  <c r="R937" i="2"/>
  <c r="Q937" i="2"/>
  <c r="P937" i="2"/>
  <c r="O937" i="2"/>
  <c r="N937" i="2"/>
  <c r="K937" i="2"/>
  <c r="J937" i="2"/>
  <c r="I937" i="2"/>
  <c r="H937" i="2"/>
  <c r="G937" i="2"/>
  <c r="F937" i="2"/>
  <c r="E937" i="2"/>
  <c r="D937" i="2"/>
  <c r="C937" i="2"/>
  <c r="B937" i="2"/>
  <c r="A937" i="2"/>
  <c r="AJ936" i="2"/>
  <c r="AI936" i="2"/>
  <c r="AH936" i="2"/>
  <c r="AG936" i="2"/>
  <c r="AF936" i="2"/>
  <c r="AE936" i="2"/>
  <c r="AD936" i="2"/>
  <c r="AC936" i="2"/>
  <c r="AB936" i="2"/>
  <c r="AA936" i="2"/>
  <c r="Z936" i="2"/>
  <c r="Y936" i="2"/>
  <c r="X936" i="2"/>
  <c r="W936" i="2"/>
  <c r="V936" i="2"/>
  <c r="U936" i="2"/>
  <c r="T936" i="2"/>
  <c r="S936" i="2"/>
  <c r="R936" i="2"/>
  <c r="Q936" i="2"/>
  <c r="P936" i="2"/>
  <c r="O936" i="2"/>
  <c r="N936" i="2"/>
  <c r="K936" i="2"/>
  <c r="J936" i="2"/>
  <c r="I936" i="2"/>
  <c r="H936" i="2"/>
  <c r="G936" i="2"/>
  <c r="F936" i="2"/>
  <c r="E936" i="2"/>
  <c r="D936" i="2"/>
  <c r="C936" i="2"/>
  <c r="B936" i="2"/>
  <c r="A936" i="2"/>
  <c r="AJ935" i="2"/>
  <c r="AI935" i="2"/>
  <c r="AH935" i="2"/>
  <c r="AG935" i="2"/>
  <c r="AF935" i="2"/>
  <c r="AE935" i="2"/>
  <c r="AD935" i="2"/>
  <c r="AB935" i="2"/>
  <c r="AA935" i="2"/>
  <c r="Z935" i="2"/>
  <c r="Y935" i="2"/>
  <c r="X935" i="2"/>
  <c r="W935" i="2"/>
  <c r="V935" i="2"/>
  <c r="U935" i="2"/>
  <c r="T935" i="2"/>
  <c r="S935" i="2"/>
  <c r="R935" i="2"/>
  <c r="Q935" i="2"/>
  <c r="P935" i="2"/>
  <c r="O935" i="2"/>
  <c r="N935" i="2"/>
  <c r="M935" i="2"/>
  <c r="L935" i="2"/>
  <c r="K935" i="2"/>
  <c r="J935" i="2"/>
  <c r="I935" i="2"/>
  <c r="H935" i="2"/>
  <c r="G935" i="2"/>
  <c r="F935" i="2"/>
  <c r="E935" i="2"/>
  <c r="D935" i="2"/>
  <c r="C935" i="2"/>
  <c r="B935" i="2"/>
  <c r="A935" i="2"/>
  <c r="AJ934" i="2"/>
  <c r="AH934" i="2"/>
  <c r="AG934" i="2"/>
  <c r="AF934" i="2"/>
  <c r="AE934" i="2"/>
  <c r="AD934" i="2"/>
  <c r="AA934" i="2"/>
  <c r="Z934" i="2"/>
  <c r="Y934" i="2"/>
  <c r="X934" i="2"/>
  <c r="W934" i="2"/>
  <c r="V934" i="2"/>
  <c r="U934" i="2"/>
  <c r="T934" i="2"/>
  <c r="S934" i="2"/>
  <c r="R934" i="2"/>
  <c r="Q934" i="2"/>
  <c r="P934" i="2"/>
  <c r="O934" i="2"/>
  <c r="N934" i="2"/>
  <c r="K934" i="2"/>
  <c r="J934" i="2"/>
  <c r="I934" i="2"/>
  <c r="H934" i="2"/>
  <c r="G934" i="2"/>
  <c r="F934" i="2"/>
  <c r="E934" i="2"/>
  <c r="D934" i="2"/>
  <c r="C934" i="2"/>
  <c r="B934" i="2"/>
  <c r="A934" i="2"/>
  <c r="AJ933" i="2"/>
  <c r="AI933" i="2"/>
  <c r="AH933" i="2"/>
  <c r="AG933" i="2"/>
  <c r="AF933" i="2"/>
  <c r="AE933" i="2"/>
  <c r="AD933" i="2"/>
  <c r="AB933" i="2"/>
  <c r="AA933" i="2"/>
  <c r="Z933" i="2"/>
  <c r="Y933" i="2"/>
  <c r="X933" i="2"/>
  <c r="W933" i="2"/>
  <c r="V933" i="2"/>
  <c r="U933" i="2"/>
  <c r="T933" i="2"/>
  <c r="S933" i="2"/>
  <c r="R933" i="2"/>
  <c r="Q933" i="2"/>
  <c r="P933" i="2"/>
  <c r="O933" i="2"/>
  <c r="N933" i="2"/>
  <c r="K933" i="2"/>
  <c r="J933" i="2"/>
  <c r="I933" i="2"/>
  <c r="H933" i="2"/>
  <c r="G933" i="2"/>
  <c r="F933" i="2"/>
  <c r="E933" i="2"/>
  <c r="D933" i="2"/>
  <c r="C933" i="2"/>
  <c r="B933" i="2"/>
  <c r="A933" i="2"/>
  <c r="AJ932" i="2"/>
  <c r="AI932" i="2"/>
  <c r="AH932" i="2"/>
  <c r="AG932" i="2"/>
  <c r="AF932" i="2"/>
  <c r="AE932" i="2"/>
  <c r="AD932" i="2"/>
  <c r="AC932" i="2"/>
  <c r="AB932" i="2"/>
  <c r="AA932" i="2"/>
  <c r="Z932" i="2"/>
  <c r="Y932" i="2"/>
  <c r="X932" i="2"/>
  <c r="V932" i="2"/>
  <c r="U932" i="2"/>
  <c r="T932" i="2"/>
  <c r="S932" i="2"/>
  <c r="R932" i="2"/>
  <c r="Q932" i="2"/>
  <c r="P932" i="2"/>
  <c r="O932" i="2"/>
  <c r="N932" i="2"/>
  <c r="K932" i="2"/>
  <c r="J932" i="2"/>
  <c r="I932" i="2"/>
  <c r="H932" i="2"/>
  <c r="G932" i="2"/>
  <c r="F932" i="2"/>
  <c r="E932" i="2"/>
  <c r="D932" i="2"/>
  <c r="C932" i="2"/>
  <c r="B932" i="2"/>
  <c r="A932" i="2"/>
  <c r="AJ931" i="2"/>
  <c r="AI931" i="2"/>
  <c r="AH931" i="2"/>
  <c r="AG931" i="2"/>
  <c r="AF931" i="2"/>
  <c r="AE931" i="2"/>
  <c r="AD931" i="2"/>
  <c r="AC931" i="2"/>
  <c r="AA931" i="2"/>
  <c r="Z931" i="2"/>
  <c r="Y931" i="2"/>
  <c r="X931" i="2"/>
  <c r="W931" i="2"/>
  <c r="V931" i="2"/>
  <c r="U931" i="2"/>
  <c r="T931" i="2"/>
  <c r="S931" i="2"/>
  <c r="R931" i="2"/>
  <c r="Q931" i="2"/>
  <c r="P931" i="2"/>
  <c r="O931" i="2"/>
  <c r="N931" i="2"/>
  <c r="K931" i="2"/>
  <c r="J931" i="2"/>
  <c r="I931" i="2"/>
  <c r="H931" i="2"/>
  <c r="G931" i="2"/>
  <c r="F931" i="2"/>
  <c r="E931" i="2"/>
  <c r="D931" i="2"/>
  <c r="C931" i="2"/>
  <c r="B931" i="2"/>
  <c r="A931" i="2"/>
  <c r="AJ930" i="2"/>
  <c r="AI930" i="2"/>
  <c r="AH930" i="2"/>
  <c r="AG930" i="2"/>
  <c r="AF930" i="2"/>
  <c r="AE930" i="2"/>
  <c r="AD930" i="2"/>
  <c r="AC930" i="2"/>
  <c r="AB930" i="2"/>
  <c r="AA930" i="2"/>
  <c r="Z930" i="2"/>
  <c r="Y930" i="2"/>
  <c r="X930" i="2"/>
  <c r="W930" i="2"/>
  <c r="V930" i="2"/>
  <c r="U930" i="2"/>
  <c r="T930" i="2"/>
  <c r="S930" i="2"/>
  <c r="R930" i="2"/>
  <c r="Q930" i="2"/>
  <c r="P930" i="2"/>
  <c r="O930" i="2"/>
  <c r="N930" i="2"/>
  <c r="M930" i="2"/>
  <c r="L930" i="2"/>
  <c r="K930" i="2"/>
  <c r="J930" i="2"/>
  <c r="I930" i="2"/>
  <c r="H930" i="2"/>
  <c r="G930" i="2"/>
  <c r="F930" i="2"/>
  <c r="E930" i="2"/>
  <c r="D930" i="2"/>
  <c r="C930" i="2"/>
  <c r="B930" i="2"/>
  <c r="A930" i="2"/>
  <c r="AJ929" i="2"/>
  <c r="AI929" i="2"/>
  <c r="AH929" i="2"/>
  <c r="AG929" i="2"/>
  <c r="AF929" i="2"/>
  <c r="AE929" i="2"/>
  <c r="AD929" i="2"/>
  <c r="AC929" i="2"/>
  <c r="AB929" i="2"/>
  <c r="AA929" i="2"/>
  <c r="Z929" i="2"/>
  <c r="Y929" i="2"/>
  <c r="X929" i="2"/>
  <c r="W929" i="2"/>
  <c r="V929" i="2"/>
  <c r="U929" i="2"/>
  <c r="T929" i="2"/>
  <c r="S929" i="2"/>
  <c r="R929" i="2"/>
  <c r="Q929" i="2"/>
  <c r="P929" i="2"/>
  <c r="O929" i="2"/>
  <c r="N929" i="2"/>
  <c r="M929" i="2"/>
  <c r="L929" i="2"/>
  <c r="K929" i="2"/>
  <c r="J929" i="2"/>
  <c r="I929" i="2"/>
  <c r="H929" i="2"/>
  <c r="G929" i="2"/>
  <c r="F929" i="2"/>
  <c r="E929" i="2"/>
  <c r="D929" i="2"/>
  <c r="C929" i="2"/>
  <c r="B929" i="2"/>
  <c r="A929" i="2"/>
  <c r="AJ928" i="2"/>
  <c r="AI928" i="2"/>
  <c r="AH928" i="2"/>
  <c r="AG928" i="2"/>
  <c r="AF928" i="2"/>
  <c r="AE928" i="2"/>
  <c r="AD928" i="2"/>
  <c r="AB928" i="2"/>
  <c r="AA928" i="2"/>
  <c r="Z928" i="2"/>
  <c r="Y928" i="2"/>
  <c r="X928" i="2"/>
  <c r="W928" i="2"/>
  <c r="V928" i="2"/>
  <c r="U928" i="2"/>
  <c r="T928" i="2"/>
  <c r="S928" i="2"/>
  <c r="R928" i="2"/>
  <c r="Q928" i="2"/>
  <c r="P928" i="2"/>
  <c r="O928" i="2"/>
  <c r="N928" i="2"/>
  <c r="M928" i="2"/>
  <c r="L928" i="2"/>
  <c r="K928" i="2"/>
  <c r="J928" i="2"/>
  <c r="I928" i="2"/>
  <c r="H928" i="2"/>
  <c r="G928" i="2"/>
  <c r="F928" i="2"/>
  <c r="E928" i="2"/>
  <c r="D928" i="2"/>
  <c r="C928" i="2"/>
  <c r="B928" i="2"/>
  <c r="A928" i="2"/>
  <c r="AJ927" i="2"/>
  <c r="AI927" i="2"/>
  <c r="AF927" i="2"/>
  <c r="AE927" i="2"/>
  <c r="AD927" i="2"/>
  <c r="AC927" i="2"/>
  <c r="AB927" i="2"/>
  <c r="AA927" i="2"/>
  <c r="Z927" i="2"/>
  <c r="Y927" i="2"/>
  <c r="X927" i="2"/>
  <c r="W927" i="2"/>
  <c r="V927" i="2"/>
  <c r="U927" i="2"/>
  <c r="T927" i="2"/>
  <c r="S927" i="2"/>
  <c r="R927" i="2"/>
  <c r="Q927" i="2"/>
  <c r="P927" i="2"/>
  <c r="O927" i="2"/>
  <c r="N927" i="2"/>
  <c r="M927" i="2"/>
  <c r="L927" i="2"/>
  <c r="K927" i="2"/>
  <c r="J927" i="2"/>
  <c r="I927" i="2"/>
  <c r="H927" i="2"/>
  <c r="G927" i="2"/>
  <c r="F927" i="2"/>
  <c r="E927" i="2"/>
  <c r="D927" i="2"/>
  <c r="C927" i="2"/>
  <c r="B927" i="2"/>
  <c r="A927" i="2"/>
  <c r="AJ926" i="2"/>
  <c r="AH926" i="2"/>
  <c r="AG926" i="2"/>
  <c r="AF926" i="2"/>
  <c r="AE926" i="2"/>
  <c r="AD926" i="2"/>
  <c r="AC926" i="2"/>
  <c r="AB926" i="2"/>
  <c r="AA926" i="2"/>
  <c r="Z926" i="2"/>
  <c r="Y926" i="2"/>
  <c r="X926" i="2"/>
  <c r="W926" i="2"/>
  <c r="V926" i="2"/>
  <c r="U926" i="2"/>
  <c r="T926" i="2"/>
  <c r="S926" i="2"/>
  <c r="R926" i="2"/>
  <c r="Q926" i="2"/>
  <c r="P926" i="2"/>
  <c r="O926" i="2"/>
  <c r="N926" i="2"/>
  <c r="M926" i="2"/>
  <c r="K926" i="2"/>
  <c r="J926" i="2"/>
  <c r="I926" i="2"/>
  <c r="H926" i="2"/>
  <c r="G926" i="2"/>
  <c r="F926" i="2"/>
  <c r="E926" i="2"/>
  <c r="D926" i="2"/>
  <c r="C926" i="2"/>
  <c r="B926" i="2"/>
  <c r="A926" i="2"/>
  <c r="AJ925" i="2"/>
  <c r="AI925" i="2"/>
  <c r="AH925" i="2"/>
  <c r="AG925" i="2"/>
  <c r="AF925" i="2"/>
  <c r="AE925" i="2"/>
  <c r="AD925" i="2"/>
  <c r="AC925" i="2"/>
  <c r="AB925" i="2"/>
  <c r="AA925" i="2"/>
  <c r="Z925" i="2"/>
  <c r="Y925" i="2"/>
  <c r="X925" i="2"/>
  <c r="W925" i="2"/>
  <c r="V925" i="2"/>
  <c r="U925" i="2"/>
  <c r="T925" i="2"/>
  <c r="S925" i="2"/>
  <c r="R925" i="2"/>
  <c r="Q925" i="2"/>
  <c r="P925" i="2"/>
  <c r="O925" i="2"/>
  <c r="N925" i="2"/>
  <c r="M925" i="2"/>
  <c r="L925" i="2"/>
  <c r="K925" i="2"/>
  <c r="J925" i="2"/>
  <c r="I925" i="2"/>
  <c r="H925" i="2"/>
  <c r="G925" i="2"/>
  <c r="F925" i="2"/>
  <c r="E925" i="2"/>
  <c r="D925" i="2"/>
  <c r="C925" i="2"/>
  <c r="B925" i="2"/>
  <c r="A925" i="2"/>
  <c r="AJ924" i="2"/>
  <c r="AI924" i="2"/>
  <c r="AH924" i="2"/>
  <c r="AG924" i="2"/>
  <c r="AF924" i="2"/>
  <c r="AE924" i="2"/>
  <c r="AD924" i="2"/>
  <c r="AC924" i="2"/>
  <c r="AB924" i="2"/>
  <c r="AA924" i="2"/>
  <c r="Z924" i="2"/>
  <c r="Y924" i="2"/>
  <c r="X924" i="2"/>
  <c r="W924" i="2"/>
  <c r="V924" i="2"/>
  <c r="U924" i="2"/>
  <c r="T924" i="2"/>
  <c r="S924" i="2"/>
  <c r="R924" i="2"/>
  <c r="Q924" i="2"/>
  <c r="P924" i="2"/>
  <c r="O924" i="2"/>
  <c r="N924" i="2"/>
  <c r="M924" i="2"/>
  <c r="L924" i="2"/>
  <c r="K924" i="2"/>
  <c r="J924" i="2"/>
  <c r="I924" i="2"/>
  <c r="H924" i="2"/>
  <c r="G924" i="2"/>
  <c r="F924" i="2"/>
  <c r="E924" i="2"/>
  <c r="D924" i="2"/>
  <c r="C924" i="2"/>
  <c r="B924" i="2"/>
  <c r="A924" i="2"/>
  <c r="AJ923" i="2"/>
  <c r="AH923" i="2"/>
  <c r="AG923" i="2"/>
  <c r="AF923" i="2"/>
  <c r="AE923" i="2"/>
  <c r="AD923" i="2"/>
  <c r="AA923" i="2"/>
  <c r="Z923" i="2"/>
  <c r="Y923" i="2"/>
  <c r="X923" i="2"/>
  <c r="W923" i="2"/>
  <c r="V923" i="2"/>
  <c r="U923" i="2"/>
  <c r="T923" i="2"/>
  <c r="S923" i="2"/>
  <c r="R923" i="2"/>
  <c r="Q923" i="2"/>
  <c r="P923" i="2"/>
  <c r="O923" i="2"/>
  <c r="N923" i="2"/>
  <c r="K923" i="2"/>
  <c r="J923" i="2"/>
  <c r="I923" i="2"/>
  <c r="H923" i="2"/>
  <c r="G923" i="2"/>
  <c r="F923" i="2"/>
  <c r="E923" i="2"/>
  <c r="D923" i="2"/>
  <c r="C923" i="2"/>
  <c r="B923" i="2"/>
  <c r="A923" i="2"/>
  <c r="AJ922" i="2"/>
  <c r="AI922" i="2"/>
  <c r="AH922" i="2"/>
  <c r="AG922" i="2"/>
  <c r="AF922" i="2"/>
  <c r="AE922" i="2"/>
  <c r="AD922" i="2"/>
  <c r="AC922" i="2"/>
  <c r="AB922" i="2"/>
  <c r="AA922" i="2"/>
  <c r="Z922" i="2"/>
  <c r="Y922" i="2"/>
  <c r="X922" i="2"/>
  <c r="W922" i="2"/>
  <c r="V922" i="2"/>
  <c r="U922" i="2"/>
  <c r="T922" i="2"/>
  <c r="S922" i="2"/>
  <c r="R922" i="2"/>
  <c r="Q922" i="2"/>
  <c r="P922" i="2"/>
  <c r="O922" i="2"/>
  <c r="N922" i="2"/>
  <c r="K922" i="2"/>
  <c r="J922" i="2"/>
  <c r="I922" i="2"/>
  <c r="H922" i="2"/>
  <c r="G922" i="2"/>
  <c r="F922" i="2"/>
  <c r="E922" i="2"/>
  <c r="D922" i="2"/>
  <c r="C922" i="2"/>
  <c r="B922" i="2"/>
  <c r="A922" i="2"/>
  <c r="AJ921" i="2"/>
  <c r="AI921" i="2"/>
  <c r="AH921" i="2"/>
  <c r="AG921" i="2"/>
  <c r="AF921" i="2"/>
  <c r="AE921" i="2"/>
  <c r="AD921" i="2"/>
  <c r="AC921" i="2"/>
  <c r="AB921" i="2"/>
  <c r="AA921" i="2"/>
  <c r="Z921" i="2"/>
  <c r="Y921" i="2"/>
  <c r="X921" i="2"/>
  <c r="W921" i="2"/>
  <c r="V921" i="2"/>
  <c r="U921" i="2"/>
  <c r="T921" i="2"/>
  <c r="S921" i="2"/>
  <c r="R921" i="2"/>
  <c r="Q921" i="2"/>
  <c r="P921" i="2"/>
  <c r="O921" i="2"/>
  <c r="N921" i="2"/>
  <c r="K921" i="2"/>
  <c r="J921" i="2"/>
  <c r="I921" i="2"/>
  <c r="H921" i="2"/>
  <c r="G921" i="2"/>
  <c r="F921" i="2"/>
  <c r="E921" i="2"/>
  <c r="D921" i="2"/>
  <c r="C921" i="2"/>
  <c r="B921" i="2"/>
  <c r="A921" i="2"/>
  <c r="AJ920" i="2"/>
  <c r="AH920" i="2"/>
  <c r="AG920" i="2"/>
  <c r="AF920" i="2"/>
  <c r="AE920" i="2"/>
  <c r="AD920" i="2"/>
  <c r="AC920" i="2"/>
  <c r="AA920" i="2"/>
  <c r="Z920" i="2"/>
  <c r="Y920" i="2"/>
  <c r="X920" i="2"/>
  <c r="W920" i="2"/>
  <c r="V920" i="2"/>
  <c r="U920" i="2"/>
  <c r="T920" i="2"/>
  <c r="S920" i="2"/>
  <c r="R920" i="2"/>
  <c r="Q920" i="2"/>
  <c r="P920" i="2"/>
  <c r="O920" i="2"/>
  <c r="N920" i="2"/>
  <c r="K920" i="2"/>
  <c r="J920" i="2"/>
  <c r="I920" i="2"/>
  <c r="H920" i="2"/>
  <c r="G920" i="2"/>
  <c r="F920" i="2"/>
  <c r="E920" i="2"/>
  <c r="D920" i="2"/>
  <c r="C920" i="2"/>
  <c r="B920" i="2"/>
  <c r="A920" i="2"/>
  <c r="AJ919" i="2"/>
  <c r="AI919" i="2"/>
  <c r="AH919" i="2"/>
  <c r="AG919" i="2"/>
  <c r="AF919" i="2"/>
  <c r="AE919" i="2"/>
  <c r="AD919" i="2"/>
  <c r="AC919" i="2"/>
  <c r="AB919" i="2"/>
  <c r="AA919" i="2"/>
  <c r="Z919" i="2"/>
  <c r="Y919" i="2"/>
  <c r="X919" i="2"/>
  <c r="W919" i="2"/>
  <c r="V919" i="2"/>
  <c r="U919" i="2"/>
  <c r="T919" i="2"/>
  <c r="S919" i="2"/>
  <c r="R919" i="2"/>
  <c r="Q919" i="2"/>
  <c r="P919" i="2"/>
  <c r="O919" i="2"/>
  <c r="N919" i="2"/>
  <c r="K919" i="2"/>
  <c r="J919" i="2"/>
  <c r="I919" i="2"/>
  <c r="H919" i="2"/>
  <c r="G919" i="2"/>
  <c r="F919" i="2"/>
  <c r="E919" i="2"/>
  <c r="D919" i="2"/>
  <c r="C919" i="2"/>
  <c r="B919" i="2"/>
  <c r="A919" i="2"/>
  <c r="AJ918" i="2"/>
  <c r="AI918" i="2"/>
  <c r="AH918" i="2"/>
  <c r="AG918" i="2"/>
  <c r="AF918" i="2"/>
  <c r="AE918" i="2"/>
  <c r="AD918" i="2"/>
  <c r="AB918" i="2"/>
  <c r="AA918" i="2"/>
  <c r="Z918" i="2"/>
  <c r="Y918" i="2"/>
  <c r="X918" i="2"/>
  <c r="W918" i="2"/>
  <c r="V918" i="2"/>
  <c r="U918" i="2"/>
  <c r="T918" i="2"/>
  <c r="S918" i="2"/>
  <c r="R918" i="2"/>
  <c r="Q918" i="2"/>
  <c r="P918" i="2"/>
  <c r="O918" i="2"/>
  <c r="N918" i="2"/>
  <c r="K918" i="2"/>
  <c r="J918" i="2"/>
  <c r="I918" i="2"/>
  <c r="H918" i="2"/>
  <c r="G918" i="2"/>
  <c r="F918" i="2"/>
  <c r="E918" i="2"/>
  <c r="D918" i="2"/>
  <c r="C918" i="2"/>
  <c r="B918" i="2"/>
  <c r="A918" i="2"/>
  <c r="AJ917" i="2"/>
  <c r="AI917" i="2"/>
  <c r="AH917" i="2"/>
  <c r="AG917" i="2"/>
  <c r="AF917" i="2"/>
  <c r="AE917" i="2"/>
  <c r="AD917" i="2"/>
  <c r="AC917" i="2"/>
  <c r="AB917" i="2"/>
  <c r="AA917" i="2"/>
  <c r="Z917" i="2"/>
  <c r="Y917" i="2"/>
  <c r="X917" i="2"/>
  <c r="V917" i="2"/>
  <c r="U917" i="2"/>
  <c r="T917" i="2"/>
  <c r="S917" i="2"/>
  <c r="R917" i="2"/>
  <c r="Q917" i="2"/>
  <c r="P917" i="2"/>
  <c r="O917" i="2"/>
  <c r="N917" i="2"/>
  <c r="K917" i="2"/>
  <c r="J917" i="2"/>
  <c r="I917" i="2"/>
  <c r="H917" i="2"/>
  <c r="G917" i="2"/>
  <c r="F917" i="2"/>
  <c r="E917" i="2"/>
  <c r="D917" i="2"/>
  <c r="C917" i="2"/>
  <c r="B917" i="2"/>
  <c r="A917" i="2"/>
  <c r="AJ916" i="2"/>
  <c r="AI916" i="2"/>
  <c r="AH916" i="2"/>
  <c r="AG916" i="2"/>
  <c r="AF916" i="2"/>
  <c r="AE916" i="2"/>
  <c r="AD916" i="2"/>
  <c r="AC916" i="2"/>
  <c r="AB916" i="2"/>
  <c r="AA916" i="2"/>
  <c r="Z916" i="2"/>
  <c r="Y916" i="2"/>
  <c r="X916" i="2"/>
  <c r="W916" i="2"/>
  <c r="V916" i="2"/>
  <c r="U916" i="2"/>
  <c r="T916" i="2"/>
  <c r="S916" i="2"/>
  <c r="R916" i="2"/>
  <c r="Q916" i="2"/>
  <c r="P916" i="2"/>
  <c r="O916" i="2"/>
  <c r="N916" i="2"/>
  <c r="K916" i="2"/>
  <c r="J916" i="2"/>
  <c r="I916" i="2"/>
  <c r="H916" i="2"/>
  <c r="G916" i="2"/>
  <c r="F916" i="2"/>
  <c r="E916" i="2"/>
  <c r="D916" i="2"/>
  <c r="C916" i="2"/>
  <c r="B916" i="2"/>
  <c r="A916" i="2"/>
  <c r="AJ915" i="2"/>
  <c r="AH915" i="2"/>
  <c r="AG915" i="2"/>
  <c r="AF915" i="2"/>
  <c r="AE915" i="2"/>
  <c r="AD915" i="2"/>
  <c r="AC915" i="2"/>
  <c r="AA915" i="2"/>
  <c r="Z915" i="2"/>
  <c r="Y915" i="2"/>
  <c r="X915" i="2"/>
  <c r="W915" i="2"/>
  <c r="V915" i="2"/>
  <c r="U915" i="2"/>
  <c r="T915" i="2"/>
  <c r="S915" i="2"/>
  <c r="R915" i="2"/>
  <c r="Q915" i="2"/>
  <c r="P915" i="2"/>
  <c r="O915" i="2"/>
  <c r="N915" i="2"/>
  <c r="K915" i="2"/>
  <c r="J915" i="2"/>
  <c r="I915" i="2"/>
  <c r="H915" i="2"/>
  <c r="G915" i="2"/>
  <c r="F915" i="2"/>
  <c r="E915" i="2"/>
  <c r="D915" i="2"/>
  <c r="C915" i="2"/>
  <c r="B915" i="2"/>
  <c r="A915" i="2"/>
  <c r="AJ914" i="2"/>
  <c r="AI914" i="2"/>
  <c r="AH914" i="2"/>
  <c r="AG914" i="2"/>
  <c r="AF914" i="2"/>
  <c r="AE914" i="2"/>
  <c r="AD914" i="2"/>
  <c r="AC914" i="2"/>
  <c r="AB914" i="2"/>
  <c r="AA914" i="2"/>
  <c r="Z914" i="2"/>
  <c r="Y914" i="2"/>
  <c r="X914" i="2"/>
  <c r="V914" i="2"/>
  <c r="U914" i="2"/>
  <c r="T914" i="2"/>
  <c r="S914" i="2"/>
  <c r="R914" i="2"/>
  <c r="Q914" i="2"/>
  <c r="P914" i="2"/>
  <c r="O914" i="2"/>
  <c r="N914" i="2"/>
  <c r="K914" i="2"/>
  <c r="J914" i="2"/>
  <c r="I914" i="2"/>
  <c r="H914" i="2"/>
  <c r="G914" i="2"/>
  <c r="F914" i="2"/>
  <c r="E914" i="2"/>
  <c r="D914" i="2"/>
  <c r="C914" i="2"/>
  <c r="B914" i="2"/>
  <c r="A914" i="2"/>
  <c r="AJ913" i="2"/>
  <c r="AG913" i="2"/>
  <c r="AF913" i="2"/>
  <c r="AE913" i="2"/>
  <c r="AD913" i="2"/>
  <c r="AC913" i="2"/>
  <c r="AB913" i="2"/>
  <c r="AA913" i="2"/>
  <c r="Z913" i="2"/>
  <c r="Y913" i="2"/>
  <c r="X913" i="2"/>
  <c r="W913" i="2"/>
  <c r="V913" i="2"/>
  <c r="U913" i="2"/>
  <c r="T913" i="2"/>
  <c r="S913" i="2"/>
  <c r="R913" i="2"/>
  <c r="Q913" i="2"/>
  <c r="P913" i="2"/>
  <c r="O913" i="2"/>
  <c r="N913" i="2"/>
  <c r="K913" i="2"/>
  <c r="J913" i="2"/>
  <c r="I913" i="2"/>
  <c r="H913" i="2"/>
  <c r="G913" i="2"/>
  <c r="F913" i="2"/>
  <c r="E913" i="2"/>
  <c r="D913" i="2"/>
  <c r="C913" i="2"/>
  <c r="B913" i="2"/>
  <c r="A913" i="2"/>
  <c r="AJ912" i="2"/>
  <c r="AH912" i="2"/>
  <c r="AG912" i="2"/>
  <c r="AF912" i="2"/>
  <c r="AE912" i="2"/>
  <c r="AD912" i="2"/>
  <c r="AC912" i="2"/>
  <c r="AB912" i="2"/>
  <c r="AA912" i="2"/>
  <c r="Z912" i="2"/>
  <c r="Y912" i="2"/>
  <c r="X912" i="2"/>
  <c r="W912" i="2"/>
  <c r="V912" i="2"/>
  <c r="U912" i="2"/>
  <c r="T912" i="2"/>
  <c r="S912" i="2"/>
  <c r="R912" i="2"/>
  <c r="Q912" i="2"/>
  <c r="P912" i="2"/>
  <c r="O912" i="2"/>
  <c r="N912" i="2"/>
  <c r="K912" i="2"/>
  <c r="J912" i="2"/>
  <c r="I912" i="2"/>
  <c r="H912" i="2"/>
  <c r="G912" i="2"/>
  <c r="F912" i="2"/>
  <c r="E912" i="2"/>
  <c r="D912" i="2"/>
  <c r="C912" i="2"/>
  <c r="B912" i="2"/>
  <c r="A912" i="2"/>
  <c r="AJ911" i="2"/>
  <c r="AI911" i="2"/>
  <c r="AH911" i="2"/>
  <c r="AF911" i="2"/>
  <c r="AE911" i="2"/>
  <c r="AD911" i="2"/>
  <c r="AC911" i="2"/>
  <c r="AB911" i="2"/>
  <c r="AA911" i="2"/>
  <c r="Z911" i="2"/>
  <c r="Y911" i="2"/>
  <c r="X911" i="2"/>
  <c r="V911" i="2"/>
  <c r="U911" i="2"/>
  <c r="T911" i="2"/>
  <c r="S911" i="2"/>
  <c r="R911" i="2"/>
  <c r="Q911" i="2"/>
  <c r="P911" i="2"/>
  <c r="O911" i="2"/>
  <c r="N911" i="2"/>
  <c r="K911" i="2"/>
  <c r="J911" i="2"/>
  <c r="I911" i="2"/>
  <c r="H911" i="2"/>
  <c r="G911" i="2"/>
  <c r="F911" i="2"/>
  <c r="E911" i="2"/>
  <c r="D911" i="2"/>
  <c r="C911" i="2"/>
  <c r="B911" i="2"/>
  <c r="A911" i="2"/>
  <c r="AJ910" i="2"/>
  <c r="AI910" i="2"/>
  <c r="AH910" i="2"/>
  <c r="AG910" i="2"/>
  <c r="AF910" i="2"/>
  <c r="AE910" i="2"/>
  <c r="AD910" i="2"/>
  <c r="AC910" i="2"/>
  <c r="AB910" i="2"/>
  <c r="AA910" i="2"/>
  <c r="Z910" i="2"/>
  <c r="Y910" i="2"/>
  <c r="X910" i="2"/>
  <c r="V910" i="2"/>
  <c r="U910" i="2"/>
  <c r="T910" i="2"/>
  <c r="S910" i="2"/>
  <c r="R910" i="2"/>
  <c r="Q910" i="2"/>
  <c r="P910" i="2"/>
  <c r="O910" i="2"/>
  <c r="N910" i="2"/>
  <c r="K910" i="2"/>
  <c r="J910" i="2"/>
  <c r="I910" i="2"/>
  <c r="H910" i="2"/>
  <c r="G910" i="2"/>
  <c r="F910" i="2"/>
  <c r="E910" i="2"/>
  <c r="D910" i="2"/>
  <c r="C910" i="2"/>
  <c r="B910" i="2"/>
  <c r="A910" i="2"/>
  <c r="AJ909" i="2"/>
  <c r="AI909" i="2"/>
  <c r="AH909" i="2"/>
  <c r="AG909" i="2"/>
  <c r="AF909" i="2"/>
  <c r="AE909" i="2"/>
  <c r="AD909" i="2"/>
  <c r="AC909" i="2"/>
  <c r="AB909" i="2"/>
  <c r="AA909" i="2"/>
  <c r="Z909" i="2"/>
  <c r="Y909" i="2"/>
  <c r="X909" i="2"/>
  <c r="W909" i="2"/>
  <c r="V909" i="2"/>
  <c r="U909" i="2"/>
  <c r="T909" i="2"/>
  <c r="S909" i="2"/>
  <c r="R909" i="2"/>
  <c r="Q909" i="2"/>
  <c r="P909" i="2"/>
  <c r="O909" i="2"/>
  <c r="N909" i="2"/>
  <c r="K909" i="2"/>
  <c r="J909" i="2"/>
  <c r="I909" i="2"/>
  <c r="H909" i="2"/>
  <c r="G909" i="2"/>
  <c r="F909" i="2"/>
  <c r="E909" i="2"/>
  <c r="D909" i="2"/>
  <c r="C909" i="2"/>
  <c r="B909" i="2"/>
  <c r="A909" i="2"/>
  <c r="AJ908" i="2"/>
  <c r="AI908" i="2"/>
  <c r="AH908" i="2"/>
  <c r="AG908" i="2"/>
  <c r="AF908" i="2"/>
  <c r="AE908" i="2"/>
  <c r="AD908" i="2"/>
  <c r="AC908" i="2"/>
  <c r="AB908" i="2"/>
  <c r="AA908" i="2"/>
  <c r="Z908" i="2"/>
  <c r="Y908" i="2"/>
  <c r="X908" i="2"/>
  <c r="W908" i="2"/>
  <c r="V908" i="2"/>
  <c r="U908" i="2"/>
  <c r="T908" i="2"/>
  <c r="S908" i="2"/>
  <c r="R908" i="2"/>
  <c r="Q908" i="2"/>
  <c r="P908" i="2"/>
  <c r="O908" i="2"/>
  <c r="N908" i="2"/>
  <c r="K908" i="2"/>
  <c r="J908" i="2"/>
  <c r="I908" i="2"/>
  <c r="H908" i="2"/>
  <c r="G908" i="2"/>
  <c r="F908" i="2"/>
  <c r="E908" i="2"/>
  <c r="D908" i="2"/>
  <c r="C908" i="2"/>
  <c r="B908" i="2"/>
  <c r="A908" i="2"/>
  <c r="AJ907" i="2"/>
  <c r="AH907" i="2"/>
  <c r="AG907" i="2"/>
  <c r="AF907" i="2"/>
  <c r="AE907" i="2"/>
  <c r="AD907" i="2"/>
  <c r="AA907" i="2"/>
  <c r="Z907" i="2"/>
  <c r="Y907" i="2"/>
  <c r="X907" i="2"/>
  <c r="W907" i="2"/>
  <c r="V907" i="2"/>
  <c r="U907" i="2"/>
  <c r="T907" i="2"/>
  <c r="S907" i="2"/>
  <c r="R907" i="2"/>
  <c r="Q907" i="2"/>
  <c r="P907" i="2"/>
  <c r="O907" i="2"/>
  <c r="N907" i="2"/>
  <c r="K907" i="2"/>
  <c r="J907" i="2"/>
  <c r="I907" i="2"/>
  <c r="H907" i="2"/>
  <c r="G907" i="2"/>
  <c r="F907" i="2"/>
  <c r="E907" i="2"/>
  <c r="D907" i="2"/>
  <c r="C907" i="2"/>
  <c r="B907" i="2"/>
  <c r="A907" i="2"/>
  <c r="AJ906" i="2"/>
  <c r="AI906" i="2"/>
  <c r="AH906" i="2"/>
  <c r="AG906" i="2"/>
  <c r="AF906" i="2"/>
  <c r="AE906" i="2"/>
  <c r="AD906" i="2"/>
  <c r="AC906" i="2"/>
  <c r="AB906" i="2"/>
  <c r="AA906" i="2"/>
  <c r="Z906" i="2"/>
  <c r="Y906" i="2"/>
  <c r="X906" i="2"/>
  <c r="W906" i="2"/>
  <c r="V906" i="2"/>
  <c r="U906" i="2"/>
  <c r="T906" i="2"/>
  <c r="S906" i="2"/>
  <c r="R906" i="2"/>
  <c r="Q906" i="2"/>
  <c r="P906" i="2"/>
  <c r="O906" i="2"/>
  <c r="N906" i="2"/>
  <c r="M906" i="2"/>
  <c r="L906" i="2"/>
  <c r="K906" i="2"/>
  <c r="J906" i="2"/>
  <c r="I906" i="2"/>
  <c r="H906" i="2"/>
  <c r="G906" i="2"/>
  <c r="F906" i="2"/>
  <c r="E906" i="2"/>
  <c r="D906" i="2"/>
  <c r="C906" i="2"/>
  <c r="B906" i="2"/>
  <c r="A906" i="2"/>
  <c r="AJ905" i="2"/>
  <c r="AI905" i="2"/>
  <c r="AH905" i="2"/>
  <c r="AG905" i="2"/>
  <c r="AF905" i="2"/>
  <c r="AE905" i="2"/>
  <c r="AD905" i="2"/>
  <c r="AC905" i="2"/>
  <c r="AB905" i="2"/>
  <c r="AA905" i="2"/>
  <c r="Z905" i="2"/>
  <c r="Y905" i="2"/>
  <c r="X905" i="2"/>
  <c r="W905" i="2"/>
  <c r="V905" i="2"/>
  <c r="U905" i="2"/>
  <c r="T905" i="2"/>
  <c r="S905" i="2"/>
  <c r="R905" i="2"/>
  <c r="Q905" i="2"/>
  <c r="P905" i="2"/>
  <c r="O905" i="2"/>
  <c r="N905" i="2"/>
  <c r="K905" i="2"/>
  <c r="J905" i="2"/>
  <c r="I905" i="2"/>
  <c r="H905" i="2"/>
  <c r="G905" i="2"/>
  <c r="F905" i="2"/>
  <c r="E905" i="2"/>
  <c r="D905" i="2"/>
  <c r="C905" i="2"/>
  <c r="B905" i="2"/>
  <c r="A905" i="2"/>
  <c r="AJ904" i="2"/>
  <c r="AI904" i="2"/>
  <c r="AH904" i="2"/>
  <c r="AG904" i="2"/>
  <c r="AF904" i="2"/>
  <c r="AE904" i="2"/>
  <c r="AD904" i="2"/>
  <c r="AC904" i="2"/>
  <c r="AB904" i="2"/>
  <c r="AA904" i="2"/>
  <c r="Z904" i="2"/>
  <c r="Y904" i="2"/>
  <c r="X904" i="2"/>
  <c r="W904" i="2"/>
  <c r="V904" i="2"/>
  <c r="U904" i="2"/>
  <c r="T904" i="2"/>
  <c r="S904" i="2"/>
  <c r="R904" i="2"/>
  <c r="Q904" i="2"/>
  <c r="P904" i="2"/>
  <c r="O904" i="2"/>
  <c r="N904" i="2"/>
  <c r="K904" i="2"/>
  <c r="J904" i="2"/>
  <c r="I904" i="2"/>
  <c r="H904" i="2"/>
  <c r="G904" i="2"/>
  <c r="F904" i="2"/>
  <c r="E904" i="2"/>
  <c r="D904" i="2"/>
  <c r="C904" i="2"/>
  <c r="B904" i="2"/>
  <c r="A904" i="2"/>
  <c r="AJ903" i="2"/>
  <c r="AI903" i="2"/>
  <c r="AH903" i="2"/>
  <c r="AG903" i="2"/>
  <c r="AF903" i="2"/>
  <c r="AE903" i="2"/>
  <c r="AD903" i="2"/>
  <c r="AA903" i="2"/>
  <c r="Z903" i="2"/>
  <c r="Y903" i="2"/>
  <c r="X903" i="2"/>
  <c r="W903" i="2"/>
  <c r="V903" i="2"/>
  <c r="U903" i="2"/>
  <c r="T903" i="2"/>
  <c r="S903" i="2"/>
  <c r="R903" i="2"/>
  <c r="Q903" i="2"/>
  <c r="P903" i="2"/>
  <c r="O903" i="2"/>
  <c r="N903" i="2"/>
  <c r="K903" i="2"/>
  <c r="J903" i="2"/>
  <c r="I903" i="2"/>
  <c r="H903" i="2"/>
  <c r="G903" i="2"/>
  <c r="F903" i="2"/>
  <c r="E903" i="2"/>
  <c r="D903" i="2"/>
  <c r="C903" i="2"/>
  <c r="B903" i="2"/>
  <c r="A903" i="2"/>
  <c r="AJ902" i="2"/>
  <c r="AI902" i="2"/>
  <c r="AH902" i="2"/>
  <c r="AG902" i="2"/>
  <c r="AF902" i="2"/>
  <c r="AE902" i="2"/>
  <c r="AD902" i="2"/>
  <c r="AB902" i="2"/>
  <c r="AA902" i="2"/>
  <c r="Z902" i="2"/>
  <c r="Y902" i="2"/>
  <c r="X902" i="2"/>
  <c r="W902" i="2"/>
  <c r="V902" i="2"/>
  <c r="U902" i="2"/>
  <c r="T902" i="2"/>
  <c r="S902" i="2"/>
  <c r="R902" i="2"/>
  <c r="Q902" i="2"/>
  <c r="P902" i="2"/>
  <c r="O902" i="2"/>
  <c r="N902" i="2"/>
  <c r="K902" i="2"/>
  <c r="J902" i="2"/>
  <c r="I902" i="2"/>
  <c r="H902" i="2"/>
  <c r="G902" i="2"/>
  <c r="F902" i="2"/>
  <c r="E902" i="2"/>
  <c r="D902" i="2"/>
  <c r="C902" i="2"/>
  <c r="B902" i="2"/>
  <c r="A902" i="2"/>
  <c r="AJ901" i="2"/>
  <c r="AH901" i="2"/>
  <c r="AG901" i="2"/>
  <c r="AF901" i="2"/>
  <c r="AE901" i="2"/>
  <c r="AD901" i="2"/>
  <c r="AC901" i="2"/>
  <c r="AA901" i="2"/>
  <c r="Z901" i="2"/>
  <c r="Y901" i="2"/>
  <c r="X901" i="2"/>
  <c r="W901" i="2"/>
  <c r="V901" i="2"/>
  <c r="U901" i="2"/>
  <c r="T901" i="2"/>
  <c r="S901" i="2"/>
  <c r="R901" i="2"/>
  <c r="Q901" i="2"/>
  <c r="P901" i="2"/>
  <c r="O901" i="2"/>
  <c r="N901" i="2"/>
  <c r="K901" i="2"/>
  <c r="J901" i="2"/>
  <c r="I901" i="2"/>
  <c r="H901" i="2"/>
  <c r="G901" i="2"/>
  <c r="F901" i="2"/>
  <c r="E901" i="2"/>
  <c r="D901" i="2"/>
  <c r="C901" i="2"/>
  <c r="B901" i="2"/>
  <c r="A901" i="2"/>
  <c r="AJ900" i="2"/>
  <c r="AH900" i="2"/>
  <c r="AG900" i="2"/>
  <c r="AF900" i="2"/>
  <c r="AE900" i="2"/>
  <c r="AD900" i="2"/>
  <c r="AC900" i="2"/>
  <c r="AB900" i="2"/>
  <c r="AA900" i="2"/>
  <c r="Z900" i="2"/>
  <c r="Y900" i="2"/>
  <c r="X900" i="2"/>
  <c r="W900" i="2"/>
  <c r="V900" i="2"/>
  <c r="U900" i="2"/>
  <c r="T900" i="2"/>
  <c r="S900" i="2"/>
  <c r="R900" i="2"/>
  <c r="Q900" i="2"/>
  <c r="P900" i="2"/>
  <c r="O900" i="2"/>
  <c r="N900" i="2"/>
  <c r="K900" i="2"/>
  <c r="J900" i="2"/>
  <c r="I900" i="2"/>
  <c r="H900" i="2"/>
  <c r="G900" i="2"/>
  <c r="F900" i="2"/>
  <c r="E900" i="2"/>
  <c r="D900" i="2"/>
  <c r="C900" i="2"/>
  <c r="B900" i="2"/>
  <c r="A900" i="2"/>
  <c r="AJ899" i="2"/>
  <c r="AI899" i="2"/>
  <c r="AH899" i="2"/>
  <c r="AG899" i="2"/>
  <c r="AF899" i="2"/>
  <c r="AE899" i="2"/>
  <c r="AD899" i="2"/>
  <c r="AC899" i="2"/>
  <c r="AB899" i="2"/>
  <c r="AA899" i="2"/>
  <c r="Z899" i="2"/>
  <c r="Y899" i="2"/>
  <c r="X899" i="2"/>
  <c r="W899" i="2"/>
  <c r="V899" i="2"/>
  <c r="U899" i="2"/>
  <c r="T899" i="2"/>
  <c r="S899" i="2"/>
  <c r="R899" i="2"/>
  <c r="Q899" i="2"/>
  <c r="P899" i="2"/>
  <c r="O899" i="2"/>
  <c r="N899" i="2"/>
  <c r="K899" i="2"/>
  <c r="J899" i="2"/>
  <c r="I899" i="2"/>
  <c r="H899" i="2"/>
  <c r="G899" i="2"/>
  <c r="F899" i="2"/>
  <c r="E899" i="2"/>
  <c r="D899" i="2"/>
  <c r="C899" i="2"/>
  <c r="B899" i="2"/>
  <c r="A899" i="2"/>
  <c r="AJ898" i="2"/>
  <c r="AI898" i="2"/>
  <c r="AH898" i="2"/>
  <c r="AG898" i="2"/>
  <c r="AF898" i="2"/>
  <c r="AE898" i="2"/>
  <c r="AD898" i="2"/>
  <c r="AC898" i="2"/>
  <c r="AB898" i="2"/>
  <c r="AA898" i="2"/>
  <c r="Z898" i="2"/>
  <c r="Y898" i="2"/>
  <c r="X898" i="2"/>
  <c r="W898" i="2"/>
  <c r="V898" i="2"/>
  <c r="U898" i="2"/>
  <c r="T898" i="2"/>
  <c r="S898" i="2"/>
  <c r="R898" i="2"/>
  <c r="Q898" i="2"/>
  <c r="P898" i="2"/>
  <c r="O898" i="2"/>
  <c r="N898" i="2"/>
  <c r="K898" i="2"/>
  <c r="J898" i="2"/>
  <c r="I898" i="2"/>
  <c r="H898" i="2"/>
  <c r="G898" i="2"/>
  <c r="F898" i="2"/>
  <c r="E898" i="2"/>
  <c r="D898" i="2"/>
  <c r="C898" i="2"/>
  <c r="B898" i="2"/>
  <c r="A898" i="2"/>
  <c r="AJ897" i="2"/>
  <c r="AI897" i="2"/>
  <c r="AH897" i="2"/>
  <c r="AF897" i="2"/>
  <c r="AE897" i="2"/>
  <c r="AD897" i="2"/>
  <c r="AC897" i="2"/>
  <c r="AB897" i="2"/>
  <c r="AA897" i="2"/>
  <c r="Z897" i="2"/>
  <c r="Y897" i="2"/>
  <c r="X897" i="2"/>
  <c r="V897" i="2"/>
  <c r="U897" i="2"/>
  <c r="T897" i="2"/>
  <c r="S897" i="2"/>
  <c r="R897" i="2"/>
  <c r="Q897" i="2"/>
  <c r="P897" i="2"/>
  <c r="O897" i="2"/>
  <c r="N897" i="2"/>
  <c r="K897" i="2"/>
  <c r="J897" i="2"/>
  <c r="I897" i="2"/>
  <c r="H897" i="2"/>
  <c r="G897" i="2"/>
  <c r="F897" i="2"/>
  <c r="E897" i="2"/>
  <c r="D897" i="2"/>
  <c r="C897" i="2"/>
  <c r="B897" i="2"/>
  <c r="A897" i="2"/>
  <c r="AJ896" i="2"/>
  <c r="AH896" i="2"/>
  <c r="AG896" i="2"/>
  <c r="AF896" i="2"/>
  <c r="AE896" i="2"/>
  <c r="AD896" i="2"/>
  <c r="AC896" i="2"/>
  <c r="AB896" i="2"/>
  <c r="AA896" i="2"/>
  <c r="Z896" i="2"/>
  <c r="Y896" i="2"/>
  <c r="X896" i="2"/>
  <c r="T896" i="2"/>
  <c r="S896" i="2"/>
  <c r="R896" i="2"/>
  <c r="Q896" i="2"/>
  <c r="P896" i="2"/>
  <c r="O896" i="2"/>
  <c r="N896" i="2"/>
  <c r="K896" i="2"/>
  <c r="J896" i="2"/>
  <c r="I896" i="2"/>
  <c r="H896" i="2"/>
  <c r="G896" i="2"/>
  <c r="F896" i="2"/>
  <c r="E896" i="2"/>
  <c r="D896" i="2"/>
  <c r="C896" i="2"/>
  <c r="B896" i="2"/>
  <c r="A896" i="2"/>
  <c r="AJ895" i="2"/>
  <c r="AI895" i="2"/>
  <c r="AH895" i="2"/>
  <c r="AG895" i="2"/>
  <c r="AF895" i="2"/>
  <c r="AE895" i="2"/>
  <c r="AD895" i="2"/>
  <c r="AC895" i="2"/>
  <c r="AB895" i="2"/>
  <c r="AA895" i="2"/>
  <c r="Z895" i="2"/>
  <c r="Y895" i="2"/>
  <c r="X895" i="2"/>
  <c r="W895" i="2"/>
  <c r="V895" i="2"/>
  <c r="U895" i="2"/>
  <c r="T895" i="2"/>
  <c r="S895" i="2"/>
  <c r="R895" i="2"/>
  <c r="Q895" i="2"/>
  <c r="P895" i="2"/>
  <c r="O895" i="2"/>
  <c r="N895" i="2"/>
  <c r="M895" i="2"/>
  <c r="L895" i="2"/>
  <c r="K895" i="2"/>
  <c r="J895" i="2"/>
  <c r="I895" i="2"/>
  <c r="H895" i="2"/>
  <c r="G895" i="2"/>
  <c r="F895" i="2"/>
  <c r="E895" i="2"/>
  <c r="D895" i="2"/>
  <c r="C895" i="2"/>
  <c r="B895" i="2"/>
  <c r="A895" i="2"/>
  <c r="AJ894" i="2"/>
  <c r="AI894" i="2"/>
  <c r="AH894" i="2"/>
  <c r="AG894" i="2"/>
  <c r="AF894" i="2"/>
  <c r="AE894" i="2"/>
  <c r="AD894" i="2"/>
  <c r="AC894" i="2"/>
  <c r="AB894" i="2"/>
  <c r="AA894" i="2"/>
  <c r="Z894" i="2"/>
  <c r="Y894" i="2"/>
  <c r="X894" i="2"/>
  <c r="W894" i="2"/>
  <c r="V894" i="2"/>
  <c r="U894" i="2"/>
  <c r="T894" i="2"/>
  <c r="S894" i="2"/>
  <c r="R894" i="2"/>
  <c r="Q894" i="2"/>
  <c r="P894" i="2"/>
  <c r="O894" i="2"/>
  <c r="N894" i="2"/>
  <c r="M894" i="2"/>
  <c r="L894" i="2"/>
  <c r="K894" i="2"/>
  <c r="J894" i="2"/>
  <c r="I894" i="2"/>
  <c r="H894" i="2"/>
  <c r="G894" i="2"/>
  <c r="F894" i="2"/>
  <c r="E894" i="2"/>
  <c r="D894" i="2"/>
  <c r="C894" i="2"/>
  <c r="B894" i="2"/>
  <c r="A894" i="2"/>
  <c r="AJ893" i="2"/>
  <c r="AH893" i="2"/>
  <c r="AG893" i="2"/>
  <c r="AF893" i="2"/>
  <c r="AE893" i="2"/>
  <c r="AD893" i="2"/>
  <c r="AC893" i="2"/>
  <c r="AA893" i="2"/>
  <c r="Z893" i="2"/>
  <c r="Y893" i="2"/>
  <c r="X893" i="2"/>
  <c r="W893" i="2"/>
  <c r="V893" i="2"/>
  <c r="U893" i="2"/>
  <c r="T893" i="2"/>
  <c r="S893" i="2"/>
  <c r="R893" i="2"/>
  <c r="Q893" i="2"/>
  <c r="P893" i="2"/>
  <c r="O893" i="2"/>
  <c r="N893" i="2"/>
  <c r="K893" i="2"/>
  <c r="J893" i="2"/>
  <c r="I893" i="2"/>
  <c r="H893" i="2"/>
  <c r="G893" i="2"/>
  <c r="F893" i="2"/>
  <c r="E893" i="2"/>
  <c r="D893" i="2"/>
  <c r="C893" i="2"/>
  <c r="B893" i="2"/>
  <c r="A893" i="2"/>
  <c r="AJ892" i="2"/>
  <c r="AI892" i="2"/>
  <c r="AH892" i="2"/>
  <c r="AF892" i="2"/>
  <c r="AE892" i="2"/>
  <c r="AD892" i="2"/>
  <c r="AC892" i="2"/>
  <c r="AA892" i="2"/>
  <c r="Z892" i="2"/>
  <c r="Y892" i="2"/>
  <c r="X892" i="2"/>
  <c r="W892" i="2"/>
  <c r="V892" i="2"/>
  <c r="U892" i="2"/>
  <c r="T892" i="2"/>
  <c r="S892" i="2"/>
  <c r="R892" i="2"/>
  <c r="Q892" i="2"/>
  <c r="P892" i="2"/>
  <c r="O892" i="2"/>
  <c r="N892" i="2"/>
  <c r="K892" i="2"/>
  <c r="J892" i="2"/>
  <c r="I892" i="2"/>
  <c r="H892" i="2"/>
  <c r="G892" i="2"/>
  <c r="F892" i="2"/>
  <c r="E892" i="2"/>
  <c r="D892" i="2"/>
  <c r="C892" i="2"/>
  <c r="B892" i="2"/>
  <c r="A892" i="2"/>
  <c r="AJ891" i="2"/>
  <c r="AH891" i="2"/>
  <c r="AG891" i="2"/>
  <c r="AF891" i="2"/>
  <c r="AE891" i="2"/>
  <c r="AD891" i="2"/>
  <c r="AC891" i="2"/>
  <c r="AB891" i="2"/>
  <c r="AA891" i="2"/>
  <c r="Z891" i="2"/>
  <c r="Y891" i="2"/>
  <c r="X891" i="2"/>
  <c r="W891" i="2"/>
  <c r="V891" i="2"/>
  <c r="U891" i="2"/>
  <c r="T891" i="2"/>
  <c r="S891" i="2"/>
  <c r="R891" i="2"/>
  <c r="Q891" i="2"/>
  <c r="P891" i="2"/>
  <c r="O891" i="2"/>
  <c r="N891" i="2"/>
  <c r="K891" i="2"/>
  <c r="J891" i="2"/>
  <c r="I891" i="2"/>
  <c r="H891" i="2"/>
  <c r="G891" i="2"/>
  <c r="F891" i="2"/>
  <c r="E891" i="2"/>
  <c r="D891" i="2"/>
  <c r="C891" i="2"/>
  <c r="B891" i="2"/>
  <c r="A891" i="2"/>
  <c r="AJ890" i="2"/>
  <c r="AI890" i="2"/>
  <c r="AH890" i="2"/>
  <c r="AG890" i="2"/>
  <c r="AF890" i="2"/>
  <c r="AE890" i="2"/>
  <c r="AD890" i="2"/>
  <c r="AC890" i="2"/>
  <c r="AB890" i="2"/>
  <c r="AA890" i="2"/>
  <c r="Z890" i="2"/>
  <c r="Y890" i="2"/>
  <c r="X890" i="2"/>
  <c r="U890" i="2"/>
  <c r="T890" i="2"/>
  <c r="S890" i="2"/>
  <c r="R890" i="2"/>
  <c r="Q890" i="2"/>
  <c r="P890" i="2"/>
  <c r="O890" i="2"/>
  <c r="N890" i="2"/>
  <c r="K890" i="2"/>
  <c r="J890" i="2"/>
  <c r="I890" i="2"/>
  <c r="H890" i="2"/>
  <c r="G890" i="2"/>
  <c r="F890" i="2"/>
  <c r="E890" i="2"/>
  <c r="D890" i="2"/>
  <c r="C890" i="2"/>
  <c r="B890" i="2"/>
  <c r="A890" i="2"/>
  <c r="AJ889" i="2"/>
  <c r="AI889" i="2"/>
  <c r="AH889" i="2"/>
  <c r="AG889" i="2"/>
  <c r="AF889" i="2"/>
  <c r="AE889" i="2"/>
  <c r="AD889" i="2"/>
  <c r="AC889" i="2"/>
  <c r="AB889" i="2"/>
  <c r="AA889" i="2"/>
  <c r="Z889" i="2"/>
  <c r="Y889" i="2"/>
  <c r="X889" i="2"/>
  <c r="W889" i="2"/>
  <c r="V889" i="2"/>
  <c r="U889" i="2"/>
  <c r="T889" i="2"/>
  <c r="S889" i="2"/>
  <c r="R889" i="2"/>
  <c r="Q889" i="2"/>
  <c r="P889" i="2"/>
  <c r="O889" i="2"/>
  <c r="N889" i="2"/>
  <c r="K889" i="2"/>
  <c r="J889" i="2"/>
  <c r="I889" i="2"/>
  <c r="H889" i="2"/>
  <c r="G889" i="2"/>
  <c r="F889" i="2"/>
  <c r="E889" i="2"/>
  <c r="D889" i="2"/>
  <c r="C889" i="2"/>
  <c r="B889" i="2"/>
  <c r="A889" i="2"/>
  <c r="AJ888" i="2"/>
  <c r="AI888" i="2"/>
  <c r="AH888" i="2"/>
  <c r="AG888" i="2"/>
  <c r="AF888" i="2"/>
  <c r="AE888" i="2"/>
  <c r="AD888" i="2"/>
  <c r="AC888" i="2"/>
  <c r="AB888" i="2"/>
  <c r="AA888" i="2"/>
  <c r="Z888" i="2"/>
  <c r="Y888" i="2"/>
  <c r="X888" i="2"/>
  <c r="W888" i="2"/>
  <c r="V888" i="2"/>
  <c r="U888" i="2"/>
  <c r="T888" i="2"/>
  <c r="S888" i="2"/>
  <c r="R888" i="2"/>
  <c r="Q888" i="2"/>
  <c r="P888" i="2"/>
  <c r="O888" i="2"/>
  <c r="N888" i="2"/>
  <c r="K888" i="2"/>
  <c r="J888" i="2"/>
  <c r="I888" i="2"/>
  <c r="H888" i="2"/>
  <c r="G888" i="2"/>
  <c r="F888" i="2"/>
  <c r="E888" i="2"/>
  <c r="D888" i="2"/>
  <c r="C888" i="2"/>
  <c r="B888" i="2"/>
  <c r="A888" i="2"/>
  <c r="AJ887" i="2"/>
  <c r="AI887" i="2"/>
  <c r="AH887" i="2"/>
  <c r="AG887" i="2"/>
  <c r="AF887" i="2"/>
  <c r="AE887" i="2"/>
  <c r="AD887" i="2"/>
  <c r="AC887" i="2"/>
  <c r="AB887" i="2"/>
  <c r="AA887" i="2"/>
  <c r="Z887" i="2"/>
  <c r="Y887" i="2"/>
  <c r="W887" i="2"/>
  <c r="V887" i="2"/>
  <c r="U887" i="2"/>
  <c r="T887" i="2"/>
  <c r="S887" i="2"/>
  <c r="R887" i="2"/>
  <c r="Q887" i="2"/>
  <c r="P887" i="2"/>
  <c r="O887" i="2"/>
  <c r="N887" i="2"/>
  <c r="K887" i="2"/>
  <c r="J887" i="2"/>
  <c r="I887" i="2"/>
  <c r="H887" i="2"/>
  <c r="G887" i="2"/>
  <c r="F887" i="2"/>
  <c r="E887" i="2"/>
  <c r="D887" i="2"/>
  <c r="C887" i="2"/>
  <c r="B887" i="2"/>
  <c r="A887" i="2"/>
  <c r="AJ886" i="2"/>
  <c r="AI886" i="2"/>
  <c r="AH886" i="2"/>
  <c r="AG886" i="2"/>
  <c r="AF886" i="2"/>
  <c r="AE886" i="2"/>
  <c r="AD886" i="2"/>
  <c r="AC886" i="2"/>
  <c r="AB886" i="2"/>
  <c r="AA886" i="2"/>
  <c r="Z886" i="2"/>
  <c r="Y886" i="2"/>
  <c r="X886" i="2"/>
  <c r="W886" i="2"/>
  <c r="V886" i="2"/>
  <c r="U886" i="2"/>
  <c r="T886" i="2"/>
  <c r="S886" i="2"/>
  <c r="R886" i="2"/>
  <c r="Q886" i="2"/>
  <c r="P886" i="2"/>
  <c r="O886" i="2"/>
  <c r="N886" i="2"/>
  <c r="K886" i="2"/>
  <c r="J886" i="2"/>
  <c r="I886" i="2"/>
  <c r="H886" i="2"/>
  <c r="G886" i="2"/>
  <c r="F886" i="2"/>
  <c r="E886" i="2"/>
  <c r="D886" i="2"/>
  <c r="C886" i="2"/>
  <c r="B886" i="2"/>
  <c r="A886" i="2"/>
  <c r="AJ885" i="2"/>
  <c r="AH885" i="2"/>
  <c r="AG885" i="2"/>
  <c r="AF885" i="2"/>
  <c r="AE885" i="2"/>
  <c r="AD885" i="2"/>
  <c r="AC885" i="2"/>
  <c r="AB885" i="2"/>
  <c r="AA885" i="2"/>
  <c r="Z885" i="2"/>
  <c r="Y885" i="2"/>
  <c r="X885" i="2"/>
  <c r="W885" i="2"/>
  <c r="V885" i="2"/>
  <c r="U885" i="2"/>
  <c r="T885" i="2"/>
  <c r="S885" i="2"/>
  <c r="R885" i="2"/>
  <c r="Q885" i="2"/>
  <c r="P885" i="2"/>
  <c r="O885" i="2"/>
  <c r="N885" i="2"/>
  <c r="K885" i="2"/>
  <c r="J885" i="2"/>
  <c r="I885" i="2"/>
  <c r="H885" i="2"/>
  <c r="G885" i="2"/>
  <c r="F885" i="2"/>
  <c r="E885" i="2"/>
  <c r="D885" i="2"/>
  <c r="C885" i="2"/>
  <c r="B885" i="2"/>
  <c r="A885" i="2"/>
  <c r="AJ884" i="2"/>
  <c r="AI884" i="2"/>
  <c r="AH884" i="2"/>
  <c r="AG884" i="2"/>
  <c r="AF884" i="2"/>
  <c r="AE884" i="2"/>
  <c r="AD884" i="2"/>
  <c r="AB884" i="2"/>
  <c r="AA884" i="2"/>
  <c r="Z884" i="2"/>
  <c r="Y884" i="2"/>
  <c r="X884" i="2"/>
  <c r="W884" i="2"/>
  <c r="V884" i="2"/>
  <c r="U884" i="2"/>
  <c r="T884" i="2"/>
  <c r="S884" i="2"/>
  <c r="R884" i="2"/>
  <c r="Q884" i="2"/>
  <c r="P884" i="2"/>
  <c r="O884" i="2"/>
  <c r="N884" i="2"/>
  <c r="K884" i="2"/>
  <c r="J884" i="2"/>
  <c r="I884" i="2"/>
  <c r="H884" i="2"/>
  <c r="G884" i="2"/>
  <c r="F884" i="2"/>
  <c r="E884" i="2"/>
  <c r="D884" i="2"/>
  <c r="C884" i="2"/>
  <c r="B884" i="2"/>
  <c r="A884" i="2"/>
  <c r="AJ883" i="2"/>
  <c r="AH883" i="2"/>
  <c r="AG883" i="2"/>
  <c r="AF883" i="2"/>
  <c r="AE883" i="2"/>
  <c r="AD883" i="2"/>
  <c r="AB883" i="2"/>
  <c r="AA883" i="2"/>
  <c r="Z883" i="2"/>
  <c r="Y883" i="2"/>
  <c r="X883" i="2"/>
  <c r="W883" i="2"/>
  <c r="V883" i="2"/>
  <c r="U883" i="2"/>
  <c r="T883" i="2"/>
  <c r="S883" i="2"/>
  <c r="R883" i="2"/>
  <c r="Q883" i="2"/>
  <c r="P883" i="2"/>
  <c r="O883" i="2"/>
  <c r="N883" i="2"/>
  <c r="K883" i="2"/>
  <c r="J883" i="2"/>
  <c r="I883" i="2"/>
  <c r="H883" i="2"/>
  <c r="G883" i="2"/>
  <c r="F883" i="2"/>
  <c r="E883" i="2"/>
  <c r="D883" i="2"/>
  <c r="C883" i="2"/>
  <c r="B883" i="2"/>
  <c r="A883" i="2"/>
  <c r="AJ882" i="2"/>
  <c r="AI882" i="2"/>
  <c r="AH882" i="2"/>
  <c r="AF882" i="2"/>
  <c r="AE882" i="2"/>
  <c r="AD882" i="2"/>
  <c r="AC882" i="2"/>
  <c r="AB882" i="2"/>
  <c r="AA882" i="2"/>
  <c r="Z882" i="2"/>
  <c r="Y882" i="2"/>
  <c r="X882" i="2"/>
  <c r="W882" i="2"/>
  <c r="V882" i="2"/>
  <c r="U882" i="2"/>
  <c r="T882" i="2"/>
  <c r="S882" i="2"/>
  <c r="R882" i="2"/>
  <c r="Q882" i="2"/>
  <c r="P882" i="2"/>
  <c r="O882" i="2"/>
  <c r="N882" i="2"/>
  <c r="K882" i="2"/>
  <c r="J882" i="2"/>
  <c r="I882" i="2"/>
  <c r="H882" i="2"/>
  <c r="G882" i="2"/>
  <c r="F882" i="2"/>
  <c r="E882" i="2"/>
  <c r="D882" i="2"/>
  <c r="C882" i="2"/>
  <c r="B882" i="2"/>
  <c r="A882" i="2"/>
  <c r="AJ881" i="2"/>
  <c r="AI881" i="2"/>
  <c r="AH881" i="2"/>
  <c r="AG881" i="2"/>
  <c r="AF881" i="2"/>
  <c r="AE881" i="2"/>
  <c r="AD881" i="2"/>
  <c r="AC881" i="2"/>
  <c r="AA881" i="2"/>
  <c r="Z881" i="2"/>
  <c r="Y881" i="2"/>
  <c r="X881" i="2"/>
  <c r="W881" i="2"/>
  <c r="V881" i="2"/>
  <c r="U881" i="2"/>
  <c r="T881" i="2"/>
  <c r="S881" i="2"/>
  <c r="R881" i="2"/>
  <c r="Q881" i="2"/>
  <c r="P881" i="2"/>
  <c r="O881" i="2"/>
  <c r="N881" i="2"/>
  <c r="K881" i="2"/>
  <c r="J881" i="2"/>
  <c r="I881" i="2"/>
  <c r="H881" i="2"/>
  <c r="G881" i="2"/>
  <c r="F881" i="2"/>
  <c r="E881" i="2"/>
  <c r="D881" i="2"/>
  <c r="C881" i="2"/>
  <c r="B881" i="2"/>
  <c r="A881" i="2"/>
  <c r="AJ880" i="2"/>
  <c r="AI880" i="2"/>
  <c r="AH880" i="2"/>
  <c r="AG880" i="2"/>
  <c r="AF880" i="2"/>
  <c r="AE880" i="2"/>
  <c r="AD880" i="2"/>
  <c r="AC880" i="2"/>
  <c r="AA880" i="2"/>
  <c r="Z880" i="2"/>
  <c r="Y880" i="2"/>
  <c r="W880" i="2"/>
  <c r="V880" i="2"/>
  <c r="U880" i="2"/>
  <c r="T880" i="2"/>
  <c r="S880" i="2"/>
  <c r="R880" i="2"/>
  <c r="Q880" i="2"/>
  <c r="P880" i="2"/>
  <c r="O880" i="2"/>
  <c r="N880" i="2"/>
  <c r="M880" i="2"/>
  <c r="L880" i="2"/>
  <c r="K880" i="2"/>
  <c r="J880" i="2"/>
  <c r="I880" i="2"/>
  <c r="H880" i="2"/>
  <c r="G880" i="2"/>
  <c r="F880" i="2"/>
  <c r="E880" i="2"/>
  <c r="D880" i="2"/>
  <c r="C880" i="2"/>
  <c r="B880" i="2"/>
  <c r="A880" i="2"/>
  <c r="AJ879" i="2"/>
  <c r="AF879" i="2"/>
  <c r="AE879" i="2"/>
  <c r="AD879" i="2"/>
  <c r="AB879" i="2"/>
  <c r="AA879" i="2"/>
  <c r="Z879" i="2"/>
  <c r="Y879" i="2"/>
  <c r="X879" i="2"/>
  <c r="W879" i="2"/>
  <c r="V879" i="2"/>
  <c r="U879" i="2"/>
  <c r="T879" i="2"/>
  <c r="S879" i="2"/>
  <c r="R879" i="2"/>
  <c r="Q879" i="2"/>
  <c r="P879" i="2"/>
  <c r="O879" i="2"/>
  <c r="N879" i="2"/>
  <c r="K879" i="2"/>
  <c r="J879" i="2"/>
  <c r="I879" i="2"/>
  <c r="H879" i="2"/>
  <c r="G879" i="2"/>
  <c r="F879" i="2"/>
  <c r="E879" i="2"/>
  <c r="D879" i="2"/>
  <c r="C879" i="2"/>
  <c r="B879" i="2"/>
  <c r="A879" i="2"/>
  <c r="AJ878" i="2"/>
  <c r="AI878" i="2"/>
  <c r="AH878" i="2"/>
  <c r="AG878" i="2"/>
  <c r="AF878" i="2"/>
  <c r="AE878" i="2"/>
  <c r="AD878" i="2"/>
  <c r="AA878" i="2"/>
  <c r="Z878" i="2"/>
  <c r="Y878" i="2"/>
  <c r="X878" i="2"/>
  <c r="W878" i="2"/>
  <c r="V878" i="2"/>
  <c r="U878" i="2"/>
  <c r="T878" i="2"/>
  <c r="S878" i="2"/>
  <c r="R878" i="2"/>
  <c r="Q878" i="2"/>
  <c r="P878" i="2"/>
  <c r="O878" i="2"/>
  <c r="N878" i="2"/>
  <c r="K878" i="2"/>
  <c r="J878" i="2"/>
  <c r="I878" i="2"/>
  <c r="H878" i="2"/>
  <c r="G878" i="2"/>
  <c r="F878" i="2"/>
  <c r="E878" i="2"/>
  <c r="D878" i="2"/>
  <c r="C878" i="2"/>
  <c r="B878" i="2"/>
  <c r="A878" i="2"/>
  <c r="AJ877" i="2"/>
  <c r="AI877" i="2"/>
  <c r="AH877" i="2"/>
  <c r="AG877" i="2"/>
  <c r="AF877" i="2"/>
  <c r="AE877" i="2"/>
  <c r="AD877" i="2"/>
  <c r="AB877" i="2"/>
  <c r="AA877" i="2"/>
  <c r="Z877" i="2"/>
  <c r="Y877" i="2"/>
  <c r="X877" i="2"/>
  <c r="W877" i="2"/>
  <c r="V877" i="2"/>
  <c r="U877" i="2"/>
  <c r="T877" i="2"/>
  <c r="S877" i="2"/>
  <c r="R877" i="2"/>
  <c r="Q877" i="2"/>
  <c r="P877" i="2"/>
  <c r="O877" i="2"/>
  <c r="N877" i="2"/>
  <c r="K877" i="2"/>
  <c r="J877" i="2"/>
  <c r="I877" i="2"/>
  <c r="H877" i="2"/>
  <c r="G877" i="2"/>
  <c r="F877" i="2"/>
  <c r="E877" i="2"/>
  <c r="D877" i="2"/>
  <c r="C877" i="2"/>
  <c r="B877" i="2"/>
  <c r="A877" i="2"/>
  <c r="AJ876" i="2"/>
  <c r="AI876" i="2"/>
  <c r="AH876" i="2"/>
  <c r="AG876" i="2"/>
  <c r="AF876" i="2"/>
  <c r="AE876" i="2"/>
  <c r="AD876" i="2"/>
  <c r="AC876" i="2"/>
  <c r="AB876" i="2"/>
  <c r="AA876" i="2"/>
  <c r="Z876" i="2"/>
  <c r="Y876" i="2"/>
  <c r="X876" i="2"/>
  <c r="W876" i="2"/>
  <c r="V876" i="2"/>
  <c r="U876" i="2"/>
  <c r="T876" i="2"/>
  <c r="S876" i="2"/>
  <c r="R876" i="2"/>
  <c r="Q876" i="2"/>
  <c r="P876" i="2"/>
  <c r="O876" i="2"/>
  <c r="N876" i="2"/>
  <c r="K876" i="2"/>
  <c r="J876" i="2"/>
  <c r="I876" i="2"/>
  <c r="H876" i="2"/>
  <c r="G876" i="2"/>
  <c r="F876" i="2"/>
  <c r="E876" i="2"/>
  <c r="D876" i="2"/>
  <c r="C876" i="2"/>
  <c r="B876" i="2"/>
  <c r="A876" i="2"/>
  <c r="AJ875" i="2"/>
  <c r="AH875" i="2"/>
  <c r="AG875" i="2"/>
  <c r="AF875" i="2"/>
  <c r="AE875" i="2"/>
  <c r="AD875" i="2"/>
  <c r="AC875" i="2"/>
  <c r="AB875" i="2"/>
  <c r="AA875" i="2"/>
  <c r="Z875" i="2"/>
  <c r="Y875" i="2"/>
  <c r="X875" i="2"/>
  <c r="W875" i="2"/>
  <c r="V875" i="2"/>
  <c r="U875" i="2"/>
  <c r="T875" i="2"/>
  <c r="S875" i="2"/>
  <c r="R875" i="2"/>
  <c r="Q875" i="2"/>
  <c r="P875" i="2"/>
  <c r="O875" i="2"/>
  <c r="N875" i="2"/>
  <c r="K875" i="2"/>
  <c r="J875" i="2"/>
  <c r="I875" i="2"/>
  <c r="H875" i="2"/>
  <c r="G875" i="2"/>
  <c r="F875" i="2"/>
  <c r="E875" i="2"/>
  <c r="D875" i="2"/>
  <c r="C875" i="2"/>
  <c r="B875" i="2"/>
  <c r="A875" i="2"/>
  <c r="AJ874" i="2"/>
  <c r="AI874" i="2"/>
  <c r="AH874" i="2"/>
  <c r="AG874" i="2"/>
  <c r="AF874" i="2"/>
  <c r="AE874" i="2"/>
  <c r="AD874" i="2"/>
  <c r="AC874" i="2"/>
  <c r="AB874" i="2"/>
  <c r="AA874" i="2"/>
  <c r="Z874" i="2"/>
  <c r="Y874" i="2"/>
  <c r="X874" i="2"/>
  <c r="W874" i="2"/>
  <c r="V874" i="2"/>
  <c r="U874" i="2"/>
  <c r="T874" i="2"/>
  <c r="S874" i="2"/>
  <c r="R874" i="2"/>
  <c r="Q874" i="2"/>
  <c r="P874" i="2"/>
  <c r="O874" i="2"/>
  <c r="N874" i="2"/>
  <c r="K874" i="2"/>
  <c r="J874" i="2"/>
  <c r="I874" i="2"/>
  <c r="H874" i="2"/>
  <c r="G874" i="2"/>
  <c r="F874" i="2"/>
  <c r="E874" i="2"/>
  <c r="D874" i="2"/>
  <c r="C874" i="2"/>
  <c r="B874" i="2"/>
  <c r="A874" i="2"/>
  <c r="AJ873" i="2"/>
  <c r="AH873" i="2"/>
  <c r="AG873" i="2"/>
  <c r="AF873" i="2"/>
  <c r="AE873" i="2"/>
  <c r="AD873" i="2"/>
  <c r="AC873" i="2"/>
  <c r="AB873" i="2"/>
  <c r="AA873" i="2"/>
  <c r="Z873" i="2"/>
  <c r="Y873" i="2"/>
  <c r="X873" i="2"/>
  <c r="W873" i="2"/>
  <c r="V873" i="2"/>
  <c r="U873" i="2"/>
  <c r="T873" i="2"/>
  <c r="S873" i="2"/>
  <c r="R873" i="2"/>
  <c r="Q873" i="2"/>
  <c r="P873" i="2"/>
  <c r="O873" i="2"/>
  <c r="N873" i="2"/>
  <c r="K873" i="2"/>
  <c r="J873" i="2"/>
  <c r="I873" i="2"/>
  <c r="H873" i="2"/>
  <c r="G873" i="2"/>
  <c r="F873" i="2"/>
  <c r="E873" i="2"/>
  <c r="D873" i="2"/>
  <c r="C873" i="2"/>
  <c r="B873" i="2"/>
  <c r="A873" i="2"/>
  <c r="AJ872" i="2"/>
  <c r="AH872" i="2"/>
  <c r="AG872" i="2"/>
  <c r="AF872" i="2"/>
  <c r="AE872" i="2"/>
  <c r="AD872" i="2"/>
  <c r="AB872" i="2"/>
  <c r="AA872" i="2"/>
  <c r="Z872" i="2"/>
  <c r="Y872" i="2"/>
  <c r="X872" i="2"/>
  <c r="W872" i="2"/>
  <c r="V872" i="2"/>
  <c r="U872" i="2"/>
  <c r="T872" i="2"/>
  <c r="S872" i="2"/>
  <c r="R872" i="2"/>
  <c r="Q872" i="2"/>
  <c r="P872" i="2"/>
  <c r="O872" i="2"/>
  <c r="N872" i="2"/>
  <c r="K872" i="2"/>
  <c r="J872" i="2"/>
  <c r="I872" i="2"/>
  <c r="H872" i="2"/>
  <c r="G872" i="2"/>
  <c r="F872" i="2"/>
  <c r="E872" i="2"/>
  <c r="D872" i="2"/>
  <c r="C872" i="2"/>
  <c r="B872" i="2"/>
  <c r="A872" i="2"/>
  <c r="AJ871" i="2"/>
  <c r="AG871" i="2"/>
  <c r="AF871" i="2"/>
  <c r="AE871" i="2"/>
  <c r="AD871" i="2"/>
  <c r="AA871" i="2"/>
  <c r="Z871" i="2"/>
  <c r="Y871" i="2"/>
  <c r="X871" i="2"/>
  <c r="W871" i="2"/>
  <c r="V871" i="2"/>
  <c r="U871" i="2"/>
  <c r="T871" i="2"/>
  <c r="S871" i="2"/>
  <c r="R871" i="2"/>
  <c r="Q871" i="2"/>
  <c r="P871" i="2"/>
  <c r="O871" i="2"/>
  <c r="N871" i="2"/>
  <c r="K871" i="2"/>
  <c r="J871" i="2"/>
  <c r="I871" i="2"/>
  <c r="H871" i="2"/>
  <c r="G871" i="2"/>
  <c r="F871" i="2"/>
  <c r="E871" i="2"/>
  <c r="D871" i="2"/>
  <c r="C871" i="2"/>
  <c r="B871" i="2"/>
  <c r="A871" i="2"/>
  <c r="AJ870" i="2"/>
  <c r="AI870" i="2"/>
  <c r="AH870" i="2"/>
  <c r="AG870" i="2"/>
  <c r="AF870" i="2"/>
  <c r="AE870" i="2"/>
  <c r="AD870" i="2"/>
  <c r="AC870" i="2"/>
  <c r="AA870" i="2"/>
  <c r="Z870" i="2"/>
  <c r="Y870" i="2"/>
  <c r="X870" i="2"/>
  <c r="W870" i="2"/>
  <c r="V870" i="2"/>
  <c r="U870" i="2"/>
  <c r="T870" i="2"/>
  <c r="S870" i="2"/>
  <c r="R870" i="2"/>
  <c r="Q870" i="2"/>
  <c r="P870" i="2"/>
  <c r="O870" i="2"/>
  <c r="N870" i="2"/>
  <c r="K870" i="2"/>
  <c r="J870" i="2"/>
  <c r="I870" i="2"/>
  <c r="H870" i="2"/>
  <c r="G870" i="2"/>
  <c r="F870" i="2"/>
  <c r="E870" i="2"/>
  <c r="D870" i="2"/>
  <c r="C870" i="2"/>
  <c r="B870" i="2"/>
  <c r="A870" i="2"/>
  <c r="AJ869" i="2"/>
  <c r="AH869" i="2"/>
  <c r="AG869" i="2"/>
  <c r="AF869" i="2"/>
  <c r="AE869" i="2"/>
  <c r="AD869" i="2"/>
  <c r="AC869" i="2"/>
  <c r="AA869" i="2"/>
  <c r="Z869" i="2"/>
  <c r="Y869" i="2"/>
  <c r="X869" i="2"/>
  <c r="W869" i="2"/>
  <c r="V869" i="2"/>
  <c r="U869" i="2"/>
  <c r="T869" i="2"/>
  <c r="S869" i="2"/>
  <c r="R869" i="2"/>
  <c r="Q869" i="2"/>
  <c r="P869" i="2"/>
  <c r="O869" i="2"/>
  <c r="N869" i="2"/>
  <c r="K869" i="2"/>
  <c r="J869" i="2"/>
  <c r="I869" i="2"/>
  <c r="H869" i="2"/>
  <c r="G869" i="2"/>
  <c r="F869" i="2"/>
  <c r="E869" i="2"/>
  <c r="D869" i="2"/>
  <c r="C869" i="2"/>
  <c r="B869" i="2"/>
  <c r="A869" i="2"/>
  <c r="AJ868" i="2"/>
  <c r="AI868" i="2"/>
  <c r="AH868" i="2"/>
  <c r="AG868" i="2"/>
  <c r="AF868" i="2"/>
  <c r="AE868" i="2"/>
  <c r="AD868" i="2"/>
  <c r="AC868" i="2"/>
  <c r="AB868" i="2"/>
  <c r="AA868" i="2"/>
  <c r="Z868" i="2"/>
  <c r="Y868" i="2"/>
  <c r="X868" i="2"/>
  <c r="W868" i="2"/>
  <c r="V868" i="2"/>
  <c r="U868" i="2"/>
  <c r="T868" i="2"/>
  <c r="S868" i="2"/>
  <c r="R868" i="2"/>
  <c r="Q868" i="2"/>
  <c r="P868" i="2"/>
  <c r="O868" i="2"/>
  <c r="N868" i="2"/>
  <c r="M868" i="2"/>
  <c r="L868" i="2"/>
  <c r="K868" i="2"/>
  <c r="J868" i="2"/>
  <c r="I868" i="2"/>
  <c r="H868" i="2"/>
  <c r="G868" i="2"/>
  <c r="F868" i="2"/>
  <c r="E868" i="2"/>
  <c r="D868" i="2"/>
  <c r="C868" i="2"/>
  <c r="B868" i="2"/>
  <c r="A868" i="2"/>
  <c r="AJ867" i="2"/>
  <c r="AI867" i="2"/>
  <c r="AH867" i="2"/>
  <c r="AG867" i="2"/>
  <c r="AF867" i="2"/>
  <c r="AE867" i="2"/>
  <c r="AD867" i="2"/>
  <c r="AC867" i="2"/>
  <c r="AB867" i="2"/>
  <c r="AA867" i="2"/>
  <c r="Z867" i="2"/>
  <c r="Y867" i="2"/>
  <c r="X867" i="2"/>
  <c r="W867" i="2"/>
  <c r="V867" i="2"/>
  <c r="U867" i="2"/>
  <c r="T867" i="2"/>
  <c r="S867" i="2"/>
  <c r="R867" i="2"/>
  <c r="Q867" i="2"/>
  <c r="P867" i="2"/>
  <c r="O867" i="2"/>
  <c r="N867" i="2"/>
  <c r="K867" i="2"/>
  <c r="J867" i="2"/>
  <c r="I867" i="2"/>
  <c r="H867" i="2"/>
  <c r="G867" i="2"/>
  <c r="F867" i="2"/>
  <c r="E867" i="2"/>
  <c r="D867" i="2"/>
  <c r="C867" i="2"/>
  <c r="B867" i="2"/>
  <c r="A867" i="2"/>
  <c r="AJ866" i="2"/>
  <c r="AI866" i="2"/>
  <c r="AH866" i="2"/>
  <c r="AG866" i="2"/>
  <c r="AF866" i="2"/>
  <c r="AE866" i="2"/>
  <c r="AD866" i="2"/>
  <c r="AA866" i="2"/>
  <c r="Z866" i="2"/>
  <c r="Y866" i="2"/>
  <c r="X866" i="2"/>
  <c r="W866" i="2"/>
  <c r="V866" i="2"/>
  <c r="U866" i="2"/>
  <c r="T866" i="2"/>
  <c r="S866" i="2"/>
  <c r="R866" i="2"/>
  <c r="Q866" i="2"/>
  <c r="P866" i="2"/>
  <c r="O866" i="2"/>
  <c r="N866" i="2"/>
  <c r="K866" i="2"/>
  <c r="J866" i="2"/>
  <c r="I866" i="2"/>
  <c r="H866" i="2"/>
  <c r="G866" i="2"/>
  <c r="F866" i="2"/>
  <c r="E866" i="2"/>
  <c r="D866" i="2"/>
  <c r="C866" i="2"/>
  <c r="B866" i="2"/>
  <c r="A866" i="2"/>
  <c r="AJ865" i="2"/>
  <c r="AI865" i="2"/>
  <c r="AH865" i="2"/>
  <c r="AG865" i="2"/>
  <c r="AF865" i="2"/>
  <c r="AE865" i="2"/>
  <c r="AD865" i="2"/>
  <c r="AC865" i="2"/>
  <c r="AB865" i="2"/>
  <c r="AA865" i="2"/>
  <c r="Z865" i="2"/>
  <c r="Y865" i="2"/>
  <c r="X865" i="2"/>
  <c r="W865" i="2"/>
  <c r="V865" i="2"/>
  <c r="U865" i="2"/>
  <c r="T865" i="2"/>
  <c r="S865" i="2"/>
  <c r="R865" i="2"/>
  <c r="Q865" i="2"/>
  <c r="P865" i="2"/>
  <c r="O865" i="2"/>
  <c r="N865" i="2"/>
  <c r="K865" i="2"/>
  <c r="J865" i="2"/>
  <c r="I865" i="2"/>
  <c r="H865" i="2"/>
  <c r="G865" i="2"/>
  <c r="F865" i="2"/>
  <c r="E865" i="2"/>
  <c r="D865" i="2"/>
  <c r="C865" i="2"/>
  <c r="B865" i="2"/>
  <c r="A865" i="2"/>
  <c r="AJ864" i="2"/>
  <c r="AI864" i="2"/>
  <c r="AH864" i="2"/>
  <c r="AG864" i="2"/>
  <c r="AF864" i="2"/>
  <c r="AE864" i="2"/>
  <c r="AD864" i="2"/>
  <c r="AC864" i="2"/>
  <c r="AB864" i="2"/>
  <c r="AA864" i="2"/>
  <c r="Z864" i="2"/>
  <c r="Y864" i="2"/>
  <c r="X864" i="2"/>
  <c r="W864" i="2"/>
  <c r="V864" i="2"/>
  <c r="U864" i="2"/>
  <c r="T864" i="2"/>
  <c r="S864" i="2"/>
  <c r="Q864" i="2"/>
  <c r="P864" i="2"/>
  <c r="O864" i="2"/>
  <c r="N864" i="2"/>
  <c r="K864" i="2"/>
  <c r="J864" i="2"/>
  <c r="I864" i="2"/>
  <c r="H864" i="2"/>
  <c r="G864" i="2"/>
  <c r="F864" i="2"/>
  <c r="E864" i="2"/>
  <c r="D864" i="2"/>
  <c r="C864" i="2"/>
  <c r="B864" i="2"/>
  <c r="A864" i="2"/>
  <c r="AJ863" i="2"/>
  <c r="AI863" i="2"/>
  <c r="AH863" i="2"/>
  <c r="AG863" i="2"/>
  <c r="AF863" i="2"/>
  <c r="AE863" i="2"/>
  <c r="AD863" i="2"/>
  <c r="AC863" i="2"/>
  <c r="AB863" i="2"/>
  <c r="AA863" i="2"/>
  <c r="Z863" i="2"/>
  <c r="Y863" i="2"/>
  <c r="X863" i="2"/>
  <c r="W863" i="2"/>
  <c r="V863" i="2"/>
  <c r="U863" i="2"/>
  <c r="T863" i="2"/>
  <c r="S863" i="2"/>
  <c r="R863" i="2"/>
  <c r="Q863" i="2"/>
  <c r="P863" i="2"/>
  <c r="O863" i="2"/>
  <c r="N863" i="2"/>
  <c r="K863" i="2"/>
  <c r="J863" i="2"/>
  <c r="I863" i="2"/>
  <c r="H863" i="2"/>
  <c r="G863" i="2"/>
  <c r="F863" i="2"/>
  <c r="E863" i="2"/>
  <c r="D863" i="2"/>
  <c r="C863" i="2"/>
  <c r="B863" i="2"/>
  <c r="A863" i="2"/>
  <c r="AJ862" i="2"/>
  <c r="AI862" i="2"/>
  <c r="AH862" i="2"/>
  <c r="AG862" i="2"/>
  <c r="AF862" i="2"/>
  <c r="AE862" i="2"/>
  <c r="AD862" i="2"/>
  <c r="AC862" i="2"/>
  <c r="AB862" i="2"/>
  <c r="AA862" i="2"/>
  <c r="Z862" i="2"/>
  <c r="Y862" i="2"/>
  <c r="X862" i="2"/>
  <c r="W862" i="2"/>
  <c r="V862" i="2"/>
  <c r="U862" i="2"/>
  <c r="T862" i="2"/>
  <c r="S862" i="2"/>
  <c r="R862" i="2"/>
  <c r="Q862" i="2"/>
  <c r="P862" i="2"/>
  <c r="O862" i="2"/>
  <c r="N862" i="2"/>
  <c r="M862" i="2"/>
  <c r="K862" i="2"/>
  <c r="J862" i="2"/>
  <c r="I862" i="2"/>
  <c r="H862" i="2"/>
  <c r="G862" i="2"/>
  <c r="F862" i="2"/>
  <c r="E862" i="2"/>
  <c r="D862" i="2"/>
  <c r="C862" i="2"/>
  <c r="B862" i="2"/>
  <c r="A862" i="2"/>
  <c r="AJ861" i="2"/>
  <c r="AH861" i="2"/>
  <c r="AF861" i="2"/>
  <c r="AE861" i="2"/>
  <c r="AD861" i="2"/>
  <c r="AC861" i="2"/>
  <c r="AB861" i="2"/>
  <c r="AA861" i="2"/>
  <c r="Z861" i="2"/>
  <c r="Y861" i="2"/>
  <c r="X861" i="2"/>
  <c r="W861" i="2"/>
  <c r="V861" i="2"/>
  <c r="U861" i="2"/>
  <c r="T861" i="2"/>
  <c r="S861" i="2"/>
  <c r="R861" i="2"/>
  <c r="Q861" i="2"/>
  <c r="P861" i="2"/>
  <c r="O861" i="2"/>
  <c r="N861" i="2"/>
  <c r="K861" i="2"/>
  <c r="J861" i="2"/>
  <c r="I861" i="2"/>
  <c r="H861" i="2"/>
  <c r="G861" i="2"/>
  <c r="F861" i="2"/>
  <c r="E861" i="2"/>
  <c r="D861" i="2"/>
  <c r="C861" i="2"/>
  <c r="B861" i="2"/>
  <c r="A861" i="2"/>
  <c r="AJ860" i="2"/>
  <c r="AI860" i="2"/>
  <c r="AH860" i="2"/>
  <c r="AG860" i="2"/>
  <c r="AF860" i="2"/>
  <c r="AE860" i="2"/>
  <c r="AD860" i="2"/>
  <c r="AC860" i="2"/>
  <c r="AB860" i="2"/>
  <c r="AA860" i="2"/>
  <c r="Z860" i="2"/>
  <c r="Y860" i="2"/>
  <c r="X860" i="2"/>
  <c r="W860" i="2"/>
  <c r="V860" i="2"/>
  <c r="U860" i="2"/>
  <c r="T860" i="2"/>
  <c r="S860" i="2"/>
  <c r="R860" i="2"/>
  <c r="Q860" i="2"/>
  <c r="P860" i="2"/>
  <c r="O860" i="2"/>
  <c r="N860" i="2"/>
  <c r="K860" i="2"/>
  <c r="J860" i="2"/>
  <c r="I860" i="2"/>
  <c r="H860" i="2"/>
  <c r="G860" i="2"/>
  <c r="F860" i="2"/>
  <c r="E860" i="2"/>
  <c r="D860" i="2"/>
  <c r="C860" i="2"/>
  <c r="B860" i="2"/>
  <c r="A860" i="2"/>
  <c r="AJ859" i="2"/>
  <c r="AH859" i="2"/>
  <c r="AF859" i="2"/>
  <c r="AE859" i="2"/>
  <c r="AD859" i="2"/>
  <c r="AC859" i="2"/>
  <c r="AB859" i="2"/>
  <c r="AA859" i="2"/>
  <c r="Z859" i="2"/>
  <c r="Y859" i="2"/>
  <c r="X859" i="2"/>
  <c r="W859" i="2"/>
  <c r="V859" i="2"/>
  <c r="U859" i="2"/>
  <c r="T859" i="2"/>
  <c r="S859" i="2"/>
  <c r="R859" i="2"/>
  <c r="Q859" i="2"/>
  <c r="P859" i="2"/>
  <c r="O859" i="2"/>
  <c r="N859" i="2"/>
  <c r="M859" i="2"/>
  <c r="K859" i="2"/>
  <c r="J859" i="2"/>
  <c r="I859" i="2"/>
  <c r="H859" i="2"/>
  <c r="G859" i="2"/>
  <c r="F859" i="2"/>
  <c r="E859" i="2"/>
  <c r="D859" i="2"/>
  <c r="C859" i="2"/>
  <c r="B859" i="2"/>
  <c r="A859" i="2"/>
  <c r="AJ858" i="2"/>
  <c r="AI858" i="2"/>
  <c r="AH858" i="2"/>
  <c r="AG858" i="2"/>
  <c r="AF858" i="2"/>
  <c r="AE858" i="2"/>
  <c r="AD858" i="2"/>
  <c r="AC858" i="2"/>
  <c r="AB858" i="2"/>
  <c r="AA858" i="2"/>
  <c r="Z858" i="2"/>
  <c r="Y858" i="2"/>
  <c r="X858" i="2"/>
  <c r="W858" i="2"/>
  <c r="V858" i="2"/>
  <c r="U858" i="2"/>
  <c r="T858" i="2"/>
  <c r="S858" i="2"/>
  <c r="R858" i="2"/>
  <c r="Q858" i="2"/>
  <c r="P858" i="2"/>
  <c r="O858" i="2"/>
  <c r="N858" i="2"/>
  <c r="M858" i="2"/>
  <c r="L858" i="2"/>
  <c r="K858" i="2"/>
  <c r="J858" i="2"/>
  <c r="I858" i="2"/>
  <c r="H858" i="2"/>
  <c r="G858" i="2"/>
  <c r="F858" i="2"/>
  <c r="E858" i="2"/>
  <c r="D858" i="2"/>
  <c r="C858" i="2"/>
  <c r="B858" i="2"/>
  <c r="A858" i="2"/>
  <c r="AJ857" i="2"/>
  <c r="AI857" i="2"/>
  <c r="AH857" i="2"/>
  <c r="AF857" i="2"/>
  <c r="AE857" i="2"/>
  <c r="AD857" i="2"/>
  <c r="AC857" i="2"/>
  <c r="AB857" i="2"/>
  <c r="AA857" i="2"/>
  <c r="Z857" i="2"/>
  <c r="Y857" i="2"/>
  <c r="X857" i="2"/>
  <c r="W857" i="2"/>
  <c r="V857" i="2"/>
  <c r="U857" i="2"/>
  <c r="T857" i="2"/>
  <c r="S857" i="2"/>
  <c r="R857" i="2"/>
  <c r="Q857" i="2"/>
  <c r="P857" i="2"/>
  <c r="O857" i="2"/>
  <c r="N857" i="2"/>
  <c r="K857" i="2"/>
  <c r="J857" i="2"/>
  <c r="I857" i="2"/>
  <c r="H857" i="2"/>
  <c r="G857" i="2"/>
  <c r="F857" i="2"/>
  <c r="E857" i="2"/>
  <c r="D857" i="2"/>
  <c r="C857" i="2"/>
  <c r="B857" i="2"/>
  <c r="A857" i="2"/>
  <c r="AJ856" i="2"/>
  <c r="AI856" i="2"/>
  <c r="AH856" i="2"/>
  <c r="AG856" i="2"/>
  <c r="AF856" i="2"/>
  <c r="AE856" i="2"/>
  <c r="AD856" i="2"/>
  <c r="AC856" i="2"/>
  <c r="AB856" i="2"/>
  <c r="AA856" i="2"/>
  <c r="Z856" i="2"/>
  <c r="Y856" i="2"/>
  <c r="X856" i="2"/>
  <c r="W856" i="2"/>
  <c r="V856" i="2"/>
  <c r="U856" i="2"/>
  <c r="T856" i="2"/>
  <c r="S856" i="2"/>
  <c r="R856" i="2"/>
  <c r="Q856" i="2"/>
  <c r="P856" i="2"/>
  <c r="O856" i="2"/>
  <c r="N856" i="2"/>
  <c r="K856" i="2"/>
  <c r="J856" i="2"/>
  <c r="I856" i="2"/>
  <c r="H856" i="2"/>
  <c r="G856" i="2"/>
  <c r="F856" i="2"/>
  <c r="E856" i="2"/>
  <c r="D856" i="2"/>
  <c r="C856" i="2"/>
  <c r="B856" i="2"/>
  <c r="A856" i="2"/>
  <c r="AJ855" i="2"/>
  <c r="AI855" i="2"/>
  <c r="AH855" i="2"/>
  <c r="AG855" i="2"/>
  <c r="AF855" i="2"/>
  <c r="AE855" i="2"/>
  <c r="AD855" i="2"/>
  <c r="AC855" i="2"/>
  <c r="AB855" i="2"/>
  <c r="AA855" i="2"/>
  <c r="Z855" i="2"/>
  <c r="Y855" i="2"/>
  <c r="X855" i="2"/>
  <c r="W855" i="2"/>
  <c r="V855" i="2"/>
  <c r="U855" i="2"/>
  <c r="T855" i="2"/>
  <c r="S855" i="2"/>
  <c r="R855" i="2"/>
  <c r="Q855" i="2"/>
  <c r="P855" i="2"/>
  <c r="O855" i="2"/>
  <c r="N855" i="2"/>
  <c r="K855" i="2"/>
  <c r="J855" i="2"/>
  <c r="I855" i="2"/>
  <c r="H855" i="2"/>
  <c r="G855" i="2"/>
  <c r="F855" i="2"/>
  <c r="E855" i="2"/>
  <c r="D855" i="2"/>
  <c r="C855" i="2"/>
  <c r="B855" i="2"/>
  <c r="A855" i="2"/>
  <c r="AJ854" i="2"/>
  <c r="AI854" i="2"/>
  <c r="AH854" i="2"/>
  <c r="AG854" i="2"/>
  <c r="AF854" i="2"/>
  <c r="AE854" i="2"/>
  <c r="AD854" i="2"/>
  <c r="AC854" i="2"/>
  <c r="AB854" i="2"/>
  <c r="Z854" i="2"/>
  <c r="Y854" i="2"/>
  <c r="X854" i="2"/>
  <c r="W854" i="2"/>
  <c r="V854" i="2"/>
  <c r="U854" i="2"/>
  <c r="T854" i="2"/>
  <c r="S854" i="2"/>
  <c r="R854" i="2"/>
  <c r="Q854" i="2"/>
  <c r="P854" i="2"/>
  <c r="O854" i="2"/>
  <c r="N854" i="2"/>
  <c r="M854" i="2"/>
  <c r="L854" i="2"/>
  <c r="K854" i="2"/>
  <c r="J854" i="2"/>
  <c r="I854" i="2"/>
  <c r="H854" i="2"/>
  <c r="G854" i="2"/>
  <c r="F854" i="2"/>
  <c r="E854" i="2"/>
  <c r="D854" i="2"/>
  <c r="C854" i="2"/>
  <c r="B854" i="2"/>
  <c r="A854" i="2"/>
  <c r="AJ853" i="2"/>
  <c r="AI853" i="2"/>
  <c r="AF853" i="2"/>
  <c r="AE853" i="2"/>
  <c r="AD853" i="2"/>
  <c r="AC853" i="2"/>
  <c r="AB853" i="2"/>
  <c r="AA853" i="2"/>
  <c r="Z853" i="2"/>
  <c r="Y853" i="2"/>
  <c r="X853" i="2"/>
  <c r="W853" i="2"/>
  <c r="V853" i="2"/>
  <c r="U853" i="2"/>
  <c r="T853" i="2"/>
  <c r="S853" i="2"/>
  <c r="R853" i="2"/>
  <c r="Q853" i="2"/>
  <c r="P853" i="2"/>
  <c r="O853" i="2"/>
  <c r="N853" i="2"/>
  <c r="K853" i="2"/>
  <c r="J853" i="2"/>
  <c r="I853" i="2"/>
  <c r="H853" i="2"/>
  <c r="G853" i="2"/>
  <c r="F853" i="2"/>
  <c r="E853" i="2"/>
  <c r="D853" i="2"/>
  <c r="C853" i="2"/>
  <c r="B853" i="2"/>
  <c r="A853" i="2"/>
  <c r="AJ852" i="2"/>
  <c r="AH852" i="2"/>
  <c r="AG852" i="2"/>
  <c r="AF852" i="2"/>
  <c r="AE852" i="2"/>
  <c r="AD852" i="2"/>
  <c r="AB852" i="2"/>
  <c r="AA852" i="2"/>
  <c r="Z852" i="2"/>
  <c r="Y852" i="2"/>
  <c r="X852" i="2"/>
  <c r="W852" i="2"/>
  <c r="V852" i="2"/>
  <c r="U852" i="2"/>
  <c r="T852" i="2"/>
  <c r="S852" i="2"/>
  <c r="R852" i="2"/>
  <c r="Q852" i="2"/>
  <c r="P852" i="2"/>
  <c r="O852" i="2"/>
  <c r="N852" i="2"/>
  <c r="K852" i="2"/>
  <c r="J852" i="2"/>
  <c r="I852" i="2"/>
  <c r="H852" i="2"/>
  <c r="G852" i="2"/>
  <c r="F852" i="2"/>
  <c r="E852" i="2"/>
  <c r="D852" i="2"/>
  <c r="C852" i="2"/>
  <c r="B852" i="2"/>
  <c r="A852" i="2"/>
  <c r="AJ851" i="2"/>
  <c r="AI851" i="2"/>
  <c r="AH851" i="2"/>
  <c r="AG851" i="2"/>
  <c r="AF851" i="2"/>
  <c r="AE851" i="2"/>
  <c r="AD851" i="2"/>
  <c r="AC851" i="2"/>
  <c r="AB851" i="2"/>
  <c r="AA851" i="2"/>
  <c r="Z851" i="2"/>
  <c r="Y851" i="2"/>
  <c r="V851" i="2"/>
  <c r="U851" i="2"/>
  <c r="T851" i="2"/>
  <c r="S851" i="2"/>
  <c r="R851" i="2"/>
  <c r="Q851" i="2"/>
  <c r="P851" i="2"/>
  <c r="O851" i="2"/>
  <c r="N851" i="2"/>
  <c r="K851" i="2"/>
  <c r="J851" i="2"/>
  <c r="I851" i="2"/>
  <c r="H851" i="2"/>
  <c r="G851" i="2"/>
  <c r="F851" i="2"/>
  <c r="E851" i="2"/>
  <c r="D851" i="2"/>
  <c r="C851" i="2"/>
  <c r="B851" i="2"/>
  <c r="A851" i="2"/>
  <c r="AJ850" i="2"/>
  <c r="AI850" i="2"/>
  <c r="AH850" i="2"/>
  <c r="AG850" i="2"/>
  <c r="AF850" i="2"/>
  <c r="AE850" i="2"/>
  <c r="AD850" i="2"/>
  <c r="AC850" i="2"/>
  <c r="AB850" i="2"/>
  <c r="AA850" i="2"/>
  <c r="Z850" i="2"/>
  <c r="Y850" i="2"/>
  <c r="X850" i="2"/>
  <c r="V850" i="2"/>
  <c r="U850" i="2"/>
  <c r="T850" i="2"/>
  <c r="S850" i="2"/>
  <c r="R850" i="2"/>
  <c r="Q850" i="2"/>
  <c r="P850" i="2"/>
  <c r="O850" i="2"/>
  <c r="N850" i="2"/>
  <c r="K850" i="2"/>
  <c r="J850" i="2"/>
  <c r="I850" i="2"/>
  <c r="H850" i="2"/>
  <c r="G850" i="2"/>
  <c r="F850" i="2"/>
  <c r="E850" i="2"/>
  <c r="D850" i="2"/>
  <c r="C850" i="2"/>
  <c r="B850" i="2"/>
  <c r="A850" i="2"/>
  <c r="AJ849" i="2"/>
  <c r="AH849" i="2"/>
  <c r="AG849" i="2"/>
  <c r="AF849" i="2"/>
  <c r="AE849" i="2"/>
  <c r="AD849" i="2"/>
  <c r="AA849" i="2"/>
  <c r="Z849" i="2"/>
  <c r="Y849" i="2"/>
  <c r="V849" i="2"/>
  <c r="U849" i="2"/>
  <c r="T849" i="2"/>
  <c r="S849" i="2"/>
  <c r="R849" i="2"/>
  <c r="Q849" i="2"/>
  <c r="P849" i="2"/>
  <c r="O849" i="2"/>
  <c r="N849" i="2"/>
  <c r="K849" i="2"/>
  <c r="J849" i="2"/>
  <c r="I849" i="2"/>
  <c r="H849" i="2"/>
  <c r="G849" i="2"/>
  <c r="F849" i="2"/>
  <c r="E849" i="2"/>
  <c r="D849" i="2"/>
  <c r="C849" i="2"/>
  <c r="B849" i="2"/>
  <c r="A849" i="2"/>
  <c r="AJ848" i="2"/>
  <c r="AI848" i="2"/>
  <c r="AH848" i="2"/>
  <c r="AG848" i="2"/>
  <c r="AF848" i="2"/>
  <c r="AE848" i="2"/>
  <c r="AD848" i="2"/>
  <c r="AC848" i="2"/>
  <c r="AB848" i="2"/>
  <c r="AA848" i="2"/>
  <c r="Z848" i="2"/>
  <c r="Y848" i="2"/>
  <c r="X848" i="2"/>
  <c r="W848" i="2"/>
  <c r="V848" i="2"/>
  <c r="U848" i="2"/>
  <c r="T848" i="2"/>
  <c r="S848" i="2"/>
  <c r="R848" i="2"/>
  <c r="Q848" i="2"/>
  <c r="P848" i="2"/>
  <c r="O848" i="2"/>
  <c r="N848" i="2"/>
  <c r="K848" i="2"/>
  <c r="J848" i="2"/>
  <c r="I848" i="2"/>
  <c r="H848" i="2"/>
  <c r="G848" i="2"/>
  <c r="F848" i="2"/>
  <c r="E848" i="2"/>
  <c r="D848" i="2"/>
  <c r="C848" i="2"/>
  <c r="B848" i="2"/>
  <c r="A848" i="2"/>
  <c r="AJ847" i="2"/>
  <c r="AI847" i="2"/>
  <c r="AH847" i="2"/>
  <c r="AF847" i="2"/>
  <c r="AE847" i="2"/>
  <c r="AD847" i="2"/>
  <c r="AC847" i="2"/>
  <c r="AB847" i="2"/>
  <c r="AA847" i="2"/>
  <c r="Z847" i="2"/>
  <c r="Y847" i="2"/>
  <c r="X847" i="2"/>
  <c r="W847" i="2"/>
  <c r="V847" i="2"/>
  <c r="U847" i="2"/>
  <c r="T847" i="2"/>
  <c r="S847" i="2"/>
  <c r="R847" i="2"/>
  <c r="Q847" i="2"/>
  <c r="P847" i="2"/>
  <c r="O847" i="2"/>
  <c r="N847" i="2"/>
  <c r="K847" i="2"/>
  <c r="J847" i="2"/>
  <c r="I847" i="2"/>
  <c r="H847" i="2"/>
  <c r="G847" i="2"/>
  <c r="F847" i="2"/>
  <c r="E847" i="2"/>
  <c r="D847" i="2"/>
  <c r="C847" i="2"/>
  <c r="B847" i="2"/>
  <c r="A847" i="2"/>
  <c r="AJ846" i="2"/>
  <c r="AI846" i="2"/>
  <c r="AH846" i="2"/>
  <c r="AF846" i="2"/>
  <c r="AE846" i="2"/>
  <c r="AD846" i="2"/>
  <c r="AC846" i="2"/>
  <c r="AB846" i="2"/>
  <c r="AA846" i="2"/>
  <c r="Z846" i="2"/>
  <c r="Y846" i="2"/>
  <c r="X846" i="2"/>
  <c r="W846" i="2"/>
  <c r="V846" i="2"/>
  <c r="U846" i="2"/>
  <c r="T846" i="2"/>
  <c r="S846" i="2"/>
  <c r="R846" i="2"/>
  <c r="Q846" i="2"/>
  <c r="P846" i="2"/>
  <c r="O846" i="2"/>
  <c r="N846" i="2"/>
  <c r="K846" i="2"/>
  <c r="J846" i="2"/>
  <c r="I846" i="2"/>
  <c r="H846" i="2"/>
  <c r="G846" i="2"/>
  <c r="F846" i="2"/>
  <c r="E846" i="2"/>
  <c r="D846" i="2"/>
  <c r="C846" i="2"/>
  <c r="B846" i="2"/>
  <c r="A846" i="2"/>
  <c r="AJ845" i="2"/>
  <c r="AH845" i="2"/>
  <c r="AF845" i="2"/>
  <c r="AE845" i="2"/>
  <c r="AD845" i="2"/>
  <c r="AB845" i="2"/>
  <c r="AA845" i="2"/>
  <c r="Z845" i="2"/>
  <c r="Y845" i="2"/>
  <c r="X845" i="2"/>
  <c r="W845" i="2"/>
  <c r="V845" i="2"/>
  <c r="U845" i="2"/>
  <c r="T845" i="2"/>
  <c r="S845" i="2"/>
  <c r="R845" i="2"/>
  <c r="Q845" i="2"/>
  <c r="P845" i="2"/>
  <c r="O845" i="2"/>
  <c r="N845" i="2"/>
  <c r="M845" i="2"/>
  <c r="L845" i="2"/>
  <c r="K845" i="2"/>
  <c r="J845" i="2"/>
  <c r="I845" i="2"/>
  <c r="H845" i="2"/>
  <c r="G845" i="2"/>
  <c r="F845" i="2"/>
  <c r="E845" i="2"/>
  <c r="D845" i="2"/>
  <c r="C845" i="2"/>
  <c r="B845" i="2"/>
  <c r="A845" i="2"/>
  <c r="AJ844" i="2"/>
  <c r="AI844" i="2"/>
  <c r="AG844" i="2"/>
  <c r="AF844" i="2"/>
  <c r="AE844" i="2"/>
  <c r="AD844" i="2"/>
  <c r="AC844" i="2"/>
  <c r="AB844" i="2"/>
  <c r="AA844" i="2"/>
  <c r="Z844" i="2"/>
  <c r="Y844" i="2"/>
  <c r="X844" i="2"/>
  <c r="W844" i="2"/>
  <c r="V844" i="2"/>
  <c r="U844" i="2"/>
  <c r="T844" i="2"/>
  <c r="S844" i="2"/>
  <c r="R844" i="2"/>
  <c r="Q844" i="2"/>
  <c r="P844" i="2"/>
  <c r="O844" i="2"/>
  <c r="N844" i="2"/>
  <c r="K844" i="2"/>
  <c r="J844" i="2"/>
  <c r="I844" i="2"/>
  <c r="H844" i="2"/>
  <c r="G844" i="2"/>
  <c r="F844" i="2"/>
  <c r="E844" i="2"/>
  <c r="D844" i="2"/>
  <c r="C844" i="2"/>
  <c r="B844" i="2"/>
  <c r="A844" i="2"/>
  <c r="AJ843" i="2"/>
  <c r="AI843" i="2"/>
  <c r="AH843" i="2"/>
  <c r="AG843" i="2"/>
  <c r="AF843" i="2"/>
  <c r="AE843" i="2"/>
  <c r="AD843" i="2"/>
  <c r="AC843" i="2"/>
  <c r="AB843" i="2"/>
  <c r="AA843" i="2"/>
  <c r="Z843" i="2"/>
  <c r="Y843" i="2"/>
  <c r="X843" i="2"/>
  <c r="W843" i="2"/>
  <c r="V843" i="2"/>
  <c r="U843" i="2"/>
  <c r="T843" i="2"/>
  <c r="S843" i="2"/>
  <c r="R843" i="2"/>
  <c r="Q843" i="2"/>
  <c r="P843" i="2"/>
  <c r="O843" i="2"/>
  <c r="N843" i="2"/>
  <c r="K843" i="2"/>
  <c r="J843" i="2"/>
  <c r="I843" i="2"/>
  <c r="H843" i="2"/>
  <c r="G843" i="2"/>
  <c r="F843" i="2"/>
  <c r="E843" i="2"/>
  <c r="D843" i="2"/>
  <c r="C843" i="2"/>
  <c r="B843" i="2"/>
  <c r="A843" i="2"/>
  <c r="AJ842" i="2"/>
  <c r="AI842" i="2"/>
  <c r="AH842" i="2"/>
  <c r="AG842" i="2"/>
  <c r="AF842" i="2"/>
  <c r="AE842" i="2"/>
  <c r="AD842" i="2"/>
  <c r="AC842" i="2"/>
  <c r="AB842" i="2"/>
  <c r="AA842" i="2"/>
  <c r="Z842" i="2"/>
  <c r="Y842" i="2"/>
  <c r="X842" i="2"/>
  <c r="W842" i="2"/>
  <c r="V842" i="2"/>
  <c r="U842" i="2"/>
  <c r="T842" i="2"/>
  <c r="S842" i="2"/>
  <c r="R842" i="2"/>
  <c r="Q842" i="2"/>
  <c r="P842" i="2"/>
  <c r="O842" i="2"/>
  <c r="N842" i="2"/>
  <c r="K842" i="2"/>
  <c r="J842" i="2"/>
  <c r="I842" i="2"/>
  <c r="H842" i="2"/>
  <c r="G842" i="2"/>
  <c r="F842" i="2"/>
  <c r="E842" i="2"/>
  <c r="D842" i="2"/>
  <c r="C842" i="2"/>
  <c r="B842" i="2"/>
  <c r="A842" i="2"/>
  <c r="AJ841" i="2"/>
  <c r="AI841" i="2"/>
  <c r="AH841" i="2"/>
  <c r="AG841" i="2"/>
  <c r="AF841" i="2"/>
  <c r="AE841" i="2"/>
  <c r="AD841" i="2"/>
  <c r="AC841" i="2"/>
  <c r="AA841" i="2"/>
  <c r="Z841" i="2"/>
  <c r="Y841" i="2"/>
  <c r="X841" i="2"/>
  <c r="W841" i="2"/>
  <c r="V841" i="2"/>
  <c r="U841" i="2"/>
  <c r="T841" i="2"/>
  <c r="S841" i="2"/>
  <c r="R841" i="2"/>
  <c r="Q841" i="2"/>
  <c r="P841" i="2"/>
  <c r="O841" i="2"/>
  <c r="N841" i="2"/>
  <c r="M841" i="2"/>
  <c r="L841" i="2"/>
  <c r="K841" i="2"/>
  <c r="J841" i="2"/>
  <c r="I841" i="2"/>
  <c r="H841" i="2"/>
  <c r="G841" i="2"/>
  <c r="F841" i="2"/>
  <c r="E841" i="2"/>
  <c r="D841" i="2"/>
  <c r="C841" i="2"/>
  <c r="B841" i="2"/>
  <c r="A841" i="2"/>
  <c r="AJ840" i="2"/>
  <c r="AH840" i="2"/>
  <c r="AG840" i="2"/>
  <c r="AF840" i="2"/>
  <c r="AE840" i="2"/>
  <c r="AD840" i="2"/>
  <c r="AC840" i="2"/>
  <c r="AB840" i="2"/>
  <c r="AA840" i="2"/>
  <c r="Z840" i="2"/>
  <c r="Y840" i="2"/>
  <c r="X840" i="2"/>
  <c r="W840" i="2"/>
  <c r="V840" i="2"/>
  <c r="U840" i="2"/>
  <c r="T840" i="2"/>
  <c r="S840" i="2"/>
  <c r="R840" i="2"/>
  <c r="Q840" i="2"/>
  <c r="P840" i="2"/>
  <c r="O840" i="2"/>
  <c r="N840" i="2"/>
  <c r="K840" i="2"/>
  <c r="J840" i="2"/>
  <c r="I840" i="2"/>
  <c r="H840" i="2"/>
  <c r="G840" i="2"/>
  <c r="F840" i="2"/>
  <c r="E840" i="2"/>
  <c r="D840" i="2"/>
  <c r="C840" i="2"/>
  <c r="B840" i="2"/>
  <c r="A840" i="2"/>
  <c r="AJ839" i="2"/>
  <c r="AI839" i="2"/>
  <c r="AH839" i="2"/>
  <c r="AG839" i="2"/>
  <c r="AF839" i="2"/>
  <c r="AE839" i="2"/>
  <c r="AD839" i="2"/>
  <c r="AC839" i="2"/>
  <c r="AB839" i="2"/>
  <c r="AA839" i="2"/>
  <c r="Z839" i="2"/>
  <c r="Y839" i="2"/>
  <c r="X839" i="2"/>
  <c r="W839" i="2"/>
  <c r="V839" i="2"/>
  <c r="U839" i="2"/>
  <c r="T839" i="2"/>
  <c r="S839" i="2"/>
  <c r="R839" i="2"/>
  <c r="Q839" i="2"/>
  <c r="P839" i="2"/>
  <c r="O839" i="2"/>
  <c r="N839" i="2"/>
  <c r="K839" i="2"/>
  <c r="J839" i="2"/>
  <c r="I839" i="2"/>
  <c r="H839" i="2"/>
  <c r="G839" i="2"/>
  <c r="F839" i="2"/>
  <c r="E839" i="2"/>
  <c r="D839" i="2"/>
  <c r="C839" i="2"/>
  <c r="B839" i="2"/>
  <c r="A839" i="2"/>
  <c r="AJ838" i="2"/>
  <c r="AI838" i="2"/>
  <c r="AH838" i="2"/>
  <c r="AF838" i="2"/>
  <c r="AE838" i="2"/>
  <c r="AD838" i="2"/>
  <c r="AC838" i="2"/>
  <c r="AA838" i="2"/>
  <c r="Z838" i="2"/>
  <c r="Y838" i="2"/>
  <c r="X838" i="2"/>
  <c r="W838" i="2"/>
  <c r="V838" i="2"/>
  <c r="U838" i="2"/>
  <c r="T838" i="2"/>
  <c r="S838" i="2"/>
  <c r="R838" i="2"/>
  <c r="Q838" i="2"/>
  <c r="P838" i="2"/>
  <c r="O838" i="2"/>
  <c r="N838" i="2"/>
  <c r="K838" i="2"/>
  <c r="J838" i="2"/>
  <c r="I838" i="2"/>
  <c r="H838" i="2"/>
  <c r="G838" i="2"/>
  <c r="F838" i="2"/>
  <c r="E838" i="2"/>
  <c r="D838" i="2"/>
  <c r="C838" i="2"/>
  <c r="B838" i="2"/>
  <c r="A838" i="2"/>
  <c r="AJ837" i="2"/>
  <c r="AI837" i="2"/>
  <c r="AH837" i="2"/>
  <c r="AG837" i="2"/>
  <c r="AF837" i="2"/>
  <c r="AE837" i="2"/>
  <c r="AD837" i="2"/>
  <c r="AC837" i="2"/>
  <c r="AB837" i="2"/>
  <c r="AA837" i="2"/>
  <c r="Z837" i="2"/>
  <c r="Y837" i="2"/>
  <c r="X837" i="2"/>
  <c r="W837" i="2"/>
  <c r="V837" i="2"/>
  <c r="U837" i="2"/>
  <c r="T837" i="2"/>
  <c r="S837" i="2"/>
  <c r="R837" i="2"/>
  <c r="Q837" i="2"/>
  <c r="P837" i="2"/>
  <c r="O837" i="2"/>
  <c r="N837" i="2"/>
  <c r="M837" i="2"/>
  <c r="L837" i="2"/>
  <c r="K837" i="2"/>
  <c r="J837" i="2"/>
  <c r="I837" i="2"/>
  <c r="H837" i="2"/>
  <c r="G837" i="2"/>
  <c r="F837" i="2"/>
  <c r="E837" i="2"/>
  <c r="D837" i="2"/>
  <c r="C837" i="2"/>
  <c r="B837" i="2"/>
  <c r="A837" i="2"/>
  <c r="AJ836" i="2"/>
  <c r="AI836" i="2"/>
  <c r="AH836" i="2"/>
  <c r="AG836" i="2"/>
  <c r="AF836" i="2"/>
  <c r="AE836" i="2"/>
  <c r="AD836" i="2"/>
  <c r="AA836" i="2"/>
  <c r="Z836" i="2"/>
  <c r="Y836" i="2"/>
  <c r="X836" i="2"/>
  <c r="W836" i="2"/>
  <c r="V836" i="2"/>
  <c r="U836" i="2"/>
  <c r="T836" i="2"/>
  <c r="S836" i="2"/>
  <c r="R836" i="2"/>
  <c r="Q836" i="2"/>
  <c r="P836" i="2"/>
  <c r="O836" i="2"/>
  <c r="N836" i="2"/>
  <c r="K836" i="2"/>
  <c r="J836" i="2"/>
  <c r="I836" i="2"/>
  <c r="H836" i="2"/>
  <c r="G836" i="2"/>
  <c r="F836" i="2"/>
  <c r="E836" i="2"/>
  <c r="D836" i="2"/>
  <c r="C836" i="2"/>
  <c r="B836" i="2"/>
  <c r="A836" i="2"/>
  <c r="AJ835" i="2"/>
  <c r="AH835" i="2"/>
  <c r="AG835" i="2"/>
  <c r="AF835" i="2"/>
  <c r="AE835" i="2"/>
  <c r="AD835" i="2"/>
  <c r="AA835" i="2"/>
  <c r="Z835" i="2"/>
  <c r="Y835" i="2"/>
  <c r="X835" i="2"/>
  <c r="W835" i="2"/>
  <c r="V835" i="2"/>
  <c r="U835" i="2"/>
  <c r="T835" i="2"/>
  <c r="S835" i="2"/>
  <c r="R835" i="2"/>
  <c r="Q835" i="2"/>
  <c r="P835" i="2"/>
  <c r="O835" i="2"/>
  <c r="N835" i="2"/>
  <c r="K835" i="2"/>
  <c r="J835" i="2"/>
  <c r="I835" i="2"/>
  <c r="H835" i="2"/>
  <c r="G835" i="2"/>
  <c r="F835" i="2"/>
  <c r="E835" i="2"/>
  <c r="D835" i="2"/>
  <c r="C835" i="2"/>
  <c r="B835" i="2"/>
  <c r="A835" i="2"/>
  <c r="AJ834" i="2"/>
  <c r="AI834" i="2"/>
  <c r="AH834" i="2"/>
  <c r="AG834" i="2"/>
  <c r="AF834" i="2"/>
  <c r="AE834" i="2"/>
  <c r="AD834" i="2"/>
  <c r="AC834" i="2"/>
  <c r="AB834" i="2"/>
  <c r="AA834" i="2"/>
  <c r="Z834" i="2"/>
  <c r="Y834" i="2"/>
  <c r="X834" i="2"/>
  <c r="W834" i="2"/>
  <c r="V834" i="2"/>
  <c r="U834" i="2"/>
  <c r="T834" i="2"/>
  <c r="S834" i="2"/>
  <c r="R834" i="2"/>
  <c r="Q834" i="2"/>
  <c r="P834" i="2"/>
  <c r="O834" i="2"/>
  <c r="N834" i="2"/>
  <c r="K834" i="2"/>
  <c r="J834" i="2"/>
  <c r="I834" i="2"/>
  <c r="H834" i="2"/>
  <c r="G834" i="2"/>
  <c r="F834" i="2"/>
  <c r="E834" i="2"/>
  <c r="D834" i="2"/>
  <c r="C834" i="2"/>
  <c r="B834" i="2"/>
  <c r="A834" i="2"/>
  <c r="AJ833" i="2"/>
  <c r="AI833" i="2"/>
  <c r="AH833" i="2"/>
  <c r="AG833" i="2"/>
  <c r="AF833" i="2"/>
  <c r="AE833" i="2"/>
  <c r="AD833" i="2"/>
  <c r="AA833" i="2"/>
  <c r="Z833" i="2"/>
  <c r="Y833" i="2"/>
  <c r="X833" i="2"/>
  <c r="W833" i="2"/>
  <c r="V833" i="2"/>
  <c r="U833" i="2"/>
  <c r="T833" i="2"/>
  <c r="S833" i="2"/>
  <c r="R833" i="2"/>
  <c r="Q833" i="2"/>
  <c r="P833" i="2"/>
  <c r="O833" i="2"/>
  <c r="N833" i="2"/>
  <c r="K833" i="2"/>
  <c r="J833" i="2"/>
  <c r="I833" i="2"/>
  <c r="H833" i="2"/>
  <c r="G833" i="2"/>
  <c r="F833" i="2"/>
  <c r="E833" i="2"/>
  <c r="D833" i="2"/>
  <c r="C833" i="2"/>
  <c r="B833" i="2"/>
  <c r="A833" i="2"/>
  <c r="AJ832" i="2"/>
  <c r="AI832" i="2"/>
  <c r="AH832" i="2"/>
  <c r="AG832" i="2"/>
  <c r="AF832" i="2"/>
  <c r="AE832" i="2"/>
  <c r="AD832" i="2"/>
  <c r="AC832" i="2"/>
  <c r="AB832" i="2"/>
  <c r="AA832" i="2"/>
  <c r="Z832" i="2"/>
  <c r="Y832" i="2"/>
  <c r="X832" i="2"/>
  <c r="W832" i="2"/>
  <c r="V832" i="2"/>
  <c r="U832" i="2"/>
  <c r="T832" i="2"/>
  <c r="S832" i="2"/>
  <c r="R832" i="2"/>
  <c r="Q832" i="2"/>
  <c r="P832" i="2"/>
  <c r="O832" i="2"/>
  <c r="N832" i="2"/>
  <c r="K832" i="2"/>
  <c r="J832" i="2"/>
  <c r="I832" i="2"/>
  <c r="H832" i="2"/>
  <c r="G832" i="2"/>
  <c r="F832" i="2"/>
  <c r="E832" i="2"/>
  <c r="D832" i="2"/>
  <c r="C832" i="2"/>
  <c r="B832" i="2"/>
  <c r="A832" i="2"/>
  <c r="AJ831" i="2"/>
  <c r="AI831" i="2"/>
  <c r="AG831" i="2"/>
  <c r="AF831" i="2"/>
  <c r="AE831" i="2"/>
  <c r="AD831" i="2"/>
  <c r="AC831" i="2"/>
  <c r="AA831" i="2"/>
  <c r="Z831" i="2"/>
  <c r="Y831" i="2"/>
  <c r="X831" i="2"/>
  <c r="W831" i="2"/>
  <c r="V831" i="2"/>
  <c r="U831" i="2"/>
  <c r="T831" i="2"/>
  <c r="S831" i="2"/>
  <c r="R831" i="2"/>
  <c r="Q831" i="2"/>
  <c r="P831" i="2"/>
  <c r="O831" i="2"/>
  <c r="N831" i="2"/>
  <c r="K831" i="2"/>
  <c r="J831" i="2"/>
  <c r="I831" i="2"/>
  <c r="H831" i="2"/>
  <c r="G831" i="2"/>
  <c r="F831" i="2"/>
  <c r="E831" i="2"/>
  <c r="D831" i="2"/>
  <c r="C831" i="2"/>
  <c r="B831" i="2"/>
  <c r="A831" i="2"/>
  <c r="AJ830" i="2"/>
  <c r="AI830" i="2"/>
  <c r="AH830" i="2"/>
  <c r="AG830" i="2"/>
  <c r="AF830" i="2"/>
  <c r="AE830" i="2"/>
  <c r="AD830" i="2"/>
  <c r="AA830" i="2"/>
  <c r="Z830" i="2"/>
  <c r="Y830" i="2"/>
  <c r="X830" i="2"/>
  <c r="W830" i="2"/>
  <c r="V830" i="2"/>
  <c r="U830" i="2"/>
  <c r="T830" i="2"/>
  <c r="S830" i="2"/>
  <c r="R830" i="2"/>
  <c r="Q830" i="2"/>
  <c r="P830" i="2"/>
  <c r="O830" i="2"/>
  <c r="N830" i="2"/>
  <c r="K830" i="2"/>
  <c r="J830" i="2"/>
  <c r="I830" i="2"/>
  <c r="H830" i="2"/>
  <c r="G830" i="2"/>
  <c r="F830" i="2"/>
  <c r="E830" i="2"/>
  <c r="D830" i="2"/>
  <c r="C830" i="2"/>
  <c r="B830" i="2"/>
  <c r="A830" i="2"/>
  <c r="AJ829" i="2"/>
  <c r="AI829" i="2"/>
  <c r="AH829" i="2"/>
  <c r="AG829" i="2"/>
  <c r="AF829" i="2"/>
  <c r="AE829" i="2"/>
  <c r="AD829" i="2"/>
  <c r="AC829" i="2"/>
  <c r="AB829" i="2"/>
  <c r="AA829" i="2"/>
  <c r="Z829" i="2"/>
  <c r="Y829" i="2"/>
  <c r="X829" i="2"/>
  <c r="W829" i="2"/>
  <c r="V829" i="2"/>
  <c r="U829" i="2"/>
  <c r="T829" i="2"/>
  <c r="S829" i="2"/>
  <c r="R829" i="2"/>
  <c r="Q829" i="2"/>
  <c r="P829" i="2"/>
  <c r="O829" i="2"/>
  <c r="N829" i="2"/>
  <c r="K829" i="2"/>
  <c r="J829" i="2"/>
  <c r="I829" i="2"/>
  <c r="H829" i="2"/>
  <c r="G829" i="2"/>
  <c r="F829" i="2"/>
  <c r="E829" i="2"/>
  <c r="D829" i="2"/>
  <c r="C829" i="2"/>
  <c r="B829" i="2"/>
  <c r="A829" i="2"/>
  <c r="AJ828" i="2"/>
  <c r="AI828" i="2"/>
  <c r="AH828" i="2"/>
  <c r="AG828" i="2"/>
  <c r="AF828" i="2"/>
  <c r="AE828" i="2"/>
  <c r="AD828" i="2"/>
  <c r="AC828" i="2"/>
  <c r="AB828" i="2"/>
  <c r="AA828" i="2"/>
  <c r="Z828" i="2"/>
  <c r="Y828" i="2"/>
  <c r="X828" i="2"/>
  <c r="W828" i="2"/>
  <c r="V828" i="2"/>
  <c r="U828" i="2"/>
  <c r="T828" i="2"/>
  <c r="S828" i="2"/>
  <c r="R828" i="2"/>
  <c r="Q828" i="2"/>
  <c r="P828" i="2"/>
  <c r="O828" i="2"/>
  <c r="N828" i="2"/>
  <c r="K828" i="2"/>
  <c r="J828" i="2"/>
  <c r="I828" i="2"/>
  <c r="H828" i="2"/>
  <c r="G828" i="2"/>
  <c r="F828" i="2"/>
  <c r="E828" i="2"/>
  <c r="D828" i="2"/>
  <c r="C828" i="2"/>
  <c r="B828" i="2"/>
  <c r="A828" i="2"/>
  <c r="AJ827" i="2"/>
  <c r="AI827" i="2"/>
  <c r="AH827" i="2"/>
  <c r="AG827" i="2"/>
  <c r="AF827" i="2"/>
  <c r="AE827" i="2"/>
  <c r="AD827" i="2"/>
  <c r="AA827" i="2"/>
  <c r="Z827" i="2"/>
  <c r="Y827" i="2"/>
  <c r="X827" i="2"/>
  <c r="W827" i="2"/>
  <c r="V827" i="2"/>
  <c r="U827" i="2"/>
  <c r="T827" i="2"/>
  <c r="S827" i="2"/>
  <c r="R827" i="2"/>
  <c r="Q827" i="2"/>
  <c r="P827" i="2"/>
  <c r="O827" i="2"/>
  <c r="N827" i="2"/>
  <c r="K827" i="2"/>
  <c r="J827" i="2"/>
  <c r="I827" i="2"/>
  <c r="H827" i="2"/>
  <c r="G827" i="2"/>
  <c r="F827" i="2"/>
  <c r="E827" i="2"/>
  <c r="D827" i="2"/>
  <c r="C827" i="2"/>
  <c r="B827" i="2"/>
  <c r="A827" i="2"/>
  <c r="AJ826" i="2"/>
  <c r="AH826" i="2"/>
  <c r="AG826" i="2"/>
  <c r="AF826" i="2"/>
  <c r="AE826" i="2"/>
  <c r="AD826" i="2"/>
  <c r="AC826" i="2"/>
  <c r="AB826" i="2"/>
  <c r="AA826" i="2"/>
  <c r="Z826" i="2"/>
  <c r="Y826" i="2"/>
  <c r="X826" i="2"/>
  <c r="W826" i="2"/>
  <c r="V826" i="2"/>
  <c r="U826" i="2"/>
  <c r="T826" i="2"/>
  <c r="S826" i="2"/>
  <c r="R826" i="2"/>
  <c r="Q826" i="2"/>
  <c r="P826" i="2"/>
  <c r="O826" i="2"/>
  <c r="N826" i="2"/>
  <c r="M826" i="2"/>
  <c r="L826" i="2"/>
  <c r="K826" i="2"/>
  <c r="J826" i="2"/>
  <c r="I826" i="2"/>
  <c r="H826" i="2"/>
  <c r="G826" i="2"/>
  <c r="F826" i="2"/>
  <c r="E826" i="2"/>
  <c r="D826" i="2"/>
  <c r="C826" i="2"/>
  <c r="B826" i="2"/>
  <c r="A826" i="2"/>
  <c r="AJ825" i="2"/>
  <c r="AI825" i="2"/>
  <c r="AH825" i="2"/>
  <c r="AG825" i="2"/>
  <c r="AF825" i="2"/>
  <c r="AE825" i="2"/>
  <c r="AD825" i="2"/>
  <c r="AC825" i="2"/>
  <c r="AB825" i="2"/>
  <c r="AA825" i="2"/>
  <c r="Z825" i="2"/>
  <c r="Y825" i="2"/>
  <c r="X825" i="2"/>
  <c r="W825" i="2"/>
  <c r="V825" i="2"/>
  <c r="U825" i="2"/>
  <c r="T825" i="2"/>
  <c r="S825" i="2"/>
  <c r="R825" i="2"/>
  <c r="Q825" i="2"/>
  <c r="P825" i="2"/>
  <c r="O825" i="2"/>
  <c r="N825" i="2"/>
  <c r="K825" i="2"/>
  <c r="J825" i="2"/>
  <c r="I825" i="2"/>
  <c r="H825" i="2"/>
  <c r="G825" i="2"/>
  <c r="F825" i="2"/>
  <c r="E825" i="2"/>
  <c r="D825" i="2"/>
  <c r="C825" i="2"/>
  <c r="B825" i="2"/>
  <c r="A825" i="2"/>
  <c r="AJ824" i="2"/>
  <c r="AI824" i="2"/>
  <c r="AH824" i="2"/>
  <c r="AG824" i="2"/>
  <c r="AF824" i="2"/>
  <c r="AE824" i="2"/>
  <c r="AD824" i="2"/>
  <c r="AC824" i="2"/>
  <c r="AB824" i="2"/>
  <c r="AA824" i="2"/>
  <c r="Z824" i="2"/>
  <c r="Y824" i="2"/>
  <c r="X824" i="2"/>
  <c r="W824" i="2"/>
  <c r="V824" i="2"/>
  <c r="U824" i="2"/>
  <c r="T824" i="2"/>
  <c r="S824" i="2"/>
  <c r="R824" i="2"/>
  <c r="Q824" i="2"/>
  <c r="P824" i="2"/>
  <c r="O824" i="2"/>
  <c r="N824" i="2"/>
  <c r="K824" i="2"/>
  <c r="J824" i="2"/>
  <c r="I824" i="2"/>
  <c r="H824" i="2"/>
  <c r="G824" i="2"/>
  <c r="F824" i="2"/>
  <c r="E824" i="2"/>
  <c r="D824" i="2"/>
  <c r="C824" i="2"/>
  <c r="B824" i="2"/>
  <c r="A824" i="2"/>
  <c r="AJ823" i="2"/>
  <c r="AH823" i="2"/>
  <c r="AG823" i="2"/>
  <c r="AF823" i="2"/>
  <c r="AE823" i="2"/>
  <c r="AD823" i="2"/>
  <c r="AC823" i="2"/>
  <c r="Z823" i="2"/>
  <c r="Y823" i="2"/>
  <c r="X823" i="2"/>
  <c r="W823" i="2"/>
  <c r="V823" i="2"/>
  <c r="U823" i="2"/>
  <c r="T823" i="2"/>
  <c r="S823" i="2"/>
  <c r="R823" i="2"/>
  <c r="Q823" i="2"/>
  <c r="P823" i="2"/>
  <c r="O823" i="2"/>
  <c r="N823" i="2"/>
  <c r="M823" i="2"/>
  <c r="L823" i="2"/>
  <c r="K823" i="2"/>
  <c r="J823" i="2"/>
  <c r="I823" i="2"/>
  <c r="H823" i="2"/>
  <c r="G823" i="2"/>
  <c r="F823" i="2"/>
  <c r="E823" i="2"/>
  <c r="D823" i="2"/>
  <c r="C823" i="2"/>
  <c r="B823" i="2"/>
  <c r="A823" i="2"/>
  <c r="AJ822" i="2"/>
  <c r="AH822" i="2"/>
  <c r="AG822" i="2"/>
  <c r="AF822" i="2"/>
  <c r="AE822" i="2"/>
  <c r="AD822" i="2"/>
  <c r="AC822" i="2"/>
  <c r="AA822" i="2"/>
  <c r="Z822" i="2"/>
  <c r="Y822" i="2"/>
  <c r="X822" i="2"/>
  <c r="V822" i="2"/>
  <c r="U822" i="2"/>
  <c r="T822" i="2"/>
  <c r="S822" i="2"/>
  <c r="R822" i="2"/>
  <c r="Q822" i="2"/>
  <c r="P822" i="2"/>
  <c r="O822" i="2"/>
  <c r="N822" i="2"/>
  <c r="K822" i="2"/>
  <c r="J822" i="2"/>
  <c r="I822" i="2"/>
  <c r="H822" i="2"/>
  <c r="G822" i="2"/>
  <c r="F822" i="2"/>
  <c r="E822" i="2"/>
  <c r="D822" i="2"/>
  <c r="C822" i="2"/>
  <c r="B822" i="2"/>
  <c r="A822" i="2"/>
  <c r="AJ821" i="2"/>
  <c r="AI821" i="2"/>
  <c r="AH821" i="2"/>
  <c r="AG821" i="2"/>
  <c r="AF821" i="2"/>
  <c r="AE821" i="2"/>
  <c r="AD821" i="2"/>
  <c r="AB821" i="2"/>
  <c r="AA821" i="2"/>
  <c r="Z821" i="2"/>
  <c r="Y821" i="2"/>
  <c r="X821" i="2"/>
  <c r="W821" i="2"/>
  <c r="V821" i="2"/>
  <c r="U821" i="2"/>
  <c r="T821" i="2"/>
  <c r="S821" i="2"/>
  <c r="R821" i="2"/>
  <c r="Q821" i="2"/>
  <c r="P821" i="2"/>
  <c r="O821" i="2"/>
  <c r="N821" i="2"/>
  <c r="K821" i="2"/>
  <c r="J821" i="2"/>
  <c r="I821" i="2"/>
  <c r="H821" i="2"/>
  <c r="G821" i="2"/>
  <c r="F821" i="2"/>
  <c r="E821" i="2"/>
  <c r="D821" i="2"/>
  <c r="C821" i="2"/>
  <c r="B821" i="2"/>
  <c r="A821" i="2"/>
  <c r="AJ820" i="2"/>
  <c r="AI820" i="2"/>
  <c r="AH820" i="2"/>
  <c r="AG820" i="2"/>
  <c r="AF820" i="2"/>
  <c r="AE820" i="2"/>
  <c r="AD820" i="2"/>
  <c r="AC820" i="2"/>
  <c r="AB820" i="2"/>
  <c r="AA820" i="2"/>
  <c r="Z820" i="2"/>
  <c r="Y820" i="2"/>
  <c r="X820" i="2"/>
  <c r="W820" i="2"/>
  <c r="V820" i="2"/>
  <c r="U820" i="2"/>
  <c r="T820" i="2"/>
  <c r="S820" i="2"/>
  <c r="R820" i="2"/>
  <c r="Q820" i="2"/>
  <c r="P820" i="2"/>
  <c r="O820" i="2"/>
  <c r="N820" i="2"/>
  <c r="K820" i="2"/>
  <c r="J820" i="2"/>
  <c r="I820" i="2"/>
  <c r="H820" i="2"/>
  <c r="G820" i="2"/>
  <c r="F820" i="2"/>
  <c r="E820" i="2"/>
  <c r="D820" i="2"/>
  <c r="C820" i="2"/>
  <c r="B820" i="2"/>
  <c r="A820" i="2"/>
  <c r="AJ819" i="2"/>
  <c r="AI819" i="2"/>
  <c r="AH819" i="2"/>
  <c r="AG819" i="2"/>
  <c r="AF819" i="2"/>
  <c r="AE819" i="2"/>
  <c r="AD819" i="2"/>
  <c r="AC819" i="2"/>
  <c r="AA819" i="2"/>
  <c r="Z819" i="2"/>
  <c r="Y819" i="2"/>
  <c r="X819" i="2"/>
  <c r="W819" i="2"/>
  <c r="V819" i="2"/>
  <c r="U819" i="2"/>
  <c r="T819" i="2"/>
  <c r="S819" i="2"/>
  <c r="R819" i="2"/>
  <c r="Q819" i="2"/>
  <c r="P819" i="2"/>
  <c r="O819" i="2"/>
  <c r="N819" i="2"/>
  <c r="K819" i="2"/>
  <c r="J819" i="2"/>
  <c r="I819" i="2"/>
  <c r="H819" i="2"/>
  <c r="G819" i="2"/>
  <c r="F819" i="2"/>
  <c r="E819" i="2"/>
  <c r="D819" i="2"/>
  <c r="C819" i="2"/>
  <c r="B819" i="2"/>
  <c r="A819" i="2"/>
  <c r="AJ818" i="2"/>
  <c r="AF818" i="2"/>
  <c r="AE818" i="2"/>
  <c r="AD818" i="2"/>
  <c r="AB818" i="2"/>
  <c r="AA818" i="2"/>
  <c r="Z818" i="2"/>
  <c r="Y818" i="2"/>
  <c r="X818" i="2"/>
  <c r="W818" i="2"/>
  <c r="V818" i="2"/>
  <c r="U818" i="2"/>
  <c r="T818" i="2"/>
  <c r="S818" i="2"/>
  <c r="R818" i="2"/>
  <c r="Q818" i="2"/>
  <c r="P818" i="2"/>
  <c r="O818" i="2"/>
  <c r="N818" i="2"/>
  <c r="K818" i="2"/>
  <c r="J818" i="2"/>
  <c r="I818" i="2"/>
  <c r="H818" i="2"/>
  <c r="G818" i="2"/>
  <c r="F818" i="2"/>
  <c r="E818" i="2"/>
  <c r="D818" i="2"/>
  <c r="C818" i="2"/>
  <c r="B818" i="2"/>
  <c r="A818" i="2"/>
  <c r="AJ817" i="2"/>
  <c r="AH817" i="2"/>
  <c r="AF817" i="2"/>
  <c r="AE817" i="2"/>
  <c r="AD817" i="2"/>
  <c r="AC817" i="2"/>
  <c r="AA817" i="2"/>
  <c r="Z817" i="2"/>
  <c r="Y817" i="2"/>
  <c r="X817" i="2"/>
  <c r="W817" i="2"/>
  <c r="V817" i="2"/>
  <c r="U817" i="2"/>
  <c r="T817" i="2"/>
  <c r="S817" i="2"/>
  <c r="R817" i="2"/>
  <c r="Q817" i="2"/>
  <c r="P817" i="2"/>
  <c r="O817" i="2"/>
  <c r="N817" i="2"/>
  <c r="K817" i="2"/>
  <c r="J817" i="2"/>
  <c r="I817" i="2"/>
  <c r="H817" i="2"/>
  <c r="G817" i="2"/>
  <c r="F817" i="2"/>
  <c r="E817" i="2"/>
  <c r="D817" i="2"/>
  <c r="C817" i="2"/>
  <c r="B817" i="2"/>
  <c r="A817" i="2"/>
  <c r="AJ816" i="2"/>
  <c r="AI816" i="2"/>
  <c r="AH816" i="2"/>
  <c r="AG816" i="2"/>
  <c r="AF816" i="2"/>
  <c r="AE816" i="2"/>
  <c r="AD816" i="2"/>
  <c r="AB816" i="2"/>
  <c r="AA816" i="2"/>
  <c r="Z816" i="2"/>
  <c r="Y816" i="2"/>
  <c r="X816" i="2"/>
  <c r="W816" i="2"/>
  <c r="V816" i="2"/>
  <c r="U816" i="2"/>
  <c r="T816" i="2"/>
  <c r="S816" i="2"/>
  <c r="R816" i="2"/>
  <c r="Q816" i="2"/>
  <c r="P816" i="2"/>
  <c r="O816" i="2"/>
  <c r="N816" i="2"/>
  <c r="K816" i="2"/>
  <c r="J816" i="2"/>
  <c r="I816" i="2"/>
  <c r="H816" i="2"/>
  <c r="G816" i="2"/>
  <c r="F816" i="2"/>
  <c r="E816" i="2"/>
  <c r="D816" i="2"/>
  <c r="C816" i="2"/>
  <c r="B816" i="2"/>
  <c r="A816" i="2"/>
  <c r="AJ815" i="2"/>
  <c r="AI815" i="2"/>
  <c r="AH815" i="2"/>
  <c r="AG815" i="2"/>
  <c r="AF815" i="2"/>
  <c r="AE815" i="2"/>
  <c r="AD815" i="2"/>
  <c r="AC815" i="2"/>
  <c r="AB815" i="2"/>
  <c r="AA815" i="2"/>
  <c r="Z815" i="2"/>
  <c r="Y815" i="2"/>
  <c r="X815" i="2"/>
  <c r="W815" i="2"/>
  <c r="V815" i="2"/>
  <c r="U815" i="2"/>
  <c r="T815" i="2"/>
  <c r="S815" i="2"/>
  <c r="R815" i="2"/>
  <c r="Q815" i="2"/>
  <c r="P815" i="2"/>
  <c r="O815" i="2"/>
  <c r="N815" i="2"/>
  <c r="K815" i="2"/>
  <c r="J815" i="2"/>
  <c r="I815" i="2"/>
  <c r="H815" i="2"/>
  <c r="G815" i="2"/>
  <c r="F815" i="2"/>
  <c r="E815" i="2"/>
  <c r="D815" i="2"/>
  <c r="C815" i="2"/>
  <c r="B815" i="2"/>
  <c r="A815" i="2"/>
  <c r="AJ814" i="2"/>
  <c r="AH814" i="2"/>
  <c r="AG814" i="2"/>
  <c r="AF814" i="2"/>
  <c r="AE814" i="2"/>
  <c r="AD814" i="2"/>
  <c r="AA814" i="2"/>
  <c r="Z814" i="2"/>
  <c r="Y814" i="2"/>
  <c r="X814" i="2"/>
  <c r="W814" i="2"/>
  <c r="V814" i="2"/>
  <c r="U814" i="2"/>
  <c r="T814" i="2"/>
  <c r="S814" i="2"/>
  <c r="R814" i="2"/>
  <c r="Q814" i="2"/>
  <c r="P814" i="2"/>
  <c r="O814" i="2"/>
  <c r="N814" i="2"/>
  <c r="K814" i="2"/>
  <c r="J814" i="2"/>
  <c r="I814" i="2"/>
  <c r="H814" i="2"/>
  <c r="G814" i="2"/>
  <c r="F814" i="2"/>
  <c r="E814" i="2"/>
  <c r="D814" i="2"/>
  <c r="C814" i="2"/>
  <c r="B814" i="2"/>
  <c r="A814" i="2"/>
  <c r="AJ813" i="2"/>
  <c r="AI813" i="2"/>
  <c r="AH813" i="2"/>
  <c r="AG813" i="2"/>
  <c r="AF813" i="2"/>
  <c r="AE813" i="2"/>
  <c r="AD813" i="2"/>
  <c r="AB813" i="2"/>
  <c r="AA813" i="2"/>
  <c r="Z813" i="2"/>
  <c r="Y813" i="2"/>
  <c r="X813" i="2"/>
  <c r="W813" i="2"/>
  <c r="V813" i="2"/>
  <c r="U813" i="2"/>
  <c r="T813" i="2"/>
  <c r="S813" i="2"/>
  <c r="R813" i="2"/>
  <c r="Q813" i="2"/>
  <c r="P813" i="2"/>
  <c r="O813" i="2"/>
  <c r="N813" i="2"/>
  <c r="K813" i="2"/>
  <c r="J813" i="2"/>
  <c r="I813" i="2"/>
  <c r="H813" i="2"/>
  <c r="G813" i="2"/>
  <c r="F813" i="2"/>
  <c r="E813" i="2"/>
  <c r="D813" i="2"/>
  <c r="C813" i="2"/>
  <c r="B813" i="2"/>
  <c r="A813" i="2"/>
  <c r="AJ812" i="2"/>
  <c r="AH812" i="2"/>
  <c r="AG812" i="2"/>
  <c r="AF812" i="2"/>
  <c r="AE812" i="2"/>
  <c r="AD812" i="2"/>
  <c r="AC812" i="2"/>
  <c r="AB812" i="2"/>
  <c r="AA812" i="2"/>
  <c r="Z812" i="2"/>
  <c r="Y812" i="2"/>
  <c r="X812" i="2"/>
  <c r="W812" i="2"/>
  <c r="V812" i="2"/>
  <c r="U812" i="2"/>
  <c r="T812" i="2"/>
  <c r="S812" i="2"/>
  <c r="R812" i="2"/>
  <c r="Q812" i="2"/>
  <c r="P812" i="2"/>
  <c r="O812" i="2"/>
  <c r="N812" i="2"/>
  <c r="K812" i="2"/>
  <c r="J812" i="2"/>
  <c r="I812" i="2"/>
  <c r="H812" i="2"/>
  <c r="G812" i="2"/>
  <c r="F812" i="2"/>
  <c r="E812" i="2"/>
  <c r="D812" i="2"/>
  <c r="C812" i="2"/>
  <c r="B812" i="2"/>
  <c r="A812" i="2"/>
  <c r="AJ811" i="2"/>
  <c r="AI811" i="2"/>
  <c r="AH811" i="2"/>
  <c r="AG811" i="2"/>
  <c r="AF811" i="2"/>
  <c r="AE811" i="2"/>
  <c r="AD811" i="2"/>
  <c r="AC811" i="2"/>
  <c r="AB811" i="2"/>
  <c r="AA811" i="2"/>
  <c r="Z811" i="2"/>
  <c r="Y811" i="2"/>
  <c r="X811" i="2"/>
  <c r="W811" i="2"/>
  <c r="V811" i="2"/>
  <c r="U811" i="2"/>
  <c r="T811" i="2"/>
  <c r="S811" i="2"/>
  <c r="R811" i="2"/>
  <c r="Q811" i="2"/>
  <c r="P811" i="2"/>
  <c r="O811" i="2"/>
  <c r="N811" i="2"/>
  <c r="K811" i="2"/>
  <c r="J811" i="2"/>
  <c r="I811" i="2"/>
  <c r="H811" i="2"/>
  <c r="G811" i="2"/>
  <c r="F811" i="2"/>
  <c r="E811" i="2"/>
  <c r="D811" i="2"/>
  <c r="C811" i="2"/>
  <c r="B811" i="2"/>
  <c r="A811" i="2"/>
  <c r="AJ810" i="2"/>
  <c r="AH810" i="2"/>
  <c r="AG810" i="2"/>
  <c r="AF810" i="2"/>
  <c r="AE810" i="2"/>
  <c r="AD810" i="2"/>
  <c r="AA810" i="2"/>
  <c r="Z810" i="2"/>
  <c r="Y810" i="2"/>
  <c r="X810" i="2"/>
  <c r="W810" i="2"/>
  <c r="V810" i="2"/>
  <c r="U810" i="2"/>
  <c r="T810" i="2"/>
  <c r="S810" i="2"/>
  <c r="R810" i="2"/>
  <c r="Q810" i="2"/>
  <c r="P810" i="2"/>
  <c r="O810" i="2"/>
  <c r="N810" i="2"/>
  <c r="K810" i="2"/>
  <c r="J810" i="2"/>
  <c r="I810" i="2"/>
  <c r="H810" i="2"/>
  <c r="G810" i="2"/>
  <c r="F810" i="2"/>
  <c r="E810" i="2"/>
  <c r="D810" i="2"/>
  <c r="C810" i="2"/>
  <c r="B810" i="2"/>
  <c r="A810" i="2"/>
  <c r="AJ809" i="2"/>
  <c r="AH809" i="2"/>
  <c r="AG809" i="2"/>
  <c r="AF809" i="2"/>
  <c r="AE809" i="2"/>
  <c r="AD809" i="2"/>
  <c r="AA809" i="2"/>
  <c r="Z809" i="2"/>
  <c r="Y809" i="2"/>
  <c r="X809" i="2"/>
  <c r="W809" i="2"/>
  <c r="V809" i="2"/>
  <c r="U809" i="2"/>
  <c r="T809" i="2"/>
  <c r="S809" i="2"/>
  <c r="R809" i="2"/>
  <c r="Q809" i="2"/>
  <c r="P809" i="2"/>
  <c r="O809" i="2"/>
  <c r="N809" i="2"/>
  <c r="K809" i="2"/>
  <c r="J809" i="2"/>
  <c r="I809" i="2"/>
  <c r="H809" i="2"/>
  <c r="G809" i="2"/>
  <c r="F809" i="2"/>
  <c r="E809" i="2"/>
  <c r="D809" i="2"/>
  <c r="C809" i="2"/>
  <c r="B809" i="2"/>
  <c r="A809" i="2"/>
  <c r="AJ808" i="2"/>
  <c r="AI808" i="2"/>
  <c r="AH808" i="2"/>
  <c r="AG808" i="2"/>
  <c r="AF808" i="2"/>
  <c r="AE808" i="2"/>
  <c r="AD808" i="2"/>
  <c r="AC808" i="2"/>
  <c r="AB808" i="2"/>
  <c r="AA808" i="2"/>
  <c r="Z808" i="2"/>
  <c r="Y808" i="2"/>
  <c r="X808" i="2"/>
  <c r="W808" i="2"/>
  <c r="V808" i="2"/>
  <c r="U808" i="2"/>
  <c r="T808" i="2"/>
  <c r="S808" i="2"/>
  <c r="R808" i="2"/>
  <c r="Q808" i="2"/>
  <c r="P808" i="2"/>
  <c r="O808" i="2"/>
  <c r="N808" i="2"/>
  <c r="M808" i="2"/>
  <c r="K808" i="2"/>
  <c r="J808" i="2"/>
  <c r="I808" i="2"/>
  <c r="H808" i="2"/>
  <c r="G808" i="2"/>
  <c r="F808" i="2"/>
  <c r="E808" i="2"/>
  <c r="D808" i="2"/>
  <c r="C808" i="2"/>
  <c r="B808" i="2"/>
  <c r="A808" i="2"/>
  <c r="AJ807" i="2"/>
  <c r="AH807" i="2"/>
  <c r="AG807" i="2"/>
  <c r="AF807" i="2"/>
  <c r="AE807" i="2"/>
  <c r="AD807" i="2"/>
  <c r="AA807" i="2"/>
  <c r="Z807" i="2"/>
  <c r="Y807" i="2"/>
  <c r="X807" i="2"/>
  <c r="W807" i="2"/>
  <c r="V807" i="2"/>
  <c r="U807" i="2"/>
  <c r="T807" i="2"/>
  <c r="S807" i="2"/>
  <c r="R807" i="2"/>
  <c r="Q807" i="2"/>
  <c r="P807" i="2"/>
  <c r="O807" i="2"/>
  <c r="N807" i="2"/>
  <c r="K807" i="2"/>
  <c r="J807" i="2"/>
  <c r="I807" i="2"/>
  <c r="H807" i="2"/>
  <c r="G807" i="2"/>
  <c r="F807" i="2"/>
  <c r="E807" i="2"/>
  <c r="D807" i="2"/>
  <c r="C807" i="2"/>
  <c r="B807" i="2"/>
  <c r="A807" i="2"/>
  <c r="AJ806" i="2"/>
  <c r="AI806" i="2"/>
  <c r="AH806" i="2"/>
  <c r="AG806" i="2"/>
  <c r="AF806" i="2"/>
  <c r="AE806" i="2"/>
  <c r="AD806" i="2"/>
  <c r="AC806" i="2"/>
  <c r="AB806" i="2"/>
  <c r="AA806" i="2"/>
  <c r="Z806" i="2"/>
  <c r="Y806" i="2"/>
  <c r="X806" i="2"/>
  <c r="W806" i="2"/>
  <c r="V806" i="2"/>
  <c r="U806" i="2"/>
  <c r="T806" i="2"/>
  <c r="S806" i="2"/>
  <c r="R806" i="2"/>
  <c r="Q806" i="2"/>
  <c r="P806" i="2"/>
  <c r="O806" i="2"/>
  <c r="N806" i="2"/>
  <c r="K806" i="2"/>
  <c r="J806" i="2"/>
  <c r="I806" i="2"/>
  <c r="H806" i="2"/>
  <c r="G806" i="2"/>
  <c r="F806" i="2"/>
  <c r="E806" i="2"/>
  <c r="D806" i="2"/>
  <c r="C806" i="2"/>
  <c r="B806" i="2"/>
  <c r="A806" i="2"/>
  <c r="AJ805" i="2"/>
  <c r="AH805" i="2"/>
  <c r="AG805" i="2"/>
  <c r="AF805" i="2"/>
  <c r="AE805" i="2"/>
  <c r="AD805" i="2"/>
  <c r="AC805" i="2"/>
  <c r="AA805" i="2"/>
  <c r="Z805" i="2"/>
  <c r="Y805" i="2"/>
  <c r="X805" i="2"/>
  <c r="W805" i="2"/>
  <c r="V805" i="2"/>
  <c r="U805" i="2"/>
  <c r="T805" i="2"/>
  <c r="S805" i="2"/>
  <c r="R805" i="2"/>
  <c r="Q805" i="2"/>
  <c r="P805" i="2"/>
  <c r="O805" i="2"/>
  <c r="N805" i="2"/>
  <c r="K805" i="2"/>
  <c r="J805" i="2"/>
  <c r="I805" i="2"/>
  <c r="H805" i="2"/>
  <c r="G805" i="2"/>
  <c r="F805" i="2"/>
  <c r="E805" i="2"/>
  <c r="D805" i="2"/>
  <c r="C805" i="2"/>
  <c r="B805" i="2"/>
  <c r="A805" i="2"/>
  <c r="AJ804" i="2"/>
  <c r="AI804" i="2"/>
  <c r="AH804" i="2"/>
  <c r="AG804" i="2"/>
  <c r="AF804" i="2"/>
  <c r="AE804" i="2"/>
  <c r="AD804" i="2"/>
  <c r="AC804" i="2"/>
  <c r="AB804" i="2"/>
  <c r="AA804" i="2"/>
  <c r="Z804" i="2"/>
  <c r="Y804" i="2"/>
  <c r="X804" i="2"/>
  <c r="W804" i="2"/>
  <c r="V804" i="2"/>
  <c r="U804" i="2"/>
  <c r="T804" i="2"/>
  <c r="S804" i="2"/>
  <c r="R804" i="2"/>
  <c r="Q804" i="2"/>
  <c r="P804" i="2"/>
  <c r="O804" i="2"/>
  <c r="N804" i="2"/>
  <c r="K804" i="2"/>
  <c r="J804" i="2"/>
  <c r="I804" i="2"/>
  <c r="H804" i="2"/>
  <c r="G804" i="2"/>
  <c r="F804" i="2"/>
  <c r="E804" i="2"/>
  <c r="D804" i="2"/>
  <c r="C804" i="2"/>
  <c r="B804" i="2"/>
  <c r="A804" i="2"/>
  <c r="AJ803" i="2"/>
  <c r="AH803" i="2"/>
  <c r="AG803" i="2"/>
  <c r="AF803" i="2"/>
  <c r="AE803" i="2"/>
  <c r="AD803" i="2"/>
  <c r="AA803" i="2"/>
  <c r="Z803" i="2"/>
  <c r="Y803" i="2"/>
  <c r="X803" i="2"/>
  <c r="W803" i="2"/>
  <c r="V803" i="2"/>
  <c r="U803" i="2"/>
  <c r="T803" i="2"/>
  <c r="S803" i="2"/>
  <c r="R803" i="2"/>
  <c r="Q803" i="2"/>
  <c r="P803" i="2"/>
  <c r="O803" i="2"/>
  <c r="N803" i="2"/>
  <c r="K803" i="2"/>
  <c r="J803" i="2"/>
  <c r="I803" i="2"/>
  <c r="H803" i="2"/>
  <c r="G803" i="2"/>
  <c r="F803" i="2"/>
  <c r="E803" i="2"/>
  <c r="D803" i="2"/>
  <c r="C803" i="2"/>
  <c r="B803" i="2"/>
  <c r="A803" i="2"/>
  <c r="AJ802" i="2"/>
  <c r="AI802" i="2"/>
  <c r="AH802" i="2"/>
  <c r="AG802" i="2"/>
  <c r="AF802" i="2"/>
  <c r="AE802" i="2"/>
  <c r="AD802" i="2"/>
  <c r="AC802" i="2"/>
  <c r="AB802" i="2"/>
  <c r="AA802" i="2"/>
  <c r="Z802" i="2"/>
  <c r="Y802" i="2"/>
  <c r="X802" i="2"/>
  <c r="W802" i="2"/>
  <c r="V802" i="2"/>
  <c r="U802" i="2"/>
  <c r="T802" i="2"/>
  <c r="S802" i="2"/>
  <c r="R802" i="2"/>
  <c r="Q802" i="2"/>
  <c r="P802" i="2"/>
  <c r="O802" i="2"/>
  <c r="N802" i="2"/>
  <c r="K802" i="2"/>
  <c r="J802" i="2"/>
  <c r="I802" i="2"/>
  <c r="H802" i="2"/>
  <c r="G802" i="2"/>
  <c r="F802" i="2"/>
  <c r="E802" i="2"/>
  <c r="D802" i="2"/>
  <c r="C802" i="2"/>
  <c r="B802" i="2"/>
  <c r="A802" i="2"/>
  <c r="AJ801" i="2"/>
  <c r="AH801" i="2"/>
  <c r="AG801" i="2"/>
  <c r="AF801" i="2"/>
  <c r="AE801" i="2"/>
  <c r="AD801" i="2"/>
  <c r="AC801" i="2"/>
  <c r="AB801" i="2"/>
  <c r="AA801" i="2"/>
  <c r="Z801" i="2"/>
  <c r="Y801" i="2"/>
  <c r="X801" i="2"/>
  <c r="W801" i="2"/>
  <c r="V801" i="2"/>
  <c r="U801" i="2"/>
  <c r="T801" i="2"/>
  <c r="S801" i="2"/>
  <c r="R801" i="2"/>
  <c r="Q801" i="2"/>
  <c r="P801" i="2"/>
  <c r="O801" i="2"/>
  <c r="N801" i="2"/>
  <c r="K801" i="2"/>
  <c r="J801" i="2"/>
  <c r="I801" i="2"/>
  <c r="H801" i="2"/>
  <c r="G801" i="2"/>
  <c r="F801" i="2"/>
  <c r="E801" i="2"/>
  <c r="D801" i="2"/>
  <c r="C801" i="2"/>
  <c r="B801" i="2"/>
  <c r="A801" i="2"/>
  <c r="AJ800" i="2"/>
  <c r="AI800" i="2"/>
  <c r="AH800" i="2"/>
  <c r="AG800" i="2"/>
  <c r="AF800" i="2"/>
  <c r="AE800" i="2"/>
  <c r="AD800" i="2"/>
  <c r="AB800" i="2"/>
  <c r="AA800" i="2"/>
  <c r="Z800" i="2"/>
  <c r="Y800" i="2"/>
  <c r="X800" i="2"/>
  <c r="W800" i="2"/>
  <c r="V800" i="2"/>
  <c r="U800" i="2"/>
  <c r="T800" i="2"/>
  <c r="S800" i="2"/>
  <c r="Q800" i="2"/>
  <c r="P800" i="2"/>
  <c r="O800" i="2"/>
  <c r="N800" i="2"/>
  <c r="K800" i="2"/>
  <c r="J800" i="2"/>
  <c r="I800" i="2"/>
  <c r="H800" i="2"/>
  <c r="G800" i="2"/>
  <c r="F800" i="2"/>
  <c r="E800" i="2"/>
  <c r="D800" i="2"/>
  <c r="C800" i="2"/>
  <c r="B800" i="2"/>
  <c r="A800" i="2"/>
  <c r="AJ799" i="2"/>
  <c r="AH799" i="2"/>
  <c r="AF799" i="2"/>
  <c r="AE799" i="2"/>
  <c r="AD799" i="2"/>
  <c r="AA799" i="2"/>
  <c r="Z799" i="2"/>
  <c r="Y799" i="2"/>
  <c r="X799" i="2"/>
  <c r="W799" i="2"/>
  <c r="V799" i="2"/>
  <c r="U799" i="2"/>
  <c r="T799" i="2"/>
  <c r="S799" i="2"/>
  <c r="R799" i="2"/>
  <c r="Q799" i="2"/>
  <c r="P799" i="2"/>
  <c r="O799" i="2"/>
  <c r="N799" i="2"/>
  <c r="K799" i="2"/>
  <c r="J799" i="2"/>
  <c r="I799" i="2"/>
  <c r="H799" i="2"/>
  <c r="G799" i="2"/>
  <c r="F799" i="2"/>
  <c r="E799" i="2"/>
  <c r="D799" i="2"/>
  <c r="C799" i="2"/>
  <c r="B799" i="2"/>
  <c r="A799" i="2"/>
  <c r="AJ798" i="2"/>
  <c r="AI798" i="2"/>
  <c r="AH798" i="2"/>
  <c r="AG798" i="2"/>
  <c r="AF798" i="2"/>
  <c r="AE798" i="2"/>
  <c r="AD798" i="2"/>
  <c r="AC798" i="2"/>
  <c r="AB798" i="2"/>
  <c r="AA798" i="2"/>
  <c r="Z798" i="2"/>
  <c r="Y798" i="2"/>
  <c r="X798" i="2"/>
  <c r="W798" i="2"/>
  <c r="V798" i="2"/>
  <c r="U798" i="2"/>
  <c r="T798" i="2"/>
  <c r="S798" i="2"/>
  <c r="R798" i="2"/>
  <c r="Q798" i="2"/>
  <c r="P798" i="2"/>
  <c r="O798" i="2"/>
  <c r="N798" i="2"/>
  <c r="M798" i="2"/>
  <c r="L798" i="2"/>
  <c r="K798" i="2"/>
  <c r="J798" i="2"/>
  <c r="I798" i="2"/>
  <c r="H798" i="2"/>
  <c r="G798" i="2"/>
  <c r="F798" i="2"/>
  <c r="E798" i="2"/>
  <c r="D798" i="2"/>
  <c r="C798" i="2"/>
  <c r="B798" i="2"/>
  <c r="A798" i="2"/>
  <c r="AJ797" i="2"/>
  <c r="AI797" i="2"/>
  <c r="AH797" i="2"/>
  <c r="AG797" i="2"/>
  <c r="AF797" i="2"/>
  <c r="AE797" i="2"/>
  <c r="AD797" i="2"/>
  <c r="AA797" i="2"/>
  <c r="Z797" i="2"/>
  <c r="Y797" i="2"/>
  <c r="X797" i="2"/>
  <c r="W797" i="2"/>
  <c r="V797" i="2"/>
  <c r="U797" i="2"/>
  <c r="T797" i="2"/>
  <c r="S797" i="2"/>
  <c r="R797" i="2"/>
  <c r="Q797" i="2"/>
  <c r="P797" i="2"/>
  <c r="O797" i="2"/>
  <c r="N797" i="2"/>
  <c r="K797" i="2"/>
  <c r="J797" i="2"/>
  <c r="I797" i="2"/>
  <c r="H797" i="2"/>
  <c r="G797" i="2"/>
  <c r="F797" i="2"/>
  <c r="E797" i="2"/>
  <c r="D797" i="2"/>
  <c r="C797" i="2"/>
  <c r="B797" i="2"/>
  <c r="A797" i="2"/>
  <c r="AJ796" i="2"/>
  <c r="AI796" i="2"/>
  <c r="AH796" i="2"/>
  <c r="AG796" i="2"/>
  <c r="AF796" i="2"/>
  <c r="AE796" i="2"/>
  <c r="AD796" i="2"/>
  <c r="AC796" i="2"/>
  <c r="AB796" i="2"/>
  <c r="AA796" i="2"/>
  <c r="Z796" i="2"/>
  <c r="Y796" i="2"/>
  <c r="X796" i="2"/>
  <c r="W796" i="2"/>
  <c r="V796" i="2"/>
  <c r="U796" i="2"/>
  <c r="T796" i="2"/>
  <c r="S796" i="2"/>
  <c r="R796" i="2"/>
  <c r="Q796" i="2"/>
  <c r="P796" i="2"/>
  <c r="O796" i="2"/>
  <c r="N796" i="2"/>
  <c r="K796" i="2"/>
  <c r="J796" i="2"/>
  <c r="I796" i="2"/>
  <c r="H796" i="2"/>
  <c r="G796" i="2"/>
  <c r="F796" i="2"/>
  <c r="E796" i="2"/>
  <c r="D796" i="2"/>
  <c r="C796" i="2"/>
  <c r="B796" i="2"/>
  <c r="A796" i="2"/>
  <c r="AJ795" i="2"/>
  <c r="AI795" i="2"/>
  <c r="AH795" i="2"/>
  <c r="AG795" i="2"/>
  <c r="AF795" i="2"/>
  <c r="AE795" i="2"/>
  <c r="AD795" i="2"/>
  <c r="AC795" i="2"/>
  <c r="AB795" i="2"/>
  <c r="AA795" i="2"/>
  <c r="Z795" i="2"/>
  <c r="Y795" i="2"/>
  <c r="X795" i="2"/>
  <c r="W795" i="2"/>
  <c r="V795" i="2"/>
  <c r="U795" i="2"/>
  <c r="T795" i="2"/>
  <c r="S795" i="2"/>
  <c r="R795" i="2"/>
  <c r="Q795" i="2"/>
  <c r="P795" i="2"/>
  <c r="O795" i="2"/>
  <c r="N795" i="2"/>
  <c r="K795" i="2"/>
  <c r="J795" i="2"/>
  <c r="I795" i="2"/>
  <c r="H795" i="2"/>
  <c r="G795" i="2"/>
  <c r="F795" i="2"/>
  <c r="E795" i="2"/>
  <c r="D795" i="2"/>
  <c r="C795" i="2"/>
  <c r="B795" i="2"/>
  <c r="A795" i="2"/>
  <c r="AJ794" i="2"/>
  <c r="AF794" i="2"/>
  <c r="AE794" i="2"/>
  <c r="AD794" i="2"/>
  <c r="AC794" i="2"/>
  <c r="AA794" i="2"/>
  <c r="Z794" i="2"/>
  <c r="Y794" i="2"/>
  <c r="V794" i="2"/>
  <c r="U794" i="2"/>
  <c r="S794" i="2"/>
  <c r="R794" i="2"/>
  <c r="Q794" i="2"/>
  <c r="P794" i="2"/>
  <c r="O794" i="2"/>
  <c r="N794" i="2"/>
  <c r="K794" i="2"/>
  <c r="J794" i="2"/>
  <c r="I794" i="2"/>
  <c r="H794" i="2"/>
  <c r="G794" i="2"/>
  <c r="F794" i="2"/>
  <c r="E794" i="2"/>
  <c r="D794" i="2"/>
  <c r="C794" i="2"/>
  <c r="B794" i="2"/>
  <c r="A794" i="2"/>
  <c r="AJ793" i="2"/>
  <c r="AI793" i="2"/>
  <c r="AH793" i="2"/>
  <c r="AF793" i="2"/>
  <c r="AE793" i="2"/>
  <c r="AD793" i="2"/>
  <c r="AC793" i="2"/>
  <c r="AB793" i="2"/>
  <c r="AA793" i="2"/>
  <c r="Z793" i="2"/>
  <c r="Y793" i="2"/>
  <c r="W793" i="2"/>
  <c r="V793" i="2"/>
  <c r="U793" i="2"/>
  <c r="T793" i="2"/>
  <c r="S793" i="2"/>
  <c r="R793" i="2"/>
  <c r="Q793" i="2"/>
  <c r="P793" i="2"/>
  <c r="O793" i="2"/>
  <c r="N793" i="2"/>
  <c r="K793" i="2"/>
  <c r="J793" i="2"/>
  <c r="I793" i="2"/>
  <c r="H793" i="2"/>
  <c r="G793" i="2"/>
  <c r="F793" i="2"/>
  <c r="E793" i="2"/>
  <c r="D793" i="2"/>
  <c r="C793" i="2"/>
  <c r="B793" i="2"/>
  <c r="A793" i="2"/>
  <c r="AJ792" i="2"/>
  <c r="AI792" i="2"/>
  <c r="AH792" i="2"/>
  <c r="AG792" i="2"/>
  <c r="AF792" i="2"/>
  <c r="AE792" i="2"/>
  <c r="AD792" i="2"/>
  <c r="AC792" i="2"/>
  <c r="AB792" i="2"/>
  <c r="AA792" i="2"/>
  <c r="Z792" i="2"/>
  <c r="Y792" i="2"/>
  <c r="X792" i="2"/>
  <c r="W792" i="2"/>
  <c r="V792" i="2"/>
  <c r="U792" i="2"/>
  <c r="T792" i="2"/>
  <c r="S792" i="2"/>
  <c r="R792" i="2"/>
  <c r="Q792" i="2"/>
  <c r="P792" i="2"/>
  <c r="O792" i="2"/>
  <c r="N792" i="2"/>
  <c r="K792" i="2"/>
  <c r="J792" i="2"/>
  <c r="I792" i="2"/>
  <c r="H792" i="2"/>
  <c r="G792" i="2"/>
  <c r="F792" i="2"/>
  <c r="E792" i="2"/>
  <c r="D792" i="2"/>
  <c r="C792" i="2"/>
  <c r="B792" i="2"/>
  <c r="A792" i="2"/>
  <c r="AJ791" i="2"/>
  <c r="AH791" i="2"/>
  <c r="AG791" i="2"/>
  <c r="AF791" i="2"/>
  <c r="AE791" i="2"/>
  <c r="AD791" i="2"/>
  <c r="AA791" i="2"/>
  <c r="Z791" i="2"/>
  <c r="Y791" i="2"/>
  <c r="X791" i="2"/>
  <c r="W791" i="2"/>
  <c r="V791" i="2"/>
  <c r="U791" i="2"/>
  <c r="T791" i="2"/>
  <c r="S791" i="2"/>
  <c r="R791" i="2"/>
  <c r="Q791" i="2"/>
  <c r="P791" i="2"/>
  <c r="O791" i="2"/>
  <c r="N791" i="2"/>
  <c r="K791" i="2"/>
  <c r="J791" i="2"/>
  <c r="I791" i="2"/>
  <c r="H791" i="2"/>
  <c r="G791" i="2"/>
  <c r="F791" i="2"/>
  <c r="E791" i="2"/>
  <c r="D791" i="2"/>
  <c r="C791" i="2"/>
  <c r="B791" i="2"/>
  <c r="A791" i="2"/>
  <c r="AJ790" i="2"/>
  <c r="AI790" i="2"/>
  <c r="AH790" i="2"/>
  <c r="AG790" i="2"/>
  <c r="AF790" i="2"/>
  <c r="AE790" i="2"/>
  <c r="AD790" i="2"/>
  <c r="AC790" i="2"/>
  <c r="AB790" i="2"/>
  <c r="AA790" i="2"/>
  <c r="Z790" i="2"/>
  <c r="Y790" i="2"/>
  <c r="X790" i="2"/>
  <c r="W790" i="2"/>
  <c r="U790" i="2"/>
  <c r="T790" i="2"/>
  <c r="S790" i="2"/>
  <c r="R790" i="2"/>
  <c r="Q790" i="2"/>
  <c r="P790" i="2"/>
  <c r="O790" i="2"/>
  <c r="N790" i="2"/>
  <c r="M790" i="2"/>
  <c r="L790" i="2"/>
  <c r="K790" i="2"/>
  <c r="J790" i="2"/>
  <c r="I790" i="2"/>
  <c r="H790" i="2"/>
  <c r="G790" i="2"/>
  <c r="F790" i="2"/>
  <c r="E790" i="2"/>
  <c r="D790" i="2"/>
  <c r="C790" i="2"/>
  <c r="B790" i="2"/>
  <c r="A790" i="2"/>
  <c r="AJ789" i="2"/>
  <c r="AF789" i="2"/>
  <c r="AE789" i="2"/>
  <c r="AD789" i="2"/>
  <c r="AA789" i="2"/>
  <c r="Z789" i="2"/>
  <c r="Y789" i="2"/>
  <c r="X789" i="2"/>
  <c r="W789" i="2"/>
  <c r="V789" i="2"/>
  <c r="U789" i="2"/>
  <c r="T789" i="2"/>
  <c r="S789" i="2"/>
  <c r="R789" i="2"/>
  <c r="Q789" i="2"/>
  <c r="P789" i="2"/>
  <c r="O789" i="2"/>
  <c r="N789" i="2"/>
  <c r="K789" i="2"/>
  <c r="J789" i="2"/>
  <c r="I789" i="2"/>
  <c r="H789" i="2"/>
  <c r="G789" i="2"/>
  <c r="F789" i="2"/>
  <c r="E789" i="2"/>
  <c r="D789" i="2"/>
  <c r="C789" i="2"/>
  <c r="B789" i="2"/>
  <c r="A789" i="2"/>
  <c r="AJ788" i="2"/>
  <c r="AH788" i="2"/>
  <c r="AG788" i="2"/>
  <c r="AF788" i="2"/>
  <c r="AE788" i="2"/>
  <c r="AD788" i="2"/>
  <c r="AA788" i="2"/>
  <c r="Z788" i="2"/>
  <c r="Y788" i="2"/>
  <c r="X788" i="2"/>
  <c r="W788" i="2"/>
  <c r="V788" i="2"/>
  <c r="U788" i="2"/>
  <c r="T788" i="2"/>
  <c r="S788" i="2"/>
  <c r="R788" i="2"/>
  <c r="Q788" i="2"/>
  <c r="P788" i="2"/>
  <c r="O788" i="2"/>
  <c r="N788" i="2"/>
  <c r="K788" i="2"/>
  <c r="J788" i="2"/>
  <c r="I788" i="2"/>
  <c r="H788" i="2"/>
  <c r="G788" i="2"/>
  <c r="F788" i="2"/>
  <c r="E788" i="2"/>
  <c r="D788" i="2"/>
  <c r="C788" i="2"/>
  <c r="B788" i="2"/>
  <c r="A788" i="2"/>
  <c r="AJ787" i="2"/>
  <c r="AI787" i="2"/>
  <c r="AH787" i="2"/>
  <c r="AG787" i="2"/>
  <c r="AF787" i="2"/>
  <c r="AE787" i="2"/>
  <c r="AD787" i="2"/>
  <c r="AC787" i="2"/>
  <c r="AB787" i="2"/>
  <c r="AA787" i="2"/>
  <c r="Z787" i="2"/>
  <c r="Y787" i="2"/>
  <c r="X787" i="2"/>
  <c r="W787" i="2"/>
  <c r="V787" i="2"/>
  <c r="U787" i="2"/>
  <c r="T787" i="2"/>
  <c r="S787" i="2"/>
  <c r="R787" i="2"/>
  <c r="Q787" i="2"/>
  <c r="P787" i="2"/>
  <c r="O787" i="2"/>
  <c r="N787" i="2"/>
  <c r="M787" i="2"/>
  <c r="L787" i="2"/>
  <c r="K787" i="2"/>
  <c r="J787" i="2"/>
  <c r="I787" i="2"/>
  <c r="H787" i="2"/>
  <c r="G787" i="2"/>
  <c r="F787" i="2"/>
  <c r="E787" i="2"/>
  <c r="D787" i="2"/>
  <c r="C787" i="2"/>
  <c r="B787" i="2"/>
  <c r="A787" i="2"/>
  <c r="AJ786" i="2"/>
  <c r="AH786" i="2"/>
  <c r="AF786" i="2"/>
  <c r="AE786" i="2"/>
  <c r="AD786" i="2"/>
  <c r="AC786" i="2"/>
  <c r="AB786" i="2"/>
  <c r="Z786" i="2"/>
  <c r="Y786" i="2"/>
  <c r="X786" i="2"/>
  <c r="W786" i="2"/>
  <c r="V786" i="2"/>
  <c r="U786" i="2"/>
  <c r="T786" i="2"/>
  <c r="S786" i="2"/>
  <c r="R786" i="2"/>
  <c r="Q786" i="2"/>
  <c r="P786" i="2"/>
  <c r="O786" i="2"/>
  <c r="N786" i="2"/>
  <c r="M786" i="2"/>
  <c r="L786" i="2"/>
  <c r="K786" i="2"/>
  <c r="J786" i="2"/>
  <c r="I786" i="2"/>
  <c r="H786" i="2"/>
  <c r="G786" i="2"/>
  <c r="F786" i="2"/>
  <c r="E786" i="2"/>
  <c r="D786" i="2"/>
  <c r="C786" i="2"/>
  <c r="B786" i="2"/>
  <c r="A786" i="2"/>
  <c r="AJ785" i="2"/>
  <c r="AH785" i="2"/>
  <c r="AG785" i="2"/>
  <c r="AF785" i="2"/>
  <c r="AE785" i="2"/>
  <c r="AD785" i="2"/>
  <c r="AB785" i="2"/>
  <c r="AA785" i="2"/>
  <c r="Z785" i="2"/>
  <c r="Y785" i="2"/>
  <c r="X785" i="2"/>
  <c r="W785" i="2"/>
  <c r="V785" i="2"/>
  <c r="U785" i="2"/>
  <c r="T785" i="2"/>
  <c r="S785" i="2"/>
  <c r="R785" i="2"/>
  <c r="Q785" i="2"/>
  <c r="P785" i="2"/>
  <c r="O785" i="2"/>
  <c r="N785" i="2"/>
  <c r="K785" i="2"/>
  <c r="J785" i="2"/>
  <c r="I785" i="2"/>
  <c r="H785" i="2"/>
  <c r="G785" i="2"/>
  <c r="F785" i="2"/>
  <c r="E785" i="2"/>
  <c r="D785" i="2"/>
  <c r="C785" i="2"/>
  <c r="B785" i="2"/>
  <c r="A785" i="2"/>
  <c r="AJ784" i="2"/>
  <c r="AI784" i="2"/>
  <c r="AH784" i="2"/>
  <c r="AF784" i="2"/>
  <c r="AE784" i="2"/>
  <c r="AD784" i="2"/>
  <c r="AC784" i="2"/>
  <c r="AB784" i="2"/>
  <c r="AA784" i="2"/>
  <c r="Z784" i="2"/>
  <c r="Y784" i="2"/>
  <c r="X784" i="2"/>
  <c r="W784" i="2"/>
  <c r="V784" i="2"/>
  <c r="U784" i="2"/>
  <c r="T784" i="2"/>
  <c r="S784" i="2"/>
  <c r="R784" i="2"/>
  <c r="Q784" i="2"/>
  <c r="P784" i="2"/>
  <c r="O784" i="2"/>
  <c r="N784" i="2"/>
  <c r="K784" i="2"/>
  <c r="J784" i="2"/>
  <c r="I784" i="2"/>
  <c r="H784" i="2"/>
  <c r="G784" i="2"/>
  <c r="F784" i="2"/>
  <c r="E784" i="2"/>
  <c r="D784" i="2"/>
  <c r="C784" i="2"/>
  <c r="B784" i="2"/>
  <c r="A784" i="2"/>
  <c r="AJ783" i="2"/>
  <c r="AH783" i="2"/>
  <c r="AG783" i="2"/>
  <c r="AF783" i="2"/>
  <c r="AE783" i="2"/>
  <c r="AD783" i="2"/>
  <c r="AA783" i="2"/>
  <c r="Z783" i="2"/>
  <c r="Y783" i="2"/>
  <c r="X783" i="2"/>
  <c r="W783" i="2"/>
  <c r="V783" i="2"/>
  <c r="U783" i="2"/>
  <c r="T783" i="2"/>
  <c r="S783" i="2"/>
  <c r="R783" i="2"/>
  <c r="Q783" i="2"/>
  <c r="P783" i="2"/>
  <c r="O783" i="2"/>
  <c r="N783" i="2"/>
  <c r="K783" i="2"/>
  <c r="J783" i="2"/>
  <c r="I783" i="2"/>
  <c r="H783" i="2"/>
  <c r="G783" i="2"/>
  <c r="F783" i="2"/>
  <c r="E783" i="2"/>
  <c r="D783" i="2"/>
  <c r="C783" i="2"/>
  <c r="B783" i="2"/>
  <c r="A783" i="2"/>
  <c r="AJ782" i="2"/>
  <c r="AI782" i="2"/>
  <c r="AH782" i="2"/>
  <c r="AG782" i="2"/>
  <c r="AF782" i="2"/>
  <c r="AE782" i="2"/>
  <c r="AD782" i="2"/>
  <c r="AC782" i="2"/>
  <c r="AB782" i="2"/>
  <c r="AA782" i="2"/>
  <c r="Z782" i="2"/>
  <c r="Y782" i="2"/>
  <c r="X782" i="2"/>
  <c r="W782" i="2"/>
  <c r="V782" i="2"/>
  <c r="U782" i="2"/>
  <c r="T782" i="2"/>
  <c r="S782" i="2"/>
  <c r="R782" i="2"/>
  <c r="Q782" i="2"/>
  <c r="P782" i="2"/>
  <c r="O782" i="2"/>
  <c r="N782" i="2"/>
  <c r="K782" i="2"/>
  <c r="J782" i="2"/>
  <c r="I782" i="2"/>
  <c r="H782" i="2"/>
  <c r="G782" i="2"/>
  <c r="F782" i="2"/>
  <c r="E782" i="2"/>
  <c r="D782" i="2"/>
  <c r="C782" i="2"/>
  <c r="B782" i="2"/>
  <c r="A782" i="2"/>
  <c r="AJ781" i="2"/>
  <c r="AI781" i="2"/>
  <c r="AH781" i="2"/>
  <c r="AG781" i="2"/>
  <c r="AF781" i="2"/>
  <c r="AE781" i="2"/>
  <c r="AD781" i="2"/>
  <c r="AB781" i="2"/>
  <c r="AA781" i="2"/>
  <c r="Z781" i="2"/>
  <c r="Y781" i="2"/>
  <c r="X781" i="2"/>
  <c r="W781" i="2"/>
  <c r="V781" i="2"/>
  <c r="U781" i="2"/>
  <c r="T781" i="2"/>
  <c r="S781" i="2"/>
  <c r="R781" i="2"/>
  <c r="Q781" i="2"/>
  <c r="P781" i="2"/>
  <c r="O781" i="2"/>
  <c r="N781" i="2"/>
  <c r="K781" i="2"/>
  <c r="J781" i="2"/>
  <c r="I781" i="2"/>
  <c r="H781" i="2"/>
  <c r="G781" i="2"/>
  <c r="F781" i="2"/>
  <c r="E781" i="2"/>
  <c r="D781" i="2"/>
  <c r="C781" i="2"/>
  <c r="B781" i="2"/>
  <c r="A781" i="2"/>
  <c r="AJ780" i="2"/>
  <c r="AI780" i="2"/>
  <c r="AH780" i="2"/>
  <c r="AG780" i="2"/>
  <c r="AF780" i="2"/>
  <c r="AE780" i="2"/>
  <c r="AD780" i="2"/>
  <c r="AC780" i="2"/>
  <c r="AB780" i="2"/>
  <c r="AA780" i="2"/>
  <c r="Z780" i="2"/>
  <c r="Y780" i="2"/>
  <c r="X780" i="2"/>
  <c r="W780" i="2"/>
  <c r="V780" i="2"/>
  <c r="U780" i="2"/>
  <c r="T780" i="2"/>
  <c r="S780" i="2"/>
  <c r="R780" i="2"/>
  <c r="Q780" i="2"/>
  <c r="P780" i="2"/>
  <c r="O780" i="2"/>
  <c r="N780" i="2"/>
  <c r="K780" i="2"/>
  <c r="J780" i="2"/>
  <c r="I780" i="2"/>
  <c r="H780" i="2"/>
  <c r="G780" i="2"/>
  <c r="F780" i="2"/>
  <c r="E780" i="2"/>
  <c r="D780" i="2"/>
  <c r="C780" i="2"/>
  <c r="B780" i="2"/>
  <c r="A780" i="2"/>
  <c r="AJ779" i="2"/>
  <c r="AI779" i="2"/>
  <c r="AH779" i="2"/>
  <c r="AG779" i="2"/>
  <c r="AF779" i="2"/>
  <c r="AE779" i="2"/>
  <c r="AD779" i="2"/>
  <c r="AC779" i="2"/>
  <c r="AB779" i="2"/>
  <c r="AA779" i="2"/>
  <c r="Z779" i="2"/>
  <c r="Y779" i="2"/>
  <c r="X779" i="2"/>
  <c r="W779" i="2"/>
  <c r="V779" i="2"/>
  <c r="U779" i="2"/>
  <c r="T779" i="2"/>
  <c r="S779" i="2"/>
  <c r="R779" i="2"/>
  <c r="Q779" i="2"/>
  <c r="P779" i="2"/>
  <c r="O779" i="2"/>
  <c r="N779" i="2"/>
  <c r="M779" i="2"/>
  <c r="K779" i="2"/>
  <c r="J779" i="2"/>
  <c r="I779" i="2"/>
  <c r="H779" i="2"/>
  <c r="G779" i="2"/>
  <c r="F779" i="2"/>
  <c r="E779" i="2"/>
  <c r="D779" i="2"/>
  <c r="C779" i="2"/>
  <c r="B779" i="2"/>
  <c r="A779" i="2"/>
  <c r="AJ778" i="2"/>
  <c r="AH778" i="2"/>
  <c r="AG778" i="2"/>
  <c r="AF778" i="2"/>
  <c r="AE778" i="2"/>
  <c r="AD778" i="2"/>
  <c r="AC778" i="2"/>
  <c r="AB778" i="2"/>
  <c r="AA778" i="2"/>
  <c r="Z778" i="2"/>
  <c r="Y778" i="2"/>
  <c r="X778" i="2"/>
  <c r="W778" i="2"/>
  <c r="V778" i="2"/>
  <c r="U778" i="2"/>
  <c r="T778" i="2"/>
  <c r="S778" i="2"/>
  <c r="R778" i="2"/>
  <c r="Q778" i="2"/>
  <c r="P778" i="2"/>
  <c r="O778" i="2"/>
  <c r="N778" i="2"/>
  <c r="K778" i="2"/>
  <c r="J778" i="2"/>
  <c r="I778" i="2"/>
  <c r="H778" i="2"/>
  <c r="G778" i="2"/>
  <c r="F778" i="2"/>
  <c r="E778" i="2"/>
  <c r="D778" i="2"/>
  <c r="C778" i="2"/>
  <c r="B778" i="2"/>
  <c r="A778" i="2"/>
  <c r="AJ777" i="2"/>
  <c r="AI777" i="2"/>
  <c r="AH777" i="2"/>
  <c r="AG777" i="2"/>
  <c r="AF777" i="2"/>
  <c r="AE777" i="2"/>
  <c r="AD777" i="2"/>
  <c r="AC777" i="2"/>
  <c r="AB777" i="2"/>
  <c r="AA777" i="2"/>
  <c r="Z777" i="2"/>
  <c r="Y777" i="2"/>
  <c r="X777" i="2"/>
  <c r="W777" i="2"/>
  <c r="V777" i="2"/>
  <c r="U777" i="2"/>
  <c r="T777" i="2"/>
  <c r="S777" i="2"/>
  <c r="R777" i="2"/>
  <c r="Q777" i="2"/>
  <c r="P777" i="2"/>
  <c r="O777" i="2"/>
  <c r="N777" i="2"/>
  <c r="K777" i="2"/>
  <c r="J777" i="2"/>
  <c r="I777" i="2"/>
  <c r="H777" i="2"/>
  <c r="G777" i="2"/>
  <c r="F777" i="2"/>
  <c r="E777" i="2"/>
  <c r="D777" i="2"/>
  <c r="C777" i="2"/>
  <c r="B777" i="2"/>
  <c r="A777" i="2"/>
  <c r="AJ776" i="2"/>
  <c r="AI776" i="2"/>
  <c r="AH776" i="2"/>
  <c r="AG776" i="2"/>
  <c r="AF776" i="2"/>
  <c r="AE776" i="2"/>
  <c r="AD776" i="2"/>
  <c r="AC776" i="2"/>
  <c r="AB776" i="2"/>
  <c r="AA776" i="2"/>
  <c r="Z776" i="2"/>
  <c r="Y776" i="2"/>
  <c r="X776" i="2"/>
  <c r="W776" i="2"/>
  <c r="V776" i="2"/>
  <c r="U776" i="2"/>
  <c r="T776" i="2"/>
  <c r="S776" i="2"/>
  <c r="R776" i="2"/>
  <c r="Q776" i="2"/>
  <c r="P776" i="2"/>
  <c r="O776" i="2"/>
  <c r="N776" i="2"/>
  <c r="M776" i="2"/>
  <c r="K776" i="2"/>
  <c r="J776" i="2"/>
  <c r="I776" i="2"/>
  <c r="H776" i="2"/>
  <c r="G776" i="2"/>
  <c r="F776" i="2"/>
  <c r="E776" i="2"/>
  <c r="D776" i="2"/>
  <c r="C776" i="2"/>
  <c r="B776" i="2"/>
  <c r="A776" i="2"/>
  <c r="AJ775" i="2"/>
  <c r="AH775" i="2"/>
  <c r="AG775" i="2"/>
  <c r="AF775" i="2"/>
  <c r="AE775" i="2"/>
  <c r="AD775" i="2"/>
  <c r="AB775" i="2"/>
  <c r="AA775" i="2"/>
  <c r="Z775" i="2"/>
  <c r="Y775" i="2"/>
  <c r="X775" i="2"/>
  <c r="W775" i="2"/>
  <c r="V775" i="2"/>
  <c r="U775" i="2"/>
  <c r="T775" i="2"/>
  <c r="S775" i="2"/>
  <c r="R775" i="2"/>
  <c r="Q775" i="2"/>
  <c r="P775" i="2"/>
  <c r="O775" i="2"/>
  <c r="N775" i="2"/>
  <c r="K775" i="2"/>
  <c r="J775" i="2"/>
  <c r="I775" i="2"/>
  <c r="H775" i="2"/>
  <c r="G775" i="2"/>
  <c r="F775" i="2"/>
  <c r="E775" i="2"/>
  <c r="D775" i="2"/>
  <c r="C775" i="2"/>
  <c r="B775" i="2"/>
  <c r="A775" i="2"/>
  <c r="AJ774" i="2"/>
  <c r="AI774" i="2"/>
  <c r="AH774" i="2"/>
  <c r="AG774" i="2"/>
  <c r="AF774" i="2"/>
  <c r="AE774" i="2"/>
  <c r="AD774" i="2"/>
  <c r="AC774" i="2"/>
  <c r="AB774" i="2"/>
  <c r="AA774" i="2"/>
  <c r="Z774" i="2"/>
  <c r="Y774" i="2"/>
  <c r="X774" i="2"/>
  <c r="W774" i="2"/>
  <c r="V774" i="2"/>
  <c r="U774" i="2"/>
  <c r="T774" i="2"/>
  <c r="S774" i="2"/>
  <c r="R774" i="2"/>
  <c r="Q774" i="2"/>
  <c r="P774" i="2"/>
  <c r="O774" i="2"/>
  <c r="N774" i="2"/>
  <c r="K774" i="2"/>
  <c r="J774" i="2"/>
  <c r="I774" i="2"/>
  <c r="H774" i="2"/>
  <c r="G774" i="2"/>
  <c r="F774" i="2"/>
  <c r="E774" i="2"/>
  <c r="D774" i="2"/>
  <c r="C774" i="2"/>
  <c r="B774" i="2"/>
  <c r="A774" i="2"/>
  <c r="AJ773" i="2"/>
  <c r="AI773" i="2"/>
  <c r="AH773" i="2"/>
  <c r="AG773" i="2"/>
  <c r="AF773" i="2"/>
  <c r="AE773" i="2"/>
  <c r="AD773" i="2"/>
  <c r="AC773" i="2"/>
  <c r="AB773" i="2"/>
  <c r="AA773" i="2"/>
  <c r="Z773" i="2"/>
  <c r="Y773" i="2"/>
  <c r="X773" i="2"/>
  <c r="W773" i="2"/>
  <c r="V773" i="2"/>
  <c r="U773" i="2"/>
  <c r="T773" i="2"/>
  <c r="S773" i="2"/>
  <c r="R773" i="2"/>
  <c r="Q773" i="2"/>
  <c r="P773" i="2"/>
  <c r="O773" i="2"/>
  <c r="N773" i="2"/>
  <c r="K773" i="2"/>
  <c r="J773" i="2"/>
  <c r="I773" i="2"/>
  <c r="H773" i="2"/>
  <c r="G773" i="2"/>
  <c r="F773" i="2"/>
  <c r="E773" i="2"/>
  <c r="D773" i="2"/>
  <c r="C773" i="2"/>
  <c r="B773" i="2"/>
  <c r="A773" i="2"/>
  <c r="AJ772" i="2"/>
  <c r="AI772" i="2"/>
  <c r="AH772" i="2"/>
  <c r="AF772" i="2"/>
  <c r="AE772" i="2"/>
  <c r="AD772" i="2"/>
  <c r="AC772" i="2"/>
  <c r="AA772" i="2"/>
  <c r="Z772" i="2"/>
  <c r="Y772" i="2"/>
  <c r="W772" i="2"/>
  <c r="V772" i="2"/>
  <c r="U772" i="2"/>
  <c r="T772" i="2"/>
  <c r="S772" i="2"/>
  <c r="R772" i="2"/>
  <c r="Q772" i="2"/>
  <c r="P772" i="2"/>
  <c r="O772" i="2"/>
  <c r="N772" i="2"/>
  <c r="M772" i="2"/>
  <c r="K772" i="2"/>
  <c r="J772" i="2"/>
  <c r="I772" i="2"/>
  <c r="H772" i="2"/>
  <c r="G772" i="2"/>
  <c r="F772" i="2"/>
  <c r="E772" i="2"/>
  <c r="D772" i="2"/>
  <c r="C772" i="2"/>
  <c r="B772" i="2"/>
  <c r="A772" i="2"/>
  <c r="AF771" i="2"/>
  <c r="AE771" i="2"/>
  <c r="AD771" i="2"/>
  <c r="AC771" i="2"/>
  <c r="AB771" i="2"/>
  <c r="AA771" i="2"/>
  <c r="Z771" i="2"/>
  <c r="Y771" i="2"/>
  <c r="X771" i="2"/>
  <c r="W771" i="2"/>
  <c r="V771" i="2"/>
  <c r="U771" i="2"/>
  <c r="T771" i="2"/>
  <c r="S771" i="2"/>
  <c r="R771" i="2"/>
  <c r="Q771" i="2"/>
  <c r="P771" i="2"/>
  <c r="O771" i="2"/>
  <c r="N771" i="2"/>
  <c r="K771" i="2"/>
  <c r="J771" i="2"/>
  <c r="I771" i="2"/>
  <c r="H771" i="2"/>
  <c r="G771" i="2"/>
  <c r="F771" i="2"/>
  <c r="E771" i="2"/>
  <c r="D771" i="2"/>
  <c r="C771" i="2"/>
  <c r="B771" i="2"/>
  <c r="A771" i="2"/>
  <c r="AJ770" i="2"/>
  <c r="AI770" i="2"/>
  <c r="AH770" i="2"/>
  <c r="AG770" i="2"/>
  <c r="AF770" i="2"/>
  <c r="AE770" i="2"/>
  <c r="AD770" i="2"/>
  <c r="AC770" i="2"/>
  <c r="AB770" i="2"/>
  <c r="AA770" i="2"/>
  <c r="Z770" i="2"/>
  <c r="Y770" i="2"/>
  <c r="X770" i="2"/>
  <c r="W770" i="2"/>
  <c r="V770" i="2"/>
  <c r="U770" i="2"/>
  <c r="T770" i="2"/>
  <c r="S770" i="2"/>
  <c r="R770" i="2"/>
  <c r="Q770" i="2"/>
  <c r="P770" i="2"/>
  <c r="O770" i="2"/>
  <c r="N770" i="2"/>
  <c r="K770" i="2"/>
  <c r="J770" i="2"/>
  <c r="I770" i="2"/>
  <c r="H770" i="2"/>
  <c r="G770" i="2"/>
  <c r="F770" i="2"/>
  <c r="E770" i="2"/>
  <c r="D770" i="2"/>
  <c r="C770" i="2"/>
  <c r="B770" i="2"/>
  <c r="A770" i="2"/>
  <c r="AJ769" i="2"/>
  <c r="AI769" i="2"/>
  <c r="AH769" i="2"/>
  <c r="AG769" i="2"/>
  <c r="AF769" i="2"/>
  <c r="AE769" i="2"/>
  <c r="AD769" i="2"/>
  <c r="AC769" i="2"/>
  <c r="AB769" i="2"/>
  <c r="AA769" i="2"/>
  <c r="Z769" i="2"/>
  <c r="Y769" i="2"/>
  <c r="X769" i="2"/>
  <c r="W769" i="2"/>
  <c r="V769" i="2"/>
  <c r="U769" i="2"/>
  <c r="T769" i="2"/>
  <c r="S769" i="2"/>
  <c r="R769" i="2"/>
  <c r="Q769" i="2"/>
  <c r="P769" i="2"/>
  <c r="O769" i="2"/>
  <c r="N769" i="2"/>
  <c r="K769" i="2"/>
  <c r="J769" i="2"/>
  <c r="I769" i="2"/>
  <c r="H769" i="2"/>
  <c r="G769" i="2"/>
  <c r="F769" i="2"/>
  <c r="E769" i="2"/>
  <c r="D769" i="2"/>
  <c r="C769" i="2"/>
  <c r="B769" i="2"/>
  <c r="A769" i="2"/>
  <c r="AJ768" i="2"/>
  <c r="AI768" i="2"/>
  <c r="AH768" i="2"/>
  <c r="AG768" i="2"/>
  <c r="AF768" i="2"/>
  <c r="AE768" i="2"/>
  <c r="AD768" i="2"/>
  <c r="AC768" i="2"/>
  <c r="AB768" i="2"/>
  <c r="AA768" i="2"/>
  <c r="Z768" i="2"/>
  <c r="Y768" i="2"/>
  <c r="X768" i="2"/>
  <c r="W768" i="2"/>
  <c r="V768" i="2"/>
  <c r="U768" i="2"/>
  <c r="T768" i="2"/>
  <c r="S768" i="2"/>
  <c r="R768" i="2"/>
  <c r="Q768" i="2"/>
  <c r="P768" i="2"/>
  <c r="O768" i="2"/>
  <c r="N768" i="2"/>
  <c r="K768" i="2"/>
  <c r="J768" i="2"/>
  <c r="I768" i="2"/>
  <c r="H768" i="2"/>
  <c r="G768" i="2"/>
  <c r="F768" i="2"/>
  <c r="E768" i="2"/>
  <c r="D768" i="2"/>
  <c r="C768" i="2"/>
  <c r="B768" i="2"/>
  <c r="A768" i="2"/>
  <c r="AJ767" i="2"/>
  <c r="AH767" i="2"/>
  <c r="AG767" i="2"/>
  <c r="AF767" i="2"/>
  <c r="AE767" i="2"/>
  <c r="AD767" i="2"/>
  <c r="AA767" i="2"/>
  <c r="Z767" i="2"/>
  <c r="Y767" i="2"/>
  <c r="X767" i="2"/>
  <c r="W767" i="2"/>
  <c r="V767" i="2"/>
  <c r="U767" i="2"/>
  <c r="T767" i="2"/>
  <c r="S767" i="2"/>
  <c r="R767" i="2"/>
  <c r="Q767" i="2"/>
  <c r="P767" i="2"/>
  <c r="O767" i="2"/>
  <c r="N767" i="2"/>
  <c r="K767" i="2"/>
  <c r="J767" i="2"/>
  <c r="I767" i="2"/>
  <c r="H767" i="2"/>
  <c r="G767" i="2"/>
  <c r="F767" i="2"/>
  <c r="E767" i="2"/>
  <c r="D767" i="2"/>
  <c r="C767" i="2"/>
  <c r="B767" i="2"/>
  <c r="A767" i="2"/>
  <c r="AJ766" i="2"/>
  <c r="AI766" i="2"/>
  <c r="AH766" i="2"/>
  <c r="AG766" i="2"/>
  <c r="AF766" i="2"/>
  <c r="AE766" i="2"/>
  <c r="AD766" i="2"/>
  <c r="AC766" i="2"/>
  <c r="AB766" i="2"/>
  <c r="AA766" i="2"/>
  <c r="Z766" i="2"/>
  <c r="Y766" i="2"/>
  <c r="X766" i="2"/>
  <c r="W766" i="2"/>
  <c r="V766" i="2"/>
  <c r="U766" i="2"/>
  <c r="T766" i="2"/>
  <c r="S766" i="2"/>
  <c r="R766" i="2"/>
  <c r="Q766" i="2"/>
  <c r="P766" i="2"/>
  <c r="O766" i="2"/>
  <c r="N766" i="2"/>
  <c r="K766" i="2"/>
  <c r="J766" i="2"/>
  <c r="I766" i="2"/>
  <c r="H766" i="2"/>
  <c r="G766" i="2"/>
  <c r="F766" i="2"/>
  <c r="E766" i="2"/>
  <c r="D766" i="2"/>
  <c r="C766" i="2"/>
  <c r="B766" i="2"/>
  <c r="A766" i="2"/>
  <c r="AJ765" i="2"/>
  <c r="AI765" i="2"/>
  <c r="AH765" i="2"/>
  <c r="AG765" i="2"/>
  <c r="AF765" i="2"/>
  <c r="AE765" i="2"/>
  <c r="AD765" i="2"/>
  <c r="AC765" i="2"/>
  <c r="AA765" i="2"/>
  <c r="Z765" i="2"/>
  <c r="Y765" i="2"/>
  <c r="X765" i="2"/>
  <c r="W765" i="2"/>
  <c r="V765" i="2"/>
  <c r="U765" i="2"/>
  <c r="T765" i="2"/>
  <c r="S765" i="2"/>
  <c r="R765" i="2"/>
  <c r="Q765" i="2"/>
  <c r="P765" i="2"/>
  <c r="O765" i="2"/>
  <c r="N765" i="2"/>
  <c r="K765" i="2"/>
  <c r="J765" i="2"/>
  <c r="I765" i="2"/>
  <c r="H765" i="2"/>
  <c r="G765" i="2"/>
  <c r="F765" i="2"/>
  <c r="E765" i="2"/>
  <c r="D765" i="2"/>
  <c r="C765" i="2"/>
  <c r="B765" i="2"/>
  <c r="A765" i="2"/>
  <c r="AJ764" i="2"/>
  <c r="AI764" i="2"/>
  <c r="AH764" i="2"/>
  <c r="AG764" i="2"/>
  <c r="AF764" i="2"/>
  <c r="AE764" i="2"/>
  <c r="AD764" i="2"/>
  <c r="AC764" i="2"/>
  <c r="AA764" i="2"/>
  <c r="Z764" i="2"/>
  <c r="Y764" i="2"/>
  <c r="X764" i="2"/>
  <c r="W764" i="2"/>
  <c r="V764" i="2"/>
  <c r="U764" i="2"/>
  <c r="T764" i="2"/>
  <c r="S764" i="2"/>
  <c r="R764" i="2"/>
  <c r="Q764" i="2"/>
  <c r="P764" i="2"/>
  <c r="O764" i="2"/>
  <c r="N764" i="2"/>
  <c r="K764" i="2"/>
  <c r="J764" i="2"/>
  <c r="I764" i="2"/>
  <c r="H764" i="2"/>
  <c r="G764" i="2"/>
  <c r="F764" i="2"/>
  <c r="E764" i="2"/>
  <c r="D764" i="2"/>
  <c r="C764" i="2"/>
  <c r="B764" i="2"/>
  <c r="A764" i="2"/>
  <c r="AJ763" i="2"/>
  <c r="AI763" i="2"/>
  <c r="AH763" i="2"/>
  <c r="AG763" i="2"/>
  <c r="AF763" i="2"/>
  <c r="AE763" i="2"/>
  <c r="AD763" i="2"/>
  <c r="AC763" i="2"/>
  <c r="AB763" i="2"/>
  <c r="AA763" i="2"/>
  <c r="Z763" i="2"/>
  <c r="Y763" i="2"/>
  <c r="X763" i="2"/>
  <c r="W763" i="2"/>
  <c r="V763" i="2"/>
  <c r="U763" i="2"/>
  <c r="T763" i="2"/>
  <c r="S763" i="2"/>
  <c r="R763" i="2"/>
  <c r="Q763" i="2"/>
  <c r="P763" i="2"/>
  <c r="O763" i="2"/>
  <c r="N763" i="2"/>
  <c r="K763" i="2"/>
  <c r="J763" i="2"/>
  <c r="I763" i="2"/>
  <c r="H763" i="2"/>
  <c r="G763" i="2"/>
  <c r="F763" i="2"/>
  <c r="E763" i="2"/>
  <c r="D763" i="2"/>
  <c r="C763" i="2"/>
  <c r="B763" i="2"/>
  <c r="A763" i="2"/>
  <c r="AJ762" i="2"/>
  <c r="AI762" i="2"/>
  <c r="AH762" i="2"/>
  <c r="AG762" i="2"/>
  <c r="AF762" i="2"/>
  <c r="AE762" i="2"/>
  <c r="AD762" i="2"/>
  <c r="AC762" i="2"/>
  <c r="AB762" i="2"/>
  <c r="AA762" i="2"/>
  <c r="Z762" i="2"/>
  <c r="Y762" i="2"/>
  <c r="X762" i="2"/>
  <c r="W762" i="2"/>
  <c r="V762" i="2"/>
  <c r="U762" i="2"/>
  <c r="T762" i="2"/>
  <c r="S762" i="2"/>
  <c r="R762" i="2"/>
  <c r="Q762" i="2"/>
  <c r="P762" i="2"/>
  <c r="O762" i="2"/>
  <c r="N762" i="2"/>
  <c r="K762" i="2"/>
  <c r="J762" i="2"/>
  <c r="I762" i="2"/>
  <c r="H762" i="2"/>
  <c r="G762" i="2"/>
  <c r="F762" i="2"/>
  <c r="E762" i="2"/>
  <c r="D762" i="2"/>
  <c r="C762" i="2"/>
  <c r="B762" i="2"/>
  <c r="A762" i="2"/>
  <c r="AJ761" i="2"/>
  <c r="AI761" i="2"/>
  <c r="AH761" i="2"/>
  <c r="AG761" i="2"/>
  <c r="AF761" i="2"/>
  <c r="AE761" i="2"/>
  <c r="AD761" i="2"/>
  <c r="AC761" i="2"/>
  <c r="AB761" i="2"/>
  <c r="AA761" i="2"/>
  <c r="Z761" i="2"/>
  <c r="Y761" i="2"/>
  <c r="X761" i="2"/>
  <c r="W761" i="2"/>
  <c r="V761" i="2"/>
  <c r="U761" i="2"/>
  <c r="T761" i="2"/>
  <c r="S761" i="2"/>
  <c r="R761" i="2"/>
  <c r="Q761" i="2"/>
  <c r="P761" i="2"/>
  <c r="O761" i="2"/>
  <c r="N761" i="2"/>
  <c r="K761" i="2"/>
  <c r="J761" i="2"/>
  <c r="I761" i="2"/>
  <c r="H761" i="2"/>
  <c r="G761" i="2"/>
  <c r="F761" i="2"/>
  <c r="E761" i="2"/>
  <c r="D761" i="2"/>
  <c r="C761" i="2"/>
  <c r="B761" i="2"/>
  <c r="A761" i="2"/>
  <c r="AJ760" i="2"/>
  <c r="AI760" i="2"/>
  <c r="AH760" i="2"/>
  <c r="AG760" i="2"/>
  <c r="AF760" i="2"/>
  <c r="AE760" i="2"/>
  <c r="AD760" i="2"/>
  <c r="AC760" i="2"/>
  <c r="AA760" i="2"/>
  <c r="Z760" i="2"/>
  <c r="Y760" i="2"/>
  <c r="X760" i="2"/>
  <c r="W760" i="2"/>
  <c r="V760" i="2"/>
  <c r="U760" i="2"/>
  <c r="T760" i="2"/>
  <c r="S760" i="2"/>
  <c r="R760" i="2"/>
  <c r="Q760" i="2"/>
  <c r="P760" i="2"/>
  <c r="O760" i="2"/>
  <c r="N760" i="2"/>
  <c r="K760" i="2"/>
  <c r="J760" i="2"/>
  <c r="I760" i="2"/>
  <c r="H760" i="2"/>
  <c r="G760" i="2"/>
  <c r="F760" i="2"/>
  <c r="E760" i="2"/>
  <c r="D760" i="2"/>
  <c r="C760" i="2"/>
  <c r="B760" i="2"/>
  <c r="A760" i="2"/>
  <c r="AJ759" i="2"/>
  <c r="AH759" i="2"/>
  <c r="AG759" i="2"/>
  <c r="AF759" i="2"/>
  <c r="AE759" i="2"/>
  <c r="AD759" i="2"/>
  <c r="AB759" i="2"/>
  <c r="AA759" i="2"/>
  <c r="Z759" i="2"/>
  <c r="Y759" i="2"/>
  <c r="X759" i="2"/>
  <c r="W759" i="2"/>
  <c r="V759" i="2"/>
  <c r="U759" i="2"/>
  <c r="T759" i="2"/>
  <c r="S759" i="2"/>
  <c r="R759" i="2"/>
  <c r="Q759" i="2"/>
  <c r="P759" i="2"/>
  <c r="O759" i="2"/>
  <c r="N759" i="2"/>
  <c r="K759" i="2"/>
  <c r="J759" i="2"/>
  <c r="I759" i="2"/>
  <c r="H759" i="2"/>
  <c r="G759" i="2"/>
  <c r="F759" i="2"/>
  <c r="E759" i="2"/>
  <c r="D759" i="2"/>
  <c r="C759" i="2"/>
  <c r="B759" i="2"/>
  <c r="A759" i="2"/>
  <c r="AJ758" i="2"/>
  <c r="AI758" i="2"/>
  <c r="AH758" i="2"/>
  <c r="AG758" i="2"/>
  <c r="AF758" i="2"/>
  <c r="AE758" i="2"/>
  <c r="AD758" i="2"/>
  <c r="AC758" i="2"/>
  <c r="AB758" i="2"/>
  <c r="AA758" i="2"/>
  <c r="Z758" i="2"/>
  <c r="Y758" i="2"/>
  <c r="V758" i="2"/>
  <c r="U758" i="2"/>
  <c r="T758" i="2"/>
  <c r="S758" i="2"/>
  <c r="R758" i="2"/>
  <c r="Q758" i="2"/>
  <c r="P758" i="2"/>
  <c r="O758" i="2"/>
  <c r="N758" i="2"/>
  <c r="K758" i="2"/>
  <c r="J758" i="2"/>
  <c r="I758" i="2"/>
  <c r="H758" i="2"/>
  <c r="G758" i="2"/>
  <c r="F758" i="2"/>
  <c r="E758" i="2"/>
  <c r="D758" i="2"/>
  <c r="C758" i="2"/>
  <c r="B758" i="2"/>
  <c r="A758" i="2"/>
  <c r="AJ757" i="2"/>
  <c r="AI757" i="2"/>
  <c r="AH757" i="2"/>
  <c r="AG757" i="2"/>
  <c r="AF757" i="2"/>
  <c r="AE757" i="2"/>
  <c r="AD757" i="2"/>
  <c r="AC757" i="2"/>
  <c r="AB757" i="2"/>
  <c r="AA757" i="2"/>
  <c r="Z757" i="2"/>
  <c r="Y757" i="2"/>
  <c r="X757" i="2"/>
  <c r="W757" i="2"/>
  <c r="V757" i="2"/>
  <c r="U757" i="2"/>
  <c r="T757" i="2"/>
  <c r="S757" i="2"/>
  <c r="R757" i="2"/>
  <c r="Q757" i="2"/>
  <c r="P757" i="2"/>
  <c r="O757" i="2"/>
  <c r="N757" i="2"/>
  <c r="K757" i="2"/>
  <c r="J757" i="2"/>
  <c r="I757" i="2"/>
  <c r="H757" i="2"/>
  <c r="G757" i="2"/>
  <c r="F757" i="2"/>
  <c r="E757" i="2"/>
  <c r="D757" i="2"/>
  <c r="C757" i="2"/>
  <c r="B757" i="2"/>
  <c r="A757" i="2"/>
  <c r="AJ756" i="2"/>
  <c r="AI756" i="2"/>
  <c r="AH756" i="2"/>
  <c r="AG756" i="2"/>
  <c r="AF756" i="2"/>
  <c r="AE756" i="2"/>
  <c r="AD756" i="2"/>
  <c r="AC756" i="2"/>
  <c r="AA756" i="2"/>
  <c r="Z756" i="2"/>
  <c r="Y756" i="2"/>
  <c r="X756" i="2"/>
  <c r="W756" i="2"/>
  <c r="V756" i="2"/>
  <c r="U756" i="2"/>
  <c r="T756" i="2"/>
  <c r="S756" i="2"/>
  <c r="R756" i="2"/>
  <c r="Q756" i="2"/>
  <c r="P756" i="2"/>
  <c r="O756" i="2"/>
  <c r="N756" i="2"/>
  <c r="K756" i="2"/>
  <c r="J756" i="2"/>
  <c r="I756" i="2"/>
  <c r="H756" i="2"/>
  <c r="G756" i="2"/>
  <c r="F756" i="2"/>
  <c r="E756" i="2"/>
  <c r="D756" i="2"/>
  <c r="C756" i="2"/>
  <c r="B756" i="2"/>
  <c r="A756" i="2"/>
  <c r="AJ755" i="2"/>
  <c r="AI755" i="2"/>
  <c r="AH755" i="2"/>
  <c r="AG755" i="2"/>
  <c r="AF755" i="2"/>
  <c r="AE755" i="2"/>
  <c r="AD755" i="2"/>
  <c r="AC755" i="2"/>
  <c r="AB755" i="2"/>
  <c r="AA755" i="2"/>
  <c r="Z755" i="2"/>
  <c r="Y755" i="2"/>
  <c r="X755" i="2"/>
  <c r="W755" i="2"/>
  <c r="V755" i="2"/>
  <c r="U755" i="2"/>
  <c r="T755" i="2"/>
  <c r="S755" i="2"/>
  <c r="R755" i="2"/>
  <c r="Q755" i="2"/>
  <c r="P755" i="2"/>
  <c r="O755" i="2"/>
  <c r="N755" i="2"/>
  <c r="K755" i="2"/>
  <c r="J755" i="2"/>
  <c r="I755" i="2"/>
  <c r="H755" i="2"/>
  <c r="G755" i="2"/>
  <c r="F755" i="2"/>
  <c r="E755" i="2"/>
  <c r="D755" i="2"/>
  <c r="C755" i="2"/>
  <c r="B755" i="2"/>
  <c r="A755" i="2"/>
  <c r="AJ754" i="2"/>
  <c r="AI754" i="2"/>
  <c r="AH754" i="2"/>
  <c r="AG754" i="2"/>
  <c r="AF754" i="2"/>
  <c r="AE754" i="2"/>
  <c r="AD754" i="2"/>
  <c r="AC754" i="2"/>
  <c r="AB754" i="2"/>
  <c r="AA754" i="2"/>
  <c r="Z754" i="2"/>
  <c r="Y754" i="2"/>
  <c r="X754" i="2"/>
  <c r="W754" i="2"/>
  <c r="V754" i="2"/>
  <c r="U754" i="2"/>
  <c r="T754" i="2"/>
  <c r="S754" i="2"/>
  <c r="R754" i="2"/>
  <c r="Q754" i="2"/>
  <c r="P754" i="2"/>
  <c r="O754" i="2"/>
  <c r="N754" i="2"/>
  <c r="K754" i="2"/>
  <c r="J754" i="2"/>
  <c r="I754" i="2"/>
  <c r="H754" i="2"/>
  <c r="G754" i="2"/>
  <c r="F754" i="2"/>
  <c r="E754" i="2"/>
  <c r="D754" i="2"/>
  <c r="C754" i="2"/>
  <c r="B754" i="2"/>
  <c r="A754" i="2"/>
  <c r="AJ753" i="2"/>
  <c r="AI753" i="2"/>
  <c r="AH753" i="2"/>
  <c r="AG753" i="2"/>
  <c r="AF753" i="2"/>
  <c r="AE753" i="2"/>
  <c r="AD753" i="2"/>
  <c r="AC753" i="2"/>
  <c r="AB753" i="2"/>
  <c r="AA753" i="2"/>
  <c r="Z753" i="2"/>
  <c r="Y753" i="2"/>
  <c r="X753" i="2"/>
  <c r="W753" i="2"/>
  <c r="V753" i="2"/>
  <c r="U753" i="2"/>
  <c r="T753" i="2"/>
  <c r="S753" i="2"/>
  <c r="R753" i="2"/>
  <c r="Q753" i="2"/>
  <c r="P753" i="2"/>
  <c r="O753" i="2"/>
  <c r="N753" i="2"/>
  <c r="K753" i="2"/>
  <c r="J753" i="2"/>
  <c r="I753" i="2"/>
  <c r="H753" i="2"/>
  <c r="G753" i="2"/>
  <c r="F753" i="2"/>
  <c r="E753" i="2"/>
  <c r="D753" i="2"/>
  <c r="C753" i="2"/>
  <c r="B753" i="2"/>
  <c r="A753" i="2"/>
  <c r="AJ752" i="2"/>
  <c r="AI752" i="2"/>
  <c r="AH752" i="2"/>
  <c r="AF752" i="2"/>
  <c r="AE752" i="2"/>
  <c r="AD752" i="2"/>
  <c r="AC752" i="2"/>
  <c r="AB752" i="2"/>
  <c r="AA752" i="2"/>
  <c r="Z752" i="2"/>
  <c r="Y752" i="2"/>
  <c r="X752" i="2"/>
  <c r="W752" i="2"/>
  <c r="V752" i="2"/>
  <c r="U752" i="2"/>
  <c r="T752" i="2"/>
  <c r="S752" i="2"/>
  <c r="R752" i="2"/>
  <c r="Q752" i="2"/>
  <c r="P752" i="2"/>
  <c r="O752" i="2"/>
  <c r="N752" i="2"/>
  <c r="K752" i="2"/>
  <c r="J752" i="2"/>
  <c r="I752" i="2"/>
  <c r="H752" i="2"/>
  <c r="G752" i="2"/>
  <c r="F752" i="2"/>
  <c r="E752" i="2"/>
  <c r="D752" i="2"/>
  <c r="C752" i="2"/>
  <c r="B752" i="2"/>
  <c r="A752" i="2"/>
  <c r="AJ751" i="2"/>
  <c r="AI751" i="2"/>
  <c r="AH751" i="2"/>
  <c r="AG751" i="2"/>
  <c r="AF751" i="2"/>
  <c r="AE751" i="2"/>
  <c r="AD751" i="2"/>
  <c r="AC751" i="2"/>
  <c r="AB751" i="2"/>
  <c r="AA751" i="2"/>
  <c r="Z751" i="2"/>
  <c r="Y751" i="2"/>
  <c r="X751" i="2"/>
  <c r="W751" i="2"/>
  <c r="V751" i="2"/>
  <c r="U751" i="2"/>
  <c r="T751" i="2"/>
  <c r="S751" i="2"/>
  <c r="R751" i="2"/>
  <c r="Q751" i="2"/>
  <c r="P751" i="2"/>
  <c r="O751" i="2"/>
  <c r="N751" i="2"/>
  <c r="K751" i="2"/>
  <c r="J751" i="2"/>
  <c r="I751" i="2"/>
  <c r="H751" i="2"/>
  <c r="G751" i="2"/>
  <c r="F751" i="2"/>
  <c r="E751" i="2"/>
  <c r="D751" i="2"/>
  <c r="C751" i="2"/>
  <c r="B751" i="2"/>
  <c r="A751" i="2"/>
  <c r="AJ750" i="2"/>
  <c r="AI750" i="2"/>
  <c r="AH750" i="2"/>
  <c r="AG750" i="2"/>
  <c r="AF750" i="2"/>
  <c r="AE750" i="2"/>
  <c r="AD750" i="2"/>
  <c r="AC750" i="2"/>
  <c r="AB750" i="2"/>
  <c r="AA750" i="2"/>
  <c r="Z750" i="2"/>
  <c r="Y750" i="2"/>
  <c r="X750" i="2"/>
  <c r="W750" i="2"/>
  <c r="V750" i="2"/>
  <c r="U750" i="2"/>
  <c r="T750" i="2"/>
  <c r="S750" i="2"/>
  <c r="R750" i="2"/>
  <c r="Q750" i="2"/>
  <c r="P750" i="2"/>
  <c r="O750" i="2"/>
  <c r="N750" i="2"/>
  <c r="K750" i="2"/>
  <c r="J750" i="2"/>
  <c r="I750" i="2"/>
  <c r="H750" i="2"/>
  <c r="G750" i="2"/>
  <c r="F750" i="2"/>
  <c r="E750" i="2"/>
  <c r="D750" i="2"/>
  <c r="C750" i="2"/>
  <c r="B750" i="2"/>
  <c r="A750" i="2"/>
  <c r="AJ749" i="2"/>
  <c r="AI749" i="2"/>
  <c r="AH749" i="2"/>
  <c r="AG749" i="2"/>
  <c r="AF749" i="2"/>
  <c r="AE749" i="2"/>
  <c r="AD749" i="2"/>
  <c r="AC749" i="2"/>
  <c r="AB749" i="2"/>
  <c r="AA749" i="2"/>
  <c r="Z749" i="2"/>
  <c r="Y749" i="2"/>
  <c r="X749" i="2"/>
  <c r="W749" i="2"/>
  <c r="V749" i="2"/>
  <c r="U749" i="2"/>
  <c r="T749" i="2"/>
  <c r="S749" i="2"/>
  <c r="R749" i="2"/>
  <c r="Q749" i="2"/>
  <c r="P749" i="2"/>
  <c r="O749" i="2"/>
  <c r="N749" i="2"/>
  <c r="K749" i="2"/>
  <c r="J749" i="2"/>
  <c r="I749" i="2"/>
  <c r="H749" i="2"/>
  <c r="G749" i="2"/>
  <c r="F749" i="2"/>
  <c r="E749" i="2"/>
  <c r="D749" i="2"/>
  <c r="C749" i="2"/>
  <c r="B749" i="2"/>
  <c r="A749" i="2"/>
  <c r="AJ748" i="2"/>
  <c r="AI748" i="2"/>
  <c r="AH748" i="2"/>
  <c r="AG748" i="2"/>
  <c r="AF748" i="2"/>
  <c r="AE748" i="2"/>
  <c r="AD748" i="2"/>
  <c r="AB748" i="2"/>
  <c r="AA748" i="2"/>
  <c r="Z748" i="2"/>
  <c r="Y748" i="2"/>
  <c r="W748" i="2"/>
  <c r="V748" i="2"/>
  <c r="U748" i="2"/>
  <c r="T748" i="2"/>
  <c r="S748" i="2"/>
  <c r="R748" i="2"/>
  <c r="Q748" i="2"/>
  <c r="P748" i="2"/>
  <c r="O748" i="2"/>
  <c r="N748" i="2"/>
  <c r="K748" i="2"/>
  <c r="J748" i="2"/>
  <c r="I748" i="2"/>
  <c r="H748" i="2"/>
  <c r="G748" i="2"/>
  <c r="F748" i="2"/>
  <c r="E748" i="2"/>
  <c r="D748" i="2"/>
  <c r="C748" i="2"/>
  <c r="B748" i="2"/>
  <c r="A748" i="2"/>
  <c r="AJ747" i="2"/>
  <c r="AI747" i="2"/>
  <c r="AG747" i="2"/>
  <c r="AF747" i="2"/>
  <c r="AE747" i="2"/>
  <c r="AD747" i="2"/>
  <c r="AB747" i="2"/>
  <c r="AA747" i="2"/>
  <c r="Z747" i="2"/>
  <c r="Y747" i="2"/>
  <c r="X747" i="2"/>
  <c r="W747" i="2"/>
  <c r="V747" i="2"/>
  <c r="U747" i="2"/>
  <c r="T747" i="2"/>
  <c r="S747" i="2"/>
  <c r="R747" i="2"/>
  <c r="Q747" i="2"/>
  <c r="P747" i="2"/>
  <c r="O747" i="2"/>
  <c r="N747" i="2"/>
  <c r="M747" i="2"/>
  <c r="L747" i="2"/>
  <c r="K747" i="2"/>
  <c r="J747" i="2"/>
  <c r="I747" i="2"/>
  <c r="H747" i="2"/>
  <c r="G747" i="2"/>
  <c r="F747" i="2"/>
  <c r="E747" i="2"/>
  <c r="D747" i="2"/>
  <c r="C747" i="2"/>
  <c r="B747" i="2"/>
  <c r="A747" i="2"/>
  <c r="AJ746" i="2"/>
  <c r="AI746" i="2"/>
  <c r="AH746" i="2"/>
  <c r="AG746" i="2"/>
  <c r="AF746" i="2"/>
  <c r="AE746" i="2"/>
  <c r="AD746" i="2"/>
  <c r="AC746" i="2"/>
  <c r="AB746" i="2"/>
  <c r="AA746" i="2"/>
  <c r="Z746" i="2"/>
  <c r="Y746" i="2"/>
  <c r="X746" i="2"/>
  <c r="W746" i="2"/>
  <c r="V746" i="2"/>
  <c r="U746" i="2"/>
  <c r="T746" i="2"/>
  <c r="S746" i="2"/>
  <c r="R746" i="2"/>
  <c r="Q746" i="2"/>
  <c r="P746" i="2"/>
  <c r="O746" i="2"/>
  <c r="N746" i="2"/>
  <c r="K746" i="2"/>
  <c r="J746" i="2"/>
  <c r="I746" i="2"/>
  <c r="H746" i="2"/>
  <c r="G746" i="2"/>
  <c r="F746" i="2"/>
  <c r="E746" i="2"/>
  <c r="D746" i="2"/>
  <c r="C746" i="2"/>
  <c r="B746" i="2"/>
  <c r="A746" i="2"/>
  <c r="AJ745" i="2"/>
  <c r="AI745" i="2"/>
  <c r="AH745" i="2"/>
  <c r="AG745" i="2"/>
  <c r="AF745" i="2"/>
  <c r="AE745" i="2"/>
  <c r="AD745" i="2"/>
  <c r="AC745" i="2"/>
  <c r="AB745" i="2"/>
  <c r="AA745" i="2"/>
  <c r="Z745" i="2"/>
  <c r="Y745" i="2"/>
  <c r="X745" i="2"/>
  <c r="W745" i="2"/>
  <c r="V745" i="2"/>
  <c r="U745" i="2"/>
  <c r="T745" i="2"/>
  <c r="S745" i="2"/>
  <c r="R745" i="2"/>
  <c r="Q745" i="2"/>
  <c r="P745" i="2"/>
  <c r="O745" i="2"/>
  <c r="N745" i="2"/>
  <c r="K745" i="2"/>
  <c r="J745" i="2"/>
  <c r="I745" i="2"/>
  <c r="H745" i="2"/>
  <c r="G745" i="2"/>
  <c r="F745" i="2"/>
  <c r="E745" i="2"/>
  <c r="D745" i="2"/>
  <c r="C745" i="2"/>
  <c r="B745" i="2"/>
  <c r="A745" i="2"/>
  <c r="AJ744" i="2"/>
  <c r="AI744" i="2"/>
  <c r="AH744" i="2"/>
  <c r="AG744" i="2"/>
  <c r="AF744" i="2"/>
  <c r="AE744" i="2"/>
  <c r="AD744" i="2"/>
  <c r="AB744" i="2"/>
  <c r="AA744" i="2"/>
  <c r="Z744" i="2"/>
  <c r="Y744" i="2"/>
  <c r="X744" i="2"/>
  <c r="V744" i="2"/>
  <c r="U744" i="2"/>
  <c r="T744" i="2"/>
  <c r="S744" i="2"/>
  <c r="R744" i="2"/>
  <c r="Q744" i="2"/>
  <c r="P744" i="2"/>
  <c r="O744" i="2"/>
  <c r="N744" i="2"/>
  <c r="K744" i="2"/>
  <c r="J744" i="2"/>
  <c r="I744" i="2"/>
  <c r="H744" i="2"/>
  <c r="G744" i="2"/>
  <c r="F744" i="2"/>
  <c r="E744" i="2"/>
  <c r="D744" i="2"/>
  <c r="C744" i="2"/>
  <c r="B744" i="2"/>
  <c r="A744" i="2"/>
  <c r="AJ743" i="2"/>
  <c r="AI743" i="2"/>
  <c r="AH743" i="2"/>
  <c r="AG743" i="2"/>
  <c r="AF743" i="2"/>
  <c r="AE743" i="2"/>
  <c r="AD743" i="2"/>
  <c r="AC743" i="2"/>
  <c r="AA743" i="2"/>
  <c r="Z743" i="2"/>
  <c r="Y743" i="2"/>
  <c r="X743" i="2"/>
  <c r="W743" i="2"/>
  <c r="V743" i="2"/>
  <c r="U743" i="2"/>
  <c r="T743" i="2"/>
  <c r="S743" i="2"/>
  <c r="R743" i="2"/>
  <c r="Q743" i="2"/>
  <c r="P743" i="2"/>
  <c r="O743" i="2"/>
  <c r="N743" i="2"/>
  <c r="K743" i="2"/>
  <c r="J743" i="2"/>
  <c r="I743" i="2"/>
  <c r="H743" i="2"/>
  <c r="G743" i="2"/>
  <c r="F743" i="2"/>
  <c r="E743" i="2"/>
  <c r="D743" i="2"/>
  <c r="C743" i="2"/>
  <c r="B743" i="2"/>
  <c r="A743" i="2"/>
  <c r="AJ742" i="2"/>
  <c r="AI742" i="2"/>
  <c r="AH742" i="2"/>
  <c r="AG742" i="2"/>
  <c r="AF742" i="2"/>
  <c r="AE742" i="2"/>
  <c r="AD742" i="2"/>
  <c r="AA742" i="2"/>
  <c r="Z742" i="2"/>
  <c r="Y742" i="2"/>
  <c r="X742" i="2"/>
  <c r="W742" i="2"/>
  <c r="V742" i="2"/>
  <c r="U742" i="2"/>
  <c r="T742" i="2"/>
  <c r="S742" i="2"/>
  <c r="R742" i="2"/>
  <c r="Q742" i="2"/>
  <c r="P742" i="2"/>
  <c r="O742" i="2"/>
  <c r="N742" i="2"/>
  <c r="K742" i="2"/>
  <c r="J742" i="2"/>
  <c r="I742" i="2"/>
  <c r="H742" i="2"/>
  <c r="G742" i="2"/>
  <c r="F742" i="2"/>
  <c r="E742" i="2"/>
  <c r="D742" i="2"/>
  <c r="C742" i="2"/>
  <c r="B742" i="2"/>
  <c r="A742" i="2"/>
  <c r="AJ741" i="2"/>
  <c r="AI741" i="2"/>
  <c r="AH741" i="2"/>
  <c r="AG741" i="2"/>
  <c r="AF741" i="2"/>
  <c r="AE741" i="2"/>
  <c r="AD741" i="2"/>
  <c r="AB741" i="2"/>
  <c r="AA741" i="2"/>
  <c r="Z741" i="2"/>
  <c r="Y741" i="2"/>
  <c r="X741" i="2"/>
  <c r="V741" i="2"/>
  <c r="U741" i="2"/>
  <c r="T741" i="2"/>
  <c r="S741" i="2"/>
  <c r="R741" i="2"/>
  <c r="Q741" i="2"/>
  <c r="P741" i="2"/>
  <c r="O741" i="2"/>
  <c r="N741" i="2"/>
  <c r="K741" i="2"/>
  <c r="J741" i="2"/>
  <c r="I741" i="2"/>
  <c r="H741" i="2"/>
  <c r="G741" i="2"/>
  <c r="F741" i="2"/>
  <c r="E741" i="2"/>
  <c r="D741" i="2"/>
  <c r="C741" i="2"/>
  <c r="B741" i="2"/>
  <c r="A741" i="2"/>
  <c r="AJ740" i="2"/>
  <c r="AH740" i="2"/>
  <c r="AG740" i="2"/>
  <c r="AF740" i="2"/>
  <c r="AE740" i="2"/>
  <c r="AD740" i="2"/>
  <c r="AC740" i="2"/>
  <c r="AA740" i="2"/>
  <c r="Z740" i="2"/>
  <c r="Y740" i="2"/>
  <c r="X740" i="2"/>
  <c r="W740" i="2"/>
  <c r="V740" i="2"/>
  <c r="U740" i="2"/>
  <c r="T740" i="2"/>
  <c r="S740" i="2"/>
  <c r="R740" i="2"/>
  <c r="Q740" i="2"/>
  <c r="P740" i="2"/>
  <c r="O740" i="2"/>
  <c r="N740" i="2"/>
  <c r="K740" i="2"/>
  <c r="J740" i="2"/>
  <c r="I740" i="2"/>
  <c r="H740" i="2"/>
  <c r="G740" i="2"/>
  <c r="F740" i="2"/>
  <c r="E740" i="2"/>
  <c r="D740" i="2"/>
  <c r="C740" i="2"/>
  <c r="B740" i="2"/>
  <c r="A740" i="2"/>
  <c r="AJ739" i="2"/>
  <c r="AI739" i="2"/>
  <c r="AH739" i="2"/>
  <c r="AG739" i="2"/>
  <c r="AF739" i="2"/>
  <c r="AE739" i="2"/>
  <c r="AD739" i="2"/>
  <c r="AC739" i="2"/>
  <c r="AB739" i="2"/>
  <c r="AA739" i="2"/>
  <c r="Z739" i="2"/>
  <c r="Y739" i="2"/>
  <c r="X739" i="2"/>
  <c r="W739" i="2"/>
  <c r="V739" i="2"/>
  <c r="U739" i="2"/>
  <c r="T739" i="2"/>
  <c r="S739" i="2"/>
  <c r="R739" i="2"/>
  <c r="Q739" i="2"/>
  <c r="P739" i="2"/>
  <c r="O739" i="2"/>
  <c r="N739" i="2"/>
  <c r="K739" i="2"/>
  <c r="J739" i="2"/>
  <c r="I739" i="2"/>
  <c r="H739" i="2"/>
  <c r="G739" i="2"/>
  <c r="F739" i="2"/>
  <c r="E739" i="2"/>
  <c r="D739" i="2"/>
  <c r="C739" i="2"/>
  <c r="B739" i="2"/>
  <c r="A739" i="2"/>
  <c r="AJ738" i="2"/>
  <c r="AI738" i="2"/>
  <c r="AH738" i="2"/>
  <c r="AF738" i="2"/>
  <c r="AE738" i="2"/>
  <c r="AD738" i="2"/>
  <c r="AC738" i="2"/>
  <c r="AB738" i="2"/>
  <c r="AA738" i="2"/>
  <c r="Z738" i="2"/>
  <c r="Y738" i="2"/>
  <c r="X738" i="2"/>
  <c r="W738" i="2"/>
  <c r="V738" i="2"/>
  <c r="U738" i="2"/>
  <c r="T738" i="2"/>
  <c r="S738" i="2"/>
  <c r="R738" i="2"/>
  <c r="Q738" i="2"/>
  <c r="P738" i="2"/>
  <c r="O738" i="2"/>
  <c r="N738" i="2"/>
  <c r="M738" i="2"/>
  <c r="L738" i="2"/>
  <c r="K738" i="2"/>
  <c r="J738" i="2"/>
  <c r="I738" i="2"/>
  <c r="H738" i="2"/>
  <c r="G738" i="2"/>
  <c r="F738" i="2"/>
  <c r="E738" i="2"/>
  <c r="D738" i="2"/>
  <c r="C738" i="2"/>
  <c r="B738" i="2"/>
  <c r="A738" i="2"/>
  <c r="AJ737" i="2"/>
  <c r="AI737" i="2"/>
  <c r="AH737" i="2"/>
  <c r="AF737" i="2"/>
  <c r="AE737" i="2"/>
  <c r="AD737" i="2"/>
  <c r="AC737" i="2"/>
  <c r="AB737" i="2"/>
  <c r="AA737" i="2"/>
  <c r="Y737" i="2"/>
  <c r="X737" i="2"/>
  <c r="W737" i="2"/>
  <c r="V737" i="2"/>
  <c r="U737" i="2"/>
  <c r="T737" i="2"/>
  <c r="S737" i="2"/>
  <c r="R737" i="2"/>
  <c r="Q737" i="2"/>
  <c r="P737" i="2"/>
  <c r="O737" i="2"/>
  <c r="N737" i="2"/>
  <c r="M737" i="2"/>
  <c r="K737" i="2"/>
  <c r="J737" i="2"/>
  <c r="I737" i="2"/>
  <c r="H737" i="2"/>
  <c r="G737" i="2"/>
  <c r="F737" i="2"/>
  <c r="E737" i="2"/>
  <c r="D737" i="2"/>
  <c r="C737" i="2"/>
  <c r="B737" i="2"/>
  <c r="A737" i="2"/>
  <c r="AJ736" i="2"/>
  <c r="AH736" i="2"/>
  <c r="AG736" i="2"/>
  <c r="AF736" i="2"/>
  <c r="AE736" i="2"/>
  <c r="AD736" i="2"/>
  <c r="AA736" i="2"/>
  <c r="Z736" i="2"/>
  <c r="Y736" i="2"/>
  <c r="X736" i="2"/>
  <c r="W736" i="2"/>
  <c r="V736" i="2"/>
  <c r="U736" i="2"/>
  <c r="T736" i="2"/>
  <c r="S736" i="2"/>
  <c r="R736" i="2"/>
  <c r="Q736" i="2"/>
  <c r="P736" i="2"/>
  <c r="O736" i="2"/>
  <c r="N736" i="2"/>
  <c r="K736" i="2"/>
  <c r="J736" i="2"/>
  <c r="I736" i="2"/>
  <c r="H736" i="2"/>
  <c r="G736" i="2"/>
  <c r="F736" i="2"/>
  <c r="E736" i="2"/>
  <c r="D736" i="2"/>
  <c r="C736" i="2"/>
  <c r="B736" i="2"/>
  <c r="A736" i="2"/>
  <c r="AJ735" i="2"/>
  <c r="AH735" i="2"/>
  <c r="AG735" i="2"/>
  <c r="AF735" i="2"/>
  <c r="AE735" i="2"/>
  <c r="AD735" i="2"/>
  <c r="AB735" i="2"/>
  <c r="AA735" i="2"/>
  <c r="Z735" i="2"/>
  <c r="Y735" i="2"/>
  <c r="X735" i="2"/>
  <c r="W735" i="2"/>
  <c r="V735" i="2"/>
  <c r="U735" i="2"/>
  <c r="T735" i="2"/>
  <c r="S735" i="2"/>
  <c r="R735" i="2"/>
  <c r="Q735" i="2"/>
  <c r="P735" i="2"/>
  <c r="O735" i="2"/>
  <c r="N735" i="2"/>
  <c r="K735" i="2"/>
  <c r="J735" i="2"/>
  <c r="I735" i="2"/>
  <c r="H735" i="2"/>
  <c r="G735" i="2"/>
  <c r="F735" i="2"/>
  <c r="E735" i="2"/>
  <c r="D735" i="2"/>
  <c r="C735" i="2"/>
  <c r="B735" i="2"/>
  <c r="A735" i="2"/>
  <c r="AJ734" i="2"/>
  <c r="AI734" i="2"/>
  <c r="AH734" i="2"/>
  <c r="AG734" i="2"/>
  <c r="AF734" i="2"/>
  <c r="AE734" i="2"/>
  <c r="AD734" i="2"/>
  <c r="AC734" i="2"/>
  <c r="AB734" i="2"/>
  <c r="AA734" i="2"/>
  <c r="Z734" i="2"/>
  <c r="Y734" i="2"/>
  <c r="X734" i="2"/>
  <c r="W734" i="2"/>
  <c r="V734" i="2"/>
  <c r="U734" i="2"/>
  <c r="T734" i="2"/>
  <c r="S734" i="2"/>
  <c r="R734" i="2"/>
  <c r="Q734" i="2"/>
  <c r="P734" i="2"/>
  <c r="O734" i="2"/>
  <c r="N734" i="2"/>
  <c r="K734" i="2"/>
  <c r="J734" i="2"/>
  <c r="I734" i="2"/>
  <c r="H734" i="2"/>
  <c r="G734" i="2"/>
  <c r="F734" i="2"/>
  <c r="E734" i="2"/>
  <c r="D734" i="2"/>
  <c r="C734" i="2"/>
  <c r="B734" i="2"/>
  <c r="A734" i="2"/>
  <c r="AJ733" i="2"/>
  <c r="AI733" i="2"/>
  <c r="AH733" i="2"/>
  <c r="AG733" i="2"/>
  <c r="AF733" i="2"/>
  <c r="AE733" i="2"/>
  <c r="AD733" i="2"/>
  <c r="AC733" i="2"/>
  <c r="AB733" i="2"/>
  <c r="AA733" i="2"/>
  <c r="Z733" i="2"/>
  <c r="Y733" i="2"/>
  <c r="X733" i="2"/>
  <c r="W733" i="2"/>
  <c r="V733" i="2"/>
  <c r="U733" i="2"/>
  <c r="T733" i="2"/>
  <c r="S733" i="2"/>
  <c r="R733" i="2"/>
  <c r="Q733" i="2"/>
  <c r="P733" i="2"/>
  <c r="O733" i="2"/>
  <c r="N733" i="2"/>
  <c r="K733" i="2"/>
  <c r="J733" i="2"/>
  <c r="I733" i="2"/>
  <c r="H733" i="2"/>
  <c r="G733" i="2"/>
  <c r="F733" i="2"/>
  <c r="E733" i="2"/>
  <c r="D733" i="2"/>
  <c r="C733" i="2"/>
  <c r="B733" i="2"/>
  <c r="A733" i="2"/>
  <c r="AJ732" i="2"/>
  <c r="AI732" i="2"/>
  <c r="AH732" i="2"/>
  <c r="AG732" i="2"/>
  <c r="AF732" i="2"/>
  <c r="AE732" i="2"/>
  <c r="AD732" i="2"/>
  <c r="AC732" i="2"/>
  <c r="AA732" i="2"/>
  <c r="Z732" i="2"/>
  <c r="Y732" i="2"/>
  <c r="X732" i="2"/>
  <c r="W732" i="2"/>
  <c r="V732" i="2"/>
  <c r="U732" i="2"/>
  <c r="T732" i="2"/>
  <c r="S732" i="2"/>
  <c r="R732" i="2"/>
  <c r="Q732" i="2"/>
  <c r="P732" i="2"/>
  <c r="O732" i="2"/>
  <c r="N732" i="2"/>
  <c r="M732" i="2"/>
  <c r="L732" i="2"/>
  <c r="K732" i="2"/>
  <c r="J732" i="2"/>
  <c r="I732" i="2"/>
  <c r="H732" i="2"/>
  <c r="G732" i="2"/>
  <c r="F732" i="2"/>
  <c r="E732" i="2"/>
  <c r="D732" i="2"/>
  <c r="C732" i="2"/>
  <c r="B732" i="2"/>
  <c r="A732" i="2"/>
  <c r="AJ731" i="2"/>
  <c r="AI731" i="2"/>
  <c r="AH731" i="2"/>
  <c r="AG731" i="2"/>
  <c r="AF731" i="2"/>
  <c r="AE731" i="2"/>
  <c r="AD731" i="2"/>
  <c r="AC731" i="2"/>
  <c r="AB731" i="2"/>
  <c r="AA731" i="2"/>
  <c r="Z731" i="2"/>
  <c r="Y731" i="2"/>
  <c r="X731" i="2"/>
  <c r="V731" i="2"/>
  <c r="U731" i="2"/>
  <c r="T731" i="2"/>
  <c r="S731" i="2"/>
  <c r="R731" i="2"/>
  <c r="Q731" i="2"/>
  <c r="P731" i="2"/>
  <c r="O731" i="2"/>
  <c r="N731" i="2"/>
  <c r="K731" i="2"/>
  <c r="J731" i="2"/>
  <c r="I731" i="2"/>
  <c r="H731" i="2"/>
  <c r="G731" i="2"/>
  <c r="F731" i="2"/>
  <c r="E731" i="2"/>
  <c r="D731" i="2"/>
  <c r="C731" i="2"/>
  <c r="B731" i="2"/>
  <c r="A731" i="2"/>
  <c r="AJ730" i="2"/>
  <c r="AI730" i="2"/>
  <c r="AH730" i="2"/>
  <c r="AG730" i="2"/>
  <c r="AF730" i="2"/>
  <c r="AE730" i="2"/>
  <c r="AD730" i="2"/>
  <c r="AB730" i="2"/>
  <c r="AA730" i="2"/>
  <c r="Z730" i="2"/>
  <c r="Y730" i="2"/>
  <c r="X730" i="2"/>
  <c r="W730" i="2"/>
  <c r="V730" i="2"/>
  <c r="U730" i="2"/>
  <c r="T730" i="2"/>
  <c r="S730" i="2"/>
  <c r="R730" i="2"/>
  <c r="Q730" i="2"/>
  <c r="P730" i="2"/>
  <c r="O730" i="2"/>
  <c r="N730" i="2"/>
  <c r="K730" i="2"/>
  <c r="J730" i="2"/>
  <c r="I730" i="2"/>
  <c r="H730" i="2"/>
  <c r="G730" i="2"/>
  <c r="F730" i="2"/>
  <c r="E730" i="2"/>
  <c r="D730" i="2"/>
  <c r="C730" i="2"/>
  <c r="B730" i="2"/>
  <c r="A730" i="2"/>
  <c r="AJ729" i="2"/>
  <c r="AI729" i="2"/>
  <c r="AH729" i="2"/>
  <c r="AG729" i="2"/>
  <c r="AF729" i="2"/>
  <c r="AE729" i="2"/>
  <c r="AD729" i="2"/>
  <c r="AC729" i="2"/>
  <c r="AB729" i="2"/>
  <c r="AA729" i="2"/>
  <c r="Z729" i="2"/>
  <c r="Y729" i="2"/>
  <c r="X729" i="2"/>
  <c r="W729" i="2"/>
  <c r="V729" i="2"/>
  <c r="U729" i="2"/>
  <c r="T729" i="2"/>
  <c r="S729" i="2"/>
  <c r="R729" i="2"/>
  <c r="Q729" i="2"/>
  <c r="P729" i="2"/>
  <c r="O729" i="2"/>
  <c r="N729" i="2"/>
  <c r="K729" i="2"/>
  <c r="J729" i="2"/>
  <c r="I729" i="2"/>
  <c r="H729" i="2"/>
  <c r="G729" i="2"/>
  <c r="F729" i="2"/>
  <c r="E729" i="2"/>
  <c r="D729" i="2"/>
  <c r="C729" i="2"/>
  <c r="B729" i="2"/>
  <c r="A729" i="2"/>
  <c r="AJ728" i="2"/>
  <c r="AI728" i="2"/>
  <c r="AH728" i="2"/>
  <c r="AG728" i="2"/>
  <c r="AF728" i="2"/>
  <c r="AE728" i="2"/>
  <c r="AD728" i="2"/>
  <c r="AC728" i="2"/>
  <c r="AB728" i="2"/>
  <c r="AA728" i="2"/>
  <c r="Z728" i="2"/>
  <c r="Y728" i="2"/>
  <c r="X728" i="2"/>
  <c r="W728" i="2"/>
  <c r="V728" i="2"/>
  <c r="U728" i="2"/>
  <c r="T728" i="2"/>
  <c r="S728" i="2"/>
  <c r="R728" i="2"/>
  <c r="Q728" i="2"/>
  <c r="P728" i="2"/>
  <c r="O728" i="2"/>
  <c r="N728" i="2"/>
  <c r="K728" i="2"/>
  <c r="J728" i="2"/>
  <c r="I728" i="2"/>
  <c r="H728" i="2"/>
  <c r="G728" i="2"/>
  <c r="F728" i="2"/>
  <c r="E728" i="2"/>
  <c r="D728" i="2"/>
  <c r="C728" i="2"/>
  <c r="B728" i="2"/>
  <c r="A728" i="2"/>
  <c r="AJ727" i="2"/>
  <c r="AI727" i="2"/>
  <c r="AH727" i="2"/>
  <c r="AG727" i="2"/>
  <c r="AF727" i="2"/>
  <c r="AE727" i="2"/>
  <c r="AD727" i="2"/>
  <c r="AC727" i="2"/>
  <c r="AB727" i="2"/>
  <c r="AA727" i="2"/>
  <c r="Z727" i="2"/>
  <c r="Y727" i="2"/>
  <c r="X727" i="2"/>
  <c r="W727" i="2"/>
  <c r="V727" i="2"/>
  <c r="U727" i="2"/>
  <c r="T727" i="2"/>
  <c r="S727" i="2"/>
  <c r="R727" i="2"/>
  <c r="Q727" i="2"/>
  <c r="P727" i="2"/>
  <c r="O727" i="2"/>
  <c r="N727" i="2"/>
  <c r="K727" i="2"/>
  <c r="J727" i="2"/>
  <c r="I727" i="2"/>
  <c r="H727" i="2"/>
  <c r="G727" i="2"/>
  <c r="F727" i="2"/>
  <c r="E727" i="2"/>
  <c r="D727" i="2"/>
  <c r="C727" i="2"/>
  <c r="B727" i="2"/>
  <c r="A727" i="2"/>
  <c r="AJ726" i="2"/>
  <c r="AI726" i="2"/>
  <c r="AH726" i="2"/>
  <c r="AG726" i="2"/>
  <c r="AF726" i="2"/>
  <c r="AE726" i="2"/>
  <c r="AD726" i="2"/>
  <c r="AA726" i="2"/>
  <c r="Z726" i="2"/>
  <c r="Y726" i="2"/>
  <c r="X726" i="2"/>
  <c r="W726" i="2"/>
  <c r="V726" i="2"/>
  <c r="U726" i="2"/>
  <c r="T726" i="2"/>
  <c r="S726" i="2"/>
  <c r="R726" i="2"/>
  <c r="Q726" i="2"/>
  <c r="P726" i="2"/>
  <c r="O726" i="2"/>
  <c r="N726" i="2"/>
  <c r="K726" i="2"/>
  <c r="J726" i="2"/>
  <c r="I726" i="2"/>
  <c r="H726" i="2"/>
  <c r="G726" i="2"/>
  <c r="F726" i="2"/>
  <c r="E726" i="2"/>
  <c r="D726" i="2"/>
  <c r="C726" i="2"/>
  <c r="B726" i="2"/>
  <c r="A726" i="2"/>
  <c r="AJ725" i="2"/>
  <c r="AI725" i="2"/>
  <c r="AH725" i="2"/>
  <c r="AG725" i="2"/>
  <c r="AF725" i="2"/>
  <c r="AE725" i="2"/>
  <c r="AD725" i="2"/>
  <c r="AC725" i="2"/>
  <c r="AB725" i="2"/>
  <c r="AA725" i="2"/>
  <c r="Z725" i="2"/>
  <c r="Y725" i="2"/>
  <c r="X725" i="2"/>
  <c r="W725" i="2"/>
  <c r="V725" i="2"/>
  <c r="U725" i="2"/>
  <c r="T725" i="2"/>
  <c r="S725" i="2"/>
  <c r="R725" i="2"/>
  <c r="Q725" i="2"/>
  <c r="P725" i="2"/>
  <c r="O725" i="2"/>
  <c r="N725" i="2"/>
  <c r="M725" i="2"/>
  <c r="L725" i="2"/>
  <c r="K725" i="2"/>
  <c r="J725" i="2"/>
  <c r="I725" i="2"/>
  <c r="H725" i="2"/>
  <c r="G725" i="2"/>
  <c r="F725" i="2"/>
  <c r="E725" i="2"/>
  <c r="D725" i="2"/>
  <c r="C725" i="2"/>
  <c r="B725" i="2"/>
  <c r="A725" i="2"/>
  <c r="AJ724" i="2"/>
  <c r="AH724" i="2"/>
  <c r="AG724" i="2"/>
  <c r="AF724" i="2"/>
  <c r="AE724" i="2"/>
  <c r="AD724" i="2"/>
  <c r="AA724" i="2"/>
  <c r="Z724" i="2"/>
  <c r="Y724" i="2"/>
  <c r="X724" i="2"/>
  <c r="W724" i="2"/>
  <c r="V724" i="2"/>
  <c r="U724" i="2"/>
  <c r="T724" i="2"/>
  <c r="S724" i="2"/>
  <c r="R724" i="2"/>
  <c r="Q724" i="2"/>
  <c r="P724" i="2"/>
  <c r="O724" i="2"/>
  <c r="N724" i="2"/>
  <c r="M724" i="2"/>
  <c r="K724" i="2"/>
  <c r="J724" i="2"/>
  <c r="I724" i="2"/>
  <c r="H724" i="2"/>
  <c r="G724" i="2"/>
  <c r="F724" i="2"/>
  <c r="E724" i="2"/>
  <c r="D724" i="2"/>
  <c r="C724" i="2"/>
  <c r="B724" i="2"/>
  <c r="A724" i="2"/>
  <c r="AJ723" i="2"/>
  <c r="AI723" i="2"/>
  <c r="AH723" i="2"/>
  <c r="AG723" i="2"/>
  <c r="AF723" i="2"/>
  <c r="AE723" i="2"/>
  <c r="AD723" i="2"/>
  <c r="AB723" i="2"/>
  <c r="AA723" i="2"/>
  <c r="Z723" i="2"/>
  <c r="Y723" i="2"/>
  <c r="X723" i="2"/>
  <c r="V723" i="2"/>
  <c r="U723" i="2"/>
  <c r="T723" i="2"/>
  <c r="S723" i="2"/>
  <c r="R723" i="2"/>
  <c r="Q723" i="2"/>
  <c r="P723" i="2"/>
  <c r="O723" i="2"/>
  <c r="N723" i="2"/>
  <c r="K723" i="2"/>
  <c r="J723" i="2"/>
  <c r="I723" i="2"/>
  <c r="H723" i="2"/>
  <c r="G723" i="2"/>
  <c r="F723" i="2"/>
  <c r="E723" i="2"/>
  <c r="D723" i="2"/>
  <c r="C723" i="2"/>
  <c r="B723" i="2"/>
  <c r="A723" i="2"/>
  <c r="AJ722" i="2"/>
  <c r="AI722" i="2"/>
  <c r="AH722" i="2"/>
  <c r="AG722" i="2"/>
  <c r="AF722" i="2"/>
  <c r="AE722" i="2"/>
  <c r="AD722" i="2"/>
  <c r="AC722" i="2"/>
  <c r="AB722" i="2"/>
  <c r="AA722" i="2"/>
  <c r="Z722" i="2"/>
  <c r="Y722" i="2"/>
  <c r="X722" i="2"/>
  <c r="W722" i="2"/>
  <c r="V722" i="2"/>
  <c r="U722" i="2"/>
  <c r="T722" i="2"/>
  <c r="S722" i="2"/>
  <c r="R722" i="2"/>
  <c r="Q722" i="2"/>
  <c r="P722" i="2"/>
  <c r="O722" i="2"/>
  <c r="N722" i="2"/>
  <c r="K722" i="2"/>
  <c r="J722" i="2"/>
  <c r="I722" i="2"/>
  <c r="H722" i="2"/>
  <c r="G722" i="2"/>
  <c r="F722" i="2"/>
  <c r="E722" i="2"/>
  <c r="D722" i="2"/>
  <c r="C722" i="2"/>
  <c r="B722" i="2"/>
  <c r="A722" i="2"/>
  <c r="AJ721" i="2"/>
  <c r="AH721" i="2"/>
  <c r="AG721" i="2"/>
  <c r="AF721" i="2"/>
  <c r="AE721" i="2"/>
  <c r="AD721" i="2"/>
  <c r="AB721" i="2"/>
  <c r="AA721" i="2"/>
  <c r="Z721" i="2"/>
  <c r="Y721" i="2"/>
  <c r="X721" i="2"/>
  <c r="W721" i="2"/>
  <c r="V721" i="2"/>
  <c r="U721" i="2"/>
  <c r="T721" i="2"/>
  <c r="S721" i="2"/>
  <c r="R721" i="2"/>
  <c r="Q721" i="2"/>
  <c r="P721" i="2"/>
  <c r="O721" i="2"/>
  <c r="N721" i="2"/>
  <c r="K721" i="2"/>
  <c r="J721" i="2"/>
  <c r="I721" i="2"/>
  <c r="H721" i="2"/>
  <c r="G721" i="2"/>
  <c r="F721" i="2"/>
  <c r="E721" i="2"/>
  <c r="D721" i="2"/>
  <c r="C721" i="2"/>
  <c r="B721" i="2"/>
  <c r="A721" i="2"/>
  <c r="AJ720" i="2"/>
  <c r="AI720" i="2"/>
  <c r="AH720" i="2"/>
  <c r="AG720" i="2"/>
  <c r="AF720" i="2"/>
  <c r="AE720" i="2"/>
  <c r="AD720" i="2"/>
  <c r="AC720" i="2"/>
  <c r="AB720" i="2"/>
  <c r="AA720" i="2"/>
  <c r="Z720" i="2"/>
  <c r="Y720" i="2"/>
  <c r="X720" i="2"/>
  <c r="W720" i="2"/>
  <c r="V720" i="2"/>
  <c r="U720" i="2"/>
  <c r="T720" i="2"/>
  <c r="S720" i="2"/>
  <c r="R720" i="2"/>
  <c r="Q720" i="2"/>
  <c r="P720" i="2"/>
  <c r="O720" i="2"/>
  <c r="N720" i="2"/>
  <c r="K720" i="2"/>
  <c r="J720" i="2"/>
  <c r="I720" i="2"/>
  <c r="H720" i="2"/>
  <c r="G720" i="2"/>
  <c r="F720" i="2"/>
  <c r="E720" i="2"/>
  <c r="D720" i="2"/>
  <c r="C720" i="2"/>
  <c r="B720" i="2"/>
  <c r="A720" i="2"/>
  <c r="AJ719" i="2"/>
  <c r="AI719" i="2"/>
  <c r="AH719" i="2"/>
  <c r="AG719" i="2"/>
  <c r="AF719" i="2"/>
  <c r="AE719" i="2"/>
  <c r="AD719" i="2"/>
  <c r="AC719" i="2"/>
  <c r="AB719" i="2"/>
  <c r="AA719" i="2"/>
  <c r="Z719" i="2"/>
  <c r="Y719" i="2"/>
  <c r="X719" i="2"/>
  <c r="W719" i="2"/>
  <c r="V719" i="2"/>
  <c r="U719" i="2"/>
  <c r="T719" i="2"/>
  <c r="S719" i="2"/>
  <c r="R719" i="2"/>
  <c r="Q719" i="2"/>
  <c r="P719" i="2"/>
  <c r="O719" i="2"/>
  <c r="N719" i="2"/>
  <c r="K719" i="2"/>
  <c r="J719" i="2"/>
  <c r="I719" i="2"/>
  <c r="H719" i="2"/>
  <c r="G719" i="2"/>
  <c r="F719" i="2"/>
  <c r="E719" i="2"/>
  <c r="D719" i="2"/>
  <c r="C719" i="2"/>
  <c r="B719" i="2"/>
  <c r="A719" i="2"/>
  <c r="AJ718" i="2"/>
  <c r="AH718" i="2"/>
  <c r="AG718" i="2"/>
  <c r="AF718" i="2"/>
  <c r="AE718" i="2"/>
  <c r="AD718" i="2"/>
  <c r="AB718" i="2"/>
  <c r="AA718" i="2"/>
  <c r="Z718" i="2"/>
  <c r="Y718" i="2"/>
  <c r="X718" i="2"/>
  <c r="W718" i="2"/>
  <c r="V718" i="2"/>
  <c r="U718" i="2"/>
  <c r="T718" i="2"/>
  <c r="S718" i="2"/>
  <c r="R718" i="2"/>
  <c r="Q718" i="2"/>
  <c r="P718" i="2"/>
  <c r="O718" i="2"/>
  <c r="N718" i="2"/>
  <c r="K718" i="2"/>
  <c r="J718" i="2"/>
  <c r="I718" i="2"/>
  <c r="H718" i="2"/>
  <c r="G718" i="2"/>
  <c r="F718" i="2"/>
  <c r="E718" i="2"/>
  <c r="D718" i="2"/>
  <c r="C718" i="2"/>
  <c r="B718" i="2"/>
  <c r="A718" i="2"/>
  <c r="AJ717" i="2"/>
  <c r="AI717" i="2"/>
  <c r="AH717" i="2"/>
  <c r="AG717" i="2"/>
  <c r="AF717" i="2"/>
  <c r="AE717" i="2"/>
  <c r="AD717" i="2"/>
  <c r="AA717" i="2"/>
  <c r="Z717" i="2"/>
  <c r="Y717" i="2"/>
  <c r="X717" i="2"/>
  <c r="W717" i="2"/>
  <c r="V717" i="2"/>
  <c r="U717" i="2"/>
  <c r="T717" i="2"/>
  <c r="S717" i="2"/>
  <c r="R717" i="2"/>
  <c r="Q717" i="2"/>
  <c r="P717" i="2"/>
  <c r="O717" i="2"/>
  <c r="N717" i="2"/>
  <c r="M717" i="2"/>
  <c r="L717" i="2"/>
  <c r="K717" i="2"/>
  <c r="J717" i="2"/>
  <c r="I717" i="2"/>
  <c r="H717" i="2"/>
  <c r="G717" i="2"/>
  <c r="F717" i="2"/>
  <c r="E717" i="2"/>
  <c r="D717" i="2"/>
  <c r="C717" i="2"/>
  <c r="B717" i="2"/>
  <c r="A717" i="2"/>
  <c r="AJ716" i="2"/>
  <c r="AH716" i="2"/>
  <c r="AG716" i="2"/>
  <c r="AF716" i="2"/>
  <c r="AE716" i="2"/>
  <c r="AD716" i="2"/>
  <c r="AA716" i="2"/>
  <c r="Z716" i="2"/>
  <c r="Y716" i="2"/>
  <c r="X716" i="2"/>
  <c r="W716" i="2"/>
  <c r="V716" i="2"/>
  <c r="U716" i="2"/>
  <c r="T716" i="2"/>
  <c r="S716" i="2"/>
  <c r="R716" i="2"/>
  <c r="Q716" i="2"/>
  <c r="P716" i="2"/>
  <c r="O716" i="2"/>
  <c r="N716" i="2"/>
  <c r="M716" i="2"/>
  <c r="L716" i="2"/>
  <c r="K716" i="2"/>
  <c r="J716" i="2"/>
  <c r="I716" i="2"/>
  <c r="H716" i="2"/>
  <c r="G716" i="2"/>
  <c r="F716" i="2"/>
  <c r="E716" i="2"/>
  <c r="D716" i="2"/>
  <c r="C716" i="2"/>
  <c r="B716" i="2"/>
  <c r="A716" i="2"/>
  <c r="AJ715" i="2"/>
  <c r="AI715" i="2"/>
  <c r="AH715" i="2"/>
  <c r="AG715" i="2"/>
  <c r="AF715" i="2"/>
  <c r="AE715" i="2"/>
  <c r="AD715" i="2"/>
  <c r="AC715" i="2"/>
  <c r="AB715" i="2"/>
  <c r="AA715" i="2"/>
  <c r="Z715" i="2"/>
  <c r="Y715" i="2"/>
  <c r="X715" i="2"/>
  <c r="W715" i="2"/>
  <c r="V715" i="2"/>
  <c r="U715" i="2"/>
  <c r="T715" i="2"/>
  <c r="S715" i="2"/>
  <c r="R715" i="2"/>
  <c r="Q715" i="2"/>
  <c r="P715" i="2"/>
  <c r="O715" i="2"/>
  <c r="N715" i="2"/>
  <c r="M715" i="2"/>
  <c r="L715" i="2"/>
  <c r="K715" i="2"/>
  <c r="J715" i="2"/>
  <c r="I715" i="2"/>
  <c r="H715" i="2"/>
  <c r="G715" i="2"/>
  <c r="F715" i="2"/>
  <c r="E715" i="2"/>
  <c r="D715" i="2"/>
  <c r="C715" i="2"/>
  <c r="B715" i="2"/>
  <c r="A715" i="2"/>
  <c r="AJ714" i="2"/>
  <c r="AH714" i="2"/>
  <c r="AG714" i="2"/>
  <c r="AF714" i="2"/>
  <c r="AE714" i="2"/>
  <c r="AD714" i="2"/>
  <c r="AC714" i="2"/>
  <c r="AA714" i="2"/>
  <c r="Z714" i="2"/>
  <c r="Y714" i="2"/>
  <c r="X714" i="2"/>
  <c r="W714" i="2"/>
  <c r="V714" i="2"/>
  <c r="U714" i="2"/>
  <c r="T714" i="2"/>
  <c r="S714" i="2"/>
  <c r="R714" i="2"/>
  <c r="Q714" i="2"/>
  <c r="P714" i="2"/>
  <c r="O714" i="2"/>
  <c r="N714" i="2"/>
  <c r="M714" i="2"/>
  <c r="L714" i="2"/>
  <c r="K714" i="2"/>
  <c r="J714" i="2"/>
  <c r="I714" i="2"/>
  <c r="H714" i="2"/>
  <c r="G714" i="2"/>
  <c r="F714" i="2"/>
  <c r="E714" i="2"/>
  <c r="D714" i="2"/>
  <c r="C714" i="2"/>
  <c r="B714" i="2"/>
  <c r="A714" i="2"/>
  <c r="AJ713" i="2"/>
  <c r="AI713" i="2"/>
  <c r="AH713" i="2"/>
  <c r="AG713" i="2"/>
  <c r="AF713" i="2"/>
  <c r="AE713" i="2"/>
  <c r="AD713" i="2"/>
  <c r="AC713" i="2"/>
  <c r="AB713" i="2"/>
  <c r="AA713" i="2"/>
  <c r="Z713" i="2"/>
  <c r="Y713" i="2"/>
  <c r="V713" i="2"/>
  <c r="U713" i="2"/>
  <c r="T713" i="2"/>
  <c r="S713" i="2"/>
  <c r="R713" i="2"/>
  <c r="Q713" i="2"/>
  <c r="P713" i="2"/>
  <c r="O713" i="2"/>
  <c r="N713" i="2"/>
  <c r="M713" i="2"/>
  <c r="L713" i="2"/>
  <c r="K713" i="2"/>
  <c r="J713" i="2"/>
  <c r="I713" i="2"/>
  <c r="H713" i="2"/>
  <c r="G713" i="2"/>
  <c r="F713" i="2"/>
  <c r="E713" i="2"/>
  <c r="D713" i="2"/>
  <c r="C713" i="2"/>
  <c r="B713" i="2"/>
  <c r="A713" i="2"/>
  <c r="AJ712" i="2"/>
  <c r="AI712" i="2"/>
  <c r="AH712" i="2"/>
  <c r="AG712" i="2"/>
  <c r="AF712" i="2"/>
  <c r="AE712" i="2"/>
  <c r="AD712" i="2"/>
  <c r="AC712" i="2"/>
  <c r="AA712" i="2"/>
  <c r="Z712" i="2"/>
  <c r="Y712" i="2"/>
  <c r="X712" i="2"/>
  <c r="W712" i="2"/>
  <c r="V712" i="2"/>
  <c r="U712" i="2"/>
  <c r="T712" i="2"/>
  <c r="S712" i="2"/>
  <c r="R712" i="2"/>
  <c r="Q712" i="2"/>
  <c r="P712" i="2"/>
  <c r="O712" i="2"/>
  <c r="N712" i="2"/>
  <c r="M712" i="2"/>
  <c r="L712" i="2"/>
  <c r="K712" i="2"/>
  <c r="J712" i="2"/>
  <c r="I712" i="2"/>
  <c r="H712" i="2"/>
  <c r="G712" i="2"/>
  <c r="F712" i="2"/>
  <c r="E712" i="2"/>
  <c r="D712" i="2"/>
  <c r="C712" i="2"/>
  <c r="B712" i="2"/>
  <c r="A712" i="2"/>
  <c r="AJ711" i="2"/>
  <c r="AI711" i="2"/>
  <c r="AH711" i="2"/>
  <c r="AG711" i="2"/>
  <c r="AF711" i="2"/>
  <c r="AE711" i="2"/>
  <c r="AD711" i="2"/>
  <c r="AC711" i="2"/>
  <c r="AB711" i="2"/>
  <c r="AA711" i="2"/>
  <c r="Z711" i="2"/>
  <c r="Y711" i="2"/>
  <c r="X711" i="2"/>
  <c r="V711" i="2"/>
  <c r="U711" i="2"/>
  <c r="T711" i="2"/>
  <c r="S711" i="2"/>
  <c r="R711" i="2"/>
  <c r="Q711" i="2"/>
  <c r="P711" i="2"/>
  <c r="O711" i="2"/>
  <c r="N711" i="2"/>
  <c r="M711" i="2"/>
  <c r="L711" i="2"/>
  <c r="K711" i="2"/>
  <c r="J711" i="2"/>
  <c r="I711" i="2"/>
  <c r="H711" i="2"/>
  <c r="G711" i="2"/>
  <c r="F711" i="2"/>
  <c r="E711" i="2"/>
  <c r="D711" i="2"/>
  <c r="C711" i="2"/>
  <c r="B711" i="2"/>
  <c r="A711" i="2"/>
  <c r="AJ710" i="2"/>
  <c r="AI710" i="2"/>
  <c r="AH710" i="2"/>
  <c r="AG710" i="2"/>
  <c r="AF710" i="2"/>
  <c r="AE710" i="2"/>
  <c r="AD710" i="2"/>
  <c r="AC710" i="2"/>
  <c r="AB710" i="2"/>
  <c r="AA710" i="2"/>
  <c r="Z710" i="2"/>
  <c r="Y710" i="2"/>
  <c r="X710" i="2"/>
  <c r="V710" i="2"/>
  <c r="U710" i="2"/>
  <c r="T710" i="2"/>
  <c r="S710" i="2"/>
  <c r="R710" i="2"/>
  <c r="Q710" i="2"/>
  <c r="P710" i="2"/>
  <c r="O710" i="2"/>
  <c r="N710" i="2"/>
  <c r="M710" i="2"/>
  <c r="L710" i="2"/>
  <c r="K710" i="2"/>
  <c r="J710" i="2"/>
  <c r="I710" i="2"/>
  <c r="H710" i="2"/>
  <c r="G710" i="2"/>
  <c r="F710" i="2"/>
  <c r="E710" i="2"/>
  <c r="D710" i="2"/>
  <c r="C710" i="2"/>
  <c r="B710" i="2"/>
  <c r="A710" i="2"/>
  <c r="AJ709" i="2"/>
  <c r="AH709" i="2"/>
  <c r="AG709" i="2"/>
  <c r="AF709" i="2"/>
  <c r="AE709" i="2"/>
  <c r="AD709" i="2"/>
  <c r="AC709" i="2"/>
  <c r="AA709" i="2"/>
  <c r="Z709" i="2"/>
  <c r="Y709" i="2"/>
  <c r="X709" i="2"/>
  <c r="W709" i="2"/>
  <c r="V709" i="2"/>
  <c r="U709" i="2"/>
  <c r="T709" i="2"/>
  <c r="S709" i="2"/>
  <c r="R709" i="2"/>
  <c r="Q709" i="2"/>
  <c r="P709" i="2"/>
  <c r="O709" i="2"/>
  <c r="N709" i="2"/>
  <c r="M709" i="2"/>
  <c r="L709" i="2"/>
  <c r="K709" i="2"/>
  <c r="J709" i="2"/>
  <c r="I709" i="2"/>
  <c r="H709" i="2"/>
  <c r="G709" i="2"/>
  <c r="F709" i="2"/>
  <c r="E709" i="2"/>
  <c r="D709" i="2"/>
  <c r="C709" i="2"/>
  <c r="B709" i="2"/>
  <c r="A709" i="2"/>
  <c r="AJ708" i="2"/>
  <c r="AI708" i="2"/>
  <c r="AH708" i="2"/>
  <c r="AG708" i="2"/>
  <c r="AF708" i="2"/>
  <c r="AE708" i="2"/>
  <c r="AD708" i="2"/>
  <c r="AC708" i="2"/>
  <c r="AB708" i="2"/>
  <c r="AA708" i="2"/>
  <c r="Z708" i="2"/>
  <c r="Y708" i="2"/>
  <c r="X708" i="2"/>
  <c r="W708" i="2"/>
  <c r="V708" i="2"/>
  <c r="U708" i="2"/>
  <c r="T708" i="2"/>
  <c r="S708" i="2"/>
  <c r="R708" i="2"/>
  <c r="Q708" i="2"/>
  <c r="P708" i="2"/>
  <c r="O708" i="2"/>
  <c r="N708" i="2"/>
  <c r="M708" i="2"/>
  <c r="L708" i="2"/>
  <c r="K708" i="2"/>
  <c r="J708" i="2"/>
  <c r="I708" i="2"/>
  <c r="H708" i="2"/>
  <c r="G708" i="2"/>
  <c r="F708" i="2"/>
  <c r="E708" i="2"/>
  <c r="D708" i="2"/>
  <c r="C708" i="2"/>
  <c r="B708" i="2"/>
  <c r="A708" i="2"/>
  <c r="AJ707" i="2"/>
  <c r="AH707" i="2"/>
  <c r="AF707" i="2"/>
  <c r="AE707" i="2"/>
  <c r="AD707" i="2"/>
  <c r="AC707" i="2"/>
  <c r="AB707" i="2"/>
  <c r="AA707" i="2"/>
  <c r="Z707" i="2"/>
  <c r="Y707" i="2"/>
  <c r="X707" i="2"/>
  <c r="W707" i="2"/>
  <c r="V707" i="2"/>
  <c r="U707" i="2"/>
  <c r="T707" i="2"/>
  <c r="S707" i="2"/>
  <c r="R707" i="2"/>
  <c r="Q707" i="2"/>
  <c r="P707" i="2"/>
  <c r="N707" i="2"/>
  <c r="M707" i="2"/>
  <c r="L707" i="2"/>
  <c r="K707" i="2"/>
  <c r="J707" i="2"/>
  <c r="I707" i="2"/>
  <c r="H707" i="2"/>
  <c r="G707" i="2"/>
  <c r="F707" i="2"/>
  <c r="E707" i="2"/>
  <c r="D707" i="2"/>
  <c r="C707" i="2"/>
  <c r="B707" i="2"/>
  <c r="A707" i="2"/>
  <c r="AI706" i="2"/>
  <c r="AH706" i="2"/>
  <c r="AG706" i="2"/>
  <c r="AF706" i="2"/>
  <c r="AE706" i="2"/>
  <c r="AD706" i="2"/>
  <c r="AB706" i="2"/>
  <c r="AA706" i="2"/>
  <c r="Z706" i="2"/>
  <c r="Y706" i="2"/>
  <c r="X706" i="2"/>
  <c r="W706" i="2"/>
  <c r="V706" i="2"/>
  <c r="U706" i="2"/>
  <c r="T706" i="2"/>
  <c r="S706" i="2"/>
  <c r="R706" i="2"/>
  <c r="Q706" i="2"/>
  <c r="P706" i="2"/>
  <c r="O706" i="2"/>
  <c r="N706" i="2"/>
  <c r="M706" i="2"/>
  <c r="L706" i="2"/>
  <c r="K706" i="2"/>
  <c r="J706" i="2"/>
  <c r="I706" i="2"/>
  <c r="H706" i="2"/>
  <c r="G706" i="2"/>
  <c r="F706" i="2"/>
  <c r="E706" i="2"/>
  <c r="D706" i="2"/>
  <c r="C706" i="2"/>
  <c r="B706" i="2"/>
  <c r="A706" i="2"/>
  <c r="AJ705" i="2"/>
  <c r="AH705" i="2"/>
  <c r="AG705" i="2"/>
  <c r="AF705" i="2"/>
  <c r="AE705" i="2"/>
  <c r="AD705" i="2"/>
  <c r="AC705" i="2"/>
  <c r="Z705" i="2"/>
  <c r="Y705" i="2"/>
  <c r="X705" i="2"/>
  <c r="W705" i="2"/>
  <c r="V705" i="2"/>
  <c r="U705" i="2"/>
  <c r="T705" i="2"/>
  <c r="S705" i="2"/>
  <c r="R705" i="2"/>
  <c r="Q705" i="2"/>
  <c r="P705" i="2"/>
  <c r="O705" i="2"/>
  <c r="N705" i="2"/>
  <c r="M705" i="2"/>
  <c r="L705" i="2"/>
  <c r="K705" i="2"/>
  <c r="J705" i="2"/>
  <c r="I705" i="2"/>
  <c r="H705" i="2"/>
  <c r="G705" i="2"/>
  <c r="F705" i="2"/>
  <c r="E705" i="2"/>
  <c r="D705" i="2"/>
  <c r="C705" i="2"/>
  <c r="B705" i="2"/>
  <c r="A705" i="2"/>
  <c r="AJ704" i="2"/>
  <c r="AH704" i="2"/>
  <c r="AG704" i="2"/>
  <c r="AF704" i="2"/>
  <c r="AE704" i="2"/>
  <c r="AD704" i="2"/>
  <c r="Z704" i="2"/>
  <c r="Y704" i="2"/>
  <c r="X704" i="2"/>
  <c r="W704" i="2"/>
  <c r="V704" i="2"/>
  <c r="U704" i="2"/>
  <c r="T704" i="2"/>
  <c r="S704" i="2"/>
  <c r="R704" i="2"/>
  <c r="Q704" i="2"/>
  <c r="P704" i="2"/>
  <c r="O704" i="2"/>
  <c r="N704" i="2"/>
  <c r="M704" i="2"/>
  <c r="L704" i="2"/>
  <c r="K704" i="2"/>
  <c r="J704" i="2"/>
  <c r="I704" i="2"/>
  <c r="H704" i="2"/>
  <c r="G704" i="2"/>
  <c r="F704" i="2"/>
  <c r="E704" i="2"/>
  <c r="D704" i="2"/>
  <c r="C704" i="2"/>
  <c r="B704" i="2"/>
  <c r="A704" i="2"/>
  <c r="AJ703" i="2"/>
  <c r="AI703" i="2"/>
  <c r="AH703" i="2"/>
  <c r="AG703" i="2"/>
  <c r="AF703" i="2"/>
  <c r="AE703" i="2"/>
  <c r="AD703" i="2"/>
  <c r="AC703" i="2"/>
  <c r="AB703" i="2"/>
  <c r="AA703" i="2"/>
  <c r="Z703" i="2"/>
  <c r="Y703" i="2"/>
  <c r="X703" i="2"/>
  <c r="W703" i="2"/>
  <c r="V703" i="2"/>
  <c r="U703" i="2"/>
  <c r="T703" i="2"/>
  <c r="S703" i="2"/>
  <c r="R703" i="2"/>
  <c r="Q703" i="2"/>
  <c r="P703" i="2"/>
  <c r="O703" i="2"/>
  <c r="N703" i="2"/>
  <c r="M703" i="2"/>
  <c r="L703" i="2"/>
  <c r="K703" i="2"/>
  <c r="J703" i="2"/>
  <c r="I703" i="2"/>
  <c r="H703" i="2"/>
  <c r="G703" i="2"/>
  <c r="F703" i="2"/>
  <c r="E703" i="2"/>
  <c r="D703" i="2"/>
  <c r="C703" i="2"/>
  <c r="B703" i="2"/>
  <c r="A703" i="2"/>
  <c r="AJ702" i="2"/>
  <c r="AH702" i="2"/>
  <c r="AG702" i="2"/>
  <c r="AF702" i="2"/>
  <c r="AE702" i="2"/>
  <c r="AD702" i="2"/>
  <c r="AB702" i="2"/>
  <c r="Z702" i="2"/>
  <c r="Y702" i="2"/>
  <c r="X702" i="2"/>
  <c r="W702" i="2"/>
  <c r="V702" i="2"/>
  <c r="U702" i="2"/>
  <c r="T702" i="2"/>
  <c r="S702" i="2"/>
  <c r="R702" i="2"/>
  <c r="Q702" i="2"/>
  <c r="P702" i="2"/>
  <c r="O702" i="2"/>
  <c r="N702" i="2"/>
  <c r="M702" i="2"/>
  <c r="L702" i="2"/>
  <c r="K702" i="2"/>
  <c r="J702" i="2"/>
  <c r="I702" i="2"/>
  <c r="H702" i="2"/>
  <c r="G702" i="2"/>
  <c r="F702" i="2"/>
  <c r="E702" i="2"/>
  <c r="D702" i="2"/>
  <c r="C702" i="2"/>
  <c r="B702" i="2"/>
  <c r="A702" i="2"/>
  <c r="AJ701" i="2"/>
  <c r="AI701" i="2"/>
  <c r="AH701" i="2"/>
  <c r="AG701" i="2"/>
  <c r="AF701" i="2"/>
  <c r="AE701" i="2"/>
  <c r="AD701" i="2"/>
  <c r="Z701" i="2"/>
  <c r="Y701" i="2"/>
  <c r="X701" i="2"/>
  <c r="W701" i="2"/>
  <c r="V701" i="2"/>
  <c r="U701" i="2"/>
  <c r="T701" i="2"/>
  <c r="S701" i="2"/>
  <c r="R701" i="2"/>
  <c r="Q701" i="2"/>
  <c r="P701" i="2"/>
  <c r="O701" i="2"/>
  <c r="N701" i="2"/>
  <c r="M701" i="2"/>
  <c r="L701" i="2"/>
  <c r="K701" i="2"/>
  <c r="J701" i="2"/>
  <c r="I701" i="2"/>
  <c r="H701" i="2"/>
  <c r="G701" i="2"/>
  <c r="F701" i="2"/>
  <c r="E701" i="2"/>
  <c r="D701" i="2"/>
  <c r="C701" i="2"/>
  <c r="B701" i="2"/>
  <c r="A701" i="2"/>
  <c r="AJ700" i="2"/>
  <c r="AI700" i="2"/>
  <c r="AH700" i="2"/>
  <c r="AG700" i="2"/>
  <c r="AF700" i="2"/>
  <c r="AE700" i="2"/>
  <c r="AD700" i="2"/>
  <c r="AC700" i="2"/>
  <c r="AB700" i="2"/>
  <c r="AA700" i="2"/>
  <c r="Z700" i="2"/>
  <c r="Y700" i="2"/>
  <c r="X700" i="2"/>
  <c r="W700" i="2"/>
  <c r="V700" i="2"/>
  <c r="U700" i="2"/>
  <c r="T700" i="2"/>
  <c r="S700" i="2"/>
  <c r="R700" i="2"/>
  <c r="Q700" i="2"/>
  <c r="P700" i="2"/>
  <c r="O700" i="2"/>
  <c r="N700" i="2"/>
  <c r="M700" i="2"/>
  <c r="L700" i="2"/>
  <c r="K700" i="2"/>
  <c r="J700" i="2"/>
  <c r="I700" i="2"/>
  <c r="H700" i="2"/>
  <c r="G700" i="2"/>
  <c r="F700" i="2"/>
  <c r="E700" i="2"/>
  <c r="D700" i="2"/>
  <c r="C700" i="2"/>
  <c r="B700" i="2"/>
  <c r="A700" i="2"/>
  <c r="AJ699" i="2"/>
  <c r="AI699" i="2"/>
  <c r="AH699" i="2"/>
  <c r="AG699" i="2"/>
  <c r="AF699" i="2"/>
  <c r="AE699" i="2"/>
  <c r="AD699" i="2"/>
  <c r="AC699" i="2"/>
  <c r="AB699" i="2"/>
  <c r="AA699" i="2"/>
  <c r="Z699" i="2"/>
  <c r="Y699" i="2"/>
  <c r="X699" i="2"/>
  <c r="W699" i="2"/>
  <c r="V699" i="2"/>
  <c r="U699" i="2"/>
  <c r="T699" i="2"/>
  <c r="S699" i="2"/>
  <c r="R699" i="2"/>
  <c r="Q699" i="2"/>
  <c r="P699" i="2"/>
  <c r="O699" i="2"/>
  <c r="N699" i="2"/>
  <c r="M699" i="2"/>
  <c r="L699" i="2"/>
  <c r="K699" i="2"/>
  <c r="J699" i="2"/>
  <c r="I699" i="2"/>
  <c r="H699" i="2"/>
  <c r="G699" i="2"/>
  <c r="F699" i="2"/>
  <c r="E699" i="2"/>
  <c r="D699" i="2"/>
  <c r="C699" i="2"/>
  <c r="B699" i="2"/>
  <c r="A699" i="2"/>
  <c r="AJ698" i="2"/>
  <c r="AH698" i="2"/>
  <c r="AG698" i="2"/>
  <c r="AF698" i="2"/>
  <c r="AE698" i="2"/>
  <c r="AD698" i="2"/>
  <c r="AB698" i="2"/>
  <c r="AA698" i="2"/>
  <c r="Z698" i="2"/>
  <c r="Y698" i="2"/>
  <c r="X698" i="2"/>
  <c r="W698" i="2"/>
  <c r="V698" i="2"/>
  <c r="U698" i="2"/>
  <c r="T698" i="2"/>
  <c r="S698" i="2"/>
  <c r="R698" i="2"/>
  <c r="Q698" i="2"/>
  <c r="P698" i="2"/>
  <c r="O698" i="2"/>
  <c r="N698" i="2"/>
  <c r="M698" i="2"/>
  <c r="L698" i="2"/>
  <c r="K698" i="2"/>
  <c r="J698" i="2"/>
  <c r="I698" i="2"/>
  <c r="H698" i="2"/>
  <c r="G698" i="2"/>
  <c r="F698" i="2"/>
  <c r="E698" i="2"/>
  <c r="D698" i="2"/>
  <c r="C698" i="2"/>
  <c r="B698" i="2"/>
  <c r="A698" i="2"/>
  <c r="AJ697" i="2"/>
  <c r="AH697" i="2"/>
  <c r="AG697" i="2"/>
  <c r="AE697" i="2"/>
  <c r="AD697" i="2"/>
  <c r="AB697" i="2"/>
  <c r="AA697" i="2"/>
  <c r="Z697" i="2"/>
  <c r="Y697" i="2"/>
  <c r="X697" i="2"/>
  <c r="W697" i="2"/>
  <c r="V697" i="2"/>
  <c r="U697" i="2"/>
  <c r="T697" i="2"/>
  <c r="S697" i="2"/>
  <c r="Q697" i="2"/>
  <c r="P697" i="2"/>
  <c r="O697" i="2"/>
  <c r="N697" i="2"/>
  <c r="M697" i="2"/>
  <c r="L697" i="2"/>
  <c r="K697" i="2"/>
  <c r="J697" i="2"/>
  <c r="I697" i="2"/>
  <c r="H697" i="2"/>
  <c r="G697" i="2"/>
  <c r="F697" i="2"/>
  <c r="E697" i="2"/>
  <c r="D697" i="2"/>
  <c r="C697" i="2"/>
  <c r="B697" i="2"/>
  <c r="A697" i="2"/>
  <c r="AJ696" i="2"/>
  <c r="AI696" i="2"/>
  <c r="AH696" i="2"/>
  <c r="AG696" i="2"/>
  <c r="AF696" i="2"/>
  <c r="AE696" i="2"/>
  <c r="AD696" i="2"/>
  <c r="AC696" i="2"/>
  <c r="AB696" i="2"/>
  <c r="AA696" i="2"/>
  <c r="Z696" i="2"/>
  <c r="Y696" i="2"/>
  <c r="X696" i="2"/>
  <c r="W696" i="2"/>
  <c r="V696" i="2"/>
  <c r="U696" i="2"/>
  <c r="T696" i="2"/>
  <c r="S696" i="2"/>
  <c r="R696" i="2"/>
  <c r="Q696" i="2"/>
  <c r="P696" i="2"/>
  <c r="O696" i="2"/>
  <c r="N696" i="2"/>
  <c r="M696" i="2"/>
  <c r="L696" i="2"/>
  <c r="K696" i="2"/>
  <c r="J696" i="2"/>
  <c r="I696" i="2"/>
  <c r="H696" i="2"/>
  <c r="G696" i="2"/>
  <c r="F696" i="2"/>
  <c r="E696" i="2"/>
  <c r="D696" i="2"/>
  <c r="C696" i="2"/>
  <c r="B696" i="2"/>
  <c r="A696" i="2"/>
  <c r="AJ695" i="2"/>
  <c r="AI695" i="2"/>
  <c r="AH695" i="2"/>
  <c r="AG695" i="2"/>
  <c r="AF695" i="2"/>
  <c r="AE695" i="2"/>
  <c r="AD695" i="2"/>
  <c r="AC695" i="2"/>
  <c r="AB695" i="2"/>
  <c r="AA695" i="2"/>
  <c r="Z695" i="2"/>
  <c r="Y695" i="2"/>
  <c r="X695" i="2"/>
  <c r="W695" i="2"/>
  <c r="V695" i="2"/>
  <c r="U695" i="2"/>
  <c r="T695" i="2"/>
  <c r="S695" i="2"/>
  <c r="R695" i="2"/>
  <c r="Q695" i="2"/>
  <c r="P695" i="2"/>
  <c r="O695" i="2"/>
  <c r="N695" i="2"/>
  <c r="M695" i="2"/>
  <c r="L695" i="2"/>
  <c r="K695" i="2"/>
  <c r="J695" i="2"/>
  <c r="I695" i="2"/>
  <c r="H695" i="2"/>
  <c r="G695" i="2"/>
  <c r="F695" i="2"/>
  <c r="E695" i="2"/>
  <c r="D695" i="2"/>
  <c r="C695" i="2"/>
  <c r="B695" i="2"/>
  <c r="A695" i="2"/>
  <c r="AJ694" i="2"/>
  <c r="AI694" i="2"/>
  <c r="AH694" i="2"/>
  <c r="AG694" i="2"/>
  <c r="AF694" i="2"/>
  <c r="AE694" i="2"/>
  <c r="AD694" i="2"/>
  <c r="AB694" i="2"/>
  <c r="AA694" i="2"/>
  <c r="Z694" i="2"/>
  <c r="Y694" i="2"/>
  <c r="X694" i="2"/>
  <c r="W694" i="2"/>
  <c r="V694" i="2"/>
  <c r="U694" i="2"/>
  <c r="T694" i="2"/>
  <c r="S694" i="2"/>
  <c r="Q694" i="2"/>
  <c r="P694" i="2"/>
  <c r="O694" i="2"/>
  <c r="N694" i="2"/>
  <c r="M694" i="2"/>
  <c r="L694" i="2"/>
  <c r="K694" i="2"/>
  <c r="J694" i="2"/>
  <c r="I694" i="2"/>
  <c r="H694" i="2"/>
  <c r="G694" i="2"/>
  <c r="F694" i="2"/>
  <c r="E694" i="2"/>
  <c r="D694" i="2"/>
  <c r="C694" i="2"/>
  <c r="B694" i="2"/>
  <c r="A694" i="2"/>
  <c r="AJ693" i="2"/>
  <c r="AH693" i="2"/>
  <c r="AG693" i="2"/>
  <c r="AF693" i="2"/>
  <c r="AE693" i="2"/>
  <c r="AD693" i="2"/>
  <c r="AC693" i="2"/>
  <c r="AB693" i="2"/>
  <c r="AA693" i="2"/>
  <c r="Z693" i="2"/>
  <c r="Y693" i="2"/>
  <c r="X693" i="2"/>
  <c r="W693" i="2"/>
  <c r="V693" i="2"/>
  <c r="U693" i="2"/>
  <c r="T693" i="2"/>
  <c r="S693" i="2"/>
  <c r="R693" i="2"/>
  <c r="Q693" i="2"/>
  <c r="P693" i="2"/>
  <c r="O693" i="2"/>
  <c r="N693" i="2"/>
  <c r="M693" i="2"/>
  <c r="L693" i="2"/>
  <c r="K693" i="2"/>
  <c r="J693" i="2"/>
  <c r="I693" i="2"/>
  <c r="H693" i="2"/>
  <c r="G693" i="2"/>
  <c r="F693" i="2"/>
  <c r="E693" i="2"/>
  <c r="D693" i="2"/>
  <c r="C693" i="2"/>
  <c r="B693" i="2"/>
  <c r="A693" i="2"/>
  <c r="AJ692" i="2"/>
  <c r="AH692" i="2"/>
  <c r="AG692" i="2"/>
  <c r="AF692" i="2"/>
  <c r="AE692" i="2"/>
  <c r="AD692" i="2"/>
  <c r="AC692" i="2"/>
  <c r="AB692" i="2"/>
  <c r="AA692" i="2"/>
  <c r="Z692" i="2"/>
  <c r="Y692" i="2"/>
  <c r="X692" i="2"/>
  <c r="W692" i="2"/>
  <c r="V692" i="2"/>
  <c r="U692" i="2"/>
  <c r="T692" i="2"/>
  <c r="S692" i="2"/>
  <c r="R692" i="2"/>
  <c r="Q692" i="2"/>
  <c r="P692" i="2"/>
  <c r="O692" i="2"/>
  <c r="N692" i="2"/>
  <c r="M692" i="2"/>
  <c r="K692" i="2"/>
  <c r="J692" i="2"/>
  <c r="I692" i="2"/>
  <c r="H692" i="2"/>
  <c r="G692" i="2"/>
  <c r="F692" i="2"/>
  <c r="E692" i="2"/>
  <c r="D692" i="2"/>
  <c r="C692" i="2"/>
  <c r="B692" i="2"/>
  <c r="A692" i="2"/>
  <c r="AJ691" i="2"/>
  <c r="AH691" i="2"/>
  <c r="AG691" i="2"/>
  <c r="AF691" i="2"/>
  <c r="AE691" i="2"/>
  <c r="AD691" i="2"/>
  <c r="Z691" i="2"/>
  <c r="Y691" i="2"/>
  <c r="X691" i="2"/>
  <c r="W691" i="2"/>
  <c r="V691" i="2"/>
  <c r="U691" i="2"/>
  <c r="T691" i="2"/>
  <c r="S691" i="2"/>
  <c r="R691" i="2"/>
  <c r="Q691" i="2"/>
  <c r="P691" i="2"/>
  <c r="O691" i="2"/>
  <c r="N691" i="2"/>
  <c r="M691" i="2"/>
  <c r="L691" i="2"/>
  <c r="K691" i="2"/>
  <c r="J691" i="2"/>
  <c r="I691" i="2"/>
  <c r="H691" i="2"/>
  <c r="G691" i="2"/>
  <c r="F691" i="2"/>
  <c r="E691" i="2"/>
  <c r="D691" i="2"/>
  <c r="C691" i="2"/>
  <c r="B691" i="2"/>
  <c r="A691" i="2"/>
  <c r="AJ690" i="2"/>
  <c r="AH690" i="2"/>
  <c r="AG690" i="2"/>
  <c r="AF690" i="2"/>
  <c r="AE690" i="2"/>
  <c r="AD690" i="2"/>
  <c r="Z690" i="2"/>
  <c r="Y690" i="2"/>
  <c r="X690" i="2"/>
  <c r="W690" i="2"/>
  <c r="V690" i="2"/>
  <c r="U690" i="2"/>
  <c r="T690" i="2"/>
  <c r="S690" i="2"/>
  <c r="R690" i="2"/>
  <c r="Q690" i="2"/>
  <c r="P690" i="2"/>
  <c r="O690" i="2"/>
  <c r="N690" i="2"/>
  <c r="M690" i="2"/>
  <c r="L690" i="2"/>
  <c r="K690" i="2"/>
  <c r="J690" i="2"/>
  <c r="I690" i="2"/>
  <c r="H690" i="2"/>
  <c r="G690" i="2"/>
  <c r="F690" i="2"/>
  <c r="E690" i="2"/>
  <c r="D690" i="2"/>
  <c r="C690" i="2"/>
  <c r="B690" i="2"/>
  <c r="A690" i="2"/>
  <c r="AJ689" i="2"/>
  <c r="AH689" i="2"/>
  <c r="AG689" i="2"/>
  <c r="AF689" i="2"/>
  <c r="AE689" i="2"/>
  <c r="AD689" i="2"/>
  <c r="AB689" i="2"/>
  <c r="AA689" i="2"/>
  <c r="Z689" i="2"/>
  <c r="Y689" i="2"/>
  <c r="X689" i="2"/>
  <c r="W689" i="2"/>
  <c r="V689" i="2"/>
  <c r="U689" i="2"/>
  <c r="T689" i="2"/>
  <c r="S689" i="2"/>
  <c r="R689" i="2"/>
  <c r="Q689" i="2"/>
  <c r="P689" i="2"/>
  <c r="N689" i="2"/>
  <c r="M689" i="2"/>
  <c r="L689" i="2"/>
  <c r="K689" i="2"/>
  <c r="J689" i="2"/>
  <c r="I689" i="2"/>
  <c r="H689" i="2"/>
  <c r="G689" i="2"/>
  <c r="F689" i="2"/>
  <c r="E689" i="2"/>
  <c r="D689" i="2"/>
  <c r="C689" i="2"/>
  <c r="B689" i="2"/>
  <c r="A689" i="2"/>
  <c r="AJ688" i="2"/>
  <c r="AH688" i="2"/>
  <c r="AG688" i="2"/>
  <c r="AF688" i="2"/>
  <c r="AE688" i="2"/>
  <c r="AD688" i="2"/>
  <c r="Z688" i="2"/>
  <c r="Y688" i="2"/>
  <c r="X688" i="2"/>
  <c r="W688" i="2"/>
  <c r="V688" i="2"/>
  <c r="U688" i="2"/>
  <c r="T688" i="2"/>
  <c r="S688" i="2"/>
  <c r="R688" i="2"/>
  <c r="Q688" i="2"/>
  <c r="P688" i="2"/>
  <c r="O688" i="2"/>
  <c r="N688" i="2"/>
  <c r="M688" i="2"/>
  <c r="L688" i="2"/>
  <c r="K688" i="2"/>
  <c r="J688" i="2"/>
  <c r="I688" i="2"/>
  <c r="H688" i="2"/>
  <c r="G688" i="2"/>
  <c r="F688" i="2"/>
  <c r="E688" i="2"/>
  <c r="D688" i="2"/>
  <c r="C688" i="2"/>
  <c r="B688" i="2"/>
  <c r="A688" i="2"/>
  <c r="AJ687" i="2"/>
  <c r="AI687" i="2"/>
  <c r="AH687" i="2"/>
  <c r="AG687" i="2"/>
  <c r="AF687" i="2"/>
  <c r="AE687" i="2"/>
  <c r="AD687" i="2"/>
  <c r="AC687" i="2"/>
  <c r="AB687" i="2"/>
  <c r="AA687" i="2"/>
  <c r="Z687" i="2"/>
  <c r="Y687" i="2"/>
  <c r="X687" i="2"/>
  <c r="V687" i="2"/>
  <c r="U687" i="2"/>
  <c r="T687" i="2"/>
  <c r="S687" i="2"/>
  <c r="R687" i="2"/>
  <c r="Q687" i="2"/>
  <c r="P687" i="2"/>
  <c r="O687" i="2"/>
  <c r="N687" i="2"/>
  <c r="M687" i="2"/>
  <c r="L687" i="2"/>
  <c r="K687" i="2"/>
  <c r="J687" i="2"/>
  <c r="I687" i="2"/>
  <c r="H687" i="2"/>
  <c r="G687" i="2"/>
  <c r="F687" i="2"/>
  <c r="E687" i="2"/>
  <c r="D687" i="2"/>
  <c r="C687" i="2"/>
  <c r="B687" i="2"/>
  <c r="A687" i="2"/>
  <c r="AJ686" i="2"/>
  <c r="AI686" i="2"/>
  <c r="AH686" i="2"/>
  <c r="AG686" i="2"/>
  <c r="AF686" i="2"/>
  <c r="AE686" i="2"/>
  <c r="AD686" i="2"/>
  <c r="AC686" i="2"/>
  <c r="AB686" i="2"/>
  <c r="AA686" i="2"/>
  <c r="Z686" i="2"/>
  <c r="Y686" i="2"/>
  <c r="X686" i="2"/>
  <c r="W686" i="2"/>
  <c r="V686" i="2"/>
  <c r="U686" i="2"/>
  <c r="T686" i="2"/>
  <c r="S686" i="2"/>
  <c r="R686" i="2"/>
  <c r="Q686" i="2"/>
  <c r="P686" i="2"/>
  <c r="O686" i="2"/>
  <c r="N686" i="2"/>
  <c r="M686" i="2"/>
  <c r="L686" i="2"/>
  <c r="K686" i="2"/>
  <c r="J686" i="2"/>
  <c r="I686" i="2"/>
  <c r="H686" i="2"/>
  <c r="G686" i="2"/>
  <c r="F686" i="2"/>
  <c r="E686" i="2"/>
  <c r="D686" i="2"/>
  <c r="C686" i="2"/>
  <c r="B686" i="2"/>
  <c r="A686" i="2"/>
  <c r="AJ685" i="2"/>
  <c r="AI685" i="2"/>
  <c r="AH685" i="2"/>
  <c r="AG685" i="2"/>
  <c r="AF685" i="2"/>
  <c r="AE685" i="2"/>
  <c r="AD685" i="2"/>
  <c r="AC685" i="2"/>
  <c r="AB685" i="2"/>
  <c r="AA685" i="2"/>
  <c r="Z685" i="2"/>
  <c r="Y685" i="2"/>
  <c r="X685" i="2"/>
  <c r="W685" i="2"/>
  <c r="V685" i="2"/>
  <c r="U685" i="2"/>
  <c r="T685" i="2"/>
  <c r="S685" i="2"/>
  <c r="R685" i="2"/>
  <c r="Q685" i="2"/>
  <c r="P685" i="2"/>
  <c r="O685" i="2"/>
  <c r="N685" i="2"/>
  <c r="M685" i="2"/>
  <c r="L685" i="2"/>
  <c r="K685" i="2"/>
  <c r="J685" i="2"/>
  <c r="I685" i="2"/>
  <c r="H685" i="2"/>
  <c r="G685" i="2"/>
  <c r="F685" i="2"/>
  <c r="E685" i="2"/>
  <c r="D685" i="2"/>
  <c r="C685" i="2"/>
  <c r="B685" i="2"/>
  <c r="A685" i="2"/>
  <c r="AH684" i="2"/>
  <c r="AG684" i="2"/>
  <c r="AF684" i="2"/>
  <c r="AE684" i="2"/>
  <c r="AD684" i="2"/>
  <c r="AC684" i="2"/>
  <c r="AB684" i="2"/>
  <c r="AA684" i="2"/>
  <c r="Z684" i="2"/>
  <c r="Y684" i="2"/>
  <c r="V684" i="2"/>
  <c r="U684" i="2"/>
  <c r="T684" i="2"/>
  <c r="S684" i="2"/>
  <c r="R684" i="2"/>
  <c r="Q684" i="2"/>
  <c r="P684" i="2"/>
  <c r="O684" i="2"/>
  <c r="N684" i="2"/>
  <c r="M684" i="2"/>
  <c r="L684" i="2"/>
  <c r="K684" i="2"/>
  <c r="J684" i="2"/>
  <c r="I684" i="2"/>
  <c r="H684" i="2"/>
  <c r="G684" i="2"/>
  <c r="F684" i="2"/>
  <c r="E684" i="2"/>
  <c r="D684" i="2"/>
  <c r="C684" i="2"/>
  <c r="B684" i="2"/>
  <c r="A684" i="2"/>
  <c r="AJ683" i="2"/>
  <c r="AI683" i="2"/>
  <c r="AH683" i="2"/>
  <c r="AG683" i="2"/>
  <c r="AF683" i="2"/>
  <c r="AE683" i="2"/>
  <c r="AD683" i="2"/>
  <c r="AC683" i="2"/>
  <c r="AB683" i="2"/>
  <c r="AA683" i="2"/>
  <c r="Z683" i="2"/>
  <c r="Y683" i="2"/>
  <c r="W683" i="2"/>
  <c r="V683" i="2"/>
  <c r="U683" i="2"/>
  <c r="T683" i="2"/>
  <c r="S683" i="2"/>
  <c r="R683" i="2"/>
  <c r="Q683" i="2"/>
  <c r="P683" i="2"/>
  <c r="O683" i="2"/>
  <c r="N683" i="2"/>
  <c r="M683" i="2"/>
  <c r="L683" i="2"/>
  <c r="K683" i="2"/>
  <c r="J683" i="2"/>
  <c r="I683" i="2"/>
  <c r="H683" i="2"/>
  <c r="G683" i="2"/>
  <c r="F683" i="2"/>
  <c r="E683" i="2"/>
  <c r="D683" i="2"/>
  <c r="C683" i="2"/>
  <c r="B683" i="2"/>
  <c r="A683" i="2"/>
  <c r="AJ682" i="2"/>
  <c r="AH682" i="2"/>
  <c r="AG682" i="2"/>
  <c r="AF682" i="2"/>
  <c r="AE682" i="2"/>
  <c r="AC682" i="2"/>
  <c r="Z682" i="2"/>
  <c r="Y682" i="2"/>
  <c r="X682" i="2"/>
  <c r="W682" i="2"/>
  <c r="U682" i="2"/>
  <c r="T682" i="2"/>
  <c r="S682" i="2"/>
  <c r="R682" i="2"/>
  <c r="Q682" i="2"/>
  <c r="P682" i="2"/>
  <c r="O682" i="2"/>
  <c r="N682" i="2"/>
  <c r="M682" i="2"/>
  <c r="L682" i="2"/>
  <c r="K682" i="2"/>
  <c r="J682" i="2"/>
  <c r="I682" i="2"/>
  <c r="H682" i="2"/>
  <c r="G682" i="2"/>
  <c r="F682" i="2"/>
  <c r="E682" i="2"/>
  <c r="D682" i="2"/>
  <c r="C682" i="2"/>
  <c r="B682" i="2"/>
  <c r="A682" i="2"/>
  <c r="AJ681" i="2"/>
  <c r="AG681" i="2"/>
  <c r="AF681" i="2"/>
  <c r="AE681" i="2"/>
  <c r="AD681" i="2"/>
  <c r="Z681" i="2"/>
  <c r="Y681" i="2"/>
  <c r="X681" i="2"/>
  <c r="W681" i="2"/>
  <c r="V681" i="2"/>
  <c r="U681" i="2"/>
  <c r="T681" i="2"/>
  <c r="S681" i="2"/>
  <c r="R681" i="2"/>
  <c r="Q681" i="2"/>
  <c r="P681" i="2"/>
  <c r="O681" i="2"/>
  <c r="N681" i="2"/>
  <c r="M681" i="2"/>
  <c r="L681" i="2"/>
  <c r="K681" i="2"/>
  <c r="J681" i="2"/>
  <c r="I681" i="2"/>
  <c r="H681" i="2"/>
  <c r="G681" i="2"/>
  <c r="F681" i="2"/>
  <c r="E681" i="2"/>
  <c r="D681" i="2"/>
  <c r="C681" i="2"/>
  <c r="B681" i="2"/>
  <c r="A681" i="2"/>
  <c r="AJ680" i="2"/>
  <c r="AH680" i="2"/>
  <c r="AG680" i="2"/>
  <c r="AF680" i="2"/>
  <c r="AE680" i="2"/>
  <c r="AD680" i="2"/>
  <c r="AB680" i="2"/>
  <c r="Z680" i="2"/>
  <c r="Y680" i="2"/>
  <c r="X680" i="2"/>
  <c r="W680" i="2"/>
  <c r="V680" i="2"/>
  <c r="U680" i="2"/>
  <c r="T680" i="2"/>
  <c r="S680" i="2"/>
  <c r="R680" i="2"/>
  <c r="Q680" i="2"/>
  <c r="P680" i="2"/>
  <c r="O680" i="2"/>
  <c r="N680" i="2"/>
  <c r="M680" i="2"/>
  <c r="L680" i="2"/>
  <c r="K680" i="2"/>
  <c r="J680" i="2"/>
  <c r="I680" i="2"/>
  <c r="H680" i="2"/>
  <c r="G680" i="2"/>
  <c r="F680" i="2"/>
  <c r="E680" i="2"/>
  <c r="D680" i="2"/>
  <c r="C680" i="2"/>
  <c r="B680" i="2"/>
  <c r="A680" i="2"/>
  <c r="AJ679" i="2"/>
  <c r="AH679" i="2"/>
  <c r="AG679" i="2"/>
  <c r="AF679" i="2"/>
  <c r="AE679" i="2"/>
  <c r="AD679" i="2"/>
  <c r="AB679" i="2"/>
  <c r="Z679" i="2"/>
  <c r="Y679" i="2"/>
  <c r="X679" i="2"/>
  <c r="V679" i="2"/>
  <c r="U679" i="2"/>
  <c r="T679" i="2"/>
  <c r="S679" i="2"/>
  <c r="R679" i="2"/>
  <c r="Q679" i="2"/>
  <c r="P679" i="2"/>
  <c r="O679" i="2"/>
  <c r="N679" i="2"/>
  <c r="M679" i="2"/>
  <c r="L679" i="2"/>
  <c r="K679" i="2"/>
  <c r="J679" i="2"/>
  <c r="I679" i="2"/>
  <c r="H679" i="2"/>
  <c r="G679" i="2"/>
  <c r="F679" i="2"/>
  <c r="E679" i="2"/>
  <c r="D679" i="2"/>
  <c r="C679" i="2"/>
  <c r="B679" i="2"/>
  <c r="A679" i="2"/>
  <c r="AJ678" i="2"/>
  <c r="AI678" i="2"/>
  <c r="AH678" i="2"/>
  <c r="AG678" i="2"/>
  <c r="AF678" i="2"/>
  <c r="AE678" i="2"/>
  <c r="AD678" i="2"/>
  <c r="AB678" i="2"/>
  <c r="AA678" i="2"/>
  <c r="Z678" i="2"/>
  <c r="Y678" i="2"/>
  <c r="X678" i="2"/>
  <c r="T678" i="2"/>
  <c r="S678" i="2"/>
  <c r="Q678" i="2"/>
  <c r="P678" i="2"/>
  <c r="O678" i="2"/>
  <c r="N678" i="2"/>
  <c r="M678" i="2"/>
  <c r="L678" i="2"/>
  <c r="K678" i="2"/>
  <c r="J678" i="2"/>
  <c r="I678" i="2"/>
  <c r="H678" i="2"/>
  <c r="G678" i="2"/>
  <c r="F678" i="2"/>
  <c r="E678" i="2"/>
  <c r="D678" i="2"/>
  <c r="C678" i="2"/>
  <c r="B678" i="2"/>
  <c r="A678" i="2"/>
  <c r="AJ677" i="2"/>
  <c r="AH677" i="2"/>
  <c r="AG677" i="2"/>
  <c r="AF677" i="2"/>
  <c r="AE677" i="2"/>
  <c r="AD677" i="2"/>
  <c r="AB677" i="2"/>
  <c r="AA677" i="2"/>
  <c r="Z677" i="2"/>
  <c r="Y677" i="2"/>
  <c r="U677" i="2"/>
  <c r="T677" i="2"/>
  <c r="S677" i="2"/>
  <c r="R677" i="2"/>
  <c r="Q677" i="2"/>
  <c r="P677" i="2"/>
  <c r="O677" i="2"/>
  <c r="N677" i="2"/>
  <c r="M677" i="2"/>
  <c r="L677" i="2"/>
  <c r="K677" i="2"/>
  <c r="J677" i="2"/>
  <c r="I677" i="2"/>
  <c r="H677" i="2"/>
  <c r="G677" i="2"/>
  <c r="F677" i="2"/>
  <c r="E677" i="2"/>
  <c r="D677" i="2"/>
  <c r="C677" i="2"/>
  <c r="B677" i="2"/>
  <c r="A677" i="2"/>
  <c r="AJ676" i="2"/>
  <c r="AI676" i="2"/>
  <c r="AH676" i="2"/>
  <c r="AG676" i="2"/>
  <c r="AF676" i="2"/>
  <c r="AE676" i="2"/>
  <c r="AD676" i="2"/>
  <c r="AB676" i="2"/>
  <c r="AA676" i="2"/>
  <c r="Z676" i="2"/>
  <c r="Y676" i="2"/>
  <c r="W676" i="2"/>
  <c r="V676" i="2"/>
  <c r="U676" i="2"/>
  <c r="T676" i="2"/>
  <c r="S676" i="2"/>
  <c r="R676" i="2"/>
  <c r="Q676" i="2"/>
  <c r="P676" i="2"/>
  <c r="O676" i="2"/>
  <c r="N676" i="2"/>
  <c r="M676" i="2"/>
  <c r="L676" i="2"/>
  <c r="K676" i="2"/>
  <c r="J676" i="2"/>
  <c r="I676" i="2"/>
  <c r="H676" i="2"/>
  <c r="G676" i="2"/>
  <c r="F676" i="2"/>
  <c r="E676" i="2"/>
  <c r="D676" i="2"/>
  <c r="C676" i="2"/>
  <c r="B676" i="2"/>
  <c r="A676" i="2"/>
  <c r="AJ675" i="2"/>
  <c r="AI675" i="2"/>
  <c r="AH675" i="2"/>
  <c r="AF675" i="2"/>
  <c r="AE675" i="2"/>
  <c r="AD675" i="2"/>
  <c r="AC675" i="2"/>
  <c r="Z675" i="2"/>
  <c r="Y675" i="2"/>
  <c r="X675" i="2"/>
  <c r="V675" i="2"/>
  <c r="U675" i="2"/>
  <c r="T675" i="2"/>
  <c r="S675" i="2"/>
  <c r="R675" i="2"/>
  <c r="Q675" i="2"/>
  <c r="P675" i="2"/>
  <c r="O675" i="2"/>
  <c r="N675" i="2"/>
  <c r="M675" i="2"/>
  <c r="L675" i="2"/>
  <c r="K675" i="2"/>
  <c r="J675" i="2"/>
  <c r="I675" i="2"/>
  <c r="H675" i="2"/>
  <c r="G675" i="2"/>
  <c r="F675" i="2"/>
  <c r="E675" i="2"/>
  <c r="D675" i="2"/>
  <c r="C675" i="2"/>
  <c r="B675" i="2"/>
  <c r="A675" i="2"/>
  <c r="AJ674" i="2"/>
  <c r="AI674" i="2"/>
  <c r="AH674" i="2"/>
  <c r="AG674" i="2"/>
  <c r="AF674" i="2"/>
  <c r="AE674" i="2"/>
  <c r="AD674" i="2"/>
  <c r="AC674" i="2"/>
  <c r="AB674" i="2"/>
  <c r="AA674" i="2"/>
  <c r="Z674" i="2"/>
  <c r="Y674" i="2"/>
  <c r="X674" i="2"/>
  <c r="W674" i="2"/>
  <c r="R674" i="2"/>
  <c r="Q674" i="2"/>
  <c r="P674" i="2"/>
  <c r="O674" i="2"/>
  <c r="N674" i="2"/>
  <c r="M674" i="2"/>
  <c r="L674" i="2"/>
  <c r="K674" i="2"/>
  <c r="J674" i="2"/>
  <c r="I674" i="2"/>
  <c r="H674" i="2"/>
  <c r="G674" i="2"/>
  <c r="F674" i="2"/>
  <c r="E674" i="2"/>
  <c r="D674" i="2"/>
  <c r="C674" i="2"/>
  <c r="B674" i="2"/>
  <c r="A674" i="2"/>
  <c r="AJ673" i="2"/>
  <c r="AI673" i="2"/>
  <c r="AH673" i="2"/>
  <c r="AG673" i="2"/>
  <c r="AE673" i="2"/>
  <c r="AD673" i="2"/>
  <c r="AC673" i="2"/>
  <c r="AB673" i="2"/>
  <c r="AA673" i="2"/>
  <c r="Z673" i="2"/>
  <c r="Y673" i="2"/>
  <c r="W673" i="2"/>
  <c r="V673" i="2"/>
  <c r="U673" i="2"/>
  <c r="T673" i="2"/>
  <c r="S673" i="2"/>
  <c r="R673" i="2"/>
  <c r="Q673" i="2"/>
  <c r="P673" i="2"/>
  <c r="O673" i="2"/>
  <c r="N673" i="2"/>
  <c r="M673" i="2"/>
  <c r="L673" i="2"/>
  <c r="K673" i="2"/>
  <c r="J673" i="2"/>
  <c r="I673" i="2"/>
  <c r="H673" i="2"/>
  <c r="G673" i="2"/>
  <c r="F673" i="2"/>
  <c r="E673" i="2"/>
  <c r="D673" i="2"/>
  <c r="C673" i="2"/>
  <c r="B673" i="2"/>
  <c r="A673" i="2"/>
  <c r="AJ672" i="2"/>
  <c r="AI672" i="2"/>
  <c r="AH672" i="2"/>
  <c r="AG672" i="2"/>
  <c r="AF672" i="2"/>
  <c r="AE672" i="2"/>
  <c r="AD672" i="2"/>
  <c r="AC672" i="2"/>
  <c r="AB672" i="2"/>
  <c r="AA672" i="2"/>
  <c r="Z672" i="2"/>
  <c r="Y672" i="2"/>
  <c r="X672" i="2"/>
  <c r="V672" i="2"/>
  <c r="U672" i="2"/>
  <c r="T672" i="2"/>
  <c r="S672" i="2"/>
  <c r="R672" i="2"/>
  <c r="Q672" i="2"/>
  <c r="P672" i="2"/>
  <c r="O672" i="2"/>
  <c r="N672" i="2"/>
  <c r="M672" i="2"/>
  <c r="L672" i="2"/>
  <c r="K672" i="2"/>
  <c r="J672" i="2"/>
  <c r="I672" i="2"/>
  <c r="H672" i="2"/>
  <c r="G672" i="2"/>
  <c r="F672" i="2"/>
  <c r="E672" i="2"/>
  <c r="D672" i="2"/>
  <c r="C672" i="2"/>
  <c r="B672" i="2"/>
  <c r="A672" i="2"/>
  <c r="AJ671" i="2"/>
  <c r="AH671" i="2"/>
  <c r="AG671" i="2"/>
  <c r="AF671" i="2"/>
  <c r="AE671" i="2"/>
  <c r="AD671" i="2"/>
  <c r="AB671" i="2"/>
  <c r="Z671" i="2"/>
  <c r="Y671" i="2"/>
  <c r="X671" i="2"/>
  <c r="W671" i="2"/>
  <c r="V671" i="2"/>
  <c r="U671" i="2"/>
  <c r="T671" i="2"/>
  <c r="S671" i="2"/>
  <c r="R671" i="2"/>
  <c r="Q671" i="2"/>
  <c r="P671" i="2"/>
  <c r="O671" i="2"/>
  <c r="N671" i="2"/>
  <c r="M671" i="2"/>
  <c r="L671" i="2"/>
  <c r="K671" i="2"/>
  <c r="J671" i="2"/>
  <c r="I671" i="2"/>
  <c r="H671" i="2"/>
  <c r="G671" i="2"/>
  <c r="F671" i="2"/>
  <c r="E671" i="2"/>
  <c r="D671" i="2"/>
  <c r="C671" i="2"/>
  <c r="B671" i="2"/>
  <c r="A671" i="2"/>
  <c r="AJ670" i="2"/>
  <c r="AI670" i="2"/>
  <c r="AH670" i="2"/>
  <c r="AG670" i="2"/>
  <c r="AF670" i="2"/>
  <c r="AE670" i="2"/>
  <c r="AD670" i="2"/>
  <c r="AC670" i="2"/>
  <c r="AB670" i="2"/>
  <c r="AA670" i="2"/>
  <c r="Z670" i="2"/>
  <c r="Y670" i="2"/>
  <c r="X670" i="2"/>
  <c r="W670" i="2"/>
  <c r="V670" i="2"/>
  <c r="U670" i="2"/>
  <c r="T670" i="2"/>
  <c r="S670" i="2"/>
  <c r="R670" i="2"/>
  <c r="Q670" i="2"/>
  <c r="P670" i="2"/>
  <c r="O670" i="2"/>
  <c r="N670" i="2"/>
  <c r="M670" i="2"/>
  <c r="L670" i="2"/>
  <c r="K670" i="2"/>
  <c r="J670" i="2"/>
  <c r="I670" i="2"/>
  <c r="H670" i="2"/>
  <c r="G670" i="2"/>
  <c r="F670" i="2"/>
  <c r="E670" i="2"/>
  <c r="D670" i="2"/>
  <c r="C670" i="2"/>
  <c r="B670" i="2"/>
  <c r="A670" i="2"/>
  <c r="AJ669" i="2"/>
  <c r="AI669" i="2"/>
  <c r="AH669" i="2"/>
  <c r="AG669" i="2"/>
  <c r="AF669" i="2"/>
  <c r="AE669" i="2"/>
  <c r="AD669" i="2"/>
  <c r="AC669" i="2"/>
  <c r="AB669" i="2"/>
  <c r="AA669" i="2"/>
  <c r="Z669" i="2"/>
  <c r="Y669" i="2"/>
  <c r="X669" i="2"/>
  <c r="V669" i="2"/>
  <c r="U669" i="2"/>
  <c r="T669" i="2"/>
  <c r="S669" i="2"/>
  <c r="Q669" i="2"/>
  <c r="P669" i="2"/>
  <c r="O669" i="2"/>
  <c r="N669" i="2"/>
  <c r="M669" i="2"/>
  <c r="L669" i="2"/>
  <c r="K669" i="2"/>
  <c r="J669" i="2"/>
  <c r="I669" i="2"/>
  <c r="H669" i="2"/>
  <c r="G669" i="2"/>
  <c r="F669" i="2"/>
  <c r="E669" i="2"/>
  <c r="D669" i="2"/>
  <c r="C669" i="2"/>
  <c r="B669" i="2"/>
  <c r="A669" i="2"/>
  <c r="AJ668" i="2"/>
  <c r="AH668" i="2"/>
  <c r="AG668" i="2"/>
  <c r="AF668" i="2"/>
  <c r="AE668" i="2"/>
  <c r="AD668" i="2"/>
  <c r="Z668" i="2"/>
  <c r="Y668" i="2"/>
  <c r="X668" i="2"/>
  <c r="W668" i="2"/>
  <c r="V668" i="2"/>
  <c r="U668" i="2"/>
  <c r="T668" i="2"/>
  <c r="S668" i="2"/>
  <c r="R668" i="2"/>
  <c r="Q668" i="2"/>
  <c r="P668" i="2"/>
  <c r="O668" i="2"/>
  <c r="N668" i="2"/>
  <c r="M668" i="2"/>
  <c r="L668" i="2"/>
  <c r="K668" i="2"/>
  <c r="J668" i="2"/>
  <c r="I668" i="2"/>
  <c r="H668" i="2"/>
  <c r="G668" i="2"/>
  <c r="F668" i="2"/>
  <c r="E668" i="2"/>
  <c r="D668" i="2"/>
  <c r="C668" i="2"/>
  <c r="B668" i="2"/>
  <c r="A668" i="2"/>
  <c r="AJ667" i="2"/>
  <c r="AI667" i="2"/>
  <c r="AH667" i="2"/>
  <c r="AG667" i="2"/>
  <c r="AF667" i="2"/>
  <c r="AE667" i="2"/>
  <c r="AD667" i="2"/>
  <c r="AB667" i="2"/>
  <c r="AA667" i="2"/>
  <c r="Z667" i="2"/>
  <c r="Y667" i="2"/>
  <c r="X667" i="2"/>
  <c r="W667" i="2"/>
  <c r="V667" i="2"/>
  <c r="U667" i="2"/>
  <c r="T667" i="2"/>
  <c r="S667" i="2"/>
  <c r="R667" i="2"/>
  <c r="Q667" i="2"/>
  <c r="P667" i="2"/>
  <c r="O667" i="2"/>
  <c r="N667" i="2"/>
  <c r="M667" i="2"/>
  <c r="L667" i="2"/>
  <c r="K667" i="2"/>
  <c r="J667" i="2"/>
  <c r="I667" i="2"/>
  <c r="H667" i="2"/>
  <c r="G667" i="2"/>
  <c r="F667" i="2"/>
  <c r="E667" i="2"/>
  <c r="D667" i="2"/>
  <c r="C667" i="2"/>
  <c r="B667" i="2"/>
  <c r="A667" i="2"/>
  <c r="AJ666" i="2"/>
  <c r="AG666" i="2"/>
  <c r="AF666" i="2"/>
  <c r="AE666" i="2"/>
  <c r="AD666" i="2"/>
  <c r="Z666" i="2"/>
  <c r="Y666" i="2"/>
  <c r="X666" i="2"/>
  <c r="W666" i="2"/>
  <c r="V666" i="2"/>
  <c r="U666" i="2"/>
  <c r="T666" i="2"/>
  <c r="S666" i="2"/>
  <c r="R666" i="2"/>
  <c r="Q666" i="2"/>
  <c r="P666" i="2"/>
  <c r="O666" i="2"/>
  <c r="N666" i="2"/>
  <c r="M666" i="2"/>
  <c r="L666" i="2"/>
  <c r="K666" i="2"/>
  <c r="J666" i="2"/>
  <c r="I666" i="2"/>
  <c r="H666" i="2"/>
  <c r="G666" i="2"/>
  <c r="F666" i="2"/>
  <c r="E666" i="2"/>
  <c r="D666" i="2"/>
  <c r="C666" i="2"/>
  <c r="B666" i="2"/>
  <c r="A666" i="2"/>
  <c r="AJ665" i="2"/>
  <c r="AI665" i="2"/>
  <c r="AH665" i="2"/>
  <c r="AG665" i="2"/>
  <c r="AF665" i="2"/>
  <c r="AE665" i="2"/>
  <c r="AD665" i="2"/>
  <c r="AC665" i="2"/>
  <c r="AB665" i="2"/>
  <c r="AA665" i="2"/>
  <c r="Z665" i="2"/>
  <c r="Y665" i="2"/>
  <c r="X665" i="2"/>
  <c r="W665" i="2"/>
  <c r="V665" i="2"/>
  <c r="U665" i="2"/>
  <c r="T665" i="2"/>
  <c r="S665" i="2"/>
  <c r="R665" i="2"/>
  <c r="Q665" i="2"/>
  <c r="P665" i="2"/>
  <c r="O665" i="2"/>
  <c r="N665" i="2"/>
  <c r="M665" i="2"/>
  <c r="L665" i="2"/>
  <c r="K665" i="2"/>
  <c r="J665" i="2"/>
  <c r="I665" i="2"/>
  <c r="H665" i="2"/>
  <c r="G665" i="2"/>
  <c r="F665" i="2"/>
  <c r="E665" i="2"/>
  <c r="D665" i="2"/>
  <c r="C665" i="2"/>
  <c r="B665" i="2"/>
  <c r="A665" i="2"/>
  <c r="AJ664" i="2"/>
  <c r="AH664" i="2"/>
  <c r="AG664" i="2"/>
  <c r="AF664" i="2"/>
  <c r="AE664" i="2"/>
  <c r="AD664" i="2"/>
  <c r="AB664" i="2"/>
  <c r="AA664" i="2"/>
  <c r="Z664" i="2"/>
  <c r="Y664" i="2"/>
  <c r="X664" i="2"/>
  <c r="W664" i="2"/>
  <c r="V664" i="2"/>
  <c r="U664" i="2"/>
  <c r="T664" i="2"/>
  <c r="S664" i="2"/>
  <c r="R664" i="2"/>
  <c r="Q664" i="2"/>
  <c r="P664" i="2"/>
  <c r="O664" i="2"/>
  <c r="N664" i="2"/>
  <c r="M664" i="2"/>
  <c r="L664" i="2"/>
  <c r="K664" i="2"/>
  <c r="J664" i="2"/>
  <c r="I664" i="2"/>
  <c r="H664" i="2"/>
  <c r="G664" i="2"/>
  <c r="F664" i="2"/>
  <c r="E664" i="2"/>
  <c r="D664" i="2"/>
  <c r="C664" i="2"/>
  <c r="B664" i="2"/>
  <c r="A664" i="2"/>
  <c r="AJ663" i="2"/>
  <c r="AH663" i="2"/>
  <c r="AG663" i="2"/>
  <c r="AF663" i="2"/>
  <c r="AE663" i="2"/>
  <c r="AD663" i="2"/>
  <c r="AB663" i="2"/>
  <c r="Z663" i="2"/>
  <c r="Y663" i="2"/>
  <c r="X663" i="2"/>
  <c r="W663" i="2"/>
  <c r="V663" i="2"/>
  <c r="U663" i="2"/>
  <c r="T663" i="2"/>
  <c r="S663" i="2"/>
  <c r="R663" i="2"/>
  <c r="Q663" i="2"/>
  <c r="P663" i="2"/>
  <c r="O663" i="2"/>
  <c r="N663" i="2"/>
  <c r="M663" i="2"/>
  <c r="L663" i="2"/>
  <c r="K663" i="2"/>
  <c r="J663" i="2"/>
  <c r="I663" i="2"/>
  <c r="H663" i="2"/>
  <c r="G663" i="2"/>
  <c r="F663" i="2"/>
  <c r="E663" i="2"/>
  <c r="D663" i="2"/>
  <c r="C663" i="2"/>
  <c r="B663" i="2"/>
  <c r="A663" i="2"/>
  <c r="AJ662" i="2"/>
  <c r="AI662" i="2"/>
  <c r="AH662" i="2"/>
  <c r="AF662" i="2"/>
  <c r="AE662" i="2"/>
  <c r="AD662" i="2"/>
  <c r="AB662" i="2"/>
  <c r="AA662" i="2"/>
  <c r="Z662" i="2"/>
  <c r="Y662" i="2"/>
  <c r="X662" i="2"/>
  <c r="W662" i="2"/>
  <c r="V662" i="2"/>
  <c r="U662" i="2"/>
  <c r="T662" i="2"/>
  <c r="S662" i="2"/>
  <c r="R662" i="2"/>
  <c r="Q662" i="2"/>
  <c r="P662" i="2"/>
  <c r="O662" i="2"/>
  <c r="N662" i="2"/>
  <c r="M662" i="2"/>
  <c r="L662" i="2"/>
  <c r="K662" i="2"/>
  <c r="J662" i="2"/>
  <c r="I662" i="2"/>
  <c r="H662" i="2"/>
  <c r="G662" i="2"/>
  <c r="F662" i="2"/>
  <c r="E662" i="2"/>
  <c r="D662" i="2"/>
  <c r="C662" i="2"/>
  <c r="B662" i="2"/>
  <c r="A662" i="2"/>
  <c r="AJ661" i="2"/>
  <c r="AI661" i="2"/>
  <c r="AH661" i="2"/>
  <c r="AG661" i="2"/>
  <c r="AF661" i="2"/>
  <c r="AE661" i="2"/>
  <c r="AD661" i="2"/>
  <c r="AC661" i="2"/>
  <c r="AB661" i="2"/>
  <c r="AA661" i="2"/>
  <c r="Z661" i="2"/>
  <c r="Y661" i="2"/>
  <c r="W661" i="2"/>
  <c r="V661" i="2"/>
  <c r="U661" i="2"/>
  <c r="T661" i="2"/>
  <c r="S661" i="2"/>
  <c r="R661" i="2"/>
  <c r="Q661" i="2"/>
  <c r="P661" i="2"/>
  <c r="O661" i="2"/>
  <c r="N661" i="2"/>
  <c r="M661" i="2"/>
  <c r="L661" i="2"/>
  <c r="K661" i="2"/>
  <c r="J661" i="2"/>
  <c r="I661" i="2"/>
  <c r="H661" i="2"/>
  <c r="G661" i="2"/>
  <c r="F661" i="2"/>
  <c r="E661" i="2"/>
  <c r="D661" i="2"/>
  <c r="C661" i="2"/>
  <c r="B661" i="2"/>
  <c r="A661" i="2"/>
  <c r="AJ660" i="2"/>
  <c r="AH660" i="2"/>
  <c r="AG660" i="2"/>
  <c r="AF660" i="2"/>
  <c r="AE660" i="2"/>
  <c r="AD660" i="2"/>
  <c r="AB660" i="2"/>
  <c r="Z660" i="2"/>
  <c r="Y660" i="2"/>
  <c r="X660" i="2"/>
  <c r="W660" i="2"/>
  <c r="V660" i="2"/>
  <c r="U660" i="2"/>
  <c r="T660" i="2"/>
  <c r="S660" i="2"/>
  <c r="R660" i="2"/>
  <c r="Q660" i="2"/>
  <c r="P660" i="2"/>
  <c r="O660" i="2"/>
  <c r="N660" i="2"/>
  <c r="M660" i="2"/>
  <c r="L660" i="2"/>
  <c r="K660" i="2"/>
  <c r="J660" i="2"/>
  <c r="I660" i="2"/>
  <c r="H660" i="2"/>
  <c r="G660" i="2"/>
  <c r="F660" i="2"/>
  <c r="E660" i="2"/>
  <c r="D660" i="2"/>
  <c r="C660" i="2"/>
  <c r="B660" i="2"/>
  <c r="A660" i="2"/>
  <c r="AJ659" i="2"/>
  <c r="AI659" i="2"/>
  <c r="AH659" i="2"/>
  <c r="AG659" i="2"/>
  <c r="AF659" i="2"/>
  <c r="AE659" i="2"/>
  <c r="AD659" i="2"/>
  <c r="AC659" i="2"/>
  <c r="AB659" i="2"/>
  <c r="AA659" i="2"/>
  <c r="Z659" i="2"/>
  <c r="Y659" i="2"/>
  <c r="X659" i="2"/>
  <c r="V659" i="2"/>
  <c r="U659" i="2"/>
  <c r="T659" i="2"/>
  <c r="S659" i="2"/>
  <c r="R659" i="2"/>
  <c r="Q659" i="2"/>
  <c r="P659" i="2"/>
  <c r="O659" i="2"/>
  <c r="N659" i="2"/>
  <c r="M659" i="2"/>
  <c r="L659" i="2"/>
  <c r="K659" i="2"/>
  <c r="J659" i="2"/>
  <c r="I659" i="2"/>
  <c r="H659" i="2"/>
  <c r="G659" i="2"/>
  <c r="F659" i="2"/>
  <c r="E659" i="2"/>
  <c r="D659" i="2"/>
  <c r="C659" i="2"/>
  <c r="B659" i="2"/>
  <c r="A659" i="2"/>
  <c r="AJ658" i="2"/>
  <c r="AH658" i="2"/>
  <c r="AG658" i="2"/>
  <c r="AF658" i="2"/>
  <c r="AE658" i="2"/>
  <c r="AD658" i="2"/>
  <c r="AB658" i="2"/>
  <c r="Z658" i="2"/>
  <c r="Y658" i="2"/>
  <c r="X658" i="2"/>
  <c r="V658" i="2"/>
  <c r="U658" i="2"/>
  <c r="T658" i="2"/>
  <c r="S658" i="2"/>
  <c r="R658" i="2"/>
  <c r="Q658" i="2"/>
  <c r="P658" i="2"/>
  <c r="O658" i="2"/>
  <c r="N658" i="2"/>
  <c r="M658" i="2"/>
  <c r="L658" i="2"/>
  <c r="K658" i="2"/>
  <c r="J658" i="2"/>
  <c r="I658" i="2"/>
  <c r="H658" i="2"/>
  <c r="G658" i="2"/>
  <c r="F658" i="2"/>
  <c r="E658" i="2"/>
  <c r="D658" i="2"/>
  <c r="C658" i="2"/>
  <c r="B658" i="2"/>
  <c r="A658" i="2"/>
  <c r="AJ657" i="2"/>
  <c r="AH657" i="2"/>
  <c r="AG657" i="2"/>
  <c r="AF657" i="2"/>
  <c r="AE657" i="2"/>
  <c r="AD657" i="2"/>
  <c r="AB657" i="2"/>
  <c r="Z657" i="2"/>
  <c r="Y657" i="2"/>
  <c r="X657" i="2"/>
  <c r="W657" i="2"/>
  <c r="V657" i="2"/>
  <c r="U657" i="2"/>
  <c r="T657" i="2"/>
  <c r="S657" i="2"/>
  <c r="R657" i="2"/>
  <c r="Q657" i="2"/>
  <c r="P657" i="2"/>
  <c r="O657" i="2"/>
  <c r="N657" i="2"/>
  <c r="M657" i="2"/>
  <c r="L657" i="2"/>
  <c r="K657" i="2"/>
  <c r="J657" i="2"/>
  <c r="I657" i="2"/>
  <c r="H657" i="2"/>
  <c r="G657" i="2"/>
  <c r="F657" i="2"/>
  <c r="E657" i="2"/>
  <c r="D657" i="2"/>
  <c r="C657" i="2"/>
  <c r="B657" i="2"/>
  <c r="A657" i="2"/>
  <c r="AJ656" i="2"/>
  <c r="AH656" i="2"/>
  <c r="AG656" i="2"/>
  <c r="AF656" i="2"/>
  <c r="AE656" i="2"/>
  <c r="AD656" i="2"/>
  <c r="Z656" i="2"/>
  <c r="Y656" i="2"/>
  <c r="X656" i="2"/>
  <c r="W656" i="2"/>
  <c r="V656" i="2"/>
  <c r="U656" i="2"/>
  <c r="T656" i="2"/>
  <c r="S656" i="2"/>
  <c r="R656" i="2"/>
  <c r="Q656" i="2"/>
  <c r="P656" i="2"/>
  <c r="O656" i="2"/>
  <c r="N656" i="2"/>
  <c r="M656" i="2"/>
  <c r="L656" i="2"/>
  <c r="K656" i="2"/>
  <c r="J656" i="2"/>
  <c r="I656" i="2"/>
  <c r="H656" i="2"/>
  <c r="G656" i="2"/>
  <c r="F656" i="2"/>
  <c r="E656" i="2"/>
  <c r="D656" i="2"/>
  <c r="C656" i="2"/>
  <c r="B656" i="2"/>
  <c r="A656" i="2"/>
  <c r="AJ655" i="2"/>
  <c r="AI655" i="2"/>
  <c r="AH655" i="2"/>
  <c r="AG655" i="2"/>
  <c r="AF655" i="2"/>
  <c r="AE655" i="2"/>
  <c r="AD655" i="2"/>
  <c r="AC655" i="2"/>
  <c r="AB655" i="2"/>
  <c r="AA655" i="2"/>
  <c r="Z655" i="2"/>
  <c r="Y655" i="2"/>
  <c r="X655" i="2"/>
  <c r="W655" i="2"/>
  <c r="V655" i="2"/>
  <c r="U655" i="2"/>
  <c r="T655" i="2"/>
  <c r="S655" i="2"/>
  <c r="R655" i="2"/>
  <c r="Q655" i="2"/>
  <c r="P655" i="2"/>
  <c r="O655" i="2"/>
  <c r="N655" i="2"/>
  <c r="M655" i="2"/>
  <c r="L655" i="2"/>
  <c r="K655" i="2"/>
  <c r="J655" i="2"/>
  <c r="I655" i="2"/>
  <c r="H655" i="2"/>
  <c r="G655" i="2"/>
  <c r="F655" i="2"/>
  <c r="E655" i="2"/>
  <c r="D655" i="2"/>
  <c r="C655" i="2"/>
  <c r="B655" i="2"/>
  <c r="A655" i="2"/>
  <c r="AJ654" i="2"/>
  <c r="AI654" i="2"/>
  <c r="AH654" i="2"/>
  <c r="AG654" i="2"/>
  <c r="AF654" i="2"/>
  <c r="AE654" i="2"/>
  <c r="AD654" i="2"/>
  <c r="AC654" i="2"/>
  <c r="AB654" i="2"/>
  <c r="AA654" i="2"/>
  <c r="Z654" i="2"/>
  <c r="Y654" i="2"/>
  <c r="X654" i="2"/>
  <c r="U654" i="2"/>
  <c r="T654" i="2"/>
  <c r="S654" i="2"/>
  <c r="R654" i="2"/>
  <c r="Q654" i="2"/>
  <c r="P654" i="2"/>
  <c r="O654" i="2"/>
  <c r="N654" i="2"/>
  <c r="M654" i="2"/>
  <c r="L654" i="2"/>
  <c r="K654" i="2"/>
  <c r="J654" i="2"/>
  <c r="I654" i="2"/>
  <c r="H654" i="2"/>
  <c r="G654" i="2"/>
  <c r="F654" i="2"/>
  <c r="E654" i="2"/>
  <c r="D654" i="2"/>
  <c r="C654" i="2"/>
  <c r="B654" i="2"/>
  <c r="A654" i="2"/>
  <c r="AJ653" i="2"/>
  <c r="AI653" i="2"/>
  <c r="AH653" i="2"/>
  <c r="AG653" i="2"/>
  <c r="AF653" i="2"/>
  <c r="AE653" i="2"/>
  <c r="AD653" i="2"/>
  <c r="AC653" i="2"/>
  <c r="AB653" i="2"/>
  <c r="AA653" i="2"/>
  <c r="Z653" i="2"/>
  <c r="Y653" i="2"/>
  <c r="X653" i="2"/>
  <c r="W653" i="2"/>
  <c r="V653" i="2"/>
  <c r="U653" i="2"/>
  <c r="T653" i="2"/>
  <c r="S653" i="2"/>
  <c r="R653" i="2"/>
  <c r="Q653" i="2"/>
  <c r="P653" i="2"/>
  <c r="N653" i="2"/>
  <c r="M653" i="2"/>
  <c r="L653" i="2"/>
  <c r="K653" i="2"/>
  <c r="J653" i="2"/>
  <c r="I653" i="2"/>
  <c r="H653" i="2"/>
  <c r="G653" i="2"/>
  <c r="F653" i="2"/>
  <c r="E653" i="2"/>
  <c r="D653" i="2"/>
  <c r="C653" i="2"/>
  <c r="B653" i="2"/>
  <c r="A653" i="2"/>
  <c r="AJ652" i="2"/>
  <c r="AI652" i="2"/>
  <c r="AH652" i="2"/>
  <c r="AF652" i="2"/>
  <c r="AE652" i="2"/>
  <c r="AD652" i="2"/>
  <c r="AC652" i="2"/>
  <c r="AB652" i="2"/>
  <c r="AA652" i="2"/>
  <c r="Z652" i="2"/>
  <c r="Y652" i="2"/>
  <c r="W652" i="2"/>
  <c r="V652" i="2"/>
  <c r="U652" i="2"/>
  <c r="T652" i="2"/>
  <c r="S652" i="2"/>
  <c r="R652" i="2"/>
  <c r="Q652" i="2"/>
  <c r="P652" i="2"/>
  <c r="O652" i="2"/>
  <c r="N652" i="2"/>
  <c r="M652" i="2"/>
  <c r="L652" i="2"/>
  <c r="K652" i="2"/>
  <c r="J652" i="2"/>
  <c r="I652" i="2"/>
  <c r="H652" i="2"/>
  <c r="G652" i="2"/>
  <c r="F652" i="2"/>
  <c r="E652" i="2"/>
  <c r="D652" i="2"/>
  <c r="C652" i="2"/>
  <c r="B652" i="2"/>
  <c r="A652" i="2"/>
  <c r="AJ651" i="2"/>
  <c r="AI651" i="2"/>
  <c r="AH651" i="2"/>
  <c r="AG651" i="2"/>
  <c r="AF651" i="2"/>
  <c r="AE651" i="2"/>
  <c r="AD651" i="2"/>
  <c r="AC651" i="2"/>
  <c r="AB651" i="2"/>
  <c r="AA651" i="2"/>
  <c r="Z651" i="2"/>
  <c r="Y651" i="2"/>
  <c r="X651" i="2"/>
  <c r="W651" i="2"/>
  <c r="V651" i="2"/>
  <c r="U651" i="2"/>
  <c r="T651" i="2"/>
  <c r="S651" i="2"/>
  <c r="R651" i="2"/>
  <c r="Q651" i="2"/>
  <c r="P651" i="2"/>
  <c r="O651" i="2"/>
  <c r="N651" i="2"/>
  <c r="M651" i="2"/>
  <c r="L651" i="2"/>
  <c r="K651" i="2"/>
  <c r="J651" i="2"/>
  <c r="I651" i="2"/>
  <c r="H651" i="2"/>
  <c r="G651" i="2"/>
  <c r="F651" i="2"/>
  <c r="E651" i="2"/>
  <c r="D651" i="2"/>
  <c r="C651" i="2"/>
  <c r="B651" i="2"/>
  <c r="A651" i="2"/>
  <c r="AJ650" i="2"/>
  <c r="AI650" i="2"/>
  <c r="AF650" i="2"/>
  <c r="AE650" i="2"/>
  <c r="AD650" i="2"/>
  <c r="AC650" i="2"/>
  <c r="AB650" i="2"/>
  <c r="Z650" i="2"/>
  <c r="Y650" i="2"/>
  <c r="X650" i="2"/>
  <c r="W650" i="2"/>
  <c r="V650" i="2"/>
  <c r="U650" i="2"/>
  <c r="T650" i="2"/>
  <c r="S650" i="2"/>
  <c r="R650" i="2"/>
  <c r="Q650" i="2"/>
  <c r="P650" i="2"/>
  <c r="O650" i="2"/>
  <c r="N650" i="2"/>
  <c r="M650" i="2"/>
  <c r="L650" i="2"/>
  <c r="K650" i="2"/>
  <c r="J650" i="2"/>
  <c r="I650" i="2"/>
  <c r="H650" i="2"/>
  <c r="G650" i="2"/>
  <c r="F650" i="2"/>
  <c r="E650" i="2"/>
  <c r="D650" i="2"/>
  <c r="C650" i="2"/>
  <c r="B650" i="2"/>
  <c r="A650" i="2"/>
  <c r="AJ649" i="2"/>
  <c r="AH649" i="2"/>
  <c r="AG649" i="2"/>
  <c r="AE649" i="2"/>
  <c r="AD649" i="2"/>
  <c r="Z649" i="2"/>
  <c r="Y649" i="2"/>
  <c r="X649" i="2"/>
  <c r="V649" i="2"/>
  <c r="U649" i="2"/>
  <c r="T649" i="2"/>
  <c r="S649" i="2"/>
  <c r="R649" i="2"/>
  <c r="Q649" i="2"/>
  <c r="P649" i="2"/>
  <c r="O649" i="2"/>
  <c r="N649" i="2"/>
  <c r="M649" i="2"/>
  <c r="L649" i="2"/>
  <c r="K649" i="2"/>
  <c r="J649" i="2"/>
  <c r="I649" i="2"/>
  <c r="H649" i="2"/>
  <c r="G649" i="2"/>
  <c r="F649" i="2"/>
  <c r="E649" i="2"/>
  <c r="D649" i="2"/>
  <c r="C649" i="2"/>
  <c r="B649" i="2"/>
  <c r="A649" i="2"/>
  <c r="AJ648" i="2"/>
  <c r="AH648" i="2"/>
  <c r="AG648" i="2"/>
  <c r="AF648" i="2"/>
  <c r="AE648" i="2"/>
  <c r="AD648" i="2"/>
  <c r="Z648" i="2"/>
  <c r="Y648" i="2"/>
  <c r="X648" i="2"/>
  <c r="W648" i="2"/>
  <c r="V648" i="2"/>
  <c r="U648" i="2"/>
  <c r="T648" i="2"/>
  <c r="S648" i="2"/>
  <c r="R648" i="2"/>
  <c r="Q648" i="2"/>
  <c r="P648" i="2"/>
  <c r="O648" i="2"/>
  <c r="N648" i="2"/>
  <c r="M648" i="2"/>
  <c r="L648" i="2"/>
  <c r="K648" i="2"/>
  <c r="J648" i="2"/>
  <c r="I648" i="2"/>
  <c r="H648" i="2"/>
  <c r="G648" i="2"/>
  <c r="F648" i="2"/>
  <c r="E648" i="2"/>
  <c r="D648" i="2"/>
  <c r="C648" i="2"/>
  <c r="B648" i="2"/>
  <c r="A648" i="2"/>
  <c r="AJ647" i="2"/>
  <c r="AH647" i="2"/>
  <c r="AG647" i="2"/>
  <c r="AF647" i="2"/>
  <c r="AE647" i="2"/>
  <c r="AD647" i="2"/>
  <c r="AB647" i="2"/>
  <c r="Z647" i="2"/>
  <c r="Y647" i="2"/>
  <c r="X647" i="2"/>
  <c r="W647" i="2"/>
  <c r="V647" i="2"/>
  <c r="U647" i="2"/>
  <c r="T647" i="2"/>
  <c r="S647" i="2"/>
  <c r="R647" i="2"/>
  <c r="Q647" i="2"/>
  <c r="P647" i="2"/>
  <c r="O647" i="2"/>
  <c r="N647" i="2"/>
  <c r="M647" i="2"/>
  <c r="L647" i="2"/>
  <c r="K647" i="2"/>
  <c r="J647" i="2"/>
  <c r="I647" i="2"/>
  <c r="H647" i="2"/>
  <c r="G647" i="2"/>
  <c r="F647" i="2"/>
  <c r="E647" i="2"/>
  <c r="D647" i="2"/>
  <c r="C647" i="2"/>
  <c r="B647" i="2"/>
  <c r="A647" i="2"/>
  <c r="AJ646" i="2"/>
  <c r="AH646" i="2"/>
  <c r="AF646" i="2"/>
  <c r="AE646" i="2"/>
  <c r="AD646" i="2"/>
  <c r="AC646" i="2"/>
  <c r="Z646" i="2"/>
  <c r="Y646" i="2"/>
  <c r="X646" i="2"/>
  <c r="W646" i="2"/>
  <c r="V646" i="2"/>
  <c r="U646" i="2"/>
  <c r="T646" i="2"/>
  <c r="S646" i="2"/>
  <c r="R646" i="2"/>
  <c r="Q646" i="2"/>
  <c r="P646" i="2"/>
  <c r="O646" i="2"/>
  <c r="N646" i="2"/>
  <c r="M646" i="2"/>
  <c r="L646" i="2"/>
  <c r="K646" i="2"/>
  <c r="J646" i="2"/>
  <c r="I646" i="2"/>
  <c r="H646" i="2"/>
  <c r="G646" i="2"/>
  <c r="F646" i="2"/>
  <c r="E646" i="2"/>
  <c r="D646" i="2"/>
  <c r="C646" i="2"/>
  <c r="B646" i="2"/>
  <c r="A646" i="2"/>
  <c r="AJ645" i="2"/>
  <c r="AH645" i="2"/>
  <c r="AG645" i="2"/>
  <c r="AF645" i="2"/>
  <c r="AE645" i="2"/>
  <c r="AD645" i="2"/>
  <c r="AB645" i="2"/>
  <c r="AA645" i="2"/>
  <c r="Z645" i="2"/>
  <c r="Y645" i="2"/>
  <c r="X645" i="2"/>
  <c r="W645" i="2"/>
  <c r="V645" i="2"/>
  <c r="U645" i="2"/>
  <c r="T645" i="2"/>
  <c r="S645" i="2"/>
  <c r="R645" i="2"/>
  <c r="Q645" i="2"/>
  <c r="P645" i="2"/>
  <c r="O645" i="2"/>
  <c r="N645" i="2"/>
  <c r="M645" i="2"/>
  <c r="L645" i="2"/>
  <c r="K645" i="2"/>
  <c r="J645" i="2"/>
  <c r="I645" i="2"/>
  <c r="H645" i="2"/>
  <c r="G645" i="2"/>
  <c r="F645" i="2"/>
  <c r="E645" i="2"/>
  <c r="D645" i="2"/>
  <c r="C645" i="2"/>
  <c r="B645" i="2"/>
  <c r="A645" i="2"/>
  <c r="AJ644" i="2"/>
  <c r="AI644" i="2"/>
  <c r="AH644" i="2"/>
  <c r="AG644" i="2"/>
  <c r="AF644" i="2"/>
  <c r="AE644" i="2"/>
  <c r="AD644" i="2"/>
  <c r="AC644" i="2"/>
  <c r="AB644" i="2"/>
  <c r="AA644" i="2"/>
  <c r="Z644" i="2"/>
  <c r="Y644" i="2"/>
  <c r="X644" i="2"/>
  <c r="V644" i="2"/>
  <c r="U644" i="2"/>
  <c r="T644" i="2"/>
  <c r="S644" i="2"/>
  <c r="R644" i="2"/>
  <c r="Q644" i="2"/>
  <c r="P644" i="2"/>
  <c r="O644" i="2"/>
  <c r="N644" i="2"/>
  <c r="M644" i="2"/>
  <c r="L644" i="2"/>
  <c r="K644" i="2"/>
  <c r="J644" i="2"/>
  <c r="I644" i="2"/>
  <c r="H644" i="2"/>
  <c r="G644" i="2"/>
  <c r="F644" i="2"/>
  <c r="E644" i="2"/>
  <c r="D644" i="2"/>
  <c r="C644" i="2"/>
  <c r="B644" i="2"/>
  <c r="A644" i="2"/>
  <c r="AJ643" i="2"/>
  <c r="AG643" i="2"/>
  <c r="AE643" i="2"/>
  <c r="AD643" i="2"/>
  <c r="AC643" i="2"/>
  <c r="AB643" i="2"/>
  <c r="Z643" i="2"/>
  <c r="Y643" i="2"/>
  <c r="X643" i="2"/>
  <c r="W643" i="2"/>
  <c r="V643" i="2"/>
  <c r="U643" i="2"/>
  <c r="T643" i="2"/>
  <c r="S643" i="2"/>
  <c r="R643" i="2"/>
  <c r="Q643" i="2"/>
  <c r="P643" i="2"/>
  <c r="O643" i="2"/>
  <c r="N643" i="2"/>
  <c r="M643" i="2"/>
  <c r="L643" i="2"/>
  <c r="K643" i="2"/>
  <c r="J643" i="2"/>
  <c r="I643" i="2"/>
  <c r="H643" i="2"/>
  <c r="G643" i="2"/>
  <c r="F643" i="2"/>
  <c r="E643" i="2"/>
  <c r="D643" i="2"/>
  <c r="C643" i="2"/>
  <c r="B643" i="2"/>
  <c r="A643" i="2"/>
  <c r="AJ642" i="2"/>
  <c r="AH642" i="2"/>
  <c r="AG642" i="2"/>
  <c r="AF642" i="2"/>
  <c r="AE642" i="2"/>
  <c r="AD642" i="2"/>
  <c r="AB642" i="2"/>
  <c r="Z642" i="2"/>
  <c r="Y642" i="2"/>
  <c r="X642" i="2"/>
  <c r="W642" i="2"/>
  <c r="V642" i="2"/>
  <c r="U642" i="2"/>
  <c r="T642" i="2"/>
  <c r="S642" i="2"/>
  <c r="R642" i="2"/>
  <c r="Q642" i="2"/>
  <c r="P642" i="2"/>
  <c r="O642" i="2"/>
  <c r="N642" i="2"/>
  <c r="M642" i="2"/>
  <c r="L642" i="2"/>
  <c r="K642" i="2"/>
  <c r="J642" i="2"/>
  <c r="I642" i="2"/>
  <c r="H642" i="2"/>
  <c r="G642" i="2"/>
  <c r="F642" i="2"/>
  <c r="E642" i="2"/>
  <c r="D642" i="2"/>
  <c r="C642" i="2"/>
  <c r="B642" i="2"/>
  <c r="A642" i="2"/>
  <c r="AJ641" i="2"/>
  <c r="AH641" i="2"/>
  <c r="AG641" i="2"/>
  <c r="AF641" i="2"/>
  <c r="AE641" i="2"/>
  <c r="AD641" i="2"/>
  <c r="AC641" i="2"/>
  <c r="AB641" i="2"/>
  <c r="AA641" i="2"/>
  <c r="Z641" i="2"/>
  <c r="Y641" i="2"/>
  <c r="X641" i="2"/>
  <c r="W641" i="2"/>
  <c r="V641" i="2"/>
  <c r="U641" i="2"/>
  <c r="T641" i="2"/>
  <c r="S641" i="2"/>
  <c r="R641" i="2"/>
  <c r="Q641" i="2"/>
  <c r="P641" i="2"/>
  <c r="O641" i="2"/>
  <c r="N641" i="2"/>
  <c r="M641" i="2"/>
  <c r="L641" i="2"/>
  <c r="K641" i="2"/>
  <c r="J641" i="2"/>
  <c r="I641" i="2"/>
  <c r="H641" i="2"/>
  <c r="G641" i="2"/>
  <c r="F641" i="2"/>
  <c r="E641" i="2"/>
  <c r="D641" i="2"/>
  <c r="C641" i="2"/>
  <c r="B641" i="2"/>
  <c r="A641" i="2"/>
  <c r="AJ640" i="2"/>
  <c r="AI640" i="2"/>
  <c r="AH640" i="2"/>
  <c r="AG640" i="2"/>
  <c r="AF640" i="2"/>
  <c r="AE640" i="2"/>
  <c r="AD640" i="2"/>
  <c r="AC640" i="2"/>
  <c r="AB640" i="2"/>
  <c r="AA640" i="2"/>
  <c r="Z640" i="2"/>
  <c r="Y640" i="2"/>
  <c r="X640" i="2"/>
  <c r="W640" i="2"/>
  <c r="V640" i="2"/>
  <c r="U640" i="2"/>
  <c r="T640" i="2"/>
  <c r="S640" i="2"/>
  <c r="R640" i="2"/>
  <c r="Q640" i="2"/>
  <c r="P640" i="2"/>
  <c r="O640" i="2"/>
  <c r="N640" i="2"/>
  <c r="M640" i="2"/>
  <c r="L640" i="2"/>
  <c r="K640" i="2"/>
  <c r="J640" i="2"/>
  <c r="I640" i="2"/>
  <c r="H640" i="2"/>
  <c r="G640" i="2"/>
  <c r="F640" i="2"/>
  <c r="E640" i="2"/>
  <c r="D640" i="2"/>
  <c r="C640" i="2"/>
  <c r="B640" i="2"/>
  <c r="A640" i="2"/>
  <c r="AJ639" i="2"/>
  <c r="AI639" i="2"/>
  <c r="AH639" i="2"/>
  <c r="AG639" i="2"/>
  <c r="AF639" i="2"/>
  <c r="AE639" i="2"/>
  <c r="AD639" i="2"/>
  <c r="AC639" i="2"/>
  <c r="AB639" i="2"/>
  <c r="Z639" i="2"/>
  <c r="Y639" i="2"/>
  <c r="X639" i="2"/>
  <c r="W639" i="2"/>
  <c r="V639" i="2"/>
  <c r="U639" i="2"/>
  <c r="T639" i="2"/>
  <c r="S639" i="2"/>
  <c r="R639" i="2"/>
  <c r="Q639" i="2"/>
  <c r="P639" i="2"/>
  <c r="O639" i="2"/>
  <c r="N639" i="2"/>
  <c r="M639" i="2"/>
  <c r="L639" i="2"/>
  <c r="K639" i="2"/>
  <c r="J639" i="2"/>
  <c r="I639" i="2"/>
  <c r="H639" i="2"/>
  <c r="G639" i="2"/>
  <c r="F639" i="2"/>
  <c r="E639" i="2"/>
  <c r="D639" i="2"/>
  <c r="C639" i="2"/>
  <c r="B639" i="2"/>
  <c r="A639" i="2"/>
  <c r="AJ638" i="2"/>
  <c r="AH638" i="2"/>
  <c r="AF638" i="2"/>
  <c r="AE638" i="2"/>
  <c r="AD638" i="2"/>
  <c r="AC638" i="2"/>
  <c r="AB638" i="2"/>
  <c r="Z638" i="2"/>
  <c r="Y638" i="2"/>
  <c r="X638" i="2"/>
  <c r="V638" i="2"/>
  <c r="U638" i="2"/>
  <c r="T638" i="2"/>
  <c r="S638" i="2"/>
  <c r="R638" i="2"/>
  <c r="Q638" i="2"/>
  <c r="P638" i="2"/>
  <c r="O638" i="2"/>
  <c r="N638" i="2"/>
  <c r="M638" i="2"/>
  <c r="L638" i="2"/>
  <c r="K638" i="2"/>
  <c r="J638" i="2"/>
  <c r="I638" i="2"/>
  <c r="H638" i="2"/>
  <c r="G638" i="2"/>
  <c r="F638" i="2"/>
  <c r="E638" i="2"/>
  <c r="D638" i="2"/>
  <c r="C638" i="2"/>
  <c r="B638" i="2"/>
  <c r="A638" i="2"/>
  <c r="AJ637" i="2"/>
  <c r="AH637" i="2"/>
  <c r="AG637" i="2"/>
  <c r="AF637" i="2"/>
  <c r="AE637" i="2"/>
  <c r="AD637" i="2"/>
  <c r="AC637" i="2"/>
  <c r="AB637" i="2"/>
  <c r="AA637" i="2"/>
  <c r="Z637" i="2"/>
  <c r="Y637" i="2"/>
  <c r="X637" i="2"/>
  <c r="W637" i="2"/>
  <c r="V637" i="2"/>
  <c r="U637" i="2"/>
  <c r="T637" i="2"/>
  <c r="S637" i="2"/>
  <c r="R637" i="2"/>
  <c r="Q637" i="2"/>
  <c r="P637" i="2"/>
  <c r="O637" i="2"/>
  <c r="N637" i="2"/>
  <c r="M637" i="2"/>
  <c r="L637" i="2"/>
  <c r="K637" i="2"/>
  <c r="J637" i="2"/>
  <c r="I637" i="2"/>
  <c r="H637" i="2"/>
  <c r="G637" i="2"/>
  <c r="F637" i="2"/>
  <c r="E637" i="2"/>
  <c r="D637" i="2"/>
  <c r="C637" i="2"/>
  <c r="B637" i="2"/>
  <c r="A637" i="2"/>
  <c r="AJ636" i="2"/>
  <c r="AH636" i="2"/>
  <c r="AG636" i="2"/>
  <c r="AF636" i="2"/>
  <c r="AE636" i="2"/>
  <c r="AD636" i="2"/>
  <c r="AB636" i="2"/>
  <c r="Z636" i="2"/>
  <c r="Y636" i="2"/>
  <c r="W636" i="2"/>
  <c r="V636" i="2"/>
  <c r="U636" i="2"/>
  <c r="T636" i="2"/>
  <c r="S636" i="2"/>
  <c r="R636" i="2"/>
  <c r="Q636" i="2"/>
  <c r="P636" i="2"/>
  <c r="O636" i="2"/>
  <c r="N636" i="2"/>
  <c r="M636" i="2"/>
  <c r="L636" i="2"/>
  <c r="K636" i="2"/>
  <c r="J636" i="2"/>
  <c r="I636" i="2"/>
  <c r="H636" i="2"/>
  <c r="G636" i="2"/>
  <c r="F636" i="2"/>
  <c r="E636" i="2"/>
  <c r="D636" i="2"/>
  <c r="C636" i="2"/>
  <c r="B636" i="2"/>
  <c r="A636" i="2"/>
  <c r="AJ635" i="2"/>
  <c r="AH635" i="2"/>
  <c r="AG635" i="2"/>
  <c r="AF635" i="2"/>
  <c r="AE635" i="2"/>
  <c r="AD635" i="2"/>
  <c r="AB635" i="2"/>
  <c r="AA635" i="2"/>
  <c r="Z635" i="2"/>
  <c r="Y635" i="2"/>
  <c r="X635" i="2"/>
  <c r="W635" i="2"/>
  <c r="V635" i="2"/>
  <c r="U635" i="2"/>
  <c r="T635" i="2"/>
  <c r="S635" i="2"/>
  <c r="Q635" i="2"/>
  <c r="P635" i="2"/>
  <c r="O635" i="2"/>
  <c r="N635" i="2"/>
  <c r="M635" i="2"/>
  <c r="L635" i="2"/>
  <c r="K635" i="2"/>
  <c r="J635" i="2"/>
  <c r="I635" i="2"/>
  <c r="H635" i="2"/>
  <c r="G635" i="2"/>
  <c r="F635" i="2"/>
  <c r="E635" i="2"/>
  <c r="D635" i="2"/>
  <c r="C635" i="2"/>
  <c r="B635" i="2"/>
  <c r="A635" i="2"/>
  <c r="AJ634" i="2"/>
  <c r="AG634" i="2"/>
  <c r="AF634" i="2"/>
  <c r="AE634" i="2"/>
  <c r="AD634" i="2"/>
  <c r="AB634" i="2"/>
  <c r="Z634" i="2"/>
  <c r="Y634" i="2"/>
  <c r="X634" i="2"/>
  <c r="W634" i="2"/>
  <c r="V634" i="2"/>
  <c r="U634" i="2"/>
  <c r="T634" i="2"/>
  <c r="S634" i="2"/>
  <c r="R634" i="2"/>
  <c r="Q634" i="2"/>
  <c r="P634" i="2"/>
  <c r="O634" i="2"/>
  <c r="N634" i="2"/>
  <c r="M634" i="2"/>
  <c r="L634" i="2"/>
  <c r="K634" i="2"/>
  <c r="J634" i="2"/>
  <c r="I634" i="2"/>
  <c r="H634" i="2"/>
  <c r="G634" i="2"/>
  <c r="F634" i="2"/>
  <c r="E634" i="2"/>
  <c r="D634" i="2"/>
  <c r="C634" i="2"/>
  <c r="B634" i="2"/>
  <c r="A634" i="2"/>
  <c r="AJ633" i="2"/>
  <c r="AH633" i="2"/>
  <c r="AG633" i="2"/>
  <c r="AF633" i="2"/>
  <c r="AE633" i="2"/>
  <c r="AD633" i="2"/>
  <c r="AB633" i="2"/>
  <c r="Z633" i="2"/>
  <c r="Y633" i="2"/>
  <c r="X633" i="2"/>
  <c r="W633" i="2"/>
  <c r="V633" i="2"/>
  <c r="U633" i="2"/>
  <c r="T633" i="2"/>
  <c r="S633" i="2"/>
  <c r="R633" i="2"/>
  <c r="Q633" i="2"/>
  <c r="P633" i="2"/>
  <c r="O633" i="2"/>
  <c r="N633" i="2"/>
  <c r="M633" i="2"/>
  <c r="L633" i="2"/>
  <c r="K633" i="2"/>
  <c r="J633" i="2"/>
  <c r="I633" i="2"/>
  <c r="H633" i="2"/>
  <c r="G633" i="2"/>
  <c r="F633" i="2"/>
  <c r="E633" i="2"/>
  <c r="D633" i="2"/>
  <c r="C633" i="2"/>
  <c r="B633" i="2"/>
  <c r="A633" i="2"/>
  <c r="AJ632" i="2"/>
  <c r="AI632" i="2"/>
  <c r="AH632" i="2"/>
  <c r="AG632" i="2"/>
  <c r="AF632" i="2"/>
  <c r="AE632" i="2"/>
  <c r="AD632" i="2"/>
  <c r="AC632" i="2"/>
  <c r="AB632" i="2"/>
  <c r="AA632" i="2"/>
  <c r="Z632" i="2"/>
  <c r="Y632" i="2"/>
  <c r="X632" i="2"/>
  <c r="W632" i="2"/>
  <c r="V632" i="2"/>
  <c r="U632" i="2"/>
  <c r="T632" i="2"/>
  <c r="S632" i="2"/>
  <c r="R632" i="2"/>
  <c r="Q632" i="2"/>
  <c r="P632" i="2"/>
  <c r="O632" i="2"/>
  <c r="N632" i="2"/>
  <c r="M632" i="2"/>
  <c r="L632" i="2"/>
  <c r="K632" i="2"/>
  <c r="J632" i="2"/>
  <c r="I632" i="2"/>
  <c r="H632" i="2"/>
  <c r="G632" i="2"/>
  <c r="F632" i="2"/>
  <c r="E632" i="2"/>
  <c r="D632" i="2"/>
  <c r="C632" i="2"/>
  <c r="B632" i="2"/>
  <c r="A632" i="2"/>
  <c r="AJ631" i="2"/>
  <c r="AG631" i="2"/>
  <c r="AF631" i="2"/>
  <c r="AE631" i="2"/>
  <c r="AD631" i="2"/>
  <c r="AB631" i="2"/>
  <c r="Z631" i="2"/>
  <c r="Y631" i="2"/>
  <c r="X631" i="2"/>
  <c r="W631" i="2"/>
  <c r="V631" i="2"/>
  <c r="U631" i="2"/>
  <c r="T631" i="2"/>
  <c r="S631" i="2"/>
  <c r="R631" i="2"/>
  <c r="Q631" i="2"/>
  <c r="P631" i="2"/>
  <c r="O631" i="2"/>
  <c r="N631" i="2"/>
  <c r="M631" i="2"/>
  <c r="L631" i="2"/>
  <c r="K631" i="2"/>
  <c r="J631" i="2"/>
  <c r="I631" i="2"/>
  <c r="H631" i="2"/>
  <c r="G631" i="2"/>
  <c r="F631" i="2"/>
  <c r="E631" i="2"/>
  <c r="D631" i="2"/>
  <c r="C631" i="2"/>
  <c r="B631" i="2"/>
  <c r="A631" i="2"/>
  <c r="AJ630" i="2"/>
  <c r="AI630" i="2"/>
  <c r="AH630" i="2"/>
  <c r="AG630" i="2"/>
  <c r="AF630" i="2"/>
  <c r="AE630" i="2"/>
  <c r="AD630" i="2"/>
  <c r="AC630" i="2"/>
  <c r="Z630" i="2"/>
  <c r="Y630" i="2"/>
  <c r="X630" i="2"/>
  <c r="W630" i="2"/>
  <c r="V630" i="2"/>
  <c r="U630" i="2"/>
  <c r="T630" i="2"/>
  <c r="S630" i="2"/>
  <c r="R630" i="2"/>
  <c r="Q630" i="2"/>
  <c r="P630" i="2"/>
  <c r="O630" i="2"/>
  <c r="N630" i="2"/>
  <c r="M630" i="2"/>
  <c r="L630" i="2"/>
  <c r="K630" i="2"/>
  <c r="J630" i="2"/>
  <c r="I630" i="2"/>
  <c r="H630" i="2"/>
  <c r="G630" i="2"/>
  <c r="F630" i="2"/>
  <c r="E630" i="2"/>
  <c r="D630" i="2"/>
  <c r="C630" i="2"/>
  <c r="B630" i="2"/>
  <c r="A630" i="2"/>
  <c r="AJ629" i="2"/>
  <c r="AG629" i="2"/>
  <c r="AF629" i="2"/>
  <c r="AE629" i="2"/>
  <c r="AD629" i="2"/>
  <c r="AC629" i="2"/>
  <c r="Z629" i="2"/>
  <c r="Y629" i="2"/>
  <c r="X629" i="2"/>
  <c r="W629" i="2"/>
  <c r="V629" i="2"/>
  <c r="U629" i="2"/>
  <c r="T629" i="2"/>
  <c r="S629" i="2"/>
  <c r="R629" i="2"/>
  <c r="Q629" i="2"/>
  <c r="P629" i="2"/>
  <c r="O629" i="2"/>
  <c r="N629" i="2"/>
  <c r="M629" i="2"/>
  <c r="L629" i="2"/>
  <c r="K629" i="2"/>
  <c r="J629" i="2"/>
  <c r="I629" i="2"/>
  <c r="H629" i="2"/>
  <c r="G629" i="2"/>
  <c r="F629" i="2"/>
  <c r="E629" i="2"/>
  <c r="D629" i="2"/>
  <c r="C629" i="2"/>
  <c r="B629" i="2"/>
  <c r="A629" i="2"/>
  <c r="AJ628" i="2"/>
  <c r="AG628" i="2"/>
  <c r="AE628" i="2"/>
  <c r="AD628" i="2"/>
  <c r="AB628" i="2"/>
  <c r="Z628" i="2"/>
  <c r="Y628" i="2"/>
  <c r="X628" i="2"/>
  <c r="W628" i="2"/>
  <c r="V628" i="2"/>
  <c r="U628" i="2"/>
  <c r="T628" i="2"/>
  <c r="S628" i="2"/>
  <c r="R628" i="2"/>
  <c r="Q628" i="2"/>
  <c r="P628" i="2"/>
  <c r="O628" i="2"/>
  <c r="N628" i="2"/>
  <c r="M628" i="2"/>
  <c r="L628" i="2"/>
  <c r="K628" i="2"/>
  <c r="J628" i="2"/>
  <c r="I628" i="2"/>
  <c r="H628" i="2"/>
  <c r="G628" i="2"/>
  <c r="F628" i="2"/>
  <c r="E628" i="2"/>
  <c r="D628" i="2"/>
  <c r="C628" i="2"/>
  <c r="B628" i="2"/>
  <c r="A628" i="2"/>
  <c r="AJ627" i="2"/>
  <c r="AG627" i="2"/>
  <c r="AF627" i="2"/>
  <c r="AE627" i="2"/>
  <c r="AD627" i="2"/>
  <c r="Z627" i="2"/>
  <c r="Y627" i="2"/>
  <c r="X627" i="2"/>
  <c r="W627" i="2"/>
  <c r="V627" i="2"/>
  <c r="U627" i="2"/>
  <c r="T627" i="2"/>
  <c r="S627" i="2"/>
  <c r="R627" i="2"/>
  <c r="Q627" i="2"/>
  <c r="P627" i="2"/>
  <c r="O627" i="2"/>
  <c r="N627" i="2"/>
  <c r="M627" i="2"/>
  <c r="L627" i="2"/>
  <c r="K627" i="2"/>
  <c r="J627" i="2"/>
  <c r="I627" i="2"/>
  <c r="H627" i="2"/>
  <c r="G627" i="2"/>
  <c r="F627" i="2"/>
  <c r="E627" i="2"/>
  <c r="D627" i="2"/>
  <c r="C627" i="2"/>
  <c r="B627" i="2"/>
  <c r="A627" i="2"/>
  <c r="AJ626" i="2"/>
  <c r="AI626" i="2"/>
  <c r="AH626" i="2"/>
  <c r="AG626" i="2"/>
  <c r="AF626" i="2"/>
  <c r="AE626" i="2"/>
  <c r="AD626" i="2"/>
  <c r="AC626" i="2"/>
  <c r="AB626" i="2"/>
  <c r="AA626" i="2"/>
  <c r="Z626" i="2"/>
  <c r="Y626" i="2"/>
  <c r="X626" i="2"/>
  <c r="W626" i="2"/>
  <c r="V626" i="2"/>
  <c r="U626" i="2"/>
  <c r="T626" i="2"/>
  <c r="S626" i="2"/>
  <c r="R626" i="2"/>
  <c r="Q626" i="2"/>
  <c r="P626" i="2"/>
  <c r="O626" i="2"/>
  <c r="N626" i="2"/>
  <c r="M626" i="2"/>
  <c r="L626" i="2"/>
  <c r="K626" i="2"/>
  <c r="J626" i="2"/>
  <c r="I626" i="2"/>
  <c r="H626" i="2"/>
  <c r="G626" i="2"/>
  <c r="F626" i="2"/>
  <c r="E626" i="2"/>
  <c r="D626" i="2"/>
  <c r="C626" i="2"/>
  <c r="B626" i="2"/>
  <c r="A626" i="2"/>
  <c r="AJ625" i="2"/>
  <c r="AI625" i="2"/>
  <c r="AH625" i="2"/>
  <c r="AG625" i="2"/>
  <c r="AF625" i="2"/>
  <c r="AE625" i="2"/>
  <c r="AD625" i="2"/>
  <c r="AC625" i="2"/>
  <c r="AB625" i="2"/>
  <c r="AA625" i="2"/>
  <c r="Z625" i="2"/>
  <c r="Y625" i="2"/>
  <c r="X625" i="2"/>
  <c r="W625" i="2"/>
  <c r="V625" i="2"/>
  <c r="U625" i="2"/>
  <c r="T625" i="2"/>
  <c r="S625" i="2"/>
  <c r="R625" i="2"/>
  <c r="Q625" i="2"/>
  <c r="P625" i="2"/>
  <c r="N625" i="2"/>
  <c r="M625" i="2"/>
  <c r="L625" i="2"/>
  <c r="K625" i="2"/>
  <c r="J625" i="2"/>
  <c r="I625" i="2"/>
  <c r="H625" i="2"/>
  <c r="G625" i="2"/>
  <c r="F625" i="2"/>
  <c r="E625" i="2"/>
  <c r="D625" i="2"/>
  <c r="C625" i="2"/>
  <c r="B625" i="2"/>
  <c r="A625" i="2"/>
  <c r="AJ624" i="2"/>
  <c r="AI624" i="2"/>
  <c r="AH624" i="2"/>
  <c r="AG624" i="2"/>
  <c r="AF624" i="2"/>
  <c r="AE624" i="2"/>
  <c r="AD624" i="2"/>
  <c r="AC624" i="2"/>
  <c r="AB624" i="2"/>
  <c r="AA624" i="2"/>
  <c r="Z624" i="2"/>
  <c r="Y624" i="2"/>
  <c r="X624" i="2"/>
  <c r="W624" i="2"/>
  <c r="V624" i="2"/>
  <c r="U624" i="2"/>
  <c r="T624" i="2"/>
  <c r="S624" i="2"/>
  <c r="R624" i="2"/>
  <c r="Q624" i="2"/>
  <c r="P624" i="2"/>
  <c r="O624" i="2"/>
  <c r="N624" i="2"/>
  <c r="M624" i="2"/>
  <c r="L624" i="2"/>
  <c r="K624" i="2"/>
  <c r="J624" i="2"/>
  <c r="I624" i="2"/>
  <c r="H624" i="2"/>
  <c r="G624" i="2"/>
  <c r="F624" i="2"/>
  <c r="E624" i="2"/>
  <c r="D624" i="2"/>
  <c r="C624" i="2"/>
  <c r="B624" i="2"/>
  <c r="A624" i="2"/>
  <c r="AJ623" i="2"/>
  <c r="AI623" i="2"/>
  <c r="AH623" i="2"/>
  <c r="AG623" i="2"/>
  <c r="AF623" i="2"/>
  <c r="AE623" i="2"/>
  <c r="AD623" i="2"/>
  <c r="AC623" i="2"/>
  <c r="AB623" i="2"/>
  <c r="AA623" i="2"/>
  <c r="Z623" i="2"/>
  <c r="Y623" i="2"/>
  <c r="X623" i="2"/>
  <c r="W623" i="2"/>
  <c r="V623" i="2"/>
  <c r="U623" i="2"/>
  <c r="T623" i="2"/>
  <c r="S623" i="2"/>
  <c r="R623" i="2"/>
  <c r="Q623" i="2"/>
  <c r="P623" i="2"/>
  <c r="O623" i="2"/>
  <c r="N623" i="2"/>
  <c r="M623" i="2"/>
  <c r="L623" i="2"/>
  <c r="K623" i="2"/>
  <c r="J623" i="2"/>
  <c r="I623" i="2"/>
  <c r="H623" i="2"/>
  <c r="G623" i="2"/>
  <c r="F623" i="2"/>
  <c r="E623" i="2"/>
  <c r="D623" i="2"/>
  <c r="C623" i="2"/>
  <c r="B623" i="2"/>
  <c r="A623" i="2"/>
  <c r="AJ622" i="2"/>
  <c r="AG622" i="2"/>
  <c r="AF622" i="2"/>
  <c r="AE622" i="2"/>
  <c r="AD622" i="2"/>
  <c r="AC622" i="2"/>
  <c r="Z622" i="2"/>
  <c r="Y622" i="2"/>
  <c r="X622" i="2"/>
  <c r="W622" i="2"/>
  <c r="V622" i="2"/>
  <c r="U622" i="2"/>
  <c r="T622" i="2"/>
  <c r="S622" i="2"/>
  <c r="R622" i="2"/>
  <c r="Q622" i="2"/>
  <c r="P622" i="2"/>
  <c r="O622" i="2"/>
  <c r="N622" i="2"/>
  <c r="M622" i="2"/>
  <c r="L622" i="2"/>
  <c r="K622" i="2"/>
  <c r="J622" i="2"/>
  <c r="I622" i="2"/>
  <c r="H622" i="2"/>
  <c r="G622" i="2"/>
  <c r="F622" i="2"/>
  <c r="E622" i="2"/>
  <c r="D622" i="2"/>
  <c r="C622" i="2"/>
  <c r="B622" i="2"/>
  <c r="A622" i="2"/>
  <c r="AJ621" i="2"/>
  <c r="AG621" i="2"/>
  <c r="AF621" i="2"/>
  <c r="AE621" i="2"/>
  <c r="AD621" i="2"/>
  <c r="AB621" i="2"/>
  <c r="AA621" i="2"/>
  <c r="Z621" i="2"/>
  <c r="Y621" i="2"/>
  <c r="X621" i="2"/>
  <c r="W621" i="2"/>
  <c r="V621" i="2"/>
  <c r="U621" i="2"/>
  <c r="T621" i="2"/>
  <c r="S621" i="2"/>
  <c r="R621" i="2"/>
  <c r="Q621" i="2"/>
  <c r="P621" i="2"/>
  <c r="O621" i="2"/>
  <c r="N621" i="2"/>
  <c r="M621" i="2"/>
  <c r="L621" i="2"/>
  <c r="K621" i="2"/>
  <c r="J621" i="2"/>
  <c r="I621" i="2"/>
  <c r="H621" i="2"/>
  <c r="G621" i="2"/>
  <c r="F621" i="2"/>
  <c r="E621" i="2"/>
  <c r="D621" i="2"/>
  <c r="C621" i="2"/>
  <c r="B621" i="2"/>
  <c r="A621" i="2"/>
  <c r="AJ620" i="2"/>
  <c r="AH620" i="2"/>
  <c r="AG620" i="2"/>
  <c r="AF620" i="2"/>
  <c r="AE620" i="2"/>
  <c r="AD620" i="2"/>
  <c r="AB620" i="2"/>
  <c r="Z620" i="2"/>
  <c r="Y620" i="2"/>
  <c r="X620" i="2"/>
  <c r="W620" i="2"/>
  <c r="V620" i="2"/>
  <c r="U620" i="2"/>
  <c r="T620" i="2"/>
  <c r="S620" i="2"/>
  <c r="R620" i="2"/>
  <c r="Q620" i="2"/>
  <c r="P620" i="2"/>
  <c r="O620" i="2"/>
  <c r="N620" i="2"/>
  <c r="L620" i="2"/>
  <c r="K620" i="2"/>
  <c r="J620" i="2"/>
  <c r="I620" i="2"/>
  <c r="H620" i="2"/>
  <c r="G620" i="2"/>
  <c r="F620" i="2"/>
  <c r="E620" i="2"/>
  <c r="D620" i="2"/>
  <c r="C620" i="2"/>
  <c r="B620" i="2"/>
  <c r="A620" i="2"/>
  <c r="AJ619" i="2"/>
  <c r="AG619" i="2"/>
  <c r="AF619" i="2"/>
  <c r="AE619" i="2"/>
  <c r="AD619" i="2"/>
  <c r="AC619" i="2"/>
  <c r="AB619" i="2"/>
  <c r="Z619" i="2"/>
  <c r="Y619" i="2"/>
  <c r="X619" i="2"/>
  <c r="W619" i="2"/>
  <c r="V619" i="2"/>
  <c r="U619" i="2"/>
  <c r="T619" i="2"/>
  <c r="S619" i="2"/>
  <c r="R619" i="2"/>
  <c r="Q619" i="2"/>
  <c r="P619" i="2"/>
  <c r="O619" i="2"/>
  <c r="N619" i="2"/>
  <c r="M619" i="2"/>
  <c r="L619" i="2"/>
  <c r="K619" i="2"/>
  <c r="J619" i="2"/>
  <c r="I619" i="2"/>
  <c r="H619" i="2"/>
  <c r="G619" i="2"/>
  <c r="F619" i="2"/>
  <c r="E619" i="2"/>
  <c r="D619" i="2"/>
  <c r="C619" i="2"/>
  <c r="B619" i="2"/>
  <c r="A619" i="2"/>
  <c r="AJ618" i="2"/>
  <c r="AI618" i="2"/>
  <c r="AH618" i="2"/>
  <c r="AG618" i="2"/>
  <c r="AF618" i="2"/>
  <c r="AE618" i="2"/>
  <c r="AD618" i="2"/>
  <c r="AC618" i="2"/>
  <c r="AB618" i="2"/>
  <c r="AA618" i="2"/>
  <c r="Z618" i="2"/>
  <c r="Y618" i="2"/>
  <c r="X618" i="2"/>
  <c r="W618" i="2"/>
  <c r="V618" i="2"/>
  <c r="U618" i="2"/>
  <c r="T618" i="2"/>
  <c r="S618" i="2"/>
  <c r="R618" i="2"/>
  <c r="Q618" i="2"/>
  <c r="P618" i="2"/>
  <c r="O618" i="2"/>
  <c r="N618" i="2"/>
  <c r="M618" i="2"/>
  <c r="L618" i="2"/>
  <c r="K618" i="2"/>
  <c r="J618" i="2"/>
  <c r="I618" i="2"/>
  <c r="H618" i="2"/>
  <c r="G618" i="2"/>
  <c r="F618" i="2"/>
  <c r="E618" i="2"/>
  <c r="D618" i="2"/>
  <c r="C618" i="2"/>
  <c r="B618" i="2"/>
  <c r="A618" i="2"/>
  <c r="AJ617" i="2"/>
  <c r="AI617" i="2"/>
  <c r="AH617" i="2"/>
  <c r="AG617" i="2"/>
  <c r="AF617" i="2"/>
  <c r="AE617" i="2"/>
  <c r="AD617" i="2"/>
  <c r="AC617" i="2"/>
  <c r="AB617" i="2"/>
  <c r="AA617" i="2"/>
  <c r="Z617" i="2"/>
  <c r="Y617" i="2"/>
  <c r="X617" i="2"/>
  <c r="W617" i="2"/>
  <c r="V617" i="2"/>
  <c r="U617" i="2"/>
  <c r="T617" i="2"/>
  <c r="S617" i="2"/>
  <c r="R617" i="2"/>
  <c r="Q617" i="2"/>
  <c r="P617" i="2"/>
  <c r="O617" i="2"/>
  <c r="N617" i="2"/>
  <c r="M617" i="2"/>
  <c r="L617" i="2"/>
  <c r="K617" i="2"/>
  <c r="J617" i="2"/>
  <c r="I617" i="2"/>
  <c r="H617" i="2"/>
  <c r="G617" i="2"/>
  <c r="F617" i="2"/>
  <c r="E617" i="2"/>
  <c r="D617" i="2"/>
  <c r="C617" i="2"/>
  <c r="B617" i="2"/>
  <c r="A617" i="2"/>
  <c r="AJ616" i="2"/>
  <c r="AI616" i="2"/>
  <c r="AH616" i="2"/>
  <c r="AF616" i="2"/>
  <c r="AE616" i="2"/>
  <c r="AD616" i="2"/>
  <c r="AC616" i="2"/>
  <c r="AB616" i="2"/>
  <c r="AA616" i="2"/>
  <c r="Z616" i="2"/>
  <c r="Y616" i="2"/>
  <c r="X616" i="2"/>
  <c r="W616" i="2"/>
  <c r="V616" i="2"/>
  <c r="U616" i="2"/>
  <c r="T616" i="2"/>
  <c r="S616" i="2"/>
  <c r="R616" i="2"/>
  <c r="Q616" i="2"/>
  <c r="P616" i="2"/>
  <c r="O616" i="2"/>
  <c r="N616" i="2"/>
  <c r="M616" i="2"/>
  <c r="L616" i="2"/>
  <c r="K616" i="2"/>
  <c r="J616" i="2"/>
  <c r="I616" i="2"/>
  <c r="H616" i="2"/>
  <c r="G616" i="2"/>
  <c r="F616" i="2"/>
  <c r="E616" i="2"/>
  <c r="D616" i="2"/>
  <c r="C616" i="2"/>
  <c r="B616" i="2"/>
  <c r="A616" i="2"/>
  <c r="AJ615" i="2"/>
  <c r="AI615" i="2"/>
  <c r="AH615" i="2"/>
  <c r="AG615" i="2"/>
  <c r="AF615" i="2"/>
  <c r="AE615" i="2"/>
  <c r="AD615" i="2"/>
  <c r="AC615" i="2"/>
  <c r="AB615" i="2"/>
  <c r="AA615" i="2"/>
  <c r="Z615" i="2"/>
  <c r="Y615" i="2"/>
  <c r="X615" i="2"/>
  <c r="W615" i="2"/>
  <c r="V615" i="2"/>
  <c r="U615" i="2"/>
  <c r="T615" i="2"/>
  <c r="S615" i="2"/>
  <c r="R615" i="2"/>
  <c r="Q615" i="2"/>
  <c r="P615" i="2"/>
  <c r="O615" i="2"/>
  <c r="N615" i="2"/>
  <c r="M615" i="2"/>
  <c r="L615" i="2"/>
  <c r="K615" i="2"/>
  <c r="J615" i="2"/>
  <c r="I615" i="2"/>
  <c r="H615" i="2"/>
  <c r="G615" i="2"/>
  <c r="F615" i="2"/>
  <c r="E615" i="2"/>
  <c r="D615" i="2"/>
  <c r="C615" i="2"/>
  <c r="B615" i="2"/>
  <c r="A615" i="2"/>
  <c r="AJ614" i="2"/>
  <c r="AI614" i="2"/>
  <c r="AH614" i="2"/>
  <c r="AG614" i="2"/>
  <c r="AF614" i="2"/>
  <c r="AE614" i="2"/>
  <c r="AD614" i="2"/>
  <c r="AC614" i="2"/>
  <c r="AB614" i="2"/>
  <c r="AA614" i="2"/>
  <c r="Z614" i="2"/>
  <c r="Y614" i="2"/>
  <c r="X614" i="2"/>
  <c r="W614" i="2"/>
  <c r="V614" i="2"/>
  <c r="U614" i="2"/>
  <c r="T614" i="2"/>
  <c r="S614" i="2"/>
  <c r="R614" i="2"/>
  <c r="Q614" i="2"/>
  <c r="P614" i="2"/>
  <c r="O614" i="2"/>
  <c r="N614" i="2"/>
  <c r="M614" i="2"/>
  <c r="L614" i="2"/>
  <c r="K614" i="2"/>
  <c r="J614" i="2"/>
  <c r="I614" i="2"/>
  <c r="H614" i="2"/>
  <c r="G614" i="2"/>
  <c r="F614" i="2"/>
  <c r="E614" i="2"/>
  <c r="D614" i="2"/>
  <c r="C614" i="2"/>
  <c r="B614" i="2"/>
  <c r="A614" i="2"/>
  <c r="AJ613" i="2"/>
  <c r="AG613" i="2"/>
  <c r="AF613" i="2"/>
  <c r="AE613" i="2"/>
  <c r="AD613" i="2"/>
  <c r="AB613" i="2"/>
  <c r="Z613" i="2"/>
  <c r="Y613" i="2"/>
  <c r="X613" i="2"/>
  <c r="W613" i="2"/>
  <c r="V613" i="2"/>
  <c r="U613" i="2"/>
  <c r="T613" i="2"/>
  <c r="S613" i="2"/>
  <c r="R613" i="2"/>
  <c r="Q613" i="2"/>
  <c r="P613" i="2"/>
  <c r="O613" i="2"/>
  <c r="N613" i="2"/>
  <c r="M613" i="2"/>
  <c r="L613" i="2"/>
  <c r="K613" i="2"/>
  <c r="J613" i="2"/>
  <c r="I613" i="2"/>
  <c r="H613" i="2"/>
  <c r="G613" i="2"/>
  <c r="F613" i="2"/>
  <c r="E613" i="2"/>
  <c r="D613" i="2"/>
  <c r="C613" i="2"/>
  <c r="B613" i="2"/>
  <c r="A613" i="2"/>
  <c r="AJ612" i="2"/>
  <c r="AH612" i="2"/>
  <c r="AF612" i="2"/>
  <c r="AE612" i="2"/>
  <c r="AD612" i="2"/>
  <c r="AC612" i="2"/>
  <c r="AB612" i="2"/>
  <c r="AA612" i="2"/>
  <c r="Z612" i="2"/>
  <c r="Y612" i="2"/>
  <c r="X612" i="2"/>
  <c r="W612" i="2"/>
  <c r="V612" i="2"/>
  <c r="U612" i="2"/>
  <c r="T612" i="2"/>
  <c r="S612" i="2"/>
  <c r="R612" i="2"/>
  <c r="Q612" i="2"/>
  <c r="P612" i="2"/>
  <c r="O612" i="2"/>
  <c r="N612" i="2"/>
  <c r="M612" i="2"/>
  <c r="L612" i="2"/>
  <c r="K612" i="2"/>
  <c r="J612" i="2"/>
  <c r="I612" i="2"/>
  <c r="H612" i="2"/>
  <c r="G612" i="2"/>
  <c r="F612" i="2"/>
  <c r="E612" i="2"/>
  <c r="D612" i="2"/>
  <c r="C612" i="2"/>
  <c r="B612" i="2"/>
  <c r="A612" i="2"/>
  <c r="AJ611" i="2"/>
  <c r="AI611" i="2"/>
  <c r="AH611" i="2"/>
  <c r="AG611" i="2"/>
  <c r="AF611" i="2"/>
  <c r="AE611" i="2"/>
  <c r="AD611" i="2"/>
  <c r="AB611" i="2"/>
  <c r="AA611" i="2"/>
  <c r="Z611" i="2"/>
  <c r="Y611" i="2"/>
  <c r="X611" i="2"/>
  <c r="V611" i="2"/>
  <c r="U611" i="2"/>
  <c r="T611" i="2"/>
  <c r="S611" i="2"/>
  <c r="R611" i="2"/>
  <c r="Q611" i="2"/>
  <c r="P611" i="2"/>
  <c r="O611" i="2"/>
  <c r="N611" i="2"/>
  <c r="M611" i="2"/>
  <c r="L611" i="2"/>
  <c r="K611" i="2"/>
  <c r="J611" i="2"/>
  <c r="I611" i="2"/>
  <c r="H611" i="2"/>
  <c r="G611" i="2"/>
  <c r="F611" i="2"/>
  <c r="E611" i="2"/>
  <c r="D611" i="2"/>
  <c r="C611" i="2"/>
  <c r="B611" i="2"/>
  <c r="A611" i="2"/>
  <c r="AJ610" i="2"/>
  <c r="AI610" i="2"/>
  <c r="AH610" i="2"/>
  <c r="AG610" i="2"/>
  <c r="AF610" i="2"/>
  <c r="AE610" i="2"/>
  <c r="AD610" i="2"/>
  <c r="AC610" i="2"/>
  <c r="AB610" i="2"/>
  <c r="AA610" i="2"/>
  <c r="Z610" i="2"/>
  <c r="Y610" i="2"/>
  <c r="X610" i="2"/>
  <c r="W610" i="2"/>
  <c r="V610" i="2"/>
  <c r="U610" i="2"/>
  <c r="T610" i="2"/>
  <c r="S610" i="2"/>
  <c r="R610" i="2"/>
  <c r="Q610" i="2"/>
  <c r="P610" i="2"/>
  <c r="O610" i="2"/>
  <c r="N610" i="2"/>
  <c r="M610" i="2"/>
  <c r="L610" i="2"/>
  <c r="K610" i="2"/>
  <c r="J610" i="2"/>
  <c r="I610" i="2"/>
  <c r="H610" i="2"/>
  <c r="G610" i="2"/>
  <c r="F610" i="2"/>
  <c r="E610" i="2"/>
  <c r="D610" i="2"/>
  <c r="C610" i="2"/>
  <c r="B610" i="2"/>
  <c r="A610" i="2"/>
  <c r="AJ609" i="2"/>
  <c r="AH609" i="2"/>
  <c r="AF609" i="2"/>
  <c r="AE609" i="2"/>
  <c r="AD609" i="2"/>
  <c r="AC609" i="2"/>
  <c r="AB609" i="2"/>
  <c r="AA609" i="2"/>
  <c r="Z609" i="2"/>
  <c r="Y609" i="2"/>
  <c r="X609" i="2"/>
  <c r="W609" i="2"/>
  <c r="V609" i="2"/>
  <c r="U609" i="2"/>
  <c r="T609" i="2"/>
  <c r="S609" i="2"/>
  <c r="R609" i="2"/>
  <c r="Q609" i="2"/>
  <c r="P609" i="2"/>
  <c r="O609" i="2"/>
  <c r="N609" i="2"/>
  <c r="M609" i="2"/>
  <c r="L609" i="2"/>
  <c r="K609" i="2"/>
  <c r="J609" i="2"/>
  <c r="I609" i="2"/>
  <c r="H609" i="2"/>
  <c r="G609" i="2"/>
  <c r="F609" i="2"/>
  <c r="E609" i="2"/>
  <c r="D609" i="2"/>
  <c r="C609" i="2"/>
  <c r="B609" i="2"/>
  <c r="A609" i="2"/>
  <c r="AJ608" i="2"/>
  <c r="AI608" i="2"/>
  <c r="AH608" i="2"/>
  <c r="AG608" i="2"/>
  <c r="AF608" i="2"/>
  <c r="AE608" i="2"/>
  <c r="AD608" i="2"/>
  <c r="AC608" i="2"/>
  <c r="AB608" i="2"/>
  <c r="AA608" i="2"/>
  <c r="Z608" i="2"/>
  <c r="Y608" i="2"/>
  <c r="X608" i="2"/>
  <c r="W608" i="2"/>
  <c r="V608" i="2"/>
  <c r="U608" i="2"/>
  <c r="T608" i="2"/>
  <c r="S608" i="2"/>
  <c r="R608" i="2"/>
  <c r="Q608" i="2"/>
  <c r="P608" i="2"/>
  <c r="O608" i="2"/>
  <c r="N608" i="2"/>
  <c r="M608" i="2"/>
  <c r="L608" i="2"/>
  <c r="K608" i="2"/>
  <c r="J608" i="2"/>
  <c r="I608" i="2"/>
  <c r="H608" i="2"/>
  <c r="G608" i="2"/>
  <c r="F608" i="2"/>
  <c r="E608" i="2"/>
  <c r="D608" i="2"/>
  <c r="C608" i="2"/>
  <c r="B608" i="2"/>
  <c r="A608" i="2"/>
  <c r="AJ607" i="2"/>
  <c r="AI607" i="2"/>
  <c r="AH607" i="2"/>
  <c r="AG607" i="2"/>
  <c r="AF607" i="2"/>
  <c r="AE607" i="2"/>
  <c r="AD607" i="2"/>
  <c r="AC607" i="2"/>
  <c r="AB607" i="2"/>
  <c r="AA607" i="2"/>
  <c r="Z607" i="2"/>
  <c r="Y607" i="2"/>
  <c r="X607" i="2"/>
  <c r="W607" i="2"/>
  <c r="V607" i="2"/>
  <c r="U607" i="2"/>
  <c r="T607" i="2"/>
  <c r="S607" i="2"/>
  <c r="R607" i="2"/>
  <c r="Q607" i="2"/>
  <c r="P607" i="2"/>
  <c r="O607" i="2"/>
  <c r="N607" i="2"/>
  <c r="M607" i="2"/>
  <c r="L607" i="2"/>
  <c r="K607" i="2"/>
  <c r="J607" i="2"/>
  <c r="I607" i="2"/>
  <c r="H607" i="2"/>
  <c r="G607" i="2"/>
  <c r="F607" i="2"/>
  <c r="E607" i="2"/>
  <c r="D607" i="2"/>
  <c r="C607" i="2"/>
  <c r="B607" i="2"/>
  <c r="A607" i="2"/>
  <c r="AJ606" i="2"/>
  <c r="AI606" i="2"/>
  <c r="AH606" i="2"/>
  <c r="AG606" i="2"/>
  <c r="AF606" i="2"/>
  <c r="AE606" i="2"/>
  <c r="AD606" i="2"/>
  <c r="AC606" i="2"/>
  <c r="AB606" i="2"/>
  <c r="Z606" i="2"/>
  <c r="Y606" i="2"/>
  <c r="X606" i="2"/>
  <c r="W606" i="2"/>
  <c r="V606" i="2"/>
  <c r="U606" i="2"/>
  <c r="T606" i="2"/>
  <c r="S606" i="2"/>
  <c r="R606" i="2"/>
  <c r="Q606" i="2"/>
  <c r="P606" i="2"/>
  <c r="O606" i="2"/>
  <c r="N606" i="2"/>
  <c r="M606" i="2"/>
  <c r="L606" i="2"/>
  <c r="K606" i="2"/>
  <c r="J606" i="2"/>
  <c r="I606" i="2"/>
  <c r="H606" i="2"/>
  <c r="G606" i="2"/>
  <c r="F606" i="2"/>
  <c r="E606" i="2"/>
  <c r="D606" i="2"/>
  <c r="C606" i="2"/>
  <c r="B606" i="2"/>
  <c r="A606" i="2"/>
  <c r="AJ605" i="2"/>
  <c r="AI605" i="2"/>
  <c r="AH605" i="2"/>
  <c r="AG605" i="2"/>
  <c r="AF605" i="2"/>
  <c r="AE605" i="2"/>
  <c r="AD605" i="2"/>
  <c r="AC605" i="2"/>
  <c r="AB605" i="2"/>
  <c r="AA605" i="2"/>
  <c r="Z605" i="2"/>
  <c r="Y605" i="2"/>
  <c r="X605" i="2"/>
  <c r="W605" i="2"/>
  <c r="V605" i="2"/>
  <c r="U605" i="2"/>
  <c r="T605" i="2"/>
  <c r="S605" i="2"/>
  <c r="Q605" i="2"/>
  <c r="P605" i="2"/>
  <c r="O605" i="2"/>
  <c r="N605" i="2"/>
  <c r="M605" i="2"/>
  <c r="L605" i="2"/>
  <c r="K605" i="2"/>
  <c r="J605" i="2"/>
  <c r="I605" i="2"/>
  <c r="H605" i="2"/>
  <c r="G605" i="2"/>
  <c r="F605" i="2"/>
  <c r="E605" i="2"/>
  <c r="D605" i="2"/>
  <c r="C605" i="2"/>
  <c r="B605" i="2"/>
  <c r="A605" i="2"/>
  <c r="AJ604" i="2"/>
  <c r="AH604" i="2"/>
  <c r="AG604" i="2"/>
  <c r="AF604" i="2"/>
  <c r="AE604" i="2"/>
  <c r="AD604" i="2"/>
  <c r="AB604" i="2"/>
  <c r="Z604" i="2"/>
  <c r="Y604" i="2"/>
  <c r="X604" i="2"/>
  <c r="W604" i="2"/>
  <c r="V604" i="2"/>
  <c r="U604" i="2"/>
  <c r="T604" i="2"/>
  <c r="S604" i="2"/>
  <c r="R604" i="2"/>
  <c r="Q604" i="2"/>
  <c r="P604" i="2"/>
  <c r="O604" i="2"/>
  <c r="N604" i="2"/>
  <c r="M604" i="2"/>
  <c r="L604" i="2"/>
  <c r="K604" i="2"/>
  <c r="J604" i="2"/>
  <c r="I604" i="2"/>
  <c r="H604" i="2"/>
  <c r="G604" i="2"/>
  <c r="F604" i="2"/>
  <c r="E604" i="2"/>
  <c r="D604" i="2"/>
  <c r="C604" i="2"/>
  <c r="B604" i="2"/>
  <c r="A604" i="2"/>
  <c r="AJ603" i="2"/>
  <c r="AI603" i="2"/>
  <c r="AH603" i="2"/>
  <c r="AG603" i="2"/>
  <c r="AF603" i="2"/>
  <c r="AE603" i="2"/>
  <c r="AD603" i="2"/>
  <c r="AC603" i="2"/>
  <c r="AB603" i="2"/>
  <c r="AA603" i="2"/>
  <c r="Z603" i="2"/>
  <c r="Y603" i="2"/>
  <c r="X603" i="2"/>
  <c r="W603" i="2"/>
  <c r="V603" i="2"/>
  <c r="U603" i="2"/>
  <c r="T603" i="2"/>
  <c r="S603" i="2"/>
  <c r="R603" i="2"/>
  <c r="Q603" i="2"/>
  <c r="P603" i="2"/>
  <c r="O603" i="2"/>
  <c r="N603" i="2"/>
  <c r="M603" i="2"/>
  <c r="L603" i="2"/>
  <c r="K603" i="2"/>
  <c r="J603" i="2"/>
  <c r="I603" i="2"/>
  <c r="H603" i="2"/>
  <c r="G603" i="2"/>
  <c r="F603" i="2"/>
  <c r="E603" i="2"/>
  <c r="D603" i="2"/>
  <c r="C603" i="2"/>
  <c r="B603" i="2"/>
  <c r="A603" i="2"/>
  <c r="AJ602" i="2"/>
  <c r="AI602" i="2"/>
  <c r="AH602" i="2"/>
  <c r="AF602" i="2"/>
  <c r="AE602" i="2"/>
  <c r="AD602" i="2"/>
  <c r="AC602" i="2"/>
  <c r="AB602" i="2"/>
  <c r="AA602" i="2"/>
  <c r="Z602" i="2"/>
  <c r="Y602" i="2"/>
  <c r="X602" i="2"/>
  <c r="W602" i="2"/>
  <c r="V602" i="2"/>
  <c r="U602" i="2"/>
  <c r="T602" i="2"/>
  <c r="S602" i="2"/>
  <c r="R602" i="2"/>
  <c r="Q602" i="2"/>
  <c r="P602" i="2"/>
  <c r="O602" i="2"/>
  <c r="N602" i="2"/>
  <c r="M602" i="2"/>
  <c r="L602" i="2"/>
  <c r="K602" i="2"/>
  <c r="J602" i="2"/>
  <c r="I602" i="2"/>
  <c r="H602" i="2"/>
  <c r="G602" i="2"/>
  <c r="F602" i="2"/>
  <c r="E602" i="2"/>
  <c r="D602" i="2"/>
  <c r="C602" i="2"/>
  <c r="B602" i="2"/>
  <c r="A602" i="2"/>
  <c r="AJ601" i="2"/>
  <c r="AI601" i="2"/>
  <c r="AH601" i="2"/>
  <c r="AG601" i="2"/>
  <c r="AF601" i="2"/>
  <c r="AE601" i="2"/>
  <c r="AD601" i="2"/>
  <c r="AC601" i="2"/>
  <c r="AB601" i="2"/>
  <c r="AA601" i="2"/>
  <c r="Z601" i="2"/>
  <c r="Y601" i="2"/>
  <c r="X601" i="2"/>
  <c r="W601" i="2"/>
  <c r="V601" i="2"/>
  <c r="U601" i="2"/>
  <c r="T601" i="2"/>
  <c r="S601" i="2"/>
  <c r="R601" i="2"/>
  <c r="Q601" i="2"/>
  <c r="P601" i="2"/>
  <c r="O601" i="2"/>
  <c r="N601" i="2"/>
  <c r="M601" i="2"/>
  <c r="L601" i="2"/>
  <c r="K601" i="2"/>
  <c r="J601" i="2"/>
  <c r="I601" i="2"/>
  <c r="H601" i="2"/>
  <c r="G601" i="2"/>
  <c r="F601" i="2"/>
  <c r="E601" i="2"/>
  <c r="D601" i="2"/>
  <c r="C601" i="2"/>
  <c r="B601" i="2"/>
  <c r="A601" i="2"/>
  <c r="AJ600" i="2"/>
  <c r="AI600" i="2"/>
  <c r="AH600" i="2"/>
  <c r="AG600" i="2"/>
  <c r="AF600" i="2"/>
  <c r="AE600" i="2"/>
  <c r="AD600" i="2"/>
  <c r="AC600" i="2"/>
  <c r="AB600" i="2"/>
  <c r="AA600" i="2"/>
  <c r="Z600" i="2"/>
  <c r="Y600" i="2"/>
  <c r="X600" i="2"/>
  <c r="W600" i="2"/>
  <c r="V600" i="2"/>
  <c r="U600" i="2"/>
  <c r="T600" i="2"/>
  <c r="S600" i="2"/>
  <c r="R600" i="2"/>
  <c r="Q600" i="2"/>
  <c r="P600" i="2"/>
  <c r="O600" i="2"/>
  <c r="N600" i="2"/>
  <c r="M600" i="2"/>
  <c r="L600" i="2"/>
  <c r="K600" i="2"/>
  <c r="J600" i="2"/>
  <c r="I600" i="2"/>
  <c r="H600" i="2"/>
  <c r="G600" i="2"/>
  <c r="F600" i="2"/>
  <c r="E600" i="2"/>
  <c r="D600" i="2"/>
  <c r="C600" i="2"/>
  <c r="B600" i="2"/>
  <c r="A600" i="2"/>
  <c r="AJ599" i="2"/>
  <c r="AI599" i="2"/>
  <c r="AH599" i="2"/>
  <c r="AG599" i="2"/>
  <c r="AF599" i="2"/>
  <c r="AE599" i="2"/>
  <c r="AD599" i="2"/>
  <c r="AC599" i="2"/>
  <c r="AB599" i="2"/>
  <c r="AA599" i="2"/>
  <c r="Z599" i="2"/>
  <c r="Y599" i="2"/>
  <c r="X599" i="2"/>
  <c r="W599" i="2"/>
  <c r="V599" i="2"/>
  <c r="U599" i="2"/>
  <c r="T599" i="2"/>
  <c r="S599" i="2"/>
  <c r="R599" i="2"/>
  <c r="Q599" i="2"/>
  <c r="P599" i="2"/>
  <c r="O599" i="2"/>
  <c r="N599" i="2"/>
  <c r="M599" i="2"/>
  <c r="L599" i="2"/>
  <c r="K599" i="2"/>
  <c r="J599" i="2"/>
  <c r="I599" i="2"/>
  <c r="H599" i="2"/>
  <c r="G599" i="2"/>
  <c r="F599" i="2"/>
  <c r="E599" i="2"/>
  <c r="D599" i="2"/>
  <c r="C599" i="2"/>
  <c r="B599" i="2"/>
  <c r="A599" i="2"/>
  <c r="AJ598" i="2"/>
  <c r="AH598" i="2"/>
  <c r="AG598" i="2"/>
  <c r="AF598" i="2"/>
  <c r="AE598" i="2"/>
  <c r="AD598" i="2"/>
  <c r="AC598" i="2"/>
  <c r="AB598" i="2"/>
  <c r="Z598" i="2"/>
  <c r="Y598" i="2"/>
  <c r="X598" i="2"/>
  <c r="W598" i="2"/>
  <c r="V598" i="2"/>
  <c r="U598" i="2"/>
  <c r="T598" i="2"/>
  <c r="S598" i="2"/>
  <c r="R598" i="2"/>
  <c r="Q598" i="2"/>
  <c r="P598" i="2"/>
  <c r="O598" i="2"/>
  <c r="N598" i="2"/>
  <c r="M598" i="2"/>
  <c r="L598" i="2"/>
  <c r="K598" i="2"/>
  <c r="J598" i="2"/>
  <c r="I598" i="2"/>
  <c r="H598" i="2"/>
  <c r="G598" i="2"/>
  <c r="F598" i="2"/>
  <c r="E598" i="2"/>
  <c r="D598" i="2"/>
  <c r="C598" i="2"/>
  <c r="B598" i="2"/>
  <c r="A598" i="2"/>
  <c r="AJ597" i="2"/>
  <c r="AI597" i="2"/>
  <c r="AH597" i="2"/>
  <c r="AG597" i="2"/>
  <c r="AF597" i="2"/>
  <c r="AE597" i="2"/>
  <c r="AD597" i="2"/>
  <c r="AC597" i="2"/>
  <c r="AB597" i="2"/>
  <c r="AA597" i="2"/>
  <c r="Z597" i="2"/>
  <c r="Y597" i="2"/>
  <c r="X597" i="2"/>
  <c r="W597" i="2"/>
  <c r="V597" i="2"/>
  <c r="U597" i="2"/>
  <c r="T597" i="2"/>
  <c r="S597" i="2"/>
  <c r="R597" i="2"/>
  <c r="Q597" i="2"/>
  <c r="P597" i="2"/>
  <c r="O597" i="2"/>
  <c r="N597" i="2"/>
  <c r="M597" i="2"/>
  <c r="L597" i="2"/>
  <c r="K597" i="2"/>
  <c r="J597" i="2"/>
  <c r="I597" i="2"/>
  <c r="H597" i="2"/>
  <c r="G597" i="2"/>
  <c r="F597" i="2"/>
  <c r="E597" i="2"/>
  <c r="D597" i="2"/>
  <c r="C597" i="2"/>
  <c r="B597" i="2"/>
  <c r="A597" i="2"/>
  <c r="AJ596" i="2"/>
  <c r="AH596" i="2"/>
  <c r="AG596" i="2"/>
  <c r="AE596" i="2"/>
  <c r="AD596" i="2"/>
  <c r="AC596" i="2"/>
  <c r="AB596" i="2"/>
  <c r="Z596" i="2"/>
  <c r="Y596" i="2"/>
  <c r="X596" i="2"/>
  <c r="W596" i="2"/>
  <c r="V596" i="2"/>
  <c r="U596" i="2"/>
  <c r="T596" i="2"/>
  <c r="S596" i="2"/>
  <c r="R596" i="2"/>
  <c r="Q596" i="2"/>
  <c r="P596" i="2"/>
  <c r="O596" i="2"/>
  <c r="N596" i="2"/>
  <c r="M596" i="2"/>
  <c r="L596" i="2"/>
  <c r="K596" i="2"/>
  <c r="J596" i="2"/>
  <c r="I596" i="2"/>
  <c r="H596" i="2"/>
  <c r="G596" i="2"/>
  <c r="F596" i="2"/>
  <c r="E596" i="2"/>
  <c r="D596" i="2"/>
  <c r="C596" i="2"/>
  <c r="B596" i="2"/>
  <c r="A596" i="2"/>
  <c r="AJ595" i="2"/>
  <c r="AH595" i="2"/>
  <c r="AG595" i="2"/>
  <c r="AF595" i="2"/>
  <c r="AE595" i="2"/>
  <c r="AC595" i="2"/>
  <c r="AB595" i="2"/>
  <c r="AA595" i="2"/>
  <c r="Z595" i="2"/>
  <c r="Y595" i="2"/>
  <c r="X595" i="2"/>
  <c r="W595" i="2"/>
  <c r="V595" i="2"/>
  <c r="U595" i="2"/>
  <c r="T595" i="2"/>
  <c r="S595" i="2"/>
  <c r="R595" i="2"/>
  <c r="Q595" i="2"/>
  <c r="P595" i="2"/>
  <c r="O595" i="2"/>
  <c r="N595" i="2"/>
  <c r="M595" i="2"/>
  <c r="L595" i="2"/>
  <c r="K595" i="2"/>
  <c r="J595" i="2"/>
  <c r="I595" i="2"/>
  <c r="H595" i="2"/>
  <c r="G595" i="2"/>
  <c r="F595" i="2"/>
  <c r="E595" i="2"/>
  <c r="D595" i="2"/>
  <c r="C595" i="2"/>
  <c r="B595" i="2"/>
  <c r="A595" i="2"/>
  <c r="AJ594" i="2"/>
  <c r="AI594" i="2"/>
  <c r="AH594" i="2"/>
  <c r="AF594" i="2"/>
  <c r="AE594" i="2"/>
  <c r="AD594" i="2"/>
  <c r="AC594" i="2"/>
  <c r="AA594" i="2"/>
  <c r="Z594" i="2"/>
  <c r="Y594" i="2"/>
  <c r="X594" i="2"/>
  <c r="W594" i="2"/>
  <c r="V594" i="2"/>
  <c r="U594" i="2"/>
  <c r="T594" i="2"/>
  <c r="S594" i="2"/>
  <c r="R594" i="2"/>
  <c r="Q594" i="2"/>
  <c r="P594" i="2"/>
  <c r="O594" i="2"/>
  <c r="N594" i="2"/>
  <c r="M594" i="2"/>
  <c r="L594" i="2"/>
  <c r="K594" i="2"/>
  <c r="J594" i="2"/>
  <c r="I594" i="2"/>
  <c r="H594" i="2"/>
  <c r="G594" i="2"/>
  <c r="F594" i="2"/>
  <c r="E594" i="2"/>
  <c r="D594" i="2"/>
  <c r="C594" i="2"/>
  <c r="B594" i="2"/>
  <c r="A594" i="2"/>
  <c r="AJ593" i="2"/>
  <c r="AH593" i="2"/>
  <c r="AG593" i="2"/>
  <c r="AF593" i="2"/>
  <c r="AE593" i="2"/>
  <c r="AD593" i="2"/>
  <c r="AC593" i="2"/>
  <c r="AB593" i="2"/>
  <c r="AA593" i="2"/>
  <c r="Z593" i="2"/>
  <c r="Y593" i="2"/>
  <c r="X593" i="2"/>
  <c r="W593" i="2"/>
  <c r="V593" i="2"/>
  <c r="U593" i="2"/>
  <c r="T593" i="2"/>
  <c r="S593" i="2"/>
  <c r="R593" i="2"/>
  <c r="Q593" i="2"/>
  <c r="P593" i="2"/>
  <c r="O593" i="2"/>
  <c r="N593" i="2"/>
  <c r="M593" i="2"/>
  <c r="L593" i="2"/>
  <c r="K593" i="2"/>
  <c r="J593" i="2"/>
  <c r="I593" i="2"/>
  <c r="H593" i="2"/>
  <c r="G593" i="2"/>
  <c r="F593" i="2"/>
  <c r="E593" i="2"/>
  <c r="D593" i="2"/>
  <c r="C593" i="2"/>
  <c r="B593" i="2"/>
  <c r="A593" i="2"/>
  <c r="AJ592" i="2"/>
  <c r="AI592" i="2"/>
  <c r="AH592" i="2"/>
  <c r="AF592" i="2"/>
  <c r="AE592" i="2"/>
  <c r="AD592" i="2"/>
  <c r="AC592" i="2"/>
  <c r="AB592" i="2"/>
  <c r="AA592" i="2"/>
  <c r="Z592" i="2"/>
  <c r="Y592" i="2"/>
  <c r="X592" i="2"/>
  <c r="W592" i="2"/>
  <c r="V592" i="2"/>
  <c r="U592" i="2"/>
  <c r="T592" i="2"/>
  <c r="S592" i="2"/>
  <c r="R592" i="2"/>
  <c r="Q592" i="2"/>
  <c r="P592" i="2"/>
  <c r="O592" i="2"/>
  <c r="N592" i="2"/>
  <c r="M592" i="2"/>
  <c r="L592" i="2"/>
  <c r="K592" i="2"/>
  <c r="J592" i="2"/>
  <c r="I592" i="2"/>
  <c r="H592" i="2"/>
  <c r="G592" i="2"/>
  <c r="F592" i="2"/>
  <c r="E592" i="2"/>
  <c r="D592" i="2"/>
  <c r="C592" i="2"/>
  <c r="B592" i="2"/>
  <c r="A592" i="2"/>
  <c r="AJ591" i="2"/>
  <c r="AI591" i="2"/>
  <c r="AH591" i="2"/>
  <c r="AG591" i="2"/>
  <c r="AF591" i="2"/>
  <c r="AE591" i="2"/>
  <c r="AD591" i="2"/>
  <c r="AC591" i="2"/>
  <c r="AB591" i="2"/>
  <c r="AA591" i="2"/>
  <c r="Z591" i="2"/>
  <c r="Y591" i="2"/>
  <c r="X591" i="2"/>
  <c r="W591" i="2"/>
  <c r="V591" i="2"/>
  <c r="U591" i="2"/>
  <c r="T591" i="2"/>
  <c r="S591" i="2"/>
  <c r="R591" i="2"/>
  <c r="Q591" i="2"/>
  <c r="P591" i="2"/>
  <c r="O591" i="2"/>
  <c r="N591" i="2"/>
  <c r="M591" i="2"/>
  <c r="L591" i="2"/>
  <c r="K591" i="2"/>
  <c r="J591" i="2"/>
  <c r="I591" i="2"/>
  <c r="H591" i="2"/>
  <c r="G591" i="2"/>
  <c r="F591" i="2"/>
  <c r="E591" i="2"/>
  <c r="D591" i="2"/>
  <c r="C591" i="2"/>
  <c r="B591" i="2"/>
  <c r="A591" i="2"/>
  <c r="AJ590" i="2"/>
  <c r="AH590" i="2"/>
  <c r="AG590" i="2"/>
  <c r="AF590" i="2"/>
  <c r="AE590" i="2"/>
  <c r="AC590" i="2"/>
  <c r="AB590" i="2"/>
  <c r="AA590" i="2"/>
  <c r="Z590" i="2"/>
  <c r="Y590" i="2"/>
  <c r="X590" i="2"/>
  <c r="W590" i="2"/>
  <c r="V590" i="2"/>
  <c r="U590" i="2"/>
  <c r="T590" i="2"/>
  <c r="S590" i="2"/>
  <c r="R590" i="2"/>
  <c r="Q590" i="2"/>
  <c r="P590" i="2"/>
  <c r="O590" i="2"/>
  <c r="N590" i="2"/>
  <c r="M590" i="2"/>
  <c r="L590" i="2"/>
  <c r="K590" i="2"/>
  <c r="J590" i="2"/>
  <c r="I590" i="2"/>
  <c r="H590" i="2"/>
  <c r="G590" i="2"/>
  <c r="F590" i="2"/>
  <c r="E590" i="2"/>
  <c r="D590" i="2"/>
  <c r="C590" i="2"/>
  <c r="B590" i="2"/>
  <c r="A590" i="2"/>
  <c r="AJ589" i="2"/>
  <c r="AI589" i="2"/>
  <c r="AH589" i="2"/>
  <c r="AG589" i="2"/>
  <c r="AF589" i="2"/>
  <c r="AE589" i="2"/>
  <c r="AD589" i="2"/>
  <c r="AC589" i="2"/>
  <c r="AB589" i="2"/>
  <c r="AA589" i="2"/>
  <c r="Z589" i="2"/>
  <c r="Y589" i="2"/>
  <c r="X589" i="2"/>
  <c r="W589" i="2"/>
  <c r="V589" i="2"/>
  <c r="U589" i="2"/>
  <c r="T589" i="2"/>
  <c r="S589" i="2"/>
  <c r="R589" i="2"/>
  <c r="Q589" i="2"/>
  <c r="P589" i="2"/>
  <c r="O589" i="2"/>
  <c r="N589" i="2"/>
  <c r="M589" i="2"/>
  <c r="L589" i="2"/>
  <c r="K589" i="2"/>
  <c r="J589" i="2"/>
  <c r="I589" i="2"/>
  <c r="H589" i="2"/>
  <c r="G589" i="2"/>
  <c r="F589" i="2"/>
  <c r="E589" i="2"/>
  <c r="D589" i="2"/>
  <c r="C589" i="2"/>
  <c r="B589" i="2"/>
  <c r="A589" i="2"/>
  <c r="AJ588" i="2"/>
  <c r="AH588" i="2"/>
  <c r="AG588" i="2"/>
  <c r="AF588" i="2"/>
  <c r="AE588" i="2"/>
  <c r="AD588" i="2"/>
  <c r="AC588" i="2"/>
  <c r="AB588" i="2"/>
  <c r="AA588" i="2"/>
  <c r="Z588" i="2"/>
  <c r="Y588" i="2"/>
  <c r="X588" i="2"/>
  <c r="W588" i="2"/>
  <c r="V588" i="2"/>
  <c r="U588" i="2"/>
  <c r="T588" i="2"/>
  <c r="S588" i="2"/>
  <c r="R588" i="2"/>
  <c r="Q588" i="2"/>
  <c r="P588" i="2"/>
  <c r="O588" i="2"/>
  <c r="N588" i="2"/>
  <c r="M588" i="2"/>
  <c r="L588" i="2"/>
  <c r="K588" i="2"/>
  <c r="J588" i="2"/>
  <c r="I588" i="2"/>
  <c r="H588" i="2"/>
  <c r="G588" i="2"/>
  <c r="F588" i="2"/>
  <c r="E588" i="2"/>
  <c r="D588" i="2"/>
  <c r="C588" i="2"/>
  <c r="B588" i="2"/>
  <c r="A588" i="2"/>
  <c r="AJ587" i="2"/>
  <c r="AI587" i="2"/>
  <c r="AH587" i="2"/>
  <c r="AG587" i="2"/>
  <c r="AF587" i="2"/>
  <c r="AE587" i="2"/>
  <c r="AD587" i="2"/>
  <c r="AC587" i="2"/>
  <c r="AB587" i="2"/>
  <c r="AA587" i="2"/>
  <c r="Z587" i="2"/>
  <c r="Y587" i="2"/>
  <c r="X587" i="2"/>
  <c r="W587" i="2"/>
  <c r="V587" i="2"/>
  <c r="U587" i="2"/>
  <c r="T587" i="2"/>
  <c r="S587" i="2"/>
  <c r="R587" i="2"/>
  <c r="Q587" i="2"/>
  <c r="P587" i="2"/>
  <c r="O587" i="2"/>
  <c r="N587" i="2"/>
  <c r="M587" i="2"/>
  <c r="L587" i="2"/>
  <c r="K587" i="2"/>
  <c r="J587" i="2"/>
  <c r="I587" i="2"/>
  <c r="H587" i="2"/>
  <c r="G587" i="2"/>
  <c r="F587" i="2"/>
  <c r="E587" i="2"/>
  <c r="D587" i="2"/>
  <c r="C587" i="2"/>
  <c r="B587" i="2"/>
  <c r="A587" i="2"/>
  <c r="AJ586" i="2"/>
  <c r="AI586" i="2"/>
  <c r="AH586" i="2"/>
  <c r="AG586" i="2"/>
  <c r="AF586" i="2"/>
  <c r="AE586" i="2"/>
  <c r="AD586" i="2"/>
  <c r="AC586" i="2"/>
  <c r="AB586" i="2"/>
  <c r="AA586" i="2"/>
  <c r="Z586" i="2"/>
  <c r="Y586" i="2"/>
  <c r="X586" i="2"/>
  <c r="W586" i="2"/>
  <c r="V586" i="2"/>
  <c r="U586" i="2"/>
  <c r="T586" i="2"/>
  <c r="S586" i="2"/>
  <c r="R586" i="2"/>
  <c r="Q586" i="2"/>
  <c r="P586" i="2"/>
  <c r="O586" i="2"/>
  <c r="N586" i="2"/>
  <c r="M586" i="2"/>
  <c r="L586" i="2"/>
  <c r="K586" i="2"/>
  <c r="J586" i="2"/>
  <c r="I586" i="2"/>
  <c r="H586" i="2"/>
  <c r="G586" i="2"/>
  <c r="F586" i="2"/>
  <c r="E586" i="2"/>
  <c r="D586" i="2"/>
  <c r="C586" i="2"/>
  <c r="B586" i="2"/>
  <c r="A586" i="2"/>
  <c r="AJ585" i="2"/>
  <c r="AI585" i="2"/>
  <c r="AH585" i="2"/>
  <c r="AF585" i="2"/>
  <c r="AE585" i="2"/>
  <c r="AD585" i="2"/>
  <c r="AC585" i="2"/>
  <c r="AB585" i="2"/>
  <c r="AA585" i="2"/>
  <c r="Z585" i="2"/>
  <c r="Y585" i="2"/>
  <c r="X585" i="2"/>
  <c r="V585" i="2"/>
  <c r="U585" i="2"/>
  <c r="T585" i="2"/>
  <c r="S585" i="2"/>
  <c r="R585" i="2"/>
  <c r="Q585" i="2"/>
  <c r="P585" i="2"/>
  <c r="O585" i="2"/>
  <c r="N585" i="2"/>
  <c r="M585" i="2"/>
  <c r="L585" i="2"/>
  <c r="K585" i="2"/>
  <c r="J585" i="2"/>
  <c r="I585" i="2"/>
  <c r="H585" i="2"/>
  <c r="G585" i="2"/>
  <c r="F585" i="2"/>
  <c r="E585" i="2"/>
  <c r="D585" i="2"/>
  <c r="C585" i="2"/>
  <c r="B585" i="2"/>
  <c r="A585" i="2"/>
  <c r="AJ584" i="2"/>
  <c r="AH584" i="2"/>
  <c r="AG584" i="2"/>
  <c r="AF584" i="2"/>
  <c r="AE584" i="2"/>
  <c r="AD584" i="2"/>
  <c r="AC584" i="2"/>
  <c r="AB584" i="2"/>
  <c r="Z584" i="2"/>
  <c r="Y584" i="2"/>
  <c r="X584" i="2"/>
  <c r="V584" i="2"/>
  <c r="U584" i="2"/>
  <c r="T584" i="2"/>
  <c r="S584" i="2"/>
  <c r="R584" i="2"/>
  <c r="Q584" i="2"/>
  <c r="P584" i="2"/>
  <c r="O584" i="2"/>
  <c r="N584" i="2"/>
  <c r="M584" i="2"/>
  <c r="L584" i="2"/>
  <c r="K584" i="2"/>
  <c r="J584" i="2"/>
  <c r="I584" i="2"/>
  <c r="H584" i="2"/>
  <c r="G584" i="2"/>
  <c r="F584" i="2"/>
  <c r="E584" i="2"/>
  <c r="D584" i="2"/>
  <c r="C584" i="2"/>
  <c r="B584" i="2"/>
  <c r="A584" i="2"/>
  <c r="AJ583" i="2"/>
  <c r="AH583" i="2"/>
  <c r="AF583" i="2"/>
  <c r="AE583" i="2"/>
  <c r="AD583" i="2"/>
  <c r="AC583" i="2"/>
  <c r="Z583" i="2"/>
  <c r="Y583" i="2"/>
  <c r="X583" i="2"/>
  <c r="W583" i="2"/>
  <c r="V583" i="2"/>
  <c r="U583" i="2"/>
  <c r="T583" i="2"/>
  <c r="S583" i="2"/>
  <c r="R583" i="2"/>
  <c r="Q583" i="2"/>
  <c r="P583" i="2"/>
  <c r="O583" i="2"/>
  <c r="N583" i="2"/>
  <c r="M583" i="2"/>
  <c r="L583" i="2"/>
  <c r="K583" i="2"/>
  <c r="J583" i="2"/>
  <c r="I583" i="2"/>
  <c r="H583" i="2"/>
  <c r="G583" i="2"/>
  <c r="F583" i="2"/>
  <c r="E583" i="2"/>
  <c r="D583" i="2"/>
  <c r="C583" i="2"/>
  <c r="B583" i="2"/>
  <c r="A583" i="2"/>
  <c r="AJ582" i="2"/>
  <c r="AH582" i="2"/>
  <c r="AG582" i="2"/>
  <c r="AF582" i="2"/>
  <c r="AE582" i="2"/>
  <c r="AD582" i="2"/>
  <c r="AC582" i="2"/>
  <c r="AB582" i="2"/>
  <c r="AA582" i="2"/>
  <c r="Z582" i="2"/>
  <c r="Y582" i="2"/>
  <c r="X582" i="2"/>
  <c r="W582" i="2"/>
  <c r="V582" i="2"/>
  <c r="U582" i="2"/>
  <c r="T582" i="2"/>
  <c r="S582" i="2"/>
  <c r="R582" i="2"/>
  <c r="Q582" i="2"/>
  <c r="P582" i="2"/>
  <c r="N582" i="2"/>
  <c r="M582" i="2"/>
  <c r="L582" i="2"/>
  <c r="K582" i="2"/>
  <c r="J582" i="2"/>
  <c r="I582" i="2"/>
  <c r="H582" i="2"/>
  <c r="G582" i="2"/>
  <c r="F582" i="2"/>
  <c r="E582" i="2"/>
  <c r="D582" i="2"/>
  <c r="C582" i="2"/>
  <c r="B582" i="2"/>
  <c r="A582" i="2"/>
  <c r="AJ581" i="2"/>
  <c r="AH581" i="2"/>
  <c r="AG581" i="2"/>
  <c r="AF581" i="2"/>
  <c r="AE581" i="2"/>
  <c r="AD581" i="2"/>
  <c r="AC581" i="2"/>
  <c r="AB581" i="2"/>
  <c r="AA581" i="2"/>
  <c r="Z581" i="2"/>
  <c r="Y581" i="2"/>
  <c r="X581" i="2"/>
  <c r="W581" i="2"/>
  <c r="V581" i="2"/>
  <c r="U581" i="2"/>
  <c r="T581" i="2"/>
  <c r="S581" i="2"/>
  <c r="R581" i="2"/>
  <c r="Q581" i="2"/>
  <c r="P581" i="2"/>
  <c r="N581" i="2"/>
  <c r="M581" i="2"/>
  <c r="L581" i="2"/>
  <c r="K581" i="2"/>
  <c r="J581" i="2"/>
  <c r="I581" i="2"/>
  <c r="H581" i="2"/>
  <c r="G581" i="2"/>
  <c r="F581" i="2"/>
  <c r="E581" i="2"/>
  <c r="D581" i="2"/>
  <c r="C581" i="2"/>
  <c r="B581" i="2"/>
  <c r="A581" i="2"/>
  <c r="AJ580" i="2"/>
  <c r="AH580" i="2"/>
  <c r="AG580" i="2"/>
  <c r="AF580" i="2"/>
  <c r="AE580" i="2"/>
  <c r="AD580" i="2"/>
  <c r="AC580" i="2"/>
  <c r="AB580" i="2"/>
  <c r="AA580" i="2"/>
  <c r="Z580" i="2"/>
  <c r="Y580" i="2"/>
  <c r="X580" i="2"/>
  <c r="W580" i="2"/>
  <c r="V580" i="2"/>
  <c r="U580" i="2"/>
  <c r="T580" i="2"/>
  <c r="S580" i="2"/>
  <c r="R580" i="2"/>
  <c r="Q580" i="2"/>
  <c r="P580" i="2"/>
  <c r="O580" i="2"/>
  <c r="N580" i="2"/>
  <c r="M580" i="2"/>
  <c r="L580" i="2"/>
  <c r="K580" i="2"/>
  <c r="J580" i="2"/>
  <c r="I580" i="2"/>
  <c r="H580" i="2"/>
  <c r="G580" i="2"/>
  <c r="F580" i="2"/>
  <c r="E580" i="2"/>
  <c r="D580" i="2"/>
  <c r="C580" i="2"/>
  <c r="B580" i="2"/>
  <c r="A580" i="2"/>
  <c r="AJ579" i="2"/>
  <c r="AH579" i="2"/>
  <c r="AG579" i="2"/>
  <c r="AF579" i="2"/>
  <c r="AE579" i="2"/>
  <c r="AD579" i="2"/>
  <c r="AC579" i="2"/>
  <c r="AB579" i="2"/>
  <c r="AA579" i="2"/>
  <c r="Z579" i="2"/>
  <c r="Y579" i="2"/>
  <c r="X579" i="2"/>
  <c r="W579" i="2"/>
  <c r="V579" i="2"/>
  <c r="U579" i="2"/>
  <c r="T579" i="2"/>
  <c r="S579" i="2"/>
  <c r="R579" i="2"/>
  <c r="Q579" i="2"/>
  <c r="P579" i="2"/>
  <c r="O579" i="2"/>
  <c r="N579" i="2"/>
  <c r="M579" i="2"/>
  <c r="L579" i="2"/>
  <c r="K579" i="2"/>
  <c r="J579" i="2"/>
  <c r="I579" i="2"/>
  <c r="H579" i="2"/>
  <c r="G579" i="2"/>
  <c r="F579" i="2"/>
  <c r="E579" i="2"/>
  <c r="D579" i="2"/>
  <c r="C579" i="2"/>
  <c r="B579" i="2"/>
  <c r="A579" i="2"/>
  <c r="AJ578" i="2"/>
  <c r="AH578" i="2"/>
  <c r="AG578" i="2"/>
  <c r="AF578" i="2"/>
  <c r="AE578" i="2"/>
  <c r="AD578" i="2"/>
  <c r="AC578" i="2"/>
  <c r="AA578" i="2"/>
  <c r="Z578" i="2"/>
  <c r="Y578" i="2"/>
  <c r="X578" i="2"/>
  <c r="W578" i="2"/>
  <c r="V578" i="2"/>
  <c r="U578" i="2"/>
  <c r="T578" i="2"/>
  <c r="S578" i="2"/>
  <c r="R578" i="2"/>
  <c r="Q578" i="2"/>
  <c r="P578" i="2"/>
  <c r="N578" i="2"/>
  <c r="M578" i="2"/>
  <c r="L578" i="2"/>
  <c r="K578" i="2"/>
  <c r="J578" i="2"/>
  <c r="I578" i="2"/>
  <c r="H578" i="2"/>
  <c r="G578" i="2"/>
  <c r="F578" i="2"/>
  <c r="E578" i="2"/>
  <c r="D578" i="2"/>
  <c r="C578" i="2"/>
  <c r="B578" i="2"/>
  <c r="A578" i="2"/>
  <c r="AJ577" i="2"/>
  <c r="AI577" i="2"/>
  <c r="AH577" i="2"/>
  <c r="AG577" i="2"/>
  <c r="AF577" i="2"/>
  <c r="AE577" i="2"/>
  <c r="AD577" i="2"/>
  <c r="AC577" i="2"/>
  <c r="AB577" i="2"/>
  <c r="AA577" i="2"/>
  <c r="Z577" i="2"/>
  <c r="Y577" i="2"/>
  <c r="X577" i="2"/>
  <c r="W577" i="2"/>
  <c r="V577" i="2"/>
  <c r="U577" i="2"/>
  <c r="T577" i="2"/>
  <c r="S577" i="2"/>
  <c r="R577" i="2"/>
  <c r="Q577" i="2"/>
  <c r="P577" i="2"/>
  <c r="O577" i="2"/>
  <c r="N577" i="2"/>
  <c r="M577" i="2"/>
  <c r="L577" i="2"/>
  <c r="K577" i="2"/>
  <c r="J577" i="2"/>
  <c r="I577" i="2"/>
  <c r="H577" i="2"/>
  <c r="G577" i="2"/>
  <c r="F577" i="2"/>
  <c r="E577" i="2"/>
  <c r="D577" i="2"/>
  <c r="C577" i="2"/>
  <c r="B577" i="2"/>
  <c r="A577" i="2"/>
  <c r="AJ576" i="2"/>
  <c r="AI576" i="2"/>
  <c r="AH576" i="2"/>
  <c r="AG576" i="2"/>
  <c r="AF576" i="2"/>
  <c r="AE576" i="2"/>
  <c r="AD576" i="2"/>
  <c r="AC576" i="2"/>
  <c r="AB576" i="2"/>
  <c r="AA576" i="2"/>
  <c r="Z576" i="2"/>
  <c r="Y576" i="2"/>
  <c r="X576" i="2"/>
  <c r="W576" i="2"/>
  <c r="V576" i="2"/>
  <c r="U576" i="2"/>
  <c r="T576" i="2"/>
  <c r="S576" i="2"/>
  <c r="R576" i="2"/>
  <c r="Q576" i="2"/>
  <c r="P576" i="2"/>
  <c r="O576" i="2"/>
  <c r="N576" i="2"/>
  <c r="M576" i="2"/>
  <c r="L576" i="2"/>
  <c r="K576" i="2"/>
  <c r="J576" i="2"/>
  <c r="I576" i="2"/>
  <c r="H576" i="2"/>
  <c r="G576" i="2"/>
  <c r="F576" i="2"/>
  <c r="E576" i="2"/>
  <c r="D576" i="2"/>
  <c r="C576" i="2"/>
  <c r="B576" i="2"/>
  <c r="A576" i="2"/>
  <c r="AJ575" i="2"/>
  <c r="AI575" i="2"/>
  <c r="AH575" i="2"/>
  <c r="AF575" i="2"/>
  <c r="AE575" i="2"/>
  <c r="AD575" i="2"/>
  <c r="AB575" i="2"/>
  <c r="AA575" i="2"/>
  <c r="Z575" i="2"/>
  <c r="Y575" i="2"/>
  <c r="X575" i="2"/>
  <c r="W575" i="2"/>
  <c r="V575" i="2"/>
  <c r="U575" i="2"/>
  <c r="T575" i="2"/>
  <c r="S575" i="2"/>
  <c r="R575" i="2"/>
  <c r="Q575" i="2"/>
  <c r="P575" i="2"/>
  <c r="O575" i="2"/>
  <c r="N575" i="2"/>
  <c r="M575" i="2"/>
  <c r="L575" i="2"/>
  <c r="K575" i="2"/>
  <c r="J575" i="2"/>
  <c r="I575" i="2"/>
  <c r="H575" i="2"/>
  <c r="G575" i="2"/>
  <c r="F575" i="2"/>
  <c r="E575" i="2"/>
  <c r="D575" i="2"/>
  <c r="C575" i="2"/>
  <c r="B575" i="2"/>
  <c r="A575" i="2"/>
  <c r="AI574" i="2"/>
  <c r="AH574" i="2"/>
  <c r="AG574" i="2"/>
  <c r="AF574" i="2"/>
  <c r="AE574" i="2"/>
  <c r="AD574" i="2"/>
  <c r="AC574" i="2"/>
  <c r="AB574" i="2"/>
  <c r="AA574" i="2"/>
  <c r="Z574" i="2"/>
  <c r="Y574" i="2"/>
  <c r="X574" i="2"/>
  <c r="W574" i="2"/>
  <c r="V574" i="2"/>
  <c r="U574" i="2"/>
  <c r="T574" i="2"/>
  <c r="S574" i="2"/>
  <c r="R574" i="2"/>
  <c r="Q574" i="2"/>
  <c r="P574" i="2"/>
  <c r="O574" i="2"/>
  <c r="N574" i="2"/>
  <c r="M574" i="2"/>
  <c r="L574" i="2"/>
  <c r="K574" i="2"/>
  <c r="J574" i="2"/>
  <c r="I574" i="2"/>
  <c r="H574" i="2"/>
  <c r="G574" i="2"/>
  <c r="F574" i="2"/>
  <c r="E574" i="2"/>
  <c r="D574" i="2"/>
  <c r="C574" i="2"/>
  <c r="B574" i="2"/>
  <c r="A574" i="2"/>
  <c r="AJ573" i="2"/>
  <c r="AH573" i="2"/>
  <c r="AG573" i="2"/>
  <c r="AF573" i="2"/>
  <c r="AE573" i="2"/>
  <c r="AD573" i="2"/>
  <c r="AC573" i="2"/>
  <c r="AB573" i="2"/>
  <c r="Z573" i="2"/>
  <c r="Y573" i="2"/>
  <c r="X573" i="2"/>
  <c r="W573" i="2"/>
  <c r="V573" i="2"/>
  <c r="U573" i="2"/>
  <c r="T573" i="2"/>
  <c r="S573" i="2"/>
  <c r="R573" i="2"/>
  <c r="Q573" i="2"/>
  <c r="P573" i="2"/>
  <c r="O573" i="2"/>
  <c r="N573" i="2"/>
  <c r="M573" i="2"/>
  <c r="L573" i="2"/>
  <c r="K573" i="2"/>
  <c r="J573" i="2"/>
  <c r="I573" i="2"/>
  <c r="H573" i="2"/>
  <c r="G573" i="2"/>
  <c r="F573" i="2"/>
  <c r="E573" i="2"/>
  <c r="D573" i="2"/>
  <c r="C573" i="2"/>
  <c r="B573" i="2"/>
  <c r="A573" i="2"/>
  <c r="AJ572" i="2"/>
  <c r="AI572" i="2"/>
  <c r="AH572" i="2"/>
  <c r="AG572" i="2"/>
  <c r="AF572" i="2"/>
  <c r="AE572" i="2"/>
  <c r="AD572" i="2"/>
  <c r="AC572" i="2"/>
  <c r="AB572" i="2"/>
  <c r="AA572" i="2"/>
  <c r="Z572" i="2"/>
  <c r="Y572" i="2"/>
  <c r="X572" i="2"/>
  <c r="W572" i="2"/>
  <c r="V572" i="2"/>
  <c r="U572" i="2"/>
  <c r="T572" i="2"/>
  <c r="S572" i="2"/>
  <c r="R572" i="2"/>
  <c r="Q572" i="2"/>
  <c r="P572" i="2"/>
  <c r="O572" i="2"/>
  <c r="N572" i="2"/>
  <c r="M572" i="2"/>
  <c r="L572" i="2"/>
  <c r="K572" i="2"/>
  <c r="J572" i="2"/>
  <c r="I572" i="2"/>
  <c r="H572" i="2"/>
  <c r="G572" i="2"/>
  <c r="F572" i="2"/>
  <c r="E572" i="2"/>
  <c r="D572" i="2"/>
  <c r="C572" i="2"/>
  <c r="B572" i="2"/>
  <c r="A572" i="2"/>
  <c r="AJ571" i="2"/>
  <c r="AH571" i="2"/>
  <c r="AG571" i="2"/>
  <c r="AF571" i="2"/>
  <c r="AE571" i="2"/>
  <c r="AD571" i="2"/>
  <c r="AC571" i="2"/>
  <c r="Z571" i="2"/>
  <c r="Y571" i="2"/>
  <c r="X571" i="2"/>
  <c r="W571" i="2"/>
  <c r="V571" i="2"/>
  <c r="U571" i="2"/>
  <c r="T571" i="2"/>
  <c r="S571" i="2"/>
  <c r="R571" i="2"/>
  <c r="Q571" i="2"/>
  <c r="P571" i="2"/>
  <c r="O571" i="2"/>
  <c r="N571" i="2"/>
  <c r="M571" i="2"/>
  <c r="L571" i="2"/>
  <c r="K571" i="2"/>
  <c r="J571" i="2"/>
  <c r="I571" i="2"/>
  <c r="H571" i="2"/>
  <c r="G571" i="2"/>
  <c r="F571" i="2"/>
  <c r="E571" i="2"/>
  <c r="D571" i="2"/>
  <c r="C571" i="2"/>
  <c r="B571" i="2"/>
  <c r="A571" i="2"/>
  <c r="AJ570" i="2"/>
  <c r="AI570" i="2"/>
  <c r="AH570" i="2"/>
  <c r="AG570" i="2"/>
  <c r="AF570" i="2"/>
  <c r="AE570" i="2"/>
  <c r="AD570" i="2"/>
  <c r="AC570" i="2"/>
  <c r="AB570" i="2"/>
  <c r="AA570" i="2"/>
  <c r="Z570" i="2"/>
  <c r="Y570" i="2"/>
  <c r="X570" i="2"/>
  <c r="W570" i="2"/>
  <c r="V570" i="2"/>
  <c r="U570" i="2"/>
  <c r="T570" i="2"/>
  <c r="S570" i="2"/>
  <c r="R570" i="2"/>
  <c r="Q570" i="2"/>
  <c r="P570" i="2"/>
  <c r="O570" i="2"/>
  <c r="N570" i="2"/>
  <c r="M570" i="2"/>
  <c r="L570" i="2"/>
  <c r="K570" i="2"/>
  <c r="J570" i="2"/>
  <c r="I570" i="2"/>
  <c r="H570" i="2"/>
  <c r="G570" i="2"/>
  <c r="F570" i="2"/>
  <c r="E570" i="2"/>
  <c r="D570" i="2"/>
  <c r="C570" i="2"/>
  <c r="B570" i="2"/>
  <c r="A570" i="2"/>
  <c r="AJ569" i="2"/>
  <c r="AI569" i="2"/>
  <c r="AH569" i="2"/>
  <c r="AG569" i="2"/>
  <c r="AF569" i="2"/>
  <c r="AE569" i="2"/>
  <c r="AD569" i="2"/>
  <c r="AC569" i="2"/>
  <c r="AB569" i="2"/>
  <c r="AA569" i="2"/>
  <c r="Z569" i="2"/>
  <c r="Y569" i="2"/>
  <c r="X569" i="2"/>
  <c r="W569" i="2"/>
  <c r="V569" i="2"/>
  <c r="U569" i="2"/>
  <c r="T569" i="2"/>
  <c r="S569" i="2"/>
  <c r="R569" i="2"/>
  <c r="Q569" i="2"/>
  <c r="P569" i="2"/>
  <c r="O569" i="2"/>
  <c r="N569" i="2"/>
  <c r="M569" i="2"/>
  <c r="L569" i="2"/>
  <c r="K569" i="2"/>
  <c r="J569" i="2"/>
  <c r="I569" i="2"/>
  <c r="H569" i="2"/>
  <c r="G569" i="2"/>
  <c r="F569" i="2"/>
  <c r="E569" i="2"/>
  <c r="D569" i="2"/>
  <c r="C569" i="2"/>
  <c r="B569" i="2"/>
  <c r="A569" i="2"/>
  <c r="AJ568" i="2"/>
  <c r="AH568" i="2"/>
  <c r="AG568" i="2"/>
  <c r="AF568" i="2"/>
  <c r="AE568" i="2"/>
  <c r="AD568" i="2"/>
  <c r="AA568" i="2"/>
  <c r="Z568" i="2"/>
  <c r="Y568" i="2"/>
  <c r="X568" i="2"/>
  <c r="W568" i="2"/>
  <c r="V568" i="2"/>
  <c r="U568" i="2"/>
  <c r="T568" i="2"/>
  <c r="S568" i="2"/>
  <c r="R568" i="2"/>
  <c r="Q568" i="2"/>
  <c r="P568" i="2"/>
  <c r="O568" i="2"/>
  <c r="N568" i="2"/>
  <c r="M568" i="2"/>
  <c r="L568" i="2"/>
  <c r="K568" i="2"/>
  <c r="J568" i="2"/>
  <c r="I568" i="2"/>
  <c r="H568" i="2"/>
  <c r="G568" i="2"/>
  <c r="F568" i="2"/>
  <c r="E568" i="2"/>
  <c r="D568" i="2"/>
  <c r="C568" i="2"/>
  <c r="B568" i="2"/>
  <c r="A568" i="2"/>
  <c r="AJ567" i="2"/>
  <c r="AH567" i="2"/>
  <c r="AG567" i="2"/>
  <c r="AF567" i="2"/>
  <c r="AE567" i="2"/>
  <c r="AD567" i="2"/>
  <c r="AB567" i="2"/>
  <c r="AA567" i="2"/>
  <c r="Z567" i="2"/>
  <c r="Y567" i="2"/>
  <c r="X567" i="2"/>
  <c r="W567" i="2"/>
  <c r="V567" i="2"/>
  <c r="U567" i="2"/>
  <c r="T567" i="2"/>
  <c r="S567" i="2"/>
  <c r="R567" i="2"/>
  <c r="Q567" i="2"/>
  <c r="P567" i="2"/>
  <c r="O567" i="2"/>
  <c r="N567" i="2"/>
  <c r="M567" i="2"/>
  <c r="L567" i="2"/>
  <c r="K567" i="2"/>
  <c r="J567" i="2"/>
  <c r="I567" i="2"/>
  <c r="H567" i="2"/>
  <c r="G567" i="2"/>
  <c r="F567" i="2"/>
  <c r="E567" i="2"/>
  <c r="D567" i="2"/>
  <c r="C567" i="2"/>
  <c r="B567" i="2"/>
  <c r="A567" i="2"/>
  <c r="AJ566" i="2"/>
  <c r="AH566" i="2"/>
  <c r="AG566" i="2"/>
  <c r="AF566" i="2"/>
  <c r="AE566" i="2"/>
  <c r="AD566" i="2"/>
  <c r="AA566" i="2"/>
  <c r="Z566" i="2"/>
  <c r="Y566" i="2"/>
  <c r="X566" i="2"/>
  <c r="W566" i="2"/>
  <c r="V566" i="2"/>
  <c r="U566" i="2"/>
  <c r="T566" i="2"/>
  <c r="S566" i="2"/>
  <c r="R566" i="2"/>
  <c r="Q566" i="2"/>
  <c r="P566" i="2"/>
  <c r="O566" i="2"/>
  <c r="N566" i="2"/>
  <c r="M566" i="2"/>
  <c r="L566" i="2"/>
  <c r="K566" i="2"/>
  <c r="J566" i="2"/>
  <c r="I566" i="2"/>
  <c r="H566" i="2"/>
  <c r="G566" i="2"/>
  <c r="F566" i="2"/>
  <c r="E566" i="2"/>
  <c r="D566" i="2"/>
  <c r="C566" i="2"/>
  <c r="B566" i="2"/>
  <c r="A566" i="2"/>
  <c r="AJ565" i="2"/>
  <c r="AH565" i="2"/>
  <c r="AG565" i="2"/>
  <c r="AF565" i="2"/>
  <c r="AE565" i="2"/>
  <c r="AD565" i="2"/>
  <c r="AB565" i="2"/>
  <c r="AA565" i="2"/>
  <c r="Z565" i="2"/>
  <c r="Y565" i="2"/>
  <c r="X565" i="2"/>
  <c r="W565" i="2"/>
  <c r="V565" i="2"/>
  <c r="U565" i="2"/>
  <c r="T565" i="2"/>
  <c r="S565" i="2"/>
  <c r="R565" i="2"/>
  <c r="Q565" i="2"/>
  <c r="P565" i="2"/>
  <c r="O565" i="2"/>
  <c r="N565" i="2"/>
  <c r="M565" i="2"/>
  <c r="L565" i="2"/>
  <c r="K565" i="2"/>
  <c r="J565" i="2"/>
  <c r="I565" i="2"/>
  <c r="H565" i="2"/>
  <c r="G565" i="2"/>
  <c r="F565" i="2"/>
  <c r="E565" i="2"/>
  <c r="D565" i="2"/>
  <c r="C565" i="2"/>
  <c r="B565" i="2"/>
  <c r="A565" i="2"/>
  <c r="AJ564" i="2"/>
  <c r="AI564" i="2"/>
  <c r="AH564" i="2"/>
  <c r="AG564" i="2"/>
  <c r="AF564" i="2"/>
  <c r="AE564" i="2"/>
  <c r="AD564" i="2"/>
  <c r="AC564" i="2"/>
  <c r="AB564" i="2"/>
  <c r="AA564" i="2"/>
  <c r="Z564" i="2"/>
  <c r="Y564" i="2"/>
  <c r="W564" i="2"/>
  <c r="V564" i="2"/>
  <c r="U564" i="2"/>
  <c r="T564" i="2"/>
  <c r="S564" i="2"/>
  <c r="R564" i="2"/>
  <c r="Q564" i="2"/>
  <c r="P564" i="2"/>
  <c r="O564" i="2"/>
  <c r="N564" i="2"/>
  <c r="M564" i="2"/>
  <c r="L564" i="2"/>
  <c r="K564" i="2"/>
  <c r="J564" i="2"/>
  <c r="I564" i="2"/>
  <c r="H564" i="2"/>
  <c r="G564" i="2"/>
  <c r="F564" i="2"/>
  <c r="E564" i="2"/>
  <c r="D564" i="2"/>
  <c r="C564" i="2"/>
  <c r="B564" i="2"/>
  <c r="A564" i="2"/>
  <c r="AJ563" i="2"/>
  <c r="AH563" i="2"/>
  <c r="AG563" i="2"/>
  <c r="AF563" i="2"/>
  <c r="AE563" i="2"/>
  <c r="AD563" i="2"/>
  <c r="AC563" i="2"/>
  <c r="Z563" i="2"/>
  <c r="Y563" i="2"/>
  <c r="X563" i="2"/>
  <c r="W563" i="2"/>
  <c r="V563" i="2"/>
  <c r="U563" i="2"/>
  <c r="T563" i="2"/>
  <c r="S563" i="2"/>
  <c r="R563" i="2"/>
  <c r="Q563" i="2"/>
  <c r="P563" i="2"/>
  <c r="O563" i="2"/>
  <c r="N563" i="2"/>
  <c r="M563" i="2"/>
  <c r="L563" i="2"/>
  <c r="K563" i="2"/>
  <c r="J563" i="2"/>
  <c r="I563" i="2"/>
  <c r="H563" i="2"/>
  <c r="G563" i="2"/>
  <c r="F563" i="2"/>
  <c r="E563" i="2"/>
  <c r="D563" i="2"/>
  <c r="C563" i="2"/>
  <c r="B563" i="2"/>
  <c r="A563" i="2"/>
  <c r="AJ562" i="2"/>
  <c r="AI562" i="2"/>
  <c r="AH562" i="2"/>
  <c r="AG562" i="2"/>
  <c r="AF562" i="2"/>
  <c r="AE562" i="2"/>
  <c r="AD562" i="2"/>
  <c r="AC562" i="2"/>
  <c r="AB562" i="2"/>
  <c r="AA562" i="2"/>
  <c r="Z562" i="2"/>
  <c r="Y562" i="2"/>
  <c r="X562" i="2"/>
  <c r="W562" i="2"/>
  <c r="V562" i="2"/>
  <c r="U562" i="2"/>
  <c r="T562" i="2"/>
  <c r="S562" i="2"/>
  <c r="R562" i="2"/>
  <c r="Q562" i="2"/>
  <c r="P562" i="2"/>
  <c r="O562" i="2"/>
  <c r="N562" i="2"/>
  <c r="M562" i="2"/>
  <c r="L562" i="2"/>
  <c r="K562" i="2"/>
  <c r="J562" i="2"/>
  <c r="I562" i="2"/>
  <c r="H562" i="2"/>
  <c r="G562" i="2"/>
  <c r="F562" i="2"/>
  <c r="E562" i="2"/>
  <c r="D562" i="2"/>
  <c r="C562" i="2"/>
  <c r="B562" i="2"/>
  <c r="A562" i="2"/>
  <c r="AJ561" i="2"/>
  <c r="AH561" i="2"/>
  <c r="AG561" i="2"/>
  <c r="AF561" i="2"/>
  <c r="AE561" i="2"/>
  <c r="AD561" i="2"/>
  <c r="AA561" i="2"/>
  <c r="Z561" i="2"/>
  <c r="Y561" i="2"/>
  <c r="X561" i="2"/>
  <c r="W561" i="2"/>
  <c r="V561" i="2"/>
  <c r="U561" i="2"/>
  <c r="T561" i="2"/>
  <c r="S561" i="2"/>
  <c r="R561" i="2"/>
  <c r="Q561" i="2"/>
  <c r="P561" i="2"/>
  <c r="O561" i="2"/>
  <c r="N561" i="2"/>
  <c r="M561" i="2"/>
  <c r="L561" i="2"/>
  <c r="K561" i="2"/>
  <c r="J561" i="2"/>
  <c r="I561" i="2"/>
  <c r="H561" i="2"/>
  <c r="G561" i="2"/>
  <c r="F561" i="2"/>
  <c r="E561" i="2"/>
  <c r="D561" i="2"/>
  <c r="C561" i="2"/>
  <c r="B561" i="2"/>
  <c r="A561" i="2"/>
  <c r="AJ560" i="2"/>
  <c r="AH560" i="2"/>
  <c r="AG560" i="2"/>
  <c r="AF560" i="2"/>
  <c r="AE560" i="2"/>
  <c r="AD560" i="2"/>
  <c r="AC560" i="2"/>
  <c r="Z560" i="2"/>
  <c r="Y560" i="2"/>
  <c r="X560" i="2"/>
  <c r="W560" i="2"/>
  <c r="V560" i="2"/>
  <c r="U560" i="2"/>
  <c r="T560" i="2"/>
  <c r="S560" i="2"/>
  <c r="R560" i="2"/>
  <c r="Q560" i="2"/>
  <c r="P560" i="2"/>
  <c r="O560" i="2"/>
  <c r="N560" i="2"/>
  <c r="M560" i="2"/>
  <c r="L560" i="2"/>
  <c r="K560" i="2"/>
  <c r="J560" i="2"/>
  <c r="I560" i="2"/>
  <c r="H560" i="2"/>
  <c r="G560" i="2"/>
  <c r="F560" i="2"/>
  <c r="E560" i="2"/>
  <c r="D560" i="2"/>
  <c r="C560" i="2"/>
  <c r="B560" i="2"/>
  <c r="A560" i="2"/>
  <c r="AJ559" i="2"/>
  <c r="AH559" i="2"/>
  <c r="AG559" i="2"/>
  <c r="AF559" i="2"/>
  <c r="AE559" i="2"/>
  <c r="AD559" i="2"/>
  <c r="Z559" i="2"/>
  <c r="Y559" i="2"/>
  <c r="X559" i="2"/>
  <c r="W559" i="2"/>
  <c r="V559" i="2"/>
  <c r="U559" i="2"/>
  <c r="T559" i="2"/>
  <c r="S559" i="2"/>
  <c r="R559" i="2"/>
  <c r="Q559" i="2"/>
  <c r="P559" i="2"/>
  <c r="O559" i="2"/>
  <c r="N559" i="2"/>
  <c r="M559" i="2"/>
  <c r="L559" i="2"/>
  <c r="K559" i="2"/>
  <c r="J559" i="2"/>
  <c r="I559" i="2"/>
  <c r="H559" i="2"/>
  <c r="G559" i="2"/>
  <c r="F559" i="2"/>
  <c r="E559" i="2"/>
  <c r="D559" i="2"/>
  <c r="C559" i="2"/>
  <c r="B559" i="2"/>
  <c r="A559" i="2"/>
  <c r="AJ558" i="2"/>
  <c r="AI558" i="2"/>
  <c r="AH558" i="2"/>
  <c r="AG558" i="2"/>
  <c r="AF558" i="2"/>
  <c r="AE558" i="2"/>
  <c r="AD558" i="2"/>
  <c r="AC558" i="2"/>
  <c r="AB558" i="2"/>
  <c r="AA558" i="2"/>
  <c r="Z558" i="2"/>
  <c r="Y558" i="2"/>
  <c r="V558" i="2"/>
  <c r="U558" i="2"/>
  <c r="T558" i="2"/>
  <c r="S558" i="2"/>
  <c r="R558" i="2"/>
  <c r="Q558" i="2"/>
  <c r="P558" i="2"/>
  <c r="O558" i="2"/>
  <c r="N558" i="2"/>
  <c r="M558" i="2"/>
  <c r="L558" i="2"/>
  <c r="K558" i="2"/>
  <c r="J558" i="2"/>
  <c r="I558" i="2"/>
  <c r="H558" i="2"/>
  <c r="G558" i="2"/>
  <c r="F558" i="2"/>
  <c r="E558" i="2"/>
  <c r="D558" i="2"/>
  <c r="C558" i="2"/>
  <c r="B558" i="2"/>
  <c r="A558" i="2"/>
  <c r="AJ557" i="2"/>
  <c r="AI557" i="2"/>
  <c r="AH557" i="2"/>
  <c r="AG557" i="2"/>
  <c r="AF557" i="2"/>
  <c r="AE557" i="2"/>
  <c r="AD557" i="2"/>
  <c r="AC557" i="2"/>
  <c r="AB557" i="2"/>
  <c r="AA557" i="2"/>
  <c r="Z557" i="2"/>
  <c r="Y557" i="2"/>
  <c r="X557" i="2"/>
  <c r="W557" i="2"/>
  <c r="V557" i="2"/>
  <c r="U557" i="2"/>
  <c r="T557" i="2"/>
  <c r="S557" i="2"/>
  <c r="R557" i="2"/>
  <c r="Q557" i="2"/>
  <c r="P557" i="2"/>
  <c r="O557" i="2"/>
  <c r="N557" i="2"/>
  <c r="M557" i="2"/>
  <c r="L557" i="2"/>
  <c r="K557" i="2"/>
  <c r="J557" i="2"/>
  <c r="I557" i="2"/>
  <c r="H557" i="2"/>
  <c r="G557" i="2"/>
  <c r="F557" i="2"/>
  <c r="E557" i="2"/>
  <c r="D557" i="2"/>
  <c r="C557" i="2"/>
  <c r="B557" i="2"/>
  <c r="A557" i="2"/>
  <c r="AJ556" i="2"/>
  <c r="AG556" i="2"/>
  <c r="AF556" i="2"/>
  <c r="AE556" i="2"/>
  <c r="AD556" i="2"/>
  <c r="Z556" i="2"/>
  <c r="Y556" i="2"/>
  <c r="V556" i="2"/>
  <c r="U556" i="2"/>
  <c r="T556" i="2"/>
  <c r="S556" i="2"/>
  <c r="R556" i="2"/>
  <c r="Q556" i="2"/>
  <c r="P556" i="2"/>
  <c r="O556" i="2"/>
  <c r="N556" i="2"/>
  <c r="M556" i="2"/>
  <c r="L556" i="2"/>
  <c r="K556" i="2"/>
  <c r="J556" i="2"/>
  <c r="I556" i="2"/>
  <c r="H556" i="2"/>
  <c r="G556" i="2"/>
  <c r="F556" i="2"/>
  <c r="E556" i="2"/>
  <c r="D556" i="2"/>
  <c r="C556" i="2"/>
  <c r="B556" i="2"/>
  <c r="A556" i="2"/>
  <c r="AJ555" i="2"/>
  <c r="AI555" i="2"/>
  <c r="AH555" i="2"/>
  <c r="AG555" i="2"/>
  <c r="AF555" i="2"/>
  <c r="AE555" i="2"/>
  <c r="AD555" i="2"/>
  <c r="AC555" i="2"/>
  <c r="AB555" i="2"/>
  <c r="AA555" i="2"/>
  <c r="Z555" i="2"/>
  <c r="Y555" i="2"/>
  <c r="X555" i="2"/>
  <c r="W555" i="2"/>
  <c r="V555" i="2"/>
  <c r="U555" i="2"/>
  <c r="T555" i="2"/>
  <c r="S555" i="2"/>
  <c r="R555" i="2"/>
  <c r="Q555" i="2"/>
  <c r="P555" i="2"/>
  <c r="O555" i="2"/>
  <c r="N555" i="2"/>
  <c r="M555" i="2"/>
  <c r="L555" i="2"/>
  <c r="K555" i="2"/>
  <c r="J555" i="2"/>
  <c r="I555" i="2"/>
  <c r="H555" i="2"/>
  <c r="G555" i="2"/>
  <c r="F555" i="2"/>
  <c r="E555" i="2"/>
  <c r="D555" i="2"/>
  <c r="C555" i="2"/>
  <c r="B555" i="2"/>
  <c r="A555" i="2"/>
  <c r="AJ554" i="2"/>
  <c r="AH554" i="2"/>
  <c r="AG554" i="2"/>
  <c r="AF554" i="2"/>
  <c r="AE554" i="2"/>
  <c r="AD554" i="2"/>
  <c r="AC554" i="2"/>
  <c r="Z554" i="2"/>
  <c r="Y554" i="2"/>
  <c r="X554" i="2"/>
  <c r="W554" i="2"/>
  <c r="V554" i="2"/>
  <c r="U554" i="2"/>
  <c r="T554" i="2"/>
  <c r="S554" i="2"/>
  <c r="R554" i="2"/>
  <c r="Q554" i="2"/>
  <c r="P554" i="2"/>
  <c r="O554" i="2"/>
  <c r="N554" i="2"/>
  <c r="M554" i="2"/>
  <c r="L554" i="2"/>
  <c r="K554" i="2"/>
  <c r="J554" i="2"/>
  <c r="I554" i="2"/>
  <c r="H554" i="2"/>
  <c r="G554" i="2"/>
  <c r="F554" i="2"/>
  <c r="E554" i="2"/>
  <c r="D554" i="2"/>
  <c r="C554" i="2"/>
  <c r="B554" i="2"/>
  <c r="A554" i="2"/>
  <c r="AJ553" i="2"/>
  <c r="AH553" i="2"/>
  <c r="AG553" i="2"/>
  <c r="AF553" i="2"/>
  <c r="AE553" i="2"/>
  <c r="AD553" i="2"/>
  <c r="AC553" i="2"/>
  <c r="Z553" i="2"/>
  <c r="Y553" i="2"/>
  <c r="X553" i="2"/>
  <c r="W553" i="2"/>
  <c r="V553" i="2"/>
  <c r="U553" i="2"/>
  <c r="T553" i="2"/>
  <c r="S553" i="2"/>
  <c r="R553" i="2"/>
  <c r="Q553" i="2"/>
  <c r="P553" i="2"/>
  <c r="O553" i="2"/>
  <c r="N553" i="2"/>
  <c r="M553" i="2"/>
  <c r="L553" i="2"/>
  <c r="K553" i="2"/>
  <c r="J553" i="2"/>
  <c r="I553" i="2"/>
  <c r="H553" i="2"/>
  <c r="G553" i="2"/>
  <c r="F553" i="2"/>
  <c r="E553" i="2"/>
  <c r="D553" i="2"/>
  <c r="C553" i="2"/>
  <c r="B553" i="2"/>
  <c r="A553" i="2"/>
  <c r="AJ552" i="2"/>
  <c r="AI552" i="2"/>
  <c r="AH552" i="2"/>
  <c r="AF552" i="2"/>
  <c r="AE552" i="2"/>
  <c r="AD552" i="2"/>
  <c r="AC552" i="2"/>
  <c r="AB552" i="2"/>
  <c r="Z552" i="2"/>
  <c r="Y552" i="2"/>
  <c r="X552" i="2"/>
  <c r="W552" i="2"/>
  <c r="V552" i="2"/>
  <c r="U552" i="2"/>
  <c r="T552" i="2"/>
  <c r="S552" i="2"/>
  <c r="R552" i="2"/>
  <c r="Q552" i="2"/>
  <c r="P552" i="2"/>
  <c r="O552" i="2"/>
  <c r="N552" i="2"/>
  <c r="M552" i="2"/>
  <c r="L552" i="2"/>
  <c r="K552" i="2"/>
  <c r="J552" i="2"/>
  <c r="I552" i="2"/>
  <c r="H552" i="2"/>
  <c r="G552" i="2"/>
  <c r="F552" i="2"/>
  <c r="E552" i="2"/>
  <c r="D552" i="2"/>
  <c r="C552" i="2"/>
  <c r="B552" i="2"/>
  <c r="A552" i="2"/>
  <c r="AF551" i="2"/>
  <c r="AA551" i="2"/>
  <c r="Z551" i="2"/>
  <c r="Y551" i="2"/>
  <c r="X551" i="2"/>
  <c r="W551" i="2"/>
  <c r="V551" i="2"/>
  <c r="U551" i="2"/>
  <c r="T551" i="2"/>
  <c r="S551" i="2"/>
  <c r="R551" i="2"/>
  <c r="Q551" i="2"/>
  <c r="P551" i="2"/>
  <c r="O551" i="2"/>
  <c r="N551" i="2"/>
  <c r="M551" i="2"/>
  <c r="L551" i="2"/>
  <c r="K551" i="2"/>
  <c r="J551" i="2"/>
  <c r="I551" i="2"/>
  <c r="H551" i="2"/>
  <c r="G551" i="2"/>
  <c r="F551" i="2"/>
  <c r="E551" i="2"/>
  <c r="D551" i="2"/>
  <c r="C551" i="2"/>
  <c r="B551" i="2"/>
  <c r="A551" i="2"/>
  <c r="AJ550" i="2"/>
  <c r="AH550" i="2"/>
  <c r="AG550" i="2"/>
  <c r="AF550" i="2"/>
  <c r="AE550" i="2"/>
  <c r="AD550" i="2"/>
  <c r="AC550" i="2"/>
  <c r="AB550" i="2"/>
  <c r="AA550" i="2"/>
  <c r="Z550" i="2"/>
  <c r="Y550" i="2"/>
  <c r="X550" i="2"/>
  <c r="W550" i="2"/>
  <c r="V550" i="2"/>
  <c r="U550" i="2"/>
  <c r="T550" i="2"/>
  <c r="S550" i="2"/>
  <c r="R550" i="2"/>
  <c r="Q550" i="2"/>
  <c r="P550" i="2"/>
  <c r="O550" i="2"/>
  <c r="N550" i="2"/>
  <c r="M550" i="2"/>
  <c r="L550" i="2"/>
  <c r="K550" i="2"/>
  <c r="J550" i="2"/>
  <c r="I550" i="2"/>
  <c r="H550" i="2"/>
  <c r="G550" i="2"/>
  <c r="F550" i="2"/>
  <c r="E550" i="2"/>
  <c r="D550" i="2"/>
  <c r="C550" i="2"/>
  <c r="B550" i="2"/>
  <c r="A550" i="2"/>
  <c r="AJ549" i="2"/>
  <c r="AI549" i="2"/>
  <c r="AH549" i="2"/>
  <c r="AG549" i="2"/>
  <c r="AF549" i="2"/>
  <c r="AE549" i="2"/>
  <c r="AD549" i="2"/>
  <c r="AC549" i="2"/>
  <c r="AB549" i="2"/>
  <c r="AA549" i="2"/>
  <c r="Z549" i="2"/>
  <c r="Y549" i="2"/>
  <c r="X549" i="2"/>
  <c r="W549" i="2"/>
  <c r="V549" i="2"/>
  <c r="U549" i="2"/>
  <c r="T549" i="2"/>
  <c r="S549" i="2"/>
  <c r="R549" i="2"/>
  <c r="Q549" i="2"/>
  <c r="P549" i="2"/>
  <c r="O549" i="2"/>
  <c r="N549" i="2"/>
  <c r="M549" i="2"/>
  <c r="L549" i="2"/>
  <c r="K549" i="2"/>
  <c r="J549" i="2"/>
  <c r="I549" i="2"/>
  <c r="H549" i="2"/>
  <c r="G549" i="2"/>
  <c r="F549" i="2"/>
  <c r="E549" i="2"/>
  <c r="D549" i="2"/>
  <c r="C549" i="2"/>
  <c r="B549" i="2"/>
  <c r="A549" i="2"/>
  <c r="AJ548" i="2"/>
  <c r="AH548" i="2"/>
  <c r="AG548" i="2"/>
  <c r="AF548" i="2"/>
  <c r="AE548" i="2"/>
  <c r="AD548" i="2"/>
  <c r="AB548" i="2"/>
  <c r="AA548" i="2"/>
  <c r="Z548" i="2"/>
  <c r="Y548" i="2"/>
  <c r="X548" i="2"/>
  <c r="W548" i="2"/>
  <c r="V548" i="2"/>
  <c r="U548" i="2"/>
  <c r="T548" i="2"/>
  <c r="S548" i="2"/>
  <c r="R548" i="2"/>
  <c r="Q548" i="2"/>
  <c r="P548" i="2"/>
  <c r="O548" i="2"/>
  <c r="N548" i="2"/>
  <c r="M548" i="2"/>
  <c r="L548" i="2"/>
  <c r="K548" i="2"/>
  <c r="J548" i="2"/>
  <c r="I548" i="2"/>
  <c r="H548" i="2"/>
  <c r="G548" i="2"/>
  <c r="F548" i="2"/>
  <c r="E548" i="2"/>
  <c r="D548" i="2"/>
  <c r="C548" i="2"/>
  <c r="B548" i="2"/>
  <c r="A548" i="2"/>
  <c r="AJ547" i="2"/>
  <c r="AI547" i="2"/>
  <c r="AH547" i="2"/>
  <c r="AF547" i="2"/>
  <c r="AE547" i="2"/>
  <c r="AD547" i="2"/>
  <c r="AB547" i="2"/>
  <c r="AA547" i="2"/>
  <c r="Z547" i="2"/>
  <c r="Y547" i="2"/>
  <c r="V547" i="2"/>
  <c r="T547" i="2"/>
  <c r="S547" i="2"/>
  <c r="Q547" i="2"/>
  <c r="P547" i="2"/>
  <c r="O547" i="2"/>
  <c r="N547" i="2"/>
  <c r="L547" i="2"/>
  <c r="K547" i="2"/>
  <c r="J547" i="2"/>
  <c r="I547" i="2"/>
  <c r="H547" i="2"/>
  <c r="G547" i="2"/>
  <c r="F547" i="2"/>
  <c r="E547" i="2"/>
  <c r="D547" i="2"/>
  <c r="C547" i="2"/>
  <c r="B547" i="2"/>
  <c r="A547" i="2"/>
  <c r="AJ546" i="2"/>
  <c r="AH546" i="2"/>
  <c r="AG546" i="2"/>
  <c r="AF546" i="2"/>
  <c r="AE546" i="2"/>
  <c r="AD546" i="2"/>
  <c r="AC546" i="2"/>
  <c r="AB546" i="2"/>
  <c r="AA546" i="2"/>
  <c r="Z546" i="2"/>
  <c r="Y546" i="2"/>
  <c r="X546" i="2"/>
  <c r="W546" i="2"/>
  <c r="V546" i="2"/>
  <c r="U546" i="2"/>
  <c r="T546" i="2"/>
  <c r="S546" i="2"/>
  <c r="R546" i="2"/>
  <c r="Q546" i="2"/>
  <c r="P546" i="2"/>
  <c r="O546" i="2"/>
  <c r="N546" i="2"/>
  <c r="M546" i="2"/>
  <c r="L546" i="2"/>
  <c r="K546" i="2"/>
  <c r="J546" i="2"/>
  <c r="I546" i="2"/>
  <c r="H546" i="2"/>
  <c r="G546" i="2"/>
  <c r="F546" i="2"/>
  <c r="E546" i="2"/>
  <c r="D546" i="2"/>
  <c r="C546" i="2"/>
  <c r="B546" i="2"/>
  <c r="A546" i="2"/>
  <c r="AJ545" i="2"/>
  <c r="AI545" i="2"/>
  <c r="AH545" i="2"/>
  <c r="AG545" i="2"/>
  <c r="AF545" i="2"/>
  <c r="AE545" i="2"/>
  <c r="AD545" i="2"/>
  <c r="AC545" i="2"/>
  <c r="AB545" i="2"/>
  <c r="AA545" i="2"/>
  <c r="Z545" i="2"/>
  <c r="Y545" i="2"/>
  <c r="X545" i="2"/>
  <c r="W545" i="2"/>
  <c r="V545" i="2"/>
  <c r="U545" i="2"/>
  <c r="T545" i="2"/>
  <c r="S545" i="2"/>
  <c r="R545" i="2"/>
  <c r="Q545" i="2"/>
  <c r="P545" i="2"/>
  <c r="O545" i="2"/>
  <c r="N545" i="2"/>
  <c r="M545" i="2"/>
  <c r="L545" i="2"/>
  <c r="K545" i="2"/>
  <c r="J545" i="2"/>
  <c r="I545" i="2"/>
  <c r="H545" i="2"/>
  <c r="G545" i="2"/>
  <c r="F545" i="2"/>
  <c r="E545" i="2"/>
  <c r="D545" i="2"/>
  <c r="C545" i="2"/>
  <c r="B545" i="2"/>
  <c r="A545" i="2"/>
  <c r="AJ544" i="2"/>
  <c r="AH544" i="2"/>
  <c r="AG544" i="2"/>
  <c r="AF544" i="2"/>
  <c r="AE544" i="2"/>
  <c r="AD544" i="2"/>
  <c r="AC544" i="2"/>
  <c r="AB544" i="2"/>
  <c r="AA544" i="2"/>
  <c r="Z544" i="2"/>
  <c r="Y544" i="2"/>
  <c r="X544" i="2"/>
  <c r="W544" i="2"/>
  <c r="V544" i="2"/>
  <c r="U544" i="2"/>
  <c r="T544" i="2"/>
  <c r="S544" i="2"/>
  <c r="R544" i="2"/>
  <c r="Q544" i="2"/>
  <c r="P544" i="2"/>
  <c r="O544" i="2"/>
  <c r="N544" i="2"/>
  <c r="M544" i="2"/>
  <c r="L544" i="2"/>
  <c r="K544" i="2"/>
  <c r="J544" i="2"/>
  <c r="I544" i="2"/>
  <c r="H544" i="2"/>
  <c r="G544" i="2"/>
  <c r="F544" i="2"/>
  <c r="E544" i="2"/>
  <c r="D544" i="2"/>
  <c r="C544" i="2"/>
  <c r="B544" i="2"/>
  <c r="A544" i="2"/>
  <c r="AJ543" i="2"/>
  <c r="AI543" i="2"/>
  <c r="AH543" i="2"/>
  <c r="AG543" i="2"/>
  <c r="AF543" i="2"/>
  <c r="AE543" i="2"/>
  <c r="AD543" i="2"/>
  <c r="AC543" i="2"/>
  <c r="AB543" i="2"/>
  <c r="AA543" i="2"/>
  <c r="Z543" i="2"/>
  <c r="Y543" i="2"/>
  <c r="X543" i="2"/>
  <c r="W543" i="2"/>
  <c r="V543" i="2"/>
  <c r="U543" i="2"/>
  <c r="T543" i="2"/>
  <c r="S543" i="2"/>
  <c r="R543" i="2"/>
  <c r="Q543" i="2"/>
  <c r="P543" i="2"/>
  <c r="O543" i="2"/>
  <c r="N543" i="2"/>
  <c r="M543" i="2"/>
  <c r="L543" i="2"/>
  <c r="K543" i="2"/>
  <c r="J543" i="2"/>
  <c r="I543" i="2"/>
  <c r="H543" i="2"/>
  <c r="G543" i="2"/>
  <c r="F543" i="2"/>
  <c r="E543" i="2"/>
  <c r="D543" i="2"/>
  <c r="C543" i="2"/>
  <c r="B543" i="2"/>
  <c r="A543" i="2"/>
  <c r="AJ542" i="2"/>
  <c r="AG542" i="2"/>
  <c r="AF542" i="2"/>
  <c r="AE542" i="2"/>
  <c r="AD542" i="2"/>
  <c r="AB542" i="2"/>
  <c r="Z542" i="2"/>
  <c r="Y542" i="2"/>
  <c r="X542" i="2"/>
  <c r="W542" i="2"/>
  <c r="V542" i="2"/>
  <c r="U542" i="2"/>
  <c r="T542" i="2"/>
  <c r="S542" i="2"/>
  <c r="R542" i="2"/>
  <c r="Q542" i="2"/>
  <c r="P542" i="2"/>
  <c r="O542" i="2"/>
  <c r="N542" i="2"/>
  <c r="M542" i="2"/>
  <c r="L542" i="2"/>
  <c r="K542" i="2"/>
  <c r="J542" i="2"/>
  <c r="I542" i="2"/>
  <c r="H542" i="2"/>
  <c r="G542" i="2"/>
  <c r="F542" i="2"/>
  <c r="E542" i="2"/>
  <c r="D542" i="2"/>
  <c r="C542" i="2"/>
  <c r="B542" i="2"/>
  <c r="A542" i="2"/>
  <c r="AJ541" i="2"/>
  <c r="AH541" i="2"/>
  <c r="AF541" i="2"/>
  <c r="AE541" i="2"/>
  <c r="AD541" i="2"/>
  <c r="AB541" i="2"/>
  <c r="AA541" i="2"/>
  <c r="Z541" i="2"/>
  <c r="Y541" i="2"/>
  <c r="X541" i="2"/>
  <c r="W541" i="2"/>
  <c r="V541" i="2"/>
  <c r="U541" i="2"/>
  <c r="T541" i="2"/>
  <c r="S541" i="2"/>
  <c r="R541" i="2"/>
  <c r="Q541" i="2"/>
  <c r="P541" i="2"/>
  <c r="O541" i="2"/>
  <c r="N541" i="2"/>
  <c r="M541" i="2"/>
  <c r="L541" i="2"/>
  <c r="K541" i="2"/>
  <c r="J541" i="2"/>
  <c r="I541" i="2"/>
  <c r="H541" i="2"/>
  <c r="G541" i="2"/>
  <c r="F541" i="2"/>
  <c r="E541" i="2"/>
  <c r="D541" i="2"/>
  <c r="C541" i="2"/>
  <c r="B541" i="2"/>
  <c r="A541" i="2"/>
  <c r="AJ540" i="2"/>
  <c r="AI540" i="2"/>
  <c r="AH540" i="2"/>
  <c r="AG540" i="2"/>
  <c r="AF540" i="2"/>
  <c r="AE540" i="2"/>
  <c r="AD540" i="2"/>
  <c r="AC540" i="2"/>
  <c r="AB540" i="2"/>
  <c r="AA540" i="2"/>
  <c r="Z540" i="2"/>
  <c r="Y540" i="2"/>
  <c r="X540" i="2"/>
  <c r="W540" i="2"/>
  <c r="V540" i="2"/>
  <c r="U540" i="2"/>
  <c r="T540" i="2"/>
  <c r="S540" i="2"/>
  <c r="R540" i="2"/>
  <c r="Q540" i="2"/>
  <c r="P540" i="2"/>
  <c r="O540" i="2"/>
  <c r="N540" i="2"/>
  <c r="M540" i="2"/>
  <c r="L540" i="2"/>
  <c r="K540" i="2"/>
  <c r="J540" i="2"/>
  <c r="I540" i="2"/>
  <c r="H540" i="2"/>
  <c r="G540" i="2"/>
  <c r="F540" i="2"/>
  <c r="E540" i="2"/>
  <c r="D540" i="2"/>
  <c r="C540" i="2"/>
  <c r="B540" i="2"/>
  <c r="A540" i="2"/>
  <c r="AJ539" i="2"/>
  <c r="AI539" i="2"/>
  <c r="AH539" i="2"/>
  <c r="AG539" i="2"/>
  <c r="AF539" i="2"/>
  <c r="AE539" i="2"/>
  <c r="AD539" i="2"/>
  <c r="AC539" i="2"/>
  <c r="AB539" i="2"/>
  <c r="AA539" i="2"/>
  <c r="Z539" i="2"/>
  <c r="Y539" i="2"/>
  <c r="X539" i="2"/>
  <c r="W539" i="2"/>
  <c r="V539" i="2"/>
  <c r="U539" i="2"/>
  <c r="T539" i="2"/>
  <c r="S539" i="2"/>
  <c r="R539" i="2"/>
  <c r="Q539" i="2"/>
  <c r="P539" i="2"/>
  <c r="O539" i="2"/>
  <c r="N539" i="2"/>
  <c r="M539" i="2"/>
  <c r="L539" i="2"/>
  <c r="K539" i="2"/>
  <c r="J539" i="2"/>
  <c r="I539" i="2"/>
  <c r="H539" i="2"/>
  <c r="G539" i="2"/>
  <c r="F539" i="2"/>
  <c r="E539" i="2"/>
  <c r="D539" i="2"/>
  <c r="C539" i="2"/>
  <c r="B539" i="2"/>
  <c r="A539" i="2"/>
  <c r="AJ538" i="2"/>
  <c r="AI538" i="2"/>
  <c r="AH538" i="2"/>
  <c r="AG538" i="2"/>
  <c r="AF538" i="2"/>
  <c r="AE538" i="2"/>
  <c r="AD538" i="2"/>
  <c r="AC538" i="2"/>
  <c r="AB538" i="2"/>
  <c r="Z538" i="2"/>
  <c r="Y538" i="2"/>
  <c r="X538" i="2"/>
  <c r="W538" i="2"/>
  <c r="V538" i="2"/>
  <c r="U538" i="2"/>
  <c r="T538" i="2"/>
  <c r="S538" i="2"/>
  <c r="R538" i="2"/>
  <c r="Q538" i="2"/>
  <c r="P538" i="2"/>
  <c r="O538" i="2"/>
  <c r="N538" i="2"/>
  <c r="M538" i="2"/>
  <c r="L538" i="2"/>
  <c r="K538" i="2"/>
  <c r="J538" i="2"/>
  <c r="I538" i="2"/>
  <c r="H538" i="2"/>
  <c r="G538" i="2"/>
  <c r="F538" i="2"/>
  <c r="E538" i="2"/>
  <c r="D538" i="2"/>
  <c r="C538" i="2"/>
  <c r="B538" i="2"/>
  <c r="A538" i="2"/>
  <c r="AJ537" i="2"/>
  <c r="AI537" i="2"/>
  <c r="AH537" i="2"/>
  <c r="AG537" i="2"/>
  <c r="AF537" i="2"/>
  <c r="AE537" i="2"/>
  <c r="AD537" i="2"/>
  <c r="AC537" i="2"/>
  <c r="AB537" i="2"/>
  <c r="AA537" i="2"/>
  <c r="Z537" i="2"/>
  <c r="Y537" i="2"/>
  <c r="X537" i="2"/>
  <c r="W537" i="2"/>
  <c r="V537" i="2"/>
  <c r="U537" i="2"/>
  <c r="T537" i="2"/>
  <c r="S537" i="2"/>
  <c r="R537" i="2"/>
  <c r="Q537" i="2"/>
  <c r="P537" i="2"/>
  <c r="O537" i="2"/>
  <c r="N537" i="2"/>
  <c r="M537" i="2"/>
  <c r="L537" i="2"/>
  <c r="K537" i="2"/>
  <c r="J537" i="2"/>
  <c r="I537" i="2"/>
  <c r="H537" i="2"/>
  <c r="G537" i="2"/>
  <c r="F537" i="2"/>
  <c r="E537" i="2"/>
  <c r="D537" i="2"/>
  <c r="C537" i="2"/>
  <c r="B537" i="2"/>
  <c r="A537" i="2"/>
  <c r="AJ536" i="2"/>
  <c r="AI536" i="2"/>
  <c r="AH536" i="2"/>
  <c r="AG536" i="2"/>
  <c r="AF536" i="2"/>
  <c r="AE536" i="2"/>
  <c r="AD536" i="2"/>
  <c r="AB536" i="2"/>
  <c r="AA536" i="2"/>
  <c r="Z536" i="2"/>
  <c r="Y536" i="2"/>
  <c r="X536" i="2"/>
  <c r="W536" i="2"/>
  <c r="V536" i="2"/>
  <c r="U536" i="2"/>
  <c r="T536" i="2"/>
  <c r="S536" i="2"/>
  <c r="R536" i="2"/>
  <c r="Q536" i="2"/>
  <c r="P536" i="2"/>
  <c r="O536" i="2"/>
  <c r="N536" i="2"/>
  <c r="M536" i="2"/>
  <c r="L536" i="2"/>
  <c r="K536" i="2"/>
  <c r="J536" i="2"/>
  <c r="I536" i="2"/>
  <c r="H536" i="2"/>
  <c r="G536" i="2"/>
  <c r="F536" i="2"/>
  <c r="E536" i="2"/>
  <c r="D536" i="2"/>
  <c r="C536" i="2"/>
  <c r="B536" i="2"/>
  <c r="A536" i="2"/>
  <c r="AJ535" i="2"/>
  <c r="AI535" i="2"/>
  <c r="AH535" i="2"/>
  <c r="AG535" i="2"/>
  <c r="AF535" i="2"/>
  <c r="AE535" i="2"/>
  <c r="AD535" i="2"/>
  <c r="AB535" i="2"/>
  <c r="AA535" i="2"/>
  <c r="Z535" i="2"/>
  <c r="Y535" i="2"/>
  <c r="X535" i="2"/>
  <c r="W535" i="2"/>
  <c r="V535" i="2"/>
  <c r="U535" i="2"/>
  <c r="T535" i="2"/>
  <c r="S535" i="2"/>
  <c r="R535" i="2"/>
  <c r="Q535" i="2"/>
  <c r="P535" i="2"/>
  <c r="O535" i="2"/>
  <c r="N535" i="2"/>
  <c r="M535" i="2"/>
  <c r="L535" i="2"/>
  <c r="K535" i="2"/>
  <c r="J535" i="2"/>
  <c r="I535" i="2"/>
  <c r="H535" i="2"/>
  <c r="G535" i="2"/>
  <c r="F535" i="2"/>
  <c r="E535" i="2"/>
  <c r="D535" i="2"/>
  <c r="C535" i="2"/>
  <c r="B535" i="2"/>
  <c r="A535" i="2"/>
  <c r="AJ534" i="2"/>
  <c r="AI534" i="2"/>
  <c r="AH534" i="2"/>
  <c r="AG534" i="2"/>
  <c r="AF534" i="2"/>
  <c r="AE534" i="2"/>
  <c r="AD534" i="2"/>
  <c r="AC534" i="2"/>
  <c r="AB534" i="2"/>
  <c r="AA534" i="2"/>
  <c r="Z534" i="2"/>
  <c r="Y534" i="2"/>
  <c r="X534" i="2"/>
  <c r="W534" i="2"/>
  <c r="V534" i="2"/>
  <c r="U534" i="2"/>
  <c r="T534" i="2"/>
  <c r="S534" i="2"/>
  <c r="R534" i="2"/>
  <c r="Q534" i="2"/>
  <c r="P534" i="2"/>
  <c r="O534" i="2"/>
  <c r="N534" i="2"/>
  <c r="M534" i="2"/>
  <c r="L534" i="2"/>
  <c r="K534" i="2"/>
  <c r="J534" i="2"/>
  <c r="I534" i="2"/>
  <c r="H534" i="2"/>
  <c r="G534" i="2"/>
  <c r="F534" i="2"/>
  <c r="E534" i="2"/>
  <c r="D534" i="2"/>
  <c r="C534" i="2"/>
  <c r="B534" i="2"/>
  <c r="A534" i="2"/>
  <c r="AJ533" i="2"/>
  <c r="AI533" i="2"/>
  <c r="AH533" i="2"/>
  <c r="AG533" i="2"/>
  <c r="AF533" i="2"/>
  <c r="AE533" i="2"/>
  <c r="AD533" i="2"/>
  <c r="AC533" i="2"/>
  <c r="AB533" i="2"/>
  <c r="AA533" i="2"/>
  <c r="Z533" i="2"/>
  <c r="Y533" i="2"/>
  <c r="X533" i="2"/>
  <c r="V533" i="2"/>
  <c r="U533" i="2"/>
  <c r="T533" i="2"/>
  <c r="S533" i="2"/>
  <c r="R533" i="2"/>
  <c r="Q533" i="2"/>
  <c r="P533" i="2"/>
  <c r="O533" i="2"/>
  <c r="N533" i="2"/>
  <c r="M533" i="2"/>
  <c r="L533" i="2"/>
  <c r="K533" i="2"/>
  <c r="J533" i="2"/>
  <c r="I533" i="2"/>
  <c r="H533" i="2"/>
  <c r="G533" i="2"/>
  <c r="F533" i="2"/>
  <c r="E533" i="2"/>
  <c r="D533" i="2"/>
  <c r="C533" i="2"/>
  <c r="B533" i="2"/>
  <c r="A533" i="2"/>
  <c r="AJ532" i="2"/>
  <c r="AH532" i="2"/>
  <c r="AG532" i="2"/>
  <c r="AF532" i="2"/>
  <c r="AE532" i="2"/>
  <c r="AD532" i="2"/>
  <c r="AC532" i="2"/>
  <c r="Z532" i="2"/>
  <c r="Y532" i="2"/>
  <c r="X532" i="2"/>
  <c r="W532" i="2"/>
  <c r="V532" i="2"/>
  <c r="U532" i="2"/>
  <c r="T532" i="2"/>
  <c r="S532" i="2"/>
  <c r="R532" i="2"/>
  <c r="Q532" i="2"/>
  <c r="P532" i="2"/>
  <c r="O532" i="2"/>
  <c r="N532" i="2"/>
  <c r="M532" i="2"/>
  <c r="L532" i="2"/>
  <c r="K532" i="2"/>
  <c r="J532" i="2"/>
  <c r="I532" i="2"/>
  <c r="H532" i="2"/>
  <c r="G532" i="2"/>
  <c r="F532" i="2"/>
  <c r="E532" i="2"/>
  <c r="D532" i="2"/>
  <c r="C532" i="2"/>
  <c r="B532" i="2"/>
  <c r="A532" i="2"/>
  <c r="AJ531" i="2"/>
  <c r="AI531" i="2"/>
  <c r="AH531" i="2"/>
  <c r="AG531" i="2"/>
  <c r="AF531" i="2"/>
  <c r="AE531" i="2"/>
  <c r="AD531" i="2"/>
  <c r="AC531" i="2"/>
  <c r="AB531" i="2"/>
  <c r="AA531" i="2"/>
  <c r="Z531" i="2"/>
  <c r="Y531" i="2"/>
  <c r="X531" i="2"/>
  <c r="W531" i="2"/>
  <c r="V531" i="2"/>
  <c r="U531" i="2"/>
  <c r="T531" i="2"/>
  <c r="S531" i="2"/>
  <c r="R531" i="2"/>
  <c r="Q531" i="2"/>
  <c r="P531" i="2"/>
  <c r="O531" i="2"/>
  <c r="N531" i="2"/>
  <c r="M531" i="2"/>
  <c r="L531" i="2"/>
  <c r="K531" i="2"/>
  <c r="J531" i="2"/>
  <c r="I531" i="2"/>
  <c r="H531" i="2"/>
  <c r="G531" i="2"/>
  <c r="F531" i="2"/>
  <c r="E531" i="2"/>
  <c r="D531" i="2"/>
  <c r="C531" i="2"/>
  <c r="B531" i="2"/>
  <c r="A531" i="2"/>
  <c r="AJ530" i="2"/>
  <c r="AH530" i="2"/>
  <c r="AG530" i="2"/>
  <c r="AF530" i="2"/>
  <c r="AE530" i="2"/>
  <c r="AD530" i="2"/>
  <c r="AC530" i="2"/>
  <c r="AB530" i="2"/>
  <c r="Z530" i="2"/>
  <c r="Y530" i="2"/>
  <c r="X530" i="2"/>
  <c r="W530" i="2"/>
  <c r="V530" i="2"/>
  <c r="U530" i="2"/>
  <c r="T530" i="2"/>
  <c r="S530" i="2"/>
  <c r="R530" i="2"/>
  <c r="Q530" i="2"/>
  <c r="P530" i="2"/>
  <c r="O530" i="2"/>
  <c r="N530" i="2"/>
  <c r="M530" i="2"/>
  <c r="L530" i="2"/>
  <c r="K530" i="2"/>
  <c r="J530" i="2"/>
  <c r="I530" i="2"/>
  <c r="H530" i="2"/>
  <c r="G530" i="2"/>
  <c r="F530" i="2"/>
  <c r="E530" i="2"/>
  <c r="D530" i="2"/>
  <c r="C530" i="2"/>
  <c r="B530" i="2"/>
  <c r="A530" i="2"/>
  <c r="AJ529" i="2"/>
  <c r="AI529" i="2"/>
  <c r="AH529" i="2"/>
  <c r="AG529" i="2"/>
  <c r="AF529" i="2"/>
  <c r="AE529" i="2"/>
  <c r="AD529" i="2"/>
  <c r="Z529" i="2"/>
  <c r="Y529" i="2"/>
  <c r="X529" i="2"/>
  <c r="W529" i="2"/>
  <c r="V529" i="2"/>
  <c r="U529" i="2"/>
  <c r="T529" i="2"/>
  <c r="S529" i="2"/>
  <c r="R529" i="2"/>
  <c r="Q529" i="2"/>
  <c r="P529" i="2"/>
  <c r="O529" i="2"/>
  <c r="N529" i="2"/>
  <c r="M529" i="2"/>
  <c r="L529" i="2"/>
  <c r="K529" i="2"/>
  <c r="J529" i="2"/>
  <c r="I529" i="2"/>
  <c r="H529" i="2"/>
  <c r="G529" i="2"/>
  <c r="F529" i="2"/>
  <c r="E529" i="2"/>
  <c r="D529" i="2"/>
  <c r="C529" i="2"/>
  <c r="B529" i="2"/>
  <c r="A529" i="2"/>
  <c r="AJ528" i="2"/>
  <c r="AH528" i="2"/>
  <c r="AG528" i="2"/>
  <c r="AF528" i="2"/>
  <c r="AE528" i="2"/>
  <c r="AD528" i="2"/>
  <c r="AC528" i="2"/>
  <c r="AB528" i="2"/>
  <c r="AA528" i="2"/>
  <c r="Z528" i="2"/>
  <c r="Y528" i="2"/>
  <c r="X528" i="2"/>
  <c r="W528" i="2"/>
  <c r="V528" i="2"/>
  <c r="U528" i="2"/>
  <c r="T528" i="2"/>
  <c r="S528" i="2"/>
  <c r="R528" i="2"/>
  <c r="Q528" i="2"/>
  <c r="P528" i="2"/>
  <c r="O528" i="2"/>
  <c r="N528" i="2"/>
  <c r="M528" i="2"/>
  <c r="L528" i="2"/>
  <c r="K528" i="2"/>
  <c r="J528" i="2"/>
  <c r="I528" i="2"/>
  <c r="H528" i="2"/>
  <c r="G528" i="2"/>
  <c r="F528" i="2"/>
  <c r="E528" i="2"/>
  <c r="D528" i="2"/>
  <c r="C528" i="2"/>
  <c r="B528" i="2"/>
  <c r="A528" i="2"/>
  <c r="AJ527" i="2"/>
  <c r="AI527" i="2"/>
  <c r="AH527" i="2"/>
  <c r="AF527" i="2"/>
  <c r="AE527" i="2"/>
  <c r="AD527" i="2"/>
  <c r="AB527" i="2"/>
  <c r="Z527" i="2"/>
  <c r="Y527" i="2"/>
  <c r="X527" i="2"/>
  <c r="W527" i="2"/>
  <c r="V527" i="2"/>
  <c r="U527" i="2"/>
  <c r="T527" i="2"/>
  <c r="S527" i="2"/>
  <c r="R527" i="2"/>
  <c r="Q527" i="2"/>
  <c r="P527" i="2"/>
  <c r="O527" i="2"/>
  <c r="N527" i="2"/>
  <c r="M527" i="2"/>
  <c r="L527" i="2"/>
  <c r="K527" i="2"/>
  <c r="J527" i="2"/>
  <c r="I527" i="2"/>
  <c r="H527" i="2"/>
  <c r="G527" i="2"/>
  <c r="F527" i="2"/>
  <c r="E527" i="2"/>
  <c r="D527" i="2"/>
  <c r="C527" i="2"/>
  <c r="B527" i="2"/>
  <c r="A527" i="2"/>
  <c r="AJ526" i="2"/>
  <c r="AH526" i="2"/>
  <c r="AG526" i="2"/>
  <c r="AF526" i="2"/>
  <c r="AE526" i="2"/>
  <c r="AD526" i="2"/>
  <c r="AC526" i="2"/>
  <c r="AB526" i="2"/>
  <c r="Z526" i="2"/>
  <c r="Y526" i="2"/>
  <c r="X526" i="2"/>
  <c r="W526" i="2"/>
  <c r="V526" i="2"/>
  <c r="U526" i="2"/>
  <c r="T526" i="2"/>
  <c r="S526" i="2"/>
  <c r="R526" i="2"/>
  <c r="Q526" i="2"/>
  <c r="P526" i="2"/>
  <c r="O526" i="2"/>
  <c r="N526" i="2"/>
  <c r="M526" i="2"/>
  <c r="L526" i="2"/>
  <c r="K526" i="2"/>
  <c r="J526" i="2"/>
  <c r="I526" i="2"/>
  <c r="H526" i="2"/>
  <c r="G526" i="2"/>
  <c r="F526" i="2"/>
  <c r="E526" i="2"/>
  <c r="D526" i="2"/>
  <c r="C526" i="2"/>
  <c r="B526" i="2"/>
  <c r="A526" i="2"/>
  <c r="AJ525" i="2"/>
  <c r="AI525" i="2"/>
  <c r="AH525" i="2"/>
  <c r="AG525" i="2"/>
  <c r="AF525" i="2"/>
  <c r="AE525" i="2"/>
  <c r="AD525" i="2"/>
  <c r="AC525" i="2"/>
  <c r="AB525" i="2"/>
  <c r="AA525" i="2"/>
  <c r="Z525" i="2"/>
  <c r="Y525" i="2"/>
  <c r="X525" i="2"/>
  <c r="W525" i="2"/>
  <c r="V525" i="2"/>
  <c r="U525" i="2"/>
  <c r="T525" i="2"/>
  <c r="S525" i="2"/>
  <c r="R525" i="2"/>
  <c r="Q525" i="2"/>
  <c r="P525" i="2"/>
  <c r="O525" i="2"/>
  <c r="N525" i="2"/>
  <c r="M525" i="2"/>
  <c r="L525" i="2"/>
  <c r="K525" i="2"/>
  <c r="J525" i="2"/>
  <c r="I525" i="2"/>
  <c r="H525" i="2"/>
  <c r="G525" i="2"/>
  <c r="F525" i="2"/>
  <c r="E525" i="2"/>
  <c r="D525" i="2"/>
  <c r="C525" i="2"/>
  <c r="B525" i="2"/>
  <c r="A525" i="2"/>
  <c r="AJ524" i="2"/>
  <c r="AI524" i="2"/>
  <c r="AH524" i="2"/>
  <c r="AG524" i="2"/>
  <c r="AF524" i="2"/>
  <c r="AE524" i="2"/>
  <c r="AD524" i="2"/>
  <c r="AC524" i="2"/>
  <c r="AB524" i="2"/>
  <c r="AA524" i="2"/>
  <c r="Z524" i="2"/>
  <c r="Y524" i="2"/>
  <c r="W524" i="2"/>
  <c r="V524" i="2"/>
  <c r="U524" i="2"/>
  <c r="T524" i="2"/>
  <c r="S524" i="2"/>
  <c r="R524" i="2"/>
  <c r="Q524" i="2"/>
  <c r="P524" i="2"/>
  <c r="O524" i="2"/>
  <c r="N524" i="2"/>
  <c r="M524" i="2"/>
  <c r="L524" i="2"/>
  <c r="K524" i="2"/>
  <c r="J524" i="2"/>
  <c r="I524" i="2"/>
  <c r="H524" i="2"/>
  <c r="G524" i="2"/>
  <c r="F524" i="2"/>
  <c r="E524" i="2"/>
  <c r="D524" i="2"/>
  <c r="C524" i="2"/>
  <c r="B524" i="2"/>
  <c r="A524" i="2"/>
  <c r="AJ523" i="2"/>
  <c r="AH523" i="2"/>
  <c r="AG523" i="2"/>
  <c r="AF523" i="2"/>
  <c r="AE523" i="2"/>
  <c r="AD523" i="2"/>
  <c r="AC523" i="2"/>
  <c r="AB523" i="2"/>
  <c r="AA523" i="2"/>
  <c r="Z523" i="2"/>
  <c r="Y523" i="2"/>
  <c r="X523" i="2"/>
  <c r="W523" i="2"/>
  <c r="V523" i="2"/>
  <c r="U523" i="2"/>
  <c r="T523" i="2"/>
  <c r="S523" i="2"/>
  <c r="R523" i="2"/>
  <c r="Q523" i="2"/>
  <c r="P523" i="2"/>
  <c r="O523" i="2"/>
  <c r="N523" i="2"/>
  <c r="M523" i="2"/>
  <c r="L523" i="2"/>
  <c r="K523" i="2"/>
  <c r="J523" i="2"/>
  <c r="I523" i="2"/>
  <c r="H523" i="2"/>
  <c r="G523" i="2"/>
  <c r="F523" i="2"/>
  <c r="E523" i="2"/>
  <c r="D523" i="2"/>
  <c r="C523" i="2"/>
  <c r="B523" i="2"/>
  <c r="A523" i="2"/>
  <c r="AJ522" i="2"/>
  <c r="AH522" i="2"/>
  <c r="AG522" i="2"/>
  <c r="AF522" i="2"/>
  <c r="AE522" i="2"/>
  <c r="AD522" i="2"/>
  <c r="AC522" i="2"/>
  <c r="AB522" i="2"/>
  <c r="Z522" i="2"/>
  <c r="Y522" i="2"/>
  <c r="X522" i="2"/>
  <c r="W522" i="2"/>
  <c r="V522" i="2"/>
  <c r="U522" i="2"/>
  <c r="T522" i="2"/>
  <c r="S522" i="2"/>
  <c r="R522" i="2"/>
  <c r="Q522" i="2"/>
  <c r="P522" i="2"/>
  <c r="O522" i="2"/>
  <c r="N522" i="2"/>
  <c r="M522" i="2"/>
  <c r="L522" i="2"/>
  <c r="K522" i="2"/>
  <c r="J522" i="2"/>
  <c r="I522" i="2"/>
  <c r="H522" i="2"/>
  <c r="G522" i="2"/>
  <c r="F522" i="2"/>
  <c r="E522" i="2"/>
  <c r="D522" i="2"/>
  <c r="C522" i="2"/>
  <c r="B522" i="2"/>
  <c r="A522" i="2"/>
  <c r="AJ521" i="2"/>
  <c r="AH521" i="2"/>
  <c r="AG521" i="2"/>
  <c r="AF521" i="2"/>
  <c r="AE521" i="2"/>
  <c r="AD521" i="2"/>
  <c r="AC521" i="2"/>
  <c r="AB521" i="2"/>
  <c r="AA521" i="2"/>
  <c r="Z521" i="2"/>
  <c r="Y521" i="2"/>
  <c r="X521" i="2"/>
  <c r="W521" i="2"/>
  <c r="V521" i="2"/>
  <c r="U521" i="2"/>
  <c r="T521" i="2"/>
  <c r="S521" i="2"/>
  <c r="R521" i="2"/>
  <c r="Q521" i="2"/>
  <c r="P521" i="2"/>
  <c r="O521" i="2"/>
  <c r="N521" i="2"/>
  <c r="M521" i="2"/>
  <c r="L521" i="2"/>
  <c r="K521" i="2"/>
  <c r="J521" i="2"/>
  <c r="I521" i="2"/>
  <c r="H521" i="2"/>
  <c r="G521" i="2"/>
  <c r="F521" i="2"/>
  <c r="E521" i="2"/>
  <c r="D521" i="2"/>
  <c r="C521" i="2"/>
  <c r="B521" i="2"/>
  <c r="A521" i="2"/>
  <c r="AJ520" i="2"/>
  <c r="AI520" i="2"/>
  <c r="AH520" i="2"/>
  <c r="AG520" i="2"/>
  <c r="AF520" i="2"/>
  <c r="AE520" i="2"/>
  <c r="AD520" i="2"/>
  <c r="AC520" i="2"/>
  <c r="AB520" i="2"/>
  <c r="Z520" i="2"/>
  <c r="Y520" i="2"/>
  <c r="X520" i="2"/>
  <c r="W520" i="2"/>
  <c r="V520" i="2"/>
  <c r="U520" i="2"/>
  <c r="T520" i="2"/>
  <c r="S520" i="2"/>
  <c r="R520" i="2"/>
  <c r="Q520" i="2"/>
  <c r="P520" i="2"/>
  <c r="O520" i="2"/>
  <c r="N520" i="2"/>
  <c r="M520" i="2"/>
  <c r="L520" i="2"/>
  <c r="K520" i="2"/>
  <c r="J520" i="2"/>
  <c r="I520" i="2"/>
  <c r="H520" i="2"/>
  <c r="G520" i="2"/>
  <c r="F520" i="2"/>
  <c r="E520" i="2"/>
  <c r="D520" i="2"/>
  <c r="C520" i="2"/>
  <c r="B520" i="2"/>
  <c r="A520" i="2"/>
  <c r="AJ519" i="2"/>
  <c r="AH519" i="2"/>
  <c r="AG519" i="2"/>
  <c r="AF519" i="2"/>
  <c r="AE519" i="2"/>
  <c r="AD519" i="2"/>
  <c r="AC519" i="2"/>
  <c r="AB519" i="2"/>
  <c r="AA519" i="2"/>
  <c r="Z519" i="2"/>
  <c r="Y519" i="2"/>
  <c r="X519" i="2"/>
  <c r="W519" i="2"/>
  <c r="V519" i="2"/>
  <c r="U519" i="2"/>
  <c r="T519" i="2"/>
  <c r="S519" i="2"/>
  <c r="R519" i="2"/>
  <c r="Q519" i="2"/>
  <c r="P519" i="2"/>
  <c r="O519" i="2"/>
  <c r="N519" i="2"/>
  <c r="M519" i="2"/>
  <c r="L519" i="2"/>
  <c r="K519" i="2"/>
  <c r="J519" i="2"/>
  <c r="I519" i="2"/>
  <c r="H519" i="2"/>
  <c r="G519" i="2"/>
  <c r="F519" i="2"/>
  <c r="E519" i="2"/>
  <c r="D519" i="2"/>
  <c r="C519" i="2"/>
  <c r="B519" i="2"/>
  <c r="A519" i="2"/>
  <c r="AJ518" i="2"/>
  <c r="AH518" i="2"/>
  <c r="AG518" i="2"/>
  <c r="AF518" i="2"/>
  <c r="AE518" i="2"/>
  <c r="AD518" i="2"/>
  <c r="AC518" i="2"/>
  <c r="AB518" i="2"/>
  <c r="Z518" i="2"/>
  <c r="Y518" i="2"/>
  <c r="X518" i="2"/>
  <c r="W518" i="2"/>
  <c r="V518" i="2"/>
  <c r="U518" i="2"/>
  <c r="T518" i="2"/>
  <c r="S518" i="2"/>
  <c r="R518" i="2"/>
  <c r="Q518" i="2"/>
  <c r="P518" i="2"/>
  <c r="O518" i="2"/>
  <c r="N518" i="2"/>
  <c r="M518" i="2"/>
  <c r="L518" i="2"/>
  <c r="K518" i="2"/>
  <c r="J518" i="2"/>
  <c r="I518" i="2"/>
  <c r="H518" i="2"/>
  <c r="G518" i="2"/>
  <c r="F518" i="2"/>
  <c r="E518" i="2"/>
  <c r="D518" i="2"/>
  <c r="C518" i="2"/>
  <c r="B518" i="2"/>
  <c r="A518" i="2"/>
  <c r="AJ517" i="2"/>
  <c r="AI517" i="2"/>
  <c r="AH517" i="2"/>
  <c r="AG517" i="2"/>
  <c r="AF517" i="2"/>
  <c r="AE517" i="2"/>
  <c r="AD517" i="2"/>
  <c r="AC517" i="2"/>
  <c r="AB517" i="2"/>
  <c r="AA517" i="2"/>
  <c r="Z517" i="2"/>
  <c r="Y517" i="2"/>
  <c r="X517" i="2"/>
  <c r="W517" i="2"/>
  <c r="V517" i="2"/>
  <c r="U517" i="2"/>
  <c r="T517" i="2"/>
  <c r="S517" i="2"/>
  <c r="Q517" i="2"/>
  <c r="P517" i="2"/>
  <c r="O517" i="2"/>
  <c r="N517" i="2"/>
  <c r="M517" i="2"/>
  <c r="L517" i="2"/>
  <c r="K517" i="2"/>
  <c r="J517" i="2"/>
  <c r="I517" i="2"/>
  <c r="H517" i="2"/>
  <c r="G517" i="2"/>
  <c r="F517" i="2"/>
  <c r="E517" i="2"/>
  <c r="D517" i="2"/>
  <c r="C517" i="2"/>
  <c r="B517" i="2"/>
  <c r="A517" i="2"/>
  <c r="AJ516" i="2"/>
  <c r="AI516" i="2"/>
  <c r="AH516" i="2"/>
  <c r="AG516" i="2"/>
  <c r="AF516" i="2"/>
  <c r="AE516" i="2"/>
  <c r="AD516" i="2"/>
  <c r="AC516" i="2"/>
  <c r="AB516" i="2"/>
  <c r="AA516" i="2"/>
  <c r="Z516" i="2"/>
  <c r="Y516" i="2"/>
  <c r="W516" i="2"/>
  <c r="V516" i="2"/>
  <c r="U516" i="2"/>
  <c r="T516" i="2"/>
  <c r="S516" i="2"/>
  <c r="R516" i="2"/>
  <c r="Q516" i="2"/>
  <c r="P516" i="2"/>
  <c r="O516" i="2"/>
  <c r="N516" i="2"/>
  <c r="L516" i="2"/>
  <c r="K516" i="2"/>
  <c r="J516" i="2"/>
  <c r="I516" i="2"/>
  <c r="H516" i="2"/>
  <c r="G516" i="2"/>
  <c r="F516" i="2"/>
  <c r="E516" i="2"/>
  <c r="D516" i="2"/>
  <c r="C516" i="2"/>
  <c r="B516" i="2"/>
  <c r="A516" i="2"/>
  <c r="AJ515" i="2"/>
  <c r="AI515" i="2"/>
  <c r="AH515" i="2"/>
  <c r="AG515" i="2"/>
  <c r="AF515" i="2"/>
  <c r="AE515" i="2"/>
  <c r="AD515" i="2"/>
  <c r="AC515" i="2"/>
  <c r="AB515" i="2"/>
  <c r="AA515" i="2"/>
  <c r="Z515" i="2"/>
  <c r="Y515" i="2"/>
  <c r="X515" i="2"/>
  <c r="W515" i="2"/>
  <c r="V515" i="2"/>
  <c r="U515" i="2"/>
  <c r="T515" i="2"/>
  <c r="S515" i="2"/>
  <c r="R515" i="2"/>
  <c r="Q515" i="2"/>
  <c r="P515" i="2"/>
  <c r="O515" i="2"/>
  <c r="N515" i="2"/>
  <c r="M515" i="2"/>
  <c r="L515" i="2"/>
  <c r="K515" i="2"/>
  <c r="J515" i="2"/>
  <c r="I515" i="2"/>
  <c r="H515" i="2"/>
  <c r="G515" i="2"/>
  <c r="F515" i="2"/>
  <c r="E515" i="2"/>
  <c r="D515" i="2"/>
  <c r="C515" i="2"/>
  <c r="B515" i="2"/>
  <c r="A515" i="2"/>
  <c r="AJ514" i="2"/>
  <c r="AH514" i="2"/>
  <c r="AG514" i="2"/>
  <c r="AF514" i="2"/>
  <c r="AE514" i="2"/>
  <c r="AD514" i="2"/>
  <c r="AC514" i="2"/>
  <c r="AB514" i="2"/>
  <c r="AA514" i="2"/>
  <c r="Z514" i="2"/>
  <c r="Y514" i="2"/>
  <c r="X514" i="2"/>
  <c r="W514" i="2"/>
  <c r="V514" i="2"/>
  <c r="U514" i="2"/>
  <c r="T514" i="2"/>
  <c r="S514" i="2"/>
  <c r="R514" i="2"/>
  <c r="Q514" i="2"/>
  <c r="P514" i="2"/>
  <c r="O514" i="2"/>
  <c r="N514" i="2"/>
  <c r="M514" i="2"/>
  <c r="L514" i="2"/>
  <c r="K514" i="2"/>
  <c r="J514" i="2"/>
  <c r="I514" i="2"/>
  <c r="H514" i="2"/>
  <c r="G514" i="2"/>
  <c r="F514" i="2"/>
  <c r="E514" i="2"/>
  <c r="D514" i="2"/>
  <c r="C514" i="2"/>
  <c r="B514" i="2"/>
  <c r="A514" i="2"/>
  <c r="AJ513" i="2"/>
  <c r="AI513" i="2"/>
  <c r="AH513" i="2"/>
  <c r="AG513" i="2"/>
  <c r="AF513" i="2"/>
  <c r="AE513" i="2"/>
  <c r="AD513" i="2"/>
  <c r="AC513" i="2"/>
  <c r="AB513" i="2"/>
  <c r="AA513" i="2"/>
  <c r="Z513" i="2"/>
  <c r="Y513" i="2"/>
  <c r="X513" i="2"/>
  <c r="W513" i="2"/>
  <c r="V513" i="2"/>
  <c r="U513" i="2"/>
  <c r="T513" i="2"/>
  <c r="S513" i="2"/>
  <c r="R513" i="2"/>
  <c r="Q513" i="2"/>
  <c r="P513" i="2"/>
  <c r="O513" i="2"/>
  <c r="N513" i="2"/>
  <c r="M513" i="2"/>
  <c r="L513" i="2"/>
  <c r="K513" i="2"/>
  <c r="J513" i="2"/>
  <c r="I513" i="2"/>
  <c r="H513" i="2"/>
  <c r="G513" i="2"/>
  <c r="F513" i="2"/>
  <c r="E513" i="2"/>
  <c r="D513" i="2"/>
  <c r="C513" i="2"/>
  <c r="B513" i="2"/>
  <c r="A513" i="2"/>
  <c r="AJ512" i="2"/>
  <c r="AI512" i="2"/>
  <c r="AH512" i="2"/>
  <c r="AG512" i="2"/>
  <c r="AF512" i="2"/>
  <c r="AE512" i="2"/>
  <c r="AD512" i="2"/>
  <c r="AB512" i="2"/>
  <c r="AA512" i="2"/>
  <c r="Z512" i="2"/>
  <c r="Y512" i="2"/>
  <c r="X512" i="2"/>
  <c r="W512" i="2"/>
  <c r="V512" i="2"/>
  <c r="U512" i="2"/>
  <c r="T512" i="2"/>
  <c r="S512" i="2"/>
  <c r="R512" i="2"/>
  <c r="Q512" i="2"/>
  <c r="P512" i="2"/>
  <c r="N512" i="2"/>
  <c r="M512" i="2"/>
  <c r="L512" i="2"/>
  <c r="K512" i="2"/>
  <c r="J512" i="2"/>
  <c r="I512" i="2"/>
  <c r="H512" i="2"/>
  <c r="G512" i="2"/>
  <c r="F512" i="2"/>
  <c r="E512" i="2"/>
  <c r="D512" i="2"/>
  <c r="C512" i="2"/>
  <c r="B512" i="2"/>
  <c r="A512" i="2"/>
  <c r="AJ511" i="2"/>
  <c r="AH511" i="2"/>
  <c r="AG511" i="2"/>
  <c r="AF511" i="2"/>
  <c r="AE511" i="2"/>
  <c r="AD511" i="2"/>
  <c r="AC511" i="2"/>
  <c r="AB511" i="2"/>
  <c r="Z511" i="2"/>
  <c r="Y511" i="2"/>
  <c r="X511" i="2"/>
  <c r="W511" i="2"/>
  <c r="V511" i="2"/>
  <c r="U511" i="2"/>
  <c r="T511" i="2"/>
  <c r="S511" i="2"/>
  <c r="R511" i="2"/>
  <c r="Q511" i="2"/>
  <c r="P511" i="2"/>
  <c r="O511" i="2"/>
  <c r="N511" i="2"/>
  <c r="M511" i="2"/>
  <c r="L511" i="2"/>
  <c r="K511" i="2"/>
  <c r="J511" i="2"/>
  <c r="I511" i="2"/>
  <c r="H511" i="2"/>
  <c r="G511" i="2"/>
  <c r="F511" i="2"/>
  <c r="E511" i="2"/>
  <c r="D511" i="2"/>
  <c r="C511" i="2"/>
  <c r="B511" i="2"/>
  <c r="A511" i="2"/>
  <c r="AJ510" i="2"/>
  <c r="AH510" i="2"/>
  <c r="AG510" i="2"/>
  <c r="AF510" i="2"/>
  <c r="AE510" i="2"/>
  <c r="AD510" i="2"/>
  <c r="AC510" i="2"/>
  <c r="AB510" i="2"/>
  <c r="AA510" i="2"/>
  <c r="Z510" i="2"/>
  <c r="Y510" i="2"/>
  <c r="X510" i="2"/>
  <c r="W510" i="2"/>
  <c r="V510" i="2"/>
  <c r="U510" i="2"/>
  <c r="T510" i="2"/>
  <c r="S510" i="2"/>
  <c r="R510" i="2"/>
  <c r="Q510" i="2"/>
  <c r="P510" i="2"/>
  <c r="O510" i="2"/>
  <c r="N510" i="2"/>
  <c r="M510" i="2"/>
  <c r="L510" i="2"/>
  <c r="K510" i="2"/>
  <c r="J510" i="2"/>
  <c r="I510" i="2"/>
  <c r="H510" i="2"/>
  <c r="G510" i="2"/>
  <c r="F510" i="2"/>
  <c r="E510" i="2"/>
  <c r="D510" i="2"/>
  <c r="C510" i="2"/>
  <c r="B510" i="2"/>
  <c r="A510" i="2"/>
  <c r="AJ509" i="2"/>
  <c r="AH509" i="2"/>
  <c r="AG509" i="2"/>
  <c r="AF509" i="2"/>
  <c r="AE509" i="2"/>
  <c r="AD509" i="2"/>
  <c r="AC509" i="2"/>
  <c r="AB509" i="2"/>
  <c r="AA509" i="2"/>
  <c r="Z509" i="2"/>
  <c r="Y509" i="2"/>
  <c r="X509" i="2"/>
  <c r="W509" i="2"/>
  <c r="V509" i="2"/>
  <c r="U509" i="2"/>
  <c r="T509" i="2"/>
  <c r="S509" i="2"/>
  <c r="R509" i="2"/>
  <c r="Q509" i="2"/>
  <c r="P509" i="2"/>
  <c r="O509" i="2"/>
  <c r="N509" i="2"/>
  <c r="M509" i="2"/>
  <c r="L509" i="2"/>
  <c r="K509" i="2"/>
  <c r="J509" i="2"/>
  <c r="I509" i="2"/>
  <c r="H509" i="2"/>
  <c r="G509" i="2"/>
  <c r="F509" i="2"/>
  <c r="E509" i="2"/>
  <c r="D509" i="2"/>
  <c r="C509" i="2"/>
  <c r="B509" i="2"/>
  <c r="A509" i="2"/>
  <c r="AJ508" i="2"/>
  <c r="AH508" i="2"/>
  <c r="AG508" i="2"/>
  <c r="AF508" i="2"/>
  <c r="AE508" i="2"/>
  <c r="AD508" i="2"/>
  <c r="AC508" i="2"/>
  <c r="AB508" i="2"/>
  <c r="AA508" i="2"/>
  <c r="Z508" i="2"/>
  <c r="Y508" i="2"/>
  <c r="X508" i="2"/>
  <c r="W508" i="2"/>
  <c r="V508" i="2"/>
  <c r="U508" i="2"/>
  <c r="T508" i="2"/>
  <c r="S508" i="2"/>
  <c r="R508" i="2"/>
  <c r="Q508" i="2"/>
  <c r="P508" i="2"/>
  <c r="O508" i="2"/>
  <c r="N508" i="2"/>
  <c r="M508" i="2"/>
  <c r="L508" i="2"/>
  <c r="K508" i="2"/>
  <c r="J508" i="2"/>
  <c r="I508" i="2"/>
  <c r="H508" i="2"/>
  <c r="G508" i="2"/>
  <c r="F508" i="2"/>
  <c r="E508" i="2"/>
  <c r="D508" i="2"/>
  <c r="C508" i="2"/>
  <c r="B508" i="2"/>
  <c r="A508" i="2"/>
  <c r="AJ507" i="2"/>
  <c r="AI507" i="2"/>
  <c r="AH507" i="2"/>
  <c r="AG507" i="2"/>
  <c r="AF507" i="2"/>
  <c r="AE507" i="2"/>
  <c r="AD507" i="2"/>
  <c r="AC507" i="2"/>
  <c r="AB507" i="2"/>
  <c r="AA507" i="2"/>
  <c r="Z507" i="2"/>
  <c r="Y507" i="2"/>
  <c r="X507" i="2"/>
  <c r="W507" i="2"/>
  <c r="V507" i="2"/>
  <c r="U507" i="2"/>
  <c r="T507" i="2"/>
  <c r="S507" i="2"/>
  <c r="R507" i="2"/>
  <c r="Q507" i="2"/>
  <c r="P507" i="2"/>
  <c r="O507" i="2"/>
  <c r="N507" i="2"/>
  <c r="M507" i="2"/>
  <c r="L507" i="2"/>
  <c r="K507" i="2"/>
  <c r="J507" i="2"/>
  <c r="I507" i="2"/>
  <c r="H507" i="2"/>
  <c r="G507" i="2"/>
  <c r="F507" i="2"/>
  <c r="E507" i="2"/>
  <c r="D507" i="2"/>
  <c r="C507" i="2"/>
  <c r="B507" i="2"/>
  <c r="A507" i="2"/>
  <c r="AJ506" i="2"/>
  <c r="AI506" i="2"/>
  <c r="AH506" i="2"/>
  <c r="AG506" i="2"/>
  <c r="AF506" i="2"/>
  <c r="AE506" i="2"/>
  <c r="AD506" i="2"/>
  <c r="AC506" i="2"/>
  <c r="AB506" i="2"/>
  <c r="AA506" i="2"/>
  <c r="Z506" i="2"/>
  <c r="Y506" i="2"/>
  <c r="X506" i="2"/>
  <c r="W506" i="2"/>
  <c r="V506" i="2"/>
  <c r="U506" i="2"/>
  <c r="T506" i="2"/>
  <c r="S506" i="2"/>
  <c r="R506" i="2"/>
  <c r="Q506" i="2"/>
  <c r="P506" i="2"/>
  <c r="O506" i="2"/>
  <c r="N506" i="2"/>
  <c r="M506" i="2"/>
  <c r="L506" i="2"/>
  <c r="K506" i="2"/>
  <c r="J506" i="2"/>
  <c r="I506" i="2"/>
  <c r="H506" i="2"/>
  <c r="G506" i="2"/>
  <c r="F506" i="2"/>
  <c r="E506" i="2"/>
  <c r="D506" i="2"/>
  <c r="C506" i="2"/>
  <c r="B506" i="2"/>
  <c r="A506" i="2"/>
  <c r="AJ505" i="2"/>
  <c r="AI505" i="2"/>
  <c r="AH505" i="2"/>
  <c r="AG505" i="2"/>
  <c r="AF505" i="2"/>
  <c r="AE505" i="2"/>
  <c r="AD505" i="2"/>
  <c r="AC505" i="2"/>
  <c r="AB505" i="2"/>
  <c r="AA505" i="2"/>
  <c r="Z505" i="2"/>
  <c r="Y505" i="2"/>
  <c r="X505" i="2"/>
  <c r="W505" i="2"/>
  <c r="V505" i="2"/>
  <c r="U505" i="2"/>
  <c r="T505" i="2"/>
  <c r="S505" i="2"/>
  <c r="R505" i="2"/>
  <c r="Q505" i="2"/>
  <c r="P505" i="2"/>
  <c r="O505" i="2"/>
  <c r="N505" i="2"/>
  <c r="M505" i="2"/>
  <c r="L505" i="2"/>
  <c r="K505" i="2"/>
  <c r="J505" i="2"/>
  <c r="I505" i="2"/>
  <c r="H505" i="2"/>
  <c r="G505" i="2"/>
  <c r="F505" i="2"/>
  <c r="E505" i="2"/>
  <c r="D505" i="2"/>
  <c r="C505" i="2"/>
  <c r="B505" i="2"/>
  <c r="A505" i="2"/>
  <c r="AJ504" i="2"/>
  <c r="AH504" i="2"/>
  <c r="AG504" i="2"/>
  <c r="AF504" i="2"/>
  <c r="AE504" i="2"/>
  <c r="AD504" i="2"/>
  <c r="AC504" i="2"/>
  <c r="AB504" i="2"/>
  <c r="Z504" i="2"/>
  <c r="Y504" i="2"/>
  <c r="X504" i="2"/>
  <c r="W504" i="2"/>
  <c r="V504" i="2"/>
  <c r="U504" i="2"/>
  <c r="T504" i="2"/>
  <c r="S504" i="2"/>
  <c r="R504" i="2"/>
  <c r="Q504" i="2"/>
  <c r="P504" i="2"/>
  <c r="O504" i="2"/>
  <c r="N504" i="2"/>
  <c r="M504" i="2"/>
  <c r="L504" i="2"/>
  <c r="K504" i="2"/>
  <c r="J504" i="2"/>
  <c r="I504" i="2"/>
  <c r="H504" i="2"/>
  <c r="G504" i="2"/>
  <c r="F504" i="2"/>
  <c r="E504" i="2"/>
  <c r="D504" i="2"/>
  <c r="C504" i="2"/>
  <c r="B504" i="2"/>
  <c r="A504" i="2"/>
  <c r="AJ503" i="2"/>
  <c r="AI503" i="2"/>
  <c r="AH503" i="2"/>
  <c r="AG503" i="2"/>
  <c r="AF503" i="2"/>
  <c r="AE503" i="2"/>
  <c r="AD503" i="2"/>
  <c r="Z503" i="2"/>
  <c r="Y503" i="2"/>
  <c r="V503" i="2"/>
  <c r="U503" i="2"/>
  <c r="T503" i="2"/>
  <c r="S503" i="2"/>
  <c r="R503" i="2"/>
  <c r="Q503" i="2"/>
  <c r="P503" i="2"/>
  <c r="O503" i="2"/>
  <c r="N503" i="2"/>
  <c r="M503" i="2"/>
  <c r="L503" i="2"/>
  <c r="K503" i="2"/>
  <c r="J503" i="2"/>
  <c r="I503" i="2"/>
  <c r="H503" i="2"/>
  <c r="G503" i="2"/>
  <c r="F503" i="2"/>
  <c r="E503" i="2"/>
  <c r="D503" i="2"/>
  <c r="C503" i="2"/>
  <c r="B503" i="2"/>
  <c r="A503" i="2"/>
  <c r="AJ502" i="2"/>
  <c r="AH502" i="2"/>
  <c r="AG502" i="2"/>
  <c r="AF502" i="2"/>
  <c r="AE502" i="2"/>
  <c r="AD502" i="2"/>
  <c r="AC502" i="2"/>
  <c r="Z502" i="2"/>
  <c r="Y502" i="2"/>
  <c r="X502" i="2"/>
  <c r="W502" i="2"/>
  <c r="V502" i="2"/>
  <c r="U502" i="2"/>
  <c r="T502" i="2"/>
  <c r="S502" i="2"/>
  <c r="R502" i="2"/>
  <c r="Q502" i="2"/>
  <c r="P502" i="2"/>
  <c r="O502" i="2"/>
  <c r="N502" i="2"/>
  <c r="M502" i="2"/>
  <c r="L502" i="2"/>
  <c r="K502" i="2"/>
  <c r="J502" i="2"/>
  <c r="I502" i="2"/>
  <c r="H502" i="2"/>
  <c r="G502" i="2"/>
  <c r="F502" i="2"/>
  <c r="E502" i="2"/>
  <c r="D502" i="2"/>
  <c r="C502" i="2"/>
  <c r="B502" i="2"/>
  <c r="A502" i="2"/>
  <c r="AJ501" i="2"/>
  <c r="AI501" i="2"/>
  <c r="AH501" i="2"/>
  <c r="AG501" i="2"/>
  <c r="AF501" i="2"/>
  <c r="AE501" i="2"/>
  <c r="AD501" i="2"/>
  <c r="AC501" i="2"/>
  <c r="AB501" i="2"/>
  <c r="Z501" i="2"/>
  <c r="Y501" i="2"/>
  <c r="X501" i="2"/>
  <c r="W501" i="2"/>
  <c r="V501" i="2"/>
  <c r="U501" i="2"/>
  <c r="T501" i="2"/>
  <c r="S501" i="2"/>
  <c r="R501" i="2"/>
  <c r="Q501" i="2"/>
  <c r="P501" i="2"/>
  <c r="O501" i="2"/>
  <c r="N501" i="2"/>
  <c r="M501" i="2"/>
  <c r="L501" i="2"/>
  <c r="K501" i="2"/>
  <c r="J501" i="2"/>
  <c r="I501" i="2"/>
  <c r="H501" i="2"/>
  <c r="G501" i="2"/>
  <c r="F501" i="2"/>
  <c r="E501" i="2"/>
  <c r="D501" i="2"/>
  <c r="C501" i="2"/>
  <c r="B501" i="2"/>
  <c r="A501" i="2"/>
  <c r="AJ500" i="2"/>
  <c r="AH500" i="2"/>
  <c r="AG500" i="2"/>
  <c r="AF500" i="2"/>
  <c r="AE500" i="2"/>
  <c r="AD500" i="2"/>
  <c r="AC500" i="2"/>
  <c r="AB500" i="2"/>
  <c r="Z500" i="2"/>
  <c r="Y500" i="2"/>
  <c r="X500" i="2"/>
  <c r="W500" i="2"/>
  <c r="V500" i="2"/>
  <c r="U500" i="2"/>
  <c r="T500" i="2"/>
  <c r="S500" i="2"/>
  <c r="R500" i="2"/>
  <c r="Q500" i="2"/>
  <c r="P500" i="2"/>
  <c r="O500" i="2"/>
  <c r="N500" i="2"/>
  <c r="M500" i="2"/>
  <c r="L500" i="2"/>
  <c r="K500" i="2"/>
  <c r="J500" i="2"/>
  <c r="I500" i="2"/>
  <c r="H500" i="2"/>
  <c r="G500" i="2"/>
  <c r="F500" i="2"/>
  <c r="E500" i="2"/>
  <c r="D500" i="2"/>
  <c r="C500" i="2"/>
  <c r="B500" i="2"/>
  <c r="A500" i="2"/>
  <c r="AJ499" i="2"/>
  <c r="AI499" i="2"/>
  <c r="AH499" i="2"/>
  <c r="AG499" i="2"/>
  <c r="AF499" i="2"/>
  <c r="AE499" i="2"/>
  <c r="AD499" i="2"/>
  <c r="AC499" i="2"/>
  <c r="AB499" i="2"/>
  <c r="AA499" i="2"/>
  <c r="Z499" i="2"/>
  <c r="Y499" i="2"/>
  <c r="X499" i="2"/>
  <c r="W499" i="2"/>
  <c r="V499" i="2"/>
  <c r="U499" i="2"/>
  <c r="T499" i="2"/>
  <c r="S499" i="2"/>
  <c r="R499" i="2"/>
  <c r="Q499" i="2"/>
  <c r="P499" i="2"/>
  <c r="O499" i="2"/>
  <c r="N499" i="2"/>
  <c r="M499" i="2"/>
  <c r="L499" i="2"/>
  <c r="K499" i="2"/>
  <c r="J499" i="2"/>
  <c r="I499" i="2"/>
  <c r="H499" i="2"/>
  <c r="G499" i="2"/>
  <c r="F499" i="2"/>
  <c r="E499" i="2"/>
  <c r="D499" i="2"/>
  <c r="C499" i="2"/>
  <c r="B499" i="2"/>
  <c r="A499" i="2"/>
  <c r="AJ498" i="2"/>
  <c r="AH498" i="2"/>
  <c r="AG498" i="2"/>
  <c r="AF498" i="2"/>
  <c r="AE498" i="2"/>
  <c r="AD498" i="2"/>
  <c r="AC498" i="2"/>
  <c r="Z498" i="2"/>
  <c r="Y498" i="2"/>
  <c r="X498" i="2"/>
  <c r="W498" i="2"/>
  <c r="V498" i="2"/>
  <c r="U498" i="2"/>
  <c r="T498" i="2"/>
  <c r="S498" i="2"/>
  <c r="R498" i="2"/>
  <c r="Q498" i="2"/>
  <c r="P498" i="2"/>
  <c r="O498" i="2"/>
  <c r="N498" i="2"/>
  <c r="M498" i="2"/>
  <c r="L498" i="2"/>
  <c r="K498" i="2"/>
  <c r="J498" i="2"/>
  <c r="I498" i="2"/>
  <c r="H498" i="2"/>
  <c r="G498" i="2"/>
  <c r="F498" i="2"/>
  <c r="E498" i="2"/>
  <c r="D498" i="2"/>
  <c r="C498" i="2"/>
  <c r="B498" i="2"/>
  <c r="A498" i="2"/>
  <c r="AJ497" i="2"/>
  <c r="AH497" i="2"/>
  <c r="AG497" i="2"/>
  <c r="AF497" i="2"/>
  <c r="AE497" i="2"/>
  <c r="AD497" i="2"/>
  <c r="AC497" i="2"/>
  <c r="AB497" i="2"/>
  <c r="AA497" i="2"/>
  <c r="Z497" i="2"/>
  <c r="Y497" i="2"/>
  <c r="X497" i="2"/>
  <c r="W497" i="2"/>
  <c r="V497" i="2"/>
  <c r="U497" i="2"/>
  <c r="T497" i="2"/>
  <c r="S497" i="2"/>
  <c r="R497" i="2"/>
  <c r="Q497" i="2"/>
  <c r="P497" i="2"/>
  <c r="O497" i="2"/>
  <c r="N497" i="2"/>
  <c r="M497" i="2"/>
  <c r="L497" i="2"/>
  <c r="K497" i="2"/>
  <c r="J497" i="2"/>
  <c r="I497" i="2"/>
  <c r="H497" i="2"/>
  <c r="G497" i="2"/>
  <c r="F497" i="2"/>
  <c r="E497" i="2"/>
  <c r="D497" i="2"/>
  <c r="C497" i="2"/>
  <c r="B497" i="2"/>
  <c r="A497" i="2"/>
  <c r="AJ496" i="2"/>
  <c r="AH496" i="2"/>
  <c r="AG496" i="2"/>
  <c r="AF496" i="2"/>
  <c r="AE496" i="2"/>
  <c r="AD496" i="2"/>
  <c r="AC496" i="2"/>
  <c r="AA496" i="2"/>
  <c r="Z496" i="2"/>
  <c r="Y496" i="2"/>
  <c r="X496" i="2"/>
  <c r="W496" i="2"/>
  <c r="V496" i="2"/>
  <c r="U496" i="2"/>
  <c r="T496" i="2"/>
  <c r="S496" i="2"/>
  <c r="R496" i="2"/>
  <c r="Q496" i="2"/>
  <c r="P496" i="2"/>
  <c r="O496" i="2"/>
  <c r="N496" i="2"/>
  <c r="M496" i="2"/>
  <c r="L496" i="2"/>
  <c r="K496" i="2"/>
  <c r="J496" i="2"/>
  <c r="I496" i="2"/>
  <c r="H496" i="2"/>
  <c r="G496" i="2"/>
  <c r="F496" i="2"/>
  <c r="E496" i="2"/>
  <c r="D496" i="2"/>
  <c r="C496" i="2"/>
  <c r="B496" i="2"/>
  <c r="A496" i="2"/>
  <c r="AJ495" i="2"/>
  <c r="AH495" i="2"/>
  <c r="AG495" i="2"/>
  <c r="AF495" i="2"/>
  <c r="AE495" i="2"/>
  <c r="AD495" i="2"/>
  <c r="AC495" i="2"/>
  <c r="Z495" i="2"/>
  <c r="Y495" i="2"/>
  <c r="X495" i="2"/>
  <c r="W495" i="2"/>
  <c r="V495" i="2"/>
  <c r="U495" i="2"/>
  <c r="T495" i="2"/>
  <c r="S495" i="2"/>
  <c r="R495" i="2"/>
  <c r="Q495" i="2"/>
  <c r="P495" i="2"/>
  <c r="O495" i="2"/>
  <c r="N495" i="2"/>
  <c r="M495" i="2"/>
  <c r="L495" i="2"/>
  <c r="K495" i="2"/>
  <c r="J495" i="2"/>
  <c r="I495" i="2"/>
  <c r="H495" i="2"/>
  <c r="G495" i="2"/>
  <c r="F495" i="2"/>
  <c r="E495" i="2"/>
  <c r="D495" i="2"/>
  <c r="C495" i="2"/>
  <c r="B495" i="2"/>
  <c r="A495" i="2"/>
  <c r="AJ494" i="2"/>
  <c r="AI494" i="2"/>
  <c r="AH494" i="2"/>
  <c r="AG494" i="2"/>
  <c r="AF494" i="2"/>
  <c r="AE494" i="2"/>
  <c r="AD494" i="2"/>
  <c r="AC494" i="2"/>
  <c r="AB494" i="2"/>
  <c r="AA494" i="2"/>
  <c r="Z494" i="2"/>
  <c r="Y494" i="2"/>
  <c r="X494" i="2"/>
  <c r="W494" i="2"/>
  <c r="V494" i="2"/>
  <c r="U494" i="2"/>
  <c r="T494" i="2"/>
  <c r="S494" i="2"/>
  <c r="R494" i="2"/>
  <c r="Q494" i="2"/>
  <c r="P494" i="2"/>
  <c r="O494" i="2"/>
  <c r="N494" i="2"/>
  <c r="M494" i="2"/>
  <c r="L494" i="2"/>
  <c r="K494" i="2"/>
  <c r="J494" i="2"/>
  <c r="I494" i="2"/>
  <c r="H494" i="2"/>
  <c r="G494" i="2"/>
  <c r="F494" i="2"/>
  <c r="E494" i="2"/>
  <c r="D494" i="2"/>
  <c r="C494" i="2"/>
  <c r="B494" i="2"/>
  <c r="A494" i="2"/>
  <c r="AJ493" i="2"/>
  <c r="AH493" i="2"/>
  <c r="AG493" i="2"/>
  <c r="AF493" i="2"/>
  <c r="AE493" i="2"/>
  <c r="AD493" i="2"/>
  <c r="AC493" i="2"/>
  <c r="AB493" i="2"/>
  <c r="AA493" i="2"/>
  <c r="Z493" i="2"/>
  <c r="Y493" i="2"/>
  <c r="X493" i="2"/>
  <c r="W493" i="2"/>
  <c r="V493" i="2"/>
  <c r="U493" i="2"/>
  <c r="T493" i="2"/>
  <c r="S493" i="2"/>
  <c r="R493" i="2"/>
  <c r="Q493" i="2"/>
  <c r="P493" i="2"/>
  <c r="O493" i="2"/>
  <c r="N493" i="2"/>
  <c r="M493" i="2"/>
  <c r="L493" i="2"/>
  <c r="K493" i="2"/>
  <c r="J493" i="2"/>
  <c r="I493" i="2"/>
  <c r="H493" i="2"/>
  <c r="G493" i="2"/>
  <c r="F493" i="2"/>
  <c r="E493" i="2"/>
  <c r="D493" i="2"/>
  <c r="C493" i="2"/>
  <c r="B493" i="2"/>
  <c r="A493" i="2"/>
  <c r="AJ492" i="2"/>
  <c r="AH492" i="2"/>
  <c r="AG492" i="2"/>
  <c r="AF492" i="2"/>
  <c r="AE492" i="2"/>
  <c r="AD492" i="2"/>
  <c r="AC492" i="2"/>
  <c r="AB492" i="2"/>
  <c r="Z492" i="2"/>
  <c r="Y492" i="2"/>
  <c r="X492" i="2"/>
  <c r="W492" i="2"/>
  <c r="V492" i="2"/>
  <c r="U492" i="2"/>
  <c r="T492" i="2"/>
  <c r="S492" i="2"/>
  <c r="R492" i="2"/>
  <c r="Q492" i="2"/>
  <c r="P492" i="2"/>
  <c r="O492" i="2"/>
  <c r="N492" i="2"/>
  <c r="M492" i="2"/>
  <c r="L492" i="2"/>
  <c r="K492" i="2"/>
  <c r="J492" i="2"/>
  <c r="I492" i="2"/>
  <c r="H492" i="2"/>
  <c r="G492" i="2"/>
  <c r="F492" i="2"/>
  <c r="E492" i="2"/>
  <c r="D492" i="2"/>
  <c r="C492" i="2"/>
  <c r="B492" i="2"/>
  <c r="A492" i="2"/>
  <c r="AJ491" i="2"/>
  <c r="AH491" i="2"/>
  <c r="AG491" i="2"/>
  <c r="AF491" i="2"/>
  <c r="AE491" i="2"/>
  <c r="AD491" i="2"/>
  <c r="AC491" i="2"/>
  <c r="AB491" i="2"/>
  <c r="AA491" i="2"/>
  <c r="Z491" i="2"/>
  <c r="Y491" i="2"/>
  <c r="X491" i="2"/>
  <c r="W491" i="2"/>
  <c r="V491" i="2"/>
  <c r="U491" i="2"/>
  <c r="T491" i="2"/>
  <c r="S491" i="2"/>
  <c r="R491" i="2"/>
  <c r="Q491" i="2"/>
  <c r="P491" i="2"/>
  <c r="O491" i="2"/>
  <c r="N491" i="2"/>
  <c r="M491" i="2"/>
  <c r="L491" i="2"/>
  <c r="K491" i="2"/>
  <c r="J491" i="2"/>
  <c r="I491" i="2"/>
  <c r="H491" i="2"/>
  <c r="G491" i="2"/>
  <c r="F491" i="2"/>
  <c r="E491" i="2"/>
  <c r="D491" i="2"/>
  <c r="C491" i="2"/>
  <c r="B491" i="2"/>
  <c r="A491" i="2"/>
  <c r="AJ490" i="2"/>
  <c r="AH490" i="2"/>
  <c r="AG490" i="2"/>
  <c r="AF490" i="2"/>
  <c r="AE490" i="2"/>
  <c r="AD490" i="2"/>
  <c r="AC490" i="2"/>
  <c r="Z490" i="2"/>
  <c r="Y490" i="2"/>
  <c r="X490" i="2"/>
  <c r="W490" i="2"/>
  <c r="V490" i="2"/>
  <c r="U490" i="2"/>
  <c r="T490" i="2"/>
  <c r="S490" i="2"/>
  <c r="R490" i="2"/>
  <c r="Q490" i="2"/>
  <c r="P490" i="2"/>
  <c r="O490" i="2"/>
  <c r="N490" i="2"/>
  <c r="M490" i="2"/>
  <c r="L490" i="2"/>
  <c r="K490" i="2"/>
  <c r="J490" i="2"/>
  <c r="I490" i="2"/>
  <c r="H490" i="2"/>
  <c r="G490" i="2"/>
  <c r="F490" i="2"/>
  <c r="E490" i="2"/>
  <c r="D490" i="2"/>
  <c r="C490" i="2"/>
  <c r="B490" i="2"/>
  <c r="A490" i="2"/>
  <c r="AJ489" i="2"/>
  <c r="AI489" i="2"/>
  <c r="AH489" i="2"/>
  <c r="AG489" i="2"/>
  <c r="AF489" i="2"/>
  <c r="AE489" i="2"/>
  <c r="AD489" i="2"/>
  <c r="AC489" i="2"/>
  <c r="AB489" i="2"/>
  <c r="AA489" i="2"/>
  <c r="Z489" i="2"/>
  <c r="Y489" i="2"/>
  <c r="X489" i="2"/>
  <c r="W489" i="2"/>
  <c r="V489" i="2"/>
  <c r="U489" i="2"/>
  <c r="T489" i="2"/>
  <c r="S489" i="2"/>
  <c r="R489" i="2"/>
  <c r="Q489" i="2"/>
  <c r="P489" i="2"/>
  <c r="O489" i="2"/>
  <c r="N489" i="2"/>
  <c r="M489" i="2"/>
  <c r="L489" i="2"/>
  <c r="K489" i="2"/>
  <c r="J489" i="2"/>
  <c r="I489" i="2"/>
  <c r="H489" i="2"/>
  <c r="G489" i="2"/>
  <c r="F489" i="2"/>
  <c r="E489" i="2"/>
  <c r="D489" i="2"/>
  <c r="C489" i="2"/>
  <c r="B489" i="2"/>
  <c r="A489" i="2"/>
  <c r="AJ488" i="2"/>
  <c r="AI488" i="2"/>
  <c r="AH488" i="2"/>
  <c r="AG488" i="2"/>
  <c r="AF488" i="2"/>
  <c r="AE488" i="2"/>
  <c r="AD488" i="2"/>
  <c r="AC488" i="2"/>
  <c r="AB488" i="2"/>
  <c r="AA488" i="2"/>
  <c r="Z488" i="2"/>
  <c r="Y488" i="2"/>
  <c r="X488" i="2"/>
  <c r="W488" i="2"/>
  <c r="V488" i="2"/>
  <c r="U488" i="2"/>
  <c r="T488" i="2"/>
  <c r="S488" i="2"/>
  <c r="R488" i="2"/>
  <c r="Q488" i="2"/>
  <c r="P488" i="2"/>
  <c r="O488" i="2"/>
  <c r="N488" i="2"/>
  <c r="M488" i="2"/>
  <c r="L488" i="2"/>
  <c r="K488" i="2"/>
  <c r="J488" i="2"/>
  <c r="I488" i="2"/>
  <c r="H488" i="2"/>
  <c r="G488" i="2"/>
  <c r="F488" i="2"/>
  <c r="E488" i="2"/>
  <c r="D488" i="2"/>
  <c r="C488" i="2"/>
  <c r="B488" i="2"/>
  <c r="A488" i="2"/>
  <c r="AJ487" i="2"/>
  <c r="AI487" i="2"/>
  <c r="AH487" i="2"/>
  <c r="AG487" i="2"/>
  <c r="AF487" i="2"/>
  <c r="AE487" i="2"/>
  <c r="AD487" i="2"/>
  <c r="AC487" i="2"/>
  <c r="AB487" i="2"/>
  <c r="AA487" i="2"/>
  <c r="Z487" i="2"/>
  <c r="Y487" i="2"/>
  <c r="X487" i="2"/>
  <c r="W487" i="2"/>
  <c r="V487" i="2"/>
  <c r="U487" i="2"/>
  <c r="T487" i="2"/>
  <c r="S487" i="2"/>
  <c r="R487" i="2"/>
  <c r="Q487" i="2"/>
  <c r="P487" i="2"/>
  <c r="O487" i="2"/>
  <c r="N487" i="2"/>
  <c r="M487" i="2"/>
  <c r="L487" i="2"/>
  <c r="K487" i="2"/>
  <c r="J487" i="2"/>
  <c r="I487" i="2"/>
  <c r="H487" i="2"/>
  <c r="G487" i="2"/>
  <c r="F487" i="2"/>
  <c r="E487" i="2"/>
  <c r="D487" i="2"/>
  <c r="C487" i="2"/>
  <c r="B487" i="2"/>
  <c r="A487" i="2"/>
  <c r="AJ486" i="2"/>
  <c r="AI486" i="2"/>
  <c r="AH486" i="2"/>
  <c r="AG486" i="2"/>
  <c r="AF486" i="2"/>
  <c r="AE486" i="2"/>
  <c r="AD486" i="2"/>
  <c r="AC486" i="2"/>
  <c r="AB486" i="2"/>
  <c r="AA486" i="2"/>
  <c r="Z486" i="2"/>
  <c r="Y486" i="2"/>
  <c r="X486" i="2"/>
  <c r="W486" i="2"/>
  <c r="V486" i="2"/>
  <c r="U486" i="2"/>
  <c r="T486" i="2"/>
  <c r="S486" i="2"/>
  <c r="R486" i="2"/>
  <c r="Q486" i="2"/>
  <c r="P486" i="2"/>
  <c r="O486" i="2"/>
  <c r="N486" i="2"/>
  <c r="M486" i="2"/>
  <c r="L486" i="2"/>
  <c r="K486" i="2"/>
  <c r="J486" i="2"/>
  <c r="I486" i="2"/>
  <c r="H486" i="2"/>
  <c r="G486" i="2"/>
  <c r="F486" i="2"/>
  <c r="E486" i="2"/>
  <c r="D486" i="2"/>
  <c r="C486" i="2"/>
  <c r="B486" i="2"/>
  <c r="A486" i="2"/>
  <c r="AJ485" i="2"/>
  <c r="AH485" i="2"/>
  <c r="AG485" i="2"/>
  <c r="AF485" i="2"/>
  <c r="AE485" i="2"/>
  <c r="AD485" i="2"/>
  <c r="AC485" i="2"/>
  <c r="AB485" i="2"/>
  <c r="Z485" i="2"/>
  <c r="Y485" i="2"/>
  <c r="X485" i="2"/>
  <c r="W485" i="2"/>
  <c r="V485" i="2"/>
  <c r="U485" i="2"/>
  <c r="T485" i="2"/>
  <c r="S485" i="2"/>
  <c r="R485" i="2"/>
  <c r="Q485" i="2"/>
  <c r="P485" i="2"/>
  <c r="O485" i="2"/>
  <c r="N485" i="2"/>
  <c r="M485" i="2"/>
  <c r="L485" i="2"/>
  <c r="K485" i="2"/>
  <c r="J485" i="2"/>
  <c r="I485" i="2"/>
  <c r="H485" i="2"/>
  <c r="G485" i="2"/>
  <c r="F485" i="2"/>
  <c r="E485" i="2"/>
  <c r="D485" i="2"/>
  <c r="C485" i="2"/>
  <c r="B485" i="2"/>
  <c r="A485" i="2"/>
  <c r="AJ484" i="2"/>
  <c r="AH484" i="2"/>
  <c r="AG484" i="2"/>
  <c r="AF484" i="2"/>
  <c r="AE484" i="2"/>
  <c r="AD484" i="2"/>
  <c r="AC484" i="2"/>
  <c r="Z484" i="2"/>
  <c r="Y484" i="2"/>
  <c r="X484" i="2"/>
  <c r="W484" i="2"/>
  <c r="V484" i="2"/>
  <c r="U484" i="2"/>
  <c r="T484" i="2"/>
  <c r="S484" i="2"/>
  <c r="R484" i="2"/>
  <c r="Q484" i="2"/>
  <c r="P484" i="2"/>
  <c r="O484" i="2"/>
  <c r="N484" i="2"/>
  <c r="M484" i="2"/>
  <c r="L484" i="2"/>
  <c r="K484" i="2"/>
  <c r="J484" i="2"/>
  <c r="I484" i="2"/>
  <c r="H484" i="2"/>
  <c r="G484" i="2"/>
  <c r="F484" i="2"/>
  <c r="E484" i="2"/>
  <c r="D484" i="2"/>
  <c r="C484" i="2"/>
  <c r="B484" i="2"/>
  <c r="A484" i="2"/>
  <c r="AJ483" i="2"/>
  <c r="AH483" i="2"/>
  <c r="AG483" i="2"/>
  <c r="AF483" i="2"/>
  <c r="AE483" i="2"/>
  <c r="AD483" i="2"/>
  <c r="AC483" i="2"/>
  <c r="AB483" i="2"/>
  <c r="AA483" i="2"/>
  <c r="Z483" i="2"/>
  <c r="Y483" i="2"/>
  <c r="X483" i="2"/>
  <c r="W483" i="2"/>
  <c r="V483" i="2"/>
  <c r="U483" i="2"/>
  <c r="T483" i="2"/>
  <c r="S483" i="2"/>
  <c r="R483" i="2"/>
  <c r="Q483" i="2"/>
  <c r="P483" i="2"/>
  <c r="O483" i="2"/>
  <c r="N483" i="2"/>
  <c r="M483" i="2"/>
  <c r="L483" i="2"/>
  <c r="K483" i="2"/>
  <c r="J483" i="2"/>
  <c r="I483" i="2"/>
  <c r="H483" i="2"/>
  <c r="G483" i="2"/>
  <c r="F483" i="2"/>
  <c r="E483" i="2"/>
  <c r="D483" i="2"/>
  <c r="C483" i="2"/>
  <c r="B483" i="2"/>
  <c r="A483" i="2"/>
  <c r="AJ482" i="2"/>
  <c r="AI482" i="2"/>
  <c r="AH482" i="2"/>
  <c r="AG482" i="2"/>
  <c r="AF482" i="2"/>
  <c r="AE482" i="2"/>
  <c r="AD482" i="2"/>
  <c r="AC482" i="2"/>
  <c r="AB482" i="2"/>
  <c r="AA482" i="2"/>
  <c r="Z482" i="2"/>
  <c r="Y482" i="2"/>
  <c r="X482" i="2"/>
  <c r="V482" i="2"/>
  <c r="U482" i="2"/>
  <c r="T482" i="2"/>
  <c r="S482" i="2"/>
  <c r="R482" i="2"/>
  <c r="Q482" i="2"/>
  <c r="P482" i="2"/>
  <c r="O482" i="2"/>
  <c r="N482" i="2"/>
  <c r="M482" i="2"/>
  <c r="L482" i="2"/>
  <c r="K482" i="2"/>
  <c r="J482" i="2"/>
  <c r="I482" i="2"/>
  <c r="H482" i="2"/>
  <c r="G482" i="2"/>
  <c r="F482" i="2"/>
  <c r="E482" i="2"/>
  <c r="D482" i="2"/>
  <c r="C482" i="2"/>
  <c r="B482" i="2"/>
  <c r="A482" i="2"/>
  <c r="AJ481" i="2"/>
  <c r="AI481" i="2"/>
  <c r="AH481" i="2"/>
  <c r="AG481" i="2"/>
  <c r="AF481" i="2"/>
  <c r="AE481" i="2"/>
  <c r="AD481" i="2"/>
  <c r="AC481" i="2"/>
  <c r="AB481" i="2"/>
  <c r="AA481" i="2"/>
  <c r="Z481" i="2"/>
  <c r="Y481" i="2"/>
  <c r="X481" i="2"/>
  <c r="W481" i="2"/>
  <c r="V481" i="2"/>
  <c r="U481" i="2"/>
  <c r="T481" i="2"/>
  <c r="S481" i="2"/>
  <c r="R481" i="2"/>
  <c r="Q481" i="2"/>
  <c r="P481" i="2"/>
  <c r="O481" i="2"/>
  <c r="N481" i="2"/>
  <c r="M481" i="2"/>
  <c r="L481" i="2"/>
  <c r="K481" i="2"/>
  <c r="J481" i="2"/>
  <c r="I481" i="2"/>
  <c r="H481" i="2"/>
  <c r="G481" i="2"/>
  <c r="F481" i="2"/>
  <c r="E481" i="2"/>
  <c r="D481" i="2"/>
  <c r="C481" i="2"/>
  <c r="B481" i="2"/>
  <c r="A481" i="2"/>
  <c r="AJ480" i="2"/>
  <c r="AI480" i="2"/>
  <c r="AH480" i="2"/>
  <c r="AG480" i="2"/>
  <c r="AF480" i="2"/>
  <c r="AE480" i="2"/>
  <c r="AC480" i="2"/>
  <c r="AB480" i="2"/>
  <c r="AA480" i="2"/>
  <c r="Z480" i="2"/>
  <c r="Y480" i="2"/>
  <c r="X480" i="2"/>
  <c r="W480" i="2"/>
  <c r="V480" i="2"/>
  <c r="U480" i="2"/>
  <c r="T480" i="2"/>
  <c r="S480" i="2"/>
  <c r="R480" i="2"/>
  <c r="Q480" i="2"/>
  <c r="P480" i="2"/>
  <c r="O480" i="2"/>
  <c r="N480" i="2"/>
  <c r="M480" i="2"/>
  <c r="L480" i="2"/>
  <c r="K480" i="2"/>
  <c r="J480" i="2"/>
  <c r="I480" i="2"/>
  <c r="H480" i="2"/>
  <c r="G480" i="2"/>
  <c r="F480" i="2"/>
  <c r="E480" i="2"/>
  <c r="D480" i="2"/>
  <c r="C480" i="2"/>
  <c r="B480" i="2"/>
  <c r="A480" i="2"/>
  <c r="AJ479" i="2"/>
  <c r="AH479" i="2"/>
  <c r="AG479" i="2"/>
  <c r="AF479" i="2"/>
  <c r="AE479" i="2"/>
  <c r="AD479" i="2"/>
  <c r="AC479" i="2"/>
  <c r="AB479" i="2"/>
  <c r="AA479" i="2"/>
  <c r="Z479" i="2"/>
  <c r="Y479" i="2"/>
  <c r="X479" i="2"/>
  <c r="W479" i="2"/>
  <c r="V479" i="2"/>
  <c r="U479" i="2"/>
  <c r="T479" i="2"/>
  <c r="S479" i="2"/>
  <c r="R479" i="2"/>
  <c r="Q479" i="2"/>
  <c r="P479" i="2"/>
  <c r="O479" i="2"/>
  <c r="N479" i="2"/>
  <c r="M479" i="2"/>
  <c r="L479" i="2"/>
  <c r="K479" i="2"/>
  <c r="J479" i="2"/>
  <c r="I479" i="2"/>
  <c r="H479" i="2"/>
  <c r="G479" i="2"/>
  <c r="F479" i="2"/>
  <c r="E479" i="2"/>
  <c r="D479" i="2"/>
  <c r="C479" i="2"/>
  <c r="B479" i="2"/>
  <c r="A479" i="2"/>
  <c r="AJ478" i="2"/>
  <c r="AH478" i="2"/>
  <c r="AG478" i="2"/>
  <c r="AF478" i="2"/>
  <c r="AE478" i="2"/>
  <c r="AD478" i="2"/>
  <c r="AC478" i="2"/>
  <c r="AB478" i="2"/>
  <c r="Z478" i="2"/>
  <c r="Y478" i="2"/>
  <c r="X478" i="2"/>
  <c r="W478" i="2"/>
  <c r="V478" i="2"/>
  <c r="U478" i="2"/>
  <c r="T478" i="2"/>
  <c r="S478" i="2"/>
  <c r="R478" i="2"/>
  <c r="Q478" i="2"/>
  <c r="P478" i="2"/>
  <c r="O478" i="2"/>
  <c r="N478" i="2"/>
  <c r="M478" i="2"/>
  <c r="L478" i="2"/>
  <c r="K478" i="2"/>
  <c r="J478" i="2"/>
  <c r="I478" i="2"/>
  <c r="H478" i="2"/>
  <c r="G478" i="2"/>
  <c r="F478" i="2"/>
  <c r="E478" i="2"/>
  <c r="D478" i="2"/>
  <c r="C478" i="2"/>
  <c r="B478" i="2"/>
  <c r="A478" i="2"/>
  <c r="AJ477" i="2"/>
  <c r="AI477" i="2"/>
  <c r="AH477" i="2"/>
  <c r="AF477" i="2"/>
  <c r="AE477" i="2"/>
  <c r="AD477" i="2"/>
  <c r="AC477" i="2"/>
  <c r="Z477" i="2"/>
  <c r="Y477" i="2"/>
  <c r="W477" i="2"/>
  <c r="V477" i="2"/>
  <c r="U477" i="2"/>
  <c r="T477" i="2"/>
  <c r="S477" i="2"/>
  <c r="R477" i="2"/>
  <c r="Q477" i="2"/>
  <c r="P477" i="2"/>
  <c r="O477" i="2"/>
  <c r="N477" i="2"/>
  <c r="M477" i="2"/>
  <c r="L477" i="2"/>
  <c r="K477" i="2"/>
  <c r="J477" i="2"/>
  <c r="I477" i="2"/>
  <c r="H477" i="2"/>
  <c r="G477" i="2"/>
  <c r="F477" i="2"/>
  <c r="E477" i="2"/>
  <c r="D477" i="2"/>
  <c r="C477" i="2"/>
  <c r="B477" i="2"/>
  <c r="A477" i="2"/>
  <c r="AJ476" i="2"/>
  <c r="AI476" i="2"/>
  <c r="AH476" i="2"/>
  <c r="AG476" i="2"/>
  <c r="AF476" i="2"/>
  <c r="AE476" i="2"/>
  <c r="AD476" i="2"/>
  <c r="AC476" i="2"/>
  <c r="AB476" i="2"/>
  <c r="Z476" i="2"/>
  <c r="Y476" i="2"/>
  <c r="X476" i="2"/>
  <c r="W476" i="2"/>
  <c r="V476" i="2"/>
  <c r="U476" i="2"/>
  <c r="T476" i="2"/>
  <c r="S476" i="2"/>
  <c r="R476" i="2"/>
  <c r="Q476" i="2"/>
  <c r="P476" i="2"/>
  <c r="O476" i="2"/>
  <c r="N476" i="2"/>
  <c r="M476" i="2"/>
  <c r="L476" i="2"/>
  <c r="K476" i="2"/>
  <c r="J476" i="2"/>
  <c r="I476" i="2"/>
  <c r="H476" i="2"/>
  <c r="G476" i="2"/>
  <c r="F476" i="2"/>
  <c r="E476" i="2"/>
  <c r="D476" i="2"/>
  <c r="C476" i="2"/>
  <c r="B476" i="2"/>
  <c r="A476" i="2"/>
  <c r="AJ475" i="2"/>
  <c r="AI475" i="2"/>
  <c r="AH475" i="2"/>
  <c r="AG475" i="2"/>
  <c r="AF475" i="2"/>
  <c r="AE475" i="2"/>
  <c r="AD475" i="2"/>
  <c r="AC475" i="2"/>
  <c r="AB475" i="2"/>
  <c r="AA475" i="2"/>
  <c r="Z475" i="2"/>
  <c r="Y475" i="2"/>
  <c r="X475" i="2"/>
  <c r="W475" i="2"/>
  <c r="V475" i="2"/>
  <c r="U475" i="2"/>
  <c r="T475" i="2"/>
  <c r="S475" i="2"/>
  <c r="R475" i="2"/>
  <c r="Q475" i="2"/>
  <c r="P475" i="2"/>
  <c r="O475" i="2"/>
  <c r="N475" i="2"/>
  <c r="M475" i="2"/>
  <c r="L475" i="2"/>
  <c r="K475" i="2"/>
  <c r="J475" i="2"/>
  <c r="I475" i="2"/>
  <c r="H475" i="2"/>
  <c r="G475" i="2"/>
  <c r="F475" i="2"/>
  <c r="E475" i="2"/>
  <c r="D475" i="2"/>
  <c r="C475" i="2"/>
  <c r="B475" i="2"/>
  <c r="A475" i="2"/>
  <c r="AJ474" i="2"/>
  <c r="AH474" i="2"/>
  <c r="AF474" i="2"/>
  <c r="AE474" i="2"/>
  <c r="AD474" i="2"/>
  <c r="AC474" i="2"/>
  <c r="AB474" i="2"/>
  <c r="AA474" i="2"/>
  <c r="Z474" i="2"/>
  <c r="Y474" i="2"/>
  <c r="X474" i="2"/>
  <c r="W474" i="2"/>
  <c r="V474" i="2"/>
  <c r="U474" i="2"/>
  <c r="T474" i="2"/>
  <c r="S474" i="2"/>
  <c r="R474" i="2"/>
  <c r="Q474" i="2"/>
  <c r="P474" i="2"/>
  <c r="O474" i="2"/>
  <c r="N474" i="2"/>
  <c r="M474" i="2"/>
  <c r="L474" i="2"/>
  <c r="K474" i="2"/>
  <c r="J474" i="2"/>
  <c r="I474" i="2"/>
  <c r="H474" i="2"/>
  <c r="G474" i="2"/>
  <c r="F474" i="2"/>
  <c r="E474" i="2"/>
  <c r="D474" i="2"/>
  <c r="C474" i="2"/>
  <c r="B474" i="2"/>
  <c r="A474" i="2"/>
  <c r="AJ473" i="2"/>
  <c r="AI473" i="2"/>
  <c r="AH473" i="2"/>
  <c r="AG473" i="2"/>
  <c r="AF473" i="2"/>
  <c r="AE473" i="2"/>
  <c r="AD473" i="2"/>
  <c r="AC473" i="2"/>
  <c r="AB473" i="2"/>
  <c r="AA473" i="2"/>
  <c r="Z473" i="2"/>
  <c r="Y473" i="2"/>
  <c r="X473" i="2"/>
  <c r="W473" i="2"/>
  <c r="V473" i="2"/>
  <c r="U473" i="2"/>
  <c r="T473" i="2"/>
  <c r="S473" i="2"/>
  <c r="R473" i="2"/>
  <c r="Q473" i="2"/>
  <c r="P473" i="2"/>
  <c r="O473" i="2"/>
  <c r="N473" i="2"/>
  <c r="M473" i="2"/>
  <c r="L473" i="2"/>
  <c r="K473" i="2"/>
  <c r="J473" i="2"/>
  <c r="I473" i="2"/>
  <c r="H473" i="2"/>
  <c r="G473" i="2"/>
  <c r="F473" i="2"/>
  <c r="E473" i="2"/>
  <c r="D473" i="2"/>
  <c r="C473" i="2"/>
  <c r="B473" i="2"/>
  <c r="A473" i="2"/>
  <c r="AJ472" i="2"/>
  <c r="AH472" i="2"/>
  <c r="AG472" i="2"/>
  <c r="AF472" i="2"/>
  <c r="AE472" i="2"/>
  <c r="AD472" i="2"/>
  <c r="AC472" i="2"/>
  <c r="AB472" i="2"/>
  <c r="AA472" i="2"/>
  <c r="Z472" i="2"/>
  <c r="Y472" i="2"/>
  <c r="X472" i="2"/>
  <c r="W472" i="2"/>
  <c r="V472" i="2"/>
  <c r="U472" i="2"/>
  <c r="T472" i="2"/>
  <c r="S472" i="2"/>
  <c r="R472" i="2"/>
  <c r="Q472" i="2"/>
  <c r="P472" i="2"/>
  <c r="O472" i="2"/>
  <c r="N472" i="2"/>
  <c r="M472" i="2"/>
  <c r="L472" i="2"/>
  <c r="K472" i="2"/>
  <c r="J472" i="2"/>
  <c r="I472" i="2"/>
  <c r="H472" i="2"/>
  <c r="G472" i="2"/>
  <c r="F472" i="2"/>
  <c r="E472" i="2"/>
  <c r="D472" i="2"/>
  <c r="C472" i="2"/>
  <c r="B472" i="2"/>
  <c r="A472" i="2"/>
  <c r="AJ471" i="2"/>
  <c r="AH471" i="2"/>
  <c r="AG471" i="2"/>
  <c r="AF471" i="2"/>
  <c r="AE471" i="2"/>
  <c r="AD471" i="2"/>
  <c r="AB471" i="2"/>
  <c r="AA471" i="2"/>
  <c r="Z471" i="2"/>
  <c r="Y471" i="2"/>
  <c r="X471" i="2"/>
  <c r="W471" i="2"/>
  <c r="V471" i="2"/>
  <c r="U471" i="2"/>
  <c r="T471" i="2"/>
  <c r="S471" i="2"/>
  <c r="R471" i="2"/>
  <c r="Q471" i="2"/>
  <c r="P471" i="2"/>
  <c r="O471" i="2"/>
  <c r="N471" i="2"/>
  <c r="M471" i="2"/>
  <c r="L471" i="2"/>
  <c r="K471" i="2"/>
  <c r="J471" i="2"/>
  <c r="I471" i="2"/>
  <c r="H471" i="2"/>
  <c r="G471" i="2"/>
  <c r="F471" i="2"/>
  <c r="E471" i="2"/>
  <c r="D471" i="2"/>
  <c r="C471" i="2"/>
  <c r="B471" i="2"/>
  <c r="A471" i="2"/>
  <c r="AJ470" i="2"/>
  <c r="AI470" i="2"/>
  <c r="AH470" i="2"/>
  <c r="AG470" i="2"/>
  <c r="AF470" i="2"/>
  <c r="AE470" i="2"/>
  <c r="AD470" i="2"/>
  <c r="AC470" i="2"/>
  <c r="AB470" i="2"/>
  <c r="AA470" i="2"/>
  <c r="Z470" i="2"/>
  <c r="Y470" i="2"/>
  <c r="X470" i="2"/>
  <c r="W470" i="2"/>
  <c r="V470" i="2"/>
  <c r="U470" i="2"/>
  <c r="T470" i="2"/>
  <c r="S470" i="2"/>
  <c r="R470" i="2"/>
  <c r="Q470" i="2"/>
  <c r="P470" i="2"/>
  <c r="O470" i="2"/>
  <c r="N470" i="2"/>
  <c r="M470" i="2"/>
  <c r="L470" i="2"/>
  <c r="K470" i="2"/>
  <c r="J470" i="2"/>
  <c r="I470" i="2"/>
  <c r="H470" i="2"/>
  <c r="G470" i="2"/>
  <c r="F470" i="2"/>
  <c r="E470" i="2"/>
  <c r="D470" i="2"/>
  <c r="C470" i="2"/>
  <c r="B470" i="2"/>
  <c r="A470" i="2"/>
  <c r="AJ469" i="2"/>
  <c r="AH469" i="2"/>
  <c r="AG469" i="2"/>
  <c r="AF469" i="2"/>
  <c r="AE469" i="2"/>
  <c r="AD469" i="2"/>
  <c r="AC469" i="2"/>
  <c r="AB469" i="2"/>
  <c r="AA469" i="2"/>
  <c r="Z469" i="2"/>
  <c r="Y469" i="2"/>
  <c r="X469" i="2"/>
  <c r="W469" i="2"/>
  <c r="V469" i="2"/>
  <c r="U469" i="2"/>
  <c r="T469" i="2"/>
  <c r="S469" i="2"/>
  <c r="R469" i="2"/>
  <c r="Q469" i="2"/>
  <c r="P469" i="2"/>
  <c r="O469" i="2"/>
  <c r="N469" i="2"/>
  <c r="M469" i="2"/>
  <c r="L469" i="2"/>
  <c r="K469" i="2"/>
  <c r="J469" i="2"/>
  <c r="I469" i="2"/>
  <c r="H469" i="2"/>
  <c r="G469" i="2"/>
  <c r="F469" i="2"/>
  <c r="E469" i="2"/>
  <c r="D469" i="2"/>
  <c r="C469" i="2"/>
  <c r="B469" i="2"/>
  <c r="A469" i="2"/>
  <c r="AJ468" i="2"/>
  <c r="AI468" i="2"/>
  <c r="AH468" i="2"/>
  <c r="AG468" i="2"/>
  <c r="AF468" i="2"/>
  <c r="AE468" i="2"/>
  <c r="AD468" i="2"/>
  <c r="AC468" i="2"/>
  <c r="AB468" i="2"/>
  <c r="AA468" i="2"/>
  <c r="Z468" i="2"/>
  <c r="Y468" i="2"/>
  <c r="W468" i="2"/>
  <c r="V468" i="2"/>
  <c r="U468" i="2"/>
  <c r="T468" i="2"/>
  <c r="S468" i="2"/>
  <c r="R468" i="2"/>
  <c r="Q468" i="2"/>
  <c r="P468" i="2"/>
  <c r="O468" i="2"/>
  <c r="N468" i="2"/>
  <c r="M468" i="2"/>
  <c r="L468" i="2"/>
  <c r="K468" i="2"/>
  <c r="J468" i="2"/>
  <c r="I468" i="2"/>
  <c r="H468" i="2"/>
  <c r="G468" i="2"/>
  <c r="F468" i="2"/>
  <c r="E468" i="2"/>
  <c r="D468" i="2"/>
  <c r="C468" i="2"/>
  <c r="B468" i="2"/>
  <c r="A468" i="2"/>
  <c r="AJ467" i="2"/>
  <c r="AH467" i="2"/>
  <c r="AG467" i="2"/>
  <c r="AF467" i="2"/>
  <c r="AE467" i="2"/>
  <c r="AD467" i="2"/>
  <c r="Z467" i="2"/>
  <c r="Y467" i="2"/>
  <c r="X467" i="2"/>
  <c r="T467" i="2"/>
  <c r="S467" i="2"/>
  <c r="R467" i="2"/>
  <c r="Q467" i="2"/>
  <c r="P467" i="2"/>
  <c r="O467" i="2"/>
  <c r="N467" i="2"/>
  <c r="M467" i="2"/>
  <c r="L467" i="2"/>
  <c r="K467" i="2"/>
  <c r="J467" i="2"/>
  <c r="I467" i="2"/>
  <c r="H467" i="2"/>
  <c r="G467" i="2"/>
  <c r="F467" i="2"/>
  <c r="E467" i="2"/>
  <c r="D467" i="2"/>
  <c r="C467" i="2"/>
  <c r="B467" i="2"/>
  <c r="A467" i="2"/>
  <c r="AJ466" i="2"/>
  <c r="AI466" i="2"/>
  <c r="AH466" i="2"/>
  <c r="AG466" i="2"/>
  <c r="AF466" i="2"/>
  <c r="AE466" i="2"/>
  <c r="AD466" i="2"/>
  <c r="AC466" i="2"/>
  <c r="AB466" i="2"/>
  <c r="AA466" i="2"/>
  <c r="Z466" i="2"/>
  <c r="Y466" i="2"/>
  <c r="U466" i="2"/>
  <c r="T466" i="2"/>
  <c r="S466" i="2"/>
  <c r="R466" i="2"/>
  <c r="Q466" i="2"/>
  <c r="P466" i="2"/>
  <c r="O466" i="2"/>
  <c r="N466" i="2"/>
  <c r="M466" i="2"/>
  <c r="L466" i="2"/>
  <c r="K466" i="2"/>
  <c r="J466" i="2"/>
  <c r="I466" i="2"/>
  <c r="H466" i="2"/>
  <c r="G466" i="2"/>
  <c r="F466" i="2"/>
  <c r="E466" i="2"/>
  <c r="D466" i="2"/>
  <c r="C466" i="2"/>
  <c r="B466" i="2"/>
  <c r="A466" i="2"/>
  <c r="AJ465" i="2"/>
  <c r="AI465" i="2"/>
  <c r="AG465" i="2"/>
  <c r="AF465" i="2"/>
  <c r="AE465" i="2"/>
  <c r="AD465" i="2"/>
  <c r="AC465" i="2"/>
  <c r="AB465" i="2"/>
  <c r="Z465" i="2"/>
  <c r="Y465" i="2"/>
  <c r="X465" i="2"/>
  <c r="W465" i="2"/>
  <c r="V465" i="2"/>
  <c r="U465" i="2"/>
  <c r="T465" i="2"/>
  <c r="S465" i="2"/>
  <c r="R465" i="2"/>
  <c r="Q465" i="2"/>
  <c r="P465" i="2"/>
  <c r="O465" i="2"/>
  <c r="N465" i="2"/>
  <c r="M465" i="2"/>
  <c r="L465" i="2"/>
  <c r="K465" i="2"/>
  <c r="J465" i="2"/>
  <c r="I465" i="2"/>
  <c r="H465" i="2"/>
  <c r="G465" i="2"/>
  <c r="F465" i="2"/>
  <c r="E465" i="2"/>
  <c r="D465" i="2"/>
  <c r="C465" i="2"/>
  <c r="B465" i="2"/>
  <c r="A465" i="2"/>
  <c r="AJ464" i="2"/>
  <c r="AH464" i="2"/>
  <c r="AG464" i="2"/>
  <c r="AF464" i="2"/>
  <c r="AE464" i="2"/>
  <c r="AD464" i="2"/>
  <c r="AC464" i="2"/>
  <c r="Z464" i="2"/>
  <c r="Y464" i="2"/>
  <c r="X464" i="2"/>
  <c r="W464" i="2"/>
  <c r="V464" i="2"/>
  <c r="U464" i="2"/>
  <c r="T464" i="2"/>
  <c r="S464" i="2"/>
  <c r="R464" i="2"/>
  <c r="Q464" i="2"/>
  <c r="P464" i="2"/>
  <c r="O464" i="2"/>
  <c r="N464" i="2"/>
  <c r="M464" i="2"/>
  <c r="L464" i="2"/>
  <c r="K464" i="2"/>
  <c r="J464" i="2"/>
  <c r="I464" i="2"/>
  <c r="H464" i="2"/>
  <c r="G464" i="2"/>
  <c r="F464" i="2"/>
  <c r="E464" i="2"/>
  <c r="D464" i="2"/>
  <c r="C464" i="2"/>
  <c r="B464" i="2"/>
  <c r="A464" i="2"/>
  <c r="AJ463" i="2"/>
  <c r="AH463" i="2"/>
  <c r="AG463" i="2"/>
  <c r="AF463" i="2"/>
  <c r="AE463" i="2"/>
  <c r="AC463" i="2"/>
  <c r="AB463" i="2"/>
  <c r="AA463" i="2"/>
  <c r="Z463" i="2"/>
  <c r="Y463" i="2"/>
  <c r="X463" i="2"/>
  <c r="W463" i="2"/>
  <c r="V463" i="2"/>
  <c r="U463" i="2"/>
  <c r="T463" i="2"/>
  <c r="S463" i="2"/>
  <c r="R463" i="2"/>
  <c r="Q463" i="2"/>
  <c r="P463" i="2"/>
  <c r="O463" i="2"/>
  <c r="N463" i="2"/>
  <c r="M463" i="2"/>
  <c r="L463" i="2"/>
  <c r="K463" i="2"/>
  <c r="J463" i="2"/>
  <c r="I463" i="2"/>
  <c r="H463" i="2"/>
  <c r="G463" i="2"/>
  <c r="F463" i="2"/>
  <c r="E463" i="2"/>
  <c r="D463" i="2"/>
  <c r="C463" i="2"/>
  <c r="B463" i="2"/>
  <c r="A463" i="2"/>
  <c r="AJ462" i="2"/>
  <c r="AI462" i="2"/>
  <c r="AH462" i="2"/>
  <c r="AF462" i="2"/>
  <c r="AE462" i="2"/>
  <c r="AD462" i="2"/>
  <c r="AC462" i="2"/>
  <c r="AB462" i="2"/>
  <c r="AA462" i="2"/>
  <c r="Z462" i="2"/>
  <c r="Y462" i="2"/>
  <c r="X462" i="2"/>
  <c r="W462" i="2"/>
  <c r="V462" i="2"/>
  <c r="U462" i="2"/>
  <c r="T462" i="2"/>
  <c r="S462" i="2"/>
  <c r="R462" i="2"/>
  <c r="Q462" i="2"/>
  <c r="P462" i="2"/>
  <c r="O462" i="2"/>
  <c r="N462" i="2"/>
  <c r="M462" i="2"/>
  <c r="L462" i="2"/>
  <c r="K462" i="2"/>
  <c r="J462" i="2"/>
  <c r="I462" i="2"/>
  <c r="H462" i="2"/>
  <c r="G462" i="2"/>
  <c r="F462" i="2"/>
  <c r="E462" i="2"/>
  <c r="D462" i="2"/>
  <c r="C462" i="2"/>
  <c r="B462" i="2"/>
  <c r="A462" i="2"/>
  <c r="AJ461" i="2"/>
  <c r="AI461" i="2"/>
  <c r="AH461" i="2"/>
  <c r="AG461" i="2"/>
  <c r="AF461" i="2"/>
  <c r="AE461" i="2"/>
  <c r="AD461" i="2"/>
  <c r="AC461" i="2"/>
  <c r="AB461" i="2"/>
  <c r="AA461" i="2"/>
  <c r="Z461" i="2"/>
  <c r="Y461" i="2"/>
  <c r="X461" i="2"/>
  <c r="W461" i="2"/>
  <c r="V461" i="2"/>
  <c r="U461" i="2"/>
  <c r="T461" i="2"/>
  <c r="S461" i="2"/>
  <c r="R461" i="2"/>
  <c r="Q461" i="2"/>
  <c r="P461" i="2"/>
  <c r="O461" i="2"/>
  <c r="N461" i="2"/>
  <c r="M461" i="2"/>
  <c r="L461" i="2"/>
  <c r="K461" i="2"/>
  <c r="J461" i="2"/>
  <c r="I461" i="2"/>
  <c r="H461" i="2"/>
  <c r="G461" i="2"/>
  <c r="F461" i="2"/>
  <c r="E461" i="2"/>
  <c r="D461" i="2"/>
  <c r="C461" i="2"/>
  <c r="B461" i="2"/>
  <c r="A461" i="2"/>
  <c r="AJ460" i="2"/>
  <c r="AH460" i="2"/>
  <c r="AG460" i="2"/>
  <c r="AF460" i="2"/>
  <c r="AE460" i="2"/>
  <c r="AD460" i="2"/>
  <c r="AB460" i="2"/>
  <c r="AA460" i="2"/>
  <c r="Z460" i="2"/>
  <c r="Y460" i="2"/>
  <c r="X460" i="2"/>
  <c r="W460" i="2"/>
  <c r="V460" i="2"/>
  <c r="U460" i="2"/>
  <c r="T460" i="2"/>
  <c r="S460" i="2"/>
  <c r="R460" i="2"/>
  <c r="Q460" i="2"/>
  <c r="P460" i="2"/>
  <c r="O460" i="2"/>
  <c r="N460" i="2"/>
  <c r="M460" i="2"/>
  <c r="L460" i="2"/>
  <c r="K460" i="2"/>
  <c r="J460" i="2"/>
  <c r="I460" i="2"/>
  <c r="H460" i="2"/>
  <c r="G460" i="2"/>
  <c r="F460" i="2"/>
  <c r="E460" i="2"/>
  <c r="D460" i="2"/>
  <c r="C460" i="2"/>
  <c r="B460" i="2"/>
  <c r="A460" i="2"/>
  <c r="AJ459" i="2"/>
  <c r="AI459" i="2"/>
  <c r="AH459" i="2"/>
  <c r="AG459" i="2"/>
  <c r="AF459" i="2"/>
  <c r="AE459" i="2"/>
  <c r="AD459" i="2"/>
  <c r="AC459" i="2"/>
  <c r="AB459" i="2"/>
  <c r="AA459" i="2"/>
  <c r="Z459" i="2"/>
  <c r="Y459" i="2"/>
  <c r="X459" i="2"/>
  <c r="W459" i="2"/>
  <c r="V459" i="2"/>
  <c r="U459" i="2"/>
  <c r="T459" i="2"/>
  <c r="S459" i="2"/>
  <c r="R459" i="2"/>
  <c r="Q459" i="2"/>
  <c r="P459" i="2"/>
  <c r="O459" i="2"/>
  <c r="N459" i="2"/>
  <c r="M459" i="2"/>
  <c r="L459" i="2"/>
  <c r="K459" i="2"/>
  <c r="J459" i="2"/>
  <c r="I459" i="2"/>
  <c r="H459" i="2"/>
  <c r="G459" i="2"/>
  <c r="F459" i="2"/>
  <c r="E459" i="2"/>
  <c r="D459" i="2"/>
  <c r="C459" i="2"/>
  <c r="B459" i="2"/>
  <c r="A459" i="2"/>
  <c r="AJ458" i="2"/>
  <c r="AH458" i="2"/>
  <c r="AG458" i="2"/>
  <c r="AF458" i="2"/>
  <c r="AE458" i="2"/>
  <c r="AD458" i="2"/>
  <c r="AB458" i="2"/>
  <c r="AA458" i="2"/>
  <c r="Z458" i="2"/>
  <c r="Y458" i="2"/>
  <c r="X458" i="2"/>
  <c r="V458" i="2"/>
  <c r="U458" i="2"/>
  <c r="T458" i="2"/>
  <c r="S458" i="2"/>
  <c r="R458" i="2"/>
  <c r="Q458" i="2"/>
  <c r="P458" i="2"/>
  <c r="O458" i="2"/>
  <c r="N458" i="2"/>
  <c r="M458" i="2"/>
  <c r="L458" i="2"/>
  <c r="K458" i="2"/>
  <c r="J458" i="2"/>
  <c r="I458" i="2"/>
  <c r="H458" i="2"/>
  <c r="G458" i="2"/>
  <c r="F458" i="2"/>
  <c r="E458" i="2"/>
  <c r="D458" i="2"/>
  <c r="C458" i="2"/>
  <c r="B458" i="2"/>
  <c r="A458" i="2"/>
  <c r="AJ457" i="2"/>
  <c r="AI457" i="2"/>
  <c r="AH457" i="2"/>
  <c r="AG457" i="2"/>
  <c r="AF457" i="2"/>
  <c r="AE457" i="2"/>
  <c r="AD457" i="2"/>
  <c r="AC457" i="2"/>
  <c r="AB457" i="2"/>
  <c r="AA457" i="2"/>
  <c r="Z457" i="2"/>
  <c r="Y457" i="2"/>
  <c r="X457" i="2"/>
  <c r="W457" i="2"/>
  <c r="V457" i="2"/>
  <c r="U457" i="2"/>
  <c r="T457" i="2"/>
  <c r="S457" i="2"/>
  <c r="R457" i="2"/>
  <c r="Q457" i="2"/>
  <c r="P457" i="2"/>
  <c r="O457" i="2"/>
  <c r="N457" i="2"/>
  <c r="M457" i="2"/>
  <c r="L457" i="2"/>
  <c r="K457" i="2"/>
  <c r="J457" i="2"/>
  <c r="I457" i="2"/>
  <c r="H457" i="2"/>
  <c r="G457" i="2"/>
  <c r="F457" i="2"/>
  <c r="E457" i="2"/>
  <c r="D457" i="2"/>
  <c r="C457" i="2"/>
  <c r="B457" i="2"/>
  <c r="A457" i="2"/>
  <c r="AJ456" i="2"/>
  <c r="AI456" i="2"/>
  <c r="AH456" i="2"/>
  <c r="AG456" i="2"/>
  <c r="AF456" i="2"/>
  <c r="AE456" i="2"/>
  <c r="AD456" i="2"/>
  <c r="AC456" i="2"/>
  <c r="AB456" i="2"/>
  <c r="Z456" i="2"/>
  <c r="Y456" i="2"/>
  <c r="X456" i="2"/>
  <c r="W456" i="2"/>
  <c r="V456" i="2"/>
  <c r="U456" i="2"/>
  <c r="T456" i="2"/>
  <c r="S456" i="2"/>
  <c r="R456" i="2"/>
  <c r="Q456" i="2"/>
  <c r="P456" i="2"/>
  <c r="O456" i="2"/>
  <c r="N456" i="2"/>
  <c r="M456" i="2"/>
  <c r="L456" i="2"/>
  <c r="K456" i="2"/>
  <c r="J456" i="2"/>
  <c r="I456" i="2"/>
  <c r="H456" i="2"/>
  <c r="G456" i="2"/>
  <c r="F456" i="2"/>
  <c r="E456" i="2"/>
  <c r="D456" i="2"/>
  <c r="C456" i="2"/>
  <c r="B456" i="2"/>
  <c r="A456" i="2"/>
  <c r="AJ455" i="2"/>
  <c r="AH455" i="2"/>
  <c r="AG455" i="2"/>
  <c r="AF455" i="2"/>
  <c r="AE455" i="2"/>
  <c r="AD455" i="2"/>
  <c r="AC455" i="2"/>
  <c r="Z455" i="2"/>
  <c r="Y455" i="2"/>
  <c r="X455" i="2"/>
  <c r="W455" i="2"/>
  <c r="V455" i="2"/>
  <c r="U455" i="2"/>
  <c r="T455" i="2"/>
  <c r="S455" i="2"/>
  <c r="R455" i="2"/>
  <c r="Q455" i="2"/>
  <c r="P455" i="2"/>
  <c r="O455" i="2"/>
  <c r="N455" i="2"/>
  <c r="M455" i="2"/>
  <c r="L455" i="2"/>
  <c r="K455" i="2"/>
  <c r="J455" i="2"/>
  <c r="I455" i="2"/>
  <c r="H455" i="2"/>
  <c r="G455" i="2"/>
  <c r="F455" i="2"/>
  <c r="E455" i="2"/>
  <c r="D455" i="2"/>
  <c r="C455" i="2"/>
  <c r="B455" i="2"/>
  <c r="A455" i="2"/>
  <c r="AJ454" i="2"/>
  <c r="AH454" i="2"/>
  <c r="AG454" i="2"/>
  <c r="AF454" i="2"/>
  <c r="AE454" i="2"/>
  <c r="AD454" i="2"/>
  <c r="AB454" i="2"/>
  <c r="AA454" i="2"/>
  <c r="Z454" i="2"/>
  <c r="Y454" i="2"/>
  <c r="X454" i="2"/>
  <c r="W454" i="2"/>
  <c r="V454" i="2"/>
  <c r="U454" i="2"/>
  <c r="T454" i="2"/>
  <c r="S454" i="2"/>
  <c r="R454" i="2"/>
  <c r="Q454" i="2"/>
  <c r="P454" i="2"/>
  <c r="O454" i="2"/>
  <c r="N454" i="2"/>
  <c r="M454" i="2"/>
  <c r="L454" i="2"/>
  <c r="K454" i="2"/>
  <c r="J454" i="2"/>
  <c r="I454" i="2"/>
  <c r="H454" i="2"/>
  <c r="G454" i="2"/>
  <c r="F454" i="2"/>
  <c r="E454" i="2"/>
  <c r="D454" i="2"/>
  <c r="C454" i="2"/>
  <c r="B454" i="2"/>
  <c r="A454" i="2"/>
  <c r="AJ453" i="2"/>
  <c r="AH453" i="2"/>
  <c r="AG453" i="2"/>
  <c r="AF453" i="2"/>
  <c r="AE453" i="2"/>
  <c r="AD453" i="2"/>
  <c r="AC453" i="2"/>
  <c r="AB453" i="2"/>
  <c r="Z453" i="2"/>
  <c r="Y453" i="2"/>
  <c r="X453" i="2"/>
  <c r="W453" i="2"/>
  <c r="V453" i="2"/>
  <c r="U453" i="2"/>
  <c r="T453" i="2"/>
  <c r="S453" i="2"/>
  <c r="R453" i="2"/>
  <c r="Q453" i="2"/>
  <c r="P453" i="2"/>
  <c r="O453" i="2"/>
  <c r="N453" i="2"/>
  <c r="M453" i="2"/>
  <c r="L453" i="2"/>
  <c r="K453" i="2"/>
  <c r="J453" i="2"/>
  <c r="I453" i="2"/>
  <c r="H453" i="2"/>
  <c r="G453" i="2"/>
  <c r="F453" i="2"/>
  <c r="E453" i="2"/>
  <c r="D453" i="2"/>
  <c r="C453" i="2"/>
  <c r="B453" i="2"/>
  <c r="A453" i="2"/>
  <c r="AJ452" i="2"/>
  <c r="AI452" i="2"/>
  <c r="AH452" i="2"/>
  <c r="AG452" i="2"/>
  <c r="AF452" i="2"/>
  <c r="AE452" i="2"/>
  <c r="AD452" i="2"/>
  <c r="AC452" i="2"/>
  <c r="AB452" i="2"/>
  <c r="AA452" i="2"/>
  <c r="Z452" i="2"/>
  <c r="Y452" i="2"/>
  <c r="X452" i="2"/>
  <c r="W452" i="2"/>
  <c r="V452" i="2"/>
  <c r="U452" i="2"/>
  <c r="T452" i="2"/>
  <c r="S452" i="2"/>
  <c r="R452" i="2"/>
  <c r="Q452" i="2"/>
  <c r="P452" i="2"/>
  <c r="O452" i="2"/>
  <c r="N452" i="2"/>
  <c r="M452" i="2"/>
  <c r="L452" i="2"/>
  <c r="K452" i="2"/>
  <c r="J452" i="2"/>
  <c r="I452" i="2"/>
  <c r="H452" i="2"/>
  <c r="G452" i="2"/>
  <c r="F452" i="2"/>
  <c r="E452" i="2"/>
  <c r="D452" i="2"/>
  <c r="C452" i="2"/>
  <c r="B452" i="2"/>
  <c r="A452" i="2"/>
  <c r="AJ451" i="2"/>
  <c r="AH451" i="2"/>
  <c r="AG451" i="2"/>
  <c r="AF451" i="2"/>
  <c r="AE451" i="2"/>
  <c r="AD451" i="2"/>
  <c r="AC451" i="2"/>
  <c r="AB451" i="2"/>
  <c r="Z451" i="2"/>
  <c r="Y451" i="2"/>
  <c r="X451" i="2"/>
  <c r="W451" i="2"/>
  <c r="V451" i="2"/>
  <c r="U451" i="2"/>
  <c r="T451" i="2"/>
  <c r="S451" i="2"/>
  <c r="R451" i="2"/>
  <c r="Q451" i="2"/>
  <c r="P451" i="2"/>
  <c r="O451" i="2"/>
  <c r="N451" i="2"/>
  <c r="M451" i="2"/>
  <c r="L451" i="2"/>
  <c r="K451" i="2"/>
  <c r="J451" i="2"/>
  <c r="I451" i="2"/>
  <c r="H451" i="2"/>
  <c r="G451" i="2"/>
  <c r="F451" i="2"/>
  <c r="E451" i="2"/>
  <c r="D451" i="2"/>
  <c r="C451" i="2"/>
  <c r="B451" i="2"/>
  <c r="A451" i="2"/>
  <c r="AJ450" i="2"/>
  <c r="AH450" i="2"/>
  <c r="AG450" i="2"/>
  <c r="AF450" i="2"/>
  <c r="AE450" i="2"/>
  <c r="AD450" i="2"/>
  <c r="AB450" i="2"/>
  <c r="AA450" i="2"/>
  <c r="Z450" i="2"/>
  <c r="Y450" i="2"/>
  <c r="X450" i="2"/>
  <c r="W450" i="2"/>
  <c r="V450" i="2"/>
  <c r="U450" i="2"/>
  <c r="T450" i="2"/>
  <c r="S450" i="2"/>
  <c r="R450" i="2"/>
  <c r="Q450" i="2"/>
  <c r="P450" i="2"/>
  <c r="O450" i="2"/>
  <c r="N450" i="2"/>
  <c r="M450" i="2"/>
  <c r="L450" i="2"/>
  <c r="K450" i="2"/>
  <c r="J450" i="2"/>
  <c r="I450" i="2"/>
  <c r="H450" i="2"/>
  <c r="G450" i="2"/>
  <c r="F450" i="2"/>
  <c r="E450" i="2"/>
  <c r="D450" i="2"/>
  <c r="C450" i="2"/>
  <c r="B450" i="2"/>
  <c r="A450" i="2"/>
  <c r="AJ449" i="2"/>
  <c r="AI449" i="2"/>
  <c r="AH449" i="2"/>
  <c r="AG449" i="2"/>
  <c r="AF449" i="2"/>
  <c r="AE449" i="2"/>
  <c r="AD449" i="2"/>
  <c r="AC449" i="2"/>
  <c r="AB449" i="2"/>
  <c r="AA449" i="2"/>
  <c r="Z449" i="2"/>
  <c r="Y449" i="2"/>
  <c r="X449" i="2"/>
  <c r="W449" i="2"/>
  <c r="V449" i="2"/>
  <c r="U449" i="2"/>
  <c r="T449" i="2"/>
  <c r="S449" i="2"/>
  <c r="R449" i="2"/>
  <c r="Q449" i="2"/>
  <c r="P449" i="2"/>
  <c r="O449" i="2"/>
  <c r="N449" i="2"/>
  <c r="M449" i="2"/>
  <c r="L449" i="2"/>
  <c r="K449" i="2"/>
  <c r="J449" i="2"/>
  <c r="I449" i="2"/>
  <c r="H449" i="2"/>
  <c r="G449" i="2"/>
  <c r="F449" i="2"/>
  <c r="E449" i="2"/>
  <c r="D449" i="2"/>
  <c r="C449" i="2"/>
  <c r="B449" i="2"/>
  <c r="A449" i="2"/>
  <c r="AJ448" i="2"/>
  <c r="AH448" i="2"/>
  <c r="AG448" i="2"/>
  <c r="AF448" i="2"/>
  <c r="AE448" i="2"/>
  <c r="AD448" i="2"/>
  <c r="AC448" i="2"/>
  <c r="AB448" i="2"/>
  <c r="Z448" i="2"/>
  <c r="Y448" i="2"/>
  <c r="X448" i="2"/>
  <c r="W448" i="2"/>
  <c r="V448" i="2"/>
  <c r="U448" i="2"/>
  <c r="T448" i="2"/>
  <c r="S448" i="2"/>
  <c r="R448" i="2"/>
  <c r="Q448" i="2"/>
  <c r="P448" i="2"/>
  <c r="O448" i="2"/>
  <c r="N448" i="2"/>
  <c r="M448" i="2"/>
  <c r="L448" i="2"/>
  <c r="K448" i="2"/>
  <c r="J448" i="2"/>
  <c r="I448" i="2"/>
  <c r="H448" i="2"/>
  <c r="G448" i="2"/>
  <c r="F448" i="2"/>
  <c r="E448" i="2"/>
  <c r="D448" i="2"/>
  <c r="C448" i="2"/>
  <c r="B448" i="2"/>
  <c r="A448" i="2"/>
  <c r="AJ447" i="2"/>
  <c r="AH447" i="2"/>
  <c r="AG447" i="2"/>
  <c r="AF447" i="2"/>
  <c r="AE447" i="2"/>
  <c r="AD447" i="2"/>
  <c r="AC447" i="2"/>
  <c r="AB447" i="2"/>
  <c r="Z447" i="2"/>
  <c r="Y447" i="2"/>
  <c r="X447" i="2"/>
  <c r="W447" i="2"/>
  <c r="V447" i="2"/>
  <c r="U447" i="2"/>
  <c r="T447" i="2"/>
  <c r="S447" i="2"/>
  <c r="R447" i="2"/>
  <c r="Q447" i="2"/>
  <c r="P447" i="2"/>
  <c r="N447" i="2"/>
  <c r="M447" i="2"/>
  <c r="L447" i="2"/>
  <c r="K447" i="2"/>
  <c r="J447" i="2"/>
  <c r="I447" i="2"/>
  <c r="H447" i="2"/>
  <c r="G447" i="2"/>
  <c r="F447" i="2"/>
  <c r="E447" i="2"/>
  <c r="D447" i="2"/>
  <c r="C447" i="2"/>
  <c r="B447" i="2"/>
  <c r="A447" i="2"/>
  <c r="AJ446" i="2"/>
  <c r="AI446" i="2"/>
  <c r="AH446" i="2"/>
  <c r="AG446" i="2"/>
  <c r="AF446" i="2"/>
  <c r="AE446" i="2"/>
  <c r="AD446" i="2"/>
  <c r="AC446" i="2"/>
  <c r="AB446" i="2"/>
  <c r="AA446" i="2"/>
  <c r="Z446" i="2"/>
  <c r="Y446" i="2"/>
  <c r="X446" i="2"/>
  <c r="W446" i="2"/>
  <c r="V446" i="2"/>
  <c r="U446" i="2"/>
  <c r="T446" i="2"/>
  <c r="S446" i="2"/>
  <c r="R446" i="2"/>
  <c r="Q446" i="2"/>
  <c r="P446" i="2"/>
  <c r="O446" i="2"/>
  <c r="N446" i="2"/>
  <c r="M446" i="2"/>
  <c r="L446" i="2"/>
  <c r="K446" i="2"/>
  <c r="J446" i="2"/>
  <c r="I446" i="2"/>
  <c r="H446" i="2"/>
  <c r="G446" i="2"/>
  <c r="F446" i="2"/>
  <c r="E446" i="2"/>
  <c r="D446" i="2"/>
  <c r="C446" i="2"/>
  <c r="B446" i="2"/>
  <c r="A446" i="2"/>
  <c r="AJ445" i="2"/>
  <c r="AI445" i="2"/>
  <c r="AH445" i="2"/>
  <c r="AG445" i="2"/>
  <c r="AF445" i="2"/>
  <c r="AE445" i="2"/>
  <c r="AD445" i="2"/>
  <c r="AC445" i="2"/>
  <c r="AB445" i="2"/>
  <c r="AA445" i="2"/>
  <c r="Z445" i="2"/>
  <c r="Y445" i="2"/>
  <c r="X445" i="2"/>
  <c r="W445" i="2"/>
  <c r="V445" i="2"/>
  <c r="U445" i="2"/>
  <c r="T445" i="2"/>
  <c r="S445" i="2"/>
  <c r="R445" i="2"/>
  <c r="Q445" i="2"/>
  <c r="P445" i="2"/>
  <c r="N445" i="2"/>
  <c r="M445" i="2"/>
  <c r="L445" i="2"/>
  <c r="K445" i="2"/>
  <c r="J445" i="2"/>
  <c r="I445" i="2"/>
  <c r="H445" i="2"/>
  <c r="G445" i="2"/>
  <c r="F445" i="2"/>
  <c r="E445" i="2"/>
  <c r="D445" i="2"/>
  <c r="C445" i="2"/>
  <c r="B445" i="2"/>
  <c r="A445" i="2"/>
  <c r="AJ444" i="2"/>
  <c r="AH444" i="2"/>
  <c r="AG444" i="2"/>
  <c r="AF444" i="2"/>
  <c r="AE444" i="2"/>
  <c r="AD444" i="2"/>
  <c r="AC444" i="2"/>
  <c r="AB444" i="2"/>
  <c r="AA444" i="2"/>
  <c r="Z444" i="2"/>
  <c r="Y444" i="2"/>
  <c r="X444" i="2"/>
  <c r="W444" i="2"/>
  <c r="V444" i="2"/>
  <c r="U444" i="2"/>
  <c r="T444" i="2"/>
  <c r="S444" i="2"/>
  <c r="R444" i="2"/>
  <c r="Q444" i="2"/>
  <c r="P444" i="2"/>
  <c r="O444" i="2"/>
  <c r="N444" i="2"/>
  <c r="M444" i="2"/>
  <c r="L444" i="2"/>
  <c r="K444" i="2"/>
  <c r="J444" i="2"/>
  <c r="I444" i="2"/>
  <c r="H444" i="2"/>
  <c r="G444" i="2"/>
  <c r="F444" i="2"/>
  <c r="E444" i="2"/>
  <c r="D444" i="2"/>
  <c r="C444" i="2"/>
  <c r="B444" i="2"/>
  <c r="A444" i="2"/>
  <c r="AJ443" i="2"/>
  <c r="AI443" i="2"/>
  <c r="AH443" i="2"/>
  <c r="AG443" i="2"/>
  <c r="AF443" i="2"/>
  <c r="AE443" i="2"/>
  <c r="AD443" i="2"/>
  <c r="AC443" i="2"/>
  <c r="AB443" i="2"/>
  <c r="AA443" i="2"/>
  <c r="Z443" i="2"/>
  <c r="Y443" i="2"/>
  <c r="X443" i="2"/>
  <c r="W443" i="2"/>
  <c r="V443" i="2"/>
  <c r="U443" i="2"/>
  <c r="T443" i="2"/>
  <c r="S443" i="2"/>
  <c r="R443" i="2"/>
  <c r="Q443" i="2"/>
  <c r="P443" i="2"/>
  <c r="O443" i="2"/>
  <c r="N443" i="2"/>
  <c r="M443" i="2"/>
  <c r="L443" i="2"/>
  <c r="K443" i="2"/>
  <c r="J443" i="2"/>
  <c r="I443" i="2"/>
  <c r="H443" i="2"/>
  <c r="G443" i="2"/>
  <c r="F443" i="2"/>
  <c r="E443" i="2"/>
  <c r="D443" i="2"/>
  <c r="C443" i="2"/>
  <c r="B443" i="2"/>
  <c r="A443" i="2"/>
  <c r="AJ442" i="2"/>
  <c r="AI442" i="2"/>
  <c r="AH442" i="2"/>
  <c r="AG442" i="2"/>
  <c r="AF442" i="2"/>
  <c r="AE442" i="2"/>
  <c r="AD442" i="2"/>
  <c r="AC442" i="2"/>
  <c r="AB442" i="2"/>
  <c r="AA442" i="2"/>
  <c r="Z442" i="2"/>
  <c r="Y442" i="2"/>
  <c r="X442" i="2"/>
  <c r="W442" i="2"/>
  <c r="V442" i="2"/>
  <c r="U442" i="2"/>
  <c r="T442" i="2"/>
  <c r="S442" i="2"/>
  <c r="R442" i="2"/>
  <c r="Q442" i="2"/>
  <c r="P442" i="2"/>
  <c r="O442" i="2"/>
  <c r="N442" i="2"/>
  <c r="M442" i="2"/>
  <c r="L442" i="2"/>
  <c r="K442" i="2"/>
  <c r="J442" i="2"/>
  <c r="I442" i="2"/>
  <c r="H442" i="2"/>
  <c r="G442" i="2"/>
  <c r="F442" i="2"/>
  <c r="E442" i="2"/>
  <c r="D442" i="2"/>
  <c r="C442" i="2"/>
  <c r="B442" i="2"/>
  <c r="A442" i="2"/>
  <c r="AJ441" i="2"/>
  <c r="AH441" i="2"/>
  <c r="AG441" i="2"/>
  <c r="AF441" i="2"/>
  <c r="AE441" i="2"/>
  <c r="AD441" i="2"/>
  <c r="AC441" i="2"/>
  <c r="AB441" i="2"/>
  <c r="AA441" i="2"/>
  <c r="Z441" i="2"/>
  <c r="Y441" i="2"/>
  <c r="X441" i="2"/>
  <c r="W441" i="2"/>
  <c r="V441" i="2"/>
  <c r="U441" i="2"/>
  <c r="T441" i="2"/>
  <c r="S441" i="2"/>
  <c r="R441" i="2"/>
  <c r="Q441" i="2"/>
  <c r="P441" i="2"/>
  <c r="O441" i="2"/>
  <c r="N441" i="2"/>
  <c r="M441" i="2"/>
  <c r="L441" i="2"/>
  <c r="K441" i="2"/>
  <c r="J441" i="2"/>
  <c r="I441" i="2"/>
  <c r="H441" i="2"/>
  <c r="G441" i="2"/>
  <c r="F441" i="2"/>
  <c r="E441" i="2"/>
  <c r="D441" i="2"/>
  <c r="C441" i="2"/>
  <c r="B441" i="2"/>
  <c r="A441" i="2"/>
  <c r="AJ440" i="2"/>
  <c r="AI440" i="2"/>
  <c r="AH440" i="2"/>
  <c r="AG440" i="2"/>
  <c r="AF440" i="2"/>
  <c r="AE440" i="2"/>
  <c r="AD440" i="2"/>
  <c r="AC440" i="2"/>
  <c r="AB440" i="2"/>
  <c r="AA440" i="2"/>
  <c r="Z440" i="2"/>
  <c r="Y440" i="2"/>
  <c r="X440" i="2"/>
  <c r="W440" i="2"/>
  <c r="V440" i="2"/>
  <c r="U440" i="2"/>
  <c r="T440" i="2"/>
  <c r="S440" i="2"/>
  <c r="R440" i="2"/>
  <c r="Q440" i="2"/>
  <c r="P440" i="2"/>
  <c r="O440" i="2"/>
  <c r="N440" i="2"/>
  <c r="M440" i="2"/>
  <c r="L440" i="2"/>
  <c r="K440" i="2"/>
  <c r="J440" i="2"/>
  <c r="I440" i="2"/>
  <c r="H440" i="2"/>
  <c r="G440" i="2"/>
  <c r="F440" i="2"/>
  <c r="E440" i="2"/>
  <c r="D440" i="2"/>
  <c r="C440" i="2"/>
  <c r="B440" i="2"/>
  <c r="A440" i="2"/>
  <c r="AJ439" i="2"/>
  <c r="AI439" i="2"/>
  <c r="AH439" i="2"/>
  <c r="AG439" i="2"/>
  <c r="AF439" i="2"/>
  <c r="AE439" i="2"/>
  <c r="AD439" i="2"/>
  <c r="AC439" i="2"/>
  <c r="AB439" i="2"/>
  <c r="AA439" i="2"/>
  <c r="Z439" i="2"/>
  <c r="Y439" i="2"/>
  <c r="X439" i="2"/>
  <c r="W439" i="2"/>
  <c r="V439" i="2"/>
  <c r="U439" i="2"/>
  <c r="T439" i="2"/>
  <c r="S439" i="2"/>
  <c r="R439" i="2"/>
  <c r="Q439" i="2"/>
  <c r="P439" i="2"/>
  <c r="N439" i="2"/>
  <c r="M439" i="2"/>
  <c r="L439" i="2"/>
  <c r="K439" i="2"/>
  <c r="J439" i="2"/>
  <c r="I439" i="2"/>
  <c r="H439" i="2"/>
  <c r="G439" i="2"/>
  <c r="F439" i="2"/>
  <c r="E439" i="2"/>
  <c r="D439" i="2"/>
  <c r="C439" i="2"/>
  <c r="B439" i="2"/>
  <c r="A439" i="2"/>
  <c r="AJ438" i="2"/>
  <c r="AH438" i="2"/>
  <c r="AG438" i="2"/>
  <c r="AF438" i="2"/>
  <c r="AE438" i="2"/>
  <c r="AD438" i="2"/>
  <c r="AC438" i="2"/>
  <c r="AB438" i="2"/>
  <c r="AA438" i="2"/>
  <c r="Z438" i="2"/>
  <c r="Y438" i="2"/>
  <c r="X438" i="2"/>
  <c r="W438" i="2"/>
  <c r="V438" i="2"/>
  <c r="U438" i="2"/>
  <c r="T438" i="2"/>
  <c r="S438" i="2"/>
  <c r="R438" i="2"/>
  <c r="Q438" i="2"/>
  <c r="P438" i="2"/>
  <c r="O438" i="2"/>
  <c r="N438" i="2"/>
  <c r="M438" i="2"/>
  <c r="L438" i="2"/>
  <c r="K438" i="2"/>
  <c r="J438" i="2"/>
  <c r="I438" i="2"/>
  <c r="H438" i="2"/>
  <c r="G438" i="2"/>
  <c r="F438" i="2"/>
  <c r="E438" i="2"/>
  <c r="D438" i="2"/>
  <c r="C438" i="2"/>
  <c r="B438" i="2"/>
  <c r="A438" i="2"/>
  <c r="AJ437" i="2"/>
  <c r="AI437" i="2"/>
  <c r="AH437" i="2"/>
  <c r="AG437" i="2"/>
  <c r="AF437" i="2"/>
  <c r="AE437" i="2"/>
  <c r="AD437" i="2"/>
  <c r="AC437" i="2"/>
  <c r="AB437" i="2"/>
  <c r="AA437" i="2"/>
  <c r="Z437" i="2"/>
  <c r="Y437" i="2"/>
  <c r="X437" i="2"/>
  <c r="W437" i="2"/>
  <c r="V437" i="2"/>
  <c r="U437" i="2"/>
  <c r="T437" i="2"/>
  <c r="S437" i="2"/>
  <c r="R437" i="2"/>
  <c r="Q437" i="2"/>
  <c r="P437" i="2"/>
  <c r="O437" i="2"/>
  <c r="N437" i="2"/>
  <c r="M437" i="2"/>
  <c r="L437" i="2"/>
  <c r="K437" i="2"/>
  <c r="J437" i="2"/>
  <c r="I437" i="2"/>
  <c r="H437" i="2"/>
  <c r="G437" i="2"/>
  <c r="F437" i="2"/>
  <c r="E437" i="2"/>
  <c r="D437" i="2"/>
  <c r="C437" i="2"/>
  <c r="B437" i="2"/>
  <c r="A437" i="2"/>
  <c r="AJ436" i="2"/>
  <c r="AI436" i="2"/>
  <c r="AH436" i="2"/>
  <c r="AG436" i="2"/>
  <c r="AF436" i="2"/>
  <c r="AE436" i="2"/>
  <c r="AD436" i="2"/>
  <c r="AC436" i="2"/>
  <c r="AB436" i="2"/>
  <c r="AA436" i="2"/>
  <c r="Z436" i="2"/>
  <c r="Y436" i="2"/>
  <c r="X436" i="2"/>
  <c r="W436" i="2"/>
  <c r="V436" i="2"/>
  <c r="U436" i="2"/>
  <c r="T436" i="2"/>
  <c r="S436" i="2"/>
  <c r="R436" i="2"/>
  <c r="Q436" i="2"/>
  <c r="P436" i="2"/>
  <c r="O436" i="2"/>
  <c r="N436" i="2"/>
  <c r="M436" i="2"/>
  <c r="L436" i="2"/>
  <c r="K436" i="2"/>
  <c r="J436" i="2"/>
  <c r="I436" i="2"/>
  <c r="H436" i="2"/>
  <c r="G436" i="2"/>
  <c r="F436" i="2"/>
  <c r="E436" i="2"/>
  <c r="D436" i="2"/>
  <c r="C436" i="2"/>
  <c r="B436" i="2"/>
  <c r="A436" i="2"/>
  <c r="AJ435" i="2"/>
  <c r="AI435" i="2"/>
  <c r="AH435" i="2"/>
  <c r="AF435" i="2"/>
  <c r="AE435" i="2"/>
  <c r="AD435" i="2"/>
  <c r="Z435" i="2"/>
  <c r="Y435" i="2"/>
  <c r="X435" i="2"/>
  <c r="V435" i="2"/>
  <c r="U435" i="2"/>
  <c r="T435" i="2"/>
  <c r="S435" i="2"/>
  <c r="R435" i="2"/>
  <c r="Q435" i="2"/>
  <c r="P435" i="2"/>
  <c r="O435" i="2"/>
  <c r="N435" i="2"/>
  <c r="M435" i="2"/>
  <c r="L435" i="2"/>
  <c r="K435" i="2"/>
  <c r="J435" i="2"/>
  <c r="I435" i="2"/>
  <c r="H435" i="2"/>
  <c r="G435" i="2"/>
  <c r="F435" i="2"/>
  <c r="E435" i="2"/>
  <c r="D435" i="2"/>
  <c r="C435" i="2"/>
  <c r="B435" i="2"/>
  <c r="A435" i="2"/>
  <c r="AJ434" i="2"/>
  <c r="AH434" i="2"/>
  <c r="AG434" i="2"/>
  <c r="AF434" i="2"/>
  <c r="AE434" i="2"/>
  <c r="AD434" i="2"/>
  <c r="AC434" i="2"/>
  <c r="AB434" i="2"/>
  <c r="AA434" i="2"/>
  <c r="Z434" i="2"/>
  <c r="Y434" i="2"/>
  <c r="X434" i="2"/>
  <c r="W434" i="2"/>
  <c r="V434" i="2"/>
  <c r="U434" i="2"/>
  <c r="T434" i="2"/>
  <c r="S434" i="2"/>
  <c r="R434" i="2"/>
  <c r="Q434" i="2"/>
  <c r="P434" i="2"/>
  <c r="O434" i="2"/>
  <c r="N434" i="2"/>
  <c r="M434" i="2"/>
  <c r="L434" i="2"/>
  <c r="K434" i="2"/>
  <c r="J434" i="2"/>
  <c r="I434" i="2"/>
  <c r="H434" i="2"/>
  <c r="G434" i="2"/>
  <c r="F434" i="2"/>
  <c r="E434" i="2"/>
  <c r="D434" i="2"/>
  <c r="C434" i="2"/>
  <c r="B434" i="2"/>
  <c r="A434" i="2"/>
  <c r="AJ433" i="2"/>
  <c r="AH433" i="2"/>
  <c r="AG433" i="2"/>
  <c r="AF433" i="2"/>
  <c r="AE433" i="2"/>
  <c r="AD433" i="2"/>
  <c r="AC433" i="2"/>
  <c r="AB433" i="2"/>
  <c r="AA433" i="2"/>
  <c r="Z433" i="2"/>
  <c r="Y433" i="2"/>
  <c r="X433" i="2"/>
  <c r="W433" i="2"/>
  <c r="V433" i="2"/>
  <c r="U433" i="2"/>
  <c r="T433" i="2"/>
  <c r="S433" i="2"/>
  <c r="R433" i="2"/>
  <c r="Q433" i="2"/>
  <c r="P433" i="2"/>
  <c r="O433" i="2"/>
  <c r="N433" i="2"/>
  <c r="M433" i="2"/>
  <c r="L433" i="2"/>
  <c r="K433" i="2"/>
  <c r="J433" i="2"/>
  <c r="I433" i="2"/>
  <c r="H433" i="2"/>
  <c r="G433" i="2"/>
  <c r="F433" i="2"/>
  <c r="E433" i="2"/>
  <c r="D433" i="2"/>
  <c r="C433" i="2"/>
  <c r="B433" i="2"/>
  <c r="A433" i="2"/>
  <c r="AJ432" i="2"/>
  <c r="AI432" i="2"/>
  <c r="AH432" i="2"/>
  <c r="AG432" i="2"/>
  <c r="AF432" i="2"/>
  <c r="AE432" i="2"/>
  <c r="AD432" i="2"/>
  <c r="AC432" i="2"/>
  <c r="AB432" i="2"/>
  <c r="AA432" i="2"/>
  <c r="Z432" i="2"/>
  <c r="Y432" i="2"/>
  <c r="X432" i="2"/>
  <c r="W432" i="2"/>
  <c r="V432" i="2"/>
  <c r="U432" i="2"/>
  <c r="T432" i="2"/>
  <c r="S432" i="2"/>
  <c r="Q432" i="2"/>
  <c r="P432" i="2"/>
  <c r="O432" i="2"/>
  <c r="N432" i="2"/>
  <c r="M432" i="2"/>
  <c r="L432" i="2"/>
  <c r="K432" i="2"/>
  <c r="J432" i="2"/>
  <c r="I432" i="2"/>
  <c r="H432" i="2"/>
  <c r="G432" i="2"/>
  <c r="F432" i="2"/>
  <c r="E432" i="2"/>
  <c r="D432" i="2"/>
  <c r="C432" i="2"/>
  <c r="B432" i="2"/>
  <c r="A432" i="2"/>
  <c r="AJ431" i="2"/>
  <c r="AH431" i="2"/>
  <c r="AG431" i="2"/>
  <c r="AF431" i="2"/>
  <c r="AE431" i="2"/>
  <c r="AD431" i="2"/>
  <c r="AC431" i="2"/>
  <c r="Z431" i="2"/>
  <c r="Y431" i="2"/>
  <c r="X431" i="2"/>
  <c r="W431" i="2"/>
  <c r="V431" i="2"/>
  <c r="U431" i="2"/>
  <c r="T431" i="2"/>
  <c r="S431" i="2"/>
  <c r="R431" i="2"/>
  <c r="Q431" i="2"/>
  <c r="P431" i="2"/>
  <c r="O431" i="2"/>
  <c r="N431" i="2"/>
  <c r="M431" i="2"/>
  <c r="L431" i="2"/>
  <c r="K431" i="2"/>
  <c r="J431" i="2"/>
  <c r="I431" i="2"/>
  <c r="H431" i="2"/>
  <c r="G431" i="2"/>
  <c r="F431" i="2"/>
  <c r="E431" i="2"/>
  <c r="D431" i="2"/>
  <c r="C431" i="2"/>
  <c r="B431" i="2"/>
  <c r="A431" i="2"/>
  <c r="AJ430" i="2"/>
  <c r="AI430" i="2"/>
  <c r="AH430" i="2"/>
  <c r="AG430" i="2"/>
  <c r="AF430" i="2"/>
  <c r="AE430" i="2"/>
  <c r="AD430" i="2"/>
  <c r="AC430" i="2"/>
  <c r="AB430" i="2"/>
  <c r="AA430" i="2"/>
  <c r="Z430" i="2"/>
  <c r="Y430" i="2"/>
  <c r="X430" i="2"/>
  <c r="W430" i="2"/>
  <c r="V430" i="2"/>
  <c r="U430" i="2"/>
  <c r="T430" i="2"/>
  <c r="S430" i="2"/>
  <c r="R430" i="2"/>
  <c r="Q430" i="2"/>
  <c r="P430" i="2"/>
  <c r="O430" i="2"/>
  <c r="N430" i="2"/>
  <c r="M430" i="2"/>
  <c r="L430" i="2"/>
  <c r="K430" i="2"/>
  <c r="J430" i="2"/>
  <c r="I430" i="2"/>
  <c r="H430" i="2"/>
  <c r="G430" i="2"/>
  <c r="F430" i="2"/>
  <c r="E430" i="2"/>
  <c r="D430" i="2"/>
  <c r="C430" i="2"/>
  <c r="B430" i="2"/>
  <c r="A430" i="2"/>
  <c r="AJ429" i="2"/>
  <c r="AH429" i="2"/>
  <c r="AG429" i="2"/>
  <c r="AF429" i="2"/>
  <c r="AE429" i="2"/>
  <c r="AD429" i="2"/>
  <c r="AB429" i="2"/>
  <c r="Z429" i="2"/>
  <c r="Y429" i="2"/>
  <c r="X429" i="2"/>
  <c r="W429" i="2"/>
  <c r="V429" i="2"/>
  <c r="U429" i="2"/>
  <c r="T429" i="2"/>
  <c r="S429" i="2"/>
  <c r="Q429" i="2"/>
  <c r="P429" i="2"/>
  <c r="O429" i="2"/>
  <c r="N429" i="2"/>
  <c r="M429" i="2"/>
  <c r="L429" i="2"/>
  <c r="K429" i="2"/>
  <c r="J429" i="2"/>
  <c r="I429" i="2"/>
  <c r="H429" i="2"/>
  <c r="G429" i="2"/>
  <c r="F429" i="2"/>
  <c r="E429" i="2"/>
  <c r="D429" i="2"/>
  <c r="C429" i="2"/>
  <c r="B429" i="2"/>
  <c r="A429" i="2"/>
  <c r="AJ428" i="2"/>
  <c r="AH428" i="2"/>
  <c r="AG428" i="2"/>
  <c r="AF428" i="2"/>
  <c r="AE428" i="2"/>
  <c r="AD428" i="2"/>
  <c r="AC428" i="2"/>
  <c r="AB428" i="2"/>
  <c r="Z428" i="2"/>
  <c r="Y428" i="2"/>
  <c r="X428" i="2"/>
  <c r="W428" i="2"/>
  <c r="V428" i="2"/>
  <c r="U428" i="2"/>
  <c r="T428" i="2"/>
  <c r="S428" i="2"/>
  <c r="R428" i="2"/>
  <c r="Q428" i="2"/>
  <c r="P428" i="2"/>
  <c r="O428" i="2"/>
  <c r="N428" i="2"/>
  <c r="M428" i="2"/>
  <c r="L428" i="2"/>
  <c r="K428" i="2"/>
  <c r="J428" i="2"/>
  <c r="I428" i="2"/>
  <c r="H428" i="2"/>
  <c r="G428" i="2"/>
  <c r="F428" i="2"/>
  <c r="E428" i="2"/>
  <c r="D428" i="2"/>
  <c r="C428" i="2"/>
  <c r="B428" i="2"/>
  <c r="A428" i="2"/>
  <c r="AJ427" i="2"/>
  <c r="AG427" i="2"/>
  <c r="AF427" i="2"/>
  <c r="AE427" i="2"/>
  <c r="AD427" i="2"/>
  <c r="AB427" i="2"/>
  <c r="Z427" i="2"/>
  <c r="Y427" i="2"/>
  <c r="X427" i="2"/>
  <c r="W427" i="2"/>
  <c r="V427" i="2"/>
  <c r="U427" i="2"/>
  <c r="T427" i="2"/>
  <c r="S427" i="2"/>
  <c r="R427" i="2"/>
  <c r="Q427" i="2"/>
  <c r="P427" i="2"/>
  <c r="O427" i="2"/>
  <c r="N427" i="2"/>
  <c r="M427" i="2"/>
  <c r="L427" i="2"/>
  <c r="K427" i="2"/>
  <c r="J427" i="2"/>
  <c r="I427" i="2"/>
  <c r="H427" i="2"/>
  <c r="G427" i="2"/>
  <c r="F427" i="2"/>
  <c r="E427" i="2"/>
  <c r="D427" i="2"/>
  <c r="C427" i="2"/>
  <c r="B427" i="2"/>
  <c r="A427" i="2"/>
  <c r="AJ426" i="2"/>
  <c r="AH426" i="2"/>
  <c r="AG426" i="2"/>
  <c r="AF426" i="2"/>
  <c r="AE426" i="2"/>
  <c r="AD426" i="2"/>
  <c r="AC426" i="2"/>
  <c r="AB426" i="2"/>
  <c r="AA426" i="2"/>
  <c r="Z426" i="2"/>
  <c r="Y426" i="2"/>
  <c r="X426" i="2"/>
  <c r="W426" i="2"/>
  <c r="T426" i="2"/>
  <c r="S426" i="2"/>
  <c r="R426" i="2"/>
  <c r="Q426" i="2"/>
  <c r="P426" i="2"/>
  <c r="O426" i="2"/>
  <c r="N426" i="2"/>
  <c r="M426" i="2"/>
  <c r="L426" i="2"/>
  <c r="K426" i="2"/>
  <c r="J426" i="2"/>
  <c r="I426" i="2"/>
  <c r="H426" i="2"/>
  <c r="G426" i="2"/>
  <c r="F426" i="2"/>
  <c r="E426" i="2"/>
  <c r="D426" i="2"/>
  <c r="C426" i="2"/>
  <c r="B426" i="2"/>
  <c r="A426" i="2"/>
  <c r="AJ425" i="2"/>
  <c r="AI425" i="2"/>
  <c r="AH425" i="2"/>
  <c r="AG425" i="2"/>
  <c r="AF425" i="2"/>
  <c r="AE425" i="2"/>
  <c r="AD425" i="2"/>
  <c r="AC425" i="2"/>
  <c r="AB425" i="2"/>
  <c r="AA425" i="2"/>
  <c r="Z425" i="2"/>
  <c r="Y425" i="2"/>
  <c r="X425" i="2"/>
  <c r="W425" i="2"/>
  <c r="V425" i="2"/>
  <c r="U425" i="2"/>
  <c r="T425" i="2"/>
  <c r="S425" i="2"/>
  <c r="Q425" i="2"/>
  <c r="P425" i="2"/>
  <c r="O425" i="2"/>
  <c r="N425" i="2"/>
  <c r="M425" i="2"/>
  <c r="L425" i="2"/>
  <c r="K425" i="2"/>
  <c r="J425" i="2"/>
  <c r="I425" i="2"/>
  <c r="H425" i="2"/>
  <c r="G425" i="2"/>
  <c r="F425" i="2"/>
  <c r="E425" i="2"/>
  <c r="D425" i="2"/>
  <c r="C425" i="2"/>
  <c r="B425" i="2"/>
  <c r="A425" i="2"/>
  <c r="AJ424" i="2"/>
  <c r="AH424" i="2"/>
  <c r="AG424" i="2"/>
  <c r="AF424" i="2"/>
  <c r="AE424" i="2"/>
  <c r="AD424" i="2"/>
  <c r="AC424" i="2"/>
  <c r="Z424" i="2"/>
  <c r="Y424" i="2"/>
  <c r="X424" i="2"/>
  <c r="W424" i="2"/>
  <c r="V424" i="2"/>
  <c r="U424" i="2"/>
  <c r="T424" i="2"/>
  <c r="S424" i="2"/>
  <c r="R424" i="2"/>
  <c r="Q424" i="2"/>
  <c r="P424" i="2"/>
  <c r="O424" i="2"/>
  <c r="N424" i="2"/>
  <c r="M424" i="2"/>
  <c r="L424" i="2"/>
  <c r="K424" i="2"/>
  <c r="J424" i="2"/>
  <c r="I424" i="2"/>
  <c r="H424" i="2"/>
  <c r="G424" i="2"/>
  <c r="F424" i="2"/>
  <c r="E424" i="2"/>
  <c r="D424" i="2"/>
  <c r="C424" i="2"/>
  <c r="B424" i="2"/>
  <c r="A424" i="2"/>
  <c r="AJ423" i="2"/>
  <c r="AH423" i="2"/>
  <c r="AG423" i="2"/>
  <c r="AF423" i="2"/>
  <c r="AE423" i="2"/>
  <c r="AD423" i="2"/>
  <c r="AC423" i="2"/>
  <c r="AB423" i="2"/>
  <c r="AA423" i="2"/>
  <c r="Z423" i="2"/>
  <c r="Y423" i="2"/>
  <c r="X423" i="2"/>
  <c r="W423" i="2"/>
  <c r="V423" i="2"/>
  <c r="U423" i="2"/>
  <c r="T423" i="2"/>
  <c r="S423" i="2"/>
  <c r="R423" i="2"/>
  <c r="Q423" i="2"/>
  <c r="P423" i="2"/>
  <c r="O423" i="2"/>
  <c r="N423" i="2"/>
  <c r="M423" i="2"/>
  <c r="L423" i="2"/>
  <c r="K423" i="2"/>
  <c r="J423" i="2"/>
  <c r="I423" i="2"/>
  <c r="H423" i="2"/>
  <c r="G423" i="2"/>
  <c r="F423" i="2"/>
  <c r="E423" i="2"/>
  <c r="D423" i="2"/>
  <c r="C423" i="2"/>
  <c r="B423" i="2"/>
  <c r="A423" i="2"/>
  <c r="AJ422" i="2"/>
  <c r="AI422" i="2"/>
  <c r="AH422" i="2"/>
  <c r="AF422" i="2"/>
  <c r="AE422" i="2"/>
  <c r="AD422" i="2"/>
  <c r="AC422" i="2"/>
  <c r="AB422" i="2"/>
  <c r="AA422" i="2"/>
  <c r="Z422" i="2"/>
  <c r="Y422" i="2"/>
  <c r="X422" i="2"/>
  <c r="W422" i="2"/>
  <c r="V422" i="2"/>
  <c r="U422" i="2"/>
  <c r="T422" i="2"/>
  <c r="S422" i="2"/>
  <c r="R422" i="2"/>
  <c r="Q422" i="2"/>
  <c r="P422" i="2"/>
  <c r="O422" i="2"/>
  <c r="N422" i="2"/>
  <c r="M422" i="2"/>
  <c r="L422" i="2"/>
  <c r="K422" i="2"/>
  <c r="J422" i="2"/>
  <c r="I422" i="2"/>
  <c r="H422" i="2"/>
  <c r="G422" i="2"/>
  <c r="F422" i="2"/>
  <c r="E422" i="2"/>
  <c r="D422" i="2"/>
  <c r="C422" i="2"/>
  <c r="B422" i="2"/>
  <c r="A422" i="2"/>
  <c r="AJ421" i="2"/>
  <c r="AH421" i="2"/>
  <c r="AG421" i="2"/>
  <c r="AF421" i="2"/>
  <c r="AE421" i="2"/>
  <c r="AD421" i="2"/>
  <c r="AC421" i="2"/>
  <c r="Z421" i="2"/>
  <c r="Y421" i="2"/>
  <c r="X421" i="2"/>
  <c r="W421" i="2"/>
  <c r="V421" i="2"/>
  <c r="U421" i="2"/>
  <c r="T421" i="2"/>
  <c r="S421" i="2"/>
  <c r="R421" i="2"/>
  <c r="Q421" i="2"/>
  <c r="P421" i="2"/>
  <c r="O421" i="2"/>
  <c r="N421" i="2"/>
  <c r="M421" i="2"/>
  <c r="L421" i="2"/>
  <c r="K421" i="2"/>
  <c r="J421" i="2"/>
  <c r="I421" i="2"/>
  <c r="H421" i="2"/>
  <c r="G421" i="2"/>
  <c r="F421" i="2"/>
  <c r="E421" i="2"/>
  <c r="D421" i="2"/>
  <c r="C421" i="2"/>
  <c r="B421" i="2"/>
  <c r="A421" i="2"/>
  <c r="AJ420" i="2"/>
  <c r="AH420" i="2"/>
  <c r="AG420" i="2"/>
  <c r="AF420" i="2"/>
  <c r="AE420" i="2"/>
  <c r="AD420" i="2"/>
  <c r="AC420" i="2"/>
  <c r="AB420" i="2"/>
  <c r="AA420" i="2"/>
  <c r="Z420" i="2"/>
  <c r="Y420" i="2"/>
  <c r="X420" i="2"/>
  <c r="W420" i="2"/>
  <c r="V420" i="2"/>
  <c r="U420" i="2"/>
  <c r="T420" i="2"/>
  <c r="S420" i="2"/>
  <c r="R420" i="2"/>
  <c r="Q420" i="2"/>
  <c r="P420" i="2"/>
  <c r="O420" i="2"/>
  <c r="N420" i="2"/>
  <c r="M420" i="2"/>
  <c r="L420" i="2"/>
  <c r="K420" i="2"/>
  <c r="J420" i="2"/>
  <c r="I420" i="2"/>
  <c r="H420" i="2"/>
  <c r="G420" i="2"/>
  <c r="F420" i="2"/>
  <c r="E420" i="2"/>
  <c r="D420" i="2"/>
  <c r="C420" i="2"/>
  <c r="B420" i="2"/>
  <c r="A420" i="2"/>
  <c r="AJ419" i="2"/>
  <c r="AI419" i="2"/>
  <c r="AH419" i="2"/>
  <c r="AG419" i="2"/>
  <c r="AF419" i="2"/>
  <c r="AE419" i="2"/>
  <c r="AD419" i="2"/>
  <c r="AC419" i="2"/>
  <c r="AB419" i="2"/>
  <c r="AA419" i="2"/>
  <c r="Z419" i="2"/>
  <c r="Y419" i="2"/>
  <c r="X419" i="2"/>
  <c r="W419" i="2"/>
  <c r="V419" i="2"/>
  <c r="U419" i="2"/>
  <c r="T419" i="2"/>
  <c r="S419" i="2"/>
  <c r="Q419" i="2"/>
  <c r="P419" i="2"/>
  <c r="O419" i="2"/>
  <c r="N419" i="2"/>
  <c r="M419" i="2"/>
  <c r="L419" i="2"/>
  <c r="K419" i="2"/>
  <c r="J419" i="2"/>
  <c r="I419" i="2"/>
  <c r="H419" i="2"/>
  <c r="G419" i="2"/>
  <c r="F419" i="2"/>
  <c r="E419" i="2"/>
  <c r="D419" i="2"/>
  <c r="C419" i="2"/>
  <c r="B419" i="2"/>
  <c r="A419" i="2"/>
  <c r="AJ418" i="2"/>
  <c r="AI418" i="2"/>
  <c r="AH418" i="2"/>
  <c r="AG418" i="2"/>
  <c r="AF418" i="2"/>
  <c r="AE418" i="2"/>
  <c r="AD418" i="2"/>
  <c r="AC418" i="2"/>
  <c r="AB418" i="2"/>
  <c r="AA418" i="2"/>
  <c r="Z418" i="2"/>
  <c r="Y418" i="2"/>
  <c r="X418" i="2"/>
  <c r="W418" i="2"/>
  <c r="V418" i="2"/>
  <c r="U418" i="2"/>
  <c r="T418" i="2"/>
  <c r="S418" i="2"/>
  <c r="R418" i="2"/>
  <c r="Q418" i="2"/>
  <c r="P418" i="2"/>
  <c r="O418" i="2"/>
  <c r="N418" i="2"/>
  <c r="M418" i="2"/>
  <c r="L418" i="2"/>
  <c r="K418" i="2"/>
  <c r="J418" i="2"/>
  <c r="I418" i="2"/>
  <c r="H418" i="2"/>
  <c r="G418" i="2"/>
  <c r="F418" i="2"/>
  <c r="E418" i="2"/>
  <c r="D418" i="2"/>
  <c r="C418" i="2"/>
  <c r="B418" i="2"/>
  <c r="A418" i="2"/>
  <c r="AJ417" i="2"/>
  <c r="AI417" i="2"/>
  <c r="AH417" i="2"/>
  <c r="AF417" i="2"/>
  <c r="AE417" i="2"/>
  <c r="AD417" i="2"/>
  <c r="AC417" i="2"/>
  <c r="AB417" i="2"/>
  <c r="AA417" i="2"/>
  <c r="Z417" i="2"/>
  <c r="Y417" i="2"/>
  <c r="X417" i="2"/>
  <c r="W417" i="2"/>
  <c r="V417" i="2"/>
  <c r="U417" i="2"/>
  <c r="T417" i="2"/>
  <c r="S417" i="2"/>
  <c r="R417" i="2"/>
  <c r="Q417" i="2"/>
  <c r="P417" i="2"/>
  <c r="O417" i="2"/>
  <c r="N417" i="2"/>
  <c r="M417" i="2"/>
  <c r="L417" i="2"/>
  <c r="K417" i="2"/>
  <c r="J417" i="2"/>
  <c r="I417" i="2"/>
  <c r="H417" i="2"/>
  <c r="G417" i="2"/>
  <c r="F417" i="2"/>
  <c r="E417" i="2"/>
  <c r="D417" i="2"/>
  <c r="C417" i="2"/>
  <c r="B417" i="2"/>
  <c r="A417" i="2"/>
  <c r="AJ416" i="2"/>
  <c r="AI416" i="2"/>
  <c r="AH416" i="2"/>
  <c r="AG416" i="2"/>
  <c r="AF416" i="2"/>
  <c r="AE416" i="2"/>
  <c r="AD416" i="2"/>
  <c r="AC416" i="2"/>
  <c r="AB416" i="2"/>
  <c r="AA416" i="2"/>
  <c r="Z416" i="2"/>
  <c r="Y416" i="2"/>
  <c r="X416" i="2"/>
  <c r="W416" i="2"/>
  <c r="V416" i="2"/>
  <c r="U416" i="2"/>
  <c r="T416" i="2"/>
  <c r="S416" i="2"/>
  <c r="R416" i="2"/>
  <c r="Q416" i="2"/>
  <c r="P416" i="2"/>
  <c r="O416" i="2"/>
  <c r="N416" i="2"/>
  <c r="M416" i="2"/>
  <c r="K416" i="2"/>
  <c r="J416" i="2"/>
  <c r="I416" i="2"/>
  <c r="H416" i="2"/>
  <c r="G416" i="2"/>
  <c r="F416" i="2"/>
  <c r="E416" i="2"/>
  <c r="D416" i="2"/>
  <c r="C416" i="2"/>
  <c r="B416" i="2"/>
  <c r="A416" i="2"/>
  <c r="AJ415" i="2"/>
  <c r="AI415" i="2"/>
  <c r="AH415" i="2"/>
  <c r="AG415" i="2"/>
  <c r="AF415" i="2"/>
  <c r="AE415" i="2"/>
  <c r="AD415" i="2"/>
  <c r="AC415" i="2"/>
  <c r="AB415" i="2"/>
  <c r="AA415" i="2"/>
  <c r="Z415" i="2"/>
  <c r="Y415" i="2"/>
  <c r="X415" i="2"/>
  <c r="W415" i="2"/>
  <c r="V415" i="2"/>
  <c r="U415" i="2"/>
  <c r="T415" i="2"/>
  <c r="S415" i="2"/>
  <c r="R415" i="2"/>
  <c r="Q415" i="2"/>
  <c r="P415" i="2"/>
  <c r="O415" i="2"/>
  <c r="N415" i="2"/>
  <c r="M415" i="2"/>
  <c r="L415" i="2"/>
  <c r="K415" i="2"/>
  <c r="J415" i="2"/>
  <c r="I415" i="2"/>
  <c r="H415" i="2"/>
  <c r="G415" i="2"/>
  <c r="F415" i="2"/>
  <c r="E415" i="2"/>
  <c r="D415" i="2"/>
  <c r="C415" i="2"/>
  <c r="B415" i="2"/>
  <c r="A415" i="2"/>
  <c r="AJ414" i="2"/>
  <c r="AH414" i="2"/>
  <c r="AF414" i="2"/>
  <c r="AE414" i="2"/>
  <c r="AD414" i="2"/>
  <c r="AC414" i="2"/>
  <c r="AB414" i="2"/>
  <c r="Z414" i="2"/>
  <c r="Y414" i="2"/>
  <c r="X414" i="2"/>
  <c r="W414" i="2"/>
  <c r="V414" i="2"/>
  <c r="U414" i="2"/>
  <c r="T414" i="2"/>
  <c r="S414" i="2"/>
  <c r="R414" i="2"/>
  <c r="Q414" i="2"/>
  <c r="P414" i="2"/>
  <c r="O414" i="2"/>
  <c r="N414" i="2"/>
  <c r="M414" i="2"/>
  <c r="L414" i="2"/>
  <c r="K414" i="2"/>
  <c r="J414" i="2"/>
  <c r="I414" i="2"/>
  <c r="H414" i="2"/>
  <c r="G414" i="2"/>
  <c r="F414" i="2"/>
  <c r="E414" i="2"/>
  <c r="D414" i="2"/>
  <c r="C414" i="2"/>
  <c r="B414" i="2"/>
  <c r="A414" i="2"/>
  <c r="AJ413" i="2"/>
  <c r="AH413" i="2"/>
  <c r="AF413" i="2"/>
  <c r="AE413" i="2"/>
  <c r="AD413" i="2"/>
  <c r="AC413" i="2"/>
  <c r="AB413" i="2"/>
  <c r="Z413" i="2"/>
  <c r="Y413" i="2"/>
  <c r="X413" i="2"/>
  <c r="W413" i="2"/>
  <c r="V413" i="2"/>
  <c r="U413" i="2"/>
  <c r="T413" i="2"/>
  <c r="S413" i="2"/>
  <c r="R413" i="2"/>
  <c r="Q413" i="2"/>
  <c r="P413" i="2"/>
  <c r="O413" i="2"/>
  <c r="N413" i="2"/>
  <c r="M413" i="2"/>
  <c r="L413" i="2"/>
  <c r="K413" i="2"/>
  <c r="J413" i="2"/>
  <c r="I413" i="2"/>
  <c r="H413" i="2"/>
  <c r="G413" i="2"/>
  <c r="F413" i="2"/>
  <c r="E413" i="2"/>
  <c r="D413" i="2"/>
  <c r="C413" i="2"/>
  <c r="B413" i="2"/>
  <c r="A413" i="2"/>
  <c r="AJ412" i="2"/>
  <c r="AG412" i="2"/>
  <c r="AF412" i="2"/>
  <c r="AE412" i="2"/>
  <c r="AD412" i="2"/>
  <c r="AC412" i="2"/>
  <c r="AB412" i="2"/>
  <c r="Z412" i="2"/>
  <c r="Y412" i="2"/>
  <c r="X412" i="2"/>
  <c r="W412" i="2"/>
  <c r="V412" i="2"/>
  <c r="U412" i="2"/>
  <c r="T412" i="2"/>
  <c r="S412" i="2"/>
  <c r="R412" i="2"/>
  <c r="Q412" i="2"/>
  <c r="P412" i="2"/>
  <c r="O412" i="2"/>
  <c r="N412" i="2"/>
  <c r="M412" i="2"/>
  <c r="L412" i="2"/>
  <c r="K412" i="2"/>
  <c r="J412" i="2"/>
  <c r="I412" i="2"/>
  <c r="H412" i="2"/>
  <c r="G412" i="2"/>
  <c r="F412" i="2"/>
  <c r="E412" i="2"/>
  <c r="D412" i="2"/>
  <c r="C412" i="2"/>
  <c r="B412" i="2"/>
  <c r="A412" i="2"/>
  <c r="AJ411" i="2"/>
  <c r="AH411" i="2"/>
  <c r="AG411" i="2"/>
  <c r="AF411" i="2"/>
  <c r="AE411" i="2"/>
  <c r="AC411" i="2"/>
  <c r="AB411" i="2"/>
  <c r="AA411" i="2"/>
  <c r="Z411" i="2"/>
  <c r="Y411" i="2"/>
  <c r="X411" i="2"/>
  <c r="W411" i="2"/>
  <c r="V411" i="2"/>
  <c r="U411" i="2"/>
  <c r="T411" i="2"/>
  <c r="S411" i="2"/>
  <c r="R411" i="2"/>
  <c r="Q411" i="2"/>
  <c r="P411" i="2"/>
  <c r="O411" i="2"/>
  <c r="N411" i="2"/>
  <c r="M411" i="2"/>
  <c r="L411" i="2"/>
  <c r="K411" i="2"/>
  <c r="J411" i="2"/>
  <c r="I411" i="2"/>
  <c r="H411" i="2"/>
  <c r="G411" i="2"/>
  <c r="F411" i="2"/>
  <c r="E411" i="2"/>
  <c r="D411" i="2"/>
  <c r="C411" i="2"/>
  <c r="B411" i="2"/>
  <c r="A411" i="2"/>
  <c r="AJ410" i="2"/>
  <c r="AH410" i="2"/>
  <c r="AG410" i="2"/>
  <c r="AF410" i="2"/>
  <c r="AE410" i="2"/>
  <c r="AD410" i="2"/>
  <c r="Z410" i="2"/>
  <c r="Y410" i="2"/>
  <c r="X410" i="2"/>
  <c r="W410" i="2"/>
  <c r="V410" i="2"/>
  <c r="U410" i="2"/>
  <c r="T410" i="2"/>
  <c r="S410" i="2"/>
  <c r="R410" i="2"/>
  <c r="Q410" i="2"/>
  <c r="P410" i="2"/>
  <c r="O410" i="2"/>
  <c r="N410" i="2"/>
  <c r="M410" i="2"/>
  <c r="L410" i="2"/>
  <c r="K410" i="2"/>
  <c r="J410" i="2"/>
  <c r="I410" i="2"/>
  <c r="H410" i="2"/>
  <c r="G410" i="2"/>
  <c r="F410" i="2"/>
  <c r="E410" i="2"/>
  <c r="D410" i="2"/>
  <c r="C410" i="2"/>
  <c r="B410" i="2"/>
  <c r="A410" i="2"/>
  <c r="AJ409" i="2"/>
  <c r="AG409" i="2"/>
  <c r="AF409" i="2"/>
  <c r="AE409" i="2"/>
  <c r="AD409" i="2"/>
  <c r="AB409" i="2"/>
  <c r="Z409" i="2"/>
  <c r="Y409" i="2"/>
  <c r="X409" i="2"/>
  <c r="W409" i="2"/>
  <c r="V409" i="2"/>
  <c r="U409" i="2"/>
  <c r="T409" i="2"/>
  <c r="S409" i="2"/>
  <c r="R409" i="2"/>
  <c r="Q409" i="2"/>
  <c r="P409" i="2"/>
  <c r="O409" i="2"/>
  <c r="N409" i="2"/>
  <c r="M409" i="2"/>
  <c r="L409" i="2"/>
  <c r="K409" i="2"/>
  <c r="J409" i="2"/>
  <c r="I409" i="2"/>
  <c r="H409" i="2"/>
  <c r="G409" i="2"/>
  <c r="F409" i="2"/>
  <c r="E409" i="2"/>
  <c r="D409" i="2"/>
  <c r="C409" i="2"/>
  <c r="B409" i="2"/>
  <c r="A409" i="2"/>
  <c r="AJ408" i="2"/>
  <c r="AI408" i="2"/>
  <c r="AH408" i="2"/>
  <c r="AG408" i="2"/>
  <c r="AF408" i="2"/>
  <c r="AE408" i="2"/>
  <c r="AD408" i="2"/>
  <c r="AC408" i="2"/>
  <c r="AB408" i="2"/>
  <c r="AA408" i="2"/>
  <c r="Z408" i="2"/>
  <c r="Y408" i="2"/>
  <c r="X408" i="2"/>
  <c r="W408" i="2"/>
  <c r="V408" i="2"/>
  <c r="U408" i="2"/>
  <c r="T408" i="2"/>
  <c r="S408" i="2"/>
  <c r="R408" i="2"/>
  <c r="Q408" i="2"/>
  <c r="P408" i="2"/>
  <c r="O408" i="2"/>
  <c r="N408" i="2"/>
  <c r="M408" i="2"/>
  <c r="L408" i="2"/>
  <c r="K408" i="2"/>
  <c r="J408" i="2"/>
  <c r="I408" i="2"/>
  <c r="H408" i="2"/>
  <c r="G408" i="2"/>
  <c r="F408" i="2"/>
  <c r="E408" i="2"/>
  <c r="D408" i="2"/>
  <c r="C408" i="2"/>
  <c r="B408" i="2"/>
  <c r="A408" i="2"/>
  <c r="AJ407" i="2"/>
  <c r="AI407" i="2"/>
  <c r="AH407" i="2"/>
  <c r="AG407" i="2"/>
  <c r="AF407" i="2"/>
  <c r="AE407" i="2"/>
  <c r="AD407" i="2"/>
  <c r="AC407" i="2"/>
  <c r="AB407" i="2"/>
  <c r="AA407" i="2"/>
  <c r="Z407" i="2"/>
  <c r="Y407" i="2"/>
  <c r="X407" i="2"/>
  <c r="W407" i="2"/>
  <c r="V407" i="2"/>
  <c r="U407" i="2"/>
  <c r="T407" i="2"/>
  <c r="S407" i="2"/>
  <c r="R407" i="2"/>
  <c r="Q407" i="2"/>
  <c r="P407" i="2"/>
  <c r="O407" i="2"/>
  <c r="N407" i="2"/>
  <c r="M407" i="2"/>
  <c r="L407" i="2"/>
  <c r="K407" i="2"/>
  <c r="J407" i="2"/>
  <c r="I407" i="2"/>
  <c r="H407" i="2"/>
  <c r="G407" i="2"/>
  <c r="F407" i="2"/>
  <c r="E407" i="2"/>
  <c r="D407" i="2"/>
  <c r="C407" i="2"/>
  <c r="B407" i="2"/>
  <c r="A407" i="2"/>
  <c r="AJ406" i="2"/>
  <c r="AI406" i="2"/>
  <c r="AH406" i="2"/>
  <c r="AG406" i="2"/>
  <c r="AF406" i="2"/>
  <c r="AE406" i="2"/>
  <c r="AD406" i="2"/>
  <c r="AC406" i="2"/>
  <c r="AB406" i="2"/>
  <c r="AA406" i="2"/>
  <c r="Z406" i="2"/>
  <c r="Y406" i="2"/>
  <c r="X406" i="2"/>
  <c r="W406" i="2"/>
  <c r="V406" i="2"/>
  <c r="U406" i="2"/>
  <c r="T406" i="2"/>
  <c r="S406" i="2"/>
  <c r="R406" i="2"/>
  <c r="Q406" i="2"/>
  <c r="P406" i="2"/>
  <c r="O406" i="2"/>
  <c r="N406" i="2"/>
  <c r="M406" i="2"/>
  <c r="L406" i="2"/>
  <c r="K406" i="2"/>
  <c r="J406" i="2"/>
  <c r="I406" i="2"/>
  <c r="H406" i="2"/>
  <c r="G406" i="2"/>
  <c r="F406" i="2"/>
  <c r="E406" i="2"/>
  <c r="D406" i="2"/>
  <c r="C406" i="2"/>
  <c r="B406" i="2"/>
  <c r="A406" i="2"/>
  <c r="AJ405" i="2"/>
  <c r="AG405" i="2"/>
  <c r="AF405" i="2"/>
  <c r="AE405" i="2"/>
  <c r="AD405" i="2"/>
  <c r="AC405" i="2"/>
  <c r="AB405" i="2"/>
  <c r="Z405" i="2"/>
  <c r="Y405" i="2"/>
  <c r="X405" i="2"/>
  <c r="W405" i="2"/>
  <c r="V405" i="2"/>
  <c r="U405" i="2"/>
  <c r="T405" i="2"/>
  <c r="S405" i="2"/>
  <c r="R405" i="2"/>
  <c r="Q405" i="2"/>
  <c r="P405" i="2"/>
  <c r="O405" i="2"/>
  <c r="N405" i="2"/>
  <c r="M405" i="2"/>
  <c r="L405" i="2"/>
  <c r="K405" i="2"/>
  <c r="J405" i="2"/>
  <c r="I405" i="2"/>
  <c r="H405" i="2"/>
  <c r="G405" i="2"/>
  <c r="F405" i="2"/>
  <c r="E405" i="2"/>
  <c r="D405" i="2"/>
  <c r="C405" i="2"/>
  <c r="B405" i="2"/>
  <c r="A405" i="2"/>
  <c r="AJ404" i="2"/>
  <c r="AI404" i="2"/>
  <c r="AH404" i="2"/>
  <c r="AG404" i="2"/>
  <c r="AF404" i="2"/>
  <c r="AE404" i="2"/>
  <c r="AD404" i="2"/>
  <c r="AC404" i="2"/>
  <c r="AB404" i="2"/>
  <c r="AA404" i="2"/>
  <c r="Z404" i="2"/>
  <c r="Y404" i="2"/>
  <c r="X404" i="2"/>
  <c r="W404" i="2"/>
  <c r="V404" i="2"/>
  <c r="U404" i="2"/>
  <c r="T404" i="2"/>
  <c r="S404" i="2"/>
  <c r="R404" i="2"/>
  <c r="Q404" i="2"/>
  <c r="P404" i="2"/>
  <c r="O404" i="2"/>
  <c r="N404" i="2"/>
  <c r="M404" i="2"/>
  <c r="L404" i="2"/>
  <c r="K404" i="2"/>
  <c r="J404" i="2"/>
  <c r="I404" i="2"/>
  <c r="H404" i="2"/>
  <c r="G404" i="2"/>
  <c r="F404" i="2"/>
  <c r="E404" i="2"/>
  <c r="D404" i="2"/>
  <c r="C404" i="2"/>
  <c r="B404" i="2"/>
  <c r="A404" i="2"/>
  <c r="AJ403" i="2"/>
  <c r="AI403" i="2"/>
  <c r="AH403" i="2"/>
  <c r="AG403" i="2"/>
  <c r="AF403" i="2"/>
  <c r="AE403" i="2"/>
  <c r="AD403" i="2"/>
  <c r="AC403" i="2"/>
  <c r="AB403" i="2"/>
  <c r="AA403" i="2"/>
  <c r="Z403" i="2"/>
  <c r="Y403" i="2"/>
  <c r="X403" i="2"/>
  <c r="W403" i="2"/>
  <c r="V403" i="2"/>
  <c r="U403" i="2"/>
  <c r="T403" i="2"/>
  <c r="S403" i="2"/>
  <c r="R403" i="2"/>
  <c r="Q403" i="2"/>
  <c r="P403" i="2"/>
  <c r="O403" i="2"/>
  <c r="N403" i="2"/>
  <c r="M403" i="2"/>
  <c r="L403" i="2"/>
  <c r="K403" i="2"/>
  <c r="J403" i="2"/>
  <c r="I403" i="2"/>
  <c r="H403" i="2"/>
  <c r="G403" i="2"/>
  <c r="F403" i="2"/>
  <c r="E403" i="2"/>
  <c r="D403" i="2"/>
  <c r="C403" i="2"/>
  <c r="B403" i="2"/>
  <c r="A403" i="2"/>
  <c r="AJ402" i="2"/>
  <c r="AH402" i="2"/>
  <c r="AG402" i="2"/>
  <c r="AF402" i="2"/>
  <c r="AE402" i="2"/>
  <c r="AD402" i="2"/>
  <c r="AC402" i="2"/>
  <c r="Z402" i="2"/>
  <c r="Y402" i="2"/>
  <c r="X402" i="2"/>
  <c r="W402" i="2"/>
  <c r="V402" i="2"/>
  <c r="U402" i="2"/>
  <c r="T402" i="2"/>
  <c r="S402" i="2"/>
  <c r="R402" i="2"/>
  <c r="Q402" i="2"/>
  <c r="P402" i="2"/>
  <c r="O402" i="2"/>
  <c r="N402" i="2"/>
  <c r="M402" i="2"/>
  <c r="L402" i="2"/>
  <c r="K402" i="2"/>
  <c r="J402" i="2"/>
  <c r="I402" i="2"/>
  <c r="H402" i="2"/>
  <c r="G402" i="2"/>
  <c r="F402" i="2"/>
  <c r="E402" i="2"/>
  <c r="D402" i="2"/>
  <c r="C402" i="2"/>
  <c r="B402" i="2"/>
  <c r="A402" i="2"/>
  <c r="AJ401" i="2"/>
  <c r="AI401" i="2"/>
  <c r="AH401" i="2"/>
  <c r="AG401" i="2"/>
  <c r="AF401" i="2"/>
  <c r="AE401" i="2"/>
  <c r="AD401" i="2"/>
  <c r="AC401" i="2"/>
  <c r="AB401" i="2"/>
  <c r="AA401" i="2"/>
  <c r="Z401" i="2"/>
  <c r="Y401" i="2"/>
  <c r="X401" i="2"/>
  <c r="W401" i="2"/>
  <c r="V401" i="2"/>
  <c r="U401" i="2"/>
  <c r="T401" i="2"/>
  <c r="S401" i="2"/>
  <c r="R401" i="2"/>
  <c r="Q401" i="2"/>
  <c r="P401" i="2"/>
  <c r="O401" i="2"/>
  <c r="N401" i="2"/>
  <c r="M401" i="2"/>
  <c r="L401" i="2"/>
  <c r="K401" i="2"/>
  <c r="J401" i="2"/>
  <c r="I401" i="2"/>
  <c r="H401" i="2"/>
  <c r="G401" i="2"/>
  <c r="F401" i="2"/>
  <c r="E401" i="2"/>
  <c r="D401" i="2"/>
  <c r="C401" i="2"/>
  <c r="B401" i="2"/>
  <c r="A401" i="2"/>
  <c r="AJ400" i="2"/>
  <c r="AI400" i="2"/>
  <c r="AH400" i="2"/>
  <c r="AG400" i="2"/>
  <c r="AF400" i="2"/>
  <c r="AE400" i="2"/>
  <c r="AD400" i="2"/>
  <c r="AC400" i="2"/>
  <c r="AB400" i="2"/>
  <c r="AA400" i="2"/>
  <c r="Z400" i="2"/>
  <c r="Y400" i="2"/>
  <c r="X400" i="2"/>
  <c r="W400" i="2"/>
  <c r="V400" i="2"/>
  <c r="U400" i="2"/>
  <c r="T400" i="2"/>
  <c r="S400" i="2"/>
  <c r="R400" i="2"/>
  <c r="Q400" i="2"/>
  <c r="P400" i="2"/>
  <c r="O400" i="2"/>
  <c r="N400" i="2"/>
  <c r="M400" i="2"/>
  <c r="L400" i="2"/>
  <c r="K400" i="2"/>
  <c r="J400" i="2"/>
  <c r="I400" i="2"/>
  <c r="H400" i="2"/>
  <c r="G400" i="2"/>
  <c r="F400" i="2"/>
  <c r="E400" i="2"/>
  <c r="D400" i="2"/>
  <c r="C400" i="2"/>
  <c r="B400" i="2"/>
  <c r="A400" i="2"/>
  <c r="AJ399" i="2"/>
  <c r="AH399" i="2"/>
  <c r="AG399" i="2"/>
  <c r="AF399" i="2"/>
  <c r="AE399" i="2"/>
  <c r="AD399" i="2"/>
  <c r="AC399" i="2"/>
  <c r="AB399" i="2"/>
  <c r="AA399" i="2"/>
  <c r="Z399" i="2"/>
  <c r="Y399" i="2"/>
  <c r="X399" i="2"/>
  <c r="W399" i="2"/>
  <c r="V399" i="2"/>
  <c r="U399" i="2"/>
  <c r="T399" i="2"/>
  <c r="S399" i="2"/>
  <c r="R399" i="2"/>
  <c r="Q399" i="2"/>
  <c r="P399" i="2"/>
  <c r="O399" i="2"/>
  <c r="N399" i="2"/>
  <c r="M399" i="2"/>
  <c r="L399" i="2"/>
  <c r="K399" i="2"/>
  <c r="J399" i="2"/>
  <c r="I399" i="2"/>
  <c r="H399" i="2"/>
  <c r="G399" i="2"/>
  <c r="F399" i="2"/>
  <c r="E399" i="2"/>
  <c r="D399" i="2"/>
  <c r="C399" i="2"/>
  <c r="B399" i="2"/>
  <c r="A399" i="2"/>
  <c r="AJ398" i="2"/>
  <c r="AH398" i="2"/>
  <c r="AG398" i="2"/>
  <c r="AF398" i="2"/>
  <c r="AE398" i="2"/>
  <c r="AD398" i="2"/>
  <c r="AC398" i="2"/>
  <c r="Z398" i="2"/>
  <c r="Y398" i="2"/>
  <c r="X398" i="2"/>
  <c r="W398" i="2"/>
  <c r="V398" i="2"/>
  <c r="U398" i="2"/>
  <c r="T398" i="2"/>
  <c r="S398" i="2"/>
  <c r="R398" i="2"/>
  <c r="Q398" i="2"/>
  <c r="P398" i="2"/>
  <c r="O398" i="2"/>
  <c r="N398" i="2"/>
  <c r="M398" i="2"/>
  <c r="L398" i="2"/>
  <c r="K398" i="2"/>
  <c r="J398" i="2"/>
  <c r="I398" i="2"/>
  <c r="H398" i="2"/>
  <c r="G398" i="2"/>
  <c r="F398" i="2"/>
  <c r="E398" i="2"/>
  <c r="D398" i="2"/>
  <c r="C398" i="2"/>
  <c r="B398" i="2"/>
  <c r="A398" i="2"/>
  <c r="AJ397" i="2"/>
  <c r="AH397" i="2"/>
  <c r="AF397" i="2"/>
  <c r="AE397" i="2"/>
  <c r="AD397" i="2"/>
  <c r="AC397" i="2"/>
  <c r="AB397" i="2"/>
  <c r="AA397" i="2"/>
  <c r="Z397" i="2"/>
  <c r="Y397" i="2"/>
  <c r="X397" i="2"/>
  <c r="W397" i="2"/>
  <c r="V397" i="2"/>
  <c r="U397" i="2"/>
  <c r="T397" i="2"/>
  <c r="S397" i="2"/>
  <c r="R397" i="2"/>
  <c r="Q397" i="2"/>
  <c r="P397" i="2"/>
  <c r="O397" i="2"/>
  <c r="N397" i="2"/>
  <c r="M397" i="2"/>
  <c r="L397" i="2"/>
  <c r="K397" i="2"/>
  <c r="J397" i="2"/>
  <c r="I397" i="2"/>
  <c r="H397" i="2"/>
  <c r="G397" i="2"/>
  <c r="F397" i="2"/>
  <c r="E397" i="2"/>
  <c r="D397" i="2"/>
  <c r="C397" i="2"/>
  <c r="B397" i="2"/>
  <c r="A397" i="2"/>
  <c r="AJ396" i="2"/>
  <c r="AI396" i="2"/>
  <c r="AH396" i="2"/>
  <c r="AG396" i="2"/>
  <c r="AF396" i="2"/>
  <c r="AE396" i="2"/>
  <c r="AD396" i="2"/>
  <c r="AC396" i="2"/>
  <c r="AB396" i="2"/>
  <c r="AA396" i="2"/>
  <c r="Y396" i="2"/>
  <c r="X396" i="2"/>
  <c r="W396" i="2"/>
  <c r="V396" i="2"/>
  <c r="U396" i="2"/>
  <c r="T396" i="2"/>
  <c r="S396" i="2"/>
  <c r="R396" i="2"/>
  <c r="Q396" i="2"/>
  <c r="P396" i="2"/>
  <c r="O396" i="2"/>
  <c r="N396" i="2"/>
  <c r="M396" i="2"/>
  <c r="L396" i="2"/>
  <c r="K396" i="2"/>
  <c r="J396" i="2"/>
  <c r="I396" i="2"/>
  <c r="H396" i="2"/>
  <c r="G396" i="2"/>
  <c r="F396" i="2"/>
  <c r="E396" i="2"/>
  <c r="D396" i="2"/>
  <c r="C396" i="2"/>
  <c r="B396" i="2"/>
  <c r="A396" i="2"/>
  <c r="AJ395" i="2"/>
  <c r="AH395" i="2"/>
  <c r="AG395" i="2"/>
  <c r="AF395" i="2"/>
  <c r="AE395" i="2"/>
  <c r="AD395" i="2"/>
  <c r="AC395" i="2"/>
  <c r="AB395" i="2"/>
  <c r="AA395" i="2"/>
  <c r="Z395" i="2"/>
  <c r="Y395" i="2"/>
  <c r="X395" i="2"/>
  <c r="W395" i="2"/>
  <c r="V395" i="2"/>
  <c r="U395" i="2"/>
  <c r="T395" i="2"/>
  <c r="S395" i="2"/>
  <c r="R395" i="2"/>
  <c r="Q395" i="2"/>
  <c r="P395" i="2"/>
  <c r="O395" i="2"/>
  <c r="N395" i="2"/>
  <c r="M395" i="2"/>
  <c r="L395" i="2"/>
  <c r="K395" i="2"/>
  <c r="J395" i="2"/>
  <c r="I395" i="2"/>
  <c r="H395" i="2"/>
  <c r="G395" i="2"/>
  <c r="F395" i="2"/>
  <c r="E395" i="2"/>
  <c r="D395" i="2"/>
  <c r="C395" i="2"/>
  <c r="B395" i="2"/>
  <c r="A395" i="2"/>
  <c r="AJ394" i="2"/>
  <c r="AI394" i="2"/>
  <c r="AH394" i="2"/>
  <c r="AG394" i="2"/>
  <c r="AF394" i="2"/>
  <c r="AE394" i="2"/>
  <c r="AD394" i="2"/>
  <c r="AC394" i="2"/>
  <c r="Z394" i="2"/>
  <c r="Y394" i="2"/>
  <c r="X394" i="2"/>
  <c r="W394" i="2"/>
  <c r="V394" i="2"/>
  <c r="U394" i="2"/>
  <c r="T394" i="2"/>
  <c r="S394" i="2"/>
  <c r="Q394" i="2"/>
  <c r="P394" i="2"/>
  <c r="O394" i="2"/>
  <c r="N394" i="2"/>
  <c r="M394" i="2"/>
  <c r="L394" i="2"/>
  <c r="K394" i="2"/>
  <c r="J394" i="2"/>
  <c r="I394" i="2"/>
  <c r="H394" i="2"/>
  <c r="G394" i="2"/>
  <c r="F394" i="2"/>
  <c r="E394" i="2"/>
  <c r="D394" i="2"/>
  <c r="C394" i="2"/>
  <c r="B394" i="2"/>
  <c r="A394" i="2"/>
  <c r="AJ393" i="2"/>
  <c r="AI393" i="2"/>
  <c r="AH393" i="2"/>
  <c r="AG393" i="2"/>
  <c r="AF393" i="2"/>
  <c r="AE393" i="2"/>
  <c r="AD393" i="2"/>
  <c r="AC393" i="2"/>
  <c r="AB393" i="2"/>
  <c r="AA393" i="2"/>
  <c r="Z393" i="2"/>
  <c r="Y393" i="2"/>
  <c r="X393" i="2"/>
  <c r="W393" i="2"/>
  <c r="V393" i="2"/>
  <c r="U393" i="2"/>
  <c r="T393" i="2"/>
  <c r="S393" i="2"/>
  <c r="R393" i="2"/>
  <c r="Q393" i="2"/>
  <c r="P393" i="2"/>
  <c r="O393" i="2"/>
  <c r="N393" i="2"/>
  <c r="M393" i="2"/>
  <c r="L393" i="2"/>
  <c r="K393" i="2"/>
  <c r="J393" i="2"/>
  <c r="I393" i="2"/>
  <c r="H393" i="2"/>
  <c r="G393" i="2"/>
  <c r="F393" i="2"/>
  <c r="E393" i="2"/>
  <c r="D393" i="2"/>
  <c r="C393" i="2"/>
  <c r="B393" i="2"/>
  <c r="A393" i="2"/>
  <c r="AJ392" i="2"/>
  <c r="AI392" i="2"/>
  <c r="AH392" i="2"/>
  <c r="AG392" i="2"/>
  <c r="AF392" i="2"/>
  <c r="AE392" i="2"/>
  <c r="AD392" i="2"/>
  <c r="AC392" i="2"/>
  <c r="AB392" i="2"/>
  <c r="Z392" i="2"/>
  <c r="Y392" i="2"/>
  <c r="X392" i="2"/>
  <c r="W392" i="2"/>
  <c r="V392" i="2"/>
  <c r="U392" i="2"/>
  <c r="T392" i="2"/>
  <c r="S392" i="2"/>
  <c r="R392" i="2"/>
  <c r="Q392" i="2"/>
  <c r="P392" i="2"/>
  <c r="O392" i="2"/>
  <c r="N392" i="2"/>
  <c r="M392" i="2"/>
  <c r="L392" i="2"/>
  <c r="K392" i="2"/>
  <c r="J392" i="2"/>
  <c r="I392" i="2"/>
  <c r="H392" i="2"/>
  <c r="G392" i="2"/>
  <c r="F392" i="2"/>
  <c r="E392" i="2"/>
  <c r="D392" i="2"/>
  <c r="C392" i="2"/>
  <c r="B392" i="2"/>
  <c r="A392" i="2"/>
  <c r="AJ391" i="2"/>
  <c r="AH391" i="2"/>
  <c r="AG391" i="2"/>
  <c r="AF391" i="2"/>
  <c r="AE391" i="2"/>
  <c r="AD391" i="2"/>
  <c r="AC391" i="2"/>
  <c r="AB391" i="2"/>
  <c r="AA391" i="2"/>
  <c r="Z391" i="2"/>
  <c r="Y391" i="2"/>
  <c r="X391" i="2"/>
  <c r="W391" i="2"/>
  <c r="V391" i="2"/>
  <c r="U391" i="2"/>
  <c r="T391" i="2"/>
  <c r="S391" i="2"/>
  <c r="R391" i="2"/>
  <c r="Q391" i="2"/>
  <c r="P391" i="2"/>
  <c r="O391" i="2"/>
  <c r="N391" i="2"/>
  <c r="M391" i="2"/>
  <c r="L391" i="2"/>
  <c r="K391" i="2"/>
  <c r="J391" i="2"/>
  <c r="I391" i="2"/>
  <c r="H391" i="2"/>
  <c r="G391" i="2"/>
  <c r="F391" i="2"/>
  <c r="E391" i="2"/>
  <c r="D391" i="2"/>
  <c r="C391" i="2"/>
  <c r="B391" i="2"/>
  <c r="A391" i="2"/>
  <c r="AJ390" i="2"/>
  <c r="AH390" i="2"/>
  <c r="AG390" i="2"/>
  <c r="AF390" i="2"/>
  <c r="AE390" i="2"/>
  <c r="AD390" i="2"/>
  <c r="AC390" i="2"/>
  <c r="Z390" i="2"/>
  <c r="Y390" i="2"/>
  <c r="X390" i="2"/>
  <c r="W390" i="2"/>
  <c r="V390" i="2"/>
  <c r="U390" i="2"/>
  <c r="T390" i="2"/>
  <c r="S390" i="2"/>
  <c r="R390" i="2"/>
  <c r="Q390" i="2"/>
  <c r="P390" i="2"/>
  <c r="O390" i="2"/>
  <c r="N390" i="2"/>
  <c r="M390" i="2"/>
  <c r="L390" i="2"/>
  <c r="K390" i="2"/>
  <c r="J390" i="2"/>
  <c r="I390" i="2"/>
  <c r="H390" i="2"/>
  <c r="G390" i="2"/>
  <c r="F390" i="2"/>
  <c r="E390" i="2"/>
  <c r="D390" i="2"/>
  <c r="C390" i="2"/>
  <c r="B390" i="2"/>
  <c r="A390" i="2"/>
  <c r="AJ389" i="2"/>
  <c r="AI389" i="2"/>
  <c r="AH389" i="2"/>
  <c r="AG389" i="2"/>
  <c r="AF389" i="2"/>
  <c r="AE389" i="2"/>
  <c r="AD389" i="2"/>
  <c r="AC389" i="2"/>
  <c r="AA389" i="2"/>
  <c r="Z389" i="2"/>
  <c r="Y389" i="2"/>
  <c r="X389" i="2"/>
  <c r="W389" i="2"/>
  <c r="V389" i="2"/>
  <c r="U389" i="2"/>
  <c r="T389" i="2"/>
  <c r="S389" i="2"/>
  <c r="R389" i="2"/>
  <c r="Q389" i="2"/>
  <c r="P389" i="2"/>
  <c r="O389" i="2"/>
  <c r="N389" i="2"/>
  <c r="M389" i="2"/>
  <c r="K389" i="2"/>
  <c r="J389" i="2"/>
  <c r="I389" i="2"/>
  <c r="H389" i="2"/>
  <c r="G389" i="2"/>
  <c r="F389" i="2"/>
  <c r="E389" i="2"/>
  <c r="D389" i="2"/>
  <c r="C389" i="2"/>
  <c r="B389" i="2"/>
  <c r="A389" i="2"/>
  <c r="AJ388" i="2"/>
  <c r="AI388" i="2"/>
  <c r="AH388" i="2"/>
  <c r="AG388" i="2"/>
  <c r="AF388" i="2"/>
  <c r="AE388" i="2"/>
  <c r="AD388" i="2"/>
  <c r="AC388" i="2"/>
  <c r="AB388" i="2"/>
  <c r="AA388" i="2"/>
  <c r="Z388" i="2"/>
  <c r="Y388" i="2"/>
  <c r="X388" i="2"/>
  <c r="W388" i="2"/>
  <c r="V388" i="2"/>
  <c r="U388" i="2"/>
  <c r="T388" i="2"/>
  <c r="S388" i="2"/>
  <c r="R388" i="2"/>
  <c r="Q388" i="2"/>
  <c r="P388" i="2"/>
  <c r="O388" i="2"/>
  <c r="N388" i="2"/>
  <c r="M388" i="2"/>
  <c r="L388" i="2"/>
  <c r="K388" i="2"/>
  <c r="J388" i="2"/>
  <c r="I388" i="2"/>
  <c r="H388" i="2"/>
  <c r="G388" i="2"/>
  <c r="F388" i="2"/>
  <c r="E388" i="2"/>
  <c r="D388" i="2"/>
  <c r="C388" i="2"/>
  <c r="B388" i="2"/>
  <c r="A388" i="2"/>
  <c r="AJ387" i="2"/>
  <c r="AI387" i="2"/>
  <c r="AH387" i="2"/>
  <c r="AG387" i="2"/>
  <c r="AF387" i="2"/>
  <c r="AE387" i="2"/>
  <c r="AD387" i="2"/>
  <c r="AC387" i="2"/>
  <c r="AB387" i="2"/>
  <c r="AA387" i="2"/>
  <c r="Z387" i="2"/>
  <c r="Y387" i="2"/>
  <c r="X387" i="2"/>
  <c r="W387" i="2"/>
  <c r="V387" i="2"/>
  <c r="U387" i="2"/>
  <c r="T387" i="2"/>
  <c r="S387" i="2"/>
  <c r="R387" i="2"/>
  <c r="Q387" i="2"/>
  <c r="P387" i="2"/>
  <c r="O387" i="2"/>
  <c r="N387" i="2"/>
  <c r="M387" i="2"/>
  <c r="L387" i="2"/>
  <c r="K387" i="2"/>
  <c r="J387" i="2"/>
  <c r="I387" i="2"/>
  <c r="H387" i="2"/>
  <c r="G387" i="2"/>
  <c r="F387" i="2"/>
  <c r="E387" i="2"/>
  <c r="D387" i="2"/>
  <c r="C387" i="2"/>
  <c r="B387" i="2"/>
  <c r="A387" i="2"/>
  <c r="AJ386" i="2"/>
  <c r="AH386" i="2"/>
  <c r="AG386" i="2"/>
  <c r="AF386" i="2"/>
  <c r="AE386" i="2"/>
  <c r="AD386" i="2"/>
  <c r="AC386" i="2"/>
  <c r="AB386" i="2"/>
  <c r="Z386" i="2"/>
  <c r="Y386" i="2"/>
  <c r="X386" i="2"/>
  <c r="W386" i="2"/>
  <c r="V386" i="2"/>
  <c r="U386" i="2"/>
  <c r="T386" i="2"/>
  <c r="S386" i="2"/>
  <c r="R386" i="2"/>
  <c r="Q386" i="2"/>
  <c r="P386" i="2"/>
  <c r="O386" i="2"/>
  <c r="N386" i="2"/>
  <c r="M386" i="2"/>
  <c r="L386" i="2"/>
  <c r="K386" i="2"/>
  <c r="J386" i="2"/>
  <c r="I386" i="2"/>
  <c r="H386" i="2"/>
  <c r="G386" i="2"/>
  <c r="F386" i="2"/>
  <c r="E386" i="2"/>
  <c r="D386" i="2"/>
  <c r="C386" i="2"/>
  <c r="B386" i="2"/>
  <c r="A386" i="2"/>
  <c r="AJ385" i="2"/>
  <c r="AH385" i="2"/>
  <c r="AG385" i="2"/>
  <c r="AF385" i="2"/>
  <c r="AE385" i="2"/>
  <c r="AD385" i="2"/>
  <c r="AC385" i="2"/>
  <c r="AB385" i="2"/>
  <c r="Z385" i="2"/>
  <c r="Y385" i="2"/>
  <c r="X385" i="2"/>
  <c r="W385" i="2"/>
  <c r="V385" i="2"/>
  <c r="U385" i="2"/>
  <c r="T385" i="2"/>
  <c r="S385" i="2"/>
  <c r="R385" i="2"/>
  <c r="Q385" i="2"/>
  <c r="P385" i="2"/>
  <c r="O385" i="2"/>
  <c r="N385" i="2"/>
  <c r="M385" i="2"/>
  <c r="L385" i="2"/>
  <c r="K385" i="2"/>
  <c r="J385" i="2"/>
  <c r="I385" i="2"/>
  <c r="H385" i="2"/>
  <c r="G385" i="2"/>
  <c r="F385" i="2"/>
  <c r="E385" i="2"/>
  <c r="D385" i="2"/>
  <c r="C385" i="2"/>
  <c r="B385" i="2"/>
  <c r="A385" i="2"/>
  <c r="AJ384" i="2"/>
  <c r="AH384" i="2"/>
  <c r="AG384" i="2"/>
  <c r="AF384" i="2"/>
  <c r="AE384" i="2"/>
  <c r="AD384" i="2"/>
  <c r="AC384" i="2"/>
  <c r="AB384" i="2"/>
  <c r="Z384" i="2"/>
  <c r="Y384" i="2"/>
  <c r="X384" i="2"/>
  <c r="W384" i="2"/>
  <c r="V384" i="2"/>
  <c r="U384" i="2"/>
  <c r="T384" i="2"/>
  <c r="S384" i="2"/>
  <c r="R384" i="2"/>
  <c r="Q384" i="2"/>
  <c r="P384" i="2"/>
  <c r="O384" i="2"/>
  <c r="N384" i="2"/>
  <c r="M384" i="2"/>
  <c r="L384" i="2"/>
  <c r="K384" i="2"/>
  <c r="J384" i="2"/>
  <c r="I384" i="2"/>
  <c r="H384" i="2"/>
  <c r="G384" i="2"/>
  <c r="F384" i="2"/>
  <c r="E384" i="2"/>
  <c r="D384" i="2"/>
  <c r="C384" i="2"/>
  <c r="B384" i="2"/>
  <c r="A384" i="2"/>
  <c r="AJ383" i="2"/>
  <c r="AH383" i="2"/>
  <c r="AG383" i="2"/>
  <c r="AF383" i="2"/>
  <c r="AE383" i="2"/>
  <c r="AD383" i="2"/>
  <c r="AC383" i="2"/>
  <c r="AA383" i="2"/>
  <c r="Z383" i="2"/>
  <c r="Y383" i="2"/>
  <c r="X383" i="2"/>
  <c r="W383" i="2"/>
  <c r="V383" i="2"/>
  <c r="U383" i="2"/>
  <c r="T383" i="2"/>
  <c r="S383" i="2"/>
  <c r="R383" i="2"/>
  <c r="Q383" i="2"/>
  <c r="P383" i="2"/>
  <c r="O383" i="2"/>
  <c r="N383" i="2"/>
  <c r="M383" i="2"/>
  <c r="L383" i="2"/>
  <c r="K383" i="2"/>
  <c r="J383" i="2"/>
  <c r="I383" i="2"/>
  <c r="H383" i="2"/>
  <c r="G383" i="2"/>
  <c r="F383" i="2"/>
  <c r="E383" i="2"/>
  <c r="D383" i="2"/>
  <c r="C383" i="2"/>
  <c r="B383" i="2"/>
  <c r="A383" i="2"/>
  <c r="AJ382" i="2"/>
  <c r="AH382" i="2"/>
  <c r="AG382" i="2"/>
  <c r="AF382" i="2"/>
  <c r="AE382" i="2"/>
  <c r="AD382" i="2"/>
  <c r="AC382" i="2"/>
  <c r="AB382" i="2"/>
  <c r="AA382" i="2"/>
  <c r="Z382" i="2"/>
  <c r="Y382" i="2"/>
  <c r="X382" i="2"/>
  <c r="W382" i="2"/>
  <c r="V382" i="2"/>
  <c r="U382" i="2"/>
  <c r="T382" i="2"/>
  <c r="S382" i="2"/>
  <c r="R382" i="2"/>
  <c r="Q382" i="2"/>
  <c r="P382" i="2"/>
  <c r="O382" i="2"/>
  <c r="N382" i="2"/>
  <c r="M382" i="2"/>
  <c r="L382" i="2"/>
  <c r="K382" i="2"/>
  <c r="J382" i="2"/>
  <c r="I382" i="2"/>
  <c r="H382" i="2"/>
  <c r="G382" i="2"/>
  <c r="F382" i="2"/>
  <c r="E382" i="2"/>
  <c r="D382" i="2"/>
  <c r="C382" i="2"/>
  <c r="B382" i="2"/>
  <c r="A382" i="2"/>
  <c r="AJ381" i="2"/>
  <c r="AH381" i="2"/>
  <c r="AG381" i="2"/>
  <c r="AF381" i="2"/>
  <c r="AE381" i="2"/>
  <c r="AD381" i="2"/>
  <c r="AC381" i="2"/>
  <c r="AB381" i="2"/>
  <c r="Z381" i="2"/>
  <c r="Y381" i="2"/>
  <c r="X381" i="2"/>
  <c r="W381" i="2"/>
  <c r="V381" i="2"/>
  <c r="U381" i="2"/>
  <c r="T381" i="2"/>
  <c r="S381" i="2"/>
  <c r="R381" i="2"/>
  <c r="Q381" i="2"/>
  <c r="P381" i="2"/>
  <c r="O381" i="2"/>
  <c r="N381" i="2"/>
  <c r="M381" i="2"/>
  <c r="L381" i="2"/>
  <c r="K381" i="2"/>
  <c r="J381" i="2"/>
  <c r="I381" i="2"/>
  <c r="H381" i="2"/>
  <c r="G381" i="2"/>
  <c r="F381" i="2"/>
  <c r="E381" i="2"/>
  <c r="D381" i="2"/>
  <c r="C381" i="2"/>
  <c r="B381" i="2"/>
  <c r="A381" i="2"/>
  <c r="AJ380" i="2"/>
  <c r="AH380" i="2"/>
  <c r="AG380" i="2"/>
  <c r="AF380" i="2"/>
  <c r="AE380" i="2"/>
  <c r="AD380" i="2"/>
  <c r="AC380" i="2"/>
  <c r="AB380" i="2"/>
  <c r="AA380" i="2"/>
  <c r="Z380" i="2"/>
  <c r="Y380" i="2"/>
  <c r="X380" i="2"/>
  <c r="W380" i="2"/>
  <c r="V380" i="2"/>
  <c r="U380" i="2"/>
  <c r="T380" i="2"/>
  <c r="S380" i="2"/>
  <c r="R380" i="2"/>
  <c r="Q380" i="2"/>
  <c r="P380" i="2"/>
  <c r="O380" i="2"/>
  <c r="N380" i="2"/>
  <c r="M380" i="2"/>
  <c r="L380" i="2"/>
  <c r="K380" i="2"/>
  <c r="J380" i="2"/>
  <c r="I380" i="2"/>
  <c r="H380" i="2"/>
  <c r="G380" i="2"/>
  <c r="F380" i="2"/>
  <c r="E380" i="2"/>
  <c r="D380" i="2"/>
  <c r="C380" i="2"/>
  <c r="B380" i="2"/>
  <c r="A380" i="2"/>
  <c r="AJ379" i="2"/>
  <c r="AH379" i="2"/>
  <c r="AG379" i="2"/>
  <c r="AF379" i="2"/>
  <c r="AE379" i="2"/>
  <c r="AD379" i="2"/>
  <c r="AC379" i="2"/>
  <c r="AB379" i="2"/>
  <c r="Z379" i="2"/>
  <c r="Y379" i="2"/>
  <c r="X379" i="2"/>
  <c r="W379" i="2"/>
  <c r="V379" i="2"/>
  <c r="U379" i="2"/>
  <c r="T379" i="2"/>
  <c r="S379" i="2"/>
  <c r="R379" i="2"/>
  <c r="Q379" i="2"/>
  <c r="P379" i="2"/>
  <c r="O379" i="2"/>
  <c r="N379" i="2"/>
  <c r="M379" i="2"/>
  <c r="L379" i="2"/>
  <c r="K379" i="2"/>
  <c r="J379" i="2"/>
  <c r="I379" i="2"/>
  <c r="H379" i="2"/>
  <c r="G379" i="2"/>
  <c r="F379" i="2"/>
  <c r="E379" i="2"/>
  <c r="D379" i="2"/>
  <c r="C379" i="2"/>
  <c r="B379" i="2"/>
  <c r="A379" i="2"/>
  <c r="AJ378" i="2"/>
  <c r="AI378" i="2"/>
  <c r="AH378" i="2"/>
  <c r="AG378" i="2"/>
  <c r="AF378" i="2"/>
  <c r="AE378" i="2"/>
  <c r="AD378" i="2"/>
  <c r="AC378" i="2"/>
  <c r="AB378" i="2"/>
  <c r="AA378" i="2"/>
  <c r="Z378" i="2"/>
  <c r="Y378" i="2"/>
  <c r="X378" i="2"/>
  <c r="W378" i="2"/>
  <c r="V378" i="2"/>
  <c r="U378" i="2"/>
  <c r="T378" i="2"/>
  <c r="S378" i="2"/>
  <c r="R378" i="2"/>
  <c r="Q378" i="2"/>
  <c r="P378" i="2"/>
  <c r="O378" i="2"/>
  <c r="N378" i="2"/>
  <c r="M378" i="2"/>
  <c r="L378" i="2"/>
  <c r="K378" i="2"/>
  <c r="J378" i="2"/>
  <c r="I378" i="2"/>
  <c r="H378" i="2"/>
  <c r="G378" i="2"/>
  <c r="F378" i="2"/>
  <c r="E378" i="2"/>
  <c r="D378" i="2"/>
  <c r="C378" i="2"/>
  <c r="B378" i="2"/>
  <c r="A378" i="2"/>
  <c r="AJ377" i="2"/>
  <c r="AI377" i="2"/>
  <c r="AH377" i="2"/>
  <c r="AG377" i="2"/>
  <c r="AF377" i="2"/>
  <c r="AE377" i="2"/>
  <c r="AD377" i="2"/>
  <c r="AC377" i="2"/>
  <c r="AB377" i="2"/>
  <c r="AA377" i="2"/>
  <c r="Z377" i="2"/>
  <c r="Y377" i="2"/>
  <c r="X377" i="2"/>
  <c r="W377" i="2"/>
  <c r="V377" i="2"/>
  <c r="U377" i="2"/>
  <c r="T377" i="2"/>
  <c r="S377" i="2"/>
  <c r="R377" i="2"/>
  <c r="Q377" i="2"/>
  <c r="P377" i="2"/>
  <c r="O377" i="2"/>
  <c r="N377" i="2"/>
  <c r="M377" i="2"/>
  <c r="L377" i="2"/>
  <c r="K377" i="2"/>
  <c r="J377" i="2"/>
  <c r="I377" i="2"/>
  <c r="H377" i="2"/>
  <c r="G377" i="2"/>
  <c r="F377" i="2"/>
  <c r="E377" i="2"/>
  <c r="D377" i="2"/>
  <c r="C377" i="2"/>
  <c r="B377" i="2"/>
  <c r="A377" i="2"/>
  <c r="AJ376" i="2"/>
  <c r="AH376" i="2"/>
  <c r="AG376" i="2"/>
  <c r="AF376" i="2"/>
  <c r="AE376" i="2"/>
  <c r="AD376" i="2"/>
  <c r="AC376" i="2"/>
  <c r="AB376" i="2"/>
  <c r="Z376" i="2"/>
  <c r="Y376" i="2"/>
  <c r="X376" i="2"/>
  <c r="W376" i="2"/>
  <c r="V376" i="2"/>
  <c r="U376" i="2"/>
  <c r="T376" i="2"/>
  <c r="S376" i="2"/>
  <c r="R376" i="2"/>
  <c r="Q376" i="2"/>
  <c r="P376" i="2"/>
  <c r="O376" i="2"/>
  <c r="N376" i="2"/>
  <c r="M376" i="2"/>
  <c r="L376" i="2"/>
  <c r="K376" i="2"/>
  <c r="J376" i="2"/>
  <c r="I376" i="2"/>
  <c r="H376" i="2"/>
  <c r="G376" i="2"/>
  <c r="F376" i="2"/>
  <c r="E376" i="2"/>
  <c r="D376" i="2"/>
  <c r="C376" i="2"/>
  <c r="B376" i="2"/>
  <c r="A376" i="2"/>
  <c r="AJ375" i="2"/>
  <c r="AI375" i="2"/>
  <c r="AH375" i="2"/>
  <c r="AG375" i="2"/>
  <c r="AF375" i="2"/>
  <c r="AE375" i="2"/>
  <c r="AD375" i="2"/>
  <c r="AC375" i="2"/>
  <c r="AB375" i="2"/>
  <c r="AA375" i="2"/>
  <c r="Z375" i="2"/>
  <c r="Y375" i="2"/>
  <c r="X375" i="2"/>
  <c r="W375" i="2"/>
  <c r="V375" i="2"/>
  <c r="U375" i="2"/>
  <c r="T375" i="2"/>
  <c r="S375" i="2"/>
  <c r="R375" i="2"/>
  <c r="Q375" i="2"/>
  <c r="P375" i="2"/>
  <c r="O375" i="2"/>
  <c r="N375" i="2"/>
  <c r="M375" i="2"/>
  <c r="L375" i="2"/>
  <c r="K375" i="2"/>
  <c r="J375" i="2"/>
  <c r="I375" i="2"/>
  <c r="H375" i="2"/>
  <c r="G375" i="2"/>
  <c r="F375" i="2"/>
  <c r="E375" i="2"/>
  <c r="D375" i="2"/>
  <c r="C375" i="2"/>
  <c r="B375" i="2"/>
  <c r="A375" i="2"/>
  <c r="AJ374" i="2"/>
  <c r="AH374" i="2"/>
  <c r="AG374" i="2"/>
  <c r="AF374" i="2"/>
  <c r="AE374" i="2"/>
  <c r="AD374" i="2"/>
  <c r="AC374" i="2"/>
  <c r="AB374" i="2"/>
  <c r="Z374" i="2"/>
  <c r="Y374" i="2"/>
  <c r="X374" i="2"/>
  <c r="W374" i="2"/>
  <c r="V374" i="2"/>
  <c r="U374" i="2"/>
  <c r="T374" i="2"/>
  <c r="S374" i="2"/>
  <c r="R374" i="2"/>
  <c r="Q374" i="2"/>
  <c r="P374" i="2"/>
  <c r="O374" i="2"/>
  <c r="N374" i="2"/>
  <c r="M374" i="2"/>
  <c r="L374" i="2"/>
  <c r="K374" i="2"/>
  <c r="J374" i="2"/>
  <c r="I374" i="2"/>
  <c r="H374" i="2"/>
  <c r="G374" i="2"/>
  <c r="F374" i="2"/>
  <c r="E374" i="2"/>
  <c r="D374" i="2"/>
  <c r="C374" i="2"/>
  <c r="B374" i="2"/>
  <c r="A374" i="2"/>
  <c r="AJ373" i="2"/>
  <c r="AI373" i="2"/>
  <c r="AH373" i="2"/>
  <c r="AG373" i="2"/>
  <c r="AF373" i="2"/>
  <c r="AE373" i="2"/>
  <c r="AD373" i="2"/>
  <c r="AC373" i="2"/>
  <c r="AB373" i="2"/>
  <c r="AA373" i="2"/>
  <c r="Z373" i="2"/>
  <c r="Y373" i="2"/>
  <c r="X373" i="2"/>
  <c r="W373" i="2"/>
  <c r="V373" i="2"/>
  <c r="U373" i="2"/>
  <c r="T373" i="2"/>
  <c r="S373" i="2"/>
  <c r="R373" i="2"/>
  <c r="Q373" i="2"/>
  <c r="P373" i="2"/>
  <c r="O373" i="2"/>
  <c r="N373" i="2"/>
  <c r="M373" i="2"/>
  <c r="L373" i="2"/>
  <c r="K373" i="2"/>
  <c r="J373" i="2"/>
  <c r="I373" i="2"/>
  <c r="H373" i="2"/>
  <c r="G373" i="2"/>
  <c r="F373" i="2"/>
  <c r="E373" i="2"/>
  <c r="D373" i="2"/>
  <c r="C373" i="2"/>
  <c r="B373" i="2"/>
  <c r="A373" i="2"/>
  <c r="AJ372" i="2"/>
  <c r="AH372" i="2"/>
  <c r="AG372" i="2"/>
  <c r="AF372" i="2"/>
  <c r="AE372" i="2"/>
  <c r="AD372" i="2"/>
  <c r="AC372" i="2"/>
  <c r="Z372" i="2"/>
  <c r="Y372" i="2"/>
  <c r="X372" i="2"/>
  <c r="W372" i="2"/>
  <c r="V372" i="2"/>
  <c r="U372" i="2"/>
  <c r="T372" i="2"/>
  <c r="S372" i="2"/>
  <c r="R372" i="2"/>
  <c r="Q372" i="2"/>
  <c r="P372" i="2"/>
  <c r="O372" i="2"/>
  <c r="N372" i="2"/>
  <c r="M372" i="2"/>
  <c r="L372" i="2"/>
  <c r="K372" i="2"/>
  <c r="J372" i="2"/>
  <c r="I372" i="2"/>
  <c r="H372" i="2"/>
  <c r="G372" i="2"/>
  <c r="F372" i="2"/>
  <c r="E372" i="2"/>
  <c r="D372" i="2"/>
  <c r="C372" i="2"/>
  <c r="B372" i="2"/>
  <c r="A372" i="2"/>
  <c r="AJ371" i="2"/>
  <c r="AI371" i="2"/>
  <c r="AH371" i="2"/>
  <c r="AG371" i="2"/>
  <c r="AF371" i="2"/>
  <c r="AE371" i="2"/>
  <c r="AD371" i="2"/>
  <c r="AC371" i="2"/>
  <c r="AB371" i="2"/>
  <c r="AA371" i="2"/>
  <c r="Z371" i="2"/>
  <c r="Y371" i="2"/>
  <c r="X371" i="2"/>
  <c r="W371" i="2"/>
  <c r="V371" i="2"/>
  <c r="U371" i="2"/>
  <c r="T371" i="2"/>
  <c r="S371" i="2"/>
  <c r="R371" i="2"/>
  <c r="Q371" i="2"/>
  <c r="P371" i="2"/>
  <c r="O371" i="2"/>
  <c r="N371" i="2"/>
  <c r="M371" i="2"/>
  <c r="L371" i="2"/>
  <c r="K371" i="2"/>
  <c r="J371" i="2"/>
  <c r="I371" i="2"/>
  <c r="H371" i="2"/>
  <c r="G371" i="2"/>
  <c r="F371" i="2"/>
  <c r="E371" i="2"/>
  <c r="D371" i="2"/>
  <c r="C371" i="2"/>
  <c r="B371" i="2"/>
  <c r="A371" i="2"/>
  <c r="AJ370" i="2"/>
  <c r="AI370" i="2"/>
  <c r="AH370" i="2"/>
  <c r="AG370" i="2"/>
  <c r="AF370" i="2"/>
  <c r="AE370" i="2"/>
  <c r="AD370" i="2"/>
  <c r="AC370" i="2"/>
  <c r="Z370" i="2"/>
  <c r="Y370" i="2"/>
  <c r="X370" i="2"/>
  <c r="W370" i="2"/>
  <c r="V370" i="2"/>
  <c r="U370" i="2"/>
  <c r="T370" i="2"/>
  <c r="S370" i="2"/>
  <c r="R370" i="2"/>
  <c r="Q370" i="2"/>
  <c r="P370" i="2"/>
  <c r="O370" i="2"/>
  <c r="N370" i="2"/>
  <c r="M370" i="2"/>
  <c r="L370" i="2"/>
  <c r="K370" i="2"/>
  <c r="J370" i="2"/>
  <c r="I370" i="2"/>
  <c r="H370" i="2"/>
  <c r="G370" i="2"/>
  <c r="F370" i="2"/>
  <c r="E370" i="2"/>
  <c r="D370" i="2"/>
  <c r="C370" i="2"/>
  <c r="B370" i="2"/>
  <c r="A370" i="2"/>
  <c r="AJ369" i="2"/>
  <c r="AH369" i="2"/>
  <c r="AG369" i="2"/>
  <c r="AF369" i="2"/>
  <c r="AE369" i="2"/>
  <c r="AD369" i="2"/>
  <c r="AC369" i="2"/>
  <c r="AB369" i="2"/>
  <c r="Z369" i="2"/>
  <c r="Y369" i="2"/>
  <c r="X369" i="2"/>
  <c r="W369" i="2"/>
  <c r="V369" i="2"/>
  <c r="U369" i="2"/>
  <c r="T369" i="2"/>
  <c r="S369" i="2"/>
  <c r="R369" i="2"/>
  <c r="Q369" i="2"/>
  <c r="P369" i="2"/>
  <c r="O369" i="2"/>
  <c r="N369" i="2"/>
  <c r="M369" i="2"/>
  <c r="L369" i="2"/>
  <c r="K369" i="2"/>
  <c r="J369" i="2"/>
  <c r="I369" i="2"/>
  <c r="H369" i="2"/>
  <c r="G369" i="2"/>
  <c r="F369" i="2"/>
  <c r="E369" i="2"/>
  <c r="D369" i="2"/>
  <c r="C369" i="2"/>
  <c r="B369" i="2"/>
  <c r="A369" i="2"/>
  <c r="AJ368" i="2"/>
  <c r="AI368" i="2"/>
  <c r="AH368" i="2"/>
  <c r="AG368" i="2"/>
  <c r="AF368" i="2"/>
  <c r="AE368" i="2"/>
  <c r="AD368" i="2"/>
  <c r="AC368" i="2"/>
  <c r="AB368" i="2"/>
  <c r="AA368" i="2"/>
  <c r="Z368" i="2"/>
  <c r="Y368" i="2"/>
  <c r="X368" i="2"/>
  <c r="W368" i="2"/>
  <c r="V368" i="2"/>
  <c r="U368" i="2"/>
  <c r="T368" i="2"/>
  <c r="S368" i="2"/>
  <c r="R368" i="2"/>
  <c r="Q368" i="2"/>
  <c r="P368" i="2"/>
  <c r="O368" i="2"/>
  <c r="N368" i="2"/>
  <c r="M368" i="2"/>
  <c r="L368" i="2"/>
  <c r="K368" i="2"/>
  <c r="J368" i="2"/>
  <c r="I368" i="2"/>
  <c r="H368" i="2"/>
  <c r="G368" i="2"/>
  <c r="F368" i="2"/>
  <c r="E368" i="2"/>
  <c r="D368" i="2"/>
  <c r="C368" i="2"/>
  <c r="B368" i="2"/>
  <c r="A368" i="2"/>
  <c r="AJ367" i="2"/>
  <c r="AH367" i="2"/>
  <c r="AG367" i="2"/>
  <c r="AF367" i="2"/>
  <c r="AE367" i="2"/>
  <c r="AD367" i="2"/>
  <c r="AC367" i="2"/>
  <c r="AA367" i="2"/>
  <c r="Z367" i="2"/>
  <c r="Y367" i="2"/>
  <c r="X367" i="2"/>
  <c r="W367" i="2"/>
  <c r="V367" i="2"/>
  <c r="U367" i="2"/>
  <c r="T367" i="2"/>
  <c r="S367" i="2"/>
  <c r="R367" i="2"/>
  <c r="Q367" i="2"/>
  <c r="P367" i="2"/>
  <c r="O367" i="2"/>
  <c r="N367" i="2"/>
  <c r="M367" i="2"/>
  <c r="L367" i="2"/>
  <c r="K367" i="2"/>
  <c r="J367" i="2"/>
  <c r="I367" i="2"/>
  <c r="H367" i="2"/>
  <c r="G367" i="2"/>
  <c r="F367" i="2"/>
  <c r="E367" i="2"/>
  <c r="D367" i="2"/>
  <c r="C367" i="2"/>
  <c r="B367" i="2"/>
  <c r="A367" i="2"/>
  <c r="AJ366" i="2"/>
  <c r="AH366" i="2"/>
  <c r="AG366" i="2"/>
  <c r="AF366" i="2"/>
  <c r="AE366" i="2"/>
  <c r="AD366" i="2"/>
  <c r="AC366" i="2"/>
  <c r="AB366" i="2"/>
  <c r="Z366" i="2"/>
  <c r="Y366" i="2"/>
  <c r="X366" i="2"/>
  <c r="W366" i="2"/>
  <c r="V366" i="2"/>
  <c r="U366" i="2"/>
  <c r="T366" i="2"/>
  <c r="S366" i="2"/>
  <c r="R366" i="2"/>
  <c r="Q366" i="2"/>
  <c r="P366" i="2"/>
  <c r="O366" i="2"/>
  <c r="N366" i="2"/>
  <c r="M366" i="2"/>
  <c r="L366" i="2"/>
  <c r="K366" i="2"/>
  <c r="J366" i="2"/>
  <c r="I366" i="2"/>
  <c r="H366" i="2"/>
  <c r="G366" i="2"/>
  <c r="F366" i="2"/>
  <c r="E366" i="2"/>
  <c r="D366" i="2"/>
  <c r="C366" i="2"/>
  <c r="B366" i="2"/>
  <c r="A366" i="2"/>
  <c r="AJ365" i="2"/>
  <c r="AH365" i="2"/>
  <c r="AG365" i="2"/>
  <c r="AF365" i="2"/>
  <c r="AE365" i="2"/>
  <c r="AD365" i="2"/>
  <c r="AC365" i="2"/>
  <c r="AB365" i="2"/>
  <c r="AA365" i="2"/>
  <c r="Z365" i="2"/>
  <c r="Y365" i="2"/>
  <c r="X365" i="2"/>
  <c r="W365" i="2"/>
  <c r="V365" i="2"/>
  <c r="U365" i="2"/>
  <c r="T365" i="2"/>
  <c r="S365" i="2"/>
  <c r="R365" i="2"/>
  <c r="Q365" i="2"/>
  <c r="P365" i="2"/>
  <c r="O365" i="2"/>
  <c r="N365" i="2"/>
  <c r="M365" i="2"/>
  <c r="L365" i="2"/>
  <c r="K365" i="2"/>
  <c r="J365" i="2"/>
  <c r="I365" i="2"/>
  <c r="H365" i="2"/>
  <c r="G365" i="2"/>
  <c r="F365" i="2"/>
  <c r="E365" i="2"/>
  <c r="D365" i="2"/>
  <c r="C365" i="2"/>
  <c r="B365" i="2"/>
  <c r="A365" i="2"/>
  <c r="AJ364" i="2"/>
  <c r="AH364" i="2"/>
  <c r="AG364" i="2"/>
  <c r="AF364" i="2"/>
  <c r="AE364" i="2"/>
  <c r="AD364" i="2"/>
  <c r="AC364" i="2"/>
  <c r="AB364" i="2"/>
  <c r="AA364" i="2"/>
  <c r="Z364" i="2"/>
  <c r="Y364" i="2"/>
  <c r="X364" i="2"/>
  <c r="W364" i="2"/>
  <c r="V364" i="2"/>
  <c r="U364" i="2"/>
  <c r="T364" i="2"/>
  <c r="S364" i="2"/>
  <c r="R364" i="2"/>
  <c r="Q364" i="2"/>
  <c r="P364" i="2"/>
  <c r="O364" i="2"/>
  <c r="N364" i="2"/>
  <c r="M364" i="2"/>
  <c r="L364" i="2"/>
  <c r="K364" i="2"/>
  <c r="J364" i="2"/>
  <c r="I364" i="2"/>
  <c r="H364" i="2"/>
  <c r="G364" i="2"/>
  <c r="F364" i="2"/>
  <c r="E364" i="2"/>
  <c r="D364" i="2"/>
  <c r="C364" i="2"/>
  <c r="B364" i="2"/>
  <c r="A364" i="2"/>
  <c r="AJ363" i="2"/>
  <c r="AH363" i="2"/>
  <c r="AG363" i="2"/>
  <c r="AF363" i="2"/>
  <c r="AE363" i="2"/>
  <c r="AD363" i="2"/>
  <c r="Z363" i="2"/>
  <c r="Y363" i="2"/>
  <c r="X363" i="2"/>
  <c r="W363" i="2"/>
  <c r="V363" i="2"/>
  <c r="U363" i="2"/>
  <c r="T363" i="2"/>
  <c r="S363" i="2"/>
  <c r="R363" i="2"/>
  <c r="Q363" i="2"/>
  <c r="P363" i="2"/>
  <c r="O363" i="2"/>
  <c r="N363" i="2"/>
  <c r="M363" i="2"/>
  <c r="L363" i="2"/>
  <c r="K363" i="2"/>
  <c r="J363" i="2"/>
  <c r="I363" i="2"/>
  <c r="H363" i="2"/>
  <c r="G363" i="2"/>
  <c r="F363" i="2"/>
  <c r="E363" i="2"/>
  <c r="D363" i="2"/>
  <c r="C363" i="2"/>
  <c r="B363" i="2"/>
  <c r="A363" i="2"/>
  <c r="AJ362" i="2"/>
  <c r="AI362" i="2"/>
  <c r="AH362" i="2"/>
  <c r="AG362" i="2"/>
  <c r="AF362" i="2"/>
  <c r="AE362" i="2"/>
  <c r="AD362" i="2"/>
  <c r="AC362" i="2"/>
  <c r="AB362" i="2"/>
  <c r="AA362" i="2"/>
  <c r="Z362" i="2"/>
  <c r="Y362" i="2"/>
  <c r="X362" i="2"/>
  <c r="W362" i="2"/>
  <c r="V362" i="2"/>
  <c r="U362" i="2"/>
  <c r="T362" i="2"/>
  <c r="S362" i="2"/>
  <c r="R362" i="2"/>
  <c r="Q362" i="2"/>
  <c r="P362" i="2"/>
  <c r="O362" i="2"/>
  <c r="N362" i="2"/>
  <c r="M362" i="2"/>
  <c r="L362" i="2"/>
  <c r="K362" i="2"/>
  <c r="J362" i="2"/>
  <c r="I362" i="2"/>
  <c r="H362" i="2"/>
  <c r="G362" i="2"/>
  <c r="F362" i="2"/>
  <c r="E362" i="2"/>
  <c r="D362" i="2"/>
  <c r="C362" i="2"/>
  <c r="B362" i="2"/>
  <c r="A362" i="2"/>
  <c r="AJ361" i="2"/>
  <c r="AI361" i="2"/>
  <c r="AH361" i="2"/>
  <c r="AG361" i="2"/>
  <c r="AF361" i="2"/>
  <c r="AE361" i="2"/>
  <c r="AD361" i="2"/>
  <c r="AC361" i="2"/>
  <c r="AB361" i="2"/>
  <c r="AA361" i="2"/>
  <c r="Z361" i="2"/>
  <c r="Y361" i="2"/>
  <c r="X361" i="2"/>
  <c r="W361" i="2"/>
  <c r="V361" i="2"/>
  <c r="U361" i="2"/>
  <c r="T361" i="2"/>
  <c r="S361" i="2"/>
  <c r="R361" i="2"/>
  <c r="Q361" i="2"/>
  <c r="P361" i="2"/>
  <c r="O361" i="2"/>
  <c r="N361" i="2"/>
  <c r="M361" i="2"/>
  <c r="L361" i="2"/>
  <c r="K361" i="2"/>
  <c r="J361" i="2"/>
  <c r="I361" i="2"/>
  <c r="H361" i="2"/>
  <c r="G361" i="2"/>
  <c r="F361" i="2"/>
  <c r="E361" i="2"/>
  <c r="D361" i="2"/>
  <c r="C361" i="2"/>
  <c r="B361" i="2"/>
  <c r="A361" i="2"/>
  <c r="AJ360" i="2"/>
  <c r="AI360" i="2"/>
  <c r="AH360" i="2"/>
  <c r="AG360" i="2"/>
  <c r="AF360" i="2"/>
  <c r="AE360" i="2"/>
  <c r="AD360" i="2"/>
  <c r="AC360" i="2"/>
  <c r="AB360" i="2"/>
  <c r="AA360" i="2"/>
  <c r="Z360" i="2"/>
  <c r="Y360" i="2"/>
  <c r="X360" i="2"/>
  <c r="W360" i="2"/>
  <c r="V360" i="2"/>
  <c r="U360" i="2"/>
  <c r="T360" i="2"/>
  <c r="S360" i="2"/>
  <c r="R360" i="2"/>
  <c r="Q360" i="2"/>
  <c r="P360" i="2"/>
  <c r="O360" i="2"/>
  <c r="N360" i="2"/>
  <c r="M360" i="2"/>
  <c r="L360" i="2"/>
  <c r="K360" i="2"/>
  <c r="J360" i="2"/>
  <c r="I360" i="2"/>
  <c r="H360" i="2"/>
  <c r="G360" i="2"/>
  <c r="F360" i="2"/>
  <c r="E360" i="2"/>
  <c r="D360" i="2"/>
  <c r="C360" i="2"/>
  <c r="B360" i="2"/>
  <c r="A360" i="2"/>
  <c r="AJ359" i="2"/>
  <c r="AG359" i="2"/>
  <c r="AF359" i="2"/>
  <c r="AE359" i="2"/>
  <c r="AD359" i="2"/>
  <c r="AC359" i="2"/>
  <c r="Z359" i="2"/>
  <c r="Y359" i="2"/>
  <c r="X359" i="2"/>
  <c r="W359" i="2"/>
  <c r="V359" i="2"/>
  <c r="U359" i="2"/>
  <c r="T359" i="2"/>
  <c r="S359" i="2"/>
  <c r="R359" i="2"/>
  <c r="Q359" i="2"/>
  <c r="P359" i="2"/>
  <c r="O359" i="2"/>
  <c r="N359" i="2"/>
  <c r="M359" i="2"/>
  <c r="L359" i="2"/>
  <c r="K359" i="2"/>
  <c r="J359" i="2"/>
  <c r="I359" i="2"/>
  <c r="H359" i="2"/>
  <c r="G359" i="2"/>
  <c r="F359" i="2"/>
  <c r="E359" i="2"/>
  <c r="D359" i="2"/>
  <c r="C359" i="2"/>
  <c r="B359" i="2"/>
  <c r="A359" i="2"/>
  <c r="AJ358" i="2"/>
  <c r="AH358" i="2"/>
  <c r="AG358" i="2"/>
  <c r="AF358" i="2"/>
  <c r="AE358" i="2"/>
  <c r="AD358" i="2"/>
  <c r="AC358" i="2"/>
  <c r="AB358" i="2"/>
  <c r="AA358" i="2"/>
  <c r="Z358" i="2"/>
  <c r="Y358" i="2"/>
  <c r="X358" i="2"/>
  <c r="W358" i="2"/>
  <c r="V358" i="2"/>
  <c r="U358" i="2"/>
  <c r="T358" i="2"/>
  <c r="S358" i="2"/>
  <c r="R358" i="2"/>
  <c r="Q358" i="2"/>
  <c r="P358" i="2"/>
  <c r="O358" i="2"/>
  <c r="N358" i="2"/>
  <c r="M358" i="2"/>
  <c r="L358" i="2"/>
  <c r="K358" i="2"/>
  <c r="J358" i="2"/>
  <c r="I358" i="2"/>
  <c r="H358" i="2"/>
  <c r="G358" i="2"/>
  <c r="F358" i="2"/>
  <c r="E358" i="2"/>
  <c r="D358" i="2"/>
  <c r="C358" i="2"/>
  <c r="B358" i="2"/>
  <c r="A358" i="2"/>
  <c r="AJ357" i="2"/>
  <c r="AI357" i="2"/>
  <c r="AH357" i="2"/>
  <c r="AG357" i="2"/>
  <c r="AF357" i="2"/>
  <c r="AE357" i="2"/>
  <c r="AD357" i="2"/>
  <c r="AC357" i="2"/>
  <c r="AB357" i="2"/>
  <c r="AA357" i="2"/>
  <c r="Z357" i="2"/>
  <c r="Y357" i="2"/>
  <c r="X357" i="2"/>
  <c r="W357" i="2"/>
  <c r="V357" i="2"/>
  <c r="U357" i="2"/>
  <c r="T357" i="2"/>
  <c r="S357" i="2"/>
  <c r="R357" i="2"/>
  <c r="Q357" i="2"/>
  <c r="P357" i="2"/>
  <c r="O357" i="2"/>
  <c r="N357" i="2"/>
  <c r="M357" i="2"/>
  <c r="L357" i="2"/>
  <c r="K357" i="2"/>
  <c r="J357" i="2"/>
  <c r="I357" i="2"/>
  <c r="H357" i="2"/>
  <c r="G357" i="2"/>
  <c r="F357" i="2"/>
  <c r="E357" i="2"/>
  <c r="D357" i="2"/>
  <c r="C357" i="2"/>
  <c r="B357" i="2"/>
  <c r="A357" i="2"/>
  <c r="AJ356" i="2"/>
  <c r="AH356" i="2"/>
  <c r="AG356" i="2"/>
  <c r="AF356" i="2"/>
  <c r="AE356" i="2"/>
  <c r="AD356" i="2"/>
  <c r="AC356" i="2"/>
  <c r="AB356" i="2"/>
  <c r="AA356" i="2"/>
  <c r="Z356" i="2"/>
  <c r="Y356" i="2"/>
  <c r="X356" i="2"/>
  <c r="W356" i="2"/>
  <c r="V356" i="2"/>
  <c r="U356" i="2"/>
  <c r="T356" i="2"/>
  <c r="S356" i="2"/>
  <c r="R356" i="2"/>
  <c r="Q356" i="2"/>
  <c r="P356" i="2"/>
  <c r="O356" i="2"/>
  <c r="N356" i="2"/>
  <c r="M356" i="2"/>
  <c r="L356" i="2"/>
  <c r="K356" i="2"/>
  <c r="J356" i="2"/>
  <c r="I356" i="2"/>
  <c r="H356" i="2"/>
  <c r="G356" i="2"/>
  <c r="F356" i="2"/>
  <c r="E356" i="2"/>
  <c r="D356" i="2"/>
  <c r="C356" i="2"/>
  <c r="B356" i="2"/>
  <c r="A356" i="2"/>
  <c r="AJ355" i="2"/>
  <c r="AI355" i="2"/>
  <c r="AH355" i="2"/>
  <c r="AG355" i="2"/>
  <c r="AF355" i="2"/>
  <c r="AE355" i="2"/>
  <c r="AD355" i="2"/>
  <c r="AC355" i="2"/>
  <c r="AB355" i="2"/>
  <c r="AA355" i="2"/>
  <c r="Z355" i="2"/>
  <c r="Y355" i="2"/>
  <c r="X355" i="2"/>
  <c r="W355" i="2"/>
  <c r="V355" i="2"/>
  <c r="U355" i="2"/>
  <c r="T355" i="2"/>
  <c r="S355" i="2"/>
  <c r="R355" i="2"/>
  <c r="Q355" i="2"/>
  <c r="P355" i="2"/>
  <c r="O355" i="2"/>
  <c r="N355" i="2"/>
  <c r="M355" i="2"/>
  <c r="L355" i="2"/>
  <c r="K355" i="2"/>
  <c r="J355" i="2"/>
  <c r="I355" i="2"/>
  <c r="H355" i="2"/>
  <c r="G355" i="2"/>
  <c r="F355" i="2"/>
  <c r="E355" i="2"/>
  <c r="D355" i="2"/>
  <c r="C355" i="2"/>
  <c r="B355" i="2"/>
  <c r="A355" i="2"/>
  <c r="AJ354" i="2"/>
  <c r="AI354" i="2"/>
  <c r="AH354" i="2"/>
  <c r="AG354" i="2"/>
  <c r="AF354" i="2"/>
  <c r="AE354" i="2"/>
  <c r="AD354" i="2"/>
  <c r="AB354" i="2"/>
  <c r="AA354" i="2"/>
  <c r="Z354" i="2"/>
  <c r="Y354" i="2"/>
  <c r="X354" i="2"/>
  <c r="W354" i="2"/>
  <c r="V354" i="2"/>
  <c r="U354" i="2"/>
  <c r="T354" i="2"/>
  <c r="S354" i="2"/>
  <c r="R354" i="2"/>
  <c r="Q354" i="2"/>
  <c r="P354" i="2"/>
  <c r="O354" i="2"/>
  <c r="N354" i="2"/>
  <c r="M354" i="2"/>
  <c r="L354" i="2"/>
  <c r="K354" i="2"/>
  <c r="J354" i="2"/>
  <c r="I354" i="2"/>
  <c r="H354" i="2"/>
  <c r="G354" i="2"/>
  <c r="F354" i="2"/>
  <c r="E354" i="2"/>
  <c r="D354" i="2"/>
  <c r="C354" i="2"/>
  <c r="B354" i="2"/>
  <c r="A354" i="2"/>
  <c r="AJ353" i="2"/>
  <c r="AI353" i="2"/>
  <c r="AH353" i="2"/>
  <c r="AG353" i="2"/>
  <c r="AF353" i="2"/>
  <c r="AE353" i="2"/>
  <c r="AD353" i="2"/>
  <c r="AC353" i="2"/>
  <c r="AB353" i="2"/>
  <c r="AA353" i="2"/>
  <c r="Z353" i="2"/>
  <c r="Y353" i="2"/>
  <c r="X353" i="2"/>
  <c r="W353" i="2"/>
  <c r="V353" i="2"/>
  <c r="U353" i="2"/>
  <c r="T353" i="2"/>
  <c r="S353" i="2"/>
  <c r="R353" i="2"/>
  <c r="Q353" i="2"/>
  <c r="P353" i="2"/>
  <c r="O353" i="2"/>
  <c r="N353" i="2"/>
  <c r="M353" i="2"/>
  <c r="L353" i="2"/>
  <c r="K353" i="2"/>
  <c r="J353" i="2"/>
  <c r="I353" i="2"/>
  <c r="H353" i="2"/>
  <c r="G353" i="2"/>
  <c r="F353" i="2"/>
  <c r="E353" i="2"/>
  <c r="D353" i="2"/>
  <c r="C353" i="2"/>
  <c r="B353" i="2"/>
  <c r="A353" i="2"/>
  <c r="AJ352" i="2"/>
  <c r="AI352" i="2"/>
  <c r="AH352" i="2"/>
  <c r="AG352" i="2"/>
  <c r="AF352" i="2"/>
  <c r="AE352" i="2"/>
  <c r="AD352" i="2"/>
  <c r="AC352" i="2"/>
  <c r="AB352" i="2"/>
  <c r="AA352" i="2"/>
  <c r="Z352" i="2"/>
  <c r="Y352" i="2"/>
  <c r="X352" i="2"/>
  <c r="W352" i="2"/>
  <c r="V352" i="2"/>
  <c r="U352" i="2"/>
  <c r="T352" i="2"/>
  <c r="S352" i="2"/>
  <c r="R352" i="2"/>
  <c r="Q352" i="2"/>
  <c r="P352" i="2"/>
  <c r="O352" i="2"/>
  <c r="N352" i="2"/>
  <c r="M352" i="2"/>
  <c r="L352" i="2"/>
  <c r="K352" i="2"/>
  <c r="J352" i="2"/>
  <c r="I352" i="2"/>
  <c r="H352" i="2"/>
  <c r="G352" i="2"/>
  <c r="F352" i="2"/>
  <c r="E352" i="2"/>
  <c r="D352" i="2"/>
  <c r="C352" i="2"/>
  <c r="B352" i="2"/>
  <c r="A352" i="2"/>
  <c r="AJ351" i="2"/>
  <c r="AI351" i="2"/>
  <c r="AH351" i="2"/>
  <c r="AG351" i="2"/>
  <c r="AF351" i="2"/>
  <c r="AE351" i="2"/>
  <c r="AD351" i="2"/>
  <c r="AC351" i="2"/>
  <c r="AB351" i="2"/>
  <c r="AA351" i="2"/>
  <c r="Z351" i="2"/>
  <c r="Y351" i="2"/>
  <c r="X351" i="2"/>
  <c r="W351" i="2"/>
  <c r="V351" i="2"/>
  <c r="U351" i="2"/>
  <c r="T351" i="2"/>
  <c r="S351" i="2"/>
  <c r="R351" i="2"/>
  <c r="Q351" i="2"/>
  <c r="P351" i="2"/>
  <c r="O351" i="2"/>
  <c r="N351" i="2"/>
  <c r="M351" i="2"/>
  <c r="L351" i="2"/>
  <c r="K351" i="2"/>
  <c r="J351" i="2"/>
  <c r="I351" i="2"/>
  <c r="H351" i="2"/>
  <c r="G351" i="2"/>
  <c r="F351" i="2"/>
  <c r="E351" i="2"/>
  <c r="D351" i="2"/>
  <c r="C351" i="2"/>
  <c r="B351" i="2"/>
  <c r="A351" i="2"/>
  <c r="AJ350" i="2"/>
  <c r="AH350" i="2"/>
  <c r="AG350" i="2"/>
  <c r="AF350" i="2"/>
  <c r="AE350" i="2"/>
  <c r="AD350" i="2"/>
  <c r="AC350" i="2"/>
  <c r="AB350" i="2"/>
  <c r="Z350" i="2"/>
  <c r="Y350" i="2"/>
  <c r="X350" i="2"/>
  <c r="W350" i="2"/>
  <c r="V350" i="2"/>
  <c r="U350" i="2"/>
  <c r="T350" i="2"/>
  <c r="S350" i="2"/>
  <c r="R350" i="2"/>
  <c r="Q350" i="2"/>
  <c r="P350" i="2"/>
  <c r="O350" i="2"/>
  <c r="N350" i="2"/>
  <c r="M350" i="2"/>
  <c r="L350" i="2"/>
  <c r="K350" i="2"/>
  <c r="J350" i="2"/>
  <c r="I350" i="2"/>
  <c r="H350" i="2"/>
  <c r="G350" i="2"/>
  <c r="F350" i="2"/>
  <c r="E350" i="2"/>
  <c r="D350" i="2"/>
  <c r="C350" i="2"/>
  <c r="B350" i="2"/>
  <c r="A350" i="2"/>
  <c r="AJ349" i="2"/>
  <c r="AH349" i="2"/>
  <c r="AG349" i="2"/>
  <c r="AF349" i="2"/>
  <c r="AE349" i="2"/>
  <c r="AD349" i="2"/>
  <c r="AC349" i="2"/>
  <c r="AB349" i="2"/>
  <c r="AA349" i="2"/>
  <c r="Z349" i="2"/>
  <c r="Y349" i="2"/>
  <c r="X349" i="2"/>
  <c r="W349" i="2"/>
  <c r="V349" i="2"/>
  <c r="U349" i="2"/>
  <c r="T349" i="2"/>
  <c r="S349" i="2"/>
  <c r="R349" i="2"/>
  <c r="Q349" i="2"/>
  <c r="P349" i="2"/>
  <c r="O349" i="2"/>
  <c r="N349" i="2"/>
  <c r="M349" i="2"/>
  <c r="L349" i="2"/>
  <c r="K349" i="2"/>
  <c r="J349" i="2"/>
  <c r="I349" i="2"/>
  <c r="H349" i="2"/>
  <c r="G349" i="2"/>
  <c r="F349" i="2"/>
  <c r="E349" i="2"/>
  <c r="D349" i="2"/>
  <c r="C349" i="2"/>
  <c r="B349" i="2"/>
  <c r="A349" i="2"/>
  <c r="AJ348" i="2"/>
  <c r="AI348" i="2"/>
  <c r="AH348" i="2"/>
  <c r="AG348" i="2"/>
  <c r="AF348" i="2"/>
  <c r="AE348" i="2"/>
  <c r="AD348" i="2"/>
  <c r="AC348" i="2"/>
  <c r="AB348" i="2"/>
  <c r="AA348" i="2"/>
  <c r="Z348" i="2"/>
  <c r="Y348" i="2"/>
  <c r="X348" i="2"/>
  <c r="W348" i="2"/>
  <c r="V348" i="2"/>
  <c r="U348" i="2"/>
  <c r="T348" i="2"/>
  <c r="S348" i="2"/>
  <c r="R348" i="2"/>
  <c r="Q348" i="2"/>
  <c r="P348" i="2"/>
  <c r="O348" i="2"/>
  <c r="N348" i="2"/>
  <c r="M348" i="2"/>
  <c r="L348" i="2"/>
  <c r="K348" i="2"/>
  <c r="J348" i="2"/>
  <c r="I348" i="2"/>
  <c r="H348" i="2"/>
  <c r="G348" i="2"/>
  <c r="F348" i="2"/>
  <c r="E348" i="2"/>
  <c r="D348" i="2"/>
  <c r="C348" i="2"/>
  <c r="B348" i="2"/>
  <c r="A348" i="2"/>
  <c r="AJ347" i="2"/>
  <c r="AI347" i="2"/>
  <c r="AH347" i="2"/>
  <c r="AG347" i="2"/>
  <c r="AF347" i="2"/>
  <c r="AE347" i="2"/>
  <c r="AD347" i="2"/>
  <c r="AC347" i="2"/>
  <c r="AB347" i="2"/>
  <c r="AA347" i="2"/>
  <c r="Z347" i="2"/>
  <c r="Y347" i="2"/>
  <c r="X347" i="2"/>
  <c r="W347" i="2"/>
  <c r="V347" i="2"/>
  <c r="U347" i="2"/>
  <c r="T347" i="2"/>
  <c r="S347" i="2"/>
  <c r="R347" i="2"/>
  <c r="Q347" i="2"/>
  <c r="P347" i="2"/>
  <c r="O347" i="2"/>
  <c r="N347" i="2"/>
  <c r="M347" i="2"/>
  <c r="L347" i="2"/>
  <c r="K347" i="2"/>
  <c r="J347" i="2"/>
  <c r="I347" i="2"/>
  <c r="H347" i="2"/>
  <c r="G347" i="2"/>
  <c r="F347" i="2"/>
  <c r="E347" i="2"/>
  <c r="D347" i="2"/>
  <c r="C347" i="2"/>
  <c r="B347" i="2"/>
  <c r="A347" i="2"/>
  <c r="AJ346" i="2"/>
  <c r="AI346" i="2"/>
  <c r="AH346" i="2"/>
  <c r="AG346" i="2"/>
  <c r="AF346" i="2"/>
  <c r="AE346" i="2"/>
  <c r="AD346" i="2"/>
  <c r="AC346" i="2"/>
  <c r="AB346" i="2"/>
  <c r="AA346" i="2"/>
  <c r="Z346" i="2"/>
  <c r="Y346" i="2"/>
  <c r="X346" i="2"/>
  <c r="W346" i="2"/>
  <c r="V346" i="2"/>
  <c r="U346" i="2"/>
  <c r="T346" i="2"/>
  <c r="S346" i="2"/>
  <c r="R346" i="2"/>
  <c r="Q346" i="2"/>
  <c r="P346" i="2"/>
  <c r="O346" i="2"/>
  <c r="N346" i="2"/>
  <c r="M346" i="2"/>
  <c r="L346" i="2"/>
  <c r="K346" i="2"/>
  <c r="J346" i="2"/>
  <c r="I346" i="2"/>
  <c r="H346" i="2"/>
  <c r="G346" i="2"/>
  <c r="F346" i="2"/>
  <c r="E346" i="2"/>
  <c r="D346" i="2"/>
  <c r="C346" i="2"/>
  <c r="B346" i="2"/>
  <c r="A346" i="2"/>
  <c r="AJ345" i="2"/>
  <c r="AH345" i="2"/>
  <c r="AG345" i="2"/>
  <c r="AF345" i="2"/>
  <c r="AE345" i="2"/>
  <c r="AD345" i="2"/>
  <c r="AC345" i="2"/>
  <c r="AB345" i="2"/>
  <c r="AA345" i="2"/>
  <c r="Z345" i="2"/>
  <c r="Y345" i="2"/>
  <c r="X345" i="2"/>
  <c r="W345" i="2"/>
  <c r="V345" i="2"/>
  <c r="U345" i="2"/>
  <c r="T345" i="2"/>
  <c r="S345" i="2"/>
  <c r="R345" i="2"/>
  <c r="Q345" i="2"/>
  <c r="P345" i="2"/>
  <c r="O345" i="2"/>
  <c r="N345" i="2"/>
  <c r="M345" i="2"/>
  <c r="L345" i="2"/>
  <c r="K345" i="2"/>
  <c r="J345" i="2"/>
  <c r="I345" i="2"/>
  <c r="H345" i="2"/>
  <c r="G345" i="2"/>
  <c r="F345" i="2"/>
  <c r="E345" i="2"/>
  <c r="D345" i="2"/>
  <c r="C345" i="2"/>
  <c r="B345" i="2"/>
  <c r="A345" i="2"/>
  <c r="AJ344" i="2"/>
  <c r="AI344" i="2"/>
  <c r="AH344" i="2"/>
  <c r="AG344" i="2"/>
  <c r="AF344" i="2"/>
  <c r="AE344" i="2"/>
  <c r="AD344" i="2"/>
  <c r="AC344" i="2"/>
  <c r="AB344" i="2"/>
  <c r="AA344" i="2"/>
  <c r="Z344" i="2"/>
  <c r="Y344" i="2"/>
  <c r="X344" i="2"/>
  <c r="W344" i="2"/>
  <c r="V344" i="2"/>
  <c r="U344" i="2"/>
  <c r="T344" i="2"/>
  <c r="S344" i="2"/>
  <c r="R344" i="2"/>
  <c r="Q344" i="2"/>
  <c r="P344" i="2"/>
  <c r="O344" i="2"/>
  <c r="N344" i="2"/>
  <c r="M344" i="2"/>
  <c r="L344" i="2"/>
  <c r="K344" i="2"/>
  <c r="J344" i="2"/>
  <c r="I344" i="2"/>
  <c r="H344" i="2"/>
  <c r="G344" i="2"/>
  <c r="F344" i="2"/>
  <c r="E344" i="2"/>
  <c r="D344" i="2"/>
  <c r="C344" i="2"/>
  <c r="B344" i="2"/>
  <c r="A344" i="2"/>
  <c r="AJ343" i="2"/>
  <c r="AH343" i="2"/>
  <c r="AG343" i="2"/>
  <c r="AF343" i="2"/>
  <c r="AE343" i="2"/>
  <c r="AD343" i="2"/>
  <c r="AC343" i="2"/>
  <c r="AB343" i="2"/>
  <c r="AA343" i="2"/>
  <c r="Z343" i="2"/>
  <c r="Y343" i="2"/>
  <c r="X343" i="2"/>
  <c r="W343" i="2"/>
  <c r="V343" i="2"/>
  <c r="U343" i="2"/>
  <c r="T343" i="2"/>
  <c r="S343" i="2"/>
  <c r="R343" i="2"/>
  <c r="Q343" i="2"/>
  <c r="P343" i="2"/>
  <c r="O343" i="2"/>
  <c r="N343" i="2"/>
  <c r="M343" i="2"/>
  <c r="L343" i="2"/>
  <c r="K343" i="2"/>
  <c r="J343" i="2"/>
  <c r="I343" i="2"/>
  <c r="H343" i="2"/>
  <c r="G343" i="2"/>
  <c r="F343" i="2"/>
  <c r="E343" i="2"/>
  <c r="D343" i="2"/>
  <c r="C343" i="2"/>
  <c r="B343" i="2"/>
  <c r="A343" i="2"/>
  <c r="AJ342" i="2"/>
  <c r="AI342" i="2"/>
  <c r="AH342" i="2"/>
  <c r="AG342" i="2"/>
  <c r="AF342" i="2"/>
  <c r="AE342" i="2"/>
  <c r="AD342" i="2"/>
  <c r="AC342" i="2"/>
  <c r="AB342" i="2"/>
  <c r="AA342" i="2"/>
  <c r="Z342" i="2"/>
  <c r="Y342" i="2"/>
  <c r="X342" i="2"/>
  <c r="W342" i="2"/>
  <c r="V342" i="2"/>
  <c r="U342" i="2"/>
  <c r="T342" i="2"/>
  <c r="S342" i="2"/>
  <c r="R342" i="2"/>
  <c r="Q342" i="2"/>
  <c r="P342" i="2"/>
  <c r="O342" i="2"/>
  <c r="N342" i="2"/>
  <c r="M342" i="2"/>
  <c r="L342" i="2"/>
  <c r="K342" i="2"/>
  <c r="J342" i="2"/>
  <c r="I342" i="2"/>
  <c r="H342" i="2"/>
  <c r="G342" i="2"/>
  <c r="F342" i="2"/>
  <c r="E342" i="2"/>
  <c r="D342" i="2"/>
  <c r="C342" i="2"/>
  <c r="B342" i="2"/>
  <c r="A342" i="2"/>
  <c r="AJ341" i="2"/>
  <c r="AI341" i="2"/>
  <c r="AH341" i="2"/>
  <c r="AG341" i="2"/>
  <c r="AF341" i="2"/>
  <c r="AE341" i="2"/>
  <c r="AD341" i="2"/>
  <c r="AC341" i="2"/>
  <c r="AB341" i="2"/>
  <c r="Z341" i="2"/>
  <c r="Y341" i="2"/>
  <c r="X341" i="2"/>
  <c r="W341" i="2"/>
  <c r="V341" i="2"/>
  <c r="U341" i="2"/>
  <c r="T341" i="2"/>
  <c r="S341" i="2"/>
  <c r="R341" i="2"/>
  <c r="Q341" i="2"/>
  <c r="P341" i="2"/>
  <c r="O341" i="2"/>
  <c r="N341" i="2"/>
  <c r="M341" i="2"/>
  <c r="L341" i="2"/>
  <c r="K341" i="2"/>
  <c r="J341" i="2"/>
  <c r="I341" i="2"/>
  <c r="H341" i="2"/>
  <c r="G341" i="2"/>
  <c r="F341" i="2"/>
  <c r="E341" i="2"/>
  <c r="D341" i="2"/>
  <c r="C341" i="2"/>
  <c r="B341" i="2"/>
  <c r="A341" i="2"/>
  <c r="AJ340" i="2"/>
  <c r="AH340" i="2"/>
  <c r="AG340" i="2"/>
  <c r="AF340" i="2"/>
  <c r="AE340" i="2"/>
  <c r="AD340" i="2"/>
  <c r="AC340" i="2"/>
  <c r="AB340" i="2"/>
  <c r="Z340" i="2"/>
  <c r="Y340" i="2"/>
  <c r="X340" i="2"/>
  <c r="W340" i="2"/>
  <c r="V340" i="2"/>
  <c r="U340" i="2"/>
  <c r="T340" i="2"/>
  <c r="S340" i="2"/>
  <c r="R340" i="2"/>
  <c r="Q340" i="2"/>
  <c r="P340" i="2"/>
  <c r="O340" i="2"/>
  <c r="N340" i="2"/>
  <c r="M340" i="2"/>
  <c r="L340" i="2"/>
  <c r="K340" i="2"/>
  <c r="J340" i="2"/>
  <c r="I340" i="2"/>
  <c r="H340" i="2"/>
  <c r="G340" i="2"/>
  <c r="F340" i="2"/>
  <c r="E340" i="2"/>
  <c r="D340" i="2"/>
  <c r="C340" i="2"/>
  <c r="B340" i="2"/>
  <c r="A340" i="2"/>
  <c r="AJ339" i="2"/>
  <c r="AI339" i="2"/>
  <c r="AH339" i="2"/>
  <c r="AG339" i="2"/>
  <c r="AF339" i="2"/>
  <c r="AE339" i="2"/>
  <c r="AD339" i="2"/>
  <c r="AC339" i="2"/>
  <c r="AB339" i="2"/>
  <c r="AA339" i="2"/>
  <c r="Z339" i="2"/>
  <c r="Y339" i="2"/>
  <c r="X339" i="2"/>
  <c r="U339" i="2"/>
  <c r="T339" i="2"/>
  <c r="S339" i="2"/>
  <c r="R339" i="2"/>
  <c r="Q339" i="2"/>
  <c r="P339" i="2"/>
  <c r="O339" i="2"/>
  <c r="N339" i="2"/>
  <c r="M339" i="2"/>
  <c r="L339" i="2"/>
  <c r="K339" i="2"/>
  <c r="J339" i="2"/>
  <c r="I339" i="2"/>
  <c r="H339" i="2"/>
  <c r="G339" i="2"/>
  <c r="F339" i="2"/>
  <c r="E339" i="2"/>
  <c r="D339" i="2"/>
  <c r="C339" i="2"/>
  <c r="B339" i="2"/>
  <c r="A339" i="2"/>
  <c r="AJ338" i="2"/>
  <c r="AI338" i="2"/>
  <c r="AH338" i="2"/>
  <c r="AG338" i="2"/>
  <c r="AF338" i="2"/>
  <c r="AE338" i="2"/>
  <c r="AD338" i="2"/>
  <c r="AC338" i="2"/>
  <c r="AB338" i="2"/>
  <c r="AA338" i="2"/>
  <c r="Z338" i="2"/>
  <c r="Y338" i="2"/>
  <c r="X338" i="2"/>
  <c r="W338" i="2"/>
  <c r="V338" i="2"/>
  <c r="U338" i="2"/>
  <c r="T338" i="2"/>
  <c r="S338" i="2"/>
  <c r="R338" i="2"/>
  <c r="Q338" i="2"/>
  <c r="P338" i="2"/>
  <c r="O338" i="2"/>
  <c r="N338" i="2"/>
  <c r="M338" i="2"/>
  <c r="L338" i="2"/>
  <c r="K338" i="2"/>
  <c r="J338" i="2"/>
  <c r="I338" i="2"/>
  <c r="H338" i="2"/>
  <c r="G338" i="2"/>
  <c r="F338" i="2"/>
  <c r="E338" i="2"/>
  <c r="D338" i="2"/>
  <c r="C338" i="2"/>
  <c r="B338" i="2"/>
  <c r="A338" i="2"/>
  <c r="AJ337" i="2"/>
  <c r="AH337" i="2"/>
  <c r="AG337" i="2"/>
  <c r="AF337" i="2"/>
  <c r="AE337" i="2"/>
  <c r="AD337" i="2"/>
  <c r="AC337" i="2"/>
  <c r="AB337" i="2"/>
  <c r="AA337" i="2"/>
  <c r="Z337" i="2"/>
  <c r="Y337" i="2"/>
  <c r="X337" i="2"/>
  <c r="W337" i="2"/>
  <c r="V337" i="2"/>
  <c r="U337" i="2"/>
  <c r="T337" i="2"/>
  <c r="S337" i="2"/>
  <c r="R337" i="2"/>
  <c r="Q337" i="2"/>
  <c r="P337" i="2"/>
  <c r="O337" i="2"/>
  <c r="N337" i="2"/>
  <c r="M337" i="2"/>
  <c r="L337" i="2"/>
  <c r="K337" i="2"/>
  <c r="J337" i="2"/>
  <c r="I337" i="2"/>
  <c r="H337" i="2"/>
  <c r="G337" i="2"/>
  <c r="F337" i="2"/>
  <c r="E337" i="2"/>
  <c r="D337" i="2"/>
  <c r="C337" i="2"/>
  <c r="B337" i="2"/>
  <c r="A337" i="2"/>
  <c r="AJ336" i="2"/>
  <c r="AH336" i="2"/>
  <c r="AG336" i="2"/>
  <c r="AF336" i="2"/>
  <c r="AE336" i="2"/>
  <c r="AD336" i="2"/>
  <c r="AC336" i="2"/>
  <c r="Z336" i="2"/>
  <c r="Y336" i="2"/>
  <c r="X336" i="2"/>
  <c r="V336" i="2"/>
  <c r="U336" i="2"/>
  <c r="T336" i="2"/>
  <c r="S336" i="2"/>
  <c r="R336" i="2"/>
  <c r="Q336" i="2"/>
  <c r="P336" i="2"/>
  <c r="O336" i="2"/>
  <c r="N336" i="2"/>
  <c r="M336" i="2"/>
  <c r="L336" i="2"/>
  <c r="K336" i="2"/>
  <c r="J336" i="2"/>
  <c r="I336" i="2"/>
  <c r="H336" i="2"/>
  <c r="G336" i="2"/>
  <c r="F336" i="2"/>
  <c r="E336" i="2"/>
  <c r="D336" i="2"/>
  <c r="C336" i="2"/>
  <c r="B336" i="2"/>
  <c r="A336" i="2"/>
  <c r="AJ335" i="2"/>
  <c r="AI335" i="2"/>
  <c r="AH335" i="2"/>
  <c r="AG335" i="2"/>
  <c r="AF335" i="2"/>
  <c r="AE335" i="2"/>
  <c r="AC335" i="2"/>
  <c r="AB335" i="2"/>
  <c r="AA335" i="2"/>
  <c r="Z335" i="2"/>
  <c r="Y335" i="2"/>
  <c r="X335" i="2"/>
  <c r="W335" i="2"/>
  <c r="V335" i="2"/>
  <c r="U335" i="2"/>
  <c r="T335" i="2"/>
  <c r="S335" i="2"/>
  <c r="R335" i="2"/>
  <c r="Q335" i="2"/>
  <c r="P335" i="2"/>
  <c r="O335" i="2"/>
  <c r="N335" i="2"/>
  <c r="M335" i="2"/>
  <c r="L335" i="2"/>
  <c r="K335" i="2"/>
  <c r="J335" i="2"/>
  <c r="I335" i="2"/>
  <c r="H335" i="2"/>
  <c r="G335" i="2"/>
  <c r="F335" i="2"/>
  <c r="E335" i="2"/>
  <c r="D335" i="2"/>
  <c r="C335" i="2"/>
  <c r="B335" i="2"/>
  <c r="A335" i="2"/>
  <c r="AJ334" i="2"/>
  <c r="AH334" i="2"/>
  <c r="AG334" i="2"/>
  <c r="AF334" i="2"/>
  <c r="AE334" i="2"/>
  <c r="AD334" i="2"/>
  <c r="AC334" i="2"/>
  <c r="AB334" i="2"/>
  <c r="AA334" i="2"/>
  <c r="Z334" i="2"/>
  <c r="Y334" i="2"/>
  <c r="X334" i="2"/>
  <c r="W334" i="2"/>
  <c r="V334" i="2"/>
  <c r="U334" i="2"/>
  <c r="T334" i="2"/>
  <c r="S334" i="2"/>
  <c r="R334" i="2"/>
  <c r="Q334" i="2"/>
  <c r="P334" i="2"/>
  <c r="O334" i="2"/>
  <c r="N334" i="2"/>
  <c r="M334" i="2"/>
  <c r="L334" i="2"/>
  <c r="K334" i="2"/>
  <c r="J334" i="2"/>
  <c r="I334" i="2"/>
  <c r="H334" i="2"/>
  <c r="G334" i="2"/>
  <c r="F334" i="2"/>
  <c r="E334" i="2"/>
  <c r="D334" i="2"/>
  <c r="C334" i="2"/>
  <c r="B334" i="2"/>
  <c r="A334" i="2"/>
  <c r="AJ333" i="2"/>
  <c r="AI333" i="2"/>
  <c r="AH333" i="2"/>
  <c r="AG333" i="2"/>
  <c r="AF333" i="2"/>
  <c r="AE333" i="2"/>
  <c r="AD333" i="2"/>
  <c r="AC333" i="2"/>
  <c r="AA333" i="2"/>
  <c r="Z333" i="2"/>
  <c r="Y333" i="2"/>
  <c r="X333" i="2"/>
  <c r="V333" i="2"/>
  <c r="U333" i="2"/>
  <c r="T333" i="2"/>
  <c r="S333" i="2"/>
  <c r="R333" i="2"/>
  <c r="Q333" i="2"/>
  <c r="P333" i="2"/>
  <c r="O333" i="2"/>
  <c r="N333" i="2"/>
  <c r="M333" i="2"/>
  <c r="L333" i="2"/>
  <c r="K333" i="2"/>
  <c r="J333" i="2"/>
  <c r="I333" i="2"/>
  <c r="H333" i="2"/>
  <c r="G333" i="2"/>
  <c r="F333" i="2"/>
  <c r="E333" i="2"/>
  <c r="D333" i="2"/>
  <c r="C333" i="2"/>
  <c r="B333" i="2"/>
  <c r="A333" i="2"/>
  <c r="AJ332" i="2"/>
  <c r="AH332" i="2"/>
  <c r="AG332" i="2"/>
  <c r="AF332" i="2"/>
  <c r="AE332" i="2"/>
  <c r="AD332" i="2"/>
  <c r="AC332" i="2"/>
  <c r="AB332" i="2"/>
  <c r="AA332" i="2"/>
  <c r="Z332" i="2"/>
  <c r="Y332" i="2"/>
  <c r="X332" i="2"/>
  <c r="W332" i="2"/>
  <c r="V332" i="2"/>
  <c r="U332" i="2"/>
  <c r="T332" i="2"/>
  <c r="S332" i="2"/>
  <c r="R332" i="2"/>
  <c r="Q332" i="2"/>
  <c r="P332" i="2"/>
  <c r="O332" i="2"/>
  <c r="N332" i="2"/>
  <c r="M332" i="2"/>
  <c r="L332" i="2"/>
  <c r="K332" i="2"/>
  <c r="J332" i="2"/>
  <c r="I332" i="2"/>
  <c r="H332" i="2"/>
  <c r="G332" i="2"/>
  <c r="F332" i="2"/>
  <c r="E332" i="2"/>
  <c r="D332" i="2"/>
  <c r="C332" i="2"/>
  <c r="B332" i="2"/>
  <c r="A332" i="2"/>
  <c r="AJ331" i="2"/>
  <c r="AI331" i="2"/>
  <c r="AH331" i="2"/>
  <c r="AG331" i="2"/>
  <c r="AF331" i="2"/>
  <c r="AE331" i="2"/>
  <c r="AD331" i="2"/>
  <c r="AC331" i="2"/>
  <c r="AB331" i="2"/>
  <c r="AA331" i="2"/>
  <c r="Z331" i="2"/>
  <c r="Y331" i="2"/>
  <c r="X331" i="2"/>
  <c r="W331" i="2"/>
  <c r="V331" i="2"/>
  <c r="U331" i="2"/>
  <c r="T331" i="2"/>
  <c r="S331" i="2"/>
  <c r="R331" i="2"/>
  <c r="Q331" i="2"/>
  <c r="P331" i="2"/>
  <c r="O331" i="2"/>
  <c r="N331" i="2"/>
  <c r="M331" i="2"/>
  <c r="L331" i="2"/>
  <c r="K331" i="2"/>
  <c r="J331" i="2"/>
  <c r="I331" i="2"/>
  <c r="H331" i="2"/>
  <c r="G331" i="2"/>
  <c r="F331" i="2"/>
  <c r="E331" i="2"/>
  <c r="D331" i="2"/>
  <c r="C331" i="2"/>
  <c r="B331" i="2"/>
  <c r="A331" i="2"/>
  <c r="AJ330" i="2"/>
  <c r="AI330" i="2"/>
  <c r="AH330" i="2"/>
  <c r="AG330" i="2"/>
  <c r="AF330" i="2"/>
  <c r="AE330" i="2"/>
  <c r="AD330" i="2"/>
  <c r="AC330" i="2"/>
  <c r="AB330" i="2"/>
  <c r="AA330" i="2"/>
  <c r="Z330" i="2"/>
  <c r="Y330" i="2"/>
  <c r="X330" i="2"/>
  <c r="W330" i="2"/>
  <c r="V330" i="2"/>
  <c r="U330" i="2"/>
  <c r="T330" i="2"/>
  <c r="S330" i="2"/>
  <c r="R330" i="2"/>
  <c r="Q330" i="2"/>
  <c r="P330" i="2"/>
  <c r="O330" i="2"/>
  <c r="N330" i="2"/>
  <c r="M330" i="2"/>
  <c r="L330" i="2"/>
  <c r="K330" i="2"/>
  <c r="J330" i="2"/>
  <c r="I330" i="2"/>
  <c r="H330" i="2"/>
  <c r="G330" i="2"/>
  <c r="F330" i="2"/>
  <c r="E330" i="2"/>
  <c r="D330" i="2"/>
  <c r="C330" i="2"/>
  <c r="B330" i="2"/>
  <c r="A330" i="2"/>
  <c r="AJ329" i="2"/>
  <c r="AI329" i="2"/>
  <c r="AH329" i="2"/>
  <c r="AG329" i="2"/>
  <c r="AF329" i="2"/>
  <c r="AE329" i="2"/>
  <c r="AD329" i="2"/>
  <c r="AC329" i="2"/>
  <c r="Z329" i="2"/>
  <c r="Y329" i="2"/>
  <c r="X329" i="2"/>
  <c r="W329" i="2"/>
  <c r="V329" i="2"/>
  <c r="U329" i="2"/>
  <c r="T329" i="2"/>
  <c r="S329" i="2"/>
  <c r="R329" i="2"/>
  <c r="Q329" i="2"/>
  <c r="P329" i="2"/>
  <c r="O329" i="2"/>
  <c r="N329" i="2"/>
  <c r="M329" i="2"/>
  <c r="L329" i="2"/>
  <c r="K329" i="2"/>
  <c r="J329" i="2"/>
  <c r="I329" i="2"/>
  <c r="H329" i="2"/>
  <c r="G329" i="2"/>
  <c r="F329" i="2"/>
  <c r="E329" i="2"/>
  <c r="D329" i="2"/>
  <c r="C329" i="2"/>
  <c r="B329" i="2"/>
  <c r="A329" i="2"/>
  <c r="AJ328" i="2"/>
  <c r="AI328" i="2"/>
  <c r="AH328" i="2"/>
  <c r="AG328" i="2"/>
  <c r="AF328" i="2"/>
  <c r="AE328" i="2"/>
  <c r="AD328" i="2"/>
  <c r="AC328" i="2"/>
  <c r="AB328" i="2"/>
  <c r="AA328" i="2"/>
  <c r="Z328" i="2"/>
  <c r="Y328" i="2"/>
  <c r="X328" i="2"/>
  <c r="W328" i="2"/>
  <c r="V328" i="2"/>
  <c r="U328" i="2"/>
  <c r="T328" i="2"/>
  <c r="S328" i="2"/>
  <c r="R328" i="2"/>
  <c r="Q328" i="2"/>
  <c r="P328" i="2"/>
  <c r="O328" i="2"/>
  <c r="N328" i="2"/>
  <c r="M328" i="2"/>
  <c r="L328" i="2"/>
  <c r="K328" i="2"/>
  <c r="J328" i="2"/>
  <c r="I328" i="2"/>
  <c r="H328" i="2"/>
  <c r="G328" i="2"/>
  <c r="F328" i="2"/>
  <c r="E328" i="2"/>
  <c r="D328" i="2"/>
  <c r="C328" i="2"/>
  <c r="B328" i="2"/>
  <c r="A328" i="2"/>
  <c r="AJ327" i="2"/>
  <c r="AI327" i="2"/>
  <c r="AH327" i="2"/>
  <c r="AG327" i="2"/>
  <c r="AF327" i="2"/>
  <c r="AE327" i="2"/>
  <c r="AD327" i="2"/>
  <c r="AC327" i="2"/>
  <c r="AB327" i="2"/>
  <c r="AA327" i="2"/>
  <c r="Z327" i="2"/>
  <c r="Y327" i="2"/>
  <c r="X327" i="2"/>
  <c r="W327" i="2"/>
  <c r="V327" i="2"/>
  <c r="U327" i="2"/>
  <c r="T327" i="2"/>
  <c r="S327" i="2"/>
  <c r="R327" i="2"/>
  <c r="Q327" i="2"/>
  <c r="P327" i="2"/>
  <c r="O327" i="2"/>
  <c r="N327" i="2"/>
  <c r="M327" i="2"/>
  <c r="L327" i="2"/>
  <c r="K327" i="2"/>
  <c r="J327" i="2"/>
  <c r="I327" i="2"/>
  <c r="H327" i="2"/>
  <c r="G327" i="2"/>
  <c r="F327" i="2"/>
  <c r="E327" i="2"/>
  <c r="D327" i="2"/>
  <c r="C327" i="2"/>
  <c r="B327" i="2"/>
  <c r="A327" i="2"/>
  <c r="AJ326" i="2"/>
  <c r="AI326" i="2"/>
  <c r="AH326" i="2"/>
  <c r="AG326" i="2"/>
  <c r="AF326" i="2"/>
  <c r="AE326" i="2"/>
  <c r="AD326" i="2"/>
  <c r="AC326" i="2"/>
  <c r="AB326" i="2"/>
  <c r="AA326" i="2"/>
  <c r="Z326" i="2"/>
  <c r="Y326" i="2"/>
  <c r="X326" i="2"/>
  <c r="W326" i="2"/>
  <c r="V326" i="2"/>
  <c r="U326" i="2"/>
  <c r="T326" i="2"/>
  <c r="S326" i="2"/>
  <c r="R326" i="2"/>
  <c r="Q326" i="2"/>
  <c r="P326" i="2"/>
  <c r="O326" i="2"/>
  <c r="N326" i="2"/>
  <c r="M326" i="2"/>
  <c r="L326" i="2"/>
  <c r="K326" i="2"/>
  <c r="J326" i="2"/>
  <c r="I326" i="2"/>
  <c r="H326" i="2"/>
  <c r="G326" i="2"/>
  <c r="F326" i="2"/>
  <c r="E326" i="2"/>
  <c r="D326" i="2"/>
  <c r="C326" i="2"/>
  <c r="B326" i="2"/>
  <c r="A326" i="2"/>
  <c r="AJ325" i="2"/>
  <c r="AI325" i="2"/>
  <c r="AH325" i="2"/>
  <c r="AG325" i="2"/>
  <c r="AF325" i="2"/>
  <c r="AE325" i="2"/>
  <c r="AD325" i="2"/>
  <c r="AC325" i="2"/>
  <c r="AB325" i="2"/>
  <c r="AA325" i="2"/>
  <c r="Z325" i="2"/>
  <c r="Y325" i="2"/>
  <c r="X325" i="2"/>
  <c r="W325" i="2"/>
  <c r="V325" i="2"/>
  <c r="U325" i="2"/>
  <c r="T325" i="2"/>
  <c r="S325" i="2"/>
  <c r="R325" i="2"/>
  <c r="Q325" i="2"/>
  <c r="P325" i="2"/>
  <c r="O325" i="2"/>
  <c r="N325" i="2"/>
  <c r="M325" i="2"/>
  <c r="L325" i="2"/>
  <c r="K325" i="2"/>
  <c r="J325" i="2"/>
  <c r="I325" i="2"/>
  <c r="H325" i="2"/>
  <c r="G325" i="2"/>
  <c r="F325" i="2"/>
  <c r="E325" i="2"/>
  <c r="D325" i="2"/>
  <c r="C325" i="2"/>
  <c r="B325" i="2"/>
  <c r="A325" i="2"/>
  <c r="AJ324" i="2"/>
  <c r="AI324" i="2"/>
  <c r="AH324" i="2"/>
  <c r="AG324" i="2"/>
  <c r="AF324" i="2"/>
  <c r="AE324" i="2"/>
  <c r="AD324" i="2"/>
  <c r="AC324" i="2"/>
  <c r="AB324" i="2"/>
  <c r="Z324" i="2"/>
  <c r="Y324" i="2"/>
  <c r="X324" i="2"/>
  <c r="W324" i="2"/>
  <c r="V324" i="2"/>
  <c r="U324" i="2"/>
  <c r="T324" i="2"/>
  <c r="S324" i="2"/>
  <c r="R324" i="2"/>
  <c r="Q324" i="2"/>
  <c r="P324" i="2"/>
  <c r="O324" i="2"/>
  <c r="N324" i="2"/>
  <c r="M324" i="2"/>
  <c r="L324" i="2"/>
  <c r="K324" i="2"/>
  <c r="J324" i="2"/>
  <c r="I324" i="2"/>
  <c r="H324" i="2"/>
  <c r="G324" i="2"/>
  <c r="F324" i="2"/>
  <c r="E324" i="2"/>
  <c r="D324" i="2"/>
  <c r="C324" i="2"/>
  <c r="B324" i="2"/>
  <c r="A324" i="2"/>
  <c r="AJ323" i="2"/>
  <c r="AI323" i="2"/>
  <c r="AH323" i="2"/>
  <c r="AG323" i="2"/>
  <c r="AF323" i="2"/>
  <c r="AE323" i="2"/>
  <c r="AD323" i="2"/>
  <c r="AC323" i="2"/>
  <c r="AB323" i="2"/>
  <c r="AA323" i="2"/>
  <c r="Z323" i="2"/>
  <c r="Y323" i="2"/>
  <c r="X323" i="2"/>
  <c r="W323" i="2"/>
  <c r="V323" i="2"/>
  <c r="U323" i="2"/>
  <c r="T323" i="2"/>
  <c r="S323" i="2"/>
  <c r="R323" i="2"/>
  <c r="Q323" i="2"/>
  <c r="P323" i="2"/>
  <c r="O323" i="2"/>
  <c r="N323" i="2"/>
  <c r="M323" i="2"/>
  <c r="L323" i="2"/>
  <c r="K323" i="2"/>
  <c r="J323" i="2"/>
  <c r="I323" i="2"/>
  <c r="H323" i="2"/>
  <c r="G323" i="2"/>
  <c r="F323" i="2"/>
  <c r="E323" i="2"/>
  <c r="D323" i="2"/>
  <c r="C323" i="2"/>
  <c r="B323" i="2"/>
  <c r="A323" i="2"/>
  <c r="AJ322" i="2"/>
  <c r="AH322" i="2"/>
  <c r="AG322" i="2"/>
  <c r="AF322" i="2"/>
  <c r="AE322" i="2"/>
  <c r="AD322" i="2"/>
  <c r="AC322" i="2"/>
  <c r="AB322" i="2"/>
  <c r="AA322" i="2"/>
  <c r="Z322" i="2"/>
  <c r="Y322" i="2"/>
  <c r="X322" i="2"/>
  <c r="W322" i="2"/>
  <c r="V322" i="2"/>
  <c r="U322" i="2"/>
  <c r="T322" i="2"/>
  <c r="S322" i="2"/>
  <c r="R322" i="2"/>
  <c r="Q322" i="2"/>
  <c r="P322" i="2"/>
  <c r="O322" i="2"/>
  <c r="N322" i="2"/>
  <c r="M322" i="2"/>
  <c r="L322" i="2"/>
  <c r="K322" i="2"/>
  <c r="J322" i="2"/>
  <c r="I322" i="2"/>
  <c r="H322" i="2"/>
  <c r="G322" i="2"/>
  <c r="F322" i="2"/>
  <c r="E322" i="2"/>
  <c r="D322" i="2"/>
  <c r="C322" i="2"/>
  <c r="B322" i="2"/>
  <c r="A322" i="2"/>
  <c r="AJ321" i="2"/>
  <c r="AI321" i="2"/>
  <c r="AH321" i="2"/>
  <c r="AG321" i="2"/>
  <c r="AF321" i="2"/>
  <c r="AE321" i="2"/>
  <c r="AD321" i="2"/>
  <c r="AC321" i="2"/>
  <c r="AB321" i="2"/>
  <c r="AA321" i="2"/>
  <c r="Z321" i="2"/>
  <c r="Y321" i="2"/>
  <c r="X321" i="2"/>
  <c r="W321" i="2"/>
  <c r="V321" i="2"/>
  <c r="U321" i="2"/>
  <c r="T321" i="2"/>
  <c r="S321" i="2"/>
  <c r="R321" i="2"/>
  <c r="Q321" i="2"/>
  <c r="P321" i="2"/>
  <c r="O321" i="2"/>
  <c r="N321" i="2"/>
  <c r="M321" i="2"/>
  <c r="L321" i="2"/>
  <c r="K321" i="2"/>
  <c r="J321" i="2"/>
  <c r="I321" i="2"/>
  <c r="H321" i="2"/>
  <c r="G321" i="2"/>
  <c r="F321" i="2"/>
  <c r="E321" i="2"/>
  <c r="D321" i="2"/>
  <c r="C321" i="2"/>
  <c r="B321" i="2"/>
  <c r="A321" i="2"/>
  <c r="AJ320" i="2"/>
  <c r="AI320" i="2"/>
  <c r="AH320" i="2"/>
  <c r="AG320" i="2"/>
  <c r="AF320" i="2"/>
  <c r="AE320" i="2"/>
  <c r="AD320" i="2"/>
  <c r="AC320" i="2"/>
  <c r="AB320" i="2"/>
  <c r="AA320" i="2"/>
  <c r="Z320" i="2"/>
  <c r="Y320" i="2"/>
  <c r="X320" i="2"/>
  <c r="W320" i="2"/>
  <c r="V320" i="2"/>
  <c r="U320" i="2"/>
  <c r="T320" i="2"/>
  <c r="S320" i="2"/>
  <c r="R320" i="2"/>
  <c r="Q320" i="2"/>
  <c r="P320" i="2"/>
  <c r="O320" i="2"/>
  <c r="N320" i="2"/>
  <c r="M320" i="2"/>
  <c r="L320" i="2"/>
  <c r="K320" i="2"/>
  <c r="J320" i="2"/>
  <c r="I320" i="2"/>
  <c r="H320" i="2"/>
  <c r="G320" i="2"/>
  <c r="F320" i="2"/>
  <c r="E320" i="2"/>
  <c r="D320" i="2"/>
  <c r="C320" i="2"/>
  <c r="B320" i="2"/>
  <c r="A320" i="2"/>
  <c r="AJ319" i="2"/>
  <c r="AH319" i="2"/>
  <c r="AG319" i="2"/>
  <c r="AF319" i="2"/>
  <c r="AE319" i="2"/>
  <c r="AD319" i="2"/>
  <c r="AC319" i="2"/>
  <c r="AB319" i="2"/>
  <c r="Z319" i="2"/>
  <c r="Y319" i="2"/>
  <c r="X319" i="2"/>
  <c r="W319" i="2"/>
  <c r="V319" i="2"/>
  <c r="U319" i="2"/>
  <c r="T319" i="2"/>
  <c r="S319" i="2"/>
  <c r="R319" i="2"/>
  <c r="Q319" i="2"/>
  <c r="P319" i="2"/>
  <c r="O319" i="2"/>
  <c r="N319" i="2"/>
  <c r="M319" i="2"/>
  <c r="L319" i="2"/>
  <c r="K319" i="2"/>
  <c r="J319" i="2"/>
  <c r="I319" i="2"/>
  <c r="H319" i="2"/>
  <c r="G319" i="2"/>
  <c r="F319" i="2"/>
  <c r="E319" i="2"/>
  <c r="D319" i="2"/>
  <c r="C319" i="2"/>
  <c r="B319" i="2"/>
  <c r="A319" i="2"/>
  <c r="AJ318" i="2"/>
  <c r="AI318" i="2"/>
  <c r="AH318" i="2"/>
  <c r="AG318" i="2"/>
  <c r="AF318" i="2"/>
  <c r="AE318" i="2"/>
  <c r="AD318" i="2"/>
  <c r="AC318" i="2"/>
  <c r="AB318" i="2"/>
  <c r="AA318" i="2"/>
  <c r="Z318" i="2"/>
  <c r="Y318" i="2"/>
  <c r="X318" i="2"/>
  <c r="W318" i="2"/>
  <c r="V318" i="2"/>
  <c r="U318" i="2"/>
  <c r="T318" i="2"/>
  <c r="S318" i="2"/>
  <c r="R318" i="2"/>
  <c r="Q318" i="2"/>
  <c r="P318" i="2"/>
  <c r="O318" i="2"/>
  <c r="N318" i="2"/>
  <c r="M318" i="2"/>
  <c r="L318" i="2"/>
  <c r="K318" i="2"/>
  <c r="J318" i="2"/>
  <c r="I318" i="2"/>
  <c r="H318" i="2"/>
  <c r="G318" i="2"/>
  <c r="F318" i="2"/>
  <c r="E318" i="2"/>
  <c r="D318" i="2"/>
  <c r="C318" i="2"/>
  <c r="B318" i="2"/>
  <c r="A318" i="2"/>
  <c r="AJ317" i="2"/>
  <c r="AI317" i="2"/>
  <c r="AH317" i="2"/>
  <c r="AG317" i="2"/>
  <c r="AF317" i="2"/>
  <c r="AE317" i="2"/>
  <c r="AD317" i="2"/>
  <c r="AC317" i="2"/>
  <c r="AB317" i="2"/>
  <c r="AA317" i="2"/>
  <c r="Z317" i="2"/>
  <c r="Y317" i="2"/>
  <c r="X317" i="2"/>
  <c r="W317" i="2"/>
  <c r="V317" i="2"/>
  <c r="U317" i="2"/>
  <c r="T317" i="2"/>
  <c r="S317" i="2"/>
  <c r="R317" i="2"/>
  <c r="Q317" i="2"/>
  <c r="P317" i="2"/>
  <c r="O317" i="2"/>
  <c r="N317" i="2"/>
  <c r="M317" i="2"/>
  <c r="L317" i="2"/>
  <c r="K317" i="2"/>
  <c r="J317" i="2"/>
  <c r="I317" i="2"/>
  <c r="H317" i="2"/>
  <c r="G317" i="2"/>
  <c r="F317" i="2"/>
  <c r="E317" i="2"/>
  <c r="D317" i="2"/>
  <c r="C317" i="2"/>
  <c r="B317" i="2"/>
  <c r="A317" i="2"/>
  <c r="AJ316" i="2"/>
  <c r="AI316" i="2"/>
  <c r="AH316" i="2"/>
  <c r="AG316" i="2"/>
  <c r="AF316" i="2"/>
  <c r="AE316" i="2"/>
  <c r="AD316" i="2"/>
  <c r="AC316" i="2"/>
  <c r="AB316" i="2"/>
  <c r="AA316" i="2"/>
  <c r="Z316" i="2"/>
  <c r="Y316" i="2"/>
  <c r="X316" i="2"/>
  <c r="W316" i="2"/>
  <c r="V316" i="2"/>
  <c r="U316" i="2"/>
  <c r="T316" i="2"/>
  <c r="S316" i="2"/>
  <c r="R316" i="2"/>
  <c r="Q316" i="2"/>
  <c r="P316" i="2"/>
  <c r="O316" i="2"/>
  <c r="N316" i="2"/>
  <c r="M316" i="2"/>
  <c r="L316" i="2"/>
  <c r="K316" i="2"/>
  <c r="J316" i="2"/>
  <c r="I316" i="2"/>
  <c r="H316" i="2"/>
  <c r="G316" i="2"/>
  <c r="F316" i="2"/>
  <c r="E316" i="2"/>
  <c r="D316" i="2"/>
  <c r="C316" i="2"/>
  <c r="B316" i="2"/>
  <c r="A316" i="2"/>
  <c r="AJ315" i="2"/>
  <c r="AH315" i="2"/>
  <c r="AG315" i="2"/>
  <c r="AF315" i="2"/>
  <c r="AE315" i="2"/>
  <c r="AD315" i="2"/>
  <c r="AC315" i="2"/>
  <c r="AB315" i="2"/>
  <c r="AA315" i="2"/>
  <c r="Z315" i="2"/>
  <c r="Y315" i="2"/>
  <c r="X315" i="2"/>
  <c r="V315" i="2"/>
  <c r="U315" i="2"/>
  <c r="T315" i="2"/>
  <c r="S315" i="2"/>
  <c r="R315" i="2"/>
  <c r="Q315" i="2"/>
  <c r="P315" i="2"/>
  <c r="O315" i="2"/>
  <c r="N315" i="2"/>
  <c r="M315" i="2"/>
  <c r="L315" i="2"/>
  <c r="K315" i="2"/>
  <c r="J315" i="2"/>
  <c r="I315" i="2"/>
  <c r="H315" i="2"/>
  <c r="G315" i="2"/>
  <c r="F315" i="2"/>
  <c r="E315" i="2"/>
  <c r="D315" i="2"/>
  <c r="C315" i="2"/>
  <c r="B315" i="2"/>
  <c r="A315" i="2"/>
  <c r="AJ314" i="2"/>
  <c r="AI314" i="2"/>
  <c r="AH314" i="2"/>
  <c r="AG314" i="2"/>
  <c r="AF314" i="2"/>
  <c r="AE314" i="2"/>
  <c r="AD314" i="2"/>
  <c r="AC314" i="2"/>
  <c r="AB314" i="2"/>
  <c r="AA314" i="2"/>
  <c r="Z314" i="2"/>
  <c r="Y314" i="2"/>
  <c r="X314" i="2"/>
  <c r="W314" i="2"/>
  <c r="V314" i="2"/>
  <c r="U314" i="2"/>
  <c r="T314" i="2"/>
  <c r="S314" i="2"/>
  <c r="R314" i="2"/>
  <c r="Q314" i="2"/>
  <c r="P314" i="2"/>
  <c r="O314" i="2"/>
  <c r="N314" i="2"/>
  <c r="M314" i="2"/>
  <c r="L314" i="2"/>
  <c r="K314" i="2"/>
  <c r="J314" i="2"/>
  <c r="I314" i="2"/>
  <c r="H314" i="2"/>
  <c r="G314" i="2"/>
  <c r="F314" i="2"/>
  <c r="E314" i="2"/>
  <c r="D314" i="2"/>
  <c r="C314" i="2"/>
  <c r="B314" i="2"/>
  <c r="A314" i="2"/>
  <c r="AJ313" i="2"/>
  <c r="AI313" i="2"/>
  <c r="AH313" i="2"/>
  <c r="AG313" i="2"/>
  <c r="AF313" i="2"/>
  <c r="AE313" i="2"/>
  <c r="AD313" i="2"/>
  <c r="AC313" i="2"/>
  <c r="AA313" i="2"/>
  <c r="Z313" i="2"/>
  <c r="Y313" i="2"/>
  <c r="X313" i="2"/>
  <c r="W313" i="2"/>
  <c r="V313" i="2"/>
  <c r="U313" i="2"/>
  <c r="T313" i="2"/>
  <c r="S313" i="2"/>
  <c r="R313" i="2"/>
  <c r="Q313" i="2"/>
  <c r="P313" i="2"/>
  <c r="O313" i="2"/>
  <c r="N313" i="2"/>
  <c r="M313" i="2"/>
  <c r="L313" i="2"/>
  <c r="K313" i="2"/>
  <c r="J313" i="2"/>
  <c r="I313" i="2"/>
  <c r="H313" i="2"/>
  <c r="G313" i="2"/>
  <c r="F313" i="2"/>
  <c r="E313" i="2"/>
  <c r="D313" i="2"/>
  <c r="C313" i="2"/>
  <c r="B313" i="2"/>
  <c r="A313" i="2"/>
  <c r="AJ312" i="2"/>
  <c r="AF312" i="2"/>
  <c r="AA312" i="2"/>
  <c r="Z312" i="2"/>
  <c r="Y312" i="2"/>
  <c r="X312" i="2"/>
  <c r="W312" i="2"/>
  <c r="V312" i="2"/>
  <c r="U312" i="2"/>
  <c r="T312" i="2"/>
  <c r="S312" i="2"/>
  <c r="R312" i="2"/>
  <c r="Q312" i="2"/>
  <c r="P312" i="2"/>
  <c r="O312" i="2"/>
  <c r="N312" i="2"/>
  <c r="M312" i="2"/>
  <c r="L312" i="2"/>
  <c r="K312" i="2"/>
  <c r="J312" i="2"/>
  <c r="I312" i="2"/>
  <c r="H312" i="2"/>
  <c r="G312" i="2"/>
  <c r="F312" i="2"/>
  <c r="E312" i="2"/>
  <c r="D312" i="2"/>
  <c r="C312" i="2"/>
  <c r="B312" i="2"/>
  <c r="A312" i="2"/>
  <c r="AJ311" i="2"/>
  <c r="AI311" i="2"/>
  <c r="AH311" i="2"/>
  <c r="AG311" i="2"/>
  <c r="AF311" i="2"/>
  <c r="AE311" i="2"/>
  <c r="AD311" i="2"/>
  <c r="AC311" i="2"/>
  <c r="AB311" i="2"/>
  <c r="Z311" i="2"/>
  <c r="Y311" i="2"/>
  <c r="X311" i="2"/>
  <c r="W311" i="2"/>
  <c r="V311" i="2"/>
  <c r="U311" i="2"/>
  <c r="T311" i="2"/>
  <c r="S311" i="2"/>
  <c r="R311" i="2"/>
  <c r="Q311" i="2"/>
  <c r="P311" i="2"/>
  <c r="O311" i="2"/>
  <c r="N311" i="2"/>
  <c r="M311" i="2"/>
  <c r="L311" i="2"/>
  <c r="K311" i="2"/>
  <c r="J311" i="2"/>
  <c r="I311" i="2"/>
  <c r="H311" i="2"/>
  <c r="G311" i="2"/>
  <c r="F311" i="2"/>
  <c r="E311" i="2"/>
  <c r="D311" i="2"/>
  <c r="C311" i="2"/>
  <c r="B311" i="2"/>
  <c r="A311" i="2"/>
  <c r="AJ310" i="2"/>
  <c r="AI310" i="2"/>
  <c r="AH310" i="2"/>
  <c r="AG310" i="2"/>
  <c r="AF310" i="2"/>
  <c r="AE310" i="2"/>
  <c r="AD310" i="2"/>
  <c r="AC310" i="2"/>
  <c r="AB310" i="2"/>
  <c r="AA310" i="2"/>
  <c r="Z310" i="2"/>
  <c r="Y310" i="2"/>
  <c r="X310" i="2"/>
  <c r="W310" i="2"/>
  <c r="V310" i="2"/>
  <c r="U310" i="2"/>
  <c r="T310" i="2"/>
  <c r="S310" i="2"/>
  <c r="R310" i="2"/>
  <c r="Q310" i="2"/>
  <c r="P310" i="2"/>
  <c r="O310" i="2"/>
  <c r="N310" i="2"/>
  <c r="M310" i="2"/>
  <c r="L310" i="2"/>
  <c r="K310" i="2"/>
  <c r="J310" i="2"/>
  <c r="I310" i="2"/>
  <c r="H310" i="2"/>
  <c r="G310" i="2"/>
  <c r="F310" i="2"/>
  <c r="E310" i="2"/>
  <c r="D310" i="2"/>
  <c r="C310" i="2"/>
  <c r="B310" i="2"/>
  <c r="A310" i="2"/>
  <c r="AJ309" i="2"/>
  <c r="AI309" i="2"/>
  <c r="AH309" i="2"/>
  <c r="AG309" i="2"/>
  <c r="AF309" i="2"/>
  <c r="AE309" i="2"/>
  <c r="AD309" i="2"/>
  <c r="AC309" i="2"/>
  <c r="AB309" i="2"/>
  <c r="AA309" i="2"/>
  <c r="Z309" i="2"/>
  <c r="Y309" i="2"/>
  <c r="X309" i="2"/>
  <c r="W309" i="2"/>
  <c r="V309" i="2"/>
  <c r="U309" i="2"/>
  <c r="T309" i="2"/>
  <c r="S309" i="2"/>
  <c r="R309" i="2"/>
  <c r="Q309" i="2"/>
  <c r="P309" i="2"/>
  <c r="O309" i="2"/>
  <c r="N309" i="2"/>
  <c r="M309" i="2"/>
  <c r="L309" i="2"/>
  <c r="K309" i="2"/>
  <c r="J309" i="2"/>
  <c r="I309" i="2"/>
  <c r="H309" i="2"/>
  <c r="G309" i="2"/>
  <c r="F309" i="2"/>
  <c r="E309" i="2"/>
  <c r="D309" i="2"/>
  <c r="C309" i="2"/>
  <c r="B309" i="2"/>
  <c r="A309" i="2"/>
  <c r="AJ308" i="2"/>
  <c r="AI308" i="2"/>
  <c r="AH308" i="2"/>
  <c r="AG308" i="2"/>
  <c r="AF308" i="2"/>
  <c r="AE308" i="2"/>
  <c r="AD308" i="2"/>
  <c r="AC308" i="2"/>
  <c r="AB308" i="2"/>
  <c r="AA308" i="2"/>
  <c r="Z308" i="2"/>
  <c r="Y308" i="2"/>
  <c r="X308" i="2"/>
  <c r="W308" i="2"/>
  <c r="V308" i="2"/>
  <c r="U308" i="2"/>
  <c r="T308" i="2"/>
  <c r="S308" i="2"/>
  <c r="R308" i="2"/>
  <c r="Q308" i="2"/>
  <c r="P308" i="2"/>
  <c r="O308" i="2"/>
  <c r="N308" i="2"/>
  <c r="M308" i="2"/>
  <c r="L308" i="2"/>
  <c r="K308" i="2"/>
  <c r="J308" i="2"/>
  <c r="I308" i="2"/>
  <c r="H308" i="2"/>
  <c r="G308" i="2"/>
  <c r="F308" i="2"/>
  <c r="E308" i="2"/>
  <c r="D308" i="2"/>
  <c r="C308" i="2"/>
  <c r="B308" i="2"/>
  <c r="A308" i="2"/>
  <c r="AJ307" i="2"/>
  <c r="AI307" i="2"/>
  <c r="AH307" i="2"/>
  <c r="AF307" i="2"/>
  <c r="AE307" i="2"/>
  <c r="AD307" i="2"/>
  <c r="AC307" i="2"/>
  <c r="AB307" i="2"/>
  <c r="Z307" i="2"/>
  <c r="Y307" i="2"/>
  <c r="X307" i="2"/>
  <c r="W307" i="2"/>
  <c r="V307" i="2"/>
  <c r="U307" i="2"/>
  <c r="T307" i="2"/>
  <c r="S307" i="2"/>
  <c r="R307" i="2"/>
  <c r="Q307" i="2"/>
  <c r="P307" i="2"/>
  <c r="O307" i="2"/>
  <c r="N307" i="2"/>
  <c r="M307" i="2"/>
  <c r="L307" i="2"/>
  <c r="K307" i="2"/>
  <c r="J307" i="2"/>
  <c r="I307" i="2"/>
  <c r="H307" i="2"/>
  <c r="G307" i="2"/>
  <c r="F307" i="2"/>
  <c r="E307" i="2"/>
  <c r="D307" i="2"/>
  <c r="C307" i="2"/>
  <c r="B307" i="2"/>
  <c r="A307" i="2"/>
  <c r="AJ306" i="2"/>
  <c r="AH306" i="2"/>
  <c r="AG306" i="2"/>
  <c r="AF306" i="2"/>
  <c r="AE306" i="2"/>
  <c r="AD306" i="2"/>
  <c r="AC306" i="2"/>
  <c r="AB306" i="2"/>
  <c r="AA306" i="2"/>
  <c r="Z306" i="2"/>
  <c r="Y306" i="2"/>
  <c r="X306" i="2"/>
  <c r="W306" i="2"/>
  <c r="V306" i="2"/>
  <c r="U306" i="2"/>
  <c r="T306" i="2"/>
  <c r="S306" i="2"/>
  <c r="R306" i="2"/>
  <c r="Q306" i="2"/>
  <c r="P306" i="2"/>
  <c r="O306" i="2"/>
  <c r="N306" i="2"/>
  <c r="M306" i="2"/>
  <c r="L306" i="2"/>
  <c r="K306" i="2"/>
  <c r="J306" i="2"/>
  <c r="I306" i="2"/>
  <c r="H306" i="2"/>
  <c r="G306" i="2"/>
  <c r="F306" i="2"/>
  <c r="E306" i="2"/>
  <c r="D306" i="2"/>
  <c r="C306" i="2"/>
  <c r="B306" i="2"/>
  <c r="A306" i="2"/>
  <c r="AJ305" i="2"/>
  <c r="AH305" i="2"/>
  <c r="AF305" i="2"/>
  <c r="AE305" i="2"/>
  <c r="AD305" i="2"/>
  <c r="AC305" i="2"/>
  <c r="AB305" i="2"/>
  <c r="Z305" i="2"/>
  <c r="Y305" i="2"/>
  <c r="X305" i="2"/>
  <c r="W305" i="2"/>
  <c r="V305" i="2"/>
  <c r="U305" i="2"/>
  <c r="T305" i="2"/>
  <c r="S305" i="2"/>
  <c r="R305" i="2"/>
  <c r="Q305" i="2"/>
  <c r="P305" i="2"/>
  <c r="O305" i="2"/>
  <c r="N305" i="2"/>
  <c r="M305" i="2"/>
  <c r="L305" i="2"/>
  <c r="K305" i="2"/>
  <c r="J305" i="2"/>
  <c r="I305" i="2"/>
  <c r="H305" i="2"/>
  <c r="G305" i="2"/>
  <c r="F305" i="2"/>
  <c r="E305" i="2"/>
  <c r="D305" i="2"/>
  <c r="C305" i="2"/>
  <c r="B305" i="2"/>
  <c r="A305" i="2"/>
  <c r="AJ304" i="2"/>
  <c r="AI304" i="2"/>
  <c r="AH304" i="2"/>
  <c r="AF304" i="2"/>
  <c r="AE304" i="2"/>
  <c r="AD304" i="2"/>
  <c r="AC304" i="2"/>
  <c r="AB304" i="2"/>
  <c r="Z304" i="2"/>
  <c r="Y304" i="2"/>
  <c r="X304" i="2"/>
  <c r="W304" i="2"/>
  <c r="V304" i="2"/>
  <c r="U304" i="2"/>
  <c r="T304" i="2"/>
  <c r="S304" i="2"/>
  <c r="R304" i="2"/>
  <c r="Q304" i="2"/>
  <c r="P304" i="2"/>
  <c r="O304" i="2"/>
  <c r="N304" i="2"/>
  <c r="M304" i="2"/>
  <c r="L304" i="2"/>
  <c r="K304" i="2"/>
  <c r="J304" i="2"/>
  <c r="I304" i="2"/>
  <c r="H304" i="2"/>
  <c r="G304" i="2"/>
  <c r="F304" i="2"/>
  <c r="E304" i="2"/>
  <c r="D304" i="2"/>
  <c r="C304" i="2"/>
  <c r="B304" i="2"/>
  <c r="A304" i="2"/>
  <c r="AJ303" i="2"/>
  <c r="AH303" i="2"/>
  <c r="AG303" i="2"/>
  <c r="AF303" i="2"/>
  <c r="AE303" i="2"/>
  <c r="AD303" i="2"/>
  <c r="AC303" i="2"/>
  <c r="AB303" i="2"/>
  <c r="Z303" i="2"/>
  <c r="Y303" i="2"/>
  <c r="X303" i="2"/>
  <c r="W303" i="2"/>
  <c r="V303" i="2"/>
  <c r="U303" i="2"/>
  <c r="T303" i="2"/>
  <c r="S303" i="2"/>
  <c r="R303" i="2"/>
  <c r="Q303" i="2"/>
  <c r="P303" i="2"/>
  <c r="O303" i="2"/>
  <c r="N303" i="2"/>
  <c r="M303" i="2"/>
  <c r="L303" i="2"/>
  <c r="K303" i="2"/>
  <c r="J303" i="2"/>
  <c r="I303" i="2"/>
  <c r="H303" i="2"/>
  <c r="G303" i="2"/>
  <c r="F303" i="2"/>
  <c r="E303" i="2"/>
  <c r="D303" i="2"/>
  <c r="C303" i="2"/>
  <c r="B303" i="2"/>
  <c r="A303" i="2"/>
  <c r="AJ302" i="2"/>
  <c r="AI302" i="2"/>
  <c r="AH302" i="2"/>
  <c r="AG302" i="2"/>
  <c r="AF302" i="2"/>
  <c r="AE302" i="2"/>
  <c r="AD302" i="2"/>
  <c r="AC302" i="2"/>
  <c r="AB302" i="2"/>
  <c r="AA302" i="2"/>
  <c r="Z302" i="2"/>
  <c r="Y302" i="2"/>
  <c r="X302" i="2"/>
  <c r="W302" i="2"/>
  <c r="V302" i="2"/>
  <c r="U302" i="2"/>
  <c r="T302" i="2"/>
  <c r="S302" i="2"/>
  <c r="R302" i="2"/>
  <c r="Q302" i="2"/>
  <c r="P302" i="2"/>
  <c r="O302" i="2"/>
  <c r="N302" i="2"/>
  <c r="M302" i="2"/>
  <c r="L302" i="2"/>
  <c r="K302" i="2"/>
  <c r="J302" i="2"/>
  <c r="I302" i="2"/>
  <c r="H302" i="2"/>
  <c r="G302" i="2"/>
  <c r="F302" i="2"/>
  <c r="E302" i="2"/>
  <c r="D302" i="2"/>
  <c r="C302" i="2"/>
  <c r="B302" i="2"/>
  <c r="A302" i="2"/>
  <c r="AJ301" i="2"/>
  <c r="AH301" i="2"/>
  <c r="AG301" i="2"/>
  <c r="AF301" i="2"/>
  <c r="AE301" i="2"/>
  <c r="AD301" i="2"/>
  <c r="AC301" i="2"/>
  <c r="AB301" i="2"/>
  <c r="Z301" i="2"/>
  <c r="Y301" i="2"/>
  <c r="X301" i="2"/>
  <c r="W301" i="2"/>
  <c r="V301" i="2"/>
  <c r="U301" i="2"/>
  <c r="T301" i="2"/>
  <c r="S301" i="2"/>
  <c r="R301" i="2"/>
  <c r="Q301" i="2"/>
  <c r="P301" i="2"/>
  <c r="O301" i="2"/>
  <c r="N301" i="2"/>
  <c r="M301" i="2"/>
  <c r="L301" i="2"/>
  <c r="K301" i="2"/>
  <c r="J301" i="2"/>
  <c r="I301" i="2"/>
  <c r="H301" i="2"/>
  <c r="G301" i="2"/>
  <c r="F301" i="2"/>
  <c r="E301" i="2"/>
  <c r="D301" i="2"/>
  <c r="C301" i="2"/>
  <c r="B301" i="2"/>
  <c r="A301" i="2"/>
  <c r="AJ300" i="2"/>
  <c r="AH300" i="2"/>
  <c r="AG300" i="2"/>
  <c r="AF300" i="2"/>
  <c r="AE300" i="2"/>
  <c r="AD300" i="2"/>
  <c r="AC300" i="2"/>
  <c r="Z300" i="2"/>
  <c r="Y300" i="2"/>
  <c r="X300" i="2"/>
  <c r="W300" i="2"/>
  <c r="V300" i="2"/>
  <c r="U300" i="2"/>
  <c r="T300" i="2"/>
  <c r="S300" i="2"/>
  <c r="R300" i="2"/>
  <c r="Q300" i="2"/>
  <c r="P300" i="2"/>
  <c r="O300" i="2"/>
  <c r="N300" i="2"/>
  <c r="M300" i="2"/>
  <c r="L300" i="2"/>
  <c r="K300" i="2"/>
  <c r="J300" i="2"/>
  <c r="I300" i="2"/>
  <c r="H300" i="2"/>
  <c r="G300" i="2"/>
  <c r="F300" i="2"/>
  <c r="E300" i="2"/>
  <c r="D300" i="2"/>
  <c r="C300" i="2"/>
  <c r="B300" i="2"/>
  <c r="A300" i="2"/>
  <c r="AJ299" i="2"/>
  <c r="AI299" i="2"/>
  <c r="AH299" i="2"/>
  <c r="AF299" i="2"/>
  <c r="AE299" i="2"/>
  <c r="AD299" i="2"/>
  <c r="AC299" i="2"/>
  <c r="AB299" i="2"/>
  <c r="Z299" i="2"/>
  <c r="Y299" i="2"/>
  <c r="X299" i="2"/>
  <c r="W299" i="2"/>
  <c r="V299" i="2"/>
  <c r="U299" i="2"/>
  <c r="T299" i="2"/>
  <c r="S299" i="2"/>
  <c r="R299" i="2"/>
  <c r="Q299" i="2"/>
  <c r="P299" i="2"/>
  <c r="O299" i="2"/>
  <c r="N299" i="2"/>
  <c r="M299" i="2"/>
  <c r="L299" i="2"/>
  <c r="K299" i="2"/>
  <c r="J299" i="2"/>
  <c r="I299" i="2"/>
  <c r="H299" i="2"/>
  <c r="G299" i="2"/>
  <c r="F299" i="2"/>
  <c r="E299" i="2"/>
  <c r="D299" i="2"/>
  <c r="C299" i="2"/>
  <c r="B299" i="2"/>
  <c r="A299" i="2"/>
  <c r="AJ298" i="2"/>
  <c r="AI298" i="2"/>
  <c r="AH298" i="2"/>
  <c r="AG298" i="2"/>
  <c r="AF298" i="2"/>
  <c r="AE298" i="2"/>
  <c r="AD298" i="2"/>
  <c r="AC298" i="2"/>
  <c r="AB298" i="2"/>
  <c r="AA298" i="2"/>
  <c r="Z298" i="2"/>
  <c r="Y298" i="2"/>
  <c r="X298" i="2"/>
  <c r="W298" i="2"/>
  <c r="V298" i="2"/>
  <c r="U298" i="2"/>
  <c r="T298" i="2"/>
  <c r="S298" i="2"/>
  <c r="R298" i="2"/>
  <c r="Q298" i="2"/>
  <c r="P298" i="2"/>
  <c r="O298" i="2"/>
  <c r="N298" i="2"/>
  <c r="M298" i="2"/>
  <c r="L298" i="2"/>
  <c r="K298" i="2"/>
  <c r="J298" i="2"/>
  <c r="I298" i="2"/>
  <c r="H298" i="2"/>
  <c r="G298" i="2"/>
  <c r="F298" i="2"/>
  <c r="E298" i="2"/>
  <c r="D298" i="2"/>
  <c r="C298" i="2"/>
  <c r="B298" i="2"/>
  <c r="A298" i="2"/>
  <c r="AJ297" i="2"/>
  <c r="AI297" i="2"/>
  <c r="AH297" i="2"/>
  <c r="AG297" i="2"/>
  <c r="AF297" i="2"/>
  <c r="AE297" i="2"/>
  <c r="AD297" i="2"/>
  <c r="AC297" i="2"/>
  <c r="AB297" i="2"/>
  <c r="AA297" i="2"/>
  <c r="Z297" i="2"/>
  <c r="Y297" i="2"/>
  <c r="X297" i="2"/>
  <c r="W297" i="2"/>
  <c r="V297" i="2"/>
  <c r="U297" i="2"/>
  <c r="T297" i="2"/>
  <c r="S297" i="2"/>
  <c r="R297" i="2"/>
  <c r="Q297" i="2"/>
  <c r="P297" i="2"/>
  <c r="O297" i="2"/>
  <c r="N297" i="2"/>
  <c r="M297" i="2"/>
  <c r="L297" i="2"/>
  <c r="K297" i="2"/>
  <c r="J297" i="2"/>
  <c r="I297" i="2"/>
  <c r="H297" i="2"/>
  <c r="G297" i="2"/>
  <c r="F297" i="2"/>
  <c r="E297" i="2"/>
  <c r="D297" i="2"/>
  <c r="C297" i="2"/>
  <c r="B297" i="2"/>
  <c r="A297" i="2"/>
  <c r="AJ296" i="2"/>
  <c r="AG296" i="2"/>
  <c r="AF296" i="2"/>
  <c r="AE296" i="2"/>
  <c r="AD296" i="2"/>
  <c r="AC296" i="2"/>
  <c r="Z296" i="2"/>
  <c r="Y296" i="2"/>
  <c r="X296" i="2"/>
  <c r="W296" i="2"/>
  <c r="V296" i="2"/>
  <c r="U296" i="2"/>
  <c r="T296" i="2"/>
  <c r="S296" i="2"/>
  <c r="R296" i="2"/>
  <c r="Q296" i="2"/>
  <c r="P296" i="2"/>
  <c r="O296" i="2"/>
  <c r="N296" i="2"/>
  <c r="M296" i="2"/>
  <c r="L296" i="2"/>
  <c r="K296" i="2"/>
  <c r="J296" i="2"/>
  <c r="I296" i="2"/>
  <c r="H296" i="2"/>
  <c r="G296" i="2"/>
  <c r="F296" i="2"/>
  <c r="E296" i="2"/>
  <c r="D296" i="2"/>
  <c r="C296" i="2"/>
  <c r="B296" i="2"/>
  <c r="A296" i="2"/>
  <c r="AJ295" i="2"/>
  <c r="AA295" i="2"/>
  <c r="Z295" i="2"/>
  <c r="Y295" i="2"/>
  <c r="X295" i="2"/>
  <c r="W295" i="2"/>
  <c r="V295" i="2"/>
  <c r="U295" i="2"/>
  <c r="T295" i="2"/>
  <c r="S295" i="2"/>
  <c r="R295" i="2"/>
  <c r="Q295" i="2"/>
  <c r="P295" i="2"/>
  <c r="O295" i="2"/>
  <c r="N295" i="2"/>
  <c r="M295" i="2"/>
  <c r="L295" i="2"/>
  <c r="K295" i="2"/>
  <c r="J295" i="2"/>
  <c r="I295" i="2"/>
  <c r="H295" i="2"/>
  <c r="G295" i="2"/>
  <c r="F295" i="2"/>
  <c r="E295" i="2"/>
  <c r="D295" i="2"/>
  <c r="C295" i="2"/>
  <c r="B295" i="2"/>
  <c r="A295" i="2"/>
  <c r="AJ294" i="2"/>
  <c r="AI294" i="2"/>
  <c r="AH294" i="2"/>
  <c r="AG294" i="2"/>
  <c r="AF294" i="2"/>
  <c r="AE294" i="2"/>
  <c r="AD294" i="2"/>
  <c r="AB294" i="2"/>
  <c r="Z294" i="2"/>
  <c r="Y294" i="2"/>
  <c r="X294" i="2"/>
  <c r="W294" i="2"/>
  <c r="V294" i="2"/>
  <c r="U294" i="2"/>
  <c r="T294" i="2"/>
  <c r="S294" i="2"/>
  <c r="R294" i="2"/>
  <c r="Q294" i="2"/>
  <c r="P294" i="2"/>
  <c r="O294" i="2"/>
  <c r="N294" i="2"/>
  <c r="M294" i="2"/>
  <c r="L294" i="2"/>
  <c r="K294" i="2"/>
  <c r="J294" i="2"/>
  <c r="I294" i="2"/>
  <c r="H294" i="2"/>
  <c r="G294" i="2"/>
  <c r="F294" i="2"/>
  <c r="E294" i="2"/>
  <c r="D294" i="2"/>
  <c r="C294" i="2"/>
  <c r="B294" i="2"/>
  <c r="A294" i="2"/>
  <c r="AJ293" i="2"/>
  <c r="AH293" i="2"/>
  <c r="AG293" i="2"/>
  <c r="AF293" i="2"/>
  <c r="AE293" i="2"/>
  <c r="AD293" i="2"/>
  <c r="AC293" i="2"/>
  <c r="Z293" i="2"/>
  <c r="Y293" i="2"/>
  <c r="X293" i="2"/>
  <c r="W293" i="2"/>
  <c r="V293" i="2"/>
  <c r="U293" i="2"/>
  <c r="T293" i="2"/>
  <c r="S293" i="2"/>
  <c r="R293" i="2"/>
  <c r="Q293" i="2"/>
  <c r="P293" i="2"/>
  <c r="O293" i="2"/>
  <c r="N293" i="2"/>
  <c r="M293" i="2"/>
  <c r="L293" i="2"/>
  <c r="K293" i="2"/>
  <c r="J293" i="2"/>
  <c r="I293" i="2"/>
  <c r="H293" i="2"/>
  <c r="G293" i="2"/>
  <c r="F293" i="2"/>
  <c r="E293" i="2"/>
  <c r="D293" i="2"/>
  <c r="C293" i="2"/>
  <c r="B293" i="2"/>
  <c r="A293" i="2"/>
  <c r="AJ292" i="2"/>
  <c r="AI292" i="2"/>
  <c r="AH292" i="2"/>
  <c r="AF292" i="2"/>
  <c r="AE292" i="2"/>
  <c r="AD292" i="2"/>
  <c r="AC292" i="2"/>
  <c r="AB292" i="2"/>
  <c r="AA292" i="2"/>
  <c r="Z292" i="2"/>
  <c r="Y292" i="2"/>
  <c r="X292" i="2"/>
  <c r="W292" i="2"/>
  <c r="V292" i="2"/>
  <c r="U292" i="2"/>
  <c r="T292" i="2"/>
  <c r="S292" i="2"/>
  <c r="R292" i="2"/>
  <c r="Q292" i="2"/>
  <c r="P292" i="2"/>
  <c r="O292" i="2"/>
  <c r="N292" i="2"/>
  <c r="M292" i="2"/>
  <c r="L292" i="2"/>
  <c r="K292" i="2"/>
  <c r="J292" i="2"/>
  <c r="I292" i="2"/>
  <c r="H292" i="2"/>
  <c r="G292" i="2"/>
  <c r="F292" i="2"/>
  <c r="E292" i="2"/>
  <c r="D292" i="2"/>
  <c r="C292" i="2"/>
  <c r="B292" i="2"/>
  <c r="A292" i="2"/>
  <c r="AJ291" i="2"/>
  <c r="AH291" i="2"/>
  <c r="AG291" i="2"/>
  <c r="AF291" i="2"/>
  <c r="AE291" i="2"/>
  <c r="AD291"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D291" i="2"/>
  <c r="C291" i="2"/>
  <c r="B291" i="2"/>
  <c r="A291" i="2"/>
  <c r="AJ290" i="2"/>
  <c r="AI290" i="2"/>
  <c r="AH290" i="2"/>
  <c r="AG290" i="2"/>
  <c r="AF290" i="2"/>
  <c r="AE290" i="2"/>
  <c r="AD290" i="2"/>
  <c r="AC290" i="2"/>
  <c r="AB290" i="2"/>
  <c r="AA290" i="2"/>
  <c r="Z290" i="2"/>
  <c r="Y290" i="2"/>
  <c r="X290" i="2"/>
  <c r="W290" i="2"/>
  <c r="V290" i="2"/>
  <c r="U290" i="2"/>
  <c r="T290" i="2"/>
  <c r="S290" i="2"/>
  <c r="R290" i="2"/>
  <c r="Q290" i="2"/>
  <c r="P290" i="2"/>
  <c r="O290" i="2"/>
  <c r="N290" i="2"/>
  <c r="M290" i="2"/>
  <c r="L290" i="2"/>
  <c r="K290" i="2"/>
  <c r="J290" i="2"/>
  <c r="I290" i="2"/>
  <c r="H290" i="2"/>
  <c r="G290" i="2"/>
  <c r="F290" i="2"/>
  <c r="E290" i="2"/>
  <c r="D290" i="2"/>
  <c r="C290" i="2"/>
  <c r="B290" i="2"/>
  <c r="A290" i="2"/>
  <c r="AJ289" i="2"/>
  <c r="AH289" i="2"/>
  <c r="AG289" i="2"/>
  <c r="AF289" i="2"/>
  <c r="AE289" i="2"/>
  <c r="AD289" i="2"/>
  <c r="AC289" i="2"/>
  <c r="AB289" i="2"/>
  <c r="AA289" i="2"/>
  <c r="Z289" i="2"/>
  <c r="Y289" i="2"/>
  <c r="X289" i="2"/>
  <c r="W289" i="2"/>
  <c r="V289" i="2"/>
  <c r="U289" i="2"/>
  <c r="T289" i="2"/>
  <c r="S289" i="2"/>
  <c r="R289" i="2"/>
  <c r="Q289" i="2"/>
  <c r="P289" i="2"/>
  <c r="O289" i="2"/>
  <c r="N289" i="2"/>
  <c r="M289" i="2"/>
  <c r="L289" i="2"/>
  <c r="K289" i="2"/>
  <c r="J289" i="2"/>
  <c r="I289" i="2"/>
  <c r="H289" i="2"/>
  <c r="G289" i="2"/>
  <c r="F289" i="2"/>
  <c r="E289" i="2"/>
  <c r="D289" i="2"/>
  <c r="C289" i="2"/>
  <c r="B289" i="2"/>
  <c r="A289" i="2"/>
  <c r="AJ288" i="2"/>
  <c r="AH288" i="2"/>
  <c r="AG288" i="2"/>
  <c r="AF288" i="2"/>
  <c r="AE288" i="2"/>
  <c r="AD288" i="2"/>
  <c r="AC288" i="2"/>
  <c r="AB288" i="2"/>
  <c r="Z288" i="2"/>
  <c r="Y288" i="2"/>
  <c r="X288" i="2"/>
  <c r="W288" i="2"/>
  <c r="V288" i="2"/>
  <c r="U288" i="2"/>
  <c r="T288" i="2"/>
  <c r="S288" i="2"/>
  <c r="R288" i="2"/>
  <c r="Q288" i="2"/>
  <c r="P288" i="2"/>
  <c r="O288" i="2"/>
  <c r="N288" i="2"/>
  <c r="M288" i="2"/>
  <c r="L288" i="2"/>
  <c r="K288" i="2"/>
  <c r="J288" i="2"/>
  <c r="I288" i="2"/>
  <c r="H288" i="2"/>
  <c r="G288" i="2"/>
  <c r="F288" i="2"/>
  <c r="E288" i="2"/>
  <c r="D288" i="2"/>
  <c r="C288" i="2"/>
  <c r="B288" i="2"/>
  <c r="A288" i="2"/>
  <c r="AJ287" i="2"/>
  <c r="AI287" i="2"/>
  <c r="AH287" i="2"/>
  <c r="AF287" i="2"/>
  <c r="AE287" i="2"/>
  <c r="AD287" i="2"/>
  <c r="AC287" i="2"/>
  <c r="AB287" i="2"/>
  <c r="AA287" i="2"/>
  <c r="Z287" i="2"/>
  <c r="Y287" i="2"/>
  <c r="X287" i="2"/>
  <c r="W287" i="2"/>
  <c r="V287" i="2"/>
  <c r="U287" i="2"/>
  <c r="T287" i="2"/>
  <c r="S287" i="2"/>
  <c r="R287" i="2"/>
  <c r="Q287" i="2"/>
  <c r="P287" i="2"/>
  <c r="O287" i="2"/>
  <c r="N287" i="2"/>
  <c r="M287" i="2"/>
  <c r="L287" i="2"/>
  <c r="K287" i="2"/>
  <c r="J287" i="2"/>
  <c r="I287" i="2"/>
  <c r="H287" i="2"/>
  <c r="G287" i="2"/>
  <c r="F287" i="2"/>
  <c r="E287" i="2"/>
  <c r="D287" i="2"/>
  <c r="C287" i="2"/>
  <c r="B287" i="2"/>
  <c r="A287" i="2"/>
  <c r="AF286" i="2"/>
  <c r="AA286" i="2"/>
  <c r="Z286" i="2"/>
  <c r="Y286" i="2"/>
  <c r="X286" i="2"/>
  <c r="W286" i="2"/>
  <c r="V286" i="2"/>
  <c r="U286" i="2"/>
  <c r="T286" i="2"/>
  <c r="S286" i="2"/>
  <c r="R286" i="2"/>
  <c r="Q286" i="2"/>
  <c r="P286" i="2"/>
  <c r="O286" i="2"/>
  <c r="N286" i="2"/>
  <c r="M286" i="2"/>
  <c r="L286" i="2"/>
  <c r="K286" i="2"/>
  <c r="J286" i="2"/>
  <c r="I286" i="2"/>
  <c r="H286" i="2"/>
  <c r="G286" i="2"/>
  <c r="F286" i="2"/>
  <c r="E286" i="2"/>
  <c r="D286" i="2"/>
  <c r="C286" i="2"/>
  <c r="B286" i="2"/>
  <c r="A286" i="2"/>
  <c r="AJ285" i="2"/>
  <c r="AI285" i="2"/>
  <c r="AH285" i="2"/>
  <c r="AF285" i="2"/>
  <c r="AE285" i="2"/>
  <c r="AD285" i="2"/>
  <c r="AC285" i="2"/>
  <c r="AB285" i="2"/>
  <c r="AA285" i="2"/>
  <c r="Z285" i="2"/>
  <c r="Y285" i="2"/>
  <c r="X285" i="2"/>
  <c r="W285" i="2"/>
  <c r="V285" i="2"/>
  <c r="U285" i="2"/>
  <c r="T285" i="2"/>
  <c r="S285" i="2"/>
  <c r="R285" i="2"/>
  <c r="Q285" i="2"/>
  <c r="P285" i="2"/>
  <c r="O285" i="2"/>
  <c r="N285" i="2"/>
  <c r="M285" i="2"/>
  <c r="L285" i="2"/>
  <c r="K285" i="2"/>
  <c r="J285" i="2"/>
  <c r="I285" i="2"/>
  <c r="H285" i="2"/>
  <c r="G285" i="2"/>
  <c r="F285" i="2"/>
  <c r="E285" i="2"/>
  <c r="D285" i="2"/>
  <c r="C285" i="2"/>
  <c r="B285" i="2"/>
  <c r="A285" i="2"/>
  <c r="AJ284" i="2"/>
  <c r="AI284" i="2"/>
  <c r="AH284" i="2"/>
  <c r="AG284" i="2"/>
  <c r="AF284" i="2"/>
  <c r="AE284" i="2"/>
  <c r="AD284" i="2"/>
  <c r="AC284" i="2"/>
  <c r="AB284" i="2"/>
  <c r="AA284" i="2"/>
  <c r="Z284" i="2"/>
  <c r="Y284" i="2"/>
  <c r="X284" i="2"/>
  <c r="W284" i="2"/>
  <c r="V284" i="2"/>
  <c r="U284" i="2"/>
  <c r="T284" i="2"/>
  <c r="S284" i="2"/>
  <c r="R284" i="2"/>
  <c r="Q284" i="2"/>
  <c r="P284" i="2"/>
  <c r="O284" i="2"/>
  <c r="N284" i="2"/>
  <c r="M284" i="2"/>
  <c r="L284" i="2"/>
  <c r="K284" i="2"/>
  <c r="J284" i="2"/>
  <c r="I284" i="2"/>
  <c r="H284" i="2"/>
  <c r="G284" i="2"/>
  <c r="F284" i="2"/>
  <c r="E284" i="2"/>
  <c r="D284" i="2"/>
  <c r="C284" i="2"/>
  <c r="B284" i="2"/>
  <c r="A284" i="2"/>
  <c r="AJ283" i="2"/>
  <c r="AI283" i="2"/>
  <c r="AH283" i="2"/>
  <c r="AG283" i="2"/>
  <c r="AF283" i="2"/>
  <c r="AE283" i="2"/>
  <c r="AD283" i="2"/>
  <c r="AC283" i="2"/>
  <c r="AB283" i="2"/>
  <c r="AA283" i="2"/>
  <c r="Z283" i="2"/>
  <c r="Y283" i="2"/>
  <c r="X283" i="2"/>
  <c r="W283" i="2"/>
  <c r="V283" i="2"/>
  <c r="U283" i="2"/>
  <c r="T283" i="2"/>
  <c r="S283" i="2"/>
  <c r="R283" i="2"/>
  <c r="Q283" i="2"/>
  <c r="P283" i="2"/>
  <c r="O283" i="2"/>
  <c r="N283" i="2"/>
  <c r="M283" i="2"/>
  <c r="L283" i="2"/>
  <c r="K283" i="2"/>
  <c r="J283" i="2"/>
  <c r="I283" i="2"/>
  <c r="H283" i="2"/>
  <c r="G283" i="2"/>
  <c r="F283" i="2"/>
  <c r="E283" i="2"/>
  <c r="D283" i="2"/>
  <c r="C283" i="2"/>
  <c r="B283" i="2"/>
  <c r="A283" i="2"/>
  <c r="AJ282" i="2"/>
  <c r="AG282" i="2"/>
  <c r="AF282" i="2"/>
  <c r="AE282" i="2"/>
  <c r="AD282" i="2"/>
  <c r="AB282" i="2"/>
  <c r="Z282" i="2"/>
  <c r="Y282" i="2"/>
  <c r="X282" i="2"/>
  <c r="W282" i="2"/>
  <c r="V282" i="2"/>
  <c r="U282" i="2"/>
  <c r="T282" i="2"/>
  <c r="S282" i="2"/>
  <c r="R282" i="2"/>
  <c r="Q282" i="2"/>
  <c r="P282" i="2"/>
  <c r="O282" i="2"/>
  <c r="N282" i="2"/>
  <c r="M282" i="2"/>
  <c r="L282" i="2"/>
  <c r="K282" i="2"/>
  <c r="J282" i="2"/>
  <c r="I282" i="2"/>
  <c r="H282" i="2"/>
  <c r="G282" i="2"/>
  <c r="F282" i="2"/>
  <c r="E282" i="2"/>
  <c r="D282" i="2"/>
  <c r="C282" i="2"/>
  <c r="B282" i="2"/>
  <c r="A282" i="2"/>
  <c r="AJ281" i="2"/>
  <c r="AH281" i="2"/>
  <c r="AG281" i="2"/>
  <c r="AF281" i="2"/>
  <c r="AE281" i="2"/>
  <c r="AD281" i="2"/>
  <c r="AB281" i="2"/>
  <c r="AA281" i="2"/>
  <c r="Z281" i="2"/>
  <c r="Y281" i="2"/>
  <c r="X281" i="2"/>
  <c r="W281" i="2"/>
  <c r="V281" i="2"/>
  <c r="U281" i="2"/>
  <c r="T281" i="2"/>
  <c r="S281" i="2"/>
  <c r="R281" i="2"/>
  <c r="Q281" i="2"/>
  <c r="P281" i="2"/>
  <c r="O281" i="2"/>
  <c r="N281" i="2"/>
  <c r="M281" i="2"/>
  <c r="L281" i="2"/>
  <c r="K281" i="2"/>
  <c r="J281" i="2"/>
  <c r="I281" i="2"/>
  <c r="H281" i="2"/>
  <c r="G281" i="2"/>
  <c r="F281" i="2"/>
  <c r="E281" i="2"/>
  <c r="D281" i="2"/>
  <c r="C281" i="2"/>
  <c r="B281" i="2"/>
  <c r="A281" i="2"/>
  <c r="AJ280" i="2"/>
  <c r="AI280" i="2"/>
  <c r="AH280" i="2"/>
  <c r="AF280" i="2"/>
  <c r="AE280" i="2"/>
  <c r="AD280" i="2"/>
  <c r="AC280" i="2"/>
  <c r="AB280" i="2"/>
  <c r="AA280" i="2"/>
  <c r="Z280" i="2"/>
  <c r="Y280" i="2"/>
  <c r="X280" i="2"/>
  <c r="W280" i="2"/>
  <c r="V280" i="2"/>
  <c r="U280" i="2"/>
  <c r="T280" i="2"/>
  <c r="S280" i="2"/>
  <c r="R280" i="2"/>
  <c r="Q280" i="2"/>
  <c r="P280" i="2"/>
  <c r="O280" i="2"/>
  <c r="N280" i="2"/>
  <c r="M280" i="2"/>
  <c r="L280" i="2"/>
  <c r="K280" i="2"/>
  <c r="J280" i="2"/>
  <c r="I280" i="2"/>
  <c r="H280" i="2"/>
  <c r="G280" i="2"/>
  <c r="F280" i="2"/>
  <c r="E280" i="2"/>
  <c r="D280" i="2"/>
  <c r="C280" i="2"/>
  <c r="B280" i="2"/>
  <c r="A280" i="2"/>
  <c r="AJ279" i="2"/>
  <c r="AI279" i="2"/>
  <c r="AH279" i="2"/>
  <c r="AG279" i="2"/>
  <c r="AF279" i="2"/>
  <c r="AE279" i="2"/>
  <c r="AD279" i="2"/>
  <c r="AC279" i="2"/>
  <c r="AB279" i="2"/>
  <c r="AA279" i="2"/>
  <c r="Z279" i="2"/>
  <c r="Y279" i="2"/>
  <c r="X279" i="2"/>
  <c r="W279" i="2"/>
  <c r="V279" i="2"/>
  <c r="U279" i="2"/>
  <c r="T279" i="2"/>
  <c r="S279" i="2"/>
  <c r="R279" i="2"/>
  <c r="Q279" i="2"/>
  <c r="P279" i="2"/>
  <c r="O279" i="2"/>
  <c r="N279" i="2"/>
  <c r="M279" i="2"/>
  <c r="L279" i="2"/>
  <c r="K279" i="2"/>
  <c r="J279" i="2"/>
  <c r="I279" i="2"/>
  <c r="H279" i="2"/>
  <c r="G279" i="2"/>
  <c r="F279" i="2"/>
  <c r="E279" i="2"/>
  <c r="D279" i="2"/>
  <c r="C279" i="2"/>
  <c r="B279" i="2"/>
  <c r="A279" i="2"/>
  <c r="AJ278" i="2"/>
  <c r="AI278" i="2"/>
  <c r="AH278" i="2"/>
  <c r="AG278" i="2"/>
  <c r="AF278" i="2"/>
  <c r="AE278" i="2"/>
  <c r="AD278" i="2"/>
  <c r="AC278" i="2"/>
  <c r="AB278" i="2"/>
  <c r="Z278" i="2"/>
  <c r="Y278" i="2"/>
  <c r="X278" i="2"/>
  <c r="W278" i="2"/>
  <c r="V278" i="2"/>
  <c r="U278" i="2"/>
  <c r="T278" i="2"/>
  <c r="S278" i="2"/>
  <c r="R278" i="2"/>
  <c r="Q278" i="2"/>
  <c r="P278" i="2"/>
  <c r="O278" i="2"/>
  <c r="N278" i="2"/>
  <c r="M278" i="2"/>
  <c r="L278" i="2"/>
  <c r="K278" i="2"/>
  <c r="J278" i="2"/>
  <c r="I278" i="2"/>
  <c r="H278" i="2"/>
  <c r="G278" i="2"/>
  <c r="F278" i="2"/>
  <c r="E278" i="2"/>
  <c r="D278" i="2"/>
  <c r="C278" i="2"/>
  <c r="B278" i="2"/>
  <c r="A278" i="2"/>
  <c r="AJ277" i="2"/>
  <c r="AH277" i="2"/>
  <c r="AG277" i="2"/>
  <c r="AF277" i="2"/>
  <c r="AE277" i="2"/>
  <c r="AD277" i="2"/>
  <c r="AC277" i="2"/>
  <c r="AB277" i="2"/>
  <c r="AA277" i="2"/>
  <c r="Z277" i="2"/>
  <c r="Y277" i="2"/>
  <c r="X277" i="2"/>
  <c r="W277" i="2"/>
  <c r="V277" i="2"/>
  <c r="U277" i="2"/>
  <c r="T277" i="2"/>
  <c r="S277" i="2"/>
  <c r="R277" i="2"/>
  <c r="Q277" i="2"/>
  <c r="P277" i="2"/>
  <c r="O277" i="2"/>
  <c r="N277" i="2"/>
  <c r="M277" i="2"/>
  <c r="L277" i="2"/>
  <c r="K277" i="2"/>
  <c r="J277" i="2"/>
  <c r="I277" i="2"/>
  <c r="H277" i="2"/>
  <c r="G277" i="2"/>
  <c r="F277" i="2"/>
  <c r="E277" i="2"/>
  <c r="D277" i="2"/>
  <c r="C277" i="2"/>
  <c r="B277" i="2"/>
  <c r="A277" i="2"/>
  <c r="AJ276" i="2"/>
  <c r="AH276" i="2"/>
  <c r="AG276" i="2"/>
  <c r="AF276" i="2"/>
  <c r="AE276" i="2"/>
  <c r="AD276" i="2"/>
  <c r="AC276" i="2"/>
  <c r="AB276" i="2"/>
  <c r="AA276" i="2"/>
  <c r="Z276" i="2"/>
  <c r="Y276" i="2"/>
  <c r="X276" i="2"/>
  <c r="W276" i="2"/>
  <c r="V276" i="2"/>
  <c r="U276" i="2"/>
  <c r="T276" i="2"/>
  <c r="S276" i="2"/>
  <c r="R276" i="2"/>
  <c r="Q276" i="2"/>
  <c r="P276" i="2"/>
  <c r="O276" i="2"/>
  <c r="N276" i="2"/>
  <c r="M276" i="2"/>
  <c r="L276" i="2"/>
  <c r="K276" i="2"/>
  <c r="J276" i="2"/>
  <c r="I276" i="2"/>
  <c r="H276" i="2"/>
  <c r="G276" i="2"/>
  <c r="F276" i="2"/>
  <c r="E276" i="2"/>
  <c r="D276" i="2"/>
  <c r="C276" i="2"/>
  <c r="B276" i="2"/>
  <c r="A276" i="2"/>
  <c r="AJ275" i="2"/>
  <c r="AI275" i="2"/>
  <c r="AH275" i="2"/>
  <c r="AG275" i="2"/>
  <c r="AF275" i="2"/>
  <c r="AE275" i="2"/>
  <c r="AD275" i="2"/>
  <c r="AC275" i="2"/>
  <c r="AB275" i="2"/>
  <c r="AA275" i="2"/>
  <c r="Z275" i="2"/>
  <c r="Y275" i="2"/>
  <c r="X275" i="2"/>
  <c r="W275" i="2"/>
  <c r="V275" i="2"/>
  <c r="U275" i="2"/>
  <c r="T275" i="2"/>
  <c r="S275" i="2"/>
  <c r="R275" i="2"/>
  <c r="Q275" i="2"/>
  <c r="P275" i="2"/>
  <c r="O275" i="2"/>
  <c r="N275" i="2"/>
  <c r="M275" i="2"/>
  <c r="L275" i="2"/>
  <c r="K275" i="2"/>
  <c r="J275" i="2"/>
  <c r="I275" i="2"/>
  <c r="H275" i="2"/>
  <c r="G275" i="2"/>
  <c r="F275" i="2"/>
  <c r="E275" i="2"/>
  <c r="D275" i="2"/>
  <c r="C275" i="2"/>
  <c r="B275" i="2"/>
  <c r="A275" i="2"/>
  <c r="AJ274" i="2"/>
  <c r="AH274" i="2"/>
  <c r="AG274" i="2"/>
  <c r="AF274" i="2"/>
  <c r="AE274" i="2"/>
  <c r="AD274" i="2"/>
  <c r="AC274" i="2"/>
  <c r="AB274" i="2"/>
  <c r="Z274" i="2"/>
  <c r="Y274" i="2"/>
  <c r="X274" i="2"/>
  <c r="W274" i="2"/>
  <c r="V274" i="2"/>
  <c r="U274" i="2"/>
  <c r="T274" i="2"/>
  <c r="S274" i="2"/>
  <c r="R274" i="2"/>
  <c r="Q274" i="2"/>
  <c r="P274" i="2"/>
  <c r="O274" i="2"/>
  <c r="N274" i="2"/>
  <c r="M274" i="2"/>
  <c r="L274" i="2"/>
  <c r="K274" i="2"/>
  <c r="J274" i="2"/>
  <c r="I274" i="2"/>
  <c r="H274" i="2"/>
  <c r="G274" i="2"/>
  <c r="F274" i="2"/>
  <c r="E274" i="2"/>
  <c r="D274" i="2"/>
  <c r="C274" i="2"/>
  <c r="B274" i="2"/>
  <c r="A274" i="2"/>
  <c r="AJ273" i="2"/>
  <c r="AF273" i="2"/>
  <c r="AA273" i="2"/>
  <c r="Z273" i="2"/>
  <c r="Y273" i="2"/>
  <c r="X273" i="2"/>
  <c r="W273" i="2"/>
  <c r="V273" i="2"/>
  <c r="U273" i="2"/>
  <c r="T273" i="2"/>
  <c r="S273" i="2"/>
  <c r="R273" i="2"/>
  <c r="Q273" i="2"/>
  <c r="P273" i="2"/>
  <c r="O273" i="2"/>
  <c r="N273" i="2"/>
  <c r="M273" i="2"/>
  <c r="L273" i="2"/>
  <c r="K273" i="2"/>
  <c r="J273" i="2"/>
  <c r="I273" i="2"/>
  <c r="H273" i="2"/>
  <c r="G273" i="2"/>
  <c r="F273" i="2"/>
  <c r="E273" i="2"/>
  <c r="D273" i="2"/>
  <c r="C273" i="2"/>
  <c r="B273" i="2"/>
  <c r="A273" i="2"/>
  <c r="AJ272" i="2"/>
  <c r="AH272" i="2"/>
  <c r="AG272" i="2"/>
  <c r="AF272" i="2"/>
  <c r="AE272" i="2"/>
  <c r="AD272" i="2"/>
  <c r="Z272" i="2"/>
  <c r="Y272" i="2"/>
  <c r="X272" i="2"/>
  <c r="W272" i="2"/>
  <c r="V272" i="2"/>
  <c r="U272" i="2"/>
  <c r="T272" i="2"/>
  <c r="S272" i="2"/>
  <c r="R272" i="2"/>
  <c r="Q272" i="2"/>
  <c r="P272" i="2"/>
  <c r="O272" i="2"/>
  <c r="N272" i="2"/>
  <c r="M272" i="2"/>
  <c r="L272" i="2"/>
  <c r="K272" i="2"/>
  <c r="J272" i="2"/>
  <c r="I272" i="2"/>
  <c r="H272" i="2"/>
  <c r="G272" i="2"/>
  <c r="F272" i="2"/>
  <c r="E272" i="2"/>
  <c r="D272" i="2"/>
  <c r="C272" i="2"/>
  <c r="B272" i="2"/>
  <c r="A272" i="2"/>
  <c r="AJ271" i="2"/>
  <c r="AI271" i="2"/>
  <c r="AH271" i="2"/>
  <c r="AG271" i="2"/>
  <c r="AF271" i="2"/>
  <c r="AE271" i="2"/>
  <c r="AD271" i="2"/>
  <c r="AC271" i="2"/>
  <c r="AB271" i="2"/>
  <c r="AA271" i="2"/>
  <c r="Z271" i="2"/>
  <c r="Y271" i="2"/>
  <c r="X271" i="2"/>
  <c r="W271" i="2"/>
  <c r="V271" i="2"/>
  <c r="U271" i="2"/>
  <c r="T271" i="2"/>
  <c r="S271" i="2"/>
  <c r="R271" i="2"/>
  <c r="Q271" i="2"/>
  <c r="P271" i="2"/>
  <c r="O271" i="2"/>
  <c r="N271" i="2"/>
  <c r="M271" i="2"/>
  <c r="L271" i="2"/>
  <c r="K271" i="2"/>
  <c r="J271" i="2"/>
  <c r="I271" i="2"/>
  <c r="H271" i="2"/>
  <c r="G271" i="2"/>
  <c r="F271" i="2"/>
  <c r="E271" i="2"/>
  <c r="D271" i="2"/>
  <c r="C271" i="2"/>
  <c r="B271" i="2"/>
  <c r="A271" i="2"/>
  <c r="AJ270" i="2"/>
  <c r="AH270" i="2"/>
  <c r="AG270" i="2"/>
  <c r="AF270" i="2"/>
  <c r="AE270" i="2"/>
  <c r="AD270" i="2"/>
  <c r="AC270" i="2"/>
  <c r="AB270" i="2"/>
  <c r="Z270" i="2"/>
  <c r="Y270" i="2"/>
  <c r="X270" i="2"/>
  <c r="W270" i="2"/>
  <c r="V270" i="2"/>
  <c r="U270" i="2"/>
  <c r="T270" i="2"/>
  <c r="S270" i="2"/>
  <c r="R270" i="2"/>
  <c r="Q270" i="2"/>
  <c r="P270" i="2"/>
  <c r="O270" i="2"/>
  <c r="N270" i="2"/>
  <c r="M270" i="2"/>
  <c r="L270" i="2"/>
  <c r="K270" i="2"/>
  <c r="J270" i="2"/>
  <c r="I270" i="2"/>
  <c r="H270" i="2"/>
  <c r="G270" i="2"/>
  <c r="F270" i="2"/>
  <c r="E270" i="2"/>
  <c r="D270" i="2"/>
  <c r="C270" i="2"/>
  <c r="B270" i="2"/>
  <c r="A270" i="2"/>
  <c r="AJ269" i="2"/>
  <c r="AH269" i="2"/>
  <c r="AG269" i="2"/>
  <c r="AF269" i="2"/>
  <c r="AE269" i="2"/>
  <c r="AD269" i="2"/>
  <c r="Z269" i="2"/>
  <c r="Y269" i="2"/>
  <c r="X269" i="2"/>
  <c r="W269" i="2"/>
  <c r="V269" i="2"/>
  <c r="U269" i="2"/>
  <c r="T269" i="2"/>
  <c r="S269" i="2"/>
  <c r="R269" i="2"/>
  <c r="Q269" i="2"/>
  <c r="P269" i="2"/>
  <c r="O269" i="2"/>
  <c r="N269" i="2"/>
  <c r="M269" i="2"/>
  <c r="L269" i="2"/>
  <c r="K269" i="2"/>
  <c r="J269" i="2"/>
  <c r="I269" i="2"/>
  <c r="H269" i="2"/>
  <c r="G269" i="2"/>
  <c r="F269" i="2"/>
  <c r="E269" i="2"/>
  <c r="D269" i="2"/>
  <c r="C269" i="2"/>
  <c r="B269" i="2"/>
  <c r="A269" i="2"/>
  <c r="AJ268" i="2"/>
  <c r="AH268" i="2"/>
  <c r="AG268" i="2"/>
  <c r="AF268" i="2"/>
  <c r="AE268" i="2"/>
  <c r="AD268" i="2"/>
  <c r="AC268" i="2"/>
  <c r="AB268" i="2"/>
  <c r="AA268" i="2"/>
  <c r="Z268" i="2"/>
  <c r="Y268" i="2"/>
  <c r="X268" i="2"/>
  <c r="W268" i="2"/>
  <c r="V268" i="2"/>
  <c r="U268" i="2"/>
  <c r="T268" i="2"/>
  <c r="S268" i="2"/>
  <c r="R268" i="2"/>
  <c r="Q268" i="2"/>
  <c r="P268" i="2"/>
  <c r="O268" i="2"/>
  <c r="N268" i="2"/>
  <c r="M268" i="2"/>
  <c r="L268" i="2"/>
  <c r="K268" i="2"/>
  <c r="J268" i="2"/>
  <c r="I268" i="2"/>
  <c r="H268" i="2"/>
  <c r="G268" i="2"/>
  <c r="F268" i="2"/>
  <c r="E268" i="2"/>
  <c r="D268" i="2"/>
  <c r="C268" i="2"/>
  <c r="B268" i="2"/>
  <c r="A268" i="2"/>
  <c r="AJ267" i="2"/>
  <c r="AI267" i="2"/>
  <c r="AH267" i="2"/>
  <c r="AG267" i="2"/>
  <c r="AF267" i="2"/>
  <c r="AE267" i="2"/>
  <c r="AD267" i="2"/>
  <c r="AC267" i="2"/>
  <c r="AB267" i="2"/>
  <c r="AA267" i="2"/>
  <c r="Z267" i="2"/>
  <c r="Y267" i="2"/>
  <c r="X267" i="2"/>
  <c r="W267" i="2"/>
  <c r="V267" i="2"/>
  <c r="U267" i="2"/>
  <c r="T267" i="2"/>
  <c r="S267" i="2"/>
  <c r="R267" i="2"/>
  <c r="Q267" i="2"/>
  <c r="P267" i="2"/>
  <c r="O267" i="2"/>
  <c r="N267" i="2"/>
  <c r="M267" i="2"/>
  <c r="L267" i="2"/>
  <c r="K267" i="2"/>
  <c r="J267" i="2"/>
  <c r="I267" i="2"/>
  <c r="H267" i="2"/>
  <c r="G267" i="2"/>
  <c r="F267" i="2"/>
  <c r="E267" i="2"/>
  <c r="D267" i="2"/>
  <c r="C267" i="2"/>
  <c r="B267" i="2"/>
  <c r="A267" i="2"/>
  <c r="AJ266" i="2"/>
  <c r="AH266" i="2"/>
  <c r="AG266" i="2"/>
  <c r="AF266" i="2"/>
  <c r="AE266" i="2"/>
  <c r="AD266" i="2"/>
  <c r="AC266" i="2"/>
  <c r="AB266" i="2"/>
  <c r="AA266" i="2"/>
  <c r="Z266" i="2"/>
  <c r="Y266" i="2"/>
  <c r="X266" i="2"/>
  <c r="W266" i="2"/>
  <c r="V266" i="2"/>
  <c r="U266" i="2"/>
  <c r="T266" i="2"/>
  <c r="S266" i="2"/>
  <c r="R266" i="2"/>
  <c r="Q266" i="2"/>
  <c r="P266" i="2"/>
  <c r="O266" i="2"/>
  <c r="N266" i="2"/>
  <c r="M266" i="2"/>
  <c r="L266" i="2"/>
  <c r="K266" i="2"/>
  <c r="J266" i="2"/>
  <c r="I266" i="2"/>
  <c r="H266" i="2"/>
  <c r="G266" i="2"/>
  <c r="F266" i="2"/>
  <c r="E266" i="2"/>
  <c r="D266" i="2"/>
  <c r="C266" i="2"/>
  <c r="B266" i="2"/>
  <c r="A266" i="2"/>
  <c r="AJ265" i="2"/>
  <c r="AH265" i="2"/>
  <c r="AG265" i="2"/>
  <c r="AF265" i="2"/>
  <c r="AE265" i="2"/>
  <c r="AD265" i="2"/>
  <c r="AC265" i="2"/>
  <c r="AB265" i="2"/>
  <c r="AA265" i="2"/>
  <c r="Z265" i="2"/>
  <c r="Y265" i="2"/>
  <c r="X265" i="2"/>
  <c r="W265" i="2"/>
  <c r="V265" i="2"/>
  <c r="U265" i="2"/>
  <c r="T265" i="2"/>
  <c r="S265" i="2"/>
  <c r="R265" i="2"/>
  <c r="Q265" i="2"/>
  <c r="P265" i="2"/>
  <c r="O265" i="2"/>
  <c r="N265" i="2"/>
  <c r="M265" i="2"/>
  <c r="L265" i="2"/>
  <c r="K265" i="2"/>
  <c r="J265" i="2"/>
  <c r="I265" i="2"/>
  <c r="H265" i="2"/>
  <c r="G265" i="2"/>
  <c r="F265" i="2"/>
  <c r="E265" i="2"/>
  <c r="D265" i="2"/>
  <c r="C265" i="2"/>
  <c r="B265" i="2"/>
  <c r="A265" i="2"/>
  <c r="AJ264" i="2"/>
  <c r="AI264" i="2"/>
  <c r="AH264" i="2"/>
  <c r="AG264" i="2"/>
  <c r="AF264" i="2"/>
  <c r="AE264" i="2"/>
  <c r="AD264" i="2"/>
  <c r="AC264" i="2"/>
  <c r="AB264" i="2"/>
  <c r="AA264" i="2"/>
  <c r="Z264" i="2"/>
  <c r="Y264" i="2"/>
  <c r="X264" i="2"/>
  <c r="W264" i="2"/>
  <c r="V264" i="2"/>
  <c r="U264" i="2"/>
  <c r="T264" i="2"/>
  <c r="S264" i="2"/>
  <c r="R264" i="2"/>
  <c r="Q264" i="2"/>
  <c r="P264" i="2"/>
  <c r="O264" i="2"/>
  <c r="N264" i="2"/>
  <c r="M264" i="2"/>
  <c r="L264" i="2"/>
  <c r="K264" i="2"/>
  <c r="J264" i="2"/>
  <c r="I264" i="2"/>
  <c r="H264" i="2"/>
  <c r="G264" i="2"/>
  <c r="F264" i="2"/>
  <c r="E264" i="2"/>
  <c r="D264" i="2"/>
  <c r="C264" i="2"/>
  <c r="B264" i="2"/>
  <c r="A264" i="2"/>
  <c r="AJ263" i="2"/>
  <c r="AH263" i="2"/>
  <c r="AG263" i="2"/>
  <c r="AF263" i="2"/>
  <c r="AE263" i="2"/>
  <c r="AD263" i="2"/>
  <c r="AC263" i="2"/>
  <c r="AB263" i="2"/>
  <c r="AA263" i="2"/>
  <c r="Z263" i="2"/>
  <c r="Y263" i="2"/>
  <c r="X263" i="2"/>
  <c r="W263" i="2"/>
  <c r="V263" i="2"/>
  <c r="U263" i="2"/>
  <c r="T263" i="2"/>
  <c r="S263" i="2"/>
  <c r="R263" i="2"/>
  <c r="Q263" i="2"/>
  <c r="P263" i="2"/>
  <c r="O263" i="2"/>
  <c r="N263" i="2"/>
  <c r="M263" i="2"/>
  <c r="L263" i="2"/>
  <c r="K263" i="2"/>
  <c r="J263" i="2"/>
  <c r="I263" i="2"/>
  <c r="H263" i="2"/>
  <c r="G263" i="2"/>
  <c r="F263" i="2"/>
  <c r="E263" i="2"/>
  <c r="D263" i="2"/>
  <c r="C263" i="2"/>
  <c r="B263" i="2"/>
  <c r="A263" i="2"/>
  <c r="AJ262" i="2"/>
  <c r="AH262" i="2"/>
  <c r="AG262" i="2"/>
  <c r="AF262" i="2"/>
  <c r="AE262" i="2"/>
  <c r="AD262" i="2"/>
  <c r="AC262" i="2"/>
  <c r="AB262" i="2"/>
  <c r="AA262" i="2"/>
  <c r="Z262" i="2"/>
  <c r="Y262" i="2"/>
  <c r="X262" i="2"/>
  <c r="W262" i="2"/>
  <c r="V262" i="2"/>
  <c r="U262" i="2"/>
  <c r="T262" i="2"/>
  <c r="S262" i="2"/>
  <c r="R262" i="2"/>
  <c r="Q262" i="2"/>
  <c r="P262" i="2"/>
  <c r="O262" i="2"/>
  <c r="N262" i="2"/>
  <c r="M262" i="2"/>
  <c r="L262" i="2"/>
  <c r="K262" i="2"/>
  <c r="J262" i="2"/>
  <c r="I262" i="2"/>
  <c r="H262" i="2"/>
  <c r="G262" i="2"/>
  <c r="F262" i="2"/>
  <c r="E262" i="2"/>
  <c r="D262" i="2"/>
  <c r="C262" i="2"/>
  <c r="B262" i="2"/>
  <c r="A262" i="2"/>
  <c r="AJ261" i="2"/>
  <c r="AI261" i="2"/>
  <c r="AH261" i="2"/>
  <c r="AG261" i="2"/>
  <c r="AF261" i="2"/>
  <c r="AE261" i="2"/>
  <c r="AD261" i="2"/>
  <c r="AC261" i="2"/>
  <c r="AB261" i="2"/>
  <c r="AA261" i="2"/>
  <c r="Z261" i="2"/>
  <c r="Y261" i="2"/>
  <c r="X261" i="2"/>
  <c r="W261" i="2"/>
  <c r="V261" i="2"/>
  <c r="U261" i="2"/>
  <c r="T261" i="2"/>
  <c r="S261" i="2"/>
  <c r="R261" i="2"/>
  <c r="Q261" i="2"/>
  <c r="P261" i="2"/>
  <c r="O261" i="2"/>
  <c r="N261" i="2"/>
  <c r="M261" i="2"/>
  <c r="L261" i="2"/>
  <c r="K261" i="2"/>
  <c r="J261" i="2"/>
  <c r="I261" i="2"/>
  <c r="H261" i="2"/>
  <c r="G261" i="2"/>
  <c r="F261" i="2"/>
  <c r="E261" i="2"/>
  <c r="D261" i="2"/>
  <c r="C261" i="2"/>
  <c r="B261" i="2"/>
  <c r="A261" i="2"/>
  <c r="AJ260" i="2"/>
  <c r="AH260" i="2"/>
  <c r="AF260" i="2"/>
  <c r="AE260" i="2"/>
  <c r="AD260" i="2"/>
  <c r="AC260" i="2"/>
  <c r="AB260" i="2"/>
  <c r="Z260" i="2"/>
  <c r="Y260" i="2"/>
  <c r="X260" i="2"/>
  <c r="W260" i="2"/>
  <c r="V260" i="2"/>
  <c r="U260" i="2"/>
  <c r="T260" i="2"/>
  <c r="S260" i="2"/>
  <c r="R260" i="2"/>
  <c r="Q260" i="2"/>
  <c r="P260" i="2"/>
  <c r="O260" i="2"/>
  <c r="N260" i="2"/>
  <c r="M260" i="2"/>
  <c r="L260" i="2"/>
  <c r="K260" i="2"/>
  <c r="J260" i="2"/>
  <c r="I260" i="2"/>
  <c r="H260" i="2"/>
  <c r="G260" i="2"/>
  <c r="F260" i="2"/>
  <c r="E260" i="2"/>
  <c r="D260" i="2"/>
  <c r="C260" i="2"/>
  <c r="B260" i="2"/>
  <c r="A260" i="2"/>
  <c r="AJ259" i="2"/>
  <c r="AI259" i="2"/>
  <c r="AH259" i="2"/>
  <c r="AG259" i="2"/>
  <c r="AF259" i="2"/>
  <c r="AE259" i="2"/>
  <c r="AD259" i="2"/>
  <c r="AC259" i="2"/>
  <c r="AB259" i="2"/>
  <c r="Z259" i="2"/>
  <c r="Y259" i="2"/>
  <c r="X259" i="2"/>
  <c r="W259" i="2"/>
  <c r="V259" i="2"/>
  <c r="U259" i="2"/>
  <c r="T259" i="2"/>
  <c r="S259" i="2"/>
  <c r="R259" i="2"/>
  <c r="Q259" i="2"/>
  <c r="P259" i="2"/>
  <c r="O259" i="2"/>
  <c r="N259" i="2"/>
  <c r="M259" i="2"/>
  <c r="L259" i="2"/>
  <c r="K259" i="2"/>
  <c r="J259" i="2"/>
  <c r="I259" i="2"/>
  <c r="H259" i="2"/>
  <c r="G259" i="2"/>
  <c r="F259" i="2"/>
  <c r="E259" i="2"/>
  <c r="D259" i="2"/>
  <c r="C259" i="2"/>
  <c r="B259" i="2"/>
  <c r="A259" i="2"/>
  <c r="AJ258" i="2"/>
  <c r="AG258" i="2"/>
  <c r="AF258" i="2"/>
  <c r="AE258" i="2"/>
  <c r="AD258" i="2"/>
  <c r="AC258" i="2"/>
  <c r="AB258" i="2"/>
  <c r="Z258" i="2"/>
  <c r="Y258" i="2"/>
  <c r="X258" i="2"/>
  <c r="W258" i="2"/>
  <c r="V258" i="2"/>
  <c r="U258" i="2"/>
  <c r="T258" i="2"/>
  <c r="S258" i="2"/>
  <c r="R258" i="2"/>
  <c r="Q258" i="2"/>
  <c r="P258" i="2"/>
  <c r="O258" i="2"/>
  <c r="N258" i="2"/>
  <c r="M258" i="2"/>
  <c r="L258" i="2"/>
  <c r="K258" i="2"/>
  <c r="J258" i="2"/>
  <c r="I258" i="2"/>
  <c r="H258" i="2"/>
  <c r="G258" i="2"/>
  <c r="F258" i="2"/>
  <c r="E258" i="2"/>
  <c r="D258" i="2"/>
  <c r="C258" i="2"/>
  <c r="B258" i="2"/>
  <c r="A258" i="2"/>
  <c r="AJ257" i="2"/>
  <c r="AI257" i="2"/>
  <c r="AH257" i="2"/>
  <c r="AG257" i="2"/>
  <c r="AF257" i="2"/>
  <c r="AE257" i="2"/>
  <c r="AD257" i="2"/>
  <c r="AC257" i="2"/>
  <c r="AB257" i="2"/>
  <c r="AA257" i="2"/>
  <c r="Z257" i="2"/>
  <c r="Y257" i="2"/>
  <c r="X257" i="2"/>
  <c r="W257" i="2"/>
  <c r="V257" i="2"/>
  <c r="U257" i="2"/>
  <c r="T257" i="2"/>
  <c r="S257" i="2"/>
  <c r="R257" i="2"/>
  <c r="Q257" i="2"/>
  <c r="P257" i="2"/>
  <c r="O257" i="2"/>
  <c r="N257" i="2"/>
  <c r="M257" i="2"/>
  <c r="L257" i="2"/>
  <c r="K257" i="2"/>
  <c r="J257" i="2"/>
  <c r="I257" i="2"/>
  <c r="H257" i="2"/>
  <c r="G257" i="2"/>
  <c r="F257" i="2"/>
  <c r="E257" i="2"/>
  <c r="D257" i="2"/>
  <c r="C257" i="2"/>
  <c r="B257" i="2"/>
  <c r="A257" i="2"/>
  <c r="AJ256" i="2"/>
  <c r="AH256" i="2"/>
  <c r="AG256" i="2"/>
  <c r="AF256" i="2"/>
  <c r="AE256" i="2"/>
  <c r="AD256" i="2"/>
  <c r="AB256" i="2"/>
  <c r="AA256" i="2"/>
  <c r="Z256" i="2"/>
  <c r="Y256" i="2"/>
  <c r="X256" i="2"/>
  <c r="W256" i="2"/>
  <c r="V256" i="2"/>
  <c r="U256" i="2"/>
  <c r="T256" i="2"/>
  <c r="S256" i="2"/>
  <c r="R256" i="2"/>
  <c r="Q256" i="2"/>
  <c r="P256" i="2"/>
  <c r="O256" i="2"/>
  <c r="N256" i="2"/>
  <c r="M256" i="2"/>
  <c r="L256" i="2"/>
  <c r="K256" i="2"/>
  <c r="J256" i="2"/>
  <c r="I256" i="2"/>
  <c r="H256" i="2"/>
  <c r="G256" i="2"/>
  <c r="F256" i="2"/>
  <c r="E256" i="2"/>
  <c r="D256" i="2"/>
  <c r="C256" i="2"/>
  <c r="B256" i="2"/>
  <c r="A256" i="2"/>
  <c r="AJ255" i="2"/>
  <c r="AI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F255" i="2"/>
  <c r="E255" i="2"/>
  <c r="D255" i="2"/>
  <c r="C255" i="2"/>
  <c r="B255" i="2"/>
  <c r="A255" i="2"/>
  <c r="AJ254" i="2"/>
  <c r="AH254" i="2"/>
  <c r="AF254" i="2"/>
  <c r="AE254" i="2"/>
  <c r="AD254" i="2"/>
  <c r="AC254" i="2"/>
  <c r="AA254" i="2"/>
  <c r="Z254" i="2"/>
  <c r="Y254" i="2"/>
  <c r="X254" i="2"/>
  <c r="W254" i="2"/>
  <c r="V254" i="2"/>
  <c r="U254" i="2"/>
  <c r="T254" i="2"/>
  <c r="S254" i="2"/>
  <c r="R254" i="2"/>
  <c r="Q254" i="2"/>
  <c r="P254" i="2"/>
  <c r="O254" i="2"/>
  <c r="N254" i="2"/>
  <c r="M254" i="2"/>
  <c r="L254" i="2"/>
  <c r="K254" i="2"/>
  <c r="J254" i="2"/>
  <c r="I254" i="2"/>
  <c r="H254" i="2"/>
  <c r="G254" i="2"/>
  <c r="F254" i="2"/>
  <c r="E254" i="2"/>
  <c r="D254" i="2"/>
  <c r="C254" i="2"/>
  <c r="B254" i="2"/>
  <c r="A254" i="2"/>
  <c r="AJ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F253" i="2"/>
  <c r="E253" i="2"/>
  <c r="D253" i="2"/>
  <c r="C253" i="2"/>
  <c r="B253" i="2"/>
  <c r="A253" i="2"/>
  <c r="AJ252" i="2"/>
  <c r="AI252" i="2"/>
  <c r="AH252" i="2"/>
  <c r="AG252" i="2"/>
  <c r="AF252" i="2"/>
  <c r="AE252" i="2"/>
  <c r="AD252" i="2"/>
  <c r="AC252" i="2"/>
  <c r="AB252" i="2"/>
  <c r="AA252" i="2"/>
  <c r="Z252" i="2"/>
  <c r="Y252" i="2"/>
  <c r="X252" i="2"/>
  <c r="V252" i="2"/>
  <c r="U252" i="2"/>
  <c r="T252" i="2"/>
  <c r="S252" i="2"/>
  <c r="R252" i="2"/>
  <c r="Q252" i="2"/>
  <c r="P252" i="2"/>
  <c r="O252" i="2"/>
  <c r="N252" i="2"/>
  <c r="M252" i="2"/>
  <c r="L252" i="2"/>
  <c r="K252" i="2"/>
  <c r="J252" i="2"/>
  <c r="I252" i="2"/>
  <c r="H252" i="2"/>
  <c r="G252" i="2"/>
  <c r="F252" i="2"/>
  <c r="E252" i="2"/>
  <c r="D252" i="2"/>
  <c r="C252" i="2"/>
  <c r="B252" i="2"/>
  <c r="A252" i="2"/>
  <c r="AJ251" i="2"/>
  <c r="AG251" i="2"/>
  <c r="AF251" i="2"/>
  <c r="AE251" i="2"/>
  <c r="AD251" i="2"/>
  <c r="AB251" i="2"/>
  <c r="Z251" i="2"/>
  <c r="Y251" i="2"/>
  <c r="X251" i="2"/>
  <c r="W251" i="2"/>
  <c r="V251" i="2"/>
  <c r="U251" i="2"/>
  <c r="T251" i="2"/>
  <c r="S251" i="2"/>
  <c r="R251" i="2"/>
  <c r="Q251" i="2"/>
  <c r="P251" i="2"/>
  <c r="O251" i="2"/>
  <c r="N251" i="2"/>
  <c r="M251" i="2"/>
  <c r="L251" i="2"/>
  <c r="K251" i="2"/>
  <c r="J251" i="2"/>
  <c r="I251" i="2"/>
  <c r="H251" i="2"/>
  <c r="G251" i="2"/>
  <c r="F251" i="2"/>
  <c r="E251" i="2"/>
  <c r="D251" i="2"/>
  <c r="C251" i="2"/>
  <c r="B251" i="2"/>
  <c r="A251"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F250" i="2"/>
  <c r="E250" i="2"/>
  <c r="D250" i="2"/>
  <c r="C250" i="2"/>
  <c r="B250" i="2"/>
  <c r="A250" i="2"/>
  <c r="AJ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F249" i="2"/>
  <c r="E249" i="2"/>
  <c r="D249" i="2"/>
  <c r="C249" i="2"/>
  <c r="B249" i="2"/>
  <c r="A249" i="2"/>
  <c r="AJ248" i="2"/>
  <c r="AH248" i="2"/>
  <c r="AG248" i="2"/>
  <c r="AF248" i="2"/>
  <c r="AE248" i="2"/>
  <c r="AD248" i="2"/>
  <c r="AC248" i="2"/>
  <c r="AB248" i="2"/>
  <c r="Z248" i="2"/>
  <c r="Y248" i="2"/>
  <c r="X248" i="2"/>
  <c r="W248" i="2"/>
  <c r="V248" i="2"/>
  <c r="U248" i="2"/>
  <c r="T248" i="2"/>
  <c r="S248" i="2"/>
  <c r="R248" i="2"/>
  <c r="Q248" i="2"/>
  <c r="P248" i="2"/>
  <c r="O248" i="2"/>
  <c r="N248" i="2"/>
  <c r="M248" i="2"/>
  <c r="L248" i="2"/>
  <c r="K248" i="2"/>
  <c r="J248" i="2"/>
  <c r="I248" i="2"/>
  <c r="H248" i="2"/>
  <c r="G248" i="2"/>
  <c r="F248" i="2"/>
  <c r="E248" i="2"/>
  <c r="D248" i="2"/>
  <c r="C248" i="2"/>
  <c r="B248" i="2"/>
  <c r="A248"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F247" i="2"/>
  <c r="E247" i="2"/>
  <c r="D247" i="2"/>
  <c r="C247" i="2"/>
  <c r="B247" i="2"/>
  <c r="A247"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F246" i="2"/>
  <c r="E246" i="2"/>
  <c r="D246" i="2"/>
  <c r="C246" i="2"/>
  <c r="B246" i="2"/>
  <c r="A246" i="2"/>
  <c r="AJ245" i="2"/>
  <c r="AH245" i="2"/>
  <c r="AG245" i="2"/>
  <c r="AF245" i="2"/>
  <c r="AE245" i="2"/>
  <c r="AD245" i="2"/>
  <c r="AB245" i="2"/>
  <c r="AA245" i="2"/>
  <c r="Z245" i="2"/>
  <c r="Y245" i="2"/>
  <c r="X245" i="2"/>
  <c r="W245" i="2"/>
  <c r="V245" i="2"/>
  <c r="U245" i="2"/>
  <c r="T245" i="2"/>
  <c r="S245" i="2"/>
  <c r="R245" i="2"/>
  <c r="Q245" i="2"/>
  <c r="P245" i="2"/>
  <c r="O245" i="2"/>
  <c r="N245" i="2"/>
  <c r="M245" i="2"/>
  <c r="L245" i="2"/>
  <c r="K245" i="2"/>
  <c r="J245" i="2"/>
  <c r="I245" i="2"/>
  <c r="H245" i="2"/>
  <c r="G245" i="2"/>
  <c r="F245" i="2"/>
  <c r="E245" i="2"/>
  <c r="D245" i="2"/>
  <c r="C245" i="2"/>
  <c r="B245" i="2"/>
  <c r="A245" i="2"/>
  <c r="AJ244" i="2"/>
  <c r="AH244" i="2"/>
  <c r="AG244" i="2"/>
  <c r="AF244" i="2"/>
  <c r="AE244" i="2"/>
  <c r="AD244" i="2"/>
  <c r="Z244" i="2"/>
  <c r="Y244" i="2"/>
  <c r="X244" i="2"/>
  <c r="W244" i="2"/>
  <c r="V244" i="2"/>
  <c r="U244" i="2"/>
  <c r="T244" i="2"/>
  <c r="S244" i="2"/>
  <c r="R244" i="2"/>
  <c r="Q244" i="2"/>
  <c r="P244" i="2"/>
  <c r="O244" i="2"/>
  <c r="N244" i="2"/>
  <c r="M244" i="2"/>
  <c r="L244" i="2"/>
  <c r="K244" i="2"/>
  <c r="J244" i="2"/>
  <c r="I244" i="2"/>
  <c r="H244" i="2"/>
  <c r="G244" i="2"/>
  <c r="F244" i="2"/>
  <c r="E244" i="2"/>
  <c r="D244" i="2"/>
  <c r="C244" i="2"/>
  <c r="B244" i="2"/>
  <c r="A244" i="2"/>
  <c r="AJ243" i="2"/>
  <c r="AH243" i="2"/>
  <c r="AG243" i="2"/>
  <c r="AF243" i="2"/>
  <c r="AE243" i="2"/>
  <c r="AD243" i="2"/>
  <c r="AB243" i="2"/>
  <c r="Z243" i="2"/>
  <c r="Y243" i="2"/>
  <c r="X243" i="2"/>
  <c r="W243" i="2"/>
  <c r="V243" i="2"/>
  <c r="U243" i="2"/>
  <c r="T243" i="2"/>
  <c r="S243" i="2"/>
  <c r="R243" i="2"/>
  <c r="Q243" i="2"/>
  <c r="P243" i="2"/>
  <c r="O243" i="2"/>
  <c r="N243" i="2"/>
  <c r="M243" i="2"/>
  <c r="L243" i="2"/>
  <c r="K243" i="2"/>
  <c r="J243" i="2"/>
  <c r="I243" i="2"/>
  <c r="H243" i="2"/>
  <c r="G243" i="2"/>
  <c r="F243" i="2"/>
  <c r="E243" i="2"/>
  <c r="D243" i="2"/>
  <c r="C243" i="2"/>
  <c r="B243" i="2"/>
  <c r="A243" i="2"/>
  <c r="AJ242" i="2"/>
  <c r="AA242" i="2"/>
  <c r="Z242" i="2"/>
  <c r="Y242" i="2"/>
  <c r="X242" i="2"/>
  <c r="W242" i="2"/>
  <c r="V242" i="2"/>
  <c r="U242" i="2"/>
  <c r="T242" i="2"/>
  <c r="S242" i="2"/>
  <c r="R242" i="2"/>
  <c r="Q242" i="2"/>
  <c r="P242" i="2"/>
  <c r="O242" i="2"/>
  <c r="N242" i="2"/>
  <c r="M242" i="2"/>
  <c r="L242" i="2"/>
  <c r="K242" i="2"/>
  <c r="J242" i="2"/>
  <c r="I242" i="2"/>
  <c r="H242" i="2"/>
  <c r="G242" i="2"/>
  <c r="F242" i="2"/>
  <c r="E242" i="2"/>
  <c r="D242" i="2"/>
  <c r="C242" i="2"/>
  <c r="B242" i="2"/>
  <c r="A242" i="2"/>
  <c r="AJ241" i="2"/>
  <c r="AH241" i="2"/>
  <c r="AG241" i="2"/>
  <c r="AF241" i="2"/>
  <c r="AE241" i="2"/>
  <c r="AD241" i="2"/>
  <c r="AB241" i="2"/>
  <c r="AA241" i="2"/>
  <c r="Z241" i="2"/>
  <c r="Y241" i="2"/>
  <c r="X241" i="2"/>
  <c r="W241" i="2"/>
  <c r="V241" i="2"/>
  <c r="U241" i="2"/>
  <c r="T241" i="2"/>
  <c r="S241" i="2"/>
  <c r="R241" i="2"/>
  <c r="Q241" i="2"/>
  <c r="P241" i="2"/>
  <c r="O241" i="2"/>
  <c r="N241" i="2"/>
  <c r="M241" i="2"/>
  <c r="L241" i="2"/>
  <c r="K241" i="2"/>
  <c r="J241" i="2"/>
  <c r="I241" i="2"/>
  <c r="H241" i="2"/>
  <c r="G241" i="2"/>
  <c r="F241" i="2"/>
  <c r="E241" i="2"/>
  <c r="D241" i="2"/>
  <c r="C241" i="2"/>
  <c r="B241" i="2"/>
  <c r="A241" i="2"/>
  <c r="AJ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F240" i="2"/>
  <c r="E240" i="2"/>
  <c r="D240" i="2"/>
  <c r="C240" i="2"/>
  <c r="B240" i="2"/>
  <c r="A240" i="2"/>
  <c r="AJ239" i="2"/>
  <c r="AH239" i="2"/>
  <c r="AG239" i="2"/>
  <c r="AF239" i="2"/>
  <c r="AE239" i="2"/>
  <c r="AD239" i="2"/>
  <c r="AC239" i="2"/>
  <c r="AB239" i="2"/>
  <c r="Z239" i="2"/>
  <c r="Y239" i="2"/>
  <c r="X239" i="2"/>
  <c r="W239" i="2"/>
  <c r="V239" i="2"/>
  <c r="U239" i="2"/>
  <c r="T239" i="2"/>
  <c r="S239" i="2"/>
  <c r="R239" i="2"/>
  <c r="Q239" i="2"/>
  <c r="P239" i="2"/>
  <c r="O239" i="2"/>
  <c r="N239" i="2"/>
  <c r="M239" i="2"/>
  <c r="L239" i="2"/>
  <c r="K239" i="2"/>
  <c r="J239" i="2"/>
  <c r="I239" i="2"/>
  <c r="H239" i="2"/>
  <c r="G239" i="2"/>
  <c r="F239" i="2"/>
  <c r="E239" i="2"/>
  <c r="D239" i="2"/>
  <c r="C239" i="2"/>
  <c r="B239" i="2"/>
  <c r="A239"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F238" i="2"/>
  <c r="E238" i="2"/>
  <c r="D238" i="2"/>
  <c r="C238" i="2"/>
  <c r="B238" i="2"/>
  <c r="A238"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F237" i="2"/>
  <c r="E237" i="2"/>
  <c r="D237" i="2"/>
  <c r="C237" i="2"/>
  <c r="B237" i="2"/>
  <c r="A237" i="2"/>
  <c r="AJ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F236" i="2"/>
  <c r="E236" i="2"/>
  <c r="D236" i="2"/>
  <c r="C236" i="2"/>
  <c r="B236" i="2"/>
  <c r="A236" i="2"/>
  <c r="AJ235" i="2"/>
  <c r="AH235" i="2"/>
  <c r="AG235" i="2"/>
  <c r="AF235" i="2"/>
  <c r="AE235" i="2"/>
  <c r="AD235" i="2"/>
  <c r="AC235" i="2"/>
  <c r="Z235" i="2"/>
  <c r="Y235" i="2"/>
  <c r="X235" i="2"/>
  <c r="W235" i="2"/>
  <c r="V235" i="2"/>
  <c r="U235" i="2"/>
  <c r="T235" i="2"/>
  <c r="S235" i="2"/>
  <c r="R235" i="2"/>
  <c r="Q235" i="2"/>
  <c r="P235" i="2"/>
  <c r="O235" i="2"/>
  <c r="N235" i="2"/>
  <c r="M235" i="2"/>
  <c r="L235" i="2"/>
  <c r="K235" i="2"/>
  <c r="J235" i="2"/>
  <c r="I235" i="2"/>
  <c r="H235" i="2"/>
  <c r="G235" i="2"/>
  <c r="F235" i="2"/>
  <c r="E235" i="2"/>
  <c r="D235" i="2"/>
  <c r="C235" i="2"/>
  <c r="B235" i="2"/>
  <c r="A235"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F234" i="2"/>
  <c r="E234" i="2"/>
  <c r="D234" i="2"/>
  <c r="C234" i="2"/>
  <c r="B234" i="2"/>
  <c r="A234"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F233" i="2"/>
  <c r="E233" i="2"/>
  <c r="D233" i="2"/>
  <c r="C233" i="2"/>
  <c r="B233" i="2"/>
  <c r="A233" i="2"/>
  <c r="AJ232" i="2"/>
  <c r="AH232" i="2"/>
  <c r="AG232" i="2"/>
  <c r="AF232" i="2"/>
  <c r="AE232" i="2"/>
  <c r="AD232" i="2"/>
  <c r="AC232" i="2"/>
  <c r="Z232" i="2"/>
  <c r="Y232" i="2"/>
  <c r="X232" i="2"/>
  <c r="W232" i="2"/>
  <c r="V232" i="2"/>
  <c r="U232" i="2"/>
  <c r="T232" i="2"/>
  <c r="S232" i="2"/>
  <c r="R232" i="2"/>
  <c r="Q232" i="2"/>
  <c r="P232" i="2"/>
  <c r="O232" i="2"/>
  <c r="N232" i="2"/>
  <c r="M232" i="2"/>
  <c r="L232" i="2"/>
  <c r="K232" i="2"/>
  <c r="J232" i="2"/>
  <c r="I232" i="2"/>
  <c r="H232" i="2"/>
  <c r="G232" i="2"/>
  <c r="F232" i="2"/>
  <c r="E232" i="2"/>
  <c r="D232" i="2"/>
  <c r="C232" i="2"/>
  <c r="B232" i="2"/>
  <c r="A232"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F231" i="2"/>
  <c r="E231" i="2"/>
  <c r="D231" i="2"/>
  <c r="C231" i="2"/>
  <c r="B231" i="2"/>
  <c r="A231"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F230" i="2"/>
  <c r="E230" i="2"/>
  <c r="D230" i="2"/>
  <c r="C230" i="2"/>
  <c r="B230" i="2"/>
  <c r="A230" i="2"/>
  <c r="AJ229" i="2"/>
  <c r="AH229" i="2"/>
  <c r="AG229" i="2"/>
  <c r="AF229" i="2"/>
  <c r="AE229" i="2"/>
  <c r="AD229" i="2"/>
  <c r="AC229" i="2"/>
  <c r="AB229" i="2"/>
  <c r="Z229" i="2"/>
  <c r="Y229" i="2"/>
  <c r="X229" i="2"/>
  <c r="V229" i="2"/>
  <c r="U229" i="2"/>
  <c r="T229" i="2"/>
  <c r="S229" i="2"/>
  <c r="R229" i="2"/>
  <c r="Q229" i="2"/>
  <c r="P229" i="2"/>
  <c r="O229" i="2"/>
  <c r="N229" i="2"/>
  <c r="M229" i="2"/>
  <c r="L229" i="2"/>
  <c r="K229" i="2"/>
  <c r="J229" i="2"/>
  <c r="I229" i="2"/>
  <c r="H229" i="2"/>
  <c r="G229" i="2"/>
  <c r="F229" i="2"/>
  <c r="E229" i="2"/>
  <c r="D229" i="2"/>
  <c r="C229" i="2"/>
  <c r="B229" i="2"/>
  <c r="A229" i="2"/>
  <c r="AJ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D228" i="2"/>
  <c r="C228" i="2"/>
  <c r="B228" i="2"/>
  <c r="A228" i="2"/>
  <c r="AJ227" i="2"/>
  <c r="AH227" i="2"/>
  <c r="AG227" i="2"/>
  <c r="AF227" i="2"/>
  <c r="AE227" i="2"/>
  <c r="AD227" i="2"/>
  <c r="AC227" i="2"/>
  <c r="AB227" i="2"/>
  <c r="Z227" i="2"/>
  <c r="Y227" i="2"/>
  <c r="X227" i="2"/>
  <c r="W227" i="2"/>
  <c r="V227" i="2"/>
  <c r="U227" i="2"/>
  <c r="T227" i="2"/>
  <c r="S227" i="2"/>
  <c r="R227" i="2"/>
  <c r="Q227" i="2"/>
  <c r="P227" i="2"/>
  <c r="O227" i="2"/>
  <c r="N227" i="2"/>
  <c r="M227" i="2"/>
  <c r="L227" i="2"/>
  <c r="K227" i="2"/>
  <c r="J227" i="2"/>
  <c r="I227" i="2"/>
  <c r="H227" i="2"/>
  <c r="G227" i="2"/>
  <c r="F227" i="2"/>
  <c r="E227" i="2"/>
  <c r="D227" i="2"/>
  <c r="C227" i="2"/>
  <c r="B227" i="2"/>
  <c r="A227" i="2"/>
  <c r="AJ226" i="2"/>
  <c r="AH226" i="2"/>
  <c r="AG226" i="2"/>
  <c r="AF226" i="2"/>
  <c r="AE226" i="2"/>
  <c r="AD226" i="2"/>
  <c r="AC226" i="2"/>
  <c r="AB226" i="2"/>
  <c r="Z226" i="2"/>
  <c r="Y226" i="2"/>
  <c r="X226" i="2"/>
  <c r="W226" i="2"/>
  <c r="V226" i="2"/>
  <c r="U226" i="2"/>
  <c r="T226" i="2"/>
  <c r="S226" i="2"/>
  <c r="R226" i="2"/>
  <c r="Q226" i="2"/>
  <c r="P226" i="2"/>
  <c r="O226" i="2"/>
  <c r="N226" i="2"/>
  <c r="M226" i="2"/>
  <c r="L226" i="2"/>
  <c r="K226" i="2"/>
  <c r="J226" i="2"/>
  <c r="I226" i="2"/>
  <c r="H226" i="2"/>
  <c r="G226" i="2"/>
  <c r="F226" i="2"/>
  <c r="E226" i="2"/>
  <c r="D226" i="2"/>
  <c r="C226" i="2"/>
  <c r="B226" i="2"/>
  <c r="A226"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F225" i="2"/>
  <c r="E225" i="2"/>
  <c r="D225" i="2"/>
  <c r="C225" i="2"/>
  <c r="B225" i="2"/>
  <c r="A225" i="2"/>
  <c r="AJ224" i="2"/>
  <c r="AH224" i="2"/>
  <c r="AG224" i="2"/>
  <c r="AF224" i="2"/>
  <c r="AE224" i="2"/>
  <c r="AD224" i="2"/>
  <c r="AC224" i="2"/>
  <c r="Z224" i="2"/>
  <c r="Y224" i="2"/>
  <c r="X224" i="2"/>
  <c r="W224" i="2"/>
  <c r="V224" i="2"/>
  <c r="U224" i="2"/>
  <c r="T224" i="2"/>
  <c r="S224" i="2"/>
  <c r="R224" i="2"/>
  <c r="Q224" i="2"/>
  <c r="P224" i="2"/>
  <c r="O224" i="2"/>
  <c r="N224" i="2"/>
  <c r="M224" i="2"/>
  <c r="L224" i="2"/>
  <c r="K224" i="2"/>
  <c r="J224" i="2"/>
  <c r="I224" i="2"/>
  <c r="H224" i="2"/>
  <c r="G224" i="2"/>
  <c r="F224" i="2"/>
  <c r="E224" i="2"/>
  <c r="D224" i="2"/>
  <c r="C224" i="2"/>
  <c r="B224" i="2"/>
  <c r="A224"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F223" i="2"/>
  <c r="E223" i="2"/>
  <c r="D223" i="2"/>
  <c r="C223" i="2"/>
  <c r="B223" i="2"/>
  <c r="A223" i="2"/>
  <c r="AJ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D222" i="2"/>
  <c r="C222" i="2"/>
  <c r="B222" i="2"/>
  <c r="A222" i="2"/>
  <c r="AJ221" i="2"/>
  <c r="AH221" i="2"/>
  <c r="AG221" i="2"/>
  <c r="AF221" i="2"/>
  <c r="AE221" i="2"/>
  <c r="AD221" i="2"/>
  <c r="AC221" i="2"/>
  <c r="Z221" i="2"/>
  <c r="Y221" i="2"/>
  <c r="X221" i="2"/>
  <c r="W221" i="2"/>
  <c r="V221" i="2"/>
  <c r="U221" i="2"/>
  <c r="T221" i="2"/>
  <c r="S221" i="2"/>
  <c r="R221" i="2"/>
  <c r="Q221" i="2"/>
  <c r="P221" i="2"/>
  <c r="O221" i="2"/>
  <c r="N221" i="2"/>
  <c r="M221" i="2"/>
  <c r="L221" i="2"/>
  <c r="K221" i="2"/>
  <c r="J221" i="2"/>
  <c r="I221" i="2"/>
  <c r="H221" i="2"/>
  <c r="G221" i="2"/>
  <c r="F221" i="2"/>
  <c r="E221" i="2"/>
  <c r="D221" i="2"/>
  <c r="C221" i="2"/>
  <c r="B221" i="2"/>
  <c r="A221" i="2"/>
  <c r="AJ220" i="2"/>
  <c r="AH220" i="2"/>
  <c r="AG220" i="2"/>
  <c r="AF220" i="2"/>
  <c r="AE220" i="2"/>
  <c r="AD220" i="2"/>
  <c r="AC220" i="2"/>
  <c r="Z220" i="2"/>
  <c r="Y220" i="2"/>
  <c r="X220" i="2"/>
  <c r="W220" i="2"/>
  <c r="V220" i="2"/>
  <c r="U220" i="2"/>
  <c r="T220" i="2"/>
  <c r="S220" i="2"/>
  <c r="R220" i="2"/>
  <c r="Q220" i="2"/>
  <c r="P220" i="2"/>
  <c r="O220" i="2"/>
  <c r="N220" i="2"/>
  <c r="M220" i="2"/>
  <c r="L220" i="2"/>
  <c r="K220" i="2"/>
  <c r="J220" i="2"/>
  <c r="I220" i="2"/>
  <c r="H220" i="2"/>
  <c r="G220" i="2"/>
  <c r="F220" i="2"/>
  <c r="E220" i="2"/>
  <c r="D220" i="2"/>
  <c r="C220" i="2"/>
  <c r="B220" i="2"/>
  <c r="A220" i="2"/>
  <c r="AJ219" i="2"/>
  <c r="AH219" i="2"/>
  <c r="AF219" i="2"/>
  <c r="AE219" i="2"/>
  <c r="AD219" i="2"/>
  <c r="AC219" i="2"/>
  <c r="AA219" i="2"/>
  <c r="Z219" i="2"/>
  <c r="Y219" i="2"/>
  <c r="X219" i="2"/>
  <c r="W219" i="2"/>
  <c r="V219" i="2"/>
  <c r="U219" i="2"/>
  <c r="T219" i="2"/>
  <c r="S219" i="2"/>
  <c r="R219" i="2"/>
  <c r="Q219" i="2"/>
  <c r="P219" i="2"/>
  <c r="O219" i="2"/>
  <c r="N219" i="2"/>
  <c r="M219" i="2"/>
  <c r="L219" i="2"/>
  <c r="K219" i="2"/>
  <c r="J219" i="2"/>
  <c r="I219" i="2"/>
  <c r="H219" i="2"/>
  <c r="G219" i="2"/>
  <c r="F219" i="2"/>
  <c r="E219" i="2"/>
  <c r="D219" i="2"/>
  <c r="C219" i="2"/>
  <c r="B219" i="2"/>
  <c r="A219" i="2"/>
  <c r="AJ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F218" i="2"/>
  <c r="E218" i="2"/>
  <c r="D218" i="2"/>
  <c r="C218" i="2"/>
  <c r="B218" i="2"/>
  <c r="A218" i="2"/>
  <c r="AJ217" i="2"/>
  <c r="AH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D217" i="2"/>
  <c r="C217" i="2"/>
  <c r="B217" i="2"/>
  <c r="A217" i="2"/>
  <c r="AJ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F216" i="2"/>
  <c r="E216" i="2"/>
  <c r="D216" i="2"/>
  <c r="C216" i="2"/>
  <c r="B216" i="2"/>
  <c r="A216"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F215" i="2"/>
  <c r="E215" i="2"/>
  <c r="D215" i="2"/>
  <c r="C215" i="2"/>
  <c r="B215" i="2"/>
  <c r="A215" i="2"/>
  <c r="AJ214" i="2"/>
  <c r="AI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F214" i="2"/>
  <c r="E214" i="2"/>
  <c r="D214" i="2"/>
  <c r="C214" i="2"/>
  <c r="B214" i="2"/>
  <c r="A214"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F213" i="2"/>
  <c r="E213" i="2"/>
  <c r="D213" i="2"/>
  <c r="C213" i="2"/>
  <c r="B213" i="2"/>
  <c r="A213"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F212" i="2"/>
  <c r="E212" i="2"/>
  <c r="D212" i="2"/>
  <c r="C212" i="2"/>
  <c r="B212" i="2"/>
  <c r="A212" i="2"/>
  <c r="AJ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F211" i="2"/>
  <c r="E211" i="2"/>
  <c r="D211" i="2"/>
  <c r="C211" i="2"/>
  <c r="B211" i="2"/>
  <c r="A211" i="2"/>
  <c r="AJ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F210" i="2"/>
  <c r="E210" i="2"/>
  <c r="D210" i="2"/>
  <c r="C210" i="2"/>
  <c r="B210" i="2"/>
  <c r="A210" i="2"/>
  <c r="AJ209" i="2"/>
  <c r="AH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D209" i="2"/>
  <c r="C209" i="2"/>
  <c r="B209" i="2"/>
  <c r="A209" i="2"/>
  <c r="AJ208" i="2"/>
  <c r="AH208" i="2"/>
  <c r="AG208" i="2"/>
  <c r="AF208" i="2"/>
  <c r="AE208" i="2"/>
  <c r="AD208" i="2"/>
  <c r="AC208" i="2"/>
  <c r="AB208" i="2"/>
  <c r="Z208" i="2"/>
  <c r="Y208" i="2"/>
  <c r="X208" i="2"/>
  <c r="W208" i="2"/>
  <c r="V208" i="2"/>
  <c r="U208" i="2"/>
  <c r="T208" i="2"/>
  <c r="S208" i="2"/>
  <c r="R208" i="2"/>
  <c r="Q208" i="2"/>
  <c r="P208" i="2"/>
  <c r="O208" i="2"/>
  <c r="N208" i="2"/>
  <c r="M208" i="2"/>
  <c r="L208" i="2"/>
  <c r="K208" i="2"/>
  <c r="J208" i="2"/>
  <c r="I208" i="2"/>
  <c r="H208" i="2"/>
  <c r="G208" i="2"/>
  <c r="F208" i="2"/>
  <c r="E208" i="2"/>
  <c r="D208" i="2"/>
  <c r="C208" i="2"/>
  <c r="B208" i="2"/>
  <c r="A208" i="2"/>
  <c r="AJ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F207" i="2"/>
  <c r="E207" i="2"/>
  <c r="D207" i="2"/>
  <c r="C207" i="2"/>
  <c r="B207" i="2"/>
  <c r="A207" i="2"/>
  <c r="AJ206" i="2"/>
  <c r="AH206" i="2"/>
  <c r="AF206" i="2"/>
  <c r="AE206" i="2"/>
  <c r="AD206" i="2"/>
  <c r="Z206" i="2"/>
  <c r="Y206" i="2"/>
  <c r="X206" i="2"/>
  <c r="W206" i="2"/>
  <c r="V206" i="2"/>
  <c r="U206" i="2"/>
  <c r="T206" i="2"/>
  <c r="S206" i="2"/>
  <c r="R206" i="2"/>
  <c r="Q206" i="2"/>
  <c r="P206" i="2"/>
  <c r="O206" i="2"/>
  <c r="N206" i="2"/>
  <c r="M206" i="2"/>
  <c r="L206" i="2"/>
  <c r="K206" i="2"/>
  <c r="J206" i="2"/>
  <c r="I206" i="2"/>
  <c r="H206" i="2"/>
  <c r="G206" i="2"/>
  <c r="F206" i="2"/>
  <c r="E206" i="2"/>
  <c r="D206" i="2"/>
  <c r="C206" i="2"/>
  <c r="B206" i="2"/>
  <c r="A206"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F205" i="2"/>
  <c r="E205" i="2"/>
  <c r="D205" i="2"/>
  <c r="C205" i="2"/>
  <c r="B205" i="2"/>
  <c r="A205" i="2"/>
  <c r="AJ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F204" i="2"/>
  <c r="E204" i="2"/>
  <c r="D204" i="2"/>
  <c r="C204" i="2"/>
  <c r="B204" i="2"/>
  <c r="A204" i="2"/>
  <c r="AJ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F203" i="2"/>
  <c r="E203" i="2"/>
  <c r="D203" i="2"/>
  <c r="C203" i="2"/>
  <c r="B203" i="2"/>
  <c r="A203" i="2"/>
  <c r="AJ202" i="2"/>
  <c r="AH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D202" i="2"/>
  <c r="C202" i="2"/>
  <c r="B202" i="2"/>
  <c r="A202" i="2"/>
  <c r="AJ201" i="2"/>
  <c r="AH201" i="2"/>
  <c r="AG201" i="2"/>
  <c r="AF201" i="2"/>
  <c r="AE201" i="2"/>
  <c r="AD201" i="2"/>
  <c r="AC201" i="2"/>
  <c r="AB201" i="2"/>
  <c r="AA201" i="2"/>
  <c r="Z201" i="2"/>
  <c r="Y201" i="2"/>
  <c r="X201" i="2"/>
  <c r="T201" i="2"/>
  <c r="S201" i="2"/>
  <c r="R201" i="2"/>
  <c r="Q201" i="2"/>
  <c r="P201" i="2"/>
  <c r="O201" i="2"/>
  <c r="N201" i="2"/>
  <c r="M201" i="2"/>
  <c r="L201" i="2"/>
  <c r="K201" i="2"/>
  <c r="J201" i="2"/>
  <c r="I201" i="2"/>
  <c r="H201" i="2"/>
  <c r="G201" i="2"/>
  <c r="F201" i="2"/>
  <c r="E201" i="2"/>
  <c r="D201" i="2"/>
  <c r="C201" i="2"/>
  <c r="B201" i="2"/>
  <c r="A201"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D200" i="2"/>
  <c r="C200" i="2"/>
  <c r="B200" i="2"/>
  <c r="A200" i="2"/>
  <c r="AJ199" i="2"/>
  <c r="AH199" i="2"/>
  <c r="AG199" i="2"/>
  <c r="AF199" i="2"/>
  <c r="AE199" i="2"/>
  <c r="AD199" i="2"/>
  <c r="AC199" i="2"/>
  <c r="AB199" i="2"/>
  <c r="Z199" i="2"/>
  <c r="Y199" i="2"/>
  <c r="X199" i="2"/>
  <c r="W199" i="2"/>
  <c r="V199" i="2"/>
  <c r="U199" i="2"/>
  <c r="T199" i="2"/>
  <c r="S199" i="2"/>
  <c r="R199" i="2"/>
  <c r="Q199" i="2"/>
  <c r="P199" i="2"/>
  <c r="O199" i="2"/>
  <c r="N199" i="2"/>
  <c r="M199" i="2"/>
  <c r="L199" i="2"/>
  <c r="K199" i="2"/>
  <c r="J199" i="2"/>
  <c r="I199" i="2"/>
  <c r="H199" i="2"/>
  <c r="G199" i="2"/>
  <c r="F199" i="2"/>
  <c r="E199" i="2"/>
  <c r="D199" i="2"/>
  <c r="C199" i="2"/>
  <c r="B199" i="2"/>
  <c r="A199" i="2"/>
  <c r="AJ198" i="2"/>
  <c r="AH198" i="2"/>
  <c r="AG198" i="2"/>
  <c r="AF198" i="2"/>
  <c r="AE198" i="2"/>
  <c r="AD198" i="2"/>
  <c r="AC198" i="2"/>
  <c r="Z198" i="2"/>
  <c r="Y198" i="2"/>
  <c r="X198" i="2"/>
  <c r="W198" i="2"/>
  <c r="V198" i="2"/>
  <c r="U198" i="2"/>
  <c r="T198" i="2"/>
  <c r="S198" i="2"/>
  <c r="R198" i="2"/>
  <c r="Q198" i="2"/>
  <c r="P198" i="2"/>
  <c r="O198" i="2"/>
  <c r="N198" i="2"/>
  <c r="M198" i="2"/>
  <c r="L198" i="2"/>
  <c r="K198" i="2"/>
  <c r="J198" i="2"/>
  <c r="I198" i="2"/>
  <c r="H198" i="2"/>
  <c r="G198" i="2"/>
  <c r="F198" i="2"/>
  <c r="E198" i="2"/>
  <c r="D198" i="2"/>
  <c r="C198" i="2"/>
  <c r="B198" i="2"/>
  <c r="A198" i="2"/>
  <c r="AJ197" i="2"/>
  <c r="AH197" i="2"/>
  <c r="AG197" i="2"/>
  <c r="AF197" i="2"/>
  <c r="AE197" i="2"/>
  <c r="AD197" i="2"/>
  <c r="AC197" i="2"/>
  <c r="Z197" i="2"/>
  <c r="Y197" i="2"/>
  <c r="X197" i="2"/>
  <c r="W197" i="2"/>
  <c r="V197" i="2"/>
  <c r="U197" i="2"/>
  <c r="T197" i="2"/>
  <c r="S197" i="2"/>
  <c r="R197" i="2"/>
  <c r="Q197" i="2"/>
  <c r="P197" i="2"/>
  <c r="O197" i="2"/>
  <c r="N197" i="2"/>
  <c r="M197" i="2"/>
  <c r="L197" i="2"/>
  <c r="K197" i="2"/>
  <c r="J197" i="2"/>
  <c r="I197" i="2"/>
  <c r="H197" i="2"/>
  <c r="G197" i="2"/>
  <c r="F197" i="2"/>
  <c r="E197" i="2"/>
  <c r="D197" i="2"/>
  <c r="C197" i="2"/>
  <c r="B197" i="2"/>
  <c r="A197" i="2"/>
  <c r="AJ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F196" i="2"/>
  <c r="E196" i="2"/>
  <c r="D196" i="2"/>
  <c r="C196" i="2"/>
  <c r="B196" i="2"/>
  <c r="A196" i="2"/>
  <c r="AJ195" i="2"/>
  <c r="AH195" i="2"/>
  <c r="AG195" i="2"/>
  <c r="AF195" i="2"/>
  <c r="AE195" i="2"/>
  <c r="AD195" i="2"/>
  <c r="AC195" i="2"/>
  <c r="Z195" i="2"/>
  <c r="Y195" i="2"/>
  <c r="X195" i="2"/>
  <c r="W195" i="2"/>
  <c r="V195" i="2"/>
  <c r="U195" i="2"/>
  <c r="T195" i="2"/>
  <c r="S195" i="2"/>
  <c r="R195" i="2"/>
  <c r="Q195" i="2"/>
  <c r="P195" i="2"/>
  <c r="O195" i="2"/>
  <c r="N195" i="2"/>
  <c r="M195" i="2"/>
  <c r="L195" i="2"/>
  <c r="K195" i="2"/>
  <c r="J195" i="2"/>
  <c r="I195" i="2"/>
  <c r="H195" i="2"/>
  <c r="G195" i="2"/>
  <c r="F195" i="2"/>
  <c r="E195" i="2"/>
  <c r="D195" i="2"/>
  <c r="C195" i="2"/>
  <c r="B195" i="2"/>
  <c r="A195" i="2"/>
  <c r="AJ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F194" i="2"/>
  <c r="E194" i="2"/>
  <c r="D194" i="2"/>
  <c r="C194" i="2"/>
  <c r="B194" i="2"/>
  <c r="A194" i="2"/>
  <c r="AJ193" i="2"/>
  <c r="AF193" i="2"/>
  <c r="AE193" i="2"/>
  <c r="AD193" i="2"/>
  <c r="Z193" i="2"/>
  <c r="Y193" i="2"/>
  <c r="X193" i="2"/>
  <c r="W193" i="2"/>
  <c r="V193" i="2"/>
  <c r="U193" i="2"/>
  <c r="T193" i="2"/>
  <c r="S193" i="2"/>
  <c r="R193" i="2"/>
  <c r="Q193" i="2"/>
  <c r="P193" i="2"/>
  <c r="O193" i="2"/>
  <c r="N193" i="2"/>
  <c r="M193" i="2"/>
  <c r="L193" i="2"/>
  <c r="K193" i="2"/>
  <c r="J193" i="2"/>
  <c r="I193" i="2"/>
  <c r="H193" i="2"/>
  <c r="G193" i="2"/>
  <c r="F193" i="2"/>
  <c r="E193" i="2"/>
  <c r="D193" i="2"/>
  <c r="C193" i="2"/>
  <c r="B193" i="2"/>
  <c r="A193" i="2"/>
  <c r="AJ192" i="2"/>
  <c r="AH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D192" i="2"/>
  <c r="C192" i="2"/>
  <c r="B192" i="2"/>
  <c r="A192" i="2"/>
  <c r="AJ191" i="2"/>
  <c r="AH191" i="2"/>
  <c r="AF191" i="2"/>
  <c r="AE191" i="2"/>
  <c r="AD191" i="2"/>
  <c r="AC191" i="2"/>
  <c r="Z191" i="2"/>
  <c r="Y191" i="2"/>
  <c r="X191" i="2"/>
  <c r="W191" i="2"/>
  <c r="V191" i="2"/>
  <c r="U191" i="2"/>
  <c r="T191" i="2"/>
  <c r="S191" i="2"/>
  <c r="R191" i="2"/>
  <c r="Q191" i="2"/>
  <c r="P191" i="2"/>
  <c r="O191" i="2"/>
  <c r="N191" i="2"/>
  <c r="M191" i="2"/>
  <c r="L191" i="2"/>
  <c r="K191" i="2"/>
  <c r="J191" i="2"/>
  <c r="I191" i="2"/>
  <c r="H191" i="2"/>
  <c r="G191" i="2"/>
  <c r="F191" i="2"/>
  <c r="E191" i="2"/>
  <c r="D191" i="2"/>
  <c r="C191" i="2"/>
  <c r="B191" i="2"/>
  <c r="A191"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F190" i="2"/>
  <c r="E190" i="2"/>
  <c r="D190" i="2"/>
  <c r="C190" i="2"/>
  <c r="B190" i="2"/>
  <c r="A190" i="2"/>
  <c r="AJ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F189" i="2"/>
  <c r="E189" i="2"/>
  <c r="D189" i="2"/>
  <c r="C189" i="2"/>
  <c r="B189" i="2"/>
  <c r="A189"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F188" i="2"/>
  <c r="E188" i="2"/>
  <c r="D188" i="2"/>
  <c r="C188" i="2"/>
  <c r="B188" i="2"/>
  <c r="A188"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F187" i="2"/>
  <c r="E187" i="2"/>
  <c r="D187" i="2"/>
  <c r="C187" i="2"/>
  <c r="B187" i="2"/>
  <c r="A187" i="2"/>
  <c r="AJ186" i="2"/>
  <c r="AI186" i="2"/>
  <c r="AH186" i="2"/>
  <c r="AG186" i="2"/>
  <c r="AF186" i="2"/>
  <c r="AE186" i="2"/>
  <c r="AD186" i="2"/>
  <c r="AC186" i="2"/>
  <c r="AB186" i="2"/>
  <c r="AA186" i="2"/>
  <c r="Z186" i="2"/>
  <c r="Y186" i="2"/>
  <c r="X186" i="2"/>
  <c r="V186" i="2"/>
  <c r="U186" i="2"/>
  <c r="T186" i="2"/>
  <c r="S186" i="2"/>
  <c r="R186" i="2"/>
  <c r="Q186" i="2"/>
  <c r="P186" i="2"/>
  <c r="O186" i="2"/>
  <c r="N186" i="2"/>
  <c r="M186" i="2"/>
  <c r="L186" i="2"/>
  <c r="K186" i="2"/>
  <c r="J186" i="2"/>
  <c r="I186" i="2"/>
  <c r="H186" i="2"/>
  <c r="G186" i="2"/>
  <c r="F186" i="2"/>
  <c r="E186" i="2"/>
  <c r="D186" i="2"/>
  <c r="C186" i="2"/>
  <c r="B186" i="2"/>
  <c r="A186"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F185" i="2"/>
  <c r="E185" i="2"/>
  <c r="D185" i="2"/>
  <c r="C185" i="2"/>
  <c r="B185" i="2"/>
  <c r="A185"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F184" i="2"/>
  <c r="E184" i="2"/>
  <c r="D184" i="2"/>
  <c r="C184" i="2"/>
  <c r="B184" i="2"/>
  <c r="A184" i="2"/>
  <c r="AJ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F183" i="2"/>
  <c r="E183" i="2"/>
  <c r="D183" i="2"/>
  <c r="C183" i="2"/>
  <c r="B183" i="2"/>
  <c r="A183" i="2"/>
  <c r="AJ182" i="2"/>
  <c r="AH182" i="2"/>
  <c r="AG182" i="2"/>
  <c r="AF182" i="2"/>
  <c r="AE182" i="2"/>
  <c r="AD182" i="2"/>
  <c r="AC182" i="2"/>
  <c r="Z182" i="2"/>
  <c r="Y182" i="2"/>
  <c r="X182" i="2"/>
  <c r="W182" i="2"/>
  <c r="V182" i="2"/>
  <c r="U182" i="2"/>
  <c r="T182" i="2"/>
  <c r="S182" i="2"/>
  <c r="R182" i="2"/>
  <c r="Q182" i="2"/>
  <c r="P182" i="2"/>
  <c r="O182" i="2"/>
  <c r="N182" i="2"/>
  <c r="M182" i="2"/>
  <c r="L182" i="2"/>
  <c r="K182" i="2"/>
  <c r="J182" i="2"/>
  <c r="I182" i="2"/>
  <c r="H182" i="2"/>
  <c r="G182" i="2"/>
  <c r="F182" i="2"/>
  <c r="E182" i="2"/>
  <c r="D182" i="2"/>
  <c r="C182" i="2"/>
  <c r="B182" i="2"/>
  <c r="A182" i="2"/>
  <c r="AJ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F181" i="2"/>
  <c r="E181" i="2"/>
  <c r="D181" i="2"/>
  <c r="C181" i="2"/>
  <c r="B181" i="2"/>
  <c r="A181" i="2"/>
  <c r="AJ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F180" i="2"/>
  <c r="E180" i="2"/>
  <c r="D180" i="2"/>
  <c r="C180" i="2"/>
  <c r="B180" i="2"/>
  <c r="A180" i="2"/>
  <c r="AJ179" i="2"/>
  <c r="AH179" i="2"/>
  <c r="AG179" i="2"/>
  <c r="AF179" i="2"/>
  <c r="AE179" i="2"/>
  <c r="AD179" i="2"/>
  <c r="AC179" i="2"/>
  <c r="AB179" i="2"/>
  <c r="Z179" i="2"/>
  <c r="Y179" i="2"/>
  <c r="X179" i="2"/>
  <c r="W179" i="2"/>
  <c r="V179" i="2"/>
  <c r="U179" i="2"/>
  <c r="T179" i="2"/>
  <c r="S179" i="2"/>
  <c r="R179" i="2"/>
  <c r="Q179" i="2"/>
  <c r="P179" i="2"/>
  <c r="O179" i="2"/>
  <c r="N179" i="2"/>
  <c r="M179" i="2"/>
  <c r="L179" i="2"/>
  <c r="K179" i="2"/>
  <c r="J179" i="2"/>
  <c r="I179" i="2"/>
  <c r="H179" i="2"/>
  <c r="G179" i="2"/>
  <c r="F179" i="2"/>
  <c r="E179" i="2"/>
  <c r="D179" i="2"/>
  <c r="C179" i="2"/>
  <c r="B179" i="2"/>
  <c r="A179" i="2"/>
  <c r="AJ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F178" i="2"/>
  <c r="E178" i="2"/>
  <c r="D178" i="2"/>
  <c r="C178" i="2"/>
  <c r="B178" i="2"/>
  <c r="A178" i="2"/>
  <c r="AJ177" i="2"/>
  <c r="AH177" i="2"/>
  <c r="AG177" i="2"/>
  <c r="AF177" i="2"/>
  <c r="AE177" i="2"/>
  <c r="AD177" i="2"/>
  <c r="AC177" i="2"/>
  <c r="AB177" i="2"/>
  <c r="Z177" i="2"/>
  <c r="Y177" i="2"/>
  <c r="X177" i="2"/>
  <c r="W177" i="2"/>
  <c r="V177" i="2"/>
  <c r="U177" i="2"/>
  <c r="T177" i="2"/>
  <c r="S177" i="2"/>
  <c r="R177" i="2"/>
  <c r="Q177" i="2"/>
  <c r="P177" i="2"/>
  <c r="O177" i="2"/>
  <c r="N177" i="2"/>
  <c r="M177" i="2"/>
  <c r="L177" i="2"/>
  <c r="K177" i="2"/>
  <c r="J177" i="2"/>
  <c r="I177" i="2"/>
  <c r="H177" i="2"/>
  <c r="G177" i="2"/>
  <c r="F177" i="2"/>
  <c r="E177" i="2"/>
  <c r="D177" i="2"/>
  <c r="C177" i="2"/>
  <c r="B177" i="2"/>
  <c r="A177" i="2"/>
  <c r="AJ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F176" i="2"/>
  <c r="E176" i="2"/>
  <c r="D176" i="2"/>
  <c r="C176" i="2"/>
  <c r="B176" i="2"/>
  <c r="A176" i="2"/>
  <c r="AJ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F175" i="2"/>
  <c r="E175" i="2"/>
  <c r="D175" i="2"/>
  <c r="C175" i="2"/>
  <c r="B175" i="2"/>
  <c r="A175" i="2"/>
  <c r="AJ174" i="2"/>
  <c r="AI174" i="2"/>
  <c r="AH174" i="2"/>
  <c r="AG174" i="2"/>
  <c r="AF174" i="2"/>
  <c r="AE174" i="2"/>
  <c r="AD174" i="2"/>
  <c r="AC174" i="2"/>
  <c r="AB174" i="2"/>
  <c r="AA174" i="2"/>
  <c r="Z174" i="2"/>
  <c r="Y174" i="2"/>
  <c r="W174" i="2"/>
  <c r="V174" i="2"/>
  <c r="U174" i="2"/>
  <c r="T174" i="2"/>
  <c r="S174" i="2"/>
  <c r="R174" i="2"/>
  <c r="Q174" i="2"/>
  <c r="P174" i="2"/>
  <c r="O174" i="2"/>
  <c r="N174" i="2"/>
  <c r="M174" i="2"/>
  <c r="L174" i="2"/>
  <c r="K174" i="2"/>
  <c r="J174" i="2"/>
  <c r="I174" i="2"/>
  <c r="H174" i="2"/>
  <c r="G174" i="2"/>
  <c r="F174" i="2"/>
  <c r="E174" i="2"/>
  <c r="D174" i="2"/>
  <c r="C174" i="2"/>
  <c r="B174" i="2"/>
  <c r="A174" i="2"/>
  <c r="AJ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F173" i="2"/>
  <c r="E173" i="2"/>
  <c r="D173" i="2"/>
  <c r="C173" i="2"/>
  <c r="B173" i="2"/>
  <c r="A173" i="2"/>
  <c r="AJ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F172" i="2"/>
  <c r="E172" i="2"/>
  <c r="D172" i="2"/>
  <c r="C172" i="2"/>
  <c r="B172" i="2"/>
  <c r="A172" i="2"/>
  <c r="AJ171" i="2"/>
  <c r="AH171" i="2"/>
  <c r="AG171" i="2"/>
  <c r="AF171" i="2"/>
  <c r="AE171" i="2"/>
  <c r="AD171" i="2"/>
  <c r="AC171" i="2"/>
  <c r="Z171" i="2"/>
  <c r="Y171" i="2"/>
  <c r="X171" i="2"/>
  <c r="W171" i="2"/>
  <c r="V171" i="2"/>
  <c r="U171" i="2"/>
  <c r="T171" i="2"/>
  <c r="S171" i="2"/>
  <c r="R171" i="2"/>
  <c r="Q171" i="2"/>
  <c r="P171" i="2"/>
  <c r="O171" i="2"/>
  <c r="N171" i="2"/>
  <c r="M171" i="2"/>
  <c r="L171" i="2"/>
  <c r="K171" i="2"/>
  <c r="J171" i="2"/>
  <c r="I171" i="2"/>
  <c r="H171" i="2"/>
  <c r="G171" i="2"/>
  <c r="F171" i="2"/>
  <c r="E171" i="2"/>
  <c r="D171" i="2"/>
  <c r="C171" i="2"/>
  <c r="B171" i="2"/>
  <c r="A171" i="2"/>
  <c r="AJ170" i="2"/>
  <c r="AH170" i="2"/>
  <c r="AG170" i="2"/>
  <c r="AF170" i="2"/>
  <c r="AE170" i="2"/>
  <c r="AD170" i="2"/>
  <c r="AC170" i="2"/>
  <c r="AB170" i="2"/>
  <c r="Z170" i="2"/>
  <c r="Y170" i="2"/>
  <c r="X170" i="2"/>
  <c r="W170" i="2"/>
  <c r="V170" i="2"/>
  <c r="U170" i="2"/>
  <c r="T170" i="2"/>
  <c r="S170" i="2"/>
  <c r="R170" i="2"/>
  <c r="Q170" i="2"/>
  <c r="P170" i="2"/>
  <c r="O170" i="2"/>
  <c r="N170" i="2"/>
  <c r="M170" i="2"/>
  <c r="L170" i="2"/>
  <c r="K170" i="2"/>
  <c r="J170" i="2"/>
  <c r="I170" i="2"/>
  <c r="H170" i="2"/>
  <c r="G170" i="2"/>
  <c r="F170" i="2"/>
  <c r="E170" i="2"/>
  <c r="D170" i="2"/>
  <c r="C170" i="2"/>
  <c r="B170" i="2"/>
  <c r="A170" i="2"/>
  <c r="AJ169" i="2"/>
  <c r="AH169" i="2"/>
  <c r="AG169" i="2"/>
  <c r="AF169" i="2"/>
  <c r="AE169" i="2"/>
  <c r="AD169" i="2"/>
  <c r="AC169" i="2"/>
  <c r="AB169" i="2"/>
  <c r="AA169" i="2"/>
  <c r="Z169" i="2"/>
  <c r="Y169" i="2"/>
  <c r="X169" i="2"/>
  <c r="U169" i="2"/>
  <c r="T169" i="2"/>
  <c r="S169" i="2"/>
  <c r="R169" i="2"/>
  <c r="Q169" i="2"/>
  <c r="P169" i="2"/>
  <c r="O169" i="2"/>
  <c r="N169" i="2"/>
  <c r="M169" i="2"/>
  <c r="L169" i="2"/>
  <c r="K169" i="2"/>
  <c r="J169" i="2"/>
  <c r="I169" i="2"/>
  <c r="H169" i="2"/>
  <c r="G169" i="2"/>
  <c r="F169" i="2"/>
  <c r="E169" i="2"/>
  <c r="D169" i="2"/>
  <c r="C169" i="2"/>
  <c r="B169" i="2"/>
  <c r="A169" i="2"/>
  <c r="AJ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F168" i="2"/>
  <c r="E168" i="2"/>
  <c r="D168" i="2"/>
  <c r="C168" i="2"/>
  <c r="B168" i="2"/>
  <c r="A168" i="2"/>
  <c r="AJ167" i="2"/>
  <c r="AH167" i="2"/>
  <c r="AF167" i="2"/>
  <c r="AE167" i="2"/>
  <c r="AD167" i="2"/>
  <c r="AC167" i="2"/>
  <c r="AB167" i="2"/>
  <c r="Z167" i="2"/>
  <c r="Y167" i="2"/>
  <c r="X167" i="2"/>
  <c r="W167" i="2"/>
  <c r="V167" i="2"/>
  <c r="U167" i="2"/>
  <c r="T167" i="2"/>
  <c r="S167" i="2"/>
  <c r="R167" i="2"/>
  <c r="Q167" i="2"/>
  <c r="P167" i="2"/>
  <c r="O167" i="2"/>
  <c r="N167" i="2"/>
  <c r="M167" i="2"/>
  <c r="L167" i="2"/>
  <c r="K167" i="2"/>
  <c r="J167" i="2"/>
  <c r="I167" i="2"/>
  <c r="H167" i="2"/>
  <c r="G167" i="2"/>
  <c r="F167" i="2"/>
  <c r="E167" i="2"/>
  <c r="D167" i="2"/>
  <c r="C167" i="2"/>
  <c r="B167" i="2"/>
  <c r="A167"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F166" i="2"/>
  <c r="E166" i="2"/>
  <c r="D166" i="2"/>
  <c r="C166" i="2"/>
  <c r="B166" i="2"/>
  <c r="A166" i="2"/>
  <c r="AJ165" i="2"/>
  <c r="AH165" i="2"/>
  <c r="AG165" i="2"/>
  <c r="AF165" i="2"/>
  <c r="AE165" i="2"/>
  <c r="AD165" i="2"/>
  <c r="AC165" i="2"/>
  <c r="Z165" i="2"/>
  <c r="Y165" i="2"/>
  <c r="X165" i="2"/>
  <c r="W165" i="2"/>
  <c r="V165" i="2"/>
  <c r="U165" i="2"/>
  <c r="T165" i="2"/>
  <c r="S165" i="2"/>
  <c r="R165" i="2"/>
  <c r="Q165" i="2"/>
  <c r="P165" i="2"/>
  <c r="O165" i="2"/>
  <c r="N165" i="2"/>
  <c r="M165" i="2"/>
  <c r="L165" i="2"/>
  <c r="K165" i="2"/>
  <c r="J165" i="2"/>
  <c r="I165" i="2"/>
  <c r="H165" i="2"/>
  <c r="G165" i="2"/>
  <c r="F165" i="2"/>
  <c r="E165" i="2"/>
  <c r="D165" i="2"/>
  <c r="C165" i="2"/>
  <c r="B165" i="2"/>
  <c r="A165" i="2"/>
  <c r="AJ164" i="2"/>
  <c r="AH164" i="2"/>
  <c r="AG164" i="2"/>
  <c r="AF164" i="2"/>
  <c r="AE164" i="2"/>
  <c r="AD164" i="2"/>
  <c r="AC164" i="2"/>
  <c r="AA164" i="2"/>
  <c r="Z164" i="2"/>
  <c r="Y164" i="2"/>
  <c r="X164" i="2"/>
  <c r="W164" i="2"/>
  <c r="V164" i="2"/>
  <c r="U164" i="2"/>
  <c r="T164" i="2"/>
  <c r="S164" i="2"/>
  <c r="R164" i="2"/>
  <c r="Q164" i="2"/>
  <c r="P164" i="2"/>
  <c r="O164" i="2"/>
  <c r="N164" i="2"/>
  <c r="M164" i="2"/>
  <c r="L164" i="2"/>
  <c r="K164" i="2"/>
  <c r="J164" i="2"/>
  <c r="I164" i="2"/>
  <c r="H164" i="2"/>
  <c r="G164" i="2"/>
  <c r="F164" i="2"/>
  <c r="E164" i="2"/>
  <c r="D164" i="2"/>
  <c r="C164" i="2"/>
  <c r="B164" i="2"/>
  <c r="A164"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F163" i="2"/>
  <c r="E163" i="2"/>
  <c r="D163" i="2"/>
  <c r="C163" i="2"/>
  <c r="B163" i="2"/>
  <c r="A163" i="2"/>
  <c r="AJ162" i="2"/>
  <c r="AH162" i="2"/>
  <c r="AG162" i="2"/>
  <c r="AF162" i="2"/>
  <c r="AE162" i="2"/>
  <c r="AD162" i="2"/>
  <c r="AC162" i="2"/>
  <c r="Z162" i="2"/>
  <c r="Y162" i="2"/>
  <c r="X162" i="2"/>
  <c r="W162" i="2"/>
  <c r="V162" i="2"/>
  <c r="U162" i="2"/>
  <c r="T162" i="2"/>
  <c r="S162" i="2"/>
  <c r="R162" i="2"/>
  <c r="Q162" i="2"/>
  <c r="P162" i="2"/>
  <c r="O162" i="2"/>
  <c r="N162" i="2"/>
  <c r="M162" i="2"/>
  <c r="L162" i="2"/>
  <c r="K162" i="2"/>
  <c r="J162" i="2"/>
  <c r="I162" i="2"/>
  <c r="H162" i="2"/>
  <c r="G162" i="2"/>
  <c r="F162" i="2"/>
  <c r="E162" i="2"/>
  <c r="D162" i="2"/>
  <c r="C162" i="2"/>
  <c r="B162" i="2"/>
  <c r="A162" i="2"/>
  <c r="AJ161" i="2"/>
  <c r="AH161" i="2"/>
  <c r="AG161" i="2"/>
  <c r="AF161" i="2"/>
  <c r="AE161" i="2"/>
  <c r="AD161" i="2"/>
  <c r="AC161" i="2"/>
  <c r="AA161" i="2"/>
  <c r="Z161" i="2"/>
  <c r="Y161" i="2"/>
  <c r="X161" i="2"/>
  <c r="W161" i="2"/>
  <c r="V161" i="2"/>
  <c r="U161" i="2"/>
  <c r="T161" i="2"/>
  <c r="S161" i="2"/>
  <c r="R161" i="2"/>
  <c r="Q161" i="2"/>
  <c r="P161" i="2"/>
  <c r="O161" i="2"/>
  <c r="N161" i="2"/>
  <c r="M161" i="2"/>
  <c r="L161" i="2"/>
  <c r="K161" i="2"/>
  <c r="J161" i="2"/>
  <c r="I161" i="2"/>
  <c r="H161" i="2"/>
  <c r="G161" i="2"/>
  <c r="F161" i="2"/>
  <c r="E161" i="2"/>
  <c r="D161" i="2"/>
  <c r="C161" i="2"/>
  <c r="B161" i="2"/>
  <c r="A161" i="2"/>
  <c r="AJ160" i="2"/>
  <c r="AH160" i="2"/>
  <c r="AG160" i="2"/>
  <c r="AF160" i="2"/>
  <c r="AE160" i="2"/>
  <c r="AD160" i="2"/>
  <c r="AC160" i="2"/>
  <c r="Z160" i="2"/>
  <c r="Y160" i="2"/>
  <c r="X160" i="2"/>
  <c r="W160" i="2"/>
  <c r="V160" i="2"/>
  <c r="U160" i="2"/>
  <c r="T160" i="2"/>
  <c r="S160" i="2"/>
  <c r="R160" i="2"/>
  <c r="Q160" i="2"/>
  <c r="P160" i="2"/>
  <c r="O160" i="2"/>
  <c r="N160" i="2"/>
  <c r="M160" i="2"/>
  <c r="L160" i="2"/>
  <c r="K160" i="2"/>
  <c r="J160" i="2"/>
  <c r="I160" i="2"/>
  <c r="H160" i="2"/>
  <c r="G160" i="2"/>
  <c r="F160" i="2"/>
  <c r="E160" i="2"/>
  <c r="D160" i="2"/>
  <c r="C160" i="2"/>
  <c r="B160" i="2"/>
  <c r="A160" i="2"/>
  <c r="AJ159" i="2"/>
  <c r="AH159" i="2"/>
  <c r="AG159" i="2"/>
  <c r="AF159" i="2"/>
  <c r="AE159" i="2"/>
  <c r="AD159" i="2"/>
  <c r="AC159" i="2"/>
  <c r="Z159" i="2"/>
  <c r="Y159" i="2"/>
  <c r="X159" i="2"/>
  <c r="W159" i="2"/>
  <c r="V159" i="2"/>
  <c r="U159" i="2"/>
  <c r="T159" i="2"/>
  <c r="S159" i="2"/>
  <c r="R159" i="2"/>
  <c r="Q159" i="2"/>
  <c r="P159" i="2"/>
  <c r="O159" i="2"/>
  <c r="N159" i="2"/>
  <c r="M159" i="2"/>
  <c r="L159" i="2"/>
  <c r="K159" i="2"/>
  <c r="J159" i="2"/>
  <c r="I159" i="2"/>
  <c r="H159" i="2"/>
  <c r="G159" i="2"/>
  <c r="F159" i="2"/>
  <c r="E159" i="2"/>
  <c r="D159" i="2"/>
  <c r="C159" i="2"/>
  <c r="B159" i="2"/>
  <c r="A159" i="2"/>
  <c r="AJ158" i="2"/>
  <c r="AH158" i="2"/>
  <c r="AG158" i="2"/>
  <c r="AF158" i="2"/>
  <c r="AE158" i="2"/>
  <c r="AD158" i="2"/>
  <c r="AC158" i="2"/>
  <c r="AA158" i="2"/>
  <c r="Z158" i="2"/>
  <c r="Y158" i="2"/>
  <c r="X158" i="2"/>
  <c r="W158" i="2"/>
  <c r="V158" i="2"/>
  <c r="U158" i="2"/>
  <c r="T158" i="2"/>
  <c r="S158" i="2"/>
  <c r="R158" i="2"/>
  <c r="Q158" i="2"/>
  <c r="P158" i="2"/>
  <c r="O158" i="2"/>
  <c r="N158" i="2"/>
  <c r="M158" i="2"/>
  <c r="L158" i="2"/>
  <c r="K158" i="2"/>
  <c r="J158" i="2"/>
  <c r="I158" i="2"/>
  <c r="H158" i="2"/>
  <c r="G158" i="2"/>
  <c r="F158" i="2"/>
  <c r="E158" i="2"/>
  <c r="D158" i="2"/>
  <c r="C158" i="2"/>
  <c r="B158" i="2"/>
  <c r="A158" i="2"/>
  <c r="AJ157" i="2"/>
  <c r="AH157" i="2"/>
  <c r="AG157" i="2"/>
  <c r="AF157" i="2"/>
  <c r="AE157" i="2"/>
  <c r="AD157" i="2"/>
  <c r="AC157" i="2"/>
  <c r="Z157" i="2"/>
  <c r="Y157" i="2"/>
  <c r="X157" i="2"/>
  <c r="W157" i="2"/>
  <c r="V157" i="2"/>
  <c r="U157" i="2"/>
  <c r="T157" i="2"/>
  <c r="S157" i="2"/>
  <c r="R157" i="2"/>
  <c r="Q157" i="2"/>
  <c r="P157" i="2"/>
  <c r="O157" i="2"/>
  <c r="N157" i="2"/>
  <c r="M157" i="2"/>
  <c r="L157" i="2"/>
  <c r="K157" i="2"/>
  <c r="J157" i="2"/>
  <c r="I157" i="2"/>
  <c r="H157" i="2"/>
  <c r="G157" i="2"/>
  <c r="F157" i="2"/>
  <c r="E157" i="2"/>
  <c r="D157" i="2"/>
  <c r="C157" i="2"/>
  <c r="B157" i="2"/>
  <c r="A157" i="2"/>
  <c r="AJ156" i="2"/>
  <c r="AH156" i="2"/>
  <c r="AG156" i="2"/>
  <c r="AF156" i="2"/>
  <c r="AE156" i="2"/>
  <c r="AD156" i="2"/>
  <c r="AC156" i="2"/>
  <c r="AA156" i="2"/>
  <c r="Z156" i="2"/>
  <c r="Y156" i="2"/>
  <c r="X156" i="2"/>
  <c r="W156" i="2"/>
  <c r="V156" i="2"/>
  <c r="U156" i="2"/>
  <c r="T156" i="2"/>
  <c r="S156" i="2"/>
  <c r="R156" i="2"/>
  <c r="Q156" i="2"/>
  <c r="P156" i="2"/>
  <c r="O156" i="2"/>
  <c r="N156" i="2"/>
  <c r="M156" i="2"/>
  <c r="L156" i="2"/>
  <c r="K156" i="2"/>
  <c r="J156" i="2"/>
  <c r="I156" i="2"/>
  <c r="H156" i="2"/>
  <c r="G156" i="2"/>
  <c r="F156" i="2"/>
  <c r="E156" i="2"/>
  <c r="D156" i="2"/>
  <c r="C156" i="2"/>
  <c r="B156" i="2"/>
  <c r="A156" i="2"/>
  <c r="AJ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C155" i="2"/>
  <c r="B155" i="2"/>
  <c r="A155" i="2"/>
  <c r="AJ154" i="2"/>
  <c r="AH154" i="2"/>
  <c r="AG154" i="2"/>
  <c r="AF154" i="2"/>
  <c r="AE154" i="2"/>
  <c r="AD154" i="2"/>
  <c r="AC154" i="2"/>
  <c r="AB154" i="2"/>
  <c r="Z154" i="2"/>
  <c r="Y154" i="2"/>
  <c r="X154" i="2"/>
  <c r="W154" i="2"/>
  <c r="V154" i="2"/>
  <c r="U154" i="2"/>
  <c r="T154" i="2"/>
  <c r="S154" i="2"/>
  <c r="R154" i="2"/>
  <c r="Q154" i="2"/>
  <c r="P154" i="2"/>
  <c r="O154" i="2"/>
  <c r="N154" i="2"/>
  <c r="M154" i="2"/>
  <c r="L154" i="2"/>
  <c r="K154" i="2"/>
  <c r="J154" i="2"/>
  <c r="I154" i="2"/>
  <c r="H154" i="2"/>
  <c r="G154" i="2"/>
  <c r="F154" i="2"/>
  <c r="E154" i="2"/>
  <c r="D154" i="2"/>
  <c r="C154" i="2"/>
  <c r="B154" i="2"/>
  <c r="A154" i="2"/>
  <c r="AJ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F153" i="2"/>
  <c r="E153" i="2"/>
  <c r="D153" i="2"/>
  <c r="C153" i="2"/>
  <c r="B153" i="2"/>
  <c r="A153" i="2"/>
  <c r="AJ152" i="2"/>
  <c r="AH152" i="2"/>
  <c r="AG152" i="2"/>
  <c r="AF152" i="2"/>
  <c r="AE152" i="2"/>
  <c r="AD152" i="2"/>
  <c r="AC152" i="2"/>
  <c r="Z152" i="2"/>
  <c r="Y152" i="2"/>
  <c r="X152" i="2"/>
  <c r="W152" i="2"/>
  <c r="V152" i="2"/>
  <c r="U152" i="2"/>
  <c r="T152" i="2"/>
  <c r="S152" i="2"/>
  <c r="R152" i="2"/>
  <c r="Q152" i="2"/>
  <c r="P152" i="2"/>
  <c r="O152" i="2"/>
  <c r="N152" i="2"/>
  <c r="M152" i="2"/>
  <c r="L152" i="2"/>
  <c r="K152" i="2"/>
  <c r="J152" i="2"/>
  <c r="I152" i="2"/>
  <c r="H152" i="2"/>
  <c r="G152" i="2"/>
  <c r="F152" i="2"/>
  <c r="E152" i="2"/>
  <c r="D152" i="2"/>
  <c r="C152" i="2"/>
  <c r="B152" i="2"/>
  <c r="A152" i="2"/>
  <c r="AJ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F151" i="2"/>
  <c r="E151" i="2"/>
  <c r="D151" i="2"/>
  <c r="C151" i="2"/>
  <c r="B151" i="2"/>
  <c r="A151" i="2"/>
  <c r="AJ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F150" i="2"/>
  <c r="E150" i="2"/>
  <c r="D150" i="2"/>
  <c r="C150" i="2"/>
  <c r="B150" i="2"/>
  <c r="A150" i="2"/>
  <c r="AJ149" i="2"/>
  <c r="AH149" i="2"/>
  <c r="AG149" i="2"/>
  <c r="AF149" i="2"/>
  <c r="AE149" i="2"/>
  <c r="AD149" i="2"/>
  <c r="Z149" i="2"/>
  <c r="Y149" i="2"/>
  <c r="X149" i="2"/>
  <c r="W149" i="2"/>
  <c r="V149" i="2"/>
  <c r="U149" i="2"/>
  <c r="T149" i="2"/>
  <c r="S149" i="2"/>
  <c r="R149" i="2"/>
  <c r="Q149" i="2"/>
  <c r="P149" i="2"/>
  <c r="O149" i="2"/>
  <c r="N149" i="2"/>
  <c r="M149" i="2"/>
  <c r="L149" i="2"/>
  <c r="K149" i="2"/>
  <c r="J149" i="2"/>
  <c r="I149" i="2"/>
  <c r="H149" i="2"/>
  <c r="G149" i="2"/>
  <c r="F149" i="2"/>
  <c r="E149" i="2"/>
  <c r="D149" i="2"/>
  <c r="C149" i="2"/>
  <c r="B149" i="2"/>
  <c r="A149" i="2"/>
  <c r="AJ148" i="2"/>
  <c r="AH148" i="2"/>
  <c r="AG148" i="2"/>
  <c r="AF148" i="2"/>
  <c r="AE148" i="2"/>
  <c r="AD148" i="2"/>
  <c r="Z148" i="2"/>
  <c r="Y148" i="2"/>
  <c r="X148" i="2"/>
  <c r="W148" i="2"/>
  <c r="V148" i="2"/>
  <c r="U148" i="2"/>
  <c r="T148" i="2"/>
  <c r="S148" i="2"/>
  <c r="R148" i="2"/>
  <c r="Q148" i="2"/>
  <c r="P148" i="2"/>
  <c r="O148" i="2"/>
  <c r="N148" i="2"/>
  <c r="M148" i="2"/>
  <c r="L148" i="2"/>
  <c r="K148" i="2"/>
  <c r="J148" i="2"/>
  <c r="I148" i="2"/>
  <c r="H148" i="2"/>
  <c r="G148" i="2"/>
  <c r="F148" i="2"/>
  <c r="E148" i="2"/>
  <c r="D148" i="2"/>
  <c r="C148" i="2"/>
  <c r="B148" i="2"/>
  <c r="A148"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F147" i="2"/>
  <c r="E147" i="2"/>
  <c r="D147" i="2"/>
  <c r="C147" i="2"/>
  <c r="B147" i="2"/>
  <c r="A147" i="2"/>
  <c r="AJ146" i="2"/>
  <c r="AI146" i="2"/>
  <c r="AH146" i="2"/>
  <c r="AG146" i="2"/>
  <c r="AF146" i="2"/>
  <c r="AE146" i="2"/>
  <c r="AD146" i="2"/>
  <c r="AB146" i="2"/>
  <c r="AA146" i="2"/>
  <c r="Z146" i="2"/>
  <c r="Y146" i="2"/>
  <c r="X146" i="2"/>
  <c r="W146" i="2"/>
  <c r="V146" i="2"/>
  <c r="U146" i="2"/>
  <c r="T146" i="2"/>
  <c r="S146" i="2"/>
  <c r="R146" i="2"/>
  <c r="Q146" i="2"/>
  <c r="P146" i="2"/>
  <c r="O146" i="2"/>
  <c r="N146" i="2"/>
  <c r="M146" i="2"/>
  <c r="L146" i="2"/>
  <c r="K146" i="2"/>
  <c r="J146" i="2"/>
  <c r="I146" i="2"/>
  <c r="H146" i="2"/>
  <c r="G146" i="2"/>
  <c r="F146" i="2"/>
  <c r="E146" i="2"/>
  <c r="D146" i="2"/>
  <c r="C146" i="2"/>
  <c r="B146" i="2"/>
  <c r="A146" i="2"/>
  <c r="AJ145" i="2"/>
  <c r="AI145" i="2"/>
  <c r="AH145" i="2"/>
  <c r="AG145" i="2"/>
  <c r="AF145" i="2"/>
  <c r="AE145" i="2"/>
  <c r="AD145" i="2"/>
  <c r="AB145" i="2"/>
  <c r="AA145" i="2"/>
  <c r="Z145" i="2"/>
  <c r="Y145" i="2"/>
  <c r="X145" i="2"/>
  <c r="W145" i="2"/>
  <c r="V145" i="2"/>
  <c r="U145" i="2"/>
  <c r="T145" i="2"/>
  <c r="S145" i="2"/>
  <c r="R145" i="2"/>
  <c r="Q145" i="2"/>
  <c r="P145" i="2"/>
  <c r="O145" i="2"/>
  <c r="N145" i="2"/>
  <c r="M145" i="2"/>
  <c r="L145" i="2"/>
  <c r="K145" i="2"/>
  <c r="J145" i="2"/>
  <c r="I145" i="2"/>
  <c r="H145" i="2"/>
  <c r="G145" i="2"/>
  <c r="F145" i="2"/>
  <c r="E145" i="2"/>
  <c r="D145" i="2"/>
  <c r="C145" i="2"/>
  <c r="B145" i="2"/>
  <c r="A145" i="2"/>
  <c r="AJ144" i="2"/>
  <c r="AI144" i="2"/>
  <c r="AH144" i="2"/>
  <c r="AG144" i="2"/>
  <c r="AF144" i="2"/>
  <c r="AE144" i="2"/>
  <c r="AD144" i="2"/>
  <c r="AB144" i="2"/>
  <c r="Z144" i="2"/>
  <c r="Y144" i="2"/>
  <c r="X144" i="2"/>
  <c r="W144" i="2"/>
  <c r="V144" i="2"/>
  <c r="U144" i="2"/>
  <c r="T144" i="2"/>
  <c r="S144" i="2"/>
  <c r="R144" i="2"/>
  <c r="Q144" i="2"/>
  <c r="P144" i="2"/>
  <c r="O144" i="2"/>
  <c r="N144" i="2"/>
  <c r="M144" i="2"/>
  <c r="L144" i="2"/>
  <c r="K144" i="2"/>
  <c r="J144" i="2"/>
  <c r="I144" i="2"/>
  <c r="H144" i="2"/>
  <c r="G144" i="2"/>
  <c r="F144" i="2"/>
  <c r="E144" i="2"/>
  <c r="D144" i="2"/>
  <c r="C144" i="2"/>
  <c r="B144" i="2"/>
  <c r="A144" i="2"/>
  <c r="AJ143" i="2"/>
  <c r="AI143" i="2"/>
  <c r="AH143" i="2"/>
  <c r="AG143" i="2"/>
  <c r="AF143" i="2"/>
  <c r="AE143" i="2"/>
  <c r="AD143" i="2"/>
  <c r="AB143" i="2"/>
  <c r="AA143" i="2"/>
  <c r="Z143" i="2"/>
  <c r="Y143" i="2"/>
  <c r="X143" i="2"/>
  <c r="W143" i="2"/>
  <c r="V143" i="2"/>
  <c r="U143" i="2"/>
  <c r="T143" i="2"/>
  <c r="S143" i="2"/>
  <c r="R143" i="2"/>
  <c r="Q143" i="2"/>
  <c r="P143" i="2"/>
  <c r="O143" i="2"/>
  <c r="N143" i="2"/>
  <c r="M143" i="2"/>
  <c r="L143" i="2"/>
  <c r="K143" i="2"/>
  <c r="J143" i="2"/>
  <c r="I143" i="2"/>
  <c r="H143" i="2"/>
  <c r="G143" i="2"/>
  <c r="F143" i="2"/>
  <c r="E143" i="2"/>
  <c r="D143" i="2"/>
  <c r="C143" i="2"/>
  <c r="B143" i="2"/>
  <c r="A143" i="2"/>
  <c r="AJ142" i="2"/>
  <c r="AH142" i="2"/>
  <c r="AG142" i="2"/>
  <c r="AF142" i="2"/>
  <c r="AE142" i="2"/>
  <c r="AD142" i="2"/>
  <c r="AC142" i="2"/>
  <c r="AB142" i="2"/>
  <c r="Z142" i="2"/>
  <c r="Y142" i="2"/>
  <c r="X142" i="2"/>
  <c r="W142" i="2"/>
  <c r="V142" i="2"/>
  <c r="U142" i="2"/>
  <c r="T142" i="2"/>
  <c r="S142" i="2"/>
  <c r="R142" i="2"/>
  <c r="Q142" i="2"/>
  <c r="P142" i="2"/>
  <c r="O142" i="2"/>
  <c r="N142" i="2"/>
  <c r="M142" i="2"/>
  <c r="L142" i="2"/>
  <c r="K142" i="2"/>
  <c r="J142" i="2"/>
  <c r="I142" i="2"/>
  <c r="H142" i="2"/>
  <c r="G142" i="2"/>
  <c r="F142" i="2"/>
  <c r="E142" i="2"/>
  <c r="D142" i="2"/>
  <c r="C142" i="2"/>
  <c r="B142" i="2"/>
  <c r="A142" i="2"/>
  <c r="AJ141" i="2"/>
  <c r="AI141" i="2"/>
  <c r="AH141" i="2"/>
  <c r="AG141" i="2"/>
  <c r="AF141" i="2"/>
  <c r="AE141" i="2"/>
  <c r="AD141" i="2"/>
  <c r="AC141" i="2"/>
  <c r="AB141" i="2"/>
  <c r="Z141" i="2"/>
  <c r="Y141" i="2"/>
  <c r="X141" i="2"/>
  <c r="W141" i="2"/>
  <c r="V141" i="2"/>
  <c r="U141" i="2"/>
  <c r="T141" i="2"/>
  <c r="S141" i="2"/>
  <c r="R141" i="2"/>
  <c r="Q141" i="2"/>
  <c r="P141" i="2"/>
  <c r="O141" i="2"/>
  <c r="N141" i="2"/>
  <c r="M141" i="2"/>
  <c r="L141" i="2"/>
  <c r="K141" i="2"/>
  <c r="J141" i="2"/>
  <c r="I141" i="2"/>
  <c r="H141" i="2"/>
  <c r="G141" i="2"/>
  <c r="F141" i="2"/>
  <c r="E141" i="2"/>
  <c r="D141" i="2"/>
  <c r="C141" i="2"/>
  <c r="B141" i="2"/>
  <c r="A141" i="2"/>
  <c r="AJ140" i="2"/>
  <c r="AH140" i="2"/>
  <c r="AG140" i="2"/>
  <c r="AF140" i="2"/>
  <c r="AE140" i="2"/>
  <c r="AD140" i="2"/>
  <c r="AC140" i="2"/>
  <c r="AA140" i="2"/>
  <c r="Z140" i="2"/>
  <c r="Y140" i="2"/>
  <c r="X140" i="2"/>
  <c r="W140" i="2"/>
  <c r="V140" i="2"/>
  <c r="U140" i="2"/>
  <c r="T140" i="2"/>
  <c r="S140" i="2"/>
  <c r="R140" i="2"/>
  <c r="Q140" i="2"/>
  <c r="P140" i="2"/>
  <c r="O140" i="2"/>
  <c r="N140" i="2"/>
  <c r="M140" i="2"/>
  <c r="L140" i="2"/>
  <c r="K140" i="2"/>
  <c r="J140" i="2"/>
  <c r="I140" i="2"/>
  <c r="H140" i="2"/>
  <c r="G140" i="2"/>
  <c r="F140" i="2"/>
  <c r="E140" i="2"/>
  <c r="D140" i="2"/>
  <c r="C140" i="2"/>
  <c r="B140" i="2"/>
  <c r="A140"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F139" i="2"/>
  <c r="E139" i="2"/>
  <c r="D139" i="2"/>
  <c r="C139" i="2"/>
  <c r="B139" i="2"/>
  <c r="A139" i="2"/>
  <c r="AJ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F138" i="2"/>
  <c r="E138" i="2"/>
  <c r="D138" i="2"/>
  <c r="C138" i="2"/>
  <c r="B138" i="2"/>
  <c r="A138" i="2"/>
  <c r="AJ137" i="2"/>
  <c r="AH137" i="2"/>
  <c r="AG137" i="2"/>
  <c r="AF137" i="2"/>
  <c r="AE137" i="2"/>
  <c r="AD137" i="2"/>
  <c r="AC137" i="2"/>
  <c r="AB137" i="2"/>
  <c r="Z137" i="2"/>
  <c r="Y137" i="2"/>
  <c r="X137" i="2"/>
  <c r="W137" i="2"/>
  <c r="V137" i="2"/>
  <c r="U137" i="2"/>
  <c r="T137" i="2"/>
  <c r="S137" i="2"/>
  <c r="R137" i="2"/>
  <c r="Q137" i="2"/>
  <c r="P137" i="2"/>
  <c r="O137" i="2"/>
  <c r="N137" i="2"/>
  <c r="M137" i="2"/>
  <c r="L137" i="2"/>
  <c r="K137" i="2"/>
  <c r="J137" i="2"/>
  <c r="I137" i="2"/>
  <c r="H137" i="2"/>
  <c r="G137" i="2"/>
  <c r="F137" i="2"/>
  <c r="E137" i="2"/>
  <c r="D137" i="2"/>
  <c r="C137" i="2"/>
  <c r="B137" i="2"/>
  <c r="A137" i="2"/>
  <c r="AJ136" i="2"/>
  <c r="AI136" i="2"/>
  <c r="AH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F136" i="2"/>
  <c r="E136" i="2"/>
  <c r="D136" i="2"/>
  <c r="C136" i="2"/>
  <c r="B136" i="2"/>
  <c r="A136" i="2"/>
  <c r="AJ135" i="2"/>
  <c r="AH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B135" i="2"/>
  <c r="A135" i="2"/>
  <c r="AJ134" i="2"/>
  <c r="AH134" i="2"/>
  <c r="AG134" i="2"/>
  <c r="AF134" i="2"/>
  <c r="AE134" i="2"/>
  <c r="AD134" i="2"/>
  <c r="AC134" i="2"/>
  <c r="Z134" i="2"/>
  <c r="Y134" i="2"/>
  <c r="X134" i="2"/>
  <c r="W134" i="2"/>
  <c r="V134" i="2"/>
  <c r="U134" i="2"/>
  <c r="T134" i="2"/>
  <c r="S134" i="2"/>
  <c r="R134" i="2"/>
  <c r="Q134" i="2"/>
  <c r="P134" i="2"/>
  <c r="O134" i="2"/>
  <c r="N134" i="2"/>
  <c r="M134" i="2"/>
  <c r="L134" i="2"/>
  <c r="K134" i="2"/>
  <c r="J134" i="2"/>
  <c r="I134" i="2"/>
  <c r="H134" i="2"/>
  <c r="G134" i="2"/>
  <c r="F134" i="2"/>
  <c r="E134" i="2"/>
  <c r="D134" i="2"/>
  <c r="C134" i="2"/>
  <c r="B134" i="2"/>
  <c r="A134" i="2"/>
  <c r="AJ133" i="2"/>
  <c r="AH133" i="2"/>
  <c r="AG133" i="2"/>
  <c r="AF133" i="2"/>
  <c r="AE133" i="2"/>
  <c r="AD133" i="2"/>
  <c r="AB133" i="2"/>
  <c r="Z133" i="2"/>
  <c r="Y133" i="2"/>
  <c r="X133" i="2"/>
  <c r="W133" i="2"/>
  <c r="V133" i="2"/>
  <c r="U133" i="2"/>
  <c r="T133" i="2"/>
  <c r="S133" i="2"/>
  <c r="R133" i="2"/>
  <c r="Q133" i="2"/>
  <c r="P133" i="2"/>
  <c r="O133" i="2"/>
  <c r="N133" i="2"/>
  <c r="M133" i="2"/>
  <c r="L133" i="2"/>
  <c r="K133" i="2"/>
  <c r="J133" i="2"/>
  <c r="I133" i="2"/>
  <c r="H133" i="2"/>
  <c r="G133" i="2"/>
  <c r="F133" i="2"/>
  <c r="E133" i="2"/>
  <c r="D133" i="2"/>
  <c r="C133" i="2"/>
  <c r="B133" i="2"/>
  <c r="A133" i="2"/>
  <c r="AJ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B132" i="2"/>
  <c r="A132" i="2"/>
  <c r="AJ131" i="2"/>
  <c r="AH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F131" i="2"/>
  <c r="E131" i="2"/>
  <c r="D131" i="2"/>
  <c r="C131" i="2"/>
  <c r="B131" i="2"/>
  <c r="A131" i="2"/>
  <c r="AJ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D130" i="2"/>
  <c r="C130" i="2"/>
  <c r="B130" i="2"/>
  <c r="A130" i="2"/>
  <c r="AJ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D129" i="2"/>
  <c r="C129" i="2"/>
  <c r="B129" i="2"/>
  <c r="A129" i="2"/>
  <c r="AJ128" i="2"/>
  <c r="AH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F128" i="2"/>
  <c r="E128" i="2"/>
  <c r="D128" i="2"/>
  <c r="C128" i="2"/>
  <c r="B128" i="2"/>
  <c r="A128" i="2"/>
  <c r="AJ127" i="2"/>
  <c r="AH127" i="2"/>
  <c r="AG127" i="2"/>
  <c r="AF127" i="2"/>
  <c r="AE127" i="2"/>
  <c r="AD127" i="2"/>
  <c r="AC127" i="2"/>
  <c r="Z127" i="2"/>
  <c r="Y127" i="2"/>
  <c r="X127" i="2"/>
  <c r="W127" i="2"/>
  <c r="V127" i="2"/>
  <c r="U127" i="2"/>
  <c r="T127" i="2"/>
  <c r="S127" i="2"/>
  <c r="R127" i="2"/>
  <c r="Q127" i="2"/>
  <c r="P127" i="2"/>
  <c r="O127" i="2"/>
  <c r="N127" i="2"/>
  <c r="M127" i="2"/>
  <c r="L127" i="2"/>
  <c r="K127" i="2"/>
  <c r="J127" i="2"/>
  <c r="I127" i="2"/>
  <c r="H127" i="2"/>
  <c r="G127" i="2"/>
  <c r="F127" i="2"/>
  <c r="E127" i="2"/>
  <c r="D127" i="2"/>
  <c r="C127" i="2"/>
  <c r="B127" i="2"/>
  <c r="A127" i="2"/>
  <c r="AJ126" i="2"/>
  <c r="AG126" i="2"/>
  <c r="AF126" i="2"/>
  <c r="AE126" i="2"/>
  <c r="AD126" i="2"/>
  <c r="AC126" i="2"/>
  <c r="Z126" i="2"/>
  <c r="Y126" i="2"/>
  <c r="X126" i="2"/>
  <c r="W126" i="2"/>
  <c r="V126" i="2"/>
  <c r="U126" i="2"/>
  <c r="T126" i="2"/>
  <c r="S126" i="2"/>
  <c r="R126" i="2"/>
  <c r="Q126" i="2"/>
  <c r="P126" i="2"/>
  <c r="O126" i="2"/>
  <c r="N126" i="2"/>
  <c r="M126" i="2"/>
  <c r="L126" i="2"/>
  <c r="K126" i="2"/>
  <c r="J126" i="2"/>
  <c r="I126" i="2"/>
  <c r="H126" i="2"/>
  <c r="G126" i="2"/>
  <c r="F126" i="2"/>
  <c r="E126" i="2"/>
  <c r="D126" i="2"/>
  <c r="C126" i="2"/>
  <c r="B126" i="2"/>
  <c r="A126" i="2"/>
  <c r="AJ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F125" i="2"/>
  <c r="E125" i="2"/>
  <c r="D125" i="2"/>
  <c r="C125" i="2"/>
  <c r="B125" i="2"/>
  <c r="A125"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F124" i="2"/>
  <c r="E124" i="2"/>
  <c r="D124" i="2"/>
  <c r="C124" i="2"/>
  <c r="B124" i="2"/>
  <c r="A124" i="2"/>
  <c r="AJ123" i="2"/>
  <c r="AH123" i="2"/>
  <c r="AG123" i="2"/>
  <c r="AF123" i="2"/>
  <c r="AE123" i="2"/>
  <c r="AD123" i="2"/>
  <c r="AC123" i="2"/>
  <c r="AB123" i="2"/>
  <c r="Z123" i="2"/>
  <c r="Y123" i="2"/>
  <c r="X123" i="2"/>
  <c r="W123" i="2"/>
  <c r="V123" i="2"/>
  <c r="U123" i="2"/>
  <c r="T123" i="2"/>
  <c r="S123" i="2"/>
  <c r="R123" i="2"/>
  <c r="Q123" i="2"/>
  <c r="P123" i="2"/>
  <c r="O123" i="2"/>
  <c r="N123" i="2"/>
  <c r="M123" i="2"/>
  <c r="L123" i="2"/>
  <c r="K123" i="2"/>
  <c r="J123" i="2"/>
  <c r="I123" i="2"/>
  <c r="H123" i="2"/>
  <c r="G123" i="2"/>
  <c r="F123" i="2"/>
  <c r="E123" i="2"/>
  <c r="D123" i="2"/>
  <c r="C123" i="2"/>
  <c r="B123" i="2"/>
  <c r="A123" i="2"/>
  <c r="AJ122" i="2"/>
  <c r="AH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F122" i="2"/>
  <c r="E122" i="2"/>
  <c r="D122" i="2"/>
  <c r="C122" i="2"/>
  <c r="B122" i="2"/>
  <c r="A122"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F121" i="2"/>
  <c r="E121" i="2"/>
  <c r="D121" i="2"/>
  <c r="C121" i="2"/>
  <c r="B121" i="2"/>
  <c r="A121" i="2"/>
  <c r="AJ120" i="2"/>
  <c r="AH120" i="2"/>
  <c r="AG120" i="2"/>
  <c r="AF120" i="2"/>
  <c r="AE120" i="2"/>
  <c r="AD120" i="2"/>
  <c r="AB120" i="2"/>
  <c r="Z120" i="2"/>
  <c r="Y120" i="2"/>
  <c r="X120" i="2"/>
  <c r="W120" i="2"/>
  <c r="V120" i="2"/>
  <c r="U120" i="2"/>
  <c r="T120" i="2"/>
  <c r="S120" i="2"/>
  <c r="R120" i="2"/>
  <c r="Q120" i="2"/>
  <c r="P120" i="2"/>
  <c r="O120" i="2"/>
  <c r="N120" i="2"/>
  <c r="M120" i="2"/>
  <c r="L120" i="2"/>
  <c r="K120" i="2"/>
  <c r="J120" i="2"/>
  <c r="I120" i="2"/>
  <c r="H120" i="2"/>
  <c r="G120" i="2"/>
  <c r="F120" i="2"/>
  <c r="E120" i="2"/>
  <c r="D120" i="2"/>
  <c r="C120" i="2"/>
  <c r="B120" i="2"/>
  <c r="A120" i="2"/>
  <c r="AJ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F119" i="2"/>
  <c r="E119" i="2"/>
  <c r="D119" i="2"/>
  <c r="C119" i="2"/>
  <c r="B119" i="2"/>
  <c r="A119" i="2"/>
  <c r="AJ118" i="2"/>
  <c r="AH118" i="2"/>
  <c r="AG118" i="2"/>
  <c r="AF118" i="2"/>
  <c r="AE118" i="2"/>
  <c r="AD118" i="2"/>
  <c r="AB118" i="2"/>
  <c r="AA118" i="2"/>
  <c r="Z118" i="2"/>
  <c r="Y118" i="2"/>
  <c r="X118" i="2"/>
  <c r="W118" i="2"/>
  <c r="V118" i="2"/>
  <c r="U118" i="2"/>
  <c r="T118" i="2"/>
  <c r="S118" i="2"/>
  <c r="R118" i="2"/>
  <c r="Q118" i="2"/>
  <c r="P118" i="2"/>
  <c r="O118" i="2"/>
  <c r="N118" i="2"/>
  <c r="M118" i="2"/>
  <c r="L118" i="2"/>
  <c r="K118" i="2"/>
  <c r="J118" i="2"/>
  <c r="I118" i="2"/>
  <c r="H118" i="2"/>
  <c r="G118" i="2"/>
  <c r="F118" i="2"/>
  <c r="E118" i="2"/>
  <c r="D118" i="2"/>
  <c r="C118" i="2"/>
  <c r="B118" i="2"/>
  <c r="A118"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F117" i="2"/>
  <c r="E117" i="2"/>
  <c r="D117" i="2"/>
  <c r="C117" i="2"/>
  <c r="B117" i="2"/>
  <c r="A117" i="2"/>
  <c r="AJ116" i="2"/>
  <c r="AG116" i="2"/>
  <c r="AF116" i="2"/>
  <c r="AE116" i="2"/>
  <c r="AD116" i="2"/>
  <c r="AC116" i="2"/>
  <c r="AB116" i="2"/>
  <c r="Z116" i="2"/>
  <c r="Y116" i="2"/>
  <c r="X116" i="2"/>
  <c r="W116" i="2"/>
  <c r="V116" i="2"/>
  <c r="U116" i="2"/>
  <c r="T116" i="2"/>
  <c r="S116" i="2"/>
  <c r="R116" i="2"/>
  <c r="Q116" i="2"/>
  <c r="P116" i="2"/>
  <c r="O116" i="2"/>
  <c r="N116" i="2"/>
  <c r="M116" i="2"/>
  <c r="L116" i="2"/>
  <c r="K116" i="2"/>
  <c r="J116" i="2"/>
  <c r="I116" i="2"/>
  <c r="H116" i="2"/>
  <c r="G116" i="2"/>
  <c r="F116" i="2"/>
  <c r="E116" i="2"/>
  <c r="D116" i="2"/>
  <c r="C116" i="2"/>
  <c r="B116" i="2"/>
  <c r="A116" i="2"/>
  <c r="AJ115" i="2"/>
  <c r="AI115" i="2"/>
  <c r="AH115" i="2"/>
  <c r="AG115" i="2"/>
  <c r="AF115" i="2"/>
  <c r="AE115" i="2"/>
  <c r="AD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B115" i="2"/>
  <c r="A115"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B114" i="2"/>
  <c r="A114" i="2"/>
  <c r="AJ113" i="2"/>
  <c r="AH113" i="2"/>
  <c r="AG113" i="2"/>
  <c r="AF113" i="2"/>
  <c r="AE113" i="2"/>
  <c r="AD113" i="2"/>
  <c r="AC113" i="2"/>
  <c r="Z113" i="2"/>
  <c r="Y113" i="2"/>
  <c r="X113" i="2"/>
  <c r="W113" i="2"/>
  <c r="V113" i="2"/>
  <c r="U113" i="2"/>
  <c r="T113" i="2"/>
  <c r="S113" i="2"/>
  <c r="R113" i="2"/>
  <c r="Q113" i="2"/>
  <c r="P113" i="2"/>
  <c r="O113" i="2"/>
  <c r="N113" i="2"/>
  <c r="M113" i="2"/>
  <c r="L113" i="2"/>
  <c r="K113" i="2"/>
  <c r="J113" i="2"/>
  <c r="I113" i="2"/>
  <c r="H113" i="2"/>
  <c r="G113" i="2"/>
  <c r="F113" i="2"/>
  <c r="E113" i="2"/>
  <c r="D113" i="2"/>
  <c r="C113" i="2"/>
  <c r="B113" i="2"/>
  <c r="A113" i="2"/>
  <c r="AJ112" i="2"/>
  <c r="AH112" i="2"/>
  <c r="AG112" i="2"/>
  <c r="AF112" i="2"/>
  <c r="AE112" i="2"/>
  <c r="AD112" i="2"/>
  <c r="Z112" i="2"/>
  <c r="Y112" i="2"/>
  <c r="X112" i="2"/>
  <c r="W112" i="2"/>
  <c r="V112" i="2"/>
  <c r="U112" i="2"/>
  <c r="T112" i="2"/>
  <c r="S112" i="2"/>
  <c r="R112" i="2"/>
  <c r="Q112" i="2"/>
  <c r="P112" i="2"/>
  <c r="O112" i="2"/>
  <c r="N112" i="2"/>
  <c r="M112" i="2"/>
  <c r="L112" i="2"/>
  <c r="K112" i="2"/>
  <c r="J112" i="2"/>
  <c r="I112" i="2"/>
  <c r="H112" i="2"/>
  <c r="G112" i="2"/>
  <c r="F112" i="2"/>
  <c r="E112" i="2"/>
  <c r="D112" i="2"/>
  <c r="C112" i="2"/>
  <c r="B112" i="2"/>
  <c r="A112" i="2"/>
  <c r="AJ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B111" i="2"/>
  <c r="A111" i="2"/>
  <c r="AJ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B110" i="2"/>
  <c r="A110" i="2"/>
  <c r="AJ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B109" i="2"/>
  <c r="A109" i="2"/>
  <c r="AJ108" i="2"/>
  <c r="AH108" i="2"/>
  <c r="AG108" i="2"/>
  <c r="AF108" i="2"/>
  <c r="AE108" i="2"/>
  <c r="AD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108" i="2"/>
  <c r="A108" i="2"/>
  <c r="AJ107" i="2"/>
  <c r="AH107" i="2"/>
  <c r="AF107" i="2"/>
  <c r="AE107" i="2"/>
  <c r="AD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B107" i="2"/>
  <c r="A107" i="2"/>
  <c r="AJ106" i="2"/>
  <c r="AI106" i="2"/>
  <c r="AH106" i="2"/>
  <c r="AG106" i="2"/>
  <c r="AF106" i="2"/>
  <c r="AE106" i="2"/>
  <c r="AD106" i="2"/>
  <c r="AC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B106" i="2"/>
  <c r="A106" i="2"/>
  <c r="AJ105" i="2"/>
  <c r="AH105" i="2"/>
  <c r="AG105" i="2"/>
  <c r="AF105" i="2"/>
  <c r="AE105" i="2"/>
  <c r="AD105" i="2"/>
  <c r="AC105" i="2"/>
  <c r="Z105" i="2"/>
  <c r="Y105" i="2"/>
  <c r="X105" i="2"/>
  <c r="W105" i="2"/>
  <c r="V105" i="2"/>
  <c r="U105" i="2"/>
  <c r="T105" i="2"/>
  <c r="S105" i="2"/>
  <c r="R105" i="2"/>
  <c r="Q105" i="2"/>
  <c r="P105" i="2"/>
  <c r="O105" i="2"/>
  <c r="N105" i="2"/>
  <c r="M105" i="2"/>
  <c r="L105" i="2"/>
  <c r="K105" i="2"/>
  <c r="J105" i="2"/>
  <c r="I105" i="2"/>
  <c r="H105" i="2"/>
  <c r="G105" i="2"/>
  <c r="F105" i="2"/>
  <c r="E105" i="2"/>
  <c r="D105" i="2"/>
  <c r="C105" i="2"/>
  <c r="B105" i="2"/>
  <c r="A105" i="2"/>
  <c r="AI104" i="2"/>
  <c r="AH104" i="2"/>
  <c r="AF104" i="2"/>
  <c r="AE104" i="2"/>
  <c r="AD104" i="2"/>
  <c r="AC104" i="2"/>
  <c r="Z104" i="2"/>
  <c r="Y104" i="2"/>
  <c r="X104" i="2"/>
  <c r="W104" i="2"/>
  <c r="V104" i="2"/>
  <c r="U104" i="2"/>
  <c r="T104" i="2"/>
  <c r="S104" i="2"/>
  <c r="R104" i="2"/>
  <c r="Q104" i="2"/>
  <c r="P104" i="2"/>
  <c r="O104" i="2"/>
  <c r="N104" i="2"/>
  <c r="M104" i="2"/>
  <c r="L104" i="2"/>
  <c r="K104" i="2"/>
  <c r="J104" i="2"/>
  <c r="I104" i="2"/>
  <c r="H104" i="2"/>
  <c r="G104" i="2"/>
  <c r="F104" i="2"/>
  <c r="E104" i="2"/>
  <c r="D104" i="2"/>
  <c r="C104" i="2"/>
  <c r="B104" i="2"/>
  <c r="A104"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D103" i="2"/>
  <c r="C103" i="2"/>
  <c r="B103" i="2"/>
  <c r="A103" i="2"/>
  <c r="AJ102" i="2"/>
  <c r="AF102" i="2"/>
  <c r="AE102" i="2"/>
  <c r="AD102" i="2"/>
  <c r="AC102" i="2"/>
  <c r="Z102" i="2"/>
  <c r="Y102" i="2"/>
  <c r="X102" i="2"/>
  <c r="W102" i="2"/>
  <c r="V102" i="2"/>
  <c r="U102" i="2"/>
  <c r="T102" i="2"/>
  <c r="S102" i="2"/>
  <c r="R102" i="2"/>
  <c r="Q102" i="2"/>
  <c r="P102" i="2"/>
  <c r="O102" i="2"/>
  <c r="N102" i="2"/>
  <c r="M102" i="2"/>
  <c r="L102" i="2"/>
  <c r="K102" i="2"/>
  <c r="J102" i="2"/>
  <c r="I102" i="2"/>
  <c r="H102" i="2"/>
  <c r="G102" i="2"/>
  <c r="F102" i="2"/>
  <c r="E102" i="2"/>
  <c r="D102" i="2"/>
  <c r="C102" i="2"/>
  <c r="B102" i="2"/>
  <c r="A102" i="2"/>
  <c r="AJ101" i="2"/>
  <c r="AH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B101" i="2"/>
  <c r="A101" i="2"/>
  <c r="AJ100" i="2"/>
  <c r="AH100" i="2"/>
  <c r="AF100" i="2"/>
  <c r="AE100" i="2"/>
  <c r="AD100" i="2"/>
  <c r="AC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A100" i="2"/>
  <c r="AJ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B99" i="2"/>
  <c r="A99" i="2"/>
  <c r="AJ98" i="2"/>
  <c r="AH98" i="2"/>
  <c r="AG98" i="2"/>
  <c r="AF98" i="2"/>
  <c r="AE98" i="2"/>
  <c r="AD98" i="2"/>
  <c r="AB98" i="2"/>
  <c r="Z98" i="2"/>
  <c r="Y98" i="2"/>
  <c r="X98" i="2"/>
  <c r="W98" i="2"/>
  <c r="V98" i="2"/>
  <c r="U98" i="2"/>
  <c r="T98" i="2"/>
  <c r="S98" i="2"/>
  <c r="R98" i="2"/>
  <c r="Q98" i="2"/>
  <c r="P98" i="2"/>
  <c r="O98" i="2"/>
  <c r="N98" i="2"/>
  <c r="M98" i="2"/>
  <c r="L98" i="2"/>
  <c r="K98" i="2"/>
  <c r="J98" i="2"/>
  <c r="I98" i="2"/>
  <c r="H98" i="2"/>
  <c r="G98" i="2"/>
  <c r="F98" i="2"/>
  <c r="E98" i="2"/>
  <c r="D98" i="2"/>
  <c r="C98" i="2"/>
  <c r="B98" i="2"/>
  <c r="A98" i="2"/>
  <c r="AJ97" i="2"/>
  <c r="AH97" i="2"/>
  <c r="AF97" i="2"/>
  <c r="AE97" i="2"/>
  <c r="AD97" i="2"/>
  <c r="Z97" i="2"/>
  <c r="Y97" i="2"/>
  <c r="X97" i="2"/>
  <c r="W97" i="2"/>
  <c r="V97" i="2"/>
  <c r="U97" i="2"/>
  <c r="T97" i="2"/>
  <c r="S97" i="2"/>
  <c r="R97" i="2"/>
  <c r="Q97" i="2"/>
  <c r="P97" i="2"/>
  <c r="O97" i="2"/>
  <c r="N97" i="2"/>
  <c r="M97" i="2"/>
  <c r="L97" i="2"/>
  <c r="K97" i="2"/>
  <c r="J97" i="2"/>
  <c r="I97" i="2"/>
  <c r="H97" i="2"/>
  <c r="G97" i="2"/>
  <c r="F97" i="2"/>
  <c r="E97" i="2"/>
  <c r="D97" i="2"/>
  <c r="C97" i="2"/>
  <c r="B97" i="2"/>
  <c r="A97" i="2"/>
  <c r="AJ96" i="2"/>
  <c r="AH96" i="2"/>
  <c r="AG96" i="2"/>
  <c r="AF96" i="2"/>
  <c r="AE96" i="2"/>
  <c r="AD96" i="2"/>
  <c r="AB96" i="2"/>
  <c r="Z96" i="2"/>
  <c r="Y96" i="2"/>
  <c r="X96" i="2"/>
  <c r="W96" i="2"/>
  <c r="V96" i="2"/>
  <c r="U96" i="2"/>
  <c r="T96" i="2"/>
  <c r="S96" i="2"/>
  <c r="R96" i="2"/>
  <c r="Q96" i="2"/>
  <c r="P96" i="2"/>
  <c r="O96" i="2"/>
  <c r="N96" i="2"/>
  <c r="M96" i="2"/>
  <c r="L96" i="2"/>
  <c r="K96" i="2"/>
  <c r="J96" i="2"/>
  <c r="I96" i="2"/>
  <c r="H96" i="2"/>
  <c r="G96" i="2"/>
  <c r="F96" i="2"/>
  <c r="E96" i="2"/>
  <c r="D96" i="2"/>
  <c r="C96" i="2"/>
  <c r="B96" i="2"/>
  <c r="A96" i="2"/>
  <c r="AJ95" i="2"/>
  <c r="AH95" i="2"/>
  <c r="AF95" i="2"/>
  <c r="AE95" i="2"/>
  <c r="AD95" i="2"/>
  <c r="Z95" i="2"/>
  <c r="Y95" i="2"/>
  <c r="X95" i="2"/>
  <c r="W95" i="2"/>
  <c r="V95" i="2"/>
  <c r="U95" i="2"/>
  <c r="T95" i="2"/>
  <c r="S95" i="2"/>
  <c r="R95" i="2"/>
  <c r="Q95" i="2"/>
  <c r="P95" i="2"/>
  <c r="O95" i="2"/>
  <c r="N95" i="2"/>
  <c r="M95" i="2"/>
  <c r="L95" i="2"/>
  <c r="K95" i="2"/>
  <c r="J95" i="2"/>
  <c r="I95" i="2"/>
  <c r="H95" i="2"/>
  <c r="G95" i="2"/>
  <c r="F95" i="2"/>
  <c r="E95" i="2"/>
  <c r="D95" i="2"/>
  <c r="C95" i="2"/>
  <c r="B95" i="2"/>
  <c r="A95" i="2"/>
  <c r="AJ94" i="2"/>
  <c r="AH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B94" i="2"/>
  <c r="A94" i="2"/>
  <c r="AJ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93" i="2"/>
  <c r="AJ92" i="2"/>
  <c r="AI92" i="2"/>
  <c r="AH92" i="2"/>
  <c r="AG92" i="2"/>
  <c r="AF92" i="2"/>
  <c r="AE92" i="2"/>
  <c r="AD92" i="2"/>
  <c r="AC92" i="2"/>
  <c r="AB92" i="2"/>
  <c r="Z92" i="2"/>
  <c r="Y92" i="2"/>
  <c r="X92" i="2"/>
  <c r="W92" i="2"/>
  <c r="V92" i="2"/>
  <c r="U92" i="2"/>
  <c r="T92" i="2"/>
  <c r="S92" i="2"/>
  <c r="R92" i="2"/>
  <c r="Q92" i="2"/>
  <c r="P92" i="2"/>
  <c r="O92" i="2"/>
  <c r="N92" i="2"/>
  <c r="M92" i="2"/>
  <c r="L92" i="2"/>
  <c r="K92" i="2"/>
  <c r="J92" i="2"/>
  <c r="I92" i="2"/>
  <c r="H92" i="2"/>
  <c r="G92" i="2"/>
  <c r="F92" i="2"/>
  <c r="E92" i="2"/>
  <c r="D92" i="2"/>
  <c r="C92" i="2"/>
  <c r="B92" i="2"/>
  <c r="A92" i="2"/>
  <c r="AJ91" i="2"/>
  <c r="AH91" i="2"/>
  <c r="AG91" i="2"/>
  <c r="AF91" i="2"/>
  <c r="AE91" i="2"/>
  <c r="AD91" i="2"/>
  <c r="AB91" i="2"/>
  <c r="Z91" i="2"/>
  <c r="Y91" i="2"/>
  <c r="X91" i="2"/>
  <c r="W91" i="2"/>
  <c r="V91" i="2"/>
  <c r="U91" i="2"/>
  <c r="T91" i="2"/>
  <c r="S91" i="2"/>
  <c r="R91" i="2"/>
  <c r="Q91" i="2"/>
  <c r="P91" i="2"/>
  <c r="O91" i="2"/>
  <c r="N91" i="2"/>
  <c r="M91" i="2"/>
  <c r="L91" i="2"/>
  <c r="K91" i="2"/>
  <c r="J91" i="2"/>
  <c r="I91" i="2"/>
  <c r="H91" i="2"/>
  <c r="G91" i="2"/>
  <c r="F91" i="2"/>
  <c r="E91" i="2"/>
  <c r="D91" i="2"/>
  <c r="C91" i="2"/>
  <c r="B91" i="2"/>
  <c r="A91" i="2"/>
  <c r="AJ90" i="2"/>
  <c r="AH90" i="2"/>
  <c r="AG90" i="2"/>
  <c r="AF90" i="2"/>
  <c r="AE90" i="2"/>
  <c r="AD90" i="2"/>
  <c r="AC90" i="2"/>
  <c r="AB90" i="2"/>
  <c r="Z90" i="2"/>
  <c r="Y90" i="2"/>
  <c r="X90" i="2"/>
  <c r="W90" i="2"/>
  <c r="V90" i="2"/>
  <c r="U90" i="2"/>
  <c r="T90" i="2"/>
  <c r="S90" i="2"/>
  <c r="R90" i="2"/>
  <c r="Q90" i="2"/>
  <c r="P90" i="2"/>
  <c r="O90" i="2"/>
  <c r="N90" i="2"/>
  <c r="M90" i="2"/>
  <c r="L90" i="2"/>
  <c r="K90" i="2"/>
  <c r="J90" i="2"/>
  <c r="I90" i="2"/>
  <c r="H90" i="2"/>
  <c r="G90" i="2"/>
  <c r="F90" i="2"/>
  <c r="E90" i="2"/>
  <c r="D90" i="2"/>
  <c r="C90" i="2"/>
  <c r="B90" i="2"/>
  <c r="A90" i="2"/>
  <c r="AJ89" i="2"/>
  <c r="AH89" i="2"/>
  <c r="AG89" i="2"/>
  <c r="AF89" i="2"/>
  <c r="AE89" i="2"/>
  <c r="AD89" i="2"/>
  <c r="AC89" i="2"/>
  <c r="Z89" i="2"/>
  <c r="Y89" i="2"/>
  <c r="X89" i="2"/>
  <c r="W89" i="2"/>
  <c r="V89" i="2"/>
  <c r="U89" i="2"/>
  <c r="T89" i="2"/>
  <c r="S89" i="2"/>
  <c r="R89" i="2"/>
  <c r="Q89" i="2"/>
  <c r="P89" i="2"/>
  <c r="O89" i="2"/>
  <c r="N89" i="2"/>
  <c r="M89" i="2"/>
  <c r="L89" i="2"/>
  <c r="K89" i="2"/>
  <c r="J89" i="2"/>
  <c r="I89" i="2"/>
  <c r="H89" i="2"/>
  <c r="G89" i="2"/>
  <c r="F89" i="2"/>
  <c r="E89" i="2"/>
  <c r="D89" i="2"/>
  <c r="C89" i="2"/>
  <c r="B89" i="2"/>
  <c r="A89" i="2"/>
  <c r="AI88" i="2"/>
  <c r="AH88" i="2"/>
  <c r="AG88" i="2"/>
  <c r="AF88" i="2"/>
  <c r="AE88" i="2"/>
  <c r="AD88" i="2"/>
  <c r="AC88" i="2"/>
  <c r="AB88" i="2"/>
  <c r="Y88" i="2"/>
  <c r="X88" i="2"/>
  <c r="W88" i="2"/>
  <c r="V88" i="2"/>
  <c r="U88" i="2"/>
  <c r="T88" i="2"/>
  <c r="S88" i="2"/>
  <c r="R88" i="2"/>
  <c r="Q88" i="2"/>
  <c r="P88" i="2"/>
  <c r="O88" i="2"/>
  <c r="N88" i="2"/>
  <c r="M88" i="2"/>
  <c r="L88" i="2"/>
  <c r="K88" i="2"/>
  <c r="J88" i="2"/>
  <c r="I88" i="2"/>
  <c r="H88" i="2"/>
  <c r="G88" i="2"/>
  <c r="F88" i="2"/>
  <c r="E88" i="2"/>
  <c r="D88" i="2"/>
  <c r="C88" i="2"/>
  <c r="B88" i="2"/>
  <c r="A88" i="2"/>
  <c r="AJ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87" i="2"/>
  <c r="AJ86" i="2"/>
  <c r="AH86" i="2"/>
  <c r="AG86" i="2"/>
  <c r="AF86" i="2"/>
  <c r="AE86" i="2"/>
  <c r="AD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86" i="2"/>
  <c r="AJ85" i="2"/>
  <c r="AH85" i="2"/>
  <c r="AG85" i="2"/>
  <c r="AF85" i="2"/>
  <c r="AE85" i="2"/>
  <c r="AD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85" i="2"/>
  <c r="AJ84" i="2"/>
  <c r="AH84" i="2"/>
  <c r="AG84" i="2"/>
  <c r="AF84" i="2"/>
  <c r="AE84" i="2"/>
  <c r="AD84" i="2"/>
  <c r="AC84" i="2"/>
  <c r="AB84" i="2"/>
  <c r="Z84" i="2"/>
  <c r="Y84" i="2"/>
  <c r="X84" i="2"/>
  <c r="W84" i="2"/>
  <c r="V84" i="2"/>
  <c r="U84" i="2"/>
  <c r="T84" i="2"/>
  <c r="S84" i="2"/>
  <c r="R84" i="2"/>
  <c r="Q84" i="2"/>
  <c r="P84" i="2"/>
  <c r="O84" i="2"/>
  <c r="N84" i="2"/>
  <c r="M84" i="2"/>
  <c r="L84" i="2"/>
  <c r="K84" i="2"/>
  <c r="J84" i="2"/>
  <c r="I84" i="2"/>
  <c r="H84" i="2"/>
  <c r="G84" i="2"/>
  <c r="F84" i="2"/>
  <c r="E84" i="2"/>
  <c r="D84" i="2"/>
  <c r="C84" i="2"/>
  <c r="B84" i="2"/>
  <c r="A84" i="2"/>
  <c r="AJ83" i="2"/>
  <c r="AH83" i="2"/>
  <c r="AG83" i="2"/>
  <c r="AF83" i="2"/>
  <c r="AE83" i="2"/>
  <c r="AD83" i="2"/>
  <c r="AC83" i="2"/>
  <c r="AA83" i="2"/>
  <c r="Z83" i="2"/>
  <c r="Y83" i="2"/>
  <c r="X83" i="2"/>
  <c r="W83" i="2"/>
  <c r="V83" i="2"/>
  <c r="U83" i="2"/>
  <c r="T83" i="2"/>
  <c r="S83" i="2"/>
  <c r="R83" i="2"/>
  <c r="Q83" i="2"/>
  <c r="P83" i="2"/>
  <c r="O83" i="2"/>
  <c r="N83" i="2"/>
  <c r="M83" i="2"/>
  <c r="L83" i="2"/>
  <c r="K83" i="2"/>
  <c r="J83" i="2"/>
  <c r="I83" i="2"/>
  <c r="H83" i="2"/>
  <c r="G83" i="2"/>
  <c r="F83" i="2"/>
  <c r="E83" i="2"/>
  <c r="D83" i="2"/>
  <c r="C83" i="2"/>
  <c r="B83" i="2"/>
  <c r="A83" i="2"/>
  <c r="AJ82" i="2"/>
  <c r="AH82" i="2"/>
  <c r="AG82" i="2"/>
  <c r="AF82" i="2"/>
  <c r="AE82" i="2"/>
  <c r="AD82" i="2"/>
  <c r="AA82" i="2"/>
  <c r="Z82" i="2"/>
  <c r="Y82" i="2"/>
  <c r="X82" i="2"/>
  <c r="W82" i="2"/>
  <c r="V82" i="2"/>
  <c r="U82" i="2"/>
  <c r="T82" i="2"/>
  <c r="S82" i="2"/>
  <c r="R82" i="2"/>
  <c r="Q82" i="2"/>
  <c r="P82" i="2"/>
  <c r="O82" i="2"/>
  <c r="N82" i="2"/>
  <c r="M82" i="2"/>
  <c r="L82" i="2"/>
  <c r="K82" i="2"/>
  <c r="J82" i="2"/>
  <c r="I82" i="2"/>
  <c r="H82" i="2"/>
  <c r="G82" i="2"/>
  <c r="F82" i="2"/>
  <c r="E82" i="2"/>
  <c r="D82" i="2"/>
  <c r="C82" i="2"/>
  <c r="B82" i="2"/>
  <c r="A82" i="2"/>
  <c r="AJ81" i="2"/>
  <c r="AH81" i="2"/>
  <c r="AF81" i="2"/>
  <c r="AE81" i="2"/>
  <c r="AD81" i="2"/>
  <c r="Z81" i="2"/>
  <c r="Y81" i="2"/>
  <c r="X81" i="2"/>
  <c r="W81" i="2"/>
  <c r="V81" i="2"/>
  <c r="U81" i="2"/>
  <c r="T81" i="2"/>
  <c r="S81" i="2"/>
  <c r="R81" i="2"/>
  <c r="Q81" i="2"/>
  <c r="P81" i="2"/>
  <c r="O81" i="2"/>
  <c r="N81" i="2"/>
  <c r="M81" i="2"/>
  <c r="L81" i="2"/>
  <c r="K81" i="2"/>
  <c r="J81" i="2"/>
  <c r="I81" i="2"/>
  <c r="H81" i="2"/>
  <c r="G81" i="2"/>
  <c r="F81" i="2"/>
  <c r="E81" i="2"/>
  <c r="D81" i="2"/>
  <c r="C81" i="2"/>
  <c r="B81" i="2"/>
  <c r="A81" i="2"/>
  <c r="AJ80" i="2"/>
  <c r="AH80" i="2"/>
  <c r="AF80" i="2"/>
  <c r="AE80" i="2"/>
  <c r="AD80" i="2"/>
  <c r="Z80" i="2"/>
  <c r="Y80" i="2"/>
  <c r="X80" i="2"/>
  <c r="W80" i="2"/>
  <c r="V80" i="2"/>
  <c r="U80" i="2"/>
  <c r="T80" i="2"/>
  <c r="S80" i="2"/>
  <c r="R80" i="2"/>
  <c r="Q80" i="2"/>
  <c r="P80" i="2"/>
  <c r="O80" i="2"/>
  <c r="N80" i="2"/>
  <c r="M80" i="2"/>
  <c r="L80" i="2"/>
  <c r="K80" i="2"/>
  <c r="J80" i="2"/>
  <c r="I80" i="2"/>
  <c r="H80" i="2"/>
  <c r="G80" i="2"/>
  <c r="F80" i="2"/>
  <c r="E80" i="2"/>
  <c r="D80" i="2"/>
  <c r="C80" i="2"/>
  <c r="B80" i="2"/>
  <c r="A80"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79" i="2"/>
  <c r="AJ78" i="2"/>
  <c r="AI78" i="2"/>
  <c r="AH78" i="2"/>
  <c r="AG78" i="2"/>
  <c r="AF78" i="2"/>
  <c r="AE78" i="2"/>
  <c r="AD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78" i="2"/>
  <c r="AJ77" i="2"/>
  <c r="AH77" i="2"/>
  <c r="AG77" i="2"/>
  <c r="AF77" i="2"/>
  <c r="AE77" i="2"/>
  <c r="AD77" i="2"/>
  <c r="Z77" i="2"/>
  <c r="Y77" i="2"/>
  <c r="X77" i="2"/>
  <c r="W77" i="2"/>
  <c r="V77" i="2"/>
  <c r="U77" i="2"/>
  <c r="T77" i="2"/>
  <c r="S77" i="2"/>
  <c r="R77" i="2"/>
  <c r="Q77" i="2"/>
  <c r="P77" i="2"/>
  <c r="O77" i="2"/>
  <c r="N77" i="2"/>
  <c r="M77" i="2"/>
  <c r="L77" i="2"/>
  <c r="K77" i="2"/>
  <c r="J77" i="2"/>
  <c r="I77" i="2"/>
  <c r="H77" i="2"/>
  <c r="G77" i="2"/>
  <c r="F77" i="2"/>
  <c r="E77" i="2"/>
  <c r="D77" i="2"/>
  <c r="C77" i="2"/>
  <c r="B77" i="2"/>
  <c r="A77" i="2"/>
  <c r="AJ76" i="2"/>
  <c r="AI76" i="2"/>
  <c r="AH76" i="2"/>
  <c r="AG76" i="2"/>
  <c r="AF76" i="2"/>
  <c r="AE76" i="2"/>
  <c r="AD76" i="2"/>
  <c r="AC76" i="2"/>
  <c r="AB76" i="2"/>
  <c r="Z76" i="2"/>
  <c r="Y76" i="2"/>
  <c r="X76" i="2"/>
  <c r="W76" i="2"/>
  <c r="V76" i="2"/>
  <c r="U76" i="2"/>
  <c r="T76" i="2"/>
  <c r="S76" i="2"/>
  <c r="R76" i="2"/>
  <c r="Q76" i="2"/>
  <c r="P76" i="2"/>
  <c r="O76" i="2"/>
  <c r="N76" i="2"/>
  <c r="M76" i="2"/>
  <c r="L76" i="2"/>
  <c r="K76" i="2"/>
  <c r="J76" i="2"/>
  <c r="I76" i="2"/>
  <c r="H76" i="2"/>
  <c r="G76" i="2"/>
  <c r="F76" i="2"/>
  <c r="E76" i="2"/>
  <c r="D76" i="2"/>
  <c r="C76" i="2"/>
  <c r="B76" i="2"/>
  <c r="A76"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75" i="2"/>
  <c r="AJ74" i="2"/>
  <c r="AH74" i="2"/>
  <c r="AG74" i="2"/>
  <c r="AF74" i="2"/>
  <c r="AE74" i="2"/>
  <c r="AD74" i="2"/>
  <c r="Z74" i="2"/>
  <c r="Y74" i="2"/>
  <c r="X74" i="2"/>
  <c r="W74" i="2"/>
  <c r="V74" i="2"/>
  <c r="U74" i="2"/>
  <c r="T74" i="2"/>
  <c r="S74" i="2"/>
  <c r="R74" i="2"/>
  <c r="Q74" i="2"/>
  <c r="P74" i="2"/>
  <c r="O74" i="2"/>
  <c r="N74" i="2"/>
  <c r="M74" i="2"/>
  <c r="L74" i="2"/>
  <c r="K74" i="2"/>
  <c r="J74" i="2"/>
  <c r="I74" i="2"/>
  <c r="H74" i="2"/>
  <c r="G74" i="2"/>
  <c r="F74" i="2"/>
  <c r="E74" i="2"/>
  <c r="D74" i="2"/>
  <c r="C74" i="2"/>
  <c r="B74" i="2"/>
  <c r="A74" i="2"/>
  <c r="AJ73" i="2"/>
  <c r="AH73" i="2"/>
  <c r="AG73" i="2"/>
  <c r="AF73" i="2"/>
  <c r="AE73" i="2"/>
  <c r="AD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73" i="2"/>
  <c r="AJ72" i="2"/>
  <c r="AH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72" i="2"/>
  <c r="AJ71" i="2"/>
  <c r="AH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71" i="2"/>
  <c r="AJ70" i="2"/>
  <c r="AH70" i="2"/>
  <c r="AG70" i="2"/>
  <c r="AF70" i="2"/>
  <c r="AE70" i="2"/>
  <c r="AD70" i="2"/>
  <c r="AC70" i="2"/>
  <c r="Z70" i="2"/>
  <c r="Y70" i="2"/>
  <c r="X70" i="2"/>
  <c r="T70" i="2"/>
  <c r="S70" i="2"/>
  <c r="R70" i="2"/>
  <c r="Q70" i="2"/>
  <c r="P70" i="2"/>
  <c r="O70" i="2"/>
  <c r="N70" i="2"/>
  <c r="M70" i="2"/>
  <c r="L70" i="2"/>
  <c r="K70" i="2"/>
  <c r="J70" i="2"/>
  <c r="I70" i="2"/>
  <c r="H70" i="2"/>
  <c r="G70" i="2"/>
  <c r="F70" i="2"/>
  <c r="E70" i="2"/>
  <c r="D70" i="2"/>
  <c r="C70" i="2"/>
  <c r="B70" i="2"/>
  <c r="A70" i="2"/>
  <c r="AJ69" i="2"/>
  <c r="AH69" i="2"/>
  <c r="AG69" i="2"/>
  <c r="AF69" i="2"/>
  <c r="AE69" i="2"/>
  <c r="AD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69"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68" i="2"/>
  <c r="AJ67" i="2"/>
  <c r="AI67" i="2"/>
  <c r="AH67" i="2"/>
  <c r="AF67" i="2"/>
  <c r="AE67" i="2"/>
  <c r="AD67" i="2"/>
  <c r="AB67" i="2"/>
  <c r="Z67" i="2"/>
  <c r="Y67" i="2"/>
  <c r="X67" i="2"/>
  <c r="W67" i="2"/>
  <c r="V67" i="2"/>
  <c r="U67" i="2"/>
  <c r="T67" i="2"/>
  <c r="S67" i="2"/>
  <c r="R67" i="2"/>
  <c r="Q67" i="2"/>
  <c r="P67" i="2"/>
  <c r="O67" i="2"/>
  <c r="N67" i="2"/>
  <c r="M67" i="2"/>
  <c r="L67" i="2"/>
  <c r="K67" i="2"/>
  <c r="J67" i="2"/>
  <c r="I67" i="2"/>
  <c r="H67" i="2"/>
  <c r="G67" i="2"/>
  <c r="F67" i="2"/>
  <c r="E67" i="2"/>
  <c r="D67" i="2"/>
  <c r="C67" i="2"/>
  <c r="B67" i="2"/>
  <c r="A67" i="2"/>
  <c r="AJ66" i="2"/>
  <c r="AH66" i="2"/>
  <c r="AG66" i="2"/>
  <c r="AF66" i="2"/>
  <c r="AE66" i="2"/>
  <c r="AD66" i="2"/>
  <c r="AA66" i="2"/>
  <c r="Z66" i="2"/>
  <c r="Y66" i="2"/>
  <c r="X66" i="2"/>
  <c r="W66" i="2"/>
  <c r="V66" i="2"/>
  <c r="U66" i="2"/>
  <c r="T66" i="2"/>
  <c r="S66" i="2"/>
  <c r="R66" i="2"/>
  <c r="Q66" i="2"/>
  <c r="P66" i="2"/>
  <c r="O66" i="2"/>
  <c r="N66" i="2"/>
  <c r="M66" i="2"/>
  <c r="L66" i="2"/>
  <c r="K66" i="2"/>
  <c r="J66" i="2"/>
  <c r="I66" i="2"/>
  <c r="H66" i="2"/>
  <c r="G66" i="2"/>
  <c r="F66" i="2"/>
  <c r="E66" i="2"/>
  <c r="D66" i="2"/>
  <c r="C66" i="2"/>
  <c r="B66" i="2"/>
  <c r="A66" i="2"/>
  <c r="AJ65" i="2"/>
  <c r="AH65" i="2"/>
  <c r="AG65" i="2"/>
  <c r="AF65" i="2"/>
  <c r="AE65" i="2"/>
  <c r="AD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65" i="2"/>
  <c r="AJ64" i="2"/>
  <c r="AH64" i="2"/>
  <c r="AF64" i="2"/>
  <c r="AE64" i="2"/>
  <c r="AD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64" i="2"/>
  <c r="AJ63" i="2"/>
  <c r="AI63" i="2"/>
  <c r="AH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63" i="2"/>
  <c r="AJ62" i="2"/>
  <c r="AH62" i="2"/>
  <c r="AG62" i="2"/>
  <c r="AF62" i="2"/>
  <c r="AE62" i="2"/>
  <c r="AD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62" i="2"/>
  <c r="AJ61" i="2"/>
  <c r="AH61" i="2"/>
  <c r="AF61" i="2"/>
  <c r="AE61" i="2"/>
  <c r="AD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61" i="2"/>
  <c r="AJ60" i="2"/>
  <c r="AH60" i="2"/>
  <c r="AG60" i="2"/>
  <c r="AF60" i="2"/>
  <c r="AE60" i="2"/>
  <c r="AD60" i="2"/>
  <c r="AA60" i="2"/>
  <c r="Z60" i="2"/>
  <c r="Y60" i="2"/>
  <c r="X60" i="2"/>
  <c r="W60" i="2"/>
  <c r="V60" i="2"/>
  <c r="U60" i="2"/>
  <c r="T60" i="2"/>
  <c r="S60" i="2"/>
  <c r="R60" i="2"/>
  <c r="Q60" i="2"/>
  <c r="P60" i="2"/>
  <c r="O60" i="2"/>
  <c r="N60" i="2"/>
  <c r="M60" i="2"/>
  <c r="L60" i="2"/>
  <c r="K60" i="2"/>
  <c r="J60" i="2"/>
  <c r="I60" i="2"/>
  <c r="H60" i="2"/>
  <c r="G60" i="2"/>
  <c r="F60" i="2"/>
  <c r="E60" i="2"/>
  <c r="D60" i="2"/>
  <c r="C60" i="2"/>
  <c r="B60" i="2"/>
  <c r="A60" i="2"/>
  <c r="AJ59" i="2"/>
  <c r="AH59" i="2"/>
  <c r="AG59" i="2"/>
  <c r="AF59" i="2"/>
  <c r="AE59" i="2"/>
  <c r="AD59" i="2"/>
  <c r="AA59" i="2"/>
  <c r="Z59" i="2"/>
  <c r="Y59" i="2"/>
  <c r="X59" i="2"/>
  <c r="W59" i="2"/>
  <c r="V59" i="2"/>
  <c r="U59" i="2"/>
  <c r="T59" i="2"/>
  <c r="S59" i="2"/>
  <c r="R59" i="2"/>
  <c r="Q59" i="2"/>
  <c r="P59" i="2"/>
  <c r="O59" i="2"/>
  <c r="N59" i="2"/>
  <c r="M59" i="2"/>
  <c r="L59" i="2"/>
  <c r="K59" i="2"/>
  <c r="J59" i="2"/>
  <c r="I59" i="2"/>
  <c r="H59" i="2"/>
  <c r="G59" i="2"/>
  <c r="F59" i="2"/>
  <c r="E59" i="2"/>
  <c r="D59" i="2"/>
  <c r="C59" i="2"/>
  <c r="B59" i="2"/>
  <c r="A59"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58" i="2"/>
  <c r="AJ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57" i="2"/>
  <c r="AJ56" i="2"/>
  <c r="AI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56" i="2"/>
  <c r="AJ55" i="2"/>
  <c r="AH55" i="2"/>
  <c r="AF55" i="2"/>
  <c r="AE55" i="2"/>
  <c r="AD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55" i="2"/>
  <c r="AJ54" i="2"/>
  <c r="AH54" i="2"/>
  <c r="AF54" i="2"/>
  <c r="AE54" i="2"/>
  <c r="AD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54" i="2"/>
  <c r="AJ53" i="2"/>
  <c r="AH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53" i="2"/>
  <c r="AJ52" i="2"/>
  <c r="AH52" i="2"/>
  <c r="AG52" i="2"/>
  <c r="AF52" i="2"/>
  <c r="AE52" i="2"/>
  <c r="AD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52" i="2"/>
  <c r="AJ51" i="2"/>
  <c r="AH51" i="2"/>
  <c r="AF51" i="2"/>
  <c r="AE51" i="2"/>
  <c r="AD51" i="2"/>
  <c r="AC51" i="2"/>
  <c r="AB51" i="2"/>
  <c r="Z51" i="2"/>
  <c r="Y51" i="2"/>
  <c r="X51" i="2"/>
  <c r="W51" i="2"/>
  <c r="V51" i="2"/>
  <c r="U51" i="2"/>
  <c r="T51" i="2"/>
  <c r="S51" i="2"/>
  <c r="R51" i="2"/>
  <c r="Q51" i="2"/>
  <c r="P51" i="2"/>
  <c r="O51" i="2"/>
  <c r="N51" i="2"/>
  <c r="M51" i="2"/>
  <c r="L51" i="2"/>
  <c r="K51" i="2"/>
  <c r="J51" i="2"/>
  <c r="I51" i="2"/>
  <c r="H51" i="2"/>
  <c r="G51" i="2"/>
  <c r="F51" i="2"/>
  <c r="E51" i="2"/>
  <c r="D51" i="2"/>
  <c r="C51" i="2"/>
  <c r="B51" i="2"/>
  <c r="A51" i="2"/>
  <c r="AJ50" i="2"/>
  <c r="AI50" i="2"/>
  <c r="AH50" i="2"/>
  <c r="AF50" i="2"/>
  <c r="AE50" i="2"/>
  <c r="AD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50" i="2"/>
  <c r="AJ49" i="2"/>
  <c r="AH49" i="2"/>
  <c r="AG49" i="2"/>
  <c r="AF49" i="2"/>
  <c r="AE49" i="2"/>
  <c r="AD49" i="2"/>
  <c r="AC49" i="2"/>
  <c r="AB49" i="2"/>
  <c r="Z49" i="2"/>
  <c r="Y49" i="2"/>
  <c r="X49" i="2"/>
  <c r="W49" i="2"/>
  <c r="V49" i="2"/>
  <c r="U49" i="2"/>
  <c r="T49" i="2"/>
  <c r="S49" i="2"/>
  <c r="R49" i="2"/>
  <c r="Q49" i="2"/>
  <c r="P49" i="2"/>
  <c r="O49" i="2"/>
  <c r="N49" i="2"/>
  <c r="M49" i="2"/>
  <c r="L49" i="2"/>
  <c r="K49" i="2"/>
  <c r="J49" i="2"/>
  <c r="I49" i="2"/>
  <c r="H49" i="2"/>
  <c r="G49" i="2"/>
  <c r="F49" i="2"/>
  <c r="E49" i="2"/>
  <c r="D49" i="2"/>
  <c r="C49" i="2"/>
  <c r="B49" i="2"/>
  <c r="A49" i="2"/>
  <c r="AJ48" i="2"/>
  <c r="AH48" i="2"/>
  <c r="AG48" i="2"/>
  <c r="AF48" i="2"/>
  <c r="AE48" i="2"/>
  <c r="AD48" i="2"/>
  <c r="AB48" i="2"/>
  <c r="Z48" i="2"/>
  <c r="Y48" i="2"/>
  <c r="X48" i="2"/>
  <c r="W48" i="2"/>
  <c r="V48" i="2"/>
  <c r="U48" i="2"/>
  <c r="T48" i="2"/>
  <c r="S48" i="2"/>
  <c r="R48" i="2"/>
  <c r="Q48" i="2"/>
  <c r="P48" i="2"/>
  <c r="O48" i="2"/>
  <c r="N48" i="2"/>
  <c r="M48" i="2"/>
  <c r="L48" i="2"/>
  <c r="K48" i="2"/>
  <c r="J48" i="2"/>
  <c r="I48" i="2"/>
  <c r="H48" i="2"/>
  <c r="G48" i="2"/>
  <c r="F48" i="2"/>
  <c r="E48" i="2"/>
  <c r="D48" i="2"/>
  <c r="C48" i="2"/>
  <c r="B48" i="2"/>
  <c r="A48" i="2"/>
  <c r="AJ47" i="2"/>
  <c r="AH47" i="2"/>
  <c r="AG47" i="2"/>
  <c r="AF47" i="2"/>
  <c r="AE47" i="2"/>
  <c r="AD47" i="2"/>
  <c r="AB47" i="2"/>
  <c r="Z47" i="2"/>
  <c r="Y47" i="2"/>
  <c r="X47" i="2"/>
  <c r="W47" i="2"/>
  <c r="V47" i="2"/>
  <c r="U47" i="2"/>
  <c r="T47" i="2"/>
  <c r="S47" i="2"/>
  <c r="R47" i="2"/>
  <c r="Q47" i="2"/>
  <c r="P47" i="2"/>
  <c r="O47" i="2"/>
  <c r="N47" i="2"/>
  <c r="M47" i="2"/>
  <c r="L47" i="2"/>
  <c r="K47" i="2"/>
  <c r="J47" i="2"/>
  <c r="I47" i="2"/>
  <c r="H47" i="2"/>
  <c r="G47" i="2"/>
  <c r="F47" i="2"/>
  <c r="E47" i="2"/>
  <c r="D47" i="2"/>
  <c r="C47" i="2"/>
  <c r="B47" i="2"/>
  <c r="A47" i="2"/>
  <c r="AJ46" i="2"/>
  <c r="AI46" i="2"/>
  <c r="AH46" i="2"/>
  <c r="AF46" i="2"/>
  <c r="AE46" i="2"/>
  <c r="AD46" i="2"/>
  <c r="Z46" i="2"/>
  <c r="Y46" i="2"/>
  <c r="X46" i="2"/>
  <c r="W46" i="2"/>
  <c r="V46" i="2"/>
  <c r="U46" i="2"/>
  <c r="T46" i="2"/>
  <c r="S46" i="2"/>
  <c r="R46" i="2"/>
  <c r="Q46" i="2"/>
  <c r="P46" i="2"/>
  <c r="O46" i="2"/>
  <c r="N46" i="2"/>
  <c r="M46" i="2"/>
  <c r="L46" i="2"/>
  <c r="K46" i="2"/>
  <c r="J46" i="2"/>
  <c r="I46" i="2"/>
  <c r="H46" i="2"/>
  <c r="G46" i="2"/>
  <c r="F46" i="2"/>
  <c r="E46" i="2"/>
  <c r="D46" i="2"/>
  <c r="C46" i="2"/>
  <c r="B46" i="2"/>
  <c r="A46" i="2"/>
  <c r="AJ45" i="2"/>
  <c r="AH45" i="2"/>
  <c r="AF45" i="2"/>
  <c r="AE45" i="2"/>
  <c r="AD45" i="2"/>
  <c r="Z45" i="2"/>
  <c r="Y45" i="2"/>
  <c r="X45" i="2"/>
  <c r="W45" i="2"/>
  <c r="V45" i="2"/>
  <c r="U45" i="2"/>
  <c r="T45" i="2"/>
  <c r="S45" i="2"/>
  <c r="R45" i="2"/>
  <c r="Q45" i="2"/>
  <c r="P45" i="2"/>
  <c r="O45" i="2"/>
  <c r="N45" i="2"/>
  <c r="M45" i="2"/>
  <c r="L45" i="2"/>
  <c r="K45" i="2"/>
  <c r="J45" i="2"/>
  <c r="I45" i="2"/>
  <c r="H45" i="2"/>
  <c r="G45" i="2"/>
  <c r="F45" i="2"/>
  <c r="E45" i="2"/>
  <c r="D45" i="2"/>
  <c r="C45" i="2"/>
  <c r="B45" i="2"/>
  <c r="A45" i="2"/>
  <c r="AJ44" i="2"/>
  <c r="AH44" i="2"/>
  <c r="AF44" i="2"/>
  <c r="AE44" i="2"/>
  <c r="AD44" i="2"/>
  <c r="AB44" i="2"/>
  <c r="Z44" i="2"/>
  <c r="Y44" i="2"/>
  <c r="X44" i="2"/>
  <c r="W44" i="2"/>
  <c r="V44" i="2"/>
  <c r="U44" i="2"/>
  <c r="T44" i="2"/>
  <c r="S44" i="2"/>
  <c r="R44" i="2"/>
  <c r="Q44" i="2"/>
  <c r="P44" i="2"/>
  <c r="O44" i="2"/>
  <c r="N44" i="2"/>
  <c r="M44" i="2"/>
  <c r="L44" i="2"/>
  <c r="K44" i="2"/>
  <c r="J44" i="2"/>
  <c r="I44" i="2"/>
  <c r="H44" i="2"/>
  <c r="G44" i="2"/>
  <c r="F44" i="2"/>
  <c r="E44" i="2"/>
  <c r="D44" i="2"/>
  <c r="C44" i="2"/>
  <c r="B44" i="2"/>
  <c r="A44" i="2"/>
  <c r="AJ43" i="2"/>
  <c r="AI43" i="2"/>
  <c r="AH43" i="2"/>
  <c r="AF43" i="2"/>
  <c r="AE43" i="2"/>
  <c r="AD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43"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42" i="2"/>
  <c r="AJ41" i="2"/>
  <c r="AG41" i="2"/>
  <c r="AF41" i="2"/>
  <c r="AE41" i="2"/>
  <c r="AD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41" i="2"/>
  <c r="AJ40" i="2"/>
  <c r="AI40" i="2"/>
  <c r="AH40" i="2"/>
  <c r="AF40" i="2"/>
  <c r="AE40" i="2"/>
  <c r="AD40" i="2"/>
  <c r="AC40" i="2"/>
  <c r="AB40" i="2"/>
  <c r="Z40" i="2"/>
  <c r="Y40" i="2"/>
  <c r="X40" i="2"/>
  <c r="W40" i="2"/>
  <c r="V40" i="2"/>
  <c r="U40" i="2"/>
  <c r="T40" i="2"/>
  <c r="S40" i="2"/>
  <c r="R40" i="2"/>
  <c r="Q40" i="2"/>
  <c r="P40" i="2"/>
  <c r="O40" i="2"/>
  <c r="N40" i="2"/>
  <c r="M40" i="2"/>
  <c r="L40" i="2"/>
  <c r="K40" i="2"/>
  <c r="J40" i="2"/>
  <c r="I40" i="2"/>
  <c r="H40" i="2"/>
  <c r="G40" i="2"/>
  <c r="F40" i="2"/>
  <c r="E40" i="2"/>
  <c r="D40" i="2"/>
  <c r="C40" i="2"/>
  <c r="B40" i="2"/>
  <c r="A40" i="2"/>
  <c r="AJ39" i="2"/>
  <c r="AI39" i="2"/>
  <c r="AH39" i="2"/>
  <c r="AG39" i="2"/>
  <c r="AF39" i="2"/>
  <c r="AE39" i="2"/>
  <c r="AD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39"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38" i="2"/>
  <c r="AJ37" i="2"/>
  <c r="AI37" i="2"/>
  <c r="AH37" i="2"/>
  <c r="AG37" i="2"/>
  <c r="AF37" i="2"/>
  <c r="AE37" i="2"/>
  <c r="AD37" i="2"/>
  <c r="Z37" i="2"/>
  <c r="Y37" i="2"/>
  <c r="X37" i="2"/>
  <c r="W37" i="2"/>
  <c r="V37" i="2"/>
  <c r="U37" i="2"/>
  <c r="T37" i="2"/>
  <c r="S37" i="2"/>
  <c r="R37" i="2"/>
  <c r="Q37" i="2"/>
  <c r="P37" i="2"/>
  <c r="O37" i="2"/>
  <c r="N37" i="2"/>
  <c r="M37" i="2"/>
  <c r="L37" i="2"/>
  <c r="K37" i="2"/>
  <c r="J37" i="2"/>
  <c r="I37" i="2"/>
  <c r="H37" i="2"/>
  <c r="G37" i="2"/>
  <c r="F37" i="2"/>
  <c r="E37" i="2"/>
  <c r="D37" i="2"/>
  <c r="C37" i="2"/>
  <c r="B37" i="2"/>
  <c r="A37" i="2"/>
  <c r="AJ36" i="2"/>
  <c r="AH36" i="2"/>
  <c r="AF36" i="2"/>
  <c r="AE36" i="2"/>
  <c r="AD36" i="2"/>
  <c r="AB36" i="2"/>
  <c r="Z36" i="2"/>
  <c r="Y36" i="2"/>
  <c r="X36" i="2"/>
  <c r="W36" i="2"/>
  <c r="V36" i="2"/>
  <c r="U36" i="2"/>
  <c r="T36" i="2"/>
  <c r="S36" i="2"/>
  <c r="R36" i="2"/>
  <c r="Q36" i="2"/>
  <c r="P36" i="2"/>
  <c r="O36" i="2"/>
  <c r="N36" i="2"/>
  <c r="M36" i="2"/>
  <c r="L36" i="2"/>
  <c r="K36" i="2"/>
  <c r="J36" i="2"/>
  <c r="I36" i="2"/>
  <c r="H36" i="2"/>
  <c r="G36" i="2"/>
  <c r="F36" i="2"/>
  <c r="E36" i="2"/>
  <c r="D36" i="2"/>
  <c r="C36" i="2"/>
  <c r="B36" i="2"/>
  <c r="A36" i="2"/>
  <c r="AJ35" i="2"/>
  <c r="AH35" i="2"/>
  <c r="AG35" i="2"/>
  <c r="AF35" i="2"/>
  <c r="AE35" i="2"/>
  <c r="AD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35"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AJ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AJ30" i="2"/>
  <c r="AI30" i="2"/>
  <c r="AH30" i="2"/>
  <c r="AG30" i="2"/>
  <c r="AF30" i="2"/>
  <c r="AE30" i="2"/>
  <c r="AD30" i="2"/>
  <c r="AC30" i="2"/>
  <c r="AB30" i="2"/>
  <c r="Z30" i="2"/>
  <c r="Y30" i="2"/>
  <c r="X30" i="2"/>
  <c r="W30" i="2"/>
  <c r="V30" i="2"/>
  <c r="U30" i="2"/>
  <c r="T30" i="2"/>
  <c r="S30" i="2"/>
  <c r="R30" i="2"/>
  <c r="Q30" i="2"/>
  <c r="P30" i="2"/>
  <c r="O30" i="2"/>
  <c r="N30" i="2"/>
  <c r="M30" i="2"/>
  <c r="L30" i="2"/>
  <c r="K30" i="2"/>
  <c r="J30" i="2"/>
  <c r="I30" i="2"/>
  <c r="H30" i="2"/>
  <c r="G30" i="2"/>
  <c r="F30" i="2"/>
  <c r="E30" i="2"/>
  <c r="D30" i="2"/>
  <c r="C30" i="2"/>
  <c r="B30" i="2"/>
  <c r="A30" i="2"/>
  <c r="AJ29" i="2"/>
  <c r="AH29" i="2"/>
  <c r="AG29" i="2"/>
  <c r="AF29" i="2"/>
  <c r="AE29" i="2"/>
  <c r="AD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AJ28" i="2"/>
  <c r="AH28" i="2"/>
  <c r="AG28" i="2"/>
  <c r="AF28" i="2"/>
  <c r="AE28" i="2"/>
  <c r="AD28" i="2"/>
  <c r="AC28" i="2"/>
  <c r="AB28" i="2"/>
  <c r="Z28" i="2"/>
  <c r="Y28" i="2"/>
  <c r="X28" i="2"/>
  <c r="W28" i="2"/>
  <c r="V28" i="2"/>
  <c r="U28" i="2"/>
  <c r="T28" i="2"/>
  <c r="S28" i="2"/>
  <c r="R28" i="2"/>
  <c r="Q28" i="2"/>
  <c r="P28" i="2"/>
  <c r="O28" i="2"/>
  <c r="N28" i="2"/>
  <c r="M28" i="2"/>
  <c r="L28" i="2"/>
  <c r="K28" i="2"/>
  <c r="J28" i="2"/>
  <c r="I28" i="2"/>
  <c r="H28" i="2"/>
  <c r="G28" i="2"/>
  <c r="F28" i="2"/>
  <c r="E28" i="2"/>
  <c r="D28" i="2"/>
  <c r="C28" i="2"/>
  <c r="B28" i="2"/>
  <c r="A28"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26" i="2"/>
  <c r="AJ25" i="2"/>
  <c r="AH25" i="2"/>
  <c r="AG25" i="2"/>
  <c r="AF25" i="2"/>
  <c r="AE25" i="2"/>
  <c r="AD25" i="2"/>
  <c r="AB25" i="2"/>
  <c r="Z25" i="2"/>
  <c r="Y25" i="2"/>
  <c r="X25" i="2"/>
  <c r="W25" i="2"/>
  <c r="V25" i="2"/>
  <c r="U25" i="2"/>
  <c r="T25" i="2"/>
  <c r="S25" i="2"/>
  <c r="R25" i="2"/>
  <c r="Q25" i="2"/>
  <c r="P25" i="2"/>
  <c r="O25" i="2"/>
  <c r="N25" i="2"/>
  <c r="M25" i="2"/>
  <c r="L25" i="2"/>
  <c r="K25" i="2"/>
  <c r="J25" i="2"/>
  <c r="I25" i="2"/>
  <c r="H25" i="2"/>
  <c r="G25" i="2"/>
  <c r="F25" i="2"/>
  <c r="E25" i="2"/>
  <c r="D25" i="2"/>
  <c r="C25" i="2"/>
  <c r="B25" i="2"/>
  <c r="A25" i="2"/>
  <c r="AJ24" i="2"/>
  <c r="AH24" i="2"/>
  <c r="AG24" i="2"/>
  <c r="AF24" i="2"/>
  <c r="AE24" i="2"/>
  <c r="AD24" i="2"/>
  <c r="AB24" i="2"/>
  <c r="Z24" i="2"/>
  <c r="Y24" i="2"/>
  <c r="X24" i="2"/>
  <c r="W24" i="2"/>
  <c r="V24" i="2"/>
  <c r="U24" i="2"/>
  <c r="T24" i="2"/>
  <c r="S24" i="2"/>
  <c r="R24" i="2"/>
  <c r="Q24" i="2"/>
  <c r="P24" i="2"/>
  <c r="O24" i="2"/>
  <c r="N24" i="2"/>
  <c r="M24" i="2"/>
  <c r="L24" i="2"/>
  <c r="K24" i="2"/>
  <c r="J24" i="2"/>
  <c r="I24" i="2"/>
  <c r="H24" i="2"/>
  <c r="G24" i="2"/>
  <c r="F24" i="2"/>
  <c r="E24" i="2"/>
  <c r="D24" i="2"/>
  <c r="C24" i="2"/>
  <c r="B24" i="2"/>
  <c r="A24" i="2"/>
  <c r="AJ23" i="2"/>
  <c r="AH23" i="2"/>
  <c r="AG23" i="2"/>
  <c r="AF23" i="2"/>
  <c r="AE23" i="2"/>
  <c r="AD23" i="2"/>
  <c r="AC23" i="2"/>
  <c r="AB23" i="2"/>
  <c r="Z23" i="2"/>
  <c r="Y23" i="2"/>
  <c r="X23" i="2"/>
  <c r="W23" i="2"/>
  <c r="V23" i="2"/>
  <c r="U23" i="2"/>
  <c r="T23" i="2"/>
  <c r="S23" i="2"/>
  <c r="R23" i="2"/>
  <c r="Q23" i="2"/>
  <c r="P23" i="2"/>
  <c r="O23" i="2"/>
  <c r="N23" i="2"/>
  <c r="M23" i="2"/>
  <c r="L23" i="2"/>
  <c r="K23" i="2"/>
  <c r="J23" i="2"/>
  <c r="I23" i="2"/>
  <c r="H23" i="2"/>
  <c r="G23" i="2"/>
  <c r="F23" i="2"/>
  <c r="E23" i="2"/>
  <c r="D23" i="2"/>
  <c r="C23" i="2"/>
  <c r="B23" i="2"/>
  <c r="A23"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22" i="2"/>
  <c r="AJ21" i="2"/>
  <c r="AH21" i="2"/>
  <c r="AG21" i="2"/>
  <c r="AF21" i="2"/>
  <c r="AE21" i="2"/>
  <c r="AD21" i="2"/>
  <c r="AC21" i="2"/>
  <c r="AB21" i="2"/>
  <c r="Z21" i="2"/>
  <c r="Y21" i="2"/>
  <c r="X21" i="2"/>
  <c r="W21" i="2"/>
  <c r="V21" i="2"/>
  <c r="U21" i="2"/>
  <c r="T21" i="2"/>
  <c r="S21" i="2"/>
  <c r="R21" i="2"/>
  <c r="Q21" i="2"/>
  <c r="P21" i="2"/>
  <c r="O21" i="2"/>
  <c r="N21" i="2"/>
  <c r="M21" i="2"/>
  <c r="L21" i="2"/>
  <c r="K21" i="2"/>
  <c r="J21" i="2"/>
  <c r="I21" i="2"/>
  <c r="H21" i="2"/>
  <c r="G21" i="2"/>
  <c r="F21" i="2"/>
  <c r="E21" i="2"/>
  <c r="D21" i="2"/>
  <c r="C21" i="2"/>
  <c r="B21" i="2"/>
  <c r="A21"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20"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19"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18"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17" i="2"/>
  <c r="AJ16" i="2"/>
  <c r="AI16" i="2"/>
  <c r="AH16" i="2"/>
  <c r="AG16" i="2"/>
  <c r="AF16" i="2"/>
  <c r="AE16" i="2"/>
  <c r="AD16" i="2"/>
  <c r="AC16" i="2"/>
  <c r="Z16" i="2"/>
  <c r="Y16" i="2"/>
  <c r="X16" i="2"/>
  <c r="W16" i="2"/>
  <c r="V16" i="2"/>
  <c r="U16" i="2"/>
  <c r="T16" i="2"/>
  <c r="S16" i="2"/>
  <c r="R16" i="2"/>
  <c r="Q16" i="2"/>
  <c r="P16" i="2"/>
  <c r="O16" i="2"/>
  <c r="N16" i="2"/>
  <c r="M16" i="2"/>
  <c r="L16" i="2"/>
  <c r="K16" i="2"/>
  <c r="J16" i="2"/>
  <c r="I16" i="2"/>
  <c r="H16" i="2"/>
  <c r="G16" i="2"/>
  <c r="F16" i="2"/>
  <c r="E16" i="2"/>
  <c r="D16" i="2"/>
  <c r="C16" i="2"/>
  <c r="B16" i="2"/>
  <c r="A16" i="2"/>
  <c r="AJ15" i="2"/>
  <c r="AH15" i="2"/>
  <c r="AG15" i="2"/>
  <c r="AF15" i="2"/>
  <c r="AE15" i="2"/>
  <c r="AD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15" i="2"/>
  <c r="AJ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14" i="2"/>
  <c r="AJ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3"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12"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11" i="2"/>
  <c r="AJ10" i="2"/>
  <c r="AF10" i="2"/>
  <c r="AE10" i="2"/>
  <c r="AD10" i="2"/>
  <c r="Z10" i="2"/>
  <c r="Y10" i="2"/>
  <c r="X10" i="2"/>
  <c r="W10" i="2"/>
  <c r="V10" i="2"/>
  <c r="U10" i="2"/>
  <c r="T10" i="2"/>
  <c r="S10" i="2"/>
  <c r="R10" i="2"/>
  <c r="Q10" i="2"/>
  <c r="P10" i="2"/>
  <c r="O10" i="2"/>
  <c r="N10" i="2"/>
  <c r="M10" i="2"/>
  <c r="L10" i="2"/>
  <c r="K10" i="2"/>
  <c r="J10" i="2"/>
  <c r="I10" i="2"/>
  <c r="H10" i="2"/>
  <c r="G10" i="2"/>
  <c r="F10" i="2"/>
  <c r="E10" i="2"/>
  <c r="D10" i="2"/>
  <c r="C10" i="2"/>
  <c r="B10" i="2"/>
  <c r="A10" i="2"/>
  <c r="AJ9" i="2"/>
  <c r="AH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A9"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8" i="2"/>
  <c r="AJ7" i="2"/>
  <c r="AH7" i="2"/>
  <c r="AG7" i="2"/>
  <c r="AF7" i="2"/>
  <c r="AE7" i="2"/>
  <c r="AD7" i="2"/>
  <c r="AC7" i="2"/>
  <c r="AB7" i="2"/>
  <c r="Z7" i="2"/>
  <c r="Y7" i="2"/>
  <c r="X7" i="2"/>
  <c r="W7" i="2"/>
  <c r="V7" i="2"/>
  <c r="U7" i="2"/>
  <c r="T7" i="2"/>
  <c r="S7" i="2"/>
  <c r="R7" i="2"/>
  <c r="Q7" i="2"/>
  <c r="P7" i="2"/>
  <c r="O7" i="2"/>
  <c r="N7" i="2"/>
  <c r="M7" i="2"/>
  <c r="L7" i="2"/>
  <c r="K7" i="2"/>
  <c r="J7" i="2"/>
  <c r="I7" i="2"/>
  <c r="H7" i="2"/>
  <c r="G7" i="2"/>
  <c r="F7" i="2"/>
  <c r="E7" i="2"/>
  <c r="D7" i="2"/>
  <c r="C7" i="2"/>
  <c r="B7" i="2"/>
  <c r="A7"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6" i="2"/>
  <c r="AJ5" i="2"/>
  <c r="AH5" i="2"/>
  <c r="AG5" i="2"/>
  <c r="AF5" i="2"/>
  <c r="AE5" i="2"/>
  <c r="AD5" i="2"/>
  <c r="AC5" i="2"/>
  <c r="AB5" i="2"/>
  <c r="Z5" i="2"/>
  <c r="Y5" i="2"/>
  <c r="X5" i="2"/>
  <c r="W5" i="2"/>
  <c r="V5" i="2"/>
  <c r="U5" i="2"/>
  <c r="T5" i="2"/>
  <c r="S5" i="2"/>
  <c r="R5" i="2"/>
  <c r="Q5" i="2"/>
  <c r="P5" i="2"/>
  <c r="O5" i="2"/>
  <c r="N5" i="2"/>
  <c r="M5" i="2"/>
  <c r="L5" i="2"/>
  <c r="K5" i="2"/>
  <c r="J5" i="2"/>
  <c r="I5" i="2"/>
  <c r="H5" i="2"/>
  <c r="G5" i="2"/>
  <c r="F5" i="2"/>
  <c r="E5" i="2"/>
  <c r="D5" i="2"/>
  <c r="C5" i="2"/>
  <c r="B5" i="2"/>
  <c r="A5"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4" i="2"/>
  <c r="AJ3" i="2"/>
  <c r="AI3" i="2"/>
  <c r="AH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3" i="2"/>
  <c r="AJ2" i="2"/>
  <c r="AI2" i="2"/>
  <c r="AH2" i="2"/>
  <c r="AG2" i="2"/>
  <c r="AF2" i="2"/>
  <c r="AE2" i="2"/>
  <c r="AD2" i="2"/>
  <c r="AC2" i="2"/>
  <c r="AB2" i="2"/>
  <c r="Z2" i="2"/>
  <c r="Y2" i="2"/>
  <c r="X2" i="2"/>
  <c r="W2" i="2"/>
  <c r="V2" i="2"/>
  <c r="U2" i="2"/>
  <c r="T2" i="2"/>
  <c r="S2" i="2"/>
  <c r="R2" i="2"/>
  <c r="Q2" i="2"/>
  <c r="P2" i="2"/>
  <c r="O2" i="2"/>
  <c r="N2" i="2"/>
  <c r="M2" i="2"/>
  <c r="L2" i="2"/>
  <c r="K2" i="2"/>
  <c r="J2" i="2"/>
  <c r="I2" i="2"/>
  <c r="H2" i="2"/>
  <c r="G2" i="2"/>
  <c r="F2" i="2"/>
  <c r="E2" i="2"/>
  <c r="D2" i="2"/>
  <c r="C2" i="2"/>
  <c r="B2" i="2"/>
  <c r="A2"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A17" i="1"/>
  <c r="A16" i="1"/>
  <c r="A15" i="1"/>
  <c r="A14" i="1"/>
  <c r="A13" i="1"/>
  <c r="A12" i="1"/>
  <c r="A10" i="1"/>
  <c r="A8" i="1"/>
  <c r="A7" i="1"/>
  <c r="A6" i="1"/>
  <c r="A4" i="1"/>
  <c r="A2"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7">
    <font>
      <sz val="10"/>
      <color rgb="FF000000"/>
      <name val="Arial"/>
      <scheme val="minor"/>
    </font>
    <font>
      <sz val="11"/>
      <color rgb="FF000000"/>
      <name val="Inconsolata"/>
    </font>
    <font>
      <sz val="10"/>
      <color theme="1"/>
      <name val="Arial"/>
      <scheme val="minor"/>
    </font>
    <font>
      <u/>
      <sz val="10"/>
      <color rgb="FF0000FF"/>
      <name val="Arial"/>
    </font>
    <font>
      <b/>
      <sz val="12"/>
      <color rgb="FF202124"/>
      <name val="&quot;Google Sans&quot;"/>
    </font>
    <font>
      <b/>
      <sz val="10"/>
      <color theme="1"/>
      <name val="Arial"/>
      <scheme val="minor"/>
    </font>
    <font>
      <u/>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2" fillId="3" borderId="0" xfId="0" applyFont="1" applyFill="1" applyAlignment="1">
      <alignment wrapText="1"/>
    </xf>
    <xf numFmtId="0" fontId="2" fillId="0" borderId="0" xfId="0" applyFont="1"/>
    <xf numFmtId="0" fontId="4" fillId="2" borderId="0" xfId="0" applyFont="1" applyFill="1"/>
    <xf numFmtId="0" fontId="5" fillId="0" borderId="0" xfId="0" applyFont="1"/>
    <xf numFmtId="14" fontId="2" fillId="0" borderId="0" xfId="0" applyNumberFormat="1" applyFont="1"/>
    <xf numFmtId="0" fontId="6" fillId="0" borderId="0" xfId="0" applyFont="1"/>
    <xf numFmtId="18" fontId="2" fillId="0" borderId="0" xfId="0" applyNumberFormat="1" applyFont="1"/>
    <xf numFmtId="164" fontId="2" fillId="0" borderId="0" xfId="0" applyNumberFormat="1" applyFont="1"/>
    <xf numFmtId="0" fontId="1" fillId="2" borderId="0" xfId="0" applyFont="1" applyFill="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12ssdb.org/methodology-1"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kfvs12.com/2023/03/01/marion-ill-police-investigating-after-students-believed-be-shot-with-airsoft-pellets/" TargetMode="External"/><Relationship Id="rId170" Type="http://schemas.openxmlformats.org/officeDocument/2006/relationships/hyperlink" Target="https://www.mi-reporter.com/news/island-police-investigating-possible-pellet-gun-shooting-on-school-playfield/" TargetMode="External"/><Relationship Id="rId268" Type="http://schemas.openxmlformats.org/officeDocument/2006/relationships/hyperlink" Target="https://newschannel20.com/news/local/man-elementary-school-window-shot-by-bb-gun" TargetMode="External"/><Relationship Id="rId475" Type="http://schemas.openxmlformats.org/officeDocument/2006/relationships/hyperlink" Target="http://www.arkansasonline.com/news/2016/jan/14/student-accidentally-shot-outside-high-school-ouac/" TargetMode="External"/><Relationship Id="rId682" Type="http://schemas.openxmlformats.org/officeDocument/2006/relationships/hyperlink" Target="https://www.newspapers.com/image/106551825/?terms=Oxford%2BHigh%2BSchool%2BHawkins%2Bshot" TargetMode="External"/><Relationship Id="rId128" Type="http://schemas.openxmlformats.org/officeDocument/2006/relationships/hyperlink" Target="https://foxbaltimore.com/news/local/15-year-old-boy-grazed-in-head-by-bullet-in-west-baltimore-wednesday-evening" TargetMode="External"/><Relationship Id="rId335" Type="http://schemas.openxmlformats.org/officeDocument/2006/relationships/hyperlink" Target="https://www.mlive.com/news/muskegon/index.ssf/2018/11/man_suspected_of_shooting_out.html" TargetMode="External"/><Relationship Id="rId542" Type="http://schemas.openxmlformats.org/officeDocument/2006/relationships/hyperlink" Target="https://www.journalnow.com/news/local/update--year-old-charged-in-shooting-at-carver/article_247ee7d0-11a4-11e3-b183-001a4bcf6878.html" TargetMode="External"/><Relationship Id="rId987" Type="http://schemas.openxmlformats.org/officeDocument/2006/relationships/hyperlink" Target="https://www.newspapers.com/image/177465085" TargetMode="External"/><Relationship Id="rId1172" Type="http://schemas.openxmlformats.org/officeDocument/2006/relationships/hyperlink" Target="https://www.newspapers.com/image/437154147/?terms=jim%2BScherny" TargetMode="External"/><Relationship Id="rId402" Type="http://schemas.openxmlformats.org/officeDocument/2006/relationships/hyperlink" Target="https://www.heraldnet.com/news/police-say-they-shot-up-the-school-then-bragged-about-it/" TargetMode="External"/><Relationship Id="rId847" Type="http://schemas.openxmlformats.org/officeDocument/2006/relationships/hyperlink" Target="http://community.seattletimes.nwsource.com/archive/?date=20010308&amp;slug=kent08m0" TargetMode="External"/><Relationship Id="rId1032" Type="http://schemas.openxmlformats.org/officeDocument/2006/relationships/hyperlink" Target="https://www.newspapers.com/image/?spot=18344924&amp;fcfToken=536773687944775732446a58364954534665376d633843482b323739555a426a2f504561364e734836595337333573763434484338504843556571516b5a3172417a344c2b66306a4762733d" TargetMode="External"/><Relationship Id="rId707" Type="http://schemas.openxmlformats.org/officeDocument/2006/relationships/hyperlink" Target="http://www.thereporter.com/article/zz/20060124/NEWS/601249925" TargetMode="External"/><Relationship Id="rId914" Type="http://schemas.openxmlformats.org/officeDocument/2006/relationships/hyperlink" Target="http://www.psychceu.com/school_violence/savd.pdf" TargetMode="External"/><Relationship Id="rId43" Type="http://schemas.openxmlformats.org/officeDocument/2006/relationships/hyperlink" Target="https://www.wusa9.com/article/news/crime/shooting-causes-school-lockdowns-dc/65-cc671c95-fcfc-4932-bcc1-5cf1a27b3033" TargetMode="External"/><Relationship Id="rId192" Type="http://schemas.openxmlformats.org/officeDocument/2006/relationships/hyperlink" Target="https://www.fox5dc.com/news/man-found-with-gun-at-gaithersburg-high-school-is-second-incident-in-montgomery-county-this-month" TargetMode="External"/><Relationship Id="rId497" Type="http://schemas.openxmlformats.org/officeDocument/2006/relationships/hyperlink" Target="http://archive.jsonline.com/news/crime/milwaukee-man-charged-in-wisconsin-lutheran-high-school-shooting-b99431381z1-289512441.html/" TargetMode="External"/><Relationship Id="rId357" Type="http://schemas.openxmlformats.org/officeDocument/2006/relationships/hyperlink" Target="https://www.nbcphiladelphia.com/news/local/Towne-Point-Elementary-School-Dover-Deadly-Shooting-491979251.html" TargetMode="External"/><Relationship Id="rId1194" Type="http://schemas.openxmlformats.org/officeDocument/2006/relationships/hyperlink" Target="https://www.newspapers.com/image/178054448/?terms=school%2Bshooting" TargetMode="External"/><Relationship Id="rId217" Type="http://schemas.openxmlformats.org/officeDocument/2006/relationships/hyperlink" Target="https://decaturish.com/2021/09/argument-outside-toomer-elementary-leads-to-shots-fired-temporary-lockdown/" TargetMode="External"/><Relationship Id="rId564" Type="http://schemas.openxmlformats.org/officeDocument/2006/relationships/hyperlink" Target="https://921wlhr.com/banks-county-hs-students-mourn-loss-of-two-classmates/" TargetMode="External"/><Relationship Id="rId771" Type="http://schemas.openxmlformats.org/officeDocument/2006/relationships/hyperlink" Target="https://www.upi.com/Distraught-teen-kills-himself-at-school/59631097364281/" TargetMode="External"/><Relationship Id="rId869" Type="http://schemas.openxmlformats.org/officeDocument/2006/relationships/hyperlink" Target="https://www.cbsnews.com/news/boy-charged-in-school-gun-scare/" TargetMode="External"/><Relationship Id="rId424" Type="http://schemas.openxmlformats.org/officeDocument/2006/relationships/hyperlink" Target="http://www.dispatch.com/news/20170912/counselor-describes-how-he-defused-columbus-scioto-school-shooter" TargetMode="External"/><Relationship Id="rId631" Type="http://schemas.openxmlformats.org/officeDocument/2006/relationships/hyperlink" Target="https://www.newspapers.com/image/243658015/?terms=student%2Bshot" TargetMode="External"/><Relationship Id="rId729" Type="http://schemas.openxmlformats.org/officeDocument/2006/relationships/hyperlink" Target="http://articles.chicagotribune.com/2005-09-14/news/0509140261_1_student-chicago-public-schools-initial-fight" TargetMode="External"/><Relationship Id="rId1054" Type="http://schemas.openxmlformats.org/officeDocument/2006/relationships/hyperlink" Target="https://www.newspapers.com/image/388885712/?terms=martin%2Bluther%2Bking%2Bhigh%2Bschool" TargetMode="External"/><Relationship Id="rId1261" Type="http://schemas.openxmlformats.org/officeDocument/2006/relationships/hyperlink" Target="https://www.newspapers.com/image/133686805/?terms=STUDENT%2BSHOT" TargetMode="External"/><Relationship Id="rId936" Type="http://schemas.openxmlformats.org/officeDocument/2006/relationships/hyperlink" Target="https://www.publicsource.org/most-of-pennsylvanias-juvenile-lifers-are-still-awaiting-their-new-day-in-court/" TargetMode="External"/><Relationship Id="rId1121" Type="http://schemas.openxmlformats.org/officeDocument/2006/relationships/hyperlink" Target="https://www.newspapers.com/image/439511158/?terms=sharpstown%2Bhigh%2Bschool%2Bteacher" TargetMode="External"/><Relationship Id="rId1219" Type="http://schemas.openxmlformats.org/officeDocument/2006/relationships/hyperlink" Target="https://www.newspapers.com/image/43183929/?terms=school%2Bshooting" TargetMode="External"/><Relationship Id="rId65" Type="http://schemas.openxmlformats.org/officeDocument/2006/relationships/hyperlink" Target="https://www.clickondetroit.com/news/local/2023/01/04/man-killed-in-shooting-outside-trix-academy-on-detroits-east-side/" TargetMode="External"/><Relationship Id="rId281" Type="http://schemas.openxmlformats.org/officeDocument/2006/relationships/hyperlink" Target="https://abc11.com/nc-man-shoots-at-couple-after-mistaking-them-for-russian-mafia-/6196277/" TargetMode="External"/><Relationship Id="rId141" Type="http://schemas.openxmlformats.org/officeDocument/2006/relationships/hyperlink" Target="https://hudsonvalleypost.com/hudson-valley-man-fatally-shot-outside-new-york-school-poughkeepsie-dutchess-county/" TargetMode="External"/><Relationship Id="rId379" Type="http://schemas.openxmlformats.org/officeDocument/2006/relationships/hyperlink" Target="http://www.kansascity.com/news/local/crime/article208770464.html" TargetMode="External"/><Relationship Id="rId586" Type="http://schemas.openxmlformats.org/officeDocument/2006/relationships/hyperlink" Target="http://www.wsaw.com/home/headlines/44225502.html" TargetMode="External"/><Relationship Id="rId793" Type="http://schemas.openxmlformats.org/officeDocument/2006/relationships/hyperlink" Target="https://www.newspapers.com/image/225032236/?terms=Colonia%2BHigh%2BSchool%2Bhandgun" TargetMode="External"/><Relationship Id="rId7" Type="http://schemas.openxmlformats.org/officeDocument/2006/relationships/hyperlink" Target="https://abc7ny.com/nyc-crime-bronx-16-year-old-shot-mott-haven/12964197/" TargetMode="External"/><Relationship Id="rId239" Type="http://schemas.openxmlformats.org/officeDocument/2006/relationships/hyperlink" Target="https://chicago.cbslocal.com/2021/08/14/15-year-old-boy-shot-near-elementary-school-calumet-heights/" TargetMode="External"/><Relationship Id="rId446" Type="http://schemas.openxmlformats.org/officeDocument/2006/relationships/hyperlink" Target="http://www.mlive.com/news/bay-city/index.ssf/2016/12/deputy_who_fired_gun_in_school.html" TargetMode="External"/><Relationship Id="rId653" Type="http://schemas.openxmlformats.org/officeDocument/2006/relationships/hyperlink" Target="https://www.columbine-angels.com/School_Violence_2006-2007.htm" TargetMode="External"/><Relationship Id="rId1076" Type="http://schemas.openxmlformats.org/officeDocument/2006/relationships/hyperlink" Target="https://www.newspapers.com/image/203093088/?terms=roger%2Bjoe%2Bedward%2Bjenkins" TargetMode="External"/><Relationship Id="rId1283" Type="http://schemas.openxmlformats.org/officeDocument/2006/relationships/hyperlink" Target="https://www.newspapers.com/image/190388672/?terms=school%2Bshooting" TargetMode="External"/><Relationship Id="rId306" Type="http://schemas.openxmlformats.org/officeDocument/2006/relationships/hyperlink" Target="https://www.wnct.com/news/2-arrested-in-connection-to-a-shooting-at-a-kinston-football-game/" TargetMode="External"/><Relationship Id="rId860" Type="http://schemas.openxmlformats.org/officeDocument/2006/relationships/hyperlink" Target="https://www.newspapers.com/image/195721847/?terms=shooting%2Bhomecoming%2BMinneapolis" TargetMode="External"/><Relationship Id="rId958" Type="http://schemas.openxmlformats.org/officeDocument/2006/relationships/hyperlink" Target="https://www.newspapers.com/image/89590422/?terms=%22shot%20high%20school%20football%22&amp;match=1" TargetMode="External"/><Relationship Id="rId1143" Type="http://schemas.openxmlformats.org/officeDocument/2006/relationships/hyperlink" Target="https://www.newspapers.com/image/397000389/?terms=student%2Bshot" TargetMode="External"/><Relationship Id="rId87" Type="http://schemas.openxmlformats.org/officeDocument/2006/relationships/hyperlink" Target="https://www.palmbeachpost.com/story/sports/high-school/2022/11/12/parking-lot-shooting-halts-high-school-football-playoff-game-orlando/10687560002/" TargetMode="External"/><Relationship Id="rId513" Type="http://schemas.openxmlformats.org/officeDocument/2006/relationships/hyperlink" Target="http://www.newsofmillcreek.com/content/weekend-shooting-horizon-elementary-school" TargetMode="External"/><Relationship Id="rId720" Type="http://schemas.openxmlformats.org/officeDocument/2006/relationships/hyperlink" Target="http://www.kxii.com/home/headlines/1978757.html" TargetMode="External"/><Relationship Id="rId818" Type="http://schemas.openxmlformats.org/officeDocument/2006/relationships/hyperlink" Target="https://www.newspapers.com/image/362208049/?terms=Olive%2BHill%2Bschool%2Bhostage" TargetMode="External"/><Relationship Id="rId1003" Type="http://schemas.openxmlformats.org/officeDocument/2006/relationships/hyperlink" Target="https://www.nytimes.com/1991/10/09/nyregion/a-bronx-youth-is-shot-to-death-outside-a-school.html" TargetMode="External"/><Relationship Id="rId1210" Type="http://schemas.openxmlformats.org/officeDocument/2006/relationships/hyperlink" Target="https://www.newspapers.com/image/112439487/?terms=school%2Bshooting" TargetMode="External"/><Relationship Id="rId1308" Type="http://schemas.openxmlformats.org/officeDocument/2006/relationships/hyperlink" Target="https://www.newspapers.com/image/156467116/?terms=school%2Bshooting" TargetMode="External"/><Relationship Id="rId14" Type="http://schemas.openxmlformats.org/officeDocument/2006/relationships/hyperlink" Target="https://www.wvnstv.com/news/crime/summers-county-crime/man-arrested-after-shots-fired-near-elementary-school-in-summers-county/" TargetMode="External"/><Relationship Id="rId163" Type="http://schemas.openxmlformats.org/officeDocument/2006/relationships/hyperlink" Target="https://www.wndu.com/2022/04/27/investigation-underway-after-student-shoots-school-bus-window-with-bb-gun/" TargetMode="External"/><Relationship Id="rId370" Type="http://schemas.openxmlformats.org/officeDocument/2006/relationships/hyperlink" Target="http://katu.com/news/local/police-man-found-shot-killed-on-se-portland-grant-high-school-track" TargetMode="External"/><Relationship Id="rId230" Type="http://schemas.openxmlformats.org/officeDocument/2006/relationships/hyperlink" Target="https://www.wmar2news.com/news/local-news/police-investigating-shots-fired-in-owings-mills-monday-afternoon" TargetMode="External"/><Relationship Id="rId468" Type="http://schemas.openxmlformats.org/officeDocument/2006/relationships/hyperlink" Target="http://www.kktv.com/home/headlines/PD-East-High-School-Staff-Hurt-In-Drive-By-Shooting-Near-School-378173411.html" TargetMode="External"/><Relationship Id="rId675" Type="http://schemas.openxmlformats.org/officeDocument/2006/relationships/hyperlink" Target="https://www.chron.com/news/houston-texas/article/Katy-student-shoots-himself-at-high-school-1862524.php" TargetMode="External"/><Relationship Id="rId882" Type="http://schemas.openxmlformats.org/officeDocument/2006/relationships/hyperlink" Target="https://www.sfgate.com/bayarea/article/San-Jose-Boy-16-Fatally-Shoots-Himself-at-High-2909269.php" TargetMode="External"/><Relationship Id="rId1098" Type="http://schemas.openxmlformats.org/officeDocument/2006/relationships/hyperlink" Target="https://www.newspapers.com/image/292865629/?terms=Southern%2BHills%2BJoint%2BVocational%2BHigh%2BSchool%2Bshooting" TargetMode="External"/><Relationship Id="rId328" Type="http://schemas.openxmlformats.org/officeDocument/2006/relationships/hyperlink" Target="https://fox2now.com/2019/01/18/gunfire-exchanged-in-hazelwood-east-parking-lot/" TargetMode="External"/><Relationship Id="rId535" Type="http://schemas.openxmlformats.org/officeDocument/2006/relationships/hyperlink" Target="https://whotv.com/2013/11/01/schools-closed-body-found-at-algona-school/" TargetMode="External"/><Relationship Id="rId742" Type="http://schemas.openxmlformats.org/officeDocument/2006/relationships/hyperlink" Target="http://www.freerepublic.com/focus/news/1404328/posts" TargetMode="External"/><Relationship Id="rId1165" Type="http://schemas.openxmlformats.org/officeDocument/2006/relationships/hyperlink" Target="https://www.upi.com/Archives/1981/01/21/A-science-teacher-was-shot-and-wounded-Wednesday-by/6947348901200/" TargetMode="External"/><Relationship Id="rId602" Type="http://schemas.openxmlformats.org/officeDocument/2006/relationships/hyperlink" Target="https://www.greensboro.com/news/a-playground-fight-turned-deadly/article_0aadff61-c881-5944-99d3-e81ee3468277.html" TargetMode="External"/><Relationship Id="rId1025" Type="http://schemas.openxmlformats.org/officeDocument/2006/relationships/hyperlink" Target="https://news.google.com/newspapers?nid=1310&amp;dat=19900521&amp;id=wcJWAAAAIBAJ&amp;sjid=0eoDAAAAIBAJ&amp;pg=6655,5338612," TargetMode="External"/><Relationship Id="rId1232" Type="http://schemas.openxmlformats.org/officeDocument/2006/relationships/hyperlink" Target="https://www.newspapers.com/image/405249949/?terms=NICHOLAS%2BSUTTLES%2BTEACHER" TargetMode="External"/><Relationship Id="rId907" Type="http://schemas.openxmlformats.org/officeDocument/2006/relationships/hyperlink" Target="https://m.lasvegassun.com/news/1997/feb/21/rival-gangs-blamed-in-rancho-shooting/" TargetMode="External"/><Relationship Id="rId36" Type="http://schemas.openxmlformats.org/officeDocument/2006/relationships/hyperlink" Target="https://abc7amarillo.com/news/local/dalhart-isd-police-identify-student-killed-in-accidental-shooting-in-school-parking-lot-preston-ralston-dalhart-texas-gun-crime-accidental-discharge" TargetMode="External"/><Relationship Id="rId185" Type="http://schemas.openxmlformats.org/officeDocument/2006/relationships/hyperlink" Target="https://www.wusa9.com/article/news/local/dc/police-man-injured-shooting-parking-lot-dc-charter-school/65-f3074dfc-06a1-49b2-9051-45f4b25befdb" TargetMode="External"/><Relationship Id="rId392" Type="http://schemas.openxmlformats.org/officeDocument/2006/relationships/hyperlink" Target="https://abc7ny.com/teen-in-custody-after-shot-fired-inside-bronx-high-school/3054112/" TargetMode="External"/><Relationship Id="rId697" Type="http://schemas.openxmlformats.org/officeDocument/2006/relationships/hyperlink" Target="https://www.chron.com/news/houston-texas/article/Two-cut-by-glass-after-HISD-bus-shot-1908192.php" TargetMode="External"/><Relationship Id="rId252" Type="http://schemas.openxmlformats.org/officeDocument/2006/relationships/hyperlink" Target="https://www.newson6.com/story/600ba2d50247a70bc6e22b8a/parent-accidentally-shoots-themself-while-picking-up-student-at-grove-lower-elementary" TargetMode="External"/><Relationship Id="rId1187" Type="http://schemas.openxmlformats.org/officeDocument/2006/relationships/hyperlink" Target="https://www.newspapers.com/image/407944749/?terms=school%2Bshooting" TargetMode="External"/><Relationship Id="rId112" Type="http://schemas.openxmlformats.org/officeDocument/2006/relationships/hyperlink" Target="https://www.wafb.com/2022/09/28/teen-fires-shots-into-car-br-private-school/" TargetMode="External"/><Relationship Id="rId557" Type="http://schemas.openxmlformats.org/officeDocument/2006/relationships/hyperlink" Target="https://www.cbsnews.com/news/police-teen-shot-by-fellow-student-at-ga-school/" TargetMode="External"/><Relationship Id="rId764" Type="http://schemas.openxmlformats.org/officeDocument/2006/relationships/hyperlink" Target="http://www.wtoc.com/story/2578224/gunman-sought-in-battery-creek-high-shooting" TargetMode="External"/><Relationship Id="rId971" Type="http://schemas.openxmlformats.org/officeDocument/2006/relationships/hyperlink" Target="https://www.newspapers.com/image/752371201/?terms=shot%20at%20school&amp;match=1" TargetMode="External"/><Relationship Id="rId417" Type="http://schemas.openxmlformats.org/officeDocument/2006/relationships/hyperlink" Target="https://www.wtol.com/article/text/news/police-shots-fired-in-parking-lot-area-of-start-high-school/512-4f7360d6-2e3f-434a-a6e6-0067351b41f4" TargetMode="External"/><Relationship Id="rId624" Type="http://schemas.openxmlformats.org/officeDocument/2006/relationships/hyperlink" Target="https://www.ktbs.com/news/student-found-shot-at-madison-high/article_0cdc830b-bca1-5acc-857b-e08b04bff7b2.html" TargetMode="External"/><Relationship Id="rId831" Type="http://schemas.openxmlformats.org/officeDocument/2006/relationships/hyperlink" Target="https://www.newspapers.com/image/434313780/?terms=thomas%2Bmcadams%2Barrested" TargetMode="External"/><Relationship Id="rId1047" Type="http://schemas.openxmlformats.org/officeDocument/2006/relationships/hyperlink" Target="https://www.newspapers.com/image/229988989/?terms=J.%2BE.%2BB.%2BStuart%2BJunior%2BHigh%2BSchool%2Bbus%2Bshooting" TargetMode="External"/><Relationship Id="rId1254" Type="http://schemas.openxmlformats.org/officeDocument/2006/relationships/hyperlink" Target="https://www.newspapers.com/image/94426366/?terms=school%2Bshooting" TargetMode="External"/><Relationship Id="rId929" Type="http://schemas.openxmlformats.org/officeDocument/2006/relationships/hyperlink" Target="https://www.orlandosentinel.com/news/os-xpm-1994-12-09-9412080916-story.html" TargetMode="External"/><Relationship Id="rId1114" Type="http://schemas.openxmlformats.org/officeDocument/2006/relationships/hyperlink" Target="https://www.newspapers.com/image/99155324/?terms=student%2Bshot" TargetMode="External"/><Relationship Id="rId58" Type="http://schemas.openxmlformats.org/officeDocument/2006/relationships/hyperlink" Target="https://www.news5cleveland.com/news/local-news/cleveland-metro/john-adams-high-school-closes-wednesday-after-student-shot-killed-at-bus-stop-tuesday" TargetMode="External"/><Relationship Id="rId274" Type="http://schemas.openxmlformats.org/officeDocument/2006/relationships/hyperlink" Target="https://www.10tv.com/article/news/local/no-one-hurt-when-columbus-city-schools-bus-shot-in-northeast-columbus/530-16a8f216-efe8-4e7a-922d-4a9ba1c21493" TargetMode="External"/><Relationship Id="rId481" Type="http://schemas.openxmlformats.org/officeDocument/2006/relationships/hyperlink" Target="http://news4sanantonio.com/news/local/deputies-arrest-wagner-high-school-shooting-suspect" TargetMode="External"/><Relationship Id="rId134" Type="http://schemas.openxmlformats.org/officeDocument/2006/relationships/hyperlink" Target="https://www.wusa9.com/article/news/local/dc/northeast-dc-double-shooting-near-idea-charter-school/65-5f5a72d3-526e-4e68-9e6d-e7cd9194384f" TargetMode="External"/><Relationship Id="rId579" Type="http://schemas.openxmlformats.org/officeDocument/2006/relationships/hyperlink" Target="https://journalstar.com/news/state-and-regional/nebraska/the-millard-south-shooting-timeline/article_ef16c15d-c67e-54b5-b4fa-0742edc6085d.html" TargetMode="External"/><Relationship Id="rId786" Type="http://schemas.openxmlformats.org/officeDocument/2006/relationships/hyperlink" Target="http://www.foxnews.com/story/2006/03/16/two-guilty-in-slaying-philadelphia-boy.html" TargetMode="External"/><Relationship Id="rId993" Type="http://schemas.openxmlformats.org/officeDocument/2006/relationships/hyperlink" Target="https://www.nytimes.com/1992/02/27/nyregion/2-teen-agers-shot-to-death-in-a-brooklyn-school.html" TargetMode="External"/><Relationship Id="rId341" Type="http://schemas.openxmlformats.org/officeDocument/2006/relationships/hyperlink" Target="https://www.wxyz.com/news/detroit-police-confirm-shooting-on-cody-high-school-property" TargetMode="External"/><Relationship Id="rId439" Type="http://schemas.openxmlformats.org/officeDocument/2006/relationships/hyperlink" Target="https://www.cnn.com/2017/04/10/us/san-bernardino-school-shooting/index.html" TargetMode="External"/><Relationship Id="rId646" Type="http://schemas.openxmlformats.org/officeDocument/2006/relationships/hyperlink" Target="http://articles.chicagotribune.com/2007-04-12/news/0704110994_1_school-shooting-city-school-leaders-schools-chief-arne-duncan" TargetMode="External"/><Relationship Id="rId1069" Type="http://schemas.openxmlformats.org/officeDocument/2006/relationships/hyperlink" Target="http://articles.chicagotribune.com/1987-09-30/news/8703130825_1_second-floor-classroom-shooting-smoking-on-school-grounds" TargetMode="External"/><Relationship Id="rId1276" Type="http://schemas.openxmlformats.org/officeDocument/2006/relationships/hyperlink" Target="https://www.newspapers.com/image/377430624/?terms=husband%2Bkills%2Bteacher" TargetMode="External"/><Relationship Id="rId201" Type="http://schemas.openxmlformats.org/officeDocument/2006/relationships/hyperlink" Target="https://www.chicagotribune.com/suburbs/daily-southtown/ct-sta-thornton-high-school-shots-fired-st-1125-20211124-23o46c2tavacvn4g6agtukzej4-story.html" TargetMode="External"/><Relationship Id="rId506" Type="http://schemas.openxmlformats.org/officeDocument/2006/relationships/hyperlink" Target="http://www.wdrb.com/story/31888475/teen-sentenced-for-shooting-fern-creek-high-school-student-in-2014" TargetMode="External"/><Relationship Id="rId853" Type="http://schemas.openxmlformats.org/officeDocument/2006/relationships/hyperlink" Target="https://www.sfgate.com/news/article/Security-Review-After-Accident-Student-shot-2968986.php" TargetMode="External"/><Relationship Id="rId1136" Type="http://schemas.openxmlformats.org/officeDocument/2006/relationships/hyperlink" Target="https://www.newspapers.com/image/139911306/?terms=student%2Bshot" TargetMode="External"/><Relationship Id="rId713" Type="http://schemas.openxmlformats.org/officeDocument/2006/relationships/hyperlink" Target="https://www.cbsnews.com/news/parents-we-told-police-gun-was-fake/" TargetMode="External"/><Relationship Id="rId920" Type="http://schemas.openxmlformats.org/officeDocument/2006/relationships/hyperlink" Target="https://www.newspapers.com/image/106718796/?terms=student%2Bshot" TargetMode="External"/><Relationship Id="rId1203" Type="http://schemas.openxmlformats.org/officeDocument/2006/relationships/hyperlink" Target="https://www.newspapers.com/image/303108537/?terms=school%2Bshooting" TargetMode="External"/><Relationship Id="rId296" Type="http://schemas.openxmlformats.org/officeDocument/2006/relationships/hyperlink" Target="https://www.kcra.com/article/shooting-scare-prompts-panic-at-stockton-football-game/29745486" TargetMode="External"/><Relationship Id="rId156" Type="http://schemas.openxmlformats.org/officeDocument/2006/relationships/hyperlink" Target="https://www.insidenova.com/headlines/potomac-high-school-student-charged-after-bathroom-brandishing/article_f3fa326e-d86d-11ec-bd21-f36cea08fd4d.html" TargetMode="External"/><Relationship Id="rId363" Type="http://schemas.openxmlformats.org/officeDocument/2006/relationships/hyperlink" Target="https://foxbaltimore.com/news/local/teen-fatally-shot-in-edgewood-high-school-parking-lot" TargetMode="External"/><Relationship Id="rId570" Type="http://schemas.openxmlformats.org/officeDocument/2006/relationships/hyperlink" Target="https://www.mysanantonio.com/news/local_news/article/Deadly-day-in-Brownsville-2440652.php" TargetMode="External"/><Relationship Id="rId223" Type="http://schemas.openxmlformats.org/officeDocument/2006/relationships/hyperlink" Target="https://www.detroitnews.com/story/news/local/oakland-county/2021/09/09/2-teens-arrested-school-parking-lot-shooting-royal-oak-twp/5781664001/" TargetMode="External"/><Relationship Id="rId430" Type="http://schemas.openxmlformats.org/officeDocument/2006/relationships/hyperlink" Target="https://fox6now.com/2017/07/19/police-32-year-old-shot-multiple-times-inside-school-gym-in-milwaukee-during-basketball-game/" TargetMode="External"/><Relationship Id="rId668" Type="http://schemas.openxmlformats.org/officeDocument/2006/relationships/hyperlink" Target="http://www.foxnews.com/story/2006/12/12/teen-commits-suicide-in-hallway-pennsylvania-school.html" TargetMode="External"/><Relationship Id="rId875" Type="http://schemas.openxmlformats.org/officeDocument/2006/relationships/hyperlink" Target="https://www.newspapers.com/image/13325920/?terms=Dickinson%2BHigh%2BSchool%2Bshooting" TargetMode="External"/><Relationship Id="rId1060" Type="http://schemas.openxmlformats.org/officeDocument/2006/relationships/hyperlink" Target="https://www.newspapers.com/image/33621001/?terms=crawford%2Bcounty%2Bjoint%2Bvocational" TargetMode="External"/><Relationship Id="rId1298" Type="http://schemas.openxmlformats.org/officeDocument/2006/relationships/hyperlink" Target="https://www.newspapers.com/image/338873635/?terms=school%2Bshooting" TargetMode="External"/><Relationship Id="rId528" Type="http://schemas.openxmlformats.org/officeDocument/2006/relationships/hyperlink" Target="https://www.wgal.com/article/police-shot-fired-at-elementary-school-playground/6229898" TargetMode="External"/><Relationship Id="rId735" Type="http://schemas.openxmlformats.org/officeDocument/2006/relationships/hyperlink" Target="https://www.nytimes.com/2005/07/20/nyregion/2-men-charged-in-slaying-of-officer-at-newark-school.html" TargetMode="External"/><Relationship Id="rId942" Type="http://schemas.openxmlformats.org/officeDocument/2006/relationships/hyperlink" Target="https://www.newspapers.com/image/219396903/?terms=Kennard%2BHigh%2BSchool%2Bsuicide" TargetMode="External"/><Relationship Id="rId1158" Type="http://schemas.openxmlformats.org/officeDocument/2006/relationships/hyperlink" Target="https://www.newspapers.com/image/174012189/?terms=William%2BLongstreth%2BElementary%2BSchool%2Bshooting" TargetMode="External"/><Relationship Id="rId1018" Type="http://schemas.openxmlformats.org/officeDocument/2006/relationships/hyperlink" Target="https://www.upi.com/Archives/1990/10/29/Teenager-holds-hostages-at-high-school-for-more-than-8-hours/6921657176400/" TargetMode="External"/><Relationship Id="rId1225" Type="http://schemas.openxmlformats.org/officeDocument/2006/relationships/hyperlink" Target="https://www.newspapers.com/image/117994783/?terms=school%2Bshooting" TargetMode="External"/><Relationship Id="rId71" Type="http://schemas.openxmlformats.org/officeDocument/2006/relationships/hyperlink" Target="https://www.nbcwashington.com/news/local/suitland-high-school-on-lockdown-after-shooting-report/3228771/" TargetMode="External"/><Relationship Id="rId802" Type="http://schemas.openxmlformats.org/officeDocument/2006/relationships/hyperlink" Target="http://articles.latimes.com/2003/oct/02/local/me-shooting2" TargetMode="External"/><Relationship Id="rId29" Type="http://schemas.openxmlformats.org/officeDocument/2006/relationships/hyperlink" Target="https://www.ksla.com/2023/02/21/bullet-interrupts-high-school-softball-game/" TargetMode="External"/><Relationship Id="rId178" Type="http://schemas.openxmlformats.org/officeDocument/2006/relationships/hyperlink" Target="https://6abc.com/new-foundations-charter-high-school-bullet-classroom-philadelphia-shooting-torresdale-ave/11651217/" TargetMode="External"/><Relationship Id="rId385" Type="http://schemas.openxmlformats.org/officeDocument/2006/relationships/hyperlink" Target="http://www.alexandrianews.org/2018/05/gw-school-resource-officer-charged-after-discharge-of-weapon/" TargetMode="External"/><Relationship Id="rId592" Type="http://schemas.openxmlformats.org/officeDocument/2006/relationships/hyperlink" Target="https://www.columbine-angels.com/School_Violence_2008-2009.htm" TargetMode="External"/><Relationship Id="rId245" Type="http://schemas.openxmlformats.org/officeDocument/2006/relationships/hyperlink" Target="https://www.wgal.com/article/man-found-shot-in-columbia/36709512" TargetMode="External"/><Relationship Id="rId452" Type="http://schemas.openxmlformats.org/officeDocument/2006/relationships/hyperlink" Target="https://www.al.com/news/mobile/index.ssf/2016/10/teen_injured_in_high_school_sh.html" TargetMode="External"/><Relationship Id="rId897" Type="http://schemas.openxmlformats.org/officeDocument/2006/relationships/hyperlink" Target="http://www.cnn.com/US/9712/19/school.shooting/" TargetMode="External"/><Relationship Id="rId1082" Type="http://schemas.openxmlformats.org/officeDocument/2006/relationships/hyperlink" Target="https://www.newspapers.com/image/71348642/?terms=Benicia%2BHigh%2BSchool%2Bshooting" TargetMode="External"/><Relationship Id="rId105" Type="http://schemas.openxmlformats.org/officeDocument/2006/relationships/hyperlink" Target="https://www.amny.com/new-york/brooklyn/cops-seek-suspect-in-brooklyn-school-bus-shooting/" TargetMode="External"/><Relationship Id="rId312" Type="http://schemas.openxmlformats.org/officeDocument/2006/relationships/hyperlink" Target="https://whdh.com/news/2-charged-in-fatal-shooting-of-man-found-behind-high-school/" TargetMode="External"/><Relationship Id="rId757" Type="http://schemas.openxmlformats.org/officeDocument/2006/relationships/hyperlink" Target="http://www.pjstar.com/article/20131215/news/131219398" TargetMode="External"/><Relationship Id="rId964" Type="http://schemas.openxmlformats.org/officeDocument/2006/relationships/hyperlink" Target="https://people.com/archive/roll-call-of-the-dead-vol-39-no-23/" TargetMode="External"/><Relationship Id="rId93" Type="http://schemas.openxmlformats.org/officeDocument/2006/relationships/hyperlink" Target="https://abc7amarillo.com/news/local/amarillo-texas-amarillo-police-department-15-year-old-boy-shot-fight-avondale-school-park-avondale-elementary-school-crime" TargetMode="External"/><Relationship Id="rId617" Type="http://schemas.openxmlformats.org/officeDocument/2006/relationships/hyperlink" Target="http://www.wsfa.com/story/9234390/wsfa-12-news-update-suspect-charged-with-attempted-murder-in-prattville-shooting" TargetMode="External"/><Relationship Id="rId824" Type="http://schemas.openxmlformats.org/officeDocument/2006/relationships/hyperlink" Target="http://www.cnn.com/2002/US/Northeast/10/29/school.shooting/" TargetMode="External"/><Relationship Id="rId1247" Type="http://schemas.openxmlformats.org/officeDocument/2006/relationships/hyperlink" Target="https://www.newspapers.com/image/287719212/?terms=school%2Bshooting" TargetMode="External"/><Relationship Id="rId1107" Type="http://schemas.openxmlformats.org/officeDocument/2006/relationships/hyperlink" Target="https://www.newspapers.com/image/140853530" TargetMode="External"/><Relationship Id="rId20" Type="http://schemas.openxmlformats.org/officeDocument/2006/relationships/hyperlink" Target="https://www.montanarightnow.com/great-falls/two-boys-detained-for-shooting-a-bb-gun-towards-a-lewistown-elementary-school/article_edf116c8-b9fc-11ed-b140-ebb2cc17b0c6.html" TargetMode="External"/><Relationship Id="rId267" Type="http://schemas.openxmlformats.org/officeDocument/2006/relationships/hyperlink" Target="https://www.kwqc.com/2020/09/27/police-man-found-in-school-stairwell-and-arrested-after-shooting-friday-night/" TargetMode="External"/><Relationship Id="rId474" Type="http://schemas.openxmlformats.org/officeDocument/2006/relationships/hyperlink" Target="https://www.theindychannel.com/news/local-news/gun-goes-off-outside-northwest-community-hs" TargetMode="External"/><Relationship Id="rId127" Type="http://schemas.openxmlformats.org/officeDocument/2006/relationships/hyperlink" Target="https://www.klfy.com/local/vermilion-parish/shooting-near-j-h-middle-school-in-abbeville-under-investigation/" TargetMode="External"/><Relationship Id="rId681" Type="http://schemas.openxmlformats.org/officeDocument/2006/relationships/hyperlink" Target="https://www.columbine-angels.com/School_Violence_2006-2007.htm" TargetMode="External"/><Relationship Id="rId779" Type="http://schemas.openxmlformats.org/officeDocument/2006/relationships/hyperlink" Target="https://www.deseretnews.com/article/595065631/Man-kills-wife-self-at-West-High.html" TargetMode="External"/><Relationship Id="rId986" Type="http://schemas.openxmlformats.org/officeDocument/2006/relationships/hyperlink" Target="https://www.washingtonpost.com/archive/politics/1992/06/01/9-are-slain-in-dc-area-in-2-days/32b3c46c-27dc-45f4-9f60-14ce403dbad5/" TargetMode="External"/><Relationship Id="rId334" Type="http://schemas.openxmlformats.org/officeDocument/2006/relationships/hyperlink" Target="https://abc6onyourside.com/news/local/police-investigating-double-shooting-at-africentric-high-school" TargetMode="External"/><Relationship Id="rId541" Type="http://schemas.openxmlformats.org/officeDocument/2006/relationships/hyperlink" Target="https://www.dnainfo.com/chicago/20130927/albany-park/teen-arrested-for-shooting-student-near-roosevelt-high-school/slideshow/443194/" TargetMode="External"/><Relationship Id="rId639" Type="http://schemas.openxmlformats.org/officeDocument/2006/relationships/hyperlink" Target="https://www.columbine-angels.com/School_Violence_2006-2007.htm" TargetMode="External"/><Relationship Id="rId1171" Type="http://schemas.openxmlformats.org/officeDocument/2006/relationships/hyperlink" Target="https://www.washingtonpost.com/archive/local/1980/09/11/spingarn-high-student-fatally-shot-at-school-assembly/92b6d5ba-12ec-406d-9b40-92cbc30665c0/?utm_term=.a461da45a849" TargetMode="External"/><Relationship Id="rId1269" Type="http://schemas.openxmlformats.org/officeDocument/2006/relationships/hyperlink" Target="https://www.newspapers.com/image/227849615/?terms=husband%2Bkills%2Bteacher" TargetMode="External"/><Relationship Id="rId401" Type="http://schemas.openxmlformats.org/officeDocument/2006/relationships/hyperlink" Target="https://q13fox.com/2018/01/04/bullet-fired-into-window-at-highlines-new-start-high-school-but-no-injuries/" TargetMode="External"/><Relationship Id="rId846" Type="http://schemas.openxmlformats.org/officeDocument/2006/relationships/hyperlink" Target="http://edition.cnn.com/2001/US/03/31/school.shooting/" TargetMode="External"/><Relationship Id="rId1031" Type="http://schemas.openxmlformats.org/officeDocument/2006/relationships/hyperlink" Target="https://www.newspapers.com/image/192086573/?terms=STUDENT%2BSHOT" TargetMode="External"/><Relationship Id="rId1129" Type="http://schemas.openxmlformats.org/officeDocument/2006/relationships/hyperlink" Target="https://www.newspapers.com/image/369822289" TargetMode="External"/><Relationship Id="rId706" Type="http://schemas.openxmlformats.org/officeDocument/2006/relationships/hyperlink" Target="https://www.statesman.com/news/state--regional/santa-school-shooting-the-deadliest-texas-since-tower-shooting/pdX1aBkUi4kR3NUVqxdbJP/" TargetMode="External"/><Relationship Id="rId913" Type="http://schemas.openxmlformats.org/officeDocument/2006/relationships/hyperlink" Target="http://www.psychceu.com/school_violence/savd.pdf" TargetMode="External"/><Relationship Id="rId42" Type="http://schemas.openxmlformats.org/officeDocument/2006/relationships/hyperlink" Target="https://www.fox10tv.com/2023/02/01/one-vehicle-elementary-school-hit-by-bullets-after-shots-fired-nearby/" TargetMode="External"/><Relationship Id="rId191" Type="http://schemas.openxmlformats.org/officeDocument/2006/relationships/hyperlink" Target="https://www.khou.com/article/news/crime/deadly-shooting-pyburn-elementary-peppertree-lane-houston/285-c7d1292b-a102-4d22-953f-69636db73539" TargetMode="External"/><Relationship Id="rId289" Type="http://schemas.openxmlformats.org/officeDocument/2006/relationships/hyperlink" Target="https://www.wapt.com/article/australia-turns-from-defense-to-offense-in-wildfire-battle/30485441" TargetMode="External"/><Relationship Id="rId496" Type="http://schemas.openxmlformats.org/officeDocument/2006/relationships/hyperlink" Target="http://www.ocalapost.com/shooting-at-vanguard-high-injured-2/" TargetMode="External"/><Relationship Id="rId149" Type="http://schemas.openxmlformats.org/officeDocument/2006/relationships/hyperlink" Target="https://www.mercedsunstar.com/news/local/crime/article263063843.html" TargetMode="External"/><Relationship Id="rId356" Type="http://schemas.openxmlformats.org/officeDocument/2006/relationships/hyperlink" Target="https://www.woodtv.com/news/grand-rapids/shooting-outside-ottawa-hills-hs-leads-to-lockdowns/1406788527" TargetMode="External"/><Relationship Id="rId563" Type="http://schemas.openxmlformats.org/officeDocument/2006/relationships/hyperlink" Target="http://www.pantagraph.com/news/local/crime-and-courts/boy-gets-juvenile-prison-term-for-nchs-shooting/article_6ddfd6ea-85e1-11e2-aff0-0019bb2963f4.html" TargetMode="External"/><Relationship Id="rId770" Type="http://schemas.openxmlformats.org/officeDocument/2006/relationships/hyperlink" Target="https://www.sfgate.com/bayarea/article/SUNNYVALE-2-killings-at-school-bring-murder-2641374.php" TargetMode="External"/><Relationship Id="rId1193" Type="http://schemas.openxmlformats.org/officeDocument/2006/relationships/hyperlink" Target="https://www.newspapers.com/image/160873897/?terms=Adams%2BElementary%2BSchool%2Bshooting" TargetMode="External"/><Relationship Id="rId216" Type="http://schemas.openxmlformats.org/officeDocument/2006/relationships/hyperlink" Target="https://www.fox19.com/2021/09/22/middletown-school-bus-hit-with-bb-gun-fire/" TargetMode="External"/><Relationship Id="rId423" Type="http://schemas.openxmlformats.org/officeDocument/2006/relationships/hyperlink" Target="https://www.spokesman.com/stories/2022/aug/19/the-true-cost-of-evil-freeman-high-school-shooter-/" TargetMode="External"/><Relationship Id="rId868" Type="http://schemas.openxmlformats.org/officeDocument/2006/relationships/hyperlink" Target="https://www.newspapers.com/image/454563845/?terms=Hugo%2BHigh%2BSchool%2Bshooting" TargetMode="External"/><Relationship Id="rId1053" Type="http://schemas.openxmlformats.org/officeDocument/2006/relationships/hyperlink" Target="https://www.newspapers.com/image/145067165/?terms=bridget%2Bisaacs" TargetMode="External"/><Relationship Id="rId1260" Type="http://schemas.openxmlformats.org/officeDocument/2006/relationships/hyperlink" Target="https://www.newspapers.com/image/18141346/?terms=school%2Bshooting" TargetMode="External"/><Relationship Id="rId630" Type="http://schemas.openxmlformats.org/officeDocument/2006/relationships/hyperlink" Target="https://www.newspapers.com/image/282229204/?terms=markees%2Bsmith" TargetMode="External"/><Relationship Id="rId728" Type="http://schemas.openxmlformats.org/officeDocument/2006/relationships/hyperlink" Target="https://www.newspapers.com/image/442838812/?terms=SAGINAW%2BDRIVE-BY%2BSHOOTING" TargetMode="External"/><Relationship Id="rId935" Type="http://schemas.openxmlformats.org/officeDocument/2006/relationships/hyperlink" Target="http://ottumwaradio.com/coffman-get-new-sentence-1994-murder-ottumwa-high-school/" TargetMode="External"/><Relationship Id="rId64" Type="http://schemas.openxmlformats.org/officeDocument/2006/relationships/hyperlink" Target="https://abc6onyourside.com/news/local/columbus-city-schools-beechcroft-high-school-shots-fired-at-building-black-colored-suv-no-injuries-were-reported" TargetMode="External"/><Relationship Id="rId1120" Type="http://schemas.openxmlformats.org/officeDocument/2006/relationships/hyperlink" Target="https://www.newspapers.com/image/216585063/?terms=student%2Bshot" TargetMode="External"/><Relationship Id="rId1218" Type="http://schemas.openxmlformats.org/officeDocument/2006/relationships/hyperlink" Target="https://news.google.com/newspapers?id=gblHAAAAIBAJ&amp;pg=3465,1557281" TargetMode="External"/><Relationship Id="rId227" Type="http://schemas.openxmlformats.org/officeDocument/2006/relationships/hyperlink" Target="https://www.fox32chicago.com/news/gary-students-to-return-to-class-after-classmate-shot" TargetMode="External"/><Relationship Id="rId781" Type="http://schemas.openxmlformats.org/officeDocument/2006/relationships/hyperlink" Target="https://www.chron.com/news/houston-texas/article/Gunfire-but-no-injuries-at-Kashmere-High-School-1651100.php" TargetMode="External"/><Relationship Id="rId879" Type="http://schemas.openxmlformats.org/officeDocument/2006/relationships/hyperlink" Target="https://lasvegassun.com/news/1999/oct/12/security-increased-after-shooting-at-clark-high/" TargetMode="External"/><Relationship Id="rId434" Type="http://schemas.openxmlformats.org/officeDocument/2006/relationships/hyperlink" Target="http://abc3340.com/news/local/greensboro-hs-student-in-police-custody-after-shooting-at-another-student" TargetMode="External"/><Relationship Id="rId641" Type="http://schemas.openxmlformats.org/officeDocument/2006/relationships/hyperlink" Target="http://starlocalmedia.com/mesquitenews/news/arrests-made-in-west-mesquite-shooting/article_c1de2b11-1f0a-5ac7-8ea4-807789bd19bc.html" TargetMode="External"/><Relationship Id="rId739" Type="http://schemas.openxmlformats.org/officeDocument/2006/relationships/hyperlink" Target="https://www.newspapers.com/image/219341527/" TargetMode="External"/><Relationship Id="rId1064" Type="http://schemas.openxmlformats.org/officeDocument/2006/relationships/hyperlink" Target="https://www.newspapers.com/image/321411477/?terms=student%2Bshoots%2Bdean%2Bcar" TargetMode="External"/><Relationship Id="rId1271" Type="http://schemas.openxmlformats.org/officeDocument/2006/relationships/hyperlink" Target="https://www.newspapers.com/image/238598927/?terms=school%2Bshooting" TargetMode="External"/><Relationship Id="rId280" Type="http://schemas.openxmlformats.org/officeDocument/2006/relationships/hyperlink" Target="https://fox8.com/news/man-killed-in-shooting-near-miles-elementary-school-in-cleveland/" TargetMode="External"/><Relationship Id="rId501" Type="http://schemas.openxmlformats.org/officeDocument/2006/relationships/hyperlink" Target="http://www.oregonlive.com/portland/index.ssf/2015/05/teen_who_shot_four_outside_ros.html" TargetMode="External"/><Relationship Id="rId946" Type="http://schemas.openxmlformats.org/officeDocument/2006/relationships/hyperlink" Target="https://www.newspapers.com/image/175645669/?terms=New%2BBritain%2BHigh%2BSchool%2Bshooting" TargetMode="External"/><Relationship Id="rId1131" Type="http://schemas.openxmlformats.org/officeDocument/2006/relationships/hyperlink" Target="https://www.newspapers.com/image/97839646" TargetMode="External"/><Relationship Id="rId1229" Type="http://schemas.openxmlformats.org/officeDocument/2006/relationships/hyperlink" Target="https://www.newspapers.com/image/382147136/?terms=teacher%2Bshot" TargetMode="External"/><Relationship Id="rId75" Type="http://schemas.openxmlformats.org/officeDocument/2006/relationships/hyperlink" Target="https://abc7chicago.com/chicago-shooting-south-austin-west-harrison-street-michele-clark-magnet-hs/12537485/" TargetMode="External"/><Relationship Id="rId140" Type="http://schemas.openxmlformats.org/officeDocument/2006/relationships/hyperlink" Target="https://www.11alive.com/article/news/local/henry-county-high-lockdown/85-3fef23a6-d1b9-47e3-8f26-4e97e6cd9ed5" TargetMode="External"/><Relationship Id="rId378" Type="http://schemas.openxmlformats.org/officeDocument/2006/relationships/hyperlink" Target="https://www.mlive.com/news/jackson/index.ssf/2018/04/no_arrests_made_yet_after_jack.html" TargetMode="External"/><Relationship Id="rId585" Type="http://schemas.openxmlformats.org/officeDocument/2006/relationships/hyperlink" Target="https://www.wral.com/teen-charged-with-firing-handgun-at-westover-high/5885748/" TargetMode="External"/><Relationship Id="rId792" Type="http://schemas.openxmlformats.org/officeDocument/2006/relationships/hyperlink" Target="https://www.news4jax.com/news/two-brothers-arrested-for-school-lot-shooting" TargetMode="External"/><Relationship Id="rId806" Type="http://schemas.openxmlformats.org/officeDocument/2006/relationships/hyperlink" Target="https://www.vicksburgpost.com/2003/09/11/former-vhs-student-shot-dead/" TargetMode="External"/><Relationship Id="rId6" Type="http://schemas.openxmlformats.org/officeDocument/2006/relationships/hyperlink" Target="https://6abc.com/kingsessing-school-lockdown-hardy-williams-charter-warrington-avenue-shooting-philadelphia/12991741/" TargetMode="External"/><Relationship Id="rId238" Type="http://schemas.openxmlformats.org/officeDocument/2006/relationships/hyperlink" Target="https://wpde.com/news/local/school-bus-windows-shot-out-with-bb-pellet-gun-in-hartsville" TargetMode="External"/><Relationship Id="rId445" Type="http://schemas.openxmlformats.org/officeDocument/2006/relationships/hyperlink" Target="http://www.standard.net/Police-Fire/2017/02/13/Teen-accused-of-shooting-gun-in-Mueller-Park-Jr-High-pleads-guilty" TargetMode="External"/><Relationship Id="rId652" Type="http://schemas.openxmlformats.org/officeDocument/2006/relationships/hyperlink" Target="http://www.heraldbanner.com/archives/shooting-shocks-ghs/article_411a3183-9998-56eb-9c2a-ed8b1c9788c2.html" TargetMode="External"/><Relationship Id="rId1075" Type="http://schemas.openxmlformats.org/officeDocument/2006/relationships/hyperlink" Target="https://www.upi.com/Archives/1987/03/03/Death-of-unsung-hero-allows-classmates-to-escape/3177541746000/" TargetMode="External"/><Relationship Id="rId1282" Type="http://schemas.openxmlformats.org/officeDocument/2006/relationships/hyperlink" Target="https://www.newspapers.com/image/378657230/?terms=school%2Bshooting" TargetMode="External"/><Relationship Id="rId291" Type="http://schemas.openxmlformats.org/officeDocument/2006/relationships/hyperlink" Target="https://www.14news.com/2019/12/11/dispatch-police-called-evans-elem-after-gunshots-reported/" TargetMode="External"/><Relationship Id="rId305" Type="http://schemas.openxmlformats.org/officeDocument/2006/relationships/hyperlink" Target="https://www.13abc.com/content/news/Juvenile-shot-on-Central-Catholic-grounds-after-altercation-following-football-game-558889751.html" TargetMode="External"/><Relationship Id="rId512" Type="http://schemas.openxmlformats.org/officeDocument/2006/relationships/hyperlink" Target="https://www.nbcbayarea.com/news/local/Student-Shot-Kennedy-High-School-in-Richmond-on-Lockdown-259238751.html" TargetMode="External"/><Relationship Id="rId957" Type="http://schemas.openxmlformats.org/officeDocument/2006/relationships/hyperlink" Target="https://www.newspapers.com/image/241417531/?terms=Roosevelt%2BHigh%2BSchool%2Bshooting" TargetMode="External"/><Relationship Id="rId1142" Type="http://schemas.openxmlformats.org/officeDocument/2006/relationships/hyperlink" Target="http://articles.baltimoresun.com/1999-05-02/topic/9905040373_1_senti-firecracker-beneath" TargetMode="External"/><Relationship Id="rId86" Type="http://schemas.openxmlformats.org/officeDocument/2006/relationships/hyperlink" Target="https://www.kalb.com/2022/11/15/2-people-shot-near-camp-livingston-road-ball/" TargetMode="External"/><Relationship Id="rId151" Type="http://schemas.openxmlformats.org/officeDocument/2006/relationships/hyperlink" Target="https://www.q13fox.com/news/deputies-arrest-15-year-old-accused-of-firing-shots-outside-everett-high-school-causing-a-lockdown" TargetMode="External"/><Relationship Id="rId389" Type="http://schemas.openxmlformats.org/officeDocument/2006/relationships/hyperlink" Target="https://www.thenewstribune.com/news/local/crime/article202366859.html" TargetMode="External"/><Relationship Id="rId596" Type="http://schemas.openxmlformats.org/officeDocument/2006/relationships/hyperlink" Target="https://www.mlive.com/news/flint/index.ssf/2009/01/four_shot_outside_beecher_high.html" TargetMode="External"/><Relationship Id="rId817" Type="http://schemas.openxmlformats.org/officeDocument/2006/relationships/hyperlink" Target="https://www.tulsaworld.com/archives/jenks-student-yields-after-standoff/article_df79f378-452f-5400-9568-28cd4a828fdf.html" TargetMode="External"/><Relationship Id="rId1002" Type="http://schemas.openxmlformats.org/officeDocument/2006/relationships/hyperlink" Target="https://www.newspapers.com/image/191964993/?terms=Woodruff%2BHigh%2BSchool%2Bshooting" TargetMode="External"/><Relationship Id="rId249" Type="http://schemas.openxmlformats.org/officeDocument/2006/relationships/hyperlink" Target="https://www.chicagotribune.com/suburbs/post-tribune/ct-ptb-courts-riley-murder-st-0407-20210406-iuwci7kygfet5iwmiwcxasuwfa-story.html" TargetMode="External"/><Relationship Id="rId456" Type="http://schemas.openxmlformats.org/officeDocument/2006/relationships/hyperlink" Target="https://www.ydr.com/story/news/2016/09/09/shooting-reported-small-athletic-field-911-says/90154006/" TargetMode="External"/><Relationship Id="rId663" Type="http://schemas.openxmlformats.org/officeDocument/2006/relationships/hyperlink" Target="https://www.newspapers.com/image/286391925/?terms=High%2BSchool%2BDixon%2BEdwards" TargetMode="External"/><Relationship Id="rId870" Type="http://schemas.openxmlformats.org/officeDocument/2006/relationships/hyperlink" Target="http://articles.chicagotribune.com/2000-03-30/news/0003300274_1_metal-detectors-elementary-schools-west-side-school" TargetMode="External"/><Relationship Id="rId1086" Type="http://schemas.openxmlformats.org/officeDocument/2006/relationships/hyperlink" Target="https://www.upi.com/Archives/1986/05/09/A-17-year-old-student-opened-fire-with-a-pistol-in/5107515995200/" TargetMode="External"/><Relationship Id="rId1293" Type="http://schemas.openxmlformats.org/officeDocument/2006/relationships/hyperlink" Target="https://www.newspapers.com/image/179956712" TargetMode="External"/><Relationship Id="rId1307" Type="http://schemas.openxmlformats.org/officeDocument/2006/relationships/hyperlink" Target="https://www.newspapers.com/image/18059538/?terms=school%2Bshooting" TargetMode="External"/><Relationship Id="rId13" Type="http://schemas.openxmlformats.org/officeDocument/2006/relationships/hyperlink" Target="https://www.news5cleveland.com/news/local-news/1-injured-after-shooting-near-maple-heights-high-school-police-ask-for-publics-help" TargetMode="External"/><Relationship Id="rId109" Type="http://schemas.openxmlformats.org/officeDocument/2006/relationships/hyperlink" Target="https://www.witn.com/2022/10/08/student-shot-following-greenville-high-school-football-game/" TargetMode="External"/><Relationship Id="rId316" Type="http://schemas.openxmlformats.org/officeDocument/2006/relationships/hyperlink" Target="https://www.chicagotribune.com/suburbs/lake-county-news-sun/news/ct-lns-waukegan-shooting-arrests-blotter-st-0612-story.html" TargetMode="External"/><Relationship Id="rId523" Type="http://schemas.openxmlformats.org/officeDocument/2006/relationships/hyperlink" Target="http://www.kcci.com/article/police-investigate-shooting-outside-north-high-school/6888652" TargetMode="External"/><Relationship Id="rId968" Type="http://schemas.openxmlformats.org/officeDocument/2006/relationships/hyperlink" Target="https://www.highbeam.com/doc/1P2-8216829.html" TargetMode="External"/><Relationship Id="rId1153" Type="http://schemas.openxmlformats.org/officeDocument/2006/relationships/hyperlink" Target="https://www.nytimes.com/1981/12/24/nyregion/wrong-kid-is-fatally-shot-in-fight-at-brooklyn-school.html" TargetMode="External"/><Relationship Id="rId97" Type="http://schemas.openxmlformats.org/officeDocument/2006/relationships/hyperlink" Target="https://www.cbsnews.com/chicago/news/douglas-park-shooting-teen-death/" TargetMode="External"/><Relationship Id="rId730" Type="http://schemas.openxmlformats.org/officeDocument/2006/relationships/hyperlink" Target="https://www.questia.com/newspaper/1G1-136174022/student-shot-at-school-police-say-the-shooting-was" TargetMode="External"/><Relationship Id="rId828" Type="http://schemas.openxmlformats.org/officeDocument/2006/relationships/hyperlink" Target="https://www.newspapers.com/image/4986183/" TargetMode="External"/><Relationship Id="rId1013" Type="http://schemas.openxmlformats.org/officeDocument/2006/relationships/hyperlink" Target="http://articles.latimes.com/1991-04-25/news/mn-828_1_school-district" TargetMode="External"/><Relationship Id="rId162" Type="http://schemas.openxmlformats.org/officeDocument/2006/relationships/hyperlink" Target="https://triblive.com/local/westmoreland/no-one-reported-hurt-after-shot-fired-during-fight-at-mckee-stadium-in-jeannette/" TargetMode="External"/><Relationship Id="rId467" Type="http://schemas.openxmlformats.org/officeDocument/2006/relationships/hyperlink" Target="https://www.nbcwashington.com/news/local/Shooting-High-Point-High-School-378322341.html" TargetMode="External"/><Relationship Id="rId1097" Type="http://schemas.openxmlformats.org/officeDocument/2006/relationships/hyperlink" Target="http://www.apnewsarchive.com/1985/Distraught-Over-Losing-Boyfriend-Girl-Kills-Two-Then-Herself/id-075d33aa6600d2e6b30d969ba3edaf0d" TargetMode="External"/><Relationship Id="rId1220" Type="http://schemas.openxmlformats.org/officeDocument/2006/relationships/hyperlink" Target="https://www.newspapers.com/image/12568764/?terms=school%2Bshooting" TargetMode="External"/><Relationship Id="rId674" Type="http://schemas.openxmlformats.org/officeDocument/2006/relationships/hyperlink" Target="http://www.wvlt.tv/home/headlines/4542511.html" TargetMode="External"/><Relationship Id="rId881" Type="http://schemas.openxmlformats.org/officeDocument/2006/relationships/hyperlink" Target="https://www.newspapers.com/image/327236803/?terms=Lauren%2BKlingensmith" TargetMode="External"/><Relationship Id="rId979" Type="http://schemas.openxmlformats.org/officeDocument/2006/relationships/hyperlink" Target="https://www.newspapers.com/image/389807433/" TargetMode="External"/><Relationship Id="rId24" Type="http://schemas.openxmlformats.org/officeDocument/2006/relationships/hyperlink" Target="https://www.kktv.com/2023/03/01/standoff-near-pueblo-county-elementary-school-ends-with-suspect-shot/" TargetMode="External"/><Relationship Id="rId327" Type="http://schemas.openxmlformats.org/officeDocument/2006/relationships/hyperlink" Target="https://mynews4.com/news/local/2019-shooting-of-man-near-reno-high-school-by-reno-police-ruled-justified-by-washoe-da" TargetMode="External"/><Relationship Id="rId534" Type="http://schemas.openxmlformats.org/officeDocument/2006/relationships/hyperlink" Target="https://patch.com/georgia/stonemountain/stephenson-high-student-shot-at-school" TargetMode="External"/><Relationship Id="rId741" Type="http://schemas.openxmlformats.org/officeDocument/2006/relationships/hyperlink" Target="https://cumberlink.com/news/murder-suicide-shocks-school/article_f20ad9ba-ef8b-5fc1-bf1e-2507ab486715.html" TargetMode="External"/><Relationship Id="rId839" Type="http://schemas.openxmlformats.org/officeDocument/2006/relationships/hyperlink" Target="http://articles.baltimoresun.com/2001-09-21/news/0109210200_1_lake-clifton-neighborhood-dispute-inside-the-school" TargetMode="External"/><Relationship Id="rId1164" Type="http://schemas.openxmlformats.org/officeDocument/2006/relationships/hyperlink" Target="https://www.newspapers.com/image/377747566/?terms=student%2Bshot" TargetMode="External"/><Relationship Id="rId173" Type="http://schemas.openxmlformats.org/officeDocument/2006/relationships/hyperlink" Target="https://www.fox13now.com/news/local-news/utah-parent-says-tiktok-challenge-caused-son-to-be-shot-at-with-toy-gun-then-real-gun" TargetMode="External"/><Relationship Id="rId380" Type="http://schemas.openxmlformats.org/officeDocument/2006/relationships/hyperlink" Target="http://www.leaderherald.com/news/local-news/2018/04/student-shot-with-bb-gun-at-school/" TargetMode="External"/><Relationship Id="rId601" Type="http://schemas.openxmlformats.org/officeDocument/2006/relationships/hyperlink" Target="https://www.postandcourier.com/news/teen-wounded-at-summerville-high/article_e9e8740e-ac4b-54fe-bf85-d2756db7f1cc.html" TargetMode="External"/><Relationship Id="rId1024" Type="http://schemas.openxmlformats.org/officeDocument/2006/relationships/hyperlink" Target="https://www.newspapers.com/image/400340582/?terms=Myers%2BPark%2BHigh%2BSchool%2Bshooting" TargetMode="External"/><Relationship Id="rId1231" Type="http://schemas.openxmlformats.org/officeDocument/2006/relationships/hyperlink" Target="https://www.newspapers.com/image/140698558/?terms=school%2Bshooting" TargetMode="External"/><Relationship Id="rId240" Type="http://schemas.openxmlformats.org/officeDocument/2006/relationships/hyperlink" Target="https://www.pe.com/2021/08/12/early-morning-gunshot-locks-down-san-jacintos-north-mountain-middle-school/" TargetMode="External"/><Relationship Id="rId478" Type="http://schemas.openxmlformats.org/officeDocument/2006/relationships/hyperlink" Target="https://www.kait8.com/story/30492261/gun-goes-off-in-school-parking-lot-hitting-junior-high-student/" TargetMode="External"/><Relationship Id="rId685" Type="http://schemas.openxmlformats.org/officeDocument/2006/relationships/hyperlink" Target="http://www.savannahnow.com/article/20060821/NEWS/308219914" TargetMode="External"/><Relationship Id="rId892" Type="http://schemas.openxmlformats.org/officeDocument/2006/relationships/hyperlink" Target="https://www.cbsnews.com/news/2-teens-shot-at-georgia-school/" TargetMode="External"/><Relationship Id="rId906" Type="http://schemas.openxmlformats.org/officeDocument/2006/relationships/hyperlink" Target="http://www.psychceu.com/school_violence/savd.pdf" TargetMode="External"/><Relationship Id="rId35" Type="http://schemas.openxmlformats.org/officeDocument/2006/relationships/hyperlink" Target="https://co.chalkbeat.org/2023/2/13/23598844/denver-east-high-school-shooting-gun-violence-classes-canceled" TargetMode="External"/><Relationship Id="rId100" Type="http://schemas.openxmlformats.org/officeDocument/2006/relationships/hyperlink" Target="https://www.reviewjournal.com/crime/homicides/fatal-shooting-reported-outside-east-las-vegas-high-school-2659925/" TargetMode="External"/><Relationship Id="rId338" Type="http://schemas.openxmlformats.org/officeDocument/2006/relationships/hyperlink" Target="https://www.mdjonline.com/news/gun-fired-in-garrett-middle-school-bathroom-students-charged/article_3efeedb6-e481-11e8-b800-e38d6827d46f.html" TargetMode="External"/><Relationship Id="rId545" Type="http://schemas.openxmlformats.org/officeDocument/2006/relationships/hyperlink" Target="https://www.theleafchronicle.com/story/news/2017/03/10/one-familys-emotional-trial-ends-without-answers/98871314/" TargetMode="External"/><Relationship Id="rId752" Type="http://schemas.openxmlformats.org/officeDocument/2006/relationships/hyperlink" Target="https://www.columbine-angels.com/School_Violence_2004-2005.htm" TargetMode="External"/><Relationship Id="rId1175" Type="http://schemas.openxmlformats.org/officeDocument/2006/relationships/hyperlink" Target="https://www.newspapers.com/image/281071758/?terms=Capeville%2BElementary%2BSchool%2Bshooting" TargetMode="External"/><Relationship Id="rId184" Type="http://schemas.openxmlformats.org/officeDocument/2006/relationships/hyperlink" Target="https://www.nbcnews.com/news/us-news/family-man-shot-middle-school-pickup-sues-colorado-deputies-wrongful-d-rcna71678" TargetMode="External"/><Relationship Id="rId391" Type="http://schemas.openxmlformats.org/officeDocument/2006/relationships/hyperlink" Target="http://www.wsmv.com/story/37500077/14-year-old-suspect-wanted-in-shooting-outside-pearl-cohn-high-school" TargetMode="External"/><Relationship Id="rId405" Type="http://schemas.openxmlformats.org/officeDocument/2006/relationships/hyperlink" Target="http://www.wnem.com/story/37105109/breaking-police-investigate-shooting-at-beecher-high-school" TargetMode="External"/><Relationship Id="rId612" Type="http://schemas.openxmlformats.org/officeDocument/2006/relationships/hyperlink" Target="http://www.gainesville.com/news/20091210/teenage-girl-16-convicted-of-shooting-girlfriend-after-break-up" TargetMode="External"/><Relationship Id="rId1035" Type="http://schemas.openxmlformats.org/officeDocument/2006/relationships/hyperlink" Target="http://articles.latimes.com/1990-06-15/local/me-106_1_rival-gang-member" TargetMode="External"/><Relationship Id="rId1242" Type="http://schemas.openxmlformats.org/officeDocument/2006/relationships/hyperlink" Target="https://www.newspapers.com/image/252161775/?terms=school%2Bshooting" TargetMode="External"/><Relationship Id="rId251" Type="http://schemas.openxmlformats.org/officeDocument/2006/relationships/hyperlink" Target="https://www.wate.com/news/local-news/dispatch-knoxville-police-respond-to-reported-shooting-in-north-knoxville/" TargetMode="External"/><Relationship Id="rId489" Type="http://schemas.openxmlformats.org/officeDocument/2006/relationships/hyperlink" Target="https://smnewsnet.com/archives/283458/man-shot-behind-school/" TargetMode="External"/><Relationship Id="rId696" Type="http://schemas.openxmlformats.org/officeDocument/2006/relationships/hyperlink" Target="https://www.wral.com/news/local/story/157302/" TargetMode="External"/><Relationship Id="rId917" Type="http://schemas.openxmlformats.org/officeDocument/2006/relationships/hyperlink" Target="https://www.columbine-angels.com/School_Violence_1995-1996.htm" TargetMode="External"/><Relationship Id="rId1102" Type="http://schemas.openxmlformats.org/officeDocument/2006/relationships/hyperlink" Target="https://www.newspapers.com/image/310187745/?terms=Wheatley%2BHigh%2BSchool%2Bshooting" TargetMode="External"/><Relationship Id="rId46" Type="http://schemas.openxmlformats.org/officeDocument/2006/relationships/hyperlink" Target="https://wpgtalkradio.com/monroe-twp-nj-police-teen-fired-flare-gun-at-another-teen-inside-elementary-school/" TargetMode="External"/><Relationship Id="rId349" Type="http://schemas.openxmlformats.org/officeDocument/2006/relationships/hyperlink" Target="https://www.wsav.com/news/local-news/update-student-found-shot-at-appling-co-hs-declared-dead-coroner-says/" TargetMode="External"/><Relationship Id="rId556" Type="http://schemas.openxmlformats.org/officeDocument/2006/relationships/hyperlink" Target="https://www.wxyz.com/news/man-shot-near-martin-luther-king-jr-high-school-in-detroit" TargetMode="External"/><Relationship Id="rId763" Type="http://schemas.openxmlformats.org/officeDocument/2006/relationships/hyperlink" Target="http://articles.orlandosentinel.com/keyword/gun-to-school/recent/3" TargetMode="External"/><Relationship Id="rId1186" Type="http://schemas.openxmlformats.org/officeDocument/2006/relationships/hyperlink" Target="https://www.newspapers.com/image/362214425/?terms=school%2Bshooting" TargetMode="External"/><Relationship Id="rId111" Type="http://schemas.openxmlformats.org/officeDocument/2006/relationships/hyperlink" Target="https://www.detroitnews.com/story/news/local/oakland-county/2022/10/04/security-guard-fires-gun-oxford-middle-school/69537444007/" TargetMode="External"/><Relationship Id="rId195" Type="http://schemas.openxmlformats.org/officeDocument/2006/relationships/hyperlink" Target="https://www.wbtv.com/2021/12/09/shots-hit-cars-high-school-parking-lot-rowan-county-prompting-lockdown/" TargetMode="External"/><Relationship Id="rId209" Type="http://schemas.openxmlformats.org/officeDocument/2006/relationships/hyperlink" Target="https://chicago.cbslocal.com/video/6072449-video-of-shooting-outside-lakeview-high-school/" TargetMode="External"/><Relationship Id="rId416" Type="http://schemas.openxmlformats.org/officeDocument/2006/relationships/hyperlink" Target="https://www.wktv.com/content/news/453482573.html" TargetMode="External"/><Relationship Id="rId970" Type="http://schemas.openxmlformats.org/officeDocument/2006/relationships/hyperlink" Target="https://www.newspapers.com/image/402779742/?terms=North%2BClayton%2BHigh%2BSchool%2Bshooting" TargetMode="External"/><Relationship Id="rId1046" Type="http://schemas.openxmlformats.org/officeDocument/2006/relationships/hyperlink" Target="https://www.newspapers.com/image/378123968/?terms=anita%2Bmoore" TargetMode="External"/><Relationship Id="rId1253" Type="http://schemas.openxmlformats.org/officeDocument/2006/relationships/hyperlink" Target="https://www.newspapers.com/image/152290612/?terms=a%2Bsingle%2Btragic%2Bincident" TargetMode="External"/><Relationship Id="rId623" Type="http://schemas.openxmlformats.org/officeDocument/2006/relationships/hyperlink" Target="https://www.columbine-angels.com/School_Violence_2008-2009.htm" TargetMode="External"/><Relationship Id="rId830" Type="http://schemas.openxmlformats.org/officeDocument/2006/relationships/hyperlink" Target="http://articles.latimes.com/2002/feb/07/local/me-shot7" TargetMode="External"/><Relationship Id="rId928" Type="http://schemas.openxmlformats.org/officeDocument/2006/relationships/hyperlink" Target="http://articles.sun-sentinel.com/1995-01-12/news/9501120169_1_high-schools-gun-school-administrators" TargetMode="External"/><Relationship Id="rId57" Type="http://schemas.openxmlformats.org/officeDocument/2006/relationships/hyperlink" Target="https://www.lex18.com/news/police-respond-to-incident-involving-a-staff-member-at-stanford-elementary" TargetMode="External"/><Relationship Id="rId262" Type="http://schemas.openxmlformats.org/officeDocument/2006/relationships/hyperlink" Target="http://www.bradfordera.com/news/local/no-injuries-when-school-bus-shot-by-bb-gun-wednesday/article_5e809a44-23b0-5f69-a54c-b2ae8799785b.html" TargetMode="External"/><Relationship Id="rId567" Type="http://schemas.openxmlformats.org/officeDocument/2006/relationships/hyperlink" Target="http://www.dailytarheel.com/article/2014/10/man-pleads-guilty-of-murder-in-scroggs-elementary-shooting" TargetMode="External"/><Relationship Id="rId1113" Type="http://schemas.openxmlformats.org/officeDocument/2006/relationships/hyperlink" Target="https://www.newspapers.com/image/217311653/?terms=student%2Bshot" TargetMode="External"/><Relationship Id="rId1197" Type="http://schemas.openxmlformats.org/officeDocument/2006/relationships/hyperlink" Target="https://www.newspapers.com/image/111103679/?terms=school%2Bshooting" TargetMode="External"/><Relationship Id="rId122" Type="http://schemas.openxmlformats.org/officeDocument/2006/relationships/hyperlink" Target="https://www.abc4.com/news/bountiful-high-placed-on-lockdown-school-threat/" TargetMode="External"/><Relationship Id="rId774" Type="http://schemas.openxmlformats.org/officeDocument/2006/relationships/hyperlink" Target="https://en.wikipedia.org/wiki/List_of_school_shootings_in_the_United_States" TargetMode="External"/><Relationship Id="rId981" Type="http://schemas.openxmlformats.org/officeDocument/2006/relationships/hyperlink" Target="https://www.newspapers.com/image/389765443" TargetMode="External"/><Relationship Id="rId1057" Type="http://schemas.openxmlformats.org/officeDocument/2006/relationships/hyperlink" Target="https://www.newspapers.com/image/99777421/?terms=lessenger" TargetMode="External"/><Relationship Id="rId427" Type="http://schemas.openxmlformats.org/officeDocument/2006/relationships/hyperlink" Target="https://www.ajc.com/news/crime--law/veteran-lithia-springs-high-teacher-shoots-self-school-classes-canceled/ySkZFldVAcQEqaXTYrihbK/" TargetMode="External"/><Relationship Id="rId634" Type="http://schemas.openxmlformats.org/officeDocument/2006/relationships/hyperlink" Target="https://www.columbine-angels.com/School_Violence_2006-2007.htm" TargetMode="External"/><Relationship Id="rId841" Type="http://schemas.openxmlformats.org/officeDocument/2006/relationships/hyperlink" Target="http://www.ladowntownnews.com/news/lockdown-at-belmont-high/article_cc919569-fc0c-5517-be27-6e7adfd7e46a.html" TargetMode="External"/><Relationship Id="rId1264" Type="http://schemas.openxmlformats.org/officeDocument/2006/relationships/hyperlink" Target="https://www.newspapers.com/image/271348834/?terms=school%2Bshooting" TargetMode="External"/><Relationship Id="rId273" Type="http://schemas.openxmlformats.org/officeDocument/2006/relationships/hyperlink" Target="https://www.centralillinoisproud.com/news/local-news/peoria-public-schools-emphasizing-student-safety-after-school-bus-was-struck-by-stray-bullet-thursday/" TargetMode="External"/><Relationship Id="rId480" Type="http://schemas.openxmlformats.org/officeDocument/2006/relationships/hyperlink" Target="https://www.mysanantonio.com/news/local/article/Man-fatally-shot-in-middle-school-parking-lot-6588994.php" TargetMode="External"/><Relationship Id="rId701" Type="http://schemas.openxmlformats.org/officeDocument/2006/relationships/hyperlink" Target="http://www.post-gazette.com/local/city/2007/02/28/Rifle-used-to-shoot-teen-outside-school-tied-to-2nd-shooting/stories/200702280235" TargetMode="External"/><Relationship Id="rId939" Type="http://schemas.openxmlformats.org/officeDocument/2006/relationships/hyperlink" Target="http://www.wistv.com/story/23589594/school-shootings-in-south-carolina" TargetMode="External"/><Relationship Id="rId1124" Type="http://schemas.openxmlformats.org/officeDocument/2006/relationships/hyperlink" Target="https://www.newspapers.com/image/178928817/?terms=student%2Bshot" TargetMode="External"/><Relationship Id="rId68" Type="http://schemas.openxmlformats.org/officeDocument/2006/relationships/hyperlink" Target="https://katu.com/news/local/police-presence-at-cleveland-high-school-monday-afternoon" TargetMode="External"/><Relationship Id="rId133" Type="http://schemas.openxmlformats.org/officeDocument/2006/relationships/hyperlink" Target="https://www.baltimoresun.com/news/crime/bs-md-ci-cr-shooting-near-mervo-high-20220902-7vkk6gckhbdzrgodfepcdyjj6m-story.html" TargetMode="External"/><Relationship Id="rId340" Type="http://schemas.openxmlformats.org/officeDocument/2006/relationships/hyperlink" Target="https://www.wbtw.com/crime/grand-strand-crime/12-year-old-issued-summons-after-bringing-bb-gun-to-conway-school-shooting-13-year-old-report-says/1579188190" TargetMode="External"/><Relationship Id="rId578" Type="http://schemas.openxmlformats.org/officeDocument/2006/relationships/hyperlink" Target="https://www.dailybreeze.com/2011/04/11/gardena-high-student-gets-9-months-for-having-gun-that-discharged/" TargetMode="External"/><Relationship Id="rId785" Type="http://schemas.openxmlformats.org/officeDocument/2006/relationships/hyperlink" Target="https://www.newspapers.com/image/410611502/" TargetMode="External"/><Relationship Id="rId992" Type="http://schemas.openxmlformats.org/officeDocument/2006/relationships/hyperlink" Target="https://www.newspapers.com/image/296856537/?terms=Hamilton%2BMiddle%2BSchool%2Bshooting" TargetMode="External"/><Relationship Id="rId200" Type="http://schemas.openxmlformats.org/officeDocument/2006/relationships/hyperlink" Target="https://www.wifr.com/2021/11/29/shots-fired-behind-west-middle-school/" TargetMode="External"/><Relationship Id="rId438" Type="http://schemas.openxmlformats.org/officeDocument/2006/relationships/hyperlink" Target="https://www.tulsaworld.com/homepagelatest/man-shot-in-chest-at-booker-t-washington-high-school/article_f6b588e9-926b-5c04-a9c5-aee4dc5c7ee8.html" TargetMode="External"/><Relationship Id="rId645" Type="http://schemas.openxmlformats.org/officeDocument/2006/relationships/hyperlink" Target="http://blog.oregonlive.com/breakingnews/2007/04/gresham_teen_indicted_in_sprin.html" TargetMode="External"/><Relationship Id="rId852" Type="http://schemas.openxmlformats.org/officeDocument/2006/relationships/hyperlink" Target="http://articles.latimes.com/2001/jan/11/local/me-11081" TargetMode="External"/><Relationship Id="rId1068" Type="http://schemas.openxmlformats.org/officeDocument/2006/relationships/hyperlink" Target="https://www.newspapers.com/image/196275731/?terms=SOUTHWOOD%2BELEMENTARY%2BSCHOOL%2BSHOOTING" TargetMode="External"/><Relationship Id="rId1275" Type="http://schemas.openxmlformats.org/officeDocument/2006/relationships/hyperlink" Target="https://www.newspapers.com/image/377397441/?terms=school%2Bshooting" TargetMode="External"/><Relationship Id="rId284" Type="http://schemas.openxmlformats.org/officeDocument/2006/relationships/hyperlink" Target="https://www.abqjournal.com/1424911/apd-drive-by-sent-bullets-flying-into-abq-school.html" TargetMode="External"/><Relationship Id="rId491" Type="http://schemas.openxmlformats.org/officeDocument/2006/relationships/hyperlink" Target="https://www.ksat.com/news/school-official-seguin-high-school-student-shoots-kills-self" TargetMode="External"/><Relationship Id="rId505" Type="http://schemas.openxmlformats.org/officeDocument/2006/relationships/hyperlink" Target="https://www.wsbtv.com/news/17-year-old-shot-killed-after-high-school-football/137193168" TargetMode="External"/><Relationship Id="rId712" Type="http://schemas.openxmlformats.org/officeDocument/2006/relationships/hyperlink" Target="https://www.columbine-angels.com/School_Violence_2005-2006.htm" TargetMode="External"/><Relationship Id="rId1135" Type="http://schemas.openxmlformats.org/officeDocument/2006/relationships/hyperlink" Target="https://www.nytimes.com/1983/05/17/nyregion/hostages-at-li-school-are-freed-and-gunman-then-kills-himself.html" TargetMode="External"/><Relationship Id="rId79" Type="http://schemas.openxmlformats.org/officeDocument/2006/relationships/hyperlink" Target="https://6abc.com/delcastle-technical-high-school-bus-shot-interstate-95-shut-down-delaware-police-chase-officer-involved-shooting/12519473/" TargetMode="External"/><Relationship Id="rId144" Type="http://schemas.openxmlformats.org/officeDocument/2006/relationships/hyperlink" Target="https://connecticut.news12.com/hempstead-school-officials-to-speak-following-2-shootings-near-schools" TargetMode="External"/><Relationship Id="rId589" Type="http://schemas.openxmlformats.org/officeDocument/2006/relationships/hyperlink" Target="http://www.jacksonville.com/news/metro/crime/2009-03-10/story/police_responding_to_shots_fired_at_ribault_high_school" TargetMode="External"/><Relationship Id="rId796" Type="http://schemas.openxmlformats.org/officeDocument/2006/relationships/hyperlink" Target="https://newsok.com/article/1961014/arrest-warrant-issued-in-high-school-shooting" TargetMode="External"/><Relationship Id="rId1202" Type="http://schemas.openxmlformats.org/officeDocument/2006/relationships/hyperlink" Target="https://www.newspapers.com/image/342698296/?terms=school%2Bshooting" TargetMode="External"/><Relationship Id="rId351" Type="http://schemas.openxmlformats.org/officeDocument/2006/relationships/hyperlink" Target="https://q13fox.com/2018/09/14/reports-of-shots-fired-outside-mariner-high-school-football-stadium-evacuated/" TargetMode="External"/><Relationship Id="rId449" Type="http://schemas.openxmlformats.org/officeDocument/2006/relationships/hyperlink" Target="https://www.sfgate.com/crime/article/Two-arrested-in-SF-school-shooting-that-injured-4-10005290.php" TargetMode="External"/><Relationship Id="rId656" Type="http://schemas.openxmlformats.org/officeDocument/2006/relationships/hyperlink" Target="https://www.columbine-angels.com/School_Violence_2006-2007.htm" TargetMode="External"/><Relationship Id="rId863" Type="http://schemas.openxmlformats.org/officeDocument/2006/relationships/hyperlink" Target="http://enquirer.com/editions/2000/11/14/loc_driver_in_fatal.html" TargetMode="External"/><Relationship Id="rId1079" Type="http://schemas.openxmlformats.org/officeDocument/2006/relationships/hyperlink" Target="https://www.nytimes.com/1986/12/06/us/failing-grade-is-linked-to-shooting-of-teacher.html" TargetMode="External"/><Relationship Id="rId1286" Type="http://schemas.openxmlformats.org/officeDocument/2006/relationships/hyperlink" Target="https://www.newspapers.com/image/72973348/?terms=school%2Bshooting" TargetMode="External"/><Relationship Id="rId211" Type="http://schemas.openxmlformats.org/officeDocument/2006/relationships/hyperlink" Target="https://www.lakemchenryscanner.com/2021/09/24/police-arrest-juvenile-who-brought-bb-gun-to-crystal-lake-elementary-school-shot-other-kids/" TargetMode="External"/><Relationship Id="rId295" Type="http://schemas.openxmlformats.org/officeDocument/2006/relationships/hyperlink" Target="https://abc7chicago.com/rich-central-student-charged-after-pellet-hits-school-bus-injuring-another-student/5713973/" TargetMode="External"/><Relationship Id="rId309" Type="http://schemas.openxmlformats.org/officeDocument/2006/relationships/hyperlink" Target="https://cumberlink.com/news/local/crime-and-courts/school-saint-patrick-parent-accidentally-fires-gun-injures-self-in/article_d58b284e-fd55-5d1f-bf83-91de12e5302d.html" TargetMode="External"/><Relationship Id="rId516" Type="http://schemas.openxmlformats.org/officeDocument/2006/relationships/hyperlink" Target="https://www.nbcnewyork.com/news/local/Newark-Shooting-Man-Wounded-School-Bus-Bullet-Hole-253840881.html" TargetMode="External"/><Relationship Id="rId1146" Type="http://schemas.openxmlformats.org/officeDocument/2006/relationships/hyperlink" Target="https://www.newspapers.com/image/283184637/?terms=student%2Bshot" TargetMode="External"/><Relationship Id="rId723" Type="http://schemas.openxmlformats.org/officeDocument/2006/relationships/hyperlink" Target="http://articles.baltimoresun.com/2005-10-30/news/0510300052_1_annapolis-shooting-was-accidental-charged-in-shooting" TargetMode="External"/><Relationship Id="rId930" Type="http://schemas.openxmlformats.org/officeDocument/2006/relationships/hyperlink" Target="https://www.sfgate.com/bayarea/article/SAN-LEANDRO-Suspect-named-in-1994-slaying-2596999.php" TargetMode="External"/><Relationship Id="rId1006" Type="http://schemas.openxmlformats.org/officeDocument/2006/relationships/hyperlink" Target="https://www.newspapers.com/image/389496363/?terms=Woodson%2BHigh%2BSchool%2Bshooting" TargetMode="External"/><Relationship Id="rId155" Type="http://schemas.openxmlformats.org/officeDocument/2006/relationships/hyperlink" Target="https://newschannel9.com/news/local/25-year-old-man-shot-to-death-in-chattanooga-near-school-early-friday-morning-east-lake-elementary-murder-homicide" TargetMode="External"/><Relationship Id="rId362" Type="http://schemas.openxmlformats.org/officeDocument/2006/relationships/hyperlink" Target="https://www.thedailyjournal.com/story/news/crime/2018/08/09/man-critically-wounded-shooting-school-parking-lot-millville/953855002/" TargetMode="External"/><Relationship Id="rId1213" Type="http://schemas.openxmlformats.org/officeDocument/2006/relationships/hyperlink" Target="https://www.newspapers.com/image/139488488/?terms=school%2Bshooting" TargetMode="External"/><Relationship Id="rId1297" Type="http://schemas.openxmlformats.org/officeDocument/2006/relationships/hyperlink" Target="https://www.newspapers.com/image/284280856/?terms=school%2Bshooting" TargetMode="External"/><Relationship Id="rId222" Type="http://schemas.openxmlformats.org/officeDocument/2006/relationships/hyperlink" Target="https://sanfrancisco.cbslocal.com/2021/09/03/palo-alto-man-arrested-shooting-child-school-air-rifle/" TargetMode="External"/><Relationship Id="rId667" Type="http://schemas.openxmlformats.org/officeDocument/2006/relationships/hyperlink" Target="https://www.columbine-angels.com/School_Violence_2006-2007.htm" TargetMode="External"/><Relationship Id="rId874" Type="http://schemas.openxmlformats.org/officeDocument/2006/relationships/hyperlink" Target="https://www.abqjournal.com/news/state/apteen10-12-04.htm" TargetMode="External"/><Relationship Id="rId17" Type="http://schemas.openxmlformats.org/officeDocument/2006/relationships/hyperlink" Target="https://nypost.com/2023/03/07/15-year-old-shot-outside-nycs-park-west-high-school/" TargetMode="External"/><Relationship Id="rId527" Type="http://schemas.openxmlformats.org/officeDocument/2006/relationships/hyperlink" Target="http://www.philly.com/philly/news/2nd_teen_charged_in_Delaware_Valley_Charter_High_School_shooting.html" TargetMode="External"/><Relationship Id="rId734" Type="http://schemas.openxmlformats.org/officeDocument/2006/relationships/hyperlink" Target="https://www.columbine-angels.com/School_Violence_2005-2006.htm" TargetMode="External"/><Relationship Id="rId941" Type="http://schemas.openxmlformats.org/officeDocument/2006/relationships/hyperlink" Target="http://www.goupstate.com/article/NC/19940219/News/605198620/SJ/" TargetMode="External"/><Relationship Id="rId1157" Type="http://schemas.openxmlformats.org/officeDocument/2006/relationships/hyperlink" Target="https://www.newspapers.com/image/130082201/?terms=student%2Bshoots" TargetMode="External"/><Relationship Id="rId70" Type="http://schemas.openxmlformats.org/officeDocument/2006/relationships/hyperlink" Target="https://www.whio.com/news/crime-and-law/large-fight-shots-fired-meadowdale-high-school/FK6OII7FJFAO7OSU4FVY6K3BSU/" TargetMode="External"/><Relationship Id="rId166" Type="http://schemas.openxmlformats.org/officeDocument/2006/relationships/hyperlink" Target="https://www.kptv.com/2022/04/23/teen-arrested-after-shooting-near-salem-middle-school/" TargetMode="External"/><Relationship Id="rId373" Type="http://schemas.openxmlformats.org/officeDocument/2006/relationships/hyperlink" Target="https://www.wsbtv.com/news/local/breaking-personshot-in-elementary-school-parking-lot/753941792" TargetMode="External"/><Relationship Id="rId580" Type="http://schemas.openxmlformats.org/officeDocument/2006/relationships/hyperlink" Target="https://www.newspapers.com/image/310759931/?terms=school%2B%2Bbus%2Bshooting" TargetMode="External"/><Relationship Id="rId801" Type="http://schemas.openxmlformats.org/officeDocument/2006/relationships/hyperlink" Target="http://www.the-daily-record.com/news/20070723/kenmore-grad-remembers-every-detail-of-2003-school-shooting" TargetMode="External"/><Relationship Id="rId1017" Type="http://schemas.openxmlformats.org/officeDocument/2006/relationships/hyperlink" Target="https://www.newspapers.com/image/300370142/?terms=Naaman%2BForest%2BHigh%2BSchool" TargetMode="External"/><Relationship Id="rId1224" Type="http://schemas.openxmlformats.org/officeDocument/2006/relationships/hyperlink" Target="https://www.newspapers.com/image/293916124/?terms=school%2Bshooting" TargetMode="External"/><Relationship Id="rId1" Type="http://schemas.openxmlformats.org/officeDocument/2006/relationships/hyperlink" Target="https://www.atlantanewsfirst.com/2023/03/29/douglas-county-sheriff-looking-man-involved-shooting-near-high-school/" TargetMode="External"/><Relationship Id="rId233" Type="http://schemas.openxmlformats.org/officeDocument/2006/relationships/hyperlink" Target="https://www.wcax.com/2021/08/27/burlington-schools-canceled-due-police-incident/" TargetMode="External"/><Relationship Id="rId440" Type="http://schemas.openxmlformats.org/officeDocument/2006/relationships/hyperlink" Target="https://www.thecalifornian.com/story/news/my-safety/2017/03/21/authorities-hunt-king-city-school-shooting-suspect/99464446/" TargetMode="External"/><Relationship Id="rId678" Type="http://schemas.openxmlformats.org/officeDocument/2006/relationships/hyperlink" Target="http://www.washingtonpost.com/wp-dyn/content/article/2006/09/23/AR2006092301174.html" TargetMode="External"/><Relationship Id="rId885" Type="http://schemas.openxmlformats.org/officeDocument/2006/relationships/hyperlink" Target="https://www.history.com/topics/columbine-high-school-shootings" TargetMode="External"/><Relationship Id="rId1070" Type="http://schemas.openxmlformats.org/officeDocument/2006/relationships/hyperlink" Target="https://www.newspapers.com/image/388845031/?terms=Dale%2BBruck" TargetMode="External"/><Relationship Id="rId28" Type="http://schemas.openxmlformats.org/officeDocument/2006/relationships/hyperlink" Target="https://www.sacbee.com/news/nation-world/national/article272581192.html" TargetMode="External"/><Relationship Id="rId300" Type="http://schemas.openxmlformats.org/officeDocument/2006/relationships/hyperlink" Target="https://www.wbtv.com/2019/09/28/arrested-after-multiple-fights-high-school-football-game-charlotte/" TargetMode="External"/><Relationship Id="rId538" Type="http://schemas.openxmlformats.org/officeDocument/2006/relationships/hyperlink" Target="https://www.wftv.com/news/local/teen-shot-agape-christian-academy-pine-hills/270794978" TargetMode="External"/><Relationship Id="rId745" Type="http://schemas.openxmlformats.org/officeDocument/2006/relationships/hyperlink" Target="http://www.nbcnews.com/id/7420306/ns/us_news-crime_and_courts/t/wounded-coach-upset-some-players-parents/" TargetMode="External"/><Relationship Id="rId952" Type="http://schemas.openxmlformats.org/officeDocument/2006/relationships/hyperlink" Target="https://www.newspapers.com/image/241267382/?terms=Sullivan%2BHigh%2BSchool%2Bshooting" TargetMode="External"/><Relationship Id="rId1168" Type="http://schemas.openxmlformats.org/officeDocument/2006/relationships/hyperlink" Target="https://www.newspapers.com/image/266962735/?terms=Central%2BHigh%2BSchool%2Btuscaloosa%2Bshooting" TargetMode="External"/><Relationship Id="rId81" Type="http://schemas.openxmlformats.org/officeDocument/2006/relationships/hyperlink" Target="https://www.abc12.com/news/no-injuries-on-standish-sterling-school-bus-after-it-was-hit-by-a-stray-bullet/article_b499147a-69e8-11ed-8cbc-4f35da469d5f.html" TargetMode="External"/><Relationship Id="rId177" Type="http://schemas.openxmlformats.org/officeDocument/2006/relationships/hyperlink" Target="https://www.fox5atlanta.com/news/gunshot-fired-in-clayton-county-middle-school-district-says" TargetMode="External"/><Relationship Id="rId384" Type="http://schemas.openxmlformats.org/officeDocument/2006/relationships/hyperlink" Target="http://missoulian.com/news/local/report-gunshots-at-missoula-s-big-sky-high-fired-by/article_f14cb7f4-ee52-58e2-abda-afb0f8f33421.html" TargetMode="External"/><Relationship Id="rId591" Type="http://schemas.openxmlformats.org/officeDocument/2006/relationships/hyperlink" Target="https://www.newspapers.com/image/243883968/?terms=robert%2Bfrost%2Belementary%2BSCHOOL" TargetMode="External"/><Relationship Id="rId605" Type="http://schemas.openxmlformats.org/officeDocument/2006/relationships/hyperlink" Target="https://www.ksbw.com/article/king-city-high-school-soccer-game-murderer-sentenced/1048897" TargetMode="External"/><Relationship Id="rId812" Type="http://schemas.openxmlformats.org/officeDocument/2006/relationships/hyperlink" Target="https://www.washingtontimes.com/news/2003/apr/4/20030404-090538-6902r/" TargetMode="External"/><Relationship Id="rId1028" Type="http://schemas.openxmlformats.org/officeDocument/2006/relationships/hyperlink" Target="https://www.nytimes.com/1990/03/28/nyregion/a-black-is-shot-in-a-high-school-in-bensonshurst.html" TargetMode="External"/><Relationship Id="rId1235" Type="http://schemas.openxmlformats.org/officeDocument/2006/relationships/hyperlink" Target="https://www.newspapers.com/image/431914265/?terms=william%2Bgund" TargetMode="External"/><Relationship Id="rId244" Type="http://schemas.openxmlformats.org/officeDocument/2006/relationships/hyperlink" Target="https://6abc.com/young-man-shot-and-killed-near-philadelphia-school/10787708/" TargetMode="External"/><Relationship Id="rId689" Type="http://schemas.openxmlformats.org/officeDocument/2006/relationships/hyperlink" Target="https://www.newspapers.com/image/330166745/" TargetMode="External"/><Relationship Id="rId896" Type="http://schemas.openxmlformats.org/officeDocument/2006/relationships/hyperlink" Target="https://cmuhistory.cmich.edu/?a=d&amp;d=IsabellaCML19980227.1.2&amp;" TargetMode="External"/><Relationship Id="rId1081" Type="http://schemas.openxmlformats.org/officeDocument/2006/relationships/hyperlink" Target="https://www.newspapers.com/image/64897451/?terms=Monrovia%2BHigh%2BSchool%2Bshooting" TargetMode="External"/><Relationship Id="rId1302" Type="http://schemas.openxmlformats.org/officeDocument/2006/relationships/hyperlink" Target="https://www.newspapers.com/image/435429470/?terms=school%2Bshooting" TargetMode="External"/><Relationship Id="rId39" Type="http://schemas.openxmlformats.org/officeDocument/2006/relationships/hyperlink" Target="https://katv.com/news/local/arkansas-teenager-arrested-after-bringing-a-gun-to-a-basketball-game-police-say-fort-smith-kimmons-middle-school-14-year-old-boy-charged-aggravated-assault-and-terroristic-threatening-arkansas-teen-violence-mental-health-juvenile-crime" TargetMode="External"/><Relationship Id="rId451" Type="http://schemas.openxmlformats.org/officeDocument/2006/relationships/hyperlink" Target="http://www.dispatch.com/content/stories/local/2016/10/20/Two-charged-in-Linden-McKinley-shooting.html" TargetMode="External"/><Relationship Id="rId549" Type="http://schemas.openxmlformats.org/officeDocument/2006/relationships/hyperlink" Target="http://www.wbrc.com/story/22251179/parent-allegedly-fires-gun-when-daughters-fight-at-school" TargetMode="External"/><Relationship Id="rId756" Type="http://schemas.openxmlformats.org/officeDocument/2006/relationships/hyperlink" Target="https://www.columbine-angels.com/School_Violence_2005-2006.htm" TargetMode="External"/><Relationship Id="rId1179" Type="http://schemas.openxmlformats.org/officeDocument/2006/relationships/hyperlink" Target="https://www.newspapers.com/image/217265072/?terms=10-year%2Bold%2Bboy%2Baccidentally%2Bshot" TargetMode="External"/><Relationship Id="rId104" Type="http://schemas.openxmlformats.org/officeDocument/2006/relationships/hyperlink" Target="https://www.wkrn.com/news/local-news/murfreesboro/investigation-underway-after-shooting-at-riverdale-oakland-high-school-football-game/" TargetMode="External"/><Relationship Id="rId188" Type="http://schemas.openxmlformats.org/officeDocument/2006/relationships/hyperlink" Target="https://www.wnky.com/sheriffs-office-investigating-several-shots-fired-incidences-including-one-at-a-school-no-injuries/" TargetMode="External"/><Relationship Id="rId311" Type="http://schemas.openxmlformats.org/officeDocument/2006/relationships/hyperlink" Target="https://fox5sandiego.com/2019/07/19/mid-city-school-locks-down-over-bb-gun-shooting/" TargetMode="External"/><Relationship Id="rId395" Type="http://schemas.openxmlformats.org/officeDocument/2006/relationships/hyperlink" Target="http://abc7.com/charges-filed-against-12-year-old-girl-in-westlake-school-shooting/3023846/" TargetMode="External"/><Relationship Id="rId409" Type="http://schemas.openxmlformats.org/officeDocument/2006/relationships/hyperlink" Target="https://www.news-gazette.com/news/update-potential-fight-might-have-sparked-gunfire/article_644ff6c6-f9f5-5327-b078-630facba2e9b.html" TargetMode="External"/><Relationship Id="rId963" Type="http://schemas.openxmlformats.org/officeDocument/2006/relationships/hyperlink" Target="http://articles.mcall.com/1993-05-25/news/2916043_1_michael-swann-upper-perkiomen-high-school-jason-michael-smith" TargetMode="External"/><Relationship Id="rId1039" Type="http://schemas.openxmlformats.org/officeDocument/2006/relationships/hyperlink" Target="https://www.newspapers.com/image/121870781/?terms=student%2Bshot" TargetMode="External"/><Relationship Id="rId1246" Type="http://schemas.openxmlformats.org/officeDocument/2006/relationships/hyperlink" Target="https://www.newspapers.com/image/382020739/?terms=school%2Bshooting" TargetMode="External"/><Relationship Id="rId92" Type="http://schemas.openxmlformats.org/officeDocument/2006/relationships/hyperlink" Target="https://www.wjcl.com/article/police-presence-elementary-school-savannah/41861811" TargetMode="External"/><Relationship Id="rId616" Type="http://schemas.openxmlformats.org/officeDocument/2006/relationships/hyperlink" Target="https://www.columbine-angels.com/School_Violence_2008-2009.htm" TargetMode="External"/><Relationship Id="rId823" Type="http://schemas.openxmlformats.org/officeDocument/2006/relationships/hyperlink" Target="https://www.semissourian.com/story/152973.html" TargetMode="External"/><Relationship Id="rId255" Type="http://schemas.openxmlformats.org/officeDocument/2006/relationships/hyperlink" Target="https://wsvn.com/news/special-reports/bso-investigating-shooting-incident-outside-holiday-party-hosted-by-pompano-beach-school-for-at-risk-youth/" TargetMode="External"/><Relationship Id="rId462" Type="http://schemas.openxmlformats.org/officeDocument/2006/relationships/hyperlink" Target="http://boston.cbslocal.com/2016/06/22/raekwon-brown-murder-arrests-jeremiah-burke-high-school-shooting-boston-police/" TargetMode="External"/><Relationship Id="rId1092" Type="http://schemas.openxmlformats.org/officeDocument/2006/relationships/hyperlink" Target="https://www.newspapers.com/image/377738432/?terms=Lake%2BClifton%2BHigh%2BSchool%2Bshooting" TargetMode="External"/><Relationship Id="rId1106" Type="http://schemas.openxmlformats.org/officeDocument/2006/relationships/hyperlink" Target="https://www.newspapers.com/image/437414203/?terms=school%2Bshooting" TargetMode="External"/><Relationship Id="rId115" Type="http://schemas.openxmlformats.org/officeDocument/2006/relationships/hyperlink" Target="https://www.fox6now.com/news/milwaukee-shooting-man-wounded-walnut-rooseselt-ms" TargetMode="External"/><Relationship Id="rId322" Type="http://schemas.openxmlformats.org/officeDocument/2006/relationships/hyperlink" Target="https://www.kxro.com/montesano-police-arrest-student-after-school-shooting-statements/" TargetMode="External"/><Relationship Id="rId767" Type="http://schemas.openxmlformats.org/officeDocument/2006/relationships/hyperlink" Target="https://www.sfgate.com/bayarea/article/HAYWARD-Man-fatally-shot-at-school-no-arrest-2679598.php" TargetMode="External"/><Relationship Id="rId974" Type="http://schemas.openxmlformats.org/officeDocument/2006/relationships/hyperlink" Target="http://articles.latimes.com/1993-01-29/local/me-2165_1_student-body" TargetMode="External"/><Relationship Id="rId199" Type="http://schemas.openxmlformats.org/officeDocument/2006/relationships/hyperlink" Target="https://losangeles.cbslocal.com/video/6166005-school-bus-hit-by-bb-gun/" TargetMode="External"/><Relationship Id="rId627" Type="http://schemas.openxmlformats.org/officeDocument/2006/relationships/hyperlink" Target="http://www.wmcactionnews5.com/story/7818497/police-investigate-shooting-inside-classroom-at-hamilton-high" TargetMode="External"/><Relationship Id="rId834" Type="http://schemas.openxmlformats.org/officeDocument/2006/relationships/hyperlink" Target="https://www.chron.com/news/houston-texas/article/Friendswood-teacher-indicted-over-gunfire-2059926.php" TargetMode="External"/><Relationship Id="rId1257" Type="http://schemas.openxmlformats.org/officeDocument/2006/relationships/hyperlink" Target="https://www.newspapers.com/image/37911464/?terms=school%2Bshooting" TargetMode="External"/><Relationship Id="rId266" Type="http://schemas.openxmlformats.org/officeDocument/2006/relationships/hyperlink" Target="https://www.mainlinemedianews.com/mainlinesuburbanlife/radnor-police-reports-shots-from-pellet-gun-hit-school-bus/article_a0646684-0c76-11eb-bae3-0702efefe48f.html" TargetMode="External"/><Relationship Id="rId473" Type="http://schemas.openxmlformats.org/officeDocument/2006/relationships/hyperlink" Target="https://www.indystar.com/story/news/crime/2016/01/25/teen-charged-shooting-lawrence-central-high-school/79319130/" TargetMode="External"/><Relationship Id="rId680" Type="http://schemas.openxmlformats.org/officeDocument/2006/relationships/hyperlink" Target="https://www.amazon.com/WIN-Memoir-Shooting-Gabe-Medrano/dp/1432793624" TargetMode="External"/><Relationship Id="rId901" Type="http://schemas.openxmlformats.org/officeDocument/2006/relationships/hyperlink" Target="https://ssristories.org/21-year-old-woman-shoots-herself/" TargetMode="External"/><Relationship Id="rId1117" Type="http://schemas.openxmlformats.org/officeDocument/2006/relationships/hyperlink" Target="https://www.newspapers.com/image/240845256/?terms=STUDENT%2BSHOOTS" TargetMode="External"/><Relationship Id="rId30" Type="http://schemas.openxmlformats.org/officeDocument/2006/relationships/hyperlink" Target="https://abc7chicago.com/chicago-shooting-today-catalyst-circle-rock-charter-school-south-austin/12833547/" TargetMode="External"/><Relationship Id="rId126" Type="http://schemas.openxmlformats.org/officeDocument/2006/relationships/hyperlink" Target="https://www.tmj4.com/news/local-news/occupied-school-bus-struck-during-shooting-near-sherman-and-capitol-1-injured" TargetMode="External"/><Relationship Id="rId333" Type="http://schemas.openxmlformats.org/officeDocument/2006/relationships/hyperlink" Target="https://www.nbcphiladelphia.com/news/local/Stray-Bullet-Strawberry-Mansion-High-School-Lockdown-Shooting--501474831.html" TargetMode="External"/><Relationship Id="rId540" Type="http://schemas.openxmlformats.org/officeDocument/2006/relationships/hyperlink" Target="https://www.pressherald.com/2013/09/28/19-year-old-kills-himself-at-gray-new-gloucester-high-school/" TargetMode="External"/><Relationship Id="rId778" Type="http://schemas.openxmlformats.org/officeDocument/2006/relationships/hyperlink" Target="https://www.eastbaytimes.com/2004/06/10/castlemont-pupils-shot-in-drive-by/" TargetMode="External"/><Relationship Id="rId985" Type="http://schemas.openxmlformats.org/officeDocument/2006/relationships/hyperlink" Target="https://www.newspapers.com/image/384174219/?terms=Hiram%2BJohnson%2BHigh%2BSchool%2Bshooting" TargetMode="External"/><Relationship Id="rId1170" Type="http://schemas.openxmlformats.org/officeDocument/2006/relationships/hyperlink" Target="https://www.newspapers.com/image/265350967/?terms=marian%2Bgreen" TargetMode="External"/><Relationship Id="rId638" Type="http://schemas.openxmlformats.org/officeDocument/2006/relationships/hyperlink" Target="https://www.columbine-angels.com/School_Violence_2006-2007.htm" TargetMode="External"/><Relationship Id="rId845" Type="http://schemas.openxmlformats.org/officeDocument/2006/relationships/hyperlink" Target="https://www.chron.com/news/houston-texas/article/Eighth-grade-girl-dies-after-shooting-herself-at-2012069.php" TargetMode="External"/><Relationship Id="rId1030" Type="http://schemas.openxmlformats.org/officeDocument/2006/relationships/hyperlink" Target="https://www.upi.com/Archives/1990/01/16/Two-wounded-in-school-shooting-racial-tensions-blamed/1799632466000/" TargetMode="External"/><Relationship Id="rId1268" Type="http://schemas.openxmlformats.org/officeDocument/2006/relationships/hyperlink" Target="https://www.newspapers.com/image/151050501/?terms=principal%2Bof%2BLibby%2BC.%2BBooth%2BElementary%2BSchool%2Bwho%2Bwas%2Bshot%2Bto%2Bdeath" TargetMode="External"/><Relationship Id="rId277" Type="http://schemas.openxmlformats.org/officeDocument/2006/relationships/hyperlink" Target="https://www.dailyherald.com/news/20200714/prospect-heights-man-charged-after-shooting-near-frost-elementary-school" TargetMode="External"/><Relationship Id="rId400" Type="http://schemas.openxmlformats.org/officeDocument/2006/relationships/hyperlink" Target="http://www.tucsonnewsnow.com/story/37226015/school-shooting-cochise-county-coronado-elementary-lockdown-suicide-sierra-vista" TargetMode="External"/><Relationship Id="rId484" Type="http://schemas.openxmlformats.org/officeDocument/2006/relationships/hyperlink" Target="https://www.mysanantonio.com/news/local/article/Suspect-killed-by-polcie-during-chase-identified-6355557.php" TargetMode="External"/><Relationship Id="rId705" Type="http://schemas.openxmlformats.org/officeDocument/2006/relationships/hyperlink" Target="https://mtstandard.com/news/state-and-regional/student-dies-in-suicide-at-c-m-russell/article_6b906cf5-ad30-5bc9-87cd-1929be726a82.html" TargetMode="External"/><Relationship Id="rId1128" Type="http://schemas.openxmlformats.org/officeDocument/2006/relationships/hyperlink" Target="https://www.newspapers.com/image/379323248/?terms=temple%2Bhigh%2Bschool%2Bshooting" TargetMode="External"/><Relationship Id="rId137" Type="http://schemas.openxmlformats.org/officeDocument/2006/relationships/hyperlink" Target="https://www.recordnet.com/story/news/2022/08/15/student-gun-arrested-lincoln-high-school-stockton-california/10333624002/" TargetMode="External"/><Relationship Id="rId344" Type="http://schemas.openxmlformats.org/officeDocument/2006/relationships/hyperlink" Target="https://wwmt.com/news/local/battle-creek-academy-locked-down-after-building-shot" TargetMode="External"/><Relationship Id="rId691" Type="http://schemas.openxmlformats.org/officeDocument/2006/relationships/hyperlink" Target="https://www.nwitimes.com/news/local/eskew-guilty-in-wirt-high-school-shooting/article_c43a6d4c-8921-5a4a-8e1a-8af4f3506ca2.html" TargetMode="External"/><Relationship Id="rId789" Type="http://schemas.openxmlformats.org/officeDocument/2006/relationships/hyperlink" Target="http://www.washingtonpost.com/wp-dyn/articles/A13630-2004Feb4.html" TargetMode="External"/><Relationship Id="rId912" Type="http://schemas.openxmlformats.org/officeDocument/2006/relationships/hyperlink" Target="https://www.upi.com/Archives/1996/10/10/Teen-charged-in-school-bus-slaying/5274844920000/" TargetMode="External"/><Relationship Id="rId996" Type="http://schemas.openxmlformats.org/officeDocument/2006/relationships/hyperlink" Target="https://www.newspapers.com/image/218234824/?terms=Francis%2BW.%2BGregory%2BJunior%2BHigh%2BSchool%2Bshooting" TargetMode="External"/><Relationship Id="rId41" Type="http://schemas.openxmlformats.org/officeDocument/2006/relationships/hyperlink" Target="https://kfor.com/news/local/could-have-been-very-tragic-gun-accidentally-fired-near-elementary-school-strikes-teachers-car/" TargetMode="External"/><Relationship Id="rId551" Type="http://schemas.openxmlformats.org/officeDocument/2006/relationships/hyperlink" Target="https://www.cbsnews.com/news/la-salle-high-school-shooting-update-gun-used-in-ohio-classroom-came-from-home-police-say/" TargetMode="External"/><Relationship Id="rId649" Type="http://schemas.openxmlformats.org/officeDocument/2006/relationships/hyperlink" Target="https://www.columbine-angels.com/School_Violence_2006-2007.htm" TargetMode="External"/><Relationship Id="rId856" Type="http://schemas.openxmlformats.org/officeDocument/2006/relationships/hyperlink" Target="http://articles.latimes.com/2000/dec/02/local/me-60380" TargetMode="External"/><Relationship Id="rId1181" Type="http://schemas.openxmlformats.org/officeDocument/2006/relationships/hyperlink" Target="https://www.newspapers.com/image/234200567/?terms=student%2Bwho%2Bshot%2Bself" TargetMode="External"/><Relationship Id="rId1279" Type="http://schemas.openxmlformats.org/officeDocument/2006/relationships/hyperlink" Target="https://www.newspapers.com/image/377096935/" TargetMode="External"/><Relationship Id="rId190" Type="http://schemas.openxmlformats.org/officeDocument/2006/relationships/hyperlink" Target="https://www.wusa9.com/article/news/crime/shooting-outside-anacostia-high-school-caught-on-camera/65-2ad8c323-8d37-4f4d-9ee6-dc8adcd8bc46" TargetMode="External"/><Relationship Id="rId204" Type="http://schemas.openxmlformats.org/officeDocument/2006/relationships/hyperlink" Target="https://www.firstcoastnews.com/article/news/crime/jso-2-critically-wounded-after-moncrief-area-shooting-school-bus-hit-by-gunfire-jacksonville/77-3869f63b-d473-4a45-9724-e3fb6b7ba011" TargetMode="External"/><Relationship Id="rId288" Type="http://schemas.openxmlformats.org/officeDocument/2006/relationships/hyperlink" Target="https://chicago.cbslocal.com/2020/01/22/lindblom-high-school-shooting-robbery-swim-team-members/" TargetMode="External"/><Relationship Id="rId411" Type="http://schemas.openxmlformats.org/officeDocument/2006/relationships/hyperlink" Target="https://www.denverpost.com/2017/11/23/shooting-near-manual-high-school-denver/" TargetMode="External"/><Relationship Id="rId509" Type="http://schemas.openxmlformats.org/officeDocument/2006/relationships/hyperlink" Target="https://www.desmoinesregister.com/story/news/crime-and-courts/2014/12/22/teen-arrested-shooting-north-high-school/20767421/" TargetMode="External"/><Relationship Id="rId1041" Type="http://schemas.openxmlformats.org/officeDocument/2006/relationships/hyperlink" Target="https://www.deseretnews.com/article/34103/OFFICERS-SEEKING-ANSWERS-AFTER-JUNIOR-HIGH-SHOOTING.html" TargetMode="External"/><Relationship Id="rId1139" Type="http://schemas.openxmlformats.org/officeDocument/2006/relationships/hyperlink" Target="https://www.newspapers.com/image/112306526/?terms=troy%2Bhale" TargetMode="External"/><Relationship Id="rId495" Type="http://schemas.openxmlformats.org/officeDocument/2006/relationships/hyperlink" Target="https://www.al.com/news/mobile/index.ssf/2015/01/one_shot_in_the_buttock_after.html" TargetMode="External"/><Relationship Id="rId716" Type="http://schemas.openxmlformats.org/officeDocument/2006/relationships/hyperlink" Target="https://www.newspapers.com/image/164693932/?terms=Mount%2BPleasant%2BHigh%2BSchool%2Bshooting" TargetMode="External"/><Relationship Id="rId923" Type="http://schemas.openxmlformats.org/officeDocument/2006/relationships/hyperlink" Target="https://apnews.com/a07c45ae91ad4f448d560abb24e292f1" TargetMode="External"/><Relationship Id="rId52" Type="http://schemas.openxmlformats.org/officeDocument/2006/relationships/hyperlink" Target="https://pix11.com/news/local-news/queens/boy-13-arrested-in-shooting-of-2-other-teens-outside-queens-school-police/" TargetMode="External"/><Relationship Id="rId148" Type="http://schemas.openxmlformats.org/officeDocument/2006/relationships/hyperlink" Target="https://www.msn.com/en-us/news/crime/shots-fired-near-john-finney-cause-lockdown/ar-AAZNJZH?ocid=hplocalnews&amp;srcref=rss" TargetMode="External"/><Relationship Id="rId355" Type="http://schemas.openxmlformats.org/officeDocument/2006/relationships/hyperlink" Target="https://abc7news.com/3-students-in-custody-1-hurt-after-police-find-gun-on-sf-campus/4100641/" TargetMode="External"/><Relationship Id="rId562" Type="http://schemas.openxmlformats.org/officeDocument/2006/relationships/hyperlink" Target="https://www.newspapers.com/image/452822197" TargetMode="External"/><Relationship Id="rId1192" Type="http://schemas.openxmlformats.org/officeDocument/2006/relationships/hyperlink" Target="https://www.newspapers.com/image/72988843/?terms=Weymouth%2BSouth%2BHigh%2BSchool%2Bshooting" TargetMode="External"/><Relationship Id="rId1206" Type="http://schemas.openxmlformats.org/officeDocument/2006/relationships/hyperlink" Target="https://www.newspapers.com/image/139488488/?terms=school%2Bshooting" TargetMode="External"/><Relationship Id="rId215" Type="http://schemas.openxmlformats.org/officeDocument/2006/relationships/hyperlink" Target="https://www.fox29.com/news/15-year-old-boy-shot-outside-school-in-north-philadelphia-police-say" TargetMode="External"/><Relationship Id="rId422" Type="http://schemas.openxmlformats.org/officeDocument/2006/relationships/hyperlink" Target="https://fox4kc.com/2017/09/29/lees-summit-north-high-school-dismissing-students-early-due-to-an-incident/" TargetMode="External"/><Relationship Id="rId867" Type="http://schemas.openxmlformats.org/officeDocument/2006/relationships/hyperlink" Target="https://www.cbsnews.com/news/fear-turns-to-outrage-at-tucson-school/" TargetMode="External"/><Relationship Id="rId1052" Type="http://schemas.openxmlformats.org/officeDocument/2006/relationships/hyperlink" Target="https://news.google.com/newspapers?id=zWcaAAAAIBAJ&amp;pg=4608,2375219" TargetMode="External"/><Relationship Id="rId299" Type="http://schemas.openxmlformats.org/officeDocument/2006/relationships/hyperlink" Target="https://www.katc.com/news/acadia-parish/police-confirm-arrest-of-second-suspect-in-shooting-near-rayne-hs-stadium" TargetMode="External"/><Relationship Id="rId727" Type="http://schemas.openxmlformats.org/officeDocument/2006/relationships/hyperlink" Target="https://dailyjournalonline.com/news/local/farmington-youth-is-headed-for-prison/article_c56ed328-1d5d-5ef6-82a8-d88ae950e9e3.html" TargetMode="External"/><Relationship Id="rId934" Type="http://schemas.openxmlformats.org/officeDocument/2006/relationships/hyperlink" Target="https://www.newspapers.com/image/159244311/?terms=Hollywood%2BHigh%2BSchool%2Bshooting" TargetMode="External"/><Relationship Id="rId63" Type="http://schemas.openxmlformats.org/officeDocument/2006/relationships/hyperlink" Target="https://www.wtkr.com/news/police-to-give-update-after-teacher-shot-by-6-year-old-student-in-newport-news" TargetMode="External"/><Relationship Id="rId159" Type="http://schemas.openxmlformats.org/officeDocument/2006/relationships/hyperlink" Target="https://www.laconiadailysun.com/news/local/belmont-police-investigate-pellet-gun-shooting-targeted-at-children/article_19c3bb5e-d608-11ec-879e-5bb5cf440fe6.html" TargetMode="External"/><Relationship Id="rId366" Type="http://schemas.openxmlformats.org/officeDocument/2006/relationships/hyperlink" Target="https://abcnews.go.com/US/critical-condition-shooting-kansas-elementary-school-police/story?id=56340440" TargetMode="External"/><Relationship Id="rId573" Type="http://schemas.openxmlformats.org/officeDocument/2006/relationships/hyperlink" Target="https://www.wbtv.com/story/15592235/man-shot-twice-at-garinger-high-school-police-say/" TargetMode="External"/><Relationship Id="rId780" Type="http://schemas.openxmlformats.org/officeDocument/2006/relationships/hyperlink" Target="https://www.newspapers.com/image/285023326/?terms=East%2BCampus%2BEducational%2BCenter%2BJulio%2BNajar" TargetMode="External"/><Relationship Id="rId1217" Type="http://schemas.openxmlformats.org/officeDocument/2006/relationships/hyperlink" Target="https://www.newspapers.com/image/165856618/?terms=school%2Bshooting" TargetMode="External"/><Relationship Id="rId226" Type="http://schemas.openxmlformats.org/officeDocument/2006/relationships/hyperlink" Target="https://whdh.com/news/police-2-teens-facing-charges-after-shooting-bar-school-bus-more-than-40-cars-with-bb-guns-on-north-shore/" TargetMode="External"/><Relationship Id="rId433" Type="http://schemas.openxmlformats.org/officeDocument/2006/relationships/hyperlink" Target="https://www.fox23.com/news/tulsa-police-respond-to-reports-of-shots-fired-at-mcclain-high-school/436311154" TargetMode="External"/><Relationship Id="rId878" Type="http://schemas.openxmlformats.org/officeDocument/2006/relationships/hyperlink" Target="http://articles.latimes.com/1999/oct/22/local/me-24932" TargetMode="External"/><Relationship Id="rId1063" Type="http://schemas.openxmlformats.org/officeDocument/2006/relationships/hyperlink" Target="https://www.newspapers.com/image/406009908/?terms=STUDENT%2BSHOT" TargetMode="External"/><Relationship Id="rId1270" Type="http://schemas.openxmlformats.org/officeDocument/2006/relationships/hyperlink" Target="https://www.newspapers.com/image/6263611/?terms=school%2Bshooting" TargetMode="External"/><Relationship Id="rId640" Type="http://schemas.openxmlformats.org/officeDocument/2006/relationships/hyperlink" Target="https://www.brownsvilleherald.com/news/local/parents-remove-children-after-student-fires-gun-at-school/article_10ab2498-9eb9-5db8-97fd-9bed18dcdc95.html" TargetMode="External"/><Relationship Id="rId738" Type="http://schemas.openxmlformats.org/officeDocument/2006/relationships/hyperlink" Target="https://www.denverpost.com/2005/05/24/pellets-strike-2-adults-on-busy-school-playground/" TargetMode="External"/><Relationship Id="rId945" Type="http://schemas.openxmlformats.org/officeDocument/2006/relationships/hyperlink" Target="https://www.newspapers.com/image/403544801/?terms=Aron%2BGilliam" TargetMode="External"/><Relationship Id="rId74" Type="http://schemas.openxmlformats.org/officeDocument/2006/relationships/hyperlink" Target="https://fox59.com/indiana-news/investigation-underway-following-firearm-incident-near-west-th-elementary-school/" TargetMode="External"/><Relationship Id="rId377" Type="http://schemas.openxmlformats.org/officeDocument/2006/relationships/hyperlink" Target="http://www.cbs46.com/story/38020869/us-marshals-suspect-involved-in-mays-high-school-shooting-apprehended" TargetMode="External"/><Relationship Id="rId500" Type="http://schemas.openxmlformats.org/officeDocument/2006/relationships/hyperlink" Target="https://pittsburgh.cbslocal.com/2014/12/17/shooting-at-stanton-heights-elementary-school/" TargetMode="External"/><Relationship Id="rId584" Type="http://schemas.openxmlformats.org/officeDocument/2006/relationships/hyperlink" Target="http://www.wistv.com/story/23589594/school-shootings-in-south-carolina" TargetMode="External"/><Relationship Id="rId805" Type="http://schemas.openxmlformats.org/officeDocument/2006/relationships/hyperlink" Target="https://en.wikipedia.org/wiki/List_of_school_shootings_in_the_United_States" TargetMode="External"/><Relationship Id="rId1130" Type="http://schemas.openxmlformats.org/officeDocument/2006/relationships/hyperlink" Target="https://www.newspapers.com/image/381958766/?terms=student%2Bshot" TargetMode="External"/><Relationship Id="rId1228" Type="http://schemas.openxmlformats.org/officeDocument/2006/relationships/hyperlink" Target="https://www.newspapers.com/image/140719112/?terms=school%2Bshooting" TargetMode="External"/><Relationship Id="rId5" Type="http://schemas.openxmlformats.org/officeDocument/2006/relationships/hyperlink" Target="https://abc3340.com/news/local/student-shot-at-anniston-high-school-school-evacuated-fake-bomb-threat-shooting-injured-tile-floor-grazed-injuries-police-department-investigating" TargetMode="External"/><Relationship Id="rId237" Type="http://schemas.openxmlformats.org/officeDocument/2006/relationships/hyperlink" Target="https://www.insidenova.com/news/crime_police/police-investigate-shots-fired-in-dale-city-school-parking-lot/article_ffda50d0-0061-11ec-945a-9343d5248cec.html" TargetMode="External"/><Relationship Id="rId791" Type="http://schemas.openxmlformats.org/officeDocument/2006/relationships/hyperlink" Target="https://www.newspapers.com/image/192733466/?terms=Pomona%2BHigh%2BSchool%2Bstudent%2Bshot" TargetMode="External"/><Relationship Id="rId889" Type="http://schemas.openxmlformats.org/officeDocument/2006/relationships/hyperlink" Target="https://www.deseretnews.com/article/679792/News-capsules.html" TargetMode="External"/><Relationship Id="rId1074" Type="http://schemas.openxmlformats.org/officeDocument/2006/relationships/hyperlink" Target="https://www.newspapers.com/image/430983332/?terms=student%2Bshot" TargetMode="External"/><Relationship Id="rId444" Type="http://schemas.openxmlformats.org/officeDocument/2006/relationships/hyperlink" Target="http://www.alexcityoutlook.com/2017/01/09/two-students-taken-into-custody-after-gun-goes-off-at-middle-school/" TargetMode="External"/><Relationship Id="rId651" Type="http://schemas.openxmlformats.org/officeDocument/2006/relationships/hyperlink" Target="https://www.ourmidland.com/news/article/One-dead-one-hurt-in-Dow-High-shooting-7037728.php" TargetMode="External"/><Relationship Id="rId749" Type="http://schemas.openxmlformats.org/officeDocument/2006/relationships/hyperlink" Target="https://www.newspapers.com/image/321630892/?terms=o.%2Bperry%2Bhigh%2Bschool" TargetMode="External"/><Relationship Id="rId1281" Type="http://schemas.openxmlformats.org/officeDocument/2006/relationships/hyperlink" Target="https://www.newspapers.com/image/377094051/?terms=school%2Bshooting" TargetMode="External"/><Relationship Id="rId290" Type="http://schemas.openxmlformats.org/officeDocument/2006/relationships/hyperlink" Target="https://www.wptv.com/news/region-the-glades/belle-glade/lockdown-lifted-at-glades-central-high-school-following-shooting" TargetMode="External"/><Relationship Id="rId304" Type="http://schemas.openxmlformats.org/officeDocument/2006/relationships/hyperlink" Target="https://www.wmar2news.com/news/crime-checker/baltimore-city-crime/triple-shooting-near-elementary-school-leaves-one-man-dead-on-monday" TargetMode="External"/><Relationship Id="rId388" Type="http://schemas.openxmlformats.org/officeDocument/2006/relationships/hyperlink" Target="https://fox2now.com/2018/03/05/students-sent-home-after-suicide-at-washington-county-school/" TargetMode="External"/><Relationship Id="rId511" Type="http://schemas.openxmlformats.org/officeDocument/2006/relationships/hyperlink" Target="https://www.fredericknewspost.com/news/crime_and_justice/cops_and_crime/two-face-charges-in-wednesday-gunfire-at-heather-ridge-school/article_737ade83-ddbb-5d49-af29-7f18d962e3a3.html" TargetMode="External"/><Relationship Id="rId609" Type="http://schemas.openxmlformats.org/officeDocument/2006/relationships/hyperlink" Target="https://www.eastbaytimes.com/2008/11/24/oaklands-cole-middle-school-to-use-metal-detectors-after-recent-gun-scare/" TargetMode="External"/><Relationship Id="rId956" Type="http://schemas.openxmlformats.org/officeDocument/2006/relationships/hyperlink" Target="http://buffalonews.com/1993/09/18/gunman-wounds-4-at-school-kills-self-shooting-takes-place-on-football-field/" TargetMode="External"/><Relationship Id="rId1141" Type="http://schemas.openxmlformats.org/officeDocument/2006/relationships/hyperlink" Target="https://www.newspapers.com/image/372294245/?terms=lemmel%2Bmiddle%2Bschool" TargetMode="External"/><Relationship Id="rId1239" Type="http://schemas.openxmlformats.org/officeDocument/2006/relationships/hyperlink" Target="https://www.newspapers.com/image/68536508/?terms=school%2Bshooting" TargetMode="External"/><Relationship Id="rId85" Type="http://schemas.openxmlformats.org/officeDocument/2006/relationships/hyperlink" Target="https://www.wsmv.com/2022/11/15/metro-police-investigating-after-19-year-old-shot-killed/" TargetMode="External"/><Relationship Id="rId150" Type="http://schemas.openxmlformats.org/officeDocument/2006/relationships/hyperlink" Target="https://www.cbsnews.com/chicago/news/woman-and-2-teenagers-injured-after-shooting-near-school-gresham/" TargetMode="External"/><Relationship Id="rId595" Type="http://schemas.openxmlformats.org/officeDocument/2006/relationships/hyperlink" Target="https://www.columbine-angels.com/School_Violence_2008-2009.htm" TargetMode="External"/><Relationship Id="rId816" Type="http://schemas.openxmlformats.org/officeDocument/2006/relationships/hyperlink" Target="https://trib.com/news/state-and-regional/shots-fired-outside-colorado-high-school/article_6fc1cc83-9e5a-5600-ba1a-d3044ce97ab7.html" TargetMode="External"/><Relationship Id="rId1001" Type="http://schemas.openxmlformats.org/officeDocument/2006/relationships/hyperlink" Target="https://www.newspapers.com/image/300231582/?terms=Genevieve%2BSparks%2BElementary%2BSchool" TargetMode="External"/><Relationship Id="rId248" Type="http://schemas.openxmlformats.org/officeDocument/2006/relationships/hyperlink" Target="https://chicago.cbslocal.com/2021/05/03/near-west-side-shooting-2/" TargetMode="External"/><Relationship Id="rId455" Type="http://schemas.openxmlformats.org/officeDocument/2006/relationships/hyperlink" Target="http://www.mlive.com/news/jackson/index.ssf/2016/09/student_shot_on_school_bus_out.html" TargetMode="External"/><Relationship Id="rId662" Type="http://schemas.openxmlformats.org/officeDocument/2006/relationships/hyperlink" Target="https://www.lasvegasnow.com/news/shooter-in-western-high-school-case-in-custody/81454838" TargetMode="External"/><Relationship Id="rId1085" Type="http://schemas.openxmlformats.org/officeDocument/2006/relationships/hyperlink" Target="https://www.newspapers.com/image/399571341/?terms=tammy%2Bfowler%2Bcarver" TargetMode="External"/><Relationship Id="rId1292" Type="http://schemas.openxmlformats.org/officeDocument/2006/relationships/hyperlink" Target="https://www.newspapers.com/image/20769968/?terms=school%2Bshooting" TargetMode="External"/><Relationship Id="rId1306" Type="http://schemas.openxmlformats.org/officeDocument/2006/relationships/hyperlink" Target="https://www.newspapers.com/image/23768017/?terms=school%2Bshooting" TargetMode="External"/><Relationship Id="rId12" Type="http://schemas.openxmlformats.org/officeDocument/2006/relationships/hyperlink" Target="https://www.fox6now.com/news/shots-fired-barack-obama-school-man-charged" TargetMode="External"/><Relationship Id="rId108" Type="http://schemas.openxmlformats.org/officeDocument/2006/relationships/hyperlink" Target="https://apnews.com/article/sports-football-shootings-ohio-high-school-da5e242248f3a8cfa21765123ef32a5d" TargetMode="External"/><Relationship Id="rId315" Type="http://schemas.openxmlformats.org/officeDocument/2006/relationships/hyperlink" Target="https://www.mcall.com/news/police/mc-nws-emmaus-shooting-conspiracy-prelim-20200110-2setspazpzapxmcnt7ljuyvfx4-story.html" TargetMode="External"/><Relationship Id="rId522" Type="http://schemas.openxmlformats.org/officeDocument/2006/relationships/hyperlink" Target="https://www.bendbulletin.com/home/1790423-151/details-emerge-in-bend-high-suicide" TargetMode="External"/><Relationship Id="rId967" Type="http://schemas.openxmlformats.org/officeDocument/2006/relationships/hyperlink" Target="https://www.newspapers.com/image/141626514/?terms=Sumner%2BHigh%2BSchool" TargetMode="External"/><Relationship Id="rId1152" Type="http://schemas.openxmlformats.org/officeDocument/2006/relationships/hyperlink" Target="https://www.newspapers.com/image/279068651/?terms=teacher%2Bshot" TargetMode="External"/><Relationship Id="rId96" Type="http://schemas.openxmlformats.org/officeDocument/2006/relationships/hyperlink" Target="https://abc6onyourside.com/news/local/17-year-old-girl-grazed-after-shots-fired-near-elementary-school" TargetMode="External"/><Relationship Id="rId161" Type="http://schemas.openxmlformats.org/officeDocument/2006/relationships/hyperlink" Target="https://www.sbsun.com/2022/05/03/gunfire-in-san-bernardino-causes-car-to-crash-leaves-bullet-holes-in-school/" TargetMode="External"/><Relationship Id="rId399" Type="http://schemas.openxmlformats.org/officeDocument/2006/relationships/hyperlink" Target="http://www.nola.com/crime/index.ssf/2018/02/how_many_school_shootings_2018.html" TargetMode="External"/><Relationship Id="rId827" Type="http://schemas.openxmlformats.org/officeDocument/2006/relationships/hyperlink" Target="https://www.newspapers.com/image/229238117/?terms=Toran%2BJoseph%2BRichard%2BAntoine%2Bschool%2Bdance" TargetMode="External"/><Relationship Id="rId1012" Type="http://schemas.openxmlformats.org/officeDocument/2006/relationships/hyperlink" Target="https://www.newspapers.com/image/289233212/?terms=Franklin%2BAlternative%2BMiddle%2BSchool%2Bshooting" TargetMode="External"/><Relationship Id="rId259" Type="http://schemas.openxmlformats.org/officeDocument/2006/relationships/hyperlink" Target="https://www.mywabashvalley.com/top-news/thpd-shots-fired-at-terre-haute-high-school-no-injuries/" TargetMode="External"/><Relationship Id="rId466" Type="http://schemas.openxmlformats.org/officeDocument/2006/relationships/hyperlink" Target="http://www.newsherald.com/news/20160509/probe-into-detention-officers-accidental-shooting-near-oscar-patterson-underway" TargetMode="External"/><Relationship Id="rId673" Type="http://schemas.openxmlformats.org/officeDocument/2006/relationships/hyperlink" Target="https://www.eastbaytimes.com/2006/11/13/man-killed-at-oakland-school-party/" TargetMode="External"/><Relationship Id="rId880" Type="http://schemas.openxmlformats.org/officeDocument/2006/relationships/hyperlink" Target="https://www.cbsnews.com/news/vice-principal-shot-in-scuffle/" TargetMode="External"/><Relationship Id="rId1096" Type="http://schemas.openxmlformats.org/officeDocument/2006/relationships/hyperlink" Target="https://people.com/archive/a-16-year-old-alabama-boy-points-a-gun-shoots-a-friend-and-kills-himself-in-remorse-vol-25-no-2/" TargetMode="External"/><Relationship Id="rId23" Type="http://schemas.openxmlformats.org/officeDocument/2006/relationships/hyperlink" Target="https://chicago.suntimes.com/crime/2023/3/2/23622163/andres-vasquez-lasso-chicago-police-officer-slain-kids-sawyer-elementary-gage-park" TargetMode="External"/><Relationship Id="rId119" Type="http://schemas.openxmlformats.org/officeDocument/2006/relationships/hyperlink" Target="https://www.11alive.com/article/news/state/gunfire-ends-high-school-football-game/85-ab5afbe9-ea46-4bbf-88ee-7add3fa67ef3" TargetMode="External"/><Relationship Id="rId326" Type="http://schemas.openxmlformats.org/officeDocument/2006/relationships/hyperlink" Target="https://kdvr.com/2019/02/18/man-shot-in-neighbor-dispute-idd-as-former-cu-football-player-assistant-high-school-principal/" TargetMode="External"/><Relationship Id="rId533" Type="http://schemas.openxmlformats.org/officeDocument/2006/relationships/hyperlink" Target="https://www.clickorlando.com/news/student-shot-in-face-at-west-orange-high-school-_2015110710074418" TargetMode="External"/><Relationship Id="rId978" Type="http://schemas.openxmlformats.org/officeDocument/2006/relationships/hyperlink" Target="https://www.newspapers.com/image/257172973/?terms=Virginia%2BWilcox" TargetMode="External"/><Relationship Id="rId1163" Type="http://schemas.openxmlformats.org/officeDocument/2006/relationships/hyperlink" Target="https://www.newspapers.com/image/378838711/?terms=Manuel%2BArts%2BHigh%2BSchool%2Bshooting" TargetMode="External"/><Relationship Id="rId740" Type="http://schemas.openxmlformats.org/officeDocument/2006/relationships/hyperlink" Target="http://articles.chicagotribune.com/2005-05-26/news/0505260268_1_hallman-pupils-soft-air-gun" TargetMode="External"/><Relationship Id="rId838" Type="http://schemas.openxmlformats.org/officeDocument/2006/relationships/hyperlink" Target="https://www.deseretnews.com/article/868847/Boy-shoots-self-at-school.html" TargetMode="External"/><Relationship Id="rId1023" Type="http://schemas.openxmlformats.org/officeDocument/2006/relationships/hyperlink" Target="https://www.columbine-angels.com/School_Violence_1990-1991.htm" TargetMode="External"/><Relationship Id="rId172" Type="http://schemas.openxmlformats.org/officeDocument/2006/relationships/hyperlink" Target="https://www.actionnews5.com/2022/03/26/shots-fired-during-candlelight-vigil-brighton-high-school/" TargetMode="External"/><Relationship Id="rId477" Type="http://schemas.openxmlformats.org/officeDocument/2006/relationships/hyperlink" Target="https://www.miamiherald.com/news/local/community/miami-dade/article45747750.html" TargetMode="External"/><Relationship Id="rId600" Type="http://schemas.openxmlformats.org/officeDocument/2006/relationships/hyperlink" Target="https://www.columbine-angels.com/School_Violence_2008-2009.htm" TargetMode="External"/><Relationship Id="rId684" Type="http://schemas.openxmlformats.org/officeDocument/2006/relationships/hyperlink" Target="http://www.14news.com/story/5306020/funeral-set-for-castle-suicide-victim?clienttype=printable&amp;redirected=true" TargetMode="External"/><Relationship Id="rId1230" Type="http://schemas.openxmlformats.org/officeDocument/2006/relationships/hyperlink" Target="https://www.newspapers.com/image/98347062/?terms=school%2Bshooting" TargetMode="External"/><Relationship Id="rId337" Type="http://schemas.openxmlformats.org/officeDocument/2006/relationships/hyperlink" Target="https://baltimore.cbslocal.com/2018/11/12/school-resource-officer-suicide/" TargetMode="External"/><Relationship Id="rId891" Type="http://schemas.openxmlformats.org/officeDocument/2006/relationships/hyperlink" Target="https://www.nytimes.com/1999/01/15/nyregion/2-students-shot-outside-bronx-high-school.html" TargetMode="External"/><Relationship Id="rId905" Type="http://schemas.openxmlformats.org/officeDocument/2006/relationships/hyperlink" Target="https://www.newspapers.com/image/186768947/?terms=student%2Bshoots" TargetMode="External"/><Relationship Id="rId989" Type="http://schemas.openxmlformats.org/officeDocument/2006/relationships/hyperlink" Target="https://www.newspapers.com/image/300277708/?terms=Huntsville%2BJunior%2BHigh%2BSchool%2Bshooting" TargetMode="External"/><Relationship Id="rId34" Type="http://schemas.openxmlformats.org/officeDocument/2006/relationships/hyperlink" Target="https://www.cbsnews.com/newyork/news/staten-island-elementary-school-shots-fired-stapleton-ps-78/" TargetMode="External"/><Relationship Id="rId544" Type="http://schemas.openxmlformats.org/officeDocument/2006/relationships/hyperlink" Target="http://www.wmcactionnews5.com/story/23229636/5-year-old-fires-gun-in-school-cafeteria" TargetMode="External"/><Relationship Id="rId751" Type="http://schemas.openxmlformats.org/officeDocument/2006/relationships/hyperlink" Target="https://www.bgfalconmedia.com/fourth-grader-injured-after-toting-gun-to-school/article_b41044bf-61db-5b3a-a623-89b6ca62a191.html" TargetMode="External"/><Relationship Id="rId849" Type="http://schemas.openxmlformats.org/officeDocument/2006/relationships/hyperlink" Target="https://www.deseretnews.com/article/831817/School-hopes-suicide-doesnt-put-it-in-spotlight.html" TargetMode="External"/><Relationship Id="rId1174" Type="http://schemas.openxmlformats.org/officeDocument/2006/relationships/hyperlink" Target="https://www.newspapers.com/image/335123478/?terms=student%2Bshoots%2Bself" TargetMode="External"/><Relationship Id="rId183" Type="http://schemas.openxmlformats.org/officeDocument/2006/relationships/hyperlink" Target="https://www.krqe.com/sports/high-school-sports/del-norte-school-bus-shot-with-paintballs-after-espanola-game/" TargetMode="External"/><Relationship Id="rId390" Type="http://schemas.openxmlformats.org/officeDocument/2006/relationships/hyperlink" Target="https://www.cnn.com/2022/07/18/us/nikolas-cruz-parkland-shooter-penalty-phase/index.html" TargetMode="External"/><Relationship Id="rId404" Type="http://schemas.openxmlformats.org/officeDocument/2006/relationships/hyperlink" Target="https://www.dailynews.com/2017/12/28/man-arguing-with-girlfriend-in-lancaster-school-parking-lot-is-shot-by-another-man/" TargetMode="External"/><Relationship Id="rId611" Type="http://schemas.openxmlformats.org/officeDocument/2006/relationships/hyperlink" Target="https://www.deseretnews.com/article/865556503/High-court-No-immunity-in-case-of-15-year-old-killed-by-prop-gun-used-in-school-play.html" TargetMode="External"/><Relationship Id="rId1034" Type="http://schemas.openxmlformats.org/officeDocument/2006/relationships/hyperlink" Target="https://www.newspapers.com/image/228504621/?terms=student%2Bshot" TargetMode="External"/><Relationship Id="rId1241" Type="http://schemas.openxmlformats.org/officeDocument/2006/relationships/hyperlink" Target="https://www.newspapers.com/image/30473026/?terms=school%2Bshooting" TargetMode="External"/><Relationship Id="rId250" Type="http://schemas.openxmlformats.org/officeDocument/2006/relationships/hyperlink" Target="https://abc30.com/visalia-shooting-houston-elementary-school-police-man-shot/10361223/" TargetMode="External"/><Relationship Id="rId488" Type="http://schemas.openxmlformats.org/officeDocument/2006/relationships/hyperlink" Target="http://www.jacksonville.com/breaking-news/2015-05-14/story/two-students-shot-school-bus-jacksonvilles-westside-police-searching" TargetMode="External"/><Relationship Id="rId695" Type="http://schemas.openxmlformats.org/officeDocument/2006/relationships/hyperlink" Target="http://articles.sun-sentinel.com/2006-05-07/news/0605060367_1_charter-school-parking-lot-office-bill-robertson" TargetMode="External"/><Relationship Id="rId709" Type="http://schemas.openxmlformats.org/officeDocument/2006/relationships/hyperlink" Target="https://mtstandard.com/news/local/anaconda-students-expelled-after-air-gun-shooting-incident/article_846a24e2-3d18-5764-a1a7-ccfb3bb8e820.html" TargetMode="External"/><Relationship Id="rId916" Type="http://schemas.openxmlformats.org/officeDocument/2006/relationships/hyperlink" Target="https://pepperbough.com/features/2012/08/17/who-mourns-for-sexy-x/" TargetMode="External"/><Relationship Id="rId1101" Type="http://schemas.openxmlformats.org/officeDocument/2006/relationships/hyperlink" Target="https://www.newspapers.com/image/395559841/?terms=TROTWOOD%2BMADISON%2BSCHOOL%2BSHOOTING" TargetMode="External"/><Relationship Id="rId45" Type="http://schemas.openxmlformats.org/officeDocument/2006/relationships/hyperlink" Target="https://www.ky3.com/2023/01/29/spd-officers-investigating-shots-fired-near-glendale-high-school/" TargetMode="External"/><Relationship Id="rId110" Type="http://schemas.openxmlformats.org/officeDocument/2006/relationships/hyperlink" Target="https://www.boston.com/news/local-news/2022/10/04/person-shot-tuesday-morning-near-jeremiah-burke-high-school-in-dorchester/" TargetMode="External"/><Relationship Id="rId348" Type="http://schemas.openxmlformats.org/officeDocument/2006/relationships/hyperlink" Target="http://www.baltimoresun.com/news/maryland/crime/bs-md-ci-guns-fired-elementary-school-20180926-story.html" TargetMode="External"/><Relationship Id="rId555" Type="http://schemas.openxmlformats.org/officeDocument/2006/relationships/hyperlink" Target="https://patch.com/california/sanleandro/man-sentenced-to-prison-for-fatal-2013-shooting-at-hillside-elementary" TargetMode="External"/><Relationship Id="rId762" Type="http://schemas.openxmlformats.org/officeDocument/2006/relationships/hyperlink" Target="https://www.questia.com/newspaper/1G1-125515131/student-accidentally-shot-1-charged-terry-parker" TargetMode="External"/><Relationship Id="rId1185" Type="http://schemas.openxmlformats.org/officeDocument/2006/relationships/hyperlink" Target="https://www.newspapers.com/image/307812073/?terms=school%2Bshooting" TargetMode="External"/><Relationship Id="rId194" Type="http://schemas.openxmlformats.org/officeDocument/2006/relationships/hyperlink" Target="https://bronx.news12.com/nypd-shots-fired-outside-of-p-s-26-in-brooklyn-no-injuries-reported" TargetMode="External"/><Relationship Id="rId208" Type="http://schemas.openxmlformats.org/officeDocument/2006/relationships/hyperlink" Target="https://www.santafenewmexican.com/news/local_news/suspect-in-shooting-spree-near-santa-fe-indian-school-charged-with-murder/article_29ff33f0-5e89-11ec-b003-9f6af4c814ff.html" TargetMode="External"/><Relationship Id="rId415" Type="http://schemas.openxmlformats.org/officeDocument/2006/relationships/hyperlink" Target="https://rumble.com/v3x6k9-documents-reveal-what-police-think-happened-outside-pattengill-academy.html" TargetMode="External"/><Relationship Id="rId622" Type="http://schemas.openxmlformats.org/officeDocument/2006/relationships/hyperlink" Target="https://www.seattletimes.com/seattle-news/suspect-arrested-in-fatal-shooting-last-week-outside-federal-way-middle-school/" TargetMode="External"/><Relationship Id="rId1045" Type="http://schemas.openxmlformats.org/officeDocument/2006/relationships/hyperlink" Target="https://www.newspapers.com/image/200956524/?terms=arilyn%2Bjean%2BLelande" TargetMode="External"/><Relationship Id="rId1252" Type="http://schemas.openxmlformats.org/officeDocument/2006/relationships/hyperlink" Target="https://www.newspapers.com/image/186814707/?terms=school%2Bshooting" TargetMode="External"/><Relationship Id="rId261" Type="http://schemas.openxmlformats.org/officeDocument/2006/relationships/hyperlink" Target="https://www.stamfordadvocate.com/policereports/article/Police-Man-shot-early-Tuesday-in-Stamford-15678594.php" TargetMode="External"/><Relationship Id="rId499" Type="http://schemas.openxmlformats.org/officeDocument/2006/relationships/hyperlink" Target="https://fox17online.com/2014/12/17/basketball-player-shot-outside-godfrey-lee-high-school/" TargetMode="External"/><Relationship Id="rId927" Type="http://schemas.openxmlformats.org/officeDocument/2006/relationships/hyperlink" Target="http://community.seattletimes.nwsource.com/archive/?date=19950118&amp;slug=2100074" TargetMode="External"/><Relationship Id="rId1112" Type="http://schemas.openxmlformats.org/officeDocument/2006/relationships/hyperlink" Target="https://www.newspapers.com/newspage/5937341/" TargetMode="External"/><Relationship Id="rId56" Type="http://schemas.openxmlformats.org/officeDocument/2006/relationships/hyperlink" Target="https://www.abc4.com/news/central-utah/student-injured-after-shots-fired-at-saratoga-springs-high-school-wrestling-team-bus/" TargetMode="External"/><Relationship Id="rId359" Type="http://schemas.openxmlformats.org/officeDocument/2006/relationships/hyperlink" Target="https://www.news4jax.com/news/2018/08/25/police-gang-shooting-after-raines-high-school-football-game-kills-1-injures-2/" TargetMode="External"/><Relationship Id="rId566" Type="http://schemas.openxmlformats.org/officeDocument/2006/relationships/hyperlink" Target="https://www.abc6.com/story/18962837/pawtucket-police-investigate-shooting-behind-fire-station" TargetMode="External"/><Relationship Id="rId773" Type="http://schemas.openxmlformats.org/officeDocument/2006/relationships/hyperlink" Target="https://www.nwitimes.com/news/local/lake-county-news-briefs/article_cc5c39db-4f11-5fc4-8024-c813bc7b21f9.html" TargetMode="External"/><Relationship Id="rId1196" Type="http://schemas.openxmlformats.org/officeDocument/2006/relationships/hyperlink" Target="https://www.newspapers.com/image/98660556/?terms=school%2Bshooting" TargetMode="External"/><Relationship Id="rId121" Type="http://schemas.openxmlformats.org/officeDocument/2006/relationships/hyperlink" Target="https://www.pennlive.com/news/2022/09/child-detained-after-bb-gun-shot-on-pa-school-bus-police.html" TargetMode="External"/><Relationship Id="rId219" Type="http://schemas.openxmlformats.org/officeDocument/2006/relationships/hyperlink" Target="https://www.nbc15.com/2021/09/16/reports-shots-fired-near-orchard-ridge-elementary-school/" TargetMode="External"/><Relationship Id="rId426" Type="http://schemas.openxmlformats.org/officeDocument/2006/relationships/hyperlink" Target="https://www.sbsun.com/2017/09/01/shooting-cuts-arroyo-valley-high-school-football-game-short/" TargetMode="External"/><Relationship Id="rId633" Type="http://schemas.openxmlformats.org/officeDocument/2006/relationships/hyperlink" Target="https://www.nj.com/news/index.ssf/2010/09/newark_schoolyard_slaying_susp_1.html" TargetMode="External"/><Relationship Id="rId980" Type="http://schemas.openxmlformats.org/officeDocument/2006/relationships/hyperlink" Target="https://www.newspapers.com/image/389789093/?terms=laroyal%2Bcrowley" TargetMode="External"/><Relationship Id="rId1056" Type="http://schemas.openxmlformats.org/officeDocument/2006/relationships/hyperlink" Target="https://www.newspapers.com/image/67975492/?terms=school%2Bbus%2Bshooting" TargetMode="External"/><Relationship Id="rId1263" Type="http://schemas.openxmlformats.org/officeDocument/2006/relationships/hyperlink" Target="https://www.newspapers.com/image/208385082/?terms=boy+who+shot+students+may+have+stopped+riots" TargetMode="External"/><Relationship Id="rId840" Type="http://schemas.openxmlformats.org/officeDocument/2006/relationships/hyperlink" Target="http://www.enquirer.com/editions/2001/09/14/loc_children_who_saw.html" TargetMode="External"/><Relationship Id="rId938" Type="http://schemas.openxmlformats.org/officeDocument/2006/relationships/hyperlink" Target="https://www.washingtonpost.com/archive/local/1994/04/20/man-found-slain-at-dc-school/64a705c4-ab7a-43d0-b027-dd0b21ec008b/?utm_term=.21348ca8fd4b" TargetMode="External"/><Relationship Id="rId67" Type="http://schemas.openxmlformats.org/officeDocument/2006/relationships/hyperlink" Target="https://www.nbc4i.com/news/local-news/columbus/police-shots-fired-outside-columbus-school/" TargetMode="External"/><Relationship Id="rId272" Type="http://schemas.openxmlformats.org/officeDocument/2006/relationships/hyperlink" Target="https://www.kiro7.com/news/local/man-injured-gig-harbor-shooting/AMXZMA2TLZC53LAN53PMT5GNAE/" TargetMode="External"/><Relationship Id="rId577" Type="http://schemas.openxmlformats.org/officeDocument/2006/relationships/hyperlink" Target="https://sacramento.cbslocal.com/2012/04/24/verdict-reached-in-placerville-principal-slaying/" TargetMode="External"/><Relationship Id="rId700" Type="http://schemas.openxmlformats.org/officeDocument/2006/relationships/hyperlink" Target="https://www.usatoday.com/story/news/2015/10/01/roseburg-had-school-shooting-2006/73168186/" TargetMode="External"/><Relationship Id="rId1123" Type="http://schemas.openxmlformats.org/officeDocument/2006/relationships/hyperlink" Target="https://news.google.com/newspapers?id=uSEVAAAAIBAJ&amp;sjid=UwYEAAAAIBAJ&amp;pg=3636,1012288&amp;dq=" TargetMode="External"/><Relationship Id="rId132" Type="http://schemas.openxmlformats.org/officeDocument/2006/relationships/hyperlink" Target="https://www.local10.com/news/local/2022/09/05/adult-gambling-causes-shooting-injuring-3-teens-during-broward-little-league-football-game-police-say/" TargetMode="External"/><Relationship Id="rId784" Type="http://schemas.openxmlformats.org/officeDocument/2006/relationships/hyperlink" Target="https://www.iberianet.com/news/two-dead-in-friday-murder-suicide/article_6e2281d6-1558-5273-b883-8aa0132a8b2e.html" TargetMode="External"/><Relationship Id="rId991" Type="http://schemas.openxmlformats.org/officeDocument/2006/relationships/hyperlink" Target="https://www.nola.com/crime/index.ssf/2017/09/25_years_after_walker_students.html" TargetMode="External"/><Relationship Id="rId1067" Type="http://schemas.openxmlformats.org/officeDocument/2006/relationships/hyperlink" Target="https://www.newspapers.com/image/99920647/?terms=STUDENT%2BSHOT" TargetMode="External"/><Relationship Id="rId437" Type="http://schemas.openxmlformats.org/officeDocument/2006/relationships/hyperlink" Target="https://www.kptv.com/news/crime-stoppers-2017-deadly-shooting-near-menlo-park-elementary-school-remains-unsolved/article_c6c7f520-9dfd-11eb-90de-33d857869811.html" TargetMode="External"/><Relationship Id="rId644" Type="http://schemas.openxmlformats.org/officeDocument/2006/relationships/hyperlink" Target="https://www.newspapers.com/image/411133269/?terms=school%2Bbus%2B313" TargetMode="External"/><Relationship Id="rId851" Type="http://schemas.openxmlformats.org/officeDocument/2006/relationships/hyperlink" Target="http://articles.baltimoresun.com/2001-01-19/news/0101190243_1_sanders-inside-the-school-school-shooting" TargetMode="External"/><Relationship Id="rId1274" Type="http://schemas.openxmlformats.org/officeDocument/2006/relationships/hyperlink" Target="https://www.newspapers.com/image/377397441/?terms=school%2Bshooting" TargetMode="External"/><Relationship Id="rId283" Type="http://schemas.openxmlformats.org/officeDocument/2006/relationships/hyperlink" Target="https://www.wsmv.com/news/sro-accidentally-fires-gun-inside-elementary-school/article_37ac76fe-654b-11ea-88b9-3fd9db99f2ae.html" TargetMode="External"/><Relationship Id="rId490" Type="http://schemas.openxmlformats.org/officeDocument/2006/relationships/hyperlink" Target="https://www.cbsnews.com/news/boy-11-arrested-after-accidentally-firing-handgun-at-school/" TargetMode="External"/><Relationship Id="rId504" Type="http://schemas.openxmlformats.org/officeDocument/2006/relationships/hyperlink" Target="http://archive.commercialappeal.com/news/crime/student-shoots-himself-in-leg-at-a-maceo-walker-middle-memphis-police-say-ep-692582895-324312081.html/" TargetMode="External"/><Relationship Id="rId711" Type="http://schemas.openxmlformats.org/officeDocument/2006/relationships/hyperlink" Target="https://www.chron.com/news/houston-texas/article/Alvin-6th-grader-shoots-himself-in-the-leg-in-1939399.php" TargetMode="External"/><Relationship Id="rId949" Type="http://schemas.openxmlformats.org/officeDocument/2006/relationships/hyperlink" Target="https://www.newspapers.com/image/179150239/?terms=Richard%2BJefferson%2BMitchell" TargetMode="External"/><Relationship Id="rId1134" Type="http://schemas.openxmlformats.org/officeDocument/2006/relationships/hyperlink" Target="https://lakehighlands.advocatemag.com/2014/03/history-shooting-lake-highlands-cafeteria-worker-remembered/" TargetMode="External"/><Relationship Id="rId78" Type="http://schemas.openxmlformats.org/officeDocument/2006/relationships/hyperlink" Target="https://www.fox6now.com/news/milwaukee-teen-fatally-shot-during-south-division-basketball-game" TargetMode="External"/><Relationship Id="rId143" Type="http://schemas.openxmlformats.org/officeDocument/2006/relationships/hyperlink" Target="https://www.walb.com/2022/08/06/shots-fired-near-johnson-co-football-game/" TargetMode="External"/><Relationship Id="rId350" Type="http://schemas.openxmlformats.org/officeDocument/2006/relationships/hyperlink" Target="https://www.dailybulletin.com/2018/09/20/body-found-at-pomona-high-school/" TargetMode="External"/><Relationship Id="rId588" Type="http://schemas.openxmlformats.org/officeDocument/2006/relationships/hyperlink" Target="https://abc13.com/archive/6704811/" TargetMode="External"/><Relationship Id="rId795" Type="http://schemas.openxmlformats.org/officeDocument/2006/relationships/hyperlink" Target="https://dailyegyptian.com/27496/archives/man-shot-in-leg-cchs-game/" TargetMode="External"/><Relationship Id="rId809" Type="http://schemas.openxmlformats.org/officeDocument/2006/relationships/hyperlink" Target="https://www.washingtonpost.com/archive/politics/2003/04/15/youth-15-dies-in-shooting-at-new-orleans-high-school/a2b1c00e-b101-4b41-ae45-a150abc01ada/?utm_term=.0ec08f1f82f8" TargetMode="External"/><Relationship Id="rId1201" Type="http://schemas.openxmlformats.org/officeDocument/2006/relationships/hyperlink" Target="https://news.google.com/newspapers?id=xeUrAAAAIBAJ&amp;pg=1382,878132" TargetMode="External"/><Relationship Id="rId9" Type="http://schemas.openxmlformats.org/officeDocument/2006/relationships/hyperlink" Target="https://www.lodinews.com/news/article_0ca87658-c41e-11ed-b153-b764e5baf4f5.html" TargetMode="External"/><Relationship Id="rId210" Type="http://schemas.openxmlformats.org/officeDocument/2006/relationships/hyperlink" Target="https://www.cleveland19.com/2021/09/30/shot-fired-after-middle-school-football-game-east-cleveland/" TargetMode="External"/><Relationship Id="rId448" Type="http://schemas.openxmlformats.org/officeDocument/2006/relationships/hyperlink" Target="https://www.ksl.com/?sid=42051617&amp;nid=148&amp;title=14-year-old-charged-with-attempted-murder-in-union-middle-school-shooting" TargetMode="External"/><Relationship Id="rId655" Type="http://schemas.openxmlformats.org/officeDocument/2006/relationships/hyperlink" Target="https://portlandtribune.com/component/content/article?id=187719" TargetMode="External"/><Relationship Id="rId862" Type="http://schemas.openxmlformats.org/officeDocument/2006/relationships/hyperlink" Target="https://www.newspapers.com/image/324100036/?terms=Mount%2BHealthy%2C%2BOhio%2Bschool%2Bgun" TargetMode="External"/><Relationship Id="rId1078" Type="http://schemas.openxmlformats.org/officeDocument/2006/relationships/hyperlink" Target="https://www.newspapers.com/image/229316333/?terms=oscar%2Bmartinez" TargetMode="External"/><Relationship Id="rId1285" Type="http://schemas.openxmlformats.org/officeDocument/2006/relationships/hyperlink" Target="https://www.newspapers.com/image/9122502/?terms=school%2Bshooting" TargetMode="External"/><Relationship Id="rId294" Type="http://schemas.openxmlformats.org/officeDocument/2006/relationships/hyperlink" Target="https://abc7chicago.com/1-shot-outside-school-in-austin/5717900/" TargetMode="External"/><Relationship Id="rId308" Type="http://schemas.openxmlformats.org/officeDocument/2006/relationships/hyperlink" Target="https://www.stltoday.com/news/kristina-curry-found-dead-with-gunshot-wounds-at-roosevelt-high/article_965e67bc-9a38-577b-8346-2cb10be3843a.html" TargetMode="External"/><Relationship Id="rId515" Type="http://schemas.openxmlformats.org/officeDocument/2006/relationships/hyperlink" Target="https://wcti12.com/archive/two-j-h-rose-students-arrested-for-shooting-near-d-h-conley-1" TargetMode="External"/><Relationship Id="rId722" Type="http://schemas.openxmlformats.org/officeDocument/2006/relationships/hyperlink" Target="http://plainedgechat.proboards.com/thread/23" TargetMode="External"/><Relationship Id="rId1145" Type="http://schemas.openxmlformats.org/officeDocument/2006/relationships/hyperlink" Target="https://www.newspapers.com/image/365939621/?terms=Lake%2BBraddock%2BSecondary%2BSchool%2Bshooting" TargetMode="External"/><Relationship Id="rId89" Type="http://schemas.openxmlformats.org/officeDocument/2006/relationships/hyperlink" Target="https://www.wave3.com/2022/11/10/man-wounded-by-his-own-gun-accidental-shooting-elementary-school-hallway/" TargetMode="External"/><Relationship Id="rId154" Type="http://schemas.openxmlformats.org/officeDocument/2006/relationships/hyperlink" Target="https://www.tmj4.com/news/local-news/mpd-police-respond-to-riverside-high-school-twice-for-reports-of-shots-fired-fight" TargetMode="External"/><Relationship Id="rId361" Type="http://schemas.openxmlformats.org/officeDocument/2006/relationships/hyperlink" Target="https://www.wsmv.com/news/police-identify-man-accused-of-shooting-youth-football-coach-on/article_f8653b71-1014-5896-bc31-37c289db30f9.html" TargetMode="External"/><Relationship Id="rId599" Type="http://schemas.openxmlformats.org/officeDocument/2006/relationships/hyperlink" Target="https://www.columbine-angels.com/School_Violence_2008-2009.htm" TargetMode="External"/><Relationship Id="rId1005" Type="http://schemas.openxmlformats.org/officeDocument/2006/relationships/hyperlink" Target="https://www.newspapers.com/image/176460783/?terms=Dorsey%2BHigh%2BSchool%2Bshooting" TargetMode="External"/><Relationship Id="rId1212" Type="http://schemas.openxmlformats.org/officeDocument/2006/relationships/hyperlink" Target="https://www.newspapers.com/image/26422860/?terms=school%2Bshooting" TargetMode="External"/><Relationship Id="rId459" Type="http://schemas.openxmlformats.org/officeDocument/2006/relationships/hyperlink" Target="http://www.nbc4i.com/news/one-shot-at-west-side-middle-school-police-looking-for-group-of-males-as-suspects/1114333465" TargetMode="External"/><Relationship Id="rId666" Type="http://schemas.openxmlformats.org/officeDocument/2006/relationships/hyperlink" Target="https://triblive.com/x/pittsburghtrib/news/regional/s_484514.html" TargetMode="External"/><Relationship Id="rId873" Type="http://schemas.openxmlformats.org/officeDocument/2006/relationships/hyperlink" Target="https://www.newspapers.com/image/342081991/?terms=Albuquerque%2BHigh%2BSchool%2Bshooting" TargetMode="External"/><Relationship Id="rId1089" Type="http://schemas.openxmlformats.org/officeDocument/2006/relationships/hyperlink" Target="https://www.newspapers.com/image/321178464/?terms=McCauley%2BCharles%2BDrew%2BMiddle%2BSchool" TargetMode="External"/><Relationship Id="rId1296" Type="http://schemas.openxmlformats.org/officeDocument/2006/relationships/hyperlink" Target="https://www.newspapers.com/image/284280856/?terms=school%2Bshooting" TargetMode="External"/><Relationship Id="rId16" Type="http://schemas.openxmlformats.org/officeDocument/2006/relationships/hyperlink" Target="https://fox59.com/news/indycrime/person-shot-near-east-side-indy-high-school/" TargetMode="External"/><Relationship Id="rId221" Type="http://schemas.openxmlformats.org/officeDocument/2006/relationships/hyperlink" Target="https://www.ksdk.com/article/news/local/hazelwood-parents-bring-gun-school/63-858a7bac-0311-4c92-8471-c2770c2c7716" TargetMode="External"/><Relationship Id="rId319" Type="http://schemas.openxmlformats.org/officeDocument/2006/relationships/hyperlink" Target="https://www.kgw.com/article/news/local/police-id-student-accused-of-bringing-shotgun-to-parkrose-high-school/283-6998e18d-8460-4ab4-87bd-aab49b4082a8" TargetMode="External"/><Relationship Id="rId526" Type="http://schemas.openxmlformats.org/officeDocument/2006/relationships/hyperlink" Target="http://www.kfvs12.com/story/24557239/1-injured-in-shooting-on-carbondale-school-parking-lot" TargetMode="External"/><Relationship Id="rId1156" Type="http://schemas.openxmlformats.org/officeDocument/2006/relationships/hyperlink" Target="https://www.newspapers.com/image/371656005" TargetMode="External"/><Relationship Id="rId733" Type="http://schemas.openxmlformats.org/officeDocument/2006/relationships/hyperlink" Target="https://www.columbine-angels.com/School_Violence_2005-2006.htm" TargetMode="External"/><Relationship Id="rId940" Type="http://schemas.openxmlformats.org/officeDocument/2006/relationships/hyperlink" Target="http://www.columbine-angels.com/School_Violence_1993-1994.htm" TargetMode="External"/><Relationship Id="rId1016" Type="http://schemas.openxmlformats.org/officeDocument/2006/relationships/hyperlink" Target="https://www.newspapers.com/image/16849683/?terms=%22shot%20high%20school%20football%22&amp;match=1" TargetMode="External"/><Relationship Id="rId165" Type="http://schemas.openxmlformats.org/officeDocument/2006/relationships/hyperlink" Target="https://www.fox5atlanta.com/news/marietta-school-buses-windshield-shot" TargetMode="External"/><Relationship Id="rId372" Type="http://schemas.openxmlformats.org/officeDocument/2006/relationships/hyperlink" Target="https://www.indystar.com/story/news/crime/2018/05/29/noblesville-indiana-middle-school-shooting-unanswered-questions-shooter-weapons-victims/650866002/" TargetMode="External"/><Relationship Id="rId677" Type="http://schemas.openxmlformats.org/officeDocument/2006/relationships/hyperlink" Target="https://www.newspapers.com/image/166180631/?terms=POMONA%2BMIDDLE%2BSCHOOL" TargetMode="External"/><Relationship Id="rId800" Type="http://schemas.openxmlformats.org/officeDocument/2006/relationships/hyperlink" Target="https://www.newspapers.com/image/226188784/" TargetMode="External"/><Relationship Id="rId1223" Type="http://schemas.openxmlformats.org/officeDocument/2006/relationships/hyperlink" Target="https://news.google.com/newspapers?id=LQ9PAAAAIBAJ&amp;pg=3947,2156747" TargetMode="External"/><Relationship Id="rId232" Type="http://schemas.openxmlformats.org/officeDocument/2006/relationships/hyperlink" Target="https://keyt.com/news/crime/2021/08/28/police-investigating-shots-fired-at-santa-maria-high-school/" TargetMode="External"/><Relationship Id="rId884" Type="http://schemas.openxmlformats.org/officeDocument/2006/relationships/hyperlink" Target="https://www.newspapers.com/image/403219735/?terms=Geno%2BThomas%2Bshooting" TargetMode="External"/><Relationship Id="rId27" Type="http://schemas.openxmlformats.org/officeDocument/2006/relationships/hyperlink" Target="https://www.wapt.com/article/whitten-middle-school-shots-fired-near-school/43044539" TargetMode="External"/><Relationship Id="rId537" Type="http://schemas.openxmlformats.org/officeDocument/2006/relationships/hyperlink" Target="http://www.foxnews.com/world/2013/10/17/texas-student-kills-himself-in-front-high-school-classmates.html" TargetMode="External"/><Relationship Id="rId744" Type="http://schemas.openxmlformats.org/officeDocument/2006/relationships/hyperlink" Target="https://www.lobservateur.com/2005/05/02/godchaux-student-fires-handgun-in-class/" TargetMode="External"/><Relationship Id="rId951" Type="http://schemas.openxmlformats.org/officeDocument/2006/relationships/hyperlink" Target="https://www.newspapers.com/image/278601708/?terms=Bay%2BSprings%2BHigh%2BSchool%2Bshooting" TargetMode="External"/><Relationship Id="rId1167" Type="http://schemas.openxmlformats.org/officeDocument/2006/relationships/hyperlink" Target="https://www.newspapers.com/newspage/106527312/" TargetMode="External"/><Relationship Id="rId80" Type="http://schemas.openxmlformats.org/officeDocument/2006/relationships/hyperlink" Target="https://www.fox2detroit.com/news/16-year-old-charged-after-2-teens-shot-outside-detroits-henry-ford-high-school" TargetMode="External"/><Relationship Id="rId176" Type="http://schemas.openxmlformats.org/officeDocument/2006/relationships/hyperlink" Target="https://www.alaskasnewssource.com/2022/03/18/charges-forwarded-student-shooting-investigation-redington-jrsr-high-school/" TargetMode="External"/><Relationship Id="rId383" Type="http://schemas.openxmlformats.org/officeDocument/2006/relationships/hyperlink" Target="https://pilotonline.com/news/local/crime/article_32543292-2bcc-11e8-a262-877b86c9daad.html" TargetMode="External"/><Relationship Id="rId590" Type="http://schemas.openxmlformats.org/officeDocument/2006/relationships/hyperlink" Target="https://www.wral.com/news/local/story/4689449/" TargetMode="External"/><Relationship Id="rId604" Type="http://schemas.openxmlformats.org/officeDocument/2006/relationships/hyperlink" Target="http://www.startribune.com/shattuck-st-mary-s-school-under-fire-on-2008-case/173333511/" TargetMode="External"/><Relationship Id="rId811" Type="http://schemas.openxmlformats.org/officeDocument/2006/relationships/hyperlink" Target="https://web.archive.org/web/20050211181322/https:/www.nbc4.tv/news/2104581/detail.html" TargetMode="External"/><Relationship Id="rId1027" Type="http://schemas.openxmlformats.org/officeDocument/2006/relationships/hyperlink" Target="https://www.newspapers.com/image/13852014/?terms=Skyline%2BHigh%2BSchool%2Bshooting" TargetMode="External"/><Relationship Id="rId1234" Type="http://schemas.openxmlformats.org/officeDocument/2006/relationships/hyperlink" Target="https://www.newspapers.com/newspage/139614437/" TargetMode="External"/><Relationship Id="rId243" Type="http://schemas.openxmlformats.org/officeDocument/2006/relationships/hyperlink" Target="https://www.yourcentralvalley.com/news/local-news/driver-crashes-into-central-fresno-school-fence-after-being-shot-police-say/" TargetMode="External"/><Relationship Id="rId450" Type="http://schemas.openxmlformats.org/officeDocument/2006/relationships/hyperlink" Target="http://usatodayhss.com/2016/student-shot-outside-atlanta-high-school-after-football-game" TargetMode="External"/><Relationship Id="rId688" Type="http://schemas.openxmlformats.org/officeDocument/2006/relationships/hyperlink" Target="https://www.newspapers.com/image/379718672/?terms=J.%2BT.%2BAlton%2BMiddle%2BSchool%2Bbullet%2Bceiling" TargetMode="External"/><Relationship Id="rId895" Type="http://schemas.openxmlformats.org/officeDocument/2006/relationships/hyperlink" Target="https://greensboro.com/hostage-standoff-at-school-ends-with-pizza-soda/article_d803b03f-8fdb-5188-aaa5-5266f7217080.html" TargetMode="External"/><Relationship Id="rId909" Type="http://schemas.openxmlformats.org/officeDocument/2006/relationships/hyperlink" Target="https://www.nytimes.com/1997/02/14/nyregion/gunfire-injures-2-students-at-high-schools-in-bronx.html?auth=login-google" TargetMode="External"/><Relationship Id="rId1080" Type="http://schemas.openxmlformats.org/officeDocument/2006/relationships/hyperlink" Target="https://www.newspapers.com/image/195486648/?terms=South%2BOak%2BCliff%2BHigh%2BSchool%2Bshooting" TargetMode="External"/><Relationship Id="rId1301" Type="http://schemas.openxmlformats.org/officeDocument/2006/relationships/hyperlink" Target="https://www.newspapers.com/image/43039004/?terms=school%2Bshooting" TargetMode="External"/><Relationship Id="rId38" Type="http://schemas.openxmlformats.org/officeDocument/2006/relationships/hyperlink" Target="https://bronx.news12.com/nypd-3-people-shot-near-williamsburg-charter-school" TargetMode="External"/><Relationship Id="rId103" Type="http://schemas.openxmlformats.org/officeDocument/2006/relationships/hyperlink" Target="https://myfox8.com/news/north-carolina/greensboro/1-shot-in-parking-lot-of-dudley-high-school-taken-to-hospital-police-say/" TargetMode="External"/><Relationship Id="rId310" Type="http://schemas.openxmlformats.org/officeDocument/2006/relationships/hyperlink" Target="https://www.wsmv.com/news/three-in-custody-after-shots-fired-at-east-high-school/article_9f788d58-bfcf-11e9-bdda-c788cc06a4b1.html" TargetMode="External"/><Relationship Id="rId548" Type="http://schemas.openxmlformats.org/officeDocument/2006/relationships/hyperlink" Target="https://www.nbcmiami.com/news/local/Redland-Middle-School-Student-Injured-After-Bullet-Thrown-on-Floor-Exploded-Official-208862711.html" TargetMode="External"/><Relationship Id="rId755" Type="http://schemas.openxmlformats.org/officeDocument/2006/relationships/hyperlink" Target="http://articles.chicagotribune.com/2005-02-09/news/0502090400_1_chicago-public-schools-students-exits" TargetMode="External"/><Relationship Id="rId962" Type="http://schemas.openxmlformats.org/officeDocument/2006/relationships/hyperlink" Target="https://www.newspapers.com/image/278618494/?terms=Francis%2BT.%2BNicholls%2BHigh%2BSchool%2Bshooting" TargetMode="External"/><Relationship Id="rId1178" Type="http://schemas.openxmlformats.org/officeDocument/2006/relationships/hyperlink" Target="https://www.newspapers.com/image/107593168/?terms=DANIEL%2BPEREZ%2BARSENAL%2BTECHNICAL%2BHIGH%2BSCHOOL" TargetMode="External"/><Relationship Id="rId91" Type="http://schemas.openxmlformats.org/officeDocument/2006/relationships/hyperlink" Target="https://sports.yahoo.com/armed-man-threatened-shoot-students-202907424.html" TargetMode="External"/><Relationship Id="rId187" Type="http://schemas.openxmlformats.org/officeDocument/2006/relationships/hyperlink" Target="https://www.fox5atlanta.com/news/southwest-dekalb-high-school-student-accidentally-shot" TargetMode="External"/><Relationship Id="rId394" Type="http://schemas.openxmlformats.org/officeDocument/2006/relationships/hyperlink" Target="http://pgpolice.blogspot.ca/2018/02/two-teenage-suspects-in-custody-for-non.html" TargetMode="External"/><Relationship Id="rId408" Type="http://schemas.openxmlformats.org/officeDocument/2006/relationships/hyperlink" Target="http://www.hpenews.com/free/shot-fired-at-central-high-school-no-one-injured/article_574ce5ba-dea8-11e7-b849-5ffd746bf19a.html" TargetMode="External"/><Relationship Id="rId615" Type="http://schemas.openxmlformats.org/officeDocument/2006/relationships/hyperlink" Target="https://bangordailynews.com/2008/10/31/news/5th-graders-safe-after-police-arrest-armed-fugitive/" TargetMode="External"/><Relationship Id="rId822" Type="http://schemas.openxmlformats.org/officeDocument/2006/relationships/hyperlink" Target="https://www.myplainview.com/news/article/Scurry-Rosser-faculty-students-subdue-gunman-8787426.php" TargetMode="External"/><Relationship Id="rId1038" Type="http://schemas.openxmlformats.org/officeDocument/2006/relationships/hyperlink" Target="https://books.google.com/books?id=paCVN9ECUc4C&amp;pg=PA10&amp;lpg=PA10&amp;dq=George+Rogers+Clark+High+School+hostage+1995&amp;source=bl&amp;ots=nnsA6mfWJP&amp;sig=Eg_GpHVGdpBSqw57FExYfpEPEGg&amp;hl=en&amp;sa=X&amp;ved=0ahUKEwjEzNrvk_7bAhUIpFkKHYajCvgQ6AEIiQEwEg" TargetMode="External"/><Relationship Id="rId1245" Type="http://schemas.openxmlformats.org/officeDocument/2006/relationships/hyperlink" Target="https://www.newspapers.com/image/63455706/?terms=school%2Bshooting" TargetMode="External"/><Relationship Id="rId254" Type="http://schemas.openxmlformats.org/officeDocument/2006/relationships/hyperlink" Target="https://www.timesunion.com/news/article/Town-of-Perth-man-charged-for-alleged-animal-16084406.php" TargetMode="External"/><Relationship Id="rId699" Type="http://schemas.openxmlformats.org/officeDocument/2006/relationships/hyperlink" Target="http://www.downtownexpress.com/de_149/bbgunshotingatis89.html" TargetMode="External"/><Relationship Id="rId1091" Type="http://schemas.openxmlformats.org/officeDocument/2006/relationships/hyperlink" Target="https://www.newspapers.com/image/216501029/?terms=Boyet%2BJunior%2BHigh%2BSchool%2Bshooting" TargetMode="External"/><Relationship Id="rId1105" Type="http://schemas.openxmlformats.org/officeDocument/2006/relationships/hyperlink" Target="https://www.newspapers.com/image/245510114/?terms=Prince%2BTechnical%2BHigh%2BSchool" TargetMode="External"/><Relationship Id="rId49" Type="http://schemas.openxmlformats.org/officeDocument/2006/relationships/hyperlink" Target="https://fox4kc.com/news/kansas-city-police-find-shooting-victim-near-high-school/" TargetMode="External"/><Relationship Id="rId114" Type="http://schemas.openxmlformats.org/officeDocument/2006/relationships/hyperlink" Target="https://www.ksbw.com/article/teen-shot-while-leaving-north-monterey-county-high-football-game/41395462" TargetMode="External"/><Relationship Id="rId461" Type="http://schemas.openxmlformats.org/officeDocument/2006/relationships/hyperlink" Target="http://abc7chicago.com/news/cps-employee-fatally-shot-outside-mcnair-elementary-school/1388692/" TargetMode="External"/><Relationship Id="rId559" Type="http://schemas.openxmlformats.org/officeDocument/2006/relationships/hyperlink" Target="https://www.usatoday.com/story/news/nation/2013/01/08/school-shooting-florida/1817149/" TargetMode="External"/><Relationship Id="rId766" Type="http://schemas.openxmlformats.org/officeDocument/2006/relationships/hyperlink" Target="http://blog.al.com/spotnews/2009/04/suspect_in_drugrelated_titusvi.html" TargetMode="External"/><Relationship Id="rId1189" Type="http://schemas.openxmlformats.org/officeDocument/2006/relationships/hyperlink" Target="https://www.newspapers.com/image/396100647/?terms=school%2Bshooting" TargetMode="External"/><Relationship Id="rId198" Type="http://schemas.openxmlformats.org/officeDocument/2006/relationships/hyperlink" Target="https://www.khou.com/article/news/crime/armed-robbery-sam-rayburn-high-school/285-06becca9-eb0b-46ce-85e6-b710d108e7dc" TargetMode="External"/><Relationship Id="rId321" Type="http://schemas.openxmlformats.org/officeDocument/2006/relationships/hyperlink" Target="http://www.fox5atlanta.com/news/police-release-vehicle-description-in-fulton-county-school-bus-shooting" TargetMode="External"/><Relationship Id="rId419" Type="http://schemas.openxmlformats.org/officeDocument/2006/relationships/hyperlink" Target="https://newsmaven.io/charlottealerts/news/video-drug-dispute-erupts-into-shootout-at-gas-station-school-bus-gets-hit-ffkja5HUBEKh-yZn1VMiVQ" TargetMode="External"/><Relationship Id="rId626" Type="http://schemas.openxmlformats.org/officeDocument/2006/relationships/hyperlink" Target="https://www.nytimes.com/2008/02/12/us/12memphis.html" TargetMode="External"/><Relationship Id="rId973" Type="http://schemas.openxmlformats.org/officeDocument/2006/relationships/hyperlink" Target="https://people.com/archive/roll-call-of-the-dead-vol-39-no-23/" TargetMode="External"/><Relationship Id="rId1049" Type="http://schemas.openxmlformats.org/officeDocument/2006/relationships/hyperlink" Target="https://www.newspapers.com/image/299882814/?terms=Lincoln%2BHigh%2BSchool%2Bdallas%2Bpep%2Brally" TargetMode="External"/><Relationship Id="rId1256" Type="http://schemas.openxmlformats.org/officeDocument/2006/relationships/hyperlink" Target="https://www.newspapers.com/image/43038797/?terms=student%2Bshot" TargetMode="External"/><Relationship Id="rId833" Type="http://schemas.openxmlformats.org/officeDocument/2006/relationships/hyperlink" Target="https://www.cbsnews.com/news/arrest-in-nyc-school-shooting/" TargetMode="External"/><Relationship Id="rId1116" Type="http://schemas.openxmlformats.org/officeDocument/2006/relationships/hyperlink" Target="https://www.newspapers.com/image/368938109/?terms=Norco%2BHigh%2BSchool%2Bshooting" TargetMode="External"/><Relationship Id="rId265" Type="http://schemas.openxmlformats.org/officeDocument/2006/relationships/hyperlink" Target="https://www.klkntv.com/shots-fired-at-a-lincoln-elementary-school-officers-say-its-alarming/" TargetMode="External"/><Relationship Id="rId472" Type="http://schemas.openxmlformats.org/officeDocument/2006/relationships/hyperlink" Target="https://www.nbcphiladelphia.com/news/local/BREAKING-Benjamin-Franklin-High-School-on-Lockdown-After-Shell-Casing-Found-in-Stairwell--366996461.html" TargetMode="External"/><Relationship Id="rId900" Type="http://schemas.openxmlformats.org/officeDocument/2006/relationships/hyperlink" Target="https://www.questia.com/newspaper/1G1-57464504/two-students-shot-1-dead-teens-attacked-near-ribault" TargetMode="External"/><Relationship Id="rId125" Type="http://schemas.openxmlformats.org/officeDocument/2006/relationships/hyperlink" Target="https://www.wtol.com/article/news/local/jackson-michigan-middle-school-football-game-locked-down-shots-fired-in-vicinity/512-4d093342-30e0-4e92-b654-ee374f97fc87" TargetMode="External"/><Relationship Id="rId332" Type="http://schemas.openxmlformats.org/officeDocument/2006/relationships/hyperlink" Target="https://democratherald.com/news/local/sheriff-death-of-teen-in-jefferson-apparently-suicide/article_3eb0d660-a01e-55d9-8d38-076025be56cb.html" TargetMode="External"/><Relationship Id="rId777" Type="http://schemas.openxmlformats.org/officeDocument/2006/relationships/hyperlink" Target="http://www.gadsdentimes.com/article/DA/20040804/News/603205688/GT/" TargetMode="External"/><Relationship Id="rId984" Type="http://schemas.openxmlformats.org/officeDocument/2006/relationships/hyperlink" Target="https://www.nytimes.com/1992/10/20/nyregion/3-teen-agers-shot-in-bronx-near-a-school.html" TargetMode="External"/><Relationship Id="rId637" Type="http://schemas.openxmlformats.org/officeDocument/2006/relationships/hyperlink" Target="https://www.columbine-angels.com/School_Violence_2006-2007.htm" TargetMode="External"/><Relationship Id="rId844" Type="http://schemas.openxmlformats.org/officeDocument/2006/relationships/hyperlink" Target="https://products.kitsapsun.com/archive/2001/04-21/0043_in_the_headlines.html" TargetMode="External"/><Relationship Id="rId1267" Type="http://schemas.openxmlformats.org/officeDocument/2006/relationships/hyperlink" Target="https://www.newspapers.com/image/105768941/" TargetMode="External"/><Relationship Id="rId276" Type="http://schemas.openxmlformats.org/officeDocument/2006/relationships/hyperlink" Target="https://www.detroitnews.com/story/news/local/macomb-county/2020/07/14/sterling-heights-police-fight-shot-fired-school-grounds/5435977002/" TargetMode="External"/><Relationship Id="rId483" Type="http://schemas.openxmlformats.org/officeDocument/2006/relationships/hyperlink" Target="http://www.wrdw.com/home/headlines/BREAKING-Student-at-Hornsby-School-shot-and-taken-to-hospital-322826461.html" TargetMode="External"/><Relationship Id="rId690" Type="http://schemas.openxmlformats.org/officeDocument/2006/relationships/hyperlink" Target="https://www.newspapers.com/image/363378271/?terms=Pershing%2BHigh%2BSchool%2Bshooting" TargetMode="External"/><Relationship Id="rId704" Type="http://schemas.openxmlformats.org/officeDocument/2006/relationships/hyperlink" Target="https://www.newspapers.com/image/192748872/?terms=Longfellow%2BElementary%2BSchool%2Belbow%2Bbus" TargetMode="External"/><Relationship Id="rId911" Type="http://schemas.openxmlformats.org/officeDocument/2006/relationships/hyperlink" Target="http://www.psychceu.com/school_violence/savd.pdf" TargetMode="External"/><Relationship Id="rId1127" Type="http://schemas.openxmlformats.org/officeDocument/2006/relationships/hyperlink" Target="https://www.newspapers.com/image/390896596/?terms=Compton%2BHigh%2BSchool%2Bshooting" TargetMode="External"/><Relationship Id="rId40" Type="http://schemas.openxmlformats.org/officeDocument/2006/relationships/hyperlink" Target="https://www.cbsnews.com/miami/news/possible-shooting-at-miami-norland-senior-high-school-under-investigation/" TargetMode="External"/><Relationship Id="rId136" Type="http://schemas.openxmlformats.org/officeDocument/2006/relationships/hyperlink" Target="https://www.wfla.com/news/hillsborough-county/no-active-shooter-at-lennard-high-school-sheriff-says/" TargetMode="External"/><Relationship Id="rId343" Type="http://schemas.openxmlformats.org/officeDocument/2006/relationships/hyperlink" Target="https://fox61.com/2018/10/22/shot-fired-through-window-in-bridgeport-school/" TargetMode="External"/><Relationship Id="rId550" Type="http://schemas.openxmlformats.org/officeDocument/2006/relationships/hyperlink" Target="https://www.abqjournal.com/253495/grand-jury-shooting-outside-school-was-justified.html" TargetMode="External"/><Relationship Id="rId788" Type="http://schemas.openxmlformats.org/officeDocument/2006/relationships/hyperlink" Target="https://www.chron.com/news/houston-texas/article/Fifth-grader-accidentally-shoots-himself-at-school-1979500.php" TargetMode="External"/><Relationship Id="rId995" Type="http://schemas.openxmlformats.org/officeDocument/2006/relationships/hyperlink" Target="https://newsok.com/article/2384331/city-campuses-close-after-shooting-death-security-searches-stepped-up" TargetMode="External"/><Relationship Id="rId1180" Type="http://schemas.openxmlformats.org/officeDocument/2006/relationships/hyperlink" Target="https://www.washingtonpost.com/archive/local/1980/02/02/proving-gun-is-real-2nd-grader-at-langdon-school-is-shot/f83c3b73-ed9d-4a79-a529-984a01675142/?noredirect=on&amp;utm_term=.d238a08a83ec" TargetMode="External"/><Relationship Id="rId203" Type="http://schemas.openxmlformats.org/officeDocument/2006/relationships/hyperlink" Target="https://nypost.com/2021/11/18/cops-arrest-gunman-who-fired-outside-nyc-school-police-say/" TargetMode="External"/><Relationship Id="rId648" Type="http://schemas.openxmlformats.org/officeDocument/2006/relationships/hyperlink" Target="https://www.newspapers.com/image/243778502/?terms=Sarah%2BJ.%2BRawson%2BElementary%2BSchool%2Bshot" TargetMode="External"/><Relationship Id="rId855" Type="http://schemas.openxmlformats.org/officeDocument/2006/relationships/hyperlink" Target="https://www.sfgate.com/bayarea/article/Drive-by-Shooter-Kills-Teen-2692458.php" TargetMode="External"/><Relationship Id="rId1040" Type="http://schemas.openxmlformats.org/officeDocument/2006/relationships/hyperlink" Target="https://www.newspapers.com/image/129470000/?terms=%22shot%20high%20school%20football%22&amp;match=1" TargetMode="External"/><Relationship Id="rId1278" Type="http://schemas.openxmlformats.org/officeDocument/2006/relationships/hyperlink" Target="https://www.newspapers.com/image/310892698/?terms=Grove%2BElementary%2BSchool%2Bshooting" TargetMode="External"/><Relationship Id="rId287" Type="http://schemas.openxmlformats.org/officeDocument/2006/relationships/hyperlink" Target="https://www.klkntv.com/story/41605181/car-breakins-occur-at-a-lincoln-middle-school" TargetMode="External"/><Relationship Id="rId410" Type="http://schemas.openxmlformats.org/officeDocument/2006/relationships/hyperlink" Target="https://www.limaohio.com/news/273390/lima-man-arrested-after-gun-goes-off-accidentally-at-bath-high-school" TargetMode="External"/><Relationship Id="rId494" Type="http://schemas.openxmlformats.org/officeDocument/2006/relationships/hyperlink" Target="https://minnesota.cbslocal.com/2015/01/26/police-man-fires-shot-at-school-before-shooting-himself/" TargetMode="External"/><Relationship Id="rId508" Type="http://schemas.openxmlformats.org/officeDocument/2006/relationships/hyperlink" Target="https://manchesterinklink.com/man-gun-knife-arrested-inside-west-hs-lockdown/" TargetMode="External"/><Relationship Id="rId715" Type="http://schemas.openxmlformats.org/officeDocument/2006/relationships/hyperlink" Target="https://www.newspapers.com/image/343443050/?terms=girl%2Bshot%2Bschool%2Bplayground" TargetMode="External"/><Relationship Id="rId922" Type="http://schemas.openxmlformats.org/officeDocument/2006/relationships/hyperlink" Target="http://www.columbine-angels.com/School_Violence_1995-1996.htm" TargetMode="External"/><Relationship Id="rId1138" Type="http://schemas.openxmlformats.org/officeDocument/2006/relationships/hyperlink" Target="https://www.newspapers.com/image/157419087/?terms=student%2Bshot" TargetMode="External"/><Relationship Id="rId147" Type="http://schemas.openxmlformats.org/officeDocument/2006/relationships/hyperlink" Target="https://local21news.com/news/local/man-wanted-by-police-for-discharging-firearm" TargetMode="External"/><Relationship Id="rId354" Type="http://schemas.openxmlformats.org/officeDocument/2006/relationships/hyperlink" Target="http://www.nydailynews.com/new-york/nyc-crime/ny-metro-man-shot-outside-bronx-school-20180904-story.html" TargetMode="External"/><Relationship Id="rId799" Type="http://schemas.openxmlformats.org/officeDocument/2006/relationships/hyperlink" Target="https://www.washingtonpost.com/archive/politics/2003/10/31/anacostia-high-student-is-fatally-shot-at-school/a36cda4b-5726-44b6-8658-07f7b3d2c499/?utm_term=.9b19cef0c21d" TargetMode="External"/><Relationship Id="rId1191" Type="http://schemas.openxmlformats.org/officeDocument/2006/relationships/hyperlink" Target="https://stltoday.newspapers.com/clip/7051030/3_wounded_in_university_city_high/" TargetMode="External"/><Relationship Id="rId1205" Type="http://schemas.openxmlformats.org/officeDocument/2006/relationships/hyperlink" Target="https://www.newspapers.com/image/139128319/?terms=school%2Bshooting" TargetMode="External"/><Relationship Id="rId51" Type="http://schemas.openxmlformats.org/officeDocument/2006/relationships/hyperlink" Target="https://pix11.com/news/local-news/brooklyn/teen-shot-after-leaving-basketball-game-at-brooklyn-school-police-say/" TargetMode="External"/><Relationship Id="rId561" Type="http://schemas.openxmlformats.org/officeDocument/2006/relationships/hyperlink" Target="http://articles.chicagotribune.com/2012-10-30/news/chi-2nd-teen-charged-in-murder-of-teen-outside-south-side-high-school-20121030_1_adult-with-first-degree-murder-terrance-wright-banner-academy-south" TargetMode="External"/><Relationship Id="rId659" Type="http://schemas.openxmlformats.org/officeDocument/2006/relationships/hyperlink" Target="http://www.wmcactionnews5.com/story/5984007/17-year-old-in-critical-condition-at-the-med-after-school-shooting" TargetMode="External"/><Relationship Id="rId866" Type="http://schemas.openxmlformats.org/officeDocument/2006/relationships/hyperlink" Target="https://www.newspapers.com/image/340040843/?terms=high%2Bschool%2Bsuicide%2Bdenver" TargetMode="External"/><Relationship Id="rId1289" Type="http://schemas.openxmlformats.org/officeDocument/2006/relationships/hyperlink" Target="https://www.newspapers.com/image/48704588/" TargetMode="External"/><Relationship Id="rId214" Type="http://schemas.openxmlformats.org/officeDocument/2006/relationships/hyperlink" Target="https://newyork.cbslocal.com/2021/09/22/teen-shot-near-brooklyn-schools/" TargetMode="External"/><Relationship Id="rId298" Type="http://schemas.openxmlformats.org/officeDocument/2006/relationships/hyperlink" Target="https://www.13abc.com/content/news/Shots-fired-at-Woodward-High-School-football-game-against-Rogers-563419051.html" TargetMode="External"/><Relationship Id="rId421" Type="http://schemas.openxmlformats.org/officeDocument/2006/relationships/hyperlink" Target="http://abc7.com/5-injured-in-bb-gun-shooting-at-sun-valley-high-school/2469755/" TargetMode="External"/><Relationship Id="rId519" Type="http://schemas.openxmlformats.org/officeDocument/2006/relationships/hyperlink" Target="https://www.myarklamiss.com/crime/update-17-year-old-arrested-in-connection-with-friday-nights-shooting-in-madison-parish/166472643" TargetMode="External"/><Relationship Id="rId1051" Type="http://schemas.openxmlformats.org/officeDocument/2006/relationships/hyperlink" Target="https://www.newspapers.com/image/69768900/?terms=Dennis%2BRay%2BHepler" TargetMode="External"/><Relationship Id="rId1149" Type="http://schemas.openxmlformats.org/officeDocument/2006/relationships/hyperlink" Target="https://www.newspapers.com/image/155231508/?terms=STUDENT%2BSHOOTS" TargetMode="External"/><Relationship Id="rId158" Type="http://schemas.openxmlformats.org/officeDocument/2006/relationships/hyperlink" Target="https://www.cbsnews.com/sanfrancisco/news/school-bus-in-san-francisco-hit-by-gunfire/" TargetMode="External"/><Relationship Id="rId726" Type="http://schemas.openxmlformats.org/officeDocument/2006/relationships/hyperlink" Target="https://nypost.com/2005/10/15/teen-shot-in-hs-madness-leg-hurt-by-punk-at-school/" TargetMode="External"/><Relationship Id="rId933" Type="http://schemas.openxmlformats.org/officeDocument/2006/relationships/hyperlink" Target="https://www.gazettetimes.com/news/local/a-history-of-violence/article_54ce32a6-d4e3-5d34-8aa6-09d9437a0439.html" TargetMode="External"/><Relationship Id="rId1009" Type="http://schemas.openxmlformats.org/officeDocument/2006/relationships/hyperlink" Target="https://www.newspapers.com/image/176655612/?terms=Westchester%2BHigh%2BSchool%2Bshooting" TargetMode="External"/><Relationship Id="rId62" Type="http://schemas.openxmlformats.org/officeDocument/2006/relationships/hyperlink" Target="https://www.wftv.com/news/local/orange-county/orange-county-deputies-search-suspect-after-teen-shot-near-wekiva-high-school/XMT6V3ZCMVGOBHT2OKVEMFVLLI/" TargetMode="External"/><Relationship Id="rId365" Type="http://schemas.openxmlformats.org/officeDocument/2006/relationships/hyperlink" Target="https://wchstv.com/news/local/man-accused-of-firing-gun-at-hurricane-high-school-during-agrument" TargetMode="External"/><Relationship Id="rId572" Type="http://schemas.openxmlformats.org/officeDocument/2006/relationships/hyperlink" Target="https://www.kgw.com/article/news/4-arrested-for-shots-fired-outside-wilson-high/283-73396732" TargetMode="External"/><Relationship Id="rId1216" Type="http://schemas.openxmlformats.org/officeDocument/2006/relationships/hyperlink" Target="https://www.newspapers.com/image/18233056/?terms=Old%2BMain%2BEisenhower%2BHigh%2BSchool%2Bshooting" TargetMode="External"/><Relationship Id="rId225" Type="http://schemas.openxmlformats.org/officeDocument/2006/relationships/hyperlink" Target="https://www.wavy.com/news/crime/shooting-shatters-windows-at-elizabeth-city-elementary-school/" TargetMode="External"/><Relationship Id="rId432" Type="http://schemas.openxmlformats.org/officeDocument/2006/relationships/hyperlink" Target="https://chicago.suntimes.com/crime/2-boys-man-charged-with-warren-elementary-school-shooting/" TargetMode="External"/><Relationship Id="rId877" Type="http://schemas.openxmlformats.org/officeDocument/2006/relationships/hyperlink" Target="https://www.newspapers.com/image/220395374/?terms=Guyan%2BValley%2BHigh%2BSchool" TargetMode="External"/><Relationship Id="rId1062" Type="http://schemas.openxmlformats.org/officeDocument/2006/relationships/hyperlink" Target="https://www.newspapers.com/image/6664149/?terms=student%2Bshot" TargetMode="External"/><Relationship Id="rId737" Type="http://schemas.openxmlformats.org/officeDocument/2006/relationships/hyperlink" Target="https://www.columbine-angels.com/School_Violence_2004-2005.htm" TargetMode="External"/><Relationship Id="rId944" Type="http://schemas.openxmlformats.org/officeDocument/2006/relationships/hyperlink" Target="https://www.mlive.com/politics/index.ssf/2013/04/chelsea_school_shooter_gun_con.html" TargetMode="External"/><Relationship Id="rId73" Type="http://schemas.openxmlformats.org/officeDocument/2006/relationships/hyperlink" Target="https://www.kmov.com/2022/12/06/woman-shot-downtown-st-louis/" TargetMode="External"/><Relationship Id="rId169" Type="http://schemas.openxmlformats.org/officeDocument/2006/relationships/hyperlink" Target="https://www.clickondetroit.com/news/local/2022/04/13/11-year-old-shoots-fellow-student-with-bb-gun-during-recess-at-elementary-school-in-southgate/" TargetMode="External"/><Relationship Id="rId376" Type="http://schemas.openxmlformats.org/officeDocument/2006/relationships/hyperlink" Target="https://www.mlive.com/news/jackson/index.ssf/2018/04/no_arrests_made_yet_after_jack.html" TargetMode="External"/><Relationship Id="rId583" Type="http://schemas.openxmlformats.org/officeDocument/2006/relationships/hyperlink" Target="https://www.ktbs.com/news/police-btw-shooter-was-spurned-lover/article_655e08f3-5404-5896-a955-81611d1a56b3.html" TargetMode="External"/><Relationship Id="rId790" Type="http://schemas.openxmlformats.org/officeDocument/2006/relationships/hyperlink" Target="https://lasvegassun.com/news/2004/feb/27/inquest-begins-in-shooting-at-elementary-school/" TargetMode="External"/><Relationship Id="rId804" Type="http://schemas.openxmlformats.org/officeDocument/2006/relationships/hyperlink" Target="http://archive.boston.com/news/local/articles/2003/09/18/teen_shot_near_charlestown_high/" TargetMode="External"/><Relationship Id="rId1227" Type="http://schemas.openxmlformats.org/officeDocument/2006/relationships/hyperlink" Target="https://www.newspapers.com/image/398982633/" TargetMode="External"/><Relationship Id="rId4" Type="http://schemas.openxmlformats.org/officeDocument/2006/relationships/hyperlink" Target="https://www.courierpostonline.com/story/news/local/2023/03/24/millville-nj-thunderbolt-academy-shelter-in-place-after-gun-shots/70045194007/" TargetMode="External"/><Relationship Id="rId236" Type="http://schemas.openxmlformats.org/officeDocument/2006/relationships/hyperlink" Target="https://www.wtol.com/article/news/local/fight-shots-fired-during-youth-football-game-at-northpointe-academy-elementary/512-86c1c571-4188-43c4-898e-3930ac7721aa" TargetMode="External"/><Relationship Id="rId443" Type="http://schemas.openxmlformats.org/officeDocument/2006/relationships/hyperlink" Target="http://www.wtxl.com/news/gun-goes-off-at-franklin-county-school/article_5f86d63a-ddb1-11e6-b2c8-b722f449d29e.html" TargetMode="External"/><Relationship Id="rId650" Type="http://schemas.openxmlformats.org/officeDocument/2006/relationships/hyperlink" Target="https://www.newspapers.com/image/284085985/?terms=east%2Bridge%2Bhigh%2Bschool" TargetMode="External"/><Relationship Id="rId888" Type="http://schemas.openxmlformats.org/officeDocument/2006/relationships/hyperlink" Target="http://articles.chicagotribune.com/1999-02-12/news/9902120139_1_shooting-gunman-gang" TargetMode="External"/><Relationship Id="rId1073" Type="http://schemas.openxmlformats.org/officeDocument/2006/relationships/hyperlink" Target="https://www.newspapers.com/image/404237062/?terms=Panorama%2BElementary%2BSchool%2Bshooting" TargetMode="External"/><Relationship Id="rId1280" Type="http://schemas.openxmlformats.org/officeDocument/2006/relationships/hyperlink" Target="https://www.newspapers.com/image/377096935/" TargetMode="External"/><Relationship Id="rId303" Type="http://schemas.openxmlformats.org/officeDocument/2006/relationships/hyperlink" Target="https://www.al.com/news/birmingham/2019/09/shots-fired-near-alabama-high-school-football-game-temporarily-stop-play-no-injures.html" TargetMode="External"/><Relationship Id="rId748" Type="http://schemas.openxmlformats.org/officeDocument/2006/relationships/hyperlink" Target="http://www.nydailynews.com/archives/news/b-klyn-hs-panic-boy-shoots-leg-article-1.589241" TargetMode="External"/><Relationship Id="rId955" Type="http://schemas.openxmlformats.org/officeDocument/2006/relationships/hyperlink" Target="http://www.mysuburbanlife.com/2011/12/20/philip-powell-who-murdered-hinsdale-teen-barrett-modisette-after-downers-grove-south-high-school-football-game-released-early-from-prison/za3xo73/" TargetMode="External"/><Relationship Id="rId1140" Type="http://schemas.openxmlformats.org/officeDocument/2006/relationships/hyperlink" Target="https://www.newspapers.com/image/227592168/?terms=student%2Bshoots" TargetMode="External"/><Relationship Id="rId84" Type="http://schemas.openxmlformats.org/officeDocument/2006/relationships/hyperlink" Target="https://katu.com/news/local/police-investigate-shooting-near-mcminnville-high-school" TargetMode="External"/><Relationship Id="rId387" Type="http://schemas.openxmlformats.org/officeDocument/2006/relationships/hyperlink" Target="http://www.wsaz.com/content/news/Reported-gunfire-at-Frederick-Douglas-High-School-in-Lexington-476375083.html" TargetMode="External"/><Relationship Id="rId510" Type="http://schemas.openxmlformats.org/officeDocument/2006/relationships/hyperlink" Target="https://www.local10.com/news/florida/miami-dade/5-in-custody-after-shooting-outside-northwest-miami-dade-county-school" TargetMode="External"/><Relationship Id="rId594" Type="http://schemas.openxmlformats.org/officeDocument/2006/relationships/hyperlink" Target="https://abc7.com/archive/6651899/" TargetMode="External"/><Relationship Id="rId608" Type="http://schemas.openxmlformats.org/officeDocument/2006/relationships/hyperlink" Target="https://www.modbee.com/latest-news/article3115798.html" TargetMode="External"/><Relationship Id="rId815" Type="http://schemas.openxmlformats.org/officeDocument/2006/relationships/hyperlink" Target="https://azdailysun.com/teen-shoots-himself-in-principal-s-office/article_4262b5f6-0d4a-536c-9859-fb77384f957a.html" TargetMode="External"/><Relationship Id="rId1238" Type="http://schemas.openxmlformats.org/officeDocument/2006/relationships/hyperlink" Target="https://www.newspapers.com/image/31485570/?terms=school%2Bshooting" TargetMode="External"/><Relationship Id="rId247" Type="http://schemas.openxmlformats.org/officeDocument/2006/relationships/hyperlink" Target="https://abcnews.go.com/US/wireStory/soldier-hijacked-school-bus-found-guilty-insanity-97829956" TargetMode="External"/><Relationship Id="rId899" Type="http://schemas.openxmlformats.org/officeDocument/2006/relationships/hyperlink" Target="https://www.apnews.com/4875a8815b27a22d306a61ab83a97d26" TargetMode="External"/><Relationship Id="rId1000" Type="http://schemas.openxmlformats.org/officeDocument/2006/relationships/hyperlink" Target="https://www.newspapers.com/image/300241588/?terms=Spring%2BWoods%2BHigh%2BSchool%2Bstudent%2Bshot" TargetMode="External"/><Relationship Id="rId1084" Type="http://schemas.openxmlformats.org/officeDocument/2006/relationships/hyperlink" Target="https://www.newspapers.com/image/321065578/?terms=KERRY%2BDICKENS" TargetMode="External"/><Relationship Id="rId1305" Type="http://schemas.openxmlformats.org/officeDocument/2006/relationships/hyperlink" Target="https://www.newspapers.com/image/154804412/?terms=school%2Bshooting" TargetMode="External"/><Relationship Id="rId107" Type="http://schemas.openxmlformats.org/officeDocument/2006/relationships/hyperlink" Target="https://news.scorebooklive.com/national/2022/10/08/shooting-at-arizona-high-school-football-game-forces-evacuation-to-auditorium" TargetMode="External"/><Relationship Id="rId454" Type="http://schemas.openxmlformats.org/officeDocument/2006/relationships/hyperlink" Target="https://www.wcpo.com/news/local-news/hamilton-county/cincinnati/three-people-shot-after-elder-high-soccer-game" TargetMode="External"/><Relationship Id="rId661" Type="http://schemas.openxmlformats.org/officeDocument/2006/relationships/hyperlink" Target="http://articles.latimes.com/2007/jan/10/local/me-grant10" TargetMode="External"/><Relationship Id="rId759" Type="http://schemas.openxmlformats.org/officeDocument/2006/relationships/hyperlink" Target="https://www.chron.com/news/houston-texas/article/1-dead-1-hurt-in-Richmond-State-School-shooting-1938319.php" TargetMode="External"/><Relationship Id="rId966" Type="http://schemas.openxmlformats.org/officeDocument/2006/relationships/hyperlink" Target="https://www.newspapers.com/image/384227902/?terms=Vodrick%2BJohnson" TargetMode="External"/><Relationship Id="rId1291" Type="http://schemas.openxmlformats.org/officeDocument/2006/relationships/hyperlink" Target="https://www.newspapers.com/image/296262312/?terms=school%2Bshooting" TargetMode="External"/><Relationship Id="rId11" Type="http://schemas.openxmlformats.org/officeDocument/2006/relationships/hyperlink" Target="https://www.cbsnews.com/newyork/live-updates/nypd-says-three-manhattan-shootings-may-be-connected/" TargetMode="External"/><Relationship Id="rId314" Type="http://schemas.openxmlformats.org/officeDocument/2006/relationships/hyperlink" Target="https://6abc.com/police-del-man-found-holding-loaded-gun-outside-nj-elementary-school/5346847/" TargetMode="External"/><Relationship Id="rId398" Type="http://schemas.openxmlformats.org/officeDocument/2006/relationships/hyperlink" Target="https://lagniappemobile.com/police-student-fired-weapon-indiscriminately-campus/" TargetMode="External"/><Relationship Id="rId521" Type="http://schemas.openxmlformats.org/officeDocument/2006/relationships/hyperlink" Target="http://www.wbtv.com/story/24683911/student-shot-at-salisbury-high-school" TargetMode="External"/><Relationship Id="rId619" Type="http://schemas.openxmlformats.org/officeDocument/2006/relationships/hyperlink" Target="http://www.foxnews.com/story/2008/10/16/teen-killed-in-shooting-near-detroit-high-school.html" TargetMode="External"/><Relationship Id="rId1151" Type="http://schemas.openxmlformats.org/officeDocument/2006/relationships/hyperlink" Target="https://www.newspapers.com/image/305864381/?terms=student%2Bshot" TargetMode="External"/><Relationship Id="rId1249" Type="http://schemas.openxmlformats.org/officeDocument/2006/relationships/hyperlink" Target="https://www.newspapers.com/image/81731406/?terms=Student%2Bshot" TargetMode="External"/><Relationship Id="rId95" Type="http://schemas.openxmlformats.org/officeDocument/2006/relationships/hyperlink" Target="https://www.cbsnews.com/pittsburgh/news/downtown-pittsburgh-penn-avenue-shots-fired-passport-academy-charter-school/" TargetMode="External"/><Relationship Id="rId160" Type="http://schemas.openxmlformats.org/officeDocument/2006/relationships/hyperlink" Target="https://wgxa.tv/news/local/friday-shooting-macon-school" TargetMode="External"/><Relationship Id="rId826" Type="http://schemas.openxmlformats.org/officeDocument/2006/relationships/hyperlink" Target="http://ssristories.drugawareness.org/archive/showa5f5.html?item=224" TargetMode="External"/><Relationship Id="rId1011" Type="http://schemas.openxmlformats.org/officeDocument/2006/relationships/hyperlink" Target="https://www.newspapers.com/image/424939665/?terms=Coronado%2BMiddle%2BSchool" TargetMode="External"/><Relationship Id="rId1109" Type="http://schemas.openxmlformats.org/officeDocument/2006/relationships/hyperlink" Target="https://www.newspapers.com/image/190761964/?terms=teacher%2Bshot" TargetMode="External"/><Relationship Id="rId258" Type="http://schemas.openxmlformats.org/officeDocument/2006/relationships/hyperlink" Target="https://www.sgvtribune.com/2020/11/09/body-of-man-who-had-been-fatally-shot-is-found-at-school-near-la-puente/" TargetMode="External"/><Relationship Id="rId465" Type="http://schemas.openxmlformats.org/officeDocument/2006/relationships/hyperlink" Target="https://magicvalley.com/news/local/education/update-school-district-students-in-custody-after-gun-fired-at/article_f23be68f-936b-51ce-847a-f0a02e99f3a0.html" TargetMode="External"/><Relationship Id="rId672" Type="http://schemas.openxmlformats.org/officeDocument/2006/relationships/hyperlink" Target="https://www.newspapers.com/image/422972655/?terms=Atlanta%2BMiddle%2BSchool%2BRicardo%2BAlexander" TargetMode="External"/><Relationship Id="rId1095" Type="http://schemas.openxmlformats.org/officeDocument/2006/relationships/hyperlink" Target="https://www.newspapers.com/image/182776909/?terms=Archbishop%2BRyan%2BHigh%2BSchool%2Bfor%2Bboys%2Bshooting" TargetMode="External"/><Relationship Id="rId22" Type="http://schemas.openxmlformats.org/officeDocument/2006/relationships/hyperlink" Target="https://www.wjcl.com/article/savannah-high-school-shooting-arrest/43166741" TargetMode="External"/><Relationship Id="rId118" Type="http://schemas.openxmlformats.org/officeDocument/2006/relationships/hyperlink" Target="https://www.augustachronicle.com/story/news/crime/2022/09/26/suspect-wanted-after-josey-high-school-shooting-turns-himself/8123351001/" TargetMode="External"/><Relationship Id="rId325" Type="http://schemas.openxmlformats.org/officeDocument/2006/relationships/hyperlink" Target="https://www.orlandosentinel.com/news/breaking-news/os-ne-lake-mary-lockdown-code-red-20190313-story.html" TargetMode="External"/><Relationship Id="rId532" Type="http://schemas.openxmlformats.org/officeDocument/2006/relationships/hyperlink" Target="https://kmph.com/archive/fresno-police-arrest-four-teens-related-to-edison-high-school-shooting" TargetMode="External"/><Relationship Id="rId977" Type="http://schemas.openxmlformats.org/officeDocument/2006/relationships/hyperlink" Target="https://www.nytimes.com/1993/01/07/nyregion/school-upset-by-shooting-of-teen-ager-during-game.html" TargetMode="External"/><Relationship Id="rId1162" Type="http://schemas.openxmlformats.org/officeDocument/2006/relationships/hyperlink" Target="https://www.newspapers.com/image/312662676/?terms=student%2Bshot" TargetMode="External"/><Relationship Id="rId171" Type="http://schemas.openxmlformats.org/officeDocument/2006/relationships/hyperlink" Target="https://www.koin.com/news/crime/portland-police-investigate-shooting-near-roosevelt-high-school/" TargetMode="External"/><Relationship Id="rId837" Type="http://schemas.openxmlformats.org/officeDocument/2006/relationships/hyperlink" Target="http://articles.latimes.com/2001/oct/27/local/me-62198" TargetMode="External"/><Relationship Id="rId1022" Type="http://schemas.openxmlformats.org/officeDocument/2006/relationships/hyperlink" Target="https://lasvegassun.com/news/1998/jun/20/memories-linger-for-victims-mother/" TargetMode="External"/><Relationship Id="rId269" Type="http://schemas.openxmlformats.org/officeDocument/2006/relationships/hyperlink" Target="https://www.news4jax.com/news/local/2020/09/23/police-1-detained-after-shot-fired-at-duval-county-school-bus/" TargetMode="External"/><Relationship Id="rId476" Type="http://schemas.openxmlformats.org/officeDocument/2006/relationships/hyperlink" Target="http://www.doverpost.com/news/20160112/update-students-arrested-after-shot-fired-at-central-middle-school" TargetMode="External"/><Relationship Id="rId683" Type="http://schemas.openxmlformats.org/officeDocument/2006/relationships/hyperlink" Target="https://www.washingtonpost.com/archive/local/2006/08/30/teen-held-after-shot-is-fired-outside-se-school/a1d30f03-8e66-47af-a999-d43629af535b/?utm_term=.37a883ef0fca" TargetMode="External"/><Relationship Id="rId890" Type="http://schemas.openxmlformats.org/officeDocument/2006/relationships/hyperlink" Target="https://www.newspapers.com/image/13671024/" TargetMode="External"/><Relationship Id="rId904" Type="http://schemas.openxmlformats.org/officeDocument/2006/relationships/hyperlink" Target="https://www.newspapers.com/image/295695332/?terms=student%2Bshoots" TargetMode="External"/><Relationship Id="rId33" Type="http://schemas.openxmlformats.org/officeDocument/2006/relationships/hyperlink" Target="https://www.fox5atlanta.com/news/gun-fired-inside-dekalb-county-middle-school-classroom-officials-say" TargetMode="External"/><Relationship Id="rId129" Type="http://schemas.openxmlformats.org/officeDocument/2006/relationships/hyperlink" Target="https://www.whio.com/news/local/gunshots-disrupt-beavercreek-middle-school-football-practice-deputies-investigating/EXVQHSO2QVFEDGYIT4LUQIRVBU/" TargetMode="External"/><Relationship Id="rId336" Type="http://schemas.openxmlformats.org/officeDocument/2006/relationships/hyperlink" Target="https://wtkr.com/2018/11/20/shot-fired-by-portsmouth-elementary-school-police-investigate/" TargetMode="External"/><Relationship Id="rId543" Type="http://schemas.openxmlformats.org/officeDocument/2006/relationships/hyperlink" Target="http://blog.gulflive.com/mississippi-press-news/2013/08/3_gang_members_arrested_after.html" TargetMode="External"/><Relationship Id="rId988" Type="http://schemas.openxmlformats.org/officeDocument/2006/relationships/hyperlink" Target="https://www.upi.com/Archives/1992/05/14/Student-opens-fire-in-school/6395705816000/" TargetMode="External"/><Relationship Id="rId1173" Type="http://schemas.openxmlformats.org/officeDocument/2006/relationships/hyperlink" Target="https://www.newspapers.com/image/63246339/?terms=Whittier%2BHigh%2BSchool%2Bshooting" TargetMode="External"/><Relationship Id="rId182" Type="http://schemas.openxmlformats.org/officeDocument/2006/relationships/hyperlink" Target="https://www.actionnews5.com/2022/03/11/memphis-mother-accused-pointing-gun-5-children-outside-school/" TargetMode="External"/><Relationship Id="rId403" Type="http://schemas.openxmlformats.org/officeDocument/2006/relationships/hyperlink" Target="https://www.nola.com/crime/index.ssf/2017/01/algiers_double_shooting.html" TargetMode="External"/><Relationship Id="rId750" Type="http://schemas.openxmlformats.org/officeDocument/2006/relationships/hyperlink" Target="http://www.post-gazette.com/local/city/2007/05/02/Dueling-snitches-muddy-trial-in-Carrick-High-School-killing/stories/200705020345" TargetMode="External"/><Relationship Id="rId848" Type="http://schemas.openxmlformats.org/officeDocument/2006/relationships/hyperlink" Target="https://www.washingtontimes.com/news/2001/mar/8/20010308-021529-7742r/" TargetMode="External"/><Relationship Id="rId1033" Type="http://schemas.openxmlformats.org/officeDocument/2006/relationships/hyperlink" Target="https://www.newspapers.com/image/410785023/?terms=W.%2BW.%2BSamuell%2BHigh%2BSchool" TargetMode="External"/><Relationship Id="rId487" Type="http://schemas.openxmlformats.org/officeDocument/2006/relationships/hyperlink" Target="http://archive.naplesnews.com/news/crime/everglades-city-man-charged-in-shooting-ep-1109639680-337933051.html" TargetMode="External"/><Relationship Id="rId610" Type="http://schemas.openxmlformats.org/officeDocument/2006/relationships/hyperlink" Target="http://www.reporterherald.com/ci_18289600" TargetMode="External"/><Relationship Id="rId694" Type="http://schemas.openxmlformats.org/officeDocument/2006/relationships/hyperlink" Target="http://www.wistv.com/story/4933127/officer-shoots-at-intruder-at-dutch-fork-hs" TargetMode="External"/><Relationship Id="rId708" Type="http://schemas.openxmlformats.org/officeDocument/2006/relationships/hyperlink" Target="https://www.newspapers.com/image/102780485/?terms=Withrow%2BHigh%2BSchool%2Bshooting" TargetMode="External"/><Relationship Id="rId915" Type="http://schemas.openxmlformats.org/officeDocument/2006/relationships/hyperlink" Target="https://www.columbine-angels.com/School_Violence_1995-1996.htm" TargetMode="External"/><Relationship Id="rId1240" Type="http://schemas.openxmlformats.org/officeDocument/2006/relationships/hyperlink" Target="https://www.newspapers.com/image/377591998/?terms=school%2Bshooting" TargetMode="External"/><Relationship Id="rId347" Type="http://schemas.openxmlformats.org/officeDocument/2006/relationships/hyperlink" Target="https://www.ksfy.com/content/news/High-school-football-game-evacuated-following-gunshot-494669791.html" TargetMode="External"/><Relationship Id="rId999" Type="http://schemas.openxmlformats.org/officeDocument/2006/relationships/hyperlink" Target="https://www.newspapers.com/image/17145244/?terms=Milby%2BHIgh%2BSchool%2Bshot" TargetMode="External"/><Relationship Id="rId1100" Type="http://schemas.openxmlformats.org/officeDocument/2006/relationships/hyperlink" Target="https://www.newspapers.com/image/372547711/?terms=Lake%2BClifton%2BHigh%2BSchool%2Bshooting" TargetMode="External"/><Relationship Id="rId1184" Type="http://schemas.openxmlformats.org/officeDocument/2006/relationships/hyperlink" Target="https://www.newspapers.com/image/107586036/?terms=school%2Bshooting" TargetMode="External"/><Relationship Id="rId44" Type="http://schemas.openxmlformats.org/officeDocument/2006/relationships/hyperlink" Target="https://www.12news.com/article/news/local/arizona/police-shots-fired-outside-high-school-yuma/75-28dcccc7-6502-4841-bf91-5252b4ab02ec" TargetMode="External"/><Relationship Id="rId554" Type="http://schemas.openxmlformats.org/officeDocument/2006/relationships/hyperlink" Target="https://www.ajc.com/news/local/student-who-shot-herself-grady-high-due-court/2tFBhv5vj4RC2VqPUjIIxH/?icmp=np_inform_variation-control" TargetMode="External"/><Relationship Id="rId761" Type="http://schemas.openxmlformats.org/officeDocument/2006/relationships/hyperlink" Target="http://www.spokesman.com/stories/2004/dec/11/skyler-cullitan-remembered-as-caring-outgoing/" TargetMode="External"/><Relationship Id="rId859" Type="http://schemas.openxmlformats.org/officeDocument/2006/relationships/hyperlink" Target="http://tucsoncitizen.com/morgue2/2000/10/25/84611-teen-holds-class-teacher-hostage-at-his-former-glendale-school/" TargetMode="External"/><Relationship Id="rId193" Type="http://schemas.openxmlformats.org/officeDocument/2006/relationships/hyperlink" Target="https://www.10tv.com/article/news/local/columbus-school-bus-hit-gunfire-i-670/530-4688dd7c-6ed3-4e46-9ac9-284f273997c6" TargetMode="External"/><Relationship Id="rId207" Type="http://schemas.openxmlformats.org/officeDocument/2006/relationships/hyperlink" Target="https://wgntv.com/news/chicagocrime/separate-shooting-incidents-outside-cps-schools-has-parents-on-edge/" TargetMode="External"/><Relationship Id="rId414" Type="http://schemas.openxmlformats.org/officeDocument/2006/relationships/hyperlink" Target="http://www.fox5atlanta.com/news/two-students-accidentally-shot-at-banneker-high-school-according-to-principal" TargetMode="External"/><Relationship Id="rId498" Type="http://schemas.openxmlformats.org/officeDocument/2006/relationships/hyperlink" Target="https://www.centralmaine.com/2014/12/18/man-who-shot-himself-at-school-was-suspected-in-waterville-rape-police-say/" TargetMode="External"/><Relationship Id="rId621" Type="http://schemas.openxmlformats.org/officeDocument/2006/relationships/hyperlink" Target="https://www.mcclatchydc.com/news/nation-world/national/article24600571.html" TargetMode="External"/><Relationship Id="rId1044" Type="http://schemas.openxmlformats.org/officeDocument/2006/relationships/hyperlink" Target="https://www.newspapers.com/image/177559696/?terms=jacksonville%2Bhigh%2Bschool%2Bshooting" TargetMode="External"/><Relationship Id="rId1251" Type="http://schemas.openxmlformats.org/officeDocument/2006/relationships/hyperlink" Target="https://www.newspapers.com/image/305635210/?terms=school%2Bshooting" TargetMode="External"/><Relationship Id="rId260" Type="http://schemas.openxmlformats.org/officeDocument/2006/relationships/hyperlink" Target="https://spectrumlocalnews.com/nys/rochester/public-safety/2020/10/29/rpd--bullet-hits-rochester-prep-charter-school-in-apparent-drive-by-shooting-" TargetMode="External"/><Relationship Id="rId719" Type="http://schemas.openxmlformats.org/officeDocument/2006/relationships/hyperlink" Target="http://archive.boston.com/news/local/articles/2005/12/07/a_mattapan_teen_gets_stiff_bail_terms/" TargetMode="External"/><Relationship Id="rId926" Type="http://schemas.openxmlformats.org/officeDocument/2006/relationships/hyperlink" Target="http://articles.latimes.com/1995-01-25/news/mn-24213_1_attitude-problem" TargetMode="External"/><Relationship Id="rId1111" Type="http://schemas.openxmlformats.org/officeDocument/2006/relationships/hyperlink" Target="https://www.newspapers.com/image/218042406/?terms=student%2Bshot" TargetMode="External"/><Relationship Id="rId55" Type="http://schemas.openxmlformats.org/officeDocument/2006/relationships/hyperlink" Target="https://www.usnews.com/news/best-states/vermont/articles/2023-01-11/police-teacher-shot-with-pellet-gun-injury-superficial" TargetMode="External"/><Relationship Id="rId120" Type="http://schemas.openxmlformats.org/officeDocument/2006/relationships/hyperlink" Target="https://nypost.com/2022/09/17/nyc-kids-shot-at-with-pellet-guns-after-squabble-over-game-at-ues-playground/" TargetMode="External"/><Relationship Id="rId358" Type="http://schemas.openxmlformats.org/officeDocument/2006/relationships/hyperlink" Target="https://www.ksdk.com/article/news/local/metro-east-football-team-forced-to-cancel-game-after-shooting-in-chicago/63-587675552" TargetMode="External"/><Relationship Id="rId565" Type="http://schemas.openxmlformats.org/officeDocument/2006/relationships/hyperlink" Target="http://www.wmcactionnews5.com/story/19307558/students-shot-at-outside-memphis-high-school" TargetMode="External"/><Relationship Id="rId772" Type="http://schemas.openxmlformats.org/officeDocument/2006/relationships/hyperlink" Target="https://www.theindependent.com/news/man-charged-with-shooting-at-jefferson-school/article_3665f3f8-7aea-525c-b6a2-1d6de44bd561.html" TargetMode="External"/><Relationship Id="rId1195" Type="http://schemas.openxmlformats.org/officeDocument/2006/relationships/hyperlink" Target="https://www.newspapers.com/image/385395737/?terms=Ridgewood%2BHigh%2BSchool%2Bdance" TargetMode="External"/><Relationship Id="rId1209" Type="http://schemas.openxmlformats.org/officeDocument/2006/relationships/hyperlink" Target="https://www.newspapers.com/image/124954684/?terms=school%2Bshooting" TargetMode="External"/><Relationship Id="rId218" Type="http://schemas.openxmlformats.org/officeDocument/2006/relationships/hyperlink" Target="https://www.news5cleveland.com/news/local-news/cleveland-metro/teens-shot-near-k-6-school-in-clevelands-broadway-slavic-village-neighborhood" TargetMode="External"/><Relationship Id="rId425" Type="http://schemas.openxmlformats.org/officeDocument/2006/relationships/hyperlink" Target="https://www.thv11.com/article/news/local/after-shooting-north-little-rock-high-to-increase-security-at-football-games/473815136" TargetMode="External"/><Relationship Id="rId632" Type="http://schemas.openxmlformats.org/officeDocument/2006/relationships/hyperlink" Target="https://www.newspapers.com/image/126118804/?terms=SS%3E%2BSImon%2Band%2BJude%2BCatholic%2Bschool" TargetMode="External"/><Relationship Id="rId1055" Type="http://schemas.openxmlformats.org/officeDocument/2006/relationships/hyperlink" Target="https://www.newspapers.com/image/363969550/?terms=school%2Bbus%2Bshooting" TargetMode="External"/><Relationship Id="rId1262" Type="http://schemas.openxmlformats.org/officeDocument/2006/relationships/hyperlink" Target="https://www.newspapers.com/image/125303713/?terms=school%2Bshooting" TargetMode="External"/><Relationship Id="rId271" Type="http://schemas.openxmlformats.org/officeDocument/2006/relationships/hyperlink" Target="https://www.heraldonline.com/news/local/crime/article245774640.html" TargetMode="External"/><Relationship Id="rId937" Type="http://schemas.openxmlformats.org/officeDocument/2006/relationships/hyperlink" Target="https://www.newspapers.com/image/166926358/?terms=Amy%2BGamarello" TargetMode="External"/><Relationship Id="rId1122" Type="http://schemas.openxmlformats.org/officeDocument/2006/relationships/hyperlink" Target="https://www.newspapers.com/image/109675401/?terms=student%2Bshot" TargetMode="External"/><Relationship Id="rId66" Type="http://schemas.openxmlformats.org/officeDocument/2006/relationships/hyperlink" Target="https://www.davisenterprise.com/news/local/woodland-police-investigate-chase-shooting-near-school-campus/" TargetMode="External"/><Relationship Id="rId131" Type="http://schemas.openxmlformats.org/officeDocument/2006/relationships/hyperlink" Target="https://www.radioiowa.com/2022/09/07/two-charged-after-firing-airsoft-gun-at-students-in-sioux-city/" TargetMode="External"/><Relationship Id="rId369" Type="http://schemas.openxmlformats.org/officeDocument/2006/relationships/hyperlink" Target="https://krld.radio.com/articles/suspect-arrested-after-16-yr-old-found-shot-near-skyline-high-school" TargetMode="External"/><Relationship Id="rId576" Type="http://schemas.openxmlformats.org/officeDocument/2006/relationships/hyperlink" Target="https://www.courtlistener.com/pdf/2012/06/11/michael_phelps_v._state_of_indiana.pdf" TargetMode="External"/><Relationship Id="rId783" Type="http://schemas.openxmlformats.org/officeDocument/2006/relationships/hyperlink" Target="https://www.newspapers.com/image/192854243/?terms=Los%2BAngeles%2Bhigh%2Bschool%2Bshooting" TargetMode="External"/><Relationship Id="rId990" Type="http://schemas.openxmlformats.org/officeDocument/2006/relationships/hyperlink" Target="http://sacramento.cbslocal.com/2012/08/02/state-supreme-court-upholds-death-penalty-for-houston-in-lindhurst-high-rampage/" TargetMode="External"/><Relationship Id="rId229" Type="http://schemas.openxmlformats.org/officeDocument/2006/relationships/hyperlink" Target="https://arktimes.com/arkansas-blog/2021/09/02/a-gun-brandished-at-little-rock-central-high-this-morning-but-no-shots-fired" TargetMode="External"/><Relationship Id="rId436" Type="http://schemas.openxmlformats.org/officeDocument/2006/relationships/hyperlink" Target="http://www.americanpress.com/news/local/year-old-shot-at-moss-bluff-school/article_bf746d62-ee60-11e7-ad5c-7b6da485d0a4.html" TargetMode="External"/><Relationship Id="rId643" Type="http://schemas.openxmlformats.org/officeDocument/2006/relationships/hyperlink" Target="https://www.highbeam.com/doc/1G1-163016802.html" TargetMode="External"/><Relationship Id="rId1066" Type="http://schemas.openxmlformats.org/officeDocument/2006/relationships/hyperlink" Target="https://www.newspapers.com/image/322900608/?terms=student%2Bshot" TargetMode="External"/><Relationship Id="rId1273" Type="http://schemas.openxmlformats.org/officeDocument/2006/relationships/hyperlink" Target="https://www.newspapers.com/image/340859194/?terms=school%2Bshooting" TargetMode="External"/><Relationship Id="rId850" Type="http://schemas.openxmlformats.org/officeDocument/2006/relationships/hyperlink" Target="http://edition.cnn.com/2001/US/02/02/detroit.shooting/index.html" TargetMode="External"/><Relationship Id="rId948" Type="http://schemas.openxmlformats.org/officeDocument/2006/relationships/hyperlink" Target="https://www.newspapers.com/image/195155455/?terms=Harold%2BPage%2BIII" TargetMode="External"/><Relationship Id="rId1133" Type="http://schemas.openxmlformats.org/officeDocument/2006/relationships/hyperlink" Target="https://www.newspapers.com/image/296835492/?terms=mansfield%2Bsenior%2Bhigh%2Bschool" TargetMode="External"/><Relationship Id="rId77" Type="http://schemas.openxmlformats.org/officeDocument/2006/relationships/hyperlink" Target="https://www.fox13memphis.com/news/local/child-may-have-been-accidentally-shot-memphis-school-police-say/36TUNL4VHRA3PALDZTAJW4GYZI/" TargetMode="External"/><Relationship Id="rId282" Type="http://schemas.openxmlformats.org/officeDocument/2006/relationships/hyperlink" Target="https://www.newsobserver.com/news/local/crime/article256631386.html" TargetMode="External"/><Relationship Id="rId503" Type="http://schemas.openxmlformats.org/officeDocument/2006/relationships/hyperlink" Target="https://www.wsbtv.com/news/shots-fired-lakewood-stadium/137231817" TargetMode="External"/><Relationship Id="rId587" Type="http://schemas.openxmlformats.org/officeDocument/2006/relationships/hyperlink" Target="http://www.latimes.com/la-me-locke01_ki20l0nc-photo.html" TargetMode="External"/><Relationship Id="rId710" Type="http://schemas.openxmlformats.org/officeDocument/2006/relationships/hyperlink" Target="https://pilotonline.com/news/article_91bd4bea-b9dc-5c30-bff7-43f583e1f7a9.html" TargetMode="External"/><Relationship Id="rId808" Type="http://schemas.openxmlformats.org/officeDocument/2006/relationships/hyperlink" Target="http://obits.dallasnews.com/obituaries/dallasmorningnews/obituary.aspx?page=lifestory&amp;pid=950952" TargetMode="External"/><Relationship Id="rId8" Type="http://schemas.openxmlformats.org/officeDocument/2006/relationships/hyperlink" Target="https://www.9news.com/article/news/crime/teens-charged-brighton-shooting/73-49712006-34c3-4896-a240-9327701d6ba1" TargetMode="External"/><Relationship Id="rId142" Type="http://schemas.openxmlformats.org/officeDocument/2006/relationships/hyperlink" Target="https://www.nbcboston.com/news/local/shooting-breaks-out-during-basketball-game-in-lynn-mass/2801412/" TargetMode="External"/><Relationship Id="rId447" Type="http://schemas.openxmlformats.org/officeDocument/2006/relationships/hyperlink" Target="https://www.denverpost.com/2016/11/04/authorities-id-joshua-francis-berthoud-high-school-suicide/" TargetMode="External"/><Relationship Id="rId794" Type="http://schemas.openxmlformats.org/officeDocument/2006/relationships/hyperlink" Target="http://articles.baltimoresun.com/2003-12-18/news/0312180341_1_two-middle-schools-school-officials-mill-high" TargetMode="External"/><Relationship Id="rId1077" Type="http://schemas.openxmlformats.org/officeDocument/2006/relationships/hyperlink" Target="https://www.newspapers.com/image/99552670/?terms=redford%2Bhigh%2Bschool" TargetMode="External"/><Relationship Id="rId1200" Type="http://schemas.openxmlformats.org/officeDocument/2006/relationships/hyperlink" Target="https://www.wvgazettemail.com/news/cops_and_courts/before-school-shooting-became-a-common-term-junior-high-killing/article_6db5ead9-22c2-5c2c-8b56-32a110e4df26.html" TargetMode="External"/><Relationship Id="rId654" Type="http://schemas.openxmlformats.org/officeDocument/2006/relationships/hyperlink" Target="https://www.columbine-angels.com/School_Violence_2006-2007.htm" TargetMode="External"/><Relationship Id="rId861" Type="http://schemas.openxmlformats.org/officeDocument/2006/relationships/hyperlink" Target="http://abcnews.go.com/US/story?id=95621&amp;page=1" TargetMode="External"/><Relationship Id="rId959" Type="http://schemas.openxmlformats.org/officeDocument/2006/relationships/hyperlink" Target="https://www.newspapers.com/image/1005267/?terms=Junction%2BCity%2BHigh%2BSchool%2Bshooting" TargetMode="External"/><Relationship Id="rId1284" Type="http://schemas.openxmlformats.org/officeDocument/2006/relationships/hyperlink" Target="https://www.newspapers.com/image/346849918/?terms=school%2Bshooting" TargetMode="External"/><Relationship Id="rId293" Type="http://schemas.openxmlformats.org/officeDocument/2006/relationships/hyperlink" Target="https://www.wvtm13.com/article/mountain-brook-homicide-woman-found-dead-parking-lot-megan-montgomery/30065595" TargetMode="External"/><Relationship Id="rId307" Type="http://schemas.openxmlformats.org/officeDocument/2006/relationships/hyperlink" Target="https://patch.com/new-york/merrick/shooting-long-island-school-causes-lockdown" TargetMode="External"/><Relationship Id="rId514" Type="http://schemas.openxmlformats.org/officeDocument/2006/relationships/hyperlink" Target="https://www.cbsnews.com/news/cops-fatal-shooting-outside-detroit-high-school-gang-related/" TargetMode="External"/><Relationship Id="rId721" Type="http://schemas.openxmlformats.org/officeDocument/2006/relationships/hyperlink" Target="http://www.cnn.com/2005/US/11/15/florida.shooting/index.html" TargetMode="External"/><Relationship Id="rId1144" Type="http://schemas.openxmlformats.org/officeDocument/2006/relationships/hyperlink" Target="https://www.newspapers.com/image/356116122/?terms=STUDENT%2BSHOOTS" TargetMode="External"/><Relationship Id="rId88" Type="http://schemas.openxmlformats.org/officeDocument/2006/relationships/hyperlink" Target="https://www.wapt.com/article/hinds-county-sheriff-investigating-shooting-at-raymond-high-school/41941297" TargetMode="External"/><Relationship Id="rId153" Type="http://schemas.openxmlformats.org/officeDocument/2006/relationships/hyperlink" Target="https://www.chicagocatholic.com/chicagoland/-/article/2022/06/01/five-windows-at-st-margaret-of-scotland-school-shot-out" TargetMode="External"/><Relationship Id="rId360" Type="http://schemas.openxmlformats.org/officeDocument/2006/relationships/hyperlink" Target="https://www.montgomeryadvertiser.com/story/sports/high-school/football/2018/08/23/shooting-outside-asu-stadium-brings-halt-g-w-carver-jeff-davis-game/1081209002/" TargetMode="External"/><Relationship Id="rId598" Type="http://schemas.openxmlformats.org/officeDocument/2006/relationships/hyperlink" Target="https://www.columbine-angels.com/School_Violence_2008-2009.htm" TargetMode="External"/><Relationship Id="rId819" Type="http://schemas.openxmlformats.org/officeDocument/2006/relationships/hyperlink" Target="http://articles.chicagotribune.com/2002-12-17/news/0212180098_1_chicago-public-schools-chicago-police-alleged" TargetMode="External"/><Relationship Id="rId1004" Type="http://schemas.openxmlformats.org/officeDocument/2006/relationships/hyperlink" Target="https://www.newspapers.com/image/176460783/?terms=Dorsey%2BHigh%2BSchool%2Bshooting" TargetMode="External"/><Relationship Id="rId1211" Type="http://schemas.openxmlformats.org/officeDocument/2006/relationships/hyperlink" Target="https://www.newspapers.com/image/347216054/?terms=school%2Bshooting" TargetMode="External"/><Relationship Id="rId220" Type="http://schemas.openxmlformats.org/officeDocument/2006/relationships/hyperlink" Target="https://www.thesussireport.com/reports/car-windows-shot-out-at-high-school-football-game" TargetMode="External"/><Relationship Id="rId458" Type="http://schemas.openxmlformats.org/officeDocument/2006/relationships/hyperlink" Target="https://www.local10.com/news/2016/08/20/shots-fired-at-southridge-vs-south-plantation-football-game-police-say/" TargetMode="External"/><Relationship Id="rId665" Type="http://schemas.openxmlformats.org/officeDocument/2006/relationships/hyperlink" Target="http://www.keystosaferschools.com/2007startswithabang.htm" TargetMode="External"/><Relationship Id="rId872" Type="http://schemas.openxmlformats.org/officeDocument/2006/relationships/hyperlink" Target="http://www.tbo.com/pasco-county/teen-who-accidentally-shot-friend-lands-in-jail-as-adult-87255" TargetMode="External"/><Relationship Id="rId1088" Type="http://schemas.openxmlformats.org/officeDocument/2006/relationships/hyperlink" Target="http://articles.chicagotribune.com/1986-05-01/news/8601310677_1_science-class-elliott-student" TargetMode="External"/><Relationship Id="rId1295" Type="http://schemas.openxmlformats.org/officeDocument/2006/relationships/hyperlink" Target="https://www.newspapers.com/image/294129677/?terms=school%2Bshooting" TargetMode="External"/><Relationship Id="rId1309" Type="http://schemas.openxmlformats.org/officeDocument/2006/relationships/hyperlink" Target="https://news.google.com/newspapers?id=AfRYAAAAIBAJ&amp;pg=3025,1894998" TargetMode="External"/><Relationship Id="rId15" Type="http://schemas.openxmlformats.org/officeDocument/2006/relationships/hyperlink" Target="https://www.nbcphiladelphia.com/news/local/person-shot-near-school-in-west-philadelphia-police-say/3517052/" TargetMode="External"/><Relationship Id="rId318" Type="http://schemas.openxmlformats.org/officeDocument/2006/relationships/hyperlink" Target="https://wjla.com/news/local/dc-elementary-school-shot-again" TargetMode="External"/><Relationship Id="rId525" Type="http://schemas.openxmlformats.org/officeDocument/2006/relationships/hyperlink" Target="http://articles.chicagotribune.com/keyword/roosevelt-high-school" TargetMode="External"/><Relationship Id="rId732" Type="http://schemas.openxmlformats.org/officeDocument/2006/relationships/hyperlink" Target="http://www.foxnews.com/story/2005/11/09/principal-praised-as-hero-in-tenn-school-shooting.html" TargetMode="External"/><Relationship Id="rId1155" Type="http://schemas.openxmlformats.org/officeDocument/2006/relationships/hyperlink" Target="https://www.nytimes.com/1981/12/24/nyregion/wrong-kid-is-fatally-shot-in-fight-at-brooklyn-school.html" TargetMode="External"/><Relationship Id="rId99" Type="http://schemas.openxmlformats.org/officeDocument/2006/relationships/hyperlink" Target="https://www.yahoo.com/entertainment/denver-elementary-school-soccer-game-235324292.html" TargetMode="External"/><Relationship Id="rId164" Type="http://schemas.openxmlformats.org/officeDocument/2006/relationships/hyperlink" Target="https://news4sanantonio.com/news/local/police-shot-suspect-after-attempting-to-break-in-school" TargetMode="External"/><Relationship Id="rId371" Type="http://schemas.openxmlformats.org/officeDocument/2006/relationships/hyperlink" Target="https://www.whio.com/news/local/report-shot-possibly-fired-during-altercation-basketball-court-beavercreek-school/pik2z70Vnp3YXYCS9M5YKN/" TargetMode="External"/><Relationship Id="rId1015" Type="http://schemas.openxmlformats.org/officeDocument/2006/relationships/hyperlink" Target="https://www.newspapers.com/image/216895876/?terms=Booker%2BT.%2BWashington%2BHigh%2BSchool%2Bshooting" TargetMode="External"/><Relationship Id="rId1222" Type="http://schemas.openxmlformats.org/officeDocument/2006/relationships/hyperlink" Target="https://www.newspapers.com/image/29580657/?terms=school%2Bshooting" TargetMode="External"/><Relationship Id="rId469" Type="http://schemas.openxmlformats.org/officeDocument/2006/relationships/hyperlink" Target="http://www.wbrc.com/story/31487356/birmingham-police-identify-suspect-arrested-charged-in-huffman-high-school-shooting" TargetMode="External"/><Relationship Id="rId676" Type="http://schemas.openxmlformats.org/officeDocument/2006/relationships/hyperlink" Target="https://www.washingtonexaminer.com/third-grader-at-grove-park-brings-gun-to-city-school" TargetMode="External"/><Relationship Id="rId883" Type="http://schemas.openxmlformats.org/officeDocument/2006/relationships/hyperlink" Target="https://www.cbsnews.com/news/ga-teen-found-dead-in-truck/" TargetMode="External"/><Relationship Id="rId1099" Type="http://schemas.openxmlformats.org/officeDocument/2006/relationships/hyperlink" Target="https://www.upi.com/Archives/1985/10/18/A-gunman-stepped-out-of-a-car-and-sprayed/5334498456000/" TargetMode="External"/><Relationship Id="rId26" Type="http://schemas.openxmlformats.org/officeDocument/2006/relationships/hyperlink" Target="https://www.wcpo.com/news/local-news/hamilton-county/cincinnati/bond-hill/woodward-high-school-briefly-put-on-lockdown-after-person-shot-nearby" TargetMode="External"/><Relationship Id="rId231" Type="http://schemas.openxmlformats.org/officeDocument/2006/relationships/hyperlink" Target="https://cbs12.com/news/local/pbc-mom-complains-about-safety-on-buses-after-her-daughter-was-shot-with-a-pellet-gun" TargetMode="External"/><Relationship Id="rId329" Type="http://schemas.openxmlformats.org/officeDocument/2006/relationships/hyperlink" Target="https://www.wral.com/durham-school-bus-hit-by-stray-bullet/18133535/" TargetMode="External"/><Relationship Id="rId536" Type="http://schemas.openxmlformats.org/officeDocument/2006/relationships/hyperlink" Target="https://www.nbclosangeles.com/news/local/Chino-Newman-Elementary-School-Safety-Demonstration-Weapon-Gun-Misfires-Injures-228984301.html" TargetMode="External"/><Relationship Id="rId1166" Type="http://schemas.openxmlformats.org/officeDocument/2006/relationships/hyperlink" Target="https://www.newspapers.com/image/262419526/?terms=Parker%2BHigh%2BSchool%2Bshooting%2Bbirmingham" TargetMode="External"/><Relationship Id="rId175" Type="http://schemas.openxmlformats.org/officeDocument/2006/relationships/hyperlink" Target="https://www.chicagotribune.com/news/breaking/ct-barrington-high-school-pellet-guns-shot-at-lgbtq-students-20220318-ans632prmngx3fxixmgzaq3vbu-story.html" TargetMode="External"/><Relationship Id="rId743" Type="http://schemas.openxmlformats.org/officeDocument/2006/relationships/hyperlink" Target="https://www.columbine-angels.com/School_Violence_2004-2005.htm" TargetMode="External"/><Relationship Id="rId950" Type="http://schemas.openxmlformats.org/officeDocument/2006/relationships/hyperlink" Target="http://articles.courant.com/1995-07-21/news/9507210401_1_latin-king-rival-gang-gang-war" TargetMode="External"/><Relationship Id="rId1026" Type="http://schemas.openxmlformats.org/officeDocument/2006/relationships/hyperlink" Target="https://www.newspapers.com/image/462261165/?terms=Mount%2BPleasant%2BHigh%2BSchool%2Bshooting" TargetMode="External"/><Relationship Id="rId382" Type="http://schemas.openxmlformats.org/officeDocument/2006/relationships/hyperlink" Target="https://www.clarionledger.com/story/news/local/2018/05/31/school-shooting-suspect-detained-trial-authorities-advise-educators/628988002/" TargetMode="External"/><Relationship Id="rId603" Type="http://schemas.openxmlformats.org/officeDocument/2006/relationships/hyperlink" Target="http://archive.longislandpress.com/2010/02/26/mastic-man-pleads-guilty-to-school-shooting/" TargetMode="External"/><Relationship Id="rId687" Type="http://schemas.openxmlformats.org/officeDocument/2006/relationships/hyperlink" Target="http://www.pressreader.com/usa/austin-american-statesman/20060822/281908768618808" TargetMode="External"/><Relationship Id="rId810" Type="http://schemas.openxmlformats.org/officeDocument/2006/relationships/hyperlink" Target="https://www.newspapers.com/image/220871722/?terms=Fair%2BPark%2BHigh%2BSchool%2BSteven%2BGreen" TargetMode="External"/><Relationship Id="rId908" Type="http://schemas.openxmlformats.org/officeDocument/2006/relationships/hyperlink" Target="https://www.nytimes.com/1997/02/14/nyregion/gunfire-injures-2-students-at-high-schools-in-bronx.html?auth=login-google" TargetMode="External"/><Relationship Id="rId1233" Type="http://schemas.openxmlformats.org/officeDocument/2006/relationships/hyperlink" Target="https://www.newspapers.com/image/29775822/?terms=pupil%2Bshot" TargetMode="External"/><Relationship Id="rId242" Type="http://schemas.openxmlformats.org/officeDocument/2006/relationships/hyperlink" Target="https://www.kark.com/news/local-news/little-rock-police-investigating-shooting-near-elementary-school-no-injuries-reported/" TargetMode="External"/><Relationship Id="rId894" Type="http://schemas.openxmlformats.org/officeDocument/2006/relationships/hyperlink" Target="http://articles.sun-sentinel.com/1998-09-30/news/9809300032_1_school-cafeteria-school-officials-high-school" TargetMode="External"/><Relationship Id="rId1177" Type="http://schemas.openxmlformats.org/officeDocument/2006/relationships/hyperlink" Target="https://www.newspapers.com/image/318405620/?terms=sandra%2Bviser%2Bmccomb" TargetMode="External"/><Relationship Id="rId1300" Type="http://schemas.openxmlformats.org/officeDocument/2006/relationships/hyperlink" Target="https://www.newspapers.com/image/25156350/?terms=school%2Bshooting" TargetMode="External"/><Relationship Id="rId37" Type="http://schemas.openxmlformats.org/officeDocument/2006/relationships/hyperlink" Target="https://www.fresnobee.com/news/local/crime/article272400143.html" TargetMode="External"/><Relationship Id="rId102" Type="http://schemas.openxmlformats.org/officeDocument/2006/relationships/hyperlink" Target="https://www.klfy.com/local/vermilion-parish/abbeville-police-shots-fired-at-j-h-williams-middle-school/" TargetMode="External"/><Relationship Id="rId547" Type="http://schemas.openxmlformats.org/officeDocument/2006/relationships/hyperlink" Target="https://www.wsoctv.com/news/local/gunfire-school-campus-part-undercover-drug-operati/335014423" TargetMode="External"/><Relationship Id="rId754" Type="http://schemas.openxmlformats.org/officeDocument/2006/relationships/hyperlink" Target="https://www.cbsnews.com/news/school-bus-driver-shot-to-death/" TargetMode="External"/><Relationship Id="rId961" Type="http://schemas.openxmlformats.org/officeDocument/2006/relationships/hyperlink" Target="https://www.nytimes.com/1993/08/03/nyregion/student-shot-during-class-in-bronx-high-school.html" TargetMode="External"/><Relationship Id="rId90" Type="http://schemas.openxmlformats.org/officeDocument/2006/relationships/hyperlink" Target="https://www.fox4news.com/news/officer-shot-during-active-shooter-training-forest-hill" TargetMode="External"/><Relationship Id="rId186" Type="http://schemas.openxmlformats.org/officeDocument/2006/relationships/hyperlink" Target="https://www.wgrz.com/article/news/crime/teen-sentenced-for-shooting-security-officer-outside-mckinley-high-school-during-fight-criminal-investigation/71-017fb489-7f4b-4b9a-be2f-78652d105c98" TargetMode="External"/><Relationship Id="rId393" Type="http://schemas.openxmlformats.org/officeDocument/2006/relationships/hyperlink" Target="https://www.twincities.com/2018/02/05/maplewood-police-officers-gun-fires-at-school-no-injuries-reported/" TargetMode="External"/><Relationship Id="rId407" Type="http://schemas.openxmlformats.org/officeDocument/2006/relationships/hyperlink" Target="https://abc13.com/2-wounded-when-gun-goes-off-in-car-at-sam-rayburn-hs/2774679/" TargetMode="External"/><Relationship Id="rId614" Type="http://schemas.openxmlformats.org/officeDocument/2006/relationships/hyperlink" Target="http://homicide.latimes.com/post/luis-rosas/" TargetMode="External"/><Relationship Id="rId821" Type="http://schemas.openxmlformats.org/officeDocument/2006/relationships/hyperlink" Target="http://articles.latimes.com/2002/nov/15/local/me-carson15" TargetMode="External"/><Relationship Id="rId1037" Type="http://schemas.openxmlformats.org/officeDocument/2006/relationships/hyperlink" Target="https://www.newspapers.com/image/300055668/?terms=Oliver%2BWendell%2BHolmes%2BMiddle%2BSchool%2Bshooting" TargetMode="External"/><Relationship Id="rId1244" Type="http://schemas.openxmlformats.org/officeDocument/2006/relationships/hyperlink" Target="https://www.newspapers.com/image/60655345/?terms=school%2Bshooting" TargetMode="External"/><Relationship Id="rId253" Type="http://schemas.openxmlformats.org/officeDocument/2006/relationships/hyperlink" Target="https://www.nbc4i.com/news/local-news/cpd-school-fight-leads-to-shooting/" TargetMode="External"/><Relationship Id="rId460" Type="http://schemas.openxmlformats.org/officeDocument/2006/relationships/hyperlink" Target="https://hanfordsentinel.com/news/local/crime/police-woman-shot-at-hanford-junior-high-school/article_e202ea04-65e0-5150-ad82-cea69301fb51.html" TargetMode="External"/><Relationship Id="rId698" Type="http://schemas.openxmlformats.org/officeDocument/2006/relationships/hyperlink" Target="https://www.washingtonpost.com/archive/business/technology/2006/04/05/shooting-at-roosevelt-high-injures-19-year-old-student/5e198f72-616c-4f3e-8b06-25cdc4162735/?utm_term=.0b3f619eca63" TargetMode="External"/><Relationship Id="rId919" Type="http://schemas.openxmlformats.org/officeDocument/2006/relationships/hyperlink" Target="https://www.columbine-angels.com/School_Violence_1995-1996.htm" TargetMode="External"/><Relationship Id="rId1090" Type="http://schemas.openxmlformats.org/officeDocument/2006/relationships/hyperlink" Target="http://articles.chicagotribune.com/1986-03-07/news/8601170427_1_second-teacher-third-period-classes-cap-gun" TargetMode="External"/><Relationship Id="rId1104" Type="http://schemas.openxmlformats.org/officeDocument/2006/relationships/hyperlink" Target="https://www.newspapers.com/image/320585636/?terms=school%2Bshooting" TargetMode="External"/><Relationship Id="rId48" Type="http://schemas.openxmlformats.org/officeDocument/2006/relationships/hyperlink" Target="https://www.13abc.com/2023/01/25/police-tps-school-bus-hit-by-gunfire-with-students-board/" TargetMode="External"/><Relationship Id="rId113" Type="http://schemas.openxmlformats.org/officeDocument/2006/relationships/hyperlink" Target="https://www.nbcphiladelphia.com/news/local/4-people-shot-at-roxborough-high-school/3375136/" TargetMode="External"/><Relationship Id="rId320" Type="http://schemas.openxmlformats.org/officeDocument/2006/relationships/hyperlink" Target="https://www.wfla.com/news/pasco-county/deputies-pasco-school-officer-s-gun-discharges-in-cafeteria-no-one-injured/1966758072" TargetMode="External"/><Relationship Id="rId558" Type="http://schemas.openxmlformats.org/officeDocument/2006/relationships/hyperlink" Target="https://www.wxyz.com/news/region/detroit/16-year-old-boy-shot-at-after-basketball-game-in-detroit" TargetMode="External"/><Relationship Id="rId765" Type="http://schemas.openxmlformats.org/officeDocument/2006/relationships/hyperlink" Target="https://www.nwitimes.com/news/local/suspect-in-school-shooting-in-custody/article_45dbc46d-b19d-5eda-a4e0-8823c211e6cd.html" TargetMode="External"/><Relationship Id="rId972" Type="http://schemas.openxmlformats.org/officeDocument/2006/relationships/hyperlink" Target="https://www.newspapers.com/image/752371201/?terms=shot%20at%20school&amp;match=1" TargetMode="External"/><Relationship Id="rId1188" Type="http://schemas.openxmlformats.org/officeDocument/2006/relationships/hyperlink" Target="https://www.newspapers.com/image/273435847/?terms=Wisconsin%2BLutheran%2BHigh%2BSchool%2Bjanitor%2Bshot%2Brocks" TargetMode="External"/><Relationship Id="rId197" Type="http://schemas.openxmlformats.org/officeDocument/2006/relationships/hyperlink" Target="https://www.kait8.com/2021/12/06/man-arrested-following-school-parking-lot-shooting/" TargetMode="External"/><Relationship Id="rId418" Type="http://schemas.openxmlformats.org/officeDocument/2006/relationships/hyperlink" Target="https://www.journalnow.com/news/crime/man-charged-after-gun-fired-at-kernersville-youth-football-game/article_18fb0bef-80e1-530a-bc1f-b6b61ce4d8fd.html" TargetMode="External"/><Relationship Id="rId625" Type="http://schemas.openxmlformats.org/officeDocument/2006/relationships/hyperlink" Target="https://abcnews.go.com/US/eighth-grade-shooting-larry-king-brandon-mcinerney-boys/story?id=14666577" TargetMode="External"/><Relationship Id="rId832" Type="http://schemas.openxmlformats.org/officeDocument/2006/relationships/hyperlink" Target="http://articles.mcall.com/2003-09-24/news/3482461_1_berks-christian-school-otto-nuss-bus-driver" TargetMode="External"/><Relationship Id="rId1048" Type="http://schemas.openxmlformats.org/officeDocument/2006/relationships/hyperlink" Target="http://articles.latimes.com/1988-10-04/news/mn-3503_1_elementary-school" TargetMode="External"/><Relationship Id="rId1255" Type="http://schemas.openxmlformats.org/officeDocument/2006/relationships/hyperlink" Target="https://www.newspapers.com/image/381696060/?terms=school%2Bshooting" TargetMode="External"/><Relationship Id="rId264" Type="http://schemas.openxmlformats.org/officeDocument/2006/relationships/hyperlink" Target="https://www.fox9.com/news/target-shooter-fires-accidental-shots-near-shakopee-sports-stadium" TargetMode="External"/><Relationship Id="rId471" Type="http://schemas.openxmlformats.org/officeDocument/2006/relationships/hyperlink" Target="https://www.wfla.com/news/local-news/loaded-gun-discharges-at-citrus-co-elementary-school/1051971907" TargetMode="External"/><Relationship Id="rId1115" Type="http://schemas.openxmlformats.org/officeDocument/2006/relationships/hyperlink" Target="https://www.newspapers.com/image/153645072/?terms=michael%2Bbrody" TargetMode="External"/><Relationship Id="rId59" Type="http://schemas.openxmlformats.org/officeDocument/2006/relationships/hyperlink" Target="https://www.wwltv.com/article/news/crime/nopd-investigating-shooting-at-booker-t-washington-high-school/289-4590bc69-0374-4c8a-9c77-6f03c773324b" TargetMode="External"/><Relationship Id="rId124" Type="http://schemas.openxmlformats.org/officeDocument/2006/relationships/hyperlink" Target="https://www.wral.com/california-high-school-staff-member-shot-after-fight/20464618/" TargetMode="External"/><Relationship Id="rId569" Type="http://schemas.openxmlformats.org/officeDocument/2006/relationships/hyperlink" Target="https://www.chron.com/news/houston-texas/article/Teen-shot-at-North-Forest-High-School-2457718.php" TargetMode="External"/><Relationship Id="rId776" Type="http://schemas.openxmlformats.org/officeDocument/2006/relationships/hyperlink" Target="http://www.wmcactionnews5.com/story/7818497/police-investigate-shooting-inside-classroom-at-hamilton-high/" TargetMode="External"/><Relationship Id="rId983" Type="http://schemas.openxmlformats.org/officeDocument/2006/relationships/hyperlink" Target="https://www.newspapers.com/image/389728711/?terms=Willie%2BClayborn" TargetMode="External"/><Relationship Id="rId1199" Type="http://schemas.openxmlformats.org/officeDocument/2006/relationships/hyperlink" Target="https://www.newspapers.com/newspage/207607604/" TargetMode="External"/><Relationship Id="rId331" Type="http://schemas.openxmlformats.org/officeDocument/2006/relationships/hyperlink" Target="https://fox4kc.com/2018/12/14/police-investigating-reports-of-shot-fired-into-air-and-shooting-at-2-metro-high-schools/" TargetMode="External"/><Relationship Id="rId429" Type="http://schemas.openxmlformats.org/officeDocument/2006/relationships/hyperlink" Target="https://fox13now.com/2017/07/21/19-year-old-shoots-teen-at-spanish-fork-high-before-taking-own-life/" TargetMode="External"/><Relationship Id="rId636" Type="http://schemas.openxmlformats.org/officeDocument/2006/relationships/hyperlink" Target="https://www.columbine-angels.com/School_Violence_2006-2007.htm" TargetMode="External"/><Relationship Id="rId1059" Type="http://schemas.openxmlformats.org/officeDocument/2006/relationships/hyperlink" Target="https://www.newspapers.com/image/364030604/?terms=consuela%2Breed" TargetMode="External"/><Relationship Id="rId1266" Type="http://schemas.openxmlformats.org/officeDocument/2006/relationships/hyperlink" Target="https://www.newspapers.com/image/205331514/?terms=school%2Bshooting" TargetMode="External"/><Relationship Id="rId843" Type="http://schemas.openxmlformats.org/officeDocument/2006/relationships/hyperlink" Target="https://nthfmemorial.org/mystery-in-ohio-demetrius-minifee/" TargetMode="External"/><Relationship Id="rId1126" Type="http://schemas.openxmlformats.org/officeDocument/2006/relationships/hyperlink" Target="https://www.newspapers.com/image/371003589/?terms=student%2Bshot&amp;match=10" TargetMode="External"/><Relationship Id="rId275" Type="http://schemas.openxmlformats.org/officeDocument/2006/relationships/hyperlink" Target="https://abc17news.com/news/crime/shooting/2020/08/25/one-person-shot-near-west-middle-school-in-columbia/" TargetMode="External"/><Relationship Id="rId482" Type="http://schemas.openxmlformats.org/officeDocument/2006/relationships/hyperlink" Target="https://www.statesmanjournal.com/story/news/2015/09/04/man-arrested-after-shots-fired-near-newberg-high-school/71699392/" TargetMode="External"/><Relationship Id="rId703" Type="http://schemas.openxmlformats.org/officeDocument/2006/relationships/hyperlink" Target="https://www.newspapers.com/image/164693932/?terms=William%2BPenn%2BHigh%2BSchool%2Bshooting" TargetMode="External"/><Relationship Id="rId910" Type="http://schemas.openxmlformats.org/officeDocument/2006/relationships/hyperlink" Target="http://www.psychceu.com/school_violence/savd.pdf" TargetMode="External"/><Relationship Id="rId135" Type="http://schemas.openxmlformats.org/officeDocument/2006/relationships/hyperlink" Target="https://www.fox29.com/news/police-3-people-hospitalized-after-being-shot-on-elementary-school-playground-in-kensington" TargetMode="External"/><Relationship Id="rId342" Type="http://schemas.openxmlformats.org/officeDocument/2006/relationships/hyperlink" Target="https://www.wmur.com/amp/article/manchester-after-school-volunteer-shot-by-pellet-gun-at-elementary-school/24089076" TargetMode="External"/><Relationship Id="rId787" Type="http://schemas.openxmlformats.org/officeDocument/2006/relationships/hyperlink" Target="https://www.shreveporttimes.com/story/news/2017/11/07/times-files-officer-fires-shot-fair-park-high/841429001/" TargetMode="External"/><Relationship Id="rId994" Type="http://schemas.openxmlformats.org/officeDocument/2006/relationships/hyperlink" Target="http://articles.dailypress.com/1992-02-08/news/9202080051_1_place-on-school-property-critical-condition-school-officials" TargetMode="External"/><Relationship Id="rId202" Type="http://schemas.openxmlformats.org/officeDocument/2006/relationships/hyperlink" Target="https://fox8.com/news/cleveland-school-bus-driver-robbed-at-gunpoint/" TargetMode="External"/><Relationship Id="rId647" Type="http://schemas.openxmlformats.org/officeDocument/2006/relationships/hyperlink" Target="http://www.wistv.com/story/6297864/student-shoots-himself-in-leg-at-myrtle-beach-high-school?clienttype=printable" TargetMode="External"/><Relationship Id="rId854" Type="http://schemas.openxmlformats.org/officeDocument/2006/relationships/hyperlink" Target="http://articles.sun-sentinel.com/2000-12-21/news/0012210472_1_armored-car-armored-guard-routine-pickup" TargetMode="External"/><Relationship Id="rId1277" Type="http://schemas.openxmlformats.org/officeDocument/2006/relationships/hyperlink" Target="https://www.newspapers.com/image/372317689/?terms=school%2Bshooting" TargetMode="External"/><Relationship Id="rId286" Type="http://schemas.openxmlformats.org/officeDocument/2006/relationships/hyperlink" Target="https://kimatv.com/news/local/police-yakima-teen-arrested-for-threatening-woman-girl-at-and-elementary-school" TargetMode="External"/><Relationship Id="rId493" Type="http://schemas.openxmlformats.org/officeDocument/2006/relationships/hyperlink" Target="https://www.fredericknewspost.com/subjects/crime_and_justice/updated-two-students-wounded-in-frederick-high-school-shooting/article_153b667f-90c2-5c8c-b4ed-9c4ba869e442.html" TargetMode="External"/><Relationship Id="rId507" Type="http://schemas.openxmlformats.org/officeDocument/2006/relationships/hyperlink" Target="https://www.usatoday.com/story/news/2014/09/30/police-1-shot-at-albemarle-high-school-1-in-custody/16469203/" TargetMode="External"/><Relationship Id="rId714" Type="http://schemas.openxmlformats.org/officeDocument/2006/relationships/hyperlink" Target="http://www.gadsdentimes.com/lifestyle/20060116/student-charged-in-fatal-shooting-after-game" TargetMode="External"/><Relationship Id="rId921" Type="http://schemas.openxmlformats.org/officeDocument/2006/relationships/hyperlink" Target="https://www.columbine-angels.com/School_Violence_1995-1996.htm" TargetMode="External"/><Relationship Id="rId1137" Type="http://schemas.openxmlformats.org/officeDocument/2006/relationships/hyperlink" Target="https://www.newspapers.com/image/277257866/?terms=Santa%2BMaria%2BInCornata-Santa%2BLucia%2BSchool%2Bshooting" TargetMode="External"/><Relationship Id="rId50" Type="http://schemas.openxmlformats.org/officeDocument/2006/relationships/hyperlink" Target="https://cbs12.com/news/local/henry-williams-arrested-bringing-firearm-to-glades-central-high-school-january-21" TargetMode="External"/><Relationship Id="rId146" Type="http://schemas.openxmlformats.org/officeDocument/2006/relationships/hyperlink" Target="https://www.fox44news.com/news/local-news/brazos/shots-fired-at-college-station-high-school-suspect-sought/" TargetMode="External"/><Relationship Id="rId353" Type="http://schemas.openxmlformats.org/officeDocument/2006/relationships/hyperlink" Target="https://www.desmoinesregister.com/story/news/2018/09/07/des-moines-hoover-north-homecoming-game-shooting-football-des-moines-police-mcgrane-stadium/1234471002/" TargetMode="External"/><Relationship Id="rId560" Type="http://schemas.openxmlformats.org/officeDocument/2006/relationships/hyperlink" Target="https://abc13.com/archive/8915159/" TargetMode="External"/><Relationship Id="rId798" Type="http://schemas.openxmlformats.org/officeDocument/2006/relationships/hyperlink" Target="https://www.chron.com/news/houston-texas/article/Man-convicted-of-killing-student-outside-stadium-1624934.php" TargetMode="External"/><Relationship Id="rId1190" Type="http://schemas.openxmlformats.org/officeDocument/2006/relationships/hyperlink" Target="https://www.newspapers.com/newspage/107532734/" TargetMode="External"/><Relationship Id="rId1204" Type="http://schemas.openxmlformats.org/officeDocument/2006/relationships/hyperlink" Target="https://www.newspapers.com/image/295122036/?terms=school%2Bshooting" TargetMode="External"/><Relationship Id="rId213" Type="http://schemas.openxmlformats.org/officeDocument/2006/relationships/hyperlink" Target="https://www.postregister.com/star/news/jefferson-joint-school-dist-moving-forward-after-another-gun-incident/article_e7b6f146-3426-5c60-a8c7-4668519062a5.html" TargetMode="External"/><Relationship Id="rId420" Type="http://schemas.openxmlformats.org/officeDocument/2006/relationships/hyperlink" Target="https://triblive.com/local/regional/12794212-74/woman-shoots-boyfriend-in-indiana-county-school-parking-lot" TargetMode="External"/><Relationship Id="rId658" Type="http://schemas.openxmlformats.org/officeDocument/2006/relationships/hyperlink" Target="https://www.newspapers.com/image/231615256/?terms=Hillcrest%2BHigh%2BSchool%2Bshooting%2BDwight%2BWelch" TargetMode="External"/><Relationship Id="rId865" Type="http://schemas.openxmlformats.org/officeDocument/2006/relationships/hyperlink" Target="http://tucsoncitizen.com/morgue2/2000/05/11/58653-sierra-vista-shootings-prompt-safety-review/" TargetMode="External"/><Relationship Id="rId1050" Type="http://schemas.openxmlformats.org/officeDocument/2006/relationships/hyperlink" Target="https://www.newspapers.com/image/99828797/?terms=student%2Bshot" TargetMode="External"/><Relationship Id="rId1288" Type="http://schemas.openxmlformats.org/officeDocument/2006/relationships/hyperlink" Target="https://www.newspapers.com/image/365033298/?terms=school%2Bshooting" TargetMode="External"/><Relationship Id="rId297" Type="http://schemas.openxmlformats.org/officeDocument/2006/relationships/hyperlink" Target="https://dailyvoice.com/new-jersey/ocean/police-fire/asbury-park-teen-idd-charged-with-shooting-near-brick-high-school/794032/" TargetMode="External"/><Relationship Id="rId518" Type="http://schemas.openxmlformats.org/officeDocument/2006/relationships/hyperlink" Target="http://miami.cbslocal.com/2014/03/14/man-accused-of-murdering-wife-near-miami-dade-preschool/" TargetMode="External"/><Relationship Id="rId725" Type="http://schemas.openxmlformats.org/officeDocument/2006/relationships/hyperlink" Target="http://articles.latimes.com/2005/oct/20/local/me-iebrief20" TargetMode="External"/><Relationship Id="rId932" Type="http://schemas.openxmlformats.org/officeDocument/2006/relationships/hyperlink" Target="http://articles.chicagotribune.com/1994-10-18/news/9410180247_1_female-student-was-shot-christ-hospital-flesh-wound" TargetMode="External"/><Relationship Id="rId1148" Type="http://schemas.openxmlformats.org/officeDocument/2006/relationships/hyperlink" Target="https://www.newspapers.com/image/377444331/?terms=TEACHER%2BSHOT" TargetMode="External"/><Relationship Id="rId157" Type="http://schemas.openxmlformats.org/officeDocument/2006/relationships/hyperlink" Target="https://www.myjournalcourier.com/news/article/Hallucinating-woman-arrested-after-shot-fired-17188158.php" TargetMode="External"/><Relationship Id="rId364" Type="http://schemas.openxmlformats.org/officeDocument/2006/relationships/hyperlink" Target="https://www.yakimaherald.com/news/crime_and_courts/shooting-victim-found-near-west-valley-school-identified/article_486a9ff4-8c56-11e8-886e-3bb30443843b.html" TargetMode="External"/><Relationship Id="rId1008" Type="http://schemas.openxmlformats.org/officeDocument/2006/relationships/hyperlink" Target="https://www.newspapers.com/image/176991255/?terms=Enterprise%2BMiddle%2BSchool%2Bshot%2Bcompton" TargetMode="External"/><Relationship Id="rId1215" Type="http://schemas.openxmlformats.org/officeDocument/2006/relationships/hyperlink" Target="https://www.newspapers.com/image/127972205/?terms=school%2Bshooting" TargetMode="External"/><Relationship Id="rId61" Type="http://schemas.openxmlformats.org/officeDocument/2006/relationships/hyperlink" Target="https://www.portlandoregon.gov/police/news/read.cfm?id=452696" TargetMode="External"/><Relationship Id="rId571" Type="http://schemas.openxmlformats.org/officeDocument/2006/relationships/hyperlink" Target="http://www.fayobserver.com/news/20180817/cape-fear-high-shooting-lawsuit-settled-for-2-million" TargetMode="External"/><Relationship Id="rId669" Type="http://schemas.openxmlformats.org/officeDocument/2006/relationships/hyperlink" Target="https://www.newspapers.com/image/232079346/?terms=Northwest%2BHigh%2BSchool%2Bgun%2Bpocket" TargetMode="External"/><Relationship Id="rId876" Type="http://schemas.openxmlformats.org/officeDocument/2006/relationships/hyperlink" Target="https://www.newspapers.com/image/184629441/?terms=shooting%2BDonald%2BMcNeil" TargetMode="External"/><Relationship Id="rId1299" Type="http://schemas.openxmlformats.org/officeDocument/2006/relationships/hyperlink" Target="https://www.newspapers.com/image/571585288/?terms=shot%2Bin%2Bschool%2Bparking%2Blot" TargetMode="External"/><Relationship Id="rId19" Type="http://schemas.openxmlformats.org/officeDocument/2006/relationships/hyperlink" Target="https://www.wbaltv.com/article/shots-fired-basketball-court-leith-walk-school-baltimore/43221906" TargetMode="External"/><Relationship Id="rId224" Type="http://schemas.openxmlformats.org/officeDocument/2006/relationships/hyperlink" Target="https://bringmethenews.com/minnesota-news/brooklyn-park-school-hit-by-bullets-cancels-classes-thursday" TargetMode="External"/><Relationship Id="rId431" Type="http://schemas.openxmlformats.org/officeDocument/2006/relationships/hyperlink" Target="https://www.wbtw.com/news/1-arrested-hospitalized-after-accidental-shooting-at-wilson-high-school/868539676" TargetMode="External"/><Relationship Id="rId529" Type="http://schemas.openxmlformats.org/officeDocument/2006/relationships/hyperlink" Target="https://www.wbrz.com/news/man-sentenced-to-15-years-for-2014-drive-by-shooting-outside-of-st-james-high-school/" TargetMode="External"/><Relationship Id="rId736" Type="http://schemas.openxmlformats.org/officeDocument/2006/relationships/hyperlink" Target="https://www.columbine-angels.com/School_Violence_2004-2005.htm" TargetMode="External"/><Relationship Id="rId1061" Type="http://schemas.openxmlformats.org/officeDocument/2006/relationships/hyperlink" Target="https://www.newspapers.com/image/169515600/?terms=charles%2Bmincey%2Bridley%2Bhigh%2Bschool" TargetMode="External"/><Relationship Id="rId1159" Type="http://schemas.openxmlformats.org/officeDocument/2006/relationships/hyperlink" Target="https://www.newspapers.com/image/216284765/?terms=new%2BIberia%2Bteacher%2Bshot" TargetMode="External"/><Relationship Id="rId168" Type="http://schemas.openxmlformats.org/officeDocument/2006/relationships/hyperlink" Target="https://www.wtok.com/2022/04/15/three-students-shot-with-high-powered-air-rifles-neshoba-central/" TargetMode="External"/><Relationship Id="rId943" Type="http://schemas.openxmlformats.org/officeDocument/2006/relationships/hyperlink" Target="https://www.newspapers.com/image/159190089/?terms=Los%2BAltos%2BHigh%2BSchool" TargetMode="External"/><Relationship Id="rId1019" Type="http://schemas.openxmlformats.org/officeDocument/2006/relationships/hyperlink" Target="https://www.columbine-angels.com/School_Violence_1990-1991.htm" TargetMode="External"/><Relationship Id="rId72" Type="http://schemas.openxmlformats.org/officeDocument/2006/relationships/hyperlink" Target="https://www.wsfa.com/2022/12/06/shots-fired-near-montgomery-school-police-say/" TargetMode="External"/><Relationship Id="rId375" Type="http://schemas.openxmlformats.org/officeDocument/2006/relationships/hyperlink" Target="https://www.wxyz.com/news/off-duty-officer-accidentally-discharges-gun-during-wrestling-meet-at-michigan-high-school" TargetMode="External"/><Relationship Id="rId582" Type="http://schemas.openxmlformats.org/officeDocument/2006/relationships/hyperlink" Target="https://madison.com/wsj/news/local/crime_and_courts/no-clues-found-in-marinette-school-standoff-that-ended-in/article_62c3dbb3-1712-52ec-b275-d599eff149de.html" TargetMode="External"/><Relationship Id="rId803" Type="http://schemas.openxmlformats.org/officeDocument/2006/relationships/hyperlink" Target="http://www.spokesman.com/stories/2004/sep/04/father-says-police-too-aggressive-high-school-shoo/" TargetMode="External"/><Relationship Id="rId1226" Type="http://schemas.openxmlformats.org/officeDocument/2006/relationships/hyperlink" Target="https://www.newspapers.com/image/86248524/?terms=school%2Bshooting" TargetMode="External"/><Relationship Id="rId3" Type="http://schemas.openxmlformats.org/officeDocument/2006/relationships/hyperlink" Target="https://wsbt.com/news/local/lockdown-lifted-following-emergency-at-northridge-middle-school-elkhart-county-developing-dismissal" TargetMode="External"/><Relationship Id="rId235" Type="http://schemas.openxmlformats.org/officeDocument/2006/relationships/hyperlink" Target="https://bronx.news12.com/police-suspect-arrested-for-firing-shots-during-dispute-on-grounds-of-hauppauge-middle-school" TargetMode="External"/><Relationship Id="rId442" Type="http://schemas.openxmlformats.org/officeDocument/2006/relationships/hyperlink" Target="http://www.theadvocate.com/baton_rouge/news/crime_police/article_c0f86974-ed92-11e6-98ec-1fec7cb6253b.html" TargetMode="External"/><Relationship Id="rId887" Type="http://schemas.openxmlformats.org/officeDocument/2006/relationships/hyperlink" Target="http://articles.chicagotribune.com/1999-03-06/news/9903060113_1_hennessy-police-skokie" TargetMode="External"/><Relationship Id="rId1072" Type="http://schemas.openxmlformats.org/officeDocument/2006/relationships/hyperlink" Target="https://www.upi.com/Archives/1987/04/16/Gunshots-fired-in-a-high-school-gymnasium-killed-a/4536545544000/" TargetMode="External"/><Relationship Id="rId302" Type="http://schemas.openxmlformats.org/officeDocument/2006/relationships/hyperlink" Target="https://triblive.com/local/westmoreland/jeannette-man-sentenced-for-2019-fatal-shooting-outside-of-high-school-football-game/" TargetMode="External"/><Relationship Id="rId747" Type="http://schemas.openxmlformats.org/officeDocument/2006/relationships/hyperlink" Target="https://www.columbine-angels.com/School_Violence_2004-2005.htm" TargetMode="External"/><Relationship Id="rId954" Type="http://schemas.openxmlformats.org/officeDocument/2006/relationships/hyperlink" Target="https://www.newspapers.com/image/276635826/?terms=Weatherless%2BElementary%2BSchool%2Bshooting" TargetMode="External"/><Relationship Id="rId83" Type="http://schemas.openxmlformats.org/officeDocument/2006/relationships/hyperlink" Target="https://www.cbsnews.com/chicago/news/indiana-officer-gunfire-student/" TargetMode="External"/><Relationship Id="rId179" Type="http://schemas.openxmlformats.org/officeDocument/2006/relationships/hyperlink" Target="https://www.wsaz.com/2022/03/11/school-lockdown-lifted-following-robbery-shots-fired-lawrence-county-fairgrounds/" TargetMode="External"/><Relationship Id="rId386" Type="http://schemas.openxmlformats.org/officeDocument/2006/relationships/hyperlink" Target="http://www.ksbw.com/article/seaside-high-teacher-accidentally-fires-gun-in-class/19426017" TargetMode="External"/><Relationship Id="rId593" Type="http://schemas.openxmlformats.org/officeDocument/2006/relationships/hyperlink" Target="https://www.newspapers.com/image/362815804/?terms=central%2Bhigh%2Bschool%2Bshooting%2Bdetroit" TargetMode="External"/><Relationship Id="rId607" Type="http://schemas.openxmlformats.org/officeDocument/2006/relationships/hyperlink" Target="https://www.columbine-angels.com/School_Violence_2008-2009.htm" TargetMode="External"/><Relationship Id="rId814" Type="http://schemas.openxmlformats.org/officeDocument/2006/relationships/hyperlink" Target="https://www.franklincountytimes.com/2003/03/26/northeast-high-school-begins-healing-process/" TargetMode="External"/><Relationship Id="rId1237" Type="http://schemas.openxmlformats.org/officeDocument/2006/relationships/hyperlink" Target="https://www.newspapers.com/image/68536508/?terms=school%2Bshooting" TargetMode="External"/><Relationship Id="rId246" Type="http://schemas.openxmlformats.org/officeDocument/2006/relationships/hyperlink" Target="https://www.nbcnews.com/news/us-news/16-year-old-critical-condition-after-getting-shot-outside-texas-n1269945" TargetMode="External"/><Relationship Id="rId453" Type="http://schemas.openxmlformats.org/officeDocument/2006/relationships/hyperlink" Target="https://www.nbcchicago.com/news/local/chicago-school-bus-driver-shot-395469231.html" TargetMode="External"/><Relationship Id="rId660" Type="http://schemas.openxmlformats.org/officeDocument/2006/relationships/hyperlink" Target="http://www.philly.com/philly/news/20070119_dn_M_SAYR.html" TargetMode="External"/><Relationship Id="rId898" Type="http://schemas.openxmlformats.org/officeDocument/2006/relationships/hyperlink" Target="https://www.washingtonpost.com/nation/2022/08/28/school-shooting-paducah-kentucky-michael-carneal-parole/" TargetMode="External"/><Relationship Id="rId1083" Type="http://schemas.openxmlformats.org/officeDocument/2006/relationships/hyperlink" Target="https://www.newspapers.com/image/404657287/?terms=Fairfax%2BHigh%2BSchool%2Bshooting" TargetMode="External"/><Relationship Id="rId1290" Type="http://schemas.openxmlformats.org/officeDocument/2006/relationships/hyperlink" Target="https://www.newspapers.com/image/164611095/?terms=school%2Bshooting" TargetMode="External"/><Relationship Id="rId1304" Type="http://schemas.openxmlformats.org/officeDocument/2006/relationships/hyperlink" Target="https://www.newspapers.com/image/129716948/?terms=school%2Bshooting" TargetMode="External"/><Relationship Id="rId106" Type="http://schemas.openxmlformats.org/officeDocument/2006/relationships/hyperlink" Target="https://www.koin.com/news/crime/shots-fired-near-reynolds-high-school-parents-concerned-about-response/" TargetMode="External"/><Relationship Id="rId313" Type="http://schemas.openxmlformats.org/officeDocument/2006/relationships/hyperlink" Target="https://www.denverpost.com/2019/07/04/colorado-springs-shooting-victims/" TargetMode="External"/><Relationship Id="rId758" Type="http://schemas.openxmlformats.org/officeDocument/2006/relationships/hyperlink" Target="http://www.philadelphiaweekly.com/news/state-of-disgrace/article_86c2a06b-190d-5781-ab53-23c8fb71c94c.html" TargetMode="External"/><Relationship Id="rId965" Type="http://schemas.openxmlformats.org/officeDocument/2006/relationships/hyperlink" Target="http://www.southcoasttoday.com/article/20150617/NEWS/150619469" TargetMode="External"/><Relationship Id="rId1150" Type="http://schemas.openxmlformats.org/officeDocument/2006/relationships/hyperlink" Target="https://www.newspapers.com/image/199055882/?terms=STUDENT%2BSHOOTS" TargetMode="External"/><Relationship Id="rId10" Type="http://schemas.openxmlformats.org/officeDocument/2006/relationships/hyperlink" Target="https://www.fox17online.com/news/local-news/kent/wyoming-dps-grandville-pd-respond-to-shots-fired-near-school" TargetMode="External"/><Relationship Id="rId94" Type="http://schemas.openxmlformats.org/officeDocument/2006/relationships/hyperlink" Target="https://www.9news.com/article/news/local/gun-flag-football-game-cresthill/73-7251ca4b-3365-4a6e-9c60-a29e425a3dca" TargetMode="External"/><Relationship Id="rId397" Type="http://schemas.openxmlformats.org/officeDocument/2006/relationships/hyperlink" Target="https://www.freep.com/story/news/local/michigan/wayne/2018/01/27/dearborn-high-school-shooting/1071836001/" TargetMode="External"/><Relationship Id="rId520" Type="http://schemas.openxmlformats.org/officeDocument/2006/relationships/hyperlink" Target="http://www.kansascity.com/news/local/crime/article9772547.html" TargetMode="External"/><Relationship Id="rId618" Type="http://schemas.openxmlformats.org/officeDocument/2006/relationships/hyperlink" Target="https://www.newspapers.com/image/193364114/?terms=jeremiah%2Blasater" TargetMode="External"/><Relationship Id="rId825" Type="http://schemas.openxmlformats.org/officeDocument/2006/relationships/hyperlink" Target="https://www.theguardian.com/world/2002/oct/08/usgunviolence.usa" TargetMode="External"/><Relationship Id="rId1248" Type="http://schemas.openxmlformats.org/officeDocument/2006/relationships/hyperlink" Target="https://www.newspapers.com/image/104353084/?terms=school%2Bshooting" TargetMode="External"/><Relationship Id="rId257" Type="http://schemas.openxmlformats.org/officeDocument/2006/relationships/hyperlink" Target="https://www.eastbaytimes.com/2020/11/13/union-city-man-shot-near-cesar-chavez-middle-school/" TargetMode="External"/><Relationship Id="rId464" Type="http://schemas.openxmlformats.org/officeDocument/2006/relationships/hyperlink" Target="http://www.wyff4.com/article/2-more-teens-charged-shooting-at-southside-high-school/7022388" TargetMode="External"/><Relationship Id="rId1010" Type="http://schemas.openxmlformats.org/officeDocument/2006/relationships/hyperlink" Target="https://www.newspapers.com/image/176951271/?terms=Robert%2BA.%2BMillikan%2BJunior%2BHigh%2BSchool%2Bshooting" TargetMode="External"/><Relationship Id="rId1094" Type="http://schemas.openxmlformats.org/officeDocument/2006/relationships/hyperlink" Target="https://www.newspapers.com/image/337579716/?terms=David%2BMancuso" TargetMode="External"/><Relationship Id="rId1108" Type="http://schemas.openxmlformats.org/officeDocument/2006/relationships/hyperlink" Target="https://www.nytimes.com/1994/11/10/nyregion/student-is-shot-at-a-high-school-in-new-haven.html" TargetMode="External"/><Relationship Id="rId117" Type="http://schemas.openxmlformats.org/officeDocument/2006/relationships/hyperlink" Target="https://www.tcpalm.com/story/news/2022/09/19/unintentional-discharge-deputys-gun-school-under-investigation/10429095002/" TargetMode="External"/><Relationship Id="rId671" Type="http://schemas.openxmlformats.org/officeDocument/2006/relationships/hyperlink" Target="http://www.witn.com/home/headlines/35382409.html" TargetMode="External"/><Relationship Id="rId769" Type="http://schemas.openxmlformats.org/officeDocument/2006/relationships/hyperlink" Target="http://articles.latimes.com/2004/oct/17/local/me-sbriefs17.2" TargetMode="External"/><Relationship Id="rId976" Type="http://schemas.openxmlformats.org/officeDocument/2006/relationships/hyperlink" Target="https://www.newspapers.com/image/510596731/?terms=shot%20at%20school&amp;match=1" TargetMode="External"/><Relationship Id="rId324" Type="http://schemas.openxmlformats.org/officeDocument/2006/relationships/hyperlink" Target="https://www.news4jax.com/news/2019/03/28/12-year-old-hurt-after-metal-projectile-hits-school-bus/" TargetMode="External"/><Relationship Id="rId531" Type="http://schemas.openxmlformats.org/officeDocument/2006/relationships/hyperlink" Target="http://www.wbbjtv.com/2014/01/10/police-charge-suspect-in-liberty-tech-shooting/" TargetMode="External"/><Relationship Id="rId629" Type="http://schemas.openxmlformats.org/officeDocument/2006/relationships/hyperlink" Target="https://www.newspapers.com/image/432388038/?terms=student%2Bshot" TargetMode="External"/><Relationship Id="rId1161" Type="http://schemas.openxmlformats.org/officeDocument/2006/relationships/hyperlink" Target="https://www.newspapers.com/image/235456423/?terms=dillard%2Bhigh%2Bschool%2Bshooting" TargetMode="External"/><Relationship Id="rId1259" Type="http://schemas.openxmlformats.org/officeDocument/2006/relationships/hyperlink" Target="https://www.newspapers.com/image/53558183/?terms=school%2Bshooting" TargetMode="External"/><Relationship Id="rId836" Type="http://schemas.openxmlformats.org/officeDocument/2006/relationships/hyperlink" Target="https://www.newspapers.com/image/220634008/?terms=High%2BSchool%2BSaginaw%2Bgun%2Bjacket" TargetMode="External"/><Relationship Id="rId1021" Type="http://schemas.openxmlformats.org/officeDocument/2006/relationships/hyperlink" Target="https://www.upi.com/Archives/1990/09/11/Three-shot-wounded-in-confrontation-on-school-grounds/4334653025600/" TargetMode="External"/><Relationship Id="rId1119" Type="http://schemas.openxmlformats.org/officeDocument/2006/relationships/hyperlink" Target="https://www.newspapers.com/newspage/99072089/" TargetMode="External"/><Relationship Id="rId903" Type="http://schemas.openxmlformats.org/officeDocument/2006/relationships/hyperlink" Target="https://www.newspapers.com/image/455228173/?terms=shot%2Bin%2Bschool%2Bparking%2Blot" TargetMode="External"/><Relationship Id="rId32" Type="http://schemas.openxmlformats.org/officeDocument/2006/relationships/hyperlink" Target="https://cw39.com/news/local/aldine-isd-police-officer-fires-gun-during-fight-outside-davis-high-school-authorities-said/" TargetMode="External"/><Relationship Id="rId181" Type="http://schemas.openxmlformats.org/officeDocument/2006/relationships/hyperlink" Target="https://kdvr.com/news/local/student-brings-pellet-type-gun-to-rock-canyon-hs/" TargetMode="External"/><Relationship Id="rId279" Type="http://schemas.openxmlformats.org/officeDocument/2006/relationships/hyperlink" Target="https://www.fox10tv.com/news/mpd-makes-arrest-in-overnight-robbery-and-shooting-in-school-parking-lot/article_711aa7e0-9fa6-11ea-ac6c-ef149a798701.html" TargetMode="External"/><Relationship Id="rId486" Type="http://schemas.openxmlformats.org/officeDocument/2006/relationships/hyperlink" Target="https://www.citizen-times.com/story/news/crime/2015/06/04/armed-suspects-found-macon-county-school-custody/28467377/" TargetMode="External"/><Relationship Id="rId693" Type="http://schemas.openxmlformats.org/officeDocument/2006/relationships/hyperlink" Target="http://articles.mcall.com/2006-05-26/news/3667295_1_students-or-teachers-district-s-zero-tolerance-senior-prom" TargetMode="External"/><Relationship Id="rId139" Type="http://schemas.openxmlformats.org/officeDocument/2006/relationships/hyperlink" Target="https://gbi.georgia.gov/press-releases/2022-08-12/gbi-investigates-union-county-school-shooting-incident" TargetMode="External"/><Relationship Id="rId346" Type="http://schemas.openxmlformats.org/officeDocument/2006/relationships/hyperlink" Target="https://www.arkansasonline.com/news/2018/oct/02/shots-fired-near-little-rock-elementary-school-pol/" TargetMode="External"/><Relationship Id="rId553" Type="http://schemas.openxmlformats.org/officeDocument/2006/relationships/hyperlink" Target="https://www.usatoday.com/story/news/nation/2013/03/21/michigan-student-13-commits-suicide/2006643/" TargetMode="External"/><Relationship Id="rId760" Type="http://schemas.openxmlformats.org/officeDocument/2006/relationships/hyperlink" Target="https://www.columbine-angels.com/School_Violence_2004-2005.htm" TargetMode="External"/><Relationship Id="rId998" Type="http://schemas.openxmlformats.org/officeDocument/2006/relationships/hyperlink" Target="https://www.nytimes.com/1991/11/26/nyregion/16-year-old-is-shot-to-death-in-a-high-school-in-brooklyn.html" TargetMode="External"/><Relationship Id="rId1183" Type="http://schemas.openxmlformats.org/officeDocument/2006/relationships/hyperlink" Target="https://www.newspapers.com/image/281107557/?terms=eastern%2Bhigh%2Bschool%2Bshooting%2Bbaltimore" TargetMode="External"/><Relationship Id="rId206" Type="http://schemas.openxmlformats.org/officeDocument/2006/relationships/hyperlink" Target="https://blockclubchicago.org/2021/10/26/shots-fired-during-fight-outside-west-town-school/" TargetMode="External"/><Relationship Id="rId413" Type="http://schemas.openxmlformats.org/officeDocument/2006/relationships/hyperlink" Target="http://www.unionrecorder.com/news/update-gun-discharges-in-third-grader-s-book-bag/article_12323ddc-c65b-11e7-a275-f77a9d106f20.html" TargetMode="External"/><Relationship Id="rId858" Type="http://schemas.openxmlformats.org/officeDocument/2006/relationships/hyperlink" Target="https://www.deseretnews.com/article/791173/Student-takes-class-hostage.html" TargetMode="External"/><Relationship Id="rId1043" Type="http://schemas.openxmlformats.org/officeDocument/2006/relationships/hyperlink" Target="https://www.deseretnews.com/article/34103/OFFICERS-SEEKING-ANSWERS-AFTER-JUNIOR-HIGH-SHOOTING.html" TargetMode="External"/><Relationship Id="rId620" Type="http://schemas.openxmlformats.org/officeDocument/2006/relationships/hyperlink" Target="http://www.latimes.com/local/la-me-shoot21-2008sep21-story.html" TargetMode="External"/><Relationship Id="rId718" Type="http://schemas.openxmlformats.org/officeDocument/2006/relationships/hyperlink" Target="https://www.ocregister.com/2005/12/08/five-arrests-made-in-santiago-high-shooting-death/" TargetMode="External"/><Relationship Id="rId925" Type="http://schemas.openxmlformats.org/officeDocument/2006/relationships/hyperlink" Target="https://www.washingtonpost.com/archive/local/1995/01/25/student-wounded-in-school-shooting/43b9c1ae-244d-40ed-8bc7-18fec6c338f3/" TargetMode="External"/><Relationship Id="rId1250" Type="http://schemas.openxmlformats.org/officeDocument/2006/relationships/hyperlink" Target="https://www.newspapers.com/image/25814105/?terms=school%2Bshooting" TargetMode="External"/><Relationship Id="rId1110" Type="http://schemas.openxmlformats.org/officeDocument/2006/relationships/hyperlink" Target="https://www.newspapers.com/image/426484373/?terms=student%2Bshot" TargetMode="External"/><Relationship Id="rId1208" Type="http://schemas.openxmlformats.org/officeDocument/2006/relationships/hyperlink" Target="https://www.newspapers.com/image/131852835/?terms=school%2Bshooting" TargetMode="External"/><Relationship Id="rId54" Type="http://schemas.openxmlformats.org/officeDocument/2006/relationships/hyperlink" Target="https://www.wtsp.com/article/news/local/manateecounty/manatee-county-school-buses-shot-bb-guns/67-a515a957-59ce-4552-9cb7-3897ddd4f919" TargetMode="External"/><Relationship Id="rId270" Type="http://schemas.openxmlformats.org/officeDocument/2006/relationships/hyperlink" Target="https://www.wkyt.com/2020/09/19/one-shot-near-lexington-school/" TargetMode="External"/><Relationship Id="rId130" Type="http://schemas.openxmlformats.org/officeDocument/2006/relationships/hyperlink" Target="https://www.fox6now.com/news/shots-fired-near-milwaukees-barack-obama-school-2-charged" TargetMode="External"/><Relationship Id="rId368" Type="http://schemas.openxmlformats.org/officeDocument/2006/relationships/hyperlink" Target="https://www.springfieldnewssun.com/news/crime--law/update-teens-arrested-after-alleged-attempted-shooting-truck-strike-outside-springfield-school/Kv3diPzfq35me2wa7OrdBI/" TargetMode="External"/><Relationship Id="rId575" Type="http://schemas.openxmlformats.org/officeDocument/2006/relationships/hyperlink" Target="https://abc13.com/archive/8044190/" TargetMode="External"/><Relationship Id="rId782" Type="http://schemas.openxmlformats.org/officeDocument/2006/relationships/hyperlink" Target="http://community.seattletimes.nwsource.com/archive/?date=20040319&amp;slug=boyshot19m" TargetMode="External"/><Relationship Id="rId228" Type="http://schemas.openxmlformats.org/officeDocument/2006/relationships/hyperlink" Target="https://www.ajc.com/news/breaking-3-henry-schools-on-lockdown-due-to-suspicious-person/J6LSPTV7XVALNDGZOJVBSZJK2E/" TargetMode="External"/><Relationship Id="rId435" Type="http://schemas.openxmlformats.org/officeDocument/2006/relationships/hyperlink" Target="http://www.ktre.com/story/35506610/kirbyville-high-school-principal-resigns-then-shoots-kills-self-in-parking-lot" TargetMode="External"/><Relationship Id="rId642" Type="http://schemas.openxmlformats.org/officeDocument/2006/relationships/hyperlink" Target="https://www.columbine-angels.com/School_Violence_2006-2007.htm" TargetMode="External"/><Relationship Id="rId1065" Type="http://schemas.openxmlformats.org/officeDocument/2006/relationships/hyperlink" Target="https://www.newspapers.com/image/322419384/?terms=MARIA%2BSOLIS" TargetMode="External"/><Relationship Id="rId1272" Type="http://schemas.openxmlformats.org/officeDocument/2006/relationships/hyperlink" Target="https://www.newspapers.com/image/340859194/?terms=school%2Bshooting" TargetMode="External"/><Relationship Id="rId502" Type="http://schemas.openxmlformats.org/officeDocument/2006/relationships/hyperlink" Target="https://www.miamiherald.com/news/local/crime/article4139118.html" TargetMode="External"/><Relationship Id="rId947" Type="http://schemas.openxmlformats.org/officeDocument/2006/relationships/hyperlink" Target="http://journaltimes.com/news/former-student-arrested-in-tosa-west-slaying/article_dfb15b1e-986c-5b2b-ba06-76388109b2cf.html" TargetMode="External"/><Relationship Id="rId1132" Type="http://schemas.openxmlformats.org/officeDocument/2006/relationships/hyperlink" Target="https://www.newspapers.com/image/89740743/?terms=student%2Bshot" TargetMode="External"/><Relationship Id="rId76" Type="http://schemas.openxmlformats.org/officeDocument/2006/relationships/hyperlink" Target="https://www.heraldmailmedia.com/story/news/local/2022/12/15/pellet-or-bb-gun-used-to-shoot-school-bus-and-building-in-hagerstown/69725189007/" TargetMode="External"/><Relationship Id="rId807" Type="http://schemas.openxmlformats.org/officeDocument/2006/relationships/hyperlink" Target="https://newspaperarchive.com/altoona-mirror-may-14-2003-p-11/" TargetMode="External"/><Relationship Id="rId292" Type="http://schemas.openxmlformats.org/officeDocument/2006/relationships/hyperlink" Target="https://www.kshb.com/news/local-news/no-injuries-reported-after-school-bus-struck-by-gunfire-near-j-c-harmon-high-school" TargetMode="External"/><Relationship Id="rId597" Type="http://schemas.openxmlformats.org/officeDocument/2006/relationships/hyperlink" Target="http://www.cnn.com/2009/CRIME/01/10/school.shooting/index.html" TargetMode="External"/><Relationship Id="rId152" Type="http://schemas.openxmlformats.org/officeDocument/2006/relationships/hyperlink" Target="https://www.postandcourier.com/news/berkeley-county-detention-officers-slaying-in-school-parking-lot-remains-a-mystery/article_14da3fac-0932-11ed-a50f-bb8eb3384a30.html" TargetMode="External"/><Relationship Id="rId457" Type="http://schemas.openxmlformats.org/officeDocument/2006/relationships/hyperlink" Target="http://detroit.cbslocal.com/2016/09/07/detroit-principals-vehicle-reportedly-shot-up-in-parking-lot-on-second-day-of-school/" TargetMode="External"/><Relationship Id="rId1087" Type="http://schemas.openxmlformats.org/officeDocument/2006/relationships/hyperlink" Target="https://www.upi.com/Archives/1986/05/07/Official-says-teenage-hostage-taker-unhappy-with-life/5055515822400/" TargetMode="External"/><Relationship Id="rId1294" Type="http://schemas.openxmlformats.org/officeDocument/2006/relationships/hyperlink" Target="https://www.newspapers.com/image/246856502/?terms=xavier%2Bhigh%2Bschool%2Bshooting%2Bappleton" TargetMode="External"/><Relationship Id="rId664" Type="http://schemas.openxmlformats.org/officeDocument/2006/relationships/hyperlink" Target="https://www.columbine-angels.com/School_Violence_2006-2007.htm" TargetMode="External"/><Relationship Id="rId871" Type="http://schemas.openxmlformats.org/officeDocument/2006/relationships/hyperlink" Target="https://www.newspapers.com/image/197812875/?terms=Erwin%2BHigh%2BSchool%2Bshooting" TargetMode="External"/><Relationship Id="rId969" Type="http://schemas.openxmlformats.org/officeDocument/2006/relationships/hyperlink" Target="https://mnmarshallus.genweb.io/people/obituaries/melby-eric-john-1979-1993/" TargetMode="External"/><Relationship Id="rId317" Type="http://schemas.openxmlformats.org/officeDocument/2006/relationships/hyperlink" Target="https://chicago.suntimes.com/crime/2019/6/6/18656020/genevieve-melody-school-court-shooting" TargetMode="External"/><Relationship Id="rId524" Type="http://schemas.openxmlformats.org/officeDocument/2006/relationships/hyperlink" Target="https://www.azcentral.com/story/news/local/phoenix/2014/04/03/phoenix-police-make-arrests-chavez-high-school-shooting-abrk/7264833/" TargetMode="External"/><Relationship Id="rId731" Type="http://schemas.openxmlformats.org/officeDocument/2006/relationships/hyperlink" Target="https://www.columbine-angels.com/School_Violence_2005-2006.htm" TargetMode="External"/><Relationship Id="rId1154" Type="http://schemas.openxmlformats.org/officeDocument/2006/relationships/hyperlink" Target="https://www.newspapers.com/image/209382299/?terms=student%2BshoT" TargetMode="External"/><Relationship Id="rId98" Type="http://schemas.openxmlformats.org/officeDocument/2006/relationships/hyperlink" Target="https://fox40.com/news/local-news/sacramento/sacramento-police-arrest-suspect-in-grant-union-high-school-parking-lot-shooting/" TargetMode="External"/><Relationship Id="rId829" Type="http://schemas.openxmlformats.org/officeDocument/2006/relationships/hyperlink" Target="https://www.newspapers.com/image/390065452/?terms=Roosevelt%2BHigh%2BSchool%2Bshooting%2BJose%2BVela" TargetMode="External"/><Relationship Id="rId1014" Type="http://schemas.openxmlformats.org/officeDocument/2006/relationships/hyperlink" Target="https://www.newspapers.com/image/200149579/?terms=Garinger%2BHigh%2BSchool%2Bshooting" TargetMode="External"/><Relationship Id="rId1221" Type="http://schemas.openxmlformats.org/officeDocument/2006/relationships/hyperlink" Target="https://www.newspapers.com/image/133980815/?terms=palm%2Bbeach%2Bgarden%2Bschool%2Bshooting" TargetMode="External"/><Relationship Id="rId25" Type="http://schemas.openxmlformats.org/officeDocument/2006/relationships/hyperlink" Target="https://www.cbsnews.com/losangeles/news/cerritos-shooting-investigation-shuts-down-gahr-high-school/" TargetMode="External"/><Relationship Id="rId174" Type="http://schemas.openxmlformats.org/officeDocument/2006/relationships/hyperlink" Target="https://www.wdbj7.com/2022/03/22/school-bus-shot-nw-roanoke/" TargetMode="External"/><Relationship Id="rId381" Type="http://schemas.openxmlformats.org/officeDocument/2006/relationships/hyperlink" Target="https://www.cbsnews.com/news/kentucky-police-suspect-in-wifes-death-shot-behind-school/" TargetMode="External"/><Relationship Id="rId241" Type="http://schemas.openxmlformats.org/officeDocument/2006/relationships/hyperlink" Target="https://www.oregonlive.com/portland/2021/08/man-found-dead-after-shooting-in-portlands-powellhurst-gilbert-neighborhood-police-say.html" TargetMode="External"/><Relationship Id="rId479" Type="http://schemas.openxmlformats.org/officeDocument/2006/relationships/hyperlink" Target="http://www.moultrieobserver.com/news/local_news/student-fires-gun-during-struggle/article_149e02cc-84db-11e5-8369-ef294cd8fd87.html" TargetMode="External"/><Relationship Id="rId686" Type="http://schemas.openxmlformats.org/officeDocument/2006/relationships/hyperlink" Target="http://www.vindy.com/news/2009/jul/27/trial-under-way-for-man-accused-of-shooting-death/" TargetMode="External"/><Relationship Id="rId893" Type="http://schemas.openxmlformats.org/officeDocument/2006/relationships/hyperlink" Target="https://www.newspapers.com/image/156830644/?terms=student%2Bshot" TargetMode="External"/><Relationship Id="rId339" Type="http://schemas.openxmlformats.org/officeDocument/2006/relationships/hyperlink" Target="https://ksby.com/news/2018/12/03/suspects-arrested-in-santa-barbara-elementary-school-shooting-linked-to-other-crimes" TargetMode="External"/><Relationship Id="rId546" Type="http://schemas.openxmlformats.org/officeDocument/2006/relationships/hyperlink" Target="https://www.cbsnews.com/news/two-custodians-found-shot-to-death-at-fla-high-school-police-name-person-of-interest-report-says/" TargetMode="External"/><Relationship Id="rId753" Type="http://schemas.openxmlformats.org/officeDocument/2006/relationships/hyperlink" Target="https://www.columbine-angels.com/School_Violence_2004-2005.htm" TargetMode="External"/><Relationship Id="rId1176" Type="http://schemas.openxmlformats.org/officeDocument/2006/relationships/hyperlink" Target="https://www.newspapers.com/image/377692610/?terms=Frederick%2BDouglass%2BSenior%2BHigh%2BSchool%2Bshooting" TargetMode="External"/><Relationship Id="rId101" Type="http://schemas.openxmlformats.org/officeDocument/2006/relationships/hyperlink" Target="https://abc7news.com/sj-school-paintball-pellets-willow-glen-middle-shots-fired-san-jose/12340605/" TargetMode="External"/><Relationship Id="rId406" Type="http://schemas.openxmlformats.org/officeDocument/2006/relationships/hyperlink" Target="https://www.nbcdfw.com/news/local/Dallas-ISD-Gun-Accidentally-Goes-Off-in-3rd-Grade-Classroom-464473823.html" TargetMode="External"/><Relationship Id="rId960" Type="http://schemas.openxmlformats.org/officeDocument/2006/relationships/hyperlink" Target="https://www.newspapers.com/image/403198507/?terms=Marcus%2BTaylor%2Bdied" TargetMode="External"/><Relationship Id="rId1036" Type="http://schemas.openxmlformats.org/officeDocument/2006/relationships/hyperlink" Target="https://www.newspapers.com/image/112524612/?terms=Alfred%2BE.%2BSmith%2BHigh%2BSchool" TargetMode="External"/><Relationship Id="rId1243" Type="http://schemas.openxmlformats.org/officeDocument/2006/relationships/hyperlink" Target="https://www.newspapers.com/image/236492101/?terms=school%2Bshooting" TargetMode="External"/><Relationship Id="rId613" Type="http://schemas.openxmlformats.org/officeDocument/2006/relationships/hyperlink" Target="http://archive.vcstar.com/news/352401581.html/" TargetMode="External"/><Relationship Id="rId820" Type="http://schemas.openxmlformats.org/officeDocument/2006/relationships/hyperlink" Target="https://www.newspapers.com/image/205047710/?terms=student%2Bshoots" TargetMode="External"/><Relationship Id="rId918" Type="http://schemas.openxmlformats.org/officeDocument/2006/relationships/hyperlink" Target="https://www.columbine-angels.com/School_Violence_1995-1996.htm" TargetMode="External"/><Relationship Id="rId1103" Type="http://schemas.openxmlformats.org/officeDocument/2006/relationships/hyperlink" Target="https://www.apnews.com/2230ba54081db004aff5288eb8885c96" TargetMode="External"/><Relationship Id="rId47" Type="http://schemas.openxmlformats.org/officeDocument/2006/relationships/hyperlink" Target="https://www.abc4.com/news/wasatch-front/shots-fired-taylorsville-high-school/" TargetMode="External"/><Relationship Id="rId196" Type="http://schemas.openxmlformats.org/officeDocument/2006/relationships/hyperlink" Target="https://www.wave3.com/2021/12/08/shooting-near-st-matthews-elementary-school-under-investigation/" TargetMode="External"/><Relationship Id="rId263" Type="http://schemas.openxmlformats.org/officeDocument/2006/relationships/hyperlink" Target="https://www.wfaa.com/article/news/crime/no-one-injured-verbal-altercation-escalates-shooting-north-dallas-high-school-parking-lot-district-officials-say/287-2a04b92a-88da-45cc-8ed3-b8a7ab58ee78" TargetMode="External"/><Relationship Id="rId470" Type="http://schemas.openxmlformats.org/officeDocument/2006/relationships/hyperlink" Target="http://www.delcotimes.com/general-news/20160222/cops-chester-probes-source-of-gun-teen-used-in-shooting" TargetMode="External"/><Relationship Id="rId123" Type="http://schemas.openxmlformats.org/officeDocument/2006/relationships/hyperlink" Target="https://www.wusa9.com/article/news/crime/1-shot-behind-oxon-hill-high-school-maryland/65-a9856c58-c55d-401e-aef5-dc7b8a9b13fa" TargetMode="External"/><Relationship Id="rId330" Type="http://schemas.openxmlformats.org/officeDocument/2006/relationships/hyperlink" Target="https://www.delawareonline.com/story/news/crime/2018/12/18/shots-fired-ai-dupont-high-school/2358011002/" TargetMode="External"/><Relationship Id="rId568" Type="http://schemas.openxmlformats.org/officeDocument/2006/relationships/hyperlink" Target="https://www.cbsnews.com/news/14-year-old-shoots-self-in-nh-school-cafeteria/" TargetMode="External"/><Relationship Id="rId775" Type="http://schemas.openxmlformats.org/officeDocument/2006/relationships/hyperlink" Target="http://articles.chicagotribune.com/2004-08-31/news/0408310214_1_gang-related-shooting-proviso-east-high-school-student-parking-lot" TargetMode="External"/><Relationship Id="rId982" Type="http://schemas.openxmlformats.org/officeDocument/2006/relationships/hyperlink" Target="https://www.newspapers.com/image/106780083/?terms=Michael%2BJackson%2BJr" TargetMode="External"/><Relationship Id="rId1198" Type="http://schemas.openxmlformats.org/officeDocument/2006/relationships/hyperlink" Target="https://www.newspapers.com/image/295196725/" TargetMode="External"/><Relationship Id="rId428" Type="http://schemas.openxmlformats.org/officeDocument/2006/relationships/hyperlink" Target="https://www.wctv.tv/content/news/Shots-fired-during-Valdosta-Highs-Midnight-Madness-practice-437798503.html" TargetMode="External"/><Relationship Id="rId635" Type="http://schemas.openxmlformats.org/officeDocument/2006/relationships/hyperlink" Target="https://www.pressreader.com/usa/the-dallas-morning-news/20070629/282364035265089" TargetMode="External"/><Relationship Id="rId842" Type="http://schemas.openxmlformats.org/officeDocument/2006/relationships/hyperlink" Target="https://www.deseretnews.com/article/843018/Texas-teen-kills-himself-at-school.html" TargetMode="External"/><Relationship Id="rId1058" Type="http://schemas.openxmlformats.org/officeDocument/2006/relationships/hyperlink" Target="https://www.newspapers.com/image/399821731/?terms=West%2BEnd%2BChristian%2BElementary%2BSchool" TargetMode="External"/><Relationship Id="rId1265" Type="http://schemas.openxmlformats.org/officeDocument/2006/relationships/hyperlink" Target="https://www.newspapers.com/image/294173364/?terms=teacher%2Bshot%2Band%2Bbeaten" TargetMode="External"/><Relationship Id="rId702" Type="http://schemas.openxmlformats.org/officeDocument/2006/relationships/hyperlink" Target="https://www.ydr.com/story/news/local/blogs/teen-takeover/2006/02/24/school-censoring-student-writi/31691051/" TargetMode="External"/><Relationship Id="rId1125" Type="http://schemas.openxmlformats.org/officeDocument/2006/relationships/hyperlink" Target="https://www.newspapers.com/image/388094016/?terms=school%2Bshooting" TargetMode="External"/><Relationship Id="rId69" Type="http://schemas.openxmlformats.org/officeDocument/2006/relationships/hyperlink" Target="https://6abc.com/shooting-homicide/12554428/" TargetMode="External"/><Relationship Id="rId285" Type="http://schemas.openxmlformats.org/officeDocument/2006/relationships/hyperlink" Target="https://abc13.com/shooting-at-hicks-elementary-leaves-man-injured/5897932/" TargetMode="External"/><Relationship Id="rId492" Type="http://schemas.openxmlformats.org/officeDocument/2006/relationships/hyperlink" Target="http://www.mercedsunstar.com/news/local/crime/article11963273.html" TargetMode="External"/><Relationship Id="rId797" Type="http://schemas.openxmlformats.org/officeDocument/2006/relationships/hyperlink" Target="https://www.columbine-angels.com/School_Violence_2003-2004.htm" TargetMode="External"/><Relationship Id="rId145" Type="http://schemas.openxmlformats.org/officeDocument/2006/relationships/hyperlink" Target="https://www.kctv5.com/2022/07/27/police-man-involved-shooting-incident-with-gardner-police-wounded-himself/" TargetMode="External"/><Relationship Id="rId352" Type="http://schemas.openxmlformats.org/officeDocument/2006/relationships/hyperlink" Target="https://www.nbcbayarea.com/news/local/Suspect-Arrested-After-Officer-Involved-Shooting-Chase-at-Gilroy-High-School--492815721.html" TargetMode="External"/><Relationship Id="rId1287" Type="http://schemas.openxmlformats.org/officeDocument/2006/relationships/hyperlink" Target="https://www.newspapers.com/image/255572230/?terms=school%2Bshooting" TargetMode="External"/><Relationship Id="rId212" Type="http://schemas.openxmlformats.org/officeDocument/2006/relationships/hyperlink" Target="https://www.baltimoresun.com/maryland/baltimore-city/bs-md-ci-wildwood-parkway-shooting-20210925-foif3yhuzjahniqo7u35vophv4-story.html" TargetMode="External"/><Relationship Id="rId657" Type="http://schemas.openxmlformats.org/officeDocument/2006/relationships/hyperlink" Target="https://www.columbine-angels.com/School_Violence_2006-2007.htm" TargetMode="External"/><Relationship Id="rId864" Type="http://schemas.openxmlformats.org/officeDocument/2006/relationships/hyperlink" Target="https://products.kitsapsun.com/archive/2000/10-19/0036_cafeteria__teen_pleads_guilty_to_.html" TargetMode="External"/><Relationship Id="rId517" Type="http://schemas.openxmlformats.org/officeDocument/2006/relationships/hyperlink" Target="https://www.ajc.com/news/local/fourth-person-arrested-after-shots-fired-outside-banneker-high-school/E7iAqMZysw5q4XheUNHn9K/" TargetMode="External"/><Relationship Id="rId724" Type="http://schemas.openxmlformats.org/officeDocument/2006/relationships/hyperlink" Target="https://www.michigandaily.com/content/school-shooting-injures-student" TargetMode="External"/><Relationship Id="rId931" Type="http://schemas.openxmlformats.org/officeDocument/2006/relationships/hyperlink" Target="http://articles.latimes.com/1994-11-01/local/me-57381_1_aliso-niguel-high-student" TargetMode="External"/><Relationship Id="rId1147" Type="http://schemas.openxmlformats.org/officeDocument/2006/relationships/hyperlink" Target="https://www.newspapers.com/image/399546733/?terms=student%2Bshot&amp;match=3" TargetMode="External"/><Relationship Id="rId60" Type="http://schemas.openxmlformats.org/officeDocument/2006/relationships/hyperlink" Target="https://www.potomaclocal.com/2023/01/10/philadelphia-man-shot-pellets-at-county-school-bus-police-said/" TargetMode="External"/><Relationship Id="rId1007" Type="http://schemas.openxmlformats.org/officeDocument/2006/relationships/hyperlink" Target="https://www.newspapers.com/image/300249662/?terms=Madison%2BHigh%2BSchool%2Bshooting%2Bhouston" TargetMode="External"/><Relationship Id="rId1214" Type="http://schemas.openxmlformats.org/officeDocument/2006/relationships/hyperlink" Target="https://www.newspapers.com/image/29839915/?terms=school%2Bshooting" TargetMode="External"/><Relationship Id="rId18" Type="http://schemas.openxmlformats.org/officeDocument/2006/relationships/hyperlink" Target="https://abc7amarillo.com/news/local/multiple-shots-fired-stray-bullet-hits-palo-duro-high-school-student-on-tennis-court-lockdown-whittier-elementary-school-amarillo-texas-amarillo-police-department-crime-stoppers-gun-crime-palo-duro-dons" TargetMode="External"/><Relationship Id="rId167" Type="http://schemas.openxmlformats.org/officeDocument/2006/relationships/hyperlink" Target="https://krcrtv.com/news/local/video-reports-of-shots-fired-near-middle-school" TargetMode="External"/><Relationship Id="rId374" Type="http://schemas.openxmlformats.org/officeDocument/2006/relationships/hyperlink" Target="https://www.kshb.com/news/crime/man-charged-in-shooting-at-center-high-school-graduation" TargetMode="External"/><Relationship Id="rId581" Type="http://schemas.openxmlformats.org/officeDocument/2006/relationships/hyperlink" Target="https://www.denverpost.com/2015/11/19/court-reverses-conviction-in-2010-aurora-shooting-that-paralyzed-victim/" TargetMode="External"/><Relationship Id="rId234" Type="http://schemas.openxmlformats.org/officeDocument/2006/relationships/hyperlink" Target="https://www.seattletimes.com/seattle-news/crime/14-year-old-in-critical-condition-teen-in-custody-after-gunfire-erupts-outside-seattle-middle-school/" TargetMode="External"/><Relationship Id="rId679" Type="http://schemas.openxmlformats.org/officeDocument/2006/relationships/hyperlink" Target="https://www.newspapers.com/image/151778408/?terms=westminster%2Bchristian%2Bacademy" TargetMode="External"/><Relationship Id="rId886" Type="http://schemas.openxmlformats.org/officeDocument/2006/relationships/hyperlink" Target="https://www.deseretnews.com/article/691987/Did-teen-in-school-shooting-have-hit-list.html" TargetMode="External"/><Relationship Id="rId2" Type="http://schemas.openxmlformats.org/officeDocument/2006/relationships/hyperlink" Target="https://www.wkrn.com/news/local-news/nashville/covenant-school-mass-shooting/nashville-school-shooting-timeline/" TargetMode="External"/><Relationship Id="rId441" Type="http://schemas.openxmlformats.org/officeDocument/2006/relationships/hyperlink" Target="https://www.twincities.com/2017/02/18/man-kidnaps-ex-fiancee-kills-himself-in-middle-school-parking-lot/" TargetMode="External"/><Relationship Id="rId539" Type="http://schemas.openxmlformats.org/officeDocument/2006/relationships/hyperlink" Target="https://boston.cbslocal.com/2013/10/04/police-nh-man-fired-pellet-gun-at-school-bus-over-students-obscene-gesture/" TargetMode="External"/><Relationship Id="rId746" Type="http://schemas.openxmlformats.org/officeDocument/2006/relationships/hyperlink" Target="https://www.columbine-angels.com/School_Violence_2004-2005.htm" TargetMode="External"/><Relationship Id="rId1071" Type="http://schemas.openxmlformats.org/officeDocument/2006/relationships/hyperlink" Target="https://www.newspapers.com/image/174030895/?terms=student%2Bshoots" TargetMode="External"/><Relationship Id="rId1169" Type="http://schemas.openxmlformats.org/officeDocument/2006/relationships/hyperlink" Target="https://www.newspapers.com/image/242933436/?terms=student%2Bshot" TargetMode="External"/><Relationship Id="rId301" Type="http://schemas.openxmlformats.org/officeDocument/2006/relationships/hyperlink" Target="https://dfw.cbslocal.com/2019/09/14/dispute-pee-wee-football-game-shooting-2-injured-fort-worth/" TargetMode="External"/><Relationship Id="rId953" Type="http://schemas.openxmlformats.org/officeDocument/2006/relationships/hyperlink" Target="https://www.newspapers.com/image/156503737/?terms=Dover%2BHigh%2BSchool%2Bsuicide" TargetMode="External"/><Relationship Id="rId1029" Type="http://schemas.openxmlformats.org/officeDocument/2006/relationships/hyperlink" Target="https://www.newspapers.com/image/101597966/?terms=Taft%2BHigh%2BSchool%2Bshooting" TargetMode="External"/><Relationship Id="rId1236" Type="http://schemas.openxmlformats.org/officeDocument/2006/relationships/hyperlink" Target="https://www.newspapers.com/image/246204936/?terms=school%2Bshooting" TargetMode="External"/><Relationship Id="rId82" Type="http://schemas.openxmlformats.org/officeDocument/2006/relationships/hyperlink" Target="https://www.localsyr.com/news/local-news/shots-fired-in-roberts-elementary-school-parking-lot-in-syracuse/" TargetMode="External"/><Relationship Id="rId606" Type="http://schemas.openxmlformats.org/officeDocument/2006/relationships/hyperlink" Target="https://www.columbine-angels.com/School_Violence_2008-2009.htm" TargetMode="External"/><Relationship Id="rId813" Type="http://schemas.openxmlformats.org/officeDocument/2006/relationships/hyperlink" Target="http://www.santacruzsentinel.com/article/zz/20080625/NEWS/806259869" TargetMode="External"/><Relationship Id="rId1303" Type="http://schemas.openxmlformats.org/officeDocument/2006/relationships/hyperlink" Target="https://www.newspapers.com/image/8204825/?terms=school%2Bshooting" TargetMode="External"/><Relationship Id="rId189" Type="http://schemas.openxmlformats.org/officeDocument/2006/relationships/hyperlink" Target="https://www.krem.com/article/news/crime/idaho-man-prison-threatening-shoot-school-police/293-a8d2c7b7-c4b5-4162-a54b-4b50fb03e493" TargetMode="External"/><Relationship Id="rId396" Type="http://schemas.openxmlformats.org/officeDocument/2006/relationships/hyperlink" Target="http://6abc.com/man-32-killed-outside-lincoln-high-school-in-mayfair-idd/3013312/" TargetMode="External"/><Relationship Id="rId256" Type="http://schemas.openxmlformats.org/officeDocument/2006/relationships/hyperlink" Target="https://www.krtv.com/news/crime-and-courts/ledford-charged-with-shooting-out-windows-at-great-falls-high-school" TargetMode="External"/><Relationship Id="rId463" Type="http://schemas.openxmlformats.org/officeDocument/2006/relationships/hyperlink" Target="http://www.kwch.com/content/news/One-seriously-hurt-at-possible-shooting-at-Augusta-high-school-379583611.html" TargetMode="External"/><Relationship Id="rId670" Type="http://schemas.openxmlformats.org/officeDocument/2006/relationships/hyperlink" Target="https://www.columbine-angels.com/School_Violence_2006-2007.htm" TargetMode="External"/><Relationship Id="rId1093" Type="http://schemas.openxmlformats.org/officeDocument/2006/relationships/hyperlink" Target="https://www.newspapers.com/image/401857837/?terms=Vanguard%2BJunior%2BHigh%2BSchool%2Bshooting" TargetMode="External"/><Relationship Id="rId116" Type="http://schemas.openxmlformats.org/officeDocument/2006/relationships/hyperlink" Target="https://www.fox10phoenix.com/news/woman-arrested-pulling-out-gun-phoenix-school" TargetMode="External"/><Relationship Id="rId323" Type="http://schemas.openxmlformats.org/officeDocument/2006/relationships/hyperlink" Target="https://www.sentinelcolorado.com/0trending/aurora-high-school-dean-accused-of-bringing-loaded-concealed-weapon-to-campus-making-threats/" TargetMode="External"/><Relationship Id="rId530" Type="http://schemas.openxmlformats.org/officeDocument/2006/relationships/hyperlink" Target="https://www.nhregister.com/connecticut/article/New-Haven-teen-to-serve-6-years-in-two-shooting-11351580.php" TargetMode="External"/><Relationship Id="rId768" Type="http://schemas.openxmlformats.org/officeDocument/2006/relationships/hyperlink" Target="http://articles.baltimoresun.com/2004-10-23/news/0410230240_1_thurgood-marshall-high-school-violence-city-schools" TargetMode="External"/><Relationship Id="rId975" Type="http://schemas.openxmlformats.org/officeDocument/2006/relationships/hyperlink" Target="https://www.newspapers.com/image/238950794/?terms=Norland%2BSenior%2BHigh%2BSchool%2Bshooting" TargetMode="External"/><Relationship Id="rId1160" Type="http://schemas.openxmlformats.org/officeDocument/2006/relationships/hyperlink" Target="https://www.newspapers.com/image/278826646/?terms=student%2Bshot" TargetMode="External"/><Relationship Id="rId628" Type="http://schemas.openxmlformats.org/officeDocument/2006/relationships/hyperlink" Target="http://www.uticaod.com/article/20071127/news/311279895" TargetMode="External"/><Relationship Id="rId835" Type="http://schemas.openxmlformats.org/officeDocument/2006/relationships/hyperlink" Target="https://www.michigandaily.com/content/17-year-old-takes-hostages-school-commits-suicide" TargetMode="External"/><Relationship Id="rId1258" Type="http://schemas.openxmlformats.org/officeDocument/2006/relationships/hyperlink" Target="https://www.newspapers.com/image/256798541/?terms=school%2Bshooting" TargetMode="External"/><Relationship Id="rId1020" Type="http://schemas.openxmlformats.org/officeDocument/2006/relationships/hyperlink" Target="https://www.newspapers.com/image/106533912/?terms=shot%2Bat%2Bfootball%2Bgame" TargetMode="External"/><Relationship Id="rId1118" Type="http://schemas.openxmlformats.org/officeDocument/2006/relationships/hyperlink" Target="https://www.newspapers.com/image/337840295/?terms=STUDENT%2BSHOOTS" TargetMode="External"/><Relationship Id="rId902" Type="http://schemas.openxmlformats.org/officeDocument/2006/relationships/hyperlink" Target="http://articles.chicagotribune.com/1997-10-12/news/9710120311_1_fatal-shooting-wallace-high-school-police" TargetMode="External"/><Relationship Id="rId31" Type="http://schemas.openxmlformats.org/officeDocument/2006/relationships/hyperlink" Target="https://www.fox26houston.com/news/friends-and-family-are-grieving-after-a-17-year-old-high-school-senior-is-shot-to-death-near-his-school" TargetMode="External"/><Relationship Id="rId180" Type="http://schemas.openxmlformats.org/officeDocument/2006/relationships/hyperlink" Target="https://www.cbs58.com/news/weapon-fired-inside-jerstad-agerholm-elementary-school-in-racine" TargetMode="External"/><Relationship Id="rId278" Type="http://schemas.openxmlformats.org/officeDocument/2006/relationships/hyperlink" Target="https://www.cleveland.com/metro/2020/05/man-shot-to-death-in-school-parking-lot-in-clevelands-tremont-neighborhood.html" TargetMode="External"/><Relationship Id="rId485" Type="http://schemas.openxmlformats.org/officeDocument/2006/relationships/hyperlink" Target="https://www.ibtimes.com/hartford-shooting-leaves-four-injured-rawson-elementary-school-basketball-tournament-1986922" TargetMode="External"/><Relationship Id="rId692" Type="http://schemas.openxmlformats.org/officeDocument/2006/relationships/hyperlink" Target="http://articles.latimes.com/2006/jun/07/local/me-venice7" TargetMode="External"/><Relationship Id="rId138" Type="http://schemas.openxmlformats.org/officeDocument/2006/relationships/hyperlink" Target="https://sports.yahoo.com/shots-ring-serrano-high-school-050531605.html" TargetMode="External"/><Relationship Id="rId345" Type="http://schemas.openxmlformats.org/officeDocument/2006/relationships/hyperlink" Target="https://www.wavy.com/news/local-news/norfolk/police-respond-to-shooting-after-football-game-at-lake-taylor-high-school/1501979731" TargetMode="External"/><Relationship Id="rId552" Type="http://schemas.openxmlformats.org/officeDocument/2006/relationships/hyperlink" Target="http://ktemnews.com/student-who-shot-himself-at-temple-high-school-has-died/" TargetMode="External"/><Relationship Id="rId997" Type="http://schemas.openxmlformats.org/officeDocument/2006/relationships/hyperlink" Target="https://www.newspapers.com/image/218234824/?terms=Francis%2BW.%2BGregory%2BJunior%2BHigh%2BSchool%2Bshooting" TargetMode="External"/><Relationship Id="rId1182" Type="http://schemas.openxmlformats.org/officeDocument/2006/relationships/hyperlink" Target="https://www.newspapers.com/image/139639371/?terms=school%2Bshooting" TargetMode="External"/><Relationship Id="rId205" Type="http://schemas.openxmlformats.org/officeDocument/2006/relationships/hyperlink" Target="https://www.wltx.com/article/news/crime/calhoun-county-gunfire-teen-arrested/101-f7c8bca9-d90a-4583-a83e-0ceb27a6bd67" TargetMode="External"/><Relationship Id="rId412" Type="http://schemas.openxmlformats.org/officeDocument/2006/relationships/hyperlink" Target="https://www.wbbjtv.com/2017/11/18/shots-fired-north-side-high-school-school-placed-brief-lockdown/" TargetMode="External"/><Relationship Id="rId857" Type="http://schemas.openxmlformats.org/officeDocument/2006/relationships/hyperlink" Target="http://www.berkeleydailyplanet.com/issue/2000-12-06/article/2518" TargetMode="External"/><Relationship Id="rId1042" Type="http://schemas.openxmlformats.org/officeDocument/2006/relationships/hyperlink" Target="https://www.upi.com/Archives/1988/11/22/High-school-student-shoots-history-teacher-in-face/3742596178000/" TargetMode="External"/><Relationship Id="rId717" Type="http://schemas.openxmlformats.org/officeDocument/2006/relationships/hyperlink" Target="https://www.nytimes.com/2006/01/05/nyregion/gangs-tied-to-violence-near-jersey-city-school.html" TargetMode="External"/><Relationship Id="rId924" Type="http://schemas.openxmlformats.org/officeDocument/2006/relationships/hyperlink" Target="https://www.presstelegram.com/2015/10/16/javiers-dream-of-helping-people-lives-on-rich-archbold/" TargetMode="External"/><Relationship Id="rId53" Type="http://schemas.openxmlformats.org/officeDocument/2006/relationships/hyperlink" Target="https://okcfox.com/news/local/arrest-made-in-del-city-high-school-basketball-game-shooting-mid-del-schools-del-city-police-oklahoma-city-oklahoma-county-detention-center-gunshots-fired-at-high-school-basketball-game" TargetMode="External"/><Relationship Id="rId1207" Type="http://schemas.openxmlformats.org/officeDocument/2006/relationships/hyperlink" Target="https://www.newspapers.com/image/86275915/?terms=school%2Bshooting" TargetMode="External"/><Relationship Id="rId367" Type="http://schemas.openxmlformats.org/officeDocument/2006/relationships/hyperlink" Target="https://wreg.com/2018/07/02/man-slams-car-into-boarded-up-school-building-after-being-shot/" TargetMode="External"/><Relationship Id="rId574" Type="http://schemas.openxmlformats.org/officeDocument/2006/relationships/hyperlink" Target="https://www.heraldnet.com/news/marysville-teen-sentenced-to-10-years-for-shooting-outside-everett-scho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25"/>
  <sheetViews>
    <sheetView workbookViewId="0"/>
  </sheetViews>
  <sheetFormatPr baseColWidth="10" defaultColWidth="12.5" defaultRowHeight="15.75" customHeight="1"/>
  <cols>
    <col min="1" max="1" width="114" customWidth="1"/>
  </cols>
  <sheetData>
    <row r="1" spans="1:1" ht="13">
      <c r="A1" s="1" t="str">
        <f ca="1">IFERROR(__xludf.DUMMYFUNCTION("IMPORTRANGE(""https://docs.google.com/spreadsheets/d/13by1rx0kMN24Sm2nKqqR6GsRtIyhgOO8U6IyuCHwhEU/edit#gid=1519919770"", ""Cover!A1:A25"")"),"K-12 School Shooting Database")</f>
        <v>K-12 School Shooting Database</v>
      </c>
    </row>
    <row r="2" spans="1:1" ht="28">
      <c r="A2" s="2" t="str">
        <f ca="1">IFERROR(__xludf.DUMMYFUNCTION("""COMPUTED_VALUE"""),"The K-12 School Shooting Database documents when a gun is brandished, is fired, or a bullet hits school property for any reason, regardless of the number of victims, time of day, or day of week.")</f>
        <v>The K-12 School Shooting Database documents when a gun is brandished, is fired, or a bullet hits school property for any reason, regardless of the number of victims, time of day, or day of week.</v>
      </c>
    </row>
    <row r="3" spans="1:1" ht="16.5" customHeight="1">
      <c r="A3" s="2"/>
    </row>
    <row r="4" spans="1:1" ht="14">
      <c r="A4" s="3" t="str">
        <f ca="1">IFERROR(__xludf.DUMMYFUNCTION("""COMPUTED_VALUE"""),"Research Methods: https://k12ssdb.org/methodology-1 ")</f>
        <v xml:space="preserve">Research Methods: https://k12ssdb.org/methodology-1 </v>
      </c>
    </row>
    <row r="5" spans="1:1" ht="13">
      <c r="A5" s="2"/>
    </row>
    <row r="6" spans="1:1" ht="70">
      <c r="A6" s="2" t="str">
        <f ca="1">IFERROR(__xludf.DUMMYFUNCTION("""COMPUTED_VALUE"""),"This is a public resource available for use for educational and research purposes. You may not copy, reproduce, distribute, publish, display, perform, modify, create derivative works, transmit, or in any way exploit any such content, nor may you distribut"&amp;"e any part of this content over any network, including a local area network, sell or offer it for sale, or use such content to construct any kind of database without written (email) permission of the owner. To request permission to use this content, conta"&amp;"ct k12ssdb@gmail.com with yout name, organization, and intended use of the raw data.")</f>
        <v>This is a public resource available for use for educational and research purposes. You may not copy, reproduce, distribute, publish, display, perform, modify, create derivative works, transmit, or in any way exploit any such content, nor may you distribute any part of this content over any network, including a local area network, sell or offer it for sale, or use such content to construct any kind of database without written (email) permission of the owner. To request permission to use this content, contact k12ssdb@gmail.com with yout name, organization, and intended use of the raw data.</v>
      </c>
    </row>
    <row r="7" spans="1:1" ht="14">
      <c r="A7" s="2" t="str">
        <f ca="1">IFERROR(__xludf.DUMMYFUNCTION("""COMPUTED_VALUE"""),"Use of this data must be cited with: Riedman, David. ""K-12 School Shooting Database"" (2023). [date downloaded]")</f>
        <v>Use of this data must be cited with: Riedman, David. "K-12 School Shooting Database" (2023). [date downloaded]</v>
      </c>
    </row>
    <row r="8" spans="1:1" ht="14">
      <c r="A8" s="4" t="str">
        <f ca="1">IFERROR(__xludf.DUMMYFUNCTION("""COMPUTED_VALUE"""),"To request an excel copy of the raw data, email k12ssdb@gmail.com ")</f>
        <v xml:space="preserve">To request an excel copy of the raw data, email k12ssdb@gmail.com </v>
      </c>
    </row>
    <row r="9" spans="1:1" ht="13">
      <c r="A9" s="2"/>
    </row>
    <row r="10" spans="1:1" ht="14">
      <c r="A10" s="2" t="str">
        <f ca="1">IFERROR(__xludf.DUMMYFUNCTION("""COMPUTED_VALUE"""),"If you find errors or have information about missing incidents, please email k12ssdb@gmail.com")</f>
        <v>If you find errors or have information about missing incidents, please email k12ssdb@gmail.com</v>
      </c>
    </row>
    <row r="11" spans="1:1" ht="13">
      <c r="A11" s="2"/>
    </row>
    <row r="12" spans="1:1" ht="14">
      <c r="A12" s="2" t="str">
        <f ca="1">IFERROR(__xludf.DUMMYFUNCTION("""COMPUTED_VALUE"""),"Sheet Details:")</f>
        <v>Sheet Details:</v>
      </c>
    </row>
    <row r="13" spans="1:1" ht="28">
      <c r="A13" s="2" t="str">
        <f ca="1">IFERROR(__xludf.DUMMYFUNCTION("""COMPUTED_VALUE"""),"The information is structured as a relational database with a unique incident ID number that links the ""incident"", ""shooter"", ""victim"", and ""weapon"" tabs.")</f>
        <v>The information is structured as a relational database with a unique incident ID number that links the "incident", "shooter", "victim", and "weapon" tabs.</v>
      </c>
    </row>
    <row r="14" spans="1:1" ht="14">
      <c r="A14" s="2" t="str">
        <f ca="1">IFERROR(__xludf.DUMMYFUNCTION("""COMPUTED_VALUE"""),"Incident Tab: Incident ID number and the details of what, where, and when the shooting happened.")</f>
        <v>Incident Tab: Incident ID number and the details of what, where, and when the shooting happened.</v>
      </c>
    </row>
    <row r="15" spans="1:1" ht="28">
      <c r="A15" s="2" t="str">
        <f ca="1">IFERROR(__xludf.DUMMYFUNCTION("""COMPUTED_VALUE"""),"Shooter Tab: Incident ID number and details about the shooter. Multiple rows have the same incident ID number if there were multiple shooters.")</f>
        <v>Shooter Tab: Incident ID number and details about the shooter. Multiple rows have the same incident ID number if there were multiple shooters.</v>
      </c>
    </row>
    <row r="16" spans="1:1" ht="14">
      <c r="A16" s="2" t="str">
        <f ca="1">IFERROR(__xludf.DUMMYFUNCTION("""COMPUTED_VALUE"""),"Victim Tab: Incident ID number and details about the victim. Multiple rows have the same incident ID number if there were multiple victims.")</f>
        <v>Victim Tab: Incident ID number and details about the victim. Multiple rows have the same incident ID number if there were multiple victims.</v>
      </c>
    </row>
    <row r="17" spans="1:1" ht="28">
      <c r="A17" s="2" t="str">
        <f ca="1">IFERROR(__xludf.DUMMYFUNCTION("""COMPUTED_VALUE"""),"Weapon Tab: Incident ID number and details about the weapon used (including weapons that were possessed by the shooter during the incident but were not fired). Multiple rows have the same incident ID number if there were multiple weapons used.")</f>
        <v>Weapon Tab: Incident ID number and details about the weapon used (including weapons that were possessed by the shooter during the incident but were not fired). Multiple rows have the same incident ID number if there were multiple weapons used.</v>
      </c>
    </row>
    <row r="18" spans="1:1" ht="13">
      <c r="A18" s="5"/>
    </row>
    <row r="19" spans="1:1" ht="13">
      <c r="A19" s="5"/>
    </row>
    <row r="20" spans="1:1" ht="13">
      <c r="A20" s="5"/>
    </row>
    <row r="21" spans="1:1" ht="13">
      <c r="A21" s="5"/>
    </row>
    <row r="22" spans="1:1" ht="13">
      <c r="A22" s="5"/>
    </row>
    <row r="23" spans="1:1" ht="13">
      <c r="A23" s="5"/>
    </row>
    <row r="24" spans="1:1" ht="13">
      <c r="A24" s="5"/>
    </row>
    <row r="25" spans="1:1" ht="13">
      <c r="A25" s="5"/>
    </row>
  </sheetData>
  <hyperlinks>
    <hyperlink ref="A4" r:id="rId1" display="https://k12ssdb.org/methodology-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2573"/>
  <sheetViews>
    <sheetView tabSelected="1" workbookViewId="0">
      <pane xSplit="6" ySplit="1" topLeftCell="G2" activePane="bottomRight" state="frozen"/>
      <selection pane="topRight" activeCell="G1" sqref="G1"/>
      <selection pane="bottomLeft" activeCell="A2" sqref="A2"/>
      <selection pane="bottomRight" activeCell="A2" sqref="A2"/>
    </sheetView>
  </sheetViews>
  <sheetFormatPr baseColWidth="10" defaultColWidth="12.5" defaultRowHeight="15.75" customHeight="1"/>
  <cols>
    <col min="2" max="2" width="7" customWidth="1"/>
    <col min="3" max="3" width="5.5" customWidth="1"/>
    <col min="4" max="4" width="7" customWidth="1"/>
    <col min="5" max="5" width="9.83203125" customWidth="1"/>
    <col min="6" max="6" width="23.1640625" customWidth="1"/>
    <col min="7" max="7" width="10.5" customWidth="1"/>
    <col min="12" max="12" width="9.83203125" customWidth="1"/>
    <col min="14" max="14" width="9.33203125" customWidth="1"/>
  </cols>
  <sheetData>
    <row r="1" spans="1:38" ht="15.75" customHeight="1">
      <c r="A1" s="6" t="str">
        <f ca="1">IFERROR(__xludf.DUMMYFUNCTION("IMPORTRANGE(""https://docs.google.com/spreadsheets/d/13by1rx0kMN24Sm2nKqqR6GsRtIyhgOO8U6IyuCHwhEU/edit#gid=1519919770"", ""Incident!A1:AL3000"")"),"Incident_ID")</f>
        <v>Incident_ID</v>
      </c>
      <c r="B1" s="7" t="str">
        <f ca="1">IFERROR(__xludf.DUMMYFUNCTION("""COMPUTED_VALUE"""),"Month")</f>
        <v>Month</v>
      </c>
      <c r="C1" s="7" t="str">
        <f ca="1">IFERROR(__xludf.DUMMYFUNCTION("""COMPUTED_VALUE"""),"Day")</f>
        <v>Day</v>
      </c>
      <c r="D1" s="7" t="str">
        <f ca="1">IFERROR(__xludf.DUMMYFUNCTION("""COMPUTED_VALUE"""),"Year")</f>
        <v>Year</v>
      </c>
      <c r="E1" s="7" t="str">
        <f ca="1">IFERROR(__xludf.DUMMYFUNCTION("""COMPUTED_VALUE"""),"Date")</f>
        <v>Date</v>
      </c>
      <c r="F1" s="7" t="str">
        <f ca="1">IFERROR(__xludf.DUMMYFUNCTION("""COMPUTED_VALUE"""),"School")</f>
        <v>School</v>
      </c>
      <c r="G1" s="7" t="str">
        <f ca="1">IFERROR(__xludf.DUMMYFUNCTION("""COMPUTED_VALUE"""),"Victims_Killed")</f>
        <v>Victims_Killed</v>
      </c>
      <c r="H1" s="7" t="str">
        <f ca="1">IFERROR(__xludf.DUMMYFUNCTION("""COMPUTED_VALUE"""),"Victims_Wounded")</f>
        <v>Victims_Wounded</v>
      </c>
      <c r="I1" s="7" t="str">
        <f ca="1">IFERROR(__xludf.DUMMYFUNCTION("""COMPUTED_VALUE"""),"Number_Victims")</f>
        <v>Number_Victims</v>
      </c>
      <c r="J1" s="7" t="str">
        <f ca="1">IFERROR(__xludf.DUMMYFUNCTION("""COMPUTED_VALUE"""),"Shooter_Killed")</f>
        <v>Shooter_Killed</v>
      </c>
      <c r="K1" s="7" t="str">
        <f ca="1">IFERROR(__xludf.DUMMYFUNCTION("""COMPUTED_VALUE"""),"Source")</f>
        <v>Source</v>
      </c>
      <c r="L1" s="7" t="str">
        <f ca="1">IFERROR(__xludf.DUMMYFUNCTION("""COMPUTED_VALUE"""),"Number_News")</f>
        <v>Number_News</v>
      </c>
      <c r="M1" s="7" t="str">
        <f ca="1">IFERROR(__xludf.DUMMYFUNCTION("""COMPUTED_VALUE"""),"Media_Attention")</f>
        <v>Media_Attention</v>
      </c>
      <c r="N1" s="7" t="str">
        <f ca="1">IFERROR(__xludf.DUMMYFUNCTION("""COMPUTED_VALUE"""),"Reliability")</f>
        <v>Reliability</v>
      </c>
      <c r="O1" s="7" t="str">
        <f ca="1">IFERROR(__xludf.DUMMYFUNCTION("""COMPUTED_VALUE"""),"Quarter")</f>
        <v>Quarter</v>
      </c>
      <c r="P1" s="7" t="str">
        <f ca="1">IFERROR(__xludf.DUMMYFUNCTION("""COMPUTED_VALUE"""),"City")</f>
        <v>City</v>
      </c>
      <c r="Q1" s="7" t="str">
        <f ca="1">IFERROR(__xludf.DUMMYFUNCTION("""COMPUTED_VALUE"""),"State")</f>
        <v>State</v>
      </c>
      <c r="R1" s="7" t="str">
        <f ca="1">IFERROR(__xludf.DUMMYFUNCTION("""COMPUTED_VALUE"""),"School_Level")</f>
        <v>School_Level</v>
      </c>
      <c r="S1" s="7" t="str">
        <f ca="1">IFERROR(__xludf.DUMMYFUNCTION("""COMPUTED_VALUE"""),"Location")</f>
        <v>Location</v>
      </c>
      <c r="T1" s="7" t="str">
        <f ca="1">IFERROR(__xludf.DUMMYFUNCTION("""COMPUTED_VALUE"""),"Location_Type")</f>
        <v>Location_Type</v>
      </c>
      <c r="U1" s="7" t="str">
        <f ca="1">IFERROR(__xludf.DUMMYFUNCTION("""COMPUTED_VALUE"""),"During_School")</f>
        <v>During_School</v>
      </c>
      <c r="V1" s="7" t="str">
        <f ca="1">IFERROR(__xludf.DUMMYFUNCTION("""COMPUTED_VALUE"""),"Time_Period")</f>
        <v>Time_Period</v>
      </c>
      <c r="W1" s="7" t="str">
        <f ca="1">IFERROR(__xludf.DUMMYFUNCTION("""COMPUTED_VALUE"""),"First_Shot")</f>
        <v>First_Shot</v>
      </c>
      <c r="X1" s="7" t="str">
        <f ca="1">IFERROR(__xludf.DUMMYFUNCTION("""COMPUTED_VALUE"""),"Duration_min")</f>
        <v>Duration_min</v>
      </c>
      <c r="Y1" s="7" t="str">
        <f ca="1">IFERROR(__xludf.DUMMYFUNCTION("""COMPUTED_VALUE"""),"Summary")</f>
        <v>Summary</v>
      </c>
      <c r="Z1" s="7" t="str">
        <f ca="1">IFERROR(__xludf.DUMMYFUNCTION("""COMPUTED_VALUE"""),"Narrative")</f>
        <v>Narrative</v>
      </c>
      <c r="AA1" s="7" t="str">
        <f ca="1">IFERROR(__xludf.DUMMYFUNCTION("""COMPUTED_VALUE"""),"Situation")</f>
        <v>Situation</v>
      </c>
      <c r="AB1" s="7" t="str">
        <f ca="1">IFERROR(__xludf.DUMMYFUNCTION("""COMPUTED_VALUE"""),"Targets")</f>
        <v>Targets</v>
      </c>
      <c r="AC1" s="7" t="str">
        <f ca="1">IFERROR(__xludf.DUMMYFUNCTION("""COMPUTED_VALUE"""),"Accomplice")</f>
        <v>Accomplice</v>
      </c>
      <c r="AD1" s="7" t="str">
        <f ca="1">IFERROR(__xludf.DUMMYFUNCTION("""COMPUTED_VALUE"""),"Hostages")</f>
        <v>Hostages</v>
      </c>
      <c r="AE1" s="7" t="str">
        <f ca="1">IFERROR(__xludf.DUMMYFUNCTION("""COMPUTED_VALUE"""),"Barricade")</f>
        <v>Barricade</v>
      </c>
      <c r="AF1" s="7" t="str">
        <f ca="1">IFERROR(__xludf.DUMMYFUNCTION("""COMPUTED_VALUE"""),"Officer_Involved")</f>
        <v>Officer_Involved</v>
      </c>
      <c r="AG1" s="7" t="str">
        <f ca="1">IFERROR(__xludf.DUMMYFUNCTION("""COMPUTED_VALUE"""),"Bullied")</f>
        <v>Bullied</v>
      </c>
      <c r="AH1" s="7" t="str">
        <f ca="1">IFERROR(__xludf.DUMMYFUNCTION("""COMPUTED_VALUE"""),"Domestic_Violence")</f>
        <v>Domestic_Violence</v>
      </c>
      <c r="AI1" s="7" t="str">
        <f ca="1">IFERROR(__xludf.DUMMYFUNCTION("""COMPUTED_VALUE"""),"Gang_Related")</f>
        <v>Gang_Related</v>
      </c>
      <c r="AJ1" s="7" t="str">
        <f ca="1">IFERROR(__xludf.DUMMYFUNCTION("""COMPUTED_VALUE"""),"Active_Shooter_FBI")</f>
        <v>Active_Shooter_FBI</v>
      </c>
      <c r="AK1" s="7"/>
      <c r="AL1" s="7"/>
    </row>
    <row r="2" spans="1:38" ht="13">
      <c r="A2" s="5" t="str">
        <f ca="1">IFERROR(__xludf.DUMMYFUNCTION("""COMPUTED_VALUE"""),"20230329GANED")</f>
        <v>20230329GANED</v>
      </c>
      <c r="B2" s="5">
        <f ca="1">IFERROR(__xludf.DUMMYFUNCTION("""COMPUTED_VALUE"""),3)</f>
        <v>3</v>
      </c>
      <c r="C2" s="5">
        <f ca="1">IFERROR(__xludf.DUMMYFUNCTION("""COMPUTED_VALUE"""),29)</f>
        <v>29</v>
      </c>
      <c r="D2" s="5">
        <f ca="1">IFERROR(__xludf.DUMMYFUNCTION("""COMPUTED_VALUE"""),2023)</f>
        <v>2023</v>
      </c>
      <c r="E2" s="8">
        <f ca="1">IFERROR(__xludf.DUMMYFUNCTION("""COMPUTED_VALUE"""),45014)</f>
        <v>45014</v>
      </c>
      <c r="F2" s="5" t="str">
        <f ca="1">IFERROR(__xludf.DUMMYFUNCTION("""COMPUTED_VALUE"""),"New Manchester High School")</f>
        <v>New Manchester High School</v>
      </c>
      <c r="G2" s="5">
        <f ca="1">IFERROR(__xludf.DUMMYFUNCTION("""COMPUTED_VALUE"""),0)</f>
        <v>0</v>
      </c>
      <c r="H2" s="5">
        <f ca="1">IFERROR(__xludf.DUMMYFUNCTION("""COMPUTED_VALUE"""),0)</f>
        <v>0</v>
      </c>
      <c r="I2" s="5">
        <f ca="1">IFERROR(__xludf.DUMMYFUNCTION("""COMPUTED_VALUE"""),0)</f>
        <v>0</v>
      </c>
      <c r="J2" s="5">
        <f ca="1">IFERROR(__xludf.DUMMYFUNCTION("""COMPUTED_VALUE"""),1)</f>
        <v>1</v>
      </c>
      <c r="K2" s="9" t="str">
        <f ca="1">IFERROR(__xludf.DUMMYFUNCTION("""COMPUTED_VALUE"""),"https://www.wsbtv.com/news/local/douglas-county/29-year-old-man-shot-killed-by-douglas-deputies-after-search-man-with-gun-special-olympics/6YN333WOTRG4VCEKRFD6QGI5EA/
https://www.11alive.com/article/news/crime/witness-describes-what-prompted-school-lockdo"&amp;"wn-ahead-of-douglas-co-shooting/85-6e07b403-2bbc-4cdc-8ff0-e00ed53d1d81
https://www.atlantanewsfirst.com/2023/03/29/douglas-county-sheriff-looking-man-involved-shooting-near-high-school/")</f>
        <v>https://www.wsbtv.com/news/local/douglas-county/29-year-old-man-shot-killed-by-douglas-deputies-after-search-man-with-gun-special-olympics/6YN333WOTRG4VCEKRFD6QGI5EA/
https://www.11alive.com/article/news/crime/witness-describes-what-prompted-school-lockdown-ahead-of-douglas-co-shooting/85-6e07b403-2bbc-4cdc-8ff0-e00ed53d1d81
https://www.atlantanewsfirst.com/2023/03/29/douglas-county-sheriff-looking-man-involved-shooting-near-high-school/</v>
      </c>
      <c r="L2" s="5">
        <f ca="1">IFERROR(__xludf.DUMMYFUNCTION("""COMPUTED_VALUE"""),10)</f>
        <v>10</v>
      </c>
      <c r="M2" s="5" t="str">
        <f ca="1">IFERROR(__xludf.DUMMYFUNCTION("""COMPUTED_VALUE"""),"Regional")</f>
        <v>Regional</v>
      </c>
      <c r="N2" s="5">
        <f ca="1">IFERROR(__xludf.DUMMYFUNCTION("""COMPUTED_VALUE"""),4)</f>
        <v>4</v>
      </c>
      <c r="O2" s="5" t="str">
        <f ca="1">IFERROR(__xludf.DUMMYFUNCTION("""COMPUTED_VALUE"""),"Spring")</f>
        <v>Spring</v>
      </c>
      <c r="P2" s="5" t="str">
        <f ca="1">IFERROR(__xludf.DUMMYFUNCTION("""COMPUTED_VALUE"""),"Douglasville")</f>
        <v>Douglasville</v>
      </c>
      <c r="Q2" s="5" t="str">
        <f ca="1">IFERROR(__xludf.DUMMYFUNCTION("""COMPUTED_VALUE"""),"GA")</f>
        <v>GA</v>
      </c>
      <c r="R2" s="5" t="str">
        <f ca="1">IFERROR(__xludf.DUMMYFUNCTION("""COMPUTED_VALUE"""),"High")</f>
        <v>High</v>
      </c>
      <c r="S2" s="5" t="str">
        <f ca="1">IFERROR(__xludf.DUMMYFUNCTION("""COMPUTED_VALUE"""),"Football Field/Track")</f>
        <v>Football Field/Track</v>
      </c>
      <c r="T2" s="5" t="str">
        <f ca="1">IFERROR(__xludf.DUMMYFUNCTION("""COMPUTED_VALUE"""),"Outside on School Property")</f>
        <v>Outside on School Property</v>
      </c>
      <c r="U2" s="5" t="str">
        <f ca="1">IFERROR(__xludf.DUMMYFUNCTION("""COMPUTED_VALUE"""),"Yes")</f>
        <v>Yes</v>
      </c>
      <c r="V2" s="5" t="str">
        <f ca="1">IFERROR(__xludf.DUMMYFUNCTION("""COMPUTED_VALUE"""),"Morning Classes")</f>
        <v>Morning Classes</v>
      </c>
      <c r="W2" s="10">
        <f ca="1">IFERROR(__xludf.DUMMYFUNCTION("""COMPUTED_VALUE"""),0.470833333333333)</f>
        <v>0.47083333333333299</v>
      </c>
      <c r="X2" s="5">
        <f ca="1">IFERROR(__xludf.DUMMYFUNCTION("""COMPUTED_VALUE"""),5)</f>
        <v>5</v>
      </c>
      <c r="Y2" s="5" t="str">
        <f ca="1">IFERROR(__xludf.DUMMYFUNCTION("""COMPUTED_VALUE"""),"Man was see holding gun at school event, chased from school by SRO, killed at nearby residence after shooting at police")</f>
        <v>Man was see holding gun at school event, chased from school by SRO, killed at nearby residence after shooting at police</v>
      </c>
      <c r="Z2" s="5" t="str">
        <f ca="1">IFERROR(__xludf.DUMMYFUNCTION("""COMPUTED_VALUE"""),"Man holding a gun was seen at the New Manchester High School Special Olympics event being held in the football stadium. When SRO approached man, he ran from the stadium to a nearby residence. When police confronted him at the residence, he fired shots at "&amp;"officers and was killed.")</f>
        <v>Man holding a gun was seen at the New Manchester High School Special Olympics event being held in the football stadium. When SRO approached man, he ran from the stadium to a nearby residence. When police confronted him at the residence, he fired shots at officers and was killed.</v>
      </c>
      <c r="AA2" s="5"/>
      <c r="AB2" s="5" t="str">
        <f ca="1">IFERROR(__xludf.DUMMYFUNCTION("""COMPUTED_VALUE"""),"Neither")</f>
        <v>Neither</v>
      </c>
      <c r="AC2" s="5" t="str">
        <f ca="1">IFERROR(__xludf.DUMMYFUNCTION("""COMPUTED_VALUE"""),"No")</f>
        <v>No</v>
      </c>
      <c r="AD2" s="5" t="str">
        <f ca="1">IFERROR(__xludf.DUMMYFUNCTION("""COMPUTED_VALUE"""),"No")</f>
        <v>No</v>
      </c>
      <c r="AE2" s="5" t="str">
        <f ca="1">IFERROR(__xludf.DUMMYFUNCTION("""COMPUTED_VALUE"""),"No")</f>
        <v>No</v>
      </c>
      <c r="AF2" s="5" t="str">
        <f ca="1">IFERROR(__xludf.DUMMYFUNCTION("""COMPUTED_VALUE"""),"No")</f>
        <v>No</v>
      </c>
      <c r="AG2" s="5" t="str">
        <f ca="1">IFERROR(__xludf.DUMMYFUNCTION("""COMPUTED_VALUE"""),"No")</f>
        <v>No</v>
      </c>
      <c r="AH2" s="5" t="str">
        <f ca="1">IFERROR(__xludf.DUMMYFUNCTION("""COMPUTED_VALUE"""),"No")</f>
        <v>No</v>
      </c>
      <c r="AI2" s="5" t="str">
        <f ca="1">IFERROR(__xludf.DUMMYFUNCTION("""COMPUTED_VALUE"""),"No")</f>
        <v>No</v>
      </c>
      <c r="AJ2" s="5" t="str">
        <f ca="1">IFERROR(__xludf.DUMMYFUNCTION("""COMPUTED_VALUE"""),"No")</f>
        <v>No</v>
      </c>
    </row>
    <row r="3" spans="1:38" ht="13">
      <c r="A3" s="5" t="str">
        <f ca="1">IFERROR(__xludf.DUMMYFUNCTION("""COMPUTED_VALUE"""),"20230327TNCON")</f>
        <v>20230327TNCON</v>
      </c>
      <c r="B3" s="5">
        <f ca="1">IFERROR(__xludf.DUMMYFUNCTION("""COMPUTED_VALUE"""),3)</f>
        <v>3</v>
      </c>
      <c r="C3" s="5">
        <f ca="1">IFERROR(__xludf.DUMMYFUNCTION("""COMPUTED_VALUE"""),27)</f>
        <v>27</v>
      </c>
      <c r="D3" s="5">
        <f ca="1">IFERROR(__xludf.DUMMYFUNCTION("""COMPUTED_VALUE"""),2023)</f>
        <v>2023</v>
      </c>
      <c r="E3" s="8">
        <f ca="1">IFERROR(__xludf.DUMMYFUNCTION("""COMPUTED_VALUE"""),45012)</f>
        <v>45012</v>
      </c>
      <c r="F3" s="5" t="str">
        <f ca="1">IFERROR(__xludf.DUMMYFUNCTION("""COMPUTED_VALUE"""),"Covenant School")</f>
        <v>Covenant School</v>
      </c>
      <c r="G3" s="5">
        <f ca="1">IFERROR(__xludf.DUMMYFUNCTION("""COMPUTED_VALUE"""),6)</f>
        <v>6</v>
      </c>
      <c r="H3" s="5">
        <f ca="1">IFERROR(__xludf.DUMMYFUNCTION("""COMPUTED_VALUE"""),1)</f>
        <v>1</v>
      </c>
      <c r="I3" s="5">
        <f ca="1">IFERROR(__xludf.DUMMYFUNCTION("""COMPUTED_VALUE"""),7)</f>
        <v>7</v>
      </c>
      <c r="J3" s="5">
        <f ca="1">IFERROR(__xludf.DUMMYFUNCTION("""COMPUTED_VALUE"""),1)</f>
        <v>1</v>
      </c>
      <c r="K3" s="9" t="str">
        <f ca="1">IFERROR(__xludf.DUMMYFUNCTION("""COMPUTED_VALUE"""),"https://www.wkrn.com/news/local-news/nashville/covenant-school-mass-shooting/nashville-school-shooting-timeline/")</f>
        <v>https://www.wkrn.com/news/local-news/nashville/covenant-school-mass-shooting/nashville-school-shooting-timeline/</v>
      </c>
      <c r="L3" s="5">
        <f ca="1">IFERROR(__xludf.DUMMYFUNCTION("""COMPUTED_VALUE"""),999)</f>
        <v>999</v>
      </c>
      <c r="M3" s="5" t="str">
        <f ca="1">IFERROR(__xludf.DUMMYFUNCTION("""COMPUTED_VALUE"""),"International")</f>
        <v>International</v>
      </c>
      <c r="N3" s="5">
        <f ca="1">IFERROR(__xludf.DUMMYFUNCTION("""COMPUTED_VALUE"""),4)</f>
        <v>4</v>
      </c>
      <c r="O3" s="5" t="str">
        <f ca="1">IFERROR(__xludf.DUMMYFUNCTION("""COMPUTED_VALUE"""),"Spring")</f>
        <v>Spring</v>
      </c>
      <c r="P3" s="5" t="str">
        <f ca="1">IFERROR(__xludf.DUMMYFUNCTION("""COMPUTED_VALUE"""),"Nashville")</f>
        <v>Nashville</v>
      </c>
      <c r="Q3" s="5" t="str">
        <f ca="1">IFERROR(__xludf.DUMMYFUNCTION("""COMPUTED_VALUE"""),"TN")</f>
        <v>TN</v>
      </c>
      <c r="R3" s="5" t="str">
        <f ca="1">IFERROR(__xludf.DUMMYFUNCTION("""COMPUTED_VALUE"""),"Elementary")</f>
        <v>Elementary</v>
      </c>
      <c r="S3" s="5" t="str">
        <f ca="1">IFERROR(__xludf.DUMMYFUNCTION("""COMPUTED_VALUE"""),"Inside School Building")</f>
        <v>Inside School Building</v>
      </c>
      <c r="T3" s="5" t="str">
        <f ca="1">IFERROR(__xludf.DUMMYFUNCTION("""COMPUTED_VALUE"""),"Inside School Building")</f>
        <v>Inside School Building</v>
      </c>
      <c r="U3" s="5" t="str">
        <f ca="1">IFERROR(__xludf.DUMMYFUNCTION("""COMPUTED_VALUE"""),"Yes")</f>
        <v>Yes</v>
      </c>
      <c r="V3" s="5" t="str">
        <f ca="1">IFERROR(__xludf.DUMMYFUNCTION("""COMPUTED_VALUE"""),"Morning Classes")</f>
        <v>Morning Classes</v>
      </c>
      <c r="W3" s="10">
        <f ca="1">IFERROR(__xludf.DUMMYFUNCTION("""COMPUTED_VALUE"""),0.423611111111111)</f>
        <v>0.42361111111111099</v>
      </c>
      <c r="X3" s="5">
        <f ca="1">IFERROR(__xludf.DUMMYFUNCTION("""COMPUTED_VALUE"""),17)</f>
        <v>17</v>
      </c>
      <c r="Y3" s="5" t="str">
        <f ca="1">IFERROR(__xludf.DUMMYFUNCTION("""COMPUTED_VALUE"""),"Planned by former student with 3 firearms")</f>
        <v>Planned by former student with 3 firearms</v>
      </c>
      <c r="Z3" s="5" t="str">
        <f ca="1">IFERROR(__xludf.DUMMYFUNCTION("""COMPUTED_VALUE"""),"10:10 a.m. | The timestamp on the footage shows Hale breaking the glass doors with gunfire at around 10:10 a.m. 
10:13 a.m. | Police said the first call came into 911 at 10:13 a.m., at which time officers were dispatched to the school.
Surveillance video"&amp;" from the school shows Hale, holding an assault-style rifle, traversing through the school and looking into multiple rooms around 10:20 a.m.
10:24 a.m. | According to Metro Police Chief John Drake, by 10:24 a.m., officers were on the scene engaged with H"&amp;"ale.
10:27 a.m. | Hale was shot and killed by two of the five-member team that arrived on scene first.")</f>
        <v>10:10 a.m. | The timestamp on the footage shows Hale breaking the glass doors with gunfire at around 10:10 a.m. 
10:13 a.m. | Police said the first call came into 911 at 10:13 a.m., at which time officers were dispatched to the school.
Surveillance video from the school shows Hale, holding an assault-style rifle, traversing through the school and looking into multiple rooms around 10:20 a.m.
10:24 a.m. | According to Metro Police Chief John Drake, by 10:24 a.m., officers were on the scene engaged with Hale.
10:27 a.m. | Hale was shot and killed by two of the five-member team that arrived on scene first.</v>
      </c>
      <c r="AA3" s="5" t="str">
        <f ca="1">IFERROR(__xludf.DUMMYFUNCTION("""COMPUTED_VALUE"""),"Indiscriminate Shooting")</f>
        <v>Indiscriminate Shooting</v>
      </c>
      <c r="AB3" s="5" t="str">
        <f ca="1">IFERROR(__xludf.DUMMYFUNCTION("""COMPUTED_VALUE"""),"Random Shooting")</f>
        <v>Random Shooting</v>
      </c>
      <c r="AC3" s="5" t="str">
        <f ca="1">IFERROR(__xludf.DUMMYFUNCTION("""COMPUTED_VALUE"""),"No")</f>
        <v>No</v>
      </c>
      <c r="AD3" s="5" t="str">
        <f ca="1">IFERROR(__xludf.DUMMYFUNCTION("""COMPUTED_VALUE"""),"No")</f>
        <v>No</v>
      </c>
      <c r="AE3" s="5" t="str">
        <f ca="1">IFERROR(__xludf.DUMMYFUNCTION("""COMPUTED_VALUE"""),"No")</f>
        <v>No</v>
      </c>
      <c r="AF3" s="5" t="str">
        <f ca="1">IFERROR(__xludf.DUMMYFUNCTION("""COMPUTED_VALUE"""),"No")</f>
        <v>No</v>
      </c>
      <c r="AG3" s="5"/>
      <c r="AH3" s="5" t="str">
        <f ca="1">IFERROR(__xludf.DUMMYFUNCTION("""COMPUTED_VALUE"""),"No")</f>
        <v>No</v>
      </c>
      <c r="AI3" s="5" t="str">
        <f ca="1">IFERROR(__xludf.DUMMYFUNCTION("""COMPUTED_VALUE"""),"No")</f>
        <v>No</v>
      </c>
      <c r="AJ3" s="5" t="str">
        <f ca="1">IFERROR(__xludf.DUMMYFUNCTION("""COMPUTED_VALUE"""),"Yes")</f>
        <v>Yes</v>
      </c>
    </row>
    <row r="4" spans="1:38" ht="13">
      <c r="A4" s="5" t="str">
        <f ca="1">IFERROR(__xludf.DUMMYFUNCTION("""COMPUTED_VALUE"""),"20230324INNOM")</f>
        <v>20230324INNOM</v>
      </c>
      <c r="B4" s="5">
        <f ca="1">IFERROR(__xludf.DUMMYFUNCTION("""COMPUTED_VALUE"""),3)</f>
        <v>3</v>
      </c>
      <c r="C4" s="5">
        <f ca="1">IFERROR(__xludf.DUMMYFUNCTION("""COMPUTED_VALUE"""),24)</f>
        <v>24</v>
      </c>
      <c r="D4" s="5">
        <f ca="1">IFERROR(__xludf.DUMMYFUNCTION("""COMPUTED_VALUE"""),2023)</f>
        <v>2023</v>
      </c>
      <c r="E4" s="8">
        <f ca="1">IFERROR(__xludf.DUMMYFUNCTION("""COMPUTED_VALUE"""),45009)</f>
        <v>45009</v>
      </c>
      <c r="F4" s="5" t="str">
        <f ca="1">IFERROR(__xludf.DUMMYFUNCTION("""COMPUTED_VALUE"""),"Northridge Middle School")</f>
        <v>Northridge Middle School</v>
      </c>
      <c r="G4" s="5">
        <f ca="1">IFERROR(__xludf.DUMMYFUNCTION("""COMPUTED_VALUE"""),0)</f>
        <v>0</v>
      </c>
      <c r="H4" s="5">
        <f ca="1">IFERROR(__xludf.DUMMYFUNCTION("""COMPUTED_VALUE"""),0)</f>
        <v>0</v>
      </c>
      <c r="I4" s="5">
        <f ca="1">IFERROR(__xludf.DUMMYFUNCTION("""COMPUTED_VALUE"""),0)</f>
        <v>0</v>
      </c>
      <c r="J4" s="5">
        <f ca="1">IFERROR(__xludf.DUMMYFUNCTION("""COMPUTED_VALUE"""),1)</f>
        <v>1</v>
      </c>
      <c r="K4" s="9" t="str">
        <f ca="1">IFERROR(__xludf.DUMMYFUNCTION("""COMPUTED_VALUE"""),"https://www.goshennews.com/news/death-being-investigated-at-northridge-middle-school/article_5cd42e8e-ca71-11ed-8dec-f39c178120ca.html?utm_campaign=blox&amp;utm_source=twitter&amp;utm_medium=social
https://wsbt.com/news/local/lockdown-lifted-following-emergency-a"&amp;"t-northridge-middle-school-elkhart-county-developing-dismissal")</f>
        <v>https://www.goshennews.com/news/death-being-investigated-at-northridge-middle-school/article_5cd42e8e-ca71-11ed-8dec-f39c178120ca.html?utm_campaign=blox&amp;utm_source=twitter&amp;utm_medium=social
https://wsbt.com/news/local/lockdown-lifted-following-emergency-at-northridge-middle-school-elkhart-county-developing-dismissal</v>
      </c>
      <c r="L4" s="5">
        <f ca="1">IFERROR(__xludf.DUMMYFUNCTION("""COMPUTED_VALUE"""),3)</f>
        <v>3</v>
      </c>
      <c r="M4" s="5" t="str">
        <f ca="1">IFERROR(__xludf.DUMMYFUNCTION("""COMPUTED_VALUE"""),"Local")</f>
        <v>Local</v>
      </c>
      <c r="N4" s="5">
        <f ca="1">IFERROR(__xludf.DUMMYFUNCTION("""COMPUTED_VALUE"""),4)</f>
        <v>4</v>
      </c>
      <c r="O4" s="5" t="str">
        <f ca="1">IFERROR(__xludf.DUMMYFUNCTION("""COMPUTED_VALUE"""),"Spring")</f>
        <v>Spring</v>
      </c>
      <c r="P4" s="5" t="str">
        <f ca="1">IFERROR(__xludf.DUMMYFUNCTION("""COMPUTED_VALUE"""),"Middlebury")</f>
        <v>Middlebury</v>
      </c>
      <c r="Q4" s="5" t="str">
        <f ca="1">IFERROR(__xludf.DUMMYFUNCTION("""COMPUTED_VALUE"""),"IN")</f>
        <v>IN</v>
      </c>
      <c r="R4" s="5" t="str">
        <f ca="1">IFERROR(__xludf.DUMMYFUNCTION("""COMPUTED_VALUE"""),"Middle")</f>
        <v>Middle</v>
      </c>
      <c r="S4" s="5" t="str">
        <f ca="1">IFERROR(__xludf.DUMMYFUNCTION("""COMPUTED_VALUE"""),"Parking Lot")</f>
        <v>Parking Lot</v>
      </c>
      <c r="T4" s="5" t="str">
        <f ca="1">IFERROR(__xludf.DUMMYFUNCTION("""COMPUTED_VALUE"""),"Outside on School Property")</f>
        <v>Outside on School Property</v>
      </c>
      <c r="U4" s="5" t="str">
        <f ca="1">IFERROR(__xludf.DUMMYFUNCTION("""COMPUTED_VALUE"""),"Yes")</f>
        <v>Yes</v>
      </c>
      <c r="V4" s="5" t="str">
        <f ca="1">IFERROR(__xludf.DUMMYFUNCTION("""COMPUTED_VALUE"""),"Afternoon Classes")</f>
        <v>Afternoon Classes</v>
      </c>
      <c r="W4" s="10">
        <f ca="1">IFERROR(__xludf.DUMMYFUNCTION("""COMPUTED_VALUE"""),0.541666666666666)</f>
        <v>0.54166666666666596</v>
      </c>
      <c r="X4" s="5">
        <f ca="1">IFERROR(__xludf.DUMMYFUNCTION("""COMPUTED_VALUE"""),1)</f>
        <v>1</v>
      </c>
      <c r="Y4" s="5" t="str">
        <f ca="1">IFERROR(__xludf.DUMMYFUNCTION("""COMPUTED_VALUE"""),"Teacher commit suicide in school parking lot during classes")</f>
        <v>Teacher commit suicide in school parking lot during classes</v>
      </c>
      <c r="Z4" s="5" t="str">
        <f ca="1">IFERROR(__xludf.DUMMYFUNCTION("""COMPUTED_VALUE"""),"Teacher commit suicide in the school parking lot during afternoon classes. School went on lockdown.")</f>
        <v>Teacher commit suicide in the school parking lot during afternoon classes. School went on lockdown.</v>
      </c>
      <c r="AA4" s="5" t="str">
        <f ca="1">IFERROR(__xludf.DUMMYFUNCTION("""COMPUTED_VALUE"""),"Suicide/Attempted")</f>
        <v>Suicide/Attempted</v>
      </c>
      <c r="AB4" s="5" t="str">
        <f ca="1">IFERROR(__xludf.DUMMYFUNCTION("""COMPUTED_VALUE"""),"Victims Targeted")</f>
        <v>Victims Targeted</v>
      </c>
      <c r="AC4" s="5" t="str">
        <f ca="1">IFERROR(__xludf.DUMMYFUNCTION("""COMPUTED_VALUE"""),"No")</f>
        <v>No</v>
      </c>
      <c r="AD4" s="5" t="str">
        <f ca="1">IFERROR(__xludf.DUMMYFUNCTION("""COMPUTED_VALUE"""),"No")</f>
        <v>No</v>
      </c>
      <c r="AE4" s="5" t="str">
        <f ca="1">IFERROR(__xludf.DUMMYFUNCTION("""COMPUTED_VALUE"""),"No")</f>
        <v>No</v>
      </c>
      <c r="AF4" s="5" t="str">
        <f ca="1">IFERROR(__xludf.DUMMYFUNCTION("""COMPUTED_VALUE"""),"No")</f>
        <v>No</v>
      </c>
      <c r="AG4" s="5" t="str">
        <f ca="1">IFERROR(__xludf.DUMMYFUNCTION("""COMPUTED_VALUE"""),"No")</f>
        <v>No</v>
      </c>
      <c r="AH4" s="5" t="str">
        <f ca="1">IFERROR(__xludf.DUMMYFUNCTION("""COMPUTED_VALUE"""),"No")</f>
        <v>No</v>
      </c>
      <c r="AI4" s="5" t="str">
        <f ca="1">IFERROR(__xludf.DUMMYFUNCTION("""COMPUTED_VALUE"""),"No")</f>
        <v>No</v>
      </c>
      <c r="AJ4" s="5" t="str">
        <f ca="1">IFERROR(__xludf.DUMMYFUNCTION("""COMPUTED_VALUE"""),"No")</f>
        <v>No</v>
      </c>
    </row>
    <row r="5" spans="1:38" ht="13">
      <c r="A5" s="5" t="str">
        <f ca="1">IFERROR(__xludf.DUMMYFUNCTION("""COMPUTED_VALUE"""),"20230324NJTHM")</f>
        <v>20230324NJTHM</v>
      </c>
      <c r="B5" s="5">
        <f ca="1">IFERROR(__xludf.DUMMYFUNCTION("""COMPUTED_VALUE"""),3)</f>
        <v>3</v>
      </c>
      <c r="C5" s="5">
        <f ca="1">IFERROR(__xludf.DUMMYFUNCTION("""COMPUTED_VALUE"""),24)</f>
        <v>24</v>
      </c>
      <c r="D5" s="5">
        <f ca="1">IFERROR(__xludf.DUMMYFUNCTION("""COMPUTED_VALUE"""),2023)</f>
        <v>2023</v>
      </c>
      <c r="E5" s="8">
        <f ca="1">IFERROR(__xludf.DUMMYFUNCTION("""COMPUTED_VALUE"""),45009)</f>
        <v>45009</v>
      </c>
      <c r="F5" s="5" t="str">
        <f ca="1">IFERROR(__xludf.DUMMYFUNCTION("""COMPUTED_VALUE"""),"Thunderbolt Academy")</f>
        <v>Thunderbolt Academy</v>
      </c>
      <c r="G5" s="5">
        <f ca="1">IFERROR(__xludf.DUMMYFUNCTION("""COMPUTED_VALUE"""),0)</f>
        <v>0</v>
      </c>
      <c r="H5" s="5">
        <f ca="1">IFERROR(__xludf.DUMMYFUNCTION("""COMPUTED_VALUE"""),0)</f>
        <v>0</v>
      </c>
      <c r="I5" s="5">
        <f ca="1">IFERROR(__xludf.DUMMYFUNCTION("""COMPUTED_VALUE"""),0)</f>
        <v>0</v>
      </c>
      <c r="J5" s="5">
        <f ca="1">IFERROR(__xludf.DUMMYFUNCTION("""COMPUTED_VALUE"""),0)</f>
        <v>0</v>
      </c>
      <c r="K5" s="9" t="str">
        <f ca="1">IFERROR(__xludf.DUMMYFUNCTION("""COMPUTED_VALUE"""),"https://6abc.com/shots-fired-millville-public-schools-thunderbolt-academy-fire/13006988/
https://www.courierpostonline.com/story/news/local/2023/03/24/millville-nj-thunderbolt-academy-shelter-in-place-after-gun-shots/70045194007/")</f>
        <v>https://6abc.com/shots-fired-millville-public-schools-thunderbolt-academy-fire/13006988/
https://www.courierpostonline.com/story/news/local/2023/03/24/millville-nj-thunderbolt-academy-shelter-in-place-after-gun-shots/70045194007/</v>
      </c>
      <c r="L5" s="5">
        <f ca="1">IFERROR(__xludf.DUMMYFUNCTION("""COMPUTED_VALUE"""),5)</f>
        <v>5</v>
      </c>
      <c r="M5" s="5" t="str">
        <f ca="1">IFERROR(__xludf.DUMMYFUNCTION("""COMPUTED_VALUE"""),"Local")</f>
        <v>Local</v>
      </c>
      <c r="N5" s="5">
        <f ca="1">IFERROR(__xludf.DUMMYFUNCTION("""COMPUTED_VALUE"""),4)</f>
        <v>4</v>
      </c>
      <c r="O5" s="5" t="str">
        <f ca="1">IFERROR(__xludf.DUMMYFUNCTION("""COMPUTED_VALUE"""),"Spring")</f>
        <v>Spring</v>
      </c>
      <c r="P5" s="5" t="str">
        <f ca="1">IFERROR(__xludf.DUMMYFUNCTION("""COMPUTED_VALUE"""),"Millville")</f>
        <v>Millville</v>
      </c>
      <c r="Q5" s="5" t="str">
        <f ca="1">IFERROR(__xludf.DUMMYFUNCTION("""COMPUTED_VALUE"""),"NJ")</f>
        <v>NJ</v>
      </c>
      <c r="R5" s="5" t="str">
        <f ca="1">IFERROR(__xludf.DUMMYFUNCTION("""COMPUTED_VALUE"""),"High")</f>
        <v>High</v>
      </c>
      <c r="S5" s="5" t="str">
        <f ca="1">IFERROR(__xludf.DUMMYFUNCTION("""COMPUTED_VALUE"""),"Front of School")</f>
        <v>Front of School</v>
      </c>
      <c r="T5" s="5" t="str">
        <f ca="1">IFERROR(__xludf.DUMMYFUNCTION("""COMPUTED_VALUE"""),"Outside on School Property")</f>
        <v>Outside on School Property</v>
      </c>
      <c r="U5" s="5" t="str">
        <f ca="1">IFERROR(__xludf.DUMMYFUNCTION("""COMPUTED_VALUE"""),"Yes")</f>
        <v>Yes</v>
      </c>
      <c r="V5" s="5" t="str">
        <f ca="1">IFERROR(__xludf.DUMMYFUNCTION("""COMPUTED_VALUE"""),"School Start")</f>
        <v>School Start</v>
      </c>
      <c r="W5" s="10">
        <f ca="1">IFERROR(__xludf.DUMMYFUNCTION("""COMPUTED_VALUE"""),0.375)</f>
        <v>0.375</v>
      </c>
      <c r="X5" s="5">
        <f ca="1">IFERROR(__xludf.DUMMYFUNCTION("""COMPUTED_VALUE"""),1)</f>
        <v>1</v>
      </c>
      <c r="Y5" s="5" t="str">
        <f ca="1">IFERROR(__xludf.DUMMYFUNCTION("""COMPUTED_VALUE"""),"Shots fired while school bus was unloaded in front of school")</f>
        <v>Shots fired while school bus was unloaded in front of school</v>
      </c>
      <c r="Z5" s="5" t="str">
        <f ca="1">IFERROR(__xludf.DUMMYFUNCTION("""COMPUTED_VALUE"""),"Shots were fired while school bus was unloading in front of the school. School went on lockdown and dismissed early. Shooter fled.")</f>
        <v>Shots were fired while school bus was unloading in front of the school. School went on lockdown and dismissed early. Shooter fled.</v>
      </c>
      <c r="AA5" s="5"/>
      <c r="AB5" s="5" t="str">
        <f ca="1">IFERROR(__xludf.DUMMYFUNCTION("""COMPUTED_VALUE"""),"Victims Targeted")</f>
        <v>Victims Targeted</v>
      </c>
      <c r="AC5" s="5" t="str">
        <f ca="1">IFERROR(__xludf.DUMMYFUNCTION("""COMPUTED_VALUE"""),"No")</f>
        <v>No</v>
      </c>
      <c r="AD5" s="5" t="str">
        <f ca="1">IFERROR(__xludf.DUMMYFUNCTION("""COMPUTED_VALUE"""),"No")</f>
        <v>No</v>
      </c>
      <c r="AE5" s="5" t="str">
        <f ca="1">IFERROR(__xludf.DUMMYFUNCTION("""COMPUTED_VALUE"""),"No")</f>
        <v>No</v>
      </c>
      <c r="AF5" s="5" t="str">
        <f ca="1">IFERROR(__xludf.DUMMYFUNCTION("""COMPUTED_VALUE"""),"No")</f>
        <v>No</v>
      </c>
      <c r="AG5" s="5" t="str">
        <f ca="1">IFERROR(__xludf.DUMMYFUNCTION("""COMPUTED_VALUE"""),"No")</f>
        <v>No</v>
      </c>
      <c r="AH5" s="5" t="str">
        <f ca="1">IFERROR(__xludf.DUMMYFUNCTION("""COMPUTED_VALUE"""),"No")</f>
        <v>No</v>
      </c>
      <c r="AI5" s="5"/>
      <c r="AJ5" s="5" t="str">
        <f ca="1">IFERROR(__xludf.DUMMYFUNCTION("""COMPUTED_VALUE"""),"No")</f>
        <v>No</v>
      </c>
    </row>
    <row r="6" spans="1:38" ht="13">
      <c r="A6" s="5" t="str">
        <f ca="1">IFERROR(__xludf.DUMMYFUNCTION("""COMPUTED_VALUE"""),"20230322ALANA")</f>
        <v>20230322ALANA</v>
      </c>
      <c r="B6" s="5">
        <f ca="1">IFERROR(__xludf.DUMMYFUNCTION("""COMPUTED_VALUE"""),3)</f>
        <v>3</v>
      </c>
      <c r="C6" s="5">
        <f ca="1">IFERROR(__xludf.DUMMYFUNCTION("""COMPUTED_VALUE"""),22)</f>
        <v>22</v>
      </c>
      <c r="D6" s="5">
        <f ca="1">IFERROR(__xludf.DUMMYFUNCTION("""COMPUTED_VALUE"""),2023)</f>
        <v>2023</v>
      </c>
      <c r="E6" s="8">
        <f ca="1">IFERROR(__xludf.DUMMYFUNCTION("""COMPUTED_VALUE"""),45007)</f>
        <v>45007</v>
      </c>
      <c r="F6" s="5" t="str">
        <f ca="1">IFERROR(__xludf.DUMMYFUNCTION("""COMPUTED_VALUE"""),"Anniston High School")</f>
        <v>Anniston High School</v>
      </c>
      <c r="G6" s="5">
        <f ca="1">IFERROR(__xludf.DUMMYFUNCTION("""COMPUTED_VALUE"""),0)</f>
        <v>0</v>
      </c>
      <c r="H6" s="5">
        <f ca="1">IFERROR(__xludf.DUMMYFUNCTION("""COMPUTED_VALUE"""),1)</f>
        <v>1</v>
      </c>
      <c r="I6" s="5">
        <f ca="1">IFERROR(__xludf.DUMMYFUNCTION("""COMPUTED_VALUE"""),1)</f>
        <v>1</v>
      </c>
      <c r="J6" s="5">
        <f ca="1">IFERROR(__xludf.DUMMYFUNCTION("""COMPUTED_VALUE"""),0)</f>
        <v>0</v>
      </c>
      <c r="K6" s="9" t="str">
        <f ca="1">IFERROR(__xludf.DUMMYFUNCTION("""COMPUTED_VALUE"""),"https://abc3340.com/news/local/student-shot-at-anniston-high-school-school-evacuated-fake-bomb-threat-shooting-injured-tile-floor-grazed-injuries-police-department-investigating")</f>
        <v>https://abc3340.com/news/local/student-shot-at-anniston-high-school-school-evacuated-fake-bomb-threat-shooting-injured-tile-floor-grazed-injuries-police-department-investigating</v>
      </c>
      <c r="L6" s="5">
        <f ca="1">IFERROR(__xludf.DUMMYFUNCTION("""COMPUTED_VALUE"""),1)</f>
        <v>1</v>
      </c>
      <c r="M6" s="5" t="str">
        <f ca="1">IFERROR(__xludf.DUMMYFUNCTION("""COMPUTED_VALUE"""),"Local")</f>
        <v>Local</v>
      </c>
      <c r="N6" s="5">
        <f ca="1">IFERROR(__xludf.DUMMYFUNCTION("""COMPUTED_VALUE"""),4)</f>
        <v>4</v>
      </c>
      <c r="O6" s="5" t="str">
        <f ca="1">IFERROR(__xludf.DUMMYFUNCTION("""COMPUTED_VALUE"""),"Spring")</f>
        <v>Spring</v>
      </c>
      <c r="P6" s="5" t="str">
        <f ca="1">IFERROR(__xludf.DUMMYFUNCTION("""COMPUTED_VALUE"""),"Anniston")</f>
        <v>Anniston</v>
      </c>
      <c r="Q6" s="5" t="str">
        <f ca="1">IFERROR(__xludf.DUMMYFUNCTION("""COMPUTED_VALUE"""),"AL")</f>
        <v>AL</v>
      </c>
      <c r="R6" s="5" t="str">
        <f ca="1">IFERROR(__xludf.DUMMYFUNCTION("""COMPUTED_VALUE"""),"High")</f>
        <v>High</v>
      </c>
      <c r="S6" s="5" t="str">
        <f ca="1">IFERROR(__xludf.DUMMYFUNCTION("""COMPUTED_VALUE"""),"Inside School Building")</f>
        <v>Inside School Building</v>
      </c>
      <c r="T6" s="5" t="str">
        <f ca="1">IFERROR(__xludf.DUMMYFUNCTION("""COMPUTED_VALUE"""),"Inside School Building")</f>
        <v>Inside School Building</v>
      </c>
      <c r="U6" s="5" t="str">
        <f ca="1">IFERROR(__xludf.DUMMYFUNCTION("""COMPUTED_VALUE"""),"Yes")</f>
        <v>Yes</v>
      </c>
      <c r="V6" s="5" t="str">
        <f ca="1">IFERROR(__xludf.DUMMYFUNCTION("""COMPUTED_VALUE"""),"Afternoon Classes")</f>
        <v>Afternoon Classes</v>
      </c>
      <c r="W6" s="10">
        <f ca="1">IFERROR(__xludf.DUMMYFUNCTION("""COMPUTED_VALUE"""),0.5625)</f>
        <v>0.5625</v>
      </c>
      <c r="X6" s="5">
        <f ca="1">IFERROR(__xludf.DUMMYFUNCTION("""COMPUTED_VALUE"""),1)</f>
        <v>1</v>
      </c>
      <c r="Y6" s="5" t="str">
        <f ca="1">IFERROR(__xludf.DUMMYFUNCTION("""COMPUTED_VALUE"""),"Student fired gun inside backpack, bullet struck another student in the leg")</f>
        <v>Student fired gun inside backpack, bullet struck another student in the leg</v>
      </c>
      <c r="Z6" s="5" t="str">
        <f ca="1">IFERROR(__xludf.DUMMYFUNCTION("""COMPUTED_VALUE"""),"A student was handling a handgun in his backpack when it fired and struck another student in the leg. When the gunshot was heard, the school was evacuated for a reported bomb threat.")</f>
        <v>A student was handling a handgun in his backpack when it fired and struck another student in the leg. When the gunshot was heard, the school was evacuated for a reported bomb threat.</v>
      </c>
      <c r="AA6" s="5" t="str">
        <f ca="1">IFERROR(__xludf.DUMMYFUNCTION("""COMPUTED_VALUE"""),"Accidental")</f>
        <v>Accidental</v>
      </c>
      <c r="AB6" s="5" t="str">
        <f ca="1">IFERROR(__xludf.DUMMYFUNCTION("""COMPUTED_VALUE"""),"Neither")</f>
        <v>Neither</v>
      </c>
      <c r="AC6" s="5" t="str">
        <f ca="1">IFERROR(__xludf.DUMMYFUNCTION("""COMPUTED_VALUE"""),"No")</f>
        <v>No</v>
      </c>
      <c r="AD6" s="5" t="str">
        <f ca="1">IFERROR(__xludf.DUMMYFUNCTION("""COMPUTED_VALUE"""),"No")</f>
        <v>No</v>
      </c>
      <c r="AE6" s="5" t="str">
        <f ca="1">IFERROR(__xludf.DUMMYFUNCTION("""COMPUTED_VALUE"""),"No")</f>
        <v>No</v>
      </c>
      <c r="AF6" s="5" t="str">
        <f ca="1">IFERROR(__xludf.DUMMYFUNCTION("""COMPUTED_VALUE"""),"No")</f>
        <v>No</v>
      </c>
      <c r="AG6" s="5" t="str">
        <f ca="1">IFERROR(__xludf.DUMMYFUNCTION("""COMPUTED_VALUE"""),"No")</f>
        <v>No</v>
      </c>
      <c r="AH6" s="5" t="str">
        <f ca="1">IFERROR(__xludf.DUMMYFUNCTION("""COMPUTED_VALUE"""),"No")</f>
        <v>No</v>
      </c>
      <c r="AI6" s="5" t="str">
        <f ca="1">IFERROR(__xludf.DUMMYFUNCTION("""COMPUTED_VALUE"""),"No")</f>
        <v>No</v>
      </c>
      <c r="AJ6" s="5" t="str">
        <f ca="1">IFERROR(__xludf.DUMMYFUNCTION("""COMPUTED_VALUE"""),"No")</f>
        <v>No</v>
      </c>
    </row>
    <row r="7" spans="1:38" ht="13">
      <c r="A7" s="5" t="str">
        <f ca="1">IFERROR(__xludf.DUMMYFUNCTION("""COMPUTED_VALUE"""),"20230322PAHAP")</f>
        <v>20230322PAHAP</v>
      </c>
      <c r="B7" s="5">
        <f ca="1">IFERROR(__xludf.DUMMYFUNCTION("""COMPUTED_VALUE"""),3)</f>
        <v>3</v>
      </c>
      <c r="C7" s="5">
        <f ca="1">IFERROR(__xludf.DUMMYFUNCTION("""COMPUTED_VALUE"""),22)</f>
        <v>22</v>
      </c>
      <c r="D7" s="5">
        <f ca="1">IFERROR(__xludf.DUMMYFUNCTION("""COMPUTED_VALUE"""),2023)</f>
        <v>2023</v>
      </c>
      <c r="E7" s="8">
        <f ca="1">IFERROR(__xludf.DUMMYFUNCTION("""COMPUTED_VALUE"""),45007)</f>
        <v>45007</v>
      </c>
      <c r="F7" s="5" t="str">
        <f ca="1">IFERROR(__xludf.DUMMYFUNCTION("""COMPUTED_VALUE"""),"Hardy Williams Mastery Charter School")</f>
        <v>Hardy Williams Mastery Charter School</v>
      </c>
      <c r="G7" s="5">
        <f ca="1">IFERROR(__xludf.DUMMYFUNCTION("""COMPUTED_VALUE"""),0)</f>
        <v>0</v>
      </c>
      <c r="H7" s="5">
        <f ca="1">IFERROR(__xludf.DUMMYFUNCTION("""COMPUTED_VALUE"""),0)</f>
        <v>0</v>
      </c>
      <c r="I7" s="5">
        <f ca="1">IFERROR(__xludf.DUMMYFUNCTION("""COMPUTED_VALUE"""),0)</f>
        <v>0</v>
      </c>
      <c r="J7" s="5">
        <f ca="1">IFERROR(__xludf.DUMMYFUNCTION("""COMPUTED_VALUE"""),0)</f>
        <v>0</v>
      </c>
      <c r="K7" s="9" t="str">
        <f ca="1">IFERROR(__xludf.DUMMYFUNCTION("""COMPUTED_VALUE"""),"https://6abc.com/kingsessing-school-lockdown-hardy-williams-charter-warrington-avenue-shooting-philadelphia/12991741/")</f>
        <v>https://6abc.com/kingsessing-school-lockdown-hardy-williams-charter-warrington-avenue-shooting-philadelphia/12991741/</v>
      </c>
      <c r="L7" s="5">
        <f ca="1">IFERROR(__xludf.DUMMYFUNCTION("""COMPUTED_VALUE"""),1)</f>
        <v>1</v>
      </c>
      <c r="M7" s="5" t="str">
        <f ca="1">IFERROR(__xludf.DUMMYFUNCTION("""COMPUTED_VALUE"""),"Local")</f>
        <v>Local</v>
      </c>
      <c r="N7" s="5">
        <f ca="1">IFERROR(__xludf.DUMMYFUNCTION("""COMPUTED_VALUE"""),4)</f>
        <v>4</v>
      </c>
      <c r="O7" s="5" t="str">
        <f ca="1">IFERROR(__xludf.DUMMYFUNCTION("""COMPUTED_VALUE"""),"Spring")</f>
        <v>Spring</v>
      </c>
      <c r="P7" s="5" t="str">
        <f ca="1">IFERROR(__xludf.DUMMYFUNCTION("""COMPUTED_VALUE"""),"Philadelphia")</f>
        <v>Philadelphia</v>
      </c>
      <c r="Q7" s="5" t="str">
        <f ca="1">IFERROR(__xludf.DUMMYFUNCTION("""COMPUTED_VALUE"""),"PA")</f>
        <v>PA</v>
      </c>
      <c r="R7" s="5" t="str">
        <f ca="1">IFERROR(__xludf.DUMMYFUNCTION("""COMPUTED_VALUE"""),"K-12")</f>
        <v>K-12</v>
      </c>
      <c r="S7" s="5" t="str">
        <f ca="1">IFERROR(__xludf.DUMMYFUNCTION("""COMPUTED_VALUE"""),"Beside Building")</f>
        <v>Beside Building</v>
      </c>
      <c r="T7" s="5" t="str">
        <f ca="1">IFERROR(__xludf.DUMMYFUNCTION("""COMPUTED_VALUE"""),"Outside on School Property")</f>
        <v>Outside on School Property</v>
      </c>
      <c r="U7" s="5" t="str">
        <f ca="1">IFERROR(__xludf.DUMMYFUNCTION("""COMPUTED_VALUE"""),"Yes")</f>
        <v>Yes</v>
      </c>
      <c r="V7" s="5" t="str">
        <f ca="1">IFERROR(__xludf.DUMMYFUNCTION("""COMPUTED_VALUE"""),"Afternoon Classes")</f>
        <v>Afternoon Classes</v>
      </c>
      <c r="W7" s="10">
        <f ca="1">IFERROR(__xludf.DUMMYFUNCTION("""COMPUTED_VALUE"""),0.604166666666666)</f>
        <v>0.60416666666666596</v>
      </c>
      <c r="X7" s="5">
        <f ca="1">IFERROR(__xludf.DUMMYFUNCTION("""COMPUTED_VALUE"""),1)</f>
        <v>1</v>
      </c>
      <c r="Y7" s="5" t="str">
        <f ca="1">IFERROR(__xludf.DUMMYFUNCTION("""COMPUTED_VALUE"""),"School went on lockdown when multiple shots were fired outside")</f>
        <v>School went on lockdown when multiple shots were fired outside</v>
      </c>
      <c r="Z7" s="5" t="str">
        <f ca="1">IFERROR(__xludf.DUMMYFUNCTION("""COMPUTED_VALUE"""),"School went on lockdown when multiple shots were fired outside. Shooter fled. No students were injured.")</f>
        <v>School went on lockdown when multiple shots were fired outside. Shooter fled. No students were injured.</v>
      </c>
      <c r="AA7" s="5"/>
      <c r="AB7" s="5" t="str">
        <f ca="1">IFERROR(__xludf.DUMMYFUNCTION("""COMPUTED_VALUE"""),"Victims Targeted")</f>
        <v>Victims Targeted</v>
      </c>
      <c r="AC7" s="5" t="str">
        <f ca="1">IFERROR(__xludf.DUMMYFUNCTION("""COMPUTED_VALUE"""),"No")</f>
        <v>No</v>
      </c>
      <c r="AD7" s="5" t="str">
        <f ca="1">IFERROR(__xludf.DUMMYFUNCTION("""COMPUTED_VALUE"""),"No")</f>
        <v>No</v>
      </c>
      <c r="AE7" s="5" t="str">
        <f ca="1">IFERROR(__xludf.DUMMYFUNCTION("""COMPUTED_VALUE"""),"No")</f>
        <v>No</v>
      </c>
      <c r="AF7" s="5" t="str">
        <f ca="1">IFERROR(__xludf.DUMMYFUNCTION("""COMPUTED_VALUE"""),"No")</f>
        <v>No</v>
      </c>
      <c r="AG7" s="5" t="str">
        <f ca="1">IFERROR(__xludf.DUMMYFUNCTION("""COMPUTED_VALUE"""),"No")</f>
        <v>No</v>
      </c>
      <c r="AH7" s="5" t="str">
        <f ca="1">IFERROR(__xludf.DUMMYFUNCTION("""COMPUTED_VALUE"""),"No")</f>
        <v>No</v>
      </c>
      <c r="AI7" s="5"/>
      <c r="AJ7" s="5" t="str">
        <f ca="1">IFERROR(__xludf.DUMMYFUNCTION("""COMPUTED_VALUE"""),"No")</f>
        <v>No</v>
      </c>
    </row>
    <row r="8" spans="1:38" ht="13">
      <c r="A8" s="5" t="str">
        <f ca="1">IFERROR(__xludf.DUMMYFUNCTION("""COMPUTED_VALUE"""),"20230322COEAD")</f>
        <v>20230322COEAD</v>
      </c>
      <c r="B8" s="5">
        <f ca="1">IFERROR(__xludf.DUMMYFUNCTION("""COMPUTED_VALUE"""),3)</f>
        <v>3</v>
      </c>
      <c r="C8" s="5">
        <f ca="1">IFERROR(__xludf.DUMMYFUNCTION("""COMPUTED_VALUE"""),22)</f>
        <v>22</v>
      </c>
      <c r="D8" s="5">
        <f ca="1">IFERROR(__xludf.DUMMYFUNCTION("""COMPUTED_VALUE"""),2023)</f>
        <v>2023</v>
      </c>
      <c r="E8" s="8">
        <f ca="1">IFERROR(__xludf.DUMMYFUNCTION("""COMPUTED_VALUE"""),45007)</f>
        <v>45007</v>
      </c>
      <c r="F8" s="5" t="str">
        <f ca="1">IFERROR(__xludf.DUMMYFUNCTION("""COMPUTED_VALUE"""),"East High School")</f>
        <v>East High School</v>
      </c>
      <c r="G8" s="5">
        <f ca="1">IFERROR(__xludf.DUMMYFUNCTION("""COMPUTED_VALUE"""),0)</f>
        <v>0</v>
      </c>
      <c r="H8" s="5">
        <f ca="1">IFERROR(__xludf.DUMMYFUNCTION("""COMPUTED_VALUE"""),2)</f>
        <v>2</v>
      </c>
      <c r="I8" s="5">
        <f ca="1">IFERROR(__xludf.DUMMYFUNCTION("""COMPUTED_VALUE"""),2)</f>
        <v>2</v>
      </c>
      <c r="J8" s="5">
        <f ca="1">IFERROR(__xludf.DUMMYFUNCTION("""COMPUTED_VALUE"""),1)</f>
        <v>1</v>
      </c>
      <c r="K8" s="5" t="str">
        <f ca="1">IFERROR(__xludf.DUMMYFUNCTION("""COMPUTED_VALUE"""),"https://www.nbcnews.com/news/colorado-student-shot-two-school-administrators-probation-weapons-char-rcna76383
https://www.wmur.com/article/shooting-denver-school/43389948#")</f>
        <v>https://www.nbcnews.com/news/colorado-student-shot-two-school-administrators-probation-weapons-char-rcna76383
https://www.wmur.com/article/shooting-denver-school/43389948#</v>
      </c>
      <c r="L8" s="5">
        <f ca="1">IFERROR(__xludf.DUMMYFUNCTION("""COMPUTED_VALUE"""),500)</f>
        <v>500</v>
      </c>
      <c r="M8" s="5" t="str">
        <f ca="1">IFERROR(__xludf.DUMMYFUNCTION("""COMPUTED_VALUE"""),"National")</f>
        <v>National</v>
      </c>
      <c r="N8" s="5">
        <f ca="1">IFERROR(__xludf.DUMMYFUNCTION("""COMPUTED_VALUE"""),4)</f>
        <v>4</v>
      </c>
      <c r="O8" s="5" t="str">
        <f ca="1">IFERROR(__xludf.DUMMYFUNCTION("""COMPUTED_VALUE"""),"Spring")</f>
        <v>Spring</v>
      </c>
      <c r="P8" s="5" t="str">
        <f ca="1">IFERROR(__xludf.DUMMYFUNCTION("""COMPUTED_VALUE"""),"Denver")</f>
        <v>Denver</v>
      </c>
      <c r="Q8" s="5" t="str">
        <f ca="1">IFERROR(__xludf.DUMMYFUNCTION("""COMPUTED_VALUE"""),"CO")</f>
        <v>CO</v>
      </c>
      <c r="R8" s="5" t="str">
        <f ca="1">IFERROR(__xludf.DUMMYFUNCTION("""COMPUTED_VALUE"""),"High")</f>
        <v>High</v>
      </c>
      <c r="S8" s="5" t="str">
        <f ca="1">IFERROR(__xludf.DUMMYFUNCTION("""COMPUTED_VALUE"""),"Office")</f>
        <v>Office</v>
      </c>
      <c r="T8" s="5" t="str">
        <f ca="1">IFERROR(__xludf.DUMMYFUNCTION("""COMPUTED_VALUE"""),"Inside School Building")</f>
        <v>Inside School Building</v>
      </c>
      <c r="U8" s="5" t="str">
        <f ca="1">IFERROR(__xludf.DUMMYFUNCTION("""COMPUTED_VALUE"""),"Yes")</f>
        <v>Yes</v>
      </c>
      <c r="V8" s="5" t="str">
        <f ca="1">IFERROR(__xludf.DUMMYFUNCTION("""COMPUTED_VALUE"""),"Morning Classes")</f>
        <v>Morning Classes</v>
      </c>
      <c r="W8" s="10">
        <f ca="1">IFERROR(__xludf.DUMMYFUNCTION("""COMPUTED_VALUE"""),0.416666666666666)</f>
        <v>0.41666666666666602</v>
      </c>
      <c r="X8" s="5">
        <f ca="1">IFERROR(__xludf.DUMMYFUNCTION("""COMPUTED_VALUE"""),1)</f>
        <v>1</v>
      </c>
      <c r="Y8" s="5" t="str">
        <f ca="1">IFERROR(__xludf.DUMMYFUNCTION("""COMPUTED_VALUE"""),"Student shot two administrators during daily search for weapon, fled")</f>
        <v>Student shot two administrators during daily search for weapon, fled</v>
      </c>
      <c r="Z8" s="5" t="str">
        <f ca="1">IFERROR(__xludf.DUMMYFUNCTION("""COMPUTED_VALUE"""),"17-year-old student shot two administrators during a daily pat down for a weapon in a school office. Student was on a safety plan due to behavior issues but had never brought a weapon to school previously. Shooter immediately fled. His vehicle was found i"&amp;"n the mountains 60 miles from the school and he commit suicide.")</f>
        <v>17-year-old student shot two administrators during a daily pat down for a weapon in a school office. Student was on a safety plan due to behavior issues but had never brought a weapon to school previously. Shooter immediately fled. His vehicle was found in the mountains 60 miles from the school and he commit suicide.</v>
      </c>
      <c r="AA8" s="5" t="str">
        <f ca="1">IFERROR(__xludf.DUMMYFUNCTION("""COMPUTED_VALUE"""),"Anger Over Grade/Suspension/Discipline")</f>
        <v>Anger Over Grade/Suspension/Discipline</v>
      </c>
      <c r="AB8" s="5" t="str">
        <f ca="1">IFERROR(__xludf.DUMMYFUNCTION("""COMPUTED_VALUE"""),"Victims Targeted")</f>
        <v>Victims Targeted</v>
      </c>
      <c r="AC8" s="5" t="str">
        <f ca="1">IFERROR(__xludf.DUMMYFUNCTION("""COMPUTED_VALUE"""),"No")</f>
        <v>No</v>
      </c>
      <c r="AD8" s="5" t="str">
        <f ca="1">IFERROR(__xludf.DUMMYFUNCTION("""COMPUTED_VALUE"""),"No")</f>
        <v>No</v>
      </c>
      <c r="AE8" s="5" t="str">
        <f ca="1">IFERROR(__xludf.DUMMYFUNCTION("""COMPUTED_VALUE"""),"No")</f>
        <v>No</v>
      </c>
      <c r="AF8" s="5" t="str">
        <f ca="1">IFERROR(__xludf.DUMMYFUNCTION("""COMPUTED_VALUE"""),"No")</f>
        <v>No</v>
      </c>
      <c r="AG8" s="5" t="str">
        <f ca="1">IFERROR(__xludf.DUMMYFUNCTION("""COMPUTED_VALUE"""),"No")</f>
        <v>No</v>
      </c>
      <c r="AH8" s="5" t="str">
        <f ca="1">IFERROR(__xludf.DUMMYFUNCTION("""COMPUTED_VALUE"""),"No")</f>
        <v>No</v>
      </c>
      <c r="AI8" s="5" t="str">
        <f ca="1">IFERROR(__xludf.DUMMYFUNCTION("""COMPUTED_VALUE"""),"No")</f>
        <v>No</v>
      </c>
      <c r="AJ8" s="5" t="str">
        <f ca="1">IFERROR(__xludf.DUMMYFUNCTION("""COMPUTED_VALUE"""),"No")</f>
        <v>No</v>
      </c>
    </row>
    <row r="9" spans="1:38" ht="13">
      <c r="A9" s="5" t="str">
        <f ca="1">IFERROR(__xludf.DUMMYFUNCTION("""COMPUTED_VALUE"""),"20230321TXTHD")</f>
        <v>20230321TXTHD</v>
      </c>
      <c r="B9" s="5">
        <f ca="1">IFERROR(__xludf.DUMMYFUNCTION("""COMPUTED_VALUE"""),3)</f>
        <v>3</v>
      </c>
      <c r="C9" s="5">
        <f ca="1">IFERROR(__xludf.DUMMYFUNCTION("""COMPUTED_VALUE"""),21)</f>
        <v>21</v>
      </c>
      <c r="D9" s="5">
        <f ca="1">IFERROR(__xludf.DUMMYFUNCTION("""COMPUTED_VALUE"""),2023)</f>
        <v>2023</v>
      </c>
      <c r="E9" s="8">
        <f ca="1">IFERROR(__xludf.DUMMYFUNCTION("""COMPUTED_VALUE"""),45006)</f>
        <v>45006</v>
      </c>
      <c r="F9" s="5" t="str">
        <f ca="1">IFERROR(__xludf.DUMMYFUNCTION("""COMPUTED_VALUE"""),"Thomas Jefferson High School")</f>
        <v>Thomas Jefferson High School</v>
      </c>
      <c r="G9" s="5">
        <f ca="1">IFERROR(__xludf.DUMMYFUNCTION("""COMPUTED_VALUE"""),0)</f>
        <v>0</v>
      </c>
      <c r="H9" s="5">
        <f ca="1">IFERROR(__xludf.DUMMYFUNCTION("""COMPUTED_VALUE"""),1)</f>
        <v>1</v>
      </c>
      <c r="I9" s="5">
        <f ca="1">IFERROR(__xludf.DUMMYFUNCTION("""COMPUTED_VALUE"""),1)</f>
        <v>1</v>
      </c>
      <c r="J9" s="5">
        <f ca="1">IFERROR(__xludf.DUMMYFUNCTION("""COMPUTED_VALUE"""),0)</f>
        <v>0</v>
      </c>
      <c r="K9" s="5" t="str">
        <f ca="1">IFERROR(__xludf.DUMMYFUNCTION("""COMPUTED_VALUE"""),"https://www.youtube.com/watch?v=GYRcSqXxol0
https://www.nbcdfw.com/news/local/arrest-made-in-thomas-jefferson-high-school-shooting/3219741/
https://www.fox4news.com/news/thomas-jefferson-hs-shooting-dallas-staff-help-victim
https://www.nbcdfw.com/news/loc"&amp;"al/student-wounded-in-shooting-outside-dallas-isd-school-tuesday/3219741/")</f>
        <v>https://www.youtube.com/watch?v=GYRcSqXxol0
https://www.nbcdfw.com/news/local/arrest-made-in-thomas-jefferson-high-school-shooting/3219741/
https://www.fox4news.com/news/thomas-jefferson-hs-shooting-dallas-staff-help-victim
https://www.nbcdfw.com/news/local/student-wounded-in-shooting-outside-dallas-isd-school-tuesday/3219741/</v>
      </c>
      <c r="L9" s="5">
        <f ca="1">IFERROR(__xludf.DUMMYFUNCTION("""COMPUTED_VALUE"""),30)</f>
        <v>30</v>
      </c>
      <c r="M9" s="5" t="str">
        <f ca="1">IFERROR(__xludf.DUMMYFUNCTION("""COMPUTED_VALUE"""),"Regional")</f>
        <v>Regional</v>
      </c>
      <c r="N9" s="5">
        <f ca="1">IFERROR(__xludf.DUMMYFUNCTION("""COMPUTED_VALUE"""),4)</f>
        <v>4</v>
      </c>
      <c r="O9" s="5" t="str">
        <f ca="1">IFERROR(__xludf.DUMMYFUNCTION("""COMPUTED_VALUE"""),"Spring")</f>
        <v>Spring</v>
      </c>
      <c r="P9" s="5" t="str">
        <f ca="1">IFERROR(__xludf.DUMMYFUNCTION("""COMPUTED_VALUE"""),"Dallas")</f>
        <v>Dallas</v>
      </c>
      <c r="Q9" s="5" t="str">
        <f ca="1">IFERROR(__xludf.DUMMYFUNCTION("""COMPUTED_VALUE"""),"TX")</f>
        <v>TX</v>
      </c>
      <c r="R9" s="5" t="str">
        <f ca="1">IFERROR(__xludf.DUMMYFUNCTION("""COMPUTED_VALUE"""),"High")</f>
        <v>High</v>
      </c>
      <c r="S9" s="5" t="str">
        <f ca="1">IFERROR(__xludf.DUMMYFUNCTION("""COMPUTED_VALUE"""),"Parking Lot")</f>
        <v>Parking Lot</v>
      </c>
      <c r="T9" s="5" t="str">
        <f ca="1">IFERROR(__xludf.DUMMYFUNCTION("""COMPUTED_VALUE"""),"Outside on School Property")</f>
        <v>Outside on School Property</v>
      </c>
      <c r="U9" s="5" t="str">
        <f ca="1">IFERROR(__xludf.DUMMYFUNCTION("""COMPUTED_VALUE"""),"Yes")</f>
        <v>Yes</v>
      </c>
      <c r="V9" s="5" t="str">
        <f ca="1">IFERROR(__xludf.DUMMYFUNCTION("""COMPUTED_VALUE"""),"Dismissal")</f>
        <v>Dismissal</v>
      </c>
      <c r="W9" s="10">
        <f ca="1">IFERROR(__xludf.DUMMYFUNCTION("""COMPUTED_VALUE"""),0.694444444444444)</f>
        <v>0.69444444444444398</v>
      </c>
      <c r="X9" s="5">
        <f ca="1">IFERROR(__xludf.DUMMYFUNCTION("""COMPUTED_VALUE"""),1)</f>
        <v>1</v>
      </c>
      <c r="Y9" s="5" t="str">
        <f ca="1">IFERROR(__xludf.DUMMYFUNCTION("""COMPUTED_VALUE"""),"Student shot in parking lot at dismissal")</f>
        <v>Student shot in parking lot at dismissal</v>
      </c>
      <c r="Z9" s="5" t="str">
        <f ca="1">IFERROR(__xludf.DUMMYFUNCTION("""COMPUTED_VALUE"""),"A Dallas ISD student was wounded in a shooting Tuesday afternoon at Thomas Jefferson High School in the Dallas Independent School District, authorities say. Shooting happened during a fight between 3 students. Dallas Police confirmed officers were called "&amp;"to a report of a shooting at 4:40 p.m. at the campus, located along the 4000 block of Walnut Hill Lane in Northwest Dallas. Dallas ISD spokeswoman Robyn Harris said a student was shot in the arm and was hospitalized with injuries that were not life-threat"&amp;"ening. The shooting took place about 10 minutes after students had been dismissed for the day. Shooter is also a student who fled.")</f>
        <v>A Dallas ISD student was wounded in a shooting Tuesday afternoon at Thomas Jefferson High School in the Dallas Independent School District, authorities say. Shooting happened during a fight between 3 students. Dallas Police confirmed officers were called to a report of a shooting at 4:40 p.m. at the campus, located along the 4000 block of Walnut Hill Lane in Northwest Dallas. Dallas ISD spokeswoman Robyn Harris said a student was shot in the arm and was hospitalized with injuries that were not life-threatening. The shooting took place about 10 minutes after students had been dismissed for the day. Shooter is also a student who fled.</v>
      </c>
      <c r="AA9" s="5" t="str">
        <f ca="1">IFERROR(__xludf.DUMMYFUNCTION("""COMPUTED_VALUE"""),"Escalation of Dispute")</f>
        <v>Escalation of Dispute</v>
      </c>
      <c r="AB9" s="5" t="str">
        <f ca="1">IFERROR(__xludf.DUMMYFUNCTION("""COMPUTED_VALUE"""),"Victims Targeted")</f>
        <v>Victims Targeted</v>
      </c>
      <c r="AC9" s="5" t="str">
        <f ca="1">IFERROR(__xludf.DUMMYFUNCTION("""COMPUTED_VALUE"""),"No")</f>
        <v>No</v>
      </c>
      <c r="AD9" s="5" t="str">
        <f ca="1">IFERROR(__xludf.DUMMYFUNCTION("""COMPUTED_VALUE"""),"No")</f>
        <v>No</v>
      </c>
      <c r="AE9" s="5" t="str">
        <f ca="1">IFERROR(__xludf.DUMMYFUNCTION("""COMPUTED_VALUE"""),"No")</f>
        <v>No</v>
      </c>
      <c r="AF9" s="5" t="str">
        <f ca="1">IFERROR(__xludf.DUMMYFUNCTION("""COMPUTED_VALUE"""),"No")</f>
        <v>No</v>
      </c>
      <c r="AG9" s="5"/>
      <c r="AH9" s="5" t="str">
        <f ca="1">IFERROR(__xludf.DUMMYFUNCTION("""COMPUTED_VALUE"""),"No")</f>
        <v>No</v>
      </c>
      <c r="AI9" s="5"/>
      <c r="AJ9" s="5" t="str">
        <f ca="1">IFERROR(__xludf.DUMMYFUNCTION("""COMPUTED_VALUE"""),"No")</f>
        <v>No</v>
      </c>
    </row>
    <row r="10" spans="1:38" ht="13">
      <c r="A10" s="5" t="str">
        <f ca="1">IFERROR(__xludf.DUMMYFUNCTION("""COMPUTED_VALUE"""),"20230320TXLAA")</f>
        <v>20230320TXLAA</v>
      </c>
      <c r="B10" s="5">
        <f ca="1">IFERROR(__xludf.DUMMYFUNCTION("""COMPUTED_VALUE"""),3)</f>
        <v>3</v>
      </c>
      <c r="C10" s="5">
        <f ca="1">IFERROR(__xludf.DUMMYFUNCTION("""COMPUTED_VALUE"""),20)</f>
        <v>20</v>
      </c>
      <c r="D10" s="5">
        <f ca="1">IFERROR(__xludf.DUMMYFUNCTION("""COMPUTED_VALUE"""),2023)</f>
        <v>2023</v>
      </c>
      <c r="E10" s="8">
        <f ca="1">IFERROR(__xludf.DUMMYFUNCTION("""COMPUTED_VALUE"""),45005)</f>
        <v>45005</v>
      </c>
      <c r="F10" s="5" t="str">
        <f ca="1">IFERROR(__xludf.DUMMYFUNCTION("""COMPUTED_VALUE"""),"Lamar High School")</f>
        <v>Lamar High School</v>
      </c>
      <c r="G10" s="5">
        <f ca="1">IFERROR(__xludf.DUMMYFUNCTION("""COMPUTED_VALUE"""),1)</f>
        <v>1</v>
      </c>
      <c r="H10" s="5">
        <f ca="1">IFERROR(__xludf.DUMMYFUNCTION("""COMPUTED_VALUE"""),1)</f>
        <v>1</v>
      </c>
      <c r="I10" s="5">
        <f ca="1">IFERROR(__xludf.DUMMYFUNCTION("""COMPUTED_VALUE"""),2)</f>
        <v>2</v>
      </c>
      <c r="J10" s="5">
        <f ca="1">IFERROR(__xludf.DUMMYFUNCTION("""COMPUTED_VALUE"""),0)</f>
        <v>0</v>
      </c>
      <c r="K10" s="5" t="str">
        <f ca="1">IFERROR(__xludf.DUMMYFUNCTION("""COMPUTED_VALUE"""),"https://www.arlingtontx.gov/news/my_arlington_t_x/news_stories/lamar_high_school
https://www.wfaa.com/article/news/local/16-year-old-killed-shooting-lamar-high-school-arlington-identified-suspect-attends-hearing/287-9dc605e0-64c3-42ec-836d-792b7d04fdfd
ht"&amp;"tps://www.nbcdfw.com/news/local/lamar-high-school-on-lockdown-due-to-on-campus-shooting/3218267/
https://www.cnn.com/2023/03/20/us/lamar-high-school-shooting-arlington-texas/index.html")</f>
        <v>https://www.arlingtontx.gov/news/my_arlington_t_x/news_stories/lamar_high_school
https://www.wfaa.com/article/news/local/16-year-old-killed-shooting-lamar-high-school-arlington-identified-suspect-attends-hearing/287-9dc605e0-64c3-42ec-836d-792b7d04fdfd
https://www.nbcdfw.com/news/local/lamar-high-school-on-lockdown-due-to-on-campus-shooting/3218267/
https://www.cnn.com/2023/03/20/us/lamar-high-school-shooting-arlington-texas/index.html</v>
      </c>
      <c r="L10" s="5">
        <f ca="1">IFERROR(__xludf.DUMMYFUNCTION("""COMPUTED_VALUE"""),100)</f>
        <v>100</v>
      </c>
      <c r="M10" s="5" t="str">
        <f ca="1">IFERROR(__xludf.DUMMYFUNCTION("""COMPUTED_VALUE"""),"National")</f>
        <v>National</v>
      </c>
      <c r="N10" s="5">
        <f ca="1">IFERROR(__xludf.DUMMYFUNCTION("""COMPUTED_VALUE"""),4)</f>
        <v>4</v>
      </c>
      <c r="O10" s="5" t="str">
        <f ca="1">IFERROR(__xludf.DUMMYFUNCTION("""COMPUTED_VALUE"""),"Spring")</f>
        <v>Spring</v>
      </c>
      <c r="P10" s="5" t="str">
        <f ca="1">IFERROR(__xludf.DUMMYFUNCTION("""COMPUTED_VALUE"""),"Arlington")</f>
        <v>Arlington</v>
      </c>
      <c r="Q10" s="5" t="str">
        <f ca="1">IFERROR(__xludf.DUMMYFUNCTION("""COMPUTED_VALUE"""),"TX")</f>
        <v>TX</v>
      </c>
      <c r="R10" s="5" t="str">
        <f ca="1">IFERROR(__xludf.DUMMYFUNCTION("""COMPUTED_VALUE"""),"High")</f>
        <v>High</v>
      </c>
      <c r="S10" s="5" t="str">
        <f ca="1">IFERROR(__xludf.DUMMYFUNCTION("""COMPUTED_VALUE"""),"Front of School")</f>
        <v>Front of School</v>
      </c>
      <c r="T10" s="5" t="str">
        <f ca="1">IFERROR(__xludf.DUMMYFUNCTION("""COMPUTED_VALUE"""),"Outside on School Property")</f>
        <v>Outside on School Property</v>
      </c>
      <c r="U10" s="5" t="str">
        <f ca="1">IFERROR(__xludf.DUMMYFUNCTION("""COMPUTED_VALUE"""),"Yes")</f>
        <v>Yes</v>
      </c>
      <c r="V10" s="5" t="str">
        <f ca="1">IFERROR(__xludf.DUMMYFUNCTION("""COMPUTED_VALUE"""),"School Start")</f>
        <v>School Start</v>
      </c>
      <c r="W10" s="10">
        <f ca="1">IFERROR(__xludf.DUMMYFUNCTION("""COMPUTED_VALUE"""),0.288888888888888)</f>
        <v>0.28888888888888797</v>
      </c>
      <c r="X10" s="5">
        <f ca="1">IFERROR(__xludf.DUMMYFUNCTION("""COMPUTED_VALUE"""),1)</f>
        <v>1</v>
      </c>
      <c r="Y10" s="5" t="str">
        <f ca="1">IFERROR(__xludf.DUMMYFUNCTION("""COMPUTED_VALUE"""),"Two students shot outside of school before morning classes")</f>
        <v>Two students shot outside of school before morning classes</v>
      </c>
      <c r="Z10" s="5" t="str">
        <f ca="1">IFERROR(__xludf.DUMMYFUNCTION("""COMPUTED_VALUE"""),"Two students were injured after a shooting on the Lamar High School campus in Arlington Monday morning, and a suspect is in custody, according to police and district officials. The shooting happened on campus outside a school building, the district said.")</f>
        <v>Two students were injured after a shooting on the Lamar High School campus in Arlington Monday morning, and a suspect is in custody, according to police and district officials. The shooting happened on campus outside a school building, the district said.</v>
      </c>
      <c r="AA10" s="5"/>
      <c r="AB10" s="5"/>
      <c r="AC10" s="5"/>
      <c r="AD10" s="5" t="str">
        <f ca="1">IFERROR(__xludf.DUMMYFUNCTION("""COMPUTED_VALUE"""),"No")</f>
        <v>No</v>
      </c>
      <c r="AE10" s="5" t="str">
        <f ca="1">IFERROR(__xludf.DUMMYFUNCTION("""COMPUTED_VALUE"""),"No")</f>
        <v>No</v>
      </c>
      <c r="AF10" s="5" t="str">
        <f ca="1">IFERROR(__xludf.DUMMYFUNCTION("""COMPUTED_VALUE"""),"No")</f>
        <v>No</v>
      </c>
      <c r="AG10" s="5"/>
      <c r="AH10" s="5"/>
      <c r="AI10" s="5"/>
      <c r="AJ10" s="5" t="str">
        <f ca="1">IFERROR(__xludf.DUMMYFUNCTION("""COMPUTED_VALUE"""),"No")</f>
        <v>No</v>
      </c>
    </row>
    <row r="11" spans="1:38" ht="13">
      <c r="A11" s="5" t="str">
        <f ca="1">IFERROR(__xludf.DUMMYFUNCTION("""COMPUTED_VALUE"""),"20230316NCLOD")</f>
        <v>20230316NCLOD</v>
      </c>
      <c r="B11" s="5">
        <f ca="1">IFERROR(__xludf.DUMMYFUNCTION("""COMPUTED_VALUE"""),3)</f>
        <v>3</v>
      </c>
      <c r="C11" s="5">
        <f ca="1">IFERROR(__xludf.DUMMYFUNCTION("""COMPUTED_VALUE"""),16)</f>
        <v>16</v>
      </c>
      <c r="D11" s="5">
        <f ca="1">IFERROR(__xludf.DUMMYFUNCTION("""COMPUTED_VALUE"""),2023)</f>
        <v>2023</v>
      </c>
      <c r="E11" s="8">
        <f ca="1">IFERROR(__xludf.DUMMYFUNCTION("""COMPUTED_VALUE"""),45001)</f>
        <v>45001</v>
      </c>
      <c r="F11" s="5" t="str">
        <f ca="1">IFERROR(__xludf.DUMMYFUNCTION("""COMPUTED_VALUE"""),"Lowe's Grove Middle School")</f>
        <v>Lowe's Grove Middle School</v>
      </c>
      <c r="G11" s="5">
        <f ca="1">IFERROR(__xludf.DUMMYFUNCTION("""COMPUTED_VALUE"""),0)</f>
        <v>0</v>
      </c>
      <c r="H11" s="5">
        <f ca="1">IFERROR(__xludf.DUMMYFUNCTION("""COMPUTED_VALUE"""),0)</f>
        <v>0</v>
      </c>
      <c r="I11" s="5">
        <f ca="1">IFERROR(__xludf.DUMMYFUNCTION("""COMPUTED_VALUE"""),0)</f>
        <v>0</v>
      </c>
      <c r="J11" s="5">
        <f ca="1">IFERROR(__xludf.DUMMYFUNCTION("""COMPUTED_VALUE"""),0)</f>
        <v>0</v>
      </c>
      <c r="K11" s="5" t="str">
        <f ca="1">IFERROR(__xludf.DUMMYFUNCTION("""COMPUTED_VALUE"""),"https://abc11.com/crime-gun-durham-school-campuses-lowes-grove-middle-hillside-high/12964542/
https://www.wral.com/students-arrested-after-gun-incidents-at-2-durham-schools/20767484/")</f>
        <v>https://abc11.com/crime-gun-durham-school-campuses-lowes-grove-middle-hillside-high/12964542/
https://www.wral.com/students-arrested-after-gun-incidents-at-2-durham-schools/20767484/</v>
      </c>
      <c r="L11" s="5">
        <f ca="1">IFERROR(__xludf.DUMMYFUNCTION("""COMPUTED_VALUE"""),2)</f>
        <v>2</v>
      </c>
      <c r="M11" s="5" t="str">
        <f ca="1">IFERROR(__xludf.DUMMYFUNCTION("""COMPUTED_VALUE"""),"Local")</f>
        <v>Local</v>
      </c>
      <c r="N11" s="5">
        <f ca="1">IFERROR(__xludf.DUMMYFUNCTION("""COMPUTED_VALUE"""),4)</f>
        <v>4</v>
      </c>
      <c r="O11" s="5" t="str">
        <f ca="1">IFERROR(__xludf.DUMMYFUNCTION("""COMPUTED_VALUE"""),"Spring")</f>
        <v>Spring</v>
      </c>
      <c r="P11" s="5" t="str">
        <f ca="1">IFERROR(__xludf.DUMMYFUNCTION("""COMPUTED_VALUE"""),"Durham")</f>
        <v>Durham</v>
      </c>
      <c r="Q11" s="5" t="str">
        <f ca="1">IFERROR(__xludf.DUMMYFUNCTION("""COMPUTED_VALUE"""),"NC")</f>
        <v>NC</v>
      </c>
      <c r="R11" s="5" t="str">
        <f ca="1">IFERROR(__xludf.DUMMYFUNCTION("""COMPUTED_VALUE"""),"Middle")</f>
        <v>Middle</v>
      </c>
      <c r="S11" s="5" t="str">
        <f ca="1">IFERROR(__xludf.DUMMYFUNCTION("""COMPUTED_VALUE"""),"Inside School Building")</f>
        <v>Inside School Building</v>
      </c>
      <c r="T11" s="5" t="str">
        <f ca="1">IFERROR(__xludf.DUMMYFUNCTION("""COMPUTED_VALUE"""),"Inside School Building")</f>
        <v>Inside School Building</v>
      </c>
      <c r="U11" s="5" t="str">
        <f ca="1">IFERROR(__xludf.DUMMYFUNCTION("""COMPUTED_VALUE"""),"Yes")</f>
        <v>Yes</v>
      </c>
      <c r="V11" s="5" t="str">
        <f ca="1">IFERROR(__xludf.DUMMYFUNCTION("""COMPUTED_VALUE"""),"Afternoon Classes")</f>
        <v>Afternoon Classes</v>
      </c>
      <c r="W11" s="10">
        <f ca="1">IFERROR(__xludf.DUMMYFUNCTION("""COMPUTED_VALUE"""),0.583333333333333)</f>
        <v>0.58333333333333304</v>
      </c>
      <c r="X11" s="5">
        <f ca="1">IFERROR(__xludf.DUMMYFUNCTION("""COMPUTED_VALUE"""),1)</f>
        <v>1</v>
      </c>
      <c r="Y11" s="5" t="str">
        <f ca="1">IFERROR(__xludf.DUMMYFUNCTION("""COMPUTED_VALUE"""),"Student robbed classmate at gunpoint, arrested by SRO")</f>
        <v>Student robbed classmate at gunpoint, arrested by SRO</v>
      </c>
      <c r="Z11" s="5" t="str">
        <f ca="1">IFERROR(__xludf.DUMMYFUNCTION("""COMPUTED_VALUE"""),"According to the Durham County Sheriff's Office, a gun was found on a 14-year-old who allegedly used it to rob another student. The investigation started just before 2:00 p.m. after the school resource officer received a tip about a possible armed robbery"&amp;" of another student on campus. The SRO found the student who still had the handgun with an extended magazine and items taken from the student who was robbed.")</f>
        <v>According to the Durham County Sheriff's Office, a gun was found on a 14-year-old who allegedly used it to rob another student. The investigation started just before 2:00 p.m. after the school resource officer received a tip about a possible armed robbery of another student on campus. The SRO found the student who still had the handgun with an extended magazine and items taken from the student who was robbed.</v>
      </c>
      <c r="AA11" s="5" t="str">
        <f ca="1">IFERROR(__xludf.DUMMYFUNCTION("""COMPUTED_VALUE"""),"Illegal Activity")</f>
        <v>Illegal Activity</v>
      </c>
      <c r="AB11" s="5" t="str">
        <f ca="1">IFERROR(__xludf.DUMMYFUNCTION("""COMPUTED_VALUE"""),"Victims Targeted")</f>
        <v>Victims Targeted</v>
      </c>
      <c r="AC11" s="5" t="str">
        <f ca="1">IFERROR(__xludf.DUMMYFUNCTION("""COMPUTED_VALUE"""),"No")</f>
        <v>No</v>
      </c>
      <c r="AD11" s="5" t="str">
        <f ca="1">IFERROR(__xludf.DUMMYFUNCTION("""COMPUTED_VALUE"""),"No")</f>
        <v>No</v>
      </c>
      <c r="AE11" s="5" t="str">
        <f ca="1">IFERROR(__xludf.DUMMYFUNCTION("""COMPUTED_VALUE"""),"No")</f>
        <v>No</v>
      </c>
      <c r="AF11" s="5" t="str">
        <f ca="1">IFERROR(__xludf.DUMMYFUNCTION("""COMPUTED_VALUE"""),"No")</f>
        <v>No</v>
      </c>
      <c r="AG11" s="5" t="str">
        <f ca="1">IFERROR(__xludf.DUMMYFUNCTION("""COMPUTED_VALUE"""),"No")</f>
        <v>No</v>
      </c>
      <c r="AH11" s="5" t="str">
        <f ca="1">IFERROR(__xludf.DUMMYFUNCTION("""COMPUTED_VALUE"""),"No")</f>
        <v>No</v>
      </c>
      <c r="AI11" s="5" t="str">
        <f ca="1">IFERROR(__xludf.DUMMYFUNCTION("""COMPUTED_VALUE"""),"No")</f>
        <v>No</v>
      </c>
      <c r="AJ11" s="5" t="str">
        <f ca="1">IFERROR(__xludf.DUMMYFUNCTION("""COMPUTED_VALUE"""),"No")</f>
        <v>No</v>
      </c>
    </row>
    <row r="12" spans="1:38" ht="13">
      <c r="A12" s="5" t="str">
        <f ca="1">IFERROR(__xludf.DUMMYFUNCTION("""COMPUTED_VALUE"""),"20230316DCCOW")</f>
        <v>20230316DCCOW</v>
      </c>
      <c r="B12" s="5">
        <f ca="1">IFERROR(__xludf.DUMMYFUNCTION("""COMPUTED_VALUE"""),3)</f>
        <v>3</v>
      </c>
      <c r="C12" s="5">
        <f ca="1">IFERROR(__xludf.DUMMYFUNCTION("""COMPUTED_VALUE"""),16)</f>
        <v>16</v>
      </c>
      <c r="D12" s="5">
        <f ca="1">IFERROR(__xludf.DUMMYFUNCTION("""COMPUTED_VALUE"""),2023)</f>
        <v>2023</v>
      </c>
      <c r="E12" s="8">
        <f ca="1">IFERROR(__xludf.DUMMYFUNCTION("""COMPUTED_VALUE"""),45001)</f>
        <v>45001</v>
      </c>
      <c r="F12" s="5" t="str">
        <f ca="1">IFERROR(__xludf.DUMMYFUNCTION("""COMPUTED_VALUE"""),"Coolidge High School")</f>
        <v>Coolidge High School</v>
      </c>
      <c r="G12" s="5">
        <f ca="1">IFERROR(__xludf.DUMMYFUNCTION("""COMPUTED_VALUE"""),0)</f>
        <v>0</v>
      </c>
      <c r="H12" s="5">
        <f ca="1">IFERROR(__xludf.DUMMYFUNCTION("""COMPUTED_VALUE"""),0)</f>
        <v>0</v>
      </c>
      <c r="I12" s="5">
        <f ca="1">IFERROR(__xludf.DUMMYFUNCTION("""COMPUTED_VALUE"""),0)</f>
        <v>0</v>
      </c>
      <c r="J12" s="5">
        <f ca="1">IFERROR(__xludf.DUMMYFUNCTION("""COMPUTED_VALUE"""),0)</f>
        <v>0</v>
      </c>
      <c r="K12" s="5" t="str">
        <f ca="1">IFERROR(__xludf.DUMMYFUNCTION("""COMPUTED_VALUE"""),"https://www.fox5dc.com/news/shell-casings-damage-to-the-building-after-reports-of-shots-fired-near-coolidge-high-school-in-dc
https://www.wusa9.com/article/news/crime/shots-fired-near-coolidge-high-school-investigation/65-2c7dfb85-bc83-433b-9703-dd854795b"&amp;"757")</f>
        <v>https://www.fox5dc.com/news/shell-casings-damage-to-the-building-after-reports-of-shots-fired-near-coolidge-high-school-in-dc
https://www.wusa9.com/article/news/crime/shots-fired-near-coolidge-high-school-investigation/65-2c7dfb85-bc83-433b-9703-dd854795b757</v>
      </c>
      <c r="L12" s="5">
        <f ca="1">IFERROR(__xludf.DUMMYFUNCTION("""COMPUTED_VALUE"""),5)</f>
        <v>5</v>
      </c>
      <c r="M12" s="5" t="str">
        <f ca="1">IFERROR(__xludf.DUMMYFUNCTION("""COMPUTED_VALUE"""),"Local")</f>
        <v>Local</v>
      </c>
      <c r="N12" s="5">
        <f ca="1">IFERROR(__xludf.DUMMYFUNCTION("""COMPUTED_VALUE"""),4)</f>
        <v>4</v>
      </c>
      <c r="O12" s="5" t="str">
        <f ca="1">IFERROR(__xludf.DUMMYFUNCTION("""COMPUTED_VALUE"""),"Spring")</f>
        <v>Spring</v>
      </c>
      <c r="P12" s="5" t="str">
        <f ca="1">IFERROR(__xludf.DUMMYFUNCTION("""COMPUTED_VALUE"""),"Washington")</f>
        <v>Washington</v>
      </c>
      <c r="Q12" s="5" t="str">
        <f ca="1">IFERROR(__xludf.DUMMYFUNCTION("""COMPUTED_VALUE"""),"DC")</f>
        <v>DC</v>
      </c>
      <c r="R12" s="5" t="str">
        <f ca="1">IFERROR(__xludf.DUMMYFUNCTION("""COMPUTED_VALUE"""),"High")</f>
        <v>High</v>
      </c>
      <c r="S12" s="5" t="str">
        <f ca="1">IFERROR(__xludf.DUMMYFUNCTION("""COMPUTED_VALUE"""),"Front of School")</f>
        <v>Front of School</v>
      </c>
      <c r="T12" s="5" t="str">
        <f ca="1">IFERROR(__xludf.DUMMYFUNCTION("""COMPUTED_VALUE"""),"Outside on School Property")</f>
        <v>Outside on School Property</v>
      </c>
      <c r="U12" s="5" t="str">
        <f ca="1">IFERROR(__xludf.DUMMYFUNCTION("""COMPUTED_VALUE"""),"Yes")</f>
        <v>Yes</v>
      </c>
      <c r="V12" s="5" t="str">
        <f ca="1">IFERROR(__xludf.DUMMYFUNCTION("""COMPUTED_VALUE"""),"Morning Classes")</f>
        <v>Morning Classes</v>
      </c>
      <c r="W12" s="10">
        <f ca="1">IFERROR(__xludf.DUMMYFUNCTION("""COMPUTED_VALUE"""),0.416666666666666)</f>
        <v>0.41666666666666602</v>
      </c>
      <c r="X12" s="5">
        <f ca="1">IFERROR(__xludf.DUMMYFUNCTION("""COMPUTED_VALUE"""),1)</f>
        <v>1</v>
      </c>
      <c r="Y12" s="5" t="str">
        <f ca="1">IFERROR(__xludf.DUMMYFUNCTION("""COMPUTED_VALUE"""),"Multiple shots fired during robbery at front door of school during morning classes, bullet struck the school")</f>
        <v>Multiple shots fired during robbery at front door of school during morning classes, bullet struck the school</v>
      </c>
      <c r="Z12" s="5" t="str">
        <f ca="1">IFERROR(__xludf.DUMMYFUNCTION("""COMPUTED_VALUE"""),"Student was robbed at gunpoint near the front door of the school. The gun went off during the robbery and struck the school building. ""The [gunshot] was not directed at the school or the victim,” Heraud said. “The suspect may have negligently discharged "&amp;"the firearm as he was returning back to the vehicle."" School went on lockdown and shooter fled. Police recovered multiple shell casings and building was damaged.")</f>
        <v>Student was robbed at gunpoint near the front door of the school. The gun went off during the robbery and struck the school building. "The [gunshot] was not directed at the school or the victim,” Heraud said. “The suspect may have negligently discharged the firearm as he was returning back to the vehicle." School went on lockdown and shooter fled. Police recovered multiple shell casings and building was damaged.</v>
      </c>
      <c r="AA12" s="5" t="str">
        <f ca="1">IFERROR(__xludf.DUMMYFUNCTION("""COMPUTED_VALUE"""),"Illegal Activity")</f>
        <v>Illegal Activity</v>
      </c>
      <c r="AB12" s="5" t="str">
        <f ca="1">IFERROR(__xludf.DUMMYFUNCTION("""COMPUTED_VALUE"""),"Victims Targeted")</f>
        <v>Victims Targeted</v>
      </c>
      <c r="AC12" s="5" t="str">
        <f ca="1">IFERROR(__xludf.DUMMYFUNCTION("""COMPUTED_VALUE"""),"Yes")</f>
        <v>Yes</v>
      </c>
      <c r="AD12" s="5" t="str">
        <f ca="1">IFERROR(__xludf.DUMMYFUNCTION("""COMPUTED_VALUE"""),"No")</f>
        <v>No</v>
      </c>
      <c r="AE12" s="5" t="str">
        <f ca="1">IFERROR(__xludf.DUMMYFUNCTION("""COMPUTED_VALUE"""),"No")</f>
        <v>No</v>
      </c>
      <c r="AF12" s="5" t="str">
        <f ca="1">IFERROR(__xludf.DUMMYFUNCTION("""COMPUTED_VALUE"""),"No")</f>
        <v>No</v>
      </c>
      <c r="AG12" s="5" t="str">
        <f ca="1">IFERROR(__xludf.DUMMYFUNCTION("""COMPUTED_VALUE"""),"No")</f>
        <v>No</v>
      </c>
      <c r="AH12" s="5" t="str">
        <f ca="1">IFERROR(__xludf.DUMMYFUNCTION("""COMPUTED_VALUE"""),"No")</f>
        <v>No</v>
      </c>
      <c r="AI12" s="5" t="str">
        <f ca="1">IFERROR(__xludf.DUMMYFUNCTION("""COMPUTED_VALUE"""),"No")</f>
        <v>No</v>
      </c>
      <c r="AJ12" s="5" t="str">
        <f ca="1">IFERROR(__xludf.DUMMYFUNCTION("""COMPUTED_VALUE"""),"No")</f>
        <v>No</v>
      </c>
    </row>
    <row r="13" spans="1:38" ht="13">
      <c r="A13" s="5" t="str">
        <f ca="1">IFERROR(__xludf.DUMMYFUNCTION("""COMPUTED_VALUE"""),"20230316NYPSB")</f>
        <v>20230316NYPSB</v>
      </c>
      <c r="B13" s="5">
        <f ca="1">IFERROR(__xludf.DUMMYFUNCTION("""COMPUTED_VALUE"""),3)</f>
        <v>3</v>
      </c>
      <c r="C13" s="5">
        <f ca="1">IFERROR(__xludf.DUMMYFUNCTION("""COMPUTED_VALUE"""),16)</f>
        <v>16</v>
      </c>
      <c r="D13" s="5">
        <f ca="1">IFERROR(__xludf.DUMMYFUNCTION("""COMPUTED_VALUE"""),2023)</f>
        <v>2023</v>
      </c>
      <c r="E13" s="8">
        <f ca="1">IFERROR(__xludf.DUMMYFUNCTION("""COMPUTED_VALUE"""),45001)</f>
        <v>45001</v>
      </c>
      <c r="F13" s="5" t="str">
        <f ca="1">IFERROR(__xludf.DUMMYFUNCTION("""COMPUTED_VALUE"""),"PS 49 Willis Avenue School")</f>
        <v>PS 49 Willis Avenue School</v>
      </c>
      <c r="G13" s="5">
        <f ca="1">IFERROR(__xludf.DUMMYFUNCTION("""COMPUTED_VALUE"""),0)</f>
        <v>0</v>
      </c>
      <c r="H13" s="5">
        <f ca="1">IFERROR(__xludf.DUMMYFUNCTION("""COMPUTED_VALUE"""),1)</f>
        <v>1</v>
      </c>
      <c r="I13" s="5">
        <f ca="1">IFERROR(__xludf.DUMMYFUNCTION("""COMPUTED_VALUE"""),1)</f>
        <v>1</v>
      </c>
      <c r="J13" s="5">
        <f ca="1">IFERROR(__xludf.DUMMYFUNCTION("""COMPUTED_VALUE"""),0)</f>
        <v>0</v>
      </c>
      <c r="K13" s="9" t="str">
        <f ca="1">IFERROR(__xludf.DUMMYFUNCTION("""COMPUTED_VALUE"""),"https://abc7ny.com/nyc-crime-bronx-16-year-old-shot-mott-haven/12964197/")</f>
        <v>https://abc7ny.com/nyc-crime-bronx-16-year-old-shot-mott-haven/12964197/</v>
      </c>
      <c r="L13" s="5">
        <f ca="1">IFERROR(__xludf.DUMMYFUNCTION("""COMPUTED_VALUE"""),4)</f>
        <v>4</v>
      </c>
      <c r="M13" s="5" t="str">
        <f ca="1">IFERROR(__xludf.DUMMYFUNCTION("""COMPUTED_VALUE"""),"Local")</f>
        <v>Local</v>
      </c>
      <c r="N13" s="5">
        <f ca="1">IFERROR(__xludf.DUMMYFUNCTION("""COMPUTED_VALUE"""),4)</f>
        <v>4</v>
      </c>
      <c r="O13" s="5" t="str">
        <f ca="1">IFERROR(__xludf.DUMMYFUNCTION("""COMPUTED_VALUE"""),"Spring")</f>
        <v>Spring</v>
      </c>
      <c r="P13" s="5" t="str">
        <f ca="1">IFERROR(__xludf.DUMMYFUNCTION("""COMPUTED_VALUE"""),"Bronx")</f>
        <v>Bronx</v>
      </c>
      <c r="Q13" s="5" t="str">
        <f ca="1">IFERROR(__xludf.DUMMYFUNCTION("""COMPUTED_VALUE"""),"NY")</f>
        <v>NY</v>
      </c>
      <c r="R13" s="5" t="str">
        <f ca="1">IFERROR(__xludf.DUMMYFUNCTION("""COMPUTED_VALUE"""),"Elementary")</f>
        <v>Elementary</v>
      </c>
      <c r="S13" s="5" t="str">
        <f ca="1">IFERROR(__xludf.DUMMYFUNCTION("""COMPUTED_VALUE"""),"Basketball Court")</f>
        <v>Basketball Court</v>
      </c>
      <c r="T13" s="5" t="str">
        <f ca="1">IFERROR(__xludf.DUMMYFUNCTION("""COMPUTED_VALUE"""),"Outside on School Property")</f>
        <v>Outside on School Property</v>
      </c>
      <c r="U13" s="5" t="str">
        <f ca="1">IFERROR(__xludf.DUMMYFUNCTION("""COMPUTED_VALUE"""),"No")</f>
        <v>No</v>
      </c>
      <c r="V13" s="5" t="str">
        <f ca="1">IFERROR(__xludf.DUMMYFUNCTION("""COMPUTED_VALUE"""),"After School")</f>
        <v>After School</v>
      </c>
      <c r="W13" s="10">
        <f ca="1">IFERROR(__xludf.DUMMYFUNCTION("""COMPUTED_VALUE"""),0.6875)</f>
        <v>0.6875</v>
      </c>
      <c r="X13" s="5">
        <f ca="1">IFERROR(__xludf.DUMMYFUNCTION("""COMPUTED_VALUE"""),1)</f>
        <v>1</v>
      </c>
      <c r="Y13" s="5" t="str">
        <f ca="1">IFERROR(__xludf.DUMMYFUNCTION("""COMPUTED_VALUE"""),"Teen shot in parking lot behind school near the playground")</f>
        <v>Teen shot in parking lot behind school near the playground</v>
      </c>
      <c r="Z13" s="5" t="str">
        <f ca="1">IFERROR(__xludf.DUMMYFUNCTION("""COMPUTED_VALUE"""),"Two male teens shot a teen victim in the parking lot behind the school. Children were on the playground near the scene.")</f>
        <v>Two male teens shot a teen victim in the parking lot behind the school. Children were on the playground near the scene.</v>
      </c>
      <c r="AA13" s="5" t="str">
        <f ca="1">IFERROR(__xludf.DUMMYFUNCTION("""COMPUTED_VALUE"""),"Escalation of Dispute")</f>
        <v>Escalation of Dispute</v>
      </c>
      <c r="AB13" s="5" t="str">
        <f ca="1">IFERROR(__xludf.DUMMYFUNCTION("""COMPUTED_VALUE"""),"Victims Targeted")</f>
        <v>Victims Targeted</v>
      </c>
      <c r="AC13" s="5" t="str">
        <f ca="1">IFERROR(__xludf.DUMMYFUNCTION("""COMPUTED_VALUE"""),"Yes")</f>
        <v>Yes</v>
      </c>
      <c r="AD13" s="5" t="str">
        <f ca="1">IFERROR(__xludf.DUMMYFUNCTION("""COMPUTED_VALUE"""),"No")</f>
        <v>No</v>
      </c>
      <c r="AE13" s="5" t="str">
        <f ca="1">IFERROR(__xludf.DUMMYFUNCTION("""COMPUTED_VALUE"""),"No")</f>
        <v>No</v>
      </c>
      <c r="AF13" s="5" t="str">
        <f ca="1">IFERROR(__xludf.DUMMYFUNCTION("""COMPUTED_VALUE"""),"No")</f>
        <v>No</v>
      </c>
      <c r="AG13" s="5" t="str">
        <f ca="1">IFERROR(__xludf.DUMMYFUNCTION("""COMPUTED_VALUE"""),"No")</f>
        <v>No</v>
      </c>
      <c r="AH13" s="5" t="str">
        <f ca="1">IFERROR(__xludf.DUMMYFUNCTION("""COMPUTED_VALUE"""),"No")</f>
        <v>No</v>
      </c>
      <c r="AI13" s="5"/>
      <c r="AJ13" s="5" t="str">
        <f ca="1">IFERROR(__xludf.DUMMYFUNCTION("""COMPUTED_VALUE"""),"No")</f>
        <v>No</v>
      </c>
    </row>
    <row r="14" spans="1:38" ht="13">
      <c r="A14" s="5" t="str">
        <f ca="1">IFERROR(__xludf.DUMMYFUNCTION("""COMPUTED_VALUE"""),"20230315COINB")</f>
        <v>20230315COINB</v>
      </c>
      <c r="B14" s="5">
        <f ca="1">IFERROR(__xludf.DUMMYFUNCTION("""COMPUTED_VALUE"""),3)</f>
        <v>3</v>
      </c>
      <c r="C14" s="5">
        <f ca="1">IFERROR(__xludf.DUMMYFUNCTION("""COMPUTED_VALUE"""),15)</f>
        <v>15</v>
      </c>
      <c r="D14" s="5">
        <f ca="1">IFERROR(__xludf.DUMMYFUNCTION("""COMPUTED_VALUE"""),2023)</f>
        <v>2023</v>
      </c>
      <c r="E14" s="8">
        <f ca="1">IFERROR(__xludf.DUMMYFUNCTION("""COMPUTED_VALUE"""),45000)</f>
        <v>45000</v>
      </c>
      <c r="F14" s="5" t="str">
        <f ca="1">IFERROR(__xludf.DUMMYFUNCTION("""COMPUTED_VALUE"""),"Innovation and Options Charter School")</f>
        <v>Innovation and Options Charter School</v>
      </c>
      <c r="G14" s="5">
        <f ca="1">IFERROR(__xludf.DUMMYFUNCTION("""COMPUTED_VALUE"""),0)</f>
        <v>0</v>
      </c>
      <c r="H14" s="5">
        <f ca="1">IFERROR(__xludf.DUMMYFUNCTION("""COMPUTED_VALUE"""),1)</f>
        <v>1</v>
      </c>
      <c r="I14" s="5">
        <f ca="1">IFERROR(__xludf.DUMMYFUNCTION("""COMPUTED_VALUE"""),1)</f>
        <v>1</v>
      </c>
      <c r="J14" s="5">
        <f ca="1">IFERROR(__xludf.DUMMYFUNCTION("""COMPUTED_VALUE"""),0)</f>
        <v>0</v>
      </c>
      <c r="K14" s="9" t="str">
        <f ca="1">IFERROR(__xludf.DUMMYFUNCTION("""COMPUTED_VALUE"""),"https://www.9news.com/article/news/crime/teens-charged-brighton-shooting/73-49712006-34c3-4896-a240-9327701d6ba1")</f>
        <v>https://www.9news.com/article/news/crime/teens-charged-brighton-shooting/73-49712006-34c3-4896-a240-9327701d6ba1</v>
      </c>
      <c r="L14" s="5">
        <f ca="1">IFERROR(__xludf.DUMMYFUNCTION("""COMPUTED_VALUE"""),20)</f>
        <v>20</v>
      </c>
      <c r="M14" s="5" t="str">
        <f ca="1">IFERROR(__xludf.DUMMYFUNCTION("""COMPUTED_VALUE"""),"Regional")</f>
        <v>Regional</v>
      </c>
      <c r="N14" s="5">
        <f ca="1">IFERROR(__xludf.DUMMYFUNCTION("""COMPUTED_VALUE"""),4)</f>
        <v>4</v>
      </c>
      <c r="O14" s="5" t="str">
        <f ca="1">IFERROR(__xludf.DUMMYFUNCTION("""COMPUTED_VALUE"""),"Spring")</f>
        <v>Spring</v>
      </c>
      <c r="P14" s="5" t="str">
        <f ca="1">IFERROR(__xludf.DUMMYFUNCTION("""COMPUTED_VALUE"""),"Brighton")</f>
        <v>Brighton</v>
      </c>
      <c r="Q14" s="5" t="str">
        <f ca="1">IFERROR(__xludf.DUMMYFUNCTION("""COMPUTED_VALUE"""),"CO")</f>
        <v>CO</v>
      </c>
      <c r="R14" s="5" t="str">
        <f ca="1">IFERROR(__xludf.DUMMYFUNCTION("""COMPUTED_VALUE"""),"High")</f>
        <v>High</v>
      </c>
      <c r="S14" s="5" t="str">
        <f ca="1">IFERROR(__xludf.DUMMYFUNCTION("""COMPUTED_VALUE"""),"Outside on School Property")</f>
        <v>Outside on School Property</v>
      </c>
      <c r="T14" s="5" t="str">
        <f ca="1">IFERROR(__xludf.DUMMYFUNCTION("""COMPUTED_VALUE"""),"Outside on School Property")</f>
        <v>Outside on School Property</v>
      </c>
      <c r="U14" s="5" t="str">
        <f ca="1">IFERROR(__xludf.DUMMYFUNCTION("""COMPUTED_VALUE"""),"Yes")</f>
        <v>Yes</v>
      </c>
      <c r="V14" s="5" t="str">
        <f ca="1">IFERROR(__xludf.DUMMYFUNCTION("""COMPUTED_VALUE"""),"Lunch")</f>
        <v>Lunch</v>
      </c>
      <c r="W14" s="10">
        <f ca="1">IFERROR(__xludf.DUMMYFUNCTION("""COMPUTED_VALUE"""),0.520833333333333)</f>
        <v>0.52083333333333304</v>
      </c>
      <c r="X14" s="5">
        <f ca="1">IFERROR(__xludf.DUMMYFUNCTION("""COMPUTED_VALUE"""),1)</f>
        <v>1</v>
      </c>
      <c r="Y14" s="5" t="str">
        <f ca="1">IFERROR(__xludf.DUMMYFUNCTION("""COMPUTED_VALUE"""),"Shots fired and one student wounded during planned fight between students from multiple schools")</f>
        <v>Shots fired and one student wounded during planned fight between students from multiple schools</v>
      </c>
      <c r="Z14" s="5" t="str">
        <f ca="1">IFERROR(__xludf.DUMMYFUNCTION("""COMPUTED_VALUE"""),"Teen was wounded during lunchtime fight between students from four different high schools. 10 schools went on lockdown. Police believed teen with gun had returned to Prairie View High. Shooting occured at the edge of the campus.")</f>
        <v>Teen was wounded during lunchtime fight between students from four different high schools. 10 schools went on lockdown. Police believed teen with gun had returned to Prairie View High. Shooting occured at the edge of the campus.</v>
      </c>
      <c r="AA14" s="5" t="str">
        <f ca="1">IFERROR(__xludf.DUMMYFUNCTION("""COMPUTED_VALUE"""),"Escalation of Dispute")</f>
        <v>Escalation of Dispute</v>
      </c>
      <c r="AB14" s="5" t="str">
        <f ca="1">IFERROR(__xludf.DUMMYFUNCTION("""COMPUTED_VALUE"""),"Victims Targeted")</f>
        <v>Victims Targeted</v>
      </c>
      <c r="AC14" s="5" t="str">
        <f ca="1">IFERROR(__xludf.DUMMYFUNCTION("""COMPUTED_VALUE"""),"Yes")</f>
        <v>Yes</v>
      </c>
      <c r="AD14" s="5" t="str">
        <f ca="1">IFERROR(__xludf.DUMMYFUNCTION("""COMPUTED_VALUE"""),"No")</f>
        <v>No</v>
      </c>
      <c r="AE14" s="5" t="str">
        <f ca="1">IFERROR(__xludf.DUMMYFUNCTION("""COMPUTED_VALUE"""),"No")</f>
        <v>No</v>
      </c>
      <c r="AF14" s="5" t="str">
        <f ca="1">IFERROR(__xludf.DUMMYFUNCTION("""COMPUTED_VALUE"""),"No")</f>
        <v>No</v>
      </c>
      <c r="AG14" s="5" t="str">
        <f ca="1">IFERROR(__xludf.DUMMYFUNCTION("""COMPUTED_VALUE"""),"No")</f>
        <v>No</v>
      </c>
      <c r="AH14" s="5" t="str">
        <f ca="1">IFERROR(__xludf.DUMMYFUNCTION("""COMPUTED_VALUE"""),"No")</f>
        <v>No</v>
      </c>
      <c r="AI14" s="5"/>
      <c r="AJ14" s="5" t="str">
        <f ca="1">IFERROR(__xludf.DUMMYFUNCTION("""COMPUTED_VALUE"""),"No")</f>
        <v>No</v>
      </c>
    </row>
    <row r="15" spans="1:38" ht="13">
      <c r="A15" s="5" t="str">
        <f ca="1">IFERROR(__xludf.DUMMYFUNCTION("""COMPUTED_VALUE"""),"20230315CALIG")</f>
        <v>20230315CALIG</v>
      </c>
      <c r="B15" s="5">
        <f ca="1">IFERROR(__xludf.DUMMYFUNCTION("""COMPUTED_VALUE"""),3)</f>
        <v>3</v>
      </c>
      <c r="C15" s="5">
        <f ca="1">IFERROR(__xludf.DUMMYFUNCTION("""COMPUTED_VALUE"""),15)</f>
        <v>15</v>
      </c>
      <c r="D15" s="5">
        <f ca="1">IFERROR(__xludf.DUMMYFUNCTION("""COMPUTED_VALUE"""),2023)</f>
        <v>2023</v>
      </c>
      <c r="E15" s="8">
        <f ca="1">IFERROR(__xludf.DUMMYFUNCTION("""COMPUTED_VALUE"""),45000)</f>
        <v>45000</v>
      </c>
      <c r="F15" s="5" t="str">
        <f ca="1">IFERROR(__xludf.DUMMYFUNCTION("""COMPUTED_VALUE"""),"Liberty Ranch High School")</f>
        <v>Liberty Ranch High School</v>
      </c>
      <c r="G15" s="5">
        <f ca="1">IFERROR(__xludf.DUMMYFUNCTION("""COMPUTED_VALUE"""),0)</f>
        <v>0</v>
      </c>
      <c r="H15" s="5">
        <f ca="1">IFERROR(__xludf.DUMMYFUNCTION("""COMPUTED_VALUE"""),2)</f>
        <v>2</v>
      </c>
      <c r="I15" s="5">
        <f ca="1">IFERROR(__xludf.DUMMYFUNCTION("""COMPUTED_VALUE"""),2)</f>
        <v>2</v>
      </c>
      <c r="J15" s="5">
        <f ca="1">IFERROR(__xludf.DUMMYFUNCTION("""COMPUTED_VALUE"""),0)</f>
        <v>0</v>
      </c>
      <c r="K15" s="9" t="str">
        <f ca="1">IFERROR(__xludf.DUMMYFUNCTION("""COMPUTED_VALUE"""),"https://www.lodinews.com/news/article_0ca87658-c41e-11ed-b153-b764e5baf4f5.html")</f>
        <v>https://www.lodinews.com/news/article_0ca87658-c41e-11ed-b153-b764e5baf4f5.html</v>
      </c>
      <c r="L15" s="5">
        <f ca="1">IFERROR(__xludf.DUMMYFUNCTION("""COMPUTED_VALUE"""),1)</f>
        <v>1</v>
      </c>
      <c r="M15" s="5" t="str">
        <f ca="1">IFERROR(__xludf.DUMMYFUNCTION("""COMPUTED_VALUE"""),"Local")</f>
        <v>Local</v>
      </c>
      <c r="N15" s="5">
        <f ca="1">IFERROR(__xludf.DUMMYFUNCTION("""COMPUTED_VALUE"""),2)</f>
        <v>2</v>
      </c>
      <c r="O15" s="5" t="str">
        <f ca="1">IFERROR(__xludf.DUMMYFUNCTION("""COMPUTED_VALUE"""),"Spring")</f>
        <v>Spring</v>
      </c>
      <c r="P15" s="5" t="str">
        <f ca="1">IFERROR(__xludf.DUMMYFUNCTION("""COMPUTED_VALUE"""),"Galt")</f>
        <v>Galt</v>
      </c>
      <c r="Q15" s="5" t="str">
        <f ca="1">IFERROR(__xludf.DUMMYFUNCTION("""COMPUTED_VALUE"""),"CA")</f>
        <v>CA</v>
      </c>
      <c r="R15" s="5" t="str">
        <f ca="1">IFERROR(__xludf.DUMMYFUNCTION("""COMPUTED_VALUE"""),"High")</f>
        <v>High</v>
      </c>
      <c r="S15" s="5" t="str">
        <f ca="1">IFERROR(__xludf.DUMMYFUNCTION("""COMPUTED_VALUE"""),"Front of School")</f>
        <v>Front of School</v>
      </c>
      <c r="T15" s="5" t="str">
        <f ca="1">IFERROR(__xludf.DUMMYFUNCTION("""COMPUTED_VALUE"""),"Outside on School Property")</f>
        <v>Outside on School Property</v>
      </c>
      <c r="U15" s="5" t="str">
        <f ca="1">IFERROR(__xludf.DUMMYFUNCTION("""COMPUTED_VALUE"""),"No")</f>
        <v>No</v>
      </c>
      <c r="V15" s="5" t="str">
        <f ca="1">IFERROR(__xludf.DUMMYFUNCTION("""COMPUTED_VALUE"""),"After School")</f>
        <v>After School</v>
      </c>
      <c r="W15" s="10">
        <f ca="1">IFERROR(__xludf.DUMMYFUNCTION("""COMPUTED_VALUE"""),0.729166666666666)</f>
        <v>0.72916666666666596</v>
      </c>
      <c r="X15" s="5">
        <f ca="1">IFERROR(__xludf.DUMMYFUNCTION("""COMPUTED_VALUE"""),1)</f>
        <v>1</v>
      </c>
      <c r="Y15" s="5" t="str">
        <f ca="1">IFERROR(__xludf.DUMMYFUNCTION("""COMPUTED_VALUE"""),"Two teens shot in front of school")</f>
        <v>Two teens shot in front of school</v>
      </c>
      <c r="Z15" s="5" t="str">
        <f ca="1">IFERROR(__xludf.DUMMYFUNCTION("""COMPUTED_VALUE"""),"Two teens shot during drive-by in front of the school, shots missed a third teen.  Liberty Ranch's stunt cheer practice, adult school, and several athletic teams returning to campus from out-of-town contests. Students and staff at all six of the district'"&amp;"s campuses were sent home when the incident happened.")</f>
        <v>Two teens shot during drive-by in front of the school, shots missed a third teen.  Liberty Ranch's stunt cheer practice, adult school, and several athletic teams returning to campus from out-of-town contests. Students and staff at all six of the district's campuses were sent home when the incident happened.</v>
      </c>
      <c r="AA15" s="5" t="str">
        <f ca="1">IFERROR(__xludf.DUMMYFUNCTION("""COMPUTED_VALUE"""),"Drive-by Shooting")</f>
        <v>Drive-by Shooting</v>
      </c>
      <c r="AB15" s="5" t="str">
        <f ca="1">IFERROR(__xludf.DUMMYFUNCTION("""COMPUTED_VALUE"""),"Victims Targeted")</f>
        <v>Victims Targeted</v>
      </c>
      <c r="AC15" s="5"/>
      <c r="AD15" s="5" t="str">
        <f ca="1">IFERROR(__xludf.DUMMYFUNCTION("""COMPUTED_VALUE"""),"No")</f>
        <v>No</v>
      </c>
      <c r="AE15" s="5" t="str">
        <f ca="1">IFERROR(__xludf.DUMMYFUNCTION("""COMPUTED_VALUE"""),"No")</f>
        <v>No</v>
      </c>
      <c r="AF15" s="5" t="str">
        <f ca="1">IFERROR(__xludf.DUMMYFUNCTION("""COMPUTED_VALUE"""),"No")</f>
        <v>No</v>
      </c>
      <c r="AG15" s="5" t="str">
        <f ca="1">IFERROR(__xludf.DUMMYFUNCTION("""COMPUTED_VALUE"""),"No")</f>
        <v>No</v>
      </c>
      <c r="AH15" s="5" t="str">
        <f ca="1">IFERROR(__xludf.DUMMYFUNCTION("""COMPUTED_VALUE"""),"No")</f>
        <v>No</v>
      </c>
      <c r="AI15" s="5"/>
      <c r="AJ15" s="5" t="str">
        <f ca="1">IFERROR(__xludf.DUMMYFUNCTION("""COMPUTED_VALUE"""),"No")</f>
        <v>No</v>
      </c>
    </row>
    <row r="16" spans="1:38" ht="13">
      <c r="A16" s="5" t="str">
        <f ca="1">IFERROR(__xludf.DUMMYFUNCTION("""COMPUTED_VALUE"""),"20230315MICEW")</f>
        <v>20230315MICEW</v>
      </c>
      <c r="B16" s="5">
        <f ca="1">IFERROR(__xludf.DUMMYFUNCTION("""COMPUTED_VALUE"""),3)</f>
        <v>3</v>
      </c>
      <c r="C16" s="5">
        <f ca="1">IFERROR(__xludf.DUMMYFUNCTION("""COMPUTED_VALUE"""),15)</f>
        <v>15</v>
      </c>
      <c r="D16" s="5">
        <f ca="1">IFERROR(__xludf.DUMMYFUNCTION("""COMPUTED_VALUE"""),2023)</f>
        <v>2023</v>
      </c>
      <c r="E16" s="8">
        <f ca="1">IFERROR(__xludf.DUMMYFUNCTION("""COMPUTED_VALUE"""),45000)</f>
        <v>45000</v>
      </c>
      <c r="F16" s="5" t="str">
        <f ca="1">IFERROR(__xludf.DUMMYFUNCTION("""COMPUTED_VALUE"""),"Century Park Learning Center")</f>
        <v>Century Park Learning Center</v>
      </c>
      <c r="G16" s="5">
        <f ca="1">IFERROR(__xludf.DUMMYFUNCTION("""COMPUTED_VALUE"""),0)</f>
        <v>0</v>
      </c>
      <c r="H16" s="5">
        <f ca="1">IFERROR(__xludf.DUMMYFUNCTION("""COMPUTED_VALUE"""),0)</f>
        <v>0</v>
      </c>
      <c r="I16" s="5">
        <f ca="1">IFERROR(__xludf.DUMMYFUNCTION("""COMPUTED_VALUE"""),0)</f>
        <v>0</v>
      </c>
      <c r="J16" s="5">
        <f ca="1">IFERROR(__xludf.DUMMYFUNCTION("""COMPUTED_VALUE"""),0)</f>
        <v>0</v>
      </c>
      <c r="K16" s="9" t="str">
        <f ca="1">IFERROR(__xludf.DUMMYFUNCTION("""COMPUTED_VALUE"""),"https://www.mlive.com/news/2023/03/west-michigan-school-closes-day-after-shots-fired-near-campus.html
https://www.fox17online.com/news/local-news/kent/wyoming-dps-grandville-pd-respond-to-shots-fired-near-school")</f>
        <v>https://www.mlive.com/news/2023/03/west-michigan-school-closes-day-after-shots-fired-near-campus.html
https://www.fox17online.com/news/local-news/kent/wyoming-dps-grandville-pd-respond-to-shots-fired-near-school</v>
      </c>
      <c r="L16" s="5">
        <f ca="1">IFERROR(__xludf.DUMMYFUNCTION("""COMPUTED_VALUE"""),5)</f>
        <v>5</v>
      </c>
      <c r="M16" s="5" t="str">
        <f ca="1">IFERROR(__xludf.DUMMYFUNCTION("""COMPUTED_VALUE"""),"Local")</f>
        <v>Local</v>
      </c>
      <c r="N16" s="5">
        <f ca="1">IFERROR(__xludf.DUMMYFUNCTION("""COMPUTED_VALUE"""),4)</f>
        <v>4</v>
      </c>
      <c r="O16" s="5" t="str">
        <f ca="1">IFERROR(__xludf.DUMMYFUNCTION("""COMPUTED_VALUE"""),"Spring")</f>
        <v>Spring</v>
      </c>
      <c r="P16" s="5" t="str">
        <f ca="1">IFERROR(__xludf.DUMMYFUNCTION("""COMPUTED_VALUE"""),"Wyoming")</f>
        <v>Wyoming</v>
      </c>
      <c r="Q16" s="5" t="str">
        <f ca="1">IFERROR(__xludf.DUMMYFUNCTION("""COMPUTED_VALUE"""),"MI")</f>
        <v>MI</v>
      </c>
      <c r="R16" s="5" t="str">
        <f ca="1">IFERROR(__xludf.DUMMYFUNCTION("""COMPUTED_VALUE"""),"Elementary")</f>
        <v>Elementary</v>
      </c>
      <c r="S16" s="5" t="str">
        <f ca="1">IFERROR(__xludf.DUMMYFUNCTION("""COMPUTED_VALUE"""),"Outside on School Property")</f>
        <v>Outside on School Property</v>
      </c>
      <c r="T16" s="5" t="str">
        <f ca="1">IFERROR(__xludf.DUMMYFUNCTION("""COMPUTED_VALUE"""),"Outside on School Property")</f>
        <v>Outside on School Property</v>
      </c>
      <c r="U16" s="5" t="str">
        <f ca="1">IFERROR(__xludf.DUMMYFUNCTION("""COMPUTED_VALUE"""),"Yes")</f>
        <v>Yes</v>
      </c>
      <c r="V16" s="5" t="str">
        <f ca="1">IFERROR(__xludf.DUMMYFUNCTION("""COMPUTED_VALUE"""),"Dismissal")</f>
        <v>Dismissal</v>
      </c>
      <c r="W16" s="10">
        <f ca="1">IFERROR(__xludf.DUMMYFUNCTION("""COMPUTED_VALUE"""),0.652777777777777)</f>
        <v>0.65277777777777701</v>
      </c>
      <c r="X16" s="5">
        <f ca="1">IFERROR(__xludf.DUMMYFUNCTION("""COMPUTED_VALUE"""),1)</f>
        <v>1</v>
      </c>
      <c r="Y16" s="5" t="str">
        <f ca="1">IFERROR(__xludf.DUMMYFUNCTION("""COMPUTED_VALUE"""),"Shots fired at dismissal")</f>
        <v>Shots fired at dismissal</v>
      </c>
      <c r="Z16" s="5" t="str">
        <f ca="1">IFERROR(__xludf.DUMMYFUNCTION("""COMPUTED_VALUE"""),"Shots fired during dismissal. No injuries and shooter fled. Staff rushed students back inside and buses held in the parking lot. School closed the next day so staff could seek mental health resources.")</f>
        <v>Shots fired during dismissal. No injuries and shooter fled. Staff rushed students back inside and buses held in the parking lot. School closed the next day so staff could seek mental health resources.</v>
      </c>
      <c r="AA16" s="5"/>
      <c r="AB16" s="5"/>
      <c r="AC16" s="5" t="str">
        <f ca="1">IFERROR(__xludf.DUMMYFUNCTION("""COMPUTED_VALUE"""),"No")</f>
        <v>No</v>
      </c>
      <c r="AD16" s="5" t="str">
        <f ca="1">IFERROR(__xludf.DUMMYFUNCTION("""COMPUTED_VALUE"""),"No")</f>
        <v>No</v>
      </c>
      <c r="AE16" s="5" t="str">
        <f ca="1">IFERROR(__xludf.DUMMYFUNCTION("""COMPUTED_VALUE"""),"No")</f>
        <v>No</v>
      </c>
      <c r="AF16" s="5" t="str">
        <f ca="1">IFERROR(__xludf.DUMMYFUNCTION("""COMPUTED_VALUE"""),"No")</f>
        <v>No</v>
      </c>
      <c r="AG16" s="5" t="str">
        <f ca="1">IFERROR(__xludf.DUMMYFUNCTION("""COMPUTED_VALUE"""),"No")</f>
        <v>No</v>
      </c>
      <c r="AH16" s="5" t="str">
        <f ca="1">IFERROR(__xludf.DUMMYFUNCTION("""COMPUTED_VALUE"""),"No")</f>
        <v>No</v>
      </c>
      <c r="AI16" s="5" t="str">
        <f ca="1">IFERROR(__xludf.DUMMYFUNCTION("""COMPUTED_VALUE"""),"No")</f>
        <v>No</v>
      </c>
      <c r="AJ16" s="5" t="str">
        <f ca="1">IFERROR(__xludf.DUMMYFUNCTION("""COMPUTED_VALUE"""),"No")</f>
        <v>No</v>
      </c>
    </row>
    <row r="17" spans="1:36" ht="13">
      <c r="A17" s="5" t="str">
        <f ca="1">IFERROR(__xludf.DUMMYFUNCTION("""COMPUTED_VALUE"""),"20230313NYPSN")</f>
        <v>20230313NYPSN</v>
      </c>
      <c r="B17" s="5">
        <f ca="1">IFERROR(__xludf.DUMMYFUNCTION("""COMPUTED_VALUE"""),3)</f>
        <v>3</v>
      </c>
      <c r="C17" s="5">
        <f ca="1">IFERROR(__xludf.DUMMYFUNCTION("""COMPUTED_VALUE"""),14)</f>
        <v>14</v>
      </c>
      <c r="D17" s="5">
        <f ca="1">IFERROR(__xludf.DUMMYFUNCTION("""COMPUTED_VALUE"""),2023)</f>
        <v>2023</v>
      </c>
      <c r="E17" s="8">
        <f ca="1">IFERROR(__xludf.DUMMYFUNCTION("""COMPUTED_VALUE"""),44999)</f>
        <v>44999</v>
      </c>
      <c r="F17" s="5" t="str">
        <f ca="1">IFERROR(__xludf.DUMMYFUNCTION("""COMPUTED_VALUE"""),"PS 57 James Weldon Johnson")</f>
        <v>PS 57 James Weldon Johnson</v>
      </c>
      <c r="G17" s="5">
        <f ca="1">IFERROR(__xludf.DUMMYFUNCTION("""COMPUTED_VALUE"""),0)</f>
        <v>0</v>
      </c>
      <c r="H17" s="5">
        <f ca="1">IFERROR(__xludf.DUMMYFUNCTION("""COMPUTED_VALUE"""),0)</f>
        <v>0</v>
      </c>
      <c r="I17" s="5">
        <f ca="1">IFERROR(__xludf.DUMMYFUNCTION("""COMPUTED_VALUE"""),0)</f>
        <v>0</v>
      </c>
      <c r="J17" s="5">
        <f ca="1">IFERROR(__xludf.DUMMYFUNCTION("""COMPUTED_VALUE"""),0)</f>
        <v>0</v>
      </c>
      <c r="K17" s="5" t="str">
        <f ca="1">IFERROR(__xludf.DUMMYFUNCTION("""COMPUTED_VALUE"""),"https://abc7ny.com/nyc-shooting-upper-west-side-student-shot-mlk-high-school/12955880/
https://www.cbsnews.com/newyork/live-updates/nypd-says-three-manhattan-shootings-may-be-connected//")</f>
        <v>https://abc7ny.com/nyc-shooting-upper-west-side-student-shot-mlk-high-school/12955880/
https://www.cbsnews.com/newyork/live-updates/nypd-says-three-manhattan-shootings-may-be-connected//</v>
      </c>
      <c r="L17" s="5">
        <f ca="1">IFERROR(__xludf.DUMMYFUNCTION("""COMPUTED_VALUE"""),30)</f>
        <v>30</v>
      </c>
      <c r="M17" s="5" t="str">
        <f ca="1">IFERROR(__xludf.DUMMYFUNCTION("""COMPUTED_VALUE"""),"Regional")</f>
        <v>Regional</v>
      </c>
      <c r="N17" s="5">
        <f ca="1">IFERROR(__xludf.DUMMYFUNCTION("""COMPUTED_VALUE"""),3)</f>
        <v>3</v>
      </c>
      <c r="O17" s="5" t="str">
        <f ca="1">IFERROR(__xludf.DUMMYFUNCTION("""COMPUTED_VALUE"""),"Spring")</f>
        <v>Spring</v>
      </c>
      <c r="P17" s="5" t="str">
        <f ca="1">IFERROR(__xludf.DUMMYFUNCTION("""COMPUTED_VALUE"""),"New York")</f>
        <v>New York</v>
      </c>
      <c r="Q17" s="5" t="str">
        <f ca="1">IFERROR(__xludf.DUMMYFUNCTION("""COMPUTED_VALUE"""),"NY")</f>
        <v>NY</v>
      </c>
      <c r="R17" s="5" t="str">
        <f ca="1">IFERROR(__xludf.DUMMYFUNCTION("""COMPUTED_VALUE"""),"Middle")</f>
        <v>Middle</v>
      </c>
      <c r="S17" s="5" t="str">
        <f ca="1">IFERROR(__xludf.DUMMYFUNCTION("""COMPUTED_VALUE"""),"Front of School")</f>
        <v>Front of School</v>
      </c>
      <c r="T17" s="5" t="str">
        <f ca="1">IFERROR(__xludf.DUMMYFUNCTION("""COMPUTED_VALUE"""),"Outside on School Property")</f>
        <v>Outside on School Property</v>
      </c>
      <c r="U17" s="5" t="str">
        <f ca="1">IFERROR(__xludf.DUMMYFUNCTION("""COMPUTED_VALUE"""),"Yes")</f>
        <v>Yes</v>
      </c>
      <c r="V17" s="5" t="str">
        <f ca="1">IFERROR(__xludf.DUMMYFUNCTION("""COMPUTED_VALUE"""),"Dismissal")</f>
        <v>Dismissal</v>
      </c>
      <c r="W17" s="10">
        <f ca="1">IFERROR(__xludf.DUMMYFUNCTION("""COMPUTED_VALUE"""),0.625)</f>
        <v>0.625</v>
      </c>
      <c r="X17" s="5">
        <f ca="1">IFERROR(__xludf.DUMMYFUNCTION("""COMPUTED_VALUE"""),1)</f>
        <v>1</v>
      </c>
      <c r="Y17" s="5" t="str">
        <f ca="1">IFERROR(__xludf.DUMMYFUNCTION("""COMPUTED_VALUE"""),"Shots fired by group of teens")</f>
        <v>Shots fired by group of teens</v>
      </c>
      <c r="Z17" s="5" t="str">
        <f ca="1">IFERROR(__xludf.DUMMYFUNCTION("""COMPUTED_VALUE"""),"4-5 shots fired by group of teens in front of school. Connected to two prior shootings at NYC schools earlier in the day related to a dispute between teens from rival housing projects.")</f>
        <v>4-5 shots fired by group of teens in front of school. Connected to two prior shootings at NYC schools earlier in the day related to a dispute between teens from rival housing projects.</v>
      </c>
      <c r="AA17" s="5" t="str">
        <f ca="1">IFERROR(__xludf.DUMMYFUNCTION("""COMPUTED_VALUE"""),"Escalation of Dispute")</f>
        <v>Escalation of Dispute</v>
      </c>
      <c r="AB17" s="5" t="str">
        <f ca="1">IFERROR(__xludf.DUMMYFUNCTION("""COMPUTED_VALUE"""),"Victims Targeted")</f>
        <v>Victims Targeted</v>
      </c>
      <c r="AC17" s="5" t="str">
        <f ca="1">IFERROR(__xludf.DUMMYFUNCTION("""COMPUTED_VALUE"""),"Yes")</f>
        <v>Yes</v>
      </c>
      <c r="AD17" s="5" t="str">
        <f ca="1">IFERROR(__xludf.DUMMYFUNCTION("""COMPUTED_VALUE"""),"No")</f>
        <v>No</v>
      </c>
      <c r="AE17" s="5" t="str">
        <f ca="1">IFERROR(__xludf.DUMMYFUNCTION("""COMPUTED_VALUE"""),"No")</f>
        <v>No</v>
      </c>
      <c r="AF17" s="5" t="str">
        <f ca="1">IFERROR(__xludf.DUMMYFUNCTION("""COMPUTED_VALUE"""),"No")</f>
        <v>No</v>
      </c>
      <c r="AG17" s="5" t="str">
        <f ca="1">IFERROR(__xludf.DUMMYFUNCTION("""COMPUTED_VALUE"""),"No")</f>
        <v>No</v>
      </c>
      <c r="AH17" s="5" t="str">
        <f ca="1">IFERROR(__xludf.DUMMYFUNCTION("""COMPUTED_VALUE"""),"No")</f>
        <v>No</v>
      </c>
      <c r="AI17" s="5" t="str">
        <f ca="1">IFERROR(__xludf.DUMMYFUNCTION("""COMPUTED_VALUE"""),"Yes")</f>
        <v>Yes</v>
      </c>
      <c r="AJ17" s="5" t="str">
        <f ca="1">IFERROR(__xludf.DUMMYFUNCTION("""COMPUTED_VALUE"""),"No")</f>
        <v>No</v>
      </c>
    </row>
    <row r="18" spans="1:36" ht="13">
      <c r="A18" s="5" t="str">
        <f ca="1">IFERROR(__xludf.DUMMYFUNCTION("""COMPUTED_VALUE"""),"20230314NYHAN")</f>
        <v>20230314NYHAN</v>
      </c>
      <c r="B18" s="5">
        <f ca="1">IFERROR(__xludf.DUMMYFUNCTION("""COMPUTED_VALUE"""),3)</f>
        <v>3</v>
      </c>
      <c r="C18" s="5">
        <f ca="1">IFERROR(__xludf.DUMMYFUNCTION("""COMPUTED_VALUE"""),14)</f>
        <v>14</v>
      </c>
      <c r="D18" s="5">
        <f ca="1">IFERROR(__xludf.DUMMYFUNCTION("""COMPUTED_VALUE"""),2023)</f>
        <v>2023</v>
      </c>
      <c r="E18" s="8">
        <f ca="1">IFERROR(__xludf.DUMMYFUNCTION("""COMPUTED_VALUE"""),44999)</f>
        <v>44999</v>
      </c>
      <c r="F18" s="5" t="str">
        <f ca="1">IFERROR(__xludf.DUMMYFUNCTION("""COMPUTED_VALUE"""),"Harlem Renaissance High School")</f>
        <v>Harlem Renaissance High School</v>
      </c>
      <c r="G18" s="5">
        <f ca="1">IFERROR(__xludf.DUMMYFUNCTION("""COMPUTED_VALUE"""),0)</f>
        <v>0</v>
      </c>
      <c r="H18" s="5">
        <f ca="1">IFERROR(__xludf.DUMMYFUNCTION("""COMPUTED_VALUE"""),2)</f>
        <v>2</v>
      </c>
      <c r="I18" s="5">
        <f ca="1">IFERROR(__xludf.DUMMYFUNCTION("""COMPUTED_VALUE"""),2)</f>
        <v>2</v>
      </c>
      <c r="J18" s="5">
        <f ca="1">IFERROR(__xludf.DUMMYFUNCTION("""COMPUTED_VALUE"""),0)</f>
        <v>0</v>
      </c>
      <c r="K18" s="9" t="str">
        <f ca="1">IFERROR(__xludf.DUMMYFUNCTION("""COMPUTED_VALUE"""),"https://www.cbsnews.com/newyork/live-updates/nypd-says-three-manhattan-shootings-may-be-connected/")</f>
        <v>https://www.cbsnews.com/newyork/live-updates/nypd-says-three-manhattan-shootings-may-be-connected/</v>
      </c>
      <c r="L18" s="5">
        <f ca="1">IFERROR(__xludf.DUMMYFUNCTION("""COMPUTED_VALUE"""),30)</f>
        <v>30</v>
      </c>
      <c r="M18" s="5" t="str">
        <f ca="1">IFERROR(__xludf.DUMMYFUNCTION("""COMPUTED_VALUE"""),"Regional")</f>
        <v>Regional</v>
      </c>
      <c r="N18" s="5">
        <f ca="1">IFERROR(__xludf.DUMMYFUNCTION("""COMPUTED_VALUE"""),4)</f>
        <v>4</v>
      </c>
      <c r="O18" s="5" t="str">
        <f ca="1">IFERROR(__xludf.DUMMYFUNCTION("""COMPUTED_VALUE"""),"Spring")</f>
        <v>Spring</v>
      </c>
      <c r="P18" s="5" t="str">
        <f ca="1">IFERROR(__xludf.DUMMYFUNCTION("""COMPUTED_VALUE"""),"New York")</f>
        <v>New York</v>
      </c>
      <c r="Q18" s="5" t="str">
        <f ca="1">IFERROR(__xludf.DUMMYFUNCTION("""COMPUTED_VALUE"""),"NY")</f>
        <v>NY</v>
      </c>
      <c r="R18" s="5" t="str">
        <f ca="1">IFERROR(__xludf.DUMMYFUNCTION("""COMPUTED_VALUE"""),"High")</f>
        <v>High</v>
      </c>
      <c r="S18" s="5" t="str">
        <f ca="1">IFERROR(__xludf.DUMMYFUNCTION("""COMPUTED_VALUE"""),"Front of School")</f>
        <v>Front of School</v>
      </c>
      <c r="T18" s="5" t="str">
        <f ca="1">IFERROR(__xludf.DUMMYFUNCTION("""COMPUTED_VALUE"""),"Outside on School Property")</f>
        <v>Outside on School Property</v>
      </c>
      <c r="U18" s="5" t="str">
        <f ca="1">IFERROR(__xludf.DUMMYFUNCTION("""COMPUTED_VALUE"""),"Yes")</f>
        <v>Yes</v>
      </c>
      <c r="V18" s="5" t="str">
        <f ca="1">IFERROR(__xludf.DUMMYFUNCTION("""COMPUTED_VALUE"""),"Afternoon Classes")</f>
        <v>Afternoon Classes</v>
      </c>
      <c r="W18" s="10">
        <f ca="1">IFERROR(__xludf.DUMMYFUNCTION("""COMPUTED_VALUE"""),0.541666666666666)</f>
        <v>0.54166666666666596</v>
      </c>
      <c r="X18" s="5">
        <f ca="1">IFERROR(__xludf.DUMMYFUNCTION("""COMPUTED_VALUE"""),1)</f>
        <v>1</v>
      </c>
      <c r="Y18" s="5" t="str">
        <f ca="1">IFERROR(__xludf.DUMMYFUNCTION("""COMPUTED_VALUE"""),"4 students were approached by group of teens when they left the school, shots fired during fight")</f>
        <v>4 students were approached by group of teens when they left the school, shots fired during fight</v>
      </c>
      <c r="Z18" s="5" t="str">
        <f ca="1">IFERROR(__xludf.DUMMYFUNCTION("""COMPUTED_VALUE"""),"At around 1 p.m., four students leaving Renaissance High School got into a physical altercation with three men, police said. Shots rang out and a 16-year-old was hit once, so was a 27-year-old, who was an unintended target.")</f>
        <v>At around 1 p.m., four students leaving Renaissance High School got into a physical altercation with three men, police said. Shots rang out and a 16-year-old was hit once, so was a 27-year-old, who was an unintended target.</v>
      </c>
      <c r="AA18" s="5" t="str">
        <f ca="1">IFERROR(__xludf.DUMMYFUNCTION("""COMPUTED_VALUE"""),"Escalation of Dispute")</f>
        <v>Escalation of Dispute</v>
      </c>
      <c r="AB18" s="5" t="str">
        <f ca="1">IFERROR(__xludf.DUMMYFUNCTION("""COMPUTED_VALUE"""),"Both")</f>
        <v>Both</v>
      </c>
      <c r="AC18" s="5" t="str">
        <f ca="1">IFERROR(__xludf.DUMMYFUNCTION("""COMPUTED_VALUE"""),"Yes")</f>
        <v>Yes</v>
      </c>
      <c r="AD18" s="5" t="str">
        <f ca="1">IFERROR(__xludf.DUMMYFUNCTION("""COMPUTED_VALUE"""),"No")</f>
        <v>No</v>
      </c>
      <c r="AE18" s="5" t="str">
        <f ca="1">IFERROR(__xludf.DUMMYFUNCTION("""COMPUTED_VALUE"""),"No")</f>
        <v>No</v>
      </c>
      <c r="AF18" s="5" t="str">
        <f ca="1">IFERROR(__xludf.DUMMYFUNCTION("""COMPUTED_VALUE"""),"No")</f>
        <v>No</v>
      </c>
      <c r="AG18" s="5" t="str">
        <f ca="1">IFERROR(__xludf.DUMMYFUNCTION("""COMPUTED_VALUE"""),"No")</f>
        <v>No</v>
      </c>
      <c r="AH18" s="5" t="str">
        <f ca="1">IFERROR(__xludf.DUMMYFUNCTION("""COMPUTED_VALUE"""),"No")</f>
        <v>No</v>
      </c>
      <c r="AI18" s="5" t="str">
        <f ca="1">IFERROR(__xludf.DUMMYFUNCTION("""COMPUTED_VALUE"""),"Yes")</f>
        <v>Yes</v>
      </c>
      <c r="AJ18" s="5" t="str">
        <f ca="1">IFERROR(__xludf.DUMMYFUNCTION("""COMPUTED_VALUE"""),"No")</f>
        <v>No</v>
      </c>
    </row>
    <row r="19" spans="1:36" ht="13">
      <c r="A19" s="5" t="str">
        <f ca="1">IFERROR(__xludf.DUMMYFUNCTION("""COMPUTED_VALUE"""),"20230314NYMAM")</f>
        <v>20230314NYMAM</v>
      </c>
      <c r="B19" s="5">
        <f ca="1">IFERROR(__xludf.DUMMYFUNCTION("""COMPUTED_VALUE"""),3)</f>
        <v>3</v>
      </c>
      <c r="C19" s="5">
        <f ca="1">IFERROR(__xludf.DUMMYFUNCTION("""COMPUTED_VALUE"""),14)</f>
        <v>14</v>
      </c>
      <c r="D19" s="5">
        <f ca="1">IFERROR(__xludf.DUMMYFUNCTION("""COMPUTED_VALUE"""),2023)</f>
        <v>2023</v>
      </c>
      <c r="E19" s="8">
        <f ca="1">IFERROR(__xludf.DUMMYFUNCTION("""COMPUTED_VALUE"""),44999)</f>
        <v>44999</v>
      </c>
      <c r="F19" s="5" t="str">
        <f ca="1">IFERROR(__xludf.DUMMYFUNCTION("""COMPUTED_VALUE"""),"Martin Luther King Jr. Educational Campus")</f>
        <v>Martin Luther King Jr. Educational Campus</v>
      </c>
      <c r="G19" s="5">
        <f ca="1">IFERROR(__xludf.DUMMYFUNCTION("""COMPUTED_VALUE"""),0)</f>
        <v>0</v>
      </c>
      <c r="H19" s="5">
        <f ca="1">IFERROR(__xludf.DUMMYFUNCTION("""COMPUTED_VALUE"""),1)</f>
        <v>1</v>
      </c>
      <c r="I19" s="5">
        <f ca="1">IFERROR(__xludf.DUMMYFUNCTION("""COMPUTED_VALUE"""),1)</f>
        <v>1</v>
      </c>
      <c r="J19" s="5">
        <f ca="1">IFERROR(__xludf.DUMMYFUNCTION("""COMPUTED_VALUE"""),0)</f>
        <v>0</v>
      </c>
      <c r="K19" s="5" t="str">
        <f ca="1">IFERROR(__xludf.DUMMYFUNCTION("""COMPUTED_VALUE"""),"https://abc7ny.com/nyc-shooting-upper-west-side-student-shot-mlk-high-school/12955880/
https://abc7ny.com/upper-west-side-shooting-student-shot-mlk-high-school-amsterdam-avenue/12952533/
https://pix11.com/news/teen-shot-outside-manhattan-high-school-sourc"&amp;"es/")</f>
        <v>https://abc7ny.com/nyc-shooting-upper-west-side-student-shot-mlk-high-school/12955880/
https://abc7ny.com/upper-west-side-shooting-student-shot-mlk-high-school-amsterdam-avenue/12952533/
https://pix11.com/news/teen-shot-outside-manhattan-high-school-sources/</v>
      </c>
      <c r="L19" s="5">
        <f ca="1">IFERROR(__xludf.DUMMYFUNCTION("""COMPUTED_VALUE"""),30)</f>
        <v>30</v>
      </c>
      <c r="M19" s="5" t="str">
        <f ca="1">IFERROR(__xludf.DUMMYFUNCTION("""COMPUTED_VALUE"""),"Regional")</f>
        <v>Regional</v>
      </c>
      <c r="N19" s="5">
        <f ca="1">IFERROR(__xludf.DUMMYFUNCTION("""COMPUTED_VALUE"""),4)</f>
        <v>4</v>
      </c>
      <c r="O19" s="5" t="str">
        <f ca="1">IFERROR(__xludf.DUMMYFUNCTION("""COMPUTED_VALUE"""),"Spring")</f>
        <v>Spring</v>
      </c>
      <c r="P19" s="5" t="str">
        <f ca="1">IFERROR(__xludf.DUMMYFUNCTION("""COMPUTED_VALUE"""),"New York")</f>
        <v>New York</v>
      </c>
      <c r="Q19" s="5" t="str">
        <f ca="1">IFERROR(__xludf.DUMMYFUNCTION("""COMPUTED_VALUE"""),"NY")</f>
        <v>NY</v>
      </c>
      <c r="R19" s="5" t="str">
        <f ca="1">IFERROR(__xludf.DUMMYFUNCTION("""COMPUTED_VALUE"""),"High")</f>
        <v>High</v>
      </c>
      <c r="S19" s="5" t="str">
        <f ca="1">IFERROR(__xludf.DUMMYFUNCTION("""COMPUTED_VALUE"""),"Front of School")</f>
        <v>Front of School</v>
      </c>
      <c r="T19" s="5" t="str">
        <f ca="1">IFERROR(__xludf.DUMMYFUNCTION("""COMPUTED_VALUE"""),"Outside on School Property")</f>
        <v>Outside on School Property</v>
      </c>
      <c r="U19" s="5" t="str">
        <f ca="1">IFERROR(__xludf.DUMMYFUNCTION("""COMPUTED_VALUE"""),"Yes")</f>
        <v>Yes</v>
      </c>
      <c r="V19" s="5" t="str">
        <f ca="1">IFERROR(__xludf.DUMMYFUNCTION("""COMPUTED_VALUE"""),"Morning Classes")</f>
        <v>Morning Classes</v>
      </c>
      <c r="W19" s="10">
        <f ca="1">IFERROR(__xludf.DUMMYFUNCTION("""COMPUTED_VALUE"""),0.409722222222222)</f>
        <v>0.40972222222222199</v>
      </c>
      <c r="X19" s="5">
        <f ca="1">IFERROR(__xludf.DUMMYFUNCTION("""COMPUTED_VALUE"""),1)</f>
        <v>1</v>
      </c>
      <c r="Y19" s="5" t="str">
        <f ca="1">IFERROR(__xludf.DUMMYFUNCTION("""COMPUTED_VALUE"""),"Teen shot in front of school during morning classes")</f>
        <v>Teen shot in front of school during morning classes</v>
      </c>
      <c r="Z19" s="5" t="str">
        <f ca="1">IFERROR(__xludf.DUMMYFUNCTION("""COMPUTED_VALUE"""),"A teenager was shot and injured outside a high school on the Upper West Side. The shooting happened on Tuesday at 9:50 a.m. in front of the Martin Luther King Jr. Educational Campus on Amsterdam Avenue at 66th Street. The victim was shot in the torso and "&amp;"taken into the school for treatment before he was rushed to a nearby hospital. The gunman was arrested a short distance away. He's refusing to talk to police, so the NYPD is working to figure out his background.")</f>
        <v>A teenager was shot and injured outside a high school on the Upper West Side. The shooting happened on Tuesday at 9:50 a.m. in front of the Martin Luther King Jr. Educational Campus on Amsterdam Avenue at 66th Street. The victim was shot in the torso and taken into the school for treatment before he was rushed to a nearby hospital. The gunman was arrested a short distance away. He's refusing to talk to police, so the NYPD is working to figure out his background.</v>
      </c>
      <c r="AA19" s="5" t="str">
        <f ca="1">IFERROR(__xludf.DUMMYFUNCTION("""COMPUTED_VALUE"""),"Escalation of Dispute")</f>
        <v>Escalation of Dispute</v>
      </c>
      <c r="AB19" s="5" t="str">
        <f ca="1">IFERROR(__xludf.DUMMYFUNCTION("""COMPUTED_VALUE"""),"Victims Targeted")</f>
        <v>Victims Targeted</v>
      </c>
      <c r="AC19" s="5" t="str">
        <f ca="1">IFERROR(__xludf.DUMMYFUNCTION("""COMPUTED_VALUE"""),"No")</f>
        <v>No</v>
      </c>
      <c r="AD19" s="5" t="str">
        <f ca="1">IFERROR(__xludf.DUMMYFUNCTION("""COMPUTED_VALUE"""),"No")</f>
        <v>No</v>
      </c>
      <c r="AE19" s="5" t="str">
        <f ca="1">IFERROR(__xludf.DUMMYFUNCTION("""COMPUTED_VALUE"""),"No")</f>
        <v>No</v>
      </c>
      <c r="AF19" s="5" t="str">
        <f ca="1">IFERROR(__xludf.DUMMYFUNCTION("""COMPUTED_VALUE"""),"No")</f>
        <v>No</v>
      </c>
      <c r="AG19" s="5" t="str">
        <f ca="1">IFERROR(__xludf.DUMMYFUNCTION("""COMPUTED_VALUE"""),"No")</f>
        <v>No</v>
      </c>
      <c r="AH19" s="5" t="str">
        <f ca="1">IFERROR(__xludf.DUMMYFUNCTION("""COMPUTED_VALUE"""),"No")</f>
        <v>No</v>
      </c>
      <c r="AI19" s="5" t="str">
        <f ca="1">IFERROR(__xludf.DUMMYFUNCTION("""COMPUTED_VALUE"""),"Yes")</f>
        <v>Yes</v>
      </c>
      <c r="AJ19" s="5" t="str">
        <f ca="1">IFERROR(__xludf.DUMMYFUNCTION("""COMPUTED_VALUE"""),"No")</f>
        <v>No</v>
      </c>
    </row>
    <row r="20" spans="1:36" ht="13">
      <c r="A20" s="5" t="str">
        <f ca="1">IFERROR(__xludf.DUMMYFUNCTION("""COMPUTED_VALUE"""),"20230309WIBAM")</f>
        <v>20230309WIBAM</v>
      </c>
      <c r="B20" s="5">
        <f ca="1">IFERROR(__xludf.DUMMYFUNCTION("""COMPUTED_VALUE"""),3)</f>
        <v>3</v>
      </c>
      <c r="C20" s="5">
        <f ca="1">IFERROR(__xludf.DUMMYFUNCTION("""COMPUTED_VALUE"""),9)</f>
        <v>9</v>
      </c>
      <c r="D20" s="5">
        <f ca="1">IFERROR(__xludf.DUMMYFUNCTION("""COMPUTED_VALUE"""),2023)</f>
        <v>2023</v>
      </c>
      <c r="E20" s="8">
        <f ca="1">IFERROR(__xludf.DUMMYFUNCTION("""COMPUTED_VALUE"""),44994)</f>
        <v>44994</v>
      </c>
      <c r="F20" s="5" t="str">
        <f ca="1">IFERROR(__xludf.DUMMYFUNCTION("""COMPUTED_VALUE"""),"Barack Obama School")</f>
        <v>Barack Obama School</v>
      </c>
      <c r="G20" s="5">
        <f ca="1">IFERROR(__xludf.DUMMYFUNCTION("""COMPUTED_VALUE"""),0)</f>
        <v>0</v>
      </c>
      <c r="H20" s="5">
        <f ca="1">IFERROR(__xludf.DUMMYFUNCTION("""COMPUTED_VALUE"""),0)</f>
        <v>0</v>
      </c>
      <c r="I20" s="5">
        <f ca="1">IFERROR(__xludf.DUMMYFUNCTION("""COMPUTED_VALUE"""),0)</f>
        <v>0</v>
      </c>
      <c r="J20" s="5">
        <f ca="1">IFERROR(__xludf.DUMMYFUNCTION("""COMPUTED_VALUE"""),0)</f>
        <v>0</v>
      </c>
      <c r="K20" s="9" t="str">
        <f ca="1">IFERROR(__xludf.DUMMYFUNCTION("""COMPUTED_VALUE"""),"https://www.fox6now.com/news/shots-fired-barack-obama-school-man-charged")</f>
        <v>https://www.fox6now.com/news/shots-fired-barack-obama-school-man-charged</v>
      </c>
      <c r="L20" s="5">
        <f ca="1">IFERROR(__xludf.DUMMYFUNCTION("""COMPUTED_VALUE"""),1)</f>
        <v>1</v>
      </c>
      <c r="M20" s="5" t="str">
        <f ca="1">IFERROR(__xludf.DUMMYFUNCTION("""COMPUTED_VALUE"""),"Local")</f>
        <v>Local</v>
      </c>
      <c r="N20" s="5">
        <f ca="1">IFERROR(__xludf.DUMMYFUNCTION("""COMPUTED_VALUE"""),4)</f>
        <v>4</v>
      </c>
      <c r="O20" s="5" t="str">
        <f ca="1">IFERROR(__xludf.DUMMYFUNCTION("""COMPUTED_VALUE"""),"Spring")</f>
        <v>Spring</v>
      </c>
      <c r="P20" s="5" t="str">
        <f ca="1">IFERROR(__xludf.DUMMYFUNCTION("""COMPUTED_VALUE"""),"Milwaukee")</f>
        <v>Milwaukee</v>
      </c>
      <c r="Q20" s="5" t="str">
        <f ca="1">IFERROR(__xludf.DUMMYFUNCTION("""COMPUTED_VALUE"""),"WI")</f>
        <v>WI</v>
      </c>
      <c r="R20" s="5" t="str">
        <f ca="1">IFERROR(__xludf.DUMMYFUNCTION("""COMPUTED_VALUE"""),"High")</f>
        <v>High</v>
      </c>
      <c r="S20" s="5" t="str">
        <f ca="1">IFERROR(__xludf.DUMMYFUNCTION("""COMPUTED_VALUE"""),"Front of School (Bus)")</f>
        <v>Front of School (Bus)</v>
      </c>
      <c r="T20" s="5" t="str">
        <f ca="1">IFERROR(__xludf.DUMMYFUNCTION("""COMPUTED_VALUE"""),"Outside on School Property")</f>
        <v>Outside on School Property</v>
      </c>
      <c r="U20" s="5" t="str">
        <f ca="1">IFERROR(__xludf.DUMMYFUNCTION("""COMPUTED_VALUE"""),"Yes")</f>
        <v>Yes</v>
      </c>
      <c r="V20" s="5" t="str">
        <f ca="1">IFERROR(__xludf.DUMMYFUNCTION("""COMPUTED_VALUE"""),"School Start")</f>
        <v>School Start</v>
      </c>
      <c r="W20" s="10">
        <f ca="1">IFERROR(__xludf.DUMMYFUNCTION("""COMPUTED_VALUE"""),0.333333333333333)</f>
        <v>0.33333333333333298</v>
      </c>
      <c r="X20" s="5">
        <f ca="1">IFERROR(__xludf.DUMMYFUNCTION("""COMPUTED_VALUE"""),1)</f>
        <v>1</v>
      </c>
      <c r="Y20" s="5" t="str">
        <f ca="1">IFERROR(__xludf.DUMMYFUNCTION("""COMPUTED_VALUE"""),"Student pointed gun at other student then fired round into air during dispute")</f>
        <v>Student pointed gun at other student then fired round into air during dispute</v>
      </c>
      <c r="Z20" s="5" t="str">
        <f ca="1">IFERROR(__xludf.DUMMYFUNCTION("""COMPUTED_VALUE"""),"According to the criminal complaint, police were dispatched to the grounds of Barack Obama School around 8 a.m on March 9 for the report of shots fired. Upon arrival, police learned that a student, later identified as Elijah McGhee, pointed a gun at other"&amp;" students while on the school bus and then discharged one round into the air after exiting the bus. A victim on scene told authorities that she had been riding the school bus when McGhee began to make fun of her friend. The victim stated that she confront"&amp;"ed McGhee, and they began to argue. At that time, the victim claims McGhee produced a firearm and pointed it at her and threatened to shoot her before pointing the gun at other students on the bus. The victim claims McGhee then slapped her in the face and"&amp;" pushed her down into her seat. When the bus arrived at school, McGhee allegedly fired one round into the air after exiting the bus. Surveillance footage showed McGhee discharged one round into the air while standing outside the bus. Multiple children wer"&amp;"e in the vicinity at the time. ")</f>
        <v xml:space="preserve">According to the criminal complaint, police were dispatched to the grounds of Barack Obama School around 8 a.m on March 9 for the report of shots fired. Upon arrival, police learned that a student, later identified as Elijah McGhee, pointed a gun at other students while on the school bus and then discharged one round into the air after exiting the bus. A victim on scene told authorities that she had been riding the school bus when McGhee began to make fun of her friend. The victim stated that she confronted McGhee, and they began to argue. At that time, the victim claims McGhee produced a firearm and pointed it at her and threatened to shoot her before pointing the gun at other students on the bus. The victim claims McGhee then slapped her in the face and pushed her down into her seat. When the bus arrived at school, McGhee allegedly fired one round into the air after exiting the bus. Surveillance footage showed McGhee discharged one round into the air while standing outside the bus. Multiple children were in the vicinity at the time. </v>
      </c>
      <c r="AA20" s="5" t="str">
        <f ca="1">IFERROR(__xludf.DUMMYFUNCTION("""COMPUTED_VALUE"""),"Escalation of Dispute")</f>
        <v>Escalation of Dispute</v>
      </c>
      <c r="AB20" s="5" t="str">
        <f ca="1">IFERROR(__xludf.DUMMYFUNCTION("""COMPUTED_VALUE"""),"Neither")</f>
        <v>Neither</v>
      </c>
      <c r="AC20" s="5" t="str">
        <f ca="1">IFERROR(__xludf.DUMMYFUNCTION("""COMPUTED_VALUE"""),"No")</f>
        <v>No</v>
      </c>
      <c r="AD20" s="5" t="str">
        <f ca="1">IFERROR(__xludf.DUMMYFUNCTION("""COMPUTED_VALUE"""),"No")</f>
        <v>No</v>
      </c>
      <c r="AE20" s="5" t="str">
        <f ca="1">IFERROR(__xludf.DUMMYFUNCTION("""COMPUTED_VALUE"""),"No")</f>
        <v>No</v>
      </c>
      <c r="AF20" s="5" t="str">
        <f ca="1">IFERROR(__xludf.DUMMYFUNCTION("""COMPUTED_VALUE"""),"No")</f>
        <v>No</v>
      </c>
      <c r="AG20" s="5" t="str">
        <f ca="1">IFERROR(__xludf.DUMMYFUNCTION("""COMPUTED_VALUE"""),"No")</f>
        <v>No</v>
      </c>
      <c r="AH20" s="5" t="str">
        <f ca="1">IFERROR(__xludf.DUMMYFUNCTION("""COMPUTED_VALUE"""),"No")</f>
        <v>No</v>
      </c>
      <c r="AI20" s="5" t="str">
        <f ca="1">IFERROR(__xludf.DUMMYFUNCTION("""COMPUTED_VALUE"""),"No")</f>
        <v>No</v>
      </c>
      <c r="AJ20" s="5" t="str">
        <f ca="1">IFERROR(__xludf.DUMMYFUNCTION("""COMPUTED_VALUE"""),"No")</f>
        <v>No</v>
      </c>
    </row>
    <row r="21" spans="1:36" ht="13">
      <c r="A21" s="5" t="str">
        <f ca="1">IFERROR(__xludf.DUMMYFUNCTION("""COMPUTED_VALUE"""),"20230309OHMAM")</f>
        <v>20230309OHMAM</v>
      </c>
      <c r="B21" s="5">
        <f ca="1">IFERROR(__xludf.DUMMYFUNCTION("""COMPUTED_VALUE"""),3)</f>
        <v>3</v>
      </c>
      <c r="C21" s="5">
        <f ca="1">IFERROR(__xludf.DUMMYFUNCTION("""COMPUTED_VALUE"""),9)</f>
        <v>9</v>
      </c>
      <c r="D21" s="5">
        <f ca="1">IFERROR(__xludf.DUMMYFUNCTION("""COMPUTED_VALUE"""),2023)</f>
        <v>2023</v>
      </c>
      <c r="E21" s="8">
        <f ca="1">IFERROR(__xludf.DUMMYFUNCTION("""COMPUTED_VALUE"""),44994)</f>
        <v>44994</v>
      </c>
      <c r="F21" s="5" t="str">
        <f ca="1">IFERROR(__xludf.DUMMYFUNCTION("""COMPUTED_VALUE"""),"Maple Heights High School")</f>
        <v>Maple Heights High School</v>
      </c>
      <c r="G21" s="5">
        <f ca="1">IFERROR(__xludf.DUMMYFUNCTION("""COMPUTED_VALUE"""),0)</f>
        <v>0</v>
      </c>
      <c r="H21" s="5">
        <f ca="1">IFERROR(__xludf.DUMMYFUNCTION("""COMPUTED_VALUE"""),1)</f>
        <v>1</v>
      </c>
      <c r="I21" s="5">
        <f ca="1">IFERROR(__xludf.DUMMYFUNCTION("""COMPUTED_VALUE"""),1)</f>
        <v>1</v>
      </c>
      <c r="J21" s="5">
        <f ca="1">IFERROR(__xludf.DUMMYFUNCTION("""COMPUTED_VALUE"""),0)</f>
        <v>0</v>
      </c>
      <c r="K21" s="9" t="str">
        <f ca="1">IFERROR(__xludf.DUMMYFUNCTION("""COMPUTED_VALUE"""),"https://www.cleveland19.com/2023/03/08/maple-height-teen-shot-near-high-school/
https://www.news5cleveland.com/news/local-news/1-injured-after-shooting-near-maple-heights-high-school-police-ask-for-publics-help")</f>
        <v>https://www.cleveland19.com/2023/03/08/maple-height-teen-shot-near-high-school/
https://www.news5cleveland.com/news/local-news/1-injured-after-shooting-near-maple-heights-high-school-police-ask-for-publics-help</v>
      </c>
      <c r="L21" s="5">
        <f ca="1">IFERROR(__xludf.DUMMYFUNCTION("""COMPUTED_VALUE"""),2)</f>
        <v>2</v>
      </c>
      <c r="M21" s="5" t="str">
        <f ca="1">IFERROR(__xludf.DUMMYFUNCTION("""COMPUTED_VALUE"""),"Local")</f>
        <v>Local</v>
      </c>
      <c r="N21" s="5">
        <f ca="1">IFERROR(__xludf.DUMMYFUNCTION("""COMPUTED_VALUE"""),2)</f>
        <v>2</v>
      </c>
      <c r="O21" s="5" t="str">
        <f ca="1">IFERROR(__xludf.DUMMYFUNCTION("""COMPUTED_VALUE"""),"Spring")</f>
        <v>Spring</v>
      </c>
      <c r="P21" s="5" t="str">
        <f ca="1">IFERROR(__xludf.DUMMYFUNCTION("""COMPUTED_VALUE"""),"Maple Heights")</f>
        <v>Maple Heights</v>
      </c>
      <c r="Q21" s="5" t="str">
        <f ca="1">IFERROR(__xludf.DUMMYFUNCTION("""COMPUTED_VALUE"""),"OH")</f>
        <v>OH</v>
      </c>
      <c r="R21" s="5" t="str">
        <f ca="1">IFERROR(__xludf.DUMMYFUNCTION("""COMPUTED_VALUE"""),"High")</f>
        <v>High</v>
      </c>
      <c r="S21" s="5" t="str">
        <f ca="1">IFERROR(__xludf.DUMMYFUNCTION("""COMPUTED_VALUE"""),"Parking Lot")</f>
        <v>Parking Lot</v>
      </c>
      <c r="T21" s="5" t="str">
        <f ca="1">IFERROR(__xludf.DUMMYFUNCTION("""COMPUTED_VALUE"""),"Outside on School Property")</f>
        <v>Outside on School Property</v>
      </c>
      <c r="U21" s="5" t="str">
        <f ca="1">IFERROR(__xludf.DUMMYFUNCTION("""COMPUTED_VALUE"""),"Yes")</f>
        <v>Yes</v>
      </c>
      <c r="V21" s="5" t="str">
        <f ca="1">IFERROR(__xludf.DUMMYFUNCTION("""COMPUTED_VALUE"""),"Afternoon Classes")</f>
        <v>Afternoon Classes</v>
      </c>
      <c r="W21" s="10">
        <f ca="1">IFERROR(__xludf.DUMMYFUNCTION("""COMPUTED_VALUE"""),0.645833333333333)</f>
        <v>0.64583333333333304</v>
      </c>
      <c r="X21" s="5">
        <f ca="1">IFERROR(__xludf.DUMMYFUNCTION("""COMPUTED_VALUE"""),1)</f>
        <v>1</v>
      </c>
      <c r="Y21" s="5" t="str">
        <f ca="1">IFERROR(__xludf.DUMMYFUNCTION("""COMPUTED_VALUE"""),"17-year-old shot near the school parking lot, school went on lockdown")</f>
        <v>17-year-old shot near the school parking lot, school went on lockdown</v>
      </c>
      <c r="Z21" s="5" t="str">
        <f ca="1">IFERROR(__xludf.DUMMYFUNCTION("""COMPUTED_VALUE"""),"Multiple shots fired and 17-year-old wounded in or near the parking lot of the school. School went on lockdown for 50 minutes. Per school statement, the shooter and victim were not students.")</f>
        <v>Multiple shots fired and 17-year-old wounded in or near the parking lot of the school. School went on lockdown for 50 minutes. Per school statement, the shooter and victim were not students.</v>
      </c>
      <c r="AA21" s="5"/>
      <c r="AB21" s="5" t="str">
        <f ca="1">IFERROR(__xludf.DUMMYFUNCTION("""COMPUTED_VALUE"""),"Victims Targeted")</f>
        <v>Victims Targeted</v>
      </c>
      <c r="AC21" s="5" t="str">
        <f ca="1">IFERROR(__xludf.DUMMYFUNCTION("""COMPUTED_VALUE"""),"No")</f>
        <v>No</v>
      </c>
      <c r="AD21" s="5" t="str">
        <f ca="1">IFERROR(__xludf.DUMMYFUNCTION("""COMPUTED_VALUE"""),"No")</f>
        <v>No</v>
      </c>
      <c r="AE21" s="5" t="str">
        <f ca="1">IFERROR(__xludf.DUMMYFUNCTION("""COMPUTED_VALUE"""),"No")</f>
        <v>No</v>
      </c>
      <c r="AF21" s="5" t="str">
        <f ca="1">IFERROR(__xludf.DUMMYFUNCTION("""COMPUTED_VALUE"""),"No")</f>
        <v>No</v>
      </c>
      <c r="AG21" s="5" t="str">
        <f ca="1">IFERROR(__xludf.DUMMYFUNCTION("""COMPUTED_VALUE"""),"No")</f>
        <v>No</v>
      </c>
      <c r="AH21" s="5" t="str">
        <f ca="1">IFERROR(__xludf.DUMMYFUNCTION("""COMPUTED_VALUE"""),"No")</f>
        <v>No</v>
      </c>
      <c r="AI21" s="5"/>
      <c r="AJ21" s="5" t="str">
        <f ca="1">IFERROR(__xludf.DUMMYFUNCTION("""COMPUTED_VALUE"""),"No")</f>
        <v>No</v>
      </c>
    </row>
    <row r="22" spans="1:36" ht="13">
      <c r="A22" s="5" t="str">
        <f ca="1">IFERROR(__xludf.DUMMYFUNCTION("""COMPUTED_VALUE"""),"20230308WVHIH")</f>
        <v>20230308WVHIH</v>
      </c>
      <c r="B22" s="5">
        <f ca="1">IFERROR(__xludf.DUMMYFUNCTION("""COMPUTED_VALUE"""),3)</f>
        <v>3</v>
      </c>
      <c r="C22" s="5">
        <f ca="1">IFERROR(__xludf.DUMMYFUNCTION("""COMPUTED_VALUE"""),8)</f>
        <v>8</v>
      </c>
      <c r="D22" s="5">
        <f ca="1">IFERROR(__xludf.DUMMYFUNCTION("""COMPUTED_VALUE"""),2023)</f>
        <v>2023</v>
      </c>
      <c r="E22" s="8">
        <f ca="1">IFERROR(__xludf.DUMMYFUNCTION("""COMPUTED_VALUE"""),44993)</f>
        <v>44993</v>
      </c>
      <c r="F22" s="5" t="str">
        <f ca="1">IFERROR(__xludf.DUMMYFUNCTION("""COMPUTED_VALUE"""),"Hinton Area Elementary School")</f>
        <v>Hinton Area Elementary School</v>
      </c>
      <c r="G22" s="5">
        <f ca="1">IFERROR(__xludf.DUMMYFUNCTION("""COMPUTED_VALUE"""),0)</f>
        <v>0</v>
      </c>
      <c r="H22" s="5">
        <f ca="1">IFERROR(__xludf.DUMMYFUNCTION("""COMPUTED_VALUE"""),0)</f>
        <v>0</v>
      </c>
      <c r="I22" s="5">
        <f ca="1">IFERROR(__xludf.DUMMYFUNCTION("""COMPUTED_VALUE"""),0)</f>
        <v>0</v>
      </c>
      <c r="J22" s="5">
        <f ca="1">IFERROR(__xludf.DUMMYFUNCTION("""COMPUTED_VALUE"""),0)</f>
        <v>0</v>
      </c>
      <c r="K22" s="9" t="str">
        <f ca="1">IFERROR(__xludf.DUMMYFUNCTION("""COMPUTED_VALUE"""),"https://www.wvnstv.com/news/crime/summers-county-crime/man-arrested-after-shots-fired-near-elementary-school-in-summers-county/")</f>
        <v>https://www.wvnstv.com/news/crime/summers-county-crime/man-arrested-after-shots-fired-near-elementary-school-in-summers-county/</v>
      </c>
      <c r="L22" s="5">
        <f ca="1">IFERROR(__xludf.DUMMYFUNCTION("""COMPUTED_VALUE"""),1)</f>
        <v>1</v>
      </c>
      <c r="M22" s="5" t="str">
        <f ca="1">IFERROR(__xludf.DUMMYFUNCTION("""COMPUTED_VALUE"""),"Local")</f>
        <v>Local</v>
      </c>
      <c r="N22" s="5">
        <f ca="1">IFERROR(__xludf.DUMMYFUNCTION("""COMPUTED_VALUE"""),3)</f>
        <v>3</v>
      </c>
      <c r="O22" s="5" t="str">
        <f ca="1">IFERROR(__xludf.DUMMYFUNCTION("""COMPUTED_VALUE"""),"Spring")</f>
        <v>Spring</v>
      </c>
      <c r="P22" s="5" t="str">
        <f ca="1">IFERROR(__xludf.DUMMYFUNCTION("""COMPUTED_VALUE"""),"Hinton")</f>
        <v>Hinton</v>
      </c>
      <c r="Q22" s="5" t="str">
        <f ca="1">IFERROR(__xludf.DUMMYFUNCTION("""COMPUTED_VALUE"""),"WV")</f>
        <v>WV</v>
      </c>
      <c r="R22" s="5" t="str">
        <f ca="1">IFERROR(__xludf.DUMMYFUNCTION("""COMPUTED_VALUE"""),"Elementary")</f>
        <v>Elementary</v>
      </c>
      <c r="S22" s="5" t="str">
        <f ca="1">IFERROR(__xludf.DUMMYFUNCTION("""COMPUTED_VALUE"""),"Outside on School Property")</f>
        <v>Outside on School Property</v>
      </c>
      <c r="T22" s="5" t="str">
        <f ca="1">IFERROR(__xludf.DUMMYFUNCTION("""COMPUTED_VALUE"""),"Outside on School Property")</f>
        <v>Outside on School Property</v>
      </c>
      <c r="U22" s="5" t="str">
        <f ca="1">IFERROR(__xludf.DUMMYFUNCTION("""COMPUTED_VALUE"""),"No")</f>
        <v>No</v>
      </c>
      <c r="V22" s="5" t="str">
        <f ca="1">IFERROR(__xludf.DUMMYFUNCTION("""COMPUTED_VALUE"""),"After School")</f>
        <v>After School</v>
      </c>
      <c r="W22" s="10">
        <f ca="1">IFERROR(__xludf.DUMMYFUNCTION("""COMPUTED_VALUE"""),0.683333333333333)</f>
        <v>0.68333333333333302</v>
      </c>
      <c r="X22" s="5">
        <f ca="1">IFERROR(__xludf.DUMMYFUNCTION("""COMPUTED_VALUE"""),1)</f>
        <v>1</v>
      </c>
      <c r="Y22" s="5" t="str">
        <f ca="1">IFERROR(__xludf.DUMMYFUNCTION("""COMPUTED_VALUE"""),"23-year-old man fired shots outside school")</f>
        <v>23-year-old man fired shots outside school</v>
      </c>
      <c r="Z22" s="5" t="str">
        <f ca="1">IFERROR(__xludf.DUMMYFUNCTION("""COMPUTED_VALUE"""),"23-year-old man fired shots outside school. Arrested by police. School was not targeted, shooting was related to illegal drugs.")</f>
        <v>23-year-old man fired shots outside school. Arrested by police. School was not targeted, shooting was related to illegal drugs.</v>
      </c>
      <c r="AA22" s="5" t="str">
        <f ca="1">IFERROR(__xludf.DUMMYFUNCTION("""COMPUTED_VALUE"""),"Illegal Activity")</f>
        <v>Illegal Activity</v>
      </c>
      <c r="AB22" s="5" t="str">
        <f ca="1">IFERROR(__xludf.DUMMYFUNCTION("""COMPUTED_VALUE"""),"Neither")</f>
        <v>Neither</v>
      </c>
      <c r="AC22" s="5" t="str">
        <f ca="1">IFERROR(__xludf.DUMMYFUNCTION("""COMPUTED_VALUE"""),"No")</f>
        <v>No</v>
      </c>
      <c r="AD22" s="5" t="str">
        <f ca="1">IFERROR(__xludf.DUMMYFUNCTION("""COMPUTED_VALUE"""),"No")</f>
        <v>No</v>
      </c>
      <c r="AE22" s="5" t="str">
        <f ca="1">IFERROR(__xludf.DUMMYFUNCTION("""COMPUTED_VALUE"""),"No")</f>
        <v>No</v>
      </c>
      <c r="AF22" s="5" t="str">
        <f ca="1">IFERROR(__xludf.DUMMYFUNCTION("""COMPUTED_VALUE"""),"No")</f>
        <v>No</v>
      </c>
      <c r="AG22" s="5" t="str">
        <f ca="1">IFERROR(__xludf.DUMMYFUNCTION("""COMPUTED_VALUE"""),"No")</f>
        <v>No</v>
      </c>
      <c r="AH22" s="5" t="str">
        <f ca="1">IFERROR(__xludf.DUMMYFUNCTION("""COMPUTED_VALUE"""),"No")</f>
        <v>No</v>
      </c>
      <c r="AI22" s="5" t="str">
        <f ca="1">IFERROR(__xludf.DUMMYFUNCTION("""COMPUTED_VALUE"""),"No")</f>
        <v>No</v>
      </c>
      <c r="AJ22" s="5" t="str">
        <f ca="1">IFERROR(__xludf.DUMMYFUNCTION("""COMPUTED_VALUE"""),"No")</f>
        <v>No</v>
      </c>
    </row>
    <row r="23" spans="1:36" ht="13">
      <c r="A23" s="5" t="str">
        <f ca="1">IFERROR(__xludf.DUMMYFUNCTION("""COMPUTED_VALUE"""),"20230308PAHEP")</f>
        <v>20230308PAHEP</v>
      </c>
      <c r="B23" s="5">
        <f ca="1">IFERROR(__xludf.DUMMYFUNCTION("""COMPUTED_VALUE"""),3)</f>
        <v>3</v>
      </c>
      <c r="C23" s="5">
        <f ca="1">IFERROR(__xludf.DUMMYFUNCTION("""COMPUTED_VALUE"""),8)</f>
        <v>8</v>
      </c>
      <c r="D23" s="5">
        <f ca="1">IFERROR(__xludf.DUMMYFUNCTION("""COMPUTED_VALUE"""),2023)</f>
        <v>2023</v>
      </c>
      <c r="E23" s="8">
        <f ca="1">IFERROR(__xludf.DUMMYFUNCTION("""COMPUTED_VALUE"""),44993)</f>
        <v>44993</v>
      </c>
      <c r="F23" s="5" t="str">
        <f ca="1">IFERROR(__xludf.DUMMYFUNCTION("""COMPUTED_VALUE"""),"Heston Elementary School")</f>
        <v>Heston Elementary School</v>
      </c>
      <c r="G23" s="5">
        <f ca="1">IFERROR(__xludf.DUMMYFUNCTION("""COMPUTED_VALUE"""),0)</f>
        <v>0</v>
      </c>
      <c r="H23" s="5">
        <f ca="1">IFERROR(__xludf.DUMMYFUNCTION("""COMPUTED_VALUE"""),1)</f>
        <v>1</v>
      </c>
      <c r="I23" s="5">
        <f ca="1">IFERROR(__xludf.DUMMYFUNCTION("""COMPUTED_VALUE"""),1)</f>
        <v>1</v>
      </c>
      <c r="J23" s="5">
        <f ca="1">IFERROR(__xludf.DUMMYFUNCTION("""COMPUTED_VALUE"""),0)</f>
        <v>0</v>
      </c>
      <c r="K23" s="9" t="str">
        <f ca="1">IFERROR(__xludf.DUMMYFUNCTION("""COMPUTED_VALUE"""),"https://whyy.org/articles/west-philadelphia-shooting-heston-school-54th-street-lansdowne-avenue/
https://www.nbcphiladelphia.com/news/local/person-shot-near-school-in-west-philadelphia-police-say/3517052/")</f>
        <v>https://whyy.org/articles/west-philadelphia-shooting-heston-school-54th-street-lansdowne-avenue/
https://www.nbcphiladelphia.com/news/local/person-shot-near-school-in-west-philadelphia-police-say/3517052/</v>
      </c>
      <c r="L23" s="5">
        <f ca="1">IFERROR(__xludf.DUMMYFUNCTION("""COMPUTED_VALUE"""),10)</f>
        <v>10</v>
      </c>
      <c r="M23" s="5" t="str">
        <f ca="1">IFERROR(__xludf.DUMMYFUNCTION("""COMPUTED_VALUE"""),"Regional")</f>
        <v>Regional</v>
      </c>
      <c r="N23" s="5">
        <f ca="1">IFERROR(__xludf.DUMMYFUNCTION("""COMPUTED_VALUE"""),4)</f>
        <v>4</v>
      </c>
      <c r="O23" s="5" t="str">
        <f ca="1">IFERROR(__xludf.DUMMYFUNCTION("""COMPUTED_VALUE"""),"Spring")</f>
        <v>Spring</v>
      </c>
      <c r="P23" s="5" t="str">
        <f ca="1">IFERROR(__xludf.DUMMYFUNCTION("""COMPUTED_VALUE"""),"Philadelphia")</f>
        <v>Philadelphia</v>
      </c>
      <c r="Q23" s="5" t="str">
        <f ca="1">IFERROR(__xludf.DUMMYFUNCTION("""COMPUTED_VALUE"""),"PA")</f>
        <v>PA</v>
      </c>
      <c r="R23" s="5" t="str">
        <f ca="1">IFERROR(__xludf.DUMMYFUNCTION("""COMPUTED_VALUE"""),"Elementary")</f>
        <v>Elementary</v>
      </c>
      <c r="S23" s="5" t="str">
        <f ca="1">IFERROR(__xludf.DUMMYFUNCTION("""COMPUTED_VALUE"""),"Front of School")</f>
        <v>Front of School</v>
      </c>
      <c r="T23" s="5" t="str">
        <f ca="1">IFERROR(__xludf.DUMMYFUNCTION("""COMPUTED_VALUE"""),"Outside on School Property")</f>
        <v>Outside on School Property</v>
      </c>
      <c r="U23" s="5" t="str">
        <f ca="1">IFERROR(__xludf.DUMMYFUNCTION("""COMPUTED_VALUE"""),"Yes")</f>
        <v>Yes</v>
      </c>
      <c r="V23" s="5" t="str">
        <f ca="1">IFERROR(__xludf.DUMMYFUNCTION("""COMPUTED_VALUE"""),"Dismissal")</f>
        <v>Dismissal</v>
      </c>
      <c r="W23" s="10">
        <f ca="1">IFERROR(__xludf.DUMMYFUNCTION("""COMPUTED_VALUE"""),0.65625)</f>
        <v>0.65625</v>
      </c>
      <c r="X23" s="5">
        <f ca="1">IFERROR(__xludf.DUMMYFUNCTION("""COMPUTED_VALUE"""),1)</f>
        <v>1</v>
      </c>
      <c r="Y23" s="5" t="str">
        <f ca="1">IFERROR(__xludf.DUMMYFUNCTION("""COMPUTED_VALUE"""),"10 shots fired outside, bullet went through office window with 3 staff members standing nearby")</f>
        <v>10 shots fired outside, bullet went through office window with 3 staff members standing nearby</v>
      </c>
      <c r="Z23" s="5" t="str">
        <f ca="1">IFERROR(__xludf.DUMMYFUNCTION("""COMPUTED_VALUE"""),"A 21-year-old man was outside the Heston Elementary School along the 1600 block of North 54th Street around 3:45 p.m. when at least one gunman fired at least 10 shots, according to investigators. ""This is totally unacceptable to fire shots anywhere in th"&amp;"e city, especially so close to where school children are,"" Philadelphia School District spokesperson Monique Braxton said. The 21-year-old man was shot once in the thigh. He was taken to the hospital in stable condition. Bullets also went through the win"&amp;"dow of the school's main office, nearly striking the school secretary and two other employees who were inside. “She heard the bullets whiz by,"" Braxton said. ""That’s how close it was to her. And two other people were also standing in the office at that "&amp;"time.” 
The shooting occurred 45 minutes after dismissal, according to Braxton, though there were still children inside the building at the time. The school was placed on lockdown before it was later lifted as parents picked up their kids.")</f>
        <v>A 21-year-old man was outside the Heston Elementary School along the 1600 block of North 54th Street around 3:45 p.m. when at least one gunman fired at least 10 shots, according to investigators. "This is totally unacceptable to fire shots anywhere in the city, especially so close to where school children are," Philadelphia School District spokesperson Monique Braxton said. The 21-year-old man was shot once in the thigh. He was taken to the hospital in stable condition. Bullets also went through the window of the school's main office, nearly striking the school secretary and two other employees who were inside. “She heard the bullets whiz by," Braxton said. "That’s how close it was to her. And two other people were also standing in the office at that time.” 
The shooting occurred 45 minutes after dismissal, according to Braxton, though there were still children inside the building at the time. The school was placed on lockdown before it was later lifted as parents picked up their kids.</v>
      </c>
      <c r="AA23" s="5"/>
      <c r="AB23" s="5" t="str">
        <f ca="1">IFERROR(__xludf.DUMMYFUNCTION("""COMPUTED_VALUE"""),"Victims Targeted")</f>
        <v>Victims Targeted</v>
      </c>
      <c r="AC23" s="5" t="str">
        <f ca="1">IFERROR(__xludf.DUMMYFUNCTION("""COMPUTED_VALUE"""),"No")</f>
        <v>No</v>
      </c>
      <c r="AD23" s="5" t="str">
        <f ca="1">IFERROR(__xludf.DUMMYFUNCTION("""COMPUTED_VALUE"""),"No")</f>
        <v>No</v>
      </c>
      <c r="AE23" s="5" t="str">
        <f ca="1">IFERROR(__xludf.DUMMYFUNCTION("""COMPUTED_VALUE"""),"No")</f>
        <v>No</v>
      </c>
      <c r="AF23" s="5" t="str">
        <f ca="1">IFERROR(__xludf.DUMMYFUNCTION("""COMPUTED_VALUE"""),"No")</f>
        <v>No</v>
      </c>
      <c r="AG23" s="5" t="str">
        <f ca="1">IFERROR(__xludf.DUMMYFUNCTION("""COMPUTED_VALUE"""),"No")</f>
        <v>No</v>
      </c>
      <c r="AH23" s="5" t="str">
        <f ca="1">IFERROR(__xludf.DUMMYFUNCTION("""COMPUTED_VALUE"""),"No")</f>
        <v>No</v>
      </c>
      <c r="AI23" s="5"/>
      <c r="AJ23" s="5" t="str">
        <f ca="1">IFERROR(__xludf.DUMMYFUNCTION("""COMPUTED_VALUE"""),"No")</f>
        <v>No</v>
      </c>
    </row>
    <row r="24" spans="1:36" ht="13">
      <c r="A24" s="5" t="str">
        <f ca="1">IFERROR(__xludf.DUMMYFUNCTION("""COMPUTED_VALUE"""),"20230307INTHI")</f>
        <v>20230307INTHI</v>
      </c>
      <c r="B24" s="5">
        <f ca="1">IFERROR(__xludf.DUMMYFUNCTION("""COMPUTED_VALUE"""),3)</f>
        <v>3</v>
      </c>
      <c r="C24" s="5">
        <f ca="1">IFERROR(__xludf.DUMMYFUNCTION("""COMPUTED_VALUE"""),7)</f>
        <v>7</v>
      </c>
      <c r="D24" s="5">
        <f ca="1">IFERROR(__xludf.DUMMYFUNCTION("""COMPUTED_VALUE"""),2023)</f>
        <v>2023</v>
      </c>
      <c r="E24" s="8">
        <f ca="1">IFERROR(__xludf.DUMMYFUNCTION("""COMPUTED_VALUE"""),44992)</f>
        <v>44992</v>
      </c>
      <c r="F24" s="5" t="str">
        <f ca="1">IFERROR(__xludf.DUMMYFUNCTION("""COMPUTED_VALUE"""),"Thomas Carr Howe High School")</f>
        <v>Thomas Carr Howe High School</v>
      </c>
      <c r="G24" s="5">
        <f ca="1">IFERROR(__xludf.DUMMYFUNCTION("""COMPUTED_VALUE"""),1)</f>
        <v>1</v>
      </c>
      <c r="H24" s="5">
        <f ca="1">IFERROR(__xludf.DUMMYFUNCTION("""COMPUTED_VALUE"""),0)</f>
        <v>0</v>
      </c>
      <c r="I24" s="5">
        <f ca="1">IFERROR(__xludf.DUMMYFUNCTION("""COMPUTED_VALUE"""),1)</f>
        <v>1</v>
      </c>
      <c r="J24" s="5">
        <f ca="1">IFERROR(__xludf.DUMMYFUNCTION("""COMPUTED_VALUE"""),0)</f>
        <v>0</v>
      </c>
      <c r="K24" s="9" t="str">
        <f ca="1">IFERROR(__xludf.DUMMYFUNCTION("""COMPUTED_VALUE"""),"https://www.wthr.com/article/news/local/shooting-near-thomas-carr-howe-high-school-east-side-indianapolis-indiana/531-34c5ff21-1515-4fa6-853e-c1434bc2aaac
https://fox59.com/news/indycrime/person-shot-near-east-side-indy-high-school/")</f>
        <v>https://www.wthr.com/article/news/local/shooting-near-thomas-carr-howe-high-school-east-side-indianapolis-indiana/531-34c5ff21-1515-4fa6-853e-c1434bc2aaac
https://fox59.com/news/indycrime/person-shot-near-east-side-indy-high-school/</v>
      </c>
      <c r="L24" s="5">
        <f ca="1">IFERROR(__xludf.DUMMYFUNCTION("""COMPUTED_VALUE"""),10)</f>
        <v>10</v>
      </c>
      <c r="M24" s="5" t="str">
        <f ca="1">IFERROR(__xludf.DUMMYFUNCTION("""COMPUTED_VALUE"""),"Regional")</f>
        <v>Regional</v>
      </c>
      <c r="N24" s="5">
        <f ca="1">IFERROR(__xludf.DUMMYFUNCTION("""COMPUTED_VALUE"""),4)</f>
        <v>4</v>
      </c>
      <c r="O24" s="5" t="str">
        <f ca="1">IFERROR(__xludf.DUMMYFUNCTION("""COMPUTED_VALUE"""),"Spring")</f>
        <v>Spring</v>
      </c>
      <c r="P24" s="5" t="str">
        <f ca="1">IFERROR(__xludf.DUMMYFUNCTION("""COMPUTED_VALUE"""),"Indianapolis")</f>
        <v>Indianapolis</v>
      </c>
      <c r="Q24" s="5" t="str">
        <f ca="1">IFERROR(__xludf.DUMMYFUNCTION("""COMPUTED_VALUE"""),"IN")</f>
        <v>IN</v>
      </c>
      <c r="R24" s="5" t="str">
        <f ca="1">IFERROR(__xludf.DUMMYFUNCTION("""COMPUTED_VALUE"""),"High")</f>
        <v>High</v>
      </c>
      <c r="S24" s="5" t="str">
        <f ca="1">IFERROR(__xludf.DUMMYFUNCTION("""COMPUTED_VALUE"""),"Parking Lot")</f>
        <v>Parking Lot</v>
      </c>
      <c r="T24" s="5" t="str">
        <f ca="1">IFERROR(__xludf.DUMMYFUNCTION("""COMPUTED_VALUE"""),"Outside on School Property")</f>
        <v>Outside on School Property</v>
      </c>
      <c r="U24" s="5" t="str">
        <f ca="1">IFERROR(__xludf.DUMMYFUNCTION("""COMPUTED_VALUE"""),"No")</f>
        <v>No</v>
      </c>
      <c r="V24" s="5" t="str">
        <f ca="1">IFERROR(__xludf.DUMMYFUNCTION("""COMPUTED_VALUE"""),"Sport Event")</f>
        <v>Sport Event</v>
      </c>
      <c r="W24" s="10">
        <f ca="1">IFERROR(__xludf.DUMMYFUNCTION("""COMPUTED_VALUE"""),0.840277777777777)</f>
        <v>0.84027777777777701</v>
      </c>
      <c r="X24" s="5">
        <f ca="1">IFERROR(__xludf.DUMMYFUNCTION("""COMPUTED_VALUE"""),1)</f>
        <v>1</v>
      </c>
      <c r="Y24" s="5" t="str">
        <f ca="1">IFERROR(__xludf.DUMMYFUNCTION("""COMPUTED_VALUE"""),"19-year-old male fatally shot near door to gym during high school basketball game")</f>
        <v>19-year-old male fatally shot near door to gym during high school basketball game</v>
      </c>
      <c r="Z24" s="5" t="str">
        <f ca="1">IFERROR(__xludf.DUMMYFUNCTION("""COMPUTED_VALUE"""),"Indianapolis Metropolitan Police Department crews were called around 8:10 p.m. to 4900 Julian Avenue, the address listed for Thomas Carr Howe High School, for a person shot. Upon arrival at the building, which is near the intersection of E. Washington Str"&amp;"eet and Emerson Avenue, IMPD crews found one person in the parking lot with a gunshot wound. That victim, who IMPD identified as a male, was taken to a local hospital where he later died from his injuries. Police did not release the age of the male victim"&amp;". IMPD PIO William Young said on scene that detectives have identified and are speaking with a person of interest regarding the shooting. Several bullet casings were found near the male victim in the school’s parking lot, IMPD said.")</f>
        <v>Indianapolis Metropolitan Police Department crews were called around 8:10 p.m. to 4900 Julian Avenue, the address listed for Thomas Carr Howe High School, for a person shot. Upon arrival at the building, which is near the intersection of E. Washington Street and Emerson Avenue, IMPD crews found one person in the parking lot with a gunshot wound. That victim, who IMPD identified as a male, was taken to a local hospital where he later died from his injuries. Police did not release the age of the male victim. IMPD PIO William Young said on scene that detectives have identified and are speaking with a person of interest regarding the shooting. Several bullet casings were found near the male victim in the school’s parking lot, IMPD said.</v>
      </c>
      <c r="AA24" s="5"/>
      <c r="AB24" s="5" t="str">
        <f ca="1">IFERROR(__xludf.DUMMYFUNCTION("""COMPUTED_VALUE"""),"Victims Targeted")</f>
        <v>Victims Targeted</v>
      </c>
      <c r="AC24" s="5"/>
      <c r="AD24" s="5" t="str">
        <f ca="1">IFERROR(__xludf.DUMMYFUNCTION("""COMPUTED_VALUE"""),"No")</f>
        <v>No</v>
      </c>
      <c r="AE24" s="5" t="str">
        <f ca="1">IFERROR(__xludf.DUMMYFUNCTION("""COMPUTED_VALUE"""),"No")</f>
        <v>No</v>
      </c>
      <c r="AF24" s="5" t="str">
        <f ca="1">IFERROR(__xludf.DUMMYFUNCTION("""COMPUTED_VALUE"""),"No")</f>
        <v>No</v>
      </c>
      <c r="AG24" s="5" t="str">
        <f ca="1">IFERROR(__xludf.DUMMYFUNCTION("""COMPUTED_VALUE"""),"No")</f>
        <v>No</v>
      </c>
      <c r="AH24" s="5" t="str">
        <f ca="1">IFERROR(__xludf.DUMMYFUNCTION("""COMPUTED_VALUE"""),"No")</f>
        <v>No</v>
      </c>
      <c r="AI24" s="5"/>
      <c r="AJ24" s="5" t="str">
        <f ca="1">IFERROR(__xludf.DUMMYFUNCTION("""COMPUTED_VALUE"""),"No")</f>
        <v>No</v>
      </c>
    </row>
    <row r="25" spans="1:36" ht="13">
      <c r="A25" s="5" t="str">
        <f ca="1">IFERROR(__xludf.DUMMYFUNCTION("""COMPUTED_VALUE"""),"20230306NYPAN")</f>
        <v>20230306NYPAN</v>
      </c>
      <c r="B25" s="5">
        <f ca="1">IFERROR(__xludf.DUMMYFUNCTION("""COMPUTED_VALUE"""),3)</f>
        <v>3</v>
      </c>
      <c r="C25" s="5">
        <f ca="1">IFERROR(__xludf.DUMMYFUNCTION("""COMPUTED_VALUE"""),6)</f>
        <v>6</v>
      </c>
      <c r="D25" s="5">
        <f ca="1">IFERROR(__xludf.DUMMYFUNCTION("""COMPUTED_VALUE"""),2023)</f>
        <v>2023</v>
      </c>
      <c r="E25" s="8">
        <f ca="1">IFERROR(__xludf.DUMMYFUNCTION("""COMPUTED_VALUE"""),44991)</f>
        <v>44991</v>
      </c>
      <c r="F25" s="5" t="str">
        <f ca="1">IFERROR(__xludf.DUMMYFUNCTION("""COMPUTED_VALUE"""),"Park West High School")</f>
        <v>Park West High School</v>
      </c>
      <c r="G25" s="5">
        <f ca="1">IFERROR(__xludf.DUMMYFUNCTION("""COMPUTED_VALUE"""),0)</f>
        <v>0</v>
      </c>
      <c r="H25" s="5">
        <f ca="1">IFERROR(__xludf.DUMMYFUNCTION("""COMPUTED_VALUE"""),1)</f>
        <v>1</v>
      </c>
      <c r="I25" s="5">
        <f ca="1">IFERROR(__xludf.DUMMYFUNCTION("""COMPUTED_VALUE"""),1)</f>
        <v>1</v>
      </c>
      <c r="J25" s="5">
        <f ca="1">IFERROR(__xludf.DUMMYFUNCTION("""COMPUTED_VALUE"""),0)</f>
        <v>0</v>
      </c>
      <c r="K25" s="9" t="str">
        <f ca="1">IFERROR(__xludf.DUMMYFUNCTION("""COMPUTED_VALUE"""),"https://nypost.com/2023/03/07/15-year-old-shot-outside-nycs-park-west-high-school/")</f>
        <v>https://nypost.com/2023/03/07/15-year-old-shot-outside-nycs-park-west-high-school/</v>
      </c>
      <c r="L25" s="5">
        <f ca="1">IFERROR(__xludf.DUMMYFUNCTION("""COMPUTED_VALUE"""),1)</f>
        <v>1</v>
      </c>
      <c r="M25" s="5" t="str">
        <f ca="1">IFERROR(__xludf.DUMMYFUNCTION("""COMPUTED_VALUE"""),"Local")</f>
        <v>Local</v>
      </c>
      <c r="N25" s="5">
        <f ca="1">IFERROR(__xludf.DUMMYFUNCTION("""COMPUTED_VALUE"""),3)</f>
        <v>3</v>
      </c>
      <c r="O25" s="5" t="str">
        <f ca="1">IFERROR(__xludf.DUMMYFUNCTION("""COMPUTED_VALUE"""),"Spring")</f>
        <v>Spring</v>
      </c>
      <c r="P25" s="5" t="str">
        <f ca="1">IFERROR(__xludf.DUMMYFUNCTION("""COMPUTED_VALUE"""),"New York")</f>
        <v>New York</v>
      </c>
      <c r="Q25" s="5" t="str">
        <f ca="1">IFERROR(__xludf.DUMMYFUNCTION("""COMPUTED_VALUE"""),"NY")</f>
        <v>NY</v>
      </c>
      <c r="R25" s="5" t="str">
        <f ca="1">IFERROR(__xludf.DUMMYFUNCTION("""COMPUTED_VALUE"""),"High")</f>
        <v>High</v>
      </c>
      <c r="S25" s="5" t="str">
        <f ca="1">IFERROR(__xludf.DUMMYFUNCTION("""COMPUTED_VALUE"""),"Front of School")</f>
        <v>Front of School</v>
      </c>
      <c r="T25" s="5" t="str">
        <f ca="1">IFERROR(__xludf.DUMMYFUNCTION("""COMPUTED_VALUE"""),"Outside on School Property")</f>
        <v>Outside on School Property</v>
      </c>
      <c r="U25" s="5" t="str">
        <f ca="1">IFERROR(__xludf.DUMMYFUNCTION("""COMPUTED_VALUE"""),"Yes")</f>
        <v>Yes</v>
      </c>
      <c r="V25" s="5" t="str">
        <f ca="1">IFERROR(__xludf.DUMMYFUNCTION("""COMPUTED_VALUE"""),"Dismissal")</f>
        <v>Dismissal</v>
      </c>
      <c r="W25" s="10">
        <f ca="1">IFERROR(__xludf.DUMMYFUNCTION("""COMPUTED_VALUE"""),0.625)</f>
        <v>0.625</v>
      </c>
      <c r="X25" s="5">
        <f ca="1">IFERROR(__xludf.DUMMYFUNCTION("""COMPUTED_VALUE"""),1)</f>
        <v>1</v>
      </c>
      <c r="Y25" s="5" t="str">
        <f ca="1">IFERROR(__xludf.DUMMYFUNCTION("""COMPUTED_VALUE"""),"Student shot in the back at dismissal")</f>
        <v>Student shot in the back at dismissal</v>
      </c>
      <c r="Z25" s="5" t="str">
        <f ca="1">IFERROR(__xludf.DUMMYFUNCTION("""COMPUTED_VALUE"""),"A 15-year-old boy was shot in the back near a Hell’s Kitchen high school Monday right after dismissal, although he didn’t go to a hospital for treatment until 10 hours later, cops said Tuesday. The teen — who has been “highly uncooperative” with cops — wa"&amp;"s shot near Park West High School at 534 W. 50th St. in Manhattan just after 3 p.m., police said.")</f>
        <v>A 15-year-old boy was shot in the back near a Hell’s Kitchen high school Monday right after dismissal, although he didn’t go to a hospital for treatment until 10 hours later, cops said Tuesday. The teen — who has been “highly uncooperative” with cops — was shot near Park West High School at 534 W. 50th St. in Manhattan just after 3 p.m., police said.</v>
      </c>
      <c r="AA25" s="5"/>
      <c r="AB25" s="5" t="str">
        <f ca="1">IFERROR(__xludf.DUMMYFUNCTION("""COMPUTED_VALUE"""),"Victims Targeted")</f>
        <v>Victims Targeted</v>
      </c>
      <c r="AC25" s="5"/>
      <c r="AD25" s="5" t="str">
        <f ca="1">IFERROR(__xludf.DUMMYFUNCTION("""COMPUTED_VALUE"""),"No")</f>
        <v>No</v>
      </c>
      <c r="AE25" s="5" t="str">
        <f ca="1">IFERROR(__xludf.DUMMYFUNCTION("""COMPUTED_VALUE"""),"No")</f>
        <v>No</v>
      </c>
      <c r="AF25" s="5" t="str">
        <f ca="1">IFERROR(__xludf.DUMMYFUNCTION("""COMPUTED_VALUE"""),"No")</f>
        <v>No</v>
      </c>
      <c r="AG25" s="5" t="str">
        <f ca="1">IFERROR(__xludf.DUMMYFUNCTION("""COMPUTED_VALUE"""),"No")</f>
        <v>No</v>
      </c>
      <c r="AH25" s="5" t="str">
        <f ca="1">IFERROR(__xludf.DUMMYFUNCTION("""COMPUTED_VALUE"""),"No")</f>
        <v>No</v>
      </c>
      <c r="AI25" s="5"/>
      <c r="AJ25" s="5" t="str">
        <f ca="1">IFERROR(__xludf.DUMMYFUNCTION("""COMPUTED_VALUE"""),"No")</f>
        <v>No</v>
      </c>
    </row>
    <row r="26" spans="1:36" ht="13">
      <c r="A26" s="5" t="str">
        <f ca="1">IFERROR(__xludf.DUMMYFUNCTION("""COMPUTED_VALUE"""),"20230306TXPAA")</f>
        <v>20230306TXPAA</v>
      </c>
      <c r="B26" s="5">
        <f ca="1">IFERROR(__xludf.DUMMYFUNCTION("""COMPUTED_VALUE"""),3)</f>
        <v>3</v>
      </c>
      <c r="C26" s="5">
        <f ca="1">IFERROR(__xludf.DUMMYFUNCTION("""COMPUTED_VALUE"""),6)</f>
        <v>6</v>
      </c>
      <c r="D26" s="5">
        <f ca="1">IFERROR(__xludf.DUMMYFUNCTION("""COMPUTED_VALUE"""),2023)</f>
        <v>2023</v>
      </c>
      <c r="E26" s="8">
        <f ca="1">IFERROR(__xludf.DUMMYFUNCTION("""COMPUTED_VALUE"""),44991)</f>
        <v>44991</v>
      </c>
      <c r="F26" s="5" t="str">
        <f ca="1">IFERROR(__xludf.DUMMYFUNCTION("""COMPUTED_VALUE"""),"Palo Duro High School")</f>
        <v>Palo Duro High School</v>
      </c>
      <c r="G26" s="5">
        <f ca="1">IFERROR(__xludf.DUMMYFUNCTION("""COMPUTED_VALUE"""),0)</f>
        <v>0</v>
      </c>
      <c r="H26" s="5">
        <f ca="1">IFERROR(__xludf.DUMMYFUNCTION("""COMPUTED_VALUE"""),1)</f>
        <v>1</v>
      </c>
      <c r="I26" s="5">
        <f ca="1">IFERROR(__xludf.DUMMYFUNCTION("""COMPUTED_VALUE"""),1)</f>
        <v>1</v>
      </c>
      <c r="J26" s="5">
        <f ca="1">IFERROR(__xludf.DUMMYFUNCTION("""COMPUTED_VALUE"""),0)</f>
        <v>0</v>
      </c>
      <c r="K26" s="9" t="str">
        <f ca="1">IFERROR(__xludf.DUMMYFUNCTION("""COMPUTED_VALUE"""),"https://abc7amarillo.com/news/local/multiple-shots-fired-stray-bullet-hits-palo-duro-high-school-student-on-tennis-court-lockdown-whittier-elementary-school-amarillo-texas-amarillo-police-department-crime-stoppers-gun-crime-palo-duro-dons")</f>
        <v>https://abc7amarillo.com/news/local/multiple-shots-fired-stray-bullet-hits-palo-duro-high-school-student-on-tennis-court-lockdown-whittier-elementary-school-amarillo-texas-amarillo-police-department-crime-stoppers-gun-crime-palo-duro-dons</v>
      </c>
      <c r="L26" s="5">
        <f ca="1">IFERROR(__xludf.DUMMYFUNCTION("""COMPUTED_VALUE"""),10)</f>
        <v>10</v>
      </c>
      <c r="M26" s="5" t="str">
        <f ca="1">IFERROR(__xludf.DUMMYFUNCTION("""COMPUTED_VALUE"""),"Regional")</f>
        <v>Regional</v>
      </c>
      <c r="N26" s="5">
        <f ca="1">IFERROR(__xludf.DUMMYFUNCTION("""COMPUTED_VALUE"""),4)</f>
        <v>4</v>
      </c>
      <c r="O26" s="5" t="str">
        <f ca="1">IFERROR(__xludf.DUMMYFUNCTION("""COMPUTED_VALUE"""),"Spring")</f>
        <v>Spring</v>
      </c>
      <c r="P26" s="5" t="str">
        <f ca="1">IFERROR(__xludf.DUMMYFUNCTION("""COMPUTED_VALUE"""),"Amarillo")</f>
        <v>Amarillo</v>
      </c>
      <c r="Q26" s="5" t="str">
        <f ca="1">IFERROR(__xludf.DUMMYFUNCTION("""COMPUTED_VALUE"""),"TX")</f>
        <v>TX</v>
      </c>
      <c r="R26" s="5" t="str">
        <f ca="1">IFERROR(__xludf.DUMMYFUNCTION("""COMPUTED_VALUE"""),"High")</f>
        <v>High</v>
      </c>
      <c r="S26" s="5" t="str">
        <f ca="1">IFERROR(__xludf.DUMMYFUNCTION("""COMPUTED_VALUE"""),"Basketball Court")</f>
        <v>Basketball Court</v>
      </c>
      <c r="T26" s="5" t="str">
        <f ca="1">IFERROR(__xludf.DUMMYFUNCTION("""COMPUTED_VALUE"""),"Outside on School Property")</f>
        <v>Outside on School Property</v>
      </c>
      <c r="U26" s="5" t="str">
        <f ca="1">IFERROR(__xludf.DUMMYFUNCTION("""COMPUTED_VALUE"""),"Yes")</f>
        <v>Yes</v>
      </c>
      <c r="V26" s="5" t="str">
        <f ca="1">IFERROR(__xludf.DUMMYFUNCTION("""COMPUTED_VALUE"""),"Afternoon Classes")</f>
        <v>Afternoon Classes</v>
      </c>
      <c r="W26" s="10">
        <f ca="1">IFERROR(__xludf.DUMMYFUNCTION("""COMPUTED_VALUE"""),0.583333333333333)</f>
        <v>0.58333333333333304</v>
      </c>
      <c r="X26" s="5">
        <f ca="1">IFERROR(__xludf.DUMMYFUNCTION("""COMPUTED_VALUE"""),1)</f>
        <v>1</v>
      </c>
      <c r="Y26" s="5" t="str">
        <f ca="1">IFERROR(__xludf.DUMMYFUNCTION("""COMPUTED_VALUE"""),"Student hit by stray bullet while on tennis court during afternoon classes")</f>
        <v>Student hit by stray bullet while on tennis court during afternoon classes</v>
      </c>
      <c r="Z26" s="5" t="str">
        <f ca="1">IFERROR(__xludf.DUMMYFUNCTION("""COMPUTED_VALUE"""),"A Palo Duro High School student was hit by a stray bullet Monday afternoon. Amarillo police responded to the area of NE 24th Ave and N. Arthur Street around 2 p.m. after getting several 911 calls. ""We received several calls from different callers, all st"&amp;"ating there were numerous shots fired,"" said police. Police were also told a student on the tennis courts at Palo Duro High School had been shot in the hand. He was treated at the hospital for a non-life threatening injury.")</f>
        <v>A Palo Duro High School student was hit by a stray bullet Monday afternoon. Amarillo police responded to the area of NE 24th Ave and N. Arthur Street around 2 p.m. after getting several 911 calls. "We received several calls from different callers, all stating there were numerous shots fired," said police. Police were also told a student on the tennis courts at Palo Duro High School had been shot in the hand. He was treated at the hospital for a non-life threatening injury.</v>
      </c>
      <c r="AA26" s="5" t="str">
        <f ca="1">IFERROR(__xludf.DUMMYFUNCTION("""COMPUTED_VALUE"""),"Drive-by Shooting")</f>
        <v>Drive-by Shooting</v>
      </c>
      <c r="AB26" s="5" t="str">
        <f ca="1">IFERROR(__xludf.DUMMYFUNCTION("""COMPUTED_VALUE"""),"Random Shooting")</f>
        <v>Random Shooting</v>
      </c>
      <c r="AC26" s="5" t="str">
        <f ca="1">IFERROR(__xludf.DUMMYFUNCTION("""COMPUTED_VALUE"""),"No")</f>
        <v>No</v>
      </c>
      <c r="AD26" s="5" t="str">
        <f ca="1">IFERROR(__xludf.DUMMYFUNCTION("""COMPUTED_VALUE"""),"No")</f>
        <v>No</v>
      </c>
      <c r="AE26" s="5" t="str">
        <f ca="1">IFERROR(__xludf.DUMMYFUNCTION("""COMPUTED_VALUE"""),"No")</f>
        <v>No</v>
      </c>
      <c r="AF26" s="5" t="str">
        <f ca="1">IFERROR(__xludf.DUMMYFUNCTION("""COMPUTED_VALUE"""),"No")</f>
        <v>No</v>
      </c>
      <c r="AG26" s="5" t="str">
        <f ca="1">IFERROR(__xludf.DUMMYFUNCTION("""COMPUTED_VALUE"""),"No")</f>
        <v>No</v>
      </c>
      <c r="AH26" s="5" t="str">
        <f ca="1">IFERROR(__xludf.DUMMYFUNCTION("""COMPUTED_VALUE"""),"No")</f>
        <v>No</v>
      </c>
      <c r="AI26" s="5" t="str">
        <f ca="1">IFERROR(__xludf.DUMMYFUNCTION("""COMPUTED_VALUE"""),"No")</f>
        <v>No</v>
      </c>
      <c r="AJ26" s="5" t="str">
        <f ca="1">IFERROR(__xludf.DUMMYFUNCTION("""COMPUTED_VALUE"""),"No")</f>
        <v>No</v>
      </c>
    </row>
    <row r="27" spans="1:36" ht="13">
      <c r="A27" s="5" t="str">
        <f ca="1">IFERROR(__xludf.DUMMYFUNCTION("""COMPUTED_VALUE"""),"20230306MDLEB")</f>
        <v>20230306MDLEB</v>
      </c>
      <c r="B27" s="5">
        <f ca="1">IFERROR(__xludf.DUMMYFUNCTION("""COMPUTED_VALUE"""),3)</f>
        <v>3</v>
      </c>
      <c r="C27" s="5">
        <f ca="1">IFERROR(__xludf.DUMMYFUNCTION("""COMPUTED_VALUE"""),6)</f>
        <v>6</v>
      </c>
      <c r="D27" s="5">
        <f ca="1">IFERROR(__xludf.DUMMYFUNCTION("""COMPUTED_VALUE"""),2023)</f>
        <v>2023</v>
      </c>
      <c r="E27" s="8">
        <f ca="1">IFERROR(__xludf.DUMMYFUNCTION("""COMPUTED_VALUE"""),44991)</f>
        <v>44991</v>
      </c>
      <c r="F27" s="5" t="str">
        <f ca="1">IFERROR(__xludf.DUMMYFUNCTION("""COMPUTED_VALUE"""),"Leith Walk Elementary\Middle School")</f>
        <v>Leith Walk Elementary\Middle School</v>
      </c>
      <c r="G27" s="5">
        <f ca="1">IFERROR(__xludf.DUMMYFUNCTION("""COMPUTED_VALUE"""),0)</f>
        <v>0</v>
      </c>
      <c r="H27" s="5">
        <f ca="1">IFERROR(__xludf.DUMMYFUNCTION("""COMPUTED_VALUE"""),0)</f>
        <v>0</v>
      </c>
      <c r="I27" s="5">
        <f ca="1">IFERROR(__xludf.DUMMYFUNCTION("""COMPUTED_VALUE"""),0)</f>
        <v>0</v>
      </c>
      <c r="J27" s="5">
        <f ca="1">IFERROR(__xludf.DUMMYFUNCTION("""COMPUTED_VALUE"""),0)</f>
        <v>0</v>
      </c>
      <c r="K27" s="9" t="str">
        <f ca="1">IFERROR(__xludf.DUMMYFUNCTION("""COMPUTED_VALUE"""),"https://www.wbaltv.com/article/shots-fired-basketball-court-leith-walk-school-baltimore/43221906")</f>
        <v>https://www.wbaltv.com/article/shots-fired-basketball-court-leith-walk-school-baltimore/43221906</v>
      </c>
      <c r="L27" s="5">
        <f ca="1">IFERROR(__xludf.DUMMYFUNCTION("""COMPUTED_VALUE"""),5)</f>
        <v>5</v>
      </c>
      <c r="M27" s="5" t="str">
        <f ca="1">IFERROR(__xludf.DUMMYFUNCTION("""COMPUTED_VALUE"""),"Local")</f>
        <v>Local</v>
      </c>
      <c r="N27" s="5">
        <f ca="1">IFERROR(__xludf.DUMMYFUNCTION("""COMPUTED_VALUE"""),4)</f>
        <v>4</v>
      </c>
      <c r="O27" s="5" t="str">
        <f ca="1">IFERROR(__xludf.DUMMYFUNCTION("""COMPUTED_VALUE"""),"Spring")</f>
        <v>Spring</v>
      </c>
      <c r="P27" s="5" t="str">
        <f ca="1">IFERROR(__xludf.DUMMYFUNCTION("""COMPUTED_VALUE"""),"Baltimore")</f>
        <v>Baltimore</v>
      </c>
      <c r="Q27" s="5" t="str">
        <f ca="1">IFERROR(__xludf.DUMMYFUNCTION("""COMPUTED_VALUE"""),"MD")</f>
        <v>MD</v>
      </c>
      <c r="R27" s="5" t="str">
        <f ca="1">IFERROR(__xludf.DUMMYFUNCTION("""COMPUTED_VALUE"""),"K-8")</f>
        <v>K-8</v>
      </c>
      <c r="S27" s="5" t="str">
        <f ca="1">IFERROR(__xludf.DUMMYFUNCTION("""COMPUTED_VALUE"""),"Basketball Court")</f>
        <v>Basketball Court</v>
      </c>
      <c r="T27" s="5" t="str">
        <f ca="1">IFERROR(__xludf.DUMMYFUNCTION("""COMPUTED_VALUE"""),"Outside on School Property")</f>
        <v>Outside on School Property</v>
      </c>
      <c r="U27" s="5" t="str">
        <f ca="1">IFERROR(__xludf.DUMMYFUNCTION("""COMPUTED_VALUE"""),"No")</f>
        <v>No</v>
      </c>
      <c r="V27" s="5" t="str">
        <f ca="1">IFERROR(__xludf.DUMMYFUNCTION("""COMPUTED_VALUE"""),"Sport Event")</f>
        <v>Sport Event</v>
      </c>
      <c r="W27" s="10">
        <f ca="1">IFERROR(__xludf.DUMMYFUNCTION("""COMPUTED_VALUE"""),0.701388888888888)</f>
        <v>0.70138888888888795</v>
      </c>
      <c r="X27" s="5">
        <f ca="1">IFERROR(__xludf.DUMMYFUNCTION("""COMPUTED_VALUE"""),1)</f>
        <v>1</v>
      </c>
      <c r="Y27" s="5" t="str">
        <f ca="1">IFERROR(__xludf.DUMMYFUNCTION("""COMPUTED_VALUE"""),"Parent pointed gun at another parent during argument at youth basketball game")</f>
        <v>Parent pointed gun at another parent during argument at youth basketball game</v>
      </c>
      <c r="Z27" s="5" t="str">
        <f ca="1">IFERROR(__xludf.DUMMYFUNCTION("""COMPUTED_VALUE"""),"Parent pointed gun at another parent during argument at youth basketball game. Police responded for reported shots fired but determine that no shots were fired.")</f>
        <v>Parent pointed gun at another parent during argument at youth basketball game. Police responded for reported shots fired but determine that no shots were fired.</v>
      </c>
      <c r="AA27" s="5" t="str">
        <f ca="1">IFERROR(__xludf.DUMMYFUNCTION("""COMPUTED_VALUE"""),"Escalation of Dispute")</f>
        <v>Escalation of Dispute</v>
      </c>
      <c r="AB27" s="5" t="str">
        <f ca="1">IFERROR(__xludf.DUMMYFUNCTION("""COMPUTED_VALUE"""),"Victims Targeted")</f>
        <v>Victims Targeted</v>
      </c>
      <c r="AC27" s="5" t="str">
        <f ca="1">IFERROR(__xludf.DUMMYFUNCTION("""COMPUTED_VALUE"""),"No")</f>
        <v>No</v>
      </c>
      <c r="AD27" s="5" t="str">
        <f ca="1">IFERROR(__xludf.DUMMYFUNCTION("""COMPUTED_VALUE"""),"No")</f>
        <v>No</v>
      </c>
      <c r="AE27" s="5" t="str">
        <f ca="1">IFERROR(__xludf.DUMMYFUNCTION("""COMPUTED_VALUE"""),"No")</f>
        <v>No</v>
      </c>
      <c r="AF27" s="5" t="str">
        <f ca="1">IFERROR(__xludf.DUMMYFUNCTION("""COMPUTED_VALUE"""),"No")</f>
        <v>No</v>
      </c>
      <c r="AG27" s="5" t="str">
        <f ca="1">IFERROR(__xludf.DUMMYFUNCTION("""COMPUTED_VALUE"""),"No")</f>
        <v>No</v>
      </c>
      <c r="AH27" s="5" t="str">
        <f ca="1">IFERROR(__xludf.DUMMYFUNCTION("""COMPUTED_VALUE"""),"No")</f>
        <v>No</v>
      </c>
      <c r="AI27" s="5" t="str">
        <f ca="1">IFERROR(__xludf.DUMMYFUNCTION("""COMPUTED_VALUE"""),"No")</f>
        <v>No</v>
      </c>
      <c r="AJ27" s="5" t="str">
        <f ca="1">IFERROR(__xludf.DUMMYFUNCTION("""COMPUTED_VALUE"""),"No")</f>
        <v>No</v>
      </c>
    </row>
    <row r="28" spans="1:36" ht="13">
      <c r="A28" s="5" t="str">
        <f ca="1">IFERROR(__xludf.DUMMYFUNCTION("""COMPUTED_VALUE"""),"20230306MISTR")</f>
        <v>20230306MISTR</v>
      </c>
      <c r="B28" s="5">
        <f ca="1">IFERROR(__xludf.DUMMYFUNCTION("""COMPUTED_VALUE"""),3)</f>
        <v>3</v>
      </c>
      <c r="C28" s="5">
        <f ca="1">IFERROR(__xludf.DUMMYFUNCTION("""COMPUTED_VALUE"""),6)</f>
        <v>6</v>
      </c>
      <c r="D28" s="5">
        <f ca="1">IFERROR(__xludf.DUMMYFUNCTION("""COMPUTED_VALUE"""),2023)</f>
        <v>2023</v>
      </c>
      <c r="E28" s="8">
        <f ca="1">IFERROR(__xludf.DUMMYFUNCTION("""COMPUTED_VALUE"""),44991)</f>
        <v>44991</v>
      </c>
      <c r="F28" s="5" t="str">
        <f ca="1">IFERROR(__xludf.DUMMYFUNCTION("""COMPUTED_VALUE"""),"Steeland Elementary School")</f>
        <v>Steeland Elementary School</v>
      </c>
      <c r="G28" s="5">
        <f ca="1">IFERROR(__xludf.DUMMYFUNCTION("""COMPUTED_VALUE"""),0)</f>
        <v>0</v>
      </c>
      <c r="H28" s="5">
        <f ca="1">IFERROR(__xludf.DUMMYFUNCTION("""COMPUTED_VALUE"""),1)</f>
        <v>1</v>
      </c>
      <c r="I28" s="5">
        <f ca="1">IFERROR(__xludf.DUMMYFUNCTION("""COMPUTED_VALUE"""),1)</f>
        <v>1</v>
      </c>
      <c r="J28" s="5">
        <f ca="1">IFERROR(__xludf.DUMMYFUNCTION("""COMPUTED_VALUE"""),0)</f>
        <v>0</v>
      </c>
      <c r="K28" s="5" t="str">
        <f ca="1">IFERROR(__xludf.DUMMYFUNCTION("""COMPUTED_VALUE"""),"https://www.wxyz.com/news/rosevilles-steenland-elementary-locked-down-due-to-shooting-outside-school
https://www.macombdaily.com/2023/03/06/one-injured-in-shooting-outside-roseville-elementary-school/")</f>
        <v>https://www.wxyz.com/news/rosevilles-steenland-elementary-locked-down-due-to-shooting-outside-school
https://www.macombdaily.com/2023/03/06/one-injured-in-shooting-outside-roseville-elementary-school/</v>
      </c>
      <c r="L28" s="5">
        <f ca="1">IFERROR(__xludf.DUMMYFUNCTION("""COMPUTED_VALUE"""),10)</f>
        <v>10</v>
      </c>
      <c r="M28" s="5" t="str">
        <f ca="1">IFERROR(__xludf.DUMMYFUNCTION("""COMPUTED_VALUE"""),"Regional")</f>
        <v>Regional</v>
      </c>
      <c r="N28" s="5">
        <f ca="1">IFERROR(__xludf.DUMMYFUNCTION("""COMPUTED_VALUE"""),4)</f>
        <v>4</v>
      </c>
      <c r="O28" s="5" t="str">
        <f ca="1">IFERROR(__xludf.DUMMYFUNCTION("""COMPUTED_VALUE"""),"Spring")</f>
        <v>Spring</v>
      </c>
      <c r="P28" s="5" t="str">
        <f ca="1">IFERROR(__xludf.DUMMYFUNCTION("""COMPUTED_VALUE"""),"Roseville")</f>
        <v>Roseville</v>
      </c>
      <c r="Q28" s="5" t="str">
        <f ca="1">IFERROR(__xludf.DUMMYFUNCTION("""COMPUTED_VALUE"""),"MI")</f>
        <v>MI</v>
      </c>
      <c r="R28" s="5" t="str">
        <f ca="1">IFERROR(__xludf.DUMMYFUNCTION("""COMPUTED_VALUE"""),"Elementary")</f>
        <v>Elementary</v>
      </c>
      <c r="S28" s="5" t="str">
        <f ca="1">IFERROR(__xludf.DUMMYFUNCTION("""COMPUTED_VALUE"""),"Front of School")</f>
        <v>Front of School</v>
      </c>
      <c r="T28" s="5" t="str">
        <f ca="1">IFERROR(__xludf.DUMMYFUNCTION("""COMPUTED_VALUE"""),"Outside on School Property")</f>
        <v>Outside on School Property</v>
      </c>
      <c r="U28" s="5" t="str">
        <f ca="1">IFERROR(__xludf.DUMMYFUNCTION("""COMPUTED_VALUE"""),"Yes")</f>
        <v>Yes</v>
      </c>
      <c r="V28" s="5" t="str">
        <f ca="1">IFERROR(__xludf.DUMMYFUNCTION("""COMPUTED_VALUE"""),"Afternoon Classes")</f>
        <v>Afternoon Classes</v>
      </c>
      <c r="W28" s="10">
        <f ca="1">IFERROR(__xludf.DUMMYFUNCTION("""COMPUTED_VALUE"""),0.631944444444444)</f>
        <v>0.63194444444444398</v>
      </c>
      <c r="X28" s="5">
        <f ca="1">IFERROR(__xludf.DUMMYFUNCTION("""COMPUTED_VALUE"""),1)</f>
        <v>1</v>
      </c>
      <c r="Y28" s="5" t="str">
        <f ca="1">IFERROR(__xludf.DUMMYFUNCTION("""COMPUTED_VALUE"""),"Expelled 13-year-old student was on campus, parent tried to stop teen from engaging students in altercations and was shot twice")</f>
        <v>Expelled 13-year-old student was on campus, parent tried to stop teen from engaging students in altercations and was shot twice</v>
      </c>
      <c r="Z28" s="5" t="str">
        <f ca="1">IFERROR(__xludf.DUMMYFUNCTION("""COMPUTED_VALUE"""),"Suspended student was on campus, parent tried to stop teen from engaging students in altercations and was shot twice. Neighborning middle and elementary schools were both locked down. Shooter fled and was arrested. 13-year-old was given the gun by a 19-ye"&amp;"ar-old with two prior weapons charges.")</f>
        <v>Suspended student was on campus, parent tried to stop teen from engaging students in altercations and was shot twice. Neighborning middle and elementary schools were both locked down. Shooter fled and was arrested. 13-year-old was given the gun by a 19-year-old with two prior weapons charges.</v>
      </c>
      <c r="AA28" s="5"/>
      <c r="AB28" s="5" t="str">
        <f ca="1">IFERROR(__xludf.DUMMYFUNCTION("""COMPUTED_VALUE"""),"Victims Targeted")</f>
        <v>Victims Targeted</v>
      </c>
      <c r="AC28" s="5" t="str">
        <f ca="1">IFERROR(__xludf.DUMMYFUNCTION("""COMPUTED_VALUE"""),"No")</f>
        <v>No</v>
      </c>
      <c r="AD28" s="5" t="str">
        <f ca="1">IFERROR(__xludf.DUMMYFUNCTION("""COMPUTED_VALUE"""),"No")</f>
        <v>No</v>
      </c>
      <c r="AE28" s="5" t="str">
        <f ca="1">IFERROR(__xludf.DUMMYFUNCTION("""COMPUTED_VALUE"""),"No")</f>
        <v>No</v>
      </c>
      <c r="AF28" s="5" t="str">
        <f ca="1">IFERROR(__xludf.DUMMYFUNCTION("""COMPUTED_VALUE"""),"No")</f>
        <v>No</v>
      </c>
      <c r="AG28" s="5" t="str">
        <f ca="1">IFERROR(__xludf.DUMMYFUNCTION("""COMPUTED_VALUE"""),"No")</f>
        <v>No</v>
      </c>
      <c r="AH28" s="5" t="str">
        <f ca="1">IFERROR(__xludf.DUMMYFUNCTION("""COMPUTED_VALUE"""),"No")</f>
        <v>No</v>
      </c>
      <c r="AI28" s="5"/>
      <c r="AJ28" s="5" t="str">
        <f ca="1">IFERROR(__xludf.DUMMYFUNCTION("""COMPUTED_VALUE"""),"No")</f>
        <v>No</v>
      </c>
    </row>
    <row r="29" spans="1:36" ht="13">
      <c r="A29" s="5" t="str">
        <f ca="1">IFERROR(__xludf.DUMMYFUNCTION("""COMPUTED_VALUE"""),"20230306MDPAB")</f>
        <v>20230306MDPAB</v>
      </c>
      <c r="B29" s="5">
        <f ca="1">IFERROR(__xludf.DUMMYFUNCTION("""COMPUTED_VALUE"""),3)</f>
        <v>3</v>
      </c>
      <c r="C29" s="5">
        <f ca="1">IFERROR(__xludf.DUMMYFUNCTION("""COMPUTED_VALUE"""),6)</f>
        <v>6</v>
      </c>
      <c r="D29" s="5">
        <f ca="1">IFERROR(__xludf.DUMMYFUNCTION("""COMPUTED_VALUE"""),2023)</f>
        <v>2023</v>
      </c>
      <c r="E29" s="8">
        <f ca="1">IFERROR(__xludf.DUMMYFUNCTION("""COMPUTED_VALUE"""),44991)</f>
        <v>44991</v>
      </c>
      <c r="F29" s="5" t="str">
        <f ca="1">IFERROR(__xludf.DUMMYFUNCTION("""COMPUTED_VALUE"""),"Patterson High School")</f>
        <v>Patterson High School</v>
      </c>
      <c r="G29" s="5">
        <f ca="1">IFERROR(__xludf.DUMMYFUNCTION("""COMPUTED_VALUE"""),1)</f>
        <v>1</v>
      </c>
      <c r="H29" s="5">
        <f ca="1">IFERROR(__xludf.DUMMYFUNCTION("""COMPUTED_VALUE"""),0)</f>
        <v>0</v>
      </c>
      <c r="I29" s="5">
        <f ca="1">IFERROR(__xludf.DUMMYFUNCTION("""COMPUTED_VALUE"""),1)</f>
        <v>1</v>
      </c>
      <c r="J29" s="5">
        <f ca="1">IFERROR(__xludf.DUMMYFUNCTION("""COMPUTED_VALUE"""),0)</f>
        <v>0</v>
      </c>
      <c r="K29" s="5" t="str">
        <f ca="1">IFERROR(__xludf.DUMMYFUNCTION("""COMPUTED_VALUE"""),"https://www.thebaltimorebanner.com/community/criminal-justice/teenager-shot-east-baltimore-park-VDR7SEYHGRHFTGNB4WNWBXAF2I/
https://www.wbaltv.com/article/patterson-high-school-student-killed-izaiah-carter-friend/43248899#")</f>
        <v>https://www.thebaltimorebanner.com/community/criminal-justice/teenager-shot-east-baltimore-park-VDR7SEYHGRHFTGNB4WNWBXAF2I/
https://www.wbaltv.com/article/patterson-high-school-student-killed-izaiah-carter-friend/43248899#</v>
      </c>
      <c r="L29" s="5">
        <f ca="1">IFERROR(__xludf.DUMMYFUNCTION("""COMPUTED_VALUE"""),20)</f>
        <v>20</v>
      </c>
      <c r="M29" s="5" t="str">
        <f ca="1">IFERROR(__xludf.DUMMYFUNCTION("""COMPUTED_VALUE"""),"Regional")</f>
        <v>Regional</v>
      </c>
      <c r="N29" s="5">
        <f ca="1">IFERROR(__xludf.DUMMYFUNCTION("""COMPUTED_VALUE"""),4)</f>
        <v>4</v>
      </c>
      <c r="O29" s="5" t="str">
        <f ca="1">IFERROR(__xludf.DUMMYFUNCTION("""COMPUTED_VALUE"""),"Spring")</f>
        <v>Spring</v>
      </c>
      <c r="P29" s="5" t="str">
        <f ca="1">IFERROR(__xludf.DUMMYFUNCTION("""COMPUTED_VALUE"""),"Baltimore")</f>
        <v>Baltimore</v>
      </c>
      <c r="Q29" s="5" t="str">
        <f ca="1">IFERROR(__xludf.DUMMYFUNCTION("""COMPUTED_VALUE"""),"MD")</f>
        <v>MD</v>
      </c>
      <c r="R29" s="5" t="str">
        <f ca="1">IFERROR(__xludf.DUMMYFUNCTION("""COMPUTED_VALUE"""),"High")</f>
        <v>High</v>
      </c>
      <c r="S29" s="5" t="str">
        <f ca="1">IFERROR(__xludf.DUMMYFUNCTION("""COMPUTED_VALUE"""),"Parking Lot")</f>
        <v>Parking Lot</v>
      </c>
      <c r="T29" s="5" t="str">
        <f ca="1">IFERROR(__xludf.DUMMYFUNCTION("""COMPUTED_VALUE"""),"Outside on School Property")</f>
        <v>Outside on School Property</v>
      </c>
      <c r="U29" s="5" t="str">
        <f ca="1">IFERROR(__xludf.DUMMYFUNCTION("""COMPUTED_VALUE"""),"Yes")</f>
        <v>Yes</v>
      </c>
      <c r="V29" s="5" t="str">
        <f ca="1">IFERROR(__xludf.DUMMYFUNCTION("""COMPUTED_VALUE"""),"Afternoon Classes")</f>
        <v>Afternoon Classes</v>
      </c>
      <c r="W29" s="10">
        <f ca="1">IFERROR(__xludf.DUMMYFUNCTION("""COMPUTED_VALUE"""),0.583333333333333)</f>
        <v>0.58333333333333304</v>
      </c>
      <c r="X29" s="5">
        <f ca="1">IFERROR(__xludf.DUMMYFUNCTION("""COMPUTED_VALUE"""),1)</f>
        <v>1</v>
      </c>
      <c r="Y29" s="5" t="str">
        <f ca="1">IFERROR(__xludf.DUMMYFUNCTION("""COMPUTED_VALUE"""),"Student shot in the head during afternoon classes outside the building")</f>
        <v>Student shot in the head during afternoon classes outside the building</v>
      </c>
      <c r="Z29" s="5" t="str">
        <f ca="1">IFERROR(__xludf.DUMMYFUNCTION("""COMPUTED_VALUE"""),"Student was fatally shot in the head near the track and baseball fields during afternoon classes. School went on lockdown and dismissal was delayed. Group of teens ran from the scene. Shooter fled and has not been identified.")</f>
        <v>Student was fatally shot in the head near the track and baseball fields during afternoon classes. School went on lockdown and dismissal was delayed. Group of teens ran from the scene. Shooter fled and has not been identified.</v>
      </c>
      <c r="AA29" s="5" t="str">
        <f ca="1">IFERROR(__xludf.DUMMYFUNCTION("""COMPUTED_VALUE"""),"Escalation of Dispute")</f>
        <v>Escalation of Dispute</v>
      </c>
      <c r="AB29" s="5" t="str">
        <f ca="1">IFERROR(__xludf.DUMMYFUNCTION("""COMPUTED_VALUE"""),"Victims Targeted")</f>
        <v>Victims Targeted</v>
      </c>
      <c r="AC29" s="5"/>
      <c r="AD29" s="5" t="str">
        <f ca="1">IFERROR(__xludf.DUMMYFUNCTION("""COMPUTED_VALUE"""),"No")</f>
        <v>No</v>
      </c>
      <c r="AE29" s="5" t="str">
        <f ca="1">IFERROR(__xludf.DUMMYFUNCTION("""COMPUTED_VALUE"""),"No")</f>
        <v>No</v>
      </c>
      <c r="AF29" s="5" t="str">
        <f ca="1">IFERROR(__xludf.DUMMYFUNCTION("""COMPUTED_VALUE"""),"No")</f>
        <v>No</v>
      </c>
      <c r="AG29" s="5" t="str">
        <f ca="1">IFERROR(__xludf.DUMMYFUNCTION("""COMPUTED_VALUE"""),"Yes")</f>
        <v>Yes</v>
      </c>
      <c r="AH29" s="5" t="str">
        <f ca="1">IFERROR(__xludf.DUMMYFUNCTION("""COMPUTED_VALUE"""),"No")</f>
        <v>No</v>
      </c>
      <c r="AI29" s="5"/>
      <c r="AJ29" s="5" t="str">
        <f ca="1">IFERROR(__xludf.DUMMYFUNCTION("""COMPUTED_VALUE"""),"No")</f>
        <v>No</v>
      </c>
    </row>
    <row r="30" spans="1:36" ht="13">
      <c r="A30" s="5" t="str">
        <f ca="1">IFERROR(__xludf.DUMMYFUNCTION("""COMPUTED_VALUE"""),"20230303MTGAL")</f>
        <v>20230303MTGAL</v>
      </c>
      <c r="B30" s="5">
        <f ca="1">IFERROR(__xludf.DUMMYFUNCTION("""COMPUTED_VALUE"""),3)</f>
        <v>3</v>
      </c>
      <c r="C30" s="5">
        <f ca="1">IFERROR(__xludf.DUMMYFUNCTION("""COMPUTED_VALUE"""),3)</f>
        <v>3</v>
      </c>
      <c r="D30" s="5">
        <f ca="1">IFERROR(__xludf.DUMMYFUNCTION("""COMPUTED_VALUE"""),2023)</f>
        <v>2023</v>
      </c>
      <c r="E30" s="8">
        <f ca="1">IFERROR(__xludf.DUMMYFUNCTION("""COMPUTED_VALUE"""),44988)</f>
        <v>44988</v>
      </c>
      <c r="F30" s="5" t="str">
        <f ca="1">IFERROR(__xludf.DUMMYFUNCTION("""COMPUTED_VALUE"""),"Garfield Elementary School")</f>
        <v>Garfield Elementary School</v>
      </c>
      <c r="G30" s="5">
        <f ca="1">IFERROR(__xludf.DUMMYFUNCTION("""COMPUTED_VALUE"""),0)</f>
        <v>0</v>
      </c>
      <c r="H30" s="5">
        <f ca="1">IFERROR(__xludf.DUMMYFUNCTION("""COMPUTED_VALUE"""),1)</f>
        <v>1</v>
      </c>
      <c r="I30" s="5">
        <f ca="1">IFERROR(__xludf.DUMMYFUNCTION("""COMPUTED_VALUE"""),1)</f>
        <v>1</v>
      </c>
      <c r="J30" s="5">
        <f ca="1">IFERROR(__xludf.DUMMYFUNCTION("""COMPUTED_VALUE"""),0)</f>
        <v>0</v>
      </c>
      <c r="K30" s="9" t="str">
        <f ca="1">IFERROR(__xludf.DUMMYFUNCTION("""COMPUTED_VALUE"""),"https://www.krtv.com/news/montana-and-regional-news/bb-gun-shots-result-in-brief-lock-down-at-lewistown-school
https://www.montanarightnow.com/great-falls/two-boys-detained-for-shooting-a-bb-gun-towards-a-lewistown-elementary-school/article_edf116c8-b9fc-"&amp;"11ed-b140-ebb2cc17b0c6.html")</f>
        <v>https://www.krtv.com/news/montana-and-regional-news/bb-gun-shots-result-in-brief-lock-down-at-lewistown-school
https://www.montanarightnow.com/great-falls/two-boys-detained-for-shooting-a-bb-gun-towards-a-lewistown-elementary-school/article_edf116c8-b9fc-11ed-b140-ebb2cc17b0c6.html</v>
      </c>
      <c r="L30" s="5">
        <f ca="1">IFERROR(__xludf.DUMMYFUNCTION("""COMPUTED_VALUE"""),5)</f>
        <v>5</v>
      </c>
      <c r="M30" s="5" t="str">
        <f ca="1">IFERROR(__xludf.DUMMYFUNCTION("""COMPUTED_VALUE"""),"Local")</f>
        <v>Local</v>
      </c>
      <c r="N30" s="5">
        <f ca="1">IFERROR(__xludf.DUMMYFUNCTION("""COMPUTED_VALUE"""),4)</f>
        <v>4</v>
      </c>
      <c r="O30" s="5" t="str">
        <f ca="1">IFERROR(__xludf.DUMMYFUNCTION("""COMPUTED_VALUE"""),"Spring")</f>
        <v>Spring</v>
      </c>
      <c r="P30" s="5" t="str">
        <f ca="1">IFERROR(__xludf.DUMMYFUNCTION("""COMPUTED_VALUE"""),"Lewistown")</f>
        <v>Lewistown</v>
      </c>
      <c r="Q30" s="5" t="str">
        <f ca="1">IFERROR(__xludf.DUMMYFUNCTION("""COMPUTED_VALUE"""),"MT")</f>
        <v>MT</v>
      </c>
      <c r="R30" s="5" t="str">
        <f ca="1">IFERROR(__xludf.DUMMYFUNCTION("""COMPUTED_VALUE"""),"Elementary")</f>
        <v>Elementary</v>
      </c>
      <c r="S30" s="5" t="str">
        <f ca="1">IFERROR(__xludf.DUMMYFUNCTION("""COMPUTED_VALUE"""),"Playground")</f>
        <v>Playground</v>
      </c>
      <c r="T30" s="5" t="str">
        <f ca="1">IFERROR(__xludf.DUMMYFUNCTION("""COMPUTED_VALUE"""),"Outside on School Property")</f>
        <v>Outside on School Property</v>
      </c>
      <c r="U30" s="5" t="str">
        <f ca="1">IFERROR(__xludf.DUMMYFUNCTION("""COMPUTED_VALUE"""),"Yes")</f>
        <v>Yes</v>
      </c>
      <c r="V30" s="5" t="str">
        <f ca="1">IFERROR(__xludf.DUMMYFUNCTION("""COMPUTED_VALUE"""),"Morning Classes")</f>
        <v>Morning Classes</v>
      </c>
      <c r="W30" s="10">
        <f ca="1">IFERROR(__xludf.DUMMYFUNCTION("""COMPUTED_VALUE"""),0.416666666666666)</f>
        <v>0.41666666666666602</v>
      </c>
      <c r="X30" s="5">
        <f ca="1">IFERROR(__xludf.DUMMYFUNCTION("""COMPUTED_VALUE"""),1)</f>
        <v>1</v>
      </c>
      <c r="Y30" s="5" t="str">
        <f ca="1">IFERROR(__xludf.DUMMYFUNCTION("""COMPUTED_VALUE"""),"Two minors fired BB guns at students on the playground")</f>
        <v>Two minors fired BB guns at students on the playground</v>
      </c>
      <c r="Z30" s="5" t="str">
        <f ca="1">IFERROR(__xludf.DUMMYFUNCTION("""COMPUTED_VALUE"""),"Two minors fired BB guns at students on the playground. Students ran inside and school went on lockdown. One staff member was injured. Both minors were arrested.")</f>
        <v>Two minors fired BB guns at students on the playground. Students ran inside and school went on lockdown. One staff member was injured. Both minors were arrested.</v>
      </c>
      <c r="AA30" s="5"/>
      <c r="AB30" s="5" t="str">
        <f ca="1">IFERROR(__xludf.DUMMYFUNCTION("""COMPUTED_VALUE"""),"Random Shooting")</f>
        <v>Random Shooting</v>
      </c>
      <c r="AC30" s="5" t="str">
        <f ca="1">IFERROR(__xludf.DUMMYFUNCTION("""COMPUTED_VALUE"""),"Yes")</f>
        <v>Yes</v>
      </c>
      <c r="AD30" s="5" t="str">
        <f ca="1">IFERROR(__xludf.DUMMYFUNCTION("""COMPUTED_VALUE"""),"No")</f>
        <v>No</v>
      </c>
      <c r="AE30" s="5" t="str">
        <f ca="1">IFERROR(__xludf.DUMMYFUNCTION("""COMPUTED_VALUE"""),"No")</f>
        <v>No</v>
      </c>
      <c r="AF30" s="5" t="str">
        <f ca="1">IFERROR(__xludf.DUMMYFUNCTION("""COMPUTED_VALUE"""),"No")</f>
        <v>No</v>
      </c>
      <c r="AG30" s="5" t="str">
        <f ca="1">IFERROR(__xludf.DUMMYFUNCTION("""COMPUTED_VALUE"""),"No")</f>
        <v>No</v>
      </c>
      <c r="AH30" s="5" t="str">
        <f ca="1">IFERROR(__xludf.DUMMYFUNCTION("""COMPUTED_VALUE"""),"No")</f>
        <v>No</v>
      </c>
      <c r="AI30" s="5" t="str">
        <f ca="1">IFERROR(__xludf.DUMMYFUNCTION("""COMPUTED_VALUE"""),"No")</f>
        <v>No</v>
      </c>
      <c r="AJ30" s="5" t="str">
        <f ca="1">IFERROR(__xludf.DUMMYFUNCTION("""COMPUTED_VALUE"""),"No")</f>
        <v>No</v>
      </c>
    </row>
    <row r="31" spans="1:36" ht="13">
      <c r="A31" s="5" t="str">
        <f ca="1">IFERROR(__xludf.DUMMYFUNCTION("""COMPUTED_VALUE"""),"20230301ILMAM")</f>
        <v>20230301ILMAM</v>
      </c>
      <c r="B31" s="5">
        <f ca="1">IFERROR(__xludf.DUMMYFUNCTION("""COMPUTED_VALUE"""),3)</f>
        <v>3</v>
      </c>
      <c r="C31" s="5">
        <f ca="1">IFERROR(__xludf.DUMMYFUNCTION("""COMPUTED_VALUE"""),1)</f>
        <v>1</v>
      </c>
      <c r="D31" s="5">
        <f ca="1">IFERROR(__xludf.DUMMYFUNCTION("""COMPUTED_VALUE"""),2023)</f>
        <v>2023</v>
      </c>
      <c r="E31" s="8">
        <f ca="1">IFERROR(__xludf.DUMMYFUNCTION("""COMPUTED_VALUE"""),44986)</f>
        <v>44986</v>
      </c>
      <c r="F31" s="5" t="str">
        <f ca="1">IFERROR(__xludf.DUMMYFUNCTION("""COMPUTED_VALUE"""),"Marion Junior High School")</f>
        <v>Marion Junior High School</v>
      </c>
      <c r="G31" s="5">
        <f ca="1">IFERROR(__xludf.DUMMYFUNCTION("""COMPUTED_VALUE"""),0)</f>
        <v>0</v>
      </c>
      <c r="H31" s="5">
        <f ca="1">IFERROR(__xludf.DUMMYFUNCTION("""COMPUTED_VALUE"""),0)</f>
        <v>0</v>
      </c>
      <c r="I31" s="5">
        <f ca="1">IFERROR(__xludf.DUMMYFUNCTION("""COMPUTED_VALUE"""),0)</f>
        <v>0</v>
      </c>
      <c r="J31" s="5">
        <f ca="1">IFERROR(__xludf.DUMMYFUNCTION("""COMPUTED_VALUE"""),0)</f>
        <v>0</v>
      </c>
      <c r="K31" s="9" t="str">
        <f ca="1">IFERROR(__xludf.DUMMYFUNCTION("""COMPUTED_VALUE"""),"https://www.kfvs12.com/2023/03/01/marion-ill-police-investigating-after-students-believed-be-shot-with-airsoft-pellets/")</f>
        <v>https://www.kfvs12.com/2023/03/01/marion-ill-police-investigating-after-students-believed-be-shot-with-airsoft-pellets/</v>
      </c>
      <c r="L31" s="5">
        <f ca="1">IFERROR(__xludf.DUMMYFUNCTION("""COMPUTED_VALUE"""),3)</f>
        <v>3</v>
      </c>
      <c r="M31" s="5" t="str">
        <f ca="1">IFERROR(__xludf.DUMMYFUNCTION("""COMPUTED_VALUE"""),"Local")</f>
        <v>Local</v>
      </c>
      <c r="N31" s="5">
        <f ca="1">IFERROR(__xludf.DUMMYFUNCTION("""COMPUTED_VALUE"""),4)</f>
        <v>4</v>
      </c>
      <c r="O31" s="5" t="str">
        <f ca="1">IFERROR(__xludf.DUMMYFUNCTION("""COMPUTED_VALUE"""),"Spring")</f>
        <v>Spring</v>
      </c>
      <c r="P31" s="5" t="str">
        <f ca="1">IFERROR(__xludf.DUMMYFUNCTION("""COMPUTED_VALUE"""),"Marion")</f>
        <v>Marion</v>
      </c>
      <c r="Q31" s="5" t="str">
        <f ca="1">IFERROR(__xludf.DUMMYFUNCTION("""COMPUTED_VALUE"""),"IL")</f>
        <v>IL</v>
      </c>
      <c r="R31" s="5" t="str">
        <f ca="1">IFERROR(__xludf.DUMMYFUNCTION("""COMPUTED_VALUE"""),"Middle")</f>
        <v>Middle</v>
      </c>
      <c r="S31" s="5" t="str">
        <f ca="1">IFERROR(__xludf.DUMMYFUNCTION("""COMPUTED_VALUE"""),"Football Field/Track")</f>
        <v>Football Field/Track</v>
      </c>
      <c r="T31" s="5" t="str">
        <f ca="1">IFERROR(__xludf.DUMMYFUNCTION("""COMPUTED_VALUE"""),"Outside on School Property")</f>
        <v>Outside on School Property</v>
      </c>
      <c r="U31" s="5" t="str">
        <f ca="1">IFERROR(__xludf.DUMMYFUNCTION("""COMPUTED_VALUE"""),"Yes")</f>
        <v>Yes</v>
      </c>
      <c r="V31" s="5" t="str">
        <f ca="1">IFERROR(__xludf.DUMMYFUNCTION("""COMPUTED_VALUE"""),"Morning Classes")</f>
        <v>Morning Classes</v>
      </c>
      <c r="W31" s="10">
        <f ca="1">IFERROR(__xludf.DUMMYFUNCTION("""COMPUTED_VALUE"""),0.447916666666666)</f>
        <v>0.44791666666666602</v>
      </c>
      <c r="X31" s="5">
        <f ca="1">IFERROR(__xludf.DUMMYFUNCTION("""COMPUTED_VALUE"""),1)</f>
        <v>1</v>
      </c>
      <c r="Y31" s="5" t="str">
        <f ca="1">IFERROR(__xludf.DUMMYFUNCTION("""COMPUTED_VALUE"""),"37 students were shot by 3 men with pellet guns while running on the track during gym class")</f>
        <v>37 students were shot by 3 men with pellet guns while running on the track during gym class</v>
      </c>
      <c r="Z31" s="5" t="str">
        <f ca="1">IFERROR(__xludf.DUMMYFUNCTION("""COMPUTED_VALUE"""),"37 students were shot by 3 men with pellet guns while running on the track during gym class. All of the students were evaluated by the school nurse and did not have injuries. Three men detained at a nearby gas station and charged with 38 counts of aggrava"&amp;"ted battery. ")</f>
        <v xml:space="preserve">37 students were shot by 3 men with pellet guns while running on the track during gym class. All of the students were evaluated by the school nurse and did not have injuries. Three men detained at a nearby gas station and charged with 38 counts of aggravated battery. </v>
      </c>
      <c r="AA31" s="5" t="str">
        <f ca="1">IFERROR(__xludf.DUMMYFUNCTION("""COMPUTED_VALUE"""),"Drive-by Shooting")</f>
        <v>Drive-by Shooting</v>
      </c>
      <c r="AB31" s="5" t="str">
        <f ca="1">IFERROR(__xludf.DUMMYFUNCTION("""COMPUTED_VALUE"""),"Random Shooting")</f>
        <v>Random Shooting</v>
      </c>
      <c r="AC31" s="5" t="str">
        <f ca="1">IFERROR(__xludf.DUMMYFUNCTION("""COMPUTED_VALUE"""),"Yes")</f>
        <v>Yes</v>
      </c>
      <c r="AD31" s="5" t="str">
        <f ca="1">IFERROR(__xludf.DUMMYFUNCTION("""COMPUTED_VALUE"""),"No")</f>
        <v>No</v>
      </c>
      <c r="AE31" s="5" t="str">
        <f ca="1">IFERROR(__xludf.DUMMYFUNCTION("""COMPUTED_VALUE"""),"No")</f>
        <v>No</v>
      </c>
      <c r="AF31" s="5" t="str">
        <f ca="1">IFERROR(__xludf.DUMMYFUNCTION("""COMPUTED_VALUE"""),"No")</f>
        <v>No</v>
      </c>
      <c r="AG31" s="5" t="str">
        <f ca="1">IFERROR(__xludf.DUMMYFUNCTION("""COMPUTED_VALUE"""),"No")</f>
        <v>No</v>
      </c>
      <c r="AH31" s="5" t="str">
        <f ca="1">IFERROR(__xludf.DUMMYFUNCTION("""COMPUTED_VALUE"""),"No")</f>
        <v>No</v>
      </c>
      <c r="AI31" s="5" t="str">
        <f ca="1">IFERROR(__xludf.DUMMYFUNCTION("""COMPUTED_VALUE"""),"No")</f>
        <v>No</v>
      </c>
      <c r="AJ31" s="5" t="str">
        <f ca="1">IFERROR(__xludf.DUMMYFUNCTION("""COMPUTED_VALUE"""),"No")</f>
        <v>No</v>
      </c>
    </row>
    <row r="32" spans="1:36" ht="13">
      <c r="A32" s="5" t="str">
        <f ca="1">IFERROR(__xludf.DUMMYFUNCTION("""COMPUTED_VALUE"""),"20230301GASAS")</f>
        <v>20230301GASAS</v>
      </c>
      <c r="B32" s="5">
        <f ca="1">IFERROR(__xludf.DUMMYFUNCTION("""COMPUTED_VALUE"""),3)</f>
        <v>3</v>
      </c>
      <c r="C32" s="5">
        <f ca="1">IFERROR(__xludf.DUMMYFUNCTION("""COMPUTED_VALUE"""),1)</f>
        <v>1</v>
      </c>
      <c r="D32" s="5">
        <f ca="1">IFERROR(__xludf.DUMMYFUNCTION("""COMPUTED_VALUE"""),2023)</f>
        <v>2023</v>
      </c>
      <c r="E32" s="8">
        <f ca="1">IFERROR(__xludf.DUMMYFUNCTION("""COMPUTED_VALUE"""),44986)</f>
        <v>44986</v>
      </c>
      <c r="F32" s="5" t="str">
        <f ca="1">IFERROR(__xludf.DUMMYFUNCTION("""COMPUTED_VALUE"""),"Savannah High School")</f>
        <v>Savannah High School</v>
      </c>
      <c r="G32" s="5">
        <f ca="1">IFERROR(__xludf.DUMMYFUNCTION("""COMPUTED_VALUE"""),0)</f>
        <v>0</v>
      </c>
      <c r="H32" s="5">
        <f ca="1">IFERROR(__xludf.DUMMYFUNCTION("""COMPUTED_VALUE"""),1)</f>
        <v>1</v>
      </c>
      <c r="I32" s="5">
        <f ca="1">IFERROR(__xludf.DUMMYFUNCTION("""COMPUTED_VALUE"""),1)</f>
        <v>1</v>
      </c>
      <c r="J32" s="5">
        <f ca="1">IFERROR(__xludf.DUMMYFUNCTION("""COMPUTED_VALUE"""),0)</f>
        <v>0</v>
      </c>
      <c r="K32" s="9" t="str">
        <f ca="1">IFERROR(__xludf.DUMMYFUNCTION("""COMPUTED_VALUE"""),"https://www.wjcl.com/article/savannah-high-school-shooting-arrest/43166741#")</f>
        <v>https://www.wjcl.com/article/savannah-high-school-shooting-arrest/43166741#</v>
      </c>
      <c r="L32" s="5">
        <f ca="1">IFERROR(__xludf.DUMMYFUNCTION("""COMPUTED_VALUE"""),10)</f>
        <v>10</v>
      </c>
      <c r="M32" s="5" t="str">
        <f ca="1">IFERROR(__xludf.DUMMYFUNCTION("""COMPUTED_VALUE"""),"Regional")</f>
        <v>Regional</v>
      </c>
      <c r="N32" s="5">
        <f ca="1">IFERROR(__xludf.DUMMYFUNCTION("""COMPUTED_VALUE"""),4)</f>
        <v>4</v>
      </c>
      <c r="O32" s="5" t="str">
        <f ca="1">IFERROR(__xludf.DUMMYFUNCTION("""COMPUTED_VALUE"""),"Spring")</f>
        <v>Spring</v>
      </c>
      <c r="P32" s="5" t="str">
        <f ca="1">IFERROR(__xludf.DUMMYFUNCTION("""COMPUTED_VALUE"""),"Savannah")</f>
        <v>Savannah</v>
      </c>
      <c r="Q32" s="5" t="str">
        <f ca="1">IFERROR(__xludf.DUMMYFUNCTION("""COMPUTED_VALUE"""),"GA")</f>
        <v>GA</v>
      </c>
      <c r="R32" s="5" t="str">
        <f ca="1">IFERROR(__xludf.DUMMYFUNCTION("""COMPUTED_VALUE"""),"High")</f>
        <v>High</v>
      </c>
      <c r="S32" s="5" t="str">
        <f ca="1">IFERROR(__xludf.DUMMYFUNCTION("""COMPUTED_VALUE"""),"Front of School")</f>
        <v>Front of School</v>
      </c>
      <c r="T32" s="5" t="str">
        <f ca="1">IFERROR(__xludf.DUMMYFUNCTION("""COMPUTED_VALUE"""),"Outside on School Property")</f>
        <v>Outside on School Property</v>
      </c>
      <c r="U32" s="5" t="str">
        <f ca="1">IFERROR(__xludf.DUMMYFUNCTION("""COMPUTED_VALUE"""),"Yes")</f>
        <v>Yes</v>
      </c>
      <c r="V32" s="5" t="str">
        <f ca="1">IFERROR(__xludf.DUMMYFUNCTION("""COMPUTED_VALUE"""),"Dismissal")</f>
        <v>Dismissal</v>
      </c>
      <c r="W32" s="10">
        <f ca="1">IFERROR(__xludf.DUMMYFUNCTION("""COMPUTED_VALUE"""),0.611111111111111)</f>
        <v>0.61111111111111105</v>
      </c>
      <c r="X32" s="5">
        <f ca="1">IFERROR(__xludf.DUMMYFUNCTION("""COMPUTED_VALUE"""),1)</f>
        <v>1</v>
      </c>
      <c r="Y32" s="5" t="str">
        <f ca="1">IFERROR(__xludf.DUMMYFUNCTION("""COMPUTED_VALUE"""),"Teen shot in front of school by another teen")</f>
        <v>Teen shot in front of school by another teen</v>
      </c>
      <c r="Z32" s="5" t="str">
        <f ca="1">IFERROR(__xludf.DUMMYFUNCTION("""COMPUTED_VALUE"""),"15-year-old was shot in the leg in front of the school following a dispute with a non-student teen. 16-year-old fled and was arrested after a foot chase. Shot was fired from the apartments across the street from the school.")</f>
        <v>15-year-old was shot in the leg in front of the school following a dispute with a non-student teen. 16-year-old fled and was arrested after a foot chase. Shot was fired from the apartments across the street from the school.</v>
      </c>
      <c r="AA32" s="5" t="str">
        <f ca="1">IFERROR(__xludf.DUMMYFUNCTION("""COMPUTED_VALUE"""),"Escalation of Dispute")</f>
        <v>Escalation of Dispute</v>
      </c>
      <c r="AB32" s="5" t="str">
        <f ca="1">IFERROR(__xludf.DUMMYFUNCTION("""COMPUTED_VALUE"""),"Victims Targeted")</f>
        <v>Victims Targeted</v>
      </c>
      <c r="AC32" s="5" t="str">
        <f ca="1">IFERROR(__xludf.DUMMYFUNCTION("""COMPUTED_VALUE"""),"No")</f>
        <v>No</v>
      </c>
      <c r="AD32" s="5" t="str">
        <f ca="1">IFERROR(__xludf.DUMMYFUNCTION("""COMPUTED_VALUE"""),"No")</f>
        <v>No</v>
      </c>
      <c r="AE32" s="5" t="str">
        <f ca="1">IFERROR(__xludf.DUMMYFUNCTION("""COMPUTED_VALUE"""),"No")</f>
        <v>No</v>
      </c>
      <c r="AF32" s="5" t="str">
        <f ca="1">IFERROR(__xludf.DUMMYFUNCTION("""COMPUTED_VALUE"""),"No")</f>
        <v>No</v>
      </c>
      <c r="AG32" s="5" t="str">
        <f ca="1">IFERROR(__xludf.DUMMYFUNCTION("""COMPUTED_VALUE"""),"No")</f>
        <v>No</v>
      </c>
      <c r="AH32" s="5" t="str">
        <f ca="1">IFERROR(__xludf.DUMMYFUNCTION("""COMPUTED_VALUE"""),"No")</f>
        <v>No</v>
      </c>
      <c r="AI32" s="5"/>
      <c r="AJ32" s="5" t="str">
        <f ca="1">IFERROR(__xludf.DUMMYFUNCTION("""COMPUTED_VALUE"""),"No")</f>
        <v>No</v>
      </c>
    </row>
    <row r="33" spans="1:36" ht="13">
      <c r="A33" s="5" t="str">
        <f ca="1">IFERROR(__xludf.DUMMYFUNCTION("""COMPUTED_VALUE"""),"20230301ILSAC")</f>
        <v>20230301ILSAC</v>
      </c>
      <c r="B33" s="5">
        <f ca="1">IFERROR(__xludf.DUMMYFUNCTION("""COMPUTED_VALUE"""),3)</f>
        <v>3</v>
      </c>
      <c r="C33" s="5">
        <f ca="1">IFERROR(__xludf.DUMMYFUNCTION("""COMPUTED_VALUE"""),1)</f>
        <v>1</v>
      </c>
      <c r="D33" s="5">
        <f ca="1">IFERROR(__xludf.DUMMYFUNCTION("""COMPUTED_VALUE"""),2023)</f>
        <v>2023</v>
      </c>
      <c r="E33" s="8">
        <f ca="1">IFERROR(__xludf.DUMMYFUNCTION("""COMPUTED_VALUE"""),44986)</f>
        <v>44986</v>
      </c>
      <c r="F33" s="5" t="str">
        <f ca="1">IFERROR(__xludf.DUMMYFUNCTION("""COMPUTED_VALUE"""),"Sawyer Elementary School")</f>
        <v>Sawyer Elementary School</v>
      </c>
      <c r="G33" s="5">
        <f ca="1">IFERROR(__xludf.DUMMYFUNCTION("""COMPUTED_VALUE"""),1)</f>
        <v>1</v>
      </c>
      <c r="H33" s="5">
        <f ca="1">IFERROR(__xludf.DUMMYFUNCTION("""COMPUTED_VALUE"""),0)</f>
        <v>0</v>
      </c>
      <c r="I33" s="5">
        <f ca="1">IFERROR(__xludf.DUMMYFUNCTION("""COMPUTED_VALUE"""),1)</f>
        <v>1</v>
      </c>
      <c r="J33" s="5">
        <f ca="1">IFERROR(__xludf.DUMMYFUNCTION("""COMPUTED_VALUE"""),0)</f>
        <v>0</v>
      </c>
      <c r="K33" s="9" t="str">
        <f ca="1">IFERROR(__xludf.DUMMYFUNCTION("""COMPUTED_VALUE"""),"https://chicago.suntimes.com/crime/2023/3/2/23622163/andres-vasquez-lasso-chicago-police-officer-slain-kids-sawyer-elementary-gage-park")</f>
        <v>https://chicago.suntimes.com/crime/2023/3/2/23622163/andres-vasquez-lasso-chicago-police-officer-slain-kids-sawyer-elementary-gage-park</v>
      </c>
      <c r="L33" s="5">
        <f ca="1">IFERROR(__xludf.DUMMYFUNCTION("""COMPUTED_VALUE"""),50)</f>
        <v>50</v>
      </c>
      <c r="M33" s="5" t="str">
        <f ca="1">IFERROR(__xludf.DUMMYFUNCTION("""COMPUTED_VALUE"""),"Regional")</f>
        <v>Regional</v>
      </c>
      <c r="N33" s="5">
        <f ca="1">IFERROR(__xludf.DUMMYFUNCTION("""COMPUTED_VALUE"""),4)</f>
        <v>4</v>
      </c>
      <c r="O33" s="5" t="str">
        <f ca="1">IFERROR(__xludf.DUMMYFUNCTION("""COMPUTED_VALUE"""),"Spring")</f>
        <v>Spring</v>
      </c>
      <c r="P33" s="5" t="str">
        <f ca="1">IFERROR(__xludf.DUMMYFUNCTION("""COMPUTED_VALUE"""),"Chicago")</f>
        <v>Chicago</v>
      </c>
      <c r="Q33" s="5" t="str">
        <f ca="1">IFERROR(__xludf.DUMMYFUNCTION("""COMPUTED_VALUE"""),"IL")</f>
        <v>IL</v>
      </c>
      <c r="R33" s="5" t="str">
        <f ca="1">IFERROR(__xludf.DUMMYFUNCTION("""COMPUTED_VALUE"""),"Elementary")</f>
        <v>Elementary</v>
      </c>
      <c r="S33" s="5" t="str">
        <f ca="1">IFERROR(__xludf.DUMMYFUNCTION("""COMPUTED_VALUE"""),"Playground")</f>
        <v>Playground</v>
      </c>
      <c r="T33" s="5" t="str">
        <f ca="1">IFERROR(__xludf.DUMMYFUNCTION("""COMPUTED_VALUE"""),"Outside on School Property")</f>
        <v>Outside on School Property</v>
      </c>
      <c r="U33" s="5" t="str">
        <f ca="1">IFERROR(__xludf.DUMMYFUNCTION("""COMPUTED_VALUE"""),"No")</f>
        <v>No</v>
      </c>
      <c r="V33" s="5" t="str">
        <f ca="1">IFERROR(__xludf.DUMMYFUNCTION("""COMPUTED_VALUE"""),"After School")</f>
        <v>After School</v>
      </c>
      <c r="W33" s="10">
        <f ca="1">IFERROR(__xludf.DUMMYFUNCTION("""COMPUTED_VALUE"""),0.697916666666666)</f>
        <v>0.69791666666666596</v>
      </c>
      <c r="X33" s="5">
        <f ca="1">IFERROR(__xludf.DUMMYFUNCTION("""COMPUTED_VALUE"""),1)</f>
        <v>1</v>
      </c>
      <c r="Y33" s="5" t="str">
        <f ca="1">IFERROR(__xludf.DUMMYFUNCTION("""COMPUTED_VALUE"""),"Police officer and suspect shot next to school playground while kids were playing")</f>
        <v>Police officer and suspect shot next to school playground while kids were playing</v>
      </c>
      <c r="Z33" s="5" t="str">
        <f ca="1">IFERROR(__xludf.DUMMYFUNCTION("""COMPUTED_VALUE"""),"Suspect fired shots at Chicago police officer who was chasing him down the street. Officer was struck and collapsed next to playground, suspect was also struck in collapsed in school parking lot next to playground. Children were using the playground when "&amp;"shots were fired and took cover behind the slides.")</f>
        <v>Suspect fired shots at Chicago police officer who was chasing him down the street. Officer was struck and collapsed next to playground, suspect was also struck in collapsed in school parking lot next to playground. Children were using the playground when shots were fired and took cover behind the slides.</v>
      </c>
      <c r="AA33" s="5" t="str">
        <f ca="1">IFERROR(__xludf.DUMMYFUNCTION("""COMPUTED_VALUE"""),"Illegal Activity")</f>
        <v>Illegal Activity</v>
      </c>
      <c r="AB33" s="5" t="str">
        <f ca="1">IFERROR(__xludf.DUMMYFUNCTION("""COMPUTED_VALUE"""),"Random Shooting")</f>
        <v>Random Shooting</v>
      </c>
      <c r="AC33" s="5" t="str">
        <f ca="1">IFERROR(__xludf.DUMMYFUNCTION("""COMPUTED_VALUE"""),"No")</f>
        <v>No</v>
      </c>
      <c r="AD33" s="5" t="str">
        <f ca="1">IFERROR(__xludf.DUMMYFUNCTION("""COMPUTED_VALUE"""),"No")</f>
        <v>No</v>
      </c>
      <c r="AE33" s="5" t="str">
        <f ca="1">IFERROR(__xludf.DUMMYFUNCTION("""COMPUTED_VALUE"""),"No")</f>
        <v>No</v>
      </c>
      <c r="AF33" s="5" t="str">
        <f ca="1">IFERROR(__xludf.DUMMYFUNCTION("""COMPUTED_VALUE"""),"Yes")</f>
        <v>Yes</v>
      </c>
      <c r="AG33" s="5" t="str">
        <f ca="1">IFERROR(__xludf.DUMMYFUNCTION("""COMPUTED_VALUE"""),"No")</f>
        <v>No</v>
      </c>
      <c r="AH33" s="5" t="str">
        <f ca="1">IFERROR(__xludf.DUMMYFUNCTION("""COMPUTED_VALUE"""),"No")</f>
        <v>No</v>
      </c>
      <c r="AI33" s="5" t="str">
        <f ca="1">IFERROR(__xludf.DUMMYFUNCTION("""COMPUTED_VALUE"""),"No")</f>
        <v>No</v>
      </c>
      <c r="AJ33" s="5" t="str">
        <f ca="1">IFERROR(__xludf.DUMMYFUNCTION("""COMPUTED_VALUE"""),"No")</f>
        <v>No</v>
      </c>
    </row>
    <row r="34" spans="1:36" ht="13">
      <c r="A34" s="5" t="str">
        <f ca="1">IFERROR(__xludf.DUMMYFUNCTION("""COMPUTED_VALUE"""),"20230301CONOP")</f>
        <v>20230301CONOP</v>
      </c>
      <c r="B34" s="5">
        <f ca="1">IFERROR(__xludf.DUMMYFUNCTION("""COMPUTED_VALUE"""),3)</f>
        <v>3</v>
      </c>
      <c r="C34" s="5">
        <f ca="1">IFERROR(__xludf.DUMMYFUNCTION("""COMPUTED_VALUE"""),1)</f>
        <v>1</v>
      </c>
      <c r="D34" s="5">
        <f ca="1">IFERROR(__xludf.DUMMYFUNCTION("""COMPUTED_VALUE"""),2023)</f>
        <v>2023</v>
      </c>
      <c r="E34" s="8">
        <f ca="1">IFERROR(__xludf.DUMMYFUNCTION("""COMPUTED_VALUE"""),44986)</f>
        <v>44986</v>
      </c>
      <c r="F34" s="5" t="str">
        <f ca="1">IFERROR(__xludf.DUMMYFUNCTION("""COMPUTED_VALUE"""),"North Mesa Elementary School")</f>
        <v>North Mesa Elementary School</v>
      </c>
      <c r="G34" s="5">
        <f ca="1">IFERROR(__xludf.DUMMYFUNCTION("""COMPUTED_VALUE"""),0)</f>
        <v>0</v>
      </c>
      <c r="H34" s="5">
        <f ca="1">IFERROR(__xludf.DUMMYFUNCTION("""COMPUTED_VALUE"""),0)</f>
        <v>0</v>
      </c>
      <c r="I34" s="5">
        <f ca="1">IFERROR(__xludf.DUMMYFUNCTION("""COMPUTED_VALUE"""),0)</f>
        <v>0</v>
      </c>
      <c r="J34" s="5">
        <f ca="1">IFERROR(__xludf.DUMMYFUNCTION("""COMPUTED_VALUE"""),1)</f>
        <v>1</v>
      </c>
      <c r="K34" s="9" t="str">
        <f ca="1">IFERROR(__xludf.DUMMYFUNCTION("""COMPUTED_VALUE"""),"https://www.denverpost.com/2023/03/01/pueblo-county-deputy-shooting-elementar-school/
https://www.kktv.com/2023/03/01/standoff-near-pueblo-county-elementary-school-ends-with-suspect-shot/")</f>
        <v>https://www.denverpost.com/2023/03/01/pueblo-county-deputy-shooting-elementar-school/
https://www.kktv.com/2023/03/01/standoff-near-pueblo-county-elementary-school-ends-with-suspect-shot/</v>
      </c>
      <c r="L34" s="5">
        <f ca="1">IFERROR(__xludf.DUMMYFUNCTION("""COMPUTED_VALUE"""),3)</f>
        <v>3</v>
      </c>
      <c r="M34" s="5" t="str">
        <f ca="1">IFERROR(__xludf.DUMMYFUNCTION("""COMPUTED_VALUE"""),"Regional")</f>
        <v>Regional</v>
      </c>
      <c r="N34" s="5">
        <f ca="1">IFERROR(__xludf.DUMMYFUNCTION("""COMPUTED_VALUE"""),4)</f>
        <v>4</v>
      </c>
      <c r="O34" s="5" t="str">
        <f ca="1">IFERROR(__xludf.DUMMYFUNCTION("""COMPUTED_VALUE"""),"Spring")</f>
        <v>Spring</v>
      </c>
      <c r="P34" s="5" t="str">
        <f ca="1">IFERROR(__xludf.DUMMYFUNCTION("""COMPUTED_VALUE"""),"Pueblo")</f>
        <v>Pueblo</v>
      </c>
      <c r="Q34" s="5" t="str">
        <f ca="1">IFERROR(__xludf.DUMMYFUNCTION("""COMPUTED_VALUE"""),"CO")</f>
        <v>CO</v>
      </c>
      <c r="R34" s="5" t="str">
        <f ca="1">IFERROR(__xludf.DUMMYFUNCTION("""COMPUTED_VALUE"""),"Elementary")</f>
        <v>Elementary</v>
      </c>
      <c r="S34" s="5" t="str">
        <f ca="1">IFERROR(__xludf.DUMMYFUNCTION("""COMPUTED_VALUE"""),"Playground")</f>
        <v>Playground</v>
      </c>
      <c r="T34" s="5" t="str">
        <f ca="1">IFERROR(__xludf.DUMMYFUNCTION("""COMPUTED_VALUE"""),"Outside on School Property")</f>
        <v>Outside on School Property</v>
      </c>
      <c r="U34" s="5" t="str">
        <f ca="1">IFERROR(__xludf.DUMMYFUNCTION("""COMPUTED_VALUE"""),"Yes")</f>
        <v>Yes</v>
      </c>
      <c r="V34" s="5" t="str">
        <f ca="1">IFERROR(__xludf.DUMMYFUNCTION("""COMPUTED_VALUE"""),"Dismissal")</f>
        <v>Dismissal</v>
      </c>
      <c r="W34" s="10">
        <f ca="1">IFERROR(__xludf.DUMMYFUNCTION("""COMPUTED_VALUE"""),0.645833333333333)</f>
        <v>0.64583333333333304</v>
      </c>
      <c r="X34" s="5">
        <f ca="1">IFERROR(__xludf.DUMMYFUNCTION("""COMPUTED_VALUE"""),1)</f>
        <v>1</v>
      </c>
      <c r="Y34" s="5" t="str">
        <f ca="1">IFERROR(__xludf.DUMMYFUNCTION("""COMPUTED_VALUE"""),"Man fired shots at school playground from his backyard near the school, killed during standoff with police")</f>
        <v>Man fired shots at school playground from his backyard near the school, killed during standoff with police</v>
      </c>
      <c r="Z34" s="5" t="str">
        <f ca="1">IFERROR(__xludf.DUMMYFUNCTION("""COMPUTED_VALUE"""),"Adult man fired shots at students on the school playground during dismissal. Student ran into the school and the building went on lockdown. Shooting resulted in a police standoff. Man was killed after firing shots at officers. Man was known to law enforce"&amp;"ment and frequently fired shots in his backyard.")</f>
        <v>Adult man fired shots at students on the school playground during dismissal. Student ran into the school and the building went on lockdown. Shooting resulted in a police standoff. Man was killed after firing shots at officers. Man was known to law enforcement and frequently fired shots in his backyard.</v>
      </c>
      <c r="AA34" s="5" t="str">
        <f ca="1">IFERROR(__xludf.DUMMYFUNCTION("""COMPUTED_VALUE"""),"Hostage/Standoff")</f>
        <v>Hostage/Standoff</v>
      </c>
      <c r="AB34" s="5" t="str">
        <f ca="1">IFERROR(__xludf.DUMMYFUNCTION("""COMPUTED_VALUE"""),"Random Shooting")</f>
        <v>Random Shooting</v>
      </c>
      <c r="AC34" s="5" t="str">
        <f ca="1">IFERROR(__xludf.DUMMYFUNCTION("""COMPUTED_VALUE"""),"No")</f>
        <v>No</v>
      </c>
      <c r="AD34" s="5" t="str">
        <f ca="1">IFERROR(__xludf.DUMMYFUNCTION("""COMPUTED_VALUE"""),"No")</f>
        <v>No</v>
      </c>
      <c r="AE34" s="5" t="str">
        <f ca="1">IFERROR(__xludf.DUMMYFUNCTION("""COMPUTED_VALUE"""),"Yes")</f>
        <v>Yes</v>
      </c>
      <c r="AF34" s="5" t="str">
        <f ca="1">IFERROR(__xludf.DUMMYFUNCTION("""COMPUTED_VALUE"""),"No")</f>
        <v>No</v>
      </c>
      <c r="AG34" s="5" t="str">
        <f ca="1">IFERROR(__xludf.DUMMYFUNCTION("""COMPUTED_VALUE"""),"No")</f>
        <v>No</v>
      </c>
      <c r="AH34" s="5" t="str">
        <f ca="1">IFERROR(__xludf.DUMMYFUNCTION("""COMPUTED_VALUE"""),"No")</f>
        <v>No</v>
      </c>
      <c r="AI34" s="5" t="str">
        <f ca="1">IFERROR(__xludf.DUMMYFUNCTION("""COMPUTED_VALUE"""),"No")</f>
        <v>No</v>
      </c>
      <c r="AJ34" s="5" t="str">
        <f ca="1">IFERROR(__xludf.DUMMYFUNCTION("""COMPUTED_VALUE"""),"No")</f>
        <v>No</v>
      </c>
    </row>
    <row r="35" spans="1:36" ht="13">
      <c r="A35" s="5" t="str">
        <f ca="1">IFERROR(__xludf.DUMMYFUNCTION("""COMPUTED_VALUE"""),"20230227CAGAC")</f>
        <v>20230227CAGAC</v>
      </c>
      <c r="B35" s="5">
        <f ca="1">IFERROR(__xludf.DUMMYFUNCTION("""COMPUTED_VALUE"""),2)</f>
        <v>2</v>
      </c>
      <c r="C35" s="5">
        <f ca="1">IFERROR(__xludf.DUMMYFUNCTION("""COMPUTED_VALUE"""),27)</f>
        <v>27</v>
      </c>
      <c r="D35" s="5">
        <f ca="1">IFERROR(__xludf.DUMMYFUNCTION("""COMPUTED_VALUE"""),2023)</f>
        <v>2023</v>
      </c>
      <c r="E35" s="8">
        <f ca="1">IFERROR(__xludf.DUMMYFUNCTION("""COMPUTED_VALUE"""),44984)</f>
        <v>44984</v>
      </c>
      <c r="F35" s="5" t="str">
        <f ca="1">IFERROR(__xludf.DUMMYFUNCTION("""COMPUTED_VALUE"""),"Gahr High School")</f>
        <v>Gahr High School</v>
      </c>
      <c r="G35" s="5">
        <f ca="1">IFERROR(__xludf.DUMMYFUNCTION("""COMPUTED_VALUE"""),1)</f>
        <v>1</v>
      </c>
      <c r="H35" s="5">
        <f ca="1">IFERROR(__xludf.DUMMYFUNCTION("""COMPUTED_VALUE"""),0)</f>
        <v>0</v>
      </c>
      <c r="I35" s="5">
        <f ca="1">IFERROR(__xludf.DUMMYFUNCTION("""COMPUTED_VALUE"""),1)</f>
        <v>1</v>
      </c>
      <c r="J35" s="5">
        <f ca="1">IFERROR(__xludf.DUMMYFUNCTION("""COMPUTED_VALUE"""),0)</f>
        <v>0</v>
      </c>
      <c r="K35" s="9" t="str">
        <f ca="1">IFERROR(__xludf.DUMMYFUNCTION("""COMPUTED_VALUE"""),"https://www.cbsnews.com/losangeles/news/cerritos-shooting-investigation-shuts-down-gahr-high-school/")</f>
        <v>https://www.cbsnews.com/losangeles/news/cerritos-shooting-investigation-shuts-down-gahr-high-school/</v>
      </c>
      <c r="L35" s="5">
        <f ca="1">IFERROR(__xludf.DUMMYFUNCTION("""COMPUTED_VALUE"""),10)</f>
        <v>10</v>
      </c>
      <c r="M35" s="5" t="str">
        <f ca="1">IFERROR(__xludf.DUMMYFUNCTION("""COMPUTED_VALUE"""),"Regional")</f>
        <v>Regional</v>
      </c>
      <c r="N35" s="5">
        <f ca="1">IFERROR(__xludf.DUMMYFUNCTION("""COMPUTED_VALUE"""),4)</f>
        <v>4</v>
      </c>
      <c r="O35" s="5" t="str">
        <f ca="1">IFERROR(__xludf.DUMMYFUNCTION("""COMPUTED_VALUE"""),"Winter")</f>
        <v>Winter</v>
      </c>
      <c r="P35" s="5" t="str">
        <f ca="1">IFERROR(__xludf.DUMMYFUNCTION("""COMPUTED_VALUE"""),"Cerritos")</f>
        <v>Cerritos</v>
      </c>
      <c r="Q35" s="5" t="str">
        <f ca="1">IFERROR(__xludf.DUMMYFUNCTION("""COMPUTED_VALUE"""),"CA")</f>
        <v>CA</v>
      </c>
      <c r="R35" s="5" t="str">
        <f ca="1">IFERROR(__xludf.DUMMYFUNCTION("""COMPUTED_VALUE"""),"High")</f>
        <v>High</v>
      </c>
      <c r="S35" s="5" t="str">
        <f ca="1">IFERROR(__xludf.DUMMYFUNCTION("""COMPUTED_VALUE"""),"Parking Lot")</f>
        <v>Parking Lot</v>
      </c>
      <c r="T35" s="5" t="str">
        <f ca="1">IFERROR(__xludf.DUMMYFUNCTION("""COMPUTED_VALUE"""),"Outside on School Property")</f>
        <v>Outside on School Property</v>
      </c>
      <c r="U35" s="5" t="str">
        <f ca="1">IFERROR(__xludf.DUMMYFUNCTION("""COMPUTED_VALUE"""),"No")</f>
        <v>No</v>
      </c>
      <c r="V35" s="5" t="str">
        <f ca="1">IFERROR(__xludf.DUMMYFUNCTION("""COMPUTED_VALUE"""),"Night")</f>
        <v>Night</v>
      </c>
      <c r="W35" s="10">
        <f ca="1">IFERROR(__xludf.DUMMYFUNCTION("""COMPUTED_VALUE"""),0.0833333333333333)</f>
        <v>8.3333333333333301E-2</v>
      </c>
      <c r="X35" s="5">
        <f ca="1">IFERROR(__xludf.DUMMYFUNCTION("""COMPUTED_VALUE"""),1)</f>
        <v>1</v>
      </c>
      <c r="Y35" s="5" t="str">
        <f ca="1">IFERROR(__xludf.DUMMYFUNCTION("""COMPUTED_VALUE"""),"Man fatally shot and died in school parking lot")</f>
        <v>Man fatally shot and died in school parking lot</v>
      </c>
      <c r="Z35" s="5" t="str">
        <f ca="1">IFERROR(__xludf.DUMMYFUNCTION("""COMPUTED_VALUE"""),"Man was shot inside a vehicle and died in the school parking lot. Classes were cancelled due to the crime scene near the front of the school. Shooter fled.")</f>
        <v>Man was shot inside a vehicle and died in the school parking lot. Classes were cancelled due to the crime scene near the front of the school. Shooter fled.</v>
      </c>
      <c r="AA35" s="5" t="str">
        <f ca="1">IFERROR(__xludf.DUMMYFUNCTION("""COMPUTED_VALUE"""),"Drive-by Shooting")</f>
        <v>Drive-by Shooting</v>
      </c>
      <c r="AB35" s="5" t="str">
        <f ca="1">IFERROR(__xludf.DUMMYFUNCTION("""COMPUTED_VALUE"""),"Victims Targeted")</f>
        <v>Victims Targeted</v>
      </c>
      <c r="AC35" s="5"/>
      <c r="AD35" s="5" t="str">
        <f ca="1">IFERROR(__xludf.DUMMYFUNCTION("""COMPUTED_VALUE"""),"No")</f>
        <v>No</v>
      </c>
      <c r="AE35" s="5" t="str">
        <f ca="1">IFERROR(__xludf.DUMMYFUNCTION("""COMPUTED_VALUE"""),"No")</f>
        <v>No</v>
      </c>
      <c r="AF35" s="5" t="str">
        <f ca="1">IFERROR(__xludf.DUMMYFUNCTION("""COMPUTED_VALUE"""),"No")</f>
        <v>No</v>
      </c>
      <c r="AG35" s="5" t="str">
        <f ca="1">IFERROR(__xludf.DUMMYFUNCTION("""COMPUTED_VALUE"""),"No")</f>
        <v>No</v>
      </c>
      <c r="AH35" s="5" t="str">
        <f ca="1">IFERROR(__xludf.DUMMYFUNCTION("""COMPUTED_VALUE"""),"No")</f>
        <v>No</v>
      </c>
      <c r="AI35" s="5"/>
      <c r="AJ35" s="5" t="str">
        <f ca="1">IFERROR(__xludf.DUMMYFUNCTION("""COMPUTED_VALUE"""),"No")</f>
        <v>No</v>
      </c>
    </row>
    <row r="36" spans="1:36" ht="13">
      <c r="A36" s="5" t="str">
        <f ca="1">IFERROR(__xludf.DUMMYFUNCTION("""COMPUTED_VALUE"""),"20230223OHWOC")</f>
        <v>20230223OHWOC</v>
      </c>
      <c r="B36" s="5">
        <f ca="1">IFERROR(__xludf.DUMMYFUNCTION("""COMPUTED_VALUE"""),2)</f>
        <v>2</v>
      </c>
      <c r="C36" s="5">
        <f ca="1">IFERROR(__xludf.DUMMYFUNCTION("""COMPUTED_VALUE"""),23)</f>
        <v>23</v>
      </c>
      <c r="D36" s="5">
        <f ca="1">IFERROR(__xludf.DUMMYFUNCTION("""COMPUTED_VALUE"""),2023)</f>
        <v>2023</v>
      </c>
      <c r="E36" s="8">
        <f ca="1">IFERROR(__xludf.DUMMYFUNCTION("""COMPUTED_VALUE"""),44980)</f>
        <v>44980</v>
      </c>
      <c r="F36" s="5" t="str">
        <f ca="1">IFERROR(__xludf.DUMMYFUNCTION("""COMPUTED_VALUE"""),"Woodward Career Technical High School")</f>
        <v>Woodward Career Technical High School</v>
      </c>
      <c r="G36" s="5">
        <f ca="1">IFERROR(__xludf.DUMMYFUNCTION("""COMPUTED_VALUE"""),0)</f>
        <v>0</v>
      </c>
      <c r="H36" s="5">
        <f ca="1">IFERROR(__xludf.DUMMYFUNCTION("""COMPUTED_VALUE"""),1)</f>
        <v>1</v>
      </c>
      <c r="I36" s="5">
        <f ca="1">IFERROR(__xludf.DUMMYFUNCTION("""COMPUTED_VALUE"""),1)</f>
        <v>1</v>
      </c>
      <c r="J36" s="5">
        <f ca="1">IFERROR(__xludf.DUMMYFUNCTION("""COMPUTED_VALUE"""),0)</f>
        <v>0</v>
      </c>
      <c r="K36" s="9" t="str">
        <f ca="1">IFERROR(__xludf.DUMMYFUNCTION("""COMPUTED_VALUE"""),"https://www.wcpo.com/news/local-news/hamilton-county/cincinnati/bond-hill/woodward-high-school-briefly-put-on-lockdown-after-person-shot-nearby")</f>
        <v>https://www.wcpo.com/news/local-news/hamilton-county/cincinnati/bond-hill/woodward-high-school-briefly-put-on-lockdown-after-person-shot-nearby</v>
      </c>
      <c r="L36" s="5">
        <f ca="1">IFERROR(__xludf.DUMMYFUNCTION("""COMPUTED_VALUE"""),10)</f>
        <v>10</v>
      </c>
      <c r="M36" s="5" t="str">
        <f ca="1">IFERROR(__xludf.DUMMYFUNCTION("""COMPUTED_VALUE"""),"Regional")</f>
        <v>Regional</v>
      </c>
      <c r="N36" s="5">
        <f ca="1">IFERROR(__xludf.DUMMYFUNCTION("""COMPUTED_VALUE"""),4)</f>
        <v>4</v>
      </c>
      <c r="O36" s="5" t="str">
        <f ca="1">IFERROR(__xludf.DUMMYFUNCTION("""COMPUTED_VALUE"""),"Winter")</f>
        <v>Winter</v>
      </c>
      <c r="P36" s="5" t="str">
        <f ca="1">IFERROR(__xludf.DUMMYFUNCTION("""COMPUTED_VALUE"""),"Cincinnati")</f>
        <v>Cincinnati</v>
      </c>
      <c r="Q36" s="5" t="str">
        <f ca="1">IFERROR(__xludf.DUMMYFUNCTION("""COMPUTED_VALUE"""),"OH")</f>
        <v>OH</v>
      </c>
      <c r="R36" s="5" t="str">
        <f ca="1">IFERROR(__xludf.DUMMYFUNCTION("""COMPUTED_VALUE"""),"High")</f>
        <v>High</v>
      </c>
      <c r="S36" s="5" t="str">
        <f ca="1">IFERROR(__xludf.DUMMYFUNCTION("""COMPUTED_VALUE"""),"Inside School Building")</f>
        <v>Inside School Building</v>
      </c>
      <c r="T36" s="5" t="str">
        <f ca="1">IFERROR(__xludf.DUMMYFUNCTION("""COMPUTED_VALUE"""),"Inside School Building")</f>
        <v>Inside School Building</v>
      </c>
      <c r="U36" s="5" t="str">
        <f ca="1">IFERROR(__xludf.DUMMYFUNCTION("""COMPUTED_VALUE"""),"Yes")</f>
        <v>Yes</v>
      </c>
      <c r="V36" s="5" t="str">
        <f ca="1">IFERROR(__xludf.DUMMYFUNCTION("""COMPUTED_VALUE"""),"After School")</f>
        <v>After School</v>
      </c>
      <c r="W36" s="10">
        <f ca="1">IFERROR(__xludf.DUMMYFUNCTION("""COMPUTED_VALUE"""),0.625)</f>
        <v>0.625</v>
      </c>
      <c r="X36" s="5">
        <f ca="1">IFERROR(__xludf.DUMMYFUNCTION("""COMPUTED_VALUE"""),1)</f>
        <v>1</v>
      </c>
      <c r="Y36" s="5" t="str">
        <f ca="1">IFERROR(__xludf.DUMMYFUNCTION("""COMPUTED_VALUE"""),"Student was shot next to campus and ran into the school for help, transported in serious condition")</f>
        <v>Student was shot next to campus and ran into the school for help, transported in serious condition</v>
      </c>
      <c r="Z36" s="5" t="str">
        <f ca="1">IFERROR(__xludf.DUMMYFUNCTION("""COMPUTED_VALUE"""),"Student was shot near the campus and ran back to the school for help. School was placed on lockdown, after school and evening activities were cancelled, and large police response to search the entire building for a shooter or weapon. Student transported i"&amp;"n serious condition. Extra police will patrol campus for the remainder of the week.")</f>
        <v>Student was shot near the campus and ran back to the school for help. School was placed on lockdown, after school and evening activities were cancelled, and large police response to search the entire building for a shooter or weapon. Student transported in serious condition. Extra police will patrol campus for the remainder of the week.</v>
      </c>
      <c r="AA36" s="5"/>
      <c r="AB36" s="5" t="str">
        <f ca="1">IFERROR(__xludf.DUMMYFUNCTION("""COMPUTED_VALUE"""),"Victims Targeted")</f>
        <v>Victims Targeted</v>
      </c>
      <c r="AC36" s="5"/>
      <c r="AD36" s="5" t="str">
        <f ca="1">IFERROR(__xludf.DUMMYFUNCTION("""COMPUTED_VALUE"""),"No")</f>
        <v>No</v>
      </c>
      <c r="AE36" s="5" t="str">
        <f ca="1">IFERROR(__xludf.DUMMYFUNCTION("""COMPUTED_VALUE"""),"No")</f>
        <v>No</v>
      </c>
      <c r="AF36" s="5" t="str">
        <f ca="1">IFERROR(__xludf.DUMMYFUNCTION("""COMPUTED_VALUE"""),"No")</f>
        <v>No</v>
      </c>
      <c r="AG36" s="5"/>
      <c r="AH36" s="5" t="str">
        <f ca="1">IFERROR(__xludf.DUMMYFUNCTION("""COMPUTED_VALUE"""),"No")</f>
        <v>No</v>
      </c>
      <c r="AI36" s="5"/>
      <c r="AJ36" s="5" t="str">
        <f ca="1">IFERROR(__xludf.DUMMYFUNCTION("""COMPUTED_VALUE"""),"No")</f>
        <v>No</v>
      </c>
    </row>
    <row r="37" spans="1:36" ht="13">
      <c r="A37" s="5" t="str">
        <f ca="1">IFERROR(__xludf.DUMMYFUNCTION("""COMPUTED_VALUE"""),"20230222MSWHJ")</f>
        <v>20230222MSWHJ</v>
      </c>
      <c r="B37" s="5">
        <f ca="1">IFERROR(__xludf.DUMMYFUNCTION("""COMPUTED_VALUE"""),2)</f>
        <v>2</v>
      </c>
      <c r="C37" s="5">
        <f ca="1">IFERROR(__xludf.DUMMYFUNCTION("""COMPUTED_VALUE"""),22)</f>
        <v>22</v>
      </c>
      <c r="D37" s="5">
        <f ca="1">IFERROR(__xludf.DUMMYFUNCTION("""COMPUTED_VALUE"""),2023)</f>
        <v>2023</v>
      </c>
      <c r="E37" s="8">
        <f ca="1">IFERROR(__xludf.DUMMYFUNCTION("""COMPUTED_VALUE"""),44979)</f>
        <v>44979</v>
      </c>
      <c r="F37" s="5" t="str">
        <f ca="1">IFERROR(__xludf.DUMMYFUNCTION("""COMPUTED_VALUE"""),"Whitten Middle School")</f>
        <v>Whitten Middle School</v>
      </c>
      <c r="G37" s="5">
        <f ca="1">IFERROR(__xludf.DUMMYFUNCTION("""COMPUTED_VALUE"""),0)</f>
        <v>0</v>
      </c>
      <c r="H37" s="5">
        <f ca="1">IFERROR(__xludf.DUMMYFUNCTION("""COMPUTED_VALUE"""),0)</f>
        <v>0</v>
      </c>
      <c r="I37" s="5">
        <f ca="1">IFERROR(__xludf.DUMMYFUNCTION("""COMPUTED_VALUE"""),0)</f>
        <v>0</v>
      </c>
      <c r="J37" s="5">
        <f ca="1">IFERROR(__xludf.DUMMYFUNCTION("""COMPUTED_VALUE"""),0)</f>
        <v>0</v>
      </c>
      <c r="K37" s="9" t="str">
        <f ca="1">IFERROR(__xludf.DUMMYFUNCTION("""COMPUTED_VALUE"""),"https://www.wlbt.com/2023/02/23/no-active-shooter-whitten-middle-school-jps-says/
https://www.wapt.com/article/whitten-middle-school-shots-fired-near-school/43044539#")</f>
        <v>https://www.wlbt.com/2023/02/23/no-active-shooter-whitten-middle-school-jps-says/
https://www.wapt.com/article/whitten-middle-school-shots-fired-near-school/43044539#</v>
      </c>
      <c r="L37" s="5">
        <f ca="1">IFERROR(__xludf.DUMMYFUNCTION("""COMPUTED_VALUE"""),5)</f>
        <v>5</v>
      </c>
      <c r="M37" s="5" t="str">
        <f ca="1">IFERROR(__xludf.DUMMYFUNCTION("""COMPUTED_VALUE"""),"Local")</f>
        <v>Local</v>
      </c>
      <c r="N37" s="5">
        <f ca="1">IFERROR(__xludf.DUMMYFUNCTION("""COMPUTED_VALUE"""),3)</f>
        <v>3</v>
      </c>
      <c r="O37" s="5" t="str">
        <f ca="1">IFERROR(__xludf.DUMMYFUNCTION("""COMPUTED_VALUE"""),"Winter")</f>
        <v>Winter</v>
      </c>
      <c r="P37" s="5" t="str">
        <f ca="1">IFERROR(__xludf.DUMMYFUNCTION("""COMPUTED_VALUE"""),"Jackson")</f>
        <v>Jackson</v>
      </c>
      <c r="Q37" s="5" t="str">
        <f ca="1">IFERROR(__xludf.DUMMYFUNCTION("""COMPUTED_VALUE"""),"MS")</f>
        <v>MS</v>
      </c>
      <c r="R37" s="5" t="str">
        <f ca="1">IFERROR(__xludf.DUMMYFUNCTION("""COMPUTED_VALUE"""),"Middle")</f>
        <v>Middle</v>
      </c>
      <c r="S37" s="5" t="str">
        <f ca="1">IFERROR(__xludf.DUMMYFUNCTION("""COMPUTED_VALUE"""),"Outside on School Property")</f>
        <v>Outside on School Property</v>
      </c>
      <c r="T37" s="5" t="str">
        <f ca="1">IFERROR(__xludf.DUMMYFUNCTION("""COMPUTED_VALUE"""),"Outside on School Property")</f>
        <v>Outside on School Property</v>
      </c>
      <c r="U37" s="5" t="str">
        <f ca="1">IFERROR(__xludf.DUMMYFUNCTION("""COMPUTED_VALUE"""),"Yes")</f>
        <v>Yes</v>
      </c>
      <c r="V37" s="5" t="str">
        <f ca="1">IFERROR(__xludf.DUMMYFUNCTION("""COMPUTED_VALUE"""),"Morning Classes")</f>
        <v>Morning Classes</v>
      </c>
      <c r="W37" s="10">
        <f ca="1">IFERROR(__xludf.DUMMYFUNCTION("""COMPUTED_VALUE"""),0.4375)</f>
        <v>0.4375</v>
      </c>
      <c r="X37" s="5">
        <f ca="1">IFERROR(__xludf.DUMMYFUNCTION("""COMPUTED_VALUE"""),1)</f>
        <v>1</v>
      </c>
      <c r="Y37" s="5" t="str">
        <f ca="1">IFERROR(__xludf.DUMMYFUNCTION("""COMPUTED_VALUE"""),"Three students reported being shot at outside, ran into school, school locked down")</f>
        <v>Three students reported being shot at outside, ran into school, school locked down</v>
      </c>
      <c r="Z37" s="5" t="str">
        <f ca="1">IFERROR(__xludf.DUMMYFUNCTION("""COMPUTED_VALUE"""),"Sherwin Johnson, spokesman for Jackson Public Schools, said the three people were students who were walking at about 10:30 a.m. Thursday near the school. ""There was a report of a student being grazed by a shot,"" Johnson said. ""That student was brought "&amp;"inside the school, examined, and according to AMR and the child's parents, that student was not shot or injured."" JPS sent a message to parents notifying them of the situation, Johnson said. Davis said the word spread on social media that there was an ac"&amp;"tive shooter, which he said was untrue. ""We had no shell casings, the building was not hit, no individual hit, so right now, we do not have an active shooter,"" Davis said.")</f>
        <v>Sherwin Johnson, spokesman for Jackson Public Schools, said the three people were students who were walking at about 10:30 a.m. Thursday near the school. "There was a report of a student being grazed by a shot," Johnson said. "That student was brought inside the school, examined, and according to AMR and the child's parents, that student was not shot or injured." JPS sent a message to parents notifying them of the situation, Johnson said. Davis said the word spread on social media that there was an active shooter, which he said was untrue. "We had no shell casings, the building was not hit, no individual hit, so right now, we do not have an active shooter," Davis said.</v>
      </c>
      <c r="AA37" s="5"/>
      <c r="AB37" s="5"/>
      <c r="AC37" s="5"/>
      <c r="AD37" s="5" t="str">
        <f ca="1">IFERROR(__xludf.DUMMYFUNCTION("""COMPUTED_VALUE"""),"No")</f>
        <v>No</v>
      </c>
      <c r="AE37" s="5" t="str">
        <f ca="1">IFERROR(__xludf.DUMMYFUNCTION("""COMPUTED_VALUE"""),"No")</f>
        <v>No</v>
      </c>
      <c r="AF37" s="5" t="str">
        <f ca="1">IFERROR(__xludf.DUMMYFUNCTION("""COMPUTED_VALUE"""),"No")</f>
        <v>No</v>
      </c>
      <c r="AG37" s="5" t="str">
        <f ca="1">IFERROR(__xludf.DUMMYFUNCTION("""COMPUTED_VALUE"""),"No")</f>
        <v>No</v>
      </c>
      <c r="AH37" s="5" t="str">
        <f ca="1">IFERROR(__xludf.DUMMYFUNCTION("""COMPUTED_VALUE"""),"No")</f>
        <v>No</v>
      </c>
      <c r="AI37" s="5" t="str">
        <f ca="1">IFERROR(__xludf.DUMMYFUNCTION("""COMPUTED_VALUE"""),"No")</f>
        <v>No</v>
      </c>
      <c r="AJ37" s="5" t="str">
        <f ca="1">IFERROR(__xludf.DUMMYFUNCTION("""COMPUTED_VALUE"""),"No")</f>
        <v>No</v>
      </c>
    </row>
    <row r="38" spans="1:36" ht="13">
      <c r="A38" s="5" t="str">
        <f ca="1">IFERROR(__xludf.DUMMYFUNCTION("""COMPUTED_VALUE"""),"20230222COESE")</f>
        <v>20230222COESE</v>
      </c>
      <c r="B38" s="5">
        <f ca="1">IFERROR(__xludf.DUMMYFUNCTION("""COMPUTED_VALUE"""),2)</f>
        <v>2</v>
      </c>
      <c r="C38" s="5">
        <f ca="1">IFERROR(__xludf.DUMMYFUNCTION("""COMPUTED_VALUE"""),22)</f>
        <v>22</v>
      </c>
      <c r="D38" s="5">
        <f ca="1">IFERROR(__xludf.DUMMYFUNCTION("""COMPUTED_VALUE"""),2023)</f>
        <v>2023</v>
      </c>
      <c r="E38" s="8">
        <f ca="1">IFERROR(__xludf.DUMMYFUNCTION("""COMPUTED_VALUE"""),44979)</f>
        <v>44979</v>
      </c>
      <c r="F38" s="5" t="str">
        <f ca="1">IFERROR(__xludf.DUMMYFUNCTION("""COMPUTED_VALUE"""),"Estes Park Elementary School")</f>
        <v>Estes Park Elementary School</v>
      </c>
      <c r="G38" s="5">
        <f ca="1">IFERROR(__xludf.DUMMYFUNCTION("""COMPUTED_VALUE"""),0)</f>
        <v>0</v>
      </c>
      <c r="H38" s="5">
        <f ca="1">IFERROR(__xludf.DUMMYFUNCTION("""COMPUTED_VALUE"""),0)</f>
        <v>0</v>
      </c>
      <c r="I38" s="5">
        <f ca="1">IFERROR(__xludf.DUMMYFUNCTION("""COMPUTED_VALUE"""),0)</f>
        <v>0</v>
      </c>
      <c r="J38" s="5">
        <f ca="1">IFERROR(__xludf.DUMMYFUNCTION("""COMPUTED_VALUE"""),0)</f>
        <v>0</v>
      </c>
      <c r="K38" s="9" t="str">
        <f ca="1">IFERROR(__xludf.DUMMYFUNCTION("""COMPUTED_VALUE"""),"https://www.facebook.com/estesparkpolicedepartment/posts/pfbid031Cu6RiiwnDb4YLSr8zLv61wY9ehmfdKubMgEjw4yHRJeTq5BFzS5G8uiEYJ164fgl
https://www.sacbee.com/news/nation-world/national/article272581192.html")</f>
        <v>https://www.facebook.com/estesparkpolicedepartment/posts/pfbid031Cu6RiiwnDb4YLSr8zLv61wY9ehmfdKubMgEjw4yHRJeTq5BFzS5G8uiEYJ164fgl
https://www.sacbee.com/news/nation-world/national/article272581192.html</v>
      </c>
      <c r="L38" s="5">
        <f ca="1">IFERROR(__xludf.DUMMYFUNCTION("""COMPUTED_VALUE"""),3)</f>
        <v>3</v>
      </c>
      <c r="M38" s="5" t="str">
        <f ca="1">IFERROR(__xludf.DUMMYFUNCTION("""COMPUTED_VALUE"""),"Regional")</f>
        <v>Regional</v>
      </c>
      <c r="N38" s="5">
        <f ca="1">IFERROR(__xludf.DUMMYFUNCTION("""COMPUTED_VALUE"""),4)</f>
        <v>4</v>
      </c>
      <c r="O38" s="5" t="str">
        <f ca="1">IFERROR(__xludf.DUMMYFUNCTION("""COMPUTED_VALUE"""),"Winter")</f>
        <v>Winter</v>
      </c>
      <c r="P38" s="5" t="str">
        <f ca="1">IFERROR(__xludf.DUMMYFUNCTION("""COMPUTED_VALUE"""),"Estes Park")</f>
        <v>Estes Park</v>
      </c>
      <c r="Q38" s="5" t="str">
        <f ca="1">IFERROR(__xludf.DUMMYFUNCTION("""COMPUTED_VALUE"""),"CO")</f>
        <v>CO</v>
      </c>
      <c r="R38" s="5" t="str">
        <f ca="1">IFERROR(__xludf.DUMMYFUNCTION("""COMPUTED_VALUE"""),"Elementary")</f>
        <v>Elementary</v>
      </c>
      <c r="S38" s="5" t="str">
        <f ca="1">IFERROR(__xludf.DUMMYFUNCTION("""COMPUTED_VALUE"""),"Inside School Building")</f>
        <v>Inside School Building</v>
      </c>
      <c r="T38" s="5" t="str">
        <f ca="1">IFERROR(__xludf.DUMMYFUNCTION("""COMPUTED_VALUE"""),"Inside School Building")</f>
        <v>Inside School Building</v>
      </c>
      <c r="U38" s="5" t="str">
        <f ca="1">IFERROR(__xludf.DUMMYFUNCTION("""COMPUTED_VALUE"""),"Yes")</f>
        <v>Yes</v>
      </c>
      <c r="V38" s="5" t="str">
        <f ca="1">IFERROR(__xludf.DUMMYFUNCTION("""COMPUTED_VALUE"""),"Morning Classes")</f>
        <v>Morning Classes</v>
      </c>
      <c r="W38" s="10">
        <f ca="1">IFERROR(__xludf.DUMMYFUNCTION("""COMPUTED_VALUE"""),0.890972222222222)</f>
        <v>0.89097222222222205</v>
      </c>
      <c r="X38" s="5">
        <f ca="1">IFERROR(__xludf.DUMMYFUNCTION("""COMPUTED_VALUE"""),1)</f>
        <v>1</v>
      </c>
      <c r="Y38" s="5" t="str">
        <f ca="1">IFERROR(__xludf.DUMMYFUNCTION("""COMPUTED_VALUE"""),"Officer fired round into floor during swatting response")</f>
        <v>Officer fired round into floor during swatting response</v>
      </c>
      <c r="Z38" s="5" t="str">
        <f ca="1">IFERROR(__xludf.DUMMYFUNCTION("""COMPUTED_VALUE"""),"During its investigation at the Estes Park Schools, an Estes Park Police officer accidentally discharged one round into the floor at the Elementary School. No one was injured. Other officers were in the building to assist, including officers from the Nati"&amp;"onal Park Service and Larimer County Sheriff’s Office. There were no students or School District personnel present in the school at the time of the discharge. The Police Department is reviewing its response to this call and the subsequent accidental disch"&amp;"arge.")</f>
        <v>During its investigation at the Estes Park Schools, an Estes Park Police officer accidentally discharged one round into the floor at the Elementary School. No one was injured. Other officers were in the building to assist, including officers from the National Park Service and Larimer County Sheriff’s Office. There were no students or School District personnel present in the school at the time of the discharge. The Police Department is reviewing its response to this call and the subsequent accidental discharge.</v>
      </c>
      <c r="AA38" s="5" t="str">
        <f ca="1">IFERROR(__xludf.DUMMYFUNCTION("""COMPUTED_VALUE"""),"Accidental")</f>
        <v>Accidental</v>
      </c>
      <c r="AB38" s="5" t="str">
        <f ca="1">IFERROR(__xludf.DUMMYFUNCTION("""COMPUTED_VALUE"""),"Neither")</f>
        <v>Neither</v>
      </c>
      <c r="AC38" s="5" t="str">
        <f ca="1">IFERROR(__xludf.DUMMYFUNCTION("""COMPUTED_VALUE"""),"No")</f>
        <v>No</v>
      </c>
      <c r="AD38" s="5" t="str">
        <f ca="1">IFERROR(__xludf.DUMMYFUNCTION("""COMPUTED_VALUE"""),"No")</f>
        <v>No</v>
      </c>
      <c r="AE38" s="5" t="str">
        <f ca="1">IFERROR(__xludf.DUMMYFUNCTION("""COMPUTED_VALUE"""),"No")</f>
        <v>No</v>
      </c>
      <c r="AF38" s="5" t="str">
        <f ca="1">IFERROR(__xludf.DUMMYFUNCTION("""COMPUTED_VALUE"""),"Yes")</f>
        <v>Yes</v>
      </c>
      <c r="AG38" s="5" t="str">
        <f ca="1">IFERROR(__xludf.DUMMYFUNCTION("""COMPUTED_VALUE"""),"No")</f>
        <v>No</v>
      </c>
      <c r="AH38" s="5" t="str">
        <f ca="1">IFERROR(__xludf.DUMMYFUNCTION("""COMPUTED_VALUE"""),"No")</f>
        <v>No</v>
      </c>
      <c r="AI38" s="5" t="str">
        <f ca="1">IFERROR(__xludf.DUMMYFUNCTION("""COMPUTED_VALUE"""),"No")</f>
        <v>No</v>
      </c>
      <c r="AJ38" s="5" t="str">
        <f ca="1">IFERROR(__xludf.DUMMYFUNCTION("""COMPUTED_VALUE"""),"No")</f>
        <v>No</v>
      </c>
    </row>
    <row r="39" spans="1:36" ht="13">
      <c r="A39" s="5" t="str">
        <f ca="1">IFERROR(__xludf.DUMMYFUNCTION("""COMPUTED_VALUE"""),"20230221LARUR")</f>
        <v>20230221LARUR</v>
      </c>
      <c r="B39" s="5">
        <f ca="1">IFERROR(__xludf.DUMMYFUNCTION("""COMPUTED_VALUE"""),2)</f>
        <v>2</v>
      </c>
      <c r="C39" s="5">
        <f ca="1">IFERROR(__xludf.DUMMYFUNCTION("""COMPUTED_VALUE"""),21)</f>
        <v>21</v>
      </c>
      <c r="D39" s="5">
        <f ca="1">IFERROR(__xludf.DUMMYFUNCTION("""COMPUTED_VALUE"""),2023)</f>
        <v>2023</v>
      </c>
      <c r="E39" s="8">
        <f ca="1">IFERROR(__xludf.DUMMYFUNCTION("""COMPUTED_VALUE"""),44978)</f>
        <v>44978</v>
      </c>
      <c r="F39" s="5" t="str">
        <f ca="1">IFERROR(__xludf.DUMMYFUNCTION("""COMPUTED_VALUE"""),"Rustin High School")</f>
        <v>Rustin High School</v>
      </c>
      <c r="G39" s="5">
        <f ca="1">IFERROR(__xludf.DUMMYFUNCTION("""COMPUTED_VALUE"""),0)</f>
        <v>0</v>
      </c>
      <c r="H39" s="5">
        <f ca="1">IFERROR(__xludf.DUMMYFUNCTION("""COMPUTED_VALUE"""),0)</f>
        <v>0</v>
      </c>
      <c r="I39" s="5">
        <f ca="1">IFERROR(__xludf.DUMMYFUNCTION("""COMPUTED_VALUE"""),0)</f>
        <v>0</v>
      </c>
      <c r="J39" s="5">
        <f ca="1">IFERROR(__xludf.DUMMYFUNCTION("""COMPUTED_VALUE"""),0)</f>
        <v>0</v>
      </c>
      <c r="K39" s="9" t="str">
        <f ca="1">IFERROR(__xludf.DUMMYFUNCTION("""COMPUTED_VALUE"""),"https://www.ktbs.com/news/shots-fired-at-high-school-softball-game-in-ruston/article_e06bf462-b265-11ed-9c2f-539d51dd1262.html
https://www.ksla.com/2023/02/21/bullet-interrupts-high-school-softball-game/")</f>
        <v>https://www.ktbs.com/news/shots-fired-at-high-school-softball-game-in-ruston/article_e06bf462-b265-11ed-9c2f-539d51dd1262.html
https://www.ksla.com/2023/02/21/bullet-interrupts-high-school-softball-game/</v>
      </c>
      <c r="L39" s="5">
        <f ca="1">IFERROR(__xludf.DUMMYFUNCTION("""COMPUTED_VALUE"""),2)</f>
        <v>2</v>
      </c>
      <c r="M39" s="5" t="str">
        <f ca="1">IFERROR(__xludf.DUMMYFUNCTION("""COMPUTED_VALUE"""),"Local")</f>
        <v>Local</v>
      </c>
      <c r="N39" s="5">
        <f ca="1">IFERROR(__xludf.DUMMYFUNCTION("""COMPUTED_VALUE"""),4)</f>
        <v>4</v>
      </c>
      <c r="O39" s="5" t="str">
        <f ca="1">IFERROR(__xludf.DUMMYFUNCTION("""COMPUTED_VALUE"""),"Winter")</f>
        <v>Winter</v>
      </c>
      <c r="P39" s="5" t="str">
        <f ca="1">IFERROR(__xludf.DUMMYFUNCTION("""COMPUTED_VALUE"""),"Rustin")</f>
        <v>Rustin</v>
      </c>
      <c r="Q39" s="5" t="str">
        <f ca="1">IFERROR(__xludf.DUMMYFUNCTION("""COMPUTED_VALUE"""),"LA")</f>
        <v>LA</v>
      </c>
      <c r="R39" s="5" t="str">
        <f ca="1">IFERROR(__xludf.DUMMYFUNCTION("""COMPUTED_VALUE"""),"High")</f>
        <v>High</v>
      </c>
      <c r="S39" s="5" t="str">
        <f ca="1">IFERROR(__xludf.DUMMYFUNCTION("""COMPUTED_VALUE"""),"Field (General)")</f>
        <v>Field (General)</v>
      </c>
      <c r="T39" s="5" t="str">
        <f ca="1">IFERROR(__xludf.DUMMYFUNCTION("""COMPUTED_VALUE"""),"Outside on School Property")</f>
        <v>Outside on School Property</v>
      </c>
      <c r="U39" s="5" t="str">
        <f ca="1">IFERROR(__xludf.DUMMYFUNCTION("""COMPUTED_VALUE"""),"No")</f>
        <v>No</v>
      </c>
      <c r="V39" s="5" t="str">
        <f ca="1">IFERROR(__xludf.DUMMYFUNCTION("""COMPUTED_VALUE"""),"Sport Event")</f>
        <v>Sport Event</v>
      </c>
      <c r="W39" s="10">
        <f ca="1">IFERROR(__xludf.DUMMYFUNCTION("""COMPUTED_VALUE"""),0.75)</f>
        <v>0.75</v>
      </c>
      <c r="X39" s="5">
        <f ca="1">IFERROR(__xludf.DUMMYFUNCTION("""COMPUTED_VALUE"""),1)</f>
        <v>1</v>
      </c>
      <c r="Y39" s="5" t="str">
        <f ca="1">IFERROR(__xludf.DUMMYFUNCTION("""COMPUTED_VALUE"""),"Bullet struck dugout during girls softball game")</f>
        <v>Bullet struck dugout during girls softball game</v>
      </c>
      <c r="Z39" s="5" t="str">
        <f ca="1">IFERROR(__xludf.DUMMYFUNCTION("""COMPUTED_VALUE"""),"Bullet struck the dugout where high school softball players were sitting. Witnesses reported hearing gunshots off in the distance, then a bullet hit a dugout, authorities said. You can see where it cut through the plastic dugout barrier and struck a metal"&amp;" pole, stopping it from hitting any of the players.")</f>
        <v>Bullet struck the dugout where high school softball players were sitting. Witnesses reported hearing gunshots off in the distance, then a bullet hit a dugout, authorities said. You can see where it cut through the plastic dugout barrier and struck a metal pole, stopping it from hitting any of the players.</v>
      </c>
      <c r="AA39" s="5" t="str">
        <f ca="1">IFERROR(__xludf.DUMMYFUNCTION("""COMPUTED_VALUE"""),"Accidental")</f>
        <v>Accidental</v>
      </c>
      <c r="AB39" s="5" t="str">
        <f ca="1">IFERROR(__xludf.DUMMYFUNCTION("""COMPUTED_VALUE"""),"Neither")</f>
        <v>Neither</v>
      </c>
      <c r="AC39" s="5"/>
      <c r="AD39" s="5" t="str">
        <f ca="1">IFERROR(__xludf.DUMMYFUNCTION("""COMPUTED_VALUE"""),"No")</f>
        <v>No</v>
      </c>
      <c r="AE39" s="5" t="str">
        <f ca="1">IFERROR(__xludf.DUMMYFUNCTION("""COMPUTED_VALUE"""),"No")</f>
        <v>No</v>
      </c>
      <c r="AF39" s="5" t="str">
        <f ca="1">IFERROR(__xludf.DUMMYFUNCTION("""COMPUTED_VALUE"""),"No")</f>
        <v>No</v>
      </c>
      <c r="AG39" s="5" t="str">
        <f ca="1">IFERROR(__xludf.DUMMYFUNCTION("""COMPUTED_VALUE"""),"No")</f>
        <v>No</v>
      </c>
      <c r="AH39" s="5" t="str">
        <f ca="1">IFERROR(__xludf.DUMMYFUNCTION("""COMPUTED_VALUE"""),"No")</f>
        <v>No</v>
      </c>
      <c r="AI39" s="5" t="str">
        <f ca="1">IFERROR(__xludf.DUMMYFUNCTION("""COMPUTED_VALUE"""),"No")</f>
        <v>No</v>
      </c>
      <c r="AJ39" s="5" t="str">
        <f ca="1">IFERROR(__xludf.DUMMYFUNCTION("""COMPUTED_VALUE"""),"No")</f>
        <v>No</v>
      </c>
    </row>
    <row r="40" spans="1:36" ht="13">
      <c r="A40" s="5" t="str">
        <f ca="1">IFERROR(__xludf.DUMMYFUNCTION("""COMPUTED_VALUE"""),"20230217NCERE")</f>
        <v>20230217NCERE</v>
      </c>
      <c r="B40" s="5">
        <f ca="1">IFERROR(__xludf.DUMMYFUNCTION("""COMPUTED_VALUE"""),2)</f>
        <v>2</v>
      </c>
      <c r="C40" s="5">
        <f ca="1">IFERROR(__xludf.DUMMYFUNCTION("""COMPUTED_VALUE"""),17)</f>
        <v>17</v>
      </c>
      <c r="D40" s="5">
        <f ca="1">IFERROR(__xludf.DUMMYFUNCTION("""COMPUTED_VALUE"""),2023)</f>
        <v>2023</v>
      </c>
      <c r="E40" s="8">
        <f ca="1">IFERROR(__xludf.DUMMYFUNCTION("""COMPUTED_VALUE"""),44974)</f>
        <v>44974</v>
      </c>
      <c r="F40" s="5" t="str">
        <f ca="1">IFERROR(__xludf.DUMMYFUNCTION("""COMPUTED_VALUE"""),"Erwin Elementary School")</f>
        <v>Erwin Elementary School</v>
      </c>
      <c r="G40" s="5">
        <f ca="1">IFERROR(__xludf.DUMMYFUNCTION("""COMPUTED_VALUE"""),0)</f>
        <v>0</v>
      </c>
      <c r="H40" s="5">
        <f ca="1">IFERROR(__xludf.DUMMYFUNCTION("""COMPUTED_VALUE"""),0)</f>
        <v>0</v>
      </c>
      <c r="I40" s="5">
        <f ca="1">IFERROR(__xludf.DUMMYFUNCTION("""COMPUTED_VALUE"""),0)</f>
        <v>0</v>
      </c>
      <c r="J40" s="5">
        <f ca="1">IFERROR(__xludf.DUMMYFUNCTION("""COMPUTED_VALUE"""),0)</f>
        <v>0</v>
      </c>
      <c r="K40" s="5" t="str">
        <f ca="1">IFERROR(__xludf.DUMMYFUNCTION("""COMPUTED_VALUE"""),"https://abc11.com/erwin-elementary-school-harnett-county-gun-on-campus-in-backpack/12831894/
https://www.cbs17.com/news/local-news/loaded-gun-found-in-students-backpack-at-erwin-elementary-school-police-chief-says/")</f>
        <v>https://abc11.com/erwin-elementary-school-harnett-county-gun-on-campus-in-backpack/12831894/
https://www.cbs17.com/news/local-news/loaded-gun-found-in-students-backpack-at-erwin-elementary-school-police-chief-says/</v>
      </c>
      <c r="L40" s="5">
        <f ca="1">IFERROR(__xludf.DUMMYFUNCTION("""COMPUTED_VALUE"""),5)</f>
        <v>5</v>
      </c>
      <c r="M40" s="5" t="str">
        <f ca="1">IFERROR(__xludf.DUMMYFUNCTION("""COMPUTED_VALUE"""),"Local")</f>
        <v>Local</v>
      </c>
      <c r="N40" s="5">
        <f ca="1">IFERROR(__xludf.DUMMYFUNCTION("""COMPUTED_VALUE"""),4)</f>
        <v>4</v>
      </c>
      <c r="O40" s="5" t="str">
        <f ca="1">IFERROR(__xludf.DUMMYFUNCTION("""COMPUTED_VALUE"""),"Winter")</f>
        <v>Winter</v>
      </c>
      <c r="P40" s="5" t="str">
        <f ca="1">IFERROR(__xludf.DUMMYFUNCTION("""COMPUTED_VALUE"""),"Erwin")</f>
        <v>Erwin</v>
      </c>
      <c r="Q40" s="5" t="str">
        <f ca="1">IFERROR(__xludf.DUMMYFUNCTION("""COMPUTED_VALUE"""),"NC")</f>
        <v>NC</v>
      </c>
      <c r="R40" s="5" t="str">
        <f ca="1">IFERROR(__xludf.DUMMYFUNCTION("""COMPUTED_VALUE"""),"Elementary")</f>
        <v>Elementary</v>
      </c>
      <c r="S40" s="5" t="str">
        <f ca="1">IFERROR(__xludf.DUMMYFUNCTION("""COMPUTED_VALUE"""),"Bathroom")</f>
        <v>Bathroom</v>
      </c>
      <c r="T40" s="5" t="str">
        <f ca="1">IFERROR(__xludf.DUMMYFUNCTION("""COMPUTED_VALUE"""),"Outside on School Property")</f>
        <v>Outside on School Property</v>
      </c>
      <c r="U40" s="5" t="str">
        <f ca="1">IFERROR(__xludf.DUMMYFUNCTION("""COMPUTED_VALUE"""),"Yes")</f>
        <v>Yes</v>
      </c>
      <c r="V40" s="5" t="str">
        <f ca="1">IFERROR(__xludf.DUMMYFUNCTION("""COMPUTED_VALUE"""),"Morning Classes")</f>
        <v>Morning Classes</v>
      </c>
      <c r="W40" s="10">
        <f ca="1">IFERROR(__xludf.DUMMYFUNCTION("""COMPUTED_VALUE"""),0.486111111111111)</f>
        <v>0.48611111111111099</v>
      </c>
      <c r="X40" s="5">
        <f ca="1">IFERROR(__xludf.DUMMYFUNCTION("""COMPUTED_VALUE"""),1)</f>
        <v>1</v>
      </c>
      <c r="Y40" s="5" t="str">
        <f ca="1">IFERROR(__xludf.DUMMYFUNCTION("""COMPUTED_VALUE"""),"4th grade student pointed a loaded gun at another student in the bathroom, detained by SRO")</f>
        <v>4th grade student pointed a loaded gun at another student in the bathroom, detained by SRO</v>
      </c>
      <c r="Z40" s="5" t="str">
        <f ca="1">IFERROR(__xludf.DUMMYFUNCTION("""COMPUTED_VALUE"""),"A loaded handgun was found on campus at Erwin Elementary School on Friday morning, according to the police chief. A school resource officer inside of Erwin Elementary School and other staff were told a fourth grader had a gun in their bag. The weapon was "&amp;"reported by other students after the student pointed it at another student in the bathroom. A loaded handgun was found in a fourth grade student’s backpack around 11:40 a.m. Friday morning, according to Police Chief Johnathan Johnson.")</f>
        <v>A loaded handgun was found on campus at Erwin Elementary School on Friday morning, according to the police chief. A school resource officer inside of Erwin Elementary School and other staff were told a fourth grader had a gun in their bag. The weapon was reported by other students after the student pointed it at another student in the bathroom. A loaded handgun was found in a fourth grade student’s backpack around 11:40 a.m. Friday morning, according to Police Chief Johnathan Johnson.</v>
      </c>
      <c r="AA40" s="5"/>
      <c r="AB40" s="5" t="str">
        <f ca="1">IFERROR(__xludf.DUMMYFUNCTION("""COMPUTED_VALUE"""),"Victims Targeted")</f>
        <v>Victims Targeted</v>
      </c>
      <c r="AC40" s="5" t="str">
        <f ca="1">IFERROR(__xludf.DUMMYFUNCTION("""COMPUTED_VALUE"""),"No")</f>
        <v>No</v>
      </c>
      <c r="AD40" s="5" t="str">
        <f ca="1">IFERROR(__xludf.DUMMYFUNCTION("""COMPUTED_VALUE"""),"No")</f>
        <v>No</v>
      </c>
      <c r="AE40" s="5" t="str">
        <f ca="1">IFERROR(__xludf.DUMMYFUNCTION("""COMPUTED_VALUE"""),"No")</f>
        <v>No</v>
      </c>
      <c r="AF40" s="5" t="str">
        <f ca="1">IFERROR(__xludf.DUMMYFUNCTION("""COMPUTED_VALUE"""),"No")</f>
        <v>No</v>
      </c>
      <c r="AG40" s="5"/>
      <c r="AH40" s="5" t="str">
        <f ca="1">IFERROR(__xludf.DUMMYFUNCTION("""COMPUTED_VALUE"""),"No")</f>
        <v>No</v>
      </c>
      <c r="AI40" s="5" t="str">
        <f ca="1">IFERROR(__xludf.DUMMYFUNCTION("""COMPUTED_VALUE"""),"No")</f>
        <v>No</v>
      </c>
      <c r="AJ40" s="5" t="str">
        <f ca="1">IFERROR(__xludf.DUMMYFUNCTION("""COMPUTED_VALUE"""),"No")</f>
        <v>No</v>
      </c>
    </row>
    <row r="41" spans="1:36" ht="13">
      <c r="A41" s="5" t="str">
        <f ca="1">IFERROR(__xludf.DUMMYFUNCTION("""COMPUTED_VALUE"""),"20230217ILCAC")</f>
        <v>20230217ILCAC</v>
      </c>
      <c r="B41" s="5">
        <f ca="1">IFERROR(__xludf.DUMMYFUNCTION("""COMPUTED_VALUE"""),2)</f>
        <v>2</v>
      </c>
      <c r="C41" s="5">
        <f ca="1">IFERROR(__xludf.DUMMYFUNCTION("""COMPUTED_VALUE"""),17)</f>
        <v>17</v>
      </c>
      <c r="D41" s="5">
        <f ca="1">IFERROR(__xludf.DUMMYFUNCTION("""COMPUTED_VALUE"""),2023)</f>
        <v>2023</v>
      </c>
      <c r="E41" s="8">
        <f ca="1">IFERROR(__xludf.DUMMYFUNCTION("""COMPUTED_VALUE"""),44974)</f>
        <v>44974</v>
      </c>
      <c r="F41" s="5" t="str">
        <f ca="1">IFERROR(__xludf.DUMMYFUNCTION("""COMPUTED_VALUE"""),"Catalyst Circle Rock Charter School")</f>
        <v>Catalyst Circle Rock Charter School</v>
      </c>
      <c r="G41" s="5">
        <f ca="1">IFERROR(__xludf.DUMMYFUNCTION("""COMPUTED_VALUE"""),0)</f>
        <v>0</v>
      </c>
      <c r="H41" s="5">
        <f ca="1">IFERROR(__xludf.DUMMYFUNCTION("""COMPUTED_VALUE"""),1)</f>
        <v>1</v>
      </c>
      <c r="I41" s="5">
        <f ca="1">IFERROR(__xludf.DUMMYFUNCTION("""COMPUTED_VALUE"""),1)</f>
        <v>1</v>
      </c>
      <c r="J41" s="5">
        <f ca="1">IFERROR(__xludf.DUMMYFUNCTION("""COMPUTED_VALUE"""),0)</f>
        <v>0</v>
      </c>
      <c r="K41" s="9" t="str">
        <f ca="1">IFERROR(__xludf.DUMMYFUNCTION("""COMPUTED_VALUE"""),"https://abc7chicago.com/chicago-shooting-today-catalyst-circle-rock-charter-school-south-austin/12833547/")</f>
        <v>https://abc7chicago.com/chicago-shooting-today-catalyst-circle-rock-charter-school-south-austin/12833547/</v>
      </c>
      <c r="L41" s="5">
        <f ca="1">IFERROR(__xludf.DUMMYFUNCTION("""COMPUTED_VALUE"""),1)</f>
        <v>1</v>
      </c>
      <c r="M41" s="5" t="str">
        <f ca="1">IFERROR(__xludf.DUMMYFUNCTION("""COMPUTED_VALUE"""),"Local")</f>
        <v>Local</v>
      </c>
      <c r="N41" s="5">
        <f ca="1">IFERROR(__xludf.DUMMYFUNCTION("""COMPUTED_VALUE"""),4)</f>
        <v>4</v>
      </c>
      <c r="O41" s="5" t="str">
        <f ca="1">IFERROR(__xludf.DUMMYFUNCTION("""COMPUTED_VALUE"""),"Winter")</f>
        <v>Winter</v>
      </c>
      <c r="P41" s="5" t="str">
        <f ca="1">IFERROR(__xludf.DUMMYFUNCTION("""COMPUTED_VALUE"""),"Chicago")</f>
        <v>Chicago</v>
      </c>
      <c r="Q41" s="5" t="str">
        <f ca="1">IFERROR(__xludf.DUMMYFUNCTION("""COMPUTED_VALUE"""),"IL")</f>
        <v>IL</v>
      </c>
      <c r="R41" s="5" t="str">
        <f ca="1">IFERROR(__xludf.DUMMYFUNCTION("""COMPUTED_VALUE"""),"K-12")</f>
        <v>K-12</v>
      </c>
      <c r="S41" s="5" t="str">
        <f ca="1">IFERROR(__xludf.DUMMYFUNCTION("""COMPUTED_VALUE"""),"Beside Building")</f>
        <v>Beside Building</v>
      </c>
      <c r="T41" s="5" t="str">
        <f ca="1">IFERROR(__xludf.DUMMYFUNCTION("""COMPUTED_VALUE"""),"Outside on School Property")</f>
        <v>Outside on School Property</v>
      </c>
      <c r="U41" s="5" t="str">
        <f ca="1">IFERROR(__xludf.DUMMYFUNCTION("""COMPUTED_VALUE"""),"Yes")</f>
        <v>Yes</v>
      </c>
      <c r="V41" s="5" t="str">
        <f ca="1">IFERROR(__xludf.DUMMYFUNCTION("""COMPUTED_VALUE"""),"Dismissal")</f>
        <v>Dismissal</v>
      </c>
      <c r="W41" s="10">
        <f ca="1">IFERROR(__xludf.DUMMYFUNCTION("""COMPUTED_VALUE"""),0.679861111111111)</f>
        <v>0.67986111111111103</v>
      </c>
      <c r="X41" s="5">
        <f ca="1">IFERROR(__xludf.DUMMYFUNCTION("""COMPUTED_VALUE"""),1)</f>
        <v>1</v>
      </c>
      <c r="Y41" s="5" t="str">
        <f ca="1">IFERROR(__xludf.DUMMYFUNCTION("""COMPUTED_VALUE"""),"Teenage girl shot beside school")</f>
        <v>Teenage girl shot beside school</v>
      </c>
      <c r="Z41" s="5" t="str">
        <f ca="1">IFERROR(__xludf.DUMMYFUNCTION("""COMPUTED_VALUE""")," A 17-year-old girl was shot Friday afternoon outside of a charter school on Chicago's West Side, police said. The teen was shot in the leg when someone in a vehicle pulled up and fired shots at her as she walked along a sidewalk in the 5600-block of W. W"&amp;"ashington around 4:19 p.m., Chicago police said. The teen was taken to a local hospital in good condition, police said.")</f>
        <v xml:space="preserve"> A 17-year-old girl was shot Friday afternoon outside of a charter school on Chicago's West Side, police said. The teen was shot in the leg when someone in a vehicle pulled up and fired shots at her as she walked along a sidewalk in the 5600-block of W. Washington around 4:19 p.m., Chicago police said. The teen was taken to a local hospital in good condition, police said.</v>
      </c>
      <c r="AA41" s="5" t="str">
        <f ca="1">IFERROR(__xludf.DUMMYFUNCTION("""COMPUTED_VALUE"""),"Drive-by Shooting")</f>
        <v>Drive-by Shooting</v>
      </c>
      <c r="AB41" s="5" t="str">
        <f ca="1">IFERROR(__xludf.DUMMYFUNCTION("""COMPUTED_VALUE"""),"Victims Targeted")</f>
        <v>Victims Targeted</v>
      </c>
      <c r="AC41" s="5"/>
      <c r="AD41" s="5" t="str">
        <f ca="1">IFERROR(__xludf.DUMMYFUNCTION("""COMPUTED_VALUE"""),"No")</f>
        <v>No</v>
      </c>
      <c r="AE41" s="5" t="str">
        <f ca="1">IFERROR(__xludf.DUMMYFUNCTION("""COMPUTED_VALUE"""),"No")</f>
        <v>No</v>
      </c>
      <c r="AF41" s="5" t="str">
        <f ca="1">IFERROR(__xludf.DUMMYFUNCTION("""COMPUTED_VALUE"""),"No")</f>
        <v>No</v>
      </c>
      <c r="AG41" s="5" t="str">
        <f ca="1">IFERROR(__xludf.DUMMYFUNCTION("""COMPUTED_VALUE"""),"No")</f>
        <v>No</v>
      </c>
      <c r="AH41" s="5"/>
      <c r="AI41" s="5"/>
      <c r="AJ41" s="5" t="str">
        <f ca="1">IFERROR(__xludf.DUMMYFUNCTION("""COMPUTED_VALUE"""),"No")</f>
        <v>No</v>
      </c>
    </row>
    <row r="42" spans="1:36" ht="13">
      <c r="A42" s="5" t="str">
        <f ca="1">IFERROR(__xludf.DUMMYFUNCTION("""COMPUTED_VALUE"""),"20230216TXGAG")</f>
        <v>20230216TXGAG</v>
      </c>
      <c r="B42" s="5">
        <f ca="1">IFERROR(__xludf.DUMMYFUNCTION("""COMPUTED_VALUE"""),2)</f>
        <v>2</v>
      </c>
      <c r="C42" s="5">
        <f ca="1">IFERROR(__xludf.DUMMYFUNCTION("""COMPUTED_VALUE"""),16)</f>
        <v>16</v>
      </c>
      <c r="D42" s="5">
        <f ca="1">IFERROR(__xludf.DUMMYFUNCTION("""COMPUTED_VALUE"""),2023)</f>
        <v>2023</v>
      </c>
      <c r="E42" s="8">
        <f ca="1">IFERROR(__xludf.DUMMYFUNCTION("""COMPUTED_VALUE"""),44973)</f>
        <v>44973</v>
      </c>
      <c r="F42" s="5" t="str">
        <f ca="1">IFERROR(__xludf.DUMMYFUNCTION("""COMPUTED_VALUE"""),"Galena Park High School")</f>
        <v>Galena Park High School</v>
      </c>
      <c r="G42" s="5">
        <f ca="1">IFERROR(__xludf.DUMMYFUNCTION("""COMPUTED_VALUE"""),1)</f>
        <v>1</v>
      </c>
      <c r="H42" s="5">
        <f ca="1">IFERROR(__xludf.DUMMYFUNCTION("""COMPUTED_VALUE"""),0)</f>
        <v>0</v>
      </c>
      <c r="I42" s="5">
        <f ca="1">IFERROR(__xludf.DUMMYFUNCTION("""COMPUTED_VALUE"""),1)</f>
        <v>1</v>
      </c>
      <c r="J42" s="5">
        <f ca="1">IFERROR(__xludf.DUMMYFUNCTION("""COMPUTED_VALUE"""),0)</f>
        <v>0</v>
      </c>
      <c r="K42" s="9" t="str">
        <f ca="1">IFERROR(__xludf.DUMMYFUNCTION("""COMPUTED_VALUE"""),"https://www.click2houston.com/news/local/2023/02/17/17-year-old-shot-killed-in-galena-park-hcso-says/
https://abc13.com/galena-park-hs-student-killed-community-center-maros-orta-harris-county-crime/12830479/
https://www.fox26houston.com/news/friends-and-f"&amp;"amily-are-grieving-after-a-17-year-old-high-school-senior-is-shot-to-death-near-his-school")</f>
        <v>https://www.click2houston.com/news/local/2023/02/17/17-year-old-shot-killed-in-galena-park-hcso-says/
https://abc13.com/galena-park-hs-student-killed-community-center-maros-orta-harris-county-crime/12830479/
https://www.fox26houston.com/news/friends-and-family-are-grieving-after-a-17-year-old-high-school-senior-is-shot-to-death-near-his-school</v>
      </c>
      <c r="L42" s="5">
        <f ca="1">IFERROR(__xludf.DUMMYFUNCTION("""COMPUTED_VALUE"""),5)</f>
        <v>5</v>
      </c>
      <c r="M42" s="5" t="str">
        <f ca="1">IFERROR(__xludf.DUMMYFUNCTION("""COMPUTED_VALUE"""),"Local")</f>
        <v>Local</v>
      </c>
      <c r="N42" s="5">
        <f ca="1">IFERROR(__xludf.DUMMYFUNCTION("""COMPUTED_VALUE"""),4)</f>
        <v>4</v>
      </c>
      <c r="O42" s="5" t="str">
        <f ca="1">IFERROR(__xludf.DUMMYFUNCTION("""COMPUTED_VALUE"""),"Winter")</f>
        <v>Winter</v>
      </c>
      <c r="P42" s="5" t="str">
        <f ca="1">IFERROR(__xludf.DUMMYFUNCTION("""COMPUTED_VALUE"""),"Galena Park")</f>
        <v>Galena Park</v>
      </c>
      <c r="Q42" s="5" t="str">
        <f ca="1">IFERROR(__xludf.DUMMYFUNCTION("""COMPUTED_VALUE"""),"TX")</f>
        <v>TX</v>
      </c>
      <c r="R42" s="5" t="str">
        <f ca="1">IFERROR(__xludf.DUMMYFUNCTION("""COMPUTED_VALUE"""),"High")</f>
        <v>High</v>
      </c>
      <c r="S42" s="5" t="str">
        <f ca="1">IFERROR(__xludf.DUMMYFUNCTION("""COMPUTED_VALUE"""),"Parking Lot")</f>
        <v>Parking Lot</v>
      </c>
      <c r="T42" s="5" t="str">
        <f ca="1">IFERROR(__xludf.DUMMYFUNCTION("""COMPUTED_VALUE"""),"Outside on School Property")</f>
        <v>Outside on School Property</v>
      </c>
      <c r="U42" s="5" t="str">
        <f ca="1">IFERROR(__xludf.DUMMYFUNCTION("""COMPUTED_VALUE"""),"No")</f>
        <v>No</v>
      </c>
      <c r="V42" s="5" t="str">
        <f ca="1">IFERROR(__xludf.DUMMYFUNCTION("""COMPUTED_VALUE"""),"Afternoon Classes")</f>
        <v>Afternoon Classes</v>
      </c>
      <c r="W42" s="10">
        <f ca="1">IFERROR(__xludf.DUMMYFUNCTION("""COMPUTED_VALUE"""),0.6875)</f>
        <v>0.6875</v>
      </c>
      <c r="X42" s="5">
        <f ca="1">IFERROR(__xludf.DUMMYFUNCTION("""COMPUTED_VALUE"""),1)</f>
        <v>1</v>
      </c>
      <c r="Y42" s="5" t="str">
        <f ca="1">IFERROR(__xludf.DUMMYFUNCTION("""COMPUTED_VALUE"""),"Student fatally shot in school parking lot")</f>
        <v>Student fatally shot in school parking lot</v>
      </c>
      <c r="Z42" s="5" t="str">
        <f ca="1">IFERROR(__xludf.DUMMYFUNCTION("""COMPUTED_VALUE"""),"17-year-old was shot multiple times in the school parking lot and died at the hospital. Police believe the shooting was drug related. 17-year-old arrested. Victim was a student at the school.")</f>
        <v>17-year-old was shot multiple times in the school parking lot and died at the hospital. Police believe the shooting was drug related. 17-year-old arrested. Victim was a student at the school.</v>
      </c>
      <c r="AA42" s="5" t="str">
        <f ca="1">IFERROR(__xludf.DUMMYFUNCTION("""COMPUTED_VALUE"""),"Illegal Activity")</f>
        <v>Illegal Activity</v>
      </c>
      <c r="AB42" s="5" t="str">
        <f ca="1">IFERROR(__xludf.DUMMYFUNCTION("""COMPUTED_VALUE"""),"Victims Targeted")</f>
        <v>Victims Targeted</v>
      </c>
      <c r="AC42" s="5" t="str">
        <f ca="1">IFERROR(__xludf.DUMMYFUNCTION("""COMPUTED_VALUE"""),"Yes")</f>
        <v>Yes</v>
      </c>
      <c r="AD42" s="5" t="str">
        <f ca="1">IFERROR(__xludf.DUMMYFUNCTION("""COMPUTED_VALUE"""),"No")</f>
        <v>No</v>
      </c>
      <c r="AE42" s="5" t="str">
        <f ca="1">IFERROR(__xludf.DUMMYFUNCTION("""COMPUTED_VALUE"""),"No")</f>
        <v>No</v>
      </c>
      <c r="AF42" s="5" t="str">
        <f ca="1">IFERROR(__xludf.DUMMYFUNCTION("""COMPUTED_VALUE"""),"No")</f>
        <v>No</v>
      </c>
      <c r="AG42" s="5" t="str">
        <f ca="1">IFERROR(__xludf.DUMMYFUNCTION("""COMPUTED_VALUE"""),"No")</f>
        <v>No</v>
      </c>
      <c r="AH42" s="5" t="str">
        <f ca="1">IFERROR(__xludf.DUMMYFUNCTION("""COMPUTED_VALUE"""),"No")</f>
        <v>No</v>
      </c>
      <c r="AI42" s="5" t="str">
        <f ca="1">IFERROR(__xludf.DUMMYFUNCTION("""COMPUTED_VALUE"""),"No")</f>
        <v>No</v>
      </c>
      <c r="AJ42" s="5" t="str">
        <f ca="1">IFERROR(__xludf.DUMMYFUNCTION("""COMPUTED_VALUE"""),"No")</f>
        <v>No</v>
      </c>
    </row>
    <row r="43" spans="1:36" ht="13">
      <c r="A43" s="5" t="str">
        <f ca="1">IFERROR(__xludf.DUMMYFUNCTION("""COMPUTED_VALUE"""),"20230216TXDAH")</f>
        <v>20230216TXDAH</v>
      </c>
      <c r="B43" s="5">
        <f ca="1">IFERROR(__xludf.DUMMYFUNCTION("""COMPUTED_VALUE"""),2)</f>
        <v>2</v>
      </c>
      <c r="C43" s="5">
        <f ca="1">IFERROR(__xludf.DUMMYFUNCTION("""COMPUTED_VALUE"""),16)</f>
        <v>16</v>
      </c>
      <c r="D43" s="5">
        <f ca="1">IFERROR(__xludf.DUMMYFUNCTION("""COMPUTED_VALUE"""),2023)</f>
        <v>2023</v>
      </c>
      <c r="E43" s="8">
        <f ca="1">IFERROR(__xludf.DUMMYFUNCTION("""COMPUTED_VALUE"""),44973)</f>
        <v>44973</v>
      </c>
      <c r="F43" s="5" t="str">
        <f ca="1">IFERROR(__xludf.DUMMYFUNCTION("""COMPUTED_VALUE"""),"David High School")</f>
        <v>David High School</v>
      </c>
      <c r="G43" s="5">
        <f ca="1">IFERROR(__xludf.DUMMYFUNCTION("""COMPUTED_VALUE"""),0)</f>
        <v>0</v>
      </c>
      <c r="H43" s="5">
        <f ca="1">IFERROR(__xludf.DUMMYFUNCTION("""COMPUTED_VALUE"""),0)</f>
        <v>0</v>
      </c>
      <c r="I43" s="5">
        <f ca="1">IFERROR(__xludf.DUMMYFUNCTION("""COMPUTED_VALUE"""),0)</f>
        <v>0</v>
      </c>
      <c r="J43" s="5">
        <f ca="1">IFERROR(__xludf.DUMMYFUNCTION("""COMPUTED_VALUE"""),0)</f>
        <v>0</v>
      </c>
      <c r="K43" s="9" t="str">
        <f ca="1">IFERROR(__xludf.DUMMYFUNCTION("""COMPUTED_VALUE"""),"https://abc13.com/aldine-isd-high-school-david-police-at-davis-hs-12525-ella-boulevard/12824999/
https://cw39.com/news/local/aldine-isd-police-officer-fires-gun-during-fight-outside-davis-high-school-authorities-said/")</f>
        <v>https://abc13.com/aldine-isd-high-school-david-police-at-davis-hs-12525-ella-boulevard/12824999/
https://cw39.com/news/local/aldine-isd-police-officer-fires-gun-during-fight-outside-davis-high-school-authorities-said/</v>
      </c>
      <c r="L43" s="5">
        <f ca="1">IFERROR(__xludf.DUMMYFUNCTION("""COMPUTED_VALUE"""),5)</f>
        <v>5</v>
      </c>
      <c r="M43" s="5" t="str">
        <f ca="1">IFERROR(__xludf.DUMMYFUNCTION("""COMPUTED_VALUE"""),"Local")</f>
        <v>Local</v>
      </c>
      <c r="N43" s="5">
        <f ca="1">IFERROR(__xludf.DUMMYFUNCTION("""COMPUTED_VALUE"""),4)</f>
        <v>4</v>
      </c>
      <c r="O43" s="5" t="str">
        <f ca="1">IFERROR(__xludf.DUMMYFUNCTION("""COMPUTED_VALUE"""),"Winter")</f>
        <v>Winter</v>
      </c>
      <c r="P43" s="5" t="str">
        <f ca="1">IFERROR(__xludf.DUMMYFUNCTION("""COMPUTED_VALUE"""),"Houston")</f>
        <v>Houston</v>
      </c>
      <c r="Q43" s="5" t="str">
        <f ca="1">IFERROR(__xludf.DUMMYFUNCTION("""COMPUTED_VALUE"""),"TX")</f>
        <v>TX</v>
      </c>
      <c r="R43" s="5" t="str">
        <f ca="1">IFERROR(__xludf.DUMMYFUNCTION("""COMPUTED_VALUE"""),"High")</f>
        <v>High</v>
      </c>
      <c r="S43" s="5" t="str">
        <f ca="1">IFERROR(__xludf.DUMMYFUNCTION("""COMPUTED_VALUE"""),"Parking Lot")</f>
        <v>Parking Lot</v>
      </c>
      <c r="T43" s="5" t="str">
        <f ca="1">IFERROR(__xludf.DUMMYFUNCTION("""COMPUTED_VALUE"""),"Outside on School Property")</f>
        <v>Outside on School Property</v>
      </c>
      <c r="U43" s="5" t="str">
        <f ca="1">IFERROR(__xludf.DUMMYFUNCTION("""COMPUTED_VALUE"""),"No")</f>
        <v>No</v>
      </c>
      <c r="V43" s="5" t="str">
        <f ca="1">IFERROR(__xludf.DUMMYFUNCTION("""COMPUTED_VALUE"""),"Sport Event")</f>
        <v>Sport Event</v>
      </c>
      <c r="W43" s="10">
        <f ca="1">IFERROR(__xludf.DUMMYFUNCTION("""COMPUTED_VALUE"""),0.864583333333333)</f>
        <v>0.86458333333333304</v>
      </c>
      <c r="X43" s="5">
        <f ca="1">IFERROR(__xludf.DUMMYFUNCTION("""COMPUTED_VALUE"""),1)</f>
        <v>1</v>
      </c>
      <c r="Y43" s="5" t="str">
        <f ca="1">IFERROR(__xludf.DUMMYFUNCTION("""COMPUTED_VALUE"""),"Officer fired shots after someone pointed a gun at him during fight in the school parking lot after basketball game")</f>
        <v>Officer fired shots after someone pointed a gun at him during fight in the school parking lot after basketball game</v>
      </c>
      <c r="Z43" s="5" t="str">
        <f ca="1">IFERROR(__xludf.DUMMYFUNCTION("""COMPUTED_VALUE"""),"An Aldine ISD police officer fired his gun after a suspect pointed a handgun at him in north Harris County. The incident happened around 8:45 p.m. Wednesday night at Davis High School, located on 12525 Ella Boulevard. According to the report, a fight brok"&amp;"e out in the parking lot. The AISD police officer fired one shot after a passenger in a black four-door sedan pointed a gun at him. The vehicle then fled the scene. It is unknown if anyone in the sedan was hit.")</f>
        <v>An Aldine ISD police officer fired his gun after a suspect pointed a handgun at him in north Harris County. The incident happened around 8:45 p.m. Wednesday night at Davis High School, located on 12525 Ella Boulevard. According to the report, a fight broke out in the parking lot. The AISD police officer fired one shot after a passenger in a black four-door sedan pointed a gun at him. The vehicle then fled the scene. It is unknown if anyone in the sedan was hit.</v>
      </c>
      <c r="AA43" s="5" t="str">
        <f ca="1">IFERROR(__xludf.DUMMYFUNCTION("""COMPUTED_VALUE"""),"Escalation of Dispute")</f>
        <v>Escalation of Dispute</v>
      </c>
      <c r="AB43" s="5" t="str">
        <f ca="1">IFERROR(__xludf.DUMMYFUNCTION("""COMPUTED_VALUE"""),"Both")</f>
        <v>Both</v>
      </c>
      <c r="AC43" s="5"/>
      <c r="AD43" s="5" t="str">
        <f ca="1">IFERROR(__xludf.DUMMYFUNCTION("""COMPUTED_VALUE"""),"No")</f>
        <v>No</v>
      </c>
      <c r="AE43" s="5" t="str">
        <f ca="1">IFERROR(__xludf.DUMMYFUNCTION("""COMPUTED_VALUE"""),"No")</f>
        <v>No</v>
      </c>
      <c r="AF43" s="5" t="str">
        <f ca="1">IFERROR(__xludf.DUMMYFUNCTION("""COMPUTED_VALUE"""),"No")</f>
        <v>No</v>
      </c>
      <c r="AG43" s="5"/>
      <c r="AH43" s="5" t="str">
        <f ca="1">IFERROR(__xludf.DUMMYFUNCTION("""COMPUTED_VALUE"""),"No")</f>
        <v>No</v>
      </c>
      <c r="AI43" s="5" t="str">
        <f ca="1">IFERROR(__xludf.DUMMYFUNCTION("""COMPUTED_VALUE"""),"No")</f>
        <v>No</v>
      </c>
      <c r="AJ43" s="5" t="str">
        <f ca="1">IFERROR(__xludf.DUMMYFUNCTION("""COMPUTED_VALUE"""),"No")</f>
        <v>No</v>
      </c>
    </row>
    <row r="44" spans="1:36" ht="13">
      <c r="A44" s="5" t="str">
        <f ca="1">IFERROR(__xludf.DUMMYFUNCTION("""COMPUTED_VALUE"""),"20230215OHCOC")</f>
        <v>20230215OHCOC</v>
      </c>
      <c r="B44" s="5">
        <f ca="1">IFERROR(__xludf.DUMMYFUNCTION("""COMPUTED_VALUE"""),2)</f>
        <v>2</v>
      </c>
      <c r="C44" s="5">
        <f ca="1">IFERROR(__xludf.DUMMYFUNCTION("""COMPUTED_VALUE"""),15)</f>
        <v>15</v>
      </c>
      <c r="D44" s="5">
        <f ca="1">IFERROR(__xludf.DUMMYFUNCTION("""COMPUTED_VALUE"""),2023)</f>
        <v>2023</v>
      </c>
      <c r="E44" s="8">
        <f ca="1">IFERROR(__xludf.DUMMYFUNCTION("""COMPUTED_VALUE"""),44972)</f>
        <v>44972</v>
      </c>
      <c r="F44" s="5" t="str">
        <f ca="1">IFERROR(__xludf.DUMMYFUNCTION("""COMPUTED_VALUE"""),"Collinwood High School")</f>
        <v>Collinwood High School</v>
      </c>
      <c r="G44" s="5">
        <f ca="1">IFERROR(__xludf.DUMMYFUNCTION("""COMPUTED_VALUE"""),0)</f>
        <v>0</v>
      </c>
      <c r="H44" s="5">
        <f ca="1">IFERROR(__xludf.DUMMYFUNCTION("""COMPUTED_VALUE"""),0)</f>
        <v>0</v>
      </c>
      <c r="I44" s="5">
        <f ca="1">IFERROR(__xludf.DUMMYFUNCTION("""COMPUTED_VALUE"""),0)</f>
        <v>0</v>
      </c>
      <c r="J44" s="5">
        <f ca="1">IFERROR(__xludf.DUMMYFUNCTION("""COMPUTED_VALUE"""),0)</f>
        <v>0</v>
      </c>
      <c r="K44" s="5" t="str">
        <f ca="1">IFERROR(__xludf.DUMMYFUNCTION("""COMPUTED_VALUE"""),"https://www.news5cleveland.com/news/local-news/student-may-have-been-target-of-shots-fired-outside-collinwood-high-school-wednesday-morning
https://www.cleveland.com/crime/2023/02/18-year-old-charged-in-collinwood-high-school-shooting-shots-directed-at-st"&amp;"udents-police-say.html")</f>
        <v>https://www.news5cleveland.com/news/local-news/student-may-have-been-target-of-shots-fired-outside-collinwood-high-school-wednesday-morning
https://www.cleveland.com/crime/2023/02/18-year-old-charged-in-collinwood-high-school-shooting-shots-directed-at-students-police-say.html</v>
      </c>
      <c r="L44" s="5">
        <f ca="1">IFERROR(__xludf.DUMMYFUNCTION("""COMPUTED_VALUE"""),5)</f>
        <v>5</v>
      </c>
      <c r="M44" s="5" t="str">
        <f ca="1">IFERROR(__xludf.DUMMYFUNCTION("""COMPUTED_VALUE"""),"Local")</f>
        <v>Local</v>
      </c>
      <c r="N44" s="5">
        <f ca="1">IFERROR(__xludf.DUMMYFUNCTION("""COMPUTED_VALUE"""),4)</f>
        <v>4</v>
      </c>
      <c r="O44" s="5" t="str">
        <f ca="1">IFERROR(__xludf.DUMMYFUNCTION("""COMPUTED_VALUE"""),"Winter")</f>
        <v>Winter</v>
      </c>
      <c r="P44" s="5" t="str">
        <f ca="1">IFERROR(__xludf.DUMMYFUNCTION("""COMPUTED_VALUE"""),"Cleveland")</f>
        <v>Cleveland</v>
      </c>
      <c r="Q44" s="5" t="str">
        <f ca="1">IFERROR(__xludf.DUMMYFUNCTION("""COMPUTED_VALUE"""),"OH")</f>
        <v>OH</v>
      </c>
      <c r="R44" s="5" t="str">
        <f ca="1">IFERROR(__xludf.DUMMYFUNCTION("""COMPUTED_VALUE"""),"High")</f>
        <v>High</v>
      </c>
      <c r="S44" s="5" t="str">
        <f ca="1">IFERROR(__xludf.DUMMYFUNCTION("""COMPUTED_VALUE"""),"Front of School")</f>
        <v>Front of School</v>
      </c>
      <c r="T44" s="5" t="str">
        <f ca="1">IFERROR(__xludf.DUMMYFUNCTION("""COMPUTED_VALUE"""),"Outside on School Property")</f>
        <v>Outside on School Property</v>
      </c>
      <c r="U44" s="5" t="str">
        <f ca="1">IFERROR(__xludf.DUMMYFUNCTION("""COMPUTED_VALUE"""),"Yes")</f>
        <v>Yes</v>
      </c>
      <c r="V44" s="5" t="str">
        <f ca="1">IFERROR(__xludf.DUMMYFUNCTION("""COMPUTED_VALUE"""),"Morning Classes")</f>
        <v>Morning Classes</v>
      </c>
      <c r="W44" s="10">
        <f ca="1">IFERROR(__xludf.DUMMYFUNCTION("""COMPUTED_VALUE"""),0.416666666666666)</f>
        <v>0.41666666666666602</v>
      </c>
      <c r="X44" s="5">
        <f ca="1">IFERROR(__xludf.DUMMYFUNCTION("""COMPUTED_VALUE"""),1)</f>
        <v>1</v>
      </c>
      <c r="Y44" s="5" t="str">
        <f ca="1">IFERROR(__xludf.DUMMYFUNCTION("""COMPUTED_VALUE"""),"Shots fired a student, student ran into school then building locked down")</f>
        <v>Shots fired a student, student ran into school then building locked down</v>
      </c>
      <c r="Z44" s="5" t="str">
        <f ca="1">IFERROR(__xludf.DUMMYFUNCTION("""COMPUTED_VALUE"""),"A student may have been the target of shots fired outside of Collinwood High School in Cleveland Wednesday morning, the district confirmed. The student made it safely into the school, which was placed on lockdown while Cleveland Metropolitan School Distri"&amp;"ct Safety and Security officials and Cleveland Police officers responded, the district said.")</f>
        <v>A student may have been the target of shots fired outside of Collinwood High School in Cleveland Wednesday morning, the district confirmed. The student made it safely into the school, which was placed on lockdown while Cleveland Metropolitan School District Safety and Security officials and Cleveland Police officers responded, the district said.</v>
      </c>
      <c r="AA44" s="5"/>
      <c r="AB44" s="5" t="str">
        <f ca="1">IFERROR(__xludf.DUMMYFUNCTION("""COMPUTED_VALUE"""),"Victims Targeted")</f>
        <v>Victims Targeted</v>
      </c>
      <c r="AC44" s="5"/>
      <c r="AD44" s="5" t="str">
        <f ca="1">IFERROR(__xludf.DUMMYFUNCTION("""COMPUTED_VALUE"""),"No")</f>
        <v>No</v>
      </c>
      <c r="AE44" s="5" t="str">
        <f ca="1">IFERROR(__xludf.DUMMYFUNCTION("""COMPUTED_VALUE"""),"No")</f>
        <v>No</v>
      </c>
      <c r="AF44" s="5" t="str">
        <f ca="1">IFERROR(__xludf.DUMMYFUNCTION("""COMPUTED_VALUE"""),"No")</f>
        <v>No</v>
      </c>
      <c r="AG44" s="5"/>
      <c r="AH44" s="5" t="str">
        <f ca="1">IFERROR(__xludf.DUMMYFUNCTION("""COMPUTED_VALUE"""),"No")</f>
        <v>No</v>
      </c>
      <c r="AI44" s="5"/>
      <c r="AJ44" s="5" t="str">
        <f ca="1">IFERROR(__xludf.DUMMYFUNCTION("""COMPUTED_VALUE"""),"No")</f>
        <v>No</v>
      </c>
    </row>
    <row r="45" spans="1:36" ht="13">
      <c r="A45" s="5" t="str">
        <f ca="1">IFERROR(__xludf.DUMMYFUNCTION("""COMPUTED_VALUE"""),"20230215MDWAB")</f>
        <v>20230215MDWAB</v>
      </c>
      <c r="B45" s="5">
        <f ca="1">IFERROR(__xludf.DUMMYFUNCTION("""COMPUTED_VALUE"""),2)</f>
        <v>2</v>
      </c>
      <c r="C45" s="5">
        <f ca="1">IFERROR(__xludf.DUMMYFUNCTION("""COMPUTED_VALUE"""),15)</f>
        <v>15</v>
      </c>
      <c r="D45" s="5">
        <f ca="1">IFERROR(__xludf.DUMMYFUNCTION("""COMPUTED_VALUE"""),2023)</f>
        <v>2023</v>
      </c>
      <c r="E45" s="8">
        <f ca="1">IFERROR(__xludf.DUMMYFUNCTION("""COMPUTED_VALUE"""),44972)</f>
        <v>44972</v>
      </c>
      <c r="F45" s="5" t="str">
        <f ca="1">IFERROR(__xludf.DUMMYFUNCTION("""COMPUTED_VALUE"""),"Walter P. Carter Elementary/Middle School")</f>
        <v>Walter P. Carter Elementary/Middle School</v>
      </c>
      <c r="G45" s="5">
        <f ca="1">IFERROR(__xludf.DUMMYFUNCTION("""COMPUTED_VALUE"""),0)</f>
        <v>0</v>
      </c>
      <c r="H45" s="5">
        <f ca="1">IFERROR(__xludf.DUMMYFUNCTION("""COMPUTED_VALUE"""),1)</f>
        <v>1</v>
      </c>
      <c r="I45" s="5">
        <f ca="1">IFERROR(__xludf.DUMMYFUNCTION("""COMPUTED_VALUE"""),1)</f>
        <v>1</v>
      </c>
      <c r="J45" s="5">
        <f ca="1">IFERROR(__xludf.DUMMYFUNCTION("""COMPUTED_VALUE"""),0)</f>
        <v>0</v>
      </c>
      <c r="K45" s="5" t="str">
        <f ca="1">IFERROR(__xludf.DUMMYFUNCTION("""COMPUTED_VALUE"""),"https://www.wbaltv.com/article/teenage-girl-shot-43rd-street-baltimore/42929411
https://foxbaltimore.com/news/local/teenage-girl-shot-near-walter-p-carter-elementarymiddle-school-police-say")</f>
        <v>https://www.wbaltv.com/article/teenage-girl-shot-43rd-street-baltimore/42929411
https://foxbaltimore.com/news/local/teenage-girl-shot-near-walter-p-carter-elementarymiddle-school-police-say</v>
      </c>
      <c r="L45" s="5">
        <f ca="1">IFERROR(__xludf.DUMMYFUNCTION("""COMPUTED_VALUE"""),10)</f>
        <v>10</v>
      </c>
      <c r="M45" s="5" t="str">
        <f ca="1">IFERROR(__xludf.DUMMYFUNCTION("""COMPUTED_VALUE"""),"Regional")</f>
        <v>Regional</v>
      </c>
      <c r="N45" s="5">
        <f ca="1">IFERROR(__xludf.DUMMYFUNCTION("""COMPUTED_VALUE"""),4)</f>
        <v>4</v>
      </c>
      <c r="O45" s="5" t="str">
        <f ca="1">IFERROR(__xludf.DUMMYFUNCTION("""COMPUTED_VALUE"""),"Winter")</f>
        <v>Winter</v>
      </c>
      <c r="P45" s="5" t="str">
        <f ca="1">IFERROR(__xludf.DUMMYFUNCTION("""COMPUTED_VALUE"""),"Baltimore")</f>
        <v>Baltimore</v>
      </c>
      <c r="Q45" s="5" t="str">
        <f ca="1">IFERROR(__xludf.DUMMYFUNCTION("""COMPUTED_VALUE"""),"MD")</f>
        <v>MD</v>
      </c>
      <c r="R45" s="5" t="str">
        <f ca="1">IFERROR(__xludf.DUMMYFUNCTION("""COMPUTED_VALUE"""),"K-8")</f>
        <v>K-8</v>
      </c>
      <c r="S45" s="5" t="str">
        <f ca="1">IFERROR(__xludf.DUMMYFUNCTION("""COMPUTED_VALUE"""),"Front of School")</f>
        <v>Front of School</v>
      </c>
      <c r="T45" s="5" t="str">
        <f ca="1">IFERROR(__xludf.DUMMYFUNCTION("""COMPUTED_VALUE"""),"Outside on School Property")</f>
        <v>Outside on School Property</v>
      </c>
      <c r="U45" s="5" t="str">
        <f ca="1">IFERROR(__xludf.DUMMYFUNCTION("""COMPUTED_VALUE"""),"Yes")</f>
        <v>Yes</v>
      </c>
      <c r="V45" s="5" t="str">
        <f ca="1">IFERROR(__xludf.DUMMYFUNCTION("""COMPUTED_VALUE"""),"Evening")</f>
        <v>Evening</v>
      </c>
      <c r="W45" s="10">
        <f ca="1">IFERROR(__xludf.DUMMYFUNCTION("""COMPUTED_VALUE"""),0.759027777777777)</f>
        <v>0.75902777777777697</v>
      </c>
      <c r="X45" s="5">
        <f ca="1">IFERROR(__xludf.DUMMYFUNCTION("""COMPUTED_VALUE"""),1)</f>
        <v>1</v>
      </c>
      <c r="Y45" s="5" t="str">
        <f ca="1">IFERROR(__xludf.DUMMYFUNCTION("""COMPUTED_VALUE"""),"Teen shot in front of school during evening classes")</f>
        <v>Teen shot in front of school during evening classes</v>
      </c>
      <c r="Z45" s="5" t="str">
        <f ca="1">IFERROR(__xludf.DUMMYFUNCTION("""COMPUTED_VALUE"""),"A 15-year-old Mervo student is in critical condition after being shot near Walter P. Carter Elementary/Middle School, according to officials during a press conference on Wednesday night. At around 6:13 p.m., a officer was flagged down by a citizen in the "&amp;"Govans area of North Baltimore. The person told the officer that there was an armed person at a nearby school, according to the department. Deputy Police commissioner Rich William says that a student was shot and aid was rendered to her on the scene by me"&amp;"dics. William says the teen girl has undergone surgery and is in critical condition.")</f>
        <v>A 15-year-old Mervo student is in critical condition after being shot near Walter P. Carter Elementary/Middle School, according to officials during a press conference on Wednesday night. At around 6:13 p.m., a officer was flagged down by a citizen in the Govans area of North Baltimore. The person told the officer that there was an armed person at a nearby school, according to the department. Deputy Police commissioner Rich William says that a student was shot and aid was rendered to her on the scene by medics. William says the teen girl has undergone surgery and is in critical condition.</v>
      </c>
      <c r="AA45" s="5"/>
      <c r="AB45" s="5"/>
      <c r="AC45" s="5"/>
      <c r="AD45" s="5" t="str">
        <f ca="1">IFERROR(__xludf.DUMMYFUNCTION("""COMPUTED_VALUE"""),"No")</f>
        <v>No</v>
      </c>
      <c r="AE45" s="5" t="str">
        <f ca="1">IFERROR(__xludf.DUMMYFUNCTION("""COMPUTED_VALUE"""),"No")</f>
        <v>No</v>
      </c>
      <c r="AF45" s="5" t="str">
        <f ca="1">IFERROR(__xludf.DUMMYFUNCTION("""COMPUTED_VALUE"""),"No")</f>
        <v>No</v>
      </c>
      <c r="AG45" s="5"/>
      <c r="AH45" s="5" t="str">
        <f ca="1">IFERROR(__xludf.DUMMYFUNCTION("""COMPUTED_VALUE"""),"No")</f>
        <v>No</v>
      </c>
      <c r="AI45" s="5"/>
      <c r="AJ45" s="5" t="str">
        <f ca="1">IFERROR(__xludf.DUMMYFUNCTION("""COMPUTED_VALUE"""),"No")</f>
        <v>No</v>
      </c>
    </row>
    <row r="46" spans="1:36" ht="13">
      <c r="A46" s="5" t="str">
        <f ca="1">IFERROR(__xludf.DUMMYFUNCTION("""COMPUTED_VALUE"""),"20230214GAMID")</f>
        <v>20230214GAMID</v>
      </c>
      <c r="B46" s="5">
        <f ca="1">IFERROR(__xludf.DUMMYFUNCTION("""COMPUTED_VALUE"""),2)</f>
        <v>2</v>
      </c>
      <c r="C46" s="5">
        <f ca="1">IFERROR(__xludf.DUMMYFUNCTION("""COMPUTED_VALUE"""),14)</f>
        <v>14</v>
      </c>
      <c r="D46" s="5">
        <f ca="1">IFERROR(__xludf.DUMMYFUNCTION("""COMPUTED_VALUE"""),2023)</f>
        <v>2023</v>
      </c>
      <c r="E46" s="8">
        <f ca="1">IFERROR(__xludf.DUMMYFUNCTION("""COMPUTED_VALUE"""),44971)</f>
        <v>44971</v>
      </c>
      <c r="F46" s="5" t="str">
        <f ca="1">IFERROR(__xludf.DUMMYFUNCTION("""COMPUTED_VALUE"""),"Miller Grove Middle School")</f>
        <v>Miller Grove Middle School</v>
      </c>
      <c r="G46" s="5">
        <f ca="1">IFERROR(__xludf.DUMMYFUNCTION("""COMPUTED_VALUE"""),0)</f>
        <v>0</v>
      </c>
      <c r="H46" s="5">
        <f ca="1">IFERROR(__xludf.DUMMYFUNCTION("""COMPUTED_VALUE"""),0)</f>
        <v>0</v>
      </c>
      <c r="I46" s="5">
        <f ca="1">IFERROR(__xludf.DUMMYFUNCTION("""COMPUTED_VALUE"""),0)</f>
        <v>0</v>
      </c>
      <c r="J46" s="5">
        <f ca="1">IFERROR(__xludf.DUMMYFUNCTION("""COMPUTED_VALUE"""),0)</f>
        <v>0</v>
      </c>
      <c r="K46" s="9" t="str">
        <f ca="1">IFERROR(__xludf.DUMMYFUNCTION("""COMPUTED_VALUE"""),"https://www.wsbtv.com/news/local/dekalb-county/gun-goes-off-classroom-dekalb-county-middle-school-officials-say/GO3VO473NZDPTNJJNEQKN7W6LU/
https://www.fox5atlanta.com/news/gun-fired-inside-dekalb-county-middle-school-classroom-officials-say")</f>
        <v>https://www.wsbtv.com/news/local/dekalb-county/gun-goes-off-classroom-dekalb-county-middle-school-officials-say/GO3VO473NZDPTNJJNEQKN7W6LU/
https://www.fox5atlanta.com/news/gun-fired-inside-dekalb-county-middle-school-classroom-officials-say</v>
      </c>
      <c r="L46" s="5">
        <f ca="1">IFERROR(__xludf.DUMMYFUNCTION("""COMPUTED_VALUE"""),5)</f>
        <v>5</v>
      </c>
      <c r="M46" s="5" t="str">
        <f ca="1">IFERROR(__xludf.DUMMYFUNCTION("""COMPUTED_VALUE"""),"Local")</f>
        <v>Local</v>
      </c>
      <c r="N46" s="5">
        <f ca="1">IFERROR(__xludf.DUMMYFUNCTION("""COMPUTED_VALUE"""),4)</f>
        <v>4</v>
      </c>
      <c r="O46" s="5" t="str">
        <f ca="1">IFERROR(__xludf.DUMMYFUNCTION("""COMPUTED_VALUE"""),"Winter")</f>
        <v>Winter</v>
      </c>
      <c r="P46" s="5" t="str">
        <f ca="1">IFERROR(__xludf.DUMMYFUNCTION("""COMPUTED_VALUE"""),"Decatur")</f>
        <v>Decatur</v>
      </c>
      <c r="Q46" s="5" t="str">
        <f ca="1">IFERROR(__xludf.DUMMYFUNCTION("""COMPUTED_VALUE"""),"GA")</f>
        <v>GA</v>
      </c>
      <c r="R46" s="5" t="str">
        <f ca="1">IFERROR(__xludf.DUMMYFUNCTION("""COMPUTED_VALUE"""),"Middle")</f>
        <v>Middle</v>
      </c>
      <c r="S46" s="5" t="str">
        <f ca="1">IFERROR(__xludf.DUMMYFUNCTION("""COMPUTED_VALUE"""),"Classroom")</f>
        <v>Classroom</v>
      </c>
      <c r="T46" s="5" t="str">
        <f ca="1">IFERROR(__xludf.DUMMYFUNCTION("""COMPUTED_VALUE"""),"Inside School Building")</f>
        <v>Inside School Building</v>
      </c>
      <c r="U46" s="5" t="str">
        <f ca="1">IFERROR(__xludf.DUMMYFUNCTION("""COMPUTED_VALUE"""),"Yes")</f>
        <v>Yes</v>
      </c>
      <c r="V46" s="5" t="str">
        <f ca="1">IFERROR(__xludf.DUMMYFUNCTION("""COMPUTED_VALUE"""),"Afternoon Classes")</f>
        <v>Afternoon Classes</v>
      </c>
      <c r="W46" s="10">
        <f ca="1">IFERROR(__xludf.DUMMYFUNCTION("""COMPUTED_VALUE"""),0.5625)</f>
        <v>0.5625</v>
      </c>
      <c r="X46" s="5">
        <f ca="1">IFERROR(__xludf.DUMMYFUNCTION("""COMPUTED_VALUE"""),1)</f>
        <v>1</v>
      </c>
      <c r="Y46" s="5" t="str">
        <f ca="1">IFERROR(__xludf.DUMMYFUNCTION("""COMPUTED_VALUE"""),"Student fired shot inside a classroom")</f>
        <v>Student fired shot inside a classroom</v>
      </c>
      <c r="Z46" s="5" t="str">
        <f ca="1">IFERROR(__xludf.DUMMYFUNCTION("""COMPUTED_VALUE"""),"Student fired a gun inside a classroom during bathroom break. Security guards quickly confiscated and secured the gun. No one was hurt. The student, who hasn’t been identified, now faces “district consequences” and possible criminal charges.")</f>
        <v>Student fired a gun inside a classroom during bathroom break. Security guards quickly confiscated and secured the gun. No one was hurt. The student, who hasn’t been identified, now faces “district consequences” and possible criminal charges.</v>
      </c>
      <c r="AA46" s="5"/>
      <c r="AB46" s="5"/>
      <c r="AC46" s="5"/>
      <c r="AD46" s="5" t="str">
        <f ca="1">IFERROR(__xludf.DUMMYFUNCTION("""COMPUTED_VALUE"""),"No")</f>
        <v>No</v>
      </c>
      <c r="AE46" s="5" t="str">
        <f ca="1">IFERROR(__xludf.DUMMYFUNCTION("""COMPUTED_VALUE"""),"No")</f>
        <v>No</v>
      </c>
      <c r="AF46" s="5" t="str">
        <f ca="1">IFERROR(__xludf.DUMMYFUNCTION("""COMPUTED_VALUE"""),"No")</f>
        <v>No</v>
      </c>
      <c r="AG46" s="5"/>
      <c r="AH46" s="5" t="str">
        <f ca="1">IFERROR(__xludf.DUMMYFUNCTION("""COMPUTED_VALUE"""),"No")</f>
        <v>No</v>
      </c>
      <c r="AI46" s="5" t="str">
        <f ca="1">IFERROR(__xludf.DUMMYFUNCTION("""COMPUTED_VALUE"""),"No")</f>
        <v>No</v>
      </c>
      <c r="AJ46" s="5" t="str">
        <f ca="1">IFERROR(__xludf.DUMMYFUNCTION("""COMPUTED_VALUE"""),"No")</f>
        <v>No</v>
      </c>
    </row>
    <row r="47" spans="1:36" ht="13">
      <c r="A47" s="5" t="str">
        <f ca="1">IFERROR(__xludf.DUMMYFUNCTION("""COMPUTED_VALUE"""),"20230214PAWEP")</f>
        <v>20230214PAWEP</v>
      </c>
      <c r="B47" s="5">
        <f ca="1">IFERROR(__xludf.DUMMYFUNCTION("""COMPUTED_VALUE"""),2)</f>
        <v>2</v>
      </c>
      <c r="C47" s="5">
        <f ca="1">IFERROR(__xludf.DUMMYFUNCTION("""COMPUTED_VALUE"""),14)</f>
        <v>14</v>
      </c>
      <c r="D47" s="5">
        <f ca="1">IFERROR(__xludf.DUMMYFUNCTION("""COMPUTED_VALUE"""),2023)</f>
        <v>2023</v>
      </c>
      <c r="E47" s="8">
        <f ca="1">IFERROR(__xludf.DUMMYFUNCTION("""COMPUTED_VALUE"""),44971)</f>
        <v>44971</v>
      </c>
      <c r="F47" s="5" t="str">
        <f ca="1">IFERROR(__xludf.DUMMYFUNCTION("""COMPUTED_VALUE"""),"Westinghouse Academy")</f>
        <v>Westinghouse Academy</v>
      </c>
      <c r="G47" s="5">
        <f ca="1">IFERROR(__xludf.DUMMYFUNCTION("""COMPUTED_VALUE"""),0)</f>
        <v>0</v>
      </c>
      <c r="H47" s="5">
        <f ca="1">IFERROR(__xludf.DUMMYFUNCTION("""COMPUTED_VALUE"""),4)</f>
        <v>4</v>
      </c>
      <c r="I47" s="5">
        <f ca="1">IFERROR(__xludf.DUMMYFUNCTION("""COMPUTED_VALUE"""),4)</f>
        <v>4</v>
      </c>
      <c r="J47" s="5">
        <f ca="1">IFERROR(__xludf.DUMMYFUNCTION("""COMPUTED_VALUE"""),0)</f>
        <v>0</v>
      </c>
      <c r="K47" s="5" t="str">
        <f ca="1">IFERROR(__xludf.DUMMYFUNCTION("""COMPUTED_VALUE"""),"https://www.wtae.com/article/pittsburgh-shooting-westinghouse-academy-homewood/42891145#
https://www.cbsnews.com/pittsburgh/live-updates/westinghouse-high-school-shooting/ ")</f>
        <v xml:space="preserve">https://www.wtae.com/article/pittsburgh-shooting-westinghouse-academy-homewood/42891145#
https://www.cbsnews.com/pittsburgh/live-updates/westinghouse-high-school-shooting/ </v>
      </c>
      <c r="L47" s="5">
        <f ca="1">IFERROR(__xludf.DUMMYFUNCTION("""COMPUTED_VALUE"""),50)</f>
        <v>50</v>
      </c>
      <c r="M47" s="5" t="str">
        <f ca="1">IFERROR(__xludf.DUMMYFUNCTION("""COMPUTED_VALUE"""),"National")</f>
        <v>National</v>
      </c>
      <c r="N47" s="5">
        <f ca="1">IFERROR(__xludf.DUMMYFUNCTION("""COMPUTED_VALUE"""),4)</f>
        <v>4</v>
      </c>
      <c r="O47" s="5" t="str">
        <f ca="1">IFERROR(__xludf.DUMMYFUNCTION("""COMPUTED_VALUE"""),"Winter")</f>
        <v>Winter</v>
      </c>
      <c r="P47" s="5" t="str">
        <f ca="1">IFERROR(__xludf.DUMMYFUNCTION("""COMPUTED_VALUE"""),"Pittsburgh")</f>
        <v>Pittsburgh</v>
      </c>
      <c r="Q47" s="5" t="str">
        <f ca="1">IFERROR(__xludf.DUMMYFUNCTION("""COMPUTED_VALUE"""),"PA")</f>
        <v>PA</v>
      </c>
      <c r="R47" s="5" t="str">
        <f ca="1">IFERROR(__xludf.DUMMYFUNCTION("""COMPUTED_VALUE"""),"6-12")</f>
        <v>6-12</v>
      </c>
      <c r="S47" s="5" t="str">
        <f ca="1">IFERROR(__xludf.DUMMYFUNCTION("""COMPUTED_VALUE"""),"Front of School")</f>
        <v>Front of School</v>
      </c>
      <c r="T47" s="5" t="str">
        <f ca="1">IFERROR(__xludf.DUMMYFUNCTION("""COMPUTED_VALUE"""),"Outside on School Property")</f>
        <v>Outside on School Property</v>
      </c>
      <c r="U47" s="5" t="str">
        <f ca="1">IFERROR(__xludf.DUMMYFUNCTION("""COMPUTED_VALUE"""),"Yes")</f>
        <v>Yes</v>
      </c>
      <c r="V47" s="5" t="str">
        <f ca="1">IFERROR(__xludf.DUMMYFUNCTION("""COMPUTED_VALUE"""),"Dismissal")</f>
        <v>Dismissal</v>
      </c>
      <c r="W47" s="10">
        <f ca="1">IFERROR(__xludf.DUMMYFUNCTION("""COMPUTED_VALUE"""),0.59375)</f>
        <v>0.59375</v>
      </c>
      <c r="X47" s="5">
        <f ca="1">IFERROR(__xludf.DUMMYFUNCTION("""COMPUTED_VALUE"""),1)</f>
        <v>1</v>
      </c>
      <c r="Y47" s="5" t="str">
        <f ca="1">IFERROR(__xludf.DUMMYFUNCTION("""COMPUTED_VALUE"""),"Four students shot in front of school at dismissal")</f>
        <v>Four students shot in front of school at dismissal</v>
      </c>
      <c r="Z47" s="5" t="str">
        <f ca="1">IFERROR(__xludf.DUMMYFUNCTION("""COMPUTED_VALUE"""),"Four students were shot outside Westinghouse Academy 6-12 in Pittsburgh's Homewood neighborhood on Tuesday afternoon, police said. The shooting happened shortly after the 2:15 p.m. dismissal time for the school day. Three boys and a girl were taken to the"&amp;" hospital. ""All the students are stable, no life-threatening conditions,"" Cmdr. Stephen Vinansky said. ""All the students are accounted for."" Vinansky said police arrived just over a minute after receiving the alert and found three students inside the "&amp;"school with gunshot wounds. The fourth victim arrived at the hospital with a family member. Authorities said two of the male victims are 15 years old, one is 17 years old, and the female victim is 15 years old. The school was placed on lockdown as law enf"&amp;"orcement investigated.")</f>
        <v>Four students were shot outside Westinghouse Academy 6-12 in Pittsburgh's Homewood neighborhood on Tuesday afternoon, police said. The shooting happened shortly after the 2:15 p.m. dismissal time for the school day. Three boys and a girl were taken to the hospital. "All the students are stable, no life-threatening conditions," Cmdr. Stephen Vinansky said. "All the students are accounted for." Vinansky said police arrived just over a minute after receiving the alert and found three students inside the school with gunshot wounds. The fourth victim arrived at the hospital with a family member. Authorities said two of the male victims are 15 years old, one is 17 years old, and the female victim is 15 years old. The school was placed on lockdown as law enforcement investigated.</v>
      </c>
      <c r="AA47" s="5"/>
      <c r="AB47" s="5" t="str">
        <f ca="1">IFERROR(__xludf.DUMMYFUNCTION("""COMPUTED_VALUE"""),"Both")</f>
        <v>Both</v>
      </c>
      <c r="AC47" s="5"/>
      <c r="AD47" s="5" t="str">
        <f ca="1">IFERROR(__xludf.DUMMYFUNCTION("""COMPUTED_VALUE"""),"No")</f>
        <v>No</v>
      </c>
      <c r="AE47" s="5" t="str">
        <f ca="1">IFERROR(__xludf.DUMMYFUNCTION("""COMPUTED_VALUE"""),"No")</f>
        <v>No</v>
      </c>
      <c r="AF47" s="5" t="str">
        <f ca="1">IFERROR(__xludf.DUMMYFUNCTION("""COMPUTED_VALUE"""),"No")</f>
        <v>No</v>
      </c>
      <c r="AG47" s="5" t="str">
        <f ca="1">IFERROR(__xludf.DUMMYFUNCTION("""COMPUTED_VALUE"""),"No")</f>
        <v>No</v>
      </c>
      <c r="AH47" s="5" t="str">
        <f ca="1">IFERROR(__xludf.DUMMYFUNCTION("""COMPUTED_VALUE"""),"No")</f>
        <v>No</v>
      </c>
      <c r="AI47" s="5"/>
      <c r="AJ47" s="5" t="str">
        <f ca="1">IFERROR(__xludf.DUMMYFUNCTION("""COMPUTED_VALUE"""),"No")</f>
        <v>No</v>
      </c>
    </row>
    <row r="48" spans="1:36" ht="13">
      <c r="A48" s="5" t="str">
        <f ca="1">IFERROR(__xludf.DUMMYFUNCTION("""COMPUTED_VALUE"""),"20230213NYPSS")</f>
        <v>20230213NYPSS</v>
      </c>
      <c r="B48" s="5">
        <f ca="1">IFERROR(__xludf.DUMMYFUNCTION("""COMPUTED_VALUE"""),2)</f>
        <v>2</v>
      </c>
      <c r="C48" s="5">
        <f ca="1">IFERROR(__xludf.DUMMYFUNCTION("""COMPUTED_VALUE"""),13)</f>
        <v>13</v>
      </c>
      <c r="D48" s="5">
        <f ca="1">IFERROR(__xludf.DUMMYFUNCTION("""COMPUTED_VALUE"""),2023)</f>
        <v>2023</v>
      </c>
      <c r="E48" s="8">
        <f ca="1">IFERROR(__xludf.DUMMYFUNCTION("""COMPUTED_VALUE"""),44970)</f>
        <v>44970</v>
      </c>
      <c r="F48" s="5" t="str">
        <f ca="1">IFERROR(__xludf.DUMMYFUNCTION("""COMPUTED_VALUE"""),"PS 78")</f>
        <v>PS 78</v>
      </c>
      <c r="G48" s="5">
        <f ca="1">IFERROR(__xludf.DUMMYFUNCTION("""COMPUTED_VALUE"""),0)</f>
        <v>0</v>
      </c>
      <c r="H48" s="5">
        <f ca="1">IFERROR(__xludf.DUMMYFUNCTION("""COMPUTED_VALUE"""),0)</f>
        <v>0</v>
      </c>
      <c r="I48" s="5">
        <f ca="1">IFERROR(__xludf.DUMMYFUNCTION("""COMPUTED_VALUE"""),0)</f>
        <v>0</v>
      </c>
      <c r="J48" s="5">
        <f ca="1">IFERROR(__xludf.DUMMYFUNCTION("""COMPUTED_VALUE"""),0)</f>
        <v>0</v>
      </c>
      <c r="K48" s="9" t="str">
        <f ca="1">IFERROR(__xludf.DUMMYFUNCTION("""COMPUTED_VALUE"""),"https://www.cbsnews.com/newyork/news/staten-island-elementary-school-shots-fired-stapleton-ps-78/")</f>
        <v>https://www.cbsnews.com/newyork/news/staten-island-elementary-school-shots-fired-stapleton-ps-78/</v>
      </c>
      <c r="L48" s="5">
        <f ca="1">IFERROR(__xludf.DUMMYFUNCTION("""COMPUTED_VALUE"""),2)</f>
        <v>2</v>
      </c>
      <c r="M48" s="5" t="str">
        <f ca="1">IFERROR(__xludf.DUMMYFUNCTION("""COMPUTED_VALUE"""),"Regional")</f>
        <v>Regional</v>
      </c>
      <c r="N48" s="5">
        <f ca="1">IFERROR(__xludf.DUMMYFUNCTION("""COMPUTED_VALUE"""),4)</f>
        <v>4</v>
      </c>
      <c r="O48" s="5" t="str">
        <f ca="1">IFERROR(__xludf.DUMMYFUNCTION("""COMPUTED_VALUE"""),"Winter")</f>
        <v>Winter</v>
      </c>
      <c r="P48" s="5" t="str">
        <f ca="1">IFERROR(__xludf.DUMMYFUNCTION("""COMPUTED_VALUE"""),"Staten Island")</f>
        <v>Staten Island</v>
      </c>
      <c r="Q48" s="5" t="str">
        <f ca="1">IFERROR(__xludf.DUMMYFUNCTION("""COMPUTED_VALUE"""),"NY")</f>
        <v>NY</v>
      </c>
      <c r="R48" s="5" t="str">
        <f ca="1">IFERROR(__xludf.DUMMYFUNCTION("""COMPUTED_VALUE"""),"Elementary")</f>
        <v>Elementary</v>
      </c>
      <c r="S48" s="5" t="str">
        <f ca="1">IFERROR(__xludf.DUMMYFUNCTION("""COMPUTED_VALUE"""),"Beside Building")</f>
        <v>Beside Building</v>
      </c>
      <c r="T48" s="5" t="str">
        <f ca="1">IFERROR(__xludf.DUMMYFUNCTION("""COMPUTED_VALUE"""),"Outside on School Property")</f>
        <v>Outside on School Property</v>
      </c>
      <c r="U48" s="5" t="str">
        <f ca="1">IFERROR(__xludf.DUMMYFUNCTION("""COMPUTED_VALUE"""),"Yes")</f>
        <v>Yes</v>
      </c>
      <c r="V48" s="5" t="str">
        <f ca="1">IFERROR(__xludf.DUMMYFUNCTION("""COMPUTED_VALUE"""),"Lunch")</f>
        <v>Lunch</v>
      </c>
      <c r="W48" s="10">
        <f ca="1">IFERROR(__xludf.DUMMYFUNCTION("""COMPUTED_VALUE"""),0.5)</f>
        <v>0.5</v>
      </c>
      <c r="X48" s="5">
        <f ca="1">IFERROR(__xludf.DUMMYFUNCTION("""COMPUTED_VALUE"""),1)</f>
        <v>1</v>
      </c>
      <c r="Y48" s="5" t="str">
        <f ca="1">IFERROR(__xludf.DUMMYFUNCTION("""COMPUTED_VALUE"""),"Shots fired next to school during lunch, bullets broke windows of 2 school window in seperate classrooms")</f>
        <v>Shots fired next to school during lunch, bullets broke windows of 2 school window in seperate classrooms</v>
      </c>
      <c r="Z48" s="5" t="str">
        <f ca="1">IFERROR(__xludf.DUMMYFUNCTION("""COMPUTED_VALUE"""),"Someone shot out the windows of two classrooms at a Staten Island elementary school. One of the targeted classrooms at PS 78 in Staten Island’s Clifton section had 10 adult students inside at the time, police said. No one was injured. The other classroom "&amp;"was unoccupied. ")</f>
        <v xml:space="preserve">Someone shot out the windows of two classrooms at a Staten Island elementary school. One of the targeted classrooms at PS 78 in Staten Island’s Clifton section had 10 adult students inside at the time, police said. No one was injured. The other classroom was unoccupied. </v>
      </c>
      <c r="AA48" s="5"/>
      <c r="AB48" s="5" t="str">
        <f ca="1">IFERROR(__xludf.DUMMYFUNCTION("""COMPUTED_VALUE"""),"Random Shooting")</f>
        <v>Random Shooting</v>
      </c>
      <c r="AC48" s="5"/>
      <c r="AD48" s="5" t="str">
        <f ca="1">IFERROR(__xludf.DUMMYFUNCTION("""COMPUTED_VALUE"""),"No")</f>
        <v>No</v>
      </c>
      <c r="AE48" s="5" t="str">
        <f ca="1">IFERROR(__xludf.DUMMYFUNCTION("""COMPUTED_VALUE"""),"No")</f>
        <v>No</v>
      </c>
      <c r="AF48" s="5" t="str">
        <f ca="1">IFERROR(__xludf.DUMMYFUNCTION("""COMPUTED_VALUE"""),"No")</f>
        <v>No</v>
      </c>
      <c r="AG48" s="5" t="str">
        <f ca="1">IFERROR(__xludf.DUMMYFUNCTION("""COMPUTED_VALUE"""),"No")</f>
        <v>No</v>
      </c>
      <c r="AH48" s="5" t="str">
        <f ca="1">IFERROR(__xludf.DUMMYFUNCTION("""COMPUTED_VALUE"""),"No")</f>
        <v>No</v>
      </c>
      <c r="AI48" s="5"/>
      <c r="AJ48" s="5" t="str">
        <f ca="1">IFERROR(__xludf.DUMMYFUNCTION("""COMPUTED_VALUE"""),"No")</f>
        <v>No</v>
      </c>
    </row>
    <row r="49" spans="1:36" ht="13">
      <c r="A49" s="5" t="str">
        <f ca="1">IFERROR(__xludf.DUMMYFUNCTION("""COMPUTED_VALUE"""),"20230213COEAD")</f>
        <v>20230213COEAD</v>
      </c>
      <c r="B49" s="5">
        <f ca="1">IFERROR(__xludf.DUMMYFUNCTION("""COMPUTED_VALUE"""),2)</f>
        <v>2</v>
      </c>
      <c r="C49" s="5">
        <f ca="1">IFERROR(__xludf.DUMMYFUNCTION("""COMPUTED_VALUE"""),13)</f>
        <v>13</v>
      </c>
      <c r="D49" s="5">
        <f ca="1">IFERROR(__xludf.DUMMYFUNCTION("""COMPUTED_VALUE"""),2023)</f>
        <v>2023</v>
      </c>
      <c r="E49" s="8">
        <f ca="1">IFERROR(__xludf.DUMMYFUNCTION("""COMPUTED_VALUE"""),44970)</f>
        <v>44970</v>
      </c>
      <c r="F49" s="5" t="str">
        <f ca="1">IFERROR(__xludf.DUMMYFUNCTION("""COMPUTED_VALUE"""),"East High School")</f>
        <v>East High School</v>
      </c>
      <c r="G49" s="5">
        <f ca="1">IFERROR(__xludf.DUMMYFUNCTION("""COMPUTED_VALUE"""),0)</f>
        <v>0</v>
      </c>
      <c r="H49" s="5">
        <f ca="1">IFERROR(__xludf.DUMMYFUNCTION("""COMPUTED_VALUE"""),1)</f>
        <v>1</v>
      </c>
      <c r="I49" s="5">
        <f ca="1">IFERROR(__xludf.DUMMYFUNCTION("""COMPUTED_VALUE"""),1)</f>
        <v>1</v>
      </c>
      <c r="J49" s="5">
        <f ca="1">IFERROR(__xludf.DUMMYFUNCTION("""COMPUTED_VALUE"""),0)</f>
        <v>0</v>
      </c>
      <c r="K49" s="9" t="str">
        <f ca="1">IFERROR(__xludf.DUMMYFUNCTION("""COMPUTED_VALUE"""),"https://co.chalkbeat.org/2023/2/13/23598844/denver-east-high-school-shooting-gun-violence-classes-canceled")</f>
        <v>https://co.chalkbeat.org/2023/2/13/23598844/denver-east-high-school-shooting-gun-violence-classes-canceled</v>
      </c>
      <c r="L49" s="5">
        <f ca="1">IFERROR(__xludf.DUMMYFUNCTION("""COMPUTED_VALUE"""),50)</f>
        <v>50</v>
      </c>
      <c r="M49" s="5" t="str">
        <f ca="1">IFERROR(__xludf.DUMMYFUNCTION("""COMPUTED_VALUE"""),"National")</f>
        <v>National</v>
      </c>
      <c r="N49" s="5">
        <f ca="1">IFERROR(__xludf.DUMMYFUNCTION("""COMPUTED_VALUE"""),4)</f>
        <v>4</v>
      </c>
      <c r="O49" s="5" t="str">
        <f ca="1">IFERROR(__xludf.DUMMYFUNCTION("""COMPUTED_VALUE"""),"Winter")</f>
        <v>Winter</v>
      </c>
      <c r="P49" s="5" t="str">
        <f ca="1">IFERROR(__xludf.DUMMYFUNCTION("""COMPUTED_VALUE"""),"Denver")</f>
        <v>Denver</v>
      </c>
      <c r="Q49" s="5" t="str">
        <f ca="1">IFERROR(__xludf.DUMMYFUNCTION("""COMPUTED_VALUE"""),"CO")</f>
        <v>CO</v>
      </c>
      <c r="R49" s="5" t="str">
        <f ca="1">IFERROR(__xludf.DUMMYFUNCTION("""COMPUTED_VALUE"""),"High")</f>
        <v>High</v>
      </c>
      <c r="S49" s="5" t="str">
        <f ca="1">IFERROR(__xludf.DUMMYFUNCTION("""COMPUTED_VALUE"""),"Front of School")</f>
        <v>Front of School</v>
      </c>
      <c r="T49" s="5" t="str">
        <f ca="1">IFERROR(__xludf.DUMMYFUNCTION("""COMPUTED_VALUE"""),"Outside on School Property")</f>
        <v>Outside on School Property</v>
      </c>
      <c r="U49" s="5" t="str">
        <f ca="1">IFERROR(__xludf.DUMMYFUNCTION("""COMPUTED_VALUE"""),"Yes")</f>
        <v>Yes</v>
      </c>
      <c r="V49" s="5" t="str">
        <f ca="1">IFERROR(__xludf.DUMMYFUNCTION("""COMPUTED_VALUE"""),"Afternoon Classes")</f>
        <v>Afternoon Classes</v>
      </c>
      <c r="W49" s="10">
        <f ca="1">IFERROR(__xludf.DUMMYFUNCTION("""COMPUTED_VALUE"""),0.604166666666666)</f>
        <v>0.60416666666666596</v>
      </c>
      <c r="X49" s="5">
        <f ca="1">IFERROR(__xludf.DUMMYFUNCTION("""COMPUTED_VALUE"""),1)</f>
        <v>1</v>
      </c>
      <c r="Y49" s="5" t="str">
        <f ca="1">IFERROR(__xludf.DUMMYFUNCTION("""COMPUTED_VALUE"""),"Student shot in front of school, school locked down")</f>
        <v>Student shot in front of school, school locked down</v>
      </c>
      <c r="Z49" s="5" t="str">
        <f ca="1">IFERROR(__xludf.DUMMYFUNCTION("""COMPUTED_VALUE"""),"16-year-old student was shot outside of the school. Two teens from another Denver school were arrested. School went on lockdown, dismissed late, and classes were cancelled the following day.")</f>
        <v>16-year-old student was shot outside of the school. Two teens from another Denver school were arrested. School went on lockdown, dismissed late, and classes were cancelled the following day.</v>
      </c>
      <c r="AA49" s="5"/>
      <c r="AB49" s="5" t="str">
        <f ca="1">IFERROR(__xludf.DUMMYFUNCTION("""COMPUTED_VALUE"""),"Victims Targeted")</f>
        <v>Victims Targeted</v>
      </c>
      <c r="AC49" s="5" t="str">
        <f ca="1">IFERROR(__xludf.DUMMYFUNCTION("""COMPUTED_VALUE"""),"Yes")</f>
        <v>Yes</v>
      </c>
      <c r="AD49" s="5" t="str">
        <f ca="1">IFERROR(__xludf.DUMMYFUNCTION("""COMPUTED_VALUE"""),"No")</f>
        <v>No</v>
      </c>
      <c r="AE49" s="5" t="str">
        <f ca="1">IFERROR(__xludf.DUMMYFUNCTION("""COMPUTED_VALUE"""),"No")</f>
        <v>No</v>
      </c>
      <c r="AF49" s="5" t="str">
        <f ca="1">IFERROR(__xludf.DUMMYFUNCTION("""COMPUTED_VALUE"""),"No")</f>
        <v>No</v>
      </c>
      <c r="AG49" s="5" t="str">
        <f ca="1">IFERROR(__xludf.DUMMYFUNCTION("""COMPUTED_VALUE"""),"No")</f>
        <v>No</v>
      </c>
      <c r="AH49" s="5" t="str">
        <f ca="1">IFERROR(__xludf.DUMMYFUNCTION("""COMPUTED_VALUE"""),"No")</f>
        <v>No</v>
      </c>
      <c r="AI49" s="5"/>
      <c r="AJ49" s="5" t="str">
        <f ca="1">IFERROR(__xludf.DUMMYFUNCTION("""COMPUTED_VALUE"""),"No")</f>
        <v>No</v>
      </c>
    </row>
    <row r="50" spans="1:36" ht="13">
      <c r="A50" s="5" t="str">
        <f ca="1">IFERROR(__xludf.DUMMYFUNCTION("""COMPUTED_VALUE"""),"20230213TXDAD")</f>
        <v>20230213TXDAD</v>
      </c>
      <c r="B50" s="5">
        <f ca="1">IFERROR(__xludf.DUMMYFUNCTION("""COMPUTED_VALUE"""),2)</f>
        <v>2</v>
      </c>
      <c r="C50" s="5">
        <f ca="1">IFERROR(__xludf.DUMMYFUNCTION("""COMPUTED_VALUE"""),13)</f>
        <v>13</v>
      </c>
      <c r="D50" s="5">
        <f ca="1">IFERROR(__xludf.DUMMYFUNCTION("""COMPUTED_VALUE"""),2023)</f>
        <v>2023</v>
      </c>
      <c r="E50" s="8">
        <f ca="1">IFERROR(__xludf.DUMMYFUNCTION("""COMPUTED_VALUE"""),44970)</f>
        <v>44970</v>
      </c>
      <c r="F50" s="5" t="str">
        <f ca="1">IFERROR(__xludf.DUMMYFUNCTION("""COMPUTED_VALUE"""),"Dalhart Senior High School")</f>
        <v>Dalhart Senior High School</v>
      </c>
      <c r="G50" s="5">
        <f ca="1">IFERROR(__xludf.DUMMYFUNCTION("""COMPUTED_VALUE"""),1)</f>
        <v>1</v>
      </c>
      <c r="H50" s="5">
        <f ca="1">IFERROR(__xludf.DUMMYFUNCTION("""COMPUTED_VALUE"""),0)</f>
        <v>0</v>
      </c>
      <c r="I50" s="5">
        <f ca="1">IFERROR(__xludf.DUMMYFUNCTION("""COMPUTED_VALUE"""),1)</f>
        <v>1</v>
      </c>
      <c r="J50" s="5">
        <f ca="1">IFERROR(__xludf.DUMMYFUNCTION("""COMPUTED_VALUE"""),0)</f>
        <v>0</v>
      </c>
      <c r="K50" s="9" t="str">
        <f ca="1">IFERROR(__xludf.DUMMYFUNCTION("""COMPUTED_VALUE"""),"https://www.newschannel10.com/2023/02/13/student-dead-after-firearm-discharges-vehicle-dalhart-isd-parking-lot/
https://abc7amarillo.com/news/local/dalhart-isd-police-identify-student-killed-in-accidental-shooting-in-school-parking-lot-preston-ralston-dal"&amp;"hart-texas-gun-crime-accidental-discharge")</f>
        <v>https://www.newschannel10.com/2023/02/13/student-dead-after-firearm-discharges-vehicle-dalhart-isd-parking-lot/
https://abc7amarillo.com/news/local/dalhart-isd-police-identify-student-killed-in-accidental-shooting-in-school-parking-lot-preston-ralston-dalhart-texas-gun-crime-accidental-discharge</v>
      </c>
      <c r="L50" s="5">
        <f ca="1">IFERROR(__xludf.DUMMYFUNCTION("""COMPUTED_VALUE"""),3)</f>
        <v>3</v>
      </c>
      <c r="M50" s="5" t="str">
        <f ca="1">IFERROR(__xludf.DUMMYFUNCTION("""COMPUTED_VALUE"""),"Local")</f>
        <v>Local</v>
      </c>
      <c r="N50" s="5">
        <f ca="1">IFERROR(__xludf.DUMMYFUNCTION("""COMPUTED_VALUE"""),4)</f>
        <v>4</v>
      </c>
      <c r="O50" s="5" t="str">
        <f ca="1">IFERROR(__xludf.DUMMYFUNCTION("""COMPUTED_VALUE"""),"Winter")</f>
        <v>Winter</v>
      </c>
      <c r="P50" s="5" t="str">
        <f ca="1">IFERROR(__xludf.DUMMYFUNCTION("""COMPUTED_VALUE"""),"Dalhart")</f>
        <v>Dalhart</v>
      </c>
      <c r="Q50" s="5" t="str">
        <f ca="1">IFERROR(__xludf.DUMMYFUNCTION("""COMPUTED_VALUE"""),"TX")</f>
        <v>TX</v>
      </c>
      <c r="R50" s="5" t="str">
        <f ca="1">IFERROR(__xludf.DUMMYFUNCTION("""COMPUTED_VALUE"""),"High")</f>
        <v>High</v>
      </c>
      <c r="S50" s="5" t="str">
        <f ca="1">IFERROR(__xludf.DUMMYFUNCTION("""COMPUTED_VALUE"""),"Parking Lot")</f>
        <v>Parking Lot</v>
      </c>
      <c r="T50" s="5" t="str">
        <f ca="1">IFERROR(__xludf.DUMMYFUNCTION("""COMPUTED_VALUE"""),"Outside on School Property")</f>
        <v>Outside on School Property</v>
      </c>
      <c r="U50" s="5" t="str">
        <f ca="1">IFERROR(__xludf.DUMMYFUNCTION("""COMPUTED_VALUE"""),"Yes")</f>
        <v>Yes</v>
      </c>
      <c r="V50" s="5" t="str">
        <f ca="1">IFERROR(__xludf.DUMMYFUNCTION("""COMPUTED_VALUE"""),"Lunch")</f>
        <v>Lunch</v>
      </c>
      <c r="W50" s="10">
        <f ca="1">IFERROR(__xludf.DUMMYFUNCTION("""COMPUTED_VALUE"""),0.5)</f>
        <v>0.5</v>
      </c>
      <c r="X50" s="5">
        <f ca="1">IFERROR(__xludf.DUMMYFUNCTION("""COMPUTED_VALUE"""),1)</f>
        <v>1</v>
      </c>
      <c r="Y50" s="5" t="str">
        <f ca="1">IFERROR(__xludf.DUMMYFUNCTION("""COMPUTED_VALUE"""),"Student killed during accidental shooting inside vehicle")</f>
        <v>Student killed during accidental shooting inside vehicle</v>
      </c>
      <c r="Z50" s="5" t="str">
        <f ca="1">IFERROR(__xludf.DUMMYFUNCTION("""COMPUTED_VALUE"""),"On Feb. 13 at around noon, one student was injured after a firearm accidently discharged in a vehicle on a Dalhart ISD parking lot. A spokesperson for the Dalhart Independent School District said a child not enrolled at the district went to Dalhart High S"&amp;"chool to pick up three students for lunch. That’s when the gun went off. The school was placed on a brief lockdown again today, due to law enforcement activity in the area.")</f>
        <v>On Feb. 13 at around noon, one student was injured after a firearm accidently discharged in a vehicle on a Dalhart ISD parking lot. A spokesperson for the Dalhart Independent School District said a child not enrolled at the district went to Dalhart High School to pick up three students for lunch. That’s when the gun went off. The school was placed on a brief lockdown again today, due to law enforcement activity in the area.</v>
      </c>
      <c r="AA50" s="5" t="str">
        <f ca="1">IFERROR(__xludf.DUMMYFUNCTION("""COMPUTED_VALUE"""),"Accidental")</f>
        <v>Accidental</v>
      </c>
      <c r="AB50" s="5" t="str">
        <f ca="1">IFERROR(__xludf.DUMMYFUNCTION("""COMPUTED_VALUE"""),"Neither")</f>
        <v>Neither</v>
      </c>
      <c r="AC50" s="5"/>
      <c r="AD50" s="5" t="str">
        <f ca="1">IFERROR(__xludf.DUMMYFUNCTION("""COMPUTED_VALUE"""),"No")</f>
        <v>No</v>
      </c>
      <c r="AE50" s="5" t="str">
        <f ca="1">IFERROR(__xludf.DUMMYFUNCTION("""COMPUTED_VALUE"""),"No")</f>
        <v>No</v>
      </c>
      <c r="AF50" s="5" t="str">
        <f ca="1">IFERROR(__xludf.DUMMYFUNCTION("""COMPUTED_VALUE"""),"No")</f>
        <v>No</v>
      </c>
      <c r="AG50" s="5"/>
      <c r="AH50" s="5" t="str">
        <f ca="1">IFERROR(__xludf.DUMMYFUNCTION("""COMPUTED_VALUE"""),"No")</f>
        <v>No</v>
      </c>
      <c r="AI50" s="5" t="str">
        <f ca="1">IFERROR(__xludf.DUMMYFUNCTION("""COMPUTED_VALUE"""),"No")</f>
        <v>No</v>
      </c>
      <c r="AJ50" s="5" t="str">
        <f ca="1">IFERROR(__xludf.DUMMYFUNCTION("""COMPUTED_VALUE"""),"No")</f>
        <v>No</v>
      </c>
    </row>
    <row r="51" spans="1:36" ht="13">
      <c r="A51" s="5" t="str">
        <f ca="1">IFERROR(__xludf.DUMMYFUNCTION("""COMPUTED_VALUE"""),"20230210CAHEF")</f>
        <v>20230210CAHEF</v>
      </c>
      <c r="B51" s="5">
        <f ca="1">IFERROR(__xludf.DUMMYFUNCTION("""COMPUTED_VALUE"""),2)</f>
        <v>2</v>
      </c>
      <c r="C51" s="5">
        <f ca="1">IFERROR(__xludf.DUMMYFUNCTION("""COMPUTED_VALUE"""),10)</f>
        <v>10</v>
      </c>
      <c r="D51" s="5">
        <f ca="1">IFERROR(__xludf.DUMMYFUNCTION("""COMPUTED_VALUE"""),2023)</f>
        <v>2023</v>
      </c>
      <c r="E51" s="8">
        <f ca="1">IFERROR(__xludf.DUMMYFUNCTION("""COMPUTED_VALUE"""),44967)</f>
        <v>44967</v>
      </c>
      <c r="F51" s="5" t="str">
        <f ca="1">IFERROR(__xludf.DUMMYFUNCTION("""COMPUTED_VALUE"""),"Heaton Elementary School")</f>
        <v>Heaton Elementary School</v>
      </c>
      <c r="G51" s="5">
        <f ca="1">IFERROR(__xludf.DUMMYFUNCTION("""COMPUTED_VALUE"""),0)</f>
        <v>0</v>
      </c>
      <c r="H51" s="5">
        <f ca="1">IFERROR(__xludf.DUMMYFUNCTION("""COMPUTED_VALUE"""),1)</f>
        <v>1</v>
      </c>
      <c r="I51" s="5">
        <f ca="1">IFERROR(__xludf.DUMMYFUNCTION("""COMPUTED_VALUE"""),1)</f>
        <v>1</v>
      </c>
      <c r="J51" s="5">
        <f ca="1">IFERROR(__xludf.DUMMYFUNCTION("""COMPUTED_VALUE"""),0)</f>
        <v>0</v>
      </c>
      <c r="K51" s="9" t="str">
        <f ca="1">IFERROR(__xludf.DUMMYFUNCTION("""COMPUTED_VALUE"""),"https://www.fresnobee.com/news/local/crime/article272400143.html")</f>
        <v>https://www.fresnobee.com/news/local/crime/article272400143.html</v>
      </c>
      <c r="L51" s="5">
        <f ca="1">IFERROR(__xludf.DUMMYFUNCTION("""COMPUTED_VALUE"""),1)</f>
        <v>1</v>
      </c>
      <c r="M51" s="5" t="str">
        <f ca="1">IFERROR(__xludf.DUMMYFUNCTION("""COMPUTED_VALUE"""),"Local")</f>
        <v>Local</v>
      </c>
      <c r="N51" s="5">
        <f ca="1">IFERROR(__xludf.DUMMYFUNCTION("""COMPUTED_VALUE"""),3)</f>
        <v>3</v>
      </c>
      <c r="O51" s="5" t="str">
        <f ca="1">IFERROR(__xludf.DUMMYFUNCTION("""COMPUTED_VALUE"""),"Winter")</f>
        <v>Winter</v>
      </c>
      <c r="P51" s="5" t="str">
        <f ca="1">IFERROR(__xludf.DUMMYFUNCTION("""COMPUTED_VALUE"""),"Fresno")</f>
        <v>Fresno</v>
      </c>
      <c r="Q51" s="5" t="str">
        <f ca="1">IFERROR(__xludf.DUMMYFUNCTION("""COMPUTED_VALUE"""),"CA")</f>
        <v>CA</v>
      </c>
      <c r="R51" s="5" t="str">
        <f ca="1">IFERROR(__xludf.DUMMYFUNCTION("""COMPUTED_VALUE"""),"Elementary")</f>
        <v>Elementary</v>
      </c>
      <c r="S51" s="5" t="str">
        <f ca="1">IFERROR(__xludf.DUMMYFUNCTION("""COMPUTED_VALUE"""),"School Bus")</f>
        <v>School Bus</v>
      </c>
      <c r="T51" s="5" t="str">
        <f ca="1">IFERROR(__xludf.DUMMYFUNCTION("""COMPUTED_VALUE"""),"School Bus")</f>
        <v>School Bus</v>
      </c>
      <c r="U51" s="5" t="str">
        <f ca="1">IFERROR(__xludf.DUMMYFUNCTION("""COMPUTED_VALUE"""),"Yes")</f>
        <v>Yes</v>
      </c>
      <c r="V51" s="5" t="str">
        <f ca="1">IFERROR(__xludf.DUMMYFUNCTION("""COMPUTED_VALUE"""),"Dismissal")</f>
        <v>Dismissal</v>
      </c>
      <c r="W51" s="10">
        <f ca="1">IFERROR(__xludf.DUMMYFUNCTION("""COMPUTED_VALUE"""),0.635416666666666)</f>
        <v>0.63541666666666596</v>
      </c>
      <c r="X51" s="5">
        <f ca="1">IFERROR(__xludf.DUMMYFUNCTION("""COMPUTED_VALUE"""),1)</f>
        <v>1</v>
      </c>
      <c r="Y51" s="5" t="str">
        <f ca="1">IFERROR(__xludf.DUMMYFUNCTION("""COMPUTED_VALUE"""),"Student shot school bus driver when bus stopped to drop off students")</f>
        <v>Student shot school bus driver when bus stopped to drop off students</v>
      </c>
      <c r="Z51" s="5" t="str">
        <f ca="1">IFERROR(__xludf.DUMMYFUNCTION("""COMPUTED_VALUE"""),"The incident happened at 3:15 p.m. at Vassar and Glenn avenues, just west of the major intersection of Clinton and Blackstone avenues, Fresno Police Sgt. Diana Trueba Vega said. She said when the bus driver opened the door to let students out, a juvenile "&amp;"who normally rides her bus and was waiting at the stop shot her with an airsoft gun. The driver was struck in the leg.")</f>
        <v>The incident happened at 3:15 p.m. at Vassar and Glenn avenues, just west of the major intersection of Clinton and Blackstone avenues, Fresno Police Sgt. Diana Trueba Vega said. She said when the bus driver opened the door to let students out, a juvenile who normally rides her bus and was waiting at the stop shot her with an airsoft gun. The driver was struck in the leg.</v>
      </c>
      <c r="AA51" s="5"/>
      <c r="AB51" s="5" t="str">
        <f ca="1">IFERROR(__xludf.DUMMYFUNCTION("""COMPUTED_VALUE"""),"Victims Targeted")</f>
        <v>Victims Targeted</v>
      </c>
      <c r="AC51" s="5" t="str">
        <f ca="1">IFERROR(__xludf.DUMMYFUNCTION("""COMPUTED_VALUE"""),"No")</f>
        <v>No</v>
      </c>
      <c r="AD51" s="5" t="str">
        <f ca="1">IFERROR(__xludf.DUMMYFUNCTION("""COMPUTED_VALUE"""),"No")</f>
        <v>No</v>
      </c>
      <c r="AE51" s="5" t="str">
        <f ca="1">IFERROR(__xludf.DUMMYFUNCTION("""COMPUTED_VALUE"""),"No")</f>
        <v>No</v>
      </c>
      <c r="AF51" s="5" t="str">
        <f ca="1">IFERROR(__xludf.DUMMYFUNCTION("""COMPUTED_VALUE"""),"No")</f>
        <v>No</v>
      </c>
      <c r="AG51" s="5"/>
      <c r="AH51" s="5" t="str">
        <f ca="1">IFERROR(__xludf.DUMMYFUNCTION("""COMPUTED_VALUE"""),"No")</f>
        <v>No</v>
      </c>
      <c r="AI51" s="5"/>
      <c r="AJ51" s="5" t="str">
        <f ca="1">IFERROR(__xludf.DUMMYFUNCTION("""COMPUTED_VALUE"""),"No")</f>
        <v>No</v>
      </c>
    </row>
    <row r="52" spans="1:36" ht="13">
      <c r="A52" s="5" t="str">
        <f ca="1">IFERROR(__xludf.DUMMYFUNCTION("""COMPUTED_VALUE"""),"20230208NYWIB")</f>
        <v>20230208NYWIB</v>
      </c>
      <c r="B52" s="5">
        <f ca="1">IFERROR(__xludf.DUMMYFUNCTION("""COMPUTED_VALUE"""),2)</f>
        <v>2</v>
      </c>
      <c r="C52" s="5">
        <f ca="1">IFERROR(__xludf.DUMMYFUNCTION("""COMPUTED_VALUE"""),8)</f>
        <v>8</v>
      </c>
      <c r="D52" s="5">
        <f ca="1">IFERROR(__xludf.DUMMYFUNCTION("""COMPUTED_VALUE"""),2023)</f>
        <v>2023</v>
      </c>
      <c r="E52" s="8">
        <f ca="1">IFERROR(__xludf.DUMMYFUNCTION("""COMPUTED_VALUE"""),44965)</f>
        <v>44965</v>
      </c>
      <c r="F52" s="5" t="str">
        <f ca="1">IFERROR(__xludf.DUMMYFUNCTION("""COMPUTED_VALUE"""),"Williamsburg Charter High School")</f>
        <v>Williamsburg Charter High School</v>
      </c>
      <c r="G52" s="5">
        <f ca="1">IFERROR(__xludf.DUMMYFUNCTION("""COMPUTED_VALUE"""),0)</f>
        <v>0</v>
      </c>
      <c r="H52" s="5">
        <f ca="1">IFERROR(__xludf.DUMMYFUNCTION("""COMPUTED_VALUE"""),3)</f>
        <v>3</v>
      </c>
      <c r="I52" s="5">
        <f ca="1">IFERROR(__xludf.DUMMYFUNCTION("""COMPUTED_VALUE"""),3)</f>
        <v>3</v>
      </c>
      <c r="J52" s="5">
        <f ca="1">IFERROR(__xludf.DUMMYFUNCTION("""COMPUTED_VALUE"""),0)</f>
        <v>0</v>
      </c>
      <c r="K52" s="9" t="str">
        <f ca="1">IFERROR(__xludf.DUMMYFUNCTION("""COMPUTED_VALUE"""),"https://bronx.news12.com/nypd-3-people-shot-near-williamsburg-charter-school")</f>
        <v>https://bronx.news12.com/nypd-3-people-shot-near-williamsburg-charter-school</v>
      </c>
      <c r="L52" s="5">
        <f ca="1">IFERROR(__xludf.DUMMYFUNCTION("""COMPUTED_VALUE"""),20)</f>
        <v>20</v>
      </c>
      <c r="M52" s="5" t="str">
        <f ca="1">IFERROR(__xludf.DUMMYFUNCTION("""COMPUTED_VALUE"""),"Regional")</f>
        <v>Regional</v>
      </c>
      <c r="N52" s="5">
        <f ca="1">IFERROR(__xludf.DUMMYFUNCTION("""COMPUTED_VALUE"""),4)</f>
        <v>4</v>
      </c>
      <c r="O52" s="5" t="str">
        <f ca="1">IFERROR(__xludf.DUMMYFUNCTION("""COMPUTED_VALUE"""),"Winter")</f>
        <v>Winter</v>
      </c>
      <c r="P52" s="5" t="str">
        <f ca="1">IFERROR(__xludf.DUMMYFUNCTION("""COMPUTED_VALUE"""),"Brooklyn")</f>
        <v>Brooklyn</v>
      </c>
      <c r="Q52" s="5" t="str">
        <f ca="1">IFERROR(__xludf.DUMMYFUNCTION("""COMPUTED_VALUE"""),"NY")</f>
        <v>NY</v>
      </c>
      <c r="R52" s="5" t="str">
        <f ca="1">IFERROR(__xludf.DUMMYFUNCTION("""COMPUTED_VALUE"""),"High")</f>
        <v>High</v>
      </c>
      <c r="S52" s="5" t="str">
        <f ca="1">IFERROR(__xludf.DUMMYFUNCTION("""COMPUTED_VALUE"""),"Front of School")</f>
        <v>Front of School</v>
      </c>
      <c r="T52" s="5" t="str">
        <f ca="1">IFERROR(__xludf.DUMMYFUNCTION("""COMPUTED_VALUE"""),"Outside on School Property")</f>
        <v>Outside on School Property</v>
      </c>
      <c r="U52" s="5" t="str">
        <f ca="1">IFERROR(__xludf.DUMMYFUNCTION("""COMPUTED_VALUE"""),"Yes")</f>
        <v>Yes</v>
      </c>
      <c r="V52" s="5" t="str">
        <f ca="1">IFERROR(__xludf.DUMMYFUNCTION("""COMPUTED_VALUE"""),"Dismissal")</f>
        <v>Dismissal</v>
      </c>
      <c r="W52" s="10">
        <f ca="1">IFERROR(__xludf.DUMMYFUNCTION("""COMPUTED_VALUE"""),0.59375)</f>
        <v>0.59375</v>
      </c>
      <c r="X52" s="5">
        <f ca="1">IFERROR(__xludf.DUMMYFUNCTION("""COMPUTED_VALUE"""),1)</f>
        <v>1</v>
      </c>
      <c r="Y52" s="5" t="str">
        <f ca="1">IFERROR(__xludf.DUMMYFUNCTION("""COMPUTED_VALUE"""),"Three wounded when shots were fired near the front door at dismissal.")</f>
        <v>Three wounded when shots were fired near the front door at dismissal.</v>
      </c>
      <c r="Z52" s="5" t="str">
        <f ca="1">IFERROR(__xludf.DUMMYFUNCTION("""COMPUTED_VALUE"""),"Police say a 15-year-old girl was shot in the back, a 17-year-old boy was shot in the thigh, and a 37-year-old man was grazed in the neck by a gunshot. All three victims were conscious at the time they were taken to the hospital. Police are looking for a "&amp;"school-age black male")</f>
        <v>Police say a 15-year-old girl was shot in the back, a 17-year-old boy was shot in the thigh, and a 37-year-old man was grazed in the neck by a gunshot. All three victims were conscious at the time they were taken to the hospital. Police are looking for a school-age black male</v>
      </c>
      <c r="AA52" s="5" t="str">
        <f ca="1">IFERROR(__xludf.DUMMYFUNCTION("""COMPUTED_VALUE"""),"Escalation of Dispute")</f>
        <v>Escalation of Dispute</v>
      </c>
      <c r="AB52" s="5" t="str">
        <f ca="1">IFERROR(__xludf.DUMMYFUNCTION("""COMPUTED_VALUE"""),"Both")</f>
        <v>Both</v>
      </c>
      <c r="AC52" s="5"/>
      <c r="AD52" s="5" t="str">
        <f ca="1">IFERROR(__xludf.DUMMYFUNCTION("""COMPUTED_VALUE"""),"No")</f>
        <v>No</v>
      </c>
      <c r="AE52" s="5" t="str">
        <f ca="1">IFERROR(__xludf.DUMMYFUNCTION("""COMPUTED_VALUE"""),"No")</f>
        <v>No</v>
      </c>
      <c r="AF52" s="5" t="str">
        <f ca="1">IFERROR(__xludf.DUMMYFUNCTION("""COMPUTED_VALUE"""),"No")</f>
        <v>No</v>
      </c>
      <c r="AG52" s="5" t="str">
        <f ca="1">IFERROR(__xludf.DUMMYFUNCTION("""COMPUTED_VALUE"""),"No")</f>
        <v>No</v>
      </c>
      <c r="AH52" s="5" t="str">
        <f ca="1">IFERROR(__xludf.DUMMYFUNCTION("""COMPUTED_VALUE"""),"No")</f>
        <v>No</v>
      </c>
      <c r="AI52" s="5"/>
      <c r="AJ52" s="5" t="str">
        <f ca="1">IFERROR(__xludf.DUMMYFUNCTION("""COMPUTED_VALUE"""),"No")</f>
        <v>No</v>
      </c>
    </row>
    <row r="53" spans="1:36" ht="13">
      <c r="A53" s="5" t="str">
        <f ca="1">IFERROR(__xludf.DUMMYFUNCTION("""COMPUTED_VALUE"""),"20230206ARKIF")</f>
        <v>20230206ARKIF</v>
      </c>
      <c r="B53" s="5">
        <f ca="1">IFERROR(__xludf.DUMMYFUNCTION("""COMPUTED_VALUE"""),2)</f>
        <v>2</v>
      </c>
      <c r="C53" s="5">
        <f ca="1">IFERROR(__xludf.DUMMYFUNCTION("""COMPUTED_VALUE"""),6)</f>
        <v>6</v>
      </c>
      <c r="D53" s="5">
        <f ca="1">IFERROR(__xludf.DUMMYFUNCTION("""COMPUTED_VALUE"""),2023)</f>
        <v>2023</v>
      </c>
      <c r="E53" s="8">
        <f ca="1">IFERROR(__xludf.DUMMYFUNCTION("""COMPUTED_VALUE"""),44963)</f>
        <v>44963</v>
      </c>
      <c r="F53" s="5" t="str">
        <f ca="1">IFERROR(__xludf.DUMMYFUNCTION("""COMPUTED_VALUE"""),"Kimmons Middle School")</f>
        <v>Kimmons Middle School</v>
      </c>
      <c r="G53" s="5">
        <f ca="1">IFERROR(__xludf.DUMMYFUNCTION("""COMPUTED_VALUE"""),0)</f>
        <v>0</v>
      </c>
      <c r="H53" s="5">
        <f ca="1">IFERROR(__xludf.DUMMYFUNCTION("""COMPUTED_VALUE"""),0)</f>
        <v>0</v>
      </c>
      <c r="I53" s="5">
        <f ca="1">IFERROR(__xludf.DUMMYFUNCTION("""COMPUTED_VALUE"""),0)</f>
        <v>0</v>
      </c>
      <c r="J53" s="5">
        <f ca="1">IFERROR(__xludf.DUMMYFUNCTION("""COMPUTED_VALUE"""),0)</f>
        <v>0</v>
      </c>
      <c r="K53" s="9" t="str">
        <f ca="1">IFERROR(__xludf.DUMMYFUNCTION("""COMPUTED_VALUE"""),"https://katv.com/news/local/arkansas-teenager-arrested-after-bringing-a-gun-to-a-basketball-game-police-say-fort-smith-kimmons-middle-school-14-year-old-boy-charged-aggravated-assault-and-terroristic-threatening-arkansas-teen-violence-mental-health-juveni"&amp;"le-crime")</f>
        <v>https://katv.com/news/local/arkansas-teenager-arrested-after-bringing-a-gun-to-a-basketball-game-police-say-fort-smith-kimmons-middle-school-14-year-old-boy-charged-aggravated-assault-and-terroristic-threatening-arkansas-teen-violence-mental-health-juvenile-crime</v>
      </c>
      <c r="L53" s="5">
        <f ca="1">IFERROR(__xludf.DUMMYFUNCTION("""COMPUTED_VALUE"""),2)</f>
        <v>2</v>
      </c>
      <c r="M53" s="5" t="str">
        <f ca="1">IFERROR(__xludf.DUMMYFUNCTION("""COMPUTED_VALUE"""),"Local")</f>
        <v>Local</v>
      </c>
      <c r="N53" s="5">
        <f ca="1">IFERROR(__xludf.DUMMYFUNCTION("""COMPUTED_VALUE"""),4)</f>
        <v>4</v>
      </c>
      <c r="O53" s="5" t="str">
        <f ca="1">IFERROR(__xludf.DUMMYFUNCTION("""COMPUTED_VALUE"""),"Winter")</f>
        <v>Winter</v>
      </c>
      <c r="P53" s="5" t="str">
        <f ca="1">IFERROR(__xludf.DUMMYFUNCTION("""COMPUTED_VALUE"""),"Fort Smith")</f>
        <v>Fort Smith</v>
      </c>
      <c r="Q53" s="5" t="str">
        <f ca="1">IFERROR(__xludf.DUMMYFUNCTION("""COMPUTED_VALUE"""),"AR")</f>
        <v>AR</v>
      </c>
      <c r="R53" s="5" t="str">
        <f ca="1">IFERROR(__xludf.DUMMYFUNCTION("""COMPUTED_VALUE"""),"Middle")</f>
        <v>Middle</v>
      </c>
      <c r="S53" s="5" t="str">
        <f ca="1">IFERROR(__xludf.DUMMYFUNCTION("""COMPUTED_VALUE"""),"Gym")</f>
        <v>Gym</v>
      </c>
      <c r="T53" s="5" t="str">
        <f ca="1">IFERROR(__xludf.DUMMYFUNCTION("""COMPUTED_VALUE"""),"Inside School Building")</f>
        <v>Inside School Building</v>
      </c>
      <c r="U53" s="5" t="str">
        <f ca="1">IFERROR(__xludf.DUMMYFUNCTION("""COMPUTED_VALUE"""),"No")</f>
        <v>No</v>
      </c>
      <c r="V53" s="5" t="str">
        <f ca="1">IFERROR(__xludf.DUMMYFUNCTION("""COMPUTED_VALUE"""),"Sport Event")</f>
        <v>Sport Event</v>
      </c>
      <c r="W53" s="10">
        <f ca="1">IFERROR(__xludf.DUMMYFUNCTION("""COMPUTED_VALUE"""),0.791666666666666)</f>
        <v>0.79166666666666596</v>
      </c>
      <c r="X53" s="5">
        <f ca="1">IFERROR(__xludf.DUMMYFUNCTION("""COMPUTED_VALUE"""),1)</f>
        <v>1</v>
      </c>
      <c r="Y53" s="5" t="str">
        <f ca="1">IFERROR(__xludf.DUMMYFUNCTION("""COMPUTED_VALUE"""),"Teen pointed gun at two students during basketball game, school locked down")</f>
        <v>Teen pointed gun at two students during basketball game, school locked down</v>
      </c>
      <c r="Z53" s="5" t="str">
        <f ca="1">IFERROR(__xludf.DUMMYFUNCTION("""COMPUTED_VALUE"""),"14-year-old boy pointed a gun at two people and spoke a threat before running away. Officials said no shots were fired, and no one was hurt, according to the release. The boy was taken into custody on a warrant for aggravated assault and terroristic threa"&amp;"tening, the release stated. School resource officer locked down the gym and the game was canceled as a result.")</f>
        <v>14-year-old boy pointed a gun at two people and spoke a threat before running away. Officials said no shots were fired, and no one was hurt, according to the release. The boy was taken into custody on a warrant for aggravated assault and terroristic threatening, the release stated. School resource officer locked down the gym and the game was canceled as a result.</v>
      </c>
      <c r="AA53" s="5" t="str">
        <f ca="1">IFERROR(__xludf.DUMMYFUNCTION("""COMPUTED_VALUE"""),"Escalation of Dispute")</f>
        <v>Escalation of Dispute</v>
      </c>
      <c r="AB53" s="5" t="str">
        <f ca="1">IFERROR(__xludf.DUMMYFUNCTION("""COMPUTED_VALUE"""),"Victims Targeted")</f>
        <v>Victims Targeted</v>
      </c>
      <c r="AC53" s="5" t="str">
        <f ca="1">IFERROR(__xludf.DUMMYFUNCTION("""COMPUTED_VALUE"""),"No")</f>
        <v>No</v>
      </c>
      <c r="AD53" s="5" t="str">
        <f ca="1">IFERROR(__xludf.DUMMYFUNCTION("""COMPUTED_VALUE"""),"No")</f>
        <v>No</v>
      </c>
      <c r="AE53" s="5" t="str">
        <f ca="1">IFERROR(__xludf.DUMMYFUNCTION("""COMPUTED_VALUE"""),"No")</f>
        <v>No</v>
      </c>
      <c r="AF53" s="5" t="str">
        <f ca="1">IFERROR(__xludf.DUMMYFUNCTION("""COMPUTED_VALUE"""),"No")</f>
        <v>No</v>
      </c>
      <c r="AG53" s="5"/>
      <c r="AH53" s="5" t="str">
        <f ca="1">IFERROR(__xludf.DUMMYFUNCTION("""COMPUTED_VALUE"""),"No")</f>
        <v>No</v>
      </c>
      <c r="AI53" s="5"/>
      <c r="AJ53" s="5" t="str">
        <f ca="1">IFERROR(__xludf.DUMMYFUNCTION("""COMPUTED_VALUE"""),"No")</f>
        <v>No</v>
      </c>
    </row>
    <row r="54" spans="1:36" ht="13">
      <c r="A54" s="5" t="str">
        <f ca="1">IFERROR(__xludf.DUMMYFUNCTION("""COMPUTED_VALUE"""),"20230206DEAPM")</f>
        <v>20230206DEAPM</v>
      </c>
      <c r="B54" s="5">
        <f ca="1">IFERROR(__xludf.DUMMYFUNCTION("""COMPUTED_VALUE"""),2)</f>
        <v>2</v>
      </c>
      <c r="C54" s="5">
        <f ca="1">IFERROR(__xludf.DUMMYFUNCTION("""COMPUTED_VALUE"""),6)</f>
        <v>6</v>
      </c>
      <c r="D54" s="5">
        <f ca="1">IFERROR(__xludf.DUMMYFUNCTION("""COMPUTED_VALUE"""),2023)</f>
        <v>2023</v>
      </c>
      <c r="E54" s="8">
        <f ca="1">IFERROR(__xludf.DUMMYFUNCTION("""COMPUTED_VALUE"""),44963)</f>
        <v>44963</v>
      </c>
      <c r="F54" s="5" t="str">
        <f ca="1">IFERROR(__xludf.DUMMYFUNCTION("""COMPUTED_VALUE"""),"Appoquinimink High School")</f>
        <v>Appoquinimink High School</v>
      </c>
      <c r="G54" s="5">
        <f ca="1">IFERROR(__xludf.DUMMYFUNCTION("""COMPUTED_VALUE"""),0)</f>
        <v>0</v>
      </c>
      <c r="H54" s="5">
        <f ca="1">IFERROR(__xludf.DUMMYFUNCTION("""COMPUTED_VALUE"""),0)</f>
        <v>0</v>
      </c>
      <c r="I54" s="5">
        <f ca="1">IFERROR(__xludf.DUMMYFUNCTION("""COMPUTED_VALUE"""),0)</f>
        <v>0</v>
      </c>
      <c r="J54" s="5">
        <f ca="1">IFERROR(__xludf.DUMMYFUNCTION("""COMPUTED_VALUE"""),0)</f>
        <v>0</v>
      </c>
      <c r="K54" s="5" t="str">
        <f ca="1">IFERROR(__xludf.DUMMYFUNCTION("""COMPUTED_VALUE"""),"https://dsp.delaware.gov/2023/02/12/update-fourth-suspect-arrested-delaware-state-police-investigate-the-discharge-of-a-gun-during-high-school-basketball-game/
https://6abc.com/delaware-shooting-appoquinimink-high-school-basketball-game-middletown/1277914"&amp;"3/
https://www.wdel.com/news/police-investigating-shooting-at-appoquinimink-basketball-game/article_70647ef6-a689-11ed-a2ba-076d22e3cf0c.html")</f>
        <v>https://dsp.delaware.gov/2023/02/12/update-fourth-suspect-arrested-delaware-state-police-investigate-the-discharge-of-a-gun-during-high-school-basketball-game/
https://6abc.com/delaware-shooting-appoquinimink-high-school-basketball-game-middletown/12779143/
https://www.wdel.com/news/police-investigating-shooting-at-appoquinimink-basketball-game/article_70647ef6-a689-11ed-a2ba-076d22e3cf0c.html</v>
      </c>
      <c r="L54" s="5">
        <f ca="1">IFERROR(__xludf.DUMMYFUNCTION("""COMPUTED_VALUE"""),10)</f>
        <v>10</v>
      </c>
      <c r="M54" s="5" t="str">
        <f ca="1">IFERROR(__xludf.DUMMYFUNCTION("""COMPUTED_VALUE"""),"Regional")</f>
        <v>Regional</v>
      </c>
      <c r="N54" s="5">
        <f ca="1">IFERROR(__xludf.DUMMYFUNCTION("""COMPUTED_VALUE"""),4)</f>
        <v>4</v>
      </c>
      <c r="O54" s="5" t="str">
        <f ca="1">IFERROR(__xludf.DUMMYFUNCTION("""COMPUTED_VALUE"""),"Winter")</f>
        <v>Winter</v>
      </c>
      <c r="P54" s="5" t="str">
        <f ca="1">IFERROR(__xludf.DUMMYFUNCTION("""COMPUTED_VALUE"""),"Middletown")</f>
        <v>Middletown</v>
      </c>
      <c r="Q54" s="5" t="str">
        <f ca="1">IFERROR(__xludf.DUMMYFUNCTION("""COMPUTED_VALUE"""),"DE")</f>
        <v>DE</v>
      </c>
      <c r="R54" s="5" t="str">
        <f ca="1">IFERROR(__xludf.DUMMYFUNCTION("""COMPUTED_VALUE"""),"High")</f>
        <v>High</v>
      </c>
      <c r="S54" s="5" t="str">
        <f ca="1">IFERROR(__xludf.DUMMYFUNCTION("""COMPUTED_VALUE"""),"Hallway")</f>
        <v>Hallway</v>
      </c>
      <c r="T54" s="5" t="str">
        <f ca="1">IFERROR(__xludf.DUMMYFUNCTION("""COMPUTED_VALUE"""),"Inside School Building")</f>
        <v>Inside School Building</v>
      </c>
      <c r="U54" s="5" t="str">
        <f ca="1">IFERROR(__xludf.DUMMYFUNCTION("""COMPUTED_VALUE"""),"No")</f>
        <v>No</v>
      </c>
      <c r="V54" s="5" t="str">
        <f ca="1">IFERROR(__xludf.DUMMYFUNCTION("""COMPUTED_VALUE"""),"Sport Event")</f>
        <v>Sport Event</v>
      </c>
      <c r="W54" s="10">
        <f ca="1">IFERROR(__xludf.DUMMYFUNCTION("""COMPUTED_VALUE"""),0.802083333333333)</f>
        <v>0.80208333333333304</v>
      </c>
      <c r="X54" s="5">
        <f ca="1">IFERROR(__xludf.DUMMYFUNCTION("""COMPUTED_VALUE"""),1)</f>
        <v>1</v>
      </c>
      <c r="Y54" s="5" t="str">
        <f ca="1">IFERROR(__xludf.DUMMYFUNCTION("""COMPUTED_VALUE"""),"Shots fired during fight in hallway near gym during basketball game")</f>
        <v>Shots fired during fight in hallway near gym during basketball game</v>
      </c>
      <c r="Z54" s="5" t="str">
        <f ca="1">IFERROR(__xludf.DUMMYFUNCTION("""COMPUTED_VALUE"""),"Delaware State Police said they are investigating a shooting during Monday night's Appoquinimink High School Boys Basketball game. The game was stopped at 4:01 to go in the fourth quarter when the livestream video showed officials walking onto the west en"&amp;"d of the court, with players from Tri-State Christian swiftly moving in the opposite direction away from the court and their benches in the direction of the main parking lot. The video, which did not include audio, was quickly made private on the school's"&amp;" YouTube channel. In a statement sent to Appoquinimink families late Monday night, Superintendent Matt Burrows said there was a fight in the hallway outside the the gym near the boys bathroom. Burrows said the incident ended, when a gun was discovered on "&amp;"the floor, with his characterization saying ""police are investigating reports that the gun may have discharged."" Delaware State Police said there are no known gunshot victims or injuries, but no suspect was taken into custody.")</f>
        <v>Delaware State Police said they are investigating a shooting during Monday night's Appoquinimink High School Boys Basketball game. The game was stopped at 4:01 to go in the fourth quarter when the livestream video showed officials walking onto the west end of the court, with players from Tri-State Christian swiftly moving in the opposite direction away from the court and their benches in the direction of the main parking lot. The video, which did not include audio, was quickly made private on the school's YouTube channel. In a statement sent to Appoquinimink families late Monday night, Superintendent Matt Burrows said there was a fight in the hallway outside the the gym near the boys bathroom. Burrows said the incident ended, when a gun was discovered on the floor, with his characterization saying "police are investigating reports that the gun may have discharged." Delaware State Police said there are no known gunshot victims or injuries, but no suspect was taken into custody.</v>
      </c>
      <c r="AA54" s="5" t="str">
        <f ca="1">IFERROR(__xludf.DUMMYFUNCTION("""COMPUTED_VALUE"""),"Escalation of Dispute")</f>
        <v>Escalation of Dispute</v>
      </c>
      <c r="AB54" s="5" t="str">
        <f ca="1">IFERROR(__xludf.DUMMYFUNCTION("""COMPUTED_VALUE"""),"Victims Targeted")</f>
        <v>Victims Targeted</v>
      </c>
      <c r="AC54" s="5"/>
      <c r="AD54" s="5" t="str">
        <f ca="1">IFERROR(__xludf.DUMMYFUNCTION("""COMPUTED_VALUE"""),"No")</f>
        <v>No</v>
      </c>
      <c r="AE54" s="5" t="str">
        <f ca="1">IFERROR(__xludf.DUMMYFUNCTION("""COMPUTED_VALUE"""),"No")</f>
        <v>No</v>
      </c>
      <c r="AF54" s="5" t="str">
        <f ca="1">IFERROR(__xludf.DUMMYFUNCTION("""COMPUTED_VALUE"""),"No")</f>
        <v>No</v>
      </c>
      <c r="AG54" s="5"/>
      <c r="AH54" s="5" t="str">
        <f ca="1">IFERROR(__xludf.DUMMYFUNCTION("""COMPUTED_VALUE"""),"No")</f>
        <v>No</v>
      </c>
      <c r="AI54" s="5"/>
      <c r="AJ54" s="5" t="str">
        <f ca="1">IFERROR(__xludf.DUMMYFUNCTION("""COMPUTED_VALUE"""),"No")</f>
        <v>No</v>
      </c>
    </row>
    <row r="55" spans="1:36" ht="13">
      <c r="A55" s="5" t="str">
        <f ca="1">IFERROR(__xludf.DUMMYFUNCTION("""COMPUTED_VALUE"""),"20230206FLMIM")</f>
        <v>20230206FLMIM</v>
      </c>
      <c r="B55" s="5">
        <f ca="1">IFERROR(__xludf.DUMMYFUNCTION("""COMPUTED_VALUE"""),2)</f>
        <v>2</v>
      </c>
      <c r="C55" s="5">
        <f ca="1">IFERROR(__xludf.DUMMYFUNCTION("""COMPUTED_VALUE"""),6)</f>
        <v>6</v>
      </c>
      <c r="D55" s="5">
        <f ca="1">IFERROR(__xludf.DUMMYFUNCTION("""COMPUTED_VALUE"""),2023)</f>
        <v>2023</v>
      </c>
      <c r="E55" s="8">
        <f ca="1">IFERROR(__xludf.DUMMYFUNCTION("""COMPUTED_VALUE"""),44963)</f>
        <v>44963</v>
      </c>
      <c r="F55" s="5" t="str">
        <f ca="1">IFERROR(__xludf.DUMMYFUNCTION("""COMPUTED_VALUE"""),"Miami Norland Senior High School")</f>
        <v>Miami Norland Senior High School</v>
      </c>
      <c r="G55" s="5">
        <f ca="1">IFERROR(__xludf.DUMMYFUNCTION("""COMPUTED_VALUE"""),0)</f>
        <v>0</v>
      </c>
      <c r="H55" s="5">
        <f ca="1">IFERROR(__xludf.DUMMYFUNCTION("""COMPUTED_VALUE"""),1)</f>
        <v>1</v>
      </c>
      <c r="I55" s="5">
        <f ca="1">IFERROR(__xludf.DUMMYFUNCTION("""COMPUTED_VALUE"""),1)</f>
        <v>1</v>
      </c>
      <c r="J55" s="5">
        <f ca="1">IFERROR(__xludf.DUMMYFUNCTION("""COMPUTED_VALUE"""),0)</f>
        <v>0</v>
      </c>
      <c r="K55" s="9" t="str">
        <f ca="1">IFERROR(__xludf.DUMMYFUNCTION("""COMPUTED_VALUE"""),"https://www.cbsnews.com/miami/news/possible-shooting-at-miami-norland-senior-high-school-under-investigation/")</f>
        <v>https://www.cbsnews.com/miami/news/possible-shooting-at-miami-norland-senior-high-school-under-investigation/</v>
      </c>
      <c r="L55" s="5">
        <f ca="1">IFERROR(__xludf.DUMMYFUNCTION("""COMPUTED_VALUE"""),20)</f>
        <v>20</v>
      </c>
      <c r="M55" s="5" t="str">
        <f ca="1">IFERROR(__xludf.DUMMYFUNCTION("""COMPUTED_VALUE"""),"Regional")</f>
        <v>Regional</v>
      </c>
      <c r="N55" s="5">
        <f ca="1">IFERROR(__xludf.DUMMYFUNCTION("""COMPUTED_VALUE"""),4)</f>
        <v>4</v>
      </c>
      <c r="O55" s="5" t="str">
        <f ca="1">IFERROR(__xludf.DUMMYFUNCTION("""COMPUTED_VALUE"""),"Winter")</f>
        <v>Winter</v>
      </c>
      <c r="P55" s="5" t="str">
        <f ca="1">IFERROR(__xludf.DUMMYFUNCTION("""COMPUTED_VALUE"""),"Miami Gardens")</f>
        <v>Miami Gardens</v>
      </c>
      <c r="Q55" s="5" t="str">
        <f ca="1">IFERROR(__xludf.DUMMYFUNCTION("""COMPUTED_VALUE"""),"FL")</f>
        <v>FL</v>
      </c>
      <c r="R55" s="5" t="str">
        <f ca="1">IFERROR(__xludf.DUMMYFUNCTION("""COMPUTED_VALUE"""),"High")</f>
        <v>High</v>
      </c>
      <c r="S55" s="5" t="str">
        <f ca="1">IFERROR(__xludf.DUMMYFUNCTION("""COMPUTED_VALUE"""),"Parking Lot")</f>
        <v>Parking Lot</v>
      </c>
      <c r="T55" s="5" t="str">
        <f ca="1">IFERROR(__xludf.DUMMYFUNCTION("""COMPUTED_VALUE"""),"Outside on School Property")</f>
        <v>Outside on School Property</v>
      </c>
      <c r="U55" s="5" t="str">
        <f ca="1">IFERROR(__xludf.DUMMYFUNCTION("""COMPUTED_VALUE"""),"Yes")</f>
        <v>Yes</v>
      </c>
      <c r="V55" s="5" t="str">
        <f ca="1">IFERROR(__xludf.DUMMYFUNCTION("""COMPUTED_VALUE"""),"Dismissal")</f>
        <v>Dismissal</v>
      </c>
      <c r="W55" s="10">
        <f ca="1">IFERROR(__xludf.DUMMYFUNCTION("""COMPUTED_VALUE"""),0.666666666666666)</f>
        <v>0.66666666666666596</v>
      </c>
      <c r="X55" s="5">
        <f ca="1">IFERROR(__xludf.DUMMYFUNCTION("""COMPUTED_VALUE"""),1)</f>
        <v>1</v>
      </c>
      <c r="Y55" s="5" t="str">
        <f ca="1">IFERROR(__xludf.DUMMYFUNCTION("""COMPUTED_VALUE"""),"Student shot following fight outside school")</f>
        <v>Student shot following fight outside school</v>
      </c>
      <c r="Z55" s="5" t="str">
        <f ca="1">IFERROR(__xludf.DUMMYFUNCTION("""COMPUTED_VALUE"""),"18-year-old student shot following a fight next to the school building. Student walked away from the argument and then was shot in the arm and leg, airlifted to hospital. School went on lockdown for 1 hour. Shooter fled.")</f>
        <v>18-year-old student shot following a fight next to the school building. Student walked away from the argument and then was shot in the arm and leg, airlifted to hospital. School went on lockdown for 1 hour. Shooter fled.</v>
      </c>
      <c r="AA55" s="5" t="str">
        <f ca="1">IFERROR(__xludf.DUMMYFUNCTION("""COMPUTED_VALUE"""),"Escalation of Dispute")</f>
        <v>Escalation of Dispute</v>
      </c>
      <c r="AB55" s="5" t="str">
        <f ca="1">IFERROR(__xludf.DUMMYFUNCTION("""COMPUTED_VALUE"""),"Victims Targeted")</f>
        <v>Victims Targeted</v>
      </c>
      <c r="AC55" s="5"/>
      <c r="AD55" s="5" t="str">
        <f ca="1">IFERROR(__xludf.DUMMYFUNCTION("""COMPUTED_VALUE"""),"No")</f>
        <v>No</v>
      </c>
      <c r="AE55" s="5" t="str">
        <f ca="1">IFERROR(__xludf.DUMMYFUNCTION("""COMPUTED_VALUE"""),"No")</f>
        <v>No</v>
      </c>
      <c r="AF55" s="5" t="str">
        <f ca="1">IFERROR(__xludf.DUMMYFUNCTION("""COMPUTED_VALUE"""),"No")</f>
        <v>No</v>
      </c>
      <c r="AG55" s="5"/>
      <c r="AH55" s="5" t="str">
        <f ca="1">IFERROR(__xludf.DUMMYFUNCTION("""COMPUTED_VALUE"""),"No")</f>
        <v>No</v>
      </c>
      <c r="AI55" s="5"/>
      <c r="AJ55" s="5" t="str">
        <f ca="1">IFERROR(__xludf.DUMMYFUNCTION("""COMPUTED_VALUE"""),"No")</f>
        <v>No</v>
      </c>
    </row>
    <row r="56" spans="1:36" ht="13">
      <c r="A56" s="5" t="str">
        <f ca="1">IFERROR(__xludf.DUMMYFUNCTION("""COMPUTED_VALUE"""),"20230202OHRIP")</f>
        <v>20230202OHRIP</v>
      </c>
      <c r="B56" s="5">
        <f ca="1">IFERROR(__xludf.DUMMYFUNCTION("""COMPUTED_VALUE"""),2)</f>
        <v>2</v>
      </c>
      <c r="C56" s="5">
        <f ca="1">IFERROR(__xludf.DUMMYFUNCTION("""COMPUTED_VALUE"""),2)</f>
        <v>2</v>
      </c>
      <c r="D56" s="5">
        <f ca="1">IFERROR(__xludf.DUMMYFUNCTION("""COMPUTED_VALUE"""),2023)</f>
        <v>2023</v>
      </c>
      <c r="E56" s="8">
        <f ca="1">IFERROR(__xludf.DUMMYFUNCTION("""COMPUTED_VALUE"""),44959)</f>
        <v>44959</v>
      </c>
      <c r="F56" s="5" t="str">
        <f ca="1">IFERROR(__xludf.DUMMYFUNCTION("""COMPUTED_VALUE"""),"Ridgeview Junior High School ")</f>
        <v xml:space="preserve">Ridgeview Junior High School </v>
      </c>
      <c r="G56" s="5">
        <f ca="1">IFERROR(__xludf.DUMMYFUNCTION("""COMPUTED_VALUE"""),0)</f>
        <v>0</v>
      </c>
      <c r="H56" s="5">
        <f ca="1">IFERROR(__xludf.DUMMYFUNCTION("""COMPUTED_VALUE"""),0)</f>
        <v>0</v>
      </c>
      <c r="I56" s="5">
        <f ca="1">IFERROR(__xludf.DUMMYFUNCTION("""COMPUTED_VALUE"""),0)</f>
        <v>0</v>
      </c>
      <c r="J56" s="5">
        <f ca="1">IFERROR(__xludf.DUMMYFUNCTION("""COMPUTED_VALUE"""),1)</f>
        <v>1</v>
      </c>
      <c r="K56" s="5" t="str">
        <f ca="1">IFERROR(__xludf.DUMMYFUNCTION("""COMPUTED_VALUE"""),"https://www.10tv.com/article/news/local/pickerington-police-respond-to-adult-suicide-at-ridgeview-junior-high-school/530-d5d45c96-45cc-4a4a-b52f-0facd5be0f3a
https://abc6onyourside.com/news/local/ridgeview-junior-high-school-pickerington-central-ohio-poli"&amp;"ce-presence-adult-suicide-all-students-safe")</f>
        <v>https://www.10tv.com/article/news/local/pickerington-police-respond-to-adult-suicide-at-ridgeview-junior-high-school/530-d5d45c96-45cc-4a4a-b52f-0facd5be0f3a
https://abc6onyourside.com/news/local/ridgeview-junior-high-school-pickerington-central-ohio-police-presence-adult-suicide-all-students-safe</v>
      </c>
      <c r="L56" s="5">
        <f ca="1">IFERROR(__xludf.DUMMYFUNCTION("""COMPUTED_VALUE"""),10)</f>
        <v>10</v>
      </c>
      <c r="M56" s="5" t="str">
        <f ca="1">IFERROR(__xludf.DUMMYFUNCTION("""COMPUTED_VALUE"""),"Regional")</f>
        <v>Regional</v>
      </c>
      <c r="N56" s="5">
        <f ca="1">IFERROR(__xludf.DUMMYFUNCTION("""COMPUTED_VALUE"""),4)</f>
        <v>4</v>
      </c>
      <c r="O56" s="5" t="str">
        <f ca="1">IFERROR(__xludf.DUMMYFUNCTION("""COMPUTED_VALUE"""),"Winter")</f>
        <v>Winter</v>
      </c>
      <c r="P56" s="5" t="str">
        <f ca="1">IFERROR(__xludf.DUMMYFUNCTION("""COMPUTED_VALUE"""),"Pickerington")</f>
        <v>Pickerington</v>
      </c>
      <c r="Q56" s="5" t="str">
        <f ca="1">IFERROR(__xludf.DUMMYFUNCTION("""COMPUTED_VALUE"""),"OH")</f>
        <v>OH</v>
      </c>
      <c r="R56" s="5" t="str">
        <f ca="1">IFERROR(__xludf.DUMMYFUNCTION("""COMPUTED_VALUE"""),"Middle")</f>
        <v>Middle</v>
      </c>
      <c r="S56" s="5" t="str">
        <f ca="1">IFERROR(__xludf.DUMMYFUNCTION("""COMPUTED_VALUE"""),"Office")</f>
        <v>Office</v>
      </c>
      <c r="T56" s="5" t="str">
        <f ca="1">IFERROR(__xludf.DUMMYFUNCTION("""COMPUTED_VALUE"""),"Inside School Building")</f>
        <v>Inside School Building</v>
      </c>
      <c r="U56" s="5" t="str">
        <f ca="1">IFERROR(__xludf.DUMMYFUNCTION("""COMPUTED_VALUE"""),"Yes")</f>
        <v>Yes</v>
      </c>
      <c r="V56" s="5" t="str">
        <f ca="1">IFERROR(__xludf.DUMMYFUNCTION("""COMPUTED_VALUE"""),"Morning Classes")</f>
        <v>Morning Classes</v>
      </c>
      <c r="W56" s="10">
        <f ca="1">IFERROR(__xludf.DUMMYFUNCTION("""COMPUTED_VALUE"""),0.416666666666666)</f>
        <v>0.41666666666666602</v>
      </c>
      <c r="X56" s="5">
        <f ca="1">IFERROR(__xludf.DUMMYFUNCTION("""COMPUTED_VALUE"""),1)</f>
        <v>1</v>
      </c>
      <c r="Y56" s="5" t="str">
        <f ca="1">IFERROR(__xludf.DUMMYFUNCTION("""COMPUTED_VALUE"""),"Parent fatally shot self in school office")</f>
        <v>Parent fatally shot self in school office</v>
      </c>
      <c r="Z56" s="5" t="str">
        <f ca="1">IFERROR(__xludf.DUMMYFUNCTION("""COMPUTED_VALUE"""),"A school resource officer and detective were quickly dispatched to the school where the student, the student’s mother and stepfather were to investigate the matter. The responding detective went into the office to speak with the stepfather and the two had"&amp;" a brief conversation before the man produced a handgun and took his own life. The child and mother were not in the room, but were in the vicinity. No one else was injured in the incident. School went on lockdown, evacuated to the nearby high school, and "&amp;"classes were cancelled the next day.")</f>
        <v>A school resource officer and detective were quickly dispatched to the school where the student, the student’s mother and stepfather were to investigate the matter. The responding detective went into the office to speak with the stepfather and the two had a brief conversation before the man produced a handgun and took his own life. The child and mother were not in the room, but were in the vicinity. No one else was injured in the incident. School went on lockdown, evacuated to the nearby high school, and classes were cancelled the next day.</v>
      </c>
      <c r="AA56" s="5" t="str">
        <f ca="1">IFERROR(__xludf.DUMMYFUNCTION("""COMPUTED_VALUE"""),"Suicide/Attempted")</f>
        <v>Suicide/Attempted</v>
      </c>
      <c r="AB56" s="5" t="str">
        <f ca="1">IFERROR(__xludf.DUMMYFUNCTION("""COMPUTED_VALUE"""),"Victims Targeted")</f>
        <v>Victims Targeted</v>
      </c>
      <c r="AC56" s="5" t="str">
        <f ca="1">IFERROR(__xludf.DUMMYFUNCTION("""COMPUTED_VALUE"""),"No")</f>
        <v>No</v>
      </c>
      <c r="AD56" s="5" t="str">
        <f ca="1">IFERROR(__xludf.DUMMYFUNCTION("""COMPUTED_VALUE"""),"No")</f>
        <v>No</v>
      </c>
      <c r="AE56" s="5" t="str">
        <f ca="1">IFERROR(__xludf.DUMMYFUNCTION("""COMPUTED_VALUE"""),"No")</f>
        <v>No</v>
      </c>
      <c r="AF56" s="5" t="str">
        <f ca="1">IFERROR(__xludf.DUMMYFUNCTION("""COMPUTED_VALUE"""),"No")</f>
        <v>No</v>
      </c>
      <c r="AG56" s="5" t="str">
        <f ca="1">IFERROR(__xludf.DUMMYFUNCTION("""COMPUTED_VALUE"""),"No")</f>
        <v>No</v>
      </c>
      <c r="AH56" s="5"/>
      <c r="AI56" s="5" t="str">
        <f ca="1">IFERROR(__xludf.DUMMYFUNCTION("""COMPUTED_VALUE"""),"No")</f>
        <v>No</v>
      </c>
      <c r="AJ56" s="5" t="str">
        <f ca="1">IFERROR(__xludf.DUMMYFUNCTION("""COMPUTED_VALUE"""),"No")</f>
        <v>No</v>
      </c>
    </row>
    <row r="57" spans="1:36" ht="13">
      <c r="A57" s="5" t="str">
        <f ca="1">IFERROR(__xludf.DUMMYFUNCTION("""COMPUTED_VALUE"""),"20230131ILZIZ")</f>
        <v>20230131ILZIZ</v>
      </c>
      <c r="B57" s="5">
        <f ca="1">IFERROR(__xludf.DUMMYFUNCTION("""COMPUTED_VALUE"""),1)</f>
        <v>1</v>
      </c>
      <c r="C57" s="5">
        <f ca="1">IFERROR(__xludf.DUMMYFUNCTION("""COMPUTED_VALUE"""),31)</f>
        <v>31</v>
      </c>
      <c r="D57" s="5">
        <f ca="1">IFERROR(__xludf.DUMMYFUNCTION("""COMPUTED_VALUE"""),2023)</f>
        <v>2023</v>
      </c>
      <c r="E57" s="8">
        <f ca="1">IFERROR(__xludf.DUMMYFUNCTION("""COMPUTED_VALUE"""),44957)</f>
        <v>44957</v>
      </c>
      <c r="F57" s="5" t="str">
        <f ca="1">IFERROR(__xludf.DUMMYFUNCTION("""COMPUTED_VALUE"""),"Zion-Benton Township High School")</f>
        <v>Zion-Benton Township High School</v>
      </c>
      <c r="G57" s="5">
        <f ca="1">IFERROR(__xludf.DUMMYFUNCTION("""COMPUTED_VALUE"""),0)</f>
        <v>0</v>
      </c>
      <c r="H57" s="5">
        <f ca="1">IFERROR(__xludf.DUMMYFUNCTION("""COMPUTED_VALUE"""),0)</f>
        <v>0</v>
      </c>
      <c r="I57" s="5">
        <f ca="1">IFERROR(__xludf.DUMMYFUNCTION("""COMPUTED_VALUE"""),0)</f>
        <v>0</v>
      </c>
      <c r="J57" s="5">
        <f ca="1">IFERROR(__xludf.DUMMYFUNCTION("""COMPUTED_VALUE"""),0)</f>
        <v>0</v>
      </c>
      <c r="K57" s="5" t="str">
        <f ca="1">IFERROR(__xludf.DUMMYFUNCTION("""COMPUTED_VALUE"""),"https://www.fox32chicago.com/news/zion-benton-high-school-shooting
https://abc7chicago.com/zion-high-school-shooting-illinois-il/12757452/
https://www.cbsnews.com/chicago/news/shots-fired-near-zion-benton-township-high/")</f>
        <v>https://www.fox32chicago.com/news/zion-benton-high-school-shooting
https://abc7chicago.com/zion-high-school-shooting-illinois-il/12757452/
https://www.cbsnews.com/chicago/news/shots-fired-near-zion-benton-township-high/</v>
      </c>
      <c r="L57" s="5">
        <f ca="1">IFERROR(__xludf.DUMMYFUNCTION("""COMPUTED_VALUE"""),2)</f>
        <v>2</v>
      </c>
      <c r="M57" s="5" t="str">
        <f ca="1">IFERROR(__xludf.DUMMYFUNCTION("""COMPUTED_VALUE"""),"Regional")</f>
        <v>Regional</v>
      </c>
      <c r="N57" s="5">
        <f ca="1">IFERROR(__xludf.DUMMYFUNCTION("""COMPUTED_VALUE"""),4)</f>
        <v>4</v>
      </c>
      <c r="O57" s="5" t="str">
        <f ca="1">IFERROR(__xludf.DUMMYFUNCTION("""COMPUTED_VALUE"""),"Winter")</f>
        <v>Winter</v>
      </c>
      <c r="P57" s="5" t="str">
        <f ca="1">IFERROR(__xludf.DUMMYFUNCTION("""COMPUTED_VALUE"""),"Zion")</f>
        <v>Zion</v>
      </c>
      <c r="Q57" s="5" t="str">
        <f ca="1">IFERROR(__xludf.DUMMYFUNCTION("""COMPUTED_VALUE"""),"IL")</f>
        <v>IL</v>
      </c>
      <c r="R57" s="5" t="str">
        <f ca="1">IFERROR(__xludf.DUMMYFUNCTION("""COMPUTED_VALUE"""),"High")</f>
        <v>High</v>
      </c>
      <c r="S57" s="5" t="str">
        <f ca="1">IFERROR(__xludf.DUMMYFUNCTION("""COMPUTED_VALUE"""),"Parking Lot")</f>
        <v>Parking Lot</v>
      </c>
      <c r="T57" s="5" t="str">
        <f ca="1">IFERROR(__xludf.DUMMYFUNCTION("""COMPUTED_VALUE"""),"Outside on School Property")</f>
        <v>Outside on School Property</v>
      </c>
      <c r="U57" s="5" t="str">
        <f ca="1">IFERROR(__xludf.DUMMYFUNCTION("""COMPUTED_VALUE"""),"No")</f>
        <v>No</v>
      </c>
      <c r="V57" s="5" t="str">
        <f ca="1">IFERROR(__xludf.DUMMYFUNCTION("""COMPUTED_VALUE"""),"Sport Event")</f>
        <v>Sport Event</v>
      </c>
      <c r="W57" s="10">
        <f ca="1">IFERROR(__xludf.DUMMYFUNCTION("""COMPUTED_VALUE"""),0.854166666666666)</f>
        <v>0.85416666666666596</v>
      </c>
      <c r="X57" s="5">
        <f ca="1">IFERROR(__xludf.DUMMYFUNCTION("""COMPUTED_VALUE"""),1)</f>
        <v>1</v>
      </c>
      <c r="Y57" s="5" t="str">
        <f ca="1">IFERROR(__xludf.DUMMYFUNCTION("""COMPUTED_VALUE"""),"Shots fired in parking lot during basketball game")</f>
        <v>Shots fired in parking lot during basketball game</v>
      </c>
      <c r="Z57" s="5" t="str">
        <f ca="1">IFERROR(__xludf.DUMMYFUNCTION("""COMPUTED_VALUE"""),"Zion police detectives said three people arrived in a silver vehicle at Zion-Benton Township High School to attend a basketball game on Jan. 31. They attended the game until halftime when they returned to their car but did not leave the parking lot. As th"&amp;"e game ended and spectators were leaving the gym, the front passenger of the silver vehicle, a 17-year-old boy, got out and started shooting, police said. The teen appeared to be targeting specific people in a group with surveillance video showing him ope"&amp;"n fire at someone less than 10 feet away, police said. No one was struck by the gunfire and the shooter returned to the silver car and they sped away. Shooter had escaped from juvenile detention facility in December.")</f>
        <v>Zion police detectives said three people arrived in a silver vehicle at Zion-Benton Township High School to attend a basketball game on Jan. 31. They attended the game until halftime when they returned to their car but did not leave the parking lot. As the game ended and spectators were leaving the gym, the front passenger of the silver vehicle, a 17-year-old boy, got out and started shooting, police said. The teen appeared to be targeting specific people in a group with surveillance video showing him open fire at someone less than 10 feet away, police said. No one was struck by the gunfire and the shooter returned to the silver car and they sped away. Shooter had escaped from juvenile detention facility in December.</v>
      </c>
      <c r="AA57" s="5" t="str">
        <f ca="1">IFERROR(__xludf.DUMMYFUNCTION("""COMPUTED_VALUE"""),"Escalation of Dispute")</f>
        <v>Escalation of Dispute</v>
      </c>
      <c r="AB57" s="5" t="str">
        <f ca="1">IFERROR(__xludf.DUMMYFUNCTION("""COMPUTED_VALUE"""),"Victims Targeted")</f>
        <v>Victims Targeted</v>
      </c>
      <c r="AC57" s="5" t="str">
        <f ca="1">IFERROR(__xludf.DUMMYFUNCTION("""COMPUTED_VALUE"""),"No")</f>
        <v>No</v>
      </c>
      <c r="AD57" s="5" t="str">
        <f ca="1">IFERROR(__xludf.DUMMYFUNCTION("""COMPUTED_VALUE"""),"No")</f>
        <v>No</v>
      </c>
      <c r="AE57" s="5" t="str">
        <f ca="1">IFERROR(__xludf.DUMMYFUNCTION("""COMPUTED_VALUE"""),"No")</f>
        <v>No</v>
      </c>
      <c r="AF57" s="5" t="str">
        <f ca="1">IFERROR(__xludf.DUMMYFUNCTION("""COMPUTED_VALUE"""),"No")</f>
        <v>No</v>
      </c>
      <c r="AG57" s="5" t="str">
        <f ca="1">IFERROR(__xludf.DUMMYFUNCTION("""COMPUTED_VALUE"""),"No")</f>
        <v>No</v>
      </c>
      <c r="AH57" s="5" t="str">
        <f ca="1">IFERROR(__xludf.DUMMYFUNCTION("""COMPUTED_VALUE"""),"No")</f>
        <v>No</v>
      </c>
      <c r="AI57" s="5"/>
      <c r="AJ57" s="5" t="str">
        <f ca="1">IFERROR(__xludf.DUMMYFUNCTION("""COMPUTED_VALUE"""),"No")</f>
        <v>No</v>
      </c>
    </row>
    <row r="58" spans="1:36" ht="13">
      <c r="A58" s="5" t="str">
        <f ca="1">IFERROR(__xludf.DUMMYFUNCTION("""COMPUTED_VALUE"""),"20230131OKGEG")</f>
        <v>20230131OKGEG</v>
      </c>
      <c r="B58" s="5">
        <f ca="1">IFERROR(__xludf.DUMMYFUNCTION("""COMPUTED_VALUE"""),1)</f>
        <v>1</v>
      </c>
      <c r="C58" s="5">
        <f ca="1">IFERROR(__xludf.DUMMYFUNCTION("""COMPUTED_VALUE"""),31)</f>
        <v>31</v>
      </c>
      <c r="D58" s="5">
        <f ca="1">IFERROR(__xludf.DUMMYFUNCTION("""COMPUTED_VALUE"""),2023)</f>
        <v>2023</v>
      </c>
      <c r="E58" s="8">
        <f ca="1">IFERROR(__xludf.DUMMYFUNCTION("""COMPUTED_VALUE"""),44957)</f>
        <v>44957</v>
      </c>
      <c r="F58" s="5" t="str">
        <f ca="1">IFERROR(__xludf.DUMMYFUNCTION("""COMPUTED_VALUE"""),"Geary Elementary School")</f>
        <v>Geary Elementary School</v>
      </c>
      <c r="G58" s="5">
        <f ca="1">IFERROR(__xludf.DUMMYFUNCTION("""COMPUTED_VALUE"""),0)</f>
        <v>0</v>
      </c>
      <c r="H58" s="5">
        <f ca="1">IFERROR(__xludf.DUMMYFUNCTION("""COMPUTED_VALUE"""),0)</f>
        <v>0</v>
      </c>
      <c r="I58" s="5">
        <f ca="1">IFERROR(__xludf.DUMMYFUNCTION("""COMPUTED_VALUE"""),0)</f>
        <v>0</v>
      </c>
      <c r="J58" s="5">
        <f ca="1">IFERROR(__xludf.DUMMYFUNCTION("""COMPUTED_VALUE"""),0)</f>
        <v>0</v>
      </c>
      <c r="K58" s="9" t="str">
        <f ca="1">IFERROR(__xludf.DUMMYFUNCTION("""COMPUTED_VALUE"""),"https://kfor.com/news/local/could-have-been-very-tragic-gun-accidentally-fired-near-elementary-school-strikes-teachers-car/")</f>
        <v>https://kfor.com/news/local/could-have-been-very-tragic-gun-accidentally-fired-near-elementary-school-strikes-teachers-car/</v>
      </c>
      <c r="L58" s="5">
        <f ca="1">IFERROR(__xludf.DUMMYFUNCTION("""COMPUTED_VALUE"""),1)</f>
        <v>1</v>
      </c>
      <c r="M58" s="5" t="str">
        <f ca="1">IFERROR(__xludf.DUMMYFUNCTION("""COMPUTED_VALUE"""),"Local")</f>
        <v>Local</v>
      </c>
      <c r="N58" s="5">
        <f ca="1">IFERROR(__xludf.DUMMYFUNCTION("""COMPUTED_VALUE"""),4)</f>
        <v>4</v>
      </c>
      <c r="O58" s="5" t="str">
        <f ca="1">IFERROR(__xludf.DUMMYFUNCTION("""COMPUTED_VALUE"""),"Winter")</f>
        <v>Winter</v>
      </c>
      <c r="P58" s="5" t="str">
        <f ca="1">IFERROR(__xludf.DUMMYFUNCTION("""COMPUTED_VALUE"""),"Geary")</f>
        <v>Geary</v>
      </c>
      <c r="Q58" s="5" t="str">
        <f ca="1">IFERROR(__xludf.DUMMYFUNCTION("""COMPUTED_VALUE"""),"OK")</f>
        <v>OK</v>
      </c>
      <c r="R58" s="5" t="str">
        <f ca="1">IFERROR(__xludf.DUMMYFUNCTION("""COMPUTED_VALUE"""),"Elementary")</f>
        <v>Elementary</v>
      </c>
      <c r="S58" s="5" t="str">
        <f ca="1">IFERROR(__xludf.DUMMYFUNCTION("""COMPUTED_VALUE"""),"Parking Lot")</f>
        <v>Parking Lot</v>
      </c>
      <c r="T58" s="5" t="str">
        <f ca="1">IFERROR(__xludf.DUMMYFUNCTION("""COMPUTED_VALUE"""),"Outside on School Property")</f>
        <v>Outside on School Property</v>
      </c>
      <c r="U58" s="5" t="str">
        <f ca="1">IFERROR(__xludf.DUMMYFUNCTION("""COMPUTED_VALUE"""),"Yes")</f>
        <v>Yes</v>
      </c>
      <c r="V58" s="5" t="str">
        <f ca="1">IFERROR(__xludf.DUMMYFUNCTION("""COMPUTED_VALUE"""),"Dismissal")</f>
        <v>Dismissal</v>
      </c>
      <c r="W58" s="10">
        <f ca="1">IFERROR(__xludf.DUMMYFUNCTION("""COMPUTED_VALUE"""),0.625)</f>
        <v>0.625</v>
      </c>
      <c r="X58" s="5">
        <f ca="1">IFERROR(__xludf.DUMMYFUNCTION("""COMPUTED_VALUE"""),1)</f>
        <v>1</v>
      </c>
      <c r="Y58" s="5" t="str">
        <f ca="1">IFERROR(__xludf.DUMMYFUNCTION("""COMPUTED_VALUE"""),"Parent fired shot while moving rifle in back seat of car, bullet struck teacher's car in school parking lot")</f>
        <v>Parent fired shot while moving rifle in back seat of car, bullet struck teacher's car in school parking lot</v>
      </c>
      <c r="Z58" s="5" t="str">
        <f ca="1">IFERROR(__xludf.DUMMYFUNCTION("""COMPUTED_VALUE"""),"Parent fired shot while moving loaded rifle in back seat of car, bullet struck teacher's car in school parking lot. No injuries. Parent may face charges for reckless conduct with a firearm. ")</f>
        <v xml:space="preserve">Parent fired shot while moving loaded rifle in back seat of car, bullet struck teacher's car in school parking lot. No injuries. Parent may face charges for reckless conduct with a firearm. </v>
      </c>
      <c r="AA58" s="5" t="str">
        <f ca="1">IFERROR(__xludf.DUMMYFUNCTION("""COMPUTED_VALUE"""),"Accidental")</f>
        <v>Accidental</v>
      </c>
      <c r="AB58" s="5" t="str">
        <f ca="1">IFERROR(__xludf.DUMMYFUNCTION("""COMPUTED_VALUE"""),"Neither")</f>
        <v>Neither</v>
      </c>
      <c r="AC58" s="5" t="str">
        <f ca="1">IFERROR(__xludf.DUMMYFUNCTION("""COMPUTED_VALUE"""),"No")</f>
        <v>No</v>
      </c>
      <c r="AD58" s="5" t="str">
        <f ca="1">IFERROR(__xludf.DUMMYFUNCTION("""COMPUTED_VALUE"""),"No")</f>
        <v>No</v>
      </c>
      <c r="AE58" s="5" t="str">
        <f ca="1">IFERROR(__xludf.DUMMYFUNCTION("""COMPUTED_VALUE"""),"No")</f>
        <v>No</v>
      </c>
      <c r="AF58" s="5" t="str">
        <f ca="1">IFERROR(__xludf.DUMMYFUNCTION("""COMPUTED_VALUE"""),"No")</f>
        <v>No</v>
      </c>
      <c r="AG58" s="5" t="str">
        <f ca="1">IFERROR(__xludf.DUMMYFUNCTION("""COMPUTED_VALUE"""),"No")</f>
        <v>No</v>
      </c>
      <c r="AH58" s="5" t="str">
        <f ca="1">IFERROR(__xludf.DUMMYFUNCTION("""COMPUTED_VALUE"""),"No")</f>
        <v>No</v>
      </c>
      <c r="AI58" s="5" t="str">
        <f ca="1">IFERROR(__xludf.DUMMYFUNCTION("""COMPUTED_VALUE"""),"No")</f>
        <v>No</v>
      </c>
      <c r="AJ58" s="5" t="str">
        <f ca="1">IFERROR(__xludf.DUMMYFUNCTION("""COMPUTED_VALUE"""),"No")</f>
        <v>No</v>
      </c>
    </row>
    <row r="59" spans="1:36" ht="13">
      <c r="A59" s="5" t="str">
        <f ca="1">IFERROR(__xludf.DUMMYFUNCTION("""COMPUTED_VALUE"""),"20230130ALHOM")</f>
        <v>20230130ALHOM</v>
      </c>
      <c r="B59" s="5">
        <f ca="1">IFERROR(__xludf.DUMMYFUNCTION("""COMPUTED_VALUE"""),1)</f>
        <v>1</v>
      </c>
      <c r="C59" s="5">
        <f ca="1">IFERROR(__xludf.DUMMYFUNCTION("""COMPUTED_VALUE"""),30)</f>
        <v>30</v>
      </c>
      <c r="D59" s="5">
        <f ca="1">IFERROR(__xludf.DUMMYFUNCTION("""COMPUTED_VALUE"""),2023)</f>
        <v>2023</v>
      </c>
      <c r="E59" s="8">
        <f ca="1">IFERROR(__xludf.DUMMYFUNCTION("""COMPUTED_VALUE"""),44956)</f>
        <v>44956</v>
      </c>
      <c r="F59" s="5" t="str">
        <f ca="1">IFERROR(__xludf.DUMMYFUNCTION("""COMPUTED_VALUE"""),"Holloway Elementary School")</f>
        <v>Holloway Elementary School</v>
      </c>
      <c r="G59" s="5">
        <f ca="1">IFERROR(__xludf.DUMMYFUNCTION("""COMPUTED_VALUE"""),0)</f>
        <v>0</v>
      </c>
      <c r="H59" s="5">
        <f ca="1">IFERROR(__xludf.DUMMYFUNCTION("""COMPUTED_VALUE"""),0)</f>
        <v>0</v>
      </c>
      <c r="I59" s="5">
        <f ca="1">IFERROR(__xludf.DUMMYFUNCTION("""COMPUTED_VALUE"""),0)</f>
        <v>0</v>
      </c>
      <c r="J59" s="5">
        <f ca="1">IFERROR(__xludf.DUMMYFUNCTION("""COMPUTED_VALUE"""),0)</f>
        <v>0</v>
      </c>
      <c r="K59" s="9" t="str">
        <f ca="1">IFERROR(__xludf.DUMMYFUNCTION("""COMPUTED_VALUE"""),"https://www.fox10tv.com/2023/02/01/one-vehicle-elementary-school-hit-by-bullets-after-shots-fired-nearby/")</f>
        <v>https://www.fox10tv.com/2023/02/01/one-vehicle-elementary-school-hit-by-bullets-after-shots-fired-nearby/</v>
      </c>
      <c r="L59" s="5">
        <f ca="1">IFERROR(__xludf.DUMMYFUNCTION("""COMPUTED_VALUE"""),1)</f>
        <v>1</v>
      </c>
      <c r="M59" s="5" t="str">
        <f ca="1">IFERROR(__xludf.DUMMYFUNCTION("""COMPUTED_VALUE"""),"Local")</f>
        <v>Local</v>
      </c>
      <c r="N59" s="5">
        <f ca="1">IFERROR(__xludf.DUMMYFUNCTION("""COMPUTED_VALUE"""),4)</f>
        <v>4</v>
      </c>
      <c r="O59" s="5" t="str">
        <f ca="1">IFERROR(__xludf.DUMMYFUNCTION("""COMPUTED_VALUE"""),"Winter")</f>
        <v>Winter</v>
      </c>
      <c r="P59" s="5" t="str">
        <f ca="1">IFERROR(__xludf.DUMMYFUNCTION("""COMPUTED_VALUE"""),"Mobile")</f>
        <v>Mobile</v>
      </c>
      <c r="Q59" s="5" t="str">
        <f ca="1">IFERROR(__xludf.DUMMYFUNCTION("""COMPUTED_VALUE"""),"AL")</f>
        <v>AL</v>
      </c>
      <c r="R59" s="5" t="str">
        <f ca="1">IFERROR(__xludf.DUMMYFUNCTION("""COMPUTED_VALUE"""),"Elementary")</f>
        <v>Elementary</v>
      </c>
      <c r="S59" s="5" t="str">
        <f ca="1">IFERROR(__xludf.DUMMYFUNCTION("""COMPUTED_VALUE"""),"Parking Lot")</f>
        <v>Parking Lot</v>
      </c>
      <c r="T59" s="5" t="str">
        <f ca="1">IFERROR(__xludf.DUMMYFUNCTION("""COMPUTED_VALUE"""),"Outside on School Property")</f>
        <v>Outside on School Property</v>
      </c>
      <c r="U59" s="5" t="str">
        <f ca="1">IFERROR(__xludf.DUMMYFUNCTION("""COMPUTED_VALUE"""),"Yes")</f>
        <v>Yes</v>
      </c>
      <c r="V59" s="5" t="str">
        <f ca="1">IFERROR(__xludf.DUMMYFUNCTION("""COMPUTED_VALUE"""),"Afternoon Classes")</f>
        <v>Afternoon Classes</v>
      </c>
      <c r="W59" s="10">
        <f ca="1">IFERROR(__xludf.DUMMYFUNCTION("""COMPUTED_VALUE"""),0.5625)</f>
        <v>0.5625</v>
      </c>
      <c r="X59" s="5">
        <f ca="1">IFERROR(__xludf.DUMMYFUNCTION("""COMPUTED_VALUE"""),1)</f>
        <v>1</v>
      </c>
      <c r="Y59" s="5" t="str">
        <f ca="1">IFERROR(__xludf.DUMMYFUNCTION("""COMPUTED_VALUE"""),"Vehicle in school parking lot struck by bullet, school went on lockdown")</f>
        <v>Vehicle in school parking lot struck by bullet, school went on lockdown</v>
      </c>
      <c r="Z59" s="5" t="str">
        <f ca="1">IFERROR(__xludf.DUMMYFUNCTION("""COMPUTED_VALUE"""),"Shots fired 100 yards from the school struck vehicle in the parking lot. Staff heard shots and put the school on lockdown for 90 minutes while police investigated. Five other vehicles near the school were also struck by bullets.")</f>
        <v>Shots fired 100 yards from the school struck vehicle in the parking lot. Staff heard shots and put the school on lockdown for 90 minutes while police investigated. Five other vehicles near the school were also struck by bullets.</v>
      </c>
      <c r="AA59" s="5" t="str">
        <f ca="1">IFERROR(__xludf.DUMMYFUNCTION("""COMPUTED_VALUE"""),"Drive-by Shooting")</f>
        <v>Drive-by Shooting</v>
      </c>
      <c r="AB59" s="5"/>
      <c r="AC59" s="5"/>
      <c r="AD59" s="5" t="str">
        <f ca="1">IFERROR(__xludf.DUMMYFUNCTION("""COMPUTED_VALUE"""),"No")</f>
        <v>No</v>
      </c>
      <c r="AE59" s="5" t="str">
        <f ca="1">IFERROR(__xludf.DUMMYFUNCTION("""COMPUTED_VALUE"""),"No")</f>
        <v>No</v>
      </c>
      <c r="AF59" s="5" t="str">
        <f ca="1">IFERROR(__xludf.DUMMYFUNCTION("""COMPUTED_VALUE"""),"No")</f>
        <v>No</v>
      </c>
      <c r="AG59" s="5" t="str">
        <f ca="1">IFERROR(__xludf.DUMMYFUNCTION("""COMPUTED_VALUE"""),"No")</f>
        <v>No</v>
      </c>
      <c r="AH59" s="5" t="str">
        <f ca="1">IFERROR(__xludf.DUMMYFUNCTION("""COMPUTED_VALUE"""),"No")</f>
        <v>No</v>
      </c>
      <c r="AI59" s="5"/>
      <c r="AJ59" s="5" t="str">
        <f ca="1">IFERROR(__xludf.DUMMYFUNCTION("""COMPUTED_VALUE"""),"No")</f>
        <v>No</v>
      </c>
    </row>
    <row r="60" spans="1:36" ht="13">
      <c r="A60" s="5" t="str">
        <f ca="1">IFERROR(__xludf.DUMMYFUNCTION("""COMPUTED_VALUE"""),"20230130DCCOW")</f>
        <v>20230130DCCOW</v>
      </c>
      <c r="B60" s="5">
        <f ca="1">IFERROR(__xludf.DUMMYFUNCTION("""COMPUTED_VALUE"""),1)</f>
        <v>1</v>
      </c>
      <c r="C60" s="5">
        <f ca="1">IFERROR(__xludf.DUMMYFUNCTION("""COMPUTED_VALUE"""),30)</f>
        <v>30</v>
      </c>
      <c r="D60" s="5">
        <f ca="1">IFERROR(__xludf.DUMMYFUNCTION("""COMPUTED_VALUE"""),2023)</f>
        <v>2023</v>
      </c>
      <c r="E60" s="8">
        <f ca="1">IFERROR(__xludf.DUMMYFUNCTION("""COMPUTED_VALUE"""),44956)</f>
        <v>44956</v>
      </c>
      <c r="F60" s="5" t="str">
        <f ca="1">IFERROR(__xludf.DUMMYFUNCTION("""COMPUTED_VALUE"""),"Coolidge High School")</f>
        <v>Coolidge High School</v>
      </c>
      <c r="G60" s="5">
        <f ca="1">IFERROR(__xludf.DUMMYFUNCTION("""COMPUTED_VALUE"""),1)</f>
        <v>1</v>
      </c>
      <c r="H60" s="5">
        <f ca="1">IFERROR(__xludf.DUMMYFUNCTION("""COMPUTED_VALUE"""),0)</f>
        <v>0</v>
      </c>
      <c r="I60" s="5">
        <f ca="1">IFERROR(__xludf.DUMMYFUNCTION("""COMPUTED_VALUE"""),1)</f>
        <v>1</v>
      </c>
      <c r="J60" s="5">
        <f ca="1">IFERROR(__xludf.DUMMYFUNCTION("""COMPUTED_VALUE"""),0)</f>
        <v>0</v>
      </c>
      <c r="K60" s="9" t="str">
        <f ca="1">IFERROR(__xludf.DUMMYFUNCTION("""COMPUTED_VALUE"""),"https://www.wusa9.com/article/news/crime/shooting-causes-school-lockdowns-dc/65-cc671c95-fcfc-4932-bcc1-5cf1a27b3033")</f>
        <v>https://www.wusa9.com/article/news/crime/shooting-causes-school-lockdowns-dc/65-cc671c95-fcfc-4932-bcc1-5cf1a27b3033</v>
      </c>
      <c r="L60" s="5">
        <f ca="1">IFERROR(__xludf.DUMMYFUNCTION("""COMPUTED_VALUE"""),10)</f>
        <v>10</v>
      </c>
      <c r="M60" s="5" t="str">
        <f ca="1">IFERROR(__xludf.DUMMYFUNCTION("""COMPUTED_VALUE"""),"Regional")</f>
        <v>Regional</v>
      </c>
      <c r="N60" s="5">
        <f ca="1">IFERROR(__xludf.DUMMYFUNCTION("""COMPUTED_VALUE"""),4)</f>
        <v>4</v>
      </c>
      <c r="O60" s="5" t="str">
        <f ca="1">IFERROR(__xludf.DUMMYFUNCTION("""COMPUTED_VALUE"""),"Winter")</f>
        <v>Winter</v>
      </c>
      <c r="P60" s="5" t="str">
        <f ca="1">IFERROR(__xludf.DUMMYFUNCTION("""COMPUTED_VALUE"""),"Washington")</f>
        <v>Washington</v>
      </c>
      <c r="Q60" s="5" t="str">
        <f ca="1">IFERROR(__xludf.DUMMYFUNCTION("""COMPUTED_VALUE"""),"DC")</f>
        <v>DC</v>
      </c>
      <c r="R60" s="5" t="str">
        <f ca="1">IFERROR(__xludf.DUMMYFUNCTION("""COMPUTED_VALUE"""),"High")</f>
        <v>High</v>
      </c>
      <c r="S60" s="5" t="str">
        <f ca="1">IFERROR(__xludf.DUMMYFUNCTION("""COMPUTED_VALUE"""),"Front of School")</f>
        <v>Front of School</v>
      </c>
      <c r="T60" s="5" t="str">
        <f ca="1">IFERROR(__xludf.DUMMYFUNCTION("""COMPUTED_VALUE"""),"Outside on School Property")</f>
        <v>Outside on School Property</v>
      </c>
      <c r="U60" s="5" t="str">
        <f ca="1">IFERROR(__xludf.DUMMYFUNCTION("""COMPUTED_VALUE"""),"Yes")</f>
        <v>Yes</v>
      </c>
      <c r="V60" s="5" t="str">
        <f ca="1">IFERROR(__xludf.DUMMYFUNCTION("""COMPUTED_VALUE"""),"Afternoon Classes")</f>
        <v>Afternoon Classes</v>
      </c>
      <c r="W60" s="10">
        <f ca="1">IFERROR(__xludf.DUMMYFUNCTION("""COMPUTED_VALUE"""),0.625)</f>
        <v>0.625</v>
      </c>
      <c r="X60" s="5">
        <f ca="1">IFERROR(__xludf.DUMMYFUNCTION("""COMPUTED_VALUE"""),1)</f>
        <v>1</v>
      </c>
      <c r="Y60" s="5" t="str">
        <f ca="1">IFERROR(__xludf.DUMMYFUNCTION("""COMPUTED_VALUE"""),"Safe Passage worker shot in front of school at dismissal")</f>
        <v>Safe Passage worker shot in front of school at dismissal</v>
      </c>
      <c r="Z60" s="5" t="str">
        <f ca="1">IFERROR(__xludf.DUMMYFUNCTION("""COMPUTED_VALUE"""),"Adult Safe Passage worker shot in the head during dismissal in front of the school. Transported to hospital in critical condition. High school and two nearby schools went on lockdown.")</f>
        <v>Adult Safe Passage worker shot in the head during dismissal in front of the school. Transported to hospital in critical condition. High school and two nearby schools went on lockdown.</v>
      </c>
      <c r="AA60" s="5" t="str">
        <f ca="1">IFERROR(__xludf.DUMMYFUNCTION("""COMPUTED_VALUE"""),"Escalation of Dispute")</f>
        <v>Escalation of Dispute</v>
      </c>
      <c r="AB60" s="5"/>
      <c r="AC60" s="5"/>
      <c r="AD60" s="5" t="str">
        <f ca="1">IFERROR(__xludf.DUMMYFUNCTION("""COMPUTED_VALUE"""),"No")</f>
        <v>No</v>
      </c>
      <c r="AE60" s="5" t="str">
        <f ca="1">IFERROR(__xludf.DUMMYFUNCTION("""COMPUTED_VALUE"""),"No")</f>
        <v>No</v>
      </c>
      <c r="AF60" s="5" t="str">
        <f ca="1">IFERROR(__xludf.DUMMYFUNCTION("""COMPUTED_VALUE"""),"No")</f>
        <v>No</v>
      </c>
      <c r="AG60" s="5" t="str">
        <f ca="1">IFERROR(__xludf.DUMMYFUNCTION("""COMPUTED_VALUE"""),"No")</f>
        <v>No</v>
      </c>
      <c r="AH60" s="5" t="str">
        <f ca="1">IFERROR(__xludf.DUMMYFUNCTION("""COMPUTED_VALUE"""),"No")</f>
        <v>No</v>
      </c>
      <c r="AI60" s="5"/>
      <c r="AJ60" s="5" t="str">
        <f ca="1">IFERROR(__xludf.DUMMYFUNCTION("""COMPUTED_VALUE"""),"No")</f>
        <v>No</v>
      </c>
    </row>
    <row r="61" spans="1:36" ht="13">
      <c r="A61" s="5" t="str">
        <f ca="1">IFERROR(__xludf.DUMMYFUNCTION("""COMPUTED_VALUE"""),"20230130AZGIY")</f>
        <v>20230130AZGIY</v>
      </c>
      <c r="B61" s="5">
        <f ca="1">IFERROR(__xludf.DUMMYFUNCTION("""COMPUTED_VALUE"""),1)</f>
        <v>1</v>
      </c>
      <c r="C61" s="5">
        <f ca="1">IFERROR(__xludf.DUMMYFUNCTION("""COMPUTED_VALUE"""),30)</f>
        <v>30</v>
      </c>
      <c r="D61" s="5">
        <f ca="1">IFERROR(__xludf.DUMMYFUNCTION("""COMPUTED_VALUE"""),2023)</f>
        <v>2023</v>
      </c>
      <c r="E61" s="8">
        <f ca="1">IFERROR(__xludf.DUMMYFUNCTION("""COMPUTED_VALUE"""),44956)</f>
        <v>44956</v>
      </c>
      <c r="F61" s="5" t="str">
        <f ca="1">IFERROR(__xludf.DUMMYFUNCTION("""COMPUTED_VALUE"""),"Gila Ridge High School")</f>
        <v>Gila Ridge High School</v>
      </c>
      <c r="G61" s="5">
        <f ca="1">IFERROR(__xludf.DUMMYFUNCTION("""COMPUTED_VALUE"""),0)</f>
        <v>0</v>
      </c>
      <c r="H61" s="5">
        <f ca="1">IFERROR(__xludf.DUMMYFUNCTION("""COMPUTED_VALUE"""),2)</f>
        <v>2</v>
      </c>
      <c r="I61" s="5">
        <f ca="1">IFERROR(__xludf.DUMMYFUNCTION("""COMPUTED_VALUE"""),2)</f>
        <v>2</v>
      </c>
      <c r="J61" s="5">
        <f ca="1">IFERROR(__xludf.DUMMYFUNCTION("""COMPUTED_VALUE"""),0)</f>
        <v>0</v>
      </c>
      <c r="K61" s="9" t="str">
        <f ca="1">IFERROR(__xludf.DUMMYFUNCTION("""COMPUTED_VALUE"""),"https://www.azcentral.com/story/news/local/arizona-breaking/2023/01/30/shots-fired-at-gila-ridge-high-school-in-yuma/69854504007/
https://www.12news.com/article/news/local/arizona/police-shots-fired-outside-high-school-yuma/75-28dcccc7-6502-4841-bf91-5252"&amp;"b4ab02ec")</f>
        <v>https://www.azcentral.com/story/news/local/arizona-breaking/2023/01/30/shots-fired-at-gila-ridge-high-school-in-yuma/69854504007/
https://www.12news.com/article/news/local/arizona/police-shots-fired-outside-high-school-yuma/75-28dcccc7-6502-4841-bf91-5252b4ab02ec</v>
      </c>
      <c r="L61" s="5">
        <f ca="1">IFERROR(__xludf.DUMMYFUNCTION("""COMPUTED_VALUE"""),10)</f>
        <v>10</v>
      </c>
      <c r="M61" s="5" t="str">
        <f ca="1">IFERROR(__xludf.DUMMYFUNCTION("""COMPUTED_VALUE"""),"Regional")</f>
        <v>Regional</v>
      </c>
      <c r="N61" s="5">
        <f ca="1">IFERROR(__xludf.DUMMYFUNCTION("""COMPUTED_VALUE"""),4)</f>
        <v>4</v>
      </c>
      <c r="O61" s="5" t="str">
        <f ca="1">IFERROR(__xludf.DUMMYFUNCTION("""COMPUTED_VALUE"""),"Winter")</f>
        <v>Winter</v>
      </c>
      <c r="P61" s="5" t="str">
        <f ca="1">IFERROR(__xludf.DUMMYFUNCTION("""COMPUTED_VALUE"""),"Yuma")</f>
        <v>Yuma</v>
      </c>
      <c r="Q61" s="5" t="str">
        <f ca="1">IFERROR(__xludf.DUMMYFUNCTION("""COMPUTED_VALUE"""),"AZ")</f>
        <v>AZ</v>
      </c>
      <c r="R61" s="5" t="str">
        <f ca="1">IFERROR(__xludf.DUMMYFUNCTION("""COMPUTED_VALUE"""),"High")</f>
        <v>High</v>
      </c>
      <c r="S61" s="5" t="str">
        <f ca="1">IFERROR(__xludf.DUMMYFUNCTION("""COMPUTED_VALUE"""),"Parking Lot")</f>
        <v>Parking Lot</v>
      </c>
      <c r="T61" s="5" t="str">
        <f ca="1">IFERROR(__xludf.DUMMYFUNCTION("""COMPUTED_VALUE"""),"Outside on School Property")</f>
        <v>Outside on School Property</v>
      </c>
      <c r="U61" s="5" t="str">
        <f ca="1">IFERROR(__xludf.DUMMYFUNCTION("""COMPUTED_VALUE"""),"Yes")</f>
        <v>Yes</v>
      </c>
      <c r="V61" s="5" t="str">
        <f ca="1">IFERROR(__xludf.DUMMYFUNCTION("""COMPUTED_VALUE"""),"Morning Classes")</f>
        <v>Morning Classes</v>
      </c>
      <c r="W61" s="10">
        <f ca="1">IFERROR(__xludf.DUMMYFUNCTION("""COMPUTED_VALUE"""),0.354166666666666)</f>
        <v>0.35416666666666602</v>
      </c>
      <c r="X61" s="5">
        <f ca="1">IFERROR(__xludf.DUMMYFUNCTION("""COMPUTED_VALUE"""),1)</f>
        <v>1</v>
      </c>
      <c r="Y61" s="5" t="str">
        <f ca="1">IFERROR(__xludf.DUMMYFUNCTION("""COMPUTED_VALUE"""),"Shots fired during fight in parking lot")</f>
        <v>Shots fired during fight in parking lot</v>
      </c>
      <c r="Z61" s="5" t="str">
        <f ca="1">IFERROR(__xludf.DUMMYFUNCTION("""COMPUTED_VALUE"""),"Police say a teen boy is in custody after shots were fired in the parking lot of a high school in Yuma Monday morning. Yuma officers were called to the reports of shots being fired outside Gila Ridge High School on 24th Street near Araby Road just before "&amp;"8:30 a.m. When they arrived, the 16-year-old suspect had already ran away and left. Police say two students were hurt from a fight, and they weren’t shot.")</f>
        <v>Police say a teen boy is in custody after shots were fired in the parking lot of a high school in Yuma Monday morning. Yuma officers were called to the reports of shots being fired outside Gila Ridge High School on 24th Street near Araby Road just before 8:30 a.m. When they arrived, the 16-year-old suspect had already ran away and left. Police say two students were hurt from a fight, and they weren’t shot.</v>
      </c>
      <c r="AA61" s="5" t="str">
        <f ca="1">IFERROR(__xludf.DUMMYFUNCTION("""COMPUTED_VALUE"""),"Escalation of Dispute")</f>
        <v>Escalation of Dispute</v>
      </c>
      <c r="AB61" s="5" t="str">
        <f ca="1">IFERROR(__xludf.DUMMYFUNCTION("""COMPUTED_VALUE"""),"Victims Targeted")</f>
        <v>Victims Targeted</v>
      </c>
      <c r="AC61" s="5"/>
      <c r="AD61" s="5" t="str">
        <f ca="1">IFERROR(__xludf.DUMMYFUNCTION("""COMPUTED_VALUE"""),"No")</f>
        <v>No</v>
      </c>
      <c r="AE61" s="5" t="str">
        <f ca="1">IFERROR(__xludf.DUMMYFUNCTION("""COMPUTED_VALUE"""),"No")</f>
        <v>No</v>
      </c>
      <c r="AF61" s="5" t="str">
        <f ca="1">IFERROR(__xludf.DUMMYFUNCTION("""COMPUTED_VALUE"""),"No")</f>
        <v>No</v>
      </c>
      <c r="AG61" s="5"/>
      <c r="AH61" s="5" t="str">
        <f ca="1">IFERROR(__xludf.DUMMYFUNCTION("""COMPUTED_VALUE"""),"No")</f>
        <v>No</v>
      </c>
      <c r="AI61" s="5"/>
      <c r="AJ61" s="5" t="str">
        <f ca="1">IFERROR(__xludf.DUMMYFUNCTION("""COMPUTED_VALUE"""),"No")</f>
        <v>No</v>
      </c>
    </row>
    <row r="62" spans="1:36" ht="13">
      <c r="A62" s="5" t="str">
        <f ca="1">IFERROR(__xludf.DUMMYFUNCTION("""COMPUTED_VALUE"""),"20230128MOGLS")</f>
        <v>20230128MOGLS</v>
      </c>
      <c r="B62" s="5">
        <f ca="1">IFERROR(__xludf.DUMMYFUNCTION("""COMPUTED_VALUE"""),1)</f>
        <v>1</v>
      </c>
      <c r="C62" s="5">
        <f ca="1">IFERROR(__xludf.DUMMYFUNCTION("""COMPUTED_VALUE"""),28)</f>
        <v>28</v>
      </c>
      <c r="D62" s="5">
        <f ca="1">IFERROR(__xludf.DUMMYFUNCTION("""COMPUTED_VALUE"""),2023)</f>
        <v>2023</v>
      </c>
      <c r="E62" s="8">
        <f ca="1">IFERROR(__xludf.DUMMYFUNCTION("""COMPUTED_VALUE"""),44954)</f>
        <v>44954</v>
      </c>
      <c r="F62" s="5" t="str">
        <f ca="1">IFERROR(__xludf.DUMMYFUNCTION("""COMPUTED_VALUE"""),"Glendale High School")</f>
        <v>Glendale High School</v>
      </c>
      <c r="G62" s="5">
        <f ca="1">IFERROR(__xludf.DUMMYFUNCTION("""COMPUTED_VALUE"""),0)</f>
        <v>0</v>
      </c>
      <c r="H62" s="5">
        <f ca="1">IFERROR(__xludf.DUMMYFUNCTION("""COMPUTED_VALUE"""),1)</f>
        <v>1</v>
      </c>
      <c r="I62" s="5">
        <f ca="1">IFERROR(__xludf.DUMMYFUNCTION("""COMPUTED_VALUE"""),1)</f>
        <v>1</v>
      </c>
      <c r="J62" s="5">
        <f ca="1">IFERROR(__xludf.DUMMYFUNCTION("""COMPUTED_VALUE"""),0)</f>
        <v>0</v>
      </c>
      <c r="K62" s="9" t="str">
        <f ca="1">IFERROR(__xludf.DUMMYFUNCTION("""COMPUTED_VALUE"""),"https://www.ky3.com/2023/02/03/neighbors-want-answers-police-still-investigating-shooting-near-springfields-glendale-high-school/
https://www.ky3.com/2023/01/29/spd-officers-investigating-shots-fired-near-glendale-high-school/")</f>
        <v>https://www.ky3.com/2023/02/03/neighbors-want-answers-police-still-investigating-shooting-near-springfields-glendale-high-school/
https://www.ky3.com/2023/01/29/spd-officers-investigating-shots-fired-near-glendale-high-school/</v>
      </c>
      <c r="L62" s="5">
        <f ca="1">IFERROR(__xludf.DUMMYFUNCTION("""COMPUTED_VALUE"""),2)</f>
        <v>2</v>
      </c>
      <c r="M62" s="5" t="str">
        <f ca="1">IFERROR(__xludf.DUMMYFUNCTION("""COMPUTED_VALUE"""),"Local")</f>
        <v>Local</v>
      </c>
      <c r="N62" s="5">
        <f ca="1">IFERROR(__xludf.DUMMYFUNCTION("""COMPUTED_VALUE"""),4)</f>
        <v>4</v>
      </c>
      <c r="O62" s="5" t="str">
        <f ca="1">IFERROR(__xludf.DUMMYFUNCTION("""COMPUTED_VALUE"""),"Winter")</f>
        <v>Winter</v>
      </c>
      <c r="P62" s="5" t="str">
        <f ca="1">IFERROR(__xludf.DUMMYFUNCTION("""COMPUTED_VALUE"""),"Springfield")</f>
        <v>Springfield</v>
      </c>
      <c r="Q62" s="5" t="str">
        <f ca="1">IFERROR(__xludf.DUMMYFUNCTION("""COMPUTED_VALUE"""),"MO")</f>
        <v>MO</v>
      </c>
      <c r="R62" s="5" t="str">
        <f ca="1">IFERROR(__xludf.DUMMYFUNCTION("""COMPUTED_VALUE"""),"High")</f>
        <v>High</v>
      </c>
      <c r="S62" s="5" t="str">
        <f ca="1">IFERROR(__xludf.DUMMYFUNCTION("""COMPUTED_VALUE"""),"Parking Lot")</f>
        <v>Parking Lot</v>
      </c>
      <c r="T62" s="5" t="str">
        <f ca="1">IFERROR(__xludf.DUMMYFUNCTION("""COMPUTED_VALUE"""),"Outside on School Property")</f>
        <v>Outside on School Property</v>
      </c>
      <c r="U62" s="5" t="str">
        <f ca="1">IFERROR(__xludf.DUMMYFUNCTION("""COMPUTED_VALUE"""),"No")</f>
        <v>No</v>
      </c>
      <c r="V62" s="5" t="str">
        <f ca="1">IFERROR(__xludf.DUMMYFUNCTION("""COMPUTED_VALUE"""),"Sport Event")</f>
        <v>Sport Event</v>
      </c>
      <c r="W62" s="10">
        <f ca="1">IFERROR(__xludf.DUMMYFUNCTION("""COMPUTED_VALUE"""),0.791666666666666)</f>
        <v>0.79166666666666596</v>
      </c>
      <c r="X62" s="5">
        <f ca="1">IFERROR(__xludf.DUMMYFUNCTION("""COMPUTED_VALUE"""),1)</f>
        <v>1</v>
      </c>
      <c r="Y62" s="5" t="str">
        <f ca="1">IFERROR(__xludf.DUMMYFUNCTION("""COMPUTED_VALUE"""),"Shots fired in parking lot during debate team event")</f>
        <v>Shots fired in parking lot during debate team event</v>
      </c>
      <c r="Z62" s="5" t="str">
        <f ca="1">IFERROR(__xludf.DUMMYFUNCTION("""COMPUTED_VALUE"""),"Adult man was wounded when 15 shots were fired in the school parking lot during debate team event. School went on lockdown. Police discovered vehicle with multiple bullet holes and more than six thousand dollars in counterfeit bills inside.")</f>
        <v>Adult man was wounded when 15 shots were fired in the school parking lot during debate team event. School went on lockdown. Police discovered vehicle with multiple bullet holes and more than six thousand dollars in counterfeit bills inside.</v>
      </c>
      <c r="AA62" s="5" t="str">
        <f ca="1">IFERROR(__xludf.DUMMYFUNCTION("""COMPUTED_VALUE"""),"Illegal Activity")</f>
        <v>Illegal Activity</v>
      </c>
      <c r="AB62" s="5" t="str">
        <f ca="1">IFERROR(__xludf.DUMMYFUNCTION("""COMPUTED_VALUE"""),"Victims Targeted")</f>
        <v>Victims Targeted</v>
      </c>
      <c r="AC62" s="5"/>
      <c r="AD62" s="5" t="str">
        <f ca="1">IFERROR(__xludf.DUMMYFUNCTION("""COMPUTED_VALUE"""),"No")</f>
        <v>No</v>
      </c>
      <c r="AE62" s="5" t="str">
        <f ca="1">IFERROR(__xludf.DUMMYFUNCTION("""COMPUTED_VALUE"""),"No")</f>
        <v>No</v>
      </c>
      <c r="AF62" s="5" t="str">
        <f ca="1">IFERROR(__xludf.DUMMYFUNCTION("""COMPUTED_VALUE"""),"No")</f>
        <v>No</v>
      </c>
      <c r="AG62" s="5" t="str">
        <f ca="1">IFERROR(__xludf.DUMMYFUNCTION("""COMPUTED_VALUE"""),"No")</f>
        <v>No</v>
      </c>
      <c r="AH62" s="5" t="str">
        <f ca="1">IFERROR(__xludf.DUMMYFUNCTION("""COMPUTED_VALUE"""),"No")</f>
        <v>No</v>
      </c>
      <c r="AI62" s="5"/>
      <c r="AJ62" s="5" t="str">
        <f ca="1">IFERROR(__xludf.DUMMYFUNCTION("""COMPUTED_VALUE"""),"No")</f>
        <v>No</v>
      </c>
    </row>
    <row r="63" spans="1:36" ht="13">
      <c r="A63" s="5" t="str">
        <f ca="1">IFERROR(__xludf.DUMMYFUNCTION("""COMPUTED_VALUE"""),"20230127NJHOW")</f>
        <v>20230127NJHOW</v>
      </c>
      <c r="B63" s="5">
        <f ca="1">IFERROR(__xludf.DUMMYFUNCTION("""COMPUTED_VALUE"""),1)</f>
        <v>1</v>
      </c>
      <c r="C63" s="5">
        <f ca="1">IFERROR(__xludf.DUMMYFUNCTION("""COMPUTED_VALUE"""),27)</f>
        <v>27</v>
      </c>
      <c r="D63" s="5">
        <f ca="1">IFERROR(__xludf.DUMMYFUNCTION("""COMPUTED_VALUE"""),2023)</f>
        <v>2023</v>
      </c>
      <c r="E63" s="8">
        <f ca="1">IFERROR(__xludf.DUMMYFUNCTION("""COMPUTED_VALUE"""),44953)</f>
        <v>44953</v>
      </c>
      <c r="F63" s="5" t="str">
        <f ca="1">IFERROR(__xludf.DUMMYFUNCTION("""COMPUTED_VALUE"""),"Holly Glen Elementary School")</f>
        <v>Holly Glen Elementary School</v>
      </c>
      <c r="G63" s="5">
        <f ca="1">IFERROR(__xludf.DUMMYFUNCTION("""COMPUTED_VALUE"""),0)</f>
        <v>0</v>
      </c>
      <c r="H63" s="5">
        <f ca="1">IFERROR(__xludf.DUMMYFUNCTION("""COMPUTED_VALUE"""),0)</f>
        <v>0</v>
      </c>
      <c r="I63" s="5">
        <f ca="1">IFERROR(__xludf.DUMMYFUNCTION("""COMPUTED_VALUE"""),0)</f>
        <v>0</v>
      </c>
      <c r="J63" s="5">
        <f ca="1">IFERROR(__xludf.DUMMYFUNCTION("""COMPUTED_VALUE"""),0)</f>
        <v>0</v>
      </c>
      <c r="K63" s="9" t="str">
        <f ca="1">IFERROR(__xludf.DUMMYFUNCTION("""COMPUTED_VALUE"""),"https://wpgtalkradio.com/monroe-twp-nj-police-teen-fired-flare-gun-at-another-teen-inside-elementary-school/")</f>
        <v>https://wpgtalkradio.com/monroe-twp-nj-police-teen-fired-flare-gun-at-another-teen-inside-elementary-school/</v>
      </c>
      <c r="L63" s="5">
        <f ca="1">IFERROR(__xludf.DUMMYFUNCTION("""COMPUTED_VALUE"""),1)</f>
        <v>1</v>
      </c>
      <c r="M63" s="5" t="str">
        <f ca="1">IFERROR(__xludf.DUMMYFUNCTION("""COMPUTED_VALUE"""),"Local")</f>
        <v>Local</v>
      </c>
      <c r="N63" s="5">
        <f ca="1">IFERROR(__xludf.DUMMYFUNCTION("""COMPUTED_VALUE"""),4)</f>
        <v>4</v>
      </c>
      <c r="O63" s="5" t="str">
        <f ca="1">IFERROR(__xludf.DUMMYFUNCTION("""COMPUTED_VALUE"""),"Winter")</f>
        <v>Winter</v>
      </c>
      <c r="P63" s="5" t="str">
        <f ca="1">IFERROR(__xludf.DUMMYFUNCTION("""COMPUTED_VALUE"""),"Williamstown")</f>
        <v>Williamstown</v>
      </c>
      <c r="Q63" s="5" t="str">
        <f ca="1">IFERROR(__xludf.DUMMYFUNCTION("""COMPUTED_VALUE"""),"NJ")</f>
        <v>NJ</v>
      </c>
      <c r="R63" s="5" t="str">
        <f ca="1">IFERROR(__xludf.DUMMYFUNCTION("""COMPUTED_VALUE"""),"Elementary")</f>
        <v>Elementary</v>
      </c>
      <c r="S63" s="5" t="str">
        <f ca="1">IFERROR(__xludf.DUMMYFUNCTION("""COMPUTED_VALUE"""),"Outside on School Property")</f>
        <v>Outside on School Property</v>
      </c>
      <c r="T63" s="5" t="str">
        <f ca="1">IFERROR(__xludf.DUMMYFUNCTION("""COMPUTED_VALUE"""),"Outside on School Property")</f>
        <v>Outside on School Property</v>
      </c>
      <c r="U63" s="5" t="str">
        <f ca="1">IFERROR(__xludf.DUMMYFUNCTION("""COMPUTED_VALUE"""),"No")</f>
        <v>No</v>
      </c>
      <c r="V63" s="5" t="str">
        <f ca="1">IFERROR(__xludf.DUMMYFUNCTION("""COMPUTED_VALUE"""),"After School")</f>
        <v>After School</v>
      </c>
      <c r="W63" s="10">
        <f ca="1">IFERROR(__xludf.DUMMYFUNCTION("""COMPUTED_VALUE"""),0.666666666666666)</f>
        <v>0.66666666666666596</v>
      </c>
      <c r="X63" s="5">
        <f ca="1">IFERROR(__xludf.DUMMYFUNCTION("""COMPUTED_VALUE"""),1)</f>
        <v>1</v>
      </c>
      <c r="Y63" s="5" t="str">
        <f ca="1">IFERROR(__xludf.DUMMYFUNCTION("""COMPUTED_VALUE"""),"Teen fired flare gun at teen during fight")</f>
        <v>Teen fired flare gun at teen during fight</v>
      </c>
      <c r="Z63" s="5" t="str">
        <f ca="1">IFERROR(__xludf.DUMMYFUNCTION("""COMPUTED_VALUE"""),"Officers responded to the school for a report of two juveniles that were fighting. During the altercation, one juvenile brandished a flare gun and fired the gun at the other juvenile, then fled. The flare did not hit the other teen. The juvenile who fired"&amp;" the flare gun was located and taken into custody. He has been charged with aggravated assault, possession of a weapon on school grounds, and other weapon-related offenses. Police say at no time were any students in danger and the two teens are not studen"&amp;"ts at Holly Glen Elementary School.")</f>
        <v>Officers responded to the school for a report of two juveniles that were fighting. During the altercation, one juvenile brandished a flare gun and fired the gun at the other juvenile, then fled. The flare did not hit the other teen. The juvenile who fired the flare gun was located and taken into custody. He has been charged with aggravated assault, possession of a weapon on school grounds, and other weapon-related offenses. Police say at no time were any students in danger and the two teens are not students at Holly Glen Elementary School.</v>
      </c>
      <c r="AA63" s="5" t="str">
        <f ca="1">IFERROR(__xludf.DUMMYFUNCTION("""COMPUTED_VALUE"""),"Escalation of Dispute")</f>
        <v>Escalation of Dispute</v>
      </c>
      <c r="AB63" s="5" t="str">
        <f ca="1">IFERROR(__xludf.DUMMYFUNCTION("""COMPUTED_VALUE"""),"Victims Targeted")</f>
        <v>Victims Targeted</v>
      </c>
      <c r="AC63" s="5" t="str">
        <f ca="1">IFERROR(__xludf.DUMMYFUNCTION("""COMPUTED_VALUE"""),"No")</f>
        <v>No</v>
      </c>
      <c r="AD63" s="5" t="str">
        <f ca="1">IFERROR(__xludf.DUMMYFUNCTION("""COMPUTED_VALUE"""),"No")</f>
        <v>No</v>
      </c>
      <c r="AE63" s="5" t="str">
        <f ca="1">IFERROR(__xludf.DUMMYFUNCTION("""COMPUTED_VALUE"""),"No")</f>
        <v>No</v>
      </c>
      <c r="AF63" s="5" t="str">
        <f ca="1">IFERROR(__xludf.DUMMYFUNCTION("""COMPUTED_VALUE"""),"No")</f>
        <v>No</v>
      </c>
      <c r="AG63" s="5"/>
      <c r="AH63" s="5" t="str">
        <f ca="1">IFERROR(__xludf.DUMMYFUNCTION("""COMPUTED_VALUE"""),"No")</f>
        <v>No</v>
      </c>
      <c r="AI63" s="5" t="str">
        <f ca="1">IFERROR(__xludf.DUMMYFUNCTION("""COMPUTED_VALUE"""),"No")</f>
        <v>No</v>
      </c>
      <c r="AJ63" s="5" t="str">
        <f ca="1">IFERROR(__xludf.DUMMYFUNCTION("""COMPUTED_VALUE"""),"No")</f>
        <v>No</v>
      </c>
    </row>
    <row r="64" spans="1:36" ht="13">
      <c r="A64" s="5" t="str">
        <f ca="1">IFERROR(__xludf.DUMMYFUNCTION("""COMPUTED_VALUE"""),"20230126UTTAT")</f>
        <v>20230126UTTAT</v>
      </c>
      <c r="B64" s="5">
        <f ca="1">IFERROR(__xludf.DUMMYFUNCTION("""COMPUTED_VALUE"""),1)</f>
        <v>1</v>
      </c>
      <c r="C64" s="5">
        <f ca="1">IFERROR(__xludf.DUMMYFUNCTION("""COMPUTED_VALUE"""),26)</f>
        <v>26</v>
      </c>
      <c r="D64" s="5">
        <f ca="1">IFERROR(__xludf.DUMMYFUNCTION("""COMPUTED_VALUE"""),2023)</f>
        <v>2023</v>
      </c>
      <c r="E64" s="8">
        <f ca="1">IFERROR(__xludf.DUMMYFUNCTION("""COMPUTED_VALUE"""),44952)</f>
        <v>44952</v>
      </c>
      <c r="F64" s="5" t="str">
        <f ca="1">IFERROR(__xludf.DUMMYFUNCTION("""COMPUTED_VALUE"""),"Taylorsville High School")</f>
        <v>Taylorsville High School</v>
      </c>
      <c r="G64" s="5">
        <f ca="1">IFERROR(__xludf.DUMMYFUNCTION("""COMPUTED_VALUE"""),0)</f>
        <v>0</v>
      </c>
      <c r="H64" s="5">
        <f ca="1">IFERROR(__xludf.DUMMYFUNCTION("""COMPUTED_VALUE"""),0)</f>
        <v>0</v>
      </c>
      <c r="I64" s="5">
        <f ca="1">IFERROR(__xludf.DUMMYFUNCTION("""COMPUTED_VALUE"""),0)</f>
        <v>0</v>
      </c>
      <c r="J64" s="5">
        <f ca="1">IFERROR(__xludf.DUMMYFUNCTION("""COMPUTED_VALUE"""),0)</f>
        <v>0</v>
      </c>
      <c r="K64" s="9" t="str">
        <f ca="1">IFERROR(__xludf.DUMMYFUNCTION("""COMPUTED_VALUE"""),"https://www.abc4.com/news/wasatch-front/shots-fired-taylorsville-high-school/")</f>
        <v>https://www.abc4.com/news/wasatch-front/shots-fired-taylorsville-high-school/</v>
      </c>
      <c r="L64" s="5">
        <f ca="1">IFERROR(__xludf.DUMMYFUNCTION("""COMPUTED_VALUE"""),10)</f>
        <v>10</v>
      </c>
      <c r="M64" s="5" t="str">
        <f ca="1">IFERROR(__xludf.DUMMYFUNCTION("""COMPUTED_VALUE"""),"Regional")</f>
        <v>Regional</v>
      </c>
      <c r="N64" s="5">
        <f ca="1">IFERROR(__xludf.DUMMYFUNCTION("""COMPUTED_VALUE"""),4)</f>
        <v>4</v>
      </c>
      <c r="O64" s="5" t="str">
        <f ca="1">IFERROR(__xludf.DUMMYFUNCTION("""COMPUTED_VALUE"""),"Winter")</f>
        <v>Winter</v>
      </c>
      <c r="P64" s="5" t="str">
        <f ca="1">IFERROR(__xludf.DUMMYFUNCTION("""COMPUTED_VALUE"""),"Taylorsville")</f>
        <v>Taylorsville</v>
      </c>
      <c r="Q64" s="5" t="str">
        <f ca="1">IFERROR(__xludf.DUMMYFUNCTION("""COMPUTED_VALUE"""),"UT")</f>
        <v>UT</v>
      </c>
      <c r="R64" s="5" t="str">
        <f ca="1">IFERROR(__xludf.DUMMYFUNCTION("""COMPUTED_VALUE"""),"High")</f>
        <v>High</v>
      </c>
      <c r="S64" s="5" t="str">
        <f ca="1">IFERROR(__xludf.DUMMYFUNCTION("""COMPUTED_VALUE"""),"Parking Lot")</f>
        <v>Parking Lot</v>
      </c>
      <c r="T64" s="5" t="str">
        <f ca="1">IFERROR(__xludf.DUMMYFUNCTION("""COMPUTED_VALUE"""),"Outside on School Property")</f>
        <v>Outside on School Property</v>
      </c>
      <c r="U64" s="5" t="str">
        <f ca="1">IFERROR(__xludf.DUMMYFUNCTION("""COMPUTED_VALUE"""),"Yes")</f>
        <v>Yes</v>
      </c>
      <c r="V64" s="5" t="str">
        <f ca="1">IFERROR(__xludf.DUMMYFUNCTION("""COMPUTED_VALUE"""),"Lunch")</f>
        <v>Lunch</v>
      </c>
      <c r="W64" s="10">
        <f ca="1">IFERROR(__xludf.DUMMYFUNCTION("""COMPUTED_VALUE"""),0.520833333333333)</f>
        <v>0.52083333333333304</v>
      </c>
      <c r="X64" s="5">
        <f ca="1">IFERROR(__xludf.DUMMYFUNCTION("""COMPUTED_VALUE"""),1)</f>
        <v>1</v>
      </c>
      <c r="Y64" s="5" t="str">
        <f ca="1">IFERROR(__xludf.DUMMYFUNCTION("""COMPUTED_VALUE"""),"Shot fired during fight between 6 students")</f>
        <v>Shot fired during fight between 6 students</v>
      </c>
      <c r="Z64" s="5" t="str">
        <f ca="1">IFERROR(__xludf.DUMMYFUNCTION("""COMPUTED_VALUE"""),"Shot fired in parking lot during fight between 6 students. Shooter fled and other students involved ran back into the school. 2 hour lockdown.")</f>
        <v>Shot fired in parking lot during fight between 6 students. Shooter fled and other students involved ran back into the school. 2 hour lockdown.</v>
      </c>
      <c r="AA64" s="5" t="str">
        <f ca="1">IFERROR(__xludf.DUMMYFUNCTION("""COMPUTED_VALUE"""),"Escalation of Dispute")</f>
        <v>Escalation of Dispute</v>
      </c>
      <c r="AB64" s="5" t="str">
        <f ca="1">IFERROR(__xludf.DUMMYFUNCTION("""COMPUTED_VALUE"""),"Victims Targeted")</f>
        <v>Victims Targeted</v>
      </c>
      <c r="AC64" s="5"/>
      <c r="AD64" s="5" t="str">
        <f ca="1">IFERROR(__xludf.DUMMYFUNCTION("""COMPUTED_VALUE"""),"No")</f>
        <v>No</v>
      </c>
      <c r="AE64" s="5" t="str">
        <f ca="1">IFERROR(__xludf.DUMMYFUNCTION("""COMPUTED_VALUE"""),"No")</f>
        <v>No</v>
      </c>
      <c r="AF64" s="5" t="str">
        <f ca="1">IFERROR(__xludf.DUMMYFUNCTION("""COMPUTED_VALUE"""),"No")</f>
        <v>No</v>
      </c>
      <c r="AG64" s="5"/>
      <c r="AH64" s="5" t="str">
        <f ca="1">IFERROR(__xludf.DUMMYFUNCTION("""COMPUTED_VALUE"""),"No")</f>
        <v>No</v>
      </c>
      <c r="AI64" s="5"/>
      <c r="AJ64" s="5" t="str">
        <f ca="1">IFERROR(__xludf.DUMMYFUNCTION("""COMPUTED_VALUE"""),"No")</f>
        <v>No</v>
      </c>
    </row>
    <row r="65" spans="1:36" ht="13">
      <c r="A65" s="5" t="str">
        <f ca="1">IFERROR(__xludf.DUMMYFUNCTION("""COMPUTED_VALUE"""),"20230125OHTOT")</f>
        <v>20230125OHTOT</v>
      </c>
      <c r="B65" s="5">
        <f ca="1">IFERROR(__xludf.DUMMYFUNCTION("""COMPUTED_VALUE"""),1)</f>
        <v>1</v>
      </c>
      <c r="C65" s="5">
        <f ca="1">IFERROR(__xludf.DUMMYFUNCTION("""COMPUTED_VALUE"""),25)</f>
        <v>25</v>
      </c>
      <c r="D65" s="5">
        <f ca="1">IFERROR(__xludf.DUMMYFUNCTION("""COMPUTED_VALUE"""),2023)</f>
        <v>2023</v>
      </c>
      <c r="E65" s="8">
        <f ca="1">IFERROR(__xludf.DUMMYFUNCTION("""COMPUTED_VALUE"""),44951)</f>
        <v>44951</v>
      </c>
      <c r="F65" s="5" t="str">
        <f ca="1">IFERROR(__xludf.DUMMYFUNCTION("""COMPUTED_VALUE"""),"Toledo Public Schools Bus")</f>
        <v>Toledo Public Schools Bus</v>
      </c>
      <c r="G65" s="5">
        <f ca="1">IFERROR(__xludf.DUMMYFUNCTION("""COMPUTED_VALUE"""),0)</f>
        <v>0</v>
      </c>
      <c r="H65" s="5">
        <f ca="1">IFERROR(__xludf.DUMMYFUNCTION("""COMPUTED_VALUE"""),0)</f>
        <v>0</v>
      </c>
      <c r="I65" s="5">
        <f ca="1">IFERROR(__xludf.DUMMYFUNCTION("""COMPUTED_VALUE"""),0)</f>
        <v>0</v>
      </c>
      <c r="J65" s="5">
        <f ca="1">IFERROR(__xludf.DUMMYFUNCTION("""COMPUTED_VALUE"""),0)</f>
        <v>0</v>
      </c>
      <c r="K65" s="9" t="str">
        <f ca="1">IFERROR(__xludf.DUMMYFUNCTION("""COMPUTED_VALUE"""),"https://www.13abc.com/2023/01/25/police-tps-school-bus-hit-by-gunfire-with-students-board/")</f>
        <v>https://www.13abc.com/2023/01/25/police-tps-school-bus-hit-by-gunfire-with-students-board/</v>
      </c>
      <c r="L65" s="5">
        <f ca="1">IFERROR(__xludf.DUMMYFUNCTION("""COMPUTED_VALUE"""),4)</f>
        <v>4</v>
      </c>
      <c r="M65" s="5" t="str">
        <f ca="1">IFERROR(__xludf.DUMMYFUNCTION("""COMPUTED_VALUE"""),"Local")</f>
        <v>Local</v>
      </c>
      <c r="N65" s="5">
        <f ca="1">IFERROR(__xludf.DUMMYFUNCTION("""COMPUTED_VALUE"""),4)</f>
        <v>4</v>
      </c>
      <c r="O65" s="5" t="str">
        <f ca="1">IFERROR(__xludf.DUMMYFUNCTION("""COMPUTED_VALUE"""),"Winter")</f>
        <v>Winter</v>
      </c>
      <c r="P65" s="5" t="str">
        <f ca="1">IFERROR(__xludf.DUMMYFUNCTION("""COMPUTED_VALUE"""),"Toledo")</f>
        <v>Toledo</v>
      </c>
      <c r="Q65" s="5" t="str">
        <f ca="1">IFERROR(__xludf.DUMMYFUNCTION("""COMPUTED_VALUE"""),"OH")</f>
        <v>OH</v>
      </c>
      <c r="R65" s="5" t="str">
        <f ca="1">IFERROR(__xludf.DUMMYFUNCTION("""COMPUTED_VALUE"""),"Other")</f>
        <v>Other</v>
      </c>
      <c r="S65" s="5" t="str">
        <f ca="1">IFERROR(__xludf.DUMMYFUNCTION("""COMPUTED_VALUE"""),"School Bus")</f>
        <v>School Bus</v>
      </c>
      <c r="T65" s="5" t="str">
        <f ca="1">IFERROR(__xludf.DUMMYFUNCTION("""COMPUTED_VALUE"""),"School Bus")</f>
        <v>School Bus</v>
      </c>
      <c r="U65" s="5" t="str">
        <f ca="1">IFERROR(__xludf.DUMMYFUNCTION("""COMPUTED_VALUE"""),"Yes")</f>
        <v>Yes</v>
      </c>
      <c r="V65" s="5" t="str">
        <f ca="1">IFERROR(__xludf.DUMMYFUNCTION("""COMPUTED_VALUE"""),"Dismissal")</f>
        <v>Dismissal</v>
      </c>
      <c r="W65" s="10">
        <f ca="1">IFERROR(__xludf.DUMMYFUNCTION("""COMPUTED_VALUE"""),0.666666666666666)</f>
        <v>0.66666666666666596</v>
      </c>
      <c r="X65" s="5">
        <f ca="1">IFERROR(__xludf.DUMMYFUNCTION("""COMPUTED_VALUE"""),1)</f>
        <v>1</v>
      </c>
      <c r="Y65" s="5" t="str">
        <f ca="1">IFERROR(__xludf.DUMMYFUNCTION("""COMPUTED_VALUE"""),"School bus struck by bullets taking students home")</f>
        <v>School bus struck by bullets taking students home</v>
      </c>
      <c r="Z65" s="5" t="str">
        <f ca="1">IFERROR(__xludf.DUMMYFUNCTION("""COMPUTED_VALUE"""),"46 shots were fired in the area of a school bus taking students home. Bullets stuck the bus. Students and driver were not injured.")</f>
        <v>46 shots were fired in the area of a school bus taking students home. Bullets stuck the bus. Students and driver were not injured.</v>
      </c>
      <c r="AA65" s="5" t="str">
        <f ca="1">IFERROR(__xludf.DUMMYFUNCTION("""COMPUTED_VALUE"""),"Drive-by Shooting")</f>
        <v>Drive-by Shooting</v>
      </c>
      <c r="AB65" s="5" t="str">
        <f ca="1">IFERROR(__xludf.DUMMYFUNCTION("""COMPUTED_VALUE"""),"Both")</f>
        <v>Both</v>
      </c>
      <c r="AC65" s="5"/>
      <c r="AD65" s="5" t="str">
        <f ca="1">IFERROR(__xludf.DUMMYFUNCTION("""COMPUTED_VALUE"""),"No")</f>
        <v>No</v>
      </c>
      <c r="AE65" s="5" t="str">
        <f ca="1">IFERROR(__xludf.DUMMYFUNCTION("""COMPUTED_VALUE"""),"No")</f>
        <v>No</v>
      </c>
      <c r="AF65" s="5" t="str">
        <f ca="1">IFERROR(__xludf.DUMMYFUNCTION("""COMPUTED_VALUE"""),"No")</f>
        <v>No</v>
      </c>
      <c r="AG65" s="5" t="str">
        <f ca="1">IFERROR(__xludf.DUMMYFUNCTION("""COMPUTED_VALUE"""),"No")</f>
        <v>No</v>
      </c>
      <c r="AH65" s="5" t="str">
        <f ca="1">IFERROR(__xludf.DUMMYFUNCTION("""COMPUTED_VALUE"""),"No")</f>
        <v>No</v>
      </c>
      <c r="AI65" s="5"/>
      <c r="AJ65" s="5" t="str">
        <f ca="1">IFERROR(__xludf.DUMMYFUNCTION("""COMPUTED_VALUE"""),"No")</f>
        <v>No</v>
      </c>
    </row>
    <row r="66" spans="1:36" ht="13">
      <c r="A66" s="5" t="str">
        <f ca="1">IFERROR(__xludf.DUMMYFUNCTION("""COMPUTED_VALUE"""),"20230124MOTHK")</f>
        <v>20230124MOTHK</v>
      </c>
      <c r="B66" s="5">
        <f ca="1">IFERROR(__xludf.DUMMYFUNCTION("""COMPUTED_VALUE"""),1)</f>
        <v>1</v>
      </c>
      <c r="C66" s="5">
        <f ca="1">IFERROR(__xludf.DUMMYFUNCTION("""COMPUTED_VALUE"""),24)</f>
        <v>24</v>
      </c>
      <c r="D66" s="5">
        <f ca="1">IFERROR(__xludf.DUMMYFUNCTION("""COMPUTED_VALUE"""),2023)</f>
        <v>2023</v>
      </c>
      <c r="E66" s="8">
        <f ca="1">IFERROR(__xludf.DUMMYFUNCTION("""COMPUTED_VALUE"""),44950)</f>
        <v>44950</v>
      </c>
      <c r="F66" s="5" t="str">
        <f ca="1">IFERROR(__xludf.DUMMYFUNCTION("""COMPUTED_VALUE"""),"The Plaza Academy")</f>
        <v>The Plaza Academy</v>
      </c>
      <c r="G66" s="5">
        <f ca="1">IFERROR(__xludf.DUMMYFUNCTION("""COMPUTED_VALUE"""),0)</f>
        <v>0</v>
      </c>
      <c r="H66" s="5">
        <f ca="1">IFERROR(__xludf.DUMMYFUNCTION("""COMPUTED_VALUE"""),1)</f>
        <v>1</v>
      </c>
      <c r="I66" s="5">
        <f ca="1">IFERROR(__xludf.DUMMYFUNCTION("""COMPUTED_VALUE"""),1)</f>
        <v>1</v>
      </c>
      <c r="J66" s="5">
        <f ca="1">IFERROR(__xludf.DUMMYFUNCTION("""COMPUTED_VALUE"""),0)</f>
        <v>0</v>
      </c>
      <c r="K66" s="9" t="str">
        <f ca="1">IFERROR(__xludf.DUMMYFUNCTION("""COMPUTED_VALUE"""),"https://fox4kc.com/news/kansas-city-police-find-shooting-victim-near-high-school/")</f>
        <v>https://fox4kc.com/news/kansas-city-police-find-shooting-victim-near-high-school/</v>
      </c>
      <c r="L66" s="5">
        <f ca="1">IFERROR(__xludf.DUMMYFUNCTION("""COMPUTED_VALUE"""),3)</f>
        <v>3</v>
      </c>
      <c r="M66" s="5" t="str">
        <f ca="1">IFERROR(__xludf.DUMMYFUNCTION("""COMPUTED_VALUE"""),"Local")</f>
        <v>Local</v>
      </c>
      <c r="N66" s="5">
        <f ca="1">IFERROR(__xludf.DUMMYFUNCTION("""COMPUTED_VALUE"""),4)</f>
        <v>4</v>
      </c>
      <c r="O66" s="5" t="str">
        <f ca="1">IFERROR(__xludf.DUMMYFUNCTION("""COMPUTED_VALUE"""),"Winter")</f>
        <v>Winter</v>
      </c>
      <c r="P66" s="5" t="str">
        <f ca="1">IFERROR(__xludf.DUMMYFUNCTION("""COMPUTED_VALUE"""),"Kansas City")</f>
        <v>Kansas City</v>
      </c>
      <c r="Q66" s="5" t="str">
        <f ca="1">IFERROR(__xludf.DUMMYFUNCTION("""COMPUTED_VALUE"""),"MO")</f>
        <v>MO</v>
      </c>
      <c r="R66" s="5" t="str">
        <f ca="1">IFERROR(__xludf.DUMMYFUNCTION("""COMPUTED_VALUE"""),"High")</f>
        <v>High</v>
      </c>
      <c r="S66" s="5" t="str">
        <f ca="1">IFERROR(__xludf.DUMMYFUNCTION("""COMPUTED_VALUE"""),"Beside Building")</f>
        <v>Beside Building</v>
      </c>
      <c r="T66" s="5" t="str">
        <f ca="1">IFERROR(__xludf.DUMMYFUNCTION("""COMPUTED_VALUE"""),"Outside on School Property")</f>
        <v>Outside on School Property</v>
      </c>
      <c r="U66" s="5" t="str">
        <f ca="1">IFERROR(__xludf.DUMMYFUNCTION("""COMPUTED_VALUE"""),"Yes")</f>
        <v>Yes</v>
      </c>
      <c r="V66" s="5" t="str">
        <f ca="1">IFERROR(__xludf.DUMMYFUNCTION("""COMPUTED_VALUE"""),"Afternoon Classes")</f>
        <v>Afternoon Classes</v>
      </c>
      <c r="W66" s="10">
        <f ca="1">IFERROR(__xludf.DUMMYFUNCTION("""COMPUTED_VALUE"""),0.520833333333333)</f>
        <v>0.52083333333333304</v>
      </c>
      <c r="X66" s="5">
        <f ca="1">IFERROR(__xludf.DUMMYFUNCTION("""COMPUTED_VALUE"""),1)</f>
        <v>1</v>
      </c>
      <c r="Y66" s="5" t="str">
        <f ca="1">IFERROR(__xludf.DUMMYFUNCTION("""COMPUTED_VALUE"""),"School employee shot by backdoor")</f>
        <v>School employee shot by backdoor</v>
      </c>
      <c r="Z66" s="5" t="str">
        <f ca="1">IFERROR(__xludf.DUMMYFUNCTION("""COMPUTED_VALUE"""),"Kansas City police say officers found a paraprofessional with gunshot injuries near an alternative high school. Officers responded to The Plaza Academy near West 39th Terrace and Broadway Boulevard in Kansas City’s Midtown area. The shooting happened arou"&amp;"nd 12:30 p.m. Tuesday. The school’s executive director Ward Worley said someone drove by on Washington Street and shot the employee near the back entrance to the building. Worley said he doesn’t know if the shooting was random or if the gunman targeted th"&amp;"e victim. School went on lockdown and classes were cancelled for remainder of the day.")</f>
        <v>Kansas City police say officers found a paraprofessional with gunshot injuries near an alternative high school. Officers responded to The Plaza Academy near West 39th Terrace and Broadway Boulevard in Kansas City’s Midtown area. The shooting happened around 12:30 p.m. Tuesday. The school’s executive director Ward Worley said someone drove by on Washington Street and shot the employee near the back entrance to the building. Worley said he doesn’t know if the shooting was random or if the gunman targeted the victim. School went on lockdown and classes were cancelled for remainder of the day.</v>
      </c>
      <c r="AA66" s="5" t="str">
        <f ca="1">IFERROR(__xludf.DUMMYFUNCTION("""COMPUTED_VALUE"""),"Drive-by Shooting")</f>
        <v>Drive-by Shooting</v>
      </c>
      <c r="AB66" s="5"/>
      <c r="AC66" s="5"/>
      <c r="AD66" s="5" t="str">
        <f ca="1">IFERROR(__xludf.DUMMYFUNCTION("""COMPUTED_VALUE"""),"No")</f>
        <v>No</v>
      </c>
      <c r="AE66" s="5" t="str">
        <f ca="1">IFERROR(__xludf.DUMMYFUNCTION("""COMPUTED_VALUE"""),"No")</f>
        <v>No</v>
      </c>
      <c r="AF66" s="5" t="str">
        <f ca="1">IFERROR(__xludf.DUMMYFUNCTION("""COMPUTED_VALUE"""),"No")</f>
        <v>No</v>
      </c>
      <c r="AG66" s="5" t="str">
        <f ca="1">IFERROR(__xludf.DUMMYFUNCTION("""COMPUTED_VALUE"""),"No")</f>
        <v>No</v>
      </c>
      <c r="AH66" s="5" t="str">
        <f ca="1">IFERROR(__xludf.DUMMYFUNCTION("""COMPUTED_VALUE"""),"No")</f>
        <v>No</v>
      </c>
      <c r="AI66" s="5"/>
      <c r="AJ66" s="5" t="str">
        <f ca="1">IFERROR(__xludf.DUMMYFUNCTION("""COMPUTED_VALUE"""),"No")</f>
        <v>No</v>
      </c>
    </row>
    <row r="67" spans="1:36" ht="13">
      <c r="A67" s="5" t="str">
        <f ca="1">IFERROR(__xludf.DUMMYFUNCTION("""COMPUTED_VALUE"""),"20230123TXABA")</f>
        <v>20230123TXABA</v>
      </c>
      <c r="B67" s="5">
        <f ca="1">IFERROR(__xludf.DUMMYFUNCTION("""COMPUTED_VALUE"""),1)</f>
        <v>1</v>
      </c>
      <c r="C67" s="5">
        <f ca="1">IFERROR(__xludf.DUMMYFUNCTION("""COMPUTED_VALUE"""),23)</f>
        <v>23</v>
      </c>
      <c r="D67" s="5">
        <f ca="1">IFERROR(__xludf.DUMMYFUNCTION("""COMPUTED_VALUE"""),2023)</f>
        <v>2023</v>
      </c>
      <c r="E67" s="8">
        <f ca="1">IFERROR(__xludf.DUMMYFUNCTION("""COMPUTED_VALUE"""),44949)</f>
        <v>44949</v>
      </c>
      <c r="F67" s="5" t="str">
        <f ca="1">IFERROR(__xludf.DUMMYFUNCTION("""COMPUTED_VALUE"""),"Abilene Independent School District Bus")</f>
        <v>Abilene Independent School District Bus</v>
      </c>
      <c r="G67" s="5">
        <f ca="1">IFERROR(__xludf.DUMMYFUNCTION("""COMPUTED_VALUE"""),0)</f>
        <v>0</v>
      </c>
      <c r="H67" s="5">
        <f ca="1">IFERROR(__xludf.DUMMYFUNCTION("""COMPUTED_VALUE"""),2)</f>
        <v>2</v>
      </c>
      <c r="I67" s="5">
        <f ca="1">IFERROR(__xludf.DUMMYFUNCTION("""COMPUTED_VALUE"""),2)</f>
        <v>2</v>
      </c>
      <c r="J67" s="5">
        <f ca="1">IFERROR(__xludf.DUMMYFUNCTION("""COMPUTED_VALUE"""),0)</f>
        <v>0</v>
      </c>
      <c r="K67" s="5" t="str">
        <f ca="1">IFERROR(__xludf.DUMMYFUNCTION("""COMPUTED_VALUE"""),"https://ktxs.com/news/local/suspect-shoots-at-school-bus-while-kids-are-getting-off-injuring-child-in-abilene-
https://www.bigcountryhomepage.com/news/abilene-isd-school-bus-shot-with-an-air-rifle-one-injured/")</f>
        <v>https://ktxs.com/news/local/suspect-shoots-at-school-bus-while-kids-are-getting-off-injuring-child-in-abilene-
https://www.bigcountryhomepage.com/news/abilene-isd-school-bus-shot-with-an-air-rifle-one-injured/</v>
      </c>
      <c r="L67" s="5">
        <f ca="1">IFERROR(__xludf.DUMMYFUNCTION("""COMPUTED_VALUE"""),5)</f>
        <v>5</v>
      </c>
      <c r="M67" s="5" t="str">
        <f ca="1">IFERROR(__xludf.DUMMYFUNCTION("""COMPUTED_VALUE"""),"Regional")</f>
        <v>Regional</v>
      </c>
      <c r="N67" s="5">
        <f ca="1">IFERROR(__xludf.DUMMYFUNCTION("""COMPUTED_VALUE"""),4)</f>
        <v>4</v>
      </c>
      <c r="O67" s="5" t="str">
        <f ca="1">IFERROR(__xludf.DUMMYFUNCTION("""COMPUTED_VALUE"""),"Winter")</f>
        <v>Winter</v>
      </c>
      <c r="P67" s="5" t="str">
        <f ca="1">IFERROR(__xludf.DUMMYFUNCTION("""COMPUTED_VALUE"""),"Abilene")</f>
        <v>Abilene</v>
      </c>
      <c r="Q67" s="5" t="str">
        <f ca="1">IFERROR(__xludf.DUMMYFUNCTION("""COMPUTED_VALUE"""),"TX")</f>
        <v>TX</v>
      </c>
      <c r="R67" s="5" t="str">
        <f ca="1">IFERROR(__xludf.DUMMYFUNCTION("""COMPUTED_VALUE"""),"Other")</f>
        <v>Other</v>
      </c>
      <c r="S67" s="5" t="str">
        <f ca="1">IFERROR(__xludf.DUMMYFUNCTION("""COMPUTED_VALUE"""),"School Bus")</f>
        <v>School Bus</v>
      </c>
      <c r="T67" s="5" t="str">
        <f ca="1">IFERROR(__xludf.DUMMYFUNCTION("""COMPUTED_VALUE"""),"School Bus")</f>
        <v>School Bus</v>
      </c>
      <c r="U67" s="5" t="str">
        <f ca="1">IFERROR(__xludf.DUMMYFUNCTION("""COMPUTED_VALUE"""),"Yes")</f>
        <v>Yes</v>
      </c>
      <c r="V67" s="5" t="str">
        <f ca="1">IFERROR(__xludf.DUMMYFUNCTION("""COMPUTED_VALUE"""),"Dismissal")</f>
        <v>Dismissal</v>
      </c>
      <c r="W67" s="10">
        <f ca="1">IFERROR(__xludf.DUMMYFUNCTION("""COMPUTED_VALUE"""),0.666666666666666)</f>
        <v>0.66666666666666596</v>
      </c>
      <c r="X67" s="5">
        <f ca="1">IFERROR(__xludf.DUMMYFUNCTION("""COMPUTED_VALUE"""),1)</f>
        <v>1</v>
      </c>
      <c r="Y67" s="5" t="str">
        <f ca="1">IFERROR(__xludf.DUMMYFUNCTION("""COMPUTED_VALUE"""),"Abilene school bus was shot with a pellet or BB gun resulting in one student on board being hit by some type of projectile and one student cut by glass")</f>
        <v>Abilene school bus was shot with a pellet or BB gun resulting in one student on board being hit by some type of projectile and one student cut by glass</v>
      </c>
      <c r="Z67" s="5" t="str">
        <f ca="1">IFERROR(__xludf.DUMMYFUNCTION("""COMPUTED_VALUE"""),"Abilene school bus was shot with a pellet or BB gun resulting in one student on board being hit by some type of projectile and one student cut by glass")</f>
        <v>Abilene school bus was shot with a pellet or BB gun resulting in one student on board being hit by some type of projectile and one student cut by glass</v>
      </c>
      <c r="AA67" s="5"/>
      <c r="AB67" s="5" t="str">
        <f ca="1">IFERROR(__xludf.DUMMYFUNCTION("""COMPUTED_VALUE"""),"Random Shooting")</f>
        <v>Random Shooting</v>
      </c>
      <c r="AC67" s="5"/>
      <c r="AD67" s="5" t="str">
        <f ca="1">IFERROR(__xludf.DUMMYFUNCTION("""COMPUTED_VALUE"""),"No")</f>
        <v>No</v>
      </c>
      <c r="AE67" s="5" t="str">
        <f ca="1">IFERROR(__xludf.DUMMYFUNCTION("""COMPUTED_VALUE"""),"No")</f>
        <v>No</v>
      </c>
      <c r="AF67" s="5" t="str">
        <f ca="1">IFERROR(__xludf.DUMMYFUNCTION("""COMPUTED_VALUE"""),"No")</f>
        <v>No</v>
      </c>
      <c r="AG67" s="5"/>
      <c r="AH67" s="5" t="str">
        <f ca="1">IFERROR(__xludf.DUMMYFUNCTION("""COMPUTED_VALUE"""),"No")</f>
        <v>No</v>
      </c>
      <c r="AI67" s="5" t="str">
        <f ca="1">IFERROR(__xludf.DUMMYFUNCTION("""COMPUTED_VALUE"""),"No")</f>
        <v>No</v>
      </c>
      <c r="AJ67" s="5" t="str">
        <f ca="1">IFERROR(__xludf.DUMMYFUNCTION("""COMPUTED_VALUE"""),"No")</f>
        <v>No</v>
      </c>
    </row>
    <row r="68" spans="1:36" ht="13">
      <c r="A68" s="5" t="str">
        <f ca="1">IFERROR(__xludf.DUMMYFUNCTION("""COMPUTED_VALUE"""),"20230123IASTD")</f>
        <v>20230123IASTD</v>
      </c>
      <c r="B68" s="5">
        <f ca="1">IFERROR(__xludf.DUMMYFUNCTION("""COMPUTED_VALUE"""),1)</f>
        <v>1</v>
      </c>
      <c r="C68" s="5">
        <f ca="1">IFERROR(__xludf.DUMMYFUNCTION("""COMPUTED_VALUE"""),23)</f>
        <v>23</v>
      </c>
      <c r="D68" s="5">
        <f ca="1">IFERROR(__xludf.DUMMYFUNCTION("""COMPUTED_VALUE"""),2023)</f>
        <v>2023</v>
      </c>
      <c r="E68" s="8">
        <f ca="1">IFERROR(__xludf.DUMMYFUNCTION("""COMPUTED_VALUE"""),44949)</f>
        <v>44949</v>
      </c>
      <c r="F68" s="5" t="str">
        <f ca="1">IFERROR(__xludf.DUMMYFUNCTION("""COMPUTED_VALUE"""),"Starts Right Here Charter School")</f>
        <v>Starts Right Here Charter School</v>
      </c>
      <c r="G68" s="5">
        <f ca="1">IFERROR(__xludf.DUMMYFUNCTION("""COMPUTED_VALUE"""),2)</f>
        <v>2</v>
      </c>
      <c r="H68" s="5">
        <f ca="1">IFERROR(__xludf.DUMMYFUNCTION("""COMPUTED_VALUE"""),1)</f>
        <v>1</v>
      </c>
      <c r="I68" s="5">
        <f ca="1">IFERROR(__xludf.DUMMYFUNCTION("""COMPUTED_VALUE"""),3)</f>
        <v>3</v>
      </c>
      <c r="J68" s="5">
        <f ca="1">IFERROR(__xludf.DUMMYFUNCTION("""COMPUTED_VALUE"""),0)</f>
        <v>0</v>
      </c>
      <c r="K68" s="5" t="str">
        <f ca="1">IFERROR(__xludf.DUMMYFUNCTION("""COMPUTED_VALUE"""),"https://www.cnn.com/2023/01/23/us/des-moines-shooting/index.html
https://sports.yahoo.com/second-suspect-charged-deadly-shooting-195000469.html")</f>
        <v>https://www.cnn.com/2023/01/23/us/des-moines-shooting/index.html
https://sports.yahoo.com/second-suspect-charged-deadly-shooting-195000469.html</v>
      </c>
      <c r="L68" s="5">
        <f ca="1">IFERROR(__xludf.DUMMYFUNCTION("""COMPUTED_VALUE"""),500)</f>
        <v>500</v>
      </c>
      <c r="M68" s="5" t="str">
        <f ca="1">IFERROR(__xludf.DUMMYFUNCTION("""COMPUTED_VALUE"""),"National")</f>
        <v>National</v>
      </c>
      <c r="N68" s="5">
        <f ca="1">IFERROR(__xludf.DUMMYFUNCTION("""COMPUTED_VALUE"""),4)</f>
        <v>4</v>
      </c>
      <c r="O68" s="5" t="str">
        <f ca="1">IFERROR(__xludf.DUMMYFUNCTION("""COMPUTED_VALUE"""),"Winter")</f>
        <v>Winter</v>
      </c>
      <c r="P68" s="5" t="str">
        <f ca="1">IFERROR(__xludf.DUMMYFUNCTION("""COMPUTED_VALUE"""),"Des Moines")</f>
        <v>Des Moines</v>
      </c>
      <c r="Q68" s="5" t="str">
        <f ca="1">IFERROR(__xludf.DUMMYFUNCTION("""COMPUTED_VALUE"""),"IA")</f>
        <v>IA</v>
      </c>
      <c r="R68" s="5" t="str">
        <f ca="1">IFERROR(__xludf.DUMMYFUNCTION("""COMPUTED_VALUE"""),"High")</f>
        <v>High</v>
      </c>
      <c r="S68" s="5" t="str">
        <f ca="1">IFERROR(__xludf.DUMMYFUNCTION("""COMPUTED_VALUE"""),"Hallway")</f>
        <v>Hallway</v>
      </c>
      <c r="T68" s="5" t="str">
        <f ca="1">IFERROR(__xludf.DUMMYFUNCTION("""COMPUTED_VALUE"""),"Inside School Building")</f>
        <v>Inside School Building</v>
      </c>
      <c r="U68" s="5" t="str">
        <f ca="1">IFERROR(__xludf.DUMMYFUNCTION("""COMPUTED_VALUE"""),"Yes")</f>
        <v>Yes</v>
      </c>
      <c r="V68" s="5" t="str">
        <f ca="1">IFERROR(__xludf.DUMMYFUNCTION("""COMPUTED_VALUE"""),"Afternoon Classes")</f>
        <v>Afternoon Classes</v>
      </c>
      <c r="W68" s="10">
        <f ca="1">IFERROR(__xludf.DUMMYFUNCTION("""COMPUTED_VALUE"""),0.536805555555555)</f>
        <v>0.53680555555555498</v>
      </c>
      <c r="X68" s="5">
        <f ca="1">IFERROR(__xludf.DUMMYFUNCTION("""COMPUTED_VALUE"""),1)</f>
        <v>1</v>
      </c>
      <c r="Y68" s="5" t="str">
        <f ca="1">IFERROR(__xludf.DUMMYFUNCTION("""COMPUTED_VALUE"""),"Two students fatally shot and staff member wounded")</f>
        <v>Two students fatally shot and staff member wounded</v>
      </c>
      <c r="Z68" s="5" t="str">
        <f ca="1">IFERROR(__xludf.DUMMYFUNCTION("""COMPUTED_VALUE"""),"Police charged 18-year-old Des Moines resident Preston Walls with two counts of first-degree murder, attempted murder and criminal gang participation. Parizek said in a news release that Walls was allegedly armed with a 9mm handgun with an extended ammuni"&amp;"tion magazine at Starts Right Here. Holmes attempted to escort him out of the building when Walls allegedly started shooting at the teenagers. ""Walls, and both deceased victims, are known gang members, belonging to opposing gangs, and evidence indicates "&amp;"that that these crimes were committed as a result of an ongoing gang dispute,"" Parizek said in the release. He did not elaborate on the evidence that links the shootings to rival gangs.")</f>
        <v>Police charged 18-year-old Des Moines resident Preston Walls with two counts of first-degree murder, attempted murder and criminal gang participation. Parizek said in a news release that Walls was allegedly armed with a 9mm handgun with an extended ammunition magazine at Starts Right Here. Holmes attempted to escort him out of the building when Walls allegedly started shooting at the teenagers. "Walls, and both deceased victims, are known gang members, belonging to opposing gangs, and evidence indicates that that these crimes were committed as a result of an ongoing gang dispute," Parizek said in the release. He did not elaborate on the evidence that links the shootings to rival gangs.</v>
      </c>
      <c r="AA68" s="5" t="str">
        <f ca="1">IFERROR(__xludf.DUMMYFUNCTION("""COMPUTED_VALUE"""),"Escalation of Dispute")</f>
        <v>Escalation of Dispute</v>
      </c>
      <c r="AB68" s="5" t="str">
        <f ca="1">IFERROR(__xludf.DUMMYFUNCTION("""COMPUTED_VALUE"""),"Both")</f>
        <v>Both</v>
      </c>
      <c r="AC68" s="5" t="str">
        <f ca="1">IFERROR(__xludf.DUMMYFUNCTION("""COMPUTED_VALUE"""),"Yes")</f>
        <v>Yes</v>
      </c>
      <c r="AD68" s="5" t="str">
        <f ca="1">IFERROR(__xludf.DUMMYFUNCTION("""COMPUTED_VALUE"""),"No")</f>
        <v>No</v>
      </c>
      <c r="AE68" s="5" t="str">
        <f ca="1">IFERROR(__xludf.DUMMYFUNCTION("""COMPUTED_VALUE"""),"No")</f>
        <v>No</v>
      </c>
      <c r="AF68" s="5" t="str">
        <f ca="1">IFERROR(__xludf.DUMMYFUNCTION("""COMPUTED_VALUE"""),"No")</f>
        <v>No</v>
      </c>
      <c r="AG68" s="5" t="str">
        <f ca="1">IFERROR(__xludf.DUMMYFUNCTION("""COMPUTED_VALUE"""),"No")</f>
        <v>No</v>
      </c>
      <c r="AH68" s="5" t="str">
        <f ca="1">IFERROR(__xludf.DUMMYFUNCTION("""COMPUTED_VALUE"""),"No")</f>
        <v>No</v>
      </c>
      <c r="AI68" s="5" t="str">
        <f ca="1">IFERROR(__xludf.DUMMYFUNCTION("""COMPUTED_VALUE"""),"Yes")</f>
        <v>Yes</v>
      </c>
      <c r="AJ68" s="5" t="str">
        <f ca="1">IFERROR(__xludf.DUMMYFUNCTION("""COMPUTED_VALUE"""),"No")</f>
        <v>No</v>
      </c>
    </row>
    <row r="69" spans="1:36" ht="13">
      <c r="A69" s="5" t="str">
        <f ca="1">IFERROR(__xludf.DUMMYFUNCTION("""COMPUTED_VALUE"""),"20230122WAMOT")</f>
        <v>20230122WAMOT</v>
      </c>
      <c r="B69" s="5">
        <f ca="1">IFERROR(__xludf.DUMMYFUNCTION("""COMPUTED_VALUE"""),1)</f>
        <v>1</v>
      </c>
      <c r="C69" s="5">
        <f ca="1">IFERROR(__xludf.DUMMYFUNCTION("""COMPUTED_VALUE"""),22)</f>
        <v>22</v>
      </c>
      <c r="D69" s="5">
        <f ca="1">IFERROR(__xludf.DUMMYFUNCTION("""COMPUTED_VALUE"""),2023)</f>
        <v>2023</v>
      </c>
      <c r="E69" s="8">
        <f ca="1">IFERROR(__xludf.DUMMYFUNCTION("""COMPUTED_VALUE"""),44948)</f>
        <v>44948</v>
      </c>
      <c r="F69" s="5" t="str">
        <f ca="1">IFERROR(__xludf.DUMMYFUNCTION("""COMPUTED_VALUE"""),"Mount Tahoma High School")</f>
        <v>Mount Tahoma High School</v>
      </c>
      <c r="G69" s="5">
        <f ca="1">IFERROR(__xludf.DUMMYFUNCTION("""COMPUTED_VALUE"""),0)</f>
        <v>0</v>
      </c>
      <c r="H69" s="5">
        <f ca="1">IFERROR(__xludf.DUMMYFUNCTION("""COMPUTED_VALUE"""),2)</f>
        <v>2</v>
      </c>
      <c r="I69" s="5">
        <f ca="1">IFERROR(__xludf.DUMMYFUNCTION("""COMPUTED_VALUE"""),2)</f>
        <v>2</v>
      </c>
      <c r="J69" s="5">
        <f ca="1">IFERROR(__xludf.DUMMYFUNCTION("""COMPUTED_VALUE"""),0)</f>
        <v>0</v>
      </c>
      <c r="K69" s="5" t="str">
        <f ca="1">IFERROR(__xludf.DUMMYFUNCTION("""COMPUTED_VALUE"""),"https://komonews.com/news/local/2-injured-following-tacoma-shooting-at-mt-tahoma-high-school-police-investigate
https://sports.yahoo.com/2-men-hurt-shooting-parking-163444510.html?guccounter=1&amp;guce_referrer=aHR0cHM6Ly93d3cuZ29vZ2xlLmNvbS8&amp;guce_referrer_si"&amp;"g=AQAAABJIcvttMv8xsAuRvsDxvk35jWdjY6pydSEBlBolFEbIzh1dkmrLAxX9HfNybnJR3OW0lC-1BPWz6WzO3b_mG1CxdvT7iB5WrdNqIpVp3sfAUnLgQuIZJ28DaLsqlZr_MlZ7YEXAaBSoCykD4i9KuC0sPwZD4jlwrSXELIDqY4fX")</f>
        <v>https://komonews.com/news/local/2-injured-following-tacoma-shooting-at-mt-tahoma-high-school-police-investigate
https://sports.yahoo.com/2-men-hurt-shooting-parking-163444510.html?guccounter=1&amp;guce_referrer=aHR0cHM6Ly93d3cuZ29vZ2xlLmNvbS8&amp;guce_referrer_sig=AQAAABJIcvttMv8xsAuRvsDxvk35jWdjY6pydSEBlBolFEbIzh1dkmrLAxX9HfNybnJR3OW0lC-1BPWz6WzO3b_mG1CxdvT7iB5WrdNqIpVp3sfAUnLgQuIZJ28DaLsqlZr_MlZ7YEXAaBSoCykD4i9KuC0sPwZD4jlwrSXELIDqY4fX</v>
      </c>
      <c r="L69" s="5">
        <f ca="1">IFERROR(__xludf.DUMMYFUNCTION("""COMPUTED_VALUE"""),5)</f>
        <v>5</v>
      </c>
      <c r="M69" s="5" t="str">
        <f ca="1">IFERROR(__xludf.DUMMYFUNCTION("""COMPUTED_VALUE"""),"National")</f>
        <v>National</v>
      </c>
      <c r="N69" s="5">
        <f ca="1">IFERROR(__xludf.DUMMYFUNCTION("""COMPUTED_VALUE"""),4)</f>
        <v>4</v>
      </c>
      <c r="O69" s="5" t="str">
        <f ca="1">IFERROR(__xludf.DUMMYFUNCTION("""COMPUTED_VALUE"""),"Winter")</f>
        <v>Winter</v>
      </c>
      <c r="P69" s="5" t="str">
        <f ca="1">IFERROR(__xludf.DUMMYFUNCTION("""COMPUTED_VALUE"""),"Tacoma")</f>
        <v>Tacoma</v>
      </c>
      <c r="Q69" s="5" t="str">
        <f ca="1">IFERROR(__xludf.DUMMYFUNCTION("""COMPUTED_VALUE"""),"WA")</f>
        <v>WA</v>
      </c>
      <c r="R69" s="5" t="str">
        <f ca="1">IFERROR(__xludf.DUMMYFUNCTION("""COMPUTED_VALUE"""),"High")</f>
        <v>High</v>
      </c>
      <c r="S69" s="5" t="str">
        <f ca="1">IFERROR(__xludf.DUMMYFUNCTION("""COMPUTED_VALUE"""),"Parking Lot")</f>
        <v>Parking Lot</v>
      </c>
      <c r="T69" s="5" t="str">
        <f ca="1">IFERROR(__xludf.DUMMYFUNCTION("""COMPUTED_VALUE"""),"Outside on School Property")</f>
        <v>Outside on School Property</v>
      </c>
      <c r="U69" s="5" t="str">
        <f ca="1">IFERROR(__xludf.DUMMYFUNCTION("""COMPUTED_VALUE"""),"No")</f>
        <v>No</v>
      </c>
      <c r="V69" s="5" t="str">
        <f ca="1">IFERROR(__xludf.DUMMYFUNCTION("""COMPUTED_VALUE"""),"Night")</f>
        <v>Night</v>
      </c>
      <c r="W69" s="10">
        <f ca="1">IFERROR(__xludf.DUMMYFUNCTION("""COMPUTED_VALUE"""),0.895833333333333)</f>
        <v>0.89583333333333304</v>
      </c>
      <c r="X69" s="5">
        <f ca="1">IFERROR(__xludf.DUMMYFUNCTION("""COMPUTED_VALUE"""),1)</f>
        <v>1</v>
      </c>
      <c r="Y69" s="5" t="str">
        <f ca="1">IFERROR(__xludf.DUMMYFUNCTION("""COMPUTED_VALUE"""),"Two men shot during argument in school parking lot")</f>
        <v>Two men shot during argument in school parking lot</v>
      </c>
      <c r="Z69" s="5" t="str">
        <f ca="1">IFERROR(__xludf.DUMMYFUNCTION("""COMPUTED_VALUE"""),"Two men are being treated for injuries after they were shot in the parking lot of Mount Tahoma High School in Tacoma Sunday night. According to the Lakewood Police Department (LPD), two men with gunshot wounds showed up at St. Clare Hospital in Lakewood a"&amp;"round 9:30 p.m. Sunday. The men told Lakewood police they were in the parking lot of Mount Tahoma High School when they were confronted by two people and shot.")</f>
        <v>Two men are being treated for injuries after they were shot in the parking lot of Mount Tahoma High School in Tacoma Sunday night. According to the Lakewood Police Department (LPD), two men with gunshot wounds showed up at St. Clare Hospital in Lakewood around 9:30 p.m. Sunday. The men told Lakewood police they were in the parking lot of Mount Tahoma High School when they were confronted by two people and shot.</v>
      </c>
      <c r="AA69" s="5" t="str">
        <f ca="1">IFERROR(__xludf.DUMMYFUNCTION("""COMPUTED_VALUE"""),"Escalation of Dispute")</f>
        <v>Escalation of Dispute</v>
      </c>
      <c r="AB69" s="5" t="str">
        <f ca="1">IFERROR(__xludf.DUMMYFUNCTION("""COMPUTED_VALUE"""),"Victims Targeted")</f>
        <v>Victims Targeted</v>
      </c>
      <c r="AC69" s="5"/>
      <c r="AD69" s="5" t="str">
        <f ca="1">IFERROR(__xludf.DUMMYFUNCTION("""COMPUTED_VALUE"""),"No")</f>
        <v>No</v>
      </c>
      <c r="AE69" s="5" t="str">
        <f ca="1">IFERROR(__xludf.DUMMYFUNCTION("""COMPUTED_VALUE"""),"No")</f>
        <v>No</v>
      </c>
      <c r="AF69" s="5" t="str">
        <f ca="1">IFERROR(__xludf.DUMMYFUNCTION("""COMPUTED_VALUE"""),"No")</f>
        <v>No</v>
      </c>
      <c r="AG69" s="5" t="str">
        <f ca="1">IFERROR(__xludf.DUMMYFUNCTION("""COMPUTED_VALUE"""),"No")</f>
        <v>No</v>
      </c>
      <c r="AH69" s="5" t="str">
        <f ca="1">IFERROR(__xludf.DUMMYFUNCTION("""COMPUTED_VALUE"""),"No")</f>
        <v>No</v>
      </c>
      <c r="AI69" s="5"/>
      <c r="AJ69" s="5" t="str">
        <f ca="1">IFERROR(__xludf.DUMMYFUNCTION("""COMPUTED_VALUE"""),"No")</f>
        <v>No</v>
      </c>
    </row>
    <row r="70" spans="1:36" ht="13">
      <c r="A70" s="5" t="str">
        <f ca="1">IFERROR(__xludf.DUMMYFUNCTION("""COMPUTED_VALUE"""),"20230121FLGLB")</f>
        <v>20230121FLGLB</v>
      </c>
      <c r="B70" s="5">
        <f ca="1">IFERROR(__xludf.DUMMYFUNCTION("""COMPUTED_VALUE"""),1)</f>
        <v>1</v>
      </c>
      <c r="C70" s="5">
        <f ca="1">IFERROR(__xludf.DUMMYFUNCTION("""COMPUTED_VALUE"""),21)</f>
        <v>21</v>
      </c>
      <c r="D70" s="5">
        <f ca="1">IFERROR(__xludf.DUMMYFUNCTION("""COMPUTED_VALUE"""),2023)</f>
        <v>2023</v>
      </c>
      <c r="E70" s="8">
        <f ca="1">IFERROR(__xludf.DUMMYFUNCTION("""COMPUTED_VALUE"""),44947)</f>
        <v>44947</v>
      </c>
      <c r="F70" s="5" t="str">
        <f ca="1">IFERROR(__xludf.DUMMYFUNCTION("""COMPUTED_VALUE"""),"Glades Central High School")</f>
        <v>Glades Central High School</v>
      </c>
      <c r="G70" s="5">
        <f ca="1">IFERROR(__xludf.DUMMYFUNCTION("""COMPUTED_VALUE"""),0)</f>
        <v>0</v>
      </c>
      <c r="H70" s="5">
        <f ca="1">IFERROR(__xludf.DUMMYFUNCTION("""COMPUTED_VALUE"""),0)</f>
        <v>0</v>
      </c>
      <c r="I70" s="5">
        <f ca="1">IFERROR(__xludf.DUMMYFUNCTION("""COMPUTED_VALUE"""),0)</f>
        <v>0</v>
      </c>
      <c r="J70" s="5">
        <f ca="1">IFERROR(__xludf.DUMMYFUNCTION("""COMPUTED_VALUE"""),0)</f>
        <v>0</v>
      </c>
      <c r="K70" s="9" t="str">
        <f ca="1">IFERROR(__xludf.DUMMYFUNCTION("""COMPUTED_VALUE"""),"https://cbs12.com/news/local/henry-williams-arrested-bringing-firearm-to-glades-central-high-school-january-21")</f>
        <v>https://cbs12.com/news/local/henry-williams-arrested-bringing-firearm-to-glades-central-high-school-january-21</v>
      </c>
      <c r="L70" s="5">
        <f ca="1">IFERROR(__xludf.DUMMYFUNCTION("""COMPUTED_VALUE"""),1)</f>
        <v>1</v>
      </c>
      <c r="M70" s="5" t="str">
        <f ca="1">IFERROR(__xludf.DUMMYFUNCTION("""COMPUTED_VALUE"""),"Local")</f>
        <v>Local</v>
      </c>
      <c r="N70" s="5">
        <f ca="1">IFERROR(__xludf.DUMMYFUNCTION("""COMPUTED_VALUE"""),2)</f>
        <v>2</v>
      </c>
      <c r="O70" s="5" t="str">
        <f ca="1">IFERROR(__xludf.DUMMYFUNCTION("""COMPUTED_VALUE"""),"Winter")</f>
        <v>Winter</v>
      </c>
      <c r="P70" s="5" t="str">
        <f ca="1">IFERROR(__xludf.DUMMYFUNCTION("""COMPUTED_VALUE"""),"Belle Glade")</f>
        <v>Belle Glade</v>
      </c>
      <c r="Q70" s="5" t="str">
        <f ca="1">IFERROR(__xludf.DUMMYFUNCTION("""COMPUTED_VALUE"""),"FL")</f>
        <v>FL</v>
      </c>
      <c r="R70" s="5" t="str">
        <f ca="1">IFERROR(__xludf.DUMMYFUNCTION("""COMPUTED_VALUE"""),"High")</f>
        <v>High</v>
      </c>
      <c r="S70" s="5" t="str">
        <f ca="1">IFERROR(__xludf.DUMMYFUNCTION("""COMPUTED_VALUE"""),"Outside on School Property")</f>
        <v>Outside on School Property</v>
      </c>
      <c r="T70" s="5" t="str">
        <f ca="1">IFERROR(__xludf.DUMMYFUNCTION("""COMPUTED_VALUE"""),"Outside on School Property")</f>
        <v>Outside on School Property</v>
      </c>
      <c r="U70" s="5"/>
      <c r="V70" s="5"/>
      <c r="W70" s="5"/>
      <c r="X70" s="5">
        <f ca="1">IFERROR(__xludf.DUMMYFUNCTION("""COMPUTED_VALUE"""),1)</f>
        <v>1</v>
      </c>
      <c r="Y70" s="5" t="str">
        <f ca="1">IFERROR(__xludf.DUMMYFUNCTION("""COMPUTED_VALUE"""),"Shots fired outside, man with gun ran into school")</f>
        <v>Shots fired outside, man with gun ran into school</v>
      </c>
      <c r="Z70" s="5" t="str">
        <f ca="1">IFERROR(__xludf.DUMMYFUNCTION("""COMPUTED_VALUE"""),"According to the Palm Beach County Sheriff's Office, on Jan. 21, they received reports of shots fired near Glades Central High School. A PBSO Aviation Unit saw a man running, jump the fence, and enter the high school. Arrested and charged with trespassing"&amp;" on school property with a firearm.")</f>
        <v>According to the Palm Beach County Sheriff's Office, on Jan. 21, they received reports of shots fired near Glades Central High School. A PBSO Aviation Unit saw a man running, jump the fence, and enter the high school. Arrested and charged with trespassing on school property with a firearm.</v>
      </c>
      <c r="AA70" s="5"/>
      <c r="AB70" s="5"/>
      <c r="AC70" s="5" t="str">
        <f ca="1">IFERROR(__xludf.DUMMYFUNCTION("""COMPUTED_VALUE"""),"No")</f>
        <v>No</v>
      </c>
      <c r="AD70" s="5" t="str">
        <f ca="1">IFERROR(__xludf.DUMMYFUNCTION("""COMPUTED_VALUE"""),"No")</f>
        <v>No</v>
      </c>
      <c r="AE70" s="5" t="str">
        <f ca="1">IFERROR(__xludf.DUMMYFUNCTION("""COMPUTED_VALUE"""),"No")</f>
        <v>No</v>
      </c>
      <c r="AF70" s="5" t="str">
        <f ca="1">IFERROR(__xludf.DUMMYFUNCTION("""COMPUTED_VALUE"""),"No")</f>
        <v>No</v>
      </c>
      <c r="AG70" s="5" t="str">
        <f ca="1">IFERROR(__xludf.DUMMYFUNCTION("""COMPUTED_VALUE"""),"No")</f>
        <v>No</v>
      </c>
      <c r="AH70" s="5" t="str">
        <f ca="1">IFERROR(__xludf.DUMMYFUNCTION("""COMPUTED_VALUE"""),"No")</f>
        <v>No</v>
      </c>
      <c r="AI70" s="5"/>
      <c r="AJ70" s="5" t="str">
        <f ca="1">IFERROR(__xludf.DUMMYFUNCTION("""COMPUTED_VALUE"""),"No")</f>
        <v>No</v>
      </c>
    </row>
    <row r="71" spans="1:36" ht="13">
      <c r="A71" s="5" t="str">
        <f ca="1">IFERROR(__xludf.DUMMYFUNCTION("""COMPUTED_VALUE"""),"20230120MNWAS")</f>
        <v>20230120MNWAS</v>
      </c>
      <c r="B71" s="5">
        <f ca="1">IFERROR(__xludf.DUMMYFUNCTION("""COMPUTED_VALUE"""),1)</f>
        <v>1</v>
      </c>
      <c r="C71" s="5">
        <f ca="1">IFERROR(__xludf.DUMMYFUNCTION("""COMPUTED_VALUE"""),20)</f>
        <v>20</v>
      </c>
      <c r="D71" s="5">
        <f ca="1">IFERROR(__xludf.DUMMYFUNCTION("""COMPUTED_VALUE"""),2023)</f>
        <v>2023</v>
      </c>
      <c r="E71" s="8">
        <f ca="1">IFERROR(__xludf.DUMMYFUNCTION("""COMPUTED_VALUE"""),44946)</f>
        <v>44946</v>
      </c>
      <c r="F71" s="5" t="str">
        <f ca="1">IFERROR(__xludf.DUMMYFUNCTION("""COMPUTED_VALUE"""),"Washington Technology Magnet School")</f>
        <v>Washington Technology Magnet School</v>
      </c>
      <c r="G71" s="5">
        <f ca="1">IFERROR(__xludf.DUMMYFUNCTION("""COMPUTED_VALUE"""),0)</f>
        <v>0</v>
      </c>
      <c r="H71" s="5">
        <f ca="1">IFERROR(__xludf.DUMMYFUNCTION("""COMPUTED_VALUE"""),1)</f>
        <v>1</v>
      </c>
      <c r="I71" s="5">
        <f ca="1">IFERROR(__xludf.DUMMYFUNCTION("""COMPUTED_VALUE"""),1)</f>
        <v>1</v>
      </c>
      <c r="J71" s="5">
        <f ca="1">IFERROR(__xludf.DUMMYFUNCTION("""COMPUTED_VALUE"""),0)</f>
        <v>0</v>
      </c>
      <c r="K71" s="5" t="str">
        <f ca="1">IFERROR(__xludf.DUMMYFUNCTION("""COMPUTED_VALUE"""),"https://www.cbsnews.com/minnesota/news/shots-fired-near-st-paul-school-for-second-time-this-week/
https://www.fox9.com/news/shots-fired-near-st-paul-school-sends-building-into-lockdown-friday
https://www.kare11.com/article/news/local/st-paul-magnet-school"&amp;"-lockout-after-reports-of-shots-fired/89-28d54fab-814b-491d-8c08-66591919a62f")</f>
        <v>https://www.cbsnews.com/minnesota/news/shots-fired-near-st-paul-school-for-second-time-this-week/
https://www.fox9.com/news/shots-fired-near-st-paul-school-sends-building-into-lockdown-friday
https://www.kare11.com/article/news/local/st-paul-magnet-school-lockout-after-reports-of-shots-fired/89-28d54fab-814b-491d-8c08-66591919a62f</v>
      </c>
      <c r="L71" s="5">
        <f ca="1">IFERROR(__xludf.DUMMYFUNCTION("""COMPUTED_VALUE"""),3)</f>
        <v>3</v>
      </c>
      <c r="M71" s="5" t="str">
        <f ca="1">IFERROR(__xludf.DUMMYFUNCTION("""COMPUTED_VALUE"""),"Local")</f>
        <v>Local</v>
      </c>
      <c r="N71" s="5">
        <f ca="1">IFERROR(__xludf.DUMMYFUNCTION("""COMPUTED_VALUE"""),4)</f>
        <v>4</v>
      </c>
      <c r="O71" s="5" t="str">
        <f ca="1">IFERROR(__xludf.DUMMYFUNCTION("""COMPUTED_VALUE"""),"Winter")</f>
        <v>Winter</v>
      </c>
      <c r="P71" s="5" t="str">
        <f ca="1">IFERROR(__xludf.DUMMYFUNCTION("""COMPUTED_VALUE"""),"Saint Paul")</f>
        <v>Saint Paul</v>
      </c>
      <c r="Q71" s="5" t="str">
        <f ca="1">IFERROR(__xludf.DUMMYFUNCTION("""COMPUTED_VALUE"""),"MN")</f>
        <v>MN</v>
      </c>
      <c r="R71" s="5" t="str">
        <f ca="1">IFERROR(__xludf.DUMMYFUNCTION("""COMPUTED_VALUE"""),"6-12")</f>
        <v>6-12</v>
      </c>
      <c r="S71" s="5" t="str">
        <f ca="1">IFERROR(__xludf.DUMMYFUNCTION("""COMPUTED_VALUE"""),"Front of School")</f>
        <v>Front of School</v>
      </c>
      <c r="T71" s="5" t="str">
        <f ca="1">IFERROR(__xludf.DUMMYFUNCTION("""COMPUTED_VALUE"""),"Outside on School Property")</f>
        <v>Outside on School Property</v>
      </c>
      <c r="U71" s="5" t="str">
        <f ca="1">IFERROR(__xludf.DUMMYFUNCTION("""COMPUTED_VALUE"""),"Yes")</f>
        <v>Yes</v>
      </c>
      <c r="V71" s="5" t="str">
        <f ca="1">IFERROR(__xludf.DUMMYFUNCTION("""COMPUTED_VALUE"""),"Dismissal")</f>
        <v>Dismissal</v>
      </c>
      <c r="W71" s="10">
        <f ca="1">IFERROR(__xludf.DUMMYFUNCTION("""COMPUTED_VALUE"""),0.638888888888888)</f>
        <v>0.63888888888888795</v>
      </c>
      <c r="X71" s="5">
        <f ca="1">IFERROR(__xludf.DUMMYFUNCTION("""COMPUTED_VALUE"""),1)</f>
        <v>1</v>
      </c>
      <c r="Y71" s="5" t="str">
        <f ca="1">IFERROR(__xludf.DUMMYFUNCTION("""COMPUTED_VALUE"""),"Female staff member shot during fight at dismissal")</f>
        <v>Female staff member shot during fight at dismissal</v>
      </c>
      <c r="Z71" s="5" t="str">
        <f ca="1">IFERROR(__xludf.DUMMYFUNCTION("""COMPUTED_VALUE"""),"A staff member at a St. Paul magnet school was grazed in the ear by a shot fired near school grounds Friday following a dispute between two groups of teens. The St. Paul Police Department says the shots were fired near Washington Technology Magnet School "&amp;"just before 3:30 p.m. following a fight between two groups of teens. Officials say school staff stepped in and made one of the groups leave the property. As the group was leaving the area, shots were fired from the vehicle, grazing one staff member in the"&amp;" ear. The staff member was treated at the scene and released. Police say no arrests have been made.")</f>
        <v>A staff member at a St. Paul magnet school was grazed in the ear by a shot fired near school grounds Friday following a dispute between two groups of teens. The St. Paul Police Department says the shots were fired near Washington Technology Magnet School just before 3:30 p.m. following a fight between two groups of teens. Officials say school staff stepped in and made one of the groups leave the property. As the group was leaving the area, shots were fired from the vehicle, grazing one staff member in the ear. The staff member was treated at the scene and released. Police say no arrests have been made.</v>
      </c>
      <c r="AA71" s="5" t="str">
        <f ca="1">IFERROR(__xludf.DUMMYFUNCTION("""COMPUTED_VALUE"""),"Escalation of Dispute")</f>
        <v>Escalation of Dispute</v>
      </c>
      <c r="AB71" s="5" t="str">
        <f ca="1">IFERROR(__xludf.DUMMYFUNCTION("""COMPUTED_VALUE"""),"Both")</f>
        <v>Both</v>
      </c>
      <c r="AC71" s="5" t="str">
        <f ca="1">IFERROR(__xludf.DUMMYFUNCTION("""COMPUTED_VALUE"""),"Yes")</f>
        <v>Yes</v>
      </c>
      <c r="AD71" s="5" t="str">
        <f ca="1">IFERROR(__xludf.DUMMYFUNCTION("""COMPUTED_VALUE"""),"No")</f>
        <v>No</v>
      </c>
      <c r="AE71" s="5" t="str">
        <f ca="1">IFERROR(__xludf.DUMMYFUNCTION("""COMPUTED_VALUE"""),"No")</f>
        <v>No</v>
      </c>
      <c r="AF71" s="5" t="str">
        <f ca="1">IFERROR(__xludf.DUMMYFUNCTION("""COMPUTED_VALUE"""),"No")</f>
        <v>No</v>
      </c>
      <c r="AG71" s="5"/>
      <c r="AH71" s="5" t="str">
        <f ca="1">IFERROR(__xludf.DUMMYFUNCTION("""COMPUTED_VALUE"""),"No")</f>
        <v>No</v>
      </c>
      <c r="AI71" s="5"/>
      <c r="AJ71" s="5" t="str">
        <f ca="1">IFERROR(__xludf.DUMMYFUNCTION("""COMPUTED_VALUE"""),"No")</f>
        <v>No</v>
      </c>
    </row>
    <row r="72" spans="1:36" ht="13">
      <c r="A72" s="5" t="str">
        <f ca="1">IFERROR(__xludf.DUMMYFUNCTION("""COMPUTED_VALUE"""),"20230119NYEAB")</f>
        <v>20230119NYEAB</v>
      </c>
      <c r="B72" s="5">
        <f ca="1">IFERROR(__xludf.DUMMYFUNCTION("""COMPUTED_VALUE"""),1)</f>
        <v>1</v>
      </c>
      <c r="C72" s="5">
        <f ca="1">IFERROR(__xludf.DUMMYFUNCTION("""COMPUTED_VALUE"""),19)</f>
        <v>19</v>
      </c>
      <c r="D72" s="5">
        <f ca="1">IFERROR(__xludf.DUMMYFUNCTION("""COMPUTED_VALUE"""),2023)</f>
        <v>2023</v>
      </c>
      <c r="E72" s="8">
        <f ca="1">IFERROR(__xludf.DUMMYFUNCTION("""COMPUTED_VALUE"""),44945)</f>
        <v>44945</v>
      </c>
      <c r="F72" s="5" t="str">
        <f ca="1">IFERROR(__xludf.DUMMYFUNCTION("""COMPUTED_VALUE"""),"Eagle Academy Charter")</f>
        <v>Eagle Academy Charter</v>
      </c>
      <c r="G72" s="5">
        <f ca="1">IFERROR(__xludf.DUMMYFUNCTION("""COMPUTED_VALUE"""),0)</f>
        <v>0</v>
      </c>
      <c r="H72" s="5">
        <f ca="1">IFERROR(__xludf.DUMMYFUNCTION("""COMPUTED_VALUE"""),1)</f>
        <v>1</v>
      </c>
      <c r="I72" s="5">
        <f ca="1">IFERROR(__xludf.DUMMYFUNCTION("""COMPUTED_VALUE"""),1)</f>
        <v>1</v>
      </c>
      <c r="J72" s="5">
        <f ca="1">IFERROR(__xludf.DUMMYFUNCTION("""COMPUTED_VALUE"""),0)</f>
        <v>0</v>
      </c>
      <c r="K72" s="9" t="str">
        <f ca="1">IFERROR(__xludf.DUMMYFUNCTION("""COMPUTED_VALUE"""),"https://bronx.news12.com/teen-shot-another-arrested-in-shooting-outside-eagle-academy
https://pix11.com/news/local-news/brooklyn/teen-shot-after-leaving-basketball-game-at-brooklyn-school-police-say/")</f>
        <v>https://bronx.news12.com/teen-shot-another-arrested-in-shooting-outside-eagle-academy
https://pix11.com/news/local-news/brooklyn/teen-shot-after-leaving-basketball-game-at-brooklyn-school-police-say/</v>
      </c>
      <c r="L72" s="5">
        <f ca="1">IFERROR(__xludf.DUMMYFUNCTION("""COMPUTED_VALUE"""),3)</f>
        <v>3</v>
      </c>
      <c r="M72" s="5" t="str">
        <f ca="1">IFERROR(__xludf.DUMMYFUNCTION("""COMPUTED_VALUE"""),"Local")</f>
        <v>Local</v>
      </c>
      <c r="N72" s="5">
        <f ca="1">IFERROR(__xludf.DUMMYFUNCTION("""COMPUTED_VALUE"""),4)</f>
        <v>4</v>
      </c>
      <c r="O72" s="5" t="str">
        <f ca="1">IFERROR(__xludf.DUMMYFUNCTION("""COMPUTED_VALUE"""),"Winter")</f>
        <v>Winter</v>
      </c>
      <c r="P72" s="5" t="str">
        <f ca="1">IFERROR(__xludf.DUMMYFUNCTION("""COMPUTED_VALUE"""),"Brooklyn")</f>
        <v>Brooklyn</v>
      </c>
      <c r="Q72" s="5" t="str">
        <f ca="1">IFERROR(__xludf.DUMMYFUNCTION("""COMPUTED_VALUE"""),"NY")</f>
        <v>NY</v>
      </c>
      <c r="R72" s="5" t="str">
        <f ca="1">IFERROR(__xludf.DUMMYFUNCTION("""COMPUTED_VALUE"""),"High")</f>
        <v>High</v>
      </c>
      <c r="S72" s="5" t="str">
        <f ca="1">IFERROR(__xludf.DUMMYFUNCTION("""COMPUTED_VALUE"""),"Front of School")</f>
        <v>Front of School</v>
      </c>
      <c r="T72" s="5" t="str">
        <f ca="1">IFERROR(__xludf.DUMMYFUNCTION("""COMPUTED_VALUE"""),"Outside on School Property")</f>
        <v>Outside on School Property</v>
      </c>
      <c r="U72" s="5" t="str">
        <f ca="1">IFERROR(__xludf.DUMMYFUNCTION("""COMPUTED_VALUE"""),"No")</f>
        <v>No</v>
      </c>
      <c r="V72" s="5" t="str">
        <f ca="1">IFERROR(__xludf.DUMMYFUNCTION("""COMPUTED_VALUE"""),"Sport Event")</f>
        <v>Sport Event</v>
      </c>
      <c r="W72" s="10">
        <f ca="1">IFERROR(__xludf.DUMMYFUNCTION("""COMPUTED_VALUE"""),0.868055555555555)</f>
        <v>0.86805555555555503</v>
      </c>
      <c r="X72" s="5">
        <f ca="1">IFERROR(__xludf.DUMMYFUNCTION("""COMPUTED_VALUE"""),1)</f>
        <v>1</v>
      </c>
      <c r="Y72" s="5" t="str">
        <f ca="1">IFERROR(__xludf.DUMMYFUNCTION("""COMPUTED_VALUE"""),"Student shot leaving basketball game")</f>
        <v>Student shot leaving basketball game</v>
      </c>
      <c r="Z72" s="5" t="str">
        <f ca="1">IFERROR(__xludf.DUMMYFUNCTION("""COMPUTED_VALUE"""),"15-year-old student was shot by a 17-year-old during a dispute leaving the high school basketball game. Shooter was taken into custody at the scene.")</f>
        <v>15-year-old student was shot by a 17-year-old during a dispute leaving the high school basketball game. Shooter was taken into custody at the scene.</v>
      </c>
      <c r="AA72" s="5" t="str">
        <f ca="1">IFERROR(__xludf.DUMMYFUNCTION("""COMPUTED_VALUE"""),"Escalation of Dispute")</f>
        <v>Escalation of Dispute</v>
      </c>
      <c r="AB72" s="5" t="str">
        <f ca="1">IFERROR(__xludf.DUMMYFUNCTION("""COMPUTED_VALUE"""),"Victims Targeted")</f>
        <v>Victims Targeted</v>
      </c>
      <c r="AC72" s="5" t="str">
        <f ca="1">IFERROR(__xludf.DUMMYFUNCTION("""COMPUTED_VALUE"""),"No")</f>
        <v>No</v>
      </c>
      <c r="AD72" s="5" t="str">
        <f ca="1">IFERROR(__xludf.DUMMYFUNCTION("""COMPUTED_VALUE"""),"No")</f>
        <v>No</v>
      </c>
      <c r="AE72" s="5" t="str">
        <f ca="1">IFERROR(__xludf.DUMMYFUNCTION("""COMPUTED_VALUE"""),"No")</f>
        <v>No</v>
      </c>
      <c r="AF72" s="5" t="str">
        <f ca="1">IFERROR(__xludf.DUMMYFUNCTION("""COMPUTED_VALUE"""),"No")</f>
        <v>No</v>
      </c>
      <c r="AG72" s="5"/>
      <c r="AH72" s="5" t="str">
        <f ca="1">IFERROR(__xludf.DUMMYFUNCTION("""COMPUTED_VALUE"""),"No")</f>
        <v>No</v>
      </c>
      <c r="AI72" s="5"/>
      <c r="AJ72" s="5" t="str">
        <f ca="1">IFERROR(__xludf.DUMMYFUNCTION("""COMPUTED_VALUE"""),"No")</f>
        <v>No</v>
      </c>
    </row>
    <row r="73" spans="1:36" ht="13">
      <c r="A73" s="5" t="str">
        <f ca="1">IFERROR(__xludf.DUMMYFUNCTION("""COMPUTED_VALUE"""),"20230118NYCAQ")</f>
        <v>20230118NYCAQ</v>
      </c>
      <c r="B73" s="5">
        <f ca="1">IFERROR(__xludf.DUMMYFUNCTION("""COMPUTED_VALUE"""),1)</f>
        <v>1</v>
      </c>
      <c r="C73" s="5">
        <f ca="1">IFERROR(__xludf.DUMMYFUNCTION("""COMPUTED_VALUE"""),18)</f>
        <v>18</v>
      </c>
      <c r="D73" s="5">
        <f ca="1">IFERROR(__xludf.DUMMYFUNCTION("""COMPUTED_VALUE"""),2023)</f>
        <v>2023</v>
      </c>
      <c r="E73" s="8">
        <f ca="1">IFERROR(__xludf.DUMMYFUNCTION("""COMPUTED_VALUE"""),44944)</f>
        <v>44944</v>
      </c>
      <c r="F73" s="5" t="str">
        <f ca="1">IFERROR(__xludf.DUMMYFUNCTION("""COMPUTED_VALUE"""),"Q492 Campus Magnet High School")</f>
        <v>Q492 Campus Magnet High School</v>
      </c>
      <c r="G73" s="5">
        <f ca="1">IFERROR(__xludf.DUMMYFUNCTION("""COMPUTED_VALUE"""),0)</f>
        <v>0</v>
      </c>
      <c r="H73" s="5">
        <f ca="1">IFERROR(__xludf.DUMMYFUNCTION("""COMPUTED_VALUE"""),2)</f>
        <v>2</v>
      </c>
      <c r="I73" s="5">
        <f ca="1">IFERROR(__xludf.DUMMYFUNCTION("""COMPUTED_VALUE"""),2)</f>
        <v>2</v>
      </c>
      <c r="J73" s="5">
        <f ca="1">IFERROR(__xludf.DUMMYFUNCTION("""COMPUTED_VALUE"""),0)</f>
        <v>0</v>
      </c>
      <c r="K73" s="9" t="str">
        <f ca="1">IFERROR(__xludf.DUMMYFUNCTION("""COMPUTED_VALUE"""),"https://pix11.com/news/local-news/queens/boy-13-arrested-in-shooting-of-2-other-teens-outside-queens-school-police/")</f>
        <v>https://pix11.com/news/local-news/queens/boy-13-arrested-in-shooting-of-2-other-teens-outside-queens-school-police/</v>
      </c>
      <c r="L73" s="5">
        <f ca="1">IFERROR(__xludf.DUMMYFUNCTION("""COMPUTED_VALUE"""),10)</f>
        <v>10</v>
      </c>
      <c r="M73" s="5" t="str">
        <f ca="1">IFERROR(__xludf.DUMMYFUNCTION("""COMPUTED_VALUE"""),"Regional")</f>
        <v>Regional</v>
      </c>
      <c r="N73" s="5">
        <f ca="1">IFERROR(__xludf.DUMMYFUNCTION("""COMPUTED_VALUE"""),4)</f>
        <v>4</v>
      </c>
      <c r="O73" s="5" t="str">
        <f ca="1">IFERROR(__xludf.DUMMYFUNCTION("""COMPUTED_VALUE"""),"Winter")</f>
        <v>Winter</v>
      </c>
      <c r="P73" s="5" t="str">
        <f ca="1">IFERROR(__xludf.DUMMYFUNCTION("""COMPUTED_VALUE"""),"Queens")</f>
        <v>Queens</v>
      </c>
      <c r="Q73" s="5" t="str">
        <f ca="1">IFERROR(__xludf.DUMMYFUNCTION("""COMPUTED_VALUE"""),"NY")</f>
        <v>NY</v>
      </c>
      <c r="R73" s="5" t="str">
        <f ca="1">IFERROR(__xludf.DUMMYFUNCTION("""COMPUTED_VALUE"""),"High")</f>
        <v>High</v>
      </c>
      <c r="S73" s="5" t="str">
        <f ca="1">IFERROR(__xludf.DUMMYFUNCTION("""COMPUTED_VALUE"""),"Front of School")</f>
        <v>Front of School</v>
      </c>
      <c r="T73" s="5" t="str">
        <f ca="1">IFERROR(__xludf.DUMMYFUNCTION("""COMPUTED_VALUE"""),"Outside on School Property")</f>
        <v>Outside on School Property</v>
      </c>
      <c r="U73" s="5" t="str">
        <f ca="1">IFERROR(__xludf.DUMMYFUNCTION("""COMPUTED_VALUE"""),"Yes")</f>
        <v>Yes</v>
      </c>
      <c r="V73" s="5" t="str">
        <f ca="1">IFERROR(__xludf.DUMMYFUNCTION("""COMPUTED_VALUE"""),"Dismissal")</f>
        <v>Dismissal</v>
      </c>
      <c r="W73" s="10">
        <f ca="1">IFERROR(__xludf.DUMMYFUNCTION("""COMPUTED_VALUE"""),0.701388888888888)</f>
        <v>0.70138888888888795</v>
      </c>
      <c r="X73" s="5">
        <f ca="1">IFERROR(__xludf.DUMMYFUNCTION("""COMPUTED_VALUE"""),1)</f>
        <v>1</v>
      </c>
      <c r="Y73" s="5" t="str">
        <f ca="1">IFERROR(__xludf.DUMMYFUNCTION("""COMPUTED_VALUE"""),"Teen shot two students during fight at dismissal")</f>
        <v>Teen shot two students during fight at dismissal</v>
      </c>
      <c r="Z73" s="5" t="str">
        <f ca="1">IFERROR(__xludf.DUMMYFUNCTION("""COMPUTED_VALUE"""),"Two teenagers were shot during a large fight near a Queens high school Wednesday — and a 13-year-old boy was taken into custody after the mayhem, police and sources said. A 16-year-old girl was shot in the ankle and a 14-year-old boy suffered a gunshot wo"&amp;"und to the leg around 4:50 p.m. outside of Campus Magnet High School in Cambria Heights, where they are both students , according to police and sources. Sources said police saw the 13-year-old drop a gun as he tried to run away from the scene. The weapon "&amp;"was recovered by cops and the boy was taken into custody for questioning, police and sources said.")</f>
        <v>Two teenagers were shot during a large fight near a Queens high school Wednesday — and a 13-year-old boy was taken into custody after the mayhem, police and sources said. A 16-year-old girl was shot in the ankle and a 14-year-old boy suffered a gunshot wound to the leg around 4:50 p.m. outside of Campus Magnet High School in Cambria Heights, where they are both students , according to police and sources. Sources said police saw the 13-year-old drop a gun as he tried to run away from the scene. The weapon was recovered by cops and the boy was taken into custody for questioning, police and sources said.</v>
      </c>
      <c r="AA73" s="5" t="str">
        <f ca="1">IFERROR(__xludf.DUMMYFUNCTION("""COMPUTED_VALUE"""),"Escalation of Dispute")</f>
        <v>Escalation of Dispute</v>
      </c>
      <c r="AB73" s="5" t="str">
        <f ca="1">IFERROR(__xludf.DUMMYFUNCTION("""COMPUTED_VALUE"""),"Both")</f>
        <v>Both</v>
      </c>
      <c r="AC73" s="5"/>
      <c r="AD73" s="5" t="str">
        <f ca="1">IFERROR(__xludf.DUMMYFUNCTION("""COMPUTED_VALUE"""),"No")</f>
        <v>No</v>
      </c>
      <c r="AE73" s="5" t="str">
        <f ca="1">IFERROR(__xludf.DUMMYFUNCTION("""COMPUTED_VALUE"""),"No")</f>
        <v>No</v>
      </c>
      <c r="AF73" s="5" t="str">
        <f ca="1">IFERROR(__xludf.DUMMYFUNCTION("""COMPUTED_VALUE"""),"No")</f>
        <v>No</v>
      </c>
      <c r="AG73" s="5" t="str">
        <f ca="1">IFERROR(__xludf.DUMMYFUNCTION("""COMPUTED_VALUE"""),"No")</f>
        <v>No</v>
      </c>
      <c r="AH73" s="5" t="str">
        <f ca="1">IFERROR(__xludf.DUMMYFUNCTION("""COMPUTED_VALUE"""),"No")</f>
        <v>No</v>
      </c>
      <c r="AI73" s="5"/>
      <c r="AJ73" s="5" t="str">
        <f ca="1">IFERROR(__xludf.DUMMYFUNCTION("""COMPUTED_VALUE"""),"No")</f>
        <v>No</v>
      </c>
    </row>
    <row r="74" spans="1:36" ht="13">
      <c r="A74" s="5" t="str">
        <f ca="1">IFERROR(__xludf.DUMMYFUNCTION("""COMPUTED_VALUE"""),"20230118OKDED")</f>
        <v>20230118OKDED</v>
      </c>
      <c r="B74" s="5">
        <f ca="1">IFERROR(__xludf.DUMMYFUNCTION("""COMPUTED_VALUE"""),1)</f>
        <v>1</v>
      </c>
      <c r="C74" s="5">
        <f ca="1">IFERROR(__xludf.DUMMYFUNCTION("""COMPUTED_VALUE"""),18)</f>
        <v>18</v>
      </c>
      <c r="D74" s="5">
        <f ca="1">IFERROR(__xludf.DUMMYFUNCTION("""COMPUTED_VALUE"""),2023)</f>
        <v>2023</v>
      </c>
      <c r="E74" s="8">
        <f ca="1">IFERROR(__xludf.DUMMYFUNCTION("""COMPUTED_VALUE"""),44944)</f>
        <v>44944</v>
      </c>
      <c r="F74" s="5" t="str">
        <f ca="1">IFERROR(__xludf.DUMMYFUNCTION("""COMPUTED_VALUE"""),"Del City High School")</f>
        <v>Del City High School</v>
      </c>
      <c r="G74" s="5">
        <f ca="1">IFERROR(__xludf.DUMMYFUNCTION("""COMPUTED_VALUE"""),0)</f>
        <v>0</v>
      </c>
      <c r="H74" s="5">
        <f ca="1">IFERROR(__xludf.DUMMYFUNCTION("""COMPUTED_VALUE"""),1)</f>
        <v>1</v>
      </c>
      <c r="I74" s="5">
        <f ca="1">IFERROR(__xludf.DUMMYFUNCTION("""COMPUTED_VALUE"""),1)</f>
        <v>1</v>
      </c>
      <c r="J74" s="5">
        <f ca="1">IFERROR(__xludf.DUMMYFUNCTION("""COMPUTED_VALUE"""),0)</f>
        <v>0</v>
      </c>
      <c r="K74" s="9" t="str">
        <f ca="1">IFERROR(__xludf.DUMMYFUNCTION("""COMPUTED_VALUE"""),"https://okcfox.com/news/local/arrest-made-in-del-city-high-school-basketball-game-shooting-mid-del-schools-del-city-police-oklahoma-city-oklahoma-county-detention-center-gunshots-fired-at-high-school-basketball-game")</f>
        <v>https://okcfox.com/news/local/arrest-made-in-del-city-high-school-basketball-game-shooting-mid-del-schools-del-city-police-oklahoma-city-oklahoma-county-detention-center-gunshots-fired-at-high-school-basketball-game</v>
      </c>
      <c r="L74" s="5">
        <f ca="1">IFERROR(__xludf.DUMMYFUNCTION("""COMPUTED_VALUE"""),10)</f>
        <v>10</v>
      </c>
      <c r="M74" s="5" t="str">
        <f ca="1">IFERROR(__xludf.DUMMYFUNCTION("""COMPUTED_VALUE"""),"National")</f>
        <v>National</v>
      </c>
      <c r="N74" s="5">
        <f ca="1">IFERROR(__xludf.DUMMYFUNCTION("""COMPUTED_VALUE"""),4)</f>
        <v>4</v>
      </c>
      <c r="O74" s="5" t="str">
        <f ca="1">IFERROR(__xludf.DUMMYFUNCTION("""COMPUTED_VALUE"""),"Winter")</f>
        <v>Winter</v>
      </c>
      <c r="P74" s="5" t="str">
        <f ca="1">IFERROR(__xludf.DUMMYFUNCTION("""COMPUTED_VALUE"""),"Del City")</f>
        <v>Del City</v>
      </c>
      <c r="Q74" s="5" t="str">
        <f ca="1">IFERROR(__xludf.DUMMYFUNCTION("""COMPUTED_VALUE"""),"OK")</f>
        <v>OK</v>
      </c>
      <c r="R74" s="5" t="str">
        <f ca="1">IFERROR(__xludf.DUMMYFUNCTION("""COMPUTED_VALUE"""),"High")</f>
        <v>High</v>
      </c>
      <c r="S74" s="5" t="str">
        <f ca="1">IFERROR(__xludf.DUMMYFUNCTION("""COMPUTED_VALUE"""),"Gym")</f>
        <v>Gym</v>
      </c>
      <c r="T74" s="5" t="str">
        <f ca="1">IFERROR(__xludf.DUMMYFUNCTION("""COMPUTED_VALUE"""),"Inside School Building")</f>
        <v>Inside School Building</v>
      </c>
      <c r="U74" s="5" t="str">
        <f ca="1">IFERROR(__xludf.DUMMYFUNCTION("""COMPUTED_VALUE"""),"No")</f>
        <v>No</v>
      </c>
      <c r="V74" s="5" t="str">
        <f ca="1">IFERROR(__xludf.DUMMYFUNCTION("""COMPUTED_VALUE"""),"Sport Event")</f>
        <v>Sport Event</v>
      </c>
      <c r="W74" s="10">
        <f ca="1">IFERROR(__xludf.DUMMYFUNCTION("""COMPUTED_VALUE"""),0.8125)</f>
        <v>0.8125</v>
      </c>
      <c r="X74" s="5">
        <f ca="1">IFERROR(__xludf.DUMMYFUNCTION("""COMPUTED_VALUE"""),1)</f>
        <v>1</v>
      </c>
      <c r="Y74" s="5" t="str">
        <f ca="1">IFERROR(__xludf.DUMMYFUNCTION("""COMPUTED_VALUE"""),"Shots fired in gym during basketball game")</f>
        <v>Shots fired in gym during basketball game</v>
      </c>
      <c r="Z74" s="5" t="str">
        <f ca="1">IFERROR(__xludf.DUMMYFUNCTION("""COMPUTED_VALUE"""),"Multiple shots fired inside the gym at the end of a varsity basketball game. One injured. Shooter fled and was arrested. Hundreds of people were inside the gym when shots were fired.")</f>
        <v>Multiple shots fired inside the gym at the end of a varsity basketball game. One injured. Shooter fled and was arrested. Hundreds of people were inside the gym when shots were fired.</v>
      </c>
      <c r="AA74" s="5"/>
      <c r="AB74" s="5"/>
      <c r="AC74" s="5"/>
      <c r="AD74" s="5" t="str">
        <f ca="1">IFERROR(__xludf.DUMMYFUNCTION("""COMPUTED_VALUE"""),"No")</f>
        <v>No</v>
      </c>
      <c r="AE74" s="5" t="str">
        <f ca="1">IFERROR(__xludf.DUMMYFUNCTION("""COMPUTED_VALUE"""),"No")</f>
        <v>No</v>
      </c>
      <c r="AF74" s="5" t="str">
        <f ca="1">IFERROR(__xludf.DUMMYFUNCTION("""COMPUTED_VALUE"""),"No")</f>
        <v>No</v>
      </c>
      <c r="AG74" s="5" t="str">
        <f ca="1">IFERROR(__xludf.DUMMYFUNCTION("""COMPUTED_VALUE"""),"No")</f>
        <v>No</v>
      </c>
      <c r="AH74" s="5" t="str">
        <f ca="1">IFERROR(__xludf.DUMMYFUNCTION("""COMPUTED_VALUE"""),"No")</f>
        <v>No</v>
      </c>
      <c r="AI74" s="5"/>
      <c r="AJ74" s="5" t="str">
        <f ca="1">IFERROR(__xludf.DUMMYFUNCTION("""COMPUTED_VALUE"""),"No")</f>
        <v>No</v>
      </c>
    </row>
    <row r="75" spans="1:36" ht="13">
      <c r="A75" s="5" t="str">
        <f ca="1">IFERROR(__xludf.DUMMYFUNCTION("""COMPUTED_VALUE"""),"20230117FLMAB")</f>
        <v>20230117FLMAB</v>
      </c>
      <c r="B75" s="5">
        <f ca="1">IFERROR(__xludf.DUMMYFUNCTION("""COMPUTED_VALUE"""),1)</f>
        <v>1</v>
      </c>
      <c r="C75" s="5">
        <f ca="1">IFERROR(__xludf.DUMMYFUNCTION("""COMPUTED_VALUE"""),17)</f>
        <v>17</v>
      </c>
      <c r="D75" s="5">
        <f ca="1">IFERROR(__xludf.DUMMYFUNCTION("""COMPUTED_VALUE"""),2023)</f>
        <v>2023</v>
      </c>
      <c r="E75" s="8">
        <f ca="1">IFERROR(__xludf.DUMMYFUNCTION("""COMPUTED_VALUE"""),44943)</f>
        <v>44943</v>
      </c>
      <c r="F75" s="5" t="str">
        <f ca="1">IFERROR(__xludf.DUMMYFUNCTION("""COMPUTED_VALUE"""),"Mantatee County School Bus")</f>
        <v>Mantatee County School Bus</v>
      </c>
      <c r="G75" s="5">
        <f ca="1">IFERROR(__xludf.DUMMYFUNCTION("""COMPUTED_VALUE"""),0)</f>
        <v>0</v>
      </c>
      <c r="H75" s="5">
        <f ca="1">IFERROR(__xludf.DUMMYFUNCTION("""COMPUTED_VALUE"""),0)</f>
        <v>0</v>
      </c>
      <c r="I75" s="5">
        <f ca="1">IFERROR(__xludf.DUMMYFUNCTION("""COMPUTED_VALUE"""),0)</f>
        <v>0</v>
      </c>
      <c r="J75" s="5">
        <f ca="1">IFERROR(__xludf.DUMMYFUNCTION("""COMPUTED_VALUE"""),0)</f>
        <v>0</v>
      </c>
      <c r="K75" s="9" t="str">
        <f ca="1">IFERROR(__xludf.DUMMYFUNCTION("""COMPUTED_VALUE"""),"https://www.wtsp.com/article/news/local/manateecounty/manatee-county-school-buses-shot-bb-guns/67-a515a957-59ce-4552-9cb7-3897ddd4f919")</f>
        <v>https://www.wtsp.com/article/news/local/manateecounty/manatee-county-school-buses-shot-bb-guns/67-a515a957-59ce-4552-9cb7-3897ddd4f919</v>
      </c>
      <c r="L75" s="5">
        <f ca="1">IFERROR(__xludf.DUMMYFUNCTION("""COMPUTED_VALUE"""),10)</f>
        <v>10</v>
      </c>
      <c r="M75" s="5" t="str">
        <f ca="1">IFERROR(__xludf.DUMMYFUNCTION("""COMPUTED_VALUE"""),"Regional")</f>
        <v>Regional</v>
      </c>
      <c r="N75" s="5">
        <f ca="1">IFERROR(__xludf.DUMMYFUNCTION("""COMPUTED_VALUE"""),4)</f>
        <v>4</v>
      </c>
      <c r="O75" s="5" t="str">
        <f ca="1">IFERROR(__xludf.DUMMYFUNCTION("""COMPUTED_VALUE"""),"Winter")</f>
        <v>Winter</v>
      </c>
      <c r="P75" s="5" t="str">
        <f ca="1">IFERROR(__xludf.DUMMYFUNCTION("""COMPUTED_VALUE"""),"Bradenton")</f>
        <v>Bradenton</v>
      </c>
      <c r="Q75" s="5" t="str">
        <f ca="1">IFERROR(__xludf.DUMMYFUNCTION("""COMPUTED_VALUE"""),"FL")</f>
        <v>FL</v>
      </c>
      <c r="R75" s="5" t="str">
        <f ca="1">IFERROR(__xludf.DUMMYFUNCTION("""COMPUTED_VALUE"""),"Other")</f>
        <v>Other</v>
      </c>
      <c r="S75" s="5" t="str">
        <f ca="1">IFERROR(__xludf.DUMMYFUNCTION("""COMPUTED_VALUE"""),"School Bus")</f>
        <v>School Bus</v>
      </c>
      <c r="T75" s="5" t="str">
        <f ca="1">IFERROR(__xludf.DUMMYFUNCTION("""COMPUTED_VALUE"""),"School Bus")</f>
        <v>School Bus</v>
      </c>
      <c r="U75" s="5" t="str">
        <f ca="1">IFERROR(__xludf.DUMMYFUNCTION("""COMPUTED_VALUE"""),"Yes")</f>
        <v>Yes</v>
      </c>
      <c r="V75" s="5" t="str">
        <f ca="1">IFERROR(__xludf.DUMMYFUNCTION("""COMPUTED_VALUE"""),"Afternoon Classes")</f>
        <v>Afternoon Classes</v>
      </c>
      <c r="W75" s="10">
        <f ca="1">IFERROR(__xludf.DUMMYFUNCTION("""COMPUTED_VALUE"""),0.552083333333333)</f>
        <v>0.55208333333333304</v>
      </c>
      <c r="X75" s="5">
        <f ca="1">IFERROR(__xludf.DUMMYFUNCTION("""COMPUTED_VALUE"""),1)</f>
        <v>1</v>
      </c>
      <c r="Y75" s="5" t="str">
        <f ca="1">IFERROR(__xludf.DUMMYFUNCTION("""COMPUTED_VALUE"""),"Two minors shot moving school buses with BB guns")</f>
        <v>Two minors shot moving school buses with BB guns</v>
      </c>
      <c r="Z75" s="5" t="str">
        <f ca="1">IFERROR(__xludf.DUMMYFUNCTION("""COMPUTED_VALUE"""),"Two minors are in custody after Bradenton police said two school buses in Manatee County were shot at with what appeared to be BB gun pellets on Tuesday. In an update Wednesday, police said an 11-year-old and 17-year-old would be charged with second-degre"&amp;"e felonies in connection to the shooting. The shooting happened Tuesday as a bus traveling on 9th Avenue East near 27th Street East was hit twice on its right side at around 1:15 p.m. Both shots penetrated the bus's windows, the Bradenton Police Departmen"&amp;"t said in a news release. A separate BB gun shooting happened just before 4:40 p.m. near the same area but to a second bus. Police were also able to recover two rifle-style BB guns and a pistol-style BB gun used in the shooting after locating the two mino"&amp;"rs, the department said.")</f>
        <v>Two minors are in custody after Bradenton police said two school buses in Manatee County were shot at with what appeared to be BB gun pellets on Tuesday. In an update Wednesday, police said an 11-year-old and 17-year-old would be charged with second-degree felonies in connection to the shooting. The shooting happened Tuesday as a bus traveling on 9th Avenue East near 27th Street East was hit twice on its right side at around 1:15 p.m. Both shots penetrated the bus's windows, the Bradenton Police Department said in a news release. A separate BB gun shooting happened just before 4:40 p.m. near the same area but to a second bus. Police were also able to recover two rifle-style BB guns and a pistol-style BB gun used in the shooting after locating the two minors, the department said.</v>
      </c>
      <c r="AA75" s="5" t="str">
        <f ca="1">IFERROR(__xludf.DUMMYFUNCTION("""COMPUTED_VALUE"""),"Intentional Property Damage")</f>
        <v>Intentional Property Damage</v>
      </c>
      <c r="AB75" s="5" t="str">
        <f ca="1">IFERROR(__xludf.DUMMYFUNCTION("""COMPUTED_VALUE"""),"Neither")</f>
        <v>Neither</v>
      </c>
      <c r="AC75" s="5" t="str">
        <f ca="1">IFERROR(__xludf.DUMMYFUNCTION("""COMPUTED_VALUE"""),"Yes")</f>
        <v>Yes</v>
      </c>
      <c r="AD75" s="5" t="str">
        <f ca="1">IFERROR(__xludf.DUMMYFUNCTION("""COMPUTED_VALUE"""),"No")</f>
        <v>No</v>
      </c>
      <c r="AE75" s="5" t="str">
        <f ca="1">IFERROR(__xludf.DUMMYFUNCTION("""COMPUTED_VALUE"""),"No")</f>
        <v>No</v>
      </c>
      <c r="AF75" s="5" t="str">
        <f ca="1">IFERROR(__xludf.DUMMYFUNCTION("""COMPUTED_VALUE"""),"No")</f>
        <v>No</v>
      </c>
      <c r="AG75" s="5" t="str">
        <f ca="1">IFERROR(__xludf.DUMMYFUNCTION("""COMPUTED_VALUE"""),"No")</f>
        <v>No</v>
      </c>
      <c r="AH75" s="5" t="str">
        <f ca="1">IFERROR(__xludf.DUMMYFUNCTION("""COMPUTED_VALUE"""),"No")</f>
        <v>No</v>
      </c>
      <c r="AI75" s="5" t="str">
        <f ca="1">IFERROR(__xludf.DUMMYFUNCTION("""COMPUTED_VALUE"""),"No")</f>
        <v>No</v>
      </c>
      <c r="AJ75" s="5" t="str">
        <f ca="1">IFERROR(__xludf.DUMMYFUNCTION("""COMPUTED_VALUE"""),"No")</f>
        <v>No</v>
      </c>
    </row>
    <row r="76" spans="1:36" ht="13">
      <c r="A76" s="5" t="str">
        <f ca="1">IFERROR(__xludf.DUMMYFUNCTION("""COMPUTED_VALUE"""),"20230111VTSPV")</f>
        <v>20230111VTSPV</v>
      </c>
      <c r="B76" s="5">
        <f ca="1">IFERROR(__xludf.DUMMYFUNCTION("""COMPUTED_VALUE"""),1)</f>
        <v>1</v>
      </c>
      <c r="C76" s="5">
        <f ca="1">IFERROR(__xludf.DUMMYFUNCTION("""COMPUTED_VALUE"""),11)</f>
        <v>11</v>
      </c>
      <c r="D76" s="5">
        <f ca="1">IFERROR(__xludf.DUMMYFUNCTION("""COMPUTED_VALUE"""),2023)</f>
        <v>2023</v>
      </c>
      <c r="E76" s="8">
        <f ca="1">IFERROR(__xludf.DUMMYFUNCTION("""COMPUTED_VALUE"""),44937)</f>
        <v>44937</v>
      </c>
      <c r="F76" s="5" t="str">
        <f ca="1">IFERROR(__xludf.DUMMYFUNCTION("""COMPUTED_VALUE"""),"Spaulding High School")</f>
        <v>Spaulding High School</v>
      </c>
      <c r="G76" s="5">
        <f ca="1">IFERROR(__xludf.DUMMYFUNCTION("""COMPUTED_VALUE"""),0)</f>
        <v>0</v>
      </c>
      <c r="H76" s="5">
        <f ca="1">IFERROR(__xludf.DUMMYFUNCTION("""COMPUTED_VALUE"""),1)</f>
        <v>1</v>
      </c>
      <c r="I76" s="5">
        <f ca="1">IFERROR(__xludf.DUMMYFUNCTION("""COMPUTED_VALUE"""),1)</f>
        <v>1</v>
      </c>
      <c r="J76" s="5">
        <f ca="1">IFERROR(__xludf.DUMMYFUNCTION("""COMPUTED_VALUE"""),0)</f>
        <v>0</v>
      </c>
      <c r="K76" s="9" t="str">
        <f ca="1">IFERROR(__xludf.DUMMYFUNCTION("""COMPUTED_VALUE"""),"https://www.wcax.com/2023/01/10/police-investigating-pellet-gun-shooting-vermont-high-school/
https://www.usnews.com/news/best-states/vermont/articles/2023-01-11/police-teacher-shot-with-pellet-gun-injury-superficial")</f>
        <v>https://www.wcax.com/2023/01/10/police-investigating-pellet-gun-shooting-vermont-high-school/
https://www.usnews.com/news/best-states/vermont/articles/2023-01-11/police-teacher-shot-with-pellet-gun-injury-superficial</v>
      </c>
      <c r="L76" s="5">
        <f ca="1">IFERROR(__xludf.DUMMYFUNCTION("""COMPUTED_VALUE"""),2)</f>
        <v>2</v>
      </c>
      <c r="M76" s="5" t="str">
        <f ca="1">IFERROR(__xludf.DUMMYFUNCTION("""COMPUTED_VALUE"""),"National")</f>
        <v>National</v>
      </c>
      <c r="N76" s="5">
        <f ca="1">IFERROR(__xludf.DUMMYFUNCTION("""COMPUTED_VALUE"""),4)</f>
        <v>4</v>
      </c>
      <c r="O76" s="5" t="str">
        <f ca="1">IFERROR(__xludf.DUMMYFUNCTION("""COMPUTED_VALUE"""),"Winter")</f>
        <v>Winter</v>
      </c>
      <c r="P76" s="5" t="str">
        <f ca="1">IFERROR(__xludf.DUMMYFUNCTION("""COMPUTED_VALUE"""),"Barre")</f>
        <v>Barre</v>
      </c>
      <c r="Q76" s="5" t="str">
        <f ca="1">IFERROR(__xludf.DUMMYFUNCTION("""COMPUTED_VALUE"""),"VT")</f>
        <v>VT</v>
      </c>
      <c r="R76" s="5" t="str">
        <f ca="1">IFERROR(__xludf.DUMMYFUNCTION("""COMPUTED_VALUE"""),"High")</f>
        <v>High</v>
      </c>
      <c r="S76" s="5" t="str">
        <f ca="1">IFERROR(__xludf.DUMMYFUNCTION("""COMPUTED_VALUE"""),"Outside on School Property")</f>
        <v>Outside on School Property</v>
      </c>
      <c r="T76" s="5" t="str">
        <f ca="1">IFERROR(__xludf.DUMMYFUNCTION("""COMPUTED_VALUE"""),"Outside on School Property")</f>
        <v>Outside on School Property</v>
      </c>
      <c r="U76" s="5" t="str">
        <f ca="1">IFERROR(__xludf.DUMMYFUNCTION("""COMPUTED_VALUE"""),"Yes")</f>
        <v>Yes</v>
      </c>
      <c r="V76" s="5" t="str">
        <f ca="1">IFERROR(__xludf.DUMMYFUNCTION("""COMPUTED_VALUE"""),"Dismissal")</f>
        <v>Dismissal</v>
      </c>
      <c r="W76" s="10">
        <f ca="1">IFERROR(__xludf.DUMMYFUNCTION("""COMPUTED_VALUE"""),0.611111111111111)</f>
        <v>0.61111111111111105</v>
      </c>
      <c r="X76" s="5">
        <f ca="1">IFERROR(__xludf.DUMMYFUNCTION("""COMPUTED_VALUE"""),1)</f>
        <v>1</v>
      </c>
      <c r="Y76" s="5" t="str">
        <f ca="1">IFERROR(__xludf.DUMMYFUNCTION("""COMPUTED_VALUE"""),"Teacher shot with pellet gun at dismissal")</f>
        <v>Teacher shot with pellet gun at dismissal</v>
      </c>
      <c r="Z76" s="5" t="str">
        <f ca="1">IFERROR(__xludf.DUMMYFUNCTION("""COMPUTED_VALUE"""),"Teacher shot with pellet gun at dismissal causing minor injuries. Two freshmen students arrested.")</f>
        <v>Teacher shot with pellet gun at dismissal causing minor injuries. Two freshmen students arrested.</v>
      </c>
      <c r="AA76" s="5"/>
      <c r="AB76" s="5" t="str">
        <f ca="1">IFERROR(__xludf.DUMMYFUNCTION("""COMPUTED_VALUE"""),"Victims Targeted")</f>
        <v>Victims Targeted</v>
      </c>
      <c r="AC76" s="5" t="str">
        <f ca="1">IFERROR(__xludf.DUMMYFUNCTION("""COMPUTED_VALUE"""),"Yes")</f>
        <v>Yes</v>
      </c>
      <c r="AD76" s="5" t="str">
        <f ca="1">IFERROR(__xludf.DUMMYFUNCTION("""COMPUTED_VALUE"""),"No")</f>
        <v>No</v>
      </c>
      <c r="AE76" s="5" t="str">
        <f ca="1">IFERROR(__xludf.DUMMYFUNCTION("""COMPUTED_VALUE"""),"No")</f>
        <v>No</v>
      </c>
      <c r="AF76" s="5" t="str">
        <f ca="1">IFERROR(__xludf.DUMMYFUNCTION("""COMPUTED_VALUE"""),"No")</f>
        <v>No</v>
      </c>
      <c r="AG76" s="5" t="str">
        <f ca="1">IFERROR(__xludf.DUMMYFUNCTION("""COMPUTED_VALUE"""),"No")</f>
        <v>No</v>
      </c>
      <c r="AH76" s="5" t="str">
        <f ca="1">IFERROR(__xludf.DUMMYFUNCTION("""COMPUTED_VALUE"""),"No")</f>
        <v>No</v>
      </c>
      <c r="AI76" s="5" t="str">
        <f ca="1">IFERROR(__xludf.DUMMYFUNCTION("""COMPUTED_VALUE"""),"No")</f>
        <v>No</v>
      </c>
      <c r="AJ76" s="5" t="str">
        <f ca="1">IFERROR(__xludf.DUMMYFUNCTION("""COMPUTED_VALUE"""),"No")</f>
        <v>No</v>
      </c>
    </row>
    <row r="77" spans="1:36" ht="13">
      <c r="A77" s="5" t="str">
        <f ca="1">IFERROR(__xludf.DUMMYFUNCTION("""COMPUTED_VALUE"""),"20230111VALAP")</f>
        <v>20230111VALAP</v>
      </c>
      <c r="B77" s="5">
        <f ca="1">IFERROR(__xludf.DUMMYFUNCTION("""COMPUTED_VALUE"""),1)</f>
        <v>1</v>
      </c>
      <c r="C77" s="5">
        <f ca="1">IFERROR(__xludf.DUMMYFUNCTION("""COMPUTED_VALUE"""),11)</f>
        <v>11</v>
      </c>
      <c r="D77" s="5">
        <f ca="1">IFERROR(__xludf.DUMMYFUNCTION("""COMPUTED_VALUE"""),2023)</f>
        <v>2023</v>
      </c>
      <c r="E77" s="8">
        <f ca="1">IFERROR(__xludf.DUMMYFUNCTION("""COMPUTED_VALUE"""),44937)</f>
        <v>44937</v>
      </c>
      <c r="F77" s="5" t="str">
        <f ca="1">IFERROR(__xludf.DUMMYFUNCTION("""COMPUTED_VALUE"""),"Lakeview Elementary School")</f>
        <v>Lakeview Elementary School</v>
      </c>
      <c r="G77" s="5">
        <f ca="1">IFERROR(__xludf.DUMMYFUNCTION("""COMPUTED_VALUE"""),0)</f>
        <v>0</v>
      </c>
      <c r="H77" s="5">
        <f ca="1">IFERROR(__xludf.DUMMYFUNCTION("""COMPUTED_VALUE"""),0)</f>
        <v>0</v>
      </c>
      <c r="I77" s="5">
        <f ca="1">IFERROR(__xludf.DUMMYFUNCTION("""COMPUTED_VALUE"""),0)</f>
        <v>0</v>
      </c>
      <c r="J77" s="5">
        <f ca="1">IFERROR(__xludf.DUMMYFUNCTION("""COMPUTED_VALUE"""),0)</f>
        <v>0</v>
      </c>
      <c r="K77" s="5" t="str">
        <f ca="1">IFERROR(__xludf.DUMMYFUNCTION("""COMPUTED_VALUE"""),"https://www.13newsnow.com/article/news/local/lakeview-elementary-goes-on-brief-lockdown-due-to-nearby-shooting/291-280cbf3c-a259-413c-914b-035761e6652f
https://www.wavy.com/news/local-news/portsmouth/lakeview-elementary-in-portsmouth-placed-on-lockdown-af"&amp;"ter-shots-fired-nearby/")</f>
        <v>https://www.13newsnow.com/article/news/local/lakeview-elementary-goes-on-brief-lockdown-due-to-nearby-shooting/291-280cbf3c-a259-413c-914b-035761e6652f
https://www.wavy.com/news/local-news/portsmouth/lakeview-elementary-in-portsmouth-placed-on-lockdown-after-shots-fired-nearby/</v>
      </c>
      <c r="L77" s="5">
        <f ca="1">IFERROR(__xludf.DUMMYFUNCTION("""COMPUTED_VALUE"""),2)</f>
        <v>2</v>
      </c>
      <c r="M77" s="5" t="str">
        <f ca="1">IFERROR(__xludf.DUMMYFUNCTION("""COMPUTED_VALUE"""),"Local")</f>
        <v>Local</v>
      </c>
      <c r="N77" s="5">
        <f ca="1">IFERROR(__xludf.DUMMYFUNCTION("""COMPUTED_VALUE"""),2)</f>
        <v>2</v>
      </c>
      <c r="O77" s="5" t="str">
        <f ca="1">IFERROR(__xludf.DUMMYFUNCTION("""COMPUTED_VALUE"""),"Winter")</f>
        <v>Winter</v>
      </c>
      <c r="P77" s="5" t="str">
        <f ca="1">IFERROR(__xludf.DUMMYFUNCTION("""COMPUTED_VALUE"""),"Portsmouth")</f>
        <v>Portsmouth</v>
      </c>
      <c r="Q77" s="5" t="str">
        <f ca="1">IFERROR(__xludf.DUMMYFUNCTION("""COMPUTED_VALUE"""),"VA")</f>
        <v>VA</v>
      </c>
      <c r="R77" s="5" t="str">
        <f ca="1">IFERROR(__xludf.DUMMYFUNCTION("""COMPUTED_VALUE"""),"Elementary")</f>
        <v>Elementary</v>
      </c>
      <c r="S77" s="5" t="str">
        <f ca="1">IFERROR(__xludf.DUMMYFUNCTION("""COMPUTED_VALUE"""),"Outside on School Property")</f>
        <v>Outside on School Property</v>
      </c>
      <c r="T77" s="5" t="str">
        <f ca="1">IFERROR(__xludf.DUMMYFUNCTION("""COMPUTED_VALUE"""),"Outside on School Property")</f>
        <v>Outside on School Property</v>
      </c>
      <c r="U77" s="5" t="str">
        <f ca="1">IFERROR(__xludf.DUMMYFUNCTION("""COMPUTED_VALUE"""),"Yes")</f>
        <v>Yes</v>
      </c>
      <c r="V77" s="5" t="str">
        <f ca="1">IFERROR(__xludf.DUMMYFUNCTION("""COMPUTED_VALUE"""),"Morning Classes")</f>
        <v>Morning Classes</v>
      </c>
      <c r="W77" s="10">
        <f ca="1">IFERROR(__xludf.DUMMYFUNCTION("""COMPUTED_VALUE"""),0.444444444444444)</f>
        <v>0.44444444444444398</v>
      </c>
      <c r="X77" s="5">
        <f ca="1">IFERROR(__xludf.DUMMYFUNCTION("""COMPUTED_VALUE"""),1)</f>
        <v>1</v>
      </c>
      <c r="Y77" s="5" t="str">
        <f ca="1">IFERROR(__xludf.DUMMYFUNCTION("""COMPUTED_VALUE"""),"Shots fired behind school building, school went on lockdown")</f>
        <v>Shots fired behind school building, school went on lockdown</v>
      </c>
      <c r="Z77" s="5" t="str">
        <f ca="1">IFERROR(__xludf.DUMMYFUNCTION("""COMPUTED_VALUE"""),"Shots fired behind school building, school went on lockdown")</f>
        <v>Shots fired behind school building, school went on lockdown</v>
      </c>
      <c r="AA77" s="5"/>
      <c r="AB77" s="5"/>
      <c r="AC77" s="5"/>
      <c r="AD77" s="5" t="str">
        <f ca="1">IFERROR(__xludf.DUMMYFUNCTION("""COMPUTED_VALUE"""),"No")</f>
        <v>No</v>
      </c>
      <c r="AE77" s="5" t="str">
        <f ca="1">IFERROR(__xludf.DUMMYFUNCTION("""COMPUTED_VALUE"""),"No")</f>
        <v>No</v>
      </c>
      <c r="AF77" s="5" t="str">
        <f ca="1">IFERROR(__xludf.DUMMYFUNCTION("""COMPUTED_VALUE"""),"No")</f>
        <v>No</v>
      </c>
      <c r="AG77" s="5" t="str">
        <f ca="1">IFERROR(__xludf.DUMMYFUNCTION("""COMPUTED_VALUE"""),"No")</f>
        <v>No</v>
      </c>
      <c r="AH77" s="5" t="str">
        <f ca="1">IFERROR(__xludf.DUMMYFUNCTION("""COMPUTED_VALUE"""),"No")</f>
        <v>No</v>
      </c>
      <c r="AI77" s="5"/>
      <c r="AJ77" s="5" t="str">
        <f ca="1">IFERROR(__xludf.DUMMYFUNCTION("""COMPUTED_VALUE"""),"No")</f>
        <v>No</v>
      </c>
    </row>
    <row r="78" spans="1:36" ht="13">
      <c r="A78" s="5" t="str">
        <f ca="1">IFERROR(__xludf.DUMMYFUNCTION("""COMPUTED_VALUE"""),"20230110UTWES")</f>
        <v>20230110UTWES</v>
      </c>
      <c r="B78" s="5">
        <f ca="1">IFERROR(__xludf.DUMMYFUNCTION("""COMPUTED_VALUE"""),1)</f>
        <v>1</v>
      </c>
      <c r="C78" s="5">
        <f ca="1">IFERROR(__xludf.DUMMYFUNCTION("""COMPUTED_VALUE"""),10)</f>
        <v>10</v>
      </c>
      <c r="D78" s="5">
        <f ca="1">IFERROR(__xludf.DUMMYFUNCTION("""COMPUTED_VALUE"""),2023)</f>
        <v>2023</v>
      </c>
      <c r="E78" s="8">
        <f ca="1">IFERROR(__xludf.DUMMYFUNCTION("""COMPUTED_VALUE"""),44936)</f>
        <v>44936</v>
      </c>
      <c r="F78" s="5" t="str">
        <f ca="1">IFERROR(__xludf.DUMMYFUNCTION("""COMPUTED_VALUE"""),"Westlake High School (bus)")</f>
        <v>Westlake High School (bus)</v>
      </c>
      <c r="G78" s="5">
        <f ca="1">IFERROR(__xludf.DUMMYFUNCTION("""COMPUTED_VALUE"""),0)</f>
        <v>0</v>
      </c>
      <c r="H78" s="5">
        <f ca="1">IFERROR(__xludf.DUMMYFUNCTION("""COMPUTED_VALUE"""),1)</f>
        <v>1</v>
      </c>
      <c r="I78" s="5">
        <f ca="1">IFERROR(__xludf.DUMMYFUNCTION("""COMPUTED_VALUE"""),1)</f>
        <v>1</v>
      </c>
      <c r="J78" s="5">
        <f ca="1">IFERROR(__xludf.DUMMYFUNCTION("""COMPUTED_VALUE"""),0)</f>
        <v>0</v>
      </c>
      <c r="K78" s="9" t="str">
        <f ca="1">IFERROR(__xludf.DUMMYFUNCTION("""COMPUTED_VALUE"""),"https://www.abc4.com/news/central-utah/student-injured-after-shots-fired-at-saratoga-springs-high-school-wrestling-team-bus/")</f>
        <v>https://www.abc4.com/news/central-utah/student-injured-after-shots-fired-at-saratoga-springs-high-school-wrestling-team-bus/</v>
      </c>
      <c r="L78" s="5">
        <f ca="1">IFERROR(__xludf.DUMMYFUNCTION("""COMPUTED_VALUE"""),4)</f>
        <v>4</v>
      </c>
      <c r="M78" s="5" t="str">
        <f ca="1">IFERROR(__xludf.DUMMYFUNCTION("""COMPUTED_VALUE"""),"Local")</f>
        <v>Local</v>
      </c>
      <c r="N78" s="5">
        <f ca="1">IFERROR(__xludf.DUMMYFUNCTION("""COMPUTED_VALUE"""),4)</f>
        <v>4</v>
      </c>
      <c r="O78" s="5" t="str">
        <f ca="1">IFERROR(__xludf.DUMMYFUNCTION("""COMPUTED_VALUE"""),"Winter")</f>
        <v>Winter</v>
      </c>
      <c r="P78" s="5" t="str">
        <f ca="1">IFERROR(__xludf.DUMMYFUNCTION("""COMPUTED_VALUE"""),"Saratoga Springs")</f>
        <v>Saratoga Springs</v>
      </c>
      <c r="Q78" s="5" t="str">
        <f ca="1">IFERROR(__xludf.DUMMYFUNCTION("""COMPUTED_VALUE"""),"UT")</f>
        <v>UT</v>
      </c>
      <c r="R78" s="5" t="str">
        <f ca="1">IFERROR(__xludf.DUMMYFUNCTION("""COMPUTED_VALUE"""),"High")</f>
        <v>High</v>
      </c>
      <c r="S78" s="5" t="str">
        <f ca="1">IFERROR(__xludf.DUMMYFUNCTION("""COMPUTED_VALUE"""),"School Bus")</f>
        <v>School Bus</v>
      </c>
      <c r="T78" s="5" t="str">
        <f ca="1">IFERROR(__xludf.DUMMYFUNCTION("""COMPUTED_VALUE"""),"School Bus")</f>
        <v>School Bus</v>
      </c>
      <c r="U78" s="5" t="str">
        <f ca="1">IFERROR(__xludf.DUMMYFUNCTION("""COMPUTED_VALUE"""),"No")</f>
        <v>No</v>
      </c>
      <c r="V78" s="5" t="str">
        <f ca="1">IFERROR(__xludf.DUMMYFUNCTION("""COMPUTED_VALUE"""),"Sport Event")</f>
        <v>Sport Event</v>
      </c>
      <c r="W78" s="10">
        <f ca="1">IFERROR(__xludf.DUMMYFUNCTION("""COMPUTED_VALUE"""),0.875)</f>
        <v>0.875</v>
      </c>
      <c r="X78" s="5">
        <f ca="1">IFERROR(__xludf.DUMMYFUNCTION("""COMPUTED_VALUE"""),1)</f>
        <v>1</v>
      </c>
      <c r="Y78" s="5" t="str">
        <f ca="1">IFERROR(__xludf.DUMMYFUNCTION("""COMPUTED_VALUE"""),"Shots fired at wrestling team on school bus, one student injured")</f>
        <v>Shots fired at wrestling team on school bus, one student injured</v>
      </c>
      <c r="Z78" s="5" t="str">
        <f ca="1">IFERROR(__xludf.DUMMYFUNCTION("""COMPUTED_VALUE"""),"The Westlake High School girls wrestling team was on Interstate 15 between American Fork and Lindon around 9 p.m. Tuesday when a white pickup truck pulled alongside and fired several rounds of a pellet or airsoft gun at the bus. The rounds damaged multipl"&amp;"e windows in the bus and one student received minor injuries, according to a statement from the Alpine School District.")</f>
        <v>The Westlake High School girls wrestling team was on Interstate 15 between American Fork and Lindon around 9 p.m. Tuesday when a white pickup truck pulled alongside and fired several rounds of a pellet or airsoft gun at the bus. The rounds damaged multiple windows in the bus and one student received minor injuries, according to a statement from the Alpine School District.</v>
      </c>
      <c r="AA78" s="5" t="str">
        <f ca="1">IFERROR(__xludf.DUMMYFUNCTION("""COMPUTED_VALUE"""),"Drive-by Shooting")</f>
        <v>Drive-by Shooting</v>
      </c>
      <c r="AB78" s="5" t="str">
        <f ca="1">IFERROR(__xludf.DUMMYFUNCTION("""COMPUTED_VALUE"""),"Random Shooting")</f>
        <v>Random Shooting</v>
      </c>
      <c r="AC78" s="5"/>
      <c r="AD78" s="5" t="str">
        <f ca="1">IFERROR(__xludf.DUMMYFUNCTION("""COMPUTED_VALUE"""),"No")</f>
        <v>No</v>
      </c>
      <c r="AE78" s="5" t="str">
        <f ca="1">IFERROR(__xludf.DUMMYFUNCTION("""COMPUTED_VALUE"""),"No")</f>
        <v>No</v>
      </c>
      <c r="AF78" s="5" t="str">
        <f ca="1">IFERROR(__xludf.DUMMYFUNCTION("""COMPUTED_VALUE"""),"No")</f>
        <v>No</v>
      </c>
      <c r="AG78" s="5" t="str">
        <f ca="1">IFERROR(__xludf.DUMMYFUNCTION("""COMPUTED_VALUE"""),"No")</f>
        <v>No</v>
      </c>
      <c r="AH78" s="5" t="str">
        <f ca="1">IFERROR(__xludf.DUMMYFUNCTION("""COMPUTED_VALUE"""),"No")</f>
        <v>No</v>
      </c>
      <c r="AI78" s="5" t="str">
        <f ca="1">IFERROR(__xludf.DUMMYFUNCTION("""COMPUTED_VALUE"""),"No")</f>
        <v>No</v>
      </c>
      <c r="AJ78" s="5" t="str">
        <f ca="1">IFERROR(__xludf.DUMMYFUNCTION("""COMPUTED_VALUE"""),"No")</f>
        <v>No</v>
      </c>
    </row>
    <row r="79" spans="1:36" ht="13">
      <c r="A79" s="5" t="str">
        <f ca="1">IFERROR(__xludf.DUMMYFUNCTION("""COMPUTED_VALUE"""),"20230110KYSAS")</f>
        <v>20230110KYSAS</v>
      </c>
      <c r="B79" s="5">
        <f ca="1">IFERROR(__xludf.DUMMYFUNCTION("""COMPUTED_VALUE"""),1)</f>
        <v>1</v>
      </c>
      <c r="C79" s="5">
        <f ca="1">IFERROR(__xludf.DUMMYFUNCTION("""COMPUTED_VALUE"""),10)</f>
        <v>10</v>
      </c>
      <c r="D79" s="5">
        <f ca="1">IFERROR(__xludf.DUMMYFUNCTION("""COMPUTED_VALUE"""),2023)</f>
        <v>2023</v>
      </c>
      <c r="E79" s="8">
        <f ca="1">IFERROR(__xludf.DUMMYFUNCTION("""COMPUTED_VALUE"""),44936)</f>
        <v>44936</v>
      </c>
      <c r="F79" s="5" t="str">
        <f ca="1">IFERROR(__xludf.DUMMYFUNCTION("""COMPUTED_VALUE"""),"Stanford Elementary School")</f>
        <v>Stanford Elementary School</v>
      </c>
      <c r="G79" s="5">
        <f ca="1">IFERROR(__xludf.DUMMYFUNCTION("""COMPUTED_VALUE"""),0)</f>
        <v>0</v>
      </c>
      <c r="H79" s="5">
        <f ca="1">IFERROR(__xludf.DUMMYFUNCTION("""COMPUTED_VALUE"""),0)</f>
        <v>0</v>
      </c>
      <c r="I79" s="5">
        <f ca="1">IFERROR(__xludf.DUMMYFUNCTION("""COMPUTED_VALUE"""),1)</f>
        <v>1</v>
      </c>
      <c r="J79" s="5">
        <f ca="1">IFERROR(__xludf.DUMMYFUNCTION("""COMPUTED_VALUE"""),0)</f>
        <v>0</v>
      </c>
      <c r="K79" s="9" t="str">
        <f ca="1">IFERROR(__xludf.DUMMYFUNCTION("""COMPUTED_VALUE"""),"https://www.lex18.com/news/police-respond-to-incident-involving-a-staff-member-at-stanford-elementary")</f>
        <v>https://www.lex18.com/news/police-respond-to-incident-involving-a-staff-member-at-stanford-elementary</v>
      </c>
      <c r="L79" s="5">
        <f ca="1">IFERROR(__xludf.DUMMYFUNCTION("""COMPUTED_VALUE"""),3)</f>
        <v>3</v>
      </c>
      <c r="M79" s="5" t="str">
        <f ca="1">IFERROR(__xludf.DUMMYFUNCTION("""COMPUTED_VALUE"""),"Local")</f>
        <v>Local</v>
      </c>
      <c r="N79" s="5">
        <f ca="1">IFERROR(__xludf.DUMMYFUNCTION("""COMPUTED_VALUE"""),4)</f>
        <v>4</v>
      </c>
      <c r="O79" s="5" t="str">
        <f ca="1">IFERROR(__xludf.DUMMYFUNCTION("""COMPUTED_VALUE"""),"Winter")</f>
        <v>Winter</v>
      </c>
      <c r="P79" s="5" t="str">
        <f ca="1">IFERROR(__xludf.DUMMYFUNCTION("""COMPUTED_VALUE"""),"Stanford")</f>
        <v>Stanford</v>
      </c>
      <c r="Q79" s="5" t="str">
        <f ca="1">IFERROR(__xludf.DUMMYFUNCTION("""COMPUTED_VALUE"""),"KY")</f>
        <v>KY</v>
      </c>
      <c r="R79" s="5" t="str">
        <f ca="1">IFERROR(__xludf.DUMMYFUNCTION("""COMPUTED_VALUE"""),"Elementary")</f>
        <v>Elementary</v>
      </c>
      <c r="S79" s="5" t="str">
        <f ca="1">IFERROR(__xludf.DUMMYFUNCTION("""COMPUTED_VALUE"""),"Office")</f>
        <v>Office</v>
      </c>
      <c r="T79" s="5" t="str">
        <f ca="1">IFERROR(__xludf.DUMMYFUNCTION("""COMPUTED_VALUE"""),"Inside School Building")</f>
        <v>Inside School Building</v>
      </c>
      <c r="U79" s="5" t="str">
        <f ca="1">IFERROR(__xludf.DUMMYFUNCTION("""COMPUTED_VALUE"""),"No")</f>
        <v>No</v>
      </c>
      <c r="V79" s="5" t="str">
        <f ca="1">IFERROR(__xludf.DUMMYFUNCTION("""COMPUTED_VALUE"""),"Night")</f>
        <v>Night</v>
      </c>
      <c r="W79" s="10">
        <f ca="1">IFERROR(__xludf.DUMMYFUNCTION("""COMPUTED_VALUE"""),0.958333333333333)</f>
        <v>0.95833333333333304</v>
      </c>
      <c r="X79" s="5">
        <f ca="1">IFERROR(__xludf.DUMMYFUNCTION("""COMPUTED_VALUE"""),1)</f>
        <v>1</v>
      </c>
      <c r="Y79" s="5" t="str">
        <f ca="1">IFERROR(__xludf.DUMMYFUNCTION("""COMPUTED_VALUE"""),"Staff member shot themselves in breakroom and then fled the building")</f>
        <v>Staff member shot themselves in breakroom and then fled the building</v>
      </c>
      <c r="Z79" s="5" t="str">
        <f ca="1">IFERROR(__xludf.DUMMYFUNCTION("""COMPUTED_VALUE"""),"Police say the incident happened at around 11:00 p.m. Tuesday while the staff member was working second-shift maintenance at the school. The staff member then exited the building and left the premises. Law enforcement officers were called to the school We"&amp;"dnesday after staff discovered what appeared to be blood leading from a staff break room out to the parking lot. Officers cleared the school building Wednesday morning before children began normal activities for the day as a precaution. The school was dee"&amp;"med safe and there was no threat to the safety of the students or staff in regard to this incident, according to Stanford Police.")</f>
        <v>Police say the incident happened at around 11:00 p.m. Tuesday while the staff member was working second-shift maintenance at the school. The staff member then exited the building and left the premises. Law enforcement officers were called to the school Wednesday after staff discovered what appeared to be blood leading from a staff break room out to the parking lot. Officers cleared the school building Wednesday morning before children began normal activities for the day as a precaution. The school was deemed safe and there was no threat to the safety of the students or staff in regard to this incident, according to Stanford Police.</v>
      </c>
      <c r="AA79" s="5" t="str">
        <f ca="1">IFERROR(__xludf.DUMMYFUNCTION("""COMPUTED_VALUE"""),"Accidental")</f>
        <v>Accidental</v>
      </c>
      <c r="AB79" s="5" t="str">
        <f ca="1">IFERROR(__xludf.DUMMYFUNCTION("""COMPUTED_VALUE"""),"Neither")</f>
        <v>Neither</v>
      </c>
      <c r="AC79" s="5" t="str">
        <f ca="1">IFERROR(__xludf.DUMMYFUNCTION("""COMPUTED_VALUE"""),"No")</f>
        <v>No</v>
      </c>
      <c r="AD79" s="5" t="str">
        <f ca="1">IFERROR(__xludf.DUMMYFUNCTION("""COMPUTED_VALUE"""),"No")</f>
        <v>No</v>
      </c>
      <c r="AE79" s="5" t="str">
        <f ca="1">IFERROR(__xludf.DUMMYFUNCTION("""COMPUTED_VALUE"""),"No")</f>
        <v>No</v>
      </c>
      <c r="AF79" s="5" t="str">
        <f ca="1">IFERROR(__xludf.DUMMYFUNCTION("""COMPUTED_VALUE"""),"No")</f>
        <v>No</v>
      </c>
      <c r="AG79" s="5" t="str">
        <f ca="1">IFERROR(__xludf.DUMMYFUNCTION("""COMPUTED_VALUE"""),"No")</f>
        <v>No</v>
      </c>
      <c r="AH79" s="5" t="str">
        <f ca="1">IFERROR(__xludf.DUMMYFUNCTION("""COMPUTED_VALUE"""),"No")</f>
        <v>No</v>
      </c>
      <c r="AI79" s="5" t="str">
        <f ca="1">IFERROR(__xludf.DUMMYFUNCTION("""COMPUTED_VALUE"""),"No")</f>
        <v>No</v>
      </c>
      <c r="AJ79" s="5" t="str">
        <f ca="1">IFERROR(__xludf.DUMMYFUNCTION("""COMPUTED_VALUE"""),"No")</f>
        <v>No</v>
      </c>
    </row>
    <row r="80" spans="1:36" ht="13">
      <c r="A80" s="5" t="str">
        <f ca="1">IFERROR(__xludf.DUMMYFUNCTION("""COMPUTED_VALUE"""),"20230110DEWIN")</f>
        <v>20230110DEWIN</v>
      </c>
      <c r="B80" s="5">
        <f ca="1">IFERROR(__xludf.DUMMYFUNCTION("""COMPUTED_VALUE"""),1)</f>
        <v>1</v>
      </c>
      <c r="C80" s="5">
        <f ca="1">IFERROR(__xludf.DUMMYFUNCTION("""COMPUTED_VALUE"""),10)</f>
        <v>10</v>
      </c>
      <c r="D80" s="5">
        <f ca="1">IFERROR(__xludf.DUMMYFUNCTION("""COMPUTED_VALUE"""),2023)</f>
        <v>2023</v>
      </c>
      <c r="E80" s="8">
        <f ca="1">IFERROR(__xludf.DUMMYFUNCTION("""COMPUTED_VALUE"""),44936)</f>
        <v>44936</v>
      </c>
      <c r="F80" s="5" t="str">
        <f ca="1">IFERROR(__xludf.DUMMYFUNCTION("""COMPUTED_VALUE"""),"William Penn High School")</f>
        <v>William Penn High School</v>
      </c>
      <c r="G80" s="5">
        <f ca="1">IFERROR(__xludf.DUMMYFUNCTION("""COMPUTED_VALUE"""),0)</f>
        <v>0</v>
      </c>
      <c r="H80" s="5">
        <f ca="1">IFERROR(__xludf.DUMMYFUNCTION("""COMPUTED_VALUE"""),0)</f>
        <v>0</v>
      </c>
      <c r="I80" s="5">
        <f ca="1">IFERROR(__xludf.DUMMYFUNCTION("""COMPUTED_VALUE"""),0)</f>
        <v>0</v>
      </c>
      <c r="J80" s="5">
        <f ca="1">IFERROR(__xludf.DUMMYFUNCTION("""COMPUTED_VALUE"""),0)</f>
        <v>0</v>
      </c>
      <c r="K80" s="5" t="str">
        <f ca="1">IFERROR(__xludf.DUMMYFUNCTION("""COMPUTED_VALUE"""),"https://www.wdel.com/news/william-penn-hs-closed-after-gun-fired-in-school/article_51dbf86c-9151-11ed-b30c-4fb7bb3351ba.html
https://www.cbsnews.com/philadelphia/video/16-year-old-charged-after-shot-fired-at-delaware-high-school/")</f>
        <v>https://www.wdel.com/news/william-penn-hs-closed-after-gun-fired-in-school/article_51dbf86c-9151-11ed-b30c-4fb7bb3351ba.html
https://www.cbsnews.com/philadelphia/video/16-year-old-charged-after-shot-fired-at-delaware-high-school/</v>
      </c>
      <c r="L80" s="5">
        <f ca="1">IFERROR(__xludf.DUMMYFUNCTION("""COMPUTED_VALUE"""),10)</f>
        <v>10</v>
      </c>
      <c r="M80" s="5" t="str">
        <f ca="1">IFERROR(__xludf.DUMMYFUNCTION("""COMPUTED_VALUE"""),"Local")</f>
        <v>Local</v>
      </c>
      <c r="N80" s="5">
        <f ca="1">IFERROR(__xludf.DUMMYFUNCTION("""COMPUTED_VALUE"""),4)</f>
        <v>4</v>
      </c>
      <c r="O80" s="5" t="str">
        <f ca="1">IFERROR(__xludf.DUMMYFUNCTION("""COMPUTED_VALUE"""),"Winter")</f>
        <v>Winter</v>
      </c>
      <c r="P80" s="5" t="str">
        <f ca="1">IFERROR(__xludf.DUMMYFUNCTION("""COMPUTED_VALUE"""),"New Castle")</f>
        <v>New Castle</v>
      </c>
      <c r="Q80" s="5" t="str">
        <f ca="1">IFERROR(__xludf.DUMMYFUNCTION("""COMPUTED_VALUE"""),"DE")</f>
        <v>DE</v>
      </c>
      <c r="R80" s="5" t="str">
        <f ca="1">IFERROR(__xludf.DUMMYFUNCTION("""COMPUTED_VALUE"""),"High")</f>
        <v>High</v>
      </c>
      <c r="S80" s="5" t="str">
        <f ca="1">IFERROR(__xludf.DUMMYFUNCTION("""COMPUTED_VALUE"""),"Bathroom")</f>
        <v>Bathroom</v>
      </c>
      <c r="T80" s="5" t="str">
        <f ca="1">IFERROR(__xludf.DUMMYFUNCTION("""COMPUTED_VALUE"""),"Inside School Building")</f>
        <v>Inside School Building</v>
      </c>
      <c r="U80" s="5" t="str">
        <f ca="1">IFERROR(__xludf.DUMMYFUNCTION("""COMPUTED_VALUE"""),"Yes")</f>
        <v>Yes</v>
      </c>
      <c r="V80" s="5" t="str">
        <f ca="1">IFERROR(__xludf.DUMMYFUNCTION("""COMPUTED_VALUE"""),"Morning Classes")</f>
        <v>Morning Classes</v>
      </c>
      <c r="W80" s="10">
        <f ca="1">IFERROR(__xludf.DUMMYFUNCTION("""COMPUTED_VALUE"""),0.486111111111111)</f>
        <v>0.48611111111111099</v>
      </c>
      <c r="X80" s="5">
        <f ca="1">IFERROR(__xludf.DUMMYFUNCTION("""COMPUTED_VALUE"""),1)</f>
        <v>1</v>
      </c>
      <c r="Y80" s="5" t="str">
        <f ca="1">IFERROR(__xludf.DUMMYFUNCTION("""COMPUTED_VALUE"""),"Student fired handgun in bathroom and then fled")</f>
        <v>Student fired handgun in bathroom and then fled</v>
      </c>
      <c r="Z80" s="5" t="str">
        <f ca="1">IFERROR(__xludf.DUMMYFUNCTION("""COMPUTED_VALUE"""),"According to police, a school resource officer was alerted to a potential gunshot inside a second-floor restroom. The resource officer found signs that a round struck the interior of the restroom, police say. State police say further investigation reveale"&amp;"d a suspect ran from the back of the school towards the football stadium. The school was placed on lockdown for about an hour while investigators searched the building. Investigators canvassing the area discovered a Glock handgun outside the school. No in"&amp;"juries were reported.")</f>
        <v>According to police, a school resource officer was alerted to a potential gunshot inside a second-floor restroom. The resource officer found signs that a round struck the interior of the restroom, police say. State police say further investigation revealed a suspect ran from the back of the school towards the football stadium. The school was placed on lockdown for about an hour while investigators searched the building. Investigators canvassing the area discovered a Glock handgun outside the school. No injuries were reported.</v>
      </c>
      <c r="AA80" s="5"/>
      <c r="AB80" s="5"/>
      <c r="AC80" s="5"/>
      <c r="AD80" s="5" t="str">
        <f ca="1">IFERROR(__xludf.DUMMYFUNCTION("""COMPUTED_VALUE"""),"No")</f>
        <v>No</v>
      </c>
      <c r="AE80" s="5" t="str">
        <f ca="1">IFERROR(__xludf.DUMMYFUNCTION("""COMPUTED_VALUE"""),"No")</f>
        <v>No</v>
      </c>
      <c r="AF80" s="5" t="str">
        <f ca="1">IFERROR(__xludf.DUMMYFUNCTION("""COMPUTED_VALUE"""),"No")</f>
        <v>No</v>
      </c>
      <c r="AG80" s="5"/>
      <c r="AH80" s="5" t="str">
        <f ca="1">IFERROR(__xludf.DUMMYFUNCTION("""COMPUTED_VALUE"""),"No")</f>
        <v>No</v>
      </c>
      <c r="AI80" s="5"/>
      <c r="AJ80" s="5" t="str">
        <f ca="1">IFERROR(__xludf.DUMMYFUNCTION("""COMPUTED_VALUE"""),"No")</f>
        <v>No</v>
      </c>
    </row>
    <row r="81" spans="1:36" ht="13">
      <c r="A81" s="5" t="str">
        <f ca="1">IFERROR(__xludf.DUMMYFUNCTION("""COMPUTED_VALUE"""),"20230110OHJOC")</f>
        <v>20230110OHJOC</v>
      </c>
      <c r="B81" s="5">
        <f ca="1">IFERROR(__xludf.DUMMYFUNCTION("""COMPUTED_VALUE"""),1)</f>
        <v>1</v>
      </c>
      <c r="C81" s="5">
        <f ca="1">IFERROR(__xludf.DUMMYFUNCTION("""COMPUTED_VALUE"""),10)</f>
        <v>10</v>
      </c>
      <c r="D81" s="5">
        <f ca="1">IFERROR(__xludf.DUMMYFUNCTION("""COMPUTED_VALUE"""),2023)</f>
        <v>2023</v>
      </c>
      <c r="E81" s="8">
        <f ca="1">IFERROR(__xludf.DUMMYFUNCTION("""COMPUTED_VALUE"""),44936)</f>
        <v>44936</v>
      </c>
      <c r="F81" s="5" t="str">
        <f ca="1">IFERROR(__xludf.DUMMYFUNCTION("""COMPUTED_VALUE"""),"John Adams High School")</f>
        <v>John Adams High School</v>
      </c>
      <c r="G81" s="5">
        <f ca="1">IFERROR(__xludf.DUMMYFUNCTION("""COMPUTED_VALUE"""),1)</f>
        <v>1</v>
      </c>
      <c r="H81" s="5">
        <f ca="1">IFERROR(__xludf.DUMMYFUNCTION("""COMPUTED_VALUE"""),0)</f>
        <v>0</v>
      </c>
      <c r="I81" s="5">
        <f ca="1">IFERROR(__xludf.DUMMYFUNCTION("""COMPUTED_VALUE"""),1)</f>
        <v>1</v>
      </c>
      <c r="J81" s="5">
        <f ca="1">IFERROR(__xludf.DUMMYFUNCTION("""COMPUTED_VALUE"""),0)</f>
        <v>0</v>
      </c>
      <c r="K81" s="9" t="str">
        <f ca="1">IFERROR(__xludf.DUMMYFUNCTION("""COMPUTED_VALUE"""),"https://www.news5cleveland.com/news/local-news/cleveland-metro/john-adams-high-school-closes-wednesday-after-student-shot-killed-at-bus-stop-tuesday")</f>
        <v>https://www.news5cleveland.com/news/local-news/cleveland-metro/john-adams-high-school-closes-wednesday-after-student-shot-killed-at-bus-stop-tuesday</v>
      </c>
      <c r="L81" s="5">
        <f ca="1">IFERROR(__xludf.DUMMYFUNCTION("""COMPUTED_VALUE"""),10)</f>
        <v>10</v>
      </c>
      <c r="M81" s="5" t="str">
        <f ca="1">IFERROR(__xludf.DUMMYFUNCTION("""COMPUTED_VALUE"""),"Local")</f>
        <v>Local</v>
      </c>
      <c r="N81" s="5">
        <f ca="1">IFERROR(__xludf.DUMMYFUNCTION("""COMPUTED_VALUE"""),4)</f>
        <v>4</v>
      </c>
      <c r="O81" s="5" t="str">
        <f ca="1">IFERROR(__xludf.DUMMYFUNCTION("""COMPUTED_VALUE"""),"Winter")</f>
        <v>Winter</v>
      </c>
      <c r="P81" s="5" t="str">
        <f ca="1">IFERROR(__xludf.DUMMYFUNCTION("""COMPUTED_VALUE"""),"Cleveland")</f>
        <v>Cleveland</v>
      </c>
      <c r="Q81" s="5" t="str">
        <f ca="1">IFERROR(__xludf.DUMMYFUNCTION("""COMPUTED_VALUE"""),"OH")</f>
        <v>OH</v>
      </c>
      <c r="R81" s="5" t="str">
        <f ca="1">IFERROR(__xludf.DUMMYFUNCTION("""COMPUTED_VALUE"""),"High")</f>
        <v>High</v>
      </c>
      <c r="S81" s="5" t="str">
        <f ca="1">IFERROR(__xludf.DUMMYFUNCTION("""COMPUTED_VALUE"""),"Front of School")</f>
        <v>Front of School</v>
      </c>
      <c r="T81" s="5" t="str">
        <f ca="1">IFERROR(__xludf.DUMMYFUNCTION("""COMPUTED_VALUE"""),"Outside on School Property")</f>
        <v>Outside on School Property</v>
      </c>
      <c r="U81" s="5" t="str">
        <f ca="1">IFERROR(__xludf.DUMMYFUNCTION("""COMPUTED_VALUE"""),"Yes")</f>
        <v>Yes</v>
      </c>
      <c r="V81" s="5" t="str">
        <f ca="1">IFERROR(__xludf.DUMMYFUNCTION("""COMPUTED_VALUE"""),"Dismissal")</f>
        <v>Dismissal</v>
      </c>
      <c r="W81" s="10">
        <f ca="1">IFERROR(__xludf.DUMMYFUNCTION("""COMPUTED_VALUE"""),0.625)</f>
        <v>0.625</v>
      </c>
      <c r="X81" s="5">
        <f ca="1">IFERROR(__xludf.DUMMYFUNCTION("""COMPUTED_VALUE"""),1)</f>
        <v>1</v>
      </c>
      <c r="Y81" s="5" t="str">
        <f ca="1">IFERROR(__xludf.DUMMYFUNCTION("""COMPUTED_VALUE"""),"Student fatally shot at dismissal waiting for bus")</f>
        <v>Student fatally shot at dismissal waiting for bus</v>
      </c>
      <c r="Z81" s="5" t="str">
        <f ca="1">IFERROR(__xludf.DUMMYFUNCTION("""COMPUTED_VALUE"""),"18-year-old student was fatally shot at the bus stop in front of the school at dismissal. ")</f>
        <v xml:space="preserve">18-year-old student was fatally shot at the bus stop in front of the school at dismissal. </v>
      </c>
      <c r="AA81" s="5"/>
      <c r="AB81" s="5"/>
      <c r="AC81" s="5"/>
      <c r="AD81" s="5" t="str">
        <f ca="1">IFERROR(__xludf.DUMMYFUNCTION("""COMPUTED_VALUE"""),"No")</f>
        <v>No</v>
      </c>
      <c r="AE81" s="5" t="str">
        <f ca="1">IFERROR(__xludf.DUMMYFUNCTION("""COMPUTED_VALUE"""),"No")</f>
        <v>No</v>
      </c>
      <c r="AF81" s="5" t="str">
        <f ca="1">IFERROR(__xludf.DUMMYFUNCTION("""COMPUTED_VALUE"""),"No")</f>
        <v>No</v>
      </c>
      <c r="AG81" s="5"/>
      <c r="AH81" s="5" t="str">
        <f ca="1">IFERROR(__xludf.DUMMYFUNCTION("""COMPUTED_VALUE"""),"No")</f>
        <v>No</v>
      </c>
      <c r="AI81" s="5"/>
      <c r="AJ81" s="5" t="str">
        <f ca="1">IFERROR(__xludf.DUMMYFUNCTION("""COMPUTED_VALUE"""),"No")</f>
        <v>No</v>
      </c>
    </row>
    <row r="82" spans="1:36" ht="13">
      <c r="A82" s="5" t="str">
        <f ca="1">IFERROR(__xludf.DUMMYFUNCTION("""COMPUTED_VALUE"""),"20230110LABON")</f>
        <v>20230110LABON</v>
      </c>
      <c r="B82" s="5">
        <f ca="1">IFERROR(__xludf.DUMMYFUNCTION("""COMPUTED_VALUE"""),1)</f>
        <v>1</v>
      </c>
      <c r="C82" s="5">
        <f ca="1">IFERROR(__xludf.DUMMYFUNCTION("""COMPUTED_VALUE"""),10)</f>
        <v>10</v>
      </c>
      <c r="D82" s="5">
        <f ca="1">IFERROR(__xludf.DUMMYFUNCTION("""COMPUTED_VALUE"""),2023)</f>
        <v>2023</v>
      </c>
      <c r="E82" s="8">
        <f ca="1">IFERROR(__xludf.DUMMYFUNCTION("""COMPUTED_VALUE"""),44936)</f>
        <v>44936</v>
      </c>
      <c r="F82" s="5" t="str">
        <f ca="1">IFERROR(__xludf.DUMMYFUNCTION("""COMPUTED_VALUE"""),"Booker T. Washington High School")</f>
        <v>Booker T. Washington High School</v>
      </c>
      <c r="G82" s="5">
        <f ca="1">IFERROR(__xludf.DUMMYFUNCTION("""COMPUTED_VALUE"""),0)</f>
        <v>0</v>
      </c>
      <c r="H82" s="5">
        <f ca="1">IFERROR(__xludf.DUMMYFUNCTION("""COMPUTED_VALUE"""),1)</f>
        <v>1</v>
      </c>
      <c r="I82" s="5">
        <f ca="1">IFERROR(__xludf.DUMMYFUNCTION("""COMPUTED_VALUE"""),1)</f>
        <v>1</v>
      </c>
      <c r="J82" s="5">
        <f ca="1">IFERROR(__xludf.DUMMYFUNCTION("""COMPUTED_VALUE"""),0)</f>
        <v>0</v>
      </c>
      <c r="K82" s="9" t="str">
        <f ca="1">IFERROR(__xludf.DUMMYFUNCTION("""COMPUTED_VALUE"""),"https://www.wwltv.com/article/news/crime/nopd-investigating-shooting-at-booker-t-washington-high-school/289-4590bc69-0374-4c8a-9c77-6f03c773324b")</f>
        <v>https://www.wwltv.com/article/news/crime/nopd-investigating-shooting-at-booker-t-washington-high-school/289-4590bc69-0374-4c8a-9c77-6f03c773324b</v>
      </c>
      <c r="L82" s="5">
        <f ca="1">IFERROR(__xludf.DUMMYFUNCTION("""COMPUTED_VALUE"""),4)</f>
        <v>4</v>
      </c>
      <c r="M82" s="5" t="str">
        <f ca="1">IFERROR(__xludf.DUMMYFUNCTION("""COMPUTED_VALUE"""),"Local")</f>
        <v>Local</v>
      </c>
      <c r="N82" s="5">
        <f ca="1">IFERROR(__xludf.DUMMYFUNCTION("""COMPUTED_VALUE"""),4)</f>
        <v>4</v>
      </c>
      <c r="O82" s="5" t="str">
        <f ca="1">IFERROR(__xludf.DUMMYFUNCTION("""COMPUTED_VALUE"""),"Winter")</f>
        <v>Winter</v>
      </c>
      <c r="P82" s="5" t="str">
        <f ca="1">IFERROR(__xludf.DUMMYFUNCTION("""COMPUTED_VALUE"""),"New Orleans")</f>
        <v>New Orleans</v>
      </c>
      <c r="Q82" s="5" t="str">
        <f ca="1">IFERROR(__xludf.DUMMYFUNCTION("""COMPUTED_VALUE"""),"LA")</f>
        <v>LA</v>
      </c>
      <c r="R82" s="5" t="str">
        <f ca="1">IFERROR(__xludf.DUMMYFUNCTION("""COMPUTED_VALUE"""),"High")</f>
        <v>High</v>
      </c>
      <c r="S82" s="5" t="str">
        <f ca="1">IFERROR(__xludf.DUMMYFUNCTION("""COMPUTED_VALUE"""),"Front of School")</f>
        <v>Front of School</v>
      </c>
      <c r="T82" s="5" t="str">
        <f ca="1">IFERROR(__xludf.DUMMYFUNCTION("""COMPUTED_VALUE"""),"Outside on School Property")</f>
        <v>Outside on School Property</v>
      </c>
      <c r="U82" s="5" t="str">
        <f ca="1">IFERROR(__xludf.DUMMYFUNCTION("""COMPUTED_VALUE"""),"Yes")</f>
        <v>Yes</v>
      </c>
      <c r="V82" s="5" t="str">
        <f ca="1">IFERROR(__xludf.DUMMYFUNCTION("""COMPUTED_VALUE"""),"Dismissal")</f>
        <v>Dismissal</v>
      </c>
      <c r="W82" s="10">
        <f ca="1">IFERROR(__xludf.DUMMYFUNCTION("""COMPUTED_VALUE"""),0.645833333333333)</f>
        <v>0.64583333333333304</v>
      </c>
      <c r="X82" s="5">
        <f ca="1">IFERROR(__xludf.DUMMYFUNCTION("""COMPUTED_VALUE"""),1)</f>
        <v>1</v>
      </c>
      <c r="Y82" s="5" t="str">
        <f ca="1">IFERROR(__xludf.DUMMYFUNCTION("""COMPUTED_VALUE"""),"Student shot at dismissal during drive-by")</f>
        <v>Student shot at dismissal during drive-by</v>
      </c>
      <c r="Z82" s="5" t="str">
        <f ca="1">IFERROR(__xludf.DUMMYFUNCTION("""COMPUTED_VALUE"""),"Police say the shooting happened around 3:30 p.m. and identified the victim as a 16-year-old boy. NOPD says he was shot in the leg. Shots fired from a vehicle. The shooting happened outside of the school during dismissal. The school was placed on lockdown"&amp;", which has since been lifted.")</f>
        <v>Police say the shooting happened around 3:30 p.m. and identified the victim as a 16-year-old boy. NOPD says he was shot in the leg. Shots fired from a vehicle. The shooting happened outside of the school during dismissal. The school was placed on lockdown, which has since been lifted.</v>
      </c>
      <c r="AA82" s="5" t="str">
        <f ca="1">IFERROR(__xludf.DUMMYFUNCTION("""COMPUTED_VALUE"""),"Drive-by Shooting")</f>
        <v>Drive-by Shooting</v>
      </c>
      <c r="AB82" s="5"/>
      <c r="AC82" s="5"/>
      <c r="AD82" s="5" t="str">
        <f ca="1">IFERROR(__xludf.DUMMYFUNCTION("""COMPUTED_VALUE"""),"No")</f>
        <v>No</v>
      </c>
      <c r="AE82" s="5" t="str">
        <f ca="1">IFERROR(__xludf.DUMMYFUNCTION("""COMPUTED_VALUE"""),"No")</f>
        <v>No</v>
      </c>
      <c r="AF82" s="5" t="str">
        <f ca="1">IFERROR(__xludf.DUMMYFUNCTION("""COMPUTED_VALUE"""),"No")</f>
        <v>No</v>
      </c>
      <c r="AG82" s="5" t="str">
        <f ca="1">IFERROR(__xludf.DUMMYFUNCTION("""COMPUTED_VALUE"""),"No")</f>
        <v>No</v>
      </c>
      <c r="AH82" s="5" t="str">
        <f ca="1">IFERROR(__xludf.DUMMYFUNCTION("""COMPUTED_VALUE"""),"No")</f>
        <v>No</v>
      </c>
      <c r="AI82" s="5"/>
      <c r="AJ82" s="5" t="str">
        <f ca="1">IFERROR(__xludf.DUMMYFUNCTION("""COMPUTED_VALUE"""),"No")</f>
        <v>No</v>
      </c>
    </row>
    <row r="83" spans="1:36" ht="13">
      <c r="A83" s="5" t="str">
        <f ca="1">IFERROR(__xludf.DUMMYFUNCTION("""COMPUTED_VALUE"""),"20230109VAPRW")</f>
        <v>20230109VAPRW</v>
      </c>
      <c r="B83" s="5">
        <f ca="1">IFERROR(__xludf.DUMMYFUNCTION("""COMPUTED_VALUE"""),1)</f>
        <v>1</v>
      </c>
      <c r="C83" s="5">
        <f ca="1">IFERROR(__xludf.DUMMYFUNCTION("""COMPUTED_VALUE"""),9)</f>
        <v>9</v>
      </c>
      <c r="D83" s="5">
        <f ca="1">IFERROR(__xludf.DUMMYFUNCTION("""COMPUTED_VALUE"""),2023)</f>
        <v>2023</v>
      </c>
      <c r="E83" s="8">
        <f ca="1">IFERROR(__xludf.DUMMYFUNCTION("""COMPUTED_VALUE"""),44935)</f>
        <v>44935</v>
      </c>
      <c r="F83" s="5" t="str">
        <f ca="1">IFERROR(__xludf.DUMMYFUNCTION("""COMPUTED_VALUE"""),"Prince Williams County School Bus")</f>
        <v>Prince Williams County School Bus</v>
      </c>
      <c r="G83" s="5">
        <f ca="1">IFERROR(__xludf.DUMMYFUNCTION("""COMPUTED_VALUE"""),0)</f>
        <v>0</v>
      </c>
      <c r="H83" s="5">
        <f ca="1">IFERROR(__xludf.DUMMYFUNCTION("""COMPUTED_VALUE"""),0)</f>
        <v>0</v>
      </c>
      <c r="I83" s="5">
        <f ca="1">IFERROR(__xludf.DUMMYFUNCTION("""COMPUTED_VALUE"""),0)</f>
        <v>0</v>
      </c>
      <c r="J83" s="5">
        <f ca="1">IFERROR(__xludf.DUMMYFUNCTION("""COMPUTED_VALUE"""),0)</f>
        <v>0</v>
      </c>
      <c r="K83" s="9" t="str">
        <f ca="1">IFERROR(__xludf.DUMMYFUNCTION("""COMPUTED_VALUE"""),"https://www.potomaclocal.com/2023/01/10/philadelphia-man-shot-pellets-at-county-school-bus-police-said/")</f>
        <v>https://www.potomaclocal.com/2023/01/10/philadelphia-man-shot-pellets-at-county-school-bus-police-said/</v>
      </c>
      <c r="L83" s="5">
        <f ca="1">IFERROR(__xludf.DUMMYFUNCTION("""COMPUTED_VALUE"""),1)</f>
        <v>1</v>
      </c>
      <c r="M83" s="5" t="str">
        <f ca="1">IFERROR(__xludf.DUMMYFUNCTION("""COMPUTED_VALUE"""),"Local")</f>
        <v>Local</v>
      </c>
      <c r="N83" s="5">
        <f ca="1">IFERROR(__xludf.DUMMYFUNCTION("""COMPUTED_VALUE"""),4)</f>
        <v>4</v>
      </c>
      <c r="O83" s="5" t="str">
        <f ca="1">IFERROR(__xludf.DUMMYFUNCTION("""COMPUTED_VALUE"""),"Winter")</f>
        <v>Winter</v>
      </c>
      <c r="P83" s="5" t="str">
        <f ca="1">IFERROR(__xludf.DUMMYFUNCTION("""COMPUTED_VALUE"""),"Woodbridge")</f>
        <v>Woodbridge</v>
      </c>
      <c r="Q83" s="5" t="str">
        <f ca="1">IFERROR(__xludf.DUMMYFUNCTION("""COMPUTED_VALUE"""),"VA")</f>
        <v>VA</v>
      </c>
      <c r="R83" s="5" t="str">
        <f ca="1">IFERROR(__xludf.DUMMYFUNCTION("""COMPUTED_VALUE"""),"Other")</f>
        <v>Other</v>
      </c>
      <c r="S83" s="5" t="str">
        <f ca="1">IFERROR(__xludf.DUMMYFUNCTION("""COMPUTED_VALUE"""),"School Bus")</f>
        <v>School Bus</v>
      </c>
      <c r="T83" s="5" t="str">
        <f ca="1">IFERROR(__xludf.DUMMYFUNCTION("""COMPUTED_VALUE"""),"School Bus")</f>
        <v>School Bus</v>
      </c>
      <c r="U83" s="5" t="str">
        <f ca="1">IFERROR(__xludf.DUMMYFUNCTION("""COMPUTED_VALUE"""),"Yes")</f>
        <v>Yes</v>
      </c>
      <c r="V83" s="5" t="str">
        <f ca="1">IFERROR(__xludf.DUMMYFUNCTION("""COMPUTED_VALUE"""),"Dismissal")</f>
        <v>Dismissal</v>
      </c>
      <c r="W83" s="10">
        <f ca="1">IFERROR(__xludf.DUMMYFUNCTION("""COMPUTED_VALUE"""),0.661111111111111)</f>
        <v>0.66111111111111098</v>
      </c>
      <c r="X83" s="5">
        <f ca="1">IFERROR(__xludf.DUMMYFUNCTION("""COMPUTED_VALUE"""),1)</f>
        <v>1</v>
      </c>
      <c r="Y83" s="5" t="str">
        <f ca="1">IFERROR(__xludf.DUMMYFUNCTION("""COMPUTED_VALUE"""),"Man fired pellet gun at school bus")</f>
        <v>Man fired pellet gun at school bus</v>
      </c>
      <c r="Z83" s="5" t="str">
        <f ca="1">IFERROR(__xludf.DUMMYFUNCTION("""COMPUTED_VALUE"""),"On Monday, January 9, at 3:52 p.m., officers responded to the area of Rollingwood Dr. and Jenny Dr. in Woodbridge to investigate the report of projectiles fired at an occupied school bus. While responding to the area, officers observed a gel-pellet gun on"&amp;" the ground near two males who matched the description provided to police. The males were detained without incident, and the gel-pellet gun was secured by officers. The investigation revealed one of the males, identified as the accused, fired multiple gel"&amp;"-based projectiles, striking the school bus before walking away. At the time of the incident, the school bus was occupied by one student and the bus driver, neither of whom was injured. No other injuries or property damage were reported. During the invest"&amp;"igation, the accused was also found in possession of suspected marijuana. Yazid Abdul Withrow Thomas, 18, is charged with shooting missiles at an occupied vehicle, brandishing a firearm, and possessing marijuana by a person under 21.")</f>
        <v>On Monday, January 9, at 3:52 p.m., officers responded to the area of Rollingwood Dr. and Jenny Dr. in Woodbridge to investigate the report of projectiles fired at an occupied school bus. While responding to the area, officers observed a gel-pellet gun on the ground near two males who matched the description provided to police. The males were detained without incident, and the gel-pellet gun was secured by officers. The investigation revealed one of the males, identified as the accused, fired multiple gel-based projectiles, striking the school bus before walking away. At the time of the incident, the school bus was occupied by one student and the bus driver, neither of whom was injured. No other injuries or property damage were reported. During the investigation, the accused was also found in possession of suspected marijuana. Yazid Abdul Withrow Thomas, 18, is charged with shooting missiles at an occupied vehicle, brandishing a firearm, and possessing marijuana by a person under 21.</v>
      </c>
      <c r="AA83" s="5" t="str">
        <f ca="1">IFERROR(__xludf.DUMMYFUNCTION("""COMPUTED_VALUE"""),"Intentional Property Damage")</f>
        <v>Intentional Property Damage</v>
      </c>
      <c r="AB83" s="5"/>
      <c r="AC83" s="5" t="str">
        <f ca="1">IFERROR(__xludf.DUMMYFUNCTION("""COMPUTED_VALUE"""),"No")</f>
        <v>No</v>
      </c>
      <c r="AD83" s="5" t="str">
        <f ca="1">IFERROR(__xludf.DUMMYFUNCTION("""COMPUTED_VALUE"""),"No")</f>
        <v>No</v>
      </c>
      <c r="AE83" s="5" t="str">
        <f ca="1">IFERROR(__xludf.DUMMYFUNCTION("""COMPUTED_VALUE"""),"No")</f>
        <v>No</v>
      </c>
      <c r="AF83" s="5" t="str">
        <f ca="1">IFERROR(__xludf.DUMMYFUNCTION("""COMPUTED_VALUE"""),"No")</f>
        <v>No</v>
      </c>
      <c r="AG83" s="5" t="str">
        <f ca="1">IFERROR(__xludf.DUMMYFUNCTION("""COMPUTED_VALUE"""),"No")</f>
        <v>No</v>
      </c>
      <c r="AH83" s="5" t="str">
        <f ca="1">IFERROR(__xludf.DUMMYFUNCTION("""COMPUTED_VALUE"""),"No")</f>
        <v>No</v>
      </c>
      <c r="AI83" s="5"/>
      <c r="AJ83" s="5" t="str">
        <f ca="1">IFERROR(__xludf.DUMMYFUNCTION("""COMPUTED_VALUE"""),"No")</f>
        <v>No</v>
      </c>
    </row>
    <row r="84" spans="1:36" ht="13">
      <c r="A84" s="5" t="str">
        <f ca="1">IFERROR(__xludf.DUMMYFUNCTION("""COMPUTED_VALUE"""),"20230107ORFRP")</f>
        <v>20230107ORFRP</v>
      </c>
      <c r="B84" s="5">
        <f ca="1">IFERROR(__xludf.DUMMYFUNCTION("""COMPUTED_VALUE"""),1)</f>
        <v>1</v>
      </c>
      <c r="C84" s="5">
        <f ca="1">IFERROR(__xludf.DUMMYFUNCTION("""COMPUTED_VALUE"""),7)</f>
        <v>7</v>
      </c>
      <c r="D84" s="5">
        <f ca="1">IFERROR(__xludf.DUMMYFUNCTION("""COMPUTED_VALUE"""),2023)</f>
        <v>2023</v>
      </c>
      <c r="E84" s="8">
        <f ca="1">IFERROR(__xludf.DUMMYFUNCTION("""COMPUTED_VALUE"""),44933)</f>
        <v>44933</v>
      </c>
      <c r="F84" s="5" t="str">
        <f ca="1">IFERROR(__xludf.DUMMYFUNCTION("""COMPUTED_VALUE"""),"Franklin High School")</f>
        <v>Franklin High School</v>
      </c>
      <c r="G84" s="5">
        <f ca="1">IFERROR(__xludf.DUMMYFUNCTION("""COMPUTED_VALUE"""),0)</f>
        <v>0</v>
      </c>
      <c r="H84" s="5">
        <f ca="1">IFERROR(__xludf.DUMMYFUNCTION("""COMPUTED_VALUE"""),1)</f>
        <v>1</v>
      </c>
      <c r="I84" s="5">
        <f ca="1">IFERROR(__xludf.DUMMYFUNCTION("""COMPUTED_VALUE"""),1)</f>
        <v>1</v>
      </c>
      <c r="J84" s="5">
        <f ca="1">IFERROR(__xludf.DUMMYFUNCTION("""COMPUTED_VALUE"""),0)</f>
        <v>0</v>
      </c>
      <c r="K84" s="9" t="str">
        <f ca="1">IFERROR(__xludf.DUMMYFUNCTION("""COMPUTED_VALUE"""),"https://www.koin.com/news/crime/franklin-high-school-basketball-parking-lot-shooting-01082023/
https://www.portlandoregon.gov/police/news/read.cfm?id=452696")</f>
        <v>https://www.koin.com/news/crime/franklin-high-school-basketball-parking-lot-shooting-01082023/
https://www.portlandoregon.gov/police/news/read.cfm?id=452696</v>
      </c>
      <c r="L84" s="5">
        <f ca="1">IFERROR(__xludf.DUMMYFUNCTION("""COMPUTED_VALUE"""),10)</f>
        <v>10</v>
      </c>
      <c r="M84" s="5" t="str">
        <f ca="1">IFERROR(__xludf.DUMMYFUNCTION("""COMPUTED_VALUE"""),"Local")</f>
        <v>Local</v>
      </c>
      <c r="N84" s="5">
        <f ca="1">IFERROR(__xludf.DUMMYFUNCTION("""COMPUTED_VALUE"""),4)</f>
        <v>4</v>
      </c>
      <c r="O84" s="5" t="str">
        <f ca="1">IFERROR(__xludf.DUMMYFUNCTION("""COMPUTED_VALUE"""),"Winter")</f>
        <v>Winter</v>
      </c>
      <c r="P84" s="5" t="str">
        <f ca="1">IFERROR(__xludf.DUMMYFUNCTION("""COMPUTED_VALUE"""),"Portland")</f>
        <v>Portland</v>
      </c>
      <c r="Q84" s="5" t="str">
        <f ca="1">IFERROR(__xludf.DUMMYFUNCTION("""COMPUTED_VALUE"""),"OR")</f>
        <v>OR</v>
      </c>
      <c r="R84" s="5" t="str">
        <f ca="1">IFERROR(__xludf.DUMMYFUNCTION("""COMPUTED_VALUE"""),"High")</f>
        <v>High</v>
      </c>
      <c r="S84" s="5" t="str">
        <f ca="1">IFERROR(__xludf.DUMMYFUNCTION("""COMPUTED_VALUE"""),"Parking Lot")</f>
        <v>Parking Lot</v>
      </c>
      <c r="T84" s="5" t="str">
        <f ca="1">IFERROR(__xludf.DUMMYFUNCTION("""COMPUTED_VALUE"""),"Outside on School Property")</f>
        <v>Outside on School Property</v>
      </c>
      <c r="U84" s="5" t="str">
        <f ca="1">IFERROR(__xludf.DUMMYFUNCTION("""COMPUTED_VALUE"""),"No")</f>
        <v>No</v>
      </c>
      <c r="V84" s="5" t="str">
        <f ca="1">IFERROR(__xludf.DUMMYFUNCTION("""COMPUTED_VALUE"""),"Sport Event")</f>
        <v>Sport Event</v>
      </c>
      <c r="W84" s="10">
        <f ca="1">IFERROR(__xludf.DUMMYFUNCTION("""COMPUTED_VALUE"""),0.819444444444444)</f>
        <v>0.81944444444444398</v>
      </c>
      <c r="X84" s="5">
        <f ca="1">IFERROR(__xludf.DUMMYFUNCTION("""COMPUTED_VALUE"""),1)</f>
        <v>1</v>
      </c>
      <c r="Y84" s="5" t="str">
        <f ca="1">IFERROR(__xludf.DUMMYFUNCTION("""COMPUTED_VALUE"""),"Teen shot in parking lot during high school basketball game")</f>
        <v>Teen shot in parking lot during high school basketball game</v>
      </c>
      <c r="Z84" s="5" t="str">
        <f ca="1">IFERROR(__xludf.DUMMYFUNCTION("""COMPUTED_VALUE"""),"Gunfire in the parking lot at Franklin High School left one person with a minor injury, one person detained and forced the cancellation of a basketball game Saturday night. The incident happened around 7:40 p.m. as Cleveland High was playing Roosevelt Hig"&amp;"h at the school, 5405 SE Woodward. A Portland officer assigned to Franklin High heard the shots, called for help and began to look into the shooting. One player with Roosevelt High School who spoke with KOIN 6 News said he was on the court when the chaos "&amp;"broke out. He didn’t hear the gunshots but said he took off as soon as he saw the stampede of fans fleeing. “I was on the court and all I heard was my coaches telling me to run and then we ran outside onto the field and some of our gear got messed up. And"&amp;" we were told the game was supposed to continue but it ended up being postponed,” he said. “I don’t want to play here again.”")</f>
        <v>Gunfire in the parking lot at Franklin High School left one person with a minor injury, one person detained and forced the cancellation of a basketball game Saturday night. The incident happened around 7:40 p.m. as Cleveland High was playing Roosevelt High at the school, 5405 SE Woodward. A Portland officer assigned to Franklin High heard the shots, called for help and began to look into the shooting. One player with Roosevelt High School who spoke with KOIN 6 News said he was on the court when the chaos broke out. He didn’t hear the gunshots but said he took off as soon as he saw the stampede of fans fleeing. “I was on the court and all I heard was my coaches telling me to run and then we ran outside onto the field and some of our gear got messed up. And we were told the game was supposed to continue but it ended up being postponed,” he said. “I don’t want to play here again.”</v>
      </c>
      <c r="AA84" s="5"/>
      <c r="AB84" s="5" t="str">
        <f ca="1">IFERROR(__xludf.DUMMYFUNCTION("""COMPUTED_VALUE"""),"Victims Targeted")</f>
        <v>Victims Targeted</v>
      </c>
      <c r="AC84" s="5" t="str">
        <f ca="1">IFERROR(__xludf.DUMMYFUNCTION("""COMPUTED_VALUE"""),"No")</f>
        <v>No</v>
      </c>
      <c r="AD84" s="5" t="str">
        <f ca="1">IFERROR(__xludf.DUMMYFUNCTION("""COMPUTED_VALUE"""),"No")</f>
        <v>No</v>
      </c>
      <c r="AE84" s="5" t="str">
        <f ca="1">IFERROR(__xludf.DUMMYFUNCTION("""COMPUTED_VALUE"""),"No")</f>
        <v>No</v>
      </c>
      <c r="AF84" s="5" t="str">
        <f ca="1">IFERROR(__xludf.DUMMYFUNCTION("""COMPUTED_VALUE"""),"No")</f>
        <v>No</v>
      </c>
      <c r="AG84" s="5" t="str">
        <f ca="1">IFERROR(__xludf.DUMMYFUNCTION("""COMPUTED_VALUE"""),"No")</f>
        <v>No</v>
      </c>
      <c r="AH84" s="5" t="str">
        <f ca="1">IFERROR(__xludf.DUMMYFUNCTION("""COMPUTED_VALUE"""),"No")</f>
        <v>No</v>
      </c>
      <c r="AI84" s="5"/>
      <c r="AJ84" s="5" t="str">
        <f ca="1">IFERROR(__xludf.DUMMYFUNCTION("""COMPUTED_VALUE"""),"No")</f>
        <v>No</v>
      </c>
    </row>
    <row r="85" spans="1:36" ht="13">
      <c r="A85" s="5" t="str">
        <f ca="1">IFERROR(__xludf.DUMMYFUNCTION("""COMPUTED_VALUE"""),"20230106FLWEA")</f>
        <v>20230106FLWEA</v>
      </c>
      <c r="B85" s="5">
        <f ca="1">IFERROR(__xludf.DUMMYFUNCTION("""COMPUTED_VALUE"""),1)</f>
        <v>1</v>
      </c>
      <c r="C85" s="5">
        <f ca="1">IFERROR(__xludf.DUMMYFUNCTION("""COMPUTED_VALUE"""),6)</f>
        <v>6</v>
      </c>
      <c r="D85" s="5">
        <f ca="1">IFERROR(__xludf.DUMMYFUNCTION("""COMPUTED_VALUE"""),2023)</f>
        <v>2023</v>
      </c>
      <c r="E85" s="8">
        <f ca="1">IFERROR(__xludf.DUMMYFUNCTION("""COMPUTED_VALUE"""),44933)</f>
        <v>44933</v>
      </c>
      <c r="F85" s="5" t="str">
        <f ca="1">IFERROR(__xludf.DUMMYFUNCTION("""COMPUTED_VALUE"""),"Wekiva High School")</f>
        <v>Wekiva High School</v>
      </c>
      <c r="G85" s="5">
        <f ca="1">IFERROR(__xludf.DUMMYFUNCTION("""COMPUTED_VALUE"""),0)</f>
        <v>0</v>
      </c>
      <c r="H85" s="5">
        <f ca="1">IFERROR(__xludf.DUMMYFUNCTION("""COMPUTED_VALUE"""),1)</f>
        <v>1</v>
      </c>
      <c r="I85" s="5">
        <f ca="1">IFERROR(__xludf.DUMMYFUNCTION("""COMPUTED_VALUE"""),1)</f>
        <v>1</v>
      </c>
      <c r="J85" s="5">
        <f ca="1">IFERROR(__xludf.DUMMYFUNCTION("""COMPUTED_VALUE"""),0)</f>
        <v>0</v>
      </c>
      <c r="K85" s="9" t="str">
        <f ca="1">IFERROR(__xludf.DUMMYFUNCTION("""COMPUTED_VALUE"""),"https://www.wesh.com/article/apopka-wekiva-high-school-teen-shot/42424577
https://www.wftv.com/news/local/orange-county/orange-county-deputies-search-suspect-after-teen-shot-near-wekiva-high-school/XMT6V3ZCMVGOBHT2OKVEMFVLLI/")</f>
        <v>https://www.wesh.com/article/apopka-wekiva-high-school-teen-shot/42424577
https://www.wftv.com/news/local/orange-county/orange-county-deputies-search-suspect-after-teen-shot-near-wekiva-high-school/XMT6V3ZCMVGOBHT2OKVEMFVLLI/</v>
      </c>
      <c r="L85" s="5">
        <f ca="1">IFERROR(__xludf.DUMMYFUNCTION("""COMPUTED_VALUE"""),10)</f>
        <v>10</v>
      </c>
      <c r="M85" s="5" t="str">
        <f ca="1">IFERROR(__xludf.DUMMYFUNCTION("""COMPUTED_VALUE"""),"Local")</f>
        <v>Local</v>
      </c>
      <c r="N85" s="5">
        <f ca="1">IFERROR(__xludf.DUMMYFUNCTION("""COMPUTED_VALUE"""),4)</f>
        <v>4</v>
      </c>
      <c r="O85" s="5" t="str">
        <f ca="1">IFERROR(__xludf.DUMMYFUNCTION("""COMPUTED_VALUE"""),"Winter")</f>
        <v>Winter</v>
      </c>
      <c r="P85" s="5" t="str">
        <f ca="1">IFERROR(__xludf.DUMMYFUNCTION("""COMPUTED_VALUE"""),"Apopka")</f>
        <v>Apopka</v>
      </c>
      <c r="Q85" s="5" t="str">
        <f ca="1">IFERROR(__xludf.DUMMYFUNCTION("""COMPUTED_VALUE"""),"FL")</f>
        <v>FL</v>
      </c>
      <c r="R85" s="5" t="str">
        <f ca="1">IFERROR(__xludf.DUMMYFUNCTION("""COMPUTED_VALUE"""),"High")</f>
        <v>High</v>
      </c>
      <c r="S85" s="5" t="str">
        <f ca="1">IFERROR(__xludf.DUMMYFUNCTION("""COMPUTED_VALUE"""),"Parking Lot")</f>
        <v>Parking Lot</v>
      </c>
      <c r="T85" s="5" t="str">
        <f ca="1">IFERROR(__xludf.DUMMYFUNCTION("""COMPUTED_VALUE"""),"Outside on School Property")</f>
        <v>Outside on School Property</v>
      </c>
      <c r="U85" s="5" t="str">
        <f ca="1">IFERROR(__xludf.DUMMYFUNCTION("""COMPUTED_VALUE"""),"No")</f>
        <v>No</v>
      </c>
      <c r="V85" s="5" t="str">
        <f ca="1">IFERROR(__xludf.DUMMYFUNCTION("""COMPUTED_VALUE"""),"Sport Event")</f>
        <v>Sport Event</v>
      </c>
      <c r="W85" s="10">
        <f ca="1">IFERROR(__xludf.DUMMYFUNCTION("""COMPUTED_VALUE"""),0.875)</f>
        <v>0.875</v>
      </c>
      <c r="X85" s="5">
        <f ca="1">IFERROR(__xludf.DUMMYFUNCTION("""COMPUTED_VALUE"""),1)</f>
        <v>1</v>
      </c>
      <c r="Y85" s="5" t="str">
        <f ca="1">IFERROR(__xludf.DUMMYFUNCTION("""COMPUTED_VALUE"""),"Teen shot leaving gym during high school basketball game")</f>
        <v>Teen shot leaving gym during high school basketball game</v>
      </c>
      <c r="Z85" s="5" t="str">
        <f ca="1">IFERROR(__xludf.DUMMYFUNCTION("""COMPUTED_VALUE"""),"Deputies said the teenage boy was caught in the crossfire in the parking lot, and was taken to the hospital. Shooting was targeted, the student who was shot was a bystander and not the target.")</f>
        <v>Deputies said the teenage boy was caught in the crossfire in the parking lot, and was taken to the hospital. Shooting was targeted, the student who was shot was a bystander and not the target.</v>
      </c>
      <c r="AA85" s="5" t="str">
        <f ca="1">IFERROR(__xludf.DUMMYFUNCTION("""COMPUTED_VALUE"""),"Escalation of Dispute")</f>
        <v>Escalation of Dispute</v>
      </c>
      <c r="AB85" s="5" t="str">
        <f ca="1">IFERROR(__xludf.DUMMYFUNCTION("""COMPUTED_VALUE"""),"Both")</f>
        <v>Both</v>
      </c>
      <c r="AC85" s="5"/>
      <c r="AD85" s="5" t="str">
        <f ca="1">IFERROR(__xludf.DUMMYFUNCTION("""COMPUTED_VALUE"""),"No")</f>
        <v>No</v>
      </c>
      <c r="AE85" s="5" t="str">
        <f ca="1">IFERROR(__xludf.DUMMYFUNCTION("""COMPUTED_VALUE"""),"No")</f>
        <v>No</v>
      </c>
      <c r="AF85" s="5" t="str">
        <f ca="1">IFERROR(__xludf.DUMMYFUNCTION("""COMPUTED_VALUE"""),"No")</f>
        <v>No</v>
      </c>
      <c r="AG85" s="5" t="str">
        <f ca="1">IFERROR(__xludf.DUMMYFUNCTION("""COMPUTED_VALUE"""),"No")</f>
        <v>No</v>
      </c>
      <c r="AH85" s="5" t="str">
        <f ca="1">IFERROR(__xludf.DUMMYFUNCTION("""COMPUTED_VALUE"""),"No")</f>
        <v>No</v>
      </c>
      <c r="AI85" s="5"/>
      <c r="AJ85" s="5" t="str">
        <f ca="1">IFERROR(__xludf.DUMMYFUNCTION("""COMPUTED_VALUE"""),"No")</f>
        <v>No</v>
      </c>
    </row>
    <row r="86" spans="1:36" ht="13">
      <c r="A86" s="5" t="str">
        <f ca="1">IFERROR(__xludf.DUMMYFUNCTION("""COMPUTED_VALUE"""),"20230106MIOAD")</f>
        <v>20230106MIOAD</v>
      </c>
      <c r="B86" s="5">
        <f ca="1">IFERROR(__xludf.DUMMYFUNCTION("""COMPUTED_VALUE"""),1)</f>
        <v>1</v>
      </c>
      <c r="C86" s="5">
        <f ca="1">IFERROR(__xludf.DUMMYFUNCTION("""COMPUTED_VALUE"""),6)</f>
        <v>6</v>
      </c>
      <c r="D86" s="5">
        <f ca="1">IFERROR(__xludf.DUMMYFUNCTION("""COMPUTED_VALUE"""),2023)</f>
        <v>2023</v>
      </c>
      <c r="E86" s="8">
        <f ca="1">IFERROR(__xludf.DUMMYFUNCTION("""COMPUTED_VALUE"""),44932)</f>
        <v>44932</v>
      </c>
      <c r="F86" s="5" t="str">
        <f ca="1">IFERROR(__xludf.DUMMYFUNCTION("""COMPUTED_VALUE"""),"Oak Park High School")</f>
        <v>Oak Park High School</v>
      </c>
      <c r="G86" s="5">
        <f ca="1">IFERROR(__xludf.DUMMYFUNCTION("""COMPUTED_VALUE"""),0)</f>
        <v>0</v>
      </c>
      <c r="H86" s="5">
        <f ca="1">IFERROR(__xludf.DUMMYFUNCTION("""COMPUTED_VALUE"""),1)</f>
        <v>1</v>
      </c>
      <c r="I86" s="5">
        <f ca="1">IFERROR(__xludf.DUMMYFUNCTION("""COMPUTED_VALUE"""),1)</f>
        <v>1</v>
      </c>
      <c r="J86" s="5">
        <f ca="1">IFERROR(__xludf.DUMMYFUNCTION("""COMPUTED_VALUE"""),0)</f>
        <v>0</v>
      </c>
      <c r="K86" s="5" t="str">
        <f ca="1">IFERROR(__xludf.DUMMYFUNCTION("""COMPUTED_VALUE"""),"https://www.fox2detroit.com/news/teen-injured-in-shooting-outside-oak-park-high-school-after-basketball-game
https://www.fox2detroit.com/news/teen-shot-outside-oak-park-high-school-by-suspects-trying-to-steal-his-gold-chain")</f>
        <v>https://www.fox2detroit.com/news/teen-injured-in-shooting-outside-oak-park-high-school-after-basketball-game
https://www.fox2detroit.com/news/teen-shot-outside-oak-park-high-school-by-suspects-trying-to-steal-his-gold-chain</v>
      </c>
      <c r="L86" s="5">
        <f ca="1">IFERROR(__xludf.DUMMYFUNCTION("""COMPUTED_VALUE"""),10)</f>
        <v>10</v>
      </c>
      <c r="M86" s="5" t="str">
        <f ca="1">IFERROR(__xludf.DUMMYFUNCTION("""COMPUTED_VALUE"""),"Local")</f>
        <v>Local</v>
      </c>
      <c r="N86" s="5">
        <f ca="1">IFERROR(__xludf.DUMMYFUNCTION("""COMPUTED_VALUE"""),4)</f>
        <v>4</v>
      </c>
      <c r="O86" s="5" t="str">
        <f ca="1">IFERROR(__xludf.DUMMYFUNCTION("""COMPUTED_VALUE"""),"Winter")</f>
        <v>Winter</v>
      </c>
      <c r="P86" s="5" t="str">
        <f ca="1">IFERROR(__xludf.DUMMYFUNCTION("""COMPUTED_VALUE"""),"Detroit")</f>
        <v>Detroit</v>
      </c>
      <c r="Q86" s="5" t="str">
        <f ca="1">IFERROR(__xludf.DUMMYFUNCTION("""COMPUTED_VALUE"""),"MI")</f>
        <v>MI</v>
      </c>
      <c r="R86" s="5" t="str">
        <f ca="1">IFERROR(__xludf.DUMMYFUNCTION("""COMPUTED_VALUE"""),"High")</f>
        <v>High</v>
      </c>
      <c r="S86" s="5" t="str">
        <f ca="1">IFERROR(__xludf.DUMMYFUNCTION("""COMPUTED_VALUE"""),"Beside Building")</f>
        <v>Beside Building</v>
      </c>
      <c r="T86" s="5" t="str">
        <f ca="1">IFERROR(__xludf.DUMMYFUNCTION("""COMPUTED_VALUE"""),"Outside on School Property")</f>
        <v>Outside on School Property</v>
      </c>
      <c r="U86" s="5" t="str">
        <f ca="1">IFERROR(__xludf.DUMMYFUNCTION("""COMPUTED_VALUE"""),"No")</f>
        <v>No</v>
      </c>
      <c r="V86" s="5" t="str">
        <f ca="1">IFERROR(__xludf.DUMMYFUNCTION("""COMPUTED_VALUE"""),"Sport Event")</f>
        <v>Sport Event</v>
      </c>
      <c r="W86" s="10">
        <f ca="1">IFERROR(__xludf.DUMMYFUNCTION("""COMPUTED_VALUE"""),0.881944444444444)</f>
        <v>0.88194444444444398</v>
      </c>
      <c r="X86" s="5">
        <f ca="1">IFERROR(__xludf.DUMMYFUNCTION("""COMPUTED_VALUE"""),1)</f>
        <v>1</v>
      </c>
      <c r="Y86" s="5" t="str">
        <f ca="1">IFERROR(__xludf.DUMMYFUNCTION("""COMPUTED_VALUE"""),"Teen shot outside high school basketball game")</f>
        <v>Teen shot outside high school basketball game</v>
      </c>
      <c r="Z86" s="5" t="str">
        <f ca="1">IFERROR(__xludf.DUMMYFUNCTION("""COMPUTED_VALUE"""),"At 9:10 pm on Friday, Jan. 6, police received several 911 calls from Oak Park High School regarding reports of shots fired in the area following an Oak Park High School varsity basketball game. Oak Park officers responded and located an Oak Park Schools s"&amp;"tudent who had been shot multiple times.  The student was transported to an area hospital for treatment and is currently in stable condition, police said. Following the incident, Oak Park officers located the suspect and recovered a handgun. Police say th"&amp;"e shooting stemmed from an attempted robbery of a gold chain.")</f>
        <v>At 9:10 pm on Friday, Jan. 6, police received several 911 calls from Oak Park High School regarding reports of shots fired in the area following an Oak Park High School varsity basketball game. Oak Park officers responded and located an Oak Park Schools student who had been shot multiple times.  The student was transported to an area hospital for treatment and is currently in stable condition, police said. Following the incident, Oak Park officers located the suspect and recovered a handgun. Police say the shooting stemmed from an attempted robbery of a gold chain.</v>
      </c>
      <c r="AA86" s="5" t="str">
        <f ca="1">IFERROR(__xludf.DUMMYFUNCTION("""COMPUTED_VALUE"""),"Illegal Activity")</f>
        <v>Illegal Activity</v>
      </c>
      <c r="AB86" s="5" t="str">
        <f ca="1">IFERROR(__xludf.DUMMYFUNCTION("""COMPUTED_VALUE"""),"Victims Targeted")</f>
        <v>Victims Targeted</v>
      </c>
      <c r="AC86" s="5"/>
      <c r="AD86" s="5" t="str">
        <f ca="1">IFERROR(__xludf.DUMMYFUNCTION("""COMPUTED_VALUE"""),"No")</f>
        <v>No</v>
      </c>
      <c r="AE86" s="5" t="str">
        <f ca="1">IFERROR(__xludf.DUMMYFUNCTION("""COMPUTED_VALUE"""),"No")</f>
        <v>No</v>
      </c>
      <c r="AF86" s="5" t="str">
        <f ca="1">IFERROR(__xludf.DUMMYFUNCTION("""COMPUTED_VALUE"""),"No")</f>
        <v>No</v>
      </c>
      <c r="AG86" s="5" t="str">
        <f ca="1">IFERROR(__xludf.DUMMYFUNCTION("""COMPUTED_VALUE"""),"No")</f>
        <v>No</v>
      </c>
      <c r="AH86" s="5" t="str">
        <f ca="1">IFERROR(__xludf.DUMMYFUNCTION("""COMPUTED_VALUE"""),"No")</f>
        <v>No</v>
      </c>
      <c r="AI86" s="5"/>
      <c r="AJ86" s="5" t="str">
        <f ca="1">IFERROR(__xludf.DUMMYFUNCTION("""COMPUTED_VALUE"""),"No")</f>
        <v>No</v>
      </c>
    </row>
    <row r="87" spans="1:36" ht="13">
      <c r="A87" s="5" t="str">
        <f ca="1">IFERROR(__xludf.DUMMYFUNCTION("""COMPUTED_VALUE"""),"20230106MDBEB")</f>
        <v>20230106MDBEB</v>
      </c>
      <c r="B87" s="5">
        <f ca="1">IFERROR(__xludf.DUMMYFUNCTION("""COMPUTED_VALUE"""),1)</f>
        <v>1</v>
      </c>
      <c r="C87" s="5">
        <f ca="1">IFERROR(__xludf.DUMMYFUNCTION("""COMPUTED_VALUE"""),6)</f>
        <v>6</v>
      </c>
      <c r="D87" s="5">
        <f ca="1">IFERROR(__xludf.DUMMYFUNCTION("""COMPUTED_VALUE"""),2023)</f>
        <v>2023</v>
      </c>
      <c r="E87" s="8">
        <f ca="1">IFERROR(__xludf.DUMMYFUNCTION("""COMPUTED_VALUE"""),44932)</f>
        <v>44932</v>
      </c>
      <c r="F87" s="5" t="str">
        <f ca="1">IFERROR(__xludf.DUMMYFUNCTION("""COMPUTED_VALUE"""),"Benjamin Franklin High School")</f>
        <v>Benjamin Franklin High School</v>
      </c>
      <c r="G87" s="5">
        <f ca="1">IFERROR(__xludf.DUMMYFUNCTION("""COMPUTED_VALUE"""),0)</f>
        <v>0</v>
      </c>
      <c r="H87" s="5">
        <f ca="1">IFERROR(__xludf.DUMMYFUNCTION("""COMPUTED_VALUE"""),2)</f>
        <v>2</v>
      </c>
      <c r="I87" s="5">
        <f ca="1">IFERROR(__xludf.DUMMYFUNCTION("""COMPUTED_VALUE"""),2)</f>
        <v>2</v>
      </c>
      <c r="J87" s="5">
        <f ca="1">IFERROR(__xludf.DUMMYFUNCTION("""COMPUTED_VALUE"""),0)</f>
        <v>0</v>
      </c>
      <c r="K87" s="5" t="str">
        <f ca="1">IFERROR(__xludf.DUMMYFUNCTION("""COMPUTED_VALUE"""),"https://www.wbaltv.com/article/2-teenagers-arrested-in-january-double-shooting-outside-benjamin-franklin-high-school/42777992
https://www.wbaltv.com/article/double-shooting-cambria-street-near-school-brooklyn-baltimore/42420190")</f>
        <v>https://www.wbaltv.com/article/2-teenagers-arrested-in-january-double-shooting-outside-benjamin-franklin-high-school/42777992
https://www.wbaltv.com/article/double-shooting-cambria-street-near-school-brooklyn-baltimore/42420190</v>
      </c>
      <c r="L87" s="5">
        <f ca="1">IFERROR(__xludf.DUMMYFUNCTION("""COMPUTED_VALUE"""),20)</f>
        <v>20</v>
      </c>
      <c r="M87" s="5" t="str">
        <f ca="1">IFERROR(__xludf.DUMMYFUNCTION("""COMPUTED_VALUE"""),"Regional")</f>
        <v>Regional</v>
      </c>
      <c r="N87" s="5">
        <f ca="1">IFERROR(__xludf.DUMMYFUNCTION("""COMPUTED_VALUE"""),4)</f>
        <v>4</v>
      </c>
      <c r="O87" s="5" t="str">
        <f ca="1">IFERROR(__xludf.DUMMYFUNCTION("""COMPUTED_VALUE"""),"Winter")</f>
        <v>Winter</v>
      </c>
      <c r="P87" s="5" t="str">
        <f ca="1">IFERROR(__xludf.DUMMYFUNCTION("""COMPUTED_VALUE"""),"Baltimore")</f>
        <v>Baltimore</v>
      </c>
      <c r="Q87" s="5" t="str">
        <f ca="1">IFERROR(__xludf.DUMMYFUNCTION("""COMPUTED_VALUE"""),"MD")</f>
        <v>MD</v>
      </c>
      <c r="R87" s="5" t="str">
        <f ca="1">IFERROR(__xludf.DUMMYFUNCTION("""COMPUTED_VALUE"""),"High")</f>
        <v>High</v>
      </c>
      <c r="S87" s="5" t="str">
        <f ca="1">IFERROR(__xludf.DUMMYFUNCTION("""COMPUTED_VALUE"""),"Front of School")</f>
        <v>Front of School</v>
      </c>
      <c r="T87" s="5" t="str">
        <f ca="1">IFERROR(__xludf.DUMMYFUNCTION("""COMPUTED_VALUE"""),"Outside on School Property")</f>
        <v>Outside on School Property</v>
      </c>
      <c r="U87" s="5" t="str">
        <f ca="1">IFERROR(__xludf.DUMMYFUNCTION("""COMPUTED_VALUE"""),"Yes")</f>
        <v>Yes</v>
      </c>
      <c r="V87" s="5" t="str">
        <f ca="1">IFERROR(__xludf.DUMMYFUNCTION("""COMPUTED_VALUE"""),"Dismissal")</f>
        <v>Dismissal</v>
      </c>
      <c r="W87" s="10">
        <f ca="1">IFERROR(__xludf.DUMMYFUNCTION("""COMPUTED_VALUE"""),0.588194444444444)</f>
        <v>0.58819444444444402</v>
      </c>
      <c r="X87" s="5">
        <f ca="1">IFERROR(__xludf.DUMMYFUNCTION("""COMPUTED_VALUE"""),1)</f>
        <v>1</v>
      </c>
      <c r="Y87" s="5" t="str">
        <f ca="1">IFERROR(__xludf.DUMMYFUNCTION("""COMPUTED_VALUE"""),"Two teens shot in front of school during dismissal")</f>
        <v>Two teens shot in front of school during dismissal</v>
      </c>
      <c r="Z87" s="5" t="str">
        <f ca="1">IFERROR(__xludf.DUMMYFUNCTION("""COMPUTED_VALUE"""),"City police said officers were called around 2:07 p.m. to the 1100 block of Cambria Street, across the street from Benjamin Franklin High School. Investigators said the victims were standing with a group of people when someone approached, the rest of the "&amp;"group fled and the two victims were shot. 15-year-old girl was shot in the back and a 16-year-old boy was shot in the ankle. Both were taken to a hospital with non-life-threatening injuries.")</f>
        <v>City police said officers were called around 2:07 p.m. to the 1100 block of Cambria Street, across the street from Benjamin Franklin High School. Investigators said the victims were standing with a group of people when someone approached, the rest of the group fled and the two victims were shot. 15-year-old girl was shot in the back and a 16-year-old boy was shot in the ankle. Both were taken to a hospital with non-life-threatening injuries.</v>
      </c>
      <c r="AA87" s="5" t="str">
        <f ca="1">IFERROR(__xludf.DUMMYFUNCTION("""COMPUTED_VALUE"""),"Escalation of Dispute")</f>
        <v>Escalation of Dispute</v>
      </c>
      <c r="AB87" s="5" t="str">
        <f ca="1">IFERROR(__xludf.DUMMYFUNCTION("""COMPUTED_VALUE"""),"Both")</f>
        <v>Both</v>
      </c>
      <c r="AC87" s="5" t="str">
        <f ca="1">IFERROR(__xludf.DUMMYFUNCTION("""COMPUTED_VALUE"""),"Yes")</f>
        <v>Yes</v>
      </c>
      <c r="AD87" s="5" t="str">
        <f ca="1">IFERROR(__xludf.DUMMYFUNCTION("""COMPUTED_VALUE"""),"No")</f>
        <v>No</v>
      </c>
      <c r="AE87" s="5" t="str">
        <f ca="1">IFERROR(__xludf.DUMMYFUNCTION("""COMPUTED_VALUE"""),"No")</f>
        <v>No</v>
      </c>
      <c r="AF87" s="5" t="str">
        <f ca="1">IFERROR(__xludf.DUMMYFUNCTION("""COMPUTED_VALUE"""),"No")</f>
        <v>No</v>
      </c>
      <c r="AG87" s="5" t="str">
        <f ca="1">IFERROR(__xludf.DUMMYFUNCTION("""COMPUTED_VALUE"""),"No")</f>
        <v>No</v>
      </c>
      <c r="AH87" s="5" t="str">
        <f ca="1">IFERROR(__xludf.DUMMYFUNCTION("""COMPUTED_VALUE"""),"No")</f>
        <v>No</v>
      </c>
      <c r="AI87" s="5"/>
      <c r="AJ87" s="5" t="str">
        <f ca="1">IFERROR(__xludf.DUMMYFUNCTION("""COMPUTED_VALUE"""),"No")</f>
        <v>No</v>
      </c>
    </row>
    <row r="88" spans="1:36" ht="13">
      <c r="A88" s="5" t="str">
        <f ca="1">IFERROR(__xludf.DUMMYFUNCTION("""COMPUTED_VALUE"""),"20230106VARIN")</f>
        <v>20230106VARIN</v>
      </c>
      <c r="B88" s="5">
        <f ca="1">IFERROR(__xludf.DUMMYFUNCTION("""COMPUTED_VALUE"""),1)</f>
        <v>1</v>
      </c>
      <c r="C88" s="5">
        <f ca="1">IFERROR(__xludf.DUMMYFUNCTION("""COMPUTED_VALUE"""),6)</f>
        <v>6</v>
      </c>
      <c r="D88" s="5">
        <f ca="1">IFERROR(__xludf.DUMMYFUNCTION("""COMPUTED_VALUE"""),2023)</f>
        <v>2023</v>
      </c>
      <c r="E88" s="8">
        <f ca="1">IFERROR(__xludf.DUMMYFUNCTION("""COMPUTED_VALUE"""),44932)</f>
        <v>44932</v>
      </c>
      <c r="F88" s="5" t="str">
        <f ca="1">IFERROR(__xludf.DUMMYFUNCTION("""COMPUTED_VALUE"""),"Richneck Elementary School")</f>
        <v>Richneck Elementary School</v>
      </c>
      <c r="G88" s="5">
        <f ca="1">IFERROR(__xludf.DUMMYFUNCTION("""COMPUTED_VALUE"""),0)</f>
        <v>0</v>
      </c>
      <c r="H88" s="5">
        <f ca="1">IFERROR(__xludf.DUMMYFUNCTION("""COMPUTED_VALUE"""),1)</f>
        <v>1</v>
      </c>
      <c r="I88" s="5">
        <f ca="1">IFERROR(__xludf.DUMMYFUNCTION("""COMPUTED_VALUE"""),1)</f>
        <v>1</v>
      </c>
      <c r="J88" s="5">
        <f ca="1">IFERROR(__xludf.DUMMYFUNCTION("""COMPUTED_VALUE"""),0)</f>
        <v>0</v>
      </c>
      <c r="K88" s="9" t="str">
        <f ca="1">IFERROR(__xludf.DUMMYFUNCTION("""COMPUTED_VALUE"""),"https://www.wtkr.com/news/police-to-give-update-after-teacher-shot-by-6-year-old-student-in-newport-news")</f>
        <v>https://www.wtkr.com/news/police-to-give-update-after-teacher-shot-by-6-year-old-student-in-newport-news</v>
      </c>
      <c r="L88" s="5">
        <f ca="1">IFERROR(__xludf.DUMMYFUNCTION("""COMPUTED_VALUE"""),999)</f>
        <v>999</v>
      </c>
      <c r="M88" s="5" t="str">
        <f ca="1">IFERROR(__xludf.DUMMYFUNCTION("""COMPUTED_VALUE"""),"International")</f>
        <v>International</v>
      </c>
      <c r="N88" s="5">
        <f ca="1">IFERROR(__xludf.DUMMYFUNCTION("""COMPUTED_VALUE"""),4)</f>
        <v>4</v>
      </c>
      <c r="O88" s="5" t="str">
        <f ca="1">IFERROR(__xludf.DUMMYFUNCTION("""COMPUTED_VALUE"""),"Winter")</f>
        <v>Winter</v>
      </c>
      <c r="P88" s="5" t="str">
        <f ca="1">IFERROR(__xludf.DUMMYFUNCTION("""COMPUTED_VALUE"""),"Newport News")</f>
        <v>Newport News</v>
      </c>
      <c r="Q88" s="5" t="str">
        <f ca="1">IFERROR(__xludf.DUMMYFUNCTION("""COMPUTED_VALUE"""),"VA")</f>
        <v>VA</v>
      </c>
      <c r="R88" s="5" t="str">
        <f ca="1">IFERROR(__xludf.DUMMYFUNCTION("""COMPUTED_VALUE"""),"Elementary")</f>
        <v>Elementary</v>
      </c>
      <c r="S88" s="5" t="str">
        <f ca="1">IFERROR(__xludf.DUMMYFUNCTION("""COMPUTED_VALUE"""),"Classroom")</f>
        <v>Classroom</v>
      </c>
      <c r="T88" s="5" t="str">
        <f ca="1">IFERROR(__xludf.DUMMYFUNCTION("""COMPUTED_VALUE"""),"Inside School Building")</f>
        <v>Inside School Building</v>
      </c>
      <c r="U88" s="5" t="str">
        <f ca="1">IFERROR(__xludf.DUMMYFUNCTION("""COMPUTED_VALUE"""),"Yes")</f>
        <v>Yes</v>
      </c>
      <c r="V88" s="5" t="str">
        <f ca="1">IFERROR(__xludf.DUMMYFUNCTION("""COMPUTED_VALUE"""),"Afternoon Classes")</f>
        <v>Afternoon Classes</v>
      </c>
      <c r="W88" s="10">
        <f ca="1">IFERROR(__xludf.DUMMYFUNCTION("""COMPUTED_VALUE"""),0.583333333333333)</f>
        <v>0.58333333333333304</v>
      </c>
      <c r="X88" s="5">
        <f ca="1">IFERROR(__xludf.DUMMYFUNCTION("""COMPUTED_VALUE"""),1)</f>
        <v>1</v>
      </c>
      <c r="Y88" s="5" t="str">
        <f ca="1">IFERROR(__xludf.DUMMYFUNCTION("""COMPUTED_VALUE"""),"6-year-old student shot teacher inside classroom")</f>
        <v>6-year-old student shot teacher inside classroom</v>
      </c>
      <c r="Z88" s="5"/>
      <c r="AA88" s="5"/>
      <c r="AB88" s="5" t="str">
        <f ca="1">IFERROR(__xludf.DUMMYFUNCTION("""COMPUTED_VALUE"""),"Victims Targeted")</f>
        <v>Victims Targeted</v>
      </c>
      <c r="AC88" s="5" t="str">
        <f ca="1">IFERROR(__xludf.DUMMYFUNCTION("""COMPUTED_VALUE"""),"No")</f>
        <v>No</v>
      </c>
      <c r="AD88" s="5" t="str">
        <f ca="1">IFERROR(__xludf.DUMMYFUNCTION("""COMPUTED_VALUE"""),"No")</f>
        <v>No</v>
      </c>
      <c r="AE88" s="5" t="str">
        <f ca="1">IFERROR(__xludf.DUMMYFUNCTION("""COMPUTED_VALUE"""),"No")</f>
        <v>No</v>
      </c>
      <c r="AF88" s="5" t="str">
        <f ca="1">IFERROR(__xludf.DUMMYFUNCTION("""COMPUTED_VALUE"""),"No")</f>
        <v>No</v>
      </c>
      <c r="AG88" s="5" t="str">
        <f ca="1">IFERROR(__xludf.DUMMYFUNCTION("""COMPUTED_VALUE"""),"No")</f>
        <v>No</v>
      </c>
      <c r="AH88" s="5" t="str">
        <f ca="1">IFERROR(__xludf.DUMMYFUNCTION("""COMPUTED_VALUE"""),"No")</f>
        <v>No</v>
      </c>
      <c r="AI88" s="5" t="str">
        <f ca="1">IFERROR(__xludf.DUMMYFUNCTION("""COMPUTED_VALUE"""),"No")</f>
        <v>No</v>
      </c>
      <c r="AJ88" s="5"/>
    </row>
    <row r="89" spans="1:36" ht="13">
      <c r="A89" s="5" t="str">
        <f ca="1">IFERROR(__xludf.DUMMYFUNCTION("""COMPUTED_VALUE"""),"20230105OHBEC")</f>
        <v>20230105OHBEC</v>
      </c>
      <c r="B89" s="5">
        <f ca="1">IFERROR(__xludf.DUMMYFUNCTION("""COMPUTED_VALUE"""),1)</f>
        <v>1</v>
      </c>
      <c r="C89" s="5">
        <f ca="1">IFERROR(__xludf.DUMMYFUNCTION("""COMPUTED_VALUE"""),5)</f>
        <v>5</v>
      </c>
      <c r="D89" s="5">
        <f ca="1">IFERROR(__xludf.DUMMYFUNCTION("""COMPUTED_VALUE"""),2023)</f>
        <v>2023</v>
      </c>
      <c r="E89" s="8">
        <f ca="1">IFERROR(__xludf.DUMMYFUNCTION("""COMPUTED_VALUE"""),44931)</f>
        <v>44931</v>
      </c>
      <c r="F89" s="5" t="str">
        <f ca="1">IFERROR(__xludf.DUMMYFUNCTION("""COMPUTED_VALUE"""),"Beechcroft High School")</f>
        <v>Beechcroft High School</v>
      </c>
      <c r="G89" s="5">
        <f ca="1">IFERROR(__xludf.DUMMYFUNCTION("""COMPUTED_VALUE"""),0)</f>
        <v>0</v>
      </c>
      <c r="H89" s="5">
        <f ca="1">IFERROR(__xludf.DUMMYFUNCTION("""COMPUTED_VALUE"""),0)</f>
        <v>0</v>
      </c>
      <c r="I89" s="5">
        <f ca="1">IFERROR(__xludf.DUMMYFUNCTION("""COMPUTED_VALUE"""),0)</f>
        <v>0</v>
      </c>
      <c r="J89" s="5">
        <f ca="1">IFERROR(__xludf.DUMMYFUNCTION("""COMPUTED_VALUE"""),0)</f>
        <v>0</v>
      </c>
      <c r="K89" s="9" t="str">
        <f ca="1">IFERROR(__xludf.DUMMYFUNCTION("""COMPUTED_VALUE"""),"https://www.10tv.com/article/news/crime/police-15-year-old-charged-with-firing-shots-beechcroft-high-school/530-55ef1349-1f8f-4959-87e4-05c30d78fbda
https://abc6onyourside.com/news/local/columbus-city-schools-beechcroft-high-school-shots-fired-at-building"&amp;"-black-colored-suv-no-injuries-were-reported")</f>
        <v>https://www.10tv.com/article/news/crime/police-15-year-old-charged-with-firing-shots-beechcroft-high-school/530-55ef1349-1f8f-4959-87e4-05c30d78fbda
https://abc6onyourside.com/news/local/columbus-city-schools-beechcroft-high-school-shots-fired-at-building-black-colored-suv-no-injuries-were-reported</v>
      </c>
      <c r="L89" s="5">
        <f ca="1">IFERROR(__xludf.DUMMYFUNCTION("""COMPUTED_VALUE"""),5)</f>
        <v>5</v>
      </c>
      <c r="M89" s="5" t="str">
        <f ca="1">IFERROR(__xludf.DUMMYFUNCTION("""COMPUTED_VALUE"""),"Local")</f>
        <v>Local</v>
      </c>
      <c r="N89" s="5">
        <f ca="1">IFERROR(__xludf.DUMMYFUNCTION("""COMPUTED_VALUE"""),4)</f>
        <v>4</v>
      </c>
      <c r="O89" s="5" t="str">
        <f ca="1">IFERROR(__xludf.DUMMYFUNCTION("""COMPUTED_VALUE"""),"Winter")</f>
        <v>Winter</v>
      </c>
      <c r="P89" s="5" t="str">
        <f ca="1">IFERROR(__xludf.DUMMYFUNCTION("""COMPUTED_VALUE"""),"Columbus")</f>
        <v>Columbus</v>
      </c>
      <c r="Q89" s="5" t="str">
        <f ca="1">IFERROR(__xludf.DUMMYFUNCTION("""COMPUTED_VALUE"""),"OH")</f>
        <v>OH</v>
      </c>
      <c r="R89" s="5" t="str">
        <f ca="1">IFERROR(__xludf.DUMMYFUNCTION("""COMPUTED_VALUE"""),"High")</f>
        <v>High</v>
      </c>
      <c r="S89" s="5" t="str">
        <f ca="1">IFERROR(__xludf.DUMMYFUNCTION("""COMPUTED_VALUE"""),"Beside Building")</f>
        <v>Beside Building</v>
      </c>
      <c r="T89" s="5" t="str">
        <f ca="1">IFERROR(__xludf.DUMMYFUNCTION("""COMPUTED_VALUE"""),"Outside on School Property")</f>
        <v>Outside on School Property</v>
      </c>
      <c r="U89" s="5" t="str">
        <f ca="1">IFERROR(__xludf.DUMMYFUNCTION("""COMPUTED_VALUE"""),"Yes")</f>
        <v>Yes</v>
      </c>
      <c r="V89" s="5" t="str">
        <f ca="1">IFERROR(__xludf.DUMMYFUNCTION("""COMPUTED_VALUE"""),"Morning Classes")</f>
        <v>Morning Classes</v>
      </c>
      <c r="W89" s="10">
        <f ca="1">IFERROR(__xludf.DUMMYFUNCTION("""COMPUTED_VALUE"""),0.479166666666666)</f>
        <v>0.47916666666666602</v>
      </c>
      <c r="X89" s="5">
        <f ca="1">IFERROR(__xludf.DUMMYFUNCTION("""COMPUTED_VALUE"""),1)</f>
        <v>1</v>
      </c>
      <c r="Y89" s="5" t="str">
        <f ca="1">IFERROR(__xludf.DUMMYFUNCTION("""COMPUTED_VALUE"""),"Teen fired shots that struck school building")</f>
        <v>Teen fired shots that struck school building</v>
      </c>
      <c r="Z89" s="5" t="str">
        <f ca="1">IFERROR(__xludf.DUMMYFUNCTION("""COMPUTED_VALUE"""),"Police said they have arrested a 15-year-old boy in connection with a shooting at Beechcroft High School while teachers and staff were in the building. CPD said Friday a juvenile was charged with carrying concealed weapons and improperly discharging a fir"&amp;"earm into a habitation. Teachers said they heard gunfire around 11:30 a.m. and the school was put on lockdown. Detectives said bullets hit the North side of the building but did not penetrate the walls.")</f>
        <v>Police said they have arrested a 15-year-old boy in connection with a shooting at Beechcroft High School while teachers and staff were in the building. CPD said Friday a juvenile was charged with carrying concealed weapons and improperly discharging a firearm into a habitation. Teachers said they heard gunfire around 11:30 a.m. and the school was put on lockdown. Detectives said bullets hit the North side of the building but did not penetrate the walls.</v>
      </c>
      <c r="AA89" s="5"/>
      <c r="AB89" s="5"/>
      <c r="AC89" s="5" t="str">
        <f ca="1">IFERROR(__xludf.DUMMYFUNCTION("""COMPUTED_VALUE"""),"No")</f>
        <v>No</v>
      </c>
      <c r="AD89" s="5" t="str">
        <f ca="1">IFERROR(__xludf.DUMMYFUNCTION("""COMPUTED_VALUE"""),"No")</f>
        <v>No</v>
      </c>
      <c r="AE89" s="5" t="str">
        <f ca="1">IFERROR(__xludf.DUMMYFUNCTION("""COMPUTED_VALUE"""),"No")</f>
        <v>No</v>
      </c>
      <c r="AF89" s="5" t="str">
        <f ca="1">IFERROR(__xludf.DUMMYFUNCTION("""COMPUTED_VALUE"""),"No")</f>
        <v>No</v>
      </c>
      <c r="AG89" s="5" t="str">
        <f ca="1">IFERROR(__xludf.DUMMYFUNCTION("""COMPUTED_VALUE"""),"No")</f>
        <v>No</v>
      </c>
      <c r="AH89" s="5" t="str">
        <f ca="1">IFERROR(__xludf.DUMMYFUNCTION("""COMPUTED_VALUE"""),"No")</f>
        <v>No</v>
      </c>
      <c r="AI89" s="5"/>
      <c r="AJ89" s="5" t="str">
        <f ca="1">IFERROR(__xludf.DUMMYFUNCTION("""COMPUTED_VALUE"""),"No")</f>
        <v>No</v>
      </c>
    </row>
    <row r="90" spans="1:36" ht="13">
      <c r="A90" s="5" t="str">
        <f ca="1">IFERROR(__xludf.DUMMYFUNCTION("""COMPUTED_VALUE"""),"20230105NYFRR")</f>
        <v>20230105NYFRR</v>
      </c>
      <c r="B90" s="5">
        <f ca="1">IFERROR(__xludf.DUMMYFUNCTION("""COMPUTED_VALUE"""),1)</f>
        <v>1</v>
      </c>
      <c r="C90" s="5">
        <f ca="1">IFERROR(__xludf.DUMMYFUNCTION("""COMPUTED_VALUE"""),5)</f>
        <v>5</v>
      </c>
      <c r="D90" s="5">
        <f ca="1">IFERROR(__xludf.DUMMYFUNCTION("""COMPUTED_VALUE"""),2023)</f>
        <v>2023</v>
      </c>
      <c r="E90" s="8">
        <f ca="1">IFERROR(__xludf.DUMMYFUNCTION("""COMPUTED_VALUE"""),44931)</f>
        <v>44931</v>
      </c>
      <c r="F90" s="5" t="str">
        <f ca="1">IFERROR(__xludf.DUMMYFUNCTION("""COMPUTED_VALUE"""),"Franklin High School")</f>
        <v>Franklin High School</v>
      </c>
      <c r="G90" s="5">
        <f ca="1">IFERROR(__xludf.DUMMYFUNCTION("""COMPUTED_VALUE"""),0)</f>
        <v>0</v>
      </c>
      <c r="H90" s="5">
        <f ca="1">IFERROR(__xludf.DUMMYFUNCTION("""COMPUTED_VALUE"""),0)</f>
        <v>0</v>
      </c>
      <c r="I90" s="5">
        <f ca="1">IFERROR(__xludf.DUMMYFUNCTION("""COMPUTED_VALUE"""),0)</f>
        <v>0</v>
      </c>
      <c r="J90" s="5">
        <f ca="1">IFERROR(__xludf.DUMMYFUNCTION("""COMPUTED_VALUE"""),0)</f>
        <v>0</v>
      </c>
      <c r="K90" s="5" t="str">
        <f ca="1">IFERROR(__xludf.DUMMYFUNCTION("""COMPUTED_VALUE"""),"https://www.rochesterfirst.com/news/local-news/i-can-still-hear-the-gun-shots-students-involved-in-high-school-shooting-speak-out/
https://www.whec.com/local/16-year-old-shot-at-as-he-ran-to-his-school/")</f>
        <v>https://www.rochesterfirst.com/news/local-news/i-can-still-hear-the-gun-shots-students-involved-in-high-school-shooting-speak-out/
https://www.whec.com/local/16-year-old-shot-at-as-he-ran-to-his-school/</v>
      </c>
      <c r="L90" s="5">
        <f ca="1">IFERROR(__xludf.DUMMYFUNCTION("""COMPUTED_VALUE"""),20)</f>
        <v>20</v>
      </c>
      <c r="M90" s="5" t="str">
        <f ca="1">IFERROR(__xludf.DUMMYFUNCTION("""COMPUTED_VALUE"""),"National")</f>
        <v>National</v>
      </c>
      <c r="N90" s="5">
        <f ca="1">IFERROR(__xludf.DUMMYFUNCTION("""COMPUTED_VALUE"""),4)</f>
        <v>4</v>
      </c>
      <c r="O90" s="5" t="str">
        <f ca="1">IFERROR(__xludf.DUMMYFUNCTION("""COMPUTED_VALUE"""),"Winter")</f>
        <v>Winter</v>
      </c>
      <c r="P90" s="5" t="str">
        <f ca="1">IFERROR(__xludf.DUMMYFUNCTION("""COMPUTED_VALUE"""),"Rochester")</f>
        <v>Rochester</v>
      </c>
      <c r="Q90" s="5" t="str">
        <f ca="1">IFERROR(__xludf.DUMMYFUNCTION("""COMPUTED_VALUE"""),"NY")</f>
        <v>NY</v>
      </c>
      <c r="R90" s="5" t="str">
        <f ca="1">IFERROR(__xludf.DUMMYFUNCTION("""COMPUTED_VALUE"""),"High")</f>
        <v>High</v>
      </c>
      <c r="S90" s="5" t="str">
        <f ca="1">IFERROR(__xludf.DUMMYFUNCTION("""COMPUTED_VALUE"""),"Front of School")</f>
        <v>Front of School</v>
      </c>
      <c r="T90" s="5" t="str">
        <f ca="1">IFERROR(__xludf.DUMMYFUNCTION("""COMPUTED_VALUE"""),"Outside on School Property")</f>
        <v>Outside on School Property</v>
      </c>
      <c r="U90" s="5" t="str">
        <f ca="1">IFERROR(__xludf.DUMMYFUNCTION("""COMPUTED_VALUE"""),"Yes")</f>
        <v>Yes</v>
      </c>
      <c r="V90" s="5" t="str">
        <f ca="1">IFERROR(__xludf.DUMMYFUNCTION("""COMPUTED_VALUE"""),"Morning Classes")</f>
        <v>Morning Classes</v>
      </c>
      <c r="W90" s="10">
        <f ca="1">IFERROR(__xludf.DUMMYFUNCTION("""COMPUTED_VALUE"""),0.354166666666666)</f>
        <v>0.35416666666666602</v>
      </c>
      <c r="X90" s="5">
        <f ca="1">IFERROR(__xludf.DUMMYFUNCTION("""COMPUTED_VALUE"""),1)</f>
        <v>1</v>
      </c>
      <c r="Y90" s="5" t="str">
        <f ca="1">IFERROR(__xludf.DUMMYFUNCTION("""COMPUTED_VALUE"""),"Student chased and shot at near front door to school")</f>
        <v>Student chased and shot at near front door to school</v>
      </c>
      <c r="Z90" s="5" t="str">
        <f ca="1">IFERROR(__xludf.DUMMYFUNCTION("""COMPUTED_VALUE"""),"Franklin High School was placed on lockout Thursday morning after a student was shot at outside of the school, according to the Rochester Police Department. No one was struck or injured. Police said the situation started a few blocks away from the school "&amp;"on Norton St., but ultimately ended up on school property near the front steps. The district said the suspect ultimately got out of a car, and shot at the 16 yr-old student and two other students were on the premises. All of the shots missed.")</f>
        <v>Franklin High School was placed on lockout Thursday morning after a student was shot at outside of the school, according to the Rochester Police Department. No one was struck or injured. Police said the situation started a few blocks away from the school on Norton St., but ultimately ended up on school property near the front steps. The district said the suspect ultimately got out of a car, and shot at the 16 yr-old student and two other students were on the premises. All of the shots missed.</v>
      </c>
      <c r="AA90" s="5"/>
      <c r="AB90" s="5" t="str">
        <f ca="1">IFERROR(__xludf.DUMMYFUNCTION("""COMPUTED_VALUE"""),"Victims Targeted")</f>
        <v>Victims Targeted</v>
      </c>
      <c r="AC90" s="5" t="str">
        <f ca="1">IFERROR(__xludf.DUMMYFUNCTION("""COMPUTED_VALUE"""),"Yes")</f>
        <v>Yes</v>
      </c>
      <c r="AD90" s="5" t="str">
        <f ca="1">IFERROR(__xludf.DUMMYFUNCTION("""COMPUTED_VALUE"""),"No")</f>
        <v>No</v>
      </c>
      <c r="AE90" s="5" t="str">
        <f ca="1">IFERROR(__xludf.DUMMYFUNCTION("""COMPUTED_VALUE"""),"No")</f>
        <v>No</v>
      </c>
      <c r="AF90" s="5" t="str">
        <f ca="1">IFERROR(__xludf.DUMMYFUNCTION("""COMPUTED_VALUE"""),"No")</f>
        <v>No</v>
      </c>
      <c r="AG90" s="5" t="str">
        <f ca="1">IFERROR(__xludf.DUMMYFUNCTION("""COMPUTED_VALUE"""),"No")</f>
        <v>No</v>
      </c>
      <c r="AH90" s="5" t="str">
        <f ca="1">IFERROR(__xludf.DUMMYFUNCTION("""COMPUTED_VALUE"""),"No")</f>
        <v>No</v>
      </c>
      <c r="AI90" s="5"/>
      <c r="AJ90" s="5" t="str">
        <f ca="1">IFERROR(__xludf.DUMMYFUNCTION("""COMPUTED_VALUE"""),"No")</f>
        <v>No</v>
      </c>
    </row>
    <row r="91" spans="1:36" ht="13">
      <c r="A91" s="5" t="str">
        <f ca="1">IFERROR(__xludf.DUMMYFUNCTION("""COMPUTED_VALUE"""),"20230104MITRD")</f>
        <v>20230104MITRD</v>
      </c>
      <c r="B91" s="5">
        <f ca="1">IFERROR(__xludf.DUMMYFUNCTION("""COMPUTED_VALUE"""),1)</f>
        <v>1</v>
      </c>
      <c r="C91" s="5">
        <f ca="1">IFERROR(__xludf.DUMMYFUNCTION("""COMPUTED_VALUE"""),4)</f>
        <v>4</v>
      </c>
      <c r="D91" s="5">
        <f ca="1">IFERROR(__xludf.DUMMYFUNCTION("""COMPUTED_VALUE"""),2023)</f>
        <v>2023</v>
      </c>
      <c r="E91" s="8">
        <f ca="1">IFERROR(__xludf.DUMMYFUNCTION("""COMPUTED_VALUE"""),44930)</f>
        <v>44930</v>
      </c>
      <c r="F91" s="5" t="str">
        <f ca="1">IFERROR(__xludf.DUMMYFUNCTION("""COMPUTED_VALUE"""),"Trix Academy")</f>
        <v>Trix Academy</v>
      </c>
      <c r="G91" s="5">
        <f ca="1">IFERROR(__xludf.DUMMYFUNCTION("""COMPUTED_VALUE"""),1)</f>
        <v>1</v>
      </c>
      <c r="H91" s="5">
        <f ca="1">IFERROR(__xludf.DUMMYFUNCTION("""COMPUTED_VALUE"""),0)</f>
        <v>0</v>
      </c>
      <c r="I91" s="5">
        <f ca="1">IFERROR(__xludf.DUMMYFUNCTION("""COMPUTED_VALUE"""),1)</f>
        <v>1</v>
      </c>
      <c r="J91" s="5">
        <f ca="1">IFERROR(__xludf.DUMMYFUNCTION("""COMPUTED_VALUE"""),0)</f>
        <v>0</v>
      </c>
      <c r="K91" s="9" t="str">
        <f ca="1">IFERROR(__xludf.DUMMYFUNCTION("""COMPUTED_VALUE"""),"https://www.clickondetroit.com/news/local/2023/01/04/man-killed-in-shooting-outside-trix-academy-on-detroits-east-side/")</f>
        <v>https://www.clickondetroit.com/news/local/2023/01/04/man-killed-in-shooting-outside-trix-academy-on-detroits-east-side/</v>
      </c>
      <c r="L91" s="5">
        <f ca="1">IFERROR(__xludf.DUMMYFUNCTION("""COMPUTED_VALUE"""),5)</f>
        <v>5</v>
      </c>
      <c r="M91" s="5" t="str">
        <f ca="1">IFERROR(__xludf.DUMMYFUNCTION("""COMPUTED_VALUE"""),"Local")</f>
        <v>Local</v>
      </c>
      <c r="N91" s="5">
        <f ca="1">IFERROR(__xludf.DUMMYFUNCTION("""COMPUTED_VALUE"""),4)</f>
        <v>4</v>
      </c>
      <c r="O91" s="5" t="str">
        <f ca="1">IFERROR(__xludf.DUMMYFUNCTION("""COMPUTED_VALUE"""),"Winter")</f>
        <v>Winter</v>
      </c>
      <c r="P91" s="5" t="str">
        <f ca="1">IFERROR(__xludf.DUMMYFUNCTION("""COMPUTED_VALUE"""),"Detroit")</f>
        <v>Detroit</v>
      </c>
      <c r="Q91" s="5" t="str">
        <f ca="1">IFERROR(__xludf.DUMMYFUNCTION("""COMPUTED_VALUE"""),"MI")</f>
        <v>MI</v>
      </c>
      <c r="R91" s="5" t="str">
        <f ca="1">IFERROR(__xludf.DUMMYFUNCTION("""COMPUTED_VALUE"""),"K-8")</f>
        <v>K-8</v>
      </c>
      <c r="S91" s="5" t="str">
        <f ca="1">IFERROR(__xludf.DUMMYFUNCTION("""COMPUTED_VALUE"""),"Beside Building")</f>
        <v>Beside Building</v>
      </c>
      <c r="T91" s="5" t="str">
        <f ca="1">IFERROR(__xludf.DUMMYFUNCTION("""COMPUTED_VALUE"""),"Outside on School Property")</f>
        <v>Outside on School Property</v>
      </c>
      <c r="U91" s="5" t="str">
        <f ca="1">IFERROR(__xludf.DUMMYFUNCTION("""COMPUTED_VALUE"""),"No")</f>
        <v>No</v>
      </c>
      <c r="V91" s="5" t="str">
        <f ca="1">IFERROR(__xludf.DUMMYFUNCTION("""COMPUTED_VALUE"""),"Not a School Day")</f>
        <v>Not a School Day</v>
      </c>
      <c r="W91" s="10">
        <f ca="1">IFERROR(__xludf.DUMMYFUNCTION("""COMPUTED_VALUE"""),0.354166666666666)</f>
        <v>0.35416666666666602</v>
      </c>
      <c r="X91" s="5">
        <f ca="1">IFERROR(__xludf.DUMMYFUNCTION("""COMPUTED_VALUE"""),1)</f>
        <v>1</v>
      </c>
      <c r="Y91" s="5" t="str">
        <f ca="1">IFERROR(__xludf.DUMMYFUNCTION("""COMPUTED_VALUE"""),"Man shot multiple times next to classroom window")</f>
        <v>Man shot multiple times next to classroom window</v>
      </c>
      <c r="Z91" s="5" t="str">
        <f ca="1">IFERROR(__xludf.DUMMYFUNCTION("""COMPUTED_VALUE"""),"A man was killed in a shooting around 8:30 a.m. Wednesday morning and his body was found on the property of a school in Detroit. Police rushed to the Trix Academy after their ShotSpotter system detected gunfire outside the school. When they arrived, the s"&amp;"uspect or suspects were gone but police located a man’s body in a grassy area outside of the school. School was not in session at the time of the shooting. Many shell casings have been located in the street and police have placed at least 40 evidence mark"&amp;"ers in the area. Police said between 20 to 25 shots were fired. Detroit police Commander Ryan Conner said ShotSpotter was able to bring officers right to the area where the shooting happened.")</f>
        <v>A man was killed in a shooting around 8:30 a.m. Wednesday morning and his body was found on the property of a school in Detroit. Police rushed to the Trix Academy after their ShotSpotter system detected gunfire outside the school. When they arrived, the suspect or suspects were gone but police located a man’s body in a grassy area outside of the school. School was not in session at the time of the shooting. Many shell casings have been located in the street and police have placed at least 40 evidence markers in the area. Police said between 20 to 25 shots were fired. Detroit police Commander Ryan Conner said ShotSpotter was able to bring officers right to the area where the shooting happened.</v>
      </c>
      <c r="AA91" s="5"/>
      <c r="AB91" s="5" t="str">
        <f ca="1">IFERROR(__xludf.DUMMYFUNCTION("""COMPUTED_VALUE"""),"Victims Targeted")</f>
        <v>Victims Targeted</v>
      </c>
      <c r="AC91" s="5"/>
      <c r="AD91" s="5" t="str">
        <f ca="1">IFERROR(__xludf.DUMMYFUNCTION("""COMPUTED_VALUE"""),"No")</f>
        <v>No</v>
      </c>
      <c r="AE91" s="5" t="str">
        <f ca="1">IFERROR(__xludf.DUMMYFUNCTION("""COMPUTED_VALUE"""),"No")</f>
        <v>No</v>
      </c>
      <c r="AF91" s="5" t="str">
        <f ca="1">IFERROR(__xludf.DUMMYFUNCTION("""COMPUTED_VALUE"""),"No")</f>
        <v>No</v>
      </c>
      <c r="AG91" s="5" t="str">
        <f ca="1">IFERROR(__xludf.DUMMYFUNCTION("""COMPUTED_VALUE"""),"No")</f>
        <v>No</v>
      </c>
      <c r="AH91" s="5" t="str">
        <f ca="1">IFERROR(__xludf.DUMMYFUNCTION("""COMPUTED_VALUE"""),"No")</f>
        <v>No</v>
      </c>
      <c r="AI91" s="5"/>
      <c r="AJ91" s="5" t="str">
        <f ca="1">IFERROR(__xludf.DUMMYFUNCTION("""COMPUTED_VALUE"""),"No")</f>
        <v>No</v>
      </c>
    </row>
    <row r="92" spans="1:36" ht="13">
      <c r="A92" s="5" t="str">
        <f ca="1">IFERROR(__xludf.DUMMYFUNCTION("""COMPUTED_VALUE"""),"20221221CTNEN")</f>
        <v>20221221CTNEN</v>
      </c>
      <c r="B92" s="5">
        <f ca="1">IFERROR(__xludf.DUMMYFUNCTION("""COMPUTED_VALUE"""),12)</f>
        <v>12</v>
      </c>
      <c r="C92" s="5">
        <f ca="1">IFERROR(__xludf.DUMMYFUNCTION("""COMPUTED_VALUE"""),21)</f>
        <v>21</v>
      </c>
      <c r="D92" s="5">
        <f ca="1">IFERROR(__xludf.DUMMYFUNCTION("""COMPUTED_VALUE"""),2022)</f>
        <v>2022</v>
      </c>
      <c r="E92" s="8">
        <f ca="1">IFERROR(__xludf.DUMMYFUNCTION("""COMPUTED_VALUE"""),44916)</f>
        <v>44916</v>
      </c>
      <c r="F92" s="5" t="str">
        <f ca="1">IFERROR(__xludf.DUMMYFUNCTION("""COMPUTED_VALUE"""),"New Haven Public Schools")</f>
        <v>New Haven Public Schools</v>
      </c>
      <c r="G92" s="5">
        <f ca="1">IFERROR(__xludf.DUMMYFUNCTION("""COMPUTED_VALUE"""),0)</f>
        <v>0</v>
      </c>
      <c r="H92" s="5">
        <f ca="1">IFERROR(__xludf.DUMMYFUNCTION("""COMPUTED_VALUE"""),0)</f>
        <v>0</v>
      </c>
      <c r="I92" s="5">
        <f ca="1">IFERROR(__xludf.DUMMYFUNCTION("""COMPUTED_VALUE"""),0)</f>
        <v>0</v>
      </c>
      <c r="J92" s="5">
        <f ca="1">IFERROR(__xludf.DUMMYFUNCTION("""COMPUTED_VALUE"""),0)</f>
        <v>0</v>
      </c>
      <c r="K92" s="5" t="str">
        <f ca="1">IFERROR(__xludf.DUMMYFUNCTION("""COMPUTED_VALUE"""),"https://www.wtnh.com/news/connecticut/new-haven/school-bus-grazed-by-bullet-in-new-haven/
https://www.fox61.com/article/news/local/school-bus-new-haven-struck-bullet/520-f958a712-c778-4ec9-81be-2c1539f4b967")</f>
        <v>https://www.wtnh.com/news/connecticut/new-haven/school-bus-grazed-by-bullet-in-new-haven/
https://www.fox61.com/article/news/local/school-bus-new-haven-struck-bullet/520-f958a712-c778-4ec9-81be-2c1539f4b967</v>
      </c>
      <c r="L92" s="5">
        <f ca="1">IFERROR(__xludf.DUMMYFUNCTION("""COMPUTED_VALUE"""),2)</f>
        <v>2</v>
      </c>
      <c r="M92" s="5" t="str">
        <f ca="1">IFERROR(__xludf.DUMMYFUNCTION("""COMPUTED_VALUE"""),"Local")</f>
        <v>Local</v>
      </c>
      <c r="N92" s="5">
        <f ca="1">IFERROR(__xludf.DUMMYFUNCTION("""COMPUTED_VALUE"""),4)</f>
        <v>4</v>
      </c>
      <c r="O92" s="5" t="str">
        <f ca="1">IFERROR(__xludf.DUMMYFUNCTION("""COMPUTED_VALUE"""),"Winter")</f>
        <v>Winter</v>
      </c>
      <c r="P92" s="5" t="str">
        <f ca="1">IFERROR(__xludf.DUMMYFUNCTION("""COMPUTED_VALUE"""),"New Haven")</f>
        <v>New Haven</v>
      </c>
      <c r="Q92" s="5" t="str">
        <f ca="1">IFERROR(__xludf.DUMMYFUNCTION("""COMPUTED_VALUE"""),"CT")</f>
        <v>CT</v>
      </c>
      <c r="R92" s="5" t="str">
        <f ca="1">IFERROR(__xludf.DUMMYFUNCTION("""COMPUTED_VALUE"""),"Elementary")</f>
        <v>Elementary</v>
      </c>
      <c r="S92" s="5" t="str">
        <f ca="1">IFERROR(__xludf.DUMMYFUNCTION("""COMPUTED_VALUE"""),"School Bus")</f>
        <v>School Bus</v>
      </c>
      <c r="T92" s="5" t="str">
        <f ca="1">IFERROR(__xludf.DUMMYFUNCTION("""COMPUTED_VALUE"""),"School Bus")</f>
        <v>School Bus</v>
      </c>
      <c r="U92" s="5" t="str">
        <f ca="1">IFERROR(__xludf.DUMMYFUNCTION("""COMPUTED_VALUE"""),"Yes")</f>
        <v>Yes</v>
      </c>
      <c r="V92" s="5" t="str">
        <f ca="1">IFERROR(__xludf.DUMMYFUNCTION("""COMPUTED_VALUE"""),"Dismissal")</f>
        <v>Dismissal</v>
      </c>
      <c r="W92" s="10">
        <f ca="1">IFERROR(__xludf.DUMMYFUNCTION("""COMPUTED_VALUE"""),0.614583333333333)</f>
        <v>0.61458333333333304</v>
      </c>
      <c r="X92" s="5">
        <f ca="1">IFERROR(__xludf.DUMMYFUNCTION("""COMPUTED_VALUE"""),1)</f>
        <v>1</v>
      </c>
      <c r="Y92" s="5" t="str">
        <f ca="1">IFERROR(__xludf.DUMMYFUNCTION("""COMPUTED_VALUE"""),"School bus struck by bullet at dismissal")</f>
        <v>School bus struck by bullet at dismissal</v>
      </c>
      <c r="Z92" s="5" t="str">
        <f ca="1">IFERROR(__xludf.DUMMYFUNCTION("""COMPUTED_VALUE"""),"The bus was driving on Lamberton around 2:45 p.m. Wednesday when the bus driver heard gunshots ring out and felt something strike the bus. No injuries. Bullet struck the side where a student was seated")</f>
        <v>The bus was driving on Lamberton around 2:45 p.m. Wednesday when the bus driver heard gunshots ring out and felt something strike the bus. No injuries. Bullet struck the side where a student was seated</v>
      </c>
      <c r="AA92" s="5"/>
      <c r="AB92" s="5" t="str">
        <f ca="1">IFERROR(__xludf.DUMMYFUNCTION("""COMPUTED_VALUE"""),"Neither")</f>
        <v>Neither</v>
      </c>
      <c r="AC92" s="5" t="str">
        <f ca="1">IFERROR(__xludf.DUMMYFUNCTION("""COMPUTED_VALUE"""),"No")</f>
        <v>No</v>
      </c>
      <c r="AD92" s="5" t="str">
        <f ca="1">IFERROR(__xludf.DUMMYFUNCTION("""COMPUTED_VALUE"""),"No")</f>
        <v>No</v>
      </c>
      <c r="AE92" s="5" t="str">
        <f ca="1">IFERROR(__xludf.DUMMYFUNCTION("""COMPUTED_VALUE"""),"No")</f>
        <v>No</v>
      </c>
      <c r="AF92" s="5" t="str">
        <f ca="1">IFERROR(__xludf.DUMMYFUNCTION("""COMPUTED_VALUE"""),"No")</f>
        <v>No</v>
      </c>
      <c r="AG92" s="5" t="str">
        <f ca="1">IFERROR(__xludf.DUMMYFUNCTION("""COMPUTED_VALUE"""),"No")</f>
        <v>No</v>
      </c>
      <c r="AH92" s="5" t="str">
        <f ca="1">IFERROR(__xludf.DUMMYFUNCTION("""COMPUTED_VALUE"""),"No")</f>
        <v>No</v>
      </c>
      <c r="AI92" s="5" t="str">
        <f ca="1">IFERROR(__xludf.DUMMYFUNCTION("""COMPUTED_VALUE"""),"No")</f>
        <v>No</v>
      </c>
      <c r="AJ92" s="5" t="str">
        <f ca="1">IFERROR(__xludf.DUMMYFUNCTION("""COMPUTED_VALUE"""),"No")</f>
        <v>No</v>
      </c>
    </row>
    <row r="93" spans="1:36" ht="13">
      <c r="A93" s="5" t="str">
        <f ca="1">IFERROR(__xludf.DUMMYFUNCTION("""COMPUTED_VALUE"""),"20221221CAWOW")</f>
        <v>20221221CAWOW</v>
      </c>
      <c r="B93" s="5">
        <f ca="1">IFERROR(__xludf.DUMMYFUNCTION("""COMPUTED_VALUE"""),12)</f>
        <v>12</v>
      </c>
      <c r="C93" s="5">
        <f ca="1">IFERROR(__xludf.DUMMYFUNCTION("""COMPUTED_VALUE"""),21)</f>
        <v>21</v>
      </c>
      <c r="D93" s="5">
        <f ca="1">IFERROR(__xludf.DUMMYFUNCTION("""COMPUTED_VALUE"""),2022)</f>
        <v>2022</v>
      </c>
      <c r="E93" s="8">
        <f ca="1">IFERROR(__xludf.DUMMYFUNCTION("""COMPUTED_VALUE"""),44916)</f>
        <v>44916</v>
      </c>
      <c r="F93" s="5" t="str">
        <f ca="1">IFERROR(__xludf.DUMMYFUNCTION("""COMPUTED_VALUE"""),"Woodland Christian School")</f>
        <v>Woodland Christian School</v>
      </c>
      <c r="G93" s="5">
        <f ca="1">IFERROR(__xludf.DUMMYFUNCTION("""COMPUTED_VALUE"""),0)</f>
        <v>0</v>
      </c>
      <c r="H93" s="5">
        <f ca="1">IFERROR(__xludf.DUMMYFUNCTION("""COMPUTED_VALUE"""),0)</f>
        <v>0</v>
      </c>
      <c r="I93" s="5">
        <f ca="1">IFERROR(__xludf.DUMMYFUNCTION("""COMPUTED_VALUE"""),0)</f>
        <v>0</v>
      </c>
      <c r="J93" s="5">
        <f ca="1">IFERROR(__xludf.DUMMYFUNCTION("""COMPUTED_VALUE"""),0)</f>
        <v>0</v>
      </c>
      <c r="K93" s="9" t="str">
        <f ca="1">IFERROR(__xludf.DUMMYFUNCTION("""COMPUTED_VALUE"""),"https://www.dailydemocrat.com/2022/12/21/police-department-investigating-shooting-near-woodland-christian-school/
https://www.davisenterprise.com/news/local/woodland-police-investigate-chase-shooting-near-school-campus/")</f>
        <v>https://www.dailydemocrat.com/2022/12/21/police-department-investigating-shooting-near-woodland-christian-school/
https://www.davisenterprise.com/news/local/woodland-police-investigate-chase-shooting-near-school-campus/</v>
      </c>
      <c r="L93" s="5">
        <f ca="1">IFERROR(__xludf.DUMMYFUNCTION("""COMPUTED_VALUE"""),2)</f>
        <v>2</v>
      </c>
      <c r="M93" s="5" t="str">
        <f ca="1">IFERROR(__xludf.DUMMYFUNCTION("""COMPUTED_VALUE"""),"Local")</f>
        <v>Local</v>
      </c>
      <c r="N93" s="5">
        <f ca="1">IFERROR(__xludf.DUMMYFUNCTION("""COMPUTED_VALUE"""),4)</f>
        <v>4</v>
      </c>
      <c r="O93" s="5" t="str">
        <f ca="1">IFERROR(__xludf.DUMMYFUNCTION("""COMPUTED_VALUE"""),"Winter")</f>
        <v>Winter</v>
      </c>
      <c r="P93" s="5" t="str">
        <f ca="1">IFERROR(__xludf.DUMMYFUNCTION("""COMPUTED_VALUE"""),"Woodland")</f>
        <v>Woodland</v>
      </c>
      <c r="Q93" s="5" t="str">
        <f ca="1">IFERROR(__xludf.DUMMYFUNCTION("""COMPUTED_VALUE"""),"CA")</f>
        <v>CA</v>
      </c>
      <c r="R93" s="5" t="str">
        <f ca="1">IFERROR(__xludf.DUMMYFUNCTION("""COMPUTED_VALUE"""),"K-12")</f>
        <v>K-12</v>
      </c>
      <c r="S93" s="5" t="str">
        <f ca="1">IFERROR(__xludf.DUMMYFUNCTION("""COMPUTED_VALUE"""),"Front of School")</f>
        <v>Front of School</v>
      </c>
      <c r="T93" s="5" t="str">
        <f ca="1">IFERROR(__xludf.DUMMYFUNCTION("""COMPUTED_VALUE"""),"Outside on School Property")</f>
        <v>Outside on School Property</v>
      </c>
      <c r="U93" s="5" t="str">
        <f ca="1">IFERROR(__xludf.DUMMYFUNCTION("""COMPUTED_VALUE"""),"No")</f>
        <v>No</v>
      </c>
      <c r="V93" s="5" t="str">
        <f ca="1">IFERROR(__xludf.DUMMYFUNCTION("""COMPUTED_VALUE"""),"Night")</f>
        <v>Night</v>
      </c>
      <c r="W93" s="10">
        <f ca="1">IFERROR(__xludf.DUMMYFUNCTION("""COMPUTED_VALUE"""),0.00347222222222222)</f>
        <v>3.4722222222222199E-3</v>
      </c>
      <c r="X93" s="5">
        <f ca="1">IFERROR(__xludf.DUMMYFUNCTION("""COMPUTED_VALUE"""),1)</f>
        <v>1</v>
      </c>
      <c r="Y93" s="5" t="str">
        <f ca="1">IFERROR(__xludf.DUMMYFUNCTION("""COMPUTED_VALUE"""),"Shots fired after vehicle crashed into school gate during car chase")</f>
        <v>Shots fired after vehicle crashed into school gate during car chase</v>
      </c>
      <c r="Z93" s="5" t="str">
        <f ca="1">IFERROR(__xludf.DUMMYFUNCTION("""COMPUTED_VALUE"""),"Officers responded shortly after midnight Wednesday to multiple reports of shots being fired in the area of Woodland Christian School in the 1700 block of Matmor Road, arriving to discover the shooting stemmed from the car chase that began at East Gibson "&amp;"Road and County Road 102, according to a Woodland Police Department Facebook post. During the chase, one of the vehicles crashed into the south gates of the school campus. One person sustained injuries from jumping over a fence on campus but was not shot."&amp;" ")</f>
        <v xml:space="preserve">Officers responded shortly after midnight Wednesday to multiple reports of shots being fired in the area of Woodland Christian School in the 1700 block of Matmor Road, arriving to discover the shooting stemmed from the car chase that began at East Gibson Road and County Road 102, according to a Woodland Police Department Facebook post. During the chase, one of the vehicles crashed into the south gates of the school campus. One person sustained injuries from jumping over a fence on campus but was not shot. </v>
      </c>
      <c r="AA93" s="5" t="str">
        <f ca="1">IFERROR(__xludf.DUMMYFUNCTION("""COMPUTED_VALUE"""),"Illegal Activity")</f>
        <v>Illegal Activity</v>
      </c>
      <c r="AB93" s="5" t="str">
        <f ca="1">IFERROR(__xludf.DUMMYFUNCTION("""COMPUTED_VALUE"""),"Random Shooting")</f>
        <v>Random Shooting</v>
      </c>
      <c r="AC93" s="5" t="str">
        <f ca="1">IFERROR(__xludf.DUMMYFUNCTION("""COMPUTED_VALUE"""),"Yes")</f>
        <v>Yes</v>
      </c>
      <c r="AD93" s="5" t="str">
        <f ca="1">IFERROR(__xludf.DUMMYFUNCTION("""COMPUTED_VALUE"""),"No")</f>
        <v>No</v>
      </c>
      <c r="AE93" s="5" t="str">
        <f ca="1">IFERROR(__xludf.DUMMYFUNCTION("""COMPUTED_VALUE"""),"No")</f>
        <v>No</v>
      </c>
      <c r="AF93" s="5" t="str">
        <f ca="1">IFERROR(__xludf.DUMMYFUNCTION("""COMPUTED_VALUE"""),"No")</f>
        <v>No</v>
      </c>
      <c r="AG93" s="5" t="str">
        <f ca="1">IFERROR(__xludf.DUMMYFUNCTION("""COMPUTED_VALUE"""),"No")</f>
        <v>No</v>
      </c>
      <c r="AH93" s="5" t="str">
        <f ca="1">IFERROR(__xludf.DUMMYFUNCTION("""COMPUTED_VALUE"""),"No")</f>
        <v>No</v>
      </c>
      <c r="AI93" s="5"/>
      <c r="AJ93" s="5" t="str">
        <f ca="1">IFERROR(__xludf.DUMMYFUNCTION("""COMPUTED_VALUE"""),"No")</f>
        <v>No</v>
      </c>
    </row>
    <row r="94" spans="1:36" ht="13">
      <c r="A94" s="5" t="str">
        <f ca="1">IFERROR(__xludf.DUMMYFUNCTION("""COMPUTED_VALUE"""),"20221216ILBEC")</f>
        <v>20221216ILBEC</v>
      </c>
      <c r="B94" s="5">
        <f ca="1">IFERROR(__xludf.DUMMYFUNCTION("""COMPUTED_VALUE"""),12)</f>
        <v>12</v>
      </c>
      <c r="C94" s="5">
        <f ca="1">IFERROR(__xludf.DUMMYFUNCTION("""COMPUTED_VALUE"""),16)</f>
        <v>16</v>
      </c>
      <c r="D94" s="5">
        <f ca="1">IFERROR(__xludf.DUMMYFUNCTION("""COMPUTED_VALUE"""),2022)</f>
        <v>2022</v>
      </c>
      <c r="E94" s="8">
        <f ca="1">IFERROR(__xludf.DUMMYFUNCTION("""COMPUTED_VALUE"""),44911)</f>
        <v>44911</v>
      </c>
      <c r="F94" s="5" t="str">
        <f ca="1">IFERROR(__xludf.DUMMYFUNCTION("""COMPUTED_VALUE"""),"Benito Juarez High School")</f>
        <v>Benito Juarez High School</v>
      </c>
      <c r="G94" s="5">
        <f ca="1">IFERROR(__xludf.DUMMYFUNCTION("""COMPUTED_VALUE"""),2)</f>
        <v>2</v>
      </c>
      <c r="H94" s="5">
        <f ca="1">IFERROR(__xludf.DUMMYFUNCTION("""COMPUTED_VALUE"""),2)</f>
        <v>2</v>
      </c>
      <c r="I94" s="5">
        <f ca="1">IFERROR(__xludf.DUMMYFUNCTION("""COMPUTED_VALUE"""),4)</f>
        <v>4</v>
      </c>
      <c r="J94" s="5">
        <f ca="1">IFERROR(__xludf.DUMMYFUNCTION("""COMPUTED_VALUE"""),0)</f>
        <v>0</v>
      </c>
      <c r="K94" s="5" t="str">
        <f ca="1">IFERROR(__xludf.DUMMYFUNCTION("""COMPUTED_VALUE"""),"https://www.cbsnews.com/chicago/news/juarez-shooting-arrest/
https://blockclubchicago.org/2022/12/16/4-teens-shot-outside-benito-juarez-high-school-as-classes-let-out-friday-officials-say/
https://www.cnn.com/2022/12/16/us/chicago-benito-juarez-high-schoo"&amp;"l-shooting/index.html")</f>
        <v>https://www.cbsnews.com/chicago/news/juarez-shooting-arrest/
https://blockclubchicago.org/2022/12/16/4-teens-shot-outside-benito-juarez-high-school-as-classes-let-out-friday-officials-say/
https://www.cnn.com/2022/12/16/us/chicago-benito-juarez-high-school-shooting/index.html</v>
      </c>
      <c r="L94" s="5">
        <f ca="1">IFERROR(__xludf.DUMMYFUNCTION("""COMPUTED_VALUE"""),100)</f>
        <v>100</v>
      </c>
      <c r="M94" s="5" t="str">
        <f ca="1">IFERROR(__xludf.DUMMYFUNCTION("""COMPUTED_VALUE"""),"National")</f>
        <v>National</v>
      </c>
      <c r="N94" s="5">
        <f ca="1">IFERROR(__xludf.DUMMYFUNCTION("""COMPUTED_VALUE"""),4)</f>
        <v>4</v>
      </c>
      <c r="O94" s="5" t="str">
        <f ca="1">IFERROR(__xludf.DUMMYFUNCTION("""COMPUTED_VALUE"""),"Winter")</f>
        <v>Winter</v>
      </c>
      <c r="P94" s="5" t="str">
        <f ca="1">IFERROR(__xludf.DUMMYFUNCTION("""COMPUTED_VALUE"""),"Chicago")</f>
        <v>Chicago</v>
      </c>
      <c r="Q94" s="5" t="str">
        <f ca="1">IFERROR(__xludf.DUMMYFUNCTION("""COMPUTED_VALUE"""),"IL")</f>
        <v>IL</v>
      </c>
      <c r="R94" s="5" t="str">
        <f ca="1">IFERROR(__xludf.DUMMYFUNCTION("""COMPUTED_VALUE"""),"High")</f>
        <v>High</v>
      </c>
      <c r="S94" s="5" t="str">
        <f ca="1">IFERROR(__xludf.DUMMYFUNCTION("""COMPUTED_VALUE"""),"Front of School")</f>
        <v>Front of School</v>
      </c>
      <c r="T94" s="5" t="str">
        <f ca="1">IFERROR(__xludf.DUMMYFUNCTION("""COMPUTED_VALUE"""),"Outside on School Property")</f>
        <v>Outside on School Property</v>
      </c>
      <c r="U94" s="5" t="str">
        <f ca="1">IFERROR(__xludf.DUMMYFUNCTION("""COMPUTED_VALUE"""),"Yes")</f>
        <v>Yes</v>
      </c>
      <c r="V94" s="5" t="str">
        <f ca="1">IFERROR(__xludf.DUMMYFUNCTION("""COMPUTED_VALUE"""),"Dismissal")</f>
        <v>Dismissal</v>
      </c>
      <c r="W94" s="10">
        <f ca="1">IFERROR(__xludf.DUMMYFUNCTION("""COMPUTED_VALUE"""),0.614583333333333)</f>
        <v>0.61458333333333304</v>
      </c>
      <c r="X94" s="5">
        <f ca="1">IFERROR(__xludf.DUMMYFUNCTION("""COMPUTED_VALUE"""),1)</f>
        <v>1</v>
      </c>
      <c r="Y94" s="5" t="str">
        <f ca="1">IFERROR(__xludf.DUMMYFUNCTION("""COMPUTED_VALUE"""),"4 students shot at dismissal, shooter fled")</f>
        <v>4 students shot at dismissal, shooter fled</v>
      </c>
      <c r="Z94" s="5" t="str">
        <f ca="1">IFERROR(__xludf.DUMMYFUNCTION("""COMPUTED_VALUE"""),"Four teens were shot, two fatally, Friday afternoon outside Benito Juarez High School in Pilsen, officials said. About 2:45 p.m., someone fired shots outside the school, 2150 S. Laflin St., as classes were letting out for the day. Three boys and one girl "&amp;"were hit outside the school, and all four were taken to Stroger Hospital, fire department officials said. Two boys, ages 14 and 15, both were shot in the head and died at the hospital, police said. A 15-year-old boy was wounded in his thigh and shoulder, "&amp;"and a 15-year-old girl was grazed in her thigh, police said. Both teens were hospitalized in good condition, police said.")</f>
        <v>Four teens were shot, two fatally, Friday afternoon outside Benito Juarez High School in Pilsen, officials said. About 2:45 p.m., someone fired shots outside the school, 2150 S. Laflin St., as classes were letting out for the day. Three boys and one girl were hit outside the school, and all four were taken to Stroger Hospital, fire department officials said. Two boys, ages 14 and 15, both were shot in the head and died at the hospital, police said. A 15-year-old boy was wounded in his thigh and shoulder, and a 15-year-old girl was grazed in her thigh, police said. Both teens were hospitalized in good condition, police said.</v>
      </c>
      <c r="AA94" s="5" t="str">
        <f ca="1">IFERROR(__xludf.DUMMYFUNCTION("""COMPUTED_VALUE"""),"Escalation of Dispute")</f>
        <v>Escalation of Dispute</v>
      </c>
      <c r="AB94" s="5" t="str">
        <f ca="1">IFERROR(__xludf.DUMMYFUNCTION("""COMPUTED_VALUE"""),"Both")</f>
        <v>Both</v>
      </c>
      <c r="AC94" s="5" t="str">
        <f ca="1">IFERROR(__xludf.DUMMYFUNCTION("""COMPUTED_VALUE"""),"No")</f>
        <v>No</v>
      </c>
      <c r="AD94" s="5" t="str">
        <f ca="1">IFERROR(__xludf.DUMMYFUNCTION("""COMPUTED_VALUE"""),"No")</f>
        <v>No</v>
      </c>
      <c r="AE94" s="5" t="str">
        <f ca="1">IFERROR(__xludf.DUMMYFUNCTION("""COMPUTED_VALUE"""),"No")</f>
        <v>No</v>
      </c>
      <c r="AF94" s="5" t="str">
        <f ca="1">IFERROR(__xludf.DUMMYFUNCTION("""COMPUTED_VALUE"""),"No")</f>
        <v>No</v>
      </c>
      <c r="AG94" s="5"/>
      <c r="AH94" s="5" t="str">
        <f ca="1">IFERROR(__xludf.DUMMYFUNCTION("""COMPUTED_VALUE"""),"No")</f>
        <v>No</v>
      </c>
      <c r="AI94" s="5"/>
      <c r="AJ94" s="5" t="str">
        <f ca="1">IFERROR(__xludf.DUMMYFUNCTION("""COMPUTED_VALUE"""),"No")</f>
        <v>No</v>
      </c>
    </row>
    <row r="95" spans="1:36" ht="13">
      <c r="A95" s="5" t="str">
        <f ca="1">IFERROR(__xludf.DUMMYFUNCTION("""COMPUTED_VALUE"""),"20221214OHLIC")</f>
        <v>20221214OHLIC</v>
      </c>
      <c r="B95" s="5">
        <f ca="1">IFERROR(__xludf.DUMMYFUNCTION("""COMPUTED_VALUE"""),12)</f>
        <v>12</v>
      </c>
      <c r="C95" s="5">
        <f ca="1">IFERROR(__xludf.DUMMYFUNCTION("""COMPUTED_VALUE"""),14)</f>
        <v>14</v>
      </c>
      <c r="D95" s="5">
        <f ca="1">IFERROR(__xludf.DUMMYFUNCTION("""COMPUTED_VALUE"""),2022)</f>
        <v>2022</v>
      </c>
      <c r="E95" s="8">
        <f ca="1">IFERROR(__xludf.DUMMYFUNCTION("""COMPUTED_VALUE"""),44909)</f>
        <v>44909</v>
      </c>
      <c r="F95" s="5" t="str">
        <f ca="1">IFERROR(__xludf.DUMMYFUNCTION("""COMPUTED_VALUE"""),"Linden-McKinley STEM Academy")</f>
        <v>Linden-McKinley STEM Academy</v>
      </c>
      <c r="G95" s="5">
        <f ca="1">IFERROR(__xludf.DUMMYFUNCTION("""COMPUTED_VALUE"""),0)</f>
        <v>0</v>
      </c>
      <c r="H95" s="5">
        <f ca="1">IFERROR(__xludf.DUMMYFUNCTION("""COMPUTED_VALUE"""),0)</f>
        <v>0</v>
      </c>
      <c r="I95" s="5">
        <f ca="1">IFERROR(__xludf.DUMMYFUNCTION("""COMPUTED_VALUE"""),0)</f>
        <v>0</v>
      </c>
      <c r="J95" s="5">
        <f ca="1">IFERROR(__xludf.DUMMYFUNCTION("""COMPUTED_VALUE"""),0)</f>
        <v>0</v>
      </c>
      <c r="K95" s="9" t="str">
        <f ca="1">IFERROR(__xludf.DUMMYFUNCTION("""COMPUTED_VALUE"""),"https://www.nbc4i.com/news/local-news/columbus/police-shots-fired-outside-columbus-school/")</f>
        <v>https://www.nbc4i.com/news/local-news/columbus/police-shots-fired-outside-columbus-school/</v>
      </c>
      <c r="L95" s="5">
        <f ca="1">IFERROR(__xludf.DUMMYFUNCTION("""COMPUTED_VALUE"""),5)</f>
        <v>5</v>
      </c>
      <c r="M95" s="5" t="str">
        <f ca="1">IFERROR(__xludf.DUMMYFUNCTION("""COMPUTED_VALUE"""),"Local")</f>
        <v>Local</v>
      </c>
      <c r="N95" s="5">
        <f ca="1">IFERROR(__xludf.DUMMYFUNCTION("""COMPUTED_VALUE"""),4)</f>
        <v>4</v>
      </c>
      <c r="O95" s="5" t="str">
        <f ca="1">IFERROR(__xludf.DUMMYFUNCTION("""COMPUTED_VALUE"""),"Winter")</f>
        <v>Winter</v>
      </c>
      <c r="P95" s="5" t="str">
        <f ca="1">IFERROR(__xludf.DUMMYFUNCTION("""COMPUTED_VALUE"""),"Columbus")</f>
        <v>Columbus</v>
      </c>
      <c r="Q95" s="5" t="str">
        <f ca="1">IFERROR(__xludf.DUMMYFUNCTION("""COMPUTED_VALUE"""),"OH")</f>
        <v>OH</v>
      </c>
      <c r="R95" s="5" t="str">
        <f ca="1">IFERROR(__xludf.DUMMYFUNCTION("""COMPUTED_VALUE"""),"High")</f>
        <v>High</v>
      </c>
      <c r="S95" s="5" t="str">
        <f ca="1">IFERROR(__xludf.DUMMYFUNCTION("""COMPUTED_VALUE"""),"Outside on School Property")</f>
        <v>Outside on School Property</v>
      </c>
      <c r="T95" s="5" t="str">
        <f ca="1">IFERROR(__xludf.DUMMYFUNCTION("""COMPUTED_VALUE"""),"Outside on School Property")</f>
        <v>Outside on School Property</v>
      </c>
      <c r="U95" s="5" t="str">
        <f ca="1">IFERROR(__xludf.DUMMYFUNCTION("""COMPUTED_VALUE"""),"Yes")</f>
        <v>Yes</v>
      </c>
      <c r="V95" s="5" t="str">
        <f ca="1">IFERROR(__xludf.DUMMYFUNCTION("""COMPUTED_VALUE"""),"Dismissal")</f>
        <v>Dismissal</v>
      </c>
      <c r="W95" s="10">
        <f ca="1">IFERROR(__xludf.DUMMYFUNCTION("""COMPUTED_VALUE"""),0.611111111111111)</f>
        <v>0.61111111111111105</v>
      </c>
      <c r="X95" s="5">
        <f ca="1">IFERROR(__xludf.DUMMYFUNCTION("""COMPUTED_VALUE"""),1)</f>
        <v>1</v>
      </c>
      <c r="Y95" s="5" t="str">
        <f ca="1">IFERROR(__xludf.DUMMYFUNCTION("""COMPUTED_VALUE"""),"Shots fired outside school")</f>
        <v>Shots fired outside school</v>
      </c>
      <c r="Z95" s="5" t="str">
        <f ca="1">IFERROR(__xludf.DUMMYFUNCTION("""COMPUTED_VALUE"""),"Shots fired outside the school. No injuries. 90 minutes prior to the shooting, police detained another student on campus with a loaded 9mm handgun.")</f>
        <v>Shots fired outside the school. No injuries. 90 minutes prior to the shooting, police detained another student on campus with a loaded 9mm handgun.</v>
      </c>
      <c r="AA95" s="5"/>
      <c r="AB95" s="5"/>
      <c r="AC95" s="5"/>
      <c r="AD95" s="5" t="str">
        <f ca="1">IFERROR(__xludf.DUMMYFUNCTION("""COMPUTED_VALUE"""),"No")</f>
        <v>No</v>
      </c>
      <c r="AE95" s="5" t="str">
        <f ca="1">IFERROR(__xludf.DUMMYFUNCTION("""COMPUTED_VALUE"""),"No")</f>
        <v>No</v>
      </c>
      <c r="AF95" s="5" t="str">
        <f ca="1">IFERROR(__xludf.DUMMYFUNCTION("""COMPUTED_VALUE"""),"No")</f>
        <v>No</v>
      </c>
      <c r="AG95" s="5"/>
      <c r="AH95" s="5" t="str">
        <f ca="1">IFERROR(__xludf.DUMMYFUNCTION("""COMPUTED_VALUE"""),"No")</f>
        <v>No</v>
      </c>
      <c r="AI95" s="5"/>
      <c r="AJ95" s="5" t="str">
        <f ca="1">IFERROR(__xludf.DUMMYFUNCTION("""COMPUTED_VALUE"""),"No")</f>
        <v>No</v>
      </c>
    </row>
    <row r="96" spans="1:36" ht="13">
      <c r="A96" s="5" t="str">
        <f ca="1">IFERROR(__xludf.DUMMYFUNCTION("""COMPUTED_VALUE"""),"20221212ORGRP")</f>
        <v>20221212ORGRP</v>
      </c>
      <c r="B96" s="5">
        <f ca="1">IFERROR(__xludf.DUMMYFUNCTION("""COMPUTED_VALUE"""),12)</f>
        <v>12</v>
      </c>
      <c r="C96" s="5">
        <f ca="1">IFERROR(__xludf.DUMMYFUNCTION("""COMPUTED_VALUE"""),12)</f>
        <v>12</v>
      </c>
      <c r="D96" s="5">
        <f ca="1">IFERROR(__xludf.DUMMYFUNCTION("""COMPUTED_VALUE"""),2022)</f>
        <v>2022</v>
      </c>
      <c r="E96" s="8">
        <f ca="1">IFERROR(__xludf.DUMMYFUNCTION("""COMPUTED_VALUE"""),44907)</f>
        <v>44907</v>
      </c>
      <c r="F96" s="5" t="str">
        <f ca="1">IFERROR(__xludf.DUMMYFUNCTION("""COMPUTED_VALUE"""),"Grover Cleveland High School")</f>
        <v>Grover Cleveland High School</v>
      </c>
      <c r="G96" s="5">
        <f ca="1">IFERROR(__xludf.DUMMYFUNCTION("""COMPUTED_VALUE"""),0)</f>
        <v>0</v>
      </c>
      <c r="H96" s="5">
        <f ca="1">IFERROR(__xludf.DUMMYFUNCTION("""COMPUTED_VALUE"""),1)</f>
        <v>1</v>
      </c>
      <c r="I96" s="5">
        <f ca="1">IFERROR(__xludf.DUMMYFUNCTION("""COMPUTED_VALUE"""),1)</f>
        <v>1</v>
      </c>
      <c r="J96" s="5">
        <f ca="1">IFERROR(__xludf.DUMMYFUNCTION("""COMPUTED_VALUE"""),0)</f>
        <v>0</v>
      </c>
      <c r="K96" s="9" t="str">
        <f ca="1">IFERROR(__xludf.DUMMYFUNCTION("""COMPUTED_VALUE"""),"https://katu.com/news/local/police-presence-at-cleveland-high-school-monday-afternoon")</f>
        <v>https://katu.com/news/local/police-presence-at-cleveland-high-school-monday-afternoon</v>
      </c>
      <c r="L96" s="5">
        <f ca="1">IFERROR(__xludf.DUMMYFUNCTION("""COMPUTED_VALUE"""),50)</f>
        <v>50</v>
      </c>
      <c r="M96" s="5" t="str">
        <f ca="1">IFERROR(__xludf.DUMMYFUNCTION("""COMPUTED_VALUE"""),"National")</f>
        <v>National</v>
      </c>
      <c r="N96" s="5">
        <f ca="1">IFERROR(__xludf.DUMMYFUNCTION("""COMPUTED_VALUE"""),4)</f>
        <v>4</v>
      </c>
      <c r="O96" s="5" t="str">
        <f ca="1">IFERROR(__xludf.DUMMYFUNCTION("""COMPUTED_VALUE"""),"Winter")</f>
        <v>Winter</v>
      </c>
      <c r="P96" s="5" t="str">
        <f ca="1">IFERROR(__xludf.DUMMYFUNCTION("""COMPUTED_VALUE"""),"Portland")</f>
        <v>Portland</v>
      </c>
      <c r="Q96" s="5" t="str">
        <f ca="1">IFERROR(__xludf.DUMMYFUNCTION("""COMPUTED_VALUE"""),"OR")</f>
        <v>OR</v>
      </c>
      <c r="R96" s="5" t="str">
        <f ca="1">IFERROR(__xludf.DUMMYFUNCTION("""COMPUTED_VALUE"""),"High")</f>
        <v>High</v>
      </c>
      <c r="S96" s="5" t="str">
        <f ca="1">IFERROR(__xludf.DUMMYFUNCTION("""COMPUTED_VALUE"""),"Beside Building")</f>
        <v>Beside Building</v>
      </c>
      <c r="T96" s="5" t="str">
        <f ca="1">IFERROR(__xludf.DUMMYFUNCTION("""COMPUTED_VALUE"""),"Outside on School Property")</f>
        <v>Outside on School Property</v>
      </c>
      <c r="U96" s="5" t="str">
        <f ca="1">IFERROR(__xludf.DUMMYFUNCTION("""COMPUTED_VALUE"""),"Yes")</f>
        <v>Yes</v>
      </c>
      <c r="V96" s="5" t="str">
        <f ca="1">IFERROR(__xludf.DUMMYFUNCTION("""COMPUTED_VALUE"""),"Morning Classes")</f>
        <v>Morning Classes</v>
      </c>
      <c r="W96" s="10">
        <f ca="1">IFERROR(__xludf.DUMMYFUNCTION("""COMPUTED_VALUE"""),0.520833333333333)</f>
        <v>0.52083333333333304</v>
      </c>
      <c r="X96" s="5">
        <f ca="1">IFERROR(__xludf.DUMMYFUNCTION("""COMPUTED_VALUE"""),1)</f>
        <v>1</v>
      </c>
      <c r="Y96" s="5" t="str">
        <f ca="1">IFERROR(__xludf.DUMMYFUNCTION("""COMPUTED_VALUE"""),"Student shot outside of school during morning classes")</f>
        <v>Student shot outside of school during morning classes</v>
      </c>
      <c r="Z96" s="5" t="str">
        <f ca="1">IFERROR(__xludf.DUMMYFUNCTION("""COMPUTED_VALUE"""),"The shooting was reported at about 12:30 p.m. outside the school on Powell Boulevard at Southeast 26th Avenue, but police said the gunfire happened ""partially on school grounds."" Witnesses say two vehicles may have been involved, but neither driver stay"&amp;"ed at the scene after the shooting. The school went into an immediate lockdown. There were no other injuries reported.")</f>
        <v>The shooting was reported at about 12:30 p.m. outside the school on Powell Boulevard at Southeast 26th Avenue, but police said the gunfire happened "partially on school grounds." Witnesses say two vehicles may have been involved, but neither driver stayed at the scene after the shooting. The school went into an immediate lockdown. There were no other injuries reported.</v>
      </c>
      <c r="AA96" s="5"/>
      <c r="AB96" s="5" t="str">
        <f ca="1">IFERROR(__xludf.DUMMYFUNCTION("""COMPUTED_VALUE"""),"Victims Targeted")</f>
        <v>Victims Targeted</v>
      </c>
      <c r="AC96" s="5"/>
      <c r="AD96" s="5" t="str">
        <f ca="1">IFERROR(__xludf.DUMMYFUNCTION("""COMPUTED_VALUE"""),"No")</f>
        <v>No</v>
      </c>
      <c r="AE96" s="5" t="str">
        <f ca="1">IFERROR(__xludf.DUMMYFUNCTION("""COMPUTED_VALUE"""),"No")</f>
        <v>No</v>
      </c>
      <c r="AF96" s="5" t="str">
        <f ca="1">IFERROR(__xludf.DUMMYFUNCTION("""COMPUTED_VALUE"""),"No")</f>
        <v>No</v>
      </c>
      <c r="AG96" s="5" t="str">
        <f ca="1">IFERROR(__xludf.DUMMYFUNCTION("""COMPUTED_VALUE"""),"No")</f>
        <v>No</v>
      </c>
      <c r="AH96" s="5" t="str">
        <f ca="1">IFERROR(__xludf.DUMMYFUNCTION("""COMPUTED_VALUE"""),"No")</f>
        <v>No</v>
      </c>
      <c r="AI96" s="5"/>
      <c r="AJ96" s="5" t="str">
        <f ca="1">IFERROR(__xludf.DUMMYFUNCTION("""COMPUTED_VALUE"""),"No")</f>
        <v>No</v>
      </c>
    </row>
    <row r="97" spans="1:36" ht="13">
      <c r="A97" s="5" t="str">
        <f ca="1">IFERROR(__xludf.DUMMYFUNCTION("""COMPUTED_VALUE"""),"20221210TNBRC")</f>
        <v>20221210TNBRC</v>
      </c>
      <c r="B97" s="5">
        <f ca="1">IFERROR(__xludf.DUMMYFUNCTION("""COMPUTED_VALUE"""),12)</f>
        <v>12</v>
      </c>
      <c r="C97" s="5">
        <f ca="1">IFERROR(__xludf.DUMMYFUNCTION("""COMPUTED_VALUE"""),10)</f>
        <v>10</v>
      </c>
      <c r="D97" s="5">
        <f ca="1">IFERROR(__xludf.DUMMYFUNCTION("""COMPUTED_VALUE"""),2022)</f>
        <v>2022</v>
      </c>
      <c r="E97" s="8">
        <f ca="1">IFERROR(__xludf.DUMMYFUNCTION("""COMPUTED_VALUE"""),44905)</f>
        <v>44905</v>
      </c>
      <c r="F97" s="5" t="str">
        <f ca="1">IFERROR(__xludf.DUMMYFUNCTION("""COMPUTED_VALUE"""),"Brainerd High School")</f>
        <v>Brainerd High School</v>
      </c>
      <c r="G97" s="5">
        <f ca="1">IFERROR(__xludf.DUMMYFUNCTION("""COMPUTED_VALUE"""),0)</f>
        <v>0</v>
      </c>
      <c r="H97" s="5">
        <f ca="1">IFERROR(__xludf.DUMMYFUNCTION("""COMPUTED_VALUE"""),0)</f>
        <v>0</v>
      </c>
      <c r="I97" s="5">
        <f ca="1">IFERROR(__xludf.DUMMYFUNCTION("""COMPUTED_VALUE"""),0)</f>
        <v>0</v>
      </c>
      <c r="J97" s="5">
        <f ca="1">IFERROR(__xludf.DUMMYFUNCTION("""COMPUTED_VALUE"""),0)</f>
        <v>0</v>
      </c>
      <c r="K97" s="5" t="str">
        <f ca="1">IFERROR(__xludf.DUMMYFUNCTION("""COMPUTED_VALUE"""),"https://newschannel9.com/news/local/shots-fired-outsidetyner-academy-vs-brainerd-high-school-basketball-game-saturday-night
https://www.local3news.com/local-news/chattanooga-police-investigate-multiple-shots-fired-in-brainerd-high-school-parking-lot/artic"&amp;"le_f3aabb16-7904-11ed-aaea-7386ee4e554a.html
https://www.chattanoogan.com/2022/12/10/460750/Multiple-Shots-Fired-In-Brainerd-High.aspx
https://www.wdef.com/chattanooga-police-investigating-shooting-near-brainerd-high-school/")</f>
        <v>https://newschannel9.com/news/local/shots-fired-outsidetyner-academy-vs-brainerd-high-school-basketball-game-saturday-night
https://www.local3news.com/local-news/chattanooga-police-investigate-multiple-shots-fired-in-brainerd-high-school-parking-lot/article_f3aabb16-7904-11ed-aaea-7386ee4e554a.html
https://www.chattanoogan.com/2022/12/10/460750/Multiple-Shots-Fired-In-Brainerd-High.aspx
https://www.wdef.com/chattanooga-police-investigating-shooting-near-brainerd-high-school/</v>
      </c>
      <c r="L97" s="5">
        <f ca="1">IFERROR(__xludf.DUMMYFUNCTION("""COMPUTED_VALUE"""),5)</f>
        <v>5</v>
      </c>
      <c r="M97" s="5" t="str">
        <f ca="1">IFERROR(__xludf.DUMMYFUNCTION("""COMPUTED_VALUE"""),"Local")</f>
        <v>Local</v>
      </c>
      <c r="N97" s="5">
        <f ca="1">IFERROR(__xludf.DUMMYFUNCTION("""COMPUTED_VALUE"""),4)</f>
        <v>4</v>
      </c>
      <c r="O97" s="5" t="str">
        <f ca="1">IFERROR(__xludf.DUMMYFUNCTION("""COMPUTED_VALUE"""),"Winter")</f>
        <v>Winter</v>
      </c>
      <c r="P97" s="5" t="str">
        <f ca="1">IFERROR(__xludf.DUMMYFUNCTION("""COMPUTED_VALUE"""),"Chattanooga")</f>
        <v>Chattanooga</v>
      </c>
      <c r="Q97" s="5" t="str">
        <f ca="1">IFERROR(__xludf.DUMMYFUNCTION("""COMPUTED_VALUE"""),"TN")</f>
        <v>TN</v>
      </c>
      <c r="R97" s="5" t="str">
        <f ca="1">IFERROR(__xludf.DUMMYFUNCTION("""COMPUTED_VALUE"""),"High")</f>
        <v>High</v>
      </c>
      <c r="S97" s="5" t="str">
        <f ca="1">IFERROR(__xludf.DUMMYFUNCTION("""COMPUTED_VALUE"""),"Parking Lot")</f>
        <v>Parking Lot</v>
      </c>
      <c r="T97" s="5" t="str">
        <f ca="1">IFERROR(__xludf.DUMMYFUNCTION("""COMPUTED_VALUE"""),"Outside on School Property")</f>
        <v>Outside on School Property</v>
      </c>
      <c r="U97" s="5" t="str">
        <f ca="1">IFERROR(__xludf.DUMMYFUNCTION("""COMPUTED_VALUE"""),"No")</f>
        <v>No</v>
      </c>
      <c r="V97" s="5" t="str">
        <f ca="1">IFERROR(__xludf.DUMMYFUNCTION("""COMPUTED_VALUE"""),"Sport Event")</f>
        <v>Sport Event</v>
      </c>
      <c r="W97" s="10">
        <f ca="1">IFERROR(__xludf.DUMMYFUNCTION("""COMPUTED_VALUE"""),0.78125)</f>
        <v>0.78125</v>
      </c>
      <c r="X97" s="5">
        <f ca="1">IFERROR(__xludf.DUMMYFUNCTION("""COMPUTED_VALUE"""),1)</f>
        <v>1</v>
      </c>
      <c r="Y97" s="5" t="str">
        <f ca="1">IFERROR(__xludf.DUMMYFUNCTION("""COMPUTED_VALUE"""),"Multiple shots fired in parking lot, shooter fled")</f>
        <v>Multiple shots fired in parking lot, shooter fled</v>
      </c>
      <c r="Z97" s="5" t="str">
        <f ca="1">IFERROR(__xludf.DUMMYFUNCTION("""COMPUTED_VALUE"""),"Multiple shots fired in parking lot following varsity basketball game. Police found shell casings and damaged vehicles. Shooter fled.")</f>
        <v>Multiple shots fired in parking lot following varsity basketball game. Police found shell casings and damaged vehicles. Shooter fled.</v>
      </c>
      <c r="AA97" s="5"/>
      <c r="AB97" s="5"/>
      <c r="AC97" s="5"/>
      <c r="AD97" s="5" t="str">
        <f ca="1">IFERROR(__xludf.DUMMYFUNCTION("""COMPUTED_VALUE"""),"No")</f>
        <v>No</v>
      </c>
      <c r="AE97" s="5" t="str">
        <f ca="1">IFERROR(__xludf.DUMMYFUNCTION("""COMPUTED_VALUE"""),"No")</f>
        <v>No</v>
      </c>
      <c r="AF97" s="5" t="str">
        <f ca="1">IFERROR(__xludf.DUMMYFUNCTION("""COMPUTED_VALUE"""),"No")</f>
        <v>No</v>
      </c>
      <c r="AG97" s="5"/>
      <c r="AH97" s="5" t="str">
        <f ca="1">IFERROR(__xludf.DUMMYFUNCTION("""COMPUTED_VALUE"""),"No")</f>
        <v>No</v>
      </c>
      <c r="AI97" s="5"/>
      <c r="AJ97" s="5" t="str">
        <f ca="1">IFERROR(__xludf.DUMMYFUNCTION("""COMPUTED_VALUE"""),"No")</f>
        <v>No</v>
      </c>
    </row>
    <row r="98" spans="1:36" ht="13">
      <c r="A98" s="5" t="str">
        <f ca="1">IFERROR(__xludf.DUMMYFUNCTION("""COMPUTED_VALUE"""),"20221209PAMEP")</f>
        <v>20221209PAMEP</v>
      </c>
      <c r="B98" s="5">
        <f ca="1">IFERROR(__xludf.DUMMYFUNCTION("""COMPUTED_VALUE"""),12)</f>
        <v>12</v>
      </c>
      <c r="C98" s="5">
        <f ca="1">IFERROR(__xludf.DUMMYFUNCTION("""COMPUTED_VALUE"""),9)</f>
        <v>9</v>
      </c>
      <c r="D98" s="5">
        <f ca="1">IFERROR(__xludf.DUMMYFUNCTION("""COMPUTED_VALUE"""),2022)</f>
        <v>2022</v>
      </c>
      <c r="E98" s="8">
        <f ca="1">IFERROR(__xludf.DUMMYFUNCTION("""COMPUTED_VALUE"""),44904)</f>
        <v>44904</v>
      </c>
      <c r="F98" s="5" t="str">
        <f ca="1">IFERROR(__xludf.DUMMYFUNCTION("""COMPUTED_VALUE"""),"Memphis Street Academy Charter School")</f>
        <v>Memphis Street Academy Charter School</v>
      </c>
      <c r="G98" s="5">
        <f ca="1">IFERROR(__xludf.DUMMYFUNCTION("""COMPUTED_VALUE"""),1)</f>
        <v>1</v>
      </c>
      <c r="H98" s="5">
        <f ca="1">IFERROR(__xludf.DUMMYFUNCTION("""COMPUTED_VALUE"""),0)</f>
        <v>0</v>
      </c>
      <c r="I98" s="5">
        <f ca="1">IFERROR(__xludf.DUMMYFUNCTION("""COMPUTED_VALUE"""),1)</f>
        <v>1</v>
      </c>
      <c r="J98" s="5">
        <f ca="1">IFERROR(__xludf.DUMMYFUNCTION("""COMPUTED_VALUE"""),0)</f>
        <v>0</v>
      </c>
      <c r="K98" s="9" t="str">
        <f ca="1">IFERROR(__xludf.DUMMYFUNCTION("""COMPUTED_VALUE"""),"https://6abc.com/shooting-homicide/12554428/")</f>
        <v>https://6abc.com/shooting-homicide/12554428/</v>
      </c>
      <c r="L98" s="5">
        <f ca="1">IFERROR(__xludf.DUMMYFUNCTION("""COMPUTED_VALUE"""),1)</f>
        <v>1</v>
      </c>
      <c r="M98" s="5" t="str">
        <f ca="1">IFERROR(__xludf.DUMMYFUNCTION("""COMPUTED_VALUE"""),"Local")</f>
        <v>Local</v>
      </c>
      <c r="N98" s="5">
        <f ca="1">IFERROR(__xludf.DUMMYFUNCTION("""COMPUTED_VALUE"""),2)</f>
        <v>2</v>
      </c>
      <c r="O98" s="5" t="str">
        <f ca="1">IFERROR(__xludf.DUMMYFUNCTION("""COMPUTED_VALUE"""),"Winter")</f>
        <v>Winter</v>
      </c>
      <c r="P98" s="5" t="str">
        <f ca="1">IFERROR(__xludf.DUMMYFUNCTION("""COMPUTED_VALUE"""),"Philadelphia")</f>
        <v>Philadelphia</v>
      </c>
      <c r="Q98" s="5" t="str">
        <f ca="1">IFERROR(__xludf.DUMMYFUNCTION("""COMPUTED_VALUE"""),"PA")</f>
        <v>PA</v>
      </c>
      <c r="R98" s="5" t="str">
        <f ca="1">IFERROR(__xludf.DUMMYFUNCTION("""COMPUTED_VALUE"""),"High")</f>
        <v>High</v>
      </c>
      <c r="S98" s="5" t="str">
        <f ca="1">IFERROR(__xludf.DUMMYFUNCTION("""COMPUTED_VALUE"""),"Beside Building")</f>
        <v>Beside Building</v>
      </c>
      <c r="T98" s="5" t="str">
        <f ca="1">IFERROR(__xludf.DUMMYFUNCTION("""COMPUTED_VALUE"""),"Outside on School Property")</f>
        <v>Outside on School Property</v>
      </c>
      <c r="U98" s="5" t="str">
        <f ca="1">IFERROR(__xludf.DUMMYFUNCTION("""COMPUTED_VALUE"""),"No")</f>
        <v>No</v>
      </c>
      <c r="V98" s="5" t="str">
        <f ca="1">IFERROR(__xludf.DUMMYFUNCTION("""COMPUTED_VALUE"""),"Night")</f>
        <v>Night</v>
      </c>
      <c r="W98" s="10">
        <f ca="1">IFERROR(__xludf.DUMMYFUNCTION("""COMPUTED_VALUE"""),0.979166666666666)</f>
        <v>0.97916666666666596</v>
      </c>
      <c r="X98" s="5">
        <f ca="1">IFERROR(__xludf.DUMMYFUNCTION("""COMPUTED_VALUE"""),1)</f>
        <v>1</v>
      </c>
      <c r="Y98" s="5" t="str">
        <f ca="1">IFERROR(__xludf.DUMMYFUNCTION("""COMPUTED_VALUE"""),"Adult man fatally shot next to school")</f>
        <v>Adult man fatally shot next to school</v>
      </c>
      <c r="Z98" s="5" t="str">
        <f ca="1">IFERROR(__xludf.DUMMYFUNCTION("""COMPUTED_VALUE"""),"Philadelphia Police are investigating after a man was shot and killed outside a school in Port Richmond. It happened around 11:30 p.m. Friday near the Memphis Street Academy Charter School in the 2900 block of Memphis Street. Investigators say the 31-year"&amp;"-old man was shot eight times and then climbed into the passenger seat of a car.")</f>
        <v>Philadelphia Police are investigating after a man was shot and killed outside a school in Port Richmond. It happened around 11:30 p.m. Friday near the Memphis Street Academy Charter School in the 2900 block of Memphis Street. Investigators say the 31-year-old man was shot eight times and then climbed into the passenger seat of a car.</v>
      </c>
      <c r="AA98" s="5"/>
      <c r="AB98" s="5" t="str">
        <f ca="1">IFERROR(__xludf.DUMMYFUNCTION("""COMPUTED_VALUE"""),"Victims Targeted")</f>
        <v>Victims Targeted</v>
      </c>
      <c r="AC98" s="5"/>
      <c r="AD98" s="5" t="str">
        <f ca="1">IFERROR(__xludf.DUMMYFUNCTION("""COMPUTED_VALUE"""),"No")</f>
        <v>No</v>
      </c>
      <c r="AE98" s="5" t="str">
        <f ca="1">IFERROR(__xludf.DUMMYFUNCTION("""COMPUTED_VALUE"""),"No")</f>
        <v>No</v>
      </c>
      <c r="AF98" s="5" t="str">
        <f ca="1">IFERROR(__xludf.DUMMYFUNCTION("""COMPUTED_VALUE"""),"No")</f>
        <v>No</v>
      </c>
      <c r="AG98" s="5" t="str">
        <f ca="1">IFERROR(__xludf.DUMMYFUNCTION("""COMPUTED_VALUE"""),"No")</f>
        <v>No</v>
      </c>
      <c r="AH98" s="5" t="str">
        <f ca="1">IFERROR(__xludf.DUMMYFUNCTION("""COMPUTED_VALUE"""),"No")</f>
        <v>No</v>
      </c>
      <c r="AI98" s="5"/>
      <c r="AJ98" s="5" t="str">
        <f ca="1">IFERROR(__xludf.DUMMYFUNCTION("""COMPUTED_VALUE"""),"No")</f>
        <v>No</v>
      </c>
    </row>
    <row r="99" spans="1:36" ht="13">
      <c r="A99" s="5" t="str">
        <f ca="1">IFERROR(__xludf.DUMMYFUNCTION("""COMPUTED_VALUE"""),"20221209OHMED")</f>
        <v>20221209OHMED</v>
      </c>
      <c r="B99" s="5">
        <f ca="1">IFERROR(__xludf.DUMMYFUNCTION("""COMPUTED_VALUE"""),12)</f>
        <v>12</v>
      </c>
      <c r="C99" s="5">
        <f ca="1">IFERROR(__xludf.DUMMYFUNCTION("""COMPUTED_VALUE"""),9)</f>
        <v>9</v>
      </c>
      <c r="D99" s="5">
        <f ca="1">IFERROR(__xludf.DUMMYFUNCTION("""COMPUTED_VALUE"""),2022)</f>
        <v>2022</v>
      </c>
      <c r="E99" s="8">
        <f ca="1">IFERROR(__xludf.DUMMYFUNCTION("""COMPUTED_VALUE"""),44904)</f>
        <v>44904</v>
      </c>
      <c r="F99" s="5" t="str">
        <f ca="1">IFERROR(__xludf.DUMMYFUNCTION("""COMPUTED_VALUE"""),"Meadowdale High School")</f>
        <v>Meadowdale High School</v>
      </c>
      <c r="G99" s="5">
        <f ca="1">IFERROR(__xludf.DUMMYFUNCTION("""COMPUTED_VALUE"""),0)</f>
        <v>0</v>
      </c>
      <c r="H99" s="5">
        <f ca="1">IFERROR(__xludf.DUMMYFUNCTION("""COMPUTED_VALUE"""),0)</f>
        <v>0</v>
      </c>
      <c r="I99" s="5">
        <f ca="1">IFERROR(__xludf.DUMMYFUNCTION("""COMPUTED_VALUE"""),0)</f>
        <v>0</v>
      </c>
      <c r="J99" s="5">
        <f ca="1">IFERROR(__xludf.DUMMYFUNCTION("""COMPUTED_VALUE"""),0)</f>
        <v>0</v>
      </c>
      <c r="K99" s="9" t="str">
        <f ca="1">IFERROR(__xludf.DUMMYFUNCTION("""COMPUTED_VALUE"""),"https://www.whio.com/news/crime-and-law/large-fight-shots-fired-meadowdale-high-school/FK6OII7FJFAO7OSU4FVY6K3BSU/")</f>
        <v>https://www.whio.com/news/crime-and-law/large-fight-shots-fired-meadowdale-high-school/FK6OII7FJFAO7OSU4FVY6K3BSU/</v>
      </c>
      <c r="L99" s="5">
        <f ca="1">IFERROR(__xludf.DUMMYFUNCTION("""COMPUTED_VALUE"""),3)</f>
        <v>3</v>
      </c>
      <c r="M99" s="5" t="str">
        <f ca="1">IFERROR(__xludf.DUMMYFUNCTION("""COMPUTED_VALUE"""),"Local")</f>
        <v>Local</v>
      </c>
      <c r="N99" s="5">
        <f ca="1">IFERROR(__xludf.DUMMYFUNCTION("""COMPUTED_VALUE"""),4)</f>
        <v>4</v>
      </c>
      <c r="O99" s="5" t="str">
        <f ca="1">IFERROR(__xludf.DUMMYFUNCTION("""COMPUTED_VALUE"""),"Winter")</f>
        <v>Winter</v>
      </c>
      <c r="P99" s="5" t="str">
        <f ca="1">IFERROR(__xludf.DUMMYFUNCTION("""COMPUTED_VALUE"""),"Dayton")</f>
        <v>Dayton</v>
      </c>
      <c r="Q99" s="5" t="str">
        <f ca="1">IFERROR(__xludf.DUMMYFUNCTION("""COMPUTED_VALUE"""),"OH")</f>
        <v>OH</v>
      </c>
      <c r="R99" s="5" t="str">
        <f ca="1">IFERROR(__xludf.DUMMYFUNCTION("""COMPUTED_VALUE"""),"High")</f>
        <v>High</v>
      </c>
      <c r="S99" s="5" t="str">
        <f ca="1">IFERROR(__xludf.DUMMYFUNCTION("""COMPUTED_VALUE"""),"Parking Lot")</f>
        <v>Parking Lot</v>
      </c>
      <c r="T99" s="5" t="str">
        <f ca="1">IFERROR(__xludf.DUMMYFUNCTION("""COMPUTED_VALUE"""),"Outside on School Property")</f>
        <v>Outside on School Property</v>
      </c>
      <c r="U99" s="5" t="str">
        <f ca="1">IFERROR(__xludf.DUMMYFUNCTION("""COMPUTED_VALUE"""),"No")</f>
        <v>No</v>
      </c>
      <c r="V99" s="5" t="str">
        <f ca="1">IFERROR(__xludf.DUMMYFUNCTION("""COMPUTED_VALUE"""),"Sport Event")</f>
        <v>Sport Event</v>
      </c>
      <c r="W99" s="10">
        <f ca="1">IFERROR(__xludf.DUMMYFUNCTION("""COMPUTED_VALUE"""),0.909722222222222)</f>
        <v>0.90972222222222199</v>
      </c>
      <c r="X99" s="5">
        <f ca="1">IFERROR(__xludf.DUMMYFUNCTION("""COMPUTED_VALUE"""),1)</f>
        <v>1</v>
      </c>
      <c r="Y99" s="5" t="str">
        <f ca="1">IFERROR(__xludf.DUMMYFUNCTION("""COMPUTED_VALUE"""),"Shots fired during fight after varsity basketball game")</f>
        <v>Shots fired during fight after varsity basketball game</v>
      </c>
      <c r="Z99" s="5" t="str">
        <f ca="1">IFERROR(__xludf.DUMMYFUNCTION("""COMPUTED_VALUE"""),"5 shots were fired during a large fight between rival fans following the varsity basketball game. No injuries. Shooter fled before police arrived.")</f>
        <v>5 shots were fired during a large fight between rival fans following the varsity basketball game. No injuries. Shooter fled before police arrived.</v>
      </c>
      <c r="AA99" s="5" t="str">
        <f ca="1">IFERROR(__xludf.DUMMYFUNCTION("""COMPUTED_VALUE"""),"Escalation of Dispute")</f>
        <v>Escalation of Dispute</v>
      </c>
      <c r="AB99" s="5" t="str">
        <f ca="1">IFERROR(__xludf.DUMMYFUNCTION("""COMPUTED_VALUE"""),"Both")</f>
        <v>Both</v>
      </c>
      <c r="AC99" s="5" t="str">
        <f ca="1">IFERROR(__xludf.DUMMYFUNCTION("""COMPUTED_VALUE"""),"No")</f>
        <v>No</v>
      </c>
      <c r="AD99" s="5" t="str">
        <f ca="1">IFERROR(__xludf.DUMMYFUNCTION("""COMPUTED_VALUE"""),"No")</f>
        <v>No</v>
      </c>
      <c r="AE99" s="5" t="str">
        <f ca="1">IFERROR(__xludf.DUMMYFUNCTION("""COMPUTED_VALUE"""),"No")</f>
        <v>No</v>
      </c>
      <c r="AF99" s="5" t="str">
        <f ca="1">IFERROR(__xludf.DUMMYFUNCTION("""COMPUTED_VALUE"""),"No")</f>
        <v>No</v>
      </c>
      <c r="AG99" s="5" t="str">
        <f ca="1">IFERROR(__xludf.DUMMYFUNCTION("""COMPUTED_VALUE"""),"No")</f>
        <v>No</v>
      </c>
      <c r="AH99" s="5" t="str">
        <f ca="1">IFERROR(__xludf.DUMMYFUNCTION("""COMPUTED_VALUE"""),"No")</f>
        <v>No</v>
      </c>
      <c r="AI99" s="5"/>
      <c r="AJ99" s="5" t="str">
        <f ca="1">IFERROR(__xludf.DUMMYFUNCTION("""COMPUTED_VALUE"""),"No")</f>
        <v>No</v>
      </c>
    </row>
    <row r="100" spans="1:36" ht="13">
      <c r="A100" s="5" t="str">
        <f ca="1">IFERROR(__xludf.DUMMYFUNCTION("""COMPUTED_VALUE"""),"20221207NCFUG")</f>
        <v>20221207NCFUG</v>
      </c>
      <c r="B100" s="5">
        <f ca="1">IFERROR(__xludf.DUMMYFUNCTION("""COMPUTED_VALUE"""),12)</f>
        <v>12</v>
      </c>
      <c r="C100" s="5">
        <f ca="1">IFERROR(__xludf.DUMMYFUNCTION("""COMPUTED_VALUE"""),7)</f>
        <v>7</v>
      </c>
      <c r="D100" s="5">
        <f ca="1">IFERROR(__xludf.DUMMYFUNCTION("""COMPUTED_VALUE"""),2022)</f>
        <v>2022</v>
      </c>
      <c r="E100" s="8">
        <f ca="1">IFERROR(__xludf.DUMMYFUNCTION("""COMPUTED_VALUE"""),44902)</f>
        <v>44902</v>
      </c>
      <c r="F100" s="5" t="str">
        <f ca="1">IFERROR(__xludf.DUMMYFUNCTION("""COMPUTED_VALUE"""),"Fuquay-Varina Middle School")</f>
        <v>Fuquay-Varina Middle School</v>
      </c>
      <c r="G100" s="5">
        <f ca="1">IFERROR(__xludf.DUMMYFUNCTION("""COMPUTED_VALUE"""),0)</f>
        <v>0</v>
      </c>
      <c r="H100" s="5">
        <f ca="1">IFERROR(__xludf.DUMMYFUNCTION("""COMPUTED_VALUE"""),0)</f>
        <v>0</v>
      </c>
      <c r="I100" s="5">
        <f ca="1">IFERROR(__xludf.DUMMYFUNCTION("""COMPUTED_VALUE"""),0)</f>
        <v>0</v>
      </c>
      <c r="J100" s="5">
        <f ca="1">IFERROR(__xludf.DUMMYFUNCTION("""COMPUTED_VALUE"""),0)</f>
        <v>0</v>
      </c>
      <c r="K100" s="5" t="str">
        <f ca="1">IFERROR(__xludf.DUMMYFUNCTION("""COMPUTED_VALUE"""),"https://abc11.com/fuquay-varina-middle-school-lockdown-code-red-gun-on-campus/12544128/
https://www.wyff4.com/article/north-carolina-student-shoots-out-classroom-window/42241582")</f>
        <v>https://abc11.com/fuquay-varina-middle-school-lockdown-code-red-gun-on-campus/12544128/
https://www.wyff4.com/article/north-carolina-student-shoots-out-classroom-window/42241582</v>
      </c>
      <c r="L100" s="5">
        <f ca="1">IFERROR(__xludf.DUMMYFUNCTION("""COMPUTED_VALUE"""),5)</f>
        <v>5</v>
      </c>
      <c r="M100" s="5" t="str">
        <f ca="1">IFERROR(__xludf.DUMMYFUNCTION("""COMPUTED_VALUE"""),"Local")</f>
        <v>Local</v>
      </c>
      <c r="N100" s="5">
        <f ca="1">IFERROR(__xludf.DUMMYFUNCTION("""COMPUTED_VALUE"""),4)</f>
        <v>4</v>
      </c>
      <c r="O100" s="5" t="str">
        <f ca="1">IFERROR(__xludf.DUMMYFUNCTION("""COMPUTED_VALUE"""),"Winter")</f>
        <v>Winter</v>
      </c>
      <c r="P100" s="5" t="str">
        <f ca="1">IFERROR(__xludf.DUMMYFUNCTION("""COMPUTED_VALUE"""),"Fuquay-Varina")</f>
        <v>Fuquay-Varina</v>
      </c>
      <c r="Q100" s="5" t="str">
        <f ca="1">IFERROR(__xludf.DUMMYFUNCTION("""COMPUTED_VALUE"""),"NC")</f>
        <v>NC</v>
      </c>
      <c r="R100" s="5" t="str">
        <f ca="1">IFERROR(__xludf.DUMMYFUNCTION("""COMPUTED_VALUE"""),"Middle")</f>
        <v>Middle</v>
      </c>
      <c r="S100" s="5" t="str">
        <f ca="1">IFERROR(__xludf.DUMMYFUNCTION("""COMPUTED_VALUE"""),"Classroom")</f>
        <v>Classroom</v>
      </c>
      <c r="T100" s="5" t="str">
        <f ca="1">IFERROR(__xludf.DUMMYFUNCTION("""COMPUTED_VALUE"""),"Inside School Building")</f>
        <v>Inside School Building</v>
      </c>
      <c r="U100" s="5" t="str">
        <f ca="1">IFERROR(__xludf.DUMMYFUNCTION("""COMPUTED_VALUE"""),"Yes")</f>
        <v>Yes</v>
      </c>
      <c r="V100" s="5" t="str">
        <f ca="1">IFERROR(__xludf.DUMMYFUNCTION("""COMPUTED_VALUE"""),"Morning Classes")</f>
        <v>Morning Classes</v>
      </c>
      <c r="W100" s="10">
        <f ca="1">IFERROR(__xludf.DUMMYFUNCTION("""COMPUTED_VALUE"""),0.335416666666666)</f>
        <v>0.33541666666666597</v>
      </c>
      <c r="X100" s="5">
        <f ca="1">IFERROR(__xludf.DUMMYFUNCTION("""COMPUTED_VALUE"""),1)</f>
        <v>1</v>
      </c>
      <c r="Y100" s="5" t="str">
        <f ca="1">IFERROR(__xludf.DUMMYFUNCTION("""COMPUTED_VALUE"""),"Student fired gun while talking it out of backpack in classroom, struck window")</f>
        <v>Student fired gun while talking it out of backpack in classroom, struck window</v>
      </c>
      <c r="Z100" s="5" t="str">
        <f ca="1">IFERROR(__xludf.DUMMYFUNCTION("""COMPUTED_VALUE"""),"At 8:03 a.m. Fuquay-Varina Police Department received a call for service reference to an incident at Fuquay-Varina Middle School. Student pulled gun from backpack and fired round that struck classroom window. Teacher told him to give her the gun. Assistan"&amp;"t principal assisted with taking away the gun and unloading it. Other students were in the classroom. The school was placed on lockdown until students could be safely released to arriving parents.
After firing shot, student told teacher he hated the scho"&amp;"ol and everyone in it. She told him to give her the gun and he surrendered.")</f>
        <v>At 8:03 a.m. Fuquay-Varina Police Department received a call for service reference to an incident at Fuquay-Varina Middle School. Student pulled gun from backpack and fired round that struck classroom window. Teacher told him to give her the gun. Assistant principal assisted with taking away the gun and unloading it. Other students were in the classroom. The school was placed on lockdown until students could be safely released to arriving parents.
After firing shot, student told teacher he hated the school and everyone in it. She told him to give her the gun and he surrendered.</v>
      </c>
      <c r="AA100" s="5"/>
      <c r="AB100" s="5"/>
      <c r="AC100" s="5" t="str">
        <f ca="1">IFERROR(__xludf.DUMMYFUNCTION("""COMPUTED_VALUE"""),"No")</f>
        <v>No</v>
      </c>
      <c r="AD100" s="5" t="str">
        <f ca="1">IFERROR(__xludf.DUMMYFUNCTION("""COMPUTED_VALUE"""),"No")</f>
        <v>No</v>
      </c>
      <c r="AE100" s="5" t="str">
        <f ca="1">IFERROR(__xludf.DUMMYFUNCTION("""COMPUTED_VALUE"""),"No")</f>
        <v>No</v>
      </c>
      <c r="AF100" s="5" t="str">
        <f ca="1">IFERROR(__xludf.DUMMYFUNCTION("""COMPUTED_VALUE"""),"No")</f>
        <v>No</v>
      </c>
      <c r="AG100" s="5"/>
      <c r="AH100" s="5" t="str">
        <f ca="1">IFERROR(__xludf.DUMMYFUNCTION("""COMPUTED_VALUE"""),"No")</f>
        <v>No</v>
      </c>
      <c r="AI100" s="5"/>
      <c r="AJ100" s="5" t="str">
        <f ca="1">IFERROR(__xludf.DUMMYFUNCTION("""COMPUTED_VALUE"""),"Yes")</f>
        <v>Yes</v>
      </c>
    </row>
    <row r="101" spans="1:36" ht="13">
      <c r="A101" s="5" t="str">
        <f ca="1">IFERROR(__xludf.DUMMYFUNCTION("""COMPUTED_VALUE"""),"20221207MDSUD")</f>
        <v>20221207MDSUD</v>
      </c>
      <c r="B101" s="5">
        <f ca="1">IFERROR(__xludf.DUMMYFUNCTION("""COMPUTED_VALUE"""),12)</f>
        <v>12</v>
      </c>
      <c r="C101" s="5">
        <f ca="1">IFERROR(__xludf.DUMMYFUNCTION("""COMPUTED_VALUE"""),7)</f>
        <v>7</v>
      </c>
      <c r="D101" s="5">
        <f ca="1">IFERROR(__xludf.DUMMYFUNCTION("""COMPUTED_VALUE"""),2022)</f>
        <v>2022</v>
      </c>
      <c r="E101" s="8">
        <f ca="1">IFERROR(__xludf.DUMMYFUNCTION("""COMPUTED_VALUE"""),44902)</f>
        <v>44902</v>
      </c>
      <c r="F101" s="5" t="str">
        <f ca="1">IFERROR(__xludf.DUMMYFUNCTION("""COMPUTED_VALUE"""),"Suitland High School")</f>
        <v>Suitland High School</v>
      </c>
      <c r="G101" s="5">
        <f ca="1">IFERROR(__xludf.DUMMYFUNCTION("""COMPUTED_VALUE"""),0)</f>
        <v>0</v>
      </c>
      <c r="H101" s="5">
        <f ca="1">IFERROR(__xludf.DUMMYFUNCTION("""COMPUTED_VALUE"""),1)</f>
        <v>1</v>
      </c>
      <c r="I101" s="5">
        <f ca="1">IFERROR(__xludf.DUMMYFUNCTION("""COMPUTED_VALUE"""),1)</f>
        <v>1</v>
      </c>
      <c r="J101" s="5">
        <f ca="1">IFERROR(__xludf.DUMMYFUNCTION("""COMPUTED_VALUE"""),0)</f>
        <v>0</v>
      </c>
      <c r="K101" s="9" t="str">
        <f ca="1">IFERROR(__xludf.DUMMYFUNCTION("""COMPUTED_VALUE"""),"https://www.nbcwashington.com/news/local/suitland-high-school-on-lockdown-after-shooting-report/3228771/")</f>
        <v>https://www.nbcwashington.com/news/local/suitland-high-school-on-lockdown-after-shooting-report/3228771/</v>
      </c>
      <c r="L101" s="5">
        <f ca="1">IFERROR(__xludf.DUMMYFUNCTION("""COMPUTED_VALUE"""),20)</f>
        <v>20</v>
      </c>
      <c r="M101" s="5" t="str">
        <f ca="1">IFERROR(__xludf.DUMMYFUNCTION("""COMPUTED_VALUE"""),"Regional")</f>
        <v>Regional</v>
      </c>
      <c r="N101" s="5">
        <f ca="1">IFERROR(__xludf.DUMMYFUNCTION("""COMPUTED_VALUE"""),4)</f>
        <v>4</v>
      </c>
      <c r="O101" s="5" t="str">
        <f ca="1">IFERROR(__xludf.DUMMYFUNCTION("""COMPUTED_VALUE"""),"Winter")</f>
        <v>Winter</v>
      </c>
      <c r="P101" s="5" t="str">
        <f ca="1">IFERROR(__xludf.DUMMYFUNCTION("""COMPUTED_VALUE"""),"District Heights")</f>
        <v>District Heights</v>
      </c>
      <c r="Q101" s="5" t="str">
        <f ca="1">IFERROR(__xludf.DUMMYFUNCTION("""COMPUTED_VALUE"""),"MD")</f>
        <v>MD</v>
      </c>
      <c r="R101" s="5" t="str">
        <f ca="1">IFERROR(__xludf.DUMMYFUNCTION("""COMPUTED_VALUE"""),"High")</f>
        <v>High</v>
      </c>
      <c r="S101" s="5" t="str">
        <f ca="1">IFERROR(__xludf.DUMMYFUNCTION("""COMPUTED_VALUE"""),"Football Field/Track")</f>
        <v>Football Field/Track</v>
      </c>
      <c r="T101" s="5" t="str">
        <f ca="1">IFERROR(__xludf.DUMMYFUNCTION("""COMPUTED_VALUE"""),"Outside on School Property")</f>
        <v>Outside on School Property</v>
      </c>
      <c r="U101" s="5" t="str">
        <f ca="1">IFERROR(__xludf.DUMMYFUNCTION("""COMPUTED_VALUE"""),"Yes")</f>
        <v>Yes</v>
      </c>
      <c r="V101" s="5" t="str">
        <f ca="1">IFERROR(__xludf.DUMMYFUNCTION("""COMPUTED_VALUE"""),"Morning Classes")</f>
        <v>Morning Classes</v>
      </c>
      <c r="W101" s="10">
        <f ca="1">IFERROR(__xludf.DUMMYFUNCTION("""COMPUTED_VALUE"""),0.416666666666666)</f>
        <v>0.41666666666666602</v>
      </c>
      <c r="X101" s="5">
        <f ca="1">IFERROR(__xludf.DUMMYFUNCTION("""COMPUTED_VALUE"""),1)</f>
        <v>1</v>
      </c>
      <c r="Y101" s="5" t="str">
        <f ca="1">IFERROR(__xludf.DUMMYFUNCTION("""COMPUTED_VALUE"""),"Student shot outside school during fight")</f>
        <v>Student shot outside school during fight</v>
      </c>
      <c r="Z101" s="5" t="str">
        <f ca="1">IFERROR(__xludf.DUMMYFUNCTION("""COMPUTED_VALUE"""),"Just after 10 a.m., the ninth-grade student was shot during a ""physical altercation"" outside the school building, PGCPS said. Several other students witnessed the shooting, then fled the area (some ran back into the school building), the school system s"&amp;"aid. School resource officers on campus at the time of the shooting provided emergency care to the ninth grader, who was the only victim, PGCPS said. That student was hospitalized in stable condition, though the severity of their injuries was not immediat"&amp;"ely shared.")</f>
        <v>Just after 10 a.m., the ninth-grade student was shot during a "physical altercation" outside the school building, PGCPS said. Several other students witnessed the shooting, then fled the area (some ran back into the school building), the school system said. School resource officers on campus at the time of the shooting provided emergency care to the ninth grader, who was the only victim, PGCPS said. That student was hospitalized in stable condition, though the severity of their injuries was not immediately shared.</v>
      </c>
      <c r="AA101" s="5" t="str">
        <f ca="1">IFERROR(__xludf.DUMMYFUNCTION("""COMPUTED_VALUE"""),"Escalation of Dispute")</f>
        <v>Escalation of Dispute</v>
      </c>
      <c r="AB101" s="5" t="str">
        <f ca="1">IFERROR(__xludf.DUMMYFUNCTION("""COMPUTED_VALUE"""),"Victims Targeted")</f>
        <v>Victims Targeted</v>
      </c>
      <c r="AC101" s="5" t="str">
        <f ca="1">IFERROR(__xludf.DUMMYFUNCTION("""COMPUTED_VALUE"""),"Yes")</f>
        <v>Yes</v>
      </c>
      <c r="AD101" s="5" t="str">
        <f ca="1">IFERROR(__xludf.DUMMYFUNCTION("""COMPUTED_VALUE"""),"No")</f>
        <v>No</v>
      </c>
      <c r="AE101" s="5" t="str">
        <f ca="1">IFERROR(__xludf.DUMMYFUNCTION("""COMPUTED_VALUE"""),"No")</f>
        <v>No</v>
      </c>
      <c r="AF101" s="5" t="str">
        <f ca="1">IFERROR(__xludf.DUMMYFUNCTION("""COMPUTED_VALUE"""),"No")</f>
        <v>No</v>
      </c>
      <c r="AG101" s="5"/>
      <c r="AH101" s="5" t="str">
        <f ca="1">IFERROR(__xludf.DUMMYFUNCTION("""COMPUTED_VALUE"""),"No")</f>
        <v>No</v>
      </c>
      <c r="AI101" s="5"/>
      <c r="AJ101" s="5" t="str">
        <f ca="1">IFERROR(__xludf.DUMMYFUNCTION("""COMPUTED_VALUE"""),"No")</f>
        <v>No</v>
      </c>
    </row>
    <row r="102" spans="1:36" ht="13">
      <c r="A102" s="5" t="str">
        <f ca="1">IFERROR(__xludf.DUMMYFUNCTION("""COMPUTED_VALUE"""),"20221206ALLEM")</f>
        <v>20221206ALLEM</v>
      </c>
      <c r="B102" s="5">
        <f ca="1">IFERROR(__xludf.DUMMYFUNCTION("""COMPUTED_VALUE"""),12)</f>
        <v>12</v>
      </c>
      <c r="C102" s="5">
        <f ca="1">IFERROR(__xludf.DUMMYFUNCTION("""COMPUTED_VALUE"""),6)</f>
        <v>6</v>
      </c>
      <c r="D102" s="5">
        <f ca="1">IFERROR(__xludf.DUMMYFUNCTION("""COMPUTED_VALUE"""),2022)</f>
        <v>2022</v>
      </c>
      <c r="E102" s="8">
        <f ca="1">IFERROR(__xludf.DUMMYFUNCTION("""COMPUTED_VALUE"""),44901)</f>
        <v>44901</v>
      </c>
      <c r="F102" s="5" t="str">
        <f ca="1">IFERROR(__xludf.DUMMYFUNCTION("""COMPUTED_VALUE"""),"Robert E Lee High School")</f>
        <v>Robert E Lee High School</v>
      </c>
      <c r="G102" s="5">
        <f ca="1">IFERROR(__xludf.DUMMYFUNCTION("""COMPUTED_VALUE"""),0)</f>
        <v>0</v>
      </c>
      <c r="H102" s="5">
        <f ca="1">IFERROR(__xludf.DUMMYFUNCTION("""COMPUTED_VALUE"""),0)</f>
        <v>0</v>
      </c>
      <c r="I102" s="5">
        <f ca="1">IFERROR(__xludf.DUMMYFUNCTION("""COMPUTED_VALUE"""),0)</f>
        <v>0</v>
      </c>
      <c r="J102" s="5">
        <f ca="1">IFERROR(__xludf.DUMMYFUNCTION("""COMPUTED_VALUE"""),0)</f>
        <v>0</v>
      </c>
      <c r="K102" s="9" t="str">
        <f ca="1">IFERROR(__xludf.DUMMYFUNCTION("""COMPUTED_VALUE"""),"https://www.wsfa.com/2022/12/06/shots-fired-near-montgomery-school-police-say/")</f>
        <v>https://www.wsfa.com/2022/12/06/shots-fired-near-montgomery-school-police-say/</v>
      </c>
      <c r="L102" s="5">
        <f ca="1">IFERROR(__xludf.DUMMYFUNCTION("""COMPUTED_VALUE"""),1)</f>
        <v>1</v>
      </c>
      <c r="M102" s="5" t="str">
        <f ca="1">IFERROR(__xludf.DUMMYFUNCTION("""COMPUTED_VALUE"""),"Local")</f>
        <v>Local</v>
      </c>
      <c r="N102" s="5">
        <f ca="1">IFERROR(__xludf.DUMMYFUNCTION("""COMPUTED_VALUE"""),2)</f>
        <v>2</v>
      </c>
      <c r="O102" s="5" t="str">
        <f ca="1">IFERROR(__xludf.DUMMYFUNCTION("""COMPUTED_VALUE"""),"Winter")</f>
        <v>Winter</v>
      </c>
      <c r="P102" s="5" t="str">
        <f ca="1">IFERROR(__xludf.DUMMYFUNCTION("""COMPUTED_VALUE"""),"Montgomery")</f>
        <v>Montgomery</v>
      </c>
      <c r="Q102" s="5" t="str">
        <f ca="1">IFERROR(__xludf.DUMMYFUNCTION("""COMPUTED_VALUE"""),"AL")</f>
        <v>AL</v>
      </c>
      <c r="R102" s="5" t="str">
        <f ca="1">IFERROR(__xludf.DUMMYFUNCTION("""COMPUTED_VALUE"""),"High")</f>
        <v>High</v>
      </c>
      <c r="S102" s="5" t="str">
        <f ca="1">IFERROR(__xludf.DUMMYFUNCTION("""COMPUTED_VALUE"""),"Front of School")</f>
        <v>Front of School</v>
      </c>
      <c r="T102" s="5" t="str">
        <f ca="1">IFERROR(__xludf.DUMMYFUNCTION("""COMPUTED_VALUE"""),"Outside on School Property")</f>
        <v>Outside on School Property</v>
      </c>
      <c r="U102" s="5" t="str">
        <f ca="1">IFERROR(__xludf.DUMMYFUNCTION("""COMPUTED_VALUE"""),"Yes")</f>
        <v>Yes</v>
      </c>
      <c r="V102" s="5" t="str">
        <f ca="1">IFERROR(__xludf.DUMMYFUNCTION("""COMPUTED_VALUE"""),"Dismissal")</f>
        <v>Dismissal</v>
      </c>
      <c r="W102" s="10">
        <f ca="1">IFERROR(__xludf.DUMMYFUNCTION("""COMPUTED_VALUE"""),0.625)</f>
        <v>0.625</v>
      </c>
      <c r="X102" s="5">
        <f ca="1">IFERROR(__xludf.DUMMYFUNCTION("""COMPUTED_VALUE"""),1)</f>
        <v>1</v>
      </c>
      <c r="Y102" s="5" t="str">
        <f ca="1">IFERROR(__xludf.DUMMYFUNCTION("""COMPUTED_VALUE"""),"Shots fired at dismissal")</f>
        <v>Shots fired at dismissal</v>
      </c>
      <c r="Z102" s="5" t="str">
        <f ca="1">IFERROR(__xludf.DUMMYFUNCTION("""COMPUTED_VALUE"""),"Shots fired at dismissal. Shooter fled. Police detained three people.")</f>
        <v>Shots fired at dismissal. Shooter fled. Police detained three people.</v>
      </c>
      <c r="AA102" s="5"/>
      <c r="AB102" s="5"/>
      <c r="AC102" s="5" t="str">
        <f ca="1">IFERROR(__xludf.DUMMYFUNCTION("""COMPUTED_VALUE"""),"No")</f>
        <v>No</v>
      </c>
      <c r="AD102" s="5" t="str">
        <f ca="1">IFERROR(__xludf.DUMMYFUNCTION("""COMPUTED_VALUE"""),"No")</f>
        <v>No</v>
      </c>
      <c r="AE102" s="5" t="str">
        <f ca="1">IFERROR(__xludf.DUMMYFUNCTION("""COMPUTED_VALUE"""),"No")</f>
        <v>No</v>
      </c>
      <c r="AF102" s="5" t="str">
        <f ca="1">IFERROR(__xludf.DUMMYFUNCTION("""COMPUTED_VALUE"""),"No")</f>
        <v>No</v>
      </c>
      <c r="AG102" s="5"/>
      <c r="AH102" s="5"/>
      <c r="AI102" s="5"/>
      <c r="AJ102" s="5" t="str">
        <f ca="1">IFERROR(__xludf.DUMMYFUNCTION("""COMPUTED_VALUE"""),"No")</f>
        <v>No</v>
      </c>
    </row>
    <row r="103" spans="1:36" ht="13">
      <c r="A103" s="5" t="str">
        <f ca="1">IFERROR(__xludf.DUMMYFUNCTION("""COMPUTED_VALUE"""),"20221206MOCOS")</f>
        <v>20221206MOCOS</v>
      </c>
      <c r="B103" s="5">
        <f ca="1">IFERROR(__xludf.DUMMYFUNCTION("""COMPUTED_VALUE"""),12)</f>
        <v>12</v>
      </c>
      <c r="C103" s="5">
        <f ca="1">IFERROR(__xludf.DUMMYFUNCTION("""COMPUTED_VALUE"""),6)</f>
        <v>6</v>
      </c>
      <c r="D103" s="5">
        <f ca="1">IFERROR(__xludf.DUMMYFUNCTION("""COMPUTED_VALUE"""),2022)</f>
        <v>2022</v>
      </c>
      <c r="E103" s="8">
        <f ca="1">IFERROR(__xludf.DUMMYFUNCTION("""COMPUTED_VALUE"""),44901)</f>
        <v>44901</v>
      </c>
      <c r="F103" s="5" t="str">
        <f ca="1">IFERROR(__xludf.DUMMYFUNCTION("""COMPUTED_VALUE"""),"Confluence Preparatory Academy")</f>
        <v>Confluence Preparatory Academy</v>
      </c>
      <c r="G103" s="5">
        <f ca="1">IFERROR(__xludf.DUMMYFUNCTION("""COMPUTED_VALUE"""),0)</f>
        <v>0</v>
      </c>
      <c r="H103" s="5">
        <f ca="1">IFERROR(__xludf.DUMMYFUNCTION("""COMPUTED_VALUE"""),0)</f>
        <v>0</v>
      </c>
      <c r="I103" s="5">
        <f ca="1">IFERROR(__xludf.DUMMYFUNCTION("""COMPUTED_VALUE"""),1)</f>
        <v>1</v>
      </c>
      <c r="J103" s="5">
        <f ca="1">IFERROR(__xludf.DUMMYFUNCTION("""COMPUTED_VALUE"""),0)</f>
        <v>0</v>
      </c>
      <c r="K103" s="9" t="str">
        <f ca="1">IFERROR(__xludf.DUMMYFUNCTION("""COMPUTED_VALUE"""),"https://www.ksdk.com/article/news/crime/confluence-academy-student-shot-police-source-says/63-355da5a8-8dd4-49d8-9694-bbd61f46f80f
https://www.kmov.com/2022/12/06/woman-shot-downtown-st-louis/")</f>
        <v>https://www.ksdk.com/article/news/crime/confluence-academy-student-shot-police-source-says/63-355da5a8-8dd4-49d8-9694-bbd61f46f80f
https://www.kmov.com/2022/12/06/woman-shot-downtown-st-louis/</v>
      </c>
      <c r="L103" s="5">
        <f ca="1">IFERROR(__xludf.DUMMYFUNCTION("""COMPUTED_VALUE"""),10)</f>
        <v>10</v>
      </c>
      <c r="M103" s="5" t="str">
        <f ca="1">IFERROR(__xludf.DUMMYFUNCTION("""COMPUTED_VALUE"""),"Local")</f>
        <v>Local</v>
      </c>
      <c r="N103" s="5">
        <f ca="1">IFERROR(__xludf.DUMMYFUNCTION("""COMPUTED_VALUE"""),4)</f>
        <v>4</v>
      </c>
      <c r="O103" s="5" t="str">
        <f ca="1">IFERROR(__xludf.DUMMYFUNCTION("""COMPUTED_VALUE"""),"Winter")</f>
        <v>Winter</v>
      </c>
      <c r="P103" s="5" t="str">
        <f ca="1">IFERROR(__xludf.DUMMYFUNCTION("""COMPUTED_VALUE"""),"St. Louis")</f>
        <v>St. Louis</v>
      </c>
      <c r="Q103" s="5" t="str">
        <f ca="1">IFERROR(__xludf.DUMMYFUNCTION("""COMPUTED_VALUE"""),"MO")</f>
        <v>MO</v>
      </c>
      <c r="R103" s="5" t="str">
        <f ca="1">IFERROR(__xludf.DUMMYFUNCTION("""COMPUTED_VALUE"""),"High")</f>
        <v>High</v>
      </c>
      <c r="S103" s="5" t="str">
        <f ca="1">IFERROR(__xludf.DUMMYFUNCTION("""COMPUTED_VALUE"""),"Front of School")</f>
        <v>Front of School</v>
      </c>
      <c r="T103" s="5" t="str">
        <f ca="1">IFERROR(__xludf.DUMMYFUNCTION("""COMPUTED_VALUE"""),"Outside on School Property")</f>
        <v>Outside on School Property</v>
      </c>
      <c r="U103" s="5" t="str">
        <f ca="1">IFERROR(__xludf.DUMMYFUNCTION("""COMPUTED_VALUE"""),"Yes")</f>
        <v>Yes</v>
      </c>
      <c r="V103" s="5" t="str">
        <f ca="1">IFERROR(__xludf.DUMMYFUNCTION("""COMPUTED_VALUE"""),"Afternoon Classes")</f>
        <v>Afternoon Classes</v>
      </c>
      <c r="W103" s="10">
        <f ca="1">IFERROR(__xludf.DUMMYFUNCTION("""COMPUTED_VALUE"""),0.673611111111111)</f>
        <v>0.67361111111111105</v>
      </c>
      <c r="X103" s="5">
        <f ca="1">IFERROR(__xludf.DUMMYFUNCTION("""COMPUTED_VALUE"""),1)</f>
        <v>1</v>
      </c>
      <c r="Y103" s="5" t="str">
        <f ca="1">IFERROR(__xludf.DUMMYFUNCTION("""COMPUTED_VALUE"""),"Adult woman fired shot at 2 students while being escorted away by school security")</f>
        <v>Adult woman fired shot at 2 students while being escorted away by school security</v>
      </c>
      <c r="Z103" s="5" t="str">
        <f ca="1">IFERROR(__xludf.DUMMYFUNCTION("""COMPUTED_VALUE"""),"20-year-old woman started a fight with a 17-year-old student. A spokesperson with Confluence Academy said there ""appeared to be a conversation"" between two students in front of the school and two women in a car. As school security was escorting the woma"&amp;"n back onto the sidewalk, she pulled out a gun and shot at the student. The woman holding the gun was struck in the hand, according to a spokesperson with Confluence Academy. The school was placed on a soft lockdown as a precaution.")</f>
        <v>20-year-old woman started a fight with a 17-year-old student. A spokesperson with Confluence Academy said there "appeared to be a conversation" between two students in front of the school and two women in a car. As school security was escorting the woman back onto the sidewalk, she pulled out a gun and shot at the student. The woman holding the gun was struck in the hand, according to a spokesperson with Confluence Academy. The school was placed on a soft lockdown as a precaution.</v>
      </c>
      <c r="AA103" s="5" t="str">
        <f ca="1">IFERROR(__xludf.DUMMYFUNCTION("""COMPUTED_VALUE"""),"Escalation of Dispute")</f>
        <v>Escalation of Dispute</v>
      </c>
      <c r="AB103" s="5" t="str">
        <f ca="1">IFERROR(__xludf.DUMMYFUNCTION("""COMPUTED_VALUE"""),"Victims Targeted")</f>
        <v>Victims Targeted</v>
      </c>
      <c r="AC103" s="5" t="str">
        <f ca="1">IFERROR(__xludf.DUMMYFUNCTION("""COMPUTED_VALUE"""),"No")</f>
        <v>No</v>
      </c>
      <c r="AD103" s="5" t="str">
        <f ca="1">IFERROR(__xludf.DUMMYFUNCTION("""COMPUTED_VALUE"""),"No")</f>
        <v>No</v>
      </c>
      <c r="AE103" s="5" t="str">
        <f ca="1">IFERROR(__xludf.DUMMYFUNCTION("""COMPUTED_VALUE"""),"No")</f>
        <v>No</v>
      </c>
      <c r="AF103" s="5" t="str">
        <f ca="1">IFERROR(__xludf.DUMMYFUNCTION("""COMPUTED_VALUE"""),"No")</f>
        <v>No</v>
      </c>
      <c r="AG103" s="5" t="str">
        <f ca="1">IFERROR(__xludf.DUMMYFUNCTION("""COMPUTED_VALUE"""),"No")</f>
        <v>No</v>
      </c>
      <c r="AH103" s="5" t="str">
        <f ca="1">IFERROR(__xludf.DUMMYFUNCTION("""COMPUTED_VALUE"""),"No")</f>
        <v>No</v>
      </c>
      <c r="AI103" s="5" t="str">
        <f ca="1">IFERROR(__xludf.DUMMYFUNCTION("""COMPUTED_VALUE"""),"No")</f>
        <v>No</v>
      </c>
      <c r="AJ103" s="5" t="str">
        <f ca="1">IFERROR(__xludf.DUMMYFUNCTION("""COMPUTED_VALUE"""),"No")</f>
        <v>No</v>
      </c>
    </row>
    <row r="104" spans="1:36" ht="13">
      <c r="A104" s="5" t="str">
        <f ca="1">IFERROR(__xludf.DUMMYFUNCTION("""COMPUTED_VALUE"""),"20221206INSUW")</f>
        <v>20221206INSUW</v>
      </c>
      <c r="B104" s="5">
        <f ca="1">IFERROR(__xludf.DUMMYFUNCTION("""COMPUTED_VALUE"""),12)</f>
        <v>12</v>
      </c>
      <c r="C104" s="5">
        <f ca="1">IFERROR(__xludf.DUMMYFUNCTION("""COMPUTED_VALUE"""),6)</f>
        <v>6</v>
      </c>
      <c r="D104" s="5">
        <f ca="1">IFERROR(__xludf.DUMMYFUNCTION("""COMPUTED_VALUE"""),2022)</f>
        <v>2022</v>
      </c>
      <c r="E104" s="8">
        <f ca="1">IFERROR(__xludf.DUMMYFUNCTION("""COMPUTED_VALUE"""),44901)</f>
        <v>44901</v>
      </c>
      <c r="F104" s="5" t="str">
        <f ca="1">IFERROR(__xludf.DUMMYFUNCTION("""COMPUTED_VALUE"""),"Sugar Creek Consolidated Elementary School")</f>
        <v>Sugar Creek Consolidated Elementary School</v>
      </c>
      <c r="G104" s="5">
        <f ca="1">IFERROR(__xludf.DUMMYFUNCTION("""COMPUTED_VALUE"""),0)</f>
        <v>0</v>
      </c>
      <c r="H104" s="5">
        <f ca="1">IFERROR(__xludf.DUMMYFUNCTION("""COMPUTED_VALUE"""),0)</f>
        <v>0</v>
      </c>
      <c r="I104" s="5">
        <f ca="1">IFERROR(__xludf.DUMMYFUNCTION("""COMPUTED_VALUE"""),0)</f>
        <v>0</v>
      </c>
      <c r="J104" s="5">
        <f ca="1">IFERROR(__xludf.DUMMYFUNCTION("""COMPUTED_VALUE"""),0)</f>
        <v>0</v>
      </c>
      <c r="K104" s="9" t="str">
        <f ca="1">IFERROR(__xludf.DUMMYFUNCTION("""COMPUTED_VALUE"""),"https://fox59.com/indiana-news/investigation-underway-following-firearm-incident-near-west-th-elementary-school/")</f>
        <v>https://fox59.com/indiana-news/investigation-underway-following-firearm-incident-near-west-th-elementary-school/</v>
      </c>
      <c r="L104" s="5">
        <f ca="1">IFERROR(__xludf.DUMMYFUNCTION("""COMPUTED_VALUE"""),1)</f>
        <v>1</v>
      </c>
      <c r="M104" s="5" t="str">
        <f ca="1">IFERROR(__xludf.DUMMYFUNCTION("""COMPUTED_VALUE"""),"Local")</f>
        <v>Local</v>
      </c>
      <c r="N104" s="5">
        <f ca="1">IFERROR(__xludf.DUMMYFUNCTION("""COMPUTED_VALUE"""),3)</f>
        <v>3</v>
      </c>
      <c r="O104" s="5" t="str">
        <f ca="1">IFERROR(__xludf.DUMMYFUNCTION("""COMPUTED_VALUE"""),"Winter")</f>
        <v>Winter</v>
      </c>
      <c r="P104" s="5" t="str">
        <f ca="1">IFERROR(__xludf.DUMMYFUNCTION("""COMPUTED_VALUE"""),"West Terre Haute")</f>
        <v>West Terre Haute</v>
      </c>
      <c r="Q104" s="5" t="str">
        <f ca="1">IFERROR(__xludf.DUMMYFUNCTION("""COMPUTED_VALUE"""),"IN")</f>
        <v>IN</v>
      </c>
      <c r="R104" s="5" t="str">
        <f ca="1">IFERROR(__xludf.DUMMYFUNCTION("""COMPUTED_VALUE"""),"Elementary")</f>
        <v>Elementary</v>
      </c>
      <c r="S104" s="5" t="str">
        <f ca="1">IFERROR(__xludf.DUMMYFUNCTION("""COMPUTED_VALUE"""),"Field (General)")</f>
        <v>Field (General)</v>
      </c>
      <c r="T104" s="5" t="str">
        <f ca="1">IFERROR(__xludf.DUMMYFUNCTION("""COMPUTED_VALUE"""),"Outside on School Property")</f>
        <v>Outside on School Property</v>
      </c>
      <c r="U104" s="5" t="str">
        <f ca="1">IFERROR(__xludf.DUMMYFUNCTION("""COMPUTED_VALUE"""),"Yes")</f>
        <v>Yes</v>
      </c>
      <c r="V104" s="5" t="str">
        <f ca="1">IFERROR(__xludf.DUMMYFUNCTION("""COMPUTED_VALUE"""),"Afternoon Classes")</f>
        <v>Afternoon Classes</v>
      </c>
      <c r="W104" s="10">
        <f ca="1">IFERROR(__xludf.DUMMYFUNCTION("""COMPUTED_VALUE"""),0.583333333333333)</f>
        <v>0.58333333333333304</v>
      </c>
      <c r="X104" s="5">
        <f ca="1">IFERROR(__xludf.DUMMYFUNCTION("""COMPUTED_VALUE"""),1)</f>
        <v>1</v>
      </c>
      <c r="Y104" s="5" t="str">
        <f ca="1">IFERROR(__xludf.DUMMYFUNCTION("""COMPUTED_VALUE"""),"Student fired shot in school field while SRO and Principal were searching for him")</f>
        <v>Student fired shot in school field while SRO and Principal were searching for him</v>
      </c>
      <c r="Z104" s="5" t="str">
        <f ca="1">IFERROR(__xludf.DUMMYFUNCTION("""COMPUTED_VALUE"""),"12:45 p.m., a male student left the school building. Shortly after that the school resource officer and director of safety began to search the premises for the child, eventually finding him in a field to the west of the school. When the officer found the "&amp;"student he was armed with a gun. The type of weapon has not been released. Fell said during the search the officer reported hearing sounds of gunfire. The officer was able to detain the child without injury or anyone being hurt. Fell said the initial inve"&amp;"stigation leads them to believe the child entered a house near the school and retrieved the firearm. Fell clarified that they do not believe the child lived at the house where the gun was retrieved. Fell added that once the student was in custody, the sch"&amp;"ool was able to release students to their parents.")</f>
        <v>12:45 p.m., a male student left the school building. Shortly after that the school resource officer and director of safety began to search the premises for the child, eventually finding him in a field to the west of the school. When the officer found the student he was armed with a gun. The type of weapon has not been released. Fell said during the search the officer reported hearing sounds of gunfire. The officer was able to detain the child without injury or anyone being hurt. Fell said the initial investigation leads them to believe the child entered a house near the school and retrieved the firearm. Fell clarified that they do not believe the child lived at the house where the gun was retrieved. Fell added that once the student was in custody, the school was able to release students to their parents.</v>
      </c>
      <c r="AA104" s="5"/>
      <c r="AB104" s="5"/>
      <c r="AC104" s="5" t="str">
        <f ca="1">IFERROR(__xludf.DUMMYFUNCTION("""COMPUTED_VALUE"""),"No")</f>
        <v>No</v>
      </c>
      <c r="AD104" s="5" t="str">
        <f ca="1">IFERROR(__xludf.DUMMYFUNCTION("""COMPUTED_VALUE"""),"No")</f>
        <v>No</v>
      </c>
      <c r="AE104" s="5" t="str">
        <f ca="1">IFERROR(__xludf.DUMMYFUNCTION("""COMPUTED_VALUE"""),"No")</f>
        <v>No</v>
      </c>
      <c r="AF104" s="5" t="str">
        <f ca="1">IFERROR(__xludf.DUMMYFUNCTION("""COMPUTED_VALUE"""),"No")</f>
        <v>No</v>
      </c>
      <c r="AG104" s="5"/>
      <c r="AH104" s="5" t="str">
        <f ca="1">IFERROR(__xludf.DUMMYFUNCTION("""COMPUTED_VALUE"""),"No")</f>
        <v>No</v>
      </c>
      <c r="AI104" s="5" t="str">
        <f ca="1">IFERROR(__xludf.DUMMYFUNCTION("""COMPUTED_VALUE"""),"No")</f>
        <v>No</v>
      </c>
      <c r="AJ104" s="5"/>
    </row>
    <row r="105" spans="1:36" ht="13">
      <c r="A105" s="5" t="str">
        <f ca="1">IFERROR(__xludf.DUMMYFUNCTION("""COMPUTED_VALUE"""),"20221206ILMIC")</f>
        <v>20221206ILMIC</v>
      </c>
      <c r="B105" s="5">
        <f ca="1">IFERROR(__xludf.DUMMYFUNCTION("""COMPUTED_VALUE"""),12)</f>
        <v>12</v>
      </c>
      <c r="C105" s="5">
        <f ca="1">IFERROR(__xludf.DUMMYFUNCTION("""COMPUTED_VALUE"""),6)</f>
        <v>6</v>
      </c>
      <c r="D105" s="5">
        <f ca="1">IFERROR(__xludf.DUMMYFUNCTION("""COMPUTED_VALUE"""),2022)</f>
        <v>2022</v>
      </c>
      <c r="E105" s="8">
        <f ca="1">IFERROR(__xludf.DUMMYFUNCTION("""COMPUTED_VALUE"""),44901)</f>
        <v>44901</v>
      </c>
      <c r="F105" s="5" t="str">
        <f ca="1">IFERROR(__xludf.DUMMYFUNCTION("""COMPUTED_VALUE"""),"Michele Clark Magnet High School")</f>
        <v>Michele Clark Magnet High School</v>
      </c>
      <c r="G105" s="5">
        <f ca="1">IFERROR(__xludf.DUMMYFUNCTION("""COMPUTED_VALUE"""),1)</f>
        <v>1</v>
      </c>
      <c r="H105" s="5">
        <f ca="1">IFERROR(__xludf.DUMMYFUNCTION("""COMPUTED_VALUE"""),0)</f>
        <v>0</v>
      </c>
      <c r="I105" s="5">
        <f ca="1">IFERROR(__xludf.DUMMYFUNCTION("""COMPUTED_VALUE"""),1)</f>
        <v>1</v>
      </c>
      <c r="J105" s="5">
        <f ca="1">IFERROR(__xludf.DUMMYFUNCTION("""COMPUTED_VALUE"""),0)</f>
        <v>0</v>
      </c>
      <c r="K105" s="9" t="str">
        <f ca="1">IFERROR(__xludf.DUMMYFUNCTION("""COMPUTED_VALUE"""),"https://www.cbsnews.com/chicago/news/chicago-shooting-15-year-old-critical/
https://abc7chicago.com/chicago-shooting-south-austin-west-harrison-street-michele-clark-magnet-hs/12537485/")</f>
        <v>https://www.cbsnews.com/chicago/news/chicago-shooting-15-year-old-critical/
https://abc7chicago.com/chicago-shooting-south-austin-west-harrison-street-michele-clark-magnet-hs/12537485/</v>
      </c>
      <c r="L105" s="5">
        <f ca="1">IFERROR(__xludf.DUMMYFUNCTION("""COMPUTED_VALUE"""),10)</f>
        <v>10</v>
      </c>
      <c r="M105" s="5" t="str">
        <f ca="1">IFERROR(__xludf.DUMMYFUNCTION("""COMPUTED_VALUE"""),"Regional")</f>
        <v>Regional</v>
      </c>
      <c r="N105" s="5">
        <f ca="1">IFERROR(__xludf.DUMMYFUNCTION("""COMPUTED_VALUE"""),4)</f>
        <v>4</v>
      </c>
      <c r="O105" s="5" t="str">
        <f ca="1">IFERROR(__xludf.DUMMYFUNCTION("""COMPUTED_VALUE"""),"Winter")</f>
        <v>Winter</v>
      </c>
      <c r="P105" s="5" t="str">
        <f ca="1">IFERROR(__xludf.DUMMYFUNCTION("""COMPUTED_VALUE"""),"Chicago")</f>
        <v>Chicago</v>
      </c>
      <c r="Q105" s="5" t="str">
        <f ca="1">IFERROR(__xludf.DUMMYFUNCTION("""COMPUTED_VALUE"""),"IL")</f>
        <v>IL</v>
      </c>
      <c r="R105" s="5" t="str">
        <f ca="1">IFERROR(__xludf.DUMMYFUNCTION("""COMPUTED_VALUE"""),"High")</f>
        <v>High</v>
      </c>
      <c r="S105" s="5" t="str">
        <f ca="1">IFERROR(__xludf.DUMMYFUNCTION("""COMPUTED_VALUE"""),"Front of School")</f>
        <v>Front of School</v>
      </c>
      <c r="T105" s="5" t="str">
        <f ca="1">IFERROR(__xludf.DUMMYFUNCTION("""COMPUTED_VALUE"""),"Outside on School Property")</f>
        <v>Outside on School Property</v>
      </c>
      <c r="U105" s="5" t="str">
        <f ca="1">IFERROR(__xludf.DUMMYFUNCTION("""COMPUTED_VALUE"""),"Yes")</f>
        <v>Yes</v>
      </c>
      <c r="V105" s="5" t="str">
        <f ca="1">IFERROR(__xludf.DUMMYFUNCTION("""COMPUTED_VALUE"""),"Dismissal")</f>
        <v>Dismissal</v>
      </c>
      <c r="W105" s="10">
        <f ca="1">IFERROR(__xludf.DUMMYFUNCTION("""COMPUTED_VALUE"""),0.636111111111111)</f>
        <v>0.63611111111111096</v>
      </c>
      <c r="X105" s="5">
        <f ca="1">IFERROR(__xludf.DUMMYFUNCTION("""COMPUTED_VALUE"""),1)</f>
        <v>1</v>
      </c>
      <c r="Y105" s="5" t="str">
        <f ca="1">IFERROR(__xludf.DUMMYFUNCTION("""COMPUTED_VALUE"""),"Student fatally shot at dismissal leaving school")</f>
        <v>Student fatally shot at dismissal leaving school</v>
      </c>
      <c r="Z105" s="5" t="str">
        <f ca="1">IFERROR(__xludf.DUMMYFUNCTION("""COMPUTED_VALUE"""),"Multiple shots fired in front of the school at dismissal. Unclear if 16-year-old male student killed was bystander or target. Shooter fled.")</f>
        <v>Multiple shots fired in front of the school at dismissal. Unclear if 16-year-old male student killed was bystander or target. Shooter fled.</v>
      </c>
      <c r="AA105" s="5"/>
      <c r="AB105" s="5"/>
      <c r="AC105" s="5" t="str">
        <f ca="1">IFERROR(__xludf.DUMMYFUNCTION("""COMPUTED_VALUE"""),"No")</f>
        <v>No</v>
      </c>
      <c r="AD105" s="5" t="str">
        <f ca="1">IFERROR(__xludf.DUMMYFUNCTION("""COMPUTED_VALUE"""),"No")</f>
        <v>No</v>
      </c>
      <c r="AE105" s="5" t="str">
        <f ca="1">IFERROR(__xludf.DUMMYFUNCTION("""COMPUTED_VALUE"""),"No")</f>
        <v>No</v>
      </c>
      <c r="AF105" s="5" t="str">
        <f ca="1">IFERROR(__xludf.DUMMYFUNCTION("""COMPUTED_VALUE"""),"No")</f>
        <v>No</v>
      </c>
      <c r="AG105" s="5" t="str">
        <f ca="1">IFERROR(__xludf.DUMMYFUNCTION("""COMPUTED_VALUE"""),"No")</f>
        <v>No</v>
      </c>
      <c r="AH105" s="5" t="str">
        <f ca="1">IFERROR(__xludf.DUMMYFUNCTION("""COMPUTED_VALUE"""),"No")</f>
        <v>No</v>
      </c>
      <c r="AI105" s="5"/>
      <c r="AJ105" s="5" t="str">
        <f ca="1">IFERROR(__xludf.DUMMYFUNCTION("""COMPUTED_VALUE"""),"No")</f>
        <v>No</v>
      </c>
    </row>
    <row r="106" spans="1:36" ht="13">
      <c r="A106" s="5" t="str">
        <f ca="1">IFERROR(__xludf.DUMMYFUNCTION("""COMPUTED_VALUE"""),"20221206MDHAH")</f>
        <v>20221206MDHAH</v>
      </c>
      <c r="B106" s="5">
        <f ca="1">IFERROR(__xludf.DUMMYFUNCTION("""COMPUTED_VALUE"""),12)</f>
        <v>12</v>
      </c>
      <c r="C106" s="5">
        <f ca="1">IFERROR(__xludf.DUMMYFUNCTION("""COMPUTED_VALUE"""),6)</f>
        <v>6</v>
      </c>
      <c r="D106" s="5">
        <f ca="1">IFERROR(__xludf.DUMMYFUNCTION("""COMPUTED_VALUE"""),2022)</f>
        <v>2022</v>
      </c>
      <c r="E106" s="8">
        <f ca="1">IFERROR(__xludf.DUMMYFUNCTION("""COMPUTED_VALUE"""),44901)</f>
        <v>44901</v>
      </c>
      <c r="F106" s="5" t="str">
        <f ca="1">IFERROR(__xludf.DUMMYFUNCTION("""COMPUTED_VALUE"""),"Hagerstown Public School Bus")</f>
        <v>Hagerstown Public School Bus</v>
      </c>
      <c r="G106" s="5">
        <f ca="1">IFERROR(__xludf.DUMMYFUNCTION("""COMPUTED_VALUE"""),0)</f>
        <v>0</v>
      </c>
      <c r="H106" s="5">
        <f ca="1">IFERROR(__xludf.DUMMYFUNCTION("""COMPUTED_VALUE"""),0)</f>
        <v>0</v>
      </c>
      <c r="I106" s="5">
        <f ca="1">IFERROR(__xludf.DUMMYFUNCTION("""COMPUTED_VALUE"""),0)</f>
        <v>0</v>
      </c>
      <c r="J106" s="5">
        <f ca="1">IFERROR(__xludf.DUMMYFUNCTION("""COMPUTED_VALUE"""),0)</f>
        <v>0</v>
      </c>
      <c r="K106" s="9" t="str">
        <f ca="1">IFERROR(__xludf.DUMMYFUNCTION("""COMPUTED_VALUE"""),"https://www.heraldmailmedia.com/story/news/local/2022/12/15/pellet-or-bb-gun-used-to-shoot-school-bus-and-building-in-hagerstown/69725189007/")</f>
        <v>https://www.heraldmailmedia.com/story/news/local/2022/12/15/pellet-or-bb-gun-used-to-shoot-school-bus-and-building-in-hagerstown/69725189007/</v>
      </c>
      <c r="L106" s="5">
        <f ca="1">IFERROR(__xludf.DUMMYFUNCTION("""COMPUTED_VALUE"""),1)</f>
        <v>1</v>
      </c>
      <c r="M106" s="5" t="str">
        <f ca="1">IFERROR(__xludf.DUMMYFUNCTION("""COMPUTED_VALUE"""),"Local")</f>
        <v>Local</v>
      </c>
      <c r="N106" s="5">
        <f ca="1">IFERROR(__xludf.DUMMYFUNCTION("""COMPUTED_VALUE"""),3)</f>
        <v>3</v>
      </c>
      <c r="O106" s="5" t="str">
        <f ca="1">IFERROR(__xludf.DUMMYFUNCTION("""COMPUTED_VALUE"""),"Winter")</f>
        <v>Winter</v>
      </c>
      <c r="P106" s="5" t="str">
        <f ca="1">IFERROR(__xludf.DUMMYFUNCTION("""COMPUTED_VALUE"""),"Hagerstown")</f>
        <v>Hagerstown</v>
      </c>
      <c r="Q106" s="5" t="str">
        <f ca="1">IFERROR(__xludf.DUMMYFUNCTION("""COMPUTED_VALUE"""),"MD")</f>
        <v>MD</v>
      </c>
      <c r="R106" s="5" t="str">
        <f ca="1">IFERROR(__xludf.DUMMYFUNCTION("""COMPUTED_VALUE"""),"Elementary")</f>
        <v>Elementary</v>
      </c>
      <c r="S106" s="5" t="str">
        <f ca="1">IFERROR(__xludf.DUMMYFUNCTION("""COMPUTED_VALUE"""),"School Bus")</f>
        <v>School Bus</v>
      </c>
      <c r="T106" s="5" t="str">
        <f ca="1">IFERROR(__xludf.DUMMYFUNCTION("""COMPUTED_VALUE"""),"School Bus")</f>
        <v>School Bus</v>
      </c>
      <c r="U106" s="5" t="str">
        <f ca="1">IFERROR(__xludf.DUMMYFUNCTION("""COMPUTED_VALUE"""),"Yes")</f>
        <v>Yes</v>
      </c>
      <c r="V106" s="5" t="str">
        <f ca="1">IFERROR(__xludf.DUMMYFUNCTION("""COMPUTED_VALUE"""),"Dismissal")</f>
        <v>Dismissal</v>
      </c>
      <c r="W106" s="10">
        <f ca="1">IFERROR(__xludf.DUMMYFUNCTION("""COMPUTED_VALUE"""),0.631944444444444)</f>
        <v>0.63194444444444398</v>
      </c>
      <c r="X106" s="5">
        <f ca="1">IFERROR(__xludf.DUMMYFUNCTION("""COMPUTED_VALUE"""),1)</f>
        <v>1</v>
      </c>
      <c r="Y106" s="5" t="str">
        <f ca="1">IFERROR(__xludf.DUMMYFUNCTION("""COMPUTED_VALUE"""),"School bus window shot by BB while driving students home")</f>
        <v>School bus window shot by BB while driving students home</v>
      </c>
      <c r="Z106" s="5" t="str">
        <f ca="1">IFERROR(__xludf.DUMMYFUNCTION("""COMPUTED_VALUE"""),"School bus window was broken by BB gun while driving students home. 7 students were on the bus. No injuries. Two teens arrested the following week.")</f>
        <v>School bus window was broken by BB gun while driving students home. 7 students were on the bus. No injuries. Two teens arrested the following week.</v>
      </c>
      <c r="AA106" s="5" t="str">
        <f ca="1">IFERROR(__xludf.DUMMYFUNCTION("""COMPUTED_VALUE"""),"Intentional Property Damage")</f>
        <v>Intentional Property Damage</v>
      </c>
      <c r="AB106" s="5"/>
      <c r="AC106" s="5" t="str">
        <f ca="1">IFERROR(__xludf.DUMMYFUNCTION("""COMPUTED_VALUE"""),"Yes")</f>
        <v>Yes</v>
      </c>
      <c r="AD106" s="5" t="str">
        <f ca="1">IFERROR(__xludf.DUMMYFUNCTION("""COMPUTED_VALUE"""),"No")</f>
        <v>No</v>
      </c>
      <c r="AE106" s="5" t="str">
        <f ca="1">IFERROR(__xludf.DUMMYFUNCTION("""COMPUTED_VALUE"""),"No")</f>
        <v>No</v>
      </c>
      <c r="AF106" s="5" t="str">
        <f ca="1">IFERROR(__xludf.DUMMYFUNCTION("""COMPUTED_VALUE"""),"No")</f>
        <v>No</v>
      </c>
      <c r="AG106" s="5" t="str">
        <f ca="1">IFERROR(__xludf.DUMMYFUNCTION("""COMPUTED_VALUE"""),"No")</f>
        <v>No</v>
      </c>
      <c r="AH106" s="5" t="str">
        <f ca="1">IFERROR(__xludf.DUMMYFUNCTION("""COMPUTED_VALUE"""),"No")</f>
        <v>No</v>
      </c>
      <c r="AI106" s="5" t="str">
        <f ca="1">IFERROR(__xludf.DUMMYFUNCTION("""COMPUTED_VALUE"""),"No")</f>
        <v>No</v>
      </c>
      <c r="AJ106" s="5" t="str">
        <f ca="1">IFERROR(__xludf.DUMMYFUNCTION("""COMPUTED_VALUE"""),"No")</f>
        <v>No</v>
      </c>
    </row>
    <row r="107" spans="1:36" ht="13">
      <c r="A107" s="5" t="str">
        <f ca="1">IFERROR(__xludf.DUMMYFUNCTION("""COMPUTED_VALUE"""),"20221205TNFRM")</f>
        <v>20221205TNFRM</v>
      </c>
      <c r="B107" s="5">
        <f ca="1">IFERROR(__xludf.DUMMYFUNCTION("""COMPUTED_VALUE"""),12)</f>
        <v>12</v>
      </c>
      <c r="C107" s="5">
        <f ca="1">IFERROR(__xludf.DUMMYFUNCTION("""COMPUTED_VALUE"""),5)</f>
        <v>5</v>
      </c>
      <c r="D107" s="5">
        <f ca="1">IFERROR(__xludf.DUMMYFUNCTION("""COMPUTED_VALUE"""),2022)</f>
        <v>2022</v>
      </c>
      <c r="E107" s="8">
        <f ca="1">IFERROR(__xludf.DUMMYFUNCTION("""COMPUTED_VALUE"""),44900)</f>
        <v>44900</v>
      </c>
      <c r="F107" s="5" t="str">
        <f ca="1">IFERROR(__xludf.DUMMYFUNCTION("""COMPUTED_VALUE"""),"Freedom Prep High School")</f>
        <v>Freedom Prep High School</v>
      </c>
      <c r="G107" s="5">
        <f ca="1">IFERROR(__xludf.DUMMYFUNCTION("""COMPUTED_VALUE"""),0)</f>
        <v>0</v>
      </c>
      <c r="H107" s="5">
        <f ca="1">IFERROR(__xludf.DUMMYFUNCTION("""COMPUTED_VALUE"""),1)</f>
        <v>1</v>
      </c>
      <c r="I107" s="5">
        <f ca="1">IFERROR(__xludf.DUMMYFUNCTION("""COMPUTED_VALUE"""),1)</f>
        <v>1</v>
      </c>
      <c r="J107" s="5">
        <f ca="1">IFERROR(__xludf.DUMMYFUNCTION("""COMPUTED_VALUE"""),0)</f>
        <v>0</v>
      </c>
      <c r="K107" s="9" t="str">
        <f ca="1">IFERROR(__xludf.DUMMYFUNCTION("""COMPUTED_VALUE"""),"https://www.localmemphis.com/article/news/crime/15-year-old-boy-injured-in-shooting-at-freedom-prep-high-school-monday/522-a13b1433-ea06-4cd7-b150-f2c402047c51
https://www.fox13memphis.com/news/local/child-may-have-been-accidentally-shot-memphis-school-po"&amp;"lice-say/36TUNL4VHRA3PALDZTAJW4GYZI/")</f>
        <v>https://www.localmemphis.com/article/news/crime/15-year-old-boy-injured-in-shooting-at-freedom-prep-high-school-monday/522-a13b1433-ea06-4cd7-b150-f2c402047c51
https://www.fox13memphis.com/news/local/child-may-have-been-accidentally-shot-memphis-school-police-say/36TUNL4VHRA3PALDZTAJW4GYZI/</v>
      </c>
      <c r="L107" s="5">
        <f ca="1">IFERROR(__xludf.DUMMYFUNCTION("""COMPUTED_VALUE"""),4)</f>
        <v>4</v>
      </c>
      <c r="M107" s="5" t="str">
        <f ca="1">IFERROR(__xludf.DUMMYFUNCTION("""COMPUTED_VALUE"""),"Local")</f>
        <v>Local</v>
      </c>
      <c r="N107" s="5">
        <f ca="1">IFERROR(__xludf.DUMMYFUNCTION("""COMPUTED_VALUE"""),4)</f>
        <v>4</v>
      </c>
      <c r="O107" s="5" t="str">
        <f ca="1">IFERROR(__xludf.DUMMYFUNCTION("""COMPUTED_VALUE"""),"Winter")</f>
        <v>Winter</v>
      </c>
      <c r="P107" s="5" t="str">
        <f ca="1">IFERROR(__xludf.DUMMYFUNCTION("""COMPUTED_VALUE"""),"Memphis")</f>
        <v>Memphis</v>
      </c>
      <c r="Q107" s="5" t="str">
        <f ca="1">IFERROR(__xludf.DUMMYFUNCTION("""COMPUTED_VALUE"""),"TN")</f>
        <v>TN</v>
      </c>
      <c r="R107" s="5" t="str">
        <f ca="1">IFERROR(__xludf.DUMMYFUNCTION("""COMPUTED_VALUE"""),"High")</f>
        <v>High</v>
      </c>
      <c r="S107" s="5" t="str">
        <f ca="1">IFERROR(__xludf.DUMMYFUNCTION("""COMPUTED_VALUE"""),"Inside School Building")</f>
        <v>Inside School Building</v>
      </c>
      <c r="T107" s="5" t="str">
        <f ca="1">IFERROR(__xludf.DUMMYFUNCTION("""COMPUTED_VALUE"""),"Inside School Building")</f>
        <v>Inside School Building</v>
      </c>
      <c r="U107" s="5" t="str">
        <f ca="1">IFERROR(__xludf.DUMMYFUNCTION("""COMPUTED_VALUE"""),"Yes")</f>
        <v>Yes</v>
      </c>
      <c r="V107" s="5" t="str">
        <f ca="1">IFERROR(__xludf.DUMMYFUNCTION("""COMPUTED_VALUE"""),"Lunch")</f>
        <v>Lunch</v>
      </c>
      <c r="W107" s="10">
        <f ca="1">IFERROR(__xludf.DUMMYFUNCTION("""COMPUTED_VALUE"""),0.520833333333333)</f>
        <v>0.52083333333333304</v>
      </c>
      <c r="X107" s="5">
        <f ca="1">IFERROR(__xludf.DUMMYFUNCTION("""COMPUTED_VALUE"""),1)</f>
        <v>1</v>
      </c>
      <c r="Y107" s="5" t="str">
        <f ca="1">IFERROR(__xludf.DUMMYFUNCTION("""COMPUTED_VALUE"""),"Student shot inside school")</f>
        <v>Student shot inside school</v>
      </c>
      <c r="Z107" s="5" t="str">
        <f ca="1">IFERROR(__xludf.DUMMYFUNCTION("""COMPUTED_VALUE"""),"A child was rushed to the hospital after a gunshot went off at a Memphis school, according to the Memphis Police Department (MPD). MPD said a 15-year-old boy was injured in a shooting at Freedom Prep Charter School around 12:30 p.m. He was taken to Le Bon"&amp;"heur Children’s Hospital in non-critical condition, police said. MPD said it’s still unclear what led to that gunshot, but, after interviewing that 15-year-old and several witnesses, police believe the gunfire may have been accidental. The school was brie"&amp;"fly placed on lockdown but police determined that no unauthorized person was on campus and no additional threats were located, leading to the school being dismissed at its normal time. 15-year-old student arrested the following day.")</f>
        <v>A child was rushed to the hospital after a gunshot went off at a Memphis school, according to the Memphis Police Department (MPD). MPD said a 15-year-old boy was injured in a shooting at Freedom Prep Charter School around 12:30 p.m. He was taken to Le Bonheur Children’s Hospital in non-critical condition, police said. MPD said it’s still unclear what led to that gunshot, but, after interviewing that 15-year-old and several witnesses, police believe the gunfire may have been accidental. The school was briefly placed on lockdown but police determined that no unauthorized person was on campus and no additional threats were located, leading to the school being dismissed at its normal time. 15-year-old student arrested the following day.</v>
      </c>
      <c r="AA107" s="5" t="str">
        <f ca="1">IFERROR(__xludf.DUMMYFUNCTION("""COMPUTED_VALUE"""),"Accidental")</f>
        <v>Accidental</v>
      </c>
      <c r="AB107" s="5"/>
      <c r="AC107" s="5"/>
      <c r="AD107" s="5" t="str">
        <f ca="1">IFERROR(__xludf.DUMMYFUNCTION("""COMPUTED_VALUE"""),"No")</f>
        <v>No</v>
      </c>
      <c r="AE107" s="5" t="str">
        <f ca="1">IFERROR(__xludf.DUMMYFUNCTION("""COMPUTED_VALUE"""),"No")</f>
        <v>No</v>
      </c>
      <c r="AF107" s="5" t="str">
        <f ca="1">IFERROR(__xludf.DUMMYFUNCTION("""COMPUTED_VALUE"""),"No")</f>
        <v>No</v>
      </c>
      <c r="AG107" s="5"/>
      <c r="AH107" s="5" t="str">
        <f ca="1">IFERROR(__xludf.DUMMYFUNCTION("""COMPUTED_VALUE"""),"No")</f>
        <v>No</v>
      </c>
      <c r="AI107" s="5"/>
      <c r="AJ107" s="5" t="str">
        <f ca="1">IFERROR(__xludf.DUMMYFUNCTION("""COMPUTED_VALUE"""),"No")</f>
        <v>No</v>
      </c>
    </row>
    <row r="108" spans="1:36" ht="13">
      <c r="A108" s="5" t="str">
        <f ca="1">IFERROR(__xludf.DUMMYFUNCTION("""COMPUTED_VALUE"""),"20221203WISOM")</f>
        <v>20221203WISOM</v>
      </c>
      <c r="B108" s="5">
        <f ca="1">IFERROR(__xludf.DUMMYFUNCTION("""COMPUTED_VALUE"""),12)</f>
        <v>12</v>
      </c>
      <c r="C108" s="5">
        <f ca="1">IFERROR(__xludf.DUMMYFUNCTION("""COMPUTED_VALUE"""),3)</f>
        <v>3</v>
      </c>
      <c r="D108" s="5">
        <f ca="1">IFERROR(__xludf.DUMMYFUNCTION("""COMPUTED_VALUE"""),2022)</f>
        <v>2022</v>
      </c>
      <c r="E108" s="8">
        <f ca="1">IFERROR(__xludf.DUMMYFUNCTION("""COMPUTED_VALUE"""),44898)</f>
        <v>44898</v>
      </c>
      <c r="F108" s="5" t="str">
        <f ca="1">IFERROR(__xludf.DUMMYFUNCTION("""COMPUTED_VALUE"""),"South Division High School")</f>
        <v>South Division High School</v>
      </c>
      <c r="G108" s="5">
        <f ca="1">IFERROR(__xludf.DUMMYFUNCTION("""COMPUTED_VALUE"""),1)</f>
        <v>1</v>
      </c>
      <c r="H108" s="5">
        <f ca="1">IFERROR(__xludf.DUMMYFUNCTION("""COMPUTED_VALUE"""),0)</f>
        <v>0</v>
      </c>
      <c r="I108" s="5">
        <f ca="1">IFERROR(__xludf.DUMMYFUNCTION("""COMPUTED_VALUE"""),1)</f>
        <v>1</v>
      </c>
      <c r="J108" s="5">
        <f ca="1">IFERROR(__xludf.DUMMYFUNCTION("""COMPUTED_VALUE"""),0)</f>
        <v>0</v>
      </c>
      <c r="K108" s="9" t="str">
        <f ca="1">IFERROR(__xludf.DUMMYFUNCTION("""COMPUTED_VALUE"""),"https://www.cbs58.com/news/marshall-hs-student-killed-while-leaving-basketball-game-family-calls-on-city-to-put-the-guns-down
https://www.wisn.com/article/milwaukee-county-medical-examiners-office-responds-to-south-13th-street/42142158#
https://www.fox6no"&amp;"w.com/news/milwaukee-teen-fatally-shot-during-south-division-basketball-game")</f>
        <v>https://www.cbs58.com/news/marshall-hs-student-killed-while-leaving-basketball-game-family-calls-on-city-to-put-the-guns-down
https://www.wisn.com/article/milwaukee-county-medical-examiners-office-responds-to-south-13th-street/42142158#
https://www.fox6now.com/news/milwaukee-teen-fatally-shot-during-south-division-basketball-game</v>
      </c>
      <c r="L108" s="5">
        <f ca="1">IFERROR(__xludf.DUMMYFUNCTION("""COMPUTED_VALUE"""),5)</f>
        <v>5</v>
      </c>
      <c r="M108" s="5" t="str">
        <f ca="1">IFERROR(__xludf.DUMMYFUNCTION("""COMPUTED_VALUE"""),"Local")</f>
        <v>Local</v>
      </c>
      <c r="N108" s="5">
        <f ca="1">IFERROR(__xludf.DUMMYFUNCTION("""COMPUTED_VALUE"""),4)</f>
        <v>4</v>
      </c>
      <c r="O108" s="5" t="str">
        <f ca="1">IFERROR(__xludf.DUMMYFUNCTION("""COMPUTED_VALUE"""),"Winter")</f>
        <v>Winter</v>
      </c>
      <c r="P108" s="5" t="str">
        <f ca="1">IFERROR(__xludf.DUMMYFUNCTION("""COMPUTED_VALUE"""),"Milwaukee")</f>
        <v>Milwaukee</v>
      </c>
      <c r="Q108" s="5" t="str">
        <f ca="1">IFERROR(__xludf.DUMMYFUNCTION("""COMPUTED_VALUE"""),"WI")</f>
        <v>WI</v>
      </c>
      <c r="R108" s="5" t="str">
        <f ca="1">IFERROR(__xludf.DUMMYFUNCTION("""COMPUTED_VALUE"""),"High")</f>
        <v>High</v>
      </c>
      <c r="S108" s="5" t="str">
        <f ca="1">IFERROR(__xludf.DUMMYFUNCTION("""COMPUTED_VALUE"""),"Parking Lot")</f>
        <v>Parking Lot</v>
      </c>
      <c r="T108" s="5" t="str">
        <f ca="1">IFERROR(__xludf.DUMMYFUNCTION("""COMPUTED_VALUE"""),"Outside on School Property")</f>
        <v>Outside on School Property</v>
      </c>
      <c r="U108" s="5" t="str">
        <f ca="1">IFERROR(__xludf.DUMMYFUNCTION("""COMPUTED_VALUE"""),"No")</f>
        <v>No</v>
      </c>
      <c r="V108" s="5" t="str">
        <f ca="1">IFERROR(__xludf.DUMMYFUNCTION("""COMPUTED_VALUE"""),"Sport Event")</f>
        <v>Sport Event</v>
      </c>
      <c r="W108" s="10">
        <f ca="1">IFERROR(__xludf.DUMMYFUNCTION("""COMPUTED_VALUE"""),0.895833333333333)</f>
        <v>0.89583333333333304</v>
      </c>
      <c r="X108" s="5">
        <f ca="1">IFERROR(__xludf.DUMMYFUNCTION("""COMPUTED_VALUE"""),1)</f>
        <v>1</v>
      </c>
      <c r="Y108" s="5" t="str">
        <f ca="1">IFERROR(__xludf.DUMMYFUNCTION("""COMPUTED_VALUE"""),"Teen fatally shot leaving basketball game")</f>
        <v>Teen fatally shot leaving basketball game</v>
      </c>
      <c r="Z108" s="5" t="str">
        <f ca="1">IFERROR(__xludf.DUMMYFUNCTION("""COMPUTED_VALUE"""),"16-year-old fatally shot seven times leaving a high school basketball game. Shot in the parking lot next to the school. Shooter fled and arrested on Dec 28 based on witness statements and CCTV.")</f>
        <v>16-year-old fatally shot seven times leaving a high school basketball game. Shot in the parking lot next to the school. Shooter fled and arrested on Dec 28 based on witness statements and CCTV.</v>
      </c>
      <c r="AA108" s="5" t="str">
        <f ca="1">IFERROR(__xludf.DUMMYFUNCTION("""COMPUTED_VALUE"""),"Escalation of Dispute")</f>
        <v>Escalation of Dispute</v>
      </c>
      <c r="AB108" s="5" t="str">
        <f ca="1">IFERROR(__xludf.DUMMYFUNCTION("""COMPUTED_VALUE"""),"Victims Targeted")</f>
        <v>Victims Targeted</v>
      </c>
      <c r="AC108" s="5"/>
      <c r="AD108" s="5" t="str">
        <f ca="1">IFERROR(__xludf.DUMMYFUNCTION("""COMPUTED_VALUE"""),"No")</f>
        <v>No</v>
      </c>
      <c r="AE108" s="5" t="str">
        <f ca="1">IFERROR(__xludf.DUMMYFUNCTION("""COMPUTED_VALUE"""),"No")</f>
        <v>No</v>
      </c>
      <c r="AF108" s="5" t="str">
        <f ca="1">IFERROR(__xludf.DUMMYFUNCTION("""COMPUTED_VALUE"""),"No")</f>
        <v>No</v>
      </c>
      <c r="AG108" s="5" t="str">
        <f ca="1">IFERROR(__xludf.DUMMYFUNCTION("""COMPUTED_VALUE"""),"No")</f>
        <v>No</v>
      </c>
      <c r="AH108" s="5" t="str">
        <f ca="1">IFERROR(__xludf.DUMMYFUNCTION("""COMPUTED_VALUE"""),"No")</f>
        <v>No</v>
      </c>
      <c r="AI108" s="5"/>
      <c r="AJ108" s="5" t="str">
        <f ca="1">IFERROR(__xludf.DUMMYFUNCTION("""COMPUTED_VALUE"""),"No")</f>
        <v>No</v>
      </c>
    </row>
    <row r="109" spans="1:36" ht="13">
      <c r="A109" s="5" t="str">
        <f ca="1">IFERROR(__xludf.DUMMYFUNCTION("""COMPUTED_VALUE"""),"20221202DEDEW")</f>
        <v>20221202DEDEW</v>
      </c>
      <c r="B109" s="5">
        <f ca="1">IFERROR(__xludf.DUMMYFUNCTION("""COMPUTED_VALUE"""),12)</f>
        <v>12</v>
      </c>
      <c r="C109" s="5">
        <f ca="1">IFERROR(__xludf.DUMMYFUNCTION("""COMPUTED_VALUE"""),2)</f>
        <v>2</v>
      </c>
      <c r="D109" s="5">
        <f ca="1">IFERROR(__xludf.DUMMYFUNCTION("""COMPUTED_VALUE"""),2022)</f>
        <v>2022</v>
      </c>
      <c r="E109" s="8">
        <f ca="1">IFERROR(__xludf.DUMMYFUNCTION("""COMPUTED_VALUE"""),44897)</f>
        <v>44897</v>
      </c>
      <c r="F109" s="5" t="str">
        <f ca="1">IFERROR(__xludf.DUMMYFUNCTION("""COMPUTED_VALUE"""),"Delcastle Technical High School")</f>
        <v>Delcastle Technical High School</v>
      </c>
      <c r="G109" s="5">
        <f ca="1">IFERROR(__xludf.DUMMYFUNCTION("""COMPUTED_VALUE"""),0)</f>
        <v>0</v>
      </c>
      <c r="H109" s="5">
        <f ca="1">IFERROR(__xludf.DUMMYFUNCTION("""COMPUTED_VALUE"""),0)</f>
        <v>0</v>
      </c>
      <c r="I109" s="5">
        <f ca="1">IFERROR(__xludf.DUMMYFUNCTION("""COMPUTED_VALUE"""),0)</f>
        <v>0</v>
      </c>
      <c r="J109" s="5">
        <f ca="1">IFERROR(__xludf.DUMMYFUNCTION("""COMPUTED_VALUE"""),0)</f>
        <v>0</v>
      </c>
      <c r="K109" s="9" t="str">
        <f ca="1">IFERROR(__xludf.DUMMYFUNCTION("""COMPUTED_VALUE"""),"https://www.cbsnews.com/philadelphia/news/delcastle-technical-high-school-bus-struck-gunfire-i95-shooting/
https://www.wmar2news.com/news/local-news/suspect-shoots-at-school-bus-carjacks-2-vehicles-on-i-95-near-maryland-line
https://6abc.com/delcastle-tec"&amp;"hnical-high-school-bus-shot-interstate-95-shut-down-delaware-police-chase-officer-involved-shooting/12519473/")</f>
        <v>https://www.cbsnews.com/philadelphia/news/delcastle-technical-high-school-bus-struck-gunfire-i95-shooting/
https://www.wmar2news.com/news/local-news/suspect-shoots-at-school-bus-carjacks-2-vehicles-on-i-95-near-maryland-line
https://6abc.com/delcastle-technical-high-school-bus-shot-interstate-95-shut-down-delaware-police-chase-officer-involved-shooting/12519473/</v>
      </c>
      <c r="L109" s="5">
        <f ca="1">IFERROR(__xludf.DUMMYFUNCTION("""COMPUTED_VALUE"""),50)</f>
        <v>50</v>
      </c>
      <c r="M109" s="5" t="str">
        <f ca="1">IFERROR(__xludf.DUMMYFUNCTION("""COMPUTED_VALUE"""),"Regional")</f>
        <v>Regional</v>
      </c>
      <c r="N109" s="5">
        <f ca="1">IFERROR(__xludf.DUMMYFUNCTION("""COMPUTED_VALUE"""),4)</f>
        <v>4</v>
      </c>
      <c r="O109" s="5" t="str">
        <f ca="1">IFERROR(__xludf.DUMMYFUNCTION("""COMPUTED_VALUE"""),"Winter")</f>
        <v>Winter</v>
      </c>
      <c r="P109" s="5" t="str">
        <f ca="1">IFERROR(__xludf.DUMMYFUNCTION("""COMPUTED_VALUE"""),"Wilmington")</f>
        <v>Wilmington</v>
      </c>
      <c r="Q109" s="5" t="str">
        <f ca="1">IFERROR(__xludf.DUMMYFUNCTION("""COMPUTED_VALUE"""),"DE")</f>
        <v>DE</v>
      </c>
      <c r="R109" s="5" t="str">
        <f ca="1">IFERROR(__xludf.DUMMYFUNCTION("""COMPUTED_VALUE"""),"High")</f>
        <v>High</v>
      </c>
      <c r="S109" s="5" t="str">
        <f ca="1">IFERROR(__xludf.DUMMYFUNCTION("""COMPUTED_VALUE"""),"School Bus")</f>
        <v>School Bus</v>
      </c>
      <c r="T109" s="5" t="str">
        <f ca="1">IFERROR(__xludf.DUMMYFUNCTION("""COMPUTED_VALUE"""),"School Bus")</f>
        <v>School Bus</v>
      </c>
      <c r="U109" s="5" t="str">
        <f ca="1">IFERROR(__xludf.DUMMYFUNCTION("""COMPUTED_VALUE"""),"Yes")</f>
        <v>Yes</v>
      </c>
      <c r="V109" s="5" t="str">
        <f ca="1">IFERROR(__xludf.DUMMYFUNCTION("""COMPUTED_VALUE"""),"School Start")</f>
        <v>School Start</v>
      </c>
      <c r="W109" s="10">
        <f ca="1">IFERROR(__xludf.DUMMYFUNCTION("""COMPUTED_VALUE"""),0.3125)</f>
        <v>0.3125</v>
      </c>
      <c r="X109" s="5">
        <f ca="1">IFERROR(__xludf.DUMMYFUNCTION("""COMPUTED_VALUE"""),1)</f>
        <v>1</v>
      </c>
      <c r="Y109" s="5" t="str">
        <f ca="1">IFERROR(__xludf.DUMMYFUNCTION("""COMPUTED_VALUE"""),"3 bullets stuck school bus with 36 students aboard")</f>
        <v>3 bullets stuck school bus with 36 students aboard</v>
      </c>
      <c r="Z109" s="5" t="str">
        <f ca="1">IFERROR(__xludf.DUMMYFUNCTION("""COMPUTED_VALUE"""),"It all began when officers responded to the area of Route 141 and East Market Street around 7:30 a.m. for a report of a suspicious person with a gun. That person fled and gunfire erupted. A bus carrying 36 DelCastle Technical High School students was hit "&amp;"by bullets. The bus was at a stop sign, ready to make a right turn, when the shots were fired. Three bullets hit the bus, with one penetrating and lodging in the bus driver's armrest. The bus driver drove away from the shooting scene calmly and safely.")</f>
        <v>It all began when officers responded to the area of Route 141 and East Market Street around 7:30 a.m. for a report of a suspicious person with a gun. That person fled and gunfire erupted. A bus carrying 36 DelCastle Technical High School students was hit by bullets. The bus was at a stop sign, ready to make a right turn, when the shots were fired. Three bullets hit the bus, with one penetrating and lodging in the bus driver's armrest. The bus driver drove away from the shooting scene calmly and safely.</v>
      </c>
      <c r="AA109" s="5" t="str">
        <f ca="1">IFERROR(__xludf.DUMMYFUNCTION("""COMPUTED_VALUE"""),"Drive-by Shooting")</f>
        <v>Drive-by Shooting</v>
      </c>
      <c r="AB109" s="5" t="str">
        <f ca="1">IFERROR(__xludf.DUMMYFUNCTION("""COMPUTED_VALUE"""),"Both")</f>
        <v>Both</v>
      </c>
      <c r="AC109" s="5" t="str">
        <f ca="1">IFERROR(__xludf.DUMMYFUNCTION("""COMPUTED_VALUE"""),"No")</f>
        <v>No</v>
      </c>
      <c r="AD109" s="5" t="str">
        <f ca="1">IFERROR(__xludf.DUMMYFUNCTION("""COMPUTED_VALUE"""),"No")</f>
        <v>No</v>
      </c>
      <c r="AE109" s="5" t="str">
        <f ca="1">IFERROR(__xludf.DUMMYFUNCTION("""COMPUTED_VALUE"""),"No")</f>
        <v>No</v>
      </c>
      <c r="AF109" s="5" t="str">
        <f ca="1">IFERROR(__xludf.DUMMYFUNCTION("""COMPUTED_VALUE"""),"No")</f>
        <v>No</v>
      </c>
      <c r="AG109" s="5" t="str">
        <f ca="1">IFERROR(__xludf.DUMMYFUNCTION("""COMPUTED_VALUE"""),"No")</f>
        <v>No</v>
      </c>
      <c r="AH109" s="5" t="str">
        <f ca="1">IFERROR(__xludf.DUMMYFUNCTION("""COMPUTED_VALUE"""),"No")</f>
        <v>No</v>
      </c>
      <c r="AI109" s="5"/>
      <c r="AJ109" s="5" t="str">
        <f ca="1">IFERROR(__xludf.DUMMYFUNCTION("""COMPUTED_VALUE"""),"No")</f>
        <v>No</v>
      </c>
    </row>
    <row r="110" spans="1:36" ht="13">
      <c r="A110" s="5" t="str">
        <f ca="1">IFERROR(__xludf.DUMMYFUNCTION("""COMPUTED_VALUE"""),"20221121MIHED")</f>
        <v>20221121MIHED</v>
      </c>
      <c r="B110" s="5">
        <f ca="1">IFERROR(__xludf.DUMMYFUNCTION("""COMPUTED_VALUE"""),11)</f>
        <v>11</v>
      </c>
      <c r="C110" s="5">
        <f ca="1">IFERROR(__xludf.DUMMYFUNCTION("""COMPUTED_VALUE"""),21)</f>
        <v>21</v>
      </c>
      <c r="D110" s="5">
        <f ca="1">IFERROR(__xludf.DUMMYFUNCTION("""COMPUTED_VALUE"""),2022)</f>
        <v>2022</v>
      </c>
      <c r="E110" s="8">
        <f ca="1">IFERROR(__xludf.DUMMYFUNCTION("""COMPUTED_VALUE"""),44886)</f>
        <v>44886</v>
      </c>
      <c r="F110" s="5" t="str">
        <f ca="1">IFERROR(__xludf.DUMMYFUNCTION("""COMPUTED_VALUE"""),"Henry Ford High School")</f>
        <v>Henry Ford High School</v>
      </c>
      <c r="G110" s="5">
        <f ca="1">IFERROR(__xludf.DUMMYFUNCTION("""COMPUTED_VALUE"""),0)</f>
        <v>0</v>
      </c>
      <c r="H110" s="5">
        <f ca="1">IFERROR(__xludf.DUMMYFUNCTION("""COMPUTED_VALUE"""),2)</f>
        <v>2</v>
      </c>
      <c r="I110" s="5">
        <f ca="1">IFERROR(__xludf.DUMMYFUNCTION("""COMPUTED_VALUE"""),2)</f>
        <v>2</v>
      </c>
      <c r="J110" s="5">
        <f ca="1">IFERROR(__xludf.DUMMYFUNCTION("""COMPUTED_VALUE"""),0)</f>
        <v>0</v>
      </c>
      <c r="K110" s="9" t="str">
        <f ca="1">IFERROR(__xludf.DUMMYFUNCTION("""COMPUTED_VALUE"""),"https://www.clickondetroit.com/news/local/2022/11/21/2-officers-hurt-in-crash-while-responding-to-shooting-of-2-students-outside-detroit-high-school/
https://www.fox2detroit.com/news/juvenile-suspect-arrested-after-2-students-shot-outside-detroits-henry-f"&amp;"ord-high-school
https://www.fox2detroit.com/video/1146267
https://www.fox2detroit.com/news/16-year-old-charged-after-2-teens-shot-outside-detroits-henry-ford-high-school")</f>
        <v>https://www.clickondetroit.com/news/local/2022/11/21/2-officers-hurt-in-crash-while-responding-to-shooting-of-2-students-outside-detroit-high-school/
https://www.fox2detroit.com/news/juvenile-suspect-arrested-after-2-students-shot-outside-detroits-henry-ford-high-school
https://www.fox2detroit.com/video/1146267
https://www.fox2detroit.com/news/16-year-old-charged-after-2-teens-shot-outside-detroits-henry-ford-high-school</v>
      </c>
      <c r="L110" s="5">
        <f ca="1">IFERROR(__xludf.DUMMYFUNCTION("""COMPUTED_VALUE"""),10)</f>
        <v>10</v>
      </c>
      <c r="M110" s="5" t="str">
        <f ca="1">IFERROR(__xludf.DUMMYFUNCTION("""COMPUTED_VALUE"""),"Regional")</f>
        <v>Regional</v>
      </c>
      <c r="N110" s="5">
        <f ca="1">IFERROR(__xludf.DUMMYFUNCTION("""COMPUTED_VALUE"""),4)</f>
        <v>4</v>
      </c>
      <c r="O110" s="5" t="str">
        <f ca="1">IFERROR(__xludf.DUMMYFUNCTION("""COMPUTED_VALUE"""),"Fall")</f>
        <v>Fall</v>
      </c>
      <c r="P110" s="5" t="str">
        <f ca="1">IFERROR(__xludf.DUMMYFUNCTION("""COMPUTED_VALUE"""),"Detroit")</f>
        <v>Detroit</v>
      </c>
      <c r="Q110" s="5" t="str">
        <f ca="1">IFERROR(__xludf.DUMMYFUNCTION("""COMPUTED_VALUE"""),"MI")</f>
        <v>MI</v>
      </c>
      <c r="R110" s="5" t="str">
        <f ca="1">IFERROR(__xludf.DUMMYFUNCTION("""COMPUTED_VALUE"""),"High")</f>
        <v>High</v>
      </c>
      <c r="S110" s="5" t="str">
        <f ca="1">IFERROR(__xludf.DUMMYFUNCTION("""COMPUTED_VALUE"""),"Front of School")</f>
        <v>Front of School</v>
      </c>
      <c r="T110" s="5" t="str">
        <f ca="1">IFERROR(__xludf.DUMMYFUNCTION("""COMPUTED_VALUE"""),"Outside on School Property")</f>
        <v>Outside on School Property</v>
      </c>
      <c r="U110" s="5" t="str">
        <f ca="1">IFERROR(__xludf.DUMMYFUNCTION("""COMPUTED_VALUE"""),"Yes")</f>
        <v>Yes</v>
      </c>
      <c r="V110" s="5" t="str">
        <f ca="1">IFERROR(__xludf.DUMMYFUNCTION("""COMPUTED_VALUE"""),"Dismissal")</f>
        <v>Dismissal</v>
      </c>
      <c r="W110" s="10">
        <f ca="1">IFERROR(__xludf.DUMMYFUNCTION("""COMPUTED_VALUE"""),0.652777777777777)</f>
        <v>0.65277777777777701</v>
      </c>
      <c r="X110" s="5">
        <f ca="1">IFERROR(__xludf.DUMMYFUNCTION("""COMPUTED_VALUE"""),1)</f>
        <v>1</v>
      </c>
      <c r="Y110" s="5" t="str">
        <f ca="1">IFERROR(__xludf.DUMMYFUNCTION("""COMPUTED_VALUE"""),"Two students wounded during targeted shooting at dismissal")</f>
        <v>Two students wounded during targeted shooting at dismissal</v>
      </c>
      <c r="Z110" s="5" t="str">
        <f ca="1">IFERROR(__xludf.DUMMYFUNCTION("""COMPUTED_VALUE"""),"SUV with three teen shooters circled school multiple times at dismissal. Shooters got out and fired multiple shots at two male students, both were struck twice. Detroit school police officer was outside the building and heard the shots. Shooter got back i"&amp;"nto vehicle and fled the scene. 16-year-old arrested and charged as an adult on December 6.")</f>
        <v>SUV with three teen shooters circled school multiple times at dismissal. Shooters got out and fired multiple shots at two male students, both were struck twice. Detroit school police officer was outside the building and heard the shots. Shooter got back into vehicle and fled the scene. 16-year-old arrested and charged as an adult on December 6.</v>
      </c>
      <c r="AA110" s="5" t="str">
        <f ca="1">IFERROR(__xludf.DUMMYFUNCTION("""COMPUTED_VALUE"""),"Escalation of Dispute")</f>
        <v>Escalation of Dispute</v>
      </c>
      <c r="AB110" s="5" t="str">
        <f ca="1">IFERROR(__xludf.DUMMYFUNCTION("""COMPUTED_VALUE"""),"Victims Targeted")</f>
        <v>Victims Targeted</v>
      </c>
      <c r="AC110" s="5" t="str">
        <f ca="1">IFERROR(__xludf.DUMMYFUNCTION("""COMPUTED_VALUE"""),"Yes")</f>
        <v>Yes</v>
      </c>
      <c r="AD110" s="5" t="str">
        <f ca="1">IFERROR(__xludf.DUMMYFUNCTION("""COMPUTED_VALUE"""),"No")</f>
        <v>No</v>
      </c>
      <c r="AE110" s="5" t="str">
        <f ca="1">IFERROR(__xludf.DUMMYFUNCTION("""COMPUTED_VALUE"""),"No")</f>
        <v>No</v>
      </c>
      <c r="AF110" s="5" t="str">
        <f ca="1">IFERROR(__xludf.DUMMYFUNCTION("""COMPUTED_VALUE"""),"No")</f>
        <v>No</v>
      </c>
      <c r="AG110" s="5" t="str">
        <f ca="1">IFERROR(__xludf.DUMMYFUNCTION("""COMPUTED_VALUE"""),"No")</f>
        <v>No</v>
      </c>
      <c r="AH110" s="5" t="str">
        <f ca="1">IFERROR(__xludf.DUMMYFUNCTION("""COMPUTED_VALUE"""),"No")</f>
        <v>No</v>
      </c>
      <c r="AI110" s="5"/>
      <c r="AJ110" s="5" t="str">
        <f ca="1">IFERROR(__xludf.DUMMYFUNCTION("""COMPUTED_VALUE"""),"No")</f>
        <v>No</v>
      </c>
    </row>
    <row r="111" spans="1:36" ht="13">
      <c r="A111" s="5" t="str">
        <f ca="1">IFERROR(__xludf.DUMMYFUNCTION("""COMPUTED_VALUE"""),"20221122MISTS")</f>
        <v>20221122MISTS</v>
      </c>
      <c r="B111" s="5">
        <f ca="1">IFERROR(__xludf.DUMMYFUNCTION("""COMPUTED_VALUE"""),11)</f>
        <v>11</v>
      </c>
      <c r="C111" s="5">
        <f ca="1">IFERROR(__xludf.DUMMYFUNCTION("""COMPUTED_VALUE"""),18)</f>
        <v>18</v>
      </c>
      <c r="D111" s="5">
        <f ca="1">IFERROR(__xludf.DUMMYFUNCTION("""COMPUTED_VALUE"""),2022)</f>
        <v>2022</v>
      </c>
      <c r="E111" s="8">
        <f ca="1">IFERROR(__xludf.DUMMYFUNCTION("""COMPUTED_VALUE"""),44883)</f>
        <v>44883</v>
      </c>
      <c r="F111" s="5" t="str">
        <f ca="1">IFERROR(__xludf.DUMMYFUNCTION("""COMPUTED_VALUE"""),"Standish-Sterling Central School Bus")</f>
        <v>Standish-Sterling Central School Bus</v>
      </c>
      <c r="G111" s="5">
        <f ca="1">IFERROR(__xludf.DUMMYFUNCTION("""COMPUTED_VALUE"""),0)</f>
        <v>0</v>
      </c>
      <c r="H111" s="5">
        <f ca="1">IFERROR(__xludf.DUMMYFUNCTION("""COMPUTED_VALUE"""),0)</f>
        <v>0</v>
      </c>
      <c r="I111" s="5">
        <f ca="1">IFERROR(__xludf.DUMMYFUNCTION("""COMPUTED_VALUE"""),0)</f>
        <v>0</v>
      </c>
      <c r="J111" s="5">
        <f ca="1">IFERROR(__xludf.DUMMYFUNCTION("""COMPUTED_VALUE"""),0)</f>
        <v>0</v>
      </c>
      <c r="K111" s="9" t="str">
        <f ca="1">IFERROR(__xludf.DUMMYFUNCTION("""COMPUTED_VALUE"""),"https://www.abc12.com/news/no-injuries-on-standish-sterling-school-bus-after-it-was-hit-by-a-stray-bullet/article_b499147a-69e8-11ed-8cbc-4f35da469d5f.html")</f>
        <v>https://www.abc12.com/news/no-injuries-on-standish-sterling-school-bus-after-it-was-hit-by-a-stray-bullet/article_b499147a-69e8-11ed-8cbc-4f35da469d5f.html</v>
      </c>
      <c r="L111" s="5">
        <f ca="1">IFERROR(__xludf.DUMMYFUNCTION("""COMPUTED_VALUE"""),2)</f>
        <v>2</v>
      </c>
      <c r="M111" s="5" t="str">
        <f ca="1">IFERROR(__xludf.DUMMYFUNCTION("""COMPUTED_VALUE"""),"Local")</f>
        <v>Local</v>
      </c>
      <c r="N111" s="5">
        <f ca="1">IFERROR(__xludf.DUMMYFUNCTION("""COMPUTED_VALUE"""),4)</f>
        <v>4</v>
      </c>
      <c r="O111" s="5" t="str">
        <f ca="1">IFERROR(__xludf.DUMMYFUNCTION("""COMPUTED_VALUE"""),"Fall")</f>
        <v>Fall</v>
      </c>
      <c r="P111" s="5" t="str">
        <f ca="1">IFERROR(__xludf.DUMMYFUNCTION("""COMPUTED_VALUE"""),"Standish")</f>
        <v>Standish</v>
      </c>
      <c r="Q111" s="5" t="str">
        <f ca="1">IFERROR(__xludf.DUMMYFUNCTION("""COMPUTED_VALUE"""),"MI")</f>
        <v>MI</v>
      </c>
      <c r="R111" s="5" t="str">
        <f ca="1">IFERROR(__xludf.DUMMYFUNCTION("""COMPUTED_VALUE"""),"Other")</f>
        <v>Other</v>
      </c>
      <c r="S111" s="5" t="str">
        <f ca="1">IFERROR(__xludf.DUMMYFUNCTION("""COMPUTED_VALUE"""),"School Bus")</f>
        <v>School Bus</v>
      </c>
      <c r="T111" s="5" t="str">
        <f ca="1">IFERROR(__xludf.DUMMYFUNCTION("""COMPUTED_VALUE"""),"School Bus")</f>
        <v>School Bus</v>
      </c>
      <c r="U111" s="5" t="str">
        <f ca="1">IFERROR(__xludf.DUMMYFUNCTION("""COMPUTED_VALUE"""),"Yes")</f>
        <v>Yes</v>
      </c>
      <c r="V111" s="5" t="str">
        <f ca="1">IFERROR(__xludf.DUMMYFUNCTION("""COMPUTED_VALUE"""),"Dismissal")</f>
        <v>Dismissal</v>
      </c>
      <c r="W111" s="10">
        <f ca="1">IFERROR(__xludf.DUMMYFUNCTION("""COMPUTED_VALUE"""),0.666666666666666)</f>
        <v>0.66666666666666596</v>
      </c>
      <c r="X111" s="5">
        <f ca="1">IFERROR(__xludf.DUMMYFUNCTION("""COMPUTED_VALUE"""),1)</f>
        <v>1</v>
      </c>
      <c r="Y111" s="5" t="str">
        <f ca="1">IFERROR(__xludf.DUMMYFUNCTION("""COMPUTED_VALUE"""),"Bullet struck school window of occupied bus")</f>
        <v>Bullet struck school window of occupied bus</v>
      </c>
      <c r="Z111" s="5" t="str">
        <f ca="1">IFERROR(__xludf.DUMMYFUNCTION("""COMPUTED_VALUE"""),"The bus driver heard a noise but wasn't sure what it was.  He finished the route, returned to the bus garage and that's when he noticed the bullet holes in the windows. A picture of the Standish-Sterling school bus shows a bullet hole in the window of the"&amp;" last seat on the bus. There were only two students on the bus at the time when it's believed the gunshot hit the bus late Friday afternoon.  The students were not hit. ""A window that had both an entrance and an exit from what they believed was a bullet "&amp;"and after further investigation, we believe also it was a bullet,"" says Arenac County Undersheriff Don McIntyre.")</f>
        <v>The bus driver heard a noise but wasn't sure what it was.  He finished the route, returned to the bus garage and that's when he noticed the bullet holes in the windows. A picture of the Standish-Sterling school bus shows a bullet hole in the window of the last seat on the bus. There were only two students on the bus at the time when it's believed the gunshot hit the bus late Friday afternoon.  The students were not hit. "A window that had both an entrance and an exit from what they believed was a bullet and after further investigation, we believe also it was a bullet," says Arenac County Undersheriff Don McIntyre.</v>
      </c>
      <c r="AA111" s="5" t="str">
        <f ca="1">IFERROR(__xludf.DUMMYFUNCTION("""COMPUTED_VALUE"""),"Accidental")</f>
        <v>Accidental</v>
      </c>
      <c r="AB111" s="5" t="str">
        <f ca="1">IFERROR(__xludf.DUMMYFUNCTION("""COMPUTED_VALUE"""),"Neither")</f>
        <v>Neither</v>
      </c>
      <c r="AC111" s="5" t="str">
        <f ca="1">IFERROR(__xludf.DUMMYFUNCTION("""COMPUTED_VALUE"""),"No")</f>
        <v>No</v>
      </c>
      <c r="AD111" s="5" t="str">
        <f ca="1">IFERROR(__xludf.DUMMYFUNCTION("""COMPUTED_VALUE"""),"No")</f>
        <v>No</v>
      </c>
      <c r="AE111" s="5" t="str">
        <f ca="1">IFERROR(__xludf.DUMMYFUNCTION("""COMPUTED_VALUE"""),"No")</f>
        <v>No</v>
      </c>
      <c r="AF111" s="5" t="str">
        <f ca="1">IFERROR(__xludf.DUMMYFUNCTION("""COMPUTED_VALUE"""),"No")</f>
        <v>No</v>
      </c>
      <c r="AG111" s="5" t="str">
        <f ca="1">IFERROR(__xludf.DUMMYFUNCTION("""COMPUTED_VALUE"""),"No")</f>
        <v>No</v>
      </c>
      <c r="AH111" s="5" t="str">
        <f ca="1">IFERROR(__xludf.DUMMYFUNCTION("""COMPUTED_VALUE"""),"No")</f>
        <v>No</v>
      </c>
      <c r="AI111" s="5"/>
      <c r="AJ111" s="5" t="str">
        <f ca="1">IFERROR(__xludf.DUMMYFUNCTION("""COMPUTED_VALUE"""),"No")</f>
        <v>No</v>
      </c>
    </row>
    <row r="112" spans="1:36" ht="13">
      <c r="A112" s="5" t="str">
        <f ca="1">IFERROR(__xludf.DUMMYFUNCTION("""COMPUTED_VALUE"""),"20221118NYROS")</f>
        <v>20221118NYROS</v>
      </c>
      <c r="B112" s="5">
        <f ca="1">IFERROR(__xludf.DUMMYFUNCTION("""COMPUTED_VALUE"""),11)</f>
        <v>11</v>
      </c>
      <c r="C112" s="5">
        <f ca="1">IFERROR(__xludf.DUMMYFUNCTION("""COMPUTED_VALUE"""),18)</f>
        <v>18</v>
      </c>
      <c r="D112" s="5">
        <f ca="1">IFERROR(__xludf.DUMMYFUNCTION("""COMPUTED_VALUE"""),2022)</f>
        <v>2022</v>
      </c>
      <c r="E112" s="8">
        <f ca="1">IFERROR(__xludf.DUMMYFUNCTION("""COMPUTED_VALUE"""),44883)</f>
        <v>44883</v>
      </c>
      <c r="F112" s="5" t="str">
        <f ca="1">IFERROR(__xludf.DUMMYFUNCTION("""COMPUTED_VALUE"""),"Roberts Elementary School")</f>
        <v>Roberts Elementary School</v>
      </c>
      <c r="G112" s="5">
        <f ca="1">IFERROR(__xludf.DUMMYFUNCTION("""COMPUTED_VALUE"""),0)</f>
        <v>0</v>
      </c>
      <c r="H112" s="5">
        <f ca="1">IFERROR(__xludf.DUMMYFUNCTION("""COMPUTED_VALUE"""),0)</f>
        <v>0</v>
      </c>
      <c r="I112" s="5">
        <f ca="1">IFERROR(__xludf.DUMMYFUNCTION("""COMPUTED_VALUE"""),0)</f>
        <v>0</v>
      </c>
      <c r="J112" s="5">
        <f ca="1">IFERROR(__xludf.DUMMYFUNCTION("""COMPUTED_VALUE"""),0)</f>
        <v>0</v>
      </c>
      <c r="K112" s="9" t="str">
        <f ca="1">IFERROR(__xludf.DUMMYFUNCTION("""COMPUTED_VALUE"""),"https://www.localsyr.com/news/local-news/shots-fired-in-roberts-elementary-school-parking-lot-in-syracuse/")</f>
        <v>https://www.localsyr.com/news/local-news/shots-fired-in-roberts-elementary-school-parking-lot-in-syracuse/</v>
      </c>
      <c r="L112" s="5">
        <f ca="1">IFERROR(__xludf.DUMMYFUNCTION("""COMPUTED_VALUE"""),1)</f>
        <v>1</v>
      </c>
      <c r="M112" s="5" t="str">
        <f ca="1">IFERROR(__xludf.DUMMYFUNCTION("""COMPUTED_VALUE"""),"Local")</f>
        <v>Local</v>
      </c>
      <c r="N112" s="5">
        <f ca="1">IFERROR(__xludf.DUMMYFUNCTION("""COMPUTED_VALUE"""),3)</f>
        <v>3</v>
      </c>
      <c r="O112" s="5" t="str">
        <f ca="1">IFERROR(__xludf.DUMMYFUNCTION("""COMPUTED_VALUE"""),"Fall")</f>
        <v>Fall</v>
      </c>
      <c r="P112" s="5" t="str">
        <f ca="1">IFERROR(__xludf.DUMMYFUNCTION("""COMPUTED_VALUE"""),"Syracuse")</f>
        <v>Syracuse</v>
      </c>
      <c r="Q112" s="5" t="str">
        <f ca="1">IFERROR(__xludf.DUMMYFUNCTION("""COMPUTED_VALUE"""),"NY")</f>
        <v>NY</v>
      </c>
      <c r="R112" s="5" t="str">
        <f ca="1">IFERROR(__xludf.DUMMYFUNCTION("""COMPUTED_VALUE"""),"Elementary")</f>
        <v>Elementary</v>
      </c>
      <c r="S112" s="5" t="str">
        <f ca="1">IFERROR(__xludf.DUMMYFUNCTION("""COMPUTED_VALUE"""),"Parking Lot")</f>
        <v>Parking Lot</v>
      </c>
      <c r="T112" s="5" t="str">
        <f ca="1">IFERROR(__xludf.DUMMYFUNCTION("""COMPUTED_VALUE"""),"Outside on School Property")</f>
        <v>Outside on School Property</v>
      </c>
      <c r="U112" s="5" t="str">
        <f ca="1">IFERROR(__xludf.DUMMYFUNCTION("""COMPUTED_VALUE"""),"Yes")</f>
        <v>Yes</v>
      </c>
      <c r="V112" s="5" t="str">
        <f ca="1">IFERROR(__xludf.DUMMYFUNCTION("""COMPUTED_VALUE"""),"Afternoon Classes")</f>
        <v>Afternoon Classes</v>
      </c>
      <c r="W112" s="10">
        <f ca="1">IFERROR(__xludf.DUMMYFUNCTION("""COMPUTED_VALUE"""),0.583333333333333)</f>
        <v>0.58333333333333304</v>
      </c>
      <c r="X112" s="5">
        <f ca="1">IFERROR(__xludf.DUMMYFUNCTION("""COMPUTED_VALUE"""),1)</f>
        <v>1</v>
      </c>
      <c r="Y112" s="5" t="str">
        <f ca="1">IFERROR(__xludf.DUMMYFUNCTION("""COMPUTED_VALUE"""),"Multiple shots fired in parking lot, shooter fled")</f>
        <v>Multiple shots fired in parking lot, shooter fled</v>
      </c>
      <c r="Z112" s="5" t="str">
        <f ca="1">IFERROR(__xludf.DUMMYFUNCTION("""COMPUTED_VALUE"""),"Just after 2 p.m. on Friday, November 18, many shell casings were found in the parking lot of the elementary school, which is part of the Syracuse City School District. Police say nobody was hurt and there have been no arrests.")</f>
        <v>Just after 2 p.m. on Friday, November 18, many shell casings were found in the parking lot of the elementary school, which is part of the Syracuse City School District. Police say nobody was hurt and there have been no arrests.</v>
      </c>
      <c r="AA112" s="5"/>
      <c r="AB112" s="5"/>
      <c r="AC112" s="5"/>
      <c r="AD112" s="5" t="str">
        <f ca="1">IFERROR(__xludf.DUMMYFUNCTION("""COMPUTED_VALUE"""),"No")</f>
        <v>No</v>
      </c>
      <c r="AE112" s="5" t="str">
        <f ca="1">IFERROR(__xludf.DUMMYFUNCTION("""COMPUTED_VALUE"""),"No")</f>
        <v>No</v>
      </c>
      <c r="AF112" s="5" t="str">
        <f ca="1">IFERROR(__xludf.DUMMYFUNCTION("""COMPUTED_VALUE"""),"No")</f>
        <v>No</v>
      </c>
      <c r="AG112" s="5" t="str">
        <f ca="1">IFERROR(__xludf.DUMMYFUNCTION("""COMPUTED_VALUE"""),"No")</f>
        <v>No</v>
      </c>
      <c r="AH112" s="5" t="str">
        <f ca="1">IFERROR(__xludf.DUMMYFUNCTION("""COMPUTED_VALUE"""),"No")</f>
        <v>No</v>
      </c>
      <c r="AI112" s="5"/>
      <c r="AJ112" s="5" t="str">
        <f ca="1">IFERROR(__xludf.DUMMYFUNCTION("""COMPUTED_VALUE"""),"No")</f>
        <v>No</v>
      </c>
    </row>
    <row r="113" spans="1:36" ht="13">
      <c r="A113" s="5" t="str">
        <f ca="1">IFERROR(__xludf.DUMMYFUNCTION("""COMPUTED_VALUE"""),"20221118DCJAW")</f>
        <v>20221118DCJAW</v>
      </c>
      <c r="B113" s="5">
        <f ca="1">IFERROR(__xludf.DUMMYFUNCTION("""COMPUTED_VALUE"""),11)</f>
        <v>11</v>
      </c>
      <c r="C113" s="5">
        <f ca="1">IFERROR(__xludf.DUMMYFUNCTION("""COMPUTED_VALUE"""),18)</f>
        <v>18</v>
      </c>
      <c r="D113" s="5">
        <f ca="1">IFERROR(__xludf.DUMMYFUNCTION("""COMPUTED_VALUE"""),2022)</f>
        <v>2022</v>
      </c>
      <c r="E113" s="8">
        <f ca="1">IFERROR(__xludf.DUMMYFUNCTION("""COMPUTED_VALUE"""),44883)</f>
        <v>44883</v>
      </c>
      <c r="F113" s="5" t="str">
        <f ca="1">IFERROR(__xludf.DUMMYFUNCTION("""COMPUTED_VALUE"""),"Jackson Reed High School")</f>
        <v>Jackson Reed High School</v>
      </c>
      <c r="G113" s="5">
        <f ca="1">IFERROR(__xludf.DUMMYFUNCTION("""COMPUTED_VALUE"""),0)</f>
        <v>0</v>
      </c>
      <c r="H113" s="5">
        <f ca="1">IFERROR(__xludf.DUMMYFUNCTION("""COMPUTED_VALUE"""),0)</f>
        <v>0</v>
      </c>
      <c r="I113" s="5">
        <f ca="1">IFERROR(__xludf.DUMMYFUNCTION("""COMPUTED_VALUE"""),0)</f>
        <v>0</v>
      </c>
      <c r="J113" s="5">
        <f ca="1">IFERROR(__xludf.DUMMYFUNCTION("""COMPUTED_VALUE"""),0)</f>
        <v>0</v>
      </c>
      <c r="K113" s="5" t="str">
        <f ca="1">IFERROR(__xludf.DUMMYFUNCTION("""COMPUTED_VALUE"""),"https://www.nbcwashington.com/news/local/jackson-reed-high-school-in-northwest-dc-on-lockdown-after-gunshots-heard-outside/3212878/
https://www.fox5dc.com/news/investigation-underway-into-shooting-near-northwest-dc-school
https://www.wusa9.com/article/new"&amp;"s/education/shots-ring-out-near-northwest-dc-high-school-lockdown/65-694e23fd-f217-456d-a7cf-fbf9de898d9e
")</f>
        <v xml:space="preserve">https://www.nbcwashington.com/news/local/jackson-reed-high-school-in-northwest-dc-on-lockdown-after-gunshots-heard-outside/3212878/
https://www.fox5dc.com/news/investigation-underway-into-shooting-near-northwest-dc-school
https://www.wusa9.com/article/news/education/shots-ring-out-near-northwest-dc-high-school-lockdown/65-694e23fd-f217-456d-a7cf-fbf9de898d9e
</v>
      </c>
      <c r="L113" s="5">
        <f ca="1">IFERROR(__xludf.DUMMYFUNCTION("""COMPUTED_VALUE"""),10)</f>
        <v>10</v>
      </c>
      <c r="M113" s="5" t="str">
        <f ca="1">IFERROR(__xludf.DUMMYFUNCTION("""COMPUTED_VALUE"""),"Regional")</f>
        <v>Regional</v>
      </c>
      <c r="N113" s="5">
        <f ca="1">IFERROR(__xludf.DUMMYFUNCTION("""COMPUTED_VALUE"""),4)</f>
        <v>4</v>
      </c>
      <c r="O113" s="5" t="str">
        <f ca="1">IFERROR(__xludf.DUMMYFUNCTION("""COMPUTED_VALUE"""),"Fall")</f>
        <v>Fall</v>
      </c>
      <c r="P113" s="5" t="str">
        <f ca="1">IFERROR(__xludf.DUMMYFUNCTION("""COMPUTED_VALUE"""),"Washington")</f>
        <v>Washington</v>
      </c>
      <c r="Q113" s="5" t="str">
        <f ca="1">IFERROR(__xludf.DUMMYFUNCTION("""COMPUTED_VALUE"""),"DC")</f>
        <v>DC</v>
      </c>
      <c r="R113" s="5" t="str">
        <f ca="1">IFERROR(__xludf.DUMMYFUNCTION("""COMPUTED_VALUE"""),"High")</f>
        <v>High</v>
      </c>
      <c r="S113" s="5" t="str">
        <f ca="1">IFERROR(__xludf.DUMMYFUNCTION("""COMPUTED_VALUE"""),"Front of School")</f>
        <v>Front of School</v>
      </c>
      <c r="T113" s="5" t="str">
        <f ca="1">IFERROR(__xludf.DUMMYFUNCTION("""COMPUTED_VALUE"""),"Outside on School Property")</f>
        <v>Outside on School Property</v>
      </c>
      <c r="U113" s="5" t="str">
        <f ca="1">IFERROR(__xludf.DUMMYFUNCTION("""COMPUTED_VALUE"""),"Yes")</f>
        <v>Yes</v>
      </c>
      <c r="V113" s="5" t="str">
        <f ca="1">IFERROR(__xludf.DUMMYFUNCTION("""COMPUTED_VALUE"""),"Afternoon Classes")</f>
        <v>Afternoon Classes</v>
      </c>
      <c r="W113" s="10">
        <f ca="1">IFERROR(__xludf.DUMMYFUNCTION("""COMPUTED_VALUE"""),0.614583333333333)</f>
        <v>0.61458333333333304</v>
      </c>
      <c r="X113" s="5">
        <f ca="1">IFERROR(__xludf.DUMMYFUNCTION("""COMPUTED_VALUE"""),1)</f>
        <v>1</v>
      </c>
      <c r="Y113" s="5" t="str">
        <f ca="1">IFERROR(__xludf.DUMMYFUNCTION("""COMPUTED_VALUE"""),"Shots fired in front of the school, shooter fled in vehicle")</f>
        <v>Shots fired in front of the school, shooter fled in vehicle</v>
      </c>
      <c r="Z113" s="5" t="str">
        <f ca="1">IFERROR(__xludf.DUMMYFUNCTION("""COMPUTED_VALUE"""),"At least 13 shots fired in front of the school. Shooter got into vehicle and fled. School placed on lockdown for 1.5 hours. No injuries.")</f>
        <v>At least 13 shots fired in front of the school. Shooter got into vehicle and fled. School placed on lockdown for 1.5 hours. No injuries.</v>
      </c>
      <c r="AA113" s="5"/>
      <c r="AB113" s="5"/>
      <c r="AC113" s="5" t="str">
        <f ca="1">IFERROR(__xludf.DUMMYFUNCTION("""COMPUTED_VALUE"""),"Yes")</f>
        <v>Yes</v>
      </c>
      <c r="AD113" s="5" t="str">
        <f ca="1">IFERROR(__xludf.DUMMYFUNCTION("""COMPUTED_VALUE"""),"No")</f>
        <v>No</v>
      </c>
      <c r="AE113" s="5" t="str">
        <f ca="1">IFERROR(__xludf.DUMMYFUNCTION("""COMPUTED_VALUE"""),"No")</f>
        <v>No</v>
      </c>
      <c r="AF113" s="5" t="str">
        <f ca="1">IFERROR(__xludf.DUMMYFUNCTION("""COMPUTED_VALUE"""),"No")</f>
        <v>No</v>
      </c>
      <c r="AG113" s="5" t="str">
        <f ca="1">IFERROR(__xludf.DUMMYFUNCTION("""COMPUTED_VALUE"""),"No")</f>
        <v>No</v>
      </c>
      <c r="AH113" s="5" t="str">
        <f ca="1">IFERROR(__xludf.DUMMYFUNCTION("""COMPUTED_VALUE"""),"No")</f>
        <v>No</v>
      </c>
      <c r="AI113" s="5"/>
      <c r="AJ113" s="5" t="str">
        <f ca="1">IFERROR(__xludf.DUMMYFUNCTION("""COMPUTED_VALUE"""),"No")</f>
        <v>No</v>
      </c>
    </row>
    <row r="114" spans="1:36" ht="13">
      <c r="A114" s="5" t="str">
        <f ca="1">IFERROR(__xludf.DUMMYFUNCTION("""COMPUTED_VALUE"""),"20221117INSOC")</f>
        <v>20221117INSOC</v>
      </c>
      <c r="B114" s="5">
        <f ca="1">IFERROR(__xludf.DUMMYFUNCTION("""COMPUTED_VALUE"""),11)</f>
        <v>11</v>
      </c>
      <c r="C114" s="5">
        <f ca="1">IFERROR(__xludf.DUMMYFUNCTION("""COMPUTED_VALUE"""),17)</f>
        <v>17</v>
      </c>
      <c r="D114" s="5">
        <f ca="1">IFERROR(__xludf.DUMMYFUNCTION("""COMPUTED_VALUE"""),2022)</f>
        <v>2022</v>
      </c>
      <c r="E114" s="8">
        <f ca="1">IFERROR(__xludf.DUMMYFUNCTION("""COMPUTED_VALUE"""),44882)</f>
        <v>44882</v>
      </c>
      <c r="F114" s="5" t="str">
        <f ca="1">IFERROR(__xludf.DUMMYFUNCTION("""COMPUTED_VALUE"""),"South Vermillion High School")</f>
        <v>South Vermillion High School</v>
      </c>
      <c r="G114" s="5">
        <f ca="1">IFERROR(__xludf.DUMMYFUNCTION("""COMPUTED_VALUE"""),0)</f>
        <v>0</v>
      </c>
      <c r="H114" s="5">
        <f ca="1">IFERROR(__xludf.DUMMYFUNCTION("""COMPUTED_VALUE"""),1)</f>
        <v>1</v>
      </c>
      <c r="I114" s="5">
        <f ca="1">IFERROR(__xludf.DUMMYFUNCTION("""COMPUTED_VALUE"""),1)</f>
        <v>1</v>
      </c>
      <c r="J114" s="5">
        <f ca="1">IFERROR(__xludf.DUMMYFUNCTION("""COMPUTED_VALUE"""),0)</f>
        <v>0</v>
      </c>
      <c r="K114" s="9" t="str">
        <f ca="1">IFERROR(__xludf.DUMMYFUNCTION("""COMPUTED_VALUE"""),"https://www.cbsnews.com/chicago/news/indiana-officer-gunfire-student/")</f>
        <v>https://www.cbsnews.com/chicago/news/indiana-officer-gunfire-student/</v>
      </c>
      <c r="L114" s="5">
        <f ca="1">IFERROR(__xludf.DUMMYFUNCTION("""COMPUTED_VALUE"""),100)</f>
        <v>100</v>
      </c>
      <c r="M114" s="5" t="str">
        <f ca="1">IFERROR(__xludf.DUMMYFUNCTION("""COMPUTED_VALUE"""),"National")</f>
        <v>National</v>
      </c>
      <c r="N114" s="5">
        <f ca="1">IFERROR(__xludf.DUMMYFUNCTION("""COMPUTED_VALUE"""),4)</f>
        <v>4</v>
      </c>
      <c r="O114" s="5" t="str">
        <f ca="1">IFERROR(__xludf.DUMMYFUNCTION("""COMPUTED_VALUE"""),"Fall")</f>
        <v>Fall</v>
      </c>
      <c r="P114" s="5" t="str">
        <f ca="1">IFERROR(__xludf.DUMMYFUNCTION("""COMPUTED_VALUE"""),"Clinton")</f>
        <v>Clinton</v>
      </c>
      <c r="Q114" s="5" t="str">
        <f ca="1">IFERROR(__xludf.DUMMYFUNCTION("""COMPUTED_VALUE"""),"IN")</f>
        <v>IN</v>
      </c>
      <c r="R114" s="5" t="str">
        <f ca="1">IFERROR(__xludf.DUMMYFUNCTION("""COMPUTED_VALUE"""),"High")</f>
        <v>High</v>
      </c>
      <c r="S114" s="5" t="str">
        <f ca="1">IFERROR(__xludf.DUMMYFUNCTION("""COMPUTED_VALUE"""),"Classroom")</f>
        <v>Classroom</v>
      </c>
      <c r="T114" s="5" t="str">
        <f ca="1">IFERROR(__xludf.DUMMYFUNCTION("""COMPUTED_VALUE"""),"Inside School Building")</f>
        <v>Inside School Building</v>
      </c>
      <c r="U114" s="5" t="str">
        <f ca="1">IFERROR(__xludf.DUMMYFUNCTION("""COMPUTED_VALUE"""),"Yes")</f>
        <v>Yes</v>
      </c>
      <c r="V114" s="5" t="str">
        <f ca="1">IFERROR(__xludf.DUMMYFUNCTION("""COMPUTED_VALUE"""),"Morning Classes")</f>
        <v>Morning Classes</v>
      </c>
      <c r="W114" s="10">
        <f ca="1">IFERROR(__xludf.DUMMYFUNCTION("""COMPUTED_VALUE"""),0.399305555555555)</f>
        <v>0.39930555555555503</v>
      </c>
      <c r="X114" s="5">
        <f ca="1">IFERROR(__xludf.DUMMYFUNCTION("""COMPUTED_VALUE"""),1)</f>
        <v>1</v>
      </c>
      <c r="Y114" s="5" t="str">
        <f ca="1">IFERROR(__xludf.DUMMYFUNCTION("""COMPUTED_VALUE"""),"Officer fired gun during training scenario wounding student")</f>
        <v>Officer fired gun during training scenario wounding student</v>
      </c>
      <c r="Z114" s="5" t="str">
        <f ca="1">IFERROR(__xludf.DUMMYFUNCTION("""COMPUTED_VALUE"""),"A high school student in Indiana was shot in class Thursday when a police officer's gun accidentally fired during a drill. Indiana State Police said at 9:35 a.m., 19-year veteran Vermillion County, Indiana Sheriff's Deputy Tim DisPennett was teaching a la"&amp;"w enforcement class at South Vermillion High School – located in Clinton, Indiana about 90 miles west of Indianapolis. During the class, DisPennett's gun accidentally went off and a student was struck, state police said. The student was rushed to a hospit"&amp;"al near Terre Haute with non-life-threatening injuries.")</f>
        <v>A high school student in Indiana was shot in class Thursday when a police officer's gun accidentally fired during a drill. Indiana State Police said at 9:35 a.m., 19-year veteran Vermillion County, Indiana Sheriff's Deputy Tim DisPennett was teaching a law enforcement class at South Vermillion High School – located in Clinton, Indiana about 90 miles west of Indianapolis. During the class, DisPennett's gun accidentally went off and a student was struck, state police said. The student was rushed to a hospital near Terre Haute with non-life-threatening injuries.</v>
      </c>
      <c r="AA114" s="5" t="str">
        <f ca="1">IFERROR(__xludf.DUMMYFUNCTION("""COMPUTED_VALUE"""),"Accidental")</f>
        <v>Accidental</v>
      </c>
      <c r="AB114" s="5" t="str">
        <f ca="1">IFERROR(__xludf.DUMMYFUNCTION("""COMPUTED_VALUE"""),"Neither")</f>
        <v>Neither</v>
      </c>
      <c r="AC114" s="5" t="str">
        <f ca="1">IFERROR(__xludf.DUMMYFUNCTION("""COMPUTED_VALUE"""),"No")</f>
        <v>No</v>
      </c>
      <c r="AD114" s="5" t="str">
        <f ca="1">IFERROR(__xludf.DUMMYFUNCTION("""COMPUTED_VALUE"""),"No")</f>
        <v>No</v>
      </c>
      <c r="AE114" s="5" t="str">
        <f ca="1">IFERROR(__xludf.DUMMYFUNCTION("""COMPUTED_VALUE"""),"No")</f>
        <v>No</v>
      </c>
      <c r="AF114" s="5" t="str">
        <f ca="1">IFERROR(__xludf.DUMMYFUNCTION("""COMPUTED_VALUE"""),"Yes")</f>
        <v>Yes</v>
      </c>
      <c r="AG114" s="5" t="str">
        <f ca="1">IFERROR(__xludf.DUMMYFUNCTION("""COMPUTED_VALUE"""),"No")</f>
        <v>No</v>
      </c>
      <c r="AH114" s="5" t="str">
        <f ca="1">IFERROR(__xludf.DUMMYFUNCTION("""COMPUTED_VALUE"""),"No")</f>
        <v>No</v>
      </c>
      <c r="AI114" s="5" t="str">
        <f ca="1">IFERROR(__xludf.DUMMYFUNCTION("""COMPUTED_VALUE"""),"No")</f>
        <v>No</v>
      </c>
      <c r="AJ114" s="5" t="str">
        <f ca="1">IFERROR(__xludf.DUMMYFUNCTION("""COMPUTED_VALUE"""),"No")</f>
        <v>No</v>
      </c>
    </row>
    <row r="115" spans="1:36" ht="13">
      <c r="A115" s="5" t="str">
        <f ca="1">IFERROR(__xludf.DUMMYFUNCTION("""COMPUTED_VALUE"""),"20221116ORMCM")</f>
        <v>20221116ORMCM</v>
      </c>
      <c r="B115" s="5">
        <f ca="1">IFERROR(__xludf.DUMMYFUNCTION("""COMPUTED_VALUE"""),11)</f>
        <v>11</v>
      </c>
      <c r="C115" s="5">
        <f ca="1">IFERROR(__xludf.DUMMYFUNCTION("""COMPUTED_VALUE"""),16)</f>
        <v>16</v>
      </c>
      <c r="D115" s="5">
        <f ca="1">IFERROR(__xludf.DUMMYFUNCTION("""COMPUTED_VALUE"""),2022)</f>
        <v>2022</v>
      </c>
      <c r="E115" s="8">
        <f ca="1">IFERROR(__xludf.DUMMYFUNCTION("""COMPUTED_VALUE"""),44881)</f>
        <v>44881</v>
      </c>
      <c r="F115" s="5" t="str">
        <f ca="1">IFERROR(__xludf.DUMMYFUNCTION("""COMPUTED_VALUE"""),"McMinnville High School")</f>
        <v>McMinnville High School</v>
      </c>
      <c r="G115" s="5">
        <f ca="1">IFERROR(__xludf.DUMMYFUNCTION("""COMPUTED_VALUE"""),0)</f>
        <v>0</v>
      </c>
      <c r="H115" s="5">
        <f ca="1">IFERROR(__xludf.DUMMYFUNCTION("""COMPUTED_VALUE"""),0)</f>
        <v>0</v>
      </c>
      <c r="I115" s="5">
        <f ca="1">IFERROR(__xludf.DUMMYFUNCTION("""COMPUTED_VALUE"""),0)</f>
        <v>0</v>
      </c>
      <c r="J115" s="5">
        <f ca="1">IFERROR(__xludf.DUMMYFUNCTION("""COMPUTED_VALUE"""),0)</f>
        <v>0</v>
      </c>
      <c r="K115" s="9" t="str">
        <f ca="1">IFERROR(__xludf.DUMMYFUNCTION("""COMPUTED_VALUE"""),"https://katu.com/news/local/police-investigate-shooting-near-mcminnville-high-school")</f>
        <v>https://katu.com/news/local/police-investigate-shooting-near-mcminnville-high-school</v>
      </c>
      <c r="L115" s="5">
        <f ca="1">IFERROR(__xludf.DUMMYFUNCTION("""COMPUTED_VALUE"""),10)</f>
        <v>10</v>
      </c>
      <c r="M115" s="5" t="str">
        <f ca="1">IFERROR(__xludf.DUMMYFUNCTION("""COMPUTED_VALUE"""),"Regional")</f>
        <v>Regional</v>
      </c>
      <c r="N115" s="5">
        <f ca="1">IFERROR(__xludf.DUMMYFUNCTION("""COMPUTED_VALUE"""),4)</f>
        <v>4</v>
      </c>
      <c r="O115" s="5" t="str">
        <f ca="1">IFERROR(__xludf.DUMMYFUNCTION("""COMPUTED_VALUE"""),"Fall")</f>
        <v>Fall</v>
      </c>
      <c r="P115" s="5" t="str">
        <f ca="1">IFERROR(__xludf.DUMMYFUNCTION("""COMPUTED_VALUE"""),"McMinnville")</f>
        <v>McMinnville</v>
      </c>
      <c r="Q115" s="5" t="str">
        <f ca="1">IFERROR(__xludf.DUMMYFUNCTION("""COMPUTED_VALUE"""),"OR")</f>
        <v>OR</v>
      </c>
      <c r="R115" s="5" t="str">
        <f ca="1">IFERROR(__xludf.DUMMYFUNCTION("""COMPUTED_VALUE"""),"High")</f>
        <v>High</v>
      </c>
      <c r="S115" s="5" t="str">
        <f ca="1">IFERROR(__xludf.DUMMYFUNCTION("""COMPUTED_VALUE"""),"Front of School")</f>
        <v>Front of School</v>
      </c>
      <c r="T115" s="5" t="str">
        <f ca="1">IFERROR(__xludf.DUMMYFUNCTION("""COMPUTED_VALUE"""),"Outside on School Property")</f>
        <v>Outside on School Property</v>
      </c>
      <c r="U115" s="5" t="str">
        <f ca="1">IFERROR(__xludf.DUMMYFUNCTION("""COMPUTED_VALUE"""),"No")</f>
        <v>No</v>
      </c>
      <c r="V115" s="5" t="str">
        <f ca="1">IFERROR(__xludf.DUMMYFUNCTION("""COMPUTED_VALUE"""),"Before School")</f>
        <v>Before School</v>
      </c>
      <c r="W115" s="10">
        <f ca="1">IFERROR(__xludf.DUMMYFUNCTION("""COMPUTED_VALUE"""),0.25)</f>
        <v>0.25</v>
      </c>
      <c r="X115" s="5">
        <f ca="1">IFERROR(__xludf.DUMMYFUNCTION("""COMPUTED_VALUE"""),1)</f>
        <v>1</v>
      </c>
      <c r="Y115" s="5" t="str">
        <f ca="1">IFERROR(__xludf.DUMMYFUNCTION("""COMPUTED_VALUE"""),"School building shot multiple times, classes cancelled")</f>
        <v>School building shot multiple times, classes cancelled</v>
      </c>
      <c r="Z115" s="5" t="str">
        <f ca="1">IFERROR(__xludf.DUMMYFUNCTION("""COMPUTED_VALUE"""),"Police began receiving calls about gunshots fired from people living near the school at around 6 a.m. The school was not in session at the time, so no students were in or around the building, although responding officers found that bullets had struck the "&amp;"school building. They also found shell casings nearby. The police department quickly communicated with McMinnville School District staff, and it was decided that classes would be canceled for the day so authorities could fully investigate.")</f>
        <v>Police began receiving calls about gunshots fired from people living near the school at around 6 a.m. The school was not in session at the time, so no students were in or around the building, although responding officers found that bullets had struck the school building. They also found shell casings nearby. The police department quickly communicated with McMinnville School District staff, and it was decided that classes would be canceled for the day so authorities could fully investigate.</v>
      </c>
      <c r="AA115" s="5" t="str">
        <f ca="1">IFERROR(__xludf.DUMMYFUNCTION("""COMPUTED_VALUE"""),"Intentional Property Damage")</f>
        <v>Intentional Property Damage</v>
      </c>
      <c r="AB115" s="5" t="str">
        <f ca="1">IFERROR(__xludf.DUMMYFUNCTION("""COMPUTED_VALUE"""),"Neither")</f>
        <v>Neither</v>
      </c>
      <c r="AC115" s="5"/>
      <c r="AD115" s="5" t="str">
        <f ca="1">IFERROR(__xludf.DUMMYFUNCTION("""COMPUTED_VALUE"""),"No")</f>
        <v>No</v>
      </c>
      <c r="AE115" s="5" t="str">
        <f ca="1">IFERROR(__xludf.DUMMYFUNCTION("""COMPUTED_VALUE"""),"No")</f>
        <v>No</v>
      </c>
      <c r="AF115" s="5" t="str">
        <f ca="1">IFERROR(__xludf.DUMMYFUNCTION("""COMPUTED_VALUE"""),"No")</f>
        <v>No</v>
      </c>
      <c r="AG115" s="5" t="str">
        <f ca="1">IFERROR(__xludf.DUMMYFUNCTION("""COMPUTED_VALUE"""),"No")</f>
        <v>No</v>
      </c>
      <c r="AH115" s="5" t="str">
        <f ca="1">IFERROR(__xludf.DUMMYFUNCTION("""COMPUTED_VALUE"""),"No")</f>
        <v>No</v>
      </c>
      <c r="AI115" s="5" t="str">
        <f ca="1">IFERROR(__xludf.DUMMYFUNCTION("""COMPUTED_VALUE"""),"No")</f>
        <v>No</v>
      </c>
      <c r="AJ115" s="5" t="str">
        <f ca="1">IFERROR(__xludf.DUMMYFUNCTION("""COMPUTED_VALUE"""),"No")</f>
        <v>No</v>
      </c>
    </row>
    <row r="116" spans="1:36" ht="13">
      <c r="A116" s="5" t="str">
        <f ca="1">IFERROR(__xludf.DUMMYFUNCTION("""COMPUTED_VALUE"""),"20221116NCLUL")</f>
        <v>20221116NCLUL</v>
      </c>
      <c r="B116" s="5">
        <f ca="1">IFERROR(__xludf.DUMMYFUNCTION("""COMPUTED_VALUE"""),11)</f>
        <v>11</v>
      </c>
      <c r="C116" s="5">
        <f ca="1">IFERROR(__xludf.DUMMYFUNCTION("""COMPUTED_VALUE"""),16)</f>
        <v>16</v>
      </c>
      <c r="D116" s="5">
        <f ca="1">IFERROR(__xludf.DUMMYFUNCTION("""COMPUTED_VALUE"""),2022)</f>
        <v>2022</v>
      </c>
      <c r="E116" s="8">
        <f ca="1">IFERROR(__xludf.DUMMYFUNCTION("""COMPUTED_VALUE"""),44881)</f>
        <v>44881</v>
      </c>
      <c r="F116" s="5" t="str">
        <f ca="1">IFERROR(__xludf.DUMMYFUNCTION("""COMPUTED_VALUE"""),"Lumberton High School")</f>
        <v>Lumberton High School</v>
      </c>
      <c r="G116" s="5">
        <f ca="1">IFERROR(__xludf.DUMMYFUNCTION("""COMPUTED_VALUE"""),0)</f>
        <v>0</v>
      </c>
      <c r="H116" s="5">
        <f ca="1">IFERROR(__xludf.DUMMYFUNCTION("""COMPUTED_VALUE"""),1)</f>
        <v>1</v>
      </c>
      <c r="I116" s="5">
        <f ca="1">IFERROR(__xludf.DUMMYFUNCTION("""COMPUTED_VALUE"""),1)</f>
        <v>1</v>
      </c>
      <c r="J116" s="5">
        <f ca="1">IFERROR(__xludf.DUMMYFUNCTION("""COMPUTED_VALUE"""),0)</f>
        <v>0</v>
      </c>
      <c r="K116" s="5" t="str">
        <f ca="1">IFERROR(__xludf.DUMMYFUNCTION("""COMPUTED_VALUE"""),"https://wpde.com/news/local/police-investigating-incident-at-lumberton-football-game
https://abc11.com/shooting-lumberton-senior-high-school-football-stadium/12461598/")</f>
        <v>https://wpde.com/news/local/police-investigating-incident-at-lumberton-football-game
https://abc11.com/shooting-lumberton-senior-high-school-football-stadium/12461598/</v>
      </c>
      <c r="L116" s="5">
        <f ca="1">IFERROR(__xludf.DUMMYFUNCTION("""COMPUTED_VALUE"""),5)</f>
        <v>5</v>
      </c>
      <c r="M116" s="5" t="str">
        <f ca="1">IFERROR(__xludf.DUMMYFUNCTION("""COMPUTED_VALUE"""),"Regional")</f>
        <v>Regional</v>
      </c>
      <c r="N116" s="5">
        <f ca="1">IFERROR(__xludf.DUMMYFUNCTION("""COMPUTED_VALUE"""),4)</f>
        <v>4</v>
      </c>
      <c r="O116" s="5" t="str">
        <f ca="1">IFERROR(__xludf.DUMMYFUNCTION("""COMPUTED_VALUE"""),"Fall")</f>
        <v>Fall</v>
      </c>
      <c r="P116" s="5" t="str">
        <f ca="1">IFERROR(__xludf.DUMMYFUNCTION("""COMPUTED_VALUE"""),"Lumberton")</f>
        <v>Lumberton</v>
      </c>
      <c r="Q116" s="5" t="str">
        <f ca="1">IFERROR(__xludf.DUMMYFUNCTION("""COMPUTED_VALUE"""),"NC")</f>
        <v>NC</v>
      </c>
      <c r="R116" s="5" t="str">
        <f ca="1">IFERROR(__xludf.DUMMYFUNCTION("""COMPUTED_VALUE"""),"High")</f>
        <v>High</v>
      </c>
      <c r="S116" s="5" t="str">
        <f ca="1">IFERROR(__xludf.DUMMYFUNCTION("""COMPUTED_VALUE"""),"Parking Lot")</f>
        <v>Parking Lot</v>
      </c>
      <c r="T116" s="5" t="str">
        <f ca="1">IFERROR(__xludf.DUMMYFUNCTION("""COMPUTED_VALUE"""),"Outside on School Property")</f>
        <v>Outside on School Property</v>
      </c>
      <c r="U116" s="5" t="str">
        <f ca="1">IFERROR(__xludf.DUMMYFUNCTION("""COMPUTED_VALUE"""),"No")</f>
        <v>No</v>
      </c>
      <c r="V116" s="5" t="str">
        <f ca="1">IFERROR(__xludf.DUMMYFUNCTION("""COMPUTED_VALUE"""),"Sport Event")</f>
        <v>Sport Event</v>
      </c>
      <c r="W116" s="10">
        <f ca="1">IFERROR(__xludf.DUMMYFUNCTION("""COMPUTED_VALUE"""),0.833333333333333)</f>
        <v>0.83333333333333304</v>
      </c>
      <c r="X116" s="5">
        <f ca="1">IFERROR(__xludf.DUMMYFUNCTION("""COMPUTED_VALUE"""),1)</f>
        <v>1</v>
      </c>
      <c r="Y116" s="5" t="str">
        <f ca="1">IFERROR(__xludf.DUMMYFUNCTION("""COMPUTED_VALUE"""),"Woman shot in parking lot outside football field during game")</f>
        <v>Woman shot in parking lot outside football field during game</v>
      </c>
      <c r="Z116" s="5" t="str">
        <f ca="1">IFERROR(__xludf.DUMMYFUNCTION("""COMPUTED_VALUE"""),"Lumberton police responded to calls about a shooting at a football stadium at Lumberton Senior High School just before 8 p.m. Upon arrival, officers found a 41-year-old woman with a gunshot wound in the parking lot at the front of the stadium. The woman w"&amp;"as airlifted to the hospital with life-threatening injuries. According to police, bystanders reported hearing multiple gunshots and they described the suspect as a person wearing all black.")</f>
        <v>Lumberton police responded to calls about a shooting at a football stadium at Lumberton Senior High School just before 8 p.m. Upon arrival, officers found a 41-year-old woman with a gunshot wound in the parking lot at the front of the stadium. The woman was airlifted to the hospital with life-threatening injuries. According to police, bystanders reported hearing multiple gunshots and they described the suspect as a person wearing all black.</v>
      </c>
      <c r="AA116" s="5"/>
      <c r="AB116" s="5" t="str">
        <f ca="1">IFERROR(__xludf.DUMMYFUNCTION("""COMPUTED_VALUE"""),"Victims Targeted")</f>
        <v>Victims Targeted</v>
      </c>
      <c r="AC116" s="5" t="str">
        <f ca="1">IFERROR(__xludf.DUMMYFUNCTION("""COMPUTED_VALUE"""),"No")</f>
        <v>No</v>
      </c>
      <c r="AD116" s="5" t="str">
        <f ca="1">IFERROR(__xludf.DUMMYFUNCTION("""COMPUTED_VALUE"""),"No")</f>
        <v>No</v>
      </c>
      <c r="AE116" s="5" t="str">
        <f ca="1">IFERROR(__xludf.DUMMYFUNCTION("""COMPUTED_VALUE"""),"No")</f>
        <v>No</v>
      </c>
      <c r="AF116" s="5" t="str">
        <f ca="1">IFERROR(__xludf.DUMMYFUNCTION("""COMPUTED_VALUE"""),"No")</f>
        <v>No</v>
      </c>
      <c r="AG116" s="5" t="str">
        <f ca="1">IFERROR(__xludf.DUMMYFUNCTION("""COMPUTED_VALUE"""),"No")</f>
        <v>No</v>
      </c>
      <c r="AH116" s="5"/>
      <c r="AI116" s="5"/>
      <c r="AJ116" s="5" t="str">
        <f ca="1">IFERROR(__xludf.DUMMYFUNCTION("""COMPUTED_VALUE"""),"No")</f>
        <v>No</v>
      </c>
    </row>
    <row r="117" spans="1:36" ht="13">
      <c r="A117" s="5" t="str">
        <f ca="1">IFERROR(__xludf.DUMMYFUNCTION("""COMPUTED_VALUE"""),"20221115TNMAN")</f>
        <v>20221115TNMAN</v>
      </c>
      <c r="B117" s="5">
        <f ca="1">IFERROR(__xludf.DUMMYFUNCTION("""COMPUTED_VALUE"""),11)</f>
        <v>11</v>
      </c>
      <c r="C117" s="5">
        <f ca="1">IFERROR(__xludf.DUMMYFUNCTION("""COMPUTED_VALUE"""),15)</f>
        <v>15</v>
      </c>
      <c r="D117" s="5">
        <f ca="1">IFERROR(__xludf.DUMMYFUNCTION("""COMPUTED_VALUE"""),2022)</f>
        <v>2022</v>
      </c>
      <c r="E117" s="8">
        <f ca="1">IFERROR(__xludf.DUMMYFUNCTION("""COMPUTED_VALUE"""),44880)</f>
        <v>44880</v>
      </c>
      <c r="F117" s="5" t="str">
        <f ca="1">IFERROR(__xludf.DUMMYFUNCTION("""COMPUTED_VALUE"""),"Martin Luther King Jr. Magnet High School")</f>
        <v>Martin Luther King Jr. Magnet High School</v>
      </c>
      <c r="G117" s="5">
        <f ca="1">IFERROR(__xludf.DUMMYFUNCTION("""COMPUTED_VALUE"""),1)</f>
        <v>1</v>
      </c>
      <c r="H117" s="5">
        <f ca="1">IFERROR(__xludf.DUMMYFUNCTION("""COMPUTED_VALUE"""),0)</f>
        <v>0</v>
      </c>
      <c r="I117" s="5">
        <f ca="1">IFERROR(__xludf.DUMMYFUNCTION("""COMPUTED_VALUE"""),1)</f>
        <v>1</v>
      </c>
      <c r="J117" s="5">
        <f ca="1">IFERROR(__xludf.DUMMYFUNCTION("""COMPUTED_VALUE"""),0)</f>
        <v>0</v>
      </c>
      <c r="K117" s="9" t="str">
        <f ca="1">IFERROR(__xludf.DUMMYFUNCTION("""COMPUTED_VALUE"""),"https://fox17.com/news/local/19-year-old-female-killed-in-shooting
https://www.wsmv.com/2022/11/15/metro-police-investigating-after-19-year-old-shot-killed/")</f>
        <v>https://fox17.com/news/local/19-year-old-female-killed-in-shooting
https://www.wsmv.com/2022/11/15/metro-police-investigating-after-19-year-old-shot-killed/</v>
      </c>
      <c r="L117" s="5">
        <f ca="1">IFERROR(__xludf.DUMMYFUNCTION("""COMPUTED_VALUE"""),5)</f>
        <v>5</v>
      </c>
      <c r="M117" s="5" t="str">
        <f ca="1">IFERROR(__xludf.DUMMYFUNCTION("""COMPUTED_VALUE"""),"Local")</f>
        <v>Local</v>
      </c>
      <c r="N117" s="5">
        <f ca="1">IFERROR(__xludf.DUMMYFUNCTION("""COMPUTED_VALUE"""),4)</f>
        <v>4</v>
      </c>
      <c r="O117" s="5" t="str">
        <f ca="1">IFERROR(__xludf.DUMMYFUNCTION("""COMPUTED_VALUE"""),"Fall")</f>
        <v>Fall</v>
      </c>
      <c r="P117" s="5" t="str">
        <f ca="1">IFERROR(__xludf.DUMMYFUNCTION("""COMPUTED_VALUE"""),"Nashville")</f>
        <v>Nashville</v>
      </c>
      <c r="Q117" s="5" t="str">
        <f ca="1">IFERROR(__xludf.DUMMYFUNCTION("""COMPUTED_VALUE"""),"TN")</f>
        <v>TN</v>
      </c>
      <c r="R117" s="5" t="str">
        <f ca="1">IFERROR(__xludf.DUMMYFUNCTION("""COMPUTED_VALUE"""),"High")</f>
        <v>High</v>
      </c>
      <c r="S117" s="5" t="str">
        <f ca="1">IFERROR(__xludf.DUMMYFUNCTION("""COMPUTED_VALUE"""),"Parking Lot")</f>
        <v>Parking Lot</v>
      </c>
      <c r="T117" s="5" t="str">
        <f ca="1">IFERROR(__xludf.DUMMYFUNCTION("""COMPUTED_VALUE"""),"Outside on School Property")</f>
        <v>Outside on School Property</v>
      </c>
      <c r="U117" s="5" t="str">
        <f ca="1">IFERROR(__xludf.DUMMYFUNCTION("""COMPUTED_VALUE"""),"No")</f>
        <v>No</v>
      </c>
      <c r="V117" s="5" t="str">
        <f ca="1">IFERROR(__xludf.DUMMYFUNCTION("""COMPUTED_VALUE"""),"Evening")</f>
        <v>Evening</v>
      </c>
      <c r="W117" s="10">
        <f ca="1">IFERROR(__xludf.DUMMYFUNCTION("""COMPUTED_VALUE"""),0.791666666666666)</f>
        <v>0.79166666666666596</v>
      </c>
      <c r="X117" s="5">
        <f ca="1">IFERROR(__xludf.DUMMYFUNCTION("""COMPUTED_VALUE"""),1)</f>
        <v>1</v>
      </c>
      <c r="Y117" s="5" t="str">
        <f ca="1">IFERROR(__xludf.DUMMYFUNCTION("""COMPUTED_VALUE"""),"19-year-old woman killed when shots were fired during fight in parking lot")</f>
        <v>19-year-old woman killed when shots were fired during fight in parking lot</v>
      </c>
      <c r="Z117" s="5" t="str">
        <f ca="1">IFERROR(__xludf.DUMMYFUNCTION("""COMPUTED_VALUE"""),"Witnesses said two females were fighting in the school parking lot, police said, when a small crowd surrounded them, and a man fired several rounds into the air and then into the group. The suspect reportedly left in a dark colored sedan as he continued t"&amp;"o fire rounds at another group, police said. According to a worker at the school, a play rehearsal was happening inside the high school when the shots rang out across the street.")</f>
        <v>Witnesses said two females were fighting in the school parking lot, police said, when a small crowd surrounded them, and a man fired several rounds into the air and then into the group. The suspect reportedly left in a dark colored sedan as he continued to fire rounds at another group, police said. According to a worker at the school, a play rehearsal was happening inside the high school when the shots rang out across the street.</v>
      </c>
      <c r="AA117" s="5" t="str">
        <f ca="1">IFERROR(__xludf.DUMMYFUNCTION("""COMPUTED_VALUE"""),"Escalation of Dispute")</f>
        <v>Escalation of Dispute</v>
      </c>
      <c r="AB117" s="5" t="str">
        <f ca="1">IFERROR(__xludf.DUMMYFUNCTION("""COMPUTED_VALUE"""),"Victims Targeted")</f>
        <v>Victims Targeted</v>
      </c>
      <c r="AC117" s="5" t="str">
        <f ca="1">IFERROR(__xludf.DUMMYFUNCTION("""COMPUTED_VALUE"""),"No")</f>
        <v>No</v>
      </c>
      <c r="AD117" s="5" t="str">
        <f ca="1">IFERROR(__xludf.DUMMYFUNCTION("""COMPUTED_VALUE"""),"No")</f>
        <v>No</v>
      </c>
      <c r="AE117" s="5" t="str">
        <f ca="1">IFERROR(__xludf.DUMMYFUNCTION("""COMPUTED_VALUE"""),"No")</f>
        <v>No</v>
      </c>
      <c r="AF117" s="5" t="str">
        <f ca="1">IFERROR(__xludf.DUMMYFUNCTION("""COMPUTED_VALUE"""),"No")</f>
        <v>No</v>
      </c>
      <c r="AG117" s="5" t="str">
        <f ca="1">IFERROR(__xludf.DUMMYFUNCTION("""COMPUTED_VALUE"""),"No")</f>
        <v>No</v>
      </c>
      <c r="AH117" s="5" t="str">
        <f ca="1">IFERROR(__xludf.DUMMYFUNCTION("""COMPUTED_VALUE"""),"No")</f>
        <v>No</v>
      </c>
      <c r="AI117" s="5" t="str">
        <f ca="1">IFERROR(__xludf.DUMMYFUNCTION("""COMPUTED_VALUE"""),"No")</f>
        <v>No</v>
      </c>
      <c r="AJ117" s="5" t="str">
        <f ca="1">IFERROR(__xludf.DUMMYFUNCTION("""COMPUTED_VALUE"""),"No")</f>
        <v>No</v>
      </c>
    </row>
    <row r="118" spans="1:36" ht="13">
      <c r="A118" s="5" t="str">
        <f ca="1">IFERROR(__xludf.DUMMYFUNCTION("""COMPUTED_VALUE"""),"20221115LABAB")</f>
        <v>20221115LABAB</v>
      </c>
      <c r="B118" s="5">
        <f ca="1">IFERROR(__xludf.DUMMYFUNCTION("""COMPUTED_VALUE"""),11)</f>
        <v>11</v>
      </c>
      <c r="C118" s="5">
        <f ca="1">IFERROR(__xludf.DUMMYFUNCTION("""COMPUTED_VALUE"""),15)</f>
        <v>15</v>
      </c>
      <c r="D118" s="5">
        <f ca="1">IFERROR(__xludf.DUMMYFUNCTION("""COMPUTED_VALUE"""),2022)</f>
        <v>2022</v>
      </c>
      <c r="E118" s="8">
        <f ca="1">IFERROR(__xludf.DUMMYFUNCTION("""COMPUTED_VALUE"""),44880)</f>
        <v>44880</v>
      </c>
      <c r="F118" s="5" t="str">
        <f ca="1">IFERROR(__xludf.DUMMYFUNCTION("""COMPUTED_VALUE"""),"Ball Elementary School")</f>
        <v>Ball Elementary School</v>
      </c>
      <c r="G118" s="5">
        <f ca="1">IFERROR(__xludf.DUMMYFUNCTION("""COMPUTED_VALUE"""),0)</f>
        <v>0</v>
      </c>
      <c r="H118" s="5">
        <f ca="1">IFERROR(__xludf.DUMMYFUNCTION("""COMPUTED_VALUE"""),2)</f>
        <v>2</v>
      </c>
      <c r="I118" s="5">
        <f ca="1">IFERROR(__xludf.DUMMYFUNCTION("""COMPUTED_VALUE"""),2)</f>
        <v>2</v>
      </c>
      <c r="J118" s="5">
        <f ca="1">IFERROR(__xludf.DUMMYFUNCTION("""COMPUTED_VALUE"""),0)</f>
        <v>0</v>
      </c>
      <c r="K118" s="9" t="str">
        <f ca="1">IFERROR(__xludf.DUMMYFUNCTION("""COMPUTED_VALUE"""),"https://www.kalb.com/2022/11/15/2-people-shot-near-camp-livingston-road-ball/")</f>
        <v>https://www.kalb.com/2022/11/15/2-people-shot-near-camp-livingston-road-ball/</v>
      </c>
      <c r="L118" s="5">
        <f ca="1">IFERROR(__xludf.DUMMYFUNCTION("""COMPUTED_VALUE"""),1)</f>
        <v>1</v>
      </c>
      <c r="M118" s="5" t="str">
        <f ca="1">IFERROR(__xludf.DUMMYFUNCTION("""COMPUTED_VALUE"""),"Local")</f>
        <v>Local</v>
      </c>
      <c r="N118" s="5">
        <f ca="1">IFERROR(__xludf.DUMMYFUNCTION("""COMPUTED_VALUE"""),4)</f>
        <v>4</v>
      </c>
      <c r="O118" s="5" t="str">
        <f ca="1">IFERROR(__xludf.DUMMYFUNCTION("""COMPUTED_VALUE"""),"Fall")</f>
        <v>Fall</v>
      </c>
      <c r="P118" s="5" t="str">
        <f ca="1">IFERROR(__xludf.DUMMYFUNCTION("""COMPUTED_VALUE"""),"Ball")</f>
        <v>Ball</v>
      </c>
      <c r="Q118" s="5" t="str">
        <f ca="1">IFERROR(__xludf.DUMMYFUNCTION("""COMPUTED_VALUE"""),"LA")</f>
        <v>LA</v>
      </c>
      <c r="R118" s="5" t="str">
        <f ca="1">IFERROR(__xludf.DUMMYFUNCTION("""COMPUTED_VALUE"""),"Elementary")</f>
        <v>Elementary</v>
      </c>
      <c r="S118" s="5" t="str">
        <f ca="1">IFERROR(__xludf.DUMMYFUNCTION("""COMPUTED_VALUE"""),"Parking Lot")</f>
        <v>Parking Lot</v>
      </c>
      <c r="T118" s="5" t="str">
        <f ca="1">IFERROR(__xludf.DUMMYFUNCTION("""COMPUTED_VALUE"""),"Outside on School Property")</f>
        <v>Outside on School Property</v>
      </c>
      <c r="U118" s="5" t="str">
        <f ca="1">IFERROR(__xludf.DUMMYFUNCTION("""COMPUTED_VALUE"""),"Yes")</f>
        <v>Yes</v>
      </c>
      <c r="V118" s="5" t="str">
        <f ca="1">IFERROR(__xludf.DUMMYFUNCTION("""COMPUTED_VALUE"""),"Afternoon Classes")</f>
        <v>Afternoon Classes</v>
      </c>
      <c r="W118" s="10">
        <f ca="1">IFERROR(__xludf.DUMMYFUNCTION("""COMPUTED_VALUE"""),0.559722222222222)</f>
        <v>0.55972222222222201</v>
      </c>
      <c r="X118" s="5">
        <f ca="1">IFERROR(__xludf.DUMMYFUNCTION("""COMPUTED_VALUE"""),1)</f>
        <v>1</v>
      </c>
      <c r="Y118" s="5" t="str">
        <f ca="1">IFERROR(__xludf.DUMMYFUNCTION("""COMPUTED_VALUE"""),"2 men shot in parking lot during afternoon classes, wounded man with gun attempted to enter school")</f>
        <v>2 men shot in parking lot during afternoon classes, wounded man with gun attempted to enter school</v>
      </c>
      <c r="Z118" s="5" t="str">
        <f ca="1">IFERROR(__xludf.DUMMYFUNCTION("""COMPUTED_VALUE"""),"The Ball Police Department said around 1:26 p.m., they responded to Ball Elementary School in reference to a person there with a gunshot wound. Officers arrived within minutes and made contact with the RPSO School Resource Officer, who had custody of a wh"&amp;"ite male with a gunshot wound in his arm. The SRO said the male came up to the school with a gunshot wound and was found to be armed. The SRO took him into custody and recovered a firearm. It was determined that two people, one being a juvenile, were cond"&amp;"ucting a drug deal in the school parking lot. An altercation happened where both people sustained non-life-threatening gunshot wounds. The juvenile was taken into custody, treated at a local hospital, then released and booked into the Renaissance Home for"&amp;" Youth. The other suspect remains in the hospital in the custody of officers.")</f>
        <v>The Ball Police Department said around 1:26 p.m., they responded to Ball Elementary School in reference to a person there with a gunshot wound. Officers arrived within minutes and made contact with the RPSO School Resource Officer, who had custody of a white male with a gunshot wound in his arm. The SRO said the male came up to the school with a gunshot wound and was found to be armed. The SRO took him into custody and recovered a firearm. It was determined that two people, one being a juvenile, were conducting a drug deal in the school parking lot. An altercation happened where both people sustained non-life-threatening gunshot wounds. The juvenile was taken into custody, treated at a local hospital, then released and booked into the Renaissance Home for Youth. The other suspect remains in the hospital in the custody of officers.</v>
      </c>
      <c r="AA118" s="5" t="str">
        <f ca="1">IFERROR(__xludf.DUMMYFUNCTION("""COMPUTED_VALUE"""),"Illegal Activity")</f>
        <v>Illegal Activity</v>
      </c>
      <c r="AB118" s="5" t="str">
        <f ca="1">IFERROR(__xludf.DUMMYFUNCTION("""COMPUTED_VALUE"""),"Victims Targeted")</f>
        <v>Victims Targeted</v>
      </c>
      <c r="AC118" s="5"/>
      <c r="AD118" s="5" t="str">
        <f ca="1">IFERROR(__xludf.DUMMYFUNCTION("""COMPUTED_VALUE"""),"No")</f>
        <v>No</v>
      </c>
      <c r="AE118" s="5" t="str">
        <f ca="1">IFERROR(__xludf.DUMMYFUNCTION("""COMPUTED_VALUE"""),"No")</f>
        <v>No</v>
      </c>
      <c r="AF118" s="5" t="str">
        <f ca="1">IFERROR(__xludf.DUMMYFUNCTION("""COMPUTED_VALUE"""),"No")</f>
        <v>No</v>
      </c>
      <c r="AG118" s="5" t="str">
        <f ca="1">IFERROR(__xludf.DUMMYFUNCTION("""COMPUTED_VALUE"""),"No")</f>
        <v>No</v>
      </c>
      <c r="AH118" s="5" t="str">
        <f ca="1">IFERROR(__xludf.DUMMYFUNCTION("""COMPUTED_VALUE"""),"No")</f>
        <v>No</v>
      </c>
      <c r="AI118" s="5"/>
      <c r="AJ118" s="5" t="str">
        <f ca="1">IFERROR(__xludf.DUMMYFUNCTION("""COMPUTED_VALUE"""),"No")</f>
        <v>No</v>
      </c>
    </row>
    <row r="119" spans="1:36" ht="13">
      <c r="A119" s="5" t="str">
        <f ca="1">IFERROR(__xludf.DUMMYFUNCTION("""COMPUTED_VALUE"""),"20221112FLJOO")</f>
        <v>20221112FLJOO</v>
      </c>
      <c r="B119" s="5">
        <f ca="1">IFERROR(__xludf.DUMMYFUNCTION("""COMPUTED_VALUE"""),11)</f>
        <v>11</v>
      </c>
      <c r="C119" s="5">
        <f ca="1">IFERROR(__xludf.DUMMYFUNCTION("""COMPUTED_VALUE"""),12)</f>
        <v>12</v>
      </c>
      <c r="D119" s="5">
        <f ca="1">IFERROR(__xludf.DUMMYFUNCTION("""COMPUTED_VALUE"""),2022)</f>
        <v>2022</v>
      </c>
      <c r="E119" s="8">
        <f ca="1">IFERROR(__xludf.DUMMYFUNCTION("""COMPUTED_VALUE"""),44877)</f>
        <v>44877</v>
      </c>
      <c r="F119" s="5" t="str">
        <f ca="1">IFERROR(__xludf.DUMMYFUNCTION("""COMPUTED_VALUE"""),"Jones High School")</f>
        <v>Jones High School</v>
      </c>
      <c r="G119" s="5">
        <f ca="1">IFERROR(__xludf.DUMMYFUNCTION("""COMPUTED_VALUE"""),1)</f>
        <v>1</v>
      </c>
      <c r="H119" s="5">
        <f ca="1">IFERROR(__xludf.DUMMYFUNCTION("""COMPUTED_VALUE"""),2)</f>
        <v>2</v>
      </c>
      <c r="I119" s="5">
        <f ca="1">IFERROR(__xludf.DUMMYFUNCTION("""COMPUTED_VALUE"""),3)</f>
        <v>3</v>
      </c>
      <c r="J119" s="5">
        <f ca="1">IFERROR(__xludf.DUMMYFUNCTION("""COMPUTED_VALUE"""),0)</f>
        <v>0</v>
      </c>
      <c r="K119" s="9" t="str">
        <f ca="1">IFERROR(__xludf.DUMMYFUNCTION("""COMPUTED_VALUE"""),"https://www.orlandosentinel.com/news/breaking-news/os-ne-jones-wekiva-playoff-game-disturbance-20221113-4zr37i7n2rbubkpejuld36q4wq-story.html
https://www.palmbeachpost.com/story/sports/high-school/2022/11/12/parking-lot-shooting-halts-high-school-football"&amp;"-playoff-game-orlando/10687560002/")</f>
        <v>https://www.orlandosentinel.com/news/breaking-news/os-ne-jones-wekiva-playoff-game-disturbance-20221113-4zr37i7n2rbubkpejuld36q4wq-story.html
https://www.palmbeachpost.com/story/sports/high-school/2022/11/12/parking-lot-shooting-halts-high-school-football-playoff-game-orlando/10687560002/</v>
      </c>
      <c r="L119" s="5">
        <f ca="1">IFERROR(__xludf.DUMMYFUNCTION("""COMPUTED_VALUE"""),10)</f>
        <v>10</v>
      </c>
      <c r="M119" s="5" t="str">
        <f ca="1">IFERROR(__xludf.DUMMYFUNCTION("""COMPUTED_VALUE"""),"Regional")</f>
        <v>Regional</v>
      </c>
      <c r="N119" s="5">
        <f ca="1">IFERROR(__xludf.DUMMYFUNCTION("""COMPUTED_VALUE"""),4)</f>
        <v>4</v>
      </c>
      <c r="O119" s="5" t="str">
        <f ca="1">IFERROR(__xludf.DUMMYFUNCTION("""COMPUTED_VALUE"""),"Fall")</f>
        <v>Fall</v>
      </c>
      <c r="P119" s="5" t="str">
        <f ca="1">IFERROR(__xludf.DUMMYFUNCTION("""COMPUTED_VALUE"""),"Orlando")</f>
        <v>Orlando</v>
      </c>
      <c r="Q119" s="5" t="str">
        <f ca="1">IFERROR(__xludf.DUMMYFUNCTION("""COMPUTED_VALUE"""),"FL")</f>
        <v>FL</v>
      </c>
      <c r="R119" s="5" t="str">
        <f ca="1">IFERROR(__xludf.DUMMYFUNCTION("""COMPUTED_VALUE"""),"High")</f>
        <v>High</v>
      </c>
      <c r="S119" s="5" t="str">
        <f ca="1">IFERROR(__xludf.DUMMYFUNCTION("""COMPUTED_VALUE"""),"Parking Lot")</f>
        <v>Parking Lot</v>
      </c>
      <c r="T119" s="5" t="str">
        <f ca="1">IFERROR(__xludf.DUMMYFUNCTION("""COMPUTED_VALUE"""),"Outside on School Property")</f>
        <v>Outside on School Property</v>
      </c>
      <c r="U119" s="5" t="str">
        <f ca="1">IFERROR(__xludf.DUMMYFUNCTION("""COMPUTED_VALUE"""),"No")</f>
        <v>No</v>
      </c>
      <c r="V119" s="5" t="str">
        <f ca="1">IFERROR(__xludf.DUMMYFUNCTION("""COMPUTED_VALUE"""),"Sport Event")</f>
        <v>Sport Event</v>
      </c>
      <c r="W119" s="10">
        <f ca="1">IFERROR(__xludf.DUMMYFUNCTION("""COMPUTED_VALUE"""),0.881944444444444)</f>
        <v>0.88194444444444398</v>
      </c>
      <c r="X119" s="5">
        <f ca="1">IFERROR(__xludf.DUMMYFUNCTION("""COMPUTED_VALUE"""),1)</f>
        <v>1</v>
      </c>
      <c r="Y119" s="5" t="str">
        <f ca="1">IFERROR(__xludf.DUMMYFUNCTION("""COMPUTED_VALUE"""),"3 men shot in parking lot next to stadium during high school playoff game")</f>
        <v>3 men shot in parking lot next to stadium during high school playoff game</v>
      </c>
      <c r="Z119" s="5" t="str">
        <f ca="1">IFERROR(__xludf.DUMMYFUNCTION("""COMPUTED_VALUE"""),"Shots fired in the parking lot with 1:40 remaining in the game. Fans evacuated the stadium and players took cover on the field. One man was killed and two were wounded near the fence between the parking lot and the stadium. Police arrested 4 people.")</f>
        <v>Shots fired in the parking lot with 1:40 remaining in the game. Fans evacuated the stadium and players took cover on the field. One man was killed and two were wounded near the fence between the parking lot and the stadium. Police arrested 4 people.</v>
      </c>
      <c r="AA119" s="5" t="str">
        <f ca="1">IFERROR(__xludf.DUMMYFUNCTION("""COMPUTED_VALUE"""),"Escalation of Dispute")</f>
        <v>Escalation of Dispute</v>
      </c>
      <c r="AB119" s="5" t="str">
        <f ca="1">IFERROR(__xludf.DUMMYFUNCTION("""COMPUTED_VALUE"""),"Victims Targeted")</f>
        <v>Victims Targeted</v>
      </c>
      <c r="AC119" s="5" t="str">
        <f ca="1">IFERROR(__xludf.DUMMYFUNCTION("""COMPUTED_VALUE"""),"Yes")</f>
        <v>Yes</v>
      </c>
      <c r="AD119" s="5" t="str">
        <f ca="1">IFERROR(__xludf.DUMMYFUNCTION("""COMPUTED_VALUE"""),"No")</f>
        <v>No</v>
      </c>
      <c r="AE119" s="5" t="str">
        <f ca="1">IFERROR(__xludf.DUMMYFUNCTION("""COMPUTED_VALUE"""),"No")</f>
        <v>No</v>
      </c>
      <c r="AF119" s="5" t="str">
        <f ca="1">IFERROR(__xludf.DUMMYFUNCTION("""COMPUTED_VALUE"""),"No")</f>
        <v>No</v>
      </c>
      <c r="AG119" s="5" t="str">
        <f ca="1">IFERROR(__xludf.DUMMYFUNCTION("""COMPUTED_VALUE"""),"No")</f>
        <v>No</v>
      </c>
      <c r="AH119" s="5" t="str">
        <f ca="1">IFERROR(__xludf.DUMMYFUNCTION("""COMPUTED_VALUE"""),"No")</f>
        <v>No</v>
      </c>
      <c r="AI119" s="5"/>
      <c r="AJ119" s="5" t="str">
        <f ca="1">IFERROR(__xludf.DUMMYFUNCTION("""COMPUTED_VALUE"""),"No")</f>
        <v>No</v>
      </c>
    </row>
    <row r="120" spans="1:36" ht="13">
      <c r="A120" s="5" t="str">
        <f ca="1">IFERROR(__xludf.DUMMYFUNCTION("""COMPUTED_VALUE"""),"20221111MSRAR")</f>
        <v>20221111MSRAR</v>
      </c>
      <c r="B120" s="5">
        <f ca="1">IFERROR(__xludf.DUMMYFUNCTION("""COMPUTED_VALUE"""),11)</f>
        <v>11</v>
      </c>
      <c r="C120" s="5">
        <f ca="1">IFERROR(__xludf.DUMMYFUNCTION("""COMPUTED_VALUE"""),11)</f>
        <v>11</v>
      </c>
      <c r="D120" s="5">
        <f ca="1">IFERROR(__xludf.DUMMYFUNCTION("""COMPUTED_VALUE"""),2022)</f>
        <v>2022</v>
      </c>
      <c r="E120" s="8">
        <f ca="1">IFERROR(__xludf.DUMMYFUNCTION("""COMPUTED_VALUE"""),44876)</f>
        <v>44876</v>
      </c>
      <c r="F120" s="5" t="str">
        <f ca="1">IFERROR(__xludf.DUMMYFUNCTION("""COMPUTED_VALUE"""),"Raymond High School")</f>
        <v>Raymond High School</v>
      </c>
      <c r="G120" s="5">
        <f ca="1">IFERROR(__xludf.DUMMYFUNCTION("""COMPUTED_VALUE"""),0)</f>
        <v>0</v>
      </c>
      <c r="H120" s="5">
        <f ca="1">IFERROR(__xludf.DUMMYFUNCTION("""COMPUTED_VALUE"""),1)</f>
        <v>1</v>
      </c>
      <c r="I120" s="5">
        <f ca="1">IFERROR(__xludf.DUMMYFUNCTION("""COMPUTED_VALUE"""),1)</f>
        <v>1</v>
      </c>
      <c r="J120" s="5">
        <f ca="1">IFERROR(__xludf.DUMMYFUNCTION("""COMPUTED_VALUE"""),0)</f>
        <v>0</v>
      </c>
      <c r="K120" s="9" t="str">
        <f ca="1">IFERROR(__xludf.DUMMYFUNCTION("""COMPUTED_VALUE"""),"https://www.wapt.com/article/hinds-county-sheriff-investigating-shooting-at-raymond-high-school/41941297#")</f>
        <v>https://www.wapt.com/article/hinds-county-sheriff-investigating-shooting-at-raymond-high-school/41941297#</v>
      </c>
      <c r="L120" s="5">
        <f ca="1">IFERROR(__xludf.DUMMYFUNCTION("""COMPUTED_VALUE"""),2)</f>
        <v>2</v>
      </c>
      <c r="M120" s="5" t="str">
        <f ca="1">IFERROR(__xludf.DUMMYFUNCTION("""COMPUTED_VALUE"""),"Local")</f>
        <v>Local</v>
      </c>
      <c r="N120" s="5">
        <f ca="1">IFERROR(__xludf.DUMMYFUNCTION("""COMPUTED_VALUE"""),4)</f>
        <v>4</v>
      </c>
      <c r="O120" s="5" t="str">
        <f ca="1">IFERROR(__xludf.DUMMYFUNCTION("""COMPUTED_VALUE"""),"Fall")</f>
        <v>Fall</v>
      </c>
      <c r="P120" s="5" t="str">
        <f ca="1">IFERROR(__xludf.DUMMYFUNCTION("""COMPUTED_VALUE"""),"Raymond")</f>
        <v>Raymond</v>
      </c>
      <c r="Q120" s="5" t="str">
        <f ca="1">IFERROR(__xludf.DUMMYFUNCTION("""COMPUTED_VALUE"""),"MS")</f>
        <v>MS</v>
      </c>
      <c r="R120" s="5" t="str">
        <f ca="1">IFERROR(__xludf.DUMMYFUNCTION("""COMPUTED_VALUE"""),"High")</f>
        <v>High</v>
      </c>
      <c r="S120" s="5" t="str">
        <f ca="1">IFERROR(__xludf.DUMMYFUNCTION("""COMPUTED_VALUE"""),"Parking Lot")</f>
        <v>Parking Lot</v>
      </c>
      <c r="T120" s="5" t="str">
        <f ca="1">IFERROR(__xludf.DUMMYFUNCTION("""COMPUTED_VALUE"""),"Outside on School Property")</f>
        <v>Outside on School Property</v>
      </c>
      <c r="U120" s="5" t="str">
        <f ca="1">IFERROR(__xludf.DUMMYFUNCTION("""COMPUTED_VALUE"""),"No")</f>
        <v>No</v>
      </c>
      <c r="V120" s="5" t="str">
        <f ca="1">IFERROR(__xludf.DUMMYFUNCTION("""COMPUTED_VALUE"""),"Sport Event")</f>
        <v>Sport Event</v>
      </c>
      <c r="W120" s="10">
        <f ca="1">IFERROR(__xludf.DUMMYFUNCTION("""COMPUTED_VALUE"""),0.916666666666666)</f>
        <v>0.91666666666666596</v>
      </c>
      <c r="X120" s="5">
        <f ca="1">IFERROR(__xludf.DUMMYFUNCTION("""COMPUTED_VALUE"""),1)</f>
        <v>1</v>
      </c>
      <c r="Y120" s="5" t="str">
        <f ca="1">IFERROR(__xludf.DUMMYFUNCTION("""COMPUTED_VALUE"""),"Man shot in parking lot after basketball game")</f>
        <v>Man shot in parking lot after basketball game</v>
      </c>
      <c r="Z120" s="5" t="str">
        <f ca="1">IFERROR(__xludf.DUMMYFUNCTION("""COMPUTED_VALUE"""),"21-year-old woman was shot in the parking lot after a high school basketball game. Shooter fled. Police do not believe she was the intended target.")</f>
        <v>21-year-old woman was shot in the parking lot after a high school basketball game. Shooter fled. Police do not believe she was the intended target.</v>
      </c>
      <c r="AA120" s="5"/>
      <c r="AB120" s="5" t="str">
        <f ca="1">IFERROR(__xludf.DUMMYFUNCTION("""COMPUTED_VALUE"""),"Both")</f>
        <v>Both</v>
      </c>
      <c r="AC120" s="5"/>
      <c r="AD120" s="5" t="str">
        <f ca="1">IFERROR(__xludf.DUMMYFUNCTION("""COMPUTED_VALUE"""),"No")</f>
        <v>No</v>
      </c>
      <c r="AE120" s="5" t="str">
        <f ca="1">IFERROR(__xludf.DUMMYFUNCTION("""COMPUTED_VALUE"""),"No")</f>
        <v>No</v>
      </c>
      <c r="AF120" s="5" t="str">
        <f ca="1">IFERROR(__xludf.DUMMYFUNCTION("""COMPUTED_VALUE"""),"No")</f>
        <v>No</v>
      </c>
      <c r="AG120" s="5" t="str">
        <f ca="1">IFERROR(__xludf.DUMMYFUNCTION("""COMPUTED_VALUE"""),"No")</f>
        <v>No</v>
      </c>
      <c r="AH120" s="5" t="str">
        <f ca="1">IFERROR(__xludf.DUMMYFUNCTION("""COMPUTED_VALUE"""),"No")</f>
        <v>No</v>
      </c>
      <c r="AI120" s="5"/>
      <c r="AJ120" s="5" t="str">
        <f ca="1">IFERROR(__xludf.DUMMYFUNCTION("""COMPUTED_VALUE"""),"No")</f>
        <v>No</v>
      </c>
    </row>
    <row r="121" spans="1:36" ht="13">
      <c r="A121" s="5" t="str">
        <f ca="1">IFERROR(__xludf.DUMMYFUNCTION("""COMPUTED_VALUE"""),"20221109KYCAC")</f>
        <v>20221109KYCAC</v>
      </c>
      <c r="B121" s="5">
        <f ca="1">IFERROR(__xludf.DUMMYFUNCTION("""COMPUTED_VALUE"""),11)</f>
        <v>11</v>
      </c>
      <c r="C121" s="5">
        <f ca="1">IFERROR(__xludf.DUMMYFUNCTION("""COMPUTED_VALUE"""),9)</f>
        <v>9</v>
      </c>
      <c r="D121" s="5">
        <f ca="1">IFERROR(__xludf.DUMMYFUNCTION("""COMPUTED_VALUE"""),2022)</f>
        <v>2022</v>
      </c>
      <c r="E121" s="8">
        <f ca="1">IFERROR(__xludf.DUMMYFUNCTION("""COMPUTED_VALUE"""),44874)</f>
        <v>44874</v>
      </c>
      <c r="F121" s="5" t="str">
        <f ca="1">IFERROR(__xludf.DUMMYFUNCTION("""COMPUTED_VALUE"""),"Caneyville Elementary School")</f>
        <v>Caneyville Elementary School</v>
      </c>
      <c r="G121" s="5">
        <f ca="1">IFERROR(__xludf.DUMMYFUNCTION("""COMPUTED_VALUE"""),0)</f>
        <v>0</v>
      </c>
      <c r="H121" s="5">
        <f ca="1">IFERROR(__xludf.DUMMYFUNCTION("""COMPUTED_VALUE"""),0)</f>
        <v>0</v>
      </c>
      <c r="I121" s="5">
        <f ca="1">IFERROR(__xludf.DUMMYFUNCTION("""COMPUTED_VALUE"""),0)</f>
        <v>0</v>
      </c>
      <c r="J121" s="5">
        <f ca="1">IFERROR(__xludf.DUMMYFUNCTION("""COMPUTED_VALUE"""),0)</f>
        <v>0</v>
      </c>
      <c r="K121" s="9" t="str">
        <f ca="1">IFERROR(__xludf.DUMMYFUNCTION("""COMPUTED_VALUE"""),"https://www.wave3.com/2022/11/10/man-wounded-by-his-own-gun-accidental-shooting-elementary-school-hallway/")</f>
        <v>https://www.wave3.com/2022/11/10/man-wounded-by-his-own-gun-accidental-shooting-elementary-school-hallway/</v>
      </c>
      <c r="L121" s="5">
        <f ca="1">IFERROR(__xludf.DUMMYFUNCTION("""COMPUTED_VALUE"""),5)</f>
        <v>5</v>
      </c>
      <c r="M121" s="5" t="str">
        <f ca="1">IFERROR(__xludf.DUMMYFUNCTION("""COMPUTED_VALUE"""),"Regional")</f>
        <v>Regional</v>
      </c>
      <c r="N121" s="5">
        <f ca="1">IFERROR(__xludf.DUMMYFUNCTION("""COMPUTED_VALUE"""),4)</f>
        <v>4</v>
      </c>
      <c r="O121" s="5" t="str">
        <f ca="1">IFERROR(__xludf.DUMMYFUNCTION("""COMPUTED_VALUE"""),"Fall")</f>
        <v>Fall</v>
      </c>
      <c r="P121" s="5" t="str">
        <f ca="1">IFERROR(__xludf.DUMMYFUNCTION("""COMPUTED_VALUE"""),"Caneyville")</f>
        <v>Caneyville</v>
      </c>
      <c r="Q121" s="5" t="str">
        <f ca="1">IFERROR(__xludf.DUMMYFUNCTION("""COMPUTED_VALUE"""),"KY")</f>
        <v>KY</v>
      </c>
      <c r="R121" s="5" t="str">
        <f ca="1">IFERROR(__xludf.DUMMYFUNCTION("""COMPUTED_VALUE"""),"Elementary")</f>
        <v>Elementary</v>
      </c>
      <c r="S121" s="5" t="str">
        <f ca="1">IFERROR(__xludf.DUMMYFUNCTION("""COMPUTED_VALUE"""),"Hallway")</f>
        <v>Hallway</v>
      </c>
      <c r="T121" s="5" t="str">
        <f ca="1">IFERROR(__xludf.DUMMYFUNCTION("""COMPUTED_VALUE"""),"Inside School Building")</f>
        <v>Inside School Building</v>
      </c>
      <c r="U121" s="5" t="str">
        <f ca="1">IFERROR(__xludf.DUMMYFUNCTION("""COMPUTED_VALUE"""),"No")</f>
        <v>No</v>
      </c>
      <c r="V121" s="5" t="str">
        <f ca="1">IFERROR(__xludf.DUMMYFUNCTION("""COMPUTED_VALUE"""),"Sport Event")</f>
        <v>Sport Event</v>
      </c>
      <c r="W121" s="10">
        <f ca="1">IFERROR(__xludf.DUMMYFUNCTION("""COMPUTED_VALUE"""),0.8125)</f>
        <v>0.8125</v>
      </c>
      <c r="X121" s="5">
        <f ca="1">IFERROR(__xludf.DUMMYFUNCTION("""COMPUTED_VALUE"""),1)</f>
        <v>1</v>
      </c>
      <c r="Y121" s="5" t="str">
        <f ca="1">IFERROR(__xludf.DUMMYFUNCTION("""COMPUTED_VALUE"""),"Gun felt out of man's pants, fired when it hit the floor, and struck him")</f>
        <v>Gun felt out of man's pants, fired when it hit the floor, and struck him</v>
      </c>
      <c r="Z121" s="5" t="str">
        <f ca="1">IFERROR(__xludf.DUMMYFUNCTION("""COMPUTED_VALUE"""),"A man who was wounded by his own gun will face charges for having the weapon on the grounds of a school. The Grayson County Sheriff’s Office say the shooting happened at Caneyville Elementary School around 7:30 p.m. (Central Time) last night. Deputies cal"&amp;"led to the school about the shooting found Matthew C. Nash, 37, of Millwood, with a gunshot wound to the lower leg. Nash was airlifted to UofL Hospital. He was treated and released Thursday morning. Investigators say Nash was at the school to pickup his k"&amp;"ids from basketball practice. While running in the hallway with a small child, a 9mm gun Nash had fell to the ground and fired.")</f>
        <v>A man who was wounded by his own gun will face charges for having the weapon on the grounds of a school. The Grayson County Sheriff’s Office say the shooting happened at Caneyville Elementary School around 7:30 p.m. (Central Time) last night. Deputies called to the school about the shooting found Matthew C. Nash, 37, of Millwood, with a gunshot wound to the lower leg. Nash was airlifted to UofL Hospital. He was treated and released Thursday morning. Investigators say Nash was at the school to pickup his kids from basketball practice. While running in the hallway with a small child, a 9mm gun Nash had fell to the ground and fired.</v>
      </c>
      <c r="AA121" s="5" t="str">
        <f ca="1">IFERROR(__xludf.DUMMYFUNCTION("""COMPUTED_VALUE"""),"Accidental")</f>
        <v>Accidental</v>
      </c>
      <c r="AB121" s="5" t="str">
        <f ca="1">IFERROR(__xludf.DUMMYFUNCTION("""COMPUTED_VALUE"""),"Neither")</f>
        <v>Neither</v>
      </c>
      <c r="AC121" s="5" t="str">
        <f ca="1">IFERROR(__xludf.DUMMYFUNCTION("""COMPUTED_VALUE"""),"No")</f>
        <v>No</v>
      </c>
      <c r="AD121" s="5" t="str">
        <f ca="1">IFERROR(__xludf.DUMMYFUNCTION("""COMPUTED_VALUE"""),"No")</f>
        <v>No</v>
      </c>
      <c r="AE121" s="5" t="str">
        <f ca="1">IFERROR(__xludf.DUMMYFUNCTION("""COMPUTED_VALUE"""),"No")</f>
        <v>No</v>
      </c>
      <c r="AF121" s="5" t="str">
        <f ca="1">IFERROR(__xludf.DUMMYFUNCTION("""COMPUTED_VALUE"""),"No")</f>
        <v>No</v>
      </c>
      <c r="AG121" s="5" t="str">
        <f ca="1">IFERROR(__xludf.DUMMYFUNCTION("""COMPUTED_VALUE"""),"No")</f>
        <v>No</v>
      </c>
      <c r="AH121" s="5" t="str">
        <f ca="1">IFERROR(__xludf.DUMMYFUNCTION("""COMPUTED_VALUE"""),"No")</f>
        <v>No</v>
      </c>
      <c r="AI121" s="5" t="str">
        <f ca="1">IFERROR(__xludf.DUMMYFUNCTION("""COMPUTED_VALUE"""),"No")</f>
        <v>No</v>
      </c>
      <c r="AJ121" s="5" t="str">
        <f ca="1">IFERROR(__xludf.DUMMYFUNCTION("""COMPUTED_VALUE"""),"No")</f>
        <v>No</v>
      </c>
    </row>
    <row r="122" spans="1:36" ht="13">
      <c r="A122" s="5" t="str">
        <f ca="1">IFERROR(__xludf.DUMMYFUNCTION("""COMPUTED_VALUE"""),"20221108WAINS")</f>
        <v>20221108WAINS</v>
      </c>
      <c r="B122" s="5">
        <f ca="1">IFERROR(__xludf.DUMMYFUNCTION("""COMPUTED_VALUE"""),11)</f>
        <v>11</v>
      </c>
      <c r="C122" s="5">
        <f ca="1">IFERROR(__xludf.DUMMYFUNCTION("""COMPUTED_VALUE"""),8)</f>
        <v>8</v>
      </c>
      <c r="D122" s="5">
        <f ca="1">IFERROR(__xludf.DUMMYFUNCTION("""COMPUTED_VALUE"""),2022)</f>
        <v>2022</v>
      </c>
      <c r="E122" s="8">
        <f ca="1">IFERROR(__xludf.DUMMYFUNCTION("""COMPUTED_VALUE"""),44873)</f>
        <v>44873</v>
      </c>
      <c r="F122" s="5" t="str">
        <f ca="1">IFERROR(__xludf.DUMMYFUNCTION("""COMPUTED_VALUE"""),"Ingraham High School")</f>
        <v>Ingraham High School</v>
      </c>
      <c r="G122" s="5">
        <f ca="1">IFERROR(__xludf.DUMMYFUNCTION("""COMPUTED_VALUE"""),1)</f>
        <v>1</v>
      </c>
      <c r="H122" s="5">
        <f ca="1">IFERROR(__xludf.DUMMYFUNCTION("""COMPUTED_VALUE"""),0)</f>
        <v>0</v>
      </c>
      <c r="I122" s="5">
        <f ca="1">IFERROR(__xludf.DUMMYFUNCTION("""COMPUTED_VALUE"""),1)</f>
        <v>1</v>
      </c>
      <c r="J122" s="5">
        <f ca="1">IFERROR(__xludf.DUMMYFUNCTION("""COMPUTED_VALUE"""),0)</f>
        <v>0</v>
      </c>
      <c r="K122" s="5" t="str">
        <f ca="1">IFERROR(__xludf.DUMMYFUNCTION("""COMPUTED_VALUE"""),"https://katu.com/news/local/ingraham-high-school-shooting-seattle-stolen-gun-snohomish-county-police-king-county-washington
https://www.seattletimes.com/seattle-news/law-justice/police-respond-to-report-of-shooting-at-north-seattle-school/
https://www.q13"&amp;"fox.com/news/ingraham-high-school-shooting-14-year-old-shot-student-in-the-back-multiple-times-court-docs-say")</f>
        <v>https://katu.com/news/local/ingraham-high-school-shooting-seattle-stolen-gun-snohomish-county-police-king-county-washington
https://www.seattletimes.com/seattle-news/law-justice/police-respond-to-report-of-shooting-at-north-seattle-school/
https://www.q13fox.com/news/ingraham-high-school-shooting-14-year-old-shot-student-in-the-back-multiple-times-court-docs-say</v>
      </c>
      <c r="L122" s="5">
        <f ca="1">IFERROR(__xludf.DUMMYFUNCTION("""COMPUTED_VALUE"""),100)</f>
        <v>100</v>
      </c>
      <c r="M122" s="5" t="str">
        <f ca="1">IFERROR(__xludf.DUMMYFUNCTION("""COMPUTED_VALUE"""),"National")</f>
        <v>National</v>
      </c>
      <c r="N122" s="5">
        <f ca="1">IFERROR(__xludf.DUMMYFUNCTION("""COMPUTED_VALUE"""),4)</f>
        <v>4</v>
      </c>
      <c r="O122" s="5" t="str">
        <f ca="1">IFERROR(__xludf.DUMMYFUNCTION("""COMPUTED_VALUE"""),"Fall")</f>
        <v>Fall</v>
      </c>
      <c r="P122" s="5" t="str">
        <f ca="1">IFERROR(__xludf.DUMMYFUNCTION("""COMPUTED_VALUE"""),"Seattle")</f>
        <v>Seattle</v>
      </c>
      <c r="Q122" s="5" t="str">
        <f ca="1">IFERROR(__xludf.DUMMYFUNCTION("""COMPUTED_VALUE"""),"WA")</f>
        <v>WA</v>
      </c>
      <c r="R122" s="5" t="str">
        <f ca="1">IFERROR(__xludf.DUMMYFUNCTION("""COMPUTED_VALUE"""),"High")</f>
        <v>High</v>
      </c>
      <c r="S122" s="5" t="str">
        <f ca="1">IFERROR(__xludf.DUMMYFUNCTION("""COMPUTED_VALUE"""),"Hallway")</f>
        <v>Hallway</v>
      </c>
      <c r="T122" s="5" t="str">
        <f ca="1">IFERROR(__xludf.DUMMYFUNCTION("""COMPUTED_VALUE"""),"Inside School Building")</f>
        <v>Inside School Building</v>
      </c>
      <c r="U122" s="5" t="str">
        <f ca="1">IFERROR(__xludf.DUMMYFUNCTION("""COMPUTED_VALUE"""),"Yes")</f>
        <v>Yes</v>
      </c>
      <c r="V122" s="5" t="str">
        <f ca="1">IFERROR(__xludf.DUMMYFUNCTION("""COMPUTED_VALUE"""),"Morning Classes")</f>
        <v>Morning Classes</v>
      </c>
      <c r="W122" s="10">
        <f ca="1">IFERROR(__xludf.DUMMYFUNCTION("""COMPUTED_VALUE"""),0.413194444444444)</f>
        <v>0.41319444444444398</v>
      </c>
      <c r="X122" s="5">
        <f ca="1">IFERROR(__xludf.DUMMYFUNCTION("""COMPUTED_VALUE"""),1)</f>
        <v>1</v>
      </c>
      <c r="Y122" s="5" t="str">
        <f ca="1">IFERROR(__xludf.DUMMYFUNCTION("""COMPUTED_VALUE"""),"Student fatally shot in the hallway, shooter fled")</f>
        <v>Student fatally shot in the hallway, shooter fled</v>
      </c>
      <c r="Z122" s="5" t="str">
        <f ca="1">IFERROR(__xludf.DUMMYFUNCTION("""COMPUTED_VALUE"""),"Seattle police confirmed the student at Ingraham High School who was shot on Tuesday morning has died. According to charging documents, the suspect, victim and several other students were involved in a physical fight in the bathroom at the school. Investi"&amp;"gators said the reason for the fight was purportedly because the victim and his friends had learned that the suspect brought a gun to school and they wanted it. During the fight in the bathroom, the suspect's cell phone may have been taken. While leaving "&amp;"the bathroom, the victim was seen laughing at the opposing group as they left the area, which appeared to agitate the suspect, according to charging documents. About ten minutes later, the suspect asked to leave class to return to the bathroom, but the te"&amp;"acher denied the request. After class, witnesses told police that they saw the suspect and victim interact in the hallway at 9:55 a.m. The witness said they heard the victim say to the suspect ""you're not gonna bust it,"" implying shooting a gun. The wit"&amp;"ness said he saw the suspect was past the victim before pulling a gun out of his backpack and shooting the victim in the back multiple times. The school was in lockdown as officers searched the surrounding area for the suspect. The suspect was taken into "&amp;"custody shortly after 11 a.m., SPD Chief Adrian Diaz later confirmed to reporters. He was arrested on 145th and Aurora and had a weapon. Teen had been suspended for carrying a replica BB gun at school.")</f>
        <v>Seattle police confirmed the student at Ingraham High School who was shot on Tuesday morning has died. According to charging documents, the suspect, victim and several other students were involved in a physical fight in the bathroom at the school. Investigators said the reason for the fight was purportedly because the victim and his friends had learned that the suspect brought a gun to school and they wanted it. During the fight in the bathroom, the suspect's cell phone may have been taken. While leaving the bathroom, the victim was seen laughing at the opposing group as they left the area, which appeared to agitate the suspect, according to charging documents. About ten minutes later, the suspect asked to leave class to return to the bathroom, but the teacher denied the request. After class, witnesses told police that they saw the suspect and victim interact in the hallway at 9:55 a.m. The witness said they heard the victim say to the suspect "you're not gonna bust it," implying shooting a gun. The witness said he saw the suspect was past the victim before pulling a gun out of his backpack and shooting the victim in the back multiple times. The school was in lockdown as officers searched the surrounding area for the suspect. The suspect was taken into custody shortly after 11 a.m., SPD Chief Adrian Diaz later confirmed to reporters. He was arrested on 145th and Aurora and had a weapon. Teen had been suspended for carrying a replica BB gun at school.</v>
      </c>
      <c r="AA122" s="5" t="str">
        <f ca="1">IFERROR(__xludf.DUMMYFUNCTION("""COMPUTED_VALUE"""),"Escalation of Dispute")</f>
        <v>Escalation of Dispute</v>
      </c>
      <c r="AB122" s="5" t="str">
        <f ca="1">IFERROR(__xludf.DUMMYFUNCTION("""COMPUTED_VALUE"""),"Victims Targeted")</f>
        <v>Victims Targeted</v>
      </c>
      <c r="AC122" s="5" t="str">
        <f ca="1">IFERROR(__xludf.DUMMYFUNCTION("""COMPUTED_VALUE"""),"Yes")</f>
        <v>Yes</v>
      </c>
      <c r="AD122" s="5" t="str">
        <f ca="1">IFERROR(__xludf.DUMMYFUNCTION("""COMPUTED_VALUE"""),"No")</f>
        <v>No</v>
      </c>
      <c r="AE122" s="5" t="str">
        <f ca="1">IFERROR(__xludf.DUMMYFUNCTION("""COMPUTED_VALUE"""),"No")</f>
        <v>No</v>
      </c>
      <c r="AF122" s="5" t="str">
        <f ca="1">IFERROR(__xludf.DUMMYFUNCTION("""COMPUTED_VALUE"""),"No")</f>
        <v>No</v>
      </c>
      <c r="AG122" s="5"/>
      <c r="AH122" s="5" t="str">
        <f ca="1">IFERROR(__xludf.DUMMYFUNCTION("""COMPUTED_VALUE"""),"No")</f>
        <v>No</v>
      </c>
      <c r="AI122" s="5"/>
      <c r="AJ122" s="5" t="str">
        <f ca="1">IFERROR(__xludf.DUMMYFUNCTION("""COMPUTED_VALUE"""),"No")</f>
        <v>No</v>
      </c>
    </row>
    <row r="123" spans="1:36" ht="13">
      <c r="A123" s="5" t="str">
        <f ca="1">IFERROR(__xludf.DUMMYFUNCTION("""COMPUTED_VALUE"""),"20221106VAHUH")</f>
        <v>20221106VAHUH</v>
      </c>
      <c r="B123" s="5">
        <f ca="1">IFERROR(__xludf.DUMMYFUNCTION("""COMPUTED_VALUE"""),11)</f>
        <v>11</v>
      </c>
      <c r="C123" s="5">
        <f ca="1">IFERROR(__xludf.DUMMYFUNCTION("""COMPUTED_VALUE"""),6)</f>
        <v>6</v>
      </c>
      <c r="D123" s="5">
        <f ca="1">IFERROR(__xludf.DUMMYFUNCTION("""COMPUTED_VALUE"""),2022)</f>
        <v>2022</v>
      </c>
      <c r="E123" s="8">
        <f ca="1">IFERROR(__xludf.DUMMYFUNCTION("""COMPUTED_VALUE"""),44871)</f>
        <v>44871</v>
      </c>
      <c r="F123" s="5" t="str">
        <f ca="1">IFERROR(__xludf.DUMMYFUNCTION("""COMPUTED_VALUE"""),"Hutchison Elementary School")</f>
        <v>Hutchison Elementary School</v>
      </c>
      <c r="G123" s="5">
        <f ca="1">IFERROR(__xludf.DUMMYFUNCTION("""COMPUTED_VALUE"""),0)</f>
        <v>0</v>
      </c>
      <c r="H123" s="5">
        <f ca="1">IFERROR(__xludf.DUMMYFUNCTION("""COMPUTED_VALUE"""),0)</f>
        <v>0</v>
      </c>
      <c r="I123" s="5">
        <f ca="1">IFERROR(__xludf.DUMMYFUNCTION("""COMPUTED_VALUE"""),0)</f>
        <v>0</v>
      </c>
      <c r="J123" s="5">
        <f ca="1">IFERROR(__xludf.DUMMYFUNCTION("""COMPUTED_VALUE"""),0)</f>
        <v>0</v>
      </c>
      <c r="K123" s="5" t="str">
        <f ca="1">IFERROR(__xludf.DUMMYFUNCTION("""COMPUTED_VALUE"""),"https://www.ffxnow.com/2022/11/06/breaking-shots-reportedly-fired-outside-hutchinson-elementary-school-in-herndon/
https://wjla.com/news/local/shots-fired-shooting-crime-fairfax-county-police-hutchison-elementary-school-man-flees-hit-by-car-on-dulles-toll"&amp;"-rd-herndon-hospital-with-life-threatening-injuries")</f>
        <v>https://www.ffxnow.com/2022/11/06/breaking-shots-reportedly-fired-outside-hutchinson-elementary-school-in-herndon/
https://wjla.com/news/local/shots-fired-shooting-crime-fairfax-county-police-hutchison-elementary-school-man-flees-hit-by-car-on-dulles-toll-rd-herndon-hospital-with-life-threatening-injuries</v>
      </c>
      <c r="L123" s="5">
        <f ca="1">IFERROR(__xludf.DUMMYFUNCTION("""COMPUTED_VALUE"""),2)</f>
        <v>2</v>
      </c>
      <c r="M123" s="5" t="str">
        <f ca="1">IFERROR(__xludf.DUMMYFUNCTION("""COMPUTED_VALUE"""),"Local")</f>
        <v>Local</v>
      </c>
      <c r="N123" s="5">
        <f ca="1">IFERROR(__xludf.DUMMYFUNCTION("""COMPUTED_VALUE"""),4)</f>
        <v>4</v>
      </c>
      <c r="O123" s="5" t="str">
        <f ca="1">IFERROR(__xludf.DUMMYFUNCTION("""COMPUTED_VALUE"""),"Fall")</f>
        <v>Fall</v>
      </c>
      <c r="P123" s="5" t="str">
        <f ca="1">IFERROR(__xludf.DUMMYFUNCTION("""COMPUTED_VALUE"""),"Herndon")</f>
        <v>Herndon</v>
      </c>
      <c r="Q123" s="5" t="str">
        <f ca="1">IFERROR(__xludf.DUMMYFUNCTION("""COMPUTED_VALUE"""),"VA")</f>
        <v>VA</v>
      </c>
      <c r="R123" s="5" t="str">
        <f ca="1">IFERROR(__xludf.DUMMYFUNCTION("""COMPUTED_VALUE"""),"Elementary")</f>
        <v>Elementary</v>
      </c>
      <c r="S123" s="5" t="str">
        <f ca="1">IFERROR(__xludf.DUMMYFUNCTION("""COMPUTED_VALUE"""),"Beside Building")</f>
        <v>Beside Building</v>
      </c>
      <c r="T123" s="5" t="str">
        <f ca="1">IFERROR(__xludf.DUMMYFUNCTION("""COMPUTED_VALUE"""),"Outside on School Property")</f>
        <v>Outside on School Property</v>
      </c>
      <c r="U123" s="5" t="str">
        <f ca="1">IFERROR(__xludf.DUMMYFUNCTION("""COMPUTED_VALUE"""),"No")</f>
        <v>No</v>
      </c>
      <c r="V123" s="5" t="str">
        <f ca="1">IFERROR(__xludf.DUMMYFUNCTION("""COMPUTED_VALUE"""),"Not a School Day")</f>
        <v>Not a School Day</v>
      </c>
      <c r="W123" s="10">
        <f ca="1">IFERROR(__xludf.DUMMYFUNCTION("""COMPUTED_VALUE"""),0.672916666666666)</f>
        <v>0.67291666666666605</v>
      </c>
      <c r="X123" s="5">
        <f ca="1">IFERROR(__xludf.DUMMYFUNCTION("""COMPUTED_VALUE"""),1)</f>
        <v>1</v>
      </c>
      <c r="Y123" s="5" t="str">
        <f ca="1">IFERROR(__xludf.DUMMYFUNCTION("""COMPUTED_VALUE"""),"Shots fired behind school")</f>
        <v>Shots fired behind school</v>
      </c>
      <c r="Z123" s="5" t="str">
        <f ca="1">IFERROR(__xludf.DUMMYFUNCTION("""COMPUTED_VALUE"""),"Fairfax County police officers were called to the school for a report of shots being fired into the air around 4:09 p.m. today, according to Fairfax County Police Department Lt. Dan Spital. When officers arrived at the school, they saw a group of men behi"&amp;"nd the school, one of whom ran through a wooded area — presumably the adjacent Hutchinson Park — and onto the Dulles Toll Road, police said. “Once that man got onto the Dulles Toll Road, he was struck by a vehicle,” Spital said in a brief update around 6:"&amp;"30 p.m. “That vehicle remained on scene, and the patient was listed in critical condition. He was ground-transported to a local hospital, where he’s being treated for injuries that are still considered life-threatening.” K9 officers found a firearm in the"&amp;" woods on the path where the foot chase took place, according to police.")</f>
        <v>Fairfax County police officers were called to the school for a report of shots being fired into the air around 4:09 p.m. today, according to Fairfax County Police Department Lt. Dan Spital. When officers arrived at the school, they saw a group of men behind the school, one of whom ran through a wooded area — presumably the adjacent Hutchinson Park — and onto the Dulles Toll Road, police said. “Once that man got onto the Dulles Toll Road, he was struck by a vehicle,” Spital said in a brief update around 6:30 p.m. “That vehicle remained on scene, and the patient was listed in critical condition. He was ground-transported to a local hospital, where he’s being treated for injuries that are still considered life-threatening.” K9 officers found a firearm in the woods on the path where the foot chase took place, according to police.</v>
      </c>
      <c r="AA123" s="5"/>
      <c r="AB123" s="5" t="str">
        <f ca="1">IFERROR(__xludf.DUMMYFUNCTION("""COMPUTED_VALUE"""),"Neither")</f>
        <v>Neither</v>
      </c>
      <c r="AC123" s="5" t="str">
        <f ca="1">IFERROR(__xludf.DUMMYFUNCTION("""COMPUTED_VALUE"""),"Yes")</f>
        <v>Yes</v>
      </c>
      <c r="AD123" s="5" t="str">
        <f ca="1">IFERROR(__xludf.DUMMYFUNCTION("""COMPUTED_VALUE"""),"No")</f>
        <v>No</v>
      </c>
      <c r="AE123" s="5" t="str">
        <f ca="1">IFERROR(__xludf.DUMMYFUNCTION("""COMPUTED_VALUE"""),"No")</f>
        <v>No</v>
      </c>
      <c r="AF123" s="5" t="str">
        <f ca="1">IFERROR(__xludf.DUMMYFUNCTION("""COMPUTED_VALUE"""),"No")</f>
        <v>No</v>
      </c>
      <c r="AG123" s="5" t="str">
        <f ca="1">IFERROR(__xludf.DUMMYFUNCTION("""COMPUTED_VALUE"""),"No")</f>
        <v>No</v>
      </c>
      <c r="AH123" s="5" t="str">
        <f ca="1">IFERROR(__xludf.DUMMYFUNCTION("""COMPUTED_VALUE"""),"No")</f>
        <v>No</v>
      </c>
      <c r="AI123" s="5"/>
      <c r="AJ123" s="5" t="str">
        <f ca="1">IFERROR(__xludf.DUMMYFUNCTION("""COMPUTED_VALUE"""),"No")</f>
        <v>No</v>
      </c>
    </row>
    <row r="124" spans="1:36" ht="13">
      <c r="A124" s="5" t="str">
        <f ca="1">IFERROR(__xludf.DUMMYFUNCTION("""COMPUTED_VALUE"""),"20221105TXDAF")</f>
        <v>20221105TXDAF</v>
      </c>
      <c r="B124" s="5">
        <f ca="1">IFERROR(__xludf.DUMMYFUNCTION("""COMPUTED_VALUE"""),11)</f>
        <v>11</v>
      </c>
      <c r="C124" s="5">
        <f ca="1">IFERROR(__xludf.DUMMYFUNCTION("""COMPUTED_VALUE"""),5)</f>
        <v>5</v>
      </c>
      <c r="D124" s="5">
        <f ca="1">IFERROR(__xludf.DUMMYFUNCTION("""COMPUTED_VALUE"""),2022)</f>
        <v>2022</v>
      </c>
      <c r="E124" s="8">
        <f ca="1">IFERROR(__xludf.DUMMYFUNCTION("""COMPUTED_VALUE"""),44870)</f>
        <v>44870</v>
      </c>
      <c r="F124" s="5" t="str">
        <f ca="1">IFERROR(__xludf.DUMMYFUNCTION("""COMPUTED_VALUE"""),"David K Sellars Elementary")</f>
        <v>David K Sellars Elementary</v>
      </c>
      <c r="G124" s="5">
        <f ca="1">IFERROR(__xludf.DUMMYFUNCTION("""COMPUTED_VALUE"""),0)</f>
        <v>0</v>
      </c>
      <c r="H124" s="5">
        <f ca="1">IFERROR(__xludf.DUMMYFUNCTION("""COMPUTED_VALUE"""),1)</f>
        <v>1</v>
      </c>
      <c r="I124" s="5">
        <f ca="1">IFERROR(__xludf.DUMMYFUNCTION("""COMPUTED_VALUE"""),1)</f>
        <v>1</v>
      </c>
      <c r="J124" s="5">
        <f ca="1">IFERROR(__xludf.DUMMYFUNCTION("""COMPUTED_VALUE"""),0)</f>
        <v>0</v>
      </c>
      <c r="K124" s="9" t="str">
        <f ca="1">IFERROR(__xludf.DUMMYFUNCTION("""COMPUTED_VALUE"""),"https://www.fox4news.com/news/officer-shot-during-active-shooter-training-forest-hill")</f>
        <v>https://www.fox4news.com/news/officer-shot-during-active-shooter-training-forest-hill</v>
      </c>
      <c r="L124" s="5">
        <f ca="1">IFERROR(__xludf.DUMMYFUNCTION("""COMPUTED_VALUE"""),50)</f>
        <v>50</v>
      </c>
      <c r="M124" s="5" t="str">
        <f ca="1">IFERROR(__xludf.DUMMYFUNCTION("""COMPUTED_VALUE"""),"National")</f>
        <v>National</v>
      </c>
      <c r="N124" s="5">
        <f ca="1">IFERROR(__xludf.DUMMYFUNCTION("""COMPUTED_VALUE"""),4)</f>
        <v>4</v>
      </c>
      <c r="O124" s="5" t="str">
        <f ca="1">IFERROR(__xludf.DUMMYFUNCTION("""COMPUTED_VALUE"""),"Fall")</f>
        <v>Fall</v>
      </c>
      <c r="P124" s="5" t="str">
        <f ca="1">IFERROR(__xludf.DUMMYFUNCTION("""COMPUTED_VALUE"""),"Forest Hill")</f>
        <v>Forest Hill</v>
      </c>
      <c r="Q124" s="5" t="str">
        <f ca="1">IFERROR(__xludf.DUMMYFUNCTION("""COMPUTED_VALUE"""),"TX")</f>
        <v>TX</v>
      </c>
      <c r="R124" s="5" t="str">
        <f ca="1">IFERROR(__xludf.DUMMYFUNCTION("""COMPUTED_VALUE"""),"Elementary")</f>
        <v>Elementary</v>
      </c>
      <c r="S124" s="5" t="str">
        <f ca="1">IFERROR(__xludf.DUMMYFUNCTION("""COMPUTED_VALUE"""),"Inside School Building")</f>
        <v>Inside School Building</v>
      </c>
      <c r="T124" s="5" t="str">
        <f ca="1">IFERROR(__xludf.DUMMYFUNCTION("""COMPUTED_VALUE"""),"Inside School Building")</f>
        <v>Inside School Building</v>
      </c>
      <c r="U124" s="5" t="str">
        <f ca="1">IFERROR(__xludf.DUMMYFUNCTION("""COMPUTED_VALUE"""),"No")</f>
        <v>No</v>
      </c>
      <c r="V124" s="5" t="str">
        <f ca="1">IFERROR(__xludf.DUMMYFUNCTION("""COMPUTED_VALUE"""),"Not a School Day")</f>
        <v>Not a School Day</v>
      </c>
      <c r="W124" s="10">
        <f ca="1">IFERROR(__xludf.DUMMYFUNCTION("""COMPUTED_VALUE"""),0.583333333333333)</f>
        <v>0.58333333333333304</v>
      </c>
      <c r="X124" s="5">
        <f ca="1">IFERROR(__xludf.DUMMYFUNCTION("""COMPUTED_VALUE"""),1)</f>
        <v>1</v>
      </c>
      <c r="Y124" s="5" t="str">
        <f ca="1">IFERROR(__xludf.DUMMYFUNCTION("""COMPUTED_VALUE"""),"Officer shot with live round during active shooter training")</f>
        <v>Officer shot with live round during active shooter training</v>
      </c>
      <c r="Z124" s="5" t="str">
        <f ca="1">IFERROR(__xludf.DUMMYFUNCTION("""COMPUTED_VALUE"""),"Officer shot with live round during active shooter training")</f>
        <v>Officer shot with live round during active shooter training</v>
      </c>
      <c r="AA124" s="5" t="str">
        <f ca="1">IFERROR(__xludf.DUMMYFUNCTION("""COMPUTED_VALUE"""),"Accidental")</f>
        <v>Accidental</v>
      </c>
      <c r="AB124" s="5" t="str">
        <f ca="1">IFERROR(__xludf.DUMMYFUNCTION("""COMPUTED_VALUE"""),"Neither")</f>
        <v>Neither</v>
      </c>
      <c r="AC124" s="5" t="str">
        <f ca="1">IFERROR(__xludf.DUMMYFUNCTION("""COMPUTED_VALUE"""),"No")</f>
        <v>No</v>
      </c>
      <c r="AD124" s="5" t="str">
        <f ca="1">IFERROR(__xludf.DUMMYFUNCTION("""COMPUTED_VALUE"""),"No")</f>
        <v>No</v>
      </c>
      <c r="AE124" s="5" t="str">
        <f ca="1">IFERROR(__xludf.DUMMYFUNCTION("""COMPUTED_VALUE"""),"No")</f>
        <v>No</v>
      </c>
      <c r="AF124" s="5" t="str">
        <f ca="1">IFERROR(__xludf.DUMMYFUNCTION("""COMPUTED_VALUE"""),"No")</f>
        <v>No</v>
      </c>
      <c r="AG124" s="5" t="str">
        <f ca="1">IFERROR(__xludf.DUMMYFUNCTION("""COMPUTED_VALUE"""),"No")</f>
        <v>No</v>
      </c>
      <c r="AH124" s="5" t="str">
        <f ca="1">IFERROR(__xludf.DUMMYFUNCTION("""COMPUTED_VALUE"""),"No")</f>
        <v>No</v>
      </c>
      <c r="AI124" s="5" t="str">
        <f ca="1">IFERROR(__xludf.DUMMYFUNCTION("""COMPUTED_VALUE"""),"No")</f>
        <v>No</v>
      </c>
      <c r="AJ124" s="5" t="str">
        <f ca="1">IFERROR(__xludf.DUMMYFUNCTION("""COMPUTED_VALUE"""),"No")</f>
        <v>No</v>
      </c>
    </row>
    <row r="125" spans="1:36" ht="13">
      <c r="A125" s="5" t="str">
        <f ca="1">IFERROR(__xludf.DUMMYFUNCTION("""COMPUTED_VALUE"""),"20221104KYVAL")</f>
        <v>20221104KYVAL</v>
      </c>
      <c r="B125" s="5">
        <f ca="1">IFERROR(__xludf.DUMMYFUNCTION("""COMPUTED_VALUE"""),11)</f>
        <v>11</v>
      </c>
      <c r="C125" s="5">
        <f ca="1">IFERROR(__xludf.DUMMYFUNCTION("""COMPUTED_VALUE"""),4)</f>
        <v>4</v>
      </c>
      <c r="D125" s="5">
        <f ca="1">IFERROR(__xludf.DUMMYFUNCTION("""COMPUTED_VALUE"""),2022)</f>
        <v>2022</v>
      </c>
      <c r="E125" s="8">
        <f ca="1">IFERROR(__xludf.DUMMYFUNCTION("""COMPUTED_VALUE"""),44869)</f>
        <v>44869</v>
      </c>
      <c r="F125" s="5" t="str">
        <f ca="1">IFERROR(__xludf.DUMMYFUNCTION("""COMPUTED_VALUE"""),"Valley High School")</f>
        <v>Valley High School</v>
      </c>
      <c r="G125" s="5">
        <f ca="1">IFERROR(__xludf.DUMMYFUNCTION("""COMPUTED_VALUE"""),0)</f>
        <v>0</v>
      </c>
      <c r="H125" s="5">
        <f ca="1">IFERROR(__xludf.DUMMYFUNCTION("""COMPUTED_VALUE"""),0)</f>
        <v>0</v>
      </c>
      <c r="I125" s="5">
        <f ca="1">IFERROR(__xludf.DUMMYFUNCTION("""COMPUTED_VALUE"""),0)</f>
        <v>0</v>
      </c>
      <c r="J125" s="5">
        <f ca="1">IFERROR(__xludf.DUMMYFUNCTION("""COMPUTED_VALUE"""),0)</f>
        <v>0</v>
      </c>
      <c r="K125" s="9" t="str">
        <f ca="1">IFERROR(__xludf.DUMMYFUNCTION("""COMPUTED_VALUE"""),"https://sports.yahoo.com/armed-man-threatened-shoot-students-202907424.html")</f>
        <v>https://sports.yahoo.com/armed-man-threatened-shoot-students-202907424.html</v>
      </c>
      <c r="L125" s="5">
        <f ca="1">IFERROR(__xludf.DUMMYFUNCTION("""COMPUTED_VALUE"""),2)</f>
        <v>2</v>
      </c>
      <c r="M125" s="5" t="str">
        <f ca="1">IFERROR(__xludf.DUMMYFUNCTION("""COMPUTED_VALUE"""),"National")</f>
        <v>National</v>
      </c>
      <c r="N125" s="5">
        <f ca="1">IFERROR(__xludf.DUMMYFUNCTION("""COMPUTED_VALUE"""),3)</f>
        <v>3</v>
      </c>
      <c r="O125" s="5" t="str">
        <f ca="1">IFERROR(__xludf.DUMMYFUNCTION("""COMPUTED_VALUE"""),"Fall")</f>
        <v>Fall</v>
      </c>
      <c r="P125" s="5" t="str">
        <f ca="1">IFERROR(__xludf.DUMMYFUNCTION("""COMPUTED_VALUE"""),"Louisville")</f>
        <v>Louisville</v>
      </c>
      <c r="Q125" s="5" t="str">
        <f ca="1">IFERROR(__xludf.DUMMYFUNCTION("""COMPUTED_VALUE"""),"KY")</f>
        <v>KY</v>
      </c>
      <c r="R125" s="5" t="str">
        <f ca="1">IFERROR(__xludf.DUMMYFUNCTION("""COMPUTED_VALUE"""),"High")</f>
        <v>High</v>
      </c>
      <c r="S125" s="5" t="str">
        <f ca="1">IFERROR(__xludf.DUMMYFUNCTION("""COMPUTED_VALUE"""),"Parking Lot")</f>
        <v>Parking Lot</v>
      </c>
      <c r="T125" s="5" t="str">
        <f ca="1">IFERROR(__xludf.DUMMYFUNCTION("""COMPUTED_VALUE"""),"Outside on School Property")</f>
        <v>Outside on School Property</v>
      </c>
      <c r="U125" s="5" t="str">
        <f ca="1">IFERROR(__xludf.DUMMYFUNCTION("""COMPUTED_VALUE"""),"Yes")</f>
        <v>Yes</v>
      </c>
      <c r="V125" s="5" t="str">
        <f ca="1">IFERROR(__xludf.DUMMYFUNCTION("""COMPUTED_VALUE"""),"Morning Classes")</f>
        <v>Morning Classes</v>
      </c>
      <c r="W125" s="10">
        <f ca="1">IFERROR(__xludf.DUMMYFUNCTION("""COMPUTED_VALUE"""),0.465277777777777)</f>
        <v>0.46527777777777701</v>
      </c>
      <c r="X125" s="5">
        <f ca="1">IFERROR(__xludf.DUMMYFUNCTION("""COMPUTED_VALUE"""),1)</f>
        <v>1</v>
      </c>
      <c r="Y125" s="5" t="str">
        <f ca="1">IFERROR(__xludf.DUMMYFUNCTION("""COMPUTED_VALUE"""),"Man brandished handgun and threatened to shoot 3 students in parking lot")</f>
        <v>Man brandished handgun and threatened to shoot 3 students in parking lot</v>
      </c>
      <c r="Z125" s="5" t="str">
        <f ca="1">IFERROR(__xludf.DUMMYFUNCTION("""COMPUTED_VALUE"""),"According to an arrest citation, officers were sent about 11:10 a.m. to Valley High School, 10200 Dixie Highway, on a report of a suspect with a gun threatening to shoot students in the parking lot. Three students told officers that Fox had pulled out a h"&amp;"andgun from his waistband while in the parking lot, ""racked the slide"" of the weapon and said ""he would shoot a student,"" according to the arrest report. The three students ran inside the school building, police said. Officers arrived on scene and cha"&amp;"sed after Fox as he fled on foot, according to the arrest citation. Fox was caught near the school on Donau Lane, which is also where Fox lives, according to court records. ")</f>
        <v xml:space="preserve">According to an arrest citation, officers were sent about 11:10 a.m. to Valley High School, 10200 Dixie Highway, on a report of a suspect with a gun threatening to shoot students in the parking lot. Three students told officers that Fox had pulled out a handgun from his waistband while in the parking lot, "racked the slide" of the weapon and said "he would shoot a student," according to the arrest report. The three students ran inside the school building, police said. Officers arrived on scene and chased after Fox as he fled on foot, according to the arrest citation. Fox was caught near the school on Donau Lane, which is also where Fox lives, according to court records. </v>
      </c>
      <c r="AA125" s="5" t="str">
        <f ca="1">IFERROR(__xludf.DUMMYFUNCTION("""COMPUTED_VALUE"""),"Escalation of Dispute")</f>
        <v>Escalation of Dispute</v>
      </c>
      <c r="AB125" s="5" t="str">
        <f ca="1">IFERROR(__xludf.DUMMYFUNCTION("""COMPUTED_VALUE"""),"Victims Targeted")</f>
        <v>Victims Targeted</v>
      </c>
      <c r="AC125" s="5" t="str">
        <f ca="1">IFERROR(__xludf.DUMMYFUNCTION("""COMPUTED_VALUE"""),"No")</f>
        <v>No</v>
      </c>
      <c r="AD125" s="5" t="str">
        <f ca="1">IFERROR(__xludf.DUMMYFUNCTION("""COMPUTED_VALUE"""),"No")</f>
        <v>No</v>
      </c>
      <c r="AE125" s="5" t="str">
        <f ca="1">IFERROR(__xludf.DUMMYFUNCTION("""COMPUTED_VALUE"""),"No")</f>
        <v>No</v>
      </c>
      <c r="AF125" s="5" t="str">
        <f ca="1">IFERROR(__xludf.DUMMYFUNCTION("""COMPUTED_VALUE"""),"No")</f>
        <v>No</v>
      </c>
      <c r="AG125" s="5" t="str">
        <f ca="1">IFERROR(__xludf.DUMMYFUNCTION("""COMPUTED_VALUE"""),"No")</f>
        <v>No</v>
      </c>
      <c r="AH125" s="5" t="str">
        <f ca="1">IFERROR(__xludf.DUMMYFUNCTION("""COMPUTED_VALUE"""),"No")</f>
        <v>No</v>
      </c>
      <c r="AI125" s="5"/>
      <c r="AJ125" s="5" t="str">
        <f ca="1">IFERROR(__xludf.DUMMYFUNCTION("""COMPUTED_VALUE"""),"No")</f>
        <v>No</v>
      </c>
    </row>
    <row r="126" spans="1:36" ht="13">
      <c r="A126" s="5" t="str">
        <f ca="1">IFERROR(__xludf.DUMMYFUNCTION("""COMPUTED_VALUE"""),"20221103GASHS")</f>
        <v>20221103GASHS</v>
      </c>
      <c r="B126" s="5">
        <f ca="1">IFERROR(__xludf.DUMMYFUNCTION("""COMPUTED_VALUE"""),11)</f>
        <v>11</v>
      </c>
      <c r="C126" s="5">
        <f ca="1">IFERROR(__xludf.DUMMYFUNCTION("""COMPUTED_VALUE"""),3)</f>
        <v>3</v>
      </c>
      <c r="D126" s="5">
        <f ca="1">IFERROR(__xludf.DUMMYFUNCTION("""COMPUTED_VALUE"""),2022)</f>
        <v>2022</v>
      </c>
      <c r="E126" s="8">
        <f ca="1">IFERROR(__xludf.DUMMYFUNCTION("""COMPUTED_VALUE"""),44868)</f>
        <v>44868</v>
      </c>
      <c r="F126" s="5" t="str">
        <f ca="1">IFERROR(__xludf.DUMMYFUNCTION("""COMPUTED_VALUE"""),"Shuman Elementary School")</f>
        <v>Shuman Elementary School</v>
      </c>
      <c r="G126" s="5">
        <f ca="1">IFERROR(__xludf.DUMMYFUNCTION("""COMPUTED_VALUE"""),0)</f>
        <v>0</v>
      </c>
      <c r="H126" s="5">
        <f ca="1">IFERROR(__xludf.DUMMYFUNCTION("""COMPUTED_VALUE"""),1)</f>
        <v>1</v>
      </c>
      <c r="I126" s="5">
        <f ca="1">IFERROR(__xludf.DUMMYFUNCTION("""COMPUTED_VALUE"""),1)</f>
        <v>1</v>
      </c>
      <c r="J126" s="5">
        <f ca="1">IFERROR(__xludf.DUMMYFUNCTION("""COMPUTED_VALUE"""),0)</f>
        <v>0</v>
      </c>
      <c r="K126" s="9" t="str">
        <f ca="1">IFERROR(__xludf.DUMMYFUNCTION("""COMPUTED_VALUE"""),"https://www.wjcl.com/article/police-presence-elementary-school-savannah/41861811#")</f>
        <v>https://www.wjcl.com/article/police-presence-elementary-school-savannah/41861811#</v>
      </c>
      <c r="L126" s="5">
        <f ca="1">IFERROR(__xludf.DUMMYFUNCTION("""COMPUTED_VALUE"""),1)</f>
        <v>1</v>
      </c>
      <c r="M126" s="5" t="str">
        <f ca="1">IFERROR(__xludf.DUMMYFUNCTION("""COMPUTED_VALUE"""),"Local")</f>
        <v>Local</v>
      </c>
      <c r="N126" s="5">
        <f ca="1">IFERROR(__xludf.DUMMYFUNCTION("""COMPUTED_VALUE"""),2)</f>
        <v>2</v>
      </c>
      <c r="O126" s="5" t="str">
        <f ca="1">IFERROR(__xludf.DUMMYFUNCTION("""COMPUTED_VALUE"""),"Fall")</f>
        <v>Fall</v>
      </c>
      <c r="P126" s="5" t="str">
        <f ca="1">IFERROR(__xludf.DUMMYFUNCTION("""COMPUTED_VALUE"""),"Savana")</f>
        <v>Savana</v>
      </c>
      <c r="Q126" s="5" t="str">
        <f ca="1">IFERROR(__xludf.DUMMYFUNCTION("""COMPUTED_VALUE"""),"GA")</f>
        <v>GA</v>
      </c>
      <c r="R126" s="5" t="str">
        <f ca="1">IFERROR(__xludf.DUMMYFUNCTION("""COMPUTED_VALUE"""),"Elementary")</f>
        <v>Elementary</v>
      </c>
      <c r="S126" s="5" t="str">
        <f ca="1">IFERROR(__xludf.DUMMYFUNCTION("""COMPUTED_VALUE"""),"Front of School")</f>
        <v>Front of School</v>
      </c>
      <c r="T126" s="5" t="str">
        <f ca="1">IFERROR(__xludf.DUMMYFUNCTION("""COMPUTED_VALUE"""),"Outside on School Property")</f>
        <v>Outside on School Property</v>
      </c>
      <c r="U126" s="5" t="str">
        <f ca="1">IFERROR(__xludf.DUMMYFUNCTION("""COMPUTED_VALUE"""),"No")</f>
        <v>No</v>
      </c>
      <c r="V126" s="5" t="str">
        <f ca="1">IFERROR(__xludf.DUMMYFUNCTION("""COMPUTED_VALUE"""),"Night")</f>
        <v>Night</v>
      </c>
      <c r="W126" s="10">
        <f ca="1">IFERROR(__xludf.DUMMYFUNCTION("""COMPUTED_VALUE"""),0.916666666666666)</f>
        <v>0.91666666666666596</v>
      </c>
      <c r="X126" s="5">
        <f ca="1">IFERROR(__xludf.DUMMYFUNCTION("""COMPUTED_VALUE"""),1)</f>
        <v>1</v>
      </c>
      <c r="Y126" s="5" t="str">
        <f ca="1">IFERROR(__xludf.DUMMYFUNCTION("""COMPUTED_VALUE"""),"Person shot in front of the school")</f>
        <v>Person shot in front of the school</v>
      </c>
      <c r="Z126" s="5" t="str">
        <f ca="1">IFERROR(__xludf.DUMMYFUNCTION("""COMPUTED_VALUE"""),"One person was shot in front of the school and transported to the hospital")</f>
        <v>One person was shot in front of the school and transported to the hospital</v>
      </c>
      <c r="AA126" s="5"/>
      <c r="AB126" s="5"/>
      <c r="AC126" s="5" t="str">
        <f ca="1">IFERROR(__xludf.DUMMYFUNCTION("""COMPUTED_VALUE"""),"No")</f>
        <v>No</v>
      </c>
      <c r="AD126" s="5" t="str">
        <f ca="1">IFERROR(__xludf.DUMMYFUNCTION("""COMPUTED_VALUE"""),"No")</f>
        <v>No</v>
      </c>
      <c r="AE126" s="5" t="str">
        <f ca="1">IFERROR(__xludf.DUMMYFUNCTION("""COMPUTED_VALUE"""),"No")</f>
        <v>No</v>
      </c>
      <c r="AF126" s="5" t="str">
        <f ca="1">IFERROR(__xludf.DUMMYFUNCTION("""COMPUTED_VALUE"""),"No")</f>
        <v>No</v>
      </c>
      <c r="AG126" s="5" t="str">
        <f ca="1">IFERROR(__xludf.DUMMYFUNCTION("""COMPUTED_VALUE"""),"No")</f>
        <v>No</v>
      </c>
      <c r="AH126" s="5"/>
      <c r="AI126" s="5"/>
      <c r="AJ126" s="5" t="str">
        <f ca="1">IFERROR(__xludf.DUMMYFUNCTION("""COMPUTED_VALUE"""),"No")</f>
        <v>No</v>
      </c>
    </row>
    <row r="127" spans="1:36" ht="13">
      <c r="A127" s="5" t="str">
        <f ca="1">IFERROR(__xludf.DUMMYFUNCTION("""COMPUTED_VALUE"""),"20221102DCMCW")</f>
        <v>20221102DCMCW</v>
      </c>
      <c r="B127" s="5">
        <f ca="1">IFERROR(__xludf.DUMMYFUNCTION("""COMPUTED_VALUE"""),11)</f>
        <v>11</v>
      </c>
      <c r="C127" s="5">
        <f ca="1">IFERROR(__xludf.DUMMYFUNCTION("""COMPUTED_VALUE"""),2)</f>
        <v>2</v>
      </c>
      <c r="D127" s="5">
        <f ca="1">IFERROR(__xludf.DUMMYFUNCTION("""COMPUTED_VALUE"""),2022)</f>
        <v>2022</v>
      </c>
      <c r="E127" s="8">
        <f ca="1">IFERROR(__xludf.DUMMYFUNCTION("""COMPUTED_VALUE"""),44867)</f>
        <v>44867</v>
      </c>
      <c r="F127" s="5" t="str">
        <f ca="1">IFERROR(__xludf.DUMMYFUNCTION("""COMPUTED_VALUE"""),"MacFarland Middle School")</f>
        <v>MacFarland Middle School</v>
      </c>
      <c r="G127" s="5">
        <f ca="1">IFERROR(__xludf.DUMMYFUNCTION("""COMPUTED_VALUE"""),0)</f>
        <v>0</v>
      </c>
      <c r="H127" s="5">
        <f ca="1">IFERROR(__xludf.DUMMYFUNCTION("""COMPUTED_VALUE"""),0)</f>
        <v>0</v>
      </c>
      <c r="I127" s="5">
        <f ca="1">IFERROR(__xludf.DUMMYFUNCTION("""COMPUTED_VALUE"""),0)</f>
        <v>0</v>
      </c>
      <c r="J127" s="5">
        <f ca="1">IFERROR(__xludf.DUMMYFUNCTION("""COMPUTED_VALUE"""),0)</f>
        <v>0</v>
      </c>
      <c r="K127" s="5" t="str">
        <f ca="1">IFERROR(__xludf.DUMMYFUNCTION("""COMPUTED_VALUE"""),"https://www.fox5dc.com/news/3-dc-schools-on-lockdown-after-shots-fired-nearby-police
https://www.wusa9.com/article/news/local/dc/shots-fired-call-near-theodore-roosevelt-high-school-in-dc/65-f7cac124-31dc-48eb-a4cf-3ddde1ba0e7b")</f>
        <v>https://www.fox5dc.com/news/3-dc-schools-on-lockdown-after-shots-fired-nearby-police
https://www.wusa9.com/article/news/local/dc/shots-fired-call-near-theodore-roosevelt-high-school-in-dc/65-f7cac124-31dc-48eb-a4cf-3ddde1ba0e7b</v>
      </c>
      <c r="L127" s="5">
        <f ca="1">IFERROR(__xludf.DUMMYFUNCTION("""COMPUTED_VALUE"""),5)</f>
        <v>5</v>
      </c>
      <c r="M127" s="5" t="str">
        <f ca="1">IFERROR(__xludf.DUMMYFUNCTION("""COMPUTED_VALUE"""),"Regional")</f>
        <v>Regional</v>
      </c>
      <c r="N127" s="5">
        <f ca="1">IFERROR(__xludf.DUMMYFUNCTION("""COMPUTED_VALUE"""),4)</f>
        <v>4</v>
      </c>
      <c r="O127" s="5" t="str">
        <f ca="1">IFERROR(__xludf.DUMMYFUNCTION("""COMPUTED_VALUE"""),"Fall")</f>
        <v>Fall</v>
      </c>
      <c r="P127" s="5" t="str">
        <f ca="1">IFERROR(__xludf.DUMMYFUNCTION("""COMPUTED_VALUE"""),"Washington")</f>
        <v>Washington</v>
      </c>
      <c r="Q127" s="5" t="str">
        <f ca="1">IFERROR(__xludf.DUMMYFUNCTION("""COMPUTED_VALUE"""),"DC")</f>
        <v>DC</v>
      </c>
      <c r="R127" s="5" t="str">
        <f ca="1">IFERROR(__xludf.DUMMYFUNCTION("""COMPUTED_VALUE"""),"Middle")</f>
        <v>Middle</v>
      </c>
      <c r="S127" s="5" t="str">
        <f ca="1">IFERROR(__xludf.DUMMYFUNCTION("""COMPUTED_VALUE"""),"Parking Lot")</f>
        <v>Parking Lot</v>
      </c>
      <c r="T127" s="5" t="str">
        <f ca="1">IFERROR(__xludf.DUMMYFUNCTION("""COMPUTED_VALUE"""),"Outside on School Property")</f>
        <v>Outside on School Property</v>
      </c>
      <c r="U127" s="5" t="str">
        <f ca="1">IFERROR(__xludf.DUMMYFUNCTION("""COMPUTED_VALUE"""),"Yes")</f>
        <v>Yes</v>
      </c>
      <c r="V127" s="5" t="str">
        <f ca="1">IFERROR(__xludf.DUMMYFUNCTION("""COMPUTED_VALUE"""),"Morning Classes")</f>
        <v>Morning Classes</v>
      </c>
      <c r="W127" s="10">
        <f ca="1">IFERROR(__xludf.DUMMYFUNCTION("""COMPUTED_VALUE"""),0.4375)</f>
        <v>0.4375</v>
      </c>
      <c r="X127" s="5">
        <f ca="1">IFERROR(__xludf.DUMMYFUNCTION("""COMPUTED_VALUE"""),1)</f>
        <v>1</v>
      </c>
      <c r="Y127" s="5" t="str">
        <f ca="1">IFERROR(__xludf.DUMMYFUNCTION("""COMPUTED_VALUE"""),"Shots fired in school parking lot")</f>
        <v>Shots fired in school parking lot</v>
      </c>
      <c r="Z127" s="5" t="str">
        <f ca="1">IFERROR(__xludf.DUMMYFUNCTION("""COMPUTED_VALUE"""),"Shots were fired in the school parking lot. Roosevelt High School, MacFarland Middle School, and Dorothy Height Elementary School were placed on lockdown. Multiple masked people fled from parking lot. Police recovered multiple shell casings.")</f>
        <v>Shots were fired in the school parking lot. Roosevelt High School, MacFarland Middle School, and Dorothy Height Elementary School were placed on lockdown. Multiple masked people fled from parking lot. Police recovered multiple shell casings.</v>
      </c>
      <c r="AA127" s="5"/>
      <c r="AB127" s="5"/>
      <c r="AC127" s="5" t="str">
        <f ca="1">IFERROR(__xludf.DUMMYFUNCTION("""COMPUTED_VALUE"""),"Yes")</f>
        <v>Yes</v>
      </c>
      <c r="AD127" s="5" t="str">
        <f ca="1">IFERROR(__xludf.DUMMYFUNCTION("""COMPUTED_VALUE"""),"No")</f>
        <v>No</v>
      </c>
      <c r="AE127" s="5" t="str">
        <f ca="1">IFERROR(__xludf.DUMMYFUNCTION("""COMPUTED_VALUE"""),"No")</f>
        <v>No</v>
      </c>
      <c r="AF127" s="5" t="str">
        <f ca="1">IFERROR(__xludf.DUMMYFUNCTION("""COMPUTED_VALUE"""),"No")</f>
        <v>No</v>
      </c>
      <c r="AG127" s="5" t="str">
        <f ca="1">IFERROR(__xludf.DUMMYFUNCTION("""COMPUTED_VALUE"""),"No")</f>
        <v>No</v>
      </c>
      <c r="AH127" s="5" t="str">
        <f ca="1">IFERROR(__xludf.DUMMYFUNCTION("""COMPUTED_VALUE"""),"No")</f>
        <v>No</v>
      </c>
      <c r="AI127" s="5"/>
      <c r="AJ127" s="5" t="str">
        <f ca="1">IFERROR(__xludf.DUMMYFUNCTION("""COMPUTED_VALUE"""),"No")</f>
        <v>No</v>
      </c>
    </row>
    <row r="128" spans="1:36" ht="13">
      <c r="A128" s="5" t="str">
        <f ca="1">IFERROR(__xludf.DUMMYFUNCTION("""COMPUTED_VALUE"""),"20221029TXAVA")</f>
        <v>20221029TXAVA</v>
      </c>
      <c r="B128" s="5">
        <f ca="1">IFERROR(__xludf.DUMMYFUNCTION("""COMPUTED_VALUE"""),10)</f>
        <v>10</v>
      </c>
      <c r="C128" s="5">
        <f ca="1">IFERROR(__xludf.DUMMYFUNCTION("""COMPUTED_VALUE"""),29)</f>
        <v>29</v>
      </c>
      <c r="D128" s="5">
        <f ca="1">IFERROR(__xludf.DUMMYFUNCTION("""COMPUTED_VALUE"""),2022)</f>
        <v>2022</v>
      </c>
      <c r="E128" s="8">
        <f ca="1">IFERROR(__xludf.DUMMYFUNCTION("""COMPUTED_VALUE"""),44863)</f>
        <v>44863</v>
      </c>
      <c r="F128" s="5" t="str">
        <f ca="1">IFERROR(__xludf.DUMMYFUNCTION("""COMPUTED_VALUE"""),"Avondale Elementary School")</f>
        <v>Avondale Elementary School</v>
      </c>
      <c r="G128" s="5">
        <f ca="1">IFERROR(__xludf.DUMMYFUNCTION("""COMPUTED_VALUE"""),0)</f>
        <v>0</v>
      </c>
      <c r="H128" s="5">
        <f ca="1">IFERROR(__xludf.DUMMYFUNCTION("""COMPUTED_VALUE"""),1)</f>
        <v>1</v>
      </c>
      <c r="I128" s="5">
        <f ca="1">IFERROR(__xludf.DUMMYFUNCTION("""COMPUTED_VALUE"""),1)</f>
        <v>1</v>
      </c>
      <c r="J128" s="5">
        <f ca="1">IFERROR(__xludf.DUMMYFUNCTION("""COMPUTED_VALUE"""),0)</f>
        <v>0</v>
      </c>
      <c r="K128" s="9" t="str">
        <f ca="1">IFERROR(__xludf.DUMMYFUNCTION("""COMPUTED_VALUE"""),"https://abc7amarillo.com/news/local/amarillo-texas-amarillo-police-department-15-year-old-boy-shot-fight-avondale-school-park-avondale-elementary-school-crime")</f>
        <v>https://abc7amarillo.com/news/local/amarillo-texas-amarillo-police-department-15-year-old-boy-shot-fight-avondale-school-park-avondale-elementary-school-crime</v>
      </c>
      <c r="L128" s="5">
        <f ca="1">IFERROR(__xludf.DUMMYFUNCTION("""COMPUTED_VALUE"""),1)</f>
        <v>1</v>
      </c>
      <c r="M128" s="5" t="str">
        <f ca="1">IFERROR(__xludf.DUMMYFUNCTION("""COMPUTED_VALUE"""),"Local")</f>
        <v>Local</v>
      </c>
      <c r="N128" s="5">
        <f ca="1">IFERROR(__xludf.DUMMYFUNCTION("""COMPUTED_VALUE"""),3)</f>
        <v>3</v>
      </c>
      <c r="O128" s="5" t="str">
        <f ca="1">IFERROR(__xludf.DUMMYFUNCTION("""COMPUTED_VALUE"""),"Fall")</f>
        <v>Fall</v>
      </c>
      <c r="P128" s="5" t="str">
        <f ca="1">IFERROR(__xludf.DUMMYFUNCTION("""COMPUTED_VALUE"""),"Amarillo")</f>
        <v>Amarillo</v>
      </c>
      <c r="Q128" s="5" t="str">
        <f ca="1">IFERROR(__xludf.DUMMYFUNCTION("""COMPUTED_VALUE"""),"TX")</f>
        <v>TX</v>
      </c>
      <c r="R128" s="5" t="str">
        <f ca="1">IFERROR(__xludf.DUMMYFUNCTION("""COMPUTED_VALUE"""),"Elementary")</f>
        <v>Elementary</v>
      </c>
      <c r="S128" s="5" t="str">
        <f ca="1">IFERROR(__xludf.DUMMYFUNCTION("""COMPUTED_VALUE"""),"Playground")</f>
        <v>Playground</v>
      </c>
      <c r="T128" s="5" t="str">
        <f ca="1">IFERROR(__xludf.DUMMYFUNCTION("""COMPUTED_VALUE"""),"Outside on School Property")</f>
        <v>Outside on School Property</v>
      </c>
      <c r="U128" s="5" t="str">
        <f ca="1">IFERROR(__xludf.DUMMYFUNCTION("""COMPUTED_VALUE"""),"No")</f>
        <v>No</v>
      </c>
      <c r="V128" s="5" t="str">
        <f ca="1">IFERROR(__xludf.DUMMYFUNCTION("""COMPUTED_VALUE"""),"Evening")</f>
        <v>Evening</v>
      </c>
      <c r="W128" s="10">
        <f ca="1">IFERROR(__xludf.DUMMYFUNCTION("""COMPUTED_VALUE"""),0.791666666666666)</f>
        <v>0.79166666666666596</v>
      </c>
      <c r="X128" s="5">
        <f ca="1">IFERROR(__xludf.DUMMYFUNCTION("""COMPUTED_VALUE"""),1)</f>
        <v>1</v>
      </c>
      <c r="Y128" s="5" t="str">
        <f ca="1">IFERROR(__xludf.DUMMYFUNCTION("""COMPUTED_VALUE"""),"Teen shot multiples on school playground")</f>
        <v>Teen shot multiples on school playground</v>
      </c>
      <c r="Z128" s="5" t="str">
        <f ca="1">IFERROR(__xludf.DUMMYFUNCTION("""COMPUTED_VALUE"""),"Amarillo police said a 15-year-old boy was shot multiple times during a fight at Avondale School Park. Police were dispatched to the park behind Avondale Elementary School around 7 p.m. Saturday. When officers arrived, they found a 15-year-old boy who had"&amp;" been shot multiple times. Officers were told several juveniles had been at the park fighting. During the fight, one of them pulled out a gun and started shooting.")</f>
        <v>Amarillo police said a 15-year-old boy was shot multiple times during a fight at Avondale School Park. Police were dispatched to the park behind Avondale Elementary School around 7 p.m. Saturday. When officers arrived, they found a 15-year-old boy who had been shot multiple times. Officers were told several juveniles had been at the park fighting. During the fight, one of them pulled out a gun and started shooting.</v>
      </c>
      <c r="AA128" s="5" t="str">
        <f ca="1">IFERROR(__xludf.DUMMYFUNCTION("""COMPUTED_VALUE"""),"Escalation of Dispute")</f>
        <v>Escalation of Dispute</v>
      </c>
      <c r="AB128" s="5" t="str">
        <f ca="1">IFERROR(__xludf.DUMMYFUNCTION("""COMPUTED_VALUE"""),"Victims Targeted")</f>
        <v>Victims Targeted</v>
      </c>
      <c r="AC128" s="5" t="str">
        <f ca="1">IFERROR(__xludf.DUMMYFUNCTION("""COMPUTED_VALUE"""),"Yes")</f>
        <v>Yes</v>
      </c>
      <c r="AD128" s="5" t="str">
        <f ca="1">IFERROR(__xludf.DUMMYFUNCTION("""COMPUTED_VALUE"""),"No")</f>
        <v>No</v>
      </c>
      <c r="AE128" s="5" t="str">
        <f ca="1">IFERROR(__xludf.DUMMYFUNCTION("""COMPUTED_VALUE"""),"No")</f>
        <v>No</v>
      </c>
      <c r="AF128" s="5" t="str">
        <f ca="1">IFERROR(__xludf.DUMMYFUNCTION("""COMPUTED_VALUE"""),"No")</f>
        <v>No</v>
      </c>
      <c r="AG128" s="5"/>
      <c r="AH128" s="5" t="str">
        <f ca="1">IFERROR(__xludf.DUMMYFUNCTION("""COMPUTED_VALUE"""),"No")</f>
        <v>No</v>
      </c>
      <c r="AI128" s="5"/>
      <c r="AJ128" s="5" t="str">
        <f ca="1">IFERROR(__xludf.DUMMYFUNCTION("""COMPUTED_VALUE"""),"No")</f>
        <v>No</v>
      </c>
    </row>
    <row r="129" spans="1:36" ht="13">
      <c r="A129" s="5" t="str">
        <f ca="1">IFERROR(__xludf.DUMMYFUNCTION("""COMPUTED_VALUE"""),"20221029COCRH")</f>
        <v>20221029COCRH</v>
      </c>
      <c r="B129" s="5">
        <f ca="1">IFERROR(__xludf.DUMMYFUNCTION("""COMPUTED_VALUE"""),10)</f>
        <v>10</v>
      </c>
      <c r="C129" s="5">
        <f ca="1">IFERROR(__xludf.DUMMYFUNCTION("""COMPUTED_VALUE"""),29)</f>
        <v>29</v>
      </c>
      <c r="D129" s="5">
        <f ca="1">IFERROR(__xludf.DUMMYFUNCTION("""COMPUTED_VALUE"""),2022)</f>
        <v>2022</v>
      </c>
      <c r="E129" s="8">
        <f ca="1">IFERROR(__xludf.DUMMYFUNCTION("""COMPUTED_VALUE"""),44863)</f>
        <v>44863</v>
      </c>
      <c r="F129" s="5" t="str">
        <f ca="1">IFERROR(__xludf.DUMMYFUNCTION("""COMPUTED_VALUE"""),"Cresthill Middle School")</f>
        <v>Cresthill Middle School</v>
      </c>
      <c r="G129" s="5">
        <f ca="1">IFERROR(__xludf.DUMMYFUNCTION("""COMPUTED_VALUE"""),0)</f>
        <v>0</v>
      </c>
      <c r="H129" s="5">
        <f ca="1">IFERROR(__xludf.DUMMYFUNCTION("""COMPUTED_VALUE"""),0)</f>
        <v>0</v>
      </c>
      <c r="I129" s="5">
        <f ca="1">IFERROR(__xludf.DUMMYFUNCTION("""COMPUTED_VALUE"""),0)</f>
        <v>0</v>
      </c>
      <c r="J129" s="5">
        <f ca="1">IFERROR(__xludf.DUMMYFUNCTION("""COMPUTED_VALUE"""),0)</f>
        <v>0</v>
      </c>
      <c r="K129" s="9" t="str">
        <f ca="1">IFERROR(__xludf.DUMMYFUNCTION("""COMPUTED_VALUE"""),"https://www.9news.com/article/news/local/gun-flag-football-game-cresthill/73-7251ca4b-3365-4a6e-9c60-a29e425a3dca")</f>
        <v>https://www.9news.com/article/news/local/gun-flag-football-game-cresthill/73-7251ca4b-3365-4a6e-9c60-a29e425a3dca</v>
      </c>
      <c r="L129" s="5">
        <f ca="1">IFERROR(__xludf.DUMMYFUNCTION("""COMPUTED_VALUE"""),5)</f>
        <v>5</v>
      </c>
      <c r="M129" s="5" t="str">
        <f ca="1">IFERROR(__xludf.DUMMYFUNCTION("""COMPUTED_VALUE"""),"Regional")</f>
        <v>Regional</v>
      </c>
      <c r="N129" s="5">
        <f ca="1">IFERROR(__xludf.DUMMYFUNCTION("""COMPUTED_VALUE"""),4)</f>
        <v>4</v>
      </c>
      <c r="O129" s="5" t="str">
        <f ca="1">IFERROR(__xludf.DUMMYFUNCTION("""COMPUTED_VALUE"""),"Fall")</f>
        <v>Fall</v>
      </c>
      <c r="P129" s="5" t="str">
        <f ca="1">IFERROR(__xludf.DUMMYFUNCTION("""COMPUTED_VALUE"""),"Highlands Ranch")</f>
        <v>Highlands Ranch</v>
      </c>
      <c r="Q129" s="5" t="str">
        <f ca="1">IFERROR(__xludf.DUMMYFUNCTION("""COMPUTED_VALUE"""),"CO")</f>
        <v>CO</v>
      </c>
      <c r="R129" s="5" t="str">
        <f ca="1">IFERROR(__xludf.DUMMYFUNCTION("""COMPUTED_VALUE"""),"Middle")</f>
        <v>Middle</v>
      </c>
      <c r="S129" s="5" t="str">
        <f ca="1">IFERROR(__xludf.DUMMYFUNCTION("""COMPUTED_VALUE"""),"Football Field/Track")</f>
        <v>Football Field/Track</v>
      </c>
      <c r="T129" s="5" t="str">
        <f ca="1">IFERROR(__xludf.DUMMYFUNCTION("""COMPUTED_VALUE"""),"Outside on School Property")</f>
        <v>Outside on School Property</v>
      </c>
      <c r="U129" s="5" t="str">
        <f ca="1">IFERROR(__xludf.DUMMYFUNCTION("""COMPUTED_VALUE"""),"No")</f>
        <v>No</v>
      </c>
      <c r="V129" s="5" t="str">
        <f ca="1">IFERROR(__xludf.DUMMYFUNCTION("""COMPUTED_VALUE"""),"Sport Event")</f>
        <v>Sport Event</v>
      </c>
      <c r="W129" s="10">
        <f ca="1">IFERROR(__xludf.DUMMYFUNCTION("""COMPUTED_VALUE"""),0.65625)</f>
        <v>0.65625</v>
      </c>
      <c r="X129" s="5">
        <f ca="1">IFERROR(__xludf.DUMMYFUNCTION("""COMPUTED_VALUE"""),1)</f>
        <v>1</v>
      </c>
      <c r="Y129" s="5" t="str">
        <f ca="1">IFERROR(__xludf.DUMMYFUNCTION("""COMPUTED_VALUE"""),"Man fired shot during youth football game")</f>
        <v>Man fired shot during youth football game</v>
      </c>
      <c r="Z129" s="5" t="str">
        <f ca="1">IFERROR(__xludf.DUMMYFUNCTION("""COMPUTED_VALUE"""),"A man has been arrested after accidentally firing his gun at a flag football game in Highlands Ranch Saturday, sheriff's deputies said. The Douglas County Sheriff's Office said they received several calls of shots fired on or around the football field at "&amp;"Cresthill Middle School at 3:45 p.m. Deputies contacted 65-year-old David Drummond of Aurora, who was attending a flag football game when a handgun fell out of his pants. The sheriff's office said when Drummond picked up the gun, he discharged a round int"&amp;"o the area. There haven't been any reports of injuries. Drummond was taken into custody and booked at the Douglas County Jail on charges of prohibited use of a weapon, unlawful carrying of a weapon on school property, reckless endangerment and disorderly "&amp;"conduct. ")</f>
        <v xml:space="preserve">A man has been arrested after accidentally firing his gun at a flag football game in Highlands Ranch Saturday, sheriff's deputies said. The Douglas County Sheriff's Office said they received several calls of shots fired on or around the football field at Cresthill Middle School at 3:45 p.m. Deputies contacted 65-year-old David Drummond of Aurora, who was attending a flag football game when a handgun fell out of his pants. The sheriff's office said when Drummond picked up the gun, he discharged a round into the area. There haven't been any reports of injuries. Drummond was taken into custody and booked at the Douglas County Jail on charges of prohibited use of a weapon, unlawful carrying of a weapon on school property, reckless endangerment and disorderly conduct. </v>
      </c>
      <c r="AA129" s="5" t="str">
        <f ca="1">IFERROR(__xludf.DUMMYFUNCTION("""COMPUTED_VALUE"""),"Accidental")</f>
        <v>Accidental</v>
      </c>
      <c r="AB129" s="5" t="str">
        <f ca="1">IFERROR(__xludf.DUMMYFUNCTION("""COMPUTED_VALUE"""),"Neither")</f>
        <v>Neither</v>
      </c>
      <c r="AC129" s="5" t="str">
        <f ca="1">IFERROR(__xludf.DUMMYFUNCTION("""COMPUTED_VALUE"""),"No")</f>
        <v>No</v>
      </c>
      <c r="AD129" s="5" t="str">
        <f ca="1">IFERROR(__xludf.DUMMYFUNCTION("""COMPUTED_VALUE"""),"No")</f>
        <v>No</v>
      </c>
      <c r="AE129" s="5" t="str">
        <f ca="1">IFERROR(__xludf.DUMMYFUNCTION("""COMPUTED_VALUE"""),"No")</f>
        <v>No</v>
      </c>
      <c r="AF129" s="5" t="str">
        <f ca="1">IFERROR(__xludf.DUMMYFUNCTION("""COMPUTED_VALUE"""),"No")</f>
        <v>No</v>
      </c>
      <c r="AG129" s="5" t="str">
        <f ca="1">IFERROR(__xludf.DUMMYFUNCTION("""COMPUTED_VALUE"""),"No")</f>
        <v>No</v>
      </c>
      <c r="AH129" s="5" t="str">
        <f ca="1">IFERROR(__xludf.DUMMYFUNCTION("""COMPUTED_VALUE"""),"No")</f>
        <v>No</v>
      </c>
      <c r="AI129" s="5"/>
      <c r="AJ129" s="5" t="str">
        <f ca="1">IFERROR(__xludf.DUMMYFUNCTION("""COMPUTED_VALUE"""),"No")</f>
        <v>No</v>
      </c>
    </row>
    <row r="130" spans="1:36" ht="13">
      <c r="A130" s="5" t="str">
        <f ca="1">IFERROR(__xludf.DUMMYFUNCTION("""COMPUTED_VALUE"""),"20221028NCWAT")</f>
        <v>20221028NCWAT</v>
      </c>
      <c r="B130" s="5">
        <f ca="1">IFERROR(__xludf.DUMMYFUNCTION("""COMPUTED_VALUE"""),10)</f>
        <v>10</v>
      </c>
      <c r="C130" s="5">
        <f ca="1">IFERROR(__xludf.DUMMYFUNCTION("""COMPUTED_VALUE"""),28)</f>
        <v>28</v>
      </c>
      <c r="D130" s="5">
        <f ca="1">IFERROR(__xludf.DUMMYFUNCTION("""COMPUTED_VALUE"""),2022)</f>
        <v>2022</v>
      </c>
      <c r="E130" s="8">
        <f ca="1">IFERROR(__xludf.DUMMYFUNCTION("""COMPUTED_VALUE"""),44862)</f>
        <v>44862</v>
      </c>
      <c r="F130" s="5" t="str">
        <f ca="1">IFERROR(__xludf.DUMMYFUNCTION("""COMPUTED_VALUE"""),"Wallace Rose Hill High School")</f>
        <v>Wallace Rose Hill High School</v>
      </c>
      <c r="G130" s="5">
        <f ca="1">IFERROR(__xludf.DUMMYFUNCTION("""COMPUTED_VALUE"""),0)</f>
        <v>0</v>
      </c>
      <c r="H130" s="5">
        <f ca="1">IFERROR(__xludf.DUMMYFUNCTION("""COMPUTED_VALUE"""),0)</f>
        <v>0</v>
      </c>
      <c r="I130" s="5">
        <f ca="1">IFERROR(__xludf.DUMMYFUNCTION("""COMPUTED_VALUE"""),0)</f>
        <v>0</v>
      </c>
      <c r="J130" s="5">
        <f ca="1">IFERROR(__xludf.DUMMYFUNCTION("""COMPUTED_VALUE"""),0)</f>
        <v>0</v>
      </c>
      <c r="K130" s="5" t="str">
        <f ca="1">IFERROR(__xludf.DUMMYFUNCTION("""COMPUTED_VALUE"""),"https://www.witn.com/2022/10/29/investigation-underway-after-shot-fired-high-school-football-game-duplin-county/
https://www.wect.com/2022/10/29/shot-fired-james-keenan-vs-wallace-rose-hill-football-game/
https://wcti12.com/news/local/shots-fired-cancels-"&amp;"high-school-football-game-no-one-injured")</f>
        <v>https://www.witn.com/2022/10/29/investigation-underway-after-shot-fired-high-school-football-game-duplin-county/
https://www.wect.com/2022/10/29/shot-fired-james-keenan-vs-wallace-rose-hill-football-game/
https://wcti12.com/news/local/shots-fired-cancels-high-school-football-game-no-one-injured</v>
      </c>
      <c r="L130" s="5">
        <f ca="1">IFERROR(__xludf.DUMMYFUNCTION("""COMPUTED_VALUE"""),5)</f>
        <v>5</v>
      </c>
      <c r="M130" s="5" t="str">
        <f ca="1">IFERROR(__xludf.DUMMYFUNCTION("""COMPUTED_VALUE"""),"Regional")</f>
        <v>Regional</v>
      </c>
      <c r="N130" s="5">
        <f ca="1">IFERROR(__xludf.DUMMYFUNCTION("""COMPUTED_VALUE"""),4)</f>
        <v>4</v>
      </c>
      <c r="O130" s="5" t="str">
        <f ca="1">IFERROR(__xludf.DUMMYFUNCTION("""COMPUTED_VALUE"""),"Fall")</f>
        <v>Fall</v>
      </c>
      <c r="P130" s="5" t="str">
        <f ca="1">IFERROR(__xludf.DUMMYFUNCTION("""COMPUTED_VALUE"""),"Teachey")</f>
        <v>Teachey</v>
      </c>
      <c r="Q130" s="5" t="str">
        <f ca="1">IFERROR(__xludf.DUMMYFUNCTION("""COMPUTED_VALUE"""),"NC")</f>
        <v>NC</v>
      </c>
      <c r="R130" s="5" t="str">
        <f ca="1">IFERROR(__xludf.DUMMYFUNCTION("""COMPUTED_VALUE"""),"High")</f>
        <v>High</v>
      </c>
      <c r="S130" s="5" t="str">
        <f ca="1">IFERROR(__xludf.DUMMYFUNCTION("""COMPUTED_VALUE"""),"Football Field/Track")</f>
        <v>Football Field/Track</v>
      </c>
      <c r="T130" s="5" t="str">
        <f ca="1">IFERROR(__xludf.DUMMYFUNCTION("""COMPUTED_VALUE"""),"Outside on School Property")</f>
        <v>Outside on School Property</v>
      </c>
      <c r="U130" s="5" t="str">
        <f ca="1">IFERROR(__xludf.DUMMYFUNCTION("""COMPUTED_VALUE"""),"No")</f>
        <v>No</v>
      </c>
      <c r="V130" s="5" t="str">
        <f ca="1">IFERROR(__xludf.DUMMYFUNCTION("""COMPUTED_VALUE"""),"Sport Event")</f>
        <v>Sport Event</v>
      </c>
      <c r="W130" s="10">
        <f ca="1">IFERROR(__xludf.DUMMYFUNCTION("""COMPUTED_VALUE"""),0.875)</f>
        <v>0.875</v>
      </c>
      <c r="X130" s="5">
        <f ca="1">IFERROR(__xludf.DUMMYFUNCTION("""COMPUTED_VALUE"""),1)</f>
        <v>1</v>
      </c>
      <c r="Y130" s="5" t="str">
        <f ca="1">IFERROR(__xludf.DUMMYFUNCTION("""COMPUTED_VALUE"""),"Shots fired during fight between fans at high school game")</f>
        <v>Shots fired during fight between fans at high school game</v>
      </c>
      <c r="Z130" s="5" t="str">
        <f ca="1">IFERROR(__xludf.DUMMYFUNCTION("""COMPUTED_VALUE"""),"Shot fired during fight between fans with 25 seconds left in high school football game. Stadium evacuated and game postponed. No injuries.")</f>
        <v>Shot fired during fight between fans with 25 seconds left in high school football game. Stadium evacuated and game postponed. No injuries.</v>
      </c>
      <c r="AA130" s="5" t="str">
        <f ca="1">IFERROR(__xludf.DUMMYFUNCTION("""COMPUTED_VALUE"""),"Escalation of Dispute")</f>
        <v>Escalation of Dispute</v>
      </c>
      <c r="AB130" s="5" t="str">
        <f ca="1">IFERROR(__xludf.DUMMYFUNCTION("""COMPUTED_VALUE"""),"Victims Targeted")</f>
        <v>Victims Targeted</v>
      </c>
      <c r="AC130" s="5" t="str">
        <f ca="1">IFERROR(__xludf.DUMMYFUNCTION("""COMPUTED_VALUE"""),"No")</f>
        <v>No</v>
      </c>
      <c r="AD130" s="5" t="str">
        <f ca="1">IFERROR(__xludf.DUMMYFUNCTION("""COMPUTED_VALUE"""),"No")</f>
        <v>No</v>
      </c>
      <c r="AE130" s="5" t="str">
        <f ca="1">IFERROR(__xludf.DUMMYFUNCTION("""COMPUTED_VALUE"""),"No")</f>
        <v>No</v>
      </c>
      <c r="AF130" s="5" t="str">
        <f ca="1">IFERROR(__xludf.DUMMYFUNCTION("""COMPUTED_VALUE"""),"No")</f>
        <v>No</v>
      </c>
      <c r="AG130" s="5" t="str">
        <f ca="1">IFERROR(__xludf.DUMMYFUNCTION("""COMPUTED_VALUE"""),"No")</f>
        <v>No</v>
      </c>
      <c r="AH130" s="5" t="str">
        <f ca="1">IFERROR(__xludf.DUMMYFUNCTION("""COMPUTED_VALUE"""),"No")</f>
        <v>No</v>
      </c>
      <c r="AI130" s="5"/>
      <c r="AJ130" s="5" t="str">
        <f ca="1">IFERROR(__xludf.DUMMYFUNCTION("""COMPUTED_VALUE"""),"No")</f>
        <v>No</v>
      </c>
    </row>
    <row r="131" spans="1:36" ht="13">
      <c r="A131" s="5" t="str">
        <f ca="1">IFERROR(__xludf.DUMMYFUNCTION("""COMPUTED_VALUE"""),"20221028TXROR")</f>
        <v>20221028TXROR</v>
      </c>
      <c r="B131" s="5">
        <f ca="1">IFERROR(__xludf.DUMMYFUNCTION("""COMPUTED_VALUE"""),10)</f>
        <v>10</v>
      </c>
      <c r="C131" s="5">
        <f ca="1">IFERROR(__xludf.DUMMYFUNCTION("""COMPUTED_VALUE"""),28)</f>
        <v>28</v>
      </c>
      <c r="D131" s="5">
        <f ca="1">IFERROR(__xludf.DUMMYFUNCTION("""COMPUTED_VALUE"""),2022)</f>
        <v>2022</v>
      </c>
      <c r="E131" s="8">
        <f ca="1">IFERROR(__xludf.DUMMYFUNCTION("""COMPUTED_VALUE"""),44862)</f>
        <v>44862</v>
      </c>
      <c r="F131" s="5" t="str">
        <f ca="1">IFERROR(__xludf.DUMMYFUNCTION("""COMPUTED_VALUE"""),"Rowlett High School")</f>
        <v>Rowlett High School</v>
      </c>
      <c r="G131" s="5">
        <f ca="1">IFERROR(__xludf.DUMMYFUNCTION("""COMPUTED_VALUE"""),0)</f>
        <v>0</v>
      </c>
      <c r="H131" s="5">
        <f ca="1">IFERROR(__xludf.DUMMYFUNCTION("""COMPUTED_VALUE"""),0)</f>
        <v>0</v>
      </c>
      <c r="I131" s="5">
        <f ca="1">IFERROR(__xludf.DUMMYFUNCTION("""COMPUTED_VALUE"""),0)</f>
        <v>0</v>
      </c>
      <c r="J131" s="5">
        <f ca="1">IFERROR(__xludf.DUMMYFUNCTION("""COMPUTED_VALUE"""),0)</f>
        <v>0</v>
      </c>
      <c r="K131" s="5" t="str">
        <f ca="1">IFERROR(__xludf.DUMMYFUNCTION("""COMPUTED_VALUE"""),"https://www.fox4news.com/news/rowlett-high-school-campus-disturbance-under-investigation
https://www.wavy.com/news/north-carolina/arrest-made-in-friday-night-shooting-at-duplin-county-football-game/")</f>
        <v>https://www.fox4news.com/news/rowlett-high-school-campus-disturbance-under-investigation
https://www.wavy.com/news/north-carolina/arrest-made-in-friday-night-shooting-at-duplin-county-football-game/</v>
      </c>
      <c r="L131" s="5">
        <f ca="1">IFERROR(__xludf.DUMMYFUNCTION("""COMPUTED_VALUE"""),10)</f>
        <v>10</v>
      </c>
      <c r="M131" s="5" t="str">
        <f ca="1">IFERROR(__xludf.DUMMYFUNCTION("""COMPUTED_VALUE"""),"Regional")</f>
        <v>Regional</v>
      </c>
      <c r="N131" s="5">
        <f ca="1">IFERROR(__xludf.DUMMYFUNCTION("""COMPUTED_VALUE"""),4)</f>
        <v>4</v>
      </c>
      <c r="O131" s="5" t="str">
        <f ca="1">IFERROR(__xludf.DUMMYFUNCTION("""COMPUTED_VALUE"""),"Fall")</f>
        <v>Fall</v>
      </c>
      <c r="P131" s="5" t="str">
        <f ca="1">IFERROR(__xludf.DUMMYFUNCTION("""COMPUTED_VALUE"""),"Rowlett")</f>
        <v>Rowlett</v>
      </c>
      <c r="Q131" s="5" t="str">
        <f ca="1">IFERROR(__xludf.DUMMYFUNCTION("""COMPUTED_VALUE"""),"TX")</f>
        <v>TX</v>
      </c>
      <c r="R131" s="5" t="str">
        <f ca="1">IFERROR(__xludf.DUMMYFUNCTION("""COMPUTED_VALUE"""),"High")</f>
        <v>High</v>
      </c>
      <c r="S131" s="5" t="str">
        <f ca="1">IFERROR(__xludf.DUMMYFUNCTION("""COMPUTED_VALUE"""),"Bathroom")</f>
        <v>Bathroom</v>
      </c>
      <c r="T131" s="5" t="str">
        <f ca="1">IFERROR(__xludf.DUMMYFUNCTION("""COMPUTED_VALUE"""),"Inside School Building")</f>
        <v>Inside School Building</v>
      </c>
      <c r="U131" s="5" t="str">
        <f ca="1">IFERROR(__xludf.DUMMYFUNCTION("""COMPUTED_VALUE"""),"No")</f>
        <v>No</v>
      </c>
      <c r="V131" s="5" t="str">
        <f ca="1">IFERROR(__xludf.DUMMYFUNCTION("""COMPUTED_VALUE"""),"Morning Classes")</f>
        <v>Morning Classes</v>
      </c>
      <c r="W131" s="10">
        <f ca="1">IFERROR(__xludf.DUMMYFUNCTION("""COMPUTED_VALUE"""),0.458333333333333)</f>
        <v>0.45833333333333298</v>
      </c>
      <c r="X131" s="5">
        <f ca="1">IFERROR(__xludf.DUMMYFUNCTION("""COMPUTED_VALUE"""),1)</f>
        <v>1</v>
      </c>
      <c r="Y131" s="5" t="str">
        <f ca="1">IFERROR(__xludf.DUMMYFUNCTION("""COMPUTED_VALUE"""),"Student struck multiple times with loaded handgun during fight in bathroom")</f>
        <v>Student struck multiple times with loaded handgun during fight in bathroom</v>
      </c>
      <c r="Z131" s="5" t="str">
        <f ca="1">IFERROR(__xludf.DUMMYFUNCTION("""COMPUTED_VALUE"""),"A student told police he was jumped in the boys’ bathroom by three other students and then hit multiple times with a loaded handgun.  School went on lockdown. 3 students arrested.")</f>
        <v>A student told police he was jumped in the boys’ bathroom by three other students and then hit multiple times with a loaded handgun.  School went on lockdown. 3 students arrested.</v>
      </c>
      <c r="AA131" s="5" t="str">
        <f ca="1">IFERROR(__xludf.DUMMYFUNCTION("""COMPUTED_VALUE"""),"Escalation of Dispute")</f>
        <v>Escalation of Dispute</v>
      </c>
      <c r="AB131" s="5" t="str">
        <f ca="1">IFERROR(__xludf.DUMMYFUNCTION("""COMPUTED_VALUE"""),"Victims Targeted")</f>
        <v>Victims Targeted</v>
      </c>
      <c r="AC131" s="5" t="str">
        <f ca="1">IFERROR(__xludf.DUMMYFUNCTION("""COMPUTED_VALUE"""),"Yes")</f>
        <v>Yes</v>
      </c>
      <c r="AD131" s="5" t="str">
        <f ca="1">IFERROR(__xludf.DUMMYFUNCTION("""COMPUTED_VALUE"""),"No")</f>
        <v>No</v>
      </c>
      <c r="AE131" s="5" t="str">
        <f ca="1">IFERROR(__xludf.DUMMYFUNCTION("""COMPUTED_VALUE"""),"No")</f>
        <v>No</v>
      </c>
      <c r="AF131" s="5" t="str">
        <f ca="1">IFERROR(__xludf.DUMMYFUNCTION("""COMPUTED_VALUE"""),"No")</f>
        <v>No</v>
      </c>
      <c r="AG131" s="5"/>
      <c r="AH131" s="5" t="str">
        <f ca="1">IFERROR(__xludf.DUMMYFUNCTION("""COMPUTED_VALUE"""),"No")</f>
        <v>No</v>
      </c>
      <c r="AI131" s="5"/>
      <c r="AJ131" s="5" t="str">
        <f ca="1">IFERROR(__xludf.DUMMYFUNCTION("""COMPUTED_VALUE"""),"No")</f>
        <v>No</v>
      </c>
    </row>
    <row r="132" spans="1:36" ht="13">
      <c r="A132" s="5" t="str">
        <f ca="1">IFERROR(__xludf.DUMMYFUNCTION("""COMPUTED_VALUE"""),"20221028ARROR")</f>
        <v>20221028ARROR</v>
      </c>
      <c r="B132" s="5">
        <f ca="1">IFERROR(__xludf.DUMMYFUNCTION("""COMPUTED_VALUE"""),10)</f>
        <v>10</v>
      </c>
      <c r="C132" s="5">
        <f ca="1">IFERROR(__xludf.DUMMYFUNCTION("""COMPUTED_VALUE"""),28)</f>
        <v>28</v>
      </c>
      <c r="D132" s="5">
        <f ca="1">IFERROR(__xludf.DUMMYFUNCTION("""COMPUTED_VALUE"""),2022)</f>
        <v>2022</v>
      </c>
      <c r="E132" s="8">
        <f ca="1">IFERROR(__xludf.DUMMYFUNCTION("""COMPUTED_VALUE"""),44862)</f>
        <v>44862</v>
      </c>
      <c r="F132" s="5" t="str">
        <f ca="1">IFERROR(__xludf.DUMMYFUNCTION("""COMPUTED_VALUE"""),"Rogers School District Bus")</f>
        <v>Rogers School District Bus</v>
      </c>
      <c r="G132" s="5">
        <f ca="1">IFERROR(__xludf.DUMMYFUNCTION("""COMPUTED_VALUE"""),0)</f>
        <v>0</v>
      </c>
      <c r="H132" s="5">
        <f ca="1">IFERROR(__xludf.DUMMYFUNCTION("""COMPUTED_VALUE"""),0)</f>
        <v>0</v>
      </c>
      <c r="I132" s="5">
        <f ca="1">IFERROR(__xludf.DUMMYFUNCTION("""COMPUTED_VALUE"""),0)</f>
        <v>0</v>
      </c>
      <c r="J132" s="5">
        <f ca="1">IFERROR(__xludf.DUMMYFUNCTION("""COMPUTED_VALUE"""),0)</f>
        <v>0</v>
      </c>
      <c r="K132" s="5" t="str">
        <f ca="1">IFERROR(__xludf.DUMMYFUNCTION("""COMPUTED_VALUE"""),"https://www.nwaonline.com/news/2022/oct/29/no-injuries-reported-after-rogers-school-buses/
https://www.nwahomepage.com/news/12-year-old-shoots-rogers-school-buses/")</f>
        <v>https://www.nwaonline.com/news/2022/oct/29/no-injuries-reported-after-rogers-school-buses/
https://www.nwahomepage.com/news/12-year-old-shoots-rogers-school-buses/</v>
      </c>
      <c r="L132" s="5">
        <f ca="1">IFERROR(__xludf.DUMMYFUNCTION("""COMPUTED_VALUE"""),1)</f>
        <v>1</v>
      </c>
      <c r="M132" s="5" t="str">
        <f ca="1">IFERROR(__xludf.DUMMYFUNCTION("""COMPUTED_VALUE"""),"Local")</f>
        <v>Local</v>
      </c>
      <c r="N132" s="5">
        <f ca="1">IFERROR(__xludf.DUMMYFUNCTION("""COMPUTED_VALUE"""),3)</f>
        <v>3</v>
      </c>
      <c r="O132" s="5" t="str">
        <f ca="1">IFERROR(__xludf.DUMMYFUNCTION("""COMPUTED_VALUE"""),"Fall")</f>
        <v>Fall</v>
      </c>
      <c r="P132" s="5" t="str">
        <f ca="1">IFERROR(__xludf.DUMMYFUNCTION("""COMPUTED_VALUE"""),"Rogers")</f>
        <v>Rogers</v>
      </c>
      <c r="Q132" s="5" t="str">
        <f ca="1">IFERROR(__xludf.DUMMYFUNCTION("""COMPUTED_VALUE"""),"AR")</f>
        <v>AR</v>
      </c>
      <c r="R132" s="5" t="str">
        <f ca="1">IFERROR(__xludf.DUMMYFUNCTION("""COMPUTED_VALUE"""),"K-12")</f>
        <v>K-12</v>
      </c>
      <c r="S132" s="5" t="str">
        <f ca="1">IFERROR(__xludf.DUMMYFUNCTION("""COMPUTED_VALUE"""),"School Bus")</f>
        <v>School Bus</v>
      </c>
      <c r="T132" s="5" t="str">
        <f ca="1">IFERROR(__xludf.DUMMYFUNCTION("""COMPUTED_VALUE"""),"School Bus")</f>
        <v>School Bus</v>
      </c>
      <c r="U132" s="5" t="str">
        <f ca="1">IFERROR(__xludf.DUMMYFUNCTION("""COMPUTED_VALUE"""),"Yes")</f>
        <v>Yes</v>
      </c>
      <c r="V132" s="5" t="str">
        <f ca="1">IFERROR(__xludf.DUMMYFUNCTION("""COMPUTED_VALUE"""),"Dismissal")</f>
        <v>Dismissal</v>
      </c>
      <c r="W132" s="10">
        <f ca="1">IFERROR(__xludf.DUMMYFUNCTION("""COMPUTED_VALUE"""),0.583333333333333)</f>
        <v>0.58333333333333304</v>
      </c>
      <c r="X132" s="5">
        <f ca="1">IFERROR(__xludf.DUMMYFUNCTION("""COMPUTED_VALUE"""),1)</f>
        <v>1</v>
      </c>
      <c r="Y132" s="5" t="str">
        <f ca="1">IFERROR(__xludf.DUMMYFUNCTION("""COMPUTED_VALUE"""),"Pellets broke window of occupied school bus driving students home")</f>
        <v>Pellets broke window of occupied school bus driving students home</v>
      </c>
      <c r="Z132" s="5" t="str">
        <f ca="1">IFERROR(__xludf.DUMMYFUNCTION("""COMPUTED_VALUE"""),"Pellets broke window of occupied school bus driving students home. No injuries.")</f>
        <v>Pellets broke window of occupied school bus driving students home. No injuries.</v>
      </c>
      <c r="AA132" s="5" t="str">
        <f ca="1">IFERROR(__xludf.DUMMYFUNCTION("""COMPUTED_VALUE"""),"Intentional Property Damage")</f>
        <v>Intentional Property Damage</v>
      </c>
      <c r="AB132" s="5" t="str">
        <f ca="1">IFERROR(__xludf.DUMMYFUNCTION("""COMPUTED_VALUE"""),"Random Shooting")</f>
        <v>Random Shooting</v>
      </c>
      <c r="AC132" s="5" t="str">
        <f ca="1">IFERROR(__xludf.DUMMYFUNCTION("""COMPUTED_VALUE"""),"No")</f>
        <v>No</v>
      </c>
      <c r="AD132" s="5" t="str">
        <f ca="1">IFERROR(__xludf.DUMMYFUNCTION("""COMPUTED_VALUE"""),"No")</f>
        <v>No</v>
      </c>
      <c r="AE132" s="5" t="str">
        <f ca="1">IFERROR(__xludf.DUMMYFUNCTION("""COMPUTED_VALUE"""),"No")</f>
        <v>No</v>
      </c>
      <c r="AF132" s="5" t="str">
        <f ca="1">IFERROR(__xludf.DUMMYFUNCTION("""COMPUTED_VALUE"""),"No")</f>
        <v>No</v>
      </c>
      <c r="AG132" s="5" t="str">
        <f ca="1">IFERROR(__xludf.DUMMYFUNCTION("""COMPUTED_VALUE"""),"No")</f>
        <v>No</v>
      </c>
      <c r="AH132" s="5" t="str">
        <f ca="1">IFERROR(__xludf.DUMMYFUNCTION("""COMPUTED_VALUE"""),"No")</f>
        <v>No</v>
      </c>
      <c r="AI132" s="5"/>
      <c r="AJ132" s="5" t="str">
        <f ca="1">IFERROR(__xludf.DUMMYFUNCTION("""COMPUTED_VALUE"""),"No")</f>
        <v>No</v>
      </c>
    </row>
    <row r="133" spans="1:36" ht="13">
      <c r="A133" s="5" t="str">
        <f ca="1">IFERROR(__xludf.DUMMYFUNCTION("""COMPUTED_VALUE"""),"20221026ILMIW")</f>
        <v>20221026ILMIW</v>
      </c>
      <c r="B133" s="5">
        <f ca="1">IFERROR(__xludf.DUMMYFUNCTION("""COMPUTED_VALUE"""),10)</f>
        <v>10</v>
      </c>
      <c r="C133" s="5">
        <f ca="1">IFERROR(__xludf.DUMMYFUNCTION("""COMPUTED_VALUE"""),26)</f>
        <v>26</v>
      </c>
      <c r="D133" s="5">
        <f ca="1">IFERROR(__xludf.DUMMYFUNCTION("""COMPUTED_VALUE"""),2022)</f>
        <v>2022</v>
      </c>
      <c r="E133" s="8">
        <f ca="1">IFERROR(__xludf.DUMMYFUNCTION("""COMPUTED_VALUE"""),44860)</f>
        <v>44860</v>
      </c>
      <c r="F133" s="5" t="str">
        <f ca="1">IFERROR(__xludf.DUMMYFUNCTION("""COMPUTED_VALUE"""),"Miguel Juarez Middle School")</f>
        <v>Miguel Juarez Middle School</v>
      </c>
      <c r="G133" s="5">
        <f ca="1">IFERROR(__xludf.DUMMYFUNCTION("""COMPUTED_VALUE"""),0)</f>
        <v>0</v>
      </c>
      <c r="H133" s="5">
        <f ca="1">IFERROR(__xludf.DUMMYFUNCTION("""COMPUTED_VALUE"""),1)</f>
        <v>1</v>
      </c>
      <c r="I133" s="5">
        <f ca="1">IFERROR(__xludf.DUMMYFUNCTION("""COMPUTED_VALUE"""),1)</f>
        <v>1</v>
      </c>
      <c r="J133" s="5">
        <f ca="1">IFERROR(__xludf.DUMMYFUNCTION("""COMPUTED_VALUE"""),0)</f>
        <v>0</v>
      </c>
      <c r="K133" s="5" t="str">
        <f ca="1">IFERROR(__xludf.DUMMYFUNCTION("""COMPUTED_VALUE"""),"https://www.lakemchenryscanner.com/2022/10/26/16-year-old-boy-shot-on-bike-path-behind-school-in-waukegan/
https://www.cbsnews.com/chicago/video/shots-fired-near-miguel-juarez-middle-school-in-waukegan/")</f>
        <v>https://www.lakemchenryscanner.com/2022/10/26/16-year-old-boy-shot-on-bike-path-behind-school-in-waukegan/
https://www.cbsnews.com/chicago/video/shots-fired-near-miguel-juarez-middle-school-in-waukegan/</v>
      </c>
      <c r="L133" s="5">
        <f ca="1">IFERROR(__xludf.DUMMYFUNCTION("""COMPUTED_VALUE"""),20)</f>
        <v>20</v>
      </c>
      <c r="M133" s="5" t="str">
        <f ca="1">IFERROR(__xludf.DUMMYFUNCTION("""COMPUTED_VALUE"""),"National")</f>
        <v>National</v>
      </c>
      <c r="N133" s="5">
        <f ca="1">IFERROR(__xludf.DUMMYFUNCTION("""COMPUTED_VALUE"""),4)</f>
        <v>4</v>
      </c>
      <c r="O133" s="5" t="str">
        <f ca="1">IFERROR(__xludf.DUMMYFUNCTION("""COMPUTED_VALUE"""),"Fall")</f>
        <v>Fall</v>
      </c>
      <c r="P133" s="5" t="str">
        <f ca="1">IFERROR(__xludf.DUMMYFUNCTION("""COMPUTED_VALUE"""),"Waukegan")</f>
        <v>Waukegan</v>
      </c>
      <c r="Q133" s="5" t="str">
        <f ca="1">IFERROR(__xludf.DUMMYFUNCTION("""COMPUTED_VALUE"""),"IL")</f>
        <v>IL</v>
      </c>
      <c r="R133" s="5" t="str">
        <f ca="1">IFERROR(__xludf.DUMMYFUNCTION("""COMPUTED_VALUE"""),"Middle")</f>
        <v>Middle</v>
      </c>
      <c r="S133" s="5" t="str">
        <f ca="1">IFERROR(__xludf.DUMMYFUNCTION("""COMPUTED_VALUE"""),"Field (General)")</f>
        <v>Field (General)</v>
      </c>
      <c r="T133" s="5" t="str">
        <f ca="1">IFERROR(__xludf.DUMMYFUNCTION("""COMPUTED_VALUE"""),"Outside on School Property")</f>
        <v>Outside on School Property</v>
      </c>
      <c r="U133" s="5" t="str">
        <f ca="1">IFERROR(__xludf.DUMMYFUNCTION("""COMPUTED_VALUE"""),"Yes")</f>
        <v>Yes</v>
      </c>
      <c r="V133" s="5" t="str">
        <f ca="1">IFERROR(__xludf.DUMMYFUNCTION("""COMPUTED_VALUE"""),"Afternoon Classes")</f>
        <v>Afternoon Classes</v>
      </c>
      <c r="W133" s="10">
        <f ca="1">IFERROR(__xludf.DUMMYFUNCTION("""COMPUTED_VALUE"""),0.5625)</f>
        <v>0.5625</v>
      </c>
      <c r="X133" s="5">
        <f ca="1">IFERROR(__xludf.DUMMYFUNCTION("""COMPUTED_VALUE"""),1)</f>
        <v>1</v>
      </c>
      <c r="Y133" s="5" t="str">
        <f ca="1">IFERROR(__xludf.DUMMYFUNCTION("""COMPUTED_VALUE"""),"Teen shot multiple times on path behind school")</f>
        <v>Teen shot multiple times on path behind school</v>
      </c>
      <c r="Z133" s="5" t="str">
        <f ca="1">IFERROR(__xludf.DUMMYFUNCTION("""COMPUTED_VALUE"""),"16-year-old shot multiple times on path behind school. Shooter fled in vehicle. School went on lockdown.")</f>
        <v>16-year-old shot multiple times on path behind school. Shooter fled in vehicle. School went on lockdown.</v>
      </c>
      <c r="AA133" s="5"/>
      <c r="AB133" s="5" t="str">
        <f ca="1">IFERROR(__xludf.DUMMYFUNCTION("""COMPUTED_VALUE"""),"Victims Targeted")</f>
        <v>Victims Targeted</v>
      </c>
      <c r="AC133" s="5"/>
      <c r="AD133" s="5" t="str">
        <f ca="1">IFERROR(__xludf.DUMMYFUNCTION("""COMPUTED_VALUE"""),"No")</f>
        <v>No</v>
      </c>
      <c r="AE133" s="5" t="str">
        <f ca="1">IFERROR(__xludf.DUMMYFUNCTION("""COMPUTED_VALUE"""),"No")</f>
        <v>No</v>
      </c>
      <c r="AF133" s="5" t="str">
        <f ca="1">IFERROR(__xludf.DUMMYFUNCTION("""COMPUTED_VALUE"""),"No")</f>
        <v>No</v>
      </c>
      <c r="AG133" s="5" t="str">
        <f ca="1">IFERROR(__xludf.DUMMYFUNCTION("""COMPUTED_VALUE"""),"No")</f>
        <v>No</v>
      </c>
      <c r="AH133" s="5" t="str">
        <f ca="1">IFERROR(__xludf.DUMMYFUNCTION("""COMPUTED_VALUE"""),"No")</f>
        <v>No</v>
      </c>
      <c r="AI133" s="5"/>
      <c r="AJ133" s="5" t="str">
        <f ca="1">IFERROR(__xludf.DUMMYFUNCTION("""COMPUTED_VALUE"""),"No")</f>
        <v>No</v>
      </c>
    </row>
    <row r="134" spans="1:36" ht="13">
      <c r="A134" s="5" t="str">
        <f ca="1">IFERROR(__xludf.DUMMYFUNCTION("""COMPUTED_VALUE"""),"20221025PAPAP")</f>
        <v>20221025PAPAP</v>
      </c>
      <c r="B134" s="5">
        <f ca="1">IFERROR(__xludf.DUMMYFUNCTION("""COMPUTED_VALUE"""),10)</f>
        <v>10</v>
      </c>
      <c r="C134" s="5">
        <f ca="1">IFERROR(__xludf.DUMMYFUNCTION("""COMPUTED_VALUE"""),25)</f>
        <v>25</v>
      </c>
      <c r="D134" s="5">
        <f ca="1">IFERROR(__xludf.DUMMYFUNCTION("""COMPUTED_VALUE"""),2022)</f>
        <v>2022</v>
      </c>
      <c r="E134" s="8">
        <f ca="1">IFERROR(__xludf.DUMMYFUNCTION("""COMPUTED_VALUE"""),44859)</f>
        <v>44859</v>
      </c>
      <c r="F134" s="5" t="str">
        <f ca="1">IFERROR(__xludf.DUMMYFUNCTION("""COMPUTED_VALUE"""),"Passport Academy Charter School")</f>
        <v>Passport Academy Charter School</v>
      </c>
      <c r="G134" s="5">
        <f ca="1">IFERROR(__xludf.DUMMYFUNCTION("""COMPUTED_VALUE"""),0)</f>
        <v>0</v>
      </c>
      <c r="H134" s="5">
        <f ca="1">IFERROR(__xludf.DUMMYFUNCTION("""COMPUTED_VALUE"""),0)</f>
        <v>0</v>
      </c>
      <c r="I134" s="5">
        <f ca="1">IFERROR(__xludf.DUMMYFUNCTION("""COMPUTED_VALUE"""),0)</f>
        <v>0</v>
      </c>
      <c r="J134" s="5">
        <f ca="1">IFERROR(__xludf.DUMMYFUNCTION("""COMPUTED_VALUE"""),0)</f>
        <v>0</v>
      </c>
      <c r="K134" s="9" t="str">
        <f ca="1">IFERROR(__xludf.DUMMYFUNCTION("""COMPUTED_VALUE"""),"https://www.cbsnews.com/pittsburgh/news/downtown-pittsburgh-penn-avenue-shots-fired-passport-academy-charter-school/")</f>
        <v>https://www.cbsnews.com/pittsburgh/news/downtown-pittsburgh-penn-avenue-shots-fired-passport-academy-charter-school/</v>
      </c>
      <c r="L134" s="5">
        <f ca="1">IFERROR(__xludf.DUMMYFUNCTION("""COMPUTED_VALUE"""),3)</f>
        <v>3</v>
      </c>
      <c r="M134" s="5" t="str">
        <f ca="1">IFERROR(__xludf.DUMMYFUNCTION("""COMPUTED_VALUE"""),"Regional")</f>
        <v>Regional</v>
      </c>
      <c r="N134" s="5">
        <f ca="1">IFERROR(__xludf.DUMMYFUNCTION("""COMPUTED_VALUE"""),4)</f>
        <v>4</v>
      </c>
      <c r="O134" s="5" t="str">
        <f ca="1">IFERROR(__xludf.DUMMYFUNCTION("""COMPUTED_VALUE"""),"Fall")</f>
        <v>Fall</v>
      </c>
      <c r="P134" s="5" t="str">
        <f ca="1">IFERROR(__xludf.DUMMYFUNCTION("""COMPUTED_VALUE"""),"Pittsburgh")</f>
        <v>Pittsburgh</v>
      </c>
      <c r="Q134" s="5" t="str">
        <f ca="1">IFERROR(__xludf.DUMMYFUNCTION("""COMPUTED_VALUE"""),"PA")</f>
        <v>PA</v>
      </c>
      <c r="R134" s="5" t="str">
        <f ca="1">IFERROR(__xludf.DUMMYFUNCTION("""COMPUTED_VALUE"""),"Elementary")</f>
        <v>Elementary</v>
      </c>
      <c r="S134" s="5" t="str">
        <f ca="1">IFERROR(__xludf.DUMMYFUNCTION("""COMPUTED_VALUE"""),"Front of School")</f>
        <v>Front of School</v>
      </c>
      <c r="T134" s="5" t="str">
        <f ca="1">IFERROR(__xludf.DUMMYFUNCTION("""COMPUTED_VALUE"""),"Outside on School Property")</f>
        <v>Outside on School Property</v>
      </c>
      <c r="U134" s="5" t="str">
        <f ca="1">IFERROR(__xludf.DUMMYFUNCTION("""COMPUTED_VALUE"""),"Yes")</f>
        <v>Yes</v>
      </c>
      <c r="V134" s="5" t="str">
        <f ca="1">IFERROR(__xludf.DUMMYFUNCTION("""COMPUTED_VALUE"""),"Afternoon Classes")</f>
        <v>Afternoon Classes</v>
      </c>
      <c r="W134" s="10">
        <f ca="1">IFERROR(__xludf.DUMMYFUNCTION("""COMPUTED_VALUE"""),0.625)</f>
        <v>0.625</v>
      </c>
      <c r="X134" s="5">
        <f ca="1">IFERROR(__xludf.DUMMYFUNCTION("""COMPUTED_VALUE"""),1)</f>
        <v>1</v>
      </c>
      <c r="Y134" s="5" t="str">
        <f ca="1">IFERROR(__xludf.DUMMYFUNCTION("""COMPUTED_VALUE"""),"Bullet broke front door of school during afternoon classes")</f>
        <v>Bullet broke front door of school during afternoon classes</v>
      </c>
      <c r="Z134" s="5" t="str">
        <f ca="1">IFERROR(__xludf.DUMMYFUNCTION("""COMPUTED_VALUE"""),"Bullet broke the glass front door to the school during afternoon classes. School went on lockdown and parents rushed to the campus. No injuries.")</f>
        <v>Bullet broke the glass front door to the school during afternoon classes. School went on lockdown and parents rushed to the campus. No injuries.</v>
      </c>
      <c r="AA134" s="5"/>
      <c r="AB134" s="5"/>
      <c r="AC134" s="5" t="str">
        <f ca="1">IFERROR(__xludf.DUMMYFUNCTION("""COMPUTED_VALUE"""),"No")</f>
        <v>No</v>
      </c>
      <c r="AD134" s="5" t="str">
        <f ca="1">IFERROR(__xludf.DUMMYFUNCTION("""COMPUTED_VALUE"""),"No")</f>
        <v>No</v>
      </c>
      <c r="AE134" s="5" t="str">
        <f ca="1">IFERROR(__xludf.DUMMYFUNCTION("""COMPUTED_VALUE"""),"No")</f>
        <v>No</v>
      </c>
      <c r="AF134" s="5" t="str">
        <f ca="1">IFERROR(__xludf.DUMMYFUNCTION("""COMPUTED_VALUE"""),"No")</f>
        <v>No</v>
      </c>
      <c r="AG134" s="5" t="str">
        <f ca="1">IFERROR(__xludf.DUMMYFUNCTION("""COMPUTED_VALUE"""),"No")</f>
        <v>No</v>
      </c>
      <c r="AH134" s="5" t="str">
        <f ca="1">IFERROR(__xludf.DUMMYFUNCTION("""COMPUTED_VALUE"""),"No")</f>
        <v>No</v>
      </c>
      <c r="AI134" s="5"/>
      <c r="AJ134" s="5" t="str">
        <f ca="1">IFERROR(__xludf.DUMMYFUNCTION("""COMPUTED_VALUE"""),"No")</f>
        <v>No</v>
      </c>
    </row>
    <row r="135" spans="1:36" ht="13">
      <c r="A135" s="5" t="str">
        <f ca="1">IFERROR(__xludf.DUMMYFUNCTION("""COMPUTED_VALUE"""),"20221025NYTOS")</f>
        <v>20221025NYTOS</v>
      </c>
      <c r="B135" s="5">
        <f ca="1">IFERROR(__xludf.DUMMYFUNCTION("""COMPUTED_VALUE"""),10)</f>
        <v>10</v>
      </c>
      <c r="C135" s="5">
        <f ca="1">IFERROR(__xludf.DUMMYFUNCTION("""COMPUTED_VALUE"""),25)</f>
        <v>25</v>
      </c>
      <c r="D135" s="5">
        <f ca="1">IFERROR(__xludf.DUMMYFUNCTION("""COMPUTED_VALUE"""),2022)</f>
        <v>2022</v>
      </c>
      <c r="E135" s="8">
        <f ca="1">IFERROR(__xludf.DUMMYFUNCTION("""COMPUTED_VALUE"""),44859)</f>
        <v>44859</v>
      </c>
      <c r="F135" s="5" t="str">
        <f ca="1">IFERROR(__xludf.DUMMYFUNCTION("""COMPUTED_VALUE"""),"Totten High School")</f>
        <v>Totten High School</v>
      </c>
      <c r="G135" s="5">
        <f ca="1">IFERROR(__xludf.DUMMYFUNCTION("""COMPUTED_VALUE"""),0)</f>
        <v>0</v>
      </c>
      <c r="H135" s="5">
        <f ca="1">IFERROR(__xludf.DUMMYFUNCTION("""COMPUTED_VALUE"""),1)</f>
        <v>1</v>
      </c>
      <c r="I135" s="5">
        <f ca="1">IFERROR(__xludf.DUMMYFUNCTION("""COMPUTED_VALUE"""),1)</f>
        <v>1</v>
      </c>
      <c r="J135" s="5">
        <f ca="1">IFERROR(__xludf.DUMMYFUNCTION("""COMPUTED_VALUE"""),0)</f>
        <v>0</v>
      </c>
      <c r="K135" s="5" t="str">
        <f ca="1">IFERROR(__xludf.DUMMYFUNCTION("""COMPUTED_VALUE"""),"https://www.silive.com/crime-safety/2022/10/1-shot-in-vicinity-of-tottenville-high-school.html
https://www.fox5ny.com/news/shooting-outside-high-school-on-staten-island")</f>
        <v>https://www.silive.com/crime-safety/2022/10/1-shot-in-vicinity-of-tottenville-high-school.html
https://www.fox5ny.com/news/shooting-outside-high-school-on-staten-island</v>
      </c>
      <c r="L135" s="5">
        <f ca="1">IFERROR(__xludf.DUMMYFUNCTION("""COMPUTED_VALUE"""),10)</f>
        <v>10</v>
      </c>
      <c r="M135" s="5" t="str">
        <f ca="1">IFERROR(__xludf.DUMMYFUNCTION("""COMPUTED_VALUE"""),"Regional")</f>
        <v>Regional</v>
      </c>
      <c r="N135" s="5">
        <f ca="1">IFERROR(__xludf.DUMMYFUNCTION("""COMPUTED_VALUE"""),4)</f>
        <v>4</v>
      </c>
      <c r="O135" s="5" t="str">
        <f ca="1">IFERROR(__xludf.DUMMYFUNCTION("""COMPUTED_VALUE"""),"Fall")</f>
        <v>Fall</v>
      </c>
      <c r="P135" s="5" t="str">
        <f ca="1">IFERROR(__xludf.DUMMYFUNCTION("""COMPUTED_VALUE"""),"Staten Island")</f>
        <v>Staten Island</v>
      </c>
      <c r="Q135" s="5" t="str">
        <f ca="1">IFERROR(__xludf.DUMMYFUNCTION("""COMPUTED_VALUE"""),"NY")</f>
        <v>NY</v>
      </c>
      <c r="R135" s="5" t="str">
        <f ca="1">IFERROR(__xludf.DUMMYFUNCTION("""COMPUTED_VALUE"""),"High")</f>
        <v>High</v>
      </c>
      <c r="S135" s="5" t="str">
        <f ca="1">IFERROR(__xludf.DUMMYFUNCTION("""COMPUTED_VALUE"""),"Front of School")</f>
        <v>Front of School</v>
      </c>
      <c r="T135" s="5" t="str">
        <f ca="1">IFERROR(__xludf.DUMMYFUNCTION("""COMPUTED_VALUE"""),"Outside on School Property")</f>
        <v>Outside on School Property</v>
      </c>
      <c r="U135" s="5" t="str">
        <f ca="1">IFERROR(__xludf.DUMMYFUNCTION("""COMPUTED_VALUE"""),"Yes")</f>
        <v>Yes</v>
      </c>
      <c r="V135" s="5" t="str">
        <f ca="1">IFERROR(__xludf.DUMMYFUNCTION("""COMPUTED_VALUE"""),"Dismissal")</f>
        <v>Dismissal</v>
      </c>
      <c r="W135" s="10">
        <f ca="1">IFERROR(__xludf.DUMMYFUNCTION("""COMPUTED_VALUE"""),0.583333333333333)</f>
        <v>0.58333333333333304</v>
      </c>
      <c r="X135" s="5">
        <f ca="1">IFERROR(__xludf.DUMMYFUNCTION("""COMPUTED_VALUE"""),1)</f>
        <v>1</v>
      </c>
      <c r="Y135" s="5" t="str">
        <f ca="1">IFERROR(__xludf.DUMMYFUNCTION("""COMPUTED_VALUE"""),"Bystander student shot waiting for sports practice")</f>
        <v>Bystander student shot waiting for sports practice</v>
      </c>
      <c r="Z135" s="5" t="str">
        <f ca="1">IFERROR(__xludf.DUMMYFUNCTION("""COMPUTED_VALUE"""),"14-year-old student was shot in front of the school while he was waiting for sports practice to start. Group of teens fled.")</f>
        <v>14-year-old student was shot in front of the school while he was waiting for sports practice to start. Group of teens fled.</v>
      </c>
      <c r="AA135" s="5" t="str">
        <f ca="1">IFERROR(__xludf.DUMMYFUNCTION("""COMPUTED_VALUE"""),"Escalation of Dispute")</f>
        <v>Escalation of Dispute</v>
      </c>
      <c r="AB135" s="5" t="str">
        <f ca="1">IFERROR(__xludf.DUMMYFUNCTION("""COMPUTED_VALUE"""),"Both")</f>
        <v>Both</v>
      </c>
      <c r="AC135" s="5" t="str">
        <f ca="1">IFERROR(__xludf.DUMMYFUNCTION("""COMPUTED_VALUE"""),"Yes")</f>
        <v>Yes</v>
      </c>
      <c r="AD135" s="5" t="str">
        <f ca="1">IFERROR(__xludf.DUMMYFUNCTION("""COMPUTED_VALUE"""),"No")</f>
        <v>No</v>
      </c>
      <c r="AE135" s="5" t="str">
        <f ca="1">IFERROR(__xludf.DUMMYFUNCTION("""COMPUTED_VALUE"""),"No")</f>
        <v>No</v>
      </c>
      <c r="AF135" s="5" t="str">
        <f ca="1">IFERROR(__xludf.DUMMYFUNCTION("""COMPUTED_VALUE"""),"No")</f>
        <v>No</v>
      </c>
      <c r="AG135" s="5"/>
      <c r="AH135" s="5" t="str">
        <f ca="1">IFERROR(__xludf.DUMMYFUNCTION("""COMPUTED_VALUE"""),"No")</f>
        <v>No</v>
      </c>
      <c r="AI135" s="5"/>
      <c r="AJ135" s="5" t="str">
        <f ca="1">IFERROR(__xludf.DUMMYFUNCTION("""COMPUTED_VALUE"""),"No")</f>
        <v>No</v>
      </c>
    </row>
    <row r="136" spans="1:36" ht="13">
      <c r="A136" s="5" t="str">
        <f ca="1">IFERROR(__xludf.DUMMYFUNCTION("""COMPUTED_VALUE"""),"20221024MOCES")</f>
        <v>20221024MOCES</v>
      </c>
      <c r="B136" s="5">
        <f ca="1">IFERROR(__xludf.DUMMYFUNCTION("""COMPUTED_VALUE"""),10)</f>
        <v>10</v>
      </c>
      <c r="C136" s="5">
        <f ca="1">IFERROR(__xludf.DUMMYFUNCTION("""COMPUTED_VALUE"""),24)</f>
        <v>24</v>
      </c>
      <c r="D136" s="5">
        <f ca="1">IFERROR(__xludf.DUMMYFUNCTION("""COMPUTED_VALUE"""),2022)</f>
        <v>2022</v>
      </c>
      <c r="E136" s="8">
        <f ca="1">IFERROR(__xludf.DUMMYFUNCTION("""COMPUTED_VALUE"""),44858)</f>
        <v>44858</v>
      </c>
      <c r="F136" s="5" t="str">
        <f ca="1">IFERROR(__xludf.DUMMYFUNCTION("""COMPUTED_VALUE"""),"Central Visual and Performing Arts High")</f>
        <v>Central Visual and Performing Arts High</v>
      </c>
      <c r="G136" s="5">
        <f ca="1">IFERROR(__xludf.DUMMYFUNCTION("""COMPUTED_VALUE"""),2)</f>
        <v>2</v>
      </c>
      <c r="H136" s="5">
        <f ca="1">IFERROR(__xludf.DUMMYFUNCTION("""COMPUTED_VALUE"""),7)</f>
        <v>7</v>
      </c>
      <c r="I136" s="5">
        <f ca="1">IFERROR(__xludf.DUMMYFUNCTION("""COMPUTED_VALUE"""),9)</f>
        <v>9</v>
      </c>
      <c r="J136" s="5">
        <f ca="1">IFERROR(__xludf.DUMMYFUNCTION("""COMPUTED_VALUE"""),1)</f>
        <v>1</v>
      </c>
      <c r="K136" s="5" t="str">
        <f ca="1">IFERROR(__xludf.DUMMYFUNCTION("""COMPUTED_VALUE"""),"https://www.stltoday.com/news/local/crime-and-courts/a-quiet-morning-then-screams-and-bullets-how-the-st-louis-school-shooting-unfolded/article_34112110-392f-5e02-82d8-96e7bc5ec8e0.html
https://news.stlpublicradio.org/education/2022-10-24/at-least-three-s"&amp;"hot-at-central-visual-performing-arts-high-school-in-south-st-louis 
https://www.stltoday.com/news/local/crime-and-courts/police-suspect-barricaded-himself-in-classroom-after-st-louis-high-school-shooting/article_baeb8fc4-aea7-58bf-92a0-6fdb538bb68c.html")</f>
        <v>https://www.stltoday.com/news/local/crime-and-courts/a-quiet-morning-then-screams-and-bullets-how-the-st-louis-school-shooting-unfolded/article_34112110-392f-5e02-82d8-96e7bc5ec8e0.html
https://news.stlpublicradio.org/education/2022-10-24/at-least-three-shot-at-central-visual-performing-arts-high-school-in-south-st-louis 
https://www.stltoday.com/news/local/crime-and-courts/police-suspect-barricaded-himself-in-classroom-after-st-louis-high-school-shooting/article_baeb8fc4-aea7-58bf-92a0-6fdb538bb68c.html</v>
      </c>
      <c r="L136" s="5">
        <f ca="1">IFERROR(__xludf.DUMMYFUNCTION("""COMPUTED_VALUE"""),999)</f>
        <v>999</v>
      </c>
      <c r="M136" s="5" t="str">
        <f ca="1">IFERROR(__xludf.DUMMYFUNCTION("""COMPUTED_VALUE"""),"International")</f>
        <v>International</v>
      </c>
      <c r="N136" s="5">
        <f ca="1">IFERROR(__xludf.DUMMYFUNCTION("""COMPUTED_VALUE"""),4)</f>
        <v>4</v>
      </c>
      <c r="O136" s="5" t="str">
        <f ca="1">IFERROR(__xludf.DUMMYFUNCTION("""COMPUTED_VALUE"""),"Fall")</f>
        <v>Fall</v>
      </c>
      <c r="P136" s="5" t="str">
        <f ca="1">IFERROR(__xludf.DUMMYFUNCTION("""COMPUTED_VALUE"""),"St. Louis")</f>
        <v>St. Louis</v>
      </c>
      <c r="Q136" s="5" t="str">
        <f ca="1">IFERROR(__xludf.DUMMYFUNCTION("""COMPUTED_VALUE"""),"MO")</f>
        <v>MO</v>
      </c>
      <c r="R136" s="5" t="str">
        <f ca="1">IFERROR(__xludf.DUMMYFUNCTION("""COMPUTED_VALUE"""),"High")</f>
        <v>High</v>
      </c>
      <c r="S136" s="5" t="str">
        <f ca="1">IFERROR(__xludf.DUMMYFUNCTION("""COMPUTED_VALUE"""),"Inside School Building")</f>
        <v>Inside School Building</v>
      </c>
      <c r="T136" s="5" t="str">
        <f ca="1">IFERROR(__xludf.DUMMYFUNCTION("""COMPUTED_VALUE"""),"Inside School Building")</f>
        <v>Inside School Building</v>
      </c>
      <c r="U136" s="5" t="str">
        <f ca="1">IFERROR(__xludf.DUMMYFUNCTION("""COMPUTED_VALUE"""),"Yes")</f>
        <v>Yes</v>
      </c>
      <c r="V136" s="5" t="str">
        <f ca="1">IFERROR(__xludf.DUMMYFUNCTION("""COMPUTED_VALUE"""),"Morning Classes")</f>
        <v>Morning Classes</v>
      </c>
      <c r="W136" s="10">
        <f ca="1">IFERROR(__xludf.DUMMYFUNCTION("""COMPUTED_VALUE"""),0.382638888888888)</f>
        <v>0.38263888888888797</v>
      </c>
      <c r="X136" s="5">
        <f ca="1">IFERROR(__xludf.DUMMYFUNCTION("""COMPUTED_VALUE"""),14)</f>
        <v>14</v>
      </c>
      <c r="Y136" s="5" t="str">
        <f ca="1">IFERROR(__xludf.DUMMYFUNCTION("""COMPUTED_VALUE"""),"Planned attack by 19-year-old former student with rifle and 600 rounds of ammo")</f>
        <v>Planned attack by 19-year-old former student with rifle and 600 rounds of ammo</v>
      </c>
      <c r="Z136" s="5" t="str">
        <f ca="1">IFERROR(__xludf.DUMMYFUNCTION("""COMPUTED_VALUE"""),"Shooter was former student who entered school through side door. Walked up stairway to 3rd floor. Fired at students in the hallway. Barricaded inside 3rd floor classroom before being killed by police.")</f>
        <v>Shooter was former student who entered school through side door. Walked up stairway to 3rd floor. Fired at students in the hallway. Barricaded inside 3rd floor classroom before being killed by police.</v>
      </c>
      <c r="AA136" s="5" t="str">
        <f ca="1">IFERROR(__xludf.DUMMYFUNCTION("""COMPUTED_VALUE"""),"Indiscriminate Shooting")</f>
        <v>Indiscriminate Shooting</v>
      </c>
      <c r="AB136" s="5" t="str">
        <f ca="1">IFERROR(__xludf.DUMMYFUNCTION("""COMPUTED_VALUE"""),"Random Shooting")</f>
        <v>Random Shooting</v>
      </c>
      <c r="AC136" s="5" t="str">
        <f ca="1">IFERROR(__xludf.DUMMYFUNCTION("""COMPUTED_VALUE"""),"No")</f>
        <v>No</v>
      </c>
      <c r="AD136" s="5" t="str">
        <f ca="1">IFERROR(__xludf.DUMMYFUNCTION("""COMPUTED_VALUE"""),"No")</f>
        <v>No</v>
      </c>
      <c r="AE136" s="5" t="str">
        <f ca="1">IFERROR(__xludf.DUMMYFUNCTION("""COMPUTED_VALUE"""),"Yes")</f>
        <v>Yes</v>
      </c>
      <c r="AF136" s="5" t="str">
        <f ca="1">IFERROR(__xludf.DUMMYFUNCTION("""COMPUTED_VALUE"""),"No")</f>
        <v>No</v>
      </c>
      <c r="AG136" s="5"/>
      <c r="AH136" s="5" t="str">
        <f ca="1">IFERROR(__xludf.DUMMYFUNCTION("""COMPUTED_VALUE"""),"No")</f>
        <v>No</v>
      </c>
      <c r="AI136" s="5" t="str">
        <f ca="1">IFERROR(__xludf.DUMMYFUNCTION("""COMPUTED_VALUE"""),"No")</f>
        <v>No</v>
      </c>
      <c r="AJ136" s="5" t="str">
        <f ca="1">IFERROR(__xludf.DUMMYFUNCTION("""COMPUTED_VALUE"""),"Yes")</f>
        <v>Yes</v>
      </c>
    </row>
    <row r="137" spans="1:36" ht="13">
      <c r="A137" s="5" t="str">
        <f ca="1">IFERROR(__xludf.DUMMYFUNCTION("""COMPUTED_VALUE"""),"20221022OHDUC")</f>
        <v>20221022OHDUC</v>
      </c>
      <c r="B137" s="5">
        <f ca="1">IFERROR(__xludf.DUMMYFUNCTION("""COMPUTED_VALUE"""),10)</f>
        <v>10</v>
      </c>
      <c r="C137" s="5">
        <f ca="1">IFERROR(__xludf.DUMMYFUNCTION("""COMPUTED_VALUE"""),22)</f>
        <v>22</v>
      </c>
      <c r="D137" s="5">
        <f ca="1">IFERROR(__xludf.DUMMYFUNCTION("""COMPUTED_VALUE"""),2022)</f>
        <v>2022</v>
      </c>
      <c r="E137" s="8">
        <f ca="1">IFERROR(__xludf.DUMMYFUNCTION("""COMPUTED_VALUE"""),44856)</f>
        <v>44856</v>
      </c>
      <c r="F137" s="5" t="str">
        <f ca="1">IFERROR(__xludf.DUMMYFUNCTION("""COMPUTED_VALUE"""),"Duxberry Park Alternative Elementary School")</f>
        <v>Duxberry Park Alternative Elementary School</v>
      </c>
      <c r="G137" s="5">
        <f ca="1">IFERROR(__xludf.DUMMYFUNCTION("""COMPUTED_VALUE"""),0)</f>
        <v>0</v>
      </c>
      <c r="H137" s="5">
        <f ca="1">IFERROR(__xludf.DUMMYFUNCTION("""COMPUTED_VALUE"""),1)</f>
        <v>1</v>
      </c>
      <c r="I137" s="5">
        <f ca="1">IFERROR(__xludf.DUMMYFUNCTION("""COMPUTED_VALUE"""),1)</f>
        <v>1</v>
      </c>
      <c r="J137" s="5">
        <f ca="1">IFERROR(__xludf.DUMMYFUNCTION("""COMPUTED_VALUE"""),0)</f>
        <v>0</v>
      </c>
      <c r="K137" s="9" t="str">
        <f ca="1">IFERROR(__xludf.DUMMYFUNCTION("""COMPUTED_VALUE"""),"https://abc6onyourside.com/news/local/17-year-old-girl-grazed-after-shots-fired-near-elementary-school")</f>
        <v>https://abc6onyourside.com/news/local/17-year-old-girl-grazed-after-shots-fired-near-elementary-school</v>
      </c>
      <c r="L137" s="5">
        <f ca="1">IFERROR(__xludf.DUMMYFUNCTION("""COMPUTED_VALUE"""),1)</f>
        <v>1</v>
      </c>
      <c r="M137" s="5" t="str">
        <f ca="1">IFERROR(__xludf.DUMMYFUNCTION("""COMPUTED_VALUE"""),"Local")</f>
        <v>Local</v>
      </c>
      <c r="N137" s="5">
        <f ca="1">IFERROR(__xludf.DUMMYFUNCTION("""COMPUTED_VALUE"""),3)</f>
        <v>3</v>
      </c>
      <c r="O137" s="5" t="str">
        <f ca="1">IFERROR(__xludf.DUMMYFUNCTION("""COMPUTED_VALUE"""),"Fall")</f>
        <v>Fall</v>
      </c>
      <c r="P137" s="5" t="str">
        <f ca="1">IFERROR(__xludf.DUMMYFUNCTION("""COMPUTED_VALUE"""),"Columbus")</f>
        <v>Columbus</v>
      </c>
      <c r="Q137" s="5" t="str">
        <f ca="1">IFERROR(__xludf.DUMMYFUNCTION("""COMPUTED_VALUE"""),"OH")</f>
        <v>OH</v>
      </c>
      <c r="R137" s="5" t="str">
        <f ca="1">IFERROR(__xludf.DUMMYFUNCTION("""COMPUTED_VALUE"""),"Elementary")</f>
        <v>Elementary</v>
      </c>
      <c r="S137" s="5" t="str">
        <f ca="1">IFERROR(__xludf.DUMMYFUNCTION("""COMPUTED_VALUE"""),"Parking Lot")</f>
        <v>Parking Lot</v>
      </c>
      <c r="T137" s="5" t="str">
        <f ca="1">IFERROR(__xludf.DUMMYFUNCTION("""COMPUTED_VALUE"""),"Outside on School Property")</f>
        <v>Outside on School Property</v>
      </c>
      <c r="U137" s="5" t="str">
        <f ca="1">IFERROR(__xludf.DUMMYFUNCTION("""COMPUTED_VALUE"""),"No")</f>
        <v>No</v>
      </c>
      <c r="V137" s="5" t="str">
        <f ca="1">IFERROR(__xludf.DUMMYFUNCTION("""COMPUTED_VALUE"""),"Night")</f>
        <v>Night</v>
      </c>
      <c r="W137" s="10">
        <f ca="1">IFERROR(__xludf.DUMMYFUNCTION("""COMPUTED_VALUE"""),0.0416666666666666)</f>
        <v>4.1666666666666602E-2</v>
      </c>
      <c r="X137" s="5">
        <f ca="1">IFERROR(__xludf.DUMMYFUNCTION("""COMPUTED_VALUE"""),1)</f>
        <v>1</v>
      </c>
      <c r="Y137" s="5" t="str">
        <f ca="1">IFERROR(__xludf.DUMMYFUNCTION("""COMPUTED_VALUE"""),"17-year-old girl shot in school parking lot")</f>
        <v>17-year-old girl shot in school parking lot</v>
      </c>
      <c r="Z137" s="5" t="str">
        <f ca="1">IFERROR(__xludf.DUMMYFUNCTION("""COMPUTED_VALUE"""),"Columbus police said they responded to a report of a shooting in the area of Duxberry Park Alternative Elementary School around 1 a.m. Officers found a 17-year-old girl with a graze injury to her back from a bullet. Medics took her to a hospital in stable"&amp;" condition. She reportedly told police she was with a friend in a parking lot when they heard several gunshots. The two started running, and she felt one of the bullets graze her back. She told police she did not see who fired the gunshots.")</f>
        <v>Columbus police said they responded to a report of a shooting in the area of Duxberry Park Alternative Elementary School around 1 a.m. Officers found a 17-year-old girl with a graze injury to her back from a bullet. Medics took her to a hospital in stable condition. She reportedly told police she was with a friend in a parking lot when they heard several gunshots. The two started running, and she felt one of the bullets graze her back. She told police she did not see who fired the gunshots.</v>
      </c>
      <c r="AA137" s="5"/>
      <c r="AB137" s="5" t="str">
        <f ca="1">IFERROR(__xludf.DUMMYFUNCTION("""COMPUTED_VALUE"""),"Both")</f>
        <v>Both</v>
      </c>
      <c r="AC137" s="5" t="str">
        <f ca="1">IFERROR(__xludf.DUMMYFUNCTION("""COMPUTED_VALUE"""),"No")</f>
        <v>No</v>
      </c>
      <c r="AD137" s="5" t="str">
        <f ca="1">IFERROR(__xludf.DUMMYFUNCTION("""COMPUTED_VALUE"""),"No")</f>
        <v>No</v>
      </c>
      <c r="AE137" s="5" t="str">
        <f ca="1">IFERROR(__xludf.DUMMYFUNCTION("""COMPUTED_VALUE"""),"No")</f>
        <v>No</v>
      </c>
      <c r="AF137" s="5" t="str">
        <f ca="1">IFERROR(__xludf.DUMMYFUNCTION("""COMPUTED_VALUE"""),"No")</f>
        <v>No</v>
      </c>
      <c r="AG137" s="5" t="str">
        <f ca="1">IFERROR(__xludf.DUMMYFUNCTION("""COMPUTED_VALUE"""),"No")</f>
        <v>No</v>
      </c>
      <c r="AH137" s="5" t="str">
        <f ca="1">IFERROR(__xludf.DUMMYFUNCTION("""COMPUTED_VALUE"""),"No")</f>
        <v>No</v>
      </c>
      <c r="AI137" s="5"/>
      <c r="AJ137" s="5" t="str">
        <f ca="1">IFERROR(__xludf.DUMMYFUNCTION("""COMPUTED_VALUE"""),"No")</f>
        <v>No</v>
      </c>
    </row>
    <row r="138" spans="1:36" ht="13">
      <c r="A138" s="5" t="str">
        <f ca="1">IFERROR(__xludf.DUMMYFUNCTION("""COMPUTED_VALUE"""),"20221022ILCHC")</f>
        <v>20221022ILCHC</v>
      </c>
      <c r="B138" s="5">
        <f ca="1">IFERROR(__xludf.DUMMYFUNCTION("""COMPUTED_VALUE"""),10)</f>
        <v>10</v>
      </c>
      <c r="C138" s="5">
        <f ca="1">IFERROR(__xludf.DUMMYFUNCTION("""COMPUTED_VALUE"""),22)</f>
        <v>22</v>
      </c>
      <c r="D138" s="5">
        <f ca="1">IFERROR(__xludf.DUMMYFUNCTION("""COMPUTED_VALUE"""),2022)</f>
        <v>2022</v>
      </c>
      <c r="E138" s="8">
        <f ca="1">IFERROR(__xludf.DUMMYFUNCTION("""COMPUTED_VALUE"""),44856)</f>
        <v>44856</v>
      </c>
      <c r="F138" s="5" t="str">
        <f ca="1">IFERROR(__xludf.DUMMYFUNCTION("""COMPUTED_VALUE"""),"Chalmers Elementary School")</f>
        <v>Chalmers Elementary School</v>
      </c>
      <c r="G138" s="5">
        <f ca="1">IFERROR(__xludf.DUMMYFUNCTION("""COMPUTED_VALUE"""),1)</f>
        <v>1</v>
      </c>
      <c r="H138" s="5">
        <f ca="1">IFERROR(__xludf.DUMMYFUNCTION("""COMPUTED_VALUE"""),1)</f>
        <v>1</v>
      </c>
      <c r="I138" s="5">
        <f ca="1">IFERROR(__xludf.DUMMYFUNCTION("""COMPUTED_VALUE"""),2)</f>
        <v>2</v>
      </c>
      <c r="J138" s="5">
        <f ca="1">IFERROR(__xludf.DUMMYFUNCTION("""COMPUTED_VALUE"""),0)</f>
        <v>0</v>
      </c>
      <c r="K138" s="9" t="str">
        <f ca="1">IFERROR(__xludf.DUMMYFUNCTION("""COMPUTED_VALUE"""),"https://www.cbsnews.com/chicago/news/douglas-park-shooting-teen-death/")</f>
        <v>https://www.cbsnews.com/chicago/news/douglas-park-shooting-teen-death/</v>
      </c>
      <c r="L138" s="5">
        <f ca="1">IFERROR(__xludf.DUMMYFUNCTION("""COMPUTED_VALUE"""),1)</f>
        <v>1</v>
      </c>
      <c r="M138" s="5" t="str">
        <f ca="1">IFERROR(__xludf.DUMMYFUNCTION("""COMPUTED_VALUE"""),"Local")</f>
        <v>Local</v>
      </c>
      <c r="N138" s="5">
        <f ca="1">IFERROR(__xludf.DUMMYFUNCTION("""COMPUTED_VALUE"""),3)</f>
        <v>3</v>
      </c>
      <c r="O138" s="5" t="str">
        <f ca="1">IFERROR(__xludf.DUMMYFUNCTION("""COMPUTED_VALUE"""),"Fall")</f>
        <v>Fall</v>
      </c>
      <c r="P138" s="5" t="str">
        <f ca="1">IFERROR(__xludf.DUMMYFUNCTION("""COMPUTED_VALUE"""),"Chicago")</f>
        <v>Chicago</v>
      </c>
      <c r="Q138" s="5" t="str">
        <f ca="1">IFERROR(__xludf.DUMMYFUNCTION("""COMPUTED_VALUE"""),"IL")</f>
        <v>IL</v>
      </c>
      <c r="R138" s="5" t="str">
        <f ca="1">IFERROR(__xludf.DUMMYFUNCTION("""COMPUTED_VALUE"""),"Elementary")</f>
        <v>Elementary</v>
      </c>
      <c r="S138" s="5" t="str">
        <f ca="1">IFERROR(__xludf.DUMMYFUNCTION("""COMPUTED_VALUE"""),"Playground")</f>
        <v>Playground</v>
      </c>
      <c r="T138" s="5" t="str">
        <f ca="1">IFERROR(__xludf.DUMMYFUNCTION("""COMPUTED_VALUE"""),"Outside on School Property")</f>
        <v>Outside on School Property</v>
      </c>
      <c r="U138" s="5" t="str">
        <f ca="1">IFERROR(__xludf.DUMMYFUNCTION("""COMPUTED_VALUE"""),"No")</f>
        <v>No</v>
      </c>
      <c r="V138" s="5" t="str">
        <f ca="1">IFERROR(__xludf.DUMMYFUNCTION("""COMPUTED_VALUE"""),"Evening")</f>
        <v>Evening</v>
      </c>
      <c r="W138" s="10">
        <f ca="1">IFERROR(__xludf.DUMMYFUNCTION("""COMPUTED_VALUE"""),0.847222222222222)</f>
        <v>0.84722222222222199</v>
      </c>
      <c r="X138" s="5">
        <f ca="1">IFERROR(__xludf.DUMMYFUNCTION("""COMPUTED_VALUE"""),1)</f>
        <v>1</v>
      </c>
      <c r="Y138" s="5" t="str">
        <f ca="1">IFERROR(__xludf.DUMMYFUNCTION("""COMPUTED_VALUE"""),"16-year-old boy killed and 13-year-old girl wounded on playground")</f>
        <v>16-year-old boy killed and 13-year-old girl wounded on playground</v>
      </c>
      <c r="Z138" s="5" t="str">
        <f ca="1">IFERROR(__xludf.DUMMYFUNCTION("""COMPUTED_VALUE"""),"A 16-year-old boy was fatally shot. He and a 13-year-old girl were at a playground behind Chalmers Elementary School in the city's Douglas Park neighborhood around 8:20 p.m. when two unidentified males got out of a dark colored sedan and began shooting. T"&amp;"he shooters got back in the car and fled. ")</f>
        <v xml:space="preserve">A 16-year-old boy was fatally shot. He and a 13-year-old girl were at a playground behind Chalmers Elementary School in the city's Douglas Park neighborhood around 8:20 p.m. when two unidentified males got out of a dark colored sedan and began shooting. The shooters got back in the car and fled. </v>
      </c>
      <c r="AA138" s="5" t="str">
        <f ca="1">IFERROR(__xludf.DUMMYFUNCTION("""COMPUTED_VALUE"""),"Drive-by Shooting")</f>
        <v>Drive-by Shooting</v>
      </c>
      <c r="AB138" s="5" t="str">
        <f ca="1">IFERROR(__xludf.DUMMYFUNCTION("""COMPUTED_VALUE"""),"Both")</f>
        <v>Both</v>
      </c>
      <c r="AC138" s="5" t="str">
        <f ca="1">IFERROR(__xludf.DUMMYFUNCTION("""COMPUTED_VALUE"""),"Yes")</f>
        <v>Yes</v>
      </c>
      <c r="AD138" s="5" t="str">
        <f ca="1">IFERROR(__xludf.DUMMYFUNCTION("""COMPUTED_VALUE"""),"No")</f>
        <v>No</v>
      </c>
      <c r="AE138" s="5" t="str">
        <f ca="1">IFERROR(__xludf.DUMMYFUNCTION("""COMPUTED_VALUE"""),"No")</f>
        <v>No</v>
      </c>
      <c r="AF138" s="5" t="str">
        <f ca="1">IFERROR(__xludf.DUMMYFUNCTION("""COMPUTED_VALUE"""),"No")</f>
        <v>No</v>
      </c>
      <c r="AG138" s="5" t="str">
        <f ca="1">IFERROR(__xludf.DUMMYFUNCTION("""COMPUTED_VALUE"""),"No")</f>
        <v>No</v>
      </c>
      <c r="AH138" s="5" t="str">
        <f ca="1">IFERROR(__xludf.DUMMYFUNCTION("""COMPUTED_VALUE"""),"No")</f>
        <v>No</v>
      </c>
      <c r="AI138" s="5"/>
      <c r="AJ138" s="5" t="str">
        <f ca="1">IFERROR(__xludf.DUMMYFUNCTION("""COMPUTED_VALUE"""),"No")</f>
        <v>No</v>
      </c>
    </row>
    <row r="139" spans="1:36" ht="13">
      <c r="A139" s="5" t="str">
        <f ca="1">IFERROR(__xludf.DUMMYFUNCTION("""COMPUTED_VALUE"""),"20221021OHSHS")</f>
        <v>20221021OHSHS</v>
      </c>
      <c r="B139" s="5">
        <f ca="1">IFERROR(__xludf.DUMMYFUNCTION("""COMPUTED_VALUE"""),10)</f>
        <v>10</v>
      </c>
      <c r="C139" s="5">
        <f ca="1">IFERROR(__xludf.DUMMYFUNCTION("""COMPUTED_VALUE"""),21)</f>
        <v>21</v>
      </c>
      <c r="D139" s="5">
        <f ca="1">IFERROR(__xludf.DUMMYFUNCTION("""COMPUTED_VALUE"""),2022)</f>
        <v>2022</v>
      </c>
      <c r="E139" s="8">
        <f ca="1">IFERROR(__xludf.DUMMYFUNCTION("""COMPUTED_VALUE"""),44855)</f>
        <v>44855</v>
      </c>
      <c r="F139" s="5" t="str">
        <f ca="1">IFERROR(__xludf.DUMMYFUNCTION("""COMPUTED_VALUE"""),"Shaker Heights High School")</f>
        <v>Shaker Heights High School</v>
      </c>
      <c r="G139" s="5">
        <f ca="1">IFERROR(__xludf.DUMMYFUNCTION("""COMPUTED_VALUE"""),0)</f>
        <v>0</v>
      </c>
      <c r="H139" s="5">
        <f ca="1">IFERROR(__xludf.DUMMYFUNCTION("""COMPUTED_VALUE"""),1)</f>
        <v>1</v>
      </c>
      <c r="I139" s="5">
        <f ca="1">IFERROR(__xludf.DUMMYFUNCTION("""COMPUTED_VALUE"""),1)</f>
        <v>1</v>
      </c>
      <c r="J139" s="5">
        <f ca="1">IFERROR(__xludf.DUMMYFUNCTION("""COMPUTED_VALUE"""),0)</f>
        <v>0</v>
      </c>
      <c r="K139" s="5" t="str">
        <f ca="1">IFERROR(__xludf.DUMMYFUNCTION("""COMPUTED_VALUE"""),"https://www.cleveland19.com/2022/10/21/shaker-heights-high-school-briefly-under-lockdown-due-police-activity/
https://www.wkyc.com/article/news/local/cuyahoga-county/shaker-heights-high-school-lockdown-police-activity/95-107dffa9-2c45-4b33-9bfa-6f731e6bc7"&amp;"08")</f>
        <v>https://www.cleveland19.com/2022/10/21/shaker-heights-high-school-briefly-under-lockdown-due-police-activity/
https://www.wkyc.com/article/news/local/cuyahoga-county/shaker-heights-high-school-lockdown-police-activity/95-107dffa9-2c45-4b33-9bfa-6f731e6bc708</v>
      </c>
      <c r="L139" s="5">
        <f ca="1">IFERROR(__xludf.DUMMYFUNCTION("""COMPUTED_VALUE"""),3)</f>
        <v>3</v>
      </c>
      <c r="M139" s="5" t="str">
        <f ca="1">IFERROR(__xludf.DUMMYFUNCTION("""COMPUTED_VALUE"""),"Local")</f>
        <v>Local</v>
      </c>
      <c r="N139" s="5">
        <f ca="1">IFERROR(__xludf.DUMMYFUNCTION("""COMPUTED_VALUE"""),4)</f>
        <v>4</v>
      </c>
      <c r="O139" s="5" t="str">
        <f ca="1">IFERROR(__xludf.DUMMYFUNCTION("""COMPUTED_VALUE"""),"Fall")</f>
        <v>Fall</v>
      </c>
      <c r="P139" s="5" t="str">
        <f ca="1">IFERROR(__xludf.DUMMYFUNCTION("""COMPUTED_VALUE"""),"Shaker Heights")</f>
        <v>Shaker Heights</v>
      </c>
      <c r="Q139" s="5" t="str">
        <f ca="1">IFERROR(__xludf.DUMMYFUNCTION("""COMPUTED_VALUE"""),"OH")</f>
        <v>OH</v>
      </c>
      <c r="R139" s="5" t="str">
        <f ca="1">IFERROR(__xludf.DUMMYFUNCTION("""COMPUTED_VALUE"""),"High")</f>
        <v>High</v>
      </c>
      <c r="S139" s="5" t="str">
        <f ca="1">IFERROR(__xludf.DUMMYFUNCTION("""COMPUTED_VALUE"""),"Front of School")</f>
        <v>Front of School</v>
      </c>
      <c r="T139" s="5" t="str">
        <f ca="1">IFERROR(__xludf.DUMMYFUNCTION("""COMPUTED_VALUE"""),"Outside on School Property")</f>
        <v>Outside on School Property</v>
      </c>
      <c r="U139" s="5" t="str">
        <f ca="1">IFERROR(__xludf.DUMMYFUNCTION("""COMPUTED_VALUE"""),"Yes")</f>
        <v>Yes</v>
      </c>
      <c r="V139" s="5" t="str">
        <f ca="1">IFERROR(__xludf.DUMMYFUNCTION("""COMPUTED_VALUE"""),"After School")</f>
        <v>After School</v>
      </c>
      <c r="W139" s="10">
        <f ca="1">IFERROR(__xludf.DUMMYFUNCTION("""COMPUTED_VALUE"""),0.635416666666666)</f>
        <v>0.63541666666666596</v>
      </c>
      <c r="X139" s="5">
        <f ca="1">IFERROR(__xludf.DUMMYFUNCTION("""COMPUTED_VALUE"""),1)</f>
        <v>1</v>
      </c>
      <c r="Y139" s="5" t="str">
        <f ca="1">IFERROR(__xludf.DUMMYFUNCTION("""COMPUTED_VALUE"""),"Police officer fired multiple shots at fleeing suspect with a gun near the front door to the school")</f>
        <v>Police officer fired multiple shots at fleeing suspect with a gun near the front door to the school</v>
      </c>
      <c r="Z139" s="5" t="str">
        <f ca="1">IFERROR(__xludf.DUMMYFUNCTION("""COMPUTED_VALUE"""),"The shooting around 3:15 p.m. prompted a lockdown of Shaker Heights High School, according to police. Shaker Heights police said an officer shot a man Friday afternoon near the high school. Evidence markers at the scene showed that the shooting happened c"&amp;"lose to the school’s front entrance. Classes were not in session today, but school officials said police evacuated faculty and staff from the building following the incident. 19 News has learned some students who were participating in extracurricular acti"&amp;"vities were inside the building during the lockdown.")</f>
        <v>The shooting around 3:15 p.m. prompted a lockdown of Shaker Heights High School, according to police. Shaker Heights police said an officer shot a man Friday afternoon near the high school. Evidence markers at the scene showed that the shooting happened close to the school’s front entrance. Classes were not in session today, but school officials said police evacuated faculty and staff from the building following the incident. 19 News has learned some students who were participating in extracurricular activities were inside the building during the lockdown.</v>
      </c>
      <c r="AA139" s="5" t="str">
        <f ca="1">IFERROR(__xludf.DUMMYFUNCTION("""COMPUTED_VALUE"""),"Officer-Involved Shooting")</f>
        <v>Officer-Involved Shooting</v>
      </c>
      <c r="AB139" s="5" t="str">
        <f ca="1">IFERROR(__xludf.DUMMYFUNCTION("""COMPUTED_VALUE"""),"Victims Targeted")</f>
        <v>Victims Targeted</v>
      </c>
      <c r="AC139" s="5" t="str">
        <f ca="1">IFERROR(__xludf.DUMMYFUNCTION("""COMPUTED_VALUE"""),"No")</f>
        <v>No</v>
      </c>
      <c r="AD139" s="5" t="str">
        <f ca="1">IFERROR(__xludf.DUMMYFUNCTION("""COMPUTED_VALUE"""),"No")</f>
        <v>No</v>
      </c>
      <c r="AE139" s="5" t="str">
        <f ca="1">IFERROR(__xludf.DUMMYFUNCTION("""COMPUTED_VALUE"""),"No")</f>
        <v>No</v>
      </c>
      <c r="AF139" s="5" t="str">
        <f ca="1">IFERROR(__xludf.DUMMYFUNCTION("""COMPUTED_VALUE"""),"No")</f>
        <v>No</v>
      </c>
      <c r="AG139" s="5" t="str">
        <f ca="1">IFERROR(__xludf.DUMMYFUNCTION("""COMPUTED_VALUE"""),"No")</f>
        <v>No</v>
      </c>
      <c r="AH139" s="5" t="str">
        <f ca="1">IFERROR(__xludf.DUMMYFUNCTION("""COMPUTED_VALUE"""),"No")</f>
        <v>No</v>
      </c>
      <c r="AI139" s="5" t="str">
        <f ca="1">IFERROR(__xludf.DUMMYFUNCTION("""COMPUTED_VALUE"""),"No")</f>
        <v>No</v>
      </c>
      <c r="AJ139" s="5" t="str">
        <f ca="1">IFERROR(__xludf.DUMMYFUNCTION("""COMPUTED_VALUE"""),"No")</f>
        <v>No</v>
      </c>
    </row>
    <row r="140" spans="1:36" ht="13">
      <c r="A140" s="5" t="str">
        <f ca="1">IFERROR(__xludf.DUMMYFUNCTION("""COMPUTED_VALUE"""),"20221021CAGRS")</f>
        <v>20221021CAGRS</v>
      </c>
      <c r="B140" s="5">
        <f ca="1">IFERROR(__xludf.DUMMYFUNCTION("""COMPUTED_VALUE"""),10)</f>
        <v>10</v>
      </c>
      <c r="C140" s="5">
        <f ca="1">IFERROR(__xludf.DUMMYFUNCTION("""COMPUTED_VALUE"""),21)</f>
        <v>21</v>
      </c>
      <c r="D140" s="5">
        <f ca="1">IFERROR(__xludf.DUMMYFUNCTION("""COMPUTED_VALUE"""),2022)</f>
        <v>2022</v>
      </c>
      <c r="E140" s="8">
        <f ca="1">IFERROR(__xludf.DUMMYFUNCTION("""COMPUTED_VALUE"""),44855)</f>
        <v>44855</v>
      </c>
      <c r="F140" s="5" t="str">
        <f ca="1">IFERROR(__xludf.DUMMYFUNCTION("""COMPUTED_VALUE"""),"Grant Union High School")</f>
        <v>Grant Union High School</v>
      </c>
      <c r="G140" s="5">
        <f ca="1">IFERROR(__xludf.DUMMYFUNCTION("""COMPUTED_VALUE"""),1)</f>
        <v>1</v>
      </c>
      <c r="H140" s="5">
        <f ca="1">IFERROR(__xludf.DUMMYFUNCTION("""COMPUTED_VALUE"""),0)</f>
        <v>0</v>
      </c>
      <c r="I140" s="5">
        <f ca="1">IFERROR(__xludf.DUMMYFUNCTION("""COMPUTED_VALUE"""),1)</f>
        <v>1</v>
      </c>
      <c r="J140" s="5">
        <f ca="1">IFERROR(__xludf.DUMMYFUNCTION("""COMPUTED_VALUE"""),0)</f>
        <v>0</v>
      </c>
      <c r="K140" s="9" t="str">
        <f ca="1">IFERROR(__xludf.DUMMYFUNCTION("""COMPUTED_VALUE"""),"https://www.wfmz.com/news/cnn/regional/gunshots-reported-at-grant-high-school-during-a-football-game/video_86fd914d-cd71-51bd-bf4b-b7285d1eeb70.html
https://www.kcra.com/article/shooting-occurs-grant-monterey-trail-football-game/41741212#
https://fox40.co"&amp;"m/news/local-news/sacramento/sacramento-police-arrest-suspect-in-grant-union-high-school-parking-lot-shooting/")</f>
        <v>https://www.wfmz.com/news/cnn/regional/gunshots-reported-at-grant-high-school-during-a-football-game/video_86fd914d-cd71-51bd-bf4b-b7285d1eeb70.html
https://www.kcra.com/article/shooting-occurs-grant-monterey-trail-football-game/41741212#
https://fox40.com/news/local-news/sacramento/sacramento-police-arrest-suspect-in-grant-union-high-school-parking-lot-shooting/</v>
      </c>
      <c r="L140" s="5">
        <f ca="1">IFERROR(__xludf.DUMMYFUNCTION("""COMPUTED_VALUE"""),2)</f>
        <v>2</v>
      </c>
      <c r="M140" s="5" t="str">
        <f ca="1">IFERROR(__xludf.DUMMYFUNCTION("""COMPUTED_VALUE"""),"Local")</f>
        <v>Local</v>
      </c>
      <c r="N140" s="5">
        <f ca="1">IFERROR(__xludf.DUMMYFUNCTION("""COMPUTED_VALUE"""),4)</f>
        <v>4</v>
      </c>
      <c r="O140" s="5" t="str">
        <f ca="1">IFERROR(__xludf.DUMMYFUNCTION("""COMPUTED_VALUE"""),"Fall")</f>
        <v>Fall</v>
      </c>
      <c r="P140" s="5" t="str">
        <f ca="1">IFERROR(__xludf.DUMMYFUNCTION("""COMPUTED_VALUE"""),"Sacramento")</f>
        <v>Sacramento</v>
      </c>
      <c r="Q140" s="5" t="str">
        <f ca="1">IFERROR(__xludf.DUMMYFUNCTION("""COMPUTED_VALUE"""),"CA")</f>
        <v>CA</v>
      </c>
      <c r="R140" s="5" t="str">
        <f ca="1">IFERROR(__xludf.DUMMYFUNCTION("""COMPUTED_VALUE"""),"High")</f>
        <v>High</v>
      </c>
      <c r="S140" s="5" t="str">
        <f ca="1">IFERROR(__xludf.DUMMYFUNCTION("""COMPUTED_VALUE"""),"Parking Lot")</f>
        <v>Parking Lot</v>
      </c>
      <c r="T140" s="5" t="str">
        <f ca="1">IFERROR(__xludf.DUMMYFUNCTION("""COMPUTED_VALUE"""),"Outside on School Property")</f>
        <v>Outside on School Property</v>
      </c>
      <c r="U140" s="5" t="str">
        <f ca="1">IFERROR(__xludf.DUMMYFUNCTION("""COMPUTED_VALUE"""),"No")</f>
        <v>No</v>
      </c>
      <c r="V140" s="5" t="str">
        <f ca="1">IFERROR(__xludf.DUMMYFUNCTION("""COMPUTED_VALUE"""),"Sport Event")</f>
        <v>Sport Event</v>
      </c>
      <c r="W140" s="10">
        <f ca="1">IFERROR(__xludf.DUMMYFUNCTION("""COMPUTED_VALUE"""),0.916666666666666)</f>
        <v>0.91666666666666596</v>
      </c>
      <c r="X140" s="5">
        <f ca="1">IFERROR(__xludf.DUMMYFUNCTION("""COMPUTED_VALUE"""),1)</f>
        <v>1</v>
      </c>
      <c r="Y140" s="5" t="str">
        <f ca="1">IFERROR(__xludf.DUMMYFUNCTION("""COMPUTED_VALUE"""),"Man fatally shot in school parking lot during football game.")</f>
        <v>Man fatally shot in school parking lot during football game.</v>
      </c>
      <c r="Z140" s="5" t="str">
        <f ca="1">IFERROR(__xludf.DUMMYFUNCTION("""COMPUTED_VALUE"""),"Police said around 10 p.m. there was a ""disturbance"" in the parking lot involving as many as 20 people. Eaton said the shooting occurred at some point during that disturbance as the football game was going on. He said it is not believed members of the g"&amp;"roup involved were students of the high school. Eaton also confirmed a firearm was located on scene, that a car was damaged by gunfire and that someone transported the victim to the hospital. There was also no interruption to the game as no one attending "&amp;"the game seemed to be aware of a shooting.")</f>
        <v>Police said around 10 p.m. there was a "disturbance" in the parking lot involving as many as 20 people. Eaton said the shooting occurred at some point during that disturbance as the football game was going on. He said it is not believed members of the group involved were students of the high school. Eaton also confirmed a firearm was located on scene, that a car was damaged by gunfire and that someone transported the victim to the hospital. There was also no interruption to the game as no one attending the game seemed to be aware of a shooting.</v>
      </c>
      <c r="AA140" s="5" t="str">
        <f ca="1">IFERROR(__xludf.DUMMYFUNCTION("""COMPUTED_VALUE"""),"Escalation of Dispute")</f>
        <v>Escalation of Dispute</v>
      </c>
      <c r="AB140" s="5"/>
      <c r="AC140" s="5" t="str">
        <f ca="1">IFERROR(__xludf.DUMMYFUNCTION("""COMPUTED_VALUE"""),"No")</f>
        <v>No</v>
      </c>
      <c r="AD140" s="5" t="str">
        <f ca="1">IFERROR(__xludf.DUMMYFUNCTION("""COMPUTED_VALUE"""),"No")</f>
        <v>No</v>
      </c>
      <c r="AE140" s="5" t="str">
        <f ca="1">IFERROR(__xludf.DUMMYFUNCTION("""COMPUTED_VALUE"""),"No")</f>
        <v>No</v>
      </c>
      <c r="AF140" s="5" t="str">
        <f ca="1">IFERROR(__xludf.DUMMYFUNCTION("""COMPUTED_VALUE"""),"No")</f>
        <v>No</v>
      </c>
      <c r="AG140" s="5" t="str">
        <f ca="1">IFERROR(__xludf.DUMMYFUNCTION("""COMPUTED_VALUE"""),"No")</f>
        <v>No</v>
      </c>
      <c r="AH140" s="5" t="str">
        <f ca="1">IFERROR(__xludf.DUMMYFUNCTION("""COMPUTED_VALUE"""),"No")</f>
        <v>No</v>
      </c>
      <c r="AI140" s="5"/>
      <c r="AJ140" s="5" t="str">
        <f ca="1">IFERROR(__xludf.DUMMYFUNCTION("""COMPUTED_VALUE"""),"No")</f>
        <v>No</v>
      </c>
    </row>
    <row r="141" spans="1:36" ht="13">
      <c r="A141" s="5" t="str">
        <f ca="1">IFERROR(__xludf.DUMMYFUNCTION("""COMPUTED_VALUE"""),"20221020COCAD")</f>
        <v>20221020COCAD</v>
      </c>
      <c r="B141" s="5">
        <f ca="1">IFERROR(__xludf.DUMMYFUNCTION("""COMPUTED_VALUE"""),10)</f>
        <v>10</v>
      </c>
      <c r="C141" s="5">
        <f ca="1">IFERROR(__xludf.DUMMYFUNCTION("""COMPUTED_VALUE"""),20)</f>
        <v>20</v>
      </c>
      <c r="D141" s="5">
        <f ca="1">IFERROR(__xludf.DUMMYFUNCTION("""COMPUTED_VALUE"""),2022)</f>
        <v>2022</v>
      </c>
      <c r="E141" s="8">
        <f ca="1">IFERROR(__xludf.DUMMYFUNCTION("""COMPUTED_VALUE"""),44854)</f>
        <v>44854</v>
      </c>
      <c r="F141" s="5" t="str">
        <f ca="1">IFERROR(__xludf.DUMMYFUNCTION("""COMPUTED_VALUE"""),"Castro Elementary School")</f>
        <v>Castro Elementary School</v>
      </c>
      <c r="G141" s="5">
        <f ca="1">IFERROR(__xludf.DUMMYFUNCTION("""COMPUTED_VALUE"""),0)</f>
        <v>0</v>
      </c>
      <c r="H141" s="5">
        <f ca="1">IFERROR(__xludf.DUMMYFUNCTION("""COMPUTED_VALUE"""),0)</f>
        <v>0</v>
      </c>
      <c r="I141" s="5">
        <f ca="1">IFERROR(__xludf.DUMMYFUNCTION("""COMPUTED_VALUE"""),0)</f>
        <v>0</v>
      </c>
      <c r="J141" s="5">
        <f ca="1">IFERROR(__xludf.DUMMYFUNCTION("""COMPUTED_VALUE"""),0)</f>
        <v>0</v>
      </c>
      <c r="K141" s="9" t="str">
        <f ca="1">IFERROR(__xludf.DUMMYFUNCTION("""COMPUTED_VALUE"""),"https://www.yahoo.com/entertainment/denver-elementary-school-soccer-game-235324292.html")</f>
        <v>https://www.yahoo.com/entertainment/denver-elementary-school-soccer-game-235324292.html</v>
      </c>
      <c r="L141" s="5">
        <f ca="1">IFERROR(__xludf.DUMMYFUNCTION("""COMPUTED_VALUE"""),2)</f>
        <v>2</v>
      </c>
      <c r="M141" s="5" t="str">
        <f ca="1">IFERROR(__xludf.DUMMYFUNCTION("""COMPUTED_VALUE"""),"Local")</f>
        <v>Local</v>
      </c>
      <c r="N141" s="5">
        <f ca="1">IFERROR(__xludf.DUMMYFUNCTION("""COMPUTED_VALUE"""),4)</f>
        <v>4</v>
      </c>
      <c r="O141" s="5" t="str">
        <f ca="1">IFERROR(__xludf.DUMMYFUNCTION("""COMPUTED_VALUE"""),"Fall")</f>
        <v>Fall</v>
      </c>
      <c r="P141" s="5" t="str">
        <f ca="1">IFERROR(__xludf.DUMMYFUNCTION("""COMPUTED_VALUE"""),"Denver")</f>
        <v>Denver</v>
      </c>
      <c r="Q141" s="5" t="str">
        <f ca="1">IFERROR(__xludf.DUMMYFUNCTION("""COMPUTED_VALUE"""),"CO")</f>
        <v>CO</v>
      </c>
      <c r="R141" s="5" t="str">
        <f ca="1">IFERROR(__xludf.DUMMYFUNCTION("""COMPUTED_VALUE"""),"Elementary")</f>
        <v>Elementary</v>
      </c>
      <c r="S141" s="5" t="str">
        <f ca="1">IFERROR(__xludf.DUMMYFUNCTION("""COMPUTED_VALUE"""),"Field (General)")</f>
        <v>Field (General)</v>
      </c>
      <c r="T141" s="5" t="str">
        <f ca="1">IFERROR(__xludf.DUMMYFUNCTION("""COMPUTED_VALUE"""),"Outside on School Property")</f>
        <v>Outside on School Property</v>
      </c>
      <c r="U141" s="5" t="str">
        <f ca="1">IFERROR(__xludf.DUMMYFUNCTION("""COMPUTED_VALUE"""),"No")</f>
        <v>No</v>
      </c>
      <c r="V141" s="5" t="str">
        <f ca="1">IFERROR(__xludf.DUMMYFUNCTION("""COMPUTED_VALUE"""),"Sport Event")</f>
        <v>Sport Event</v>
      </c>
      <c r="W141" s="10">
        <f ca="1">IFERROR(__xludf.DUMMYFUNCTION("""COMPUTED_VALUE"""),0.726388888888888)</f>
        <v>0.72638888888888797</v>
      </c>
      <c r="X141" s="5">
        <f ca="1">IFERROR(__xludf.DUMMYFUNCTION("""COMPUTED_VALUE"""),1)</f>
        <v>1</v>
      </c>
      <c r="Y141" s="5" t="str">
        <f ca="1">IFERROR(__xludf.DUMMYFUNCTION("""COMPUTED_VALUE"""),"Man displayed gun at youth soccer game and said he was going to kill everyone")</f>
        <v>Man displayed gun at youth soccer game and said he was going to kill everyone</v>
      </c>
      <c r="Z141" s="5" t="str">
        <f ca="1">IFERROR(__xludf.DUMMYFUNCTION("""COMPUTED_VALUE"""),"Man displayed gun at youth soccer game and said he was going to kill everyone. Parents and students ran. School was placed on lockdown. Man was arrested away from school with BB gun and arrested for outstanding warrant.")</f>
        <v>Man displayed gun at youth soccer game and said he was going to kill everyone. Parents and students ran. School was placed on lockdown. Man was arrested away from school with BB gun and arrested for outstanding warrant.</v>
      </c>
      <c r="AA141" s="5"/>
      <c r="AB141" s="5" t="str">
        <f ca="1">IFERROR(__xludf.DUMMYFUNCTION("""COMPUTED_VALUE"""),"Neither")</f>
        <v>Neither</v>
      </c>
      <c r="AC141" s="5" t="str">
        <f ca="1">IFERROR(__xludf.DUMMYFUNCTION("""COMPUTED_VALUE"""),"No")</f>
        <v>No</v>
      </c>
      <c r="AD141" s="5" t="str">
        <f ca="1">IFERROR(__xludf.DUMMYFUNCTION("""COMPUTED_VALUE"""),"No")</f>
        <v>No</v>
      </c>
      <c r="AE141" s="5" t="str">
        <f ca="1">IFERROR(__xludf.DUMMYFUNCTION("""COMPUTED_VALUE"""),"No")</f>
        <v>No</v>
      </c>
      <c r="AF141" s="5" t="str">
        <f ca="1">IFERROR(__xludf.DUMMYFUNCTION("""COMPUTED_VALUE"""),"No")</f>
        <v>No</v>
      </c>
      <c r="AG141" s="5" t="str">
        <f ca="1">IFERROR(__xludf.DUMMYFUNCTION("""COMPUTED_VALUE"""),"No")</f>
        <v>No</v>
      </c>
      <c r="AH141" s="5" t="str">
        <f ca="1">IFERROR(__xludf.DUMMYFUNCTION("""COMPUTED_VALUE"""),"No")</f>
        <v>No</v>
      </c>
      <c r="AI141" s="5" t="str">
        <f ca="1">IFERROR(__xludf.DUMMYFUNCTION("""COMPUTED_VALUE"""),"No")</f>
        <v>No</v>
      </c>
      <c r="AJ141" s="5" t="str">
        <f ca="1">IFERROR(__xludf.DUMMYFUNCTION("""COMPUTED_VALUE"""),"No")</f>
        <v>No</v>
      </c>
    </row>
    <row r="142" spans="1:36" ht="13">
      <c r="A142" s="5" t="str">
        <f ca="1">IFERROR(__xludf.DUMMYFUNCTION("""COMPUTED_VALUE"""),"20221020PAPAP")</f>
        <v>20221020PAPAP</v>
      </c>
      <c r="B142" s="5">
        <f ca="1">IFERROR(__xludf.DUMMYFUNCTION("""COMPUTED_VALUE"""),10)</f>
        <v>10</v>
      </c>
      <c r="C142" s="5">
        <f ca="1">IFERROR(__xludf.DUMMYFUNCTION("""COMPUTED_VALUE"""),20)</f>
        <v>20</v>
      </c>
      <c r="D142" s="5">
        <f ca="1">IFERROR(__xludf.DUMMYFUNCTION("""COMPUTED_VALUE"""),2022)</f>
        <v>2022</v>
      </c>
      <c r="E142" s="8">
        <f ca="1">IFERROR(__xludf.DUMMYFUNCTION("""COMPUTED_VALUE"""),44854)</f>
        <v>44854</v>
      </c>
      <c r="F142" s="5" t="str">
        <f ca="1">IFERROR(__xludf.DUMMYFUNCTION("""COMPUTED_VALUE"""),"Parkway West High School")</f>
        <v>Parkway West High School</v>
      </c>
      <c r="G142" s="5">
        <f ca="1">IFERROR(__xludf.DUMMYFUNCTION("""COMPUTED_VALUE"""),0)</f>
        <v>0</v>
      </c>
      <c r="H142" s="5">
        <f ca="1">IFERROR(__xludf.DUMMYFUNCTION("""COMPUTED_VALUE"""),1)</f>
        <v>1</v>
      </c>
      <c r="I142" s="5">
        <f ca="1">IFERROR(__xludf.DUMMYFUNCTION("""COMPUTED_VALUE"""),1)</f>
        <v>1</v>
      </c>
      <c r="J142" s="5">
        <f ca="1">IFERROR(__xludf.DUMMYFUNCTION("""COMPUTED_VALUE"""),0)</f>
        <v>0</v>
      </c>
      <c r="K142" s="5" t="str">
        <f ca="1">IFERROR(__xludf.DUMMYFUNCTION("""COMPUTED_VALUE"""),"https://www.cbsnews.com/philadelphia/news/4-west-philly-schools-dismissed-lockdown-following-shooting/
https://www.fox29.com/news/police-man-hospitalized-after-broad-daylight-shooting-in-west-philadelphia-local-schools-placed-on-lockdown")</f>
        <v>https://www.cbsnews.com/philadelphia/news/4-west-philly-schools-dismissed-lockdown-following-shooting/
https://www.fox29.com/news/police-man-hospitalized-after-broad-daylight-shooting-in-west-philadelphia-local-schools-placed-on-lockdown</v>
      </c>
      <c r="L142" s="5">
        <f ca="1">IFERROR(__xludf.DUMMYFUNCTION("""COMPUTED_VALUE"""),10)</f>
        <v>10</v>
      </c>
      <c r="M142" s="5" t="str">
        <f ca="1">IFERROR(__xludf.DUMMYFUNCTION("""COMPUTED_VALUE"""),"Regional")</f>
        <v>Regional</v>
      </c>
      <c r="N142" s="5">
        <f ca="1">IFERROR(__xludf.DUMMYFUNCTION("""COMPUTED_VALUE"""),4)</f>
        <v>4</v>
      </c>
      <c r="O142" s="5" t="str">
        <f ca="1">IFERROR(__xludf.DUMMYFUNCTION("""COMPUTED_VALUE"""),"Fall")</f>
        <v>Fall</v>
      </c>
      <c r="P142" s="5" t="str">
        <f ca="1">IFERROR(__xludf.DUMMYFUNCTION("""COMPUTED_VALUE"""),"Philadelphia")</f>
        <v>Philadelphia</v>
      </c>
      <c r="Q142" s="5" t="str">
        <f ca="1">IFERROR(__xludf.DUMMYFUNCTION("""COMPUTED_VALUE"""),"PA")</f>
        <v>PA</v>
      </c>
      <c r="R142" s="5" t="str">
        <f ca="1">IFERROR(__xludf.DUMMYFUNCTION("""COMPUTED_VALUE"""),"High")</f>
        <v>High</v>
      </c>
      <c r="S142" s="5" t="str">
        <f ca="1">IFERROR(__xludf.DUMMYFUNCTION("""COMPUTED_VALUE"""),"School Bus")</f>
        <v>School Bus</v>
      </c>
      <c r="T142" s="5" t="str">
        <f ca="1">IFERROR(__xludf.DUMMYFUNCTION("""COMPUTED_VALUE"""),"School Bus")</f>
        <v>School Bus</v>
      </c>
      <c r="U142" s="5" t="str">
        <f ca="1">IFERROR(__xludf.DUMMYFUNCTION("""COMPUTED_VALUE"""),"Yes")</f>
        <v>Yes</v>
      </c>
      <c r="V142" s="5" t="str">
        <f ca="1">IFERROR(__xludf.DUMMYFUNCTION("""COMPUTED_VALUE"""),"Lunch")</f>
        <v>Lunch</v>
      </c>
      <c r="W142" s="10">
        <f ca="1">IFERROR(__xludf.DUMMYFUNCTION("""COMPUTED_VALUE"""),0.520833333333333)</f>
        <v>0.52083333333333304</v>
      </c>
      <c r="X142" s="5">
        <f ca="1">IFERROR(__xludf.DUMMYFUNCTION("""COMPUTED_VALUE"""),1)</f>
        <v>1</v>
      </c>
      <c r="Y142" s="5" t="str">
        <f ca="1">IFERROR(__xludf.DUMMYFUNCTION("""COMPUTED_VALUE"""),"Man shot on street near school, shooter hid inside school bus")</f>
        <v>Man shot on street near school, shooter hid inside school bus</v>
      </c>
      <c r="Z142" s="5" t="str">
        <f ca="1">IFERROR(__xludf.DUMMYFUNCTION("""COMPUTED_VALUE"""),"Man was critically injured during shooting on street near 4 schools. Schools went on lockdown. Police found the shooter on a school bus and recovered the firearm used inside the bus.")</f>
        <v>Man was critically injured during shooting on street near 4 schools. Schools went on lockdown. Police found the shooter on a school bus and recovered the firearm used inside the bus.</v>
      </c>
      <c r="AA142" s="5"/>
      <c r="AB142" s="5" t="str">
        <f ca="1">IFERROR(__xludf.DUMMYFUNCTION("""COMPUTED_VALUE"""),"Victims Targeted")</f>
        <v>Victims Targeted</v>
      </c>
      <c r="AC142" s="5" t="str">
        <f ca="1">IFERROR(__xludf.DUMMYFUNCTION("""COMPUTED_VALUE"""),"No")</f>
        <v>No</v>
      </c>
      <c r="AD142" s="5" t="str">
        <f ca="1">IFERROR(__xludf.DUMMYFUNCTION("""COMPUTED_VALUE"""),"No")</f>
        <v>No</v>
      </c>
      <c r="AE142" s="5" t="str">
        <f ca="1">IFERROR(__xludf.DUMMYFUNCTION("""COMPUTED_VALUE"""),"No")</f>
        <v>No</v>
      </c>
      <c r="AF142" s="5" t="str">
        <f ca="1">IFERROR(__xludf.DUMMYFUNCTION("""COMPUTED_VALUE"""),"No")</f>
        <v>No</v>
      </c>
      <c r="AG142" s="5" t="str">
        <f ca="1">IFERROR(__xludf.DUMMYFUNCTION("""COMPUTED_VALUE"""),"No")</f>
        <v>No</v>
      </c>
      <c r="AH142" s="5" t="str">
        <f ca="1">IFERROR(__xludf.DUMMYFUNCTION("""COMPUTED_VALUE"""),"No")</f>
        <v>No</v>
      </c>
      <c r="AI142" s="5"/>
      <c r="AJ142" s="5" t="str">
        <f ca="1">IFERROR(__xludf.DUMMYFUNCTION("""COMPUTED_VALUE"""),"No")</f>
        <v>No</v>
      </c>
    </row>
    <row r="143" spans="1:36" ht="13">
      <c r="A143" s="5" t="str">
        <f ca="1">IFERROR(__xludf.DUMMYFUNCTION("""COMPUTED_VALUE"""),"20221019TNROR")</f>
        <v>20221019TNROR</v>
      </c>
      <c r="B143" s="5">
        <f ca="1">IFERROR(__xludf.DUMMYFUNCTION("""COMPUTED_VALUE"""),10)</f>
        <v>10</v>
      </c>
      <c r="C143" s="5">
        <f ca="1">IFERROR(__xludf.DUMMYFUNCTION("""COMPUTED_VALUE"""),19)</f>
        <v>19</v>
      </c>
      <c r="D143" s="5">
        <f ca="1">IFERROR(__xludf.DUMMYFUNCTION("""COMPUTED_VALUE"""),2022)</f>
        <v>2022</v>
      </c>
      <c r="E143" s="8">
        <f ca="1">IFERROR(__xludf.DUMMYFUNCTION("""COMPUTED_VALUE"""),44853)</f>
        <v>44853</v>
      </c>
      <c r="F143" s="5" t="str">
        <f ca="1">IFERROR(__xludf.DUMMYFUNCTION("""COMPUTED_VALUE"""),"Rockvale Middle School")</f>
        <v>Rockvale Middle School</v>
      </c>
      <c r="G143" s="5">
        <f ca="1">IFERROR(__xludf.DUMMYFUNCTION("""COMPUTED_VALUE"""),0)</f>
        <v>0</v>
      </c>
      <c r="H143" s="5">
        <f ca="1">IFERROR(__xludf.DUMMYFUNCTION("""COMPUTED_VALUE"""),1)</f>
        <v>1</v>
      </c>
      <c r="I143" s="5">
        <f ca="1">IFERROR(__xludf.DUMMYFUNCTION("""COMPUTED_VALUE"""),1)</f>
        <v>1</v>
      </c>
      <c r="J143" s="5">
        <f ca="1">IFERROR(__xludf.DUMMYFUNCTION("""COMPUTED_VALUE"""),0)</f>
        <v>0</v>
      </c>
      <c r="K143" s="5" t="str">
        <f ca="1">IFERROR(__xludf.DUMMYFUNCTION("""COMPUTED_VALUE"""),"https://fox17.com/news/local/police-17-year-old-girl-shot-life-flighted-to-hospital-after-rutherford-county-shooting
https://www.wkrn.com/news/local-news/murfreesboro/17-year-old-airlifted-following-rutherford-county-shooting/
https://www.newschannel5.com"&amp;"/news/teen-shot-near-rutherford-county-school")</f>
        <v>https://fox17.com/news/local/police-17-year-old-girl-shot-life-flighted-to-hospital-after-rutherford-county-shooting
https://www.wkrn.com/news/local-news/murfreesboro/17-year-old-airlifted-following-rutherford-county-shooting/
https://www.newschannel5.com/news/teen-shot-near-rutherford-county-school</v>
      </c>
      <c r="L143" s="5">
        <f ca="1">IFERROR(__xludf.DUMMYFUNCTION("""COMPUTED_VALUE"""),3)</f>
        <v>3</v>
      </c>
      <c r="M143" s="5" t="str">
        <f ca="1">IFERROR(__xludf.DUMMYFUNCTION("""COMPUTED_VALUE"""),"Local")</f>
        <v>Local</v>
      </c>
      <c r="N143" s="5">
        <f ca="1">IFERROR(__xludf.DUMMYFUNCTION("""COMPUTED_VALUE"""),2)</f>
        <v>2</v>
      </c>
      <c r="O143" s="5" t="str">
        <f ca="1">IFERROR(__xludf.DUMMYFUNCTION("""COMPUTED_VALUE"""),"Fall")</f>
        <v>Fall</v>
      </c>
      <c r="P143" s="5" t="str">
        <f ca="1">IFERROR(__xludf.DUMMYFUNCTION("""COMPUTED_VALUE"""),"Rockvale")</f>
        <v>Rockvale</v>
      </c>
      <c r="Q143" s="5" t="str">
        <f ca="1">IFERROR(__xludf.DUMMYFUNCTION("""COMPUTED_VALUE"""),"TN")</f>
        <v>TN</v>
      </c>
      <c r="R143" s="5" t="str">
        <f ca="1">IFERROR(__xludf.DUMMYFUNCTION("""COMPUTED_VALUE"""),"Middle")</f>
        <v>Middle</v>
      </c>
      <c r="S143" s="5" t="str">
        <f ca="1">IFERROR(__xludf.DUMMYFUNCTION("""COMPUTED_VALUE"""),"Outside on School Property")</f>
        <v>Outside on School Property</v>
      </c>
      <c r="T143" s="5" t="str">
        <f ca="1">IFERROR(__xludf.DUMMYFUNCTION("""COMPUTED_VALUE"""),"Outside on School Property")</f>
        <v>Outside on School Property</v>
      </c>
      <c r="U143" s="5" t="str">
        <f ca="1">IFERROR(__xludf.DUMMYFUNCTION("""COMPUTED_VALUE"""),"No")</f>
        <v>No</v>
      </c>
      <c r="V143" s="5" t="str">
        <f ca="1">IFERROR(__xludf.DUMMYFUNCTION("""COMPUTED_VALUE"""),"Not a School Day")</f>
        <v>Not a School Day</v>
      </c>
      <c r="W143" s="10">
        <f ca="1">IFERROR(__xludf.DUMMYFUNCTION("""COMPUTED_VALUE"""),0.625)</f>
        <v>0.625</v>
      </c>
      <c r="X143" s="5">
        <f ca="1">IFERROR(__xludf.DUMMYFUNCTION("""COMPUTED_VALUE"""),1)</f>
        <v>1</v>
      </c>
      <c r="Y143" s="5" t="str">
        <f ca="1">IFERROR(__xludf.DUMMYFUNCTION("""COMPUTED_VALUE"""),"Teen shot during domestic near school, given medical assistance at the school")</f>
        <v>Teen shot during domestic near school, given medical assistance at the school</v>
      </c>
      <c r="Z143" s="5" t="str">
        <f ca="1">IFERROR(__xludf.DUMMYFUNCTION("""COMPUTED_VALUE"""),"The apparent shooter brought the victim to Rockvale School where emergency workers responded, Rutherford County Sheriff's Office confirmed. Rutherford County Schools (RCS) said that the shooting was a domestic incident. Rutherford County Police said the g"&amp;"irl was life-flighted to Vanderbilt University Medical Center (VUMC) in Nashville after she was treated by Emergency Medical Services (EMS) paramedics at the school. School was closed for a teacher work day.")</f>
        <v>The apparent shooter brought the victim to Rockvale School where emergency workers responded, Rutherford County Sheriff's Office confirmed. Rutherford County Schools (RCS) said that the shooting was a domestic incident. Rutherford County Police said the girl was life-flighted to Vanderbilt University Medical Center (VUMC) in Nashville after she was treated by Emergency Medical Services (EMS) paramedics at the school. School was closed for a teacher work day.</v>
      </c>
      <c r="AA143" s="5" t="str">
        <f ca="1">IFERROR(__xludf.DUMMYFUNCTION("""COMPUTED_VALUE"""),"Domestic w/ Targeted Victim")</f>
        <v>Domestic w/ Targeted Victim</v>
      </c>
      <c r="AB143" s="5" t="str">
        <f ca="1">IFERROR(__xludf.DUMMYFUNCTION("""COMPUTED_VALUE"""),"Victims Targeted")</f>
        <v>Victims Targeted</v>
      </c>
      <c r="AC143" s="5"/>
      <c r="AD143" s="5" t="str">
        <f ca="1">IFERROR(__xludf.DUMMYFUNCTION("""COMPUTED_VALUE"""),"No")</f>
        <v>No</v>
      </c>
      <c r="AE143" s="5" t="str">
        <f ca="1">IFERROR(__xludf.DUMMYFUNCTION("""COMPUTED_VALUE"""),"No")</f>
        <v>No</v>
      </c>
      <c r="AF143" s="5" t="str">
        <f ca="1">IFERROR(__xludf.DUMMYFUNCTION("""COMPUTED_VALUE"""),"No")</f>
        <v>No</v>
      </c>
      <c r="AG143" s="5" t="str">
        <f ca="1">IFERROR(__xludf.DUMMYFUNCTION("""COMPUTED_VALUE"""),"No")</f>
        <v>No</v>
      </c>
      <c r="AH143" s="5" t="str">
        <f ca="1">IFERROR(__xludf.DUMMYFUNCTION("""COMPUTED_VALUE"""),"Yes")</f>
        <v>Yes</v>
      </c>
      <c r="AI143" s="5" t="str">
        <f ca="1">IFERROR(__xludf.DUMMYFUNCTION("""COMPUTED_VALUE"""),"No")</f>
        <v>No</v>
      </c>
      <c r="AJ143" s="5" t="str">
        <f ca="1">IFERROR(__xludf.DUMMYFUNCTION("""COMPUTED_VALUE"""),"No")</f>
        <v>No</v>
      </c>
    </row>
    <row r="144" spans="1:36" ht="13">
      <c r="A144" s="5" t="str">
        <f ca="1">IFERROR(__xludf.DUMMYFUNCTION("""COMPUTED_VALUE"""),"20221018NVSUL")</f>
        <v>20221018NVSUL</v>
      </c>
      <c r="B144" s="5">
        <f ca="1">IFERROR(__xludf.DUMMYFUNCTION("""COMPUTED_VALUE"""),10)</f>
        <v>10</v>
      </c>
      <c r="C144" s="5">
        <f ca="1">IFERROR(__xludf.DUMMYFUNCTION("""COMPUTED_VALUE"""),18)</f>
        <v>18</v>
      </c>
      <c r="D144" s="5">
        <f ca="1">IFERROR(__xludf.DUMMYFUNCTION("""COMPUTED_VALUE"""),2022)</f>
        <v>2022</v>
      </c>
      <c r="E144" s="8">
        <f ca="1">IFERROR(__xludf.DUMMYFUNCTION("""COMPUTED_VALUE"""),44852)</f>
        <v>44852</v>
      </c>
      <c r="F144" s="5" t="str">
        <f ca="1">IFERROR(__xludf.DUMMYFUNCTION("""COMPUTED_VALUE"""),"Sunrise Mountain High School")</f>
        <v>Sunrise Mountain High School</v>
      </c>
      <c r="G144" s="5">
        <f ca="1">IFERROR(__xludf.DUMMYFUNCTION("""COMPUTED_VALUE"""),1)</f>
        <v>1</v>
      </c>
      <c r="H144" s="5">
        <f ca="1">IFERROR(__xludf.DUMMYFUNCTION("""COMPUTED_VALUE"""),0)</f>
        <v>0</v>
      </c>
      <c r="I144" s="5">
        <f ca="1">IFERROR(__xludf.DUMMYFUNCTION("""COMPUTED_VALUE"""),1)</f>
        <v>1</v>
      </c>
      <c r="J144" s="5">
        <f ca="1">IFERROR(__xludf.DUMMYFUNCTION("""COMPUTED_VALUE"""),0)</f>
        <v>0</v>
      </c>
      <c r="K144" s="9" t="str">
        <f ca="1">IFERROR(__xludf.DUMMYFUNCTION("""COMPUTED_VALUE"""),"https://www.reviewjournal.com/crime/homicides/fatal-shooting-reported-outside-east-las-vegas-high-school-2659925/")</f>
        <v>https://www.reviewjournal.com/crime/homicides/fatal-shooting-reported-outside-east-las-vegas-high-school-2659925/</v>
      </c>
      <c r="L144" s="5">
        <f ca="1">IFERROR(__xludf.DUMMYFUNCTION("""COMPUTED_VALUE"""),2)</f>
        <v>2</v>
      </c>
      <c r="M144" s="5" t="str">
        <f ca="1">IFERROR(__xludf.DUMMYFUNCTION("""COMPUTED_VALUE"""),"Local")</f>
        <v>Local</v>
      </c>
      <c r="N144" s="5">
        <f ca="1">IFERROR(__xludf.DUMMYFUNCTION("""COMPUTED_VALUE"""),4)</f>
        <v>4</v>
      </c>
      <c r="O144" s="5" t="str">
        <f ca="1">IFERROR(__xludf.DUMMYFUNCTION("""COMPUTED_VALUE"""),"Fall")</f>
        <v>Fall</v>
      </c>
      <c r="P144" s="5" t="str">
        <f ca="1">IFERROR(__xludf.DUMMYFUNCTION("""COMPUTED_VALUE"""),"Las Vegas")</f>
        <v>Las Vegas</v>
      </c>
      <c r="Q144" s="5" t="str">
        <f ca="1">IFERROR(__xludf.DUMMYFUNCTION("""COMPUTED_VALUE"""),"NV")</f>
        <v>NV</v>
      </c>
      <c r="R144" s="5" t="str">
        <f ca="1">IFERROR(__xludf.DUMMYFUNCTION("""COMPUTED_VALUE"""),"High")</f>
        <v>High</v>
      </c>
      <c r="S144" s="5" t="str">
        <f ca="1">IFERROR(__xludf.DUMMYFUNCTION("""COMPUTED_VALUE"""),"Parking Lot")</f>
        <v>Parking Lot</v>
      </c>
      <c r="T144" s="5" t="str">
        <f ca="1">IFERROR(__xludf.DUMMYFUNCTION("""COMPUTED_VALUE"""),"Outside on School Property")</f>
        <v>Outside on School Property</v>
      </c>
      <c r="U144" s="5" t="str">
        <f ca="1">IFERROR(__xludf.DUMMYFUNCTION("""COMPUTED_VALUE"""),"No")</f>
        <v>No</v>
      </c>
      <c r="V144" s="5" t="str">
        <f ca="1">IFERROR(__xludf.DUMMYFUNCTION("""COMPUTED_VALUE"""),"Night")</f>
        <v>Night</v>
      </c>
      <c r="W144" s="10">
        <f ca="1">IFERROR(__xludf.DUMMYFUNCTION("""COMPUTED_VALUE"""),0.0416666666666666)</f>
        <v>4.1666666666666602E-2</v>
      </c>
      <c r="X144" s="5">
        <f ca="1">IFERROR(__xludf.DUMMYFUNCTION("""COMPUTED_VALUE"""),1)</f>
        <v>1</v>
      </c>
      <c r="Y144" s="5" t="str">
        <f ca="1">IFERROR(__xludf.DUMMYFUNCTION("""COMPUTED_VALUE"""),"Man fatally shot in school parking lot")</f>
        <v>Man fatally shot in school parking lot</v>
      </c>
      <c r="Z144" s="5" t="str">
        <f ca="1">IFERROR(__xludf.DUMMYFUNCTION("""COMPUTED_VALUE"""),"Man fatally shot in school parking lot")</f>
        <v>Man fatally shot in school parking lot</v>
      </c>
      <c r="AA144" s="5"/>
      <c r="AB144" s="5" t="str">
        <f ca="1">IFERROR(__xludf.DUMMYFUNCTION("""COMPUTED_VALUE"""),"Victims Targeted")</f>
        <v>Victims Targeted</v>
      </c>
      <c r="AC144" s="5"/>
      <c r="AD144" s="5" t="str">
        <f ca="1">IFERROR(__xludf.DUMMYFUNCTION("""COMPUTED_VALUE"""),"No")</f>
        <v>No</v>
      </c>
      <c r="AE144" s="5" t="str">
        <f ca="1">IFERROR(__xludf.DUMMYFUNCTION("""COMPUTED_VALUE"""),"No")</f>
        <v>No</v>
      </c>
      <c r="AF144" s="5" t="str">
        <f ca="1">IFERROR(__xludf.DUMMYFUNCTION("""COMPUTED_VALUE"""),"No")</f>
        <v>No</v>
      </c>
      <c r="AG144" s="5" t="str">
        <f ca="1">IFERROR(__xludf.DUMMYFUNCTION("""COMPUTED_VALUE"""),"No")</f>
        <v>No</v>
      </c>
      <c r="AH144" s="5" t="str">
        <f ca="1">IFERROR(__xludf.DUMMYFUNCTION("""COMPUTED_VALUE"""),"No")</f>
        <v>No</v>
      </c>
      <c r="AI144" s="5" t="str">
        <f ca="1">IFERROR(__xludf.DUMMYFUNCTION("""COMPUTED_VALUE"""),"No")</f>
        <v>No</v>
      </c>
      <c r="AJ144" s="5" t="str">
        <f ca="1">IFERROR(__xludf.DUMMYFUNCTION("""COMPUTED_VALUE"""),"No")</f>
        <v>No</v>
      </c>
    </row>
    <row r="145" spans="1:36" ht="13">
      <c r="A145" s="5" t="str">
        <f ca="1">IFERROR(__xludf.DUMMYFUNCTION("""COMPUTED_VALUE"""),"20221018ORJEP")</f>
        <v>20221018ORJEP</v>
      </c>
      <c r="B145" s="5">
        <f ca="1">IFERROR(__xludf.DUMMYFUNCTION("""COMPUTED_VALUE"""),10)</f>
        <v>10</v>
      </c>
      <c r="C145" s="5">
        <f ca="1">IFERROR(__xludf.DUMMYFUNCTION("""COMPUTED_VALUE"""),18)</f>
        <v>18</v>
      </c>
      <c r="D145" s="5">
        <f ca="1">IFERROR(__xludf.DUMMYFUNCTION("""COMPUTED_VALUE"""),2022)</f>
        <v>2022</v>
      </c>
      <c r="E145" s="8">
        <f ca="1">IFERROR(__xludf.DUMMYFUNCTION("""COMPUTED_VALUE"""),44852)</f>
        <v>44852</v>
      </c>
      <c r="F145" s="5" t="str">
        <f ca="1">IFERROR(__xludf.DUMMYFUNCTION("""COMPUTED_VALUE"""),"Jefferson High School")</f>
        <v>Jefferson High School</v>
      </c>
      <c r="G145" s="5">
        <f ca="1">IFERROR(__xludf.DUMMYFUNCTION("""COMPUTED_VALUE"""),0)</f>
        <v>0</v>
      </c>
      <c r="H145" s="5">
        <f ca="1">IFERROR(__xludf.DUMMYFUNCTION("""COMPUTED_VALUE"""),2)</f>
        <v>2</v>
      </c>
      <c r="I145" s="5">
        <f ca="1">IFERROR(__xludf.DUMMYFUNCTION("""COMPUTED_VALUE"""),2)</f>
        <v>2</v>
      </c>
      <c r="J145" s="5">
        <f ca="1">IFERROR(__xludf.DUMMYFUNCTION("""COMPUTED_VALUE"""),0)</f>
        <v>0</v>
      </c>
      <c r="K145" s="5" t="str">
        <f ca="1">IFERROR(__xludf.DUMMYFUNCTION("""COMPUTED_VALUE"""),"https://www.oregonlive.com/crime/2022/10/two-students-wounded-in-shooting-near-jefferson-high-school-portland-school-officials-say.html
https://www.kptv.com/2022/10/19/2-students-injured-shooting-near-jefferson-high-school/
https://www.kgw.com/video/news/"&amp;"local/two-students-injured-in-shooting-near-jefferson-high-school/283-aabeeffa-e15d-415c-bb2e-78e7ff194539")</f>
        <v>https://www.oregonlive.com/crime/2022/10/two-students-wounded-in-shooting-near-jefferson-high-school-portland-school-officials-say.html
https://www.kptv.com/2022/10/19/2-students-injured-shooting-near-jefferson-high-school/
https://www.kgw.com/video/news/local/two-students-injured-in-shooting-near-jefferson-high-school/283-aabeeffa-e15d-415c-bb2e-78e7ff194539</v>
      </c>
      <c r="L145" s="5">
        <f ca="1">IFERROR(__xludf.DUMMYFUNCTION("""COMPUTED_VALUE"""),25)</f>
        <v>25</v>
      </c>
      <c r="M145" s="5" t="str">
        <f ca="1">IFERROR(__xludf.DUMMYFUNCTION("""COMPUTED_VALUE"""),"National")</f>
        <v>National</v>
      </c>
      <c r="N145" s="5">
        <f ca="1">IFERROR(__xludf.DUMMYFUNCTION("""COMPUTED_VALUE"""),4)</f>
        <v>4</v>
      </c>
      <c r="O145" s="5" t="str">
        <f ca="1">IFERROR(__xludf.DUMMYFUNCTION("""COMPUTED_VALUE"""),"Fall")</f>
        <v>Fall</v>
      </c>
      <c r="P145" s="5" t="str">
        <f ca="1">IFERROR(__xludf.DUMMYFUNCTION("""COMPUTED_VALUE"""),"Portland")</f>
        <v>Portland</v>
      </c>
      <c r="Q145" s="5" t="str">
        <f ca="1">IFERROR(__xludf.DUMMYFUNCTION("""COMPUTED_VALUE"""),"OR")</f>
        <v>OR</v>
      </c>
      <c r="R145" s="5" t="str">
        <f ca="1">IFERROR(__xludf.DUMMYFUNCTION("""COMPUTED_VALUE"""),"High")</f>
        <v>High</v>
      </c>
      <c r="S145" s="5" t="str">
        <f ca="1">IFERROR(__xludf.DUMMYFUNCTION("""COMPUTED_VALUE"""),"Beside Building")</f>
        <v>Beside Building</v>
      </c>
      <c r="T145" s="5" t="str">
        <f ca="1">IFERROR(__xludf.DUMMYFUNCTION("""COMPUTED_VALUE"""),"Outside on School Property")</f>
        <v>Outside on School Property</v>
      </c>
      <c r="U145" s="5" t="str">
        <f ca="1">IFERROR(__xludf.DUMMYFUNCTION("""COMPUTED_VALUE"""),"Yes")</f>
        <v>Yes</v>
      </c>
      <c r="V145" s="5" t="str">
        <f ca="1">IFERROR(__xludf.DUMMYFUNCTION("""COMPUTED_VALUE"""),"Dismissal")</f>
        <v>Dismissal</v>
      </c>
      <c r="W145" s="10">
        <f ca="1">IFERROR(__xludf.DUMMYFUNCTION("""COMPUTED_VALUE"""),0.665972222222222)</f>
        <v>0.66597222222222197</v>
      </c>
      <c r="X145" s="5">
        <f ca="1">IFERROR(__xludf.DUMMYFUNCTION("""COMPUTED_VALUE"""),1)</f>
        <v>1</v>
      </c>
      <c r="Y145" s="5" t="str">
        <f ca="1">IFERROR(__xludf.DUMMYFUNCTION("""COMPUTED_VALUE"""),"2 students shot during drive by at dismissal")</f>
        <v>2 students shot during drive by at dismissal</v>
      </c>
      <c r="Z145" s="5" t="str">
        <f ca="1">IFERROR(__xludf.DUMMYFUNCTION("""COMPUTED_VALUE"""),"The Portland Police Bureau confirmed that shots were fired near Jefferson High School on Tuesday afternoon. North Precinct officers were first dispatched at 3:59 p.m. to 5200 Block of North Kerby Avenue after someone reported hearing gunshots followed by "&amp;"lots of yelling near the school Tuesday afternoon. Arriving officers found evidence showing shots had been fired just outside of the school’s gym, before discovering a male student inside the school with a non-life-threatening gunshot wound to the leg.")</f>
        <v>The Portland Police Bureau confirmed that shots were fired near Jefferson High School on Tuesday afternoon. North Precinct officers were first dispatched at 3:59 p.m. to 5200 Block of North Kerby Avenue after someone reported hearing gunshots followed by lots of yelling near the school Tuesday afternoon. Arriving officers found evidence showing shots had been fired just outside of the school’s gym, before discovering a male student inside the school with a non-life-threatening gunshot wound to the leg.</v>
      </c>
      <c r="AA145" s="5" t="str">
        <f ca="1">IFERROR(__xludf.DUMMYFUNCTION("""COMPUTED_VALUE"""),"Drive-by Shooting")</f>
        <v>Drive-by Shooting</v>
      </c>
      <c r="AB145" s="5" t="str">
        <f ca="1">IFERROR(__xludf.DUMMYFUNCTION("""COMPUTED_VALUE"""),"Both")</f>
        <v>Both</v>
      </c>
      <c r="AC145" s="5"/>
      <c r="AD145" s="5" t="str">
        <f ca="1">IFERROR(__xludf.DUMMYFUNCTION("""COMPUTED_VALUE"""),"No")</f>
        <v>No</v>
      </c>
      <c r="AE145" s="5" t="str">
        <f ca="1">IFERROR(__xludf.DUMMYFUNCTION("""COMPUTED_VALUE"""),"No")</f>
        <v>No</v>
      </c>
      <c r="AF145" s="5" t="str">
        <f ca="1">IFERROR(__xludf.DUMMYFUNCTION("""COMPUTED_VALUE"""),"No")</f>
        <v>No</v>
      </c>
      <c r="AG145" s="5" t="str">
        <f ca="1">IFERROR(__xludf.DUMMYFUNCTION("""COMPUTED_VALUE"""),"No")</f>
        <v>No</v>
      </c>
      <c r="AH145" s="5" t="str">
        <f ca="1">IFERROR(__xludf.DUMMYFUNCTION("""COMPUTED_VALUE"""),"No")</f>
        <v>No</v>
      </c>
      <c r="AI145" s="5" t="str">
        <f ca="1">IFERROR(__xludf.DUMMYFUNCTION("""COMPUTED_VALUE"""),"No")</f>
        <v>No</v>
      </c>
      <c r="AJ145" s="5" t="str">
        <f ca="1">IFERROR(__xludf.DUMMYFUNCTION("""COMPUTED_VALUE"""),"No")</f>
        <v>No</v>
      </c>
    </row>
    <row r="146" spans="1:36" ht="13">
      <c r="A146" s="5" t="str">
        <f ca="1">IFERROR(__xludf.DUMMYFUNCTION("""COMPUTED_VALUE"""),"20221017CAWIS")</f>
        <v>20221017CAWIS</v>
      </c>
      <c r="B146" s="5">
        <f ca="1">IFERROR(__xludf.DUMMYFUNCTION("""COMPUTED_VALUE"""),10)</f>
        <v>10</v>
      </c>
      <c r="C146" s="5">
        <f ca="1">IFERROR(__xludf.DUMMYFUNCTION("""COMPUTED_VALUE"""),17)</f>
        <v>17</v>
      </c>
      <c r="D146" s="5">
        <f ca="1">IFERROR(__xludf.DUMMYFUNCTION("""COMPUTED_VALUE"""),2022)</f>
        <v>2022</v>
      </c>
      <c r="E146" s="8">
        <f ca="1">IFERROR(__xludf.DUMMYFUNCTION("""COMPUTED_VALUE"""),44851)</f>
        <v>44851</v>
      </c>
      <c r="F146" s="5" t="str">
        <f ca="1">IFERROR(__xludf.DUMMYFUNCTION("""COMPUTED_VALUE"""),"Willow Glen Middle School")</f>
        <v>Willow Glen Middle School</v>
      </c>
      <c r="G146" s="5">
        <f ca="1">IFERROR(__xludf.DUMMYFUNCTION("""COMPUTED_VALUE"""),0)</f>
        <v>0</v>
      </c>
      <c r="H146" s="5">
        <f ca="1">IFERROR(__xludf.DUMMYFUNCTION("""COMPUTED_VALUE"""),0)</f>
        <v>0</v>
      </c>
      <c r="I146" s="5">
        <f ca="1">IFERROR(__xludf.DUMMYFUNCTION("""COMPUTED_VALUE"""),0)</f>
        <v>0</v>
      </c>
      <c r="J146" s="5">
        <f ca="1">IFERROR(__xludf.DUMMYFUNCTION("""COMPUTED_VALUE"""),0)</f>
        <v>0</v>
      </c>
      <c r="K146" s="9" t="str">
        <f ca="1">IFERROR(__xludf.DUMMYFUNCTION("""COMPUTED_VALUE"""),"https://abc7news.com/sj-school-paintball-pellets-willow-glen-middle-shots-fired-san-jose/12340605/")</f>
        <v>https://abc7news.com/sj-school-paintball-pellets-willow-glen-middle-shots-fired-san-jose/12340605/</v>
      </c>
      <c r="L146" s="5">
        <f ca="1">IFERROR(__xludf.DUMMYFUNCTION("""COMPUTED_VALUE"""),1)</f>
        <v>1</v>
      </c>
      <c r="M146" s="5" t="str">
        <f ca="1">IFERROR(__xludf.DUMMYFUNCTION("""COMPUTED_VALUE"""),"Local")</f>
        <v>Local</v>
      </c>
      <c r="N146" s="5">
        <f ca="1">IFERROR(__xludf.DUMMYFUNCTION("""COMPUTED_VALUE"""),3)</f>
        <v>3</v>
      </c>
      <c r="O146" s="5" t="str">
        <f ca="1">IFERROR(__xludf.DUMMYFUNCTION("""COMPUTED_VALUE"""),"Fall")</f>
        <v>Fall</v>
      </c>
      <c r="P146" s="5" t="str">
        <f ca="1">IFERROR(__xludf.DUMMYFUNCTION("""COMPUTED_VALUE"""),"San Jose")</f>
        <v>San Jose</v>
      </c>
      <c r="Q146" s="5" t="str">
        <f ca="1">IFERROR(__xludf.DUMMYFUNCTION("""COMPUTED_VALUE"""),"CA")</f>
        <v>CA</v>
      </c>
      <c r="R146" s="5" t="str">
        <f ca="1">IFERROR(__xludf.DUMMYFUNCTION("""COMPUTED_VALUE"""),"Middle")</f>
        <v>Middle</v>
      </c>
      <c r="S146" s="5" t="str">
        <f ca="1">IFERROR(__xludf.DUMMYFUNCTION("""COMPUTED_VALUE"""),"Front of School")</f>
        <v>Front of School</v>
      </c>
      <c r="T146" s="5" t="str">
        <f ca="1">IFERROR(__xludf.DUMMYFUNCTION("""COMPUTED_VALUE"""),"Outside on School Property")</f>
        <v>Outside on School Property</v>
      </c>
      <c r="U146" s="5" t="str">
        <f ca="1">IFERROR(__xludf.DUMMYFUNCTION("""COMPUTED_VALUE"""),"Yes")</f>
        <v>Yes</v>
      </c>
      <c r="V146" s="5" t="str">
        <f ca="1">IFERROR(__xludf.DUMMYFUNCTION("""COMPUTED_VALUE"""),"Morning Classes")</f>
        <v>Morning Classes</v>
      </c>
      <c r="W146" s="10">
        <f ca="1">IFERROR(__xludf.DUMMYFUNCTION("""COMPUTED_VALUE"""),0.416666666666666)</f>
        <v>0.41666666666666602</v>
      </c>
      <c r="X146" s="5">
        <f ca="1">IFERROR(__xludf.DUMMYFUNCTION("""COMPUTED_VALUE"""),1)</f>
        <v>1</v>
      </c>
      <c r="Y146" s="5" t="str">
        <f ca="1">IFERROR(__xludf.DUMMYFUNCTION("""COMPUTED_VALUE"""),"Pellet gun fired at students and staff")</f>
        <v>Pellet gun fired at students and staff</v>
      </c>
      <c r="Z146" s="5" t="str">
        <f ca="1">IFERROR(__xludf.DUMMYFUNCTION("""COMPUTED_VALUE"""),"Person in a vehicle fired pellets at students and staff inside a classroom.")</f>
        <v>Person in a vehicle fired pellets at students and staff inside a classroom.</v>
      </c>
      <c r="AA146" s="5" t="str">
        <f ca="1">IFERROR(__xludf.DUMMYFUNCTION("""COMPUTED_VALUE"""),"Drive-by Shooting")</f>
        <v>Drive-by Shooting</v>
      </c>
      <c r="AB146" s="5" t="str">
        <f ca="1">IFERROR(__xludf.DUMMYFUNCTION("""COMPUTED_VALUE"""),"Random Shooting")</f>
        <v>Random Shooting</v>
      </c>
      <c r="AC146" s="5"/>
      <c r="AD146" s="5" t="str">
        <f ca="1">IFERROR(__xludf.DUMMYFUNCTION("""COMPUTED_VALUE"""),"No")</f>
        <v>No</v>
      </c>
      <c r="AE146" s="5" t="str">
        <f ca="1">IFERROR(__xludf.DUMMYFUNCTION("""COMPUTED_VALUE"""),"No")</f>
        <v>No</v>
      </c>
      <c r="AF146" s="5" t="str">
        <f ca="1">IFERROR(__xludf.DUMMYFUNCTION("""COMPUTED_VALUE"""),"No")</f>
        <v>No</v>
      </c>
      <c r="AG146" s="5" t="str">
        <f ca="1">IFERROR(__xludf.DUMMYFUNCTION("""COMPUTED_VALUE"""),"No")</f>
        <v>No</v>
      </c>
      <c r="AH146" s="5" t="str">
        <f ca="1">IFERROR(__xludf.DUMMYFUNCTION("""COMPUTED_VALUE"""),"No")</f>
        <v>No</v>
      </c>
      <c r="AI146" s="5" t="str">
        <f ca="1">IFERROR(__xludf.DUMMYFUNCTION("""COMPUTED_VALUE"""),"No")</f>
        <v>No</v>
      </c>
      <c r="AJ146" s="5" t="str">
        <f ca="1">IFERROR(__xludf.DUMMYFUNCTION("""COMPUTED_VALUE"""),"No")</f>
        <v>No</v>
      </c>
    </row>
    <row r="147" spans="1:36" ht="13">
      <c r="A147" s="5" t="str">
        <f ca="1">IFERROR(__xludf.DUMMYFUNCTION("""COMPUTED_VALUE"""),"20221017FLORT")</f>
        <v>20221017FLORT</v>
      </c>
      <c r="B147" s="5">
        <f ca="1">IFERROR(__xludf.DUMMYFUNCTION("""COMPUTED_VALUE"""),10)</f>
        <v>10</v>
      </c>
      <c r="C147" s="5">
        <f ca="1">IFERROR(__xludf.DUMMYFUNCTION("""COMPUTED_VALUE"""),17)</f>
        <v>17</v>
      </c>
      <c r="D147" s="5">
        <f ca="1">IFERROR(__xludf.DUMMYFUNCTION("""COMPUTED_VALUE"""),2022)</f>
        <v>2022</v>
      </c>
      <c r="E147" s="8">
        <f ca="1">IFERROR(__xludf.DUMMYFUNCTION("""COMPUTED_VALUE"""),44851)</f>
        <v>44851</v>
      </c>
      <c r="F147" s="5" t="str">
        <f ca="1">IFERROR(__xludf.DUMMYFUNCTION("""COMPUTED_VALUE"""),"Orange Grove Magnet Middle School")</f>
        <v>Orange Grove Magnet Middle School</v>
      </c>
      <c r="G147" s="5">
        <f ca="1">IFERROR(__xludf.DUMMYFUNCTION("""COMPUTED_VALUE"""),0)</f>
        <v>0</v>
      </c>
      <c r="H147" s="5">
        <f ca="1">IFERROR(__xludf.DUMMYFUNCTION("""COMPUTED_VALUE"""),0)</f>
        <v>0</v>
      </c>
      <c r="I147" s="5">
        <f ca="1">IFERROR(__xludf.DUMMYFUNCTION("""COMPUTED_VALUE"""),0)</f>
        <v>0</v>
      </c>
      <c r="J147" s="5">
        <f ca="1">IFERROR(__xludf.DUMMYFUNCTION("""COMPUTED_VALUE"""),0)</f>
        <v>0</v>
      </c>
      <c r="K147" s="5" t="str">
        <f ca="1">IFERROR(__xludf.DUMMYFUNCTION("""COMPUTED_VALUE"""),"https://www.baynews9.com/fl/tampa/news/2022/10/17/no-injuries-as-bullet-from-tampa-drive-by-shooting-hits-school-door
https://www.wtsp.com/article/news/crime/tampa-drive-by-shooting-orange-grove-middle-school/67-2c6201a9-0bfc-4635-88d7-bc876770003e")</f>
        <v>https://www.baynews9.com/fl/tampa/news/2022/10/17/no-injuries-as-bullet-from-tampa-drive-by-shooting-hits-school-door
https://www.wtsp.com/article/news/crime/tampa-drive-by-shooting-orange-grove-middle-school/67-2c6201a9-0bfc-4635-88d7-bc876770003e</v>
      </c>
      <c r="L147" s="5">
        <f ca="1">IFERROR(__xludf.DUMMYFUNCTION("""COMPUTED_VALUE"""),2)</f>
        <v>2</v>
      </c>
      <c r="M147" s="5" t="str">
        <f ca="1">IFERROR(__xludf.DUMMYFUNCTION("""COMPUTED_VALUE"""),"Local")</f>
        <v>Local</v>
      </c>
      <c r="N147" s="5">
        <f ca="1">IFERROR(__xludf.DUMMYFUNCTION("""COMPUTED_VALUE"""),4)</f>
        <v>4</v>
      </c>
      <c r="O147" s="5" t="str">
        <f ca="1">IFERROR(__xludf.DUMMYFUNCTION("""COMPUTED_VALUE"""),"Fall")</f>
        <v>Fall</v>
      </c>
      <c r="P147" s="5" t="str">
        <f ca="1">IFERROR(__xludf.DUMMYFUNCTION("""COMPUTED_VALUE"""),"Tampa")</f>
        <v>Tampa</v>
      </c>
      <c r="Q147" s="5" t="str">
        <f ca="1">IFERROR(__xludf.DUMMYFUNCTION("""COMPUTED_VALUE"""),"FL")</f>
        <v>FL</v>
      </c>
      <c r="R147" s="5" t="str">
        <f ca="1">IFERROR(__xludf.DUMMYFUNCTION("""COMPUTED_VALUE"""),"Middle")</f>
        <v>Middle</v>
      </c>
      <c r="S147" s="5" t="str">
        <f ca="1">IFERROR(__xludf.DUMMYFUNCTION("""COMPUTED_VALUE"""),"Front of School")</f>
        <v>Front of School</v>
      </c>
      <c r="T147" s="5" t="str">
        <f ca="1">IFERROR(__xludf.DUMMYFUNCTION("""COMPUTED_VALUE"""),"Outside on School Property")</f>
        <v>Outside on School Property</v>
      </c>
      <c r="U147" s="5" t="str">
        <f ca="1">IFERROR(__xludf.DUMMYFUNCTION("""COMPUTED_VALUE"""),"Yes")</f>
        <v>Yes</v>
      </c>
      <c r="V147" s="5" t="str">
        <f ca="1">IFERROR(__xludf.DUMMYFUNCTION("""COMPUTED_VALUE"""),"Morning Classes")</f>
        <v>Morning Classes</v>
      </c>
      <c r="W147" s="10">
        <f ca="1">IFERROR(__xludf.DUMMYFUNCTION("""COMPUTED_VALUE"""),0.375)</f>
        <v>0.375</v>
      </c>
      <c r="X147" s="5">
        <f ca="1">IFERROR(__xludf.DUMMYFUNCTION("""COMPUTED_VALUE"""),1)</f>
        <v>1</v>
      </c>
      <c r="Y147" s="5" t="str">
        <f ca="1">IFERROR(__xludf.DUMMYFUNCTION("""COMPUTED_VALUE"""),"Front door of school hit by bullet")</f>
        <v>Front door of school hit by bullet</v>
      </c>
      <c r="Z147" s="5" t="str">
        <f ca="1">IFERROR(__xludf.DUMMYFUNCTION("""COMPUTED_VALUE"""),"Gunshot detector system ShotSpotter reported the sound of multiple gunshots around 9 a.m. near Orange Grove Middle Magnet, located at 3415 North 16th St. As officers were on the way there, a call came in about a shooting at a home off of East 27th Avenue,"&amp;" just across the street from the school. Police explained they were able to talk to a man who said the shooter drove by his home ""firing several shots at the house."" As an act of self-defense, the man reportedly shot back at the car. The police departme"&amp;"nt says no one was hurt and no homes were struck by the gunfire, but one round hit an exterior door at the middle school.")</f>
        <v>Gunshot detector system ShotSpotter reported the sound of multiple gunshots around 9 a.m. near Orange Grove Middle Magnet, located at 3415 North 16th St. As officers were on the way there, a call came in about a shooting at a home off of East 27th Avenue, just across the street from the school. Police explained they were able to talk to a man who said the shooter drove by his home "firing several shots at the house." As an act of self-defense, the man reportedly shot back at the car. The police department says no one was hurt and no homes were struck by the gunfire, but one round hit an exterior door at the middle school.</v>
      </c>
      <c r="AA147" s="5" t="str">
        <f ca="1">IFERROR(__xludf.DUMMYFUNCTION("""COMPUTED_VALUE"""),"Drive-by Shooting")</f>
        <v>Drive-by Shooting</v>
      </c>
      <c r="AB147" s="5" t="str">
        <f ca="1">IFERROR(__xludf.DUMMYFUNCTION("""COMPUTED_VALUE"""),"Victims Targeted")</f>
        <v>Victims Targeted</v>
      </c>
      <c r="AC147" s="5" t="str">
        <f ca="1">IFERROR(__xludf.DUMMYFUNCTION("""COMPUTED_VALUE"""),"No")</f>
        <v>No</v>
      </c>
      <c r="AD147" s="5" t="str">
        <f ca="1">IFERROR(__xludf.DUMMYFUNCTION("""COMPUTED_VALUE"""),"No")</f>
        <v>No</v>
      </c>
      <c r="AE147" s="5" t="str">
        <f ca="1">IFERROR(__xludf.DUMMYFUNCTION("""COMPUTED_VALUE"""),"No")</f>
        <v>No</v>
      </c>
      <c r="AF147" s="5" t="str">
        <f ca="1">IFERROR(__xludf.DUMMYFUNCTION("""COMPUTED_VALUE"""),"No")</f>
        <v>No</v>
      </c>
      <c r="AG147" s="5" t="str">
        <f ca="1">IFERROR(__xludf.DUMMYFUNCTION("""COMPUTED_VALUE"""),"No")</f>
        <v>No</v>
      </c>
      <c r="AH147" s="5" t="str">
        <f ca="1">IFERROR(__xludf.DUMMYFUNCTION("""COMPUTED_VALUE"""),"No")</f>
        <v>No</v>
      </c>
      <c r="AI147" s="5" t="str">
        <f ca="1">IFERROR(__xludf.DUMMYFUNCTION("""COMPUTED_VALUE"""),"No")</f>
        <v>No</v>
      </c>
      <c r="AJ147" s="5" t="str">
        <f ca="1">IFERROR(__xludf.DUMMYFUNCTION("""COMPUTED_VALUE"""),"No")</f>
        <v>No</v>
      </c>
    </row>
    <row r="148" spans="1:36" ht="13">
      <c r="A148" s="5" t="str">
        <f ca="1">IFERROR(__xludf.DUMMYFUNCTION("""COMPUTED_VALUE"""),"20221016VAFAR")</f>
        <v>20221016VAFAR</v>
      </c>
      <c r="B148" s="5">
        <f ca="1">IFERROR(__xludf.DUMMYFUNCTION("""COMPUTED_VALUE"""),10)</f>
        <v>10</v>
      </c>
      <c r="C148" s="5">
        <f ca="1">IFERROR(__xludf.DUMMYFUNCTION("""COMPUTED_VALUE"""),16)</f>
        <v>16</v>
      </c>
      <c r="D148" s="5">
        <f ca="1">IFERROR(__xludf.DUMMYFUNCTION("""COMPUTED_VALUE"""),2022)</f>
        <v>2022</v>
      </c>
      <c r="E148" s="8">
        <f ca="1">IFERROR(__xludf.DUMMYFUNCTION("""COMPUTED_VALUE"""),44850)</f>
        <v>44850</v>
      </c>
      <c r="F148" s="5" t="str">
        <f ca="1">IFERROR(__xludf.DUMMYFUNCTION("""COMPUTED_VALUE"""),"Fairfield Court Elementary School")</f>
        <v>Fairfield Court Elementary School</v>
      </c>
      <c r="G148" s="5">
        <f ca="1">IFERROR(__xludf.DUMMYFUNCTION("""COMPUTED_VALUE"""),0)</f>
        <v>0</v>
      </c>
      <c r="H148" s="5">
        <f ca="1">IFERROR(__xludf.DUMMYFUNCTION("""COMPUTED_VALUE"""),3)</f>
        <v>3</v>
      </c>
      <c r="I148" s="5">
        <f ca="1">IFERROR(__xludf.DUMMYFUNCTION("""COMPUTED_VALUE"""),3)</f>
        <v>3</v>
      </c>
      <c r="J148" s="5">
        <f ca="1">IFERROR(__xludf.DUMMYFUNCTION("""COMPUTED_VALUE"""),0)</f>
        <v>0</v>
      </c>
      <c r="K148" s="5" t="str">
        <f ca="1">IFERROR(__xludf.DUMMYFUNCTION("""COMPUTED_VALUE"""),"https://www.wric.com/news/local-news/richmond/police-investigating-shooting-with-multiple-victims-near-elementary-school-in-richmond/
https://www.wtvr.com/news/local-news/phaup-street-triple-shooting-october-16-2022")</f>
        <v>https://www.wric.com/news/local-news/richmond/police-investigating-shooting-with-multiple-victims-near-elementary-school-in-richmond/
https://www.wtvr.com/news/local-news/phaup-street-triple-shooting-october-16-2022</v>
      </c>
      <c r="L148" s="5">
        <f ca="1">IFERROR(__xludf.DUMMYFUNCTION("""COMPUTED_VALUE"""),2)</f>
        <v>2</v>
      </c>
      <c r="M148" s="5" t="str">
        <f ca="1">IFERROR(__xludf.DUMMYFUNCTION("""COMPUTED_VALUE"""),"Local")</f>
        <v>Local</v>
      </c>
      <c r="N148" s="5">
        <f ca="1">IFERROR(__xludf.DUMMYFUNCTION("""COMPUTED_VALUE"""),4)</f>
        <v>4</v>
      </c>
      <c r="O148" s="5" t="str">
        <f ca="1">IFERROR(__xludf.DUMMYFUNCTION("""COMPUTED_VALUE"""),"Fall")</f>
        <v>Fall</v>
      </c>
      <c r="P148" s="5" t="str">
        <f ca="1">IFERROR(__xludf.DUMMYFUNCTION("""COMPUTED_VALUE"""),"Richmond")</f>
        <v>Richmond</v>
      </c>
      <c r="Q148" s="5" t="str">
        <f ca="1">IFERROR(__xludf.DUMMYFUNCTION("""COMPUTED_VALUE"""),"VA")</f>
        <v>VA</v>
      </c>
      <c r="R148" s="5" t="str">
        <f ca="1">IFERROR(__xludf.DUMMYFUNCTION("""COMPUTED_VALUE"""),"Elementary")</f>
        <v>Elementary</v>
      </c>
      <c r="S148" s="5" t="str">
        <f ca="1">IFERROR(__xludf.DUMMYFUNCTION("""COMPUTED_VALUE"""),"Front of School")</f>
        <v>Front of School</v>
      </c>
      <c r="T148" s="5" t="str">
        <f ca="1">IFERROR(__xludf.DUMMYFUNCTION("""COMPUTED_VALUE"""),"Outside on School Property")</f>
        <v>Outside on School Property</v>
      </c>
      <c r="U148" s="5" t="str">
        <f ca="1">IFERROR(__xludf.DUMMYFUNCTION("""COMPUTED_VALUE"""),"No")</f>
        <v>No</v>
      </c>
      <c r="V148" s="5" t="str">
        <f ca="1">IFERROR(__xludf.DUMMYFUNCTION("""COMPUTED_VALUE"""),"Not a School Day")</f>
        <v>Not a School Day</v>
      </c>
      <c r="W148" s="10">
        <f ca="1">IFERROR(__xludf.DUMMYFUNCTION("""COMPUTED_VALUE"""),0.59375)</f>
        <v>0.59375</v>
      </c>
      <c r="X148" s="5">
        <f ca="1">IFERROR(__xludf.DUMMYFUNCTION("""COMPUTED_VALUE"""),1)</f>
        <v>1</v>
      </c>
      <c r="Y148" s="5" t="str">
        <f ca="1">IFERROR(__xludf.DUMMYFUNCTION("""COMPUTED_VALUE"""),"Three men shot in front of school")</f>
        <v>Three men shot in front of school</v>
      </c>
      <c r="Z148" s="5" t="str">
        <f ca="1">IFERROR(__xludf.DUMMYFUNCTION("""COMPUTED_VALUE"""),"Three men shot in front of school.")</f>
        <v>Three men shot in front of school.</v>
      </c>
      <c r="AA148" s="5"/>
      <c r="AB148" s="5"/>
      <c r="AC148" s="5"/>
      <c r="AD148" s="5" t="str">
        <f ca="1">IFERROR(__xludf.DUMMYFUNCTION("""COMPUTED_VALUE"""),"No")</f>
        <v>No</v>
      </c>
      <c r="AE148" s="5" t="str">
        <f ca="1">IFERROR(__xludf.DUMMYFUNCTION("""COMPUTED_VALUE"""),"No")</f>
        <v>No</v>
      </c>
      <c r="AF148" s="5" t="str">
        <f ca="1">IFERROR(__xludf.DUMMYFUNCTION("""COMPUTED_VALUE"""),"No")</f>
        <v>No</v>
      </c>
      <c r="AG148" s="5" t="str">
        <f ca="1">IFERROR(__xludf.DUMMYFUNCTION("""COMPUTED_VALUE"""),"No")</f>
        <v>No</v>
      </c>
      <c r="AH148" s="5" t="str">
        <f ca="1">IFERROR(__xludf.DUMMYFUNCTION("""COMPUTED_VALUE"""),"No")</f>
        <v>No</v>
      </c>
      <c r="AI148" s="5"/>
      <c r="AJ148" s="5" t="str">
        <f ca="1">IFERROR(__xludf.DUMMYFUNCTION("""COMPUTED_VALUE"""),"No")</f>
        <v>No</v>
      </c>
    </row>
    <row r="149" spans="1:36" ht="13">
      <c r="A149" s="5" t="str">
        <f ca="1">IFERROR(__xludf.DUMMYFUNCTION("""COMPUTED_VALUE"""),"20221014LAJHA")</f>
        <v>20221014LAJHA</v>
      </c>
      <c r="B149" s="5">
        <f ca="1">IFERROR(__xludf.DUMMYFUNCTION("""COMPUTED_VALUE"""),10)</f>
        <v>10</v>
      </c>
      <c r="C149" s="5">
        <f ca="1">IFERROR(__xludf.DUMMYFUNCTION("""COMPUTED_VALUE"""),14)</f>
        <v>14</v>
      </c>
      <c r="D149" s="5">
        <f ca="1">IFERROR(__xludf.DUMMYFUNCTION("""COMPUTED_VALUE"""),2022)</f>
        <v>2022</v>
      </c>
      <c r="E149" s="8">
        <f ca="1">IFERROR(__xludf.DUMMYFUNCTION("""COMPUTED_VALUE"""),44848)</f>
        <v>44848</v>
      </c>
      <c r="F149" s="5" t="str">
        <f ca="1">IFERROR(__xludf.DUMMYFUNCTION("""COMPUTED_VALUE"""),"J.H. Williams Middle School")</f>
        <v>J.H. Williams Middle School</v>
      </c>
      <c r="G149" s="5">
        <f ca="1">IFERROR(__xludf.DUMMYFUNCTION("""COMPUTED_VALUE"""),0)</f>
        <v>0</v>
      </c>
      <c r="H149" s="5">
        <f ca="1">IFERROR(__xludf.DUMMYFUNCTION("""COMPUTED_VALUE"""),0)</f>
        <v>0</v>
      </c>
      <c r="I149" s="5">
        <f ca="1">IFERROR(__xludf.DUMMYFUNCTION("""COMPUTED_VALUE"""),0)</f>
        <v>0</v>
      </c>
      <c r="J149" s="5">
        <f ca="1">IFERROR(__xludf.DUMMYFUNCTION("""COMPUTED_VALUE"""),0)</f>
        <v>0</v>
      </c>
      <c r="K149" s="9" t="str">
        <f ca="1">IFERROR(__xludf.DUMMYFUNCTION("""COMPUTED_VALUE"""),"https://www.klfy.com/local/vermilion-parish/abbeville-police-shots-fired-at-j-h-williams-middle-school/")</f>
        <v>https://www.klfy.com/local/vermilion-parish/abbeville-police-shots-fired-at-j-h-williams-middle-school/</v>
      </c>
      <c r="L149" s="5">
        <f ca="1">IFERROR(__xludf.DUMMYFUNCTION("""COMPUTED_VALUE"""),1)</f>
        <v>1</v>
      </c>
      <c r="M149" s="5" t="str">
        <f ca="1">IFERROR(__xludf.DUMMYFUNCTION("""COMPUTED_VALUE"""),"Local")</f>
        <v>Local</v>
      </c>
      <c r="N149" s="5">
        <f ca="1">IFERROR(__xludf.DUMMYFUNCTION("""COMPUTED_VALUE"""),2)</f>
        <v>2</v>
      </c>
      <c r="O149" s="5" t="str">
        <f ca="1">IFERROR(__xludf.DUMMYFUNCTION("""COMPUTED_VALUE"""),"Fall")</f>
        <v>Fall</v>
      </c>
      <c r="P149" s="5" t="str">
        <f ca="1">IFERROR(__xludf.DUMMYFUNCTION("""COMPUTED_VALUE"""),"Abbeville")</f>
        <v>Abbeville</v>
      </c>
      <c r="Q149" s="5" t="str">
        <f ca="1">IFERROR(__xludf.DUMMYFUNCTION("""COMPUTED_VALUE"""),"LA")</f>
        <v>LA</v>
      </c>
      <c r="R149" s="5" t="str">
        <f ca="1">IFERROR(__xludf.DUMMYFUNCTION("""COMPUTED_VALUE"""),"Middle")</f>
        <v>Middle</v>
      </c>
      <c r="S149" s="5" t="str">
        <f ca="1">IFERROR(__xludf.DUMMYFUNCTION("""COMPUTED_VALUE"""),"Front of School")</f>
        <v>Front of School</v>
      </c>
      <c r="T149" s="5" t="str">
        <f ca="1">IFERROR(__xludf.DUMMYFUNCTION("""COMPUTED_VALUE"""),"Outside on School Property")</f>
        <v>Outside on School Property</v>
      </c>
      <c r="U149" s="5" t="str">
        <f ca="1">IFERROR(__xludf.DUMMYFUNCTION("""COMPUTED_VALUE"""),"No")</f>
        <v>No</v>
      </c>
      <c r="V149" s="5" t="str">
        <f ca="1">IFERROR(__xludf.DUMMYFUNCTION("""COMPUTED_VALUE"""),"Night")</f>
        <v>Night</v>
      </c>
      <c r="W149" s="10">
        <f ca="1">IFERROR(__xludf.DUMMYFUNCTION("""COMPUTED_VALUE"""),0.875)</f>
        <v>0.875</v>
      </c>
      <c r="X149" s="5">
        <f ca="1">IFERROR(__xludf.DUMMYFUNCTION("""COMPUTED_VALUE"""),1)</f>
        <v>1</v>
      </c>
      <c r="Y149" s="5" t="str">
        <f ca="1">IFERROR(__xludf.DUMMYFUNCTION("""COMPUTED_VALUE"""),"Shots fired in front of school")</f>
        <v>Shots fired in front of school</v>
      </c>
      <c r="Z149" s="5" t="str">
        <f ca="1">IFERROR(__xludf.DUMMYFUNCTION("""COMPUTED_VALUE"""),"Shots fired in front of school")</f>
        <v>Shots fired in front of school</v>
      </c>
      <c r="AA149" s="5"/>
      <c r="AB149" s="5"/>
      <c r="AC149" s="5"/>
      <c r="AD149" s="5" t="str">
        <f ca="1">IFERROR(__xludf.DUMMYFUNCTION("""COMPUTED_VALUE"""),"No")</f>
        <v>No</v>
      </c>
      <c r="AE149" s="5" t="str">
        <f ca="1">IFERROR(__xludf.DUMMYFUNCTION("""COMPUTED_VALUE"""),"No")</f>
        <v>No</v>
      </c>
      <c r="AF149" s="5" t="str">
        <f ca="1">IFERROR(__xludf.DUMMYFUNCTION("""COMPUTED_VALUE"""),"No")</f>
        <v>No</v>
      </c>
      <c r="AG149" s="5" t="str">
        <f ca="1">IFERROR(__xludf.DUMMYFUNCTION("""COMPUTED_VALUE"""),"No")</f>
        <v>No</v>
      </c>
      <c r="AH149" s="5" t="str">
        <f ca="1">IFERROR(__xludf.DUMMYFUNCTION("""COMPUTED_VALUE"""),"No")</f>
        <v>No</v>
      </c>
      <c r="AI149" s="5"/>
      <c r="AJ149" s="5" t="str">
        <f ca="1">IFERROR(__xludf.DUMMYFUNCTION("""COMPUTED_VALUE"""),"No")</f>
        <v>No</v>
      </c>
    </row>
    <row r="150" spans="1:36" ht="13">
      <c r="A150" s="5" t="str">
        <f ca="1">IFERROR(__xludf.DUMMYFUNCTION("""COMPUTED_VALUE"""),"20221014NCJAG")</f>
        <v>20221014NCJAG</v>
      </c>
      <c r="B150" s="5">
        <f ca="1">IFERROR(__xludf.DUMMYFUNCTION("""COMPUTED_VALUE"""),10)</f>
        <v>10</v>
      </c>
      <c r="C150" s="5">
        <f ca="1">IFERROR(__xludf.DUMMYFUNCTION("""COMPUTED_VALUE"""),14)</f>
        <v>14</v>
      </c>
      <c r="D150" s="5">
        <f ca="1">IFERROR(__xludf.DUMMYFUNCTION("""COMPUTED_VALUE"""),2022)</f>
        <v>2022</v>
      </c>
      <c r="E150" s="8">
        <f ca="1">IFERROR(__xludf.DUMMYFUNCTION("""COMPUTED_VALUE"""),44848)</f>
        <v>44848</v>
      </c>
      <c r="F150" s="5" t="str">
        <f ca="1">IFERROR(__xludf.DUMMYFUNCTION("""COMPUTED_VALUE"""),"James B. Dudley High School")</f>
        <v>James B. Dudley High School</v>
      </c>
      <c r="G150" s="5">
        <f ca="1">IFERROR(__xludf.DUMMYFUNCTION("""COMPUTED_VALUE"""),0)</f>
        <v>0</v>
      </c>
      <c r="H150" s="5">
        <f ca="1">IFERROR(__xludf.DUMMYFUNCTION("""COMPUTED_VALUE"""),1)</f>
        <v>1</v>
      </c>
      <c r="I150" s="5">
        <f ca="1">IFERROR(__xludf.DUMMYFUNCTION("""COMPUTED_VALUE"""),1)</f>
        <v>1</v>
      </c>
      <c r="J150" s="5">
        <f ca="1">IFERROR(__xludf.DUMMYFUNCTION("""COMPUTED_VALUE"""),0)</f>
        <v>0</v>
      </c>
      <c r="K150" s="9" t="str">
        <f ca="1">IFERROR(__xludf.DUMMYFUNCTION("""COMPUTED_VALUE"""),"https://myfox8.com/news/north-carolina/greensboro/1-shot-in-parking-lot-of-dudley-high-school-taken-to-hospital-police-say/")</f>
        <v>https://myfox8.com/news/north-carolina/greensboro/1-shot-in-parking-lot-of-dudley-high-school-taken-to-hospital-police-say/</v>
      </c>
      <c r="L150" s="5">
        <f ca="1">IFERROR(__xludf.DUMMYFUNCTION("""COMPUTED_VALUE"""),1)</f>
        <v>1</v>
      </c>
      <c r="M150" s="5" t="str">
        <f ca="1">IFERROR(__xludf.DUMMYFUNCTION("""COMPUTED_VALUE"""),"Local")</f>
        <v>Local</v>
      </c>
      <c r="N150" s="5">
        <f ca="1">IFERROR(__xludf.DUMMYFUNCTION("""COMPUTED_VALUE"""),4)</f>
        <v>4</v>
      </c>
      <c r="O150" s="5" t="str">
        <f ca="1">IFERROR(__xludf.DUMMYFUNCTION("""COMPUTED_VALUE"""),"Fall")</f>
        <v>Fall</v>
      </c>
      <c r="P150" s="5" t="str">
        <f ca="1">IFERROR(__xludf.DUMMYFUNCTION("""COMPUTED_VALUE"""),"Greensboro")</f>
        <v>Greensboro</v>
      </c>
      <c r="Q150" s="5" t="str">
        <f ca="1">IFERROR(__xludf.DUMMYFUNCTION("""COMPUTED_VALUE"""),"NC")</f>
        <v>NC</v>
      </c>
      <c r="R150" s="5" t="str">
        <f ca="1">IFERROR(__xludf.DUMMYFUNCTION("""COMPUTED_VALUE"""),"High")</f>
        <v>High</v>
      </c>
      <c r="S150" s="5" t="str">
        <f ca="1">IFERROR(__xludf.DUMMYFUNCTION("""COMPUTED_VALUE"""),"Parking Lot")</f>
        <v>Parking Lot</v>
      </c>
      <c r="T150" s="5" t="str">
        <f ca="1">IFERROR(__xludf.DUMMYFUNCTION("""COMPUTED_VALUE"""),"Outside on School Property")</f>
        <v>Outside on School Property</v>
      </c>
      <c r="U150" s="5" t="str">
        <f ca="1">IFERROR(__xludf.DUMMYFUNCTION("""COMPUTED_VALUE"""),"No")</f>
        <v>No</v>
      </c>
      <c r="V150" s="5" t="str">
        <f ca="1">IFERROR(__xludf.DUMMYFUNCTION("""COMPUTED_VALUE"""),"Sport Event")</f>
        <v>Sport Event</v>
      </c>
      <c r="W150" s="10">
        <f ca="1">IFERROR(__xludf.DUMMYFUNCTION("""COMPUTED_VALUE"""),0.927777777777777)</f>
        <v>0.92777777777777704</v>
      </c>
      <c r="X150" s="5">
        <f ca="1">IFERROR(__xludf.DUMMYFUNCTION("""COMPUTED_VALUE"""),1)</f>
        <v>1</v>
      </c>
      <c r="Y150" s="5" t="str">
        <f ca="1">IFERROR(__xludf.DUMMYFUNCTION("""COMPUTED_VALUE"""),"Man shot after football game")</f>
        <v>Man shot after football game</v>
      </c>
      <c r="Z150" s="5" t="str">
        <f ca="1">IFERROR(__xludf.DUMMYFUNCTION("""COMPUTED_VALUE"""),"Adult male was shot and critically injured in the parking lot of the school after a football game. Police arrested 3 people are recovered an AR-15 rifle and stolen handgun.")</f>
        <v>Adult male was shot and critically injured in the parking lot of the school after a football game. Police arrested 3 people are recovered an AR-15 rifle and stolen handgun.</v>
      </c>
      <c r="AA150" s="5" t="str">
        <f ca="1">IFERROR(__xludf.DUMMYFUNCTION("""COMPUTED_VALUE"""),"Escalation of Dispute")</f>
        <v>Escalation of Dispute</v>
      </c>
      <c r="AB150" s="5" t="str">
        <f ca="1">IFERROR(__xludf.DUMMYFUNCTION("""COMPUTED_VALUE"""),"Victims Targeted")</f>
        <v>Victims Targeted</v>
      </c>
      <c r="AC150" s="5" t="str">
        <f ca="1">IFERROR(__xludf.DUMMYFUNCTION("""COMPUTED_VALUE"""),"Yes")</f>
        <v>Yes</v>
      </c>
      <c r="AD150" s="5" t="str">
        <f ca="1">IFERROR(__xludf.DUMMYFUNCTION("""COMPUTED_VALUE"""),"No")</f>
        <v>No</v>
      </c>
      <c r="AE150" s="5" t="str">
        <f ca="1">IFERROR(__xludf.DUMMYFUNCTION("""COMPUTED_VALUE"""),"No")</f>
        <v>No</v>
      </c>
      <c r="AF150" s="5" t="str">
        <f ca="1">IFERROR(__xludf.DUMMYFUNCTION("""COMPUTED_VALUE"""),"No")</f>
        <v>No</v>
      </c>
      <c r="AG150" s="5" t="str">
        <f ca="1">IFERROR(__xludf.DUMMYFUNCTION("""COMPUTED_VALUE"""),"No")</f>
        <v>No</v>
      </c>
      <c r="AH150" s="5" t="str">
        <f ca="1">IFERROR(__xludf.DUMMYFUNCTION("""COMPUTED_VALUE"""),"No")</f>
        <v>No</v>
      </c>
      <c r="AI150" s="5"/>
      <c r="AJ150" s="5" t="str">
        <f ca="1">IFERROR(__xludf.DUMMYFUNCTION("""COMPUTED_VALUE"""),"No")</f>
        <v>No</v>
      </c>
    </row>
    <row r="151" spans="1:36" ht="13">
      <c r="A151" s="5" t="str">
        <f ca="1">IFERROR(__xludf.DUMMYFUNCTION("""COMPUTED_VALUE"""),"20221014VAWER")</f>
        <v>20221014VAWER</v>
      </c>
      <c r="B151" s="5">
        <f ca="1">IFERROR(__xludf.DUMMYFUNCTION("""COMPUTED_VALUE"""),10)</f>
        <v>10</v>
      </c>
      <c r="C151" s="5">
        <f ca="1">IFERROR(__xludf.DUMMYFUNCTION("""COMPUTED_VALUE"""),14)</f>
        <v>14</v>
      </c>
      <c r="D151" s="5">
        <f ca="1">IFERROR(__xludf.DUMMYFUNCTION("""COMPUTED_VALUE"""),2022)</f>
        <v>2022</v>
      </c>
      <c r="E151" s="8">
        <f ca="1">IFERROR(__xludf.DUMMYFUNCTION("""COMPUTED_VALUE"""),44848)</f>
        <v>44848</v>
      </c>
      <c r="F151" s="5" t="str">
        <f ca="1">IFERROR(__xludf.DUMMYFUNCTION("""COMPUTED_VALUE"""),"Westover Hills Elementary School
")</f>
        <v xml:space="preserve">Westover Hills Elementary School
</v>
      </c>
      <c r="G151" s="5">
        <f ca="1">IFERROR(__xludf.DUMMYFUNCTION("""COMPUTED_VALUE"""),1)</f>
        <v>1</v>
      </c>
      <c r="H151" s="5">
        <f ca="1">IFERROR(__xludf.DUMMYFUNCTION("""COMPUTED_VALUE"""),1)</f>
        <v>1</v>
      </c>
      <c r="I151" s="5">
        <f ca="1">IFERROR(__xludf.DUMMYFUNCTION("""COMPUTED_VALUE"""),2)</f>
        <v>2</v>
      </c>
      <c r="J151" s="5">
        <f ca="1">IFERROR(__xludf.DUMMYFUNCTION("""COMPUTED_VALUE"""),0)</f>
        <v>0</v>
      </c>
      <c r="K151" s="5" t="str">
        <f ca="1">IFERROR(__xludf.DUMMYFUNCTION("""COMPUTED_VALUE"""),"https://www.wtvr.com/news/local-news/fatal-shooting-pick-up-line-westover-hills-elementary-school-richmond-virginia
https://www.wric.com/news/local-news/richmond/active-police-scene-at-westover-hills-elementary-in-richmond/")</f>
        <v>https://www.wtvr.com/news/local-news/fatal-shooting-pick-up-line-westover-hills-elementary-school-richmond-virginia
https://www.wric.com/news/local-news/richmond/active-police-scene-at-westover-hills-elementary-in-richmond/</v>
      </c>
      <c r="L151" s="5">
        <f ca="1">IFERROR(__xludf.DUMMYFUNCTION("""COMPUTED_VALUE"""),10)</f>
        <v>10</v>
      </c>
      <c r="M151" s="5" t="str">
        <f ca="1">IFERROR(__xludf.DUMMYFUNCTION("""COMPUTED_VALUE"""),"Regional")</f>
        <v>Regional</v>
      </c>
      <c r="N151" s="5">
        <f ca="1">IFERROR(__xludf.DUMMYFUNCTION("""COMPUTED_VALUE"""),4)</f>
        <v>4</v>
      </c>
      <c r="O151" s="5" t="str">
        <f ca="1">IFERROR(__xludf.DUMMYFUNCTION("""COMPUTED_VALUE"""),"Fall")</f>
        <v>Fall</v>
      </c>
      <c r="P151" s="5" t="str">
        <f ca="1">IFERROR(__xludf.DUMMYFUNCTION("""COMPUTED_VALUE"""),"Richmond")</f>
        <v>Richmond</v>
      </c>
      <c r="Q151" s="5" t="str">
        <f ca="1">IFERROR(__xludf.DUMMYFUNCTION("""COMPUTED_VALUE"""),"VA")</f>
        <v>VA</v>
      </c>
      <c r="R151" s="5" t="str">
        <f ca="1">IFERROR(__xludf.DUMMYFUNCTION("""COMPUTED_VALUE"""),"Elementary")</f>
        <v>Elementary</v>
      </c>
      <c r="S151" s="5" t="str">
        <f ca="1">IFERROR(__xludf.DUMMYFUNCTION("""COMPUTED_VALUE"""),"Front of School")</f>
        <v>Front of School</v>
      </c>
      <c r="T151" s="5" t="str">
        <f ca="1">IFERROR(__xludf.DUMMYFUNCTION("""COMPUTED_VALUE"""),"Outside on School Property")</f>
        <v>Outside on School Property</v>
      </c>
      <c r="U151" s="5" t="str">
        <f ca="1">IFERROR(__xludf.DUMMYFUNCTION("""COMPUTED_VALUE"""),"Yes")</f>
        <v>Yes</v>
      </c>
      <c r="V151" s="5" t="str">
        <f ca="1">IFERROR(__xludf.DUMMYFUNCTION("""COMPUTED_VALUE"""),"Afternoon Classes")</f>
        <v>Afternoon Classes</v>
      </c>
      <c r="W151" s="10">
        <f ca="1">IFERROR(__xludf.DUMMYFUNCTION("""COMPUTED_VALUE"""),0.59375)</f>
        <v>0.59375</v>
      </c>
      <c r="X151" s="5">
        <f ca="1">IFERROR(__xludf.DUMMYFUNCTION("""COMPUTED_VALUE"""),1)</f>
        <v>1</v>
      </c>
      <c r="Y151" s="5" t="str">
        <f ca="1">IFERROR(__xludf.DUMMYFUNCTION("""COMPUTED_VALUE"""),"Two adults shot in front of school before dismissal")</f>
        <v>Two adults shot in front of school before dismissal</v>
      </c>
      <c r="Z151" s="5" t="str">
        <f ca="1">IFERROR(__xludf.DUMMYFUNCTION("""COMPUTED_VALUE"""),"A woman is dead after being shot outside a Richmond elementary school on Friday. Police told 8News that a fight occurred between two adults in front of Westover Hills Elementary School. Adult man was also wounded.")</f>
        <v>A woman is dead after being shot outside a Richmond elementary school on Friday. Police told 8News that a fight occurred between two adults in front of Westover Hills Elementary School. Adult man was also wounded.</v>
      </c>
      <c r="AA151" s="5" t="str">
        <f ca="1">IFERROR(__xludf.DUMMYFUNCTION("""COMPUTED_VALUE"""),"Escalation of Dispute")</f>
        <v>Escalation of Dispute</v>
      </c>
      <c r="AB151" s="5" t="str">
        <f ca="1">IFERROR(__xludf.DUMMYFUNCTION("""COMPUTED_VALUE"""),"Victims Targeted")</f>
        <v>Victims Targeted</v>
      </c>
      <c r="AC151" s="5" t="str">
        <f ca="1">IFERROR(__xludf.DUMMYFUNCTION("""COMPUTED_VALUE"""),"No")</f>
        <v>No</v>
      </c>
      <c r="AD151" s="5" t="str">
        <f ca="1">IFERROR(__xludf.DUMMYFUNCTION("""COMPUTED_VALUE"""),"No")</f>
        <v>No</v>
      </c>
      <c r="AE151" s="5" t="str">
        <f ca="1">IFERROR(__xludf.DUMMYFUNCTION("""COMPUTED_VALUE"""),"No")</f>
        <v>No</v>
      </c>
      <c r="AF151" s="5" t="str">
        <f ca="1">IFERROR(__xludf.DUMMYFUNCTION("""COMPUTED_VALUE"""),"No")</f>
        <v>No</v>
      </c>
      <c r="AG151" s="5" t="str">
        <f ca="1">IFERROR(__xludf.DUMMYFUNCTION("""COMPUTED_VALUE"""),"No")</f>
        <v>No</v>
      </c>
      <c r="AH151" s="5" t="str">
        <f ca="1">IFERROR(__xludf.DUMMYFUNCTION("""COMPUTED_VALUE"""),"No")</f>
        <v>No</v>
      </c>
      <c r="AI151" s="5"/>
      <c r="AJ151" s="5" t="str">
        <f ca="1">IFERROR(__xludf.DUMMYFUNCTION("""COMPUTED_VALUE"""),"No")</f>
        <v>No</v>
      </c>
    </row>
    <row r="152" spans="1:36" ht="13">
      <c r="A152" s="5" t="str">
        <f ca="1">IFERROR(__xludf.DUMMYFUNCTION("""COMPUTED_VALUE"""),"20221014LABOB")</f>
        <v>20221014LABOB</v>
      </c>
      <c r="B152" s="5">
        <f ca="1">IFERROR(__xludf.DUMMYFUNCTION("""COMPUTED_VALUE"""),10)</f>
        <v>10</v>
      </c>
      <c r="C152" s="5">
        <f ca="1">IFERROR(__xludf.DUMMYFUNCTION("""COMPUTED_VALUE"""),14)</f>
        <v>14</v>
      </c>
      <c r="D152" s="5">
        <f ca="1">IFERROR(__xludf.DUMMYFUNCTION("""COMPUTED_VALUE"""),2022)</f>
        <v>2022</v>
      </c>
      <c r="E152" s="8">
        <f ca="1">IFERROR(__xludf.DUMMYFUNCTION("""COMPUTED_VALUE"""),44848)</f>
        <v>44848</v>
      </c>
      <c r="F152" s="5" t="str">
        <f ca="1">IFERROR(__xludf.DUMMYFUNCTION("""COMPUTED_VALUE"""),"Bogalusa High School")</f>
        <v>Bogalusa High School</v>
      </c>
      <c r="G152" s="5">
        <f ca="1">IFERROR(__xludf.DUMMYFUNCTION("""COMPUTED_VALUE"""),0)</f>
        <v>0</v>
      </c>
      <c r="H152" s="5">
        <f ca="1">IFERROR(__xludf.DUMMYFUNCTION("""COMPUTED_VALUE"""),0)</f>
        <v>0</v>
      </c>
      <c r="I152" s="5">
        <f ca="1">IFERROR(__xludf.DUMMYFUNCTION("""COMPUTED_VALUE"""),0)</f>
        <v>0</v>
      </c>
      <c r="J152" s="5">
        <f ca="1">IFERROR(__xludf.DUMMYFUNCTION("""COMPUTED_VALUE"""),1)</f>
        <v>1</v>
      </c>
      <c r="K152" s="5" t="str">
        <f ca="1">IFERROR(__xludf.DUMMYFUNCTION("""COMPUTED_VALUE"""),"https://www.fox8live.com/video/2022/10/15/fatal-shooting-outside-bogalusa-hs-homecoming-game-friday-oct/
https://www.wdsu.com/article/bogalusa-police-arrest-one-suspect-in-murder-investigation/41872684#
https://www.wdsu.com/article/one-person-shot-outside"&amp;"-of-football-stadium-in-bogalusa/41629199")</f>
        <v>https://www.fox8live.com/video/2022/10/15/fatal-shooting-outside-bogalusa-hs-homecoming-game-friday-oct/
https://www.wdsu.com/article/bogalusa-police-arrest-one-suspect-in-murder-investigation/41872684#
https://www.wdsu.com/article/one-person-shot-outside-of-football-stadium-in-bogalusa/41629199</v>
      </c>
      <c r="L152" s="5">
        <f ca="1">IFERROR(__xludf.DUMMYFUNCTION("""COMPUTED_VALUE"""),10)</f>
        <v>10</v>
      </c>
      <c r="M152" s="5" t="str">
        <f ca="1">IFERROR(__xludf.DUMMYFUNCTION("""COMPUTED_VALUE"""),"Regional")</f>
        <v>Regional</v>
      </c>
      <c r="N152" s="5">
        <f ca="1">IFERROR(__xludf.DUMMYFUNCTION("""COMPUTED_VALUE"""),4)</f>
        <v>4</v>
      </c>
      <c r="O152" s="5" t="str">
        <f ca="1">IFERROR(__xludf.DUMMYFUNCTION("""COMPUTED_VALUE"""),"Fall")</f>
        <v>Fall</v>
      </c>
      <c r="P152" s="5" t="str">
        <f ca="1">IFERROR(__xludf.DUMMYFUNCTION("""COMPUTED_VALUE"""),"Bogalusa")</f>
        <v>Bogalusa</v>
      </c>
      <c r="Q152" s="5" t="str">
        <f ca="1">IFERROR(__xludf.DUMMYFUNCTION("""COMPUTED_VALUE"""),"LA")</f>
        <v>LA</v>
      </c>
      <c r="R152" s="5" t="str">
        <f ca="1">IFERROR(__xludf.DUMMYFUNCTION("""COMPUTED_VALUE"""),"High")</f>
        <v>High</v>
      </c>
      <c r="S152" s="5" t="str">
        <f ca="1">IFERROR(__xludf.DUMMYFUNCTION("""COMPUTED_VALUE"""),"Football Field/Track")</f>
        <v>Football Field/Track</v>
      </c>
      <c r="T152" s="5" t="str">
        <f ca="1">IFERROR(__xludf.DUMMYFUNCTION("""COMPUTED_VALUE"""),"Outside on School Property")</f>
        <v>Outside on School Property</v>
      </c>
      <c r="U152" s="5" t="str">
        <f ca="1">IFERROR(__xludf.DUMMYFUNCTION("""COMPUTED_VALUE"""),"No")</f>
        <v>No</v>
      </c>
      <c r="V152" s="5" t="str">
        <f ca="1">IFERROR(__xludf.DUMMYFUNCTION("""COMPUTED_VALUE"""),"Sport Event")</f>
        <v>Sport Event</v>
      </c>
      <c r="W152" s="10">
        <f ca="1">IFERROR(__xludf.DUMMYFUNCTION("""COMPUTED_VALUE"""),0.875)</f>
        <v>0.875</v>
      </c>
      <c r="X152" s="5">
        <f ca="1">IFERROR(__xludf.DUMMYFUNCTION("""COMPUTED_VALUE"""),1)</f>
        <v>1</v>
      </c>
      <c r="Y152" s="5" t="str">
        <f ca="1">IFERROR(__xludf.DUMMYFUNCTION("""COMPUTED_VALUE"""),"Teen fatally shot next to football field during game when three people (including the victim) fired shots")</f>
        <v>Teen fatally shot next to football field during game when three people (including the victim) fired shots</v>
      </c>
      <c r="Z152" s="5" t="str">
        <f ca="1">IFERROR(__xludf.DUMMYFUNCTION("""COMPUTED_VALUE"""),"The shooting happened outside of the Bogalusa football stadium during a matchup between Bogalusa High School and Jewel Sumner High School. The police chief told WDSU the victim was initially taken to the hospital in critical condition. According to a post"&amp;" on the City of Bogalusa's Facebook page, the situation was quickly under control because of the strong police presence at the game. Bogalusa Police Department said a 15-year-old was shot and killed outside of a football game on Friday night. Officers rep"&amp;"ort that approximately 18 to 20 shots were fired and that there were three people exchanging gunfire. One of them was the victim.")</f>
        <v>The shooting happened outside of the Bogalusa football stadium during a matchup between Bogalusa High School and Jewel Sumner High School. The police chief told WDSU the victim was initially taken to the hospital in critical condition. According to a post on the City of Bogalusa's Facebook page, the situation was quickly under control because of the strong police presence at the game. Bogalusa Police Department said a 15-year-old was shot and killed outside of a football game on Friday night. Officers report that approximately 18 to 20 shots were fired and that there were three people exchanging gunfire. One of them was the victim.</v>
      </c>
      <c r="AA152" s="5"/>
      <c r="AB152" s="5"/>
      <c r="AC152" s="5" t="str">
        <f ca="1">IFERROR(__xludf.DUMMYFUNCTION("""COMPUTED_VALUE"""),"No")</f>
        <v>No</v>
      </c>
      <c r="AD152" s="5" t="str">
        <f ca="1">IFERROR(__xludf.DUMMYFUNCTION("""COMPUTED_VALUE"""),"No")</f>
        <v>No</v>
      </c>
      <c r="AE152" s="5" t="str">
        <f ca="1">IFERROR(__xludf.DUMMYFUNCTION("""COMPUTED_VALUE"""),"No")</f>
        <v>No</v>
      </c>
      <c r="AF152" s="5" t="str">
        <f ca="1">IFERROR(__xludf.DUMMYFUNCTION("""COMPUTED_VALUE"""),"No")</f>
        <v>No</v>
      </c>
      <c r="AG152" s="5" t="str">
        <f ca="1">IFERROR(__xludf.DUMMYFUNCTION("""COMPUTED_VALUE"""),"No")</f>
        <v>No</v>
      </c>
      <c r="AH152" s="5" t="str">
        <f ca="1">IFERROR(__xludf.DUMMYFUNCTION("""COMPUTED_VALUE"""),"No")</f>
        <v>No</v>
      </c>
      <c r="AI152" s="5"/>
      <c r="AJ152" s="5" t="str">
        <f ca="1">IFERROR(__xludf.DUMMYFUNCTION("""COMPUTED_VALUE"""),"No")</f>
        <v>No</v>
      </c>
    </row>
    <row r="153" spans="1:36" ht="13">
      <c r="A153" s="5" t="str">
        <f ca="1">IFERROR(__xludf.DUMMYFUNCTION("""COMPUTED_VALUE"""),"20221014TNRIM")</f>
        <v>20221014TNRIM</v>
      </c>
      <c r="B153" s="5">
        <f ca="1">IFERROR(__xludf.DUMMYFUNCTION("""COMPUTED_VALUE"""),10)</f>
        <v>10</v>
      </c>
      <c r="C153" s="5">
        <f ca="1">IFERROR(__xludf.DUMMYFUNCTION("""COMPUTED_VALUE"""),14)</f>
        <v>14</v>
      </c>
      <c r="D153" s="5">
        <f ca="1">IFERROR(__xludf.DUMMYFUNCTION("""COMPUTED_VALUE"""),2022)</f>
        <v>2022</v>
      </c>
      <c r="E153" s="8">
        <f ca="1">IFERROR(__xludf.DUMMYFUNCTION("""COMPUTED_VALUE"""),44848)</f>
        <v>44848</v>
      </c>
      <c r="F153" s="5" t="str">
        <f ca="1">IFERROR(__xludf.DUMMYFUNCTION("""COMPUTED_VALUE"""),"Riverdale High School")</f>
        <v>Riverdale High School</v>
      </c>
      <c r="G153" s="5">
        <f ca="1">IFERROR(__xludf.DUMMYFUNCTION("""COMPUTED_VALUE"""),0)</f>
        <v>0</v>
      </c>
      <c r="H153" s="5">
        <f ca="1">IFERROR(__xludf.DUMMYFUNCTION("""COMPUTED_VALUE"""),0)</f>
        <v>0</v>
      </c>
      <c r="I153" s="5">
        <f ca="1">IFERROR(__xludf.DUMMYFUNCTION("""COMPUTED_VALUE"""),0)</f>
        <v>0</v>
      </c>
      <c r="J153" s="5">
        <f ca="1">IFERROR(__xludf.DUMMYFUNCTION("""COMPUTED_VALUE"""),0)</f>
        <v>0</v>
      </c>
      <c r="K153" s="9" t="str">
        <f ca="1">IFERROR(__xludf.DUMMYFUNCTION("""COMPUTED_VALUE"""),"https://www.wgnsradio.com/article/77303/gunshots-fired-outside-of-the-riverdale-oakland-high-school-football-game-on-friday-night-in-murfreesboro
https://www.wkrn.com/news/local-news/murfreesboro/investigation-underway-after-shooting-at-riverdale-oakland-"&amp;"high-school-football-game/")</f>
        <v>https://www.wgnsradio.com/article/77303/gunshots-fired-outside-of-the-riverdale-oakland-high-school-football-game-on-friday-night-in-murfreesboro
https://www.wkrn.com/news/local-news/murfreesboro/investigation-underway-after-shooting-at-riverdale-oakland-high-school-football-game/</v>
      </c>
      <c r="L153" s="5">
        <f ca="1">IFERROR(__xludf.DUMMYFUNCTION("""COMPUTED_VALUE"""),2)</f>
        <v>2</v>
      </c>
      <c r="M153" s="5" t="str">
        <f ca="1">IFERROR(__xludf.DUMMYFUNCTION("""COMPUTED_VALUE"""),"Local")</f>
        <v>Local</v>
      </c>
      <c r="N153" s="5">
        <f ca="1">IFERROR(__xludf.DUMMYFUNCTION("""COMPUTED_VALUE"""),4)</f>
        <v>4</v>
      </c>
      <c r="O153" s="5" t="str">
        <f ca="1">IFERROR(__xludf.DUMMYFUNCTION("""COMPUTED_VALUE"""),"Fall")</f>
        <v>Fall</v>
      </c>
      <c r="P153" s="5" t="str">
        <f ca="1">IFERROR(__xludf.DUMMYFUNCTION("""COMPUTED_VALUE"""),"Murfreesboro")</f>
        <v>Murfreesboro</v>
      </c>
      <c r="Q153" s="5" t="str">
        <f ca="1">IFERROR(__xludf.DUMMYFUNCTION("""COMPUTED_VALUE"""),"TN")</f>
        <v>TN</v>
      </c>
      <c r="R153" s="5" t="str">
        <f ca="1">IFERROR(__xludf.DUMMYFUNCTION("""COMPUTED_VALUE"""),"High")</f>
        <v>High</v>
      </c>
      <c r="S153" s="5" t="str">
        <f ca="1">IFERROR(__xludf.DUMMYFUNCTION("""COMPUTED_VALUE"""),"Parking Lot")</f>
        <v>Parking Lot</v>
      </c>
      <c r="T153" s="5" t="str">
        <f ca="1">IFERROR(__xludf.DUMMYFUNCTION("""COMPUTED_VALUE"""),"Outside on School Property")</f>
        <v>Outside on School Property</v>
      </c>
      <c r="U153" s="5" t="str">
        <f ca="1">IFERROR(__xludf.DUMMYFUNCTION("""COMPUTED_VALUE"""),"No")</f>
        <v>No</v>
      </c>
      <c r="V153" s="5" t="str">
        <f ca="1">IFERROR(__xludf.DUMMYFUNCTION("""COMPUTED_VALUE"""),"Sport Event")</f>
        <v>Sport Event</v>
      </c>
      <c r="W153" s="10">
        <f ca="1">IFERROR(__xludf.DUMMYFUNCTION("""COMPUTED_VALUE"""),0.833333333333333)</f>
        <v>0.83333333333333304</v>
      </c>
      <c r="X153" s="5">
        <f ca="1">IFERROR(__xludf.DUMMYFUNCTION("""COMPUTED_VALUE"""),1)</f>
        <v>1</v>
      </c>
      <c r="Y153" s="5" t="str">
        <f ca="1">IFERROR(__xludf.DUMMYFUNCTION("""COMPUTED_VALUE"""),"Shots fired in parking lot during football game")</f>
        <v>Shots fired in parking lot during football game</v>
      </c>
      <c r="Z153" s="5" t="str">
        <f ca="1">IFERROR(__xludf.DUMMYFUNCTION("""COMPUTED_VALUE"""),"No one suffered injuries during the shooting that was in the school parking lot.  Detective Sgt. Ty Downing said, “We are actively investigating a shooting at a Riverdale High School parking lot during the football game."" While no one was injured, WGNS h"&amp;"as confirmed that a vehicle was hit by the gunfire. The vehicle that sustained damage was parked in the annex parking lot. School resource officers, extra patrol deputies and the Sheriff’s Mounted Patrol Unit provided extra security at the game. Some offi"&amp;"cers immediately responded to the shooting scene. Murfreesboro Police responded to the call.")</f>
        <v>No one suffered injuries during the shooting that was in the school parking lot.  Detective Sgt. Ty Downing said, “We are actively investigating a shooting at a Riverdale High School parking lot during the football game." While no one was injured, WGNS has confirmed that a vehicle was hit by the gunfire. The vehicle that sustained damage was parked in the annex parking lot. School resource officers, extra patrol deputies and the Sheriff’s Mounted Patrol Unit provided extra security at the game. Some officers immediately responded to the shooting scene. Murfreesboro Police responded to the call.</v>
      </c>
      <c r="AA153" s="5" t="str">
        <f ca="1">IFERROR(__xludf.DUMMYFUNCTION("""COMPUTED_VALUE"""),"Escalation of Dispute")</f>
        <v>Escalation of Dispute</v>
      </c>
      <c r="AB153" s="5" t="str">
        <f ca="1">IFERROR(__xludf.DUMMYFUNCTION("""COMPUTED_VALUE"""),"Victims Targeted")</f>
        <v>Victims Targeted</v>
      </c>
      <c r="AC153" s="5" t="str">
        <f ca="1">IFERROR(__xludf.DUMMYFUNCTION("""COMPUTED_VALUE"""),"No")</f>
        <v>No</v>
      </c>
      <c r="AD153" s="5" t="str">
        <f ca="1">IFERROR(__xludf.DUMMYFUNCTION("""COMPUTED_VALUE"""),"No")</f>
        <v>No</v>
      </c>
      <c r="AE153" s="5" t="str">
        <f ca="1">IFERROR(__xludf.DUMMYFUNCTION("""COMPUTED_VALUE"""),"No")</f>
        <v>No</v>
      </c>
      <c r="AF153" s="5" t="str">
        <f ca="1">IFERROR(__xludf.DUMMYFUNCTION("""COMPUTED_VALUE"""),"No")</f>
        <v>No</v>
      </c>
      <c r="AG153" s="5" t="str">
        <f ca="1">IFERROR(__xludf.DUMMYFUNCTION("""COMPUTED_VALUE"""),"No")</f>
        <v>No</v>
      </c>
      <c r="AH153" s="5" t="str">
        <f ca="1">IFERROR(__xludf.DUMMYFUNCTION("""COMPUTED_VALUE"""),"No")</f>
        <v>No</v>
      </c>
      <c r="AI153" s="5"/>
      <c r="AJ153" s="5" t="str">
        <f ca="1">IFERROR(__xludf.DUMMYFUNCTION("""COMPUTED_VALUE"""),"No")</f>
        <v>No</v>
      </c>
    </row>
    <row r="154" spans="1:36" ht="13">
      <c r="A154" s="5" t="str">
        <f ca="1">IFERROR(__xludf.DUMMYFUNCTION("""COMPUTED_VALUE"""),"20221013NYSCB")</f>
        <v>20221013NYSCB</v>
      </c>
      <c r="B154" s="5">
        <f ca="1">IFERROR(__xludf.DUMMYFUNCTION("""COMPUTED_VALUE"""),10)</f>
        <v>10</v>
      </c>
      <c r="C154" s="5">
        <f ca="1">IFERROR(__xludf.DUMMYFUNCTION("""COMPUTED_VALUE"""),13)</f>
        <v>13</v>
      </c>
      <c r="D154" s="5">
        <f ca="1">IFERROR(__xludf.DUMMYFUNCTION("""COMPUTED_VALUE"""),2022)</f>
        <v>2022</v>
      </c>
      <c r="E154" s="8">
        <f ca="1">IFERROR(__xludf.DUMMYFUNCTION("""COMPUTED_VALUE"""),44847)</f>
        <v>44847</v>
      </c>
      <c r="F154" s="5" t="str">
        <f ca="1">IFERROR(__xludf.DUMMYFUNCTION("""COMPUTED_VALUE"""),"School Bus")</f>
        <v>School Bus</v>
      </c>
      <c r="G154" s="5">
        <f ca="1">IFERROR(__xludf.DUMMYFUNCTION("""COMPUTED_VALUE"""),0)</f>
        <v>0</v>
      </c>
      <c r="H154" s="5">
        <f ca="1">IFERROR(__xludf.DUMMYFUNCTION("""COMPUTED_VALUE"""),1)</f>
        <v>1</v>
      </c>
      <c r="I154" s="5">
        <f ca="1">IFERROR(__xludf.DUMMYFUNCTION("""COMPUTED_VALUE"""),1)</f>
        <v>1</v>
      </c>
      <c r="J154" s="5">
        <f ca="1">IFERROR(__xludf.DUMMYFUNCTION("""COMPUTED_VALUE"""),0)</f>
        <v>0</v>
      </c>
      <c r="K154" s="9" t="str">
        <f ca="1">IFERROR(__xludf.DUMMYFUNCTION("""COMPUTED_VALUE"""),"https://www.amny.com/new-york/brooklyn/cops-seek-suspect-in-brooklyn-school-bus-shooting/")</f>
        <v>https://www.amny.com/new-york/brooklyn/cops-seek-suspect-in-brooklyn-school-bus-shooting/</v>
      </c>
      <c r="L154" s="5">
        <f ca="1">IFERROR(__xludf.DUMMYFUNCTION("""COMPUTED_VALUE"""),10)</f>
        <v>10</v>
      </c>
      <c r="M154" s="5" t="str">
        <f ca="1">IFERROR(__xludf.DUMMYFUNCTION("""COMPUTED_VALUE"""),"Regional")</f>
        <v>Regional</v>
      </c>
      <c r="N154" s="5">
        <f ca="1">IFERROR(__xludf.DUMMYFUNCTION("""COMPUTED_VALUE"""),4)</f>
        <v>4</v>
      </c>
      <c r="O154" s="5" t="str">
        <f ca="1">IFERROR(__xludf.DUMMYFUNCTION("""COMPUTED_VALUE"""),"Fall")</f>
        <v>Fall</v>
      </c>
      <c r="P154" s="5" t="str">
        <f ca="1">IFERROR(__xludf.DUMMYFUNCTION("""COMPUTED_VALUE"""),"Brooklyn")</f>
        <v>Brooklyn</v>
      </c>
      <c r="Q154" s="5" t="str">
        <f ca="1">IFERROR(__xludf.DUMMYFUNCTION("""COMPUTED_VALUE"""),"NY")</f>
        <v>NY</v>
      </c>
      <c r="R154" s="5" t="str">
        <f ca="1">IFERROR(__xludf.DUMMYFUNCTION("""COMPUTED_VALUE"""),"Other")</f>
        <v>Other</v>
      </c>
      <c r="S154" s="5" t="str">
        <f ca="1">IFERROR(__xludf.DUMMYFUNCTION("""COMPUTED_VALUE"""),"School Bus")</f>
        <v>School Bus</v>
      </c>
      <c r="T154" s="5" t="str">
        <f ca="1">IFERROR(__xludf.DUMMYFUNCTION("""COMPUTED_VALUE"""),"School Bus")</f>
        <v>School Bus</v>
      </c>
      <c r="U154" s="5" t="str">
        <f ca="1">IFERROR(__xludf.DUMMYFUNCTION("""COMPUTED_VALUE"""),"Yes")</f>
        <v>Yes</v>
      </c>
      <c r="V154" s="5" t="str">
        <f ca="1">IFERROR(__xludf.DUMMYFUNCTION("""COMPUTED_VALUE"""),"Morning Classes")</f>
        <v>Morning Classes</v>
      </c>
      <c r="W154" s="10">
        <f ca="1">IFERROR(__xludf.DUMMYFUNCTION("""COMPUTED_VALUE"""),0.458333333333333)</f>
        <v>0.45833333333333298</v>
      </c>
      <c r="X154" s="5">
        <f ca="1">IFERROR(__xludf.DUMMYFUNCTION("""COMPUTED_VALUE"""),1)</f>
        <v>1</v>
      </c>
      <c r="Y154" s="5" t="str">
        <f ca="1">IFERROR(__xludf.DUMMYFUNCTION("""COMPUTED_VALUE"""),"Man shot multiple times on school bus")</f>
        <v>Man shot multiple times on school bus</v>
      </c>
      <c r="Z154" s="5" t="str">
        <f ca="1">IFERROR(__xludf.DUMMYFUNCTION("""COMPUTED_VALUE"""),"Police are asking for the public’s help identifying the man they say shot a man inside an unoccupied, off-duty school bus in Kensington. Authorities say that at around 11 a.m. on Thursday, Oct. 13,  a 30-year-old man was sitting inside a parked, unoccupie"&amp;"d, off-duty school bus opposite of 660 McDonald Avenue when two unidentified perps got on and shot the man multiple times. The victim sustained gunshot wounds to his jaw, nose, bicep and chest, and was taken to Maimonides Medical Center, where he is liste"&amp;"d in stable condition.")</f>
        <v>Police are asking for the public’s help identifying the man they say shot a man inside an unoccupied, off-duty school bus in Kensington. Authorities say that at around 11 a.m. on Thursday, Oct. 13,  a 30-year-old man was sitting inside a parked, unoccupied, off-duty school bus opposite of 660 McDonald Avenue when two unidentified perps got on and shot the man multiple times. The victim sustained gunshot wounds to his jaw, nose, bicep and chest, and was taken to Maimonides Medical Center, where he is listed in stable condition.</v>
      </c>
      <c r="AA154" s="5"/>
      <c r="AB154" s="5" t="str">
        <f ca="1">IFERROR(__xludf.DUMMYFUNCTION("""COMPUTED_VALUE"""),"Victims Targeted")</f>
        <v>Victims Targeted</v>
      </c>
      <c r="AC154" s="5" t="str">
        <f ca="1">IFERROR(__xludf.DUMMYFUNCTION("""COMPUTED_VALUE"""),"Yes")</f>
        <v>Yes</v>
      </c>
      <c r="AD154" s="5" t="str">
        <f ca="1">IFERROR(__xludf.DUMMYFUNCTION("""COMPUTED_VALUE"""),"No")</f>
        <v>No</v>
      </c>
      <c r="AE154" s="5" t="str">
        <f ca="1">IFERROR(__xludf.DUMMYFUNCTION("""COMPUTED_VALUE"""),"No")</f>
        <v>No</v>
      </c>
      <c r="AF154" s="5" t="str">
        <f ca="1">IFERROR(__xludf.DUMMYFUNCTION("""COMPUTED_VALUE"""),"No")</f>
        <v>No</v>
      </c>
      <c r="AG154" s="5" t="str">
        <f ca="1">IFERROR(__xludf.DUMMYFUNCTION("""COMPUTED_VALUE"""),"No")</f>
        <v>No</v>
      </c>
      <c r="AH154" s="5" t="str">
        <f ca="1">IFERROR(__xludf.DUMMYFUNCTION("""COMPUTED_VALUE"""),"No")</f>
        <v>No</v>
      </c>
      <c r="AI154" s="5"/>
      <c r="AJ154" s="5" t="str">
        <f ca="1">IFERROR(__xludf.DUMMYFUNCTION("""COMPUTED_VALUE"""),"No")</f>
        <v>No</v>
      </c>
    </row>
    <row r="155" spans="1:36" ht="13">
      <c r="A155" s="5" t="str">
        <f ca="1">IFERROR(__xludf.DUMMYFUNCTION("""COMPUTED_VALUE"""),"20221013TXJOD")</f>
        <v>20221013TXJOD</v>
      </c>
      <c r="B155" s="5">
        <f ca="1">IFERROR(__xludf.DUMMYFUNCTION("""COMPUTED_VALUE"""),10)</f>
        <v>10</v>
      </c>
      <c r="C155" s="5">
        <f ca="1">IFERROR(__xludf.DUMMYFUNCTION("""COMPUTED_VALUE"""),13)</f>
        <v>13</v>
      </c>
      <c r="D155" s="5">
        <f ca="1">IFERROR(__xludf.DUMMYFUNCTION("""COMPUTED_VALUE"""),2022)</f>
        <v>2022</v>
      </c>
      <c r="E155" s="8">
        <f ca="1">IFERROR(__xludf.DUMMYFUNCTION("""COMPUTED_VALUE"""),44847)</f>
        <v>44847</v>
      </c>
      <c r="F155" s="5" t="str">
        <f ca="1">IFERROR(__xludf.DUMMYFUNCTION("""COMPUTED_VALUE"""),"John W Carpenter Elementary School")</f>
        <v>John W Carpenter Elementary School</v>
      </c>
      <c r="G155" s="5">
        <f ca="1">IFERROR(__xludf.DUMMYFUNCTION("""COMPUTED_VALUE"""),0)</f>
        <v>0</v>
      </c>
      <c r="H155" s="5">
        <f ca="1">IFERROR(__xludf.DUMMYFUNCTION("""COMPUTED_VALUE"""),0)</f>
        <v>0</v>
      </c>
      <c r="I155" s="5">
        <f ca="1">IFERROR(__xludf.DUMMYFUNCTION("""COMPUTED_VALUE"""),0)</f>
        <v>0</v>
      </c>
      <c r="J155" s="5">
        <f ca="1">IFERROR(__xludf.DUMMYFUNCTION("""COMPUTED_VALUE"""),0)</f>
        <v>0</v>
      </c>
      <c r="K155" s="5" t="str">
        <f ca="1">IFERROR(__xludf.DUMMYFUNCTION("""COMPUTED_VALUE"""),"https://www.wfaa.com/article/news/local/dallas-isd-school-gun-discharges/287-82b4aef4-28fe-40c9-a64f-a00ccc522d70
https://www.nbcdfw.com/news/local/gun-accidentally-goes-off-in-dallas-elementary-school-cafeteria-thursday-morning/3095737/
")</f>
        <v xml:space="preserve">https://www.wfaa.com/article/news/local/dallas-isd-school-gun-discharges/287-82b4aef4-28fe-40c9-a64f-a00ccc522d70
https://www.nbcdfw.com/news/local/gun-accidentally-goes-off-in-dallas-elementary-school-cafeteria-thursday-morning/3095737/
</v>
      </c>
      <c r="L155" s="5">
        <f ca="1">IFERROR(__xludf.DUMMYFUNCTION("""COMPUTED_VALUE"""),10)</f>
        <v>10</v>
      </c>
      <c r="M155" s="5" t="str">
        <f ca="1">IFERROR(__xludf.DUMMYFUNCTION("""COMPUTED_VALUE"""),"Regional")</f>
        <v>Regional</v>
      </c>
      <c r="N155" s="5">
        <f ca="1">IFERROR(__xludf.DUMMYFUNCTION("""COMPUTED_VALUE"""),4)</f>
        <v>4</v>
      </c>
      <c r="O155" s="5" t="str">
        <f ca="1">IFERROR(__xludf.DUMMYFUNCTION("""COMPUTED_VALUE"""),"Fall")</f>
        <v>Fall</v>
      </c>
      <c r="P155" s="5" t="str">
        <f ca="1">IFERROR(__xludf.DUMMYFUNCTION("""COMPUTED_VALUE"""),"Dallas")</f>
        <v>Dallas</v>
      </c>
      <c r="Q155" s="5" t="str">
        <f ca="1">IFERROR(__xludf.DUMMYFUNCTION("""COMPUTED_VALUE"""),"TX")</f>
        <v>TX</v>
      </c>
      <c r="R155" s="5" t="str">
        <f ca="1">IFERROR(__xludf.DUMMYFUNCTION("""COMPUTED_VALUE"""),"Elementary")</f>
        <v>Elementary</v>
      </c>
      <c r="S155" s="5" t="str">
        <f ca="1">IFERROR(__xludf.DUMMYFUNCTION("""COMPUTED_VALUE"""),"Cafeteria")</f>
        <v>Cafeteria</v>
      </c>
      <c r="T155" s="5" t="str">
        <f ca="1">IFERROR(__xludf.DUMMYFUNCTION("""COMPUTED_VALUE"""),"Inside School Building")</f>
        <v>Inside School Building</v>
      </c>
      <c r="U155" s="5" t="str">
        <f ca="1">IFERROR(__xludf.DUMMYFUNCTION("""COMPUTED_VALUE"""),"Yes")</f>
        <v>Yes</v>
      </c>
      <c r="V155" s="5" t="str">
        <f ca="1">IFERROR(__xludf.DUMMYFUNCTION("""COMPUTED_VALUE"""),"School Start")</f>
        <v>School Start</v>
      </c>
      <c r="W155" s="10">
        <f ca="1">IFERROR(__xludf.DUMMYFUNCTION("""COMPUTED_VALUE"""),0.333333333333333)</f>
        <v>0.33333333333333298</v>
      </c>
      <c r="X155" s="5">
        <f ca="1">IFERROR(__xludf.DUMMYFUNCTION("""COMPUTED_VALUE"""),1)</f>
        <v>1</v>
      </c>
      <c r="Y155" s="5" t="str">
        <f ca="1">IFERROR(__xludf.DUMMYFUNCTION("""COMPUTED_VALUE"""),"Student fired shot while showing off handgun in cafeteria")</f>
        <v>Student fired shot while showing off handgun in cafeteria</v>
      </c>
      <c r="Z155" s="5" t="str">
        <f ca="1">IFERROR(__xludf.DUMMYFUNCTION("""COMPUTED_VALUE"""),"Student fired shot while showing off handgun in cafeteria")</f>
        <v>Student fired shot while showing off handgun in cafeteria</v>
      </c>
      <c r="AA155" s="5" t="str">
        <f ca="1">IFERROR(__xludf.DUMMYFUNCTION("""COMPUTED_VALUE"""),"Accidental")</f>
        <v>Accidental</v>
      </c>
      <c r="AB155" s="5" t="str">
        <f ca="1">IFERROR(__xludf.DUMMYFUNCTION("""COMPUTED_VALUE"""),"Neither")</f>
        <v>Neither</v>
      </c>
      <c r="AC155" s="5" t="str">
        <f ca="1">IFERROR(__xludf.DUMMYFUNCTION("""COMPUTED_VALUE"""),"No")</f>
        <v>No</v>
      </c>
      <c r="AD155" s="5" t="str">
        <f ca="1">IFERROR(__xludf.DUMMYFUNCTION("""COMPUTED_VALUE"""),"No")</f>
        <v>No</v>
      </c>
      <c r="AE155" s="5" t="str">
        <f ca="1">IFERROR(__xludf.DUMMYFUNCTION("""COMPUTED_VALUE"""),"No")</f>
        <v>No</v>
      </c>
      <c r="AF155" s="5" t="str">
        <f ca="1">IFERROR(__xludf.DUMMYFUNCTION("""COMPUTED_VALUE"""),"No")</f>
        <v>No</v>
      </c>
      <c r="AG155" s="5" t="str">
        <f ca="1">IFERROR(__xludf.DUMMYFUNCTION("""COMPUTED_VALUE"""),"No")</f>
        <v>No</v>
      </c>
      <c r="AH155" s="5" t="str">
        <f ca="1">IFERROR(__xludf.DUMMYFUNCTION("""COMPUTED_VALUE"""),"No")</f>
        <v>No</v>
      </c>
      <c r="AI155" s="5"/>
      <c r="AJ155" s="5" t="str">
        <f ca="1">IFERROR(__xludf.DUMMYFUNCTION("""COMPUTED_VALUE"""),"No")</f>
        <v>No</v>
      </c>
    </row>
    <row r="156" spans="1:36" ht="13">
      <c r="A156" s="5" t="str">
        <f ca="1">IFERROR(__xludf.DUMMYFUNCTION("""COMPUTED_VALUE"""),"20221012NCCAC")</f>
        <v>20221012NCCAC</v>
      </c>
      <c r="B156" s="5">
        <f ca="1">IFERROR(__xludf.DUMMYFUNCTION("""COMPUTED_VALUE"""),10)</f>
        <v>10</v>
      </c>
      <c r="C156" s="5">
        <f ca="1">IFERROR(__xludf.DUMMYFUNCTION("""COMPUTED_VALUE"""),12)</f>
        <v>12</v>
      </c>
      <c r="D156" s="5">
        <f ca="1">IFERROR(__xludf.DUMMYFUNCTION("""COMPUTED_VALUE"""),2022)</f>
        <v>2022</v>
      </c>
      <c r="E156" s="8">
        <f ca="1">IFERROR(__xludf.DUMMYFUNCTION("""COMPUTED_VALUE"""),44846)</f>
        <v>44846</v>
      </c>
      <c r="F156" s="5" t="str">
        <f ca="1">IFERROR(__xludf.DUMMYFUNCTION("""COMPUTED_VALUE"""),"Cary High School")</f>
        <v>Cary High School</v>
      </c>
      <c r="G156" s="5">
        <f ca="1">IFERROR(__xludf.DUMMYFUNCTION("""COMPUTED_VALUE"""),0)</f>
        <v>0</v>
      </c>
      <c r="H156" s="5">
        <f ca="1">IFERROR(__xludf.DUMMYFUNCTION("""COMPUTED_VALUE"""),0)</f>
        <v>0</v>
      </c>
      <c r="I156" s="5">
        <f ca="1">IFERROR(__xludf.DUMMYFUNCTION("""COMPUTED_VALUE"""),0)</f>
        <v>0</v>
      </c>
      <c r="J156" s="5">
        <f ca="1">IFERROR(__xludf.DUMMYFUNCTION("""COMPUTED_VALUE"""),0)</f>
        <v>0</v>
      </c>
      <c r="K156" s="5" t="str">
        <f ca="1">IFERROR(__xludf.DUMMYFUNCTION("""COMPUTED_VALUE"""),"https://www.cbs17.com/news/local-news/wake-county-news/cary-high-school-goes-under-code-red-lockdown-after-possible-shot-fired/
https://www.wral.com/gunshot-fired-inside-cary-high-school-bathroom-police-questioning-14-year-old-student/20518817/")</f>
        <v>https://www.cbs17.com/news/local-news/wake-county-news/cary-high-school-goes-under-code-red-lockdown-after-possible-shot-fired/
https://www.wral.com/gunshot-fired-inside-cary-high-school-bathroom-police-questioning-14-year-old-student/20518817/</v>
      </c>
      <c r="L156" s="5">
        <f ca="1">IFERROR(__xludf.DUMMYFUNCTION("""COMPUTED_VALUE"""),10)</f>
        <v>10</v>
      </c>
      <c r="M156" s="5" t="str">
        <f ca="1">IFERROR(__xludf.DUMMYFUNCTION("""COMPUTED_VALUE"""),"Regional")</f>
        <v>Regional</v>
      </c>
      <c r="N156" s="5">
        <f ca="1">IFERROR(__xludf.DUMMYFUNCTION("""COMPUTED_VALUE"""),4)</f>
        <v>4</v>
      </c>
      <c r="O156" s="5" t="str">
        <f ca="1">IFERROR(__xludf.DUMMYFUNCTION("""COMPUTED_VALUE"""),"Fall")</f>
        <v>Fall</v>
      </c>
      <c r="P156" s="5" t="str">
        <f ca="1">IFERROR(__xludf.DUMMYFUNCTION("""COMPUTED_VALUE"""),"Cary")</f>
        <v>Cary</v>
      </c>
      <c r="Q156" s="5" t="str">
        <f ca="1">IFERROR(__xludf.DUMMYFUNCTION("""COMPUTED_VALUE"""),"NC")</f>
        <v>NC</v>
      </c>
      <c r="R156" s="5" t="str">
        <f ca="1">IFERROR(__xludf.DUMMYFUNCTION("""COMPUTED_VALUE"""),"High")</f>
        <v>High</v>
      </c>
      <c r="S156" s="5" t="str">
        <f ca="1">IFERROR(__xludf.DUMMYFUNCTION("""COMPUTED_VALUE"""),"Bathroom")</f>
        <v>Bathroom</v>
      </c>
      <c r="T156" s="5" t="str">
        <f ca="1">IFERROR(__xludf.DUMMYFUNCTION("""COMPUTED_VALUE"""),"Outside on School Property")</f>
        <v>Outside on School Property</v>
      </c>
      <c r="U156" s="5" t="str">
        <f ca="1">IFERROR(__xludf.DUMMYFUNCTION("""COMPUTED_VALUE"""),"Yes")</f>
        <v>Yes</v>
      </c>
      <c r="V156" s="5" t="str">
        <f ca="1">IFERROR(__xludf.DUMMYFUNCTION("""COMPUTED_VALUE"""),"Afternoon Classes")</f>
        <v>Afternoon Classes</v>
      </c>
      <c r="W156" s="10">
        <f ca="1">IFERROR(__xludf.DUMMYFUNCTION("""COMPUTED_VALUE"""),0.576388888888888)</f>
        <v>0.57638888888888795</v>
      </c>
      <c r="X156" s="5">
        <f ca="1">IFERROR(__xludf.DUMMYFUNCTION("""COMPUTED_VALUE"""),1)</f>
        <v>1</v>
      </c>
      <c r="Y156" s="5" t="str">
        <f ca="1">IFERROR(__xludf.DUMMYFUNCTION("""COMPUTED_VALUE"""),"Shot fired in school bathroom")</f>
        <v>Shot fired in school bathroom</v>
      </c>
      <c r="Z156" s="5" t="str">
        <f ca="1">IFERROR(__xludf.DUMMYFUNCTION("""COMPUTED_VALUE"""),"Two 14-year-old students were arrested after a shot was fired in the school bathroom breaking a toilet. School went on Code Red lockdown and parents rushed to the school. No injuries.")</f>
        <v>Two 14-year-old students were arrested after a shot was fired in the school bathroom breaking a toilet. School went on Code Red lockdown and parents rushed to the school. No injuries.</v>
      </c>
      <c r="AA156" s="5" t="str">
        <f ca="1">IFERROR(__xludf.DUMMYFUNCTION("""COMPUTED_VALUE"""),"Accidental")</f>
        <v>Accidental</v>
      </c>
      <c r="AB156" s="5"/>
      <c r="AC156" s="5" t="str">
        <f ca="1">IFERROR(__xludf.DUMMYFUNCTION("""COMPUTED_VALUE"""),"Yes")</f>
        <v>Yes</v>
      </c>
      <c r="AD156" s="5" t="str">
        <f ca="1">IFERROR(__xludf.DUMMYFUNCTION("""COMPUTED_VALUE"""),"No")</f>
        <v>No</v>
      </c>
      <c r="AE156" s="5" t="str">
        <f ca="1">IFERROR(__xludf.DUMMYFUNCTION("""COMPUTED_VALUE"""),"No")</f>
        <v>No</v>
      </c>
      <c r="AF156" s="5" t="str">
        <f ca="1">IFERROR(__xludf.DUMMYFUNCTION("""COMPUTED_VALUE"""),"No")</f>
        <v>No</v>
      </c>
      <c r="AG156" s="5" t="str">
        <f ca="1">IFERROR(__xludf.DUMMYFUNCTION("""COMPUTED_VALUE"""),"No")</f>
        <v>No</v>
      </c>
      <c r="AH156" s="5" t="str">
        <f ca="1">IFERROR(__xludf.DUMMYFUNCTION("""COMPUTED_VALUE"""),"No")</f>
        <v>No</v>
      </c>
      <c r="AI156" s="5"/>
      <c r="AJ156" s="5" t="str">
        <f ca="1">IFERROR(__xludf.DUMMYFUNCTION("""COMPUTED_VALUE"""),"No")</f>
        <v>No</v>
      </c>
    </row>
    <row r="157" spans="1:36" ht="13">
      <c r="A157" s="5" t="str">
        <f ca="1">IFERROR(__xludf.DUMMYFUNCTION("""COMPUTED_VALUE"""),"20221011KSSAS")</f>
        <v>20221011KSSAS</v>
      </c>
      <c r="B157" s="5">
        <f ca="1">IFERROR(__xludf.DUMMYFUNCTION("""COMPUTED_VALUE"""),10)</f>
        <v>10</v>
      </c>
      <c r="C157" s="5">
        <f ca="1">IFERROR(__xludf.DUMMYFUNCTION("""COMPUTED_VALUE"""),11)</f>
        <v>11</v>
      </c>
      <c r="D157" s="5">
        <f ca="1">IFERROR(__xludf.DUMMYFUNCTION("""COMPUTED_VALUE"""),2022)</f>
        <v>2022</v>
      </c>
      <c r="E157" s="8">
        <f ca="1">IFERROR(__xludf.DUMMYFUNCTION("""COMPUTED_VALUE"""),44845)</f>
        <v>44845</v>
      </c>
      <c r="F157" s="5" t="str">
        <f ca="1">IFERROR(__xludf.DUMMYFUNCTION("""COMPUTED_VALUE"""),"Salina South High School")</f>
        <v>Salina South High School</v>
      </c>
      <c r="G157" s="5">
        <f ca="1">IFERROR(__xludf.DUMMYFUNCTION("""COMPUTED_VALUE"""),0)</f>
        <v>0</v>
      </c>
      <c r="H157" s="5">
        <f ca="1">IFERROR(__xludf.DUMMYFUNCTION("""COMPUTED_VALUE"""),0)</f>
        <v>0</v>
      </c>
      <c r="I157" s="5">
        <f ca="1">IFERROR(__xludf.DUMMYFUNCTION("""COMPUTED_VALUE"""),0)</f>
        <v>0</v>
      </c>
      <c r="J157" s="5">
        <f ca="1">IFERROR(__xludf.DUMMYFUNCTION("""COMPUTED_VALUE"""),0)</f>
        <v>0</v>
      </c>
      <c r="K157" s="5" t="str">
        <f ca="1">IFERROR(__xludf.DUMMYFUNCTION("""COMPUTED_VALUE"""),"https://www.kwch.com/2022/10/12/salina-police-investigate-after-shot-fired-high-school-parking-lot/
https://www.ksal.com/shot-fired-in-school-parking-lot/
https://www.kwch.com/2022/10/12/alleged-shooter-custody-after-shot-fired-salina-south-high/")</f>
        <v>https://www.kwch.com/2022/10/12/salina-police-investigate-after-shot-fired-high-school-parking-lot/
https://www.ksal.com/shot-fired-in-school-parking-lot/
https://www.kwch.com/2022/10/12/alleged-shooter-custody-after-shot-fired-salina-south-high/</v>
      </c>
      <c r="L157" s="5">
        <f ca="1">IFERROR(__xludf.DUMMYFUNCTION("""COMPUTED_VALUE"""),2)</f>
        <v>2</v>
      </c>
      <c r="M157" s="5" t="str">
        <f ca="1">IFERROR(__xludf.DUMMYFUNCTION("""COMPUTED_VALUE"""),"Local")</f>
        <v>Local</v>
      </c>
      <c r="N157" s="5">
        <f ca="1">IFERROR(__xludf.DUMMYFUNCTION("""COMPUTED_VALUE"""),4)</f>
        <v>4</v>
      </c>
      <c r="O157" s="5" t="str">
        <f ca="1">IFERROR(__xludf.DUMMYFUNCTION("""COMPUTED_VALUE"""),"Fall")</f>
        <v>Fall</v>
      </c>
      <c r="P157" s="5" t="str">
        <f ca="1">IFERROR(__xludf.DUMMYFUNCTION("""COMPUTED_VALUE"""),"Salina")</f>
        <v>Salina</v>
      </c>
      <c r="Q157" s="5" t="str">
        <f ca="1">IFERROR(__xludf.DUMMYFUNCTION("""COMPUTED_VALUE"""),"KS")</f>
        <v>KS</v>
      </c>
      <c r="R157" s="5" t="str">
        <f ca="1">IFERROR(__xludf.DUMMYFUNCTION("""COMPUTED_VALUE"""),"High")</f>
        <v>High</v>
      </c>
      <c r="S157" s="5" t="str">
        <f ca="1">IFERROR(__xludf.DUMMYFUNCTION("""COMPUTED_VALUE"""),"Parking Lot")</f>
        <v>Parking Lot</v>
      </c>
      <c r="T157" s="5" t="str">
        <f ca="1">IFERROR(__xludf.DUMMYFUNCTION("""COMPUTED_VALUE"""),"Outside on School Property")</f>
        <v>Outside on School Property</v>
      </c>
      <c r="U157" s="5" t="str">
        <f ca="1">IFERROR(__xludf.DUMMYFUNCTION("""COMPUTED_VALUE"""),"Yes")</f>
        <v>Yes</v>
      </c>
      <c r="V157" s="5" t="str">
        <f ca="1">IFERROR(__xludf.DUMMYFUNCTION("""COMPUTED_VALUE"""),"Dismissal")</f>
        <v>Dismissal</v>
      </c>
      <c r="W157" s="10">
        <f ca="1">IFERROR(__xludf.DUMMYFUNCTION("""COMPUTED_VALUE"""),0.625)</f>
        <v>0.625</v>
      </c>
      <c r="X157" s="5">
        <f ca="1">IFERROR(__xludf.DUMMYFUNCTION("""COMPUTED_VALUE"""),1)</f>
        <v>1</v>
      </c>
      <c r="Y157" s="5" t="str">
        <f ca="1">IFERROR(__xludf.DUMMYFUNCTION("""COMPUTED_VALUE"""),"Shots fired during dismissal,")</f>
        <v>Shots fired during dismissal,</v>
      </c>
      <c r="Z157" s="5" t="str">
        <f ca="1">IFERROR(__xludf.DUMMYFUNCTION("""COMPUTED_VALUE"""),"Shot fired in the parking lot during dismissal. No injuries. A vehicle occupied by multiple teens was leaving the west parking lot of the school. Just before turning east onto E. Magnolia, an occupant of the vehicle was allegedly seen firing a weapon from"&amp;" the passenger side of the car in the direction of the school. The alleged driver of the vehicle is a 17-year-old boy, who is a student at the school. Detectives also claim that a 16-year-old who is not a student at Salina South was the person who fired t"&amp;"he handgun and that a 15-year-old student at Salina South was identified as having possessed the gun in the vehicle while on school property. ")</f>
        <v xml:space="preserve">Shot fired in the parking lot during dismissal. No injuries. A vehicle occupied by multiple teens was leaving the west parking lot of the school. Just before turning east onto E. Magnolia, an occupant of the vehicle was allegedly seen firing a weapon from the passenger side of the car in the direction of the school. The alleged driver of the vehicle is a 17-year-old boy, who is a student at the school. Detectives also claim that a 16-year-old who is not a student at Salina South was the person who fired the handgun and that a 15-year-old student at Salina South was identified as having possessed the gun in the vehicle while on school property. </v>
      </c>
      <c r="AA157" s="5"/>
      <c r="AB157" s="5"/>
      <c r="AC157" s="5" t="str">
        <f ca="1">IFERROR(__xludf.DUMMYFUNCTION("""COMPUTED_VALUE"""),"No")</f>
        <v>No</v>
      </c>
      <c r="AD157" s="5" t="str">
        <f ca="1">IFERROR(__xludf.DUMMYFUNCTION("""COMPUTED_VALUE"""),"No")</f>
        <v>No</v>
      </c>
      <c r="AE157" s="5" t="str">
        <f ca="1">IFERROR(__xludf.DUMMYFUNCTION("""COMPUTED_VALUE"""),"No")</f>
        <v>No</v>
      </c>
      <c r="AF157" s="5" t="str">
        <f ca="1">IFERROR(__xludf.DUMMYFUNCTION("""COMPUTED_VALUE"""),"No")</f>
        <v>No</v>
      </c>
      <c r="AG157" s="5" t="str">
        <f ca="1">IFERROR(__xludf.DUMMYFUNCTION("""COMPUTED_VALUE"""),"No")</f>
        <v>No</v>
      </c>
      <c r="AH157" s="5" t="str">
        <f ca="1">IFERROR(__xludf.DUMMYFUNCTION("""COMPUTED_VALUE"""),"No")</f>
        <v>No</v>
      </c>
      <c r="AI157" s="5"/>
      <c r="AJ157" s="5" t="str">
        <f ca="1">IFERROR(__xludf.DUMMYFUNCTION("""COMPUTED_VALUE"""),"No")</f>
        <v>No</v>
      </c>
    </row>
    <row r="158" spans="1:36" ht="13">
      <c r="A158" s="5" t="str">
        <f ca="1">IFERROR(__xludf.DUMMYFUNCTION("""COMPUTED_VALUE"""),"20221011ORREP")</f>
        <v>20221011ORREP</v>
      </c>
      <c r="B158" s="5">
        <f ca="1">IFERROR(__xludf.DUMMYFUNCTION("""COMPUTED_VALUE"""),10)</f>
        <v>10</v>
      </c>
      <c r="C158" s="5">
        <f ca="1">IFERROR(__xludf.DUMMYFUNCTION("""COMPUTED_VALUE"""),11)</f>
        <v>11</v>
      </c>
      <c r="D158" s="5">
        <f ca="1">IFERROR(__xludf.DUMMYFUNCTION("""COMPUTED_VALUE"""),2022)</f>
        <v>2022</v>
      </c>
      <c r="E158" s="8">
        <f ca="1">IFERROR(__xludf.DUMMYFUNCTION("""COMPUTED_VALUE"""),44845)</f>
        <v>44845</v>
      </c>
      <c r="F158" s="5" t="str">
        <f ca="1">IFERROR(__xludf.DUMMYFUNCTION("""COMPUTED_VALUE"""),"Reynolds High School")</f>
        <v>Reynolds High School</v>
      </c>
      <c r="G158" s="5">
        <f ca="1">IFERROR(__xludf.DUMMYFUNCTION("""COMPUTED_VALUE"""),0)</f>
        <v>0</v>
      </c>
      <c r="H158" s="5">
        <f ca="1">IFERROR(__xludf.DUMMYFUNCTION("""COMPUTED_VALUE"""),0)</f>
        <v>0</v>
      </c>
      <c r="I158" s="5">
        <f ca="1">IFERROR(__xludf.DUMMYFUNCTION("""COMPUTED_VALUE"""),0)</f>
        <v>0</v>
      </c>
      <c r="J158" s="5">
        <f ca="1">IFERROR(__xludf.DUMMYFUNCTION("""COMPUTED_VALUE"""),0)</f>
        <v>0</v>
      </c>
      <c r="K158" s="9" t="str">
        <f ca="1">IFERROR(__xludf.DUMMYFUNCTION("""COMPUTED_VALUE"""),"https://www.koin.com/news/crime/shots-fired-near-reynolds-high-school-parents-concerned-about-response/")</f>
        <v>https://www.koin.com/news/crime/shots-fired-near-reynolds-high-school-parents-concerned-about-response/</v>
      </c>
      <c r="L158" s="5">
        <f ca="1">IFERROR(__xludf.DUMMYFUNCTION("""COMPUTED_VALUE"""),1)</f>
        <v>1</v>
      </c>
      <c r="M158" s="5" t="str">
        <f ca="1">IFERROR(__xludf.DUMMYFUNCTION("""COMPUTED_VALUE"""),"Local")</f>
        <v>Local</v>
      </c>
      <c r="N158" s="5">
        <f ca="1">IFERROR(__xludf.DUMMYFUNCTION("""COMPUTED_VALUE"""),4)</f>
        <v>4</v>
      </c>
      <c r="O158" s="5" t="str">
        <f ca="1">IFERROR(__xludf.DUMMYFUNCTION("""COMPUTED_VALUE"""),"Fall")</f>
        <v>Fall</v>
      </c>
      <c r="P158" s="5" t="str">
        <f ca="1">IFERROR(__xludf.DUMMYFUNCTION("""COMPUTED_VALUE"""),"Portland")</f>
        <v>Portland</v>
      </c>
      <c r="Q158" s="5" t="str">
        <f ca="1">IFERROR(__xludf.DUMMYFUNCTION("""COMPUTED_VALUE"""),"OR")</f>
        <v>OR</v>
      </c>
      <c r="R158" s="5" t="str">
        <f ca="1">IFERROR(__xludf.DUMMYFUNCTION("""COMPUTED_VALUE"""),"High")</f>
        <v>High</v>
      </c>
      <c r="S158" s="5" t="str">
        <f ca="1">IFERROR(__xludf.DUMMYFUNCTION("""COMPUTED_VALUE"""),"Parking Lot")</f>
        <v>Parking Lot</v>
      </c>
      <c r="T158" s="5" t="str">
        <f ca="1">IFERROR(__xludf.DUMMYFUNCTION("""COMPUTED_VALUE"""),"Outside on School Property")</f>
        <v>Outside on School Property</v>
      </c>
      <c r="U158" s="5" t="str">
        <f ca="1">IFERROR(__xludf.DUMMYFUNCTION("""COMPUTED_VALUE"""),"Yes")</f>
        <v>Yes</v>
      </c>
      <c r="V158" s="5" t="str">
        <f ca="1">IFERROR(__xludf.DUMMYFUNCTION("""COMPUTED_VALUE"""),"Lunch")</f>
        <v>Lunch</v>
      </c>
      <c r="W158" s="10">
        <f ca="1">IFERROR(__xludf.DUMMYFUNCTION("""COMPUTED_VALUE"""),0.5)</f>
        <v>0.5</v>
      </c>
      <c r="X158" s="5">
        <f ca="1">IFERROR(__xludf.DUMMYFUNCTION("""COMPUTED_VALUE"""),1)</f>
        <v>1</v>
      </c>
      <c r="Y158" s="5" t="str">
        <f ca="1">IFERROR(__xludf.DUMMYFUNCTION("""COMPUTED_VALUE"""),"Shots fired in parking lot during lunch.")</f>
        <v>Shots fired in parking lot during lunch.</v>
      </c>
      <c r="Z158" s="5" t="str">
        <f ca="1">IFERROR(__xludf.DUMMYFUNCTION("""COMPUTED_VALUE"""),"Shots were fired in the parking lot of the school during a dispute between two people. SRO heard the shots, ran to the parking lot, and saw a vehicle driving away. School was not locked down because the shooter fled the area. Police said the shooting was "&amp;"unrelated to the school and the school was not targeted. Students were outside on the campus when the shooting occurred.")</f>
        <v>Shots were fired in the parking lot of the school during a dispute between two people. SRO heard the shots, ran to the parking lot, and saw a vehicle driving away. School was not locked down because the shooter fled the area. Police said the shooting was unrelated to the school and the school was not targeted. Students were outside on the campus when the shooting occurred.</v>
      </c>
      <c r="AA158" s="5" t="str">
        <f ca="1">IFERROR(__xludf.DUMMYFUNCTION("""COMPUTED_VALUE"""),"Escalation of Dispute")</f>
        <v>Escalation of Dispute</v>
      </c>
      <c r="AB158" s="5"/>
      <c r="AC158" s="5" t="str">
        <f ca="1">IFERROR(__xludf.DUMMYFUNCTION("""COMPUTED_VALUE"""),"No")</f>
        <v>No</v>
      </c>
      <c r="AD158" s="5" t="str">
        <f ca="1">IFERROR(__xludf.DUMMYFUNCTION("""COMPUTED_VALUE"""),"No")</f>
        <v>No</v>
      </c>
      <c r="AE158" s="5" t="str">
        <f ca="1">IFERROR(__xludf.DUMMYFUNCTION("""COMPUTED_VALUE"""),"No")</f>
        <v>No</v>
      </c>
      <c r="AF158" s="5" t="str">
        <f ca="1">IFERROR(__xludf.DUMMYFUNCTION("""COMPUTED_VALUE"""),"No")</f>
        <v>No</v>
      </c>
      <c r="AG158" s="5" t="str">
        <f ca="1">IFERROR(__xludf.DUMMYFUNCTION("""COMPUTED_VALUE"""),"No")</f>
        <v>No</v>
      </c>
      <c r="AH158" s="5" t="str">
        <f ca="1">IFERROR(__xludf.DUMMYFUNCTION("""COMPUTED_VALUE"""),"No")</f>
        <v>No</v>
      </c>
      <c r="AI158" s="5"/>
      <c r="AJ158" s="5" t="str">
        <f ca="1">IFERROR(__xludf.DUMMYFUNCTION("""COMPUTED_VALUE"""),"No")</f>
        <v>No</v>
      </c>
    </row>
    <row r="159" spans="1:36" ht="13">
      <c r="A159" s="5" t="str">
        <f ca="1">IFERROR(__xludf.DUMMYFUNCTION("""COMPUTED_VALUE"""),"20221010WIJAM")</f>
        <v>20221010WIJAM</v>
      </c>
      <c r="B159" s="5">
        <f ca="1">IFERROR(__xludf.DUMMYFUNCTION("""COMPUTED_VALUE"""),10)</f>
        <v>10</v>
      </c>
      <c r="C159" s="5">
        <f ca="1">IFERROR(__xludf.DUMMYFUNCTION("""COMPUTED_VALUE"""),10)</f>
        <v>10</v>
      </c>
      <c r="D159" s="5">
        <f ca="1">IFERROR(__xludf.DUMMYFUNCTION("""COMPUTED_VALUE"""),2022)</f>
        <v>2022</v>
      </c>
      <c r="E159" s="8">
        <f ca="1">IFERROR(__xludf.DUMMYFUNCTION("""COMPUTED_VALUE"""),44844)</f>
        <v>44844</v>
      </c>
      <c r="F159" s="5" t="str">
        <f ca="1">IFERROR(__xludf.DUMMYFUNCTION("""COMPUTED_VALUE"""),"James Madison Academic Campus")</f>
        <v>James Madison Academic Campus</v>
      </c>
      <c r="G159" s="5">
        <f ca="1">IFERROR(__xludf.DUMMYFUNCTION("""COMPUTED_VALUE"""),0)</f>
        <v>0</v>
      </c>
      <c r="H159" s="5">
        <f ca="1">IFERROR(__xludf.DUMMYFUNCTION("""COMPUTED_VALUE"""),1)</f>
        <v>1</v>
      </c>
      <c r="I159" s="5">
        <f ca="1">IFERROR(__xludf.DUMMYFUNCTION("""COMPUTED_VALUE"""),1)</f>
        <v>1</v>
      </c>
      <c r="J159" s="5">
        <f ca="1">IFERROR(__xludf.DUMMYFUNCTION("""COMPUTED_VALUE"""),0)</f>
        <v>0</v>
      </c>
      <c r="K159" s="5" t="str">
        <f ca="1">IFERROR(__xludf.DUMMYFUNCTION("""COMPUTED_VALUE"""),"https://www.fox6now.com/news/milwaukee-shooting-high-school-teen-accused-shot-gun
https://www.fox6now.com/news/shooting-outside-milwaukee-james-madison-high-school
https://www.cbs58.com/news/mpd-juvenile-shot-outside-james-madison-high-school")</f>
        <v>https://www.fox6now.com/news/milwaukee-shooting-high-school-teen-accused-shot-gun
https://www.fox6now.com/news/shooting-outside-milwaukee-james-madison-high-school
https://www.cbs58.com/news/mpd-juvenile-shot-outside-james-madison-high-school</v>
      </c>
      <c r="L159" s="5">
        <f ca="1">IFERROR(__xludf.DUMMYFUNCTION("""COMPUTED_VALUE"""),5)</f>
        <v>5</v>
      </c>
      <c r="M159" s="5" t="str">
        <f ca="1">IFERROR(__xludf.DUMMYFUNCTION("""COMPUTED_VALUE"""),"Local")</f>
        <v>Local</v>
      </c>
      <c r="N159" s="5">
        <f ca="1">IFERROR(__xludf.DUMMYFUNCTION("""COMPUTED_VALUE"""),4)</f>
        <v>4</v>
      </c>
      <c r="O159" s="5" t="str">
        <f ca="1">IFERROR(__xludf.DUMMYFUNCTION("""COMPUTED_VALUE"""),"Fall")</f>
        <v>Fall</v>
      </c>
      <c r="P159" s="5" t="str">
        <f ca="1">IFERROR(__xludf.DUMMYFUNCTION("""COMPUTED_VALUE"""),"Milwaukee")</f>
        <v>Milwaukee</v>
      </c>
      <c r="Q159" s="5" t="str">
        <f ca="1">IFERROR(__xludf.DUMMYFUNCTION("""COMPUTED_VALUE"""),"WI")</f>
        <v>WI</v>
      </c>
      <c r="R159" s="5" t="str">
        <f ca="1">IFERROR(__xludf.DUMMYFUNCTION("""COMPUTED_VALUE"""),"High")</f>
        <v>High</v>
      </c>
      <c r="S159" s="5" t="str">
        <f ca="1">IFERROR(__xludf.DUMMYFUNCTION("""COMPUTED_VALUE"""),"Front of School")</f>
        <v>Front of School</v>
      </c>
      <c r="T159" s="5" t="str">
        <f ca="1">IFERROR(__xludf.DUMMYFUNCTION("""COMPUTED_VALUE"""),"Outside on School Property")</f>
        <v>Outside on School Property</v>
      </c>
      <c r="U159" s="5" t="str">
        <f ca="1">IFERROR(__xludf.DUMMYFUNCTION("""COMPUTED_VALUE"""),"Yes")</f>
        <v>Yes</v>
      </c>
      <c r="V159" s="5" t="str">
        <f ca="1">IFERROR(__xludf.DUMMYFUNCTION("""COMPUTED_VALUE"""),"Dismissal")</f>
        <v>Dismissal</v>
      </c>
      <c r="W159" s="10">
        <f ca="1">IFERROR(__xludf.DUMMYFUNCTION("""COMPUTED_VALUE"""),0.625)</f>
        <v>0.625</v>
      </c>
      <c r="X159" s="5">
        <f ca="1">IFERROR(__xludf.DUMMYFUNCTION("""COMPUTED_VALUE"""),1)</f>
        <v>1</v>
      </c>
      <c r="Y159" s="5" t="str">
        <f ca="1">IFERROR(__xludf.DUMMYFUNCTION("""COMPUTED_VALUE"""),"Shots fired during dismissal, teen wounded")</f>
        <v>Shots fired during dismissal, teen wounded</v>
      </c>
      <c r="Z159" s="5" t="str">
        <f ca="1">IFERROR(__xludf.DUMMYFUNCTION("""COMPUTED_VALUE"""),"5 shots were fired in front of the school while students were waiting for buses. Students ran back into the school. A teen (non-student) was wounded. Crowd of students were outside Madison High (WI) when a teen hit a student with a gun. 
Gun fell to the "&amp;"ground and was picked up by someone else – who fired shot at the attacker.Teens involved had ongoing dispute from a fight over the summer.")</f>
        <v>5 shots were fired in front of the school while students were waiting for buses. Students ran back into the school. A teen (non-student) was wounded. Crowd of students were outside Madison High (WI) when a teen hit a student with a gun. 
Gun fell to the ground and was picked up by someone else – who fired shot at the attacker.Teens involved had ongoing dispute from a fight over the summer.</v>
      </c>
      <c r="AA159" s="5"/>
      <c r="AB159" s="5"/>
      <c r="AC159" s="5" t="str">
        <f ca="1">IFERROR(__xludf.DUMMYFUNCTION("""COMPUTED_VALUE"""),"No")</f>
        <v>No</v>
      </c>
      <c r="AD159" s="5" t="str">
        <f ca="1">IFERROR(__xludf.DUMMYFUNCTION("""COMPUTED_VALUE"""),"No")</f>
        <v>No</v>
      </c>
      <c r="AE159" s="5" t="str">
        <f ca="1">IFERROR(__xludf.DUMMYFUNCTION("""COMPUTED_VALUE"""),"No")</f>
        <v>No</v>
      </c>
      <c r="AF159" s="5" t="str">
        <f ca="1">IFERROR(__xludf.DUMMYFUNCTION("""COMPUTED_VALUE"""),"No")</f>
        <v>No</v>
      </c>
      <c r="AG159" s="5" t="str">
        <f ca="1">IFERROR(__xludf.DUMMYFUNCTION("""COMPUTED_VALUE"""),"No")</f>
        <v>No</v>
      </c>
      <c r="AH159" s="5" t="str">
        <f ca="1">IFERROR(__xludf.DUMMYFUNCTION("""COMPUTED_VALUE"""),"No")</f>
        <v>No</v>
      </c>
      <c r="AI159" s="5"/>
      <c r="AJ159" s="5" t="str">
        <f ca="1">IFERROR(__xludf.DUMMYFUNCTION("""COMPUTED_VALUE"""),"No")</f>
        <v>No</v>
      </c>
    </row>
    <row r="160" spans="1:36" ht="13">
      <c r="A160" s="5" t="str">
        <f ca="1">IFERROR(__xludf.DUMMYFUNCTION("""COMPUTED_VALUE"""),"20221009MAWAA")</f>
        <v>20221009MAWAA</v>
      </c>
      <c r="B160" s="5">
        <f ca="1">IFERROR(__xludf.DUMMYFUNCTION("""COMPUTED_VALUE"""),10)</f>
        <v>10</v>
      </c>
      <c r="C160" s="5">
        <f ca="1">IFERROR(__xludf.DUMMYFUNCTION("""COMPUTED_VALUE"""),9)</f>
        <v>9</v>
      </c>
      <c r="D160" s="5">
        <f ca="1">IFERROR(__xludf.DUMMYFUNCTION("""COMPUTED_VALUE"""),2022)</f>
        <v>2022</v>
      </c>
      <c r="E160" s="8">
        <f ca="1">IFERROR(__xludf.DUMMYFUNCTION("""COMPUTED_VALUE"""),44843)</f>
        <v>44843</v>
      </c>
      <c r="F160" s="5" t="str">
        <f ca="1">IFERROR(__xludf.DUMMYFUNCTION("""COMPUTED_VALUE"""),"Walton Elementary School")</f>
        <v>Walton Elementary School</v>
      </c>
      <c r="G160" s="5">
        <f ca="1">IFERROR(__xludf.DUMMYFUNCTION("""COMPUTED_VALUE"""),0)</f>
        <v>0</v>
      </c>
      <c r="H160" s="5">
        <f ca="1">IFERROR(__xludf.DUMMYFUNCTION("""COMPUTED_VALUE"""),1)</f>
        <v>1</v>
      </c>
      <c r="I160" s="5">
        <f ca="1">IFERROR(__xludf.DUMMYFUNCTION("""COMPUTED_VALUE"""),1)</f>
        <v>1</v>
      </c>
      <c r="J160" s="5">
        <f ca="1">IFERROR(__xludf.DUMMYFUNCTION("""COMPUTED_VALUE"""),0)</f>
        <v>0</v>
      </c>
      <c r="K160" s="5" t="str">
        <f ca="1">IFERROR(__xludf.DUMMYFUNCTION("""COMPUTED_VALUE"""),"https://www.wmtw.com/article/police-man-shot-outside-auburn-elementary-school/41568253#
https://www.wabi.tv/2022/10/09/police-investigating-auburn-shooting-outside-elementary-school/")</f>
        <v>https://www.wmtw.com/article/police-man-shot-outside-auburn-elementary-school/41568253#
https://www.wabi.tv/2022/10/09/police-investigating-auburn-shooting-outside-elementary-school/</v>
      </c>
      <c r="L160" s="5">
        <f ca="1">IFERROR(__xludf.DUMMYFUNCTION("""COMPUTED_VALUE"""),5)</f>
        <v>5</v>
      </c>
      <c r="M160" s="5" t="str">
        <f ca="1">IFERROR(__xludf.DUMMYFUNCTION("""COMPUTED_VALUE"""),"Local")</f>
        <v>Local</v>
      </c>
      <c r="N160" s="5">
        <f ca="1">IFERROR(__xludf.DUMMYFUNCTION("""COMPUTED_VALUE"""),4)</f>
        <v>4</v>
      </c>
      <c r="O160" s="5" t="str">
        <f ca="1">IFERROR(__xludf.DUMMYFUNCTION("""COMPUTED_VALUE"""),"Fall")</f>
        <v>Fall</v>
      </c>
      <c r="P160" s="5" t="str">
        <f ca="1">IFERROR(__xludf.DUMMYFUNCTION("""COMPUTED_VALUE"""),"Auburn")</f>
        <v>Auburn</v>
      </c>
      <c r="Q160" s="5" t="str">
        <f ca="1">IFERROR(__xludf.DUMMYFUNCTION("""COMPUTED_VALUE"""),"MA")</f>
        <v>MA</v>
      </c>
      <c r="R160" s="5" t="str">
        <f ca="1">IFERROR(__xludf.DUMMYFUNCTION("""COMPUTED_VALUE"""),"Elementary")</f>
        <v>Elementary</v>
      </c>
      <c r="S160" s="5" t="str">
        <f ca="1">IFERROR(__xludf.DUMMYFUNCTION("""COMPUTED_VALUE"""),"Beside Building")</f>
        <v>Beside Building</v>
      </c>
      <c r="T160" s="5" t="str">
        <f ca="1">IFERROR(__xludf.DUMMYFUNCTION("""COMPUTED_VALUE"""),"Outside on School Property")</f>
        <v>Outside on School Property</v>
      </c>
      <c r="U160" s="5" t="str">
        <f ca="1">IFERROR(__xludf.DUMMYFUNCTION("""COMPUTED_VALUE"""),"No")</f>
        <v>No</v>
      </c>
      <c r="V160" s="5" t="str">
        <f ca="1">IFERROR(__xludf.DUMMYFUNCTION("""COMPUTED_VALUE"""),"Night")</f>
        <v>Night</v>
      </c>
      <c r="W160" s="10">
        <f ca="1">IFERROR(__xludf.DUMMYFUNCTION("""COMPUTED_VALUE"""),0.0833333333333333)</f>
        <v>8.3333333333333301E-2</v>
      </c>
      <c r="X160" s="5">
        <f ca="1">IFERROR(__xludf.DUMMYFUNCTION("""COMPUTED_VALUE"""),1)</f>
        <v>1</v>
      </c>
      <c r="Y160" s="5" t="str">
        <f ca="1">IFERROR(__xludf.DUMMYFUNCTION("""COMPUTED_VALUE"""),"Man shot near door to elementary school")</f>
        <v>Man shot near door to elementary school</v>
      </c>
      <c r="Z160" s="5" t="str">
        <f ca="1">IFERROR(__xludf.DUMMYFUNCTION("""COMPUTED_VALUE"""),"Auburn and Lewiston police are investigating a shooting that occurred Sunday morning outside an elementary school. Lewiston Police received the call around 2 a.m. from a man saying he’d been shot. Officers found the 20-year-old suffering from a gunshot wo"&amp;"und to his stomach. He was taken to Central Maine Medical Center with non-life-threatening injuries. Auburn Police say they found evidence of the shooting at the rear entrance at the Walton Elementary School.")</f>
        <v>Auburn and Lewiston police are investigating a shooting that occurred Sunday morning outside an elementary school. Lewiston Police received the call around 2 a.m. from a man saying he’d been shot. Officers found the 20-year-old suffering from a gunshot wound to his stomach. He was taken to Central Maine Medical Center with non-life-threatening injuries. Auburn Police say they found evidence of the shooting at the rear entrance at the Walton Elementary School.</v>
      </c>
      <c r="AA160" s="5"/>
      <c r="AB160" s="5"/>
      <c r="AC160" s="5" t="str">
        <f ca="1">IFERROR(__xludf.DUMMYFUNCTION("""COMPUTED_VALUE"""),"No")</f>
        <v>No</v>
      </c>
      <c r="AD160" s="5" t="str">
        <f ca="1">IFERROR(__xludf.DUMMYFUNCTION("""COMPUTED_VALUE"""),"No")</f>
        <v>No</v>
      </c>
      <c r="AE160" s="5" t="str">
        <f ca="1">IFERROR(__xludf.DUMMYFUNCTION("""COMPUTED_VALUE"""),"No")</f>
        <v>No</v>
      </c>
      <c r="AF160" s="5" t="str">
        <f ca="1">IFERROR(__xludf.DUMMYFUNCTION("""COMPUTED_VALUE"""),"No")</f>
        <v>No</v>
      </c>
      <c r="AG160" s="5" t="str">
        <f ca="1">IFERROR(__xludf.DUMMYFUNCTION("""COMPUTED_VALUE"""),"No")</f>
        <v>No</v>
      </c>
      <c r="AH160" s="5" t="str">
        <f ca="1">IFERROR(__xludf.DUMMYFUNCTION("""COMPUTED_VALUE"""),"No")</f>
        <v>No</v>
      </c>
      <c r="AI160" s="5"/>
      <c r="AJ160" s="5" t="str">
        <f ca="1">IFERROR(__xludf.DUMMYFUNCTION("""COMPUTED_VALUE"""),"No")</f>
        <v>No</v>
      </c>
    </row>
    <row r="161" spans="1:36" ht="13">
      <c r="A161" s="5" t="str">
        <f ca="1">IFERROR(__xludf.DUMMYFUNCTION("""COMPUTED_VALUE"""),"20221008MOJCK")</f>
        <v>20221008MOJCK</v>
      </c>
      <c r="B161" s="5">
        <f ca="1">IFERROR(__xludf.DUMMYFUNCTION("""COMPUTED_VALUE"""),10)</f>
        <v>10</v>
      </c>
      <c r="C161" s="5">
        <f ca="1">IFERROR(__xludf.DUMMYFUNCTION("""COMPUTED_VALUE"""),8)</f>
        <v>8</v>
      </c>
      <c r="D161" s="5">
        <f ca="1">IFERROR(__xludf.DUMMYFUNCTION("""COMPUTED_VALUE"""),2022)</f>
        <v>2022</v>
      </c>
      <c r="E161" s="8">
        <f ca="1">IFERROR(__xludf.DUMMYFUNCTION("""COMPUTED_VALUE"""),44842)</f>
        <v>44842</v>
      </c>
      <c r="F161" s="5" t="str">
        <f ca="1">IFERROR(__xludf.DUMMYFUNCTION("""COMPUTED_VALUE"""),"J. C. Harmon High School")</f>
        <v>J. C. Harmon High School</v>
      </c>
      <c r="G161" s="5">
        <f ca="1">IFERROR(__xludf.DUMMYFUNCTION("""COMPUTED_VALUE"""),0)</f>
        <v>0</v>
      </c>
      <c r="H161" s="5">
        <f ca="1">IFERROR(__xludf.DUMMYFUNCTION("""COMPUTED_VALUE"""),0)</f>
        <v>0</v>
      </c>
      <c r="I161" s="5">
        <f ca="1">IFERROR(__xludf.DUMMYFUNCTION("""COMPUTED_VALUE"""),0)</f>
        <v>0</v>
      </c>
      <c r="J161" s="5">
        <f ca="1">IFERROR(__xludf.DUMMYFUNCTION("""COMPUTED_VALUE"""),0)</f>
        <v>0</v>
      </c>
      <c r="K161" s="5" t="str">
        <f ca="1">IFERROR(__xludf.DUMMYFUNCTION("""COMPUTED_VALUE"""),"https://www.kshb.com/news/local-news/shots-fired-outside-j-c-harmon-high-school-homecoming-on-saturday
https://www.kmbc.com/article/jc-harmon-high-school-kansas-city-kansas-homecoming-shots-fired-parking-lot/41576357#")</f>
        <v>https://www.kshb.com/news/local-news/shots-fired-outside-j-c-harmon-high-school-homecoming-on-saturday
https://www.kmbc.com/article/jc-harmon-high-school-kansas-city-kansas-homecoming-shots-fired-parking-lot/41576357#</v>
      </c>
      <c r="L161" s="5">
        <f ca="1">IFERROR(__xludf.DUMMYFUNCTION("""COMPUTED_VALUE"""),5)</f>
        <v>5</v>
      </c>
      <c r="M161" s="5" t="str">
        <f ca="1">IFERROR(__xludf.DUMMYFUNCTION("""COMPUTED_VALUE"""),"Local")</f>
        <v>Local</v>
      </c>
      <c r="N161" s="5">
        <f ca="1">IFERROR(__xludf.DUMMYFUNCTION("""COMPUTED_VALUE"""),4)</f>
        <v>4</v>
      </c>
      <c r="O161" s="5" t="str">
        <f ca="1">IFERROR(__xludf.DUMMYFUNCTION("""COMPUTED_VALUE"""),"Fall")</f>
        <v>Fall</v>
      </c>
      <c r="P161" s="5" t="str">
        <f ca="1">IFERROR(__xludf.DUMMYFUNCTION("""COMPUTED_VALUE"""),"Kansas City")</f>
        <v>Kansas City</v>
      </c>
      <c r="Q161" s="5" t="str">
        <f ca="1">IFERROR(__xludf.DUMMYFUNCTION("""COMPUTED_VALUE"""),"MO")</f>
        <v>MO</v>
      </c>
      <c r="R161" s="5" t="str">
        <f ca="1">IFERROR(__xludf.DUMMYFUNCTION("""COMPUTED_VALUE"""),"High")</f>
        <v>High</v>
      </c>
      <c r="S161" s="5" t="str">
        <f ca="1">IFERROR(__xludf.DUMMYFUNCTION("""COMPUTED_VALUE"""),"Parking Lot")</f>
        <v>Parking Lot</v>
      </c>
      <c r="T161" s="5" t="str">
        <f ca="1">IFERROR(__xludf.DUMMYFUNCTION("""COMPUTED_VALUE"""),"Outside on School Property")</f>
        <v>Outside on School Property</v>
      </c>
      <c r="U161" s="5" t="str">
        <f ca="1">IFERROR(__xludf.DUMMYFUNCTION("""COMPUTED_VALUE"""),"No")</f>
        <v>No</v>
      </c>
      <c r="V161" s="5" t="str">
        <f ca="1">IFERROR(__xludf.DUMMYFUNCTION("""COMPUTED_VALUE"""),"School Event")</f>
        <v>School Event</v>
      </c>
      <c r="W161" s="10">
        <f ca="1">IFERROR(__xludf.DUMMYFUNCTION("""COMPUTED_VALUE"""),0.888888888888888)</f>
        <v>0.88888888888888795</v>
      </c>
      <c r="X161" s="5">
        <f ca="1">IFERROR(__xludf.DUMMYFUNCTION("""COMPUTED_VALUE"""),1)</f>
        <v>1</v>
      </c>
      <c r="Y161" s="5" t="str">
        <f ca="1">IFERROR(__xludf.DUMMYFUNCTION("""COMPUTED_VALUE"""),"Shots fired in parking lot during homecoming dance")</f>
        <v>Shots fired in parking lot during homecoming dance</v>
      </c>
      <c r="Z161" s="5" t="str">
        <f ca="1">IFERROR(__xludf.DUMMYFUNCTION("""COMPUTED_VALUE"""),"Following multiple fights, school officials dismissed students from the homecoming dance. Shots were fired in the parking lot. No injuries.")</f>
        <v>Following multiple fights, school officials dismissed students from the homecoming dance. Shots were fired in the parking lot. No injuries.</v>
      </c>
      <c r="AA161" s="5" t="str">
        <f ca="1">IFERROR(__xludf.DUMMYFUNCTION("""COMPUTED_VALUE"""),"Escalation of Dispute")</f>
        <v>Escalation of Dispute</v>
      </c>
      <c r="AB161" s="5"/>
      <c r="AC161" s="5" t="str">
        <f ca="1">IFERROR(__xludf.DUMMYFUNCTION("""COMPUTED_VALUE"""),"No")</f>
        <v>No</v>
      </c>
      <c r="AD161" s="5" t="str">
        <f ca="1">IFERROR(__xludf.DUMMYFUNCTION("""COMPUTED_VALUE"""),"No")</f>
        <v>No</v>
      </c>
      <c r="AE161" s="5" t="str">
        <f ca="1">IFERROR(__xludf.DUMMYFUNCTION("""COMPUTED_VALUE"""),"No")</f>
        <v>No</v>
      </c>
      <c r="AF161" s="5" t="str">
        <f ca="1">IFERROR(__xludf.DUMMYFUNCTION("""COMPUTED_VALUE"""),"No")</f>
        <v>No</v>
      </c>
      <c r="AG161" s="5" t="str">
        <f ca="1">IFERROR(__xludf.DUMMYFUNCTION("""COMPUTED_VALUE"""),"No")</f>
        <v>No</v>
      </c>
      <c r="AH161" s="5" t="str">
        <f ca="1">IFERROR(__xludf.DUMMYFUNCTION("""COMPUTED_VALUE"""),"No")</f>
        <v>No</v>
      </c>
      <c r="AI161" s="5"/>
      <c r="AJ161" s="5" t="str">
        <f ca="1">IFERROR(__xludf.DUMMYFUNCTION("""COMPUTED_VALUE"""),"No")</f>
        <v>No</v>
      </c>
    </row>
    <row r="162" spans="1:36" ht="13">
      <c r="A162" s="5" t="str">
        <f ca="1">IFERROR(__xludf.DUMMYFUNCTION("""COMPUTED_VALUE"""),"20221007AZCAP")</f>
        <v>20221007AZCAP</v>
      </c>
      <c r="B162" s="5">
        <f ca="1">IFERROR(__xludf.DUMMYFUNCTION("""COMPUTED_VALUE"""),10)</f>
        <v>10</v>
      </c>
      <c r="C162" s="5">
        <f ca="1">IFERROR(__xludf.DUMMYFUNCTION("""COMPUTED_VALUE"""),7)</f>
        <v>7</v>
      </c>
      <c r="D162" s="5">
        <f ca="1">IFERROR(__xludf.DUMMYFUNCTION("""COMPUTED_VALUE"""),2022)</f>
        <v>2022</v>
      </c>
      <c r="E162" s="8">
        <f ca="1">IFERROR(__xludf.DUMMYFUNCTION("""COMPUTED_VALUE"""),44841)</f>
        <v>44841</v>
      </c>
      <c r="F162" s="5" t="str">
        <f ca="1">IFERROR(__xludf.DUMMYFUNCTION("""COMPUTED_VALUE"""),"Carl Hayden Community High School")</f>
        <v>Carl Hayden Community High School</v>
      </c>
      <c r="G162" s="5">
        <f ca="1">IFERROR(__xludf.DUMMYFUNCTION("""COMPUTED_VALUE"""),0)</f>
        <v>0</v>
      </c>
      <c r="H162" s="5">
        <f ca="1">IFERROR(__xludf.DUMMYFUNCTION("""COMPUTED_VALUE"""),0)</f>
        <v>0</v>
      </c>
      <c r="I162" s="5">
        <f ca="1">IFERROR(__xludf.DUMMYFUNCTION("""COMPUTED_VALUE"""),0)</f>
        <v>0</v>
      </c>
      <c r="J162" s="5">
        <f ca="1">IFERROR(__xludf.DUMMYFUNCTION("""COMPUTED_VALUE"""),0)</f>
        <v>0</v>
      </c>
      <c r="K162" s="9" t="str">
        <f ca="1">IFERROR(__xludf.DUMMYFUNCTION("""COMPUTED_VALUE"""),"https://www.azfamily.com/2022/10/08/witnesses-report-shots-fired-during-high-school-football-game-phoenix/
https://news.scorebooklive.com/national/2022/10/08/shooting-at-arizona-high-school-football-game-forces-evacuation-to-auditorium")</f>
        <v>https://www.azfamily.com/2022/10/08/witnesses-report-shots-fired-during-high-school-football-game-phoenix/
https://news.scorebooklive.com/national/2022/10/08/shooting-at-arizona-high-school-football-game-forces-evacuation-to-auditorium</v>
      </c>
      <c r="L162" s="5">
        <f ca="1">IFERROR(__xludf.DUMMYFUNCTION("""COMPUTED_VALUE"""),10)</f>
        <v>10</v>
      </c>
      <c r="M162" s="5" t="str">
        <f ca="1">IFERROR(__xludf.DUMMYFUNCTION("""COMPUTED_VALUE"""),"Regional")</f>
        <v>Regional</v>
      </c>
      <c r="N162" s="5">
        <f ca="1">IFERROR(__xludf.DUMMYFUNCTION("""COMPUTED_VALUE"""),4)</f>
        <v>4</v>
      </c>
      <c r="O162" s="5" t="str">
        <f ca="1">IFERROR(__xludf.DUMMYFUNCTION("""COMPUTED_VALUE"""),"Fall")</f>
        <v>Fall</v>
      </c>
      <c r="P162" s="5" t="str">
        <f ca="1">IFERROR(__xludf.DUMMYFUNCTION("""COMPUTED_VALUE"""),"Phoenix")</f>
        <v>Phoenix</v>
      </c>
      <c r="Q162" s="5" t="str">
        <f ca="1">IFERROR(__xludf.DUMMYFUNCTION("""COMPUTED_VALUE"""),"AZ")</f>
        <v>AZ</v>
      </c>
      <c r="R162" s="5" t="str">
        <f ca="1">IFERROR(__xludf.DUMMYFUNCTION("""COMPUTED_VALUE"""),"High")</f>
        <v>High</v>
      </c>
      <c r="S162" s="5" t="str">
        <f ca="1">IFERROR(__xludf.DUMMYFUNCTION("""COMPUTED_VALUE"""),"Football Field/Track")</f>
        <v>Football Field/Track</v>
      </c>
      <c r="T162" s="5" t="str">
        <f ca="1">IFERROR(__xludf.DUMMYFUNCTION("""COMPUTED_VALUE"""),"Outside on School Property")</f>
        <v>Outside on School Property</v>
      </c>
      <c r="U162" s="5" t="str">
        <f ca="1">IFERROR(__xludf.DUMMYFUNCTION("""COMPUTED_VALUE"""),"No")</f>
        <v>No</v>
      </c>
      <c r="V162" s="5" t="str">
        <f ca="1">IFERROR(__xludf.DUMMYFUNCTION("""COMPUTED_VALUE"""),"Sport Event")</f>
        <v>Sport Event</v>
      </c>
      <c r="W162" s="10">
        <f ca="1">IFERROR(__xludf.DUMMYFUNCTION("""COMPUTED_VALUE"""),0.875)</f>
        <v>0.875</v>
      </c>
      <c r="X162" s="5">
        <f ca="1">IFERROR(__xludf.DUMMYFUNCTION("""COMPUTED_VALUE"""),1)</f>
        <v>1</v>
      </c>
      <c r="Y162" s="5" t="str">
        <f ca="1">IFERROR(__xludf.DUMMYFUNCTION("""COMPUTED_VALUE"""),"Shots fired near the football stadium during game")</f>
        <v>Shots fired near the football stadium during game</v>
      </c>
      <c r="Z162" s="5" t="str">
        <f ca="1">IFERROR(__xludf.DUMMYFUNCTION("""COMPUTED_VALUE"""),"Shots were reportedly fired outside of Carl Hayden High School during a football game Friday night. People in attendance of the football game say that everyone in the stadium was ordered to the ground after gunfire was heard.")</f>
        <v>Shots were reportedly fired outside of Carl Hayden High School during a football game Friday night. People in attendance of the football game say that everyone in the stadium was ordered to the ground after gunfire was heard.</v>
      </c>
      <c r="AA162" s="5"/>
      <c r="AB162" s="5"/>
      <c r="AC162" s="5" t="str">
        <f ca="1">IFERROR(__xludf.DUMMYFUNCTION("""COMPUTED_VALUE"""),"No")</f>
        <v>No</v>
      </c>
      <c r="AD162" s="5" t="str">
        <f ca="1">IFERROR(__xludf.DUMMYFUNCTION("""COMPUTED_VALUE"""),"No")</f>
        <v>No</v>
      </c>
      <c r="AE162" s="5" t="str">
        <f ca="1">IFERROR(__xludf.DUMMYFUNCTION("""COMPUTED_VALUE"""),"No")</f>
        <v>No</v>
      </c>
      <c r="AF162" s="5" t="str">
        <f ca="1">IFERROR(__xludf.DUMMYFUNCTION("""COMPUTED_VALUE"""),"No")</f>
        <v>No</v>
      </c>
      <c r="AG162" s="5" t="str">
        <f ca="1">IFERROR(__xludf.DUMMYFUNCTION("""COMPUTED_VALUE"""),"No")</f>
        <v>No</v>
      </c>
      <c r="AH162" s="5" t="str">
        <f ca="1">IFERROR(__xludf.DUMMYFUNCTION("""COMPUTED_VALUE"""),"No")</f>
        <v>No</v>
      </c>
      <c r="AI162" s="5"/>
      <c r="AJ162" s="5" t="str">
        <f ca="1">IFERROR(__xludf.DUMMYFUNCTION("""COMPUTED_VALUE"""),"No")</f>
        <v>No</v>
      </c>
    </row>
    <row r="163" spans="1:36" ht="13">
      <c r="A163" s="5" t="str">
        <f ca="1">IFERROR(__xludf.DUMMYFUNCTION("""COMPUTED_VALUE"""),"20221007OHWHT")</f>
        <v>20221007OHWHT</v>
      </c>
      <c r="B163" s="5">
        <f ca="1">IFERROR(__xludf.DUMMYFUNCTION("""COMPUTED_VALUE"""),10)</f>
        <v>10</v>
      </c>
      <c r="C163" s="5">
        <f ca="1">IFERROR(__xludf.DUMMYFUNCTION("""COMPUTED_VALUE"""),7)</f>
        <v>7</v>
      </c>
      <c r="D163" s="5">
        <f ca="1">IFERROR(__xludf.DUMMYFUNCTION("""COMPUTED_VALUE"""),2022)</f>
        <v>2022</v>
      </c>
      <c r="E163" s="8">
        <f ca="1">IFERROR(__xludf.DUMMYFUNCTION("""COMPUTED_VALUE"""),44841)</f>
        <v>44841</v>
      </c>
      <c r="F163" s="5" t="str">
        <f ca="1">IFERROR(__xludf.DUMMYFUNCTION("""COMPUTED_VALUE"""),"Whitmer High School")</f>
        <v>Whitmer High School</v>
      </c>
      <c r="G163" s="5">
        <f ca="1">IFERROR(__xludf.DUMMYFUNCTION("""COMPUTED_VALUE"""),0)</f>
        <v>0</v>
      </c>
      <c r="H163" s="5">
        <f ca="1">IFERROR(__xludf.DUMMYFUNCTION("""COMPUTED_VALUE"""),3)</f>
        <v>3</v>
      </c>
      <c r="I163" s="5">
        <f ca="1">IFERROR(__xludf.DUMMYFUNCTION("""COMPUTED_VALUE"""),3)</f>
        <v>3</v>
      </c>
      <c r="J163" s="5">
        <f ca="1">IFERROR(__xludf.DUMMYFUNCTION("""COMPUTED_VALUE"""),0)</f>
        <v>0</v>
      </c>
      <c r="K163" s="9" t="str">
        <f ca="1">IFERROR(__xludf.DUMMYFUNCTION("""COMPUTED_VALUE"""),"https://www.wtol.com/article/news/local/shooting-whitmer-high-school-stadium-during-football-game/512-b90d93d2-707b-4846-9430-89e243b3af52
https://apnews.com/article/sports-football-shootings-ohio-high-school-da5e242248f3a8cfa21765123ef32a5d")</f>
        <v>https://www.wtol.com/article/news/local/shooting-whitmer-high-school-stadium-during-football-game/512-b90d93d2-707b-4846-9430-89e243b3af52
https://apnews.com/article/sports-football-shootings-ohio-high-school-da5e242248f3a8cfa21765123ef32a5d</v>
      </c>
      <c r="L163" s="5">
        <f ca="1">IFERROR(__xludf.DUMMYFUNCTION("""COMPUTED_VALUE"""),100)</f>
        <v>100</v>
      </c>
      <c r="M163" s="5" t="str">
        <f ca="1">IFERROR(__xludf.DUMMYFUNCTION("""COMPUTED_VALUE"""),"National")</f>
        <v>National</v>
      </c>
      <c r="N163" s="5">
        <f ca="1">IFERROR(__xludf.DUMMYFUNCTION("""COMPUTED_VALUE"""),4)</f>
        <v>4</v>
      </c>
      <c r="O163" s="5" t="str">
        <f ca="1">IFERROR(__xludf.DUMMYFUNCTION("""COMPUTED_VALUE"""),"Fall")</f>
        <v>Fall</v>
      </c>
      <c r="P163" s="5" t="str">
        <f ca="1">IFERROR(__xludf.DUMMYFUNCTION("""COMPUTED_VALUE"""),"Toledo")</f>
        <v>Toledo</v>
      </c>
      <c r="Q163" s="5" t="str">
        <f ca="1">IFERROR(__xludf.DUMMYFUNCTION("""COMPUTED_VALUE"""),"OH")</f>
        <v>OH</v>
      </c>
      <c r="R163" s="5" t="str">
        <f ca="1">IFERROR(__xludf.DUMMYFUNCTION("""COMPUTED_VALUE"""),"High")</f>
        <v>High</v>
      </c>
      <c r="S163" s="5" t="str">
        <f ca="1">IFERROR(__xludf.DUMMYFUNCTION("""COMPUTED_VALUE"""),"Football Field/Track")</f>
        <v>Football Field/Track</v>
      </c>
      <c r="T163" s="5" t="str">
        <f ca="1">IFERROR(__xludf.DUMMYFUNCTION("""COMPUTED_VALUE"""),"Outside on School Property")</f>
        <v>Outside on School Property</v>
      </c>
      <c r="U163" s="5" t="str">
        <f ca="1">IFERROR(__xludf.DUMMYFUNCTION("""COMPUTED_VALUE"""),"No")</f>
        <v>No</v>
      </c>
      <c r="V163" s="5" t="str">
        <f ca="1">IFERROR(__xludf.DUMMYFUNCTION("""COMPUTED_VALUE"""),"Sport Event")</f>
        <v>Sport Event</v>
      </c>
      <c r="W163" s="10">
        <f ca="1">IFERROR(__xludf.DUMMYFUNCTION("""COMPUTED_VALUE"""),0.895833333333333)</f>
        <v>0.89583333333333304</v>
      </c>
      <c r="X163" s="5">
        <f ca="1">IFERROR(__xludf.DUMMYFUNCTION("""COMPUTED_VALUE"""),1)</f>
        <v>1</v>
      </c>
      <c r="Y163" s="5" t="str">
        <f ca="1">IFERROR(__xludf.DUMMYFUNCTION("""COMPUTED_VALUE"""),"Shots fired during fight near the gate to the football stadium")</f>
        <v>Shots fired during fight near the gate to the football stadium</v>
      </c>
      <c r="Z163" s="5" t="str">
        <f ca="1">IFERROR(__xludf.DUMMYFUNCTION("""COMPUTED_VALUE"""),"A Whitmer High School student and two adults -- one male, one female -- were shot outside of the Whitmer High School football stadium Friday night. More than 12 gunshots were heard at the southwest corner stadium near the main entrance during the game and"&amp;" people in the stands were seen fleeing. Several bullet casings were seen scattered on the ground behind the field house.")</f>
        <v>A Whitmer High School student and two adults -- one male, one female -- were shot outside of the Whitmer High School football stadium Friday night. More than 12 gunshots were heard at the southwest corner stadium near the main entrance during the game and people in the stands were seen fleeing. Several bullet casings were seen scattered on the ground behind the field house.</v>
      </c>
      <c r="AA163" s="5" t="str">
        <f ca="1">IFERROR(__xludf.DUMMYFUNCTION("""COMPUTED_VALUE"""),"Escalation of Dispute")</f>
        <v>Escalation of Dispute</v>
      </c>
      <c r="AB163" s="5" t="str">
        <f ca="1">IFERROR(__xludf.DUMMYFUNCTION("""COMPUTED_VALUE"""),"Both")</f>
        <v>Both</v>
      </c>
      <c r="AC163" s="5" t="str">
        <f ca="1">IFERROR(__xludf.DUMMYFUNCTION("""COMPUTED_VALUE"""),"No")</f>
        <v>No</v>
      </c>
      <c r="AD163" s="5" t="str">
        <f ca="1">IFERROR(__xludf.DUMMYFUNCTION("""COMPUTED_VALUE"""),"No")</f>
        <v>No</v>
      </c>
      <c r="AE163" s="5" t="str">
        <f ca="1">IFERROR(__xludf.DUMMYFUNCTION("""COMPUTED_VALUE"""),"No")</f>
        <v>No</v>
      </c>
      <c r="AF163" s="5" t="str">
        <f ca="1">IFERROR(__xludf.DUMMYFUNCTION("""COMPUTED_VALUE"""),"No")</f>
        <v>No</v>
      </c>
      <c r="AG163" s="5" t="str">
        <f ca="1">IFERROR(__xludf.DUMMYFUNCTION("""COMPUTED_VALUE"""),"No")</f>
        <v>No</v>
      </c>
      <c r="AH163" s="5" t="str">
        <f ca="1">IFERROR(__xludf.DUMMYFUNCTION("""COMPUTED_VALUE"""),"No")</f>
        <v>No</v>
      </c>
      <c r="AI163" s="5" t="str">
        <f ca="1">IFERROR(__xludf.DUMMYFUNCTION("""COMPUTED_VALUE"""),"No")</f>
        <v>No</v>
      </c>
      <c r="AJ163" s="5" t="str">
        <f ca="1">IFERROR(__xludf.DUMMYFUNCTION("""COMPUTED_VALUE"""),"No")</f>
        <v>No</v>
      </c>
    </row>
    <row r="164" spans="1:36" ht="13">
      <c r="A164" s="5" t="str">
        <f ca="1">IFERROR(__xludf.DUMMYFUNCTION("""COMPUTED_VALUE"""),"20221007MIBAB")</f>
        <v>20221007MIBAB</v>
      </c>
      <c r="B164" s="5">
        <f ca="1">IFERROR(__xludf.DUMMYFUNCTION("""COMPUTED_VALUE"""),10)</f>
        <v>10</v>
      </c>
      <c r="C164" s="5">
        <f ca="1">IFERROR(__xludf.DUMMYFUNCTION("""COMPUTED_VALUE"""),7)</f>
        <v>7</v>
      </c>
      <c r="D164" s="5">
        <f ca="1">IFERROR(__xludf.DUMMYFUNCTION("""COMPUTED_VALUE"""),2022)</f>
        <v>2022</v>
      </c>
      <c r="E164" s="8">
        <f ca="1">IFERROR(__xludf.DUMMYFUNCTION("""COMPUTED_VALUE"""),44841)</f>
        <v>44841</v>
      </c>
      <c r="F164" s="5" t="str">
        <f ca="1">IFERROR(__xludf.DUMMYFUNCTION("""COMPUTED_VALUE"""),"Battle Creek High School")</f>
        <v>Battle Creek High School</v>
      </c>
      <c r="G164" s="5">
        <f ca="1">IFERROR(__xludf.DUMMYFUNCTION("""COMPUTED_VALUE"""),0)</f>
        <v>0</v>
      </c>
      <c r="H164" s="5">
        <f ca="1">IFERROR(__xludf.DUMMYFUNCTION("""COMPUTED_VALUE"""),0)</f>
        <v>0</v>
      </c>
      <c r="I164" s="5">
        <f ca="1">IFERROR(__xludf.DUMMYFUNCTION("""COMPUTED_VALUE"""),0)</f>
        <v>0</v>
      </c>
      <c r="J164" s="5">
        <f ca="1">IFERROR(__xludf.DUMMYFUNCTION("""COMPUTED_VALUE"""),0)</f>
        <v>0</v>
      </c>
      <c r="K164" s="5" t="str">
        <f ca="1">IFERROR(__xludf.DUMMYFUNCTION("""COMPUTED_VALUE"""),"https://wwmt.com/news/local/battle-creek-central-shooting-cw-post-field-stadium-football-game-kalamazoo-central-high-school-police-shots-fired
https://www.woodtv.com/news/shots-fired-outside-battle-creek-central-football-game/")</f>
        <v>https://wwmt.com/news/local/battle-creek-central-shooting-cw-post-field-stadium-football-game-kalamazoo-central-high-school-police-shots-fired
https://www.woodtv.com/news/shots-fired-outside-battle-creek-central-football-game/</v>
      </c>
      <c r="L164" s="5">
        <f ca="1">IFERROR(__xludf.DUMMYFUNCTION("""COMPUTED_VALUE"""),5)</f>
        <v>5</v>
      </c>
      <c r="M164" s="5" t="str">
        <f ca="1">IFERROR(__xludf.DUMMYFUNCTION("""COMPUTED_VALUE"""),"Local")</f>
        <v>Local</v>
      </c>
      <c r="N164" s="5">
        <f ca="1">IFERROR(__xludf.DUMMYFUNCTION("""COMPUTED_VALUE"""),4)</f>
        <v>4</v>
      </c>
      <c r="O164" s="5" t="str">
        <f ca="1">IFERROR(__xludf.DUMMYFUNCTION("""COMPUTED_VALUE"""),"Fall")</f>
        <v>Fall</v>
      </c>
      <c r="P164" s="5" t="str">
        <f ca="1">IFERROR(__xludf.DUMMYFUNCTION("""COMPUTED_VALUE"""),"Battle Creek")</f>
        <v>Battle Creek</v>
      </c>
      <c r="Q164" s="5" t="str">
        <f ca="1">IFERROR(__xludf.DUMMYFUNCTION("""COMPUTED_VALUE"""),"MI")</f>
        <v>MI</v>
      </c>
      <c r="R164" s="5" t="str">
        <f ca="1">IFERROR(__xludf.DUMMYFUNCTION("""COMPUTED_VALUE"""),"High")</f>
        <v>High</v>
      </c>
      <c r="S164" s="5" t="str">
        <f ca="1">IFERROR(__xludf.DUMMYFUNCTION("""COMPUTED_VALUE"""),"Parking Lot")</f>
        <v>Parking Lot</v>
      </c>
      <c r="T164" s="5" t="str">
        <f ca="1">IFERROR(__xludf.DUMMYFUNCTION("""COMPUTED_VALUE"""),"Outside on School Property")</f>
        <v>Outside on School Property</v>
      </c>
      <c r="U164" s="5" t="str">
        <f ca="1">IFERROR(__xludf.DUMMYFUNCTION("""COMPUTED_VALUE"""),"No")</f>
        <v>No</v>
      </c>
      <c r="V164" s="5" t="str">
        <f ca="1">IFERROR(__xludf.DUMMYFUNCTION("""COMPUTED_VALUE"""),"Sport Event")</f>
        <v>Sport Event</v>
      </c>
      <c r="W164" s="10">
        <f ca="1">IFERROR(__xludf.DUMMYFUNCTION("""COMPUTED_VALUE"""),0.875)</f>
        <v>0.875</v>
      </c>
      <c r="X164" s="5">
        <f ca="1">IFERROR(__xludf.DUMMYFUNCTION("""COMPUTED_VALUE"""),1)</f>
        <v>1</v>
      </c>
      <c r="Y164" s="5" t="str">
        <f ca="1">IFERROR(__xludf.DUMMYFUNCTION("""COMPUTED_VALUE"""),"Shots fired during football game")</f>
        <v>Shots fired during football game</v>
      </c>
      <c r="Z164" s="5" t="str">
        <f ca="1">IFERROR(__xludf.DUMMYFUNCTION("""COMPUTED_VALUE"""),"Five to six shots were fired at the Battle Creek Central football game at the C.W. Post Field Stadium Friday around 9:40 p.m., according to Battle Creek Police. Officers assigned to the local football games said they heard shots fired in the area of Champ"&amp;"ion and West Streets, police said. The shots are believed to come from a vehicle in the stadium parking lot, no one was hit or injured, police said. Shell casing found in school parking lot.")</f>
        <v>Five to six shots were fired at the Battle Creek Central football game at the C.W. Post Field Stadium Friday around 9:40 p.m., according to Battle Creek Police. Officers assigned to the local football games said they heard shots fired in the area of Champion and West Streets, police said. The shots are believed to come from a vehicle in the stadium parking lot, no one was hit or injured, police said. Shell casing found in school parking lot.</v>
      </c>
      <c r="AA164" s="5" t="str">
        <f ca="1">IFERROR(__xludf.DUMMYFUNCTION("""COMPUTED_VALUE"""),"Drive-by Shooting")</f>
        <v>Drive-by Shooting</v>
      </c>
      <c r="AB164" s="5"/>
      <c r="AC164" s="5" t="str">
        <f ca="1">IFERROR(__xludf.DUMMYFUNCTION("""COMPUTED_VALUE"""),"No")</f>
        <v>No</v>
      </c>
      <c r="AD164" s="5" t="str">
        <f ca="1">IFERROR(__xludf.DUMMYFUNCTION("""COMPUTED_VALUE"""),"No")</f>
        <v>No</v>
      </c>
      <c r="AE164" s="5" t="str">
        <f ca="1">IFERROR(__xludf.DUMMYFUNCTION("""COMPUTED_VALUE"""),"No")</f>
        <v>No</v>
      </c>
      <c r="AF164" s="5" t="str">
        <f ca="1">IFERROR(__xludf.DUMMYFUNCTION("""COMPUTED_VALUE"""),"No")</f>
        <v>No</v>
      </c>
      <c r="AG164" s="5" t="str">
        <f ca="1">IFERROR(__xludf.DUMMYFUNCTION("""COMPUTED_VALUE"""),"No")</f>
        <v>No</v>
      </c>
      <c r="AH164" s="5" t="str">
        <f ca="1">IFERROR(__xludf.DUMMYFUNCTION("""COMPUTED_VALUE"""),"No")</f>
        <v>No</v>
      </c>
      <c r="AI164" s="5"/>
      <c r="AJ164" s="5" t="str">
        <f ca="1">IFERROR(__xludf.DUMMYFUNCTION("""COMPUTED_VALUE"""),"No")</f>
        <v>No</v>
      </c>
    </row>
    <row r="165" spans="1:36" ht="13">
      <c r="A165" s="5" t="str">
        <f ca="1">IFERROR(__xludf.DUMMYFUNCTION("""COMPUTED_VALUE"""),"20221007NCJHG")</f>
        <v>20221007NCJHG</v>
      </c>
      <c r="B165" s="5">
        <f ca="1">IFERROR(__xludf.DUMMYFUNCTION("""COMPUTED_VALUE"""),10)</f>
        <v>10</v>
      </c>
      <c r="C165" s="5">
        <f ca="1">IFERROR(__xludf.DUMMYFUNCTION("""COMPUTED_VALUE"""),7)</f>
        <v>7</v>
      </c>
      <c r="D165" s="5">
        <f ca="1">IFERROR(__xludf.DUMMYFUNCTION("""COMPUTED_VALUE"""),2022)</f>
        <v>2022</v>
      </c>
      <c r="E165" s="8">
        <f ca="1">IFERROR(__xludf.DUMMYFUNCTION("""COMPUTED_VALUE"""),44841)</f>
        <v>44841</v>
      </c>
      <c r="F165" s="5" t="str">
        <f ca="1">IFERROR(__xludf.DUMMYFUNCTION("""COMPUTED_VALUE"""),"J. H. Rose High School")</f>
        <v>J. H. Rose High School</v>
      </c>
      <c r="G165" s="5">
        <f ca="1">IFERROR(__xludf.DUMMYFUNCTION("""COMPUTED_VALUE"""),0)</f>
        <v>0</v>
      </c>
      <c r="H165" s="5">
        <f ca="1">IFERROR(__xludf.DUMMYFUNCTION("""COMPUTED_VALUE"""),1)</f>
        <v>1</v>
      </c>
      <c r="I165" s="5">
        <f ca="1">IFERROR(__xludf.DUMMYFUNCTION("""COMPUTED_VALUE"""),1)</f>
        <v>1</v>
      </c>
      <c r="J165" s="5">
        <f ca="1">IFERROR(__xludf.DUMMYFUNCTION("""COMPUTED_VALUE"""),0)</f>
        <v>0</v>
      </c>
      <c r="K165" s="9" t="str">
        <f ca="1">IFERROR(__xludf.DUMMYFUNCTION("""COMPUTED_VALUE"""),"https://www.witn.com/2022/10/08/student-shot-following-greenville-high-school-football-game/")</f>
        <v>https://www.witn.com/2022/10/08/student-shot-following-greenville-high-school-football-game/</v>
      </c>
      <c r="L165" s="5">
        <f ca="1">IFERROR(__xludf.DUMMYFUNCTION("""COMPUTED_VALUE"""),1)</f>
        <v>1</v>
      </c>
      <c r="M165" s="5" t="str">
        <f ca="1">IFERROR(__xludf.DUMMYFUNCTION("""COMPUTED_VALUE"""),"Local")</f>
        <v>Local</v>
      </c>
      <c r="N165" s="5">
        <f ca="1">IFERROR(__xludf.DUMMYFUNCTION("""COMPUTED_VALUE"""),4)</f>
        <v>4</v>
      </c>
      <c r="O165" s="5" t="str">
        <f ca="1">IFERROR(__xludf.DUMMYFUNCTION("""COMPUTED_VALUE"""),"Fall")</f>
        <v>Fall</v>
      </c>
      <c r="P165" s="5" t="str">
        <f ca="1">IFERROR(__xludf.DUMMYFUNCTION("""COMPUTED_VALUE"""),"Greenville")</f>
        <v>Greenville</v>
      </c>
      <c r="Q165" s="5" t="str">
        <f ca="1">IFERROR(__xludf.DUMMYFUNCTION("""COMPUTED_VALUE"""),"NC")</f>
        <v>NC</v>
      </c>
      <c r="R165" s="5" t="str">
        <f ca="1">IFERROR(__xludf.DUMMYFUNCTION("""COMPUTED_VALUE"""),"High")</f>
        <v>High</v>
      </c>
      <c r="S165" s="5" t="str">
        <f ca="1">IFERROR(__xludf.DUMMYFUNCTION("""COMPUTED_VALUE"""),"Football Field/Track")</f>
        <v>Football Field/Track</v>
      </c>
      <c r="T165" s="5" t="str">
        <f ca="1">IFERROR(__xludf.DUMMYFUNCTION("""COMPUTED_VALUE"""),"Outside on School Property")</f>
        <v>Outside on School Property</v>
      </c>
      <c r="U165" s="5" t="str">
        <f ca="1">IFERROR(__xludf.DUMMYFUNCTION("""COMPUTED_VALUE"""),"No")</f>
        <v>No</v>
      </c>
      <c r="V165" s="5" t="str">
        <f ca="1">IFERROR(__xludf.DUMMYFUNCTION("""COMPUTED_VALUE"""),"Sport Event")</f>
        <v>Sport Event</v>
      </c>
      <c r="W165" s="10">
        <f ca="1">IFERROR(__xludf.DUMMYFUNCTION("""COMPUTED_VALUE"""),0.875)</f>
        <v>0.875</v>
      </c>
      <c r="X165" s="5">
        <f ca="1">IFERROR(__xludf.DUMMYFUNCTION("""COMPUTED_VALUE"""),1)</f>
        <v>1</v>
      </c>
      <c r="Y165" s="5" t="str">
        <f ca="1">IFERROR(__xludf.DUMMYFUNCTION("""COMPUTED_VALUE"""),"Student shot near football field during game")</f>
        <v>Student shot near football field during game</v>
      </c>
      <c r="Z165" s="5" t="str">
        <f ca="1">IFERROR(__xludf.DUMMYFUNCTION("""COMPUTED_VALUE"""),"Greenville Police Department responded to the Arlington Boulevard and Hooker Road area around 9 p.m. Friday night. They received a call of gunshots being fired. Later, a 17-year-old teen reported to police that he had been shot in the leg. Greenville PD s"&amp;"aid that the victim did attend the game at Rose High School. The shooting did not happen at the football field. Police say he was shot while walking outside of the athletic fields.")</f>
        <v>Greenville Police Department responded to the Arlington Boulevard and Hooker Road area around 9 p.m. Friday night. They received a call of gunshots being fired. Later, a 17-year-old teen reported to police that he had been shot in the leg. Greenville PD said that the victim did attend the game at Rose High School. The shooting did not happen at the football field. Police say he was shot while walking outside of the athletic fields.</v>
      </c>
      <c r="AA165" s="5"/>
      <c r="AB165" s="5"/>
      <c r="AC165" s="5" t="str">
        <f ca="1">IFERROR(__xludf.DUMMYFUNCTION("""COMPUTED_VALUE"""),"No")</f>
        <v>No</v>
      </c>
      <c r="AD165" s="5" t="str">
        <f ca="1">IFERROR(__xludf.DUMMYFUNCTION("""COMPUTED_VALUE"""),"No")</f>
        <v>No</v>
      </c>
      <c r="AE165" s="5" t="str">
        <f ca="1">IFERROR(__xludf.DUMMYFUNCTION("""COMPUTED_VALUE"""),"No")</f>
        <v>No</v>
      </c>
      <c r="AF165" s="5" t="str">
        <f ca="1">IFERROR(__xludf.DUMMYFUNCTION("""COMPUTED_VALUE"""),"No")</f>
        <v>No</v>
      </c>
      <c r="AG165" s="5" t="str">
        <f ca="1">IFERROR(__xludf.DUMMYFUNCTION("""COMPUTED_VALUE"""),"No")</f>
        <v>No</v>
      </c>
      <c r="AH165" s="5" t="str">
        <f ca="1">IFERROR(__xludf.DUMMYFUNCTION("""COMPUTED_VALUE"""),"No")</f>
        <v>No</v>
      </c>
      <c r="AI165" s="5"/>
      <c r="AJ165" s="5" t="str">
        <f ca="1">IFERROR(__xludf.DUMMYFUNCTION("""COMPUTED_VALUE"""),"No")</f>
        <v>No</v>
      </c>
    </row>
    <row r="166" spans="1:36" ht="13">
      <c r="A166" s="5" t="str">
        <f ca="1">IFERROR(__xludf.DUMMYFUNCTION("""COMPUTED_VALUE"""),"20221006OHMAC")</f>
        <v>20221006OHMAC</v>
      </c>
      <c r="B166" s="5">
        <f ca="1">IFERROR(__xludf.DUMMYFUNCTION("""COMPUTED_VALUE"""),10)</f>
        <v>10</v>
      </c>
      <c r="C166" s="5">
        <f ca="1">IFERROR(__xludf.DUMMYFUNCTION("""COMPUTED_VALUE"""),6)</f>
        <v>6</v>
      </c>
      <c r="D166" s="5">
        <f ca="1">IFERROR(__xludf.DUMMYFUNCTION("""COMPUTED_VALUE"""),2022)</f>
        <v>2022</v>
      </c>
      <c r="E166" s="8">
        <f ca="1">IFERROR(__xludf.DUMMYFUNCTION("""COMPUTED_VALUE"""),44840)</f>
        <v>44840</v>
      </c>
      <c r="F166" s="5" t="str">
        <f ca="1">IFERROR(__xludf.DUMMYFUNCTION("""COMPUTED_VALUE"""),"Marion-Franklin High School")</f>
        <v>Marion-Franklin High School</v>
      </c>
      <c r="G166" s="5">
        <f ca="1">IFERROR(__xludf.DUMMYFUNCTION("""COMPUTED_VALUE"""),0)</f>
        <v>0</v>
      </c>
      <c r="H166" s="5">
        <f ca="1">IFERROR(__xludf.DUMMYFUNCTION("""COMPUTED_VALUE"""),0)</f>
        <v>0</v>
      </c>
      <c r="I166" s="5">
        <f ca="1">IFERROR(__xludf.DUMMYFUNCTION("""COMPUTED_VALUE"""),0)</f>
        <v>0</v>
      </c>
      <c r="J166" s="5">
        <f ca="1">IFERROR(__xludf.DUMMYFUNCTION("""COMPUTED_VALUE"""),0)</f>
        <v>0</v>
      </c>
      <c r="K166" s="5" t="str">
        <f ca="1">IFERROR(__xludf.DUMMYFUNCTION("""COMPUTED_VALUE"""),"https://www.10tv.com/article/news/local/police-shots-fired-outside-marion-franklin-high-school-in-columbus/530-485831bf-1dfa-4aa8-897d-0a4dfb333361
https://www.dispatch.com/story/news/crime/2022/10/07/shots-fired-outside-marion-franklin-vs-africentric-foo"&amp;"tball-game/69546384007/")</f>
        <v>https://www.10tv.com/article/news/local/police-shots-fired-outside-marion-franklin-high-school-in-columbus/530-485831bf-1dfa-4aa8-897d-0a4dfb333361
https://www.dispatch.com/story/news/crime/2022/10/07/shots-fired-outside-marion-franklin-vs-africentric-football-game/69546384007/</v>
      </c>
      <c r="L166" s="5">
        <f ca="1">IFERROR(__xludf.DUMMYFUNCTION("""COMPUTED_VALUE"""),2)</f>
        <v>2</v>
      </c>
      <c r="M166" s="5" t="str">
        <f ca="1">IFERROR(__xludf.DUMMYFUNCTION("""COMPUTED_VALUE"""),"Local")</f>
        <v>Local</v>
      </c>
      <c r="N166" s="5">
        <f ca="1">IFERROR(__xludf.DUMMYFUNCTION("""COMPUTED_VALUE"""),4)</f>
        <v>4</v>
      </c>
      <c r="O166" s="5" t="str">
        <f ca="1">IFERROR(__xludf.DUMMYFUNCTION("""COMPUTED_VALUE"""),"Fall")</f>
        <v>Fall</v>
      </c>
      <c r="P166" s="5" t="str">
        <f ca="1">IFERROR(__xludf.DUMMYFUNCTION("""COMPUTED_VALUE"""),"Columbus")</f>
        <v>Columbus</v>
      </c>
      <c r="Q166" s="5" t="str">
        <f ca="1">IFERROR(__xludf.DUMMYFUNCTION("""COMPUTED_VALUE"""),"OH")</f>
        <v>OH</v>
      </c>
      <c r="R166" s="5" t="str">
        <f ca="1">IFERROR(__xludf.DUMMYFUNCTION("""COMPUTED_VALUE"""),"High")</f>
        <v>High</v>
      </c>
      <c r="S166" s="5" t="str">
        <f ca="1">IFERROR(__xludf.DUMMYFUNCTION("""COMPUTED_VALUE"""),"Parking Lot")</f>
        <v>Parking Lot</v>
      </c>
      <c r="T166" s="5" t="str">
        <f ca="1">IFERROR(__xludf.DUMMYFUNCTION("""COMPUTED_VALUE"""),"Outside on School Property")</f>
        <v>Outside on School Property</v>
      </c>
      <c r="U166" s="5" t="str">
        <f ca="1">IFERROR(__xludf.DUMMYFUNCTION("""COMPUTED_VALUE"""),"No")</f>
        <v>No</v>
      </c>
      <c r="V166" s="5" t="str">
        <f ca="1">IFERROR(__xludf.DUMMYFUNCTION("""COMPUTED_VALUE"""),"Sport Event")</f>
        <v>Sport Event</v>
      </c>
      <c r="W166" s="10">
        <f ca="1">IFERROR(__xludf.DUMMYFUNCTION("""COMPUTED_VALUE"""),0.840277777777777)</f>
        <v>0.84027777777777701</v>
      </c>
      <c r="X166" s="5">
        <f ca="1">IFERROR(__xludf.DUMMYFUNCTION("""COMPUTED_VALUE"""),1)</f>
        <v>1</v>
      </c>
      <c r="Y166" s="5" t="str">
        <f ca="1">IFERROR(__xludf.DUMMYFUNCTION("""COMPUTED_VALUE"""),"Shots fired during fight a football game")</f>
        <v>Shots fired during fight a football game</v>
      </c>
      <c r="Z166" s="5" t="str">
        <f ca="1">IFERROR(__xludf.DUMMYFUNCTION("""COMPUTED_VALUE"""),"The fight started just before halftime of the game against Columbus Africentric Early College, according to a Columbus City Schools spokesperson. About five minutes after the fight cleared out, the spokesperson said shots were fired outside the school. Co"&amp;"lumbus police officers found casings on the east side of the building, but did not say how many were located. No injuries have been reported as of 8:30 p.m. One vehicle was struck by the gunfire, police said.")</f>
        <v>The fight started just before halftime of the game against Columbus Africentric Early College, according to a Columbus City Schools spokesperson. About five minutes after the fight cleared out, the spokesperson said shots were fired outside the school. Columbus police officers found casings on the east side of the building, but did not say how many were located. No injuries have been reported as of 8:30 p.m. One vehicle was struck by the gunfire, police said.</v>
      </c>
      <c r="AA166" s="5" t="str">
        <f ca="1">IFERROR(__xludf.DUMMYFUNCTION("""COMPUTED_VALUE"""),"Escalation of Dispute")</f>
        <v>Escalation of Dispute</v>
      </c>
      <c r="AB166" s="5" t="str">
        <f ca="1">IFERROR(__xludf.DUMMYFUNCTION("""COMPUTED_VALUE"""),"Victims Targeted")</f>
        <v>Victims Targeted</v>
      </c>
      <c r="AC166" s="5" t="str">
        <f ca="1">IFERROR(__xludf.DUMMYFUNCTION("""COMPUTED_VALUE"""),"No")</f>
        <v>No</v>
      </c>
      <c r="AD166" s="5" t="str">
        <f ca="1">IFERROR(__xludf.DUMMYFUNCTION("""COMPUTED_VALUE"""),"No")</f>
        <v>No</v>
      </c>
      <c r="AE166" s="5" t="str">
        <f ca="1">IFERROR(__xludf.DUMMYFUNCTION("""COMPUTED_VALUE"""),"No")</f>
        <v>No</v>
      </c>
      <c r="AF166" s="5" t="str">
        <f ca="1">IFERROR(__xludf.DUMMYFUNCTION("""COMPUTED_VALUE"""),"No")</f>
        <v>No</v>
      </c>
      <c r="AG166" s="5" t="str">
        <f ca="1">IFERROR(__xludf.DUMMYFUNCTION("""COMPUTED_VALUE"""),"No")</f>
        <v>No</v>
      </c>
      <c r="AH166" s="5" t="str">
        <f ca="1">IFERROR(__xludf.DUMMYFUNCTION("""COMPUTED_VALUE"""),"No")</f>
        <v>No</v>
      </c>
      <c r="AI166" s="5" t="str">
        <f ca="1">IFERROR(__xludf.DUMMYFUNCTION("""COMPUTED_VALUE"""),"No")</f>
        <v>No</v>
      </c>
      <c r="AJ166" s="5" t="str">
        <f ca="1">IFERROR(__xludf.DUMMYFUNCTION("""COMPUTED_VALUE"""),"No")</f>
        <v>No</v>
      </c>
    </row>
    <row r="167" spans="1:36" ht="13">
      <c r="A167" s="5" t="str">
        <f ca="1">IFERROR(__xludf.DUMMYFUNCTION("""COMPUTED_VALUE"""),"20221004MAJB")</f>
        <v>20221004MAJB</v>
      </c>
      <c r="B167" s="5">
        <f ca="1">IFERROR(__xludf.DUMMYFUNCTION("""COMPUTED_VALUE"""),10)</f>
        <v>10</v>
      </c>
      <c r="C167" s="5">
        <f ca="1">IFERROR(__xludf.DUMMYFUNCTION("""COMPUTED_VALUE"""),4)</f>
        <v>4</v>
      </c>
      <c r="D167" s="5">
        <f ca="1">IFERROR(__xludf.DUMMYFUNCTION("""COMPUTED_VALUE"""),2022)</f>
        <v>2022</v>
      </c>
      <c r="E167" s="8">
        <f ca="1">IFERROR(__xludf.DUMMYFUNCTION("""COMPUTED_VALUE"""),44838)</f>
        <v>44838</v>
      </c>
      <c r="F167" s="5" t="str">
        <f ca="1">IFERROR(__xludf.DUMMYFUNCTION("""COMPUTED_VALUE"""),"Jeremiah Burke High School")</f>
        <v>Jeremiah Burke High School</v>
      </c>
      <c r="G167" s="5">
        <f ca="1">IFERROR(__xludf.DUMMYFUNCTION("""COMPUTED_VALUE"""),0)</f>
        <v>0</v>
      </c>
      <c r="H167" s="5">
        <f ca="1">IFERROR(__xludf.DUMMYFUNCTION("""COMPUTED_VALUE"""),1)</f>
        <v>1</v>
      </c>
      <c r="I167" s="5">
        <f ca="1">IFERROR(__xludf.DUMMYFUNCTION("""COMPUTED_VALUE"""),1)</f>
        <v>1</v>
      </c>
      <c r="J167" s="5">
        <f ca="1">IFERROR(__xludf.DUMMYFUNCTION("""COMPUTED_VALUE"""),0)</f>
        <v>0</v>
      </c>
      <c r="K167" s="9" t="str">
        <f ca="1">IFERROR(__xludf.DUMMYFUNCTION("""COMPUTED_VALUE"""),"https://www.boston.com/news/local-news/2022/10/04/person-shot-tuesday-morning-near-jeremiah-burke-high-school-in-dorchester/")</f>
        <v>https://www.boston.com/news/local-news/2022/10/04/person-shot-tuesday-morning-near-jeremiah-burke-high-school-in-dorchester/</v>
      </c>
      <c r="L167" s="5">
        <f ca="1">IFERROR(__xludf.DUMMYFUNCTION("""COMPUTED_VALUE"""),50)</f>
        <v>50</v>
      </c>
      <c r="M167" s="5" t="str">
        <f ca="1">IFERROR(__xludf.DUMMYFUNCTION("""COMPUTED_VALUE"""),"National")</f>
        <v>National</v>
      </c>
      <c r="N167" s="5">
        <f ca="1">IFERROR(__xludf.DUMMYFUNCTION("""COMPUTED_VALUE"""),4)</f>
        <v>4</v>
      </c>
      <c r="O167" s="5" t="str">
        <f ca="1">IFERROR(__xludf.DUMMYFUNCTION("""COMPUTED_VALUE"""),"Fall")</f>
        <v>Fall</v>
      </c>
      <c r="P167" s="5" t="str">
        <f ca="1">IFERROR(__xludf.DUMMYFUNCTION("""COMPUTED_VALUE"""),"Boston")</f>
        <v>Boston</v>
      </c>
      <c r="Q167" s="5" t="str">
        <f ca="1">IFERROR(__xludf.DUMMYFUNCTION("""COMPUTED_VALUE"""),"MA")</f>
        <v>MA</v>
      </c>
      <c r="R167" s="5" t="str">
        <f ca="1">IFERROR(__xludf.DUMMYFUNCTION("""COMPUTED_VALUE"""),"High")</f>
        <v>High</v>
      </c>
      <c r="S167" s="5" t="str">
        <f ca="1">IFERROR(__xludf.DUMMYFUNCTION("""COMPUTED_VALUE"""),"Front of School")</f>
        <v>Front of School</v>
      </c>
      <c r="T167" s="5" t="str">
        <f ca="1">IFERROR(__xludf.DUMMYFUNCTION("""COMPUTED_VALUE"""),"Outside on School Property")</f>
        <v>Outside on School Property</v>
      </c>
      <c r="U167" s="5" t="str">
        <f ca="1">IFERROR(__xludf.DUMMYFUNCTION("""COMPUTED_VALUE"""),"Yes")</f>
        <v>Yes</v>
      </c>
      <c r="V167" s="5" t="str">
        <f ca="1">IFERROR(__xludf.DUMMYFUNCTION("""COMPUTED_VALUE"""),"Morning Classes")</f>
        <v>Morning Classes</v>
      </c>
      <c r="W167" s="10">
        <f ca="1">IFERROR(__xludf.DUMMYFUNCTION("""COMPUTED_VALUE"""),0.395833333333333)</f>
        <v>0.39583333333333298</v>
      </c>
      <c r="X167" s="5">
        <f ca="1">IFERROR(__xludf.DUMMYFUNCTION("""COMPUTED_VALUE"""),1)</f>
        <v>1</v>
      </c>
      <c r="Y167" s="5" t="str">
        <f ca="1">IFERROR(__xludf.DUMMYFUNCTION("""COMPUTED_VALUE"""),"Student shot by another student in front of the school")</f>
        <v>Student shot by another student in front of the school</v>
      </c>
      <c r="Z167" s="5" t="str">
        <f ca="1">IFERROR(__xludf.DUMMYFUNCTION("""COMPUTED_VALUE"""),"A student at a Boston high school is facing multiple charges in connection with the shooting of another student, the second act of major violence to happen within the past few weeks at that school. The shooting happened shortly after 9:30 a.m. Tuesday out"&amp;"side Jeremiah E. Burke High School, but police said the shooting did happen on school property. The student who was shot was listed in stable condition at a local hospital, while a 17-year-old classmate was taken into custody a short time after the shooti"&amp;"ng.
School safety officer hear the shot and immediately put the campus on lockdown.")</f>
        <v>A student at a Boston high school is facing multiple charges in connection with the shooting of another student, the second act of major violence to happen within the past few weeks at that school. The shooting happened shortly after 9:30 a.m. Tuesday outside Jeremiah E. Burke High School, but police said the shooting did happen on school property. The student who was shot was listed in stable condition at a local hospital, while a 17-year-old classmate was taken into custody a short time after the shooting.
School safety officer hear the shot and immediately put the campus on lockdown.</v>
      </c>
      <c r="AA167" s="5"/>
      <c r="AB167" s="5" t="str">
        <f ca="1">IFERROR(__xludf.DUMMYFUNCTION("""COMPUTED_VALUE"""),"Victims Targeted")</f>
        <v>Victims Targeted</v>
      </c>
      <c r="AC167" s="5" t="str">
        <f ca="1">IFERROR(__xludf.DUMMYFUNCTION("""COMPUTED_VALUE"""),"No")</f>
        <v>No</v>
      </c>
      <c r="AD167" s="5" t="str">
        <f ca="1">IFERROR(__xludf.DUMMYFUNCTION("""COMPUTED_VALUE"""),"No")</f>
        <v>No</v>
      </c>
      <c r="AE167" s="5" t="str">
        <f ca="1">IFERROR(__xludf.DUMMYFUNCTION("""COMPUTED_VALUE"""),"No")</f>
        <v>No</v>
      </c>
      <c r="AF167" s="5" t="str">
        <f ca="1">IFERROR(__xludf.DUMMYFUNCTION("""COMPUTED_VALUE"""),"Yes")</f>
        <v>Yes</v>
      </c>
      <c r="AG167" s="5"/>
      <c r="AH167" s="5" t="str">
        <f ca="1">IFERROR(__xludf.DUMMYFUNCTION("""COMPUTED_VALUE"""),"No")</f>
        <v>No</v>
      </c>
      <c r="AI167" s="5"/>
      <c r="AJ167" s="5" t="str">
        <f ca="1">IFERROR(__xludf.DUMMYFUNCTION("""COMPUTED_VALUE"""),"No")</f>
        <v>No</v>
      </c>
    </row>
    <row r="168" spans="1:36" ht="13">
      <c r="A168" s="5" t="str">
        <f ca="1">IFERROR(__xludf.DUMMYFUNCTION("""COMPUTED_VALUE"""),"20221004NCPIS")</f>
        <v>20221004NCPIS</v>
      </c>
      <c r="B168" s="5">
        <f ca="1">IFERROR(__xludf.DUMMYFUNCTION("""COMPUTED_VALUE"""),10)</f>
        <v>10</v>
      </c>
      <c r="C168" s="5">
        <f ca="1">IFERROR(__xludf.DUMMYFUNCTION("""COMPUTED_VALUE"""),4)</f>
        <v>4</v>
      </c>
      <c r="D168" s="5">
        <f ca="1">IFERROR(__xludf.DUMMYFUNCTION("""COMPUTED_VALUE"""),2022)</f>
        <v>2022</v>
      </c>
      <c r="E168" s="8">
        <f ca="1">IFERROR(__xludf.DUMMYFUNCTION("""COMPUTED_VALUE"""),44838)</f>
        <v>44838</v>
      </c>
      <c r="F168" s="5" t="str">
        <f ca="1">IFERROR(__xludf.DUMMYFUNCTION("""COMPUTED_VALUE"""),"Pinecrest High School")</f>
        <v>Pinecrest High School</v>
      </c>
      <c r="G168" s="5">
        <f ca="1">IFERROR(__xludf.DUMMYFUNCTION("""COMPUTED_VALUE"""),0)</f>
        <v>0</v>
      </c>
      <c r="H168" s="5">
        <f ca="1">IFERROR(__xludf.DUMMYFUNCTION("""COMPUTED_VALUE"""),0)</f>
        <v>0</v>
      </c>
      <c r="I168" s="5">
        <f ca="1">IFERROR(__xludf.DUMMYFUNCTION("""COMPUTED_VALUE"""),0)</f>
        <v>0</v>
      </c>
      <c r="J168" s="5">
        <f ca="1">IFERROR(__xludf.DUMMYFUNCTION("""COMPUTED_VALUE"""),0)</f>
        <v>0</v>
      </c>
      <c r="K168" s="5" t="str">
        <f ca="1">IFERROR(__xludf.DUMMYFUNCTION("""COMPUTED_VALUE"""),"https://abc11.com/school-bus-hit-by-bullet-students-onboard-moore-county-pinebluff/12295712/
https://www.whio.com/news/local/no-injuries-close-call-students-after-bb-shatters-eaton-school-bus-window/TZUQ7KDZLBFO3MH5Y24UXGN7T4/
https://abc11.com/school-bus"&amp;"-shot-students-onboard-bullet-moore-county-juvenile-child/12300654/")</f>
        <v>https://abc11.com/school-bus-hit-by-bullet-students-onboard-moore-county-pinebluff/12295712/
https://www.whio.com/news/local/no-injuries-close-call-students-after-bb-shatters-eaton-school-bus-window/TZUQ7KDZLBFO3MH5Y24UXGN7T4/
https://abc11.com/school-bus-shot-students-onboard-bullet-moore-county-juvenile-child/12300654/</v>
      </c>
      <c r="L168" s="5">
        <f ca="1">IFERROR(__xludf.DUMMYFUNCTION("""COMPUTED_VALUE"""),2)</f>
        <v>2</v>
      </c>
      <c r="M168" s="5" t="str">
        <f ca="1">IFERROR(__xludf.DUMMYFUNCTION("""COMPUTED_VALUE"""),"Local")</f>
        <v>Local</v>
      </c>
      <c r="N168" s="5">
        <f ca="1">IFERROR(__xludf.DUMMYFUNCTION("""COMPUTED_VALUE"""),4)</f>
        <v>4</v>
      </c>
      <c r="O168" s="5" t="str">
        <f ca="1">IFERROR(__xludf.DUMMYFUNCTION("""COMPUTED_VALUE"""),"Fall")</f>
        <v>Fall</v>
      </c>
      <c r="P168" s="5" t="str">
        <f ca="1">IFERROR(__xludf.DUMMYFUNCTION("""COMPUTED_VALUE"""),"Southern Pine")</f>
        <v>Southern Pine</v>
      </c>
      <c r="Q168" s="5" t="str">
        <f ca="1">IFERROR(__xludf.DUMMYFUNCTION("""COMPUTED_VALUE"""),"NC")</f>
        <v>NC</v>
      </c>
      <c r="R168" s="5" t="str">
        <f ca="1">IFERROR(__xludf.DUMMYFUNCTION("""COMPUTED_VALUE"""),"High")</f>
        <v>High</v>
      </c>
      <c r="S168" s="5" t="str">
        <f ca="1">IFERROR(__xludf.DUMMYFUNCTION("""COMPUTED_VALUE"""),"School Bus")</f>
        <v>School Bus</v>
      </c>
      <c r="T168" s="5" t="str">
        <f ca="1">IFERROR(__xludf.DUMMYFUNCTION("""COMPUTED_VALUE"""),"School Bus")</f>
        <v>School Bus</v>
      </c>
      <c r="U168" s="5" t="str">
        <f ca="1">IFERROR(__xludf.DUMMYFUNCTION("""COMPUTED_VALUE"""),"Yes")</f>
        <v>Yes</v>
      </c>
      <c r="V168" s="5" t="str">
        <f ca="1">IFERROR(__xludf.DUMMYFUNCTION("""COMPUTED_VALUE"""),"Dismissal")</f>
        <v>Dismissal</v>
      </c>
      <c r="W168" s="10">
        <f ca="1">IFERROR(__xludf.DUMMYFUNCTION("""COMPUTED_VALUE"""),0.666666666666666)</f>
        <v>0.66666666666666596</v>
      </c>
      <c r="X168" s="5">
        <f ca="1">IFERROR(__xludf.DUMMYFUNCTION("""COMPUTED_VALUE"""),1)</f>
        <v>1</v>
      </c>
      <c r="Y168" s="5" t="str">
        <f ca="1">IFERROR(__xludf.DUMMYFUNCTION("""COMPUTED_VALUE"""),"Occupied school bus struck by bullet")</f>
        <v>Occupied school bus struck by bullet</v>
      </c>
      <c r="Z168" s="5" t="str">
        <f ca="1">IFERROR(__xludf.DUMMYFUNCTION("""COMPUTED_VALUE"""),"Driver heard what sounded like a gunshot while a student was exiting the bus at the intersection of R Sands and Pinebluff Lake Road. The driver didn't immediately see damage to the bus and at the next stop on Countryside Driver, evacuated the bus of all f"&amp;"ive remaining students and the bus monitor called 911, MCS said. While waiting for deputies to respond, one of the students noticed a bullet hole in a passenger window about four rows from the back of the bus. The bullet was found lodged in the ceiling of"&amp;" the bus. According to MCSP, the investigation determined that the bullet was a ricochet from a firearm being used by a juvenile who was aiming the weapon at trees. As stated previously, the bus was not the intended target. The firearm belonged to a famil"&amp;"y member of the child and had not been secured properly in the home.")</f>
        <v>Driver heard what sounded like a gunshot while a student was exiting the bus at the intersection of R Sands and Pinebluff Lake Road. The driver didn't immediately see damage to the bus and at the next stop on Countryside Driver, evacuated the bus of all five remaining students and the bus monitor called 911, MCS said. While waiting for deputies to respond, one of the students noticed a bullet hole in a passenger window about four rows from the back of the bus. The bullet was found lodged in the ceiling of the bus. According to MCSP, the investigation determined that the bullet was a ricochet from a firearm being used by a juvenile who was aiming the weapon at trees. As stated previously, the bus was not the intended target. The firearm belonged to a family member of the child and had not been secured properly in the home.</v>
      </c>
      <c r="AA168" s="5" t="str">
        <f ca="1">IFERROR(__xludf.DUMMYFUNCTION("""COMPUTED_VALUE"""),"Accidental")</f>
        <v>Accidental</v>
      </c>
      <c r="AB168" s="5" t="str">
        <f ca="1">IFERROR(__xludf.DUMMYFUNCTION("""COMPUTED_VALUE"""),"Neither")</f>
        <v>Neither</v>
      </c>
      <c r="AC168" s="5" t="str">
        <f ca="1">IFERROR(__xludf.DUMMYFUNCTION("""COMPUTED_VALUE"""),"No")</f>
        <v>No</v>
      </c>
      <c r="AD168" s="5" t="str">
        <f ca="1">IFERROR(__xludf.DUMMYFUNCTION("""COMPUTED_VALUE"""),"No")</f>
        <v>No</v>
      </c>
      <c r="AE168" s="5" t="str">
        <f ca="1">IFERROR(__xludf.DUMMYFUNCTION("""COMPUTED_VALUE"""),"No")</f>
        <v>No</v>
      </c>
      <c r="AF168" s="5" t="str">
        <f ca="1">IFERROR(__xludf.DUMMYFUNCTION("""COMPUTED_VALUE"""),"No")</f>
        <v>No</v>
      </c>
      <c r="AG168" s="5" t="str">
        <f ca="1">IFERROR(__xludf.DUMMYFUNCTION("""COMPUTED_VALUE"""),"No")</f>
        <v>No</v>
      </c>
      <c r="AH168" s="5" t="str">
        <f ca="1">IFERROR(__xludf.DUMMYFUNCTION("""COMPUTED_VALUE"""),"No")</f>
        <v>No</v>
      </c>
      <c r="AI168" s="5"/>
      <c r="AJ168" s="5" t="str">
        <f ca="1">IFERROR(__xludf.DUMMYFUNCTION("""COMPUTED_VALUE"""),"No")</f>
        <v>No</v>
      </c>
    </row>
    <row r="169" spans="1:36" ht="13">
      <c r="A169" s="5" t="str">
        <f ca="1">IFERROR(__xludf.DUMMYFUNCTION("""COMPUTED_VALUE"""),"20221003MIOXO")</f>
        <v>20221003MIOXO</v>
      </c>
      <c r="B169" s="5">
        <f ca="1">IFERROR(__xludf.DUMMYFUNCTION("""COMPUTED_VALUE"""),10)</f>
        <v>10</v>
      </c>
      <c r="C169" s="5">
        <f ca="1">IFERROR(__xludf.DUMMYFUNCTION("""COMPUTED_VALUE"""),3)</f>
        <v>3</v>
      </c>
      <c r="D169" s="5">
        <f ca="1">IFERROR(__xludf.DUMMYFUNCTION("""COMPUTED_VALUE"""),2022)</f>
        <v>2022</v>
      </c>
      <c r="E169" s="8">
        <f ca="1">IFERROR(__xludf.DUMMYFUNCTION("""COMPUTED_VALUE"""),44837)</f>
        <v>44837</v>
      </c>
      <c r="F169" s="5" t="str">
        <f ca="1">IFERROR(__xludf.DUMMYFUNCTION("""COMPUTED_VALUE"""),"Oxford Middle School")</f>
        <v>Oxford Middle School</v>
      </c>
      <c r="G169" s="5">
        <f ca="1">IFERROR(__xludf.DUMMYFUNCTION("""COMPUTED_VALUE"""),0)</f>
        <v>0</v>
      </c>
      <c r="H169" s="5">
        <f ca="1">IFERROR(__xludf.DUMMYFUNCTION("""COMPUTED_VALUE"""),0)</f>
        <v>0</v>
      </c>
      <c r="I169" s="5">
        <f ca="1">IFERROR(__xludf.DUMMYFUNCTION("""COMPUTED_VALUE"""),0)</f>
        <v>0</v>
      </c>
      <c r="J169" s="5">
        <f ca="1">IFERROR(__xludf.DUMMYFUNCTION("""COMPUTED_VALUE"""),0)</f>
        <v>0</v>
      </c>
      <c r="K169" s="9" t="str">
        <f ca="1">IFERROR(__xludf.DUMMYFUNCTION("""COMPUTED_VALUE"""),"https://www.detroitnews.com/story/news/local/oakland-county/2022/10/04/security-guard-fires-gun-oxford-middle-school/69537444007/")</f>
        <v>https://www.detroitnews.com/story/news/local/oakland-county/2022/10/04/security-guard-fires-gun-oxford-middle-school/69537444007/</v>
      </c>
      <c r="L169" s="5">
        <f ca="1">IFERROR(__xludf.DUMMYFUNCTION("""COMPUTED_VALUE"""),1)</f>
        <v>1</v>
      </c>
      <c r="M169" s="5" t="str">
        <f ca="1">IFERROR(__xludf.DUMMYFUNCTION("""COMPUTED_VALUE"""),"Local")</f>
        <v>Local</v>
      </c>
      <c r="N169" s="5">
        <f ca="1">IFERROR(__xludf.DUMMYFUNCTION("""COMPUTED_VALUE"""),4)</f>
        <v>4</v>
      </c>
      <c r="O169" s="5" t="str">
        <f ca="1">IFERROR(__xludf.DUMMYFUNCTION("""COMPUTED_VALUE"""),"Fall")</f>
        <v>Fall</v>
      </c>
      <c r="P169" s="5" t="str">
        <f ca="1">IFERROR(__xludf.DUMMYFUNCTION("""COMPUTED_VALUE"""),"Oxford")</f>
        <v>Oxford</v>
      </c>
      <c r="Q169" s="5" t="str">
        <f ca="1">IFERROR(__xludf.DUMMYFUNCTION("""COMPUTED_VALUE"""),"MI")</f>
        <v>MI</v>
      </c>
      <c r="R169" s="5" t="str">
        <f ca="1">IFERROR(__xludf.DUMMYFUNCTION("""COMPUTED_VALUE"""),"Middle")</f>
        <v>Middle</v>
      </c>
      <c r="S169" s="5" t="str">
        <f ca="1">IFERROR(__xludf.DUMMYFUNCTION("""COMPUTED_VALUE"""),"Bathroom")</f>
        <v>Bathroom</v>
      </c>
      <c r="T169" s="5" t="str">
        <f ca="1">IFERROR(__xludf.DUMMYFUNCTION("""COMPUTED_VALUE"""),"Inside School Building")</f>
        <v>Inside School Building</v>
      </c>
      <c r="U169" s="5" t="str">
        <f ca="1">IFERROR(__xludf.DUMMYFUNCTION("""COMPUTED_VALUE"""),"Yes")</f>
        <v>Yes</v>
      </c>
      <c r="V169" s="5"/>
      <c r="W169" s="5"/>
      <c r="X169" s="5">
        <f ca="1">IFERROR(__xludf.DUMMYFUNCTION("""COMPUTED_VALUE"""),1)</f>
        <v>1</v>
      </c>
      <c r="Y169" s="5" t="str">
        <f ca="1">IFERROR(__xludf.DUMMYFUNCTION("""COMPUTED_VALUE"""),"Armed guard (retired officer) fired shot into bathroom ceiling while putting on belt")</f>
        <v>Armed guard (retired officer) fired shot into bathroom ceiling while putting on belt</v>
      </c>
      <c r="Z169" s="5" t="str">
        <f ca="1">IFERROR(__xludf.DUMMYFUNCTION("""COMPUTED_VALUE"""),"Armed guard (retired officer) fired shot into bathroom ceiling while putting on belt")</f>
        <v>Armed guard (retired officer) fired shot into bathroom ceiling while putting on belt</v>
      </c>
      <c r="AA169" s="5" t="str">
        <f ca="1">IFERROR(__xludf.DUMMYFUNCTION("""COMPUTED_VALUE"""),"Accidental")</f>
        <v>Accidental</v>
      </c>
      <c r="AB169" s="5" t="str">
        <f ca="1">IFERROR(__xludf.DUMMYFUNCTION("""COMPUTED_VALUE"""),"Neither")</f>
        <v>Neither</v>
      </c>
      <c r="AC169" s="5" t="str">
        <f ca="1">IFERROR(__xludf.DUMMYFUNCTION("""COMPUTED_VALUE"""),"No")</f>
        <v>No</v>
      </c>
      <c r="AD169" s="5" t="str">
        <f ca="1">IFERROR(__xludf.DUMMYFUNCTION("""COMPUTED_VALUE"""),"No")</f>
        <v>No</v>
      </c>
      <c r="AE169" s="5" t="str">
        <f ca="1">IFERROR(__xludf.DUMMYFUNCTION("""COMPUTED_VALUE"""),"No")</f>
        <v>No</v>
      </c>
      <c r="AF169" s="5" t="str">
        <f ca="1">IFERROR(__xludf.DUMMYFUNCTION("""COMPUTED_VALUE"""),"Yes")</f>
        <v>Yes</v>
      </c>
      <c r="AG169" s="5" t="str">
        <f ca="1">IFERROR(__xludf.DUMMYFUNCTION("""COMPUTED_VALUE"""),"No")</f>
        <v>No</v>
      </c>
      <c r="AH169" s="5" t="str">
        <f ca="1">IFERROR(__xludf.DUMMYFUNCTION("""COMPUTED_VALUE"""),"No")</f>
        <v>No</v>
      </c>
      <c r="AI169" s="5"/>
      <c r="AJ169" s="5" t="str">
        <f ca="1">IFERROR(__xludf.DUMMYFUNCTION("""COMPUTED_VALUE"""),"No")</f>
        <v>No</v>
      </c>
    </row>
    <row r="170" spans="1:36" ht="13">
      <c r="A170" s="5" t="str">
        <f ca="1">IFERROR(__xludf.DUMMYFUNCTION("""COMPUTED_VALUE"""),"20221001CACOO")</f>
        <v>20221001CACOO</v>
      </c>
      <c r="B170" s="5">
        <f ca="1">IFERROR(__xludf.DUMMYFUNCTION("""COMPUTED_VALUE"""),10)</f>
        <v>10</v>
      </c>
      <c r="C170" s="5">
        <f ca="1">IFERROR(__xludf.DUMMYFUNCTION("""COMPUTED_VALUE"""),1)</f>
        <v>1</v>
      </c>
      <c r="D170" s="5">
        <f ca="1">IFERROR(__xludf.DUMMYFUNCTION("""COMPUTED_VALUE"""),2022)</f>
        <v>2022</v>
      </c>
      <c r="E170" s="8">
        <f ca="1">IFERROR(__xludf.DUMMYFUNCTION("""COMPUTED_VALUE"""),44835)</f>
        <v>44835</v>
      </c>
      <c r="F170" s="5" t="str">
        <f ca="1">IFERROR(__xludf.DUMMYFUNCTION("""COMPUTED_VALUE"""),"Colony High School")</f>
        <v>Colony High School</v>
      </c>
      <c r="G170" s="5">
        <f ca="1">IFERROR(__xludf.DUMMYFUNCTION("""COMPUTED_VALUE"""),0)</f>
        <v>0</v>
      </c>
      <c r="H170" s="5">
        <f ca="1">IFERROR(__xludf.DUMMYFUNCTION("""COMPUTED_VALUE"""),1)</f>
        <v>1</v>
      </c>
      <c r="I170" s="5">
        <f ca="1">IFERROR(__xludf.DUMMYFUNCTION("""COMPUTED_VALUE"""),1)</f>
        <v>1</v>
      </c>
      <c r="J170" s="5">
        <f ca="1">IFERROR(__xludf.DUMMYFUNCTION("""COMPUTED_VALUE"""),0)</f>
        <v>0</v>
      </c>
      <c r="K170" s="5" t="str">
        <f ca="1">IFERROR(__xludf.DUMMYFUNCTION("""COMPUTED_VALUE"""),"https://www.foxla.com/news/man-shot-at-youth-football-game-in-ontario
https://www.ontarioca.gov/press_releases/colony-high-school-shooting-suspect-arrested
https://apnews.com/article/college-football-sports-ontario-california-fc64c2e2e2f9b7f4cbdc6d1999982"&amp;"1aa
https://www.cbsnews.com/losangeles/news/man-shot-on-colony-high-school-field-in-ontario-suspects-at-large/")</f>
        <v>https://www.foxla.com/news/man-shot-at-youth-football-game-in-ontario
https://www.ontarioca.gov/press_releases/colony-high-school-shooting-suspect-arrested
https://apnews.com/article/college-football-sports-ontario-california-fc64c2e2e2f9b7f4cbdc6d19999821aa
https://www.cbsnews.com/losangeles/news/man-shot-on-colony-high-school-field-in-ontario-suspects-at-large/</v>
      </c>
      <c r="L170" s="5">
        <f ca="1">IFERROR(__xludf.DUMMYFUNCTION("""COMPUTED_VALUE"""),5)</f>
        <v>5</v>
      </c>
      <c r="M170" s="5" t="str">
        <f ca="1">IFERROR(__xludf.DUMMYFUNCTION("""COMPUTED_VALUE"""),"Regional")</f>
        <v>Regional</v>
      </c>
      <c r="N170" s="5">
        <f ca="1">IFERROR(__xludf.DUMMYFUNCTION("""COMPUTED_VALUE"""),4)</f>
        <v>4</v>
      </c>
      <c r="O170" s="5" t="str">
        <f ca="1">IFERROR(__xludf.DUMMYFUNCTION("""COMPUTED_VALUE"""),"Fall")</f>
        <v>Fall</v>
      </c>
      <c r="P170" s="5" t="str">
        <f ca="1">IFERROR(__xludf.DUMMYFUNCTION("""COMPUTED_VALUE"""),"Ontario")</f>
        <v>Ontario</v>
      </c>
      <c r="Q170" s="5" t="str">
        <f ca="1">IFERROR(__xludf.DUMMYFUNCTION("""COMPUTED_VALUE"""),"CA")</f>
        <v>CA</v>
      </c>
      <c r="R170" s="5" t="str">
        <f ca="1">IFERROR(__xludf.DUMMYFUNCTION("""COMPUTED_VALUE"""),"High")</f>
        <v>High</v>
      </c>
      <c r="S170" s="5" t="str">
        <f ca="1">IFERROR(__xludf.DUMMYFUNCTION("""COMPUTED_VALUE"""),"Football Field/Track")</f>
        <v>Football Field/Track</v>
      </c>
      <c r="T170" s="5" t="str">
        <f ca="1">IFERROR(__xludf.DUMMYFUNCTION("""COMPUTED_VALUE"""),"Outside on School Property")</f>
        <v>Outside on School Property</v>
      </c>
      <c r="U170" s="5" t="str">
        <f ca="1">IFERROR(__xludf.DUMMYFUNCTION("""COMPUTED_VALUE"""),"No")</f>
        <v>No</v>
      </c>
      <c r="V170" s="5" t="str">
        <f ca="1">IFERROR(__xludf.DUMMYFUNCTION("""COMPUTED_VALUE"""),"Sport Event")</f>
        <v>Sport Event</v>
      </c>
      <c r="W170" s="10">
        <f ca="1">IFERROR(__xludf.DUMMYFUNCTION("""COMPUTED_VALUE"""),0.604166666666666)</f>
        <v>0.60416666666666596</v>
      </c>
      <c r="X170" s="5">
        <f ca="1">IFERROR(__xludf.DUMMYFUNCTION("""COMPUTED_VALUE"""),1)</f>
        <v>1</v>
      </c>
      <c r="Y170" s="5" t="str">
        <f ca="1">IFERROR(__xludf.DUMMYFUNCTION("""COMPUTED_VALUE"""),"Man shot multiple times at youth football game")</f>
        <v>Man shot multiple times at youth football game</v>
      </c>
      <c r="Z170" s="5" t="str">
        <f ca="1">IFERROR(__xludf.DUMMYFUNCTION("""COMPUTED_VALUE"""),"A 34-year-old man was shot multiple times on the sidewalk next to the football field during youth football. Shooter fled.")</f>
        <v>A 34-year-old man was shot multiple times on the sidewalk next to the football field during youth football. Shooter fled.</v>
      </c>
      <c r="AA170" s="5"/>
      <c r="AB170" s="5" t="str">
        <f ca="1">IFERROR(__xludf.DUMMYFUNCTION("""COMPUTED_VALUE"""),"Victims Targeted")</f>
        <v>Victims Targeted</v>
      </c>
      <c r="AC170" s="5" t="str">
        <f ca="1">IFERROR(__xludf.DUMMYFUNCTION("""COMPUTED_VALUE"""),"No")</f>
        <v>No</v>
      </c>
      <c r="AD170" s="5" t="str">
        <f ca="1">IFERROR(__xludf.DUMMYFUNCTION("""COMPUTED_VALUE"""),"No")</f>
        <v>No</v>
      </c>
      <c r="AE170" s="5" t="str">
        <f ca="1">IFERROR(__xludf.DUMMYFUNCTION("""COMPUTED_VALUE"""),"No")</f>
        <v>No</v>
      </c>
      <c r="AF170" s="5" t="str">
        <f ca="1">IFERROR(__xludf.DUMMYFUNCTION("""COMPUTED_VALUE"""),"No")</f>
        <v>No</v>
      </c>
      <c r="AG170" s="5" t="str">
        <f ca="1">IFERROR(__xludf.DUMMYFUNCTION("""COMPUTED_VALUE"""),"No")</f>
        <v>No</v>
      </c>
      <c r="AH170" s="5" t="str">
        <f ca="1">IFERROR(__xludf.DUMMYFUNCTION("""COMPUTED_VALUE"""),"No")</f>
        <v>No</v>
      </c>
      <c r="AI170" s="5"/>
      <c r="AJ170" s="5" t="str">
        <f ca="1">IFERROR(__xludf.DUMMYFUNCTION("""COMPUTED_VALUE"""),"No")</f>
        <v>No</v>
      </c>
    </row>
    <row r="171" spans="1:36" ht="13">
      <c r="A171" s="5" t="str">
        <f ca="1">IFERROR(__xludf.DUMMYFUNCTION("""COMPUTED_VALUE"""),"20220930OKMCT")</f>
        <v>20220930OKMCT</v>
      </c>
      <c r="B171" s="5">
        <f ca="1">IFERROR(__xludf.DUMMYFUNCTION("""COMPUTED_VALUE"""),9)</f>
        <v>9</v>
      </c>
      <c r="C171" s="5">
        <f ca="1">IFERROR(__xludf.DUMMYFUNCTION("""COMPUTED_VALUE"""),30)</f>
        <v>30</v>
      </c>
      <c r="D171" s="5">
        <f ca="1">IFERROR(__xludf.DUMMYFUNCTION("""COMPUTED_VALUE"""),2022)</f>
        <v>2022</v>
      </c>
      <c r="E171" s="8">
        <f ca="1">IFERROR(__xludf.DUMMYFUNCTION("""COMPUTED_VALUE"""),44834)</f>
        <v>44834</v>
      </c>
      <c r="F171" s="5" t="str">
        <f ca="1">IFERROR(__xludf.DUMMYFUNCTION("""COMPUTED_VALUE"""),"McLain High School")</f>
        <v>McLain High School</v>
      </c>
      <c r="G171" s="5">
        <f ca="1">IFERROR(__xludf.DUMMYFUNCTION("""COMPUTED_VALUE"""),1)</f>
        <v>1</v>
      </c>
      <c r="H171" s="5">
        <f ca="1">IFERROR(__xludf.DUMMYFUNCTION("""COMPUTED_VALUE"""),3)</f>
        <v>3</v>
      </c>
      <c r="I171" s="5">
        <f ca="1">IFERROR(__xludf.DUMMYFUNCTION("""COMPUTED_VALUE"""),4)</f>
        <v>4</v>
      </c>
      <c r="J171" s="5">
        <f ca="1">IFERROR(__xludf.DUMMYFUNCTION("""COMPUTED_VALUE"""),0)</f>
        <v>0</v>
      </c>
      <c r="K171" s="5" t="str">
        <f ca="1">IFERROR(__xludf.DUMMYFUNCTION("""COMPUTED_VALUE"""),"https://www.kktv.com/2022/10/03/2-more-victims-found-after-shooting-oklahoma-homecoming/
https://www.usnews.com/news/us/articles/2022-10-01/1-teen-killed-1-wounded-in-tulsa-homecoming-game-shooting
https://www.alaskasnewssource.com/2022/10/01/1-teen-kille"&amp;"d-1-wounded-tulsa-homecoming-game-shooting/
https://abcnews.go.com/US/high-school-homecoming-football-game-shooting-leaves-teen/story?id=90811793")</f>
        <v>https://www.kktv.com/2022/10/03/2-more-victims-found-after-shooting-oklahoma-homecoming/
https://www.usnews.com/news/us/articles/2022-10-01/1-teen-killed-1-wounded-in-tulsa-homecoming-game-shooting
https://www.alaskasnewssource.com/2022/10/01/1-teen-killed-1-wounded-tulsa-homecoming-game-shooting/
https://abcnews.go.com/US/high-school-homecoming-football-game-shooting-leaves-teen/story?id=90811793</v>
      </c>
      <c r="L171" s="5">
        <f ca="1">IFERROR(__xludf.DUMMYFUNCTION("""COMPUTED_VALUE"""),50)</f>
        <v>50</v>
      </c>
      <c r="M171" s="5" t="str">
        <f ca="1">IFERROR(__xludf.DUMMYFUNCTION("""COMPUTED_VALUE"""),"National")</f>
        <v>National</v>
      </c>
      <c r="N171" s="5">
        <f ca="1">IFERROR(__xludf.DUMMYFUNCTION("""COMPUTED_VALUE"""),4)</f>
        <v>4</v>
      </c>
      <c r="O171" s="5" t="str">
        <f ca="1">IFERROR(__xludf.DUMMYFUNCTION("""COMPUTED_VALUE"""),"Fall")</f>
        <v>Fall</v>
      </c>
      <c r="P171" s="5" t="str">
        <f ca="1">IFERROR(__xludf.DUMMYFUNCTION("""COMPUTED_VALUE"""),"Tulsa")</f>
        <v>Tulsa</v>
      </c>
      <c r="Q171" s="5" t="str">
        <f ca="1">IFERROR(__xludf.DUMMYFUNCTION("""COMPUTED_VALUE"""),"OK")</f>
        <v>OK</v>
      </c>
      <c r="R171" s="5" t="str">
        <f ca="1">IFERROR(__xludf.DUMMYFUNCTION("""COMPUTED_VALUE"""),"High")</f>
        <v>High</v>
      </c>
      <c r="S171" s="5" t="str">
        <f ca="1">IFERROR(__xludf.DUMMYFUNCTION("""COMPUTED_VALUE"""),"Football Field/Track")</f>
        <v>Football Field/Track</v>
      </c>
      <c r="T171" s="5" t="str">
        <f ca="1">IFERROR(__xludf.DUMMYFUNCTION("""COMPUTED_VALUE"""),"Outside on School Property")</f>
        <v>Outside on School Property</v>
      </c>
      <c r="U171" s="5" t="str">
        <f ca="1">IFERROR(__xludf.DUMMYFUNCTION("""COMPUTED_VALUE"""),"No")</f>
        <v>No</v>
      </c>
      <c r="V171" s="5" t="str">
        <f ca="1">IFERROR(__xludf.DUMMYFUNCTION("""COMPUTED_VALUE"""),"Sport Event")</f>
        <v>Sport Event</v>
      </c>
      <c r="W171" s="10">
        <f ca="1">IFERROR(__xludf.DUMMYFUNCTION("""COMPUTED_VALUE"""),0.916666666666666)</f>
        <v>0.91666666666666596</v>
      </c>
      <c r="X171" s="5">
        <f ca="1">IFERROR(__xludf.DUMMYFUNCTION("""COMPUTED_VALUE"""),1)</f>
        <v>1</v>
      </c>
      <c r="Y171" s="5" t="str">
        <f ca="1">IFERROR(__xludf.DUMMYFUNCTION("""COMPUTED_VALUE"""),"Teen killed and another wounded behind the stands during homecoming football game")</f>
        <v>Teen killed and another wounded behind the stands during homecoming football game</v>
      </c>
      <c r="Z171" s="5" t="str">
        <f ca="1">IFERROR(__xludf.DUMMYFUNCTION("""COMPUTED_VALUE"""),"The incident occurred just before 10 p.m. at McLain High School in Tulsa, Oklahoma, when the Tulsa Police Department was alerted to a shooting during McLain's homecoming football game in front of a crowd of hundreds against Miami High School. Officers fou"&amp;"nd two teenage victims suffering from gunshot wounds when they arrived on site. One 17-year-old male was pronounced dead at the scene of the crime. The other 17-year-old victim was immediately taken to a local hospital and listed in critical condition but"&amp;" has since improved to stable condition, according to a statement from the Tulsa Police Department.")</f>
        <v>The incident occurred just before 10 p.m. at McLain High School in Tulsa, Oklahoma, when the Tulsa Police Department was alerted to a shooting during McLain's homecoming football game in front of a crowd of hundreds against Miami High School. Officers found two teenage victims suffering from gunshot wounds when they arrived on site. One 17-year-old male was pronounced dead at the scene of the crime. The other 17-year-old victim was immediately taken to a local hospital and listed in critical condition but has since improved to stable condition, according to a statement from the Tulsa Police Department.</v>
      </c>
      <c r="AA171" s="5"/>
      <c r="AB171" s="5"/>
      <c r="AC171" s="5" t="str">
        <f ca="1">IFERROR(__xludf.DUMMYFUNCTION("""COMPUTED_VALUE"""),"No")</f>
        <v>No</v>
      </c>
      <c r="AD171" s="5" t="str">
        <f ca="1">IFERROR(__xludf.DUMMYFUNCTION("""COMPUTED_VALUE"""),"No")</f>
        <v>No</v>
      </c>
      <c r="AE171" s="5" t="str">
        <f ca="1">IFERROR(__xludf.DUMMYFUNCTION("""COMPUTED_VALUE"""),"No")</f>
        <v>No</v>
      </c>
      <c r="AF171" s="5" t="str">
        <f ca="1">IFERROR(__xludf.DUMMYFUNCTION("""COMPUTED_VALUE"""),"No")</f>
        <v>No</v>
      </c>
      <c r="AG171" s="5" t="str">
        <f ca="1">IFERROR(__xludf.DUMMYFUNCTION("""COMPUTED_VALUE"""),"No")</f>
        <v>No</v>
      </c>
      <c r="AH171" s="5" t="str">
        <f ca="1">IFERROR(__xludf.DUMMYFUNCTION("""COMPUTED_VALUE"""),"No")</f>
        <v>No</v>
      </c>
      <c r="AI171" s="5"/>
      <c r="AJ171" s="5" t="str">
        <f ca="1">IFERROR(__xludf.DUMMYFUNCTION("""COMPUTED_VALUE"""),"No")</f>
        <v>No</v>
      </c>
    </row>
    <row r="172" spans="1:36" ht="13">
      <c r="A172" s="5" t="str">
        <f ca="1">IFERROR(__xludf.DUMMYFUNCTION("""COMPUTED_VALUE"""),"20220930NYNEN")</f>
        <v>20220930NYNEN</v>
      </c>
      <c r="B172" s="5">
        <f ca="1">IFERROR(__xludf.DUMMYFUNCTION("""COMPUTED_VALUE"""),9)</f>
        <v>9</v>
      </c>
      <c r="C172" s="5">
        <f ca="1">IFERROR(__xludf.DUMMYFUNCTION("""COMPUTED_VALUE"""),30)</f>
        <v>30</v>
      </c>
      <c r="D172" s="5">
        <f ca="1">IFERROR(__xludf.DUMMYFUNCTION("""COMPUTED_VALUE"""),2022)</f>
        <v>2022</v>
      </c>
      <c r="E172" s="8">
        <f ca="1">IFERROR(__xludf.DUMMYFUNCTION("""COMPUTED_VALUE"""),44834)</f>
        <v>44834</v>
      </c>
      <c r="F172" s="5" t="str">
        <f ca="1">IFERROR(__xludf.DUMMYFUNCTION("""COMPUTED_VALUE"""),"Newburgh Free Academy")</f>
        <v>Newburgh Free Academy</v>
      </c>
      <c r="G172" s="5">
        <f ca="1">IFERROR(__xludf.DUMMYFUNCTION("""COMPUTED_VALUE"""),0)</f>
        <v>0</v>
      </c>
      <c r="H172" s="5">
        <f ca="1">IFERROR(__xludf.DUMMYFUNCTION("""COMPUTED_VALUE"""),3)</f>
        <v>3</v>
      </c>
      <c r="I172" s="5">
        <f ca="1">IFERROR(__xludf.DUMMYFUNCTION("""COMPUTED_VALUE"""),3)</f>
        <v>3</v>
      </c>
      <c r="J172" s="5">
        <f ca="1">IFERROR(__xludf.DUMMYFUNCTION("""COMPUTED_VALUE"""),0)</f>
        <v>0</v>
      </c>
      <c r="K172" s="5" t="str">
        <f ca="1">IFERROR(__xludf.DUMMYFUNCTION("""COMPUTED_VALUE"""),"https://www.recordonline.com/story/news/crime/2022/10/01/newburgh-free-academy-shooting-football-game/69531966007/
https://midhudsonnews.com/2022/10/01/three-people-shot-in-newburgh-following-high-school-football-game/")</f>
        <v>https://www.recordonline.com/story/news/crime/2022/10/01/newburgh-free-academy-shooting-football-game/69531966007/
https://midhudsonnews.com/2022/10/01/three-people-shot-in-newburgh-following-high-school-football-game/</v>
      </c>
      <c r="L172" s="5">
        <f ca="1">IFERROR(__xludf.DUMMYFUNCTION("""COMPUTED_VALUE"""),2)</f>
        <v>2</v>
      </c>
      <c r="M172" s="5" t="str">
        <f ca="1">IFERROR(__xludf.DUMMYFUNCTION("""COMPUTED_VALUE"""),"Local")</f>
        <v>Local</v>
      </c>
      <c r="N172" s="5">
        <f ca="1">IFERROR(__xludf.DUMMYFUNCTION("""COMPUTED_VALUE"""),4)</f>
        <v>4</v>
      </c>
      <c r="O172" s="5" t="str">
        <f ca="1">IFERROR(__xludf.DUMMYFUNCTION("""COMPUTED_VALUE"""),"Fall")</f>
        <v>Fall</v>
      </c>
      <c r="P172" s="5" t="str">
        <f ca="1">IFERROR(__xludf.DUMMYFUNCTION("""COMPUTED_VALUE"""),"Newburgh")</f>
        <v>Newburgh</v>
      </c>
      <c r="Q172" s="5" t="str">
        <f ca="1">IFERROR(__xludf.DUMMYFUNCTION("""COMPUTED_VALUE"""),"NY")</f>
        <v>NY</v>
      </c>
      <c r="R172" s="5" t="str">
        <f ca="1">IFERROR(__xludf.DUMMYFUNCTION("""COMPUTED_VALUE"""),"High")</f>
        <v>High</v>
      </c>
      <c r="S172" s="5" t="str">
        <f ca="1">IFERROR(__xludf.DUMMYFUNCTION("""COMPUTED_VALUE"""),"Parking Lot")</f>
        <v>Parking Lot</v>
      </c>
      <c r="T172" s="5" t="str">
        <f ca="1">IFERROR(__xludf.DUMMYFUNCTION("""COMPUTED_VALUE"""),"Outside on School Property")</f>
        <v>Outside on School Property</v>
      </c>
      <c r="U172" s="5" t="str">
        <f ca="1">IFERROR(__xludf.DUMMYFUNCTION("""COMPUTED_VALUE"""),"No")</f>
        <v>No</v>
      </c>
      <c r="V172" s="5" t="str">
        <f ca="1">IFERROR(__xludf.DUMMYFUNCTION("""COMPUTED_VALUE"""),"Sport Event")</f>
        <v>Sport Event</v>
      </c>
      <c r="W172" s="10">
        <f ca="1">IFERROR(__xludf.DUMMYFUNCTION("""COMPUTED_VALUE"""),0.899305555555555)</f>
        <v>0.89930555555555503</v>
      </c>
      <c r="X172" s="5">
        <f ca="1">IFERROR(__xludf.DUMMYFUNCTION("""COMPUTED_VALUE"""),1)</f>
        <v>1</v>
      </c>
      <c r="Y172" s="5" t="str">
        <f ca="1">IFERROR(__xludf.DUMMYFUNCTION("""COMPUTED_VALUE"""),"Three people shot during fight in the parking lot following the high school football game.")</f>
        <v>Three people shot during fight in the parking lot following the high school football game.</v>
      </c>
      <c r="Z172" s="5" t="str">
        <f ca="1">IFERROR(__xludf.DUMMYFUNCTION("""COMPUTED_VALUE"""),"Police Chief Anthony Geraci said a football game between Newburgh Free Academy and Warwick High School had just concluded at 9:35 p.m. when a fight broke out in a parking lot at the Newburgh school with at least five gunshots fired. Some 2,000 spectators "&amp;"were leaving the game at the time. A 43-year-old woman was shot in the foot, a 17-year-old girl was shot in the thigh and a 21-year-old man was shot in the ankle, the chief said.")</f>
        <v>Police Chief Anthony Geraci said a football game between Newburgh Free Academy and Warwick High School had just concluded at 9:35 p.m. when a fight broke out in a parking lot at the Newburgh school with at least five gunshots fired. Some 2,000 spectators were leaving the game at the time. A 43-year-old woman was shot in the foot, a 17-year-old girl was shot in the thigh and a 21-year-old man was shot in the ankle, the chief said.</v>
      </c>
      <c r="AA172" s="5" t="str">
        <f ca="1">IFERROR(__xludf.DUMMYFUNCTION("""COMPUTED_VALUE"""),"Escalation of Dispute")</f>
        <v>Escalation of Dispute</v>
      </c>
      <c r="AB172" s="5" t="str">
        <f ca="1">IFERROR(__xludf.DUMMYFUNCTION("""COMPUTED_VALUE"""),"Both")</f>
        <v>Both</v>
      </c>
      <c r="AC172" s="5" t="str">
        <f ca="1">IFERROR(__xludf.DUMMYFUNCTION("""COMPUTED_VALUE"""),"No")</f>
        <v>No</v>
      </c>
      <c r="AD172" s="5" t="str">
        <f ca="1">IFERROR(__xludf.DUMMYFUNCTION("""COMPUTED_VALUE"""),"No")</f>
        <v>No</v>
      </c>
      <c r="AE172" s="5" t="str">
        <f ca="1">IFERROR(__xludf.DUMMYFUNCTION("""COMPUTED_VALUE"""),"No")</f>
        <v>No</v>
      </c>
      <c r="AF172" s="5" t="str">
        <f ca="1">IFERROR(__xludf.DUMMYFUNCTION("""COMPUTED_VALUE"""),"No")</f>
        <v>No</v>
      </c>
      <c r="AG172" s="5" t="str">
        <f ca="1">IFERROR(__xludf.DUMMYFUNCTION("""COMPUTED_VALUE"""),"No")</f>
        <v>No</v>
      </c>
      <c r="AH172" s="5" t="str">
        <f ca="1">IFERROR(__xludf.DUMMYFUNCTION("""COMPUTED_VALUE"""),"No")</f>
        <v>No</v>
      </c>
      <c r="AI172" s="5"/>
      <c r="AJ172" s="5" t="str">
        <f ca="1">IFERROR(__xludf.DUMMYFUNCTION("""COMPUTED_VALUE"""),"No")</f>
        <v>No</v>
      </c>
    </row>
    <row r="173" spans="1:36" ht="13">
      <c r="A173" s="5" t="str">
        <f ca="1">IFERROR(__xludf.DUMMYFUNCTION("""COMPUTED_VALUE"""),"20220928LASEB")</f>
        <v>20220928LASEB</v>
      </c>
      <c r="B173" s="5">
        <f ca="1">IFERROR(__xludf.DUMMYFUNCTION("""COMPUTED_VALUE"""),9)</f>
        <v>9</v>
      </c>
      <c r="C173" s="5">
        <f ca="1">IFERROR(__xludf.DUMMYFUNCTION("""COMPUTED_VALUE"""),28)</f>
        <v>28</v>
      </c>
      <c r="D173" s="5">
        <f ca="1">IFERROR(__xludf.DUMMYFUNCTION("""COMPUTED_VALUE"""),2022)</f>
        <v>2022</v>
      </c>
      <c r="E173" s="8">
        <f ca="1">IFERROR(__xludf.DUMMYFUNCTION("""COMPUTED_VALUE"""),44832)</f>
        <v>44832</v>
      </c>
      <c r="F173" s="5" t="str">
        <f ca="1">IFERROR(__xludf.DUMMYFUNCTION("""COMPUTED_VALUE"""),"Second Chance Academy")</f>
        <v>Second Chance Academy</v>
      </c>
      <c r="G173" s="5">
        <f ca="1">IFERROR(__xludf.DUMMYFUNCTION("""COMPUTED_VALUE"""),0)</f>
        <v>0</v>
      </c>
      <c r="H173" s="5">
        <f ca="1">IFERROR(__xludf.DUMMYFUNCTION("""COMPUTED_VALUE"""),0)</f>
        <v>0</v>
      </c>
      <c r="I173" s="5">
        <f ca="1">IFERROR(__xludf.DUMMYFUNCTION("""COMPUTED_VALUE"""),0)</f>
        <v>0</v>
      </c>
      <c r="J173" s="5">
        <f ca="1">IFERROR(__xludf.DUMMYFUNCTION("""COMPUTED_VALUE"""),0)</f>
        <v>0</v>
      </c>
      <c r="K173" s="9" t="str">
        <f ca="1">IFERROR(__xludf.DUMMYFUNCTION("""COMPUTED_VALUE"""),"https://www.wafb.com/2022/09/28/teen-fires-shots-into-car-br-private-school/")</f>
        <v>https://www.wafb.com/2022/09/28/teen-fires-shots-into-car-br-private-school/</v>
      </c>
      <c r="L173" s="5">
        <f ca="1">IFERROR(__xludf.DUMMYFUNCTION("""COMPUTED_VALUE"""),1)</f>
        <v>1</v>
      </c>
      <c r="M173" s="5" t="str">
        <f ca="1">IFERROR(__xludf.DUMMYFUNCTION("""COMPUTED_VALUE"""),"Local")</f>
        <v>Local</v>
      </c>
      <c r="N173" s="5">
        <f ca="1">IFERROR(__xludf.DUMMYFUNCTION("""COMPUTED_VALUE"""),4)</f>
        <v>4</v>
      </c>
      <c r="O173" s="5" t="str">
        <f ca="1">IFERROR(__xludf.DUMMYFUNCTION("""COMPUTED_VALUE"""),"Fall")</f>
        <v>Fall</v>
      </c>
      <c r="P173" s="5" t="str">
        <f ca="1">IFERROR(__xludf.DUMMYFUNCTION("""COMPUTED_VALUE"""),"Baton Rouge")</f>
        <v>Baton Rouge</v>
      </c>
      <c r="Q173" s="5" t="str">
        <f ca="1">IFERROR(__xludf.DUMMYFUNCTION("""COMPUTED_VALUE"""),"LA")</f>
        <v>LA</v>
      </c>
      <c r="R173" s="5" t="str">
        <f ca="1">IFERROR(__xludf.DUMMYFUNCTION("""COMPUTED_VALUE"""),"High")</f>
        <v>High</v>
      </c>
      <c r="S173" s="5" t="str">
        <f ca="1">IFERROR(__xludf.DUMMYFUNCTION("""COMPUTED_VALUE"""),"Parking Lot")</f>
        <v>Parking Lot</v>
      </c>
      <c r="T173" s="5" t="str">
        <f ca="1">IFERROR(__xludf.DUMMYFUNCTION("""COMPUTED_VALUE"""),"Outside on School Property")</f>
        <v>Outside on School Property</v>
      </c>
      <c r="U173" s="5" t="str">
        <f ca="1">IFERROR(__xludf.DUMMYFUNCTION("""COMPUTED_VALUE"""),"Yes")</f>
        <v>Yes</v>
      </c>
      <c r="V173" s="5" t="str">
        <f ca="1">IFERROR(__xludf.DUMMYFUNCTION("""COMPUTED_VALUE"""),"Morning Classes")</f>
        <v>Morning Classes</v>
      </c>
      <c r="W173" s="10">
        <f ca="1">IFERROR(__xludf.DUMMYFUNCTION("""COMPUTED_VALUE"""),0.4375)</f>
        <v>0.4375</v>
      </c>
      <c r="X173" s="5">
        <f ca="1">IFERROR(__xludf.DUMMYFUNCTION("""COMPUTED_VALUE"""),1)</f>
        <v>1</v>
      </c>
      <c r="Y173" s="5" t="str">
        <f ca="1">IFERROR(__xludf.DUMMYFUNCTION("""COMPUTED_VALUE"""),"Student fired shots at vehicle in parking lot")</f>
        <v>Student fired shots at vehicle in parking lot</v>
      </c>
      <c r="Z173" s="5" t="str">
        <f ca="1">IFERROR(__xludf.DUMMYFUNCTION("""COMPUTED_VALUE"""),"A student left class and returned to school then fired multiple shots at a vehicle parked in the school parking lot. The vehicle was owned by the mother of a student who the shooter had an argument with. Shooter was wearing ankle monitor for prior gun cri"&amp;"me.")</f>
        <v>A student left class and returned to school then fired multiple shots at a vehicle parked in the school parking lot. The vehicle was owned by the mother of a student who the shooter had an argument with. Shooter was wearing ankle monitor for prior gun crime.</v>
      </c>
      <c r="AA173" s="5" t="str">
        <f ca="1">IFERROR(__xludf.DUMMYFUNCTION("""COMPUTED_VALUE"""),"Escalation of Dispute")</f>
        <v>Escalation of Dispute</v>
      </c>
      <c r="AB173" s="5" t="str">
        <f ca="1">IFERROR(__xludf.DUMMYFUNCTION("""COMPUTED_VALUE"""),"Neither")</f>
        <v>Neither</v>
      </c>
      <c r="AC173" s="5" t="str">
        <f ca="1">IFERROR(__xludf.DUMMYFUNCTION("""COMPUTED_VALUE"""),"No")</f>
        <v>No</v>
      </c>
      <c r="AD173" s="5" t="str">
        <f ca="1">IFERROR(__xludf.DUMMYFUNCTION("""COMPUTED_VALUE"""),"No")</f>
        <v>No</v>
      </c>
      <c r="AE173" s="5" t="str">
        <f ca="1">IFERROR(__xludf.DUMMYFUNCTION("""COMPUTED_VALUE"""),"No")</f>
        <v>No</v>
      </c>
      <c r="AF173" s="5" t="str">
        <f ca="1">IFERROR(__xludf.DUMMYFUNCTION("""COMPUTED_VALUE"""),"No")</f>
        <v>No</v>
      </c>
      <c r="AG173" s="5" t="str">
        <f ca="1">IFERROR(__xludf.DUMMYFUNCTION("""COMPUTED_VALUE"""),"No")</f>
        <v>No</v>
      </c>
      <c r="AH173" s="5" t="str">
        <f ca="1">IFERROR(__xludf.DUMMYFUNCTION("""COMPUTED_VALUE"""),"No")</f>
        <v>No</v>
      </c>
      <c r="AI173" s="5"/>
      <c r="AJ173" s="5" t="str">
        <f ca="1">IFERROR(__xludf.DUMMYFUNCTION("""COMPUTED_VALUE"""),"No")</f>
        <v>No</v>
      </c>
    </row>
    <row r="174" spans="1:36" ht="13">
      <c r="A174" s="5" t="str">
        <f ca="1">IFERROR(__xludf.DUMMYFUNCTION("""COMPUTED_VALUE"""),"20220928CARUO")</f>
        <v>20220928CARUO</v>
      </c>
      <c r="B174" s="5">
        <f ca="1">IFERROR(__xludf.DUMMYFUNCTION("""COMPUTED_VALUE"""),9)</f>
        <v>9</v>
      </c>
      <c r="C174" s="5">
        <f ca="1">IFERROR(__xludf.DUMMYFUNCTION("""COMPUTED_VALUE"""),28)</f>
        <v>28</v>
      </c>
      <c r="D174" s="5">
        <f ca="1">IFERROR(__xludf.DUMMYFUNCTION("""COMPUTED_VALUE"""),2022)</f>
        <v>2022</v>
      </c>
      <c r="E174" s="8">
        <f ca="1">IFERROR(__xludf.DUMMYFUNCTION("""COMPUTED_VALUE"""),44832)</f>
        <v>44832</v>
      </c>
      <c r="F174" s="5" t="str">
        <f ca="1">IFERROR(__xludf.DUMMYFUNCTION("""COMPUTED_VALUE"""),"Rudsdale Continuation High School")</f>
        <v>Rudsdale Continuation High School</v>
      </c>
      <c r="G174" s="5">
        <f ca="1">IFERROR(__xludf.DUMMYFUNCTION("""COMPUTED_VALUE"""),1)</f>
        <v>1</v>
      </c>
      <c r="H174" s="5">
        <f ca="1">IFERROR(__xludf.DUMMYFUNCTION("""COMPUTED_VALUE"""),5)</f>
        <v>5</v>
      </c>
      <c r="I174" s="5">
        <f ca="1">IFERROR(__xludf.DUMMYFUNCTION("""COMPUTED_VALUE"""),6)</f>
        <v>6</v>
      </c>
      <c r="J174" s="5">
        <f ca="1">IFERROR(__xludf.DUMMYFUNCTION("""COMPUTED_VALUE"""),0)</f>
        <v>0</v>
      </c>
      <c r="K174" s="5" t="str">
        <f ca="1">IFERROR(__xludf.DUMMYFUNCTION("""COMPUTED_VALUE"""),"https://www.kron4.com/news/bay-area/oakland-school-mass-shooting-case-remains-unsolved-police-release-video/
https://www.nbcbayarea.com/news/local/oakland-shooting-investigation/3015948/
https://www.mercurynews.com/2022/09/29/oakland-school-shooting-campu"&amp;"ses-closed-police-still-searching-for-shooter/?campaign=sjmnbreakingnews&amp;utm_email=8434C441A582D409D4D5B444DB&amp;g2i_eui=E6h%2fY%2b1ZwclqNqZYION4pCivo9CZALa3&amp;g2i_source=newsletter&amp;active=no&amp;lctg=8434C441A582D409D4D5B444DB&amp;utm_source=listrak&amp;utm_medium=email&amp;"&amp;"utm_term=https%3a%2f%2fwww.mercurynews.com%2f2022%2f09%2f29%2foakland-school-shooting-campuses-closed-police-still-searching-for-shooter%2f&amp;utm_campaign=bang-sjmn-nl-breaking-news-alerts-nl&amp;utm_content=alert
https://abc7news.com/oakland-school-shooting-fo"&amp;"ntaine-street-sojourner-truth-independent-study-police/12276357/
")</f>
        <v xml:space="preserve">https://www.kron4.com/news/bay-area/oakland-school-mass-shooting-case-remains-unsolved-police-release-video/
https://www.nbcbayarea.com/news/local/oakland-shooting-investigation/3015948/
https://www.mercurynews.com/2022/09/29/oakland-school-shooting-campuses-closed-police-still-searching-for-shooter/?campaign=sjmnbreakingnews&amp;utm_email=8434C441A582D409D4D5B444DB&amp;g2i_eui=E6h%2fY%2b1ZwclqNqZYION4pCivo9CZALa3&amp;g2i_source=newsletter&amp;active=no&amp;lctg=8434C441A582D409D4D5B444DB&amp;utm_source=listrak&amp;utm_medium=email&amp;utm_term=https%3a%2f%2fwww.mercurynews.com%2f2022%2f09%2f29%2foakland-school-shooting-campuses-closed-police-still-searching-for-shooter%2f&amp;utm_campaign=bang-sjmn-nl-breaking-news-alerts-nl&amp;utm_content=alert
https://abc7news.com/oakland-school-shooting-fontaine-street-sojourner-truth-independent-study-police/12276357/
</v>
      </c>
      <c r="L174" s="5">
        <f ca="1">IFERROR(__xludf.DUMMYFUNCTION("""COMPUTED_VALUE"""),100)</f>
        <v>100</v>
      </c>
      <c r="M174" s="5" t="str">
        <f ca="1">IFERROR(__xludf.DUMMYFUNCTION("""COMPUTED_VALUE"""),"National")</f>
        <v>National</v>
      </c>
      <c r="N174" s="5">
        <f ca="1">IFERROR(__xludf.DUMMYFUNCTION("""COMPUTED_VALUE"""),4)</f>
        <v>4</v>
      </c>
      <c r="O174" s="5" t="str">
        <f ca="1">IFERROR(__xludf.DUMMYFUNCTION("""COMPUTED_VALUE"""),"Fall")</f>
        <v>Fall</v>
      </c>
      <c r="P174" s="5" t="str">
        <f ca="1">IFERROR(__xludf.DUMMYFUNCTION("""COMPUTED_VALUE"""),"Oakland")</f>
        <v>Oakland</v>
      </c>
      <c r="Q174" s="5" t="str">
        <f ca="1">IFERROR(__xludf.DUMMYFUNCTION("""COMPUTED_VALUE"""),"CA")</f>
        <v>CA</v>
      </c>
      <c r="R174" s="5" t="str">
        <f ca="1">IFERROR(__xludf.DUMMYFUNCTION("""COMPUTED_VALUE"""),"High")</f>
        <v>High</v>
      </c>
      <c r="S174" s="5" t="str">
        <f ca="1">IFERROR(__xludf.DUMMYFUNCTION("""COMPUTED_VALUE"""),"Inside School Building")</f>
        <v>Inside School Building</v>
      </c>
      <c r="T174" s="5" t="str">
        <f ca="1">IFERROR(__xludf.DUMMYFUNCTION("""COMPUTED_VALUE"""),"Inside School Building")</f>
        <v>Inside School Building</v>
      </c>
      <c r="U174" s="5" t="str">
        <f ca="1">IFERROR(__xludf.DUMMYFUNCTION("""COMPUTED_VALUE"""),"Yes")</f>
        <v>Yes</v>
      </c>
      <c r="V174" s="5" t="str">
        <f ca="1">IFERROR(__xludf.DUMMYFUNCTION("""COMPUTED_VALUE"""),"Afternoon Classes")</f>
        <v>Afternoon Classes</v>
      </c>
      <c r="W174" s="10">
        <f ca="1">IFERROR(__xludf.DUMMYFUNCTION("""COMPUTED_VALUE"""),0.53125)</f>
        <v>0.53125</v>
      </c>
      <c r="X174" s="5"/>
      <c r="Y174" s="5" t="str">
        <f ca="1">IFERROR(__xludf.DUMMYFUNCTION("""COMPUTED_VALUE"""),"6 adults shot inside school")</f>
        <v>6 adults shot inside school</v>
      </c>
      <c r="Z174" s="5" t="str">
        <f ca="1">IFERROR(__xludf.DUMMYFUNCTION("""COMPUTED_VALUE"""),"Six adults, both students and teachers, were shot inside the school by two shooters assisted by a third person. Campus has multiple schools including an elementary, middle, high, and adult continuation high school. Entire campus locked down and was search"&amp;"ed by police. 3 in critical condition. Police believe the shooting related to an earlier fight and the shooting may be gang related.")</f>
        <v>Six adults, both students and teachers, were shot inside the school by two shooters assisted by a third person. Campus has multiple schools including an elementary, middle, high, and adult continuation high school. Entire campus locked down and was searched by police. 3 in critical condition. Police believe the shooting related to an earlier fight and the shooting may be gang related.</v>
      </c>
      <c r="AA174" s="5" t="str">
        <f ca="1">IFERROR(__xludf.DUMMYFUNCTION("""COMPUTED_VALUE"""),"Escalation of Dispute")</f>
        <v>Escalation of Dispute</v>
      </c>
      <c r="AB174" s="5" t="str">
        <f ca="1">IFERROR(__xludf.DUMMYFUNCTION("""COMPUTED_VALUE"""),"Both")</f>
        <v>Both</v>
      </c>
      <c r="AC174" s="5" t="str">
        <f ca="1">IFERROR(__xludf.DUMMYFUNCTION("""COMPUTED_VALUE"""),"Yes")</f>
        <v>Yes</v>
      </c>
      <c r="AD174" s="5" t="str">
        <f ca="1">IFERROR(__xludf.DUMMYFUNCTION("""COMPUTED_VALUE"""),"No")</f>
        <v>No</v>
      </c>
      <c r="AE174" s="5" t="str">
        <f ca="1">IFERROR(__xludf.DUMMYFUNCTION("""COMPUTED_VALUE"""),"No")</f>
        <v>No</v>
      </c>
      <c r="AF174" s="5" t="str">
        <f ca="1">IFERROR(__xludf.DUMMYFUNCTION("""COMPUTED_VALUE"""),"No")</f>
        <v>No</v>
      </c>
      <c r="AG174" s="5" t="str">
        <f ca="1">IFERROR(__xludf.DUMMYFUNCTION("""COMPUTED_VALUE"""),"No")</f>
        <v>No</v>
      </c>
      <c r="AH174" s="5" t="str">
        <f ca="1">IFERROR(__xludf.DUMMYFUNCTION("""COMPUTED_VALUE"""),"No")</f>
        <v>No</v>
      </c>
      <c r="AI174" s="5" t="str">
        <f ca="1">IFERROR(__xludf.DUMMYFUNCTION("""COMPUTED_VALUE"""),"Yes")</f>
        <v>Yes</v>
      </c>
      <c r="AJ174" s="5" t="str">
        <f ca="1">IFERROR(__xludf.DUMMYFUNCTION("""COMPUTED_VALUE"""),"No")</f>
        <v>No</v>
      </c>
    </row>
    <row r="175" spans="1:36" ht="13">
      <c r="A175" s="5" t="str">
        <f ca="1">IFERROR(__xludf.DUMMYFUNCTION("""COMPUTED_VALUE"""),"20220927PAROP")</f>
        <v>20220927PAROP</v>
      </c>
      <c r="B175" s="5">
        <f ca="1">IFERROR(__xludf.DUMMYFUNCTION("""COMPUTED_VALUE"""),9)</f>
        <v>9</v>
      </c>
      <c r="C175" s="5">
        <f ca="1">IFERROR(__xludf.DUMMYFUNCTION("""COMPUTED_VALUE"""),27)</f>
        <v>27</v>
      </c>
      <c r="D175" s="5">
        <f ca="1">IFERROR(__xludf.DUMMYFUNCTION("""COMPUTED_VALUE"""),2022)</f>
        <v>2022</v>
      </c>
      <c r="E175" s="8">
        <f ca="1">IFERROR(__xludf.DUMMYFUNCTION("""COMPUTED_VALUE"""),44831)</f>
        <v>44831</v>
      </c>
      <c r="F175" s="5" t="str">
        <f ca="1">IFERROR(__xludf.DUMMYFUNCTION("""COMPUTED_VALUE"""),"Roxborough High School")</f>
        <v>Roxborough High School</v>
      </c>
      <c r="G175" s="5">
        <f ca="1">IFERROR(__xludf.DUMMYFUNCTION("""COMPUTED_VALUE"""),1)</f>
        <v>1</v>
      </c>
      <c r="H175" s="5">
        <f ca="1">IFERROR(__xludf.DUMMYFUNCTION("""COMPUTED_VALUE"""),4)</f>
        <v>4</v>
      </c>
      <c r="I175" s="5">
        <f ca="1">IFERROR(__xludf.DUMMYFUNCTION("""COMPUTED_VALUE"""),5)</f>
        <v>5</v>
      </c>
      <c r="J175" s="5">
        <f ca="1">IFERROR(__xludf.DUMMYFUNCTION("""COMPUTED_VALUE"""),0)</f>
        <v>0</v>
      </c>
      <c r="K175" s="9" t="str">
        <f ca="1">IFERROR(__xludf.DUMMYFUNCTION("""COMPUTED_VALUE"""),"https://www.nbcphiladelphia.com/news/local/4-people-shot-at-roxborough-high-school/3375136/")</f>
        <v>https://www.nbcphiladelphia.com/news/local/4-people-shot-at-roxborough-high-school/3375136/</v>
      </c>
      <c r="L175" s="5">
        <f ca="1">IFERROR(__xludf.DUMMYFUNCTION("""COMPUTED_VALUE"""),100)</f>
        <v>100</v>
      </c>
      <c r="M175" s="5" t="str">
        <f ca="1">IFERROR(__xludf.DUMMYFUNCTION("""COMPUTED_VALUE"""),"National")</f>
        <v>National</v>
      </c>
      <c r="N175" s="5">
        <f ca="1">IFERROR(__xludf.DUMMYFUNCTION("""COMPUTED_VALUE"""),4)</f>
        <v>4</v>
      </c>
      <c r="O175" s="5" t="str">
        <f ca="1">IFERROR(__xludf.DUMMYFUNCTION("""COMPUTED_VALUE"""),"Fall")</f>
        <v>Fall</v>
      </c>
      <c r="P175" s="5" t="str">
        <f ca="1">IFERROR(__xludf.DUMMYFUNCTION("""COMPUTED_VALUE"""),"Philadelphia")</f>
        <v>Philadelphia</v>
      </c>
      <c r="Q175" s="5" t="str">
        <f ca="1">IFERROR(__xludf.DUMMYFUNCTION("""COMPUTED_VALUE"""),"PA")</f>
        <v>PA</v>
      </c>
      <c r="R175" s="5" t="str">
        <f ca="1">IFERROR(__xludf.DUMMYFUNCTION("""COMPUTED_VALUE"""),"High")</f>
        <v>High</v>
      </c>
      <c r="S175" s="5" t="str">
        <f ca="1">IFERROR(__xludf.DUMMYFUNCTION("""COMPUTED_VALUE"""),"Football Field/Track")</f>
        <v>Football Field/Track</v>
      </c>
      <c r="T175" s="5" t="str">
        <f ca="1">IFERROR(__xludf.DUMMYFUNCTION("""COMPUTED_VALUE"""),"Outside on School Property")</f>
        <v>Outside on School Property</v>
      </c>
      <c r="U175" s="5" t="str">
        <f ca="1">IFERROR(__xludf.DUMMYFUNCTION("""COMPUTED_VALUE"""),"No")</f>
        <v>No</v>
      </c>
      <c r="V175" s="5" t="str">
        <f ca="1">IFERROR(__xludf.DUMMYFUNCTION("""COMPUTED_VALUE"""),"Sport Event")</f>
        <v>Sport Event</v>
      </c>
      <c r="W175" s="10">
        <f ca="1">IFERROR(__xludf.DUMMYFUNCTION("""COMPUTED_VALUE"""),0.695138888888888)</f>
        <v>0.69513888888888797</v>
      </c>
      <c r="X175" s="5">
        <f ca="1">IFERROR(__xludf.DUMMYFUNCTION("""COMPUTED_VALUE"""),1)</f>
        <v>1</v>
      </c>
      <c r="Y175" s="5" t="str">
        <f ca="1">IFERROR(__xludf.DUMMYFUNCTION("""COMPUTED_VALUE"""),"5 high school football players shot in drive-by leavings football field")</f>
        <v>5 high school football players shot in drive-by leavings football field</v>
      </c>
      <c r="Z175" s="5" t="str">
        <f ca="1">IFERROR(__xludf.DUMMYFUNCTION("""COMPUTED_VALUE"""),"5 students (football players) were shot near the gate to the stadium following a football scrimmage. 14-year-old died. More than 60 shots were fired by two shooters inside an SUV.")</f>
        <v>5 students (football players) were shot near the gate to the stadium following a football scrimmage. 14-year-old died. More than 60 shots were fired by two shooters inside an SUV.</v>
      </c>
      <c r="AA175" s="5" t="str">
        <f ca="1">IFERROR(__xludf.DUMMYFUNCTION("""COMPUTED_VALUE"""),"Drive-by Shooting")</f>
        <v>Drive-by Shooting</v>
      </c>
      <c r="AB175" s="5" t="str">
        <f ca="1">IFERROR(__xludf.DUMMYFUNCTION("""COMPUTED_VALUE"""),"Victims Targeted")</f>
        <v>Victims Targeted</v>
      </c>
      <c r="AC175" s="5" t="str">
        <f ca="1">IFERROR(__xludf.DUMMYFUNCTION("""COMPUTED_VALUE"""),"Yes")</f>
        <v>Yes</v>
      </c>
      <c r="AD175" s="5" t="str">
        <f ca="1">IFERROR(__xludf.DUMMYFUNCTION("""COMPUTED_VALUE"""),"No")</f>
        <v>No</v>
      </c>
      <c r="AE175" s="5" t="str">
        <f ca="1">IFERROR(__xludf.DUMMYFUNCTION("""COMPUTED_VALUE"""),"No")</f>
        <v>No</v>
      </c>
      <c r="AF175" s="5" t="str">
        <f ca="1">IFERROR(__xludf.DUMMYFUNCTION("""COMPUTED_VALUE"""),"No")</f>
        <v>No</v>
      </c>
      <c r="AG175" s="5" t="str">
        <f ca="1">IFERROR(__xludf.DUMMYFUNCTION("""COMPUTED_VALUE"""),"No")</f>
        <v>No</v>
      </c>
      <c r="AH175" s="5" t="str">
        <f ca="1">IFERROR(__xludf.DUMMYFUNCTION("""COMPUTED_VALUE"""),"No")</f>
        <v>No</v>
      </c>
      <c r="AI175" s="5"/>
      <c r="AJ175" s="5" t="str">
        <f ca="1">IFERROR(__xludf.DUMMYFUNCTION("""COMPUTED_VALUE"""),"No")</f>
        <v>No</v>
      </c>
    </row>
    <row r="176" spans="1:36" ht="13">
      <c r="A176" s="5" t="str">
        <f ca="1">IFERROR(__xludf.DUMMYFUNCTION("""COMPUTED_VALUE"""),"20220927TXHGD")</f>
        <v>20220927TXHGD</v>
      </c>
      <c r="B176" s="5">
        <f ca="1">IFERROR(__xludf.DUMMYFUNCTION("""COMPUTED_VALUE"""),9)</f>
        <v>9</v>
      </c>
      <c r="C176" s="5">
        <f ca="1">IFERROR(__xludf.DUMMYFUNCTION("""COMPUTED_VALUE"""),27)</f>
        <v>27</v>
      </c>
      <c r="D176" s="5">
        <f ca="1">IFERROR(__xludf.DUMMYFUNCTION("""COMPUTED_VALUE"""),2022)</f>
        <v>2022</v>
      </c>
      <c r="E176" s="8">
        <f ca="1">IFERROR(__xludf.DUMMYFUNCTION("""COMPUTED_VALUE"""),44831)</f>
        <v>44831</v>
      </c>
      <c r="F176" s="5" t="str">
        <f ca="1">IFERROR(__xludf.DUMMYFUNCTION("""COMPUTED_VALUE"""),"H. Grady Spruce High School")</f>
        <v>H. Grady Spruce High School</v>
      </c>
      <c r="G176" s="5">
        <f ca="1">IFERROR(__xludf.DUMMYFUNCTION("""COMPUTED_VALUE"""),0)</f>
        <v>0</v>
      </c>
      <c r="H176" s="5">
        <f ca="1">IFERROR(__xludf.DUMMYFUNCTION("""COMPUTED_VALUE"""),1)</f>
        <v>1</v>
      </c>
      <c r="I176" s="5">
        <f ca="1">IFERROR(__xludf.DUMMYFUNCTION("""COMPUTED_VALUE"""),1)</f>
        <v>1</v>
      </c>
      <c r="J176" s="5">
        <f ca="1">IFERROR(__xludf.DUMMYFUNCTION("""COMPUTED_VALUE"""),0)</f>
        <v>0</v>
      </c>
      <c r="K176" s="5" t="str">
        <f ca="1">IFERROR(__xludf.DUMMYFUNCTION("""COMPUTED_VALUE"""),"https://www.cbsnews.com/dfw/news/1-boy-shot-in-dallas-police-are-searching-for-suspect/
https://www.nbcdfw.com/news/local/spruce-high-school-student-shot-near-campus-shooter-at-large/3082926/
")</f>
        <v xml:space="preserve">https://www.cbsnews.com/dfw/news/1-boy-shot-in-dallas-police-are-searching-for-suspect/
https://www.nbcdfw.com/news/local/spruce-high-school-student-shot-near-campus-shooter-at-large/3082926/
</v>
      </c>
      <c r="L176" s="5">
        <f ca="1">IFERROR(__xludf.DUMMYFUNCTION("""COMPUTED_VALUE"""),10)</f>
        <v>10</v>
      </c>
      <c r="M176" s="5" t="str">
        <f ca="1">IFERROR(__xludf.DUMMYFUNCTION("""COMPUTED_VALUE"""),"National")</f>
        <v>National</v>
      </c>
      <c r="N176" s="5">
        <f ca="1">IFERROR(__xludf.DUMMYFUNCTION("""COMPUTED_VALUE"""),4)</f>
        <v>4</v>
      </c>
      <c r="O176" s="5" t="str">
        <f ca="1">IFERROR(__xludf.DUMMYFUNCTION("""COMPUTED_VALUE"""),"Fall")</f>
        <v>Fall</v>
      </c>
      <c r="P176" s="5" t="str">
        <f ca="1">IFERROR(__xludf.DUMMYFUNCTION("""COMPUTED_VALUE"""),"Dallas")</f>
        <v>Dallas</v>
      </c>
      <c r="Q176" s="5" t="str">
        <f ca="1">IFERROR(__xludf.DUMMYFUNCTION("""COMPUTED_VALUE"""),"TX")</f>
        <v>TX</v>
      </c>
      <c r="R176" s="5" t="str">
        <f ca="1">IFERROR(__xludf.DUMMYFUNCTION("""COMPUTED_VALUE"""),"High")</f>
        <v>High</v>
      </c>
      <c r="S176" s="5" t="str">
        <f ca="1">IFERROR(__xludf.DUMMYFUNCTION("""COMPUTED_VALUE"""),"Front of School")</f>
        <v>Front of School</v>
      </c>
      <c r="T176" s="5" t="str">
        <f ca="1">IFERROR(__xludf.DUMMYFUNCTION("""COMPUTED_VALUE"""),"Outside on School Property")</f>
        <v>Outside on School Property</v>
      </c>
      <c r="U176" s="5" t="str">
        <f ca="1">IFERROR(__xludf.DUMMYFUNCTION("""COMPUTED_VALUE"""),"No")</f>
        <v>No</v>
      </c>
      <c r="V176" s="5" t="str">
        <f ca="1">IFERROR(__xludf.DUMMYFUNCTION("""COMPUTED_VALUE"""),"After School")</f>
        <v>After School</v>
      </c>
      <c r="W176" s="10">
        <f ca="1">IFERROR(__xludf.DUMMYFUNCTION("""COMPUTED_VALUE"""),0.6875)</f>
        <v>0.6875</v>
      </c>
      <c r="X176" s="5">
        <f ca="1">IFERROR(__xludf.DUMMYFUNCTION("""COMPUTED_VALUE"""),1)</f>
        <v>1</v>
      </c>
      <c r="Y176" s="5" t="str">
        <f ca="1">IFERROR(__xludf.DUMMYFUNCTION("""COMPUTED_VALUE"""),"Teenage student was shot leaving the school during drive-by")</f>
        <v>Teenage student was shot leaving the school during drive-by</v>
      </c>
      <c r="Z176" s="5" t="str">
        <f ca="1">IFERROR(__xludf.DUMMYFUNCTION("""COMPUTED_VALUE"""),"A teenage student was shot while leaving the campus after school. Shots fired from a vehicle and unidentified shooter fled.")</f>
        <v>A teenage student was shot while leaving the campus after school. Shots fired from a vehicle and unidentified shooter fled.</v>
      </c>
      <c r="AA176" s="5" t="str">
        <f ca="1">IFERROR(__xludf.DUMMYFUNCTION("""COMPUTED_VALUE"""),"Drive-by Shooting")</f>
        <v>Drive-by Shooting</v>
      </c>
      <c r="AB176" s="5" t="str">
        <f ca="1">IFERROR(__xludf.DUMMYFUNCTION("""COMPUTED_VALUE"""),"Victims Targeted")</f>
        <v>Victims Targeted</v>
      </c>
      <c r="AC176" s="5" t="str">
        <f ca="1">IFERROR(__xludf.DUMMYFUNCTION("""COMPUTED_VALUE"""),"Yes")</f>
        <v>Yes</v>
      </c>
      <c r="AD176" s="5" t="str">
        <f ca="1">IFERROR(__xludf.DUMMYFUNCTION("""COMPUTED_VALUE"""),"No")</f>
        <v>No</v>
      </c>
      <c r="AE176" s="5" t="str">
        <f ca="1">IFERROR(__xludf.DUMMYFUNCTION("""COMPUTED_VALUE"""),"No")</f>
        <v>No</v>
      </c>
      <c r="AF176" s="5" t="str">
        <f ca="1">IFERROR(__xludf.DUMMYFUNCTION("""COMPUTED_VALUE"""),"No")</f>
        <v>No</v>
      </c>
      <c r="AG176" s="5" t="str">
        <f ca="1">IFERROR(__xludf.DUMMYFUNCTION("""COMPUTED_VALUE"""),"No")</f>
        <v>No</v>
      </c>
      <c r="AH176" s="5" t="str">
        <f ca="1">IFERROR(__xludf.DUMMYFUNCTION("""COMPUTED_VALUE"""),"No")</f>
        <v>No</v>
      </c>
      <c r="AI176" s="5"/>
      <c r="AJ176" s="5" t="str">
        <f ca="1">IFERROR(__xludf.DUMMYFUNCTION("""COMPUTED_VALUE"""),"No")</f>
        <v>No</v>
      </c>
    </row>
    <row r="177" spans="1:36" ht="13">
      <c r="A177" s="5" t="str">
        <f ca="1">IFERROR(__xludf.DUMMYFUNCTION("""COMPUTED_VALUE"""),"20220926GAVAV")</f>
        <v>20220926GAVAV</v>
      </c>
      <c r="B177" s="5">
        <f ca="1">IFERROR(__xludf.DUMMYFUNCTION("""COMPUTED_VALUE"""),9)</f>
        <v>9</v>
      </c>
      <c r="C177" s="5">
        <f ca="1">IFERROR(__xludf.DUMMYFUNCTION("""COMPUTED_VALUE"""),26)</f>
        <v>26</v>
      </c>
      <c r="D177" s="5">
        <f ca="1">IFERROR(__xludf.DUMMYFUNCTION("""COMPUTED_VALUE"""),2022)</f>
        <v>2022</v>
      </c>
      <c r="E177" s="8">
        <f ca="1">IFERROR(__xludf.DUMMYFUNCTION("""COMPUTED_VALUE"""),44830)</f>
        <v>44830</v>
      </c>
      <c r="F177" s="5" t="str">
        <f ca="1">IFERROR(__xludf.DUMMYFUNCTION("""COMPUTED_VALUE"""),"Valdosta City Schools Bus")</f>
        <v>Valdosta City Schools Bus</v>
      </c>
      <c r="G177" s="5">
        <f ca="1">IFERROR(__xludf.DUMMYFUNCTION("""COMPUTED_VALUE"""),0)</f>
        <v>0</v>
      </c>
      <c r="H177" s="5">
        <f ca="1">IFERROR(__xludf.DUMMYFUNCTION("""COMPUTED_VALUE"""),1)</f>
        <v>1</v>
      </c>
      <c r="I177" s="5">
        <f ca="1">IFERROR(__xludf.DUMMYFUNCTION("""COMPUTED_VALUE"""),1)</f>
        <v>1</v>
      </c>
      <c r="J177" s="5">
        <f ca="1">IFERROR(__xludf.DUMMYFUNCTION("""COMPUTED_VALUE"""),0)</f>
        <v>0</v>
      </c>
      <c r="K177" s="5" t="str">
        <f ca="1">IFERROR(__xludf.DUMMYFUNCTION("""COMPUTED_VALUE"""),"https://www.walb.com/2022/09/26/preteen-stabbed-valdosta-school-bus-fight/
https://valdostatoday.com/news-2/local/2022/09/shooting-at-school-bus-stop-in-valdosta/
https://www.walb.com/2022/09/26/preteen-stabbed-valdosta-school-bus-fight/")</f>
        <v>https://www.walb.com/2022/09/26/preteen-stabbed-valdosta-school-bus-fight/
https://valdostatoday.com/news-2/local/2022/09/shooting-at-school-bus-stop-in-valdosta/
https://www.walb.com/2022/09/26/preteen-stabbed-valdosta-school-bus-fight/</v>
      </c>
      <c r="L177" s="5">
        <f ca="1">IFERROR(__xludf.DUMMYFUNCTION("""COMPUTED_VALUE"""),3)</f>
        <v>3</v>
      </c>
      <c r="M177" s="5" t="str">
        <f ca="1">IFERROR(__xludf.DUMMYFUNCTION("""COMPUTED_VALUE"""),"Local")</f>
        <v>Local</v>
      </c>
      <c r="N177" s="5">
        <f ca="1">IFERROR(__xludf.DUMMYFUNCTION("""COMPUTED_VALUE"""),4)</f>
        <v>4</v>
      </c>
      <c r="O177" s="5" t="str">
        <f ca="1">IFERROR(__xludf.DUMMYFUNCTION("""COMPUTED_VALUE"""),"Fall")</f>
        <v>Fall</v>
      </c>
      <c r="P177" s="5" t="str">
        <f ca="1">IFERROR(__xludf.DUMMYFUNCTION("""COMPUTED_VALUE"""),"Valdosta")</f>
        <v>Valdosta</v>
      </c>
      <c r="Q177" s="5" t="str">
        <f ca="1">IFERROR(__xludf.DUMMYFUNCTION("""COMPUTED_VALUE"""),"GA")</f>
        <v>GA</v>
      </c>
      <c r="R177" s="5" t="str">
        <f ca="1">IFERROR(__xludf.DUMMYFUNCTION("""COMPUTED_VALUE"""),"High")</f>
        <v>High</v>
      </c>
      <c r="S177" s="5" t="str">
        <f ca="1">IFERROR(__xludf.DUMMYFUNCTION("""COMPUTED_VALUE"""),"School Bus")</f>
        <v>School Bus</v>
      </c>
      <c r="T177" s="5" t="str">
        <f ca="1">IFERROR(__xludf.DUMMYFUNCTION("""COMPUTED_VALUE"""),"School Bus")</f>
        <v>School Bus</v>
      </c>
      <c r="U177" s="5" t="str">
        <f ca="1">IFERROR(__xludf.DUMMYFUNCTION("""COMPUTED_VALUE"""),"Yes")</f>
        <v>Yes</v>
      </c>
      <c r="V177" s="5" t="str">
        <f ca="1">IFERROR(__xludf.DUMMYFUNCTION("""COMPUTED_VALUE"""),"Before School")</f>
        <v>Before School</v>
      </c>
      <c r="W177" s="10">
        <f ca="1">IFERROR(__xludf.DUMMYFUNCTION("""COMPUTED_VALUE"""),0.322916666666666)</f>
        <v>0.32291666666666602</v>
      </c>
      <c r="X177" s="5">
        <f ca="1">IFERROR(__xludf.DUMMYFUNCTION("""COMPUTED_VALUE"""),1)</f>
        <v>1</v>
      </c>
      <c r="Y177" s="5" t="str">
        <f ca="1">IFERROR(__xludf.DUMMYFUNCTION("""COMPUTED_VALUE"""),"Teen shot at school bu stop, bus driver picked up student and drove to hospital")</f>
        <v>Teen shot at school bu stop, bus driver picked up student and drove to hospital</v>
      </c>
      <c r="Z177" s="5" t="str">
        <f ca="1">IFERROR(__xludf.DUMMYFUNCTION("""COMPUTED_VALUE"""),"A 17-year-old was shot at the school bus stop. The school bus driver picked up the student and started driving to the hospital. Multiple students provided first aid and applied pressure to the wound. Police and EMS were able to meet the bus. Student in st"&amp;"able condition. Shooter fled.")</f>
        <v>A 17-year-old was shot at the school bus stop. The school bus driver picked up the student and started driving to the hospital. Multiple students provided first aid and applied pressure to the wound. Police and EMS were able to meet the bus. Student in stable condition. Shooter fled.</v>
      </c>
      <c r="AA177" s="5"/>
      <c r="AB177" s="5" t="str">
        <f ca="1">IFERROR(__xludf.DUMMYFUNCTION("""COMPUTED_VALUE"""),"Victims Targeted")</f>
        <v>Victims Targeted</v>
      </c>
      <c r="AC177" s="5" t="str">
        <f ca="1">IFERROR(__xludf.DUMMYFUNCTION("""COMPUTED_VALUE"""),"No")</f>
        <v>No</v>
      </c>
      <c r="AD177" s="5" t="str">
        <f ca="1">IFERROR(__xludf.DUMMYFUNCTION("""COMPUTED_VALUE"""),"No")</f>
        <v>No</v>
      </c>
      <c r="AE177" s="5" t="str">
        <f ca="1">IFERROR(__xludf.DUMMYFUNCTION("""COMPUTED_VALUE"""),"No")</f>
        <v>No</v>
      </c>
      <c r="AF177" s="5" t="str">
        <f ca="1">IFERROR(__xludf.DUMMYFUNCTION("""COMPUTED_VALUE"""),"No")</f>
        <v>No</v>
      </c>
      <c r="AG177" s="5" t="str">
        <f ca="1">IFERROR(__xludf.DUMMYFUNCTION("""COMPUTED_VALUE"""),"No")</f>
        <v>No</v>
      </c>
      <c r="AH177" s="5" t="str">
        <f ca="1">IFERROR(__xludf.DUMMYFUNCTION("""COMPUTED_VALUE"""),"No")</f>
        <v>No</v>
      </c>
      <c r="AI177" s="5"/>
      <c r="AJ177" s="5" t="str">
        <f ca="1">IFERROR(__xludf.DUMMYFUNCTION("""COMPUTED_VALUE"""),"No")</f>
        <v>No</v>
      </c>
    </row>
    <row r="178" spans="1:36" ht="13">
      <c r="A178" s="5" t="str">
        <f ca="1">IFERROR(__xludf.DUMMYFUNCTION("""COMPUTED_VALUE"""),"20220923CANOC")</f>
        <v>20220923CANOC</v>
      </c>
      <c r="B178" s="5">
        <f ca="1">IFERROR(__xludf.DUMMYFUNCTION("""COMPUTED_VALUE"""),9)</f>
        <v>9</v>
      </c>
      <c r="C178" s="5">
        <f ca="1">IFERROR(__xludf.DUMMYFUNCTION("""COMPUTED_VALUE"""),23)</f>
        <v>23</v>
      </c>
      <c r="D178" s="5">
        <f ca="1">IFERROR(__xludf.DUMMYFUNCTION("""COMPUTED_VALUE"""),2022)</f>
        <v>2022</v>
      </c>
      <c r="E178" s="8">
        <f ca="1">IFERROR(__xludf.DUMMYFUNCTION("""COMPUTED_VALUE"""),44827)</f>
        <v>44827</v>
      </c>
      <c r="F178" s="5" t="str">
        <f ca="1">IFERROR(__xludf.DUMMYFUNCTION("""COMPUTED_VALUE"""),"North Monterey County High School")</f>
        <v>North Monterey County High School</v>
      </c>
      <c r="G178" s="5">
        <f ca="1">IFERROR(__xludf.DUMMYFUNCTION("""COMPUTED_VALUE"""),0)</f>
        <v>0</v>
      </c>
      <c r="H178" s="5">
        <f ca="1">IFERROR(__xludf.DUMMYFUNCTION("""COMPUTED_VALUE"""),1)</f>
        <v>1</v>
      </c>
      <c r="I178" s="5">
        <f ca="1">IFERROR(__xludf.DUMMYFUNCTION("""COMPUTED_VALUE"""),1)</f>
        <v>1</v>
      </c>
      <c r="J178" s="5">
        <f ca="1">IFERROR(__xludf.DUMMYFUNCTION("""COMPUTED_VALUE"""),0)</f>
        <v>0</v>
      </c>
      <c r="K178" s="9" t="str">
        <f ca="1">IFERROR(__xludf.DUMMYFUNCTION("""COMPUTED_VALUE"""),"https://www.ksbw.com/article/teen-shot-while-leaving-north-monterey-county-high-football-game/41395462#https://kion546.com/news/2022/09/26/shooting-reported-outside-north-monterey-county-high-school-football-field-deputies/
")</f>
        <v xml:space="preserve">https://www.ksbw.com/article/teen-shot-while-leaving-north-monterey-county-high-football-game/41395462#https://kion546.com/news/2022/09/26/shooting-reported-outside-north-monterey-county-high-school-football-field-deputies/
</v>
      </c>
      <c r="L178" s="5">
        <f ca="1">IFERROR(__xludf.DUMMYFUNCTION("""COMPUTED_VALUE"""),2)</f>
        <v>2</v>
      </c>
      <c r="M178" s="5" t="str">
        <f ca="1">IFERROR(__xludf.DUMMYFUNCTION("""COMPUTED_VALUE"""),"Local")</f>
        <v>Local</v>
      </c>
      <c r="N178" s="5">
        <f ca="1">IFERROR(__xludf.DUMMYFUNCTION("""COMPUTED_VALUE"""),4)</f>
        <v>4</v>
      </c>
      <c r="O178" s="5" t="str">
        <f ca="1">IFERROR(__xludf.DUMMYFUNCTION("""COMPUTED_VALUE"""),"Fall")</f>
        <v>Fall</v>
      </c>
      <c r="P178" s="5" t="str">
        <f ca="1">IFERROR(__xludf.DUMMYFUNCTION("""COMPUTED_VALUE"""),"Castroville")</f>
        <v>Castroville</v>
      </c>
      <c r="Q178" s="5" t="str">
        <f ca="1">IFERROR(__xludf.DUMMYFUNCTION("""COMPUTED_VALUE"""),"CA")</f>
        <v>CA</v>
      </c>
      <c r="R178" s="5" t="str">
        <f ca="1">IFERROR(__xludf.DUMMYFUNCTION("""COMPUTED_VALUE"""),"High")</f>
        <v>High</v>
      </c>
      <c r="S178" s="5" t="str">
        <f ca="1">IFERROR(__xludf.DUMMYFUNCTION("""COMPUTED_VALUE"""),"Parking Lot")</f>
        <v>Parking Lot</v>
      </c>
      <c r="T178" s="5" t="str">
        <f ca="1">IFERROR(__xludf.DUMMYFUNCTION("""COMPUTED_VALUE"""),"Outside on School Property")</f>
        <v>Outside on School Property</v>
      </c>
      <c r="U178" s="5" t="str">
        <f ca="1">IFERROR(__xludf.DUMMYFUNCTION("""COMPUTED_VALUE"""),"No")</f>
        <v>No</v>
      </c>
      <c r="V178" s="5" t="str">
        <f ca="1">IFERROR(__xludf.DUMMYFUNCTION("""COMPUTED_VALUE"""),"Sport Event")</f>
        <v>Sport Event</v>
      </c>
      <c r="W178" s="10">
        <f ca="1">IFERROR(__xludf.DUMMYFUNCTION("""COMPUTED_VALUE"""),0.8125)</f>
        <v>0.8125</v>
      </c>
      <c r="X178" s="5">
        <f ca="1">IFERROR(__xludf.DUMMYFUNCTION("""COMPUTED_VALUE"""),1)</f>
        <v>1</v>
      </c>
      <c r="Y178" s="5" t="str">
        <f ca="1">IFERROR(__xludf.DUMMYFUNCTION("""COMPUTED_VALUE"""),"Following fight during game, teen fired shots at 4 teens in a vehicle in the parking lot")</f>
        <v>Following fight during game, teen fired shots at 4 teens in a vehicle in the parking lot</v>
      </c>
      <c r="Z178" s="5" t="str">
        <f ca="1">IFERROR(__xludf.DUMMYFUNCTION("""COMPUTED_VALUE"""),"Two groups of teens were ejected from the game for fighting. When two teens left the parking lot in a vehicle, they fired multiple shots at 4 teens sitting inside a car. One teen was injured.")</f>
        <v>Two groups of teens were ejected from the game for fighting. When two teens left the parking lot in a vehicle, they fired multiple shots at 4 teens sitting inside a car. One teen was injured.</v>
      </c>
      <c r="AA178" s="5" t="str">
        <f ca="1">IFERROR(__xludf.DUMMYFUNCTION("""COMPUTED_VALUE"""),"Escalation of Dispute")</f>
        <v>Escalation of Dispute</v>
      </c>
      <c r="AB178" s="5" t="str">
        <f ca="1">IFERROR(__xludf.DUMMYFUNCTION("""COMPUTED_VALUE"""),"Victims Targeted")</f>
        <v>Victims Targeted</v>
      </c>
      <c r="AC178" s="5" t="str">
        <f ca="1">IFERROR(__xludf.DUMMYFUNCTION("""COMPUTED_VALUE"""),"Yes")</f>
        <v>Yes</v>
      </c>
      <c r="AD178" s="5" t="str">
        <f ca="1">IFERROR(__xludf.DUMMYFUNCTION("""COMPUTED_VALUE"""),"No")</f>
        <v>No</v>
      </c>
      <c r="AE178" s="5" t="str">
        <f ca="1">IFERROR(__xludf.DUMMYFUNCTION("""COMPUTED_VALUE"""),"No")</f>
        <v>No</v>
      </c>
      <c r="AF178" s="5" t="str">
        <f ca="1">IFERROR(__xludf.DUMMYFUNCTION("""COMPUTED_VALUE"""),"No")</f>
        <v>No</v>
      </c>
      <c r="AG178" s="5" t="str">
        <f ca="1">IFERROR(__xludf.DUMMYFUNCTION("""COMPUTED_VALUE"""),"No")</f>
        <v>No</v>
      </c>
      <c r="AH178" s="5" t="str">
        <f ca="1">IFERROR(__xludf.DUMMYFUNCTION("""COMPUTED_VALUE"""),"No")</f>
        <v>No</v>
      </c>
      <c r="AI178" s="5"/>
      <c r="AJ178" s="5" t="str">
        <f ca="1">IFERROR(__xludf.DUMMYFUNCTION("""COMPUTED_VALUE"""),"No")</f>
        <v>No</v>
      </c>
    </row>
    <row r="179" spans="1:36" ht="13">
      <c r="A179" s="5" t="str">
        <f ca="1">IFERROR(__xludf.DUMMYFUNCTION("""COMPUTED_VALUE"""),"20220923WIROM")</f>
        <v>20220923WIROM</v>
      </c>
      <c r="B179" s="5">
        <f ca="1">IFERROR(__xludf.DUMMYFUNCTION("""COMPUTED_VALUE"""),9)</f>
        <v>9</v>
      </c>
      <c r="C179" s="5">
        <f ca="1">IFERROR(__xludf.DUMMYFUNCTION("""COMPUTED_VALUE"""),23)</f>
        <v>23</v>
      </c>
      <c r="D179" s="5">
        <f ca="1">IFERROR(__xludf.DUMMYFUNCTION("""COMPUTED_VALUE"""),2022)</f>
        <v>2022</v>
      </c>
      <c r="E179" s="8">
        <f ca="1">IFERROR(__xludf.DUMMYFUNCTION("""COMPUTED_VALUE"""),44827)</f>
        <v>44827</v>
      </c>
      <c r="F179" s="5" t="str">
        <f ca="1">IFERROR(__xludf.DUMMYFUNCTION("""COMPUTED_VALUE"""),"Roosevelt Middle School")</f>
        <v>Roosevelt Middle School</v>
      </c>
      <c r="G179" s="5">
        <f ca="1">IFERROR(__xludf.DUMMYFUNCTION("""COMPUTED_VALUE"""),0)</f>
        <v>0</v>
      </c>
      <c r="H179" s="5">
        <f ca="1">IFERROR(__xludf.DUMMYFUNCTION("""COMPUTED_VALUE"""),1)</f>
        <v>1</v>
      </c>
      <c r="I179" s="5">
        <f ca="1">IFERROR(__xludf.DUMMYFUNCTION("""COMPUTED_VALUE"""),1)</f>
        <v>1</v>
      </c>
      <c r="J179" s="5">
        <f ca="1">IFERROR(__xludf.DUMMYFUNCTION("""COMPUTED_VALUE"""),0)</f>
        <v>0</v>
      </c>
      <c r="K179" s="9" t="str">
        <f ca="1">IFERROR(__xludf.DUMMYFUNCTION("""COMPUTED_VALUE"""),"https://www.fox6now.com/news/milwaukee-shooting-man-wounded-walnut-rooseselt-ms")</f>
        <v>https://www.fox6now.com/news/milwaukee-shooting-man-wounded-walnut-rooseselt-ms</v>
      </c>
      <c r="L179" s="5">
        <f ca="1">IFERROR(__xludf.DUMMYFUNCTION("""COMPUTED_VALUE"""),1)</f>
        <v>1</v>
      </c>
      <c r="M179" s="5" t="str">
        <f ca="1">IFERROR(__xludf.DUMMYFUNCTION("""COMPUTED_VALUE"""),"Local")</f>
        <v>Local</v>
      </c>
      <c r="N179" s="5">
        <f ca="1">IFERROR(__xludf.DUMMYFUNCTION("""COMPUTED_VALUE"""),3)</f>
        <v>3</v>
      </c>
      <c r="O179" s="5" t="str">
        <f ca="1">IFERROR(__xludf.DUMMYFUNCTION("""COMPUTED_VALUE"""),"Fall")</f>
        <v>Fall</v>
      </c>
      <c r="P179" s="5" t="str">
        <f ca="1">IFERROR(__xludf.DUMMYFUNCTION("""COMPUTED_VALUE"""),"Milwaukee")</f>
        <v>Milwaukee</v>
      </c>
      <c r="Q179" s="5" t="str">
        <f ca="1">IFERROR(__xludf.DUMMYFUNCTION("""COMPUTED_VALUE"""),"WI")</f>
        <v>WI</v>
      </c>
      <c r="R179" s="5" t="str">
        <f ca="1">IFERROR(__xludf.DUMMYFUNCTION("""COMPUTED_VALUE"""),"Middle")</f>
        <v>Middle</v>
      </c>
      <c r="S179" s="5" t="str">
        <f ca="1">IFERROR(__xludf.DUMMYFUNCTION("""COMPUTED_VALUE"""),"Front of School")</f>
        <v>Front of School</v>
      </c>
      <c r="T179" s="5" t="str">
        <f ca="1">IFERROR(__xludf.DUMMYFUNCTION("""COMPUTED_VALUE"""),"Outside on School Property")</f>
        <v>Outside on School Property</v>
      </c>
      <c r="U179" s="5" t="str">
        <f ca="1">IFERROR(__xludf.DUMMYFUNCTION("""COMPUTED_VALUE"""),"No")</f>
        <v>No</v>
      </c>
      <c r="V179" s="5" t="str">
        <f ca="1">IFERROR(__xludf.DUMMYFUNCTION("""COMPUTED_VALUE"""),"Night")</f>
        <v>Night</v>
      </c>
      <c r="W179" s="10">
        <f ca="1">IFERROR(__xludf.DUMMYFUNCTION("""COMPUTED_VALUE"""),0.9375)</f>
        <v>0.9375</v>
      </c>
      <c r="X179" s="5">
        <f ca="1">IFERROR(__xludf.DUMMYFUNCTION("""COMPUTED_VALUE"""),1)</f>
        <v>1</v>
      </c>
      <c r="Y179" s="5" t="str">
        <f ca="1">IFERROR(__xludf.DUMMYFUNCTION("""COMPUTED_VALUE"""),"Man shot in front of school")</f>
        <v>Man shot in front of school</v>
      </c>
      <c r="Z179" s="5" t="str">
        <f ca="1">IFERROR(__xludf.DUMMYFUNCTION("""COMPUTED_VALUE"""),"A man was found shot in front of the school. Shooter fled.")</f>
        <v>A man was found shot in front of the school. Shooter fled.</v>
      </c>
      <c r="AA179" s="5"/>
      <c r="AB179" s="5" t="str">
        <f ca="1">IFERROR(__xludf.DUMMYFUNCTION("""COMPUTED_VALUE"""),"Victims Targeted")</f>
        <v>Victims Targeted</v>
      </c>
      <c r="AC179" s="5" t="str">
        <f ca="1">IFERROR(__xludf.DUMMYFUNCTION("""COMPUTED_VALUE"""),"No")</f>
        <v>No</v>
      </c>
      <c r="AD179" s="5" t="str">
        <f ca="1">IFERROR(__xludf.DUMMYFUNCTION("""COMPUTED_VALUE"""),"No")</f>
        <v>No</v>
      </c>
      <c r="AE179" s="5" t="str">
        <f ca="1">IFERROR(__xludf.DUMMYFUNCTION("""COMPUTED_VALUE"""),"No")</f>
        <v>No</v>
      </c>
      <c r="AF179" s="5" t="str">
        <f ca="1">IFERROR(__xludf.DUMMYFUNCTION("""COMPUTED_VALUE"""),"No")</f>
        <v>No</v>
      </c>
      <c r="AG179" s="5" t="str">
        <f ca="1">IFERROR(__xludf.DUMMYFUNCTION("""COMPUTED_VALUE"""),"No")</f>
        <v>No</v>
      </c>
      <c r="AH179" s="5" t="str">
        <f ca="1">IFERROR(__xludf.DUMMYFUNCTION("""COMPUTED_VALUE"""),"No")</f>
        <v>No</v>
      </c>
      <c r="AI179" s="5"/>
      <c r="AJ179" s="5" t="str">
        <f ca="1">IFERROR(__xludf.DUMMYFUNCTION("""COMPUTED_VALUE"""),"No")</f>
        <v>No</v>
      </c>
    </row>
    <row r="180" spans="1:36" ht="13">
      <c r="A180" s="5" t="str">
        <f ca="1">IFERROR(__xludf.DUMMYFUNCTION("""COMPUTED_VALUE"""),"20220923MNRIM")</f>
        <v>20220923MNRIM</v>
      </c>
      <c r="B180" s="5">
        <f ca="1">IFERROR(__xludf.DUMMYFUNCTION("""COMPUTED_VALUE"""),9)</f>
        <v>9</v>
      </c>
      <c r="C180" s="5">
        <f ca="1">IFERROR(__xludf.DUMMYFUNCTION("""COMPUTED_VALUE"""),23)</f>
        <v>23</v>
      </c>
      <c r="D180" s="5">
        <f ca="1">IFERROR(__xludf.DUMMYFUNCTION("""COMPUTED_VALUE"""),2022)</f>
        <v>2022</v>
      </c>
      <c r="E180" s="8">
        <f ca="1">IFERROR(__xludf.DUMMYFUNCTION("""COMPUTED_VALUE"""),44827)</f>
        <v>44827</v>
      </c>
      <c r="F180" s="5" t="str">
        <f ca="1">IFERROR(__xludf.DUMMYFUNCTION("""COMPUTED_VALUE"""),"Richfield High School")</f>
        <v>Richfield High School</v>
      </c>
      <c r="G180" s="5">
        <f ca="1">IFERROR(__xludf.DUMMYFUNCTION("""COMPUTED_VALUE"""),0)</f>
        <v>0</v>
      </c>
      <c r="H180" s="5">
        <f ca="1">IFERROR(__xludf.DUMMYFUNCTION("""COMPUTED_VALUE"""),2)</f>
        <v>2</v>
      </c>
      <c r="I180" s="5">
        <f ca="1">IFERROR(__xludf.DUMMYFUNCTION("""COMPUTED_VALUE"""),2)</f>
        <v>2</v>
      </c>
      <c r="J180" s="5">
        <f ca="1">IFERROR(__xludf.DUMMYFUNCTION("""COMPUTED_VALUE"""),0)</f>
        <v>0</v>
      </c>
      <c r="K180" s="5" t="str">
        <f ca="1">IFERROR(__xludf.DUMMYFUNCTION("""COMPUTED_VALUE"""),"https://www.kare11.com/article/news/crime/football-game-stopped-stadium-evacuated-after-multiple-shots-fired-nearby/89-94e57ff5-04af-4fd1-b8b6-96dcdbdf8ebd
https://www.cbsnews.com/minnesota/news/developing-gunfire-reported-at-richfield-high-school-footbal"&amp;"l-game/
https://www.kare11.com/article/news/local/two-juvenile-suspects-arrested-in-shooting-outside-richfield-homecoming-game/89-c59bac81-66fa-4b80-a4e5-69eeecfc2f13
")</f>
        <v xml:space="preserve">https://www.kare11.com/article/news/crime/football-game-stopped-stadium-evacuated-after-multiple-shots-fired-nearby/89-94e57ff5-04af-4fd1-b8b6-96dcdbdf8ebd
https://www.cbsnews.com/minnesota/news/developing-gunfire-reported-at-richfield-high-school-football-game/
https://www.kare11.com/article/news/local/two-juvenile-suspects-arrested-in-shooting-outside-richfield-homecoming-game/89-c59bac81-66fa-4b80-a4e5-69eeecfc2f13
</v>
      </c>
      <c r="L180" s="5">
        <f ca="1">IFERROR(__xludf.DUMMYFUNCTION("""COMPUTED_VALUE"""),10)</f>
        <v>10</v>
      </c>
      <c r="M180" s="5" t="str">
        <f ca="1">IFERROR(__xludf.DUMMYFUNCTION("""COMPUTED_VALUE"""),"Regional")</f>
        <v>Regional</v>
      </c>
      <c r="N180" s="5">
        <f ca="1">IFERROR(__xludf.DUMMYFUNCTION("""COMPUTED_VALUE"""),4)</f>
        <v>4</v>
      </c>
      <c r="O180" s="5" t="str">
        <f ca="1">IFERROR(__xludf.DUMMYFUNCTION("""COMPUTED_VALUE"""),"Fall")</f>
        <v>Fall</v>
      </c>
      <c r="P180" s="5" t="str">
        <f ca="1">IFERROR(__xludf.DUMMYFUNCTION("""COMPUTED_VALUE"""),"Richfield")</f>
        <v>Richfield</v>
      </c>
      <c r="Q180" s="5" t="str">
        <f ca="1">IFERROR(__xludf.DUMMYFUNCTION("""COMPUTED_VALUE"""),"MN")</f>
        <v>MN</v>
      </c>
      <c r="R180" s="5" t="str">
        <f ca="1">IFERROR(__xludf.DUMMYFUNCTION("""COMPUTED_VALUE"""),"High")</f>
        <v>High</v>
      </c>
      <c r="S180" s="5" t="str">
        <f ca="1">IFERROR(__xludf.DUMMYFUNCTION("""COMPUTED_VALUE"""),"Football Field/Track")</f>
        <v>Football Field/Track</v>
      </c>
      <c r="T180" s="5" t="str">
        <f ca="1">IFERROR(__xludf.DUMMYFUNCTION("""COMPUTED_VALUE"""),"Outside on School Property")</f>
        <v>Outside on School Property</v>
      </c>
      <c r="U180" s="5" t="str">
        <f ca="1">IFERROR(__xludf.DUMMYFUNCTION("""COMPUTED_VALUE"""),"No")</f>
        <v>No</v>
      </c>
      <c r="V180" s="5" t="str">
        <f ca="1">IFERROR(__xludf.DUMMYFUNCTION("""COMPUTED_VALUE"""),"Sport Event")</f>
        <v>Sport Event</v>
      </c>
      <c r="W180" s="10">
        <f ca="1">IFERROR(__xludf.DUMMYFUNCTION("""COMPUTED_VALUE"""),0.864583333333333)</f>
        <v>0.86458333333333304</v>
      </c>
      <c r="X180" s="5">
        <f ca="1">IFERROR(__xludf.DUMMYFUNCTION("""COMPUTED_VALUE"""),1)</f>
        <v>1</v>
      </c>
      <c r="Y180" s="5" t="str">
        <f ca="1">IFERROR(__xludf.DUMMYFUNCTION("""COMPUTED_VALUE"""),"Shots fired during fight at football game, two people wounded")</f>
        <v>Shots fired during fight at football game, two people wounded</v>
      </c>
      <c r="Z180" s="5" t="str">
        <f ca="1">IFERROR(__xludf.DUMMYFUNCTION("""COMPUTED_VALUE"""),"Police say they were alerted by a staff member at Richfield High School around 8:45 p.m. of a group of people that weren't allowed into Friday night's game between Richfield and Bloomington Kennedy. Officials say the group gathered northeast of the footba"&amp;"ll field where a nearby officer reported hearing two shots and numerous people running away from the area. A livestream posted on Richfield High School's YouTube page captured a chaotic scene inside Spartan Stadium where players and spectators are seen ru"&amp;"nning off the field after the two shots were fired. School officials then evacuated the stadium. ")</f>
        <v xml:space="preserve">Police say they were alerted by a staff member at Richfield High School around 8:45 p.m. of a group of people that weren't allowed into Friday night's game between Richfield and Bloomington Kennedy. Officials say the group gathered northeast of the football field where a nearby officer reported hearing two shots and numerous people running away from the area. A livestream posted on Richfield High School's YouTube page captured a chaotic scene inside Spartan Stadium where players and spectators are seen running off the field after the two shots were fired. School officials then evacuated the stadium. </v>
      </c>
      <c r="AA180" s="5" t="str">
        <f ca="1">IFERROR(__xludf.DUMMYFUNCTION("""COMPUTED_VALUE"""),"Escalation of Dispute")</f>
        <v>Escalation of Dispute</v>
      </c>
      <c r="AB180" s="5" t="str">
        <f ca="1">IFERROR(__xludf.DUMMYFUNCTION("""COMPUTED_VALUE"""),"Both")</f>
        <v>Both</v>
      </c>
      <c r="AC180" s="5" t="str">
        <f ca="1">IFERROR(__xludf.DUMMYFUNCTION("""COMPUTED_VALUE"""),"No")</f>
        <v>No</v>
      </c>
      <c r="AD180" s="5" t="str">
        <f ca="1">IFERROR(__xludf.DUMMYFUNCTION("""COMPUTED_VALUE"""),"No")</f>
        <v>No</v>
      </c>
      <c r="AE180" s="5" t="str">
        <f ca="1">IFERROR(__xludf.DUMMYFUNCTION("""COMPUTED_VALUE"""),"No")</f>
        <v>No</v>
      </c>
      <c r="AF180" s="5" t="str">
        <f ca="1">IFERROR(__xludf.DUMMYFUNCTION("""COMPUTED_VALUE"""),"No")</f>
        <v>No</v>
      </c>
      <c r="AG180" s="5" t="str">
        <f ca="1">IFERROR(__xludf.DUMMYFUNCTION("""COMPUTED_VALUE"""),"No")</f>
        <v>No</v>
      </c>
      <c r="AH180" s="5" t="str">
        <f ca="1">IFERROR(__xludf.DUMMYFUNCTION("""COMPUTED_VALUE"""),"No")</f>
        <v>No</v>
      </c>
      <c r="AI180" s="5"/>
      <c r="AJ180" s="5" t="str">
        <f ca="1">IFERROR(__xludf.DUMMYFUNCTION("""COMPUTED_VALUE"""),"No")</f>
        <v>No</v>
      </c>
    </row>
    <row r="181" spans="1:36" ht="13">
      <c r="A181" s="5" t="str">
        <f ca="1">IFERROR(__xludf.DUMMYFUNCTION("""COMPUTED_VALUE"""),"20220923DEAPM")</f>
        <v>20220923DEAPM</v>
      </c>
      <c r="B181" s="5">
        <f ca="1">IFERROR(__xludf.DUMMYFUNCTION("""COMPUTED_VALUE"""),9)</f>
        <v>9</v>
      </c>
      <c r="C181" s="5">
        <f ca="1">IFERROR(__xludf.DUMMYFUNCTION("""COMPUTED_VALUE"""),23)</f>
        <v>23</v>
      </c>
      <c r="D181" s="5">
        <f ca="1">IFERROR(__xludf.DUMMYFUNCTION("""COMPUTED_VALUE"""),2022)</f>
        <v>2022</v>
      </c>
      <c r="E181" s="8">
        <f ca="1">IFERROR(__xludf.DUMMYFUNCTION("""COMPUTED_VALUE"""),44827)</f>
        <v>44827</v>
      </c>
      <c r="F181" s="5" t="str">
        <f ca="1">IFERROR(__xludf.DUMMYFUNCTION("""COMPUTED_VALUE"""),"Appoquinimink High School")</f>
        <v>Appoquinimink High School</v>
      </c>
      <c r="G181" s="5">
        <f ca="1">IFERROR(__xludf.DUMMYFUNCTION("""COMPUTED_VALUE"""),0)</f>
        <v>0</v>
      </c>
      <c r="H181" s="5">
        <f ca="1">IFERROR(__xludf.DUMMYFUNCTION("""COMPUTED_VALUE"""),2)</f>
        <v>2</v>
      </c>
      <c r="I181" s="5">
        <f ca="1">IFERROR(__xludf.DUMMYFUNCTION("""COMPUTED_VALUE"""),2)</f>
        <v>2</v>
      </c>
      <c r="J181" s="5">
        <f ca="1">IFERROR(__xludf.DUMMYFUNCTION("""COMPUTED_VALUE"""),0)</f>
        <v>0</v>
      </c>
      <c r="K181" s="5" t="str">
        <f ca="1">IFERROR(__xludf.DUMMYFUNCTION("""COMPUTED_VALUE"""),"https://6abc.com/appoquinimink-high-school-football-game-person-shot-hs-shooting/12258001/
http://firststateupdate.com/2022/09/two-teens-shot-after-high-school-football-game-in-middletown/
https://www.delawareonline.com/picture-gallery/news/2022/09/24/sho"&amp;"oting-outside-appoquinimink-high-school-football-game-wounds-least-one-person/8102037001/")</f>
        <v>https://6abc.com/appoquinimink-high-school-football-game-person-shot-hs-shooting/12258001/
http://firststateupdate.com/2022/09/two-teens-shot-after-high-school-football-game-in-middletown/
https://www.delawareonline.com/picture-gallery/news/2022/09/24/shooting-outside-appoquinimink-high-school-football-game-wounds-least-one-person/8102037001/</v>
      </c>
      <c r="L181" s="5">
        <f ca="1">IFERROR(__xludf.DUMMYFUNCTION("""COMPUTED_VALUE"""),10)</f>
        <v>10</v>
      </c>
      <c r="M181" s="5" t="str">
        <f ca="1">IFERROR(__xludf.DUMMYFUNCTION("""COMPUTED_VALUE"""),"Regional")</f>
        <v>Regional</v>
      </c>
      <c r="N181" s="5">
        <f ca="1">IFERROR(__xludf.DUMMYFUNCTION("""COMPUTED_VALUE"""),4)</f>
        <v>4</v>
      </c>
      <c r="O181" s="5" t="str">
        <f ca="1">IFERROR(__xludf.DUMMYFUNCTION("""COMPUTED_VALUE"""),"Fall")</f>
        <v>Fall</v>
      </c>
      <c r="P181" s="5" t="str">
        <f ca="1">IFERROR(__xludf.DUMMYFUNCTION("""COMPUTED_VALUE"""),"Middletown")</f>
        <v>Middletown</v>
      </c>
      <c r="Q181" s="5" t="str">
        <f ca="1">IFERROR(__xludf.DUMMYFUNCTION("""COMPUTED_VALUE"""),"DE")</f>
        <v>DE</v>
      </c>
      <c r="R181" s="5" t="str">
        <f ca="1">IFERROR(__xludf.DUMMYFUNCTION("""COMPUTED_VALUE"""),"High")</f>
        <v>High</v>
      </c>
      <c r="S181" s="5" t="str">
        <f ca="1">IFERROR(__xludf.DUMMYFUNCTION("""COMPUTED_VALUE"""),"Football Field/Track")</f>
        <v>Football Field/Track</v>
      </c>
      <c r="T181" s="5" t="str">
        <f ca="1">IFERROR(__xludf.DUMMYFUNCTION("""COMPUTED_VALUE"""),"Outside on School Property")</f>
        <v>Outside on School Property</v>
      </c>
      <c r="U181" s="5" t="str">
        <f ca="1">IFERROR(__xludf.DUMMYFUNCTION("""COMPUTED_VALUE"""),"No")</f>
        <v>No</v>
      </c>
      <c r="V181" s="5" t="str">
        <f ca="1">IFERROR(__xludf.DUMMYFUNCTION("""COMPUTED_VALUE"""),"Sport Event")</f>
        <v>Sport Event</v>
      </c>
      <c r="W181" s="10">
        <f ca="1">IFERROR(__xludf.DUMMYFUNCTION("""COMPUTED_VALUE"""),0.888888888888888)</f>
        <v>0.88888888888888795</v>
      </c>
      <c r="X181" s="5">
        <f ca="1">IFERROR(__xludf.DUMMYFUNCTION("""COMPUTED_VALUE"""),1)</f>
        <v>1</v>
      </c>
      <c r="Y181" s="5" t="str">
        <f ca="1">IFERROR(__xludf.DUMMYFUNCTION("""COMPUTED_VALUE"""),"Shots fired at gate to football field, two students wounded")</f>
        <v>Shots fired at gate to football field, two students wounded</v>
      </c>
      <c r="Z181" s="5" t="str">
        <f ca="1">IFERROR(__xludf.DUMMYFUNCTION("""COMPUTED_VALUE"""),"Police in Middletown, Delaware are investigating after two teens were shot (16YOF critical) Friday night at a high school football game. According to police, the shooting happened at about 9:30 p.m. at Appoquinimink High School on Bunker Hill Road. ")</f>
        <v xml:space="preserve">Police in Middletown, Delaware are investigating after two teens were shot (16YOF critical) Friday night at a high school football game. According to police, the shooting happened at about 9:30 p.m. at Appoquinimink High School on Bunker Hill Road. </v>
      </c>
      <c r="AA181" s="5" t="str">
        <f ca="1">IFERROR(__xludf.DUMMYFUNCTION("""COMPUTED_VALUE"""),"Escalation of Dispute")</f>
        <v>Escalation of Dispute</v>
      </c>
      <c r="AB181" s="5" t="str">
        <f ca="1">IFERROR(__xludf.DUMMYFUNCTION("""COMPUTED_VALUE"""),"Both")</f>
        <v>Both</v>
      </c>
      <c r="AC181" s="5" t="str">
        <f ca="1">IFERROR(__xludf.DUMMYFUNCTION("""COMPUTED_VALUE"""),"No")</f>
        <v>No</v>
      </c>
      <c r="AD181" s="5" t="str">
        <f ca="1">IFERROR(__xludf.DUMMYFUNCTION("""COMPUTED_VALUE"""),"No")</f>
        <v>No</v>
      </c>
      <c r="AE181" s="5" t="str">
        <f ca="1">IFERROR(__xludf.DUMMYFUNCTION("""COMPUTED_VALUE"""),"No")</f>
        <v>No</v>
      </c>
      <c r="AF181" s="5" t="str">
        <f ca="1">IFERROR(__xludf.DUMMYFUNCTION("""COMPUTED_VALUE"""),"No")</f>
        <v>No</v>
      </c>
      <c r="AG181" s="5" t="str">
        <f ca="1">IFERROR(__xludf.DUMMYFUNCTION("""COMPUTED_VALUE"""),"No")</f>
        <v>No</v>
      </c>
      <c r="AH181" s="5" t="str">
        <f ca="1">IFERROR(__xludf.DUMMYFUNCTION("""COMPUTED_VALUE"""),"No")</f>
        <v>No</v>
      </c>
      <c r="AI181" s="5"/>
      <c r="AJ181" s="5" t="str">
        <f ca="1">IFERROR(__xludf.DUMMYFUNCTION("""COMPUTED_VALUE"""),"No")</f>
        <v>No</v>
      </c>
    </row>
    <row r="182" spans="1:36" ht="13">
      <c r="A182" s="5" t="str">
        <f ca="1">IFERROR(__xludf.DUMMYFUNCTION("""COMPUTED_VALUE"""),"20220923PAWEP")</f>
        <v>20220923PAWEP</v>
      </c>
      <c r="B182" s="5">
        <f ca="1">IFERROR(__xludf.DUMMYFUNCTION("""COMPUTED_VALUE"""),9)</f>
        <v>9</v>
      </c>
      <c r="C182" s="5">
        <f ca="1">IFERROR(__xludf.DUMMYFUNCTION("""COMPUTED_VALUE"""),23)</f>
        <v>23</v>
      </c>
      <c r="D182" s="5">
        <f ca="1">IFERROR(__xludf.DUMMYFUNCTION("""COMPUTED_VALUE"""),2022)</f>
        <v>2022</v>
      </c>
      <c r="E182" s="8">
        <f ca="1">IFERROR(__xludf.DUMMYFUNCTION("""COMPUTED_VALUE"""),44827)</f>
        <v>44827</v>
      </c>
      <c r="F182" s="5" t="str">
        <f ca="1">IFERROR(__xludf.DUMMYFUNCTION("""COMPUTED_VALUE"""),"West Philadelphia High School")</f>
        <v>West Philadelphia High School</v>
      </c>
      <c r="G182" s="5">
        <f ca="1">IFERROR(__xludf.DUMMYFUNCTION("""COMPUTED_VALUE"""),0)</f>
        <v>0</v>
      </c>
      <c r="H182" s="5">
        <f ca="1">IFERROR(__xludf.DUMMYFUNCTION("""COMPUTED_VALUE"""),0)</f>
        <v>0</v>
      </c>
      <c r="I182" s="5">
        <f ca="1">IFERROR(__xludf.DUMMYFUNCTION("""COMPUTED_VALUE"""),0)</f>
        <v>0</v>
      </c>
      <c r="J182" s="5">
        <f ca="1">IFERROR(__xludf.DUMMYFUNCTION("""COMPUTED_VALUE"""),0)</f>
        <v>0</v>
      </c>
      <c r="K182" s="5" t="str">
        <f ca="1">IFERROR(__xludf.DUMMYFUNCTION("""COMPUTED_VALUE"""),"https://6abc.com/west-philadelphia-football-game-shooting-after-shots-fired/12257794/
https://www.fox29.com/news/shots-fired-near-high-school-football-game-in-west-philadelphia-police-say")</f>
        <v>https://6abc.com/west-philadelphia-football-game-shooting-after-shots-fired/12257794/
https://www.fox29.com/news/shots-fired-near-high-school-football-game-in-west-philadelphia-police-say</v>
      </c>
      <c r="L182" s="5">
        <f ca="1">IFERROR(__xludf.DUMMYFUNCTION("""COMPUTED_VALUE"""),2)</f>
        <v>2</v>
      </c>
      <c r="M182" s="5" t="str">
        <f ca="1">IFERROR(__xludf.DUMMYFUNCTION("""COMPUTED_VALUE"""),"Local")</f>
        <v>Local</v>
      </c>
      <c r="N182" s="5">
        <f ca="1">IFERROR(__xludf.DUMMYFUNCTION("""COMPUTED_VALUE"""),3)</f>
        <v>3</v>
      </c>
      <c r="O182" s="5" t="str">
        <f ca="1">IFERROR(__xludf.DUMMYFUNCTION("""COMPUTED_VALUE"""),"Fall")</f>
        <v>Fall</v>
      </c>
      <c r="P182" s="5" t="str">
        <f ca="1">IFERROR(__xludf.DUMMYFUNCTION("""COMPUTED_VALUE"""),"Philadelphia")</f>
        <v>Philadelphia</v>
      </c>
      <c r="Q182" s="5" t="str">
        <f ca="1">IFERROR(__xludf.DUMMYFUNCTION("""COMPUTED_VALUE"""),"PA")</f>
        <v>PA</v>
      </c>
      <c r="R182" s="5" t="str">
        <f ca="1">IFERROR(__xludf.DUMMYFUNCTION("""COMPUTED_VALUE"""),"High")</f>
        <v>High</v>
      </c>
      <c r="S182" s="5" t="str">
        <f ca="1">IFERROR(__xludf.DUMMYFUNCTION("""COMPUTED_VALUE"""),"Football Field/Track")</f>
        <v>Football Field/Track</v>
      </c>
      <c r="T182" s="5" t="str">
        <f ca="1">IFERROR(__xludf.DUMMYFUNCTION("""COMPUTED_VALUE"""),"Outside on School Property")</f>
        <v>Outside on School Property</v>
      </c>
      <c r="U182" s="5" t="str">
        <f ca="1">IFERROR(__xludf.DUMMYFUNCTION("""COMPUTED_VALUE"""),"No")</f>
        <v>No</v>
      </c>
      <c r="V182" s="5" t="str">
        <f ca="1">IFERROR(__xludf.DUMMYFUNCTION("""COMPUTED_VALUE"""),"Sport Event")</f>
        <v>Sport Event</v>
      </c>
      <c r="W182" s="10">
        <f ca="1">IFERROR(__xludf.DUMMYFUNCTION("""COMPUTED_VALUE"""),0.895833333333333)</f>
        <v>0.89583333333333304</v>
      </c>
      <c r="X182" s="5">
        <f ca="1">IFERROR(__xludf.DUMMYFUNCTION("""COMPUTED_VALUE"""),1)</f>
        <v>1</v>
      </c>
      <c r="Y182" s="5" t="str">
        <f ca="1">IFERROR(__xludf.DUMMYFUNCTION("""COMPUTED_VALUE"""),"Shots fired when football game ended")</f>
        <v>Shots fired when football game ended</v>
      </c>
      <c r="Z182" s="5" t="str">
        <f ca="1">IFERROR(__xludf.DUMMYFUNCTION("""COMPUTED_VALUE"""),"Police say shots were fired after a high school football game on Friday night in West Philadelphia. The incident happened at about 9:30 p.m. at 48th and Spruce streets. Police said the football game between West Philadelphia High School and Lincoln High S"&amp;"chool had ended when someone fired a gun outside the field. ")</f>
        <v xml:space="preserve">Police say shots were fired after a high school football game on Friday night in West Philadelphia. The incident happened at about 9:30 p.m. at 48th and Spruce streets. Police said the football game between West Philadelphia High School and Lincoln High School had ended when someone fired a gun outside the field. </v>
      </c>
      <c r="AA182" s="5"/>
      <c r="AB182" s="5"/>
      <c r="AC182" s="5" t="str">
        <f ca="1">IFERROR(__xludf.DUMMYFUNCTION("""COMPUTED_VALUE"""),"No")</f>
        <v>No</v>
      </c>
      <c r="AD182" s="5" t="str">
        <f ca="1">IFERROR(__xludf.DUMMYFUNCTION("""COMPUTED_VALUE"""),"No")</f>
        <v>No</v>
      </c>
      <c r="AE182" s="5" t="str">
        <f ca="1">IFERROR(__xludf.DUMMYFUNCTION("""COMPUTED_VALUE"""),"N")</f>
        <v>N</v>
      </c>
      <c r="AF182" s="5" t="str">
        <f ca="1">IFERROR(__xludf.DUMMYFUNCTION("""COMPUTED_VALUE"""),"No")</f>
        <v>No</v>
      </c>
      <c r="AG182" s="5" t="str">
        <f ca="1">IFERROR(__xludf.DUMMYFUNCTION("""COMPUTED_VALUE"""),"No")</f>
        <v>No</v>
      </c>
      <c r="AH182" s="5" t="str">
        <f ca="1">IFERROR(__xludf.DUMMYFUNCTION("""COMPUTED_VALUE"""),"No")</f>
        <v>No</v>
      </c>
      <c r="AI182" s="5"/>
      <c r="AJ182" s="5" t="str">
        <f ca="1">IFERROR(__xludf.DUMMYFUNCTION("""COMPUTED_VALUE"""),"No")</f>
        <v>No</v>
      </c>
    </row>
    <row r="183" spans="1:36" ht="13">
      <c r="A183" s="5" t="str">
        <f ca="1">IFERROR(__xludf.DUMMYFUNCTION("""COMPUTED_VALUE"""),"20220922AZMOP")</f>
        <v>20220922AZMOP</v>
      </c>
      <c r="B183" s="5">
        <f ca="1">IFERROR(__xludf.DUMMYFUNCTION("""COMPUTED_VALUE"""),9)</f>
        <v>9</v>
      </c>
      <c r="C183" s="5">
        <f ca="1">IFERROR(__xludf.DUMMYFUNCTION("""COMPUTED_VALUE"""),22)</f>
        <v>22</v>
      </c>
      <c r="D183" s="5">
        <f ca="1">IFERROR(__xludf.DUMMYFUNCTION("""COMPUTED_VALUE"""),2022)</f>
        <v>2022</v>
      </c>
      <c r="E183" s="8">
        <f ca="1">IFERROR(__xludf.DUMMYFUNCTION("""COMPUTED_VALUE"""),44826)</f>
        <v>44826</v>
      </c>
      <c r="F183" s="5" t="str">
        <f ca="1">IFERROR(__xludf.DUMMYFUNCTION("""COMPUTED_VALUE"""),"Mountain View Elementary School")</f>
        <v>Mountain View Elementary School</v>
      </c>
      <c r="G183" s="5">
        <f ca="1">IFERROR(__xludf.DUMMYFUNCTION("""COMPUTED_VALUE"""),0)</f>
        <v>0</v>
      </c>
      <c r="H183" s="5">
        <f ca="1">IFERROR(__xludf.DUMMYFUNCTION("""COMPUTED_VALUE"""),0)</f>
        <v>0</v>
      </c>
      <c r="I183" s="5">
        <f ca="1">IFERROR(__xludf.DUMMYFUNCTION("""COMPUTED_VALUE"""),0)</f>
        <v>0</v>
      </c>
      <c r="J183" s="5">
        <f ca="1">IFERROR(__xludf.DUMMYFUNCTION("""COMPUTED_VALUE"""),0)</f>
        <v>0</v>
      </c>
      <c r="K183" s="9" t="str">
        <f ca="1">IFERROR(__xludf.DUMMYFUNCTION("""COMPUTED_VALUE"""),"https://www.fox10phoenix.com/news/woman-arrested-pulling-out-gun-phoenix-school")</f>
        <v>https://www.fox10phoenix.com/news/woman-arrested-pulling-out-gun-phoenix-school</v>
      </c>
      <c r="L183" s="5">
        <f ca="1">IFERROR(__xludf.DUMMYFUNCTION("""COMPUTED_VALUE"""),10)</f>
        <v>10</v>
      </c>
      <c r="M183" s="5" t="str">
        <f ca="1">IFERROR(__xludf.DUMMYFUNCTION("""COMPUTED_VALUE"""),"National")</f>
        <v>National</v>
      </c>
      <c r="N183" s="5">
        <f ca="1">IFERROR(__xludf.DUMMYFUNCTION("""COMPUTED_VALUE"""),4)</f>
        <v>4</v>
      </c>
      <c r="O183" s="5" t="str">
        <f ca="1">IFERROR(__xludf.DUMMYFUNCTION("""COMPUTED_VALUE"""),"Fall")</f>
        <v>Fall</v>
      </c>
      <c r="P183" s="5" t="str">
        <f ca="1">IFERROR(__xludf.DUMMYFUNCTION("""COMPUTED_VALUE"""),"Phoenix")</f>
        <v>Phoenix</v>
      </c>
      <c r="Q183" s="5" t="str">
        <f ca="1">IFERROR(__xludf.DUMMYFUNCTION("""COMPUTED_VALUE"""),"AZ")</f>
        <v>AZ</v>
      </c>
      <c r="R183" s="5" t="str">
        <f ca="1">IFERROR(__xludf.DUMMYFUNCTION("""COMPUTED_VALUE"""),"Elementary")</f>
        <v>Elementary</v>
      </c>
      <c r="S183" s="5" t="str">
        <f ca="1">IFERROR(__xludf.DUMMYFUNCTION("""COMPUTED_VALUE"""),"Front of School")</f>
        <v>Front of School</v>
      </c>
      <c r="T183" s="5" t="str">
        <f ca="1">IFERROR(__xludf.DUMMYFUNCTION("""COMPUTED_VALUE"""),"Outside on School Property")</f>
        <v>Outside on School Property</v>
      </c>
      <c r="U183" s="5" t="str">
        <f ca="1">IFERROR(__xludf.DUMMYFUNCTION("""COMPUTED_VALUE"""),"Yes")</f>
        <v>Yes</v>
      </c>
      <c r="V183" s="5" t="str">
        <f ca="1">IFERROR(__xludf.DUMMYFUNCTION("""COMPUTED_VALUE"""),"Dismissal")</f>
        <v>Dismissal</v>
      </c>
      <c r="W183" s="10">
        <f ca="1">IFERROR(__xludf.DUMMYFUNCTION("""COMPUTED_VALUE"""),0.609027777777777)</f>
        <v>0.60902777777777695</v>
      </c>
      <c r="X183" s="5">
        <f ca="1">IFERROR(__xludf.DUMMYFUNCTION("""COMPUTED_VALUE"""),1)</f>
        <v>1</v>
      </c>
      <c r="Y183" s="5" t="str">
        <f ca="1">IFERROR(__xludf.DUMMYFUNCTION("""COMPUTED_VALUE"""),"Woman pulled gun during custody dispute at dismissal, immediately subdued by SRO")</f>
        <v>Woman pulled gun during custody dispute at dismissal, immediately subdued by SRO</v>
      </c>
      <c r="Z183" s="5" t="str">
        <f ca="1">IFERROR(__xludf.DUMMYFUNCTION("""COMPUTED_VALUE"""),"Woman pulled gun during custody dispute at dismissal, immediately subdued by SRO")</f>
        <v>Woman pulled gun during custody dispute at dismissal, immediately subdued by SRO</v>
      </c>
      <c r="AA183" s="5" t="str">
        <f ca="1">IFERROR(__xludf.DUMMYFUNCTION("""COMPUTED_VALUE"""),"Domestic w/ Targeted Victim")</f>
        <v>Domestic w/ Targeted Victim</v>
      </c>
      <c r="AB183" s="5" t="str">
        <f ca="1">IFERROR(__xludf.DUMMYFUNCTION("""COMPUTED_VALUE"""),"Victims Targeted")</f>
        <v>Victims Targeted</v>
      </c>
      <c r="AC183" s="5" t="str">
        <f ca="1">IFERROR(__xludf.DUMMYFUNCTION("""COMPUTED_VALUE"""),"No")</f>
        <v>No</v>
      </c>
      <c r="AD183" s="5" t="str">
        <f ca="1">IFERROR(__xludf.DUMMYFUNCTION("""COMPUTED_VALUE"""),"No")</f>
        <v>No</v>
      </c>
      <c r="AE183" s="5" t="str">
        <f ca="1">IFERROR(__xludf.DUMMYFUNCTION("""COMPUTED_VALUE"""),"No")</f>
        <v>No</v>
      </c>
      <c r="AF183" s="5" t="str">
        <f ca="1">IFERROR(__xludf.DUMMYFUNCTION("""COMPUTED_VALUE"""),"No")</f>
        <v>No</v>
      </c>
      <c r="AG183" s="5" t="str">
        <f ca="1">IFERROR(__xludf.DUMMYFUNCTION("""COMPUTED_VALUE"""),"No")</f>
        <v>No</v>
      </c>
      <c r="AH183" s="5" t="str">
        <f ca="1">IFERROR(__xludf.DUMMYFUNCTION("""COMPUTED_VALUE"""),"Yes")</f>
        <v>Yes</v>
      </c>
      <c r="AI183" s="5"/>
      <c r="AJ183" s="5" t="str">
        <f ca="1">IFERROR(__xludf.DUMMYFUNCTION("""COMPUTED_VALUE"""),"No")</f>
        <v>No</v>
      </c>
    </row>
    <row r="184" spans="1:36" ht="13">
      <c r="A184" s="5" t="str">
        <f ca="1">IFERROR(__xludf.DUMMYFUNCTION("""COMPUTED_VALUE"""),"20220921INJAS")</f>
        <v>20220921INJAS</v>
      </c>
      <c r="B184" s="5">
        <f ca="1">IFERROR(__xludf.DUMMYFUNCTION("""COMPUTED_VALUE"""),9)</f>
        <v>9</v>
      </c>
      <c r="C184" s="5">
        <f ca="1">IFERROR(__xludf.DUMMYFUNCTION("""COMPUTED_VALUE"""),21)</f>
        <v>21</v>
      </c>
      <c r="D184" s="5">
        <f ca="1">IFERROR(__xludf.DUMMYFUNCTION("""COMPUTED_VALUE"""),2022)</f>
        <v>2022</v>
      </c>
      <c r="E184" s="8">
        <f ca="1">IFERROR(__xludf.DUMMYFUNCTION("""COMPUTED_VALUE"""),44825)</f>
        <v>44825</v>
      </c>
      <c r="F184" s="5" t="str">
        <f ca="1">IFERROR(__xludf.DUMMYFUNCTION("""COMPUTED_VALUE"""),"Jackson Middle School")</f>
        <v>Jackson Middle School</v>
      </c>
      <c r="G184" s="5">
        <f ca="1">IFERROR(__xludf.DUMMYFUNCTION("""COMPUTED_VALUE"""),0)</f>
        <v>0</v>
      </c>
      <c r="H184" s="5">
        <f ca="1">IFERROR(__xludf.DUMMYFUNCTION("""COMPUTED_VALUE"""),0)</f>
        <v>0</v>
      </c>
      <c r="I184" s="5">
        <f ca="1">IFERROR(__xludf.DUMMYFUNCTION("""COMPUTED_VALUE"""),0)</f>
        <v>0</v>
      </c>
      <c r="J184" s="5">
        <f ca="1">IFERROR(__xludf.DUMMYFUNCTION("""COMPUTED_VALUE"""),0)</f>
        <v>0</v>
      </c>
      <c r="K184" s="5" t="str">
        <f ca="1">IFERROR(__xludf.DUMMYFUNCTION("""COMPUTED_VALUE"""),"https://www.southbendtribune.com/story/news/education/2022/09/21/south-bend-schools-police-investigate-report-gunshots-school-bus/69509161007/
https://www.abc57.com/news/juvenile-detained-after-gunshot-on-school-bus-parents-react 
https://www.wndu.com/202"&amp;"2/09/21/south-bend-police-investigating-report-shots-fired-sbcsc-school-bus/
")</f>
        <v xml:space="preserve">https://www.southbendtribune.com/story/news/education/2022/09/21/south-bend-schools-police-investigate-report-gunshots-school-bus/69509161007/
https://www.abc57.com/news/juvenile-detained-after-gunshot-on-school-bus-parents-react 
https://www.wndu.com/2022/09/21/south-bend-police-investigating-report-shots-fired-sbcsc-school-bus/
</v>
      </c>
      <c r="L184" s="5">
        <f ca="1">IFERROR(__xludf.DUMMYFUNCTION("""COMPUTED_VALUE"""),10)</f>
        <v>10</v>
      </c>
      <c r="M184" s="5" t="str">
        <f ca="1">IFERROR(__xludf.DUMMYFUNCTION("""COMPUTED_VALUE"""),"Regional")</f>
        <v>Regional</v>
      </c>
      <c r="N184" s="5">
        <f ca="1">IFERROR(__xludf.DUMMYFUNCTION("""COMPUTED_VALUE"""),4)</f>
        <v>4</v>
      </c>
      <c r="O184" s="5" t="str">
        <f ca="1">IFERROR(__xludf.DUMMYFUNCTION("""COMPUTED_VALUE"""),"Fall")</f>
        <v>Fall</v>
      </c>
      <c r="P184" s="5" t="str">
        <f ca="1">IFERROR(__xludf.DUMMYFUNCTION("""COMPUTED_VALUE"""),"South Bend")</f>
        <v>South Bend</v>
      </c>
      <c r="Q184" s="5" t="str">
        <f ca="1">IFERROR(__xludf.DUMMYFUNCTION("""COMPUTED_VALUE"""),"IN")</f>
        <v>IN</v>
      </c>
      <c r="R184" s="5" t="str">
        <f ca="1">IFERROR(__xludf.DUMMYFUNCTION("""COMPUTED_VALUE"""),"Middle")</f>
        <v>Middle</v>
      </c>
      <c r="S184" s="5" t="str">
        <f ca="1">IFERROR(__xludf.DUMMYFUNCTION("""COMPUTED_VALUE"""),"School Bus")</f>
        <v>School Bus</v>
      </c>
      <c r="T184" s="5" t="str">
        <f ca="1">IFERROR(__xludf.DUMMYFUNCTION("""COMPUTED_VALUE"""),"School Bus")</f>
        <v>School Bus</v>
      </c>
      <c r="U184" s="5" t="str">
        <f ca="1">IFERROR(__xludf.DUMMYFUNCTION("""COMPUTED_VALUE"""),"Yes")</f>
        <v>Yes</v>
      </c>
      <c r="V184" s="5" t="str">
        <f ca="1">IFERROR(__xludf.DUMMYFUNCTION("""COMPUTED_VALUE"""),"Dismissal")</f>
        <v>Dismissal</v>
      </c>
      <c r="W184" s="10">
        <f ca="1">IFERROR(__xludf.DUMMYFUNCTION("""COMPUTED_VALUE"""),0.697916666666666)</f>
        <v>0.69791666666666596</v>
      </c>
      <c r="X184" s="5">
        <f ca="1">IFERROR(__xludf.DUMMYFUNCTION("""COMPUTED_VALUE"""),1)</f>
        <v>1</v>
      </c>
      <c r="Y184" s="5" t="str">
        <f ca="1">IFERROR(__xludf.DUMMYFUNCTION("""COMPUTED_VALUE"""),"Student fired gun on school bus")</f>
        <v>Student fired gun on school bus</v>
      </c>
      <c r="Z184" s="5" t="str">
        <f ca="1">IFERROR(__xludf.DUMMYFUNCTION("""COMPUTED_VALUE"""),"An unidentified student fired a shot on the school bus. No injuries. Student arrested. ")</f>
        <v xml:space="preserve">An unidentified student fired a shot on the school bus. No injuries. Student arrested. </v>
      </c>
      <c r="AA184" s="5" t="str">
        <f ca="1">IFERROR(__xludf.DUMMYFUNCTION("""COMPUTED_VALUE"""),"Accidental")</f>
        <v>Accidental</v>
      </c>
      <c r="AB184" s="5" t="str">
        <f ca="1">IFERROR(__xludf.DUMMYFUNCTION("""COMPUTED_VALUE"""),"Neither")</f>
        <v>Neither</v>
      </c>
      <c r="AC184" s="5" t="str">
        <f ca="1">IFERROR(__xludf.DUMMYFUNCTION("""COMPUTED_VALUE"""),"No")</f>
        <v>No</v>
      </c>
      <c r="AD184" s="5" t="str">
        <f ca="1">IFERROR(__xludf.DUMMYFUNCTION("""COMPUTED_VALUE"""),"No")</f>
        <v>No</v>
      </c>
      <c r="AE184" s="5" t="str">
        <f ca="1">IFERROR(__xludf.DUMMYFUNCTION("""COMPUTED_VALUE"""),"No")</f>
        <v>No</v>
      </c>
      <c r="AF184" s="5" t="str">
        <f ca="1">IFERROR(__xludf.DUMMYFUNCTION("""COMPUTED_VALUE"""),"No")</f>
        <v>No</v>
      </c>
      <c r="AG184" s="5" t="str">
        <f ca="1">IFERROR(__xludf.DUMMYFUNCTION("""COMPUTED_VALUE"""),"No")</f>
        <v>No</v>
      </c>
      <c r="AH184" s="5" t="str">
        <f ca="1">IFERROR(__xludf.DUMMYFUNCTION("""COMPUTED_VALUE"""),"No")</f>
        <v>No</v>
      </c>
      <c r="AI184" s="5" t="str">
        <f ca="1">IFERROR(__xludf.DUMMYFUNCTION("""COMPUTED_VALUE"""),"No")</f>
        <v>No</v>
      </c>
      <c r="AJ184" s="5" t="str">
        <f ca="1">IFERROR(__xludf.DUMMYFUNCTION("""COMPUTED_VALUE"""),"No")</f>
        <v>No</v>
      </c>
    </row>
    <row r="185" spans="1:36" ht="13">
      <c r="A185" s="5" t="str">
        <f ca="1">IFERROR(__xludf.DUMMYFUNCTION("""COMPUTED_VALUE"""),"20220920NYINB")</f>
        <v>20220920NYINB</v>
      </c>
      <c r="B185" s="5">
        <f ca="1">IFERROR(__xludf.DUMMYFUNCTION("""COMPUTED_VALUE"""),9)</f>
        <v>9</v>
      </c>
      <c r="C185" s="5">
        <f ca="1">IFERROR(__xludf.DUMMYFUNCTION("""COMPUTED_VALUE"""),20)</f>
        <v>20</v>
      </c>
      <c r="D185" s="5">
        <f ca="1">IFERROR(__xludf.DUMMYFUNCTION("""COMPUTED_VALUE"""),2022)</f>
        <v>2022</v>
      </c>
      <c r="E185" s="8">
        <f ca="1">IFERROR(__xludf.DUMMYFUNCTION("""COMPUTED_VALUE"""),44824)</f>
        <v>44824</v>
      </c>
      <c r="F185" s="5" t="str">
        <f ca="1">IFERROR(__xludf.DUMMYFUNCTION("""COMPUTED_VALUE"""),"Intermediate School 278")</f>
        <v>Intermediate School 278</v>
      </c>
      <c r="G185" s="5">
        <f ca="1">IFERROR(__xludf.DUMMYFUNCTION("""COMPUTED_VALUE"""),0)</f>
        <v>0</v>
      </c>
      <c r="H185" s="5">
        <f ca="1">IFERROR(__xludf.DUMMYFUNCTION("""COMPUTED_VALUE"""),0)</f>
        <v>0</v>
      </c>
      <c r="I185" s="5">
        <f ca="1">IFERROR(__xludf.DUMMYFUNCTION("""COMPUTED_VALUE"""),0)</f>
        <v>0</v>
      </c>
      <c r="J185" s="5">
        <f ca="1">IFERROR(__xludf.DUMMYFUNCTION("""COMPUTED_VALUE"""),0)</f>
        <v>0</v>
      </c>
      <c r="K185" s="5" t="str">
        <f ca="1">IFERROR(__xludf.DUMMYFUNCTION("""COMPUTED_VALUE"""),"https://abc7ny.com/nyc-brooklyn-woman-shot-in-head/12246225/
https://www.cbsnews.com/newyork/news/marine-park-brooklyn-shooting/
https://bronx.news12.com/police-woman-shot-in-the-head-next-to-school")</f>
        <v>https://abc7ny.com/nyc-brooklyn-woman-shot-in-head/12246225/
https://www.cbsnews.com/newyork/news/marine-park-brooklyn-shooting/
https://bronx.news12.com/police-woman-shot-in-the-head-next-to-school</v>
      </c>
      <c r="L185" s="5">
        <f ca="1">IFERROR(__xludf.DUMMYFUNCTION("""COMPUTED_VALUE"""),3)</f>
        <v>3</v>
      </c>
      <c r="M185" s="5" t="str">
        <f ca="1">IFERROR(__xludf.DUMMYFUNCTION("""COMPUTED_VALUE"""),"Local")</f>
        <v>Local</v>
      </c>
      <c r="N185" s="5">
        <f ca="1">IFERROR(__xludf.DUMMYFUNCTION("""COMPUTED_VALUE"""),4)</f>
        <v>4</v>
      </c>
      <c r="O185" s="5" t="str">
        <f ca="1">IFERROR(__xludf.DUMMYFUNCTION("""COMPUTED_VALUE"""),"Fall")</f>
        <v>Fall</v>
      </c>
      <c r="P185" s="5" t="str">
        <f ca="1">IFERROR(__xludf.DUMMYFUNCTION("""COMPUTED_VALUE"""),"Brooklyn")</f>
        <v>Brooklyn</v>
      </c>
      <c r="Q185" s="5" t="str">
        <f ca="1">IFERROR(__xludf.DUMMYFUNCTION("""COMPUTED_VALUE"""),"NY")</f>
        <v>NY</v>
      </c>
      <c r="R185" s="5" t="str">
        <f ca="1">IFERROR(__xludf.DUMMYFUNCTION("""COMPUTED_VALUE"""),"Middle")</f>
        <v>Middle</v>
      </c>
      <c r="S185" s="5" t="str">
        <f ca="1">IFERROR(__xludf.DUMMYFUNCTION("""COMPUTED_VALUE"""),"Playground")</f>
        <v>Playground</v>
      </c>
      <c r="T185" s="5" t="str">
        <f ca="1">IFERROR(__xludf.DUMMYFUNCTION("""COMPUTED_VALUE"""),"Outside on School Property")</f>
        <v>Outside on School Property</v>
      </c>
      <c r="U185" s="5" t="str">
        <f ca="1">IFERROR(__xludf.DUMMYFUNCTION("""COMPUTED_VALUE"""),"Yes")</f>
        <v>Yes</v>
      </c>
      <c r="V185" s="5" t="str">
        <f ca="1">IFERROR(__xludf.DUMMYFUNCTION("""COMPUTED_VALUE"""),"After School")</f>
        <v>After School</v>
      </c>
      <c r="W185" s="10">
        <f ca="1">IFERROR(__xludf.DUMMYFUNCTION("""COMPUTED_VALUE"""),0.666666666666666)</f>
        <v>0.66666666666666596</v>
      </c>
      <c r="X185" s="5">
        <f ca="1">IFERROR(__xludf.DUMMYFUNCTION("""COMPUTED_VALUE"""),1)</f>
        <v>1</v>
      </c>
      <c r="Y185" s="5" t="str">
        <f ca="1">IFERROR(__xludf.DUMMYFUNCTION("""COMPUTED_VALUE"""),"Woman shot herself in head behind school during after school programs")</f>
        <v>Woman shot herself in head behind school during after school programs</v>
      </c>
      <c r="Z185" s="5" t="str">
        <f ca="1">IFERROR(__xludf.DUMMYFUNCTION("""COMPUTED_VALUE"""),"Woman shot herself in the head on the playground behind the school just prior to dismissal. She was arguing with her child's father at the time of the shooting. Gunshot was heard inside the school while students were inside for after school programs and s"&amp;"chool went on lockdown until children were released to parents in the late evening.")</f>
        <v>Woman shot herself in the head on the playground behind the school just prior to dismissal. She was arguing with her child's father at the time of the shooting. Gunshot was heard inside the school while students were inside for after school programs and school went on lockdown until children were released to parents in the late evening.</v>
      </c>
      <c r="AA185" s="5" t="str">
        <f ca="1">IFERROR(__xludf.DUMMYFUNCTION("""COMPUTED_VALUE"""),"Suicide/Attempted")</f>
        <v>Suicide/Attempted</v>
      </c>
      <c r="AB185" s="5" t="str">
        <f ca="1">IFERROR(__xludf.DUMMYFUNCTION("""COMPUTED_VALUE"""),"Victims Targeted")</f>
        <v>Victims Targeted</v>
      </c>
      <c r="AC185" s="5" t="str">
        <f ca="1">IFERROR(__xludf.DUMMYFUNCTION("""COMPUTED_VALUE"""),"No")</f>
        <v>No</v>
      </c>
      <c r="AD185" s="5" t="str">
        <f ca="1">IFERROR(__xludf.DUMMYFUNCTION("""COMPUTED_VALUE"""),"No")</f>
        <v>No</v>
      </c>
      <c r="AE185" s="5" t="str">
        <f ca="1">IFERROR(__xludf.DUMMYFUNCTION("""COMPUTED_VALUE"""),"No")</f>
        <v>No</v>
      </c>
      <c r="AF185" s="5" t="str">
        <f ca="1">IFERROR(__xludf.DUMMYFUNCTION("""COMPUTED_VALUE"""),"No")</f>
        <v>No</v>
      </c>
      <c r="AG185" s="5" t="str">
        <f ca="1">IFERROR(__xludf.DUMMYFUNCTION("""COMPUTED_VALUE"""),"No")</f>
        <v>No</v>
      </c>
      <c r="AH185" s="5" t="str">
        <f ca="1">IFERROR(__xludf.DUMMYFUNCTION("""COMPUTED_VALUE"""),"No")</f>
        <v>No</v>
      </c>
      <c r="AI185" s="5" t="str">
        <f ca="1">IFERROR(__xludf.DUMMYFUNCTION("""COMPUTED_VALUE"""),"No")</f>
        <v>No</v>
      </c>
      <c r="AJ185" s="5" t="str">
        <f ca="1">IFERROR(__xludf.DUMMYFUNCTION("""COMPUTED_VALUE"""),"No")</f>
        <v>No</v>
      </c>
    </row>
    <row r="186" spans="1:36" ht="13">
      <c r="A186" s="5" t="str">
        <f ca="1">IFERROR(__xludf.DUMMYFUNCTION("""COMPUTED_VALUE"""),"20220919FLTRS")</f>
        <v>20220919FLTRS</v>
      </c>
      <c r="B186" s="5">
        <f ca="1">IFERROR(__xludf.DUMMYFUNCTION("""COMPUTED_VALUE"""),9)</f>
        <v>9</v>
      </c>
      <c r="C186" s="5">
        <f ca="1">IFERROR(__xludf.DUMMYFUNCTION("""COMPUTED_VALUE"""),19)</f>
        <v>19</v>
      </c>
      <c r="D186" s="5">
        <f ca="1">IFERROR(__xludf.DUMMYFUNCTION("""COMPUTED_VALUE"""),2022)</f>
        <v>2022</v>
      </c>
      <c r="E186" s="8">
        <f ca="1">IFERROR(__xludf.DUMMYFUNCTION("""COMPUTED_VALUE"""),44823)</f>
        <v>44823</v>
      </c>
      <c r="F186" s="5" t="str">
        <f ca="1">IFERROR(__xludf.DUMMYFUNCTION("""COMPUTED_VALUE"""),"Treasure Coast Classical Academy")</f>
        <v>Treasure Coast Classical Academy</v>
      </c>
      <c r="G186" s="5">
        <f ca="1">IFERROR(__xludf.DUMMYFUNCTION("""COMPUTED_VALUE"""),0)</f>
        <v>0</v>
      </c>
      <c r="H186" s="5">
        <f ca="1">IFERROR(__xludf.DUMMYFUNCTION("""COMPUTED_VALUE"""),0)</f>
        <v>0</v>
      </c>
      <c r="I186" s="5">
        <f ca="1">IFERROR(__xludf.DUMMYFUNCTION("""COMPUTED_VALUE"""),0)</f>
        <v>0</v>
      </c>
      <c r="J186" s="5">
        <f ca="1">IFERROR(__xludf.DUMMYFUNCTION("""COMPUTED_VALUE"""),0)</f>
        <v>0</v>
      </c>
      <c r="K186" s="9" t="str">
        <f ca="1">IFERROR(__xludf.DUMMYFUNCTION("""COMPUTED_VALUE"""),"https://www.tcpalm.com/story/news/2022/09/19/unintentional-discharge-deputys-gun-school-under-investigation/10429095002/")</f>
        <v>https://www.tcpalm.com/story/news/2022/09/19/unintentional-discharge-deputys-gun-school-under-investigation/10429095002/</v>
      </c>
      <c r="L186" s="5">
        <f ca="1">IFERROR(__xludf.DUMMYFUNCTION("""COMPUTED_VALUE"""),5)</f>
        <v>5</v>
      </c>
      <c r="M186" s="5" t="str">
        <f ca="1">IFERROR(__xludf.DUMMYFUNCTION("""COMPUTED_VALUE"""),"Local")</f>
        <v>Local</v>
      </c>
      <c r="N186" s="5">
        <f ca="1">IFERROR(__xludf.DUMMYFUNCTION("""COMPUTED_VALUE"""),4)</f>
        <v>4</v>
      </c>
      <c r="O186" s="5" t="str">
        <f ca="1">IFERROR(__xludf.DUMMYFUNCTION("""COMPUTED_VALUE"""),"Fall")</f>
        <v>Fall</v>
      </c>
      <c r="P186" s="5" t="str">
        <f ca="1">IFERROR(__xludf.DUMMYFUNCTION("""COMPUTED_VALUE"""),"Stuart")</f>
        <v>Stuart</v>
      </c>
      <c r="Q186" s="5" t="str">
        <f ca="1">IFERROR(__xludf.DUMMYFUNCTION("""COMPUTED_VALUE"""),"FL")</f>
        <v>FL</v>
      </c>
      <c r="R186" s="5" t="str">
        <f ca="1">IFERROR(__xludf.DUMMYFUNCTION("""COMPUTED_VALUE"""),"Elementary")</f>
        <v>Elementary</v>
      </c>
      <c r="S186" s="5" t="str">
        <f ca="1">IFERROR(__xludf.DUMMYFUNCTION("""COMPUTED_VALUE"""),"Office")</f>
        <v>Office</v>
      </c>
      <c r="T186" s="5" t="str">
        <f ca="1">IFERROR(__xludf.DUMMYFUNCTION("""COMPUTED_VALUE"""),"Inside School Building")</f>
        <v>Inside School Building</v>
      </c>
      <c r="U186" s="5" t="str">
        <f ca="1">IFERROR(__xludf.DUMMYFUNCTION("""COMPUTED_VALUE"""),"Yes")</f>
        <v>Yes</v>
      </c>
      <c r="V186" s="5" t="str">
        <f ca="1">IFERROR(__xludf.DUMMYFUNCTION("""COMPUTED_VALUE"""),"Afternoon Classes")</f>
        <v>Afternoon Classes</v>
      </c>
      <c r="W186" s="5"/>
      <c r="X186" s="5">
        <f ca="1">IFERROR(__xludf.DUMMYFUNCTION("""COMPUTED_VALUE"""),1)</f>
        <v>1</v>
      </c>
      <c r="Y186" s="5" t="str">
        <f ca="1">IFERROR(__xludf.DUMMYFUNCTION("""COMPUTED_VALUE"""),"SRO fired bullet through office wall into classroom")</f>
        <v>SRO fired bullet through office wall into classroom</v>
      </c>
      <c r="Z186" s="5" t="str">
        <f ca="1">IFERROR(__xludf.DUMMYFUNCTION("""COMPUTED_VALUE"""),"SRO was ""dry firing"" handgun in his office when gun fired Monday afternoon. Bullet went through the office wall, across the school hallway at shoulder level, through a classroom wall, and lodged in a bookcase. Students were inside the classroom when the"&amp;" shot was fired.")</f>
        <v>SRO was "dry firing" handgun in his office when gun fired Monday afternoon. Bullet went through the office wall, across the school hallway at shoulder level, through a classroom wall, and lodged in a bookcase. Students were inside the classroom when the shot was fired.</v>
      </c>
      <c r="AA186" s="5" t="str">
        <f ca="1">IFERROR(__xludf.DUMMYFUNCTION("""COMPUTED_VALUE"""),"Accidental")</f>
        <v>Accidental</v>
      </c>
      <c r="AB186" s="5" t="str">
        <f ca="1">IFERROR(__xludf.DUMMYFUNCTION("""COMPUTED_VALUE"""),"Neither")</f>
        <v>Neither</v>
      </c>
      <c r="AC186" s="5" t="str">
        <f ca="1">IFERROR(__xludf.DUMMYFUNCTION("""COMPUTED_VALUE"""),"No")</f>
        <v>No</v>
      </c>
      <c r="AD186" s="5" t="str">
        <f ca="1">IFERROR(__xludf.DUMMYFUNCTION("""COMPUTED_VALUE"""),"No")</f>
        <v>No</v>
      </c>
      <c r="AE186" s="5" t="str">
        <f ca="1">IFERROR(__xludf.DUMMYFUNCTION("""COMPUTED_VALUE"""),"No")</f>
        <v>No</v>
      </c>
      <c r="AF186" s="5" t="str">
        <f ca="1">IFERROR(__xludf.DUMMYFUNCTION("""COMPUTED_VALUE"""),"No")</f>
        <v>No</v>
      </c>
      <c r="AG186" s="5" t="str">
        <f ca="1">IFERROR(__xludf.DUMMYFUNCTION("""COMPUTED_VALUE"""),"No")</f>
        <v>No</v>
      </c>
      <c r="AH186" s="5" t="str">
        <f ca="1">IFERROR(__xludf.DUMMYFUNCTION("""COMPUTED_VALUE"""),"No")</f>
        <v>No</v>
      </c>
      <c r="AI186" s="5" t="str">
        <f ca="1">IFERROR(__xludf.DUMMYFUNCTION("""COMPUTED_VALUE"""),"No")</f>
        <v>No</v>
      </c>
      <c r="AJ186" s="5" t="str">
        <f ca="1">IFERROR(__xludf.DUMMYFUNCTION("""COMPUTED_VALUE"""),"No")</f>
        <v>No</v>
      </c>
    </row>
    <row r="187" spans="1:36" ht="13">
      <c r="A187" s="5" t="str">
        <f ca="1">IFERROR(__xludf.DUMMYFUNCTION("""COMPUTED_VALUE"""),"20220919LALAN")</f>
        <v>20220919LALAN</v>
      </c>
      <c r="B187" s="5">
        <f ca="1">IFERROR(__xludf.DUMMYFUNCTION("""COMPUTED_VALUE"""),9)</f>
        <v>9</v>
      </c>
      <c r="C187" s="5">
        <f ca="1">IFERROR(__xludf.DUMMYFUNCTION("""COMPUTED_VALUE"""),19)</f>
        <v>19</v>
      </c>
      <c r="D187" s="5">
        <f ca="1">IFERROR(__xludf.DUMMYFUNCTION("""COMPUTED_VALUE"""),2022)</f>
        <v>2022</v>
      </c>
      <c r="E187" s="8">
        <f ca="1">IFERROR(__xludf.DUMMYFUNCTION("""COMPUTED_VALUE"""),44823)</f>
        <v>44823</v>
      </c>
      <c r="F187" s="5" t="str">
        <f ca="1">IFERROR(__xludf.DUMMYFUNCTION("""COMPUTED_VALUE"""),"Laureate Academy Charter School")</f>
        <v>Laureate Academy Charter School</v>
      </c>
      <c r="G187" s="5">
        <f ca="1">IFERROR(__xludf.DUMMYFUNCTION("""COMPUTED_VALUE"""),0)</f>
        <v>0</v>
      </c>
      <c r="H187" s="5">
        <f ca="1">IFERROR(__xludf.DUMMYFUNCTION("""COMPUTED_VALUE"""),0)</f>
        <v>0</v>
      </c>
      <c r="I187" s="5">
        <f ca="1">IFERROR(__xludf.DUMMYFUNCTION("""COMPUTED_VALUE"""),0)</f>
        <v>0</v>
      </c>
      <c r="J187" s="5">
        <f ca="1">IFERROR(__xludf.DUMMYFUNCTION("""COMPUTED_VALUE"""),0)</f>
        <v>0</v>
      </c>
      <c r="K187" s="5" t="str">
        <f ca="1">IFERROR(__xludf.DUMMYFUNCTION("""COMPUTED_VALUE"""),"https://www.fox8live.com/2022/09/20/student-detained-after-discharging-gun-school-bus-harvey-jpso-says/
https://www.nola.com/news/crime_police/article_cb1b0922-385d-11ed-955e-9f3eacc57192.html
")</f>
        <v xml:space="preserve">https://www.fox8live.com/2022/09/20/student-detained-after-discharging-gun-school-bus-harvey-jpso-says/
https://www.nola.com/news/crime_police/article_cb1b0922-385d-11ed-955e-9f3eacc57192.html
</v>
      </c>
      <c r="L187" s="5">
        <f ca="1">IFERROR(__xludf.DUMMYFUNCTION("""COMPUTED_VALUE"""),3)</f>
        <v>3</v>
      </c>
      <c r="M187" s="5" t="str">
        <f ca="1">IFERROR(__xludf.DUMMYFUNCTION("""COMPUTED_VALUE"""),"Regional")</f>
        <v>Regional</v>
      </c>
      <c r="N187" s="5">
        <f ca="1">IFERROR(__xludf.DUMMYFUNCTION("""COMPUTED_VALUE"""),4)</f>
        <v>4</v>
      </c>
      <c r="O187" s="5" t="str">
        <f ca="1">IFERROR(__xludf.DUMMYFUNCTION("""COMPUTED_VALUE"""),"Fall")</f>
        <v>Fall</v>
      </c>
      <c r="P187" s="5" t="str">
        <f ca="1">IFERROR(__xludf.DUMMYFUNCTION("""COMPUTED_VALUE"""),"New Orleans")</f>
        <v>New Orleans</v>
      </c>
      <c r="Q187" s="5" t="str">
        <f ca="1">IFERROR(__xludf.DUMMYFUNCTION("""COMPUTED_VALUE"""),"LA")</f>
        <v>LA</v>
      </c>
      <c r="R187" s="5" t="str">
        <f ca="1">IFERROR(__xludf.DUMMYFUNCTION("""COMPUTED_VALUE"""),"K-8")</f>
        <v>K-8</v>
      </c>
      <c r="S187" s="5" t="str">
        <f ca="1">IFERROR(__xludf.DUMMYFUNCTION("""COMPUTED_VALUE"""),"School Bus")</f>
        <v>School Bus</v>
      </c>
      <c r="T187" s="5" t="str">
        <f ca="1">IFERROR(__xludf.DUMMYFUNCTION("""COMPUTED_VALUE"""),"School Bus")</f>
        <v>School Bus</v>
      </c>
      <c r="U187" s="5" t="str">
        <f ca="1">IFERROR(__xludf.DUMMYFUNCTION("""COMPUTED_VALUE"""),"Yes")</f>
        <v>Yes</v>
      </c>
      <c r="V187" s="5" t="str">
        <f ca="1">IFERROR(__xludf.DUMMYFUNCTION("""COMPUTED_VALUE"""),"School Start")</f>
        <v>School Start</v>
      </c>
      <c r="W187" s="10">
        <f ca="1">IFERROR(__xludf.DUMMYFUNCTION("""COMPUTED_VALUE"""),0.291666666666666)</f>
        <v>0.29166666666666602</v>
      </c>
      <c r="X187" s="5">
        <f ca="1">IFERROR(__xludf.DUMMYFUNCTION("""COMPUTED_VALUE"""),1)</f>
        <v>1</v>
      </c>
      <c r="Y187" s="5" t="str">
        <f ca="1">IFERROR(__xludf.DUMMYFUNCTION("""COMPUTED_VALUE"""),"Student fired gun on school bus")</f>
        <v>Student fired gun on school bus</v>
      </c>
      <c r="Z187" s="5" t="str">
        <f ca="1">IFERROR(__xludf.DUMMYFUNCTION("""COMPUTED_VALUE"""),"An unidentified student fired a shot on the school bus. Bus driver stopped the bus and contacted police. After interviewing students, the student who fired the shot admitted he brought the gun onto the bus and was arrested.")</f>
        <v>An unidentified student fired a shot on the school bus. Bus driver stopped the bus and contacted police. After interviewing students, the student who fired the shot admitted he brought the gun onto the bus and was arrested.</v>
      </c>
      <c r="AA187" s="5" t="str">
        <f ca="1">IFERROR(__xludf.DUMMYFUNCTION("""COMPUTED_VALUE"""),"Accidental")</f>
        <v>Accidental</v>
      </c>
      <c r="AB187" s="5" t="str">
        <f ca="1">IFERROR(__xludf.DUMMYFUNCTION("""COMPUTED_VALUE"""),"Neither")</f>
        <v>Neither</v>
      </c>
      <c r="AC187" s="5" t="str">
        <f ca="1">IFERROR(__xludf.DUMMYFUNCTION("""COMPUTED_VALUE"""),"No")</f>
        <v>No</v>
      </c>
      <c r="AD187" s="5" t="str">
        <f ca="1">IFERROR(__xludf.DUMMYFUNCTION("""COMPUTED_VALUE"""),"No")</f>
        <v>No</v>
      </c>
      <c r="AE187" s="5" t="str">
        <f ca="1">IFERROR(__xludf.DUMMYFUNCTION("""COMPUTED_VALUE"""),"No")</f>
        <v>No</v>
      </c>
      <c r="AF187" s="5" t="str">
        <f ca="1">IFERROR(__xludf.DUMMYFUNCTION("""COMPUTED_VALUE"""),"No")</f>
        <v>No</v>
      </c>
      <c r="AG187" s="5" t="str">
        <f ca="1">IFERROR(__xludf.DUMMYFUNCTION("""COMPUTED_VALUE"""),"No")</f>
        <v>No</v>
      </c>
      <c r="AH187" s="5" t="str">
        <f ca="1">IFERROR(__xludf.DUMMYFUNCTION("""COMPUTED_VALUE"""),"No")</f>
        <v>No</v>
      </c>
      <c r="AI187" s="5" t="str">
        <f ca="1">IFERROR(__xludf.DUMMYFUNCTION("""COMPUTED_VALUE"""),"No")</f>
        <v>No</v>
      </c>
      <c r="AJ187" s="5" t="str">
        <f ca="1">IFERROR(__xludf.DUMMYFUNCTION("""COMPUTED_VALUE"""),"No")</f>
        <v>No</v>
      </c>
    </row>
    <row r="188" spans="1:36" ht="13">
      <c r="A188" s="5" t="str">
        <f ca="1">IFERROR(__xludf.DUMMYFUNCTION("""COMPUTED_VALUE"""),"20220917GAJOA")</f>
        <v>20220917GAJOA</v>
      </c>
      <c r="B188" s="5">
        <f ca="1">IFERROR(__xludf.DUMMYFUNCTION("""COMPUTED_VALUE"""),9)</f>
        <v>9</v>
      </c>
      <c r="C188" s="5">
        <f ca="1">IFERROR(__xludf.DUMMYFUNCTION("""COMPUTED_VALUE"""),17)</f>
        <v>17</v>
      </c>
      <c r="D188" s="5">
        <f ca="1">IFERROR(__xludf.DUMMYFUNCTION("""COMPUTED_VALUE"""),2022)</f>
        <v>2022</v>
      </c>
      <c r="E188" s="8">
        <f ca="1">IFERROR(__xludf.DUMMYFUNCTION("""COMPUTED_VALUE"""),44821)</f>
        <v>44821</v>
      </c>
      <c r="F188" s="5" t="str">
        <f ca="1">IFERROR(__xludf.DUMMYFUNCTION("""COMPUTED_VALUE"""),"Josey High School")</f>
        <v>Josey High School</v>
      </c>
      <c r="G188" s="5">
        <f ca="1">IFERROR(__xludf.DUMMYFUNCTION("""COMPUTED_VALUE"""),0)</f>
        <v>0</v>
      </c>
      <c r="H188" s="5">
        <f ca="1">IFERROR(__xludf.DUMMYFUNCTION("""COMPUTED_VALUE"""),2)</f>
        <v>2</v>
      </c>
      <c r="I188" s="5">
        <f ca="1">IFERROR(__xludf.DUMMYFUNCTION("""COMPUTED_VALUE"""),2)</f>
        <v>2</v>
      </c>
      <c r="J188" s="5">
        <f ca="1">IFERROR(__xludf.DUMMYFUNCTION("""COMPUTED_VALUE"""),0)</f>
        <v>0</v>
      </c>
      <c r="K188" s="9" t="str">
        <f ca="1">IFERROR(__xludf.DUMMYFUNCTION("""COMPUTED_VALUE"""),"https://www.augustachronicle.com/story/news/crime/2022/09/17/police-respond-shooting-josey-high-school/10415236002/
https://www.wrdw.com/2022/09/17/breaking-news-richmond-county-sheriffs-office-responds-shooting-josey-high-school/
https://www.augustachron"&amp;"icle.com/story/news/crime/2022/09/26/suspect-wanted-after-josey-high-school-shooting-turns-himself/8123351001/")</f>
        <v>https://www.augustachronicle.com/story/news/crime/2022/09/17/police-respond-shooting-josey-high-school/10415236002/
https://www.wrdw.com/2022/09/17/breaking-news-richmond-county-sheriffs-office-responds-shooting-josey-high-school/
https://www.augustachronicle.com/story/news/crime/2022/09/26/suspect-wanted-after-josey-high-school-shooting-turns-himself/8123351001/</v>
      </c>
      <c r="L188" s="5">
        <f ca="1">IFERROR(__xludf.DUMMYFUNCTION("""COMPUTED_VALUE"""),20)</f>
        <v>20</v>
      </c>
      <c r="M188" s="5" t="str">
        <f ca="1">IFERROR(__xludf.DUMMYFUNCTION("""COMPUTED_VALUE"""),"National")</f>
        <v>National</v>
      </c>
      <c r="N188" s="5">
        <f ca="1">IFERROR(__xludf.DUMMYFUNCTION("""COMPUTED_VALUE"""),4)</f>
        <v>4</v>
      </c>
      <c r="O188" s="5" t="str">
        <f ca="1">IFERROR(__xludf.DUMMYFUNCTION("""COMPUTED_VALUE"""),"Fall")</f>
        <v>Fall</v>
      </c>
      <c r="P188" s="5" t="str">
        <f ca="1">IFERROR(__xludf.DUMMYFUNCTION("""COMPUTED_VALUE"""),"Augusta")</f>
        <v>Augusta</v>
      </c>
      <c r="Q188" s="5" t="str">
        <f ca="1">IFERROR(__xludf.DUMMYFUNCTION("""COMPUTED_VALUE"""),"GA")</f>
        <v>GA</v>
      </c>
      <c r="R188" s="5" t="str">
        <f ca="1">IFERROR(__xludf.DUMMYFUNCTION("""COMPUTED_VALUE"""),"High")</f>
        <v>High</v>
      </c>
      <c r="S188" s="5" t="str">
        <f ca="1">IFERROR(__xludf.DUMMYFUNCTION("""COMPUTED_VALUE"""),"Parking Lot")</f>
        <v>Parking Lot</v>
      </c>
      <c r="T188" s="5" t="str">
        <f ca="1">IFERROR(__xludf.DUMMYFUNCTION("""COMPUTED_VALUE"""),"Outside on School Property")</f>
        <v>Outside on School Property</v>
      </c>
      <c r="U188" s="5" t="str">
        <f ca="1">IFERROR(__xludf.DUMMYFUNCTION("""COMPUTED_VALUE"""),"No")</f>
        <v>No</v>
      </c>
      <c r="V188" s="5" t="str">
        <f ca="1">IFERROR(__xludf.DUMMYFUNCTION("""COMPUTED_VALUE"""),"Sport Event")</f>
        <v>Sport Event</v>
      </c>
      <c r="W188" s="10">
        <f ca="1">IFERROR(__xludf.DUMMYFUNCTION("""COMPUTED_VALUE"""),0.725)</f>
        <v>0.72499999999999998</v>
      </c>
      <c r="X188" s="5">
        <f ca="1">IFERROR(__xludf.DUMMYFUNCTION("""COMPUTED_VALUE"""),1)</f>
        <v>1</v>
      </c>
      <c r="Y188" s="5" t="str">
        <f ca="1">IFERROR(__xludf.DUMMYFUNCTION("""COMPUTED_VALUE"""),"Shots fired during fight at homecoming game tailgate")</f>
        <v>Shots fired during fight at homecoming game tailgate</v>
      </c>
      <c r="Z188" s="5" t="str">
        <f ca="1">IFERROR(__xludf.DUMMYFUNCTION("""COMPUTED_VALUE"""),"Multiple shots were fired during a fight at the homecoming game tailgate. Two victims were wounded. ")</f>
        <v xml:space="preserve">Multiple shots were fired during a fight at the homecoming game tailgate. Two victims were wounded. </v>
      </c>
      <c r="AA188" s="5" t="str">
        <f ca="1">IFERROR(__xludf.DUMMYFUNCTION("""COMPUTED_VALUE"""),"Escalation of Dispute")</f>
        <v>Escalation of Dispute</v>
      </c>
      <c r="AB188" s="5" t="str">
        <f ca="1">IFERROR(__xludf.DUMMYFUNCTION("""COMPUTED_VALUE"""),"Both")</f>
        <v>Both</v>
      </c>
      <c r="AC188" s="5" t="str">
        <f ca="1">IFERROR(__xludf.DUMMYFUNCTION("""COMPUTED_VALUE"""),"No")</f>
        <v>No</v>
      </c>
      <c r="AD188" s="5" t="str">
        <f ca="1">IFERROR(__xludf.DUMMYFUNCTION("""COMPUTED_VALUE"""),"No")</f>
        <v>No</v>
      </c>
      <c r="AE188" s="5" t="str">
        <f ca="1">IFERROR(__xludf.DUMMYFUNCTION("""COMPUTED_VALUE"""),"No")</f>
        <v>No</v>
      </c>
      <c r="AF188" s="5" t="str">
        <f ca="1">IFERROR(__xludf.DUMMYFUNCTION("""COMPUTED_VALUE"""),"N")</f>
        <v>N</v>
      </c>
      <c r="AG188" s="5" t="str">
        <f ca="1">IFERROR(__xludf.DUMMYFUNCTION("""COMPUTED_VALUE"""),"No")</f>
        <v>No</v>
      </c>
      <c r="AH188" s="5" t="str">
        <f ca="1">IFERROR(__xludf.DUMMYFUNCTION("""COMPUTED_VALUE"""),"No")</f>
        <v>No</v>
      </c>
      <c r="AI188" s="5" t="str">
        <f ca="1">IFERROR(__xludf.DUMMYFUNCTION("""COMPUTED_VALUE"""),"No")</f>
        <v>No</v>
      </c>
      <c r="AJ188" s="5" t="str">
        <f ca="1">IFERROR(__xludf.DUMMYFUNCTION("""COMPUTED_VALUE"""),"No")</f>
        <v>No</v>
      </c>
    </row>
    <row r="189" spans="1:36" ht="13">
      <c r="A189" s="5" t="str">
        <f ca="1">IFERROR(__xludf.DUMMYFUNCTION("""COMPUTED_VALUE"""),"20220916GALAA")</f>
        <v>20220916GALAA</v>
      </c>
      <c r="B189" s="5">
        <f ca="1">IFERROR(__xludf.DUMMYFUNCTION("""COMPUTED_VALUE"""),9)</f>
        <v>9</v>
      </c>
      <c r="C189" s="5">
        <f ca="1">IFERROR(__xludf.DUMMYFUNCTION("""COMPUTED_VALUE"""),16)</f>
        <v>16</v>
      </c>
      <c r="D189" s="5">
        <f ca="1">IFERROR(__xludf.DUMMYFUNCTION("""COMPUTED_VALUE"""),2022)</f>
        <v>2022</v>
      </c>
      <c r="E189" s="8">
        <f ca="1">IFERROR(__xludf.DUMMYFUNCTION("""COMPUTED_VALUE"""),44820)</f>
        <v>44820</v>
      </c>
      <c r="F189" s="5" t="str">
        <f ca="1">IFERROR(__xludf.DUMMYFUNCTION("""COMPUTED_VALUE"""),"Laney Walker High School")</f>
        <v>Laney Walker High School</v>
      </c>
      <c r="G189" s="5">
        <f ca="1">IFERROR(__xludf.DUMMYFUNCTION("""COMPUTED_VALUE"""),0)</f>
        <v>0</v>
      </c>
      <c r="H189" s="5">
        <f ca="1">IFERROR(__xludf.DUMMYFUNCTION("""COMPUTED_VALUE"""),0)</f>
        <v>0</v>
      </c>
      <c r="I189" s="5">
        <f ca="1">IFERROR(__xludf.DUMMYFUNCTION("""COMPUTED_VALUE"""),0)</f>
        <v>0</v>
      </c>
      <c r="J189" s="5">
        <f ca="1">IFERROR(__xludf.DUMMYFUNCTION("""COMPUTED_VALUE"""),0)</f>
        <v>0</v>
      </c>
      <c r="K189" s="9" t="str">
        <f ca="1">IFERROR(__xludf.DUMMYFUNCTION("""COMPUTED_VALUE"""),"https://www.cbs46.com/2022/09/17/high-school-football-game-ended-evacuated-after-nearby-shooting-augusta/
https://www.wrdw.com/2022/09/17/deputies-respond-shots-fired-call-laney-high/
https://www.wjbf.com/news/reports-of-shots-fired-at-high-school-footbal"&amp;"l-game-in-augusta/
https://www.11alive.com/article/news/state/gunfire-ends-high-school-football-game/85-ab5afbe9-ea46-4bbf-88ee-7add3fa67ef3")</f>
        <v>https://www.cbs46.com/2022/09/17/high-school-football-game-ended-evacuated-after-nearby-shooting-augusta/
https://www.wrdw.com/2022/09/17/deputies-respond-shots-fired-call-laney-high/
https://www.wjbf.com/news/reports-of-shots-fired-at-high-school-football-game-in-augusta/
https://www.11alive.com/article/news/state/gunfire-ends-high-school-football-game/85-ab5afbe9-ea46-4bbf-88ee-7add3fa67ef3</v>
      </c>
      <c r="L189" s="5">
        <f ca="1">IFERROR(__xludf.DUMMYFUNCTION("""COMPUTED_VALUE"""),5)</f>
        <v>5</v>
      </c>
      <c r="M189" s="5" t="str">
        <f ca="1">IFERROR(__xludf.DUMMYFUNCTION("""COMPUTED_VALUE"""),"Regional")</f>
        <v>Regional</v>
      </c>
      <c r="N189" s="5">
        <f ca="1">IFERROR(__xludf.DUMMYFUNCTION("""COMPUTED_VALUE"""),4)</f>
        <v>4</v>
      </c>
      <c r="O189" s="5" t="str">
        <f ca="1">IFERROR(__xludf.DUMMYFUNCTION("""COMPUTED_VALUE"""),"Fall")</f>
        <v>Fall</v>
      </c>
      <c r="P189" s="5" t="str">
        <f ca="1">IFERROR(__xludf.DUMMYFUNCTION("""COMPUTED_VALUE"""),"Augusta")</f>
        <v>Augusta</v>
      </c>
      <c r="Q189" s="5" t="str">
        <f ca="1">IFERROR(__xludf.DUMMYFUNCTION("""COMPUTED_VALUE"""),"GA")</f>
        <v>GA</v>
      </c>
      <c r="R189" s="5" t="str">
        <f ca="1">IFERROR(__xludf.DUMMYFUNCTION("""COMPUTED_VALUE"""),"High")</f>
        <v>High</v>
      </c>
      <c r="S189" s="5" t="str">
        <f ca="1">IFERROR(__xludf.DUMMYFUNCTION("""COMPUTED_VALUE"""),"Parking Lot")</f>
        <v>Parking Lot</v>
      </c>
      <c r="T189" s="5" t="str">
        <f ca="1">IFERROR(__xludf.DUMMYFUNCTION("""COMPUTED_VALUE"""),"Outside on School Property")</f>
        <v>Outside on School Property</v>
      </c>
      <c r="U189" s="5" t="str">
        <f ca="1">IFERROR(__xludf.DUMMYFUNCTION("""COMPUTED_VALUE"""),"No")</f>
        <v>No</v>
      </c>
      <c r="V189" s="5" t="str">
        <f ca="1">IFERROR(__xludf.DUMMYFUNCTION("""COMPUTED_VALUE"""),"Sport Event")</f>
        <v>Sport Event</v>
      </c>
      <c r="W189" s="10">
        <f ca="1">IFERROR(__xludf.DUMMYFUNCTION("""COMPUTED_VALUE"""),0.879166666666666)</f>
        <v>0.87916666666666599</v>
      </c>
      <c r="X189" s="5">
        <f ca="1">IFERROR(__xludf.DUMMYFUNCTION("""COMPUTED_VALUE"""),1)</f>
        <v>1</v>
      </c>
      <c r="Y189" s="5" t="str">
        <f ca="1">IFERROR(__xludf.DUMMYFUNCTION("""COMPUTED_VALUE"""),"Three people fired shots during dispute in parking lot during football game")</f>
        <v>Three people fired shots during dispute in parking lot during football game</v>
      </c>
      <c r="Z189" s="5" t="str">
        <f ca="1">IFERROR(__xludf.DUMMYFUNCTION("""COMPUTED_VALUE"""),"Three people fired shots in the school parking lot during a dispute during a high school football game. Shots were heard in the stadium causing players and fans to evacuate. Remainder of game was cancelled. Police found 3 firearms and bullets struck two v"&amp;"ehicles. No injuries.")</f>
        <v>Three people fired shots in the school parking lot during a dispute during a high school football game. Shots were heard in the stadium causing players and fans to evacuate. Remainder of game was cancelled. Police found 3 firearms and bullets struck two vehicles. No injuries.</v>
      </c>
      <c r="AA189" s="5" t="str">
        <f ca="1">IFERROR(__xludf.DUMMYFUNCTION("""COMPUTED_VALUE"""),"Escalation of Dispute")</f>
        <v>Escalation of Dispute</v>
      </c>
      <c r="AB189" s="5" t="str">
        <f ca="1">IFERROR(__xludf.DUMMYFUNCTION("""COMPUTED_VALUE"""),"Victims Targeted")</f>
        <v>Victims Targeted</v>
      </c>
      <c r="AC189" s="5" t="str">
        <f ca="1">IFERROR(__xludf.DUMMYFUNCTION("""COMPUTED_VALUE"""),"Yes")</f>
        <v>Yes</v>
      </c>
      <c r="AD189" s="5" t="str">
        <f ca="1">IFERROR(__xludf.DUMMYFUNCTION("""COMPUTED_VALUE"""),"No")</f>
        <v>No</v>
      </c>
      <c r="AE189" s="5" t="str">
        <f ca="1">IFERROR(__xludf.DUMMYFUNCTION("""COMPUTED_VALUE"""),"No")</f>
        <v>No</v>
      </c>
      <c r="AF189" s="5" t="str">
        <f ca="1">IFERROR(__xludf.DUMMYFUNCTION("""COMPUTED_VALUE"""),"No")</f>
        <v>No</v>
      </c>
      <c r="AG189" s="5" t="str">
        <f ca="1">IFERROR(__xludf.DUMMYFUNCTION("""COMPUTED_VALUE"""),"No")</f>
        <v>No</v>
      </c>
      <c r="AH189" s="5" t="str">
        <f ca="1">IFERROR(__xludf.DUMMYFUNCTION("""COMPUTED_VALUE"""),"No")</f>
        <v>No</v>
      </c>
      <c r="AI189" s="5"/>
      <c r="AJ189" s="5" t="str">
        <f ca="1">IFERROR(__xludf.DUMMYFUNCTION("""COMPUTED_VALUE"""),"No")</f>
        <v>No</v>
      </c>
    </row>
    <row r="190" spans="1:36" ht="13">
      <c r="A190" s="5" t="str">
        <f ca="1">IFERROR(__xludf.DUMMYFUNCTION("""COMPUTED_VALUE"""),"20220916NYPSN")</f>
        <v>20220916NYPSN</v>
      </c>
      <c r="B190" s="5">
        <f ca="1">IFERROR(__xludf.DUMMYFUNCTION("""COMPUTED_VALUE"""),9)</f>
        <v>9</v>
      </c>
      <c r="C190" s="5">
        <f ca="1">IFERROR(__xludf.DUMMYFUNCTION("""COMPUTED_VALUE"""),16)</f>
        <v>16</v>
      </c>
      <c r="D190" s="5">
        <f ca="1">IFERROR(__xludf.DUMMYFUNCTION("""COMPUTED_VALUE"""),2022)</f>
        <v>2022</v>
      </c>
      <c r="E190" s="8">
        <f ca="1">IFERROR(__xludf.DUMMYFUNCTION("""COMPUTED_VALUE"""),44820)</f>
        <v>44820</v>
      </c>
      <c r="F190" s="5" t="str">
        <f ca="1">IFERROR(__xludf.DUMMYFUNCTION("""COMPUTED_VALUE"""),"P.S. 77 Lower Lab School")</f>
        <v>P.S. 77 Lower Lab School</v>
      </c>
      <c r="G190" s="5">
        <f ca="1">IFERROR(__xludf.DUMMYFUNCTION("""COMPUTED_VALUE"""),0)</f>
        <v>0</v>
      </c>
      <c r="H190" s="5">
        <f ca="1">IFERROR(__xludf.DUMMYFUNCTION("""COMPUTED_VALUE"""),0)</f>
        <v>0</v>
      </c>
      <c r="I190" s="5">
        <f ca="1">IFERROR(__xludf.DUMMYFUNCTION("""COMPUTED_VALUE"""),0)</f>
        <v>0</v>
      </c>
      <c r="J190" s="5">
        <f ca="1">IFERROR(__xludf.DUMMYFUNCTION("""COMPUTED_VALUE"""),0)</f>
        <v>0</v>
      </c>
      <c r="K190" s="9" t="str">
        <f ca="1">IFERROR(__xludf.DUMMYFUNCTION("""COMPUTED_VALUE"""),"https://nypost.com/2022/09/17/nyc-kids-shot-at-with-pellet-guns-after-squabble-over-game-at-ues-playground/")</f>
        <v>https://nypost.com/2022/09/17/nyc-kids-shot-at-with-pellet-guns-after-squabble-over-game-at-ues-playground/</v>
      </c>
      <c r="L190" s="5">
        <f ca="1">IFERROR(__xludf.DUMMYFUNCTION("""COMPUTED_VALUE"""),1)</f>
        <v>1</v>
      </c>
      <c r="M190" s="5" t="str">
        <f ca="1">IFERROR(__xludf.DUMMYFUNCTION("""COMPUTED_VALUE"""),"Local")</f>
        <v>Local</v>
      </c>
      <c r="N190" s="5">
        <f ca="1">IFERROR(__xludf.DUMMYFUNCTION("""COMPUTED_VALUE"""),3)</f>
        <v>3</v>
      </c>
      <c r="O190" s="5" t="str">
        <f ca="1">IFERROR(__xludf.DUMMYFUNCTION("""COMPUTED_VALUE"""),"Fall")</f>
        <v>Fall</v>
      </c>
      <c r="P190" s="5" t="str">
        <f ca="1">IFERROR(__xludf.DUMMYFUNCTION("""COMPUTED_VALUE"""),"New York")</f>
        <v>New York</v>
      </c>
      <c r="Q190" s="5" t="str">
        <f ca="1">IFERROR(__xludf.DUMMYFUNCTION("""COMPUTED_VALUE"""),"NY")</f>
        <v>NY</v>
      </c>
      <c r="R190" s="5" t="str">
        <f ca="1">IFERROR(__xludf.DUMMYFUNCTION("""COMPUTED_VALUE"""),"Elementary")</f>
        <v>Elementary</v>
      </c>
      <c r="S190" s="5" t="str">
        <f ca="1">IFERROR(__xludf.DUMMYFUNCTION("""COMPUTED_VALUE"""),"Playground")</f>
        <v>Playground</v>
      </c>
      <c r="T190" s="5" t="str">
        <f ca="1">IFERROR(__xludf.DUMMYFUNCTION("""COMPUTED_VALUE"""),"Outside on School Property")</f>
        <v>Outside on School Property</v>
      </c>
      <c r="U190" s="5" t="str">
        <f ca="1">IFERROR(__xludf.DUMMYFUNCTION("""COMPUTED_VALUE"""),"No")</f>
        <v>No</v>
      </c>
      <c r="V190" s="5" t="str">
        <f ca="1">IFERROR(__xludf.DUMMYFUNCTION("""COMPUTED_VALUE"""),"After School")</f>
        <v>After School</v>
      </c>
      <c r="W190" s="10">
        <f ca="1">IFERROR(__xludf.DUMMYFUNCTION("""COMPUTED_VALUE"""),0.666666666666666)</f>
        <v>0.66666666666666596</v>
      </c>
      <c r="X190" s="5">
        <f ca="1">IFERROR(__xludf.DUMMYFUNCTION("""COMPUTED_VALUE"""),1)</f>
        <v>1</v>
      </c>
      <c r="Y190" s="5" t="str">
        <f ca="1">IFERROR(__xludf.DUMMYFUNCTION("""COMPUTED_VALUE"""),"Teen fired pellet gun at 5 children during dispute over game on playground")</f>
        <v>Teen fired pellet gun at 5 children during dispute over game on playground</v>
      </c>
      <c r="Z190" s="5" t="str">
        <f ca="1">IFERROR(__xludf.DUMMYFUNCTION("""COMPUTED_VALUE"""),"During a dispute over a game on the playground, a teen left the playground and came back with pellet gun then shot 5 children causing minor injuries. Teen made death threats and also struck children with the gun. Parents chased away the shooter.")</f>
        <v>During a dispute over a game on the playground, a teen left the playground and came back with pellet gun then shot 5 children causing minor injuries. Teen made death threats and also struck children with the gun. Parents chased away the shooter.</v>
      </c>
      <c r="AA190" s="5" t="str">
        <f ca="1">IFERROR(__xludf.DUMMYFUNCTION("""COMPUTED_VALUE"""),"Escalation of Dispute")</f>
        <v>Escalation of Dispute</v>
      </c>
      <c r="AB190" s="5" t="str">
        <f ca="1">IFERROR(__xludf.DUMMYFUNCTION("""COMPUTED_VALUE"""),"Victims Targeted")</f>
        <v>Victims Targeted</v>
      </c>
      <c r="AC190" s="5" t="str">
        <f ca="1">IFERROR(__xludf.DUMMYFUNCTION("""COMPUTED_VALUE"""),"No")</f>
        <v>No</v>
      </c>
      <c r="AD190" s="5" t="str">
        <f ca="1">IFERROR(__xludf.DUMMYFUNCTION("""COMPUTED_VALUE"""),"No")</f>
        <v>No</v>
      </c>
      <c r="AE190" s="5" t="str">
        <f ca="1">IFERROR(__xludf.DUMMYFUNCTION("""COMPUTED_VALUE"""),"No")</f>
        <v>No</v>
      </c>
      <c r="AF190" s="5" t="str">
        <f ca="1">IFERROR(__xludf.DUMMYFUNCTION("""COMPUTED_VALUE"""),"No")</f>
        <v>No</v>
      </c>
      <c r="AG190" s="5" t="str">
        <f ca="1">IFERROR(__xludf.DUMMYFUNCTION("""COMPUTED_VALUE"""),"No")</f>
        <v>No</v>
      </c>
      <c r="AH190" s="5" t="str">
        <f ca="1">IFERROR(__xludf.DUMMYFUNCTION("""COMPUTED_VALUE"""),"No")</f>
        <v>No</v>
      </c>
      <c r="AI190" s="5" t="str">
        <f ca="1">IFERROR(__xludf.DUMMYFUNCTION("""COMPUTED_VALUE"""),"No")</f>
        <v>No</v>
      </c>
      <c r="AJ190" s="5" t="str">
        <f ca="1">IFERROR(__xludf.DUMMYFUNCTION("""COMPUTED_VALUE"""),"No")</f>
        <v>No</v>
      </c>
    </row>
    <row r="191" spans="1:36" ht="13">
      <c r="A191" s="5" t="str">
        <f ca="1">IFERROR(__xludf.DUMMYFUNCTION("""COMPUTED_VALUE"""),"20220914PACON")</f>
        <v>20220914PACON</v>
      </c>
      <c r="B191" s="5">
        <f ca="1">IFERROR(__xludf.DUMMYFUNCTION("""COMPUTED_VALUE"""),9)</f>
        <v>9</v>
      </c>
      <c r="C191" s="5">
        <f ca="1">IFERROR(__xludf.DUMMYFUNCTION("""COMPUTED_VALUE"""),14)</f>
        <v>14</v>
      </c>
      <c r="D191" s="5">
        <f ca="1">IFERROR(__xludf.DUMMYFUNCTION("""COMPUTED_VALUE"""),2022)</f>
        <v>2022</v>
      </c>
      <c r="E191" s="8">
        <f ca="1">IFERROR(__xludf.DUMMYFUNCTION("""COMPUTED_VALUE"""),44818)</f>
        <v>44818</v>
      </c>
      <c r="F191" s="5" t="str">
        <f ca="1">IFERROR(__xludf.DUMMYFUNCTION("""COMPUTED_VALUE"""),"Council Rock North High School")</f>
        <v>Council Rock North High School</v>
      </c>
      <c r="G191" s="5">
        <f ca="1">IFERROR(__xludf.DUMMYFUNCTION("""COMPUTED_VALUE"""),0)</f>
        <v>0</v>
      </c>
      <c r="H191" s="5">
        <f ca="1">IFERROR(__xludf.DUMMYFUNCTION("""COMPUTED_VALUE"""),0)</f>
        <v>0</v>
      </c>
      <c r="I191" s="5">
        <f ca="1">IFERROR(__xludf.DUMMYFUNCTION("""COMPUTED_VALUE"""),0)</f>
        <v>0</v>
      </c>
      <c r="J191" s="5">
        <f ca="1">IFERROR(__xludf.DUMMYFUNCTION("""COMPUTED_VALUE"""),0)</f>
        <v>0</v>
      </c>
      <c r="K191" s="9" t="str">
        <f ca="1">IFERROR(__xludf.DUMMYFUNCTION("""COMPUTED_VALUE"""),"https://www.pennlive.com/news/2022/09/child-detained-after-bb-gun-shot-on-pa-school-bus-police.html")</f>
        <v>https://www.pennlive.com/news/2022/09/child-detained-after-bb-gun-shot-on-pa-school-bus-police.html</v>
      </c>
      <c r="L191" s="5">
        <f ca="1">IFERROR(__xludf.DUMMYFUNCTION("""COMPUTED_VALUE"""),1)</f>
        <v>1</v>
      </c>
      <c r="M191" s="5" t="str">
        <f ca="1">IFERROR(__xludf.DUMMYFUNCTION("""COMPUTED_VALUE"""),"Local")</f>
        <v>Local</v>
      </c>
      <c r="N191" s="5">
        <f ca="1">IFERROR(__xludf.DUMMYFUNCTION("""COMPUTED_VALUE"""),3)</f>
        <v>3</v>
      </c>
      <c r="O191" s="5" t="str">
        <f ca="1">IFERROR(__xludf.DUMMYFUNCTION("""COMPUTED_VALUE"""),"Fall")</f>
        <v>Fall</v>
      </c>
      <c r="P191" s="5" t="str">
        <f ca="1">IFERROR(__xludf.DUMMYFUNCTION("""COMPUTED_VALUE"""),"Newton")</f>
        <v>Newton</v>
      </c>
      <c r="Q191" s="5" t="str">
        <f ca="1">IFERROR(__xludf.DUMMYFUNCTION("""COMPUTED_VALUE"""),"PA")</f>
        <v>PA</v>
      </c>
      <c r="R191" s="5" t="str">
        <f ca="1">IFERROR(__xludf.DUMMYFUNCTION("""COMPUTED_VALUE"""),"High")</f>
        <v>High</v>
      </c>
      <c r="S191" s="5" t="str">
        <f ca="1">IFERROR(__xludf.DUMMYFUNCTION("""COMPUTED_VALUE"""),"School Bus")</f>
        <v>School Bus</v>
      </c>
      <c r="T191" s="5" t="str">
        <f ca="1">IFERROR(__xludf.DUMMYFUNCTION("""COMPUTED_VALUE"""),"School Bus")</f>
        <v>School Bus</v>
      </c>
      <c r="U191" s="5" t="str">
        <f ca="1">IFERROR(__xludf.DUMMYFUNCTION("""COMPUTED_VALUE"""),"Yes")</f>
        <v>Yes</v>
      </c>
      <c r="V191" s="5" t="str">
        <f ca="1">IFERROR(__xludf.DUMMYFUNCTION("""COMPUTED_VALUE"""),"Dismissal")</f>
        <v>Dismissal</v>
      </c>
      <c r="W191" s="10">
        <f ca="1">IFERROR(__xludf.DUMMYFUNCTION("""COMPUTED_VALUE"""),0.625)</f>
        <v>0.625</v>
      </c>
      <c r="X191" s="5">
        <f ca="1">IFERROR(__xludf.DUMMYFUNCTION("""COMPUTED_VALUE"""),1)</f>
        <v>1</v>
      </c>
      <c r="Y191" s="5" t="str">
        <f ca="1">IFERROR(__xludf.DUMMYFUNCTION("""COMPUTED_VALUE"""),"BB gun fired by student on the school bus, window damaged")</f>
        <v>BB gun fired by student on the school bus, window damaged</v>
      </c>
      <c r="Z191" s="5" t="str">
        <f ca="1">IFERROR(__xludf.DUMMYFUNCTION("""COMPUTED_VALUE"""),"Student was detained by police after a BB gun was fired on the school bus. Window was damaged. No injuries.")</f>
        <v>Student was detained by police after a BB gun was fired on the school bus. Window was damaged. No injuries.</v>
      </c>
      <c r="AA191" s="5"/>
      <c r="AB191" s="5"/>
      <c r="AC191" s="5" t="str">
        <f ca="1">IFERROR(__xludf.DUMMYFUNCTION("""COMPUTED_VALUE"""),"No")</f>
        <v>No</v>
      </c>
      <c r="AD191" s="5" t="str">
        <f ca="1">IFERROR(__xludf.DUMMYFUNCTION("""COMPUTED_VALUE"""),"No")</f>
        <v>No</v>
      </c>
      <c r="AE191" s="5" t="str">
        <f ca="1">IFERROR(__xludf.DUMMYFUNCTION("""COMPUTED_VALUE"""),"No")</f>
        <v>No</v>
      </c>
      <c r="AF191" s="5" t="str">
        <f ca="1">IFERROR(__xludf.DUMMYFUNCTION("""COMPUTED_VALUE"""),"No")</f>
        <v>No</v>
      </c>
      <c r="AG191" s="5"/>
      <c r="AH191" s="5" t="str">
        <f ca="1">IFERROR(__xludf.DUMMYFUNCTION("""COMPUTED_VALUE"""),"No")</f>
        <v>No</v>
      </c>
      <c r="AI191" s="5"/>
      <c r="AJ191" s="5" t="str">
        <f ca="1">IFERROR(__xludf.DUMMYFUNCTION("""COMPUTED_VALUE"""),"No")</f>
        <v>No</v>
      </c>
    </row>
    <row r="192" spans="1:36" ht="13">
      <c r="A192" s="5" t="str">
        <f ca="1">IFERROR(__xludf.DUMMYFUNCTION("""COMPUTED_VALUE"""),"20220913UTBOB")</f>
        <v>20220913UTBOB</v>
      </c>
      <c r="B192" s="5">
        <f ca="1">IFERROR(__xludf.DUMMYFUNCTION("""COMPUTED_VALUE"""),9)</f>
        <v>9</v>
      </c>
      <c r="C192" s="5">
        <f ca="1">IFERROR(__xludf.DUMMYFUNCTION("""COMPUTED_VALUE"""),13)</f>
        <v>13</v>
      </c>
      <c r="D192" s="5">
        <f ca="1">IFERROR(__xludf.DUMMYFUNCTION("""COMPUTED_VALUE"""),2022)</f>
        <v>2022</v>
      </c>
      <c r="E192" s="8">
        <f ca="1">IFERROR(__xludf.DUMMYFUNCTION("""COMPUTED_VALUE"""),44817)</f>
        <v>44817</v>
      </c>
      <c r="F192" s="5" t="str">
        <f ca="1">IFERROR(__xludf.DUMMYFUNCTION("""COMPUTED_VALUE"""),"Bountiful High School")</f>
        <v>Bountiful High School</v>
      </c>
      <c r="G192" s="5">
        <f ca="1">IFERROR(__xludf.DUMMYFUNCTION("""COMPUTED_VALUE"""),0)</f>
        <v>0</v>
      </c>
      <c r="H192" s="5">
        <f ca="1">IFERROR(__xludf.DUMMYFUNCTION("""COMPUTED_VALUE"""),0)</f>
        <v>0</v>
      </c>
      <c r="I192" s="5">
        <f ca="1">IFERROR(__xludf.DUMMYFUNCTION("""COMPUTED_VALUE"""),0)</f>
        <v>0</v>
      </c>
      <c r="J192" s="5">
        <f ca="1">IFERROR(__xludf.DUMMYFUNCTION("""COMPUTED_VALUE"""),0)</f>
        <v>0</v>
      </c>
      <c r="K192" s="9" t="str">
        <f ca="1">IFERROR(__xludf.DUMMYFUNCTION("""COMPUTED_VALUE"""),"https://ksltv.com/505779/bountiful-police-book-juvenile-for-allegedly-shooting-a-gun-forcing-high-school-lockout/
https://www.abc4.com/news/bountiful-high-placed-on-lockdown-school-threat/")</f>
        <v>https://ksltv.com/505779/bountiful-police-book-juvenile-for-allegedly-shooting-a-gun-forcing-high-school-lockout/
https://www.abc4.com/news/bountiful-high-placed-on-lockdown-school-threat/</v>
      </c>
      <c r="L192" s="5">
        <f ca="1">IFERROR(__xludf.DUMMYFUNCTION("""COMPUTED_VALUE"""),2)</f>
        <v>2</v>
      </c>
      <c r="M192" s="5" t="str">
        <f ca="1">IFERROR(__xludf.DUMMYFUNCTION("""COMPUTED_VALUE"""),"Local")</f>
        <v>Local</v>
      </c>
      <c r="N192" s="5">
        <f ca="1">IFERROR(__xludf.DUMMYFUNCTION("""COMPUTED_VALUE"""),2)</f>
        <v>2</v>
      </c>
      <c r="O192" s="5" t="str">
        <f ca="1">IFERROR(__xludf.DUMMYFUNCTION("""COMPUTED_VALUE"""),"Fall")</f>
        <v>Fall</v>
      </c>
      <c r="P192" s="5" t="str">
        <f ca="1">IFERROR(__xludf.DUMMYFUNCTION("""COMPUTED_VALUE"""),"Bountiful")</f>
        <v>Bountiful</v>
      </c>
      <c r="Q192" s="5" t="str">
        <f ca="1">IFERROR(__xludf.DUMMYFUNCTION("""COMPUTED_VALUE"""),"UT")</f>
        <v>UT</v>
      </c>
      <c r="R192" s="5" t="str">
        <f ca="1">IFERROR(__xludf.DUMMYFUNCTION("""COMPUTED_VALUE"""),"High")</f>
        <v>High</v>
      </c>
      <c r="S192" s="5" t="str">
        <f ca="1">IFERROR(__xludf.DUMMYFUNCTION("""COMPUTED_VALUE"""),"Parking Lot")</f>
        <v>Parking Lot</v>
      </c>
      <c r="T192" s="5" t="str">
        <f ca="1">IFERROR(__xludf.DUMMYFUNCTION("""COMPUTED_VALUE"""),"Outside on School Property")</f>
        <v>Outside on School Property</v>
      </c>
      <c r="U192" s="5" t="str">
        <f ca="1">IFERROR(__xludf.DUMMYFUNCTION("""COMPUTED_VALUE"""),"Yes")</f>
        <v>Yes</v>
      </c>
      <c r="V192" s="5" t="str">
        <f ca="1">IFERROR(__xludf.DUMMYFUNCTION("""COMPUTED_VALUE"""),"Afternoon Classes")</f>
        <v>Afternoon Classes</v>
      </c>
      <c r="W192" s="10">
        <f ca="1">IFERROR(__xludf.DUMMYFUNCTION("""COMPUTED_VALUE"""),0.561111111111111)</f>
        <v>0.56111111111111101</v>
      </c>
      <c r="X192" s="5">
        <f ca="1">IFERROR(__xludf.DUMMYFUNCTION("""COMPUTED_VALUE"""),1)</f>
        <v>1</v>
      </c>
      <c r="Y192" s="5" t="str">
        <f ca="1">IFERROR(__xludf.DUMMYFUNCTION("""COMPUTED_VALUE"""),"Teen fired shot in parking lot")</f>
        <v>Teen fired shot in parking lot</v>
      </c>
      <c r="Z192" s="5" t="str">
        <f ca="1">IFERROR(__xludf.DUMMYFUNCTION("""COMPUTED_VALUE"""),"High school went into lockdown when teen fired a shot in the parking lot. Police arrested the teen 1 hour later.")</f>
        <v>High school went into lockdown when teen fired a shot in the parking lot. Police arrested the teen 1 hour later.</v>
      </c>
      <c r="AA192" s="5" t="str">
        <f ca="1">IFERROR(__xludf.DUMMYFUNCTION("""COMPUTED_VALUE"""),"Escalation of Dispute")</f>
        <v>Escalation of Dispute</v>
      </c>
      <c r="AB192" s="5" t="str">
        <f ca="1">IFERROR(__xludf.DUMMYFUNCTION("""COMPUTED_VALUE"""),"Victims Targeted")</f>
        <v>Victims Targeted</v>
      </c>
      <c r="AC192" s="5" t="str">
        <f ca="1">IFERROR(__xludf.DUMMYFUNCTION("""COMPUTED_VALUE"""),"No")</f>
        <v>No</v>
      </c>
      <c r="AD192" s="5" t="str">
        <f ca="1">IFERROR(__xludf.DUMMYFUNCTION("""COMPUTED_VALUE"""),"No")</f>
        <v>No</v>
      </c>
      <c r="AE192" s="5" t="str">
        <f ca="1">IFERROR(__xludf.DUMMYFUNCTION("""COMPUTED_VALUE"""),"No")</f>
        <v>No</v>
      </c>
      <c r="AF192" s="5" t="str">
        <f ca="1">IFERROR(__xludf.DUMMYFUNCTION("""COMPUTED_VALUE"""),"No")</f>
        <v>No</v>
      </c>
      <c r="AG192" s="5"/>
      <c r="AH192" s="5" t="str">
        <f ca="1">IFERROR(__xludf.DUMMYFUNCTION("""COMPUTED_VALUE"""),"No")</f>
        <v>No</v>
      </c>
      <c r="AI192" s="5"/>
      <c r="AJ192" s="5" t="str">
        <f ca="1">IFERROR(__xludf.DUMMYFUNCTION("""COMPUTED_VALUE"""),"No")</f>
        <v>No</v>
      </c>
    </row>
    <row r="193" spans="1:36" ht="13">
      <c r="A193" s="5" t="str">
        <f ca="1">IFERROR(__xludf.DUMMYFUNCTION("""COMPUTED_VALUE"""),"20220913MDOXO")</f>
        <v>20220913MDOXO</v>
      </c>
      <c r="B193" s="5">
        <f ca="1">IFERROR(__xludf.DUMMYFUNCTION("""COMPUTED_VALUE"""),9)</f>
        <v>9</v>
      </c>
      <c r="C193" s="5">
        <f ca="1">IFERROR(__xludf.DUMMYFUNCTION("""COMPUTED_VALUE"""),13)</f>
        <v>13</v>
      </c>
      <c r="D193" s="5">
        <f ca="1">IFERROR(__xludf.DUMMYFUNCTION("""COMPUTED_VALUE"""),2022)</f>
        <v>2022</v>
      </c>
      <c r="E193" s="8">
        <f ca="1">IFERROR(__xludf.DUMMYFUNCTION("""COMPUTED_VALUE"""),44817)</f>
        <v>44817</v>
      </c>
      <c r="F193" s="5" t="str">
        <f ca="1">IFERROR(__xludf.DUMMYFUNCTION("""COMPUTED_VALUE"""),"Oxon Hill High School")</f>
        <v>Oxon Hill High School</v>
      </c>
      <c r="G193" s="5">
        <f ca="1">IFERROR(__xludf.DUMMYFUNCTION("""COMPUTED_VALUE"""),0)</f>
        <v>0</v>
      </c>
      <c r="H193" s="5">
        <f ca="1">IFERROR(__xludf.DUMMYFUNCTION("""COMPUTED_VALUE"""),1)</f>
        <v>1</v>
      </c>
      <c r="I193" s="5">
        <f ca="1">IFERROR(__xludf.DUMMYFUNCTION("""COMPUTED_VALUE"""),1)</f>
        <v>1</v>
      </c>
      <c r="J193" s="5">
        <f ca="1">IFERROR(__xludf.DUMMYFUNCTION("""COMPUTED_VALUE"""),0)</f>
        <v>0</v>
      </c>
      <c r="K193" s="9" t="str">
        <f ca="1">IFERROR(__xludf.DUMMYFUNCTION("""COMPUTED_VALUE"""),"https://www.wusa9.com/article/news/crime/1-shot-behind-oxon-hill-high-school-maryland/65-a9856c58-c55d-401e-aef5-dc7b8a9b13fa")</f>
        <v>https://www.wusa9.com/article/news/crime/1-shot-behind-oxon-hill-high-school-maryland/65-a9856c58-c55d-401e-aef5-dc7b8a9b13fa</v>
      </c>
      <c r="L193" s="5">
        <f ca="1">IFERROR(__xludf.DUMMYFUNCTION("""COMPUTED_VALUE"""),1)</f>
        <v>1</v>
      </c>
      <c r="M193" s="5" t="str">
        <f ca="1">IFERROR(__xludf.DUMMYFUNCTION("""COMPUTED_VALUE"""),"Local")</f>
        <v>Local</v>
      </c>
      <c r="N193" s="5">
        <f ca="1">IFERROR(__xludf.DUMMYFUNCTION("""COMPUTED_VALUE"""),2)</f>
        <v>2</v>
      </c>
      <c r="O193" s="5" t="str">
        <f ca="1">IFERROR(__xludf.DUMMYFUNCTION("""COMPUTED_VALUE"""),"Fall")</f>
        <v>Fall</v>
      </c>
      <c r="P193" s="5" t="str">
        <f ca="1">IFERROR(__xludf.DUMMYFUNCTION("""COMPUTED_VALUE"""),"Oxon Hill")</f>
        <v>Oxon Hill</v>
      </c>
      <c r="Q193" s="5" t="str">
        <f ca="1">IFERROR(__xludf.DUMMYFUNCTION("""COMPUTED_VALUE"""),"MD")</f>
        <v>MD</v>
      </c>
      <c r="R193" s="5" t="str">
        <f ca="1">IFERROR(__xludf.DUMMYFUNCTION("""COMPUTED_VALUE"""),"High")</f>
        <v>High</v>
      </c>
      <c r="S193" s="5" t="str">
        <f ca="1">IFERROR(__xludf.DUMMYFUNCTION("""COMPUTED_VALUE"""),"Beside Building")</f>
        <v>Beside Building</v>
      </c>
      <c r="T193" s="5" t="str">
        <f ca="1">IFERROR(__xludf.DUMMYFUNCTION("""COMPUTED_VALUE"""),"Outside on School Property")</f>
        <v>Outside on School Property</v>
      </c>
      <c r="U193" s="5" t="str">
        <f ca="1">IFERROR(__xludf.DUMMYFUNCTION("""COMPUTED_VALUE"""),"No")</f>
        <v>No</v>
      </c>
      <c r="V193" s="5" t="str">
        <f ca="1">IFERROR(__xludf.DUMMYFUNCTION("""COMPUTED_VALUE"""),"After School")</f>
        <v>After School</v>
      </c>
      <c r="W193" s="10">
        <f ca="1">IFERROR(__xludf.DUMMYFUNCTION("""COMPUTED_VALUE"""),0.659722222222222)</f>
        <v>0.65972222222222199</v>
      </c>
      <c r="X193" s="5">
        <f ca="1">IFERROR(__xludf.DUMMYFUNCTION("""COMPUTED_VALUE"""),1)</f>
        <v>1</v>
      </c>
      <c r="Y193" s="5" t="str">
        <f ca="1">IFERROR(__xludf.DUMMYFUNCTION("""COMPUTED_VALUE"""),"Person shot behind school")</f>
        <v>Person shot behind school</v>
      </c>
      <c r="Z193" s="5" t="str">
        <f ca="1">IFERROR(__xludf.DUMMYFUNCTION("""COMPUTED_VALUE"""),"A person was shot behind the school. Police have not confirmed any information about the victim, including their age, gender, name, or if they have any affiliation with the school. They have also not confirmed any information about possible suspects.")</f>
        <v>A person was shot behind the school. Police have not confirmed any information about the victim, including their age, gender, name, or if they have any affiliation with the school. They have also not confirmed any information about possible suspects.</v>
      </c>
      <c r="AA193" s="5"/>
      <c r="AB193" s="5"/>
      <c r="AC193" s="5"/>
      <c r="AD193" s="5" t="str">
        <f ca="1">IFERROR(__xludf.DUMMYFUNCTION("""COMPUTED_VALUE"""),"No")</f>
        <v>No</v>
      </c>
      <c r="AE193" s="5" t="str">
        <f ca="1">IFERROR(__xludf.DUMMYFUNCTION("""COMPUTED_VALUE"""),"No")</f>
        <v>No</v>
      </c>
      <c r="AF193" s="5" t="str">
        <f ca="1">IFERROR(__xludf.DUMMYFUNCTION("""COMPUTED_VALUE"""),"No")</f>
        <v>No</v>
      </c>
      <c r="AG193" s="5"/>
      <c r="AH193" s="5"/>
      <c r="AI193" s="5"/>
      <c r="AJ193" s="5" t="str">
        <f ca="1">IFERROR(__xludf.DUMMYFUNCTION("""COMPUTED_VALUE"""),"No")</f>
        <v>No</v>
      </c>
    </row>
    <row r="194" spans="1:36" ht="13">
      <c r="A194" s="5" t="str">
        <f ca="1">IFERROR(__xludf.DUMMYFUNCTION("""COMPUTED_VALUE"""),"20220913CAVAV")</f>
        <v>20220913CAVAV</v>
      </c>
      <c r="B194" s="5">
        <f ca="1">IFERROR(__xludf.DUMMYFUNCTION("""COMPUTED_VALUE"""),9)</f>
        <v>9</v>
      </c>
      <c r="C194" s="5">
        <f ca="1">IFERROR(__xludf.DUMMYFUNCTION("""COMPUTED_VALUE"""),13)</f>
        <v>13</v>
      </c>
      <c r="D194" s="5">
        <f ca="1">IFERROR(__xludf.DUMMYFUNCTION("""COMPUTED_VALUE"""),2022)</f>
        <v>2022</v>
      </c>
      <c r="E194" s="8">
        <f ca="1">IFERROR(__xludf.DUMMYFUNCTION("""COMPUTED_VALUE"""),44817)</f>
        <v>44817</v>
      </c>
      <c r="F194" s="5" t="str">
        <f ca="1">IFERROR(__xludf.DUMMYFUNCTION("""COMPUTED_VALUE"""),"Vallejo High School")</f>
        <v>Vallejo High School</v>
      </c>
      <c r="G194" s="5">
        <f ca="1">IFERROR(__xludf.DUMMYFUNCTION("""COMPUTED_VALUE"""),0)</f>
        <v>0</v>
      </c>
      <c r="H194" s="5">
        <f ca="1">IFERROR(__xludf.DUMMYFUNCTION("""COMPUTED_VALUE"""),1)</f>
        <v>1</v>
      </c>
      <c r="I194" s="5">
        <f ca="1">IFERROR(__xludf.DUMMYFUNCTION("""COMPUTED_VALUE"""),1)</f>
        <v>1</v>
      </c>
      <c r="J194" s="5">
        <f ca="1">IFERROR(__xludf.DUMMYFUNCTION("""COMPUTED_VALUE"""),0)</f>
        <v>0</v>
      </c>
      <c r="K194" s="9" t="str">
        <f ca="1">IFERROR(__xludf.DUMMYFUNCTION("""COMPUTED_VALUE"""),"https://abc7news.com/vallejo-shooting-high-school-staff-member-shot-police/12228137/
https://www.wral.com/california-high-school-staff-member-shot-after-fight/20464618/")</f>
        <v>https://abc7news.com/vallejo-shooting-high-school-staff-member-shot-police/12228137/
https://www.wral.com/california-high-school-staff-member-shot-after-fight/20464618/</v>
      </c>
      <c r="L194" s="5">
        <f ca="1">IFERROR(__xludf.DUMMYFUNCTION("""COMPUTED_VALUE"""),10)</f>
        <v>10</v>
      </c>
      <c r="M194" s="5" t="str">
        <f ca="1">IFERROR(__xludf.DUMMYFUNCTION("""COMPUTED_VALUE"""),"Regional")</f>
        <v>Regional</v>
      </c>
      <c r="N194" s="5">
        <f ca="1">IFERROR(__xludf.DUMMYFUNCTION("""COMPUTED_VALUE"""),4)</f>
        <v>4</v>
      </c>
      <c r="O194" s="5" t="str">
        <f ca="1">IFERROR(__xludf.DUMMYFUNCTION("""COMPUTED_VALUE"""),"Fall")</f>
        <v>Fall</v>
      </c>
      <c r="P194" s="5" t="str">
        <f ca="1">IFERROR(__xludf.DUMMYFUNCTION("""COMPUTED_VALUE"""),"Vallejo")</f>
        <v>Vallejo</v>
      </c>
      <c r="Q194" s="5" t="str">
        <f ca="1">IFERROR(__xludf.DUMMYFUNCTION("""COMPUTED_VALUE"""),"CA")</f>
        <v>CA</v>
      </c>
      <c r="R194" s="5" t="str">
        <f ca="1">IFERROR(__xludf.DUMMYFUNCTION("""COMPUTED_VALUE"""),"High")</f>
        <v>High</v>
      </c>
      <c r="S194" s="5" t="str">
        <f ca="1">IFERROR(__xludf.DUMMYFUNCTION("""COMPUTED_VALUE"""),"Parking Lot")</f>
        <v>Parking Lot</v>
      </c>
      <c r="T194" s="5" t="str">
        <f ca="1">IFERROR(__xludf.DUMMYFUNCTION("""COMPUTED_VALUE"""),"Outside on School Property")</f>
        <v>Outside on School Property</v>
      </c>
      <c r="U194" s="5" t="str">
        <f ca="1">IFERROR(__xludf.DUMMYFUNCTION("""COMPUTED_VALUE"""),"Yes")</f>
        <v>Yes</v>
      </c>
      <c r="V194" s="5" t="str">
        <f ca="1">IFERROR(__xludf.DUMMYFUNCTION("""COMPUTED_VALUE"""),"Dismissal")</f>
        <v>Dismissal</v>
      </c>
      <c r="W194" s="10">
        <f ca="1">IFERROR(__xludf.DUMMYFUNCTION("""COMPUTED_VALUE"""),0.65625)</f>
        <v>0.65625</v>
      </c>
      <c r="X194" s="5">
        <f ca="1">IFERROR(__xludf.DUMMYFUNCTION("""COMPUTED_VALUE"""),1)</f>
        <v>1</v>
      </c>
      <c r="Y194" s="5" t="str">
        <f ca="1">IFERROR(__xludf.DUMMYFUNCTION("""COMPUTED_VALUE"""),"School staff member shot after breaking up fight")</f>
        <v>School staff member shot after breaking up fight</v>
      </c>
      <c r="Z194" s="5" t="str">
        <f ca="1">IFERROR(__xludf.DUMMYFUNCTION("""COMPUTED_VALUE"""),"School coach broke up a fight between multiple students in the parking lot. A group of students involved in the fight fired shots at the crowd while driving away. The coach was wounded. No students injured. School went on lockdown.")</f>
        <v>School coach broke up a fight between multiple students in the parking lot. A group of students involved in the fight fired shots at the crowd while driving away. The coach was wounded. No students injured. School went on lockdown.</v>
      </c>
      <c r="AA194" s="5" t="str">
        <f ca="1">IFERROR(__xludf.DUMMYFUNCTION("""COMPUTED_VALUE"""),"Escalation of Dispute")</f>
        <v>Escalation of Dispute</v>
      </c>
      <c r="AB194" s="5" t="str">
        <f ca="1">IFERROR(__xludf.DUMMYFUNCTION("""COMPUTED_VALUE"""),"Both")</f>
        <v>Both</v>
      </c>
      <c r="AC194" s="5" t="str">
        <f ca="1">IFERROR(__xludf.DUMMYFUNCTION("""COMPUTED_VALUE"""),"Yes")</f>
        <v>Yes</v>
      </c>
      <c r="AD194" s="5" t="str">
        <f ca="1">IFERROR(__xludf.DUMMYFUNCTION("""COMPUTED_VALUE"""),"No")</f>
        <v>No</v>
      </c>
      <c r="AE194" s="5" t="str">
        <f ca="1">IFERROR(__xludf.DUMMYFUNCTION("""COMPUTED_VALUE"""),"No")</f>
        <v>No</v>
      </c>
      <c r="AF194" s="5" t="str">
        <f ca="1">IFERROR(__xludf.DUMMYFUNCTION("""COMPUTED_VALUE"""),"No")</f>
        <v>No</v>
      </c>
      <c r="AG194" s="5" t="str">
        <f ca="1">IFERROR(__xludf.DUMMYFUNCTION("""COMPUTED_VALUE"""),"No")</f>
        <v>No</v>
      </c>
      <c r="AH194" s="5" t="str">
        <f ca="1">IFERROR(__xludf.DUMMYFUNCTION("""COMPUTED_VALUE"""),"No")</f>
        <v>No</v>
      </c>
      <c r="AI194" s="5"/>
      <c r="AJ194" s="5" t="str">
        <f ca="1">IFERROR(__xludf.DUMMYFUNCTION("""COMPUTED_VALUE"""),"No")</f>
        <v>No</v>
      </c>
    </row>
    <row r="195" spans="1:36" ht="13">
      <c r="A195" s="5" t="str">
        <f ca="1">IFERROR(__xludf.DUMMYFUNCTION("""COMPUTED_VALUE"""),"20220913MIJAJ")</f>
        <v>20220913MIJAJ</v>
      </c>
      <c r="B195" s="5">
        <f ca="1">IFERROR(__xludf.DUMMYFUNCTION("""COMPUTED_VALUE"""),9)</f>
        <v>9</v>
      </c>
      <c r="C195" s="5">
        <f ca="1">IFERROR(__xludf.DUMMYFUNCTION("""COMPUTED_VALUE"""),13)</f>
        <v>13</v>
      </c>
      <c r="D195" s="5">
        <f ca="1">IFERROR(__xludf.DUMMYFUNCTION("""COMPUTED_VALUE"""),2022)</f>
        <v>2022</v>
      </c>
      <c r="E195" s="8">
        <f ca="1">IFERROR(__xludf.DUMMYFUNCTION("""COMPUTED_VALUE"""),44817)</f>
        <v>44817</v>
      </c>
      <c r="F195" s="5" t="str">
        <f ca="1">IFERROR(__xludf.DUMMYFUNCTION("""COMPUTED_VALUE"""),"Jackson Middle School")</f>
        <v>Jackson Middle School</v>
      </c>
      <c r="G195" s="5">
        <f ca="1">IFERROR(__xludf.DUMMYFUNCTION("""COMPUTED_VALUE"""),0)</f>
        <v>0</v>
      </c>
      <c r="H195" s="5">
        <f ca="1">IFERROR(__xludf.DUMMYFUNCTION("""COMPUTED_VALUE"""),0)</f>
        <v>0</v>
      </c>
      <c r="I195" s="5">
        <f ca="1">IFERROR(__xludf.DUMMYFUNCTION("""COMPUTED_VALUE"""),0)</f>
        <v>0</v>
      </c>
      <c r="J195" s="5">
        <f ca="1">IFERROR(__xludf.DUMMYFUNCTION("""COMPUTED_VALUE"""),0)</f>
        <v>0</v>
      </c>
      <c r="K195" s="9" t="str">
        <f ca="1">IFERROR(__xludf.DUMMYFUNCTION("""COMPUTED_VALUE"""),"https://www.wtol.com/article/news/local/jackson-michigan-middle-school-football-game-locked-down-shots-fired-in-vicinity/512-4d093342-30e0-4e92-b654-ee374f97fc87")</f>
        <v>https://www.wtol.com/article/news/local/jackson-michigan-middle-school-football-game-locked-down-shots-fired-in-vicinity/512-4d093342-30e0-4e92-b654-ee374f97fc87</v>
      </c>
      <c r="L195" s="5">
        <f ca="1">IFERROR(__xludf.DUMMYFUNCTION("""COMPUTED_VALUE"""),1)</f>
        <v>1</v>
      </c>
      <c r="M195" s="5" t="str">
        <f ca="1">IFERROR(__xludf.DUMMYFUNCTION("""COMPUTED_VALUE"""),"Local")</f>
        <v>Local</v>
      </c>
      <c r="N195" s="5">
        <f ca="1">IFERROR(__xludf.DUMMYFUNCTION("""COMPUTED_VALUE"""),2)</f>
        <v>2</v>
      </c>
      <c r="O195" s="5" t="str">
        <f ca="1">IFERROR(__xludf.DUMMYFUNCTION("""COMPUTED_VALUE"""),"Fall")</f>
        <v>Fall</v>
      </c>
      <c r="P195" s="5" t="str">
        <f ca="1">IFERROR(__xludf.DUMMYFUNCTION("""COMPUTED_VALUE"""),"Jackson")</f>
        <v>Jackson</v>
      </c>
      <c r="Q195" s="5" t="str">
        <f ca="1">IFERROR(__xludf.DUMMYFUNCTION("""COMPUTED_VALUE"""),"MI")</f>
        <v>MI</v>
      </c>
      <c r="R195" s="5" t="str">
        <f ca="1">IFERROR(__xludf.DUMMYFUNCTION("""COMPUTED_VALUE"""),"Middle")</f>
        <v>Middle</v>
      </c>
      <c r="S195" s="5" t="str">
        <f ca="1">IFERROR(__xludf.DUMMYFUNCTION("""COMPUTED_VALUE"""),"Football Field/Track")</f>
        <v>Football Field/Track</v>
      </c>
      <c r="T195" s="5" t="str">
        <f ca="1">IFERROR(__xludf.DUMMYFUNCTION("""COMPUTED_VALUE"""),"Outside on School Property")</f>
        <v>Outside on School Property</v>
      </c>
      <c r="U195" s="5" t="str">
        <f ca="1">IFERROR(__xludf.DUMMYFUNCTION("""COMPUTED_VALUE"""),"No")</f>
        <v>No</v>
      </c>
      <c r="V195" s="5" t="str">
        <f ca="1">IFERROR(__xludf.DUMMYFUNCTION("""COMPUTED_VALUE"""),"Sport Event")</f>
        <v>Sport Event</v>
      </c>
      <c r="W195" s="10">
        <f ca="1">IFERROR(__xludf.DUMMYFUNCTION("""COMPUTED_VALUE"""),0.75)</f>
        <v>0.75</v>
      </c>
      <c r="X195" s="5">
        <f ca="1">IFERROR(__xludf.DUMMYFUNCTION("""COMPUTED_VALUE"""),1)</f>
        <v>1</v>
      </c>
      <c r="Y195" s="5" t="str">
        <f ca="1">IFERROR(__xludf.DUMMYFUNCTION("""COMPUTED_VALUE"""),"Shots fired in or near football stadium during game")</f>
        <v>Shots fired in or near football stadium during game</v>
      </c>
      <c r="Z195" s="5" t="str">
        <f ca="1">IFERROR(__xludf.DUMMYFUNCTION("""COMPUTED_VALUE"""),"Shots were fired in or near the football stadium during a middle school game. Players were rushed to the locker room and the remainder of the game was cancelled. No injuries.")</f>
        <v>Shots were fired in or near the football stadium during a middle school game. Players were rushed to the locker room and the remainder of the game was cancelled. No injuries.</v>
      </c>
      <c r="AA195" s="5"/>
      <c r="AB195" s="5"/>
      <c r="AC195" s="5" t="str">
        <f ca="1">IFERROR(__xludf.DUMMYFUNCTION("""COMPUTED_VALUE"""),"No")</f>
        <v>No</v>
      </c>
      <c r="AD195" s="5" t="str">
        <f ca="1">IFERROR(__xludf.DUMMYFUNCTION("""COMPUTED_VALUE"""),"No")</f>
        <v>No</v>
      </c>
      <c r="AE195" s="5" t="str">
        <f ca="1">IFERROR(__xludf.DUMMYFUNCTION("""COMPUTED_VALUE"""),"No")</f>
        <v>No</v>
      </c>
      <c r="AF195" s="5" t="str">
        <f ca="1">IFERROR(__xludf.DUMMYFUNCTION("""COMPUTED_VALUE"""),"No")</f>
        <v>No</v>
      </c>
      <c r="AG195" s="5" t="str">
        <f ca="1">IFERROR(__xludf.DUMMYFUNCTION("""COMPUTED_VALUE"""),"N")</f>
        <v>N</v>
      </c>
      <c r="AH195" s="5" t="str">
        <f ca="1">IFERROR(__xludf.DUMMYFUNCTION("""COMPUTED_VALUE"""),"No")</f>
        <v>No</v>
      </c>
      <c r="AI195" s="5"/>
      <c r="AJ195" s="5" t="str">
        <f ca="1">IFERROR(__xludf.DUMMYFUNCTION("""COMPUTED_VALUE"""),"No")</f>
        <v>No</v>
      </c>
    </row>
    <row r="196" spans="1:36" ht="13">
      <c r="A196" s="5" t="str">
        <f ca="1">IFERROR(__xludf.DUMMYFUNCTION("""COMPUTED_VALUE"""),"20220909WIMIM")</f>
        <v>20220909WIMIM</v>
      </c>
      <c r="B196" s="5">
        <f ca="1">IFERROR(__xludf.DUMMYFUNCTION("""COMPUTED_VALUE"""),9)</f>
        <v>9</v>
      </c>
      <c r="C196" s="5">
        <f ca="1">IFERROR(__xludf.DUMMYFUNCTION("""COMPUTED_VALUE"""),9)</f>
        <v>9</v>
      </c>
      <c r="D196" s="5">
        <f ca="1">IFERROR(__xludf.DUMMYFUNCTION("""COMPUTED_VALUE"""),2022)</f>
        <v>2022</v>
      </c>
      <c r="E196" s="8">
        <f ca="1">IFERROR(__xludf.DUMMYFUNCTION("""COMPUTED_VALUE"""),44813)</f>
        <v>44813</v>
      </c>
      <c r="F196" s="5" t="str">
        <f ca="1">IFERROR(__xludf.DUMMYFUNCTION("""COMPUTED_VALUE"""),"Milwaukee School Bus")</f>
        <v>Milwaukee School Bus</v>
      </c>
      <c r="G196" s="5">
        <f ca="1">IFERROR(__xludf.DUMMYFUNCTION("""COMPUTED_VALUE"""),0)</f>
        <v>0</v>
      </c>
      <c r="H196" s="5">
        <f ca="1">IFERROR(__xludf.DUMMYFUNCTION("""COMPUTED_VALUE"""),0)</f>
        <v>0</v>
      </c>
      <c r="I196" s="5">
        <f ca="1">IFERROR(__xludf.DUMMYFUNCTION("""COMPUTED_VALUE"""),0)</f>
        <v>0</v>
      </c>
      <c r="J196" s="5">
        <f ca="1">IFERROR(__xludf.DUMMYFUNCTION("""COMPUTED_VALUE"""),0)</f>
        <v>0</v>
      </c>
      <c r="K196" s="9" t="str">
        <f ca="1">IFERROR(__xludf.DUMMYFUNCTION("""COMPUTED_VALUE"""),"https://www.tmj4.com/news/local-news/occupied-school-bus-struck-during-shooting-near-sherman-and-capitol-1-injured")</f>
        <v>https://www.tmj4.com/news/local-news/occupied-school-bus-struck-during-shooting-near-sherman-and-capitol-1-injured</v>
      </c>
      <c r="L196" s="5">
        <f ca="1">IFERROR(__xludf.DUMMYFUNCTION("""COMPUTED_VALUE"""),1)</f>
        <v>1</v>
      </c>
      <c r="M196" s="5" t="str">
        <f ca="1">IFERROR(__xludf.DUMMYFUNCTION("""COMPUTED_VALUE"""),"Local")</f>
        <v>Local</v>
      </c>
      <c r="N196" s="5">
        <f ca="1">IFERROR(__xludf.DUMMYFUNCTION("""COMPUTED_VALUE"""),3)</f>
        <v>3</v>
      </c>
      <c r="O196" s="5" t="str">
        <f ca="1">IFERROR(__xludf.DUMMYFUNCTION("""COMPUTED_VALUE"""),"Fall")</f>
        <v>Fall</v>
      </c>
      <c r="P196" s="5" t="str">
        <f ca="1">IFERROR(__xludf.DUMMYFUNCTION("""COMPUTED_VALUE"""),"Milwaukee")</f>
        <v>Milwaukee</v>
      </c>
      <c r="Q196" s="5" t="str">
        <f ca="1">IFERROR(__xludf.DUMMYFUNCTION("""COMPUTED_VALUE"""),"WI")</f>
        <v>WI</v>
      </c>
      <c r="R196" s="5" t="str">
        <f ca="1">IFERROR(__xludf.DUMMYFUNCTION("""COMPUTED_VALUE"""),"High")</f>
        <v>High</v>
      </c>
      <c r="S196" s="5" t="str">
        <f ca="1">IFERROR(__xludf.DUMMYFUNCTION("""COMPUTED_VALUE"""),"School Bus")</f>
        <v>School Bus</v>
      </c>
      <c r="T196" s="5" t="str">
        <f ca="1">IFERROR(__xludf.DUMMYFUNCTION("""COMPUTED_VALUE"""),"School Bus")</f>
        <v>School Bus</v>
      </c>
      <c r="U196" s="5" t="str">
        <f ca="1">IFERROR(__xludf.DUMMYFUNCTION("""COMPUTED_VALUE"""),"Yes")</f>
        <v>Yes</v>
      </c>
      <c r="V196" s="5" t="str">
        <f ca="1">IFERROR(__xludf.DUMMYFUNCTION("""COMPUTED_VALUE"""),"Dismissal")</f>
        <v>Dismissal</v>
      </c>
      <c r="W196" s="10">
        <f ca="1">IFERROR(__xludf.DUMMYFUNCTION("""COMPUTED_VALUE"""),0.708333333333333)</f>
        <v>0.70833333333333304</v>
      </c>
      <c r="X196" s="5">
        <f ca="1">IFERROR(__xludf.DUMMYFUNCTION("""COMPUTED_VALUE"""),1)</f>
        <v>1</v>
      </c>
      <c r="Y196" s="5" t="str">
        <f ca="1">IFERROR(__xludf.DUMMYFUNCTION("""COMPUTED_VALUE"""),"Occupied school bus shot during drive-by")</f>
        <v>Occupied school bus shot during drive-by</v>
      </c>
      <c r="Z196" s="5" t="str">
        <f ca="1">IFERROR(__xludf.DUMMYFUNCTION("""COMPUTED_VALUE"""),"A school bus with a driver and two students was struck multiple times during a drive-by shooting. No injuries.")</f>
        <v>A school bus with a driver and two students was struck multiple times during a drive-by shooting. No injuries.</v>
      </c>
      <c r="AA196" s="5" t="str">
        <f ca="1">IFERROR(__xludf.DUMMYFUNCTION("""COMPUTED_VALUE"""),"Drive-by Shooting")</f>
        <v>Drive-by Shooting</v>
      </c>
      <c r="AB196" s="5" t="str">
        <f ca="1">IFERROR(__xludf.DUMMYFUNCTION("""COMPUTED_VALUE"""),"Both")</f>
        <v>Both</v>
      </c>
      <c r="AC196" s="5" t="str">
        <f ca="1">IFERROR(__xludf.DUMMYFUNCTION("""COMPUTED_VALUE"""),"No")</f>
        <v>No</v>
      </c>
      <c r="AD196" s="5" t="str">
        <f ca="1">IFERROR(__xludf.DUMMYFUNCTION("""COMPUTED_VALUE"""),"No")</f>
        <v>No</v>
      </c>
      <c r="AE196" s="5" t="str">
        <f ca="1">IFERROR(__xludf.DUMMYFUNCTION("""COMPUTED_VALUE"""),"No")</f>
        <v>No</v>
      </c>
      <c r="AF196" s="5" t="str">
        <f ca="1">IFERROR(__xludf.DUMMYFUNCTION("""COMPUTED_VALUE"""),"No")</f>
        <v>No</v>
      </c>
      <c r="AG196" s="5" t="str">
        <f ca="1">IFERROR(__xludf.DUMMYFUNCTION("""COMPUTED_VALUE"""),"No")</f>
        <v>No</v>
      </c>
      <c r="AH196" s="5" t="str">
        <f ca="1">IFERROR(__xludf.DUMMYFUNCTION("""COMPUTED_VALUE"""),"No")</f>
        <v>No</v>
      </c>
      <c r="AI196" s="5"/>
      <c r="AJ196" s="5" t="str">
        <f ca="1">IFERROR(__xludf.DUMMYFUNCTION("""COMPUTED_VALUE"""),"No")</f>
        <v>No</v>
      </c>
    </row>
    <row r="197" spans="1:36" ht="13">
      <c r="A197" s="5" t="str">
        <f ca="1">IFERROR(__xludf.DUMMYFUNCTION("""COMPUTED_VALUE"""),"20220909WIWIR")</f>
        <v>20220909WIWIR</v>
      </c>
      <c r="B197" s="5">
        <f ca="1">IFERROR(__xludf.DUMMYFUNCTION("""COMPUTED_VALUE"""),9)</f>
        <v>9</v>
      </c>
      <c r="C197" s="5">
        <f ca="1">IFERROR(__xludf.DUMMYFUNCTION("""COMPUTED_VALUE"""),9)</f>
        <v>9</v>
      </c>
      <c r="D197" s="5">
        <f ca="1">IFERROR(__xludf.DUMMYFUNCTION("""COMPUTED_VALUE"""),2022)</f>
        <v>2022</v>
      </c>
      <c r="E197" s="8">
        <f ca="1">IFERROR(__xludf.DUMMYFUNCTION("""COMPUTED_VALUE"""),44813)</f>
        <v>44813</v>
      </c>
      <c r="F197" s="5" t="str">
        <f ca="1">IFERROR(__xludf.DUMMYFUNCTION("""COMPUTED_VALUE"""),"William Horlick High School")</f>
        <v>William Horlick High School</v>
      </c>
      <c r="G197" s="5">
        <f ca="1">IFERROR(__xludf.DUMMYFUNCTION("""COMPUTED_VALUE"""),0)</f>
        <v>0</v>
      </c>
      <c r="H197" s="5">
        <f ca="1">IFERROR(__xludf.DUMMYFUNCTION("""COMPUTED_VALUE"""),1)</f>
        <v>1</v>
      </c>
      <c r="I197" s="5">
        <f ca="1">IFERROR(__xludf.DUMMYFUNCTION("""COMPUTED_VALUE"""),1)</f>
        <v>1</v>
      </c>
      <c r="J197" s="5">
        <f ca="1">IFERROR(__xludf.DUMMYFUNCTION("""COMPUTED_VALUE"""),0)</f>
        <v>0</v>
      </c>
      <c r="K197" s="5" t="str">
        <f ca="1">IFERROR(__xludf.DUMMYFUNCTION("""COMPUTED_VALUE"""),"https://racinecountyeye.com/one-person-shot-outside-horlick-field/
https://www.tmj4.com/news/local-news/oak-creek-high-school-athletic-trainers-stepped-in-to-help-after-student-was-shot-following-football-game-near-horlick-field
https://racinecountyeye.co"&amp;"m/one-person-shot-outside-horlick-field/")</f>
        <v>https://racinecountyeye.com/one-person-shot-outside-horlick-field/
https://www.tmj4.com/news/local-news/oak-creek-high-school-athletic-trainers-stepped-in-to-help-after-student-was-shot-following-football-game-near-horlick-field
https://racinecountyeye.com/one-person-shot-outside-horlick-field/</v>
      </c>
      <c r="L197" s="5">
        <f ca="1">IFERROR(__xludf.DUMMYFUNCTION("""COMPUTED_VALUE"""),3)</f>
        <v>3</v>
      </c>
      <c r="M197" s="5" t="str">
        <f ca="1">IFERROR(__xludf.DUMMYFUNCTION("""COMPUTED_VALUE"""),"Local")</f>
        <v>Local</v>
      </c>
      <c r="N197" s="5">
        <f ca="1">IFERROR(__xludf.DUMMYFUNCTION("""COMPUTED_VALUE"""),4)</f>
        <v>4</v>
      </c>
      <c r="O197" s="5" t="str">
        <f ca="1">IFERROR(__xludf.DUMMYFUNCTION("""COMPUTED_VALUE"""),"Fall")</f>
        <v>Fall</v>
      </c>
      <c r="P197" s="5" t="str">
        <f ca="1">IFERROR(__xludf.DUMMYFUNCTION("""COMPUTED_VALUE"""),"Racine")</f>
        <v>Racine</v>
      </c>
      <c r="Q197" s="5" t="str">
        <f ca="1">IFERROR(__xludf.DUMMYFUNCTION("""COMPUTED_VALUE"""),"WI")</f>
        <v>WI</v>
      </c>
      <c r="R197" s="5" t="str">
        <f ca="1">IFERROR(__xludf.DUMMYFUNCTION("""COMPUTED_VALUE"""),"High")</f>
        <v>High</v>
      </c>
      <c r="S197" s="5" t="str">
        <f ca="1">IFERROR(__xludf.DUMMYFUNCTION("""COMPUTED_VALUE"""),"Football Field/Track")</f>
        <v>Football Field/Track</v>
      </c>
      <c r="T197" s="5" t="str">
        <f ca="1">IFERROR(__xludf.DUMMYFUNCTION("""COMPUTED_VALUE"""),"Outside on School Property")</f>
        <v>Outside on School Property</v>
      </c>
      <c r="U197" s="5" t="str">
        <f ca="1">IFERROR(__xludf.DUMMYFUNCTION("""COMPUTED_VALUE"""),"No")</f>
        <v>No</v>
      </c>
      <c r="V197" s="5" t="str">
        <f ca="1">IFERROR(__xludf.DUMMYFUNCTION("""COMPUTED_VALUE"""),"Sport Event")</f>
        <v>Sport Event</v>
      </c>
      <c r="W197" s="10">
        <f ca="1">IFERROR(__xludf.DUMMYFUNCTION("""COMPUTED_VALUE"""),0.895833333333333)</f>
        <v>0.89583333333333304</v>
      </c>
      <c r="X197" s="5">
        <f ca="1">IFERROR(__xludf.DUMMYFUNCTION("""COMPUTED_VALUE"""),1)</f>
        <v>1</v>
      </c>
      <c r="Y197" s="5" t="str">
        <f ca="1">IFERROR(__xludf.DUMMYFUNCTION("""COMPUTED_VALUE"""),"One person shot outside football field following game")</f>
        <v>One person shot outside football field following game</v>
      </c>
      <c r="Z197" s="5" t="str">
        <f ca="1">IFERROR(__xludf.DUMMYFUNCTION("""COMPUTED_VALUE"""),"One person was shot outside of the football field following the game. Witnesses heard 5-10 shots fired. Police assigned to the game responded and locked the gates to the stadium. Shooter fled.")</f>
        <v>One person was shot outside of the football field following the game. Witnesses heard 5-10 shots fired. Police assigned to the game responded and locked the gates to the stadium. Shooter fled.</v>
      </c>
      <c r="AA197" s="5"/>
      <c r="AB197" s="5"/>
      <c r="AC197" s="5" t="str">
        <f ca="1">IFERROR(__xludf.DUMMYFUNCTION("""COMPUTED_VALUE"""),"No")</f>
        <v>No</v>
      </c>
      <c r="AD197" s="5" t="str">
        <f ca="1">IFERROR(__xludf.DUMMYFUNCTION("""COMPUTED_VALUE"""),"No")</f>
        <v>No</v>
      </c>
      <c r="AE197" s="5" t="str">
        <f ca="1">IFERROR(__xludf.DUMMYFUNCTION("""COMPUTED_VALUE"""),"No")</f>
        <v>No</v>
      </c>
      <c r="AF197" s="5" t="str">
        <f ca="1">IFERROR(__xludf.DUMMYFUNCTION("""COMPUTED_VALUE"""),"No")</f>
        <v>No</v>
      </c>
      <c r="AG197" s="5" t="str">
        <f ca="1">IFERROR(__xludf.DUMMYFUNCTION("""COMPUTED_VALUE"""),"No")</f>
        <v>No</v>
      </c>
      <c r="AH197" s="5" t="str">
        <f ca="1">IFERROR(__xludf.DUMMYFUNCTION("""COMPUTED_VALUE"""),"No")</f>
        <v>No</v>
      </c>
      <c r="AI197" s="5"/>
      <c r="AJ197" s="5" t="str">
        <f ca="1">IFERROR(__xludf.DUMMYFUNCTION("""COMPUTED_VALUE"""),"No")</f>
        <v>No</v>
      </c>
    </row>
    <row r="198" spans="1:36" ht="13">
      <c r="A198" s="5" t="str">
        <f ca="1">IFERROR(__xludf.DUMMYFUNCTION("""COMPUTED_VALUE"""),"20220908LAJHA")</f>
        <v>20220908LAJHA</v>
      </c>
      <c r="B198" s="5">
        <f ca="1">IFERROR(__xludf.DUMMYFUNCTION("""COMPUTED_VALUE"""),9)</f>
        <v>9</v>
      </c>
      <c r="C198" s="5">
        <f ca="1">IFERROR(__xludf.DUMMYFUNCTION("""COMPUTED_VALUE"""),8)</f>
        <v>8</v>
      </c>
      <c r="D198" s="5">
        <f ca="1">IFERROR(__xludf.DUMMYFUNCTION("""COMPUTED_VALUE"""),2022)</f>
        <v>2022</v>
      </c>
      <c r="E198" s="8">
        <f ca="1">IFERROR(__xludf.DUMMYFUNCTION("""COMPUTED_VALUE"""),44812)</f>
        <v>44812</v>
      </c>
      <c r="F198" s="5" t="str">
        <f ca="1">IFERROR(__xludf.DUMMYFUNCTION("""COMPUTED_VALUE"""),"J. H. Williams Middle School")</f>
        <v>J. H. Williams Middle School</v>
      </c>
      <c r="G198" s="5">
        <f ca="1">IFERROR(__xludf.DUMMYFUNCTION("""COMPUTED_VALUE"""),0)</f>
        <v>0</v>
      </c>
      <c r="H198" s="5">
        <f ca="1">IFERROR(__xludf.DUMMYFUNCTION("""COMPUTED_VALUE"""),0)</f>
        <v>0</v>
      </c>
      <c r="I198" s="5">
        <f ca="1">IFERROR(__xludf.DUMMYFUNCTION("""COMPUTED_VALUE"""),0)</f>
        <v>0</v>
      </c>
      <c r="J198" s="5">
        <f ca="1">IFERROR(__xludf.DUMMYFUNCTION("""COMPUTED_VALUE"""),0)</f>
        <v>0</v>
      </c>
      <c r="K198" s="9" t="str">
        <f ca="1">IFERROR(__xludf.DUMMYFUNCTION("""COMPUTED_VALUE"""),"https://www.klfy.com/local/vermilion-parish/shooting-near-j-h-middle-school-in-abbeville-under-investigation/")</f>
        <v>https://www.klfy.com/local/vermilion-parish/shooting-near-j-h-middle-school-in-abbeville-under-investigation/</v>
      </c>
      <c r="L198" s="5">
        <f ca="1">IFERROR(__xludf.DUMMYFUNCTION("""COMPUTED_VALUE"""),1)</f>
        <v>1</v>
      </c>
      <c r="M198" s="5" t="str">
        <f ca="1">IFERROR(__xludf.DUMMYFUNCTION("""COMPUTED_VALUE"""),"Local")</f>
        <v>Local</v>
      </c>
      <c r="N198" s="5">
        <f ca="1">IFERROR(__xludf.DUMMYFUNCTION("""COMPUTED_VALUE"""),3)</f>
        <v>3</v>
      </c>
      <c r="O198" s="5" t="str">
        <f ca="1">IFERROR(__xludf.DUMMYFUNCTION("""COMPUTED_VALUE"""),"Fall")</f>
        <v>Fall</v>
      </c>
      <c r="P198" s="5" t="str">
        <f ca="1">IFERROR(__xludf.DUMMYFUNCTION("""COMPUTED_VALUE"""),"Abbeville")</f>
        <v>Abbeville</v>
      </c>
      <c r="Q198" s="5" t="str">
        <f ca="1">IFERROR(__xludf.DUMMYFUNCTION("""COMPUTED_VALUE"""),"LA")</f>
        <v>LA</v>
      </c>
      <c r="R198" s="5" t="str">
        <f ca="1">IFERROR(__xludf.DUMMYFUNCTION("""COMPUTED_VALUE"""),"Middle")</f>
        <v>Middle</v>
      </c>
      <c r="S198" s="5" t="str">
        <f ca="1">IFERROR(__xludf.DUMMYFUNCTION("""COMPUTED_VALUE"""),"Outside on School Property")</f>
        <v>Outside on School Property</v>
      </c>
      <c r="T198" s="5" t="str">
        <f ca="1">IFERROR(__xludf.DUMMYFUNCTION("""COMPUTED_VALUE"""),"Outside on School Property")</f>
        <v>Outside on School Property</v>
      </c>
      <c r="U198" s="5" t="str">
        <f ca="1">IFERROR(__xludf.DUMMYFUNCTION("""COMPUTED_VALUE"""),"No")</f>
        <v>No</v>
      </c>
      <c r="V198" s="5" t="str">
        <f ca="1">IFERROR(__xludf.DUMMYFUNCTION("""COMPUTED_VALUE"""),"Sport Event")</f>
        <v>Sport Event</v>
      </c>
      <c r="W198" s="10">
        <f ca="1">IFERROR(__xludf.DUMMYFUNCTION("""COMPUTED_VALUE"""),0.875)</f>
        <v>0.875</v>
      </c>
      <c r="X198" s="5">
        <f ca="1">IFERROR(__xludf.DUMMYFUNCTION("""COMPUTED_VALUE"""),1)</f>
        <v>1</v>
      </c>
      <c r="Y198" s="5" t="str">
        <f ca="1">IFERROR(__xludf.DUMMYFUNCTION("""COMPUTED_VALUE"""),"Shots fired near the football stadium during game")</f>
        <v>Shots fired near the football stadium during game</v>
      </c>
      <c r="Z198" s="5" t="str">
        <f ca="1">IFERROR(__xludf.DUMMYFUNCTION("""COMPUTED_VALUE"""),"Shots fired near football stadium during game. Stands evacuated. Officers found shell casings and abandon bikes the next morning.")</f>
        <v>Shots fired near football stadium during game. Stands evacuated. Officers found shell casings and abandon bikes the next morning.</v>
      </c>
      <c r="AA198" s="5"/>
      <c r="AB198" s="5"/>
      <c r="AC198" s="5" t="str">
        <f ca="1">IFERROR(__xludf.DUMMYFUNCTION("""COMPUTED_VALUE"""),"Yes")</f>
        <v>Yes</v>
      </c>
      <c r="AD198" s="5" t="str">
        <f ca="1">IFERROR(__xludf.DUMMYFUNCTION("""COMPUTED_VALUE"""),"No")</f>
        <v>No</v>
      </c>
      <c r="AE198" s="5" t="str">
        <f ca="1">IFERROR(__xludf.DUMMYFUNCTION("""COMPUTED_VALUE"""),"No")</f>
        <v>No</v>
      </c>
      <c r="AF198" s="5" t="str">
        <f ca="1">IFERROR(__xludf.DUMMYFUNCTION("""COMPUTED_VALUE"""),"No")</f>
        <v>No</v>
      </c>
      <c r="AG198" s="5" t="str">
        <f ca="1">IFERROR(__xludf.DUMMYFUNCTION("""COMPUTED_VALUE"""),"No")</f>
        <v>No</v>
      </c>
      <c r="AH198" s="5" t="str">
        <f ca="1">IFERROR(__xludf.DUMMYFUNCTION("""COMPUTED_VALUE"""),"No")</f>
        <v>No</v>
      </c>
      <c r="AI198" s="5"/>
      <c r="AJ198" s="5" t="str">
        <f ca="1">IFERROR(__xludf.DUMMYFUNCTION("""COMPUTED_VALUE"""),"No")</f>
        <v>No</v>
      </c>
    </row>
    <row r="199" spans="1:36" ht="13">
      <c r="A199" s="5" t="str">
        <f ca="1">IFERROR(__xludf.DUMMYFUNCTION("""COMPUTED_VALUE"""),"20220907MDCAB")</f>
        <v>20220907MDCAB</v>
      </c>
      <c r="B199" s="5">
        <f ca="1">IFERROR(__xludf.DUMMYFUNCTION("""COMPUTED_VALUE"""),9)</f>
        <v>9</v>
      </c>
      <c r="C199" s="5">
        <f ca="1">IFERROR(__xludf.DUMMYFUNCTION("""COMPUTED_VALUE"""),7)</f>
        <v>7</v>
      </c>
      <c r="D199" s="5">
        <f ca="1">IFERROR(__xludf.DUMMYFUNCTION("""COMPUTED_VALUE"""),2022)</f>
        <v>2022</v>
      </c>
      <c r="E199" s="8">
        <f ca="1">IFERROR(__xludf.DUMMYFUNCTION("""COMPUTED_VALUE"""),44811)</f>
        <v>44811</v>
      </c>
      <c r="F199" s="5" t="str">
        <f ca="1">IFERROR(__xludf.DUMMYFUNCTION("""COMPUTED_VALUE"""),"Carver Vocational Technical High School")</f>
        <v>Carver Vocational Technical High School</v>
      </c>
      <c r="G199" s="5">
        <f ca="1">IFERROR(__xludf.DUMMYFUNCTION("""COMPUTED_VALUE"""),0)</f>
        <v>0</v>
      </c>
      <c r="H199" s="5">
        <f ca="1">IFERROR(__xludf.DUMMYFUNCTION("""COMPUTED_VALUE"""),1)</f>
        <v>1</v>
      </c>
      <c r="I199" s="5">
        <f ca="1">IFERROR(__xludf.DUMMYFUNCTION("""COMPUTED_VALUE"""),1)</f>
        <v>1</v>
      </c>
      <c r="J199" s="5">
        <f ca="1">IFERROR(__xludf.DUMMYFUNCTION("""COMPUTED_VALUE"""),0)</f>
        <v>0</v>
      </c>
      <c r="K199" s="9" t="str">
        <f ca="1">IFERROR(__xludf.DUMMYFUNCTION("""COMPUTED_VALUE"""),"https://www.wbaltv.com/article/15-year-old-boy-grazed-in-head-by-bullet/41109122
https://www.wmar2news.com/news/local-news/15-year-old-shot-outside-of-carver-high-school
https://foxbaltimore.com/news/local/15-year-old-boy-grazed-in-head-by-bullet-in-west-"&amp;"baltimore-wednesday-evening")</f>
        <v>https://www.wbaltv.com/article/15-year-old-boy-grazed-in-head-by-bullet/41109122
https://www.wmar2news.com/news/local-news/15-year-old-shot-outside-of-carver-high-school
https://foxbaltimore.com/news/local/15-year-old-boy-grazed-in-head-by-bullet-in-west-baltimore-wednesday-evening</v>
      </c>
      <c r="L199" s="5">
        <f ca="1">IFERROR(__xludf.DUMMYFUNCTION("""COMPUTED_VALUE"""),5)</f>
        <v>5</v>
      </c>
      <c r="M199" s="5" t="str">
        <f ca="1">IFERROR(__xludf.DUMMYFUNCTION("""COMPUTED_VALUE"""),"Local")</f>
        <v>Local</v>
      </c>
      <c r="N199" s="5">
        <f ca="1">IFERROR(__xludf.DUMMYFUNCTION("""COMPUTED_VALUE"""),4)</f>
        <v>4</v>
      </c>
      <c r="O199" s="5" t="str">
        <f ca="1">IFERROR(__xludf.DUMMYFUNCTION("""COMPUTED_VALUE"""),"Fall")</f>
        <v>Fall</v>
      </c>
      <c r="P199" s="5" t="str">
        <f ca="1">IFERROR(__xludf.DUMMYFUNCTION("""COMPUTED_VALUE"""),"Baltimore")</f>
        <v>Baltimore</v>
      </c>
      <c r="Q199" s="5" t="str">
        <f ca="1">IFERROR(__xludf.DUMMYFUNCTION("""COMPUTED_VALUE"""),"MD")</f>
        <v>MD</v>
      </c>
      <c r="R199" s="5" t="str">
        <f ca="1">IFERROR(__xludf.DUMMYFUNCTION("""COMPUTED_VALUE"""),"High")</f>
        <v>High</v>
      </c>
      <c r="S199" s="5" t="str">
        <f ca="1">IFERROR(__xludf.DUMMYFUNCTION("""COMPUTED_VALUE"""),"Front of School")</f>
        <v>Front of School</v>
      </c>
      <c r="T199" s="5" t="str">
        <f ca="1">IFERROR(__xludf.DUMMYFUNCTION("""COMPUTED_VALUE"""),"Off School Property")</f>
        <v>Off School Property</v>
      </c>
      <c r="U199" s="5" t="str">
        <f ca="1">IFERROR(__xludf.DUMMYFUNCTION("""COMPUTED_VALUE"""),"Yes")</f>
        <v>Yes</v>
      </c>
      <c r="V199" s="5" t="str">
        <f ca="1">IFERROR(__xludf.DUMMYFUNCTION("""COMPUTED_VALUE"""),"Dismissal")</f>
        <v>Dismissal</v>
      </c>
      <c r="W199" s="10">
        <f ca="1">IFERROR(__xludf.DUMMYFUNCTION("""COMPUTED_VALUE"""),0.666666666666666)</f>
        <v>0.66666666666666596</v>
      </c>
      <c r="X199" s="5">
        <f ca="1">IFERROR(__xludf.DUMMYFUNCTION("""COMPUTED_VALUE"""),1)</f>
        <v>1</v>
      </c>
      <c r="Y199" s="5" t="str">
        <f ca="1">IFERROR(__xludf.DUMMYFUNCTION("""COMPUTED_VALUE"""),"Teen shot in front of school at dismissal")</f>
        <v>Teen shot in front of school at dismissal</v>
      </c>
      <c r="Z199" s="5" t="str">
        <f ca="1">IFERROR(__xludf.DUMMYFUNCTION("""COMPUTED_VALUE"""),"15-year-old student was shot in the head (graze) at dismissal in front of the school. He ran home and then realized he had been shot. Police do not know if he was the intended target. Shooter fled.")</f>
        <v>15-year-old student was shot in the head (graze) at dismissal in front of the school. He ran home and then realized he had been shot. Police do not know if he was the intended target. Shooter fled.</v>
      </c>
      <c r="AA199" s="5"/>
      <c r="AB199" s="5" t="str">
        <f ca="1">IFERROR(__xludf.DUMMYFUNCTION("""COMPUTED_VALUE"""),"Random Shooting")</f>
        <v>Random Shooting</v>
      </c>
      <c r="AC199" s="5" t="str">
        <f ca="1">IFERROR(__xludf.DUMMYFUNCTION("""COMPUTED_VALUE"""),"No")</f>
        <v>No</v>
      </c>
      <c r="AD199" s="5" t="str">
        <f ca="1">IFERROR(__xludf.DUMMYFUNCTION("""COMPUTED_VALUE"""),"No")</f>
        <v>No</v>
      </c>
      <c r="AE199" s="5" t="str">
        <f ca="1">IFERROR(__xludf.DUMMYFUNCTION("""COMPUTED_VALUE"""),"No")</f>
        <v>No</v>
      </c>
      <c r="AF199" s="5" t="str">
        <f ca="1">IFERROR(__xludf.DUMMYFUNCTION("""COMPUTED_VALUE"""),"No")</f>
        <v>No</v>
      </c>
      <c r="AG199" s="5" t="str">
        <f ca="1">IFERROR(__xludf.DUMMYFUNCTION("""COMPUTED_VALUE"""),"No")</f>
        <v>No</v>
      </c>
      <c r="AH199" s="5" t="str">
        <f ca="1">IFERROR(__xludf.DUMMYFUNCTION("""COMPUTED_VALUE"""),"No")</f>
        <v>No</v>
      </c>
      <c r="AI199" s="5"/>
      <c r="AJ199" s="5" t="str">
        <f ca="1">IFERROR(__xludf.DUMMYFUNCTION("""COMPUTED_VALUE"""),"No")</f>
        <v>No</v>
      </c>
    </row>
    <row r="200" spans="1:36" ht="13">
      <c r="A200" s="5" t="str">
        <f ca="1">IFERROR(__xludf.DUMMYFUNCTION("""COMPUTED_VALUE"""),"20220907OHBEB")</f>
        <v>20220907OHBEB</v>
      </c>
      <c r="B200" s="5">
        <f ca="1">IFERROR(__xludf.DUMMYFUNCTION("""COMPUTED_VALUE"""),9)</f>
        <v>9</v>
      </c>
      <c r="C200" s="5">
        <f ca="1">IFERROR(__xludf.DUMMYFUNCTION("""COMPUTED_VALUE"""),7)</f>
        <v>7</v>
      </c>
      <c r="D200" s="5">
        <f ca="1">IFERROR(__xludf.DUMMYFUNCTION("""COMPUTED_VALUE"""),2022)</f>
        <v>2022</v>
      </c>
      <c r="E200" s="8">
        <f ca="1">IFERROR(__xludf.DUMMYFUNCTION("""COMPUTED_VALUE"""),44811)</f>
        <v>44811</v>
      </c>
      <c r="F200" s="5" t="str">
        <f ca="1">IFERROR(__xludf.DUMMYFUNCTION("""COMPUTED_VALUE"""),"Beavercreek High School")</f>
        <v>Beavercreek High School</v>
      </c>
      <c r="G200" s="5">
        <f ca="1">IFERROR(__xludf.DUMMYFUNCTION("""COMPUTED_VALUE"""),0)</f>
        <v>0</v>
      </c>
      <c r="H200" s="5">
        <f ca="1">IFERROR(__xludf.DUMMYFUNCTION("""COMPUTED_VALUE"""),0)</f>
        <v>0</v>
      </c>
      <c r="I200" s="5">
        <f ca="1">IFERROR(__xludf.DUMMYFUNCTION("""COMPUTED_VALUE"""),0)</f>
        <v>0</v>
      </c>
      <c r="J200" s="5">
        <f ca="1">IFERROR(__xludf.DUMMYFUNCTION("""COMPUTED_VALUE"""),0)</f>
        <v>0</v>
      </c>
      <c r="K200" s="9" t="str">
        <f ca="1">IFERROR(__xludf.DUMMYFUNCTION("""COMPUTED_VALUE"""),"https://www.whio.com/news/local/gunshots-disrupt-beavercreek-middle-school-football-practice-deputies-investigating/EXVQHSO2QVFEDGYIT4LUQIRVBU/")</f>
        <v>https://www.whio.com/news/local/gunshots-disrupt-beavercreek-middle-school-football-practice-deputies-investigating/EXVQHSO2QVFEDGYIT4LUQIRVBU/</v>
      </c>
      <c r="L200" s="5">
        <f ca="1">IFERROR(__xludf.DUMMYFUNCTION("""COMPUTED_VALUE"""),1)</f>
        <v>1</v>
      </c>
      <c r="M200" s="5" t="str">
        <f ca="1">IFERROR(__xludf.DUMMYFUNCTION("""COMPUTED_VALUE"""),"Local")</f>
        <v>Local</v>
      </c>
      <c r="N200" s="5">
        <f ca="1">IFERROR(__xludf.DUMMYFUNCTION("""COMPUTED_VALUE"""),3)</f>
        <v>3</v>
      </c>
      <c r="O200" s="5" t="str">
        <f ca="1">IFERROR(__xludf.DUMMYFUNCTION("""COMPUTED_VALUE"""),"Fall")</f>
        <v>Fall</v>
      </c>
      <c r="P200" s="5" t="str">
        <f ca="1">IFERROR(__xludf.DUMMYFUNCTION("""COMPUTED_VALUE"""),"Beavercreek")</f>
        <v>Beavercreek</v>
      </c>
      <c r="Q200" s="5" t="str">
        <f ca="1">IFERROR(__xludf.DUMMYFUNCTION("""COMPUTED_VALUE"""),"OH")</f>
        <v>OH</v>
      </c>
      <c r="R200" s="5" t="str">
        <f ca="1">IFERROR(__xludf.DUMMYFUNCTION("""COMPUTED_VALUE"""),"High")</f>
        <v>High</v>
      </c>
      <c r="S200" s="5" t="str">
        <f ca="1">IFERROR(__xludf.DUMMYFUNCTION("""COMPUTED_VALUE"""),"Football Field/Track")</f>
        <v>Football Field/Track</v>
      </c>
      <c r="T200" s="5" t="str">
        <f ca="1">IFERROR(__xludf.DUMMYFUNCTION("""COMPUTED_VALUE"""),"Outside on School Property")</f>
        <v>Outside on School Property</v>
      </c>
      <c r="U200" s="5" t="str">
        <f ca="1">IFERROR(__xludf.DUMMYFUNCTION("""COMPUTED_VALUE"""),"No")</f>
        <v>No</v>
      </c>
      <c r="V200" s="5" t="str">
        <f ca="1">IFERROR(__xludf.DUMMYFUNCTION("""COMPUTED_VALUE"""),"Sport Event")</f>
        <v>Sport Event</v>
      </c>
      <c r="W200" s="10">
        <f ca="1">IFERROR(__xludf.DUMMYFUNCTION("""COMPUTED_VALUE"""),0.8125)</f>
        <v>0.8125</v>
      </c>
      <c r="X200" s="5">
        <f ca="1">IFERROR(__xludf.DUMMYFUNCTION("""COMPUTED_VALUE"""),1)</f>
        <v>1</v>
      </c>
      <c r="Y200" s="5" t="str">
        <f ca="1">IFERROR(__xludf.DUMMYFUNCTION("""COMPUTED_VALUE"""),"Shots fired across football field during practice")</f>
        <v>Shots fired across football field during practice</v>
      </c>
      <c r="Z200" s="5" t="str">
        <f ca="1">IFERROR(__xludf.DUMMYFUNCTION("""COMPUTED_VALUE"""),"Players and coaches ran for cover when shots were fired across the football field. Police determined that a nearby homeowner was target shooting and didn't realize the school was behind the targets. No injuries.")</f>
        <v>Players and coaches ran for cover when shots were fired across the football field. Police determined that a nearby homeowner was target shooting and didn't realize the school was behind the targets. No injuries.</v>
      </c>
      <c r="AA200" s="5" t="str">
        <f ca="1">IFERROR(__xludf.DUMMYFUNCTION("""COMPUTED_VALUE"""),"Accidental")</f>
        <v>Accidental</v>
      </c>
      <c r="AB200" s="5" t="str">
        <f ca="1">IFERROR(__xludf.DUMMYFUNCTION("""COMPUTED_VALUE"""),"Neither")</f>
        <v>Neither</v>
      </c>
      <c r="AC200" s="5" t="str">
        <f ca="1">IFERROR(__xludf.DUMMYFUNCTION("""COMPUTED_VALUE"""),"No")</f>
        <v>No</v>
      </c>
      <c r="AD200" s="5" t="str">
        <f ca="1">IFERROR(__xludf.DUMMYFUNCTION("""COMPUTED_VALUE"""),"No")</f>
        <v>No</v>
      </c>
      <c r="AE200" s="5" t="str">
        <f ca="1">IFERROR(__xludf.DUMMYFUNCTION("""COMPUTED_VALUE"""),"No")</f>
        <v>No</v>
      </c>
      <c r="AF200" s="5" t="str">
        <f ca="1">IFERROR(__xludf.DUMMYFUNCTION("""COMPUTED_VALUE"""),"No")</f>
        <v>No</v>
      </c>
      <c r="AG200" s="5" t="str">
        <f ca="1">IFERROR(__xludf.DUMMYFUNCTION("""COMPUTED_VALUE"""),"No")</f>
        <v>No</v>
      </c>
      <c r="AH200" s="5" t="str">
        <f ca="1">IFERROR(__xludf.DUMMYFUNCTION("""COMPUTED_VALUE"""),"No")</f>
        <v>No</v>
      </c>
      <c r="AI200" s="5" t="str">
        <f ca="1">IFERROR(__xludf.DUMMYFUNCTION("""COMPUTED_VALUE"""),"No")</f>
        <v>No</v>
      </c>
      <c r="AJ200" s="5" t="str">
        <f ca="1">IFERROR(__xludf.DUMMYFUNCTION("""COMPUTED_VALUE"""),"No")</f>
        <v>No</v>
      </c>
    </row>
    <row r="201" spans="1:36" ht="13">
      <c r="A201" s="5" t="str">
        <f ca="1">IFERROR(__xludf.DUMMYFUNCTION("""COMPUTED_VALUE"""),"20220907WIBAM")</f>
        <v>20220907WIBAM</v>
      </c>
      <c r="B201" s="5">
        <f ca="1">IFERROR(__xludf.DUMMYFUNCTION("""COMPUTED_VALUE"""),9)</f>
        <v>9</v>
      </c>
      <c r="C201" s="5">
        <f ca="1">IFERROR(__xludf.DUMMYFUNCTION("""COMPUTED_VALUE"""),7)</f>
        <v>7</v>
      </c>
      <c r="D201" s="5">
        <f ca="1">IFERROR(__xludf.DUMMYFUNCTION("""COMPUTED_VALUE"""),2022)</f>
        <v>2022</v>
      </c>
      <c r="E201" s="8">
        <f ca="1">IFERROR(__xludf.DUMMYFUNCTION("""COMPUTED_VALUE"""),44811)</f>
        <v>44811</v>
      </c>
      <c r="F201" s="5" t="str">
        <f ca="1">IFERROR(__xludf.DUMMYFUNCTION("""COMPUTED_VALUE"""),"Barack Obama High School")</f>
        <v>Barack Obama High School</v>
      </c>
      <c r="G201" s="5">
        <f ca="1">IFERROR(__xludf.DUMMYFUNCTION("""COMPUTED_VALUE"""),0)</f>
        <v>0</v>
      </c>
      <c r="H201" s="5">
        <f ca="1">IFERROR(__xludf.DUMMYFUNCTION("""COMPUTED_VALUE"""),0)</f>
        <v>0</v>
      </c>
      <c r="I201" s="5">
        <f ca="1">IFERROR(__xludf.DUMMYFUNCTION("""COMPUTED_VALUE"""),0)</f>
        <v>0</v>
      </c>
      <c r="J201" s="5">
        <f ca="1">IFERROR(__xludf.DUMMYFUNCTION("""COMPUTED_VALUE"""),0)</f>
        <v>0</v>
      </c>
      <c r="K201" s="9" t="str">
        <f ca="1">IFERROR(__xludf.DUMMYFUNCTION("""COMPUTED_VALUE"""),"https://www.fox6now.com/news/shots-fired-near-milwaukees-barack-obama-school-2-charged")</f>
        <v>https://www.fox6now.com/news/shots-fired-near-milwaukees-barack-obama-school-2-charged</v>
      </c>
      <c r="L201" s="5">
        <f ca="1">IFERROR(__xludf.DUMMYFUNCTION("""COMPUTED_VALUE"""),1)</f>
        <v>1</v>
      </c>
      <c r="M201" s="5" t="str">
        <f ca="1">IFERROR(__xludf.DUMMYFUNCTION("""COMPUTED_VALUE"""),"Local")</f>
        <v>Local</v>
      </c>
      <c r="N201" s="5">
        <f ca="1">IFERROR(__xludf.DUMMYFUNCTION("""COMPUTED_VALUE"""),2)</f>
        <v>2</v>
      </c>
      <c r="O201" s="5" t="str">
        <f ca="1">IFERROR(__xludf.DUMMYFUNCTION("""COMPUTED_VALUE"""),"Fall")</f>
        <v>Fall</v>
      </c>
      <c r="P201" s="5" t="str">
        <f ca="1">IFERROR(__xludf.DUMMYFUNCTION("""COMPUTED_VALUE"""),"Milwaukee")</f>
        <v>Milwaukee</v>
      </c>
      <c r="Q201" s="5" t="str">
        <f ca="1">IFERROR(__xludf.DUMMYFUNCTION("""COMPUTED_VALUE"""),"WI")</f>
        <v>WI</v>
      </c>
      <c r="R201" s="5" t="str">
        <f ca="1">IFERROR(__xludf.DUMMYFUNCTION("""COMPUTED_VALUE"""),"High")</f>
        <v>High</v>
      </c>
      <c r="S201" s="5" t="str">
        <f ca="1">IFERROR(__xludf.DUMMYFUNCTION("""COMPUTED_VALUE"""),"Outside on School Property")</f>
        <v>Outside on School Property</v>
      </c>
      <c r="T201" s="5" t="str">
        <f ca="1">IFERROR(__xludf.DUMMYFUNCTION("""COMPUTED_VALUE"""),"Outside on School Property")</f>
        <v>Outside on School Property</v>
      </c>
      <c r="U201" s="5"/>
      <c r="V201" s="5"/>
      <c r="W201" s="5"/>
      <c r="X201" s="5">
        <f ca="1">IFERROR(__xludf.DUMMYFUNCTION("""COMPUTED_VALUE"""),2)</f>
        <v>2</v>
      </c>
      <c r="Y201" s="5" t="str">
        <f ca="1">IFERROR(__xludf.DUMMYFUNCTION("""COMPUTED_VALUE"""),"Teen and adult fired multiple shots into the air from vehicle near the school")</f>
        <v>Teen and adult fired multiple shots into the air from vehicle near the school</v>
      </c>
      <c r="Z201" s="5" t="str">
        <f ca="1">IFERROR(__xludf.DUMMYFUNCTION("""COMPUTED_VALUE"""),"17-year-old man and 27-year-old man were charged with fired 32 shots from automatic weapons (pistol and rifle) into the air near the school. Police responded and arrested both after high speed chase. No injuries. Charged with firing weapons in school zone"&amp;".")</f>
        <v>17-year-old man and 27-year-old man were charged with fired 32 shots from automatic weapons (pistol and rifle) into the air near the school. Police responded and arrested both after high speed chase. No injuries. Charged with firing weapons in school zone.</v>
      </c>
      <c r="AA201" s="5" t="str">
        <f ca="1">IFERROR(__xludf.DUMMYFUNCTION("""COMPUTED_VALUE"""),"Drive-by Shooting")</f>
        <v>Drive-by Shooting</v>
      </c>
      <c r="AB201" s="5" t="str">
        <f ca="1">IFERROR(__xludf.DUMMYFUNCTION("""COMPUTED_VALUE"""),"Random Shooting")</f>
        <v>Random Shooting</v>
      </c>
      <c r="AC201" s="5" t="str">
        <f ca="1">IFERROR(__xludf.DUMMYFUNCTION("""COMPUTED_VALUE"""),"Yes")</f>
        <v>Yes</v>
      </c>
      <c r="AD201" s="5" t="str">
        <f ca="1">IFERROR(__xludf.DUMMYFUNCTION("""COMPUTED_VALUE"""),"No")</f>
        <v>No</v>
      </c>
      <c r="AE201" s="5" t="str">
        <f ca="1">IFERROR(__xludf.DUMMYFUNCTION("""COMPUTED_VALUE"""),"No")</f>
        <v>No</v>
      </c>
      <c r="AF201" s="5" t="str">
        <f ca="1">IFERROR(__xludf.DUMMYFUNCTION("""COMPUTED_VALUE"""),"No")</f>
        <v>No</v>
      </c>
      <c r="AG201" s="5" t="str">
        <f ca="1">IFERROR(__xludf.DUMMYFUNCTION("""COMPUTED_VALUE"""),"No")</f>
        <v>No</v>
      </c>
      <c r="AH201" s="5" t="str">
        <f ca="1">IFERROR(__xludf.DUMMYFUNCTION("""COMPUTED_VALUE"""),"No")</f>
        <v>No</v>
      </c>
      <c r="AI201" s="5"/>
      <c r="AJ201" s="5" t="str">
        <f ca="1">IFERROR(__xludf.DUMMYFUNCTION("""COMPUTED_VALUE"""),"No")</f>
        <v>No</v>
      </c>
    </row>
    <row r="202" spans="1:36" ht="13">
      <c r="A202" s="5" t="str">
        <f ca="1">IFERROR(__xludf.DUMMYFUNCTION("""COMPUTED_VALUE"""),"20220906IANOS")</f>
        <v>20220906IANOS</v>
      </c>
      <c r="B202" s="5">
        <f ca="1">IFERROR(__xludf.DUMMYFUNCTION("""COMPUTED_VALUE"""),9)</f>
        <v>9</v>
      </c>
      <c r="C202" s="5">
        <f ca="1">IFERROR(__xludf.DUMMYFUNCTION("""COMPUTED_VALUE"""),6)</f>
        <v>6</v>
      </c>
      <c r="D202" s="5">
        <f ca="1">IFERROR(__xludf.DUMMYFUNCTION("""COMPUTED_VALUE"""),2022)</f>
        <v>2022</v>
      </c>
      <c r="E202" s="8">
        <f ca="1">IFERROR(__xludf.DUMMYFUNCTION("""COMPUTED_VALUE"""),44810)</f>
        <v>44810</v>
      </c>
      <c r="F202" s="5" t="str">
        <f ca="1">IFERROR(__xludf.DUMMYFUNCTION("""COMPUTED_VALUE"""),"North Middle School")</f>
        <v>North Middle School</v>
      </c>
      <c r="G202" s="5">
        <f ca="1">IFERROR(__xludf.DUMMYFUNCTION("""COMPUTED_VALUE"""),0)</f>
        <v>0</v>
      </c>
      <c r="H202" s="5">
        <f ca="1">IFERROR(__xludf.DUMMYFUNCTION("""COMPUTED_VALUE"""),0)</f>
        <v>0</v>
      </c>
      <c r="I202" s="5">
        <f ca="1">IFERROR(__xludf.DUMMYFUNCTION("""COMPUTED_VALUE"""),0)</f>
        <v>0</v>
      </c>
      <c r="J202" s="5">
        <f ca="1">IFERROR(__xludf.DUMMYFUNCTION("""COMPUTED_VALUE"""),0)</f>
        <v>0</v>
      </c>
      <c r="K202" s="9" t="str">
        <f ca="1">IFERROR(__xludf.DUMMYFUNCTION("""COMPUTED_VALUE"""),"https://siouxlandnews.com/news/local/sccsd-responds-after-airsoft-gun-shooting-at-north-middle-school
https://www.keloland.com/news/local-news/sioux-city-pd-provide-more-info-on-middle-school-shooting/
https://www.radioiowa.com/2022/09/07/two-charged-afte"&amp;"r-firing-airsoft-gun-at-students-in-sioux-city/")</f>
        <v>https://siouxlandnews.com/news/local/sccsd-responds-after-airsoft-gun-shooting-at-north-middle-school
https://www.keloland.com/news/local-news/sioux-city-pd-provide-more-info-on-middle-school-shooting/
https://www.radioiowa.com/2022/09/07/two-charged-after-firing-airsoft-gun-at-students-in-sioux-city/</v>
      </c>
      <c r="L202" s="5">
        <f ca="1">IFERROR(__xludf.DUMMYFUNCTION("""COMPUTED_VALUE"""),4)</f>
        <v>4</v>
      </c>
      <c r="M202" s="5" t="str">
        <f ca="1">IFERROR(__xludf.DUMMYFUNCTION("""COMPUTED_VALUE"""),"Local")</f>
        <v>Local</v>
      </c>
      <c r="N202" s="5">
        <f ca="1">IFERROR(__xludf.DUMMYFUNCTION("""COMPUTED_VALUE"""),4)</f>
        <v>4</v>
      </c>
      <c r="O202" s="5" t="str">
        <f ca="1">IFERROR(__xludf.DUMMYFUNCTION("""COMPUTED_VALUE"""),"Fall")</f>
        <v>Fall</v>
      </c>
      <c r="P202" s="5" t="str">
        <f ca="1">IFERROR(__xludf.DUMMYFUNCTION("""COMPUTED_VALUE"""),"Sioux City")</f>
        <v>Sioux City</v>
      </c>
      <c r="Q202" s="5" t="str">
        <f ca="1">IFERROR(__xludf.DUMMYFUNCTION("""COMPUTED_VALUE"""),"IA")</f>
        <v>IA</v>
      </c>
      <c r="R202" s="5" t="str">
        <f ca="1">IFERROR(__xludf.DUMMYFUNCTION("""COMPUTED_VALUE"""),"Middle")</f>
        <v>Middle</v>
      </c>
      <c r="S202" s="5" t="str">
        <f ca="1">IFERROR(__xludf.DUMMYFUNCTION("""COMPUTED_VALUE"""),"Football Field/Track")</f>
        <v>Football Field/Track</v>
      </c>
      <c r="T202" s="5" t="str">
        <f ca="1">IFERROR(__xludf.DUMMYFUNCTION("""COMPUTED_VALUE"""),"Outside on School Property")</f>
        <v>Outside on School Property</v>
      </c>
      <c r="U202" s="5" t="str">
        <f ca="1">IFERROR(__xludf.DUMMYFUNCTION("""COMPUTED_VALUE"""),"Yes")</f>
        <v>Yes</v>
      </c>
      <c r="V202" s="5" t="str">
        <f ca="1">IFERROR(__xludf.DUMMYFUNCTION("""COMPUTED_VALUE"""),"Afternoon Classes")</f>
        <v>Afternoon Classes</v>
      </c>
      <c r="W202" s="10">
        <f ca="1">IFERROR(__xludf.DUMMYFUNCTION("""COMPUTED_VALUE"""),0.583333333333333)</f>
        <v>0.58333333333333304</v>
      </c>
      <c r="X202" s="5">
        <f ca="1">IFERROR(__xludf.DUMMYFUNCTION("""COMPUTED_VALUE"""),1)</f>
        <v>1</v>
      </c>
      <c r="Y202" s="5" t="str">
        <f ca="1">IFERROR(__xludf.DUMMYFUNCTION("""COMPUTED_VALUE"""),"Teens shot 4 students and an adult with pellet guns during gym class")</f>
        <v>Teens shot 4 students and an adult with pellet guns during gym class</v>
      </c>
      <c r="Z202" s="5" t="str">
        <f ca="1">IFERROR(__xludf.DUMMYFUNCTION("""COMPUTED_VALUE"""),"A 16-year-old and 14-year-old in a vehicle fired pellets at students who were walking back from gym class on the school track. 4 students and one adult had minor injuries. Both teens arrested and charged with 5 counts of assault.")</f>
        <v>A 16-year-old and 14-year-old in a vehicle fired pellets at students who were walking back from gym class on the school track. 4 students and one adult had minor injuries. Both teens arrested and charged with 5 counts of assault.</v>
      </c>
      <c r="AA202" s="5" t="str">
        <f ca="1">IFERROR(__xludf.DUMMYFUNCTION("""COMPUTED_VALUE"""),"Drive-by Shooting")</f>
        <v>Drive-by Shooting</v>
      </c>
      <c r="AB202" s="5" t="str">
        <f ca="1">IFERROR(__xludf.DUMMYFUNCTION("""COMPUTED_VALUE"""),"Random Shooting")</f>
        <v>Random Shooting</v>
      </c>
      <c r="AC202" s="5" t="str">
        <f ca="1">IFERROR(__xludf.DUMMYFUNCTION("""COMPUTED_VALUE"""),"Yes")</f>
        <v>Yes</v>
      </c>
      <c r="AD202" s="5" t="str">
        <f ca="1">IFERROR(__xludf.DUMMYFUNCTION("""COMPUTED_VALUE"""),"No")</f>
        <v>No</v>
      </c>
      <c r="AE202" s="5" t="str">
        <f ca="1">IFERROR(__xludf.DUMMYFUNCTION("""COMPUTED_VALUE"""),"No")</f>
        <v>No</v>
      </c>
      <c r="AF202" s="5" t="str">
        <f ca="1">IFERROR(__xludf.DUMMYFUNCTION("""COMPUTED_VALUE"""),"No")</f>
        <v>No</v>
      </c>
      <c r="AG202" s="5"/>
      <c r="AH202" s="5" t="str">
        <f ca="1">IFERROR(__xludf.DUMMYFUNCTION("""COMPUTED_VALUE"""),"No")</f>
        <v>No</v>
      </c>
      <c r="AI202" s="5"/>
      <c r="AJ202" s="5" t="str">
        <f ca="1">IFERROR(__xludf.DUMMYFUNCTION("""COMPUTED_VALUE"""),"No")</f>
        <v>No</v>
      </c>
    </row>
    <row r="203" spans="1:36" ht="13">
      <c r="A203" s="5" t="str">
        <f ca="1">IFERROR(__xludf.DUMMYFUNCTION("""COMPUTED_VALUE"""),"20220904FLBOL")</f>
        <v>20220904FLBOL</v>
      </c>
      <c r="B203" s="5">
        <f ca="1">IFERROR(__xludf.DUMMYFUNCTION("""COMPUTED_VALUE"""),9)</f>
        <v>9</v>
      </c>
      <c r="C203" s="5">
        <f ca="1">IFERROR(__xludf.DUMMYFUNCTION("""COMPUTED_VALUE"""),4)</f>
        <v>4</v>
      </c>
      <c r="D203" s="5">
        <f ca="1">IFERROR(__xludf.DUMMYFUNCTION("""COMPUTED_VALUE"""),2022)</f>
        <v>2022</v>
      </c>
      <c r="E203" s="8">
        <f ca="1">IFERROR(__xludf.DUMMYFUNCTION("""COMPUTED_VALUE"""),44808)</f>
        <v>44808</v>
      </c>
      <c r="F203" s="5" t="str">
        <f ca="1">IFERROR(__xludf.DUMMYFUNCTION("""COMPUTED_VALUE"""),"Boyd H. Anderson High School")</f>
        <v>Boyd H. Anderson High School</v>
      </c>
      <c r="G203" s="5">
        <f ca="1">IFERROR(__xludf.DUMMYFUNCTION("""COMPUTED_VALUE"""),0)</f>
        <v>0</v>
      </c>
      <c r="H203" s="5">
        <f ca="1">IFERROR(__xludf.DUMMYFUNCTION("""COMPUTED_VALUE"""),4)</f>
        <v>4</v>
      </c>
      <c r="I203" s="5">
        <f ca="1">IFERROR(__xludf.DUMMYFUNCTION("""COMPUTED_VALUE"""),4)</f>
        <v>4</v>
      </c>
      <c r="J203" s="5">
        <f ca="1">IFERROR(__xludf.DUMMYFUNCTION("""COMPUTED_VALUE"""),0)</f>
        <v>0</v>
      </c>
      <c r="K203" s="9" t="str">
        <f ca="1">IFERROR(__xludf.DUMMYFUNCTION("""COMPUTED_VALUE"""),"https://wsvn.com/news/local/broward/3-juveniles-shot-during-sporting-event-at-boyd-anderson-high-in-lauderdale-lakes/
https://www.local10.com/news/local/2022/09/05/3-people-shot-at-high-school-sporting-event-in-lauderdale-lakes/
https://www.local10.com/ne"&amp;"ws/local/2022/09/05/adult-gambling-causes-shooting-injuring-3-teens-during-broward-little-league-football-game-police-say/")</f>
        <v>https://wsvn.com/news/local/broward/3-juveniles-shot-during-sporting-event-at-boyd-anderson-high-in-lauderdale-lakes/
https://www.local10.com/news/local/2022/09/05/3-people-shot-at-high-school-sporting-event-in-lauderdale-lakes/
https://www.local10.com/news/local/2022/09/05/adult-gambling-causes-shooting-injuring-3-teens-during-broward-little-league-football-game-police-say/</v>
      </c>
      <c r="L203" s="5">
        <f ca="1">IFERROR(__xludf.DUMMYFUNCTION("""COMPUTED_VALUE"""),10)</f>
        <v>10</v>
      </c>
      <c r="M203" s="5" t="str">
        <f ca="1">IFERROR(__xludf.DUMMYFUNCTION("""COMPUTED_VALUE"""),"Regional")</f>
        <v>Regional</v>
      </c>
      <c r="N203" s="5">
        <f ca="1">IFERROR(__xludf.DUMMYFUNCTION("""COMPUTED_VALUE"""),4)</f>
        <v>4</v>
      </c>
      <c r="O203" s="5" t="str">
        <f ca="1">IFERROR(__xludf.DUMMYFUNCTION("""COMPUTED_VALUE"""),"Fall")</f>
        <v>Fall</v>
      </c>
      <c r="P203" s="5" t="str">
        <f ca="1">IFERROR(__xludf.DUMMYFUNCTION("""COMPUTED_VALUE"""),"Lauderdale Lakes")</f>
        <v>Lauderdale Lakes</v>
      </c>
      <c r="Q203" s="5" t="str">
        <f ca="1">IFERROR(__xludf.DUMMYFUNCTION("""COMPUTED_VALUE"""),"FL")</f>
        <v>FL</v>
      </c>
      <c r="R203" s="5" t="str">
        <f ca="1">IFERROR(__xludf.DUMMYFUNCTION("""COMPUTED_VALUE"""),"High")</f>
        <v>High</v>
      </c>
      <c r="S203" s="5" t="str">
        <f ca="1">IFERROR(__xludf.DUMMYFUNCTION("""COMPUTED_VALUE"""),"Football Field/Track")</f>
        <v>Football Field/Track</v>
      </c>
      <c r="T203" s="5" t="str">
        <f ca="1">IFERROR(__xludf.DUMMYFUNCTION("""COMPUTED_VALUE"""),"Outside on School Property")</f>
        <v>Outside on School Property</v>
      </c>
      <c r="U203" s="5" t="str">
        <f ca="1">IFERROR(__xludf.DUMMYFUNCTION("""COMPUTED_VALUE"""),"No")</f>
        <v>No</v>
      </c>
      <c r="V203" s="5" t="str">
        <f ca="1">IFERROR(__xludf.DUMMYFUNCTION("""COMPUTED_VALUE"""),"Sport Event")</f>
        <v>Sport Event</v>
      </c>
      <c r="W203" s="10">
        <f ca="1">IFERROR(__xludf.DUMMYFUNCTION("""COMPUTED_VALUE"""),0.854166666666666)</f>
        <v>0.85416666666666596</v>
      </c>
      <c r="X203" s="5">
        <f ca="1">IFERROR(__xludf.DUMMYFUNCTION("""COMPUTED_VALUE"""),1)</f>
        <v>1</v>
      </c>
      <c r="Y203" s="5" t="str">
        <f ca="1">IFERROR(__xludf.DUMMYFUNCTION("""COMPUTED_VALUE"""),"Four juveniles shot at youth football game")</f>
        <v>Four juveniles shot at youth football game</v>
      </c>
      <c r="Z203" s="5" t="str">
        <f ca="1">IFERROR(__xludf.DUMMYFUNCTION("""COMPUTED_VALUE"""),"Four juveniles were wounded when shots were fired in the stands during a youth football game held at the high school. Shooter fled. Shooting resulted from a dispute during an earlier game when multiple people were kicked out by security. The shooter snuck"&amp;" back into the stands. ")</f>
        <v xml:space="preserve">Four juveniles were wounded when shots were fired in the stands during a youth football game held at the high school. Shooter fled. Shooting resulted from a dispute during an earlier game when multiple people were kicked out by security. The shooter snuck back into the stands. </v>
      </c>
      <c r="AA203" s="5" t="str">
        <f ca="1">IFERROR(__xludf.DUMMYFUNCTION("""COMPUTED_VALUE"""),"Escalation of Dispute")</f>
        <v>Escalation of Dispute</v>
      </c>
      <c r="AB203" s="5" t="str">
        <f ca="1">IFERROR(__xludf.DUMMYFUNCTION("""COMPUTED_VALUE"""),"Both")</f>
        <v>Both</v>
      </c>
      <c r="AC203" s="5" t="str">
        <f ca="1">IFERROR(__xludf.DUMMYFUNCTION("""COMPUTED_VALUE"""),"No")</f>
        <v>No</v>
      </c>
      <c r="AD203" s="5" t="str">
        <f ca="1">IFERROR(__xludf.DUMMYFUNCTION("""COMPUTED_VALUE"""),"No")</f>
        <v>No</v>
      </c>
      <c r="AE203" s="5" t="str">
        <f ca="1">IFERROR(__xludf.DUMMYFUNCTION("""COMPUTED_VALUE"""),"No")</f>
        <v>No</v>
      </c>
      <c r="AF203" s="5" t="str">
        <f ca="1">IFERROR(__xludf.DUMMYFUNCTION("""COMPUTED_VALUE"""),"No")</f>
        <v>No</v>
      </c>
      <c r="AG203" s="5" t="str">
        <f ca="1">IFERROR(__xludf.DUMMYFUNCTION("""COMPUTED_VALUE"""),"No")</f>
        <v>No</v>
      </c>
      <c r="AH203" s="5" t="str">
        <f ca="1">IFERROR(__xludf.DUMMYFUNCTION("""COMPUTED_VALUE"""),"No")</f>
        <v>No</v>
      </c>
      <c r="AI203" s="5"/>
      <c r="AJ203" s="5" t="str">
        <f ca="1">IFERROR(__xludf.DUMMYFUNCTION("""COMPUTED_VALUE"""),"No")</f>
        <v>No</v>
      </c>
    </row>
    <row r="204" spans="1:36" ht="13">
      <c r="A204" s="5" t="str">
        <f ca="1">IFERROR(__xludf.DUMMYFUNCTION("""COMPUTED_VALUE"""),"20220902MDMEB")</f>
        <v>20220902MDMEB</v>
      </c>
      <c r="B204" s="5">
        <f ca="1">IFERROR(__xludf.DUMMYFUNCTION("""COMPUTED_VALUE"""),9)</f>
        <v>9</v>
      </c>
      <c r="C204" s="5">
        <f ca="1">IFERROR(__xludf.DUMMYFUNCTION("""COMPUTED_VALUE"""),2)</f>
        <v>2</v>
      </c>
      <c r="D204" s="5">
        <f ca="1">IFERROR(__xludf.DUMMYFUNCTION("""COMPUTED_VALUE"""),2022)</f>
        <v>2022</v>
      </c>
      <c r="E204" s="8">
        <f ca="1">IFERROR(__xludf.DUMMYFUNCTION("""COMPUTED_VALUE"""),44806)</f>
        <v>44806</v>
      </c>
      <c r="F204" s="5" t="str">
        <f ca="1">IFERROR(__xludf.DUMMYFUNCTION("""COMPUTED_VALUE"""),"Mergenthaler Vocational-Technical High School")</f>
        <v>Mergenthaler Vocational-Technical High School</v>
      </c>
      <c r="G204" s="5">
        <f ca="1">IFERROR(__xludf.DUMMYFUNCTION("""COMPUTED_VALUE"""),1)</f>
        <v>1</v>
      </c>
      <c r="H204" s="5">
        <f ca="1">IFERROR(__xludf.DUMMYFUNCTION("""COMPUTED_VALUE"""),0)</f>
        <v>0</v>
      </c>
      <c r="I204" s="5">
        <f ca="1">IFERROR(__xludf.DUMMYFUNCTION("""COMPUTED_VALUE"""),1)</f>
        <v>1</v>
      </c>
      <c r="J204" s="5">
        <f ca="1">IFERROR(__xludf.DUMMYFUNCTION("""COMPUTED_VALUE"""),0)</f>
        <v>0</v>
      </c>
      <c r="K204" s="9" t="str">
        <f ca="1">IFERROR(__xludf.DUMMYFUNCTION("""COMPUTED_VALUE"""),"https://www.wbaltv.com/article/mervo-high-school-shooting-under-investigation/41068480#
https://www.baltimoresun.com/news/crime/bs-md-ci-cr-shooting-near-mervo-high-20220902-7vkk6gckhbdzrgodfepcdyjj6m-story.html")</f>
        <v>https://www.wbaltv.com/article/mervo-high-school-shooting-under-investigation/41068480#
https://www.baltimoresun.com/news/crime/bs-md-ci-cr-shooting-near-mervo-high-20220902-7vkk6gckhbdzrgodfepcdyjj6m-story.html</v>
      </c>
      <c r="L204" s="5">
        <f ca="1">IFERROR(__xludf.DUMMYFUNCTION("""COMPUTED_VALUE"""),10)</f>
        <v>10</v>
      </c>
      <c r="M204" s="5" t="str">
        <f ca="1">IFERROR(__xludf.DUMMYFUNCTION("""COMPUTED_VALUE"""),"Regional")</f>
        <v>Regional</v>
      </c>
      <c r="N204" s="5">
        <f ca="1">IFERROR(__xludf.DUMMYFUNCTION("""COMPUTED_VALUE"""),4)</f>
        <v>4</v>
      </c>
      <c r="O204" s="5" t="str">
        <f ca="1">IFERROR(__xludf.DUMMYFUNCTION("""COMPUTED_VALUE"""),"Fall")</f>
        <v>Fall</v>
      </c>
      <c r="P204" s="5" t="str">
        <f ca="1">IFERROR(__xludf.DUMMYFUNCTION("""COMPUTED_VALUE"""),"Baltimore")</f>
        <v>Baltimore</v>
      </c>
      <c r="Q204" s="5" t="str">
        <f ca="1">IFERROR(__xludf.DUMMYFUNCTION("""COMPUTED_VALUE"""),"MD")</f>
        <v>MD</v>
      </c>
      <c r="R204" s="5" t="str">
        <f ca="1">IFERROR(__xludf.DUMMYFUNCTION("""COMPUTED_VALUE"""),"High")</f>
        <v>High</v>
      </c>
      <c r="S204" s="5" t="str">
        <f ca="1">IFERROR(__xludf.DUMMYFUNCTION("""COMPUTED_VALUE"""),"Parking Lot")</f>
        <v>Parking Lot</v>
      </c>
      <c r="T204" s="5" t="str">
        <f ca="1">IFERROR(__xludf.DUMMYFUNCTION("""COMPUTED_VALUE"""),"Outside on School Property")</f>
        <v>Outside on School Property</v>
      </c>
      <c r="U204" s="5" t="str">
        <f ca="1">IFERROR(__xludf.DUMMYFUNCTION("""COMPUTED_VALUE"""),"Yes")</f>
        <v>Yes</v>
      </c>
      <c r="V204" s="5" t="str">
        <f ca="1">IFERROR(__xludf.DUMMYFUNCTION("""COMPUTED_VALUE"""),"Dismissal")</f>
        <v>Dismissal</v>
      </c>
      <c r="W204" s="10">
        <f ca="1">IFERROR(__xludf.DUMMYFUNCTION("""COMPUTED_VALUE"""),0.621527777777777)</f>
        <v>0.62152777777777701</v>
      </c>
      <c r="X204" s="5">
        <f ca="1">IFERROR(__xludf.DUMMYFUNCTION("""COMPUTED_VALUE"""),1)</f>
        <v>1</v>
      </c>
      <c r="Y204" s="5" t="str">
        <f ca="1">IFERROR(__xludf.DUMMYFUNCTION("""COMPUTED_VALUE"""),"Student from another school fatally shot a student in the parking lot at dismissal")</f>
        <v>Student from another school fatally shot a student in the parking lot at dismissal</v>
      </c>
      <c r="Z204" s="5" t="str">
        <f ca="1">IFERROR(__xludf.DUMMYFUNCTION("""COMPUTED_VALUE"""),"A teenage student was fatally shot during a dispute with a student from another school in the parking lot at dismissal. Shooter ran from the campus and was arrested by the SRO. School went into lockdown and followed active shooter procedures.")</f>
        <v>A teenage student was fatally shot during a dispute with a student from another school in the parking lot at dismissal. Shooter ran from the campus and was arrested by the SRO. School went into lockdown and followed active shooter procedures.</v>
      </c>
      <c r="AA204" s="5" t="str">
        <f ca="1">IFERROR(__xludf.DUMMYFUNCTION("""COMPUTED_VALUE"""),"Escalation of Dispute")</f>
        <v>Escalation of Dispute</v>
      </c>
      <c r="AB204" s="5" t="str">
        <f ca="1">IFERROR(__xludf.DUMMYFUNCTION("""COMPUTED_VALUE"""),"Victims Targeted")</f>
        <v>Victims Targeted</v>
      </c>
      <c r="AC204" s="5" t="str">
        <f ca="1">IFERROR(__xludf.DUMMYFUNCTION("""COMPUTED_VALUE"""),"No")</f>
        <v>No</v>
      </c>
      <c r="AD204" s="5" t="str">
        <f ca="1">IFERROR(__xludf.DUMMYFUNCTION("""COMPUTED_VALUE"""),"No")</f>
        <v>No</v>
      </c>
      <c r="AE204" s="5" t="str">
        <f ca="1">IFERROR(__xludf.DUMMYFUNCTION("""COMPUTED_VALUE"""),"No")</f>
        <v>No</v>
      </c>
      <c r="AF204" s="5" t="str">
        <f ca="1">IFERROR(__xludf.DUMMYFUNCTION("""COMPUTED_VALUE"""),"No")</f>
        <v>No</v>
      </c>
      <c r="AG204" s="5" t="str">
        <f ca="1">IFERROR(__xludf.DUMMYFUNCTION("""COMPUTED_VALUE"""),"No")</f>
        <v>No</v>
      </c>
      <c r="AH204" s="5" t="str">
        <f ca="1">IFERROR(__xludf.DUMMYFUNCTION("""COMPUTED_VALUE"""),"No")</f>
        <v>No</v>
      </c>
      <c r="AI204" s="5"/>
      <c r="AJ204" s="5" t="str">
        <f ca="1">IFERROR(__xludf.DUMMYFUNCTION("""COMPUTED_VALUE"""),"No")</f>
        <v>No</v>
      </c>
    </row>
    <row r="205" spans="1:36" ht="13">
      <c r="A205" s="5" t="str">
        <f ca="1">IFERROR(__xludf.DUMMYFUNCTION("""COMPUTED_VALUE"""),"20220902INJEL")</f>
        <v>20220902INJEL</v>
      </c>
      <c r="B205" s="5">
        <f ca="1">IFERROR(__xludf.DUMMYFUNCTION("""COMPUTED_VALUE"""),9)</f>
        <v>9</v>
      </c>
      <c r="C205" s="5">
        <f ca="1">IFERROR(__xludf.DUMMYFUNCTION("""COMPUTED_VALUE"""),2)</f>
        <v>2</v>
      </c>
      <c r="D205" s="5">
        <f ca="1">IFERROR(__xludf.DUMMYFUNCTION("""COMPUTED_VALUE"""),2022)</f>
        <v>2022</v>
      </c>
      <c r="E205" s="8">
        <f ca="1">IFERROR(__xludf.DUMMYFUNCTION("""COMPUTED_VALUE"""),44806)</f>
        <v>44806</v>
      </c>
      <c r="F205" s="5" t="str">
        <f ca="1">IFERROR(__xludf.DUMMYFUNCTION("""COMPUTED_VALUE"""),"Jeffersonville High School")</f>
        <v>Jeffersonville High School</v>
      </c>
      <c r="G205" s="5">
        <f ca="1">IFERROR(__xludf.DUMMYFUNCTION("""COMPUTED_VALUE"""),0)</f>
        <v>0</v>
      </c>
      <c r="H205" s="5">
        <f ca="1">IFERROR(__xludf.DUMMYFUNCTION("""COMPUTED_VALUE"""),0)</f>
        <v>0</v>
      </c>
      <c r="I205" s="5">
        <f ca="1">IFERROR(__xludf.DUMMYFUNCTION("""COMPUTED_VALUE"""),0)</f>
        <v>0</v>
      </c>
      <c r="J205" s="5">
        <f ca="1">IFERROR(__xludf.DUMMYFUNCTION("""COMPUTED_VALUE"""),0)</f>
        <v>0</v>
      </c>
      <c r="K205" s="5" t="str">
        <f ca="1">IFERROR(__xludf.DUMMYFUNCTION("""COMPUTED_VALUE"""),"https://www.wave3.com/2022/09/03/jeffersonville-police-investigate-armed-robbery-reported-high-school-football-game/
https://www.wlky.com/article/jeffersonville-high-school-robbery-student-football-game/41106605
https://www.wave3.com/2022/09/07/juvenile-a"&amp;"rrested-after-armed-robbery-jeffersonville-hs-parking-lot/
")</f>
        <v xml:space="preserve">https://www.wave3.com/2022/09/03/jeffersonville-police-investigate-armed-robbery-reported-high-school-football-game/
https://www.wlky.com/article/jeffersonville-high-school-robbery-student-football-game/41106605
https://www.wave3.com/2022/09/07/juvenile-arrested-after-armed-robbery-jeffersonville-hs-parking-lot/
</v>
      </c>
      <c r="L205" s="5">
        <f ca="1">IFERROR(__xludf.DUMMYFUNCTION("""COMPUTED_VALUE"""),5)</f>
        <v>5</v>
      </c>
      <c r="M205" s="5" t="str">
        <f ca="1">IFERROR(__xludf.DUMMYFUNCTION("""COMPUTED_VALUE"""),"Regional")</f>
        <v>Regional</v>
      </c>
      <c r="N205" s="5">
        <f ca="1">IFERROR(__xludf.DUMMYFUNCTION("""COMPUTED_VALUE"""),4)</f>
        <v>4</v>
      </c>
      <c r="O205" s="5" t="str">
        <f ca="1">IFERROR(__xludf.DUMMYFUNCTION("""COMPUTED_VALUE"""),"Fall")</f>
        <v>Fall</v>
      </c>
      <c r="P205" s="5" t="str">
        <f ca="1">IFERROR(__xludf.DUMMYFUNCTION("""COMPUTED_VALUE"""),"Jeffersonville")</f>
        <v>Jeffersonville</v>
      </c>
      <c r="Q205" s="5" t="str">
        <f ca="1">IFERROR(__xludf.DUMMYFUNCTION("""COMPUTED_VALUE"""),"IN")</f>
        <v>IN</v>
      </c>
      <c r="R205" s="5" t="str">
        <f ca="1">IFERROR(__xludf.DUMMYFUNCTION("""COMPUTED_VALUE"""),"High")</f>
        <v>High</v>
      </c>
      <c r="S205" s="5" t="str">
        <f ca="1">IFERROR(__xludf.DUMMYFUNCTION("""COMPUTED_VALUE"""),"Parking Lot")</f>
        <v>Parking Lot</v>
      </c>
      <c r="T205" s="5" t="str">
        <f ca="1">IFERROR(__xludf.DUMMYFUNCTION("""COMPUTED_VALUE"""),"Outside on School Property")</f>
        <v>Outside on School Property</v>
      </c>
      <c r="U205" s="5" t="str">
        <f ca="1">IFERROR(__xludf.DUMMYFUNCTION("""COMPUTED_VALUE"""),"No")</f>
        <v>No</v>
      </c>
      <c r="V205" s="5" t="str">
        <f ca="1">IFERROR(__xludf.DUMMYFUNCTION("""COMPUTED_VALUE"""),"Sport Event")</f>
        <v>Sport Event</v>
      </c>
      <c r="W205" s="10">
        <f ca="1">IFERROR(__xludf.DUMMYFUNCTION("""COMPUTED_VALUE"""),0.894444444444444)</f>
        <v>0.89444444444444404</v>
      </c>
      <c r="X205" s="5">
        <f ca="1">IFERROR(__xludf.DUMMYFUNCTION("""COMPUTED_VALUE"""),1)</f>
        <v>1</v>
      </c>
      <c r="Y205" s="5" t="str">
        <f ca="1">IFERROR(__xludf.DUMMYFUNCTION("""COMPUTED_VALUE"""),"Teen robbed student at gunpoint in parking lot during football game")</f>
        <v>Teen robbed student at gunpoint in parking lot during football game</v>
      </c>
      <c r="Z205" s="5" t="str">
        <f ca="1">IFERROR(__xludf.DUMMYFUNCTION("""COMPUTED_VALUE"""),"A teen robbed a student at gunpoint in the parking lot during a high school football game. Rumors spread there was a shooting and people evacuated the game. An unrelated medical emergency at the game and an ambulance responding added to the confusion. Sho"&amp;"oter was arrested following Tuesday and charged with pointing a firearm and possession of a weapon on school property")</f>
        <v>A teen robbed a student at gunpoint in the parking lot during a high school football game. Rumors spread there was a shooting and people evacuated the game. An unrelated medical emergency at the game and an ambulance responding added to the confusion. Shooter was arrested following Tuesday and charged with pointing a firearm and possession of a weapon on school property</v>
      </c>
      <c r="AA205" s="5" t="str">
        <f ca="1">IFERROR(__xludf.DUMMYFUNCTION("""COMPUTED_VALUE"""),"Illegal Activity")</f>
        <v>Illegal Activity</v>
      </c>
      <c r="AB205" s="5" t="str">
        <f ca="1">IFERROR(__xludf.DUMMYFUNCTION("""COMPUTED_VALUE"""),"Victims Targeted")</f>
        <v>Victims Targeted</v>
      </c>
      <c r="AC205" s="5" t="str">
        <f ca="1">IFERROR(__xludf.DUMMYFUNCTION("""COMPUTED_VALUE"""),"No")</f>
        <v>No</v>
      </c>
      <c r="AD205" s="5" t="str">
        <f ca="1">IFERROR(__xludf.DUMMYFUNCTION("""COMPUTED_VALUE"""),"No")</f>
        <v>No</v>
      </c>
      <c r="AE205" s="5" t="str">
        <f ca="1">IFERROR(__xludf.DUMMYFUNCTION("""COMPUTED_VALUE"""),"No")</f>
        <v>No</v>
      </c>
      <c r="AF205" s="5" t="str">
        <f ca="1">IFERROR(__xludf.DUMMYFUNCTION("""COMPUTED_VALUE"""),"No")</f>
        <v>No</v>
      </c>
      <c r="AG205" s="5" t="str">
        <f ca="1">IFERROR(__xludf.DUMMYFUNCTION("""COMPUTED_VALUE"""),"No")</f>
        <v>No</v>
      </c>
      <c r="AH205" s="5" t="str">
        <f ca="1">IFERROR(__xludf.DUMMYFUNCTION("""COMPUTED_VALUE"""),"No")</f>
        <v>No</v>
      </c>
      <c r="AI205" s="5" t="str">
        <f ca="1">IFERROR(__xludf.DUMMYFUNCTION("""COMPUTED_VALUE"""),"No")</f>
        <v>No</v>
      </c>
      <c r="AJ205" s="5" t="str">
        <f ca="1">IFERROR(__xludf.DUMMYFUNCTION("""COMPUTED_VALUE"""),"No")</f>
        <v>No</v>
      </c>
    </row>
    <row r="206" spans="1:36" ht="13">
      <c r="A206" s="5" t="str">
        <f ca="1">IFERROR(__xludf.DUMMYFUNCTION("""COMPUTED_VALUE"""),"20220831NMDEA")</f>
        <v>20220831NMDEA</v>
      </c>
      <c r="B206" s="5">
        <f ca="1">IFERROR(__xludf.DUMMYFUNCTION("""COMPUTED_VALUE"""),8)</f>
        <v>8</v>
      </c>
      <c r="C206" s="5">
        <f ca="1">IFERROR(__xludf.DUMMYFUNCTION("""COMPUTED_VALUE"""),31)</f>
        <v>31</v>
      </c>
      <c r="D206" s="5">
        <f ca="1">IFERROR(__xludf.DUMMYFUNCTION("""COMPUTED_VALUE"""),2022)</f>
        <v>2022</v>
      </c>
      <c r="E206" s="8">
        <f ca="1">IFERROR(__xludf.DUMMYFUNCTION("""COMPUTED_VALUE"""),44804)</f>
        <v>44804</v>
      </c>
      <c r="F206" s="5" t="str">
        <f ca="1">IFERROR(__xludf.DUMMYFUNCTION("""COMPUTED_VALUE"""),"Del Norte High School")</f>
        <v>Del Norte High School</v>
      </c>
      <c r="G206" s="5">
        <f ca="1">IFERROR(__xludf.DUMMYFUNCTION("""COMPUTED_VALUE"""),0)</f>
        <v>0</v>
      </c>
      <c r="H206" s="5">
        <f ca="1">IFERROR(__xludf.DUMMYFUNCTION("""COMPUTED_VALUE"""),0)</f>
        <v>0</v>
      </c>
      <c r="I206" s="5">
        <f ca="1">IFERROR(__xludf.DUMMYFUNCTION("""COMPUTED_VALUE"""),0)</f>
        <v>0</v>
      </c>
      <c r="J206" s="5">
        <f ca="1">IFERROR(__xludf.DUMMYFUNCTION("""COMPUTED_VALUE"""),0)</f>
        <v>0</v>
      </c>
      <c r="K206" s="5" t="str">
        <f ca="1">IFERROR(__xludf.DUMMYFUNCTION("""COMPUTED_VALUE"""),"https://www.koat.com/article/shooting-near-del-norte-high-school-albuquerque/41056052
https://www.abqjournal.com/2528700/two-aps-schools-under-shelter-in-place-after-shots-fired-in-the-area.html
https://www.krqe.com/news/latest-news/albuquerques-del-norte"&amp;"-high-school-under-shelter-in-place/")</f>
        <v>https://www.koat.com/article/shooting-near-del-norte-high-school-albuquerque/41056052
https://www.abqjournal.com/2528700/two-aps-schools-under-shelter-in-place-after-shots-fired-in-the-area.html
https://www.krqe.com/news/latest-news/albuquerques-del-norte-high-school-under-shelter-in-place/</v>
      </c>
      <c r="L206" s="5">
        <f ca="1">IFERROR(__xludf.DUMMYFUNCTION("""COMPUTED_VALUE"""),5)</f>
        <v>5</v>
      </c>
      <c r="M206" s="5" t="str">
        <f ca="1">IFERROR(__xludf.DUMMYFUNCTION("""COMPUTED_VALUE"""),"Local")</f>
        <v>Local</v>
      </c>
      <c r="N206" s="5">
        <f ca="1">IFERROR(__xludf.DUMMYFUNCTION("""COMPUTED_VALUE"""),4)</f>
        <v>4</v>
      </c>
      <c r="O206" s="5" t="str">
        <f ca="1">IFERROR(__xludf.DUMMYFUNCTION("""COMPUTED_VALUE"""),"Summer")</f>
        <v>Summer</v>
      </c>
      <c r="P206" s="5" t="str">
        <f ca="1">IFERROR(__xludf.DUMMYFUNCTION("""COMPUTED_VALUE"""),"Albuquerque")</f>
        <v>Albuquerque</v>
      </c>
      <c r="Q206" s="5" t="str">
        <f ca="1">IFERROR(__xludf.DUMMYFUNCTION("""COMPUTED_VALUE"""),"NM")</f>
        <v>NM</v>
      </c>
      <c r="R206" s="5" t="str">
        <f ca="1">IFERROR(__xludf.DUMMYFUNCTION("""COMPUTED_VALUE"""),"High")</f>
        <v>High</v>
      </c>
      <c r="S206" s="5" t="str">
        <f ca="1">IFERROR(__xludf.DUMMYFUNCTION("""COMPUTED_VALUE"""),"Parking Lot")</f>
        <v>Parking Lot</v>
      </c>
      <c r="T206" s="5" t="str">
        <f ca="1">IFERROR(__xludf.DUMMYFUNCTION("""COMPUTED_VALUE"""),"Outside on School Property")</f>
        <v>Outside on School Property</v>
      </c>
      <c r="U206" s="5" t="str">
        <f ca="1">IFERROR(__xludf.DUMMYFUNCTION("""COMPUTED_VALUE"""),"Yes")</f>
        <v>Yes</v>
      </c>
      <c r="V206" s="5" t="str">
        <f ca="1">IFERROR(__xludf.DUMMYFUNCTION("""COMPUTED_VALUE"""),"Lunch")</f>
        <v>Lunch</v>
      </c>
      <c r="W206" s="10">
        <f ca="1">IFERROR(__xludf.DUMMYFUNCTION("""COMPUTED_VALUE"""),0.51875)</f>
        <v>0.51875000000000004</v>
      </c>
      <c r="X206" s="5">
        <f ca="1">IFERROR(__xludf.DUMMYFUNCTION("""COMPUTED_VALUE"""),1)</f>
        <v>1</v>
      </c>
      <c r="Y206" s="5" t="str">
        <f ca="1">IFERROR(__xludf.DUMMYFUNCTION("""COMPUTED_VALUE"""),"Student fired in school parking lot during lunch the fled")</f>
        <v>Student fired in school parking lot during lunch the fled</v>
      </c>
      <c r="Z206" s="5" t="str">
        <f ca="1">IFERROR(__xludf.DUMMYFUNCTION("""COMPUTED_VALUE"""),"17-year-old student fired 5 shots in the school parking lot during lunch. No injuries. School went into lockdown and police conducted a room-by-room search of the building. Shooter fled and was arrested the following day. Identified based on CCTV footage.")</f>
        <v>17-year-old student fired 5 shots in the school parking lot during lunch. No injuries. School went into lockdown and police conducted a room-by-room search of the building. Shooter fled and was arrested the following day. Identified based on CCTV footage.</v>
      </c>
      <c r="AA206" s="5"/>
      <c r="AB206" s="5"/>
      <c r="AC206" s="5"/>
      <c r="AD206" s="5" t="str">
        <f ca="1">IFERROR(__xludf.DUMMYFUNCTION("""COMPUTED_VALUE"""),"No")</f>
        <v>No</v>
      </c>
      <c r="AE206" s="5" t="str">
        <f ca="1">IFERROR(__xludf.DUMMYFUNCTION("""COMPUTED_VALUE"""),"No")</f>
        <v>No</v>
      </c>
      <c r="AF206" s="5" t="str">
        <f ca="1">IFERROR(__xludf.DUMMYFUNCTION("""COMPUTED_VALUE"""),"No")</f>
        <v>No</v>
      </c>
      <c r="AG206" s="5"/>
      <c r="AH206" s="5" t="str">
        <f ca="1">IFERROR(__xludf.DUMMYFUNCTION("""COMPUTED_VALUE"""),"No")</f>
        <v>No</v>
      </c>
      <c r="AI206" s="5"/>
      <c r="AJ206" s="5" t="str">
        <f ca="1">IFERROR(__xludf.DUMMYFUNCTION("""COMPUTED_VALUE"""),"No")</f>
        <v>No</v>
      </c>
    </row>
    <row r="207" spans="1:36" ht="13">
      <c r="A207" s="5" t="str">
        <f ca="1">IFERROR(__xludf.DUMMYFUNCTION("""COMPUTED_VALUE"""),"20220831DCIDW")</f>
        <v>20220831DCIDW</v>
      </c>
      <c r="B207" s="5">
        <f ca="1">IFERROR(__xludf.DUMMYFUNCTION("""COMPUTED_VALUE"""),8)</f>
        <v>8</v>
      </c>
      <c r="C207" s="5">
        <f ca="1">IFERROR(__xludf.DUMMYFUNCTION("""COMPUTED_VALUE"""),31)</f>
        <v>31</v>
      </c>
      <c r="D207" s="5">
        <f ca="1">IFERROR(__xludf.DUMMYFUNCTION("""COMPUTED_VALUE"""),2022)</f>
        <v>2022</v>
      </c>
      <c r="E207" s="8">
        <f ca="1">IFERROR(__xludf.DUMMYFUNCTION("""COMPUTED_VALUE"""),44804)</f>
        <v>44804</v>
      </c>
      <c r="F207" s="5" t="str">
        <f ca="1">IFERROR(__xludf.DUMMYFUNCTION("""COMPUTED_VALUE"""),"IDEA Public Charter School")</f>
        <v>IDEA Public Charter School</v>
      </c>
      <c r="G207" s="5">
        <f ca="1">IFERROR(__xludf.DUMMYFUNCTION("""COMPUTED_VALUE"""),0)</f>
        <v>0</v>
      </c>
      <c r="H207" s="5">
        <f ca="1">IFERROR(__xludf.DUMMYFUNCTION("""COMPUTED_VALUE"""),2)</f>
        <v>2</v>
      </c>
      <c r="I207" s="5">
        <f ca="1">IFERROR(__xludf.DUMMYFUNCTION("""COMPUTED_VALUE"""),2)</f>
        <v>2</v>
      </c>
      <c r="J207" s="5">
        <f ca="1">IFERROR(__xludf.DUMMYFUNCTION("""COMPUTED_VALUE"""),0)</f>
        <v>0</v>
      </c>
      <c r="K207" s="9" t="str">
        <f ca="1">IFERROR(__xludf.DUMMYFUNCTION("""COMPUTED_VALUE"""),"https://wtop.com/dc/2022/08/3-teens-shot-in-2-dc-locations/
e
https://www.wusa9.com/article/news/local/dc/northeast-dc-double-shooting-near-idea-charter-school/65-5f5a72d3-526e-4e68-9e6d-e7cd9194384f")</f>
        <v>https://wtop.com/dc/2022/08/3-teens-shot-in-2-dc-locations/
e
https://www.wusa9.com/article/news/local/dc/northeast-dc-double-shooting-near-idea-charter-school/65-5f5a72d3-526e-4e68-9e6d-e7cd9194384f</v>
      </c>
      <c r="L207" s="5">
        <f ca="1">IFERROR(__xludf.DUMMYFUNCTION("""COMPUTED_VALUE"""),10)</f>
        <v>10</v>
      </c>
      <c r="M207" s="5" t="str">
        <f ca="1">IFERROR(__xludf.DUMMYFUNCTION("""COMPUTED_VALUE"""),"Regional")</f>
        <v>Regional</v>
      </c>
      <c r="N207" s="5">
        <f ca="1">IFERROR(__xludf.DUMMYFUNCTION("""COMPUTED_VALUE"""),4)</f>
        <v>4</v>
      </c>
      <c r="O207" s="5" t="str">
        <f ca="1">IFERROR(__xludf.DUMMYFUNCTION("""COMPUTED_VALUE"""),"Summer")</f>
        <v>Summer</v>
      </c>
      <c r="P207" s="5" t="str">
        <f ca="1">IFERROR(__xludf.DUMMYFUNCTION("""COMPUTED_VALUE"""),"Washington")</f>
        <v>Washington</v>
      </c>
      <c r="Q207" s="5" t="str">
        <f ca="1">IFERROR(__xludf.DUMMYFUNCTION("""COMPUTED_VALUE"""),"DC")</f>
        <v>DC</v>
      </c>
      <c r="R207" s="5" t="str">
        <f ca="1">IFERROR(__xludf.DUMMYFUNCTION("""COMPUTED_VALUE"""),"High")</f>
        <v>High</v>
      </c>
      <c r="S207" s="5" t="str">
        <f ca="1">IFERROR(__xludf.DUMMYFUNCTION("""COMPUTED_VALUE"""),"Front of School")</f>
        <v>Front of School</v>
      </c>
      <c r="T207" s="5" t="str">
        <f ca="1">IFERROR(__xludf.DUMMYFUNCTION("""COMPUTED_VALUE"""),"Outside on School Property")</f>
        <v>Outside on School Property</v>
      </c>
      <c r="U207" s="5" t="str">
        <f ca="1">IFERROR(__xludf.DUMMYFUNCTION("""COMPUTED_VALUE"""),"Yes")</f>
        <v>Yes</v>
      </c>
      <c r="V207" s="5" t="str">
        <f ca="1">IFERROR(__xludf.DUMMYFUNCTION("""COMPUTED_VALUE"""),"Morning Classes")</f>
        <v>Morning Classes</v>
      </c>
      <c r="W207" s="10">
        <f ca="1">IFERROR(__xludf.DUMMYFUNCTION("""COMPUTED_VALUE"""),0.416666666666666)</f>
        <v>0.41666666666666602</v>
      </c>
      <c r="X207" s="5">
        <f ca="1">IFERROR(__xludf.DUMMYFUNCTION("""COMPUTED_VALUE"""),1)</f>
        <v>1</v>
      </c>
      <c r="Y207" s="5" t="str">
        <f ca="1">IFERROR(__xludf.DUMMYFUNCTION("""COMPUTED_VALUE"""),"Student shot two classmates in front of school")</f>
        <v>Student shot two classmates in front of school</v>
      </c>
      <c r="Z207" s="5" t="str">
        <f ca="1">IFERROR(__xludf.DUMMYFUNCTION("""COMPUTED_VALUE"""),"A 15-year-old student shot two classmates during a dispute in front of the school. One of the teens had been refused entry for not having a proper uniform. The other two students were refused entry for trying to bypass the metal detectors. Shooter was fle"&amp;"d and arrested. ")</f>
        <v xml:space="preserve">A 15-year-old student shot two classmates during a dispute in front of the school. One of the teens had been refused entry for not having a proper uniform. The other two students were refused entry for trying to bypass the metal detectors. Shooter was fled and arrested. </v>
      </c>
      <c r="AA207" s="5" t="str">
        <f ca="1">IFERROR(__xludf.DUMMYFUNCTION("""COMPUTED_VALUE"""),"Escalation of Dispute")</f>
        <v>Escalation of Dispute</v>
      </c>
      <c r="AB207" s="5" t="str">
        <f ca="1">IFERROR(__xludf.DUMMYFUNCTION("""COMPUTED_VALUE"""),"Victims Targeted")</f>
        <v>Victims Targeted</v>
      </c>
      <c r="AC207" s="5" t="str">
        <f ca="1">IFERROR(__xludf.DUMMYFUNCTION("""COMPUTED_VALUE"""),"Yes")</f>
        <v>Yes</v>
      </c>
      <c r="AD207" s="5" t="str">
        <f ca="1">IFERROR(__xludf.DUMMYFUNCTION("""COMPUTED_VALUE"""),"No")</f>
        <v>No</v>
      </c>
      <c r="AE207" s="5" t="str">
        <f ca="1">IFERROR(__xludf.DUMMYFUNCTION("""COMPUTED_VALUE"""),"No")</f>
        <v>No</v>
      </c>
      <c r="AF207" s="5" t="str">
        <f ca="1">IFERROR(__xludf.DUMMYFUNCTION("""COMPUTED_VALUE"""),"No")</f>
        <v>No</v>
      </c>
      <c r="AG207" s="5" t="str">
        <f ca="1">IFERROR(__xludf.DUMMYFUNCTION("""COMPUTED_VALUE"""),"No")</f>
        <v>No</v>
      </c>
      <c r="AH207" s="5" t="str">
        <f ca="1">IFERROR(__xludf.DUMMYFUNCTION("""COMPUTED_VALUE"""),"No")</f>
        <v>No</v>
      </c>
      <c r="AI207" s="5"/>
      <c r="AJ207" s="5" t="str">
        <f ca="1">IFERROR(__xludf.DUMMYFUNCTION("""COMPUTED_VALUE"""),"No")</f>
        <v>No</v>
      </c>
    </row>
    <row r="208" spans="1:36" ht="13">
      <c r="A208" s="5" t="str">
        <f ca="1">IFERROR(__xludf.DUMMYFUNCTION("""COMPUTED_VALUE"""),"20220831PAFRP")</f>
        <v>20220831PAFRP</v>
      </c>
      <c r="B208" s="5">
        <f ca="1">IFERROR(__xludf.DUMMYFUNCTION("""COMPUTED_VALUE"""),8)</f>
        <v>8</v>
      </c>
      <c r="C208" s="5">
        <f ca="1">IFERROR(__xludf.DUMMYFUNCTION("""COMPUTED_VALUE"""),31)</f>
        <v>31</v>
      </c>
      <c r="D208" s="5">
        <f ca="1">IFERROR(__xludf.DUMMYFUNCTION("""COMPUTED_VALUE"""),2022)</f>
        <v>2022</v>
      </c>
      <c r="E208" s="8">
        <f ca="1">IFERROR(__xludf.DUMMYFUNCTION("""COMPUTED_VALUE"""),44804)</f>
        <v>44804</v>
      </c>
      <c r="F208" s="5" t="str">
        <f ca="1">IFERROR(__xludf.DUMMYFUNCTION("""COMPUTED_VALUE"""),"Frances E. Willard Elementary School")</f>
        <v>Frances E. Willard Elementary School</v>
      </c>
      <c r="G208" s="5">
        <f ca="1">IFERROR(__xludf.DUMMYFUNCTION("""COMPUTED_VALUE"""),0)</f>
        <v>0</v>
      </c>
      <c r="H208" s="5">
        <f ca="1">IFERROR(__xludf.DUMMYFUNCTION("""COMPUTED_VALUE"""),3)</f>
        <v>3</v>
      </c>
      <c r="I208" s="5">
        <f ca="1">IFERROR(__xludf.DUMMYFUNCTION("""COMPUTED_VALUE"""),3)</f>
        <v>3</v>
      </c>
      <c r="J208" s="5">
        <f ca="1">IFERROR(__xludf.DUMMYFUNCTION("""COMPUTED_VALUE"""),0)</f>
        <v>0</v>
      </c>
      <c r="K208" s="9" t="str">
        <f ca="1">IFERROR(__xludf.DUMMYFUNCTION("""COMPUTED_VALUE"""),"https://www.fox29.com/news/police-3-people-hospitalized-after-being-shot-on-elementary-school-playground-in-kensington")</f>
        <v>https://www.fox29.com/news/police-3-people-hospitalized-after-being-shot-on-elementary-school-playground-in-kensington</v>
      </c>
      <c r="L208" s="5">
        <f ca="1">IFERROR(__xludf.DUMMYFUNCTION("""COMPUTED_VALUE"""),1)</f>
        <v>1</v>
      </c>
      <c r="M208" s="5" t="str">
        <f ca="1">IFERROR(__xludf.DUMMYFUNCTION("""COMPUTED_VALUE"""),"Local")</f>
        <v>Local</v>
      </c>
      <c r="N208" s="5">
        <f ca="1">IFERROR(__xludf.DUMMYFUNCTION("""COMPUTED_VALUE"""),4)</f>
        <v>4</v>
      </c>
      <c r="O208" s="5" t="str">
        <f ca="1">IFERROR(__xludf.DUMMYFUNCTION("""COMPUTED_VALUE"""),"Summer")</f>
        <v>Summer</v>
      </c>
      <c r="P208" s="5" t="str">
        <f ca="1">IFERROR(__xludf.DUMMYFUNCTION("""COMPUTED_VALUE"""),"Philadelphia")</f>
        <v>Philadelphia</v>
      </c>
      <c r="Q208" s="5" t="str">
        <f ca="1">IFERROR(__xludf.DUMMYFUNCTION("""COMPUTED_VALUE"""),"PA")</f>
        <v>PA</v>
      </c>
      <c r="R208" s="5" t="str">
        <f ca="1">IFERROR(__xludf.DUMMYFUNCTION("""COMPUTED_VALUE"""),"Elementary")</f>
        <v>Elementary</v>
      </c>
      <c r="S208" s="5" t="str">
        <f ca="1">IFERROR(__xludf.DUMMYFUNCTION("""COMPUTED_VALUE"""),"Playground")</f>
        <v>Playground</v>
      </c>
      <c r="T208" s="5" t="str">
        <f ca="1">IFERROR(__xludf.DUMMYFUNCTION("""COMPUTED_VALUE"""),"Outside on School Property")</f>
        <v>Outside on School Property</v>
      </c>
      <c r="U208" s="5" t="str">
        <f ca="1">IFERROR(__xludf.DUMMYFUNCTION("""COMPUTED_VALUE"""),"No")</f>
        <v>No</v>
      </c>
      <c r="V208" s="5" t="str">
        <f ca="1">IFERROR(__xludf.DUMMYFUNCTION("""COMPUTED_VALUE"""),"Night")</f>
        <v>Night</v>
      </c>
      <c r="W208" s="10">
        <f ca="1">IFERROR(__xludf.DUMMYFUNCTION("""COMPUTED_VALUE"""),0.0416666666666666)</f>
        <v>4.1666666666666602E-2</v>
      </c>
      <c r="X208" s="5">
        <f ca="1">IFERROR(__xludf.DUMMYFUNCTION("""COMPUTED_VALUE"""),1)</f>
        <v>1</v>
      </c>
      <c r="Y208" s="5" t="str">
        <f ca="1">IFERROR(__xludf.DUMMYFUNCTION("""COMPUTED_VALUE"""),"Three people shot on school playground")</f>
        <v>Three people shot on school playground</v>
      </c>
      <c r="Z208" s="5" t="str">
        <f ca="1">IFERROR(__xludf.DUMMYFUNCTION("""COMPUTED_VALUE"""),"Three people (adult male, adult female, and teenage boy) were shot while standing near the playground of the school. Vehicle near the victims was struck 15 times. Shooter fled.")</f>
        <v>Three people (adult male, adult female, and teenage boy) were shot while standing near the playground of the school. Vehicle near the victims was struck 15 times. Shooter fled.</v>
      </c>
      <c r="AA208" s="5"/>
      <c r="AB208" s="5" t="str">
        <f ca="1">IFERROR(__xludf.DUMMYFUNCTION("""COMPUTED_VALUE"""),"Both")</f>
        <v>Both</v>
      </c>
      <c r="AC208" s="5" t="str">
        <f ca="1">IFERROR(__xludf.DUMMYFUNCTION("""COMPUTED_VALUE"""),"No")</f>
        <v>No</v>
      </c>
      <c r="AD208" s="5" t="str">
        <f ca="1">IFERROR(__xludf.DUMMYFUNCTION("""COMPUTED_VALUE"""),"No")</f>
        <v>No</v>
      </c>
      <c r="AE208" s="5" t="str">
        <f ca="1">IFERROR(__xludf.DUMMYFUNCTION("""COMPUTED_VALUE"""),"No")</f>
        <v>No</v>
      </c>
      <c r="AF208" s="5" t="str">
        <f ca="1">IFERROR(__xludf.DUMMYFUNCTION("""COMPUTED_VALUE"""),"No")</f>
        <v>No</v>
      </c>
      <c r="AG208" s="5" t="str">
        <f ca="1">IFERROR(__xludf.DUMMYFUNCTION("""COMPUTED_VALUE"""),"No")</f>
        <v>No</v>
      </c>
      <c r="AH208" s="5" t="str">
        <f ca="1">IFERROR(__xludf.DUMMYFUNCTION("""COMPUTED_VALUE"""),"No")</f>
        <v>No</v>
      </c>
      <c r="AI208" s="5"/>
      <c r="AJ208" s="5" t="str">
        <f ca="1">IFERROR(__xludf.DUMMYFUNCTION("""COMPUTED_VALUE"""),"No")</f>
        <v>No</v>
      </c>
    </row>
    <row r="209" spans="1:36" ht="13">
      <c r="A209" s="5" t="str">
        <f ca="1">IFERROR(__xludf.DUMMYFUNCTION("""COMPUTED_VALUE"""),"20220829CAMAO")</f>
        <v>20220829CAMAO</v>
      </c>
      <c r="B209" s="5">
        <f ca="1">IFERROR(__xludf.DUMMYFUNCTION("""COMPUTED_VALUE"""),8)</f>
        <v>8</v>
      </c>
      <c r="C209" s="5">
        <f ca="1">IFERROR(__xludf.DUMMYFUNCTION("""COMPUTED_VALUE"""),29)</f>
        <v>29</v>
      </c>
      <c r="D209" s="5">
        <f ca="1">IFERROR(__xludf.DUMMYFUNCTION("""COMPUTED_VALUE"""),2022)</f>
        <v>2022</v>
      </c>
      <c r="E209" s="8">
        <f ca="1">IFERROR(__xludf.DUMMYFUNCTION("""COMPUTED_VALUE"""),44802)</f>
        <v>44802</v>
      </c>
      <c r="F209" s="5" t="str">
        <f ca="1">IFERROR(__xludf.DUMMYFUNCTION("""COMPUTED_VALUE"""),"Madison Park Academy")</f>
        <v>Madison Park Academy</v>
      </c>
      <c r="G209" s="5">
        <f ca="1">IFERROR(__xludf.DUMMYFUNCTION("""COMPUTED_VALUE"""),0)</f>
        <v>0</v>
      </c>
      <c r="H209" s="5">
        <f ca="1">IFERROR(__xludf.DUMMYFUNCTION("""COMPUTED_VALUE"""),1)</f>
        <v>1</v>
      </c>
      <c r="I209" s="5">
        <f ca="1">IFERROR(__xludf.DUMMYFUNCTION("""COMPUTED_VALUE"""),1)</f>
        <v>1</v>
      </c>
      <c r="J209" s="5">
        <f ca="1">IFERROR(__xludf.DUMMYFUNCTION("""COMPUTED_VALUE"""),0)</f>
        <v>0</v>
      </c>
      <c r="K209" s="5" t="str">
        <f ca="1">IFERROR(__xludf.DUMMYFUNCTION("""COMPUTED_VALUE"""),"https://www.usnews.com/news/us/articles/2022-08-30/oakland-school-shooting-that-wounded-teen-wasnt-deliberate
https://kion546.com/news/2022/08/29/student-shot-at-east-oakland-school-12-year-old-suspect-in-custody/
https://www.kron4.com/news/bay-area/13-ye"&amp;"ar-old-shot-at-oakland-school/
https://www.ktvu.com/news/13-year-old-shot-at-oaklands-madison-park-academy-suspect-in-custody")</f>
        <v>https://www.usnews.com/news/us/articles/2022-08-30/oakland-school-shooting-that-wounded-teen-wasnt-deliberate
https://kion546.com/news/2022/08/29/student-shot-at-east-oakland-school-12-year-old-suspect-in-custody/
https://www.kron4.com/news/bay-area/13-year-old-shot-at-oakland-school/
https://www.ktvu.com/news/13-year-old-shot-at-oaklands-madison-park-academy-suspect-in-custody</v>
      </c>
      <c r="L209" s="5">
        <f ca="1">IFERROR(__xludf.DUMMYFUNCTION("""COMPUTED_VALUE"""),20)</f>
        <v>20</v>
      </c>
      <c r="M209" s="5" t="str">
        <f ca="1">IFERROR(__xludf.DUMMYFUNCTION("""COMPUTED_VALUE"""),"National")</f>
        <v>National</v>
      </c>
      <c r="N209" s="5">
        <f ca="1">IFERROR(__xludf.DUMMYFUNCTION("""COMPUTED_VALUE"""),4)</f>
        <v>4</v>
      </c>
      <c r="O209" s="5" t="str">
        <f ca="1">IFERROR(__xludf.DUMMYFUNCTION("""COMPUTED_VALUE"""),"Summer")</f>
        <v>Summer</v>
      </c>
      <c r="P209" s="5" t="str">
        <f ca="1">IFERROR(__xludf.DUMMYFUNCTION("""COMPUTED_VALUE"""),"Oakland")</f>
        <v>Oakland</v>
      </c>
      <c r="Q209" s="5" t="str">
        <f ca="1">IFERROR(__xludf.DUMMYFUNCTION("""COMPUTED_VALUE"""),"CA")</f>
        <v>CA</v>
      </c>
      <c r="R209" s="5" t="str">
        <f ca="1">IFERROR(__xludf.DUMMYFUNCTION("""COMPUTED_VALUE"""),"6-12")</f>
        <v>6-12</v>
      </c>
      <c r="S209" s="5" t="str">
        <f ca="1">IFERROR(__xludf.DUMMYFUNCTION("""COMPUTED_VALUE"""),"Basketball Court")</f>
        <v>Basketball Court</v>
      </c>
      <c r="T209" s="5" t="str">
        <f ca="1">IFERROR(__xludf.DUMMYFUNCTION("""COMPUTED_VALUE"""),"Outside on School Property")</f>
        <v>Outside on School Property</v>
      </c>
      <c r="U209" s="5" t="str">
        <f ca="1">IFERROR(__xludf.DUMMYFUNCTION("""COMPUTED_VALUE"""),"Yes")</f>
        <v>Yes</v>
      </c>
      <c r="V209" s="5" t="str">
        <f ca="1">IFERROR(__xludf.DUMMYFUNCTION("""COMPUTED_VALUE"""),"Afternoon Classes")</f>
        <v>Afternoon Classes</v>
      </c>
      <c r="W209" s="10">
        <f ca="1">IFERROR(__xludf.DUMMYFUNCTION("""COMPUTED_VALUE"""),0.5625)</f>
        <v>0.5625</v>
      </c>
      <c r="X209" s="5">
        <f ca="1">IFERROR(__xludf.DUMMYFUNCTION("""COMPUTED_VALUE"""),1)</f>
        <v>1</v>
      </c>
      <c r="Y209" s="5" t="str">
        <f ca="1">IFERROR(__xludf.DUMMYFUNCTION("""COMPUTED_VALUE"""),"Student shot by another student next to volleyball court")</f>
        <v>Student shot by another student next to volleyball court</v>
      </c>
      <c r="Z209" s="5" t="str">
        <f ca="1">IFERROR(__xludf.DUMMYFUNCTION("""COMPUTED_VALUE"""),"A 13-year-old student was shot by a 12-year-old student near the volleyball court. Other students were in the area and witnessed the shooting. School went into lockdown and parents rushed to the school. Shooter was taken into custody.")</f>
        <v>A 13-year-old student was shot by a 12-year-old student near the volleyball court. Other students were in the area and witnessed the shooting. School went into lockdown and parents rushed to the school. Shooter was taken into custody.</v>
      </c>
      <c r="AA209" s="5" t="str">
        <f ca="1">IFERROR(__xludf.DUMMYFUNCTION("""COMPUTED_VALUE"""),"Accidental")</f>
        <v>Accidental</v>
      </c>
      <c r="AB209" s="5" t="str">
        <f ca="1">IFERROR(__xludf.DUMMYFUNCTION("""COMPUTED_VALUE"""),"Random Shooting")</f>
        <v>Random Shooting</v>
      </c>
      <c r="AC209" s="5" t="str">
        <f ca="1">IFERROR(__xludf.DUMMYFUNCTION("""COMPUTED_VALUE"""),"No")</f>
        <v>No</v>
      </c>
      <c r="AD209" s="5" t="str">
        <f ca="1">IFERROR(__xludf.DUMMYFUNCTION("""COMPUTED_VALUE"""),"No")</f>
        <v>No</v>
      </c>
      <c r="AE209" s="5" t="str">
        <f ca="1">IFERROR(__xludf.DUMMYFUNCTION("""COMPUTED_VALUE"""),"No")</f>
        <v>No</v>
      </c>
      <c r="AF209" s="5" t="str">
        <f ca="1">IFERROR(__xludf.DUMMYFUNCTION("""COMPUTED_VALUE"""),"No")</f>
        <v>No</v>
      </c>
      <c r="AG209" s="5"/>
      <c r="AH209" s="5" t="str">
        <f ca="1">IFERROR(__xludf.DUMMYFUNCTION("""COMPUTED_VALUE"""),"No")</f>
        <v>No</v>
      </c>
      <c r="AI209" s="5"/>
      <c r="AJ209" s="5" t="str">
        <f ca="1">IFERROR(__xludf.DUMMYFUNCTION("""COMPUTED_VALUE"""),"No")</f>
        <v>No</v>
      </c>
    </row>
    <row r="210" spans="1:36" ht="13">
      <c r="A210" s="5" t="str">
        <f ca="1">IFERROR(__xludf.DUMMYFUNCTION("""COMPUTED_VALUE"""),"20220827MONOS")</f>
        <v>20220827MONOS</v>
      </c>
      <c r="B210" s="5">
        <f ca="1">IFERROR(__xludf.DUMMYFUNCTION("""COMPUTED_VALUE"""),8)</f>
        <v>8</v>
      </c>
      <c r="C210" s="5">
        <f ca="1">IFERROR(__xludf.DUMMYFUNCTION("""COMPUTED_VALUE"""),27)</f>
        <v>27</v>
      </c>
      <c r="D210" s="5">
        <f ca="1">IFERROR(__xludf.DUMMYFUNCTION("""COMPUTED_VALUE"""),2022)</f>
        <v>2022</v>
      </c>
      <c r="E210" s="8">
        <f ca="1">IFERROR(__xludf.DUMMYFUNCTION("""COMPUTED_VALUE"""),44800)</f>
        <v>44800</v>
      </c>
      <c r="F210" s="5" t="str">
        <f ca="1">IFERROR(__xludf.DUMMYFUNCTION("""COMPUTED_VALUE"""),"Normandy High School")</f>
        <v>Normandy High School</v>
      </c>
      <c r="G210" s="5">
        <f ca="1">IFERROR(__xludf.DUMMYFUNCTION("""COMPUTED_VALUE"""),0)</f>
        <v>0</v>
      </c>
      <c r="H210" s="5">
        <f ca="1">IFERROR(__xludf.DUMMYFUNCTION("""COMPUTED_VALUE"""),0)</f>
        <v>0</v>
      </c>
      <c r="I210" s="5">
        <f ca="1">IFERROR(__xludf.DUMMYFUNCTION("""COMPUTED_VALUE"""),0)</f>
        <v>0</v>
      </c>
      <c r="J210" s="5">
        <f ca="1">IFERROR(__xludf.DUMMYFUNCTION("""COMPUTED_VALUE"""),0)</f>
        <v>0</v>
      </c>
      <c r="K210" s="5" t="str">
        <f ca="1">IFERROR(__xludf.DUMMYFUNCTION("""COMPUTED_VALUE"""),"https://www.ksdk.com/article/news/crime/normandy-high-school-shots-fired-football-game/63-14c59ab3-446e-4b8b-b21b-c95b0bb704f4
https://www.ksdk.com/article/news/crime/42-year-old-man-charged-normandy-high-school-shooting/63-b68e49f1-ed0f-414d-a709-41a1c7a"&amp;"655ae
https://www.ky3.com/2022/08/27/shots-fired-normandy-high-school-during-fight-after-football-game/
https://www.kmov.com/2022/08/27/shots-fired-normandy-high-school-during-fight-after-football-game/")</f>
        <v>https://www.ksdk.com/article/news/crime/normandy-high-school-shots-fired-football-game/63-14c59ab3-446e-4b8b-b21b-c95b0bb704f4
https://www.ksdk.com/article/news/crime/42-year-old-man-charged-normandy-high-school-shooting/63-b68e49f1-ed0f-414d-a709-41a1c7a655ae
https://www.ky3.com/2022/08/27/shots-fired-normandy-high-school-during-fight-after-football-game/
https://www.kmov.com/2022/08/27/shots-fired-normandy-high-school-during-fight-after-football-game/</v>
      </c>
      <c r="L210" s="5">
        <f ca="1">IFERROR(__xludf.DUMMYFUNCTION("""COMPUTED_VALUE"""),5)</f>
        <v>5</v>
      </c>
      <c r="M210" s="5" t="str">
        <f ca="1">IFERROR(__xludf.DUMMYFUNCTION("""COMPUTED_VALUE"""),"Local")</f>
        <v>Local</v>
      </c>
      <c r="N210" s="5">
        <f ca="1">IFERROR(__xludf.DUMMYFUNCTION("""COMPUTED_VALUE"""),4)</f>
        <v>4</v>
      </c>
      <c r="O210" s="5" t="str">
        <f ca="1">IFERROR(__xludf.DUMMYFUNCTION("""COMPUTED_VALUE"""),"Summer")</f>
        <v>Summer</v>
      </c>
      <c r="P210" s="5" t="str">
        <f ca="1">IFERROR(__xludf.DUMMYFUNCTION("""COMPUTED_VALUE"""),"St. Louis")</f>
        <v>St. Louis</v>
      </c>
      <c r="Q210" s="5" t="str">
        <f ca="1">IFERROR(__xludf.DUMMYFUNCTION("""COMPUTED_VALUE"""),"MO")</f>
        <v>MO</v>
      </c>
      <c r="R210" s="5" t="str">
        <f ca="1">IFERROR(__xludf.DUMMYFUNCTION("""COMPUTED_VALUE"""),"High")</f>
        <v>High</v>
      </c>
      <c r="S210" s="5" t="str">
        <f ca="1">IFERROR(__xludf.DUMMYFUNCTION("""COMPUTED_VALUE"""),"Parking Lot")</f>
        <v>Parking Lot</v>
      </c>
      <c r="T210" s="5" t="str">
        <f ca="1">IFERROR(__xludf.DUMMYFUNCTION("""COMPUTED_VALUE"""),"Outside on School Property")</f>
        <v>Outside on School Property</v>
      </c>
      <c r="U210" s="5" t="str">
        <f ca="1">IFERROR(__xludf.DUMMYFUNCTION("""COMPUTED_VALUE"""),"No")</f>
        <v>No</v>
      </c>
      <c r="V210" s="5" t="str">
        <f ca="1">IFERROR(__xludf.DUMMYFUNCTION("""COMPUTED_VALUE"""),"Sport Event")</f>
        <v>Sport Event</v>
      </c>
      <c r="W210" s="10">
        <f ca="1">IFERROR(__xludf.DUMMYFUNCTION("""COMPUTED_VALUE"""),0.5625)</f>
        <v>0.5625</v>
      </c>
      <c r="X210" s="5">
        <f ca="1">IFERROR(__xludf.DUMMYFUNCTION("""COMPUTED_VALUE"""),1)</f>
        <v>1</v>
      </c>
      <c r="Y210" s="5" t="str">
        <f ca="1">IFERROR(__xludf.DUMMYFUNCTION("""COMPUTED_VALUE"""),"Shots fired during a fight in school parking lot after football game")</f>
        <v>Shots fired during a fight in school parking lot after football game</v>
      </c>
      <c r="Z210" s="5" t="str">
        <f ca="1">IFERROR(__xludf.DUMMYFUNCTION("""COMPUTED_VALUE"""),"Shots were fired around 1:30 p.m. Normandy High had just finished its first game of the season against Confluence Preparatory Academy when a fight broke out in the parking lot. During the fight, police say a man fired shots, got into a car and then fled.")</f>
        <v>Shots were fired around 1:30 p.m. Normandy High had just finished its first game of the season against Confluence Preparatory Academy when a fight broke out in the parking lot. During the fight, police say a man fired shots, got into a car and then fled.</v>
      </c>
      <c r="AA210" s="5" t="str">
        <f ca="1">IFERROR(__xludf.DUMMYFUNCTION("""COMPUTED_VALUE"""),"Escalation of Dispute")</f>
        <v>Escalation of Dispute</v>
      </c>
      <c r="AB210" s="5" t="str">
        <f ca="1">IFERROR(__xludf.DUMMYFUNCTION("""COMPUTED_VALUE"""),"Victims Targeted")</f>
        <v>Victims Targeted</v>
      </c>
      <c r="AC210" s="5" t="str">
        <f ca="1">IFERROR(__xludf.DUMMYFUNCTION("""COMPUTED_VALUE"""),"No")</f>
        <v>No</v>
      </c>
      <c r="AD210" s="5" t="str">
        <f ca="1">IFERROR(__xludf.DUMMYFUNCTION("""COMPUTED_VALUE"""),"No")</f>
        <v>No</v>
      </c>
      <c r="AE210" s="5" t="str">
        <f ca="1">IFERROR(__xludf.DUMMYFUNCTION("""COMPUTED_VALUE"""),"No")</f>
        <v>No</v>
      </c>
      <c r="AF210" s="5" t="str">
        <f ca="1">IFERROR(__xludf.DUMMYFUNCTION("""COMPUTED_VALUE"""),"No")</f>
        <v>No</v>
      </c>
      <c r="AG210" s="5" t="str">
        <f ca="1">IFERROR(__xludf.DUMMYFUNCTION("""COMPUTED_VALUE"""),"No")</f>
        <v>No</v>
      </c>
      <c r="AH210" s="5" t="str">
        <f ca="1">IFERROR(__xludf.DUMMYFUNCTION("""COMPUTED_VALUE"""),"No")</f>
        <v>No</v>
      </c>
      <c r="AI210" s="5"/>
      <c r="AJ210" s="5" t="str">
        <f ca="1">IFERROR(__xludf.DUMMYFUNCTION("""COMPUTED_VALUE"""),"No")</f>
        <v>No</v>
      </c>
    </row>
    <row r="211" spans="1:36" ht="13">
      <c r="A211" s="5" t="str">
        <f ca="1">IFERROR(__xludf.DUMMYFUNCTION("""COMPUTED_VALUE"""),"20220826OHGAC")</f>
        <v>20220826OHGAC</v>
      </c>
      <c r="B211" s="5">
        <f ca="1">IFERROR(__xludf.DUMMYFUNCTION("""COMPUTED_VALUE"""),8)</f>
        <v>8</v>
      </c>
      <c r="C211" s="5">
        <f ca="1">IFERROR(__xludf.DUMMYFUNCTION("""COMPUTED_VALUE"""),26)</f>
        <v>26</v>
      </c>
      <c r="D211" s="5">
        <f ca="1">IFERROR(__xludf.DUMMYFUNCTION("""COMPUTED_VALUE"""),2022)</f>
        <v>2022</v>
      </c>
      <c r="E211" s="8">
        <f ca="1">IFERROR(__xludf.DUMMYFUNCTION("""COMPUTED_VALUE"""),44799)</f>
        <v>44799</v>
      </c>
      <c r="F211" s="5" t="str">
        <f ca="1">IFERROR(__xludf.DUMMYFUNCTION("""COMPUTED_VALUE"""),"Garfield Heights High School")</f>
        <v>Garfield Heights High School</v>
      </c>
      <c r="G211" s="5">
        <f ca="1">IFERROR(__xludf.DUMMYFUNCTION("""COMPUTED_VALUE"""),0)</f>
        <v>0</v>
      </c>
      <c r="H211" s="5">
        <f ca="1">IFERROR(__xludf.DUMMYFUNCTION("""COMPUTED_VALUE"""),0)</f>
        <v>0</v>
      </c>
      <c r="I211" s="5">
        <f ca="1">IFERROR(__xludf.DUMMYFUNCTION("""COMPUTED_VALUE"""),0)</f>
        <v>0</v>
      </c>
      <c r="J211" s="5">
        <f ca="1">IFERROR(__xludf.DUMMYFUNCTION("""COMPUTED_VALUE"""),0)</f>
        <v>0</v>
      </c>
      <c r="K211" s="5" t="str">
        <f ca="1">IFERROR(__xludf.DUMMYFUNCTION("""COMPUTED_VALUE"""),"https://www.cleveland19.com/2022/08/31/garfield-heights-football-player-describes-mass-chaos-friday-night-football-game-after-shots-fired-parking-lot/
https://www.cleveland19.com/2022/08/27/shots-fired-garfield-heights-football-game/")</f>
        <v>https://www.cleveland19.com/2022/08/31/garfield-heights-football-player-describes-mass-chaos-friday-night-football-game-after-shots-fired-parking-lot/
https://www.cleveland19.com/2022/08/27/shots-fired-garfield-heights-football-game/</v>
      </c>
      <c r="L211" s="5">
        <f ca="1">IFERROR(__xludf.DUMMYFUNCTION("""COMPUTED_VALUE"""),2)</f>
        <v>2</v>
      </c>
      <c r="M211" s="5" t="str">
        <f ca="1">IFERROR(__xludf.DUMMYFUNCTION("""COMPUTED_VALUE"""),"Local")</f>
        <v>Local</v>
      </c>
      <c r="N211" s="5">
        <f ca="1">IFERROR(__xludf.DUMMYFUNCTION("""COMPUTED_VALUE"""),4)</f>
        <v>4</v>
      </c>
      <c r="O211" s="5" t="str">
        <f ca="1">IFERROR(__xludf.DUMMYFUNCTION("""COMPUTED_VALUE"""),"Summer")</f>
        <v>Summer</v>
      </c>
      <c r="P211" s="5" t="str">
        <f ca="1">IFERROR(__xludf.DUMMYFUNCTION("""COMPUTED_VALUE"""),"Cleveland")</f>
        <v>Cleveland</v>
      </c>
      <c r="Q211" s="5" t="str">
        <f ca="1">IFERROR(__xludf.DUMMYFUNCTION("""COMPUTED_VALUE"""),"OH")</f>
        <v>OH</v>
      </c>
      <c r="R211" s="5" t="str">
        <f ca="1">IFERROR(__xludf.DUMMYFUNCTION("""COMPUTED_VALUE"""),"High")</f>
        <v>High</v>
      </c>
      <c r="S211" s="5" t="str">
        <f ca="1">IFERROR(__xludf.DUMMYFUNCTION("""COMPUTED_VALUE"""),"Parking Lot")</f>
        <v>Parking Lot</v>
      </c>
      <c r="T211" s="5" t="str">
        <f ca="1">IFERROR(__xludf.DUMMYFUNCTION("""COMPUTED_VALUE"""),"Outside on School Property")</f>
        <v>Outside on School Property</v>
      </c>
      <c r="U211" s="5" t="str">
        <f ca="1">IFERROR(__xludf.DUMMYFUNCTION("""COMPUTED_VALUE"""),"No")</f>
        <v>No</v>
      </c>
      <c r="V211" s="5" t="str">
        <f ca="1">IFERROR(__xludf.DUMMYFUNCTION("""COMPUTED_VALUE"""),"Sport Event")</f>
        <v>Sport Event</v>
      </c>
      <c r="W211" s="10">
        <f ca="1">IFERROR(__xludf.DUMMYFUNCTION("""COMPUTED_VALUE"""),0.895833333333333)</f>
        <v>0.89583333333333304</v>
      </c>
      <c r="X211" s="5">
        <f ca="1">IFERROR(__xludf.DUMMYFUNCTION("""COMPUTED_VALUE"""),1)</f>
        <v>1</v>
      </c>
      <c r="Y211" s="5" t="str">
        <f ca="1">IFERROR(__xludf.DUMMYFUNCTION("""COMPUTED_VALUE"""),"Shots fired in parking lot during football game")</f>
        <v>Shots fired in parking lot during football game</v>
      </c>
      <c r="Z211" s="5" t="str">
        <f ca="1">IFERROR(__xludf.DUMMYFUNCTION("""COMPUTED_VALUE"""),"Shots were fired during a fight in the parking lot during a high school football game. Shooter fled. No injuries.")</f>
        <v>Shots were fired during a fight in the parking lot during a high school football game. Shooter fled. No injuries.</v>
      </c>
      <c r="AA211" s="5" t="str">
        <f ca="1">IFERROR(__xludf.DUMMYFUNCTION("""COMPUTED_VALUE"""),"Escalation of Dispute")</f>
        <v>Escalation of Dispute</v>
      </c>
      <c r="AB211" s="5" t="str">
        <f ca="1">IFERROR(__xludf.DUMMYFUNCTION("""COMPUTED_VALUE"""),"Victims Targeted")</f>
        <v>Victims Targeted</v>
      </c>
      <c r="AC211" s="5" t="str">
        <f ca="1">IFERROR(__xludf.DUMMYFUNCTION("""COMPUTED_VALUE"""),"No")</f>
        <v>No</v>
      </c>
      <c r="AD211" s="5" t="str">
        <f ca="1">IFERROR(__xludf.DUMMYFUNCTION("""COMPUTED_VALUE"""),"No")</f>
        <v>No</v>
      </c>
      <c r="AE211" s="5" t="str">
        <f ca="1">IFERROR(__xludf.DUMMYFUNCTION("""COMPUTED_VALUE"""),"No")</f>
        <v>No</v>
      </c>
      <c r="AF211" s="5" t="str">
        <f ca="1">IFERROR(__xludf.DUMMYFUNCTION("""COMPUTED_VALUE"""),"No")</f>
        <v>No</v>
      </c>
      <c r="AG211" s="5" t="str">
        <f ca="1">IFERROR(__xludf.DUMMYFUNCTION("""COMPUTED_VALUE"""),"No")</f>
        <v>No</v>
      </c>
      <c r="AH211" s="5" t="str">
        <f ca="1">IFERROR(__xludf.DUMMYFUNCTION("""COMPUTED_VALUE"""),"No")</f>
        <v>No</v>
      </c>
      <c r="AI211" s="5"/>
      <c r="AJ211" s="5" t="str">
        <f ca="1">IFERROR(__xludf.DUMMYFUNCTION("""COMPUTED_VALUE"""),"No")</f>
        <v>No</v>
      </c>
    </row>
    <row r="212" spans="1:36" ht="13">
      <c r="A212" s="5" t="str">
        <f ca="1">IFERROR(__xludf.DUMMYFUNCTION("""COMPUTED_VALUE"""),"20220823OHINC")</f>
        <v>20220823OHINC</v>
      </c>
      <c r="B212" s="5">
        <f ca="1">IFERROR(__xludf.DUMMYFUNCTION("""COMPUTED_VALUE"""),8)</f>
        <v>8</v>
      </c>
      <c r="C212" s="5">
        <f ca="1">IFERROR(__xludf.DUMMYFUNCTION("""COMPUTED_VALUE"""),23)</f>
        <v>23</v>
      </c>
      <c r="D212" s="5">
        <f ca="1">IFERROR(__xludf.DUMMYFUNCTION("""COMPUTED_VALUE"""),2022)</f>
        <v>2022</v>
      </c>
      <c r="E212" s="8">
        <f ca="1">IFERROR(__xludf.DUMMYFUNCTION("""COMPUTED_VALUE"""),44796)</f>
        <v>44796</v>
      </c>
      <c r="F212" s="5" t="str">
        <f ca="1">IFERROR(__xludf.DUMMYFUNCTION("""COMPUTED_VALUE"""),"Indian Springs Elementary School")</f>
        <v>Indian Springs Elementary School</v>
      </c>
      <c r="G212" s="5">
        <f ca="1">IFERROR(__xludf.DUMMYFUNCTION("""COMPUTED_VALUE"""),0)</f>
        <v>0</v>
      </c>
      <c r="H212" s="5">
        <f ca="1">IFERROR(__xludf.DUMMYFUNCTION("""COMPUTED_VALUE"""),0)</f>
        <v>0</v>
      </c>
      <c r="I212" s="5">
        <f ca="1">IFERROR(__xludf.DUMMYFUNCTION("""COMPUTED_VALUE"""),0)</f>
        <v>0</v>
      </c>
      <c r="J212" s="5">
        <f ca="1">IFERROR(__xludf.DUMMYFUNCTION("""COMPUTED_VALUE"""),0)</f>
        <v>0</v>
      </c>
      <c r="K212" s="5" t="str">
        <f ca="1">IFERROR(__xludf.DUMMYFUNCTION("""COMPUTED_VALUE"""),"https://www.10tv.com/article/news/local/police-1-shot-outside-north-columbus-elementary-school/530-89621222-e8cb-4c6c-ad50-c7524713d671
https://www.wowktv.com/ohio-3/police-picketers-shot-at-with-bb-gun-outside-columbus-ohio-school/
https://www.cleveland."&amp;"com/crime/2022/08/striking-columbus-teachers-shot-by-pellets-while-picketing-outside-school.html")</f>
        <v>https://www.10tv.com/article/news/local/police-1-shot-outside-north-columbus-elementary-school/530-89621222-e8cb-4c6c-ad50-c7524713d671
https://www.wowktv.com/ohio-3/police-picketers-shot-at-with-bb-gun-outside-columbus-ohio-school/
https://www.cleveland.com/crime/2022/08/striking-columbus-teachers-shot-by-pellets-while-picketing-outside-school.html</v>
      </c>
      <c r="L212" s="5">
        <f ca="1">IFERROR(__xludf.DUMMYFUNCTION("""COMPUTED_VALUE"""),5)</f>
        <v>5</v>
      </c>
      <c r="M212" s="5" t="str">
        <f ca="1">IFERROR(__xludf.DUMMYFUNCTION("""COMPUTED_VALUE"""),"Local")</f>
        <v>Local</v>
      </c>
      <c r="N212" s="5">
        <f ca="1">IFERROR(__xludf.DUMMYFUNCTION("""COMPUTED_VALUE"""),4)</f>
        <v>4</v>
      </c>
      <c r="O212" s="5" t="str">
        <f ca="1">IFERROR(__xludf.DUMMYFUNCTION("""COMPUTED_VALUE"""),"Summer")</f>
        <v>Summer</v>
      </c>
      <c r="P212" s="5" t="str">
        <f ca="1">IFERROR(__xludf.DUMMYFUNCTION("""COMPUTED_VALUE"""),"Columbus")</f>
        <v>Columbus</v>
      </c>
      <c r="Q212" s="5" t="str">
        <f ca="1">IFERROR(__xludf.DUMMYFUNCTION("""COMPUTED_VALUE"""),"OH")</f>
        <v>OH</v>
      </c>
      <c r="R212" s="5" t="str">
        <f ca="1">IFERROR(__xludf.DUMMYFUNCTION("""COMPUTED_VALUE"""),"Elementary")</f>
        <v>Elementary</v>
      </c>
      <c r="S212" s="5" t="str">
        <f ca="1">IFERROR(__xludf.DUMMYFUNCTION("""COMPUTED_VALUE"""),"Front of School")</f>
        <v>Front of School</v>
      </c>
      <c r="T212" s="5" t="str">
        <f ca="1">IFERROR(__xludf.DUMMYFUNCTION("""COMPUTED_VALUE"""),"Outside on School Property")</f>
        <v>Outside on School Property</v>
      </c>
      <c r="U212" s="5" t="str">
        <f ca="1">IFERROR(__xludf.DUMMYFUNCTION("""COMPUTED_VALUE"""),"Yes")</f>
        <v>Yes</v>
      </c>
      <c r="V212" s="5" t="str">
        <f ca="1">IFERROR(__xludf.DUMMYFUNCTION("""COMPUTED_VALUE"""),"Afternoon Classes")</f>
        <v>Afternoon Classes</v>
      </c>
      <c r="W212" s="10">
        <f ca="1">IFERROR(__xludf.DUMMYFUNCTION("""COMPUTED_VALUE"""),0.583333333333333)</f>
        <v>0.58333333333333304</v>
      </c>
      <c r="X212" s="5">
        <f ca="1">IFERROR(__xludf.DUMMYFUNCTION("""COMPUTED_VALUE"""),1)</f>
        <v>1</v>
      </c>
      <c r="Y212" s="5" t="str">
        <f ca="1">IFERROR(__xludf.DUMMYFUNCTION("""COMPUTED_VALUE"""),"Multiple teachers shot with BBs while picketing in front of school")</f>
        <v>Multiple teachers shot with BBs while picketing in front of school</v>
      </c>
      <c r="Z212" s="5" t="str">
        <f ca="1">IFERROR(__xludf.DUMMYFUNCTION("""COMPUTED_VALUE"""),"Multiple teachers were shot with BBs while picketing in front of the school. No injuries. Shooter fled. Second BB gun shooting was reported at a nearby at Whetstone High School.")</f>
        <v>Multiple teachers were shot with BBs while picketing in front of the school. No injuries. Shooter fled. Second BB gun shooting was reported at a nearby at Whetstone High School.</v>
      </c>
      <c r="AA212" s="5" t="str">
        <f ca="1">IFERROR(__xludf.DUMMYFUNCTION("""COMPUTED_VALUE"""),"Drive-by Shooting")</f>
        <v>Drive-by Shooting</v>
      </c>
      <c r="AB212" s="5" t="str">
        <f ca="1">IFERROR(__xludf.DUMMYFUNCTION("""COMPUTED_VALUE"""),"Victims Targeted")</f>
        <v>Victims Targeted</v>
      </c>
      <c r="AC212" s="5" t="str">
        <f ca="1">IFERROR(__xludf.DUMMYFUNCTION("""COMPUTED_VALUE"""),"No")</f>
        <v>No</v>
      </c>
      <c r="AD212" s="5" t="str">
        <f ca="1">IFERROR(__xludf.DUMMYFUNCTION("""COMPUTED_VALUE"""),"No")</f>
        <v>No</v>
      </c>
      <c r="AE212" s="5" t="str">
        <f ca="1">IFERROR(__xludf.DUMMYFUNCTION("""COMPUTED_VALUE"""),"No")</f>
        <v>No</v>
      </c>
      <c r="AF212" s="5" t="str">
        <f ca="1">IFERROR(__xludf.DUMMYFUNCTION("""COMPUTED_VALUE"""),"No")</f>
        <v>No</v>
      </c>
      <c r="AG212" s="5" t="str">
        <f ca="1">IFERROR(__xludf.DUMMYFUNCTION("""COMPUTED_VALUE"""),"No")</f>
        <v>No</v>
      </c>
      <c r="AH212" s="5" t="str">
        <f ca="1">IFERROR(__xludf.DUMMYFUNCTION("""COMPUTED_VALUE"""),"No")</f>
        <v>No</v>
      </c>
      <c r="AI212" s="5" t="str">
        <f ca="1">IFERROR(__xludf.DUMMYFUNCTION("""COMPUTED_VALUE"""),"No")</f>
        <v>No</v>
      </c>
      <c r="AJ212" s="5" t="str">
        <f ca="1">IFERROR(__xludf.DUMMYFUNCTION("""COMPUTED_VALUE"""),"No")</f>
        <v>No</v>
      </c>
    </row>
    <row r="213" spans="1:36" ht="13">
      <c r="A213" s="5" t="str">
        <f ca="1">IFERROR(__xludf.DUMMYFUNCTION("""COMPUTED_VALUE"""),"20220823OHART")</f>
        <v>20220823OHART</v>
      </c>
      <c r="B213" s="5">
        <f ca="1">IFERROR(__xludf.DUMMYFUNCTION("""COMPUTED_VALUE"""),8)</f>
        <v>8</v>
      </c>
      <c r="C213" s="5">
        <f ca="1">IFERROR(__xludf.DUMMYFUNCTION("""COMPUTED_VALUE"""),23)</f>
        <v>23</v>
      </c>
      <c r="D213" s="5">
        <f ca="1">IFERROR(__xludf.DUMMYFUNCTION("""COMPUTED_VALUE"""),2022)</f>
        <v>2022</v>
      </c>
      <c r="E213" s="8">
        <f ca="1">IFERROR(__xludf.DUMMYFUNCTION("""COMPUTED_VALUE"""),44796)</f>
        <v>44796</v>
      </c>
      <c r="F213" s="5" t="str">
        <f ca="1">IFERROR(__xludf.DUMMYFUNCTION("""COMPUTED_VALUE"""),"Arlington Elementary School")</f>
        <v>Arlington Elementary School</v>
      </c>
      <c r="G213" s="5">
        <f ca="1">IFERROR(__xludf.DUMMYFUNCTION("""COMPUTED_VALUE"""),0)</f>
        <v>0</v>
      </c>
      <c r="H213" s="5">
        <f ca="1">IFERROR(__xludf.DUMMYFUNCTION("""COMPUTED_VALUE"""),0)</f>
        <v>0</v>
      </c>
      <c r="I213" s="5">
        <f ca="1">IFERROR(__xludf.DUMMYFUNCTION("""COMPUTED_VALUE"""),0)</f>
        <v>0</v>
      </c>
      <c r="J213" s="5">
        <f ca="1">IFERROR(__xludf.DUMMYFUNCTION("""COMPUTED_VALUE"""),0)</f>
        <v>0</v>
      </c>
      <c r="K213" s="5" t="str">
        <f ca="1">IFERROR(__xludf.DUMMYFUNCTION("""COMPUTED_VALUE"""),"https://www.13abc.com/2022/08/23/tps-parent-shot-gun-toledo-elementary-school-fled-scene/
https://www.wtol.com/article/news/local/arlington-elementary-locked-down-parent-fired-gun-into-air-no-injuries/512-eb3e7c9b-3ec4-4947-89fa-bc8dd34beb11")</f>
        <v>https://www.13abc.com/2022/08/23/tps-parent-shot-gun-toledo-elementary-school-fled-scene/
https://www.wtol.com/article/news/local/arlington-elementary-locked-down-parent-fired-gun-into-air-no-injuries/512-eb3e7c9b-3ec4-4947-89fa-bc8dd34beb11</v>
      </c>
      <c r="L213" s="5">
        <f ca="1">IFERROR(__xludf.DUMMYFUNCTION("""COMPUTED_VALUE"""),10)</f>
        <v>10</v>
      </c>
      <c r="M213" s="5" t="str">
        <f ca="1">IFERROR(__xludf.DUMMYFUNCTION("""COMPUTED_VALUE"""),"Local")</f>
        <v>Local</v>
      </c>
      <c r="N213" s="5">
        <f ca="1">IFERROR(__xludf.DUMMYFUNCTION("""COMPUTED_VALUE"""),4)</f>
        <v>4</v>
      </c>
      <c r="O213" s="5" t="str">
        <f ca="1">IFERROR(__xludf.DUMMYFUNCTION("""COMPUTED_VALUE"""),"Summer")</f>
        <v>Summer</v>
      </c>
      <c r="P213" s="5" t="str">
        <f ca="1">IFERROR(__xludf.DUMMYFUNCTION("""COMPUTED_VALUE"""),"Toledo")</f>
        <v>Toledo</v>
      </c>
      <c r="Q213" s="5" t="str">
        <f ca="1">IFERROR(__xludf.DUMMYFUNCTION("""COMPUTED_VALUE"""),"OH")</f>
        <v>OH</v>
      </c>
      <c r="R213" s="5" t="str">
        <f ca="1">IFERROR(__xludf.DUMMYFUNCTION("""COMPUTED_VALUE"""),"Elementary")</f>
        <v>Elementary</v>
      </c>
      <c r="S213" s="5" t="str">
        <f ca="1">IFERROR(__xludf.DUMMYFUNCTION("""COMPUTED_VALUE"""),"Front of School")</f>
        <v>Front of School</v>
      </c>
      <c r="T213" s="5" t="str">
        <f ca="1">IFERROR(__xludf.DUMMYFUNCTION("""COMPUTED_VALUE"""),"Outside on School Property")</f>
        <v>Outside on School Property</v>
      </c>
      <c r="U213" s="5" t="str">
        <f ca="1">IFERROR(__xludf.DUMMYFUNCTION("""COMPUTED_VALUE"""),"Yes")</f>
        <v>Yes</v>
      </c>
      <c r="V213" s="5" t="str">
        <f ca="1">IFERROR(__xludf.DUMMYFUNCTION("""COMPUTED_VALUE"""),"Dismissal")</f>
        <v>Dismissal</v>
      </c>
      <c r="W213" s="10">
        <f ca="1">IFERROR(__xludf.DUMMYFUNCTION("""COMPUTED_VALUE"""),0.645833333333333)</f>
        <v>0.64583333333333304</v>
      </c>
      <c r="X213" s="5">
        <f ca="1">IFERROR(__xludf.DUMMYFUNCTION("""COMPUTED_VALUE"""),1)</f>
        <v>1</v>
      </c>
      <c r="Y213" s="5" t="str">
        <f ca="1">IFERROR(__xludf.DUMMYFUNCTION("""COMPUTED_VALUE"""),"Parent fired shot during fight with another parent at dismissal")</f>
        <v>Parent fired shot during fight with another parent at dismissal</v>
      </c>
      <c r="Z213" s="5" t="str">
        <f ca="1">IFERROR(__xludf.DUMMYFUNCTION("""COMPUTED_VALUE"""),"A parent fired a shot into the air during a fight with another parent outside of the elementary school during dismissal. Students ran back into the school and went on lockdown for 2 hours. Shooter fled.")</f>
        <v>A parent fired a shot into the air during a fight with another parent outside of the elementary school during dismissal. Students ran back into the school and went on lockdown for 2 hours. Shooter fled.</v>
      </c>
      <c r="AA213" s="5" t="str">
        <f ca="1">IFERROR(__xludf.DUMMYFUNCTION("""COMPUTED_VALUE"""),"Escalation of Dispute")</f>
        <v>Escalation of Dispute</v>
      </c>
      <c r="AB213" s="5" t="str">
        <f ca="1">IFERROR(__xludf.DUMMYFUNCTION("""COMPUTED_VALUE"""),"Neither")</f>
        <v>Neither</v>
      </c>
      <c r="AC213" s="5" t="str">
        <f ca="1">IFERROR(__xludf.DUMMYFUNCTION("""COMPUTED_VALUE"""),"No")</f>
        <v>No</v>
      </c>
      <c r="AD213" s="5" t="str">
        <f ca="1">IFERROR(__xludf.DUMMYFUNCTION("""COMPUTED_VALUE"""),"No")</f>
        <v>No</v>
      </c>
      <c r="AE213" s="5" t="str">
        <f ca="1">IFERROR(__xludf.DUMMYFUNCTION("""COMPUTED_VALUE"""),"No")</f>
        <v>No</v>
      </c>
      <c r="AF213" s="5" t="str">
        <f ca="1">IFERROR(__xludf.DUMMYFUNCTION("""COMPUTED_VALUE"""),"No")</f>
        <v>No</v>
      </c>
      <c r="AG213" s="5" t="str">
        <f ca="1">IFERROR(__xludf.DUMMYFUNCTION("""COMPUTED_VALUE"""),"No")</f>
        <v>No</v>
      </c>
      <c r="AH213" s="5" t="str">
        <f ca="1">IFERROR(__xludf.DUMMYFUNCTION("""COMPUTED_VALUE"""),"No")</f>
        <v>No</v>
      </c>
      <c r="AI213" s="5" t="str">
        <f ca="1">IFERROR(__xludf.DUMMYFUNCTION("""COMPUTED_VALUE"""),"No")</f>
        <v>No</v>
      </c>
      <c r="AJ213" s="5" t="str">
        <f ca="1">IFERROR(__xludf.DUMMYFUNCTION("""COMPUTED_VALUE"""),"No")</f>
        <v>No</v>
      </c>
    </row>
    <row r="214" spans="1:36" ht="13">
      <c r="A214" s="5" t="str">
        <f ca="1">IFERROR(__xludf.DUMMYFUNCTION("""COMPUTED_VALUE"""),"20220819LAAKN")</f>
        <v>20220819LAAKN</v>
      </c>
      <c r="B214" s="5">
        <f ca="1">IFERROR(__xludf.DUMMYFUNCTION("""COMPUTED_VALUE"""),8)</f>
        <v>8</v>
      </c>
      <c r="C214" s="5">
        <f ca="1">IFERROR(__xludf.DUMMYFUNCTION("""COMPUTED_VALUE"""),19)</f>
        <v>19</v>
      </c>
      <c r="D214" s="5">
        <f ca="1">IFERROR(__xludf.DUMMYFUNCTION("""COMPUTED_VALUE"""),2022)</f>
        <v>2022</v>
      </c>
      <c r="E214" s="8">
        <f ca="1">IFERROR(__xludf.DUMMYFUNCTION("""COMPUTED_VALUE"""),44792)</f>
        <v>44792</v>
      </c>
      <c r="F214" s="5" t="str">
        <f ca="1">IFERROR(__xludf.DUMMYFUNCTION("""COMPUTED_VALUE"""),"Akili Academy of New Orleans")</f>
        <v>Akili Academy of New Orleans</v>
      </c>
      <c r="G214" s="5">
        <f ca="1">IFERROR(__xludf.DUMMYFUNCTION("""COMPUTED_VALUE"""),0)</f>
        <v>0</v>
      </c>
      <c r="H214" s="5">
        <f ca="1">IFERROR(__xludf.DUMMYFUNCTION("""COMPUTED_VALUE"""),0)</f>
        <v>0</v>
      </c>
      <c r="I214" s="5">
        <f ca="1">IFERROR(__xludf.DUMMYFUNCTION("""COMPUTED_VALUE"""),0)</f>
        <v>0</v>
      </c>
      <c r="J214" s="5">
        <f ca="1">IFERROR(__xludf.DUMMYFUNCTION("""COMPUTED_VALUE"""),0)</f>
        <v>0</v>
      </c>
      <c r="K214" s="5" t="str">
        <f ca="1">IFERROR(__xludf.DUMMYFUNCTION("""COMPUTED_VALUE"""),"https://wgno.com/news/louisiana/orleans-parish/horrified-by-this-brazen-act-nola-public-schools-express-concern-after-student-waving-gun-tries-to-enter-bus/
https://www.wwltv.com/article/news/crime/new-orleans-police-investigating-incident-12-year-old-poi"&amp;"nting-gun-school-bus/289-31a2ea2f-478f-4c43-89cd-2ac0b73de77e")</f>
        <v>https://wgno.com/news/louisiana/orleans-parish/horrified-by-this-brazen-act-nola-public-schools-express-concern-after-student-waving-gun-tries-to-enter-bus/
https://www.wwltv.com/article/news/crime/new-orleans-police-investigating-incident-12-year-old-pointing-gun-school-bus/289-31a2ea2f-478f-4c43-89cd-2ac0b73de77e</v>
      </c>
      <c r="L214" s="5">
        <f ca="1">IFERROR(__xludf.DUMMYFUNCTION("""COMPUTED_VALUE"""),5)</f>
        <v>5</v>
      </c>
      <c r="M214" s="5" t="str">
        <f ca="1">IFERROR(__xludf.DUMMYFUNCTION("""COMPUTED_VALUE"""),"Local")</f>
        <v>Local</v>
      </c>
      <c r="N214" s="5">
        <f ca="1">IFERROR(__xludf.DUMMYFUNCTION("""COMPUTED_VALUE"""),4)</f>
        <v>4</v>
      </c>
      <c r="O214" s="5" t="str">
        <f ca="1">IFERROR(__xludf.DUMMYFUNCTION("""COMPUTED_VALUE"""),"Summer")</f>
        <v>Summer</v>
      </c>
      <c r="P214" s="5" t="str">
        <f ca="1">IFERROR(__xludf.DUMMYFUNCTION("""COMPUTED_VALUE"""),"New Orleans")</f>
        <v>New Orleans</v>
      </c>
      <c r="Q214" s="5" t="str">
        <f ca="1">IFERROR(__xludf.DUMMYFUNCTION("""COMPUTED_VALUE"""),"LA")</f>
        <v>LA</v>
      </c>
      <c r="R214" s="5" t="str">
        <f ca="1">IFERROR(__xludf.DUMMYFUNCTION("""COMPUTED_VALUE"""),"K-8")</f>
        <v>K-8</v>
      </c>
      <c r="S214" s="5" t="str">
        <f ca="1">IFERROR(__xludf.DUMMYFUNCTION("""COMPUTED_VALUE"""),"School Bus")</f>
        <v>School Bus</v>
      </c>
      <c r="T214" s="5" t="str">
        <f ca="1">IFERROR(__xludf.DUMMYFUNCTION("""COMPUTED_VALUE"""),"School Bus")</f>
        <v>School Bus</v>
      </c>
      <c r="U214" s="5" t="str">
        <f ca="1">IFERROR(__xludf.DUMMYFUNCTION("""COMPUTED_VALUE"""),"Yes")</f>
        <v>Yes</v>
      </c>
      <c r="V214" s="5" t="str">
        <f ca="1">IFERROR(__xludf.DUMMYFUNCTION("""COMPUTED_VALUE"""),"Dismissal")</f>
        <v>Dismissal</v>
      </c>
      <c r="W214" s="10">
        <f ca="1">IFERROR(__xludf.DUMMYFUNCTION("""COMPUTED_VALUE"""),0.604166666666666)</f>
        <v>0.60416666666666596</v>
      </c>
      <c r="X214" s="5">
        <f ca="1">IFERROR(__xludf.DUMMYFUNCTION("""COMPUTED_VALUE"""),1)</f>
        <v>1</v>
      </c>
      <c r="Y214" s="5" t="str">
        <f ca="1">IFERROR(__xludf.DUMMYFUNCTION("""COMPUTED_VALUE"""),"Girl pulled gun after fight on school bus")</f>
        <v>Girl pulled gun after fight on school bus</v>
      </c>
      <c r="Z214" s="5" t="str">
        <f ca="1">IFERROR(__xludf.DUMMYFUNCTION("""COMPUTED_VALUE"""),"Following a fight between two girls on the school bus, a 12-year-old female student exited the bus, pulled a handgun, and then tried to get back on the bus. He banged on the door while the bus pulled away. Fight recorded on cell phone camera. Shooter's mo"&amp;"ther also arrested for contributing to incident.")</f>
        <v>Following a fight between two girls on the school bus, a 12-year-old female student exited the bus, pulled a handgun, and then tried to get back on the bus. He banged on the door while the bus pulled away. Fight recorded on cell phone camera. Shooter's mother also arrested for contributing to incident.</v>
      </c>
      <c r="AA214" s="5" t="str">
        <f ca="1">IFERROR(__xludf.DUMMYFUNCTION("""COMPUTED_VALUE"""),"Escalation of Dispute")</f>
        <v>Escalation of Dispute</v>
      </c>
      <c r="AB214" s="5" t="str">
        <f ca="1">IFERROR(__xludf.DUMMYFUNCTION("""COMPUTED_VALUE"""),"Victims Targeted")</f>
        <v>Victims Targeted</v>
      </c>
      <c r="AC214" s="5" t="str">
        <f ca="1">IFERROR(__xludf.DUMMYFUNCTION("""COMPUTED_VALUE"""),"No")</f>
        <v>No</v>
      </c>
      <c r="AD214" s="5" t="str">
        <f ca="1">IFERROR(__xludf.DUMMYFUNCTION("""COMPUTED_VALUE"""),"No")</f>
        <v>No</v>
      </c>
      <c r="AE214" s="5" t="str">
        <f ca="1">IFERROR(__xludf.DUMMYFUNCTION("""COMPUTED_VALUE"""),"No")</f>
        <v>No</v>
      </c>
      <c r="AF214" s="5" t="str">
        <f ca="1">IFERROR(__xludf.DUMMYFUNCTION("""COMPUTED_VALUE"""),"No")</f>
        <v>No</v>
      </c>
      <c r="AG214" s="5"/>
      <c r="AH214" s="5"/>
      <c r="AI214" s="5" t="str">
        <f ca="1">IFERROR(__xludf.DUMMYFUNCTION("""COMPUTED_VALUE"""),"No")</f>
        <v>No</v>
      </c>
      <c r="AJ214" s="5" t="str">
        <f ca="1">IFERROR(__xludf.DUMMYFUNCTION("""COMPUTED_VALUE"""),"No")</f>
        <v>No</v>
      </c>
    </row>
    <row r="215" spans="1:36" ht="13">
      <c r="A215" s="5" t="str">
        <f ca="1">IFERROR(__xludf.DUMMYFUNCTION("""COMPUTED_VALUE"""),"20220819OHGRG")</f>
        <v>20220819OHGRG</v>
      </c>
      <c r="B215" s="5">
        <f ca="1">IFERROR(__xludf.DUMMYFUNCTION("""COMPUTED_VALUE"""),8)</f>
        <v>8</v>
      </c>
      <c r="C215" s="5">
        <f ca="1">IFERROR(__xludf.DUMMYFUNCTION("""COMPUTED_VALUE"""),19)</f>
        <v>19</v>
      </c>
      <c r="D215" s="5">
        <f ca="1">IFERROR(__xludf.DUMMYFUNCTION("""COMPUTED_VALUE"""),2022)</f>
        <v>2022</v>
      </c>
      <c r="E215" s="8">
        <f ca="1">IFERROR(__xludf.DUMMYFUNCTION("""COMPUTED_VALUE"""),44792)</f>
        <v>44792</v>
      </c>
      <c r="F215" s="5" t="str">
        <f ca="1">IFERROR(__xludf.DUMMYFUNCTION("""COMPUTED_VALUE"""),"Groveport Madison High School")</f>
        <v>Groveport Madison High School</v>
      </c>
      <c r="G215" s="5">
        <f ca="1">IFERROR(__xludf.DUMMYFUNCTION("""COMPUTED_VALUE"""),0)</f>
        <v>0</v>
      </c>
      <c r="H215" s="5">
        <f ca="1">IFERROR(__xludf.DUMMYFUNCTION("""COMPUTED_VALUE"""),0)</f>
        <v>0</v>
      </c>
      <c r="I215" s="5">
        <f ca="1">IFERROR(__xludf.DUMMYFUNCTION("""COMPUTED_VALUE"""),0)</f>
        <v>0</v>
      </c>
      <c r="J215" s="5">
        <f ca="1">IFERROR(__xludf.DUMMYFUNCTION("""COMPUTED_VALUE"""),0)</f>
        <v>0</v>
      </c>
      <c r="K215" s="5" t="str">
        <f ca="1">IFERROR(__xludf.DUMMYFUNCTION("""COMPUTED_VALUE"""),"https://www.10tv.com/article/news/local/groveport-madison-football-game-evacuated-after-report-of-shots-fired/530-1371ed03-052e-4117-baa4-489ec112d486
https://www.nbc4i.com/news/local-news/groveport/shots-fired-reported-at-groveport-madison-high-school/
h"&amp;"ttps://abc6onyourside.com/news/local/multiple-shots-fired-at-groveport-madison-high-school-football-game-franklin-county-sheriffs-office-madison-township-groveport-police")</f>
        <v>https://www.10tv.com/article/news/local/groveport-madison-football-game-evacuated-after-report-of-shots-fired/530-1371ed03-052e-4117-baa4-489ec112d486
https://www.nbc4i.com/news/local-news/groveport/shots-fired-reported-at-groveport-madison-high-school/
https://abc6onyourside.com/news/local/multiple-shots-fired-at-groveport-madison-high-school-football-game-franklin-county-sheriffs-office-madison-township-groveport-police</v>
      </c>
      <c r="L215" s="5">
        <f ca="1">IFERROR(__xludf.DUMMYFUNCTION("""COMPUTED_VALUE"""),6)</f>
        <v>6</v>
      </c>
      <c r="M215" s="5" t="str">
        <f ca="1">IFERROR(__xludf.DUMMYFUNCTION("""COMPUTED_VALUE"""),"Regional")</f>
        <v>Regional</v>
      </c>
      <c r="N215" s="5">
        <f ca="1">IFERROR(__xludf.DUMMYFUNCTION("""COMPUTED_VALUE"""),4)</f>
        <v>4</v>
      </c>
      <c r="O215" s="5" t="str">
        <f ca="1">IFERROR(__xludf.DUMMYFUNCTION("""COMPUTED_VALUE"""),"Summer")</f>
        <v>Summer</v>
      </c>
      <c r="P215" s="5" t="str">
        <f ca="1">IFERROR(__xludf.DUMMYFUNCTION("""COMPUTED_VALUE"""),"Groveport")</f>
        <v>Groveport</v>
      </c>
      <c r="Q215" s="5" t="str">
        <f ca="1">IFERROR(__xludf.DUMMYFUNCTION("""COMPUTED_VALUE"""),"OH")</f>
        <v>OH</v>
      </c>
      <c r="R215" s="5" t="str">
        <f ca="1">IFERROR(__xludf.DUMMYFUNCTION("""COMPUTED_VALUE"""),"High")</f>
        <v>High</v>
      </c>
      <c r="S215" s="5" t="str">
        <f ca="1">IFERROR(__xludf.DUMMYFUNCTION("""COMPUTED_VALUE"""),"Parking Lot")</f>
        <v>Parking Lot</v>
      </c>
      <c r="T215" s="5" t="str">
        <f ca="1">IFERROR(__xludf.DUMMYFUNCTION("""COMPUTED_VALUE"""),"Outside on School Property")</f>
        <v>Outside on School Property</v>
      </c>
      <c r="U215" s="5" t="str">
        <f ca="1">IFERROR(__xludf.DUMMYFUNCTION("""COMPUTED_VALUE"""),"No")</f>
        <v>No</v>
      </c>
      <c r="V215" s="5" t="str">
        <f ca="1">IFERROR(__xludf.DUMMYFUNCTION("""COMPUTED_VALUE"""),"Sport Event")</f>
        <v>Sport Event</v>
      </c>
      <c r="W215" s="10">
        <f ca="1">IFERROR(__xludf.DUMMYFUNCTION("""COMPUTED_VALUE"""),0.881944444444444)</f>
        <v>0.88194444444444398</v>
      </c>
      <c r="X215" s="5">
        <f ca="1">IFERROR(__xludf.DUMMYFUNCTION("""COMPUTED_VALUE"""),1)</f>
        <v>1</v>
      </c>
      <c r="Y215" s="5" t="str">
        <f ca="1">IFERROR(__xludf.DUMMYFUNCTION("""COMPUTED_VALUE"""),"Shots fired during fight in parking lot after people were ejected from football game")</f>
        <v>Shots fired during fight in parking lot after people were ejected from football game</v>
      </c>
      <c r="Z215" s="5" t="str">
        <f ca="1">IFERROR(__xludf.DUMMYFUNCTION("""COMPUTED_VALUE"""),"After multiple fights in the stands, 6 people were ejected from the football game. A fight started in the parking lot and an 18-year-old male fired a fully automatic pistol. Shooting caused stadium evacuation and cancelled remainder of the game. Shooter a"&amp;"rrested. No injuries.")</f>
        <v>After multiple fights in the stands, 6 people were ejected from the football game. A fight started in the parking lot and an 18-year-old male fired a fully automatic pistol. Shooting caused stadium evacuation and cancelled remainder of the game. Shooter arrested. No injuries.</v>
      </c>
      <c r="AA215" s="5" t="str">
        <f ca="1">IFERROR(__xludf.DUMMYFUNCTION("""COMPUTED_VALUE"""),"Escalation of Dispute")</f>
        <v>Escalation of Dispute</v>
      </c>
      <c r="AB215" s="5" t="str">
        <f ca="1">IFERROR(__xludf.DUMMYFUNCTION("""COMPUTED_VALUE"""),"Victims Targeted")</f>
        <v>Victims Targeted</v>
      </c>
      <c r="AC215" s="5" t="str">
        <f ca="1">IFERROR(__xludf.DUMMYFUNCTION("""COMPUTED_VALUE"""),"Yes")</f>
        <v>Yes</v>
      </c>
      <c r="AD215" s="5" t="str">
        <f ca="1">IFERROR(__xludf.DUMMYFUNCTION("""COMPUTED_VALUE"""),"No")</f>
        <v>No</v>
      </c>
      <c r="AE215" s="5" t="str">
        <f ca="1">IFERROR(__xludf.DUMMYFUNCTION("""COMPUTED_VALUE"""),"No")</f>
        <v>No</v>
      </c>
      <c r="AF215" s="5" t="str">
        <f ca="1">IFERROR(__xludf.DUMMYFUNCTION("""COMPUTED_VALUE"""),"No")</f>
        <v>No</v>
      </c>
      <c r="AG215" s="5" t="str">
        <f ca="1">IFERROR(__xludf.DUMMYFUNCTION("""COMPUTED_VALUE"""),"No")</f>
        <v>No</v>
      </c>
      <c r="AH215" s="5" t="str">
        <f ca="1">IFERROR(__xludf.DUMMYFUNCTION("""COMPUTED_VALUE"""),"No")</f>
        <v>No</v>
      </c>
      <c r="AI215" s="5" t="str">
        <f ca="1">IFERROR(__xludf.DUMMYFUNCTION("""COMPUTED_VALUE"""),"No")</f>
        <v>No</v>
      </c>
      <c r="AJ215" s="5" t="str">
        <f ca="1">IFERROR(__xludf.DUMMYFUNCTION("""COMPUTED_VALUE"""),"No")</f>
        <v>No</v>
      </c>
    </row>
    <row r="216" spans="1:36" ht="13">
      <c r="A216" s="5" t="str">
        <f ca="1">IFERROR(__xludf.DUMMYFUNCTION("""COMPUTED_VALUE"""),"20220819TNWEC")</f>
        <v>20220819TNWEC</v>
      </c>
      <c r="B216" s="5">
        <f ca="1">IFERROR(__xludf.DUMMYFUNCTION("""COMPUTED_VALUE"""),8)</f>
        <v>8</v>
      </c>
      <c r="C216" s="5">
        <f ca="1">IFERROR(__xludf.DUMMYFUNCTION("""COMPUTED_VALUE"""),19)</f>
        <v>19</v>
      </c>
      <c r="D216" s="5">
        <f ca="1">IFERROR(__xludf.DUMMYFUNCTION("""COMPUTED_VALUE"""),2022)</f>
        <v>2022</v>
      </c>
      <c r="E216" s="8">
        <f ca="1">IFERROR(__xludf.DUMMYFUNCTION("""COMPUTED_VALUE"""),44792)</f>
        <v>44792</v>
      </c>
      <c r="F216" s="5" t="str">
        <f ca="1">IFERROR(__xludf.DUMMYFUNCTION("""COMPUTED_VALUE"""),"West Creek High School")</f>
        <v>West Creek High School</v>
      </c>
      <c r="G216" s="5">
        <f ca="1">IFERROR(__xludf.DUMMYFUNCTION("""COMPUTED_VALUE"""),0)</f>
        <v>0</v>
      </c>
      <c r="H216" s="5">
        <f ca="1">IFERROR(__xludf.DUMMYFUNCTION("""COMPUTED_VALUE"""),0)</f>
        <v>0</v>
      </c>
      <c r="I216" s="5">
        <f ca="1">IFERROR(__xludf.DUMMYFUNCTION("""COMPUTED_VALUE"""),0)</f>
        <v>0</v>
      </c>
      <c r="J216" s="5">
        <f ca="1">IFERROR(__xludf.DUMMYFUNCTION("""COMPUTED_VALUE"""),0)</f>
        <v>0</v>
      </c>
      <c r="K216" s="5" t="str">
        <f ca="1">IFERROR(__xludf.DUMMYFUNCTION("""COMPUTED_VALUE"""),"https://www.newschannel5.com/news/suspects-charged-in-relation-to-shooting-at-clarksville-football-game
https://www.wsmv.com/2022/08/20/graphic-police-investigate-shots-fired-high-school-football-game/
https://www.wkrn.com/news/local-news/clarksville/shot"&amp;"s-fired-at-west-creek-high-school-during-football-game-no-injuries-reported/")</f>
        <v>https://www.newschannel5.com/news/suspects-charged-in-relation-to-shooting-at-clarksville-football-game
https://www.wsmv.com/2022/08/20/graphic-police-investigate-shots-fired-high-school-football-game/
https://www.wkrn.com/news/local-news/clarksville/shots-fired-at-west-creek-high-school-during-football-game-no-injuries-reported/</v>
      </c>
      <c r="L216" s="5">
        <f ca="1">IFERROR(__xludf.DUMMYFUNCTION("""COMPUTED_VALUE"""),10)</f>
        <v>10</v>
      </c>
      <c r="M216" s="5" t="str">
        <f ca="1">IFERROR(__xludf.DUMMYFUNCTION("""COMPUTED_VALUE"""),"Regional")</f>
        <v>Regional</v>
      </c>
      <c r="N216" s="5">
        <f ca="1">IFERROR(__xludf.DUMMYFUNCTION("""COMPUTED_VALUE"""),4)</f>
        <v>4</v>
      </c>
      <c r="O216" s="5" t="str">
        <f ca="1">IFERROR(__xludf.DUMMYFUNCTION("""COMPUTED_VALUE"""),"Summer")</f>
        <v>Summer</v>
      </c>
      <c r="P216" s="5" t="str">
        <f ca="1">IFERROR(__xludf.DUMMYFUNCTION("""COMPUTED_VALUE"""),"Clarksville")</f>
        <v>Clarksville</v>
      </c>
      <c r="Q216" s="5" t="str">
        <f ca="1">IFERROR(__xludf.DUMMYFUNCTION("""COMPUTED_VALUE"""),"TN")</f>
        <v>TN</v>
      </c>
      <c r="R216" s="5" t="str">
        <f ca="1">IFERROR(__xludf.DUMMYFUNCTION("""COMPUTED_VALUE"""),"High")</f>
        <v>High</v>
      </c>
      <c r="S216" s="5" t="str">
        <f ca="1">IFERROR(__xludf.DUMMYFUNCTION("""COMPUTED_VALUE"""),"Parking Lot")</f>
        <v>Parking Lot</v>
      </c>
      <c r="T216" s="5" t="str">
        <f ca="1">IFERROR(__xludf.DUMMYFUNCTION("""COMPUTED_VALUE"""),"Outside on School Property")</f>
        <v>Outside on School Property</v>
      </c>
      <c r="U216" s="5" t="str">
        <f ca="1">IFERROR(__xludf.DUMMYFUNCTION("""COMPUTED_VALUE"""),"No")</f>
        <v>No</v>
      </c>
      <c r="V216" s="5" t="str">
        <f ca="1">IFERROR(__xludf.DUMMYFUNCTION("""COMPUTED_VALUE"""),"Sport Event")</f>
        <v>Sport Event</v>
      </c>
      <c r="W216" s="10">
        <f ca="1">IFERROR(__xludf.DUMMYFUNCTION("""COMPUTED_VALUE"""),0.875)</f>
        <v>0.875</v>
      </c>
      <c r="X216" s="5">
        <f ca="1">IFERROR(__xludf.DUMMYFUNCTION("""COMPUTED_VALUE"""),1)</f>
        <v>1</v>
      </c>
      <c r="Y216" s="5" t="str">
        <f ca="1">IFERROR(__xludf.DUMMYFUNCTION("""COMPUTED_VALUE"""),"Shots fired from vehicle in the school parking lot during football game")</f>
        <v>Shots fired from vehicle in the school parking lot during football game</v>
      </c>
      <c r="Z216" s="5" t="str">
        <f ca="1">IFERROR(__xludf.DUMMYFUNCTION("""COMPUTED_VALUE"""),"Shots were fired from a vehicle driving through the school parking lot during a football game. Players and fans in the stadium heard the shots and took cover or evacuated. Remainder of the game was cancelled. Adult and two juveniles were arrested. No inju"&amp;"ries. Parents were informed to pick up students at a nearby middle school following the evacuation plan.")</f>
        <v>Shots were fired from a vehicle driving through the school parking lot during a football game. Players and fans in the stadium heard the shots and took cover or evacuated. Remainder of the game was cancelled. Adult and two juveniles were arrested. No injuries. Parents were informed to pick up students at a nearby middle school following the evacuation plan.</v>
      </c>
      <c r="AA216" s="5" t="str">
        <f ca="1">IFERROR(__xludf.DUMMYFUNCTION("""COMPUTED_VALUE"""),"Drive-by Shooting")</f>
        <v>Drive-by Shooting</v>
      </c>
      <c r="AB216" s="5" t="str">
        <f ca="1">IFERROR(__xludf.DUMMYFUNCTION("""COMPUTED_VALUE"""),"Both")</f>
        <v>Both</v>
      </c>
      <c r="AC216" s="5" t="str">
        <f ca="1">IFERROR(__xludf.DUMMYFUNCTION("""COMPUTED_VALUE"""),"Yes")</f>
        <v>Yes</v>
      </c>
      <c r="AD216" s="5" t="str">
        <f ca="1">IFERROR(__xludf.DUMMYFUNCTION("""COMPUTED_VALUE"""),"No")</f>
        <v>No</v>
      </c>
      <c r="AE216" s="5" t="str">
        <f ca="1">IFERROR(__xludf.DUMMYFUNCTION("""COMPUTED_VALUE"""),"No")</f>
        <v>No</v>
      </c>
      <c r="AF216" s="5" t="str">
        <f ca="1">IFERROR(__xludf.DUMMYFUNCTION("""COMPUTED_VALUE"""),"No")</f>
        <v>No</v>
      </c>
      <c r="AG216" s="5" t="str">
        <f ca="1">IFERROR(__xludf.DUMMYFUNCTION("""COMPUTED_VALUE"""),"No")</f>
        <v>No</v>
      </c>
      <c r="AH216" s="5" t="str">
        <f ca="1">IFERROR(__xludf.DUMMYFUNCTION("""COMPUTED_VALUE"""),"No")</f>
        <v>No</v>
      </c>
      <c r="AI216" s="5"/>
      <c r="AJ216" s="5" t="str">
        <f ca="1">IFERROR(__xludf.DUMMYFUNCTION("""COMPUTED_VALUE"""),"No")</f>
        <v>No</v>
      </c>
    </row>
    <row r="217" spans="1:36" ht="13">
      <c r="A217" s="5" t="str">
        <f ca="1">IFERROR(__xludf.DUMMYFUNCTION("""COMPUTED_VALUE"""),"20220818FLLER")</f>
        <v>20220818FLLER</v>
      </c>
      <c r="B217" s="5">
        <f ca="1">IFERROR(__xludf.DUMMYFUNCTION("""COMPUTED_VALUE"""),8)</f>
        <v>8</v>
      </c>
      <c r="C217" s="5">
        <f ca="1">IFERROR(__xludf.DUMMYFUNCTION("""COMPUTED_VALUE"""),18)</f>
        <v>18</v>
      </c>
      <c r="D217" s="5">
        <f ca="1">IFERROR(__xludf.DUMMYFUNCTION("""COMPUTED_VALUE"""),2022)</f>
        <v>2022</v>
      </c>
      <c r="E217" s="8">
        <f ca="1">IFERROR(__xludf.DUMMYFUNCTION("""COMPUTED_VALUE"""),44791)</f>
        <v>44791</v>
      </c>
      <c r="F217" s="5" t="str">
        <f ca="1">IFERROR(__xludf.DUMMYFUNCTION("""COMPUTED_VALUE"""),"Lennard High School")</f>
        <v>Lennard High School</v>
      </c>
      <c r="G217" s="5">
        <f ca="1">IFERROR(__xludf.DUMMYFUNCTION("""COMPUTED_VALUE"""),0)</f>
        <v>0</v>
      </c>
      <c r="H217" s="5">
        <f ca="1">IFERROR(__xludf.DUMMYFUNCTION("""COMPUTED_VALUE"""),0)</f>
        <v>0</v>
      </c>
      <c r="I217" s="5">
        <f ca="1">IFERROR(__xludf.DUMMYFUNCTION("""COMPUTED_VALUE"""),0)</f>
        <v>0</v>
      </c>
      <c r="J217" s="5">
        <f ca="1">IFERROR(__xludf.DUMMYFUNCTION("""COMPUTED_VALUE"""),0)</f>
        <v>0</v>
      </c>
      <c r="K217" s="9" t="str">
        <f ca="1">IFERROR(__xludf.DUMMYFUNCTION("""COMPUTED_VALUE"""),"https://www.fox13news.com/video/1106979
https://www.tampabay.com/news/breaking-news/2022/08/18/man-shot-in-lennard-high-school-parking-lot-hillsborough-deputies-say/
https://www.wfla.com/news/hillsborough-county/no-active-shooter-at-lennard-high-school-sh"&amp;"eriff-says/")</f>
        <v>https://www.fox13news.com/video/1106979
https://www.tampabay.com/news/breaking-news/2022/08/18/man-shot-in-lennard-high-school-parking-lot-hillsborough-deputies-say/
https://www.wfla.com/news/hillsborough-county/no-active-shooter-at-lennard-high-school-sheriff-says/</v>
      </c>
      <c r="L217" s="5">
        <f ca="1">IFERROR(__xludf.DUMMYFUNCTION("""COMPUTED_VALUE"""),10)</f>
        <v>10</v>
      </c>
      <c r="M217" s="5" t="str">
        <f ca="1">IFERROR(__xludf.DUMMYFUNCTION("""COMPUTED_VALUE"""),"Regional")</f>
        <v>Regional</v>
      </c>
      <c r="N217" s="5">
        <f ca="1">IFERROR(__xludf.DUMMYFUNCTION("""COMPUTED_VALUE"""),4)</f>
        <v>4</v>
      </c>
      <c r="O217" s="5" t="str">
        <f ca="1">IFERROR(__xludf.DUMMYFUNCTION("""COMPUTED_VALUE"""),"Summer")</f>
        <v>Summer</v>
      </c>
      <c r="P217" s="5" t="str">
        <f ca="1">IFERROR(__xludf.DUMMYFUNCTION("""COMPUTED_VALUE"""),"Ruskin")</f>
        <v>Ruskin</v>
      </c>
      <c r="Q217" s="5" t="str">
        <f ca="1">IFERROR(__xludf.DUMMYFUNCTION("""COMPUTED_VALUE"""),"FL")</f>
        <v>FL</v>
      </c>
      <c r="R217" s="5" t="str">
        <f ca="1">IFERROR(__xludf.DUMMYFUNCTION("""COMPUTED_VALUE"""),"High")</f>
        <v>High</v>
      </c>
      <c r="S217" s="5" t="str">
        <f ca="1">IFERROR(__xludf.DUMMYFUNCTION("""COMPUTED_VALUE"""),"Parking Lot")</f>
        <v>Parking Lot</v>
      </c>
      <c r="T217" s="5" t="str">
        <f ca="1">IFERROR(__xludf.DUMMYFUNCTION("""COMPUTED_VALUE"""),"Outside on School Property")</f>
        <v>Outside on School Property</v>
      </c>
      <c r="U217" s="5" t="str">
        <f ca="1">IFERROR(__xludf.DUMMYFUNCTION("""COMPUTED_VALUE"""),"Yes")</f>
        <v>Yes</v>
      </c>
      <c r="V217" s="5" t="str">
        <f ca="1">IFERROR(__xludf.DUMMYFUNCTION("""COMPUTED_VALUE"""),"Morning Classes")</f>
        <v>Morning Classes</v>
      </c>
      <c r="W217" s="10">
        <f ca="1">IFERROR(__xludf.DUMMYFUNCTION("""COMPUTED_VALUE"""),0.444444444444444)</f>
        <v>0.44444444444444398</v>
      </c>
      <c r="X217" s="5">
        <f ca="1">IFERROR(__xludf.DUMMYFUNCTION("""COMPUTED_VALUE"""),1)</f>
        <v>1</v>
      </c>
      <c r="Y217" s="5" t="str">
        <f ca="1">IFERROR(__xludf.DUMMYFUNCTION("""COMPUTED_VALUE"""),"Teen shot himself in the leg in the parking lot while showing off weapon")</f>
        <v>Teen shot himself in the leg in the parking lot while showing off weapon</v>
      </c>
      <c r="Z217" s="5" t="str">
        <f ca="1">IFERROR(__xludf.DUMMYFUNCTION("""COMPUTED_VALUE"""),"A 17-year-old male student had a handgun in his vehicle. He was showing the gun to an 18-year-old former student who accidentally shot himself in the leg. Shooter went to the hospital. School went on lockdown for 2 hours. Handgun was found in the students"&amp;" vehicle. Police reported he was carrying the gun to school all week.")</f>
        <v>A 17-year-old male student had a handgun in his vehicle. He was showing the gun to an 18-year-old former student who accidentally shot himself in the leg. Shooter went to the hospital. School went on lockdown for 2 hours. Handgun was found in the students vehicle. Police reported he was carrying the gun to school all week.</v>
      </c>
      <c r="AA217" s="5" t="str">
        <f ca="1">IFERROR(__xludf.DUMMYFUNCTION("""COMPUTED_VALUE"""),"Accidental")</f>
        <v>Accidental</v>
      </c>
      <c r="AB217" s="5" t="str">
        <f ca="1">IFERROR(__xludf.DUMMYFUNCTION("""COMPUTED_VALUE"""),"Neither")</f>
        <v>Neither</v>
      </c>
      <c r="AC217" s="5" t="str">
        <f ca="1">IFERROR(__xludf.DUMMYFUNCTION("""COMPUTED_VALUE"""),"Yes")</f>
        <v>Yes</v>
      </c>
      <c r="AD217" s="5" t="str">
        <f ca="1">IFERROR(__xludf.DUMMYFUNCTION("""COMPUTED_VALUE"""),"No")</f>
        <v>No</v>
      </c>
      <c r="AE217" s="5" t="str">
        <f ca="1">IFERROR(__xludf.DUMMYFUNCTION("""COMPUTED_VALUE"""),"No")</f>
        <v>No</v>
      </c>
      <c r="AF217" s="5" t="str">
        <f ca="1">IFERROR(__xludf.DUMMYFUNCTION("""COMPUTED_VALUE"""),"No")</f>
        <v>No</v>
      </c>
      <c r="AG217" s="5"/>
      <c r="AH217" s="5" t="str">
        <f ca="1">IFERROR(__xludf.DUMMYFUNCTION("""COMPUTED_VALUE"""),"No")</f>
        <v>No</v>
      </c>
      <c r="AI217" s="5"/>
      <c r="AJ217" s="5" t="str">
        <f ca="1">IFERROR(__xludf.DUMMYFUNCTION("""COMPUTED_VALUE"""),"No")</f>
        <v>No</v>
      </c>
    </row>
    <row r="218" spans="1:36" ht="13">
      <c r="A218" s="5" t="str">
        <f ca="1">IFERROR(__xludf.DUMMYFUNCTION("""COMPUTED_VALUE"""),"20220816TXPOB")</f>
        <v>20220816TXPOB</v>
      </c>
      <c r="B218" s="5">
        <f ca="1">IFERROR(__xludf.DUMMYFUNCTION("""COMPUTED_VALUE"""),8)</f>
        <v>8</v>
      </c>
      <c r="C218" s="5">
        <f ca="1">IFERROR(__xludf.DUMMYFUNCTION("""COMPUTED_VALUE"""),16)</f>
        <v>16</v>
      </c>
      <c r="D218" s="5">
        <f ca="1">IFERROR(__xludf.DUMMYFUNCTION("""COMPUTED_VALUE"""),2022)</f>
        <v>2022</v>
      </c>
      <c r="E218" s="8">
        <f ca="1">IFERROR(__xludf.DUMMYFUNCTION("""COMPUTED_VALUE"""),44789)</f>
        <v>44789</v>
      </c>
      <c r="F218" s="5" t="str">
        <f ca="1">IFERROR(__xludf.DUMMYFUNCTION("""COMPUTED_VALUE"""),"Porter Early College High School")</f>
        <v>Porter Early College High School</v>
      </c>
      <c r="G218" s="5">
        <f ca="1">IFERROR(__xludf.DUMMYFUNCTION("""COMPUTED_VALUE"""),0)</f>
        <v>0</v>
      </c>
      <c r="H218" s="5">
        <f ca="1">IFERROR(__xludf.DUMMYFUNCTION("""COMPUTED_VALUE"""),0)</f>
        <v>0</v>
      </c>
      <c r="I218" s="5">
        <f ca="1">IFERROR(__xludf.DUMMYFUNCTION("""COMPUTED_VALUE"""),0)</f>
        <v>0</v>
      </c>
      <c r="J218" s="5">
        <f ca="1">IFERROR(__xludf.DUMMYFUNCTION("""COMPUTED_VALUE"""),0)</f>
        <v>0</v>
      </c>
      <c r="K218" s="5" t="str">
        <f ca="1">IFERROR(__xludf.DUMMYFUNCTION("""COMPUTED_VALUE"""),"https://www.krgv.com/news/3-in-custody-after-shots-fired-at-porter-early-college-high-school-parking-lot-242814
https://www.krgv.com/news/two-of-the-three-suspects-arraigned-after-shots-fired-at-porter-echs-parking-lot
https://www.kurv.com/bisd-police-off"&amp;"icer-shoots-at-reckless-driver-outside-porter-early-college-high-school/")</f>
        <v>https://www.krgv.com/news/3-in-custody-after-shots-fired-at-porter-early-college-high-school-parking-lot-242814
https://www.krgv.com/news/two-of-the-three-suspects-arraigned-after-shots-fired-at-porter-echs-parking-lot
https://www.kurv.com/bisd-police-officer-shoots-at-reckless-driver-outside-porter-early-college-high-school/</v>
      </c>
      <c r="L218" s="5">
        <f ca="1">IFERROR(__xludf.DUMMYFUNCTION("""COMPUTED_VALUE"""),10)</f>
        <v>10</v>
      </c>
      <c r="M218" s="5" t="str">
        <f ca="1">IFERROR(__xludf.DUMMYFUNCTION("""COMPUTED_VALUE"""),"National")</f>
        <v>National</v>
      </c>
      <c r="N218" s="5">
        <f ca="1">IFERROR(__xludf.DUMMYFUNCTION("""COMPUTED_VALUE"""),4)</f>
        <v>4</v>
      </c>
      <c r="O218" s="5" t="str">
        <f ca="1">IFERROR(__xludf.DUMMYFUNCTION("""COMPUTED_VALUE"""),"Summer")</f>
        <v>Summer</v>
      </c>
      <c r="P218" s="5" t="str">
        <f ca="1">IFERROR(__xludf.DUMMYFUNCTION("""COMPUTED_VALUE"""),"Brownsville")</f>
        <v>Brownsville</v>
      </c>
      <c r="Q218" s="5" t="str">
        <f ca="1">IFERROR(__xludf.DUMMYFUNCTION("""COMPUTED_VALUE"""),"TX")</f>
        <v>TX</v>
      </c>
      <c r="R218" s="5" t="str">
        <f ca="1">IFERROR(__xludf.DUMMYFUNCTION("""COMPUTED_VALUE"""),"High")</f>
        <v>High</v>
      </c>
      <c r="S218" s="5" t="str">
        <f ca="1">IFERROR(__xludf.DUMMYFUNCTION("""COMPUTED_VALUE"""),"Parking Lot")</f>
        <v>Parking Lot</v>
      </c>
      <c r="T218" s="5" t="str">
        <f ca="1">IFERROR(__xludf.DUMMYFUNCTION("""COMPUTED_VALUE"""),"Outside on School Property")</f>
        <v>Outside on School Property</v>
      </c>
      <c r="U218" s="5" t="str">
        <f ca="1">IFERROR(__xludf.DUMMYFUNCTION("""COMPUTED_VALUE"""),"Yes")</f>
        <v>Yes</v>
      </c>
      <c r="V218" s="5" t="str">
        <f ca="1">IFERROR(__xludf.DUMMYFUNCTION("""COMPUTED_VALUE"""),"School Start")</f>
        <v>School Start</v>
      </c>
      <c r="W218" s="10">
        <f ca="1">IFERROR(__xludf.DUMMYFUNCTION("""COMPUTED_VALUE"""),0.333333333333333)</f>
        <v>0.33333333333333298</v>
      </c>
      <c r="X218" s="5">
        <f ca="1">IFERROR(__xludf.DUMMYFUNCTION("""COMPUTED_VALUE"""),1)</f>
        <v>1</v>
      </c>
      <c r="Y218" s="5" t="str">
        <f ca="1">IFERROR(__xludf.DUMMYFUNCTION("""COMPUTED_VALUE"""),"Shots fired from stolen vehicle in school parking lot, SRO then fired shots at vehicle")</f>
        <v>Shots fired from stolen vehicle in school parking lot, SRO then fired shots at vehicle</v>
      </c>
      <c r="Z218" s="5" t="str">
        <f ca="1">IFERROR(__xludf.DUMMYFUNCTION("""COMPUTED_VALUE"""),"Three teens in a stole vehicle fired shots and drove recklessly around the parking lot of the high school as the school was opening. SRO fired shot at the vehicle. Following a police chase, three teens were arrested, one near the school. Nearby middle sch"&amp;"ool got a report of an active shooter and went into lockdown. No injuries. First day of classes.")</f>
        <v>Three teens in a stole vehicle fired shots and drove recklessly around the parking lot of the high school as the school was opening. SRO fired shot at the vehicle. Following a police chase, three teens were arrested, one near the school. Nearby middle school got a report of an active shooter and went into lockdown. No injuries. First day of classes.</v>
      </c>
      <c r="AA218" s="5" t="str">
        <f ca="1">IFERROR(__xludf.DUMMYFUNCTION("""COMPUTED_VALUE"""),"Drive-by Shooting")</f>
        <v>Drive-by Shooting</v>
      </c>
      <c r="AB218" s="5" t="str">
        <f ca="1">IFERROR(__xludf.DUMMYFUNCTION("""COMPUTED_VALUE"""),"Neither")</f>
        <v>Neither</v>
      </c>
      <c r="AC218" s="5" t="str">
        <f ca="1">IFERROR(__xludf.DUMMYFUNCTION("""COMPUTED_VALUE"""),"No")</f>
        <v>No</v>
      </c>
      <c r="AD218" s="5" t="str">
        <f ca="1">IFERROR(__xludf.DUMMYFUNCTION("""COMPUTED_VALUE"""),"No")</f>
        <v>No</v>
      </c>
      <c r="AE218" s="5" t="str">
        <f ca="1">IFERROR(__xludf.DUMMYFUNCTION("""COMPUTED_VALUE"""),"No")</f>
        <v>No</v>
      </c>
      <c r="AF218" s="5" t="str">
        <f ca="1">IFERROR(__xludf.DUMMYFUNCTION("""COMPUTED_VALUE"""),"Yes")</f>
        <v>Yes</v>
      </c>
      <c r="AG218" s="5" t="str">
        <f ca="1">IFERROR(__xludf.DUMMYFUNCTION("""COMPUTED_VALUE"""),"No")</f>
        <v>No</v>
      </c>
      <c r="AH218" s="5" t="str">
        <f ca="1">IFERROR(__xludf.DUMMYFUNCTION("""COMPUTED_VALUE"""),"No")</f>
        <v>No</v>
      </c>
      <c r="AI218" s="5"/>
      <c r="AJ218" s="5" t="str">
        <f ca="1">IFERROR(__xludf.DUMMYFUNCTION("""COMPUTED_VALUE"""),"No")</f>
        <v>No</v>
      </c>
    </row>
    <row r="219" spans="1:36" ht="13">
      <c r="A219" s="5" t="str">
        <f ca="1">IFERROR(__xludf.DUMMYFUNCTION("""COMPUTED_VALUE"""),"20220815CALIS")</f>
        <v>20220815CALIS</v>
      </c>
      <c r="B219" s="5">
        <f ca="1">IFERROR(__xludf.DUMMYFUNCTION("""COMPUTED_VALUE"""),8)</f>
        <v>8</v>
      </c>
      <c r="C219" s="5">
        <f ca="1">IFERROR(__xludf.DUMMYFUNCTION("""COMPUTED_VALUE"""),15)</f>
        <v>15</v>
      </c>
      <c r="D219" s="5">
        <f ca="1">IFERROR(__xludf.DUMMYFUNCTION("""COMPUTED_VALUE"""),2022)</f>
        <v>2022</v>
      </c>
      <c r="E219" s="8">
        <f ca="1">IFERROR(__xludf.DUMMYFUNCTION("""COMPUTED_VALUE"""),44788)</f>
        <v>44788</v>
      </c>
      <c r="F219" s="5" t="str">
        <f ca="1">IFERROR(__xludf.DUMMYFUNCTION("""COMPUTED_VALUE"""),"Lincoln High School")</f>
        <v>Lincoln High School</v>
      </c>
      <c r="G219" s="5">
        <f ca="1">IFERROR(__xludf.DUMMYFUNCTION("""COMPUTED_VALUE"""),0)</f>
        <v>0</v>
      </c>
      <c r="H219" s="5">
        <f ca="1">IFERROR(__xludf.DUMMYFUNCTION("""COMPUTED_VALUE"""),0)</f>
        <v>0</v>
      </c>
      <c r="I219" s="5">
        <f ca="1">IFERROR(__xludf.DUMMYFUNCTION("""COMPUTED_VALUE"""),0)</f>
        <v>0</v>
      </c>
      <c r="J219" s="5">
        <f ca="1">IFERROR(__xludf.DUMMYFUNCTION("""COMPUTED_VALUE"""),0)</f>
        <v>0</v>
      </c>
      <c r="K219" s="9" t="str">
        <f ca="1">IFERROR(__xludf.DUMMYFUNCTION("""COMPUTED_VALUE"""),"https://www.kcra.com/article/stockton-school-resource-officer-disarms-student-with-a-gun-on-campus/40901821#
https://www.recordnet.com/story/news/2022/08/15/student-gun-arrested-lincoln-high-school-stockton-california/10333624002/")</f>
        <v>https://www.kcra.com/article/stockton-school-resource-officer-disarms-student-with-a-gun-on-campus/40901821#
https://www.recordnet.com/story/news/2022/08/15/student-gun-arrested-lincoln-high-school-stockton-california/10333624002/</v>
      </c>
      <c r="L219" s="5">
        <f ca="1">IFERROR(__xludf.DUMMYFUNCTION("""COMPUTED_VALUE"""),10)</f>
        <v>10</v>
      </c>
      <c r="M219" s="5" t="str">
        <f ca="1">IFERROR(__xludf.DUMMYFUNCTION("""COMPUTED_VALUE"""),"National")</f>
        <v>National</v>
      </c>
      <c r="N219" s="5">
        <f ca="1">IFERROR(__xludf.DUMMYFUNCTION("""COMPUTED_VALUE"""),4)</f>
        <v>4</v>
      </c>
      <c r="O219" s="5" t="str">
        <f ca="1">IFERROR(__xludf.DUMMYFUNCTION("""COMPUTED_VALUE"""),"Summer")</f>
        <v>Summer</v>
      </c>
      <c r="P219" s="5" t="str">
        <f ca="1">IFERROR(__xludf.DUMMYFUNCTION("""COMPUTED_VALUE"""),"Stockton")</f>
        <v>Stockton</v>
      </c>
      <c r="Q219" s="5" t="str">
        <f ca="1">IFERROR(__xludf.DUMMYFUNCTION("""COMPUTED_VALUE"""),"CA")</f>
        <v>CA</v>
      </c>
      <c r="R219" s="5" t="str">
        <f ca="1">IFERROR(__xludf.DUMMYFUNCTION("""COMPUTED_VALUE"""),"High")</f>
        <v>High</v>
      </c>
      <c r="S219" s="5" t="str">
        <f ca="1">IFERROR(__xludf.DUMMYFUNCTION("""COMPUTED_VALUE"""),"Courtyard")</f>
        <v>Courtyard</v>
      </c>
      <c r="T219" s="5" t="str">
        <f ca="1">IFERROR(__xludf.DUMMYFUNCTION("""COMPUTED_VALUE"""),"Outside on School Property")</f>
        <v>Outside on School Property</v>
      </c>
      <c r="U219" s="5" t="str">
        <f ca="1">IFERROR(__xludf.DUMMYFUNCTION("""COMPUTED_VALUE"""),"Yes")</f>
        <v>Yes</v>
      </c>
      <c r="V219" s="5" t="str">
        <f ca="1">IFERROR(__xludf.DUMMYFUNCTION("""COMPUTED_VALUE"""),"Lunch")</f>
        <v>Lunch</v>
      </c>
      <c r="W219" s="10">
        <f ca="1">IFERROR(__xludf.DUMMYFUNCTION("""COMPUTED_VALUE"""),0.513888888888888)</f>
        <v>0.51388888888888795</v>
      </c>
      <c r="X219" s="5">
        <f ca="1">IFERROR(__xludf.DUMMYFUNCTION("""COMPUTED_VALUE"""),1)</f>
        <v>1</v>
      </c>
      <c r="Y219" s="5" t="str">
        <f ca="1">IFERROR(__xludf.DUMMYFUNCTION("""COMPUTED_VALUE"""),"Student pulled gun during fight, subdued by SRO")</f>
        <v>Student pulled gun during fight, subdued by SRO</v>
      </c>
      <c r="Z219" s="5" t="str">
        <f ca="1">IFERROR(__xludf.DUMMYFUNCTION("""COMPUTED_VALUE"""),"A 17-year-old student pulled a loaded gun during a fight at lunch. SRO was nearby and subdued the student. No shots fired or injuries. Student arrested.")</f>
        <v>A 17-year-old student pulled a loaded gun during a fight at lunch. SRO was nearby and subdued the student. No shots fired or injuries. Student arrested.</v>
      </c>
      <c r="AA219" s="5" t="str">
        <f ca="1">IFERROR(__xludf.DUMMYFUNCTION("""COMPUTED_VALUE"""),"Escalation of Dispute")</f>
        <v>Escalation of Dispute</v>
      </c>
      <c r="AB219" s="5"/>
      <c r="AC219" s="5" t="str">
        <f ca="1">IFERROR(__xludf.DUMMYFUNCTION("""COMPUTED_VALUE"""),"No")</f>
        <v>No</v>
      </c>
      <c r="AD219" s="5" t="str">
        <f ca="1">IFERROR(__xludf.DUMMYFUNCTION("""COMPUTED_VALUE"""),"No")</f>
        <v>No</v>
      </c>
      <c r="AE219" s="5" t="str">
        <f ca="1">IFERROR(__xludf.DUMMYFUNCTION("""COMPUTED_VALUE"""),"No")</f>
        <v>No</v>
      </c>
      <c r="AF219" s="5" t="str">
        <f ca="1">IFERROR(__xludf.DUMMYFUNCTION("""COMPUTED_VALUE"""),"No")</f>
        <v>No</v>
      </c>
      <c r="AG219" s="5"/>
      <c r="AH219" s="5" t="str">
        <f ca="1">IFERROR(__xludf.DUMMYFUNCTION("""COMPUTED_VALUE"""),"No")</f>
        <v>No</v>
      </c>
      <c r="AI219" s="5"/>
      <c r="AJ219" s="5" t="str">
        <f ca="1">IFERROR(__xludf.DUMMYFUNCTION("""COMPUTED_VALUE"""),"No")</f>
        <v>No</v>
      </c>
    </row>
    <row r="220" spans="1:36" ht="13">
      <c r="A220" s="5" t="str">
        <f ca="1">IFERROR(__xludf.DUMMYFUNCTION("""COMPUTED_VALUE"""),"20220813ARMAL")</f>
        <v>20220813ARMAL</v>
      </c>
      <c r="B220" s="5">
        <f ca="1">IFERROR(__xludf.DUMMYFUNCTION("""COMPUTED_VALUE"""),8)</f>
        <v>8</v>
      </c>
      <c r="C220" s="5">
        <f ca="1">IFERROR(__xludf.DUMMYFUNCTION("""COMPUTED_VALUE"""),13)</f>
        <v>13</v>
      </c>
      <c r="D220" s="5">
        <f ca="1">IFERROR(__xludf.DUMMYFUNCTION("""COMPUTED_VALUE"""),2022)</f>
        <v>2022</v>
      </c>
      <c r="E220" s="8">
        <f ca="1">IFERROR(__xludf.DUMMYFUNCTION("""COMPUTED_VALUE"""),44786)</f>
        <v>44786</v>
      </c>
      <c r="F220" s="5" t="str">
        <f ca="1">IFERROR(__xludf.DUMMYFUNCTION("""COMPUTED_VALUE"""),"Mabelvale Elementary School")</f>
        <v>Mabelvale Elementary School</v>
      </c>
      <c r="G220" s="5">
        <f ca="1">IFERROR(__xludf.DUMMYFUNCTION("""COMPUTED_VALUE"""),0)</f>
        <v>0</v>
      </c>
      <c r="H220" s="5">
        <f ca="1">IFERROR(__xludf.DUMMYFUNCTION("""COMPUTED_VALUE"""),0)</f>
        <v>0</v>
      </c>
      <c r="I220" s="5">
        <f ca="1">IFERROR(__xludf.DUMMYFUNCTION("""COMPUTED_VALUE"""),0)</f>
        <v>0</v>
      </c>
      <c r="J220" s="5">
        <f ca="1">IFERROR(__xludf.DUMMYFUNCTION("""COMPUTED_VALUE"""),0)</f>
        <v>0</v>
      </c>
      <c r="K220" s="5" t="str">
        <f ca="1">IFERROR(__xludf.DUMMYFUNCTION("""COMPUTED_VALUE"""),"https://www.thv11.com/article/news/crime/shots-fired-mabelvale-elementary/91-2495aacf-b385-48af-ae3c-8dedb5e62f8a 
https://www.fox16.com/news/local-news/little-rock-police-investigating-shots-fired-at-mabelvale-elementary-school/")</f>
        <v>https://www.thv11.com/article/news/crime/shots-fired-mabelvale-elementary/91-2495aacf-b385-48af-ae3c-8dedb5e62f8a 
https://www.fox16.com/news/local-news/little-rock-police-investigating-shots-fired-at-mabelvale-elementary-school/</v>
      </c>
      <c r="L220" s="5">
        <f ca="1">IFERROR(__xludf.DUMMYFUNCTION("""COMPUTED_VALUE"""),2)</f>
        <v>2</v>
      </c>
      <c r="M220" s="5" t="str">
        <f ca="1">IFERROR(__xludf.DUMMYFUNCTION("""COMPUTED_VALUE"""),"Local")</f>
        <v>Local</v>
      </c>
      <c r="N220" s="5">
        <f ca="1">IFERROR(__xludf.DUMMYFUNCTION("""COMPUTED_VALUE"""),3)</f>
        <v>3</v>
      </c>
      <c r="O220" s="5" t="str">
        <f ca="1">IFERROR(__xludf.DUMMYFUNCTION("""COMPUTED_VALUE"""),"Summer")</f>
        <v>Summer</v>
      </c>
      <c r="P220" s="5" t="str">
        <f ca="1">IFERROR(__xludf.DUMMYFUNCTION("""COMPUTED_VALUE"""),"Little Rock")</f>
        <v>Little Rock</v>
      </c>
      <c r="Q220" s="5" t="str">
        <f ca="1">IFERROR(__xludf.DUMMYFUNCTION("""COMPUTED_VALUE"""),"AR")</f>
        <v>AR</v>
      </c>
      <c r="R220" s="5" t="str">
        <f ca="1">IFERROR(__xludf.DUMMYFUNCTION("""COMPUTED_VALUE"""),"Elementary")</f>
        <v>Elementary</v>
      </c>
      <c r="S220" s="5" t="str">
        <f ca="1">IFERROR(__xludf.DUMMYFUNCTION("""COMPUTED_VALUE"""),"Front of School")</f>
        <v>Front of School</v>
      </c>
      <c r="T220" s="5" t="str">
        <f ca="1">IFERROR(__xludf.DUMMYFUNCTION("""COMPUTED_VALUE"""),"Outside on School Property")</f>
        <v>Outside on School Property</v>
      </c>
      <c r="U220" s="5" t="str">
        <f ca="1">IFERROR(__xludf.DUMMYFUNCTION("""COMPUTED_VALUE"""),"No")</f>
        <v>No</v>
      </c>
      <c r="V220" s="5" t="str">
        <f ca="1">IFERROR(__xludf.DUMMYFUNCTION("""COMPUTED_VALUE"""),"Not a School Day")</f>
        <v>Not a School Day</v>
      </c>
      <c r="W220" s="10">
        <f ca="1">IFERROR(__xludf.DUMMYFUNCTION("""COMPUTED_VALUE"""),0.625)</f>
        <v>0.625</v>
      </c>
      <c r="X220" s="5">
        <f ca="1">IFERROR(__xludf.DUMMYFUNCTION("""COMPUTED_VALUE"""),1)</f>
        <v>1</v>
      </c>
      <c r="Y220" s="5" t="str">
        <f ca="1">IFERROR(__xludf.DUMMYFUNCTION("""COMPUTED_VALUE"""),"Shots fired in front of school and struck school building")</f>
        <v>Shots fired in front of school and struck school building</v>
      </c>
      <c r="Z220" s="5" t="str">
        <f ca="1">IFERROR(__xludf.DUMMYFUNCTION("""COMPUTED_VALUE"""),"Shots fired in front of school and struck school building. Shooter fled. No injuries.")</f>
        <v>Shots fired in front of school and struck school building. Shooter fled. No injuries.</v>
      </c>
      <c r="AA220" s="5"/>
      <c r="AB220" s="5"/>
      <c r="AC220" s="5" t="str">
        <f ca="1">IFERROR(__xludf.DUMMYFUNCTION("""COMPUTED_VALUE"""),"No")</f>
        <v>No</v>
      </c>
      <c r="AD220" s="5" t="str">
        <f ca="1">IFERROR(__xludf.DUMMYFUNCTION("""COMPUTED_VALUE"""),"No")</f>
        <v>No</v>
      </c>
      <c r="AE220" s="5" t="str">
        <f ca="1">IFERROR(__xludf.DUMMYFUNCTION("""COMPUTED_VALUE"""),"No")</f>
        <v>No</v>
      </c>
      <c r="AF220" s="5" t="str">
        <f ca="1">IFERROR(__xludf.DUMMYFUNCTION("""COMPUTED_VALUE"""),"No")</f>
        <v>No</v>
      </c>
      <c r="AG220" s="5" t="str">
        <f ca="1">IFERROR(__xludf.DUMMYFUNCTION("""COMPUTED_VALUE"""),"No")</f>
        <v>No</v>
      </c>
      <c r="AH220" s="5" t="str">
        <f ca="1">IFERROR(__xludf.DUMMYFUNCTION("""COMPUTED_VALUE"""),"No")</f>
        <v>No</v>
      </c>
      <c r="AI220" s="5"/>
      <c r="AJ220" s="5" t="str">
        <f ca="1">IFERROR(__xludf.DUMMYFUNCTION("""COMPUTED_VALUE"""),"No")</f>
        <v>No</v>
      </c>
    </row>
    <row r="221" spans="1:36" ht="13">
      <c r="A221" s="5" t="str">
        <f ca="1">IFERROR(__xludf.DUMMYFUNCTION("""COMPUTED_VALUE"""),"20220812CASIV")</f>
        <v>20220812CASIV</v>
      </c>
      <c r="B221" s="5">
        <f ca="1">IFERROR(__xludf.DUMMYFUNCTION("""COMPUTED_VALUE"""),8)</f>
        <v>8</v>
      </c>
      <c r="C221" s="5">
        <f ca="1">IFERROR(__xludf.DUMMYFUNCTION("""COMPUTED_VALUE"""),12)</f>
        <v>12</v>
      </c>
      <c r="D221" s="5">
        <f ca="1">IFERROR(__xludf.DUMMYFUNCTION("""COMPUTED_VALUE"""),2022)</f>
        <v>2022</v>
      </c>
      <c r="E221" s="8">
        <f ca="1">IFERROR(__xludf.DUMMYFUNCTION("""COMPUTED_VALUE"""),44785)</f>
        <v>44785</v>
      </c>
      <c r="F221" s="5" t="str">
        <f ca="1">IFERROR(__xludf.DUMMYFUNCTION("""COMPUTED_VALUE"""),"Silverado High School")</f>
        <v>Silverado High School</v>
      </c>
      <c r="G221" s="5">
        <f ca="1">IFERROR(__xludf.DUMMYFUNCTION("""COMPUTED_VALUE"""),0)</f>
        <v>0</v>
      </c>
      <c r="H221" s="5">
        <f ca="1">IFERROR(__xludf.DUMMYFUNCTION("""COMPUTED_VALUE"""),0)</f>
        <v>0</v>
      </c>
      <c r="I221" s="5">
        <f ca="1">IFERROR(__xludf.DUMMYFUNCTION("""COMPUTED_VALUE"""),0)</f>
        <v>0</v>
      </c>
      <c r="J221" s="5">
        <f ca="1">IFERROR(__xludf.DUMMYFUNCTION("""COMPUTED_VALUE"""),0)</f>
        <v>0</v>
      </c>
      <c r="K221" s="9" t="str">
        <f ca="1">IFERROR(__xludf.DUMMYFUNCTION("""COMPUTED_VALUE"""),"https://www.vvng.com/reports-of-a-shooting-at-silverado-high-school-in-victorville-are-unfounded/
https://sports.yahoo.com/shots-ring-serrano-high-school-050531605.html")</f>
        <v>https://www.vvng.com/reports-of-a-shooting-at-silverado-high-school-in-victorville-are-unfounded/
https://sports.yahoo.com/shots-ring-serrano-high-school-050531605.html</v>
      </c>
      <c r="L221" s="5">
        <f ca="1">IFERROR(__xludf.DUMMYFUNCTION("""COMPUTED_VALUE"""),2)</f>
        <v>2</v>
      </c>
      <c r="M221" s="5" t="str">
        <f ca="1">IFERROR(__xludf.DUMMYFUNCTION("""COMPUTED_VALUE"""),"Local")</f>
        <v>Local</v>
      </c>
      <c r="N221" s="5">
        <f ca="1">IFERROR(__xludf.DUMMYFUNCTION("""COMPUTED_VALUE"""),4)</f>
        <v>4</v>
      </c>
      <c r="O221" s="5" t="str">
        <f ca="1">IFERROR(__xludf.DUMMYFUNCTION("""COMPUTED_VALUE"""),"Summer")</f>
        <v>Summer</v>
      </c>
      <c r="P221" s="5" t="str">
        <f ca="1">IFERROR(__xludf.DUMMYFUNCTION("""COMPUTED_VALUE"""),"Victorville")</f>
        <v>Victorville</v>
      </c>
      <c r="Q221" s="5" t="str">
        <f ca="1">IFERROR(__xludf.DUMMYFUNCTION("""COMPUTED_VALUE"""),"CA")</f>
        <v>CA</v>
      </c>
      <c r="R221" s="5" t="str">
        <f ca="1">IFERROR(__xludf.DUMMYFUNCTION("""COMPUTED_VALUE"""),"High")</f>
        <v>High</v>
      </c>
      <c r="S221" s="5" t="str">
        <f ca="1">IFERROR(__xludf.DUMMYFUNCTION("""COMPUTED_VALUE"""),"Parking Lot")</f>
        <v>Parking Lot</v>
      </c>
      <c r="T221" s="5" t="str">
        <f ca="1">IFERROR(__xludf.DUMMYFUNCTION("""COMPUTED_VALUE"""),"Outside on School Property")</f>
        <v>Outside on School Property</v>
      </c>
      <c r="U221" s="5" t="str">
        <f ca="1">IFERROR(__xludf.DUMMYFUNCTION("""COMPUTED_VALUE"""),"No")</f>
        <v>No</v>
      </c>
      <c r="V221" s="5" t="str">
        <f ca="1">IFERROR(__xludf.DUMMYFUNCTION("""COMPUTED_VALUE"""),"Sport Event")</f>
        <v>Sport Event</v>
      </c>
      <c r="W221" s="10">
        <f ca="1">IFERROR(__xludf.DUMMYFUNCTION("""COMPUTED_VALUE"""),0.861111111111111)</f>
        <v>0.86111111111111105</v>
      </c>
      <c r="X221" s="5">
        <f ca="1">IFERROR(__xludf.DUMMYFUNCTION("""COMPUTED_VALUE"""),1)</f>
        <v>1</v>
      </c>
      <c r="Y221" s="5" t="str">
        <f ca="1">IFERROR(__xludf.DUMMYFUNCTION("""COMPUTED_VALUE"""),"Shots fired in school parking lot following football game")</f>
        <v>Shots fired in school parking lot following football game</v>
      </c>
      <c r="Z221" s="5" t="str">
        <f ca="1">IFERROR(__xludf.DUMMYFUNCTION("""COMPUTED_VALUE"""),"Five shots were fired in the parking lot of the school as attendees exited the football stadium. Shooter fled. No injuries.")</f>
        <v>Five shots were fired in the parking lot of the school as attendees exited the football stadium. Shooter fled. No injuries.</v>
      </c>
      <c r="AA221" s="5"/>
      <c r="AB221" s="5"/>
      <c r="AC221" s="5" t="str">
        <f ca="1">IFERROR(__xludf.DUMMYFUNCTION("""COMPUTED_VALUE"""),"No")</f>
        <v>No</v>
      </c>
      <c r="AD221" s="5" t="str">
        <f ca="1">IFERROR(__xludf.DUMMYFUNCTION("""COMPUTED_VALUE"""),"No")</f>
        <v>No</v>
      </c>
      <c r="AE221" s="5" t="str">
        <f ca="1">IFERROR(__xludf.DUMMYFUNCTION("""COMPUTED_VALUE"""),"No")</f>
        <v>No</v>
      </c>
      <c r="AF221" s="5" t="str">
        <f ca="1">IFERROR(__xludf.DUMMYFUNCTION("""COMPUTED_VALUE"""),"No")</f>
        <v>No</v>
      </c>
      <c r="AG221" s="5" t="str">
        <f ca="1">IFERROR(__xludf.DUMMYFUNCTION("""COMPUTED_VALUE"""),"No")</f>
        <v>No</v>
      </c>
      <c r="AH221" s="5" t="str">
        <f ca="1">IFERROR(__xludf.DUMMYFUNCTION("""COMPUTED_VALUE"""),"No")</f>
        <v>No</v>
      </c>
      <c r="AI221" s="5"/>
      <c r="AJ221" s="5" t="str">
        <f ca="1">IFERROR(__xludf.DUMMYFUNCTION("""COMPUTED_VALUE"""),"No")</f>
        <v>No</v>
      </c>
    </row>
    <row r="222" spans="1:36" ht="13">
      <c r="A222" s="5" t="str">
        <f ca="1">IFERROR(__xludf.DUMMYFUNCTION("""COMPUTED_VALUE"""),"20220811GAUCB")</f>
        <v>20220811GAUCB</v>
      </c>
      <c r="B222" s="5">
        <f ca="1">IFERROR(__xludf.DUMMYFUNCTION("""COMPUTED_VALUE"""),8)</f>
        <v>8</v>
      </c>
      <c r="C222" s="5">
        <f ca="1">IFERROR(__xludf.DUMMYFUNCTION("""COMPUTED_VALUE"""),11)</f>
        <v>11</v>
      </c>
      <c r="D222" s="5">
        <f ca="1">IFERROR(__xludf.DUMMYFUNCTION("""COMPUTED_VALUE"""),2022)</f>
        <v>2022</v>
      </c>
      <c r="E222" s="8">
        <f ca="1">IFERROR(__xludf.DUMMYFUNCTION("""COMPUTED_VALUE"""),44784)</f>
        <v>44784</v>
      </c>
      <c r="F222" s="5" t="str">
        <f ca="1">IFERROR(__xludf.DUMMYFUNCTION("""COMPUTED_VALUE"""),"Union County Primary School")</f>
        <v>Union County Primary School</v>
      </c>
      <c r="G222" s="5">
        <f ca="1">IFERROR(__xludf.DUMMYFUNCTION("""COMPUTED_VALUE"""),0)</f>
        <v>0</v>
      </c>
      <c r="H222" s="5">
        <f ca="1">IFERROR(__xludf.DUMMYFUNCTION("""COMPUTED_VALUE"""),0)</f>
        <v>0</v>
      </c>
      <c r="I222" s="5">
        <f ca="1">IFERROR(__xludf.DUMMYFUNCTION("""COMPUTED_VALUE"""),0)</f>
        <v>0</v>
      </c>
      <c r="J222" s="5">
        <f ca="1">IFERROR(__xludf.DUMMYFUNCTION("""COMPUTED_VALUE"""),0)</f>
        <v>0</v>
      </c>
      <c r="K222" s="9" t="str">
        <f ca="1">IFERROR(__xludf.DUMMYFUNCTION("""COMPUTED_VALUE"""),"https://www.wsbtv.com/news/local/union-county-schools-employee-fires-shots-into-vehicle-school-campus-gbi-says/AVSIFE5YPVD7ZO5QFZ3EHPXIAE/
https://www.wyff4.com/article/school-employee-arrested-union-county-ga-shooting/40881797
https://gbi.georgia.gov/pre"&amp;"ss-releases/2022-08-12/gbi-investigates-union-county-school-shooting-incident")</f>
        <v>https://www.wsbtv.com/news/local/union-county-schools-employee-fires-shots-into-vehicle-school-campus-gbi-says/AVSIFE5YPVD7ZO5QFZ3EHPXIAE/
https://www.wyff4.com/article/school-employee-arrested-union-county-ga-shooting/40881797
https://gbi.georgia.gov/press-releases/2022-08-12/gbi-investigates-union-county-school-shooting-incident</v>
      </c>
      <c r="L222" s="5">
        <f ca="1">IFERROR(__xludf.DUMMYFUNCTION("""COMPUTED_VALUE"""),10)</f>
        <v>10</v>
      </c>
      <c r="M222" s="5" t="str">
        <f ca="1">IFERROR(__xludf.DUMMYFUNCTION("""COMPUTED_VALUE"""),"Regional")</f>
        <v>Regional</v>
      </c>
      <c r="N222" s="5">
        <f ca="1">IFERROR(__xludf.DUMMYFUNCTION("""COMPUTED_VALUE"""),4)</f>
        <v>4</v>
      </c>
      <c r="O222" s="5" t="str">
        <f ca="1">IFERROR(__xludf.DUMMYFUNCTION("""COMPUTED_VALUE"""),"Summer")</f>
        <v>Summer</v>
      </c>
      <c r="P222" s="5" t="str">
        <f ca="1">IFERROR(__xludf.DUMMYFUNCTION("""COMPUTED_VALUE"""),"Blairsville")</f>
        <v>Blairsville</v>
      </c>
      <c r="Q222" s="5" t="str">
        <f ca="1">IFERROR(__xludf.DUMMYFUNCTION("""COMPUTED_VALUE"""),"GA")</f>
        <v>GA</v>
      </c>
      <c r="R222" s="5" t="str">
        <f ca="1">IFERROR(__xludf.DUMMYFUNCTION("""COMPUTED_VALUE"""),"Elementary")</f>
        <v>Elementary</v>
      </c>
      <c r="S222" s="5" t="str">
        <f ca="1">IFERROR(__xludf.DUMMYFUNCTION("""COMPUTED_VALUE"""),"Parking Lot")</f>
        <v>Parking Lot</v>
      </c>
      <c r="T222" s="5" t="str">
        <f ca="1">IFERROR(__xludf.DUMMYFUNCTION("""COMPUTED_VALUE"""),"Outside on School Property")</f>
        <v>Outside on School Property</v>
      </c>
      <c r="U222" s="5" t="str">
        <f ca="1">IFERROR(__xludf.DUMMYFUNCTION("""COMPUTED_VALUE"""),"Yes")</f>
        <v>Yes</v>
      </c>
      <c r="V222" s="5" t="str">
        <f ca="1">IFERROR(__xludf.DUMMYFUNCTION("""COMPUTED_VALUE"""),"Afternoon Classes")</f>
        <v>Afternoon Classes</v>
      </c>
      <c r="W222" s="10">
        <f ca="1">IFERROR(__xludf.DUMMYFUNCTION("""COMPUTED_VALUE"""),0.59375)</f>
        <v>0.59375</v>
      </c>
      <c r="X222" s="5">
        <f ca="1">IFERROR(__xludf.DUMMYFUNCTION("""COMPUTED_VALUE"""),1)</f>
        <v>1</v>
      </c>
      <c r="Y222" s="5" t="str">
        <f ca="1">IFERROR(__xludf.DUMMYFUNCTION("""COMPUTED_VALUE"""),"Maintenance employee fired multiple shots at a car in the school parking lot")</f>
        <v>Maintenance employee fired multiple shots at a car in the school parking lot</v>
      </c>
      <c r="Z222" s="5" t="str">
        <f ca="1">IFERROR(__xludf.DUMMYFUNCTION("""COMPUTED_VALUE"""),"While teachers were conducting class lesson planning for the school year, a maintenance employee fired multiple shots at a vehicle in the school parking lot. Shooter fled the scene and was arrested following a manhunt. Charged with multiple felonies. ")</f>
        <v xml:space="preserve">While teachers were conducting class lesson planning for the school year, a maintenance employee fired multiple shots at a vehicle in the school parking lot. Shooter fled the scene and was arrested following a manhunt. Charged with multiple felonies. </v>
      </c>
      <c r="AA222" s="5" t="str">
        <f ca="1">IFERROR(__xludf.DUMMYFUNCTION("""COMPUTED_VALUE"""),"Intentional Property Damage")</f>
        <v>Intentional Property Damage</v>
      </c>
      <c r="AB222" s="5" t="str">
        <f ca="1">IFERROR(__xludf.DUMMYFUNCTION("""COMPUTED_VALUE"""),"Neither")</f>
        <v>Neither</v>
      </c>
      <c r="AC222" s="5" t="str">
        <f ca="1">IFERROR(__xludf.DUMMYFUNCTION("""COMPUTED_VALUE"""),"No")</f>
        <v>No</v>
      </c>
      <c r="AD222" s="5" t="str">
        <f ca="1">IFERROR(__xludf.DUMMYFUNCTION("""COMPUTED_VALUE"""),"No")</f>
        <v>No</v>
      </c>
      <c r="AE222" s="5" t="str">
        <f ca="1">IFERROR(__xludf.DUMMYFUNCTION("""COMPUTED_VALUE"""),"No")</f>
        <v>No</v>
      </c>
      <c r="AF222" s="5" t="str">
        <f ca="1">IFERROR(__xludf.DUMMYFUNCTION("""COMPUTED_VALUE"""),"No")</f>
        <v>No</v>
      </c>
      <c r="AG222" s="5" t="str">
        <f ca="1">IFERROR(__xludf.DUMMYFUNCTION("""COMPUTED_VALUE"""),"No")</f>
        <v>No</v>
      </c>
      <c r="AH222" s="5"/>
      <c r="AI222" s="5"/>
      <c r="AJ222" s="5" t="str">
        <f ca="1">IFERROR(__xludf.DUMMYFUNCTION("""COMPUTED_VALUE"""),"No")</f>
        <v>No</v>
      </c>
    </row>
    <row r="223" spans="1:36" ht="13">
      <c r="A223" s="5" t="str">
        <f ca="1">IFERROR(__xludf.DUMMYFUNCTION("""COMPUTED_VALUE"""),"20220810GAMCA")</f>
        <v>20220810GAMCA</v>
      </c>
      <c r="B223" s="5">
        <f ca="1">IFERROR(__xludf.DUMMYFUNCTION("""COMPUTED_VALUE"""),8)</f>
        <v>8</v>
      </c>
      <c r="C223" s="5">
        <f ca="1">IFERROR(__xludf.DUMMYFUNCTION("""COMPUTED_VALUE"""),10)</f>
        <v>10</v>
      </c>
      <c r="D223" s="5">
        <f ca="1">IFERROR(__xludf.DUMMYFUNCTION("""COMPUTED_VALUE"""),2022)</f>
        <v>2022</v>
      </c>
      <c r="E223" s="8">
        <f ca="1">IFERROR(__xludf.DUMMYFUNCTION("""COMPUTED_VALUE"""),44783)</f>
        <v>44783</v>
      </c>
      <c r="F223" s="5" t="str">
        <f ca="1">IFERROR(__xludf.DUMMYFUNCTION("""COMPUTED_VALUE"""),"McDonough High School")</f>
        <v>McDonough High School</v>
      </c>
      <c r="G223" s="5">
        <f ca="1">IFERROR(__xludf.DUMMYFUNCTION("""COMPUTED_VALUE"""),0)</f>
        <v>0</v>
      </c>
      <c r="H223" s="5">
        <f ca="1">IFERROR(__xludf.DUMMYFUNCTION("""COMPUTED_VALUE"""),0)</f>
        <v>0</v>
      </c>
      <c r="I223" s="5">
        <f ca="1">IFERROR(__xludf.DUMMYFUNCTION("""COMPUTED_VALUE"""),0)</f>
        <v>0</v>
      </c>
      <c r="J223" s="5">
        <f ca="1">IFERROR(__xludf.DUMMYFUNCTION("""COMPUTED_VALUE"""),0)</f>
        <v>0</v>
      </c>
      <c r="K223" s="9" t="str">
        <f ca="1">IFERROR(__xludf.DUMMYFUNCTION("""COMPUTED_VALUE"""),"https://www.cbs46.com/2022/08/10/mcdonough-high-school-under-soft-lockdown/
https://www.11alive.com/article/news/local/henry-county-high-lockdown/85-3fef23a6-d1b9-47e3-8f26-4e97e6cd9ed5")</f>
        <v>https://www.cbs46.com/2022/08/10/mcdonough-high-school-under-soft-lockdown/
https://www.11alive.com/article/news/local/henry-county-high-lockdown/85-3fef23a6-d1b9-47e3-8f26-4e97e6cd9ed5</v>
      </c>
      <c r="L223" s="5">
        <f ca="1">IFERROR(__xludf.DUMMYFUNCTION("""COMPUTED_VALUE"""),5)</f>
        <v>5</v>
      </c>
      <c r="M223" s="5" t="str">
        <f ca="1">IFERROR(__xludf.DUMMYFUNCTION("""COMPUTED_VALUE"""),"Regional")</f>
        <v>Regional</v>
      </c>
      <c r="N223" s="5">
        <f ca="1">IFERROR(__xludf.DUMMYFUNCTION("""COMPUTED_VALUE"""),4)</f>
        <v>4</v>
      </c>
      <c r="O223" s="5" t="str">
        <f ca="1">IFERROR(__xludf.DUMMYFUNCTION("""COMPUTED_VALUE"""),"Summer")</f>
        <v>Summer</v>
      </c>
      <c r="P223" s="5" t="str">
        <f ca="1">IFERROR(__xludf.DUMMYFUNCTION("""COMPUTED_VALUE"""),"McDonough")</f>
        <v>McDonough</v>
      </c>
      <c r="Q223" s="5" t="str">
        <f ca="1">IFERROR(__xludf.DUMMYFUNCTION("""COMPUTED_VALUE"""),"GA")</f>
        <v>GA</v>
      </c>
      <c r="R223" s="5" t="str">
        <f ca="1">IFERROR(__xludf.DUMMYFUNCTION("""COMPUTED_VALUE"""),"High")</f>
        <v>High</v>
      </c>
      <c r="S223" s="5" t="str">
        <f ca="1">IFERROR(__xludf.DUMMYFUNCTION("""COMPUTED_VALUE"""),"Gym")</f>
        <v>Gym</v>
      </c>
      <c r="T223" s="5" t="str">
        <f ca="1">IFERROR(__xludf.DUMMYFUNCTION("""COMPUTED_VALUE"""),"Inside School Building")</f>
        <v>Inside School Building</v>
      </c>
      <c r="U223" s="5" t="str">
        <f ca="1">IFERROR(__xludf.DUMMYFUNCTION("""COMPUTED_VALUE"""),"Yes")</f>
        <v>Yes</v>
      </c>
      <c r="V223" s="5" t="str">
        <f ca="1">IFERROR(__xludf.DUMMYFUNCTION("""COMPUTED_VALUE"""),"Morning Classes")</f>
        <v>Morning Classes</v>
      </c>
      <c r="W223" s="10">
        <f ca="1">IFERROR(__xludf.DUMMYFUNCTION("""COMPUTED_VALUE"""),0.479166666666666)</f>
        <v>0.47916666666666602</v>
      </c>
      <c r="X223" s="5">
        <f ca="1">IFERROR(__xludf.DUMMYFUNCTION("""COMPUTED_VALUE"""),1)</f>
        <v>1</v>
      </c>
      <c r="Y223" s="5" t="str">
        <f ca="1">IFERROR(__xludf.DUMMYFUNCTION("""COMPUTED_VALUE"""),"Gun inside backpack discharged when student dropped bag inside the gym")</f>
        <v>Gun inside backpack discharged when student dropped bag inside the gym</v>
      </c>
      <c r="Z223" s="5" t="str">
        <f ca="1">IFERROR(__xludf.DUMMYFUNCTION("""COMPUTED_VALUE"""),"A gun discharged inside the backpack of an 18-year-old student when he dropped it in the gym. School went into lockdown. SRO found shooter and recovered two guns from his backpack. No injuries.")</f>
        <v>A gun discharged inside the backpack of an 18-year-old student when he dropped it in the gym. School went into lockdown. SRO found shooter and recovered two guns from his backpack. No injuries.</v>
      </c>
      <c r="AA223" s="5" t="str">
        <f ca="1">IFERROR(__xludf.DUMMYFUNCTION("""COMPUTED_VALUE"""),"Accidental")</f>
        <v>Accidental</v>
      </c>
      <c r="AB223" s="5" t="str">
        <f ca="1">IFERROR(__xludf.DUMMYFUNCTION("""COMPUTED_VALUE"""),"Neither")</f>
        <v>Neither</v>
      </c>
      <c r="AC223" s="5" t="str">
        <f ca="1">IFERROR(__xludf.DUMMYFUNCTION("""COMPUTED_VALUE"""),"No")</f>
        <v>No</v>
      </c>
      <c r="AD223" s="5" t="str">
        <f ca="1">IFERROR(__xludf.DUMMYFUNCTION("""COMPUTED_VALUE"""),"No")</f>
        <v>No</v>
      </c>
      <c r="AE223" s="5" t="str">
        <f ca="1">IFERROR(__xludf.DUMMYFUNCTION("""COMPUTED_VALUE"""),"No")</f>
        <v>No</v>
      </c>
      <c r="AF223" s="5" t="str">
        <f ca="1">IFERROR(__xludf.DUMMYFUNCTION("""COMPUTED_VALUE"""),"No")</f>
        <v>No</v>
      </c>
      <c r="AG223" s="5" t="str">
        <f ca="1">IFERROR(__xludf.DUMMYFUNCTION("""COMPUTED_VALUE"""),"No")</f>
        <v>No</v>
      </c>
      <c r="AH223" s="5" t="str">
        <f ca="1">IFERROR(__xludf.DUMMYFUNCTION("""COMPUTED_VALUE"""),"No")</f>
        <v>No</v>
      </c>
      <c r="AI223" s="5" t="str">
        <f ca="1">IFERROR(__xludf.DUMMYFUNCTION("""COMPUTED_VALUE"""),"No")</f>
        <v>No</v>
      </c>
      <c r="AJ223" s="5" t="str">
        <f ca="1">IFERROR(__xludf.DUMMYFUNCTION("""COMPUTED_VALUE"""),"No")</f>
        <v>No</v>
      </c>
    </row>
    <row r="224" spans="1:36" ht="13">
      <c r="A224" s="5" t="str">
        <f ca="1">IFERROR(__xludf.DUMMYFUNCTION("""COMPUTED_VALUE"""),"20220809PACHP")</f>
        <v>20220809PACHP</v>
      </c>
      <c r="B224" s="5">
        <f ca="1">IFERROR(__xludf.DUMMYFUNCTION("""COMPUTED_VALUE"""),8)</f>
        <v>8</v>
      </c>
      <c r="C224" s="5">
        <f ca="1">IFERROR(__xludf.DUMMYFUNCTION("""COMPUTED_VALUE"""),9)</f>
        <v>9</v>
      </c>
      <c r="D224" s="5">
        <f ca="1">IFERROR(__xludf.DUMMYFUNCTION("""COMPUTED_VALUE"""),2022)</f>
        <v>2022</v>
      </c>
      <c r="E224" s="8">
        <f ca="1">IFERROR(__xludf.DUMMYFUNCTION("""COMPUTED_VALUE"""),44781)</f>
        <v>44781</v>
      </c>
      <c r="F224" s="5" t="str">
        <f ca="1">IFERROR(__xludf.DUMMYFUNCTION("""COMPUTED_VALUE"""),"Charles B. Warring Elementary School")</f>
        <v>Charles B. Warring Elementary School</v>
      </c>
      <c r="G224" s="5">
        <f ca="1">IFERROR(__xludf.DUMMYFUNCTION("""COMPUTED_VALUE"""),1)</f>
        <v>1</v>
      </c>
      <c r="H224" s="5">
        <f ca="1">IFERROR(__xludf.DUMMYFUNCTION("""COMPUTED_VALUE"""),1)</f>
        <v>1</v>
      </c>
      <c r="I224" s="5">
        <f ca="1">IFERROR(__xludf.DUMMYFUNCTION("""COMPUTED_VALUE"""),0)</f>
        <v>0</v>
      </c>
      <c r="J224" s="5">
        <f ca="1">IFERROR(__xludf.DUMMYFUNCTION("""COMPUTED_VALUE"""),0)</f>
        <v>0</v>
      </c>
      <c r="K224" s="9" t="str">
        <f ca="1">IFERROR(__xludf.DUMMYFUNCTION("""COMPUTED_VALUE"""),"https://hudsonvalleypost.com/hudson-valley-man-fatally-shot-outside-new-york-school-poughkeepsie-dutchess-county/")</f>
        <v>https://hudsonvalleypost.com/hudson-valley-man-fatally-shot-outside-new-york-school-poughkeepsie-dutchess-county/</v>
      </c>
      <c r="L224" s="5">
        <f ca="1">IFERROR(__xludf.DUMMYFUNCTION("""COMPUTED_VALUE"""),1)</f>
        <v>1</v>
      </c>
      <c r="M224" s="5" t="str">
        <f ca="1">IFERROR(__xludf.DUMMYFUNCTION("""COMPUTED_VALUE"""),"Local")</f>
        <v>Local</v>
      </c>
      <c r="N224" s="5">
        <f ca="1">IFERROR(__xludf.DUMMYFUNCTION("""COMPUTED_VALUE"""),2)</f>
        <v>2</v>
      </c>
      <c r="O224" s="5" t="str">
        <f ca="1">IFERROR(__xludf.DUMMYFUNCTION("""COMPUTED_VALUE"""),"Summer")</f>
        <v>Summer</v>
      </c>
      <c r="P224" s="5" t="str">
        <f ca="1">IFERROR(__xludf.DUMMYFUNCTION("""COMPUTED_VALUE"""),"Poughkeepsie")</f>
        <v>Poughkeepsie</v>
      </c>
      <c r="Q224" s="5" t="str">
        <f ca="1">IFERROR(__xludf.DUMMYFUNCTION("""COMPUTED_VALUE"""),"PA")</f>
        <v>PA</v>
      </c>
      <c r="R224" s="5" t="str">
        <f ca="1">IFERROR(__xludf.DUMMYFUNCTION("""COMPUTED_VALUE"""),"Elementary")</f>
        <v>Elementary</v>
      </c>
      <c r="S224" s="5" t="str">
        <f ca="1">IFERROR(__xludf.DUMMYFUNCTION("""COMPUTED_VALUE"""),"Front of School")</f>
        <v>Front of School</v>
      </c>
      <c r="T224" s="5" t="str">
        <f ca="1">IFERROR(__xludf.DUMMYFUNCTION("""COMPUTED_VALUE"""),"Outside on School Property")</f>
        <v>Outside on School Property</v>
      </c>
      <c r="U224" s="5" t="str">
        <f ca="1">IFERROR(__xludf.DUMMYFUNCTION("""COMPUTED_VALUE"""),"No")</f>
        <v>No</v>
      </c>
      <c r="V224" s="5" t="str">
        <f ca="1">IFERROR(__xludf.DUMMYFUNCTION("""COMPUTED_VALUE"""),"Night")</f>
        <v>Night</v>
      </c>
      <c r="W224" s="10">
        <f ca="1">IFERROR(__xludf.DUMMYFUNCTION("""COMPUTED_VALUE"""),0.0722222222222222)</f>
        <v>7.2222222222222202E-2</v>
      </c>
      <c r="X224" s="5">
        <f ca="1">IFERROR(__xludf.DUMMYFUNCTION("""COMPUTED_VALUE"""),1)</f>
        <v>1</v>
      </c>
      <c r="Y224" s="5" t="str">
        <f ca="1">IFERROR(__xludf.DUMMYFUNCTION("""COMPUTED_VALUE"""),"Two men shot in front of school")</f>
        <v>Two men shot in front of school</v>
      </c>
      <c r="Z224" s="5" t="str">
        <f ca="1">IFERROR(__xludf.DUMMYFUNCTION("""COMPUTED_VALUE"""),"Two men were shot in front of the school. One man was killed and his body was found next to a vehicle in front of the building. Second man was wounded and walked to a hospital. Shooter fled.")</f>
        <v>Two men were shot in front of the school. One man was killed and his body was found next to a vehicle in front of the building. Second man was wounded and walked to a hospital. Shooter fled.</v>
      </c>
      <c r="AA224" s="5"/>
      <c r="AB224" s="5"/>
      <c r="AC224" s="5" t="str">
        <f ca="1">IFERROR(__xludf.DUMMYFUNCTION("""COMPUTED_VALUE"""),"No")</f>
        <v>No</v>
      </c>
      <c r="AD224" s="5" t="str">
        <f ca="1">IFERROR(__xludf.DUMMYFUNCTION("""COMPUTED_VALUE"""),"No")</f>
        <v>No</v>
      </c>
      <c r="AE224" s="5" t="str">
        <f ca="1">IFERROR(__xludf.DUMMYFUNCTION("""COMPUTED_VALUE"""),"No")</f>
        <v>No</v>
      </c>
      <c r="AF224" s="5" t="str">
        <f ca="1">IFERROR(__xludf.DUMMYFUNCTION("""COMPUTED_VALUE"""),"No")</f>
        <v>No</v>
      </c>
      <c r="AG224" s="5" t="str">
        <f ca="1">IFERROR(__xludf.DUMMYFUNCTION("""COMPUTED_VALUE"""),"No")</f>
        <v>No</v>
      </c>
      <c r="AH224" s="5" t="str">
        <f ca="1">IFERROR(__xludf.DUMMYFUNCTION("""COMPUTED_VALUE"""),"No")</f>
        <v>No</v>
      </c>
      <c r="AI224" s="5"/>
      <c r="AJ224" s="5" t="str">
        <f ca="1">IFERROR(__xludf.DUMMYFUNCTION("""COMPUTED_VALUE"""),"No")</f>
        <v>No</v>
      </c>
    </row>
    <row r="225" spans="1:36" ht="13">
      <c r="A225" s="5" t="str">
        <f ca="1">IFERROR(__xludf.DUMMYFUNCTION("""COMPUTED_VALUE"""),"20220805MATHL")</f>
        <v>20220805MATHL</v>
      </c>
      <c r="B225" s="5">
        <f ca="1">IFERROR(__xludf.DUMMYFUNCTION("""COMPUTED_VALUE"""),8)</f>
        <v>8</v>
      </c>
      <c r="C225" s="5">
        <f ca="1">IFERROR(__xludf.DUMMYFUNCTION("""COMPUTED_VALUE"""),5)</f>
        <v>5</v>
      </c>
      <c r="D225" s="5">
        <f ca="1">IFERROR(__xludf.DUMMYFUNCTION("""COMPUTED_VALUE"""),2022)</f>
        <v>2022</v>
      </c>
      <c r="E225" s="8">
        <f ca="1">IFERROR(__xludf.DUMMYFUNCTION("""COMPUTED_VALUE"""),44778)</f>
        <v>44778</v>
      </c>
      <c r="F225" s="5" t="str">
        <f ca="1">IFERROR(__xludf.DUMMYFUNCTION("""COMPUTED_VALUE"""),"Thurgood Marshall Middle School")</f>
        <v>Thurgood Marshall Middle School</v>
      </c>
      <c r="G225" s="5">
        <f ca="1">IFERROR(__xludf.DUMMYFUNCTION("""COMPUTED_VALUE"""),0)</f>
        <v>0</v>
      </c>
      <c r="H225" s="5">
        <f ca="1">IFERROR(__xludf.DUMMYFUNCTION("""COMPUTED_VALUE"""),0)</f>
        <v>0</v>
      </c>
      <c r="I225" s="5">
        <f ca="1">IFERROR(__xludf.DUMMYFUNCTION("""COMPUTED_VALUE"""),0)</f>
        <v>0</v>
      </c>
      <c r="J225" s="5">
        <f ca="1">IFERROR(__xludf.DUMMYFUNCTION("""COMPUTED_VALUE"""),0)</f>
        <v>0</v>
      </c>
      <c r="K225" s="9" t="str">
        <f ca="1">IFERROR(__xludf.DUMMYFUNCTION("""COMPUTED_VALUE"""),"https://www.wcvb.com/article/shoe-city-classic-canceled-shooting-lynn-massachusetts/40825240
https://www.nbcboston.com/news/local/shooting-breaks-out-during-basketball-game-in-lynn-mass/2801412/")</f>
        <v>https://www.wcvb.com/article/shoe-city-classic-canceled-shooting-lynn-massachusetts/40825240
https://www.nbcboston.com/news/local/shooting-breaks-out-during-basketball-game-in-lynn-mass/2801412/</v>
      </c>
      <c r="L225" s="5">
        <f ca="1">IFERROR(__xludf.DUMMYFUNCTION("""COMPUTED_VALUE"""),2)</f>
        <v>2</v>
      </c>
      <c r="M225" s="5" t="str">
        <f ca="1">IFERROR(__xludf.DUMMYFUNCTION("""COMPUTED_VALUE"""),"Local")</f>
        <v>Local</v>
      </c>
      <c r="N225" s="5">
        <f ca="1">IFERROR(__xludf.DUMMYFUNCTION("""COMPUTED_VALUE"""),4)</f>
        <v>4</v>
      </c>
      <c r="O225" s="5" t="str">
        <f ca="1">IFERROR(__xludf.DUMMYFUNCTION("""COMPUTED_VALUE"""),"Summer")</f>
        <v>Summer</v>
      </c>
      <c r="P225" s="5" t="str">
        <f ca="1">IFERROR(__xludf.DUMMYFUNCTION("""COMPUTED_VALUE"""),"Lynn")</f>
        <v>Lynn</v>
      </c>
      <c r="Q225" s="5" t="str">
        <f ca="1">IFERROR(__xludf.DUMMYFUNCTION("""COMPUTED_VALUE"""),"MA")</f>
        <v>MA</v>
      </c>
      <c r="R225" s="5" t="str">
        <f ca="1">IFERROR(__xludf.DUMMYFUNCTION("""COMPUTED_VALUE"""),"Middle")</f>
        <v>Middle</v>
      </c>
      <c r="S225" s="5" t="str">
        <f ca="1">IFERROR(__xludf.DUMMYFUNCTION("""COMPUTED_VALUE"""),"Parking Lot")</f>
        <v>Parking Lot</v>
      </c>
      <c r="T225" s="5" t="str">
        <f ca="1">IFERROR(__xludf.DUMMYFUNCTION("""COMPUTED_VALUE"""),"Outside on School Property")</f>
        <v>Outside on School Property</v>
      </c>
      <c r="U225" s="5" t="str">
        <f ca="1">IFERROR(__xludf.DUMMYFUNCTION("""COMPUTED_VALUE"""),"No")</f>
        <v>No</v>
      </c>
      <c r="V225" s="5" t="str">
        <f ca="1">IFERROR(__xludf.DUMMYFUNCTION("""COMPUTED_VALUE"""),"Sport Event")</f>
        <v>Sport Event</v>
      </c>
      <c r="W225" s="10">
        <f ca="1">IFERROR(__xludf.DUMMYFUNCTION("""COMPUTED_VALUE"""),0.944444444444444)</f>
        <v>0.94444444444444398</v>
      </c>
      <c r="X225" s="5">
        <f ca="1">IFERROR(__xludf.DUMMYFUNCTION("""COMPUTED_VALUE"""),1)</f>
        <v>1</v>
      </c>
      <c r="Y225" s="5" t="str">
        <f ca="1">IFERROR(__xludf.DUMMYFUNCTION("""COMPUTED_VALUE"""),"Shots fired during fight in parking lot during basketball tournament")</f>
        <v>Shots fired during fight in parking lot during basketball tournament</v>
      </c>
      <c r="Z225" s="5" t="str">
        <f ca="1">IFERROR(__xludf.DUMMYFUNCTION("""COMPUTED_VALUE"""),"A 25-year-old man fired 3 shots in the school parking lot during a fight outside a basketball tournament. No injuries. Remainder of tournament was cancelled. ")</f>
        <v xml:space="preserve">A 25-year-old man fired 3 shots in the school parking lot during a fight outside a basketball tournament. No injuries. Remainder of tournament was cancelled. </v>
      </c>
      <c r="AA225" s="5" t="str">
        <f ca="1">IFERROR(__xludf.DUMMYFUNCTION("""COMPUTED_VALUE"""),"Escalation of Dispute")</f>
        <v>Escalation of Dispute</v>
      </c>
      <c r="AB225" s="5" t="str">
        <f ca="1">IFERROR(__xludf.DUMMYFUNCTION("""COMPUTED_VALUE"""),"Victims Targeted")</f>
        <v>Victims Targeted</v>
      </c>
      <c r="AC225" s="5" t="str">
        <f ca="1">IFERROR(__xludf.DUMMYFUNCTION("""COMPUTED_VALUE"""),"No")</f>
        <v>No</v>
      </c>
      <c r="AD225" s="5" t="str">
        <f ca="1">IFERROR(__xludf.DUMMYFUNCTION("""COMPUTED_VALUE"""),"No")</f>
        <v>No</v>
      </c>
      <c r="AE225" s="5" t="str">
        <f ca="1">IFERROR(__xludf.DUMMYFUNCTION("""COMPUTED_VALUE"""),"No")</f>
        <v>No</v>
      </c>
      <c r="AF225" s="5" t="str">
        <f ca="1">IFERROR(__xludf.DUMMYFUNCTION("""COMPUTED_VALUE"""),"No")</f>
        <v>No</v>
      </c>
      <c r="AG225" s="5" t="str">
        <f ca="1">IFERROR(__xludf.DUMMYFUNCTION("""COMPUTED_VALUE"""),"No")</f>
        <v>No</v>
      </c>
      <c r="AH225" s="5" t="str">
        <f ca="1">IFERROR(__xludf.DUMMYFUNCTION("""COMPUTED_VALUE"""),"No")</f>
        <v>No</v>
      </c>
      <c r="AI225" s="5" t="str">
        <f ca="1">IFERROR(__xludf.DUMMYFUNCTION("""COMPUTED_VALUE"""),"No")</f>
        <v>No</v>
      </c>
      <c r="AJ225" s="5" t="str">
        <f ca="1">IFERROR(__xludf.DUMMYFUNCTION("""COMPUTED_VALUE"""),"No")</f>
        <v>No</v>
      </c>
    </row>
    <row r="226" spans="1:36" ht="13">
      <c r="A226" s="5" t="str">
        <f ca="1">IFERROR(__xludf.DUMMYFUNCTION("""COMPUTED_VALUE"""),"20220805GAJOJ")</f>
        <v>20220805GAJOJ</v>
      </c>
      <c r="B226" s="5">
        <f ca="1">IFERROR(__xludf.DUMMYFUNCTION("""COMPUTED_VALUE"""),8)</f>
        <v>8</v>
      </c>
      <c r="C226" s="5">
        <f ca="1">IFERROR(__xludf.DUMMYFUNCTION("""COMPUTED_VALUE"""),5)</f>
        <v>5</v>
      </c>
      <c r="D226" s="5">
        <f ca="1">IFERROR(__xludf.DUMMYFUNCTION("""COMPUTED_VALUE"""),2022)</f>
        <v>2022</v>
      </c>
      <c r="E226" s="8">
        <f ca="1">IFERROR(__xludf.DUMMYFUNCTION("""COMPUTED_VALUE"""),44778)</f>
        <v>44778</v>
      </c>
      <c r="F226" s="5" t="str">
        <f ca="1">IFERROR(__xludf.DUMMYFUNCTION("""COMPUTED_VALUE"""),"Johnson County High School")</f>
        <v>Johnson County High School</v>
      </c>
      <c r="G226" s="5">
        <f ca="1">IFERROR(__xludf.DUMMYFUNCTION("""COMPUTED_VALUE"""),0)</f>
        <v>0</v>
      </c>
      <c r="H226" s="5">
        <f ca="1">IFERROR(__xludf.DUMMYFUNCTION("""COMPUTED_VALUE"""),0)</f>
        <v>0</v>
      </c>
      <c r="I226" s="5">
        <f ca="1">IFERROR(__xludf.DUMMYFUNCTION("""COMPUTED_VALUE"""),0)</f>
        <v>0</v>
      </c>
      <c r="J226" s="5">
        <f ca="1">IFERROR(__xludf.DUMMYFUNCTION("""COMPUTED_VALUE"""),0)</f>
        <v>0</v>
      </c>
      <c r="K226" s="9" t="str">
        <f ca="1">IFERROR(__xludf.DUMMYFUNCTION("""COMPUTED_VALUE"""),"https://www.13wmaz.com/article/news/local/deputies-investigating-shooting-at-a-johnson-county-football-game/93-15038acb-3b52-48e9-82be-d31da4ac609d
https://www.walb.com/2022/08/06/shots-fired-near-johnson-co-football-game/")</f>
        <v>https://www.13wmaz.com/article/news/local/deputies-investigating-shooting-at-a-johnson-county-football-game/93-15038acb-3b52-48e9-82be-d31da4ac609d
https://www.walb.com/2022/08/06/shots-fired-near-johnson-co-football-game/</v>
      </c>
      <c r="L226" s="5">
        <f ca="1">IFERROR(__xludf.DUMMYFUNCTION("""COMPUTED_VALUE"""),2)</f>
        <v>2</v>
      </c>
      <c r="M226" s="5" t="str">
        <f ca="1">IFERROR(__xludf.DUMMYFUNCTION("""COMPUTED_VALUE"""),"Local")</f>
        <v>Local</v>
      </c>
      <c r="N226" s="5">
        <f ca="1">IFERROR(__xludf.DUMMYFUNCTION("""COMPUTED_VALUE"""),4)</f>
        <v>4</v>
      </c>
      <c r="O226" s="5" t="str">
        <f ca="1">IFERROR(__xludf.DUMMYFUNCTION("""COMPUTED_VALUE"""),"Summer")</f>
        <v>Summer</v>
      </c>
      <c r="P226" s="5" t="str">
        <f ca="1">IFERROR(__xludf.DUMMYFUNCTION("""COMPUTED_VALUE"""),"Johnson County")</f>
        <v>Johnson County</v>
      </c>
      <c r="Q226" s="5" t="str">
        <f ca="1">IFERROR(__xludf.DUMMYFUNCTION("""COMPUTED_VALUE"""),"GA")</f>
        <v>GA</v>
      </c>
      <c r="R226" s="5" t="str">
        <f ca="1">IFERROR(__xludf.DUMMYFUNCTION("""COMPUTED_VALUE"""),"High")</f>
        <v>High</v>
      </c>
      <c r="S226" s="5" t="str">
        <f ca="1">IFERROR(__xludf.DUMMYFUNCTION("""COMPUTED_VALUE"""),"Football Field/Track")</f>
        <v>Football Field/Track</v>
      </c>
      <c r="T226" s="5" t="str">
        <f ca="1">IFERROR(__xludf.DUMMYFUNCTION("""COMPUTED_VALUE"""),"Outside on School Property")</f>
        <v>Outside on School Property</v>
      </c>
      <c r="U226" s="5" t="str">
        <f ca="1">IFERROR(__xludf.DUMMYFUNCTION("""COMPUTED_VALUE"""),"No")</f>
        <v>No</v>
      </c>
      <c r="V226" s="5" t="str">
        <f ca="1">IFERROR(__xludf.DUMMYFUNCTION("""COMPUTED_VALUE"""),"Sport Event")</f>
        <v>Sport Event</v>
      </c>
      <c r="W226" s="10">
        <f ca="1">IFERROR(__xludf.DUMMYFUNCTION("""COMPUTED_VALUE"""),0.875)</f>
        <v>0.875</v>
      </c>
      <c r="X226" s="5">
        <f ca="1">IFERROR(__xludf.DUMMYFUNCTION("""COMPUTED_VALUE"""),1)</f>
        <v>1</v>
      </c>
      <c r="Y226" s="5" t="str">
        <f ca="1">IFERROR(__xludf.DUMMYFUNCTION("""COMPUTED_VALUE"""),"Man fired 12 shots into air next to stadium during football game")</f>
        <v>Man fired 12 shots into air next to stadium during football game</v>
      </c>
      <c r="Z226" s="5" t="str">
        <f ca="1">IFERROR(__xludf.DUMMYFUNCTION("""COMPUTED_VALUE"""),"27-year-old male fired 12 shots into the air next to the football stadium during a high school game. Security witnessed shooting and immediately ran toward the shooter, then subdued him. Players and attendees fled from the stadium. Man was arrested and ch"&amp;"arged with numerous felonies. No injuries.")</f>
        <v>27-year-old male fired 12 shots into the air next to the football stadium during a high school game. Security witnessed shooting and immediately ran toward the shooter, then subdued him. Players and attendees fled from the stadium. Man was arrested and charged with numerous felonies. No injuries.</v>
      </c>
      <c r="AA226" s="5"/>
      <c r="AB226" s="5" t="str">
        <f ca="1">IFERROR(__xludf.DUMMYFUNCTION("""COMPUTED_VALUE"""),"Neither")</f>
        <v>Neither</v>
      </c>
      <c r="AC226" s="5" t="str">
        <f ca="1">IFERROR(__xludf.DUMMYFUNCTION("""COMPUTED_VALUE"""),"No")</f>
        <v>No</v>
      </c>
      <c r="AD226" s="5" t="str">
        <f ca="1">IFERROR(__xludf.DUMMYFUNCTION("""COMPUTED_VALUE"""),"No")</f>
        <v>No</v>
      </c>
      <c r="AE226" s="5" t="str">
        <f ca="1">IFERROR(__xludf.DUMMYFUNCTION("""COMPUTED_VALUE"""),"No")</f>
        <v>No</v>
      </c>
      <c r="AF226" s="5" t="str">
        <f ca="1">IFERROR(__xludf.DUMMYFUNCTION("""COMPUTED_VALUE"""),"No")</f>
        <v>No</v>
      </c>
      <c r="AG226" s="5" t="str">
        <f ca="1">IFERROR(__xludf.DUMMYFUNCTION("""COMPUTED_VALUE"""),"No")</f>
        <v>No</v>
      </c>
      <c r="AH226" s="5" t="str">
        <f ca="1">IFERROR(__xludf.DUMMYFUNCTION("""COMPUTED_VALUE"""),"No")</f>
        <v>No</v>
      </c>
      <c r="AI226" s="5"/>
      <c r="AJ226" s="5" t="str">
        <f ca="1">IFERROR(__xludf.DUMMYFUNCTION("""COMPUTED_VALUE"""),"Yes")</f>
        <v>Yes</v>
      </c>
    </row>
    <row r="227" spans="1:36" ht="13">
      <c r="A227" s="5" t="str">
        <f ca="1">IFERROR(__xludf.DUMMYFUNCTION("""COMPUTED_VALUE"""),"20220803PALEP")</f>
        <v>20220803PALEP</v>
      </c>
      <c r="B227" s="5">
        <f ca="1">IFERROR(__xludf.DUMMYFUNCTION("""COMPUTED_VALUE"""),8)</f>
        <v>8</v>
      </c>
      <c r="C227" s="5">
        <f ca="1">IFERROR(__xludf.DUMMYFUNCTION("""COMPUTED_VALUE"""),3)</f>
        <v>3</v>
      </c>
      <c r="D227" s="5">
        <f ca="1">IFERROR(__xludf.DUMMYFUNCTION("""COMPUTED_VALUE"""),2022)</f>
        <v>2022</v>
      </c>
      <c r="E227" s="8">
        <f ca="1">IFERROR(__xludf.DUMMYFUNCTION("""COMPUTED_VALUE"""),44776)</f>
        <v>44776</v>
      </c>
      <c r="F227" s="5" t="str">
        <f ca="1">IFERROR(__xludf.DUMMYFUNCTION("""COMPUTED_VALUE"""),"Lewis Elkin Elementary School")</f>
        <v>Lewis Elkin Elementary School</v>
      </c>
      <c r="G227" s="5">
        <f ca="1">IFERROR(__xludf.DUMMYFUNCTION("""COMPUTED_VALUE"""),1)</f>
        <v>1</v>
      </c>
      <c r="H227" s="5">
        <f ca="1">IFERROR(__xludf.DUMMYFUNCTION("""COMPUTED_VALUE"""),1)</f>
        <v>1</v>
      </c>
      <c r="I227" s="5">
        <f ca="1">IFERROR(__xludf.DUMMYFUNCTION("""COMPUTED_VALUE"""),2)</f>
        <v>2</v>
      </c>
      <c r="J227" s="5">
        <f ca="1">IFERROR(__xludf.DUMMYFUNCTION("""COMPUTED_VALUE"""),0)</f>
        <v>0</v>
      </c>
      <c r="K227" s="5" t="str">
        <f ca="1">IFERROR(__xludf.DUMMYFUNCTION("""COMPUTED_VALUE"""),"https://www.nbcphiladelphia.com/news/local/4-dead-2-injured-in-multiple-shootings-across-philadelphia/3325288/
https://www.fox29.com/news/1-dead-1-injured-in-kensington-shootout-that-happened-near-elementary-school-police-say")</f>
        <v>https://www.nbcphiladelphia.com/news/local/4-dead-2-injured-in-multiple-shootings-across-philadelphia/3325288/
https://www.fox29.com/news/1-dead-1-injured-in-kensington-shootout-that-happened-near-elementary-school-police-say</v>
      </c>
      <c r="L227" s="5">
        <f ca="1">IFERROR(__xludf.DUMMYFUNCTION("""COMPUTED_VALUE"""),2)</f>
        <v>2</v>
      </c>
      <c r="M227" s="5" t="str">
        <f ca="1">IFERROR(__xludf.DUMMYFUNCTION("""COMPUTED_VALUE"""),"Local")</f>
        <v>Local</v>
      </c>
      <c r="N227" s="5">
        <f ca="1">IFERROR(__xludf.DUMMYFUNCTION("""COMPUTED_VALUE"""),3)</f>
        <v>3</v>
      </c>
      <c r="O227" s="5" t="str">
        <f ca="1">IFERROR(__xludf.DUMMYFUNCTION("""COMPUTED_VALUE"""),"Summer")</f>
        <v>Summer</v>
      </c>
      <c r="P227" s="5" t="str">
        <f ca="1">IFERROR(__xludf.DUMMYFUNCTION("""COMPUTED_VALUE"""),"Philadelphia")</f>
        <v>Philadelphia</v>
      </c>
      <c r="Q227" s="5" t="str">
        <f ca="1">IFERROR(__xludf.DUMMYFUNCTION("""COMPUTED_VALUE"""),"PA")</f>
        <v>PA</v>
      </c>
      <c r="R227" s="5" t="str">
        <f ca="1">IFERROR(__xludf.DUMMYFUNCTION("""COMPUTED_VALUE"""),"Elementary")</f>
        <v>Elementary</v>
      </c>
      <c r="S227" s="5" t="str">
        <f ca="1">IFERROR(__xludf.DUMMYFUNCTION("""COMPUTED_VALUE"""),"Playground")</f>
        <v>Playground</v>
      </c>
      <c r="T227" s="5" t="str">
        <f ca="1">IFERROR(__xludf.DUMMYFUNCTION("""COMPUTED_VALUE"""),"Outside on School Property")</f>
        <v>Outside on School Property</v>
      </c>
      <c r="U227" s="5" t="str">
        <f ca="1">IFERROR(__xludf.DUMMYFUNCTION("""COMPUTED_VALUE"""),"No")</f>
        <v>No</v>
      </c>
      <c r="V227" s="5" t="str">
        <f ca="1">IFERROR(__xludf.DUMMYFUNCTION("""COMPUTED_VALUE"""),"Night")</f>
        <v>Night</v>
      </c>
      <c r="W227" s="10">
        <f ca="1">IFERROR(__xludf.DUMMYFUNCTION("""COMPUTED_VALUE"""),0.916666666666666)</f>
        <v>0.91666666666666596</v>
      </c>
      <c r="X227" s="5">
        <f ca="1">IFERROR(__xludf.DUMMYFUNCTION("""COMPUTED_VALUE"""),1)</f>
        <v>1</v>
      </c>
      <c r="Y227" s="5" t="str">
        <f ca="1">IFERROR(__xludf.DUMMYFUNCTION("""COMPUTED_VALUE"""),"2 men shot near school playground")</f>
        <v>2 men shot near school playground</v>
      </c>
      <c r="Z227" s="5" t="str">
        <f ca="1">IFERROR(__xludf.DUMMYFUNCTION("""COMPUTED_VALUE"""),"A 26-year-old man was fatally shot and a 24-year-old man were wounded near the playground of the elementary school. Police found 16 shell casings within feet of the playground. No children were present at the time of the shooting. Shooter fled.")</f>
        <v>A 26-year-old man was fatally shot and a 24-year-old man were wounded near the playground of the elementary school. Police found 16 shell casings within feet of the playground. No children were present at the time of the shooting. Shooter fled.</v>
      </c>
      <c r="AA227" s="5"/>
      <c r="AB227" s="5" t="str">
        <f ca="1">IFERROR(__xludf.DUMMYFUNCTION("""COMPUTED_VALUE"""),"Victims Targeted")</f>
        <v>Victims Targeted</v>
      </c>
      <c r="AC227" s="5" t="str">
        <f ca="1">IFERROR(__xludf.DUMMYFUNCTION("""COMPUTED_VALUE"""),"No")</f>
        <v>No</v>
      </c>
      <c r="AD227" s="5" t="str">
        <f ca="1">IFERROR(__xludf.DUMMYFUNCTION("""COMPUTED_VALUE"""),"No")</f>
        <v>No</v>
      </c>
      <c r="AE227" s="5" t="str">
        <f ca="1">IFERROR(__xludf.DUMMYFUNCTION("""COMPUTED_VALUE"""),"No")</f>
        <v>No</v>
      </c>
      <c r="AF227" s="5" t="str">
        <f ca="1">IFERROR(__xludf.DUMMYFUNCTION("""COMPUTED_VALUE"""),"No")</f>
        <v>No</v>
      </c>
      <c r="AG227" s="5" t="str">
        <f ca="1">IFERROR(__xludf.DUMMYFUNCTION("""COMPUTED_VALUE"""),"No")</f>
        <v>No</v>
      </c>
      <c r="AH227" s="5" t="str">
        <f ca="1">IFERROR(__xludf.DUMMYFUNCTION("""COMPUTED_VALUE"""),"No")</f>
        <v>No</v>
      </c>
      <c r="AI227" s="5"/>
      <c r="AJ227" s="5" t="str">
        <f ca="1">IFERROR(__xludf.DUMMYFUNCTION("""COMPUTED_VALUE"""),"No")</f>
        <v>No</v>
      </c>
    </row>
    <row r="228" spans="1:36" ht="13">
      <c r="A228" s="5" t="str">
        <f ca="1">IFERROR(__xludf.DUMMYFUNCTION("""COMPUTED_VALUE"""),"20220731CAOAO")</f>
        <v>20220731CAOAO</v>
      </c>
      <c r="B228" s="5">
        <f ca="1">IFERROR(__xludf.DUMMYFUNCTION("""COMPUTED_VALUE"""),7)</f>
        <v>7</v>
      </c>
      <c r="C228" s="5">
        <f ca="1">IFERROR(__xludf.DUMMYFUNCTION("""COMPUTED_VALUE"""),31)</f>
        <v>31</v>
      </c>
      <c r="D228" s="5">
        <f ca="1">IFERROR(__xludf.DUMMYFUNCTION("""COMPUTED_VALUE"""),2022)</f>
        <v>2022</v>
      </c>
      <c r="E228" s="8">
        <f ca="1">IFERROR(__xludf.DUMMYFUNCTION("""COMPUTED_VALUE"""),44773)</f>
        <v>44773</v>
      </c>
      <c r="F228" s="5" t="str">
        <f ca="1">IFERROR(__xludf.DUMMYFUNCTION("""COMPUTED_VALUE"""),"Oakland Technical High School")</f>
        <v>Oakland Technical High School</v>
      </c>
      <c r="G228" s="5">
        <f ca="1">IFERROR(__xludf.DUMMYFUNCTION("""COMPUTED_VALUE"""),0)</f>
        <v>0</v>
      </c>
      <c r="H228" s="5">
        <f ca="1">IFERROR(__xludf.DUMMYFUNCTION("""COMPUTED_VALUE"""),3)</f>
        <v>3</v>
      </c>
      <c r="I228" s="5">
        <f ca="1">IFERROR(__xludf.DUMMYFUNCTION("""COMPUTED_VALUE"""),3)</f>
        <v>3</v>
      </c>
      <c r="J228" s="5">
        <f ca="1">IFERROR(__xludf.DUMMYFUNCTION("""COMPUTED_VALUE"""),0)</f>
        <v>0</v>
      </c>
      <c r="K228" s="5" t="str">
        <f ca="1">IFERROR(__xludf.DUMMYFUNCTION("""COMPUTED_VALUE"""),"https://www.ktvu.com/news/three-people-shot-at-little-league-football-game-in-oakland
https://www.nbcbayarea.com/news/local/reward-offered-in-shooting-at-oakland-youth-football-game/2966356/
https://www.foxnews.com/us/oakland-shooting-high-school-campus-t"&amp;"hree-injured
https://abc30.com/oakland-technical-high-school-shooting-pop-warner-football-game-tech-at/12089506/
https://abc7news.com/video-oakland-tech-high-school-shooting-technical-pop-warner-football-game-witness/12089922/")</f>
        <v>https://www.ktvu.com/news/three-people-shot-at-little-league-football-game-in-oakland
https://www.nbcbayarea.com/news/local/reward-offered-in-shooting-at-oakland-youth-football-game/2966356/
https://www.foxnews.com/us/oakland-shooting-high-school-campus-three-injured
https://abc30.com/oakland-technical-high-school-shooting-pop-warner-football-game-tech-at/12089506/
https://abc7news.com/video-oakland-tech-high-school-shooting-technical-pop-warner-football-game-witness/12089922/</v>
      </c>
      <c r="L228" s="5">
        <f ca="1">IFERROR(__xludf.DUMMYFUNCTION("""COMPUTED_VALUE"""),10)</f>
        <v>10</v>
      </c>
      <c r="M228" s="5" t="str">
        <f ca="1">IFERROR(__xludf.DUMMYFUNCTION("""COMPUTED_VALUE"""),"National")</f>
        <v>National</v>
      </c>
      <c r="N228" s="5">
        <f ca="1">IFERROR(__xludf.DUMMYFUNCTION("""COMPUTED_VALUE"""),4)</f>
        <v>4</v>
      </c>
      <c r="O228" s="5" t="str">
        <f ca="1">IFERROR(__xludf.DUMMYFUNCTION("""COMPUTED_VALUE"""),"Summer")</f>
        <v>Summer</v>
      </c>
      <c r="P228" s="5" t="str">
        <f ca="1">IFERROR(__xludf.DUMMYFUNCTION("""COMPUTED_VALUE"""),"Oakland")</f>
        <v>Oakland</v>
      </c>
      <c r="Q228" s="5" t="str">
        <f ca="1">IFERROR(__xludf.DUMMYFUNCTION("""COMPUTED_VALUE"""),"CA")</f>
        <v>CA</v>
      </c>
      <c r="R228" s="5" t="str">
        <f ca="1">IFERROR(__xludf.DUMMYFUNCTION("""COMPUTED_VALUE"""),"High")</f>
        <v>High</v>
      </c>
      <c r="S228" s="5" t="str">
        <f ca="1">IFERROR(__xludf.DUMMYFUNCTION("""COMPUTED_VALUE"""),"Football Field/Track")</f>
        <v>Football Field/Track</v>
      </c>
      <c r="T228" s="5" t="str">
        <f ca="1">IFERROR(__xludf.DUMMYFUNCTION("""COMPUTED_VALUE"""),"Outside on School Property")</f>
        <v>Outside on School Property</v>
      </c>
      <c r="U228" s="5" t="str">
        <f ca="1">IFERROR(__xludf.DUMMYFUNCTION("""COMPUTED_VALUE"""),"No")</f>
        <v>No</v>
      </c>
      <c r="V228" s="5" t="str">
        <f ca="1">IFERROR(__xludf.DUMMYFUNCTION("""COMPUTED_VALUE"""),"Sport Event")</f>
        <v>Sport Event</v>
      </c>
      <c r="W228" s="10">
        <f ca="1">IFERROR(__xludf.DUMMYFUNCTION("""COMPUTED_VALUE"""),0.555555555555555)</f>
        <v>0.55555555555555503</v>
      </c>
      <c r="X228" s="5">
        <f ca="1">IFERROR(__xludf.DUMMYFUNCTION("""COMPUTED_VALUE"""),1)</f>
        <v>1</v>
      </c>
      <c r="Y228" s="5" t="str">
        <f ca="1">IFERROR(__xludf.DUMMYFUNCTION("""COMPUTED_VALUE"""),"3 attendees shot in the stands during youth football game")</f>
        <v>3 attendees shot in the stands during youth football game</v>
      </c>
      <c r="Z228" s="5" t="str">
        <f ca="1">IFERROR(__xludf.DUMMYFUNCTION("""COMPUTED_VALUE"""),"A 6-year-old girl, adult man, and adult woman were shot in the stands during a youth football game. Multiple people fired shots and shooters fled. 500 attendees ran when the shooting occurred.")</f>
        <v>A 6-year-old girl, adult man, and adult woman were shot in the stands during a youth football game. Multiple people fired shots and shooters fled. 500 attendees ran when the shooting occurred.</v>
      </c>
      <c r="AA228" s="5" t="str">
        <f ca="1">IFERROR(__xludf.DUMMYFUNCTION("""COMPUTED_VALUE"""),"Escalation of Dispute")</f>
        <v>Escalation of Dispute</v>
      </c>
      <c r="AB228" s="5" t="str">
        <f ca="1">IFERROR(__xludf.DUMMYFUNCTION("""COMPUTED_VALUE"""),"Both")</f>
        <v>Both</v>
      </c>
      <c r="AC228" s="5" t="str">
        <f ca="1">IFERROR(__xludf.DUMMYFUNCTION("""COMPUTED_VALUE"""),"No")</f>
        <v>No</v>
      </c>
      <c r="AD228" s="5" t="str">
        <f ca="1">IFERROR(__xludf.DUMMYFUNCTION("""COMPUTED_VALUE"""),"No")</f>
        <v>No</v>
      </c>
      <c r="AE228" s="5" t="str">
        <f ca="1">IFERROR(__xludf.DUMMYFUNCTION("""COMPUTED_VALUE"""),"No")</f>
        <v>No</v>
      </c>
      <c r="AF228" s="5" t="str">
        <f ca="1">IFERROR(__xludf.DUMMYFUNCTION("""COMPUTED_VALUE"""),"No")</f>
        <v>No</v>
      </c>
      <c r="AG228" s="5" t="str">
        <f ca="1">IFERROR(__xludf.DUMMYFUNCTION("""COMPUTED_VALUE"""),"No")</f>
        <v>No</v>
      </c>
      <c r="AH228" s="5" t="str">
        <f ca="1">IFERROR(__xludf.DUMMYFUNCTION("""COMPUTED_VALUE"""),"No")</f>
        <v>No</v>
      </c>
      <c r="AI228" s="5"/>
      <c r="AJ228" s="5" t="str">
        <f ca="1">IFERROR(__xludf.DUMMYFUNCTION("""COMPUTED_VALUE"""),"No")</f>
        <v>No</v>
      </c>
    </row>
    <row r="229" spans="1:36" ht="13">
      <c r="A229" s="5" t="str">
        <f ca="1">IFERROR(__xludf.DUMMYFUNCTION("""COMPUTED_VALUE"""),"20220730NYRHH")</f>
        <v>20220730NYRHH</v>
      </c>
      <c r="B229" s="5">
        <f ca="1">IFERROR(__xludf.DUMMYFUNCTION("""COMPUTED_VALUE"""),7)</f>
        <v>7</v>
      </c>
      <c r="C229" s="5">
        <f ca="1">IFERROR(__xludf.DUMMYFUNCTION("""COMPUTED_VALUE"""),30)</f>
        <v>30</v>
      </c>
      <c r="D229" s="5">
        <f ca="1">IFERROR(__xludf.DUMMYFUNCTION("""COMPUTED_VALUE"""),2022)</f>
        <v>2022</v>
      </c>
      <c r="E229" s="8">
        <f ca="1">IFERROR(__xludf.DUMMYFUNCTION("""COMPUTED_VALUE"""),44772)</f>
        <v>44772</v>
      </c>
      <c r="F229" s="5" t="str">
        <f ca="1">IFERROR(__xludf.DUMMYFUNCTION("""COMPUTED_VALUE"""),"Rhodes Academy")</f>
        <v>Rhodes Academy</v>
      </c>
      <c r="G229" s="5">
        <f ca="1">IFERROR(__xludf.DUMMYFUNCTION("""COMPUTED_VALUE"""),0)</f>
        <v>0</v>
      </c>
      <c r="H229" s="5">
        <f ca="1">IFERROR(__xludf.DUMMYFUNCTION("""COMPUTED_VALUE"""),0)</f>
        <v>0</v>
      </c>
      <c r="I229" s="5">
        <f ca="1">IFERROR(__xludf.DUMMYFUNCTION("""COMPUTED_VALUE"""),0)</f>
        <v>0</v>
      </c>
      <c r="J229" s="5">
        <f ca="1">IFERROR(__xludf.DUMMYFUNCTION("""COMPUTED_VALUE"""),0)</f>
        <v>0</v>
      </c>
      <c r="K229" s="9" t="str">
        <f ca="1">IFERROR(__xludf.DUMMYFUNCTION("""COMPUTED_VALUE"""),"https://connecticut.news12.com/hempstead-school-officials-to-speak-following-2-shootings-near-schools")</f>
        <v>https://connecticut.news12.com/hempstead-school-officials-to-speak-following-2-shootings-near-schools</v>
      </c>
      <c r="L229" s="5">
        <f ca="1">IFERROR(__xludf.DUMMYFUNCTION("""COMPUTED_VALUE"""),1)</f>
        <v>1</v>
      </c>
      <c r="M229" s="5" t="str">
        <f ca="1">IFERROR(__xludf.DUMMYFUNCTION("""COMPUTED_VALUE"""),"Local")</f>
        <v>Local</v>
      </c>
      <c r="N229" s="5">
        <f ca="1">IFERROR(__xludf.DUMMYFUNCTION("""COMPUTED_VALUE"""),3)</f>
        <v>3</v>
      </c>
      <c r="O229" s="5" t="str">
        <f ca="1">IFERROR(__xludf.DUMMYFUNCTION("""COMPUTED_VALUE"""),"Summer")</f>
        <v>Summer</v>
      </c>
      <c r="P229" s="5" t="str">
        <f ca="1">IFERROR(__xludf.DUMMYFUNCTION("""COMPUTED_VALUE"""),"Hempstead")</f>
        <v>Hempstead</v>
      </c>
      <c r="Q229" s="5" t="str">
        <f ca="1">IFERROR(__xludf.DUMMYFUNCTION("""COMPUTED_VALUE"""),"NY")</f>
        <v>NY</v>
      </c>
      <c r="R229" s="5" t="str">
        <f ca="1">IFERROR(__xludf.DUMMYFUNCTION("""COMPUTED_VALUE"""),"Elementary")</f>
        <v>Elementary</v>
      </c>
      <c r="S229" s="5" t="str">
        <f ca="1">IFERROR(__xludf.DUMMYFUNCTION("""COMPUTED_VALUE"""),"Classroom")</f>
        <v>Classroom</v>
      </c>
      <c r="T229" s="5" t="str">
        <f ca="1">IFERROR(__xludf.DUMMYFUNCTION("""COMPUTED_VALUE"""),"Outside on School Property")</f>
        <v>Outside on School Property</v>
      </c>
      <c r="U229" s="5" t="str">
        <f ca="1">IFERROR(__xludf.DUMMYFUNCTION("""COMPUTED_VALUE"""),"No")</f>
        <v>No</v>
      </c>
      <c r="V229" s="5" t="str">
        <f ca="1">IFERROR(__xludf.DUMMYFUNCTION("""COMPUTED_VALUE"""),"Night")</f>
        <v>Night</v>
      </c>
      <c r="W229" s="5"/>
      <c r="X229" s="5">
        <f ca="1">IFERROR(__xludf.DUMMYFUNCTION("""COMPUTED_VALUE"""),1)</f>
        <v>1</v>
      </c>
      <c r="Y229" s="5" t="str">
        <f ca="1">IFERROR(__xludf.DUMMYFUNCTION("""COMPUTED_VALUE"""),"Bullet broke classroom window")</f>
        <v>Bullet broke classroom window</v>
      </c>
      <c r="Z229" s="5" t="str">
        <f ca="1">IFERROR(__xludf.DUMMYFUNCTION("""COMPUTED_VALUE"""),"Bullet broke classroom window over the weekend. School staff found a bullet and casing inside the classroom. 2 shootings occurred over the weekend near the school.")</f>
        <v>Bullet broke classroom window over the weekend. School staff found a bullet and casing inside the classroom. 2 shootings occurred over the weekend near the school.</v>
      </c>
      <c r="AA229" s="5"/>
      <c r="AB229" s="5" t="str">
        <f ca="1">IFERROR(__xludf.DUMMYFUNCTION("""COMPUTED_VALUE"""),"Neither")</f>
        <v>Neither</v>
      </c>
      <c r="AC229" s="5" t="str">
        <f ca="1">IFERROR(__xludf.DUMMYFUNCTION("""COMPUTED_VALUE"""),"No")</f>
        <v>No</v>
      </c>
      <c r="AD229" s="5" t="str">
        <f ca="1">IFERROR(__xludf.DUMMYFUNCTION("""COMPUTED_VALUE"""),"No")</f>
        <v>No</v>
      </c>
      <c r="AE229" s="5" t="str">
        <f ca="1">IFERROR(__xludf.DUMMYFUNCTION("""COMPUTED_VALUE"""),"No")</f>
        <v>No</v>
      </c>
      <c r="AF229" s="5" t="str">
        <f ca="1">IFERROR(__xludf.DUMMYFUNCTION("""COMPUTED_VALUE"""),"No")</f>
        <v>No</v>
      </c>
      <c r="AG229" s="5" t="str">
        <f ca="1">IFERROR(__xludf.DUMMYFUNCTION("""COMPUTED_VALUE"""),"No")</f>
        <v>No</v>
      </c>
      <c r="AH229" s="5" t="str">
        <f ca="1">IFERROR(__xludf.DUMMYFUNCTION("""COMPUTED_VALUE"""),"No")</f>
        <v>No</v>
      </c>
      <c r="AI229" s="5"/>
      <c r="AJ229" s="5" t="str">
        <f ca="1">IFERROR(__xludf.DUMMYFUNCTION("""COMPUTED_VALUE"""),"No")</f>
        <v>No</v>
      </c>
    </row>
    <row r="230" spans="1:36" ht="13">
      <c r="A230" s="5" t="str">
        <f ca="1">IFERROR(__xludf.DUMMYFUNCTION("""COMPUTED_VALUE"""),"20220729INCOS")</f>
        <v>20220729INCOS</v>
      </c>
      <c r="B230" s="5">
        <f ca="1">IFERROR(__xludf.DUMMYFUNCTION("""COMPUTED_VALUE"""),7)</f>
        <v>7</v>
      </c>
      <c r="C230" s="5">
        <f ca="1">IFERROR(__xludf.DUMMYFUNCTION("""COMPUTED_VALUE"""),29)</f>
        <v>29</v>
      </c>
      <c r="D230" s="5">
        <f ca="1">IFERROR(__xludf.DUMMYFUNCTION("""COMPUTED_VALUE"""),2022)</f>
        <v>2022</v>
      </c>
      <c r="E230" s="8">
        <f ca="1">IFERROR(__xludf.DUMMYFUNCTION("""COMPUTED_VALUE"""),44771)</f>
        <v>44771</v>
      </c>
      <c r="F230" s="5" t="str">
        <f ca="1">IFERROR(__xludf.DUMMYFUNCTION("""COMPUTED_VALUE"""),"Coquillard Elementary School")</f>
        <v>Coquillard Elementary School</v>
      </c>
      <c r="G230" s="5">
        <f ca="1">IFERROR(__xludf.DUMMYFUNCTION("""COMPUTED_VALUE"""),0)</f>
        <v>0</v>
      </c>
      <c r="H230" s="5">
        <f ca="1">IFERROR(__xludf.DUMMYFUNCTION("""COMPUTED_VALUE"""),0)</f>
        <v>0</v>
      </c>
      <c r="I230" s="5">
        <f ca="1">IFERROR(__xludf.DUMMYFUNCTION("""COMPUTED_VALUE"""),0)</f>
        <v>0</v>
      </c>
      <c r="J230" s="5">
        <f ca="1">IFERROR(__xludf.DUMMYFUNCTION("""COMPUTED_VALUE"""),1)</f>
        <v>1</v>
      </c>
      <c r="K230" s="5" t="str">
        <f ca="1">IFERROR(__xludf.DUMMYFUNCTION("""COMPUTED_VALUE"""),"https://www.wndu.com/2022/07/29/one-dead-after-officer-involved-shooting-near-coquillard-elementary-school/
https://wsbt.com/news/local/breaking-large-police-presence-on-sheridan-st-near-coquillard-elementary
https://www.abc57.com/news/police-investigatin"&amp;"g-incident-on-the-grounds-of-coquillard-school
https://www.southbendtribune.com/story/news/local/2022/07/29/south-bend-police-shooting-kill-man-coquillard-elementary-school/65386956007/")</f>
        <v>https://www.wndu.com/2022/07/29/one-dead-after-officer-involved-shooting-near-coquillard-elementary-school/
https://wsbt.com/news/local/breaking-large-police-presence-on-sheridan-st-near-coquillard-elementary
https://www.abc57.com/news/police-investigating-incident-on-the-grounds-of-coquillard-school
https://www.southbendtribune.com/story/news/local/2022/07/29/south-bend-police-shooting-kill-man-coquillard-elementary-school/65386956007/</v>
      </c>
      <c r="L230" s="5">
        <f ca="1">IFERROR(__xludf.DUMMYFUNCTION("""COMPUTED_VALUE"""),5)</f>
        <v>5</v>
      </c>
      <c r="M230" s="5" t="str">
        <f ca="1">IFERROR(__xludf.DUMMYFUNCTION("""COMPUTED_VALUE"""),"Regional")</f>
        <v>Regional</v>
      </c>
      <c r="N230" s="5">
        <f ca="1">IFERROR(__xludf.DUMMYFUNCTION("""COMPUTED_VALUE"""),4)</f>
        <v>4</v>
      </c>
      <c r="O230" s="5" t="str">
        <f ca="1">IFERROR(__xludf.DUMMYFUNCTION("""COMPUTED_VALUE"""),"Summer")</f>
        <v>Summer</v>
      </c>
      <c r="P230" s="5" t="str">
        <f ca="1">IFERROR(__xludf.DUMMYFUNCTION("""COMPUTED_VALUE"""),"South Bend")</f>
        <v>South Bend</v>
      </c>
      <c r="Q230" s="5" t="str">
        <f ca="1">IFERROR(__xludf.DUMMYFUNCTION("""COMPUTED_VALUE"""),"IN")</f>
        <v>IN</v>
      </c>
      <c r="R230" s="5" t="str">
        <f ca="1">IFERROR(__xludf.DUMMYFUNCTION("""COMPUTED_VALUE"""),"Elementary")</f>
        <v>Elementary</v>
      </c>
      <c r="S230" s="5" t="str">
        <f ca="1">IFERROR(__xludf.DUMMYFUNCTION("""COMPUTED_VALUE"""),"Field (General)")</f>
        <v>Field (General)</v>
      </c>
      <c r="T230" s="5" t="str">
        <f ca="1">IFERROR(__xludf.DUMMYFUNCTION("""COMPUTED_VALUE"""),"Outside on School Property")</f>
        <v>Outside on School Property</v>
      </c>
      <c r="U230" s="5" t="str">
        <f ca="1">IFERROR(__xludf.DUMMYFUNCTION("""COMPUTED_VALUE"""),"No")</f>
        <v>No</v>
      </c>
      <c r="V230" s="5" t="str">
        <f ca="1">IFERROR(__xludf.DUMMYFUNCTION("""COMPUTED_VALUE"""),"Not a School Day")</f>
        <v>Not a School Day</v>
      </c>
      <c r="W230" s="10">
        <f ca="1">IFERROR(__xludf.DUMMYFUNCTION("""COMPUTED_VALUE"""),0.484722222222222)</f>
        <v>0.484722222222222</v>
      </c>
      <c r="X230" s="5">
        <f ca="1">IFERROR(__xludf.DUMMYFUNCTION("""COMPUTED_VALUE"""),40)</f>
        <v>40</v>
      </c>
      <c r="Y230" s="5" t="str">
        <f ca="1">IFERROR(__xludf.DUMMYFUNCTION("""COMPUTED_VALUE"""),"Man with gun was shot after threatening suicide and threatening officers")</f>
        <v>Man with gun was shot after threatening suicide and threatening officers</v>
      </c>
      <c r="Z230" s="5" t="str">
        <f ca="1">IFERROR(__xludf.DUMMYFUNCTION("""COMPUTED_VALUE"""),"Police were called for a man with a gun on the baseball field of the elementary school. During a 40 minute standoff, the man threatened suicide and threatened officers. He was fatally shot by SWAT officers.")</f>
        <v>Police were called for a man with a gun on the baseball field of the elementary school. During a 40 minute standoff, the man threatened suicide and threatened officers. He was fatally shot by SWAT officers.</v>
      </c>
      <c r="AA230" s="5" t="str">
        <f ca="1">IFERROR(__xludf.DUMMYFUNCTION("""COMPUTED_VALUE"""),"Suicide/Attempted")</f>
        <v>Suicide/Attempted</v>
      </c>
      <c r="AB230" s="5" t="str">
        <f ca="1">IFERROR(__xludf.DUMMYFUNCTION("""COMPUTED_VALUE"""),"Victims Targeted")</f>
        <v>Victims Targeted</v>
      </c>
      <c r="AC230" s="5" t="str">
        <f ca="1">IFERROR(__xludf.DUMMYFUNCTION("""COMPUTED_VALUE"""),"No")</f>
        <v>No</v>
      </c>
      <c r="AD230" s="5" t="str">
        <f ca="1">IFERROR(__xludf.DUMMYFUNCTION("""COMPUTED_VALUE"""),"No")</f>
        <v>No</v>
      </c>
      <c r="AE230" s="5" t="str">
        <f ca="1">IFERROR(__xludf.DUMMYFUNCTION("""COMPUTED_VALUE"""),"No")</f>
        <v>No</v>
      </c>
      <c r="AF230" s="5" t="str">
        <f ca="1">IFERROR(__xludf.DUMMYFUNCTION("""COMPUTED_VALUE"""),"Yes")</f>
        <v>Yes</v>
      </c>
      <c r="AG230" s="5" t="str">
        <f ca="1">IFERROR(__xludf.DUMMYFUNCTION("""COMPUTED_VALUE"""),"No")</f>
        <v>No</v>
      </c>
      <c r="AH230" s="5" t="str">
        <f ca="1">IFERROR(__xludf.DUMMYFUNCTION("""COMPUTED_VALUE"""),"No")</f>
        <v>No</v>
      </c>
      <c r="AI230" s="5" t="str">
        <f ca="1">IFERROR(__xludf.DUMMYFUNCTION("""COMPUTED_VALUE"""),"No")</f>
        <v>No</v>
      </c>
      <c r="AJ230" s="5" t="str">
        <f ca="1">IFERROR(__xludf.DUMMYFUNCTION("""COMPUTED_VALUE"""),"No")</f>
        <v>No</v>
      </c>
    </row>
    <row r="231" spans="1:36" ht="13">
      <c r="A231" s="5" t="str">
        <f ca="1">IFERROR(__xludf.DUMMYFUNCTION("""COMPUTED_VALUE"""),"20220728KSMOG")</f>
        <v>20220728KSMOG</v>
      </c>
      <c r="B231" s="5">
        <f ca="1">IFERROR(__xludf.DUMMYFUNCTION("""COMPUTED_VALUE"""),7)</f>
        <v>7</v>
      </c>
      <c r="C231" s="5">
        <f ca="1">IFERROR(__xludf.DUMMYFUNCTION("""COMPUTED_VALUE"""),28)</f>
        <v>28</v>
      </c>
      <c r="D231" s="5">
        <f ca="1">IFERROR(__xludf.DUMMYFUNCTION("""COMPUTED_VALUE"""),2022)</f>
        <v>2022</v>
      </c>
      <c r="E231" s="8">
        <f ca="1">IFERROR(__xludf.DUMMYFUNCTION("""COMPUTED_VALUE"""),44770)</f>
        <v>44770</v>
      </c>
      <c r="F231" s="5" t="str">
        <f ca="1">IFERROR(__xludf.DUMMYFUNCTION("""COMPUTED_VALUE"""),"Moonlight Elementary School")</f>
        <v>Moonlight Elementary School</v>
      </c>
      <c r="G231" s="5">
        <f ca="1">IFERROR(__xludf.DUMMYFUNCTION("""COMPUTED_VALUE"""),0)</f>
        <v>0</v>
      </c>
      <c r="H231" s="5">
        <f ca="1">IFERROR(__xludf.DUMMYFUNCTION("""COMPUTED_VALUE"""),0)</f>
        <v>0</v>
      </c>
      <c r="I231" s="5">
        <f ca="1">IFERROR(__xludf.DUMMYFUNCTION("""COMPUTED_VALUE"""),0)</f>
        <v>0</v>
      </c>
      <c r="J231" s="5">
        <f ca="1">IFERROR(__xludf.DUMMYFUNCTION("""COMPUTED_VALUE"""),0)</f>
        <v>0</v>
      </c>
      <c r="K231" s="9" t="str">
        <f ca="1">IFERROR(__xludf.DUMMYFUNCTION("""COMPUTED_VALUE"""),"https://www.kctv5.com/2022/07/27/police-man-involved-shooting-incident-with-gardner-police-wounded-himself/")</f>
        <v>https://www.kctv5.com/2022/07/27/police-man-involved-shooting-incident-with-gardner-police-wounded-himself/</v>
      </c>
      <c r="L231" s="5">
        <f ca="1">IFERROR(__xludf.DUMMYFUNCTION("""COMPUTED_VALUE"""),1)</f>
        <v>1</v>
      </c>
      <c r="M231" s="5" t="str">
        <f ca="1">IFERROR(__xludf.DUMMYFUNCTION("""COMPUTED_VALUE"""),"Local")</f>
        <v>Local</v>
      </c>
      <c r="N231" s="5">
        <f ca="1">IFERROR(__xludf.DUMMYFUNCTION("""COMPUTED_VALUE"""),3)</f>
        <v>3</v>
      </c>
      <c r="O231" s="5" t="str">
        <f ca="1">IFERROR(__xludf.DUMMYFUNCTION("""COMPUTED_VALUE"""),"Summer")</f>
        <v>Summer</v>
      </c>
      <c r="P231" s="5" t="str">
        <f ca="1">IFERROR(__xludf.DUMMYFUNCTION("""COMPUTED_VALUE"""),"Gardner")</f>
        <v>Gardner</v>
      </c>
      <c r="Q231" s="5" t="str">
        <f ca="1">IFERROR(__xludf.DUMMYFUNCTION("""COMPUTED_VALUE"""),"KS")</f>
        <v>KS</v>
      </c>
      <c r="R231" s="5" t="str">
        <f ca="1">IFERROR(__xludf.DUMMYFUNCTION("""COMPUTED_VALUE"""),"Elementary")</f>
        <v>Elementary</v>
      </c>
      <c r="S231" s="5" t="str">
        <f ca="1">IFERROR(__xludf.DUMMYFUNCTION("""COMPUTED_VALUE"""),"Outside on School Property")</f>
        <v>Outside on School Property</v>
      </c>
      <c r="T231" s="5" t="str">
        <f ca="1">IFERROR(__xludf.DUMMYFUNCTION("""COMPUTED_VALUE"""),"Outside on School Property")</f>
        <v>Outside on School Property</v>
      </c>
      <c r="U231" s="5" t="str">
        <f ca="1">IFERROR(__xludf.DUMMYFUNCTION("""COMPUTED_VALUE"""),"No")</f>
        <v>No</v>
      </c>
      <c r="V231" s="5" t="str">
        <f ca="1">IFERROR(__xludf.DUMMYFUNCTION("""COMPUTED_VALUE"""),"Not a School Day")</f>
        <v>Not a School Day</v>
      </c>
      <c r="W231" s="10">
        <f ca="1">IFERROR(__xludf.DUMMYFUNCTION("""COMPUTED_VALUE"""),0.666666666666666)</f>
        <v>0.66666666666666596</v>
      </c>
      <c r="X231" s="5">
        <f ca="1">IFERROR(__xludf.DUMMYFUNCTION("""COMPUTED_VALUE"""),1)</f>
        <v>1</v>
      </c>
      <c r="Y231" s="5" t="str">
        <f ca="1">IFERROR(__xludf.DUMMYFUNCTION("""COMPUTED_VALUE"""),"Suicidal man shot himself when approached by police")</f>
        <v>Suicidal man shot himself when approached by police</v>
      </c>
      <c r="Z231" s="5" t="str">
        <f ca="1">IFERROR(__xludf.DUMMYFUNCTION("""COMPUTED_VALUE"""),"A 22-year-old man shot himself in front of the elementary school. Police were called for a suicidal man with a gun. When they approach him, he shot himself. He was transported to the hospital in stable condition.")</f>
        <v>A 22-year-old man shot himself in front of the elementary school. Police were called for a suicidal man with a gun. When they approach him, he shot himself. He was transported to the hospital in stable condition.</v>
      </c>
      <c r="AA231" s="5" t="str">
        <f ca="1">IFERROR(__xludf.DUMMYFUNCTION("""COMPUTED_VALUE"""),"Suicide/Attempted")</f>
        <v>Suicide/Attempted</v>
      </c>
      <c r="AB231" s="5" t="str">
        <f ca="1">IFERROR(__xludf.DUMMYFUNCTION("""COMPUTED_VALUE"""),"Victims Targeted")</f>
        <v>Victims Targeted</v>
      </c>
      <c r="AC231" s="5" t="str">
        <f ca="1">IFERROR(__xludf.DUMMYFUNCTION("""COMPUTED_VALUE"""),"No")</f>
        <v>No</v>
      </c>
      <c r="AD231" s="5" t="str">
        <f ca="1">IFERROR(__xludf.DUMMYFUNCTION("""COMPUTED_VALUE"""),"No")</f>
        <v>No</v>
      </c>
      <c r="AE231" s="5" t="str">
        <f ca="1">IFERROR(__xludf.DUMMYFUNCTION("""COMPUTED_VALUE"""),"No")</f>
        <v>No</v>
      </c>
      <c r="AF231" s="5" t="str">
        <f ca="1">IFERROR(__xludf.DUMMYFUNCTION("""COMPUTED_VALUE"""),"No")</f>
        <v>No</v>
      </c>
      <c r="AG231" s="5" t="str">
        <f ca="1">IFERROR(__xludf.DUMMYFUNCTION("""COMPUTED_VALUE"""),"No")</f>
        <v>No</v>
      </c>
      <c r="AH231" s="5" t="str">
        <f ca="1">IFERROR(__xludf.DUMMYFUNCTION("""COMPUTED_VALUE"""),"No")</f>
        <v>No</v>
      </c>
      <c r="AI231" s="5" t="str">
        <f ca="1">IFERROR(__xludf.DUMMYFUNCTION("""COMPUTED_VALUE"""),"No")</f>
        <v>No</v>
      </c>
      <c r="AJ231" s="5" t="str">
        <f ca="1">IFERROR(__xludf.DUMMYFUNCTION("""COMPUTED_VALUE"""),"No")</f>
        <v>No</v>
      </c>
    </row>
    <row r="232" spans="1:36" ht="13">
      <c r="A232" s="5" t="str">
        <f ca="1">IFERROR(__xludf.DUMMYFUNCTION("""COMPUTED_VALUE"""),"20220726TXCOC")</f>
        <v>20220726TXCOC</v>
      </c>
      <c r="B232" s="5">
        <f ca="1">IFERROR(__xludf.DUMMYFUNCTION("""COMPUTED_VALUE"""),7)</f>
        <v>7</v>
      </c>
      <c r="C232" s="5">
        <f ca="1">IFERROR(__xludf.DUMMYFUNCTION("""COMPUTED_VALUE"""),26)</f>
        <v>26</v>
      </c>
      <c r="D232" s="5">
        <f ca="1">IFERROR(__xludf.DUMMYFUNCTION("""COMPUTED_VALUE"""),2022)</f>
        <v>2022</v>
      </c>
      <c r="E232" s="8">
        <f ca="1">IFERROR(__xludf.DUMMYFUNCTION("""COMPUTED_VALUE"""),44768)</f>
        <v>44768</v>
      </c>
      <c r="F232" s="5" t="str">
        <f ca="1">IFERROR(__xludf.DUMMYFUNCTION("""COMPUTED_VALUE"""),"College Station High School")</f>
        <v>College Station High School</v>
      </c>
      <c r="G232" s="5">
        <f ca="1">IFERROR(__xludf.DUMMYFUNCTION("""COMPUTED_VALUE"""),0)</f>
        <v>0</v>
      </c>
      <c r="H232" s="5">
        <f ca="1">IFERROR(__xludf.DUMMYFUNCTION("""COMPUTED_VALUE"""),0)</f>
        <v>0</v>
      </c>
      <c r="I232" s="5">
        <f ca="1">IFERROR(__xludf.DUMMYFUNCTION("""COMPUTED_VALUE"""),0)</f>
        <v>0</v>
      </c>
      <c r="J232" s="5">
        <f ca="1">IFERROR(__xludf.DUMMYFUNCTION("""COMPUTED_VALUE"""),0)</f>
        <v>0</v>
      </c>
      <c r="K232" s="9" t="str">
        <f ca="1">IFERROR(__xludf.DUMMYFUNCTION("""COMPUTED_VALUE"""),"https://www.kbtx.com/2022/07/25/police-investigating-after-gunfire-reported-college-station-high-school/
https://www.fox44news.com/news/local-news/brazos/shots-fired-at-college-station-high-school-suspect-sought/")</f>
        <v>https://www.kbtx.com/2022/07/25/police-investigating-after-gunfire-reported-college-station-high-school/
https://www.fox44news.com/news/local-news/brazos/shots-fired-at-college-station-high-school-suspect-sought/</v>
      </c>
      <c r="L232" s="5">
        <f ca="1">IFERROR(__xludf.DUMMYFUNCTION("""COMPUTED_VALUE"""),2)</f>
        <v>2</v>
      </c>
      <c r="M232" s="5" t="str">
        <f ca="1">IFERROR(__xludf.DUMMYFUNCTION("""COMPUTED_VALUE"""),"Local")</f>
        <v>Local</v>
      </c>
      <c r="N232" s="5">
        <f ca="1">IFERROR(__xludf.DUMMYFUNCTION("""COMPUTED_VALUE"""),3)</f>
        <v>3</v>
      </c>
      <c r="O232" s="5" t="str">
        <f ca="1">IFERROR(__xludf.DUMMYFUNCTION("""COMPUTED_VALUE"""),"Summer")</f>
        <v>Summer</v>
      </c>
      <c r="P232" s="5" t="str">
        <f ca="1">IFERROR(__xludf.DUMMYFUNCTION("""COMPUTED_VALUE"""),"College Station")</f>
        <v>College Station</v>
      </c>
      <c r="Q232" s="5" t="str">
        <f ca="1">IFERROR(__xludf.DUMMYFUNCTION("""COMPUTED_VALUE"""),"TX")</f>
        <v>TX</v>
      </c>
      <c r="R232" s="5" t="str">
        <f ca="1">IFERROR(__xludf.DUMMYFUNCTION("""COMPUTED_VALUE"""),"High")</f>
        <v>High</v>
      </c>
      <c r="S232" s="5" t="str">
        <f ca="1">IFERROR(__xludf.DUMMYFUNCTION("""COMPUTED_VALUE"""),"Parking Lot")</f>
        <v>Parking Lot</v>
      </c>
      <c r="T232" s="5" t="str">
        <f ca="1">IFERROR(__xludf.DUMMYFUNCTION("""COMPUTED_VALUE"""),"Outside on School Property")</f>
        <v>Outside on School Property</v>
      </c>
      <c r="U232" s="5" t="str">
        <f ca="1">IFERROR(__xludf.DUMMYFUNCTION("""COMPUTED_VALUE"""),"No")</f>
        <v>No</v>
      </c>
      <c r="V232" s="5" t="str">
        <f ca="1">IFERROR(__xludf.DUMMYFUNCTION("""COMPUTED_VALUE"""),"Evening")</f>
        <v>Evening</v>
      </c>
      <c r="W232" s="10">
        <f ca="1">IFERROR(__xludf.DUMMYFUNCTION("""COMPUTED_VALUE"""),0.7375)</f>
        <v>0.73750000000000004</v>
      </c>
      <c r="X232" s="5">
        <f ca="1">IFERROR(__xludf.DUMMYFUNCTION("""COMPUTED_VALUE"""),1)</f>
        <v>1</v>
      </c>
      <c r="Y232" s="5" t="str">
        <f ca="1">IFERROR(__xludf.DUMMYFUNCTION("""COMPUTED_VALUE"""),"Man fired shots in parking lot, struck vehicles")</f>
        <v>Man fired shots in parking lot, struck vehicles</v>
      </c>
      <c r="Z232" s="5" t="str">
        <f ca="1">IFERROR(__xludf.DUMMYFUNCTION("""COMPUTED_VALUE"""),"Man fired shots in the school parking lot that broke 2 windows of a vehicle. Witnesses heard gunshots and notified police. Man was seen running away from the school into the wooded area behind the building. No injuries.")</f>
        <v>Man fired shots in the school parking lot that broke 2 windows of a vehicle. Witnesses heard gunshots and notified police. Man was seen running away from the school into the wooded area behind the building. No injuries.</v>
      </c>
      <c r="AA232" s="5"/>
      <c r="AB232" s="5"/>
      <c r="AC232" s="5" t="str">
        <f ca="1">IFERROR(__xludf.DUMMYFUNCTION("""COMPUTED_VALUE"""),"No")</f>
        <v>No</v>
      </c>
      <c r="AD232" s="5" t="str">
        <f ca="1">IFERROR(__xludf.DUMMYFUNCTION("""COMPUTED_VALUE"""),"No")</f>
        <v>No</v>
      </c>
      <c r="AE232" s="5" t="str">
        <f ca="1">IFERROR(__xludf.DUMMYFUNCTION("""COMPUTED_VALUE"""),"No")</f>
        <v>No</v>
      </c>
      <c r="AF232" s="5" t="str">
        <f ca="1">IFERROR(__xludf.DUMMYFUNCTION("""COMPUTED_VALUE"""),"No")</f>
        <v>No</v>
      </c>
      <c r="AG232" s="5" t="str">
        <f ca="1">IFERROR(__xludf.DUMMYFUNCTION("""COMPUTED_VALUE"""),"No")</f>
        <v>No</v>
      </c>
      <c r="AH232" s="5" t="str">
        <f ca="1">IFERROR(__xludf.DUMMYFUNCTION("""COMPUTED_VALUE"""),"No")</f>
        <v>No</v>
      </c>
      <c r="AI232" s="5"/>
      <c r="AJ232" s="5" t="str">
        <f ca="1">IFERROR(__xludf.DUMMYFUNCTION("""COMPUTED_VALUE"""),"No")</f>
        <v>No</v>
      </c>
    </row>
    <row r="233" spans="1:36" ht="13">
      <c r="A233" s="5" t="str">
        <f ca="1">IFERROR(__xludf.DUMMYFUNCTION("""COMPUTED_VALUE"""),"20220726PALAL")</f>
        <v>20220726PALAL</v>
      </c>
      <c r="B233" s="5">
        <f ca="1">IFERROR(__xludf.DUMMYFUNCTION("""COMPUTED_VALUE"""),7)</f>
        <v>7</v>
      </c>
      <c r="C233" s="5">
        <f ca="1">IFERROR(__xludf.DUMMYFUNCTION("""COMPUTED_VALUE"""),26)</f>
        <v>26</v>
      </c>
      <c r="D233" s="5">
        <f ca="1">IFERROR(__xludf.DUMMYFUNCTION("""COMPUTED_VALUE"""),2022)</f>
        <v>2022</v>
      </c>
      <c r="E233" s="8">
        <f ca="1">IFERROR(__xludf.DUMMYFUNCTION("""COMPUTED_VALUE"""),44768)</f>
        <v>44768</v>
      </c>
      <c r="F233" s="5" t="str">
        <f ca="1">IFERROR(__xludf.DUMMYFUNCTION("""COMPUTED_VALUE"""),"Lake Lehman High School")</f>
        <v>Lake Lehman High School</v>
      </c>
      <c r="G233" s="5">
        <f ca="1">IFERROR(__xludf.DUMMYFUNCTION("""COMPUTED_VALUE"""),0)</f>
        <v>0</v>
      </c>
      <c r="H233" s="5">
        <f ca="1">IFERROR(__xludf.DUMMYFUNCTION("""COMPUTED_VALUE"""),0)</f>
        <v>0</v>
      </c>
      <c r="I233" s="5">
        <f ca="1">IFERROR(__xludf.DUMMYFUNCTION("""COMPUTED_VALUE"""),0)</f>
        <v>0</v>
      </c>
      <c r="J233" s="5">
        <f ca="1">IFERROR(__xludf.DUMMYFUNCTION("""COMPUTED_VALUE"""),0)</f>
        <v>0</v>
      </c>
      <c r="K233" s="9" t="str">
        <f ca="1">IFERROR(__xludf.DUMMYFUNCTION("""COMPUTED_VALUE"""),"https://local21news.com/news/local/man-wanted-by-police-for-discharging-firearm")</f>
        <v>https://local21news.com/news/local/man-wanted-by-police-for-discharging-firearm</v>
      </c>
      <c r="L233" s="5">
        <f ca="1">IFERROR(__xludf.DUMMYFUNCTION("""COMPUTED_VALUE"""),1)</f>
        <v>1</v>
      </c>
      <c r="M233" s="5" t="str">
        <f ca="1">IFERROR(__xludf.DUMMYFUNCTION("""COMPUTED_VALUE"""),"Local")</f>
        <v>Local</v>
      </c>
      <c r="N233" s="5">
        <f ca="1">IFERROR(__xludf.DUMMYFUNCTION("""COMPUTED_VALUE"""),4)</f>
        <v>4</v>
      </c>
      <c r="O233" s="5" t="str">
        <f ca="1">IFERROR(__xludf.DUMMYFUNCTION("""COMPUTED_VALUE"""),"Summer")</f>
        <v>Summer</v>
      </c>
      <c r="P233" s="5" t="str">
        <f ca="1">IFERROR(__xludf.DUMMYFUNCTION("""COMPUTED_VALUE"""),"Lehman")</f>
        <v>Lehman</v>
      </c>
      <c r="Q233" s="5" t="str">
        <f ca="1">IFERROR(__xludf.DUMMYFUNCTION("""COMPUTED_VALUE"""),"PA")</f>
        <v>PA</v>
      </c>
      <c r="R233" s="5" t="str">
        <f ca="1">IFERROR(__xludf.DUMMYFUNCTION("""COMPUTED_VALUE"""),"High")</f>
        <v>High</v>
      </c>
      <c r="S233" s="5" t="str">
        <f ca="1">IFERROR(__xludf.DUMMYFUNCTION("""COMPUTED_VALUE"""),"Gym")</f>
        <v>Gym</v>
      </c>
      <c r="T233" s="5" t="str">
        <f ca="1">IFERROR(__xludf.DUMMYFUNCTION("""COMPUTED_VALUE"""),"Outside on School Property")</f>
        <v>Outside on School Property</v>
      </c>
      <c r="U233" s="5" t="str">
        <f ca="1">IFERROR(__xludf.DUMMYFUNCTION("""COMPUTED_VALUE"""),"No")</f>
        <v>No</v>
      </c>
      <c r="V233" s="5" t="str">
        <f ca="1">IFERROR(__xludf.DUMMYFUNCTION("""COMPUTED_VALUE"""),"Night")</f>
        <v>Night</v>
      </c>
      <c r="W233" s="10">
        <f ca="1">IFERROR(__xludf.DUMMYFUNCTION("""COMPUTED_VALUE"""),0.0625)</f>
        <v>6.25E-2</v>
      </c>
      <c r="X233" s="5">
        <f ca="1">IFERROR(__xludf.DUMMYFUNCTION("""COMPUTED_VALUE"""),1)</f>
        <v>1</v>
      </c>
      <c r="Y233" s="5" t="str">
        <f ca="1">IFERROR(__xludf.DUMMYFUNCTION("""COMPUTED_VALUE"""),"Man fired shots from vehicle at school building")</f>
        <v>Man fired shots from vehicle at school building</v>
      </c>
      <c r="Z233" s="5" t="str">
        <f ca="1">IFERROR(__xludf.DUMMYFUNCTION("""COMPUTED_VALUE"""),"20-year-old man fired shots at the school building breaking windows in the gym. Shooter was identified by cellphone video and arrested the week after the attack. Held without bail.")</f>
        <v>20-year-old man fired shots at the school building breaking windows in the gym. Shooter was identified by cellphone video and arrested the week after the attack. Held without bail.</v>
      </c>
      <c r="AA233" s="5" t="str">
        <f ca="1">IFERROR(__xludf.DUMMYFUNCTION("""COMPUTED_VALUE"""),"Drive-by Shooting")</f>
        <v>Drive-by Shooting</v>
      </c>
      <c r="AB233" s="5" t="str">
        <f ca="1">IFERROR(__xludf.DUMMYFUNCTION("""COMPUTED_VALUE"""),"Neither")</f>
        <v>Neither</v>
      </c>
      <c r="AC233" s="5" t="str">
        <f ca="1">IFERROR(__xludf.DUMMYFUNCTION("""COMPUTED_VALUE"""),"No")</f>
        <v>No</v>
      </c>
      <c r="AD233" s="5" t="str">
        <f ca="1">IFERROR(__xludf.DUMMYFUNCTION("""COMPUTED_VALUE"""),"No")</f>
        <v>No</v>
      </c>
      <c r="AE233" s="5" t="str">
        <f ca="1">IFERROR(__xludf.DUMMYFUNCTION("""COMPUTED_VALUE"""),"No")</f>
        <v>No</v>
      </c>
      <c r="AF233" s="5" t="str">
        <f ca="1">IFERROR(__xludf.DUMMYFUNCTION("""COMPUTED_VALUE"""),"No")</f>
        <v>No</v>
      </c>
      <c r="AG233" s="5" t="str">
        <f ca="1">IFERROR(__xludf.DUMMYFUNCTION("""COMPUTED_VALUE"""),"No")</f>
        <v>No</v>
      </c>
      <c r="AH233" s="5" t="str">
        <f ca="1">IFERROR(__xludf.DUMMYFUNCTION("""COMPUTED_VALUE"""),"No")</f>
        <v>No</v>
      </c>
      <c r="AI233" s="5" t="str">
        <f ca="1">IFERROR(__xludf.DUMMYFUNCTION("""COMPUTED_VALUE"""),"No")</f>
        <v>No</v>
      </c>
      <c r="AJ233" s="5" t="str">
        <f ca="1">IFERROR(__xludf.DUMMYFUNCTION("""COMPUTED_VALUE"""),"No")</f>
        <v>No</v>
      </c>
    </row>
    <row r="234" spans="1:36" ht="13">
      <c r="A234" s="5" t="str">
        <f ca="1">IFERROR(__xludf.DUMMYFUNCTION("""COMPUTED_VALUE"""),"20220725NYBRB")</f>
        <v>20220725NYBRB</v>
      </c>
      <c r="B234" s="5">
        <f ca="1">IFERROR(__xludf.DUMMYFUNCTION("""COMPUTED_VALUE"""),7)</f>
        <v>7</v>
      </c>
      <c r="C234" s="5">
        <f ca="1">IFERROR(__xludf.DUMMYFUNCTION("""COMPUTED_VALUE"""),25)</f>
        <v>25</v>
      </c>
      <c r="D234" s="5">
        <f ca="1">IFERROR(__xludf.DUMMYFUNCTION("""COMPUTED_VALUE"""),2022)</f>
        <v>2022</v>
      </c>
      <c r="E234" s="8">
        <f ca="1">IFERROR(__xludf.DUMMYFUNCTION("""COMPUTED_VALUE"""),44767)</f>
        <v>44767</v>
      </c>
      <c r="F234" s="5" t="str">
        <f ca="1">IFERROR(__xludf.DUMMYFUNCTION("""COMPUTED_VALUE"""),"X480 Bronx Regional High School")</f>
        <v>X480 Bronx Regional High School</v>
      </c>
      <c r="G234" s="5">
        <f ca="1">IFERROR(__xludf.DUMMYFUNCTION("""COMPUTED_VALUE"""),0)</f>
        <v>0</v>
      </c>
      <c r="H234" s="5">
        <f ca="1">IFERROR(__xludf.DUMMYFUNCTION("""COMPUTED_VALUE"""),2)</f>
        <v>2</v>
      </c>
      <c r="I234" s="5">
        <f ca="1">IFERROR(__xludf.DUMMYFUNCTION("""COMPUTED_VALUE"""),2)</f>
        <v>2</v>
      </c>
      <c r="J234" s="5">
        <f ca="1">IFERROR(__xludf.DUMMYFUNCTION("""COMPUTED_VALUE"""),0)</f>
        <v>0</v>
      </c>
      <c r="K234" s="5" t="str">
        <f ca="1">IFERROR(__xludf.DUMMYFUNCTION("""COMPUTED_VALUE"""),"https://www.cbsnews.com/newyork/video/new-video-of-bronx-playground-shooting/#x
https://www.youtube.com/watch?v=q6OfRsakEBE
https://www.nbcnewyork.com/news/local/ghost-in-bmw-shoots-12-year-old-girl-teen-in-front-of-nyc-school-playground/3796282/
")</f>
        <v xml:space="preserve">https://www.cbsnews.com/newyork/video/new-video-of-bronx-playground-shooting/#x
https://www.youtube.com/watch?v=q6OfRsakEBE
https://www.nbcnewyork.com/news/local/ghost-in-bmw-shoots-12-year-old-girl-teen-in-front-of-nyc-school-playground/3796282/
</v>
      </c>
      <c r="L234" s="5">
        <f ca="1">IFERROR(__xludf.DUMMYFUNCTION("""COMPUTED_VALUE"""),3)</f>
        <v>3</v>
      </c>
      <c r="M234" s="5" t="str">
        <f ca="1">IFERROR(__xludf.DUMMYFUNCTION("""COMPUTED_VALUE"""),"Local")</f>
        <v>Local</v>
      </c>
      <c r="N234" s="5">
        <f ca="1">IFERROR(__xludf.DUMMYFUNCTION("""COMPUTED_VALUE"""),4)</f>
        <v>4</v>
      </c>
      <c r="O234" s="5" t="str">
        <f ca="1">IFERROR(__xludf.DUMMYFUNCTION("""COMPUTED_VALUE"""),"Summer")</f>
        <v>Summer</v>
      </c>
      <c r="P234" s="5" t="str">
        <f ca="1">IFERROR(__xludf.DUMMYFUNCTION("""COMPUTED_VALUE"""),"Bronx")</f>
        <v>Bronx</v>
      </c>
      <c r="Q234" s="5" t="str">
        <f ca="1">IFERROR(__xludf.DUMMYFUNCTION("""COMPUTED_VALUE"""),"NY")</f>
        <v>NY</v>
      </c>
      <c r="R234" s="5" t="str">
        <f ca="1">IFERROR(__xludf.DUMMYFUNCTION("""COMPUTED_VALUE"""),"High")</f>
        <v>High</v>
      </c>
      <c r="S234" s="5" t="str">
        <f ca="1">IFERROR(__xludf.DUMMYFUNCTION("""COMPUTED_VALUE"""),"Basketball Court")</f>
        <v>Basketball Court</v>
      </c>
      <c r="T234" s="5" t="str">
        <f ca="1">IFERROR(__xludf.DUMMYFUNCTION("""COMPUTED_VALUE"""),"Outside on School Property")</f>
        <v>Outside on School Property</v>
      </c>
      <c r="U234" s="5" t="str">
        <f ca="1">IFERROR(__xludf.DUMMYFUNCTION("""COMPUTED_VALUE"""),"No")</f>
        <v>No</v>
      </c>
      <c r="V234" s="5" t="str">
        <f ca="1">IFERROR(__xludf.DUMMYFUNCTION("""COMPUTED_VALUE"""),"Night")</f>
        <v>Night</v>
      </c>
      <c r="W234" s="10">
        <f ca="1">IFERROR(__xludf.DUMMYFUNCTION("""COMPUTED_VALUE"""),0.979166666666666)</f>
        <v>0.97916666666666596</v>
      </c>
      <c r="X234" s="5">
        <f ca="1">IFERROR(__xludf.DUMMYFUNCTION("""COMPUTED_VALUE"""),1)</f>
        <v>1</v>
      </c>
      <c r="Y234" s="5" t="str">
        <f ca="1">IFERROR(__xludf.DUMMYFUNCTION("""COMPUTED_VALUE"""),"Teen and child shot on basketball court")</f>
        <v>Teen and child shot on basketball court</v>
      </c>
      <c r="Z234" s="5" t="str">
        <f ca="1">IFERROR(__xludf.DUMMYFUNCTION("""COMPUTED_VALUE"""),"A 12-year-old girl and 16-year-old boy were shot on the school's outdoor basketball court. Shooter fled in a vehicle. Police believe the victims were mistaken for gang members.")</f>
        <v>A 12-year-old girl and 16-year-old boy were shot on the school's outdoor basketball court. Shooter fled in a vehicle. Police believe the victims were mistaken for gang members.</v>
      </c>
      <c r="AA234" s="5" t="str">
        <f ca="1">IFERROR(__xludf.DUMMYFUNCTION("""COMPUTED_VALUE"""),"Drive-by Shooting")</f>
        <v>Drive-by Shooting</v>
      </c>
      <c r="AB234" s="5" t="str">
        <f ca="1">IFERROR(__xludf.DUMMYFUNCTION("""COMPUTED_VALUE"""),"Both")</f>
        <v>Both</v>
      </c>
      <c r="AC234" s="5" t="str">
        <f ca="1">IFERROR(__xludf.DUMMYFUNCTION("""COMPUTED_VALUE"""),"Yes")</f>
        <v>Yes</v>
      </c>
      <c r="AD234" s="5" t="str">
        <f ca="1">IFERROR(__xludf.DUMMYFUNCTION("""COMPUTED_VALUE"""),"No")</f>
        <v>No</v>
      </c>
      <c r="AE234" s="5" t="str">
        <f ca="1">IFERROR(__xludf.DUMMYFUNCTION("""COMPUTED_VALUE"""),"No")</f>
        <v>No</v>
      </c>
      <c r="AF234" s="5" t="str">
        <f ca="1">IFERROR(__xludf.DUMMYFUNCTION("""COMPUTED_VALUE"""),"No")</f>
        <v>No</v>
      </c>
      <c r="AG234" s="5" t="str">
        <f ca="1">IFERROR(__xludf.DUMMYFUNCTION("""COMPUTED_VALUE"""),"No")</f>
        <v>No</v>
      </c>
      <c r="AH234" s="5" t="str">
        <f ca="1">IFERROR(__xludf.DUMMYFUNCTION("""COMPUTED_VALUE"""),"No")</f>
        <v>No</v>
      </c>
      <c r="AI234" s="5" t="str">
        <f ca="1">IFERROR(__xludf.DUMMYFUNCTION("""COMPUTED_VALUE"""),"Yes")</f>
        <v>Yes</v>
      </c>
      <c r="AJ234" s="5" t="str">
        <f ca="1">IFERROR(__xludf.DUMMYFUNCTION("""COMPUTED_VALUE"""),"No")</f>
        <v>No</v>
      </c>
    </row>
    <row r="235" spans="1:36" ht="13">
      <c r="A235" s="5" t="str">
        <f ca="1">IFERROR(__xludf.DUMMYFUNCTION("""COMPUTED_VALUE"""),"20220720CAJOV")</f>
        <v>20220720CAJOV</v>
      </c>
      <c r="B235" s="5">
        <f ca="1">IFERROR(__xludf.DUMMYFUNCTION("""COMPUTED_VALUE"""),7)</f>
        <v>7</v>
      </c>
      <c r="C235" s="5">
        <f ca="1">IFERROR(__xludf.DUMMYFUNCTION("""COMPUTED_VALUE"""),20)</f>
        <v>20</v>
      </c>
      <c r="D235" s="5">
        <f ca="1">IFERROR(__xludf.DUMMYFUNCTION("""COMPUTED_VALUE"""),2022)</f>
        <v>2022</v>
      </c>
      <c r="E235" s="8">
        <f ca="1">IFERROR(__xludf.DUMMYFUNCTION("""COMPUTED_VALUE"""),44762)</f>
        <v>44762</v>
      </c>
      <c r="F235" s="5" t="str">
        <f ca="1">IFERROR(__xludf.DUMMYFUNCTION("""COMPUTED_VALUE"""),"John Finney High School")</f>
        <v>John Finney High School</v>
      </c>
      <c r="G235" s="5">
        <f ca="1">IFERROR(__xludf.DUMMYFUNCTION("""COMPUTED_VALUE"""),0)</f>
        <v>0</v>
      </c>
      <c r="H235" s="5">
        <f ca="1">IFERROR(__xludf.DUMMYFUNCTION("""COMPUTED_VALUE"""),0)</f>
        <v>0</v>
      </c>
      <c r="I235" s="5">
        <f ca="1">IFERROR(__xludf.DUMMYFUNCTION("""COMPUTED_VALUE"""),0)</f>
        <v>0</v>
      </c>
      <c r="J235" s="5">
        <f ca="1">IFERROR(__xludf.DUMMYFUNCTION("""COMPUTED_VALUE"""),0)</f>
        <v>0</v>
      </c>
      <c r="K235" s="9" t="str">
        <f ca="1">IFERROR(__xludf.DUMMYFUNCTION("""COMPUTED_VALUE"""),"https://www.nbcbayarea.com/news/local/north-bay/vallejo-school-lockdown-shooting/2949469/
https://www.msn.com/en-us/news/crime/shots-fired-near-john-finney-cause-lockdown/ar-AAZNJZH?ocid=hplocalnews&amp;srcref=rss")</f>
        <v>https://www.nbcbayarea.com/news/local/north-bay/vallejo-school-lockdown-shooting/2949469/
https://www.msn.com/en-us/news/crime/shots-fired-near-john-finney-cause-lockdown/ar-AAZNJZH?ocid=hplocalnews&amp;srcref=rss</v>
      </c>
      <c r="L235" s="5">
        <f ca="1">IFERROR(__xludf.DUMMYFUNCTION("""COMPUTED_VALUE"""),5)</f>
        <v>5</v>
      </c>
      <c r="M235" s="5" t="str">
        <f ca="1">IFERROR(__xludf.DUMMYFUNCTION("""COMPUTED_VALUE"""),"Regional")</f>
        <v>Regional</v>
      </c>
      <c r="N235" s="5">
        <f ca="1">IFERROR(__xludf.DUMMYFUNCTION("""COMPUTED_VALUE"""),4)</f>
        <v>4</v>
      </c>
      <c r="O235" s="5" t="str">
        <f ca="1">IFERROR(__xludf.DUMMYFUNCTION("""COMPUTED_VALUE"""),"Summer")</f>
        <v>Summer</v>
      </c>
      <c r="P235" s="5" t="str">
        <f ca="1">IFERROR(__xludf.DUMMYFUNCTION("""COMPUTED_VALUE"""),"Vallejo")</f>
        <v>Vallejo</v>
      </c>
      <c r="Q235" s="5" t="str">
        <f ca="1">IFERROR(__xludf.DUMMYFUNCTION("""COMPUTED_VALUE"""),"CA")</f>
        <v>CA</v>
      </c>
      <c r="R235" s="5" t="str">
        <f ca="1">IFERROR(__xludf.DUMMYFUNCTION("""COMPUTED_VALUE"""),"High")</f>
        <v>High</v>
      </c>
      <c r="S235" s="5" t="str">
        <f ca="1">IFERROR(__xludf.DUMMYFUNCTION("""COMPUTED_VALUE"""),"Field (General)")</f>
        <v>Field (General)</v>
      </c>
      <c r="T235" s="5" t="str">
        <f ca="1">IFERROR(__xludf.DUMMYFUNCTION("""COMPUTED_VALUE"""),"Outside on School Property")</f>
        <v>Outside on School Property</v>
      </c>
      <c r="U235" s="5" t="str">
        <f ca="1">IFERROR(__xludf.DUMMYFUNCTION("""COMPUTED_VALUE"""),"Yes")</f>
        <v>Yes</v>
      </c>
      <c r="V235" s="5" t="str">
        <f ca="1">IFERROR(__xludf.DUMMYFUNCTION("""COMPUTED_VALUE"""),"Morning Classes")</f>
        <v>Morning Classes</v>
      </c>
      <c r="W235" s="10">
        <f ca="1">IFERROR(__xludf.DUMMYFUNCTION("""COMPUTED_VALUE"""),0.392361111111111)</f>
        <v>0.39236111111111099</v>
      </c>
      <c r="X235" s="5">
        <f ca="1">IFERROR(__xludf.DUMMYFUNCTION("""COMPUTED_VALUE"""),1)</f>
        <v>1</v>
      </c>
      <c r="Y235" s="5" t="str">
        <f ca="1">IFERROR(__xludf.DUMMYFUNCTION("""COMPUTED_VALUE"""),"Shots fired on school field")</f>
        <v>Shots fired on school field</v>
      </c>
      <c r="Z235" s="5" t="str">
        <f ca="1">IFERROR(__xludf.DUMMYFUNCTION("""COMPUTED_VALUE"""),"School went into lockdown when staff heard gun shots on the campus. An adult man ran from the field on the west side of the campus before police arrived. Police found shell casings. No injuries.")</f>
        <v>School went into lockdown when staff heard gun shots on the campus. An adult man ran from the field on the west side of the campus before police arrived. Police found shell casings. No injuries.</v>
      </c>
      <c r="AA235" s="5"/>
      <c r="AB235" s="5"/>
      <c r="AC235" s="5" t="str">
        <f ca="1">IFERROR(__xludf.DUMMYFUNCTION("""COMPUTED_VALUE"""),"No")</f>
        <v>No</v>
      </c>
      <c r="AD235" s="5" t="str">
        <f ca="1">IFERROR(__xludf.DUMMYFUNCTION("""COMPUTED_VALUE"""),"No")</f>
        <v>No</v>
      </c>
      <c r="AE235" s="5" t="str">
        <f ca="1">IFERROR(__xludf.DUMMYFUNCTION("""COMPUTED_VALUE"""),"No")</f>
        <v>No</v>
      </c>
      <c r="AF235" s="5" t="str">
        <f ca="1">IFERROR(__xludf.DUMMYFUNCTION("""COMPUTED_VALUE"""),"No")</f>
        <v>No</v>
      </c>
      <c r="AG235" s="5" t="str">
        <f ca="1">IFERROR(__xludf.DUMMYFUNCTION("""COMPUTED_VALUE"""),"No")</f>
        <v>No</v>
      </c>
      <c r="AH235" s="5" t="str">
        <f ca="1">IFERROR(__xludf.DUMMYFUNCTION("""COMPUTED_VALUE"""),"No")</f>
        <v>No</v>
      </c>
      <c r="AI235" s="5"/>
      <c r="AJ235" s="5" t="str">
        <f ca="1">IFERROR(__xludf.DUMMYFUNCTION("""COMPUTED_VALUE"""),"No")</f>
        <v>No</v>
      </c>
    </row>
    <row r="236" spans="1:36" ht="13">
      <c r="A236" s="5" t="str">
        <f ca="1">IFERROR(__xludf.DUMMYFUNCTION("""COMPUTED_VALUE"""),"20220716GAAPF")</f>
        <v>20220716GAAPF</v>
      </c>
      <c r="B236" s="5">
        <f ca="1">IFERROR(__xludf.DUMMYFUNCTION("""COMPUTED_VALUE"""),7)</f>
        <v>7</v>
      </c>
      <c r="C236" s="5">
        <f ca="1">IFERROR(__xludf.DUMMYFUNCTION("""COMPUTED_VALUE"""),16)</f>
        <v>16</v>
      </c>
      <c r="D236" s="5">
        <f ca="1">IFERROR(__xludf.DUMMYFUNCTION("""COMPUTED_VALUE"""),2022)</f>
        <v>2022</v>
      </c>
      <c r="E236" s="8">
        <f ca="1">IFERROR(__xludf.DUMMYFUNCTION("""COMPUTED_VALUE"""),44758)</f>
        <v>44758</v>
      </c>
      <c r="F236" s="5" t="str">
        <f ca="1">IFERROR(__xludf.DUMMYFUNCTION("""COMPUTED_VALUE"""),"A. Philip Randolph Elementary School")</f>
        <v>A. Philip Randolph Elementary School</v>
      </c>
      <c r="G236" s="5">
        <f ca="1">IFERROR(__xludf.DUMMYFUNCTION("""COMPUTED_VALUE"""),0)</f>
        <v>0</v>
      </c>
      <c r="H236" s="5">
        <f ca="1">IFERROR(__xludf.DUMMYFUNCTION("""COMPUTED_VALUE"""),1)</f>
        <v>1</v>
      </c>
      <c r="I236" s="5">
        <f ca="1">IFERROR(__xludf.DUMMYFUNCTION("""COMPUTED_VALUE"""),1)</f>
        <v>1</v>
      </c>
      <c r="J236" s="5">
        <f ca="1">IFERROR(__xludf.DUMMYFUNCTION("""COMPUTED_VALUE"""),0)</f>
        <v>0</v>
      </c>
      <c r="K236" s="5" t="str">
        <f ca="1">IFERROR(__xludf.DUMMYFUNCTION("""COMPUTED_VALUE"""),"https://www.wsbtv.com/news/local/south-fulton-county/shooting-south-fulton-school-property-leaves-1-person-injured-police-say/FJWRT3JDXZAGHNKDYCDSJ2VFSY/
https://www.cbs46.com/2022/07/16/shooting-near-south-fulton-elementary-school-draws-concerns-neighbor"&amp;"s/
https://www.11alive.com/article/news/local/a-phillip-randolph-elementary-school-shooting-investigation/85-f01a1e46-8682-4696-bd87-28377ceede92")</f>
        <v>https://www.wsbtv.com/news/local/south-fulton-county/shooting-south-fulton-school-property-leaves-1-person-injured-police-say/FJWRT3JDXZAGHNKDYCDSJ2VFSY/
https://www.cbs46.com/2022/07/16/shooting-near-south-fulton-elementary-school-draws-concerns-neighbors/
https://www.11alive.com/article/news/local/a-phillip-randolph-elementary-school-shooting-investigation/85-f01a1e46-8682-4696-bd87-28377ceede92</v>
      </c>
      <c r="L236" s="5">
        <f ca="1">IFERROR(__xludf.DUMMYFUNCTION("""COMPUTED_VALUE"""),3)</f>
        <v>3</v>
      </c>
      <c r="M236" s="5" t="str">
        <f ca="1">IFERROR(__xludf.DUMMYFUNCTION("""COMPUTED_VALUE"""),"Local")</f>
        <v>Local</v>
      </c>
      <c r="N236" s="5">
        <f ca="1">IFERROR(__xludf.DUMMYFUNCTION("""COMPUTED_VALUE"""),4)</f>
        <v>4</v>
      </c>
      <c r="O236" s="5" t="str">
        <f ca="1">IFERROR(__xludf.DUMMYFUNCTION("""COMPUTED_VALUE"""),"Summer")</f>
        <v>Summer</v>
      </c>
      <c r="P236" s="5" t="str">
        <f ca="1">IFERROR(__xludf.DUMMYFUNCTION("""COMPUTED_VALUE"""),"Fulton")</f>
        <v>Fulton</v>
      </c>
      <c r="Q236" s="5" t="str">
        <f ca="1">IFERROR(__xludf.DUMMYFUNCTION("""COMPUTED_VALUE"""),"GA")</f>
        <v>GA</v>
      </c>
      <c r="R236" s="5" t="str">
        <f ca="1">IFERROR(__xludf.DUMMYFUNCTION("""COMPUTED_VALUE"""),"Elementary")</f>
        <v>Elementary</v>
      </c>
      <c r="S236" s="5" t="str">
        <f ca="1">IFERROR(__xludf.DUMMYFUNCTION("""COMPUTED_VALUE"""),"Parking Lot")</f>
        <v>Parking Lot</v>
      </c>
      <c r="T236" s="5" t="str">
        <f ca="1">IFERROR(__xludf.DUMMYFUNCTION("""COMPUTED_VALUE"""),"Outside on School Property")</f>
        <v>Outside on School Property</v>
      </c>
      <c r="U236" s="5" t="str">
        <f ca="1">IFERROR(__xludf.DUMMYFUNCTION("""COMPUTED_VALUE"""),"No")</f>
        <v>No</v>
      </c>
      <c r="V236" s="5" t="str">
        <f ca="1">IFERROR(__xludf.DUMMYFUNCTION("""COMPUTED_VALUE"""),"Night")</f>
        <v>Night</v>
      </c>
      <c r="W236" s="10">
        <f ca="1">IFERROR(__xludf.DUMMYFUNCTION("""COMPUTED_VALUE"""),0.104166666666666)</f>
        <v>0.10416666666666601</v>
      </c>
      <c r="X236" s="5">
        <f ca="1">IFERROR(__xludf.DUMMYFUNCTION("""COMPUTED_VALUE"""),1)</f>
        <v>1</v>
      </c>
      <c r="Y236" s="5" t="str">
        <f ca="1">IFERROR(__xludf.DUMMYFUNCTION("""COMPUTED_VALUE"""),"Man shot during fight that escalated into shooting")</f>
        <v>Man shot during fight that escalated into shooting</v>
      </c>
      <c r="Z236" s="5" t="str">
        <f ca="1">IFERROR(__xludf.DUMMYFUNCTION("""COMPUTED_VALUE"""),"19-year-old man was shot during a fight in the school parking lot the escalated into a shooting. A nearby officer heard the shots and responded. Shooter fled the scene.")</f>
        <v>19-year-old man was shot during a fight in the school parking lot the escalated into a shooting. A nearby officer heard the shots and responded. Shooter fled the scene.</v>
      </c>
      <c r="AA236" s="5" t="str">
        <f ca="1">IFERROR(__xludf.DUMMYFUNCTION("""COMPUTED_VALUE"""),"Escalation of Dispute")</f>
        <v>Escalation of Dispute</v>
      </c>
      <c r="AB236" s="5" t="str">
        <f ca="1">IFERROR(__xludf.DUMMYFUNCTION("""COMPUTED_VALUE"""),"Victims Targeted")</f>
        <v>Victims Targeted</v>
      </c>
      <c r="AC236" s="5" t="str">
        <f ca="1">IFERROR(__xludf.DUMMYFUNCTION("""COMPUTED_VALUE"""),"No")</f>
        <v>No</v>
      </c>
      <c r="AD236" s="5" t="str">
        <f ca="1">IFERROR(__xludf.DUMMYFUNCTION("""COMPUTED_VALUE"""),"No")</f>
        <v>No</v>
      </c>
      <c r="AE236" s="5" t="str">
        <f ca="1">IFERROR(__xludf.DUMMYFUNCTION("""COMPUTED_VALUE"""),"No")</f>
        <v>No</v>
      </c>
      <c r="AF236" s="5" t="str">
        <f ca="1">IFERROR(__xludf.DUMMYFUNCTION("""COMPUTED_VALUE"""),"No")</f>
        <v>No</v>
      </c>
      <c r="AG236" s="5" t="str">
        <f ca="1">IFERROR(__xludf.DUMMYFUNCTION("""COMPUTED_VALUE"""),"No")</f>
        <v>No</v>
      </c>
      <c r="AH236" s="5" t="str">
        <f ca="1">IFERROR(__xludf.DUMMYFUNCTION("""COMPUTED_VALUE"""),"No")</f>
        <v>No</v>
      </c>
      <c r="AI236" s="5"/>
      <c r="AJ236" s="5" t="str">
        <f ca="1">IFERROR(__xludf.DUMMYFUNCTION("""COMPUTED_VALUE"""),"No")</f>
        <v>No</v>
      </c>
    </row>
    <row r="237" spans="1:36" ht="13">
      <c r="A237" s="5" t="str">
        <f ca="1">IFERROR(__xludf.DUMMYFUNCTION("""COMPUTED_VALUE"""),"20220716NYCLS")</f>
        <v>20220716NYCLS</v>
      </c>
      <c r="B237" s="5">
        <f ca="1">IFERROR(__xludf.DUMMYFUNCTION("""COMPUTED_VALUE"""),7)</f>
        <v>7</v>
      </c>
      <c r="C237" s="5">
        <f ca="1">IFERROR(__xludf.DUMMYFUNCTION("""COMPUTED_VALUE"""),16)</f>
        <v>16</v>
      </c>
      <c r="D237" s="5">
        <f ca="1">IFERROR(__xludf.DUMMYFUNCTION("""COMPUTED_VALUE"""),2022)</f>
        <v>2022</v>
      </c>
      <c r="E237" s="8">
        <f ca="1">IFERROR(__xludf.DUMMYFUNCTION("""COMPUTED_VALUE"""),44758)</f>
        <v>44758</v>
      </c>
      <c r="F237" s="5" t="str">
        <f ca="1">IFERROR(__xludf.DUMMYFUNCTION("""COMPUTED_VALUE"""),"Clary Middle School")</f>
        <v>Clary Middle School</v>
      </c>
      <c r="G237" s="5">
        <f ca="1">IFERROR(__xludf.DUMMYFUNCTION("""COMPUTED_VALUE"""),0)</f>
        <v>0</v>
      </c>
      <c r="H237" s="5">
        <f ca="1">IFERROR(__xludf.DUMMYFUNCTION("""COMPUTED_VALUE"""),0)</f>
        <v>0</v>
      </c>
      <c r="I237" s="5">
        <f ca="1">IFERROR(__xludf.DUMMYFUNCTION("""COMPUTED_VALUE"""),0)</f>
        <v>0</v>
      </c>
      <c r="J237" s="5">
        <f ca="1">IFERROR(__xludf.DUMMYFUNCTION("""COMPUTED_VALUE"""),0)</f>
        <v>0</v>
      </c>
      <c r="K237" s="5" t="str">
        <f ca="1">IFERROR(__xludf.DUMMYFUNCTION("""COMPUTED_VALUE"""),"https://cnycentral.com/news/local/shots-fired-near-clary-middle-school-during-a-football-game
https://www.syracuse.com/crime/2022/07/meachem-field-evacuated-during-football-game-after-fight-multiple-gunshots-fired-nearby.html
https://www.localsyr.com/news"&amp;"/local-news/police-respond-to-shots-fired-near-syracuse-middle-school-football-game/")</f>
        <v>https://cnycentral.com/news/local/shots-fired-near-clary-middle-school-during-a-football-game
https://www.syracuse.com/crime/2022/07/meachem-field-evacuated-during-football-game-after-fight-multiple-gunshots-fired-nearby.html
https://www.localsyr.com/news/local-news/police-respond-to-shots-fired-near-syracuse-middle-school-football-game/</v>
      </c>
      <c r="L237" s="5">
        <f ca="1">IFERROR(__xludf.DUMMYFUNCTION("""COMPUTED_VALUE"""),3)</f>
        <v>3</v>
      </c>
      <c r="M237" s="5" t="str">
        <f ca="1">IFERROR(__xludf.DUMMYFUNCTION("""COMPUTED_VALUE"""),"Local")</f>
        <v>Local</v>
      </c>
      <c r="N237" s="5">
        <f ca="1">IFERROR(__xludf.DUMMYFUNCTION("""COMPUTED_VALUE"""),4)</f>
        <v>4</v>
      </c>
      <c r="O237" s="5" t="str">
        <f ca="1">IFERROR(__xludf.DUMMYFUNCTION("""COMPUTED_VALUE"""),"Summer")</f>
        <v>Summer</v>
      </c>
      <c r="P237" s="5" t="str">
        <f ca="1">IFERROR(__xludf.DUMMYFUNCTION("""COMPUTED_VALUE"""),"Syracuse")</f>
        <v>Syracuse</v>
      </c>
      <c r="Q237" s="5" t="str">
        <f ca="1">IFERROR(__xludf.DUMMYFUNCTION("""COMPUTED_VALUE"""),"NY")</f>
        <v>NY</v>
      </c>
      <c r="R237" s="5" t="str">
        <f ca="1">IFERROR(__xludf.DUMMYFUNCTION("""COMPUTED_VALUE"""),"Middle")</f>
        <v>Middle</v>
      </c>
      <c r="S237" s="5" t="str">
        <f ca="1">IFERROR(__xludf.DUMMYFUNCTION("""COMPUTED_VALUE"""),"Parking Lot")</f>
        <v>Parking Lot</v>
      </c>
      <c r="T237" s="5" t="str">
        <f ca="1">IFERROR(__xludf.DUMMYFUNCTION("""COMPUTED_VALUE"""),"Outside on School Property")</f>
        <v>Outside on School Property</v>
      </c>
      <c r="U237" s="5" t="str">
        <f ca="1">IFERROR(__xludf.DUMMYFUNCTION("""COMPUTED_VALUE"""),"No")</f>
        <v>No</v>
      </c>
      <c r="V237" s="5" t="str">
        <f ca="1">IFERROR(__xludf.DUMMYFUNCTION("""COMPUTED_VALUE"""),"Sport Event")</f>
        <v>Sport Event</v>
      </c>
      <c r="W237" s="10">
        <f ca="1">IFERROR(__xludf.DUMMYFUNCTION("""COMPUTED_VALUE"""),0.875)</f>
        <v>0.875</v>
      </c>
      <c r="X237" s="5">
        <f ca="1">IFERROR(__xludf.DUMMYFUNCTION("""COMPUTED_VALUE"""),1)</f>
        <v>1</v>
      </c>
      <c r="Y237" s="5" t="str">
        <f ca="1">IFERROR(__xludf.DUMMYFUNCTION("""COMPUTED_VALUE"""),"Shots fired during fight in parking lot during semi-pro football game")</f>
        <v>Shots fired during fight in parking lot during semi-pro football game</v>
      </c>
      <c r="Z237" s="5" t="str">
        <f ca="1">IFERROR(__xludf.DUMMYFUNCTION("""COMPUTED_VALUE"""),"Shots fired during fight in parking lot during semi-pro football game. Shooter fled. Police recovered multiple shell casings. No injuries. Stadium was evacuated and remainder of game was cancelled.")</f>
        <v>Shots fired during fight in parking lot during semi-pro football game. Shooter fled. Police recovered multiple shell casings. No injuries. Stadium was evacuated and remainder of game was cancelled.</v>
      </c>
      <c r="AA237" s="5" t="str">
        <f ca="1">IFERROR(__xludf.DUMMYFUNCTION("""COMPUTED_VALUE"""),"Escalation of Dispute")</f>
        <v>Escalation of Dispute</v>
      </c>
      <c r="AB237" s="5" t="str">
        <f ca="1">IFERROR(__xludf.DUMMYFUNCTION("""COMPUTED_VALUE"""),"Victims Targeted")</f>
        <v>Victims Targeted</v>
      </c>
      <c r="AC237" s="5" t="str">
        <f ca="1">IFERROR(__xludf.DUMMYFUNCTION("""COMPUTED_VALUE"""),"No")</f>
        <v>No</v>
      </c>
      <c r="AD237" s="5" t="str">
        <f ca="1">IFERROR(__xludf.DUMMYFUNCTION("""COMPUTED_VALUE"""),"No")</f>
        <v>No</v>
      </c>
      <c r="AE237" s="5" t="str">
        <f ca="1">IFERROR(__xludf.DUMMYFUNCTION("""COMPUTED_VALUE"""),"No")</f>
        <v>No</v>
      </c>
      <c r="AF237" s="5" t="str">
        <f ca="1">IFERROR(__xludf.DUMMYFUNCTION("""COMPUTED_VALUE"""),"No")</f>
        <v>No</v>
      </c>
      <c r="AG237" s="5" t="str">
        <f ca="1">IFERROR(__xludf.DUMMYFUNCTION("""COMPUTED_VALUE"""),"No")</f>
        <v>No</v>
      </c>
      <c r="AH237" s="5" t="str">
        <f ca="1">IFERROR(__xludf.DUMMYFUNCTION("""COMPUTED_VALUE"""),"No")</f>
        <v>No</v>
      </c>
      <c r="AI237" s="5" t="str">
        <f ca="1">IFERROR(__xludf.DUMMYFUNCTION("""COMPUTED_VALUE"""),"No")</f>
        <v>No</v>
      </c>
      <c r="AJ237" s="5" t="str">
        <f ca="1">IFERROR(__xludf.DUMMYFUNCTION("""COMPUTED_VALUE"""),"No")</f>
        <v>No</v>
      </c>
    </row>
    <row r="238" spans="1:36" ht="13">
      <c r="A238" s="5" t="str">
        <f ca="1">IFERROR(__xludf.DUMMYFUNCTION("""COMPUTED_VALUE"""),"20220629CABUA")</f>
        <v>20220629CABUA</v>
      </c>
      <c r="B238" s="5">
        <f ca="1">IFERROR(__xludf.DUMMYFUNCTION("""COMPUTED_VALUE"""),6)</f>
        <v>6</v>
      </c>
      <c r="C238" s="5">
        <f ca="1">IFERROR(__xludf.DUMMYFUNCTION("""COMPUTED_VALUE"""),29)</f>
        <v>29</v>
      </c>
      <c r="D238" s="5">
        <f ca="1">IFERROR(__xludf.DUMMYFUNCTION("""COMPUTED_VALUE"""),2022)</f>
        <v>2022</v>
      </c>
      <c r="E238" s="8">
        <f ca="1">IFERROR(__xludf.DUMMYFUNCTION("""COMPUTED_VALUE"""),44741)</f>
        <v>44741</v>
      </c>
      <c r="F238" s="5" t="str">
        <f ca="1">IFERROR(__xludf.DUMMYFUNCTION("""COMPUTED_VALUE"""),"Buhach Colony High School")</f>
        <v>Buhach Colony High School</v>
      </c>
      <c r="G238" s="5">
        <f ca="1">IFERROR(__xludf.DUMMYFUNCTION("""COMPUTED_VALUE"""),0)</f>
        <v>0</v>
      </c>
      <c r="H238" s="5">
        <f ca="1">IFERROR(__xludf.DUMMYFUNCTION("""COMPUTED_VALUE"""),0)</f>
        <v>0</v>
      </c>
      <c r="I238" s="5">
        <f ca="1">IFERROR(__xludf.DUMMYFUNCTION("""COMPUTED_VALUE"""),0)</f>
        <v>0</v>
      </c>
      <c r="J238" s="5">
        <f ca="1">IFERROR(__xludf.DUMMYFUNCTION("""COMPUTED_VALUE"""),0)</f>
        <v>0</v>
      </c>
      <c r="K238" s="9" t="str">
        <f ca="1">IFERROR(__xludf.DUMMYFUNCTION("""COMPUTED_VALUE"""),"https://www.mercedsunstar.com/news/local/crime/article263063843.html")</f>
        <v>https://www.mercedsunstar.com/news/local/crime/article263063843.html</v>
      </c>
      <c r="L238" s="5">
        <f ca="1">IFERROR(__xludf.DUMMYFUNCTION("""COMPUTED_VALUE"""),3)</f>
        <v>3</v>
      </c>
      <c r="M238" s="5" t="str">
        <f ca="1">IFERROR(__xludf.DUMMYFUNCTION("""COMPUTED_VALUE"""),"Local")</f>
        <v>Local</v>
      </c>
      <c r="N238" s="5">
        <f ca="1">IFERROR(__xludf.DUMMYFUNCTION("""COMPUTED_VALUE"""),4)</f>
        <v>4</v>
      </c>
      <c r="O238" s="5" t="str">
        <f ca="1">IFERROR(__xludf.DUMMYFUNCTION("""COMPUTED_VALUE"""),"Summer")</f>
        <v>Summer</v>
      </c>
      <c r="P238" s="5" t="str">
        <f ca="1">IFERROR(__xludf.DUMMYFUNCTION("""COMPUTED_VALUE"""),"Atwater")</f>
        <v>Atwater</v>
      </c>
      <c r="Q238" s="5" t="str">
        <f ca="1">IFERROR(__xludf.DUMMYFUNCTION("""COMPUTED_VALUE"""),"CA")</f>
        <v>CA</v>
      </c>
      <c r="R238" s="5" t="str">
        <f ca="1">IFERROR(__xludf.DUMMYFUNCTION("""COMPUTED_VALUE"""),"High")</f>
        <v>High</v>
      </c>
      <c r="S238" s="5" t="str">
        <f ca="1">IFERROR(__xludf.DUMMYFUNCTION("""COMPUTED_VALUE"""),"Parking Lot")</f>
        <v>Parking Lot</v>
      </c>
      <c r="T238" s="5" t="str">
        <f ca="1">IFERROR(__xludf.DUMMYFUNCTION("""COMPUTED_VALUE"""),"Outside on School Property")</f>
        <v>Outside on School Property</v>
      </c>
      <c r="U238" s="5" t="str">
        <f ca="1">IFERROR(__xludf.DUMMYFUNCTION("""COMPUTED_VALUE"""),"No")</f>
        <v>No</v>
      </c>
      <c r="V238" s="5" t="str">
        <f ca="1">IFERROR(__xludf.DUMMYFUNCTION("""COMPUTED_VALUE"""),"Night")</f>
        <v>Night</v>
      </c>
      <c r="W238" s="10">
        <f ca="1">IFERROR(__xludf.DUMMYFUNCTION("""COMPUTED_VALUE"""),0.986111111111111)</f>
        <v>0.98611111111111105</v>
      </c>
      <c r="X238" s="5">
        <f ca="1">IFERROR(__xludf.DUMMYFUNCTION("""COMPUTED_VALUE"""),1)</f>
        <v>1</v>
      </c>
      <c r="Y238" s="5" t="str">
        <f ca="1">IFERROR(__xludf.DUMMYFUNCTION("""COMPUTED_VALUE"""),"Man shot and killed in school parking lot")</f>
        <v>Man shot and killed in school parking lot</v>
      </c>
      <c r="Z238" s="5" t="str">
        <f ca="1">IFERROR(__xludf.DUMMYFUNCTION("""COMPUTED_VALUE"""),"Adult man was fatally shot in the school parking lot. Shooter fled. Police believe the shooting was related to the sale of narcotics.")</f>
        <v>Adult man was fatally shot in the school parking lot. Shooter fled. Police believe the shooting was related to the sale of narcotics.</v>
      </c>
      <c r="AA238" s="5" t="str">
        <f ca="1">IFERROR(__xludf.DUMMYFUNCTION("""COMPUTED_VALUE"""),"Illegal Activity")</f>
        <v>Illegal Activity</v>
      </c>
      <c r="AB238" s="5" t="str">
        <f ca="1">IFERROR(__xludf.DUMMYFUNCTION("""COMPUTED_VALUE"""),"Victims Targeted")</f>
        <v>Victims Targeted</v>
      </c>
      <c r="AC238" s="5" t="str">
        <f ca="1">IFERROR(__xludf.DUMMYFUNCTION("""COMPUTED_VALUE"""),"Yes")</f>
        <v>Yes</v>
      </c>
      <c r="AD238" s="5" t="str">
        <f ca="1">IFERROR(__xludf.DUMMYFUNCTION("""COMPUTED_VALUE"""),"No")</f>
        <v>No</v>
      </c>
      <c r="AE238" s="5" t="str">
        <f ca="1">IFERROR(__xludf.DUMMYFUNCTION("""COMPUTED_VALUE"""),"No")</f>
        <v>No</v>
      </c>
      <c r="AF238" s="5" t="str">
        <f ca="1">IFERROR(__xludf.DUMMYFUNCTION("""COMPUTED_VALUE"""),"No")</f>
        <v>No</v>
      </c>
      <c r="AG238" s="5" t="str">
        <f ca="1">IFERROR(__xludf.DUMMYFUNCTION("""COMPUTED_VALUE"""),"No")</f>
        <v>No</v>
      </c>
      <c r="AH238" s="5" t="str">
        <f ca="1">IFERROR(__xludf.DUMMYFUNCTION("""COMPUTED_VALUE"""),"No")</f>
        <v>No</v>
      </c>
      <c r="AI238" s="5" t="str">
        <f ca="1">IFERROR(__xludf.DUMMYFUNCTION("""COMPUTED_VALUE"""),"No")</f>
        <v>No</v>
      </c>
      <c r="AJ238" s="5" t="str">
        <f ca="1">IFERROR(__xludf.DUMMYFUNCTION("""COMPUTED_VALUE"""),"No")</f>
        <v>No</v>
      </c>
    </row>
    <row r="239" spans="1:36" ht="13">
      <c r="A239" s="5" t="str">
        <f ca="1">IFERROR(__xludf.DUMMYFUNCTION("""COMPUTED_VALUE"""),"20220620ILGRC")</f>
        <v>20220620ILGRC</v>
      </c>
      <c r="B239" s="5">
        <f ca="1">IFERROR(__xludf.DUMMYFUNCTION("""COMPUTED_VALUE"""),6)</f>
        <v>6</v>
      </c>
      <c r="C239" s="5">
        <f ca="1">IFERROR(__xludf.DUMMYFUNCTION("""COMPUTED_VALUE"""),20)</f>
        <v>20</v>
      </c>
      <c r="D239" s="5">
        <f ca="1">IFERROR(__xludf.DUMMYFUNCTION("""COMPUTED_VALUE"""),2022)</f>
        <v>2022</v>
      </c>
      <c r="E239" s="8">
        <f ca="1">IFERROR(__xludf.DUMMYFUNCTION("""COMPUTED_VALUE"""),44732)</f>
        <v>44732</v>
      </c>
      <c r="F239" s="5" t="str">
        <f ca="1">IFERROR(__xludf.DUMMYFUNCTION("""COMPUTED_VALUE"""),"Gresham School of Excellence")</f>
        <v>Gresham School of Excellence</v>
      </c>
      <c r="G239" s="5">
        <f ca="1">IFERROR(__xludf.DUMMYFUNCTION("""COMPUTED_VALUE"""),0)</f>
        <v>0</v>
      </c>
      <c r="H239" s="5">
        <f ca="1">IFERROR(__xludf.DUMMYFUNCTION("""COMPUTED_VALUE"""),3)</f>
        <v>3</v>
      </c>
      <c r="I239" s="5">
        <f ca="1">IFERROR(__xludf.DUMMYFUNCTION("""COMPUTED_VALUE"""),3)</f>
        <v>3</v>
      </c>
      <c r="J239" s="5">
        <f ca="1">IFERROR(__xludf.DUMMYFUNCTION("""COMPUTED_VALUE"""),0)</f>
        <v>0</v>
      </c>
      <c r="K239" s="9" t="str">
        <f ca="1">IFERROR(__xludf.DUMMYFUNCTION("""COMPUTED_VALUE"""),"https://www.cbsnews.com/chicago/news/woman-and-2-teenagers-injured-after-shooting-near-school-gresham/")</f>
        <v>https://www.cbsnews.com/chicago/news/woman-and-2-teenagers-injured-after-shooting-near-school-gresham/</v>
      </c>
      <c r="L239" s="5">
        <f ca="1">IFERROR(__xludf.DUMMYFUNCTION("""COMPUTED_VALUE"""),50)</f>
        <v>50</v>
      </c>
      <c r="M239" s="5" t="str">
        <f ca="1">IFERROR(__xludf.DUMMYFUNCTION("""COMPUTED_VALUE"""),"National")</f>
        <v>National</v>
      </c>
      <c r="N239" s="5">
        <f ca="1">IFERROR(__xludf.DUMMYFUNCTION("""COMPUTED_VALUE"""),4)</f>
        <v>4</v>
      </c>
      <c r="O239" s="5" t="str">
        <f ca="1">IFERROR(__xludf.DUMMYFUNCTION("""COMPUTED_VALUE"""),"Summer")</f>
        <v>Summer</v>
      </c>
      <c r="P239" s="5" t="str">
        <f ca="1">IFERROR(__xludf.DUMMYFUNCTION("""COMPUTED_VALUE"""),"Chicago")</f>
        <v>Chicago</v>
      </c>
      <c r="Q239" s="5" t="str">
        <f ca="1">IFERROR(__xludf.DUMMYFUNCTION("""COMPUTED_VALUE"""),"IL")</f>
        <v>IL</v>
      </c>
      <c r="R239" s="5" t="str">
        <f ca="1">IFERROR(__xludf.DUMMYFUNCTION("""COMPUTED_VALUE"""),"Elementary")</f>
        <v>Elementary</v>
      </c>
      <c r="S239" s="5" t="str">
        <f ca="1">IFERROR(__xludf.DUMMYFUNCTION("""COMPUTED_VALUE"""),"Field (General)")</f>
        <v>Field (General)</v>
      </c>
      <c r="T239" s="5" t="str">
        <f ca="1">IFERROR(__xludf.DUMMYFUNCTION("""COMPUTED_VALUE"""),"Outside on School Property")</f>
        <v>Outside on School Property</v>
      </c>
      <c r="U239" s="5" t="str">
        <f ca="1">IFERROR(__xludf.DUMMYFUNCTION("""COMPUTED_VALUE"""),"No")</f>
        <v>No</v>
      </c>
      <c r="V239" s="5" t="str">
        <f ca="1">IFERROR(__xludf.DUMMYFUNCTION("""COMPUTED_VALUE"""),"Night")</f>
        <v>Night</v>
      </c>
      <c r="W239" s="10">
        <f ca="1">IFERROR(__xludf.DUMMYFUNCTION("""COMPUTED_VALUE"""),0.0416666666666666)</f>
        <v>4.1666666666666602E-2</v>
      </c>
      <c r="X239" s="5">
        <f ca="1">IFERROR(__xludf.DUMMYFUNCTION("""COMPUTED_VALUE"""),1)</f>
        <v>1</v>
      </c>
      <c r="Y239" s="5" t="str">
        <f ca="1">IFERROR(__xludf.DUMMYFUNCTION("""COMPUTED_VALUE"""),"3 people shot on elementary school field")</f>
        <v>3 people shot on elementary school field</v>
      </c>
      <c r="Z239" s="5" t="str">
        <f ca="1">IFERROR(__xludf.DUMMYFUNCTION("""COMPUTED_VALUE"""),"100 shots were fired on the field of the elementary school. A 29-year-old female, 16-year-old male, and 17-year-old female were wounded. Shooter fled.")</f>
        <v>100 shots were fired on the field of the elementary school. A 29-year-old female, 16-year-old male, and 17-year-old female were wounded. Shooter fled.</v>
      </c>
      <c r="AA239" s="5"/>
      <c r="AB239" s="5" t="str">
        <f ca="1">IFERROR(__xludf.DUMMYFUNCTION("""COMPUTED_VALUE"""),"Both")</f>
        <v>Both</v>
      </c>
      <c r="AC239" s="5" t="str">
        <f ca="1">IFERROR(__xludf.DUMMYFUNCTION("""COMPUTED_VALUE"""),"No")</f>
        <v>No</v>
      </c>
      <c r="AD239" s="5" t="str">
        <f ca="1">IFERROR(__xludf.DUMMYFUNCTION("""COMPUTED_VALUE"""),"No")</f>
        <v>No</v>
      </c>
      <c r="AE239" s="5" t="str">
        <f ca="1">IFERROR(__xludf.DUMMYFUNCTION("""COMPUTED_VALUE"""),"No")</f>
        <v>No</v>
      </c>
      <c r="AF239" s="5" t="str">
        <f ca="1">IFERROR(__xludf.DUMMYFUNCTION("""COMPUTED_VALUE"""),"No")</f>
        <v>No</v>
      </c>
      <c r="AG239" s="5" t="str">
        <f ca="1">IFERROR(__xludf.DUMMYFUNCTION("""COMPUTED_VALUE"""),"No")</f>
        <v>No</v>
      </c>
      <c r="AH239" s="5" t="str">
        <f ca="1">IFERROR(__xludf.DUMMYFUNCTION("""COMPUTED_VALUE"""),"No")</f>
        <v>No</v>
      </c>
      <c r="AI239" s="5"/>
      <c r="AJ239" s="5" t="str">
        <f ca="1">IFERROR(__xludf.DUMMYFUNCTION("""COMPUTED_VALUE"""),"No")</f>
        <v>No</v>
      </c>
    </row>
    <row r="240" spans="1:36" ht="13">
      <c r="A240" s="5" t="str">
        <f ca="1">IFERROR(__xludf.DUMMYFUNCTION("""COMPUTED_VALUE"""),"20220613WAMAE")</f>
        <v>20220613WAMAE</v>
      </c>
      <c r="B240" s="5">
        <f ca="1">IFERROR(__xludf.DUMMYFUNCTION("""COMPUTED_VALUE"""),6)</f>
        <v>6</v>
      </c>
      <c r="C240" s="5">
        <f ca="1">IFERROR(__xludf.DUMMYFUNCTION("""COMPUTED_VALUE"""),13)</f>
        <v>13</v>
      </c>
      <c r="D240" s="5">
        <f ca="1">IFERROR(__xludf.DUMMYFUNCTION("""COMPUTED_VALUE"""),2022)</f>
        <v>2022</v>
      </c>
      <c r="E240" s="8">
        <f ca="1">IFERROR(__xludf.DUMMYFUNCTION("""COMPUTED_VALUE"""),44725)</f>
        <v>44725</v>
      </c>
      <c r="F240" s="5" t="str">
        <f ca="1">IFERROR(__xludf.DUMMYFUNCTION("""COMPUTED_VALUE"""),"Mariner High School")</f>
        <v>Mariner High School</v>
      </c>
      <c r="G240" s="5">
        <f ca="1">IFERROR(__xludf.DUMMYFUNCTION("""COMPUTED_VALUE"""),0)</f>
        <v>0</v>
      </c>
      <c r="H240" s="5">
        <f ca="1">IFERROR(__xludf.DUMMYFUNCTION("""COMPUTED_VALUE"""),0)</f>
        <v>0</v>
      </c>
      <c r="I240" s="5">
        <f ca="1">IFERROR(__xludf.DUMMYFUNCTION("""COMPUTED_VALUE"""),0)</f>
        <v>0</v>
      </c>
      <c r="J240" s="5">
        <f ca="1">IFERROR(__xludf.DUMMYFUNCTION("""COMPUTED_VALUE"""),0)</f>
        <v>0</v>
      </c>
      <c r="K240" s="9" t="str">
        <f ca="1">IFERROR(__xludf.DUMMYFUNCTION("""COMPUTED_VALUE"""),"https://www.q13fox.com/news/deputies-arrest-15-year-old-accused-of-firing-shots-outside-everett-high-school-causing-a-lockdown")</f>
        <v>https://www.q13fox.com/news/deputies-arrest-15-year-old-accused-of-firing-shots-outside-everett-high-school-causing-a-lockdown</v>
      </c>
      <c r="L240" s="5">
        <f ca="1">IFERROR(__xludf.DUMMYFUNCTION("""COMPUTED_VALUE"""),5)</f>
        <v>5</v>
      </c>
      <c r="M240" s="5" t="str">
        <f ca="1">IFERROR(__xludf.DUMMYFUNCTION("""COMPUTED_VALUE"""),"Local")</f>
        <v>Local</v>
      </c>
      <c r="N240" s="5">
        <f ca="1">IFERROR(__xludf.DUMMYFUNCTION("""COMPUTED_VALUE"""),4)</f>
        <v>4</v>
      </c>
      <c r="O240" s="5" t="str">
        <f ca="1">IFERROR(__xludf.DUMMYFUNCTION("""COMPUTED_VALUE"""),"Summer")</f>
        <v>Summer</v>
      </c>
      <c r="P240" s="5" t="str">
        <f ca="1">IFERROR(__xludf.DUMMYFUNCTION("""COMPUTED_VALUE"""),"Everett")</f>
        <v>Everett</v>
      </c>
      <c r="Q240" s="5" t="str">
        <f ca="1">IFERROR(__xludf.DUMMYFUNCTION("""COMPUTED_VALUE"""),"WA")</f>
        <v>WA</v>
      </c>
      <c r="R240" s="5" t="str">
        <f ca="1">IFERROR(__xludf.DUMMYFUNCTION("""COMPUTED_VALUE"""),"High")</f>
        <v>High</v>
      </c>
      <c r="S240" s="5" t="str">
        <f ca="1">IFERROR(__xludf.DUMMYFUNCTION("""COMPUTED_VALUE"""),"Parking Lot")</f>
        <v>Parking Lot</v>
      </c>
      <c r="T240" s="5" t="str">
        <f ca="1">IFERROR(__xludf.DUMMYFUNCTION("""COMPUTED_VALUE"""),"Outside on School Property")</f>
        <v>Outside on School Property</v>
      </c>
      <c r="U240" s="5" t="str">
        <f ca="1">IFERROR(__xludf.DUMMYFUNCTION("""COMPUTED_VALUE"""),"No")</f>
        <v>No</v>
      </c>
      <c r="V240" s="5" t="str">
        <f ca="1">IFERROR(__xludf.DUMMYFUNCTION("""COMPUTED_VALUE"""),"After School")</f>
        <v>After School</v>
      </c>
      <c r="W240" s="10">
        <f ca="1">IFERROR(__xludf.DUMMYFUNCTION("""COMPUTED_VALUE"""),0.631944444444444)</f>
        <v>0.63194444444444398</v>
      </c>
      <c r="X240" s="5">
        <f ca="1">IFERROR(__xludf.DUMMYFUNCTION("""COMPUTED_VALUE"""),1)</f>
        <v>1</v>
      </c>
      <c r="Y240" s="5" t="str">
        <f ca="1">IFERROR(__xludf.DUMMYFUNCTION("""COMPUTED_VALUE"""),"Shots fired in parking lot by teen during after school activities")</f>
        <v>Shots fired in parking lot by teen during after school activities</v>
      </c>
      <c r="Z240" s="5" t="str">
        <f ca="1">IFERROR(__xludf.DUMMYFUNCTION("""COMPUTED_VALUE"""),"A 15-year-old male fired shots at two teens in a vehicle in the school parking lot during a dispute. Two shots stuck the car. Shooter ran from the scene and was arrested the following day. Victims also fled and were uncooperative with police. No injuries."&amp;" School went on lockdown.")</f>
        <v>A 15-year-old male fired shots at two teens in a vehicle in the school parking lot during a dispute. Two shots stuck the car. Shooter ran from the scene and was arrested the following day. Victims also fled and were uncooperative with police. No injuries. School went on lockdown.</v>
      </c>
      <c r="AA240" s="5" t="str">
        <f ca="1">IFERROR(__xludf.DUMMYFUNCTION("""COMPUTED_VALUE"""),"Escalation of Dispute")</f>
        <v>Escalation of Dispute</v>
      </c>
      <c r="AB240" s="5" t="str">
        <f ca="1">IFERROR(__xludf.DUMMYFUNCTION("""COMPUTED_VALUE"""),"Victims Targeted")</f>
        <v>Victims Targeted</v>
      </c>
      <c r="AC240" s="5" t="str">
        <f ca="1">IFERROR(__xludf.DUMMYFUNCTION("""COMPUTED_VALUE"""),"No")</f>
        <v>No</v>
      </c>
      <c r="AD240" s="5" t="str">
        <f ca="1">IFERROR(__xludf.DUMMYFUNCTION("""COMPUTED_VALUE"""),"No")</f>
        <v>No</v>
      </c>
      <c r="AE240" s="5" t="str">
        <f ca="1">IFERROR(__xludf.DUMMYFUNCTION("""COMPUTED_VALUE"""),"No")</f>
        <v>No</v>
      </c>
      <c r="AF240" s="5" t="str">
        <f ca="1">IFERROR(__xludf.DUMMYFUNCTION("""COMPUTED_VALUE"""),"No")</f>
        <v>No</v>
      </c>
      <c r="AG240" s="5" t="str">
        <f ca="1">IFERROR(__xludf.DUMMYFUNCTION("""COMPUTED_VALUE"""),"No")</f>
        <v>No</v>
      </c>
      <c r="AH240" s="5" t="str">
        <f ca="1">IFERROR(__xludf.DUMMYFUNCTION("""COMPUTED_VALUE"""),"No")</f>
        <v>No</v>
      </c>
      <c r="AI240" s="5"/>
      <c r="AJ240" s="5" t="str">
        <f ca="1">IFERROR(__xludf.DUMMYFUNCTION("""COMPUTED_VALUE"""),"No")</f>
        <v>No</v>
      </c>
    </row>
    <row r="241" spans="1:36" ht="13">
      <c r="A241" s="5" t="str">
        <f ca="1">IFERROR(__xludf.DUMMYFUNCTION("""COMPUTED_VALUE"""),"20220610ALBYB")</f>
        <v>20220610ALBYB</v>
      </c>
      <c r="B241" s="5">
        <f ca="1">IFERROR(__xludf.DUMMYFUNCTION("""COMPUTED_VALUE"""),6)</f>
        <v>6</v>
      </c>
      <c r="C241" s="5">
        <f ca="1">IFERROR(__xludf.DUMMYFUNCTION("""COMPUTED_VALUE"""),10)</f>
        <v>10</v>
      </c>
      <c r="D241" s="5">
        <f ca="1">IFERROR(__xludf.DUMMYFUNCTION("""COMPUTED_VALUE"""),2022)</f>
        <v>2022</v>
      </c>
      <c r="E241" s="8">
        <f ca="1">IFERROR(__xludf.DUMMYFUNCTION("""COMPUTED_VALUE"""),44722)</f>
        <v>44722</v>
      </c>
      <c r="F241" s="5" t="str">
        <f ca="1">IFERROR(__xludf.DUMMYFUNCTION("""COMPUTED_VALUE"""),"Byhalia High School")</f>
        <v>Byhalia High School</v>
      </c>
      <c r="G241" s="5">
        <f ca="1">IFERROR(__xludf.DUMMYFUNCTION("""COMPUTED_VALUE"""),0)</f>
        <v>0</v>
      </c>
      <c r="H241" s="5">
        <f ca="1">IFERROR(__xludf.DUMMYFUNCTION("""COMPUTED_VALUE"""),0)</f>
        <v>0</v>
      </c>
      <c r="I241" s="5">
        <f ca="1">IFERROR(__xludf.DUMMYFUNCTION("""COMPUTED_VALUE"""),0)</f>
        <v>0</v>
      </c>
      <c r="J241" s="5">
        <f ca="1">IFERROR(__xludf.DUMMYFUNCTION("""COMPUTED_VALUE"""),0)</f>
        <v>0</v>
      </c>
      <c r="K241" s="5" t="str">
        <f ca="1">IFERROR(__xludf.DUMMYFUNCTION("""COMPUTED_VALUE"""),"https://www.actionnews5.com/2022/06/10/student-custody-after-gun-discharged-byhalia-high-school/ https://wreg.com/news/mid-south/gun-goes-off-at-byhalia-high-school-one-in-custody/ https://www.fox13memphis.com/news/local/gun-discharged-byhalia-high-school"&amp;"-officials-say/LNAG3BBXUZGP5NCNS34SC4PMGY/")</f>
        <v>https://www.actionnews5.com/2022/06/10/student-custody-after-gun-discharged-byhalia-high-school/ https://wreg.com/news/mid-south/gun-goes-off-at-byhalia-high-school-one-in-custody/ https://www.fox13memphis.com/news/local/gun-discharged-byhalia-high-school-officials-say/LNAG3BBXUZGP5NCNS34SC4PMGY/</v>
      </c>
      <c r="L241" s="5">
        <f ca="1">IFERROR(__xludf.DUMMYFUNCTION("""COMPUTED_VALUE"""),3)</f>
        <v>3</v>
      </c>
      <c r="M241" s="5" t="str">
        <f ca="1">IFERROR(__xludf.DUMMYFUNCTION("""COMPUTED_VALUE"""),"Local")</f>
        <v>Local</v>
      </c>
      <c r="N241" s="5">
        <f ca="1">IFERROR(__xludf.DUMMYFUNCTION("""COMPUTED_VALUE"""),4)</f>
        <v>4</v>
      </c>
      <c r="O241" s="5" t="str">
        <f ca="1">IFERROR(__xludf.DUMMYFUNCTION("""COMPUTED_VALUE"""),"Summer")</f>
        <v>Summer</v>
      </c>
      <c r="P241" s="5" t="str">
        <f ca="1">IFERROR(__xludf.DUMMYFUNCTION("""COMPUTED_VALUE"""),"Byhalia")</f>
        <v>Byhalia</v>
      </c>
      <c r="Q241" s="5" t="str">
        <f ca="1">IFERROR(__xludf.DUMMYFUNCTION("""COMPUTED_VALUE"""),"MS")</f>
        <v>MS</v>
      </c>
      <c r="R241" s="5" t="str">
        <f ca="1">IFERROR(__xludf.DUMMYFUNCTION("""COMPUTED_VALUE"""),"High")</f>
        <v>High</v>
      </c>
      <c r="S241" s="5" t="str">
        <f ca="1">IFERROR(__xludf.DUMMYFUNCTION("""COMPUTED_VALUE"""),"Parking Lot")</f>
        <v>Parking Lot</v>
      </c>
      <c r="T241" s="5" t="str">
        <f ca="1">IFERROR(__xludf.DUMMYFUNCTION("""COMPUTED_VALUE"""),"Outside on School Property")</f>
        <v>Outside on School Property</v>
      </c>
      <c r="U241" s="5" t="str">
        <f ca="1">IFERROR(__xludf.DUMMYFUNCTION("""COMPUTED_VALUE"""),"Yes")</f>
        <v>Yes</v>
      </c>
      <c r="V241" s="5" t="str">
        <f ca="1">IFERROR(__xludf.DUMMYFUNCTION("""COMPUTED_VALUE"""),"Morning Classes")</f>
        <v>Morning Classes</v>
      </c>
      <c r="W241" s="10">
        <f ca="1">IFERROR(__xludf.DUMMYFUNCTION("""COMPUTED_VALUE"""),0.4375)</f>
        <v>0.4375</v>
      </c>
      <c r="X241" s="5">
        <f ca="1">IFERROR(__xludf.DUMMYFUNCTION("""COMPUTED_VALUE"""),1)</f>
        <v>1</v>
      </c>
      <c r="Y241" s="5" t="str">
        <f ca="1">IFERROR(__xludf.DUMMYFUNCTION("""COMPUTED_VALUE"""),"Student fired gun in parking lot during dispute")</f>
        <v>Student fired gun in parking lot during dispute</v>
      </c>
      <c r="Z241" s="5" t="str">
        <f ca="1">IFERROR(__xludf.DUMMYFUNCTION("""COMPUTED_VALUE"""),"Student (unidentified minor) fired shot during a dispute in the school parking lot. Students were at the school for summer classes and sports practice. Shooter fled in a vehicle and was later arrested. No injuries.")</f>
        <v>Student (unidentified minor) fired shot during a dispute in the school parking lot. Students were at the school for summer classes and sports practice. Shooter fled in a vehicle and was later arrested. No injuries.</v>
      </c>
      <c r="AA241" s="5" t="str">
        <f ca="1">IFERROR(__xludf.DUMMYFUNCTION("""COMPUTED_VALUE"""),"Escalation of Dispute")</f>
        <v>Escalation of Dispute</v>
      </c>
      <c r="AB241" s="5" t="str">
        <f ca="1">IFERROR(__xludf.DUMMYFUNCTION("""COMPUTED_VALUE"""),"Victims Targeted")</f>
        <v>Victims Targeted</v>
      </c>
      <c r="AC241" s="5"/>
      <c r="AD241" s="5" t="str">
        <f ca="1">IFERROR(__xludf.DUMMYFUNCTION("""COMPUTED_VALUE"""),"No")</f>
        <v>No</v>
      </c>
      <c r="AE241" s="5" t="str">
        <f ca="1">IFERROR(__xludf.DUMMYFUNCTION("""COMPUTED_VALUE"""),"No")</f>
        <v>No</v>
      </c>
      <c r="AF241" s="5" t="str">
        <f ca="1">IFERROR(__xludf.DUMMYFUNCTION("""COMPUTED_VALUE"""),"No")</f>
        <v>No</v>
      </c>
      <c r="AG241" s="5" t="str">
        <f ca="1">IFERROR(__xludf.DUMMYFUNCTION("""COMPUTED_VALUE"""),"No")</f>
        <v>No</v>
      </c>
      <c r="AH241" s="5" t="str">
        <f ca="1">IFERROR(__xludf.DUMMYFUNCTION("""COMPUTED_VALUE"""),"No")</f>
        <v>No</v>
      </c>
      <c r="AI241" s="5"/>
      <c r="AJ241" s="5" t="str">
        <f ca="1">IFERROR(__xludf.DUMMYFUNCTION("""COMPUTED_VALUE"""),"No")</f>
        <v>No</v>
      </c>
    </row>
    <row r="242" spans="1:36" ht="13">
      <c r="A242" s="5" t="str">
        <f ca="1">IFERROR(__xludf.DUMMYFUNCTION("""COMPUTED_VALUE"""),"20220609ALWAG")</f>
        <v>20220609ALWAG</v>
      </c>
      <c r="B242" s="5">
        <f ca="1">IFERROR(__xludf.DUMMYFUNCTION("""COMPUTED_VALUE"""),6)</f>
        <v>6</v>
      </c>
      <c r="C242" s="5">
        <f ca="1">IFERROR(__xludf.DUMMYFUNCTION("""COMPUTED_VALUE"""),9)</f>
        <v>9</v>
      </c>
      <c r="D242" s="5">
        <f ca="1">IFERROR(__xludf.DUMMYFUNCTION("""COMPUTED_VALUE"""),2022)</f>
        <v>2022</v>
      </c>
      <c r="E242" s="8">
        <f ca="1">IFERROR(__xludf.DUMMYFUNCTION("""COMPUTED_VALUE"""),44721)</f>
        <v>44721</v>
      </c>
      <c r="F242" s="5" t="str">
        <f ca="1">IFERROR(__xludf.DUMMYFUNCTION("""COMPUTED_VALUE"""),"Walnut Park Elementary School")</f>
        <v>Walnut Park Elementary School</v>
      </c>
      <c r="G242" s="5">
        <f ca="1">IFERROR(__xludf.DUMMYFUNCTION("""COMPUTED_VALUE"""),0)</f>
        <v>0</v>
      </c>
      <c r="H242" s="5">
        <f ca="1">IFERROR(__xludf.DUMMYFUNCTION("""COMPUTED_VALUE"""),0)</f>
        <v>0</v>
      </c>
      <c r="I242" s="5">
        <f ca="1">IFERROR(__xludf.DUMMYFUNCTION("""COMPUTED_VALUE"""),0)</f>
        <v>0</v>
      </c>
      <c r="J242" s="5">
        <f ca="1">IFERROR(__xludf.DUMMYFUNCTION("""COMPUTED_VALUE"""),0)</f>
        <v>0</v>
      </c>
      <c r="K242" s="5" t="str">
        <f ca="1">IFERROR(__xludf.DUMMYFUNCTION("""COMPUTED_VALUE"""),"https://www.live5news.com/2022/06/09/potential-intruder-confronted-outside-elementary-school-alabama-superintendent-says/ https://www.cnn.com/2022/06/09/us/alabama-elementary-school-man-killed/index.html https://www.cbs42.com/alabama-news/alabama-man-kill"&amp;"ed-by-police-outside-elementary-school-was-mentally-ill-suicidal-brother-says/ https://www.nbcnews.com/news/us-news/person-fatally-shot-police-alabama-elementary-school-rcna32822 https://www.cbs42.com/news/local/police-advise-public-to-avoid-area-around-w"&amp;"alnut-park-elementary-due-to-incident/")</f>
        <v>https://www.live5news.com/2022/06/09/potential-intruder-confronted-outside-elementary-school-alabama-superintendent-says/ https://www.cnn.com/2022/06/09/us/alabama-elementary-school-man-killed/index.html https://www.cbs42.com/alabama-news/alabama-man-killed-by-police-outside-elementary-school-was-mentally-ill-suicidal-brother-says/ https://www.nbcnews.com/news/us-news/person-fatally-shot-police-alabama-elementary-school-rcna32822 https://www.cbs42.com/news/local/police-advise-public-to-avoid-area-around-walnut-park-elementary-due-to-incident/</v>
      </c>
      <c r="L242" s="5">
        <f ca="1">IFERROR(__xludf.DUMMYFUNCTION("""COMPUTED_VALUE"""),100)</f>
        <v>100</v>
      </c>
      <c r="M242" s="5" t="str">
        <f ca="1">IFERROR(__xludf.DUMMYFUNCTION("""COMPUTED_VALUE"""),"National")</f>
        <v>National</v>
      </c>
      <c r="N242" s="5">
        <f ca="1">IFERROR(__xludf.DUMMYFUNCTION("""COMPUTED_VALUE"""),4)</f>
        <v>4</v>
      </c>
      <c r="O242" s="5" t="str">
        <f ca="1">IFERROR(__xludf.DUMMYFUNCTION("""COMPUTED_VALUE"""),"Summer")</f>
        <v>Summer</v>
      </c>
      <c r="P242" s="5" t="str">
        <f ca="1">IFERROR(__xludf.DUMMYFUNCTION("""COMPUTED_VALUE"""),"Gadsden")</f>
        <v>Gadsden</v>
      </c>
      <c r="Q242" s="5" t="str">
        <f ca="1">IFERROR(__xludf.DUMMYFUNCTION("""COMPUTED_VALUE"""),"AL")</f>
        <v>AL</v>
      </c>
      <c r="R242" s="5" t="str">
        <f ca="1">IFERROR(__xludf.DUMMYFUNCTION("""COMPUTED_VALUE"""),"Elementary")</f>
        <v>Elementary</v>
      </c>
      <c r="S242" s="5" t="str">
        <f ca="1">IFERROR(__xludf.DUMMYFUNCTION("""COMPUTED_VALUE"""),"Front of School")</f>
        <v>Front of School</v>
      </c>
      <c r="T242" s="5" t="str">
        <f ca="1">IFERROR(__xludf.DUMMYFUNCTION("""COMPUTED_VALUE"""),"Outside on School Property")</f>
        <v>Outside on School Property</v>
      </c>
      <c r="U242" s="5" t="str">
        <f ca="1">IFERROR(__xludf.DUMMYFUNCTION("""COMPUTED_VALUE"""),"Yes")</f>
        <v>Yes</v>
      </c>
      <c r="V242" s="5" t="str">
        <f ca="1">IFERROR(__xludf.DUMMYFUNCTION("""COMPUTED_VALUE"""),"Morning Classes")</f>
        <v>Morning Classes</v>
      </c>
      <c r="W242" s="10">
        <f ca="1">IFERROR(__xludf.DUMMYFUNCTION("""COMPUTED_VALUE"""),0.395833333333333)</f>
        <v>0.39583333333333298</v>
      </c>
      <c r="X242" s="5">
        <f ca="1">IFERROR(__xludf.DUMMYFUNCTION("""COMPUTED_VALUE"""),1)</f>
        <v>1</v>
      </c>
      <c r="Y242" s="5" t="str">
        <f ca="1">IFERROR(__xludf.DUMMYFUNCTION("""COMPUTED_VALUE"""),"Man fatally shot by SRO while trying to break-in to school")</f>
        <v>Man fatally shot by SRO while trying to break-in to school</v>
      </c>
      <c r="Z242" s="5" t="str">
        <f ca="1">IFERROR(__xludf.DUMMYFUNCTION("""COMPUTED_VALUE"""),"A 32-year-old man was fatally shot by a school resource officer after attempting to break-in to the school and a vehicle. When the officer approached the man, he became violent and attempted to take the officers gun. Family members said the man was suffer"&amp;"ing from severe mental illness, suicidal, and depressed. Brother believe he was attempting suicide by cop. School went on lockdown. Students and staff inside the school were not injured.")</f>
        <v>A 32-year-old man was fatally shot by a school resource officer after attempting to break-in to the school and a vehicle. When the officer approached the man, he became violent and attempted to take the officers gun. Family members said the man was suffering from severe mental illness, suicidal, and depressed. Brother believe he was attempting suicide by cop. School went on lockdown. Students and staff inside the school were not injured.</v>
      </c>
      <c r="AA242" s="5" t="str">
        <f ca="1">IFERROR(__xludf.DUMMYFUNCTION("""COMPUTED_VALUE"""),"Officer-Involved Shooting")</f>
        <v>Officer-Involved Shooting</v>
      </c>
      <c r="AB242" s="5"/>
      <c r="AC242" s="5"/>
      <c r="AD242" s="5"/>
      <c r="AE242" s="5"/>
      <c r="AF242" s="5"/>
      <c r="AG242" s="5"/>
      <c r="AH242" s="5"/>
      <c r="AI242" s="5"/>
      <c r="AJ242" s="5" t="str">
        <f ca="1">IFERROR(__xludf.DUMMYFUNCTION("""COMPUTED_VALUE"""),"No")</f>
        <v>No</v>
      </c>
    </row>
    <row r="243" spans="1:36" ht="13">
      <c r="A243" s="5" t="str">
        <f ca="1">IFERROR(__xludf.DUMMYFUNCTION("""COMPUTED_VALUE"""),"20220608ARLIL")</f>
        <v>20220608ARLIL</v>
      </c>
      <c r="B243" s="5">
        <f ca="1">IFERROR(__xludf.DUMMYFUNCTION("""COMPUTED_VALUE"""),6)</f>
        <v>6</v>
      </c>
      <c r="C243" s="5">
        <f ca="1">IFERROR(__xludf.DUMMYFUNCTION("""COMPUTED_VALUE"""),8)</f>
        <v>8</v>
      </c>
      <c r="D243" s="5">
        <f ca="1">IFERROR(__xludf.DUMMYFUNCTION("""COMPUTED_VALUE"""),2022)</f>
        <v>2022</v>
      </c>
      <c r="E243" s="8">
        <f ca="1">IFERROR(__xludf.DUMMYFUNCTION("""COMPUTED_VALUE"""),44720)</f>
        <v>44720</v>
      </c>
      <c r="F243" s="5" t="str">
        <f ca="1">IFERROR(__xludf.DUMMYFUNCTION("""COMPUTED_VALUE"""),"Little Rock School District Bus")</f>
        <v>Little Rock School District Bus</v>
      </c>
      <c r="G243" s="5">
        <f ca="1">IFERROR(__xludf.DUMMYFUNCTION("""COMPUTED_VALUE"""),0)</f>
        <v>0</v>
      </c>
      <c r="H243" s="5">
        <f ca="1">IFERROR(__xludf.DUMMYFUNCTION("""COMPUTED_VALUE"""),0)</f>
        <v>0</v>
      </c>
      <c r="I243" s="5">
        <f ca="1">IFERROR(__xludf.DUMMYFUNCTION("""COMPUTED_VALUE"""),0)</f>
        <v>0</v>
      </c>
      <c r="J243" s="5">
        <f ca="1">IFERROR(__xludf.DUMMYFUNCTION("""COMPUTED_VALUE"""),0)</f>
        <v>0</v>
      </c>
      <c r="K243" s="5" t="str">
        <f ca="1">IFERROR(__xludf.DUMMYFUNCTION("""COMPUTED_VALUE"""),"https://www.kark.com/crime/lrpd-school-bus-hit-by-gunfire-near-asher-brown-no-injuries-reported/ https://apnews.com/article/arkansas-little-rock-shootings-23dc299df98539531b098aad2e4b8ff1")</f>
        <v>https://www.kark.com/crime/lrpd-school-bus-hit-by-gunfire-near-asher-brown-no-injuries-reported/ https://apnews.com/article/arkansas-little-rock-shootings-23dc299df98539531b098aad2e4b8ff1</v>
      </c>
      <c r="L243" s="5">
        <f ca="1">IFERROR(__xludf.DUMMYFUNCTION("""COMPUTED_VALUE"""),5)</f>
        <v>5</v>
      </c>
      <c r="M243" s="5" t="str">
        <f ca="1">IFERROR(__xludf.DUMMYFUNCTION("""COMPUTED_VALUE"""),"National")</f>
        <v>National</v>
      </c>
      <c r="N243" s="5">
        <f ca="1">IFERROR(__xludf.DUMMYFUNCTION("""COMPUTED_VALUE"""),4)</f>
        <v>4</v>
      </c>
      <c r="O243" s="5" t="str">
        <f ca="1">IFERROR(__xludf.DUMMYFUNCTION("""COMPUTED_VALUE"""),"Summer")</f>
        <v>Summer</v>
      </c>
      <c r="P243" s="5" t="str">
        <f ca="1">IFERROR(__xludf.DUMMYFUNCTION("""COMPUTED_VALUE"""),"Little Rock")</f>
        <v>Little Rock</v>
      </c>
      <c r="Q243" s="5" t="str">
        <f ca="1">IFERROR(__xludf.DUMMYFUNCTION("""COMPUTED_VALUE"""),"AR")</f>
        <v>AR</v>
      </c>
      <c r="R243" s="5" t="str">
        <f ca="1">IFERROR(__xludf.DUMMYFUNCTION("""COMPUTED_VALUE"""),"Other")</f>
        <v>Other</v>
      </c>
      <c r="S243" s="5" t="str">
        <f ca="1">IFERROR(__xludf.DUMMYFUNCTION("""COMPUTED_VALUE"""),"School Bus")</f>
        <v>School Bus</v>
      </c>
      <c r="T243" s="5" t="str">
        <f ca="1">IFERROR(__xludf.DUMMYFUNCTION("""COMPUTED_VALUE"""),"School Bus")</f>
        <v>School Bus</v>
      </c>
      <c r="U243" s="5" t="str">
        <f ca="1">IFERROR(__xludf.DUMMYFUNCTION("""COMPUTED_VALUE"""),"Yes")</f>
        <v>Yes</v>
      </c>
      <c r="V243" s="5" t="str">
        <f ca="1">IFERROR(__xludf.DUMMYFUNCTION("""COMPUTED_VALUE"""),"Dismissal")</f>
        <v>Dismissal</v>
      </c>
      <c r="W243" s="10">
        <f ca="1">IFERROR(__xludf.DUMMYFUNCTION("""COMPUTED_VALUE"""),0.667361111111111)</f>
        <v>0.66736111111111096</v>
      </c>
      <c r="X243" s="5">
        <f ca="1">IFERROR(__xludf.DUMMYFUNCTION("""COMPUTED_VALUE"""),1)</f>
        <v>1</v>
      </c>
      <c r="Y243" s="5" t="str">
        <f ca="1">IFERROR(__xludf.DUMMYFUNCTION("""COMPUTED_VALUE"""),"Shots struck school bus driving student home")</f>
        <v>Shots struck school bus driving student home</v>
      </c>
      <c r="Z243" s="5" t="str">
        <f ca="1">IFERROR(__xludf.DUMMYFUNCTION("""COMPUTED_VALUE"""),"Shots struck a school bus. Driver and student on the bus were not injured. Police said the bus was not the target of the shooting. Suspect fled and was not identified.")</f>
        <v>Shots struck a school bus. Driver and student on the bus were not injured. Police said the bus was not the target of the shooting. Suspect fled and was not identified.</v>
      </c>
      <c r="AA243" s="5"/>
      <c r="AB243" s="5" t="str">
        <f ca="1">IFERROR(__xludf.DUMMYFUNCTION("""COMPUTED_VALUE"""),"Both")</f>
        <v>Both</v>
      </c>
      <c r="AC243" s="5"/>
      <c r="AD243" s="5" t="str">
        <f ca="1">IFERROR(__xludf.DUMMYFUNCTION("""COMPUTED_VALUE"""),"No")</f>
        <v>No</v>
      </c>
      <c r="AE243" s="5" t="str">
        <f ca="1">IFERROR(__xludf.DUMMYFUNCTION("""COMPUTED_VALUE"""),"No")</f>
        <v>No</v>
      </c>
      <c r="AF243" s="5" t="str">
        <f ca="1">IFERROR(__xludf.DUMMYFUNCTION("""COMPUTED_VALUE"""),"No")</f>
        <v>No</v>
      </c>
      <c r="AG243" s="5" t="str">
        <f ca="1">IFERROR(__xludf.DUMMYFUNCTION("""COMPUTED_VALUE"""),"No")</f>
        <v>No</v>
      </c>
      <c r="AH243" s="5" t="str">
        <f ca="1">IFERROR(__xludf.DUMMYFUNCTION("""COMPUTED_VALUE"""),"No")</f>
        <v>No</v>
      </c>
      <c r="AI243" s="5"/>
      <c r="AJ243" s="5" t="str">
        <f ca="1">IFERROR(__xludf.DUMMYFUNCTION("""COMPUTED_VALUE"""),"No")</f>
        <v>No</v>
      </c>
    </row>
    <row r="244" spans="1:36" ht="13">
      <c r="A244" s="5" t="str">
        <f ca="1">IFERROR(__xludf.DUMMYFUNCTION("""COMPUTED_VALUE"""),"20220607MIPED")</f>
        <v>20220607MIPED</v>
      </c>
      <c r="B244" s="5">
        <f ca="1">IFERROR(__xludf.DUMMYFUNCTION("""COMPUTED_VALUE"""),6)</f>
        <v>6</v>
      </c>
      <c r="C244" s="5">
        <f ca="1">IFERROR(__xludf.DUMMYFUNCTION("""COMPUTED_VALUE"""),7)</f>
        <v>7</v>
      </c>
      <c r="D244" s="5">
        <f ca="1">IFERROR(__xludf.DUMMYFUNCTION("""COMPUTED_VALUE"""),2022)</f>
        <v>2022</v>
      </c>
      <c r="E244" s="8">
        <f ca="1">IFERROR(__xludf.DUMMYFUNCTION("""COMPUTED_VALUE"""),44719)</f>
        <v>44719</v>
      </c>
      <c r="F244" s="5" t="str">
        <f ca="1">IFERROR(__xludf.DUMMYFUNCTION("""COMPUTED_VALUE"""),"Pershing High School")</f>
        <v>Pershing High School</v>
      </c>
      <c r="G244" s="5">
        <f ca="1">IFERROR(__xludf.DUMMYFUNCTION("""COMPUTED_VALUE"""),0)</f>
        <v>0</v>
      </c>
      <c r="H244" s="5">
        <f ca="1">IFERROR(__xludf.DUMMYFUNCTION("""COMPUTED_VALUE"""),0)</f>
        <v>0</v>
      </c>
      <c r="I244" s="5">
        <f ca="1">IFERROR(__xludf.DUMMYFUNCTION("""COMPUTED_VALUE"""),0)</f>
        <v>0</v>
      </c>
      <c r="J244" s="5">
        <f ca="1">IFERROR(__xludf.DUMMYFUNCTION("""COMPUTED_VALUE"""),0)</f>
        <v>0</v>
      </c>
      <c r="K244" s="5" t="str">
        <f ca="1">IFERROR(__xludf.DUMMYFUNCTION("""COMPUTED_VALUE"""),"https://www.wxyz.com/news/shots-fired-at-pershing-high-school-district-police-say https://www.detroitnews.com/story/news/local/detroit-city/2022/06/08/gunshots-detroits-pershing-high-school-lead-arrests-district-says/7549552001/ https://www.clickondetroit"&amp;".com/news/local/2022/06/08/officers-make-several-arrests-after-shots-fired-post-dismissal-at-pershing-high-school-in-detroit/")</f>
        <v>https://www.wxyz.com/news/shots-fired-at-pershing-high-school-district-police-say https://www.detroitnews.com/story/news/local/detroit-city/2022/06/08/gunshots-detroits-pershing-high-school-lead-arrests-district-says/7549552001/ https://www.clickondetroit.com/news/local/2022/06/08/officers-make-several-arrests-after-shots-fired-post-dismissal-at-pershing-high-school-in-detroit/</v>
      </c>
      <c r="L244" s="5">
        <f ca="1">IFERROR(__xludf.DUMMYFUNCTION("""COMPUTED_VALUE"""),4)</f>
        <v>4</v>
      </c>
      <c r="M244" s="5" t="str">
        <f ca="1">IFERROR(__xludf.DUMMYFUNCTION("""COMPUTED_VALUE"""),"Local")</f>
        <v>Local</v>
      </c>
      <c r="N244" s="5">
        <f ca="1">IFERROR(__xludf.DUMMYFUNCTION("""COMPUTED_VALUE"""),4)</f>
        <v>4</v>
      </c>
      <c r="O244" s="5" t="str">
        <f ca="1">IFERROR(__xludf.DUMMYFUNCTION("""COMPUTED_VALUE"""),"Summer")</f>
        <v>Summer</v>
      </c>
      <c r="P244" s="5" t="str">
        <f ca="1">IFERROR(__xludf.DUMMYFUNCTION("""COMPUTED_VALUE"""),"Detroit")</f>
        <v>Detroit</v>
      </c>
      <c r="Q244" s="5" t="str">
        <f ca="1">IFERROR(__xludf.DUMMYFUNCTION("""COMPUTED_VALUE"""),"MI")</f>
        <v>MI</v>
      </c>
      <c r="R244" s="5" t="str">
        <f ca="1">IFERROR(__xludf.DUMMYFUNCTION("""COMPUTED_VALUE"""),"High")</f>
        <v>High</v>
      </c>
      <c r="S244" s="5" t="str">
        <f ca="1">IFERROR(__xludf.DUMMYFUNCTION("""COMPUTED_VALUE"""),"Parking Lot")</f>
        <v>Parking Lot</v>
      </c>
      <c r="T244" s="5" t="str">
        <f ca="1">IFERROR(__xludf.DUMMYFUNCTION("""COMPUTED_VALUE"""),"Outside on School Property")</f>
        <v>Outside on School Property</v>
      </c>
      <c r="U244" s="5" t="str">
        <f ca="1">IFERROR(__xludf.DUMMYFUNCTION("""COMPUTED_VALUE"""),"No")</f>
        <v>No</v>
      </c>
      <c r="V244" s="5" t="str">
        <f ca="1">IFERROR(__xludf.DUMMYFUNCTION("""COMPUTED_VALUE"""),"After School")</f>
        <v>After School</v>
      </c>
      <c r="W244" s="10">
        <f ca="1">IFERROR(__xludf.DUMMYFUNCTION("""COMPUTED_VALUE"""),0.666666666666666)</f>
        <v>0.66666666666666596</v>
      </c>
      <c r="X244" s="5">
        <f ca="1">IFERROR(__xludf.DUMMYFUNCTION("""COMPUTED_VALUE"""),1)</f>
        <v>1</v>
      </c>
      <c r="Y244" s="5" t="str">
        <f ca="1">IFERROR(__xludf.DUMMYFUNCTION("""COMPUTED_VALUE"""),"Shots fired in school parking lot after dismissal")</f>
        <v>Shots fired in school parking lot after dismissal</v>
      </c>
      <c r="Z244" s="5" t="str">
        <f ca="1">IFERROR(__xludf.DUMMYFUNCTION("""COMPUTED_VALUE"""),"Shots fired in the school parking lot after dismissal. Football team was practicing nearby. School police arrested multiple people involving shooter. No injuries.")</f>
        <v>Shots fired in the school parking lot after dismissal. Football team was practicing nearby. School police arrested multiple people involving shooter. No injuries.</v>
      </c>
      <c r="AA244" s="5"/>
      <c r="AB244" s="5"/>
      <c r="AC244" s="5"/>
      <c r="AD244" s="5" t="str">
        <f ca="1">IFERROR(__xludf.DUMMYFUNCTION("""COMPUTED_VALUE"""),"No")</f>
        <v>No</v>
      </c>
      <c r="AE244" s="5" t="str">
        <f ca="1">IFERROR(__xludf.DUMMYFUNCTION("""COMPUTED_VALUE"""),"No")</f>
        <v>No</v>
      </c>
      <c r="AF244" s="5" t="str">
        <f ca="1">IFERROR(__xludf.DUMMYFUNCTION("""COMPUTED_VALUE"""),"No")</f>
        <v>No</v>
      </c>
      <c r="AG244" s="5" t="str">
        <f ca="1">IFERROR(__xludf.DUMMYFUNCTION("""COMPUTED_VALUE"""),"No")</f>
        <v>No</v>
      </c>
      <c r="AH244" s="5" t="str">
        <f ca="1">IFERROR(__xludf.DUMMYFUNCTION("""COMPUTED_VALUE"""),"No")</f>
        <v>No</v>
      </c>
      <c r="AI244" s="5"/>
      <c r="AJ244" s="5" t="str">
        <f ca="1">IFERROR(__xludf.DUMMYFUNCTION("""COMPUTED_VALUE"""),"No")</f>
        <v>No</v>
      </c>
    </row>
    <row r="245" spans="1:36" ht="13">
      <c r="A245" s="5" t="str">
        <f ca="1">IFERROR(__xludf.DUMMYFUNCTION("""COMPUTED_VALUE"""),"20220605INWEG")</f>
        <v>20220605INWEG</v>
      </c>
      <c r="B245" s="5">
        <f ca="1">IFERROR(__xludf.DUMMYFUNCTION("""COMPUTED_VALUE"""),6)</f>
        <v>6</v>
      </c>
      <c r="C245" s="5">
        <f ca="1">IFERROR(__xludf.DUMMYFUNCTION("""COMPUTED_VALUE"""),5)</f>
        <v>5</v>
      </c>
      <c r="D245" s="5">
        <f ca="1">IFERROR(__xludf.DUMMYFUNCTION("""COMPUTED_VALUE"""),2022)</f>
        <v>2022</v>
      </c>
      <c r="E245" s="8">
        <f ca="1">IFERROR(__xludf.DUMMYFUNCTION("""COMPUTED_VALUE"""),44717)</f>
        <v>44717</v>
      </c>
      <c r="F245" s="5" t="str">
        <f ca="1">IFERROR(__xludf.DUMMYFUNCTION("""COMPUTED_VALUE"""),"West Side Leadership Academy")</f>
        <v>West Side Leadership Academy</v>
      </c>
      <c r="G245" s="5">
        <f ca="1">IFERROR(__xludf.DUMMYFUNCTION("""COMPUTED_VALUE"""),0)</f>
        <v>0</v>
      </c>
      <c r="H245" s="5">
        <f ca="1">IFERROR(__xludf.DUMMYFUNCTION("""COMPUTED_VALUE"""),2)</f>
        <v>2</v>
      </c>
      <c r="I245" s="5">
        <f ca="1">IFERROR(__xludf.DUMMYFUNCTION("""COMPUTED_VALUE"""),2)</f>
        <v>2</v>
      </c>
      <c r="J245" s="5">
        <f ca="1">IFERROR(__xludf.DUMMYFUNCTION("""COMPUTED_VALUE"""),0)</f>
        <v>0</v>
      </c>
      <c r="K245" s="5" t="str">
        <f ca="1">IFERROR(__xludf.DUMMYFUNCTION("""COMPUTED_VALUE"""),"https://abc7chicago.com/gary-indiana-shooting-west-side-leadership-academy-high-school-graduation-railcats-stadium/11930811/ https://www.nbcchicago.com/news/local/shooting-erupts-outside-gary-railcats-stadium-after-graduation-ceremony/2850280/")</f>
        <v>https://abc7chicago.com/gary-indiana-shooting-west-side-leadership-academy-high-school-graduation-railcats-stadium/11930811/ https://www.nbcchicago.com/news/local/shooting-erupts-outside-gary-railcats-stadium-after-graduation-ceremony/2850280/</v>
      </c>
      <c r="L245" s="5">
        <f ca="1">IFERROR(__xludf.DUMMYFUNCTION("""COMPUTED_VALUE"""),2)</f>
        <v>2</v>
      </c>
      <c r="M245" s="5" t="str">
        <f ca="1">IFERROR(__xludf.DUMMYFUNCTION("""COMPUTED_VALUE"""),"Local")</f>
        <v>Local</v>
      </c>
      <c r="N245" s="5">
        <f ca="1">IFERROR(__xludf.DUMMYFUNCTION("""COMPUTED_VALUE"""),4)</f>
        <v>4</v>
      </c>
      <c r="O245" s="5" t="str">
        <f ca="1">IFERROR(__xludf.DUMMYFUNCTION("""COMPUTED_VALUE"""),"Summer")</f>
        <v>Summer</v>
      </c>
      <c r="P245" s="5" t="str">
        <f ca="1">IFERROR(__xludf.DUMMYFUNCTION("""COMPUTED_VALUE"""),"Gary")</f>
        <v>Gary</v>
      </c>
      <c r="Q245" s="5" t="str">
        <f ca="1">IFERROR(__xludf.DUMMYFUNCTION("""COMPUTED_VALUE"""),"IN")</f>
        <v>IN</v>
      </c>
      <c r="R245" s="5" t="str">
        <f ca="1">IFERROR(__xludf.DUMMYFUNCTION("""COMPUTED_VALUE"""),"High")</f>
        <v>High</v>
      </c>
      <c r="S245" s="5" t="str">
        <f ca="1">IFERROR(__xludf.DUMMYFUNCTION("""COMPUTED_VALUE"""),"Off School Property")</f>
        <v>Off School Property</v>
      </c>
      <c r="T245" s="5" t="str">
        <f ca="1">IFERROR(__xludf.DUMMYFUNCTION("""COMPUTED_VALUE"""),"Off School Property")</f>
        <v>Off School Property</v>
      </c>
      <c r="U245" s="5" t="str">
        <f ca="1">IFERROR(__xludf.DUMMYFUNCTION("""COMPUTED_VALUE"""),"No")</f>
        <v>No</v>
      </c>
      <c r="V245" s="5" t="str">
        <f ca="1">IFERROR(__xludf.DUMMYFUNCTION("""COMPUTED_VALUE"""),"School Event")</f>
        <v>School Event</v>
      </c>
      <c r="W245" s="10">
        <f ca="1">IFERROR(__xludf.DUMMYFUNCTION("""COMPUTED_VALUE"""),0.759027777777777)</f>
        <v>0.75902777777777697</v>
      </c>
      <c r="X245" s="5">
        <f ca="1">IFERROR(__xludf.DUMMYFUNCTION("""COMPUTED_VALUE"""),1)</f>
        <v>1</v>
      </c>
      <c r="Y245" s="5" t="str">
        <f ca="1">IFERROR(__xludf.DUMMYFUNCTION("""COMPUTED_VALUE"""),"2 teens shot following high school graduation")</f>
        <v>2 teens shot following high school graduation</v>
      </c>
      <c r="Z245" s="5" t="str">
        <f ca="1">IFERROR(__xludf.DUMMYFUNCTION("""COMPUTED_VALUE"""),"Two teens were shot outside of the graduation venue following the ceremony. Two teens and a 20-year-old man were arrested by police officers working security for the event.")</f>
        <v>Two teens were shot outside of the graduation venue following the ceremony. Two teens and a 20-year-old man were arrested by police officers working security for the event.</v>
      </c>
      <c r="AA245" s="5" t="str">
        <f ca="1">IFERROR(__xludf.DUMMYFUNCTION("""COMPUTED_VALUE"""),"Escalation of Dispute")</f>
        <v>Escalation of Dispute</v>
      </c>
      <c r="AB245" s="5" t="str">
        <f ca="1">IFERROR(__xludf.DUMMYFUNCTION("""COMPUTED_VALUE"""),"Both")</f>
        <v>Both</v>
      </c>
      <c r="AC245" s="5"/>
      <c r="AD245" s="5" t="str">
        <f ca="1">IFERROR(__xludf.DUMMYFUNCTION("""COMPUTED_VALUE"""),"No")</f>
        <v>No</v>
      </c>
      <c r="AE245" s="5" t="str">
        <f ca="1">IFERROR(__xludf.DUMMYFUNCTION("""COMPUTED_VALUE"""),"No")</f>
        <v>No</v>
      </c>
      <c r="AF245" s="5" t="str">
        <f ca="1">IFERROR(__xludf.DUMMYFUNCTION("""COMPUTED_VALUE"""),"No")</f>
        <v>No</v>
      </c>
      <c r="AG245" s="5" t="str">
        <f ca="1">IFERROR(__xludf.DUMMYFUNCTION("""COMPUTED_VALUE"""),"No")</f>
        <v>No</v>
      </c>
      <c r="AH245" s="5" t="str">
        <f ca="1">IFERROR(__xludf.DUMMYFUNCTION("""COMPUTED_VALUE"""),"No")</f>
        <v>No</v>
      </c>
      <c r="AI245" s="5"/>
      <c r="AJ245" s="5" t="str">
        <f ca="1">IFERROR(__xludf.DUMMYFUNCTION("""COMPUTED_VALUE"""),"No")</f>
        <v>No</v>
      </c>
    </row>
    <row r="246" spans="1:36" ht="13">
      <c r="A246" s="5" t="str">
        <f ca="1">IFERROR(__xludf.DUMMYFUNCTION("""COMPUTED_VALUE"""),"20220601CAULL")</f>
        <v>20220601CAULL</v>
      </c>
      <c r="B246" s="5">
        <f ca="1">IFERROR(__xludf.DUMMYFUNCTION("""COMPUTED_VALUE"""),6)</f>
        <v>6</v>
      </c>
      <c r="C246" s="5">
        <f ca="1">IFERROR(__xludf.DUMMYFUNCTION("""COMPUTED_VALUE"""),1)</f>
        <v>1</v>
      </c>
      <c r="D246" s="5">
        <f ca="1">IFERROR(__xludf.DUMMYFUNCTION("""COMPUTED_VALUE"""),2022)</f>
        <v>2022</v>
      </c>
      <c r="E246" s="8">
        <f ca="1">IFERROR(__xludf.DUMMYFUNCTION("""COMPUTED_VALUE"""),44713)</f>
        <v>44713</v>
      </c>
      <c r="F246" s="5" t="str">
        <f ca="1">IFERROR(__xludf.DUMMYFUNCTION("""COMPUTED_VALUE"""),"Ulysses S. Grant Senior High School")</f>
        <v>Ulysses S. Grant Senior High School</v>
      </c>
      <c r="G246" s="5">
        <f ca="1">IFERROR(__xludf.DUMMYFUNCTION("""COMPUTED_VALUE"""),0)</f>
        <v>0</v>
      </c>
      <c r="H246" s="5">
        <f ca="1">IFERROR(__xludf.DUMMYFUNCTION("""COMPUTED_VALUE"""),1)</f>
        <v>1</v>
      </c>
      <c r="I246" s="5">
        <f ca="1">IFERROR(__xludf.DUMMYFUNCTION("""COMPUTED_VALUE"""),1)</f>
        <v>1</v>
      </c>
      <c r="J246" s="5">
        <f ca="1">IFERROR(__xludf.DUMMYFUNCTION("""COMPUTED_VALUE"""),0)</f>
        <v>0</v>
      </c>
      <c r="K246" s="5" t="str">
        <f ca="1">IFERROR(__xludf.DUMMYFUNCTION("""COMPUTED_VALUE"""),"https://www.foxla.com/news/grant-high-school-van-nuys-shooting https://abc7.com/los-angeles-schools-shooting-grant-high-school-van-nuys/11916354/ https://ktla.com/news/local-news/police-investigate-shooting-near-grant-high-school-in-valley-glen/")</f>
        <v>https://www.foxla.com/news/grant-high-school-van-nuys-shooting https://abc7.com/los-angeles-schools-shooting-grant-high-school-van-nuys/11916354/ https://ktla.com/news/local-news/police-investigate-shooting-near-grant-high-school-in-valley-glen/</v>
      </c>
      <c r="L246" s="5">
        <f ca="1">IFERROR(__xludf.DUMMYFUNCTION("""COMPUTED_VALUE"""),10)</f>
        <v>10</v>
      </c>
      <c r="M246" s="5" t="str">
        <f ca="1">IFERROR(__xludf.DUMMYFUNCTION("""COMPUTED_VALUE"""),"Regional")</f>
        <v>Regional</v>
      </c>
      <c r="N246" s="5">
        <f ca="1">IFERROR(__xludf.DUMMYFUNCTION("""COMPUTED_VALUE"""),4)</f>
        <v>4</v>
      </c>
      <c r="O246" s="5" t="str">
        <f ca="1">IFERROR(__xludf.DUMMYFUNCTION("""COMPUTED_VALUE"""),"Summer")</f>
        <v>Summer</v>
      </c>
      <c r="P246" s="5" t="str">
        <f ca="1">IFERROR(__xludf.DUMMYFUNCTION("""COMPUTED_VALUE"""),"Los Angeles")</f>
        <v>Los Angeles</v>
      </c>
      <c r="Q246" s="5" t="str">
        <f ca="1">IFERROR(__xludf.DUMMYFUNCTION("""COMPUTED_VALUE"""),"CA")</f>
        <v>CA</v>
      </c>
      <c r="R246" s="5" t="str">
        <f ca="1">IFERROR(__xludf.DUMMYFUNCTION("""COMPUTED_VALUE"""),"High")</f>
        <v>High</v>
      </c>
      <c r="S246" s="5" t="str">
        <f ca="1">IFERROR(__xludf.DUMMYFUNCTION("""COMPUTED_VALUE"""),"Front of School")</f>
        <v>Front of School</v>
      </c>
      <c r="T246" s="5" t="str">
        <f ca="1">IFERROR(__xludf.DUMMYFUNCTION("""COMPUTED_VALUE"""),"Outside on School Property")</f>
        <v>Outside on School Property</v>
      </c>
      <c r="U246" s="5" t="str">
        <f ca="1">IFERROR(__xludf.DUMMYFUNCTION("""COMPUTED_VALUE"""),"Yes")</f>
        <v>Yes</v>
      </c>
      <c r="V246" s="5" t="str">
        <f ca="1">IFERROR(__xludf.DUMMYFUNCTION("""COMPUTED_VALUE"""),"Dismissal")</f>
        <v>Dismissal</v>
      </c>
      <c r="W246" s="10">
        <f ca="1">IFERROR(__xludf.DUMMYFUNCTION("""COMPUTED_VALUE"""),0.642361111111111)</f>
        <v>0.64236111111111105</v>
      </c>
      <c r="X246" s="5">
        <f ca="1">IFERROR(__xludf.DUMMYFUNCTION("""COMPUTED_VALUE"""),1)</f>
        <v>1</v>
      </c>
      <c r="Y246" s="5" t="str">
        <f ca="1">IFERROR(__xludf.DUMMYFUNCTION("""COMPUTED_VALUE"""),"Student shot in front of school at dismissal")</f>
        <v>Student shot in front of school at dismissal</v>
      </c>
      <c r="Z246" s="5" t="str">
        <f ca="1">IFERROR(__xludf.DUMMYFUNCTION("""COMPUTED_VALUE"""),"16-year-olds student was shot in front of the school during dismissal. School went on lockdown. Shooter fled in vehicle. Police said the shooting was gang related.")</f>
        <v>16-year-olds student was shot in front of the school during dismissal. School went on lockdown. Shooter fled in vehicle. Police said the shooting was gang related.</v>
      </c>
      <c r="AA246" s="5" t="str">
        <f ca="1">IFERROR(__xludf.DUMMYFUNCTION("""COMPUTED_VALUE"""),"Escalation of Dispute")</f>
        <v>Escalation of Dispute</v>
      </c>
      <c r="AB246" s="5" t="str">
        <f ca="1">IFERROR(__xludf.DUMMYFUNCTION("""COMPUTED_VALUE"""),"Victims Targeted")</f>
        <v>Victims Targeted</v>
      </c>
      <c r="AC246" s="5" t="str">
        <f ca="1">IFERROR(__xludf.DUMMYFUNCTION("""COMPUTED_VALUE"""),"No")</f>
        <v>No</v>
      </c>
      <c r="AD246" s="5" t="str">
        <f ca="1">IFERROR(__xludf.DUMMYFUNCTION("""COMPUTED_VALUE"""),"No")</f>
        <v>No</v>
      </c>
      <c r="AE246" s="5" t="str">
        <f ca="1">IFERROR(__xludf.DUMMYFUNCTION("""COMPUTED_VALUE"""),"No")</f>
        <v>No</v>
      </c>
      <c r="AF246" s="5" t="str">
        <f ca="1">IFERROR(__xludf.DUMMYFUNCTION("""COMPUTED_VALUE"""),"No")</f>
        <v>No</v>
      </c>
      <c r="AG246" s="5" t="str">
        <f ca="1">IFERROR(__xludf.DUMMYFUNCTION("""COMPUTED_VALUE"""),"No")</f>
        <v>No</v>
      </c>
      <c r="AH246" s="5" t="str">
        <f ca="1">IFERROR(__xludf.DUMMYFUNCTION("""COMPUTED_VALUE"""),"No")</f>
        <v>No</v>
      </c>
      <c r="AI246" s="5" t="str">
        <f ca="1">IFERROR(__xludf.DUMMYFUNCTION("""COMPUTED_VALUE"""),"Yes")</f>
        <v>Yes</v>
      </c>
      <c r="AJ246" s="5" t="str">
        <f ca="1">IFERROR(__xludf.DUMMYFUNCTION("""COMPUTED_VALUE"""),"No")</f>
        <v>No</v>
      </c>
    </row>
    <row r="247" spans="1:36" ht="13">
      <c r="A247" s="5" t="str">
        <f ca="1">IFERROR(__xludf.DUMMYFUNCTION("""COMPUTED_VALUE"""),"20220531LAMON")</f>
        <v>20220531LAMON</v>
      </c>
      <c r="B247" s="5">
        <f ca="1">IFERROR(__xludf.DUMMYFUNCTION("""COMPUTED_VALUE"""),5)</f>
        <v>5</v>
      </c>
      <c r="C247" s="5">
        <f ca="1">IFERROR(__xludf.DUMMYFUNCTION("""COMPUTED_VALUE"""),31)</f>
        <v>31</v>
      </c>
      <c r="D247" s="5">
        <f ca="1">IFERROR(__xludf.DUMMYFUNCTION("""COMPUTED_VALUE"""),2022)</f>
        <v>2022</v>
      </c>
      <c r="E247" s="8">
        <f ca="1">IFERROR(__xludf.DUMMYFUNCTION("""COMPUTED_VALUE"""),44712)</f>
        <v>44712</v>
      </c>
      <c r="F247" s="5" t="str">
        <f ca="1">IFERROR(__xludf.DUMMYFUNCTION("""COMPUTED_VALUE"""),"Morris Jeff High School")</f>
        <v>Morris Jeff High School</v>
      </c>
      <c r="G247" s="5">
        <f ca="1">IFERROR(__xludf.DUMMYFUNCTION("""COMPUTED_VALUE"""),0)</f>
        <v>0</v>
      </c>
      <c r="H247" s="5">
        <f ca="1">IFERROR(__xludf.DUMMYFUNCTION("""COMPUTED_VALUE"""),2)</f>
        <v>2</v>
      </c>
      <c r="I247" s="5">
        <f ca="1">IFERROR(__xludf.DUMMYFUNCTION("""COMPUTED_VALUE"""),2)</f>
        <v>2</v>
      </c>
      <c r="J247" s="5">
        <f ca="1">IFERROR(__xludf.DUMMYFUNCTION("""COMPUTED_VALUE"""),0)</f>
        <v>0</v>
      </c>
      <c r="K247" s="5" t="str">
        <f ca="1">IFERROR(__xludf.DUMMYFUNCTION("""COMPUTED_VALUE"""),"https://www.wwltv.com/article/news/crime/one-dead-two-injured-in-post-graduation-shooting-on-xavier-campus/289-2bb5a09d-8900-4e96-9ca5-06727bb4123c https://www.cnn.com/2022/05/31/us/xavier-university-shooting-new-orleans/index.html https://www.wafb.com/20"&amp;"22/06/01/triple-shooting-leaves-grandmother-dead-outside-morris-jeff-high-graduation-xavier-university-nopd-says/")</f>
        <v>https://www.wwltv.com/article/news/crime/one-dead-two-injured-in-post-graduation-shooting-on-xavier-campus/289-2bb5a09d-8900-4e96-9ca5-06727bb4123c https://www.cnn.com/2022/05/31/us/xavier-university-shooting-new-orleans/index.html https://www.wafb.com/2022/06/01/triple-shooting-leaves-grandmother-dead-outside-morris-jeff-high-graduation-xavier-university-nopd-says/</v>
      </c>
      <c r="L247" s="5">
        <f ca="1">IFERROR(__xludf.DUMMYFUNCTION("""COMPUTED_VALUE"""),100)</f>
        <v>100</v>
      </c>
      <c r="M247" s="5" t="str">
        <f ca="1">IFERROR(__xludf.DUMMYFUNCTION("""COMPUTED_VALUE"""),"National")</f>
        <v>National</v>
      </c>
      <c r="N247" s="5">
        <f ca="1">IFERROR(__xludf.DUMMYFUNCTION("""COMPUTED_VALUE"""),4)</f>
        <v>4</v>
      </c>
      <c r="O247" s="5" t="str">
        <f ca="1">IFERROR(__xludf.DUMMYFUNCTION("""COMPUTED_VALUE"""),"Spring")</f>
        <v>Spring</v>
      </c>
      <c r="P247" s="5" t="str">
        <f ca="1">IFERROR(__xludf.DUMMYFUNCTION("""COMPUTED_VALUE"""),"New Orleans")</f>
        <v>New Orleans</v>
      </c>
      <c r="Q247" s="5" t="str">
        <f ca="1">IFERROR(__xludf.DUMMYFUNCTION("""COMPUTED_VALUE"""),"LA")</f>
        <v>LA</v>
      </c>
      <c r="R247" s="5" t="str">
        <f ca="1">IFERROR(__xludf.DUMMYFUNCTION("""COMPUTED_VALUE"""),"High")</f>
        <v>High</v>
      </c>
      <c r="S247" s="5" t="str">
        <f ca="1">IFERROR(__xludf.DUMMYFUNCTION("""COMPUTED_VALUE"""),"Off School Property")</f>
        <v>Off School Property</v>
      </c>
      <c r="T247" s="5" t="str">
        <f ca="1">IFERROR(__xludf.DUMMYFUNCTION("""COMPUTED_VALUE"""),"Off School Property")</f>
        <v>Off School Property</v>
      </c>
      <c r="U247" s="5" t="str">
        <f ca="1">IFERROR(__xludf.DUMMYFUNCTION("""COMPUTED_VALUE"""),"Yes")</f>
        <v>Yes</v>
      </c>
      <c r="V247" s="5" t="str">
        <f ca="1">IFERROR(__xludf.DUMMYFUNCTION("""COMPUTED_VALUE"""),"School Event")</f>
        <v>School Event</v>
      </c>
      <c r="W247" s="10">
        <f ca="1">IFERROR(__xludf.DUMMYFUNCTION("""COMPUTED_VALUE"""),0.489583333333333)</f>
        <v>0.48958333333333298</v>
      </c>
      <c r="X247" s="5">
        <f ca="1">IFERROR(__xludf.DUMMYFUNCTION("""COMPUTED_VALUE"""),1)</f>
        <v>1</v>
      </c>
      <c r="Y247" s="5" t="str">
        <f ca="1">IFERROR(__xludf.DUMMYFUNCTION("""COMPUTED_VALUE"""),"3 people shot following high school graduation")</f>
        <v>3 people shot following high school graduation</v>
      </c>
      <c r="Z247" s="5" t="str">
        <f ca="1">IFERROR(__xludf.DUMMYFUNCTION("""COMPUTED_VALUE"""),"An 80-year-old woman was killed and two men were wounded during a shooting in the parking lot following high school graduation. Two women were fighting when the shots were fired. Graduation for the high school was held at Xavier University.")</f>
        <v>An 80-year-old woman was killed and two men were wounded during a shooting in the parking lot following high school graduation. Two women were fighting when the shots were fired. Graduation for the high school was held at Xavier University.</v>
      </c>
      <c r="AA247" s="5" t="str">
        <f ca="1">IFERROR(__xludf.DUMMYFUNCTION("""COMPUTED_VALUE"""),"Escalation of Dispute")</f>
        <v>Escalation of Dispute</v>
      </c>
      <c r="AB247" s="5" t="str">
        <f ca="1">IFERROR(__xludf.DUMMYFUNCTION("""COMPUTED_VALUE"""),"Both")</f>
        <v>Both</v>
      </c>
      <c r="AC247" s="5" t="str">
        <f ca="1">IFERROR(__xludf.DUMMYFUNCTION("""COMPUTED_VALUE"""),"No")</f>
        <v>No</v>
      </c>
      <c r="AD247" s="5" t="str">
        <f ca="1">IFERROR(__xludf.DUMMYFUNCTION("""COMPUTED_VALUE"""),"No")</f>
        <v>No</v>
      </c>
      <c r="AE247" s="5" t="str">
        <f ca="1">IFERROR(__xludf.DUMMYFUNCTION("""COMPUTED_VALUE"""),"No")</f>
        <v>No</v>
      </c>
      <c r="AF247" s="5" t="str">
        <f ca="1">IFERROR(__xludf.DUMMYFUNCTION("""COMPUTED_VALUE"""),"No")</f>
        <v>No</v>
      </c>
      <c r="AG247" s="5" t="str">
        <f ca="1">IFERROR(__xludf.DUMMYFUNCTION("""COMPUTED_VALUE"""),"No")</f>
        <v>No</v>
      </c>
      <c r="AH247" s="5" t="str">
        <f ca="1">IFERROR(__xludf.DUMMYFUNCTION("""COMPUTED_VALUE"""),"No")</f>
        <v>No</v>
      </c>
      <c r="AI247" s="5" t="str">
        <f ca="1">IFERROR(__xludf.DUMMYFUNCTION("""COMPUTED_VALUE"""),"No")</f>
        <v>No</v>
      </c>
      <c r="AJ247" s="5" t="str">
        <f ca="1">IFERROR(__xludf.DUMMYFUNCTION("""COMPUTED_VALUE"""),"No")</f>
        <v>No</v>
      </c>
    </row>
    <row r="248" spans="1:36" ht="13">
      <c r="A248" s="5" t="str">
        <f ca="1">IFERROR(__xludf.DUMMYFUNCTION("""COMPUTED_VALUE"""),"20220530CAHEL")</f>
        <v>20220530CAHEL</v>
      </c>
      <c r="B248" s="5">
        <f ca="1">IFERROR(__xludf.DUMMYFUNCTION("""COMPUTED_VALUE"""),5)</f>
        <v>5</v>
      </c>
      <c r="C248" s="5">
        <f ca="1">IFERROR(__xludf.DUMMYFUNCTION("""COMPUTED_VALUE"""),30)</f>
        <v>30</v>
      </c>
      <c r="D248" s="5">
        <f ca="1">IFERROR(__xludf.DUMMYFUNCTION("""COMPUTED_VALUE"""),2022)</f>
        <v>2022</v>
      </c>
      <c r="E248" s="8">
        <f ca="1">IFERROR(__xludf.DUMMYFUNCTION("""COMPUTED_VALUE"""),44711)</f>
        <v>44711</v>
      </c>
      <c r="F248" s="5" t="str">
        <f ca="1">IFERROR(__xludf.DUMMYFUNCTION("""COMPUTED_VALUE"""),"Helix High School")</f>
        <v>Helix High School</v>
      </c>
      <c r="G248" s="5">
        <f ca="1">IFERROR(__xludf.DUMMYFUNCTION("""COMPUTED_VALUE"""),0)</f>
        <v>0</v>
      </c>
      <c r="H248" s="5">
        <f ca="1">IFERROR(__xludf.DUMMYFUNCTION("""COMPUTED_VALUE"""),1)</f>
        <v>1</v>
      </c>
      <c r="I248" s="5">
        <f ca="1">IFERROR(__xludf.DUMMYFUNCTION("""COMPUTED_VALUE"""),1)</f>
        <v>1</v>
      </c>
      <c r="J248" s="5">
        <f ca="1">IFERROR(__xludf.DUMMYFUNCTION("""COMPUTED_VALUE"""),0)</f>
        <v>0</v>
      </c>
      <c r="K248" s="5" t="str">
        <f ca="1">IFERROR(__xludf.DUMMYFUNCTION("""COMPUTED_VALUE"""),"https://www.sandiegouniontribune.com/news/public-safety/story/2022-05-31/man-shot-wounded-in-helix-high-school-parking-lot https://www.10news.com/news/local-news/suspect-sought-after-man-shot-in-helix-high-school-parking-lot https://www.nbcsandiego.com/ne"&amp;"ws/local/1-shot-after-school-hours-in-parking-lot-of-helix-high-school/2959563/")</f>
        <v>https://www.sandiegouniontribune.com/news/public-safety/story/2022-05-31/man-shot-wounded-in-helix-high-school-parking-lot https://www.10news.com/news/local-news/suspect-sought-after-man-shot-in-helix-high-school-parking-lot https://www.nbcsandiego.com/news/local/1-shot-after-school-hours-in-parking-lot-of-helix-high-school/2959563/</v>
      </c>
      <c r="L248" s="5">
        <f ca="1">IFERROR(__xludf.DUMMYFUNCTION("""COMPUTED_VALUE"""),3)</f>
        <v>3</v>
      </c>
      <c r="M248" s="5" t="str">
        <f ca="1">IFERROR(__xludf.DUMMYFUNCTION("""COMPUTED_VALUE"""),"Local")</f>
        <v>Local</v>
      </c>
      <c r="N248" s="5">
        <f ca="1">IFERROR(__xludf.DUMMYFUNCTION("""COMPUTED_VALUE"""),4)</f>
        <v>4</v>
      </c>
      <c r="O248" s="5" t="str">
        <f ca="1">IFERROR(__xludf.DUMMYFUNCTION("""COMPUTED_VALUE"""),"Spring")</f>
        <v>Spring</v>
      </c>
      <c r="P248" s="5" t="str">
        <f ca="1">IFERROR(__xludf.DUMMYFUNCTION("""COMPUTED_VALUE"""),"La Mesa")</f>
        <v>La Mesa</v>
      </c>
      <c r="Q248" s="5" t="str">
        <f ca="1">IFERROR(__xludf.DUMMYFUNCTION("""COMPUTED_VALUE"""),"CA")</f>
        <v>CA</v>
      </c>
      <c r="R248" s="5" t="str">
        <f ca="1">IFERROR(__xludf.DUMMYFUNCTION("""COMPUTED_VALUE"""),"High")</f>
        <v>High</v>
      </c>
      <c r="S248" s="5" t="str">
        <f ca="1">IFERROR(__xludf.DUMMYFUNCTION("""COMPUTED_VALUE"""),"Parking Lot")</f>
        <v>Parking Lot</v>
      </c>
      <c r="T248" s="5" t="str">
        <f ca="1">IFERROR(__xludf.DUMMYFUNCTION("""COMPUTED_VALUE"""),"Outside on School Property")</f>
        <v>Outside on School Property</v>
      </c>
      <c r="U248" s="5" t="str">
        <f ca="1">IFERROR(__xludf.DUMMYFUNCTION("""COMPUTED_VALUE"""),"No")</f>
        <v>No</v>
      </c>
      <c r="V248" s="5" t="str">
        <f ca="1">IFERROR(__xludf.DUMMYFUNCTION("""COMPUTED_VALUE"""),"Evening")</f>
        <v>Evening</v>
      </c>
      <c r="W248" s="10">
        <f ca="1">IFERROR(__xludf.DUMMYFUNCTION("""COMPUTED_VALUE"""),0.763888888888888)</f>
        <v>0.76388888888888795</v>
      </c>
      <c r="X248" s="5">
        <f ca="1">IFERROR(__xludf.DUMMYFUNCTION("""COMPUTED_VALUE"""),1)</f>
        <v>1</v>
      </c>
      <c r="Y248" s="5" t="str">
        <f ca="1">IFERROR(__xludf.DUMMYFUNCTION("""COMPUTED_VALUE"""),"Adult man shot in school parking lot")</f>
        <v>Adult man shot in school parking lot</v>
      </c>
      <c r="Z248" s="5" t="str">
        <f ca="1">IFERROR(__xludf.DUMMYFUNCTION("""COMPUTED_VALUE"""),"Adult man was shot in the school parking lot. Shooter fled. School was closed for Memorial Day.")</f>
        <v>Adult man was shot in the school parking lot. Shooter fled. School was closed for Memorial Day.</v>
      </c>
      <c r="AA248" s="5"/>
      <c r="AB248" s="5" t="str">
        <f ca="1">IFERROR(__xludf.DUMMYFUNCTION("""COMPUTED_VALUE"""),"Victims Targeted")</f>
        <v>Victims Targeted</v>
      </c>
      <c r="AC248" s="5" t="str">
        <f ca="1">IFERROR(__xludf.DUMMYFUNCTION("""COMPUTED_VALUE"""),"No")</f>
        <v>No</v>
      </c>
      <c r="AD248" s="5" t="str">
        <f ca="1">IFERROR(__xludf.DUMMYFUNCTION("""COMPUTED_VALUE"""),"No")</f>
        <v>No</v>
      </c>
      <c r="AE248" s="5" t="str">
        <f ca="1">IFERROR(__xludf.DUMMYFUNCTION("""COMPUTED_VALUE"""),"No")</f>
        <v>No</v>
      </c>
      <c r="AF248" s="5" t="str">
        <f ca="1">IFERROR(__xludf.DUMMYFUNCTION("""COMPUTED_VALUE"""),"No")</f>
        <v>No</v>
      </c>
      <c r="AG248" s="5" t="str">
        <f ca="1">IFERROR(__xludf.DUMMYFUNCTION("""COMPUTED_VALUE"""),"No")</f>
        <v>No</v>
      </c>
      <c r="AH248" s="5" t="str">
        <f ca="1">IFERROR(__xludf.DUMMYFUNCTION("""COMPUTED_VALUE"""),"No")</f>
        <v>No</v>
      </c>
      <c r="AI248" s="5"/>
      <c r="AJ248" s="5" t="str">
        <f ca="1">IFERROR(__xludf.DUMMYFUNCTION("""COMPUTED_VALUE"""),"No")</f>
        <v>No</v>
      </c>
    </row>
    <row r="249" spans="1:36" ht="13">
      <c r="A249" s="5" t="str">
        <f ca="1">IFERROR(__xludf.DUMMYFUNCTION("""COMPUTED_VALUE"""),"20220529ILDAC")</f>
        <v>20220529ILDAC</v>
      </c>
      <c r="B249" s="5">
        <f ca="1">IFERROR(__xludf.DUMMYFUNCTION("""COMPUTED_VALUE"""),5)</f>
        <v>5</v>
      </c>
      <c r="C249" s="5">
        <f ca="1">IFERROR(__xludf.DUMMYFUNCTION("""COMPUTED_VALUE"""),29)</f>
        <v>29</v>
      </c>
      <c r="D249" s="5">
        <f ca="1">IFERROR(__xludf.DUMMYFUNCTION("""COMPUTED_VALUE"""),2022)</f>
        <v>2022</v>
      </c>
      <c r="E249" s="8">
        <f ca="1">IFERROR(__xludf.DUMMYFUNCTION("""COMPUTED_VALUE"""),44710)</f>
        <v>44710</v>
      </c>
      <c r="F249" s="5" t="str">
        <f ca="1">IFERROR(__xludf.DUMMYFUNCTION("""COMPUTED_VALUE"""),"Daniel Webster Public School")</f>
        <v>Daniel Webster Public School</v>
      </c>
      <c r="G249" s="5">
        <f ca="1">IFERROR(__xludf.DUMMYFUNCTION("""COMPUTED_VALUE"""),0)</f>
        <v>0</v>
      </c>
      <c r="H249" s="5">
        <f ca="1">IFERROR(__xludf.DUMMYFUNCTION("""COMPUTED_VALUE"""),5)</f>
        <v>5</v>
      </c>
      <c r="I249" s="5">
        <f ca="1">IFERROR(__xludf.DUMMYFUNCTION("""COMPUTED_VALUE"""),5)</f>
        <v>5</v>
      </c>
      <c r="J249" s="5">
        <f ca="1">IFERROR(__xludf.DUMMYFUNCTION("""COMPUTED_VALUE"""),0)</f>
        <v>0</v>
      </c>
      <c r="K249" s="5" t="str">
        <f ca="1">IFERROR(__xludf.DUMMYFUNCTION("""COMPUTED_VALUE"""),"https://abc7chicago.com/chicago-shooting-crime-16-year-old-girl-police-department/11905518/ https://chicago.suntimes.com/crime/2022/5/29/23146188/girl-16-among-5-shot-and-seriously-wounded-after-fight-in-lawndale")</f>
        <v>https://abc7chicago.com/chicago-shooting-crime-16-year-old-girl-police-department/11905518/ https://chicago.suntimes.com/crime/2022/5/29/23146188/girl-16-among-5-shot-and-seriously-wounded-after-fight-in-lawndale</v>
      </c>
      <c r="L249" s="5">
        <f ca="1">IFERROR(__xludf.DUMMYFUNCTION("""COMPUTED_VALUE"""),5)</f>
        <v>5</v>
      </c>
      <c r="M249" s="5" t="str">
        <f ca="1">IFERROR(__xludf.DUMMYFUNCTION("""COMPUTED_VALUE"""),"Local")</f>
        <v>Local</v>
      </c>
      <c r="N249" s="5">
        <f ca="1">IFERROR(__xludf.DUMMYFUNCTION("""COMPUTED_VALUE"""),4)</f>
        <v>4</v>
      </c>
      <c r="O249" s="5" t="str">
        <f ca="1">IFERROR(__xludf.DUMMYFUNCTION("""COMPUTED_VALUE"""),"Spring")</f>
        <v>Spring</v>
      </c>
      <c r="P249" s="5" t="str">
        <f ca="1">IFERROR(__xludf.DUMMYFUNCTION("""COMPUTED_VALUE"""),"Chicago")</f>
        <v>Chicago</v>
      </c>
      <c r="Q249" s="5" t="str">
        <f ca="1">IFERROR(__xludf.DUMMYFUNCTION("""COMPUTED_VALUE"""),"IL")</f>
        <v>IL</v>
      </c>
      <c r="R249" s="5" t="str">
        <f ca="1">IFERROR(__xludf.DUMMYFUNCTION("""COMPUTED_VALUE"""),"Elementary")</f>
        <v>Elementary</v>
      </c>
      <c r="S249" s="5" t="str">
        <f ca="1">IFERROR(__xludf.DUMMYFUNCTION("""COMPUTED_VALUE"""),"Front of School")</f>
        <v>Front of School</v>
      </c>
      <c r="T249" s="5" t="str">
        <f ca="1">IFERROR(__xludf.DUMMYFUNCTION("""COMPUTED_VALUE"""),"Outside on School Property")</f>
        <v>Outside on School Property</v>
      </c>
      <c r="U249" s="5" t="str">
        <f ca="1">IFERROR(__xludf.DUMMYFUNCTION("""COMPUTED_VALUE"""),"No")</f>
        <v>No</v>
      </c>
      <c r="V249" s="5" t="str">
        <f ca="1">IFERROR(__xludf.DUMMYFUNCTION("""COMPUTED_VALUE"""),"Night")</f>
        <v>Night</v>
      </c>
      <c r="W249" s="10">
        <f ca="1">IFERROR(__xludf.DUMMYFUNCTION("""COMPUTED_VALUE"""),0.0625)</f>
        <v>6.25E-2</v>
      </c>
      <c r="X249" s="5">
        <f ca="1">IFERROR(__xludf.DUMMYFUNCTION("""COMPUTED_VALUE"""),1)</f>
        <v>1</v>
      </c>
      <c r="Y249" s="5" t="str">
        <f ca="1">IFERROR(__xludf.DUMMYFUNCTION("""COMPUTED_VALUE"""),"5 wounded when 97 shots fired in front of school.")</f>
        <v>5 wounded when 97 shots fired in front of school.</v>
      </c>
      <c r="Z249" s="5" t="str">
        <f ca="1">IFERROR(__xludf.DUMMYFUNCTION("""COMPUTED_VALUE"""),"5 people were wounded when 97 shots were fired by 3 different shoots during an event for remembering a teen killed. Victims were standing near the front doors of the school when a fight escalated into a shooting. School was closed and no students or staff"&amp;" were present.")</f>
        <v>5 people were wounded when 97 shots were fired by 3 different shoots during an event for remembering a teen killed. Victims were standing near the front doors of the school when a fight escalated into a shooting. School was closed and no students or staff were present.</v>
      </c>
      <c r="AA249" s="5" t="str">
        <f ca="1">IFERROR(__xludf.DUMMYFUNCTION("""COMPUTED_VALUE"""),"Escalation of Dispute")</f>
        <v>Escalation of Dispute</v>
      </c>
      <c r="AB249" s="5" t="str">
        <f ca="1">IFERROR(__xludf.DUMMYFUNCTION("""COMPUTED_VALUE"""),"Both")</f>
        <v>Both</v>
      </c>
      <c r="AC249" s="5" t="str">
        <f ca="1">IFERROR(__xludf.DUMMYFUNCTION("""COMPUTED_VALUE"""),"Yes")</f>
        <v>Yes</v>
      </c>
      <c r="AD249" s="5" t="str">
        <f ca="1">IFERROR(__xludf.DUMMYFUNCTION("""COMPUTED_VALUE"""),"No")</f>
        <v>No</v>
      </c>
      <c r="AE249" s="5" t="str">
        <f ca="1">IFERROR(__xludf.DUMMYFUNCTION("""COMPUTED_VALUE"""),"No")</f>
        <v>No</v>
      </c>
      <c r="AF249" s="5" t="str">
        <f ca="1">IFERROR(__xludf.DUMMYFUNCTION("""COMPUTED_VALUE"""),"No")</f>
        <v>No</v>
      </c>
      <c r="AG249" s="5" t="str">
        <f ca="1">IFERROR(__xludf.DUMMYFUNCTION("""COMPUTED_VALUE"""),"No")</f>
        <v>No</v>
      </c>
      <c r="AH249" s="5" t="str">
        <f ca="1">IFERROR(__xludf.DUMMYFUNCTION("""COMPUTED_VALUE"""),"No")</f>
        <v>No</v>
      </c>
      <c r="AI249" s="5"/>
      <c r="AJ249" s="5" t="str">
        <f ca="1">IFERROR(__xludf.DUMMYFUNCTION("""COMPUTED_VALUE"""),"No")</f>
        <v>No</v>
      </c>
    </row>
    <row r="250" spans="1:36" ht="13">
      <c r="A250" s="5" t="str">
        <f ca="1">IFERROR(__xludf.DUMMYFUNCTION("""COMPUTED_VALUE"""),"20220526TXDUA")</f>
        <v>20220526TXDUA</v>
      </c>
      <c r="B250" s="5">
        <f ca="1">IFERROR(__xludf.DUMMYFUNCTION("""COMPUTED_VALUE"""),5)</f>
        <v>5</v>
      </c>
      <c r="C250" s="5">
        <f ca="1">IFERROR(__xludf.DUMMYFUNCTION("""COMPUTED_VALUE"""),26)</f>
        <v>26</v>
      </c>
      <c r="D250" s="5">
        <f ca="1">IFERROR(__xludf.DUMMYFUNCTION("""COMPUTED_VALUE"""),2022)</f>
        <v>2022</v>
      </c>
      <c r="E250" s="8">
        <f ca="1">IFERROR(__xludf.DUMMYFUNCTION("""COMPUTED_VALUE"""),44707)</f>
        <v>44707</v>
      </c>
      <c r="F250" s="5" t="str">
        <f ca="1">IFERROR(__xludf.DUMMYFUNCTION("""COMPUTED_VALUE"""),"Duff Elementary School")</f>
        <v>Duff Elementary School</v>
      </c>
      <c r="G250" s="5">
        <f ca="1">IFERROR(__xludf.DUMMYFUNCTION("""COMPUTED_VALUE"""),0)</f>
        <v>0</v>
      </c>
      <c r="H250" s="5">
        <f ca="1">IFERROR(__xludf.DUMMYFUNCTION("""COMPUTED_VALUE"""),0)</f>
        <v>0</v>
      </c>
      <c r="I250" s="5">
        <f ca="1">IFERROR(__xludf.DUMMYFUNCTION("""COMPUTED_VALUE"""),0)</f>
        <v>0</v>
      </c>
      <c r="J250" s="5">
        <f ca="1">IFERROR(__xludf.DUMMYFUNCTION("""COMPUTED_VALUE"""),0)</f>
        <v>0</v>
      </c>
      <c r="K250" s="5" t="str">
        <f ca="1">IFERROR(__xludf.DUMMYFUNCTION("""COMPUTED_VALUE"""),"https://www.fox8live.com/2022/05/27/man-shoots-himself-after-taking-gun-texas-elementary-school-campus-police-say/ https://www.nbcdfw.com/news/local/man-charged-after-carrying-gun-onto-arlington-elementary-campus-accidentally-shooting-self/2978774/")</f>
        <v>https://www.fox8live.com/2022/05/27/man-shoots-himself-after-taking-gun-texas-elementary-school-campus-police-say/ https://www.nbcdfw.com/news/local/man-charged-after-carrying-gun-onto-arlington-elementary-campus-accidentally-shooting-self/2978774/</v>
      </c>
      <c r="L250" s="5">
        <f ca="1">IFERROR(__xludf.DUMMYFUNCTION("""COMPUTED_VALUE"""),5)</f>
        <v>5</v>
      </c>
      <c r="M250" s="5" t="str">
        <f ca="1">IFERROR(__xludf.DUMMYFUNCTION("""COMPUTED_VALUE"""),"Local")</f>
        <v>Local</v>
      </c>
      <c r="N250" s="5">
        <f ca="1">IFERROR(__xludf.DUMMYFUNCTION("""COMPUTED_VALUE"""),4)</f>
        <v>4</v>
      </c>
      <c r="O250" s="5" t="str">
        <f ca="1">IFERROR(__xludf.DUMMYFUNCTION("""COMPUTED_VALUE"""),"Spring")</f>
        <v>Spring</v>
      </c>
      <c r="P250" s="5" t="str">
        <f ca="1">IFERROR(__xludf.DUMMYFUNCTION("""COMPUTED_VALUE"""),"Arlington")</f>
        <v>Arlington</v>
      </c>
      <c r="Q250" s="5" t="str">
        <f ca="1">IFERROR(__xludf.DUMMYFUNCTION("""COMPUTED_VALUE"""),"TX")</f>
        <v>TX</v>
      </c>
      <c r="R250" s="5" t="str">
        <f ca="1">IFERROR(__xludf.DUMMYFUNCTION("""COMPUTED_VALUE"""),"Elementary")</f>
        <v>Elementary</v>
      </c>
      <c r="S250" s="5" t="str">
        <f ca="1">IFERROR(__xludf.DUMMYFUNCTION("""COMPUTED_VALUE"""),"Front of School")</f>
        <v>Front of School</v>
      </c>
      <c r="T250" s="5" t="str">
        <f ca="1">IFERROR(__xludf.DUMMYFUNCTION("""COMPUTED_VALUE"""),"Outside on School Property")</f>
        <v>Outside on School Property</v>
      </c>
      <c r="U250" s="5" t="str">
        <f ca="1">IFERROR(__xludf.DUMMYFUNCTION("""COMPUTED_VALUE"""),"Yes")</f>
        <v>Yes</v>
      </c>
      <c r="V250" s="5" t="str">
        <f ca="1">IFERROR(__xludf.DUMMYFUNCTION("""COMPUTED_VALUE"""),"Morning Classes")</f>
        <v>Morning Classes</v>
      </c>
      <c r="W250" s="10">
        <f ca="1">IFERROR(__xludf.DUMMYFUNCTION("""COMPUTED_VALUE"""),0.489583333333333)</f>
        <v>0.48958333333333298</v>
      </c>
      <c r="X250" s="5">
        <f ca="1">IFERROR(__xludf.DUMMYFUNCTION("""COMPUTED_VALUE"""),1)</f>
        <v>1</v>
      </c>
      <c r="Y250" s="5" t="str">
        <f ca="1">IFERROR(__xludf.DUMMYFUNCTION("""COMPUTED_VALUE"""),"Man shot himself in the leg while walking toward the school office")</f>
        <v>Man shot himself in the leg while walking toward the school office</v>
      </c>
      <c r="Z250" s="5" t="str">
        <f ca="1">IFERROR(__xludf.DUMMYFUNCTION("""COMPUTED_VALUE"""),"A 55-year-old man was walking into the school to pick up a child. He adjusted a handgun that he was carrying in his waistband and shot himself in the leg. School went on lockdown. He was transported to the hospital and charged with carrying a gun in a pro"&amp;"hibited place.")</f>
        <v>A 55-year-old man was walking into the school to pick up a child. He adjusted a handgun that he was carrying in his waistband and shot himself in the leg. School went on lockdown. He was transported to the hospital and charged with carrying a gun in a prohibited place.</v>
      </c>
      <c r="AA250" s="5" t="str">
        <f ca="1">IFERROR(__xludf.DUMMYFUNCTION("""COMPUTED_VALUE"""),"Accidental")</f>
        <v>Accidental</v>
      </c>
      <c r="AB250" s="5" t="str">
        <f ca="1">IFERROR(__xludf.DUMMYFUNCTION("""COMPUTED_VALUE"""),"Neither")</f>
        <v>Neither</v>
      </c>
      <c r="AC250" s="5" t="str">
        <f ca="1">IFERROR(__xludf.DUMMYFUNCTION("""COMPUTED_VALUE"""),"No")</f>
        <v>No</v>
      </c>
      <c r="AD250" s="5" t="str">
        <f ca="1">IFERROR(__xludf.DUMMYFUNCTION("""COMPUTED_VALUE"""),"No")</f>
        <v>No</v>
      </c>
      <c r="AE250" s="5" t="str">
        <f ca="1">IFERROR(__xludf.DUMMYFUNCTION("""COMPUTED_VALUE"""),"No")</f>
        <v>No</v>
      </c>
      <c r="AF250" s="5" t="str">
        <f ca="1">IFERROR(__xludf.DUMMYFUNCTION("""COMPUTED_VALUE"""),"No")</f>
        <v>No</v>
      </c>
      <c r="AG250" s="5" t="str">
        <f ca="1">IFERROR(__xludf.DUMMYFUNCTION("""COMPUTED_VALUE"""),"No")</f>
        <v>No</v>
      </c>
      <c r="AH250" s="5" t="str">
        <f ca="1">IFERROR(__xludf.DUMMYFUNCTION("""COMPUTED_VALUE"""),"No")</f>
        <v>No</v>
      </c>
      <c r="AI250" s="5" t="str">
        <f ca="1">IFERROR(__xludf.DUMMYFUNCTION("""COMPUTED_VALUE"""),"No")</f>
        <v>No</v>
      </c>
      <c r="AJ250" s="5" t="str">
        <f ca="1">IFERROR(__xludf.DUMMYFUNCTION("""COMPUTED_VALUE"""),"No")</f>
        <v>No</v>
      </c>
    </row>
    <row r="251" spans="1:36" ht="13">
      <c r="A251" s="5" t="str">
        <f ca="1">IFERROR(__xludf.DUMMYFUNCTION("""COMPUTED_VALUE"""),"20220526SCMEG")</f>
        <v>20220526SCMEG</v>
      </c>
      <c r="B251" s="5">
        <f ca="1">IFERROR(__xludf.DUMMYFUNCTION("""COMPUTED_VALUE"""),5)</f>
        <v>5</v>
      </c>
      <c r="C251" s="5">
        <f ca="1">IFERROR(__xludf.DUMMYFUNCTION("""COMPUTED_VALUE"""),26)</f>
        <v>26</v>
      </c>
      <c r="D251" s="5">
        <f ca="1">IFERROR(__xludf.DUMMYFUNCTION("""COMPUTED_VALUE"""),2022)</f>
        <v>2022</v>
      </c>
      <c r="E251" s="8">
        <f ca="1">IFERROR(__xludf.DUMMYFUNCTION("""COMPUTED_VALUE"""),44707)</f>
        <v>44707</v>
      </c>
      <c r="F251" s="5" t="str">
        <f ca="1">IFERROR(__xludf.DUMMYFUNCTION("""COMPUTED_VALUE"""),"Mevers School of Excellence")</f>
        <v>Mevers School of Excellence</v>
      </c>
      <c r="G251" s="5">
        <f ca="1">IFERROR(__xludf.DUMMYFUNCTION("""COMPUTED_VALUE"""),1)</f>
        <v>1</v>
      </c>
      <c r="H251" s="5">
        <f ca="1">IFERROR(__xludf.DUMMYFUNCTION("""COMPUTED_VALUE"""),0)</f>
        <v>0</v>
      </c>
      <c r="I251" s="5">
        <f ca="1">IFERROR(__xludf.DUMMYFUNCTION("""COMPUTED_VALUE"""),1)</f>
        <v>1</v>
      </c>
      <c r="J251" s="5">
        <f ca="1">IFERROR(__xludf.DUMMYFUNCTION("""COMPUTED_VALUE"""),0)</f>
        <v>0</v>
      </c>
      <c r="K251" s="9" t="str">
        <f ca="1">IFERROR(__xludf.DUMMYFUNCTION("""COMPUTED_VALUE"""),"https://www.postandcourier.com/news/berkeley-county-detention-officers-slaying-in-school-parking-lot-remains-a-mystery/article_14da3fac-0932-11ed-a50f-bb8eb3384a30.html
https://abcnews4.com/news/local/coroner-releases-identity-goose-creek-school-parking-l"&amp;"ot-mevers-excellence-berkeley-county-south-carolina-wciv https://www.postandcourier.com/news/man-found-shot-to-death-in-parking-lot-of-goose-creek-school/article_07986cf0-dc3d-11ec-8871-b385da42bc43.html https://www.wistv.com/2022/05/25/goose-creek-public"&amp;"-charter-school-announces-emergency-e-learning-day-after-body-discovered/")</f>
        <v>https://www.postandcourier.com/news/berkeley-county-detention-officers-slaying-in-school-parking-lot-remains-a-mystery/article_14da3fac-0932-11ed-a50f-bb8eb3384a30.html
https://abcnews4.com/news/local/coroner-releases-identity-goose-creek-school-parking-lot-mevers-excellence-berkeley-county-south-carolina-wciv https://www.postandcourier.com/news/man-found-shot-to-death-in-parking-lot-of-goose-creek-school/article_07986cf0-dc3d-11ec-8871-b385da42bc43.html https://www.wistv.com/2022/05/25/goose-creek-public-charter-school-announces-emergency-e-learning-day-after-body-discovered/</v>
      </c>
      <c r="L251" s="5">
        <f ca="1">IFERROR(__xludf.DUMMYFUNCTION("""COMPUTED_VALUE"""),5)</f>
        <v>5</v>
      </c>
      <c r="M251" s="5" t="str">
        <f ca="1">IFERROR(__xludf.DUMMYFUNCTION("""COMPUTED_VALUE"""),"Local")</f>
        <v>Local</v>
      </c>
      <c r="N251" s="5">
        <f ca="1">IFERROR(__xludf.DUMMYFUNCTION("""COMPUTED_VALUE"""),4)</f>
        <v>4</v>
      </c>
      <c r="O251" s="5" t="str">
        <f ca="1">IFERROR(__xludf.DUMMYFUNCTION("""COMPUTED_VALUE"""),"Spring")</f>
        <v>Spring</v>
      </c>
      <c r="P251" s="5" t="str">
        <f ca="1">IFERROR(__xludf.DUMMYFUNCTION("""COMPUTED_VALUE"""),"Goose Creek")</f>
        <v>Goose Creek</v>
      </c>
      <c r="Q251" s="5" t="str">
        <f ca="1">IFERROR(__xludf.DUMMYFUNCTION("""COMPUTED_VALUE"""),"SC")</f>
        <v>SC</v>
      </c>
      <c r="R251" s="5" t="str">
        <f ca="1">IFERROR(__xludf.DUMMYFUNCTION("""COMPUTED_VALUE"""),"K-8")</f>
        <v>K-8</v>
      </c>
      <c r="S251" s="5" t="str">
        <f ca="1">IFERROR(__xludf.DUMMYFUNCTION("""COMPUTED_VALUE"""),"Parking Lot")</f>
        <v>Parking Lot</v>
      </c>
      <c r="T251" s="5" t="str">
        <f ca="1">IFERROR(__xludf.DUMMYFUNCTION("""COMPUTED_VALUE"""),"Outside on School Property")</f>
        <v>Outside on School Property</v>
      </c>
      <c r="U251" s="5" t="str">
        <f ca="1">IFERROR(__xludf.DUMMYFUNCTION("""COMPUTED_VALUE"""),"No")</f>
        <v>No</v>
      </c>
      <c r="V251" s="5" t="str">
        <f ca="1">IFERROR(__xludf.DUMMYFUNCTION("""COMPUTED_VALUE"""),"Night")</f>
        <v>Night</v>
      </c>
      <c r="W251" s="10">
        <f ca="1">IFERROR(__xludf.DUMMYFUNCTION("""COMPUTED_VALUE"""),0.00347222222222222)</f>
        <v>3.4722222222222199E-3</v>
      </c>
      <c r="X251" s="5">
        <f ca="1">IFERROR(__xludf.DUMMYFUNCTION("""COMPUTED_VALUE"""),1)</f>
        <v>1</v>
      </c>
      <c r="Y251" s="5" t="str">
        <f ca="1">IFERROR(__xludf.DUMMYFUNCTION("""COMPUTED_VALUE"""),"Man fatally shot in parking lot, found by staff member")</f>
        <v>Man fatally shot in parking lot, found by staff member</v>
      </c>
      <c r="Z251" s="5" t="str">
        <f ca="1">IFERROR(__xludf.DUMMYFUNCTION("""COMPUTED_VALUE"""),"31-year-old male (off duty sheriff's deputy) was found fatally shot in the parking lot by a staff member at 6am. School was moved to remote learning. Multiple shots fired. Ruled homicide.")</f>
        <v>31-year-old male (off duty sheriff's deputy) was found fatally shot in the parking lot by a staff member at 6am. School was moved to remote learning. Multiple shots fired. Ruled homicide.</v>
      </c>
      <c r="AA251" s="5"/>
      <c r="AB251" s="5" t="str">
        <f ca="1">IFERROR(__xludf.DUMMYFUNCTION("""COMPUTED_VALUE"""),"Victims Targeted")</f>
        <v>Victims Targeted</v>
      </c>
      <c r="AC251" s="5"/>
      <c r="AD251" s="5" t="str">
        <f ca="1">IFERROR(__xludf.DUMMYFUNCTION("""COMPUTED_VALUE"""),"No")</f>
        <v>No</v>
      </c>
      <c r="AE251" s="5" t="str">
        <f ca="1">IFERROR(__xludf.DUMMYFUNCTION("""COMPUTED_VALUE"""),"No")</f>
        <v>No</v>
      </c>
      <c r="AF251" s="5" t="str">
        <f ca="1">IFERROR(__xludf.DUMMYFUNCTION("""COMPUTED_VALUE"""),"No")</f>
        <v>No</v>
      </c>
      <c r="AG251" s="5" t="str">
        <f ca="1">IFERROR(__xludf.DUMMYFUNCTION("""COMPUTED_VALUE"""),"No")</f>
        <v>No</v>
      </c>
      <c r="AH251" s="5"/>
      <c r="AI251" s="5"/>
      <c r="AJ251" s="5" t="str">
        <f ca="1">IFERROR(__xludf.DUMMYFUNCTION("""COMPUTED_VALUE"""),"No")</f>
        <v>No</v>
      </c>
    </row>
    <row r="252" spans="1:36" ht="13">
      <c r="A252" s="5" t="str">
        <f ca="1">IFERROR(__xludf.DUMMYFUNCTION("""COMPUTED_VALUE"""),"20220525ILSTC")</f>
        <v>20220525ILSTC</v>
      </c>
      <c r="B252" s="5">
        <f ca="1">IFERROR(__xludf.DUMMYFUNCTION("""COMPUTED_VALUE"""),5)</f>
        <v>5</v>
      </c>
      <c r="C252" s="5">
        <f ca="1">IFERROR(__xludf.DUMMYFUNCTION("""COMPUTED_VALUE"""),25)</f>
        <v>25</v>
      </c>
      <c r="D252" s="5">
        <f ca="1">IFERROR(__xludf.DUMMYFUNCTION("""COMPUTED_VALUE"""),2022)</f>
        <v>2022</v>
      </c>
      <c r="E252" s="8">
        <f ca="1">IFERROR(__xludf.DUMMYFUNCTION("""COMPUTED_VALUE"""),44706)</f>
        <v>44706</v>
      </c>
      <c r="F252" s="5" t="str">
        <f ca="1">IFERROR(__xludf.DUMMYFUNCTION("""COMPUTED_VALUE"""),"St. Margaret of Scotland School")</f>
        <v>St. Margaret of Scotland School</v>
      </c>
      <c r="G252" s="5">
        <f ca="1">IFERROR(__xludf.DUMMYFUNCTION("""COMPUTED_VALUE"""),0)</f>
        <v>0</v>
      </c>
      <c r="H252" s="5">
        <f ca="1">IFERROR(__xludf.DUMMYFUNCTION("""COMPUTED_VALUE"""),0)</f>
        <v>0</v>
      </c>
      <c r="I252" s="5">
        <f ca="1">IFERROR(__xludf.DUMMYFUNCTION("""COMPUTED_VALUE"""),0)</f>
        <v>0</v>
      </c>
      <c r="J252" s="5">
        <f ca="1">IFERROR(__xludf.DUMMYFUNCTION("""COMPUTED_VALUE"""),0)</f>
        <v>0</v>
      </c>
      <c r="K252" s="9" t="str">
        <f ca="1">IFERROR(__xludf.DUMMYFUNCTION("""COMPUTED_VALUE"""),"https://www.chicagocatholic.com/chicagoland/-/article/2022/06/01/five-windows-at-st-margaret-of-scotland-school-shot-out")</f>
        <v>https://www.chicagocatholic.com/chicagoland/-/article/2022/06/01/five-windows-at-st-margaret-of-scotland-school-shot-out</v>
      </c>
      <c r="L252" s="5">
        <f ca="1">IFERROR(__xludf.DUMMYFUNCTION("""COMPUTED_VALUE"""),1)</f>
        <v>1</v>
      </c>
      <c r="M252" s="5" t="str">
        <f ca="1">IFERROR(__xludf.DUMMYFUNCTION("""COMPUTED_VALUE"""),"Local")</f>
        <v>Local</v>
      </c>
      <c r="N252" s="5">
        <f ca="1">IFERROR(__xludf.DUMMYFUNCTION("""COMPUTED_VALUE"""),4)</f>
        <v>4</v>
      </c>
      <c r="O252" s="5" t="str">
        <f ca="1">IFERROR(__xludf.DUMMYFUNCTION("""COMPUTED_VALUE"""),"Spring")</f>
        <v>Spring</v>
      </c>
      <c r="P252" s="5" t="str">
        <f ca="1">IFERROR(__xludf.DUMMYFUNCTION("""COMPUTED_VALUE"""),"Chicago")</f>
        <v>Chicago</v>
      </c>
      <c r="Q252" s="5" t="str">
        <f ca="1">IFERROR(__xludf.DUMMYFUNCTION("""COMPUTED_VALUE"""),"IL")</f>
        <v>IL</v>
      </c>
      <c r="R252" s="5" t="str">
        <f ca="1">IFERROR(__xludf.DUMMYFUNCTION("""COMPUTED_VALUE"""),"K-12")</f>
        <v>K-12</v>
      </c>
      <c r="S252" s="5" t="str">
        <f ca="1">IFERROR(__xludf.DUMMYFUNCTION("""COMPUTED_VALUE"""),"Outside on School Property")</f>
        <v>Outside on School Property</v>
      </c>
      <c r="T252" s="5" t="str">
        <f ca="1">IFERROR(__xludf.DUMMYFUNCTION("""COMPUTED_VALUE"""),"Outside on School Property")</f>
        <v>Outside on School Property</v>
      </c>
      <c r="U252" s="5" t="str">
        <f ca="1">IFERROR(__xludf.DUMMYFUNCTION("""COMPUTED_VALUE"""),"No")</f>
        <v>No</v>
      </c>
      <c r="V252" s="5" t="str">
        <f ca="1">IFERROR(__xludf.DUMMYFUNCTION("""COMPUTED_VALUE"""),"Night")</f>
        <v>Night</v>
      </c>
      <c r="W252" s="5"/>
      <c r="X252" s="5">
        <f ca="1">IFERROR(__xludf.DUMMYFUNCTION("""COMPUTED_VALUE"""),1)</f>
        <v>1</v>
      </c>
      <c r="Y252" s="5" t="str">
        <f ca="1">IFERROR(__xludf.DUMMYFUNCTION("""COMPUTED_VALUE"""),"5 windows shot out")</f>
        <v>5 windows shot out</v>
      </c>
      <c r="Z252" s="5" t="str">
        <f ca="1">IFERROR(__xludf.DUMMYFUNCTION("""COMPUTED_VALUE"""),"Five large windows that face an alley were shattered, with glass scattered in four classrooms and bullet holes marking several walls. The rooms are on multiple levels and usually house fourth graders, middle school students and some of the students in the"&amp;" after-school program. School was closed when the shooting occurred.")</f>
        <v>Five large windows that face an alley were shattered, with glass scattered in four classrooms and bullet holes marking several walls. The rooms are on multiple levels and usually house fourth graders, middle school students and some of the students in the after-school program. School was closed when the shooting occurred.</v>
      </c>
      <c r="AA252" s="5" t="str">
        <f ca="1">IFERROR(__xludf.DUMMYFUNCTION("""COMPUTED_VALUE"""),"Intentional Property Damage")</f>
        <v>Intentional Property Damage</v>
      </c>
      <c r="AB252" s="5" t="str">
        <f ca="1">IFERROR(__xludf.DUMMYFUNCTION("""COMPUTED_VALUE"""),"Neither")</f>
        <v>Neither</v>
      </c>
      <c r="AC252" s="5" t="str">
        <f ca="1">IFERROR(__xludf.DUMMYFUNCTION("""COMPUTED_VALUE"""),"No")</f>
        <v>No</v>
      </c>
      <c r="AD252" s="5" t="str">
        <f ca="1">IFERROR(__xludf.DUMMYFUNCTION("""COMPUTED_VALUE"""),"No")</f>
        <v>No</v>
      </c>
      <c r="AE252" s="5" t="str">
        <f ca="1">IFERROR(__xludf.DUMMYFUNCTION("""COMPUTED_VALUE"""),"No")</f>
        <v>No</v>
      </c>
      <c r="AF252" s="5" t="str">
        <f ca="1">IFERROR(__xludf.DUMMYFUNCTION("""COMPUTED_VALUE"""),"No")</f>
        <v>No</v>
      </c>
      <c r="AG252" s="5" t="str">
        <f ca="1">IFERROR(__xludf.DUMMYFUNCTION("""COMPUTED_VALUE"""),"No")</f>
        <v>No</v>
      </c>
      <c r="AH252" s="5" t="str">
        <f ca="1">IFERROR(__xludf.DUMMYFUNCTION("""COMPUTED_VALUE"""),"No")</f>
        <v>No</v>
      </c>
      <c r="AI252" s="5" t="str">
        <f ca="1">IFERROR(__xludf.DUMMYFUNCTION("""COMPUTED_VALUE"""),"No")</f>
        <v>No</v>
      </c>
      <c r="AJ252" s="5" t="str">
        <f ca="1">IFERROR(__xludf.DUMMYFUNCTION("""COMPUTED_VALUE"""),"No")</f>
        <v>No</v>
      </c>
    </row>
    <row r="253" spans="1:36" ht="13">
      <c r="A253" s="5" t="str">
        <f ca="1">IFERROR(__xludf.DUMMYFUNCTION("""COMPUTED_VALUE"""),"20220524DCPOW")</f>
        <v>20220524DCPOW</v>
      </c>
      <c r="B253" s="5">
        <f ca="1">IFERROR(__xludf.DUMMYFUNCTION("""COMPUTED_VALUE"""),5)</f>
        <v>5</v>
      </c>
      <c r="C253" s="5">
        <f ca="1">IFERROR(__xludf.DUMMYFUNCTION("""COMPUTED_VALUE"""),24)</f>
        <v>24</v>
      </c>
      <c r="D253" s="5">
        <f ca="1">IFERROR(__xludf.DUMMYFUNCTION("""COMPUTED_VALUE"""),2022)</f>
        <v>2022</v>
      </c>
      <c r="E253" s="8">
        <f ca="1">IFERROR(__xludf.DUMMYFUNCTION("""COMPUTED_VALUE"""),44705)</f>
        <v>44705</v>
      </c>
      <c r="F253" s="5" t="str">
        <f ca="1">IFERROR(__xludf.DUMMYFUNCTION("""COMPUTED_VALUE"""),"Powell Elementary School")</f>
        <v>Powell Elementary School</v>
      </c>
      <c r="G253" s="5">
        <f ca="1">IFERROR(__xludf.DUMMYFUNCTION("""COMPUTED_VALUE"""),0)</f>
        <v>0</v>
      </c>
      <c r="H253" s="5">
        <f ca="1">IFERROR(__xludf.DUMMYFUNCTION("""COMPUTED_VALUE"""),1)</f>
        <v>1</v>
      </c>
      <c r="I253" s="5">
        <f ca="1">IFERROR(__xludf.DUMMYFUNCTION("""COMPUTED_VALUE"""),1)</f>
        <v>1</v>
      </c>
      <c r="J253" s="5">
        <f ca="1">IFERROR(__xludf.DUMMYFUNCTION("""COMPUTED_VALUE"""),0)</f>
        <v>0</v>
      </c>
      <c r="K253" s="5" t="str">
        <f ca="1">IFERROR(__xludf.DUMMYFUNCTION("""COMPUTED_VALUE"""),"https://www.washingtonpost.com/dc-md-va/2022/05/24/man-shot-roosevelt-high-dc/ https://www.nbcwashington.com/news/local/man-shot-near-dc-elementary-school/3060497/")</f>
        <v>https://www.washingtonpost.com/dc-md-va/2022/05/24/man-shot-roosevelt-high-dc/ https://www.nbcwashington.com/news/local/man-shot-near-dc-elementary-school/3060497/</v>
      </c>
      <c r="L253" s="5">
        <f ca="1">IFERROR(__xludf.DUMMYFUNCTION("""COMPUTED_VALUE"""),2)</f>
        <v>2</v>
      </c>
      <c r="M253" s="5" t="str">
        <f ca="1">IFERROR(__xludf.DUMMYFUNCTION("""COMPUTED_VALUE"""),"Local")</f>
        <v>Local</v>
      </c>
      <c r="N253" s="5">
        <f ca="1">IFERROR(__xludf.DUMMYFUNCTION("""COMPUTED_VALUE"""),3)</f>
        <v>3</v>
      </c>
      <c r="O253" s="5" t="str">
        <f ca="1">IFERROR(__xludf.DUMMYFUNCTION("""COMPUTED_VALUE"""),"Spring")</f>
        <v>Spring</v>
      </c>
      <c r="P253" s="5" t="str">
        <f ca="1">IFERROR(__xludf.DUMMYFUNCTION("""COMPUTED_VALUE"""),"Washington")</f>
        <v>Washington</v>
      </c>
      <c r="Q253" s="5" t="str">
        <f ca="1">IFERROR(__xludf.DUMMYFUNCTION("""COMPUTED_VALUE"""),"DC")</f>
        <v>DC</v>
      </c>
      <c r="R253" s="5" t="str">
        <f ca="1">IFERROR(__xludf.DUMMYFUNCTION("""COMPUTED_VALUE"""),"Elementary")</f>
        <v>Elementary</v>
      </c>
      <c r="S253" s="5" t="str">
        <f ca="1">IFERROR(__xludf.DUMMYFUNCTION("""COMPUTED_VALUE"""),"Front of School")</f>
        <v>Front of School</v>
      </c>
      <c r="T253" s="5" t="str">
        <f ca="1">IFERROR(__xludf.DUMMYFUNCTION("""COMPUTED_VALUE"""),"Outside on School Property")</f>
        <v>Outside on School Property</v>
      </c>
      <c r="U253" s="5" t="str">
        <f ca="1">IFERROR(__xludf.DUMMYFUNCTION("""COMPUTED_VALUE"""),"No")</f>
        <v>No</v>
      </c>
      <c r="V253" s="5" t="str">
        <f ca="1">IFERROR(__xludf.DUMMYFUNCTION("""COMPUTED_VALUE"""),"After School")</f>
        <v>After School</v>
      </c>
      <c r="W253" s="10">
        <f ca="1">IFERROR(__xludf.DUMMYFUNCTION("""COMPUTED_VALUE"""),0.677083333333333)</f>
        <v>0.67708333333333304</v>
      </c>
      <c r="X253" s="5">
        <f ca="1">IFERROR(__xludf.DUMMYFUNCTION("""COMPUTED_VALUE"""),1)</f>
        <v>1</v>
      </c>
      <c r="Y253" s="5" t="str">
        <f ca="1">IFERROR(__xludf.DUMMYFUNCTION("""COMPUTED_VALUE"""),"Teen shot in front of the school")</f>
        <v>Teen shot in front of the school</v>
      </c>
      <c r="Z253" s="5" t="str">
        <f ca="1">IFERROR(__xludf.DUMMYFUNCTION("""COMPUTED_VALUE"""),"A 19-year-old male was shot in front of the school. Shooting occurring during a dispute between two groups. Shooter fled.")</f>
        <v>A 19-year-old male was shot in front of the school. Shooting occurring during a dispute between two groups. Shooter fled.</v>
      </c>
      <c r="AA253" s="5" t="str">
        <f ca="1">IFERROR(__xludf.DUMMYFUNCTION("""COMPUTED_VALUE"""),"Escalation of Dispute")</f>
        <v>Escalation of Dispute</v>
      </c>
      <c r="AB253" s="5" t="str">
        <f ca="1">IFERROR(__xludf.DUMMYFUNCTION("""COMPUTED_VALUE"""),"Victims Targeted")</f>
        <v>Victims Targeted</v>
      </c>
      <c r="AC253" s="5" t="str">
        <f ca="1">IFERROR(__xludf.DUMMYFUNCTION("""COMPUTED_VALUE"""),"No")</f>
        <v>No</v>
      </c>
      <c r="AD253" s="5" t="str">
        <f ca="1">IFERROR(__xludf.DUMMYFUNCTION("""COMPUTED_VALUE"""),"No")</f>
        <v>No</v>
      </c>
      <c r="AE253" s="5" t="str">
        <f ca="1">IFERROR(__xludf.DUMMYFUNCTION("""COMPUTED_VALUE"""),"No")</f>
        <v>No</v>
      </c>
      <c r="AF253" s="5" t="str">
        <f ca="1">IFERROR(__xludf.DUMMYFUNCTION("""COMPUTED_VALUE"""),"No")</f>
        <v>No</v>
      </c>
      <c r="AG253" s="5" t="str">
        <f ca="1">IFERROR(__xludf.DUMMYFUNCTION("""COMPUTED_VALUE"""),"No")</f>
        <v>No</v>
      </c>
      <c r="AH253" s="5" t="str">
        <f ca="1">IFERROR(__xludf.DUMMYFUNCTION("""COMPUTED_VALUE"""),"No")</f>
        <v>No</v>
      </c>
      <c r="AI253" s="5"/>
      <c r="AJ253" s="5" t="str">
        <f ca="1">IFERROR(__xludf.DUMMYFUNCTION("""COMPUTED_VALUE"""),"No")</f>
        <v>No</v>
      </c>
    </row>
    <row r="254" spans="1:36" ht="13">
      <c r="A254" s="5" t="str">
        <f ca="1">IFERROR(__xludf.DUMMYFUNCTION("""COMPUTED_VALUE"""),"20220524WIRIM")</f>
        <v>20220524WIRIM</v>
      </c>
      <c r="B254" s="5">
        <f ca="1">IFERROR(__xludf.DUMMYFUNCTION("""COMPUTED_VALUE"""),5)</f>
        <v>5</v>
      </c>
      <c r="C254" s="5">
        <f ca="1">IFERROR(__xludf.DUMMYFUNCTION("""COMPUTED_VALUE"""),24)</f>
        <v>24</v>
      </c>
      <c r="D254" s="5">
        <f ca="1">IFERROR(__xludf.DUMMYFUNCTION("""COMPUTED_VALUE"""),2022)</f>
        <v>2022</v>
      </c>
      <c r="E254" s="8">
        <f ca="1">IFERROR(__xludf.DUMMYFUNCTION("""COMPUTED_VALUE"""),44705)</f>
        <v>44705</v>
      </c>
      <c r="F254" s="5" t="str">
        <f ca="1">IFERROR(__xludf.DUMMYFUNCTION("""COMPUTED_VALUE"""),"Riverside University High School")</f>
        <v>Riverside University High School</v>
      </c>
      <c r="G254" s="5">
        <f ca="1">IFERROR(__xludf.DUMMYFUNCTION("""COMPUTED_VALUE"""),0)</f>
        <v>0</v>
      </c>
      <c r="H254" s="5">
        <f ca="1">IFERROR(__xludf.DUMMYFUNCTION("""COMPUTED_VALUE"""),0)</f>
        <v>0</v>
      </c>
      <c r="I254" s="5">
        <f ca="1">IFERROR(__xludf.DUMMYFUNCTION("""COMPUTED_VALUE"""),0)</f>
        <v>0</v>
      </c>
      <c r="J254" s="5">
        <f ca="1">IFERROR(__xludf.DUMMYFUNCTION("""COMPUTED_VALUE"""),0)</f>
        <v>0</v>
      </c>
      <c r="K254" s="9" t="str">
        <f ca="1">IFERROR(__xludf.DUMMYFUNCTION("""COMPUTED_VALUE"""),"https://www.tmj4.com/news/local-news/mpd-police-respond-to-riverside-high-school-twice-for-reports-of-shots-fired-fight")</f>
        <v>https://www.tmj4.com/news/local-news/mpd-police-respond-to-riverside-high-school-twice-for-reports-of-shots-fired-fight</v>
      </c>
      <c r="L254" s="5">
        <f ca="1">IFERROR(__xludf.DUMMYFUNCTION("""COMPUTED_VALUE"""),1)</f>
        <v>1</v>
      </c>
      <c r="M254" s="5" t="str">
        <f ca="1">IFERROR(__xludf.DUMMYFUNCTION("""COMPUTED_VALUE"""),"Local")</f>
        <v>Local</v>
      </c>
      <c r="N254" s="5">
        <f ca="1">IFERROR(__xludf.DUMMYFUNCTION("""COMPUTED_VALUE"""),3)</f>
        <v>3</v>
      </c>
      <c r="O254" s="5" t="str">
        <f ca="1">IFERROR(__xludf.DUMMYFUNCTION("""COMPUTED_VALUE"""),"Spring")</f>
        <v>Spring</v>
      </c>
      <c r="P254" s="5" t="str">
        <f ca="1">IFERROR(__xludf.DUMMYFUNCTION("""COMPUTED_VALUE"""),"Milwaukee")</f>
        <v>Milwaukee</v>
      </c>
      <c r="Q254" s="5" t="str">
        <f ca="1">IFERROR(__xludf.DUMMYFUNCTION("""COMPUTED_VALUE"""),"WI")</f>
        <v>WI</v>
      </c>
      <c r="R254" s="5" t="str">
        <f ca="1">IFERROR(__xludf.DUMMYFUNCTION("""COMPUTED_VALUE"""),"High")</f>
        <v>High</v>
      </c>
      <c r="S254" s="5" t="str">
        <f ca="1">IFERROR(__xludf.DUMMYFUNCTION("""COMPUTED_VALUE"""),"Inside School Building")</f>
        <v>Inside School Building</v>
      </c>
      <c r="T254" s="5" t="str">
        <f ca="1">IFERROR(__xludf.DUMMYFUNCTION("""COMPUTED_VALUE"""),"Inside School Building")</f>
        <v>Inside School Building</v>
      </c>
      <c r="U254" s="5" t="str">
        <f ca="1">IFERROR(__xludf.DUMMYFUNCTION("""COMPUTED_VALUE"""),"Yes")</f>
        <v>Yes</v>
      </c>
      <c r="V254" s="5" t="str">
        <f ca="1">IFERROR(__xludf.DUMMYFUNCTION("""COMPUTED_VALUE"""),"Lunch")</f>
        <v>Lunch</v>
      </c>
      <c r="W254" s="10">
        <f ca="1">IFERROR(__xludf.DUMMYFUNCTION("""COMPUTED_VALUE"""),0.520833333333333)</f>
        <v>0.52083333333333304</v>
      </c>
      <c r="X254" s="5">
        <f ca="1">IFERROR(__xludf.DUMMYFUNCTION("""COMPUTED_VALUE"""),1)</f>
        <v>1</v>
      </c>
      <c r="Y254" s="5" t="str">
        <f ca="1">IFERROR(__xludf.DUMMYFUNCTION("""COMPUTED_VALUE"""),"Shot fired during fight inside the school, shooter fled")</f>
        <v>Shot fired during fight inside the school, shooter fled</v>
      </c>
      <c r="Z254" s="5" t="str">
        <f ca="1">IFERROR(__xludf.DUMMYFUNCTION("""COMPUTED_VALUE"""),"Police responded for shots fired during a fight at 11:00am. Shooter fled and they did not recover evidence of a shooting. At 12:30, shot was fired inside the school during a fight. Shooter fled before police arrived but they could confirm a weapon was fir"&amp;"ed.")</f>
        <v>Police responded for shots fired during a fight at 11:00am. Shooter fled and they did not recover evidence of a shooting. At 12:30, shot was fired inside the school during a fight. Shooter fled before police arrived but they could confirm a weapon was fired.</v>
      </c>
      <c r="AA254" s="5" t="str">
        <f ca="1">IFERROR(__xludf.DUMMYFUNCTION("""COMPUTED_VALUE"""),"Escalation of Dispute")</f>
        <v>Escalation of Dispute</v>
      </c>
      <c r="AB254" s="5"/>
      <c r="AC254" s="5" t="str">
        <f ca="1">IFERROR(__xludf.DUMMYFUNCTION("""COMPUTED_VALUE"""),"No")</f>
        <v>No</v>
      </c>
      <c r="AD254" s="5" t="str">
        <f ca="1">IFERROR(__xludf.DUMMYFUNCTION("""COMPUTED_VALUE"""),"No")</f>
        <v>No</v>
      </c>
      <c r="AE254" s="5" t="str">
        <f ca="1">IFERROR(__xludf.DUMMYFUNCTION("""COMPUTED_VALUE"""),"No")</f>
        <v>No</v>
      </c>
      <c r="AF254" s="5" t="str">
        <f ca="1">IFERROR(__xludf.DUMMYFUNCTION("""COMPUTED_VALUE"""),"No")</f>
        <v>No</v>
      </c>
      <c r="AG254" s="5"/>
      <c r="AH254" s="5" t="str">
        <f ca="1">IFERROR(__xludf.DUMMYFUNCTION("""COMPUTED_VALUE"""),"No")</f>
        <v>No</v>
      </c>
      <c r="AI254" s="5"/>
      <c r="AJ254" s="5" t="str">
        <f ca="1">IFERROR(__xludf.DUMMYFUNCTION("""COMPUTED_VALUE"""),"No")</f>
        <v>No</v>
      </c>
    </row>
    <row r="255" spans="1:36" ht="13">
      <c r="A255" s="5" t="str">
        <f ca="1">IFERROR(__xludf.DUMMYFUNCTION("""COMPUTED_VALUE"""),"20220524TXROU")</f>
        <v>20220524TXROU</v>
      </c>
      <c r="B255" s="5">
        <f ca="1">IFERROR(__xludf.DUMMYFUNCTION("""COMPUTED_VALUE"""),5)</f>
        <v>5</v>
      </c>
      <c r="C255" s="5">
        <f ca="1">IFERROR(__xludf.DUMMYFUNCTION("""COMPUTED_VALUE"""),24)</f>
        <v>24</v>
      </c>
      <c r="D255" s="5">
        <f ca="1">IFERROR(__xludf.DUMMYFUNCTION("""COMPUTED_VALUE"""),2022)</f>
        <v>2022</v>
      </c>
      <c r="E255" s="8">
        <f ca="1">IFERROR(__xludf.DUMMYFUNCTION("""COMPUTED_VALUE"""),44705)</f>
        <v>44705</v>
      </c>
      <c r="F255" s="5" t="str">
        <f ca="1">IFERROR(__xludf.DUMMYFUNCTION("""COMPUTED_VALUE"""),"Robb Elementary School")</f>
        <v>Robb Elementary School</v>
      </c>
      <c r="G255" s="5">
        <f ca="1">IFERROR(__xludf.DUMMYFUNCTION("""COMPUTED_VALUE"""),21)</f>
        <v>21</v>
      </c>
      <c r="H255" s="5">
        <f ca="1">IFERROR(__xludf.DUMMYFUNCTION("""COMPUTED_VALUE"""),18)</f>
        <v>18</v>
      </c>
      <c r="I255" s="5">
        <f ca="1">IFERROR(__xludf.DUMMYFUNCTION("""COMPUTED_VALUE"""),39)</f>
        <v>39</v>
      </c>
      <c r="J255" s="5">
        <f ca="1">IFERROR(__xludf.DUMMYFUNCTION("""COMPUTED_VALUE"""),1)</f>
        <v>1</v>
      </c>
      <c r="K255" s="5" t="str">
        <f ca="1">IFERROR(__xludf.DUMMYFUNCTION("""COMPUTED_VALUE"""),"https://abcnews.go.com/US/timeline-shooting-texas-elementary-school-unfolded/story?id=84966910 https://www.abc.net.au/news/2022-05-30/timeline-texas-school-shooting-in-uvalde-unfolded/101109316 https://abcnews.go.com/US/texas-elementary-school-reports-act"&amp;"ive-shooter-campus/story?id=84940951")</f>
        <v>https://abcnews.go.com/US/timeline-shooting-texas-elementary-school-unfolded/story?id=84966910 https://www.abc.net.au/news/2022-05-30/timeline-texas-school-shooting-in-uvalde-unfolded/101109316 https://abcnews.go.com/US/texas-elementary-school-reports-active-shooter-campus/story?id=84940951</v>
      </c>
      <c r="L255" s="5">
        <f ca="1">IFERROR(__xludf.DUMMYFUNCTION("""COMPUTED_VALUE"""),999)</f>
        <v>999</v>
      </c>
      <c r="M255" s="5" t="str">
        <f ca="1">IFERROR(__xludf.DUMMYFUNCTION("""COMPUTED_VALUE"""),"International")</f>
        <v>International</v>
      </c>
      <c r="N255" s="5">
        <f ca="1">IFERROR(__xludf.DUMMYFUNCTION("""COMPUTED_VALUE"""),4)</f>
        <v>4</v>
      </c>
      <c r="O255" s="5" t="str">
        <f ca="1">IFERROR(__xludf.DUMMYFUNCTION("""COMPUTED_VALUE"""),"Spring")</f>
        <v>Spring</v>
      </c>
      <c r="P255" s="5" t="str">
        <f ca="1">IFERROR(__xludf.DUMMYFUNCTION("""COMPUTED_VALUE"""),"Uvalde")</f>
        <v>Uvalde</v>
      </c>
      <c r="Q255" s="5" t="str">
        <f ca="1">IFERROR(__xludf.DUMMYFUNCTION("""COMPUTED_VALUE"""),"TX")</f>
        <v>TX</v>
      </c>
      <c r="R255" s="5" t="str">
        <f ca="1">IFERROR(__xludf.DUMMYFUNCTION("""COMPUTED_VALUE"""),"Elementary")</f>
        <v>Elementary</v>
      </c>
      <c r="S255" s="5" t="str">
        <f ca="1">IFERROR(__xludf.DUMMYFUNCTION("""COMPUTED_VALUE"""),"Inside School Building")</f>
        <v>Inside School Building</v>
      </c>
      <c r="T255" s="5" t="str">
        <f ca="1">IFERROR(__xludf.DUMMYFUNCTION("""COMPUTED_VALUE"""),"Inside School Building")</f>
        <v>Inside School Building</v>
      </c>
      <c r="U255" s="5" t="str">
        <f ca="1">IFERROR(__xludf.DUMMYFUNCTION("""COMPUTED_VALUE"""),"Yes")</f>
        <v>Yes</v>
      </c>
      <c r="V255" s="5" t="str">
        <f ca="1">IFERROR(__xludf.DUMMYFUNCTION("""COMPUTED_VALUE"""),"Morning Classes")</f>
        <v>Morning Classes</v>
      </c>
      <c r="W255" s="10">
        <f ca="1">IFERROR(__xludf.DUMMYFUNCTION("""COMPUTED_VALUE"""),0.479166666666666)</f>
        <v>0.47916666666666602</v>
      </c>
      <c r="X255" s="5">
        <f ca="1">IFERROR(__xludf.DUMMYFUNCTION("""COMPUTED_VALUE"""),90)</f>
        <v>90</v>
      </c>
      <c r="Y255" s="5" t="str">
        <f ca="1">IFERROR(__xludf.DUMMYFUNCTION("""COMPUTED_VALUE"""),"Indiscriminate attack at school")</f>
        <v>Indiscriminate attack at school</v>
      </c>
      <c r="Z255" s="5" t="str">
        <f ca="1">IFERROR(__xludf.DUMMYFUNCTION("""COMPUTED_VALUE"""),"Pending")</f>
        <v>Pending</v>
      </c>
      <c r="AA255" s="5" t="str">
        <f ca="1">IFERROR(__xludf.DUMMYFUNCTION("""COMPUTED_VALUE"""),"Indiscriminate Shooting")</f>
        <v>Indiscriminate Shooting</v>
      </c>
      <c r="AB255" s="5" t="str">
        <f ca="1">IFERROR(__xludf.DUMMYFUNCTION("""COMPUTED_VALUE"""),"Random Shooting")</f>
        <v>Random Shooting</v>
      </c>
      <c r="AC255" s="5" t="str">
        <f ca="1">IFERROR(__xludf.DUMMYFUNCTION("""COMPUTED_VALUE"""),"No")</f>
        <v>No</v>
      </c>
      <c r="AD255" s="5" t="str">
        <f ca="1">IFERROR(__xludf.DUMMYFUNCTION("""COMPUTED_VALUE"""),"No")</f>
        <v>No</v>
      </c>
      <c r="AE255" s="5" t="str">
        <f ca="1">IFERROR(__xludf.DUMMYFUNCTION("""COMPUTED_VALUE"""),"Yes")</f>
        <v>Yes</v>
      </c>
      <c r="AF255" s="5" t="str">
        <f ca="1">IFERROR(__xludf.DUMMYFUNCTION("""COMPUTED_VALUE"""),"No")</f>
        <v>No</v>
      </c>
      <c r="AG255" s="5"/>
      <c r="AH255" s="5"/>
      <c r="AI255" s="5" t="str">
        <f ca="1">IFERROR(__xludf.DUMMYFUNCTION("""COMPUTED_VALUE"""),"No")</f>
        <v>No</v>
      </c>
      <c r="AJ255" s="5" t="str">
        <f ca="1">IFERROR(__xludf.DUMMYFUNCTION("""COMPUTED_VALUE"""),"Yes")</f>
        <v>Yes</v>
      </c>
    </row>
    <row r="256" spans="1:36" ht="13">
      <c r="A256" s="5" t="str">
        <f ca="1">IFERROR(__xludf.DUMMYFUNCTION("""COMPUTED_VALUE"""),"20220523PASIP")</f>
        <v>20220523PASIP</v>
      </c>
      <c r="B256" s="5">
        <f ca="1">IFERROR(__xludf.DUMMYFUNCTION("""COMPUTED_VALUE"""),5)</f>
        <v>5</v>
      </c>
      <c r="C256" s="5">
        <f ca="1">IFERROR(__xludf.DUMMYFUNCTION("""COMPUTED_VALUE"""),23)</f>
        <v>23</v>
      </c>
      <c r="D256" s="5">
        <f ca="1">IFERROR(__xludf.DUMMYFUNCTION("""COMPUTED_VALUE"""),2022)</f>
        <v>2022</v>
      </c>
      <c r="E256" s="8">
        <f ca="1">IFERROR(__xludf.DUMMYFUNCTION("""COMPUTED_VALUE"""),44704)</f>
        <v>44704</v>
      </c>
      <c r="F256" s="5" t="str">
        <f ca="1">IFERROR(__xludf.DUMMYFUNCTION("""COMPUTED_VALUE"""),"Simon Gratz High School")</f>
        <v>Simon Gratz High School</v>
      </c>
      <c r="G256" s="5">
        <f ca="1">IFERROR(__xludf.DUMMYFUNCTION("""COMPUTED_VALUE"""),0)</f>
        <v>0</v>
      </c>
      <c r="H256" s="5">
        <f ca="1">IFERROR(__xludf.DUMMYFUNCTION("""COMPUTED_VALUE"""),3)</f>
        <v>3</v>
      </c>
      <c r="I256" s="5">
        <f ca="1">IFERROR(__xludf.DUMMYFUNCTION("""COMPUTED_VALUE"""),3)</f>
        <v>3</v>
      </c>
      <c r="J256" s="5">
        <f ca="1">IFERROR(__xludf.DUMMYFUNCTION("""COMPUTED_VALUE"""),0)</f>
        <v>0</v>
      </c>
      <c r="K256" s="5" t="str">
        <f ca="1">IFERROR(__xludf.DUMMYFUNCTION("""COMPUTED_VALUE"""),"https://6abc.com/teens-shot-philadelphia-shooting-tioga-nicetown-crime-north-17-street/11885981/ https://philadelphia.cbslocal.com/2022/05/23/teens-injured-shooting-simon-gratz-high-school-philly/ https://www.nbcphiladelphia.com/news/local/gunman-shoots-2"&amp;"-teens-near-high-school-in-philly/3248538/")</f>
        <v>https://6abc.com/teens-shot-philadelphia-shooting-tioga-nicetown-crime-north-17-street/11885981/ https://philadelphia.cbslocal.com/2022/05/23/teens-injured-shooting-simon-gratz-high-school-philly/ https://www.nbcphiladelphia.com/news/local/gunman-shoots-2-teens-near-high-school-in-philly/3248538/</v>
      </c>
      <c r="L256" s="5">
        <f ca="1">IFERROR(__xludf.DUMMYFUNCTION("""COMPUTED_VALUE"""),20)</f>
        <v>20</v>
      </c>
      <c r="M256" s="5" t="str">
        <f ca="1">IFERROR(__xludf.DUMMYFUNCTION("""COMPUTED_VALUE"""),"Regional")</f>
        <v>Regional</v>
      </c>
      <c r="N256" s="5">
        <f ca="1">IFERROR(__xludf.DUMMYFUNCTION("""COMPUTED_VALUE"""),4)</f>
        <v>4</v>
      </c>
      <c r="O256" s="5" t="str">
        <f ca="1">IFERROR(__xludf.DUMMYFUNCTION("""COMPUTED_VALUE"""),"Spring")</f>
        <v>Spring</v>
      </c>
      <c r="P256" s="5" t="str">
        <f ca="1">IFERROR(__xludf.DUMMYFUNCTION("""COMPUTED_VALUE"""),"Philadelphia")</f>
        <v>Philadelphia</v>
      </c>
      <c r="Q256" s="5" t="str">
        <f ca="1">IFERROR(__xludf.DUMMYFUNCTION("""COMPUTED_VALUE"""),"PA")</f>
        <v>PA</v>
      </c>
      <c r="R256" s="5" t="str">
        <f ca="1">IFERROR(__xludf.DUMMYFUNCTION("""COMPUTED_VALUE"""),"High")</f>
        <v>High</v>
      </c>
      <c r="S256" s="5" t="str">
        <f ca="1">IFERROR(__xludf.DUMMYFUNCTION("""COMPUTED_VALUE"""),"Front of School")</f>
        <v>Front of School</v>
      </c>
      <c r="T256" s="5" t="str">
        <f ca="1">IFERROR(__xludf.DUMMYFUNCTION("""COMPUTED_VALUE"""),"Outside on School Property")</f>
        <v>Outside on School Property</v>
      </c>
      <c r="U256" s="5" t="str">
        <f ca="1">IFERROR(__xludf.DUMMYFUNCTION("""COMPUTED_VALUE"""),"Yes")</f>
        <v>Yes</v>
      </c>
      <c r="V256" s="5" t="str">
        <f ca="1">IFERROR(__xludf.DUMMYFUNCTION("""COMPUTED_VALUE"""),"Dismissal")</f>
        <v>Dismissal</v>
      </c>
      <c r="W256" s="10">
        <f ca="1">IFERROR(__xludf.DUMMYFUNCTION("""COMPUTED_VALUE"""),0.614583333333333)</f>
        <v>0.61458333333333304</v>
      </c>
      <c r="X256" s="5">
        <f ca="1">IFERROR(__xludf.DUMMYFUNCTION("""COMPUTED_VALUE"""),1)</f>
        <v>1</v>
      </c>
      <c r="Y256" s="5" t="str">
        <f ca="1">IFERROR(__xludf.DUMMYFUNCTION("""COMPUTED_VALUE"""),"Three teen students shot at dismissal")</f>
        <v>Three teen students shot at dismissal</v>
      </c>
      <c r="Z256" s="5" t="str">
        <f ca="1">IFERROR(__xludf.DUMMYFUNCTION("""COMPUTED_VALUE"""),"Two brothers, ages 15 and 16, as well as a 17-year-old boy had just dismissed from school when shooter in a vehicle fired 13 shots at them from the street in front of the school. Shooter fled.")</f>
        <v>Two brothers, ages 15 and 16, as well as a 17-year-old boy had just dismissed from school when shooter in a vehicle fired 13 shots at them from the street in front of the school. Shooter fled.</v>
      </c>
      <c r="AA256" s="5" t="str">
        <f ca="1">IFERROR(__xludf.DUMMYFUNCTION("""COMPUTED_VALUE"""),"Drive-by Shooting")</f>
        <v>Drive-by Shooting</v>
      </c>
      <c r="AB256" s="5" t="str">
        <f ca="1">IFERROR(__xludf.DUMMYFUNCTION("""COMPUTED_VALUE"""),"Both")</f>
        <v>Both</v>
      </c>
      <c r="AC256" s="5"/>
      <c r="AD256" s="5" t="str">
        <f ca="1">IFERROR(__xludf.DUMMYFUNCTION("""COMPUTED_VALUE"""),"No")</f>
        <v>No</v>
      </c>
      <c r="AE256" s="5" t="str">
        <f ca="1">IFERROR(__xludf.DUMMYFUNCTION("""COMPUTED_VALUE"""),"No")</f>
        <v>No</v>
      </c>
      <c r="AF256" s="5" t="str">
        <f ca="1">IFERROR(__xludf.DUMMYFUNCTION("""COMPUTED_VALUE"""),"No")</f>
        <v>No</v>
      </c>
      <c r="AG256" s="5" t="str">
        <f ca="1">IFERROR(__xludf.DUMMYFUNCTION("""COMPUTED_VALUE"""),"No")</f>
        <v>No</v>
      </c>
      <c r="AH256" s="5" t="str">
        <f ca="1">IFERROR(__xludf.DUMMYFUNCTION("""COMPUTED_VALUE"""),"No")</f>
        <v>No</v>
      </c>
      <c r="AI256" s="5"/>
      <c r="AJ256" s="5" t="str">
        <f ca="1">IFERROR(__xludf.DUMMYFUNCTION("""COMPUTED_VALUE"""),"No")</f>
        <v>No</v>
      </c>
    </row>
    <row r="257" spans="1:36" ht="13">
      <c r="A257" s="5" t="str">
        <f ca="1">IFERROR(__xludf.DUMMYFUNCTION("""COMPUTED_VALUE"""),"20220520ALMAT")</f>
        <v>20220520ALMAT</v>
      </c>
      <c r="B257" s="5">
        <f ca="1">IFERROR(__xludf.DUMMYFUNCTION("""COMPUTED_VALUE"""),5)</f>
        <v>5</v>
      </c>
      <c r="C257" s="5">
        <f ca="1">IFERROR(__xludf.DUMMYFUNCTION("""COMPUTED_VALUE"""),20)</f>
        <v>20</v>
      </c>
      <c r="D257" s="5">
        <f ca="1">IFERROR(__xludf.DUMMYFUNCTION("""COMPUTED_VALUE"""),2022)</f>
        <v>2022</v>
      </c>
      <c r="E257" s="8">
        <f ca="1">IFERROR(__xludf.DUMMYFUNCTION("""COMPUTED_VALUE"""),44701)</f>
        <v>44701</v>
      </c>
      <c r="F257" s="5" t="str">
        <f ca="1">IFERROR(__xludf.DUMMYFUNCTION("""COMPUTED_VALUE"""),"Mary W Burroughs Elementary School")</f>
        <v>Mary W Burroughs Elementary School</v>
      </c>
      <c r="G257" s="5">
        <f ca="1">IFERROR(__xludf.DUMMYFUNCTION("""COMPUTED_VALUE"""),0)</f>
        <v>0</v>
      </c>
      <c r="H257" s="5">
        <f ca="1">IFERROR(__xludf.DUMMYFUNCTION("""COMPUTED_VALUE"""),0)</f>
        <v>0</v>
      </c>
      <c r="I257" s="5">
        <f ca="1">IFERROR(__xludf.DUMMYFUNCTION("""COMPUTED_VALUE"""),0)</f>
        <v>0</v>
      </c>
      <c r="J257" s="5">
        <f ca="1">IFERROR(__xludf.DUMMYFUNCTION("""COMPUTED_VALUE"""),0)</f>
        <v>0</v>
      </c>
      <c r="K257" s="5" t="str">
        <f ca="1">IFERROR(__xludf.DUMMYFUNCTION("""COMPUTED_VALUE"""),"https://www.wkrg.com/mobile-county/window-shot-through-at-elementary-school-mobile-police-investigate/ https://www.fox10tv.com/2022/05/23/burroughs-elementary-school-struck-by-stray-bullet/")</f>
        <v>https://www.wkrg.com/mobile-county/window-shot-through-at-elementary-school-mobile-police-investigate/ https://www.fox10tv.com/2022/05/23/burroughs-elementary-school-struck-by-stray-bullet/</v>
      </c>
      <c r="L257" s="5">
        <f ca="1">IFERROR(__xludf.DUMMYFUNCTION("""COMPUTED_VALUE"""),2)</f>
        <v>2</v>
      </c>
      <c r="M257" s="5" t="str">
        <f ca="1">IFERROR(__xludf.DUMMYFUNCTION("""COMPUTED_VALUE"""),"Local")</f>
        <v>Local</v>
      </c>
      <c r="N257" s="5">
        <f ca="1">IFERROR(__xludf.DUMMYFUNCTION("""COMPUTED_VALUE"""),4)</f>
        <v>4</v>
      </c>
      <c r="O257" s="5" t="str">
        <f ca="1">IFERROR(__xludf.DUMMYFUNCTION("""COMPUTED_VALUE"""),"Spring")</f>
        <v>Spring</v>
      </c>
      <c r="P257" s="5" t="str">
        <f ca="1">IFERROR(__xludf.DUMMYFUNCTION("""COMPUTED_VALUE"""),"Theodore")</f>
        <v>Theodore</v>
      </c>
      <c r="Q257" s="5" t="str">
        <f ca="1">IFERROR(__xludf.DUMMYFUNCTION("""COMPUTED_VALUE"""),"AL")</f>
        <v>AL</v>
      </c>
      <c r="R257" s="5" t="str">
        <f ca="1">IFERROR(__xludf.DUMMYFUNCTION("""COMPUTED_VALUE"""),"Elementary")</f>
        <v>Elementary</v>
      </c>
      <c r="S257" s="5" t="str">
        <f ca="1">IFERROR(__xludf.DUMMYFUNCTION("""COMPUTED_VALUE"""),"Classroom")</f>
        <v>Classroom</v>
      </c>
      <c r="T257" s="5" t="str">
        <f ca="1">IFERROR(__xludf.DUMMYFUNCTION("""COMPUTED_VALUE"""),"Both Inside/Outside")</f>
        <v>Both Inside/Outside</v>
      </c>
      <c r="U257" s="5" t="str">
        <f ca="1">IFERROR(__xludf.DUMMYFUNCTION("""COMPUTED_VALUE"""),"Yes")</f>
        <v>Yes</v>
      </c>
      <c r="V257" s="5" t="str">
        <f ca="1">IFERROR(__xludf.DUMMYFUNCTION("""COMPUTED_VALUE"""),"Afternoon Classes")</f>
        <v>Afternoon Classes</v>
      </c>
      <c r="W257" s="10">
        <f ca="1">IFERROR(__xludf.DUMMYFUNCTION("""COMPUTED_VALUE"""),0.5625)</f>
        <v>0.5625</v>
      </c>
      <c r="X257" s="5">
        <f ca="1">IFERROR(__xludf.DUMMYFUNCTION("""COMPUTED_VALUE"""),1)</f>
        <v>1</v>
      </c>
      <c r="Y257" s="5" t="str">
        <f ca="1">IFERROR(__xludf.DUMMYFUNCTION("""COMPUTED_VALUE"""),"Bullet broke classroom window")</f>
        <v>Bullet broke classroom window</v>
      </c>
      <c r="Z257" s="5" t="str">
        <f ca="1">IFERROR(__xludf.DUMMYFUNCTION("""COMPUTED_VALUE"""),"A stray bullet broke the window of a classroom. School was in session but students were not inside that classroom when the shooting occurred. No injuries. Police said the school was not targeted.")</f>
        <v>A stray bullet broke the window of a classroom. School was in session but students were not inside that classroom when the shooting occurred. No injuries. Police said the school was not targeted.</v>
      </c>
      <c r="AA257" s="5" t="str">
        <f ca="1">IFERROR(__xludf.DUMMYFUNCTION("""COMPUTED_VALUE"""),"Accidental")</f>
        <v>Accidental</v>
      </c>
      <c r="AB257" s="5" t="str">
        <f ca="1">IFERROR(__xludf.DUMMYFUNCTION("""COMPUTED_VALUE"""),"Neither")</f>
        <v>Neither</v>
      </c>
      <c r="AC257" s="5" t="str">
        <f ca="1">IFERROR(__xludf.DUMMYFUNCTION("""COMPUTED_VALUE"""),"No")</f>
        <v>No</v>
      </c>
      <c r="AD257" s="5" t="str">
        <f ca="1">IFERROR(__xludf.DUMMYFUNCTION("""COMPUTED_VALUE"""),"No")</f>
        <v>No</v>
      </c>
      <c r="AE257" s="5" t="str">
        <f ca="1">IFERROR(__xludf.DUMMYFUNCTION("""COMPUTED_VALUE"""),"No")</f>
        <v>No</v>
      </c>
      <c r="AF257" s="5" t="str">
        <f ca="1">IFERROR(__xludf.DUMMYFUNCTION("""COMPUTED_VALUE"""),"No")</f>
        <v>No</v>
      </c>
      <c r="AG257" s="5" t="str">
        <f ca="1">IFERROR(__xludf.DUMMYFUNCTION("""COMPUTED_VALUE"""),"No")</f>
        <v>No</v>
      </c>
      <c r="AH257" s="5" t="str">
        <f ca="1">IFERROR(__xludf.DUMMYFUNCTION("""COMPUTED_VALUE"""),"No")</f>
        <v>No</v>
      </c>
      <c r="AI257" s="5" t="str">
        <f ca="1">IFERROR(__xludf.DUMMYFUNCTION("""COMPUTED_VALUE"""),"No")</f>
        <v>No</v>
      </c>
      <c r="AJ257" s="5" t="str">
        <f ca="1">IFERROR(__xludf.DUMMYFUNCTION("""COMPUTED_VALUE"""),"No")</f>
        <v>No</v>
      </c>
    </row>
    <row r="258" spans="1:36" ht="13">
      <c r="A258" s="5" t="str">
        <f ca="1">IFERROR(__xludf.DUMMYFUNCTION("""COMPUTED_VALUE"""),"20220520TNEAC")</f>
        <v>20220520TNEAC</v>
      </c>
      <c r="B258" s="5">
        <f ca="1">IFERROR(__xludf.DUMMYFUNCTION("""COMPUTED_VALUE"""),5)</f>
        <v>5</v>
      </c>
      <c r="C258" s="5">
        <f ca="1">IFERROR(__xludf.DUMMYFUNCTION("""COMPUTED_VALUE"""),20)</f>
        <v>20</v>
      </c>
      <c r="D258" s="5">
        <f ca="1">IFERROR(__xludf.DUMMYFUNCTION("""COMPUTED_VALUE"""),2022)</f>
        <v>2022</v>
      </c>
      <c r="E258" s="8">
        <f ca="1">IFERROR(__xludf.DUMMYFUNCTION("""COMPUTED_VALUE"""),44701)</f>
        <v>44701</v>
      </c>
      <c r="F258" s="5" t="str">
        <f ca="1">IFERROR(__xludf.DUMMYFUNCTION("""COMPUTED_VALUE"""),"East Lake Elementary School")</f>
        <v>East Lake Elementary School</v>
      </c>
      <c r="G258" s="5">
        <f ca="1">IFERROR(__xludf.DUMMYFUNCTION("""COMPUTED_VALUE"""),1)</f>
        <v>1</v>
      </c>
      <c r="H258" s="5">
        <f ca="1">IFERROR(__xludf.DUMMYFUNCTION("""COMPUTED_VALUE"""),0)</f>
        <v>0</v>
      </c>
      <c r="I258" s="5">
        <f ca="1">IFERROR(__xludf.DUMMYFUNCTION("""COMPUTED_VALUE"""),1)</f>
        <v>1</v>
      </c>
      <c r="J258" s="5">
        <f ca="1">IFERROR(__xludf.DUMMYFUNCTION("""COMPUTED_VALUE"""),0)</f>
        <v>0</v>
      </c>
      <c r="K258" s="9" t="str">
        <f ca="1">IFERROR(__xludf.DUMMYFUNCTION("""COMPUTED_VALUE"""),"https://newschannel9.com/news/local/25-year-old-man-shot-to-death-in-chattanooga-near-school-early-friday-morning-east-lake-elementary-murder-homicide")</f>
        <v>https://newschannel9.com/news/local/25-year-old-man-shot-to-death-in-chattanooga-near-school-early-friday-morning-east-lake-elementary-murder-homicide</v>
      </c>
      <c r="L258" s="5">
        <f ca="1">IFERROR(__xludf.DUMMYFUNCTION("""COMPUTED_VALUE"""),1)</f>
        <v>1</v>
      </c>
      <c r="M258" s="5" t="str">
        <f ca="1">IFERROR(__xludf.DUMMYFUNCTION("""COMPUTED_VALUE"""),"Local")</f>
        <v>Local</v>
      </c>
      <c r="N258" s="5">
        <f ca="1">IFERROR(__xludf.DUMMYFUNCTION("""COMPUTED_VALUE"""),3)</f>
        <v>3</v>
      </c>
      <c r="O258" s="5" t="str">
        <f ca="1">IFERROR(__xludf.DUMMYFUNCTION("""COMPUTED_VALUE"""),"Fall")</f>
        <v>Fall</v>
      </c>
      <c r="P258" s="5" t="str">
        <f ca="1">IFERROR(__xludf.DUMMYFUNCTION("""COMPUTED_VALUE"""),"Chattanooga")</f>
        <v>Chattanooga</v>
      </c>
      <c r="Q258" s="5" t="str">
        <f ca="1">IFERROR(__xludf.DUMMYFUNCTION("""COMPUTED_VALUE"""),"TN")</f>
        <v>TN</v>
      </c>
      <c r="R258" s="5" t="str">
        <f ca="1">IFERROR(__xludf.DUMMYFUNCTION("""COMPUTED_VALUE"""),"Elementary")</f>
        <v>Elementary</v>
      </c>
      <c r="S258" s="5" t="str">
        <f ca="1">IFERROR(__xludf.DUMMYFUNCTION("""COMPUTED_VALUE"""),"Outside on School Property")</f>
        <v>Outside on School Property</v>
      </c>
      <c r="T258" s="5" t="str">
        <f ca="1">IFERROR(__xludf.DUMMYFUNCTION("""COMPUTED_VALUE"""),"Outside on School Property")</f>
        <v>Outside on School Property</v>
      </c>
      <c r="U258" s="5" t="str">
        <f ca="1">IFERROR(__xludf.DUMMYFUNCTION("""COMPUTED_VALUE"""),"No")</f>
        <v>No</v>
      </c>
      <c r="V258" s="5" t="str">
        <f ca="1">IFERROR(__xludf.DUMMYFUNCTION("""COMPUTED_VALUE"""),"Before School")</f>
        <v>Before School</v>
      </c>
      <c r="W258" s="10">
        <f ca="1">IFERROR(__xludf.DUMMYFUNCTION("""COMPUTED_VALUE"""),0.208333333333333)</f>
        <v>0.20833333333333301</v>
      </c>
      <c r="X258" s="5">
        <f ca="1">IFERROR(__xludf.DUMMYFUNCTION("""COMPUTED_VALUE"""),1)</f>
        <v>1</v>
      </c>
      <c r="Y258" s="5" t="str">
        <f ca="1">IFERROR(__xludf.DUMMYFUNCTION("""COMPUTED_VALUE"""),"Man fatally shot on school property")</f>
        <v>Man fatally shot on school property</v>
      </c>
      <c r="Z258" s="5" t="str">
        <f ca="1">IFERROR(__xludf.DUMMYFUNCTION("""COMPUTED_VALUE"""),"A man was fatally shot on school property in the early morning before the school was open. Opening of school was delayed while police conducted the investigation.")</f>
        <v>A man was fatally shot on school property in the early morning before the school was open. Opening of school was delayed while police conducted the investigation.</v>
      </c>
      <c r="AA258" s="5"/>
      <c r="AB258" s="5" t="str">
        <f ca="1">IFERROR(__xludf.DUMMYFUNCTION("""COMPUTED_VALUE"""),"Victims Targeted")</f>
        <v>Victims Targeted</v>
      </c>
      <c r="AC258" s="5" t="str">
        <f ca="1">IFERROR(__xludf.DUMMYFUNCTION("""COMPUTED_VALUE"""),"No")</f>
        <v>No</v>
      </c>
      <c r="AD258" s="5" t="str">
        <f ca="1">IFERROR(__xludf.DUMMYFUNCTION("""COMPUTED_VALUE"""),"No")</f>
        <v>No</v>
      </c>
      <c r="AE258" s="5" t="str">
        <f ca="1">IFERROR(__xludf.DUMMYFUNCTION("""COMPUTED_VALUE"""),"No")</f>
        <v>No</v>
      </c>
      <c r="AF258" s="5" t="str">
        <f ca="1">IFERROR(__xludf.DUMMYFUNCTION("""COMPUTED_VALUE"""),"No")</f>
        <v>No</v>
      </c>
      <c r="AG258" s="5" t="str">
        <f ca="1">IFERROR(__xludf.DUMMYFUNCTION("""COMPUTED_VALUE"""),"No")</f>
        <v>No</v>
      </c>
      <c r="AH258" s="5"/>
      <c r="AI258" s="5"/>
      <c r="AJ258" s="5" t="str">
        <f ca="1">IFERROR(__xludf.DUMMYFUNCTION("""COMPUTED_VALUE"""),"No")</f>
        <v>No</v>
      </c>
    </row>
    <row r="259" spans="1:36" ht="13">
      <c r="A259" s="5" t="str">
        <f ca="1">IFERROR(__xludf.DUMMYFUNCTION("""COMPUTED_VALUE"""),"20220520OHCAC")</f>
        <v>20220520OHCAC</v>
      </c>
      <c r="B259" s="5">
        <f ca="1">IFERROR(__xludf.DUMMYFUNCTION("""COMPUTED_VALUE"""),5)</f>
        <v>5</v>
      </c>
      <c r="C259" s="5">
        <f ca="1">IFERROR(__xludf.DUMMYFUNCTION("""COMPUTED_VALUE"""),20)</f>
        <v>20</v>
      </c>
      <c r="D259" s="5">
        <f ca="1">IFERROR(__xludf.DUMMYFUNCTION("""COMPUTED_VALUE"""),2022)</f>
        <v>2022</v>
      </c>
      <c r="E259" s="8">
        <f ca="1">IFERROR(__xludf.DUMMYFUNCTION("""COMPUTED_VALUE"""),44701)</f>
        <v>44701</v>
      </c>
      <c r="F259" s="5" t="str">
        <f ca="1">IFERROR(__xludf.DUMMYFUNCTION("""COMPUTED_VALUE"""),"Canal Winchester High School")</f>
        <v>Canal Winchester High School</v>
      </c>
      <c r="G259" s="5">
        <f ca="1">IFERROR(__xludf.DUMMYFUNCTION("""COMPUTED_VALUE"""),0)</f>
        <v>0</v>
      </c>
      <c r="H259" s="5">
        <f ca="1">IFERROR(__xludf.DUMMYFUNCTION("""COMPUTED_VALUE"""),0)</f>
        <v>0</v>
      </c>
      <c r="I259" s="5">
        <f ca="1">IFERROR(__xludf.DUMMYFUNCTION("""COMPUTED_VALUE"""),0)</f>
        <v>0</v>
      </c>
      <c r="J259" s="5">
        <f ca="1">IFERROR(__xludf.DUMMYFUNCTION("""COMPUTED_VALUE"""),0)</f>
        <v>0</v>
      </c>
      <c r="K259" s="5" t="str">
        <f ca="1">IFERROR(__xludf.DUMMYFUNCTION("""COMPUTED_VALUE"""),"https://www.10tv.com/article/news/local/sheriff-juvenile-intentionally-shoots-fairfield-county-bus-driver-with-bb-gun-lithopolis/530-77296d5d-39d5-4f21-9fa6-df66ef2c5340 https://www.nbc4i.com/news/local-news/fairfield-county/bloom-carroll-school-bus-drive"&amp;"r-shot-with-bb-gun/")</f>
        <v>https://www.10tv.com/article/news/local/sheriff-juvenile-intentionally-shoots-fairfield-county-bus-driver-with-bb-gun-lithopolis/530-77296d5d-39d5-4f21-9fa6-df66ef2c5340 https://www.nbc4i.com/news/local-news/fairfield-county/bloom-carroll-school-bus-driver-shot-with-bb-gun/</v>
      </c>
      <c r="L259" s="5">
        <f ca="1">IFERROR(__xludf.DUMMYFUNCTION("""COMPUTED_VALUE"""),2)</f>
        <v>2</v>
      </c>
      <c r="M259" s="5" t="str">
        <f ca="1">IFERROR(__xludf.DUMMYFUNCTION("""COMPUTED_VALUE"""),"Local")</f>
        <v>Local</v>
      </c>
      <c r="N259" s="5">
        <f ca="1">IFERROR(__xludf.DUMMYFUNCTION("""COMPUTED_VALUE"""),4)</f>
        <v>4</v>
      </c>
      <c r="O259" s="5" t="str">
        <f ca="1">IFERROR(__xludf.DUMMYFUNCTION("""COMPUTED_VALUE"""),"Spring")</f>
        <v>Spring</v>
      </c>
      <c r="P259" s="5" t="str">
        <f ca="1">IFERROR(__xludf.DUMMYFUNCTION("""COMPUTED_VALUE"""),"Canal Winchester")</f>
        <v>Canal Winchester</v>
      </c>
      <c r="Q259" s="5" t="str">
        <f ca="1">IFERROR(__xludf.DUMMYFUNCTION("""COMPUTED_VALUE"""),"OH")</f>
        <v>OH</v>
      </c>
      <c r="R259" s="5" t="str">
        <f ca="1">IFERROR(__xludf.DUMMYFUNCTION("""COMPUTED_VALUE"""),"High")</f>
        <v>High</v>
      </c>
      <c r="S259" s="5" t="str">
        <f ca="1">IFERROR(__xludf.DUMMYFUNCTION("""COMPUTED_VALUE"""),"School Bus")</f>
        <v>School Bus</v>
      </c>
      <c r="T259" s="5" t="str">
        <f ca="1">IFERROR(__xludf.DUMMYFUNCTION("""COMPUTED_VALUE"""),"School Bus")</f>
        <v>School Bus</v>
      </c>
      <c r="U259" s="5" t="str">
        <f ca="1">IFERROR(__xludf.DUMMYFUNCTION("""COMPUTED_VALUE"""),"Yes")</f>
        <v>Yes</v>
      </c>
      <c r="V259" s="5" t="str">
        <f ca="1">IFERROR(__xludf.DUMMYFUNCTION("""COMPUTED_VALUE"""),"Dismissal")</f>
        <v>Dismissal</v>
      </c>
      <c r="W259" s="10">
        <f ca="1">IFERROR(__xludf.DUMMYFUNCTION("""COMPUTED_VALUE"""),0.625)</f>
        <v>0.625</v>
      </c>
      <c r="X259" s="5">
        <f ca="1">IFERROR(__xludf.DUMMYFUNCTION("""COMPUTED_VALUE"""),1)</f>
        <v>1</v>
      </c>
      <c r="Y259" s="5" t="str">
        <f ca="1">IFERROR(__xludf.DUMMYFUNCTION("""COMPUTED_VALUE"""),"Teen shot school bus driver 3 times with BB gun")</f>
        <v>Teen shot school bus driver 3 times with BB gun</v>
      </c>
      <c r="Z259" s="5" t="str">
        <f ca="1">IFERROR(__xludf.DUMMYFUNCTION("""COMPUTED_VALUE"""),"While students were getting off the school bus, a teen fired airsoft pellets at the driver causing minor injuries to wrist, shoulder, and hip. Teen was arrested and charges pending.")</f>
        <v>While students were getting off the school bus, a teen fired airsoft pellets at the driver causing minor injuries to wrist, shoulder, and hip. Teen was arrested and charges pending.</v>
      </c>
      <c r="AA259" s="5"/>
      <c r="AB259" s="5" t="str">
        <f ca="1">IFERROR(__xludf.DUMMYFUNCTION("""COMPUTED_VALUE"""),"Victims Targeted")</f>
        <v>Victims Targeted</v>
      </c>
      <c r="AC259" s="5" t="str">
        <f ca="1">IFERROR(__xludf.DUMMYFUNCTION("""COMPUTED_VALUE"""),"No")</f>
        <v>No</v>
      </c>
      <c r="AD259" s="5" t="str">
        <f ca="1">IFERROR(__xludf.DUMMYFUNCTION("""COMPUTED_VALUE"""),"No")</f>
        <v>No</v>
      </c>
      <c r="AE259" s="5" t="str">
        <f ca="1">IFERROR(__xludf.DUMMYFUNCTION("""COMPUTED_VALUE"""),"No")</f>
        <v>No</v>
      </c>
      <c r="AF259" s="5" t="str">
        <f ca="1">IFERROR(__xludf.DUMMYFUNCTION("""COMPUTED_VALUE"""),"No")</f>
        <v>No</v>
      </c>
      <c r="AG259" s="5" t="str">
        <f ca="1">IFERROR(__xludf.DUMMYFUNCTION("""COMPUTED_VALUE"""),"No")</f>
        <v>No</v>
      </c>
      <c r="AH259" s="5" t="str">
        <f ca="1">IFERROR(__xludf.DUMMYFUNCTION("""COMPUTED_VALUE"""),"No")</f>
        <v>No</v>
      </c>
      <c r="AI259" s="5" t="str">
        <f ca="1">IFERROR(__xludf.DUMMYFUNCTION("""COMPUTED_VALUE"""),"No")</f>
        <v>No</v>
      </c>
      <c r="AJ259" s="5" t="str">
        <f ca="1">IFERROR(__xludf.DUMMYFUNCTION("""COMPUTED_VALUE"""),"No")</f>
        <v>No</v>
      </c>
    </row>
    <row r="260" spans="1:36" ht="13">
      <c r="A260" s="5" t="str">
        <f ca="1">IFERROR(__xludf.DUMMYFUNCTION("""COMPUTED_VALUE"""),"20220520VAPOD")</f>
        <v>20220520VAPOD</v>
      </c>
      <c r="B260" s="5">
        <f ca="1">IFERROR(__xludf.DUMMYFUNCTION("""COMPUTED_VALUE"""),5)</f>
        <v>5</v>
      </c>
      <c r="C260" s="5">
        <f ca="1">IFERROR(__xludf.DUMMYFUNCTION("""COMPUTED_VALUE"""),20)</f>
        <v>20</v>
      </c>
      <c r="D260" s="5">
        <f ca="1">IFERROR(__xludf.DUMMYFUNCTION("""COMPUTED_VALUE"""),2022)</f>
        <v>2022</v>
      </c>
      <c r="E260" s="8">
        <f ca="1">IFERROR(__xludf.DUMMYFUNCTION("""COMPUTED_VALUE"""),44701)</f>
        <v>44701</v>
      </c>
      <c r="F260" s="5" t="str">
        <f ca="1">IFERROR(__xludf.DUMMYFUNCTION("""COMPUTED_VALUE"""),"Potomac High School")</f>
        <v>Potomac High School</v>
      </c>
      <c r="G260" s="5">
        <f ca="1">IFERROR(__xludf.DUMMYFUNCTION("""COMPUTED_VALUE"""),0)</f>
        <v>0</v>
      </c>
      <c r="H260" s="5">
        <f ca="1">IFERROR(__xludf.DUMMYFUNCTION("""COMPUTED_VALUE"""),0)</f>
        <v>0</v>
      </c>
      <c r="I260" s="5">
        <f ca="1">IFERROR(__xludf.DUMMYFUNCTION("""COMPUTED_VALUE"""),0)</f>
        <v>0</v>
      </c>
      <c r="J260" s="5">
        <f ca="1">IFERROR(__xludf.DUMMYFUNCTION("""COMPUTED_VALUE"""),0)</f>
        <v>0</v>
      </c>
      <c r="K260" s="9" t="str">
        <f ca="1">IFERROR(__xludf.DUMMYFUNCTION("""COMPUTED_VALUE"""),"https://www.insidenova.com/headlines/potomac-high-school-student-charged-after-bathroom-brandishing/article_f3fa326e-d86d-11ec-bd21-f36cea08fd4d.html")</f>
        <v>https://www.insidenova.com/headlines/potomac-high-school-student-charged-after-bathroom-brandishing/article_f3fa326e-d86d-11ec-bd21-f36cea08fd4d.html</v>
      </c>
      <c r="L260" s="5">
        <f ca="1">IFERROR(__xludf.DUMMYFUNCTION("""COMPUTED_VALUE"""),1)</f>
        <v>1</v>
      </c>
      <c r="M260" s="5" t="str">
        <f ca="1">IFERROR(__xludf.DUMMYFUNCTION("""COMPUTED_VALUE"""),"Local")</f>
        <v>Local</v>
      </c>
      <c r="N260" s="5">
        <f ca="1">IFERROR(__xludf.DUMMYFUNCTION("""COMPUTED_VALUE"""),3)</f>
        <v>3</v>
      </c>
      <c r="O260" s="5" t="str">
        <f ca="1">IFERROR(__xludf.DUMMYFUNCTION("""COMPUTED_VALUE"""),"Spring")</f>
        <v>Spring</v>
      </c>
      <c r="P260" s="5" t="str">
        <f ca="1">IFERROR(__xludf.DUMMYFUNCTION("""COMPUTED_VALUE"""),"Dumfries")</f>
        <v>Dumfries</v>
      </c>
      <c r="Q260" s="5" t="str">
        <f ca="1">IFERROR(__xludf.DUMMYFUNCTION("""COMPUTED_VALUE"""),"VA")</f>
        <v>VA</v>
      </c>
      <c r="R260" s="5" t="str">
        <f ca="1">IFERROR(__xludf.DUMMYFUNCTION("""COMPUTED_VALUE"""),"High")</f>
        <v>High</v>
      </c>
      <c r="S260" s="5" t="str">
        <f ca="1">IFERROR(__xludf.DUMMYFUNCTION("""COMPUTED_VALUE"""),"Bathroom")</f>
        <v>Bathroom</v>
      </c>
      <c r="T260" s="5" t="str">
        <f ca="1">IFERROR(__xludf.DUMMYFUNCTION("""COMPUTED_VALUE"""),"Inside School Building")</f>
        <v>Inside School Building</v>
      </c>
      <c r="U260" s="5" t="str">
        <f ca="1">IFERROR(__xludf.DUMMYFUNCTION("""COMPUTED_VALUE"""),"Yes")</f>
        <v>Yes</v>
      </c>
      <c r="V260" s="5" t="str">
        <f ca="1">IFERROR(__xludf.DUMMYFUNCTION("""COMPUTED_VALUE"""),"Morning Classes")</f>
        <v>Morning Classes</v>
      </c>
      <c r="W260" s="10">
        <f ca="1">IFERROR(__xludf.DUMMYFUNCTION("""COMPUTED_VALUE"""),0.346527777777777)</f>
        <v>0.34652777777777699</v>
      </c>
      <c r="X260" s="5">
        <f ca="1">IFERROR(__xludf.DUMMYFUNCTION("""COMPUTED_VALUE"""),1)</f>
        <v>1</v>
      </c>
      <c r="Y260" s="5" t="str">
        <f ca="1">IFERROR(__xludf.DUMMYFUNCTION("""COMPUTED_VALUE"""),"Student pointed gun at another student in bathroom, arrested by SRO with loaded weapon")</f>
        <v>Student pointed gun at another student in bathroom, arrested by SRO with loaded weapon</v>
      </c>
      <c r="Z260" s="5" t="str">
        <f ca="1">IFERROR(__xludf.DUMMYFUNCTION("""COMPUTED_VALUE"""),"A student pointed a handgun under a bathroom stall at another student. Student fled the bathroom and reported gun to SRO. SRO found the student with the gun in a different bathroom and arrested him. Student was also armed with 2 knives.")</f>
        <v>A student pointed a handgun under a bathroom stall at another student. Student fled the bathroom and reported gun to SRO. SRO found the student with the gun in a different bathroom and arrested him. Student was also armed with 2 knives.</v>
      </c>
      <c r="AA260" s="5"/>
      <c r="AB260" s="5" t="str">
        <f ca="1">IFERROR(__xludf.DUMMYFUNCTION("""COMPUTED_VALUE"""),"Victims Targeted")</f>
        <v>Victims Targeted</v>
      </c>
      <c r="AC260" s="5" t="str">
        <f ca="1">IFERROR(__xludf.DUMMYFUNCTION("""COMPUTED_VALUE"""),"No")</f>
        <v>No</v>
      </c>
      <c r="AD260" s="5" t="str">
        <f ca="1">IFERROR(__xludf.DUMMYFUNCTION("""COMPUTED_VALUE"""),"No")</f>
        <v>No</v>
      </c>
      <c r="AE260" s="5" t="str">
        <f ca="1">IFERROR(__xludf.DUMMYFUNCTION("""COMPUTED_VALUE"""),"No")</f>
        <v>No</v>
      </c>
      <c r="AF260" s="5" t="str">
        <f ca="1">IFERROR(__xludf.DUMMYFUNCTION("""COMPUTED_VALUE"""),"No")</f>
        <v>No</v>
      </c>
      <c r="AG260" s="5"/>
      <c r="AH260" s="5" t="str">
        <f ca="1">IFERROR(__xludf.DUMMYFUNCTION("""COMPUTED_VALUE"""),"No")</f>
        <v>No</v>
      </c>
      <c r="AI260" s="5"/>
      <c r="AJ260" s="5" t="str">
        <f ca="1">IFERROR(__xludf.DUMMYFUNCTION("""COMPUTED_VALUE"""),"No")</f>
        <v>No</v>
      </c>
    </row>
    <row r="261" spans="1:36" ht="13">
      <c r="A261" s="5" t="str">
        <f ca="1">IFERROR(__xludf.DUMMYFUNCTION("""COMPUTED_VALUE"""),"20220520ILSOP")</f>
        <v>20220520ILSOP</v>
      </c>
      <c r="B261" s="5">
        <f ca="1">IFERROR(__xludf.DUMMYFUNCTION("""COMPUTED_VALUE"""),5)</f>
        <v>5</v>
      </c>
      <c r="C261" s="5">
        <f ca="1">IFERROR(__xludf.DUMMYFUNCTION("""COMPUTED_VALUE"""),20)</f>
        <v>20</v>
      </c>
      <c r="D261" s="5">
        <f ca="1">IFERROR(__xludf.DUMMYFUNCTION("""COMPUTED_VALUE"""),2022)</f>
        <v>2022</v>
      </c>
      <c r="E261" s="8">
        <f ca="1">IFERROR(__xludf.DUMMYFUNCTION("""COMPUTED_VALUE"""),44701)</f>
        <v>44701</v>
      </c>
      <c r="F261" s="5" t="str">
        <f ca="1">IFERROR(__xludf.DUMMYFUNCTION("""COMPUTED_VALUE"""),"South Elementary School")</f>
        <v>South Elementary School</v>
      </c>
      <c r="G261" s="5">
        <f ca="1">IFERROR(__xludf.DUMMYFUNCTION("""COMPUTED_VALUE"""),0)</f>
        <v>0</v>
      </c>
      <c r="H261" s="5">
        <f ca="1">IFERROR(__xludf.DUMMYFUNCTION("""COMPUTED_VALUE"""),0)</f>
        <v>0</v>
      </c>
      <c r="I261" s="5">
        <f ca="1">IFERROR(__xludf.DUMMYFUNCTION("""COMPUTED_VALUE"""),0)</f>
        <v>0</v>
      </c>
      <c r="J261" s="5">
        <f ca="1">IFERROR(__xludf.DUMMYFUNCTION("""COMPUTED_VALUE"""),0)</f>
        <v>0</v>
      </c>
      <c r="K261" s="9" t="str">
        <f ca="1">IFERROR(__xludf.DUMMYFUNCTION("""COMPUTED_VALUE"""),"https://www.myjournalcourier.com/news/article/Hallucinating-woman-arrested-after-shot-fired-17188158.php")</f>
        <v>https://www.myjournalcourier.com/news/article/Hallucinating-woman-arrested-after-shot-fired-17188158.php</v>
      </c>
      <c r="L261" s="5">
        <f ca="1">IFERROR(__xludf.DUMMYFUNCTION("""COMPUTED_VALUE"""),1)</f>
        <v>1</v>
      </c>
      <c r="M261" s="5" t="str">
        <f ca="1">IFERROR(__xludf.DUMMYFUNCTION("""COMPUTED_VALUE"""),"Local")</f>
        <v>Local</v>
      </c>
      <c r="N261" s="5">
        <f ca="1">IFERROR(__xludf.DUMMYFUNCTION("""COMPUTED_VALUE"""),3)</f>
        <v>3</v>
      </c>
      <c r="O261" s="5" t="str">
        <f ca="1">IFERROR(__xludf.DUMMYFUNCTION("""COMPUTED_VALUE"""),"Spring")</f>
        <v>Spring</v>
      </c>
      <c r="P261" s="5" t="str">
        <f ca="1">IFERROR(__xludf.DUMMYFUNCTION("""COMPUTED_VALUE"""),"Pittsfield")</f>
        <v>Pittsfield</v>
      </c>
      <c r="Q261" s="5" t="str">
        <f ca="1">IFERROR(__xludf.DUMMYFUNCTION("""COMPUTED_VALUE"""),"IL")</f>
        <v>IL</v>
      </c>
      <c r="R261" s="5" t="str">
        <f ca="1">IFERROR(__xludf.DUMMYFUNCTION("""COMPUTED_VALUE"""),"Elementary")</f>
        <v>Elementary</v>
      </c>
      <c r="S261" s="5" t="str">
        <f ca="1">IFERROR(__xludf.DUMMYFUNCTION("""COMPUTED_VALUE"""),"Outside on School Property")</f>
        <v>Outside on School Property</v>
      </c>
      <c r="T261" s="5" t="str">
        <f ca="1">IFERROR(__xludf.DUMMYFUNCTION("""COMPUTED_VALUE"""),"Outside on School Property")</f>
        <v>Outside on School Property</v>
      </c>
      <c r="U261" s="5" t="str">
        <f ca="1">IFERROR(__xludf.DUMMYFUNCTION("""COMPUTED_VALUE"""),"Yes")</f>
        <v>Yes</v>
      </c>
      <c r="V261" s="5" t="str">
        <f ca="1">IFERROR(__xludf.DUMMYFUNCTION("""COMPUTED_VALUE"""),"School Start")</f>
        <v>School Start</v>
      </c>
      <c r="W261" s="10">
        <f ca="1">IFERROR(__xludf.DUMMYFUNCTION("""COMPUTED_VALUE"""),0.311111111111111)</f>
        <v>0.31111111111111101</v>
      </c>
      <c r="X261" s="5">
        <f ca="1">IFERROR(__xludf.DUMMYFUNCTION("""COMPUTED_VALUE"""),1)</f>
        <v>1</v>
      </c>
      <c r="Y261" s="5" t="str">
        <f ca="1">IFERROR(__xludf.DUMMYFUNCTION("""COMPUTED_VALUE"""),"Woman hallucinating on meth fired shot near school")</f>
        <v>Woman hallucinating on meth fired shot near school</v>
      </c>
      <c r="Z261" s="5" t="str">
        <f ca="1">IFERROR(__xludf.DUMMYFUNCTION("""COMPUTED_VALUE"""),"Woman hallucinating on meth fired a shot near school. She surrendered to officers when they arrived. Start of school was delayed and students were diverted from the area.")</f>
        <v>Woman hallucinating on meth fired a shot near school. She surrendered to officers when they arrived. Start of school was delayed and students were diverted from the area.</v>
      </c>
      <c r="AA261" s="5" t="str">
        <f ca="1">IFERROR(__xludf.DUMMYFUNCTION("""COMPUTED_VALUE"""),"Illegal Activity")</f>
        <v>Illegal Activity</v>
      </c>
      <c r="AB261" s="5" t="str">
        <f ca="1">IFERROR(__xludf.DUMMYFUNCTION("""COMPUTED_VALUE"""),"Neither")</f>
        <v>Neither</v>
      </c>
      <c r="AC261" s="5" t="str">
        <f ca="1">IFERROR(__xludf.DUMMYFUNCTION("""COMPUTED_VALUE"""),"No")</f>
        <v>No</v>
      </c>
      <c r="AD261" s="5" t="str">
        <f ca="1">IFERROR(__xludf.DUMMYFUNCTION("""COMPUTED_VALUE"""),"No")</f>
        <v>No</v>
      </c>
      <c r="AE261" s="5" t="str">
        <f ca="1">IFERROR(__xludf.DUMMYFUNCTION("""COMPUTED_VALUE"""),"No")</f>
        <v>No</v>
      </c>
      <c r="AF261" s="5" t="str">
        <f ca="1">IFERROR(__xludf.DUMMYFUNCTION("""COMPUTED_VALUE"""),"No")</f>
        <v>No</v>
      </c>
      <c r="AG261" s="5" t="str">
        <f ca="1">IFERROR(__xludf.DUMMYFUNCTION("""COMPUTED_VALUE"""),"No")</f>
        <v>No</v>
      </c>
      <c r="AH261" s="5" t="str">
        <f ca="1">IFERROR(__xludf.DUMMYFUNCTION("""COMPUTED_VALUE"""),"No")</f>
        <v>No</v>
      </c>
      <c r="AI261" s="5" t="str">
        <f ca="1">IFERROR(__xludf.DUMMYFUNCTION("""COMPUTED_VALUE"""),"No")</f>
        <v>No</v>
      </c>
      <c r="AJ261" s="5" t="str">
        <f ca="1">IFERROR(__xludf.DUMMYFUNCTION("""COMPUTED_VALUE"""),"No")</f>
        <v>No</v>
      </c>
    </row>
    <row r="262" spans="1:36" ht="13">
      <c r="A262" s="5" t="str">
        <f ca="1">IFERROR(__xludf.DUMMYFUNCTION("""COMPUTED_VALUE"""),"20220519VAGER")</f>
        <v>20220519VAGER</v>
      </c>
      <c r="B262" s="5">
        <f ca="1">IFERROR(__xludf.DUMMYFUNCTION("""COMPUTED_VALUE"""),5)</f>
        <v>5</v>
      </c>
      <c r="C262" s="5">
        <f ca="1">IFERROR(__xludf.DUMMYFUNCTION("""COMPUTED_VALUE"""),19)</f>
        <v>19</v>
      </c>
      <c r="D262" s="5">
        <f ca="1">IFERROR(__xludf.DUMMYFUNCTION("""COMPUTED_VALUE"""),2022)</f>
        <v>2022</v>
      </c>
      <c r="E262" s="8">
        <f ca="1">IFERROR(__xludf.DUMMYFUNCTION("""COMPUTED_VALUE"""),44700)</f>
        <v>44700</v>
      </c>
      <c r="F262" s="5" t="str">
        <f ca="1">IFERROR(__xludf.DUMMYFUNCTION("""COMPUTED_VALUE"""),"George Wythe High School")</f>
        <v>George Wythe High School</v>
      </c>
      <c r="G262" s="5">
        <f ca="1">IFERROR(__xludf.DUMMYFUNCTION("""COMPUTED_VALUE"""),0)</f>
        <v>0</v>
      </c>
      <c r="H262" s="5">
        <f ca="1">IFERROR(__xludf.DUMMYFUNCTION("""COMPUTED_VALUE"""),0)</f>
        <v>0</v>
      </c>
      <c r="I262" s="5">
        <f ca="1">IFERROR(__xludf.DUMMYFUNCTION("""COMPUTED_VALUE"""),0)</f>
        <v>0</v>
      </c>
      <c r="J262" s="5">
        <f ca="1">IFERROR(__xludf.DUMMYFUNCTION("""COMPUTED_VALUE"""),0)</f>
        <v>0</v>
      </c>
      <c r="K262" s="5" t="str">
        <f ca="1">IFERROR(__xludf.DUMMYFUNCTION("""COMPUTED_VALUE"""),"https://www.nbc12.com/2022/05/19/police-investigate-report-shots-fired-near-george-wythe-hs/ https://www.wtvr.com/news/local-news/richmond-police-investigate-shooting-outside-george-wythe-high-school https://www.wric.com/news/crime/richmond-police-investi"&amp;"gating-shots-fired-near-george-wythe-high-school/")</f>
        <v>https://www.nbc12.com/2022/05/19/police-investigate-report-shots-fired-near-george-wythe-hs/ https://www.wtvr.com/news/local-news/richmond-police-investigate-shooting-outside-george-wythe-high-school https://www.wric.com/news/crime/richmond-police-investigating-shots-fired-near-george-wythe-high-school/</v>
      </c>
      <c r="L262" s="5">
        <f ca="1">IFERROR(__xludf.DUMMYFUNCTION("""COMPUTED_VALUE"""),5)</f>
        <v>5</v>
      </c>
      <c r="M262" s="5" t="str">
        <f ca="1">IFERROR(__xludf.DUMMYFUNCTION("""COMPUTED_VALUE"""),"Local")</f>
        <v>Local</v>
      </c>
      <c r="N262" s="5">
        <f ca="1">IFERROR(__xludf.DUMMYFUNCTION("""COMPUTED_VALUE"""),3)</f>
        <v>3</v>
      </c>
      <c r="O262" s="5" t="str">
        <f ca="1">IFERROR(__xludf.DUMMYFUNCTION("""COMPUTED_VALUE"""),"Spring")</f>
        <v>Spring</v>
      </c>
      <c r="P262" s="5" t="str">
        <f ca="1">IFERROR(__xludf.DUMMYFUNCTION("""COMPUTED_VALUE"""),"Richmond")</f>
        <v>Richmond</v>
      </c>
      <c r="Q262" s="5" t="str">
        <f ca="1">IFERROR(__xludf.DUMMYFUNCTION("""COMPUTED_VALUE"""),"VA")</f>
        <v>VA</v>
      </c>
      <c r="R262" s="5" t="str">
        <f ca="1">IFERROR(__xludf.DUMMYFUNCTION("""COMPUTED_VALUE"""),"High")</f>
        <v>High</v>
      </c>
      <c r="S262" s="5" t="str">
        <f ca="1">IFERROR(__xludf.DUMMYFUNCTION("""COMPUTED_VALUE"""),"Parking Lot")</f>
        <v>Parking Lot</v>
      </c>
      <c r="T262" s="5" t="str">
        <f ca="1">IFERROR(__xludf.DUMMYFUNCTION("""COMPUTED_VALUE"""),"Outside on School Property")</f>
        <v>Outside on School Property</v>
      </c>
      <c r="U262" s="5" t="str">
        <f ca="1">IFERROR(__xludf.DUMMYFUNCTION("""COMPUTED_VALUE"""),"Yes")</f>
        <v>Yes</v>
      </c>
      <c r="V262" s="5" t="str">
        <f ca="1">IFERROR(__xludf.DUMMYFUNCTION("""COMPUTED_VALUE"""),"Afternoon Classes")</f>
        <v>Afternoon Classes</v>
      </c>
      <c r="W262" s="10">
        <f ca="1">IFERROR(__xludf.DUMMYFUNCTION("""COMPUTED_VALUE"""),0.592361111111111)</f>
        <v>0.59236111111111101</v>
      </c>
      <c r="X262" s="5">
        <f ca="1">IFERROR(__xludf.DUMMYFUNCTION("""COMPUTED_VALUE"""),1)</f>
        <v>1</v>
      </c>
      <c r="Y262" s="5" t="str">
        <f ca="1">IFERROR(__xludf.DUMMYFUNCTION("""COMPUTED_VALUE"""),"Shots fired from a vehicle at students in the parking lot")</f>
        <v>Shots fired from a vehicle at students in the parking lot</v>
      </c>
      <c r="Z262" s="5" t="str">
        <f ca="1">IFERROR(__xludf.DUMMYFUNCTION("""COMPUTED_VALUE"""),"Shots fired from a passing vehicle at students in the parking lot. No injuries. Shooter fled.")</f>
        <v>Shots fired from a passing vehicle at students in the parking lot. No injuries. Shooter fled.</v>
      </c>
      <c r="AA262" s="5" t="str">
        <f ca="1">IFERROR(__xludf.DUMMYFUNCTION("""COMPUTED_VALUE"""),"Drive-by Shooting")</f>
        <v>Drive-by Shooting</v>
      </c>
      <c r="AB262" s="5" t="str">
        <f ca="1">IFERROR(__xludf.DUMMYFUNCTION("""COMPUTED_VALUE"""),"Random Shooting")</f>
        <v>Random Shooting</v>
      </c>
      <c r="AC262" s="5" t="str">
        <f ca="1">IFERROR(__xludf.DUMMYFUNCTION("""COMPUTED_VALUE"""),"No")</f>
        <v>No</v>
      </c>
      <c r="AD262" s="5" t="str">
        <f ca="1">IFERROR(__xludf.DUMMYFUNCTION("""COMPUTED_VALUE"""),"No")</f>
        <v>No</v>
      </c>
      <c r="AE262" s="5" t="str">
        <f ca="1">IFERROR(__xludf.DUMMYFUNCTION("""COMPUTED_VALUE"""),"No")</f>
        <v>No</v>
      </c>
      <c r="AF262" s="5" t="str">
        <f ca="1">IFERROR(__xludf.DUMMYFUNCTION("""COMPUTED_VALUE"""),"No")</f>
        <v>No</v>
      </c>
      <c r="AG262" s="5" t="str">
        <f ca="1">IFERROR(__xludf.DUMMYFUNCTION("""COMPUTED_VALUE"""),"No")</f>
        <v>No</v>
      </c>
      <c r="AH262" s="5" t="str">
        <f ca="1">IFERROR(__xludf.DUMMYFUNCTION("""COMPUTED_VALUE"""),"No")</f>
        <v>No</v>
      </c>
      <c r="AI262" s="5"/>
      <c r="AJ262" s="5" t="str">
        <f ca="1">IFERROR(__xludf.DUMMYFUNCTION("""COMPUTED_VALUE"""),"No")</f>
        <v>No</v>
      </c>
    </row>
    <row r="263" spans="1:36" ht="13">
      <c r="A263" s="5" t="str">
        <f ca="1">IFERROR(__xludf.DUMMYFUNCTION("""COMPUTED_VALUE"""),"20220519MIEAK")</f>
        <v>20220519MIEAK</v>
      </c>
      <c r="B263" s="5">
        <f ca="1">IFERROR(__xludf.DUMMYFUNCTION("""COMPUTED_VALUE"""),5)</f>
        <v>5</v>
      </c>
      <c r="C263" s="5">
        <f ca="1">IFERROR(__xludf.DUMMYFUNCTION("""COMPUTED_VALUE"""),19)</f>
        <v>19</v>
      </c>
      <c r="D263" s="5">
        <f ca="1">IFERROR(__xludf.DUMMYFUNCTION("""COMPUTED_VALUE"""),2022)</f>
        <v>2022</v>
      </c>
      <c r="E263" s="8">
        <f ca="1">IFERROR(__xludf.DUMMYFUNCTION("""COMPUTED_VALUE"""),44700)</f>
        <v>44700</v>
      </c>
      <c r="F263" s="5" t="str">
        <f ca="1">IFERROR(__xludf.DUMMYFUNCTION("""COMPUTED_VALUE"""),"East Kentwood High School")</f>
        <v>East Kentwood High School</v>
      </c>
      <c r="G263" s="5">
        <f ca="1">IFERROR(__xludf.DUMMYFUNCTION("""COMPUTED_VALUE"""),0)</f>
        <v>0</v>
      </c>
      <c r="H263" s="5">
        <f ca="1">IFERROR(__xludf.DUMMYFUNCTION("""COMPUTED_VALUE"""),2)</f>
        <v>2</v>
      </c>
      <c r="I263" s="5">
        <f ca="1">IFERROR(__xludf.DUMMYFUNCTION("""COMPUTED_VALUE"""),2)</f>
        <v>2</v>
      </c>
      <c r="J263" s="5">
        <f ca="1">IFERROR(__xludf.DUMMYFUNCTION("""COMPUTED_VALUE"""),0)</f>
        <v>0</v>
      </c>
      <c r="K263" s="5" t="str">
        <f ca="1">IFERROR(__xludf.DUMMYFUNCTION("""COMPUTED_VALUE"""),"https://www.fox17online.com/news/local-news/kent/breaking-shots-fired-at-east-kentwood-high-school https://www.mlive.com/news/grand-rapids/2022/05/kentwood-closes-several-schools-after-shooting-outside-graduation-ceremony.html https://www.fox17online.com/"&amp;"news/local-news/kent/breaking-shots-fired-at-east-kentwood-high-school https://www.woodtv.com/news/kent-county/deputies-respond-to-reports-of-shots-fired-near-east-kentwood-high-school/")</f>
        <v>https://www.fox17online.com/news/local-news/kent/breaking-shots-fired-at-east-kentwood-high-school https://www.mlive.com/news/grand-rapids/2022/05/kentwood-closes-several-schools-after-shooting-outside-graduation-ceremony.html https://www.fox17online.com/news/local-news/kent/breaking-shots-fired-at-east-kentwood-high-school https://www.woodtv.com/news/kent-county/deputies-respond-to-reports-of-shots-fired-near-east-kentwood-high-school/</v>
      </c>
      <c r="L263" s="5">
        <f ca="1">IFERROR(__xludf.DUMMYFUNCTION("""COMPUTED_VALUE"""),100)</f>
        <v>100</v>
      </c>
      <c r="M263" s="5" t="str">
        <f ca="1">IFERROR(__xludf.DUMMYFUNCTION("""COMPUTED_VALUE"""),"National")</f>
        <v>National</v>
      </c>
      <c r="N263" s="5">
        <f ca="1">IFERROR(__xludf.DUMMYFUNCTION("""COMPUTED_VALUE"""),4)</f>
        <v>4</v>
      </c>
      <c r="O263" s="5" t="str">
        <f ca="1">IFERROR(__xludf.DUMMYFUNCTION("""COMPUTED_VALUE"""),"Spring")</f>
        <v>Spring</v>
      </c>
      <c r="P263" s="5" t="str">
        <f ca="1">IFERROR(__xludf.DUMMYFUNCTION("""COMPUTED_VALUE"""),"Kentwood")</f>
        <v>Kentwood</v>
      </c>
      <c r="Q263" s="5" t="str">
        <f ca="1">IFERROR(__xludf.DUMMYFUNCTION("""COMPUTED_VALUE"""),"MI")</f>
        <v>MI</v>
      </c>
      <c r="R263" s="5" t="str">
        <f ca="1">IFERROR(__xludf.DUMMYFUNCTION("""COMPUTED_VALUE"""),"High")</f>
        <v>High</v>
      </c>
      <c r="S263" s="5" t="str">
        <f ca="1">IFERROR(__xludf.DUMMYFUNCTION("""COMPUTED_VALUE"""),"Parking Lot")</f>
        <v>Parking Lot</v>
      </c>
      <c r="T263" s="5" t="str">
        <f ca="1">IFERROR(__xludf.DUMMYFUNCTION("""COMPUTED_VALUE"""),"Outside on School Property")</f>
        <v>Outside on School Property</v>
      </c>
      <c r="U263" s="5" t="str">
        <f ca="1">IFERROR(__xludf.DUMMYFUNCTION("""COMPUTED_VALUE"""),"No")</f>
        <v>No</v>
      </c>
      <c r="V263" s="5" t="str">
        <f ca="1">IFERROR(__xludf.DUMMYFUNCTION("""COMPUTED_VALUE"""),"School Event")</f>
        <v>School Event</v>
      </c>
      <c r="W263" s="10">
        <f ca="1">IFERROR(__xludf.DUMMYFUNCTION("""COMPUTED_VALUE"""),0.8125)</f>
        <v>0.8125</v>
      </c>
      <c r="X263" s="5">
        <f ca="1">IFERROR(__xludf.DUMMYFUNCTION("""COMPUTED_VALUE"""),1)</f>
        <v>1</v>
      </c>
      <c r="Y263" s="5" t="str">
        <f ca="1">IFERROR(__xludf.DUMMYFUNCTION("""COMPUTED_VALUE"""),"Drive-by shooting in the parking lot of the school following graduation")</f>
        <v>Drive-by shooting in the parking lot of the school following graduation</v>
      </c>
      <c r="Z263" s="5" t="str">
        <f ca="1">IFERROR(__xludf.DUMMYFUNCTION("""COMPUTED_VALUE"""),"Two people were shot in the parking lot near the football stadium of the high school following the graduation ceremony. Both victims (40YOF, 16YOM) were bystanders, not intended targets. Shooter fled in vehicle.")</f>
        <v>Two people were shot in the parking lot near the football stadium of the high school following the graduation ceremony. Both victims (40YOF, 16YOM) were bystanders, not intended targets. Shooter fled in vehicle.</v>
      </c>
      <c r="AA263" s="5" t="str">
        <f ca="1">IFERROR(__xludf.DUMMYFUNCTION("""COMPUTED_VALUE"""),"Drive-by Shooting")</f>
        <v>Drive-by Shooting</v>
      </c>
      <c r="AB263" s="5" t="str">
        <f ca="1">IFERROR(__xludf.DUMMYFUNCTION("""COMPUTED_VALUE"""),"Both")</f>
        <v>Both</v>
      </c>
      <c r="AC263" s="5" t="str">
        <f ca="1">IFERROR(__xludf.DUMMYFUNCTION("""COMPUTED_VALUE"""),"Yes")</f>
        <v>Yes</v>
      </c>
      <c r="AD263" s="5" t="str">
        <f ca="1">IFERROR(__xludf.DUMMYFUNCTION("""COMPUTED_VALUE"""),"No")</f>
        <v>No</v>
      </c>
      <c r="AE263" s="5" t="str">
        <f ca="1">IFERROR(__xludf.DUMMYFUNCTION("""COMPUTED_VALUE"""),"No")</f>
        <v>No</v>
      </c>
      <c r="AF263" s="5" t="str">
        <f ca="1">IFERROR(__xludf.DUMMYFUNCTION("""COMPUTED_VALUE"""),"No")</f>
        <v>No</v>
      </c>
      <c r="AG263" s="5" t="str">
        <f ca="1">IFERROR(__xludf.DUMMYFUNCTION("""COMPUTED_VALUE"""),"No")</f>
        <v>No</v>
      </c>
      <c r="AH263" s="5" t="str">
        <f ca="1">IFERROR(__xludf.DUMMYFUNCTION("""COMPUTED_VALUE"""),"No")</f>
        <v>No</v>
      </c>
      <c r="AI263" s="5"/>
      <c r="AJ263" s="5" t="str">
        <f ca="1">IFERROR(__xludf.DUMMYFUNCTION("""COMPUTED_VALUE"""),"No")</f>
        <v>No</v>
      </c>
    </row>
    <row r="264" spans="1:36" ht="13">
      <c r="A264" s="5" t="str">
        <f ca="1">IFERROR(__xludf.DUMMYFUNCTION("""COMPUTED_VALUE"""),"20220519LAHAH")</f>
        <v>20220519LAHAH</v>
      </c>
      <c r="B264" s="5">
        <f ca="1">IFERROR(__xludf.DUMMYFUNCTION("""COMPUTED_VALUE"""),5)</f>
        <v>5</v>
      </c>
      <c r="C264" s="5">
        <f ca="1">IFERROR(__xludf.DUMMYFUNCTION("""COMPUTED_VALUE"""),19)</f>
        <v>19</v>
      </c>
      <c r="D264" s="5">
        <f ca="1">IFERROR(__xludf.DUMMYFUNCTION("""COMPUTED_VALUE"""),2022)</f>
        <v>2022</v>
      </c>
      <c r="E264" s="8">
        <f ca="1">IFERROR(__xludf.DUMMYFUNCTION("""COMPUTED_VALUE"""),44700)</f>
        <v>44700</v>
      </c>
      <c r="F264" s="5" t="str">
        <f ca="1">IFERROR(__xludf.DUMMYFUNCTION("""COMPUTED_VALUE"""),"Hammond High Magnet School")</f>
        <v>Hammond High Magnet School</v>
      </c>
      <c r="G264" s="5">
        <f ca="1">IFERROR(__xludf.DUMMYFUNCTION("""COMPUTED_VALUE"""),0)</f>
        <v>0</v>
      </c>
      <c r="H264" s="5">
        <f ca="1">IFERROR(__xludf.DUMMYFUNCTION("""COMPUTED_VALUE"""),3)</f>
        <v>3</v>
      </c>
      <c r="I264" s="5">
        <f ca="1">IFERROR(__xludf.DUMMYFUNCTION("""COMPUTED_VALUE"""),3)</f>
        <v>3</v>
      </c>
      <c r="J264" s="5">
        <f ca="1">IFERROR(__xludf.DUMMYFUNCTION("""COMPUTED_VALUE"""),0)</f>
        <v>0</v>
      </c>
      <c r="K264" s="5" t="str">
        <f ca="1">IFERROR(__xludf.DUMMYFUNCTION("""COMPUTED_VALUE"""),"https://www.wdsu.com/article/police-investigating-a-shooting-on-southeastern-universitys-campus/40053292 https://www.wdsu.com/article/police-investigating-a-shooting-on-southeastern-universitys-campus/40053292#")</f>
        <v>https://www.wdsu.com/article/police-investigating-a-shooting-on-southeastern-universitys-campus/40053292 https://www.wdsu.com/article/police-investigating-a-shooting-on-southeastern-universitys-campus/40053292#</v>
      </c>
      <c r="L264" s="5">
        <f ca="1">IFERROR(__xludf.DUMMYFUNCTION("""COMPUTED_VALUE"""),100)</f>
        <v>100</v>
      </c>
      <c r="M264" s="5" t="str">
        <f ca="1">IFERROR(__xludf.DUMMYFUNCTION("""COMPUTED_VALUE"""),"National")</f>
        <v>National</v>
      </c>
      <c r="N264" s="5">
        <f ca="1">IFERROR(__xludf.DUMMYFUNCTION("""COMPUTED_VALUE"""),4)</f>
        <v>4</v>
      </c>
      <c r="O264" s="5" t="str">
        <f ca="1">IFERROR(__xludf.DUMMYFUNCTION("""COMPUTED_VALUE"""),"Spring")</f>
        <v>Spring</v>
      </c>
      <c r="P264" s="5" t="str">
        <f ca="1">IFERROR(__xludf.DUMMYFUNCTION("""COMPUTED_VALUE"""),"Hammond")</f>
        <v>Hammond</v>
      </c>
      <c r="Q264" s="5" t="str">
        <f ca="1">IFERROR(__xludf.DUMMYFUNCTION("""COMPUTED_VALUE"""),"LA")</f>
        <v>LA</v>
      </c>
      <c r="R264" s="5" t="str">
        <f ca="1">IFERROR(__xludf.DUMMYFUNCTION("""COMPUTED_VALUE"""),"High")</f>
        <v>High</v>
      </c>
      <c r="S264" s="5" t="str">
        <f ca="1">IFERROR(__xludf.DUMMYFUNCTION("""COMPUTED_VALUE"""),"Off School Property")</f>
        <v>Off School Property</v>
      </c>
      <c r="T264" s="5" t="str">
        <f ca="1">IFERROR(__xludf.DUMMYFUNCTION("""COMPUTED_VALUE"""),"Off School Property")</f>
        <v>Off School Property</v>
      </c>
      <c r="U264" s="5" t="str">
        <f ca="1">IFERROR(__xludf.DUMMYFUNCTION("""COMPUTED_VALUE"""),"No")</f>
        <v>No</v>
      </c>
      <c r="V264" s="5" t="str">
        <f ca="1">IFERROR(__xludf.DUMMYFUNCTION("""COMPUTED_VALUE"""),"School Event")</f>
        <v>School Event</v>
      </c>
      <c r="W264" s="10">
        <f ca="1">IFERROR(__xludf.DUMMYFUNCTION("""COMPUTED_VALUE"""),0.833333333333333)</f>
        <v>0.83333333333333304</v>
      </c>
      <c r="X264" s="5">
        <f ca="1">IFERROR(__xludf.DUMMYFUNCTION("""COMPUTED_VALUE"""),1)</f>
        <v>1</v>
      </c>
      <c r="Y264" s="5" t="str">
        <f ca="1">IFERROR(__xludf.DUMMYFUNCTION("""COMPUTED_VALUE"""),"Shots firing during fight that escalated following graduation ceremony")</f>
        <v>Shots firing during fight that escalated following graduation ceremony</v>
      </c>
      <c r="Z264" s="5" t="str">
        <f ca="1">IFERROR(__xludf.DUMMYFUNCTION("""COMPUTED_VALUE"""),"A 20-year-old man fired 10 shots during an argument with a minor outside of the auditorium following the high school graduation ceremony held on the Southeastern University campus. 3 bystanders were shot. Shooter fled and was arrested the following day.")</f>
        <v>A 20-year-old man fired 10 shots during an argument with a minor outside of the auditorium following the high school graduation ceremony held on the Southeastern University campus. 3 bystanders were shot. Shooter fled and was arrested the following day.</v>
      </c>
      <c r="AA264" s="5" t="str">
        <f ca="1">IFERROR(__xludf.DUMMYFUNCTION("""COMPUTED_VALUE"""),"Escalation of Dispute")</f>
        <v>Escalation of Dispute</v>
      </c>
      <c r="AB264" s="5" t="str">
        <f ca="1">IFERROR(__xludf.DUMMYFUNCTION("""COMPUTED_VALUE"""),"Both")</f>
        <v>Both</v>
      </c>
      <c r="AC264" s="5" t="str">
        <f ca="1">IFERROR(__xludf.DUMMYFUNCTION("""COMPUTED_VALUE"""),"No")</f>
        <v>No</v>
      </c>
      <c r="AD264" s="5" t="str">
        <f ca="1">IFERROR(__xludf.DUMMYFUNCTION("""COMPUTED_VALUE"""),"No")</f>
        <v>No</v>
      </c>
      <c r="AE264" s="5" t="str">
        <f ca="1">IFERROR(__xludf.DUMMYFUNCTION("""COMPUTED_VALUE"""),"No")</f>
        <v>No</v>
      </c>
      <c r="AF264" s="5" t="str">
        <f ca="1">IFERROR(__xludf.DUMMYFUNCTION("""COMPUTED_VALUE"""),"No")</f>
        <v>No</v>
      </c>
      <c r="AG264" s="5" t="str">
        <f ca="1">IFERROR(__xludf.DUMMYFUNCTION("""COMPUTED_VALUE"""),"No")</f>
        <v>No</v>
      </c>
      <c r="AH264" s="5" t="str">
        <f ca="1">IFERROR(__xludf.DUMMYFUNCTION("""COMPUTED_VALUE"""),"No")</f>
        <v>No</v>
      </c>
      <c r="AI264" s="5" t="str">
        <f ca="1">IFERROR(__xludf.DUMMYFUNCTION("""COMPUTED_VALUE"""),"Yes")</f>
        <v>Yes</v>
      </c>
      <c r="AJ264" s="5" t="str">
        <f ca="1">IFERROR(__xludf.DUMMYFUNCTION("""COMPUTED_VALUE"""),"No")</f>
        <v>No</v>
      </c>
    </row>
    <row r="265" spans="1:36" ht="13">
      <c r="A265" s="5" t="str">
        <f ca="1">IFERROR(__xludf.DUMMYFUNCTION("""COMPUTED_VALUE"""),"20220518TNRIM")</f>
        <v>20220518TNRIM</v>
      </c>
      <c r="B265" s="5">
        <f ca="1">IFERROR(__xludf.DUMMYFUNCTION("""COMPUTED_VALUE"""),5)</f>
        <v>5</v>
      </c>
      <c r="C265" s="5">
        <f ca="1">IFERROR(__xludf.DUMMYFUNCTION("""COMPUTED_VALUE"""),18)</f>
        <v>18</v>
      </c>
      <c r="D265" s="5">
        <f ca="1">IFERROR(__xludf.DUMMYFUNCTION("""COMPUTED_VALUE"""),2022)</f>
        <v>2022</v>
      </c>
      <c r="E265" s="8">
        <f ca="1">IFERROR(__xludf.DUMMYFUNCTION("""COMPUTED_VALUE"""),44699)</f>
        <v>44699</v>
      </c>
      <c r="F265" s="5" t="str">
        <f ca="1">IFERROR(__xludf.DUMMYFUNCTION("""COMPUTED_VALUE"""),"Riverdale High School")</f>
        <v>Riverdale High School</v>
      </c>
      <c r="G265" s="5">
        <f ca="1">IFERROR(__xludf.DUMMYFUNCTION("""COMPUTED_VALUE"""),1)</f>
        <v>1</v>
      </c>
      <c r="H265" s="5">
        <f ca="1">IFERROR(__xludf.DUMMYFUNCTION("""COMPUTED_VALUE"""),1)</f>
        <v>1</v>
      </c>
      <c r="I265" s="5">
        <f ca="1">IFERROR(__xludf.DUMMYFUNCTION("""COMPUTED_VALUE"""),2)</f>
        <v>2</v>
      </c>
      <c r="J265" s="5">
        <f ca="1">IFERROR(__xludf.DUMMYFUNCTION("""COMPUTED_VALUE"""),0)</f>
        <v>0</v>
      </c>
      <c r="K265" s="5" t="str">
        <f ca="1">IFERROR(__xludf.DUMMYFUNCTION("""COMPUTED_VALUE"""),"https://www.tennessean.com/story/news/crime/2022/05/18/mtsu-shooting-campus-murphy-center-middle-tennessee-state-university/9833523002/ https://www.newschannel5.com/news/police-investigating-shooting-outside-of-mtsus-murphy-center https://fox17.com/news/l"&amp;"ocal/shooting-reported-at-mtsus-athletic-center-students-told-to-shelter-in-place")</f>
        <v>https://www.tennessean.com/story/news/crime/2022/05/18/mtsu-shooting-campus-murphy-center-middle-tennessee-state-university/9833523002/ https://www.newschannel5.com/news/police-investigating-shooting-outside-of-mtsus-murphy-center https://fox17.com/news/local/shooting-reported-at-mtsus-athletic-center-students-told-to-shelter-in-place</v>
      </c>
      <c r="L265" s="5">
        <f ca="1">IFERROR(__xludf.DUMMYFUNCTION("""COMPUTED_VALUE"""),50)</f>
        <v>50</v>
      </c>
      <c r="M265" s="5" t="str">
        <f ca="1">IFERROR(__xludf.DUMMYFUNCTION("""COMPUTED_VALUE"""),"National")</f>
        <v>National</v>
      </c>
      <c r="N265" s="5">
        <f ca="1">IFERROR(__xludf.DUMMYFUNCTION("""COMPUTED_VALUE"""),4)</f>
        <v>4</v>
      </c>
      <c r="O265" s="5" t="str">
        <f ca="1">IFERROR(__xludf.DUMMYFUNCTION("""COMPUTED_VALUE"""),"Spring")</f>
        <v>Spring</v>
      </c>
      <c r="P265" s="5" t="str">
        <f ca="1">IFERROR(__xludf.DUMMYFUNCTION("""COMPUTED_VALUE"""),"Murfreesboro")</f>
        <v>Murfreesboro</v>
      </c>
      <c r="Q265" s="5" t="str">
        <f ca="1">IFERROR(__xludf.DUMMYFUNCTION("""COMPUTED_VALUE"""),"TN")</f>
        <v>TN</v>
      </c>
      <c r="R265" s="5" t="str">
        <f ca="1">IFERROR(__xludf.DUMMYFUNCTION("""COMPUTED_VALUE"""),"High")</f>
        <v>High</v>
      </c>
      <c r="S265" s="5" t="str">
        <f ca="1">IFERROR(__xludf.DUMMYFUNCTION("""COMPUTED_VALUE"""),"Off School Property")</f>
        <v>Off School Property</v>
      </c>
      <c r="T265" s="5" t="str">
        <f ca="1">IFERROR(__xludf.DUMMYFUNCTION("""COMPUTED_VALUE"""),"Off School Property")</f>
        <v>Off School Property</v>
      </c>
      <c r="U265" s="5" t="str">
        <f ca="1">IFERROR(__xludf.DUMMYFUNCTION("""COMPUTED_VALUE"""),"No")</f>
        <v>No</v>
      </c>
      <c r="V265" s="5" t="str">
        <f ca="1">IFERROR(__xludf.DUMMYFUNCTION("""COMPUTED_VALUE"""),"School Event")</f>
        <v>School Event</v>
      </c>
      <c r="W265" s="10">
        <f ca="1">IFERROR(__xludf.DUMMYFUNCTION("""COMPUTED_VALUE"""),0.895833333333333)</f>
        <v>0.89583333333333304</v>
      </c>
      <c r="X265" s="5">
        <f ca="1">IFERROR(__xludf.DUMMYFUNCTION("""COMPUTED_VALUE"""),1)</f>
        <v>1</v>
      </c>
      <c r="Y265" s="5" t="str">
        <f ca="1">IFERROR(__xludf.DUMMYFUNCTION("""COMPUTED_VALUE"""),"Two people shot following high school graduation on MTSU campus")</f>
        <v>Two people shot following high school graduation on MTSU campus</v>
      </c>
      <c r="Z265" s="5" t="str">
        <f ca="1">IFERROR(__xludf.DUMMYFUNCTION("""COMPUTED_VALUE"""),"Two people were shot (one fatal, one critical) outside of the auditorium following graduation ceremony for Riverdale High School. The graduation was held on the MTSU campus. 6-8 shots were fired while students and parents were taking photos outside when a"&amp;" fight started between 2 men. Shooter fled. Students and parents went into the auditorium to shelter in place. MTSU campus went on lockdown. Classes were canceled at Riverdale High the following day.")</f>
        <v>Two people were shot (one fatal, one critical) outside of the auditorium following graduation ceremony for Riverdale High School. The graduation was held on the MTSU campus. 6-8 shots were fired while students and parents were taking photos outside when a fight started between 2 men. Shooter fled. Students and parents went into the auditorium to shelter in place. MTSU campus went on lockdown. Classes were canceled at Riverdale High the following day.</v>
      </c>
      <c r="AA265" s="5" t="str">
        <f ca="1">IFERROR(__xludf.DUMMYFUNCTION("""COMPUTED_VALUE"""),"Escalation of Dispute")</f>
        <v>Escalation of Dispute</v>
      </c>
      <c r="AB265" s="5" t="str">
        <f ca="1">IFERROR(__xludf.DUMMYFUNCTION("""COMPUTED_VALUE"""),"Both")</f>
        <v>Both</v>
      </c>
      <c r="AC265" s="5" t="str">
        <f ca="1">IFERROR(__xludf.DUMMYFUNCTION("""COMPUTED_VALUE"""),"No")</f>
        <v>No</v>
      </c>
      <c r="AD265" s="5" t="str">
        <f ca="1">IFERROR(__xludf.DUMMYFUNCTION("""COMPUTED_VALUE"""),"No")</f>
        <v>No</v>
      </c>
      <c r="AE265" s="5" t="str">
        <f ca="1">IFERROR(__xludf.DUMMYFUNCTION("""COMPUTED_VALUE"""),"No")</f>
        <v>No</v>
      </c>
      <c r="AF265" s="5" t="str">
        <f ca="1">IFERROR(__xludf.DUMMYFUNCTION("""COMPUTED_VALUE"""),"No")</f>
        <v>No</v>
      </c>
      <c r="AG265" s="5" t="str">
        <f ca="1">IFERROR(__xludf.DUMMYFUNCTION("""COMPUTED_VALUE"""),"No")</f>
        <v>No</v>
      </c>
      <c r="AH265" s="5" t="str">
        <f ca="1">IFERROR(__xludf.DUMMYFUNCTION("""COMPUTED_VALUE"""),"No")</f>
        <v>No</v>
      </c>
      <c r="AI265" s="5"/>
      <c r="AJ265" s="5" t="str">
        <f ca="1">IFERROR(__xludf.DUMMYFUNCTION("""COMPUTED_VALUE"""),"No")</f>
        <v>No</v>
      </c>
    </row>
    <row r="266" spans="1:36" ht="13">
      <c r="A266" s="5" t="str">
        <f ca="1">IFERROR(__xludf.DUMMYFUNCTION("""COMPUTED_VALUE"""),"20220518FLPAP")</f>
        <v>20220518FLPAP</v>
      </c>
      <c r="B266" s="5">
        <f ca="1">IFERROR(__xludf.DUMMYFUNCTION("""COMPUTED_VALUE"""),5)</f>
        <v>5</v>
      </c>
      <c r="C266" s="5">
        <f ca="1">IFERROR(__xludf.DUMMYFUNCTION("""COMPUTED_VALUE"""),18)</f>
        <v>18</v>
      </c>
      <c r="D266" s="5">
        <f ca="1">IFERROR(__xludf.DUMMYFUNCTION("""COMPUTED_VALUE"""),2022)</f>
        <v>2022</v>
      </c>
      <c r="E266" s="8">
        <f ca="1">IFERROR(__xludf.DUMMYFUNCTION("""COMPUTED_VALUE"""),44699)</f>
        <v>44699</v>
      </c>
      <c r="F266" s="5" t="str">
        <f ca="1">IFERROR(__xludf.DUMMYFUNCTION("""COMPUTED_VALUE"""),"Palmetto High School")</f>
        <v>Palmetto High School</v>
      </c>
      <c r="G266" s="5">
        <f ca="1">IFERROR(__xludf.DUMMYFUNCTION("""COMPUTED_VALUE"""),0)</f>
        <v>0</v>
      </c>
      <c r="H266" s="5">
        <f ca="1">IFERROR(__xludf.DUMMYFUNCTION("""COMPUTED_VALUE"""),0)</f>
        <v>0</v>
      </c>
      <c r="I266" s="5">
        <f ca="1">IFERROR(__xludf.DUMMYFUNCTION("""COMPUTED_VALUE"""),0)</f>
        <v>0</v>
      </c>
      <c r="J266" s="5">
        <f ca="1">IFERROR(__xludf.DUMMYFUNCTION("""COMPUTED_VALUE"""),0)</f>
        <v>0</v>
      </c>
      <c r="K266" s="5" t="str">
        <f ca="1">IFERROR(__xludf.DUMMYFUNCTION("""COMPUTED_VALUE"""),"https://www.wfla.com/news/local-news/manatee-county/13-year-old-arrested-for-palmetto-high-school-football-game-shooting/ https://www.wtsp.com/article/news/local/manateecounty/shot-fired-palmetto-high-school-football-game/67-367aa1ed-25e0-49a2-a5e6-07c23b"&amp;"0a9dff")</f>
        <v>https://www.wfla.com/news/local-news/manatee-county/13-year-old-arrested-for-palmetto-high-school-football-game-shooting/ https://www.wtsp.com/article/news/local/manateecounty/shot-fired-palmetto-high-school-football-game/67-367aa1ed-25e0-49a2-a5e6-07c23b0a9dff</v>
      </c>
      <c r="L266" s="5">
        <f ca="1">IFERROR(__xludf.DUMMYFUNCTION("""COMPUTED_VALUE"""),5)</f>
        <v>5</v>
      </c>
      <c r="M266" s="5" t="str">
        <f ca="1">IFERROR(__xludf.DUMMYFUNCTION("""COMPUTED_VALUE"""),"Regional")</f>
        <v>Regional</v>
      </c>
      <c r="N266" s="5">
        <f ca="1">IFERROR(__xludf.DUMMYFUNCTION("""COMPUTED_VALUE"""),4)</f>
        <v>4</v>
      </c>
      <c r="O266" s="5" t="str">
        <f ca="1">IFERROR(__xludf.DUMMYFUNCTION("""COMPUTED_VALUE"""),"Spring")</f>
        <v>Spring</v>
      </c>
      <c r="P266" s="5" t="str">
        <f ca="1">IFERROR(__xludf.DUMMYFUNCTION("""COMPUTED_VALUE"""),"Palmetto")</f>
        <v>Palmetto</v>
      </c>
      <c r="Q266" s="5" t="str">
        <f ca="1">IFERROR(__xludf.DUMMYFUNCTION("""COMPUTED_VALUE"""),"FL")</f>
        <v>FL</v>
      </c>
      <c r="R266" s="5" t="str">
        <f ca="1">IFERROR(__xludf.DUMMYFUNCTION("""COMPUTED_VALUE"""),"High")</f>
        <v>High</v>
      </c>
      <c r="S266" s="5" t="str">
        <f ca="1">IFERROR(__xludf.DUMMYFUNCTION("""COMPUTED_VALUE"""),"Football Field/Track")</f>
        <v>Football Field/Track</v>
      </c>
      <c r="T266" s="5" t="str">
        <f ca="1">IFERROR(__xludf.DUMMYFUNCTION("""COMPUTED_VALUE"""),"Outside on School Property")</f>
        <v>Outside on School Property</v>
      </c>
      <c r="U266" s="5" t="str">
        <f ca="1">IFERROR(__xludf.DUMMYFUNCTION("""COMPUTED_VALUE"""),"No")</f>
        <v>No</v>
      </c>
      <c r="V266" s="5" t="str">
        <f ca="1">IFERROR(__xludf.DUMMYFUNCTION("""COMPUTED_VALUE"""),"Sport Event")</f>
        <v>Sport Event</v>
      </c>
      <c r="W266" s="10">
        <f ca="1">IFERROR(__xludf.DUMMYFUNCTION("""COMPUTED_VALUE"""),0.895833333333333)</f>
        <v>0.89583333333333304</v>
      </c>
      <c r="X266" s="5">
        <f ca="1">IFERROR(__xludf.DUMMYFUNCTION("""COMPUTED_VALUE"""),1)</f>
        <v>1</v>
      </c>
      <c r="Y266" s="5" t="str">
        <f ca="1">IFERROR(__xludf.DUMMYFUNCTION("""COMPUTED_VALUE"""),"Shot fired during fight on sideline during football game")</f>
        <v>Shot fired during fight on sideline during football game</v>
      </c>
      <c r="Z266" s="5" t="str">
        <f ca="1">IFERROR(__xludf.DUMMYFUNCTION("""COMPUTED_VALUE"""),"A shot was fired during a fight between a group of students on the sideline at the end of a football game. Students ran. Police found two handguns in the stadium. No injuries. Police and school staff were present at the game and witnessed the shooting. Ga"&amp;"me was televised on local TV, broadcast shows players lining up and then sprinting off the field when the shot is fired. When 13-year-old shooter was arrested 2 days later, a handgun was found at his house. Shooter had prior criminal history.")</f>
        <v>A shot was fired during a fight between a group of students on the sideline at the end of a football game. Students ran. Police found two handguns in the stadium. No injuries. Police and school staff were present at the game and witnessed the shooting. Game was televised on local TV, broadcast shows players lining up and then sprinting off the field when the shot is fired. When 13-year-old shooter was arrested 2 days later, a handgun was found at his house. Shooter had prior criminal history.</v>
      </c>
      <c r="AA266" s="5" t="str">
        <f ca="1">IFERROR(__xludf.DUMMYFUNCTION("""COMPUTED_VALUE"""),"Escalation of Dispute")</f>
        <v>Escalation of Dispute</v>
      </c>
      <c r="AB266" s="5" t="str">
        <f ca="1">IFERROR(__xludf.DUMMYFUNCTION("""COMPUTED_VALUE"""),"Victims Targeted")</f>
        <v>Victims Targeted</v>
      </c>
      <c r="AC266" s="5" t="str">
        <f ca="1">IFERROR(__xludf.DUMMYFUNCTION("""COMPUTED_VALUE"""),"No")</f>
        <v>No</v>
      </c>
      <c r="AD266" s="5" t="str">
        <f ca="1">IFERROR(__xludf.DUMMYFUNCTION("""COMPUTED_VALUE"""),"No")</f>
        <v>No</v>
      </c>
      <c r="AE266" s="5" t="str">
        <f ca="1">IFERROR(__xludf.DUMMYFUNCTION("""COMPUTED_VALUE"""),"No")</f>
        <v>No</v>
      </c>
      <c r="AF266" s="5" t="str">
        <f ca="1">IFERROR(__xludf.DUMMYFUNCTION("""COMPUTED_VALUE"""),"No")</f>
        <v>No</v>
      </c>
      <c r="AG266" s="5" t="str">
        <f ca="1">IFERROR(__xludf.DUMMYFUNCTION("""COMPUTED_VALUE"""),"No")</f>
        <v>No</v>
      </c>
      <c r="AH266" s="5" t="str">
        <f ca="1">IFERROR(__xludf.DUMMYFUNCTION("""COMPUTED_VALUE"""),"No")</f>
        <v>No</v>
      </c>
      <c r="AI266" s="5"/>
      <c r="AJ266" s="5" t="str">
        <f ca="1">IFERROR(__xludf.DUMMYFUNCTION("""COMPUTED_VALUE"""),"No")</f>
        <v>No</v>
      </c>
    </row>
    <row r="267" spans="1:36" ht="13">
      <c r="A267" s="5" t="str">
        <f ca="1">IFERROR(__xludf.DUMMYFUNCTION("""COMPUTED_VALUE"""),"20220517ILWAC")</f>
        <v>20220517ILWAC</v>
      </c>
      <c r="B267" s="5">
        <f ca="1">IFERROR(__xludf.DUMMYFUNCTION("""COMPUTED_VALUE"""),5)</f>
        <v>5</v>
      </c>
      <c r="C267" s="5">
        <f ca="1">IFERROR(__xludf.DUMMYFUNCTION("""COMPUTED_VALUE"""),17)</f>
        <v>17</v>
      </c>
      <c r="D267" s="5">
        <f ca="1">IFERROR(__xludf.DUMMYFUNCTION("""COMPUTED_VALUE"""),2022)</f>
        <v>2022</v>
      </c>
      <c r="E267" s="8">
        <f ca="1">IFERROR(__xludf.DUMMYFUNCTION("""COMPUTED_VALUE"""),44698)</f>
        <v>44698</v>
      </c>
      <c r="F267" s="5" t="str">
        <f ca="1">IFERROR(__xludf.DUMMYFUNCTION("""COMPUTED_VALUE"""),"Walt Disney Magnet School")</f>
        <v>Walt Disney Magnet School</v>
      </c>
      <c r="G267" s="5">
        <f ca="1">IFERROR(__xludf.DUMMYFUNCTION("""COMPUTED_VALUE"""),0)</f>
        <v>0</v>
      </c>
      <c r="H267" s="5">
        <f ca="1">IFERROR(__xludf.DUMMYFUNCTION("""COMPUTED_VALUE"""),1)</f>
        <v>1</v>
      </c>
      <c r="I267" s="5">
        <f ca="1">IFERROR(__xludf.DUMMYFUNCTION("""COMPUTED_VALUE"""),1)</f>
        <v>1</v>
      </c>
      <c r="J267" s="5">
        <f ca="1">IFERROR(__xludf.DUMMYFUNCTION("""COMPUTED_VALUE"""),0)</f>
        <v>0</v>
      </c>
      <c r="K267" s="5" t="str">
        <f ca="1">IFERROR(__xludf.DUMMYFUNCTION("""COMPUTED_VALUE"""),"https://abc7chicago.com/disney-magnet-school-shooting-chicago-crime-student-shot/11861196/ https://chicago.suntimes.com/2022/5/17/23099133/7-year-old-boy-hospitalized-with-graze-wound-following-incident-at-disney-magnet-school https://wgntv.com/news/chica"&amp;"gocrime/second-grader-suffers-graze-wound-at-disney-magnet-school/ https://www.fox32chicago.com/news/7-year-old-wounded-after-gun-goes-off-at-chicagos-walt-disney-magnet-school")</f>
        <v>https://abc7chicago.com/disney-magnet-school-shooting-chicago-crime-student-shot/11861196/ https://chicago.suntimes.com/2022/5/17/23099133/7-year-old-boy-hospitalized-with-graze-wound-following-incident-at-disney-magnet-school https://wgntv.com/news/chicagocrime/second-grader-suffers-graze-wound-at-disney-magnet-school/ https://www.fox32chicago.com/news/7-year-old-wounded-after-gun-goes-off-at-chicagos-walt-disney-magnet-school</v>
      </c>
      <c r="L267" s="5">
        <f ca="1">IFERROR(__xludf.DUMMYFUNCTION("""COMPUTED_VALUE"""),10)</f>
        <v>10</v>
      </c>
      <c r="M267" s="5" t="str">
        <f ca="1">IFERROR(__xludf.DUMMYFUNCTION("""COMPUTED_VALUE"""),"Regional")</f>
        <v>Regional</v>
      </c>
      <c r="N267" s="5">
        <f ca="1">IFERROR(__xludf.DUMMYFUNCTION("""COMPUTED_VALUE"""),4)</f>
        <v>4</v>
      </c>
      <c r="O267" s="5" t="str">
        <f ca="1">IFERROR(__xludf.DUMMYFUNCTION("""COMPUTED_VALUE"""),"Spring")</f>
        <v>Spring</v>
      </c>
      <c r="P267" s="5" t="str">
        <f ca="1">IFERROR(__xludf.DUMMYFUNCTION("""COMPUTED_VALUE"""),"Chicago")</f>
        <v>Chicago</v>
      </c>
      <c r="Q267" s="5" t="str">
        <f ca="1">IFERROR(__xludf.DUMMYFUNCTION("""COMPUTED_VALUE"""),"IL")</f>
        <v>IL</v>
      </c>
      <c r="R267" s="5" t="str">
        <f ca="1">IFERROR(__xludf.DUMMYFUNCTION("""COMPUTED_VALUE"""),"K-8")</f>
        <v>K-8</v>
      </c>
      <c r="S267" s="5" t="str">
        <f ca="1">IFERROR(__xludf.DUMMYFUNCTION("""COMPUTED_VALUE"""),"Classroom")</f>
        <v>Classroom</v>
      </c>
      <c r="T267" s="5" t="str">
        <f ca="1">IFERROR(__xludf.DUMMYFUNCTION("""COMPUTED_VALUE"""),"Inside School Building")</f>
        <v>Inside School Building</v>
      </c>
      <c r="U267" s="5" t="str">
        <f ca="1">IFERROR(__xludf.DUMMYFUNCTION("""COMPUTED_VALUE"""),"Yes")</f>
        <v>Yes</v>
      </c>
      <c r="V267" s="5" t="str">
        <f ca="1">IFERROR(__xludf.DUMMYFUNCTION("""COMPUTED_VALUE"""),"Morning Classes")</f>
        <v>Morning Classes</v>
      </c>
      <c r="W267" s="10">
        <f ca="1">IFERROR(__xludf.DUMMYFUNCTION("""COMPUTED_VALUE"""),0.416666666666666)</f>
        <v>0.41666666666666602</v>
      </c>
      <c r="X267" s="5">
        <f ca="1">IFERROR(__xludf.DUMMYFUNCTION("""COMPUTED_VALUE"""),1)</f>
        <v>1</v>
      </c>
      <c r="Y267" s="5" t="str">
        <f ca="1">IFERROR(__xludf.DUMMYFUNCTION("""COMPUTED_VALUE"""),"Gun inside 7-year-old students backpack fired in classroom striking classmate")</f>
        <v>Gun inside 7-year-old students backpack fired in classroom striking classmate</v>
      </c>
      <c r="Z267" s="5" t="str">
        <f ca="1">IFERROR(__xludf.DUMMYFUNCTION("""COMPUTED_VALUE"""),"A gun inside a 7-year-old student's backpack fired inside the classroom striking another 7-year-old student in the abdomen. School did not close and classes continued. Mother charged with 3 counts of child endangerment.")</f>
        <v>A gun inside a 7-year-old student's backpack fired inside the classroom striking another 7-year-old student in the abdomen. School did not close and classes continued. Mother charged with 3 counts of child endangerment.</v>
      </c>
      <c r="AA267" s="5" t="str">
        <f ca="1">IFERROR(__xludf.DUMMYFUNCTION("""COMPUTED_VALUE"""),"Accidental")</f>
        <v>Accidental</v>
      </c>
      <c r="AB267" s="5" t="str">
        <f ca="1">IFERROR(__xludf.DUMMYFUNCTION("""COMPUTED_VALUE"""),"Random Shooting")</f>
        <v>Random Shooting</v>
      </c>
      <c r="AC267" s="5" t="str">
        <f ca="1">IFERROR(__xludf.DUMMYFUNCTION("""COMPUTED_VALUE"""),"No")</f>
        <v>No</v>
      </c>
      <c r="AD267" s="5" t="str">
        <f ca="1">IFERROR(__xludf.DUMMYFUNCTION("""COMPUTED_VALUE"""),"No")</f>
        <v>No</v>
      </c>
      <c r="AE267" s="5" t="str">
        <f ca="1">IFERROR(__xludf.DUMMYFUNCTION("""COMPUTED_VALUE"""),"No")</f>
        <v>No</v>
      </c>
      <c r="AF267" s="5" t="str">
        <f ca="1">IFERROR(__xludf.DUMMYFUNCTION("""COMPUTED_VALUE"""),"No")</f>
        <v>No</v>
      </c>
      <c r="AG267" s="5" t="str">
        <f ca="1">IFERROR(__xludf.DUMMYFUNCTION("""COMPUTED_VALUE"""),"No")</f>
        <v>No</v>
      </c>
      <c r="AH267" s="5" t="str">
        <f ca="1">IFERROR(__xludf.DUMMYFUNCTION("""COMPUTED_VALUE"""),"No")</f>
        <v>No</v>
      </c>
      <c r="AI267" s="5" t="str">
        <f ca="1">IFERROR(__xludf.DUMMYFUNCTION("""COMPUTED_VALUE"""),"No")</f>
        <v>No</v>
      </c>
      <c r="AJ267" s="5" t="str">
        <f ca="1">IFERROR(__xludf.DUMMYFUNCTION("""COMPUTED_VALUE"""),"No")</f>
        <v>No</v>
      </c>
    </row>
    <row r="268" spans="1:36" ht="13">
      <c r="A268" s="5" t="str">
        <f ca="1">IFERROR(__xludf.DUMMYFUNCTION("""COMPUTED_VALUE"""),"20220517CASAS")</f>
        <v>20220517CASAS</v>
      </c>
      <c r="B268" s="5">
        <f ca="1">IFERROR(__xludf.DUMMYFUNCTION("""COMPUTED_VALUE"""),5)</f>
        <v>5</v>
      </c>
      <c r="C268" s="5">
        <f ca="1">IFERROR(__xludf.DUMMYFUNCTION("""COMPUTED_VALUE"""),17)</f>
        <v>17</v>
      </c>
      <c r="D268" s="5">
        <f ca="1">IFERROR(__xludf.DUMMYFUNCTION("""COMPUTED_VALUE"""),2022)</f>
        <v>2022</v>
      </c>
      <c r="E268" s="8">
        <f ca="1">IFERROR(__xludf.DUMMYFUNCTION("""COMPUTED_VALUE"""),44698)</f>
        <v>44698</v>
      </c>
      <c r="F268" s="5" t="str">
        <f ca="1">IFERROR(__xludf.DUMMYFUNCTION("""COMPUTED_VALUE"""),"School Bus")</f>
        <v>School Bus</v>
      </c>
      <c r="G268" s="5">
        <f ca="1">IFERROR(__xludf.DUMMYFUNCTION("""COMPUTED_VALUE"""),0)</f>
        <v>0</v>
      </c>
      <c r="H268" s="5">
        <f ca="1">IFERROR(__xludf.DUMMYFUNCTION("""COMPUTED_VALUE"""),0)</f>
        <v>0</v>
      </c>
      <c r="I268" s="5">
        <f ca="1">IFERROR(__xludf.DUMMYFUNCTION("""COMPUTED_VALUE"""),0)</f>
        <v>0</v>
      </c>
      <c r="J268" s="5">
        <f ca="1">IFERROR(__xludf.DUMMYFUNCTION("""COMPUTED_VALUE"""),0)</f>
        <v>0</v>
      </c>
      <c r="K268" s="9" t="str">
        <f ca="1">IFERROR(__xludf.DUMMYFUNCTION("""COMPUTED_VALUE"""),"https://www.cbsnews.com/sanfrancisco/news/school-bus-in-san-francisco-hit-by-gunfire/")</f>
        <v>https://www.cbsnews.com/sanfrancisco/news/school-bus-in-san-francisco-hit-by-gunfire/</v>
      </c>
      <c r="L268" s="5">
        <f ca="1">IFERROR(__xludf.DUMMYFUNCTION("""COMPUTED_VALUE"""),2)</f>
        <v>2</v>
      </c>
      <c r="M268" s="5" t="str">
        <f ca="1">IFERROR(__xludf.DUMMYFUNCTION("""COMPUTED_VALUE"""),"Local")</f>
        <v>Local</v>
      </c>
      <c r="N268" s="5">
        <f ca="1">IFERROR(__xludf.DUMMYFUNCTION("""COMPUTED_VALUE"""),3)</f>
        <v>3</v>
      </c>
      <c r="O268" s="5" t="str">
        <f ca="1">IFERROR(__xludf.DUMMYFUNCTION("""COMPUTED_VALUE"""),"Spring")</f>
        <v>Spring</v>
      </c>
      <c r="P268" s="5" t="str">
        <f ca="1">IFERROR(__xludf.DUMMYFUNCTION("""COMPUTED_VALUE"""),"San Francisco")</f>
        <v>San Francisco</v>
      </c>
      <c r="Q268" s="5" t="str">
        <f ca="1">IFERROR(__xludf.DUMMYFUNCTION("""COMPUTED_VALUE"""),"CA")</f>
        <v>CA</v>
      </c>
      <c r="R268" s="5" t="str">
        <f ca="1">IFERROR(__xludf.DUMMYFUNCTION("""COMPUTED_VALUE"""),"Other")</f>
        <v>Other</v>
      </c>
      <c r="S268" s="5" t="str">
        <f ca="1">IFERROR(__xludf.DUMMYFUNCTION("""COMPUTED_VALUE"""),"School Bus")</f>
        <v>School Bus</v>
      </c>
      <c r="T268" s="5" t="str">
        <f ca="1">IFERROR(__xludf.DUMMYFUNCTION("""COMPUTED_VALUE"""),"School Bus")</f>
        <v>School Bus</v>
      </c>
      <c r="U268" s="5" t="str">
        <f ca="1">IFERROR(__xludf.DUMMYFUNCTION("""COMPUTED_VALUE"""),"Yes")</f>
        <v>Yes</v>
      </c>
      <c r="V268" s="5" t="str">
        <f ca="1">IFERROR(__xludf.DUMMYFUNCTION("""COMPUTED_VALUE"""),"Morning Classes")</f>
        <v>Morning Classes</v>
      </c>
      <c r="W268" s="10">
        <f ca="1">IFERROR(__xludf.DUMMYFUNCTION("""COMPUTED_VALUE"""),0.375)</f>
        <v>0.375</v>
      </c>
      <c r="X268" s="5">
        <f ca="1">IFERROR(__xludf.DUMMYFUNCTION("""COMPUTED_VALUE"""),1)</f>
        <v>1</v>
      </c>
      <c r="Y268" s="5" t="str">
        <f ca="1">IFERROR(__xludf.DUMMYFUNCTION("""COMPUTED_VALUE"""),"School bus struck multiple times during drive-by")</f>
        <v>School bus struck multiple times during drive-by</v>
      </c>
      <c r="Z268" s="5" t="str">
        <f ca="1">IFERROR(__xludf.DUMMYFUNCTION("""COMPUTED_VALUE"""),"A parked school bus was struck multiple times during a drive-by shooting. Driver took cover. No students were on the bus. No injuries.")</f>
        <v>A parked school bus was struck multiple times during a drive-by shooting. Driver took cover. No students were on the bus. No injuries.</v>
      </c>
      <c r="AA268" s="5" t="str">
        <f ca="1">IFERROR(__xludf.DUMMYFUNCTION("""COMPUTED_VALUE"""),"Drive-by Shooting")</f>
        <v>Drive-by Shooting</v>
      </c>
      <c r="AB268" s="5" t="str">
        <f ca="1">IFERROR(__xludf.DUMMYFUNCTION("""COMPUTED_VALUE"""),"Both")</f>
        <v>Both</v>
      </c>
      <c r="AC268" s="5" t="str">
        <f ca="1">IFERROR(__xludf.DUMMYFUNCTION("""COMPUTED_VALUE"""),"No")</f>
        <v>No</v>
      </c>
      <c r="AD268" s="5" t="str">
        <f ca="1">IFERROR(__xludf.DUMMYFUNCTION("""COMPUTED_VALUE"""),"No")</f>
        <v>No</v>
      </c>
      <c r="AE268" s="5" t="str">
        <f ca="1">IFERROR(__xludf.DUMMYFUNCTION("""COMPUTED_VALUE"""),"No")</f>
        <v>No</v>
      </c>
      <c r="AF268" s="5" t="str">
        <f ca="1">IFERROR(__xludf.DUMMYFUNCTION("""COMPUTED_VALUE"""),"No")</f>
        <v>No</v>
      </c>
      <c r="AG268" s="5" t="str">
        <f ca="1">IFERROR(__xludf.DUMMYFUNCTION("""COMPUTED_VALUE"""),"No")</f>
        <v>No</v>
      </c>
      <c r="AH268" s="5" t="str">
        <f ca="1">IFERROR(__xludf.DUMMYFUNCTION("""COMPUTED_VALUE"""),"No")</f>
        <v>No</v>
      </c>
      <c r="AI268" s="5"/>
      <c r="AJ268" s="5" t="str">
        <f ca="1">IFERROR(__xludf.DUMMYFUNCTION("""COMPUTED_VALUE"""),"No")</f>
        <v>No</v>
      </c>
    </row>
    <row r="269" spans="1:36" ht="13">
      <c r="A269" s="5" t="str">
        <f ca="1">IFERROR(__xludf.DUMMYFUNCTION("""COMPUTED_VALUE"""),"20220516TXMEM")</f>
        <v>20220516TXMEM</v>
      </c>
      <c r="B269" s="5">
        <f ca="1">IFERROR(__xludf.DUMMYFUNCTION("""COMPUTED_VALUE"""),5)</f>
        <v>5</v>
      </c>
      <c r="C269" s="5">
        <f ca="1">IFERROR(__xludf.DUMMYFUNCTION("""COMPUTED_VALUE"""),16)</f>
        <v>16</v>
      </c>
      <c r="D269" s="5">
        <f ca="1">IFERROR(__xludf.DUMMYFUNCTION("""COMPUTED_VALUE"""),2022)</f>
        <v>2022</v>
      </c>
      <c r="E269" s="8">
        <f ca="1">IFERROR(__xludf.DUMMYFUNCTION("""COMPUTED_VALUE"""),44697)</f>
        <v>44697</v>
      </c>
      <c r="F269" s="5" t="str">
        <f ca="1">IFERROR(__xludf.DUMMYFUNCTION("""COMPUTED_VALUE"""),"Mexia High School")</f>
        <v>Mexia High School</v>
      </c>
      <c r="G269" s="5">
        <f ca="1">IFERROR(__xludf.DUMMYFUNCTION("""COMPUTED_VALUE"""),0)</f>
        <v>0</v>
      </c>
      <c r="H269" s="5">
        <f ca="1">IFERROR(__xludf.DUMMYFUNCTION("""COMPUTED_VALUE"""),0)</f>
        <v>0</v>
      </c>
      <c r="I269" s="5">
        <f ca="1">IFERROR(__xludf.DUMMYFUNCTION("""COMPUTED_VALUE"""),0)</f>
        <v>0</v>
      </c>
      <c r="J269" s="5">
        <f ca="1">IFERROR(__xludf.DUMMYFUNCTION("""COMPUTED_VALUE"""),0)</f>
        <v>0</v>
      </c>
      <c r="K269" s="5" t="str">
        <f ca="1">IFERROR(__xludf.DUMMYFUNCTION("""COMPUTED_VALUE"""),"https://www.kbtx.com/2022/05/16/mexia-isd-campuses-lockdown-person-interest-incident-detained/ https://www.kxxv.com/news/all-mexia-isd-campuses-on-lockdown-city-of-mexia https://www.kwtx.com/2022/05/16/mexia-isd-campuses-lockdown-central-texas/ https://ww"&amp;"w.kcentv.com/article/news/crime/all-mexia-isd-campuses-placed-on-lockdown/500-7e04548b-96b5-46e2-a155-bed638e62fbf")</f>
        <v>https://www.kbtx.com/2022/05/16/mexia-isd-campuses-lockdown-person-interest-incident-detained/ https://www.kxxv.com/news/all-mexia-isd-campuses-on-lockdown-city-of-mexia https://www.kwtx.com/2022/05/16/mexia-isd-campuses-lockdown-central-texas/ https://www.kcentv.com/article/news/crime/all-mexia-isd-campuses-placed-on-lockdown/500-7e04548b-96b5-46e2-a155-bed638e62fbf</v>
      </c>
      <c r="L269" s="5">
        <f ca="1">IFERROR(__xludf.DUMMYFUNCTION("""COMPUTED_VALUE"""),4)</f>
        <v>4</v>
      </c>
      <c r="M269" s="5" t="str">
        <f ca="1">IFERROR(__xludf.DUMMYFUNCTION("""COMPUTED_VALUE"""),"Local")</f>
        <v>Local</v>
      </c>
      <c r="N269" s="5">
        <f ca="1">IFERROR(__xludf.DUMMYFUNCTION("""COMPUTED_VALUE"""),4)</f>
        <v>4</v>
      </c>
      <c r="O269" s="5" t="str">
        <f ca="1">IFERROR(__xludf.DUMMYFUNCTION("""COMPUTED_VALUE"""),"Spring")</f>
        <v>Spring</v>
      </c>
      <c r="P269" s="5" t="str">
        <f ca="1">IFERROR(__xludf.DUMMYFUNCTION("""COMPUTED_VALUE"""),"Mexia")</f>
        <v>Mexia</v>
      </c>
      <c r="Q269" s="5" t="str">
        <f ca="1">IFERROR(__xludf.DUMMYFUNCTION("""COMPUTED_VALUE"""),"TX")</f>
        <v>TX</v>
      </c>
      <c r="R269" s="5" t="str">
        <f ca="1">IFERROR(__xludf.DUMMYFUNCTION("""COMPUTED_VALUE"""),"High")</f>
        <v>High</v>
      </c>
      <c r="S269" s="5" t="str">
        <f ca="1">IFERROR(__xludf.DUMMYFUNCTION("""COMPUTED_VALUE"""),"Bathroom")</f>
        <v>Bathroom</v>
      </c>
      <c r="T269" s="5" t="str">
        <f ca="1">IFERROR(__xludf.DUMMYFUNCTION("""COMPUTED_VALUE"""),"Inside School Building")</f>
        <v>Inside School Building</v>
      </c>
      <c r="U269" s="5" t="str">
        <f ca="1">IFERROR(__xludf.DUMMYFUNCTION("""COMPUTED_VALUE"""),"Yes")</f>
        <v>Yes</v>
      </c>
      <c r="V269" s="5" t="str">
        <f ca="1">IFERROR(__xludf.DUMMYFUNCTION("""COMPUTED_VALUE"""),"Morning Classes")</f>
        <v>Morning Classes</v>
      </c>
      <c r="W269" s="10">
        <f ca="1">IFERROR(__xludf.DUMMYFUNCTION("""COMPUTED_VALUE"""),0.472222222222222)</f>
        <v>0.47222222222222199</v>
      </c>
      <c r="X269" s="5">
        <f ca="1">IFERROR(__xludf.DUMMYFUNCTION("""COMPUTED_VALUE"""),16)</f>
        <v>16</v>
      </c>
      <c r="Y269" s="5" t="str">
        <f ca="1">IFERROR(__xludf.DUMMYFUNCTION("""COMPUTED_VALUE"""),"Shot fired in bathroom, suspect and loaded gun found on campus")</f>
        <v>Shot fired in bathroom, suspect and loaded gun found on campus</v>
      </c>
      <c r="Z269" s="5" t="str">
        <f ca="1">IFERROR(__xludf.DUMMYFUNCTION("""COMPUTED_VALUE"""),"Students and staff went into lockdown when they heard a gunshot inside the school. Bullet hole was found in the bathroom. Police arrested an unidentified juvenile and recovered a loaded handgun. No other students or staff were injured. School dismissed an"&amp;"d cancelled classes the following day.")</f>
        <v>Students and staff went into lockdown when they heard a gunshot inside the school. Bullet hole was found in the bathroom. Police arrested an unidentified juvenile and recovered a loaded handgun. No other students or staff were injured. School dismissed and cancelled classes the following day.</v>
      </c>
      <c r="AA269" s="5"/>
      <c r="AB269" s="5"/>
      <c r="AC269" s="5"/>
      <c r="AD269" s="5" t="str">
        <f ca="1">IFERROR(__xludf.DUMMYFUNCTION("""COMPUTED_VALUE"""),"No")</f>
        <v>No</v>
      </c>
      <c r="AE269" s="5" t="str">
        <f ca="1">IFERROR(__xludf.DUMMYFUNCTION("""COMPUTED_VALUE"""),"No")</f>
        <v>No</v>
      </c>
      <c r="AF269" s="5" t="str">
        <f ca="1">IFERROR(__xludf.DUMMYFUNCTION("""COMPUTED_VALUE"""),"No")</f>
        <v>No</v>
      </c>
      <c r="AG269" s="5" t="str">
        <f ca="1">IFERROR(__xludf.DUMMYFUNCTION("""COMPUTED_VALUE"""),"No")</f>
        <v>No</v>
      </c>
      <c r="AH269" s="5" t="str">
        <f ca="1">IFERROR(__xludf.DUMMYFUNCTION("""COMPUTED_VALUE"""),"No")</f>
        <v>No</v>
      </c>
      <c r="AI269" s="5"/>
      <c r="AJ269" s="5" t="str">
        <f ca="1">IFERROR(__xludf.DUMMYFUNCTION("""COMPUTED_VALUE"""),"No")</f>
        <v>No</v>
      </c>
    </row>
    <row r="270" spans="1:36" ht="13">
      <c r="A270" s="5" t="str">
        <f ca="1">IFERROR(__xludf.DUMMYFUNCTION("""COMPUTED_VALUE"""),"20220515ILMEP")</f>
        <v>20220515ILMEP</v>
      </c>
      <c r="B270" s="5">
        <f ca="1">IFERROR(__xludf.DUMMYFUNCTION("""COMPUTED_VALUE"""),5)</f>
        <v>5</v>
      </c>
      <c r="C270" s="5">
        <f ca="1">IFERROR(__xludf.DUMMYFUNCTION("""COMPUTED_VALUE"""),15)</f>
        <v>15</v>
      </c>
      <c r="D270" s="5">
        <f ca="1">IFERROR(__xludf.DUMMYFUNCTION("""COMPUTED_VALUE"""),2022)</f>
        <v>2022</v>
      </c>
      <c r="E270" s="8">
        <f ca="1">IFERROR(__xludf.DUMMYFUNCTION("""COMPUTED_VALUE"""),44696)</f>
        <v>44696</v>
      </c>
      <c r="F270" s="5" t="str">
        <f ca="1">IFERROR(__xludf.DUMMYFUNCTION("""COMPUTED_VALUE"""),"Meadow View Elementary School")</f>
        <v>Meadow View Elementary School</v>
      </c>
      <c r="G270" s="5">
        <f ca="1">IFERROR(__xludf.DUMMYFUNCTION("""COMPUTED_VALUE"""),0)</f>
        <v>0</v>
      </c>
      <c r="H270" s="5">
        <f ca="1">IFERROR(__xludf.DUMMYFUNCTION("""COMPUTED_VALUE"""),1)</f>
        <v>1</v>
      </c>
      <c r="I270" s="5">
        <f ca="1">IFERROR(__xludf.DUMMYFUNCTION("""COMPUTED_VALUE"""),1)</f>
        <v>1</v>
      </c>
      <c r="J270" s="5">
        <f ca="1">IFERROR(__xludf.DUMMYFUNCTION("""COMPUTED_VALUE"""),0)</f>
        <v>0</v>
      </c>
      <c r="K270" s="5" t="str">
        <f ca="1">IFERROR(__xludf.DUMMYFUNCTION("""COMPUTED_VALUE"""),"https://wgntv.com/crime/16-year-old-charged-in-shooting-of-teen-near-joliet-elementary-school/ https://www.shawlocal.com/the-herald-news/news/2022/05/16/teen-found-shot-in-the-leg-near-meadow-view-elementary-school-in-plainfield-cops/")</f>
        <v>https://wgntv.com/crime/16-year-old-charged-in-shooting-of-teen-near-joliet-elementary-school/ https://www.shawlocal.com/the-herald-news/news/2022/05/16/teen-found-shot-in-the-leg-near-meadow-view-elementary-school-in-plainfield-cops/</v>
      </c>
      <c r="L270" s="5">
        <f ca="1">IFERROR(__xludf.DUMMYFUNCTION("""COMPUTED_VALUE"""),1)</f>
        <v>1</v>
      </c>
      <c r="M270" s="5" t="str">
        <f ca="1">IFERROR(__xludf.DUMMYFUNCTION("""COMPUTED_VALUE"""),"Local")</f>
        <v>Local</v>
      </c>
      <c r="N270" s="5">
        <f ca="1">IFERROR(__xludf.DUMMYFUNCTION("""COMPUTED_VALUE"""),4)</f>
        <v>4</v>
      </c>
      <c r="O270" s="5" t="str">
        <f ca="1">IFERROR(__xludf.DUMMYFUNCTION("""COMPUTED_VALUE"""),"Spring")</f>
        <v>Spring</v>
      </c>
      <c r="P270" s="5" t="str">
        <f ca="1">IFERROR(__xludf.DUMMYFUNCTION("""COMPUTED_VALUE"""),"Plainfield")</f>
        <v>Plainfield</v>
      </c>
      <c r="Q270" s="5" t="str">
        <f ca="1">IFERROR(__xludf.DUMMYFUNCTION("""COMPUTED_VALUE"""),"IL")</f>
        <v>IL</v>
      </c>
      <c r="R270" s="5" t="str">
        <f ca="1">IFERROR(__xludf.DUMMYFUNCTION("""COMPUTED_VALUE"""),"Elementary")</f>
        <v>Elementary</v>
      </c>
      <c r="S270" s="5" t="str">
        <f ca="1">IFERROR(__xludf.DUMMYFUNCTION("""COMPUTED_VALUE"""),"Field (General)")</f>
        <v>Field (General)</v>
      </c>
      <c r="T270" s="5" t="str">
        <f ca="1">IFERROR(__xludf.DUMMYFUNCTION("""COMPUTED_VALUE"""),"Outside on School Property")</f>
        <v>Outside on School Property</v>
      </c>
      <c r="U270" s="5" t="str">
        <f ca="1">IFERROR(__xludf.DUMMYFUNCTION("""COMPUTED_VALUE"""),"No")</f>
        <v>No</v>
      </c>
      <c r="V270" s="5" t="str">
        <f ca="1">IFERROR(__xludf.DUMMYFUNCTION("""COMPUTED_VALUE"""),"Evening")</f>
        <v>Evening</v>
      </c>
      <c r="W270" s="10">
        <f ca="1">IFERROR(__xludf.DUMMYFUNCTION("""COMPUTED_VALUE"""),0.8125)</f>
        <v>0.8125</v>
      </c>
      <c r="X270" s="5">
        <f ca="1">IFERROR(__xludf.DUMMYFUNCTION("""COMPUTED_VALUE"""),1)</f>
        <v>1</v>
      </c>
      <c r="Y270" s="5" t="str">
        <f ca="1">IFERROR(__xludf.DUMMYFUNCTION("""COMPUTED_VALUE"""),"Teen shot on the school field, shooter fled")</f>
        <v>Teen shot on the school field, shooter fled</v>
      </c>
      <c r="Z270" s="5" t="str">
        <f ca="1">IFERROR(__xludf.DUMMYFUNCTION("""COMPUTED_VALUE"""),"A 17-year-old teen was shot in the leg on the school field. Shooter fled. Police said the shooting was an isolated incident. 16-year-old teen arrested 2 days later and charged as an adult with attempted murder and other felonies. 9mm handgun recovered.")</f>
        <v>A 17-year-old teen was shot in the leg on the school field. Shooter fled. Police said the shooting was an isolated incident. 16-year-old teen arrested 2 days later and charged as an adult with attempted murder and other felonies. 9mm handgun recovered.</v>
      </c>
      <c r="AA270" s="5"/>
      <c r="AB270" s="5" t="str">
        <f ca="1">IFERROR(__xludf.DUMMYFUNCTION("""COMPUTED_VALUE"""),"Victims Targeted")</f>
        <v>Victims Targeted</v>
      </c>
      <c r="AC270" s="5" t="str">
        <f ca="1">IFERROR(__xludf.DUMMYFUNCTION("""COMPUTED_VALUE"""),"No")</f>
        <v>No</v>
      </c>
      <c r="AD270" s="5" t="str">
        <f ca="1">IFERROR(__xludf.DUMMYFUNCTION("""COMPUTED_VALUE"""),"No")</f>
        <v>No</v>
      </c>
      <c r="AE270" s="5" t="str">
        <f ca="1">IFERROR(__xludf.DUMMYFUNCTION("""COMPUTED_VALUE"""),"No")</f>
        <v>No</v>
      </c>
      <c r="AF270" s="5" t="str">
        <f ca="1">IFERROR(__xludf.DUMMYFUNCTION("""COMPUTED_VALUE"""),"No")</f>
        <v>No</v>
      </c>
      <c r="AG270" s="5" t="str">
        <f ca="1">IFERROR(__xludf.DUMMYFUNCTION("""COMPUTED_VALUE"""),"No")</f>
        <v>No</v>
      </c>
      <c r="AH270" s="5" t="str">
        <f ca="1">IFERROR(__xludf.DUMMYFUNCTION("""COMPUTED_VALUE"""),"No")</f>
        <v>No</v>
      </c>
      <c r="AI270" s="5"/>
      <c r="AJ270" s="5" t="str">
        <f ca="1">IFERROR(__xludf.DUMMYFUNCTION("""COMPUTED_VALUE"""),"No")</f>
        <v>No</v>
      </c>
    </row>
    <row r="271" spans="1:36" ht="13">
      <c r="A271" s="5" t="str">
        <f ca="1">IFERROR(__xludf.DUMMYFUNCTION("""COMPUTED_VALUE"""),"20220515NHBEB")</f>
        <v>20220515NHBEB</v>
      </c>
      <c r="B271" s="5">
        <f ca="1">IFERROR(__xludf.DUMMYFUNCTION("""COMPUTED_VALUE"""),5)</f>
        <v>5</v>
      </c>
      <c r="C271" s="5">
        <f ca="1">IFERROR(__xludf.DUMMYFUNCTION("""COMPUTED_VALUE"""),15)</f>
        <v>15</v>
      </c>
      <c r="D271" s="5">
        <f ca="1">IFERROR(__xludf.DUMMYFUNCTION("""COMPUTED_VALUE"""),2022)</f>
        <v>2022</v>
      </c>
      <c r="E271" s="8">
        <f ca="1">IFERROR(__xludf.DUMMYFUNCTION("""COMPUTED_VALUE"""),44696)</f>
        <v>44696</v>
      </c>
      <c r="F271" s="5" t="str">
        <f ca="1">IFERROR(__xludf.DUMMYFUNCTION("""COMPUTED_VALUE"""),"Belmont Elementary School")</f>
        <v>Belmont Elementary School</v>
      </c>
      <c r="G271" s="5">
        <f ca="1">IFERROR(__xludf.DUMMYFUNCTION("""COMPUTED_VALUE"""),0)</f>
        <v>0</v>
      </c>
      <c r="H271" s="5">
        <f ca="1">IFERROR(__xludf.DUMMYFUNCTION("""COMPUTED_VALUE"""),0)</f>
        <v>0</v>
      </c>
      <c r="I271" s="5">
        <f ca="1">IFERROR(__xludf.DUMMYFUNCTION("""COMPUTED_VALUE"""),0)</f>
        <v>0</v>
      </c>
      <c r="J271" s="5">
        <f ca="1">IFERROR(__xludf.DUMMYFUNCTION("""COMPUTED_VALUE"""),0)</f>
        <v>0</v>
      </c>
      <c r="K271" s="9" t="str">
        <f ca="1">IFERROR(__xludf.DUMMYFUNCTION("""COMPUTED_VALUE"""),"https://www.laconiadailysun.com/news/local/belmont-police-investigate-pellet-gun-shooting-targeted-at-children/article_19c3bb5e-d608-11ec-879e-5bb5cf440fe6.html")</f>
        <v>https://www.laconiadailysun.com/news/local/belmont-police-investigate-pellet-gun-shooting-targeted-at-children/article_19c3bb5e-d608-11ec-879e-5bb5cf440fe6.html</v>
      </c>
      <c r="L271" s="5">
        <f ca="1">IFERROR(__xludf.DUMMYFUNCTION("""COMPUTED_VALUE"""),1)</f>
        <v>1</v>
      </c>
      <c r="M271" s="5" t="str">
        <f ca="1">IFERROR(__xludf.DUMMYFUNCTION("""COMPUTED_VALUE"""),"Local")</f>
        <v>Local</v>
      </c>
      <c r="N271" s="5">
        <f ca="1">IFERROR(__xludf.DUMMYFUNCTION("""COMPUTED_VALUE"""),4)</f>
        <v>4</v>
      </c>
      <c r="O271" s="5" t="str">
        <f ca="1">IFERROR(__xludf.DUMMYFUNCTION("""COMPUTED_VALUE"""),"Spring")</f>
        <v>Spring</v>
      </c>
      <c r="P271" s="5" t="str">
        <f ca="1">IFERROR(__xludf.DUMMYFUNCTION("""COMPUTED_VALUE"""),"Belmont")</f>
        <v>Belmont</v>
      </c>
      <c r="Q271" s="5" t="str">
        <f ca="1">IFERROR(__xludf.DUMMYFUNCTION("""COMPUTED_VALUE"""),"NH")</f>
        <v>NH</v>
      </c>
      <c r="R271" s="5" t="str">
        <f ca="1">IFERROR(__xludf.DUMMYFUNCTION("""COMPUTED_VALUE"""),"Elementary")</f>
        <v>Elementary</v>
      </c>
      <c r="S271" s="5" t="str">
        <f ca="1">IFERROR(__xludf.DUMMYFUNCTION("""COMPUTED_VALUE"""),"Parking Lot")</f>
        <v>Parking Lot</v>
      </c>
      <c r="T271" s="5" t="str">
        <f ca="1">IFERROR(__xludf.DUMMYFUNCTION("""COMPUTED_VALUE"""),"Outside on School Property")</f>
        <v>Outside on School Property</v>
      </c>
      <c r="U271" s="5" t="str">
        <f ca="1">IFERROR(__xludf.DUMMYFUNCTION("""COMPUTED_VALUE"""),"No")</f>
        <v>No</v>
      </c>
      <c r="V271" s="5" t="str">
        <f ca="1">IFERROR(__xludf.DUMMYFUNCTION("""COMPUTED_VALUE"""),"Not a School Day")</f>
        <v>Not a School Day</v>
      </c>
      <c r="W271" s="10">
        <f ca="1">IFERROR(__xludf.DUMMYFUNCTION("""COMPUTED_VALUE"""),0.416666666666666)</f>
        <v>0.41666666666666602</v>
      </c>
      <c r="X271" s="5">
        <f ca="1">IFERROR(__xludf.DUMMYFUNCTION("""COMPUTED_VALUE"""),1)</f>
        <v>1</v>
      </c>
      <c r="Y271" s="5" t="str">
        <f ca="1">IFERROR(__xludf.DUMMYFUNCTION("""COMPUTED_VALUE"""),"Children shot with pellet guns fired during drive-by")</f>
        <v>Children shot with pellet guns fired during drive-by</v>
      </c>
      <c r="Z271" s="5" t="str">
        <f ca="1">IFERROR(__xludf.DUMMYFUNCTION("""COMPUTED_VALUE"""),"A 13-year-old boy and 12-year-old girl were playing in the school parking lot when a vehicle with multiple teens fired airsoft guns at them. Incident was recorded on school's CCTV cameras. Shooters fled. Victims had minor injuries.")</f>
        <v>A 13-year-old boy and 12-year-old girl were playing in the school parking lot when a vehicle with multiple teens fired airsoft guns at them. Incident was recorded on school's CCTV cameras. Shooters fled. Victims had minor injuries.</v>
      </c>
      <c r="AA271" s="5" t="str">
        <f ca="1">IFERROR(__xludf.DUMMYFUNCTION("""COMPUTED_VALUE"""),"Drive-by Shooting")</f>
        <v>Drive-by Shooting</v>
      </c>
      <c r="AB271" s="5" t="str">
        <f ca="1">IFERROR(__xludf.DUMMYFUNCTION("""COMPUTED_VALUE"""),"Random Shooting")</f>
        <v>Random Shooting</v>
      </c>
      <c r="AC271" s="5" t="str">
        <f ca="1">IFERROR(__xludf.DUMMYFUNCTION("""COMPUTED_VALUE"""),"Yes")</f>
        <v>Yes</v>
      </c>
      <c r="AD271" s="5" t="str">
        <f ca="1">IFERROR(__xludf.DUMMYFUNCTION("""COMPUTED_VALUE"""),"No")</f>
        <v>No</v>
      </c>
      <c r="AE271" s="5" t="str">
        <f ca="1">IFERROR(__xludf.DUMMYFUNCTION("""COMPUTED_VALUE"""),"No")</f>
        <v>No</v>
      </c>
      <c r="AF271" s="5" t="str">
        <f ca="1">IFERROR(__xludf.DUMMYFUNCTION("""COMPUTED_VALUE"""),"No")</f>
        <v>No</v>
      </c>
      <c r="AG271" s="5" t="str">
        <f ca="1">IFERROR(__xludf.DUMMYFUNCTION("""COMPUTED_VALUE"""),"No")</f>
        <v>No</v>
      </c>
      <c r="AH271" s="5" t="str">
        <f ca="1">IFERROR(__xludf.DUMMYFUNCTION("""COMPUTED_VALUE"""),"No")</f>
        <v>No</v>
      </c>
      <c r="AI271" s="5" t="str">
        <f ca="1">IFERROR(__xludf.DUMMYFUNCTION("""COMPUTED_VALUE"""),"No")</f>
        <v>No</v>
      </c>
      <c r="AJ271" s="5" t="str">
        <f ca="1">IFERROR(__xludf.DUMMYFUNCTION("""COMPUTED_VALUE"""),"No")</f>
        <v>No</v>
      </c>
    </row>
    <row r="272" spans="1:36" ht="13">
      <c r="A272" s="5" t="str">
        <f ca="1">IFERROR(__xludf.DUMMYFUNCTION("""COMPUTED_VALUE"""),"20220513GASOM")</f>
        <v>20220513GASOM</v>
      </c>
      <c r="B272" s="5">
        <f ca="1">IFERROR(__xludf.DUMMYFUNCTION("""COMPUTED_VALUE"""),5)</f>
        <v>5</v>
      </c>
      <c r="C272" s="5">
        <f ca="1">IFERROR(__xludf.DUMMYFUNCTION("""COMPUTED_VALUE"""),13)</f>
        <v>13</v>
      </c>
      <c r="D272" s="5">
        <f ca="1">IFERROR(__xludf.DUMMYFUNCTION("""COMPUTED_VALUE"""),2022)</f>
        <v>2022</v>
      </c>
      <c r="E272" s="8">
        <f ca="1">IFERROR(__xludf.DUMMYFUNCTION("""COMPUTED_VALUE"""),44694)</f>
        <v>44694</v>
      </c>
      <c r="F272" s="5" t="str">
        <f ca="1">IFERROR(__xludf.DUMMYFUNCTION("""COMPUTED_VALUE"""),"Southwest High School")</f>
        <v>Southwest High School</v>
      </c>
      <c r="G272" s="5">
        <f ca="1">IFERROR(__xludf.DUMMYFUNCTION("""COMPUTED_VALUE"""),0)</f>
        <v>0</v>
      </c>
      <c r="H272" s="5">
        <f ca="1">IFERROR(__xludf.DUMMYFUNCTION("""COMPUTED_VALUE"""),1)</f>
        <v>1</v>
      </c>
      <c r="I272" s="5">
        <f ca="1">IFERROR(__xludf.DUMMYFUNCTION("""COMPUTED_VALUE"""),1)</f>
        <v>1</v>
      </c>
      <c r="J272" s="5">
        <f ca="1">IFERROR(__xludf.DUMMYFUNCTION("""COMPUTED_VALUE"""),0)</f>
        <v>0</v>
      </c>
      <c r="K272" s="9" t="str">
        <f ca="1">IFERROR(__xludf.DUMMYFUNCTION("""COMPUTED_VALUE"""),"https://wgxa.tv/news/local/friday-shooting-macon-school")</f>
        <v>https://wgxa.tv/news/local/friday-shooting-macon-school</v>
      </c>
      <c r="L272" s="5">
        <f ca="1">IFERROR(__xludf.DUMMYFUNCTION("""COMPUTED_VALUE"""),1)</f>
        <v>1</v>
      </c>
      <c r="M272" s="5" t="str">
        <f ca="1">IFERROR(__xludf.DUMMYFUNCTION("""COMPUTED_VALUE"""),"Local")</f>
        <v>Local</v>
      </c>
      <c r="N272" s="5">
        <f ca="1">IFERROR(__xludf.DUMMYFUNCTION("""COMPUTED_VALUE"""),3)</f>
        <v>3</v>
      </c>
      <c r="O272" s="5" t="str">
        <f ca="1">IFERROR(__xludf.DUMMYFUNCTION("""COMPUTED_VALUE"""),"Spring")</f>
        <v>Spring</v>
      </c>
      <c r="P272" s="5" t="str">
        <f ca="1">IFERROR(__xludf.DUMMYFUNCTION("""COMPUTED_VALUE"""),"Macon")</f>
        <v>Macon</v>
      </c>
      <c r="Q272" s="5" t="str">
        <f ca="1">IFERROR(__xludf.DUMMYFUNCTION("""COMPUTED_VALUE"""),"GA")</f>
        <v>GA</v>
      </c>
      <c r="R272" s="5" t="str">
        <f ca="1">IFERROR(__xludf.DUMMYFUNCTION("""COMPUTED_VALUE"""),"High")</f>
        <v>High</v>
      </c>
      <c r="S272" s="5" t="str">
        <f ca="1">IFERROR(__xludf.DUMMYFUNCTION("""COMPUTED_VALUE"""),"Parking Lot")</f>
        <v>Parking Lot</v>
      </c>
      <c r="T272" s="5" t="str">
        <f ca="1">IFERROR(__xludf.DUMMYFUNCTION("""COMPUTED_VALUE"""),"Outside on School Property")</f>
        <v>Outside on School Property</v>
      </c>
      <c r="U272" s="5" t="str">
        <f ca="1">IFERROR(__xludf.DUMMYFUNCTION("""COMPUTED_VALUE"""),"No")</f>
        <v>No</v>
      </c>
      <c r="V272" s="5" t="str">
        <f ca="1">IFERROR(__xludf.DUMMYFUNCTION("""COMPUTED_VALUE"""),"Evening")</f>
        <v>Evening</v>
      </c>
      <c r="W272" s="10">
        <f ca="1">IFERROR(__xludf.DUMMYFUNCTION("""COMPUTED_VALUE"""),0.825694444444444)</f>
        <v>0.82569444444444395</v>
      </c>
      <c r="X272" s="5">
        <f ca="1">IFERROR(__xludf.DUMMYFUNCTION("""COMPUTED_VALUE"""),1)</f>
        <v>1</v>
      </c>
      <c r="Y272" s="5" t="str">
        <f ca="1">IFERROR(__xludf.DUMMYFUNCTION("""COMPUTED_VALUE"""),"Adult man shot and critically injured in school parking lot")</f>
        <v>Adult man shot and critically injured in school parking lot</v>
      </c>
      <c r="Z272" s="5" t="str">
        <f ca="1">IFERROR(__xludf.DUMMYFUNCTION("""COMPUTED_VALUE"""),"A 21-year-old man was shot and critically injured in the school parking lot. No other details available.")</f>
        <v>A 21-year-old man was shot and critically injured in the school parking lot. No other details available.</v>
      </c>
      <c r="AA272" s="5"/>
      <c r="AB272" s="5"/>
      <c r="AC272" s="5"/>
      <c r="AD272" s="5" t="str">
        <f ca="1">IFERROR(__xludf.DUMMYFUNCTION("""COMPUTED_VALUE"""),"No")</f>
        <v>No</v>
      </c>
      <c r="AE272" s="5" t="str">
        <f ca="1">IFERROR(__xludf.DUMMYFUNCTION("""COMPUTED_VALUE"""),"No")</f>
        <v>No</v>
      </c>
      <c r="AF272" s="5" t="str">
        <f ca="1">IFERROR(__xludf.DUMMYFUNCTION("""COMPUTED_VALUE"""),"No")</f>
        <v>No</v>
      </c>
      <c r="AG272" s="5" t="str">
        <f ca="1">IFERROR(__xludf.DUMMYFUNCTION("""COMPUTED_VALUE"""),"No")</f>
        <v>No</v>
      </c>
      <c r="AH272" s="5" t="str">
        <f ca="1">IFERROR(__xludf.DUMMYFUNCTION("""COMPUTED_VALUE"""),"No")</f>
        <v>No</v>
      </c>
      <c r="AI272" s="5"/>
      <c r="AJ272" s="5" t="str">
        <f ca="1">IFERROR(__xludf.DUMMYFUNCTION("""COMPUTED_VALUE"""),"No")</f>
        <v>No</v>
      </c>
    </row>
    <row r="273" spans="1:36" ht="13">
      <c r="A273" s="5" t="str">
        <f ca="1">IFERROR(__xludf.DUMMYFUNCTION("""COMPUTED_VALUE"""),"20220513FLALW")</f>
        <v>20220513FLALW</v>
      </c>
      <c r="B273" s="5">
        <f ca="1">IFERROR(__xludf.DUMMYFUNCTION("""COMPUTED_VALUE"""),5)</f>
        <v>5</v>
      </c>
      <c r="C273" s="5">
        <f ca="1">IFERROR(__xludf.DUMMYFUNCTION("""COMPUTED_VALUE"""),13)</f>
        <v>13</v>
      </c>
      <c r="D273" s="5">
        <f ca="1">IFERROR(__xludf.DUMMYFUNCTION("""COMPUTED_VALUE"""),2022)</f>
        <v>2022</v>
      </c>
      <c r="E273" s="8">
        <f ca="1">IFERROR(__xludf.DUMMYFUNCTION("""COMPUTED_VALUE"""),44694)</f>
        <v>44694</v>
      </c>
      <c r="F273" s="5" t="str">
        <f ca="1">IFERROR(__xludf.DUMMYFUNCTION("""COMPUTED_VALUE"""),"Alexander W. Dreyfoos School of the Arts")</f>
        <v>Alexander W. Dreyfoos School of the Arts</v>
      </c>
      <c r="G273" s="5">
        <f ca="1">IFERROR(__xludf.DUMMYFUNCTION("""COMPUTED_VALUE"""),1)</f>
        <v>1</v>
      </c>
      <c r="H273" s="5">
        <f ca="1">IFERROR(__xludf.DUMMYFUNCTION("""COMPUTED_VALUE"""),0)</f>
        <v>0</v>
      </c>
      <c r="I273" s="5">
        <f ca="1">IFERROR(__xludf.DUMMYFUNCTION("""COMPUTED_VALUE"""),1)</f>
        <v>1</v>
      </c>
      <c r="J273" s="5">
        <f ca="1">IFERROR(__xludf.DUMMYFUNCTION("""COMPUTED_VALUE"""),0)</f>
        <v>0</v>
      </c>
      <c r="K273" s="5" t="str">
        <f ca="1">IFERROR(__xludf.DUMMYFUNCTION("""COMPUTED_VALUE"""),"https://www.palmbeachpost.com/story/news/2022/05/14/dreyfoos-graduate-identified/9780618002/ https://www.wpbf.com/article/he-didnt-deserve-to-die-friends-of-school-intruder-suspect-killed-police-say-he-didnt-want-to-hurt-anyone/40000184 https://cbs12.com/"&amp;"newsletter-daily/dreyfoos-school-of-the-arts-incident-west-palm-beach https://www.usnews.com/news/best-states/florida/articles/2022-05-13/police-man-killed-while-fighting-with-officer-at-school https://www.palmbeachpost.com/story/news/local/2022/05/13/veh"&amp;"icle-crashes-gate-dreyfoos-school-arts-west-palm-beach/9763870002/")</f>
        <v>https://www.palmbeachpost.com/story/news/2022/05/14/dreyfoos-graduate-identified/9780618002/ https://www.wpbf.com/article/he-didnt-deserve-to-die-friends-of-school-intruder-suspect-killed-police-say-he-didnt-want-to-hurt-anyone/40000184 https://cbs12.com/newsletter-daily/dreyfoos-school-of-the-arts-incident-west-palm-beach https://www.usnews.com/news/best-states/florida/articles/2022-05-13/police-man-killed-while-fighting-with-officer-at-school https://www.palmbeachpost.com/story/news/local/2022/05/13/vehicle-crashes-gate-dreyfoos-school-arts-west-palm-beach/9763870002/</v>
      </c>
      <c r="L273" s="5">
        <f ca="1">IFERROR(__xludf.DUMMYFUNCTION("""COMPUTED_VALUE"""),50)</f>
        <v>50</v>
      </c>
      <c r="M273" s="5" t="str">
        <f ca="1">IFERROR(__xludf.DUMMYFUNCTION("""COMPUTED_VALUE"""),"National")</f>
        <v>National</v>
      </c>
      <c r="N273" s="5">
        <f ca="1">IFERROR(__xludf.DUMMYFUNCTION("""COMPUTED_VALUE"""),4)</f>
        <v>4</v>
      </c>
      <c r="O273" s="5" t="str">
        <f ca="1">IFERROR(__xludf.DUMMYFUNCTION("""COMPUTED_VALUE"""),"Spring")</f>
        <v>Spring</v>
      </c>
      <c r="P273" s="5" t="str">
        <f ca="1">IFERROR(__xludf.DUMMYFUNCTION("""COMPUTED_VALUE"""),"West Palm Beach")</f>
        <v>West Palm Beach</v>
      </c>
      <c r="Q273" s="5" t="str">
        <f ca="1">IFERROR(__xludf.DUMMYFUNCTION("""COMPUTED_VALUE"""),"FL")</f>
        <v>FL</v>
      </c>
      <c r="R273" s="5" t="str">
        <f ca="1">IFERROR(__xludf.DUMMYFUNCTION("""COMPUTED_VALUE"""),"High")</f>
        <v>High</v>
      </c>
      <c r="S273" s="5" t="str">
        <f ca="1">IFERROR(__xludf.DUMMYFUNCTION("""COMPUTED_VALUE"""),"Beside Building")</f>
        <v>Beside Building</v>
      </c>
      <c r="T273" s="5" t="str">
        <f ca="1">IFERROR(__xludf.DUMMYFUNCTION("""COMPUTED_VALUE"""),"Outside on School Property")</f>
        <v>Outside on School Property</v>
      </c>
      <c r="U273" s="5" t="str">
        <f ca="1">IFERROR(__xludf.DUMMYFUNCTION("""COMPUTED_VALUE"""),"Yes")</f>
        <v>Yes</v>
      </c>
      <c r="V273" s="5" t="str">
        <f ca="1">IFERROR(__xludf.DUMMYFUNCTION("""COMPUTED_VALUE"""),"Lunch")</f>
        <v>Lunch</v>
      </c>
      <c r="W273" s="10">
        <f ca="1">IFERROR(__xludf.DUMMYFUNCTION("""COMPUTED_VALUE"""),0.5)</f>
        <v>0.5</v>
      </c>
      <c r="X273" s="5">
        <f ca="1">IFERROR(__xludf.DUMMYFUNCTION("""COMPUTED_VALUE"""),1)</f>
        <v>1</v>
      </c>
      <c r="Y273" s="5" t="str">
        <f ca="1">IFERROR(__xludf.DUMMYFUNCTION("""COMPUTED_VALUE"""),"Van crashed through campus gate, driver fought school police office, second officer shot him")</f>
        <v>Van crashed through campus gate, driver fought school police office, second officer shot him</v>
      </c>
      <c r="Z273" s="5" t="str">
        <f ca="1">IFERROR(__xludf.DUMMYFUNCTION("""COMPUTED_VALUE"""),"Police received 911 calls for an van driving erratically near the campus. Van crashed through the campus gate and driver attempted to get inside the school auditorium. Lunch had just ended and students outside had gone back into classrooms. During fight w"&amp;"ith SRO, a city police officer fatally shot the man. No students or staff were injured. School went on lockdown. 33-year-old man was a former honor student at the school who was struggling with mental illness. The night prior to the incident, he was taken"&amp;" by police to the hospital for mental health evaluation and released hours later.")</f>
        <v>Police received 911 calls for an van driving erratically near the campus. Van crashed through the campus gate and driver attempted to get inside the school auditorium. Lunch had just ended and students outside had gone back into classrooms. During fight with SRO, a city police officer fatally shot the man. No students or staff were injured. School went on lockdown. 33-year-old man was a former honor student at the school who was struggling with mental illness. The night prior to the incident, he was taken by police to the hospital for mental health evaluation and released hours later.</v>
      </c>
      <c r="AA273" s="5" t="str">
        <f ca="1">IFERROR(__xludf.DUMMYFUNCTION("""COMPUTED_VALUE"""),"Officer-Involved Shooting")</f>
        <v>Officer-Involved Shooting</v>
      </c>
      <c r="AB273" s="5"/>
      <c r="AC273" s="5"/>
      <c r="AD273" s="5"/>
      <c r="AE273" s="5"/>
      <c r="AF273" s="5" t="str">
        <f ca="1">IFERROR(__xludf.DUMMYFUNCTION("""COMPUTED_VALUE"""),"Yes")</f>
        <v>Yes</v>
      </c>
      <c r="AG273" s="5"/>
      <c r="AH273" s="5"/>
      <c r="AI273" s="5"/>
      <c r="AJ273" s="5" t="str">
        <f ca="1">IFERROR(__xludf.DUMMYFUNCTION("""COMPUTED_VALUE"""),"No")</f>
        <v>No</v>
      </c>
    </row>
    <row r="274" spans="1:36" ht="13">
      <c r="A274" s="5" t="str">
        <f ca="1">IFERROR(__xludf.DUMMYFUNCTION("""COMPUTED_VALUE"""),"20220512TXHEH")</f>
        <v>20220512TXHEH</v>
      </c>
      <c r="B274" s="5">
        <f ca="1">IFERROR(__xludf.DUMMYFUNCTION("""COMPUTED_VALUE"""),5)</f>
        <v>5</v>
      </c>
      <c r="C274" s="5">
        <f ca="1">IFERROR(__xludf.DUMMYFUNCTION("""COMPUTED_VALUE"""),12)</f>
        <v>12</v>
      </c>
      <c r="D274" s="5">
        <f ca="1">IFERROR(__xludf.DUMMYFUNCTION("""COMPUTED_VALUE"""),2022)</f>
        <v>2022</v>
      </c>
      <c r="E274" s="8">
        <f ca="1">IFERROR(__xludf.DUMMYFUNCTION("""COMPUTED_VALUE"""),44693)</f>
        <v>44693</v>
      </c>
      <c r="F274" s="5" t="str">
        <f ca="1">IFERROR(__xludf.DUMMYFUNCTION("""COMPUTED_VALUE"""),"Heights High School")</f>
        <v>Heights High School</v>
      </c>
      <c r="G274" s="5">
        <f ca="1">IFERROR(__xludf.DUMMYFUNCTION("""COMPUTED_VALUE"""),0)</f>
        <v>0</v>
      </c>
      <c r="H274" s="5">
        <f ca="1">IFERROR(__xludf.DUMMYFUNCTION("""COMPUTED_VALUE"""),1)</f>
        <v>1</v>
      </c>
      <c r="I274" s="5">
        <f ca="1">IFERROR(__xludf.DUMMYFUNCTION("""COMPUTED_VALUE"""),1)</f>
        <v>1</v>
      </c>
      <c r="J274" s="5">
        <f ca="1">IFERROR(__xludf.DUMMYFUNCTION("""COMPUTED_VALUE"""),0)</f>
        <v>0</v>
      </c>
      <c r="K274" s="5" t="str">
        <f ca="1">IFERROR(__xludf.DUMMYFUNCTION("""COMPUTED_VALUE"""),"https://abc13.com/heights-high-school-hisd-police-shooting-houston-isd-student-shot/11846330/ https://www.click2houston.com/news/local/2022/05/12/student-shot-in-parking-lot-of-heights-high-school-hisd-spokesperson-says/ https://abc13.com/heights-high-sch"&amp;"ool-shooting-student-wounded-principal-wendy-hampton-hisd-police/11842091/ https://abc13.com/heights-high-school-shooting-student-wounded-principal-wendy-hampton-hisd-police/11842091/")</f>
        <v>https://abc13.com/heights-high-school-hisd-police-shooting-houston-isd-student-shot/11846330/ https://www.click2houston.com/news/local/2022/05/12/student-shot-in-parking-lot-of-heights-high-school-hisd-spokesperson-says/ https://abc13.com/heights-high-school-shooting-student-wounded-principal-wendy-hampton-hisd-police/11842091/ https://abc13.com/heights-high-school-shooting-student-wounded-principal-wendy-hampton-hisd-police/11842091/</v>
      </c>
      <c r="L274" s="5">
        <f ca="1">IFERROR(__xludf.DUMMYFUNCTION("""COMPUTED_VALUE"""),5)</f>
        <v>5</v>
      </c>
      <c r="M274" s="5" t="str">
        <f ca="1">IFERROR(__xludf.DUMMYFUNCTION("""COMPUTED_VALUE"""),"Local")</f>
        <v>Local</v>
      </c>
      <c r="N274" s="5">
        <f ca="1">IFERROR(__xludf.DUMMYFUNCTION("""COMPUTED_VALUE"""),4)</f>
        <v>4</v>
      </c>
      <c r="O274" s="5" t="str">
        <f ca="1">IFERROR(__xludf.DUMMYFUNCTION("""COMPUTED_VALUE"""),"Spring")</f>
        <v>Spring</v>
      </c>
      <c r="P274" s="5" t="str">
        <f ca="1">IFERROR(__xludf.DUMMYFUNCTION("""COMPUTED_VALUE"""),"Houston")</f>
        <v>Houston</v>
      </c>
      <c r="Q274" s="5" t="str">
        <f ca="1">IFERROR(__xludf.DUMMYFUNCTION("""COMPUTED_VALUE"""),"TX")</f>
        <v>TX</v>
      </c>
      <c r="R274" s="5" t="str">
        <f ca="1">IFERROR(__xludf.DUMMYFUNCTION("""COMPUTED_VALUE"""),"High")</f>
        <v>High</v>
      </c>
      <c r="S274" s="5" t="str">
        <f ca="1">IFERROR(__xludf.DUMMYFUNCTION("""COMPUTED_VALUE"""),"Parking Lot")</f>
        <v>Parking Lot</v>
      </c>
      <c r="T274" s="5" t="str">
        <f ca="1">IFERROR(__xludf.DUMMYFUNCTION("""COMPUTED_VALUE"""),"Outside on School Property")</f>
        <v>Outside on School Property</v>
      </c>
      <c r="U274" s="5" t="str">
        <f ca="1">IFERROR(__xludf.DUMMYFUNCTION("""COMPUTED_VALUE"""),"Yes")</f>
        <v>Yes</v>
      </c>
      <c r="V274" s="5" t="str">
        <f ca="1">IFERROR(__xludf.DUMMYFUNCTION("""COMPUTED_VALUE"""),"Afternoon Classes")</f>
        <v>Afternoon Classes</v>
      </c>
      <c r="W274" s="10">
        <f ca="1">IFERROR(__xludf.DUMMYFUNCTION("""COMPUTED_VALUE"""),0.552083333333333)</f>
        <v>0.55208333333333304</v>
      </c>
      <c r="X274" s="5">
        <f ca="1">IFERROR(__xludf.DUMMYFUNCTION("""COMPUTED_VALUE"""),1)</f>
        <v>1</v>
      </c>
      <c r="Y274" s="5" t="str">
        <f ca="1">IFERROR(__xludf.DUMMYFUNCTION("""COMPUTED_VALUE"""),"Student shot in school parking lot during afternoon classes")</f>
        <v>Student shot in school parking lot during afternoon classes</v>
      </c>
      <c r="Z274" s="5" t="str">
        <f ca="1">IFERROR(__xludf.DUMMYFUNCTION("""COMPUTED_VALUE"""),"A student was shot in the school parking lot during afternoon classes and transported to the hospital. School went on lockdown and then dismissed at normal time. Police said there was no threat to other students. An 18-year-old male student was arrested t"&amp;"he following day. Police believe 5 people were involved in the shooting.")</f>
        <v>A student was shot in the school parking lot during afternoon classes and transported to the hospital. School went on lockdown and then dismissed at normal time. Police said there was no threat to other students. An 18-year-old male student was arrested the following day. Police believe 5 people were involved in the shooting.</v>
      </c>
      <c r="AA274" s="5"/>
      <c r="AB274" s="5" t="str">
        <f ca="1">IFERROR(__xludf.DUMMYFUNCTION("""COMPUTED_VALUE"""),"Victims Targeted")</f>
        <v>Victims Targeted</v>
      </c>
      <c r="AC274" s="5" t="str">
        <f ca="1">IFERROR(__xludf.DUMMYFUNCTION("""COMPUTED_VALUE"""),"Yes")</f>
        <v>Yes</v>
      </c>
      <c r="AD274" s="5" t="str">
        <f ca="1">IFERROR(__xludf.DUMMYFUNCTION("""COMPUTED_VALUE"""),"No")</f>
        <v>No</v>
      </c>
      <c r="AE274" s="5" t="str">
        <f ca="1">IFERROR(__xludf.DUMMYFUNCTION("""COMPUTED_VALUE"""),"No")</f>
        <v>No</v>
      </c>
      <c r="AF274" s="5" t="str">
        <f ca="1">IFERROR(__xludf.DUMMYFUNCTION("""COMPUTED_VALUE"""),"No")</f>
        <v>No</v>
      </c>
      <c r="AG274" s="5" t="str">
        <f ca="1">IFERROR(__xludf.DUMMYFUNCTION("""COMPUTED_VALUE"""),"No")</f>
        <v>No</v>
      </c>
      <c r="AH274" s="5" t="str">
        <f ca="1">IFERROR(__xludf.DUMMYFUNCTION("""COMPUTED_VALUE"""),"No")</f>
        <v>No</v>
      </c>
      <c r="AI274" s="5"/>
      <c r="AJ274" s="5" t="str">
        <f ca="1">IFERROR(__xludf.DUMMYFUNCTION("""COMPUTED_VALUE"""),"No")</f>
        <v>No</v>
      </c>
    </row>
    <row r="275" spans="1:36" ht="13">
      <c r="A275" s="5" t="str">
        <f ca="1">IFERROR(__xludf.DUMMYFUNCTION("""COMPUTED_VALUE"""),"20220512ARHOH")</f>
        <v>20220512ARHOH</v>
      </c>
      <c r="B275" s="5">
        <f ca="1">IFERROR(__xludf.DUMMYFUNCTION("""COMPUTED_VALUE"""),5)</f>
        <v>5</v>
      </c>
      <c r="C275" s="5">
        <f ca="1">IFERROR(__xludf.DUMMYFUNCTION("""COMPUTED_VALUE"""),12)</f>
        <v>12</v>
      </c>
      <c r="D275" s="5">
        <f ca="1">IFERROR(__xludf.DUMMYFUNCTION("""COMPUTED_VALUE"""),2022)</f>
        <v>2022</v>
      </c>
      <c r="E275" s="8">
        <f ca="1">IFERROR(__xludf.DUMMYFUNCTION("""COMPUTED_VALUE"""),44693)</f>
        <v>44693</v>
      </c>
      <c r="F275" s="5" t="str">
        <f ca="1">IFERROR(__xludf.DUMMYFUNCTION("""COMPUTED_VALUE"""),"Hot Springs High School")</f>
        <v>Hot Springs High School</v>
      </c>
      <c r="G275" s="5">
        <f ca="1">IFERROR(__xludf.DUMMYFUNCTION("""COMPUTED_VALUE"""),1)</f>
        <v>1</v>
      </c>
      <c r="H275" s="5">
        <f ca="1">IFERROR(__xludf.DUMMYFUNCTION("""COMPUTED_VALUE"""),2)</f>
        <v>2</v>
      </c>
      <c r="I275" s="5">
        <f ca="1">IFERROR(__xludf.DUMMYFUNCTION("""COMPUTED_VALUE"""),3)</f>
        <v>3</v>
      </c>
      <c r="J275" s="5">
        <f ca="1">IFERROR(__xludf.DUMMYFUNCTION("""COMPUTED_VALUE"""),0)</f>
        <v>0</v>
      </c>
      <c r="K275" s="5" t="str">
        <f ca="1">IFERROR(__xludf.DUMMYFUNCTION("""COMPUTED_VALUE"""),"https://katv.com/news/local/1-dead-3-others-injured-following-shooting-after-hot-springs-graduation-suspect-arrested-high-school-district-hshs-hssd-police-department-hspd-michael-jordan-victim-charles-johnson-convention-center-hscc-superintendent-dr-steph"&amp;"anie-nehus-murder-arkansas https://abcnews.go.com/US/arkansas-police-investigating-shooting-high-school-graduation/story?id=84687924 https://www.kark.com/crime/families-in-hot-springs-stunned-after-shooting-outside-high-school-graduation/")</f>
        <v>https://katv.com/news/local/1-dead-3-others-injured-following-shooting-after-hot-springs-graduation-suspect-arrested-high-school-district-hshs-hssd-police-department-hspd-michael-jordan-victim-charles-johnson-convention-center-hscc-superintendent-dr-stephanie-nehus-murder-arkansas https://abcnews.go.com/US/arkansas-police-investigating-shooting-high-school-graduation/story?id=84687924 https://www.kark.com/crime/families-in-hot-springs-stunned-after-shooting-outside-high-school-graduation/</v>
      </c>
      <c r="L275" s="5">
        <f ca="1">IFERROR(__xludf.DUMMYFUNCTION("""COMPUTED_VALUE"""),100)</f>
        <v>100</v>
      </c>
      <c r="M275" s="5" t="str">
        <f ca="1">IFERROR(__xludf.DUMMYFUNCTION("""COMPUTED_VALUE"""),"National")</f>
        <v>National</v>
      </c>
      <c r="N275" s="5">
        <f ca="1">IFERROR(__xludf.DUMMYFUNCTION("""COMPUTED_VALUE"""),4)</f>
        <v>4</v>
      </c>
      <c r="O275" s="5" t="str">
        <f ca="1">IFERROR(__xludf.DUMMYFUNCTION("""COMPUTED_VALUE"""),"Spring")</f>
        <v>Spring</v>
      </c>
      <c r="P275" s="5" t="str">
        <f ca="1">IFERROR(__xludf.DUMMYFUNCTION("""COMPUTED_VALUE"""),"Hot Springs")</f>
        <v>Hot Springs</v>
      </c>
      <c r="Q275" s="5" t="str">
        <f ca="1">IFERROR(__xludf.DUMMYFUNCTION("""COMPUTED_VALUE"""),"AR")</f>
        <v>AR</v>
      </c>
      <c r="R275" s="5" t="str">
        <f ca="1">IFERROR(__xludf.DUMMYFUNCTION("""COMPUTED_VALUE"""),"High")</f>
        <v>High</v>
      </c>
      <c r="S275" s="5" t="str">
        <f ca="1">IFERROR(__xludf.DUMMYFUNCTION("""COMPUTED_VALUE"""),"Off School Property")</f>
        <v>Off School Property</v>
      </c>
      <c r="T275" s="5" t="str">
        <f ca="1">IFERROR(__xludf.DUMMYFUNCTION("""COMPUTED_VALUE"""),"Outside on School Property")</f>
        <v>Outside on School Property</v>
      </c>
      <c r="U275" s="5" t="str">
        <f ca="1">IFERROR(__xludf.DUMMYFUNCTION("""COMPUTED_VALUE"""),"No")</f>
        <v>No</v>
      </c>
      <c r="V275" s="5" t="str">
        <f ca="1">IFERROR(__xludf.DUMMYFUNCTION("""COMPUTED_VALUE"""),"School Event")</f>
        <v>School Event</v>
      </c>
      <c r="W275" s="10">
        <f ca="1">IFERROR(__xludf.DUMMYFUNCTION("""COMPUTED_VALUE"""),0.791666666666666)</f>
        <v>0.79166666666666596</v>
      </c>
      <c r="X275" s="5">
        <f ca="1">IFERROR(__xludf.DUMMYFUNCTION("""COMPUTED_VALUE"""),1)</f>
        <v>1</v>
      </c>
      <c r="Y275" s="5" t="str">
        <f ca="1">IFERROR(__xludf.DUMMYFUNCTION("""COMPUTED_VALUE"""),"4 people shot in parking lot following graduation ceremony")</f>
        <v>4 people shot in parking lot following graduation ceremony</v>
      </c>
      <c r="Z275" s="5" t="str">
        <f ca="1">IFERROR(__xludf.DUMMYFUNCTION("""COMPUTED_VALUE"""),"Shots were fired during a fight in the parking lot following the graduation ceremony. Students and family members were taking photos outside of the building when the shooting started. The graduation was held at the city's convention center. An adult man w"&amp;"as killed, 2 others were shot, and the shooter (25-year-old man) was shot by a police officer. Shooter was wounded and fled the area. Found at a local hospital and arrested.")</f>
        <v>Shots were fired during a fight in the parking lot following the graduation ceremony. Students and family members were taking photos outside of the building when the shooting started. The graduation was held at the city's convention center. An adult man was killed, 2 others were shot, and the shooter (25-year-old man) was shot by a police officer. Shooter was wounded and fled the area. Found at a local hospital and arrested.</v>
      </c>
      <c r="AA275" s="5" t="str">
        <f ca="1">IFERROR(__xludf.DUMMYFUNCTION("""COMPUTED_VALUE"""),"Escalation of Dispute")</f>
        <v>Escalation of Dispute</v>
      </c>
      <c r="AB275" s="5" t="str">
        <f ca="1">IFERROR(__xludf.DUMMYFUNCTION("""COMPUTED_VALUE"""),"Both")</f>
        <v>Both</v>
      </c>
      <c r="AC275" s="5" t="str">
        <f ca="1">IFERROR(__xludf.DUMMYFUNCTION("""COMPUTED_VALUE"""),"No")</f>
        <v>No</v>
      </c>
      <c r="AD275" s="5" t="str">
        <f ca="1">IFERROR(__xludf.DUMMYFUNCTION("""COMPUTED_VALUE"""),"No")</f>
        <v>No</v>
      </c>
      <c r="AE275" s="5" t="str">
        <f ca="1">IFERROR(__xludf.DUMMYFUNCTION("""COMPUTED_VALUE"""),"No")</f>
        <v>No</v>
      </c>
      <c r="AF275" s="5" t="str">
        <f ca="1">IFERROR(__xludf.DUMMYFUNCTION("""COMPUTED_VALUE"""),"No")</f>
        <v>No</v>
      </c>
      <c r="AG275" s="5" t="str">
        <f ca="1">IFERROR(__xludf.DUMMYFUNCTION("""COMPUTED_VALUE"""),"No")</f>
        <v>No</v>
      </c>
      <c r="AH275" s="5" t="str">
        <f ca="1">IFERROR(__xludf.DUMMYFUNCTION("""COMPUTED_VALUE"""),"No")</f>
        <v>No</v>
      </c>
      <c r="AI275" s="5" t="str">
        <f ca="1">IFERROR(__xludf.DUMMYFUNCTION("""COMPUTED_VALUE"""),"No")</f>
        <v>No</v>
      </c>
      <c r="AJ275" s="5" t="str">
        <f ca="1">IFERROR(__xludf.DUMMYFUNCTION("""COMPUTED_VALUE"""),"No")</f>
        <v>No</v>
      </c>
    </row>
    <row r="276" spans="1:36" ht="13">
      <c r="A276" s="5" t="str">
        <f ca="1">IFERROR(__xludf.DUMMYFUNCTION("""COMPUTED_VALUE"""),"20220511FLJAJ")</f>
        <v>20220511FLJAJ</v>
      </c>
      <c r="B276" s="5">
        <f ca="1">IFERROR(__xludf.DUMMYFUNCTION("""COMPUTED_VALUE"""),5)</f>
        <v>5</v>
      </c>
      <c r="C276" s="5">
        <f ca="1">IFERROR(__xludf.DUMMYFUNCTION("""COMPUTED_VALUE"""),11)</f>
        <v>11</v>
      </c>
      <c r="D276" s="5">
        <f ca="1">IFERROR(__xludf.DUMMYFUNCTION("""COMPUTED_VALUE"""),2022)</f>
        <v>2022</v>
      </c>
      <c r="E276" s="8">
        <f ca="1">IFERROR(__xludf.DUMMYFUNCTION("""COMPUTED_VALUE"""),44692)</f>
        <v>44692</v>
      </c>
      <c r="F276" s="5" t="str">
        <f ca="1">IFERROR(__xludf.DUMMYFUNCTION("""COMPUTED_VALUE"""),"Andrew Jackson High School")</f>
        <v>Andrew Jackson High School</v>
      </c>
      <c r="G276" s="5">
        <f ca="1">IFERROR(__xludf.DUMMYFUNCTION("""COMPUTED_VALUE"""),0)</f>
        <v>0</v>
      </c>
      <c r="H276" s="5">
        <f ca="1">IFERROR(__xludf.DUMMYFUNCTION("""COMPUTED_VALUE"""),1)</f>
        <v>1</v>
      </c>
      <c r="I276" s="5">
        <f ca="1">IFERROR(__xludf.DUMMYFUNCTION("""COMPUTED_VALUE"""),1)</f>
        <v>1</v>
      </c>
      <c r="J276" s="5">
        <f ca="1">IFERROR(__xludf.DUMMYFUNCTION("""COMPUTED_VALUE"""),0)</f>
        <v>0</v>
      </c>
      <c r="K276" s="5" t="str">
        <f ca="1">IFERROR(__xludf.DUMMYFUNCTION("""COMPUTED_VALUE"""),"https://www.jacksonville.com/story/news/crime/2022/05/12/jacksonville-student-17-shot-outside-andrew-jackson-high/9743543002/ https://www.firstcoastnews.com/article/news/crime/police-andrew-jackson/77-95ea5184-e16e-4a9e-acbf-f3d2a8a79766 https://www.news4"&amp;"jax.com/news/local/2022/05/11/large-law-enforcement-presence-near-andrew-jackson-high-school/")</f>
        <v>https://www.jacksonville.com/story/news/crime/2022/05/12/jacksonville-student-17-shot-outside-andrew-jackson-high/9743543002/ https://www.firstcoastnews.com/article/news/crime/police-andrew-jackson/77-95ea5184-e16e-4a9e-acbf-f3d2a8a79766 https://www.news4jax.com/news/local/2022/05/11/large-law-enforcement-presence-near-andrew-jackson-high-school/</v>
      </c>
      <c r="L276" s="5">
        <f ca="1">IFERROR(__xludf.DUMMYFUNCTION("""COMPUTED_VALUE"""),10)</f>
        <v>10</v>
      </c>
      <c r="M276" s="5" t="str">
        <f ca="1">IFERROR(__xludf.DUMMYFUNCTION("""COMPUTED_VALUE"""),"Regional")</f>
        <v>Regional</v>
      </c>
      <c r="N276" s="5">
        <f ca="1">IFERROR(__xludf.DUMMYFUNCTION("""COMPUTED_VALUE"""),4)</f>
        <v>4</v>
      </c>
      <c r="O276" s="5" t="str">
        <f ca="1">IFERROR(__xludf.DUMMYFUNCTION("""COMPUTED_VALUE"""),"Spring")</f>
        <v>Spring</v>
      </c>
      <c r="P276" s="5" t="str">
        <f ca="1">IFERROR(__xludf.DUMMYFUNCTION("""COMPUTED_VALUE"""),"Jacksonville")</f>
        <v>Jacksonville</v>
      </c>
      <c r="Q276" s="5" t="str">
        <f ca="1">IFERROR(__xludf.DUMMYFUNCTION("""COMPUTED_VALUE"""),"FL")</f>
        <v>FL</v>
      </c>
      <c r="R276" s="5" t="str">
        <f ca="1">IFERROR(__xludf.DUMMYFUNCTION("""COMPUTED_VALUE"""),"High")</f>
        <v>High</v>
      </c>
      <c r="S276" s="5" t="str">
        <f ca="1">IFERROR(__xludf.DUMMYFUNCTION("""COMPUTED_VALUE"""),"Beside Building")</f>
        <v>Beside Building</v>
      </c>
      <c r="T276" s="5" t="str">
        <f ca="1">IFERROR(__xludf.DUMMYFUNCTION("""COMPUTED_VALUE"""),"Outside on School Property")</f>
        <v>Outside on School Property</v>
      </c>
      <c r="U276" s="5" t="str">
        <f ca="1">IFERROR(__xludf.DUMMYFUNCTION("""COMPUTED_VALUE"""),"Yes")</f>
        <v>Yes</v>
      </c>
      <c r="V276" s="5" t="str">
        <f ca="1">IFERROR(__xludf.DUMMYFUNCTION("""COMPUTED_VALUE"""),"Dismissal")</f>
        <v>Dismissal</v>
      </c>
      <c r="W276" s="10">
        <f ca="1">IFERROR(__xludf.DUMMYFUNCTION("""COMPUTED_VALUE"""),0.625)</f>
        <v>0.625</v>
      </c>
      <c r="X276" s="5">
        <f ca="1">IFERROR(__xludf.DUMMYFUNCTION("""COMPUTED_VALUE"""),1)</f>
        <v>1</v>
      </c>
      <c r="Y276" s="5" t="str">
        <f ca="1">IFERROR(__xludf.DUMMYFUNCTION("""COMPUTED_VALUE"""),"Student shot exiting school during drive-by")</f>
        <v>Student shot exiting school during drive-by</v>
      </c>
      <c r="Z276" s="5" t="str">
        <f ca="1">IFERROR(__xludf.DUMMYFUNCTION("""COMPUTED_VALUE"""),"A group of 8 students were leaving the school gym at dismissal when shots were fired at them from a vehicle. 17-year-old student was critically injured. Students ran back into school and went on lockdown. Shooter fled and was not identified.")</f>
        <v>A group of 8 students were leaving the school gym at dismissal when shots were fired at them from a vehicle. 17-year-old student was critically injured. Students ran back into school and went on lockdown. Shooter fled and was not identified.</v>
      </c>
      <c r="AA276" s="5" t="str">
        <f ca="1">IFERROR(__xludf.DUMMYFUNCTION("""COMPUTED_VALUE"""),"Drive-by Shooting")</f>
        <v>Drive-by Shooting</v>
      </c>
      <c r="AB276" s="5" t="str">
        <f ca="1">IFERROR(__xludf.DUMMYFUNCTION("""COMPUTED_VALUE"""),"Victims Targeted")</f>
        <v>Victims Targeted</v>
      </c>
      <c r="AC276" s="5" t="str">
        <f ca="1">IFERROR(__xludf.DUMMYFUNCTION("""COMPUTED_VALUE"""),"Yes")</f>
        <v>Yes</v>
      </c>
      <c r="AD276" s="5" t="str">
        <f ca="1">IFERROR(__xludf.DUMMYFUNCTION("""COMPUTED_VALUE"""),"No")</f>
        <v>No</v>
      </c>
      <c r="AE276" s="5" t="str">
        <f ca="1">IFERROR(__xludf.DUMMYFUNCTION("""COMPUTED_VALUE"""),"No")</f>
        <v>No</v>
      </c>
      <c r="AF276" s="5" t="str">
        <f ca="1">IFERROR(__xludf.DUMMYFUNCTION("""COMPUTED_VALUE"""),"No")</f>
        <v>No</v>
      </c>
      <c r="AG276" s="5" t="str">
        <f ca="1">IFERROR(__xludf.DUMMYFUNCTION("""COMPUTED_VALUE"""),"No")</f>
        <v>No</v>
      </c>
      <c r="AH276" s="5" t="str">
        <f ca="1">IFERROR(__xludf.DUMMYFUNCTION("""COMPUTED_VALUE"""),"No")</f>
        <v>No</v>
      </c>
      <c r="AI276" s="5"/>
      <c r="AJ276" s="5" t="str">
        <f ca="1">IFERROR(__xludf.DUMMYFUNCTION("""COMPUTED_VALUE"""),"No")</f>
        <v>No</v>
      </c>
    </row>
    <row r="277" spans="1:36" ht="13">
      <c r="A277" s="5" t="str">
        <f ca="1">IFERROR(__xludf.DUMMYFUNCTION("""COMPUTED_VALUE"""),"20220509NYEDS")</f>
        <v>20220509NYEDS</v>
      </c>
      <c r="B277" s="5">
        <f ca="1">IFERROR(__xludf.DUMMYFUNCTION("""COMPUTED_VALUE"""),5)</f>
        <v>5</v>
      </c>
      <c r="C277" s="5">
        <f ca="1">IFERROR(__xludf.DUMMYFUNCTION("""COMPUTED_VALUE"""),9)</f>
        <v>9</v>
      </c>
      <c r="D277" s="5">
        <f ca="1">IFERROR(__xludf.DUMMYFUNCTION("""COMPUTED_VALUE"""),2022)</f>
        <v>2022</v>
      </c>
      <c r="E277" s="8">
        <f ca="1">IFERROR(__xludf.DUMMYFUNCTION("""COMPUTED_VALUE"""),44690)</f>
        <v>44690</v>
      </c>
      <c r="F277" s="5" t="str">
        <f ca="1">IFERROR(__xludf.DUMMYFUNCTION("""COMPUTED_VALUE"""),"Eden Ii Institute")</f>
        <v>Eden Ii Institute</v>
      </c>
      <c r="G277" s="5">
        <f ca="1">IFERROR(__xludf.DUMMYFUNCTION("""COMPUTED_VALUE"""),1)</f>
        <v>1</v>
      </c>
      <c r="H277" s="5">
        <f ca="1">IFERROR(__xludf.DUMMYFUNCTION("""COMPUTED_VALUE"""),0)</f>
        <v>0</v>
      </c>
      <c r="I277" s="5">
        <f ca="1">IFERROR(__xludf.DUMMYFUNCTION("""COMPUTED_VALUE"""),1)</f>
        <v>1</v>
      </c>
      <c r="J277" s="5">
        <f ca="1">IFERROR(__xludf.DUMMYFUNCTION("""COMPUTED_VALUE"""),0)</f>
        <v>0</v>
      </c>
      <c r="K277" s="5" t="str">
        <f ca="1">IFERROR(__xludf.DUMMYFUNCTION("""COMPUTED_VALUE"""),"https://www.nydailynews.com/new-york/nyc-crime/ny-man-shot-staten-island-20220509-st6d6abalrfsphx5c4ggx5q3vm-story.html https://nypost.com/2022/05/10/man-shot-outside-si-school-for-autistic-students-dies/")</f>
        <v>https://www.nydailynews.com/new-york/nyc-crime/ny-man-shot-staten-island-20220509-st6d6abalrfsphx5c4ggx5q3vm-story.html https://nypost.com/2022/05/10/man-shot-outside-si-school-for-autistic-students-dies/</v>
      </c>
      <c r="L277" s="5">
        <f ca="1">IFERROR(__xludf.DUMMYFUNCTION("""COMPUTED_VALUE"""),10)</f>
        <v>10</v>
      </c>
      <c r="M277" s="5" t="str">
        <f ca="1">IFERROR(__xludf.DUMMYFUNCTION("""COMPUTED_VALUE"""),"Regional")</f>
        <v>Regional</v>
      </c>
      <c r="N277" s="5">
        <f ca="1">IFERROR(__xludf.DUMMYFUNCTION("""COMPUTED_VALUE"""),4)</f>
        <v>4</v>
      </c>
      <c r="O277" s="5" t="str">
        <f ca="1">IFERROR(__xludf.DUMMYFUNCTION("""COMPUTED_VALUE"""),"Spring")</f>
        <v>Spring</v>
      </c>
      <c r="P277" s="5" t="str">
        <f ca="1">IFERROR(__xludf.DUMMYFUNCTION("""COMPUTED_VALUE"""),"Staten Island")</f>
        <v>Staten Island</v>
      </c>
      <c r="Q277" s="5" t="str">
        <f ca="1">IFERROR(__xludf.DUMMYFUNCTION("""COMPUTED_VALUE"""),"NY")</f>
        <v>NY</v>
      </c>
      <c r="R277" s="5" t="str">
        <f ca="1">IFERROR(__xludf.DUMMYFUNCTION("""COMPUTED_VALUE"""),"Other")</f>
        <v>Other</v>
      </c>
      <c r="S277" s="5" t="str">
        <f ca="1">IFERROR(__xludf.DUMMYFUNCTION("""COMPUTED_VALUE"""),"Front of School")</f>
        <v>Front of School</v>
      </c>
      <c r="T277" s="5" t="str">
        <f ca="1">IFERROR(__xludf.DUMMYFUNCTION("""COMPUTED_VALUE"""),"Outside on School Property")</f>
        <v>Outside on School Property</v>
      </c>
      <c r="U277" s="5" t="str">
        <f ca="1">IFERROR(__xludf.DUMMYFUNCTION("""COMPUTED_VALUE"""),"Yes")</f>
        <v>Yes</v>
      </c>
      <c r="V277" s="5" t="str">
        <f ca="1">IFERROR(__xludf.DUMMYFUNCTION("""COMPUTED_VALUE"""),"Afternoon Classes")</f>
        <v>Afternoon Classes</v>
      </c>
      <c r="W277" s="10">
        <f ca="1">IFERROR(__xludf.DUMMYFUNCTION("""COMPUTED_VALUE"""),0.635416666666666)</f>
        <v>0.63541666666666596</v>
      </c>
      <c r="X277" s="5">
        <f ca="1">IFERROR(__xludf.DUMMYFUNCTION("""COMPUTED_VALUE"""),1)</f>
        <v>1</v>
      </c>
      <c r="Y277" s="5" t="str">
        <f ca="1">IFERROR(__xludf.DUMMYFUNCTION("""COMPUTED_VALUE"""),"Man fatally shot by front door to school")</f>
        <v>Man fatally shot by front door to school</v>
      </c>
      <c r="Z277" s="5" t="str">
        <f ca="1">IFERROR(__xludf.DUMMYFUNCTION("""COMPUTED_VALUE"""),"A 26-year-old man was fatally shot during a fight with 2 other men near the front door of the school. Shooter fled in a vehicle. School went on lockdown for 90 minute while police investigated. Unclear if men had any relation to the school.")</f>
        <v>A 26-year-old man was fatally shot during a fight with 2 other men near the front door of the school. Shooter fled in a vehicle. School went on lockdown for 90 minute while police investigated. Unclear if men had any relation to the school.</v>
      </c>
      <c r="AA277" s="5" t="str">
        <f ca="1">IFERROR(__xludf.DUMMYFUNCTION("""COMPUTED_VALUE"""),"Escalation of Dispute")</f>
        <v>Escalation of Dispute</v>
      </c>
      <c r="AB277" s="5" t="str">
        <f ca="1">IFERROR(__xludf.DUMMYFUNCTION("""COMPUTED_VALUE"""),"Victims Targeted")</f>
        <v>Victims Targeted</v>
      </c>
      <c r="AC277" s="5" t="str">
        <f ca="1">IFERROR(__xludf.DUMMYFUNCTION("""COMPUTED_VALUE"""),"Yes")</f>
        <v>Yes</v>
      </c>
      <c r="AD277" s="5" t="str">
        <f ca="1">IFERROR(__xludf.DUMMYFUNCTION("""COMPUTED_VALUE"""),"No")</f>
        <v>No</v>
      </c>
      <c r="AE277" s="5" t="str">
        <f ca="1">IFERROR(__xludf.DUMMYFUNCTION("""COMPUTED_VALUE"""),"No")</f>
        <v>No</v>
      </c>
      <c r="AF277" s="5" t="str">
        <f ca="1">IFERROR(__xludf.DUMMYFUNCTION("""COMPUTED_VALUE"""),"No")</f>
        <v>No</v>
      </c>
      <c r="AG277" s="5" t="str">
        <f ca="1">IFERROR(__xludf.DUMMYFUNCTION("""COMPUTED_VALUE"""),"No")</f>
        <v>No</v>
      </c>
      <c r="AH277" s="5" t="str">
        <f ca="1">IFERROR(__xludf.DUMMYFUNCTION("""COMPUTED_VALUE"""),"No")</f>
        <v>No</v>
      </c>
      <c r="AI277" s="5"/>
      <c r="AJ277" s="5" t="str">
        <f ca="1">IFERROR(__xludf.DUMMYFUNCTION("""COMPUTED_VALUE"""),"No")</f>
        <v>No</v>
      </c>
    </row>
    <row r="278" spans="1:36" ht="13">
      <c r="A278" s="5" t="str">
        <f ca="1">IFERROR(__xludf.DUMMYFUNCTION("""COMPUTED_VALUE"""),"20220509GARIS")</f>
        <v>20220509GARIS</v>
      </c>
      <c r="B278" s="5">
        <f ca="1">IFERROR(__xludf.DUMMYFUNCTION("""COMPUTED_VALUE"""),5)</f>
        <v>5</v>
      </c>
      <c r="C278" s="5">
        <f ca="1">IFERROR(__xludf.DUMMYFUNCTION("""COMPUTED_VALUE"""),9)</f>
        <v>9</v>
      </c>
      <c r="D278" s="5">
        <f ca="1">IFERROR(__xludf.DUMMYFUNCTION("""COMPUTED_VALUE"""),2022)</f>
        <v>2022</v>
      </c>
      <c r="E278" s="8">
        <f ca="1">IFERROR(__xludf.DUMMYFUNCTION("""COMPUTED_VALUE"""),44690)</f>
        <v>44690</v>
      </c>
      <c r="F278" s="5" t="str">
        <f ca="1">IFERROR(__xludf.DUMMYFUNCTION("""COMPUTED_VALUE"""),"Riverside Elementary School")</f>
        <v>Riverside Elementary School</v>
      </c>
      <c r="G278" s="5">
        <f ca="1">IFERROR(__xludf.DUMMYFUNCTION("""COMPUTED_VALUE"""),0)</f>
        <v>0</v>
      </c>
      <c r="H278" s="5">
        <f ca="1">IFERROR(__xludf.DUMMYFUNCTION("""COMPUTED_VALUE"""),0)</f>
        <v>0</v>
      </c>
      <c r="I278" s="5">
        <f ca="1">IFERROR(__xludf.DUMMYFUNCTION("""COMPUTED_VALUE"""),0)</f>
        <v>0</v>
      </c>
      <c r="J278" s="5">
        <f ca="1">IFERROR(__xludf.DUMMYFUNCTION("""COMPUTED_VALUE"""),0)</f>
        <v>0</v>
      </c>
      <c r="K278" s="5" t="str">
        <f ca="1">IFERROR(__xludf.DUMMYFUNCTION("""COMPUTED_VALUE"""),"https://www.wsbtv.com/news/local/gwinnett-county/woman-who-shot-gwinnett-county-bus-with-kids-inside-had-prior-beef-with-bus-neighbors-say/Y6VSFLPQ65DHJB7BIZKEFSUIQY/ https://www.fox5atlanta.com/news/police-investigating-report-of-someone-shooting-at-scho"&amp;"ol-bus https://www.ajc.com/news/crime/breaking-report-of-shots-fired-at-school-bus-near-suwanee-police-say/2FD6DKX6QBA55OSA5H4YMRV5GI/ https://www.fox5atlanta.com/news/police-investigating-report-of-someone-shooting-at-school-bus")</f>
        <v>https://www.wsbtv.com/news/local/gwinnett-county/woman-who-shot-gwinnett-county-bus-with-kids-inside-had-prior-beef-with-bus-neighbors-say/Y6VSFLPQ65DHJB7BIZKEFSUIQY/ https://www.fox5atlanta.com/news/police-investigating-report-of-someone-shooting-at-school-bus https://www.ajc.com/news/crime/breaking-report-of-shots-fired-at-school-bus-near-suwanee-police-say/2FD6DKX6QBA55OSA5H4YMRV5GI/ https://www.fox5atlanta.com/news/police-investigating-report-of-someone-shooting-at-school-bus</v>
      </c>
      <c r="L278" s="5">
        <f ca="1">IFERROR(__xludf.DUMMYFUNCTION("""COMPUTED_VALUE"""),5)</f>
        <v>5</v>
      </c>
      <c r="M278" s="5" t="str">
        <f ca="1">IFERROR(__xludf.DUMMYFUNCTION("""COMPUTED_VALUE"""),"Regional")</f>
        <v>Regional</v>
      </c>
      <c r="N278" s="5">
        <f ca="1">IFERROR(__xludf.DUMMYFUNCTION("""COMPUTED_VALUE"""),4)</f>
        <v>4</v>
      </c>
      <c r="O278" s="5" t="str">
        <f ca="1">IFERROR(__xludf.DUMMYFUNCTION("""COMPUTED_VALUE"""),"Spring")</f>
        <v>Spring</v>
      </c>
      <c r="P278" s="5" t="str">
        <f ca="1">IFERROR(__xludf.DUMMYFUNCTION("""COMPUTED_VALUE"""),"Suwanee")</f>
        <v>Suwanee</v>
      </c>
      <c r="Q278" s="5" t="str">
        <f ca="1">IFERROR(__xludf.DUMMYFUNCTION("""COMPUTED_VALUE"""),"GA")</f>
        <v>GA</v>
      </c>
      <c r="R278" s="5" t="str">
        <f ca="1">IFERROR(__xludf.DUMMYFUNCTION("""COMPUTED_VALUE"""),"Elementary")</f>
        <v>Elementary</v>
      </c>
      <c r="S278" s="5" t="str">
        <f ca="1">IFERROR(__xludf.DUMMYFUNCTION("""COMPUTED_VALUE"""),"School Bus")</f>
        <v>School Bus</v>
      </c>
      <c r="T278" s="5" t="str">
        <f ca="1">IFERROR(__xludf.DUMMYFUNCTION("""COMPUTED_VALUE"""),"School Bus")</f>
        <v>School Bus</v>
      </c>
      <c r="U278" s="5" t="str">
        <f ca="1">IFERROR(__xludf.DUMMYFUNCTION("""COMPUTED_VALUE"""),"Yes")</f>
        <v>Yes</v>
      </c>
      <c r="V278" s="5" t="str">
        <f ca="1">IFERROR(__xludf.DUMMYFUNCTION("""COMPUTED_VALUE"""),"School Start")</f>
        <v>School Start</v>
      </c>
      <c r="W278" s="10">
        <f ca="1">IFERROR(__xludf.DUMMYFUNCTION("""COMPUTED_VALUE"""),0.302083333333333)</f>
        <v>0.30208333333333298</v>
      </c>
      <c r="X278" s="5">
        <f ca="1">IFERROR(__xludf.DUMMYFUNCTION("""COMPUTED_VALUE"""),1)</f>
        <v>1</v>
      </c>
      <c r="Y278" s="5" t="str">
        <f ca="1">IFERROR(__xludf.DUMMYFUNCTION("""COMPUTED_VALUE"""),"Woman fired 12 shots at occupied school bus")</f>
        <v>Woman fired 12 shots at occupied school bus</v>
      </c>
      <c r="Z278" s="5" t="str">
        <f ca="1">IFERROR(__xludf.DUMMYFUNCTION("""COMPUTED_VALUE"""),"A 57-year-old woman fired 12 shots at a school bus in front of her house. Two shots were through the windshield and just missed the driver. Students on the bus were not injured. Driver told students to take cover and kept driving to the school. Shooter ar"&amp;"rested and charged with charged with four counts of first-degree cruelty to children, five counts of aggravated assault, possession of a firearm during the commission of certain felonies, and unauthorized discharge of a firearm near a public street. Prior"&amp;" to the shooting, neighbors said the woman had thrown rocks at the school bus. She also walked in the middle of the street and would not let the bus pass her.")</f>
        <v>A 57-year-old woman fired 12 shots at a school bus in front of her house. Two shots were through the windshield and just missed the driver. Students on the bus were not injured. Driver told students to take cover and kept driving to the school. Shooter arrested and charged with charged with four counts of first-degree cruelty to children, five counts of aggravated assault, possession of a firearm during the commission of certain felonies, and unauthorized discharge of a firearm near a public street. Prior to the shooting, neighbors said the woman had thrown rocks at the school bus. She also walked in the middle of the street and would not let the bus pass her.</v>
      </c>
      <c r="AA278" s="5"/>
      <c r="AB278" s="5" t="str">
        <f ca="1">IFERROR(__xludf.DUMMYFUNCTION("""COMPUTED_VALUE"""),"Victims Targeted")</f>
        <v>Victims Targeted</v>
      </c>
      <c r="AC278" s="5" t="str">
        <f ca="1">IFERROR(__xludf.DUMMYFUNCTION("""COMPUTED_VALUE"""),"No")</f>
        <v>No</v>
      </c>
      <c r="AD278" s="5" t="str">
        <f ca="1">IFERROR(__xludf.DUMMYFUNCTION("""COMPUTED_VALUE"""),"No")</f>
        <v>No</v>
      </c>
      <c r="AE278" s="5" t="str">
        <f ca="1">IFERROR(__xludf.DUMMYFUNCTION("""COMPUTED_VALUE"""),"No")</f>
        <v>No</v>
      </c>
      <c r="AF278" s="5" t="str">
        <f ca="1">IFERROR(__xludf.DUMMYFUNCTION("""COMPUTED_VALUE"""),"No")</f>
        <v>No</v>
      </c>
      <c r="AG278" s="5" t="str">
        <f ca="1">IFERROR(__xludf.DUMMYFUNCTION("""COMPUTED_VALUE"""),"No")</f>
        <v>No</v>
      </c>
      <c r="AH278" s="5" t="str">
        <f ca="1">IFERROR(__xludf.DUMMYFUNCTION("""COMPUTED_VALUE"""),"No")</f>
        <v>No</v>
      </c>
      <c r="AI278" s="5" t="str">
        <f ca="1">IFERROR(__xludf.DUMMYFUNCTION("""COMPUTED_VALUE"""),"No")</f>
        <v>No</v>
      </c>
      <c r="AJ278" s="5" t="str">
        <f ca="1">IFERROR(__xludf.DUMMYFUNCTION("""COMPUTED_VALUE"""),"No")</f>
        <v>No</v>
      </c>
    </row>
    <row r="279" spans="1:36" ht="13">
      <c r="A279" s="5" t="str">
        <f ca="1">IFERROR(__xludf.DUMMYFUNCTION("""COMPUTED_VALUE"""),"20220505ALDOD")</f>
        <v>20220505ALDOD</v>
      </c>
      <c r="B279" s="5">
        <f ca="1">IFERROR(__xludf.DUMMYFUNCTION("""COMPUTED_VALUE"""),5)</f>
        <v>5</v>
      </c>
      <c r="C279" s="5">
        <f ca="1">IFERROR(__xludf.DUMMYFUNCTION("""COMPUTED_VALUE"""),5)</f>
        <v>5</v>
      </c>
      <c r="D279" s="5">
        <f ca="1">IFERROR(__xludf.DUMMYFUNCTION("""COMPUTED_VALUE"""),2022)</f>
        <v>2022</v>
      </c>
      <c r="E279" s="8">
        <f ca="1">IFERROR(__xludf.DUMMYFUNCTION("""COMPUTED_VALUE"""),44686)</f>
        <v>44686</v>
      </c>
      <c r="F279" s="5" t="str">
        <f ca="1">IFERROR(__xludf.DUMMYFUNCTION("""COMPUTED_VALUE"""),"Dothan City School Bus")</f>
        <v>Dothan City School Bus</v>
      </c>
      <c r="G279" s="5">
        <f ca="1">IFERROR(__xludf.DUMMYFUNCTION("""COMPUTED_VALUE"""),0)</f>
        <v>0</v>
      </c>
      <c r="H279" s="5">
        <f ca="1">IFERROR(__xludf.DUMMYFUNCTION("""COMPUTED_VALUE"""),0)</f>
        <v>0</v>
      </c>
      <c r="I279" s="5">
        <f ca="1">IFERROR(__xludf.DUMMYFUNCTION("""COMPUTED_VALUE"""),0)</f>
        <v>0</v>
      </c>
      <c r="J279" s="5">
        <f ca="1">IFERROR(__xludf.DUMMYFUNCTION("""COMPUTED_VALUE"""),0)</f>
        <v>0</v>
      </c>
      <c r="K279" s="5" t="str">
        <f ca="1">IFERROR(__xludf.DUMMYFUNCTION("""COMPUTED_VALUE"""),"https://www.wtvy.com/2022/05/05/dothan-city-school-bus-other-vehicles-shot-into-with-bb-gun/ https://www.wdhn.com/news/crime/dothan-man-arrested-for-shooting-bbs-into-a-school-bus-other-cars/")</f>
        <v>https://www.wtvy.com/2022/05/05/dothan-city-school-bus-other-vehicles-shot-into-with-bb-gun/ https://www.wdhn.com/news/crime/dothan-man-arrested-for-shooting-bbs-into-a-school-bus-other-cars/</v>
      </c>
      <c r="L279" s="5">
        <f ca="1">IFERROR(__xludf.DUMMYFUNCTION("""COMPUTED_VALUE"""),5)</f>
        <v>5</v>
      </c>
      <c r="M279" s="5" t="str">
        <f ca="1">IFERROR(__xludf.DUMMYFUNCTION("""COMPUTED_VALUE"""),"Local")</f>
        <v>Local</v>
      </c>
      <c r="N279" s="5">
        <f ca="1">IFERROR(__xludf.DUMMYFUNCTION("""COMPUTED_VALUE"""),4)</f>
        <v>4</v>
      </c>
      <c r="O279" s="5" t="str">
        <f ca="1">IFERROR(__xludf.DUMMYFUNCTION("""COMPUTED_VALUE"""),"Spring")</f>
        <v>Spring</v>
      </c>
      <c r="P279" s="5" t="str">
        <f ca="1">IFERROR(__xludf.DUMMYFUNCTION("""COMPUTED_VALUE"""),"Dothan")</f>
        <v>Dothan</v>
      </c>
      <c r="Q279" s="5" t="str">
        <f ca="1">IFERROR(__xludf.DUMMYFUNCTION("""COMPUTED_VALUE"""),"AL")</f>
        <v>AL</v>
      </c>
      <c r="R279" s="5" t="str">
        <f ca="1">IFERROR(__xludf.DUMMYFUNCTION("""COMPUTED_VALUE"""),"K-12")</f>
        <v>K-12</v>
      </c>
      <c r="S279" s="5" t="str">
        <f ca="1">IFERROR(__xludf.DUMMYFUNCTION("""COMPUTED_VALUE"""),"School Bus")</f>
        <v>School Bus</v>
      </c>
      <c r="T279" s="5" t="str">
        <f ca="1">IFERROR(__xludf.DUMMYFUNCTION("""COMPUTED_VALUE"""),"School Bus")</f>
        <v>School Bus</v>
      </c>
      <c r="U279" s="5" t="str">
        <f ca="1">IFERROR(__xludf.DUMMYFUNCTION("""COMPUTED_VALUE"""),"No")</f>
        <v>No</v>
      </c>
      <c r="V279" s="5" t="str">
        <f ca="1">IFERROR(__xludf.DUMMYFUNCTION("""COMPUTED_VALUE"""),"After School")</f>
        <v>After School</v>
      </c>
      <c r="W279" s="10">
        <f ca="1">IFERROR(__xludf.DUMMYFUNCTION("""COMPUTED_VALUE"""),0.625)</f>
        <v>0.625</v>
      </c>
      <c r="X279" s="5">
        <f ca="1">IFERROR(__xludf.DUMMYFUNCTION("""COMPUTED_VALUE"""),1)</f>
        <v>1</v>
      </c>
      <c r="Y279" s="5" t="str">
        <f ca="1">IFERROR(__xludf.DUMMYFUNCTION("""COMPUTED_VALUE"""),"Man fired BBs at moving school bus and other vehicles")</f>
        <v>Man fired BBs at moving school bus and other vehicles</v>
      </c>
      <c r="Z279" s="5" t="str">
        <f ca="1">IFERROR(__xludf.DUMMYFUNCTION("""COMPUTED_VALUE"""),"A 20-year-old man fired BBs at a moving school bus and two other vehicles near his home. Charged with 3 felonies and held on $45,000 bond. No students were on the bus.")</f>
        <v>A 20-year-old man fired BBs at a moving school bus and two other vehicles near his home. Charged with 3 felonies and held on $45,000 bond. No students were on the bus.</v>
      </c>
      <c r="AA279" s="5" t="str">
        <f ca="1">IFERROR(__xludf.DUMMYFUNCTION("""COMPUTED_VALUE"""),"Intentional Property Damage")</f>
        <v>Intentional Property Damage</v>
      </c>
      <c r="AB279" s="5" t="str">
        <f ca="1">IFERROR(__xludf.DUMMYFUNCTION("""COMPUTED_VALUE"""),"Random Shooting")</f>
        <v>Random Shooting</v>
      </c>
      <c r="AC279" s="5" t="str">
        <f ca="1">IFERROR(__xludf.DUMMYFUNCTION("""COMPUTED_VALUE"""),"No")</f>
        <v>No</v>
      </c>
      <c r="AD279" s="5" t="str">
        <f ca="1">IFERROR(__xludf.DUMMYFUNCTION("""COMPUTED_VALUE"""),"No")</f>
        <v>No</v>
      </c>
      <c r="AE279" s="5" t="str">
        <f ca="1">IFERROR(__xludf.DUMMYFUNCTION("""COMPUTED_VALUE"""),"No")</f>
        <v>No</v>
      </c>
      <c r="AF279" s="5" t="str">
        <f ca="1">IFERROR(__xludf.DUMMYFUNCTION("""COMPUTED_VALUE"""),"No")</f>
        <v>No</v>
      </c>
      <c r="AG279" s="5" t="str">
        <f ca="1">IFERROR(__xludf.DUMMYFUNCTION("""COMPUTED_VALUE"""),"No")</f>
        <v>No</v>
      </c>
      <c r="AH279" s="5" t="str">
        <f ca="1">IFERROR(__xludf.DUMMYFUNCTION("""COMPUTED_VALUE"""),"No")</f>
        <v>No</v>
      </c>
      <c r="AI279" s="5" t="str">
        <f ca="1">IFERROR(__xludf.DUMMYFUNCTION("""COMPUTED_VALUE"""),"No")</f>
        <v>No</v>
      </c>
      <c r="AJ279" s="5" t="str">
        <f ca="1">IFERROR(__xludf.DUMMYFUNCTION("""COMPUTED_VALUE"""),"No")</f>
        <v>No</v>
      </c>
    </row>
    <row r="280" spans="1:36" ht="13">
      <c r="A280" s="5" t="str">
        <f ca="1">IFERROR(__xludf.DUMMYFUNCTION("""COMPUTED_VALUE"""),"20220505OHLOL")</f>
        <v>20220505OHLOL</v>
      </c>
      <c r="B280" s="5">
        <f ca="1">IFERROR(__xludf.DUMMYFUNCTION("""COMPUTED_VALUE"""),5)</f>
        <v>5</v>
      </c>
      <c r="C280" s="5">
        <f ca="1">IFERROR(__xludf.DUMMYFUNCTION("""COMPUTED_VALUE"""),5)</f>
        <v>5</v>
      </c>
      <c r="D280" s="5">
        <f ca="1">IFERROR(__xludf.DUMMYFUNCTION("""COMPUTED_VALUE"""),2022)</f>
        <v>2022</v>
      </c>
      <c r="E280" s="8">
        <f ca="1">IFERROR(__xludf.DUMMYFUNCTION("""COMPUTED_VALUE"""),44686)</f>
        <v>44686</v>
      </c>
      <c r="F280" s="5" t="str">
        <f ca="1">IFERROR(__xludf.DUMMYFUNCTION("""COMPUTED_VALUE"""),"Lowellville K-12 School")</f>
        <v>Lowellville K-12 School</v>
      </c>
      <c r="G280" s="5">
        <f ca="1">IFERROR(__xludf.DUMMYFUNCTION("""COMPUTED_VALUE"""),0)</f>
        <v>0</v>
      </c>
      <c r="H280" s="5">
        <f ca="1">IFERROR(__xludf.DUMMYFUNCTION("""COMPUTED_VALUE"""),0)</f>
        <v>0</v>
      </c>
      <c r="I280" s="5">
        <f ca="1">IFERROR(__xludf.DUMMYFUNCTION("""COMPUTED_VALUE"""),0)</f>
        <v>0</v>
      </c>
      <c r="J280" s="5">
        <f ca="1">IFERROR(__xludf.DUMMYFUNCTION("""COMPUTED_VALUE"""),1)</f>
        <v>1</v>
      </c>
      <c r="K280" s="5" t="str">
        <f ca="1">IFERROR(__xludf.DUMMYFUNCTION("""COMPUTED_VALUE"""),"https://www.wkbn.com/news/local-news/boy-who-shot-himself-at-lowellville-school-building-has-passed-away/ https://fox8.com/news/self-inflicted-shooting-leads-to-lockdown-of-lowellville-schools/ https://www.wkbn.com/news/local-news/students-and-parents-sha"&amp;"re-stories-from-lowellville-shooting/?ipid=promo-link-block1 https://www.wkbn.com/news/local-news/mom-arrested-for-bringing-gun-to-lowellville-schools/")</f>
        <v>https://www.wkbn.com/news/local-news/boy-who-shot-himself-at-lowellville-school-building-has-passed-away/ https://fox8.com/news/self-inflicted-shooting-leads-to-lockdown-of-lowellville-schools/ https://www.wkbn.com/news/local-news/students-and-parents-share-stories-from-lowellville-shooting/?ipid=promo-link-block1 https://www.wkbn.com/news/local-news/mom-arrested-for-bringing-gun-to-lowellville-schools/</v>
      </c>
      <c r="L280" s="5">
        <f ca="1">IFERROR(__xludf.DUMMYFUNCTION("""COMPUTED_VALUE"""),10)</f>
        <v>10</v>
      </c>
      <c r="M280" s="5" t="str">
        <f ca="1">IFERROR(__xludf.DUMMYFUNCTION("""COMPUTED_VALUE"""),"Regional")</f>
        <v>Regional</v>
      </c>
      <c r="N280" s="5">
        <f ca="1">IFERROR(__xludf.DUMMYFUNCTION("""COMPUTED_VALUE"""),4)</f>
        <v>4</v>
      </c>
      <c r="O280" s="5" t="str">
        <f ca="1">IFERROR(__xludf.DUMMYFUNCTION("""COMPUTED_VALUE"""),"Spring")</f>
        <v>Spring</v>
      </c>
      <c r="P280" s="5" t="str">
        <f ca="1">IFERROR(__xludf.DUMMYFUNCTION("""COMPUTED_VALUE"""),"Lowellville")</f>
        <v>Lowellville</v>
      </c>
      <c r="Q280" s="5" t="str">
        <f ca="1">IFERROR(__xludf.DUMMYFUNCTION("""COMPUTED_VALUE"""),"OH")</f>
        <v>OH</v>
      </c>
      <c r="R280" s="5" t="str">
        <f ca="1">IFERROR(__xludf.DUMMYFUNCTION("""COMPUTED_VALUE"""),"K-12")</f>
        <v>K-12</v>
      </c>
      <c r="S280" s="5" t="str">
        <f ca="1">IFERROR(__xludf.DUMMYFUNCTION("""COMPUTED_VALUE"""),"Cafeteria")</f>
        <v>Cafeteria</v>
      </c>
      <c r="T280" s="5" t="str">
        <f ca="1">IFERROR(__xludf.DUMMYFUNCTION("""COMPUTED_VALUE"""),"Inside School Building")</f>
        <v>Inside School Building</v>
      </c>
      <c r="U280" s="5" t="str">
        <f ca="1">IFERROR(__xludf.DUMMYFUNCTION("""COMPUTED_VALUE"""),"Yes")</f>
        <v>Yes</v>
      </c>
      <c r="V280" s="5" t="str">
        <f ca="1">IFERROR(__xludf.DUMMYFUNCTION("""COMPUTED_VALUE"""),"Morning Classes")</f>
        <v>Morning Classes</v>
      </c>
      <c r="W280" s="10">
        <f ca="1">IFERROR(__xludf.DUMMYFUNCTION("""COMPUTED_VALUE"""),0.4375)</f>
        <v>0.4375</v>
      </c>
      <c r="X280" s="5">
        <f ca="1">IFERROR(__xludf.DUMMYFUNCTION("""COMPUTED_VALUE"""),1)</f>
        <v>1</v>
      </c>
      <c r="Y280" s="5" t="str">
        <f ca="1">IFERROR(__xludf.DUMMYFUNCTION("""COMPUTED_VALUE"""),"Student commit suicide in the school cafeteria")</f>
        <v>Student commit suicide in the school cafeteria</v>
      </c>
      <c r="Z280" s="5" t="str">
        <f ca="1">IFERROR(__xludf.DUMMYFUNCTION("""COMPUTED_VALUE"""),"A student commit suicide in the school cafeteria. The police chief was working as the SRO at the school and was nearby when the shooting occurred. He provided aid and secured the area. School went on lockdown and then students were evacuated to the footba"&amp;"ll field. An armed parent tried to enter the school and was arrested. No other students and staff were injured.")</f>
        <v>A student commit suicide in the school cafeteria. The police chief was working as the SRO at the school and was nearby when the shooting occurred. He provided aid and secured the area. School went on lockdown and then students were evacuated to the football field. An armed parent tried to enter the school and was arrested. No other students and staff were injured.</v>
      </c>
      <c r="AA280" s="5" t="str">
        <f ca="1">IFERROR(__xludf.DUMMYFUNCTION("""COMPUTED_VALUE"""),"Suicide/Attempted")</f>
        <v>Suicide/Attempted</v>
      </c>
      <c r="AB280" s="5" t="str">
        <f ca="1">IFERROR(__xludf.DUMMYFUNCTION("""COMPUTED_VALUE"""),"Victims Targeted")</f>
        <v>Victims Targeted</v>
      </c>
      <c r="AC280" s="5" t="str">
        <f ca="1">IFERROR(__xludf.DUMMYFUNCTION("""COMPUTED_VALUE"""),"No")</f>
        <v>No</v>
      </c>
      <c r="AD280" s="5" t="str">
        <f ca="1">IFERROR(__xludf.DUMMYFUNCTION("""COMPUTED_VALUE"""),"No")</f>
        <v>No</v>
      </c>
      <c r="AE280" s="5" t="str">
        <f ca="1">IFERROR(__xludf.DUMMYFUNCTION("""COMPUTED_VALUE"""),"No")</f>
        <v>No</v>
      </c>
      <c r="AF280" s="5" t="str">
        <f ca="1">IFERROR(__xludf.DUMMYFUNCTION("""COMPUTED_VALUE"""),"No")</f>
        <v>No</v>
      </c>
      <c r="AG280" s="5"/>
      <c r="AH280" s="5" t="str">
        <f ca="1">IFERROR(__xludf.DUMMYFUNCTION("""COMPUTED_VALUE"""),"No")</f>
        <v>No</v>
      </c>
      <c r="AI280" s="5" t="str">
        <f ca="1">IFERROR(__xludf.DUMMYFUNCTION("""COMPUTED_VALUE"""),"No")</f>
        <v>No</v>
      </c>
      <c r="AJ280" s="5" t="str">
        <f ca="1">IFERROR(__xludf.DUMMYFUNCTION("""COMPUTED_VALUE"""),"No")</f>
        <v>No</v>
      </c>
    </row>
    <row r="281" spans="1:36" ht="13">
      <c r="A281" s="5" t="str">
        <f ca="1">IFERROR(__xludf.DUMMYFUNCTION("""COMPUTED_VALUE"""),"20220503CAARS")</f>
        <v>20220503CAARS</v>
      </c>
      <c r="B281" s="5">
        <f ca="1">IFERROR(__xludf.DUMMYFUNCTION("""COMPUTED_VALUE"""),5)</f>
        <v>5</v>
      </c>
      <c r="C281" s="5">
        <f ca="1">IFERROR(__xludf.DUMMYFUNCTION("""COMPUTED_VALUE"""),3)</f>
        <v>3</v>
      </c>
      <c r="D281" s="5">
        <f ca="1">IFERROR(__xludf.DUMMYFUNCTION("""COMPUTED_VALUE"""),2022)</f>
        <v>2022</v>
      </c>
      <c r="E281" s="8">
        <f ca="1">IFERROR(__xludf.DUMMYFUNCTION("""COMPUTED_VALUE"""),44684)</f>
        <v>44684</v>
      </c>
      <c r="F281" s="5" t="str">
        <f ca="1">IFERROR(__xludf.DUMMYFUNCTION("""COMPUTED_VALUE"""),"Arrowview Middle School")</f>
        <v>Arrowview Middle School</v>
      </c>
      <c r="G281" s="5">
        <f ca="1">IFERROR(__xludf.DUMMYFUNCTION("""COMPUTED_VALUE"""),0)</f>
        <v>0</v>
      </c>
      <c r="H281" s="5">
        <f ca="1">IFERROR(__xludf.DUMMYFUNCTION("""COMPUTED_VALUE"""),0)</f>
        <v>0</v>
      </c>
      <c r="I281" s="5">
        <f ca="1">IFERROR(__xludf.DUMMYFUNCTION("""COMPUTED_VALUE"""),0)</f>
        <v>0</v>
      </c>
      <c r="J281" s="5">
        <f ca="1">IFERROR(__xludf.DUMMYFUNCTION("""COMPUTED_VALUE"""),0)</f>
        <v>0</v>
      </c>
      <c r="K281" s="9" t="str">
        <f ca="1">IFERROR(__xludf.DUMMYFUNCTION("""COMPUTED_VALUE"""),"https://www.sbsun.com/2022/05/03/gunfire-in-san-bernardino-causes-car-to-crash-leaves-bullet-holes-in-school/")</f>
        <v>https://www.sbsun.com/2022/05/03/gunfire-in-san-bernardino-causes-car-to-crash-leaves-bullet-holes-in-school/</v>
      </c>
      <c r="L281" s="5">
        <f ca="1">IFERROR(__xludf.DUMMYFUNCTION("""COMPUTED_VALUE"""),1)</f>
        <v>1</v>
      </c>
      <c r="M281" s="5" t="str">
        <f ca="1">IFERROR(__xludf.DUMMYFUNCTION("""COMPUTED_VALUE"""),"Local")</f>
        <v>Local</v>
      </c>
      <c r="N281" s="5">
        <f ca="1">IFERROR(__xludf.DUMMYFUNCTION("""COMPUTED_VALUE"""),3)</f>
        <v>3</v>
      </c>
      <c r="O281" s="5" t="str">
        <f ca="1">IFERROR(__xludf.DUMMYFUNCTION("""COMPUTED_VALUE"""),"Spring")</f>
        <v>Spring</v>
      </c>
      <c r="P281" s="5" t="str">
        <f ca="1">IFERROR(__xludf.DUMMYFUNCTION("""COMPUTED_VALUE"""),"San Bernardino")</f>
        <v>San Bernardino</v>
      </c>
      <c r="Q281" s="5" t="str">
        <f ca="1">IFERROR(__xludf.DUMMYFUNCTION("""COMPUTED_VALUE"""),"CA")</f>
        <v>CA</v>
      </c>
      <c r="R281" s="5" t="str">
        <f ca="1">IFERROR(__xludf.DUMMYFUNCTION("""COMPUTED_VALUE"""),"Middle")</f>
        <v>Middle</v>
      </c>
      <c r="S281" s="5" t="str">
        <f ca="1">IFERROR(__xludf.DUMMYFUNCTION("""COMPUTED_VALUE"""),"Outside on School Property")</f>
        <v>Outside on School Property</v>
      </c>
      <c r="T281" s="5" t="str">
        <f ca="1">IFERROR(__xludf.DUMMYFUNCTION("""COMPUTED_VALUE"""),"Outside on School Property")</f>
        <v>Outside on School Property</v>
      </c>
      <c r="U281" s="5" t="str">
        <f ca="1">IFERROR(__xludf.DUMMYFUNCTION("""COMPUTED_VALUE"""),"No")</f>
        <v>No</v>
      </c>
      <c r="V281" s="5" t="str">
        <f ca="1">IFERROR(__xludf.DUMMYFUNCTION("""COMPUTED_VALUE"""),"Before School")</f>
        <v>Before School</v>
      </c>
      <c r="W281" s="10">
        <f ca="1">IFERROR(__xludf.DUMMYFUNCTION("""COMPUTED_VALUE"""),0.239583333333333)</f>
        <v>0.23958333333333301</v>
      </c>
      <c r="X281" s="5">
        <f ca="1">IFERROR(__xludf.DUMMYFUNCTION("""COMPUTED_VALUE"""),1)</f>
        <v>1</v>
      </c>
      <c r="Y281" s="5" t="str">
        <f ca="1">IFERROR(__xludf.DUMMYFUNCTION("""COMPUTED_VALUE"""),"Shots fired during drive-by struck school building")</f>
        <v>Shots fired during drive-by struck school building</v>
      </c>
      <c r="Z281" s="5" t="str">
        <f ca="1">IFERROR(__xludf.DUMMYFUNCTION("""COMPUTED_VALUE"""),"Shots fired during a drive-by struck the school building. Vehicle crashed nearby. Students and staff had not arrived at the school at the time of the shooting (early morning).")</f>
        <v>Shots fired during a drive-by struck the school building. Vehicle crashed nearby. Students and staff had not arrived at the school at the time of the shooting (early morning).</v>
      </c>
      <c r="AA281" s="5" t="str">
        <f ca="1">IFERROR(__xludf.DUMMYFUNCTION("""COMPUTED_VALUE"""),"Drive-by Shooting")</f>
        <v>Drive-by Shooting</v>
      </c>
      <c r="AB281" s="5" t="str">
        <f ca="1">IFERROR(__xludf.DUMMYFUNCTION("""COMPUTED_VALUE"""),"Both")</f>
        <v>Both</v>
      </c>
      <c r="AC281" s="5"/>
      <c r="AD281" s="5" t="str">
        <f ca="1">IFERROR(__xludf.DUMMYFUNCTION("""COMPUTED_VALUE"""),"No")</f>
        <v>No</v>
      </c>
      <c r="AE281" s="5" t="str">
        <f ca="1">IFERROR(__xludf.DUMMYFUNCTION("""COMPUTED_VALUE"""),"No")</f>
        <v>No</v>
      </c>
      <c r="AF281" s="5" t="str">
        <f ca="1">IFERROR(__xludf.DUMMYFUNCTION("""COMPUTED_VALUE"""),"No")</f>
        <v>No</v>
      </c>
      <c r="AG281" s="5" t="str">
        <f ca="1">IFERROR(__xludf.DUMMYFUNCTION("""COMPUTED_VALUE"""),"No")</f>
        <v>No</v>
      </c>
      <c r="AH281" s="5" t="str">
        <f ca="1">IFERROR(__xludf.DUMMYFUNCTION("""COMPUTED_VALUE"""),"No")</f>
        <v>No</v>
      </c>
      <c r="AI281" s="5"/>
      <c r="AJ281" s="5" t="str">
        <f ca="1">IFERROR(__xludf.DUMMYFUNCTION("""COMPUTED_VALUE"""),"No")</f>
        <v>No</v>
      </c>
    </row>
    <row r="282" spans="1:36" ht="13">
      <c r="A282" s="5" t="str">
        <f ca="1">IFERROR(__xludf.DUMMYFUNCTION("""COMPUTED_VALUE"""),"20220501OHHAC")</f>
        <v>20220501OHHAC</v>
      </c>
      <c r="B282" s="5">
        <f ca="1">IFERROR(__xludf.DUMMYFUNCTION("""COMPUTED_VALUE"""),5)</f>
        <v>5</v>
      </c>
      <c r="C282" s="5">
        <f ca="1">IFERROR(__xludf.DUMMYFUNCTION("""COMPUTED_VALUE"""),1)</f>
        <v>1</v>
      </c>
      <c r="D282" s="5">
        <f ca="1">IFERROR(__xludf.DUMMYFUNCTION("""COMPUTED_VALUE"""),2022)</f>
        <v>2022</v>
      </c>
      <c r="E282" s="8">
        <f ca="1">IFERROR(__xludf.DUMMYFUNCTION("""COMPUTED_VALUE"""),44682)</f>
        <v>44682</v>
      </c>
      <c r="F282" s="5" t="str">
        <f ca="1">IFERROR(__xludf.DUMMYFUNCTION("""COMPUTED_VALUE"""),"Hamilton Stem Academy")</f>
        <v>Hamilton Stem Academy</v>
      </c>
      <c r="G282" s="5">
        <f ca="1">IFERROR(__xludf.DUMMYFUNCTION("""COMPUTED_VALUE"""),1)</f>
        <v>1</v>
      </c>
      <c r="H282" s="5">
        <f ca="1">IFERROR(__xludf.DUMMYFUNCTION("""COMPUTED_VALUE"""),0)</f>
        <v>0</v>
      </c>
      <c r="I282" s="5">
        <f ca="1">IFERROR(__xludf.DUMMYFUNCTION("""COMPUTED_VALUE"""),1)</f>
        <v>1</v>
      </c>
      <c r="J282" s="5">
        <f ca="1">IFERROR(__xludf.DUMMYFUNCTION("""COMPUTED_VALUE"""),0)</f>
        <v>0</v>
      </c>
      <c r="K282" s="5" t="str">
        <f ca="1">IFERROR(__xludf.DUMMYFUNCTION("""COMPUTED_VALUE"""),"https://www.dispatch.com/story/news/crime/2022/09/12/reward-offered-for-information-in-shooting-outside-south-linden-school/65474725007/
https://abc6onyourside.com/news/local/columbus-ohio-police-investigating-person-found-dead-car-near-hamilton-stem-acad"&amp;"emy-5-1-2022 https://www.nbc4i.com/news/local-news/columbus/police-man-found-fatally-shot-inside-car-at-hamilton-stem-academy/ https://www.10tv.com/article/news/crime/man-found-dead-linden-area-columbus/530-b60db85f-035e-4afd-81d4-eadbf61d2adb")</f>
        <v>https://www.dispatch.com/story/news/crime/2022/09/12/reward-offered-for-information-in-shooting-outside-south-linden-school/65474725007/
https://abc6onyourside.com/news/local/columbus-ohio-police-investigating-person-found-dead-car-near-hamilton-stem-academy-5-1-2022 https://www.nbc4i.com/news/local-news/columbus/police-man-found-fatally-shot-inside-car-at-hamilton-stem-academy/ https://www.10tv.com/article/news/crime/man-found-dead-linden-area-columbus/530-b60db85f-035e-4afd-81d4-eadbf61d2adb</v>
      </c>
      <c r="L282" s="5">
        <f ca="1">IFERROR(__xludf.DUMMYFUNCTION("""COMPUTED_VALUE"""),3)</f>
        <v>3</v>
      </c>
      <c r="M282" s="5" t="str">
        <f ca="1">IFERROR(__xludf.DUMMYFUNCTION("""COMPUTED_VALUE"""),"Local")</f>
        <v>Local</v>
      </c>
      <c r="N282" s="5">
        <f ca="1">IFERROR(__xludf.DUMMYFUNCTION("""COMPUTED_VALUE"""),4)</f>
        <v>4</v>
      </c>
      <c r="O282" s="5" t="str">
        <f ca="1">IFERROR(__xludf.DUMMYFUNCTION("""COMPUTED_VALUE"""),"Spring")</f>
        <v>Spring</v>
      </c>
      <c r="P282" s="5" t="str">
        <f ca="1">IFERROR(__xludf.DUMMYFUNCTION("""COMPUTED_VALUE"""),"Columbus")</f>
        <v>Columbus</v>
      </c>
      <c r="Q282" s="5" t="str">
        <f ca="1">IFERROR(__xludf.DUMMYFUNCTION("""COMPUTED_VALUE"""),"OH")</f>
        <v>OH</v>
      </c>
      <c r="R282" s="5" t="str">
        <f ca="1">IFERROR(__xludf.DUMMYFUNCTION("""COMPUTED_VALUE"""),"Elementary")</f>
        <v>Elementary</v>
      </c>
      <c r="S282" s="5" t="str">
        <f ca="1">IFERROR(__xludf.DUMMYFUNCTION("""COMPUTED_VALUE"""),"Parking Lot")</f>
        <v>Parking Lot</v>
      </c>
      <c r="T282" s="5" t="str">
        <f ca="1">IFERROR(__xludf.DUMMYFUNCTION("""COMPUTED_VALUE"""),"Outside on School Property")</f>
        <v>Outside on School Property</v>
      </c>
      <c r="U282" s="5" t="str">
        <f ca="1">IFERROR(__xludf.DUMMYFUNCTION("""COMPUTED_VALUE"""),"No")</f>
        <v>No</v>
      </c>
      <c r="V282" s="5" t="str">
        <f ca="1">IFERROR(__xludf.DUMMYFUNCTION("""COMPUTED_VALUE"""),"Not a School Day")</f>
        <v>Not a School Day</v>
      </c>
      <c r="W282" s="10">
        <f ca="1">IFERROR(__xludf.DUMMYFUNCTION("""COMPUTED_VALUE"""),0.5625)</f>
        <v>0.5625</v>
      </c>
      <c r="X282" s="5">
        <f ca="1">IFERROR(__xludf.DUMMYFUNCTION("""COMPUTED_VALUE"""),1)</f>
        <v>1</v>
      </c>
      <c r="Y282" s="5" t="str">
        <f ca="1">IFERROR(__xludf.DUMMYFUNCTION("""COMPUTED_VALUE"""),"Man found fatally shot in the school parking lot")</f>
        <v>Man found fatally shot in the school parking lot</v>
      </c>
      <c r="Z282" s="5" t="str">
        <f ca="1">IFERROR(__xludf.DUMMYFUNCTION("""COMPUTED_VALUE"""),"A man was found fatally shot inside a vehicle in the school parking lot. Shooter fled. Shooting may have occurred on Friday and the body was not discovered until Sunday afternoon. Police ruled the case a homicide.")</f>
        <v>A man was found fatally shot inside a vehicle in the school parking lot. Shooter fled. Shooting may have occurred on Friday and the body was not discovered until Sunday afternoon. Police ruled the case a homicide.</v>
      </c>
      <c r="AA282" s="5"/>
      <c r="AB282" s="5" t="str">
        <f ca="1">IFERROR(__xludf.DUMMYFUNCTION("""COMPUTED_VALUE"""),"Victims Targeted")</f>
        <v>Victims Targeted</v>
      </c>
      <c r="AC282" s="5"/>
      <c r="AD282" s="5" t="str">
        <f ca="1">IFERROR(__xludf.DUMMYFUNCTION("""COMPUTED_VALUE"""),"No")</f>
        <v>No</v>
      </c>
      <c r="AE282" s="5" t="str">
        <f ca="1">IFERROR(__xludf.DUMMYFUNCTION("""COMPUTED_VALUE"""),"No")</f>
        <v>No</v>
      </c>
      <c r="AF282" s="5" t="str">
        <f ca="1">IFERROR(__xludf.DUMMYFUNCTION("""COMPUTED_VALUE"""),"No")</f>
        <v>No</v>
      </c>
      <c r="AG282" s="5" t="str">
        <f ca="1">IFERROR(__xludf.DUMMYFUNCTION("""COMPUTED_VALUE"""),"No")</f>
        <v>No</v>
      </c>
      <c r="AH282" s="5"/>
      <c r="AI282" s="5"/>
      <c r="AJ282" s="5" t="str">
        <f ca="1">IFERROR(__xludf.DUMMYFUNCTION("""COMPUTED_VALUE"""),"No")</f>
        <v>No</v>
      </c>
    </row>
    <row r="283" spans="1:36" ht="13">
      <c r="A283" s="5" t="str">
        <f ca="1">IFERROR(__xludf.DUMMYFUNCTION("""COMPUTED_VALUE"""),"20220501VALOM")</f>
        <v>20220501VALOM</v>
      </c>
      <c r="B283" s="5">
        <f ca="1">IFERROR(__xludf.DUMMYFUNCTION("""COMPUTED_VALUE"""),5)</f>
        <v>5</v>
      </c>
      <c r="C283" s="5">
        <f ca="1">IFERROR(__xludf.DUMMYFUNCTION("""COMPUTED_VALUE"""),1)</f>
        <v>1</v>
      </c>
      <c r="D283" s="5">
        <f ca="1">IFERROR(__xludf.DUMMYFUNCTION("""COMPUTED_VALUE"""),2022)</f>
        <v>2022</v>
      </c>
      <c r="E283" s="8">
        <f ca="1">IFERROR(__xludf.DUMMYFUNCTION("""COMPUTED_VALUE"""),44682)</f>
        <v>44682</v>
      </c>
      <c r="F283" s="5" t="str">
        <f ca="1">IFERROR(__xludf.DUMMYFUNCTION("""COMPUTED_VALUE"""),"Louise A. Benton Middle School")</f>
        <v>Louise A. Benton Middle School</v>
      </c>
      <c r="G283" s="5">
        <f ca="1">IFERROR(__xludf.DUMMYFUNCTION("""COMPUTED_VALUE"""),0)</f>
        <v>0</v>
      </c>
      <c r="H283" s="5">
        <f ca="1">IFERROR(__xludf.DUMMYFUNCTION("""COMPUTED_VALUE"""),2)</f>
        <v>2</v>
      </c>
      <c r="I283" s="5">
        <f ca="1">IFERROR(__xludf.DUMMYFUNCTION("""COMPUTED_VALUE"""),2)</f>
        <v>2</v>
      </c>
      <c r="J283" s="5">
        <f ca="1">IFERROR(__xludf.DUMMYFUNCTION("""COMPUTED_VALUE"""),0)</f>
        <v>0</v>
      </c>
      <c r="K283" s="5" t="str">
        <f ca="1">IFERROR(__xludf.DUMMYFUNCTION("""COMPUTED_VALUE"""),"https://wjla.com/news/local/manassas-shooting-benton-middle-school-athletic-fields-injuries-victims-gunshot-wounds-prince-william-county-police-officers-investigation-age-gun-violence- https://www.nbcwashington.com/news/local/northern-virginia/2-shot-near"&amp;"-benton-middle-school-in-manassas/3039862/ https://www.washingtonpost.com/dc-md-va/2022/05/01/prince-william-shooting-middle-school/")</f>
        <v>https://wjla.com/news/local/manassas-shooting-benton-middle-school-athletic-fields-injuries-victims-gunshot-wounds-prince-william-county-police-officers-investigation-age-gun-violence- https://www.nbcwashington.com/news/local/northern-virginia/2-shot-near-benton-middle-school-in-manassas/3039862/ https://www.washingtonpost.com/dc-md-va/2022/05/01/prince-william-shooting-middle-school/</v>
      </c>
      <c r="L283" s="5">
        <f ca="1">IFERROR(__xludf.DUMMYFUNCTION("""COMPUTED_VALUE"""),100)</f>
        <v>100</v>
      </c>
      <c r="M283" s="5" t="str">
        <f ca="1">IFERROR(__xludf.DUMMYFUNCTION("""COMPUTED_VALUE"""),"National")</f>
        <v>National</v>
      </c>
      <c r="N283" s="5">
        <f ca="1">IFERROR(__xludf.DUMMYFUNCTION("""COMPUTED_VALUE"""),4)</f>
        <v>4</v>
      </c>
      <c r="O283" s="5" t="str">
        <f ca="1">IFERROR(__xludf.DUMMYFUNCTION("""COMPUTED_VALUE"""),"Spring")</f>
        <v>Spring</v>
      </c>
      <c r="P283" s="5" t="str">
        <f ca="1">IFERROR(__xludf.DUMMYFUNCTION("""COMPUTED_VALUE"""),"Manassas")</f>
        <v>Manassas</v>
      </c>
      <c r="Q283" s="5" t="str">
        <f ca="1">IFERROR(__xludf.DUMMYFUNCTION("""COMPUTED_VALUE"""),"VA")</f>
        <v>VA</v>
      </c>
      <c r="R283" s="5" t="str">
        <f ca="1">IFERROR(__xludf.DUMMYFUNCTION("""COMPUTED_VALUE"""),"Middle")</f>
        <v>Middle</v>
      </c>
      <c r="S283" s="5" t="str">
        <f ca="1">IFERROR(__xludf.DUMMYFUNCTION("""COMPUTED_VALUE"""),"Football Field/Track")</f>
        <v>Football Field/Track</v>
      </c>
      <c r="T283" s="5" t="str">
        <f ca="1">IFERROR(__xludf.DUMMYFUNCTION("""COMPUTED_VALUE"""),"Outside on School Property")</f>
        <v>Outside on School Property</v>
      </c>
      <c r="U283" s="5" t="str">
        <f ca="1">IFERROR(__xludf.DUMMYFUNCTION("""COMPUTED_VALUE"""),"No")</f>
        <v>No</v>
      </c>
      <c r="V283" s="5" t="str">
        <f ca="1">IFERROR(__xludf.DUMMYFUNCTION("""COMPUTED_VALUE"""),"Sport Event")</f>
        <v>Sport Event</v>
      </c>
      <c r="W283" s="10">
        <f ca="1">IFERROR(__xludf.DUMMYFUNCTION("""COMPUTED_VALUE"""),0.427083333333333)</f>
        <v>0.42708333333333298</v>
      </c>
      <c r="X283" s="5">
        <f ca="1">IFERROR(__xludf.DUMMYFUNCTION("""COMPUTED_VALUE"""),1)</f>
        <v>1</v>
      </c>
      <c r="Y283" s="5" t="str">
        <f ca="1">IFERROR(__xludf.DUMMYFUNCTION("""COMPUTED_VALUE"""),"Two men shot during youth flag football tournament")</f>
        <v>Two men shot during youth flag football tournament</v>
      </c>
      <c r="Z283" s="5" t="str">
        <f ca="1">IFERROR(__xludf.DUMMYFUNCTION("""COMPUTED_VALUE"""),"Two adult men were shot during an argument at a youth flag football tournament held on the middle school's field. One victim was flown to a trauma center. Shooter fled before police arrived. 300 children were present for the tournament.")</f>
        <v>Two adult men were shot during an argument at a youth flag football tournament held on the middle school's field. One victim was flown to a trauma center. Shooter fled before police arrived. 300 children were present for the tournament.</v>
      </c>
      <c r="AA283" s="5" t="str">
        <f ca="1">IFERROR(__xludf.DUMMYFUNCTION("""COMPUTED_VALUE"""),"Escalation of Dispute")</f>
        <v>Escalation of Dispute</v>
      </c>
      <c r="AB283" s="5" t="str">
        <f ca="1">IFERROR(__xludf.DUMMYFUNCTION("""COMPUTED_VALUE"""),"Victims Targeted")</f>
        <v>Victims Targeted</v>
      </c>
      <c r="AC283" s="5" t="str">
        <f ca="1">IFERROR(__xludf.DUMMYFUNCTION("""COMPUTED_VALUE"""),"No")</f>
        <v>No</v>
      </c>
      <c r="AD283" s="5" t="str">
        <f ca="1">IFERROR(__xludf.DUMMYFUNCTION("""COMPUTED_VALUE"""),"No")</f>
        <v>No</v>
      </c>
      <c r="AE283" s="5" t="str">
        <f ca="1">IFERROR(__xludf.DUMMYFUNCTION("""COMPUTED_VALUE"""),"No")</f>
        <v>No</v>
      </c>
      <c r="AF283" s="5" t="str">
        <f ca="1">IFERROR(__xludf.DUMMYFUNCTION("""COMPUTED_VALUE"""),"No")</f>
        <v>No</v>
      </c>
      <c r="AG283" s="5" t="str">
        <f ca="1">IFERROR(__xludf.DUMMYFUNCTION("""COMPUTED_VALUE"""),"No")</f>
        <v>No</v>
      </c>
      <c r="AH283" s="5" t="str">
        <f ca="1">IFERROR(__xludf.DUMMYFUNCTION("""COMPUTED_VALUE"""),"No")</f>
        <v>No</v>
      </c>
      <c r="AI283" s="5" t="str">
        <f ca="1">IFERROR(__xludf.DUMMYFUNCTION("""COMPUTED_VALUE"""),"No")</f>
        <v>No</v>
      </c>
      <c r="AJ283" s="5" t="str">
        <f ca="1">IFERROR(__xludf.DUMMYFUNCTION("""COMPUTED_VALUE"""),"No")</f>
        <v>No</v>
      </c>
    </row>
    <row r="284" spans="1:36" ht="13">
      <c r="A284" s="5" t="str">
        <f ca="1">IFERROR(__xludf.DUMMYFUNCTION("""COMPUTED_VALUE"""),"20220430PAMCJ")</f>
        <v>20220430PAMCJ</v>
      </c>
      <c r="B284" s="5">
        <f ca="1">IFERROR(__xludf.DUMMYFUNCTION("""COMPUTED_VALUE"""),4)</f>
        <v>4</v>
      </c>
      <c r="C284" s="5">
        <f ca="1">IFERROR(__xludf.DUMMYFUNCTION("""COMPUTED_VALUE"""),30)</f>
        <v>30</v>
      </c>
      <c r="D284" s="5">
        <f ca="1">IFERROR(__xludf.DUMMYFUNCTION("""COMPUTED_VALUE"""),2022)</f>
        <v>2022</v>
      </c>
      <c r="E284" s="8">
        <f ca="1">IFERROR(__xludf.DUMMYFUNCTION("""COMPUTED_VALUE"""),44681)</f>
        <v>44681</v>
      </c>
      <c r="F284" s="5" t="str">
        <f ca="1">IFERROR(__xludf.DUMMYFUNCTION("""COMPUTED_VALUE"""),"McKee Middle School (McKee Stadium)")</f>
        <v>McKee Middle School (McKee Stadium)</v>
      </c>
      <c r="G284" s="5">
        <f ca="1">IFERROR(__xludf.DUMMYFUNCTION("""COMPUTED_VALUE"""),0)</f>
        <v>0</v>
      </c>
      <c r="H284" s="5">
        <f ca="1">IFERROR(__xludf.DUMMYFUNCTION("""COMPUTED_VALUE"""),0)</f>
        <v>0</v>
      </c>
      <c r="I284" s="5">
        <f ca="1">IFERROR(__xludf.DUMMYFUNCTION("""COMPUTED_VALUE"""),0)</f>
        <v>0</v>
      </c>
      <c r="J284" s="5">
        <f ca="1">IFERROR(__xludf.DUMMYFUNCTION("""COMPUTED_VALUE"""),0)</f>
        <v>0</v>
      </c>
      <c r="K284" s="9" t="str">
        <f ca="1">IFERROR(__xludf.DUMMYFUNCTION("""COMPUTED_VALUE"""),"https://triblive.com/local/westmoreland/no-one-reported-hurt-after-shot-fired-during-fight-at-mckee-stadium-in-jeannette/")</f>
        <v>https://triblive.com/local/westmoreland/no-one-reported-hurt-after-shot-fired-during-fight-at-mckee-stadium-in-jeannette/</v>
      </c>
      <c r="L284" s="5">
        <f ca="1">IFERROR(__xludf.DUMMYFUNCTION("""COMPUTED_VALUE"""),1)</f>
        <v>1</v>
      </c>
      <c r="M284" s="5" t="str">
        <f ca="1">IFERROR(__xludf.DUMMYFUNCTION("""COMPUTED_VALUE"""),"Local")</f>
        <v>Local</v>
      </c>
      <c r="N284" s="5">
        <f ca="1">IFERROR(__xludf.DUMMYFUNCTION("""COMPUTED_VALUE"""),3)</f>
        <v>3</v>
      </c>
      <c r="O284" s="5" t="str">
        <f ca="1">IFERROR(__xludf.DUMMYFUNCTION("""COMPUTED_VALUE"""),"Spring")</f>
        <v>Spring</v>
      </c>
      <c r="P284" s="5" t="str">
        <f ca="1">IFERROR(__xludf.DUMMYFUNCTION("""COMPUTED_VALUE"""),"Jeannette City")</f>
        <v>Jeannette City</v>
      </c>
      <c r="Q284" s="5" t="str">
        <f ca="1">IFERROR(__xludf.DUMMYFUNCTION("""COMPUTED_VALUE"""),"PA")</f>
        <v>PA</v>
      </c>
      <c r="R284" s="5" t="str">
        <f ca="1">IFERROR(__xludf.DUMMYFUNCTION("""COMPUTED_VALUE"""),"Middle")</f>
        <v>Middle</v>
      </c>
      <c r="S284" s="5" t="str">
        <f ca="1">IFERROR(__xludf.DUMMYFUNCTION("""COMPUTED_VALUE"""),"Football Field/Track")</f>
        <v>Football Field/Track</v>
      </c>
      <c r="T284" s="5" t="str">
        <f ca="1">IFERROR(__xludf.DUMMYFUNCTION("""COMPUTED_VALUE"""),"Outside on School Property")</f>
        <v>Outside on School Property</v>
      </c>
      <c r="U284" s="5" t="str">
        <f ca="1">IFERROR(__xludf.DUMMYFUNCTION("""COMPUTED_VALUE"""),"No")</f>
        <v>No</v>
      </c>
      <c r="V284" s="5" t="str">
        <f ca="1">IFERROR(__xludf.DUMMYFUNCTION("""COMPUTED_VALUE"""),"Sport Event")</f>
        <v>Sport Event</v>
      </c>
      <c r="W284" s="10">
        <f ca="1">IFERROR(__xludf.DUMMYFUNCTION("""COMPUTED_VALUE"""),0.427083333333333)</f>
        <v>0.42708333333333298</v>
      </c>
      <c r="X284" s="5">
        <f ca="1">IFERROR(__xludf.DUMMYFUNCTION("""COMPUTED_VALUE"""),1)</f>
        <v>1</v>
      </c>
      <c r="Y284" s="5" t="str">
        <f ca="1">IFERROR(__xludf.DUMMYFUNCTION("""COMPUTED_VALUE"""),"Shot fired during youth football game at stadium, both men involved fled")</f>
        <v>Shot fired during youth football game at stadium, both men involved fled</v>
      </c>
      <c r="Z284" s="5" t="str">
        <f ca="1">IFERROR(__xludf.DUMMYFUNCTION("""COMPUTED_VALUE"""),"Shot was fired into the ground during a fight between two men at a flag football game. Both men fled. No injuries.Man was murdered during a high school football game at the stadium in 2019.")</f>
        <v>Shot was fired into the ground during a fight between two men at a flag football game. Both men fled. No injuries.Man was murdered during a high school football game at the stadium in 2019.</v>
      </c>
      <c r="AA284" s="5" t="str">
        <f ca="1">IFERROR(__xludf.DUMMYFUNCTION("""COMPUTED_VALUE"""),"Escalation of Dispute")</f>
        <v>Escalation of Dispute</v>
      </c>
      <c r="AB284" s="5" t="str">
        <f ca="1">IFERROR(__xludf.DUMMYFUNCTION("""COMPUTED_VALUE"""),"Victims Targeted")</f>
        <v>Victims Targeted</v>
      </c>
      <c r="AC284" s="5" t="str">
        <f ca="1">IFERROR(__xludf.DUMMYFUNCTION("""COMPUTED_VALUE"""),"No")</f>
        <v>No</v>
      </c>
      <c r="AD284" s="5" t="str">
        <f ca="1">IFERROR(__xludf.DUMMYFUNCTION("""COMPUTED_VALUE"""),"No")</f>
        <v>No</v>
      </c>
      <c r="AE284" s="5" t="str">
        <f ca="1">IFERROR(__xludf.DUMMYFUNCTION("""COMPUTED_VALUE"""),"No")</f>
        <v>No</v>
      </c>
      <c r="AF284" s="5" t="str">
        <f ca="1">IFERROR(__xludf.DUMMYFUNCTION("""COMPUTED_VALUE"""),"No")</f>
        <v>No</v>
      </c>
      <c r="AG284" s="5" t="str">
        <f ca="1">IFERROR(__xludf.DUMMYFUNCTION("""COMPUTED_VALUE"""),"No")</f>
        <v>No</v>
      </c>
      <c r="AH284" s="5" t="str">
        <f ca="1">IFERROR(__xludf.DUMMYFUNCTION("""COMPUTED_VALUE"""),"No")</f>
        <v>No</v>
      </c>
      <c r="AI284" s="5" t="str">
        <f ca="1">IFERROR(__xludf.DUMMYFUNCTION("""COMPUTED_VALUE"""),"No")</f>
        <v>No</v>
      </c>
      <c r="AJ284" s="5" t="str">
        <f ca="1">IFERROR(__xludf.DUMMYFUNCTION("""COMPUTED_VALUE"""),"No")</f>
        <v>No</v>
      </c>
    </row>
    <row r="285" spans="1:36" ht="13">
      <c r="A285" s="5" t="str">
        <f ca="1">IFERROR(__xludf.DUMMYFUNCTION("""COMPUTED_VALUE"""),"20220427INCOS")</f>
        <v>20220427INCOS</v>
      </c>
      <c r="B285" s="5">
        <f ca="1">IFERROR(__xludf.DUMMYFUNCTION("""COMPUTED_VALUE"""),4)</f>
        <v>4</v>
      </c>
      <c r="C285" s="5">
        <f ca="1">IFERROR(__xludf.DUMMYFUNCTION("""COMPUTED_VALUE"""),27)</f>
        <v>27</v>
      </c>
      <c r="D285" s="5">
        <f ca="1">IFERROR(__xludf.DUMMYFUNCTION("""COMPUTED_VALUE"""),2022)</f>
        <v>2022</v>
      </c>
      <c r="E285" s="8">
        <f ca="1">IFERROR(__xludf.DUMMYFUNCTION("""COMPUTED_VALUE"""),44678)</f>
        <v>44678</v>
      </c>
      <c r="F285" s="5" t="str">
        <f ca="1">IFERROR(__xludf.DUMMYFUNCTION("""COMPUTED_VALUE"""),"Coquillard Elementary School")</f>
        <v>Coquillard Elementary School</v>
      </c>
      <c r="G285" s="5">
        <f ca="1">IFERROR(__xludf.DUMMYFUNCTION("""COMPUTED_VALUE"""),0)</f>
        <v>0</v>
      </c>
      <c r="H285" s="5">
        <f ca="1">IFERROR(__xludf.DUMMYFUNCTION("""COMPUTED_VALUE"""),0)</f>
        <v>0</v>
      </c>
      <c r="I285" s="5">
        <f ca="1">IFERROR(__xludf.DUMMYFUNCTION("""COMPUTED_VALUE"""),0)</f>
        <v>0</v>
      </c>
      <c r="J285" s="5">
        <f ca="1">IFERROR(__xludf.DUMMYFUNCTION("""COMPUTED_VALUE"""),0)</f>
        <v>0</v>
      </c>
      <c r="K285" s="9" t="str">
        <f ca="1">IFERROR(__xludf.DUMMYFUNCTION("""COMPUTED_VALUE"""),"https://www.wndu.com/2022/04/27/investigation-underway-after-student-shoots-school-bus-window-with-bb-gun/")</f>
        <v>https://www.wndu.com/2022/04/27/investigation-underway-after-student-shoots-school-bus-window-with-bb-gun/</v>
      </c>
      <c r="L285" s="5">
        <f ca="1">IFERROR(__xludf.DUMMYFUNCTION("""COMPUTED_VALUE"""),1)</f>
        <v>1</v>
      </c>
      <c r="M285" s="5" t="str">
        <f ca="1">IFERROR(__xludf.DUMMYFUNCTION("""COMPUTED_VALUE"""),"Local")</f>
        <v>Local</v>
      </c>
      <c r="N285" s="5">
        <f ca="1">IFERROR(__xludf.DUMMYFUNCTION("""COMPUTED_VALUE"""),3)</f>
        <v>3</v>
      </c>
      <c r="O285" s="5" t="str">
        <f ca="1">IFERROR(__xludf.DUMMYFUNCTION("""COMPUTED_VALUE"""),"Spring")</f>
        <v>Spring</v>
      </c>
      <c r="P285" s="5" t="str">
        <f ca="1">IFERROR(__xludf.DUMMYFUNCTION("""COMPUTED_VALUE"""),"South Bend")</f>
        <v>South Bend</v>
      </c>
      <c r="Q285" s="5" t="str">
        <f ca="1">IFERROR(__xludf.DUMMYFUNCTION("""COMPUTED_VALUE"""),"IN")</f>
        <v>IN</v>
      </c>
      <c r="R285" s="5" t="str">
        <f ca="1">IFERROR(__xludf.DUMMYFUNCTION("""COMPUTED_VALUE"""),"Elementary")</f>
        <v>Elementary</v>
      </c>
      <c r="S285" s="5" t="str">
        <f ca="1">IFERROR(__xludf.DUMMYFUNCTION("""COMPUTED_VALUE"""),"School Bus")</f>
        <v>School Bus</v>
      </c>
      <c r="T285" s="5" t="str">
        <f ca="1">IFERROR(__xludf.DUMMYFUNCTION("""COMPUTED_VALUE"""),"School Bus")</f>
        <v>School Bus</v>
      </c>
      <c r="U285" s="5" t="str">
        <f ca="1">IFERROR(__xludf.DUMMYFUNCTION("""COMPUTED_VALUE"""),"Yes")</f>
        <v>Yes</v>
      </c>
      <c r="V285" s="5" t="str">
        <f ca="1">IFERROR(__xludf.DUMMYFUNCTION("""COMPUTED_VALUE"""),"Dismissal")</f>
        <v>Dismissal</v>
      </c>
      <c r="W285" s="10">
        <f ca="1">IFERROR(__xludf.DUMMYFUNCTION("""COMPUTED_VALUE"""),0.666666666666666)</f>
        <v>0.66666666666666596</v>
      </c>
      <c r="X285" s="5">
        <f ca="1">IFERROR(__xludf.DUMMYFUNCTION("""COMPUTED_VALUE"""),1)</f>
        <v>1</v>
      </c>
      <c r="Y285" s="5" t="str">
        <f ca="1">IFERROR(__xludf.DUMMYFUNCTION("""COMPUTED_VALUE"""),"Student got off bus and fired a BB gun back at the bus, breaking a window")</f>
        <v>Student got off bus and fired a BB gun back at the bus, breaking a window</v>
      </c>
      <c r="Z285" s="5" t="str">
        <f ca="1">IFERROR(__xludf.DUMMYFUNCTION("""COMPUTED_VALUE"""),"A student got off the school bus and then fired a BB gun at the bus breaking a window. 3 students were on the bus and they were not injured. Police were notified and the school is investigating.")</f>
        <v>A student got off the school bus and then fired a BB gun at the bus breaking a window. 3 students were on the bus and they were not injured. Police were notified and the school is investigating.</v>
      </c>
      <c r="AA285" s="5" t="str">
        <f ca="1">IFERROR(__xludf.DUMMYFUNCTION("""COMPUTED_VALUE"""),"Intentional Property Damage")</f>
        <v>Intentional Property Damage</v>
      </c>
      <c r="AB285" s="5" t="str">
        <f ca="1">IFERROR(__xludf.DUMMYFUNCTION("""COMPUTED_VALUE"""),"Neither")</f>
        <v>Neither</v>
      </c>
      <c r="AC285" s="5" t="str">
        <f ca="1">IFERROR(__xludf.DUMMYFUNCTION("""COMPUTED_VALUE"""),"No")</f>
        <v>No</v>
      </c>
      <c r="AD285" s="5" t="str">
        <f ca="1">IFERROR(__xludf.DUMMYFUNCTION("""COMPUTED_VALUE"""),"No")</f>
        <v>No</v>
      </c>
      <c r="AE285" s="5" t="str">
        <f ca="1">IFERROR(__xludf.DUMMYFUNCTION("""COMPUTED_VALUE"""),"No")</f>
        <v>No</v>
      </c>
      <c r="AF285" s="5" t="str">
        <f ca="1">IFERROR(__xludf.DUMMYFUNCTION("""COMPUTED_VALUE"""),"No")</f>
        <v>No</v>
      </c>
      <c r="AG285" s="5"/>
      <c r="AH285" s="5" t="str">
        <f ca="1">IFERROR(__xludf.DUMMYFUNCTION("""COMPUTED_VALUE"""),"No")</f>
        <v>No</v>
      </c>
      <c r="AI285" s="5" t="str">
        <f ca="1">IFERROR(__xludf.DUMMYFUNCTION("""COMPUTED_VALUE"""),"No")</f>
        <v>No</v>
      </c>
      <c r="AJ285" s="5" t="str">
        <f ca="1">IFERROR(__xludf.DUMMYFUNCTION("""COMPUTED_VALUE"""),"No")</f>
        <v>No</v>
      </c>
    </row>
    <row r="286" spans="1:36" ht="13">
      <c r="A286" s="5" t="str">
        <f ca="1">IFERROR(__xludf.DUMMYFUNCTION("""COMPUTED_VALUE"""),"20220427TXMOS")</f>
        <v>20220427TXMOS</v>
      </c>
      <c r="B286" s="5">
        <f ca="1">IFERROR(__xludf.DUMMYFUNCTION("""COMPUTED_VALUE"""),4)</f>
        <v>4</v>
      </c>
      <c r="C286" s="5">
        <f ca="1">IFERROR(__xludf.DUMMYFUNCTION("""COMPUTED_VALUE"""),27)</f>
        <v>27</v>
      </c>
      <c r="D286" s="5">
        <f ca="1">IFERROR(__xludf.DUMMYFUNCTION("""COMPUTED_VALUE"""),2022)</f>
        <v>2022</v>
      </c>
      <c r="E286" s="8">
        <f ca="1">IFERROR(__xludf.DUMMYFUNCTION("""COMPUTED_VALUE"""),44678)</f>
        <v>44678</v>
      </c>
      <c r="F286" s="5" t="str">
        <f ca="1">IFERROR(__xludf.DUMMYFUNCTION("""COMPUTED_VALUE"""),"Morrill Elementary School")</f>
        <v>Morrill Elementary School</v>
      </c>
      <c r="G286" s="5">
        <f ca="1">IFERROR(__xludf.DUMMYFUNCTION("""COMPUTED_VALUE"""),0)</f>
        <v>0</v>
      </c>
      <c r="H286" s="5">
        <f ca="1">IFERROR(__xludf.DUMMYFUNCTION("""COMPUTED_VALUE"""),1)</f>
        <v>1</v>
      </c>
      <c r="I286" s="5">
        <f ca="1">IFERROR(__xludf.DUMMYFUNCTION("""COMPUTED_VALUE"""),1)</f>
        <v>1</v>
      </c>
      <c r="J286" s="5">
        <f ca="1">IFERROR(__xludf.DUMMYFUNCTION("""COMPUTED_VALUE"""),0)</f>
        <v>0</v>
      </c>
      <c r="K286" s="9" t="str">
        <f ca="1">IFERROR(__xludf.DUMMYFUNCTION("""COMPUTED_VALUE"""),"https://news4sanantonio.com/news/local/police-shot-suspect-after-attempting-to-break-in-school")</f>
        <v>https://news4sanantonio.com/news/local/police-shot-suspect-after-attempting-to-break-in-school</v>
      </c>
      <c r="L286" s="5">
        <f ca="1">IFERROR(__xludf.DUMMYFUNCTION("""COMPUTED_VALUE"""),1)</f>
        <v>1</v>
      </c>
      <c r="M286" s="5" t="str">
        <f ca="1">IFERROR(__xludf.DUMMYFUNCTION("""COMPUTED_VALUE"""),"Local")</f>
        <v>Local</v>
      </c>
      <c r="N286" s="5">
        <f ca="1">IFERROR(__xludf.DUMMYFUNCTION("""COMPUTED_VALUE"""),4)</f>
        <v>4</v>
      </c>
      <c r="O286" s="5" t="str">
        <f ca="1">IFERROR(__xludf.DUMMYFUNCTION("""COMPUTED_VALUE"""),"Spring")</f>
        <v>Spring</v>
      </c>
      <c r="P286" s="5" t="str">
        <f ca="1">IFERROR(__xludf.DUMMYFUNCTION("""COMPUTED_VALUE"""),"San Antonio")</f>
        <v>San Antonio</v>
      </c>
      <c r="Q286" s="5" t="str">
        <f ca="1">IFERROR(__xludf.DUMMYFUNCTION("""COMPUTED_VALUE"""),"TX")</f>
        <v>TX</v>
      </c>
      <c r="R286" s="5" t="str">
        <f ca="1">IFERROR(__xludf.DUMMYFUNCTION("""COMPUTED_VALUE"""),"Elementary")</f>
        <v>Elementary</v>
      </c>
      <c r="S286" s="5" t="str">
        <f ca="1">IFERROR(__xludf.DUMMYFUNCTION("""COMPUTED_VALUE"""),"Front of School")</f>
        <v>Front of School</v>
      </c>
      <c r="T286" s="5" t="str">
        <f ca="1">IFERROR(__xludf.DUMMYFUNCTION("""COMPUTED_VALUE"""),"Outside on School Property")</f>
        <v>Outside on School Property</v>
      </c>
      <c r="U286" s="5" t="str">
        <f ca="1">IFERROR(__xludf.DUMMYFUNCTION("""COMPUTED_VALUE"""),"No")</f>
        <v>No</v>
      </c>
      <c r="V286" s="5" t="str">
        <f ca="1">IFERROR(__xludf.DUMMYFUNCTION("""COMPUTED_VALUE"""),"Evening")</f>
        <v>Evening</v>
      </c>
      <c r="W286" s="10">
        <f ca="1">IFERROR(__xludf.DUMMYFUNCTION("""COMPUTED_VALUE"""),0.845833333333333)</f>
        <v>0.84583333333333299</v>
      </c>
      <c r="X286" s="5">
        <f ca="1">IFERROR(__xludf.DUMMYFUNCTION("""COMPUTED_VALUE"""),1)</f>
        <v>1</v>
      </c>
      <c r="Y286" s="5" t="str">
        <f ca="1">IFERROR(__xludf.DUMMYFUNCTION("""COMPUTED_VALUE"""),"Police shot man attempting to break-in to school building")</f>
        <v>Police shot man attempting to break-in to school building</v>
      </c>
      <c r="Z286" s="5" t="str">
        <f ca="1">IFERROR(__xludf.DUMMYFUNCTION("""COMPUTED_VALUE"""),"Janitor called police for a man attempting to break-in to the school. When police questioned the man, he grabbed an officers baton and struck the officer with it. During a struggle, a police officer shot the man. No students or staff were injured.")</f>
        <v>Janitor called police for a man attempting to break-in to the school. When police questioned the man, he grabbed an officers baton and struck the officer with it. During a struggle, a police officer shot the man. No students or staff were injured.</v>
      </c>
      <c r="AA286" s="5" t="str">
        <f ca="1">IFERROR(__xludf.DUMMYFUNCTION("""COMPUTED_VALUE"""),"Officer-Involved Shooting")</f>
        <v>Officer-Involved Shooting</v>
      </c>
      <c r="AB286" s="5"/>
      <c r="AC286" s="5"/>
      <c r="AD286" s="5"/>
      <c r="AE286" s="5"/>
      <c r="AF286" s="5" t="str">
        <f ca="1">IFERROR(__xludf.DUMMYFUNCTION("""COMPUTED_VALUE"""),"Yes")</f>
        <v>Yes</v>
      </c>
      <c r="AG286" s="5"/>
      <c r="AH286" s="5"/>
      <c r="AI286" s="5"/>
      <c r="AJ286" s="5"/>
    </row>
    <row r="287" spans="1:36" ht="13">
      <c r="A287" s="5" t="str">
        <f ca="1">IFERROR(__xludf.DUMMYFUNCTION("""COMPUTED_VALUE"""),"20220426MIASI")</f>
        <v>20220426MIASI</v>
      </c>
      <c r="B287" s="5">
        <f ca="1">IFERROR(__xludf.DUMMYFUNCTION("""COMPUTED_VALUE"""),4)</f>
        <v>4</v>
      </c>
      <c r="C287" s="5">
        <f ca="1">IFERROR(__xludf.DUMMYFUNCTION("""COMPUTED_VALUE"""),26)</f>
        <v>26</v>
      </c>
      <c r="D287" s="5">
        <f ca="1">IFERROR(__xludf.DUMMYFUNCTION("""COMPUTED_VALUE"""),2022)</f>
        <v>2022</v>
      </c>
      <c r="E287" s="8">
        <f ca="1">IFERROR(__xludf.DUMMYFUNCTION("""COMPUTED_VALUE"""),44677)</f>
        <v>44677</v>
      </c>
      <c r="F287" s="5" t="str">
        <f ca="1">IFERROR(__xludf.DUMMYFUNCTION("""COMPUTED_VALUE"""),"Aspen Ridge School")</f>
        <v>Aspen Ridge School</v>
      </c>
      <c r="G287" s="5">
        <f ca="1">IFERROR(__xludf.DUMMYFUNCTION("""COMPUTED_VALUE"""),0)</f>
        <v>0</v>
      </c>
      <c r="H287" s="5">
        <f ca="1">IFERROR(__xludf.DUMMYFUNCTION("""COMPUTED_VALUE"""),0)</f>
        <v>0</v>
      </c>
      <c r="I287" s="5">
        <f ca="1">IFERROR(__xludf.DUMMYFUNCTION("""COMPUTED_VALUE"""),0)</f>
        <v>0</v>
      </c>
      <c r="J287" s="5">
        <f ca="1">IFERROR(__xludf.DUMMYFUNCTION("""COMPUTED_VALUE"""),1)</f>
        <v>1</v>
      </c>
      <c r="K287" s="5" t="str">
        <f ca="1">IFERROR(__xludf.DUMMYFUNCTION("""COMPUTED_VALUE"""),"https://www.uppermichiganssource.com/2022/04/26/isolated-incident-aspen-ridge-school-under-investigation/ https://www.mlive.com/news/2022/04/student-dies-after-shooting-himself-in-bathroom-of-upper-peninsula-school.html https://upnorthlive.com/news/local/"&amp;"student-dies-at-aspen-ridge-school-from-self-inflicted-gunshot-wound")</f>
        <v>https://www.uppermichiganssource.com/2022/04/26/isolated-incident-aspen-ridge-school-under-investigation/ https://www.mlive.com/news/2022/04/student-dies-after-shooting-himself-in-bathroom-of-upper-peninsula-school.html https://upnorthlive.com/news/local/student-dies-at-aspen-ridge-school-from-self-inflicted-gunshot-wound</v>
      </c>
      <c r="L287" s="5">
        <f ca="1">IFERROR(__xludf.DUMMYFUNCTION("""COMPUTED_VALUE"""),3)</f>
        <v>3</v>
      </c>
      <c r="M287" s="5" t="str">
        <f ca="1">IFERROR(__xludf.DUMMYFUNCTION("""COMPUTED_VALUE"""),"Local")</f>
        <v>Local</v>
      </c>
      <c r="N287" s="5">
        <f ca="1">IFERROR(__xludf.DUMMYFUNCTION("""COMPUTED_VALUE"""),4)</f>
        <v>4</v>
      </c>
      <c r="O287" s="5" t="str">
        <f ca="1">IFERROR(__xludf.DUMMYFUNCTION("""COMPUTED_VALUE"""),"Spring")</f>
        <v>Spring</v>
      </c>
      <c r="P287" s="5" t="str">
        <f ca="1">IFERROR(__xludf.DUMMYFUNCTION("""COMPUTED_VALUE"""),"Ishpeming Township")</f>
        <v>Ishpeming Township</v>
      </c>
      <c r="Q287" s="5" t="str">
        <f ca="1">IFERROR(__xludf.DUMMYFUNCTION("""COMPUTED_VALUE"""),"MI")</f>
        <v>MI</v>
      </c>
      <c r="R287" s="5" t="str">
        <f ca="1">IFERROR(__xludf.DUMMYFUNCTION("""COMPUTED_VALUE"""),"K-8")</f>
        <v>K-8</v>
      </c>
      <c r="S287" s="5" t="str">
        <f ca="1">IFERROR(__xludf.DUMMYFUNCTION("""COMPUTED_VALUE"""),"Bathroom")</f>
        <v>Bathroom</v>
      </c>
      <c r="T287" s="5" t="str">
        <f ca="1">IFERROR(__xludf.DUMMYFUNCTION("""COMPUTED_VALUE"""),"Inside School Building")</f>
        <v>Inside School Building</v>
      </c>
      <c r="U287" s="5" t="str">
        <f ca="1">IFERROR(__xludf.DUMMYFUNCTION("""COMPUTED_VALUE"""),"Yes")</f>
        <v>Yes</v>
      </c>
      <c r="V287" s="5" t="str">
        <f ca="1">IFERROR(__xludf.DUMMYFUNCTION("""COMPUTED_VALUE"""),"Afternoon Classes")</f>
        <v>Afternoon Classes</v>
      </c>
      <c r="W287" s="10">
        <f ca="1">IFERROR(__xludf.DUMMYFUNCTION("""COMPUTED_VALUE"""),0.520833333333333)</f>
        <v>0.52083333333333304</v>
      </c>
      <c r="X287" s="5">
        <f ca="1">IFERROR(__xludf.DUMMYFUNCTION("""COMPUTED_VALUE"""),1)</f>
        <v>1</v>
      </c>
      <c r="Y287" s="5" t="str">
        <f ca="1">IFERROR(__xludf.DUMMYFUNCTION("""COMPUTED_VALUE"""),"Student commit suicide in bathroom")</f>
        <v>Student commit suicide in bathroom</v>
      </c>
      <c r="Z287" s="5" t="str">
        <f ca="1">IFERROR(__xludf.DUMMYFUNCTION("""COMPUTED_VALUE"""),"A police officer was giving a presentation at the school when he heard a gunshot. School went on lockdown. Trooper found a student who died from a self-inflicted gunshot wound in the bathroom.")</f>
        <v>A police officer was giving a presentation at the school when he heard a gunshot. School went on lockdown. Trooper found a student who died from a self-inflicted gunshot wound in the bathroom.</v>
      </c>
      <c r="AA287" s="5" t="str">
        <f ca="1">IFERROR(__xludf.DUMMYFUNCTION("""COMPUTED_VALUE"""),"Suicide/Attempted")</f>
        <v>Suicide/Attempted</v>
      </c>
      <c r="AB287" s="5" t="str">
        <f ca="1">IFERROR(__xludf.DUMMYFUNCTION("""COMPUTED_VALUE"""),"Victims Targeted")</f>
        <v>Victims Targeted</v>
      </c>
      <c r="AC287" s="5" t="str">
        <f ca="1">IFERROR(__xludf.DUMMYFUNCTION("""COMPUTED_VALUE"""),"No")</f>
        <v>No</v>
      </c>
      <c r="AD287" s="5" t="str">
        <f ca="1">IFERROR(__xludf.DUMMYFUNCTION("""COMPUTED_VALUE"""),"No")</f>
        <v>No</v>
      </c>
      <c r="AE287" s="5" t="str">
        <f ca="1">IFERROR(__xludf.DUMMYFUNCTION("""COMPUTED_VALUE"""),"No")</f>
        <v>No</v>
      </c>
      <c r="AF287" s="5" t="str">
        <f ca="1">IFERROR(__xludf.DUMMYFUNCTION("""COMPUTED_VALUE"""),"No")</f>
        <v>No</v>
      </c>
      <c r="AG287" s="5"/>
      <c r="AH287" s="5" t="str">
        <f ca="1">IFERROR(__xludf.DUMMYFUNCTION("""COMPUTED_VALUE"""),"No")</f>
        <v>No</v>
      </c>
      <c r="AI287" s="5" t="str">
        <f ca="1">IFERROR(__xludf.DUMMYFUNCTION("""COMPUTED_VALUE"""),"No")</f>
        <v>No</v>
      </c>
      <c r="AJ287" s="5" t="str">
        <f ca="1">IFERROR(__xludf.DUMMYFUNCTION("""COMPUTED_VALUE"""),"No")</f>
        <v>No</v>
      </c>
    </row>
    <row r="288" spans="1:36" ht="13">
      <c r="A288" s="5" t="str">
        <f ca="1">IFERROR(__xludf.DUMMYFUNCTION("""COMPUTED_VALUE"""),"20220426GASOM")</f>
        <v>20220426GASOM</v>
      </c>
      <c r="B288" s="5">
        <f ca="1">IFERROR(__xludf.DUMMYFUNCTION("""COMPUTED_VALUE"""),4)</f>
        <v>4</v>
      </c>
      <c r="C288" s="5">
        <f ca="1">IFERROR(__xludf.DUMMYFUNCTION("""COMPUTED_VALUE"""),26)</f>
        <v>26</v>
      </c>
      <c r="D288" s="5">
        <f ca="1">IFERROR(__xludf.DUMMYFUNCTION("""COMPUTED_VALUE"""),2022)</f>
        <v>2022</v>
      </c>
      <c r="E288" s="8">
        <f ca="1">IFERROR(__xludf.DUMMYFUNCTION("""COMPUTED_VALUE"""),44677)</f>
        <v>44677</v>
      </c>
      <c r="F288" s="5" t="str">
        <f ca="1">IFERROR(__xludf.DUMMYFUNCTION("""COMPUTED_VALUE"""),"Southwest High School")</f>
        <v>Southwest High School</v>
      </c>
      <c r="G288" s="5">
        <f ca="1">IFERROR(__xludf.DUMMYFUNCTION("""COMPUTED_VALUE"""),1)</f>
        <v>1</v>
      </c>
      <c r="H288" s="5">
        <f ca="1">IFERROR(__xludf.DUMMYFUNCTION("""COMPUTED_VALUE"""),0)</f>
        <v>0</v>
      </c>
      <c r="I288" s="5">
        <f ca="1">IFERROR(__xludf.DUMMYFUNCTION("""COMPUTED_VALUE"""),1)</f>
        <v>1</v>
      </c>
      <c r="J288" s="5">
        <f ca="1">IFERROR(__xludf.DUMMYFUNCTION("""COMPUTED_VALUE"""),0)</f>
        <v>0</v>
      </c>
      <c r="K288" s="5" t="str">
        <f ca="1">IFERROR(__xludf.DUMMYFUNCTION("""COMPUTED_VALUE"""),"https://wgxa.tv/news/local/15-year-old-shot-and-killed-in-macon-found-near-southwest-high-school https://www.13wmaz.com/article/news/crime/coroner-macon-15-year-old-dies-after-being-shot-near-southwest-high-school-2/93-b1cac6c7-0a2e-4915-9e26-2865b986be1c")</f>
        <v>https://wgxa.tv/news/local/15-year-old-shot-and-killed-in-macon-found-near-southwest-high-school https://www.13wmaz.com/article/news/crime/coroner-macon-15-year-old-dies-after-being-shot-near-southwest-high-school-2/93-b1cac6c7-0a2e-4915-9e26-2865b986be1c</v>
      </c>
      <c r="L288" s="5">
        <f ca="1">IFERROR(__xludf.DUMMYFUNCTION("""COMPUTED_VALUE"""),2)</f>
        <v>2</v>
      </c>
      <c r="M288" s="5" t="str">
        <f ca="1">IFERROR(__xludf.DUMMYFUNCTION("""COMPUTED_VALUE"""),"Local")</f>
        <v>Local</v>
      </c>
      <c r="N288" s="5">
        <f ca="1">IFERROR(__xludf.DUMMYFUNCTION("""COMPUTED_VALUE"""),4)</f>
        <v>4</v>
      </c>
      <c r="O288" s="5" t="str">
        <f ca="1">IFERROR(__xludf.DUMMYFUNCTION("""COMPUTED_VALUE"""),"Spring")</f>
        <v>Spring</v>
      </c>
      <c r="P288" s="5" t="str">
        <f ca="1">IFERROR(__xludf.DUMMYFUNCTION("""COMPUTED_VALUE"""),"Macon")</f>
        <v>Macon</v>
      </c>
      <c r="Q288" s="5" t="str">
        <f ca="1">IFERROR(__xludf.DUMMYFUNCTION("""COMPUTED_VALUE"""),"GA")</f>
        <v>GA</v>
      </c>
      <c r="R288" s="5" t="str">
        <f ca="1">IFERROR(__xludf.DUMMYFUNCTION("""COMPUTED_VALUE"""),"High")</f>
        <v>High</v>
      </c>
      <c r="S288" s="5" t="str">
        <f ca="1">IFERROR(__xludf.DUMMYFUNCTION("""COMPUTED_VALUE"""),"Parking Lot")</f>
        <v>Parking Lot</v>
      </c>
      <c r="T288" s="5" t="str">
        <f ca="1">IFERROR(__xludf.DUMMYFUNCTION("""COMPUTED_VALUE"""),"Outside on School Property")</f>
        <v>Outside on School Property</v>
      </c>
      <c r="U288" s="5" t="str">
        <f ca="1">IFERROR(__xludf.DUMMYFUNCTION("""COMPUTED_VALUE"""),"No")</f>
        <v>No</v>
      </c>
      <c r="V288" s="5" t="str">
        <f ca="1">IFERROR(__xludf.DUMMYFUNCTION("""COMPUTED_VALUE"""),"Night")</f>
        <v>Night</v>
      </c>
      <c r="W288" s="10">
        <f ca="1">IFERROR(__xludf.DUMMYFUNCTION("""COMPUTED_VALUE"""),0.9375)</f>
        <v>0.9375</v>
      </c>
      <c r="X288" s="5">
        <f ca="1">IFERROR(__xludf.DUMMYFUNCTION("""COMPUTED_VALUE"""),1)</f>
        <v>1</v>
      </c>
      <c r="Y288" s="5" t="str">
        <f ca="1">IFERROR(__xludf.DUMMYFUNCTION("""COMPUTED_VALUE"""),"Teen fatally shot multiple times, body left in school parking lot")</f>
        <v>Teen fatally shot multiple times, body left in school parking lot</v>
      </c>
      <c r="Z288" s="5" t="str">
        <f ca="1">IFERROR(__xludf.DUMMYFUNCTION("""COMPUTED_VALUE"""),"A 15-year-old teen was shot multiple times in the parking lot of a sporting goods store .8 miles from the school. His body was left in the parking lot of the school. Shooter fled.")</f>
        <v>A 15-year-old teen was shot multiple times in the parking lot of a sporting goods store .8 miles from the school. His body was left in the parking lot of the school. Shooter fled.</v>
      </c>
      <c r="AA288" s="5"/>
      <c r="AB288" s="5" t="str">
        <f ca="1">IFERROR(__xludf.DUMMYFUNCTION("""COMPUTED_VALUE"""),"Victims Targeted")</f>
        <v>Victims Targeted</v>
      </c>
      <c r="AC288" s="5" t="str">
        <f ca="1">IFERROR(__xludf.DUMMYFUNCTION("""COMPUTED_VALUE"""),"Yes")</f>
        <v>Yes</v>
      </c>
      <c r="AD288" s="5" t="str">
        <f ca="1">IFERROR(__xludf.DUMMYFUNCTION("""COMPUTED_VALUE"""),"No")</f>
        <v>No</v>
      </c>
      <c r="AE288" s="5" t="str">
        <f ca="1">IFERROR(__xludf.DUMMYFUNCTION("""COMPUTED_VALUE"""),"No")</f>
        <v>No</v>
      </c>
      <c r="AF288" s="5" t="str">
        <f ca="1">IFERROR(__xludf.DUMMYFUNCTION("""COMPUTED_VALUE"""),"No")</f>
        <v>No</v>
      </c>
      <c r="AG288" s="5" t="str">
        <f ca="1">IFERROR(__xludf.DUMMYFUNCTION("""COMPUTED_VALUE"""),"No")</f>
        <v>No</v>
      </c>
      <c r="AH288" s="5" t="str">
        <f ca="1">IFERROR(__xludf.DUMMYFUNCTION("""COMPUTED_VALUE"""),"No")</f>
        <v>No</v>
      </c>
      <c r="AI288" s="5"/>
      <c r="AJ288" s="5" t="str">
        <f ca="1">IFERROR(__xludf.DUMMYFUNCTION("""COMPUTED_VALUE"""),"No")</f>
        <v>No</v>
      </c>
    </row>
    <row r="289" spans="1:36" ht="13">
      <c r="A289" s="5" t="str">
        <f ca="1">IFERROR(__xludf.DUMMYFUNCTION("""COMPUTED_VALUE"""),"20220425WIWIM")</f>
        <v>20220425WIWIM</v>
      </c>
      <c r="B289" s="5">
        <f ca="1">IFERROR(__xludf.DUMMYFUNCTION("""COMPUTED_VALUE"""),4)</f>
        <v>4</v>
      </c>
      <c r="C289" s="5">
        <f ca="1">IFERROR(__xludf.DUMMYFUNCTION("""COMPUTED_VALUE"""),25)</f>
        <v>25</v>
      </c>
      <c r="D289" s="5">
        <f ca="1">IFERROR(__xludf.DUMMYFUNCTION("""COMPUTED_VALUE"""),2022)</f>
        <v>2022</v>
      </c>
      <c r="E289" s="8">
        <f ca="1">IFERROR(__xludf.DUMMYFUNCTION("""COMPUTED_VALUE"""),44676)</f>
        <v>44676</v>
      </c>
      <c r="F289" s="5" t="str">
        <f ca="1">IFERROR(__xludf.DUMMYFUNCTION("""COMPUTED_VALUE"""),"Wisconsin Conservatory of Lifelong Learning")</f>
        <v>Wisconsin Conservatory of Lifelong Learning</v>
      </c>
      <c r="G289" s="5">
        <f ca="1">IFERROR(__xludf.DUMMYFUNCTION("""COMPUTED_VALUE"""),0)</f>
        <v>0</v>
      </c>
      <c r="H289" s="5">
        <f ca="1">IFERROR(__xludf.DUMMYFUNCTION("""COMPUTED_VALUE"""),0)</f>
        <v>0</v>
      </c>
      <c r="I289" s="5">
        <f ca="1">IFERROR(__xludf.DUMMYFUNCTION("""COMPUTED_VALUE"""),0)</f>
        <v>0</v>
      </c>
      <c r="J289" s="5">
        <f ca="1">IFERROR(__xludf.DUMMYFUNCTION("""COMPUTED_VALUE"""),0)</f>
        <v>0</v>
      </c>
      <c r="K289" s="5" t="str">
        <f ca="1">IFERROR(__xludf.DUMMYFUNCTION("""COMPUTED_VALUE"""),"https://www.fox6now.com/news/school-bus-hit-gunfire-milwaukee-police-suspects https://www.tmj4.com/news/local-news/several-people-exchange-gunfire-during-argument-striking-2-school-buses")</f>
        <v>https://www.fox6now.com/news/school-bus-hit-gunfire-milwaukee-police-suspects https://www.tmj4.com/news/local-news/several-people-exchange-gunfire-during-argument-striking-2-school-buses</v>
      </c>
      <c r="L289" s="5">
        <f ca="1">IFERROR(__xludf.DUMMYFUNCTION("""COMPUTED_VALUE"""),5)</f>
        <v>5</v>
      </c>
      <c r="M289" s="5" t="str">
        <f ca="1">IFERROR(__xludf.DUMMYFUNCTION("""COMPUTED_VALUE"""),"Local")</f>
        <v>Local</v>
      </c>
      <c r="N289" s="5">
        <f ca="1">IFERROR(__xludf.DUMMYFUNCTION("""COMPUTED_VALUE"""),4)</f>
        <v>4</v>
      </c>
      <c r="O289" s="5" t="str">
        <f ca="1">IFERROR(__xludf.DUMMYFUNCTION("""COMPUTED_VALUE"""),"Spring")</f>
        <v>Spring</v>
      </c>
      <c r="P289" s="5" t="str">
        <f ca="1">IFERROR(__xludf.DUMMYFUNCTION("""COMPUTED_VALUE"""),"Milwaukee")</f>
        <v>Milwaukee</v>
      </c>
      <c r="Q289" s="5" t="str">
        <f ca="1">IFERROR(__xludf.DUMMYFUNCTION("""COMPUTED_VALUE"""),"WI")</f>
        <v>WI</v>
      </c>
      <c r="R289" s="11">
        <f ca="1">IFERROR(__xludf.DUMMYFUNCTION("""COMPUTED_VALUE"""),44724)</f>
        <v>44724</v>
      </c>
      <c r="S289" s="5" t="str">
        <f ca="1">IFERROR(__xludf.DUMMYFUNCTION("""COMPUTED_VALUE"""),"Front of School")</f>
        <v>Front of School</v>
      </c>
      <c r="T289" s="5" t="str">
        <f ca="1">IFERROR(__xludf.DUMMYFUNCTION("""COMPUTED_VALUE"""),"Outside on School Property")</f>
        <v>Outside on School Property</v>
      </c>
      <c r="U289" s="5" t="str">
        <f ca="1">IFERROR(__xludf.DUMMYFUNCTION("""COMPUTED_VALUE"""),"Yes")</f>
        <v>Yes</v>
      </c>
      <c r="V289" s="5" t="str">
        <f ca="1">IFERROR(__xludf.DUMMYFUNCTION("""COMPUTED_VALUE"""),"Dismissal")</f>
        <v>Dismissal</v>
      </c>
      <c r="W289" s="10">
        <f ca="1">IFERROR(__xludf.DUMMYFUNCTION("""COMPUTED_VALUE"""),0.625)</f>
        <v>0.625</v>
      </c>
      <c r="X289" s="5">
        <f ca="1">IFERROR(__xludf.DUMMYFUNCTION("""COMPUTED_VALUE"""),1)</f>
        <v>1</v>
      </c>
      <c r="Y289" s="5" t="str">
        <f ca="1">IFERROR(__xludf.DUMMYFUNCTION("""COMPUTED_VALUE"""),"Multiple people fired shots during a fight striking 2 schools buses")</f>
        <v>Multiple people fired shots during a fight striking 2 schools buses</v>
      </c>
      <c r="Z289" s="5" t="str">
        <f ca="1">IFERROR(__xludf.DUMMYFUNCTION("""COMPUTED_VALUE"""),"Multiple people fired shots during a fight outside of the school. Shots struck two school buses. School went on lockdown and delayed dismissal. Shooters fled.")</f>
        <v>Multiple people fired shots during a fight outside of the school. Shots struck two school buses. School went on lockdown and delayed dismissal. Shooters fled.</v>
      </c>
      <c r="AA289" s="5" t="str">
        <f ca="1">IFERROR(__xludf.DUMMYFUNCTION("""COMPUTED_VALUE"""),"Escalation of Dispute")</f>
        <v>Escalation of Dispute</v>
      </c>
      <c r="AB289" s="5" t="str">
        <f ca="1">IFERROR(__xludf.DUMMYFUNCTION("""COMPUTED_VALUE"""),"Victims Targeted")</f>
        <v>Victims Targeted</v>
      </c>
      <c r="AC289" s="5" t="str">
        <f ca="1">IFERROR(__xludf.DUMMYFUNCTION("""COMPUTED_VALUE"""),"Yes")</f>
        <v>Yes</v>
      </c>
      <c r="AD289" s="5" t="str">
        <f ca="1">IFERROR(__xludf.DUMMYFUNCTION("""COMPUTED_VALUE"""),"No")</f>
        <v>No</v>
      </c>
      <c r="AE289" s="5" t="str">
        <f ca="1">IFERROR(__xludf.DUMMYFUNCTION("""COMPUTED_VALUE"""),"No")</f>
        <v>No</v>
      </c>
      <c r="AF289" s="5" t="str">
        <f ca="1">IFERROR(__xludf.DUMMYFUNCTION("""COMPUTED_VALUE"""),"No")</f>
        <v>No</v>
      </c>
      <c r="AG289" s="5" t="str">
        <f ca="1">IFERROR(__xludf.DUMMYFUNCTION("""COMPUTED_VALUE"""),"No")</f>
        <v>No</v>
      </c>
      <c r="AH289" s="5" t="str">
        <f ca="1">IFERROR(__xludf.DUMMYFUNCTION("""COMPUTED_VALUE"""),"No")</f>
        <v>No</v>
      </c>
      <c r="AI289" s="5"/>
      <c r="AJ289" s="5" t="str">
        <f ca="1">IFERROR(__xludf.DUMMYFUNCTION("""COMPUTED_VALUE"""),"No")</f>
        <v>No</v>
      </c>
    </row>
    <row r="290" spans="1:36" ht="13">
      <c r="A290" s="5" t="str">
        <f ca="1">IFERROR(__xludf.DUMMYFUNCTION("""COMPUTED_VALUE"""),"20220425GAMAM")</f>
        <v>20220425GAMAM</v>
      </c>
      <c r="B290" s="5">
        <f ca="1">IFERROR(__xludf.DUMMYFUNCTION("""COMPUTED_VALUE"""),4)</f>
        <v>4</v>
      </c>
      <c r="C290" s="5">
        <f ca="1">IFERROR(__xludf.DUMMYFUNCTION("""COMPUTED_VALUE"""),25)</f>
        <v>25</v>
      </c>
      <c r="D290" s="5">
        <f ca="1">IFERROR(__xludf.DUMMYFUNCTION("""COMPUTED_VALUE"""),2022)</f>
        <v>2022</v>
      </c>
      <c r="E290" s="8">
        <f ca="1">IFERROR(__xludf.DUMMYFUNCTION("""COMPUTED_VALUE"""),44676)</f>
        <v>44676</v>
      </c>
      <c r="F290" s="5" t="str">
        <f ca="1">IFERROR(__xludf.DUMMYFUNCTION("""COMPUTED_VALUE"""),"Marietta City Schools Bus Yard")</f>
        <v>Marietta City Schools Bus Yard</v>
      </c>
      <c r="G290" s="5">
        <f ca="1">IFERROR(__xludf.DUMMYFUNCTION("""COMPUTED_VALUE"""),0)</f>
        <v>0</v>
      </c>
      <c r="H290" s="5">
        <f ca="1">IFERROR(__xludf.DUMMYFUNCTION("""COMPUTED_VALUE"""),0)</f>
        <v>0</v>
      </c>
      <c r="I290" s="5">
        <f ca="1">IFERROR(__xludf.DUMMYFUNCTION("""COMPUTED_VALUE"""),0)</f>
        <v>0</v>
      </c>
      <c r="J290" s="5">
        <f ca="1">IFERROR(__xludf.DUMMYFUNCTION("""COMPUTED_VALUE"""),0)</f>
        <v>0</v>
      </c>
      <c r="K290" s="9" t="str">
        <f ca="1">IFERROR(__xludf.DUMMYFUNCTION("""COMPUTED_VALUE"""),"https://www.fox5atlanta.com/news/marietta-school-buses-windshield-shot")</f>
        <v>https://www.fox5atlanta.com/news/marietta-school-buses-windshield-shot</v>
      </c>
      <c r="L290" s="5">
        <f ca="1">IFERROR(__xludf.DUMMYFUNCTION("""COMPUTED_VALUE"""),1)</f>
        <v>1</v>
      </c>
      <c r="M290" s="5" t="str">
        <f ca="1">IFERROR(__xludf.DUMMYFUNCTION("""COMPUTED_VALUE"""),"Local")</f>
        <v>Local</v>
      </c>
      <c r="N290" s="5">
        <f ca="1">IFERROR(__xludf.DUMMYFUNCTION("""COMPUTED_VALUE"""),4)</f>
        <v>4</v>
      </c>
      <c r="O290" s="5" t="str">
        <f ca="1">IFERROR(__xludf.DUMMYFUNCTION("""COMPUTED_VALUE"""),"Spring")</f>
        <v>Spring</v>
      </c>
      <c r="P290" s="5" t="str">
        <f ca="1">IFERROR(__xludf.DUMMYFUNCTION("""COMPUTED_VALUE"""),"Marietta")</f>
        <v>Marietta</v>
      </c>
      <c r="Q290" s="5" t="str">
        <f ca="1">IFERROR(__xludf.DUMMYFUNCTION("""COMPUTED_VALUE"""),"GA")</f>
        <v>GA</v>
      </c>
      <c r="R290" s="5" t="str">
        <f ca="1">IFERROR(__xludf.DUMMYFUNCTION("""COMPUTED_VALUE"""),"Other")</f>
        <v>Other</v>
      </c>
      <c r="S290" s="5" t="str">
        <f ca="1">IFERROR(__xludf.DUMMYFUNCTION("""COMPUTED_VALUE"""),"Parking Lot (Bus)")</f>
        <v>Parking Lot (Bus)</v>
      </c>
      <c r="T290" s="5" t="str">
        <f ca="1">IFERROR(__xludf.DUMMYFUNCTION("""COMPUTED_VALUE"""),"School Bus")</f>
        <v>School Bus</v>
      </c>
      <c r="U290" s="5" t="str">
        <f ca="1">IFERROR(__xludf.DUMMYFUNCTION("""COMPUTED_VALUE"""),"No")</f>
        <v>No</v>
      </c>
      <c r="V290" s="5" t="str">
        <f ca="1">IFERROR(__xludf.DUMMYFUNCTION("""COMPUTED_VALUE"""),"Night")</f>
        <v>Night</v>
      </c>
      <c r="W290" s="10">
        <f ca="1">IFERROR(__xludf.DUMMYFUNCTION("""COMPUTED_VALUE"""),0.875)</f>
        <v>0.875</v>
      </c>
      <c r="X290" s="5">
        <f ca="1">IFERROR(__xludf.DUMMYFUNCTION("""COMPUTED_VALUE"""),10)</f>
        <v>10</v>
      </c>
      <c r="Y290" s="5" t="str">
        <f ca="1">IFERROR(__xludf.DUMMYFUNCTION("""COMPUTED_VALUE"""),"Woman fired pellet gun at 15 school buses")</f>
        <v>Woman fired pellet gun at 15 school buses</v>
      </c>
      <c r="Z290" s="5" t="str">
        <f ca="1">IFERROR(__xludf.DUMMYFUNCTION("""COMPUTED_VALUE"""),"An adult woman fired a pellet gun at the windshields of 15 school buses. Some of the buses were shot multiple times. Damage was found in the morning and shooting was recorded on CCTV.")</f>
        <v>An adult woman fired a pellet gun at the windshields of 15 school buses. Some of the buses were shot multiple times. Damage was found in the morning and shooting was recorded on CCTV.</v>
      </c>
      <c r="AA290" s="5" t="str">
        <f ca="1">IFERROR(__xludf.DUMMYFUNCTION("""COMPUTED_VALUE"""),"Intentional Property Damage")</f>
        <v>Intentional Property Damage</v>
      </c>
      <c r="AB290" s="5" t="str">
        <f ca="1">IFERROR(__xludf.DUMMYFUNCTION("""COMPUTED_VALUE"""),"Random Shooting")</f>
        <v>Random Shooting</v>
      </c>
      <c r="AC290" s="5" t="str">
        <f ca="1">IFERROR(__xludf.DUMMYFUNCTION("""COMPUTED_VALUE"""),"No")</f>
        <v>No</v>
      </c>
      <c r="AD290" s="5" t="str">
        <f ca="1">IFERROR(__xludf.DUMMYFUNCTION("""COMPUTED_VALUE"""),"No")</f>
        <v>No</v>
      </c>
      <c r="AE290" s="5" t="str">
        <f ca="1">IFERROR(__xludf.DUMMYFUNCTION("""COMPUTED_VALUE"""),"No")</f>
        <v>No</v>
      </c>
      <c r="AF290" s="5" t="str">
        <f ca="1">IFERROR(__xludf.DUMMYFUNCTION("""COMPUTED_VALUE"""),"No")</f>
        <v>No</v>
      </c>
      <c r="AG290" s="5" t="str">
        <f ca="1">IFERROR(__xludf.DUMMYFUNCTION("""COMPUTED_VALUE"""),"No")</f>
        <v>No</v>
      </c>
      <c r="AH290" s="5" t="str">
        <f ca="1">IFERROR(__xludf.DUMMYFUNCTION("""COMPUTED_VALUE"""),"No")</f>
        <v>No</v>
      </c>
      <c r="AI290" s="5" t="str">
        <f ca="1">IFERROR(__xludf.DUMMYFUNCTION("""COMPUTED_VALUE"""),"No")</f>
        <v>No</v>
      </c>
      <c r="AJ290" s="5" t="str">
        <f ca="1">IFERROR(__xludf.DUMMYFUNCTION("""COMPUTED_VALUE"""),"No")</f>
        <v>No</v>
      </c>
    </row>
    <row r="291" spans="1:36" ht="13">
      <c r="A291" s="5" t="str">
        <f ca="1">IFERROR(__xludf.DUMMYFUNCTION("""COMPUTED_VALUE"""),"20220424MOHAF")</f>
        <v>20220424MOHAF</v>
      </c>
      <c r="B291" s="5">
        <f ca="1">IFERROR(__xludf.DUMMYFUNCTION("""COMPUTED_VALUE"""),4)</f>
        <v>4</v>
      </c>
      <c r="C291" s="5">
        <f ca="1">IFERROR(__xludf.DUMMYFUNCTION("""COMPUTED_VALUE"""),24)</f>
        <v>24</v>
      </c>
      <c r="D291" s="5">
        <f ca="1">IFERROR(__xludf.DUMMYFUNCTION("""COMPUTED_VALUE"""),2022)</f>
        <v>2022</v>
      </c>
      <c r="E291" s="8">
        <f ca="1">IFERROR(__xludf.DUMMYFUNCTION("""COMPUTED_VALUE"""),44675)</f>
        <v>44675</v>
      </c>
      <c r="F291" s="5" t="str">
        <f ca="1">IFERROR(__xludf.DUMMYFUNCTION("""COMPUTED_VALUE"""),"Hazelwood Central High School")</f>
        <v>Hazelwood Central High School</v>
      </c>
      <c r="G291" s="5">
        <f ca="1">IFERROR(__xludf.DUMMYFUNCTION("""COMPUTED_VALUE"""),1)</f>
        <v>1</v>
      </c>
      <c r="H291" s="5">
        <f ca="1">IFERROR(__xludf.DUMMYFUNCTION("""COMPUTED_VALUE"""),0)</f>
        <v>0</v>
      </c>
      <c r="I291" s="5">
        <f ca="1">IFERROR(__xludf.DUMMYFUNCTION("""COMPUTED_VALUE"""),1)</f>
        <v>1</v>
      </c>
      <c r="J291" s="5">
        <f ca="1">IFERROR(__xludf.DUMMYFUNCTION("""COMPUTED_VALUE"""),0)</f>
        <v>0</v>
      </c>
      <c r="K291" s="5" t="str">
        <f ca="1">IFERROR(__xludf.DUMMYFUNCTION("""COMPUTED_VALUE"""),"https://www.ksdk.com/article/news/crime/teens-charged-murder-fatal-shooting-hazelwood-central-parking-lot/63-a5b02d64-c0e6-45ef-82a5-8d3925a76bf0 https://www.ksdk.com/article/news/crime/fatal-shooting-outside-hazelwood-central-high-school-florissant/63-f2"&amp;"c1a3ad-663e-4606-a350-7bd92553e48a https://www.kmov.com/2022/04/24/man-found-fatally-shot-parking-lot-hazelwood-central-high-school/ https://fox2now.com/news/missouri/man-shot-and-killed-in-hazelwood-central-high-school-parking-lot/")</f>
        <v>https://www.ksdk.com/article/news/crime/teens-charged-murder-fatal-shooting-hazelwood-central-parking-lot/63-a5b02d64-c0e6-45ef-82a5-8d3925a76bf0 https://www.ksdk.com/article/news/crime/fatal-shooting-outside-hazelwood-central-high-school-florissant/63-f2c1a3ad-663e-4606-a350-7bd92553e48a https://www.kmov.com/2022/04/24/man-found-fatally-shot-parking-lot-hazelwood-central-high-school/ https://fox2now.com/news/missouri/man-shot-and-killed-in-hazelwood-central-high-school-parking-lot/</v>
      </c>
      <c r="L291" s="5">
        <f ca="1">IFERROR(__xludf.DUMMYFUNCTION("""COMPUTED_VALUE"""),5)</f>
        <v>5</v>
      </c>
      <c r="M291" s="5" t="str">
        <f ca="1">IFERROR(__xludf.DUMMYFUNCTION("""COMPUTED_VALUE"""),"Local")</f>
        <v>Local</v>
      </c>
      <c r="N291" s="5">
        <f ca="1">IFERROR(__xludf.DUMMYFUNCTION("""COMPUTED_VALUE"""),4)</f>
        <v>4</v>
      </c>
      <c r="O291" s="5" t="str">
        <f ca="1">IFERROR(__xludf.DUMMYFUNCTION("""COMPUTED_VALUE"""),"Spring")</f>
        <v>Spring</v>
      </c>
      <c r="P291" s="5" t="str">
        <f ca="1">IFERROR(__xludf.DUMMYFUNCTION("""COMPUTED_VALUE"""),"Florissant")</f>
        <v>Florissant</v>
      </c>
      <c r="Q291" s="5" t="str">
        <f ca="1">IFERROR(__xludf.DUMMYFUNCTION("""COMPUTED_VALUE"""),"MO")</f>
        <v>MO</v>
      </c>
      <c r="R291" s="5" t="str">
        <f ca="1">IFERROR(__xludf.DUMMYFUNCTION("""COMPUTED_VALUE"""),"High")</f>
        <v>High</v>
      </c>
      <c r="S291" s="5" t="str">
        <f ca="1">IFERROR(__xludf.DUMMYFUNCTION("""COMPUTED_VALUE"""),"Parking Lot")</f>
        <v>Parking Lot</v>
      </c>
      <c r="T291" s="5" t="str">
        <f ca="1">IFERROR(__xludf.DUMMYFUNCTION("""COMPUTED_VALUE"""),"Outside on School Property")</f>
        <v>Outside on School Property</v>
      </c>
      <c r="U291" s="5" t="str">
        <f ca="1">IFERROR(__xludf.DUMMYFUNCTION("""COMPUTED_VALUE"""),"No")</f>
        <v>No</v>
      </c>
      <c r="V291" s="5" t="str">
        <f ca="1">IFERROR(__xludf.DUMMYFUNCTION("""COMPUTED_VALUE"""),"Not a School Day")</f>
        <v>Not a School Day</v>
      </c>
      <c r="W291" s="10">
        <f ca="1">IFERROR(__xludf.DUMMYFUNCTION("""COMPUTED_VALUE"""),0.25)</f>
        <v>0.25</v>
      </c>
      <c r="X291" s="5">
        <f ca="1">IFERROR(__xludf.DUMMYFUNCTION("""COMPUTED_VALUE"""),1)</f>
        <v>1</v>
      </c>
      <c r="Y291" s="5" t="str">
        <f ca="1">IFERROR(__xludf.DUMMYFUNCTION("""COMPUTED_VALUE"""),"Two teens fatally shot cab driver in school parking lot during robbery")</f>
        <v>Two teens fatally shot cab driver in school parking lot during robbery</v>
      </c>
      <c r="Z291" s="5" t="str">
        <f ca="1">IFERROR(__xludf.DUMMYFUNCTION("""COMPUTED_VALUE"""),"A adult man was found fatally shot in the school parking lot. Two teens fatally shot a cab driver during an attempted robbery. Arrested 2 days later.")</f>
        <v>A adult man was found fatally shot in the school parking lot. Two teens fatally shot a cab driver during an attempted robbery. Arrested 2 days later.</v>
      </c>
      <c r="AA291" s="5" t="str">
        <f ca="1">IFERROR(__xludf.DUMMYFUNCTION("""COMPUTED_VALUE"""),"Illegal Activity")</f>
        <v>Illegal Activity</v>
      </c>
      <c r="AB291" s="5" t="str">
        <f ca="1">IFERROR(__xludf.DUMMYFUNCTION("""COMPUTED_VALUE"""),"Victims Targeted")</f>
        <v>Victims Targeted</v>
      </c>
      <c r="AC291" s="5" t="str">
        <f ca="1">IFERROR(__xludf.DUMMYFUNCTION("""COMPUTED_VALUE"""),"Yes")</f>
        <v>Yes</v>
      </c>
      <c r="AD291" s="5" t="str">
        <f ca="1">IFERROR(__xludf.DUMMYFUNCTION("""COMPUTED_VALUE"""),"No")</f>
        <v>No</v>
      </c>
      <c r="AE291" s="5" t="str">
        <f ca="1">IFERROR(__xludf.DUMMYFUNCTION("""COMPUTED_VALUE"""),"No")</f>
        <v>No</v>
      </c>
      <c r="AF291" s="5" t="str">
        <f ca="1">IFERROR(__xludf.DUMMYFUNCTION("""COMPUTED_VALUE"""),"No")</f>
        <v>No</v>
      </c>
      <c r="AG291" s="5" t="str">
        <f ca="1">IFERROR(__xludf.DUMMYFUNCTION("""COMPUTED_VALUE"""),"No")</f>
        <v>No</v>
      </c>
      <c r="AH291" s="5" t="str">
        <f ca="1">IFERROR(__xludf.DUMMYFUNCTION("""COMPUTED_VALUE"""),"No")</f>
        <v>No</v>
      </c>
      <c r="AI291" s="5"/>
      <c r="AJ291" s="5" t="str">
        <f ca="1">IFERROR(__xludf.DUMMYFUNCTION("""COMPUTED_VALUE"""),"No")</f>
        <v>No</v>
      </c>
    </row>
    <row r="292" spans="1:36" ht="13">
      <c r="A292" s="5" t="str">
        <f ca="1">IFERROR(__xludf.DUMMYFUNCTION("""COMPUTED_VALUE"""),"20220422DCEDW")</f>
        <v>20220422DCEDW</v>
      </c>
      <c r="B292" s="5">
        <f ca="1">IFERROR(__xludf.DUMMYFUNCTION("""COMPUTED_VALUE"""),4)</f>
        <v>4</v>
      </c>
      <c r="C292" s="5">
        <f ca="1">IFERROR(__xludf.DUMMYFUNCTION("""COMPUTED_VALUE"""),22)</f>
        <v>22</v>
      </c>
      <c r="D292" s="5">
        <f ca="1">IFERROR(__xludf.DUMMYFUNCTION("""COMPUTED_VALUE"""),2022)</f>
        <v>2022</v>
      </c>
      <c r="E292" s="8">
        <f ca="1">IFERROR(__xludf.DUMMYFUNCTION("""COMPUTED_VALUE"""),44673)</f>
        <v>44673</v>
      </c>
      <c r="F292" s="5" t="str">
        <f ca="1">IFERROR(__xludf.DUMMYFUNCTION("""COMPUTED_VALUE"""),"Edmund Burke School")</f>
        <v>Edmund Burke School</v>
      </c>
      <c r="G292" s="5">
        <f ca="1">IFERROR(__xludf.DUMMYFUNCTION("""COMPUTED_VALUE"""),0)</f>
        <v>0</v>
      </c>
      <c r="H292" s="5">
        <f ca="1">IFERROR(__xludf.DUMMYFUNCTION("""COMPUTED_VALUE"""),4)</f>
        <v>4</v>
      </c>
      <c r="I292" s="5">
        <f ca="1">IFERROR(__xludf.DUMMYFUNCTION("""COMPUTED_VALUE"""),4)</f>
        <v>4</v>
      </c>
      <c r="J292" s="5">
        <f ca="1">IFERROR(__xludf.DUMMYFUNCTION("""COMPUTED_VALUE"""),1)</f>
        <v>1</v>
      </c>
      <c r="K292" s="5" t="str">
        <f ca="1">IFERROR(__xludf.DUMMYFUNCTION("""COMPUTED_VALUE"""),"https://www.washingtonpost.com/education/2022/05/04/edmund-burke-school-reopens-first-time-since-shooting/ https://www.nbcwashington.com/news/local/16-year-old-student-recounts-terrifying-school-shooting/3038079/ https://www.washingtonpost.com/dc-md-va/20"&amp;"22/04/25/bowser-dc-shooting-school-vanness/ https://www.wusa9.com/article/news/local/dc/viewer-discretion-video-purportedly-recorded-by-dc-shooter-reveals-more-than-60-gunshots-over-a-19-second-span-taking-aim-at-school-window/65-e03aa391-a87d-46e8-beaf-2"&amp;"8fe518c55a9 https://www.washingtonpost.com/dc-md-va/2022/04/22/connecticut-avenue-shooting-dc/?%20va._2 https://www.washingtonpost.com/dc-md-va/2022/04/23/raymond-spencer-dc-shooting/ https://www.washingtonpost.com/dc-md-va/2022/04/23/edmund-burke-shootin"&amp;"g-dc-lockdown/")</f>
        <v>https://www.washingtonpost.com/education/2022/05/04/edmund-burke-school-reopens-first-time-since-shooting/ https://www.nbcwashington.com/news/local/16-year-old-student-recounts-terrifying-school-shooting/3038079/ https://www.washingtonpost.com/dc-md-va/2022/04/25/bowser-dc-shooting-school-vanness/ https://www.wusa9.com/article/news/local/dc/viewer-discretion-video-purportedly-recorded-by-dc-shooter-reveals-more-than-60-gunshots-over-a-19-second-span-taking-aim-at-school-window/65-e03aa391-a87d-46e8-beaf-28fe518c55a9 https://www.washingtonpost.com/dc-md-va/2022/04/22/connecticut-avenue-shooting-dc/?%20va._2 https://www.washingtonpost.com/dc-md-va/2022/04/23/raymond-spencer-dc-shooting/ https://www.washingtonpost.com/dc-md-va/2022/04/23/edmund-burke-shooting-dc-lockdown/</v>
      </c>
      <c r="L292" s="5">
        <f ca="1">IFERROR(__xludf.DUMMYFUNCTION("""COMPUTED_VALUE"""),999)</f>
        <v>999</v>
      </c>
      <c r="M292" s="5" t="str">
        <f ca="1">IFERROR(__xludf.DUMMYFUNCTION("""COMPUTED_VALUE"""),"International")</f>
        <v>International</v>
      </c>
      <c r="N292" s="5">
        <f ca="1">IFERROR(__xludf.DUMMYFUNCTION("""COMPUTED_VALUE"""),4)</f>
        <v>4</v>
      </c>
      <c r="O292" s="5" t="str">
        <f ca="1">IFERROR(__xludf.DUMMYFUNCTION("""COMPUTED_VALUE"""),"Spring")</f>
        <v>Spring</v>
      </c>
      <c r="P292" s="5" t="str">
        <f ca="1">IFERROR(__xludf.DUMMYFUNCTION("""COMPUTED_VALUE"""),"Washington")</f>
        <v>Washington</v>
      </c>
      <c r="Q292" s="5" t="str">
        <f ca="1">IFERROR(__xludf.DUMMYFUNCTION("""COMPUTED_VALUE"""),"DC")</f>
        <v>DC</v>
      </c>
      <c r="R292" s="5" t="str">
        <f ca="1">IFERROR(__xludf.DUMMYFUNCTION("""COMPUTED_VALUE"""),"6-12")</f>
        <v>6-12</v>
      </c>
      <c r="S292" s="5" t="str">
        <f ca="1">IFERROR(__xludf.DUMMYFUNCTION("""COMPUTED_VALUE"""),"Hallway")</f>
        <v>Hallway</v>
      </c>
      <c r="T292" s="5" t="str">
        <f ca="1">IFERROR(__xludf.DUMMYFUNCTION("""COMPUTED_VALUE"""),"Both Inside/Outside")</f>
        <v>Both Inside/Outside</v>
      </c>
      <c r="U292" s="5" t="str">
        <f ca="1">IFERROR(__xludf.DUMMYFUNCTION("""COMPUTED_VALUE"""),"Yes")</f>
        <v>Yes</v>
      </c>
      <c r="V292" s="5" t="str">
        <f ca="1">IFERROR(__xludf.DUMMYFUNCTION("""COMPUTED_VALUE"""),"Afternoon Classes")</f>
        <v>Afternoon Classes</v>
      </c>
      <c r="W292" s="10">
        <f ca="1">IFERROR(__xludf.DUMMYFUNCTION("""COMPUTED_VALUE"""),0.638888888888888)</f>
        <v>0.63888888888888795</v>
      </c>
      <c r="X292" s="5">
        <f ca="1">IFERROR(__xludf.DUMMYFUNCTION("""COMPUTED_VALUE"""),180)</f>
        <v>180</v>
      </c>
      <c r="Y292" s="5" t="str">
        <f ca="1">IFERROR(__xludf.DUMMYFUNCTION("""COMPUTED_VALUE"""),"Gunman fired at school from nearby apartment building")</f>
        <v>Gunman fired at school from nearby apartment building</v>
      </c>
      <c r="Z292" s="5" t="str">
        <f ca="1">IFERROR(__xludf.DUMMYFUNCTION("""COMPUTED_VALUE"""),"A 23-year-old man fired at students inside a glass pedestrian bridge on the school campus from his 5th floor apartment building across the street. Shots broke glass windows on both sides of the bridge. A 12-year-old female student on the bridge was wounde"&amp;"d. A 16-year-old female student was cut by flying glass. First 60 shots were fired in 18 seconds. 200 total rounds fired. Students ran and school went into lockdown. Shooter then wounded school security guard, parent waiting in a vehicle to pick-up a chil"&amp;"d, and another adult pedestrian. Shooter commit suicide when police raided his apartment hours later. Shooter had a camera setup in the hallway to watch police arriving at his apartment. Days prior to shooting, shooter edited wikipedia pages related to sc"&amp;"hool shootings and described himself as ""AR-15 Aficionado"". 6 firearms including rifles and handguns were found in his apartment. Shooting was live streamed with camera inside rifle scope showing the attack. While waiting for police, shooter made edits "&amp;"to the Edmund Burke School Wikipedia page to add his attack. Commit suicide in the bathroom.")</f>
        <v>A 23-year-old man fired at students inside a glass pedestrian bridge on the school campus from his 5th floor apartment building across the street. Shots broke glass windows on both sides of the bridge. A 12-year-old female student on the bridge was wounded. A 16-year-old female student was cut by flying glass. First 60 shots were fired in 18 seconds. 200 total rounds fired. Students ran and school went into lockdown. Shooter then wounded school security guard, parent waiting in a vehicle to pick-up a child, and another adult pedestrian. Shooter commit suicide when police raided his apartment hours later. Shooter had a camera setup in the hallway to watch police arriving at his apartment. Days prior to shooting, shooter edited wikipedia pages related to school shootings and described himself as "AR-15 Aficionado". 6 firearms including rifles and handguns were found in his apartment. Shooting was live streamed with camera inside rifle scope showing the attack. While waiting for police, shooter made edits to the Edmund Burke School Wikipedia page to add his attack. Commit suicide in the bathroom.</v>
      </c>
      <c r="AA292" s="5" t="str">
        <f ca="1">IFERROR(__xludf.DUMMYFUNCTION("""COMPUTED_VALUE"""),"Indiscriminate Shooting")</f>
        <v>Indiscriminate Shooting</v>
      </c>
      <c r="AB292" s="5" t="str">
        <f ca="1">IFERROR(__xludf.DUMMYFUNCTION("""COMPUTED_VALUE"""),"Random Shooting")</f>
        <v>Random Shooting</v>
      </c>
      <c r="AC292" s="5" t="str">
        <f ca="1">IFERROR(__xludf.DUMMYFUNCTION("""COMPUTED_VALUE"""),"No")</f>
        <v>No</v>
      </c>
      <c r="AD292" s="5" t="str">
        <f ca="1">IFERROR(__xludf.DUMMYFUNCTION("""COMPUTED_VALUE"""),"No")</f>
        <v>No</v>
      </c>
      <c r="AE292" s="5" t="str">
        <f ca="1">IFERROR(__xludf.DUMMYFUNCTION("""COMPUTED_VALUE"""),"Yes")</f>
        <v>Yes</v>
      </c>
      <c r="AF292" s="5" t="str">
        <f ca="1">IFERROR(__xludf.DUMMYFUNCTION("""COMPUTED_VALUE"""),"No")</f>
        <v>No</v>
      </c>
      <c r="AG292" s="5"/>
      <c r="AH292" s="5" t="str">
        <f ca="1">IFERROR(__xludf.DUMMYFUNCTION("""COMPUTED_VALUE"""),"No")</f>
        <v>No</v>
      </c>
      <c r="AI292" s="5" t="str">
        <f ca="1">IFERROR(__xludf.DUMMYFUNCTION("""COMPUTED_VALUE"""),"No")</f>
        <v>No</v>
      </c>
      <c r="AJ292" s="5" t="str">
        <f ca="1">IFERROR(__xludf.DUMMYFUNCTION("""COMPUTED_VALUE"""),"Yes")</f>
        <v>Yes</v>
      </c>
    </row>
    <row r="293" spans="1:36" ht="13">
      <c r="A293" s="5" t="str">
        <f ca="1">IFERROR(__xludf.DUMMYFUNCTION("""COMPUTED_VALUE"""),"20220422ORHOS")</f>
        <v>20220422ORHOS</v>
      </c>
      <c r="B293" s="5">
        <f ca="1">IFERROR(__xludf.DUMMYFUNCTION("""COMPUTED_VALUE"""),4)</f>
        <v>4</v>
      </c>
      <c r="C293" s="5">
        <f ca="1">IFERROR(__xludf.DUMMYFUNCTION("""COMPUTED_VALUE"""),22)</f>
        <v>22</v>
      </c>
      <c r="D293" s="5">
        <f ca="1">IFERROR(__xludf.DUMMYFUNCTION("""COMPUTED_VALUE"""),2022)</f>
        <v>2022</v>
      </c>
      <c r="E293" s="8">
        <f ca="1">IFERROR(__xludf.DUMMYFUNCTION("""COMPUTED_VALUE"""),44673)</f>
        <v>44673</v>
      </c>
      <c r="F293" s="5" t="str">
        <f ca="1">IFERROR(__xludf.DUMMYFUNCTION("""COMPUTED_VALUE"""),"Houck Middle School")</f>
        <v>Houck Middle School</v>
      </c>
      <c r="G293" s="5">
        <f ca="1">IFERROR(__xludf.DUMMYFUNCTION("""COMPUTED_VALUE"""),0)</f>
        <v>0</v>
      </c>
      <c r="H293" s="5">
        <f ca="1">IFERROR(__xludf.DUMMYFUNCTION("""COMPUTED_VALUE"""),0)</f>
        <v>0</v>
      </c>
      <c r="I293" s="5">
        <f ca="1">IFERROR(__xludf.DUMMYFUNCTION("""COMPUTED_VALUE"""),0)</f>
        <v>0</v>
      </c>
      <c r="J293" s="5">
        <f ca="1">IFERROR(__xludf.DUMMYFUNCTION("""COMPUTED_VALUE"""),0)</f>
        <v>0</v>
      </c>
      <c r="K293" s="9" t="str">
        <f ca="1">IFERROR(__xludf.DUMMYFUNCTION("""COMPUTED_VALUE"""),"https://www.kptv.com/2022/04/23/teen-arrested-after-shooting-near-salem-middle-school/")</f>
        <v>https://www.kptv.com/2022/04/23/teen-arrested-after-shooting-near-salem-middle-school/</v>
      </c>
      <c r="L293" s="5">
        <f ca="1">IFERROR(__xludf.DUMMYFUNCTION("""COMPUTED_VALUE"""),1)</f>
        <v>1</v>
      </c>
      <c r="M293" s="5" t="str">
        <f ca="1">IFERROR(__xludf.DUMMYFUNCTION("""COMPUTED_VALUE"""),"Local")</f>
        <v>Local</v>
      </c>
      <c r="N293" s="5">
        <f ca="1">IFERROR(__xludf.DUMMYFUNCTION("""COMPUTED_VALUE"""),2)</f>
        <v>2</v>
      </c>
      <c r="O293" s="5" t="str">
        <f ca="1">IFERROR(__xludf.DUMMYFUNCTION("""COMPUTED_VALUE"""),"Spring")</f>
        <v>Spring</v>
      </c>
      <c r="P293" s="5" t="str">
        <f ca="1">IFERROR(__xludf.DUMMYFUNCTION("""COMPUTED_VALUE"""),"Salem")</f>
        <v>Salem</v>
      </c>
      <c r="Q293" s="5" t="str">
        <f ca="1">IFERROR(__xludf.DUMMYFUNCTION("""COMPUTED_VALUE"""),"OR")</f>
        <v>OR</v>
      </c>
      <c r="R293" s="5" t="str">
        <f ca="1">IFERROR(__xludf.DUMMYFUNCTION("""COMPUTED_VALUE"""),"Middle")</f>
        <v>Middle</v>
      </c>
      <c r="S293" s="5" t="str">
        <f ca="1">IFERROR(__xludf.DUMMYFUNCTION("""COMPUTED_VALUE"""),"Outside on School Property")</f>
        <v>Outside on School Property</v>
      </c>
      <c r="T293" s="5" t="str">
        <f ca="1">IFERROR(__xludf.DUMMYFUNCTION("""COMPUTED_VALUE"""),"Outside on School Property")</f>
        <v>Outside on School Property</v>
      </c>
      <c r="U293" s="5" t="str">
        <f ca="1">IFERROR(__xludf.DUMMYFUNCTION("""COMPUTED_VALUE"""),"No")</f>
        <v>No</v>
      </c>
      <c r="V293" s="5" t="str">
        <f ca="1">IFERROR(__xludf.DUMMYFUNCTION("""COMPUTED_VALUE"""),"Night")</f>
        <v>Night</v>
      </c>
      <c r="W293" s="10">
        <f ca="1">IFERROR(__xludf.DUMMYFUNCTION("""COMPUTED_VALUE"""),0.996527777777777)</f>
        <v>0.99652777777777701</v>
      </c>
      <c r="X293" s="5">
        <f ca="1">IFERROR(__xludf.DUMMYFUNCTION("""COMPUTED_VALUE"""),1)</f>
        <v>1</v>
      </c>
      <c r="Y293" s="5" t="str">
        <f ca="1">IFERROR(__xludf.DUMMYFUNCTION("""COMPUTED_VALUE"""),"Teen fired shots near school")</f>
        <v>Teen fired shots near school</v>
      </c>
      <c r="Z293" s="5" t="str">
        <f ca="1">IFERROR(__xludf.DUMMYFUNCTION("""COMPUTED_VALUE"""),"A teen fired shot near the school and fled the area. Tracked by K-9 and arrested away from school. No injuries.")</f>
        <v>A teen fired shot near the school and fled the area. Tracked by K-9 and arrested away from school. No injuries.</v>
      </c>
      <c r="AA293" s="5"/>
      <c r="AB293" s="5"/>
      <c r="AC293" s="5" t="str">
        <f ca="1">IFERROR(__xludf.DUMMYFUNCTION("""COMPUTED_VALUE"""),"No")</f>
        <v>No</v>
      </c>
      <c r="AD293" s="5" t="str">
        <f ca="1">IFERROR(__xludf.DUMMYFUNCTION("""COMPUTED_VALUE"""),"No")</f>
        <v>No</v>
      </c>
      <c r="AE293" s="5" t="str">
        <f ca="1">IFERROR(__xludf.DUMMYFUNCTION("""COMPUTED_VALUE"""),"No")</f>
        <v>No</v>
      </c>
      <c r="AF293" s="5" t="str">
        <f ca="1">IFERROR(__xludf.DUMMYFUNCTION("""COMPUTED_VALUE"""),"No")</f>
        <v>No</v>
      </c>
      <c r="AG293" s="5" t="str">
        <f ca="1">IFERROR(__xludf.DUMMYFUNCTION("""COMPUTED_VALUE"""),"No")</f>
        <v>No</v>
      </c>
      <c r="AH293" s="5" t="str">
        <f ca="1">IFERROR(__xludf.DUMMYFUNCTION("""COMPUTED_VALUE"""),"No")</f>
        <v>No</v>
      </c>
      <c r="AI293" s="5"/>
      <c r="AJ293" s="5" t="str">
        <f ca="1">IFERROR(__xludf.DUMMYFUNCTION("""COMPUTED_VALUE"""),"No")</f>
        <v>No</v>
      </c>
    </row>
    <row r="294" spans="1:36" ht="13">
      <c r="A294" s="5" t="str">
        <f ca="1">IFERROR(__xludf.DUMMYFUNCTION("""COMPUTED_VALUE"""),"20220422CAMOR")</f>
        <v>20220422CAMOR</v>
      </c>
      <c r="B294" s="5">
        <f ca="1">IFERROR(__xludf.DUMMYFUNCTION("""COMPUTED_VALUE"""),4)</f>
        <v>4</v>
      </c>
      <c r="C294" s="5">
        <f ca="1">IFERROR(__xludf.DUMMYFUNCTION("""COMPUTED_VALUE"""),22)</f>
        <v>22</v>
      </c>
      <c r="D294" s="5">
        <f ca="1">IFERROR(__xludf.DUMMYFUNCTION("""COMPUTED_VALUE"""),2022)</f>
        <v>2022</v>
      </c>
      <c r="E294" s="8">
        <f ca="1">IFERROR(__xludf.DUMMYFUNCTION("""COMPUTED_VALUE"""),44673)</f>
        <v>44673</v>
      </c>
      <c r="F294" s="5" t="str">
        <f ca="1">IFERROR(__xludf.DUMMYFUNCTION("""COMPUTED_VALUE"""),"Mountain View Middle School")</f>
        <v>Mountain View Middle School</v>
      </c>
      <c r="G294" s="5">
        <f ca="1">IFERROR(__xludf.DUMMYFUNCTION("""COMPUTED_VALUE"""),0)</f>
        <v>0</v>
      </c>
      <c r="H294" s="5">
        <f ca="1">IFERROR(__xludf.DUMMYFUNCTION("""COMPUTED_VALUE"""),0)</f>
        <v>0</v>
      </c>
      <c r="I294" s="5">
        <f ca="1">IFERROR(__xludf.DUMMYFUNCTION("""COMPUTED_VALUE"""),0)</f>
        <v>0</v>
      </c>
      <c r="J294" s="5">
        <f ca="1">IFERROR(__xludf.DUMMYFUNCTION("""COMPUTED_VALUE"""),0)</f>
        <v>0</v>
      </c>
      <c r="K294" s="9" t="str">
        <f ca="1">IFERROR(__xludf.DUMMYFUNCTION("""COMPUTED_VALUE"""),"https://krcrtv.com/news/local/video-reports-of-shots-fired-near-middle-school")</f>
        <v>https://krcrtv.com/news/local/video-reports-of-shots-fired-near-middle-school</v>
      </c>
      <c r="L294" s="5">
        <f ca="1">IFERROR(__xludf.DUMMYFUNCTION("""COMPUTED_VALUE"""),1)</f>
        <v>1</v>
      </c>
      <c r="M294" s="5" t="str">
        <f ca="1">IFERROR(__xludf.DUMMYFUNCTION("""COMPUTED_VALUE"""),"Local")</f>
        <v>Local</v>
      </c>
      <c r="N294" s="5">
        <f ca="1">IFERROR(__xludf.DUMMYFUNCTION("""COMPUTED_VALUE"""),4)</f>
        <v>4</v>
      </c>
      <c r="O294" s="5" t="str">
        <f ca="1">IFERROR(__xludf.DUMMYFUNCTION("""COMPUTED_VALUE"""),"Spring")</f>
        <v>Spring</v>
      </c>
      <c r="P294" s="5" t="str">
        <f ca="1">IFERROR(__xludf.DUMMYFUNCTION("""COMPUTED_VALUE"""),"Redding")</f>
        <v>Redding</v>
      </c>
      <c r="Q294" s="5" t="str">
        <f ca="1">IFERROR(__xludf.DUMMYFUNCTION("""COMPUTED_VALUE"""),"CA")</f>
        <v>CA</v>
      </c>
      <c r="R294" s="5" t="str">
        <f ca="1">IFERROR(__xludf.DUMMYFUNCTION("""COMPUTED_VALUE"""),"Middle")</f>
        <v>Middle</v>
      </c>
      <c r="S294" s="5" t="str">
        <f ca="1">IFERROR(__xludf.DUMMYFUNCTION("""COMPUTED_VALUE"""),"Field (General)")</f>
        <v>Field (General)</v>
      </c>
      <c r="T294" s="5" t="str">
        <f ca="1">IFERROR(__xludf.DUMMYFUNCTION("""COMPUTED_VALUE"""),"Outside on School Property")</f>
        <v>Outside on School Property</v>
      </c>
      <c r="U294" s="5" t="str">
        <f ca="1">IFERROR(__xludf.DUMMYFUNCTION("""COMPUTED_VALUE"""),"No")</f>
        <v>No</v>
      </c>
      <c r="V294" s="5" t="str">
        <f ca="1">IFERROR(__xludf.DUMMYFUNCTION("""COMPUTED_VALUE"""),"Sport Event")</f>
        <v>Sport Event</v>
      </c>
      <c r="W294" s="10">
        <f ca="1">IFERROR(__xludf.DUMMYFUNCTION("""COMPUTED_VALUE"""),0.75)</f>
        <v>0.75</v>
      </c>
      <c r="X294" s="5">
        <f ca="1">IFERROR(__xludf.DUMMYFUNCTION("""COMPUTED_VALUE"""),1)</f>
        <v>1</v>
      </c>
      <c r="Y294" s="5" t="str">
        <f ca="1">IFERROR(__xludf.DUMMYFUNCTION("""COMPUTED_VALUE"""),"Shots fired at adult men on the baseball field behind the school")</f>
        <v>Shots fired at adult men on the baseball field behind the school</v>
      </c>
      <c r="Z294" s="5" t="str">
        <f ca="1">IFERROR(__xludf.DUMMYFUNCTION("""COMPUTED_VALUE"""),"Group of adults were playing baseball on the field behind the school when shots were fired at them. Shooting was recorded on video. A Daddy/Daughter event was taking place at the school. No injuries. Shots fired from a long distance and no suspect identif"&amp;"ied.")</f>
        <v>Group of adults were playing baseball on the field behind the school when shots were fired at them. Shooting was recorded on video. A Daddy/Daughter event was taking place at the school. No injuries. Shots fired from a long distance and no suspect identified.</v>
      </c>
      <c r="AA294" s="5"/>
      <c r="AB294" s="5" t="str">
        <f ca="1">IFERROR(__xludf.DUMMYFUNCTION("""COMPUTED_VALUE"""),"Random Shooting")</f>
        <v>Random Shooting</v>
      </c>
      <c r="AC294" s="5"/>
      <c r="AD294" s="5" t="str">
        <f ca="1">IFERROR(__xludf.DUMMYFUNCTION("""COMPUTED_VALUE"""),"No")</f>
        <v>No</v>
      </c>
      <c r="AE294" s="5" t="str">
        <f ca="1">IFERROR(__xludf.DUMMYFUNCTION("""COMPUTED_VALUE"""),"No")</f>
        <v>No</v>
      </c>
      <c r="AF294" s="5" t="str">
        <f ca="1">IFERROR(__xludf.DUMMYFUNCTION("""COMPUTED_VALUE"""),"No")</f>
        <v>No</v>
      </c>
      <c r="AG294" s="5" t="str">
        <f ca="1">IFERROR(__xludf.DUMMYFUNCTION("""COMPUTED_VALUE"""),"No")</f>
        <v>No</v>
      </c>
      <c r="AH294" s="5" t="str">
        <f ca="1">IFERROR(__xludf.DUMMYFUNCTION("""COMPUTED_VALUE"""),"No")</f>
        <v>No</v>
      </c>
      <c r="AI294" s="5" t="str">
        <f ca="1">IFERROR(__xludf.DUMMYFUNCTION("""COMPUTED_VALUE"""),"No")</f>
        <v>No</v>
      </c>
      <c r="AJ294" s="5" t="str">
        <f ca="1">IFERROR(__xludf.DUMMYFUNCTION("""COMPUTED_VALUE"""),"No")</f>
        <v>No</v>
      </c>
    </row>
    <row r="295" spans="1:36" ht="13">
      <c r="A295" s="5" t="str">
        <f ca="1">IFERROR(__xludf.DUMMYFUNCTION("""COMPUTED_VALUE"""),"20220421NDMOM")</f>
        <v>20220421NDMOM</v>
      </c>
      <c r="B295" s="5">
        <f ca="1">IFERROR(__xludf.DUMMYFUNCTION("""COMPUTED_VALUE"""),4)</f>
        <v>4</v>
      </c>
      <c r="C295" s="5">
        <f ca="1">IFERROR(__xludf.DUMMYFUNCTION("""COMPUTED_VALUE"""),21)</f>
        <v>21</v>
      </c>
      <c r="D295" s="5">
        <f ca="1">IFERROR(__xludf.DUMMYFUNCTION("""COMPUTED_VALUE"""),2022)</f>
        <v>2022</v>
      </c>
      <c r="E295" s="8">
        <f ca="1">IFERROR(__xludf.DUMMYFUNCTION("""COMPUTED_VALUE"""),44672)</f>
        <v>44672</v>
      </c>
      <c r="F295" s="5" t="str">
        <f ca="1">IFERROR(__xludf.DUMMYFUNCTION("""COMPUTED_VALUE"""),"Mott-Regent High School")</f>
        <v>Mott-Regent High School</v>
      </c>
      <c r="G295" s="5">
        <f ca="1">IFERROR(__xludf.DUMMYFUNCTION("""COMPUTED_VALUE"""),1)</f>
        <v>1</v>
      </c>
      <c r="H295" s="5">
        <f ca="1">IFERROR(__xludf.DUMMYFUNCTION("""COMPUTED_VALUE"""),0)</f>
        <v>0</v>
      </c>
      <c r="I295" s="5">
        <f ca="1">IFERROR(__xludf.DUMMYFUNCTION("""COMPUTED_VALUE"""),1)</f>
        <v>1</v>
      </c>
      <c r="J295" s="5">
        <f ca="1">IFERROR(__xludf.DUMMYFUNCTION("""COMPUTED_VALUE"""),0)</f>
        <v>0</v>
      </c>
      <c r="K295" s="5" t="str">
        <f ca="1">IFERROR(__xludf.DUMMYFUNCTION("""COMPUTED_VALUE"""),"https://www.thedickinsonpress.com/news/man-shot-killed-in-altercation-with-hettinger-county-sheriffs-office-deputy-at-mott-regent-school https://kfgo.com/2022/04/22/563807/ https://www.kfyrtv.com/2022/04/22/man-dies-following-incident-with-deputy-mott-reg"&amp;"ent-public-school/")</f>
        <v>https://www.thedickinsonpress.com/news/man-shot-killed-in-altercation-with-hettinger-county-sheriffs-office-deputy-at-mott-regent-school https://kfgo.com/2022/04/22/563807/ https://www.kfyrtv.com/2022/04/22/man-dies-following-incident-with-deputy-mott-regent-public-school/</v>
      </c>
      <c r="L295" s="5">
        <f ca="1">IFERROR(__xludf.DUMMYFUNCTION("""COMPUTED_VALUE"""),3)</f>
        <v>3</v>
      </c>
      <c r="M295" s="5" t="str">
        <f ca="1">IFERROR(__xludf.DUMMYFUNCTION("""COMPUTED_VALUE"""),"Local")</f>
        <v>Local</v>
      </c>
      <c r="N295" s="5">
        <f ca="1">IFERROR(__xludf.DUMMYFUNCTION("""COMPUTED_VALUE"""),4)</f>
        <v>4</v>
      </c>
      <c r="O295" s="5" t="str">
        <f ca="1">IFERROR(__xludf.DUMMYFUNCTION("""COMPUTED_VALUE"""),"Spring")</f>
        <v>Spring</v>
      </c>
      <c r="P295" s="5" t="str">
        <f ca="1">IFERROR(__xludf.DUMMYFUNCTION("""COMPUTED_VALUE"""),"Mott")</f>
        <v>Mott</v>
      </c>
      <c r="Q295" s="5" t="str">
        <f ca="1">IFERROR(__xludf.DUMMYFUNCTION("""COMPUTED_VALUE"""),"ND")</f>
        <v>ND</v>
      </c>
      <c r="R295" s="5" t="str">
        <f ca="1">IFERROR(__xludf.DUMMYFUNCTION("""COMPUTED_VALUE"""),"K-12")</f>
        <v>K-12</v>
      </c>
      <c r="S295" s="5" t="str">
        <f ca="1">IFERROR(__xludf.DUMMYFUNCTION("""COMPUTED_VALUE"""),"Entryway")</f>
        <v>Entryway</v>
      </c>
      <c r="T295" s="5" t="str">
        <f ca="1">IFERROR(__xludf.DUMMYFUNCTION("""COMPUTED_VALUE"""),"Inside School Building")</f>
        <v>Inside School Building</v>
      </c>
      <c r="U295" s="5" t="str">
        <f ca="1">IFERROR(__xludf.DUMMYFUNCTION("""COMPUTED_VALUE"""),"Yes")</f>
        <v>Yes</v>
      </c>
      <c r="V295" s="5" t="str">
        <f ca="1">IFERROR(__xludf.DUMMYFUNCTION("""COMPUTED_VALUE"""),"Afternoon Classes")</f>
        <v>Afternoon Classes</v>
      </c>
      <c r="W295" s="10">
        <f ca="1">IFERROR(__xludf.DUMMYFUNCTION("""COMPUTED_VALUE"""),0.623611111111111)</f>
        <v>0.62361111111111101</v>
      </c>
      <c r="X295" s="5">
        <f ca="1">IFERROR(__xludf.DUMMYFUNCTION("""COMPUTED_VALUE"""),1)</f>
        <v>1</v>
      </c>
      <c r="Y295" s="5" t="str">
        <f ca="1">IFERROR(__xludf.DUMMYFUNCTION("""COMPUTED_VALUE"""),"Man fatally shot by police when he refused to leave the school")</f>
        <v>Man fatally shot by police when he refused to leave the school</v>
      </c>
      <c r="Z295" s="5" t="str">
        <f ca="1">IFERROR(__xludf.DUMMYFUNCTION("""COMPUTED_VALUE"""),"A 34-year-old man was fatally shot by police when he refused to leave the school and assaulted an officer. School staff called police for a man causing a disturbance in the building. No students or staff were injured. School went on lockdown and students "&amp;"dismissed to their parents from the rear of the school building.")</f>
        <v>A 34-year-old man was fatally shot by police when he refused to leave the school and assaulted an officer. School staff called police for a man causing a disturbance in the building. No students or staff were injured. School went on lockdown and students dismissed to their parents from the rear of the school building.</v>
      </c>
      <c r="AA295" s="5" t="str">
        <f ca="1">IFERROR(__xludf.DUMMYFUNCTION("""COMPUTED_VALUE"""),"Officer-Involved Shooting")</f>
        <v>Officer-Involved Shooting</v>
      </c>
      <c r="AB295" s="5"/>
      <c r="AC295" s="5"/>
      <c r="AD295" s="5"/>
      <c r="AE295" s="5"/>
      <c r="AF295" s="5"/>
      <c r="AG295" s="5"/>
      <c r="AH295" s="5"/>
      <c r="AI295" s="5"/>
      <c r="AJ295" s="5" t="str">
        <f ca="1">IFERROR(__xludf.DUMMYFUNCTION("""COMPUTED_VALUE"""),"No")</f>
        <v>No</v>
      </c>
    </row>
    <row r="296" spans="1:36" ht="13">
      <c r="A296" s="5" t="str">
        <f ca="1">IFERROR(__xludf.DUMMYFUNCTION("""COMPUTED_VALUE"""),"20220416IAMED")</f>
        <v>20220416IAMED</v>
      </c>
      <c r="B296" s="5">
        <f ca="1">IFERROR(__xludf.DUMMYFUNCTION("""COMPUTED_VALUE"""),4)</f>
        <v>4</v>
      </c>
      <c r="C296" s="5">
        <f ca="1">IFERROR(__xludf.DUMMYFUNCTION("""COMPUTED_VALUE"""),16)</f>
        <v>16</v>
      </c>
      <c r="D296" s="5">
        <f ca="1">IFERROR(__xludf.DUMMYFUNCTION("""COMPUTED_VALUE"""),2022)</f>
        <v>2022</v>
      </c>
      <c r="E296" s="8">
        <f ca="1">IFERROR(__xludf.DUMMYFUNCTION("""COMPUTED_VALUE"""),44667)</f>
        <v>44667</v>
      </c>
      <c r="F296" s="5" t="str">
        <f ca="1">IFERROR(__xludf.DUMMYFUNCTION("""COMPUTED_VALUE"""),"Meredith Middle School")</f>
        <v>Meredith Middle School</v>
      </c>
      <c r="G296" s="5">
        <f ca="1">IFERROR(__xludf.DUMMYFUNCTION("""COMPUTED_VALUE"""),0)</f>
        <v>0</v>
      </c>
      <c r="H296" s="5">
        <f ca="1">IFERROR(__xludf.DUMMYFUNCTION("""COMPUTED_VALUE"""),1)</f>
        <v>1</v>
      </c>
      <c r="I296" s="5">
        <f ca="1">IFERROR(__xludf.DUMMYFUNCTION("""COMPUTED_VALUE"""),1)</f>
        <v>1</v>
      </c>
      <c r="J296" s="5">
        <f ca="1">IFERROR(__xludf.DUMMYFUNCTION("""COMPUTED_VALUE"""),0)</f>
        <v>0</v>
      </c>
      <c r="K296" s="5" t="str">
        <f ca="1">IFERROR(__xludf.DUMMYFUNCTION("""COMPUTED_VALUE"""),"https://www.kcci.com/article/iowa-des-moines-one-injured-in-shooting-near-meredith-middle-school/39743068# https://who13.com/news/one-person-shot-near-des-moines-school-saturday/")</f>
        <v>https://www.kcci.com/article/iowa-des-moines-one-injured-in-shooting-near-meredith-middle-school/39743068# https://who13.com/news/one-person-shot-near-des-moines-school-saturday/</v>
      </c>
      <c r="L296" s="5">
        <f ca="1">IFERROR(__xludf.DUMMYFUNCTION("""COMPUTED_VALUE"""),3)</f>
        <v>3</v>
      </c>
      <c r="M296" s="5" t="str">
        <f ca="1">IFERROR(__xludf.DUMMYFUNCTION("""COMPUTED_VALUE"""),"Local")</f>
        <v>Local</v>
      </c>
      <c r="N296" s="5">
        <f ca="1">IFERROR(__xludf.DUMMYFUNCTION("""COMPUTED_VALUE"""),3)</f>
        <v>3</v>
      </c>
      <c r="O296" s="5" t="str">
        <f ca="1">IFERROR(__xludf.DUMMYFUNCTION("""COMPUTED_VALUE"""),"Spring")</f>
        <v>Spring</v>
      </c>
      <c r="P296" s="5" t="str">
        <f ca="1">IFERROR(__xludf.DUMMYFUNCTION("""COMPUTED_VALUE"""),"Des Moines")</f>
        <v>Des Moines</v>
      </c>
      <c r="Q296" s="5" t="str">
        <f ca="1">IFERROR(__xludf.DUMMYFUNCTION("""COMPUTED_VALUE"""),"IA")</f>
        <v>IA</v>
      </c>
      <c r="R296" s="5" t="str">
        <f ca="1">IFERROR(__xludf.DUMMYFUNCTION("""COMPUTED_VALUE"""),"Middle")</f>
        <v>Middle</v>
      </c>
      <c r="S296" s="5" t="str">
        <f ca="1">IFERROR(__xludf.DUMMYFUNCTION("""COMPUTED_VALUE"""),"Front of School")</f>
        <v>Front of School</v>
      </c>
      <c r="T296" s="5" t="str">
        <f ca="1">IFERROR(__xludf.DUMMYFUNCTION("""COMPUTED_VALUE"""),"Outside on School Property")</f>
        <v>Outside on School Property</v>
      </c>
      <c r="U296" s="5" t="str">
        <f ca="1">IFERROR(__xludf.DUMMYFUNCTION("""COMPUTED_VALUE"""),"No")</f>
        <v>No</v>
      </c>
      <c r="V296" s="5" t="str">
        <f ca="1">IFERROR(__xludf.DUMMYFUNCTION("""COMPUTED_VALUE"""),"Evening")</f>
        <v>Evening</v>
      </c>
      <c r="W296" s="10">
        <f ca="1">IFERROR(__xludf.DUMMYFUNCTION("""COMPUTED_VALUE"""),0.784722222222222)</f>
        <v>0.78472222222222199</v>
      </c>
      <c r="X296" s="5">
        <f ca="1">IFERROR(__xludf.DUMMYFUNCTION("""COMPUTED_VALUE"""),1)</f>
        <v>1</v>
      </c>
      <c r="Y296" s="5" t="str">
        <f ca="1">IFERROR(__xludf.DUMMYFUNCTION("""COMPUTED_VALUE"""),"Person shot in front of the school")</f>
        <v>Person shot in front of the school</v>
      </c>
      <c r="Z296" s="5" t="str">
        <f ca="1">IFERROR(__xludf.DUMMYFUNCTION("""COMPUTED_VALUE"""),"Neighbors heard multiple shots and a person was found wounded in front of the school. Shooter fled.")</f>
        <v>Neighbors heard multiple shots and a person was found wounded in front of the school. Shooter fled.</v>
      </c>
      <c r="AA296" s="5"/>
      <c r="AB296" s="5"/>
      <c r="AC296" s="5" t="str">
        <f ca="1">IFERROR(__xludf.DUMMYFUNCTION("""COMPUTED_VALUE"""),"No")</f>
        <v>No</v>
      </c>
      <c r="AD296" s="5" t="str">
        <f ca="1">IFERROR(__xludf.DUMMYFUNCTION("""COMPUTED_VALUE"""),"No")</f>
        <v>No</v>
      </c>
      <c r="AE296" s="5" t="str">
        <f ca="1">IFERROR(__xludf.DUMMYFUNCTION("""COMPUTED_VALUE"""),"No")</f>
        <v>No</v>
      </c>
      <c r="AF296" s="5" t="str">
        <f ca="1">IFERROR(__xludf.DUMMYFUNCTION("""COMPUTED_VALUE"""),"No")</f>
        <v>No</v>
      </c>
      <c r="AG296" s="5" t="str">
        <f ca="1">IFERROR(__xludf.DUMMYFUNCTION("""COMPUTED_VALUE"""),"No")</f>
        <v>No</v>
      </c>
      <c r="AH296" s="5"/>
      <c r="AI296" s="5"/>
      <c r="AJ296" s="5" t="str">
        <f ca="1">IFERROR(__xludf.DUMMYFUNCTION("""COMPUTED_VALUE"""),"No")</f>
        <v>No</v>
      </c>
    </row>
    <row r="297" spans="1:36" ht="13">
      <c r="A297" s="5" t="str">
        <f ca="1">IFERROR(__xludf.DUMMYFUNCTION("""COMPUTED_VALUE"""),"20220415VAGAW")</f>
        <v>20220415VAGAW</v>
      </c>
      <c r="B297" s="5">
        <f ca="1">IFERROR(__xludf.DUMMYFUNCTION("""COMPUTED_VALUE"""),4)</f>
        <v>4</v>
      </c>
      <c r="C297" s="5">
        <f ca="1">IFERROR(__xludf.DUMMYFUNCTION("""COMPUTED_VALUE"""),15)</f>
        <v>15</v>
      </c>
      <c r="D297" s="5">
        <f ca="1">IFERROR(__xludf.DUMMYFUNCTION("""COMPUTED_VALUE"""),2022)</f>
        <v>2022</v>
      </c>
      <c r="E297" s="8">
        <f ca="1">IFERROR(__xludf.DUMMYFUNCTION("""COMPUTED_VALUE"""),44666)</f>
        <v>44666</v>
      </c>
      <c r="F297" s="5" t="str">
        <f ca="1">IFERROR(__xludf.DUMMYFUNCTION("""COMPUTED_VALUE"""),"Gar-Field High School")</f>
        <v>Gar-Field High School</v>
      </c>
      <c r="G297" s="5">
        <f ca="1">IFERROR(__xludf.DUMMYFUNCTION("""COMPUTED_VALUE"""),0)</f>
        <v>0</v>
      </c>
      <c r="H297" s="5">
        <f ca="1">IFERROR(__xludf.DUMMYFUNCTION("""COMPUTED_VALUE"""),1)</f>
        <v>1</v>
      </c>
      <c r="I297" s="5">
        <f ca="1">IFERROR(__xludf.DUMMYFUNCTION("""COMPUTED_VALUE"""),1)</f>
        <v>1</v>
      </c>
      <c r="J297" s="5">
        <f ca="1">IFERROR(__xludf.DUMMYFUNCTION("""COMPUTED_VALUE"""),0)</f>
        <v>0</v>
      </c>
      <c r="K297" s="5" t="str">
        <f ca="1">IFERROR(__xludf.DUMMYFUNCTION("""COMPUTED_VALUE"""),"https://www.princewilliamtimes.com/news/triangle-teen-charged-in-april-carnival-shooting-outside-gar-field-high-school/article_4c847d4a-6135-11ed-a384-4f7eaa91ee26.html
https://www.fox5dc.com/news/shooting-at-carnival-in-woodbridge-leaves-1-person-injured"&amp;" https://wjla.com/news/local/shooting-at-gar-field-high-school-carnival-in-woodbridge-prince-william-county-police-investigating https://www.insidenova.com/headlines/one-shot-at-gar-field-high-school-carnival/article_c51cf61e-bd26-11ec-bc42-6f454471a261.h"&amp;"tml https://wtop.com/prince-william-county/2022/04/1-wounded-in-shooting-at-a-prince-william-co-high-school/")</f>
        <v>https://www.princewilliamtimes.com/news/triangle-teen-charged-in-april-carnival-shooting-outside-gar-field-high-school/article_4c847d4a-6135-11ed-a384-4f7eaa91ee26.html
https://www.fox5dc.com/news/shooting-at-carnival-in-woodbridge-leaves-1-person-injured https://wjla.com/news/local/shooting-at-gar-field-high-school-carnival-in-woodbridge-prince-william-county-police-investigating https://www.insidenova.com/headlines/one-shot-at-gar-field-high-school-carnival/article_c51cf61e-bd26-11ec-bc42-6f454471a261.html https://wtop.com/prince-william-county/2022/04/1-wounded-in-shooting-at-a-prince-william-co-high-school/</v>
      </c>
      <c r="L297" s="5">
        <f ca="1">IFERROR(__xludf.DUMMYFUNCTION("""COMPUTED_VALUE"""),10)</f>
        <v>10</v>
      </c>
      <c r="M297" s="5" t="str">
        <f ca="1">IFERROR(__xludf.DUMMYFUNCTION("""COMPUTED_VALUE"""),"Regional")</f>
        <v>Regional</v>
      </c>
      <c r="N297" s="5">
        <f ca="1">IFERROR(__xludf.DUMMYFUNCTION("""COMPUTED_VALUE"""),4)</f>
        <v>4</v>
      </c>
      <c r="O297" s="5" t="str">
        <f ca="1">IFERROR(__xludf.DUMMYFUNCTION("""COMPUTED_VALUE"""),"Spring")</f>
        <v>Spring</v>
      </c>
      <c r="P297" s="5" t="str">
        <f ca="1">IFERROR(__xludf.DUMMYFUNCTION("""COMPUTED_VALUE"""),"Woodbridge")</f>
        <v>Woodbridge</v>
      </c>
      <c r="Q297" s="5" t="str">
        <f ca="1">IFERROR(__xludf.DUMMYFUNCTION("""COMPUTED_VALUE"""),"VA")</f>
        <v>VA</v>
      </c>
      <c r="R297" s="5" t="str">
        <f ca="1">IFERROR(__xludf.DUMMYFUNCTION("""COMPUTED_VALUE"""),"High")</f>
        <v>High</v>
      </c>
      <c r="S297" s="5" t="str">
        <f ca="1">IFERROR(__xludf.DUMMYFUNCTION("""COMPUTED_VALUE"""),"Field (General)")</f>
        <v>Field (General)</v>
      </c>
      <c r="T297" s="5" t="str">
        <f ca="1">IFERROR(__xludf.DUMMYFUNCTION("""COMPUTED_VALUE"""),"Outside on School Property")</f>
        <v>Outside on School Property</v>
      </c>
      <c r="U297" s="5" t="str">
        <f ca="1">IFERROR(__xludf.DUMMYFUNCTION("""COMPUTED_VALUE"""),"No")</f>
        <v>No</v>
      </c>
      <c r="V297" s="5" t="str">
        <f ca="1">IFERROR(__xludf.DUMMYFUNCTION("""COMPUTED_VALUE"""),"School Event")</f>
        <v>School Event</v>
      </c>
      <c r="W297" s="10">
        <f ca="1">IFERROR(__xludf.DUMMYFUNCTION("""COMPUTED_VALUE"""),0.895833333333333)</f>
        <v>0.89583333333333304</v>
      </c>
      <c r="X297" s="5">
        <f ca="1">IFERROR(__xludf.DUMMYFUNCTION("""COMPUTED_VALUE"""),1)</f>
        <v>1</v>
      </c>
      <c r="Y297" s="5" t="str">
        <f ca="1">IFERROR(__xludf.DUMMYFUNCTION("""COMPUTED_VALUE"""),"Teenage girl shot in the leg during carnival held at school")</f>
        <v>Teenage girl shot in the leg during carnival held at school</v>
      </c>
      <c r="Z297" s="5" t="str">
        <f ca="1">IFERROR(__xludf.DUMMYFUNCTION("""COMPUTED_VALUE"""),"A teenage girl was shot in the leg and flown to a trauma center following a shooting during a carnival held at the school. Shooting occurred during a large fight and shooter fled. Attendees, many were teenage students, ran from the area when shots were fi"&amp;"red. Police setup a family reunification center at a nearby church.")</f>
        <v>A teenage girl was shot in the leg and flown to a trauma center following a shooting during a carnival held at the school. Shooting occurred during a large fight and shooter fled. Attendees, many were teenage students, ran from the area when shots were fired. Police setup a family reunification center at a nearby church.</v>
      </c>
      <c r="AA297" s="5" t="str">
        <f ca="1">IFERROR(__xludf.DUMMYFUNCTION("""COMPUTED_VALUE"""),"Escalation of Dispute")</f>
        <v>Escalation of Dispute</v>
      </c>
      <c r="AB297" s="5" t="str">
        <f ca="1">IFERROR(__xludf.DUMMYFUNCTION("""COMPUTED_VALUE"""),"Both")</f>
        <v>Both</v>
      </c>
      <c r="AC297" s="5" t="str">
        <f ca="1">IFERROR(__xludf.DUMMYFUNCTION("""COMPUTED_VALUE"""),"No")</f>
        <v>No</v>
      </c>
      <c r="AD297" s="5" t="str">
        <f ca="1">IFERROR(__xludf.DUMMYFUNCTION("""COMPUTED_VALUE"""),"No")</f>
        <v>No</v>
      </c>
      <c r="AE297" s="5" t="str">
        <f ca="1">IFERROR(__xludf.DUMMYFUNCTION("""COMPUTED_VALUE"""),"No")</f>
        <v>No</v>
      </c>
      <c r="AF297" s="5" t="str">
        <f ca="1">IFERROR(__xludf.DUMMYFUNCTION("""COMPUTED_VALUE"""),"No")</f>
        <v>No</v>
      </c>
      <c r="AG297" s="5" t="str">
        <f ca="1">IFERROR(__xludf.DUMMYFUNCTION("""COMPUTED_VALUE"""),"No")</f>
        <v>No</v>
      </c>
      <c r="AH297" s="5" t="str">
        <f ca="1">IFERROR(__xludf.DUMMYFUNCTION("""COMPUTED_VALUE"""),"No")</f>
        <v>No</v>
      </c>
      <c r="AI297" s="5" t="str">
        <f ca="1">IFERROR(__xludf.DUMMYFUNCTION("""COMPUTED_VALUE"""),"No")</f>
        <v>No</v>
      </c>
      <c r="AJ297" s="5" t="str">
        <f ca="1">IFERROR(__xludf.DUMMYFUNCTION("""COMPUTED_VALUE"""),"No")</f>
        <v>No</v>
      </c>
    </row>
    <row r="298" spans="1:36" ht="13">
      <c r="A298" s="5" t="str">
        <f ca="1">IFERROR(__xludf.DUMMYFUNCTION("""COMPUTED_VALUE"""),"20220414MSNEP")</f>
        <v>20220414MSNEP</v>
      </c>
      <c r="B298" s="5">
        <f ca="1">IFERROR(__xludf.DUMMYFUNCTION("""COMPUTED_VALUE"""),4)</f>
        <v>4</v>
      </c>
      <c r="C298" s="5">
        <f ca="1">IFERROR(__xludf.DUMMYFUNCTION("""COMPUTED_VALUE"""),14)</f>
        <v>14</v>
      </c>
      <c r="D298" s="5">
        <f ca="1">IFERROR(__xludf.DUMMYFUNCTION("""COMPUTED_VALUE"""),2022)</f>
        <v>2022</v>
      </c>
      <c r="E298" s="8">
        <f ca="1">IFERROR(__xludf.DUMMYFUNCTION("""COMPUTED_VALUE"""),44665)</f>
        <v>44665</v>
      </c>
      <c r="F298" s="5" t="str">
        <f ca="1">IFERROR(__xludf.DUMMYFUNCTION("""COMPUTED_VALUE"""),"Neshoba Central High School")</f>
        <v>Neshoba Central High School</v>
      </c>
      <c r="G298" s="5">
        <f ca="1">IFERROR(__xludf.DUMMYFUNCTION("""COMPUTED_VALUE"""),0)</f>
        <v>0</v>
      </c>
      <c r="H298" s="5">
        <f ca="1">IFERROR(__xludf.DUMMYFUNCTION("""COMPUTED_VALUE"""),2)</f>
        <v>2</v>
      </c>
      <c r="I298" s="5">
        <f ca="1">IFERROR(__xludf.DUMMYFUNCTION("""COMPUTED_VALUE"""),2)</f>
        <v>2</v>
      </c>
      <c r="J298" s="5">
        <f ca="1">IFERROR(__xludf.DUMMYFUNCTION("""COMPUTED_VALUE"""),0)</f>
        <v>0</v>
      </c>
      <c r="K298" s="9" t="str">
        <f ca="1">IFERROR(__xludf.DUMMYFUNCTION("""COMPUTED_VALUE"""),"https://www.wtok.com/2022/04/15/three-students-shot-with-high-powered-air-rifles-neshoba-central/")</f>
        <v>https://www.wtok.com/2022/04/15/three-students-shot-with-high-powered-air-rifles-neshoba-central/</v>
      </c>
      <c r="L298" s="5">
        <f ca="1">IFERROR(__xludf.DUMMYFUNCTION("""COMPUTED_VALUE"""),1)</f>
        <v>1</v>
      </c>
      <c r="M298" s="5" t="str">
        <f ca="1">IFERROR(__xludf.DUMMYFUNCTION("""COMPUTED_VALUE"""),"Local")</f>
        <v>Local</v>
      </c>
      <c r="N298" s="5">
        <f ca="1">IFERROR(__xludf.DUMMYFUNCTION("""COMPUTED_VALUE"""),4)</f>
        <v>4</v>
      </c>
      <c r="O298" s="5" t="str">
        <f ca="1">IFERROR(__xludf.DUMMYFUNCTION("""COMPUTED_VALUE"""),"Spring")</f>
        <v>Spring</v>
      </c>
      <c r="P298" s="5" t="str">
        <f ca="1">IFERROR(__xludf.DUMMYFUNCTION("""COMPUTED_VALUE"""),"Philadelphia")</f>
        <v>Philadelphia</v>
      </c>
      <c r="Q298" s="5" t="str">
        <f ca="1">IFERROR(__xludf.DUMMYFUNCTION("""COMPUTED_VALUE"""),"MS")</f>
        <v>MS</v>
      </c>
      <c r="R298" s="5" t="str">
        <f ca="1">IFERROR(__xludf.DUMMYFUNCTION("""COMPUTED_VALUE"""),"High")</f>
        <v>High</v>
      </c>
      <c r="S298" s="5" t="str">
        <f ca="1">IFERROR(__xludf.DUMMYFUNCTION("""COMPUTED_VALUE"""),"Football Field/Track")</f>
        <v>Football Field/Track</v>
      </c>
      <c r="T298" s="5" t="str">
        <f ca="1">IFERROR(__xludf.DUMMYFUNCTION("""COMPUTED_VALUE"""),"Outside on School Property")</f>
        <v>Outside on School Property</v>
      </c>
      <c r="U298" s="5" t="str">
        <f ca="1">IFERROR(__xludf.DUMMYFUNCTION("""COMPUTED_VALUE"""),"Yes")</f>
        <v>Yes</v>
      </c>
      <c r="V298" s="5" t="str">
        <f ca="1">IFERROR(__xludf.DUMMYFUNCTION("""COMPUTED_VALUE"""),"Lunch")</f>
        <v>Lunch</v>
      </c>
      <c r="W298" s="10">
        <f ca="1">IFERROR(__xludf.DUMMYFUNCTION("""COMPUTED_VALUE"""),0.510416666666666)</f>
        <v>0.51041666666666596</v>
      </c>
      <c r="X298" s="5">
        <f ca="1">IFERROR(__xludf.DUMMYFUNCTION("""COMPUTED_VALUE"""),1)</f>
        <v>1</v>
      </c>
      <c r="Y298" s="5" t="str">
        <f ca="1">IFERROR(__xludf.DUMMYFUNCTION("""COMPUTED_VALUE"""),"3 teens fired high powered pellet guns at football team during practice")</f>
        <v>3 teens fired high powered pellet guns at football team during practice</v>
      </c>
      <c r="Z298" s="5" t="str">
        <f ca="1">IFERROR(__xludf.DUMMYFUNCTION("""COMPUTED_VALUE"""),"Three teens from rival high school fired high powered pellet guns at the football team during practice. The teens were hiding in the trees near the field and left the rifles when they ran from the area. All three arrested and charged with aggravated assau"&amp;"lt. One player was transported to the hospital with a pellet lodged in his neck.")</f>
        <v>Three teens from rival high school fired high powered pellet guns at the football team during practice. The teens were hiding in the trees near the field and left the rifles when they ran from the area. All three arrested and charged with aggravated assault. One player was transported to the hospital with a pellet lodged in his neck.</v>
      </c>
      <c r="AA298" s="5" t="str">
        <f ca="1">IFERROR(__xludf.DUMMYFUNCTION("""COMPUTED_VALUE"""),"Indiscriminate Shooting")</f>
        <v>Indiscriminate Shooting</v>
      </c>
      <c r="AB298" s="5" t="str">
        <f ca="1">IFERROR(__xludf.DUMMYFUNCTION("""COMPUTED_VALUE"""),"Random Shooting")</f>
        <v>Random Shooting</v>
      </c>
      <c r="AC298" s="5" t="str">
        <f ca="1">IFERROR(__xludf.DUMMYFUNCTION("""COMPUTED_VALUE"""),"Yes")</f>
        <v>Yes</v>
      </c>
      <c r="AD298" s="5" t="str">
        <f ca="1">IFERROR(__xludf.DUMMYFUNCTION("""COMPUTED_VALUE"""),"No")</f>
        <v>No</v>
      </c>
      <c r="AE298" s="5" t="str">
        <f ca="1">IFERROR(__xludf.DUMMYFUNCTION("""COMPUTED_VALUE"""),"No")</f>
        <v>No</v>
      </c>
      <c r="AF298" s="5" t="str">
        <f ca="1">IFERROR(__xludf.DUMMYFUNCTION("""COMPUTED_VALUE"""),"No")</f>
        <v>No</v>
      </c>
      <c r="AG298" s="5" t="str">
        <f ca="1">IFERROR(__xludf.DUMMYFUNCTION("""COMPUTED_VALUE"""),"No")</f>
        <v>No</v>
      </c>
      <c r="AH298" s="5" t="str">
        <f ca="1">IFERROR(__xludf.DUMMYFUNCTION("""COMPUTED_VALUE"""),"No")</f>
        <v>No</v>
      </c>
      <c r="AI298" s="5" t="str">
        <f ca="1">IFERROR(__xludf.DUMMYFUNCTION("""COMPUTED_VALUE"""),"No")</f>
        <v>No</v>
      </c>
      <c r="AJ298" s="5" t="str">
        <f ca="1">IFERROR(__xludf.DUMMYFUNCTION("""COMPUTED_VALUE"""),"No")</f>
        <v>No</v>
      </c>
    </row>
    <row r="299" spans="1:36" ht="13">
      <c r="A299" s="5" t="str">
        <f ca="1">IFERROR(__xludf.DUMMYFUNCTION("""COMPUTED_VALUE"""),"20220413MISHS")</f>
        <v>20220413MISHS</v>
      </c>
      <c r="B299" s="5">
        <f ca="1">IFERROR(__xludf.DUMMYFUNCTION("""COMPUTED_VALUE"""),4)</f>
        <v>4</v>
      </c>
      <c r="C299" s="5">
        <f ca="1">IFERROR(__xludf.DUMMYFUNCTION("""COMPUTED_VALUE"""),13)</f>
        <v>13</v>
      </c>
      <c r="D299" s="5">
        <f ca="1">IFERROR(__xludf.DUMMYFUNCTION("""COMPUTED_VALUE"""),2022)</f>
        <v>2022</v>
      </c>
      <c r="E299" s="8">
        <f ca="1">IFERROR(__xludf.DUMMYFUNCTION("""COMPUTED_VALUE"""),44664)</f>
        <v>44664</v>
      </c>
      <c r="F299" s="5" t="str">
        <f ca="1">IFERROR(__xludf.DUMMYFUNCTION("""COMPUTED_VALUE"""),"Shelters Elementary School")</f>
        <v>Shelters Elementary School</v>
      </c>
      <c r="G299" s="5">
        <f ca="1">IFERROR(__xludf.DUMMYFUNCTION("""COMPUTED_VALUE"""),0)</f>
        <v>0</v>
      </c>
      <c r="H299" s="5">
        <f ca="1">IFERROR(__xludf.DUMMYFUNCTION("""COMPUTED_VALUE"""),0)</f>
        <v>0</v>
      </c>
      <c r="I299" s="5">
        <f ca="1">IFERROR(__xludf.DUMMYFUNCTION("""COMPUTED_VALUE"""),0)</f>
        <v>0</v>
      </c>
      <c r="J299" s="5">
        <f ca="1">IFERROR(__xludf.DUMMYFUNCTION("""COMPUTED_VALUE"""),0)</f>
        <v>0</v>
      </c>
      <c r="K299" s="9" t="str">
        <f ca="1">IFERROR(__xludf.DUMMYFUNCTION("""COMPUTED_VALUE"""),"https://www.clickondetroit.com/news/local/2022/04/13/11-year-old-shoots-fellow-student-with-bb-gun-during-recess-at-elementary-school-in-southgate/")</f>
        <v>https://www.clickondetroit.com/news/local/2022/04/13/11-year-old-shoots-fellow-student-with-bb-gun-during-recess-at-elementary-school-in-southgate/</v>
      </c>
      <c r="L299" s="5">
        <f ca="1">IFERROR(__xludf.DUMMYFUNCTION("""COMPUTED_VALUE"""),1)</f>
        <v>1</v>
      </c>
      <c r="M299" s="5" t="str">
        <f ca="1">IFERROR(__xludf.DUMMYFUNCTION("""COMPUTED_VALUE"""),"Local")</f>
        <v>Local</v>
      </c>
      <c r="N299" s="5">
        <f ca="1">IFERROR(__xludf.DUMMYFUNCTION("""COMPUTED_VALUE"""),4)</f>
        <v>4</v>
      </c>
      <c r="O299" s="5" t="str">
        <f ca="1">IFERROR(__xludf.DUMMYFUNCTION("""COMPUTED_VALUE"""),"Spring")</f>
        <v>Spring</v>
      </c>
      <c r="P299" s="5" t="str">
        <f ca="1">IFERROR(__xludf.DUMMYFUNCTION("""COMPUTED_VALUE"""),"Southgate")</f>
        <v>Southgate</v>
      </c>
      <c r="Q299" s="5" t="str">
        <f ca="1">IFERROR(__xludf.DUMMYFUNCTION("""COMPUTED_VALUE"""),"MI")</f>
        <v>MI</v>
      </c>
      <c r="R299" s="5" t="str">
        <f ca="1">IFERROR(__xludf.DUMMYFUNCTION("""COMPUTED_VALUE"""),"Elementary")</f>
        <v>Elementary</v>
      </c>
      <c r="S299" s="5" t="str">
        <f ca="1">IFERROR(__xludf.DUMMYFUNCTION("""COMPUTED_VALUE"""),"Playground")</f>
        <v>Playground</v>
      </c>
      <c r="T299" s="5" t="str">
        <f ca="1">IFERROR(__xludf.DUMMYFUNCTION("""COMPUTED_VALUE"""),"Outside on School Property")</f>
        <v>Outside on School Property</v>
      </c>
      <c r="U299" s="5" t="str">
        <f ca="1">IFERROR(__xludf.DUMMYFUNCTION("""COMPUTED_VALUE"""),"Yes")</f>
        <v>Yes</v>
      </c>
      <c r="V299" s="5" t="str">
        <f ca="1">IFERROR(__xludf.DUMMYFUNCTION("""COMPUTED_VALUE"""),"Afternoon Classes")</f>
        <v>Afternoon Classes</v>
      </c>
      <c r="W299" s="10">
        <f ca="1">IFERROR(__xludf.DUMMYFUNCTION("""COMPUTED_VALUE"""),0.541666666666666)</f>
        <v>0.54166666666666596</v>
      </c>
      <c r="X299" s="5">
        <f ca="1">IFERROR(__xludf.DUMMYFUNCTION("""COMPUTED_VALUE"""),1)</f>
        <v>1</v>
      </c>
      <c r="Y299" s="5" t="str">
        <f ca="1">IFERROR(__xludf.DUMMYFUNCTION("""COMPUTED_VALUE"""),"Student shot another student with a BB gun during recess")</f>
        <v>Student shot another student with a BB gun during recess</v>
      </c>
      <c r="Z299" s="5" t="str">
        <f ca="1">IFERROR(__xludf.DUMMYFUNCTION("""COMPUTED_VALUE"""),"An 11-year-old male student shot a classmate on the playground during recess with a BB gun that was a replica of a real handgun. Student was detained by the SRO. Criminal charges pending.")</f>
        <v>An 11-year-old male student shot a classmate on the playground during recess with a BB gun that was a replica of a real handgun. Student was detained by the SRO. Criminal charges pending.</v>
      </c>
      <c r="AA299" s="5"/>
      <c r="AB299" s="5" t="str">
        <f ca="1">IFERROR(__xludf.DUMMYFUNCTION("""COMPUTED_VALUE"""),"Victims Targeted")</f>
        <v>Victims Targeted</v>
      </c>
      <c r="AC299" s="5" t="str">
        <f ca="1">IFERROR(__xludf.DUMMYFUNCTION("""COMPUTED_VALUE"""),"No")</f>
        <v>No</v>
      </c>
      <c r="AD299" s="5" t="str">
        <f ca="1">IFERROR(__xludf.DUMMYFUNCTION("""COMPUTED_VALUE"""),"No")</f>
        <v>No</v>
      </c>
      <c r="AE299" s="5" t="str">
        <f ca="1">IFERROR(__xludf.DUMMYFUNCTION("""COMPUTED_VALUE"""),"No")</f>
        <v>No</v>
      </c>
      <c r="AF299" s="5" t="str">
        <f ca="1">IFERROR(__xludf.DUMMYFUNCTION("""COMPUTED_VALUE"""),"No")</f>
        <v>No</v>
      </c>
      <c r="AG299" s="5"/>
      <c r="AH299" s="5" t="str">
        <f ca="1">IFERROR(__xludf.DUMMYFUNCTION("""COMPUTED_VALUE"""),"No")</f>
        <v>No</v>
      </c>
      <c r="AI299" s="5" t="str">
        <f ca="1">IFERROR(__xludf.DUMMYFUNCTION("""COMPUTED_VALUE"""),"No")</f>
        <v>No</v>
      </c>
      <c r="AJ299" s="5" t="str">
        <f ca="1">IFERROR(__xludf.DUMMYFUNCTION("""COMPUTED_VALUE"""),"No")</f>
        <v>No</v>
      </c>
    </row>
    <row r="300" spans="1:36" ht="13">
      <c r="A300" s="5" t="str">
        <f ca="1">IFERROR(__xludf.DUMMYFUNCTION("""COMPUTED_VALUE"""),"20220411ARPIP")</f>
        <v>20220411ARPIP</v>
      </c>
      <c r="B300" s="5">
        <f ca="1">IFERROR(__xludf.DUMMYFUNCTION("""COMPUTED_VALUE"""),4)</f>
        <v>4</v>
      </c>
      <c r="C300" s="5">
        <f ca="1">IFERROR(__xludf.DUMMYFUNCTION("""COMPUTED_VALUE"""),11)</f>
        <v>11</v>
      </c>
      <c r="D300" s="5">
        <f ca="1">IFERROR(__xludf.DUMMYFUNCTION("""COMPUTED_VALUE"""),2022)</f>
        <v>2022</v>
      </c>
      <c r="E300" s="8">
        <f ca="1">IFERROR(__xludf.DUMMYFUNCTION("""COMPUTED_VALUE"""),44662)</f>
        <v>44662</v>
      </c>
      <c r="F300" s="5" t="str">
        <f ca="1">IFERROR(__xludf.DUMMYFUNCTION("""COMPUTED_VALUE"""),"Pine Bluff High School")</f>
        <v>Pine Bluff High School</v>
      </c>
      <c r="G300" s="5">
        <f ca="1">IFERROR(__xludf.DUMMYFUNCTION("""COMPUTED_VALUE"""),0)</f>
        <v>0</v>
      </c>
      <c r="H300" s="5">
        <f ca="1">IFERROR(__xludf.DUMMYFUNCTION("""COMPUTED_VALUE"""),0)</f>
        <v>0</v>
      </c>
      <c r="I300" s="5">
        <f ca="1">IFERROR(__xludf.DUMMYFUNCTION("""COMPUTED_VALUE"""),0)</f>
        <v>0</v>
      </c>
      <c r="J300" s="5">
        <f ca="1">IFERROR(__xludf.DUMMYFUNCTION("""COMPUTED_VALUE"""),0)</f>
        <v>0</v>
      </c>
      <c r="K300" s="5" t="str">
        <f ca="1">IFERROR(__xludf.DUMMYFUNCTION("""COMPUTED_VALUE"""),"https://katv.com/news/local/gunshots-fired-at-pine-bluff-high-school-pbhs-police-department-pbpd-male-juvenile-officer-parking-lot-south-mcgeorge-building-southern-edge-campus-person-property-gunfire-lockdown-protocol-press-release-lieutenant-david-de-foo"&amp;"r https://www.kark.com/news/local-news/police-shots-fired-at-pine-bluff-high-school-campus-no-known-injuries/")</f>
        <v>https://katv.com/news/local/gunshots-fired-at-pine-bluff-high-school-pbhs-police-department-pbpd-male-juvenile-officer-parking-lot-south-mcgeorge-building-southern-edge-campus-person-property-gunfire-lockdown-protocol-press-release-lieutenant-david-de-foor https://www.kark.com/news/local-news/police-shots-fired-at-pine-bluff-high-school-campus-no-known-injuries/</v>
      </c>
      <c r="L300" s="5">
        <f ca="1">IFERROR(__xludf.DUMMYFUNCTION("""COMPUTED_VALUE"""),2)</f>
        <v>2</v>
      </c>
      <c r="M300" s="5" t="str">
        <f ca="1">IFERROR(__xludf.DUMMYFUNCTION("""COMPUTED_VALUE"""),"Local")</f>
        <v>Local</v>
      </c>
      <c r="N300" s="5">
        <f ca="1">IFERROR(__xludf.DUMMYFUNCTION("""COMPUTED_VALUE"""),3)</f>
        <v>3</v>
      </c>
      <c r="O300" s="5" t="str">
        <f ca="1">IFERROR(__xludf.DUMMYFUNCTION("""COMPUTED_VALUE"""),"Spring")</f>
        <v>Spring</v>
      </c>
      <c r="P300" s="5" t="str">
        <f ca="1">IFERROR(__xludf.DUMMYFUNCTION("""COMPUTED_VALUE"""),"Pine Bluff")</f>
        <v>Pine Bluff</v>
      </c>
      <c r="Q300" s="5" t="str">
        <f ca="1">IFERROR(__xludf.DUMMYFUNCTION("""COMPUTED_VALUE"""),"AR")</f>
        <v>AR</v>
      </c>
      <c r="R300" s="5" t="str">
        <f ca="1">IFERROR(__xludf.DUMMYFUNCTION("""COMPUTED_VALUE"""),"High")</f>
        <v>High</v>
      </c>
      <c r="S300" s="5" t="str">
        <f ca="1">IFERROR(__xludf.DUMMYFUNCTION("""COMPUTED_VALUE"""),"Parking Lot")</f>
        <v>Parking Lot</v>
      </c>
      <c r="T300" s="5" t="str">
        <f ca="1">IFERROR(__xludf.DUMMYFUNCTION("""COMPUTED_VALUE"""),"Outside on School Property")</f>
        <v>Outside on School Property</v>
      </c>
      <c r="U300" s="5" t="str">
        <f ca="1">IFERROR(__xludf.DUMMYFUNCTION("""COMPUTED_VALUE"""),"Yes")</f>
        <v>Yes</v>
      </c>
      <c r="V300" s="5" t="str">
        <f ca="1">IFERROR(__xludf.DUMMYFUNCTION("""COMPUTED_VALUE"""),"Afternoon Classes")</f>
        <v>Afternoon Classes</v>
      </c>
      <c r="W300" s="10">
        <f ca="1">IFERROR(__xludf.DUMMYFUNCTION("""COMPUTED_VALUE"""),0.614583333333333)</f>
        <v>0.61458333333333304</v>
      </c>
      <c r="X300" s="5">
        <f ca="1">IFERROR(__xludf.DUMMYFUNCTION("""COMPUTED_VALUE"""),1)</f>
        <v>1</v>
      </c>
      <c r="Y300" s="5" t="str">
        <f ca="1">IFERROR(__xludf.DUMMYFUNCTION("""COMPUTED_VALUE"""),"Officer assigned school heard gunshots in parking lot")</f>
        <v>Officer assigned school heard gunshots in parking lot</v>
      </c>
      <c r="Z300" s="5" t="str">
        <f ca="1">IFERROR(__xludf.DUMMYFUNCTION("""COMPUTED_VALUE"""),"Off duty police officer working at the school heard gunshots fired in the parking lot. School went on lockdown. No victims. An unidentified juvenile was detained.")</f>
        <v>Off duty police officer working at the school heard gunshots fired in the parking lot. School went on lockdown. No victims. An unidentified juvenile was detained.</v>
      </c>
      <c r="AA300" s="5"/>
      <c r="AB300" s="5"/>
      <c r="AC300" s="5" t="str">
        <f ca="1">IFERROR(__xludf.DUMMYFUNCTION("""COMPUTED_VALUE"""),"No")</f>
        <v>No</v>
      </c>
      <c r="AD300" s="5" t="str">
        <f ca="1">IFERROR(__xludf.DUMMYFUNCTION("""COMPUTED_VALUE"""),"No")</f>
        <v>No</v>
      </c>
      <c r="AE300" s="5" t="str">
        <f ca="1">IFERROR(__xludf.DUMMYFUNCTION("""COMPUTED_VALUE"""),"No")</f>
        <v>No</v>
      </c>
      <c r="AF300" s="5" t="str">
        <f ca="1">IFERROR(__xludf.DUMMYFUNCTION("""COMPUTED_VALUE"""),"No")</f>
        <v>No</v>
      </c>
      <c r="AG300" s="5" t="str">
        <f ca="1">IFERROR(__xludf.DUMMYFUNCTION("""COMPUTED_VALUE"""),"No")</f>
        <v>No</v>
      </c>
      <c r="AH300" s="5" t="str">
        <f ca="1">IFERROR(__xludf.DUMMYFUNCTION("""COMPUTED_VALUE"""),"No")</f>
        <v>No</v>
      </c>
      <c r="AI300" s="5"/>
      <c r="AJ300" s="5" t="str">
        <f ca="1">IFERROR(__xludf.DUMMYFUNCTION("""COMPUTED_VALUE"""),"No")</f>
        <v>No</v>
      </c>
    </row>
    <row r="301" spans="1:36" ht="13">
      <c r="A301" s="5" t="str">
        <f ca="1">IFERROR(__xludf.DUMMYFUNCTION("""COMPUTED_VALUE"""),"20220410MALYL")</f>
        <v>20220410MALYL</v>
      </c>
      <c r="B301" s="5">
        <f ca="1">IFERROR(__xludf.DUMMYFUNCTION("""COMPUTED_VALUE"""),4)</f>
        <v>4</v>
      </c>
      <c r="C301" s="5">
        <f ca="1">IFERROR(__xludf.DUMMYFUNCTION("""COMPUTED_VALUE"""),10)</f>
        <v>10</v>
      </c>
      <c r="D301" s="5">
        <f ca="1">IFERROR(__xludf.DUMMYFUNCTION("""COMPUTED_VALUE"""),2022)</f>
        <v>2022</v>
      </c>
      <c r="E301" s="8">
        <f ca="1">IFERROR(__xludf.DUMMYFUNCTION("""COMPUTED_VALUE"""),44661)</f>
        <v>44661</v>
      </c>
      <c r="F301" s="5" t="str">
        <f ca="1">IFERROR(__xludf.DUMMYFUNCTION("""COMPUTED_VALUE"""),"Lynn English High School")</f>
        <v>Lynn English High School</v>
      </c>
      <c r="G301" s="5">
        <f ca="1">IFERROR(__xludf.DUMMYFUNCTION("""COMPUTED_VALUE"""),1)</f>
        <v>1</v>
      </c>
      <c r="H301" s="5">
        <f ca="1">IFERROR(__xludf.DUMMYFUNCTION("""COMPUTED_VALUE"""),0)</f>
        <v>0</v>
      </c>
      <c r="I301" s="5">
        <f ca="1">IFERROR(__xludf.DUMMYFUNCTION("""COMPUTED_VALUE"""),1)</f>
        <v>1</v>
      </c>
      <c r="J301" s="5">
        <f ca="1">IFERROR(__xludf.DUMMYFUNCTION("""COMPUTED_VALUE"""),0)</f>
        <v>0</v>
      </c>
      <c r="K301" s="5" t="str">
        <f ca="1">IFERROR(__xludf.DUMMYFUNCTION("""COMPUTED_VALUE"""),"https://www.bostonglobe.com/2022/04/10/metro/20-year-old-man-found-dead-lynn-after-report-gunshots-near-english-high-school/ https://www.nbcboston.com/news/local/one-killed-in-lynn-shooting/2690435/")</f>
        <v>https://www.bostonglobe.com/2022/04/10/metro/20-year-old-man-found-dead-lynn-after-report-gunshots-near-english-high-school/ https://www.nbcboston.com/news/local/one-killed-in-lynn-shooting/2690435/</v>
      </c>
      <c r="L301" s="5">
        <f ca="1">IFERROR(__xludf.DUMMYFUNCTION("""COMPUTED_VALUE"""),5)</f>
        <v>5</v>
      </c>
      <c r="M301" s="5" t="str">
        <f ca="1">IFERROR(__xludf.DUMMYFUNCTION("""COMPUTED_VALUE"""),"Regional")</f>
        <v>Regional</v>
      </c>
      <c r="N301" s="5">
        <f ca="1">IFERROR(__xludf.DUMMYFUNCTION("""COMPUTED_VALUE"""),4)</f>
        <v>4</v>
      </c>
      <c r="O301" s="5" t="str">
        <f ca="1">IFERROR(__xludf.DUMMYFUNCTION("""COMPUTED_VALUE"""),"Spring")</f>
        <v>Spring</v>
      </c>
      <c r="P301" s="5" t="str">
        <f ca="1">IFERROR(__xludf.DUMMYFUNCTION("""COMPUTED_VALUE"""),"Lynn")</f>
        <v>Lynn</v>
      </c>
      <c r="Q301" s="5" t="str">
        <f ca="1">IFERROR(__xludf.DUMMYFUNCTION("""COMPUTED_VALUE"""),"MA")</f>
        <v>MA</v>
      </c>
      <c r="R301" s="5" t="str">
        <f ca="1">IFERROR(__xludf.DUMMYFUNCTION("""COMPUTED_VALUE"""),"High")</f>
        <v>High</v>
      </c>
      <c r="S301" s="5" t="str">
        <f ca="1">IFERROR(__xludf.DUMMYFUNCTION("""COMPUTED_VALUE"""),"Parking Lot")</f>
        <v>Parking Lot</v>
      </c>
      <c r="T301" s="5" t="str">
        <f ca="1">IFERROR(__xludf.DUMMYFUNCTION("""COMPUTED_VALUE"""),"Outside on School Property")</f>
        <v>Outside on School Property</v>
      </c>
      <c r="U301" s="5" t="str">
        <f ca="1">IFERROR(__xludf.DUMMYFUNCTION("""COMPUTED_VALUE"""),"No")</f>
        <v>No</v>
      </c>
      <c r="V301" s="5" t="str">
        <f ca="1">IFERROR(__xludf.DUMMYFUNCTION("""COMPUTED_VALUE"""),"Night")</f>
        <v>Night</v>
      </c>
      <c r="W301" s="10">
        <f ca="1">IFERROR(__xludf.DUMMYFUNCTION("""COMPUTED_VALUE"""),0.0416666666666666)</f>
        <v>4.1666666666666602E-2</v>
      </c>
      <c r="X301" s="5">
        <f ca="1">IFERROR(__xludf.DUMMYFUNCTION("""COMPUTED_VALUE"""),1)</f>
        <v>1</v>
      </c>
      <c r="Y301" s="5" t="str">
        <f ca="1">IFERROR(__xludf.DUMMYFUNCTION("""COMPUTED_VALUE"""),"Man fatally shot near the loading dock behind the school")</f>
        <v>Man fatally shot near the loading dock behind the school</v>
      </c>
      <c r="Z301" s="5" t="str">
        <f ca="1">IFERROR(__xludf.DUMMYFUNCTION("""COMPUTED_VALUE"""),"A 20-year-old man was fatally shot 4 times near the loading dock in the parking lot behind the school. Neighbors heard the shots and called police. Shooter fled.")</f>
        <v>A 20-year-old man was fatally shot 4 times near the loading dock in the parking lot behind the school. Neighbors heard the shots and called police. Shooter fled.</v>
      </c>
      <c r="AA301" s="5"/>
      <c r="AB301" s="5" t="str">
        <f ca="1">IFERROR(__xludf.DUMMYFUNCTION("""COMPUTED_VALUE"""),"Victims Targeted")</f>
        <v>Victims Targeted</v>
      </c>
      <c r="AC301" s="5" t="str">
        <f ca="1">IFERROR(__xludf.DUMMYFUNCTION("""COMPUTED_VALUE"""),"No")</f>
        <v>No</v>
      </c>
      <c r="AD301" s="5" t="str">
        <f ca="1">IFERROR(__xludf.DUMMYFUNCTION("""COMPUTED_VALUE"""),"No")</f>
        <v>No</v>
      </c>
      <c r="AE301" s="5" t="str">
        <f ca="1">IFERROR(__xludf.DUMMYFUNCTION("""COMPUTED_VALUE"""),"No")</f>
        <v>No</v>
      </c>
      <c r="AF301" s="5" t="str">
        <f ca="1">IFERROR(__xludf.DUMMYFUNCTION("""COMPUTED_VALUE"""),"No")</f>
        <v>No</v>
      </c>
      <c r="AG301" s="5" t="str">
        <f ca="1">IFERROR(__xludf.DUMMYFUNCTION("""COMPUTED_VALUE"""),"No")</f>
        <v>No</v>
      </c>
      <c r="AH301" s="5" t="str">
        <f ca="1">IFERROR(__xludf.DUMMYFUNCTION("""COMPUTED_VALUE"""),"No")</f>
        <v>No</v>
      </c>
      <c r="AI301" s="5"/>
      <c r="AJ301" s="5" t="str">
        <f ca="1">IFERROR(__xludf.DUMMYFUNCTION("""COMPUTED_VALUE"""),"No")</f>
        <v>No</v>
      </c>
    </row>
    <row r="302" spans="1:36" ht="13">
      <c r="A302" s="5" t="str">
        <f ca="1">IFERROR(__xludf.DUMMYFUNCTION("""COMPUTED_VALUE"""),"20220406WASTM")</f>
        <v>20220406WASTM</v>
      </c>
      <c r="B302" s="5">
        <f ca="1">IFERROR(__xludf.DUMMYFUNCTION("""COMPUTED_VALUE"""),4)</f>
        <v>4</v>
      </c>
      <c r="C302" s="5">
        <f ca="1">IFERROR(__xludf.DUMMYFUNCTION("""COMPUTED_VALUE"""),6)</f>
        <v>6</v>
      </c>
      <c r="D302" s="5">
        <f ca="1">IFERROR(__xludf.DUMMYFUNCTION("""COMPUTED_VALUE"""),2022)</f>
        <v>2022</v>
      </c>
      <c r="E302" s="8">
        <f ca="1">IFERROR(__xludf.DUMMYFUNCTION("""COMPUTED_VALUE"""),44657)</f>
        <v>44657</v>
      </c>
      <c r="F302" s="5" t="str">
        <f ca="1">IFERROR(__xludf.DUMMYFUNCTION("""COMPUTED_VALUE"""),"St. Monica Catholic School")</f>
        <v>St. Monica Catholic School</v>
      </c>
      <c r="G302" s="5">
        <f ca="1">IFERROR(__xludf.DUMMYFUNCTION("""COMPUTED_VALUE"""),0)</f>
        <v>0</v>
      </c>
      <c r="H302" s="5">
        <f ca="1">IFERROR(__xludf.DUMMYFUNCTION("""COMPUTED_VALUE"""),0)</f>
        <v>0</v>
      </c>
      <c r="I302" s="5">
        <f ca="1">IFERROR(__xludf.DUMMYFUNCTION("""COMPUTED_VALUE"""),0)</f>
        <v>0</v>
      </c>
      <c r="J302" s="5">
        <f ca="1">IFERROR(__xludf.DUMMYFUNCTION("""COMPUTED_VALUE"""),0)</f>
        <v>0</v>
      </c>
      <c r="K302" s="9" t="str">
        <f ca="1">IFERROR(__xludf.DUMMYFUNCTION("""COMPUTED_VALUE"""),"https://www.mi-reporter.com/news/island-police-investigating-possible-pellet-gun-shooting-on-school-playfield/")</f>
        <v>https://www.mi-reporter.com/news/island-police-investigating-possible-pellet-gun-shooting-on-school-playfield/</v>
      </c>
      <c r="L302" s="5">
        <f ca="1">IFERROR(__xludf.DUMMYFUNCTION("""COMPUTED_VALUE"""),1)</f>
        <v>1</v>
      </c>
      <c r="M302" s="5" t="str">
        <f ca="1">IFERROR(__xludf.DUMMYFUNCTION("""COMPUTED_VALUE"""),"Local")</f>
        <v>Local</v>
      </c>
      <c r="N302" s="5">
        <f ca="1">IFERROR(__xludf.DUMMYFUNCTION("""COMPUTED_VALUE"""),3)</f>
        <v>3</v>
      </c>
      <c r="O302" s="5" t="str">
        <f ca="1">IFERROR(__xludf.DUMMYFUNCTION("""COMPUTED_VALUE"""),"Spring")</f>
        <v>Spring</v>
      </c>
      <c r="P302" s="5" t="str">
        <f ca="1">IFERROR(__xludf.DUMMYFUNCTION("""COMPUTED_VALUE"""),"Mercer Island")</f>
        <v>Mercer Island</v>
      </c>
      <c r="Q302" s="5" t="str">
        <f ca="1">IFERROR(__xludf.DUMMYFUNCTION("""COMPUTED_VALUE"""),"WA")</f>
        <v>WA</v>
      </c>
      <c r="R302" s="5" t="str">
        <f ca="1">IFERROR(__xludf.DUMMYFUNCTION("""COMPUTED_VALUE"""),"Elementary")</f>
        <v>Elementary</v>
      </c>
      <c r="S302" s="5" t="str">
        <f ca="1">IFERROR(__xludf.DUMMYFUNCTION("""COMPUTED_VALUE"""),"Playground")</f>
        <v>Playground</v>
      </c>
      <c r="T302" s="5" t="str">
        <f ca="1">IFERROR(__xludf.DUMMYFUNCTION("""COMPUTED_VALUE"""),"Outside on School Property")</f>
        <v>Outside on School Property</v>
      </c>
      <c r="U302" s="5" t="str">
        <f ca="1">IFERROR(__xludf.DUMMYFUNCTION("""COMPUTED_VALUE"""),"Yes")</f>
        <v>Yes</v>
      </c>
      <c r="V302" s="5" t="str">
        <f ca="1">IFERROR(__xludf.DUMMYFUNCTION("""COMPUTED_VALUE"""),"Afternoon Classes")</f>
        <v>Afternoon Classes</v>
      </c>
      <c r="W302" s="10">
        <f ca="1">IFERROR(__xludf.DUMMYFUNCTION("""COMPUTED_VALUE"""),0.5625)</f>
        <v>0.5625</v>
      </c>
      <c r="X302" s="5">
        <f ca="1">IFERROR(__xludf.DUMMYFUNCTION("""COMPUTED_VALUE"""),1)</f>
        <v>1</v>
      </c>
      <c r="Y302" s="5" t="str">
        <f ca="1">IFERROR(__xludf.DUMMYFUNCTION("""COMPUTED_VALUE"""),"Pellet gun fired from vehicle at students on the playground")</f>
        <v>Pellet gun fired from vehicle at students on the playground</v>
      </c>
      <c r="Z302" s="5" t="str">
        <f ca="1">IFERROR(__xludf.DUMMYFUNCTION("""COMPUTED_VALUE"""),"Pellets were fired from the backseat of an SUV at students on the playground. Shooter fled in vehicle. Students reported feeling stings but did not have any injuries.")</f>
        <v>Pellets were fired from the backseat of an SUV at students on the playground. Shooter fled in vehicle. Students reported feeling stings but did not have any injuries.</v>
      </c>
      <c r="AA302" s="5" t="str">
        <f ca="1">IFERROR(__xludf.DUMMYFUNCTION("""COMPUTED_VALUE"""),"Drive-by Shooting")</f>
        <v>Drive-by Shooting</v>
      </c>
      <c r="AB302" s="5" t="str">
        <f ca="1">IFERROR(__xludf.DUMMYFUNCTION("""COMPUTED_VALUE"""),"Random Shooting")</f>
        <v>Random Shooting</v>
      </c>
      <c r="AC302" s="5" t="str">
        <f ca="1">IFERROR(__xludf.DUMMYFUNCTION("""COMPUTED_VALUE"""),"Yes")</f>
        <v>Yes</v>
      </c>
      <c r="AD302" s="5" t="str">
        <f ca="1">IFERROR(__xludf.DUMMYFUNCTION("""COMPUTED_VALUE"""),"No")</f>
        <v>No</v>
      </c>
      <c r="AE302" s="5" t="str">
        <f ca="1">IFERROR(__xludf.DUMMYFUNCTION("""COMPUTED_VALUE"""),"No")</f>
        <v>No</v>
      </c>
      <c r="AF302" s="5" t="str">
        <f ca="1">IFERROR(__xludf.DUMMYFUNCTION("""COMPUTED_VALUE"""),"No")</f>
        <v>No</v>
      </c>
      <c r="AG302" s="5" t="str">
        <f ca="1">IFERROR(__xludf.DUMMYFUNCTION("""COMPUTED_VALUE"""),"No")</f>
        <v>No</v>
      </c>
      <c r="AH302" s="5" t="str">
        <f ca="1">IFERROR(__xludf.DUMMYFUNCTION("""COMPUTED_VALUE"""),"No")</f>
        <v>No</v>
      </c>
      <c r="AI302" s="5" t="str">
        <f ca="1">IFERROR(__xludf.DUMMYFUNCTION("""COMPUTED_VALUE"""),"No")</f>
        <v>No</v>
      </c>
      <c r="AJ302" s="5" t="str">
        <f ca="1">IFERROR(__xludf.DUMMYFUNCTION("""COMPUTED_VALUE"""),"No")</f>
        <v>No</v>
      </c>
    </row>
    <row r="303" spans="1:36" ht="13">
      <c r="A303" s="5" t="str">
        <f ca="1">IFERROR(__xludf.DUMMYFUNCTION("""COMPUTED_VALUE"""),"20220406ORROP")</f>
        <v>20220406ORROP</v>
      </c>
      <c r="B303" s="5">
        <f ca="1">IFERROR(__xludf.DUMMYFUNCTION("""COMPUTED_VALUE"""),4)</f>
        <v>4</v>
      </c>
      <c r="C303" s="5">
        <f ca="1">IFERROR(__xludf.DUMMYFUNCTION("""COMPUTED_VALUE"""),6)</f>
        <v>6</v>
      </c>
      <c r="D303" s="5">
        <f ca="1">IFERROR(__xludf.DUMMYFUNCTION("""COMPUTED_VALUE"""),2022)</f>
        <v>2022</v>
      </c>
      <c r="E303" s="8">
        <f ca="1">IFERROR(__xludf.DUMMYFUNCTION("""COMPUTED_VALUE"""),44657)</f>
        <v>44657</v>
      </c>
      <c r="F303" s="5" t="str">
        <f ca="1">IFERROR(__xludf.DUMMYFUNCTION("""COMPUTED_VALUE"""),"Roosevelt High School")</f>
        <v>Roosevelt High School</v>
      </c>
      <c r="G303" s="5">
        <f ca="1">IFERROR(__xludf.DUMMYFUNCTION("""COMPUTED_VALUE"""),0)</f>
        <v>0</v>
      </c>
      <c r="H303" s="5">
        <f ca="1">IFERROR(__xludf.DUMMYFUNCTION("""COMPUTED_VALUE"""),1)</f>
        <v>1</v>
      </c>
      <c r="I303" s="5">
        <f ca="1">IFERROR(__xludf.DUMMYFUNCTION("""COMPUTED_VALUE"""),1)</f>
        <v>1</v>
      </c>
      <c r="J303" s="5">
        <f ca="1">IFERROR(__xludf.DUMMYFUNCTION("""COMPUTED_VALUE"""),0)</f>
        <v>0</v>
      </c>
      <c r="K303" s="9" t="str">
        <f ca="1">IFERROR(__xludf.DUMMYFUNCTION("""COMPUTED_VALUE"""),"https://www.koin.com/news/crime/portland-police-investigate-shooting-near-roosevelt-high-school/")</f>
        <v>https://www.koin.com/news/crime/portland-police-investigate-shooting-near-roosevelt-high-school/</v>
      </c>
      <c r="L303" s="5">
        <f ca="1">IFERROR(__xludf.DUMMYFUNCTION("""COMPUTED_VALUE"""),1)</f>
        <v>1</v>
      </c>
      <c r="M303" s="5" t="str">
        <f ca="1">IFERROR(__xludf.DUMMYFUNCTION("""COMPUTED_VALUE"""),"Local")</f>
        <v>Local</v>
      </c>
      <c r="N303" s="5">
        <f ca="1">IFERROR(__xludf.DUMMYFUNCTION("""COMPUTED_VALUE"""),3)</f>
        <v>3</v>
      </c>
      <c r="O303" s="5" t="str">
        <f ca="1">IFERROR(__xludf.DUMMYFUNCTION("""COMPUTED_VALUE"""),"Spring")</f>
        <v>Spring</v>
      </c>
      <c r="P303" s="5" t="str">
        <f ca="1">IFERROR(__xludf.DUMMYFUNCTION("""COMPUTED_VALUE"""),"Portland")</f>
        <v>Portland</v>
      </c>
      <c r="Q303" s="5" t="str">
        <f ca="1">IFERROR(__xludf.DUMMYFUNCTION("""COMPUTED_VALUE"""),"OR")</f>
        <v>OR</v>
      </c>
      <c r="R303" s="5" t="str">
        <f ca="1">IFERROR(__xludf.DUMMYFUNCTION("""COMPUTED_VALUE"""),"High")</f>
        <v>High</v>
      </c>
      <c r="S303" s="5" t="str">
        <f ca="1">IFERROR(__xludf.DUMMYFUNCTION("""COMPUTED_VALUE"""),"Parking Lot")</f>
        <v>Parking Lot</v>
      </c>
      <c r="T303" s="5" t="str">
        <f ca="1">IFERROR(__xludf.DUMMYFUNCTION("""COMPUTED_VALUE"""),"Outside on School Property")</f>
        <v>Outside on School Property</v>
      </c>
      <c r="U303" s="5" t="str">
        <f ca="1">IFERROR(__xludf.DUMMYFUNCTION("""COMPUTED_VALUE"""),"No")</f>
        <v>No</v>
      </c>
      <c r="V303" s="5" t="str">
        <f ca="1">IFERROR(__xludf.DUMMYFUNCTION("""COMPUTED_VALUE"""),"Night")</f>
        <v>Night</v>
      </c>
      <c r="W303" s="10">
        <f ca="1">IFERROR(__xludf.DUMMYFUNCTION("""COMPUTED_VALUE"""),0.895833333333333)</f>
        <v>0.89583333333333304</v>
      </c>
      <c r="X303" s="5">
        <f ca="1">IFERROR(__xludf.DUMMYFUNCTION("""COMPUTED_VALUE"""),1)</f>
        <v>1</v>
      </c>
      <c r="Y303" s="5" t="str">
        <f ca="1">IFERROR(__xludf.DUMMYFUNCTION("""COMPUTED_VALUE"""),"Person shot in school parking lot")</f>
        <v>Person shot in school parking lot</v>
      </c>
      <c r="Z303" s="5" t="str">
        <f ca="1">IFERROR(__xludf.DUMMYFUNCTION("""COMPUTED_VALUE"""),"An unidentified person was shot in the school parking lot next to a school van. Shooter fled.")</f>
        <v>An unidentified person was shot in the school parking lot next to a school van. Shooter fled.</v>
      </c>
      <c r="AA303" s="5"/>
      <c r="AB303" s="5" t="str">
        <f ca="1">IFERROR(__xludf.DUMMYFUNCTION("""COMPUTED_VALUE"""),"Victims Targeted")</f>
        <v>Victims Targeted</v>
      </c>
      <c r="AC303" s="5" t="str">
        <f ca="1">IFERROR(__xludf.DUMMYFUNCTION("""COMPUTED_VALUE"""),"No")</f>
        <v>No</v>
      </c>
      <c r="AD303" s="5" t="str">
        <f ca="1">IFERROR(__xludf.DUMMYFUNCTION("""COMPUTED_VALUE"""),"No")</f>
        <v>No</v>
      </c>
      <c r="AE303" s="5" t="str">
        <f ca="1">IFERROR(__xludf.DUMMYFUNCTION("""COMPUTED_VALUE"""),"No")</f>
        <v>No</v>
      </c>
      <c r="AF303" s="5" t="str">
        <f ca="1">IFERROR(__xludf.DUMMYFUNCTION("""COMPUTED_VALUE"""),"No")</f>
        <v>No</v>
      </c>
      <c r="AG303" s="5" t="str">
        <f ca="1">IFERROR(__xludf.DUMMYFUNCTION("""COMPUTED_VALUE"""),"No")</f>
        <v>No</v>
      </c>
      <c r="AH303" s="5" t="str">
        <f ca="1">IFERROR(__xludf.DUMMYFUNCTION("""COMPUTED_VALUE"""),"No")</f>
        <v>No</v>
      </c>
      <c r="AI303" s="5"/>
      <c r="AJ303" s="5" t="str">
        <f ca="1">IFERROR(__xludf.DUMMYFUNCTION("""COMPUTED_VALUE"""),"No")</f>
        <v>No</v>
      </c>
    </row>
    <row r="304" spans="1:36" ht="13">
      <c r="A304" s="5" t="str">
        <f ca="1">IFERROR(__xludf.DUMMYFUNCTION("""COMPUTED_VALUE"""),"20220406WVRIR")</f>
        <v>20220406WVRIR</v>
      </c>
      <c r="B304" s="5">
        <f ca="1">IFERROR(__xludf.DUMMYFUNCTION("""COMPUTED_VALUE"""),4)</f>
        <v>4</v>
      </c>
      <c r="C304" s="5">
        <f ca="1">IFERROR(__xludf.DUMMYFUNCTION("""COMPUTED_VALUE"""),6)</f>
        <v>6</v>
      </c>
      <c r="D304" s="5">
        <f ca="1">IFERROR(__xludf.DUMMYFUNCTION("""COMPUTED_VALUE"""),2022)</f>
        <v>2022</v>
      </c>
      <c r="E304" s="8">
        <f ca="1">IFERROR(__xludf.DUMMYFUNCTION("""COMPUTED_VALUE"""),44657)</f>
        <v>44657</v>
      </c>
      <c r="F304" s="5" t="str">
        <f ca="1">IFERROR(__xludf.DUMMYFUNCTION("""COMPUTED_VALUE"""),"Ripley Middle School")</f>
        <v>Ripley Middle School</v>
      </c>
      <c r="G304" s="5">
        <f ca="1">IFERROR(__xludf.DUMMYFUNCTION("""COMPUTED_VALUE"""),0)</f>
        <v>0</v>
      </c>
      <c r="H304" s="5">
        <f ca="1">IFERROR(__xludf.DUMMYFUNCTION("""COMPUTED_VALUE"""),0)</f>
        <v>0</v>
      </c>
      <c r="I304" s="5">
        <f ca="1">IFERROR(__xludf.DUMMYFUNCTION("""COMPUTED_VALUE"""),0)</f>
        <v>0</v>
      </c>
      <c r="J304" s="5">
        <f ca="1">IFERROR(__xludf.DUMMYFUNCTION("""COMPUTED_VALUE"""),0)</f>
        <v>0</v>
      </c>
      <c r="K304" s="5" t="str">
        <f ca="1">IFERROR(__xludf.DUMMYFUNCTION("""COMPUTED_VALUE"""),"https://www.wsaz.com/2022/04/06/student-custody-after-bringing-gun-school-bus/ https://wvmetronews.com/2022/04/06/two-teens-arrested-in-school-shooting-plot/")</f>
        <v>https://www.wsaz.com/2022/04/06/student-custody-after-bringing-gun-school-bus/ https://wvmetronews.com/2022/04/06/two-teens-arrested-in-school-shooting-plot/</v>
      </c>
      <c r="L304" s="5">
        <f ca="1">IFERROR(__xludf.DUMMYFUNCTION("""COMPUTED_VALUE"""),3)</f>
        <v>3</v>
      </c>
      <c r="M304" s="5" t="str">
        <f ca="1">IFERROR(__xludf.DUMMYFUNCTION("""COMPUTED_VALUE"""),"Local")</f>
        <v>Local</v>
      </c>
      <c r="N304" s="5">
        <f ca="1">IFERROR(__xludf.DUMMYFUNCTION("""COMPUTED_VALUE"""),4)</f>
        <v>4</v>
      </c>
      <c r="O304" s="5" t="str">
        <f ca="1">IFERROR(__xludf.DUMMYFUNCTION("""COMPUTED_VALUE"""),"Spring")</f>
        <v>Spring</v>
      </c>
      <c r="P304" s="5" t="str">
        <f ca="1">IFERROR(__xludf.DUMMYFUNCTION("""COMPUTED_VALUE"""),"Ripley")</f>
        <v>Ripley</v>
      </c>
      <c r="Q304" s="5" t="str">
        <f ca="1">IFERROR(__xludf.DUMMYFUNCTION("""COMPUTED_VALUE"""),"WV")</f>
        <v>WV</v>
      </c>
      <c r="R304" s="5" t="str">
        <f ca="1">IFERROR(__xludf.DUMMYFUNCTION("""COMPUTED_VALUE"""),"Middle")</f>
        <v>Middle</v>
      </c>
      <c r="S304" s="5" t="str">
        <f ca="1">IFERROR(__xludf.DUMMYFUNCTION("""COMPUTED_VALUE"""),"School Bus")</f>
        <v>School Bus</v>
      </c>
      <c r="T304" s="5" t="str">
        <f ca="1">IFERROR(__xludf.DUMMYFUNCTION("""COMPUTED_VALUE"""),"School Bus")</f>
        <v>School Bus</v>
      </c>
      <c r="U304" s="5" t="str">
        <f ca="1">IFERROR(__xludf.DUMMYFUNCTION("""COMPUTED_VALUE"""),"Yes")</f>
        <v>Yes</v>
      </c>
      <c r="V304" s="5" t="str">
        <f ca="1">IFERROR(__xludf.DUMMYFUNCTION("""COMPUTED_VALUE"""),"School Start")</f>
        <v>School Start</v>
      </c>
      <c r="W304" s="10">
        <f ca="1">IFERROR(__xludf.DUMMYFUNCTION("""COMPUTED_VALUE"""),0.333333333333333)</f>
        <v>0.33333333333333298</v>
      </c>
      <c r="X304" s="5">
        <f ca="1">IFERROR(__xludf.DUMMYFUNCTION("""COMPUTED_VALUE"""),1)</f>
        <v>1</v>
      </c>
      <c r="Y304" s="5" t="str">
        <f ca="1">IFERROR(__xludf.DUMMYFUNCTION("""COMPUTED_VALUE"""),"Student brandished gun on school bus, subdued by other students, planned execution of student")</f>
        <v>Student brandished gun on school bus, subdued by other students, planned execution of student</v>
      </c>
      <c r="Z304" s="5" t="str">
        <f ca="1">IFERROR(__xludf.DUMMYFUNCTION("""COMPUTED_VALUE"""),"A 15-year-old student brandished a handgun on a school bus and was subdued by other students. They took out the magazine and gave it to the bus driver who evacuated the bus. Gun was stolen in burglary by shooter's older brother (16-year-old student). They"&amp;" planned to execute a student at the school that day.")</f>
        <v>A 15-year-old student brandished a handgun on a school bus and was subdued by other students. They took out the magazine and gave it to the bus driver who evacuated the bus. Gun was stolen in burglary by shooter's older brother (16-year-old student). They planned to execute a student at the school that day.</v>
      </c>
      <c r="AA304" s="5"/>
      <c r="AB304" s="5" t="str">
        <f ca="1">IFERROR(__xludf.DUMMYFUNCTION("""COMPUTED_VALUE"""),"Victims Targeted")</f>
        <v>Victims Targeted</v>
      </c>
      <c r="AC304" s="5" t="str">
        <f ca="1">IFERROR(__xludf.DUMMYFUNCTION("""COMPUTED_VALUE"""),"Yes")</f>
        <v>Yes</v>
      </c>
      <c r="AD304" s="5" t="str">
        <f ca="1">IFERROR(__xludf.DUMMYFUNCTION("""COMPUTED_VALUE"""),"No")</f>
        <v>No</v>
      </c>
      <c r="AE304" s="5" t="str">
        <f ca="1">IFERROR(__xludf.DUMMYFUNCTION("""COMPUTED_VALUE"""),"No")</f>
        <v>No</v>
      </c>
      <c r="AF304" s="5" t="str">
        <f ca="1">IFERROR(__xludf.DUMMYFUNCTION("""COMPUTED_VALUE"""),"No")</f>
        <v>No</v>
      </c>
      <c r="AG304" s="5"/>
      <c r="AH304" s="5" t="str">
        <f ca="1">IFERROR(__xludf.DUMMYFUNCTION("""COMPUTED_VALUE"""),"No")</f>
        <v>No</v>
      </c>
      <c r="AI304" s="5" t="str">
        <f ca="1">IFERROR(__xludf.DUMMYFUNCTION("""COMPUTED_VALUE"""),"No")</f>
        <v>No</v>
      </c>
      <c r="AJ304" s="5" t="str">
        <f ca="1">IFERROR(__xludf.DUMMYFUNCTION("""COMPUTED_VALUE"""),"No")</f>
        <v>No</v>
      </c>
    </row>
    <row r="305" spans="1:36" ht="13">
      <c r="A305" s="5" t="str">
        <f ca="1">IFERROR(__xludf.DUMMYFUNCTION("""COMPUTED_VALUE"""),"20220405PAERE")</f>
        <v>20220405PAERE</v>
      </c>
      <c r="B305" s="5">
        <f ca="1">IFERROR(__xludf.DUMMYFUNCTION("""COMPUTED_VALUE"""),4)</f>
        <v>4</v>
      </c>
      <c r="C305" s="5">
        <f ca="1">IFERROR(__xludf.DUMMYFUNCTION("""COMPUTED_VALUE"""),5)</f>
        <v>5</v>
      </c>
      <c r="D305" s="5">
        <f ca="1">IFERROR(__xludf.DUMMYFUNCTION("""COMPUTED_VALUE"""),2022)</f>
        <v>2022</v>
      </c>
      <c r="E305" s="8">
        <f ca="1">IFERROR(__xludf.DUMMYFUNCTION("""COMPUTED_VALUE"""),44656)</f>
        <v>44656</v>
      </c>
      <c r="F305" s="5" t="str">
        <f ca="1">IFERROR(__xludf.DUMMYFUNCTION("""COMPUTED_VALUE"""),"Erie High School")</f>
        <v>Erie High School</v>
      </c>
      <c r="G305" s="5">
        <f ca="1">IFERROR(__xludf.DUMMYFUNCTION("""COMPUTED_VALUE"""),0)</f>
        <v>0</v>
      </c>
      <c r="H305" s="5">
        <f ca="1">IFERROR(__xludf.DUMMYFUNCTION("""COMPUTED_VALUE"""),1)</f>
        <v>1</v>
      </c>
      <c r="I305" s="5">
        <f ca="1">IFERROR(__xludf.DUMMYFUNCTION("""COMPUTED_VALUE"""),1)</f>
        <v>1</v>
      </c>
      <c r="J305" s="5">
        <f ca="1">IFERROR(__xludf.DUMMYFUNCTION("""COMPUTED_VALUE"""),0)</f>
        <v>0</v>
      </c>
      <c r="K305" s="5" t="str">
        <f ca="1">IFERROR(__xludf.DUMMYFUNCTION("""COMPUTED_VALUE"""),"https://www.goerie.com/story/news/crime/2022/04/06/heres-what-we-know-erie-high-school-pa-shooting/65348664007/ https://www.yourerie.com/news/local-news/suspect-still-at-large-following-shooting-at-erie-high-school/ https://www.goerie.com/story/news/2022/"&amp;"04/05/pa-school-shooting-reported-at-erie-high-school/65348439007/")</f>
        <v>https://www.goerie.com/story/news/crime/2022/04/06/heres-what-we-know-erie-high-school-pa-shooting/65348664007/ https://www.yourerie.com/news/local-news/suspect-still-at-large-following-shooting-at-erie-high-school/ https://www.goerie.com/story/news/2022/04/05/pa-school-shooting-reported-at-erie-high-school/65348439007/</v>
      </c>
      <c r="L305" s="5">
        <f ca="1">IFERROR(__xludf.DUMMYFUNCTION("""COMPUTED_VALUE"""),100)</f>
        <v>100</v>
      </c>
      <c r="M305" s="5" t="str">
        <f ca="1">IFERROR(__xludf.DUMMYFUNCTION("""COMPUTED_VALUE"""),"National")</f>
        <v>National</v>
      </c>
      <c r="N305" s="5">
        <f ca="1">IFERROR(__xludf.DUMMYFUNCTION("""COMPUTED_VALUE"""),4)</f>
        <v>4</v>
      </c>
      <c r="O305" s="5" t="str">
        <f ca="1">IFERROR(__xludf.DUMMYFUNCTION("""COMPUTED_VALUE"""),"Spring")</f>
        <v>Spring</v>
      </c>
      <c r="P305" s="5" t="str">
        <f ca="1">IFERROR(__xludf.DUMMYFUNCTION("""COMPUTED_VALUE"""),"Erie")</f>
        <v>Erie</v>
      </c>
      <c r="Q305" s="5" t="str">
        <f ca="1">IFERROR(__xludf.DUMMYFUNCTION("""COMPUTED_VALUE"""),"PA")</f>
        <v>PA</v>
      </c>
      <c r="R305" s="5" t="str">
        <f ca="1">IFERROR(__xludf.DUMMYFUNCTION("""COMPUTED_VALUE"""),"High")</f>
        <v>High</v>
      </c>
      <c r="S305" s="5" t="str">
        <f ca="1">IFERROR(__xludf.DUMMYFUNCTION("""COMPUTED_VALUE"""),"Hallway")</f>
        <v>Hallway</v>
      </c>
      <c r="T305" s="5" t="str">
        <f ca="1">IFERROR(__xludf.DUMMYFUNCTION("""COMPUTED_VALUE"""),"Inside School Building")</f>
        <v>Inside School Building</v>
      </c>
      <c r="U305" s="5" t="str">
        <f ca="1">IFERROR(__xludf.DUMMYFUNCTION("""COMPUTED_VALUE"""),"Yes")</f>
        <v>Yes</v>
      </c>
      <c r="V305" s="5" t="str">
        <f ca="1">IFERROR(__xludf.DUMMYFUNCTION("""COMPUTED_VALUE"""),"Morning Classes")</f>
        <v>Morning Classes</v>
      </c>
      <c r="W305" s="10">
        <f ca="1">IFERROR(__xludf.DUMMYFUNCTION("""COMPUTED_VALUE"""),0.402777777777777)</f>
        <v>0.40277777777777701</v>
      </c>
      <c r="X305" s="5">
        <f ca="1">IFERROR(__xludf.DUMMYFUNCTION("""COMPUTED_VALUE"""),1)</f>
        <v>1</v>
      </c>
      <c r="Y305" s="5" t="str">
        <f ca="1">IFERROR(__xludf.DUMMYFUNCTION("""COMPUTED_VALUE"""),"Shot shot another student twice in the hallway between classes")</f>
        <v>Shot shot another student twice in the hallway between classes</v>
      </c>
      <c r="Z305" s="5" t="str">
        <f ca="1">IFERROR(__xludf.DUMMYFUNCTION("""COMPUTED_VALUE"""),"A student (unidentified minor) fired 5 shots at a classmate in the hallway while classes were changing. Victim was targeted and shot 3 times. Shooter fled the scene. School went on lockdown and dismissed. School will remain closed until April 18 (13 days "&amp;"after shooting).")</f>
        <v>A student (unidentified minor) fired 5 shots at a classmate in the hallway while classes were changing. Victim was targeted and shot 3 times. Shooter fled the scene. School went on lockdown and dismissed. School will remain closed until April 18 (13 days after shooting).</v>
      </c>
      <c r="AA305" s="5"/>
      <c r="AB305" s="5" t="str">
        <f ca="1">IFERROR(__xludf.DUMMYFUNCTION("""COMPUTED_VALUE"""),"Victims Targeted")</f>
        <v>Victims Targeted</v>
      </c>
      <c r="AC305" s="5" t="str">
        <f ca="1">IFERROR(__xludf.DUMMYFUNCTION("""COMPUTED_VALUE"""),"No")</f>
        <v>No</v>
      </c>
      <c r="AD305" s="5" t="str">
        <f ca="1">IFERROR(__xludf.DUMMYFUNCTION("""COMPUTED_VALUE"""),"No")</f>
        <v>No</v>
      </c>
      <c r="AE305" s="5" t="str">
        <f ca="1">IFERROR(__xludf.DUMMYFUNCTION("""COMPUTED_VALUE"""),"No")</f>
        <v>No</v>
      </c>
      <c r="AF305" s="5" t="str">
        <f ca="1">IFERROR(__xludf.DUMMYFUNCTION("""COMPUTED_VALUE"""),"No")</f>
        <v>No</v>
      </c>
      <c r="AG305" s="5"/>
      <c r="AH305" s="5" t="str">
        <f ca="1">IFERROR(__xludf.DUMMYFUNCTION("""COMPUTED_VALUE"""),"No")</f>
        <v>No</v>
      </c>
      <c r="AI305" s="5"/>
      <c r="AJ305" s="5" t="str">
        <f ca="1">IFERROR(__xludf.DUMMYFUNCTION("""COMPUTED_VALUE"""),"No")</f>
        <v>No</v>
      </c>
    </row>
    <row r="306" spans="1:36" ht="13">
      <c r="A306" s="5" t="str">
        <f ca="1">IFERROR(__xludf.DUMMYFUNCTION("""COMPUTED_VALUE"""),"20220403INBLB")</f>
        <v>20220403INBLB</v>
      </c>
      <c r="B306" s="5">
        <f ca="1">IFERROR(__xludf.DUMMYFUNCTION("""COMPUTED_VALUE"""),4)</f>
        <v>4</v>
      </c>
      <c r="C306" s="5">
        <f ca="1">IFERROR(__xludf.DUMMYFUNCTION("""COMPUTED_VALUE"""),3)</f>
        <v>3</v>
      </c>
      <c r="D306" s="5">
        <f ca="1">IFERROR(__xludf.DUMMYFUNCTION("""COMPUTED_VALUE"""),2022)</f>
        <v>2022</v>
      </c>
      <c r="E306" s="8">
        <f ca="1">IFERROR(__xludf.DUMMYFUNCTION("""COMPUTED_VALUE"""),44654)</f>
        <v>44654</v>
      </c>
      <c r="F306" s="5" t="str">
        <f ca="1">IFERROR(__xludf.DUMMYFUNCTION("""COMPUTED_VALUE"""),"Bloomington High School South")</f>
        <v>Bloomington High School South</v>
      </c>
      <c r="G306" s="5">
        <f ca="1">IFERROR(__xludf.DUMMYFUNCTION("""COMPUTED_VALUE"""),0)</f>
        <v>0</v>
      </c>
      <c r="H306" s="5">
        <f ca="1">IFERROR(__xludf.DUMMYFUNCTION("""COMPUTED_VALUE"""),1)</f>
        <v>1</v>
      </c>
      <c r="I306" s="5">
        <f ca="1">IFERROR(__xludf.DUMMYFUNCTION("""COMPUTED_VALUE"""),1)</f>
        <v>1</v>
      </c>
      <c r="J306" s="5">
        <f ca="1">IFERROR(__xludf.DUMMYFUNCTION("""COMPUTED_VALUE"""),0)</f>
        <v>0</v>
      </c>
      <c r="K306" s="5" t="str">
        <f ca="1">IFERROR(__xludf.DUMMYFUNCTION("""COMPUTED_VALUE"""),"https://fox59.com/news/indycrime/18-year-old-arrested-after-firing-at-teenagers-in-bloomington-high-school-parking-lot/ https://www.wthr.com/article/news/crime/18-year-old-hachime-abou-bloomington-attempted-murder/531-d87fd810-81f0-4043-af42-74a0ce6cd1e9")</f>
        <v>https://fox59.com/news/indycrime/18-year-old-arrested-after-firing-at-teenagers-in-bloomington-high-school-parking-lot/ https://www.wthr.com/article/news/crime/18-year-old-hachime-abou-bloomington-attempted-murder/531-d87fd810-81f0-4043-af42-74a0ce6cd1e9</v>
      </c>
      <c r="L306" s="5">
        <f ca="1">IFERROR(__xludf.DUMMYFUNCTION("""COMPUTED_VALUE"""),2)</f>
        <v>2</v>
      </c>
      <c r="M306" s="5" t="str">
        <f ca="1">IFERROR(__xludf.DUMMYFUNCTION("""COMPUTED_VALUE"""),"Local")</f>
        <v>Local</v>
      </c>
      <c r="N306" s="5">
        <f ca="1">IFERROR(__xludf.DUMMYFUNCTION("""COMPUTED_VALUE"""),4)</f>
        <v>4</v>
      </c>
      <c r="O306" s="5" t="str">
        <f ca="1">IFERROR(__xludf.DUMMYFUNCTION("""COMPUTED_VALUE"""),"Spring")</f>
        <v>Spring</v>
      </c>
      <c r="P306" s="5" t="str">
        <f ca="1">IFERROR(__xludf.DUMMYFUNCTION("""COMPUTED_VALUE"""),"Bloomington")</f>
        <v>Bloomington</v>
      </c>
      <c r="Q306" s="5" t="str">
        <f ca="1">IFERROR(__xludf.DUMMYFUNCTION("""COMPUTED_VALUE"""),"IN")</f>
        <v>IN</v>
      </c>
      <c r="R306" s="5" t="str">
        <f ca="1">IFERROR(__xludf.DUMMYFUNCTION("""COMPUTED_VALUE"""),"High")</f>
        <v>High</v>
      </c>
      <c r="S306" s="5" t="str">
        <f ca="1">IFERROR(__xludf.DUMMYFUNCTION("""COMPUTED_VALUE"""),"Parking Lot")</f>
        <v>Parking Lot</v>
      </c>
      <c r="T306" s="5" t="str">
        <f ca="1">IFERROR(__xludf.DUMMYFUNCTION("""COMPUTED_VALUE"""),"Outside on School Property")</f>
        <v>Outside on School Property</v>
      </c>
      <c r="U306" s="5" t="str">
        <f ca="1">IFERROR(__xludf.DUMMYFUNCTION("""COMPUTED_VALUE"""),"No")</f>
        <v>No</v>
      </c>
      <c r="V306" s="5" t="str">
        <f ca="1">IFERROR(__xludf.DUMMYFUNCTION("""COMPUTED_VALUE"""),"Evening")</f>
        <v>Evening</v>
      </c>
      <c r="W306" s="10">
        <f ca="1">IFERROR(__xludf.DUMMYFUNCTION("""COMPUTED_VALUE"""),0.798611111111111)</f>
        <v>0.79861111111111105</v>
      </c>
      <c r="X306" s="5">
        <f ca="1">IFERROR(__xludf.DUMMYFUNCTION("""COMPUTED_VALUE"""),1)</f>
        <v>1</v>
      </c>
      <c r="Y306" s="5" t="str">
        <f ca="1">IFERROR(__xludf.DUMMYFUNCTION("""COMPUTED_VALUE"""),"Three teens shot at, one injured, in school parking lot")</f>
        <v>Three teens shot at, one injured, in school parking lot</v>
      </c>
      <c r="Z306" s="5" t="str">
        <f ca="1">IFERROR(__xludf.DUMMYFUNCTION("""COMPUTED_VALUE"""),"An 18-year-old male in a vehicle fired shots at 3 teens walking in the school parking lot. 17-year-old male was struck in the leg. After reviewing CCTV footage, police determined that a 15-year-old male in the group fired shots back at the vehicle. Shoote"&amp;"r fled and was arrested on 4/14/2022. Second shooter also charged.")</f>
        <v>An 18-year-old male in a vehicle fired shots at 3 teens walking in the school parking lot. 17-year-old male was struck in the leg. After reviewing CCTV footage, police determined that a 15-year-old male in the group fired shots back at the vehicle. Shooter fled and was arrested on 4/14/2022. Second shooter also charged.</v>
      </c>
      <c r="AA306" s="5" t="str">
        <f ca="1">IFERROR(__xludf.DUMMYFUNCTION("""COMPUTED_VALUE"""),"Drive-by Shooting")</f>
        <v>Drive-by Shooting</v>
      </c>
      <c r="AB306" s="5" t="str">
        <f ca="1">IFERROR(__xludf.DUMMYFUNCTION("""COMPUTED_VALUE"""),"Victims Targeted")</f>
        <v>Victims Targeted</v>
      </c>
      <c r="AC306" s="5" t="str">
        <f ca="1">IFERROR(__xludf.DUMMYFUNCTION("""COMPUTED_VALUE"""),"No")</f>
        <v>No</v>
      </c>
      <c r="AD306" s="5" t="str">
        <f ca="1">IFERROR(__xludf.DUMMYFUNCTION("""COMPUTED_VALUE"""),"No")</f>
        <v>No</v>
      </c>
      <c r="AE306" s="5" t="str">
        <f ca="1">IFERROR(__xludf.DUMMYFUNCTION("""COMPUTED_VALUE"""),"No")</f>
        <v>No</v>
      </c>
      <c r="AF306" s="5" t="str">
        <f ca="1">IFERROR(__xludf.DUMMYFUNCTION("""COMPUTED_VALUE"""),"No")</f>
        <v>No</v>
      </c>
      <c r="AG306" s="5" t="str">
        <f ca="1">IFERROR(__xludf.DUMMYFUNCTION("""COMPUTED_VALUE"""),"No")</f>
        <v>No</v>
      </c>
      <c r="AH306" s="5" t="str">
        <f ca="1">IFERROR(__xludf.DUMMYFUNCTION("""COMPUTED_VALUE"""),"No")</f>
        <v>No</v>
      </c>
      <c r="AI306" s="5"/>
      <c r="AJ306" s="5" t="str">
        <f ca="1">IFERROR(__xludf.DUMMYFUNCTION("""COMPUTED_VALUE"""),"No")</f>
        <v>No</v>
      </c>
    </row>
    <row r="307" spans="1:36" ht="13">
      <c r="A307" s="5" t="str">
        <f ca="1">IFERROR(__xludf.DUMMYFUNCTION("""COMPUTED_VALUE"""),"20220331SCTAG")</f>
        <v>20220331SCTAG</v>
      </c>
      <c r="B307" s="5">
        <f ca="1">IFERROR(__xludf.DUMMYFUNCTION("""COMPUTED_VALUE"""),3)</f>
        <v>3</v>
      </c>
      <c r="C307" s="5">
        <f ca="1">IFERROR(__xludf.DUMMYFUNCTION("""COMPUTED_VALUE"""),31)</f>
        <v>31</v>
      </c>
      <c r="D307" s="5">
        <f ca="1">IFERROR(__xludf.DUMMYFUNCTION("""COMPUTED_VALUE"""),2022)</f>
        <v>2022</v>
      </c>
      <c r="E307" s="8">
        <f ca="1">IFERROR(__xludf.DUMMYFUNCTION("""COMPUTED_VALUE"""),44651)</f>
        <v>44651</v>
      </c>
      <c r="F307" s="5" t="str">
        <f ca="1">IFERROR(__xludf.DUMMYFUNCTION("""COMPUTED_VALUE"""),"Tanglewood Middle School")</f>
        <v>Tanglewood Middle School</v>
      </c>
      <c r="G307" s="5">
        <f ca="1">IFERROR(__xludf.DUMMYFUNCTION("""COMPUTED_VALUE"""),1)</f>
        <v>1</v>
      </c>
      <c r="H307" s="5">
        <f ca="1">IFERROR(__xludf.DUMMYFUNCTION("""COMPUTED_VALUE"""),0)</f>
        <v>0</v>
      </c>
      <c r="I307" s="5">
        <f ca="1">IFERROR(__xludf.DUMMYFUNCTION("""COMPUTED_VALUE"""),1)</f>
        <v>1</v>
      </c>
      <c r="J307" s="5">
        <f ca="1">IFERROR(__xludf.DUMMYFUNCTION("""COMPUTED_VALUE"""),0)</f>
        <v>0</v>
      </c>
      <c r="K307" s="5" t="str">
        <f ca="1">IFERROR(__xludf.DUMMYFUNCTION("""COMPUTED_VALUE"""),"https://www.greenvilleonline.com/story/news/local/greenville/2022/03/31/school-shooting-greenville-south-carolina-tanglewood-middle/7232839001/ https://nypost.com/2022/04/01/south-carolina-student-arrested-for-killing-another-student-at-tanglewood-middle-"&amp;"school/ https://www.wyff4.com/article/deadly-school-shooting-south-carolina/39602613#")</f>
        <v>https://www.greenvilleonline.com/story/news/local/greenville/2022/03/31/school-shooting-greenville-south-carolina-tanglewood-middle/7232839001/ https://nypost.com/2022/04/01/south-carolina-student-arrested-for-killing-another-student-at-tanglewood-middle-school/ https://www.wyff4.com/article/deadly-school-shooting-south-carolina/39602613#</v>
      </c>
      <c r="L307" s="5">
        <f ca="1">IFERROR(__xludf.DUMMYFUNCTION("""COMPUTED_VALUE"""),500)</f>
        <v>500</v>
      </c>
      <c r="M307" s="5" t="str">
        <f ca="1">IFERROR(__xludf.DUMMYFUNCTION("""COMPUTED_VALUE"""),"National")</f>
        <v>National</v>
      </c>
      <c r="N307" s="5">
        <f ca="1">IFERROR(__xludf.DUMMYFUNCTION("""COMPUTED_VALUE"""),4)</f>
        <v>4</v>
      </c>
      <c r="O307" s="5" t="str">
        <f ca="1">IFERROR(__xludf.DUMMYFUNCTION("""COMPUTED_VALUE"""),"Spring")</f>
        <v>Spring</v>
      </c>
      <c r="P307" s="5" t="str">
        <f ca="1">IFERROR(__xludf.DUMMYFUNCTION("""COMPUTED_VALUE"""),"Greenville")</f>
        <v>Greenville</v>
      </c>
      <c r="Q307" s="5" t="str">
        <f ca="1">IFERROR(__xludf.DUMMYFUNCTION("""COMPUTED_VALUE"""),"SC")</f>
        <v>SC</v>
      </c>
      <c r="R307" s="5" t="str">
        <f ca="1">IFERROR(__xludf.DUMMYFUNCTION("""COMPUTED_VALUE"""),"Middle")</f>
        <v>Middle</v>
      </c>
      <c r="S307" s="5" t="str">
        <f ca="1">IFERROR(__xludf.DUMMYFUNCTION("""COMPUTED_VALUE"""),"Hallway")</f>
        <v>Hallway</v>
      </c>
      <c r="T307" s="5" t="str">
        <f ca="1">IFERROR(__xludf.DUMMYFUNCTION("""COMPUTED_VALUE"""),"Inside School Building")</f>
        <v>Inside School Building</v>
      </c>
      <c r="U307" s="5" t="str">
        <f ca="1">IFERROR(__xludf.DUMMYFUNCTION("""COMPUTED_VALUE"""),"Yes")</f>
        <v>Yes</v>
      </c>
      <c r="V307" s="5" t="str">
        <f ca="1">IFERROR(__xludf.DUMMYFUNCTION("""COMPUTED_VALUE"""),"Afternoon Classes")</f>
        <v>Afternoon Classes</v>
      </c>
      <c r="W307" s="10">
        <f ca="1">IFERROR(__xludf.DUMMYFUNCTION("""COMPUTED_VALUE"""),0.520833333333333)</f>
        <v>0.52083333333333304</v>
      </c>
      <c r="X307" s="5">
        <f ca="1">IFERROR(__xludf.DUMMYFUNCTION("""COMPUTED_VALUE"""),1)</f>
        <v>1</v>
      </c>
      <c r="Y307" s="5" t="str">
        <f ca="1">IFERROR(__xludf.DUMMYFUNCTION("""COMPUTED_VALUE"""),"Student fatally shot another student in the hallway while classes were changing")</f>
        <v>Student fatally shot another student in the hallway while classes were changing</v>
      </c>
      <c r="Z307" s="5" t="str">
        <f ca="1">IFERROR(__xludf.DUMMYFUNCTION("""COMPUTED_VALUE"""),"A 12-year-old student fatally shot another 12-year-old student in the hallway while classes were changing. Students witnessed the shooting and said the shooter fired one shot that struck the victim in his chest. SRO responded and called for assistance. Sh"&amp;"ooter fled and was found hiding in the neighborhood near the school. School went on lockdown and was dismissed.")</f>
        <v>A 12-year-old student fatally shot another 12-year-old student in the hallway while classes were changing. Students witnessed the shooting and said the shooter fired one shot that struck the victim in his chest. SRO responded and called for assistance. Shooter fled and was found hiding in the neighborhood near the school. School went on lockdown and was dismissed.</v>
      </c>
      <c r="AA307" s="5"/>
      <c r="AB307" s="5" t="str">
        <f ca="1">IFERROR(__xludf.DUMMYFUNCTION("""COMPUTED_VALUE"""),"Victims Targeted")</f>
        <v>Victims Targeted</v>
      </c>
      <c r="AC307" s="5" t="str">
        <f ca="1">IFERROR(__xludf.DUMMYFUNCTION("""COMPUTED_VALUE"""),"No")</f>
        <v>No</v>
      </c>
      <c r="AD307" s="5" t="str">
        <f ca="1">IFERROR(__xludf.DUMMYFUNCTION("""COMPUTED_VALUE"""),"No")</f>
        <v>No</v>
      </c>
      <c r="AE307" s="5" t="str">
        <f ca="1">IFERROR(__xludf.DUMMYFUNCTION("""COMPUTED_VALUE"""),"No")</f>
        <v>No</v>
      </c>
      <c r="AF307" s="5" t="str">
        <f ca="1">IFERROR(__xludf.DUMMYFUNCTION("""COMPUTED_VALUE"""),"No")</f>
        <v>No</v>
      </c>
      <c r="AG307" s="5"/>
      <c r="AH307" s="5" t="str">
        <f ca="1">IFERROR(__xludf.DUMMYFUNCTION("""COMPUTED_VALUE"""),"No")</f>
        <v>No</v>
      </c>
      <c r="AI307" s="5" t="str">
        <f ca="1">IFERROR(__xludf.DUMMYFUNCTION("""COMPUTED_VALUE"""),"No")</f>
        <v>No</v>
      </c>
      <c r="AJ307" s="5" t="str">
        <f ca="1">IFERROR(__xludf.DUMMYFUNCTION("""COMPUTED_VALUE"""),"No")</f>
        <v>No</v>
      </c>
    </row>
    <row r="308" spans="1:36" ht="13">
      <c r="A308" s="5" t="str">
        <f ca="1">IFERROR(__xludf.DUMMYFUNCTION("""COMPUTED_VALUE"""),"20220331PAACP")</f>
        <v>20220331PAACP</v>
      </c>
      <c r="B308" s="5">
        <f ca="1">IFERROR(__xludf.DUMMYFUNCTION("""COMPUTED_VALUE"""),3)</f>
        <v>3</v>
      </c>
      <c r="C308" s="5">
        <f ca="1">IFERROR(__xludf.DUMMYFUNCTION("""COMPUTED_VALUE"""),31)</f>
        <v>31</v>
      </c>
      <c r="D308" s="5">
        <f ca="1">IFERROR(__xludf.DUMMYFUNCTION("""COMPUTED_VALUE"""),2022)</f>
        <v>2022</v>
      </c>
      <c r="E308" s="8">
        <f ca="1">IFERROR(__xludf.DUMMYFUNCTION("""COMPUTED_VALUE"""),44651)</f>
        <v>44651</v>
      </c>
      <c r="F308" s="5" t="str">
        <f ca="1">IFERROR(__xludf.DUMMYFUNCTION("""COMPUTED_VALUE"""),"West Philadelphia Achievement Charter Elementary School")</f>
        <v>West Philadelphia Achievement Charter Elementary School</v>
      </c>
      <c r="G308" s="5">
        <f ca="1">IFERROR(__xludf.DUMMYFUNCTION("""COMPUTED_VALUE"""),0)</f>
        <v>0</v>
      </c>
      <c r="H308" s="5">
        <f ca="1">IFERROR(__xludf.DUMMYFUNCTION("""COMPUTED_VALUE"""),0)</f>
        <v>0</v>
      </c>
      <c r="I308" s="5">
        <f ca="1">IFERROR(__xludf.DUMMYFUNCTION("""COMPUTED_VALUE"""),0)</f>
        <v>0</v>
      </c>
      <c r="J308" s="5">
        <f ca="1">IFERROR(__xludf.DUMMYFUNCTION("""COMPUTED_VALUE"""),0)</f>
        <v>0</v>
      </c>
      <c r="K308" s="5" t="str">
        <f ca="1">IFERROR(__xludf.DUMMYFUNCTION("""COMPUTED_VALUE"""),"https://philadelphia.cbslocal.com/2022/03/31/8-year-old-gun-shooting-west-philadelphia-achievement-charter-elementary-school/ https://www.nbcphiladelphia.com/news/local/schoolyard-gun-philadelphia/3193792/ https://6abc.com/achievement-charter-school-gun-o"&amp;"n-campus-child-brings-to-west-philly-guns/11696305/")</f>
        <v>https://philadelphia.cbslocal.com/2022/03/31/8-year-old-gun-shooting-west-philadelphia-achievement-charter-elementary-school/ https://www.nbcphiladelphia.com/news/local/schoolyard-gun-philadelphia/3193792/ https://6abc.com/achievement-charter-school-gun-on-campus-child-brings-to-west-philly-guns/11696305/</v>
      </c>
      <c r="L308" s="5">
        <f ca="1">IFERROR(__xludf.DUMMYFUNCTION("""COMPUTED_VALUE"""),10)</f>
        <v>10</v>
      </c>
      <c r="M308" s="5" t="str">
        <f ca="1">IFERROR(__xludf.DUMMYFUNCTION("""COMPUTED_VALUE"""),"Regional")</f>
        <v>Regional</v>
      </c>
      <c r="N308" s="5">
        <f ca="1">IFERROR(__xludf.DUMMYFUNCTION("""COMPUTED_VALUE"""),4)</f>
        <v>4</v>
      </c>
      <c r="O308" s="5" t="str">
        <f ca="1">IFERROR(__xludf.DUMMYFUNCTION("""COMPUTED_VALUE"""),"Spring")</f>
        <v>Spring</v>
      </c>
      <c r="P308" s="5" t="str">
        <f ca="1">IFERROR(__xludf.DUMMYFUNCTION("""COMPUTED_VALUE"""),"Philadelphia")</f>
        <v>Philadelphia</v>
      </c>
      <c r="Q308" s="5" t="str">
        <f ca="1">IFERROR(__xludf.DUMMYFUNCTION("""COMPUTED_VALUE"""),"PA")</f>
        <v>PA</v>
      </c>
      <c r="R308" s="5" t="str">
        <f ca="1">IFERROR(__xludf.DUMMYFUNCTION("""COMPUTED_VALUE"""),"Elementary")</f>
        <v>Elementary</v>
      </c>
      <c r="S308" s="5" t="str">
        <f ca="1">IFERROR(__xludf.DUMMYFUNCTION("""COMPUTED_VALUE"""),"Playground")</f>
        <v>Playground</v>
      </c>
      <c r="T308" s="5" t="str">
        <f ca="1">IFERROR(__xludf.DUMMYFUNCTION("""COMPUTED_VALUE"""),"Outside on School Property")</f>
        <v>Outside on School Property</v>
      </c>
      <c r="U308" s="5" t="str">
        <f ca="1">IFERROR(__xludf.DUMMYFUNCTION("""COMPUTED_VALUE"""),"Yes")</f>
        <v>Yes</v>
      </c>
      <c r="V308" s="5" t="str">
        <f ca="1">IFERROR(__xludf.DUMMYFUNCTION("""COMPUTED_VALUE"""),"School Start")</f>
        <v>School Start</v>
      </c>
      <c r="W308" s="10">
        <f ca="1">IFERROR(__xludf.DUMMYFUNCTION("""COMPUTED_VALUE"""),0.364583333333333)</f>
        <v>0.36458333333333298</v>
      </c>
      <c r="X308" s="5">
        <f ca="1">IFERROR(__xludf.DUMMYFUNCTION("""COMPUTED_VALUE"""),1)</f>
        <v>1</v>
      </c>
      <c r="Y308" s="5" t="str">
        <f ca="1">IFERROR(__xludf.DUMMYFUNCTION("""COMPUTED_VALUE"""),"Gun inside a 8-year-old students backpack discharged in school courtyard")</f>
        <v>Gun inside a 8-year-old students backpack discharged in school courtyard</v>
      </c>
      <c r="Z308" s="5" t="str">
        <f ca="1">IFERROR(__xludf.DUMMYFUNCTION("""COMPUTED_VALUE"""),"A teacher heard a gunshot and found a weapon that discharged inside an 8-year-old student's backpack in the courtyard of the school. School went on lockdown. Student was arrested.")</f>
        <v>A teacher heard a gunshot and found a weapon that discharged inside an 8-year-old student's backpack in the courtyard of the school. School went on lockdown. Student was arrested.</v>
      </c>
      <c r="AA308" s="5" t="str">
        <f ca="1">IFERROR(__xludf.DUMMYFUNCTION("""COMPUTED_VALUE"""),"Accidental")</f>
        <v>Accidental</v>
      </c>
      <c r="AB308" s="5" t="str">
        <f ca="1">IFERROR(__xludf.DUMMYFUNCTION("""COMPUTED_VALUE"""),"Neither")</f>
        <v>Neither</v>
      </c>
      <c r="AC308" s="5" t="str">
        <f ca="1">IFERROR(__xludf.DUMMYFUNCTION("""COMPUTED_VALUE"""),"No")</f>
        <v>No</v>
      </c>
      <c r="AD308" s="5" t="str">
        <f ca="1">IFERROR(__xludf.DUMMYFUNCTION("""COMPUTED_VALUE"""),"No")</f>
        <v>No</v>
      </c>
      <c r="AE308" s="5" t="str">
        <f ca="1">IFERROR(__xludf.DUMMYFUNCTION("""COMPUTED_VALUE"""),"No")</f>
        <v>No</v>
      </c>
      <c r="AF308" s="5" t="str">
        <f ca="1">IFERROR(__xludf.DUMMYFUNCTION("""COMPUTED_VALUE"""),"No")</f>
        <v>No</v>
      </c>
      <c r="AG308" s="5" t="str">
        <f ca="1">IFERROR(__xludf.DUMMYFUNCTION("""COMPUTED_VALUE"""),"No")</f>
        <v>No</v>
      </c>
      <c r="AH308" s="5" t="str">
        <f ca="1">IFERROR(__xludf.DUMMYFUNCTION("""COMPUTED_VALUE"""),"No")</f>
        <v>No</v>
      </c>
      <c r="AI308" s="5" t="str">
        <f ca="1">IFERROR(__xludf.DUMMYFUNCTION("""COMPUTED_VALUE"""),"No")</f>
        <v>No</v>
      </c>
      <c r="AJ308" s="5" t="str">
        <f ca="1">IFERROR(__xludf.DUMMYFUNCTION("""COMPUTED_VALUE"""),"No")</f>
        <v>No</v>
      </c>
    </row>
    <row r="309" spans="1:36" ht="13">
      <c r="A309" s="5" t="str">
        <f ca="1">IFERROR(__xludf.DUMMYFUNCTION("""COMPUTED_VALUE"""),"20220330GABOA")</f>
        <v>20220330GABOA</v>
      </c>
      <c r="B309" s="5">
        <f ca="1">IFERROR(__xludf.DUMMYFUNCTION("""COMPUTED_VALUE"""),3)</f>
        <v>3</v>
      </c>
      <c r="C309" s="5">
        <f ca="1">IFERROR(__xludf.DUMMYFUNCTION("""COMPUTED_VALUE"""),30)</f>
        <v>30</v>
      </c>
      <c r="D309" s="5">
        <f ca="1">IFERROR(__xludf.DUMMYFUNCTION("""COMPUTED_VALUE"""),2022)</f>
        <v>2022</v>
      </c>
      <c r="E309" s="8">
        <f ca="1">IFERROR(__xludf.DUMMYFUNCTION("""COMPUTED_VALUE"""),44650)</f>
        <v>44650</v>
      </c>
      <c r="F309" s="5" t="str">
        <f ca="1">IFERROR(__xludf.DUMMYFUNCTION("""COMPUTED_VALUE"""),"Booker T Washington High School")</f>
        <v>Booker T Washington High School</v>
      </c>
      <c r="G309" s="5">
        <f ca="1">IFERROR(__xludf.DUMMYFUNCTION("""COMPUTED_VALUE"""),0)</f>
        <v>0</v>
      </c>
      <c r="H309" s="5">
        <f ca="1">IFERROR(__xludf.DUMMYFUNCTION("""COMPUTED_VALUE"""),0)</f>
        <v>0</v>
      </c>
      <c r="I309" s="5">
        <f ca="1">IFERROR(__xludf.DUMMYFUNCTION("""COMPUTED_VALUE"""),0)</f>
        <v>0</v>
      </c>
      <c r="J309" s="5">
        <f ca="1">IFERROR(__xludf.DUMMYFUNCTION("""COMPUTED_VALUE"""),0)</f>
        <v>0</v>
      </c>
      <c r="K309" s="5" t="str">
        <f ca="1">IFERROR(__xludf.DUMMYFUNCTION("""COMPUTED_VALUE"""),"https://www.wsbtv.com/news/local/atlanta/mother-center-booker-t-washington-brawl-facing-criminal-charges/2P2X65CMTBDITOGVZXWCYSRQY4/ https://www.11alive.com/article/news/crime/tierra-vachon-elder-mother-booker-t-washington-high-school-shot-police-arrested"&amp;"/85-10000317-c30c-4b8d-a69f-534463b2cabb")</f>
        <v>https://www.wsbtv.com/news/local/atlanta/mother-center-booker-t-washington-brawl-facing-criminal-charges/2P2X65CMTBDITOGVZXWCYSRQY4/ https://www.11alive.com/article/news/crime/tierra-vachon-elder-mother-booker-t-washington-high-school-shot-police-arrested/85-10000317-c30c-4b8d-a69f-534463b2cabb</v>
      </c>
      <c r="L309" s="5">
        <f ca="1">IFERROR(__xludf.DUMMYFUNCTION("""COMPUTED_VALUE"""),20)</f>
        <v>20</v>
      </c>
      <c r="M309" s="5" t="str">
        <f ca="1">IFERROR(__xludf.DUMMYFUNCTION("""COMPUTED_VALUE"""),"Regional")</f>
        <v>Regional</v>
      </c>
      <c r="N309" s="5">
        <f ca="1">IFERROR(__xludf.DUMMYFUNCTION("""COMPUTED_VALUE"""),4)</f>
        <v>4</v>
      </c>
      <c r="O309" s="5" t="str">
        <f ca="1">IFERROR(__xludf.DUMMYFUNCTION("""COMPUTED_VALUE"""),"Spring")</f>
        <v>Spring</v>
      </c>
      <c r="P309" s="5" t="str">
        <f ca="1">IFERROR(__xludf.DUMMYFUNCTION("""COMPUTED_VALUE"""),"Atlanta")</f>
        <v>Atlanta</v>
      </c>
      <c r="Q309" s="5" t="str">
        <f ca="1">IFERROR(__xludf.DUMMYFUNCTION("""COMPUTED_VALUE"""),"GA")</f>
        <v>GA</v>
      </c>
      <c r="R309" s="5" t="str">
        <f ca="1">IFERROR(__xludf.DUMMYFUNCTION("""COMPUTED_VALUE"""),"High")</f>
        <v>High</v>
      </c>
      <c r="S309" s="5" t="str">
        <f ca="1">IFERROR(__xludf.DUMMYFUNCTION("""COMPUTED_VALUE"""),"Front of School")</f>
        <v>Front of School</v>
      </c>
      <c r="T309" s="5" t="str">
        <f ca="1">IFERROR(__xludf.DUMMYFUNCTION("""COMPUTED_VALUE"""),"Outside on School Property")</f>
        <v>Outside on School Property</v>
      </c>
      <c r="U309" s="5" t="str">
        <f ca="1">IFERROR(__xludf.DUMMYFUNCTION("""COMPUTED_VALUE"""),"Yes")</f>
        <v>Yes</v>
      </c>
      <c r="V309" s="5" t="str">
        <f ca="1">IFERROR(__xludf.DUMMYFUNCTION("""COMPUTED_VALUE"""),"Dismissal")</f>
        <v>Dismissal</v>
      </c>
      <c r="W309" s="10">
        <f ca="1">IFERROR(__xludf.DUMMYFUNCTION("""COMPUTED_VALUE"""),0.604166666666666)</f>
        <v>0.60416666666666596</v>
      </c>
      <c r="X309" s="5">
        <f ca="1">IFERROR(__xludf.DUMMYFUNCTION("""COMPUTED_VALUE"""),1)</f>
        <v>1</v>
      </c>
      <c r="Y309" s="5" t="str">
        <f ca="1">IFERROR(__xludf.DUMMYFUNCTION("""COMPUTED_VALUE"""),"Mother brandished gun during fight between students, shot by SRO")</f>
        <v>Mother brandished gun during fight between students, shot by SRO</v>
      </c>
      <c r="Z309" s="5" t="str">
        <f ca="1">IFERROR(__xludf.DUMMYFUNCTION("""COMPUTED_VALUE"""),"A 30-year-old female parent pulled a gun out of her purse during a fight between multiple students at dismissal. She pointed the gun at students and another parent. When the SRO ordered her to drop the gun, she refused and he shot her in the hand. Arreste"&amp;"d and charged with multiple felonies.")</f>
        <v>A 30-year-old female parent pulled a gun out of her purse during a fight between multiple students at dismissal. She pointed the gun at students and another parent. When the SRO ordered her to drop the gun, she refused and he shot her in the hand. Arrested and charged with multiple felonies.</v>
      </c>
      <c r="AA309" s="5" t="str">
        <f ca="1">IFERROR(__xludf.DUMMYFUNCTION("""COMPUTED_VALUE"""),"Escalation of Dispute")</f>
        <v>Escalation of Dispute</v>
      </c>
      <c r="AB309" s="5" t="str">
        <f ca="1">IFERROR(__xludf.DUMMYFUNCTION("""COMPUTED_VALUE"""),"Neither")</f>
        <v>Neither</v>
      </c>
      <c r="AC309" s="5" t="str">
        <f ca="1">IFERROR(__xludf.DUMMYFUNCTION("""COMPUTED_VALUE"""),"No")</f>
        <v>No</v>
      </c>
      <c r="AD309" s="5" t="str">
        <f ca="1">IFERROR(__xludf.DUMMYFUNCTION("""COMPUTED_VALUE"""),"No")</f>
        <v>No</v>
      </c>
      <c r="AE309" s="5" t="str">
        <f ca="1">IFERROR(__xludf.DUMMYFUNCTION("""COMPUTED_VALUE"""),"No")</f>
        <v>No</v>
      </c>
      <c r="AF309" s="5" t="str">
        <f ca="1">IFERROR(__xludf.DUMMYFUNCTION("""COMPUTED_VALUE"""),"No")</f>
        <v>No</v>
      </c>
      <c r="AG309" s="5" t="str">
        <f ca="1">IFERROR(__xludf.DUMMYFUNCTION("""COMPUTED_VALUE"""),"No")</f>
        <v>No</v>
      </c>
      <c r="AH309" s="5" t="str">
        <f ca="1">IFERROR(__xludf.DUMMYFUNCTION("""COMPUTED_VALUE"""),"No")</f>
        <v>No</v>
      </c>
      <c r="AI309" s="5" t="str">
        <f ca="1">IFERROR(__xludf.DUMMYFUNCTION("""COMPUTED_VALUE"""),"No")</f>
        <v>No</v>
      </c>
      <c r="AJ309" s="5" t="str">
        <f ca="1">IFERROR(__xludf.DUMMYFUNCTION("""COMPUTED_VALUE"""),"No")</f>
        <v>No</v>
      </c>
    </row>
    <row r="310" spans="1:36" ht="13">
      <c r="A310" s="5" t="str">
        <f ca="1">IFERROR(__xludf.DUMMYFUNCTION("""COMPUTED_VALUE"""),"20220330AZKIK")</f>
        <v>20220330AZKIK</v>
      </c>
      <c r="B310" s="5">
        <f ca="1">IFERROR(__xludf.DUMMYFUNCTION("""COMPUTED_VALUE"""),3)</f>
        <v>3</v>
      </c>
      <c r="C310" s="5">
        <f ca="1">IFERROR(__xludf.DUMMYFUNCTION("""COMPUTED_VALUE"""),30)</f>
        <v>30</v>
      </c>
      <c r="D310" s="5">
        <f ca="1">IFERROR(__xludf.DUMMYFUNCTION("""COMPUTED_VALUE"""),2022)</f>
        <v>2022</v>
      </c>
      <c r="E310" s="8">
        <f ca="1">IFERROR(__xludf.DUMMYFUNCTION("""COMPUTED_VALUE"""),44650)</f>
        <v>44650</v>
      </c>
      <c r="F310" s="5" t="str">
        <f ca="1">IFERROR(__xludf.DUMMYFUNCTION("""COMPUTED_VALUE"""),"Kingman High School")</f>
        <v>Kingman High School</v>
      </c>
      <c r="G310" s="5">
        <f ca="1">IFERROR(__xludf.DUMMYFUNCTION("""COMPUTED_VALUE"""),0)</f>
        <v>0</v>
      </c>
      <c r="H310" s="5">
        <f ca="1">IFERROR(__xludf.DUMMYFUNCTION("""COMPUTED_VALUE"""),1)</f>
        <v>1</v>
      </c>
      <c r="I310" s="5">
        <f ca="1">IFERROR(__xludf.DUMMYFUNCTION("""COMPUTED_VALUE"""),1)</f>
        <v>1</v>
      </c>
      <c r="J310" s="5">
        <f ca="1">IFERROR(__xludf.DUMMYFUNCTION("""COMPUTED_VALUE"""),0)</f>
        <v>0</v>
      </c>
      <c r="K310" s="5" t="str">
        <f ca="1">IFERROR(__xludf.DUMMYFUNCTION("""COMPUTED_VALUE"""),"https://kdminer.com/news/2022/mar/30/kingman-police-department-reports-15-year-old-high/ https://www.usnews.com/news/best-states/arizona/articles/2022-03-30/police-chief-student-accidentally-shot-in-leg-on-school-bus")</f>
        <v>https://kdminer.com/news/2022/mar/30/kingman-police-department-reports-15-year-old-high/ https://www.usnews.com/news/best-states/arizona/articles/2022-03-30/police-chief-student-accidentally-shot-in-leg-on-school-bus</v>
      </c>
      <c r="L310" s="5">
        <f ca="1">IFERROR(__xludf.DUMMYFUNCTION("""COMPUTED_VALUE"""),2)</f>
        <v>2</v>
      </c>
      <c r="M310" s="5" t="str">
        <f ca="1">IFERROR(__xludf.DUMMYFUNCTION("""COMPUTED_VALUE"""),"Local")</f>
        <v>Local</v>
      </c>
      <c r="N310" s="5">
        <f ca="1">IFERROR(__xludf.DUMMYFUNCTION("""COMPUTED_VALUE"""),4)</f>
        <v>4</v>
      </c>
      <c r="O310" s="5" t="str">
        <f ca="1">IFERROR(__xludf.DUMMYFUNCTION("""COMPUTED_VALUE"""),"Spring")</f>
        <v>Spring</v>
      </c>
      <c r="P310" s="5" t="str">
        <f ca="1">IFERROR(__xludf.DUMMYFUNCTION("""COMPUTED_VALUE"""),"Kingman")</f>
        <v>Kingman</v>
      </c>
      <c r="Q310" s="5" t="str">
        <f ca="1">IFERROR(__xludf.DUMMYFUNCTION("""COMPUTED_VALUE"""),"AZ")</f>
        <v>AZ</v>
      </c>
      <c r="R310" s="5" t="str">
        <f ca="1">IFERROR(__xludf.DUMMYFUNCTION("""COMPUTED_VALUE"""),"High")</f>
        <v>High</v>
      </c>
      <c r="S310" s="5" t="str">
        <f ca="1">IFERROR(__xludf.DUMMYFUNCTION("""COMPUTED_VALUE"""),"School Bus")</f>
        <v>School Bus</v>
      </c>
      <c r="T310" s="5" t="str">
        <f ca="1">IFERROR(__xludf.DUMMYFUNCTION("""COMPUTED_VALUE"""),"School Bus")</f>
        <v>School Bus</v>
      </c>
      <c r="U310" s="5" t="str">
        <f ca="1">IFERROR(__xludf.DUMMYFUNCTION("""COMPUTED_VALUE"""),"Yes")</f>
        <v>Yes</v>
      </c>
      <c r="V310" s="5" t="str">
        <f ca="1">IFERROR(__xludf.DUMMYFUNCTION("""COMPUTED_VALUE"""),"Dismissal")</f>
        <v>Dismissal</v>
      </c>
      <c r="W310" s="10">
        <f ca="1">IFERROR(__xludf.DUMMYFUNCTION("""COMPUTED_VALUE"""),0.625)</f>
        <v>0.625</v>
      </c>
      <c r="X310" s="5">
        <f ca="1">IFERROR(__xludf.DUMMYFUNCTION("""COMPUTED_VALUE"""),1)</f>
        <v>1</v>
      </c>
      <c r="Y310" s="5" t="str">
        <f ca="1">IFERROR(__xludf.DUMMYFUNCTION("""COMPUTED_VALUE"""),"Student shot in the leg on the school bus")</f>
        <v>Student shot in the leg on the school bus</v>
      </c>
      <c r="Z310" s="5" t="str">
        <f ca="1">IFERROR(__xludf.DUMMYFUNCTION("""COMPUTED_VALUE"""),"14-year-old student shot a 15-year-old student in the leg while on the school bus. Driver did not hear the shot. Shooter discarded the weapon when he got off the bus and was arrested later. Victim was transported to the hospital by his parents.")</f>
        <v>14-year-old student shot a 15-year-old student in the leg while on the school bus. Driver did not hear the shot. Shooter discarded the weapon when he got off the bus and was arrested later. Victim was transported to the hospital by his parents.</v>
      </c>
      <c r="AA310" s="5" t="str">
        <f ca="1">IFERROR(__xludf.DUMMYFUNCTION("""COMPUTED_VALUE"""),"Accidental")</f>
        <v>Accidental</v>
      </c>
      <c r="AB310" s="5" t="str">
        <f ca="1">IFERROR(__xludf.DUMMYFUNCTION("""COMPUTED_VALUE"""),"Neither")</f>
        <v>Neither</v>
      </c>
      <c r="AC310" s="5" t="str">
        <f ca="1">IFERROR(__xludf.DUMMYFUNCTION("""COMPUTED_VALUE"""),"No")</f>
        <v>No</v>
      </c>
      <c r="AD310" s="5" t="str">
        <f ca="1">IFERROR(__xludf.DUMMYFUNCTION("""COMPUTED_VALUE"""),"No")</f>
        <v>No</v>
      </c>
      <c r="AE310" s="5" t="str">
        <f ca="1">IFERROR(__xludf.DUMMYFUNCTION("""COMPUTED_VALUE"""),"No")</f>
        <v>No</v>
      </c>
      <c r="AF310" s="5" t="str">
        <f ca="1">IFERROR(__xludf.DUMMYFUNCTION("""COMPUTED_VALUE"""),"No")</f>
        <v>No</v>
      </c>
      <c r="AG310" s="5" t="str">
        <f ca="1">IFERROR(__xludf.DUMMYFUNCTION("""COMPUTED_VALUE"""),"No")</f>
        <v>No</v>
      </c>
      <c r="AH310" s="5" t="str">
        <f ca="1">IFERROR(__xludf.DUMMYFUNCTION("""COMPUTED_VALUE"""),"No")</f>
        <v>No</v>
      </c>
      <c r="AI310" s="5" t="str">
        <f ca="1">IFERROR(__xludf.DUMMYFUNCTION("""COMPUTED_VALUE"""),"No")</f>
        <v>No</v>
      </c>
      <c r="AJ310" s="5" t="str">
        <f ca="1">IFERROR(__xludf.DUMMYFUNCTION("""COMPUTED_VALUE"""),"No")</f>
        <v>No</v>
      </c>
    </row>
    <row r="311" spans="1:36" ht="13">
      <c r="A311" s="5" t="str">
        <f ca="1">IFERROR(__xludf.DUMMYFUNCTION("""COMPUTED_VALUE"""),"20220329VALUR")</f>
        <v>20220329VALUR</v>
      </c>
      <c r="B311" s="5">
        <f ca="1">IFERROR(__xludf.DUMMYFUNCTION("""COMPUTED_VALUE"""),3)</f>
        <v>3</v>
      </c>
      <c r="C311" s="5">
        <f ca="1">IFERROR(__xludf.DUMMYFUNCTION("""COMPUTED_VALUE"""),29)</f>
        <v>29</v>
      </c>
      <c r="D311" s="5">
        <f ca="1">IFERROR(__xludf.DUMMYFUNCTION("""COMPUTED_VALUE"""),2022)</f>
        <v>2022</v>
      </c>
      <c r="E311" s="8">
        <f ca="1">IFERROR(__xludf.DUMMYFUNCTION("""COMPUTED_VALUE"""),44649)</f>
        <v>44649</v>
      </c>
      <c r="F311" s="5" t="str">
        <f ca="1">IFERROR(__xludf.DUMMYFUNCTION("""COMPUTED_VALUE"""),"Lucy Addison Middle School")</f>
        <v>Lucy Addison Middle School</v>
      </c>
      <c r="G311" s="5">
        <f ca="1">IFERROR(__xludf.DUMMYFUNCTION("""COMPUTED_VALUE"""),0)</f>
        <v>0</v>
      </c>
      <c r="H311" s="5">
        <f ca="1">IFERROR(__xludf.DUMMYFUNCTION("""COMPUTED_VALUE"""),0)</f>
        <v>0</v>
      </c>
      <c r="I311" s="5">
        <f ca="1">IFERROR(__xludf.DUMMYFUNCTION("""COMPUTED_VALUE"""),0)</f>
        <v>0</v>
      </c>
      <c r="J311" s="5">
        <f ca="1">IFERROR(__xludf.DUMMYFUNCTION("""COMPUTED_VALUE"""),0)</f>
        <v>0</v>
      </c>
      <c r="K311" s="5" t="str">
        <f ca="1">IFERROR(__xludf.DUMMYFUNCTION("""COMPUTED_VALUE"""),"https://wset.com/news/local/lucy-addison-middle-school-shootinggun-fired-in-roanoke-middle-school-bathroom-march-29-2022 https://www.wfxrtv.com/news/local-news/roanoke-valley-news/gun-fired-in-bathroom-at-lucy-addison-ms-in-roanoke/ https://www.wdbj7.com/"&amp;"2022/03/29/addison-middle-school-lockdown-during-gun-investigation/")</f>
        <v>https://wset.com/news/local/lucy-addison-middle-school-shootinggun-fired-in-roanoke-middle-school-bathroom-march-29-2022 https://www.wfxrtv.com/news/local-news/roanoke-valley-news/gun-fired-in-bathroom-at-lucy-addison-ms-in-roanoke/ https://www.wdbj7.com/2022/03/29/addison-middle-school-lockdown-during-gun-investigation/</v>
      </c>
      <c r="L311" s="5">
        <f ca="1">IFERROR(__xludf.DUMMYFUNCTION("""COMPUTED_VALUE"""),3)</f>
        <v>3</v>
      </c>
      <c r="M311" s="5" t="str">
        <f ca="1">IFERROR(__xludf.DUMMYFUNCTION("""COMPUTED_VALUE"""),"Local")</f>
        <v>Local</v>
      </c>
      <c r="N311" s="5">
        <f ca="1">IFERROR(__xludf.DUMMYFUNCTION("""COMPUTED_VALUE"""),4)</f>
        <v>4</v>
      </c>
      <c r="O311" s="5" t="str">
        <f ca="1">IFERROR(__xludf.DUMMYFUNCTION("""COMPUTED_VALUE"""),"Spring")</f>
        <v>Spring</v>
      </c>
      <c r="P311" s="5" t="str">
        <f ca="1">IFERROR(__xludf.DUMMYFUNCTION("""COMPUTED_VALUE"""),"Roanoke")</f>
        <v>Roanoke</v>
      </c>
      <c r="Q311" s="5" t="str">
        <f ca="1">IFERROR(__xludf.DUMMYFUNCTION("""COMPUTED_VALUE"""),"VA")</f>
        <v>VA</v>
      </c>
      <c r="R311" s="5" t="str">
        <f ca="1">IFERROR(__xludf.DUMMYFUNCTION("""COMPUTED_VALUE"""),"Middle")</f>
        <v>Middle</v>
      </c>
      <c r="S311" s="5" t="str">
        <f ca="1">IFERROR(__xludf.DUMMYFUNCTION("""COMPUTED_VALUE"""),"Bathroom")</f>
        <v>Bathroom</v>
      </c>
      <c r="T311" s="5" t="str">
        <f ca="1">IFERROR(__xludf.DUMMYFUNCTION("""COMPUTED_VALUE"""),"Inside School Building")</f>
        <v>Inside School Building</v>
      </c>
      <c r="U311" s="5" t="str">
        <f ca="1">IFERROR(__xludf.DUMMYFUNCTION("""COMPUTED_VALUE"""),"Yes")</f>
        <v>Yes</v>
      </c>
      <c r="V311" s="5" t="str">
        <f ca="1">IFERROR(__xludf.DUMMYFUNCTION("""COMPUTED_VALUE"""),"Afternoon Classes")</f>
        <v>Afternoon Classes</v>
      </c>
      <c r="W311" s="10">
        <f ca="1">IFERROR(__xludf.DUMMYFUNCTION("""COMPUTED_VALUE"""),0.59375)</f>
        <v>0.59375</v>
      </c>
      <c r="X311" s="5">
        <f ca="1">IFERROR(__xludf.DUMMYFUNCTION("""COMPUTED_VALUE"""),1)</f>
        <v>1</v>
      </c>
      <c r="Y311" s="5" t="str">
        <f ca="1">IFERROR(__xludf.DUMMYFUNCTION("""COMPUTED_VALUE"""),"Student fired gun in bathroom")</f>
        <v>Student fired gun in bathroom</v>
      </c>
      <c r="Z311" s="5" t="str">
        <f ca="1">IFERROR(__xludf.DUMMYFUNCTION("""COMPUTED_VALUE"""),"A student fired a gun in the bathroom, left weapon, and left the bathroom. Students and staff heard hear the shot, notified the SRO, and the school went on lockdown for 1 hour. The SRO was able to identify the student responsible and the student was arres"&amp;"ted.")</f>
        <v>A student fired a gun in the bathroom, left weapon, and left the bathroom. Students and staff heard hear the shot, notified the SRO, and the school went on lockdown for 1 hour. The SRO was able to identify the student responsible and the student was arrested.</v>
      </c>
      <c r="AA311" s="5"/>
      <c r="AB311" s="5" t="str">
        <f ca="1">IFERROR(__xludf.DUMMYFUNCTION("""COMPUTED_VALUE"""),"Neither")</f>
        <v>Neither</v>
      </c>
      <c r="AC311" s="5" t="str">
        <f ca="1">IFERROR(__xludf.DUMMYFUNCTION("""COMPUTED_VALUE"""),"No")</f>
        <v>No</v>
      </c>
      <c r="AD311" s="5" t="str">
        <f ca="1">IFERROR(__xludf.DUMMYFUNCTION("""COMPUTED_VALUE"""),"No")</f>
        <v>No</v>
      </c>
      <c r="AE311" s="5" t="str">
        <f ca="1">IFERROR(__xludf.DUMMYFUNCTION("""COMPUTED_VALUE"""),"No")</f>
        <v>No</v>
      </c>
      <c r="AF311" s="5" t="str">
        <f ca="1">IFERROR(__xludf.DUMMYFUNCTION("""COMPUTED_VALUE"""),"No")</f>
        <v>No</v>
      </c>
      <c r="AG311" s="5" t="str">
        <f ca="1">IFERROR(__xludf.DUMMYFUNCTION("""COMPUTED_VALUE"""),"No")</f>
        <v>No</v>
      </c>
      <c r="AH311" s="5" t="str">
        <f ca="1">IFERROR(__xludf.DUMMYFUNCTION("""COMPUTED_VALUE"""),"No")</f>
        <v>No</v>
      </c>
      <c r="AI311" s="5" t="str">
        <f ca="1">IFERROR(__xludf.DUMMYFUNCTION("""COMPUTED_VALUE"""),"No")</f>
        <v>No</v>
      </c>
      <c r="AJ311" s="5" t="str">
        <f ca="1">IFERROR(__xludf.DUMMYFUNCTION("""COMPUTED_VALUE"""),"No")</f>
        <v>No</v>
      </c>
    </row>
    <row r="312" spans="1:36" ht="13">
      <c r="A312" s="5" t="str">
        <f ca="1">IFERROR(__xludf.DUMMYFUNCTION("""COMPUTED_VALUE"""),"20220329NVWEL")</f>
        <v>20220329NVWEL</v>
      </c>
      <c r="B312" s="5">
        <f ca="1">IFERROR(__xludf.DUMMYFUNCTION("""COMPUTED_VALUE"""),3)</f>
        <v>3</v>
      </c>
      <c r="C312" s="5">
        <f ca="1">IFERROR(__xludf.DUMMYFUNCTION("""COMPUTED_VALUE"""),29)</f>
        <v>29</v>
      </c>
      <c r="D312" s="5">
        <f ca="1">IFERROR(__xludf.DUMMYFUNCTION("""COMPUTED_VALUE"""),2022)</f>
        <v>2022</v>
      </c>
      <c r="E312" s="8">
        <f ca="1">IFERROR(__xludf.DUMMYFUNCTION("""COMPUTED_VALUE"""),44649)</f>
        <v>44649</v>
      </c>
      <c r="F312" s="5" t="str">
        <f ca="1">IFERROR(__xludf.DUMMYFUNCTION("""COMPUTED_VALUE"""),"Western High School")</f>
        <v>Western High School</v>
      </c>
      <c r="G312" s="5">
        <f ca="1">IFERROR(__xludf.DUMMYFUNCTION("""COMPUTED_VALUE"""),0)</f>
        <v>0</v>
      </c>
      <c r="H312" s="5">
        <f ca="1">IFERROR(__xludf.DUMMYFUNCTION("""COMPUTED_VALUE"""),2)</f>
        <v>2</v>
      </c>
      <c r="I312" s="5">
        <f ca="1">IFERROR(__xludf.DUMMYFUNCTION("""COMPUTED_VALUE"""),2)</f>
        <v>2</v>
      </c>
      <c r="J312" s="5">
        <f ca="1">IFERROR(__xludf.DUMMYFUNCTION("""COMPUTED_VALUE"""),0)</f>
        <v>0</v>
      </c>
      <c r="K312" s="5" t="str">
        <f ca="1">IFERROR(__xludf.DUMMYFUNCTION("""COMPUTED_VALUE"""),"https://www.8newsnow.com/news/local-news/exclusive-teen-inside-car-during-western-high-school-shooting-describes-chaos/ https://www.8newsnow.com/news/local-news/metro-ccsd-police-investigating-shooting-near-bonanza-decatur/ https://www.ktnv.com/news/crime"&amp;"/police-investigate-shooting-near-western-high-school https://www.reviewjournal.com/crime/shootings/officer-shoots-2-juveniles-after-car-strikes-girl-at-western-high-school-2553178/")</f>
        <v>https://www.8newsnow.com/news/local-news/exclusive-teen-inside-car-during-western-high-school-shooting-describes-chaos/ https://www.8newsnow.com/news/local-news/metro-ccsd-police-investigating-shooting-near-bonanza-decatur/ https://www.ktnv.com/news/crime/police-investigate-shooting-near-western-high-school https://www.reviewjournal.com/crime/shootings/officer-shoots-2-juveniles-after-car-strikes-girl-at-western-high-school-2553178/</v>
      </c>
      <c r="L312" s="5">
        <f ca="1">IFERROR(__xludf.DUMMYFUNCTION("""COMPUTED_VALUE"""),5)</f>
        <v>5</v>
      </c>
      <c r="M312" s="5" t="str">
        <f ca="1">IFERROR(__xludf.DUMMYFUNCTION("""COMPUTED_VALUE"""),"Regional")</f>
        <v>Regional</v>
      </c>
      <c r="N312" s="5">
        <f ca="1">IFERROR(__xludf.DUMMYFUNCTION("""COMPUTED_VALUE"""),4)</f>
        <v>4</v>
      </c>
      <c r="O312" s="5" t="str">
        <f ca="1">IFERROR(__xludf.DUMMYFUNCTION("""COMPUTED_VALUE"""),"Spring")</f>
        <v>Spring</v>
      </c>
      <c r="P312" s="5" t="str">
        <f ca="1">IFERROR(__xludf.DUMMYFUNCTION("""COMPUTED_VALUE"""),"Las Vegas")</f>
        <v>Las Vegas</v>
      </c>
      <c r="Q312" s="5" t="str">
        <f ca="1">IFERROR(__xludf.DUMMYFUNCTION("""COMPUTED_VALUE"""),"NV")</f>
        <v>NV</v>
      </c>
      <c r="R312" s="5" t="str">
        <f ca="1">IFERROR(__xludf.DUMMYFUNCTION("""COMPUTED_VALUE"""),"High")</f>
        <v>High</v>
      </c>
      <c r="S312" s="5" t="str">
        <f ca="1">IFERROR(__xludf.DUMMYFUNCTION("""COMPUTED_VALUE"""),"Parking Lot")</f>
        <v>Parking Lot</v>
      </c>
      <c r="T312" s="5" t="str">
        <f ca="1">IFERROR(__xludf.DUMMYFUNCTION("""COMPUTED_VALUE"""),"Outside on School Property")</f>
        <v>Outside on School Property</v>
      </c>
      <c r="U312" s="5" t="str">
        <f ca="1">IFERROR(__xludf.DUMMYFUNCTION("""COMPUTED_VALUE"""),"Yes")</f>
        <v>Yes</v>
      </c>
      <c r="V312" s="5" t="str">
        <f ca="1">IFERROR(__xludf.DUMMYFUNCTION("""COMPUTED_VALUE"""),"Dismissal")</f>
        <v>Dismissal</v>
      </c>
      <c r="W312" s="10">
        <f ca="1">IFERROR(__xludf.DUMMYFUNCTION("""COMPUTED_VALUE"""),0.59375)</f>
        <v>0.59375</v>
      </c>
      <c r="X312" s="5">
        <f ca="1">IFERROR(__xludf.DUMMYFUNCTION("""COMPUTED_VALUE"""),1)</f>
        <v>1</v>
      </c>
      <c r="Y312" s="5" t="str">
        <f ca="1">IFERROR(__xludf.DUMMYFUNCTION("""COMPUTED_VALUE"""),"SRO fired at vehicle that struck student in parking lot")</f>
        <v>SRO fired at vehicle that struck student in parking lot</v>
      </c>
      <c r="Z312" s="5" t="str">
        <f ca="1">IFERROR(__xludf.DUMMYFUNCTION("""COMPUTED_VALUE"""),"During a fight at dismissal, two teens in a vehicle struck a student in the school parking lot. The vehicle continued to drive at a high rate of speed and the SRO fired shots at the vehicle injuring the two occupants. Teens in vehicle fled and were taken "&amp;"to hospital by family members. Student struck by vehicle had minor injuries. School did not go into lockdown and dismissal continued.")</f>
        <v>During a fight at dismissal, two teens in a vehicle struck a student in the school parking lot. The vehicle continued to drive at a high rate of speed and the SRO fired shots at the vehicle injuring the two occupants. Teens in vehicle fled and were taken to hospital by family members. Student struck by vehicle had minor injuries. School did not go into lockdown and dismissal continued.</v>
      </c>
      <c r="AA312" s="5" t="str">
        <f ca="1">IFERROR(__xludf.DUMMYFUNCTION("""COMPUTED_VALUE"""),"Officer-Involved Shooting")</f>
        <v>Officer-Involved Shooting</v>
      </c>
      <c r="AB312" s="5"/>
      <c r="AC312" s="5"/>
      <c r="AD312" s="5"/>
      <c r="AE312" s="5"/>
      <c r="AF312" s="5" t="str">
        <f ca="1">IFERROR(__xludf.DUMMYFUNCTION("""COMPUTED_VALUE"""),"Yes")</f>
        <v>Yes</v>
      </c>
      <c r="AG312" s="5"/>
      <c r="AH312" s="5"/>
      <c r="AI312" s="5"/>
      <c r="AJ312" s="5" t="str">
        <f ca="1">IFERROR(__xludf.DUMMYFUNCTION("""COMPUTED_VALUE"""),"No")</f>
        <v>No</v>
      </c>
    </row>
    <row r="313" spans="1:36" ht="13">
      <c r="A313" s="5" t="str">
        <f ca="1">IFERROR(__xludf.DUMMYFUNCTION("""COMPUTED_VALUE"""),"20220328TXNOF")</f>
        <v>20220328TXNOF</v>
      </c>
      <c r="B313" s="5">
        <f ca="1">IFERROR(__xludf.DUMMYFUNCTION("""COMPUTED_VALUE"""),3)</f>
        <v>3</v>
      </c>
      <c r="C313" s="5">
        <f ca="1">IFERROR(__xludf.DUMMYFUNCTION("""COMPUTED_VALUE"""),28)</f>
        <v>28</v>
      </c>
      <c r="D313" s="5">
        <f ca="1">IFERROR(__xludf.DUMMYFUNCTION("""COMPUTED_VALUE"""),2022)</f>
        <v>2022</v>
      </c>
      <c r="E313" s="8">
        <f ca="1">IFERROR(__xludf.DUMMYFUNCTION("""COMPUTED_VALUE"""),44648)</f>
        <v>44648</v>
      </c>
      <c r="F313" s="5" t="str">
        <f ca="1">IFERROR(__xludf.DUMMYFUNCTION("""COMPUTED_VALUE"""),"North Crowley High School")</f>
        <v>North Crowley High School</v>
      </c>
      <c r="G313" s="5">
        <f ca="1">IFERROR(__xludf.DUMMYFUNCTION("""COMPUTED_VALUE"""),0)</f>
        <v>0</v>
      </c>
      <c r="H313" s="5">
        <f ca="1">IFERROR(__xludf.DUMMYFUNCTION("""COMPUTED_VALUE"""),0)</f>
        <v>0</v>
      </c>
      <c r="I313" s="5">
        <f ca="1">IFERROR(__xludf.DUMMYFUNCTION("""COMPUTED_VALUE"""),0)</f>
        <v>0</v>
      </c>
      <c r="J313" s="5">
        <f ca="1">IFERROR(__xludf.DUMMYFUNCTION("""COMPUTED_VALUE"""),0)</f>
        <v>0</v>
      </c>
      <c r="K313" s="5" t="str">
        <f ca="1">IFERROR(__xludf.DUMMYFUNCTION("""COMPUTED_VALUE"""),"https://www.star-telegram.com/news/local/crime/article259904380.html https://dfw.cbslocal.com/2022/03/29/no-one-injured-after-reported-shooting-outside-north-crowley-high-school/")</f>
        <v>https://www.star-telegram.com/news/local/crime/article259904380.html https://dfw.cbslocal.com/2022/03/29/no-one-injured-after-reported-shooting-outside-north-crowley-high-school/</v>
      </c>
      <c r="L313" s="5">
        <f ca="1">IFERROR(__xludf.DUMMYFUNCTION("""COMPUTED_VALUE"""),2)</f>
        <v>2</v>
      </c>
      <c r="M313" s="5" t="str">
        <f ca="1">IFERROR(__xludf.DUMMYFUNCTION("""COMPUTED_VALUE"""),"Local")</f>
        <v>Local</v>
      </c>
      <c r="N313" s="5">
        <f ca="1">IFERROR(__xludf.DUMMYFUNCTION("""COMPUTED_VALUE"""),4)</f>
        <v>4</v>
      </c>
      <c r="O313" s="5" t="str">
        <f ca="1">IFERROR(__xludf.DUMMYFUNCTION("""COMPUTED_VALUE"""),"Spring")</f>
        <v>Spring</v>
      </c>
      <c r="P313" s="5" t="str">
        <f ca="1">IFERROR(__xludf.DUMMYFUNCTION("""COMPUTED_VALUE"""),"Fort Worth")</f>
        <v>Fort Worth</v>
      </c>
      <c r="Q313" s="5" t="str">
        <f ca="1">IFERROR(__xludf.DUMMYFUNCTION("""COMPUTED_VALUE"""),"TX")</f>
        <v>TX</v>
      </c>
      <c r="R313" s="5" t="str">
        <f ca="1">IFERROR(__xludf.DUMMYFUNCTION("""COMPUTED_VALUE"""),"High")</f>
        <v>High</v>
      </c>
      <c r="S313" s="5" t="str">
        <f ca="1">IFERROR(__xludf.DUMMYFUNCTION("""COMPUTED_VALUE"""),"Parking Lot")</f>
        <v>Parking Lot</v>
      </c>
      <c r="T313" s="5" t="str">
        <f ca="1">IFERROR(__xludf.DUMMYFUNCTION("""COMPUTED_VALUE"""),"Outside on School Property")</f>
        <v>Outside on School Property</v>
      </c>
      <c r="U313" s="5" t="str">
        <f ca="1">IFERROR(__xludf.DUMMYFUNCTION("""COMPUTED_VALUE"""),"No")</f>
        <v>No</v>
      </c>
      <c r="V313" s="5" t="str">
        <f ca="1">IFERROR(__xludf.DUMMYFUNCTION("""COMPUTED_VALUE"""),"After School")</f>
        <v>After School</v>
      </c>
      <c r="W313" s="10">
        <f ca="1">IFERROR(__xludf.DUMMYFUNCTION("""COMPUTED_VALUE"""),0.6875)</f>
        <v>0.6875</v>
      </c>
      <c r="X313" s="5">
        <f ca="1">IFERROR(__xludf.DUMMYFUNCTION("""COMPUTED_VALUE"""),1)</f>
        <v>1</v>
      </c>
      <c r="Y313" s="5" t="str">
        <f ca="1">IFERROR(__xludf.DUMMYFUNCTION("""COMPUTED_VALUE"""),"Shots fired from a vehicle in the student parking lot")</f>
        <v>Shots fired from a vehicle in the student parking lot</v>
      </c>
      <c r="Z313" s="5" t="str">
        <f ca="1">IFERROR(__xludf.DUMMYFUNCTION("""COMPUTED_VALUE"""),"Shots were fired from a vehicle in the student parking lot. No injuries. School went on lockdown for 25 minutes.")</f>
        <v>Shots were fired from a vehicle in the student parking lot. No injuries. School went on lockdown for 25 minutes.</v>
      </c>
      <c r="AA313" s="5" t="str">
        <f ca="1">IFERROR(__xludf.DUMMYFUNCTION("""COMPUTED_VALUE"""),"Drive-by Shooting")</f>
        <v>Drive-by Shooting</v>
      </c>
      <c r="AB313" s="5"/>
      <c r="AC313" s="5" t="str">
        <f ca="1">IFERROR(__xludf.DUMMYFUNCTION("""COMPUTED_VALUE"""),"No")</f>
        <v>No</v>
      </c>
      <c r="AD313" s="5" t="str">
        <f ca="1">IFERROR(__xludf.DUMMYFUNCTION("""COMPUTED_VALUE"""),"No")</f>
        <v>No</v>
      </c>
      <c r="AE313" s="5" t="str">
        <f ca="1">IFERROR(__xludf.DUMMYFUNCTION("""COMPUTED_VALUE"""),"No")</f>
        <v>No</v>
      </c>
      <c r="AF313" s="5" t="str">
        <f ca="1">IFERROR(__xludf.DUMMYFUNCTION("""COMPUTED_VALUE"""),"No")</f>
        <v>No</v>
      </c>
      <c r="AG313" s="5" t="str">
        <f ca="1">IFERROR(__xludf.DUMMYFUNCTION("""COMPUTED_VALUE"""),"No")</f>
        <v>No</v>
      </c>
      <c r="AH313" s="5" t="str">
        <f ca="1">IFERROR(__xludf.DUMMYFUNCTION("""COMPUTED_VALUE"""),"No")</f>
        <v>No</v>
      </c>
      <c r="AI313" s="5" t="str">
        <f ca="1">IFERROR(__xludf.DUMMYFUNCTION("""COMPUTED_VALUE"""),"No")</f>
        <v>No</v>
      </c>
      <c r="AJ313" s="5" t="str">
        <f ca="1">IFERROR(__xludf.DUMMYFUNCTION("""COMPUTED_VALUE"""),"No")</f>
        <v>No</v>
      </c>
    </row>
    <row r="314" spans="1:36" ht="13">
      <c r="A314" s="5" t="str">
        <f ca="1">IFERROR(__xludf.DUMMYFUNCTION("""COMPUTED_VALUE"""),"20220328NCOAC")</f>
        <v>20220328NCOAC</v>
      </c>
      <c r="B314" s="5">
        <f ca="1">IFERROR(__xludf.DUMMYFUNCTION("""COMPUTED_VALUE"""),3)</f>
        <v>3</v>
      </c>
      <c r="C314" s="5">
        <f ca="1">IFERROR(__xludf.DUMMYFUNCTION("""COMPUTED_VALUE"""),28)</f>
        <v>28</v>
      </c>
      <c r="D314" s="5">
        <f ca="1">IFERROR(__xludf.DUMMYFUNCTION("""COMPUTED_VALUE"""),2022)</f>
        <v>2022</v>
      </c>
      <c r="E314" s="8">
        <f ca="1">IFERROR(__xludf.DUMMYFUNCTION("""COMPUTED_VALUE"""),44648)</f>
        <v>44648</v>
      </c>
      <c r="F314" s="5" t="str">
        <f ca="1">IFERROR(__xludf.DUMMYFUNCTION("""COMPUTED_VALUE"""),"Oakdale Elementary School")</f>
        <v>Oakdale Elementary School</v>
      </c>
      <c r="G314" s="5">
        <f ca="1">IFERROR(__xludf.DUMMYFUNCTION("""COMPUTED_VALUE"""),0)</f>
        <v>0</v>
      </c>
      <c r="H314" s="5">
        <f ca="1">IFERROR(__xludf.DUMMYFUNCTION("""COMPUTED_VALUE"""),1)</f>
        <v>1</v>
      </c>
      <c r="I314" s="5">
        <f ca="1">IFERROR(__xludf.DUMMYFUNCTION("""COMPUTED_VALUE"""),1)</f>
        <v>1</v>
      </c>
      <c r="J314" s="5">
        <f ca="1">IFERROR(__xludf.DUMMYFUNCTION("""COMPUTED_VALUE"""),0)</f>
        <v>0</v>
      </c>
      <c r="K314" s="5" t="str">
        <f ca="1">IFERROR(__xludf.DUMMYFUNCTION("""COMPUTED_VALUE"""),"https://www.wsoctv.com/news/local/police-investigate-shooting-charlotte-elementary-school/FCKDWR7YEREGJDRJYOFP2YROG4/ https://www.wsoctv.com/news/local/police-investigate-shooting-charlotte-elementary-school/FCKDWR7YEREGJDRJYOFP2YROG4/ https://www.wccbcha"&amp;"rlotte.com/2022/03/28/cmpd-investigating-shooting-at-northwest-charlotte-elementary-school-during-teacher-workday/ https://www.fox46.com/charlotte/2-injured-in-north-charlotte-shooting-not-far-from-elementary-school/")</f>
        <v>https://www.wsoctv.com/news/local/police-investigate-shooting-charlotte-elementary-school/FCKDWR7YEREGJDRJYOFP2YROG4/ https://www.wsoctv.com/news/local/police-investigate-shooting-charlotte-elementary-school/FCKDWR7YEREGJDRJYOFP2YROG4/ https://www.wccbcharlotte.com/2022/03/28/cmpd-investigating-shooting-at-northwest-charlotte-elementary-school-during-teacher-workday/ https://www.fox46.com/charlotte/2-injured-in-north-charlotte-shooting-not-far-from-elementary-school/</v>
      </c>
      <c r="L314" s="5">
        <f ca="1">IFERROR(__xludf.DUMMYFUNCTION("""COMPUTED_VALUE"""),3)</f>
        <v>3</v>
      </c>
      <c r="M314" s="5" t="str">
        <f ca="1">IFERROR(__xludf.DUMMYFUNCTION("""COMPUTED_VALUE"""),"Local")</f>
        <v>Local</v>
      </c>
      <c r="N314" s="5">
        <f ca="1">IFERROR(__xludf.DUMMYFUNCTION("""COMPUTED_VALUE"""),4)</f>
        <v>4</v>
      </c>
      <c r="O314" s="5" t="str">
        <f ca="1">IFERROR(__xludf.DUMMYFUNCTION("""COMPUTED_VALUE"""),"Spring")</f>
        <v>Spring</v>
      </c>
      <c r="P314" s="5" t="str">
        <f ca="1">IFERROR(__xludf.DUMMYFUNCTION("""COMPUTED_VALUE"""),"Charlotte")</f>
        <v>Charlotte</v>
      </c>
      <c r="Q314" s="5" t="str">
        <f ca="1">IFERROR(__xludf.DUMMYFUNCTION("""COMPUTED_VALUE"""),"NC")</f>
        <v>NC</v>
      </c>
      <c r="R314" s="5" t="str">
        <f ca="1">IFERROR(__xludf.DUMMYFUNCTION("""COMPUTED_VALUE"""),"Elementary")</f>
        <v>Elementary</v>
      </c>
      <c r="S314" s="5" t="str">
        <f ca="1">IFERROR(__xludf.DUMMYFUNCTION("""COMPUTED_VALUE"""),"Parking Lot")</f>
        <v>Parking Lot</v>
      </c>
      <c r="T314" s="5" t="str">
        <f ca="1">IFERROR(__xludf.DUMMYFUNCTION("""COMPUTED_VALUE"""),"Outside on School Property")</f>
        <v>Outside on School Property</v>
      </c>
      <c r="U314" s="5" t="str">
        <f ca="1">IFERROR(__xludf.DUMMYFUNCTION("""COMPUTED_VALUE"""),"No")</f>
        <v>No</v>
      </c>
      <c r="V314" s="5" t="str">
        <f ca="1">IFERROR(__xludf.DUMMYFUNCTION("""COMPUTED_VALUE"""),"Not a School Day")</f>
        <v>Not a School Day</v>
      </c>
      <c r="W314" s="10">
        <f ca="1">IFERROR(__xludf.DUMMYFUNCTION("""COMPUTED_VALUE"""),0.479166666666666)</f>
        <v>0.47916666666666602</v>
      </c>
      <c r="X314" s="5">
        <f ca="1">IFERROR(__xludf.DUMMYFUNCTION("""COMPUTED_VALUE"""),1)</f>
        <v>1</v>
      </c>
      <c r="Y314" s="5" t="str">
        <f ca="1">IFERROR(__xludf.DUMMYFUNCTION("""COMPUTED_VALUE"""),"Teen shot during attempted robbery in school parking lot")</f>
        <v>Teen shot during attempted robbery in school parking lot</v>
      </c>
      <c r="Z314" s="5" t="str">
        <f ca="1">IFERROR(__xludf.DUMMYFUNCTION("""COMPUTED_VALUE"""),"16-year-old was shot by an 18-year-old during an attempted robbery in the school parking lot. Class was not in session for teacher workday. Staff inside locked down the building.")</f>
        <v>16-year-old was shot by an 18-year-old during an attempted robbery in the school parking lot. Class was not in session for teacher workday. Staff inside locked down the building.</v>
      </c>
      <c r="AA314" s="5" t="str">
        <f ca="1">IFERROR(__xludf.DUMMYFUNCTION("""COMPUTED_VALUE"""),"Illegal Activity")</f>
        <v>Illegal Activity</v>
      </c>
      <c r="AB314" s="5" t="str">
        <f ca="1">IFERROR(__xludf.DUMMYFUNCTION("""COMPUTED_VALUE"""),"Victims Targeted")</f>
        <v>Victims Targeted</v>
      </c>
      <c r="AC314" s="5" t="str">
        <f ca="1">IFERROR(__xludf.DUMMYFUNCTION("""COMPUTED_VALUE"""),"No")</f>
        <v>No</v>
      </c>
      <c r="AD314" s="5" t="str">
        <f ca="1">IFERROR(__xludf.DUMMYFUNCTION("""COMPUTED_VALUE"""),"No")</f>
        <v>No</v>
      </c>
      <c r="AE314" s="5" t="str">
        <f ca="1">IFERROR(__xludf.DUMMYFUNCTION("""COMPUTED_VALUE"""),"No")</f>
        <v>No</v>
      </c>
      <c r="AF314" s="5" t="str">
        <f ca="1">IFERROR(__xludf.DUMMYFUNCTION("""COMPUTED_VALUE"""),"No")</f>
        <v>No</v>
      </c>
      <c r="AG314" s="5" t="str">
        <f ca="1">IFERROR(__xludf.DUMMYFUNCTION("""COMPUTED_VALUE"""),"No")</f>
        <v>No</v>
      </c>
      <c r="AH314" s="5" t="str">
        <f ca="1">IFERROR(__xludf.DUMMYFUNCTION("""COMPUTED_VALUE"""),"No")</f>
        <v>No</v>
      </c>
      <c r="AI314" s="5" t="str">
        <f ca="1">IFERROR(__xludf.DUMMYFUNCTION("""COMPUTED_VALUE"""),"No")</f>
        <v>No</v>
      </c>
      <c r="AJ314" s="5" t="str">
        <f ca="1">IFERROR(__xludf.DUMMYFUNCTION("""COMPUTED_VALUE"""),"No")</f>
        <v>No</v>
      </c>
    </row>
    <row r="315" spans="1:36" ht="13">
      <c r="A315" s="5" t="str">
        <f ca="1">IFERROR(__xludf.DUMMYFUNCTION("""COMPUTED_VALUE"""),"20220325TNBRM")</f>
        <v>20220325TNBRM</v>
      </c>
      <c r="B315" s="5">
        <f ca="1">IFERROR(__xludf.DUMMYFUNCTION("""COMPUTED_VALUE"""),3)</f>
        <v>3</v>
      </c>
      <c r="C315" s="5">
        <f ca="1">IFERROR(__xludf.DUMMYFUNCTION("""COMPUTED_VALUE"""),25)</f>
        <v>25</v>
      </c>
      <c r="D315" s="5">
        <f ca="1">IFERROR(__xludf.DUMMYFUNCTION("""COMPUTED_VALUE"""),2022)</f>
        <v>2022</v>
      </c>
      <c r="E315" s="8">
        <f ca="1">IFERROR(__xludf.DUMMYFUNCTION("""COMPUTED_VALUE"""),44645)</f>
        <v>44645</v>
      </c>
      <c r="F315" s="5" t="str">
        <f ca="1">IFERROR(__xludf.DUMMYFUNCTION("""COMPUTED_VALUE"""),"Brighton High School")</f>
        <v>Brighton High School</v>
      </c>
      <c r="G315" s="5">
        <f ca="1">IFERROR(__xludf.DUMMYFUNCTION("""COMPUTED_VALUE"""),0)</f>
        <v>0</v>
      </c>
      <c r="H315" s="5">
        <f ca="1">IFERROR(__xludf.DUMMYFUNCTION("""COMPUTED_VALUE"""),0)</f>
        <v>0</v>
      </c>
      <c r="I315" s="5">
        <f ca="1">IFERROR(__xludf.DUMMYFUNCTION("""COMPUTED_VALUE"""),0)</f>
        <v>0</v>
      </c>
      <c r="J315" s="5">
        <f ca="1">IFERROR(__xludf.DUMMYFUNCTION("""COMPUTED_VALUE"""),0)</f>
        <v>0</v>
      </c>
      <c r="K315" s="9" t="str">
        <f ca="1">IFERROR(__xludf.DUMMYFUNCTION("""COMPUTED_VALUE"""),"https://www.actionnews5.com/2022/03/26/shots-fired-during-candlelight-vigil-brighton-high-school/")</f>
        <v>https://www.actionnews5.com/2022/03/26/shots-fired-during-candlelight-vigil-brighton-high-school/</v>
      </c>
      <c r="L315" s="5">
        <f ca="1">IFERROR(__xludf.DUMMYFUNCTION("""COMPUTED_VALUE"""),1)</f>
        <v>1</v>
      </c>
      <c r="M315" s="5" t="str">
        <f ca="1">IFERROR(__xludf.DUMMYFUNCTION("""COMPUTED_VALUE"""),"Local")</f>
        <v>Local</v>
      </c>
      <c r="N315" s="5">
        <f ca="1">IFERROR(__xludf.DUMMYFUNCTION("""COMPUTED_VALUE"""),3)</f>
        <v>3</v>
      </c>
      <c r="O315" s="5" t="str">
        <f ca="1">IFERROR(__xludf.DUMMYFUNCTION("""COMPUTED_VALUE"""),"Spring")</f>
        <v>Spring</v>
      </c>
      <c r="P315" s="5" t="str">
        <f ca="1">IFERROR(__xludf.DUMMYFUNCTION("""COMPUTED_VALUE"""),"Memphis")</f>
        <v>Memphis</v>
      </c>
      <c r="Q315" s="5" t="str">
        <f ca="1">IFERROR(__xludf.DUMMYFUNCTION("""COMPUTED_VALUE"""),"TN")</f>
        <v>TN</v>
      </c>
      <c r="R315" s="5" t="str">
        <f ca="1">IFERROR(__xludf.DUMMYFUNCTION("""COMPUTED_VALUE"""),"High")</f>
        <v>High</v>
      </c>
      <c r="S315" s="5" t="str">
        <f ca="1">IFERROR(__xludf.DUMMYFUNCTION("""COMPUTED_VALUE"""),"Parking Lot")</f>
        <v>Parking Lot</v>
      </c>
      <c r="T315" s="5" t="str">
        <f ca="1">IFERROR(__xludf.DUMMYFUNCTION("""COMPUTED_VALUE"""),"Outside on School Property")</f>
        <v>Outside on School Property</v>
      </c>
      <c r="U315" s="5" t="str">
        <f ca="1">IFERROR(__xludf.DUMMYFUNCTION("""COMPUTED_VALUE"""),"No")</f>
        <v>No</v>
      </c>
      <c r="V315" s="5" t="str">
        <f ca="1">IFERROR(__xludf.DUMMYFUNCTION("""COMPUTED_VALUE"""),"Evening")</f>
        <v>Evening</v>
      </c>
      <c r="W315" s="5"/>
      <c r="X315" s="5">
        <f ca="1">IFERROR(__xludf.DUMMYFUNCTION("""COMPUTED_VALUE"""),1)</f>
        <v>1</v>
      </c>
      <c r="Y315" s="5" t="str">
        <f ca="1">IFERROR(__xludf.DUMMYFUNCTION("""COMPUTED_VALUE"""),"Shots fired during candlelight vigil for former student")</f>
        <v>Shots fired during candlelight vigil for former student</v>
      </c>
      <c r="Z315" s="5" t="str">
        <f ca="1">IFERROR(__xludf.DUMMYFUNCTION("""COMPUTED_VALUE"""),"5 shots were fired from a vehicle at a crowd of 80 people gathered for a candlelight vigil at the school. Shooter fled, was pursued by police, and arrested. Charged with 20 counts of reckless endangerment.")</f>
        <v>5 shots were fired from a vehicle at a crowd of 80 people gathered for a candlelight vigil at the school. Shooter fled, was pursued by police, and arrested. Charged with 20 counts of reckless endangerment.</v>
      </c>
      <c r="AA315" s="5" t="str">
        <f ca="1">IFERROR(__xludf.DUMMYFUNCTION("""COMPUTED_VALUE"""),"Drive-by Shooting")</f>
        <v>Drive-by Shooting</v>
      </c>
      <c r="AB315" s="5" t="str">
        <f ca="1">IFERROR(__xludf.DUMMYFUNCTION("""COMPUTED_VALUE"""),"Both")</f>
        <v>Both</v>
      </c>
      <c r="AC315" s="5" t="str">
        <f ca="1">IFERROR(__xludf.DUMMYFUNCTION("""COMPUTED_VALUE"""),"No")</f>
        <v>No</v>
      </c>
      <c r="AD315" s="5" t="str">
        <f ca="1">IFERROR(__xludf.DUMMYFUNCTION("""COMPUTED_VALUE"""),"No")</f>
        <v>No</v>
      </c>
      <c r="AE315" s="5" t="str">
        <f ca="1">IFERROR(__xludf.DUMMYFUNCTION("""COMPUTED_VALUE"""),"No")</f>
        <v>No</v>
      </c>
      <c r="AF315" s="5" t="str">
        <f ca="1">IFERROR(__xludf.DUMMYFUNCTION("""COMPUTED_VALUE"""),"No")</f>
        <v>No</v>
      </c>
      <c r="AG315" s="5" t="str">
        <f ca="1">IFERROR(__xludf.DUMMYFUNCTION("""COMPUTED_VALUE"""),"No")</f>
        <v>No</v>
      </c>
      <c r="AH315" s="5" t="str">
        <f ca="1">IFERROR(__xludf.DUMMYFUNCTION("""COMPUTED_VALUE"""),"No")</f>
        <v>No</v>
      </c>
      <c r="AI315" s="5"/>
      <c r="AJ315" s="5" t="str">
        <f ca="1">IFERROR(__xludf.DUMMYFUNCTION("""COMPUTED_VALUE"""),"No")</f>
        <v>No</v>
      </c>
    </row>
    <row r="316" spans="1:36" ht="13">
      <c r="A316" s="5" t="str">
        <f ca="1">IFERROR(__xludf.DUMMYFUNCTION("""COMPUTED_VALUE"""),"20220325UTHIS")</f>
        <v>20220325UTHIS</v>
      </c>
      <c r="B316" s="5">
        <f ca="1">IFERROR(__xludf.DUMMYFUNCTION("""COMPUTED_VALUE"""),3)</f>
        <v>3</v>
      </c>
      <c r="C316" s="5">
        <f ca="1">IFERROR(__xludf.DUMMYFUNCTION("""COMPUTED_VALUE"""),25)</f>
        <v>25</v>
      </c>
      <c r="D316" s="5">
        <f ca="1">IFERROR(__xludf.DUMMYFUNCTION("""COMPUTED_VALUE"""),2022)</f>
        <v>2022</v>
      </c>
      <c r="E316" s="8">
        <f ca="1">IFERROR(__xludf.DUMMYFUNCTION("""COMPUTED_VALUE"""),44645)</f>
        <v>44645</v>
      </c>
      <c r="F316" s="5" t="str">
        <f ca="1">IFERROR(__xludf.DUMMYFUNCTION("""COMPUTED_VALUE"""),"Highland High School")</f>
        <v>Highland High School</v>
      </c>
      <c r="G316" s="5">
        <f ca="1">IFERROR(__xludf.DUMMYFUNCTION("""COMPUTED_VALUE"""),0)</f>
        <v>0</v>
      </c>
      <c r="H316" s="5">
        <f ca="1">IFERROR(__xludf.DUMMYFUNCTION("""COMPUTED_VALUE"""),0)</f>
        <v>0</v>
      </c>
      <c r="I316" s="5">
        <f ca="1">IFERROR(__xludf.DUMMYFUNCTION("""COMPUTED_VALUE"""),0)</f>
        <v>0</v>
      </c>
      <c r="J316" s="5">
        <f ca="1">IFERROR(__xludf.DUMMYFUNCTION("""COMPUTED_VALUE"""),0)</f>
        <v>0</v>
      </c>
      <c r="K316" s="9" t="str">
        <f ca="1">IFERROR(__xludf.DUMMYFUNCTION("""COMPUTED_VALUE"""),"https://www.fox13now.com/news/local-news/utah-parent-says-tiktok-challenge-caused-son-to-be-shot-at-with-toy-gun-then-real-gun")</f>
        <v>https://www.fox13now.com/news/local-news/utah-parent-says-tiktok-challenge-caused-son-to-be-shot-at-with-toy-gun-then-real-gun</v>
      </c>
      <c r="L316" s="5">
        <f ca="1">IFERROR(__xludf.DUMMYFUNCTION("""COMPUTED_VALUE"""),1)</f>
        <v>1</v>
      </c>
      <c r="M316" s="5" t="str">
        <f ca="1">IFERROR(__xludf.DUMMYFUNCTION("""COMPUTED_VALUE"""),"Local")</f>
        <v>Local</v>
      </c>
      <c r="N316" s="5">
        <f ca="1">IFERROR(__xludf.DUMMYFUNCTION("""COMPUTED_VALUE"""),3)</f>
        <v>3</v>
      </c>
      <c r="O316" s="5" t="str">
        <f ca="1">IFERROR(__xludf.DUMMYFUNCTION("""COMPUTED_VALUE"""),"Spring")</f>
        <v>Spring</v>
      </c>
      <c r="P316" s="5" t="str">
        <f ca="1">IFERROR(__xludf.DUMMYFUNCTION("""COMPUTED_VALUE"""),"Salt Lake City")</f>
        <v>Salt Lake City</v>
      </c>
      <c r="Q316" s="5" t="str">
        <f ca="1">IFERROR(__xludf.DUMMYFUNCTION("""COMPUTED_VALUE"""),"UT")</f>
        <v>UT</v>
      </c>
      <c r="R316" s="5" t="str">
        <f ca="1">IFERROR(__xludf.DUMMYFUNCTION("""COMPUTED_VALUE"""),"High")</f>
        <v>High</v>
      </c>
      <c r="S316" s="5" t="str">
        <f ca="1">IFERROR(__xludf.DUMMYFUNCTION("""COMPUTED_VALUE"""),"Parking Lot")</f>
        <v>Parking Lot</v>
      </c>
      <c r="T316" s="5" t="str">
        <f ca="1">IFERROR(__xludf.DUMMYFUNCTION("""COMPUTED_VALUE"""),"Outside on School Property")</f>
        <v>Outside on School Property</v>
      </c>
      <c r="U316" s="5" t="str">
        <f ca="1">IFERROR(__xludf.DUMMYFUNCTION("""COMPUTED_VALUE"""),"Yes")</f>
        <v>Yes</v>
      </c>
      <c r="V316" s="5" t="str">
        <f ca="1">IFERROR(__xludf.DUMMYFUNCTION("""COMPUTED_VALUE"""),"Lunch")</f>
        <v>Lunch</v>
      </c>
      <c r="W316" s="10">
        <f ca="1">IFERROR(__xludf.DUMMYFUNCTION("""COMPUTED_VALUE"""),0.5)</f>
        <v>0.5</v>
      </c>
      <c r="X316" s="5">
        <f ca="1">IFERROR(__xludf.DUMMYFUNCTION("""COMPUTED_VALUE"""),1)</f>
        <v>1</v>
      </c>
      <c r="Y316" s="5" t="str">
        <f ca="1">IFERROR(__xludf.DUMMYFUNCTION("""COMPUTED_VALUE"""),"Teens fired pellet gun at vehicle for TikTok challenge, real bullets fired back")</f>
        <v>Teens fired pellet gun at vehicle for TikTok challenge, real bullets fired back</v>
      </c>
      <c r="Z316" s="5" t="str">
        <f ca="1">IFERROR(__xludf.DUMMYFUNCTION("""COMPUTED_VALUE"""),"Teens were outside in the school parking lot during lunch and fired gel pellet guns at a vehicle as part of TikTok challenge. Vehicle circled around, drive confronted teens with real gun, fired bullets at their car, and then fled.")</f>
        <v>Teens were outside in the school parking lot during lunch and fired gel pellet guns at a vehicle as part of TikTok challenge. Vehicle circled around, drive confronted teens with real gun, fired bullets at their car, and then fled.</v>
      </c>
      <c r="AA316" s="5" t="str">
        <f ca="1">IFERROR(__xludf.DUMMYFUNCTION("""COMPUTED_VALUE"""),"Drive-by Shooting")</f>
        <v>Drive-by Shooting</v>
      </c>
      <c r="AB316" s="5" t="str">
        <f ca="1">IFERROR(__xludf.DUMMYFUNCTION("""COMPUTED_VALUE"""),"Random Shooting")</f>
        <v>Random Shooting</v>
      </c>
      <c r="AC316" s="5" t="str">
        <f ca="1">IFERROR(__xludf.DUMMYFUNCTION("""COMPUTED_VALUE"""),"No")</f>
        <v>No</v>
      </c>
      <c r="AD316" s="5" t="str">
        <f ca="1">IFERROR(__xludf.DUMMYFUNCTION("""COMPUTED_VALUE"""),"No")</f>
        <v>No</v>
      </c>
      <c r="AE316" s="5" t="str">
        <f ca="1">IFERROR(__xludf.DUMMYFUNCTION("""COMPUTED_VALUE"""),"No")</f>
        <v>No</v>
      </c>
      <c r="AF316" s="5" t="str">
        <f ca="1">IFERROR(__xludf.DUMMYFUNCTION("""COMPUTED_VALUE"""),"No")</f>
        <v>No</v>
      </c>
      <c r="AG316" s="5" t="str">
        <f ca="1">IFERROR(__xludf.DUMMYFUNCTION("""COMPUTED_VALUE"""),"No")</f>
        <v>No</v>
      </c>
      <c r="AH316" s="5" t="str">
        <f ca="1">IFERROR(__xludf.DUMMYFUNCTION("""COMPUTED_VALUE"""),"No")</f>
        <v>No</v>
      </c>
      <c r="AI316" s="5" t="str">
        <f ca="1">IFERROR(__xludf.DUMMYFUNCTION("""COMPUTED_VALUE"""),"No")</f>
        <v>No</v>
      </c>
      <c r="AJ316" s="5" t="str">
        <f ca="1">IFERROR(__xludf.DUMMYFUNCTION("""COMPUTED_VALUE"""),"No")</f>
        <v>No</v>
      </c>
    </row>
    <row r="317" spans="1:36" ht="13">
      <c r="A317" s="5" t="str">
        <f ca="1">IFERROR(__xludf.DUMMYFUNCTION("""COMPUTED_VALUE"""),"20220325TXROR")</f>
        <v>20220325TXROR</v>
      </c>
      <c r="B317" s="5">
        <f ca="1">IFERROR(__xludf.DUMMYFUNCTION("""COMPUTED_VALUE"""),3)</f>
        <v>3</v>
      </c>
      <c r="C317" s="5">
        <f ca="1">IFERROR(__xludf.DUMMYFUNCTION("""COMPUTED_VALUE"""),25)</f>
        <v>25</v>
      </c>
      <c r="D317" s="5">
        <f ca="1">IFERROR(__xludf.DUMMYFUNCTION("""COMPUTED_VALUE"""),2022)</f>
        <v>2022</v>
      </c>
      <c r="E317" s="8">
        <f ca="1">IFERROR(__xludf.DUMMYFUNCTION("""COMPUTED_VALUE"""),44645)</f>
        <v>44645</v>
      </c>
      <c r="F317" s="5" t="str">
        <f ca="1">IFERROR(__xludf.DUMMYFUNCTION("""COMPUTED_VALUE"""),"Royse City High School")</f>
        <v>Royse City High School</v>
      </c>
      <c r="G317" s="5">
        <f ca="1">IFERROR(__xludf.DUMMYFUNCTION("""COMPUTED_VALUE"""),0)</f>
        <v>0</v>
      </c>
      <c r="H317" s="5">
        <f ca="1">IFERROR(__xludf.DUMMYFUNCTION("""COMPUTED_VALUE"""),0)</f>
        <v>0</v>
      </c>
      <c r="I317" s="5">
        <f ca="1">IFERROR(__xludf.DUMMYFUNCTION("""COMPUTED_VALUE"""),0)</f>
        <v>0</v>
      </c>
      <c r="J317" s="5">
        <f ca="1">IFERROR(__xludf.DUMMYFUNCTION("""COMPUTED_VALUE"""),0)</f>
        <v>0</v>
      </c>
      <c r="K317" s="5" t="str">
        <f ca="1">IFERROR(__xludf.DUMMYFUNCTION("""COMPUTED_VALUE"""),"https://www.fox4news.com/news/orbeez-challenge-causes-panic-at-royse-city-high-school https://www.wfaa.com/article/news/local/royse-city-texas-high-school-put-on-lockdown-after-students-caught-firing-airsoft-guns/287-4cad56b1-7f25-4063-a46d-3c67df20b4e5")</f>
        <v>https://www.fox4news.com/news/orbeez-challenge-causes-panic-at-royse-city-high-school https://www.wfaa.com/article/news/local/royse-city-texas-high-school-put-on-lockdown-after-students-caught-firing-airsoft-guns/287-4cad56b1-7f25-4063-a46d-3c67df20b4e5</v>
      </c>
      <c r="L317" s="5">
        <f ca="1">IFERROR(__xludf.DUMMYFUNCTION("""COMPUTED_VALUE"""),10)</f>
        <v>10</v>
      </c>
      <c r="M317" s="5" t="str">
        <f ca="1">IFERROR(__xludf.DUMMYFUNCTION("""COMPUTED_VALUE"""),"Regional")</f>
        <v>Regional</v>
      </c>
      <c r="N317" s="5">
        <f ca="1">IFERROR(__xludf.DUMMYFUNCTION("""COMPUTED_VALUE"""),4)</f>
        <v>4</v>
      </c>
      <c r="O317" s="5" t="str">
        <f ca="1">IFERROR(__xludf.DUMMYFUNCTION("""COMPUTED_VALUE"""),"Spring")</f>
        <v>Spring</v>
      </c>
      <c r="P317" s="5" t="str">
        <f ca="1">IFERROR(__xludf.DUMMYFUNCTION("""COMPUTED_VALUE"""),"Royse City")</f>
        <v>Royse City</v>
      </c>
      <c r="Q317" s="5" t="str">
        <f ca="1">IFERROR(__xludf.DUMMYFUNCTION("""COMPUTED_VALUE"""),"TX")</f>
        <v>TX</v>
      </c>
      <c r="R317" s="5" t="str">
        <f ca="1">IFERROR(__xludf.DUMMYFUNCTION("""COMPUTED_VALUE"""),"High")</f>
        <v>High</v>
      </c>
      <c r="S317" s="5" t="str">
        <f ca="1">IFERROR(__xludf.DUMMYFUNCTION("""COMPUTED_VALUE"""),"Parking Lot")</f>
        <v>Parking Lot</v>
      </c>
      <c r="T317" s="5" t="str">
        <f ca="1">IFERROR(__xludf.DUMMYFUNCTION("""COMPUTED_VALUE"""),"Outside on School Property")</f>
        <v>Outside on School Property</v>
      </c>
      <c r="U317" s="5" t="str">
        <f ca="1">IFERROR(__xludf.DUMMYFUNCTION("""COMPUTED_VALUE"""),"Yes")</f>
        <v>Yes</v>
      </c>
      <c r="V317" s="5" t="str">
        <f ca="1">IFERROR(__xludf.DUMMYFUNCTION("""COMPUTED_VALUE"""),"School Start")</f>
        <v>School Start</v>
      </c>
      <c r="W317" s="10">
        <f ca="1">IFERROR(__xludf.DUMMYFUNCTION("""COMPUTED_VALUE"""),0.34375)</f>
        <v>0.34375</v>
      </c>
      <c r="X317" s="5">
        <f ca="1">IFERROR(__xludf.DUMMYFUNCTION("""COMPUTED_VALUE"""),1)</f>
        <v>1</v>
      </c>
      <c r="Y317" s="5" t="str">
        <f ca="1">IFERROR(__xludf.DUMMYFUNCTION("""COMPUTED_VALUE"""),"Active shooter response to school for 5 students firing pellet guns for TikTok challenge")</f>
        <v>Active shooter response to school for 5 students firing pellet guns for TikTok challenge</v>
      </c>
      <c r="Z317" s="5" t="str">
        <f ca="1">IFERROR(__xludf.DUMMYFUNCTION("""COMPUTED_VALUE"""),"Police responded for multiple reports of an active shooter at the high school. School went into lockdown for 3 hours. Police found 5 students with gel pellet guns who were filming a TikTok challenge to shoot random people. No criminal charges filed.")</f>
        <v>Police responded for multiple reports of an active shooter at the high school. School went into lockdown for 3 hours. Police found 5 students with gel pellet guns who were filming a TikTok challenge to shoot random people. No criminal charges filed.</v>
      </c>
      <c r="AA317" s="5" t="str">
        <f ca="1">IFERROR(__xludf.DUMMYFUNCTION("""COMPUTED_VALUE"""),"Indiscriminate Shooting")</f>
        <v>Indiscriminate Shooting</v>
      </c>
      <c r="AB317" s="5" t="str">
        <f ca="1">IFERROR(__xludf.DUMMYFUNCTION("""COMPUTED_VALUE"""),"Random Shooting")</f>
        <v>Random Shooting</v>
      </c>
      <c r="AC317" s="5" t="str">
        <f ca="1">IFERROR(__xludf.DUMMYFUNCTION("""COMPUTED_VALUE"""),"Yes")</f>
        <v>Yes</v>
      </c>
      <c r="AD317" s="5" t="str">
        <f ca="1">IFERROR(__xludf.DUMMYFUNCTION("""COMPUTED_VALUE"""),"No")</f>
        <v>No</v>
      </c>
      <c r="AE317" s="5" t="str">
        <f ca="1">IFERROR(__xludf.DUMMYFUNCTION("""COMPUTED_VALUE"""),"No")</f>
        <v>No</v>
      </c>
      <c r="AF317" s="5" t="str">
        <f ca="1">IFERROR(__xludf.DUMMYFUNCTION("""COMPUTED_VALUE"""),"No")</f>
        <v>No</v>
      </c>
      <c r="AG317" s="5" t="str">
        <f ca="1">IFERROR(__xludf.DUMMYFUNCTION("""COMPUTED_VALUE"""),"No")</f>
        <v>No</v>
      </c>
      <c r="AH317" s="5" t="str">
        <f ca="1">IFERROR(__xludf.DUMMYFUNCTION("""COMPUTED_VALUE"""),"No")</f>
        <v>No</v>
      </c>
      <c r="AI317" s="5" t="str">
        <f ca="1">IFERROR(__xludf.DUMMYFUNCTION("""COMPUTED_VALUE"""),"No")</f>
        <v>No</v>
      </c>
      <c r="AJ317" s="5" t="str">
        <f ca="1">IFERROR(__xludf.DUMMYFUNCTION("""COMPUTED_VALUE"""),"No")</f>
        <v>No</v>
      </c>
    </row>
    <row r="318" spans="1:36" ht="13">
      <c r="A318" s="5" t="str">
        <f ca="1">IFERROR(__xludf.DUMMYFUNCTION("""COMPUTED_VALUE"""),"20220324VARIW")</f>
        <v>20220324VARIW</v>
      </c>
      <c r="B318" s="5">
        <f ca="1">IFERROR(__xludf.DUMMYFUNCTION("""COMPUTED_VALUE"""),3)</f>
        <v>3</v>
      </c>
      <c r="C318" s="5">
        <f ca="1">IFERROR(__xludf.DUMMYFUNCTION("""COMPUTED_VALUE"""),24)</f>
        <v>24</v>
      </c>
      <c r="D318" s="5">
        <f ca="1">IFERROR(__xludf.DUMMYFUNCTION("""COMPUTED_VALUE"""),2022)</f>
        <v>2022</v>
      </c>
      <c r="E318" s="8">
        <f ca="1">IFERROR(__xludf.DUMMYFUNCTION("""COMPUTED_VALUE"""),44644)</f>
        <v>44644</v>
      </c>
      <c r="F318" s="5" t="str">
        <f ca="1">IFERROR(__xludf.DUMMYFUNCTION("""COMPUTED_VALUE"""),"Rippon Middle School")</f>
        <v>Rippon Middle School</v>
      </c>
      <c r="G318" s="5">
        <f ca="1">IFERROR(__xludf.DUMMYFUNCTION("""COMPUTED_VALUE"""),0)</f>
        <v>0</v>
      </c>
      <c r="H318" s="5">
        <f ca="1">IFERROR(__xludf.DUMMYFUNCTION("""COMPUTED_VALUE"""),0)</f>
        <v>0</v>
      </c>
      <c r="I318" s="5">
        <f ca="1">IFERROR(__xludf.DUMMYFUNCTION("""COMPUTED_VALUE"""),0)</f>
        <v>0</v>
      </c>
      <c r="J318" s="5">
        <f ca="1">IFERROR(__xludf.DUMMYFUNCTION("""COMPUTED_VALUE"""),0)</f>
        <v>0</v>
      </c>
      <c r="K318" s="5" t="str">
        <f ca="1">IFERROR(__xludf.DUMMYFUNCTION("""COMPUTED_VALUE"""),"https://www.potomaclocal.com/2022/03/24/man-charged-after-shot-fired-at-middle-school-had-no-connection-to-school/ https://wtop.com/prince-william-county/2022/03/suspect-arrested-after-firing-weapon-near-prince-william-co-middle-school/ https://apnews.com"&amp;"/article/business-education-arrests-virginia-woodbridge-e8ecb49085f61c6271dfd9e8116d42d8 https://www.insidenova.com/headlines/updated-man-armed-with-rifle-and-shotgun-arrested-outside-rippon-middle-school/article_04b75b96-ab8b-11ec-951f-1bf8bc763d1d.html "&amp;"https://www.fox5dc.com/news/armed-person-detained-by-school-resource-officer-at-virginia-middle-school-after-gunshot-reported")</f>
        <v>https://www.potomaclocal.com/2022/03/24/man-charged-after-shot-fired-at-middle-school-had-no-connection-to-school/ https://wtop.com/prince-william-county/2022/03/suspect-arrested-after-firing-weapon-near-prince-william-co-middle-school/ https://apnews.com/article/business-education-arrests-virginia-woodbridge-e8ecb49085f61c6271dfd9e8116d42d8 https://www.insidenova.com/headlines/updated-man-armed-with-rifle-and-shotgun-arrested-outside-rippon-middle-school/article_04b75b96-ab8b-11ec-951f-1bf8bc763d1d.html https://www.fox5dc.com/news/armed-person-detained-by-school-resource-officer-at-virginia-middle-school-after-gunshot-reported</v>
      </c>
      <c r="L318" s="5">
        <f ca="1">IFERROR(__xludf.DUMMYFUNCTION("""COMPUTED_VALUE"""),10)</f>
        <v>10</v>
      </c>
      <c r="M318" s="5" t="str">
        <f ca="1">IFERROR(__xludf.DUMMYFUNCTION("""COMPUTED_VALUE"""),"Regional")</f>
        <v>Regional</v>
      </c>
      <c r="N318" s="5">
        <f ca="1">IFERROR(__xludf.DUMMYFUNCTION("""COMPUTED_VALUE"""),4)</f>
        <v>4</v>
      </c>
      <c r="O318" s="5" t="str">
        <f ca="1">IFERROR(__xludf.DUMMYFUNCTION("""COMPUTED_VALUE"""),"Spring")</f>
        <v>Spring</v>
      </c>
      <c r="P318" s="5" t="str">
        <f ca="1">IFERROR(__xludf.DUMMYFUNCTION("""COMPUTED_VALUE"""),"Woodbridge")</f>
        <v>Woodbridge</v>
      </c>
      <c r="Q318" s="5" t="str">
        <f ca="1">IFERROR(__xludf.DUMMYFUNCTION("""COMPUTED_VALUE"""),"VA")</f>
        <v>VA</v>
      </c>
      <c r="R318" s="5" t="str">
        <f ca="1">IFERROR(__xludf.DUMMYFUNCTION("""COMPUTED_VALUE"""),"Middle")</f>
        <v>Middle</v>
      </c>
      <c r="S318" s="5" t="str">
        <f ca="1">IFERROR(__xludf.DUMMYFUNCTION("""COMPUTED_VALUE"""),"Beside Building")</f>
        <v>Beside Building</v>
      </c>
      <c r="T318" s="5" t="str">
        <f ca="1">IFERROR(__xludf.DUMMYFUNCTION("""COMPUTED_VALUE"""),"Outside on School Property")</f>
        <v>Outside on School Property</v>
      </c>
      <c r="U318" s="5" t="str">
        <f ca="1">IFERROR(__xludf.DUMMYFUNCTION("""COMPUTED_VALUE"""),"Yes")</f>
        <v>Yes</v>
      </c>
      <c r="V318" s="5" t="str">
        <f ca="1">IFERROR(__xludf.DUMMYFUNCTION("""COMPUTED_VALUE"""),"Morning Classes")</f>
        <v>Morning Classes</v>
      </c>
      <c r="W318" s="10">
        <f ca="1">IFERROR(__xludf.DUMMYFUNCTION("""COMPUTED_VALUE"""),0.465972222222222)</f>
        <v>0.46597222222222201</v>
      </c>
      <c r="X318" s="5">
        <f ca="1">IFERROR(__xludf.DUMMYFUNCTION("""COMPUTED_VALUE"""),1)</f>
        <v>1</v>
      </c>
      <c r="Y318" s="5" t="str">
        <f ca="1">IFERROR(__xludf.DUMMYFUNCTION("""COMPUTED_VALUE"""),"Man in ski mask with rifle and shotgun fired shot outside of school, arrested by SRO")</f>
        <v>Man in ski mask with rifle and shotgun fired shot outside of school, arrested by SRO</v>
      </c>
      <c r="Z318" s="5" t="str">
        <f ca="1">IFERROR(__xludf.DUMMYFUNCTION("""COMPUTED_VALUE"""),"A 20-year-old man was involved in a domestic dispute near the school. He walked on school property with a rifle and shotgun wearing a ski mask. He fired a shot and the school went on lockdown. SRO responded and he surrendered next to the building. Arreste"&amp;"d and held without bond.")</f>
        <v>A 20-year-old man was involved in a domestic dispute near the school. He walked on school property with a rifle and shotgun wearing a ski mask. He fired a shot and the school went on lockdown. SRO responded and he surrendered next to the building. Arrested and held without bond.</v>
      </c>
      <c r="AA318" s="5" t="str">
        <f ca="1">IFERROR(__xludf.DUMMYFUNCTION("""COMPUTED_VALUE"""),"Domestic w/ Targeted Victim")</f>
        <v>Domestic w/ Targeted Victim</v>
      </c>
      <c r="AB318" s="5" t="str">
        <f ca="1">IFERROR(__xludf.DUMMYFUNCTION("""COMPUTED_VALUE"""),"Neither")</f>
        <v>Neither</v>
      </c>
      <c r="AC318" s="5" t="str">
        <f ca="1">IFERROR(__xludf.DUMMYFUNCTION("""COMPUTED_VALUE"""),"No")</f>
        <v>No</v>
      </c>
      <c r="AD318" s="5" t="str">
        <f ca="1">IFERROR(__xludf.DUMMYFUNCTION("""COMPUTED_VALUE"""),"No")</f>
        <v>No</v>
      </c>
      <c r="AE318" s="5" t="str">
        <f ca="1">IFERROR(__xludf.DUMMYFUNCTION("""COMPUTED_VALUE"""),"No")</f>
        <v>No</v>
      </c>
      <c r="AF318" s="5" t="str">
        <f ca="1">IFERROR(__xludf.DUMMYFUNCTION("""COMPUTED_VALUE"""),"No")</f>
        <v>No</v>
      </c>
      <c r="AG318" s="5" t="str">
        <f ca="1">IFERROR(__xludf.DUMMYFUNCTION("""COMPUTED_VALUE"""),"No")</f>
        <v>No</v>
      </c>
      <c r="AH318" s="5" t="str">
        <f ca="1">IFERROR(__xludf.DUMMYFUNCTION("""COMPUTED_VALUE"""),"Yes")</f>
        <v>Yes</v>
      </c>
      <c r="AI318" s="5" t="str">
        <f ca="1">IFERROR(__xludf.DUMMYFUNCTION("""COMPUTED_VALUE"""),"No")</f>
        <v>No</v>
      </c>
      <c r="AJ318" s="5" t="str">
        <f ca="1">IFERROR(__xludf.DUMMYFUNCTION("""COMPUTED_VALUE"""),"No")</f>
        <v>No</v>
      </c>
    </row>
    <row r="319" spans="1:36" ht="13">
      <c r="A319" s="5" t="str">
        <f ca="1">IFERROR(__xludf.DUMMYFUNCTION("""COMPUTED_VALUE"""),"20220322VAJAR")</f>
        <v>20220322VAJAR</v>
      </c>
      <c r="B319" s="5">
        <f ca="1">IFERROR(__xludf.DUMMYFUNCTION("""COMPUTED_VALUE"""),3)</f>
        <v>3</v>
      </c>
      <c r="C319" s="5">
        <f ca="1">IFERROR(__xludf.DUMMYFUNCTION("""COMPUTED_VALUE"""),22)</f>
        <v>22</v>
      </c>
      <c r="D319" s="5">
        <f ca="1">IFERROR(__xludf.DUMMYFUNCTION("""COMPUTED_VALUE"""),2022)</f>
        <v>2022</v>
      </c>
      <c r="E319" s="8">
        <f ca="1">IFERROR(__xludf.DUMMYFUNCTION("""COMPUTED_VALUE"""),44642)</f>
        <v>44642</v>
      </c>
      <c r="F319" s="5" t="str">
        <f ca="1">IFERROR(__xludf.DUMMYFUNCTION("""COMPUTED_VALUE"""),"James Madison Middle School")</f>
        <v>James Madison Middle School</v>
      </c>
      <c r="G319" s="5">
        <f ca="1">IFERROR(__xludf.DUMMYFUNCTION("""COMPUTED_VALUE"""),0)</f>
        <v>0</v>
      </c>
      <c r="H319" s="5">
        <f ca="1">IFERROR(__xludf.DUMMYFUNCTION("""COMPUTED_VALUE"""),0)</f>
        <v>0</v>
      </c>
      <c r="I319" s="5">
        <f ca="1">IFERROR(__xludf.DUMMYFUNCTION("""COMPUTED_VALUE"""),0)</f>
        <v>0</v>
      </c>
      <c r="J319" s="5">
        <f ca="1">IFERROR(__xludf.DUMMYFUNCTION("""COMPUTED_VALUE"""),0)</f>
        <v>0</v>
      </c>
      <c r="K319" s="9" t="str">
        <f ca="1">IFERROR(__xludf.DUMMYFUNCTION("""COMPUTED_VALUE"""),"https://www.wdbj7.com/2022/03/22/school-bus-shot-nw-roanoke/")</f>
        <v>https://www.wdbj7.com/2022/03/22/school-bus-shot-nw-roanoke/</v>
      </c>
      <c r="L319" s="5">
        <f ca="1">IFERROR(__xludf.DUMMYFUNCTION("""COMPUTED_VALUE"""),1)</f>
        <v>1</v>
      </c>
      <c r="M319" s="5" t="str">
        <f ca="1">IFERROR(__xludf.DUMMYFUNCTION("""COMPUTED_VALUE"""),"Local")</f>
        <v>Local</v>
      </c>
      <c r="N319" s="5">
        <f ca="1">IFERROR(__xludf.DUMMYFUNCTION("""COMPUTED_VALUE"""),4)</f>
        <v>4</v>
      </c>
      <c r="O319" s="5" t="str">
        <f ca="1">IFERROR(__xludf.DUMMYFUNCTION("""COMPUTED_VALUE"""),"Spring")</f>
        <v>Spring</v>
      </c>
      <c r="P319" s="5" t="str">
        <f ca="1">IFERROR(__xludf.DUMMYFUNCTION("""COMPUTED_VALUE"""),"Roanoke")</f>
        <v>Roanoke</v>
      </c>
      <c r="Q319" s="5" t="str">
        <f ca="1">IFERROR(__xludf.DUMMYFUNCTION("""COMPUTED_VALUE"""),"VA")</f>
        <v>VA</v>
      </c>
      <c r="R319" s="5" t="str">
        <f ca="1">IFERROR(__xludf.DUMMYFUNCTION("""COMPUTED_VALUE"""),"Middle")</f>
        <v>Middle</v>
      </c>
      <c r="S319" s="5" t="str">
        <f ca="1">IFERROR(__xludf.DUMMYFUNCTION("""COMPUTED_VALUE"""),"School Bus")</f>
        <v>School Bus</v>
      </c>
      <c r="T319" s="5" t="str">
        <f ca="1">IFERROR(__xludf.DUMMYFUNCTION("""COMPUTED_VALUE"""),"School Bus")</f>
        <v>School Bus</v>
      </c>
      <c r="U319" s="5" t="str">
        <f ca="1">IFERROR(__xludf.DUMMYFUNCTION("""COMPUTED_VALUE"""),"Yes")</f>
        <v>Yes</v>
      </c>
      <c r="V319" s="5" t="str">
        <f ca="1">IFERROR(__xludf.DUMMYFUNCTION("""COMPUTED_VALUE"""),"Dismissal")</f>
        <v>Dismissal</v>
      </c>
      <c r="W319" s="10">
        <f ca="1">IFERROR(__xludf.DUMMYFUNCTION("""COMPUTED_VALUE"""),0.666666666666666)</f>
        <v>0.66666666666666596</v>
      </c>
      <c r="X319" s="5">
        <f ca="1">IFERROR(__xludf.DUMMYFUNCTION("""COMPUTED_VALUE"""),1)</f>
        <v>1</v>
      </c>
      <c r="Y319" s="5" t="str">
        <f ca="1">IFERROR(__xludf.DUMMYFUNCTION("""COMPUTED_VALUE"""),"School bus tire shot while driving students home after school")</f>
        <v>School bus tire shot while driving students home after school</v>
      </c>
      <c r="Z319" s="5" t="str">
        <f ca="1">IFERROR(__xludf.DUMMYFUNCTION("""COMPUTED_VALUE"""),"The right front tire of a school bus carrying students was struck by a bullet. The drive was able to maintain control of the bus and contact police. Police also responded to reports of a person shot nearby. Police were not able to locate a shooter or vict"&amp;"im.")</f>
        <v>The right front tire of a school bus carrying students was struck by a bullet. The drive was able to maintain control of the bus and contact police. Police also responded to reports of a person shot nearby. Police were not able to locate a shooter or victim.</v>
      </c>
      <c r="AA319" s="5"/>
      <c r="AB319" s="5" t="str">
        <f ca="1">IFERROR(__xludf.DUMMYFUNCTION("""COMPUTED_VALUE"""),"Victims Targeted")</f>
        <v>Victims Targeted</v>
      </c>
      <c r="AC319" s="5" t="str">
        <f ca="1">IFERROR(__xludf.DUMMYFUNCTION("""COMPUTED_VALUE"""),"No")</f>
        <v>No</v>
      </c>
      <c r="AD319" s="5" t="str">
        <f ca="1">IFERROR(__xludf.DUMMYFUNCTION("""COMPUTED_VALUE"""),"No")</f>
        <v>No</v>
      </c>
      <c r="AE319" s="5" t="str">
        <f ca="1">IFERROR(__xludf.DUMMYFUNCTION("""COMPUTED_VALUE"""),"No")</f>
        <v>No</v>
      </c>
      <c r="AF319" s="5" t="str">
        <f ca="1">IFERROR(__xludf.DUMMYFUNCTION("""COMPUTED_VALUE"""),"No")</f>
        <v>No</v>
      </c>
      <c r="AG319" s="5" t="str">
        <f ca="1">IFERROR(__xludf.DUMMYFUNCTION("""COMPUTED_VALUE"""),"No")</f>
        <v>No</v>
      </c>
      <c r="AH319" s="5" t="str">
        <f ca="1">IFERROR(__xludf.DUMMYFUNCTION("""COMPUTED_VALUE"""),"No")</f>
        <v>No</v>
      </c>
      <c r="AI319" s="5"/>
      <c r="AJ319" s="5" t="str">
        <f ca="1">IFERROR(__xludf.DUMMYFUNCTION("""COMPUTED_VALUE"""),"No")</f>
        <v>No</v>
      </c>
    </row>
    <row r="320" spans="1:36" ht="13">
      <c r="A320" s="5" t="str">
        <f ca="1">IFERROR(__xludf.DUMMYFUNCTION("""COMPUTED_VALUE"""),"20220322TXWOD")</f>
        <v>20220322TXWOD</v>
      </c>
      <c r="B320" s="5">
        <f ca="1">IFERROR(__xludf.DUMMYFUNCTION("""COMPUTED_VALUE"""),3)</f>
        <v>3</v>
      </c>
      <c r="C320" s="5">
        <f ca="1">IFERROR(__xludf.DUMMYFUNCTION("""COMPUTED_VALUE"""),22)</f>
        <v>22</v>
      </c>
      <c r="D320" s="5">
        <f ca="1">IFERROR(__xludf.DUMMYFUNCTION("""COMPUTED_VALUE"""),2022)</f>
        <v>2022</v>
      </c>
      <c r="E320" s="8">
        <f ca="1">IFERROR(__xludf.DUMMYFUNCTION("""COMPUTED_VALUE"""),44642)</f>
        <v>44642</v>
      </c>
      <c r="F320" s="5" t="str">
        <f ca="1">IFERROR(__xludf.DUMMYFUNCTION("""COMPUTED_VALUE"""),"Woodrow Wilson High School")</f>
        <v>Woodrow Wilson High School</v>
      </c>
      <c r="G320" s="5">
        <f ca="1">IFERROR(__xludf.DUMMYFUNCTION("""COMPUTED_VALUE"""),0)</f>
        <v>0</v>
      </c>
      <c r="H320" s="5">
        <f ca="1">IFERROR(__xludf.DUMMYFUNCTION("""COMPUTED_VALUE"""),0)</f>
        <v>0</v>
      </c>
      <c r="I320" s="5">
        <f ca="1">IFERROR(__xludf.DUMMYFUNCTION("""COMPUTED_VALUE"""),0)</f>
        <v>0</v>
      </c>
      <c r="J320" s="5">
        <f ca="1">IFERROR(__xludf.DUMMYFUNCTION("""COMPUTED_VALUE"""),0)</f>
        <v>0</v>
      </c>
      <c r="K320" s="5" t="str">
        <f ca="1">IFERROR(__xludf.DUMMYFUNCTION("""COMPUTED_VALUE"""),"https://www.wfaa.com/article/news/local/dallas-isd-east-dallas-no-one-injured-after-shots-fired-outside-of-woodrow-wilson-high-school-in-dallas-on-tuesday/287-61203d72-044a-4100-a09c-9b50b4ece98f https://www.nbcdfw.com/news/local/no-one-injured-in-shootin"&amp;"g-near-woodrow-wilson-high-school-in-dallas/2922533/")</f>
        <v>https://www.wfaa.com/article/news/local/dallas-isd-east-dallas-no-one-injured-after-shots-fired-outside-of-woodrow-wilson-high-school-in-dallas-on-tuesday/287-61203d72-044a-4100-a09c-9b50b4ece98f https://www.nbcdfw.com/news/local/no-one-injured-in-shooting-near-woodrow-wilson-high-school-in-dallas/2922533/</v>
      </c>
      <c r="L320" s="5">
        <f ca="1">IFERROR(__xludf.DUMMYFUNCTION("""COMPUTED_VALUE"""),10)</f>
        <v>10</v>
      </c>
      <c r="M320" s="5" t="str">
        <f ca="1">IFERROR(__xludf.DUMMYFUNCTION("""COMPUTED_VALUE"""),"Regional")</f>
        <v>Regional</v>
      </c>
      <c r="N320" s="5">
        <f ca="1">IFERROR(__xludf.DUMMYFUNCTION("""COMPUTED_VALUE"""),4)</f>
        <v>4</v>
      </c>
      <c r="O320" s="5" t="str">
        <f ca="1">IFERROR(__xludf.DUMMYFUNCTION("""COMPUTED_VALUE"""),"Spring")</f>
        <v>Spring</v>
      </c>
      <c r="P320" s="5" t="str">
        <f ca="1">IFERROR(__xludf.DUMMYFUNCTION("""COMPUTED_VALUE"""),"Dallas")</f>
        <v>Dallas</v>
      </c>
      <c r="Q320" s="5" t="str">
        <f ca="1">IFERROR(__xludf.DUMMYFUNCTION("""COMPUTED_VALUE"""),"TX")</f>
        <v>TX</v>
      </c>
      <c r="R320" s="5" t="str">
        <f ca="1">IFERROR(__xludf.DUMMYFUNCTION("""COMPUTED_VALUE"""),"High")</f>
        <v>High</v>
      </c>
      <c r="S320" s="5" t="str">
        <f ca="1">IFERROR(__xludf.DUMMYFUNCTION("""COMPUTED_VALUE"""),"Football Field/Track")</f>
        <v>Football Field/Track</v>
      </c>
      <c r="T320" s="5" t="str">
        <f ca="1">IFERROR(__xludf.DUMMYFUNCTION("""COMPUTED_VALUE"""),"Outside on School Property")</f>
        <v>Outside on School Property</v>
      </c>
      <c r="U320" s="5" t="str">
        <f ca="1">IFERROR(__xludf.DUMMYFUNCTION("""COMPUTED_VALUE"""),"Yes")</f>
        <v>Yes</v>
      </c>
      <c r="V320" s="5" t="str">
        <f ca="1">IFERROR(__xludf.DUMMYFUNCTION("""COMPUTED_VALUE"""),"Dismissal")</f>
        <v>Dismissal</v>
      </c>
      <c r="W320" s="10">
        <f ca="1">IFERROR(__xludf.DUMMYFUNCTION("""COMPUTED_VALUE"""),0.625)</f>
        <v>0.625</v>
      </c>
      <c r="X320" s="5">
        <f ca="1">IFERROR(__xludf.DUMMYFUNCTION("""COMPUTED_VALUE"""),1)</f>
        <v>1</v>
      </c>
      <c r="Y320" s="5" t="str">
        <f ca="1">IFERROR(__xludf.DUMMYFUNCTION("""COMPUTED_VALUE"""),"Shots fired at dismissal during fight")</f>
        <v>Shots fired at dismissal during fight</v>
      </c>
      <c r="Z320" s="5" t="str">
        <f ca="1">IFERROR(__xludf.DUMMYFUNCTION("""COMPUTED_VALUE"""),"Shots were fired during a fight near the football field at dismissal. Shooter fled. No injuries.")</f>
        <v>Shots were fired during a fight near the football field at dismissal. Shooter fled. No injuries.</v>
      </c>
      <c r="AA320" s="5" t="str">
        <f ca="1">IFERROR(__xludf.DUMMYFUNCTION("""COMPUTED_VALUE"""),"Escalation of Dispute")</f>
        <v>Escalation of Dispute</v>
      </c>
      <c r="AB320" s="5" t="str">
        <f ca="1">IFERROR(__xludf.DUMMYFUNCTION("""COMPUTED_VALUE"""),"Victims Targeted")</f>
        <v>Victims Targeted</v>
      </c>
      <c r="AC320" s="5" t="str">
        <f ca="1">IFERROR(__xludf.DUMMYFUNCTION("""COMPUTED_VALUE"""),"No")</f>
        <v>No</v>
      </c>
      <c r="AD320" s="5" t="str">
        <f ca="1">IFERROR(__xludf.DUMMYFUNCTION("""COMPUTED_VALUE"""),"No")</f>
        <v>No</v>
      </c>
      <c r="AE320" s="5" t="str">
        <f ca="1">IFERROR(__xludf.DUMMYFUNCTION("""COMPUTED_VALUE"""),"No")</f>
        <v>No</v>
      </c>
      <c r="AF320" s="5" t="str">
        <f ca="1">IFERROR(__xludf.DUMMYFUNCTION("""COMPUTED_VALUE"""),"No")</f>
        <v>No</v>
      </c>
      <c r="AG320" s="5" t="str">
        <f ca="1">IFERROR(__xludf.DUMMYFUNCTION("""COMPUTED_VALUE"""),"No")</f>
        <v>No</v>
      </c>
      <c r="AH320" s="5" t="str">
        <f ca="1">IFERROR(__xludf.DUMMYFUNCTION("""COMPUTED_VALUE"""),"No")</f>
        <v>No</v>
      </c>
      <c r="AI320" s="5" t="str">
        <f ca="1">IFERROR(__xludf.DUMMYFUNCTION("""COMPUTED_VALUE"""),"No")</f>
        <v>No</v>
      </c>
      <c r="AJ320" s="5" t="str">
        <f ca="1">IFERROR(__xludf.DUMMYFUNCTION("""COMPUTED_VALUE"""),"No")</f>
        <v>No</v>
      </c>
    </row>
    <row r="321" spans="1:36" ht="13">
      <c r="A321" s="5" t="str">
        <f ca="1">IFERROR(__xludf.DUMMYFUNCTION("""COMPUTED_VALUE"""),"20220322FLNEN")</f>
        <v>20220322FLNEN</v>
      </c>
      <c r="B321" s="5">
        <f ca="1">IFERROR(__xludf.DUMMYFUNCTION("""COMPUTED_VALUE"""),3)</f>
        <v>3</v>
      </c>
      <c r="C321" s="5">
        <f ca="1">IFERROR(__xludf.DUMMYFUNCTION("""COMPUTED_VALUE"""),22)</f>
        <v>22</v>
      </c>
      <c r="D321" s="5">
        <f ca="1">IFERROR(__xludf.DUMMYFUNCTION("""COMPUTED_VALUE"""),2022)</f>
        <v>2022</v>
      </c>
      <c r="E321" s="8">
        <f ca="1">IFERROR(__xludf.DUMMYFUNCTION("""COMPUTED_VALUE"""),44642)</f>
        <v>44642</v>
      </c>
      <c r="F321" s="5" t="str">
        <f ca="1">IFERROR(__xludf.DUMMYFUNCTION("""COMPUTED_VALUE"""),"New Smyrna Beach High School")</f>
        <v>New Smyrna Beach High School</v>
      </c>
      <c r="G321" s="5">
        <f ca="1">IFERROR(__xludf.DUMMYFUNCTION("""COMPUTED_VALUE"""),0)</f>
        <v>0</v>
      </c>
      <c r="H321" s="5">
        <f ca="1">IFERROR(__xludf.DUMMYFUNCTION("""COMPUTED_VALUE"""),0)</f>
        <v>0</v>
      </c>
      <c r="I321" s="5">
        <f ca="1">IFERROR(__xludf.DUMMYFUNCTION("""COMPUTED_VALUE"""),0)</f>
        <v>0</v>
      </c>
      <c r="J321" s="5">
        <f ca="1">IFERROR(__xludf.DUMMYFUNCTION("""COMPUTED_VALUE"""),0)</f>
        <v>0</v>
      </c>
      <c r="K321" s="5" t="str">
        <f ca="1">IFERROR(__xludf.DUMMYFUNCTION("""COMPUTED_VALUE"""),"https://www.wesh.com/article/orbeez-challenge-volusia/39519964# https://www.clickorlando.com/news/local/2022/03/23/new-smyrna-beach-high-student-shot-school-employee-in-face-with-orbeez-gun-deputies-say/")</f>
        <v>https://www.wesh.com/article/orbeez-challenge-volusia/39519964# https://www.clickorlando.com/news/local/2022/03/23/new-smyrna-beach-high-student-shot-school-employee-in-face-with-orbeez-gun-deputies-say/</v>
      </c>
      <c r="L321" s="5">
        <f ca="1">IFERROR(__xludf.DUMMYFUNCTION("""COMPUTED_VALUE"""),2)</f>
        <v>2</v>
      </c>
      <c r="M321" s="5" t="str">
        <f ca="1">IFERROR(__xludf.DUMMYFUNCTION("""COMPUTED_VALUE"""),"Regional")</f>
        <v>Regional</v>
      </c>
      <c r="N321" s="5">
        <f ca="1">IFERROR(__xludf.DUMMYFUNCTION("""COMPUTED_VALUE"""),4)</f>
        <v>4</v>
      </c>
      <c r="O321" s="5" t="str">
        <f ca="1">IFERROR(__xludf.DUMMYFUNCTION("""COMPUTED_VALUE"""),"Spring")</f>
        <v>Spring</v>
      </c>
      <c r="P321" s="5" t="str">
        <f ca="1">IFERROR(__xludf.DUMMYFUNCTION("""COMPUTED_VALUE"""),"New Smyrna Beach")</f>
        <v>New Smyrna Beach</v>
      </c>
      <c r="Q321" s="5" t="str">
        <f ca="1">IFERROR(__xludf.DUMMYFUNCTION("""COMPUTED_VALUE"""),"FL")</f>
        <v>FL</v>
      </c>
      <c r="R321" s="5" t="str">
        <f ca="1">IFERROR(__xludf.DUMMYFUNCTION("""COMPUTED_VALUE"""),"High")</f>
        <v>High</v>
      </c>
      <c r="S321" s="5" t="str">
        <f ca="1">IFERROR(__xludf.DUMMYFUNCTION("""COMPUTED_VALUE"""),"Parking Lot")</f>
        <v>Parking Lot</v>
      </c>
      <c r="T321" s="5" t="str">
        <f ca="1">IFERROR(__xludf.DUMMYFUNCTION("""COMPUTED_VALUE"""),"Outside on School Property")</f>
        <v>Outside on School Property</v>
      </c>
      <c r="U321" s="5" t="str">
        <f ca="1">IFERROR(__xludf.DUMMYFUNCTION("""COMPUTED_VALUE"""),"Yes")</f>
        <v>Yes</v>
      </c>
      <c r="V321" s="5" t="str">
        <f ca="1">IFERROR(__xludf.DUMMYFUNCTION("""COMPUTED_VALUE"""),"Dismissal")</f>
        <v>Dismissal</v>
      </c>
      <c r="W321" s="10">
        <f ca="1">IFERROR(__xludf.DUMMYFUNCTION("""COMPUTED_VALUE"""),0.638888888888888)</f>
        <v>0.63888888888888795</v>
      </c>
      <c r="X321" s="5">
        <f ca="1">IFERROR(__xludf.DUMMYFUNCTION("""COMPUTED_VALUE"""),1)</f>
        <v>1</v>
      </c>
      <c r="Y321" s="5" t="str">
        <f ca="1">IFERROR(__xludf.DUMMYFUNCTION("""COMPUTED_VALUE"""),"Student shot school employee multiple times in the face with pellet gun")</f>
        <v>Student shot school employee multiple times in the face with pellet gun</v>
      </c>
      <c r="Z321" s="5" t="str">
        <f ca="1">IFERROR(__xludf.DUMMYFUNCTION("""COMPUTED_VALUE"""),"A 17-year-old male student shot a female school employee multiple times in the face with a gel pellet gun in the school parking lot. He filmed the shooting for a TikTok challenge. Charged with felony battery of a school employee.")</f>
        <v>A 17-year-old male student shot a female school employee multiple times in the face with a gel pellet gun in the school parking lot. He filmed the shooting for a TikTok challenge. Charged with felony battery of a school employee.</v>
      </c>
      <c r="AA321" s="5" t="str">
        <f ca="1">IFERROR(__xludf.DUMMYFUNCTION("""COMPUTED_VALUE"""),"Drive-by Shooting")</f>
        <v>Drive-by Shooting</v>
      </c>
      <c r="AB321" s="5" t="str">
        <f ca="1">IFERROR(__xludf.DUMMYFUNCTION("""COMPUTED_VALUE"""),"Victims Targeted")</f>
        <v>Victims Targeted</v>
      </c>
      <c r="AC321" s="5" t="str">
        <f ca="1">IFERROR(__xludf.DUMMYFUNCTION("""COMPUTED_VALUE"""),"No")</f>
        <v>No</v>
      </c>
      <c r="AD321" s="5" t="str">
        <f ca="1">IFERROR(__xludf.DUMMYFUNCTION("""COMPUTED_VALUE"""),"No")</f>
        <v>No</v>
      </c>
      <c r="AE321" s="5" t="str">
        <f ca="1">IFERROR(__xludf.DUMMYFUNCTION("""COMPUTED_VALUE"""),"No")</f>
        <v>No</v>
      </c>
      <c r="AF321" s="5" t="str">
        <f ca="1">IFERROR(__xludf.DUMMYFUNCTION("""COMPUTED_VALUE"""),"No")</f>
        <v>No</v>
      </c>
      <c r="AG321" s="5" t="str">
        <f ca="1">IFERROR(__xludf.DUMMYFUNCTION("""COMPUTED_VALUE"""),"No")</f>
        <v>No</v>
      </c>
      <c r="AH321" s="5" t="str">
        <f ca="1">IFERROR(__xludf.DUMMYFUNCTION("""COMPUTED_VALUE"""),"No")</f>
        <v>No</v>
      </c>
      <c r="AI321" s="5" t="str">
        <f ca="1">IFERROR(__xludf.DUMMYFUNCTION("""COMPUTED_VALUE"""),"No")</f>
        <v>No</v>
      </c>
      <c r="AJ321" s="5" t="str">
        <f ca="1">IFERROR(__xludf.DUMMYFUNCTION("""COMPUTED_VALUE"""),"No")</f>
        <v>No</v>
      </c>
    </row>
    <row r="322" spans="1:36" ht="13">
      <c r="A322" s="5" t="str">
        <f ca="1">IFERROR(__xludf.DUMMYFUNCTION("""COMPUTED_VALUE"""),"20220321MSLEP")</f>
        <v>20220321MSLEP</v>
      </c>
      <c r="B322" s="5">
        <f ca="1">IFERROR(__xludf.DUMMYFUNCTION("""COMPUTED_VALUE"""),3)</f>
        <v>3</v>
      </c>
      <c r="C322" s="5">
        <f ca="1">IFERROR(__xludf.DUMMYFUNCTION("""COMPUTED_VALUE"""),21)</f>
        <v>21</v>
      </c>
      <c r="D322" s="5">
        <f ca="1">IFERROR(__xludf.DUMMYFUNCTION("""COMPUTED_VALUE"""),2022)</f>
        <v>2022</v>
      </c>
      <c r="E322" s="8">
        <f ca="1">IFERROR(__xludf.DUMMYFUNCTION("""COMPUTED_VALUE"""),44641)</f>
        <v>44641</v>
      </c>
      <c r="F322" s="5" t="str">
        <f ca="1">IFERROR(__xludf.DUMMYFUNCTION("""COMPUTED_VALUE"""),"Leap of Faith Middle School")</f>
        <v>Leap of Faith Middle School</v>
      </c>
      <c r="G322" s="5">
        <f ca="1">IFERROR(__xludf.DUMMYFUNCTION("""COMPUTED_VALUE"""),0)</f>
        <v>0</v>
      </c>
      <c r="H322" s="5">
        <f ca="1">IFERROR(__xludf.DUMMYFUNCTION("""COMPUTED_VALUE"""),0)</f>
        <v>0</v>
      </c>
      <c r="I322" s="5">
        <f ca="1">IFERROR(__xludf.DUMMYFUNCTION("""COMPUTED_VALUE"""),0)</f>
        <v>0</v>
      </c>
      <c r="J322" s="5">
        <f ca="1">IFERROR(__xludf.DUMMYFUNCTION("""COMPUTED_VALUE"""),0)</f>
        <v>0</v>
      </c>
      <c r="K322" s="5" t="str">
        <f ca="1">IFERROR(__xludf.DUMMYFUNCTION("""COMPUTED_VALUE"""),"https://www.sunherald.com/news/local/crime/article259627534.html https://www.wlox.com/2022/03/21/pascagoula-police-searching-alleged-gunman-private-school-building/")</f>
        <v>https://www.sunherald.com/news/local/crime/article259627534.html https://www.wlox.com/2022/03/21/pascagoula-police-searching-alleged-gunman-private-school-building/</v>
      </c>
      <c r="L322" s="5">
        <f ca="1">IFERROR(__xludf.DUMMYFUNCTION("""COMPUTED_VALUE"""),5)</f>
        <v>5</v>
      </c>
      <c r="M322" s="5" t="str">
        <f ca="1">IFERROR(__xludf.DUMMYFUNCTION("""COMPUTED_VALUE"""),"Local")</f>
        <v>Local</v>
      </c>
      <c r="N322" s="5">
        <f ca="1">IFERROR(__xludf.DUMMYFUNCTION("""COMPUTED_VALUE"""),4)</f>
        <v>4</v>
      </c>
      <c r="O322" s="5" t="str">
        <f ca="1">IFERROR(__xludf.DUMMYFUNCTION("""COMPUTED_VALUE"""),"Spring")</f>
        <v>Spring</v>
      </c>
      <c r="P322" s="5" t="str">
        <f ca="1">IFERROR(__xludf.DUMMYFUNCTION("""COMPUTED_VALUE"""),"Pascagoula")</f>
        <v>Pascagoula</v>
      </c>
      <c r="Q322" s="5" t="str">
        <f ca="1">IFERROR(__xludf.DUMMYFUNCTION("""COMPUTED_VALUE"""),"MS")</f>
        <v>MS</v>
      </c>
      <c r="R322" s="5" t="str">
        <f ca="1">IFERROR(__xludf.DUMMYFUNCTION("""COMPUTED_VALUE"""),"Middle")</f>
        <v>Middle</v>
      </c>
      <c r="S322" s="5" t="str">
        <f ca="1">IFERROR(__xludf.DUMMYFUNCTION("""COMPUTED_VALUE"""),"Inside School Building")</f>
        <v>Inside School Building</v>
      </c>
      <c r="T322" s="5" t="str">
        <f ca="1">IFERROR(__xludf.DUMMYFUNCTION("""COMPUTED_VALUE"""),"Both Inside/Outside")</f>
        <v>Both Inside/Outside</v>
      </c>
      <c r="U322" s="5" t="str">
        <f ca="1">IFERROR(__xludf.DUMMYFUNCTION("""COMPUTED_VALUE"""),"Yes")</f>
        <v>Yes</v>
      </c>
      <c r="V322" s="5" t="str">
        <f ca="1">IFERROR(__xludf.DUMMYFUNCTION("""COMPUTED_VALUE"""),"Afternoon Classes")</f>
        <v>Afternoon Classes</v>
      </c>
      <c r="W322" s="10">
        <f ca="1">IFERROR(__xludf.DUMMYFUNCTION("""COMPUTED_VALUE"""),0.541666666666666)</f>
        <v>0.54166666666666596</v>
      </c>
      <c r="X322" s="5">
        <f ca="1">IFERROR(__xludf.DUMMYFUNCTION("""COMPUTED_VALUE"""),1)</f>
        <v>1</v>
      </c>
      <c r="Y322" s="5" t="str">
        <f ca="1">IFERROR(__xludf.DUMMYFUNCTION("""COMPUTED_VALUE"""),"Shots fired outside school, gunman broken into school building fleeing police")</f>
        <v>Shots fired outside school, gunman broken into school building fleeing police</v>
      </c>
      <c r="Z322" s="5" t="str">
        <f ca="1">IFERROR(__xludf.DUMMYFUNCTION("""COMPUTED_VALUE"""),"Police in the area heard shots fired near the school building. A gunman fleeing police broke into the school building. Police evacuated students and staff, set up a parameter, and arrested multiple suspects. Shots were fired outside the Friday prior (4 da"&amp;"ys earlier striking the school building). No staff or students were injured in either incident.")</f>
        <v>Police in the area heard shots fired near the school building. A gunman fleeing police broke into the school building. Police evacuated students and staff, set up a parameter, and arrested multiple suspects. Shots were fired outside the Friday prior (4 days earlier striking the school building). No staff or students were injured in either incident.</v>
      </c>
      <c r="AA322" s="5" t="str">
        <f ca="1">IFERROR(__xludf.DUMMYFUNCTION("""COMPUTED_VALUE"""),"Illegal Activity")</f>
        <v>Illegal Activity</v>
      </c>
      <c r="AB322" s="5" t="str">
        <f ca="1">IFERROR(__xludf.DUMMYFUNCTION("""COMPUTED_VALUE"""),"Victims Targeted")</f>
        <v>Victims Targeted</v>
      </c>
      <c r="AC322" s="5" t="str">
        <f ca="1">IFERROR(__xludf.DUMMYFUNCTION("""COMPUTED_VALUE"""),"Yes")</f>
        <v>Yes</v>
      </c>
      <c r="AD322" s="5" t="str">
        <f ca="1">IFERROR(__xludf.DUMMYFUNCTION("""COMPUTED_VALUE"""),"No")</f>
        <v>No</v>
      </c>
      <c r="AE322" s="5" t="str">
        <f ca="1">IFERROR(__xludf.DUMMYFUNCTION("""COMPUTED_VALUE"""),"No")</f>
        <v>No</v>
      </c>
      <c r="AF322" s="5" t="str">
        <f ca="1">IFERROR(__xludf.DUMMYFUNCTION("""COMPUTED_VALUE"""),"No")</f>
        <v>No</v>
      </c>
      <c r="AG322" s="5" t="str">
        <f ca="1">IFERROR(__xludf.DUMMYFUNCTION("""COMPUTED_VALUE"""),"No")</f>
        <v>No</v>
      </c>
      <c r="AH322" s="5" t="str">
        <f ca="1">IFERROR(__xludf.DUMMYFUNCTION("""COMPUTED_VALUE"""),"No")</f>
        <v>No</v>
      </c>
      <c r="AI322" s="5"/>
      <c r="AJ322" s="5" t="str">
        <f ca="1">IFERROR(__xludf.DUMMYFUNCTION("""COMPUTED_VALUE"""),"No")</f>
        <v>No</v>
      </c>
    </row>
    <row r="323" spans="1:36" ht="13">
      <c r="A323" s="5" t="str">
        <f ca="1">IFERROR(__xludf.DUMMYFUNCTION("""COMPUTED_VALUE"""),"20220321MIMAK")</f>
        <v>20220321MIMAK</v>
      </c>
      <c r="B323" s="5">
        <f ca="1">IFERROR(__xludf.DUMMYFUNCTION("""COMPUTED_VALUE"""),3)</f>
        <v>3</v>
      </c>
      <c r="C323" s="5">
        <f ca="1">IFERROR(__xludf.DUMMYFUNCTION("""COMPUTED_VALUE"""),21)</f>
        <v>21</v>
      </c>
      <c r="D323" s="5">
        <f ca="1">IFERROR(__xludf.DUMMYFUNCTION("""COMPUTED_VALUE"""),2022)</f>
        <v>2022</v>
      </c>
      <c r="E323" s="8">
        <f ca="1">IFERROR(__xludf.DUMMYFUNCTION("""COMPUTED_VALUE"""),44641)</f>
        <v>44641</v>
      </c>
      <c r="F323" s="5" t="str">
        <f ca="1">IFERROR(__xludf.DUMMYFUNCTION("""COMPUTED_VALUE"""),"Mahone Middle School")</f>
        <v>Mahone Middle School</v>
      </c>
      <c r="G323" s="5">
        <f ca="1">IFERROR(__xludf.DUMMYFUNCTION("""COMPUTED_VALUE"""),0)</f>
        <v>0</v>
      </c>
      <c r="H323" s="5">
        <f ca="1">IFERROR(__xludf.DUMMYFUNCTION("""COMPUTED_VALUE"""),0)</f>
        <v>0</v>
      </c>
      <c r="I323" s="5">
        <f ca="1">IFERROR(__xludf.DUMMYFUNCTION("""COMPUTED_VALUE"""),0)</f>
        <v>0</v>
      </c>
      <c r="J323" s="5">
        <f ca="1">IFERROR(__xludf.DUMMYFUNCTION("""COMPUTED_VALUE"""),0)</f>
        <v>0</v>
      </c>
      <c r="K323" s="5" t="str">
        <f ca="1">IFERROR(__xludf.DUMMYFUNCTION("""COMPUTED_VALUE"""),"https://www.kenoshanews.com/news/local/crime-and-courts/woman-arrested-on-weapons-charges-after-brandishing-gun-threatening-man-outside-mahone-middle-school-according/article_62e40290-a998-11ec-ba48-f3506de8b005.html https://cbs58.com/news/kenosha-police-"&amp;"36-year-old-woman-arrested-for-pointing-handgun-at-parent-in-high-school-parking-lot https://www.fox6now.com/news/kenosha-woman-allegedly-pointed-gun-at-parent-in-school-parking-lot")</f>
        <v>https://www.kenoshanews.com/news/local/crime-and-courts/woman-arrested-on-weapons-charges-after-brandishing-gun-threatening-man-outside-mahone-middle-school-according/article_62e40290-a998-11ec-ba48-f3506de8b005.html https://cbs58.com/news/kenosha-police-36-year-old-woman-arrested-for-pointing-handgun-at-parent-in-high-school-parking-lot https://www.fox6now.com/news/kenosha-woman-allegedly-pointed-gun-at-parent-in-school-parking-lot</v>
      </c>
      <c r="L323" s="5">
        <f ca="1">IFERROR(__xludf.DUMMYFUNCTION("""COMPUTED_VALUE"""),10)</f>
        <v>10</v>
      </c>
      <c r="M323" s="5" t="str">
        <f ca="1">IFERROR(__xludf.DUMMYFUNCTION("""COMPUTED_VALUE"""),"Local")</f>
        <v>Local</v>
      </c>
      <c r="N323" s="5">
        <f ca="1">IFERROR(__xludf.DUMMYFUNCTION("""COMPUTED_VALUE"""),4)</f>
        <v>4</v>
      </c>
      <c r="O323" s="5" t="str">
        <f ca="1">IFERROR(__xludf.DUMMYFUNCTION("""COMPUTED_VALUE"""),"Spring")</f>
        <v>Spring</v>
      </c>
      <c r="P323" s="5" t="str">
        <f ca="1">IFERROR(__xludf.DUMMYFUNCTION("""COMPUTED_VALUE"""),"Kenosha")</f>
        <v>Kenosha</v>
      </c>
      <c r="Q323" s="5" t="str">
        <f ca="1">IFERROR(__xludf.DUMMYFUNCTION("""COMPUTED_VALUE"""),"WI")</f>
        <v>WI</v>
      </c>
      <c r="R323" s="5" t="str">
        <f ca="1">IFERROR(__xludf.DUMMYFUNCTION("""COMPUTED_VALUE"""),"Middle")</f>
        <v>Middle</v>
      </c>
      <c r="S323" s="5" t="str">
        <f ca="1">IFERROR(__xludf.DUMMYFUNCTION("""COMPUTED_VALUE"""),"Parking Lot")</f>
        <v>Parking Lot</v>
      </c>
      <c r="T323" s="5" t="str">
        <f ca="1">IFERROR(__xludf.DUMMYFUNCTION("""COMPUTED_VALUE"""),"Outside on School Property")</f>
        <v>Outside on School Property</v>
      </c>
      <c r="U323" s="5" t="str">
        <f ca="1">IFERROR(__xludf.DUMMYFUNCTION("""COMPUTED_VALUE"""),"Yes")</f>
        <v>Yes</v>
      </c>
      <c r="V323" s="5" t="str">
        <f ca="1">IFERROR(__xludf.DUMMYFUNCTION("""COMPUTED_VALUE"""),"Dismissal")</f>
        <v>Dismissal</v>
      </c>
      <c r="W323" s="10">
        <f ca="1">IFERROR(__xludf.DUMMYFUNCTION("""COMPUTED_VALUE"""),0.142361111111111)</f>
        <v>0.14236111111111099</v>
      </c>
      <c r="X323" s="5">
        <f ca="1">IFERROR(__xludf.DUMMYFUNCTION("""COMPUTED_VALUE"""),1)</f>
        <v>1</v>
      </c>
      <c r="Y323" s="5" t="str">
        <f ca="1">IFERROR(__xludf.DUMMYFUNCTION("""COMPUTED_VALUE"""),"Parent pointed a gun and threatened another parent in the pick-up line")</f>
        <v>Parent pointed a gun and threatened another parent in the pick-up line</v>
      </c>
      <c r="Z323" s="5" t="str">
        <f ca="1">IFERROR(__xludf.DUMMYFUNCTION("""COMPUTED_VALUE"""),"A 36-year-old female parent pointed a gun at another parent and threatened to shoot him during a dispute in the pick-up line of the school at dismissal. She did not fired the weapon and fled the area. She was arrested the following morning and charged wit"&amp;"h four felonies.")</f>
        <v>A 36-year-old female parent pointed a gun at another parent and threatened to shoot him during a dispute in the pick-up line of the school at dismissal. She did not fired the weapon and fled the area. She was arrested the following morning and charged with four felonies.</v>
      </c>
      <c r="AA323" s="5" t="str">
        <f ca="1">IFERROR(__xludf.DUMMYFUNCTION("""COMPUTED_VALUE"""),"Escalation of Dispute")</f>
        <v>Escalation of Dispute</v>
      </c>
      <c r="AB323" s="5" t="str">
        <f ca="1">IFERROR(__xludf.DUMMYFUNCTION("""COMPUTED_VALUE"""),"Victims Targeted")</f>
        <v>Victims Targeted</v>
      </c>
      <c r="AC323" s="5" t="str">
        <f ca="1">IFERROR(__xludf.DUMMYFUNCTION("""COMPUTED_VALUE"""),"No")</f>
        <v>No</v>
      </c>
      <c r="AD323" s="5" t="str">
        <f ca="1">IFERROR(__xludf.DUMMYFUNCTION("""COMPUTED_VALUE"""),"No")</f>
        <v>No</v>
      </c>
      <c r="AE323" s="5" t="str">
        <f ca="1">IFERROR(__xludf.DUMMYFUNCTION("""COMPUTED_VALUE"""),"No")</f>
        <v>No</v>
      </c>
      <c r="AF323" s="5" t="str">
        <f ca="1">IFERROR(__xludf.DUMMYFUNCTION("""COMPUTED_VALUE"""),"No")</f>
        <v>No</v>
      </c>
      <c r="AG323" s="5" t="str">
        <f ca="1">IFERROR(__xludf.DUMMYFUNCTION("""COMPUTED_VALUE"""),"No")</f>
        <v>No</v>
      </c>
      <c r="AH323" s="5" t="str">
        <f ca="1">IFERROR(__xludf.DUMMYFUNCTION("""COMPUTED_VALUE"""),"No")</f>
        <v>No</v>
      </c>
      <c r="AI323" s="5" t="str">
        <f ca="1">IFERROR(__xludf.DUMMYFUNCTION("""COMPUTED_VALUE"""),"No")</f>
        <v>No</v>
      </c>
      <c r="AJ323" s="5" t="str">
        <f ca="1">IFERROR(__xludf.DUMMYFUNCTION("""COMPUTED_VALUE"""),"No")</f>
        <v>No</v>
      </c>
    </row>
    <row r="324" spans="1:36" ht="13">
      <c r="A324" s="5" t="str">
        <f ca="1">IFERROR(__xludf.DUMMYFUNCTION("""COMPUTED_VALUE"""),"20220321AZDES")</f>
        <v>20220321AZDES</v>
      </c>
      <c r="B324" s="5">
        <f ca="1">IFERROR(__xludf.DUMMYFUNCTION("""COMPUTED_VALUE"""),3)</f>
        <v>3</v>
      </c>
      <c r="C324" s="5">
        <f ca="1">IFERROR(__xludf.DUMMYFUNCTION("""COMPUTED_VALUE"""),21)</f>
        <v>21</v>
      </c>
      <c r="D324" s="5">
        <f ca="1">IFERROR(__xludf.DUMMYFUNCTION("""COMPUTED_VALUE"""),2022)</f>
        <v>2022</v>
      </c>
      <c r="E324" s="8">
        <f ca="1">IFERROR(__xludf.DUMMYFUNCTION("""COMPUTED_VALUE"""),44641)</f>
        <v>44641</v>
      </c>
      <c r="F324" s="5" t="str">
        <f ca="1">IFERROR(__xludf.DUMMYFUNCTION("""COMPUTED_VALUE"""),"Desert Canyon Middle School")</f>
        <v>Desert Canyon Middle School</v>
      </c>
      <c r="G324" s="5">
        <f ca="1">IFERROR(__xludf.DUMMYFUNCTION("""COMPUTED_VALUE"""),0)</f>
        <v>0</v>
      </c>
      <c r="H324" s="5">
        <f ca="1">IFERROR(__xludf.DUMMYFUNCTION("""COMPUTED_VALUE"""),0)</f>
        <v>0</v>
      </c>
      <c r="I324" s="5">
        <f ca="1">IFERROR(__xludf.DUMMYFUNCTION("""COMPUTED_VALUE"""),0)</f>
        <v>0</v>
      </c>
      <c r="J324" s="5">
        <f ca="1">IFERROR(__xludf.DUMMYFUNCTION("""COMPUTED_VALUE"""),0)</f>
        <v>0</v>
      </c>
      <c r="K324" s="5" t="str">
        <f ca="1">IFERROR(__xludf.DUMMYFUNCTION("""COMPUTED_VALUE"""),"https://www.fox10phoenix.com/news/man-arrested-accused-of-firing-off-handgun-near-north-scottsdale-middle-school-police-say https://patch.com/arizona/scottsdale/jillian-underschultz-accidental-death-shot-fired-near-school")</f>
        <v>https://www.fox10phoenix.com/news/man-arrested-accused-of-firing-off-handgun-near-north-scottsdale-middle-school-police-say https://patch.com/arizona/scottsdale/jillian-underschultz-accidental-death-shot-fired-near-school</v>
      </c>
      <c r="L324" s="5">
        <f ca="1">IFERROR(__xludf.DUMMYFUNCTION("""COMPUTED_VALUE"""),2)</f>
        <v>2</v>
      </c>
      <c r="M324" s="5" t="str">
        <f ca="1">IFERROR(__xludf.DUMMYFUNCTION("""COMPUTED_VALUE"""),"Local")</f>
        <v>Local</v>
      </c>
      <c r="N324" s="5">
        <f ca="1">IFERROR(__xludf.DUMMYFUNCTION("""COMPUTED_VALUE"""),4)</f>
        <v>4</v>
      </c>
      <c r="O324" s="5" t="str">
        <f ca="1">IFERROR(__xludf.DUMMYFUNCTION("""COMPUTED_VALUE"""),"Spring")</f>
        <v>Spring</v>
      </c>
      <c r="P324" s="5" t="str">
        <f ca="1">IFERROR(__xludf.DUMMYFUNCTION("""COMPUTED_VALUE"""),"Scottsdale")</f>
        <v>Scottsdale</v>
      </c>
      <c r="Q324" s="5" t="str">
        <f ca="1">IFERROR(__xludf.DUMMYFUNCTION("""COMPUTED_VALUE"""),"AZ")</f>
        <v>AZ</v>
      </c>
      <c r="R324" s="5" t="str">
        <f ca="1">IFERROR(__xludf.DUMMYFUNCTION("""COMPUTED_VALUE"""),"Middle")</f>
        <v>Middle</v>
      </c>
      <c r="S324" s="5" t="str">
        <f ca="1">IFERROR(__xludf.DUMMYFUNCTION("""COMPUTED_VALUE"""),"Outside on School Property")</f>
        <v>Outside on School Property</v>
      </c>
      <c r="T324" s="5" t="str">
        <f ca="1">IFERROR(__xludf.DUMMYFUNCTION("""COMPUTED_VALUE"""),"Outside on School Property")</f>
        <v>Outside on School Property</v>
      </c>
      <c r="U324" s="5" t="str">
        <f ca="1">IFERROR(__xludf.DUMMYFUNCTION("""COMPUTED_VALUE"""),"Yes")</f>
        <v>Yes</v>
      </c>
      <c r="V324" s="5" t="str">
        <f ca="1">IFERROR(__xludf.DUMMYFUNCTION("""COMPUTED_VALUE"""),"Morning Classes")</f>
        <v>Morning Classes</v>
      </c>
      <c r="W324" s="10">
        <f ca="1">IFERROR(__xludf.DUMMYFUNCTION("""COMPUTED_VALUE"""),0.46875)</f>
        <v>0.46875</v>
      </c>
      <c r="X324" s="5">
        <f ca="1">IFERROR(__xludf.DUMMYFUNCTION("""COMPUTED_VALUE"""),1)</f>
        <v>1</v>
      </c>
      <c r="Y324" s="5" t="str">
        <f ca="1">IFERROR(__xludf.DUMMYFUNCTION("""COMPUTED_VALUE"""),"Man fired shots on soccer field, school went on lockdown")</f>
        <v>Man fired shots on soccer field, school went on lockdown</v>
      </c>
      <c r="Z324" s="5" t="str">
        <f ca="1">IFERROR(__xludf.DUMMYFUNCTION("""COMPUTED_VALUE"""),"A 31-year-old man fired shots on the on the soccer field during morning classes. School went on lockdown. No students or staff were injured. Police arrested the shooter and said that he did not target the school. Motive unknown.")</f>
        <v>A 31-year-old man fired shots on the on the soccer field during morning classes. School went on lockdown. No students or staff were injured. Police arrested the shooter and said that he did not target the school. Motive unknown.</v>
      </c>
      <c r="AA324" s="5"/>
      <c r="AB324" s="5" t="str">
        <f ca="1">IFERROR(__xludf.DUMMYFUNCTION("""COMPUTED_VALUE"""),"Neither")</f>
        <v>Neither</v>
      </c>
      <c r="AC324" s="5" t="str">
        <f ca="1">IFERROR(__xludf.DUMMYFUNCTION("""COMPUTED_VALUE"""),"No")</f>
        <v>No</v>
      </c>
      <c r="AD324" s="5" t="str">
        <f ca="1">IFERROR(__xludf.DUMMYFUNCTION("""COMPUTED_VALUE"""),"No")</f>
        <v>No</v>
      </c>
      <c r="AE324" s="5" t="str">
        <f ca="1">IFERROR(__xludf.DUMMYFUNCTION("""COMPUTED_VALUE"""),"No")</f>
        <v>No</v>
      </c>
      <c r="AF324" s="5" t="str">
        <f ca="1">IFERROR(__xludf.DUMMYFUNCTION("""COMPUTED_VALUE"""),"No")</f>
        <v>No</v>
      </c>
      <c r="AG324" s="5" t="str">
        <f ca="1">IFERROR(__xludf.DUMMYFUNCTION("""COMPUTED_VALUE"""),"No")</f>
        <v>No</v>
      </c>
      <c r="AH324" s="5" t="str">
        <f ca="1">IFERROR(__xludf.DUMMYFUNCTION("""COMPUTED_VALUE"""),"No")</f>
        <v>No</v>
      </c>
      <c r="AI324" s="5" t="str">
        <f ca="1">IFERROR(__xludf.DUMMYFUNCTION("""COMPUTED_VALUE"""),"No")</f>
        <v>No</v>
      </c>
      <c r="AJ324" s="5" t="str">
        <f ca="1">IFERROR(__xludf.DUMMYFUNCTION("""COMPUTED_VALUE"""),"No")</f>
        <v>No</v>
      </c>
    </row>
    <row r="325" spans="1:36" ht="13">
      <c r="A325" s="5" t="str">
        <f ca="1">IFERROR(__xludf.DUMMYFUNCTION("""COMPUTED_VALUE"""),"20220319ALCEL")</f>
        <v>20220319ALCEL</v>
      </c>
      <c r="B325" s="5">
        <f ca="1">IFERROR(__xludf.DUMMYFUNCTION("""COMPUTED_VALUE"""),3)</f>
        <v>3</v>
      </c>
      <c r="C325" s="5">
        <f ca="1">IFERROR(__xludf.DUMMYFUNCTION("""COMPUTED_VALUE"""),19)</f>
        <v>19</v>
      </c>
      <c r="D325" s="5">
        <f ca="1">IFERROR(__xludf.DUMMYFUNCTION("""COMPUTED_VALUE"""),2022)</f>
        <v>2022</v>
      </c>
      <c r="E325" s="8">
        <f ca="1">IFERROR(__xludf.DUMMYFUNCTION("""COMPUTED_VALUE"""),44639)</f>
        <v>44639</v>
      </c>
      <c r="F325" s="5" t="str">
        <f ca="1">IFERROR(__xludf.DUMMYFUNCTION("""COMPUTED_VALUE"""),"Central Baldwin Middle School")</f>
        <v>Central Baldwin Middle School</v>
      </c>
      <c r="G325" s="5">
        <f ca="1">IFERROR(__xludf.DUMMYFUNCTION("""COMPUTED_VALUE"""),0)</f>
        <v>0</v>
      </c>
      <c r="H325" s="5">
        <f ca="1">IFERROR(__xludf.DUMMYFUNCTION("""COMPUTED_VALUE"""),0)</f>
        <v>0</v>
      </c>
      <c r="I325" s="5">
        <f ca="1">IFERROR(__xludf.DUMMYFUNCTION("""COMPUTED_VALUE"""),0)</f>
        <v>0</v>
      </c>
      <c r="J325" s="5">
        <f ca="1">IFERROR(__xludf.DUMMYFUNCTION("""COMPUTED_VALUE"""),0)</f>
        <v>0</v>
      </c>
      <c r="K325" s="5" t="str">
        <f ca="1">IFERROR(__xludf.DUMMYFUNCTION("""COMPUTED_VALUE"""),"https://www.al.com/news/2022/03/robertsdale-police-searching-for-suspect-involved-in-shooting-near-school.html https://www.fox10tv.com/2022/03/19/manhunt-alleged-gunman-underway-baldwin-county/")</f>
        <v>https://www.al.com/news/2022/03/robertsdale-police-searching-for-suspect-involved-in-shooting-near-school.html https://www.fox10tv.com/2022/03/19/manhunt-alleged-gunman-underway-baldwin-county/</v>
      </c>
      <c r="L325" s="5">
        <f ca="1">IFERROR(__xludf.DUMMYFUNCTION("""COMPUTED_VALUE"""),5)</f>
        <v>5</v>
      </c>
      <c r="M325" s="5" t="str">
        <f ca="1">IFERROR(__xludf.DUMMYFUNCTION("""COMPUTED_VALUE"""),"Regional")</f>
        <v>Regional</v>
      </c>
      <c r="N325" s="5">
        <f ca="1">IFERROR(__xludf.DUMMYFUNCTION("""COMPUTED_VALUE"""),4)</f>
        <v>4</v>
      </c>
      <c r="O325" s="5" t="str">
        <f ca="1">IFERROR(__xludf.DUMMYFUNCTION("""COMPUTED_VALUE"""),"Spring")</f>
        <v>Spring</v>
      </c>
      <c r="P325" s="5" t="str">
        <f ca="1">IFERROR(__xludf.DUMMYFUNCTION("""COMPUTED_VALUE"""),"Loxley")</f>
        <v>Loxley</v>
      </c>
      <c r="Q325" s="5" t="str">
        <f ca="1">IFERROR(__xludf.DUMMYFUNCTION("""COMPUTED_VALUE"""),"AL")</f>
        <v>AL</v>
      </c>
      <c r="R325" s="5" t="str">
        <f ca="1">IFERROR(__xludf.DUMMYFUNCTION("""COMPUTED_VALUE"""),"Middle")</f>
        <v>Middle</v>
      </c>
      <c r="S325" s="5" t="str">
        <f ca="1">IFERROR(__xludf.DUMMYFUNCTION("""COMPUTED_VALUE"""),"Parking Lot")</f>
        <v>Parking Lot</v>
      </c>
      <c r="T325" s="5" t="str">
        <f ca="1">IFERROR(__xludf.DUMMYFUNCTION("""COMPUTED_VALUE"""),"Outside on School Property")</f>
        <v>Outside on School Property</v>
      </c>
      <c r="U325" s="5" t="str">
        <f ca="1">IFERROR(__xludf.DUMMYFUNCTION("""COMPUTED_VALUE"""),"No")</f>
        <v>No</v>
      </c>
      <c r="V325" s="5" t="str">
        <f ca="1">IFERROR(__xludf.DUMMYFUNCTION("""COMPUTED_VALUE"""),"Not a School Day")</f>
        <v>Not a School Day</v>
      </c>
      <c r="W325" s="10">
        <f ca="1">IFERROR(__xludf.DUMMYFUNCTION("""COMPUTED_VALUE"""),0.576388888888888)</f>
        <v>0.57638888888888795</v>
      </c>
      <c r="X325" s="5">
        <f ca="1">IFERROR(__xludf.DUMMYFUNCTION("""COMPUTED_VALUE"""),1)</f>
        <v>1</v>
      </c>
      <c r="Y325" s="5" t="str">
        <f ca="1">IFERROR(__xludf.DUMMYFUNCTION("""COMPUTED_VALUE"""),"Shots fired during robbery in parking lot")</f>
        <v>Shots fired during robbery in parking lot</v>
      </c>
      <c r="Z325" s="5" t="str">
        <f ca="1">IFERROR(__xludf.DUMMYFUNCTION("""COMPUTED_VALUE"""),"Shot were fired at an adult man during a robbery in the school parking lot. Shots missed the victim. 3 suspects fled and were later arrested.")</f>
        <v>Shot were fired at an adult man during a robbery in the school parking lot. Shots missed the victim. 3 suspects fled and were later arrested.</v>
      </c>
      <c r="AA325" s="5" t="str">
        <f ca="1">IFERROR(__xludf.DUMMYFUNCTION("""COMPUTED_VALUE"""),"Illegal Activity")</f>
        <v>Illegal Activity</v>
      </c>
      <c r="AB325" s="5" t="str">
        <f ca="1">IFERROR(__xludf.DUMMYFUNCTION("""COMPUTED_VALUE"""),"Victims Targeted")</f>
        <v>Victims Targeted</v>
      </c>
      <c r="AC325" s="5" t="str">
        <f ca="1">IFERROR(__xludf.DUMMYFUNCTION("""COMPUTED_VALUE"""),"Yes")</f>
        <v>Yes</v>
      </c>
      <c r="AD325" s="5" t="str">
        <f ca="1">IFERROR(__xludf.DUMMYFUNCTION("""COMPUTED_VALUE"""),"No")</f>
        <v>No</v>
      </c>
      <c r="AE325" s="5" t="str">
        <f ca="1">IFERROR(__xludf.DUMMYFUNCTION("""COMPUTED_VALUE"""),"No")</f>
        <v>No</v>
      </c>
      <c r="AF325" s="5" t="str">
        <f ca="1">IFERROR(__xludf.DUMMYFUNCTION("""COMPUTED_VALUE"""),"No")</f>
        <v>No</v>
      </c>
      <c r="AG325" s="5" t="str">
        <f ca="1">IFERROR(__xludf.DUMMYFUNCTION("""COMPUTED_VALUE"""),"No")</f>
        <v>No</v>
      </c>
      <c r="AH325" s="5" t="str">
        <f ca="1">IFERROR(__xludf.DUMMYFUNCTION("""COMPUTED_VALUE"""),"No")</f>
        <v>No</v>
      </c>
      <c r="AI325" s="5" t="str">
        <f ca="1">IFERROR(__xludf.DUMMYFUNCTION("""COMPUTED_VALUE"""),"No")</f>
        <v>No</v>
      </c>
      <c r="AJ325" s="5" t="str">
        <f ca="1">IFERROR(__xludf.DUMMYFUNCTION("""COMPUTED_VALUE"""),"No")</f>
        <v>No</v>
      </c>
    </row>
    <row r="326" spans="1:36" ht="13">
      <c r="A326" s="5" t="str">
        <f ca="1">IFERROR(__xludf.DUMMYFUNCTION("""COMPUTED_VALUE"""),"20220318RICEP")</f>
        <v>20220318RICEP</v>
      </c>
      <c r="B326" s="5">
        <f ca="1">IFERROR(__xludf.DUMMYFUNCTION("""COMPUTED_VALUE"""),3)</f>
        <v>3</v>
      </c>
      <c r="C326" s="5">
        <f ca="1">IFERROR(__xludf.DUMMYFUNCTION("""COMPUTED_VALUE"""),18)</f>
        <v>18</v>
      </c>
      <c r="D326" s="5">
        <f ca="1">IFERROR(__xludf.DUMMYFUNCTION("""COMPUTED_VALUE"""),2022)</f>
        <v>2022</v>
      </c>
      <c r="E326" s="8">
        <f ca="1">IFERROR(__xludf.DUMMYFUNCTION("""COMPUTED_VALUE"""),44638)</f>
        <v>44638</v>
      </c>
      <c r="F326" s="5" t="str">
        <f ca="1">IFERROR(__xludf.DUMMYFUNCTION("""COMPUTED_VALUE"""),"Central High School")</f>
        <v>Central High School</v>
      </c>
      <c r="G326" s="5">
        <f ca="1">IFERROR(__xludf.DUMMYFUNCTION("""COMPUTED_VALUE"""),0)</f>
        <v>0</v>
      </c>
      <c r="H326" s="5">
        <f ca="1">IFERROR(__xludf.DUMMYFUNCTION("""COMPUTED_VALUE"""),0)</f>
        <v>0</v>
      </c>
      <c r="I326" s="5">
        <f ca="1">IFERROR(__xludf.DUMMYFUNCTION("""COMPUTED_VALUE"""),0)</f>
        <v>0</v>
      </c>
      <c r="J326" s="5">
        <f ca="1">IFERROR(__xludf.DUMMYFUNCTION("""COMPUTED_VALUE"""),0)</f>
        <v>0</v>
      </c>
      <c r="K326" s="5" t="str">
        <f ca="1">IFERROR(__xludf.DUMMYFUNCTION("""COMPUTED_VALUE"""),"https://www.wpri.com/news/local-news/providence/2-charged-in-central-high-school-pellet-gun-shooting/ https://turnto10.com/news/local/two-charged-in-pellet-gun-shooting-of-high-school-students")</f>
        <v>https://www.wpri.com/news/local-news/providence/2-charged-in-central-high-school-pellet-gun-shooting/ https://turnto10.com/news/local/two-charged-in-pellet-gun-shooting-of-high-school-students</v>
      </c>
      <c r="L326" s="5">
        <f ca="1">IFERROR(__xludf.DUMMYFUNCTION("""COMPUTED_VALUE"""),5)</f>
        <v>5</v>
      </c>
      <c r="M326" s="5" t="str">
        <f ca="1">IFERROR(__xludf.DUMMYFUNCTION("""COMPUTED_VALUE"""),"Local")</f>
        <v>Local</v>
      </c>
      <c r="N326" s="5">
        <f ca="1">IFERROR(__xludf.DUMMYFUNCTION("""COMPUTED_VALUE"""),4)</f>
        <v>4</v>
      </c>
      <c r="O326" s="5" t="str">
        <f ca="1">IFERROR(__xludf.DUMMYFUNCTION("""COMPUTED_VALUE"""),"Spring")</f>
        <v>Spring</v>
      </c>
      <c r="P326" s="5" t="str">
        <f ca="1">IFERROR(__xludf.DUMMYFUNCTION("""COMPUTED_VALUE"""),"Providence")</f>
        <v>Providence</v>
      </c>
      <c r="Q326" s="5" t="str">
        <f ca="1">IFERROR(__xludf.DUMMYFUNCTION("""COMPUTED_VALUE"""),"RI")</f>
        <v>RI</v>
      </c>
      <c r="R326" s="5" t="str">
        <f ca="1">IFERROR(__xludf.DUMMYFUNCTION("""COMPUTED_VALUE"""),"High")</f>
        <v>High</v>
      </c>
      <c r="S326" s="5" t="str">
        <f ca="1">IFERROR(__xludf.DUMMYFUNCTION("""COMPUTED_VALUE"""),"Parking Lot")</f>
        <v>Parking Lot</v>
      </c>
      <c r="T326" s="5" t="str">
        <f ca="1">IFERROR(__xludf.DUMMYFUNCTION("""COMPUTED_VALUE"""),"Outside on School Property")</f>
        <v>Outside on School Property</v>
      </c>
      <c r="U326" s="5" t="str">
        <f ca="1">IFERROR(__xludf.DUMMYFUNCTION("""COMPUTED_VALUE"""),"Yes")</f>
        <v>Yes</v>
      </c>
      <c r="V326" s="5" t="str">
        <f ca="1">IFERROR(__xludf.DUMMYFUNCTION("""COMPUTED_VALUE"""),"Dismissal")</f>
        <v>Dismissal</v>
      </c>
      <c r="W326" s="10">
        <f ca="1">IFERROR(__xludf.DUMMYFUNCTION("""COMPUTED_VALUE"""),0.618055555555555)</f>
        <v>0.61805555555555503</v>
      </c>
      <c r="X326" s="5">
        <f ca="1">IFERROR(__xludf.DUMMYFUNCTION("""COMPUTED_VALUE"""),1)</f>
        <v>1</v>
      </c>
      <c r="Y326" s="5" t="str">
        <f ca="1">IFERROR(__xludf.DUMMYFUNCTION("""COMPUTED_VALUE"""),"Students fired pellet gun in parking lot, dragged staff member with vehicle")</f>
        <v>Students fired pellet gun in parking lot, dragged staff member with vehicle</v>
      </c>
      <c r="Z326" s="5" t="str">
        <f ca="1">IFERROR(__xludf.DUMMYFUNCTION("""COMPUTED_VALUE"""),"Two students fired a pellet gun from a vehicle in the school parking lot as part of a TikTok challenge to film themselves shooting random people. A school employee attempted to wrestle the gun away and was dragged by the vehicle. The shooter was charged w"&amp;"ith simple assault and the driver was charged with aggravated assault for dragging the staff member with the vehicle.")</f>
        <v>Two students fired a pellet gun from a vehicle in the school parking lot as part of a TikTok challenge to film themselves shooting random people. A school employee attempted to wrestle the gun away and was dragged by the vehicle. The shooter was charged with simple assault and the driver was charged with aggravated assault for dragging the staff member with the vehicle.</v>
      </c>
      <c r="AA326" s="5" t="str">
        <f ca="1">IFERROR(__xludf.DUMMYFUNCTION("""COMPUTED_VALUE"""),"Drive-by Shooting")</f>
        <v>Drive-by Shooting</v>
      </c>
      <c r="AB326" s="5" t="str">
        <f ca="1">IFERROR(__xludf.DUMMYFUNCTION("""COMPUTED_VALUE"""),"Random Shooting")</f>
        <v>Random Shooting</v>
      </c>
      <c r="AC326" s="5" t="str">
        <f ca="1">IFERROR(__xludf.DUMMYFUNCTION("""COMPUTED_VALUE"""),"Yes")</f>
        <v>Yes</v>
      </c>
      <c r="AD326" s="5" t="str">
        <f ca="1">IFERROR(__xludf.DUMMYFUNCTION("""COMPUTED_VALUE"""),"No")</f>
        <v>No</v>
      </c>
      <c r="AE326" s="5" t="str">
        <f ca="1">IFERROR(__xludf.DUMMYFUNCTION("""COMPUTED_VALUE"""),"No")</f>
        <v>No</v>
      </c>
      <c r="AF326" s="5" t="str">
        <f ca="1">IFERROR(__xludf.DUMMYFUNCTION("""COMPUTED_VALUE"""),"No")</f>
        <v>No</v>
      </c>
      <c r="AG326" s="5" t="str">
        <f ca="1">IFERROR(__xludf.DUMMYFUNCTION("""COMPUTED_VALUE"""),"No")</f>
        <v>No</v>
      </c>
      <c r="AH326" s="5" t="str">
        <f ca="1">IFERROR(__xludf.DUMMYFUNCTION("""COMPUTED_VALUE"""),"No")</f>
        <v>No</v>
      </c>
      <c r="AI326" s="5" t="str">
        <f ca="1">IFERROR(__xludf.DUMMYFUNCTION("""COMPUTED_VALUE"""),"No")</f>
        <v>No</v>
      </c>
      <c r="AJ326" s="5" t="str">
        <f ca="1">IFERROR(__xludf.DUMMYFUNCTION("""COMPUTED_VALUE"""),"No")</f>
        <v>No</v>
      </c>
    </row>
    <row r="327" spans="1:36" ht="13">
      <c r="A327" s="5" t="str">
        <f ca="1">IFERROR(__xludf.DUMMYFUNCTION("""COMPUTED_VALUE"""),"20220311OHMAM")</f>
        <v>20220311OHMAM</v>
      </c>
      <c r="B327" s="5">
        <f ca="1">IFERROR(__xludf.DUMMYFUNCTION("""COMPUTED_VALUE"""),3)</f>
        <v>3</v>
      </c>
      <c r="C327" s="5">
        <f ca="1">IFERROR(__xludf.DUMMYFUNCTION("""COMPUTED_VALUE"""),18)</f>
        <v>18</v>
      </c>
      <c r="D327" s="5">
        <f ca="1">IFERROR(__xludf.DUMMYFUNCTION("""COMPUTED_VALUE"""),2022)</f>
        <v>2022</v>
      </c>
      <c r="E327" s="8">
        <f ca="1">IFERROR(__xludf.DUMMYFUNCTION("""COMPUTED_VALUE"""),44638)</f>
        <v>44638</v>
      </c>
      <c r="F327" s="5" t="str">
        <f ca="1">IFERROR(__xludf.DUMMYFUNCTION("""COMPUTED_VALUE"""),"Madison High School")</f>
        <v>Madison High School</v>
      </c>
      <c r="G327" s="5">
        <f ca="1">IFERROR(__xludf.DUMMYFUNCTION("""COMPUTED_VALUE"""),0)</f>
        <v>0</v>
      </c>
      <c r="H327" s="5">
        <f ca="1">IFERROR(__xludf.DUMMYFUNCTION("""COMPUTED_VALUE"""),0)</f>
        <v>0</v>
      </c>
      <c r="I327" s="5">
        <f ca="1">IFERROR(__xludf.DUMMYFUNCTION("""COMPUTED_VALUE"""),0)</f>
        <v>0</v>
      </c>
      <c r="J327" s="5">
        <f ca="1">IFERROR(__xludf.DUMMYFUNCTION("""COMPUTED_VALUE"""),0)</f>
        <v>0</v>
      </c>
      <c r="K327" s="5" t="str">
        <f ca="1">IFERROR(__xludf.DUMMYFUNCTION("""COMPUTED_VALUE"""),"https://www.whio.com/news/local/it-was-shock-ohio-wrestling-team-caught-crossfire-during-i-71-shooting/HUTLCSTSH5AYVE64KZP6N57A5A/ https://www.mansfieldnewsjournal.com/story/news/2022/03/11/madison-wrestlers-coaches-uninjured-when-bullet-hits-transport-va"&amp;"n/7002642001/ https://www.richlandsource.com/news/madison-athletes-coaches-safe-sound-after-shot-fired-at-school-van/article_d555d68a-a170-11ec-8b4a-1f449d67e163.html")</f>
        <v>https://www.whio.com/news/local/it-was-shock-ohio-wrestling-team-caught-crossfire-during-i-71-shooting/HUTLCSTSH5AYVE64KZP6N57A5A/ https://www.mansfieldnewsjournal.com/story/news/2022/03/11/madison-wrestlers-coaches-uninjured-when-bullet-hits-transport-van/7002642001/ https://www.richlandsource.com/news/madison-athletes-coaches-safe-sound-after-shot-fired-at-school-van/article_d555d68a-a170-11ec-8b4a-1f449d67e163.html</v>
      </c>
      <c r="L327" s="5">
        <f ca="1">IFERROR(__xludf.DUMMYFUNCTION("""COMPUTED_VALUE"""),10)</f>
        <v>10</v>
      </c>
      <c r="M327" s="5" t="str">
        <f ca="1">IFERROR(__xludf.DUMMYFUNCTION("""COMPUTED_VALUE"""),"Regional")</f>
        <v>Regional</v>
      </c>
      <c r="N327" s="5">
        <f ca="1">IFERROR(__xludf.DUMMYFUNCTION("""COMPUTED_VALUE"""),4)</f>
        <v>4</v>
      </c>
      <c r="O327" s="5" t="str">
        <f ca="1">IFERROR(__xludf.DUMMYFUNCTION("""COMPUTED_VALUE"""),"Spring")</f>
        <v>Spring</v>
      </c>
      <c r="P327" s="5" t="str">
        <f ca="1">IFERROR(__xludf.DUMMYFUNCTION("""COMPUTED_VALUE"""),"Mansfield")</f>
        <v>Mansfield</v>
      </c>
      <c r="Q327" s="5" t="str">
        <f ca="1">IFERROR(__xludf.DUMMYFUNCTION("""COMPUTED_VALUE"""),"OH")</f>
        <v>OH</v>
      </c>
      <c r="R327" s="5" t="str">
        <f ca="1">IFERROR(__xludf.DUMMYFUNCTION("""COMPUTED_VALUE"""),"High")</f>
        <v>High</v>
      </c>
      <c r="S327" s="5" t="str">
        <f ca="1">IFERROR(__xludf.DUMMYFUNCTION("""COMPUTED_VALUE"""),"School Bus")</f>
        <v>School Bus</v>
      </c>
      <c r="T327" s="5" t="str">
        <f ca="1">IFERROR(__xludf.DUMMYFUNCTION("""COMPUTED_VALUE"""),"School Bus")</f>
        <v>School Bus</v>
      </c>
      <c r="U327" s="5" t="str">
        <f ca="1">IFERROR(__xludf.DUMMYFUNCTION("""COMPUTED_VALUE"""),"Yes")</f>
        <v>Yes</v>
      </c>
      <c r="V327" s="5" t="str">
        <f ca="1">IFERROR(__xludf.DUMMYFUNCTION("""COMPUTED_VALUE"""),"Morning Classes")</f>
        <v>Morning Classes</v>
      </c>
      <c r="W327" s="10">
        <f ca="1">IFERROR(__xludf.DUMMYFUNCTION("""COMPUTED_VALUE"""),0.416666666666666)</f>
        <v>0.41666666666666602</v>
      </c>
      <c r="X327" s="5">
        <f ca="1">IFERROR(__xludf.DUMMYFUNCTION("""COMPUTED_VALUE"""),1)</f>
        <v>1</v>
      </c>
      <c r="Y327" s="5" t="str">
        <f ca="1">IFERROR(__xludf.DUMMYFUNCTION("""COMPUTED_VALUE"""),"School van with coach and 4 students was struck by a bullet while driving")</f>
        <v>School van with coach and 4 students was struck by a bullet while driving</v>
      </c>
      <c r="Z327" s="5" t="str">
        <f ca="1">IFERROR(__xludf.DUMMYFUNCTION("""COMPUTED_VALUE"""),"A school van driven by the wrestling coach with 4 students inside was struck by a bullet while driving to a tournament on I-71. Man was running down the highway and fired shots at multiple vehicles. When vehicles stopped, he fired at a car with parents be"&amp;"hind the bus. Shooter was injured by police during shootout and then arrested..")</f>
        <v>A school van driven by the wrestling coach with 4 students inside was struck by a bullet while driving to a tournament on I-71. Man was running down the highway and fired shots at multiple vehicles. When vehicles stopped, he fired at a car with parents behind the bus. Shooter was injured by police during shootout and then arrested..</v>
      </c>
      <c r="AA327" s="5" t="str">
        <f ca="1">IFERROR(__xludf.DUMMYFUNCTION("""COMPUTED_VALUE"""),"Indiscriminate Shooting")</f>
        <v>Indiscriminate Shooting</v>
      </c>
      <c r="AB327" s="5" t="str">
        <f ca="1">IFERROR(__xludf.DUMMYFUNCTION("""COMPUTED_VALUE"""),"Random Shooting")</f>
        <v>Random Shooting</v>
      </c>
      <c r="AC327" s="5" t="str">
        <f ca="1">IFERROR(__xludf.DUMMYFUNCTION("""COMPUTED_VALUE"""),"No")</f>
        <v>No</v>
      </c>
      <c r="AD327" s="5" t="str">
        <f ca="1">IFERROR(__xludf.DUMMYFUNCTION("""COMPUTED_VALUE"""),"No")</f>
        <v>No</v>
      </c>
      <c r="AE327" s="5" t="str">
        <f ca="1">IFERROR(__xludf.DUMMYFUNCTION("""COMPUTED_VALUE"""),"No")</f>
        <v>No</v>
      </c>
      <c r="AF327" s="5" t="str">
        <f ca="1">IFERROR(__xludf.DUMMYFUNCTION("""COMPUTED_VALUE"""),"No")</f>
        <v>No</v>
      </c>
      <c r="AG327" s="5" t="str">
        <f ca="1">IFERROR(__xludf.DUMMYFUNCTION("""COMPUTED_VALUE"""),"No")</f>
        <v>No</v>
      </c>
      <c r="AH327" s="5" t="str">
        <f ca="1">IFERROR(__xludf.DUMMYFUNCTION("""COMPUTED_VALUE"""),"No")</f>
        <v>No</v>
      </c>
      <c r="AI327" s="5" t="str">
        <f ca="1">IFERROR(__xludf.DUMMYFUNCTION("""COMPUTED_VALUE"""),"No")</f>
        <v>No</v>
      </c>
      <c r="AJ327" s="5" t="str">
        <f ca="1">IFERROR(__xludf.DUMMYFUNCTION("""COMPUTED_VALUE"""),"No")</f>
        <v>No</v>
      </c>
    </row>
    <row r="328" spans="1:36" ht="13">
      <c r="A328" s="5" t="str">
        <f ca="1">IFERROR(__xludf.DUMMYFUNCTION("""COMPUTED_VALUE"""),"20220318ILBAB")</f>
        <v>20220318ILBAB</v>
      </c>
      <c r="B328" s="5">
        <f ca="1">IFERROR(__xludf.DUMMYFUNCTION("""COMPUTED_VALUE"""),3)</f>
        <v>3</v>
      </c>
      <c r="C328" s="5">
        <f ca="1">IFERROR(__xludf.DUMMYFUNCTION("""COMPUTED_VALUE"""),18)</f>
        <v>18</v>
      </c>
      <c r="D328" s="5">
        <f ca="1">IFERROR(__xludf.DUMMYFUNCTION("""COMPUTED_VALUE"""),2022)</f>
        <v>2022</v>
      </c>
      <c r="E328" s="8">
        <f ca="1">IFERROR(__xludf.DUMMYFUNCTION("""COMPUTED_VALUE"""),44638)</f>
        <v>44638</v>
      </c>
      <c r="F328" s="5" t="str">
        <f ca="1">IFERROR(__xludf.DUMMYFUNCTION("""COMPUTED_VALUE"""),"Barrington High School")</f>
        <v>Barrington High School</v>
      </c>
      <c r="G328" s="5">
        <f ca="1">IFERROR(__xludf.DUMMYFUNCTION("""COMPUTED_VALUE"""),0)</f>
        <v>0</v>
      </c>
      <c r="H328" s="5">
        <f ca="1">IFERROR(__xludf.DUMMYFUNCTION("""COMPUTED_VALUE"""),0)</f>
        <v>0</v>
      </c>
      <c r="I328" s="5">
        <f ca="1">IFERROR(__xludf.DUMMYFUNCTION("""COMPUTED_VALUE"""),0)</f>
        <v>0</v>
      </c>
      <c r="J328" s="5">
        <f ca="1">IFERROR(__xludf.DUMMYFUNCTION("""COMPUTED_VALUE"""),0)</f>
        <v>0</v>
      </c>
      <c r="K328" s="9" t="str">
        <f ca="1">IFERROR(__xludf.DUMMYFUNCTION("""COMPUTED_VALUE"""),"https://www.chicagotribune.com/news/breaking/ct-barrington-high-school-pellet-guns-shot-at-lgbtq-students-20220318-ans632prmngx3fxixmgzaq3vbu-story.html")</f>
        <v>https://www.chicagotribune.com/news/breaking/ct-barrington-high-school-pellet-guns-shot-at-lgbtq-students-20220318-ans632prmngx3fxixmgzaq3vbu-story.html</v>
      </c>
      <c r="L328" s="5">
        <f ca="1">IFERROR(__xludf.DUMMYFUNCTION("""COMPUTED_VALUE"""),1)</f>
        <v>1</v>
      </c>
      <c r="M328" s="5" t="str">
        <f ca="1">IFERROR(__xludf.DUMMYFUNCTION("""COMPUTED_VALUE"""),"Regional")</f>
        <v>Regional</v>
      </c>
      <c r="N328" s="5">
        <f ca="1">IFERROR(__xludf.DUMMYFUNCTION("""COMPUTED_VALUE"""),4)</f>
        <v>4</v>
      </c>
      <c r="O328" s="5" t="str">
        <f ca="1">IFERROR(__xludf.DUMMYFUNCTION("""COMPUTED_VALUE"""),"Spring")</f>
        <v>Spring</v>
      </c>
      <c r="P328" s="5" t="str">
        <f ca="1">IFERROR(__xludf.DUMMYFUNCTION("""COMPUTED_VALUE"""),"Barrington")</f>
        <v>Barrington</v>
      </c>
      <c r="Q328" s="5" t="str">
        <f ca="1">IFERROR(__xludf.DUMMYFUNCTION("""COMPUTED_VALUE"""),"IL")</f>
        <v>IL</v>
      </c>
      <c r="R328" s="5" t="str">
        <f ca="1">IFERROR(__xludf.DUMMYFUNCTION("""COMPUTED_VALUE"""),"High")</f>
        <v>High</v>
      </c>
      <c r="S328" s="5" t="str">
        <f ca="1">IFERROR(__xludf.DUMMYFUNCTION("""COMPUTED_VALUE"""),"Front of School")</f>
        <v>Front of School</v>
      </c>
      <c r="T328" s="5" t="str">
        <f ca="1">IFERROR(__xludf.DUMMYFUNCTION("""COMPUTED_VALUE"""),"Both Inside/Outside")</f>
        <v>Both Inside/Outside</v>
      </c>
      <c r="U328" s="5" t="str">
        <f ca="1">IFERROR(__xludf.DUMMYFUNCTION("""COMPUTED_VALUE"""),"Yes")</f>
        <v>Yes</v>
      </c>
      <c r="V328" s="5" t="str">
        <f ca="1">IFERROR(__xludf.DUMMYFUNCTION("""COMPUTED_VALUE"""),"School Start")</f>
        <v>School Start</v>
      </c>
      <c r="W328" s="10">
        <f ca="1">IFERROR(__xludf.DUMMYFUNCTION("""COMPUTED_VALUE"""),0.333333333333333)</f>
        <v>0.33333333333333298</v>
      </c>
      <c r="X328" s="5">
        <f ca="1">IFERROR(__xludf.DUMMYFUNCTION("""COMPUTED_VALUE"""),1)</f>
        <v>1</v>
      </c>
      <c r="Y328" s="5" t="str">
        <f ca="1">IFERROR(__xludf.DUMMYFUNCTION("""COMPUTED_VALUE"""),"Two teens shot with pellet guns walking into school")</f>
        <v>Two teens shot with pellet guns walking into school</v>
      </c>
      <c r="Z328" s="5" t="str">
        <f ca="1">IFERROR(__xludf.DUMMYFUNCTION("""COMPUTED_VALUE"""),"Two LDBTQ students were shot with pellet guns by teens in vehicle while walking into school. Shooters chased the students into the school cafeteria. Shoot was part of TikTok challenge to shoot at people with gel pellet guns.")</f>
        <v>Two LDBTQ students were shot with pellet guns by teens in vehicle while walking into school. Shooters chased the students into the school cafeteria. Shoot was part of TikTok challenge to shoot at people with gel pellet guns.</v>
      </c>
      <c r="AA328" s="5" t="str">
        <f ca="1">IFERROR(__xludf.DUMMYFUNCTION("""COMPUTED_VALUE"""),"Drive-by Shooting")</f>
        <v>Drive-by Shooting</v>
      </c>
      <c r="AB328" s="5" t="str">
        <f ca="1">IFERROR(__xludf.DUMMYFUNCTION("""COMPUTED_VALUE"""),"Victims Targeted")</f>
        <v>Victims Targeted</v>
      </c>
      <c r="AC328" s="5" t="str">
        <f ca="1">IFERROR(__xludf.DUMMYFUNCTION("""COMPUTED_VALUE"""),"Yes")</f>
        <v>Yes</v>
      </c>
      <c r="AD328" s="5" t="str">
        <f ca="1">IFERROR(__xludf.DUMMYFUNCTION("""COMPUTED_VALUE"""),"No")</f>
        <v>No</v>
      </c>
      <c r="AE328" s="5" t="str">
        <f ca="1">IFERROR(__xludf.DUMMYFUNCTION("""COMPUTED_VALUE"""),"No")</f>
        <v>No</v>
      </c>
      <c r="AF328" s="5" t="str">
        <f ca="1">IFERROR(__xludf.DUMMYFUNCTION("""COMPUTED_VALUE"""),"No")</f>
        <v>No</v>
      </c>
      <c r="AG328" s="5" t="str">
        <f ca="1">IFERROR(__xludf.DUMMYFUNCTION("""COMPUTED_VALUE"""),"No")</f>
        <v>No</v>
      </c>
      <c r="AH328" s="5" t="str">
        <f ca="1">IFERROR(__xludf.DUMMYFUNCTION("""COMPUTED_VALUE"""),"No")</f>
        <v>No</v>
      </c>
      <c r="AI328" s="5" t="str">
        <f ca="1">IFERROR(__xludf.DUMMYFUNCTION("""COMPUTED_VALUE"""),"No")</f>
        <v>No</v>
      </c>
      <c r="AJ328" s="5" t="str">
        <f ca="1">IFERROR(__xludf.DUMMYFUNCTION("""COMPUTED_VALUE"""),"No")</f>
        <v>No</v>
      </c>
    </row>
    <row r="329" spans="1:36" ht="13">
      <c r="A329" s="5" t="str">
        <f ca="1">IFERROR(__xludf.DUMMYFUNCTION("""COMPUTED_VALUE"""),"20220317AKREW")</f>
        <v>20220317AKREW</v>
      </c>
      <c r="B329" s="5">
        <f ca="1">IFERROR(__xludf.DUMMYFUNCTION("""COMPUTED_VALUE"""),3)</f>
        <v>3</v>
      </c>
      <c r="C329" s="5">
        <f ca="1">IFERROR(__xludf.DUMMYFUNCTION("""COMPUTED_VALUE"""),17)</f>
        <v>17</v>
      </c>
      <c r="D329" s="5">
        <f ca="1">IFERROR(__xludf.DUMMYFUNCTION("""COMPUTED_VALUE"""),2022)</f>
        <v>2022</v>
      </c>
      <c r="E329" s="8">
        <f ca="1">IFERROR(__xludf.DUMMYFUNCTION("""COMPUTED_VALUE"""),44637)</f>
        <v>44637</v>
      </c>
      <c r="F329" s="5" t="str">
        <f ca="1">IFERROR(__xludf.DUMMYFUNCTION("""COMPUTED_VALUE"""),"Redington Jr/Sr High School")</f>
        <v>Redington Jr/Sr High School</v>
      </c>
      <c r="G329" s="5">
        <f ca="1">IFERROR(__xludf.DUMMYFUNCTION("""COMPUTED_VALUE"""),0)</f>
        <v>0</v>
      </c>
      <c r="H329" s="5">
        <f ca="1">IFERROR(__xludf.DUMMYFUNCTION("""COMPUTED_VALUE"""),0)</f>
        <v>0</v>
      </c>
      <c r="I329" s="5">
        <f ca="1">IFERROR(__xludf.DUMMYFUNCTION("""COMPUTED_VALUE"""),0)</f>
        <v>0</v>
      </c>
      <c r="J329" s="5">
        <f ca="1">IFERROR(__xludf.DUMMYFUNCTION("""COMPUTED_VALUE"""),0)</f>
        <v>0</v>
      </c>
      <c r="K329" s="9" t="str">
        <f ca="1">IFERROR(__xludf.DUMMYFUNCTION("""COMPUTED_VALUE"""),"https://www.alaskasnewssource.com/2022/03/18/charges-forwarded-student-shooting-investigation-redington-jrsr-high-school/")</f>
        <v>https://www.alaskasnewssource.com/2022/03/18/charges-forwarded-student-shooting-investigation-redington-jrsr-high-school/</v>
      </c>
      <c r="L329" s="5">
        <f ca="1">IFERROR(__xludf.DUMMYFUNCTION("""COMPUTED_VALUE"""),1)</f>
        <v>1</v>
      </c>
      <c r="M329" s="5" t="str">
        <f ca="1">IFERROR(__xludf.DUMMYFUNCTION("""COMPUTED_VALUE"""),"Local")</f>
        <v>Local</v>
      </c>
      <c r="N329" s="5">
        <f ca="1">IFERROR(__xludf.DUMMYFUNCTION("""COMPUTED_VALUE"""),4)</f>
        <v>4</v>
      </c>
      <c r="O329" s="5" t="str">
        <f ca="1">IFERROR(__xludf.DUMMYFUNCTION("""COMPUTED_VALUE"""),"Spring")</f>
        <v>Spring</v>
      </c>
      <c r="P329" s="5" t="str">
        <f ca="1">IFERROR(__xludf.DUMMYFUNCTION("""COMPUTED_VALUE"""),"Wasilla")</f>
        <v>Wasilla</v>
      </c>
      <c r="Q329" s="5" t="str">
        <f ca="1">IFERROR(__xludf.DUMMYFUNCTION("""COMPUTED_VALUE"""),"AK")</f>
        <v>AK</v>
      </c>
      <c r="R329" s="11">
        <f ca="1">IFERROR(__xludf.DUMMYFUNCTION("""COMPUTED_VALUE"""),44724)</f>
        <v>44724</v>
      </c>
      <c r="S329" s="5" t="str">
        <f ca="1">IFERROR(__xludf.DUMMYFUNCTION("""COMPUTED_VALUE"""),"Beside Building")</f>
        <v>Beside Building</v>
      </c>
      <c r="T329" s="5" t="str">
        <f ca="1">IFERROR(__xludf.DUMMYFUNCTION("""COMPUTED_VALUE"""),"Outside on School Property")</f>
        <v>Outside on School Property</v>
      </c>
      <c r="U329" s="5" t="str">
        <f ca="1">IFERROR(__xludf.DUMMYFUNCTION("""COMPUTED_VALUE"""),"Yes")</f>
        <v>Yes</v>
      </c>
      <c r="V329" s="5" t="str">
        <f ca="1">IFERROR(__xludf.DUMMYFUNCTION("""COMPUTED_VALUE"""),"Dismissal")</f>
        <v>Dismissal</v>
      </c>
      <c r="W329" s="10">
        <f ca="1">IFERROR(__xludf.DUMMYFUNCTION("""COMPUTED_VALUE"""),0.604166666666666)</f>
        <v>0.60416666666666596</v>
      </c>
      <c r="X329" s="5">
        <f ca="1">IFERROR(__xludf.DUMMYFUNCTION("""COMPUTED_VALUE"""),1)</f>
        <v>1</v>
      </c>
      <c r="Y329" s="5" t="str">
        <f ca="1">IFERROR(__xludf.DUMMYFUNCTION("""COMPUTED_VALUE"""),"Student fired shot at dismissal, detained by school staff")</f>
        <v>Student fired shot at dismissal, detained by school staff</v>
      </c>
      <c r="Z329" s="5" t="str">
        <f ca="1">IFERROR(__xludf.DUMMYFUNCTION("""COMPUTED_VALUE"""),"A student fired one shot at dismissal. Student was detained by school staff until police arrived. No injuries. School did not lock down and normal activities continued.")</f>
        <v>A student fired one shot at dismissal. Student was detained by school staff until police arrived. No injuries. School did not lock down and normal activities continued.</v>
      </c>
      <c r="AA329" s="5"/>
      <c r="AB329" s="5"/>
      <c r="AC329" s="5" t="str">
        <f ca="1">IFERROR(__xludf.DUMMYFUNCTION("""COMPUTED_VALUE"""),"No")</f>
        <v>No</v>
      </c>
      <c r="AD329" s="5" t="str">
        <f ca="1">IFERROR(__xludf.DUMMYFUNCTION("""COMPUTED_VALUE"""),"No")</f>
        <v>No</v>
      </c>
      <c r="AE329" s="5" t="str">
        <f ca="1">IFERROR(__xludf.DUMMYFUNCTION("""COMPUTED_VALUE"""),"No")</f>
        <v>No</v>
      </c>
      <c r="AF329" s="5" t="str">
        <f ca="1">IFERROR(__xludf.DUMMYFUNCTION("""COMPUTED_VALUE"""),"No")</f>
        <v>No</v>
      </c>
      <c r="AG329" s="5" t="str">
        <f ca="1">IFERROR(__xludf.DUMMYFUNCTION("""COMPUTED_VALUE"""),"No")</f>
        <v>No</v>
      </c>
      <c r="AH329" s="5" t="str">
        <f ca="1">IFERROR(__xludf.DUMMYFUNCTION("""COMPUTED_VALUE"""),"No")</f>
        <v>No</v>
      </c>
      <c r="AI329" s="5" t="str">
        <f ca="1">IFERROR(__xludf.DUMMYFUNCTION("""COMPUTED_VALUE"""),"No")</f>
        <v>No</v>
      </c>
      <c r="AJ329" s="5" t="str">
        <f ca="1">IFERROR(__xludf.DUMMYFUNCTION("""COMPUTED_VALUE"""),"No")</f>
        <v>No</v>
      </c>
    </row>
    <row r="330" spans="1:36" ht="13">
      <c r="A330" s="5" t="str">
        <f ca="1">IFERROR(__xludf.DUMMYFUNCTION("""COMPUTED_VALUE"""),"20220316CALOR")</f>
        <v>20220316CALOR</v>
      </c>
      <c r="B330" s="5">
        <f ca="1">IFERROR(__xludf.DUMMYFUNCTION("""COMPUTED_VALUE"""),3)</f>
        <v>3</v>
      </c>
      <c r="C330" s="5">
        <f ca="1">IFERROR(__xludf.DUMMYFUNCTION("""COMPUTED_VALUE"""),16)</f>
        <v>16</v>
      </c>
      <c r="D330" s="5">
        <f ca="1">IFERROR(__xludf.DUMMYFUNCTION("""COMPUTED_VALUE"""),2022)</f>
        <v>2022</v>
      </c>
      <c r="E330" s="8">
        <f ca="1">IFERROR(__xludf.DUMMYFUNCTION("""COMPUTED_VALUE"""),44636)</f>
        <v>44636</v>
      </c>
      <c r="F330" s="5" t="str">
        <f ca="1">IFERROR(__xludf.DUMMYFUNCTION("""COMPUTED_VALUE"""),"Loma Vista Middle School")</f>
        <v>Loma Vista Middle School</v>
      </c>
      <c r="G330" s="5">
        <f ca="1">IFERROR(__xludf.DUMMYFUNCTION("""COMPUTED_VALUE"""),0)</f>
        <v>0</v>
      </c>
      <c r="H330" s="5">
        <f ca="1">IFERROR(__xludf.DUMMYFUNCTION("""COMPUTED_VALUE"""),0)</f>
        <v>0</v>
      </c>
      <c r="I330" s="5">
        <f ca="1">IFERROR(__xludf.DUMMYFUNCTION("""COMPUTED_VALUE"""),0)</f>
        <v>0</v>
      </c>
      <c r="J330" s="5">
        <f ca="1">IFERROR(__xludf.DUMMYFUNCTION("""COMPUTED_VALUE"""),0)</f>
        <v>0</v>
      </c>
      <c r="K330" s="5" t="str">
        <f ca="1">IFERROR(__xludf.DUMMYFUNCTION("""COMPUTED_VALUE"""),"https://ktla.com/news/local-news/12-year-old-riverside-student-arrested-for-allegedly-firing-gun-on-campus/ https://www.pe.com/2022/03/17/student-arrested-after-allegedly-firing-shot-inside-room-at-loma-vista-middle-school/")</f>
        <v>https://ktla.com/news/local-news/12-year-old-riverside-student-arrested-for-allegedly-firing-gun-on-campus/ https://www.pe.com/2022/03/17/student-arrested-after-allegedly-firing-shot-inside-room-at-loma-vista-middle-school/</v>
      </c>
      <c r="L330" s="5">
        <f ca="1">IFERROR(__xludf.DUMMYFUNCTION("""COMPUTED_VALUE"""),10)</f>
        <v>10</v>
      </c>
      <c r="M330" s="5" t="str">
        <f ca="1">IFERROR(__xludf.DUMMYFUNCTION("""COMPUTED_VALUE"""),"National")</f>
        <v>National</v>
      </c>
      <c r="N330" s="5">
        <f ca="1">IFERROR(__xludf.DUMMYFUNCTION("""COMPUTED_VALUE"""),4)</f>
        <v>4</v>
      </c>
      <c r="O330" s="5" t="str">
        <f ca="1">IFERROR(__xludf.DUMMYFUNCTION("""COMPUTED_VALUE"""),"Spring")</f>
        <v>Spring</v>
      </c>
      <c r="P330" s="5" t="str">
        <f ca="1">IFERROR(__xludf.DUMMYFUNCTION("""COMPUTED_VALUE"""),"Riverside")</f>
        <v>Riverside</v>
      </c>
      <c r="Q330" s="5" t="str">
        <f ca="1">IFERROR(__xludf.DUMMYFUNCTION("""COMPUTED_VALUE"""),"CA")</f>
        <v>CA</v>
      </c>
      <c r="R330" s="5" t="str">
        <f ca="1">IFERROR(__xludf.DUMMYFUNCTION("""COMPUTED_VALUE"""),"Middle")</f>
        <v>Middle</v>
      </c>
      <c r="S330" s="5" t="str">
        <f ca="1">IFERROR(__xludf.DUMMYFUNCTION("""COMPUTED_VALUE"""),"Classroom")</f>
        <v>Classroom</v>
      </c>
      <c r="T330" s="5" t="str">
        <f ca="1">IFERROR(__xludf.DUMMYFUNCTION("""COMPUTED_VALUE"""),"Inside School Building")</f>
        <v>Inside School Building</v>
      </c>
      <c r="U330" s="5" t="str">
        <f ca="1">IFERROR(__xludf.DUMMYFUNCTION("""COMPUTED_VALUE"""),"Yes")</f>
        <v>Yes</v>
      </c>
      <c r="V330" s="5" t="str">
        <f ca="1">IFERROR(__xludf.DUMMYFUNCTION("""COMPUTED_VALUE"""),"Afternoon Classes")</f>
        <v>Afternoon Classes</v>
      </c>
      <c r="W330" s="10">
        <f ca="1">IFERROR(__xludf.DUMMYFUNCTION("""COMPUTED_VALUE"""),0.708333333333333)</f>
        <v>0.70833333333333304</v>
      </c>
      <c r="X330" s="5">
        <f ca="1">IFERROR(__xludf.DUMMYFUNCTION("""COMPUTED_VALUE"""),1)</f>
        <v>1</v>
      </c>
      <c r="Y330" s="5" t="str">
        <f ca="1">IFERROR(__xludf.DUMMYFUNCTION("""COMPUTED_VALUE"""),"Student fired shot while showing off gun inside school")</f>
        <v>Student fired shot while showing off gun inside school</v>
      </c>
      <c r="Z330" s="5" t="str">
        <f ca="1">IFERROR(__xludf.DUMMYFUNCTION("""COMPUTED_VALUE"""),"A 12-year-old student was showing off a handgun inside a multipurpose room when he accidentally fired, striking a table. He dropped the gun and fled. School went on lockdown. Student was arrested off campus.")</f>
        <v>A 12-year-old student was showing off a handgun inside a multipurpose room when he accidentally fired, striking a table. He dropped the gun and fled. School went on lockdown. Student was arrested off campus.</v>
      </c>
      <c r="AA330" s="5" t="str">
        <f ca="1">IFERROR(__xludf.DUMMYFUNCTION("""COMPUTED_VALUE"""),"Accidental")</f>
        <v>Accidental</v>
      </c>
      <c r="AB330" s="5" t="str">
        <f ca="1">IFERROR(__xludf.DUMMYFUNCTION("""COMPUTED_VALUE"""),"Neither")</f>
        <v>Neither</v>
      </c>
      <c r="AC330" s="5" t="str">
        <f ca="1">IFERROR(__xludf.DUMMYFUNCTION("""COMPUTED_VALUE"""),"No")</f>
        <v>No</v>
      </c>
      <c r="AD330" s="5" t="str">
        <f ca="1">IFERROR(__xludf.DUMMYFUNCTION("""COMPUTED_VALUE"""),"No")</f>
        <v>No</v>
      </c>
      <c r="AE330" s="5" t="str">
        <f ca="1">IFERROR(__xludf.DUMMYFUNCTION("""COMPUTED_VALUE"""),"No")</f>
        <v>No</v>
      </c>
      <c r="AF330" s="5" t="str">
        <f ca="1">IFERROR(__xludf.DUMMYFUNCTION("""COMPUTED_VALUE"""),"No")</f>
        <v>No</v>
      </c>
      <c r="AG330" s="5" t="str">
        <f ca="1">IFERROR(__xludf.DUMMYFUNCTION("""COMPUTED_VALUE"""),"No")</f>
        <v>No</v>
      </c>
      <c r="AH330" s="5" t="str">
        <f ca="1">IFERROR(__xludf.DUMMYFUNCTION("""COMPUTED_VALUE"""),"No")</f>
        <v>No</v>
      </c>
      <c r="AI330" s="5" t="str">
        <f ca="1">IFERROR(__xludf.DUMMYFUNCTION("""COMPUTED_VALUE"""),"No")</f>
        <v>No</v>
      </c>
      <c r="AJ330" s="5" t="str">
        <f ca="1">IFERROR(__xludf.DUMMYFUNCTION("""COMPUTED_VALUE"""),"No")</f>
        <v>No</v>
      </c>
    </row>
    <row r="331" spans="1:36" ht="13">
      <c r="A331" s="5" t="str">
        <f ca="1">IFERROR(__xludf.DUMMYFUNCTION("""COMPUTED_VALUE"""),"20220315WAEIY")</f>
        <v>20220315WAEIY</v>
      </c>
      <c r="B331" s="5">
        <f ca="1">IFERROR(__xludf.DUMMYFUNCTION("""COMPUTED_VALUE"""),3)</f>
        <v>3</v>
      </c>
      <c r="C331" s="5">
        <f ca="1">IFERROR(__xludf.DUMMYFUNCTION("""COMPUTED_VALUE"""),15)</f>
        <v>15</v>
      </c>
      <c r="D331" s="5">
        <f ca="1">IFERROR(__xludf.DUMMYFUNCTION("""COMPUTED_VALUE"""),2022)</f>
        <v>2022</v>
      </c>
      <c r="E331" s="8">
        <f ca="1">IFERROR(__xludf.DUMMYFUNCTION("""COMPUTED_VALUE"""),44635)</f>
        <v>44635</v>
      </c>
      <c r="F331" s="5" t="str">
        <f ca="1">IFERROR(__xludf.DUMMYFUNCTION("""COMPUTED_VALUE"""),"Eisenhower High School")</f>
        <v>Eisenhower High School</v>
      </c>
      <c r="G331" s="5">
        <f ca="1">IFERROR(__xludf.DUMMYFUNCTION("""COMPUTED_VALUE"""),1)</f>
        <v>1</v>
      </c>
      <c r="H331" s="5">
        <f ca="1">IFERROR(__xludf.DUMMYFUNCTION("""COMPUTED_VALUE"""),1)</f>
        <v>1</v>
      </c>
      <c r="I331" s="5">
        <f ca="1">IFERROR(__xludf.DUMMYFUNCTION("""COMPUTED_VALUE"""),2)</f>
        <v>2</v>
      </c>
      <c r="J331" s="5">
        <f ca="1">IFERROR(__xludf.DUMMYFUNCTION("""COMPUTED_VALUE"""),0)</f>
        <v>0</v>
      </c>
      <c r="K331" s="5" t="str">
        <f ca="1">IFERROR(__xludf.DUMMYFUNCTION("""COMPUTED_VALUE"""),"https://www.yakimaherald.com/news/local/crime_and_courts/teen-arraigned-on-murder-assault-charges-in-eisenhower-high-school-shooting/article_b5bf94b5-c026-534d-94a4-8e3f65fd9e4d.html https://www.yaktrinews.com/two-teenagers-injured-shooting-outside-stadiu"&amp;"m-eisenhower-high-campus-yakima/ https://www.nbcrightnow.com/news/shooting-by-zaphael-stadium-puts-eisenhower-high-school-on-lockdown-suspect-arrested/article_d805a87a-a4ad-11ec-86ca-539df0e2cc0c.html https://www.krem.com/article/news/crime/2-injured-yaki"&amp;"ma-school-shooting/293-3169d909-53e6-42ff-9935-e3273b41b585 https://www.usnews.com/news/best-states/washington/articles/2022-03-15/police-two-teens-shot-outside-school-in-yakima-washington")</f>
        <v>https://www.yakimaherald.com/news/local/crime_and_courts/teen-arraigned-on-murder-assault-charges-in-eisenhower-high-school-shooting/article_b5bf94b5-c026-534d-94a4-8e3f65fd9e4d.html https://www.yaktrinews.com/two-teenagers-injured-shooting-outside-stadium-eisenhower-high-campus-yakima/ https://www.nbcrightnow.com/news/shooting-by-zaphael-stadium-puts-eisenhower-high-school-on-lockdown-suspect-arrested/article_d805a87a-a4ad-11ec-86ca-539df0e2cc0c.html https://www.krem.com/article/news/crime/2-injured-yakima-school-shooting/293-3169d909-53e6-42ff-9935-e3273b41b585 https://www.usnews.com/news/best-states/washington/articles/2022-03-15/police-two-teens-shot-outside-school-in-yakima-washington</v>
      </c>
      <c r="L331" s="5">
        <f ca="1">IFERROR(__xludf.DUMMYFUNCTION("""COMPUTED_VALUE"""),99)</f>
        <v>99</v>
      </c>
      <c r="M331" s="5" t="str">
        <f ca="1">IFERROR(__xludf.DUMMYFUNCTION("""COMPUTED_VALUE"""),"National")</f>
        <v>National</v>
      </c>
      <c r="N331" s="5">
        <f ca="1">IFERROR(__xludf.DUMMYFUNCTION("""COMPUTED_VALUE"""),4)</f>
        <v>4</v>
      </c>
      <c r="O331" s="5" t="str">
        <f ca="1">IFERROR(__xludf.DUMMYFUNCTION("""COMPUTED_VALUE"""),"Winter")</f>
        <v>Winter</v>
      </c>
      <c r="P331" s="5" t="str">
        <f ca="1">IFERROR(__xludf.DUMMYFUNCTION("""COMPUTED_VALUE"""),"Yakima")</f>
        <v>Yakima</v>
      </c>
      <c r="Q331" s="5" t="str">
        <f ca="1">IFERROR(__xludf.DUMMYFUNCTION("""COMPUTED_VALUE"""),"WA")</f>
        <v>WA</v>
      </c>
      <c r="R331" s="5" t="str">
        <f ca="1">IFERROR(__xludf.DUMMYFUNCTION("""COMPUTED_VALUE"""),"High")</f>
        <v>High</v>
      </c>
      <c r="S331" s="5" t="str">
        <f ca="1">IFERROR(__xludf.DUMMYFUNCTION("""COMPUTED_VALUE"""),"Parking Lot")</f>
        <v>Parking Lot</v>
      </c>
      <c r="T331" s="5" t="str">
        <f ca="1">IFERROR(__xludf.DUMMYFUNCTION("""COMPUTED_VALUE"""),"Outside on School Property")</f>
        <v>Outside on School Property</v>
      </c>
      <c r="U331" s="5" t="str">
        <f ca="1">IFERROR(__xludf.DUMMYFUNCTION("""COMPUTED_VALUE"""),"Yes")</f>
        <v>Yes</v>
      </c>
      <c r="V331" s="5" t="str">
        <f ca="1">IFERROR(__xludf.DUMMYFUNCTION("""COMPUTED_VALUE"""),"Dismissal")</f>
        <v>Dismissal</v>
      </c>
      <c r="W331" s="10">
        <f ca="1">IFERROR(__xludf.DUMMYFUNCTION("""COMPUTED_VALUE"""),0.625)</f>
        <v>0.625</v>
      </c>
      <c r="X331" s="5">
        <f ca="1">IFERROR(__xludf.DUMMYFUNCTION("""COMPUTED_VALUE"""),1)</f>
        <v>1</v>
      </c>
      <c r="Y331" s="5" t="str">
        <f ca="1">IFERROR(__xludf.DUMMYFUNCTION("""COMPUTED_VALUE"""),"Two students shot in parking lot at dismissal")</f>
        <v>Two students shot in parking lot at dismissal</v>
      </c>
      <c r="Z331" s="5" t="str">
        <f ca="1">IFERROR(__xludf.DUMMYFUNCTION("""COMPUTED_VALUE"""),"A 16-year-old male and 18-year-old male student were shot during an argument in the school parking lot at dismissal. Shooter was targeting the 18-year-old and accidentally shot his 16-year-old cousin (fatal). Shooter fled. Police arrested a 15-year-old la"&amp;"ter that night. School went on lockdown and students were shuttled to a neighboring elementary school to reunite with their parents.")</f>
        <v>A 16-year-old male and 18-year-old male student were shot during an argument in the school parking lot at dismissal. Shooter was targeting the 18-year-old and accidentally shot his 16-year-old cousin (fatal). Shooter fled. Police arrested a 15-year-old later that night. School went on lockdown and students were shuttled to a neighboring elementary school to reunite with their parents.</v>
      </c>
      <c r="AA331" s="5" t="str">
        <f ca="1">IFERROR(__xludf.DUMMYFUNCTION("""COMPUTED_VALUE"""),"Escalation of Dispute")</f>
        <v>Escalation of Dispute</v>
      </c>
      <c r="AB331" s="5" t="str">
        <f ca="1">IFERROR(__xludf.DUMMYFUNCTION("""COMPUTED_VALUE"""),"Both")</f>
        <v>Both</v>
      </c>
      <c r="AC331" s="5" t="str">
        <f ca="1">IFERROR(__xludf.DUMMYFUNCTION("""COMPUTED_VALUE"""),"No")</f>
        <v>No</v>
      </c>
      <c r="AD331" s="5" t="str">
        <f ca="1">IFERROR(__xludf.DUMMYFUNCTION("""COMPUTED_VALUE"""),"No")</f>
        <v>No</v>
      </c>
      <c r="AE331" s="5" t="str">
        <f ca="1">IFERROR(__xludf.DUMMYFUNCTION("""COMPUTED_VALUE"""),"No")</f>
        <v>No</v>
      </c>
      <c r="AF331" s="5" t="str">
        <f ca="1">IFERROR(__xludf.DUMMYFUNCTION("""COMPUTED_VALUE"""),"No")</f>
        <v>No</v>
      </c>
      <c r="AG331" s="5" t="str">
        <f ca="1">IFERROR(__xludf.DUMMYFUNCTION("""COMPUTED_VALUE"""),"No")</f>
        <v>No</v>
      </c>
      <c r="AH331" s="5" t="str">
        <f ca="1">IFERROR(__xludf.DUMMYFUNCTION("""COMPUTED_VALUE"""),"No")</f>
        <v>No</v>
      </c>
      <c r="AI331" s="5" t="str">
        <f ca="1">IFERROR(__xludf.DUMMYFUNCTION("""COMPUTED_VALUE"""),"Yes")</f>
        <v>Yes</v>
      </c>
      <c r="AJ331" s="5" t="str">
        <f ca="1">IFERROR(__xludf.DUMMYFUNCTION("""COMPUTED_VALUE"""),"No")</f>
        <v>No</v>
      </c>
    </row>
    <row r="332" spans="1:36" ht="13">
      <c r="A332" s="5" t="str">
        <f ca="1">IFERROR(__xludf.DUMMYFUNCTION("""COMPUTED_VALUE"""),"20220315MDPAB")</f>
        <v>20220315MDPAB</v>
      </c>
      <c r="B332" s="5">
        <f ca="1">IFERROR(__xludf.DUMMYFUNCTION("""COMPUTED_VALUE"""),3)</f>
        <v>3</v>
      </c>
      <c r="C332" s="5">
        <f ca="1">IFERROR(__xludf.DUMMYFUNCTION("""COMPUTED_VALUE"""),15)</f>
        <v>15</v>
      </c>
      <c r="D332" s="5">
        <f ca="1">IFERROR(__xludf.DUMMYFUNCTION("""COMPUTED_VALUE"""),2022)</f>
        <v>2022</v>
      </c>
      <c r="E332" s="8">
        <f ca="1">IFERROR(__xludf.DUMMYFUNCTION("""COMPUTED_VALUE"""),44635)</f>
        <v>44635</v>
      </c>
      <c r="F332" s="5" t="str">
        <f ca="1">IFERROR(__xludf.DUMMYFUNCTION("""COMPUTED_VALUE"""),"Paul Lawrence Dunbar High School")</f>
        <v>Paul Lawrence Dunbar High School</v>
      </c>
      <c r="G332" s="5">
        <f ca="1">IFERROR(__xludf.DUMMYFUNCTION("""COMPUTED_VALUE"""),0)</f>
        <v>0</v>
      </c>
      <c r="H332" s="5">
        <f ca="1">IFERROR(__xludf.DUMMYFUNCTION("""COMPUTED_VALUE"""),1)</f>
        <v>1</v>
      </c>
      <c r="I332" s="5">
        <f ca="1">IFERROR(__xludf.DUMMYFUNCTION("""COMPUTED_VALUE"""),1)</f>
        <v>1</v>
      </c>
      <c r="J332" s="5">
        <f ca="1">IFERROR(__xludf.DUMMYFUNCTION("""COMPUTED_VALUE"""),0)</f>
        <v>0</v>
      </c>
      <c r="K332" s="5" t="str">
        <f ca="1">IFERROR(__xludf.DUMMYFUNCTION("""COMPUTED_VALUE"""),"https://www.baltimoresun.com/education/bs-md-dunbar-high-shooting-20220315-20220315-6wrgtly5qvbnfg5tkrlthhovuq-story.html https://www.wbaltv.com/article/18-year-old-shot-at-dunbar-high-school/39442706#")</f>
        <v>https://www.baltimoresun.com/education/bs-md-dunbar-high-shooting-20220315-20220315-6wrgtly5qvbnfg5tkrlthhovuq-story.html https://www.wbaltv.com/article/18-year-old-shot-at-dunbar-high-school/39442706#</v>
      </c>
      <c r="L332" s="5">
        <f ca="1">IFERROR(__xludf.DUMMYFUNCTION("""COMPUTED_VALUE"""),5)</f>
        <v>5</v>
      </c>
      <c r="M332" s="5" t="str">
        <f ca="1">IFERROR(__xludf.DUMMYFUNCTION("""COMPUTED_VALUE"""),"Regional")</f>
        <v>Regional</v>
      </c>
      <c r="N332" s="5">
        <f ca="1">IFERROR(__xludf.DUMMYFUNCTION("""COMPUTED_VALUE"""),4)</f>
        <v>4</v>
      </c>
      <c r="O332" s="5" t="str">
        <f ca="1">IFERROR(__xludf.DUMMYFUNCTION("""COMPUTED_VALUE"""),"Spring")</f>
        <v>Spring</v>
      </c>
      <c r="P332" s="5" t="str">
        <f ca="1">IFERROR(__xludf.DUMMYFUNCTION("""COMPUTED_VALUE"""),"Baltimore")</f>
        <v>Baltimore</v>
      </c>
      <c r="Q332" s="5" t="str">
        <f ca="1">IFERROR(__xludf.DUMMYFUNCTION("""COMPUTED_VALUE"""),"MD")</f>
        <v>MD</v>
      </c>
      <c r="R332" s="5" t="str">
        <f ca="1">IFERROR(__xludf.DUMMYFUNCTION("""COMPUTED_VALUE"""),"High")</f>
        <v>High</v>
      </c>
      <c r="S332" s="5" t="str">
        <f ca="1">IFERROR(__xludf.DUMMYFUNCTION("""COMPUTED_VALUE"""),"Beside Building")</f>
        <v>Beside Building</v>
      </c>
      <c r="T332" s="5" t="str">
        <f ca="1">IFERROR(__xludf.DUMMYFUNCTION("""COMPUTED_VALUE"""),"Outside on School Property")</f>
        <v>Outside on School Property</v>
      </c>
      <c r="U332" s="5" t="str">
        <f ca="1">IFERROR(__xludf.DUMMYFUNCTION("""COMPUTED_VALUE"""),"Yes")</f>
        <v>Yes</v>
      </c>
      <c r="V332" s="5" t="str">
        <f ca="1">IFERROR(__xludf.DUMMYFUNCTION("""COMPUTED_VALUE"""),"Dismissal")</f>
        <v>Dismissal</v>
      </c>
      <c r="W332" s="10">
        <f ca="1">IFERROR(__xludf.DUMMYFUNCTION("""COMPUTED_VALUE"""),0.638888888888888)</f>
        <v>0.63888888888888795</v>
      </c>
      <c r="X332" s="5">
        <f ca="1">IFERROR(__xludf.DUMMYFUNCTION("""COMPUTED_VALUE"""),1)</f>
        <v>1</v>
      </c>
      <c r="Y332" s="5" t="str">
        <f ca="1">IFERROR(__xludf.DUMMYFUNCTION("""COMPUTED_VALUE"""),"Student shot during dispute at dismissal")</f>
        <v>Student shot during dispute at dismissal</v>
      </c>
      <c r="Z332" s="5" t="str">
        <f ca="1">IFERROR(__xludf.DUMMYFUNCTION("""COMPUTED_VALUE"""),"An 18-year-old student was shot during a dispute with a group of people at dismissal. Unclear if the shooter was a student. Shooter fled.")</f>
        <v>An 18-year-old student was shot during a dispute with a group of people at dismissal. Unclear if the shooter was a student. Shooter fled.</v>
      </c>
      <c r="AA332" s="5" t="str">
        <f ca="1">IFERROR(__xludf.DUMMYFUNCTION("""COMPUTED_VALUE"""),"Escalation of Dispute")</f>
        <v>Escalation of Dispute</v>
      </c>
      <c r="AB332" s="5" t="str">
        <f ca="1">IFERROR(__xludf.DUMMYFUNCTION("""COMPUTED_VALUE"""),"Victims Targeted")</f>
        <v>Victims Targeted</v>
      </c>
      <c r="AC332" s="5" t="str">
        <f ca="1">IFERROR(__xludf.DUMMYFUNCTION("""COMPUTED_VALUE"""),"No")</f>
        <v>No</v>
      </c>
      <c r="AD332" s="5" t="str">
        <f ca="1">IFERROR(__xludf.DUMMYFUNCTION("""COMPUTED_VALUE"""),"No")</f>
        <v>No</v>
      </c>
      <c r="AE332" s="5" t="str">
        <f ca="1">IFERROR(__xludf.DUMMYFUNCTION("""COMPUTED_VALUE"""),"No")</f>
        <v>No</v>
      </c>
      <c r="AF332" s="5" t="str">
        <f ca="1">IFERROR(__xludf.DUMMYFUNCTION("""COMPUTED_VALUE"""),"No")</f>
        <v>No</v>
      </c>
      <c r="AG332" s="5" t="str">
        <f ca="1">IFERROR(__xludf.DUMMYFUNCTION("""COMPUTED_VALUE"""),"No")</f>
        <v>No</v>
      </c>
      <c r="AH332" s="5" t="str">
        <f ca="1">IFERROR(__xludf.DUMMYFUNCTION("""COMPUTED_VALUE"""),"No")</f>
        <v>No</v>
      </c>
      <c r="AI332" s="5"/>
      <c r="AJ332" s="5" t="str">
        <f ca="1">IFERROR(__xludf.DUMMYFUNCTION("""COMPUTED_VALUE"""),"No")</f>
        <v>No</v>
      </c>
    </row>
    <row r="333" spans="1:36" ht="13">
      <c r="A333" s="5" t="str">
        <f ca="1">IFERROR(__xludf.DUMMYFUNCTION("""COMPUTED_VALUE"""),"20220315GAFOF")</f>
        <v>20220315GAFOF</v>
      </c>
      <c r="B333" s="5">
        <f ca="1">IFERROR(__xludf.DUMMYFUNCTION("""COMPUTED_VALUE"""),3)</f>
        <v>3</v>
      </c>
      <c r="C333" s="5">
        <f ca="1">IFERROR(__xludf.DUMMYFUNCTION("""COMPUTED_VALUE"""),15)</f>
        <v>15</v>
      </c>
      <c r="D333" s="5">
        <f ca="1">IFERROR(__xludf.DUMMYFUNCTION("""COMPUTED_VALUE"""),2022)</f>
        <v>2022</v>
      </c>
      <c r="E333" s="8">
        <f ca="1">IFERROR(__xludf.DUMMYFUNCTION("""COMPUTED_VALUE"""),44635)</f>
        <v>44635</v>
      </c>
      <c r="F333" s="5" t="str">
        <f ca="1">IFERROR(__xludf.DUMMYFUNCTION("""COMPUTED_VALUE"""),"Forest Park Middle School")</f>
        <v>Forest Park Middle School</v>
      </c>
      <c r="G333" s="5">
        <f ca="1">IFERROR(__xludf.DUMMYFUNCTION("""COMPUTED_VALUE"""),0)</f>
        <v>0</v>
      </c>
      <c r="H333" s="5">
        <f ca="1">IFERROR(__xludf.DUMMYFUNCTION("""COMPUTED_VALUE"""),0)</f>
        <v>0</v>
      </c>
      <c r="I333" s="5">
        <f ca="1">IFERROR(__xludf.DUMMYFUNCTION("""COMPUTED_VALUE"""),0)</f>
        <v>0</v>
      </c>
      <c r="J333" s="5">
        <f ca="1">IFERROR(__xludf.DUMMYFUNCTION("""COMPUTED_VALUE"""),0)</f>
        <v>0</v>
      </c>
      <c r="K333" s="9" t="str">
        <f ca="1">IFERROR(__xludf.DUMMYFUNCTION("""COMPUTED_VALUE"""),"https://www.fox5atlanta.com/news/gunshot-fired-in-clayton-county-middle-school-district-says")</f>
        <v>https://www.fox5atlanta.com/news/gunshot-fired-in-clayton-county-middle-school-district-says</v>
      </c>
      <c r="L333" s="5">
        <f ca="1">IFERROR(__xludf.DUMMYFUNCTION("""COMPUTED_VALUE"""),1)</f>
        <v>1</v>
      </c>
      <c r="M333" s="5" t="str">
        <f ca="1">IFERROR(__xludf.DUMMYFUNCTION("""COMPUTED_VALUE"""),"Local")</f>
        <v>Local</v>
      </c>
      <c r="N333" s="5">
        <f ca="1">IFERROR(__xludf.DUMMYFUNCTION("""COMPUTED_VALUE"""),3)</f>
        <v>3</v>
      </c>
      <c r="O333" s="5" t="str">
        <f ca="1">IFERROR(__xludf.DUMMYFUNCTION("""COMPUTED_VALUE"""),"Spring")</f>
        <v>Spring</v>
      </c>
      <c r="P333" s="5" t="str">
        <f ca="1">IFERROR(__xludf.DUMMYFUNCTION("""COMPUTED_VALUE"""),"Forest Park")</f>
        <v>Forest Park</v>
      </c>
      <c r="Q333" s="5" t="str">
        <f ca="1">IFERROR(__xludf.DUMMYFUNCTION("""COMPUTED_VALUE"""),"GA")</f>
        <v>GA</v>
      </c>
      <c r="R333" s="5" t="str">
        <f ca="1">IFERROR(__xludf.DUMMYFUNCTION("""COMPUTED_VALUE"""),"Middle")</f>
        <v>Middle</v>
      </c>
      <c r="S333" s="5" t="str">
        <f ca="1">IFERROR(__xludf.DUMMYFUNCTION("""COMPUTED_VALUE"""),"Office")</f>
        <v>Office</v>
      </c>
      <c r="T333" s="5" t="str">
        <f ca="1">IFERROR(__xludf.DUMMYFUNCTION("""COMPUTED_VALUE"""),"Inside School Building")</f>
        <v>Inside School Building</v>
      </c>
      <c r="U333" s="5" t="str">
        <f ca="1">IFERROR(__xludf.DUMMYFUNCTION("""COMPUTED_VALUE"""),"No")</f>
        <v>No</v>
      </c>
      <c r="V333" s="5" t="str">
        <f ca="1">IFERROR(__xludf.DUMMYFUNCTION("""COMPUTED_VALUE"""),"Night")</f>
        <v>Night</v>
      </c>
      <c r="W333" s="5"/>
      <c r="X333" s="5">
        <f ca="1">IFERROR(__xludf.DUMMYFUNCTION("""COMPUTED_VALUE"""),1)</f>
        <v>1</v>
      </c>
      <c r="Y333" s="5" t="str">
        <f ca="1">IFERROR(__xludf.DUMMYFUNCTION("""COMPUTED_VALUE"""),"Shots fired when school police confronted intruder")</f>
        <v>Shots fired when school police confronted intruder</v>
      </c>
      <c r="Z333" s="5" t="str">
        <f ca="1">IFERROR(__xludf.DUMMYFUNCTION("""COMPUTED_VALUE"""),"Shot was fired while school police were investigating an alarm and intruder inside the office of the school after hours. No injury. Unclear if police or the intruder fired the shot.")</f>
        <v>Shot was fired while school police were investigating an alarm and intruder inside the office of the school after hours. No injury. Unclear if police or the intruder fired the shot.</v>
      </c>
      <c r="AA333" s="5" t="str">
        <f ca="1">IFERROR(__xludf.DUMMYFUNCTION("""COMPUTED_VALUE"""),"Illegal Activity")</f>
        <v>Illegal Activity</v>
      </c>
      <c r="AB333" s="5"/>
      <c r="AC333" s="5" t="str">
        <f ca="1">IFERROR(__xludf.DUMMYFUNCTION("""COMPUTED_VALUE"""),"No")</f>
        <v>No</v>
      </c>
      <c r="AD333" s="5" t="str">
        <f ca="1">IFERROR(__xludf.DUMMYFUNCTION("""COMPUTED_VALUE"""),"No")</f>
        <v>No</v>
      </c>
      <c r="AE333" s="5" t="str">
        <f ca="1">IFERROR(__xludf.DUMMYFUNCTION("""COMPUTED_VALUE"""),"No")</f>
        <v>No</v>
      </c>
      <c r="AF333" s="5" t="str">
        <f ca="1">IFERROR(__xludf.DUMMYFUNCTION("""COMPUTED_VALUE"""),"No")</f>
        <v>No</v>
      </c>
      <c r="AG333" s="5" t="str">
        <f ca="1">IFERROR(__xludf.DUMMYFUNCTION("""COMPUTED_VALUE"""),"No")</f>
        <v>No</v>
      </c>
      <c r="AH333" s="5" t="str">
        <f ca="1">IFERROR(__xludf.DUMMYFUNCTION("""COMPUTED_VALUE"""),"No")</f>
        <v>No</v>
      </c>
      <c r="AI333" s="5" t="str">
        <f ca="1">IFERROR(__xludf.DUMMYFUNCTION("""COMPUTED_VALUE"""),"No")</f>
        <v>No</v>
      </c>
      <c r="AJ333" s="5" t="str">
        <f ca="1">IFERROR(__xludf.DUMMYFUNCTION("""COMPUTED_VALUE"""),"No")</f>
        <v>No</v>
      </c>
    </row>
    <row r="334" spans="1:36" ht="13">
      <c r="A334" s="5" t="str">
        <f ca="1">IFERROR(__xludf.DUMMYFUNCTION("""COMPUTED_VALUE"""),"20220315MATEB")</f>
        <v>20220315MATEB</v>
      </c>
      <c r="B334" s="5">
        <f ca="1">IFERROR(__xludf.DUMMYFUNCTION("""COMPUTED_VALUE"""),3)</f>
        <v>3</v>
      </c>
      <c r="C334" s="5">
        <f ca="1">IFERROR(__xludf.DUMMYFUNCTION("""COMPUTED_VALUE"""),15)</f>
        <v>15</v>
      </c>
      <c r="D334" s="5">
        <f ca="1">IFERROR(__xludf.DUMMYFUNCTION("""COMPUTED_VALUE"""),2022)</f>
        <v>2022</v>
      </c>
      <c r="E334" s="8">
        <f ca="1">IFERROR(__xludf.DUMMYFUNCTION("""COMPUTED_VALUE"""),44635)</f>
        <v>44635</v>
      </c>
      <c r="F334" s="5" t="str">
        <f ca="1">IFERROR(__xludf.DUMMYFUNCTION("""COMPUTED_VALUE"""),"Tech Academy Boston")</f>
        <v>Tech Academy Boston</v>
      </c>
      <c r="G334" s="5">
        <f ca="1">IFERROR(__xludf.DUMMYFUNCTION("""COMPUTED_VALUE"""),0)</f>
        <v>0</v>
      </c>
      <c r="H334" s="5">
        <f ca="1">IFERROR(__xludf.DUMMYFUNCTION("""COMPUTED_VALUE"""),2)</f>
        <v>2</v>
      </c>
      <c r="I334" s="5">
        <f ca="1">IFERROR(__xludf.DUMMYFUNCTION("""COMPUTED_VALUE"""),2)</f>
        <v>2</v>
      </c>
      <c r="J334" s="5">
        <f ca="1">IFERROR(__xludf.DUMMYFUNCTION("""COMPUTED_VALUE"""),0)</f>
        <v>0</v>
      </c>
      <c r="K334" s="5" t="str">
        <f ca="1">IFERROR(__xludf.DUMMYFUNCTION("""COMPUTED_VALUE"""),"https://www.nbcboston.com/news/local/2-teens-arrested-in-connection-with-shooting-of-teacher-student-at-techboston-academy/2679230/ https://www.boston.com/news/crime/2022/03/16/teacher-student-shot-outside-dorchester-school-techboston-academy/ https://www"&amp;".wcvb.com/article/tech-boston-academy-shooting-march-16-2022/39447922 https://www.nbcboston.com/news/local/two-people-shot-near-school-in-dorchester/2670035/")</f>
        <v>https://www.nbcboston.com/news/local/2-teens-arrested-in-connection-with-shooting-of-teacher-student-at-techboston-academy/2679230/ https://www.boston.com/news/crime/2022/03/16/teacher-student-shot-outside-dorchester-school-techboston-academy/ https://www.wcvb.com/article/tech-boston-academy-shooting-march-16-2022/39447922 https://www.nbcboston.com/news/local/two-people-shot-near-school-in-dorchester/2670035/</v>
      </c>
      <c r="L334" s="5">
        <f ca="1">IFERROR(__xludf.DUMMYFUNCTION("""COMPUTED_VALUE"""),10)</f>
        <v>10</v>
      </c>
      <c r="M334" s="5" t="str">
        <f ca="1">IFERROR(__xludf.DUMMYFUNCTION("""COMPUTED_VALUE"""),"Regional")</f>
        <v>Regional</v>
      </c>
      <c r="N334" s="5">
        <f ca="1">IFERROR(__xludf.DUMMYFUNCTION("""COMPUTED_VALUE"""),4)</f>
        <v>4</v>
      </c>
      <c r="O334" s="5" t="str">
        <f ca="1">IFERROR(__xludf.DUMMYFUNCTION("""COMPUTED_VALUE"""),"Spring")</f>
        <v>Spring</v>
      </c>
      <c r="P334" s="5" t="str">
        <f ca="1">IFERROR(__xludf.DUMMYFUNCTION("""COMPUTED_VALUE"""),"Boston")</f>
        <v>Boston</v>
      </c>
      <c r="Q334" s="5" t="str">
        <f ca="1">IFERROR(__xludf.DUMMYFUNCTION("""COMPUTED_VALUE"""),"MA")</f>
        <v>MA</v>
      </c>
      <c r="R334" s="5" t="str">
        <f ca="1">IFERROR(__xludf.DUMMYFUNCTION("""COMPUTED_VALUE"""),"High")</f>
        <v>High</v>
      </c>
      <c r="S334" s="5" t="str">
        <f ca="1">IFERROR(__xludf.DUMMYFUNCTION("""COMPUTED_VALUE"""),"Beside Building")</f>
        <v>Beside Building</v>
      </c>
      <c r="T334" s="5" t="str">
        <f ca="1">IFERROR(__xludf.DUMMYFUNCTION("""COMPUTED_VALUE"""),"Outside on School Property")</f>
        <v>Outside on School Property</v>
      </c>
      <c r="U334" s="5" t="str">
        <f ca="1">IFERROR(__xludf.DUMMYFUNCTION("""COMPUTED_VALUE"""),"No")</f>
        <v>No</v>
      </c>
      <c r="V334" s="5" t="str">
        <f ca="1">IFERROR(__xludf.DUMMYFUNCTION("""COMPUTED_VALUE"""),"Sport Event")</f>
        <v>Sport Event</v>
      </c>
      <c r="W334" s="10">
        <f ca="1">IFERROR(__xludf.DUMMYFUNCTION("""COMPUTED_VALUE"""),0.736111111111111)</f>
        <v>0.73611111111111105</v>
      </c>
      <c r="X334" s="5">
        <f ca="1">IFERROR(__xludf.DUMMYFUNCTION("""COMPUTED_VALUE"""),1)</f>
        <v>1</v>
      </c>
      <c r="Y334" s="5" t="str">
        <f ca="1">IFERROR(__xludf.DUMMYFUNCTION("""COMPUTED_VALUE"""),"Shots fired at a group of students and staff outside school")</f>
        <v>Shots fired at a group of students and staff outside school</v>
      </c>
      <c r="Z334" s="5" t="str">
        <f ca="1">IFERROR(__xludf.DUMMYFUNCTION("""COMPUTED_VALUE"""),"Shots were fired at a group of students and staff standing outside of the school while waiting to get on a bus to an away basketball game. A 31-year-old teacher and a 17-year-old student were wounded. Two shooters fled and were arrested 2 weeks later (16-"&amp;"year-old male and 17-year-old male). Both had loaded guns that matched the crime scene.")</f>
        <v>Shots were fired at a group of students and staff standing outside of the school while waiting to get on a bus to an away basketball game. A 31-year-old teacher and a 17-year-old student were wounded. Two shooters fled and were arrested 2 weeks later (16-year-old male and 17-year-old male). Both had loaded guns that matched the crime scene.</v>
      </c>
      <c r="AA334" s="5" t="str">
        <f ca="1">IFERROR(__xludf.DUMMYFUNCTION("""COMPUTED_VALUE"""),"Drive-by Shooting")</f>
        <v>Drive-by Shooting</v>
      </c>
      <c r="AB334" s="5" t="str">
        <f ca="1">IFERROR(__xludf.DUMMYFUNCTION("""COMPUTED_VALUE"""),"Both")</f>
        <v>Both</v>
      </c>
      <c r="AC334" s="5" t="str">
        <f ca="1">IFERROR(__xludf.DUMMYFUNCTION("""COMPUTED_VALUE"""),"Yes")</f>
        <v>Yes</v>
      </c>
      <c r="AD334" s="5" t="str">
        <f ca="1">IFERROR(__xludf.DUMMYFUNCTION("""COMPUTED_VALUE"""),"No")</f>
        <v>No</v>
      </c>
      <c r="AE334" s="5" t="str">
        <f ca="1">IFERROR(__xludf.DUMMYFUNCTION("""COMPUTED_VALUE"""),"No")</f>
        <v>No</v>
      </c>
      <c r="AF334" s="5" t="str">
        <f ca="1">IFERROR(__xludf.DUMMYFUNCTION("""COMPUTED_VALUE"""),"No")</f>
        <v>No</v>
      </c>
      <c r="AG334" s="5" t="str">
        <f ca="1">IFERROR(__xludf.DUMMYFUNCTION("""COMPUTED_VALUE"""),"No")</f>
        <v>No</v>
      </c>
      <c r="AH334" s="5" t="str">
        <f ca="1">IFERROR(__xludf.DUMMYFUNCTION("""COMPUTED_VALUE"""),"No")</f>
        <v>No</v>
      </c>
      <c r="AI334" s="5"/>
      <c r="AJ334" s="5" t="str">
        <f ca="1">IFERROR(__xludf.DUMMYFUNCTION("""COMPUTED_VALUE"""),"No")</f>
        <v>No</v>
      </c>
    </row>
    <row r="335" spans="1:36" ht="13">
      <c r="A335" s="5" t="str">
        <f ca="1">IFERROR(__xludf.DUMMYFUNCTION("""COMPUTED_VALUE"""),"20220314CAKRP")</f>
        <v>20220314CAKRP</v>
      </c>
      <c r="B335" s="5">
        <f ca="1">IFERROR(__xludf.DUMMYFUNCTION("""COMPUTED_VALUE"""),3)</f>
        <v>3</v>
      </c>
      <c r="C335" s="5">
        <f ca="1">IFERROR(__xludf.DUMMYFUNCTION("""COMPUTED_VALUE"""),14)</f>
        <v>14</v>
      </c>
      <c r="D335" s="5">
        <f ca="1">IFERROR(__xludf.DUMMYFUNCTION("""COMPUTED_VALUE"""),2022)</f>
        <v>2022</v>
      </c>
      <c r="E335" s="8">
        <f ca="1">IFERROR(__xludf.DUMMYFUNCTION("""COMPUTED_VALUE"""),44634)</f>
        <v>44634</v>
      </c>
      <c r="F335" s="5" t="str">
        <f ca="1">IFERROR(__xludf.DUMMYFUNCTION("""COMPUTED_VALUE"""),"Kraemer Middle School")</f>
        <v>Kraemer Middle School</v>
      </c>
      <c r="G335" s="5">
        <f ca="1">IFERROR(__xludf.DUMMYFUNCTION("""COMPUTED_VALUE"""),0)</f>
        <v>0</v>
      </c>
      <c r="H335" s="5">
        <f ca="1">IFERROR(__xludf.DUMMYFUNCTION("""COMPUTED_VALUE"""),0)</f>
        <v>0</v>
      </c>
      <c r="I335" s="5">
        <f ca="1">IFERROR(__xludf.DUMMYFUNCTION("""COMPUTED_VALUE"""),0)</f>
        <v>0</v>
      </c>
      <c r="J335" s="5">
        <f ca="1">IFERROR(__xludf.DUMMYFUNCTION("""COMPUTED_VALUE"""),1)</f>
        <v>1</v>
      </c>
      <c r="K335" s="5" t="str">
        <f ca="1">IFERROR(__xludf.DUMMYFUNCTION("""COMPUTED_VALUE"""),"https://ktla.com/news/local-news/placentia-middle-school-assistant-principal-dies-by-suicide-on-campus-school-district/ https://www.nbcnews.com/news/us-news/middle-school-principal-dies-suicide-southern-california-campus-offici-rcna20007")</f>
        <v>https://ktla.com/news/local-news/placentia-middle-school-assistant-principal-dies-by-suicide-on-campus-school-district/ https://www.nbcnews.com/news/us-news/middle-school-principal-dies-suicide-southern-california-campus-offici-rcna20007</v>
      </c>
      <c r="L335" s="5">
        <f ca="1">IFERROR(__xludf.DUMMYFUNCTION("""COMPUTED_VALUE"""),20)</f>
        <v>20</v>
      </c>
      <c r="M335" s="5" t="str">
        <f ca="1">IFERROR(__xludf.DUMMYFUNCTION("""COMPUTED_VALUE"""),"National")</f>
        <v>National</v>
      </c>
      <c r="N335" s="5">
        <f ca="1">IFERROR(__xludf.DUMMYFUNCTION("""COMPUTED_VALUE"""),4)</f>
        <v>4</v>
      </c>
      <c r="O335" s="5" t="str">
        <f ca="1">IFERROR(__xludf.DUMMYFUNCTION("""COMPUTED_VALUE"""),"Spring")</f>
        <v>Spring</v>
      </c>
      <c r="P335" s="5" t="str">
        <f ca="1">IFERROR(__xludf.DUMMYFUNCTION("""COMPUTED_VALUE"""),"Placentia")</f>
        <v>Placentia</v>
      </c>
      <c r="Q335" s="5" t="str">
        <f ca="1">IFERROR(__xludf.DUMMYFUNCTION("""COMPUTED_VALUE"""),"CA")</f>
        <v>CA</v>
      </c>
      <c r="R335" s="5" t="str">
        <f ca="1">IFERROR(__xludf.DUMMYFUNCTION("""COMPUTED_VALUE"""),"Middle")</f>
        <v>Middle</v>
      </c>
      <c r="S335" s="5" t="str">
        <f ca="1">IFERROR(__xludf.DUMMYFUNCTION("""COMPUTED_VALUE"""),"Office")</f>
        <v>Office</v>
      </c>
      <c r="T335" s="5" t="str">
        <f ca="1">IFERROR(__xludf.DUMMYFUNCTION("""COMPUTED_VALUE"""),"Inside School Building")</f>
        <v>Inside School Building</v>
      </c>
      <c r="U335" s="5" t="str">
        <f ca="1">IFERROR(__xludf.DUMMYFUNCTION("""COMPUTED_VALUE"""),"Yes")</f>
        <v>Yes</v>
      </c>
      <c r="V335" s="5" t="str">
        <f ca="1">IFERROR(__xludf.DUMMYFUNCTION("""COMPUTED_VALUE"""),"Morning Classes")</f>
        <v>Morning Classes</v>
      </c>
      <c r="W335" s="10">
        <f ca="1">IFERROR(__xludf.DUMMYFUNCTION("""COMPUTED_VALUE"""),0.375)</f>
        <v>0.375</v>
      </c>
      <c r="X335" s="5">
        <f ca="1">IFERROR(__xludf.DUMMYFUNCTION("""COMPUTED_VALUE"""),1)</f>
        <v>1</v>
      </c>
      <c r="Y335" s="5" t="str">
        <f ca="1">IFERROR(__xludf.DUMMYFUNCTION("""COMPUTED_VALUE"""),"School administrator commit suicide with firearm in office during school")</f>
        <v>School administrator commit suicide with firearm in office during school</v>
      </c>
      <c r="Z335" s="5" t="str">
        <f ca="1">IFERROR(__xludf.DUMMYFUNCTION("""COMPUTED_VALUE"""),"An adult school administrator commit suicide with a firearm in the bathroom of the school office during morning classes. School went on lockdown and then dismissed.")</f>
        <v>An adult school administrator commit suicide with a firearm in the bathroom of the school office during morning classes. School went on lockdown and then dismissed.</v>
      </c>
      <c r="AA335" s="5" t="str">
        <f ca="1">IFERROR(__xludf.DUMMYFUNCTION("""COMPUTED_VALUE"""),"Suicide/Attempted")</f>
        <v>Suicide/Attempted</v>
      </c>
      <c r="AB335" s="5" t="str">
        <f ca="1">IFERROR(__xludf.DUMMYFUNCTION("""COMPUTED_VALUE"""),"Victims Targeted")</f>
        <v>Victims Targeted</v>
      </c>
      <c r="AC335" s="5" t="str">
        <f ca="1">IFERROR(__xludf.DUMMYFUNCTION("""COMPUTED_VALUE"""),"No")</f>
        <v>No</v>
      </c>
      <c r="AD335" s="5"/>
      <c r="AE335" s="5" t="str">
        <f ca="1">IFERROR(__xludf.DUMMYFUNCTION("""COMPUTED_VALUE"""),"No")</f>
        <v>No</v>
      </c>
      <c r="AF335" s="5" t="str">
        <f ca="1">IFERROR(__xludf.DUMMYFUNCTION("""COMPUTED_VALUE"""),"No")</f>
        <v>No</v>
      </c>
      <c r="AG335" s="5" t="str">
        <f ca="1">IFERROR(__xludf.DUMMYFUNCTION("""COMPUTED_VALUE"""),"No")</f>
        <v>No</v>
      </c>
      <c r="AH335" s="5" t="str">
        <f ca="1">IFERROR(__xludf.DUMMYFUNCTION("""COMPUTED_VALUE"""),"No")</f>
        <v>No</v>
      </c>
      <c r="AI335" s="5" t="str">
        <f ca="1">IFERROR(__xludf.DUMMYFUNCTION("""COMPUTED_VALUE"""),"No")</f>
        <v>No</v>
      </c>
      <c r="AJ335" s="5" t="str">
        <f ca="1">IFERROR(__xludf.DUMMYFUNCTION("""COMPUTED_VALUE"""),"No")</f>
        <v>No</v>
      </c>
    </row>
    <row r="336" spans="1:36" ht="13">
      <c r="A336" s="5" t="str">
        <f ca="1">IFERROR(__xludf.DUMMYFUNCTION("""COMPUTED_VALUE"""),"20220313PANEP")</f>
        <v>20220313PANEP</v>
      </c>
      <c r="B336" s="5">
        <f ca="1">IFERROR(__xludf.DUMMYFUNCTION("""COMPUTED_VALUE"""),3)</f>
        <v>3</v>
      </c>
      <c r="C336" s="5">
        <f ca="1">IFERROR(__xludf.DUMMYFUNCTION("""COMPUTED_VALUE"""),13)</f>
        <v>13</v>
      </c>
      <c r="D336" s="5">
        <f ca="1">IFERROR(__xludf.DUMMYFUNCTION("""COMPUTED_VALUE"""),2022)</f>
        <v>2022</v>
      </c>
      <c r="E336" s="8">
        <f ca="1">IFERROR(__xludf.DUMMYFUNCTION("""COMPUTED_VALUE"""),44633)</f>
        <v>44633</v>
      </c>
      <c r="F336" s="5" t="str">
        <f ca="1">IFERROR(__xludf.DUMMYFUNCTION("""COMPUTED_VALUE"""),"New Foundations Charter School")</f>
        <v>New Foundations Charter School</v>
      </c>
      <c r="G336" s="5">
        <f ca="1">IFERROR(__xludf.DUMMYFUNCTION("""COMPUTED_VALUE"""),0)</f>
        <v>0</v>
      </c>
      <c r="H336" s="5">
        <f ca="1">IFERROR(__xludf.DUMMYFUNCTION("""COMPUTED_VALUE"""),0)</f>
        <v>0</v>
      </c>
      <c r="I336" s="5">
        <f ca="1">IFERROR(__xludf.DUMMYFUNCTION("""COMPUTED_VALUE"""),0)</f>
        <v>0</v>
      </c>
      <c r="J336" s="5">
        <f ca="1">IFERROR(__xludf.DUMMYFUNCTION("""COMPUTED_VALUE"""),0)</f>
        <v>0</v>
      </c>
      <c r="K336" s="9" t="str">
        <f ca="1">IFERROR(__xludf.DUMMYFUNCTION("""COMPUTED_VALUE"""),"https://6abc.com/new-foundations-charter-high-school-bullet-classroom-philadelphia-shooting-torresdale-ave/11651217/")</f>
        <v>https://6abc.com/new-foundations-charter-high-school-bullet-classroom-philadelphia-shooting-torresdale-ave/11651217/</v>
      </c>
      <c r="L336" s="5">
        <f ca="1">IFERROR(__xludf.DUMMYFUNCTION("""COMPUTED_VALUE"""),1)</f>
        <v>1</v>
      </c>
      <c r="M336" s="5" t="str">
        <f ca="1">IFERROR(__xludf.DUMMYFUNCTION("""COMPUTED_VALUE"""),"Local")</f>
        <v>Local</v>
      </c>
      <c r="N336" s="5">
        <f ca="1">IFERROR(__xludf.DUMMYFUNCTION("""COMPUTED_VALUE"""),3)</f>
        <v>3</v>
      </c>
      <c r="O336" s="5" t="str">
        <f ca="1">IFERROR(__xludf.DUMMYFUNCTION("""COMPUTED_VALUE"""),"Spring")</f>
        <v>Spring</v>
      </c>
      <c r="P336" s="5" t="str">
        <f ca="1">IFERROR(__xludf.DUMMYFUNCTION("""COMPUTED_VALUE"""),"Philadelphia")</f>
        <v>Philadelphia</v>
      </c>
      <c r="Q336" s="5" t="str">
        <f ca="1">IFERROR(__xludf.DUMMYFUNCTION("""COMPUTED_VALUE"""),"PA")</f>
        <v>PA</v>
      </c>
      <c r="R336" s="5" t="str">
        <f ca="1">IFERROR(__xludf.DUMMYFUNCTION("""COMPUTED_VALUE"""),"K-8")</f>
        <v>K-8</v>
      </c>
      <c r="S336" s="5" t="str">
        <f ca="1">IFERROR(__xludf.DUMMYFUNCTION("""COMPUTED_VALUE"""),"Classroom")</f>
        <v>Classroom</v>
      </c>
      <c r="T336" s="5" t="str">
        <f ca="1">IFERROR(__xludf.DUMMYFUNCTION("""COMPUTED_VALUE"""),"Both Inside/Outside")</f>
        <v>Both Inside/Outside</v>
      </c>
      <c r="U336" s="5" t="str">
        <f ca="1">IFERROR(__xludf.DUMMYFUNCTION("""COMPUTED_VALUE"""),"No")</f>
        <v>No</v>
      </c>
      <c r="V336" s="5" t="str">
        <f ca="1">IFERROR(__xludf.DUMMYFUNCTION("""COMPUTED_VALUE"""),"Not a School Day")</f>
        <v>Not a School Day</v>
      </c>
      <c r="W336" s="5"/>
      <c r="X336" s="5">
        <f ca="1">IFERROR(__xludf.DUMMYFUNCTION("""COMPUTED_VALUE"""),1)</f>
        <v>1</v>
      </c>
      <c r="Y336" s="5" t="str">
        <f ca="1">IFERROR(__xludf.DUMMYFUNCTION("""COMPUTED_VALUE"""),"Classroom window broken by gunshot, bullet found in classroom")</f>
        <v>Classroom window broken by gunshot, bullet found in classroom</v>
      </c>
      <c r="Z336" s="5" t="str">
        <f ca="1">IFERROR(__xludf.DUMMYFUNCTION("""COMPUTED_VALUE"""),"A bullet was found inside a classroom. Window was shattered. Police believe the shot was fired over the weekend and found by staff on Monday morning.")</f>
        <v>A bullet was found inside a classroom. Window was shattered. Police believe the shot was fired over the weekend and found by staff on Monday morning.</v>
      </c>
      <c r="AA336" s="5"/>
      <c r="AB336" s="5"/>
      <c r="AC336" s="5" t="str">
        <f ca="1">IFERROR(__xludf.DUMMYFUNCTION("""COMPUTED_VALUE"""),"No")</f>
        <v>No</v>
      </c>
      <c r="AD336" s="5" t="str">
        <f ca="1">IFERROR(__xludf.DUMMYFUNCTION("""COMPUTED_VALUE"""),"No")</f>
        <v>No</v>
      </c>
      <c r="AE336" s="5" t="str">
        <f ca="1">IFERROR(__xludf.DUMMYFUNCTION("""COMPUTED_VALUE"""),"No")</f>
        <v>No</v>
      </c>
      <c r="AF336" s="5" t="str">
        <f ca="1">IFERROR(__xludf.DUMMYFUNCTION("""COMPUTED_VALUE"""),"No")</f>
        <v>No</v>
      </c>
      <c r="AG336" s="5" t="str">
        <f ca="1">IFERROR(__xludf.DUMMYFUNCTION("""COMPUTED_VALUE"""),"No")</f>
        <v>No</v>
      </c>
      <c r="AH336" s="5" t="str">
        <f ca="1">IFERROR(__xludf.DUMMYFUNCTION("""COMPUTED_VALUE"""),"No")</f>
        <v>No</v>
      </c>
      <c r="AI336" s="5"/>
      <c r="AJ336" s="5" t="str">
        <f ca="1">IFERROR(__xludf.DUMMYFUNCTION("""COMPUTED_VALUE"""),"No")</f>
        <v>No</v>
      </c>
    </row>
    <row r="337" spans="1:36" ht="13">
      <c r="A337" s="5" t="str">
        <f ca="1">IFERROR(__xludf.DUMMYFUNCTION("""COMPUTED_VALUE"""),"20220311CADER")</f>
        <v>20220311CADER</v>
      </c>
      <c r="B337" s="5">
        <f ca="1">IFERROR(__xludf.DUMMYFUNCTION("""COMPUTED_VALUE"""),3)</f>
        <v>3</v>
      </c>
      <c r="C337" s="5">
        <f ca="1">IFERROR(__xludf.DUMMYFUNCTION("""COMPUTED_VALUE"""),11)</f>
        <v>11</v>
      </c>
      <c r="D337" s="5">
        <f ca="1">IFERROR(__xludf.DUMMYFUNCTION("""COMPUTED_VALUE"""),2022)</f>
        <v>2022</v>
      </c>
      <c r="E337" s="8">
        <f ca="1">IFERROR(__xludf.DUMMYFUNCTION("""COMPUTED_VALUE"""),44631)</f>
        <v>44631</v>
      </c>
      <c r="F337" s="5" t="str">
        <f ca="1">IFERROR(__xludf.DUMMYFUNCTION("""COMPUTED_VALUE"""),"De Anza High School")</f>
        <v>De Anza High School</v>
      </c>
      <c r="G337" s="5">
        <f ca="1">IFERROR(__xludf.DUMMYFUNCTION("""COMPUTED_VALUE"""),0)</f>
        <v>0</v>
      </c>
      <c r="H337" s="5">
        <f ca="1">IFERROR(__xludf.DUMMYFUNCTION("""COMPUTED_VALUE"""),0)</f>
        <v>0</v>
      </c>
      <c r="I337" s="5">
        <f ca="1">IFERROR(__xludf.DUMMYFUNCTION("""COMPUTED_VALUE"""),0)</f>
        <v>0</v>
      </c>
      <c r="J337" s="5">
        <f ca="1">IFERROR(__xludf.DUMMYFUNCTION("""COMPUTED_VALUE"""),0)</f>
        <v>0</v>
      </c>
      <c r="K337" s="5" t="str">
        <f ca="1">IFERROR(__xludf.DUMMYFUNCTION("""COMPUTED_VALUE"""),"https://abc7news.com/deanza-high-school-richmond-shooting-east-bay/11644368/ https://richmondstandard.com/richmond/2022/03/11/richmond-police-investigate-shooting-at-de-anza-high/")</f>
        <v>https://abc7news.com/deanza-high-school-richmond-shooting-east-bay/11644368/ https://richmondstandard.com/richmond/2022/03/11/richmond-police-investigate-shooting-at-de-anza-high/</v>
      </c>
      <c r="L337" s="5">
        <f ca="1">IFERROR(__xludf.DUMMYFUNCTION("""COMPUTED_VALUE"""),2)</f>
        <v>2</v>
      </c>
      <c r="M337" s="5" t="str">
        <f ca="1">IFERROR(__xludf.DUMMYFUNCTION("""COMPUTED_VALUE"""),"Local")</f>
        <v>Local</v>
      </c>
      <c r="N337" s="5">
        <f ca="1">IFERROR(__xludf.DUMMYFUNCTION("""COMPUTED_VALUE"""),4)</f>
        <v>4</v>
      </c>
      <c r="O337" s="5" t="str">
        <f ca="1">IFERROR(__xludf.DUMMYFUNCTION("""COMPUTED_VALUE"""),"Spring")</f>
        <v>Spring</v>
      </c>
      <c r="P337" s="5" t="str">
        <f ca="1">IFERROR(__xludf.DUMMYFUNCTION("""COMPUTED_VALUE"""),"Richmond")</f>
        <v>Richmond</v>
      </c>
      <c r="Q337" s="5" t="str">
        <f ca="1">IFERROR(__xludf.DUMMYFUNCTION("""COMPUTED_VALUE"""),"CA")</f>
        <v>CA</v>
      </c>
      <c r="R337" s="5" t="str">
        <f ca="1">IFERROR(__xludf.DUMMYFUNCTION("""COMPUTED_VALUE"""),"High")</f>
        <v>High</v>
      </c>
      <c r="S337" s="5" t="str">
        <f ca="1">IFERROR(__xludf.DUMMYFUNCTION("""COMPUTED_VALUE"""),"Outside on School Property")</f>
        <v>Outside on School Property</v>
      </c>
      <c r="T337" s="5" t="str">
        <f ca="1">IFERROR(__xludf.DUMMYFUNCTION("""COMPUTED_VALUE"""),"Outside on School Property")</f>
        <v>Outside on School Property</v>
      </c>
      <c r="U337" s="5" t="str">
        <f ca="1">IFERROR(__xludf.DUMMYFUNCTION("""COMPUTED_VALUE"""),"Yes")</f>
        <v>Yes</v>
      </c>
      <c r="V337" s="5" t="str">
        <f ca="1">IFERROR(__xludf.DUMMYFUNCTION("""COMPUTED_VALUE"""),"Dismissal")</f>
        <v>Dismissal</v>
      </c>
      <c r="W337" s="10">
        <f ca="1">IFERROR(__xludf.DUMMYFUNCTION("""COMPUTED_VALUE"""),0.625)</f>
        <v>0.625</v>
      </c>
      <c r="X337" s="5">
        <f ca="1">IFERROR(__xludf.DUMMYFUNCTION("""COMPUTED_VALUE"""),1)</f>
        <v>1</v>
      </c>
      <c r="Y337" s="5" t="str">
        <f ca="1">IFERROR(__xludf.DUMMYFUNCTION("""COMPUTED_VALUE"""),"Shots fired during fight at dismissal")</f>
        <v>Shots fired during fight at dismissal</v>
      </c>
      <c r="Z337" s="5" t="str">
        <f ca="1">IFERROR(__xludf.DUMMYFUNCTION("""COMPUTED_VALUE"""),"Shots fired during a fight at dismissal. No students or staff were struck. One student was injured from the fight. Shooter fled.")</f>
        <v>Shots fired during a fight at dismissal. No students or staff were struck. One student was injured from the fight. Shooter fled.</v>
      </c>
      <c r="AA337" s="5" t="str">
        <f ca="1">IFERROR(__xludf.DUMMYFUNCTION("""COMPUTED_VALUE"""),"Escalation of Dispute")</f>
        <v>Escalation of Dispute</v>
      </c>
      <c r="AB337" s="5" t="str">
        <f ca="1">IFERROR(__xludf.DUMMYFUNCTION("""COMPUTED_VALUE"""),"Both")</f>
        <v>Both</v>
      </c>
      <c r="AC337" s="5" t="str">
        <f ca="1">IFERROR(__xludf.DUMMYFUNCTION("""COMPUTED_VALUE"""),"No")</f>
        <v>No</v>
      </c>
      <c r="AD337" s="5" t="str">
        <f ca="1">IFERROR(__xludf.DUMMYFUNCTION("""COMPUTED_VALUE"""),"No")</f>
        <v>No</v>
      </c>
      <c r="AE337" s="5" t="str">
        <f ca="1">IFERROR(__xludf.DUMMYFUNCTION("""COMPUTED_VALUE"""),"No")</f>
        <v>No</v>
      </c>
      <c r="AF337" s="5" t="str">
        <f ca="1">IFERROR(__xludf.DUMMYFUNCTION("""COMPUTED_VALUE"""),"No")</f>
        <v>No</v>
      </c>
      <c r="AG337" s="5" t="str">
        <f ca="1">IFERROR(__xludf.DUMMYFUNCTION("""COMPUTED_VALUE"""),"No")</f>
        <v>No</v>
      </c>
      <c r="AH337" s="5" t="str">
        <f ca="1">IFERROR(__xludf.DUMMYFUNCTION("""COMPUTED_VALUE"""),"No")</f>
        <v>No</v>
      </c>
      <c r="AI337" s="5"/>
      <c r="AJ337" s="5" t="str">
        <f ca="1">IFERROR(__xludf.DUMMYFUNCTION("""COMPUTED_VALUE"""),"No")</f>
        <v>No</v>
      </c>
    </row>
    <row r="338" spans="1:36" ht="13">
      <c r="A338" s="5" t="str">
        <f ca="1">IFERROR(__xludf.DUMMYFUNCTION("""COMPUTED_VALUE"""),"20220311OHFAP")</f>
        <v>20220311OHFAP</v>
      </c>
      <c r="B338" s="5">
        <f ca="1">IFERROR(__xludf.DUMMYFUNCTION("""COMPUTED_VALUE"""),3)</f>
        <v>3</v>
      </c>
      <c r="C338" s="5">
        <f ca="1">IFERROR(__xludf.DUMMYFUNCTION("""COMPUTED_VALUE"""),11)</f>
        <v>11</v>
      </c>
      <c r="D338" s="5">
        <f ca="1">IFERROR(__xludf.DUMMYFUNCTION("""COMPUTED_VALUE"""),2022)</f>
        <v>2022</v>
      </c>
      <c r="E338" s="8">
        <f ca="1">IFERROR(__xludf.DUMMYFUNCTION("""COMPUTED_VALUE"""),44631)</f>
        <v>44631</v>
      </c>
      <c r="F338" s="5" t="str">
        <f ca="1">IFERROR(__xludf.DUMMYFUNCTION("""COMPUTED_VALUE"""),"Fairland Middle School")</f>
        <v>Fairland Middle School</v>
      </c>
      <c r="G338" s="5">
        <f ca="1">IFERROR(__xludf.DUMMYFUNCTION("""COMPUTED_VALUE"""),0)</f>
        <v>0</v>
      </c>
      <c r="H338" s="5">
        <f ca="1">IFERROR(__xludf.DUMMYFUNCTION("""COMPUTED_VALUE"""),0)</f>
        <v>0</v>
      </c>
      <c r="I338" s="5">
        <f ca="1">IFERROR(__xludf.DUMMYFUNCTION("""COMPUTED_VALUE"""),0)</f>
        <v>0</v>
      </c>
      <c r="J338" s="5">
        <f ca="1">IFERROR(__xludf.DUMMYFUNCTION("""COMPUTED_VALUE"""),0)</f>
        <v>0</v>
      </c>
      <c r="K338" s="9" t="str">
        <f ca="1">IFERROR(__xludf.DUMMYFUNCTION("""COMPUTED_VALUE"""),"https://www.wsaz.com/2022/03/11/school-lockdown-lifted-following-robbery-shots-fired-lawrence-county-fairgrounds/")</f>
        <v>https://www.wsaz.com/2022/03/11/school-lockdown-lifted-following-robbery-shots-fired-lawrence-county-fairgrounds/</v>
      </c>
      <c r="L338" s="5">
        <f ca="1">IFERROR(__xludf.DUMMYFUNCTION("""COMPUTED_VALUE"""),4)</f>
        <v>4</v>
      </c>
      <c r="M338" s="5" t="str">
        <f ca="1">IFERROR(__xludf.DUMMYFUNCTION("""COMPUTED_VALUE"""),"Local")</f>
        <v>Local</v>
      </c>
      <c r="N338" s="5">
        <f ca="1">IFERROR(__xludf.DUMMYFUNCTION("""COMPUTED_VALUE"""),4)</f>
        <v>4</v>
      </c>
      <c r="O338" s="5" t="str">
        <f ca="1">IFERROR(__xludf.DUMMYFUNCTION("""COMPUTED_VALUE"""),"Spring")</f>
        <v>Spring</v>
      </c>
      <c r="P338" s="5" t="str">
        <f ca="1">IFERROR(__xludf.DUMMYFUNCTION("""COMPUTED_VALUE"""),"Proctorville")</f>
        <v>Proctorville</v>
      </c>
      <c r="Q338" s="5" t="str">
        <f ca="1">IFERROR(__xludf.DUMMYFUNCTION("""COMPUTED_VALUE"""),"OH")</f>
        <v>OH</v>
      </c>
      <c r="R338" s="5" t="str">
        <f ca="1">IFERROR(__xludf.DUMMYFUNCTION("""COMPUTED_VALUE"""),"Middle")</f>
        <v>Middle</v>
      </c>
      <c r="S338" s="5" t="str">
        <f ca="1">IFERROR(__xludf.DUMMYFUNCTION("""COMPUTED_VALUE"""),"Outside on School Property")</f>
        <v>Outside on School Property</v>
      </c>
      <c r="T338" s="5" t="str">
        <f ca="1">IFERROR(__xludf.DUMMYFUNCTION("""COMPUTED_VALUE"""),"Off School Property")</f>
        <v>Off School Property</v>
      </c>
      <c r="U338" s="5" t="str">
        <f ca="1">IFERROR(__xludf.DUMMYFUNCTION("""COMPUTED_VALUE"""),"Yes")</f>
        <v>Yes</v>
      </c>
      <c r="V338" s="5" t="str">
        <f ca="1">IFERROR(__xludf.DUMMYFUNCTION("""COMPUTED_VALUE"""),"Lunch")</f>
        <v>Lunch</v>
      </c>
      <c r="W338" s="10">
        <f ca="1">IFERROR(__xludf.DUMMYFUNCTION("""COMPUTED_VALUE"""),0.5)</f>
        <v>0.5</v>
      </c>
      <c r="X338" s="5">
        <f ca="1">IFERROR(__xludf.DUMMYFUNCTION("""COMPUTED_VALUE"""),1)</f>
        <v>1</v>
      </c>
      <c r="Y338" s="5" t="str">
        <f ca="1">IFERROR(__xludf.DUMMYFUNCTION("""COMPUTED_VALUE"""),"Fair employee fired three shots at fleeing robber climbing fence to school property")</f>
        <v>Fair employee fired three shots at fleeing robber climbing fence to school property</v>
      </c>
      <c r="Z338" s="5" t="str">
        <f ca="1">IFERROR(__xludf.DUMMYFUNCTION("""COMPUTED_VALUE"""),"A man attempted to rob a trailer at the state fairground next to the school. A fair employee chased him and when he tried to climb the fence between the fairground and neighboring school, the employee fired 3 shots at him. School went into lockdown. Fair "&amp;"employee charged with firing a weapon in a school zone.")</f>
        <v>A man attempted to rob a trailer at the state fairground next to the school. A fair employee chased him and when he tried to climb the fence between the fairground and neighboring school, the employee fired 3 shots at him. School went into lockdown. Fair employee charged with firing a weapon in a school zone.</v>
      </c>
      <c r="AA338" s="5" t="str">
        <f ca="1">IFERROR(__xludf.DUMMYFUNCTION("""COMPUTED_VALUE"""),"Illegal Activity")</f>
        <v>Illegal Activity</v>
      </c>
      <c r="AB338" s="5" t="str">
        <f ca="1">IFERROR(__xludf.DUMMYFUNCTION("""COMPUTED_VALUE"""),"Victims Targeted")</f>
        <v>Victims Targeted</v>
      </c>
      <c r="AC338" s="5" t="str">
        <f ca="1">IFERROR(__xludf.DUMMYFUNCTION("""COMPUTED_VALUE"""),"No")</f>
        <v>No</v>
      </c>
      <c r="AD338" s="5" t="str">
        <f ca="1">IFERROR(__xludf.DUMMYFUNCTION("""COMPUTED_VALUE"""),"No")</f>
        <v>No</v>
      </c>
      <c r="AE338" s="5" t="str">
        <f ca="1">IFERROR(__xludf.DUMMYFUNCTION("""COMPUTED_VALUE"""),"No")</f>
        <v>No</v>
      </c>
      <c r="AF338" s="5" t="str">
        <f ca="1">IFERROR(__xludf.DUMMYFUNCTION("""COMPUTED_VALUE"""),"No")</f>
        <v>No</v>
      </c>
      <c r="AG338" s="5" t="str">
        <f ca="1">IFERROR(__xludf.DUMMYFUNCTION("""COMPUTED_VALUE"""),"No")</f>
        <v>No</v>
      </c>
      <c r="AH338" s="5" t="str">
        <f ca="1">IFERROR(__xludf.DUMMYFUNCTION("""COMPUTED_VALUE"""),"No")</f>
        <v>No</v>
      </c>
      <c r="AI338" s="5" t="str">
        <f ca="1">IFERROR(__xludf.DUMMYFUNCTION("""COMPUTED_VALUE"""),"No")</f>
        <v>No</v>
      </c>
      <c r="AJ338" s="5" t="str">
        <f ca="1">IFERROR(__xludf.DUMMYFUNCTION("""COMPUTED_VALUE"""),"No")</f>
        <v>No</v>
      </c>
    </row>
    <row r="339" spans="1:36" ht="13">
      <c r="A339" s="5" t="str">
        <f ca="1">IFERROR(__xludf.DUMMYFUNCTION("""COMPUTED_VALUE"""),"20220311WIJER")</f>
        <v>20220311WIJER</v>
      </c>
      <c r="B339" s="5">
        <f ca="1">IFERROR(__xludf.DUMMYFUNCTION("""COMPUTED_VALUE"""),3)</f>
        <v>3</v>
      </c>
      <c r="C339" s="5">
        <f ca="1">IFERROR(__xludf.DUMMYFUNCTION("""COMPUTED_VALUE"""),11)</f>
        <v>11</v>
      </c>
      <c r="D339" s="5">
        <f ca="1">IFERROR(__xludf.DUMMYFUNCTION("""COMPUTED_VALUE"""),2022)</f>
        <v>2022</v>
      </c>
      <c r="E339" s="8">
        <f ca="1">IFERROR(__xludf.DUMMYFUNCTION("""COMPUTED_VALUE"""),44631)</f>
        <v>44631</v>
      </c>
      <c r="F339" s="5" t="str">
        <f ca="1">IFERROR(__xludf.DUMMYFUNCTION("""COMPUTED_VALUE"""),"Jerstad-Agerholm Elementary School")</f>
        <v>Jerstad-Agerholm Elementary School</v>
      </c>
      <c r="G339" s="5">
        <f ca="1">IFERROR(__xludf.DUMMYFUNCTION("""COMPUTED_VALUE"""),0)</f>
        <v>0</v>
      </c>
      <c r="H339" s="5">
        <f ca="1">IFERROR(__xludf.DUMMYFUNCTION("""COMPUTED_VALUE"""),0)</f>
        <v>0</v>
      </c>
      <c r="I339" s="5">
        <f ca="1">IFERROR(__xludf.DUMMYFUNCTION("""COMPUTED_VALUE"""),0)</f>
        <v>0</v>
      </c>
      <c r="J339" s="5">
        <f ca="1">IFERROR(__xludf.DUMMYFUNCTION("""COMPUTED_VALUE"""),0)</f>
        <v>0</v>
      </c>
      <c r="K339" s="9" t="str">
        <f ca="1">IFERROR(__xludf.DUMMYFUNCTION("""COMPUTED_VALUE"""),"https://www.cbs58.com/news/weapon-fired-inside-jerstad-agerholm-elementary-school-in-racine")</f>
        <v>https://www.cbs58.com/news/weapon-fired-inside-jerstad-agerholm-elementary-school-in-racine</v>
      </c>
      <c r="L339" s="5">
        <f ca="1">IFERROR(__xludf.DUMMYFUNCTION("""COMPUTED_VALUE"""),1)</f>
        <v>1</v>
      </c>
      <c r="M339" s="5" t="str">
        <f ca="1">IFERROR(__xludf.DUMMYFUNCTION("""COMPUTED_VALUE"""),"Local")</f>
        <v>Local</v>
      </c>
      <c r="N339" s="5">
        <f ca="1">IFERROR(__xludf.DUMMYFUNCTION("""COMPUTED_VALUE"""),3)</f>
        <v>3</v>
      </c>
      <c r="O339" s="5" t="str">
        <f ca="1">IFERROR(__xludf.DUMMYFUNCTION("""COMPUTED_VALUE"""),"Spring")</f>
        <v>Spring</v>
      </c>
      <c r="P339" s="5" t="str">
        <f ca="1">IFERROR(__xludf.DUMMYFUNCTION("""COMPUTED_VALUE"""),"Racine")</f>
        <v>Racine</v>
      </c>
      <c r="Q339" s="5" t="str">
        <f ca="1">IFERROR(__xludf.DUMMYFUNCTION("""COMPUTED_VALUE"""),"WI")</f>
        <v>WI</v>
      </c>
      <c r="R339" s="5" t="str">
        <f ca="1">IFERROR(__xludf.DUMMYFUNCTION("""COMPUTED_VALUE"""),"Elementary")</f>
        <v>Elementary</v>
      </c>
      <c r="S339" s="5" t="str">
        <f ca="1">IFERROR(__xludf.DUMMYFUNCTION("""COMPUTED_VALUE"""),"Bathroom")</f>
        <v>Bathroom</v>
      </c>
      <c r="T339" s="5" t="str">
        <f ca="1">IFERROR(__xludf.DUMMYFUNCTION("""COMPUTED_VALUE"""),"Inside School Building")</f>
        <v>Inside School Building</v>
      </c>
      <c r="U339" s="5" t="str">
        <f ca="1">IFERROR(__xludf.DUMMYFUNCTION("""COMPUTED_VALUE"""),"Yes")</f>
        <v>Yes</v>
      </c>
      <c r="V339" s="5"/>
      <c r="W339" s="5"/>
      <c r="X339" s="5">
        <f ca="1">IFERROR(__xludf.DUMMYFUNCTION("""COMPUTED_VALUE"""),1)</f>
        <v>1</v>
      </c>
      <c r="Y339" s="5" t="str">
        <f ca="1">IFERROR(__xludf.DUMMYFUNCTION("""COMPUTED_VALUE"""),"Student fired shot inside school bathroom")</f>
        <v>Student fired shot inside school bathroom</v>
      </c>
      <c r="Z339" s="5" t="str">
        <f ca="1">IFERROR(__xludf.DUMMYFUNCTION("""COMPUTED_VALUE"""),"An elementary school student (age not released) fired a shot into the floor inside the school bathroom. Two students were arrested.")</f>
        <v>An elementary school student (age not released) fired a shot into the floor inside the school bathroom. Two students were arrested.</v>
      </c>
      <c r="AA339" s="5" t="str">
        <f ca="1">IFERROR(__xludf.DUMMYFUNCTION("""COMPUTED_VALUE"""),"Accidental")</f>
        <v>Accidental</v>
      </c>
      <c r="AB339" s="5" t="str">
        <f ca="1">IFERROR(__xludf.DUMMYFUNCTION("""COMPUTED_VALUE"""),"Neither")</f>
        <v>Neither</v>
      </c>
      <c r="AC339" s="5" t="str">
        <f ca="1">IFERROR(__xludf.DUMMYFUNCTION("""COMPUTED_VALUE"""),"Yes")</f>
        <v>Yes</v>
      </c>
      <c r="AD339" s="5" t="str">
        <f ca="1">IFERROR(__xludf.DUMMYFUNCTION("""COMPUTED_VALUE"""),"No")</f>
        <v>No</v>
      </c>
      <c r="AE339" s="5" t="str">
        <f ca="1">IFERROR(__xludf.DUMMYFUNCTION("""COMPUTED_VALUE"""),"No")</f>
        <v>No</v>
      </c>
      <c r="AF339" s="5" t="str">
        <f ca="1">IFERROR(__xludf.DUMMYFUNCTION("""COMPUTED_VALUE"""),"No")</f>
        <v>No</v>
      </c>
      <c r="AG339" s="5" t="str">
        <f ca="1">IFERROR(__xludf.DUMMYFUNCTION("""COMPUTED_VALUE"""),"No")</f>
        <v>No</v>
      </c>
      <c r="AH339" s="5" t="str">
        <f ca="1">IFERROR(__xludf.DUMMYFUNCTION("""COMPUTED_VALUE"""),"No")</f>
        <v>No</v>
      </c>
      <c r="AI339" s="5" t="str">
        <f ca="1">IFERROR(__xludf.DUMMYFUNCTION("""COMPUTED_VALUE"""),"No")</f>
        <v>No</v>
      </c>
      <c r="AJ339" s="5" t="str">
        <f ca="1">IFERROR(__xludf.DUMMYFUNCTION("""COMPUTED_VALUE"""),"No")</f>
        <v>No</v>
      </c>
    </row>
    <row r="340" spans="1:36" ht="13">
      <c r="A340" s="5" t="str">
        <f ca="1">IFERROR(__xludf.DUMMYFUNCTION("""COMPUTED_VALUE"""),"20220310MDCOL")</f>
        <v>20220310MDCOL</v>
      </c>
      <c r="B340" s="5">
        <f ca="1">IFERROR(__xludf.DUMMYFUNCTION("""COMPUTED_VALUE"""),3)</f>
        <v>3</v>
      </c>
      <c r="C340" s="5">
        <f ca="1">IFERROR(__xludf.DUMMYFUNCTION("""COMPUTED_VALUE"""),10)</f>
        <v>10</v>
      </c>
      <c r="D340" s="5">
        <f ca="1">IFERROR(__xludf.DUMMYFUNCTION("""COMPUTED_VALUE"""),2022)</f>
        <v>2022</v>
      </c>
      <c r="E340" s="8">
        <f ca="1">IFERROR(__xludf.DUMMYFUNCTION("""COMPUTED_VALUE"""),44630)</f>
        <v>44630</v>
      </c>
      <c r="F340" s="5" t="str">
        <f ca="1">IFERROR(__xludf.DUMMYFUNCTION("""COMPUTED_VALUE"""),"Cora L. Rice Elementary School")</f>
        <v>Cora L. Rice Elementary School</v>
      </c>
      <c r="G340" s="5">
        <f ca="1">IFERROR(__xludf.DUMMYFUNCTION("""COMPUTED_VALUE"""),1)</f>
        <v>1</v>
      </c>
      <c r="H340" s="5">
        <f ca="1">IFERROR(__xludf.DUMMYFUNCTION("""COMPUTED_VALUE"""),0)</f>
        <v>0</v>
      </c>
      <c r="I340" s="5">
        <f ca="1">IFERROR(__xludf.DUMMYFUNCTION("""COMPUTED_VALUE"""),1)</f>
        <v>1</v>
      </c>
      <c r="J340" s="5">
        <f ca="1">IFERROR(__xludf.DUMMYFUNCTION("""COMPUTED_VALUE"""),0)</f>
        <v>0</v>
      </c>
      <c r="K340" s="5" t="str">
        <f ca="1">IFERROR(__xludf.DUMMYFUNCTION("""COMPUTED_VALUE"""),"https://www.msn.com/en-us/news/crime/police-landover-man-shot-and-killed-near-2-schools/ar-AAURf9G https://www.wusa9.com/article/news/local/maryland/man-killed-in-landover-shooting/65-14761c21-3931-4aca-b867-6dff6b6a163c")</f>
        <v>https://www.msn.com/en-us/news/crime/police-landover-man-shot-and-killed-near-2-schools/ar-AAURf9G https://www.wusa9.com/article/news/local/maryland/man-killed-in-landover-shooting/65-14761c21-3931-4aca-b867-6dff6b6a163c</v>
      </c>
      <c r="L340" s="5">
        <f ca="1">IFERROR(__xludf.DUMMYFUNCTION("""COMPUTED_VALUE"""),2)</f>
        <v>2</v>
      </c>
      <c r="M340" s="5" t="str">
        <f ca="1">IFERROR(__xludf.DUMMYFUNCTION("""COMPUTED_VALUE"""),"Local")</f>
        <v>Local</v>
      </c>
      <c r="N340" s="5">
        <f ca="1">IFERROR(__xludf.DUMMYFUNCTION("""COMPUTED_VALUE"""),3)</f>
        <v>3</v>
      </c>
      <c r="O340" s="5" t="str">
        <f ca="1">IFERROR(__xludf.DUMMYFUNCTION("""COMPUTED_VALUE"""),"Spring")</f>
        <v>Spring</v>
      </c>
      <c r="P340" s="5" t="str">
        <f ca="1">IFERROR(__xludf.DUMMYFUNCTION("""COMPUTED_VALUE"""),"Landover")</f>
        <v>Landover</v>
      </c>
      <c r="Q340" s="5" t="str">
        <f ca="1">IFERROR(__xludf.DUMMYFUNCTION("""COMPUTED_VALUE"""),"MD")</f>
        <v>MD</v>
      </c>
      <c r="R340" s="5" t="str">
        <f ca="1">IFERROR(__xludf.DUMMYFUNCTION("""COMPUTED_VALUE"""),"Elementary")</f>
        <v>Elementary</v>
      </c>
      <c r="S340" s="5" t="str">
        <f ca="1">IFERROR(__xludf.DUMMYFUNCTION("""COMPUTED_VALUE"""),"Front of School")</f>
        <v>Front of School</v>
      </c>
      <c r="T340" s="5" t="str">
        <f ca="1">IFERROR(__xludf.DUMMYFUNCTION("""COMPUTED_VALUE"""),"Outside on School Property")</f>
        <v>Outside on School Property</v>
      </c>
      <c r="U340" s="5" t="str">
        <f ca="1">IFERROR(__xludf.DUMMYFUNCTION("""COMPUTED_VALUE"""),"Yes")</f>
        <v>Yes</v>
      </c>
      <c r="V340" s="5" t="str">
        <f ca="1">IFERROR(__xludf.DUMMYFUNCTION("""COMPUTED_VALUE"""),"Dismissal")</f>
        <v>Dismissal</v>
      </c>
      <c r="W340" s="10">
        <f ca="1">IFERROR(__xludf.DUMMYFUNCTION("""COMPUTED_VALUE"""),0.09375)</f>
        <v>9.375E-2</v>
      </c>
      <c r="X340" s="5">
        <f ca="1">IFERROR(__xludf.DUMMYFUNCTION("""COMPUTED_VALUE"""),1)</f>
        <v>1</v>
      </c>
      <c r="Y340" s="5" t="str">
        <f ca="1">IFERROR(__xludf.DUMMYFUNCTION("""COMPUTED_VALUE"""),"Adult man killed and school bus struck by bullet at dismissal")</f>
        <v>Adult man killed and school bus struck by bullet at dismissal</v>
      </c>
      <c r="Z340" s="5" t="str">
        <f ca="1">IFERROR(__xludf.DUMMYFUNCTION("""COMPUTED_VALUE"""),"An adult male was fatally shot and a parked school bus and other cars in front of the school were damaged by bullets. Shooting occurred at dismissal while children were outside and walking home. Shooter fled.")</f>
        <v>An adult male was fatally shot and a parked school bus and other cars in front of the school were damaged by bullets. Shooting occurred at dismissal while children were outside and walking home. Shooter fled.</v>
      </c>
      <c r="AA340" s="5"/>
      <c r="AB340" s="5" t="str">
        <f ca="1">IFERROR(__xludf.DUMMYFUNCTION("""COMPUTED_VALUE"""),"Victims Targeted")</f>
        <v>Victims Targeted</v>
      </c>
      <c r="AC340" s="5" t="str">
        <f ca="1">IFERROR(__xludf.DUMMYFUNCTION("""COMPUTED_VALUE"""),"No")</f>
        <v>No</v>
      </c>
      <c r="AD340" s="5" t="str">
        <f ca="1">IFERROR(__xludf.DUMMYFUNCTION("""COMPUTED_VALUE"""),"No")</f>
        <v>No</v>
      </c>
      <c r="AE340" s="5" t="str">
        <f ca="1">IFERROR(__xludf.DUMMYFUNCTION("""COMPUTED_VALUE"""),"No")</f>
        <v>No</v>
      </c>
      <c r="AF340" s="5" t="str">
        <f ca="1">IFERROR(__xludf.DUMMYFUNCTION("""COMPUTED_VALUE"""),"No")</f>
        <v>No</v>
      </c>
      <c r="AG340" s="5" t="str">
        <f ca="1">IFERROR(__xludf.DUMMYFUNCTION("""COMPUTED_VALUE"""),"No")</f>
        <v>No</v>
      </c>
      <c r="AH340" s="5" t="str">
        <f ca="1">IFERROR(__xludf.DUMMYFUNCTION("""COMPUTED_VALUE"""),"No")</f>
        <v>No</v>
      </c>
      <c r="AI340" s="5"/>
      <c r="AJ340" s="5" t="str">
        <f ca="1">IFERROR(__xludf.DUMMYFUNCTION("""COMPUTED_VALUE"""),"No")</f>
        <v>No</v>
      </c>
    </row>
    <row r="341" spans="1:36" ht="13">
      <c r="A341" s="5" t="str">
        <f ca="1">IFERROR(__xludf.DUMMYFUNCTION("""COMPUTED_VALUE"""),"20220310COROH")</f>
        <v>20220310COROH</v>
      </c>
      <c r="B341" s="5">
        <f ca="1">IFERROR(__xludf.DUMMYFUNCTION("""COMPUTED_VALUE"""),3)</f>
        <v>3</v>
      </c>
      <c r="C341" s="5">
        <f ca="1">IFERROR(__xludf.DUMMYFUNCTION("""COMPUTED_VALUE"""),10)</f>
        <v>10</v>
      </c>
      <c r="D341" s="5">
        <f ca="1">IFERROR(__xludf.DUMMYFUNCTION("""COMPUTED_VALUE"""),2022)</f>
        <v>2022</v>
      </c>
      <c r="E341" s="8">
        <f ca="1">IFERROR(__xludf.DUMMYFUNCTION("""COMPUTED_VALUE"""),44630)</f>
        <v>44630</v>
      </c>
      <c r="F341" s="5" t="str">
        <f ca="1">IFERROR(__xludf.DUMMYFUNCTION("""COMPUTED_VALUE"""),"Rock Canyon High School")</f>
        <v>Rock Canyon High School</v>
      </c>
      <c r="G341" s="5">
        <f ca="1">IFERROR(__xludf.DUMMYFUNCTION("""COMPUTED_VALUE"""),0)</f>
        <v>0</v>
      </c>
      <c r="H341" s="5">
        <f ca="1">IFERROR(__xludf.DUMMYFUNCTION("""COMPUTED_VALUE"""),0)</f>
        <v>0</v>
      </c>
      <c r="I341" s="5">
        <f ca="1">IFERROR(__xludf.DUMMYFUNCTION("""COMPUTED_VALUE"""),0)</f>
        <v>0</v>
      </c>
      <c r="J341" s="5">
        <f ca="1">IFERROR(__xludf.DUMMYFUNCTION("""COMPUTED_VALUE"""),0)</f>
        <v>0</v>
      </c>
      <c r="K341" s="9" t="str">
        <f ca="1">IFERROR(__xludf.DUMMYFUNCTION("""COMPUTED_VALUE"""),"https://kdvr.com/news/local/student-brings-pellet-type-gun-to-rock-canyon-hs/")</f>
        <v>https://kdvr.com/news/local/student-brings-pellet-type-gun-to-rock-canyon-hs/</v>
      </c>
      <c r="L341" s="5">
        <f ca="1">IFERROR(__xludf.DUMMYFUNCTION("""COMPUTED_VALUE"""),2)</f>
        <v>2</v>
      </c>
      <c r="M341" s="5" t="str">
        <f ca="1">IFERROR(__xludf.DUMMYFUNCTION("""COMPUTED_VALUE"""),"Local")</f>
        <v>Local</v>
      </c>
      <c r="N341" s="5">
        <f ca="1">IFERROR(__xludf.DUMMYFUNCTION("""COMPUTED_VALUE"""),4)</f>
        <v>4</v>
      </c>
      <c r="O341" s="5" t="str">
        <f ca="1">IFERROR(__xludf.DUMMYFUNCTION("""COMPUTED_VALUE"""),"Spring")</f>
        <v>Spring</v>
      </c>
      <c r="P341" s="5" t="str">
        <f ca="1">IFERROR(__xludf.DUMMYFUNCTION("""COMPUTED_VALUE"""),"Highlands Ranch")</f>
        <v>Highlands Ranch</v>
      </c>
      <c r="Q341" s="5" t="str">
        <f ca="1">IFERROR(__xludf.DUMMYFUNCTION("""COMPUTED_VALUE"""),"CO")</f>
        <v>CO</v>
      </c>
      <c r="R341" s="5" t="str">
        <f ca="1">IFERROR(__xludf.DUMMYFUNCTION("""COMPUTED_VALUE"""),"High")</f>
        <v>High</v>
      </c>
      <c r="S341" s="5" t="str">
        <f ca="1">IFERROR(__xludf.DUMMYFUNCTION("""COMPUTED_VALUE"""),"Parking Lot")</f>
        <v>Parking Lot</v>
      </c>
      <c r="T341" s="5" t="str">
        <f ca="1">IFERROR(__xludf.DUMMYFUNCTION("""COMPUTED_VALUE"""),"Outside on School Property")</f>
        <v>Outside on School Property</v>
      </c>
      <c r="U341" s="5" t="str">
        <f ca="1">IFERROR(__xludf.DUMMYFUNCTION("""COMPUTED_VALUE"""),"Yes")</f>
        <v>Yes</v>
      </c>
      <c r="V341" s="5" t="str">
        <f ca="1">IFERROR(__xludf.DUMMYFUNCTION("""COMPUTED_VALUE"""),"Morning Classes")</f>
        <v>Morning Classes</v>
      </c>
      <c r="W341" s="10">
        <f ca="1">IFERROR(__xludf.DUMMYFUNCTION("""COMPUTED_VALUE"""),0.390277777777777)</f>
        <v>0.390277777777777</v>
      </c>
      <c r="X341" s="5">
        <f ca="1">IFERROR(__xludf.DUMMYFUNCTION("""COMPUTED_VALUE"""),1)</f>
        <v>1</v>
      </c>
      <c r="Y341" s="5" t="str">
        <f ca="1">IFERROR(__xludf.DUMMYFUNCTION("""COMPUTED_VALUE"""),"Student fired toy rifle in the parking lot causing lockdown")</f>
        <v>Student fired toy rifle in the parking lot causing lockdown</v>
      </c>
      <c r="Z341" s="5" t="str">
        <f ca="1">IFERROR(__xludf.DUMMYFUNCTION("""COMPUTED_VALUE"""),"Police were called for a person shooting a rifle in the parking lot of the school. A 17-year-old student was firing a water pellet rifle at the school. Student was detained and school went on lockdown for 1 hour.")</f>
        <v>Police were called for a person shooting a rifle in the parking lot of the school. A 17-year-old student was firing a water pellet rifle at the school. Student was detained and school went on lockdown for 1 hour.</v>
      </c>
      <c r="AA341" s="5"/>
      <c r="AB341" s="5" t="str">
        <f ca="1">IFERROR(__xludf.DUMMYFUNCTION("""COMPUTED_VALUE"""),"Neither")</f>
        <v>Neither</v>
      </c>
      <c r="AC341" s="5" t="str">
        <f ca="1">IFERROR(__xludf.DUMMYFUNCTION("""COMPUTED_VALUE"""),"No")</f>
        <v>No</v>
      </c>
      <c r="AD341" s="5" t="str">
        <f ca="1">IFERROR(__xludf.DUMMYFUNCTION("""COMPUTED_VALUE"""),"No")</f>
        <v>No</v>
      </c>
      <c r="AE341" s="5" t="str">
        <f ca="1">IFERROR(__xludf.DUMMYFUNCTION("""COMPUTED_VALUE"""),"No")</f>
        <v>No</v>
      </c>
      <c r="AF341" s="5" t="str">
        <f ca="1">IFERROR(__xludf.DUMMYFUNCTION("""COMPUTED_VALUE"""),"No")</f>
        <v>No</v>
      </c>
      <c r="AG341" s="5" t="str">
        <f ca="1">IFERROR(__xludf.DUMMYFUNCTION("""COMPUTED_VALUE"""),"No")</f>
        <v>No</v>
      </c>
      <c r="AH341" s="5" t="str">
        <f ca="1">IFERROR(__xludf.DUMMYFUNCTION("""COMPUTED_VALUE"""),"No")</f>
        <v>No</v>
      </c>
      <c r="AI341" s="5" t="str">
        <f ca="1">IFERROR(__xludf.DUMMYFUNCTION("""COMPUTED_VALUE"""),"No")</f>
        <v>No</v>
      </c>
      <c r="AJ341" s="5" t="str">
        <f ca="1">IFERROR(__xludf.DUMMYFUNCTION("""COMPUTED_VALUE"""),"No")</f>
        <v>No</v>
      </c>
    </row>
    <row r="342" spans="1:36" ht="13">
      <c r="A342" s="5" t="str">
        <f ca="1">IFERROR(__xludf.DUMMYFUNCTION("""COMPUTED_VALUE"""),"20220310TNHAM")</f>
        <v>20220310TNHAM</v>
      </c>
      <c r="B342" s="5">
        <f ca="1">IFERROR(__xludf.DUMMYFUNCTION("""COMPUTED_VALUE"""),3)</f>
        <v>3</v>
      </c>
      <c r="C342" s="5">
        <f ca="1">IFERROR(__xludf.DUMMYFUNCTION("""COMPUTED_VALUE"""),10)</f>
        <v>10</v>
      </c>
      <c r="D342" s="5">
        <f ca="1">IFERROR(__xludf.DUMMYFUNCTION("""COMPUTED_VALUE"""),2022)</f>
        <v>2022</v>
      </c>
      <c r="E342" s="8">
        <f ca="1">IFERROR(__xludf.DUMMYFUNCTION("""COMPUTED_VALUE"""),44630)</f>
        <v>44630</v>
      </c>
      <c r="F342" s="5" t="str">
        <f ca="1">IFERROR(__xludf.DUMMYFUNCTION("""COMPUTED_VALUE"""),"Hamilton Middle School")</f>
        <v>Hamilton Middle School</v>
      </c>
      <c r="G342" s="5">
        <f ca="1">IFERROR(__xludf.DUMMYFUNCTION("""COMPUTED_VALUE"""),0)</f>
        <v>0</v>
      </c>
      <c r="H342" s="5">
        <f ca="1">IFERROR(__xludf.DUMMYFUNCTION("""COMPUTED_VALUE"""),0)</f>
        <v>0</v>
      </c>
      <c r="I342" s="5">
        <f ca="1">IFERROR(__xludf.DUMMYFUNCTION("""COMPUTED_VALUE"""),0)</f>
        <v>0</v>
      </c>
      <c r="J342" s="5">
        <f ca="1">IFERROR(__xludf.DUMMYFUNCTION("""COMPUTED_VALUE"""),0)</f>
        <v>0</v>
      </c>
      <c r="K342" s="9" t="str">
        <f ca="1">IFERROR(__xludf.DUMMYFUNCTION("""COMPUTED_VALUE"""),"https://www.actionnews5.com/2022/03/11/memphis-mother-accused-pointing-gun-5-children-outside-school/")</f>
        <v>https://www.actionnews5.com/2022/03/11/memphis-mother-accused-pointing-gun-5-children-outside-school/</v>
      </c>
      <c r="L342" s="5">
        <f ca="1">IFERROR(__xludf.DUMMYFUNCTION("""COMPUTED_VALUE"""),1)</f>
        <v>1</v>
      </c>
      <c r="M342" s="5" t="str">
        <f ca="1">IFERROR(__xludf.DUMMYFUNCTION("""COMPUTED_VALUE"""),"Local")</f>
        <v>Local</v>
      </c>
      <c r="N342" s="5">
        <f ca="1">IFERROR(__xludf.DUMMYFUNCTION("""COMPUTED_VALUE"""),3)</f>
        <v>3</v>
      </c>
      <c r="O342" s="5" t="str">
        <f ca="1">IFERROR(__xludf.DUMMYFUNCTION("""COMPUTED_VALUE"""),"Spring")</f>
        <v>Spring</v>
      </c>
      <c r="P342" s="5" t="str">
        <f ca="1">IFERROR(__xludf.DUMMYFUNCTION("""COMPUTED_VALUE"""),"Memphis")</f>
        <v>Memphis</v>
      </c>
      <c r="Q342" s="5" t="str">
        <f ca="1">IFERROR(__xludf.DUMMYFUNCTION("""COMPUTED_VALUE"""),"TN")</f>
        <v>TN</v>
      </c>
      <c r="R342" s="5" t="str">
        <f ca="1">IFERROR(__xludf.DUMMYFUNCTION("""COMPUTED_VALUE"""),"K-8")</f>
        <v>K-8</v>
      </c>
      <c r="S342" s="5" t="str">
        <f ca="1">IFERROR(__xludf.DUMMYFUNCTION("""COMPUTED_VALUE"""),"Front of School")</f>
        <v>Front of School</v>
      </c>
      <c r="T342" s="5" t="str">
        <f ca="1">IFERROR(__xludf.DUMMYFUNCTION("""COMPUTED_VALUE"""),"Outside on School Property")</f>
        <v>Outside on School Property</v>
      </c>
      <c r="U342" s="5" t="str">
        <f ca="1">IFERROR(__xludf.DUMMYFUNCTION("""COMPUTED_VALUE"""),"Yes")</f>
        <v>Yes</v>
      </c>
      <c r="V342" s="5" t="str">
        <f ca="1">IFERROR(__xludf.DUMMYFUNCTION("""COMPUTED_VALUE"""),"School Start")</f>
        <v>School Start</v>
      </c>
      <c r="W342" s="10">
        <f ca="1">IFERROR(__xludf.DUMMYFUNCTION("""COMPUTED_VALUE"""),0.333333333333333)</f>
        <v>0.33333333333333298</v>
      </c>
      <c r="X342" s="5">
        <f ca="1">IFERROR(__xludf.DUMMYFUNCTION("""COMPUTED_VALUE"""),1)</f>
        <v>1</v>
      </c>
      <c r="Y342" s="5" t="str">
        <f ca="1">IFERROR(__xludf.DUMMYFUNCTION("""COMPUTED_VALUE"""),"Mother threatened 5 students with gun during argument")</f>
        <v>Mother threatened 5 students with gun during argument</v>
      </c>
      <c r="Z342" s="5" t="str">
        <f ca="1">IFERROR(__xludf.DUMMYFUNCTION("""COMPUTED_VALUE"""),"A parent pointed a handgun at and threatened 5 students during an argument in front of the school. Arrested and charged with 5 counts of aggravated assault. Admitted pointing handgun at students to police.")</f>
        <v>A parent pointed a handgun at and threatened 5 students during an argument in front of the school. Arrested and charged with 5 counts of aggravated assault. Admitted pointing handgun at students to police.</v>
      </c>
      <c r="AA342" s="5" t="str">
        <f ca="1">IFERROR(__xludf.DUMMYFUNCTION("""COMPUTED_VALUE"""),"Escalation of Dispute")</f>
        <v>Escalation of Dispute</v>
      </c>
      <c r="AB342" s="5" t="str">
        <f ca="1">IFERROR(__xludf.DUMMYFUNCTION("""COMPUTED_VALUE"""),"Victims Targeted")</f>
        <v>Victims Targeted</v>
      </c>
      <c r="AC342" s="5" t="str">
        <f ca="1">IFERROR(__xludf.DUMMYFUNCTION("""COMPUTED_VALUE"""),"No")</f>
        <v>No</v>
      </c>
      <c r="AD342" s="5" t="str">
        <f ca="1">IFERROR(__xludf.DUMMYFUNCTION("""COMPUTED_VALUE"""),"No")</f>
        <v>No</v>
      </c>
      <c r="AE342" s="5" t="str">
        <f ca="1">IFERROR(__xludf.DUMMYFUNCTION("""COMPUTED_VALUE"""),"No")</f>
        <v>No</v>
      </c>
      <c r="AF342" s="5" t="str">
        <f ca="1">IFERROR(__xludf.DUMMYFUNCTION("""COMPUTED_VALUE"""),"No")</f>
        <v>No</v>
      </c>
      <c r="AG342" s="5" t="str">
        <f ca="1">IFERROR(__xludf.DUMMYFUNCTION("""COMPUTED_VALUE"""),"No")</f>
        <v>No</v>
      </c>
      <c r="AH342" s="5" t="str">
        <f ca="1">IFERROR(__xludf.DUMMYFUNCTION("""COMPUTED_VALUE"""),"NO")</f>
        <v>NO</v>
      </c>
      <c r="AI342" s="5" t="str">
        <f ca="1">IFERROR(__xludf.DUMMYFUNCTION("""COMPUTED_VALUE"""),"No")</f>
        <v>No</v>
      </c>
      <c r="AJ342" s="5" t="str">
        <f ca="1">IFERROR(__xludf.DUMMYFUNCTION("""COMPUTED_VALUE"""),"No")</f>
        <v>No</v>
      </c>
    </row>
    <row r="343" spans="1:36" ht="13">
      <c r="A343" s="5" t="str">
        <f ca="1">IFERROR(__xludf.DUMMYFUNCTION("""COMPUTED_VALUE"""),"20220309FLNOM")</f>
        <v>20220309FLNOM</v>
      </c>
      <c r="B343" s="5">
        <f ca="1">IFERROR(__xludf.DUMMYFUNCTION("""COMPUTED_VALUE"""),3)</f>
        <v>3</v>
      </c>
      <c r="C343" s="5">
        <f ca="1">IFERROR(__xludf.DUMMYFUNCTION("""COMPUTED_VALUE"""),9)</f>
        <v>9</v>
      </c>
      <c r="D343" s="5">
        <f ca="1">IFERROR(__xludf.DUMMYFUNCTION("""COMPUTED_VALUE"""),2022)</f>
        <v>2022</v>
      </c>
      <c r="E343" s="8">
        <f ca="1">IFERROR(__xludf.DUMMYFUNCTION("""COMPUTED_VALUE"""),44629)</f>
        <v>44629</v>
      </c>
      <c r="F343" s="5" t="str">
        <f ca="1">IFERROR(__xludf.DUMMYFUNCTION("""COMPUTED_VALUE"""),"North Gardens High School")</f>
        <v>North Gardens High School</v>
      </c>
      <c r="G343" s="5">
        <f ca="1">IFERROR(__xludf.DUMMYFUNCTION("""COMPUTED_VALUE"""),0)</f>
        <v>0</v>
      </c>
      <c r="H343" s="5">
        <f ca="1">IFERROR(__xludf.DUMMYFUNCTION("""COMPUTED_VALUE"""),3)</f>
        <v>3</v>
      </c>
      <c r="I343" s="5">
        <f ca="1">IFERROR(__xludf.DUMMYFUNCTION("""COMPUTED_VALUE"""),3)</f>
        <v>3</v>
      </c>
      <c r="J343" s="5">
        <f ca="1">IFERROR(__xludf.DUMMYFUNCTION("""COMPUTED_VALUE"""),0)</f>
        <v>0</v>
      </c>
      <c r="K343" s="5" t="str">
        <f ca="1">IFERROR(__xludf.DUMMYFUNCTION("""COMPUTED_VALUE"""),"https://www.nbcmiami.com/news/local/2-were-in-high-school-classroom-when-wounded-in-miami-gardens-shooting/2710581/ https://www.nbcmiami.com/news/local/2-were-in-high-school-classroom-when-wounded-in-miami-gardens-shooting/2710581/ https://wsvn.com/news/l"&amp;"ocal/2-airlifted-after-being-shot-near-north-gardens-high-school-1-person-detained-in-miami-gardens/ https://miami.cbslocal.com/2022/03/09/north-gardens-high-school-student-shot-in-miami-gardens/ https://www.nbcmiami.com/news/local/authorities-respond-to-"&amp;"incident-near-high-school-in-miami-gardens/2709633/")</f>
        <v>https://www.nbcmiami.com/news/local/2-were-in-high-school-classroom-when-wounded-in-miami-gardens-shooting/2710581/ https://www.nbcmiami.com/news/local/2-were-in-high-school-classroom-when-wounded-in-miami-gardens-shooting/2710581/ https://wsvn.com/news/local/2-airlifted-after-being-shot-near-north-gardens-high-school-1-person-detained-in-miami-gardens/ https://miami.cbslocal.com/2022/03/09/north-gardens-high-school-student-shot-in-miami-gardens/ https://www.nbcmiami.com/news/local/authorities-respond-to-incident-near-high-school-in-miami-gardens/2709633/</v>
      </c>
      <c r="L343" s="5">
        <f ca="1">IFERROR(__xludf.DUMMYFUNCTION("""COMPUTED_VALUE"""),10)</f>
        <v>10</v>
      </c>
      <c r="M343" s="5" t="str">
        <f ca="1">IFERROR(__xludf.DUMMYFUNCTION("""COMPUTED_VALUE"""),"Local")</f>
        <v>Local</v>
      </c>
      <c r="N343" s="5">
        <f ca="1">IFERROR(__xludf.DUMMYFUNCTION("""COMPUTED_VALUE"""),4)</f>
        <v>4</v>
      </c>
      <c r="O343" s="5" t="str">
        <f ca="1">IFERROR(__xludf.DUMMYFUNCTION("""COMPUTED_VALUE"""),"Spring")</f>
        <v>Spring</v>
      </c>
      <c r="P343" s="5" t="str">
        <f ca="1">IFERROR(__xludf.DUMMYFUNCTION("""COMPUTED_VALUE"""),"Miami Gardens")</f>
        <v>Miami Gardens</v>
      </c>
      <c r="Q343" s="5" t="str">
        <f ca="1">IFERROR(__xludf.DUMMYFUNCTION("""COMPUTED_VALUE"""),"FL")</f>
        <v>FL</v>
      </c>
      <c r="R343" s="5" t="str">
        <f ca="1">IFERROR(__xludf.DUMMYFUNCTION("""COMPUTED_VALUE"""),"High")</f>
        <v>High</v>
      </c>
      <c r="S343" s="5" t="str">
        <f ca="1">IFERROR(__xludf.DUMMYFUNCTION("""COMPUTED_VALUE"""),"Front of School")</f>
        <v>Front of School</v>
      </c>
      <c r="T343" s="5" t="str">
        <f ca="1">IFERROR(__xludf.DUMMYFUNCTION("""COMPUTED_VALUE"""),"Both Inside/Outside")</f>
        <v>Both Inside/Outside</v>
      </c>
      <c r="U343" s="5" t="str">
        <f ca="1">IFERROR(__xludf.DUMMYFUNCTION("""COMPUTED_VALUE"""),"Yes")</f>
        <v>Yes</v>
      </c>
      <c r="V343" s="5" t="str">
        <f ca="1">IFERROR(__xludf.DUMMYFUNCTION("""COMPUTED_VALUE"""),"Afternoon Classes")</f>
        <v>Afternoon Classes</v>
      </c>
      <c r="W343" s="10">
        <f ca="1">IFERROR(__xludf.DUMMYFUNCTION("""COMPUTED_VALUE"""),0.5625)</f>
        <v>0.5625</v>
      </c>
      <c r="X343" s="5">
        <f ca="1">IFERROR(__xludf.DUMMYFUNCTION("""COMPUTED_VALUE"""),1)</f>
        <v>1</v>
      </c>
      <c r="Y343" s="5" t="str">
        <f ca="1">IFERROR(__xludf.DUMMYFUNCTION("""COMPUTED_VALUE"""),"Teens fired from car into school building striking 3 students")</f>
        <v>Teens fired from car into school building striking 3 students</v>
      </c>
      <c r="Z343" s="5" t="str">
        <f ca="1">IFERROR(__xludf.DUMMYFUNCTION("""COMPUTED_VALUE"""),"Two teen males (17 and 18) fired shots from a vehicle in front of the school. Bullets broke the doors and went through the walls of classrooms. One student in front was critically injured. Two students inside a classroom were wounded. Shooters fled and fi"&amp;"red at police during chase. Arrested after vehicle became stuck in traffic. An off duty officer was working at the school and witnessed the shooting.")</f>
        <v>Two teen males (17 and 18) fired shots from a vehicle in front of the school. Bullets broke the doors and went through the walls of classrooms. One student in front was critically injured. Two students inside a classroom were wounded. Shooters fled and fired at police during chase. Arrested after vehicle became stuck in traffic. An off duty officer was working at the school and witnessed the shooting.</v>
      </c>
      <c r="AA343" s="5" t="str">
        <f ca="1">IFERROR(__xludf.DUMMYFUNCTION("""COMPUTED_VALUE"""),"Drive-by Shooting")</f>
        <v>Drive-by Shooting</v>
      </c>
      <c r="AB343" s="5" t="str">
        <f ca="1">IFERROR(__xludf.DUMMYFUNCTION("""COMPUTED_VALUE"""),"Both")</f>
        <v>Both</v>
      </c>
      <c r="AC343" s="5" t="str">
        <f ca="1">IFERROR(__xludf.DUMMYFUNCTION("""COMPUTED_VALUE"""),"Yes")</f>
        <v>Yes</v>
      </c>
      <c r="AD343" s="5" t="str">
        <f ca="1">IFERROR(__xludf.DUMMYFUNCTION("""COMPUTED_VALUE"""),"No")</f>
        <v>No</v>
      </c>
      <c r="AE343" s="5" t="str">
        <f ca="1">IFERROR(__xludf.DUMMYFUNCTION("""COMPUTED_VALUE"""),"No")</f>
        <v>No</v>
      </c>
      <c r="AF343" s="5" t="str">
        <f ca="1">IFERROR(__xludf.DUMMYFUNCTION("""COMPUTED_VALUE"""),"No")</f>
        <v>No</v>
      </c>
      <c r="AG343" s="5" t="str">
        <f ca="1">IFERROR(__xludf.DUMMYFUNCTION("""COMPUTED_VALUE"""),"No")</f>
        <v>No</v>
      </c>
      <c r="AH343" s="5" t="str">
        <f ca="1">IFERROR(__xludf.DUMMYFUNCTION("""COMPUTED_VALUE"""),"No")</f>
        <v>No</v>
      </c>
      <c r="AI343" s="5"/>
      <c r="AJ343" s="5" t="str">
        <f ca="1">IFERROR(__xludf.DUMMYFUNCTION("""COMPUTED_VALUE"""),"No")</f>
        <v>No</v>
      </c>
    </row>
    <row r="344" spans="1:36" ht="13">
      <c r="A344" s="5" t="str">
        <f ca="1">IFERROR(__xludf.DUMMYFUNCTION("""COMPUTED_VALUE"""),"20220309TXNOH")</f>
        <v>20220309TXNOH</v>
      </c>
      <c r="B344" s="5">
        <f ca="1">IFERROR(__xludf.DUMMYFUNCTION("""COMPUTED_VALUE"""),3)</f>
        <v>3</v>
      </c>
      <c r="C344" s="5">
        <f ca="1">IFERROR(__xludf.DUMMYFUNCTION("""COMPUTED_VALUE"""),9)</f>
        <v>9</v>
      </c>
      <c r="D344" s="5">
        <f ca="1">IFERROR(__xludf.DUMMYFUNCTION("""COMPUTED_VALUE"""),2022)</f>
        <v>2022</v>
      </c>
      <c r="E344" s="8">
        <f ca="1">IFERROR(__xludf.DUMMYFUNCTION("""COMPUTED_VALUE"""),44629)</f>
        <v>44629</v>
      </c>
      <c r="F344" s="5" t="str">
        <f ca="1">IFERROR(__xludf.DUMMYFUNCTION("""COMPUTED_VALUE"""),"Kimball High School")</f>
        <v>Kimball High School</v>
      </c>
      <c r="G344" s="5">
        <f ca="1">IFERROR(__xludf.DUMMYFUNCTION("""COMPUTED_VALUE"""),0)</f>
        <v>0</v>
      </c>
      <c r="H344" s="5">
        <f ca="1">IFERROR(__xludf.DUMMYFUNCTION("""COMPUTED_VALUE"""),1)</f>
        <v>1</v>
      </c>
      <c r="I344" s="5">
        <f ca="1">IFERROR(__xludf.DUMMYFUNCTION("""COMPUTED_VALUE"""),1)</f>
        <v>1</v>
      </c>
      <c r="J344" s="5">
        <f ca="1">IFERROR(__xludf.DUMMYFUNCTION("""COMPUTED_VALUE"""),0)</f>
        <v>0</v>
      </c>
      <c r="K344" s="5" t="str">
        <f ca="1">IFERROR(__xludf.DUMMYFUNCTION("""COMPUTED_VALUE"""),"https://www.wfaa.com/article/news/local/dallas-isd-kimball-basketball-trainer-shot-after-players-gun-goes-off-on-team-bus/287-5bf8f237-7223-46f8-be13-8c49e096fb32 https://www.nbcdfw.com/news/local/dallas-kimball-basketball-player-arrested-after-accidental"&amp;"-shooting-at-san-antonio-playoffs/2911847/ https://www.ksat.com/news/local/2022/03/10/woman-shot-in-ankle-after-gun-brought-onto-bus-from-visiting-dallas-area-school-san-antonio-police-say/")</f>
        <v>https://www.wfaa.com/article/news/local/dallas-isd-kimball-basketball-trainer-shot-after-players-gun-goes-off-on-team-bus/287-5bf8f237-7223-46f8-be13-8c49e096fb32 https://www.nbcdfw.com/news/local/dallas-kimball-basketball-player-arrested-after-accidental-shooting-at-san-antonio-playoffs/2911847/ https://www.ksat.com/news/local/2022/03/10/woman-shot-in-ankle-after-gun-brought-onto-bus-from-visiting-dallas-area-school-san-antonio-police-say/</v>
      </c>
      <c r="L344" s="5">
        <f ca="1">IFERROR(__xludf.DUMMYFUNCTION("""COMPUTED_VALUE"""),10)</f>
        <v>10</v>
      </c>
      <c r="M344" s="5" t="str">
        <f ca="1">IFERROR(__xludf.DUMMYFUNCTION("""COMPUTED_VALUE"""),"Regional")</f>
        <v>Regional</v>
      </c>
      <c r="N344" s="5">
        <f ca="1">IFERROR(__xludf.DUMMYFUNCTION("""COMPUTED_VALUE"""),4)</f>
        <v>4</v>
      </c>
      <c r="O344" s="5" t="str">
        <f ca="1">IFERROR(__xludf.DUMMYFUNCTION("""COMPUTED_VALUE"""),"Spring")</f>
        <v>Spring</v>
      </c>
      <c r="P344" s="5" t="str">
        <f ca="1">IFERROR(__xludf.DUMMYFUNCTION("""COMPUTED_VALUE"""),"Houston")</f>
        <v>Houston</v>
      </c>
      <c r="Q344" s="5" t="str">
        <f ca="1">IFERROR(__xludf.DUMMYFUNCTION("""COMPUTED_VALUE"""),"TX")</f>
        <v>TX</v>
      </c>
      <c r="R344" s="5" t="str">
        <f ca="1">IFERROR(__xludf.DUMMYFUNCTION("""COMPUTED_VALUE"""),"High")</f>
        <v>High</v>
      </c>
      <c r="S344" s="5" t="str">
        <f ca="1">IFERROR(__xludf.DUMMYFUNCTION("""COMPUTED_VALUE"""),"School Bus")</f>
        <v>School Bus</v>
      </c>
      <c r="T344" s="5" t="str">
        <f ca="1">IFERROR(__xludf.DUMMYFUNCTION("""COMPUTED_VALUE"""),"School Bus")</f>
        <v>School Bus</v>
      </c>
      <c r="U344" s="5" t="str">
        <f ca="1">IFERROR(__xludf.DUMMYFUNCTION("""COMPUTED_VALUE"""),"No")</f>
        <v>No</v>
      </c>
      <c r="V344" s="5" t="str">
        <f ca="1">IFERROR(__xludf.DUMMYFUNCTION("""COMPUTED_VALUE"""),"Sport Event")</f>
        <v>Sport Event</v>
      </c>
      <c r="W344" s="10">
        <f ca="1">IFERROR(__xludf.DUMMYFUNCTION("""COMPUTED_VALUE"""),0.791666666666666)</f>
        <v>0.79166666666666596</v>
      </c>
      <c r="X344" s="5">
        <f ca="1">IFERROR(__xludf.DUMMYFUNCTION("""COMPUTED_VALUE"""),1)</f>
        <v>1</v>
      </c>
      <c r="Y344" s="5" t="str">
        <f ca="1">IFERROR(__xludf.DUMMYFUNCTION("""COMPUTED_VALUE"""),"Team trainer shot in foot on bus after high school game")</f>
        <v>Team trainer shot in foot on bus after high school game</v>
      </c>
      <c r="Z344" s="5" t="str">
        <f ca="1">IFERROR(__xludf.DUMMYFUNCTION("""COMPUTED_VALUE"""),"A team trainer was shot in the foot on the team bus following a basketball practice. The team was from Dallas and visiting Houston for a tournament. Bus was on Northside ISD property when the shooting occurred. A player had the gun in his bag and it disch"&amp;"arged when he moved it.")</f>
        <v>A team trainer was shot in the foot on the team bus following a basketball practice. The team was from Dallas and visiting Houston for a tournament. Bus was on Northside ISD property when the shooting occurred. A player had the gun in his bag and it discharged when he moved it.</v>
      </c>
      <c r="AA344" s="5" t="str">
        <f ca="1">IFERROR(__xludf.DUMMYFUNCTION("""COMPUTED_VALUE"""),"Accidental")</f>
        <v>Accidental</v>
      </c>
      <c r="AB344" s="5" t="str">
        <f ca="1">IFERROR(__xludf.DUMMYFUNCTION("""COMPUTED_VALUE"""),"Random Shooting")</f>
        <v>Random Shooting</v>
      </c>
      <c r="AC344" s="5" t="str">
        <f ca="1">IFERROR(__xludf.DUMMYFUNCTION("""COMPUTED_VALUE"""),"No")</f>
        <v>No</v>
      </c>
      <c r="AD344" s="5" t="str">
        <f ca="1">IFERROR(__xludf.DUMMYFUNCTION("""COMPUTED_VALUE"""),"No")</f>
        <v>No</v>
      </c>
      <c r="AE344" s="5" t="str">
        <f ca="1">IFERROR(__xludf.DUMMYFUNCTION("""COMPUTED_VALUE"""),"No")</f>
        <v>No</v>
      </c>
      <c r="AF344" s="5" t="str">
        <f ca="1">IFERROR(__xludf.DUMMYFUNCTION("""COMPUTED_VALUE"""),"No")</f>
        <v>No</v>
      </c>
      <c r="AG344" s="5" t="str">
        <f ca="1">IFERROR(__xludf.DUMMYFUNCTION("""COMPUTED_VALUE"""),"No")</f>
        <v>No</v>
      </c>
      <c r="AH344" s="5" t="str">
        <f ca="1">IFERROR(__xludf.DUMMYFUNCTION("""COMPUTED_VALUE"""),"No")</f>
        <v>No</v>
      </c>
      <c r="AI344" s="5" t="str">
        <f ca="1">IFERROR(__xludf.DUMMYFUNCTION("""COMPUTED_VALUE"""),"No")</f>
        <v>No</v>
      </c>
      <c r="AJ344" s="5" t="str">
        <f ca="1">IFERROR(__xludf.DUMMYFUNCTION("""COMPUTED_VALUE"""),"No")</f>
        <v>No</v>
      </c>
    </row>
    <row r="345" spans="1:36" ht="13">
      <c r="A345" s="5" t="str">
        <f ca="1">IFERROR(__xludf.DUMMYFUNCTION("""COMPUTED_VALUE"""),"20220309NMESE")</f>
        <v>20220309NMESE</v>
      </c>
      <c r="B345" s="5">
        <f ca="1">IFERROR(__xludf.DUMMYFUNCTION("""COMPUTED_VALUE"""),3)</f>
        <v>3</v>
      </c>
      <c r="C345" s="5">
        <f ca="1">IFERROR(__xludf.DUMMYFUNCTION("""COMPUTED_VALUE"""),9)</f>
        <v>9</v>
      </c>
      <c r="D345" s="5">
        <f ca="1">IFERROR(__xludf.DUMMYFUNCTION("""COMPUTED_VALUE"""),2022)</f>
        <v>2022</v>
      </c>
      <c r="E345" s="8">
        <f ca="1">IFERROR(__xludf.DUMMYFUNCTION("""COMPUTED_VALUE"""),44629)</f>
        <v>44629</v>
      </c>
      <c r="F345" s="5" t="str">
        <f ca="1">IFERROR(__xludf.DUMMYFUNCTION("""COMPUTED_VALUE"""),"Espanola Valley High School")</f>
        <v>Espanola Valley High School</v>
      </c>
      <c r="G345" s="5">
        <f ca="1">IFERROR(__xludf.DUMMYFUNCTION("""COMPUTED_VALUE"""),0)</f>
        <v>0</v>
      </c>
      <c r="H345" s="5">
        <f ca="1">IFERROR(__xludf.DUMMYFUNCTION("""COMPUTED_VALUE"""),0)</f>
        <v>0</v>
      </c>
      <c r="I345" s="5">
        <f ca="1">IFERROR(__xludf.DUMMYFUNCTION("""COMPUTED_VALUE"""),0)</f>
        <v>0</v>
      </c>
      <c r="J345" s="5">
        <f ca="1">IFERROR(__xludf.DUMMYFUNCTION("""COMPUTED_VALUE"""),0)</f>
        <v>0</v>
      </c>
      <c r="K345" s="9" t="str">
        <f ca="1">IFERROR(__xludf.DUMMYFUNCTION("""COMPUTED_VALUE"""),"https://www.krqe.com/sports/high-school-sports/del-norte-school-bus-shot-with-paintballs-after-espanola-game/")</f>
        <v>https://www.krqe.com/sports/high-school-sports/del-norte-school-bus-shot-with-paintballs-after-espanola-game/</v>
      </c>
      <c r="L345" s="5">
        <f ca="1">IFERROR(__xludf.DUMMYFUNCTION("""COMPUTED_VALUE"""),1)</f>
        <v>1</v>
      </c>
      <c r="M345" s="5" t="str">
        <f ca="1">IFERROR(__xludf.DUMMYFUNCTION("""COMPUTED_VALUE"""),"Local")</f>
        <v>Local</v>
      </c>
      <c r="N345" s="5">
        <f ca="1">IFERROR(__xludf.DUMMYFUNCTION("""COMPUTED_VALUE"""),3)</f>
        <v>3</v>
      </c>
      <c r="O345" s="5" t="str">
        <f ca="1">IFERROR(__xludf.DUMMYFUNCTION("""COMPUTED_VALUE"""),"Spring")</f>
        <v>Spring</v>
      </c>
      <c r="P345" s="5" t="str">
        <f ca="1">IFERROR(__xludf.DUMMYFUNCTION("""COMPUTED_VALUE"""),"Espanola")</f>
        <v>Espanola</v>
      </c>
      <c r="Q345" s="5" t="str">
        <f ca="1">IFERROR(__xludf.DUMMYFUNCTION("""COMPUTED_VALUE"""),"NM")</f>
        <v>NM</v>
      </c>
      <c r="R345" s="5" t="str">
        <f ca="1">IFERROR(__xludf.DUMMYFUNCTION("""COMPUTED_VALUE"""),"High")</f>
        <v>High</v>
      </c>
      <c r="S345" s="5" t="str">
        <f ca="1">IFERROR(__xludf.DUMMYFUNCTION("""COMPUTED_VALUE"""),"Parking Lot")</f>
        <v>Parking Lot</v>
      </c>
      <c r="T345" s="5" t="str">
        <f ca="1">IFERROR(__xludf.DUMMYFUNCTION("""COMPUTED_VALUE"""),"Outside on School Property")</f>
        <v>Outside on School Property</v>
      </c>
      <c r="U345" s="5" t="str">
        <f ca="1">IFERROR(__xludf.DUMMYFUNCTION("""COMPUTED_VALUE"""),"No")</f>
        <v>No</v>
      </c>
      <c r="V345" s="5" t="str">
        <f ca="1">IFERROR(__xludf.DUMMYFUNCTION("""COMPUTED_VALUE"""),"Sport Event")</f>
        <v>Sport Event</v>
      </c>
      <c r="W345" s="10">
        <f ca="1">IFERROR(__xludf.DUMMYFUNCTION("""COMPUTED_VALUE"""),0.875)</f>
        <v>0.875</v>
      </c>
      <c r="X345" s="5">
        <f ca="1">IFERROR(__xludf.DUMMYFUNCTION("""COMPUTED_VALUE"""),1)</f>
        <v>1</v>
      </c>
      <c r="Y345" s="5" t="str">
        <f ca="1">IFERROR(__xludf.DUMMYFUNCTION("""COMPUTED_VALUE"""),"Paintballs fired a team bus in parking lot")</f>
        <v>Paintballs fired a team bus in parking lot</v>
      </c>
      <c r="Z345" s="5" t="str">
        <f ca="1">IFERROR(__xludf.DUMMYFUNCTION("""COMPUTED_VALUE"""),"Following loss in rivalry to visiting team in basketball game, paintballs were shot at the team bus. Players inside texted parents that they were being shot at. Shooter fled. Police and school system are investigating.")</f>
        <v>Following loss in rivalry to visiting team in basketball game, paintballs were shot at the team bus. Players inside texted parents that they were being shot at. Shooter fled. Police and school system are investigating.</v>
      </c>
      <c r="AA345" s="5" t="str">
        <f ca="1">IFERROR(__xludf.DUMMYFUNCTION("""COMPUTED_VALUE"""),"Intentional Property Damage")</f>
        <v>Intentional Property Damage</v>
      </c>
      <c r="AB345" s="5" t="str">
        <f ca="1">IFERROR(__xludf.DUMMYFUNCTION("""COMPUTED_VALUE"""),"Neither")</f>
        <v>Neither</v>
      </c>
      <c r="AC345" s="5" t="str">
        <f ca="1">IFERROR(__xludf.DUMMYFUNCTION("""COMPUTED_VALUE"""),"No")</f>
        <v>No</v>
      </c>
      <c r="AD345" s="5" t="str">
        <f ca="1">IFERROR(__xludf.DUMMYFUNCTION("""COMPUTED_VALUE"""),"No")</f>
        <v>No</v>
      </c>
      <c r="AE345" s="5" t="str">
        <f ca="1">IFERROR(__xludf.DUMMYFUNCTION("""COMPUTED_VALUE"""),"No")</f>
        <v>No</v>
      </c>
      <c r="AF345" s="5" t="str">
        <f ca="1">IFERROR(__xludf.DUMMYFUNCTION("""COMPUTED_VALUE"""),"No")</f>
        <v>No</v>
      </c>
      <c r="AG345" s="5" t="str">
        <f ca="1">IFERROR(__xludf.DUMMYFUNCTION("""COMPUTED_VALUE"""),"No")</f>
        <v>No</v>
      </c>
      <c r="AH345" s="5" t="str">
        <f ca="1">IFERROR(__xludf.DUMMYFUNCTION("""COMPUTED_VALUE"""),"No")</f>
        <v>No</v>
      </c>
      <c r="AI345" s="5"/>
      <c r="AJ345" s="5" t="str">
        <f ca="1">IFERROR(__xludf.DUMMYFUNCTION("""COMPUTED_VALUE"""),"No")</f>
        <v>No</v>
      </c>
    </row>
    <row r="346" spans="1:36" ht="13">
      <c r="A346" s="5" t="str">
        <f ca="1">IFERROR(__xludf.DUMMYFUNCTION("""COMPUTED_VALUE"""),"20220307IAEAD")</f>
        <v>20220307IAEAD</v>
      </c>
      <c r="B346" s="5">
        <f ca="1">IFERROR(__xludf.DUMMYFUNCTION("""COMPUTED_VALUE"""),3)</f>
        <v>3</v>
      </c>
      <c r="C346" s="5">
        <f ca="1">IFERROR(__xludf.DUMMYFUNCTION("""COMPUTED_VALUE"""),7)</f>
        <v>7</v>
      </c>
      <c r="D346" s="5">
        <f ca="1">IFERROR(__xludf.DUMMYFUNCTION("""COMPUTED_VALUE"""),2022)</f>
        <v>2022</v>
      </c>
      <c r="E346" s="8">
        <f ca="1">IFERROR(__xludf.DUMMYFUNCTION("""COMPUTED_VALUE"""),44627)</f>
        <v>44627</v>
      </c>
      <c r="F346" s="5" t="str">
        <f ca="1">IFERROR(__xludf.DUMMYFUNCTION("""COMPUTED_VALUE"""),"East High School")</f>
        <v>East High School</v>
      </c>
      <c r="G346" s="5">
        <f ca="1">IFERROR(__xludf.DUMMYFUNCTION("""COMPUTED_VALUE"""),1)</f>
        <v>1</v>
      </c>
      <c r="H346" s="5">
        <f ca="1">IFERROR(__xludf.DUMMYFUNCTION("""COMPUTED_VALUE"""),2)</f>
        <v>2</v>
      </c>
      <c r="I346" s="5">
        <f ca="1">IFERROR(__xludf.DUMMYFUNCTION("""COMPUTED_VALUE"""),3)</f>
        <v>3</v>
      </c>
      <c r="J346" s="5">
        <f ca="1">IFERROR(__xludf.DUMMYFUNCTION("""COMPUTED_VALUE"""),0)</f>
        <v>0</v>
      </c>
      <c r="K346" s="5" t="str">
        <f ca="1">IFERROR(__xludf.DUMMYFUNCTION("""COMPUTED_VALUE"""),"https://www.kcci.com/article/shooting-reported-outside-des-moines-iowa-school/39359495# https://www.desmoinesregister.com/story/news/crime-and-courts/2022/03/07/des-moines-police-responding-to-report-of-multiple-people-shot-outside-des-moines-east-high-sc"&amp;"hool/9416980002/
https://www.desmoinesregister.com/story/news/crime-and-courts/2023/02/21/east-high-school-shooting-teen-sentenced-jose-lopez-perez-death/69925459007/")</f>
        <v>https://www.kcci.com/article/shooting-reported-outside-des-moines-iowa-school/39359495# https://www.desmoinesregister.com/story/news/crime-and-courts/2022/03/07/des-moines-police-responding-to-report-of-multiple-people-shot-outside-des-moines-east-high-school/9416980002/
https://www.desmoinesregister.com/story/news/crime-and-courts/2023/02/21/east-high-school-shooting-teen-sentenced-jose-lopez-perez-death/69925459007/</v>
      </c>
      <c r="L346" s="5">
        <f ca="1">IFERROR(__xludf.DUMMYFUNCTION("""COMPUTED_VALUE"""),100)</f>
        <v>100</v>
      </c>
      <c r="M346" s="5" t="str">
        <f ca="1">IFERROR(__xludf.DUMMYFUNCTION("""COMPUTED_VALUE"""),"National")</f>
        <v>National</v>
      </c>
      <c r="N346" s="5">
        <f ca="1">IFERROR(__xludf.DUMMYFUNCTION("""COMPUTED_VALUE"""),4)</f>
        <v>4</v>
      </c>
      <c r="O346" s="5" t="str">
        <f ca="1">IFERROR(__xludf.DUMMYFUNCTION("""COMPUTED_VALUE"""),"Spring")</f>
        <v>Spring</v>
      </c>
      <c r="P346" s="5" t="str">
        <f ca="1">IFERROR(__xludf.DUMMYFUNCTION("""COMPUTED_VALUE"""),"Des Moines")</f>
        <v>Des Moines</v>
      </c>
      <c r="Q346" s="5" t="str">
        <f ca="1">IFERROR(__xludf.DUMMYFUNCTION("""COMPUTED_VALUE"""),"IA")</f>
        <v>IA</v>
      </c>
      <c r="R346" s="5" t="str">
        <f ca="1">IFERROR(__xludf.DUMMYFUNCTION("""COMPUTED_VALUE"""),"High")</f>
        <v>High</v>
      </c>
      <c r="S346" s="5" t="str">
        <f ca="1">IFERROR(__xludf.DUMMYFUNCTION("""COMPUTED_VALUE"""),"Front of School")</f>
        <v>Front of School</v>
      </c>
      <c r="T346" s="5" t="str">
        <f ca="1">IFERROR(__xludf.DUMMYFUNCTION("""COMPUTED_VALUE"""),"Outside on School Property")</f>
        <v>Outside on School Property</v>
      </c>
      <c r="U346" s="5" t="str">
        <f ca="1">IFERROR(__xludf.DUMMYFUNCTION("""COMPUTED_VALUE"""),"Yes")</f>
        <v>Yes</v>
      </c>
      <c r="V346" s="5" t="str">
        <f ca="1">IFERROR(__xludf.DUMMYFUNCTION("""COMPUTED_VALUE"""),"Dismissal")</f>
        <v>Dismissal</v>
      </c>
      <c r="W346" s="10">
        <f ca="1">IFERROR(__xludf.DUMMYFUNCTION("""COMPUTED_VALUE"""),0.618055555555555)</f>
        <v>0.61805555555555503</v>
      </c>
      <c r="X346" s="5">
        <f ca="1">IFERROR(__xludf.DUMMYFUNCTION("""COMPUTED_VALUE"""),1)</f>
        <v>1</v>
      </c>
      <c r="Y346" s="5" t="str">
        <f ca="1">IFERROR(__xludf.DUMMYFUNCTION("""COMPUTED_VALUE"""),"3 teens shot in front of school at dismissal")</f>
        <v>3 teens shot in front of school at dismissal</v>
      </c>
      <c r="Z346" s="5" t="str">
        <f ca="1">IFERROR(__xludf.DUMMYFUNCTION("""COMPUTED_VALUE"""),"A 15-year-old male non-student and two female students (16 and 18) were shot during a drive-by shooting in front of the school. 40 shots were fired by 10 teens from 3 different vehicles. Six teens (age 14-17 fired shots, police recorded 6 handguns during "&amp;"search warrants). The male teen killed was the target and the two girls were bystanders. School went on lockdown. Witnesses said multiple shots were fired. Shooter fled. School cancelled the following day. All six teens charged with first degree murder an"&amp;"d attempted murder.")</f>
        <v>A 15-year-old male non-student and two female students (16 and 18) were shot during a drive-by shooting in front of the school. 40 shots were fired by 10 teens from 3 different vehicles. Six teens (age 14-17 fired shots, police recorded 6 handguns during search warrants). The male teen killed was the target and the two girls were bystanders. School went on lockdown. Witnesses said multiple shots were fired. Shooter fled. School cancelled the following day. All six teens charged with first degree murder and attempted murder.</v>
      </c>
      <c r="AA346" s="5" t="str">
        <f ca="1">IFERROR(__xludf.DUMMYFUNCTION("""COMPUTED_VALUE"""),"Drive-by Shooting")</f>
        <v>Drive-by Shooting</v>
      </c>
      <c r="AB346" s="5" t="str">
        <f ca="1">IFERROR(__xludf.DUMMYFUNCTION("""COMPUTED_VALUE"""),"Both")</f>
        <v>Both</v>
      </c>
      <c r="AC346" s="5" t="str">
        <f ca="1">IFERROR(__xludf.DUMMYFUNCTION("""COMPUTED_VALUE"""),"Yes")</f>
        <v>Yes</v>
      </c>
      <c r="AD346" s="5" t="str">
        <f ca="1">IFERROR(__xludf.DUMMYFUNCTION("""COMPUTED_VALUE"""),"No")</f>
        <v>No</v>
      </c>
      <c r="AE346" s="5" t="str">
        <f ca="1">IFERROR(__xludf.DUMMYFUNCTION("""COMPUTED_VALUE"""),"No")</f>
        <v>No</v>
      </c>
      <c r="AF346" s="5" t="str">
        <f ca="1">IFERROR(__xludf.DUMMYFUNCTION("""COMPUTED_VALUE"""),"No")</f>
        <v>No</v>
      </c>
      <c r="AG346" s="5" t="str">
        <f ca="1">IFERROR(__xludf.DUMMYFUNCTION("""COMPUTED_VALUE"""),"No")</f>
        <v>No</v>
      </c>
      <c r="AH346" s="5" t="str">
        <f ca="1">IFERROR(__xludf.DUMMYFUNCTION("""COMPUTED_VALUE"""),"No")</f>
        <v>No</v>
      </c>
      <c r="AI346" s="5" t="str">
        <f ca="1">IFERROR(__xludf.DUMMYFUNCTION("""COMPUTED_VALUE"""),"Yes")</f>
        <v>Yes</v>
      </c>
      <c r="AJ346" s="5" t="str">
        <f ca="1">IFERROR(__xludf.DUMMYFUNCTION("""COMPUTED_VALUE"""),"No")</f>
        <v>No</v>
      </c>
    </row>
    <row r="347" spans="1:36" ht="13">
      <c r="A347" s="5" t="str">
        <f ca="1">IFERROR(__xludf.DUMMYFUNCTION("""COMPUTED_VALUE"""),"20220304KSOLO")</f>
        <v>20220304KSOLO</v>
      </c>
      <c r="B347" s="5">
        <f ca="1">IFERROR(__xludf.DUMMYFUNCTION("""COMPUTED_VALUE"""),3)</f>
        <v>3</v>
      </c>
      <c r="C347" s="5">
        <f ca="1">IFERROR(__xludf.DUMMYFUNCTION("""COMPUTED_VALUE"""),4)</f>
        <v>4</v>
      </c>
      <c r="D347" s="5">
        <f ca="1">IFERROR(__xludf.DUMMYFUNCTION("""COMPUTED_VALUE"""),2022)</f>
        <v>2022</v>
      </c>
      <c r="E347" s="8">
        <f ca="1">IFERROR(__xludf.DUMMYFUNCTION("""COMPUTED_VALUE"""),44624)</f>
        <v>44624</v>
      </c>
      <c r="F347" s="5" t="str">
        <f ca="1">IFERROR(__xludf.DUMMYFUNCTION("""COMPUTED_VALUE"""),"Olathe East High School")</f>
        <v>Olathe East High School</v>
      </c>
      <c r="G347" s="5">
        <f ca="1">IFERROR(__xludf.DUMMYFUNCTION("""COMPUTED_VALUE"""),0)</f>
        <v>0</v>
      </c>
      <c r="H347" s="5">
        <f ca="1">IFERROR(__xludf.DUMMYFUNCTION("""COMPUTED_VALUE"""),2)</f>
        <v>2</v>
      </c>
      <c r="I347" s="5">
        <f ca="1">IFERROR(__xludf.DUMMYFUNCTION("""COMPUTED_VALUE"""),2)</f>
        <v>2</v>
      </c>
      <c r="J347" s="5">
        <f ca="1">IFERROR(__xludf.DUMMYFUNCTION("""COMPUTED_VALUE"""),0)</f>
        <v>0</v>
      </c>
      <c r="K347" s="5" t="str">
        <f ca="1">IFERROR(__xludf.DUMMYFUNCTION("""COMPUTED_VALUE"""),"https://www.kmbc.com/article/olathe-east-johnson-county-kansas-shooting-high-school-sro-justified/40690814#
https://fox4kc.com/news/police-respond-to-reported-shooting-at-olathe-east-high-school/ https://www.kshb.com/news/crime/police-student-brandished-h"&amp;"andgun-in-olathe-east-high-school-shooting https://www.kcur.org/news/2022-03-04/olathe-east-high-school-officer-and-administrator-injured-in-shooting-suspect-in-custody https://www.kmbc.com/article/olathe-east-high-school-shooting-kansas/39326822# https:/"&amp;"/fox4kc.com/news/olathe-east-hs-shooting-videos-audio-inside-the-school/")</f>
        <v>https://www.kmbc.com/article/olathe-east-johnson-county-kansas-shooting-high-school-sro-justified/40690814#
https://fox4kc.com/news/police-respond-to-reported-shooting-at-olathe-east-high-school/ https://www.kshb.com/news/crime/police-student-brandished-handgun-in-olathe-east-high-school-shooting https://www.kcur.org/news/2022-03-04/olathe-east-high-school-officer-and-administrator-injured-in-shooting-suspect-in-custody https://www.kmbc.com/article/olathe-east-high-school-shooting-kansas/39326822# https://fox4kc.com/news/olathe-east-hs-shooting-videos-audio-inside-the-school/</v>
      </c>
      <c r="L347" s="5">
        <f ca="1">IFERROR(__xludf.DUMMYFUNCTION("""COMPUTED_VALUE"""),100)</f>
        <v>100</v>
      </c>
      <c r="M347" s="5" t="str">
        <f ca="1">IFERROR(__xludf.DUMMYFUNCTION("""COMPUTED_VALUE"""),"National")</f>
        <v>National</v>
      </c>
      <c r="N347" s="5">
        <f ca="1">IFERROR(__xludf.DUMMYFUNCTION("""COMPUTED_VALUE"""),4)</f>
        <v>4</v>
      </c>
      <c r="O347" s="5" t="str">
        <f ca="1">IFERROR(__xludf.DUMMYFUNCTION("""COMPUTED_VALUE"""),"Spring")</f>
        <v>Spring</v>
      </c>
      <c r="P347" s="5" t="str">
        <f ca="1">IFERROR(__xludf.DUMMYFUNCTION("""COMPUTED_VALUE"""),"Olathe")</f>
        <v>Olathe</v>
      </c>
      <c r="Q347" s="5" t="str">
        <f ca="1">IFERROR(__xludf.DUMMYFUNCTION("""COMPUTED_VALUE"""),"KS")</f>
        <v>KS</v>
      </c>
      <c r="R347" s="5" t="str">
        <f ca="1">IFERROR(__xludf.DUMMYFUNCTION("""COMPUTED_VALUE"""),"High")</f>
        <v>High</v>
      </c>
      <c r="S347" s="5" t="str">
        <f ca="1">IFERROR(__xludf.DUMMYFUNCTION("""COMPUTED_VALUE"""),"Office")</f>
        <v>Office</v>
      </c>
      <c r="T347" s="5" t="str">
        <f ca="1">IFERROR(__xludf.DUMMYFUNCTION("""COMPUTED_VALUE"""),"Inside School Building")</f>
        <v>Inside School Building</v>
      </c>
      <c r="U347" s="5" t="str">
        <f ca="1">IFERROR(__xludf.DUMMYFUNCTION("""COMPUTED_VALUE"""),"Yes")</f>
        <v>Yes</v>
      </c>
      <c r="V347" s="5" t="str">
        <f ca="1">IFERROR(__xludf.DUMMYFUNCTION("""COMPUTED_VALUE"""),"Morning Classes")</f>
        <v>Morning Classes</v>
      </c>
      <c r="W347" s="10">
        <f ca="1">IFERROR(__xludf.DUMMYFUNCTION("""COMPUTED_VALUE"""),0.4375)</f>
        <v>0.4375</v>
      </c>
      <c r="X347" s="5">
        <f ca="1">IFERROR(__xludf.DUMMYFUNCTION("""COMPUTED_VALUE"""),1)</f>
        <v>1</v>
      </c>
      <c r="Y347" s="5" t="str">
        <f ca="1">IFERROR(__xludf.DUMMYFUNCTION("""COMPUTED_VALUE"""),"Student shot principal and SRO in school office")</f>
        <v>Student shot principal and SRO in school office</v>
      </c>
      <c r="Z347" s="5" t="str">
        <f ca="1">IFERROR(__xludf.DUMMYFUNCTION("""COMPUTED_VALUE"""),"Principal got tip about student with gun. Student was called to the office and refused to open backpack. Principal called SRO and when the SRO walked into office, student shot both of them. SRO was able to return fire and critically injure student/shooter"&amp;". School went on lockdown. No other staff or students were injured.")</f>
        <v>Principal got tip about student with gun. Student was called to the office and refused to open backpack. Principal called SRO and when the SRO walked into office, student shot both of them. SRO was able to return fire and critically injure student/shooter. School went on lockdown. No other staff or students were injured.</v>
      </c>
      <c r="AA347" s="5" t="str">
        <f ca="1">IFERROR(__xludf.DUMMYFUNCTION("""COMPUTED_VALUE"""),"Anger Over Grade/Suspension/Discipline")</f>
        <v>Anger Over Grade/Suspension/Discipline</v>
      </c>
      <c r="AB347" s="5" t="str">
        <f ca="1">IFERROR(__xludf.DUMMYFUNCTION("""COMPUTED_VALUE"""),"Victims Targeted")</f>
        <v>Victims Targeted</v>
      </c>
      <c r="AC347" s="5" t="str">
        <f ca="1">IFERROR(__xludf.DUMMYFUNCTION("""COMPUTED_VALUE"""),"No")</f>
        <v>No</v>
      </c>
      <c r="AD347" s="5" t="str">
        <f ca="1">IFERROR(__xludf.DUMMYFUNCTION("""COMPUTED_VALUE"""),"No")</f>
        <v>No</v>
      </c>
      <c r="AE347" s="5" t="str">
        <f ca="1">IFERROR(__xludf.DUMMYFUNCTION("""COMPUTED_VALUE"""),"No")</f>
        <v>No</v>
      </c>
      <c r="AF347" s="5" t="str">
        <f ca="1">IFERROR(__xludf.DUMMYFUNCTION("""COMPUTED_VALUE"""),"No")</f>
        <v>No</v>
      </c>
      <c r="AG347" s="5" t="str">
        <f ca="1">IFERROR(__xludf.DUMMYFUNCTION("""COMPUTED_VALUE"""),"No")</f>
        <v>No</v>
      </c>
      <c r="AH347" s="5" t="str">
        <f ca="1">IFERROR(__xludf.DUMMYFUNCTION("""COMPUTED_VALUE"""),"No")</f>
        <v>No</v>
      </c>
      <c r="AI347" s="5" t="str">
        <f ca="1">IFERROR(__xludf.DUMMYFUNCTION("""COMPUTED_VALUE"""),"No")</f>
        <v>No</v>
      </c>
      <c r="AJ347" s="5" t="str">
        <f ca="1">IFERROR(__xludf.DUMMYFUNCTION("""COMPUTED_VALUE"""),"No")</f>
        <v>No</v>
      </c>
    </row>
    <row r="348" spans="1:36" ht="13">
      <c r="A348" s="5" t="str">
        <f ca="1">IFERROR(__xludf.DUMMYFUNCTION("""COMPUTED_VALUE"""),"20220303MIJWL")</f>
        <v>20220303MIJWL</v>
      </c>
      <c r="B348" s="5">
        <f ca="1">IFERROR(__xludf.DUMMYFUNCTION("""COMPUTED_VALUE"""),3)</f>
        <v>3</v>
      </c>
      <c r="C348" s="5">
        <f ca="1">IFERROR(__xludf.DUMMYFUNCTION("""COMPUTED_VALUE"""),3)</f>
        <v>3</v>
      </c>
      <c r="D348" s="5">
        <f ca="1">IFERROR(__xludf.DUMMYFUNCTION("""COMPUTED_VALUE"""),2022)</f>
        <v>2022</v>
      </c>
      <c r="E348" s="8">
        <f ca="1">IFERROR(__xludf.DUMMYFUNCTION("""COMPUTED_VALUE"""),44623)</f>
        <v>44623</v>
      </c>
      <c r="F348" s="5" t="str">
        <f ca="1">IFERROR(__xludf.DUMMYFUNCTION("""COMPUTED_VALUE"""),"JW Sexton High School")</f>
        <v>JW Sexton High School</v>
      </c>
      <c r="G348" s="5">
        <f ca="1">IFERROR(__xludf.DUMMYFUNCTION("""COMPUTED_VALUE"""),0)</f>
        <v>0</v>
      </c>
      <c r="H348" s="5">
        <f ca="1">IFERROR(__xludf.DUMMYFUNCTION("""COMPUTED_VALUE"""),1)</f>
        <v>1</v>
      </c>
      <c r="I348" s="5">
        <f ca="1">IFERROR(__xludf.DUMMYFUNCTION("""COMPUTED_VALUE"""),1)</f>
        <v>1</v>
      </c>
      <c r="J348" s="5">
        <f ca="1">IFERROR(__xludf.DUMMYFUNCTION("""COMPUTED_VALUE"""),0)</f>
        <v>0</v>
      </c>
      <c r="K348" s="5" t="str">
        <f ca="1">IFERROR(__xludf.DUMMYFUNCTION("""COMPUTED_VALUE"""),"https://www.wilx.com/2022/03/03/teenager-shot-near-lansing-sexton-high-school/ https://www.wlns.com/news/michigan/lansing-sexton-hs-secured-in-place/ https://www.wilx.com/2022/03/04/shooting-near-lansing-sexton-high-school-wounds-17-year-old-boy/")</f>
        <v>https://www.wilx.com/2022/03/03/teenager-shot-near-lansing-sexton-high-school/ https://www.wlns.com/news/michigan/lansing-sexton-hs-secured-in-place/ https://www.wilx.com/2022/03/04/shooting-near-lansing-sexton-high-school-wounds-17-year-old-boy/</v>
      </c>
      <c r="L348" s="5">
        <f ca="1">IFERROR(__xludf.DUMMYFUNCTION("""COMPUTED_VALUE"""),3)</f>
        <v>3</v>
      </c>
      <c r="M348" s="5" t="str">
        <f ca="1">IFERROR(__xludf.DUMMYFUNCTION("""COMPUTED_VALUE"""),"Local")</f>
        <v>Local</v>
      </c>
      <c r="N348" s="5">
        <f ca="1">IFERROR(__xludf.DUMMYFUNCTION("""COMPUTED_VALUE"""),4)</f>
        <v>4</v>
      </c>
      <c r="O348" s="5" t="str">
        <f ca="1">IFERROR(__xludf.DUMMYFUNCTION("""COMPUTED_VALUE"""),"Winter")</f>
        <v>Winter</v>
      </c>
      <c r="P348" s="5" t="str">
        <f ca="1">IFERROR(__xludf.DUMMYFUNCTION("""COMPUTED_VALUE"""),"Lansing")</f>
        <v>Lansing</v>
      </c>
      <c r="Q348" s="5" t="str">
        <f ca="1">IFERROR(__xludf.DUMMYFUNCTION("""COMPUTED_VALUE"""),"MI")</f>
        <v>MI</v>
      </c>
      <c r="R348" s="5" t="str">
        <f ca="1">IFERROR(__xludf.DUMMYFUNCTION("""COMPUTED_VALUE"""),"High")</f>
        <v>High</v>
      </c>
      <c r="S348" s="5" t="str">
        <f ca="1">IFERROR(__xludf.DUMMYFUNCTION("""COMPUTED_VALUE"""),"Parking Lot")</f>
        <v>Parking Lot</v>
      </c>
      <c r="T348" s="5" t="str">
        <f ca="1">IFERROR(__xludf.DUMMYFUNCTION("""COMPUTED_VALUE"""),"Outside on School Property")</f>
        <v>Outside on School Property</v>
      </c>
      <c r="U348" s="5" t="str">
        <f ca="1">IFERROR(__xludf.DUMMYFUNCTION("""COMPUTED_VALUE"""),"Yes")</f>
        <v>Yes</v>
      </c>
      <c r="V348" s="5" t="str">
        <f ca="1">IFERROR(__xludf.DUMMYFUNCTION("""COMPUTED_VALUE"""),"Afternoon Classes")</f>
        <v>Afternoon Classes</v>
      </c>
      <c r="W348" s="10">
        <f ca="1">IFERROR(__xludf.DUMMYFUNCTION("""COMPUTED_VALUE"""),0.552083333333333)</f>
        <v>0.55208333333333304</v>
      </c>
      <c r="X348" s="5">
        <f ca="1">IFERROR(__xludf.DUMMYFUNCTION("""COMPUTED_VALUE"""),1)</f>
        <v>1</v>
      </c>
      <c r="Y348" s="5" t="str">
        <f ca="1">IFERROR(__xludf.DUMMYFUNCTION("""COMPUTED_VALUE"""),"Teen shot in school parking lot following road rage incident")</f>
        <v>Teen shot in school parking lot following road rage incident</v>
      </c>
      <c r="Z348" s="5" t="str">
        <f ca="1">IFERROR(__xludf.DUMMYFUNCTION("""COMPUTED_VALUE"""),"17-year-old male was shot in both legs following a road rage dispute that ended with a vehicle crashing into a tree in the school parking lot. School was in session and locked down for 1.5 hours.")</f>
        <v>17-year-old male was shot in both legs following a road rage dispute that ended with a vehicle crashing into a tree in the school parking lot. School was in session and locked down for 1.5 hours.</v>
      </c>
      <c r="AA348" s="5" t="str">
        <f ca="1">IFERROR(__xludf.DUMMYFUNCTION("""COMPUTED_VALUE"""),"Escalation of Dispute")</f>
        <v>Escalation of Dispute</v>
      </c>
      <c r="AB348" s="5" t="str">
        <f ca="1">IFERROR(__xludf.DUMMYFUNCTION("""COMPUTED_VALUE"""),"Victims Targeted")</f>
        <v>Victims Targeted</v>
      </c>
      <c r="AC348" s="5" t="str">
        <f ca="1">IFERROR(__xludf.DUMMYFUNCTION("""COMPUTED_VALUE"""),"No")</f>
        <v>No</v>
      </c>
      <c r="AD348" s="5" t="str">
        <f ca="1">IFERROR(__xludf.DUMMYFUNCTION("""COMPUTED_VALUE"""),"No")</f>
        <v>No</v>
      </c>
      <c r="AE348" s="5" t="str">
        <f ca="1">IFERROR(__xludf.DUMMYFUNCTION("""COMPUTED_VALUE"""),"No")</f>
        <v>No</v>
      </c>
      <c r="AF348" s="5" t="str">
        <f ca="1">IFERROR(__xludf.DUMMYFUNCTION("""COMPUTED_VALUE"""),"No")</f>
        <v>No</v>
      </c>
      <c r="AG348" s="5" t="str">
        <f ca="1">IFERROR(__xludf.DUMMYFUNCTION("""COMPUTED_VALUE"""),"No")</f>
        <v>No</v>
      </c>
      <c r="AH348" s="5" t="str">
        <f ca="1">IFERROR(__xludf.DUMMYFUNCTION("""COMPUTED_VALUE"""),"No")</f>
        <v>No</v>
      </c>
      <c r="AI348" s="5" t="str">
        <f ca="1">IFERROR(__xludf.DUMMYFUNCTION("""COMPUTED_VALUE"""),"No")</f>
        <v>No</v>
      </c>
      <c r="AJ348" s="5" t="str">
        <f ca="1">IFERROR(__xludf.DUMMYFUNCTION("""COMPUTED_VALUE"""),"No")</f>
        <v>No</v>
      </c>
    </row>
    <row r="349" spans="1:36" ht="13">
      <c r="A349" s="5" t="str">
        <f ca="1">IFERROR(__xludf.DUMMYFUNCTION("""COMPUTED_VALUE"""),"20220228NYBOB")</f>
        <v>20220228NYBOB</v>
      </c>
      <c r="B349" s="5">
        <f ca="1">IFERROR(__xludf.DUMMYFUNCTION("""COMPUTED_VALUE"""),2)</f>
        <v>2</v>
      </c>
      <c r="C349" s="5">
        <f ca="1">IFERROR(__xludf.DUMMYFUNCTION("""COMPUTED_VALUE"""),28)</f>
        <v>28</v>
      </c>
      <c r="D349" s="5">
        <f ca="1">IFERROR(__xludf.DUMMYFUNCTION("""COMPUTED_VALUE"""),2022)</f>
        <v>2022</v>
      </c>
      <c r="E349" s="8">
        <f ca="1">IFERROR(__xludf.DUMMYFUNCTION("""COMPUTED_VALUE"""),44620)</f>
        <v>44620</v>
      </c>
      <c r="F349" s="5" t="str">
        <f ca="1">IFERROR(__xludf.DUMMYFUNCTION("""COMPUTED_VALUE"""),"Boys and Girls High School")</f>
        <v>Boys and Girls High School</v>
      </c>
      <c r="G349" s="5">
        <f ca="1">IFERROR(__xludf.DUMMYFUNCTION("""COMPUTED_VALUE"""),0)</f>
        <v>0</v>
      </c>
      <c r="H349" s="5">
        <f ca="1">IFERROR(__xludf.DUMMYFUNCTION("""COMPUTED_VALUE"""),1)</f>
        <v>1</v>
      </c>
      <c r="I349" s="5">
        <f ca="1">IFERROR(__xludf.DUMMYFUNCTION("""COMPUTED_VALUE"""),1)</f>
        <v>1</v>
      </c>
      <c r="J349" s="5">
        <f ca="1">IFERROR(__xludf.DUMMYFUNCTION("""COMPUTED_VALUE"""),0)</f>
        <v>0</v>
      </c>
      <c r="K349" s="5" t="str">
        <f ca="1">IFERROR(__xludf.DUMMYFUNCTION("""COMPUTED_VALUE"""),"https://nypost.com/2022/03/01/mom-of-teen-shot-outside-nyc-school-says-city-crime-surge-feels-hopeless/ https://www.nbcnewyork.com/news/local/crime-and-courts/14-year-old-boy-shot-in-ankle-outside-brooklyn-high-school/3576206/ https://www.brooklynpaper.co"&amp;"m/14-year-old-shot-outside-school-in-bed-stuy/ https://nypost.com/2022/02/28/teen-boy-shot-in-leg-outside-nyc-high-school/")</f>
        <v>https://nypost.com/2022/03/01/mom-of-teen-shot-outside-nyc-school-says-city-crime-surge-feels-hopeless/ https://www.nbcnewyork.com/news/local/crime-and-courts/14-year-old-boy-shot-in-ankle-outside-brooklyn-high-school/3576206/ https://www.brooklynpaper.com/14-year-old-shot-outside-school-in-bed-stuy/ https://nypost.com/2022/02/28/teen-boy-shot-in-leg-outside-nyc-high-school/</v>
      </c>
      <c r="L349" s="5">
        <f ca="1">IFERROR(__xludf.DUMMYFUNCTION("""COMPUTED_VALUE"""),5)</f>
        <v>5</v>
      </c>
      <c r="M349" s="5" t="str">
        <f ca="1">IFERROR(__xludf.DUMMYFUNCTION("""COMPUTED_VALUE"""),"Regional")</f>
        <v>Regional</v>
      </c>
      <c r="N349" s="5">
        <f ca="1">IFERROR(__xludf.DUMMYFUNCTION("""COMPUTED_VALUE"""),4)</f>
        <v>4</v>
      </c>
      <c r="O349" s="5" t="str">
        <f ca="1">IFERROR(__xludf.DUMMYFUNCTION("""COMPUTED_VALUE"""),"Winter")</f>
        <v>Winter</v>
      </c>
      <c r="P349" s="5" t="str">
        <f ca="1">IFERROR(__xludf.DUMMYFUNCTION("""COMPUTED_VALUE"""),"Brooklyn")</f>
        <v>Brooklyn</v>
      </c>
      <c r="Q349" s="5" t="str">
        <f ca="1">IFERROR(__xludf.DUMMYFUNCTION("""COMPUTED_VALUE"""),"NY")</f>
        <v>NY</v>
      </c>
      <c r="R349" s="5" t="str">
        <f ca="1">IFERROR(__xludf.DUMMYFUNCTION("""COMPUTED_VALUE"""),"High")</f>
        <v>High</v>
      </c>
      <c r="S349" s="5" t="str">
        <f ca="1">IFERROR(__xludf.DUMMYFUNCTION("""COMPUTED_VALUE"""),"Front of School")</f>
        <v>Front of School</v>
      </c>
      <c r="T349" s="5" t="str">
        <f ca="1">IFERROR(__xludf.DUMMYFUNCTION("""COMPUTED_VALUE"""),"Outside on School Property")</f>
        <v>Outside on School Property</v>
      </c>
      <c r="U349" s="5" t="str">
        <f ca="1">IFERROR(__xludf.DUMMYFUNCTION("""COMPUTED_VALUE"""),"Yes")</f>
        <v>Yes</v>
      </c>
      <c r="V349" s="5" t="str">
        <f ca="1">IFERROR(__xludf.DUMMYFUNCTION("""COMPUTED_VALUE"""),"Dismissal")</f>
        <v>Dismissal</v>
      </c>
      <c r="W349" s="10">
        <f ca="1">IFERROR(__xludf.DUMMYFUNCTION("""COMPUTED_VALUE"""),0.618055555555555)</f>
        <v>0.61805555555555503</v>
      </c>
      <c r="X349" s="5">
        <f ca="1">IFERROR(__xludf.DUMMYFUNCTION("""COMPUTED_VALUE"""),1)</f>
        <v>1</v>
      </c>
      <c r="Y349" s="5" t="str">
        <f ca="1">IFERROR(__xludf.DUMMYFUNCTION("""COMPUTED_VALUE"""),"Student shot at dismissal in front of school")</f>
        <v>Student shot at dismissal in front of school</v>
      </c>
      <c r="Z349" s="5" t="str">
        <f ca="1">IFERROR(__xludf.DUMMYFUNCTION("""COMPUTED_VALUE"""),"A bystander student was shot in front of the school during dismissal. The 14-year-old male student was shot in the leg. Shooter fled. Shooting occurred during a dispute between 2 groups of teens.")</f>
        <v>A bystander student was shot in front of the school during dismissal. The 14-year-old male student was shot in the leg. Shooter fled. Shooting occurred during a dispute between 2 groups of teens.</v>
      </c>
      <c r="AA349" s="5" t="str">
        <f ca="1">IFERROR(__xludf.DUMMYFUNCTION("""COMPUTED_VALUE"""),"Escalation of Dispute")</f>
        <v>Escalation of Dispute</v>
      </c>
      <c r="AB349" s="5" t="str">
        <f ca="1">IFERROR(__xludf.DUMMYFUNCTION("""COMPUTED_VALUE"""),"Both")</f>
        <v>Both</v>
      </c>
      <c r="AC349" s="5" t="str">
        <f ca="1">IFERROR(__xludf.DUMMYFUNCTION("""COMPUTED_VALUE"""),"No")</f>
        <v>No</v>
      </c>
      <c r="AD349" s="5" t="str">
        <f ca="1">IFERROR(__xludf.DUMMYFUNCTION("""COMPUTED_VALUE"""),"No")</f>
        <v>No</v>
      </c>
      <c r="AE349" s="5" t="str">
        <f ca="1">IFERROR(__xludf.DUMMYFUNCTION("""COMPUTED_VALUE"""),"No")</f>
        <v>No</v>
      </c>
      <c r="AF349" s="5" t="str">
        <f ca="1">IFERROR(__xludf.DUMMYFUNCTION("""COMPUTED_VALUE"""),"No")</f>
        <v>No</v>
      </c>
      <c r="AG349" s="5" t="str">
        <f ca="1">IFERROR(__xludf.DUMMYFUNCTION("""COMPUTED_VALUE"""),"No")</f>
        <v>No</v>
      </c>
      <c r="AH349" s="5" t="str">
        <f ca="1">IFERROR(__xludf.DUMMYFUNCTION("""COMPUTED_VALUE"""),"No")</f>
        <v>No</v>
      </c>
      <c r="AI349" s="5"/>
      <c r="AJ349" s="5" t="str">
        <f ca="1">IFERROR(__xludf.DUMMYFUNCTION("""COMPUTED_VALUE"""),"No")</f>
        <v>No</v>
      </c>
    </row>
    <row r="350" spans="1:36" ht="13">
      <c r="A350" s="5" t="str">
        <f ca="1">IFERROR(__xludf.DUMMYFUNCTION("""COMPUTED_VALUE"""),"20220227DCDUW")</f>
        <v>20220227DCDUW</v>
      </c>
      <c r="B350" s="5">
        <f ca="1">IFERROR(__xludf.DUMMYFUNCTION("""COMPUTED_VALUE"""),2)</f>
        <v>2</v>
      </c>
      <c r="C350" s="5">
        <f ca="1">IFERROR(__xludf.DUMMYFUNCTION("""COMPUTED_VALUE"""),27)</f>
        <v>27</v>
      </c>
      <c r="D350" s="5">
        <f ca="1">IFERROR(__xludf.DUMMYFUNCTION("""COMPUTED_VALUE"""),2022)</f>
        <v>2022</v>
      </c>
      <c r="E350" s="8">
        <f ca="1">IFERROR(__xludf.DUMMYFUNCTION("""COMPUTED_VALUE"""),44619)</f>
        <v>44619</v>
      </c>
      <c r="F350" s="5" t="str">
        <f ca="1">IFERROR(__xludf.DUMMYFUNCTION("""COMPUTED_VALUE"""),"Dunbar High School")</f>
        <v>Dunbar High School</v>
      </c>
      <c r="G350" s="5">
        <f ca="1">IFERROR(__xludf.DUMMYFUNCTION("""COMPUTED_VALUE"""),1)</f>
        <v>1</v>
      </c>
      <c r="H350" s="5">
        <f ca="1">IFERROR(__xludf.DUMMYFUNCTION("""COMPUTED_VALUE"""),0)</f>
        <v>0</v>
      </c>
      <c r="I350" s="5">
        <f ca="1">IFERROR(__xludf.DUMMYFUNCTION("""COMPUTED_VALUE"""),1)</f>
        <v>1</v>
      </c>
      <c r="J350" s="5">
        <f ca="1">IFERROR(__xludf.DUMMYFUNCTION("""COMPUTED_VALUE"""),0)</f>
        <v>0</v>
      </c>
      <c r="K350" s="5" t="str">
        <f ca="1">IFERROR(__xludf.DUMMYFUNCTION("""COMPUTED_VALUE"""),"https://www.washingtonpost.com/dc-md-va/2022/02/27/man-shot-dunbar-high-dc/ https://www.fox5dc.com/news/dc-police-investigate-deadly-shooting-outside-of-dunbar-high-school")</f>
        <v>https://www.washingtonpost.com/dc-md-va/2022/02/27/man-shot-dunbar-high-dc/ https://www.fox5dc.com/news/dc-police-investigate-deadly-shooting-outside-of-dunbar-high-school</v>
      </c>
      <c r="L350" s="5">
        <f ca="1">IFERROR(__xludf.DUMMYFUNCTION("""COMPUTED_VALUE"""),2)</f>
        <v>2</v>
      </c>
      <c r="M350" s="5" t="str">
        <f ca="1">IFERROR(__xludf.DUMMYFUNCTION("""COMPUTED_VALUE"""),"Local")</f>
        <v>Local</v>
      </c>
      <c r="N350" s="5">
        <f ca="1">IFERROR(__xludf.DUMMYFUNCTION("""COMPUTED_VALUE"""),3)</f>
        <v>3</v>
      </c>
      <c r="O350" s="5" t="str">
        <f ca="1">IFERROR(__xludf.DUMMYFUNCTION("""COMPUTED_VALUE"""),"Winter")</f>
        <v>Winter</v>
      </c>
      <c r="P350" s="5" t="str">
        <f ca="1">IFERROR(__xludf.DUMMYFUNCTION("""COMPUTED_VALUE"""),"Washington")</f>
        <v>Washington</v>
      </c>
      <c r="Q350" s="5" t="str">
        <f ca="1">IFERROR(__xludf.DUMMYFUNCTION("""COMPUTED_VALUE"""),"DC")</f>
        <v>DC</v>
      </c>
      <c r="R350" s="5" t="str">
        <f ca="1">IFERROR(__xludf.DUMMYFUNCTION("""COMPUTED_VALUE"""),"High")</f>
        <v>High</v>
      </c>
      <c r="S350" s="5" t="str">
        <f ca="1">IFERROR(__xludf.DUMMYFUNCTION("""COMPUTED_VALUE"""),"Front of School")</f>
        <v>Front of School</v>
      </c>
      <c r="T350" s="5" t="str">
        <f ca="1">IFERROR(__xludf.DUMMYFUNCTION("""COMPUTED_VALUE"""),"Outside on School Property")</f>
        <v>Outside on School Property</v>
      </c>
      <c r="U350" s="5" t="str">
        <f ca="1">IFERROR(__xludf.DUMMYFUNCTION("""COMPUTED_VALUE"""),"No")</f>
        <v>No</v>
      </c>
      <c r="V350" s="5" t="str">
        <f ca="1">IFERROR(__xludf.DUMMYFUNCTION("""COMPUTED_VALUE"""),"Not a School Day")</f>
        <v>Not a School Day</v>
      </c>
      <c r="W350" s="10">
        <f ca="1">IFERROR(__xludf.DUMMYFUNCTION("""COMPUTED_VALUE"""),0.215277777777777)</f>
        <v>0.21527777777777701</v>
      </c>
      <c r="X350" s="5">
        <f ca="1">IFERROR(__xludf.DUMMYFUNCTION("""COMPUTED_VALUE"""),1)</f>
        <v>1</v>
      </c>
      <c r="Y350" s="5" t="str">
        <f ca="1">IFERROR(__xludf.DUMMYFUNCTION("""COMPUTED_VALUE"""),"Man fatally shot in front of school")</f>
        <v>Man fatally shot in front of school</v>
      </c>
      <c r="Z350" s="5" t="str">
        <f ca="1">IFERROR(__xludf.DUMMYFUNCTION("""COMPUTED_VALUE"""),"A 32-year-old man was fatally shot in front of the school. Shooter fled.")</f>
        <v>A 32-year-old man was fatally shot in front of the school. Shooter fled.</v>
      </c>
      <c r="AA350" s="5"/>
      <c r="AB350" s="5" t="str">
        <f ca="1">IFERROR(__xludf.DUMMYFUNCTION("""COMPUTED_VALUE"""),"Victims Targeted")</f>
        <v>Victims Targeted</v>
      </c>
      <c r="AC350" s="5" t="str">
        <f ca="1">IFERROR(__xludf.DUMMYFUNCTION("""COMPUTED_VALUE"""),"No")</f>
        <v>No</v>
      </c>
      <c r="AD350" s="5" t="str">
        <f ca="1">IFERROR(__xludf.DUMMYFUNCTION("""COMPUTED_VALUE"""),"No")</f>
        <v>No</v>
      </c>
      <c r="AE350" s="5" t="str">
        <f ca="1">IFERROR(__xludf.DUMMYFUNCTION("""COMPUTED_VALUE"""),"No")</f>
        <v>No</v>
      </c>
      <c r="AF350" s="5" t="str">
        <f ca="1">IFERROR(__xludf.DUMMYFUNCTION("""COMPUTED_VALUE"""),"No")</f>
        <v>No</v>
      </c>
      <c r="AG350" s="5" t="str">
        <f ca="1">IFERROR(__xludf.DUMMYFUNCTION("""COMPUTED_VALUE"""),"No")</f>
        <v>No</v>
      </c>
      <c r="AH350" s="5" t="str">
        <f ca="1">IFERROR(__xludf.DUMMYFUNCTION("""COMPUTED_VALUE"""),"No")</f>
        <v>No</v>
      </c>
      <c r="AI350" s="5"/>
      <c r="AJ350" s="5" t="str">
        <f ca="1">IFERROR(__xludf.DUMMYFUNCTION("""COMPUTED_VALUE"""),"No")</f>
        <v>No</v>
      </c>
    </row>
    <row r="351" spans="1:36" ht="13">
      <c r="A351" s="5" t="str">
        <f ca="1">IFERROR(__xludf.DUMMYFUNCTION("""COMPUTED_VALUE"""),"20220225NMWEA")</f>
        <v>20220225NMWEA</v>
      </c>
      <c r="B351" s="5">
        <f ca="1">IFERROR(__xludf.DUMMYFUNCTION("""COMPUTED_VALUE"""),2)</f>
        <v>2</v>
      </c>
      <c r="C351" s="5">
        <f ca="1">IFERROR(__xludf.DUMMYFUNCTION("""COMPUTED_VALUE"""),25)</f>
        <v>25</v>
      </c>
      <c r="D351" s="5">
        <f ca="1">IFERROR(__xludf.DUMMYFUNCTION("""COMPUTED_VALUE"""),2022)</f>
        <v>2022</v>
      </c>
      <c r="E351" s="8">
        <f ca="1">IFERROR(__xludf.DUMMYFUNCTION("""COMPUTED_VALUE"""),44617)</f>
        <v>44617</v>
      </c>
      <c r="F351" s="5" t="str">
        <f ca="1">IFERROR(__xludf.DUMMYFUNCTION("""COMPUTED_VALUE"""),"West Mesa High School")</f>
        <v>West Mesa High School</v>
      </c>
      <c r="G351" s="5">
        <f ca="1">IFERROR(__xludf.DUMMYFUNCTION("""COMPUTED_VALUE"""),1)</f>
        <v>1</v>
      </c>
      <c r="H351" s="5">
        <f ca="1">IFERROR(__xludf.DUMMYFUNCTION("""COMPUTED_VALUE"""),0)</f>
        <v>0</v>
      </c>
      <c r="I351" s="5">
        <f ca="1">IFERROR(__xludf.DUMMYFUNCTION("""COMPUTED_VALUE"""),1)</f>
        <v>1</v>
      </c>
      <c r="J351" s="5">
        <f ca="1">IFERROR(__xludf.DUMMYFUNCTION("""COMPUTED_VALUE"""),0)</f>
        <v>0</v>
      </c>
      <c r="K351" s="5" t="str">
        <f ca="1">IFERROR(__xludf.DUMMYFUNCTION("""COMPUTED_VALUE"""),"https://www.santafenewmexican.com/news/local_news/albuquerque-police-arrest-teen-accused-in-fatal-shooting/article_8549e4ba-9720-11ec-abf4-834ea5fc7066.html https://www.cbs58.com/news/police-arrest-14-year-old-in-connection-with-fatal-shooting-near-albuqu"&amp;"erque-high-school https://www.krqe.com/news/albuquerque-metro/west-mesa-high-school-in-shelter-in-place-due-to-nearby-police-activity/ https://www.koat.com/article/west-mesa-high-school-in-shelter-in-place-following-shooting/39225432")</f>
        <v>https://www.santafenewmexican.com/news/local_news/albuquerque-police-arrest-teen-accused-in-fatal-shooting/article_8549e4ba-9720-11ec-abf4-834ea5fc7066.html https://www.cbs58.com/news/police-arrest-14-year-old-in-connection-with-fatal-shooting-near-albuquerque-high-school https://www.krqe.com/news/albuquerque-metro/west-mesa-high-school-in-shelter-in-place-due-to-nearby-police-activity/ https://www.koat.com/article/west-mesa-high-school-in-shelter-in-place-following-shooting/39225432</v>
      </c>
      <c r="L351" s="5">
        <f ca="1">IFERROR(__xludf.DUMMYFUNCTION("""COMPUTED_VALUE"""),100)</f>
        <v>100</v>
      </c>
      <c r="M351" s="5" t="str">
        <f ca="1">IFERROR(__xludf.DUMMYFUNCTION("""COMPUTED_VALUE"""),"National")</f>
        <v>National</v>
      </c>
      <c r="N351" s="5">
        <f ca="1">IFERROR(__xludf.DUMMYFUNCTION("""COMPUTED_VALUE"""),4)</f>
        <v>4</v>
      </c>
      <c r="O351" s="5" t="str">
        <f ca="1">IFERROR(__xludf.DUMMYFUNCTION("""COMPUTED_VALUE"""),"Winter")</f>
        <v>Winter</v>
      </c>
      <c r="P351" s="5" t="str">
        <f ca="1">IFERROR(__xludf.DUMMYFUNCTION("""COMPUTED_VALUE"""),"Albuquerque")</f>
        <v>Albuquerque</v>
      </c>
      <c r="Q351" s="5" t="str">
        <f ca="1">IFERROR(__xludf.DUMMYFUNCTION("""COMPUTED_VALUE"""),"NM")</f>
        <v>NM</v>
      </c>
      <c r="R351" s="5" t="str">
        <f ca="1">IFERROR(__xludf.DUMMYFUNCTION("""COMPUTED_VALUE"""),"High")</f>
        <v>High</v>
      </c>
      <c r="S351" s="5" t="str">
        <f ca="1">IFERROR(__xludf.DUMMYFUNCTION("""COMPUTED_VALUE"""),"Football Field/Track")</f>
        <v>Football Field/Track</v>
      </c>
      <c r="T351" s="5" t="str">
        <f ca="1">IFERROR(__xludf.DUMMYFUNCTION("""COMPUTED_VALUE"""),"Off School Property")</f>
        <v>Off School Property</v>
      </c>
      <c r="U351" s="5" t="str">
        <f ca="1">IFERROR(__xludf.DUMMYFUNCTION("""COMPUTED_VALUE"""),"Yes")</f>
        <v>Yes</v>
      </c>
      <c r="V351" s="5" t="str">
        <f ca="1">IFERROR(__xludf.DUMMYFUNCTION("""COMPUTED_VALUE"""),"Morning Classes")</f>
        <v>Morning Classes</v>
      </c>
      <c r="W351" s="10">
        <f ca="1">IFERROR(__xludf.DUMMYFUNCTION("""COMPUTED_VALUE"""),0.333333333333333)</f>
        <v>0.33333333333333298</v>
      </c>
      <c r="X351" s="5">
        <f ca="1">IFERROR(__xludf.DUMMYFUNCTION("""COMPUTED_VALUE"""),1)</f>
        <v>1</v>
      </c>
      <c r="Y351" s="5" t="str">
        <f ca="1">IFERROR(__xludf.DUMMYFUNCTION("""COMPUTED_VALUE"""),"Student fatally shot another student during dispute over stolen ""ghost gun""")</f>
        <v>Student fatally shot another student during dispute over stolen "ghost gun"</v>
      </c>
      <c r="Z351" s="5" t="str">
        <f ca="1">IFERROR(__xludf.DUMMYFUNCTION("""COMPUTED_VALUE"""),"A 14-year-old student fatally shot a 16-year-old student during a dispute over a stolen gun that was purchased online. The victim was walking in front of the school and was chased by the shooter down the street near the football field. Victim was shot 5-6"&amp;" times and died at the scene. Students changing classes for 2nd period were outside and witnessed the shooting. School went into lockdown and then dismissed early.")</f>
        <v>A 14-year-old student fatally shot a 16-year-old student during a dispute over a stolen gun that was purchased online. The victim was walking in front of the school and was chased by the shooter down the street near the football field. Victim was shot 5-6 times and died at the scene. Students changing classes for 2nd period were outside and witnessed the shooting. School went into lockdown and then dismissed early.</v>
      </c>
      <c r="AA351" s="5" t="str">
        <f ca="1">IFERROR(__xludf.DUMMYFUNCTION("""COMPUTED_VALUE"""),"Escalation of Dispute")</f>
        <v>Escalation of Dispute</v>
      </c>
      <c r="AB351" s="5" t="str">
        <f ca="1">IFERROR(__xludf.DUMMYFUNCTION("""COMPUTED_VALUE"""),"Victims Targeted")</f>
        <v>Victims Targeted</v>
      </c>
      <c r="AC351" s="5" t="str">
        <f ca="1">IFERROR(__xludf.DUMMYFUNCTION("""COMPUTED_VALUE"""),"No")</f>
        <v>No</v>
      </c>
      <c r="AD351" s="5" t="str">
        <f ca="1">IFERROR(__xludf.DUMMYFUNCTION("""COMPUTED_VALUE"""),"No")</f>
        <v>No</v>
      </c>
      <c r="AE351" s="5" t="str">
        <f ca="1">IFERROR(__xludf.DUMMYFUNCTION("""COMPUTED_VALUE"""),"No")</f>
        <v>No</v>
      </c>
      <c r="AF351" s="5" t="str">
        <f ca="1">IFERROR(__xludf.DUMMYFUNCTION("""COMPUTED_VALUE"""),"No")</f>
        <v>No</v>
      </c>
      <c r="AG351" s="5" t="str">
        <f ca="1">IFERROR(__xludf.DUMMYFUNCTION("""COMPUTED_VALUE"""),"No")</f>
        <v>No</v>
      </c>
      <c r="AH351" s="5" t="str">
        <f ca="1">IFERROR(__xludf.DUMMYFUNCTION("""COMPUTED_VALUE"""),"No")</f>
        <v>No</v>
      </c>
      <c r="AI351" s="5" t="str">
        <f ca="1">IFERROR(__xludf.DUMMYFUNCTION("""COMPUTED_VALUE"""),"No")</f>
        <v>No</v>
      </c>
      <c r="AJ351" s="5" t="str">
        <f ca="1">IFERROR(__xludf.DUMMYFUNCTION("""COMPUTED_VALUE"""),"No")</f>
        <v>No</v>
      </c>
    </row>
    <row r="352" spans="1:36" ht="13">
      <c r="A352" s="5" t="str">
        <f ca="1">IFERROR(__xludf.DUMMYFUNCTION("""COMPUTED_VALUE"""),"20220225ALSOH")</f>
        <v>20220225ALSOH</v>
      </c>
      <c r="B352" s="5">
        <f ca="1">IFERROR(__xludf.DUMMYFUNCTION("""COMPUTED_VALUE"""),2)</f>
        <v>2</v>
      </c>
      <c r="C352" s="5">
        <f ca="1">IFERROR(__xludf.DUMMYFUNCTION("""COMPUTED_VALUE"""),25)</f>
        <v>25</v>
      </c>
      <c r="D352" s="5">
        <f ca="1">IFERROR(__xludf.DUMMYFUNCTION("""COMPUTED_VALUE"""),2022)</f>
        <v>2022</v>
      </c>
      <c r="E352" s="8">
        <f ca="1">IFERROR(__xludf.DUMMYFUNCTION("""COMPUTED_VALUE"""),44617)</f>
        <v>44617</v>
      </c>
      <c r="F352" s="5" t="str">
        <f ca="1">IFERROR(__xludf.DUMMYFUNCTION("""COMPUTED_VALUE"""),"Sonnie Hereford Elementary")</f>
        <v>Sonnie Hereford Elementary</v>
      </c>
      <c r="G352" s="5">
        <f ca="1">IFERROR(__xludf.DUMMYFUNCTION("""COMPUTED_VALUE"""),0)</f>
        <v>0</v>
      </c>
      <c r="H352" s="5">
        <f ca="1">IFERROR(__xludf.DUMMYFUNCTION("""COMPUTED_VALUE"""),0)</f>
        <v>0</v>
      </c>
      <c r="I352" s="5">
        <f ca="1">IFERROR(__xludf.DUMMYFUNCTION("""COMPUTED_VALUE"""),0)</f>
        <v>0</v>
      </c>
      <c r="J352" s="5">
        <f ca="1">IFERROR(__xludf.DUMMYFUNCTION("""COMPUTED_VALUE"""),0)</f>
        <v>0</v>
      </c>
      <c r="K352" s="5" t="str">
        <f ca="1">IFERROR(__xludf.DUMMYFUNCTION("""COMPUTED_VALUE"""),"https://www.al.com/news/huntsville/2022/02/student-shot-in-incident-at-huntsville-elementary-school.html https://www.waaytv.com/news/student-injured-in-shooting-at-a-huntsville-elementary-school/article_7c6a54f2-965c-11ec-b838-038a6f05e35b.html https://wh"&amp;"nt.com/news/huntsville/child-involved-in-shooting-at-huntsville-elementary-school/")</f>
        <v>https://www.al.com/news/huntsville/2022/02/student-shot-in-incident-at-huntsville-elementary-school.html https://www.waaytv.com/news/student-injured-in-shooting-at-a-huntsville-elementary-school/article_7c6a54f2-965c-11ec-b838-038a6f05e35b.html https://whnt.com/news/huntsville/child-involved-in-shooting-at-huntsville-elementary-school/</v>
      </c>
      <c r="L352" s="5">
        <f ca="1">IFERROR(__xludf.DUMMYFUNCTION("""COMPUTED_VALUE"""),10)</f>
        <v>10</v>
      </c>
      <c r="M352" s="5" t="str">
        <f ca="1">IFERROR(__xludf.DUMMYFUNCTION("""COMPUTED_VALUE"""),"Regional")</f>
        <v>Regional</v>
      </c>
      <c r="N352" s="5">
        <f ca="1">IFERROR(__xludf.DUMMYFUNCTION("""COMPUTED_VALUE"""),4)</f>
        <v>4</v>
      </c>
      <c r="O352" s="5" t="str">
        <f ca="1">IFERROR(__xludf.DUMMYFUNCTION("""COMPUTED_VALUE"""),"Winter")</f>
        <v>Winter</v>
      </c>
      <c r="P352" s="5" t="str">
        <f ca="1">IFERROR(__xludf.DUMMYFUNCTION("""COMPUTED_VALUE"""),"Huntsville")</f>
        <v>Huntsville</v>
      </c>
      <c r="Q352" s="5" t="str">
        <f ca="1">IFERROR(__xludf.DUMMYFUNCTION("""COMPUTED_VALUE"""),"AL")</f>
        <v>AL</v>
      </c>
      <c r="R352" s="5" t="str">
        <f ca="1">IFERROR(__xludf.DUMMYFUNCTION("""COMPUTED_VALUE"""),"Elementary")</f>
        <v>Elementary</v>
      </c>
      <c r="S352" s="5" t="str">
        <f ca="1">IFERROR(__xludf.DUMMYFUNCTION("""COMPUTED_VALUE"""),"Classroom")</f>
        <v>Classroom</v>
      </c>
      <c r="T352" s="5" t="str">
        <f ca="1">IFERROR(__xludf.DUMMYFUNCTION("""COMPUTED_VALUE"""),"Inside School Building")</f>
        <v>Inside School Building</v>
      </c>
      <c r="U352" s="5" t="str">
        <f ca="1">IFERROR(__xludf.DUMMYFUNCTION("""COMPUTED_VALUE"""),"Yes")</f>
        <v>Yes</v>
      </c>
      <c r="V352" s="5" t="str">
        <f ca="1">IFERROR(__xludf.DUMMYFUNCTION("""COMPUTED_VALUE"""),"Morning Classes")</f>
        <v>Morning Classes</v>
      </c>
      <c r="W352" s="10">
        <f ca="1">IFERROR(__xludf.DUMMYFUNCTION("""COMPUTED_VALUE"""),0.4375)</f>
        <v>0.4375</v>
      </c>
      <c r="X352" s="5">
        <f ca="1">IFERROR(__xludf.DUMMYFUNCTION("""COMPUTED_VALUE"""),1)</f>
        <v>1</v>
      </c>
      <c r="Y352" s="5" t="str">
        <f ca="1">IFERROR(__xludf.DUMMYFUNCTION("""COMPUTED_VALUE"""),"4th grader shot themselves inside classroom")</f>
        <v>4th grader shot themselves inside classroom</v>
      </c>
      <c r="Z352" s="5" t="str">
        <f ca="1">IFERROR(__xludf.DUMMYFUNCTION("""COMPUTED_VALUE"""),"A 4th grader accidentally shot themselves inside a classroom during morning classes. School went on lockdown. Student was transported to the hospital.")</f>
        <v>A 4th grader accidentally shot themselves inside a classroom during morning classes. School went on lockdown. Student was transported to the hospital.</v>
      </c>
      <c r="AA352" s="5" t="str">
        <f ca="1">IFERROR(__xludf.DUMMYFUNCTION("""COMPUTED_VALUE"""),"Accidental")</f>
        <v>Accidental</v>
      </c>
      <c r="AB352" s="5" t="str">
        <f ca="1">IFERROR(__xludf.DUMMYFUNCTION("""COMPUTED_VALUE"""),"Neither")</f>
        <v>Neither</v>
      </c>
      <c r="AC352" s="5" t="str">
        <f ca="1">IFERROR(__xludf.DUMMYFUNCTION("""COMPUTED_VALUE"""),"No")</f>
        <v>No</v>
      </c>
      <c r="AD352" s="5" t="str">
        <f ca="1">IFERROR(__xludf.DUMMYFUNCTION("""COMPUTED_VALUE"""),"No")</f>
        <v>No</v>
      </c>
      <c r="AE352" s="5" t="str">
        <f ca="1">IFERROR(__xludf.DUMMYFUNCTION("""COMPUTED_VALUE"""),"No")</f>
        <v>No</v>
      </c>
      <c r="AF352" s="5" t="str">
        <f ca="1">IFERROR(__xludf.DUMMYFUNCTION("""COMPUTED_VALUE"""),"No")</f>
        <v>No</v>
      </c>
      <c r="AG352" s="5" t="str">
        <f ca="1">IFERROR(__xludf.DUMMYFUNCTION("""COMPUTED_VALUE"""),"No")</f>
        <v>No</v>
      </c>
      <c r="AH352" s="5" t="str">
        <f ca="1">IFERROR(__xludf.DUMMYFUNCTION("""COMPUTED_VALUE"""),"No")</f>
        <v>No</v>
      </c>
      <c r="AI352" s="5" t="str">
        <f ca="1">IFERROR(__xludf.DUMMYFUNCTION("""COMPUTED_VALUE"""),"No")</f>
        <v>No</v>
      </c>
      <c r="AJ352" s="5" t="str">
        <f ca="1">IFERROR(__xludf.DUMMYFUNCTION("""COMPUTED_VALUE"""),"No")</f>
        <v>No</v>
      </c>
    </row>
    <row r="353" spans="1:36" ht="13">
      <c r="A353" s="5" t="str">
        <f ca="1">IFERROR(__xludf.DUMMYFUNCTION("""COMPUTED_VALUE"""),"20220223VAWOW")</f>
        <v>20220223VAWOW</v>
      </c>
      <c r="B353" s="5">
        <f ca="1">IFERROR(__xludf.DUMMYFUNCTION("""COMPUTED_VALUE"""),2)</f>
        <v>2</v>
      </c>
      <c r="C353" s="5">
        <f ca="1">IFERROR(__xludf.DUMMYFUNCTION("""COMPUTED_VALUE"""),23)</f>
        <v>23</v>
      </c>
      <c r="D353" s="5">
        <f ca="1">IFERROR(__xludf.DUMMYFUNCTION("""COMPUTED_VALUE"""),2022)</f>
        <v>2022</v>
      </c>
      <c r="E353" s="8">
        <f ca="1">IFERROR(__xludf.DUMMYFUNCTION("""COMPUTED_VALUE"""),44615)</f>
        <v>44615</v>
      </c>
      <c r="F353" s="5" t="str">
        <f ca="1">IFERROR(__xludf.DUMMYFUNCTION("""COMPUTED_VALUE"""),"Woodbridge High School")</f>
        <v>Woodbridge High School</v>
      </c>
      <c r="G353" s="5">
        <f ca="1">IFERROR(__xludf.DUMMYFUNCTION("""COMPUTED_VALUE"""),0)</f>
        <v>0</v>
      </c>
      <c r="H353" s="5">
        <f ca="1">IFERROR(__xludf.DUMMYFUNCTION("""COMPUTED_VALUE"""),0)</f>
        <v>0</v>
      </c>
      <c r="I353" s="5">
        <f ca="1">IFERROR(__xludf.DUMMYFUNCTION("""COMPUTED_VALUE"""),0)</f>
        <v>0</v>
      </c>
      <c r="J353" s="5">
        <f ca="1">IFERROR(__xludf.DUMMYFUNCTION("""COMPUTED_VALUE"""),0)</f>
        <v>0</v>
      </c>
      <c r="K353" s="5" t="str">
        <f ca="1">IFERROR(__xludf.DUMMYFUNCTION("""COMPUTED_VALUE"""),"https://patch.com/virginia/woodbridge-va/shot-fired-during-arguement-woodbridge-high-school-police https://www.insidenova.com/news/crime_police/shot-fired-outside-during-woodbridge-high-school-basketball-game/article_b3cbb604-95a6-11ec-8722-4f7af58c5947.h"&amp;"tml")</f>
        <v>https://patch.com/virginia/woodbridge-va/shot-fired-during-arguement-woodbridge-high-school-police https://www.insidenova.com/news/crime_police/shot-fired-outside-during-woodbridge-high-school-basketball-game/article_b3cbb604-95a6-11ec-8722-4f7af58c5947.html</v>
      </c>
      <c r="L353" s="5">
        <f ca="1">IFERROR(__xludf.DUMMYFUNCTION("""COMPUTED_VALUE"""),2)</f>
        <v>2</v>
      </c>
      <c r="M353" s="5" t="str">
        <f ca="1">IFERROR(__xludf.DUMMYFUNCTION("""COMPUTED_VALUE"""),"Local")</f>
        <v>Local</v>
      </c>
      <c r="N353" s="5">
        <f ca="1">IFERROR(__xludf.DUMMYFUNCTION("""COMPUTED_VALUE"""),4)</f>
        <v>4</v>
      </c>
      <c r="O353" s="5" t="str">
        <f ca="1">IFERROR(__xludf.DUMMYFUNCTION("""COMPUTED_VALUE"""),"Winter")</f>
        <v>Winter</v>
      </c>
      <c r="P353" s="5" t="str">
        <f ca="1">IFERROR(__xludf.DUMMYFUNCTION("""COMPUTED_VALUE"""),"Woodbridge")</f>
        <v>Woodbridge</v>
      </c>
      <c r="Q353" s="5" t="str">
        <f ca="1">IFERROR(__xludf.DUMMYFUNCTION("""COMPUTED_VALUE"""),"VA")</f>
        <v>VA</v>
      </c>
      <c r="R353" s="5" t="str">
        <f ca="1">IFERROR(__xludf.DUMMYFUNCTION("""COMPUTED_VALUE"""),"High")</f>
        <v>High</v>
      </c>
      <c r="S353" s="5" t="str">
        <f ca="1">IFERROR(__xludf.DUMMYFUNCTION("""COMPUTED_VALUE"""),"Parking Lot")</f>
        <v>Parking Lot</v>
      </c>
      <c r="T353" s="5" t="str">
        <f ca="1">IFERROR(__xludf.DUMMYFUNCTION("""COMPUTED_VALUE"""),"Outside on School Property")</f>
        <v>Outside on School Property</v>
      </c>
      <c r="U353" s="5" t="str">
        <f ca="1">IFERROR(__xludf.DUMMYFUNCTION("""COMPUTED_VALUE"""),"No")</f>
        <v>No</v>
      </c>
      <c r="V353" s="5" t="str">
        <f ca="1">IFERROR(__xludf.DUMMYFUNCTION("""COMPUTED_VALUE"""),"Sport Event")</f>
        <v>Sport Event</v>
      </c>
      <c r="W353" s="10">
        <f ca="1">IFERROR(__xludf.DUMMYFUNCTION("""COMPUTED_VALUE"""),0.840277777777777)</f>
        <v>0.84027777777777701</v>
      </c>
      <c r="X353" s="5">
        <f ca="1">IFERROR(__xludf.DUMMYFUNCTION("""COMPUTED_VALUE"""),1)</f>
        <v>1</v>
      </c>
      <c r="Y353" s="5" t="str">
        <f ca="1">IFERROR(__xludf.DUMMYFUNCTION("""COMPUTED_VALUE"""),"Shot fired during fight in parking lot outside basketball game")</f>
        <v>Shot fired during fight in parking lot outside basketball game</v>
      </c>
      <c r="Z353" s="5" t="str">
        <f ca="1">IFERROR(__xludf.DUMMYFUNCTION("""COMPUTED_VALUE"""),"A fight started in the parking lot of the school during a high school basketball game. Two officers assigned to the game went outside to break up the fight. One shot was fired from a vehicle leaving the parking lot. No injuries.")</f>
        <v>A fight started in the parking lot of the school during a high school basketball game. Two officers assigned to the game went outside to break up the fight. One shot was fired from a vehicle leaving the parking lot. No injuries.</v>
      </c>
      <c r="AA353" s="5" t="str">
        <f ca="1">IFERROR(__xludf.DUMMYFUNCTION("""COMPUTED_VALUE"""),"Escalation of Dispute")</f>
        <v>Escalation of Dispute</v>
      </c>
      <c r="AB353" s="5" t="str">
        <f ca="1">IFERROR(__xludf.DUMMYFUNCTION("""COMPUTED_VALUE"""),"Victims Targeted")</f>
        <v>Victims Targeted</v>
      </c>
      <c r="AC353" s="5" t="str">
        <f ca="1">IFERROR(__xludf.DUMMYFUNCTION("""COMPUTED_VALUE"""),"No")</f>
        <v>No</v>
      </c>
      <c r="AD353" s="5" t="str">
        <f ca="1">IFERROR(__xludf.DUMMYFUNCTION("""COMPUTED_VALUE"""),"No")</f>
        <v>No</v>
      </c>
      <c r="AE353" s="5" t="str">
        <f ca="1">IFERROR(__xludf.DUMMYFUNCTION("""COMPUTED_VALUE"""),"No")</f>
        <v>No</v>
      </c>
      <c r="AF353" s="5" t="str">
        <f ca="1">IFERROR(__xludf.DUMMYFUNCTION("""COMPUTED_VALUE"""),"No")</f>
        <v>No</v>
      </c>
      <c r="AG353" s="5" t="str">
        <f ca="1">IFERROR(__xludf.DUMMYFUNCTION("""COMPUTED_VALUE"""),"No")</f>
        <v>No</v>
      </c>
      <c r="AH353" s="5" t="str">
        <f ca="1">IFERROR(__xludf.DUMMYFUNCTION("""COMPUTED_VALUE"""),"No")</f>
        <v>No</v>
      </c>
      <c r="AI353" s="5" t="str">
        <f ca="1">IFERROR(__xludf.DUMMYFUNCTION("""COMPUTED_VALUE"""),"No")</f>
        <v>No</v>
      </c>
      <c r="AJ353" s="5" t="str">
        <f ca="1">IFERROR(__xludf.DUMMYFUNCTION("""COMPUTED_VALUE"""),"No")</f>
        <v>No</v>
      </c>
    </row>
    <row r="354" spans="1:36" ht="13">
      <c r="A354" s="5" t="str">
        <f ca="1">IFERROR(__xludf.DUMMYFUNCTION("""COMPUTED_VALUE"""),"20220222TXALH")</f>
        <v>20220222TXALH</v>
      </c>
      <c r="B354" s="5">
        <f ca="1">IFERROR(__xludf.DUMMYFUNCTION("""COMPUTED_VALUE"""),2)</f>
        <v>2</v>
      </c>
      <c r="C354" s="5">
        <f ca="1">IFERROR(__xludf.DUMMYFUNCTION("""COMPUTED_VALUE"""),22)</f>
        <v>22</v>
      </c>
      <c r="D354" s="5">
        <f ca="1">IFERROR(__xludf.DUMMYFUNCTION("""COMPUTED_VALUE"""),2022)</f>
        <v>2022</v>
      </c>
      <c r="E354" s="8">
        <f ca="1">IFERROR(__xludf.DUMMYFUNCTION("""COMPUTED_VALUE"""),44614)</f>
        <v>44614</v>
      </c>
      <c r="F354" s="5" t="str">
        <f ca="1">IFERROR(__xludf.DUMMYFUNCTION("""COMPUTED_VALUE"""),"Alief ISD Center for Advanced Careers")</f>
        <v>Alief ISD Center for Advanced Careers</v>
      </c>
      <c r="G354" s="5">
        <f ca="1">IFERROR(__xludf.DUMMYFUNCTION("""COMPUTED_VALUE"""),1)</f>
        <v>1</v>
      </c>
      <c r="H354" s="5">
        <f ca="1">IFERROR(__xludf.DUMMYFUNCTION("""COMPUTED_VALUE"""),0)</f>
        <v>0</v>
      </c>
      <c r="I354" s="5">
        <f ca="1">IFERROR(__xludf.DUMMYFUNCTION("""COMPUTED_VALUE"""),1)</f>
        <v>1</v>
      </c>
      <c r="J354" s="5">
        <f ca="1">IFERROR(__xludf.DUMMYFUNCTION("""COMPUTED_VALUE"""),0)</f>
        <v>0</v>
      </c>
      <c r="K354" s="5" t="str">
        <f ca="1">IFERROR(__xludf.DUMMYFUNCTION("""COMPUTED_VALUE"""),"https://abc13.com/houston-crime-deadly-shooting-investigation-richmond-avenue/11590414/ https://www.khou.com/article/news/crime/1-killed-1-wounded-in-shooting-near-alief-isd-school-facility-no-students-involved/285-2f99daff-4985-40d5-9542-375482020162 htt"&amp;"ps://www.youtube.com/watch?v=Fvq3y6smdQY")</f>
        <v>https://abc13.com/houston-crime-deadly-shooting-investigation-richmond-avenue/11590414/ https://www.khou.com/article/news/crime/1-killed-1-wounded-in-shooting-near-alief-isd-school-facility-no-students-involved/285-2f99daff-4985-40d5-9542-375482020162 https://www.youtube.com/watch?v=Fvq3y6smdQY</v>
      </c>
      <c r="L354" s="5">
        <f ca="1">IFERROR(__xludf.DUMMYFUNCTION("""COMPUTED_VALUE"""),10)</f>
        <v>10</v>
      </c>
      <c r="M354" s="5" t="str">
        <f ca="1">IFERROR(__xludf.DUMMYFUNCTION("""COMPUTED_VALUE"""),"Regional")</f>
        <v>Regional</v>
      </c>
      <c r="N354" s="5">
        <f ca="1">IFERROR(__xludf.DUMMYFUNCTION("""COMPUTED_VALUE"""),4)</f>
        <v>4</v>
      </c>
      <c r="O354" s="5" t="str">
        <f ca="1">IFERROR(__xludf.DUMMYFUNCTION("""COMPUTED_VALUE"""),"Winter")</f>
        <v>Winter</v>
      </c>
      <c r="P354" s="5" t="str">
        <f ca="1">IFERROR(__xludf.DUMMYFUNCTION("""COMPUTED_VALUE"""),"Houston")</f>
        <v>Houston</v>
      </c>
      <c r="Q354" s="5" t="str">
        <f ca="1">IFERROR(__xludf.DUMMYFUNCTION("""COMPUTED_VALUE"""),"TX")</f>
        <v>TX</v>
      </c>
      <c r="R354" s="5" t="str">
        <f ca="1">IFERROR(__xludf.DUMMYFUNCTION("""COMPUTED_VALUE"""),"High")</f>
        <v>High</v>
      </c>
      <c r="S354" s="5" t="str">
        <f ca="1">IFERROR(__xludf.DUMMYFUNCTION("""COMPUTED_VALUE"""),"Parking Lot")</f>
        <v>Parking Lot</v>
      </c>
      <c r="T354" s="5" t="str">
        <f ca="1">IFERROR(__xludf.DUMMYFUNCTION("""COMPUTED_VALUE"""),"Off School Property")</f>
        <v>Off School Property</v>
      </c>
      <c r="U354" s="5" t="str">
        <f ca="1">IFERROR(__xludf.DUMMYFUNCTION("""COMPUTED_VALUE"""),"No")</f>
        <v>No</v>
      </c>
      <c r="V354" s="5" t="str">
        <f ca="1">IFERROR(__xludf.DUMMYFUNCTION("""COMPUTED_VALUE"""),"After School")</f>
        <v>After School</v>
      </c>
      <c r="W354" s="10">
        <f ca="1">IFERROR(__xludf.DUMMYFUNCTION("""COMPUTED_VALUE"""),0.6875)</f>
        <v>0.6875</v>
      </c>
      <c r="X354" s="5">
        <f ca="1">IFERROR(__xludf.DUMMYFUNCTION("""COMPUTED_VALUE"""),1)</f>
        <v>1</v>
      </c>
      <c r="Y354" s="5" t="str">
        <f ca="1">IFERROR(__xludf.DUMMYFUNCTION("""COMPUTED_VALUE"""),"Two men shot in street in front of school, victim collapsed and died in school parking lot near front door")</f>
        <v>Two men shot in street in front of school, victim collapsed and died in school parking lot near front door</v>
      </c>
      <c r="Z354" s="5" t="str">
        <f ca="1">IFERROR(__xludf.DUMMYFUNCTION("""COMPUTED_VALUE"""),"Two men were shot during a dispute in the roadway in front of the school. One victim walked across the school parking lot and collapsed then died near the front door. Parents were picking up students at the time of the shooting.")</f>
        <v>Two men were shot during a dispute in the roadway in front of the school. One victim walked across the school parking lot and collapsed then died near the front door. Parents were picking up students at the time of the shooting.</v>
      </c>
      <c r="AA354" s="5" t="str">
        <f ca="1">IFERROR(__xludf.DUMMYFUNCTION("""COMPUTED_VALUE"""),"Escalation of Dispute")</f>
        <v>Escalation of Dispute</v>
      </c>
      <c r="AB354" s="5" t="str">
        <f ca="1">IFERROR(__xludf.DUMMYFUNCTION("""COMPUTED_VALUE"""),"Victims Targeted")</f>
        <v>Victims Targeted</v>
      </c>
      <c r="AC354" s="5"/>
      <c r="AD354" s="5" t="str">
        <f ca="1">IFERROR(__xludf.DUMMYFUNCTION("""COMPUTED_VALUE"""),"No")</f>
        <v>No</v>
      </c>
      <c r="AE354" s="5" t="str">
        <f ca="1">IFERROR(__xludf.DUMMYFUNCTION("""COMPUTED_VALUE"""),"No")</f>
        <v>No</v>
      </c>
      <c r="AF354" s="5" t="str">
        <f ca="1">IFERROR(__xludf.DUMMYFUNCTION("""COMPUTED_VALUE"""),"No")</f>
        <v>No</v>
      </c>
      <c r="AG354" s="5" t="str">
        <f ca="1">IFERROR(__xludf.DUMMYFUNCTION("""COMPUTED_VALUE"""),"No")</f>
        <v>No</v>
      </c>
      <c r="AH354" s="5" t="str">
        <f ca="1">IFERROR(__xludf.DUMMYFUNCTION("""COMPUTED_VALUE"""),"No")</f>
        <v>No</v>
      </c>
      <c r="AI354" s="5" t="str">
        <f ca="1">IFERROR(__xludf.DUMMYFUNCTION("""COMPUTED_VALUE"""),"No")</f>
        <v>No</v>
      </c>
      <c r="AJ354" s="5" t="str">
        <f ca="1">IFERROR(__xludf.DUMMYFUNCTION("""COMPUTED_VALUE"""),"No")</f>
        <v>No</v>
      </c>
    </row>
    <row r="355" spans="1:36" ht="13">
      <c r="A355" s="5" t="str">
        <f ca="1">IFERROR(__xludf.DUMMYFUNCTION("""COMPUTED_VALUE"""),"20220222COLIP")</f>
        <v>20220222COLIP</v>
      </c>
      <c r="B355" s="5">
        <f ca="1">IFERROR(__xludf.DUMMYFUNCTION("""COMPUTED_VALUE"""),2)</f>
        <v>2</v>
      </c>
      <c r="C355" s="5">
        <f ca="1">IFERROR(__xludf.DUMMYFUNCTION("""COMPUTED_VALUE"""),22)</f>
        <v>22</v>
      </c>
      <c r="D355" s="5">
        <f ca="1">IFERROR(__xludf.DUMMYFUNCTION("""COMPUTED_VALUE"""),2022)</f>
        <v>2022</v>
      </c>
      <c r="E355" s="8">
        <f ca="1">IFERROR(__xludf.DUMMYFUNCTION("""COMPUTED_VALUE"""),44614)</f>
        <v>44614</v>
      </c>
      <c r="F355" s="5" t="str">
        <f ca="1">IFERROR(__xludf.DUMMYFUNCTION("""COMPUTED_VALUE"""),"Liberty Point International Middle School")</f>
        <v>Liberty Point International Middle School</v>
      </c>
      <c r="G355" s="5">
        <f ca="1">IFERROR(__xludf.DUMMYFUNCTION("""COMPUTED_VALUE"""),1)</f>
        <v>1</v>
      </c>
      <c r="H355" s="5">
        <f ca="1">IFERROR(__xludf.DUMMYFUNCTION("""COMPUTED_VALUE"""),0)</f>
        <v>0</v>
      </c>
      <c r="I355" s="5">
        <f ca="1">IFERROR(__xludf.DUMMYFUNCTION("""COMPUTED_VALUE"""),1)</f>
        <v>1</v>
      </c>
      <c r="J355" s="5">
        <f ca="1">IFERROR(__xludf.DUMMYFUNCTION("""COMPUTED_VALUE"""),0)</f>
        <v>0</v>
      </c>
      <c r="K355" s="9" t="str">
        <f ca="1">IFERROR(__xludf.DUMMYFUNCTION("""COMPUTED_VALUE"""),"https://www.thedenverchannel.com/news/local-news/no-students-involved-in-police-shooting-at-pueblo-west-middle-school https://www.koaa.com/news/covering-colorado/no-students-involved-in-officer-involved-shooting-near-middle-school-in-pueblo-west https://w"&amp;"ww.kktv.com/2022/02/22/officer-involved-shooting-under-investigation-outside-pueblo-elementary-school/
https://www.nbcnews.com/news/us-news/family-man-shot-middle-school-pickup-sues-colorado-deputies-wrongful-d-rcna71678")</f>
        <v>https://www.thedenverchannel.com/news/local-news/no-students-involved-in-police-shooting-at-pueblo-west-middle-school https://www.koaa.com/news/covering-colorado/no-students-involved-in-officer-involved-shooting-near-middle-school-in-pueblo-west https://www.kktv.com/2022/02/22/officer-involved-shooting-under-investigation-outside-pueblo-elementary-school/
https://www.nbcnews.com/news/us-news/family-man-shot-middle-school-pickup-sues-colorado-deputies-wrongful-d-rcna71678</v>
      </c>
      <c r="L355" s="5">
        <f ca="1">IFERROR(__xludf.DUMMYFUNCTION("""COMPUTED_VALUE"""),20)</f>
        <v>20</v>
      </c>
      <c r="M355" s="5" t="str">
        <f ca="1">IFERROR(__xludf.DUMMYFUNCTION("""COMPUTED_VALUE"""),"National")</f>
        <v>National</v>
      </c>
      <c r="N355" s="5">
        <f ca="1">IFERROR(__xludf.DUMMYFUNCTION("""COMPUTED_VALUE"""),4)</f>
        <v>4</v>
      </c>
      <c r="O355" s="5" t="str">
        <f ca="1">IFERROR(__xludf.DUMMYFUNCTION("""COMPUTED_VALUE"""),"Winter")</f>
        <v>Winter</v>
      </c>
      <c r="P355" s="5" t="str">
        <f ca="1">IFERROR(__xludf.DUMMYFUNCTION("""COMPUTED_VALUE"""),"Pueblo")</f>
        <v>Pueblo</v>
      </c>
      <c r="Q355" s="5" t="str">
        <f ca="1">IFERROR(__xludf.DUMMYFUNCTION("""COMPUTED_VALUE"""),"CO")</f>
        <v>CO</v>
      </c>
      <c r="R355" s="5" t="str">
        <f ca="1">IFERROR(__xludf.DUMMYFUNCTION("""COMPUTED_VALUE"""),"Middle")</f>
        <v>Middle</v>
      </c>
      <c r="S355" s="5" t="str">
        <f ca="1">IFERROR(__xludf.DUMMYFUNCTION("""COMPUTED_VALUE"""),"Beside Building")</f>
        <v>Beside Building</v>
      </c>
      <c r="T355" s="5" t="str">
        <f ca="1">IFERROR(__xludf.DUMMYFUNCTION("""COMPUTED_VALUE"""),"Outside on School Property")</f>
        <v>Outside on School Property</v>
      </c>
      <c r="U355" s="5" t="str">
        <f ca="1">IFERROR(__xludf.DUMMYFUNCTION("""COMPUTED_VALUE"""),"Yes")</f>
        <v>Yes</v>
      </c>
      <c r="V355" s="5" t="str">
        <f ca="1">IFERROR(__xludf.DUMMYFUNCTION("""COMPUTED_VALUE"""),"Dismissal")</f>
        <v>Dismissal</v>
      </c>
      <c r="W355" s="10">
        <f ca="1">IFERROR(__xludf.DUMMYFUNCTION("""COMPUTED_VALUE"""),0.638888888888888)</f>
        <v>0.63888888888888795</v>
      </c>
      <c r="X355" s="5">
        <f ca="1">IFERROR(__xludf.DUMMYFUNCTION("""COMPUTED_VALUE"""),1)</f>
        <v>1</v>
      </c>
      <c r="Y355" s="5" t="str">
        <f ca="1">IFERROR(__xludf.DUMMYFUNCTION("""COMPUTED_VALUE"""),"Officers shot intoxicated and combative man on school property")</f>
        <v>Officers shot intoxicated and combative man on school property</v>
      </c>
      <c r="Z355" s="5" t="str">
        <f ca="1">IFERROR(__xludf.DUMMYFUNCTION("""COMPUTED_VALUE"""),"School staff called officers for an man on school property. When officers arrived, the man became combative and attacked on of the officers. The other officer fatally shot the man. No students or staff were injured.")</f>
        <v>School staff called officers for an man on school property. When officers arrived, the man became combative and attacked on of the officers. The other officer fatally shot the man. No students or staff were injured.</v>
      </c>
      <c r="AA355" s="5" t="str">
        <f ca="1">IFERROR(__xludf.DUMMYFUNCTION("""COMPUTED_VALUE"""),"Officer-Involved Shooting")</f>
        <v>Officer-Involved Shooting</v>
      </c>
      <c r="AB355" s="5" t="str">
        <f ca="1">IFERROR(__xludf.DUMMYFUNCTION("""COMPUTED_VALUE"""),"Victims Targeted")</f>
        <v>Victims Targeted</v>
      </c>
      <c r="AC355" s="5" t="str">
        <f ca="1">IFERROR(__xludf.DUMMYFUNCTION("""COMPUTED_VALUE"""),"No")</f>
        <v>No</v>
      </c>
      <c r="AD355" s="5" t="str">
        <f ca="1">IFERROR(__xludf.DUMMYFUNCTION("""COMPUTED_VALUE"""),"No")</f>
        <v>No</v>
      </c>
      <c r="AE355" s="5" t="str">
        <f ca="1">IFERROR(__xludf.DUMMYFUNCTION("""COMPUTED_VALUE"""),"No")</f>
        <v>No</v>
      </c>
      <c r="AF355" s="5" t="str">
        <f ca="1">IFERROR(__xludf.DUMMYFUNCTION("""COMPUTED_VALUE"""),"Yes")</f>
        <v>Yes</v>
      </c>
      <c r="AG355" s="5" t="str">
        <f ca="1">IFERROR(__xludf.DUMMYFUNCTION("""COMPUTED_VALUE"""),"No")</f>
        <v>No</v>
      </c>
      <c r="AH355" s="5" t="str">
        <f ca="1">IFERROR(__xludf.DUMMYFUNCTION("""COMPUTED_VALUE"""),"No")</f>
        <v>No</v>
      </c>
      <c r="AI355" s="5" t="str">
        <f ca="1">IFERROR(__xludf.DUMMYFUNCTION("""COMPUTED_VALUE"""),"No")</f>
        <v>No</v>
      </c>
      <c r="AJ355" s="5" t="str">
        <f ca="1">IFERROR(__xludf.DUMMYFUNCTION("""COMPUTED_VALUE"""),"No")</f>
        <v>No</v>
      </c>
    </row>
    <row r="356" spans="1:36" ht="13">
      <c r="A356" s="5" t="str">
        <f ca="1">IFERROR(__xludf.DUMMYFUNCTION("""COMPUTED_VALUE"""),"20220221MDJOH")</f>
        <v>20220221MDJOH</v>
      </c>
      <c r="B356" s="5">
        <f ca="1">IFERROR(__xludf.DUMMYFUNCTION("""COMPUTED_VALUE"""),2)</f>
        <v>2</v>
      </c>
      <c r="C356" s="5">
        <f ca="1">IFERROR(__xludf.DUMMYFUNCTION("""COMPUTED_VALUE"""),21)</f>
        <v>21</v>
      </c>
      <c r="D356" s="5">
        <f ca="1">IFERROR(__xludf.DUMMYFUNCTION("""COMPUTED_VALUE"""),2022)</f>
        <v>2022</v>
      </c>
      <c r="E356" s="8">
        <f ca="1">IFERROR(__xludf.DUMMYFUNCTION("""COMPUTED_VALUE"""),44613)</f>
        <v>44613</v>
      </c>
      <c r="F356" s="5" t="str">
        <f ca="1">IFERROR(__xludf.DUMMYFUNCTION("""COMPUTED_VALUE"""),"John Carroll Elementary School")</f>
        <v>John Carroll Elementary School</v>
      </c>
      <c r="G356" s="5">
        <f ca="1">IFERROR(__xludf.DUMMYFUNCTION("""COMPUTED_VALUE"""),1)</f>
        <v>1</v>
      </c>
      <c r="H356" s="5">
        <f ca="1">IFERROR(__xludf.DUMMYFUNCTION("""COMPUTED_VALUE"""),0)</f>
        <v>0</v>
      </c>
      <c r="I356" s="5">
        <f ca="1">IFERROR(__xludf.DUMMYFUNCTION("""COMPUTED_VALUE"""),1)</f>
        <v>1</v>
      </c>
      <c r="J356" s="5">
        <f ca="1">IFERROR(__xludf.DUMMYFUNCTION("""COMPUTED_VALUE"""),0)</f>
        <v>0</v>
      </c>
      <c r="K356" s="5" t="str">
        <f ca="1">IFERROR(__xludf.DUMMYFUNCTION("""COMPUTED_VALUE"""),"https://www.nbcwashington.com/news/local/prince-georges-county/man-shot-killed-near-prince-georges-county-school/2979584/ https://wtop.com/prince-georges-county/2022/02/1-dead-after-shooting-near-elementary-school-in-prince-georges-co/")</f>
        <v>https://www.nbcwashington.com/news/local/prince-georges-county/man-shot-killed-near-prince-georges-county-school/2979584/ https://wtop.com/prince-georges-county/2022/02/1-dead-after-shooting-near-elementary-school-in-prince-georges-co/</v>
      </c>
      <c r="L356" s="5">
        <f ca="1">IFERROR(__xludf.DUMMYFUNCTION("""COMPUTED_VALUE"""),2)</f>
        <v>2</v>
      </c>
      <c r="M356" s="5" t="str">
        <f ca="1">IFERROR(__xludf.DUMMYFUNCTION("""COMPUTED_VALUE"""),"Local")</f>
        <v>Local</v>
      </c>
      <c r="N356" s="5">
        <f ca="1">IFERROR(__xludf.DUMMYFUNCTION("""COMPUTED_VALUE"""),4)</f>
        <v>4</v>
      </c>
      <c r="O356" s="5" t="str">
        <f ca="1">IFERROR(__xludf.DUMMYFUNCTION("""COMPUTED_VALUE"""),"Winter")</f>
        <v>Winter</v>
      </c>
      <c r="P356" s="5" t="str">
        <f ca="1">IFERROR(__xludf.DUMMYFUNCTION("""COMPUTED_VALUE"""),"Hyattsville")</f>
        <v>Hyattsville</v>
      </c>
      <c r="Q356" s="5" t="str">
        <f ca="1">IFERROR(__xludf.DUMMYFUNCTION("""COMPUTED_VALUE"""),"MD")</f>
        <v>MD</v>
      </c>
      <c r="R356" s="5" t="str">
        <f ca="1">IFERROR(__xludf.DUMMYFUNCTION("""COMPUTED_VALUE"""),"Elementary")</f>
        <v>Elementary</v>
      </c>
      <c r="S356" s="5" t="str">
        <f ca="1">IFERROR(__xludf.DUMMYFUNCTION("""COMPUTED_VALUE"""),"Playground")</f>
        <v>Playground</v>
      </c>
      <c r="T356" s="5" t="str">
        <f ca="1">IFERROR(__xludf.DUMMYFUNCTION("""COMPUTED_VALUE"""),"Outside on School Property")</f>
        <v>Outside on School Property</v>
      </c>
      <c r="U356" s="5" t="str">
        <f ca="1">IFERROR(__xludf.DUMMYFUNCTION("""COMPUTED_VALUE"""),"No")</f>
        <v>No</v>
      </c>
      <c r="V356" s="5" t="str">
        <f ca="1">IFERROR(__xludf.DUMMYFUNCTION("""COMPUTED_VALUE"""),"Evening")</f>
        <v>Evening</v>
      </c>
      <c r="W356" s="10">
        <f ca="1">IFERROR(__xludf.DUMMYFUNCTION("""COMPUTED_VALUE"""),0.722222222222222)</f>
        <v>0.72222222222222199</v>
      </c>
      <c r="X356" s="5">
        <f ca="1">IFERROR(__xludf.DUMMYFUNCTION("""COMPUTED_VALUE"""),1)</f>
        <v>1</v>
      </c>
      <c r="Y356" s="5" t="str">
        <f ca="1">IFERROR(__xludf.DUMMYFUNCTION("""COMPUTED_VALUE"""),"Man fatally shot on playground behind school")</f>
        <v>Man fatally shot on playground behind school</v>
      </c>
      <c r="Z356" s="5" t="str">
        <f ca="1">IFERROR(__xludf.DUMMYFUNCTION("""COMPUTED_VALUE"""),"An adult male was fatally shot on the school playground. Children were on the playground at the time of the shooting. Shooter fled. Parent reported seeing a group of men walk up to the playground and start smoking marijuana before the shooting.")</f>
        <v>An adult male was fatally shot on the school playground. Children were on the playground at the time of the shooting. Shooter fled. Parent reported seeing a group of men walk up to the playground and start smoking marijuana before the shooting.</v>
      </c>
      <c r="AA356" s="5" t="str">
        <f ca="1">IFERROR(__xludf.DUMMYFUNCTION("""COMPUTED_VALUE"""),"Illegal Activity")</f>
        <v>Illegal Activity</v>
      </c>
      <c r="AB356" s="5" t="str">
        <f ca="1">IFERROR(__xludf.DUMMYFUNCTION("""COMPUTED_VALUE"""),"Victims Targeted")</f>
        <v>Victims Targeted</v>
      </c>
      <c r="AC356" s="5" t="str">
        <f ca="1">IFERROR(__xludf.DUMMYFUNCTION("""COMPUTED_VALUE"""),"No")</f>
        <v>No</v>
      </c>
      <c r="AD356" s="5" t="str">
        <f ca="1">IFERROR(__xludf.DUMMYFUNCTION("""COMPUTED_VALUE"""),"No")</f>
        <v>No</v>
      </c>
      <c r="AE356" s="5" t="str">
        <f ca="1">IFERROR(__xludf.DUMMYFUNCTION("""COMPUTED_VALUE"""),"No")</f>
        <v>No</v>
      </c>
      <c r="AF356" s="5" t="str">
        <f ca="1">IFERROR(__xludf.DUMMYFUNCTION("""COMPUTED_VALUE"""),"No")</f>
        <v>No</v>
      </c>
      <c r="AG356" s="5" t="str">
        <f ca="1">IFERROR(__xludf.DUMMYFUNCTION("""COMPUTED_VALUE"""),"No")</f>
        <v>No</v>
      </c>
      <c r="AH356" s="5" t="str">
        <f ca="1">IFERROR(__xludf.DUMMYFUNCTION("""COMPUTED_VALUE"""),"No")</f>
        <v>No</v>
      </c>
      <c r="AI356" s="5"/>
      <c r="AJ356" s="5" t="str">
        <f ca="1">IFERROR(__xludf.DUMMYFUNCTION("""COMPUTED_VALUE"""),"No")</f>
        <v>No</v>
      </c>
    </row>
    <row r="357" spans="1:36" ht="13">
      <c r="A357" s="5" t="str">
        <f ca="1">IFERROR(__xludf.DUMMYFUNCTION("""COMPUTED_VALUE"""),"20220220OKWIW")</f>
        <v>20220220OKWIW</v>
      </c>
      <c r="B357" s="5">
        <f ca="1">IFERROR(__xludf.DUMMYFUNCTION("""COMPUTED_VALUE"""),2)</f>
        <v>2</v>
      </c>
      <c r="C357" s="5">
        <f ca="1">IFERROR(__xludf.DUMMYFUNCTION("""COMPUTED_VALUE"""),20)</f>
        <v>20</v>
      </c>
      <c r="D357" s="5">
        <f ca="1">IFERROR(__xludf.DUMMYFUNCTION("""COMPUTED_VALUE"""),2022)</f>
        <v>2022</v>
      </c>
      <c r="E357" s="8">
        <f ca="1">IFERROR(__xludf.DUMMYFUNCTION("""COMPUTED_VALUE"""),44612)</f>
        <v>44612</v>
      </c>
      <c r="F357" s="5" t="str">
        <f ca="1">IFERROR(__xludf.DUMMYFUNCTION("""COMPUTED_VALUE"""),"Wilson Middle School")</f>
        <v>Wilson Middle School</v>
      </c>
      <c r="G357" s="5">
        <f ca="1">IFERROR(__xludf.DUMMYFUNCTION("""COMPUTED_VALUE"""),0)</f>
        <v>0</v>
      </c>
      <c r="H357" s="5">
        <f ca="1">IFERROR(__xludf.DUMMYFUNCTION("""COMPUTED_VALUE"""),1)</f>
        <v>1</v>
      </c>
      <c r="I357" s="5">
        <f ca="1">IFERROR(__xludf.DUMMYFUNCTION("""COMPUTED_VALUE"""),1)</f>
        <v>1</v>
      </c>
      <c r="J357" s="5">
        <f ca="1">IFERROR(__xludf.DUMMYFUNCTION("""COMPUTED_VALUE"""),0)</f>
        <v>0</v>
      </c>
      <c r="K357" s="5" t="str">
        <f ca="1">IFERROR(__xludf.DUMMYFUNCTION("""COMPUTED_VALUE"""),"https://www.kswo.com/2022/02/21/wilson-police-department-searching-man-who-shot-officer/ https://www.kxii.com/2022/02/21/wilson-police-looking-shooting-suspect/ https://www.news9.com/story/6212ea8b8a6f230727a5df02/police-offering-reward-for-arrest-convict"&amp;"ion-of-suspect-that-shot-officer")</f>
        <v>https://www.kswo.com/2022/02/21/wilson-police-department-searching-man-who-shot-officer/ https://www.kxii.com/2022/02/21/wilson-police-looking-shooting-suspect/ https://www.news9.com/story/6212ea8b8a6f230727a5df02/police-offering-reward-for-arrest-conviction-of-suspect-that-shot-officer</v>
      </c>
      <c r="L357" s="5">
        <f ca="1">IFERROR(__xludf.DUMMYFUNCTION("""COMPUTED_VALUE"""),3)</f>
        <v>3</v>
      </c>
      <c r="M357" s="5" t="str">
        <f ca="1">IFERROR(__xludf.DUMMYFUNCTION("""COMPUTED_VALUE"""),"Local")</f>
        <v>Local</v>
      </c>
      <c r="N357" s="5">
        <f ca="1">IFERROR(__xludf.DUMMYFUNCTION("""COMPUTED_VALUE"""),4)</f>
        <v>4</v>
      </c>
      <c r="O357" s="5" t="str">
        <f ca="1">IFERROR(__xludf.DUMMYFUNCTION("""COMPUTED_VALUE"""),"Winter")</f>
        <v>Winter</v>
      </c>
      <c r="P357" s="5" t="str">
        <f ca="1">IFERROR(__xludf.DUMMYFUNCTION("""COMPUTED_VALUE"""),"Wilson")</f>
        <v>Wilson</v>
      </c>
      <c r="Q357" s="5" t="str">
        <f ca="1">IFERROR(__xludf.DUMMYFUNCTION("""COMPUTED_VALUE"""),"OK")</f>
        <v>OK</v>
      </c>
      <c r="R357" s="5" t="str">
        <f ca="1">IFERROR(__xludf.DUMMYFUNCTION("""COMPUTED_VALUE"""),"Middle")</f>
        <v>Middle</v>
      </c>
      <c r="S357" s="5" t="str">
        <f ca="1">IFERROR(__xludf.DUMMYFUNCTION("""COMPUTED_VALUE"""),"Football Field/Track")</f>
        <v>Football Field/Track</v>
      </c>
      <c r="T357" s="5" t="str">
        <f ca="1">IFERROR(__xludf.DUMMYFUNCTION("""COMPUTED_VALUE"""),"Outside on School Property")</f>
        <v>Outside on School Property</v>
      </c>
      <c r="U357" s="5" t="str">
        <f ca="1">IFERROR(__xludf.DUMMYFUNCTION("""COMPUTED_VALUE"""),"No")</f>
        <v>No</v>
      </c>
      <c r="V357" s="5" t="str">
        <f ca="1">IFERROR(__xludf.DUMMYFUNCTION("""COMPUTED_VALUE"""),"Night")</f>
        <v>Night</v>
      </c>
      <c r="W357" s="10">
        <f ca="1">IFERROR(__xludf.DUMMYFUNCTION("""COMPUTED_VALUE"""),0.145833333333333)</f>
        <v>0.14583333333333301</v>
      </c>
      <c r="X357" s="5">
        <f ca="1">IFERROR(__xludf.DUMMYFUNCTION("""COMPUTED_VALUE"""),1)</f>
        <v>1</v>
      </c>
      <c r="Y357" s="5" t="str">
        <f ca="1">IFERROR(__xludf.DUMMYFUNCTION("""COMPUTED_VALUE"""),"Office shot twice while investigating suspicious man behind school")</f>
        <v>Office shot twice while investigating suspicious man behind school</v>
      </c>
      <c r="Z357" s="5" t="str">
        <f ca="1">IFERROR(__xludf.DUMMYFUNCTION("""COMPUTED_VALUE"""),"A police officer was shot twice while investigating a suspicious man near the football field behind the school. When the officer approached, the man shot him twice in the chest, and then fled. The officer was protected by his ballistic vest.")</f>
        <v>A police officer was shot twice while investigating a suspicious man near the football field behind the school. When the officer approached, the man shot him twice in the chest, and then fled. The officer was protected by his ballistic vest.</v>
      </c>
      <c r="AA357" s="5" t="str">
        <f ca="1">IFERROR(__xludf.DUMMYFUNCTION("""COMPUTED_VALUE"""),"Illegal Activity")</f>
        <v>Illegal Activity</v>
      </c>
      <c r="AB357" s="5" t="str">
        <f ca="1">IFERROR(__xludf.DUMMYFUNCTION("""COMPUTED_VALUE"""),"Victims Targeted")</f>
        <v>Victims Targeted</v>
      </c>
      <c r="AC357" s="5" t="str">
        <f ca="1">IFERROR(__xludf.DUMMYFUNCTION("""COMPUTED_VALUE"""),"No")</f>
        <v>No</v>
      </c>
      <c r="AD357" s="5" t="str">
        <f ca="1">IFERROR(__xludf.DUMMYFUNCTION("""COMPUTED_VALUE"""),"No")</f>
        <v>No</v>
      </c>
      <c r="AE357" s="5" t="str">
        <f ca="1">IFERROR(__xludf.DUMMYFUNCTION("""COMPUTED_VALUE"""),"No")</f>
        <v>No</v>
      </c>
      <c r="AF357" s="5" t="str">
        <f ca="1">IFERROR(__xludf.DUMMYFUNCTION("""COMPUTED_VALUE"""),"No")</f>
        <v>No</v>
      </c>
      <c r="AG357" s="5" t="str">
        <f ca="1">IFERROR(__xludf.DUMMYFUNCTION("""COMPUTED_VALUE"""),"No")</f>
        <v>No</v>
      </c>
      <c r="AH357" s="5" t="str">
        <f ca="1">IFERROR(__xludf.DUMMYFUNCTION("""COMPUTED_VALUE"""),"No")</f>
        <v>No</v>
      </c>
      <c r="AI357" s="5" t="str">
        <f ca="1">IFERROR(__xludf.DUMMYFUNCTION("""COMPUTED_VALUE"""),"No")</f>
        <v>No</v>
      </c>
      <c r="AJ357" s="5" t="str">
        <f ca="1">IFERROR(__xludf.DUMMYFUNCTION("""COMPUTED_VALUE"""),"No")</f>
        <v>No</v>
      </c>
    </row>
    <row r="358" spans="1:36" ht="13">
      <c r="A358" s="5" t="str">
        <f ca="1">IFERROR(__xludf.DUMMYFUNCTION("""COMPUTED_VALUE"""),"20220220MSMCM")</f>
        <v>20220220MSMCM</v>
      </c>
      <c r="B358" s="5">
        <f ca="1">IFERROR(__xludf.DUMMYFUNCTION("""COMPUTED_VALUE"""),2)</f>
        <v>2</v>
      </c>
      <c r="C358" s="5">
        <f ca="1">IFERROR(__xludf.DUMMYFUNCTION("""COMPUTED_VALUE"""),20)</f>
        <v>20</v>
      </c>
      <c r="D358" s="5">
        <f ca="1">IFERROR(__xludf.DUMMYFUNCTION("""COMPUTED_VALUE"""),2022)</f>
        <v>2022</v>
      </c>
      <c r="E358" s="8">
        <f ca="1">IFERROR(__xludf.DUMMYFUNCTION("""COMPUTED_VALUE"""),44612)</f>
        <v>44612</v>
      </c>
      <c r="F358" s="5" t="str">
        <f ca="1">IFERROR(__xludf.DUMMYFUNCTION("""COMPUTED_VALUE"""),"McColm High School")</f>
        <v>McColm High School</v>
      </c>
      <c r="G358" s="5">
        <f ca="1">IFERROR(__xludf.DUMMYFUNCTION("""COMPUTED_VALUE"""),1)</f>
        <v>1</v>
      </c>
      <c r="H358" s="5">
        <f ca="1">IFERROR(__xludf.DUMMYFUNCTION("""COMPUTED_VALUE"""),4)</f>
        <v>4</v>
      </c>
      <c r="I358" s="5">
        <f ca="1">IFERROR(__xludf.DUMMYFUNCTION("""COMPUTED_VALUE"""),5)</f>
        <v>5</v>
      </c>
      <c r="J358" s="5">
        <f ca="1">IFERROR(__xludf.DUMMYFUNCTION("""COMPUTED_VALUE"""),0)</f>
        <v>0</v>
      </c>
      <c r="K358" s="5" t="str">
        <f ca="1">IFERROR(__xludf.DUMMYFUNCTION("""COMPUTED_VALUE"""),"https://www.enterprise-journal.com/crime-local-content-top-stories/four-arrested-park-shooting#sthash.keCSEDXd.hHDr4yOI.dpbs https://wreg.com/news/mid-south/6-year-old-killed-4-injured-in-mississippi-shooting/ https://www.newsweek.com/boy-killed-others-wo"&amp;"unded-drive-shooting-mississippi-1681036 https://www.wjtv.com/news/6-year-old-killed-4-injured-in-mccomb-shooting/ https://www.foxnews.com/us/mississippi-6-year-old-shot-killed-drive-police")</f>
        <v>https://www.enterprise-journal.com/crime-local-content-top-stories/four-arrested-park-shooting#sthash.keCSEDXd.hHDr4yOI.dpbs https://wreg.com/news/mid-south/6-year-old-killed-4-injured-in-mississippi-shooting/ https://www.newsweek.com/boy-killed-others-wounded-drive-shooting-mississippi-1681036 https://www.wjtv.com/news/6-year-old-killed-4-injured-in-mccomb-shooting/ https://www.foxnews.com/us/mississippi-6-year-old-shot-killed-drive-police</v>
      </c>
      <c r="L358" s="5">
        <f ca="1">IFERROR(__xludf.DUMMYFUNCTION("""COMPUTED_VALUE"""),10)</f>
        <v>10</v>
      </c>
      <c r="M358" s="5" t="str">
        <f ca="1">IFERROR(__xludf.DUMMYFUNCTION("""COMPUTED_VALUE"""),"National")</f>
        <v>National</v>
      </c>
      <c r="N358" s="5">
        <f ca="1">IFERROR(__xludf.DUMMYFUNCTION("""COMPUTED_VALUE"""),4)</f>
        <v>4</v>
      </c>
      <c r="O358" s="5" t="str">
        <f ca="1">IFERROR(__xludf.DUMMYFUNCTION("""COMPUTED_VALUE"""),"Winter")</f>
        <v>Winter</v>
      </c>
      <c r="P358" s="5" t="str">
        <f ca="1">IFERROR(__xludf.DUMMYFUNCTION("""COMPUTED_VALUE"""),"McColm")</f>
        <v>McColm</v>
      </c>
      <c r="Q358" s="5" t="str">
        <f ca="1">IFERROR(__xludf.DUMMYFUNCTION("""COMPUTED_VALUE"""),"MS")</f>
        <v>MS</v>
      </c>
      <c r="R358" s="5" t="str">
        <f ca="1">IFERROR(__xludf.DUMMYFUNCTION("""COMPUTED_VALUE"""),"High")</f>
        <v>High</v>
      </c>
      <c r="S358" s="5" t="str">
        <f ca="1">IFERROR(__xludf.DUMMYFUNCTION("""COMPUTED_VALUE"""),"Basketball Court")</f>
        <v>Basketball Court</v>
      </c>
      <c r="T358" s="5" t="str">
        <f ca="1">IFERROR(__xludf.DUMMYFUNCTION("""COMPUTED_VALUE"""),"Outside on School Property")</f>
        <v>Outside on School Property</v>
      </c>
      <c r="U358" s="5" t="str">
        <f ca="1">IFERROR(__xludf.DUMMYFUNCTION("""COMPUTED_VALUE"""),"No")</f>
        <v>No</v>
      </c>
      <c r="V358" s="5" t="str">
        <f ca="1">IFERROR(__xludf.DUMMYFUNCTION("""COMPUTED_VALUE"""),"Sport Event")</f>
        <v>Sport Event</v>
      </c>
      <c r="W358" s="10">
        <f ca="1">IFERROR(__xludf.DUMMYFUNCTION("""COMPUTED_VALUE"""),0.701388888888888)</f>
        <v>0.70138888888888795</v>
      </c>
      <c r="X358" s="5">
        <f ca="1">IFERROR(__xludf.DUMMYFUNCTION("""COMPUTED_VALUE"""),1)</f>
        <v>1</v>
      </c>
      <c r="Y358" s="5" t="str">
        <f ca="1">IFERROR(__xludf.DUMMYFUNCTION("""COMPUTED_VALUE"""),"Drive-by shooting following basketball game")</f>
        <v>Drive-by shooting following basketball game</v>
      </c>
      <c r="Z358" s="5" t="str">
        <f ca="1">IFERROR(__xludf.DUMMYFUNCTION("""COMPUTED_VALUE"""),"A 6-year-old boy was killed and 4 others were wounded during a drive-by shooting following a basketball game behind the high school. 4 teens arrested and charged with capital murder.")</f>
        <v>A 6-year-old boy was killed and 4 others were wounded during a drive-by shooting following a basketball game behind the high school. 4 teens arrested and charged with capital murder.</v>
      </c>
      <c r="AA358" s="5" t="str">
        <f ca="1">IFERROR(__xludf.DUMMYFUNCTION("""COMPUTED_VALUE"""),"Drive-by Shooting")</f>
        <v>Drive-by Shooting</v>
      </c>
      <c r="AB358" s="5" t="str">
        <f ca="1">IFERROR(__xludf.DUMMYFUNCTION("""COMPUTED_VALUE"""),"Both")</f>
        <v>Both</v>
      </c>
      <c r="AC358" s="5" t="str">
        <f ca="1">IFERROR(__xludf.DUMMYFUNCTION("""COMPUTED_VALUE"""),"Yes")</f>
        <v>Yes</v>
      </c>
      <c r="AD358" s="5" t="str">
        <f ca="1">IFERROR(__xludf.DUMMYFUNCTION("""COMPUTED_VALUE"""),"No")</f>
        <v>No</v>
      </c>
      <c r="AE358" s="5" t="str">
        <f ca="1">IFERROR(__xludf.DUMMYFUNCTION("""COMPUTED_VALUE"""),"No")</f>
        <v>No</v>
      </c>
      <c r="AF358" s="5" t="str">
        <f ca="1">IFERROR(__xludf.DUMMYFUNCTION("""COMPUTED_VALUE"""),"No")</f>
        <v>No</v>
      </c>
      <c r="AG358" s="5" t="str">
        <f ca="1">IFERROR(__xludf.DUMMYFUNCTION("""COMPUTED_VALUE"""),"No")</f>
        <v>No</v>
      </c>
      <c r="AH358" s="5" t="str">
        <f ca="1">IFERROR(__xludf.DUMMYFUNCTION("""COMPUTED_VALUE"""),"No")</f>
        <v>No</v>
      </c>
      <c r="AI358" s="5"/>
      <c r="AJ358" s="5" t="str">
        <f ca="1">IFERROR(__xludf.DUMMYFUNCTION("""COMPUTED_VALUE"""),"No")</f>
        <v>No</v>
      </c>
    </row>
    <row r="359" spans="1:36" ht="13">
      <c r="A359" s="5" t="str">
        <f ca="1">IFERROR(__xludf.DUMMYFUNCTION("""COMPUTED_VALUE"""),"20220219VACAC")</f>
        <v>20220219VACAC</v>
      </c>
      <c r="B359" s="5">
        <f ca="1">IFERROR(__xludf.DUMMYFUNCTION("""COMPUTED_VALUE"""),2)</f>
        <v>2</v>
      </c>
      <c r="C359" s="5">
        <f ca="1">IFERROR(__xludf.DUMMYFUNCTION("""COMPUTED_VALUE"""),19)</f>
        <v>19</v>
      </c>
      <c r="D359" s="5">
        <f ca="1">IFERROR(__xludf.DUMMYFUNCTION("""COMPUTED_VALUE"""),2022)</f>
        <v>2022</v>
      </c>
      <c r="E359" s="8">
        <f ca="1">IFERROR(__xludf.DUMMYFUNCTION("""COMPUTED_VALUE"""),44611)</f>
        <v>44611</v>
      </c>
      <c r="F359" s="5" t="str">
        <f ca="1">IFERROR(__xludf.DUMMYFUNCTION("""COMPUTED_VALUE"""),"Camelot Elementary School")</f>
        <v>Camelot Elementary School</v>
      </c>
      <c r="G359" s="5">
        <f ca="1">IFERROR(__xludf.DUMMYFUNCTION("""COMPUTED_VALUE"""),1)</f>
        <v>1</v>
      </c>
      <c r="H359" s="5">
        <f ca="1">IFERROR(__xludf.DUMMYFUNCTION("""COMPUTED_VALUE"""),0)</f>
        <v>0</v>
      </c>
      <c r="I359" s="5">
        <f ca="1">IFERROR(__xludf.DUMMYFUNCTION("""COMPUTED_VALUE"""),1)</f>
        <v>1</v>
      </c>
      <c r="J359" s="5">
        <f ca="1">IFERROR(__xludf.DUMMYFUNCTION("""COMPUTED_VALUE"""),0)</f>
        <v>0</v>
      </c>
      <c r="K359" s="5" t="str">
        <f ca="1">IFERROR(__xludf.DUMMYFUNCTION("""COMPUTED_VALUE"""),"https://www.wavy.com/news/local-news/chesapeake/police-no-charges-expected-to-be-filed-after-17-year-old-fatally-shot-in-chesapeake-saturday/ https://www.13newsnow.com/article/news/local/mycity/chesapeake/shooting-near-community-center-chesapeake-boy-inju"&amp;"red/291-2db11ae5-89fd-465b-ad03-70edfb41d592")</f>
        <v>https://www.wavy.com/news/local-news/chesapeake/police-no-charges-expected-to-be-filed-after-17-year-old-fatally-shot-in-chesapeake-saturday/ https://www.13newsnow.com/article/news/local/mycity/chesapeake/shooting-near-community-center-chesapeake-boy-injured/291-2db11ae5-89fd-465b-ad03-70edfb41d592</v>
      </c>
      <c r="L359" s="5">
        <f ca="1">IFERROR(__xludf.DUMMYFUNCTION("""COMPUTED_VALUE"""),1)</f>
        <v>1</v>
      </c>
      <c r="M359" s="5" t="str">
        <f ca="1">IFERROR(__xludf.DUMMYFUNCTION("""COMPUTED_VALUE"""),"Local")</f>
        <v>Local</v>
      </c>
      <c r="N359" s="5">
        <f ca="1">IFERROR(__xludf.DUMMYFUNCTION("""COMPUTED_VALUE"""),3)</f>
        <v>3</v>
      </c>
      <c r="O359" s="5" t="str">
        <f ca="1">IFERROR(__xludf.DUMMYFUNCTION("""COMPUTED_VALUE"""),"Winter")</f>
        <v>Winter</v>
      </c>
      <c r="P359" s="5" t="str">
        <f ca="1">IFERROR(__xludf.DUMMYFUNCTION("""COMPUTED_VALUE"""),"Chesapeake")</f>
        <v>Chesapeake</v>
      </c>
      <c r="Q359" s="5" t="str">
        <f ca="1">IFERROR(__xludf.DUMMYFUNCTION("""COMPUTED_VALUE"""),"VA")</f>
        <v>VA</v>
      </c>
      <c r="R359" s="5" t="str">
        <f ca="1">IFERROR(__xludf.DUMMYFUNCTION("""COMPUTED_VALUE"""),"Elementary")</f>
        <v>Elementary</v>
      </c>
      <c r="S359" s="5" t="str">
        <f ca="1">IFERROR(__xludf.DUMMYFUNCTION("""COMPUTED_VALUE"""),"Parking Lot")</f>
        <v>Parking Lot</v>
      </c>
      <c r="T359" s="5" t="str">
        <f ca="1">IFERROR(__xludf.DUMMYFUNCTION("""COMPUTED_VALUE"""),"Outside on School Property")</f>
        <v>Outside on School Property</v>
      </c>
      <c r="U359" s="5" t="str">
        <f ca="1">IFERROR(__xludf.DUMMYFUNCTION("""COMPUTED_VALUE"""),"No")</f>
        <v>No</v>
      </c>
      <c r="V359" s="5" t="str">
        <f ca="1">IFERROR(__xludf.DUMMYFUNCTION("""COMPUTED_VALUE"""),"Not a School Day")</f>
        <v>Not a School Day</v>
      </c>
      <c r="W359" s="10">
        <f ca="1">IFERROR(__xludf.DUMMYFUNCTION("""COMPUTED_VALUE"""),0.546527777777777)</f>
        <v>0.54652777777777695</v>
      </c>
      <c r="X359" s="5">
        <f ca="1">IFERROR(__xludf.DUMMYFUNCTION("""COMPUTED_VALUE"""),1)</f>
        <v>1</v>
      </c>
      <c r="Y359" s="5" t="str">
        <f ca="1">IFERROR(__xludf.DUMMYFUNCTION("""COMPUTED_VALUE"""),"Teen shot in parking lot")</f>
        <v>Teen shot in parking lot</v>
      </c>
      <c r="Z359" s="5" t="str">
        <f ca="1">IFERROR(__xludf.DUMMYFUNCTION("""COMPUTED_VALUE"""),"17-year-old male was fatally shot in the school parking lot. Police said that all people involved were interviewed and no charges will be filed. No other information available.")</f>
        <v>17-year-old male was fatally shot in the school parking lot. Police said that all people involved were interviewed and no charges will be filed. No other information available.</v>
      </c>
      <c r="AA359" s="5"/>
      <c r="AB359" s="5"/>
      <c r="AC359" s="5" t="str">
        <f ca="1">IFERROR(__xludf.DUMMYFUNCTION("""COMPUTED_VALUE"""),"No")</f>
        <v>No</v>
      </c>
      <c r="AD359" s="5" t="str">
        <f ca="1">IFERROR(__xludf.DUMMYFUNCTION("""COMPUTED_VALUE"""),"No")</f>
        <v>No</v>
      </c>
      <c r="AE359" s="5" t="str">
        <f ca="1">IFERROR(__xludf.DUMMYFUNCTION("""COMPUTED_VALUE"""),"No")</f>
        <v>No</v>
      </c>
      <c r="AF359" s="5" t="str">
        <f ca="1">IFERROR(__xludf.DUMMYFUNCTION("""COMPUTED_VALUE"""),"No")</f>
        <v>No</v>
      </c>
      <c r="AG359" s="5" t="str">
        <f ca="1">IFERROR(__xludf.DUMMYFUNCTION("""COMPUTED_VALUE"""),"No")</f>
        <v>No</v>
      </c>
      <c r="AH359" s="5"/>
      <c r="AI359" s="5"/>
      <c r="AJ359" s="5" t="str">
        <f ca="1">IFERROR(__xludf.DUMMYFUNCTION("""COMPUTED_VALUE"""),"No")</f>
        <v>No</v>
      </c>
    </row>
    <row r="360" spans="1:36" ht="13">
      <c r="A360" s="5" t="str">
        <f ca="1">IFERROR(__xludf.DUMMYFUNCTION("""COMPUTED_VALUE"""),"20220218MATET")</f>
        <v>20220218MATET</v>
      </c>
      <c r="B360" s="5">
        <f ca="1">IFERROR(__xludf.DUMMYFUNCTION("""COMPUTED_VALUE"""),2)</f>
        <v>2</v>
      </c>
      <c r="C360" s="5">
        <f ca="1">IFERROR(__xludf.DUMMYFUNCTION("""COMPUTED_VALUE"""),18)</f>
        <v>18</v>
      </c>
      <c r="D360" s="5">
        <f ca="1">IFERROR(__xludf.DUMMYFUNCTION("""COMPUTED_VALUE"""),2022)</f>
        <v>2022</v>
      </c>
      <c r="E360" s="8">
        <f ca="1">IFERROR(__xludf.DUMMYFUNCTION("""COMPUTED_VALUE"""),44610)</f>
        <v>44610</v>
      </c>
      <c r="F360" s="5" t="str">
        <f ca="1">IFERROR(__xludf.DUMMYFUNCTION("""COMPUTED_VALUE"""),"Tewksbury High School")</f>
        <v>Tewksbury High School</v>
      </c>
      <c r="G360" s="5">
        <f ca="1">IFERROR(__xludf.DUMMYFUNCTION("""COMPUTED_VALUE"""),0)</f>
        <v>0</v>
      </c>
      <c r="H360" s="5">
        <f ca="1">IFERROR(__xludf.DUMMYFUNCTION("""COMPUTED_VALUE"""),0)</f>
        <v>0</v>
      </c>
      <c r="I360" s="5">
        <f ca="1">IFERROR(__xludf.DUMMYFUNCTION("""COMPUTED_VALUE"""),0)</f>
        <v>0</v>
      </c>
      <c r="J360" s="5">
        <f ca="1">IFERROR(__xludf.DUMMYFUNCTION("""COMPUTED_VALUE"""),0)</f>
        <v>0</v>
      </c>
      <c r="K360" s="5" t="str">
        <f ca="1">IFERROR(__xludf.DUMMYFUNCTION("""COMPUTED_VALUE"""),"https://whdh.com/news/4-billerica-students-accused-of-firing-gel-blasters-into-crowd-of-people-leaving-tewksbury-basketball-game/ https://www.nbcboston.com/news/local/tewksbury-high-students-injured-in-incident-after-basketball-game-with-billerica/2648674"&amp;"/ https://www.boston25news.com/news/local/police-investigating-incident-billerica-v-tewksbury-high-school-basketball-game/TJTMTUWROZFL3DSVH2NJJNDXV4/")</f>
        <v>https://whdh.com/news/4-billerica-students-accused-of-firing-gel-blasters-into-crowd-of-people-leaving-tewksbury-basketball-game/ https://www.nbcboston.com/news/local/tewksbury-high-students-injured-in-incident-after-basketball-game-with-billerica/2648674/ https://www.boston25news.com/news/local/police-investigating-incident-billerica-v-tewksbury-high-school-basketball-game/TJTMTUWROZFL3DSVH2NJJNDXV4/</v>
      </c>
      <c r="L360" s="5">
        <f ca="1">IFERROR(__xludf.DUMMYFUNCTION("""COMPUTED_VALUE"""),10)</f>
        <v>10</v>
      </c>
      <c r="M360" s="5" t="str">
        <f ca="1">IFERROR(__xludf.DUMMYFUNCTION("""COMPUTED_VALUE"""),"Regional")</f>
        <v>Regional</v>
      </c>
      <c r="N360" s="5">
        <f ca="1">IFERROR(__xludf.DUMMYFUNCTION("""COMPUTED_VALUE"""),4)</f>
        <v>4</v>
      </c>
      <c r="O360" s="5" t="str">
        <f ca="1">IFERROR(__xludf.DUMMYFUNCTION("""COMPUTED_VALUE"""),"Winter")</f>
        <v>Winter</v>
      </c>
      <c r="P360" s="5" t="str">
        <f ca="1">IFERROR(__xludf.DUMMYFUNCTION("""COMPUTED_VALUE"""),"Tewksbury")</f>
        <v>Tewksbury</v>
      </c>
      <c r="Q360" s="5" t="str">
        <f ca="1">IFERROR(__xludf.DUMMYFUNCTION("""COMPUTED_VALUE"""),"MA")</f>
        <v>MA</v>
      </c>
      <c r="R360" s="5" t="str">
        <f ca="1">IFERROR(__xludf.DUMMYFUNCTION("""COMPUTED_VALUE"""),"High")</f>
        <v>High</v>
      </c>
      <c r="S360" s="5" t="str">
        <f ca="1">IFERROR(__xludf.DUMMYFUNCTION("""COMPUTED_VALUE"""),"Parking Lot")</f>
        <v>Parking Lot</v>
      </c>
      <c r="T360" s="5" t="str">
        <f ca="1">IFERROR(__xludf.DUMMYFUNCTION("""COMPUTED_VALUE"""),"Outside on School Property")</f>
        <v>Outside on School Property</v>
      </c>
      <c r="U360" s="5" t="str">
        <f ca="1">IFERROR(__xludf.DUMMYFUNCTION("""COMPUTED_VALUE"""),"No")</f>
        <v>No</v>
      </c>
      <c r="V360" s="5" t="str">
        <f ca="1">IFERROR(__xludf.DUMMYFUNCTION("""COMPUTED_VALUE"""),"Sport Event")</f>
        <v>Sport Event</v>
      </c>
      <c r="W360" s="10">
        <f ca="1">IFERROR(__xludf.DUMMYFUNCTION("""COMPUTED_VALUE"""),0.840277777777777)</f>
        <v>0.84027777777777701</v>
      </c>
      <c r="X360" s="5">
        <f ca="1">IFERROR(__xludf.DUMMYFUNCTION("""COMPUTED_VALUE"""),1)</f>
        <v>1</v>
      </c>
      <c r="Y360" s="5" t="str">
        <f ca="1">IFERROR(__xludf.DUMMYFUNCTION("""COMPUTED_VALUE"""),"4 teens fired pellet guns at crowd leaving basketball game")</f>
        <v>4 teens fired pellet guns at crowd leaving basketball game</v>
      </c>
      <c r="Z360" s="5" t="str">
        <f ca="1">IFERROR(__xludf.DUMMYFUNCTION("""COMPUTED_VALUE"""),"4 teen males (18, 17, 17, 16) in two vehicles fired gel pellet guns at the crowd leaving the high school basketball game. Seven people were shot and evaluated by medics at the scene. Teens fled and were later arrested on charges of assault and battery wit"&amp;"h a dangerous weapon.")</f>
        <v>4 teen males (18, 17, 17, 16) in two vehicles fired gel pellet guns at the crowd leaving the high school basketball game. Seven people were shot and evaluated by medics at the scene. Teens fled and were later arrested on charges of assault and battery with a dangerous weapon.</v>
      </c>
      <c r="AA360" s="5" t="str">
        <f ca="1">IFERROR(__xludf.DUMMYFUNCTION("""COMPUTED_VALUE"""),"Drive-by Shooting")</f>
        <v>Drive-by Shooting</v>
      </c>
      <c r="AB360" s="5" t="str">
        <f ca="1">IFERROR(__xludf.DUMMYFUNCTION("""COMPUTED_VALUE"""),"Random Shooting")</f>
        <v>Random Shooting</v>
      </c>
      <c r="AC360" s="5" t="str">
        <f ca="1">IFERROR(__xludf.DUMMYFUNCTION("""COMPUTED_VALUE"""),"Yes")</f>
        <v>Yes</v>
      </c>
      <c r="AD360" s="5" t="str">
        <f ca="1">IFERROR(__xludf.DUMMYFUNCTION("""COMPUTED_VALUE"""),"No")</f>
        <v>No</v>
      </c>
      <c r="AE360" s="5" t="str">
        <f ca="1">IFERROR(__xludf.DUMMYFUNCTION("""COMPUTED_VALUE"""),"No")</f>
        <v>No</v>
      </c>
      <c r="AF360" s="5" t="str">
        <f ca="1">IFERROR(__xludf.DUMMYFUNCTION("""COMPUTED_VALUE"""),"No")</f>
        <v>No</v>
      </c>
      <c r="AG360" s="5" t="str">
        <f ca="1">IFERROR(__xludf.DUMMYFUNCTION("""COMPUTED_VALUE"""),"No")</f>
        <v>No</v>
      </c>
      <c r="AH360" s="5" t="str">
        <f ca="1">IFERROR(__xludf.DUMMYFUNCTION("""COMPUTED_VALUE"""),"No")</f>
        <v>No</v>
      </c>
      <c r="AI360" s="5" t="str">
        <f ca="1">IFERROR(__xludf.DUMMYFUNCTION("""COMPUTED_VALUE"""),"No")</f>
        <v>No</v>
      </c>
      <c r="AJ360" s="5" t="str">
        <f ca="1">IFERROR(__xludf.DUMMYFUNCTION("""COMPUTED_VALUE"""),"No")</f>
        <v>No</v>
      </c>
    </row>
    <row r="361" spans="1:36" ht="13">
      <c r="A361" s="5" t="str">
        <f ca="1">IFERROR(__xludf.DUMMYFUNCTION("""COMPUTED_VALUE"""),"20220217WAMCG")</f>
        <v>20220217WAMCG</v>
      </c>
      <c r="B361" s="5">
        <f ca="1">IFERROR(__xludf.DUMMYFUNCTION("""COMPUTED_VALUE"""),2)</f>
        <v>2</v>
      </c>
      <c r="C361" s="5">
        <f ca="1">IFERROR(__xludf.DUMMYFUNCTION("""COMPUTED_VALUE"""),17)</f>
        <v>17</v>
      </c>
      <c r="D361" s="5">
        <f ca="1">IFERROR(__xludf.DUMMYFUNCTION("""COMPUTED_VALUE"""),2022)</f>
        <v>2022</v>
      </c>
      <c r="E361" s="8">
        <f ca="1">IFERROR(__xludf.DUMMYFUNCTION("""COMPUTED_VALUE"""),44609)</f>
        <v>44609</v>
      </c>
      <c r="F361" s="5" t="str">
        <f ca="1">IFERROR(__xludf.DUMMYFUNCTION("""COMPUTED_VALUE"""),"McClure Elementary School")</f>
        <v>McClure Elementary School</v>
      </c>
      <c r="G361" s="5">
        <f ca="1">IFERROR(__xludf.DUMMYFUNCTION("""COMPUTED_VALUE"""),0)</f>
        <v>0</v>
      </c>
      <c r="H361" s="5">
        <f ca="1">IFERROR(__xludf.DUMMYFUNCTION("""COMPUTED_VALUE"""),1)</f>
        <v>1</v>
      </c>
      <c r="I361" s="5">
        <f ca="1">IFERROR(__xludf.DUMMYFUNCTION("""COMPUTED_VALUE"""),1)</f>
        <v>1</v>
      </c>
      <c r="J361" s="5">
        <f ca="1">IFERROR(__xludf.DUMMYFUNCTION("""COMPUTED_VALUE"""),0)</f>
        <v>0</v>
      </c>
      <c r="K361" s="5" t="str">
        <f ca="1">IFERROR(__xludf.DUMMYFUNCTION("""COMPUTED_VALUE"""),"https://www.yaktrinews.com/two-suspects-at-large-in-grandview-after-shooting-outside-of-an-elementary-school/ https://kimatv.com/news/local/shooting-outside-elementary-in-grandview-suspect-on-the-run")</f>
        <v>https://www.yaktrinews.com/two-suspects-at-large-in-grandview-after-shooting-outside-of-an-elementary-school/ https://kimatv.com/news/local/shooting-outside-elementary-in-grandview-suspect-on-the-run</v>
      </c>
      <c r="L361" s="5">
        <f ca="1">IFERROR(__xludf.DUMMYFUNCTION("""COMPUTED_VALUE"""),2)</f>
        <v>2</v>
      </c>
      <c r="M361" s="5" t="str">
        <f ca="1">IFERROR(__xludf.DUMMYFUNCTION("""COMPUTED_VALUE"""),"Local")</f>
        <v>Local</v>
      </c>
      <c r="N361" s="5">
        <f ca="1">IFERROR(__xludf.DUMMYFUNCTION("""COMPUTED_VALUE"""),4)</f>
        <v>4</v>
      </c>
      <c r="O361" s="5" t="str">
        <f ca="1">IFERROR(__xludf.DUMMYFUNCTION("""COMPUTED_VALUE"""),"Winter")</f>
        <v>Winter</v>
      </c>
      <c r="P361" s="5" t="str">
        <f ca="1">IFERROR(__xludf.DUMMYFUNCTION("""COMPUTED_VALUE"""),"Grandview")</f>
        <v>Grandview</v>
      </c>
      <c r="Q361" s="5" t="str">
        <f ca="1">IFERROR(__xludf.DUMMYFUNCTION("""COMPUTED_VALUE"""),"WA")</f>
        <v>WA</v>
      </c>
      <c r="R361" s="5" t="str">
        <f ca="1">IFERROR(__xludf.DUMMYFUNCTION("""COMPUTED_VALUE"""),"Elementary")</f>
        <v>Elementary</v>
      </c>
      <c r="S361" s="5" t="str">
        <f ca="1">IFERROR(__xludf.DUMMYFUNCTION("""COMPUTED_VALUE"""),"Outside on School Property")</f>
        <v>Outside on School Property</v>
      </c>
      <c r="T361" s="5" t="str">
        <f ca="1">IFERROR(__xludf.DUMMYFUNCTION("""COMPUTED_VALUE"""),"Outside on School Property")</f>
        <v>Outside on School Property</v>
      </c>
      <c r="U361" s="5" t="str">
        <f ca="1">IFERROR(__xludf.DUMMYFUNCTION("""COMPUTED_VALUE"""),"No")</f>
        <v>No</v>
      </c>
      <c r="V361" s="5" t="str">
        <f ca="1">IFERROR(__xludf.DUMMYFUNCTION("""COMPUTED_VALUE"""),"Evening")</f>
        <v>Evening</v>
      </c>
      <c r="W361" s="10">
        <f ca="1">IFERROR(__xludf.DUMMYFUNCTION("""COMPUTED_VALUE"""),0.708333333333333)</f>
        <v>0.70833333333333304</v>
      </c>
      <c r="X361" s="5">
        <f ca="1">IFERROR(__xludf.DUMMYFUNCTION("""COMPUTED_VALUE"""),1)</f>
        <v>1</v>
      </c>
      <c r="Y361" s="5" t="str">
        <f ca="1">IFERROR(__xludf.DUMMYFUNCTION("""COMPUTED_VALUE"""),"Man shot next to school, shooter fled")</f>
        <v>Man shot next to school, shooter fled</v>
      </c>
      <c r="Z361" s="5" t="str">
        <f ca="1">IFERROR(__xludf.DUMMYFUNCTION("""COMPUTED_VALUE"""),"An adult man was shot next to the school building. Two men fled the area. Police said the shooting was gang related.")</f>
        <v>An adult man was shot next to the school building. Two men fled the area. Police said the shooting was gang related.</v>
      </c>
      <c r="AA361" s="5" t="str">
        <f ca="1">IFERROR(__xludf.DUMMYFUNCTION("""COMPUTED_VALUE"""),"Escalation of Dispute")</f>
        <v>Escalation of Dispute</v>
      </c>
      <c r="AB361" s="5" t="str">
        <f ca="1">IFERROR(__xludf.DUMMYFUNCTION("""COMPUTED_VALUE"""),"Victims Targeted")</f>
        <v>Victims Targeted</v>
      </c>
      <c r="AC361" s="5" t="str">
        <f ca="1">IFERROR(__xludf.DUMMYFUNCTION("""COMPUTED_VALUE"""),"No")</f>
        <v>No</v>
      </c>
      <c r="AD361" s="5" t="str">
        <f ca="1">IFERROR(__xludf.DUMMYFUNCTION("""COMPUTED_VALUE"""),"No")</f>
        <v>No</v>
      </c>
      <c r="AE361" s="5" t="str">
        <f ca="1">IFERROR(__xludf.DUMMYFUNCTION("""COMPUTED_VALUE"""),"No")</f>
        <v>No</v>
      </c>
      <c r="AF361" s="5" t="str">
        <f ca="1">IFERROR(__xludf.DUMMYFUNCTION("""COMPUTED_VALUE"""),"No")</f>
        <v>No</v>
      </c>
      <c r="AG361" s="5" t="str">
        <f ca="1">IFERROR(__xludf.DUMMYFUNCTION("""COMPUTED_VALUE"""),"No")</f>
        <v>No</v>
      </c>
      <c r="AH361" s="5" t="str">
        <f ca="1">IFERROR(__xludf.DUMMYFUNCTION("""COMPUTED_VALUE"""),"No")</f>
        <v>No</v>
      </c>
      <c r="AI361" s="5" t="str">
        <f ca="1">IFERROR(__xludf.DUMMYFUNCTION("""COMPUTED_VALUE"""),"Yes")</f>
        <v>Yes</v>
      </c>
      <c r="AJ361" s="5" t="str">
        <f ca="1">IFERROR(__xludf.DUMMYFUNCTION("""COMPUTED_VALUE"""),"No")</f>
        <v>No</v>
      </c>
    </row>
    <row r="362" spans="1:36" ht="13">
      <c r="A362" s="5" t="str">
        <f ca="1">IFERROR(__xludf.DUMMYFUNCTION("""COMPUTED_VALUE"""),"20220214FLLAL")</f>
        <v>20220214FLLAL</v>
      </c>
      <c r="B362" s="5">
        <f ca="1">IFERROR(__xludf.DUMMYFUNCTION("""COMPUTED_VALUE"""),2)</f>
        <v>2</v>
      </c>
      <c r="C362" s="5">
        <f ca="1">IFERROR(__xludf.DUMMYFUNCTION("""COMPUTED_VALUE"""),14)</f>
        <v>14</v>
      </c>
      <c r="D362" s="5">
        <f ca="1">IFERROR(__xludf.DUMMYFUNCTION("""COMPUTED_VALUE"""),2022)</f>
        <v>2022</v>
      </c>
      <c r="E362" s="8">
        <f ca="1">IFERROR(__xludf.DUMMYFUNCTION("""COMPUTED_VALUE"""),44606)</f>
        <v>44606</v>
      </c>
      <c r="F362" s="5" t="str">
        <f ca="1">IFERROR(__xludf.DUMMYFUNCTION("""COMPUTED_VALUE"""),"Lake City Middle School")</f>
        <v>Lake City Middle School</v>
      </c>
      <c r="G362" s="5">
        <f ca="1">IFERROR(__xludf.DUMMYFUNCTION("""COMPUTED_VALUE"""),0)</f>
        <v>0</v>
      </c>
      <c r="H362" s="5">
        <f ca="1">IFERROR(__xludf.DUMMYFUNCTION("""COMPUTED_VALUE"""),0)</f>
        <v>0</v>
      </c>
      <c r="I362" s="5">
        <f ca="1">IFERROR(__xludf.DUMMYFUNCTION("""COMPUTED_VALUE"""),0)</f>
        <v>0</v>
      </c>
      <c r="J362" s="5">
        <f ca="1">IFERROR(__xludf.DUMMYFUNCTION("""COMPUTED_VALUE"""),0)</f>
        <v>0</v>
      </c>
      <c r="K362" s="5" t="str">
        <f ca="1">IFERROR(__xludf.DUMMYFUNCTION("""COMPUTED_VALUE"""),"https://www.lakecityreporter.com/local/lcms-lockdown-shooter-nabbed https://www.firstcoastnews.com/article/news/crime/man-charged-in-connection-to-shooting-incident-near-lake-city-middle-school/77-09195bf9-7e3a-4c22-a1b9-0db7d52453fc https://www.wcjb.com/"&amp;"2022/02/23/update-lake-city-man-arrested-after-firing-shots-near-lake-city-middle-school/")</f>
        <v>https://www.lakecityreporter.com/local/lcms-lockdown-shooter-nabbed https://www.firstcoastnews.com/article/news/crime/man-charged-in-connection-to-shooting-incident-near-lake-city-middle-school/77-09195bf9-7e3a-4c22-a1b9-0db7d52453fc https://www.wcjb.com/2022/02/23/update-lake-city-man-arrested-after-firing-shots-near-lake-city-middle-school/</v>
      </c>
      <c r="L362" s="5">
        <f ca="1">IFERROR(__xludf.DUMMYFUNCTION("""COMPUTED_VALUE"""),3)</f>
        <v>3</v>
      </c>
      <c r="M362" s="5" t="str">
        <f ca="1">IFERROR(__xludf.DUMMYFUNCTION("""COMPUTED_VALUE"""),"Local")</f>
        <v>Local</v>
      </c>
      <c r="N362" s="5">
        <f ca="1">IFERROR(__xludf.DUMMYFUNCTION("""COMPUTED_VALUE"""),4)</f>
        <v>4</v>
      </c>
      <c r="O362" s="5" t="str">
        <f ca="1">IFERROR(__xludf.DUMMYFUNCTION("""COMPUTED_VALUE"""),"Winter")</f>
        <v>Winter</v>
      </c>
      <c r="P362" s="5" t="str">
        <f ca="1">IFERROR(__xludf.DUMMYFUNCTION("""COMPUTED_VALUE"""),"Lake City")</f>
        <v>Lake City</v>
      </c>
      <c r="Q362" s="5" t="str">
        <f ca="1">IFERROR(__xludf.DUMMYFUNCTION("""COMPUTED_VALUE"""),"FL")</f>
        <v>FL</v>
      </c>
      <c r="R362" s="5" t="str">
        <f ca="1">IFERROR(__xludf.DUMMYFUNCTION("""COMPUTED_VALUE"""),"Middle")</f>
        <v>Middle</v>
      </c>
      <c r="S362" s="5" t="str">
        <f ca="1">IFERROR(__xludf.DUMMYFUNCTION("""COMPUTED_VALUE"""),"Front of School")</f>
        <v>Front of School</v>
      </c>
      <c r="T362" s="5" t="str">
        <f ca="1">IFERROR(__xludf.DUMMYFUNCTION("""COMPUTED_VALUE"""),"Outside on School Property")</f>
        <v>Outside on School Property</v>
      </c>
      <c r="U362" s="5" t="str">
        <f ca="1">IFERROR(__xludf.DUMMYFUNCTION("""COMPUTED_VALUE"""),"Yes")</f>
        <v>Yes</v>
      </c>
      <c r="V362" s="5" t="str">
        <f ca="1">IFERROR(__xludf.DUMMYFUNCTION("""COMPUTED_VALUE"""),"Dismissal")</f>
        <v>Dismissal</v>
      </c>
      <c r="W362" s="10">
        <f ca="1">IFERROR(__xludf.DUMMYFUNCTION("""COMPUTED_VALUE"""),0.625)</f>
        <v>0.625</v>
      </c>
      <c r="X362" s="5">
        <f ca="1">IFERROR(__xludf.DUMMYFUNCTION("""COMPUTED_VALUE"""),1)</f>
        <v>1</v>
      </c>
      <c r="Y362" s="5" t="str">
        <f ca="1">IFERROR(__xludf.DUMMYFUNCTION("""COMPUTED_VALUE"""),"Adult man fired shots in front of the school during a dispute at dismissal")</f>
        <v>Adult man fired shots in front of the school during a dispute at dismissal</v>
      </c>
      <c r="Z362" s="5" t="str">
        <f ca="1">IFERROR(__xludf.DUMMYFUNCTION("""COMPUTED_VALUE"""),"A 39-year-old male fired shots during a dispute in front of the school at dismissal. School went on lockdown. Shooter fled and was arrested 2 weeks later.")</f>
        <v>A 39-year-old male fired shots during a dispute in front of the school at dismissal. School went on lockdown. Shooter fled and was arrested 2 weeks later.</v>
      </c>
      <c r="AA362" s="5" t="str">
        <f ca="1">IFERROR(__xludf.DUMMYFUNCTION("""COMPUTED_VALUE"""),"Escalation of Dispute")</f>
        <v>Escalation of Dispute</v>
      </c>
      <c r="AB362" s="5" t="str">
        <f ca="1">IFERROR(__xludf.DUMMYFUNCTION("""COMPUTED_VALUE"""),"Victims Targeted")</f>
        <v>Victims Targeted</v>
      </c>
      <c r="AC362" s="5" t="str">
        <f ca="1">IFERROR(__xludf.DUMMYFUNCTION("""COMPUTED_VALUE"""),"No")</f>
        <v>No</v>
      </c>
      <c r="AD362" s="5" t="str">
        <f ca="1">IFERROR(__xludf.DUMMYFUNCTION("""COMPUTED_VALUE"""),"No")</f>
        <v>No</v>
      </c>
      <c r="AE362" s="5" t="str">
        <f ca="1">IFERROR(__xludf.DUMMYFUNCTION("""COMPUTED_VALUE"""),"No")</f>
        <v>No</v>
      </c>
      <c r="AF362" s="5" t="str">
        <f ca="1">IFERROR(__xludf.DUMMYFUNCTION("""COMPUTED_VALUE"""),"No")</f>
        <v>No</v>
      </c>
      <c r="AG362" s="5" t="str">
        <f ca="1">IFERROR(__xludf.DUMMYFUNCTION("""COMPUTED_VALUE"""),"No")</f>
        <v>No</v>
      </c>
      <c r="AH362" s="5" t="str">
        <f ca="1">IFERROR(__xludf.DUMMYFUNCTION("""COMPUTED_VALUE"""),"No")</f>
        <v>No</v>
      </c>
      <c r="AI362" s="5" t="str">
        <f ca="1">IFERROR(__xludf.DUMMYFUNCTION("""COMPUTED_VALUE"""),"No")</f>
        <v>No</v>
      </c>
      <c r="AJ362" s="5" t="str">
        <f ca="1">IFERROR(__xludf.DUMMYFUNCTION("""COMPUTED_VALUE"""),"No")</f>
        <v>No</v>
      </c>
    </row>
    <row r="363" spans="1:36" ht="13">
      <c r="A363" s="5" t="str">
        <f ca="1">IFERROR(__xludf.DUMMYFUNCTION("""COMPUTED_VALUE"""),"20220211DCEAW")</f>
        <v>20220211DCEAW</v>
      </c>
      <c r="B363" s="5">
        <f ca="1">IFERROR(__xludf.DUMMYFUNCTION("""COMPUTED_VALUE"""),2)</f>
        <v>2</v>
      </c>
      <c r="C363" s="5">
        <f ca="1">IFERROR(__xludf.DUMMYFUNCTION("""COMPUTED_VALUE"""),11)</f>
        <v>11</v>
      </c>
      <c r="D363" s="5">
        <f ca="1">IFERROR(__xludf.DUMMYFUNCTION("""COMPUTED_VALUE"""),2022)</f>
        <v>2022</v>
      </c>
      <c r="E363" s="8">
        <f ca="1">IFERROR(__xludf.DUMMYFUNCTION("""COMPUTED_VALUE"""),44603)</f>
        <v>44603</v>
      </c>
      <c r="F363" s="5" t="str">
        <f ca="1">IFERROR(__xludf.DUMMYFUNCTION("""COMPUTED_VALUE"""),"Eagle Academy")</f>
        <v>Eagle Academy</v>
      </c>
      <c r="G363" s="5">
        <f ca="1">IFERROR(__xludf.DUMMYFUNCTION("""COMPUTED_VALUE"""),0)</f>
        <v>0</v>
      </c>
      <c r="H363" s="5">
        <f ca="1">IFERROR(__xludf.DUMMYFUNCTION("""COMPUTED_VALUE"""),1)</f>
        <v>1</v>
      </c>
      <c r="I363" s="5">
        <f ca="1">IFERROR(__xludf.DUMMYFUNCTION("""COMPUTED_VALUE"""),1)</f>
        <v>1</v>
      </c>
      <c r="J363" s="5">
        <f ca="1">IFERROR(__xludf.DUMMYFUNCTION("""COMPUTED_VALUE"""),0)</f>
        <v>0</v>
      </c>
      <c r="K363" s="9" t="str">
        <f ca="1">IFERROR(__xludf.DUMMYFUNCTION("""COMPUTED_VALUE"""),"https://www.wusa9.com/article/news/local/dc/police-man-injured-shooting-parking-lot-dc-charter-school/65-f3074dfc-06a1-49b2-9051-45f4b25befdb")</f>
        <v>https://www.wusa9.com/article/news/local/dc/police-man-injured-shooting-parking-lot-dc-charter-school/65-f3074dfc-06a1-49b2-9051-45f4b25befdb</v>
      </c>
      <c r="L363" s="5">
        <f ca="1">IFERROR(__xludf.DUMMYFUNCTION("""COMPUTED_VALUE"""),1)</f>
        <v>1</v>
      </c>
      <c r="M363" s="5" t="str">
        <f ca="1">IFERROR(__xludf.DUMMYFUNCTION("""COMPUTED_VALUE"""),"Local")</f>
        <v>Local</v>
      </c>
      <c r="N363" s="5">
        <f ca="1">IFERROR(__xludf.DUMMYFUNCTION("""COMPUTED_VALUE"""),3)</f>
        <v>3</v>
      </c>
      <c r="O363" s="5" t="str">
        <f ca="1">IFERROR(__xludf.DUMMYFUNCTION("""COMPUTED_VALUE"""),"Winter")</f>
        <v>Winter</v>
      </c>
      <c r="P363" s="5" t="str">
        <f ca="1">IFERROR(__xludf.DUMMYFUNCTION("""COMPUTED_VALUE"""),"Washington")</f>
        <v>Washington</v>
      </c>
      <c r="Q363" s="5" t="str">
        <f ca="1">IFERROR(__xludf.DUMMYFUNCTION("""COMPUTED_VALUE"""),"DC")</f>
        <v>DC</v>
      </c>
      <c r="R363" s="5" t="str">
        <f ca="1">IFERROR(__xludf.DUMMYFUNCTION("""COMPUTED_VALUE"""),"K-8")</f>
        <v>K-8</v>
      </c>
      <c r="S363" s="5" t="str">
        <f ca="1">IFERROR(__xludf.DUMMYFUNCTION("""COMPUTED_VALUE"""),"Parking Lot")</f>
        <v>Parking Lot</v>
      </c>
      <c r="T363" s="5" t="str">
        <f ca="1">IFERROR(__xludf.DUMMYFUNCTION("""COMPUTED_VALUE"""),"Outside on School Property")</f>
        <v>Outside on School Property</v>
      </c>
      <c r="U363" s="5" t="str">
        <f ca="1">IFERROR(__xludf.DUMMYFUNCTION("""COMPUTED_VALUE"""),"Yes")</f>
        <v>Yes</v>
      </c>
      <c r="V363" s="5" t="str">
        <f ca="1">IFERROR(__xludf.DUMMYFUNCTION("""COMPUTED_VALUE"""),"Afternoon Classes")</f>
        <v>Afternoon Classes</v>
      </c>
      <c r="W363" s="10">
        <f ca="1">IFERROR(__xludf.DUMMYFUNCTION("""COMPUTED_VALUE"""),0.583333333333333)</f>
        <v>0.58333333333333304</v>
      </c>
      <c r="X363" s="5">
        <f ca="1">IFERROR(__xludf.DUMMYFUNCTION("""COMPUTED_VALUE"""),1)</f>
        <v>1</v>
      </c>
      <c r="Y363" s="5" t="str">
        <f ca="1">IFERROR(__xludf.DUMMYFUNCTION("""COMPUTED_VALUE"""),"Man shot in school parking lot")</f>
        <v>Man shot in school parking lot</v>
      </c>
      <c r="Z363" s="5" t="str">
        <f ca="1">IFERROR(__xludf.DUMMYFUNCTION("""COMPUTED_VALUE"""),"Man shot in school parking lot. No other information available.")</f>
        <v>Man shot in school parking lot. No other information available.</v>
      </c>
      <c r="AA363" s="5"/>
      <c r="AB363" s="5"/>
      <c r="AC363" s="5"/>
      <c r="AD363" s="5" t="str">
        <f ca="1">IFERROR(__xludf.DUMMYFUNCTION("""COMPUTED_VALUE"""),"No")</f>
        <v>No</v>
      </c>
      <c r="AE363" s="5" t="str">
        <f ca="1">IFERROR(__xludf.DUMMYFUNCTION("""COMPUTED_VALUE"""),"No")</f>
        <v>No</v>
      </c>
      <c r="AF363" s="5" t="str">
        <f ca="1">IFERROR(__xludf.DUMMYFUNCTION("""COMPUTED_VALUE"""),"No")</f>
        <v>No</v>
      </c>
      <c r="AG363" s="5" t="str">
        <f ca="1">IFERROR(__xludf.DUMMYFUNCTION("""COMPUTED_VALUE"""),"No")</f>
        <v>No</v>
      </c>
      <c r="AH363" s="5" t="str">
        <f ca="1">IFERROR(__xludf.DUMMYFUNCTION("""COMPUTED_VALUE"""),"No")</f>
        <v>No</v>
      </c>
      <c r="AI363" s="5"/>
      <c r="AJ363" s="5" t="str">
        <f ca="1">IFERROR(__xludf.DUMMYFUNCTION("""COMPUTED_VALUE"""),"No")</f>
        <v>No</v>
      </c>
    </row>
    <row r="364" spans="1:36" ht="13">
      <c r="A364" s="5" t="str">
        <f ca="1">IFERROR(__xludf.DUMMYFUNCTION("""COMPUTED_VALUE"""),"20220209NYMCB")</f>
        <v>20220209NYMCB</v>
      </c>
      <c r="B364" s="5">
        <f ca="1">IFERROR(__xludf.DUMMYFUNCTION("""COMPUTED_VALUE"""),2)</f>
        <v>2</v>
      </c>
      <c r="C364" s="5">
        <f ca="1">IFERROR(__xludf.DUMMYFUNCTION("""COMPUTED_VALUE"""),9)</f>
        <v>9</v>
      </c>
      <c r="D364" s="5">
        <f ca="1">IFERROR(__xludf.DUMMYFUNCTION("""COMPUTED_VALUE"""),2022)</f>
        <v>2022</v>
      </c>
      <c r="E364" s="8">
        <f ca="1">IFERROR(__xludf.DUMMYFUNCTION("""COMPUTED_VALUE"""),44601)</f>
        <v>44601</v>
      </c>
      <c r="F364" s="5" t="str">
        <f ca="1">IFERROR(__xludf.DUMMYFUNCTION("""COMPUTED_VALUE"""),"McKinley High School")</f>
        <v>McKinley High School</v>
      </c>
      <c r="G364" s="5">
        <f ca="1">IFERROR(__xludf.DUMMYFUNCTION("""COMPUTED_VALUE"""),0)</f>
        <v>0</v>
      </c>
      <c r="H364" s="5">
        <f ca="1">IFERROR(__xludf.DUMMYFUNCTION("""COMPUTED_VALUE"""),2)</f>
        <v>2</v>
      </c>
      <c r="I364" s="5">
        <f ca="1">IFERROR(__xludf.DUMMYFUNCTION("""COMPUTED_VALUE"""),2)</f>
        <v>2</v>
      </c>
      <c r="J364" s="5">
        <f ca="1">IFERROR(__xludf.DUMMYFUNCTION("""COMPUTED_VALUE"""),0)</f>
        <v>0</v>
      </c>
      <c r="K364" s="9" t="str">
        <f ca="1">IFERROR(__xludf.DUMMYFUNCTION("""COMPUTED_VALUE"""),"https://www.wgrz.com/article/news/crime/teen-sentenced-for-shooting-security-officer-outside-mckinley-high-school-during-fight-criminal-investigation/71-017fb489-7f4b-4b9a-be2f-78652d105c98
https://www2.erie.gov/da/index.php?q=press/teen-indicted-his-alle"&amp;"ged-involvement-assault-stabbing-student-outside-mckinley-high-school https://newyork.cbslocal.com/2022/02/09/student-security-guard-shot-outside-high-school-in-buffalo/ https://buffalonews.com/news/local/mckinley-high-school-student-was-stabbed-not-shot-"&amp;"buffalo-police-say/article_316d5f52-89ec-11ec-a13d-8bda870b132e.html https://www.syracuse.com/state/2022/02/police-2-shot-in-buffalo-high-school-parking-lot.html")</f>
        <v>https://www.wgrz.com/article/news/crime/teen-sentenced-for-shooting-security-officer-outside-mckinley-high-school-during-fight-criminal-investigation/71-017fb489-7f4b-4b9a-be2f-78652d105c98
https://www2.erie.gov/da/index.php?q=press/teen-indicted-his-alleged-involvement-assault-stabbing-student-outside-mckinley-high-school https://newyork.cbslocal.com/2022/02/09/student-security-guard-shot-outside-high-school-in-buffalo/ https://buffalonews.com/news/local/mckinley-high-school-student-was-stabbed-not-shot-buffalo-police-say/article_316d5f52-89ec-11ec-a13d-8bda870b132e.html https://www.syracuse.com/state/2022/02/police-2-shot-in-buffalo-high-school-parking-lot.html</v>
      </c>
      <c r="L364" s="5">
        <f ca="1">IFERROR(__xludf.DUMMYFUNCTION("""COMPUTED_VALUE"""),10)</f>
        <v>10</v>
      </c>
      <c r="M364" s="5" t="str">
        <f ca="1">IFERROR(__xludf.DUMMYFUNCTION("""COMPUTED_VALUE"""),"Regional")</f>
        <v>Regional</v>
      </c>
      <c r="N364" s="5">
        <f ca="1">IFERROR(__xludf.DUMMYFUNCTION("""COMPUTED_VALUE"""),4)</f>
        <v>4</v>
      </c>
      <c r="O364" s="5" t="str">
        <f ca="1">IFERROR(__xludf.DUMMYFUNCTION("""COMPUTED_VALUE"""),"Winter")</f>
        <v>Winter</v>
      </c>
      <c r="P364" s="5" t="str">
        <f ca="1">IFERROR(__xludf.DUMMYFUNCTION("""COMPUTED_VALUE"""),"Buffalo")</f>
        <v>Buffalo</v>
      </c>
      <c r="Q364" s="5" t="str">
        <f ca="1">IFERROR(__xludf.DUMMYFUNCTION("""COMPUTED_VALUE"""),"NY")</f>
        <v>NY</v>
      </c>
      <c r="R364" s="5" t="str">
        <f ca="1">IFERROR(__xludf.DUMMYFUNCTION("""COMPUTED_VALUE"""),"High")</f>
        <v>High</v>
      </c>
      <c r="S364" s="5" t="str">
        <f ca="1">IFERROR(__xludf.DUMMYFUNCTION("""COMPUTED_VALUE"""),"Parking Lot")</f>
        <v>Parking Lot</v>
      </c>
      <c r="T364" s="5" t="str">
        <f ca="1">IFERROR(__xludf.DUMMYFUNCTION("""COMPUTED_VALUE"""),"Outside on School Property")</f>
        <v>Outside on School Property</v>
      </c>
      <c r="U364" s="5" t="str">
        <f ca="1">IFERROR(__xludf.DUMMYFUNCTION("""COMPUTED_VALUE"""),"Yes")</f>
        <v>Yes</v>
      </c>
      <c r="V364" s="5" t="str">
        <f ca="1">IFERROR(__xludf.DUMMYFUNCTION("""COMPUTED_VALUE"""),"Dismissal")</f>
        <v>Dismissal</v>
      </c>
      <c r="W364" s="10">
        <f ca="1">IFERROR(__xludf.DUMMYFUNCTION("""COMPUTED_VALUE"""),0.65625)</f>
        <v>0.65625</v>
      </c>
      <c r="X364" s="5">
        <f ca="1">IFERROR(__xludf.DUMMYFUNCTION("""COMPUTED_VALUE"""),1)</f>
        <v>1</v>
      </c>
      <c r="Y364" s="5" t="str">
        <f ca="1">IFERROR(__xludf.DUMMYFUNCTION("""COMPUTED_VALUE"""),"Student stabbed and security guard shot during fight")</f>
        <v>Student stabbed and security guard shot during fight</v>
      </c>
      <c r="Z364" s="5" t="str">
        <f ca="1">IFERROR(__xludf.DUMMYFUNCTION("""COMPUTED_VALUE"""),"A student was stabbed (serious injuries) and a security guard was shot during a large fight in the parking lot at dismissal. Police believed the student had been shot and it was not determined that he was stabbed until surgery. Shooter fled the scene. Pol"&amp;"ice locked down 100 students inside the school and searched neighborhood.")</f>
        <v>A student was stabbed (serious injuries) and a security guard was shot during a large fight in the parking lot at dismissal. Police believed the student had been shot and it was not determined that he was stabbed until surgery. Shooter fled the scene. Police locked down 100 students inside the school and searched neighborhood.</v>
      </c>
      <c r="AA364" s="5" t="str">
        <f ca="1">IFERROR(__xludf.DUMMYFUNCTION("""COMPUTED_VALUE"""),"Escalation of Dispute")</f>
        <v>Escalation of Dispute</v>
      </c>
      <c r="AB364" s="5" t="str">
        <f ca="1">IFERROR(__xludf.DUMMYFUNCTION("""COMPUTED_VALUE"""),"Both")</f>
        <v>Both</v>
      </c>
      <c r="AC364" s="5" t="str">
        <f ca="1">IFERROR(__xludf.DUMMYFUNCTION("""COMPUTED_VALUE"""),"Yes")</f>
        <v>Yes</v>
      </c>
      <c r="AD364" s="5" t="str">
        <f ca="1">IFERROR(__xludf.DUMMYFUNCTION("""COMPUTED_VALUE"""),"No")</f>
        <v>No</v>
      </c>
      <c r="AE364" s="5" t="str">
        <f ca="1">IFERROR(__xludf.DUMMYFUNCTION("""COMPUTED_VALUE"""),"No")</f>
        <v>No</v>
      </c>
      <c r="AF364" s="5" t="str">
        <f ca="1">IFERROR(__xludf.DUMMYFUNCTION("""COMPUTED_VALUE"""),"No")</f>
        <v>No</v>
      </c>
      <c r="AG364" s="5" t="str">
        <f ca="1">IFERROR(__xludf.DUMMYFUNCTION("""COMPUTED_VALUE"""),"No")</f>
        <v>No</v>
      </c>
      <c r="AH364" s="5" t="str">
        <f ca="1">IFERROR(__xludf.DUMMYFUNCTION("""COMPUTED_VALUE"""),"No")</f>
        <v>No</v>
      </c>
      <c r="AI364" s="5"/>
      <c r="AJ364" s="5" t="str">
        <f ca="1">IFERROR(__xludf.DUMMYFUNCTION("""COMPUTED_VALUE"""),"No")</f>
        <v>No</v>
      </c>
    </row>
    <row r="365" spans="1:36" ht="13">
      <c r="A365" s="5" t="str">
        <f ca="1">IFERROR(__xludf.DUMMYFUNCTION("""COMPUTED_VALUE"""),"20220209MNMIM")</f>
        <v>20220209MNMIM</v>
      </c>
      <c r="B365" s="5">
        <f ca="1">IFERROR(__xludf.DUMMYFUNCTION("""COMPUTED_VALUE"""),2)</f>
        <v>2</v>
      </c>
      <c r="C365" s="5">
        <f ca="1">IFERROR(__xludf.DUMMYFUNCTION("""COMPUTED_VALUE"""),9)</f>
        <v>9</v>
      </c>
      <c r="D365" s="5">
        <f ca="1">IFERROR(__xludf.DUMMYFUNCTION("""COMPUTED_VALUE"""),2022)</f>
        <v>2022</v>
      </c>
      <c r="E365" s="8">
        <f ca="1">IFERROR(__xludf.DUMMYFUNCTION("""COMPUTED_VALUE"""),44601)</f>
        <v>44601</v>
      </c>
      <c r="F365" s="5" t="str">
        <f ca="1">IFERROR(__xludf.DUMMYFUNCTION("""COMPUTED_VALUE"""),"Minneapolis School Bus")</f>
        <v>Minneapolis School Bus</v>
      </c>
      <c r="G365" s="5">
        <f ca="1">IFERROR(__xludf.DUMMYFUNCTION("""COMPUTED_VALUE"""),0)</f>
        <v>0</v>
      </c>
      <c r="H365" s="5">
        <f ca="1">IFERROR(__xludf.DUMMYFUNCTION("""COMPUTED_VALUE"""),1)</f>
        <v>1</v>
      </c>
      <c r="I365" s="5">
        <f ca="1">IFERROR(__xludf.DUMMYFUNCTION("""COMPUTED_VALUE"""),1)</f>
        <v>1</v>
      </c>
      <c r="J365" s="5">
        <f ca="1">IFERROR(__xludf.DUMMYFUNCTION("""COMPUTED_VALUE"""),0)</f>
        <v>0</v>
      </c>
      <c r="K365" s="5" t="str">
        <f ca="1">IFERROR(__xludf.DUMMYFUNCTION("""COMPUTED_VALUE"""),"https://www.fox9.com/news/search-warrant-minneapolis-school-bus-driver-shot-by-stray-bullet https://abcnews.go.com/US/wireStory/school-bus-driver-shot-minneapolis-children-injured-82798080 https://www.cbsnews.com/news/school-bus-driver-shooting-minneapoli"&amp;"s/ https://minnesota.cbslocal.com/2022/02/09/police-school-bus-driver-shot-in-minneapolis-3-students-were-on-board/")</f>
        <v>https://www.fox9.com/news/search-warrant-minneapolis-school-bus-driver-shot-by-stray-bullet https://abcnews.go.com/US/wireStory/school-bus-driver-shot-minneapolis-children-injured-82798080 https://www.cbsnews.com/news/school-bus-driver-shooting-minneapolis/ https://minnesota.cbslocal.com/2022/02/09/police-school-bus-driver-shot-in-minneapolis-3-students-were-on-board/</v>
      </c>
      <c r="L365" s="5">
        <f ca="1">IFERROR(__xludf.DUMMYFUNCTION("""COMPUTED_VALUE"""),5)</f>
        <v>5</v>
      </c>
      <c r="M365" s="5" t="str">
        <f ca="1">IFERROR(__xludf.DUMMYFUNCTION("""COMPUTED_VALUE"""),"National")</f>
        <v>National</v>
      </c>
      <c r="N365" s="5">
        <f ca="1">IFERROR(__xludf.DUMMYFUNCTION("""COMPUTED_VALUE"""),4)</f>
        <v>4</v>
      </c>
      <c r="O365" s="5" t="str">
        <f ca="1">IFERROR(__xludf.DUMMYFUNCTION("""COMPUTED_VALUE"""),"Winter")</f>
        <v>Winter</v>
      </c>
      <c r="P365" s="5" t="str">
        <f ca="1">IFERROR(__xludf.DUMMYFUNCTION("""COMPUTED_VALUE"""),"Minneapolis")</f>
        <v>Minneapolis</v>
      </c>
      <c r="Q365" s="5" t="str">
        <f ca="1">IFERROR(__xludf.DUMMYFUNCTION("""COMPUTED_VALUE"""),"MN")</f>
        <v>MN</v>
      </c>
      <c r="R365" s="5" t="str">
        <f ca="1">IFERROR(__xludf.DUMMYFUNCTION("""COMPUTED_VALUE"""),"Elementary")</f>
        <v>Elementary</v>
      </c>
      <c r="S365" s="5" t="str">
        <f ca="1">IFERROR(__xludf.DUMMYFUNCTION("""COMPUTED_VALUE"""),"School Bus")</f>
        <v>School Bus</v>
      </c>
      <c r="T365" s="5" t="str">
        <f ca="1">IFERROR(__xludf.DUMMYFUNCTION("""COMPUTED_VALUE"""),"School Bus")</f>
        <v>School Bus</v>
      </c>
      <c r="U365" s="5" t="str">
        <f ca="1">IFERROR(__xludf.DUMMYFUNCTION("""COMPUTED_VALUE"""),"Yes")</f>
        <v>Yes</v>
      </c>
      <c r="V365" s="5" t="str">
        <f ca="1">IFERROR(__xludf.DUMMYFUNCTION("""COMPUTED_VALUE"""),"Dismissal")</f>
        <v>Dismissal</v>
      </c>
      <c r="W365" s="10">
        <f ca="1">IFERROR(__xludf.DUMMYFUNCTION("""COMPUTED_VALUE"""),0.59375)</f>
        <v>0.59375</v>
      </c>
      <c r="X365" s="5">
        <f ca="1">IFERROR(__xludf.DUMMYFUNCTION("""COMPUTED_VALUE"""),1)</f>
        <v>1</v>
      </c>
      <c r="Y365" s="5" t="str">
        <f ca="1">IFERROR(__xludf.DUMMYFUNCTION("""COMPUTED_VALUE"""),"School bus driver shot in the head while driving the bus with children aboard")</f>
        <v>School bus driver shot in the head while driving the bus with children aboard</v>
      </c>
      <c r="Z365" s="5" t="str">
        <f ca="1">IFERROR(__xludf.DUMMYFUNCTION("""COMPUTED_VALUE"""),"A school bus driver was shot in the head while driving the school bus with three students under 10-years-old on the bus. The students were not injured. Shooter fled. Police believe the bullet was a stray shot from gun fire between two vehicles.")</f>
        <v>A school bus driver was shot in the head while driving the school bus with three students under 10-years-old on the bus. The students were not injured. Shooter fled. Police believe the bullet was a stray shot from gun fire between two vehicles.</v>
      </c>
      <c r="AA365" s="5" t="str">
        <f ca="1">IFERROR(__xludf.DUMMYFUNCTION("""COMPUTED_VALUE"""),"Drive-by Shooting")</f>
        <v>Drive-by Shooting</v>
      </c>
      <c r="AB365" s="5" t="str">
        <f ca="1">IFERROR(__xludf.DUMMYFUNCTION("""COMPUTED_VALUE"""),"Both")</f>
        <v>Both</v>
      </c>
      <c r="AC365" s="5" t="str">
        <f ca="1">IFERROR(__xludf.DUMMYFUNCTION("""COMPUTED_VALUE"""),"No")</f>
        <v>No</v>
      </c>
      <c r="AD365" s="5" t="str">
        <f ca="1">IFERROR(__xludf.DUMMYFUNCTION("""COMPUTED_VALUE"""),"No")</f>
        <v>No</v>
      </c>
      <c r="AE365" s="5" t="str">
        <f ca="1">IFERROR(__xludf.DUMMYFUNCTION("""COMPUTED_VALUE"""),"No")</f>
        <v>No</v>
      </c>
      <c r="AF365" s="5" t="str">
        <f ca="1">IFERROR(__xludf.DUMMYFUNCTION("""COMPUTED_VALUE"""),"No")</f>
        <v>No</v>
      </c>
      <c r="AG365" s="5" t="str">
        <f ca="1">IFERROR(__xludf.DUMMYFUNCTION("""COMPUTED_VALUE"""),"No")</f>
        <v>No</v>
      </c>
      <c r="AH365" s="5" t="str">
        <f ca="1">IFERROR(__xludf.DUMMYFUNCTION("""COMPUTED_VALUE"""),"No")</f>
        <v>No</v>
      </c>
      <c r="AI365" s="5"/>
      <c r="AJ365" s="5" t="str">
        <f ca="1">IFERROR(__xludf.DUMMYFUNCTION("""COMPUTED_VALUE"""),"No")</f>
        <v>No</v>
      </c>
    </row>
    <row r="366" spans="1:36" ht="13">
      <c r="A366" s="5" t="str">
        <f ca="1">IFERROR(__xludf.DUMMYFUNCTION("""COMPUTED_VALUE"""),"20220208MDCAC")</f>
        <v>20220208MDCAC</v>
      </c>
      <c r="B366" s="5">
        <f ca="1">IFERROR(__xludf.DUMMYFUNCTION("""COMPUTED_VALUE"""),2)</f>
        <v>2</v>
      </c>
      <c r="C366" s="5">
        <f ca="1">IFERROR(__xludf.DUMMYFUNCTION("""COMPUTED_VALUE"""),8)</f>
        <v>8</v>
      </c>
      <c r="D366" s="5">
        <f ca="1">IFERROR(__xludf.DUMMYFUNCTION("""COMPUTED_VALUE"""),2022)</f>
        <v>2022</v>
      </c>
      <c r="E366" s="8">
        <f ca="1">IFERROR(__xludf.DUMMYFUNCTION("""COMPUTED_VALUE"""),44600)</f>
        <v>44600</v>
      </c>
      <c r="F366" s="5" t="str">
        <f ca="1">IFERROR(__xludf.DUMMYFUNCTION("""COMPUTED_VALUE"""),"Catonsville High School")</f>
        <v>Catonsville High School</v>
      </c>
      <c r="G366" s="5">
        <f ca="1">IFERROR(__xludf.DUMMYFUNCTION("""COMPUTED_VALUE"""),0)</f>
        <v>0</v>
      </c>
      <c r="H366" s="5">
        <f ca="1">IFERROR(__xludf.DUMMYFUNCTION("""COMPUTED_VALUE"""),2)</f>
        <v>2</v>
      </c>
      <c r="I366" s="5">
        <f ca="1">IFERROR(__xludf.DUMMYFUNCTION("""COMPUTED_VALUE"""),2)</f>
        <v>2</v>
      </c>
      <c r="J366" s="5">
        <f ca="1">IFERROR(__xludf.DUMMYFUNCTION("""COMPUTED_VALUE"""),0)</f>
        <v>0</v>
      </c>
      <c r="K366" s="5" t="str">
        <f ca="1">IFERROR(__xludf.DUMMYFUNCTION("""COMPUTED_VALUE"""),"https://www.wbaltv.com/article/catonsville-high-school-police-investigation/39015853# https://www.baltimoresun.com/maryland/baltimore-county/catonsville/bs-md-co-cr-catonsville-high-school-active-investigation-20220208-xwe36syyirdivoaj6ohgdd4pnq-story.htm"&amp;"l https://www.wmar2news.com/news/local-news/police-on-scene-at-catonsville-high-school https://www.wbaltv.com/article/catonsville-high-school-police-investigation/39015853
https://www.google.com/search?q=catonsville+high+school+shooting&amp;rlz=1C1VDKB_enUS97"&amp;"4US974&amp;biw=1380&amp;bih=779&amp;tbm=nws&amp;sxsrf=AJOqlzXXWYAbffGjxOAwT116oCUo-BJtYg%3A1677070698595&amp;ei=ahH2Y9P-I-_LwbkPxfSGgAk&amp;ved=0ahUKEwjT24Kal6n9AhXvZTABHUW6AZAQ4dUDCA0&amp;uact=5&amp;oq=catonsville+high+school+shooting&amp;gs_lcp=Cgxnd3Mtd2l6LW5ld3MQAzIFCAAQgAQyCQgAEBYQHhDx"&amp;"BDIJCAAQFhAeEPEEOgcIABCxAxBDOgUIABCGA1CcCFixEGCHEmgAcAB4AIABYogB0gWSAQIxMJgBAKABAcABAQ&amp;sclient=gws-wiz-news")</f>
        <v>https://www.wbaltv.com/article/catonsville-high-school-police-investigation/39015853# https://www.baltimoresun.com/maryland/baltimore-county/catonsville/bs-md-co-cr-catonsville-high-school-active-investigation-20220208-xwe36syyirdivoaj6ohgdd4pnq-story.html https://www.wmar2news.com/news/local-news/police-on-scene-at-catonsville-high-school https://www.wbaltv.com/article/catonsville-high-school-police-investigation/39015853
https://www.google.com/search?q=catonsville+high+school+shooting&amp;rlz=1C1VDKB_enUS974US974&amp;biw=1380&amp;bih=779&amp;tbm=nws&amp;sxsrf=AJOqlzXXWYAbffGjxOAwT116oCUo-BJtYg%3A1677070698595&amp;ei=ahH2Y9P-I-_LwbkPxfSGgAk&amp;ved=0ahUKEwjT24Kal6n9AhXvZTABHUW6AZAQ4dUDCA0&amp;uact=5&amp;oq=catonsville+high+school+shooting&amp;gs_lcp=Cgxnd3Mtd2l6LW5ld3MQAzIFCAAQgAQyCQgAEBYQHhDxBDIJCAAQFhAeEPEEOgcIABCxAxBDOgUIABCGA1CcCFixEGCHEmgAcAB4AIABYogB0gWSAQIxMJgBAKABAcABAQ&amp;sclient=gws-wiz-news</v>
      </c>
      <c r="L366" s="5">
        <f ca="1">IFERROR(__xludf.DUMMYFUNCTION("""COMPUTED_VALUE"""),10)</f>
        <v>10</v>
      </c>
      <c r="M366" s="5" t="str">
        <f ca="1">IFERROR(__xludf.DUMMYFUNCTION("""COMPUTED_VALUE"""),"Regional")</f>
        <v>Regional</v>
      </c>
      <c r="N366" s="5">
        <f ca="1">IFERROR(__xludf.DUMMYFUNCTION("""COMPUTED_VALUE"""),4)</f>
        <v>4</v>
      </c>
      <c r="O366" s="5" t="str">
        <f ca="1">IFERROR(__xludf.DUMMYFUNCTION("""COMPUTED_VALUE"""),"Winter")</f>
        <v>Winter</v>
      </c>
      <c r="P366" s="5" t="str">
        <f ca="1">IFERROR(__xludf.DUMMYFUNCTION("""COMPUTED_VALUE"""),"Catonsville")</f>
        <v>Catonsville</v>
      </c>
      <c r="Q366" s="5" t="str">
        <f ca="1">IFERROR(__xludf.DUMMYFUNCTION("""COMPUTED_VALUE"""),"MD")</f>
        <v>MD</v>
      </c>
      <c r="R366" s="5" t="str">
        <f ca="1">IFERROR(__xludf.DUMMYFUNCTION("""COMPUTED_VALUE"""),"High")</f>
        <v>High</v>
      </c>
      <c r="S366" s="5" t="str">
        <f ca="1">IFERROR(__xludf.DUMMYFUNCTION("""COMPUTED_VALUE"""),"Parking Lot")</f>
        <v>Parking Lot</v>
      </c>
      <c r="T366" s="5" t="str">
        <f ca="1">IFERROR(__xludf.DUMMYFUNCTION("""COMPUTED_VALUE"""),"Outside on School Property")</f>
        <v>Outside on School Property</v>
      </c>
      <c r="U366" s="5" t="str">
        <f ca="1">IFERROR(__xludf.DUMMYFUNCTION("""COMPUTED_VALUE"""),"No")</f>
        <v>No</v>
      </c>
      <c r="V366" s="5" t="str">
        <f ca="1">IFERROR(__xludf.DUMMYFUNCTION("""COMPUTED_VALUE"""),"After School")</f>
        <v>After School</v>
      </c>
      <c r="W366" s="10">
        <f ca="1">IFERROR(__xludf.DUMMYFUNCTION("""COMPUTED_VALUE"""),0.625)</f>
        <v>0.625</v>
      </c>
      <c r="X366" s="5">
        <f ca="1">IFERROR(__xludf.DUMMYFUNCTION("""COMPUTED_VALUE"""),1)</f>
        <v>1</v>
      </c>
      <c r="Y366" s="5" t="str">
        <f ca="1">IFERROR(__xludf.DUMMYFUNCTION("""COMPUTED_VALUE"""),"Student shot in school parking lot")</f>
        <v>Student shot in school parking lot</v>
      </c>
      <c r="Z366" s="5" t="str">
        <f ca="1">IFERROR(__xludf.DUMMYFUNCTION("""COMPUTED_VALUE"""),"A 16-year-old student was shot in the school parking lot. Shooter fled in a vehicle. 3 shots were fired, victim ran, and additional shots were fired as victim fled. Lacrosse team was nearby and witnessed the shooting. School went on lockdown for students "&amp;"in the building for sports and after school activities. School resource officer was in the building at the time of the shooting.")</f>
        <v>A 16-year-old student was shot in the school parking lot. Shooter fled in a vehicle. 3 shots were fired, victim ran, and additional shots were fired as victim fled. Lacrosse team was nearby and witnessed the shooting. School went on lockdown for students in the building for sports and after school activities. School resource officer was in the building at the time of the shooting.</v>
      </c>
      <c r="AA366" s="5"/>
      <c r="AB366" s="5" t="str">
        <f ca="1">IFERROR(__xludf.DUMMYFUNCTION("""COMPUTED_VALUE"""),"Victims Targeted")</f>
        <v>Victims Targeted</v>
      </c>
      <c r="AC366" s="5" t="str">
        <f ca="1">IFERROR(__xludf.DUMMYFUNCTION("""COMPUTED_VALUE"""),"No")</f>
        <v>No</v>
      </c>
      <c r="AD366" s="5" t="str">
        <f ca="1">IFERROR(__xludf.DUMMYFUNCTION("""COMPUTED_VALUE"""),"No")</f>
        <v>No</v>
      </c>
      <c r="AE366" s="5" t="str">
        <f ca="1">IFERROR(__xludf.DUMMYFUNCTION("""COMPUTED_VALUE"""),"No")</f>
        <v>No</v>
      </c>
      <c r="AF366" s="5" t="str">
        <f ca="1">IFERROR(__xludf.DUMMYFUNCTION("""COMPUTED_VALUE"""),"No")</f>
        <v>No</v>
      </c>
      <c r="AG366" s="5" t="str">
        <f ca="1">IFERROR(__xludf.DUMMYFUNCTION("""COMPUTED_VALUE"""),"No")</f>
        <v>No</v>
      </c>
      <c r="AH366" s="5" t="str">
        <f ca="1">IFERROR(__xludf.DUMMYFUNCTION("""COMPUTED_VALUE"""),"No")</f>
        <v>No</v>
      </c>
      <c r="AI366" s="5"/>
      <c r="AJ366" s="5" t="str">
        <f ca="1">IFERROR(__xludf.DUMMYFUNCTION("""COMPUTED_VALUE"""),"No")</f>
        <v>No</v>
      </c>
    </row>
    <row r="367" spans="1:36" ht="13">
      <c r="A367" s="5" t="str">
        <f ca="1">IFERROR(__xludf.DUMMYFUNCTION("""COMPUTED_VALUE"""),"20220208NYMOM")</f>
        <v>20220208NYMOM</v>
      </c>
      <c r="B367" s="5">
        <f ca="1">IFERROR(__xludf.DUMMYFUNCTION("""COMPUTED_VALUE"""),2)</f>
        <v>2</v>
      </c>
      <c r="C367" s="5">
        <f ca="1">IFERROR(__xludf.DUMMYFUNCTION("""COMPUTED_VALUE"""),8)</f>
        <v>8</v>
      </c>
      <c r="D367" s="5">
        <f ca="1">IFERROR(__xludf.DUMMYFUNCTION("""COMPUTED_VALUE"""),2022)</f>
        <v>2022</v>
      </c>
      <c r="E367" s="8">
        <f ca="1">IFERROR(__xludf.DUMMYFUNCTION("""COMPUTED_VALUE"""),44600)</f>
        <v>44600</v>
      </c>
      <c r="F367" s="5" t="str">
        <f ca="1">IFERROR(__xludf.DUMMYFUNCTION("""COMPUTED_VALUE"""),"Mount Vernon High School")</f>
        <v>Mount Vernon High School</v>
      </c>
      <c r="G367" s="5">
        <f ca="1">IFERROR(__xludf.DUMMYFUNCTION("""COMPUTED_VALUE"""),0)</f>
        <v>0</v>
      </c>
      <c r="H367" s="5">
        <f ca="1">IFERROR(__xludf.DUMMYFUNCTION("""COMPUTED_VALUE"""),0)</f>
        <v>0</v>
      </c>
      <c r="I367" s="5">
        <f ca="1">IFERROR(__xludf.DUMMYFUNCTION("""COMPUTED_VALUE"""),0)</f>
        <v>0</v>
      </c>
      <c r="J367" s="5">
        <f ca="1">IFERROR(__xludf.DUMMYFUNCTION("""COMPUTED_VALUE"""),0)</f>
        <v>0</v>
      </c>
      <c r="K367" s="5" t="str">
        <f ca="1">IFERROR(__xludf.DUMMYFUNCTION("""COMPUTED_VALUE"""),"https://bronx.news12.com/police-respond-to-shots-fired-outside-mount-vernon-high-school https://dailyvoice.com/new-york/lewisboro/police-fire/shots-fired-outside-high-school-in-westchester/825570/ https://abc7ny.com/shooting-high-school-gun-violence-polic"&amp;"e-searching/11544877/")</f>
        <v>https://bronx.news12.com/police-respond-to-shots-fired-outside-mount-vernon-high-school https://dailyvoice.com/new-york/lewisboro/police-fire/shots-fired-outside-high-school-in-westchester/825570/ https://abc7ny.com/shooting-high-school-gun-violence-police-searching/11544877/</v>
      </c>
      <c r="L367" s="5">
        <f ca="1">IFERROR(__xludf.DUMMYFUNCTION("""COMPUTED_VALUE"""),5)</f>
        <v>5</v>
      </c>
      <c r="M367" s="5" t="str">
        <f ca="1">IFERROR(__xludf.DUMMYFUNCTION("""COMPUTED_VALUE"""),"Regional")</f>
        <v>Regional</v>
      </c>
      <c r="N367" s="5">
        <f ca="1">IFERROR(__xludf.DUMMYFUNCTION("""COMPUTED_VALUE"""),4)</f>
        <v>4</v>
      </c>
      <c r="O367" s="5" t="str">
        <f ca="1">IFERROR(__xludf.DUMMYFUNCTION("""COMPUTED_VALUE"""),"Winter")</f>
        <v>Winter</v>
      </c>
      <c r="P367" s="5" t="str">
        <f ca="1">IFERROR(__xludf.DUMMYFUNCTION("""COMPUTED_VALUE"""),"Mount Vernon")</f>
        <v>Mount Vernon</v>
      </c>
      <c r="Q367" s="5" t="str">
        <f ca="1">IFERROR(__xludf.DUMMYFUNCTION("""COMPUTED_VALUE"""),"NY")</f>
        <v>NY</v>
      </c>
      <c r="R367" s="5" t="str">
        <f ca="1">IFERROR(__xludf.DUMMYFUNCTION("""COMPUTED_VALUE"""),"High")</f>
        <v>High</v>
      </c>
      <c r="S367" s="5" t="str">
        <f ca="1">IFERROR(__xludf.DUMMYFUNCTION("""COMPUTED_VALUE"""),"Front of School")</f>
        <v>Front of School</v>
      </c>
      <c r="T367" s="5" t="str">
        <f ca="1">IFERROR(__xludf.DUMMYFUNCTION("""COMPUTED_VALUE"""),"Outside on School Property")</f>
        <v>Outside on School Property</v>
      </c>
      <c r="U367" s="5" t="str">
        <f ca="1">IFERROR(__xludf.DUMMYFUNCTION("""COMPUTED_VALUE"""),"Yes")</f>
        <v>Yes</v>
      </c>
      <c r="V367" s="5" t="str">
        <f ca="1">IFERROR(__xludf.DUMMYFUNCTION("""COMPUTED_VALUE"""),"Dismissal")</f>
        <v>Dismissal</v>
      </c>
      <c r="W367" s="10">
        <f ca="1">IFERROR(__xludf.DUMMYFUNCTION("""COMPUTED_VALUE"""),0.604166666666666)</f>
        <v>0.60416666666666596</v>
      </c>
      <c r="X367" s="5">
        <f ca="1">IFERROR(__xludf.DUMMYFUNCTION("""COMPUTED_VALUE"""),1)</f>
        <v>1</v>
      </c>
      <c r="Y367" s="5" t="str">
        <f ca="1">IFERROR(__xludf.DUMMYFUNCTION("""COMPUTED_VALUE"""),"Shots fired outside school prior to dismissal")</f>
        <v>Shots fired outside school prior to dismissal</v>
      </c>
      <c r="Z367" s="5" t="str">
        <f ca="1">IFERROR(__xludf.DUMMYFUNCTION("""COMPUTED_VALUE"""),"Three shots fired from a vehicle just prior to dismissal. School went on lockdown. Police recovered three shell casings on school property. Shooter fled. No injuries. School changing traffic pattern and visitor rules following shooting.")</f>
        <v>Three shots fired from a vehicle just prior to dismissal. School went on lockdown. Police recovered three shell casings on school property. Shooter fled. No injuries. School changing traffic pattern and visitor rules following shooting.</v>
      </c>
      <c r="AA367" s="5" t="str">
        <f ca="1">IFERROR(__xludf.DUMMYFUNCTION("""COMPUTED_VALUE"""),"Drive-by Shooting")</f>
        <v>Drive-by Shooting</v>
      </c>
      <c r="AB367" s="5"/>
      <c r="AC367" s="5" t="str">
        <f ca="1">IFERROR(__xludf.DUMMYFUNCTION("""COMPUTED_VALUE"""),"No")</f>
        <v>No</v>
      </c>
      <c r="AD367" s="5" t="str">
        <f ca="1">IFERROR(__xludf.DUMMYFUNCTION("""COMPUTED_VALUE"""),"No")</f>
        <v>No</v>
      </c>
      <c r="AE367" s="5" t="str">
        <f ca="1">IFERROR(__xludf.DUMMYFUNCTION("""COMPUTED_VALUE"""),"No")</f>
        <v>No</v>
      </c>
      <c r="AF367" s="5" t="str">
        <f ca="1">IFERROR(__xludf.DUMMYFUNCTION("""COMPUTED_VALUE"""),"No")</f>
        <v>No</v>
      </c>
      <c r="AG367" s="5" t="str">
        <f ca="1">IFERROR(__xludf.DUMMYFUNCTION("""COMPUTED_VALUE"""),"No")</f>
        <v>No</v>
      </c>
      <c r="AH367" s="5" t="str">
        <f ca="1">IFERROR(__xludf.DUMMYFUNCTION("""COMPUTED_VALUE"""),"No")</f>
        <v>No</v>
      </c>
      <c r="AI367" s="5"/>
      <c r="AJ367" s="5" t="str">
        <f ca="1">IFERROR(__xludf.DUMMYFUNCTION("""COMPUTED_VALUE"""),"No")</f>
        <v>No</v>
      </c>
    </row>
    <row r="368" spans="1:36" ht="13">
      <c r="A368" s="5" t="str">
        <f ca="1">IFERROR(__xludf.DUMMYFUNCTION("""COMPUTED_VALUE"""),"20220204GASOD")</f>
        <v>20220204GASOD</v>
      </c>
      <c r="B368" s="5">
        <f ca="1">IFERROR(__xludf.DUMMYFUNCTION("""COMPUTED_VALUE"""),2)</f>
        <v>2</v>
      </c>
      <c r="C368" s="5">
        <f ca="1">IFERROR(__xludf.DUMMYFUNCTION("""COMPUTED_VALUE"""),4)</f>
        <v>4</v>
      </c>
      <c r="D368" s="5">
        <f ca="1">IFERROR(__xludf.DUMMYFUNCTION("""COMPUTED_VALUE"""),2022)</f>
        <v>2022</v>
      </c>
      <c r="E368" s="8">
        <f ca="1">IFERROR(__xludf.DUMMYFUNCTION("""COMPUTED_VALUE"""),44596)</f>
        <v>44596</v>
      </c>
      <c r="F368" s="5" t="str">
        <f ca="1">IFERROR(__xludf.DUMMYFUNCTION("""COMPUTED_VALUE"""),"Southwest DeKalb High School")</f>
        <v>Southwest DeKalb High School</v>
      </c>
      <c r="G368" s="5">
        <f ca="1">IFERROR(__xludf.DUMMYFUNCTION("""COMPUTED_VALUE"""),0)</f>
        <v>0</v>
      </c>
      <c r="H368" s="5">
        <f ca="1">IFERROR(__xludf.DUMMYFUNCTION("""COMPUTED_VALUE"""),0)</f>
        <v>0</v>
      </c>
      <c r="I368" s="5">
        <f ca="1">IFERROR(__xludf.DUMMYFUNCTION("""COMPUTED_VALUE"""),0)</f>
        <v>0</v>
      </c>
      <c r="J368" s="5">
        <f ca="1">IFERROR(__xludf.DUMMYFUNCTION("""COMPUTED_VALUE"""),0)</f>
        <v>0</v>
      </c>
      <c r="K368" s="9" t="str">
        <f ca="1">IFERROR(__xludf.DUMMYFUNCTION("""COMPUTED_VALUE"""),"https://www.fox5atlanta.com/news/southwest-dekalb-high-school-student-accidentally-shot")</f>
        <v>https://www.fox5atlanta.com/news/southwest-dekalb-high-school-student-accidentally-shot</v>
      </c>
      <c r="L368" s="5">
        <f ca="1">IFERROR(__xludf.DUMMYFUNCTION("""COMPUTED_VALUE"""),1)</f>
        <v>1</v>
      </c>
      <c r="M368" s="5" t="str">
        <f ca="1">IFERROR(__xludf.DUMMYFUNCTION("""COMPUTED_VALUE"""),"Local")</f>
        <v>Local</v>
      </c>
      <c r="N368" s="5">
        <f ca="1">IFERROR(__xludf.DUMMYFUNCTION("""COMPUTED_VALUE"""),3)</f>
        <v>3</v>
      </c>
      <c r="O368" s="5" t="str">
        <f ca="1">IFERROR(__xludf.DUMMYFUNCTION("""COMPUTED_VALUE"""),"Winter")</f>
        <v>Winter</v>
      </c>
      <c r="P368" s="5" t="str">
        <f ca="1">IFERROR(__xludf.DUMMYFUNCTION("""COMPUTED_VALUE"""),"Decatur")</f>
        <v>Decatur</v>
      </c>
      <c r="Q368" s="5" t="str">
        <f ca="1">IFERROR(__xludf.DUMMYFUNCTION("""COMPUTED_VALUE"""),"GA")</f>
        <v>GA</v>
      </c>
      <c r="R368" s="5" t="str">
        <f ca="1">IFERROR(__xludf.DUMMYFUNCTION("""COMPUTED_VALUE"""),"High")</f>
        <v>High</v>
      </c>
      <c r="S368" s="5" t="str">
        <f ca="1">IFERROR(__xludf.DUMMYFUNCTION("""COMPUTED_VALUE"""),"Parking Lot")</f>
        <v>Parking Lot</v>
      </c>
      <c r="T368" s="5" t="str">
        <f ca="1">IFERROR(__xludf.DUMMYFUNCTION("""COMPUTED_VALUE"""),"Outside on School Property")</f>
        <v>Outside on School Property</v>
      </c>
      <c r="U368" s="5" t="str">
        <f ca="1">IFERROR(__xludf.DUMMYFUNCTION("""COMPUTED_VALUE"""),"Yes")</f>
        <v>Yes</v>
      </c>
      <c r="V368" s="5" t="str">
        <f ca="1">IFERROR(__xludf.DUMMYFUNCTION("""COMPUTED_VALUE"""),"Dismissal")</f>
        <v>Dismissal</v>
      </c>
      <c r="W368" s="10">
        <f ca="1">IFERROR(__xludf.DUMMYFUNCTION("""COMPUTED_VALUE"""),0.583333333333333)</f>
        <v>0.58333333333333304</v>
      </c>
      <c r="X368" s="5">
        <f ca="1">IFERROR(__xludf.DUMMYFUNCTION("""COMPUTED_VALUE"""),1)</f>
        <v>1</v>
      </c>
      <c r="Y368" s="5" t="str">
        <f ca="1">IFERROR(__xludf.DUMMYFUNCTION("""COMPUTED_VALUE"""),"Student shot self in the leg in school parking lot at dismissal")</f>
        <v>Student shot self in the leg in school parking lot at dismissal</v>
      </c>
      <c r="Z368" s="5" t="str">
        <f ca="1">IFERROR(__xludf.DUMMYFUNCTION("""COMPUTED_VALUE"""),"An unidentified student shot themselves in the leg during dismissal. Shooting occurred in the school parking lot.")</f>
        <v>An unidentified student shot themselves in the leg during dismissal. Shooting occurred in the school parking lot.</v>
      </c>
      <c r="AA368" s="5" t="str">
        <f ca="1">IFERROR(__xludf.DUMMYFUNCTION("""COMPUTED_VALUE"""),"Accidental")</f>
        <v>Accidental</v>
      </c>
      <c r="AB368" s="5" t="str">
        <f ca="1">IFERROR(__xludf.DUMMYFUNCTION("""COMPUTED_VALUE"""),"Neither")</f>
        <v>Neither</v>
      </c>
      <c r="AC368" s="5" t="str">
        <f ca="1">IFERROR(__xludf.DUMMYFUNCTION("""COMPUTED_VALUE"""),"No")</f>
        <v>No</v>
      </c>
      <c r="AD368" s="5" t="str">
        <f ca="1">IFERROR(__xludf.DUMMYFUNCTION("""COMPUTED_VALUE"""),"No")</f>
        <v>No</v>
      </c>
      <c r="AE368" s="5" t="str">
        <f ca="1">IFERROR(__xludf.DUMMYFUNCTION("""COMPUTED_VALUE"""),"No")</f>
        <v>No</v>
      </c>
      <c r="AF368" s="5" t="str">
        <f ca="1">IFERROR(__xludf.DUMMYFUNCTION("""COMPUTED_VALUE"""),"No")</f>
        <v>No</v>
      </c>
      <c r="AG368" s="5" t="str">
        <f ca="1">IFERROR(__xludf.DUMMYFUNCTION("""COMPUTED_VALUE"""),"No")</f>
        <v>No</v>
      </c>
      <c r="AH368" s="5" t="str">
        <f ca="1">IFERROR(__xludf.DUMMYFUNCTION("""COMPUTED_VALUE"""),"No")</f>
        <v>No</v>
      </c>
      <c r="AI368" s="5" t="str">
        <f ca="1">IFERROR(__xludf.DUMMYFUNCTION("""COMPUTED_VALUE"""),"No")</f>
        <v>No</v>
      </c>
      <c r="AJ368" s="5" t="str">
        <f ca="1">IFERROR(__xludf.DUMMYFUNCTION("""COMPUTED_VALUE"""),"No")</f>
        <v>No</v>
      </c>
    </row>
    <row r="369" spans="1:36" ht="13">
      <c r="A369" s="5" t="str">
        <f ca="1">IFERROR(__xludf.DUMMYFUNCTION("""COMPUTED_VALUE"""),"20220204ALWEB")</f>
        <v>20220204ALWEB</v>
      </c>
      <c r="B369" s="5">
        <f ca="1">IFERROR(__xludf.DUMMYFUNCTION("""COMPUTED_VALUE"""),2)</f>
        <v>2</v>
      </c>
      <c r="C369" s="5">
        <f ca="1">IFERROR(__xludf.DUMMYFUNCTION("""COMPUTED_VALUE"""),4)</f>
        <v>4</v>
      </c>
      <c r="D369" s="5">
        <f ca="1">IFERROR(__xludf.DUMMYFUNCTION("""COMPUTED_VALUE"""),2022)</f>
        <v>2022</v>
      </c>
      <c r="E369" s="8">
        <f ca="1">IFERROR(__xludf.DUMMYFUNCTION("""COMPUTED_VALUE"""),44596)</f>
        <v>44596</v>
      </c>
      <c r="F369" s="5" t="str">
        <f ca="1">IFERROR(__xludf.DUMMYFUNCTION("""COMPUTED_VALUE"""),"Wenonah High School")</f>
        <v>Wenonah High School</v>
      </c>
      <c r="G369" s="5">
        <f ca="1">IFERROR(__xludf.DUMMYFUNCTION("""COMPUTED_VALUE"""),0)</f>
        <v>0</v>
      </c>
      <c r="H369" s="5">
        <f ca="1">IFERROR(__xludf.DUMMYFUNCTION("""COMPUTED_VALUE"""),1)</f>
        <v>1</v>
      </c>
      <c r="I369" s="5">
        <f ca="1">IFERROR(__xludf.DUMMYFUNCTION("""COMPUTED_VALUE"""),1)</f>
        <v>1</v>
      </c>
      <c r="J369" s="5">
        <f ca="1">IFERROR(__xludf.DUMMYFUNCTION("""COMPUTED_VALUE"""),0)</f>
        <v>0</v>
      </c>
      <c r="K369" s="5" t="str">
        <f ca="1">IFERROR(__xludf.DUMMYFUNCTION("""COMPUTED_VALUE"""),"https://www.wvtm13.com/article/teen-injured-shooting-wenonah-high-school-basketball-game/38988795# https://www.al.com/news/birmingham/2022/02/16-year-old-injured-in-shooting-outside-basketball-game-at-birmingham-high-school.html https://www.cbs42.com/news"&amp;"/local/16-year-old-shot-outside-school-gym/")</f>
        <v>https://www.wvtm13.com/article/teen-injured-shooting-wenonah-high-school-basketball-game/38988795# https://www.al.com/news/birmingham/2022/02/16-year-old-injured-in-shooting-outside-basketball-game-at-birmingham-high-school.html https://www.cbs42.com/news/local/16-year-old-shot-outside-school-gym/</v>
      </c>
      <c r="L369" s="5">
        <f ca="1">IFERROR(__xludf.DUMMYFUNCTION("""COMPUTED_VALUE"""),3)</f>
        <v>3</v>
      </c>
      <c r="M369" s="5" t="str">
        <f ca="1">IFERROR(__xludf.DUMMYFUNCTION("""COMPUTED_VALUE"""),"Local")</f>
        <v>Local</v>
      </c>
      <c r="N369" s="5">
        <f ca="1">IFERROR(__xludf.DUMMYFUNCTION("""COMPUTED_VALUE"""),4)</f>
        <v>4</v>
      </c>
      <c r="O369" s="5" t="str">
        <f ca="1">IFERROR(__xludf.DUMMYFUNCTION("""COMPUTED_VALUE"""),"Winter")</f>
        <v>Winter</v>
      </c>
      <c r="P369" s="5" t="str">
        <f ca="1">IFERROR(__xludf.DUMMYFUNCTION("""COMPUTED_VALUE"""),"Birmingham")</f>
        <v>Birmingham</v>
      </c>
      <c r="Q369" s="5" t="str">
        <f ca="1">IFERROR(__xludf.DUMMYFUNCTION("""COMPUTED_VALUE"""),"AL")</f>
        <v>AL</v>
      </c>
      <c r="R369" s="5" t="str">
        <f ca="1">IFERROR(__xludf.DUMMYFUNCTION("""COMPUTED_VALUE"""),"High")</f>
        <v>High</v>
      </c>
      <c r="S369" s="5" t="str">
        <f ca="1">IFERROR(__xludf.DUMMYFUNCTION("""COMPUTED_VALUE"""),"Beside Building")</f>
        <v>Beside Building</v>
      </c>
      <c r="T369" s="5" t="str">
        <f ca="1">IFERROR(__xludf.DUMMYFUNCTION("""COMPUTED_VALUE"""),"Outside on School Property")</f>
        <v>Outside on School Property</v>
      </c>
      <c r="U369" s="5" t="str">
        <f ca="1">IFERROR(__xludf.DUMMYFUNCTION("""COMPUTED_VALUE"""),"No")</f>
        <v>No</v>
      </c>
      <c r="V369" s="5" t="str">
        <f ca="1">IFERROR(__xludf.DUMMYFUNCTION("""COMPUTED_VALUE"""),"Sport Event")</f>
        <v>Sport Event</v>
      </c>
      <c r="W369" s="10">
        <f ca="1">IFERROR(__xludf.DUMMYFUNCTION("""COMPUTED_VALUE"""),0.885416666666666)</f>
        <v>0.88541666666666596</v>
      </c>
      <c r="X369" s="5">
        <f ca="1">IFERROR(__xludf.DUMMYFUNCTION("""COMPUTED_VALUE"""),1)</f>
        <v>1</v>
      </c>
      <c r="Y369" s="5" t="str">
        <f ca="1">IFERROR(__xludf.DUMMYFUNCTION("""COMPUTED_VALUE"""),"Student (not intended target) shot outside of gym following basketball game")</f>
        <v>Student (not intended target) shot outside of gym following basketball game</v>
      </c>
      <c r="Z369" s="5" t="str">
        <f ca="1">IFERROR(__xludf.DUMMYFUNCTION("""COMPUTED_VALUE"""),"A 16-year-old student was shot outside of the gym at the end of a high school basketball game. Student was not the intended target. Multiple SROs from both schools were at the game. Officers moved the crowd back into the gym. No other injuries. Shooter fl"&amp;"ed. A student was fatally shot at the apartment complex across from the school 3 weeks prior.")</f>
        <v>A 16-year-old student was shot outside of the gym at the end of a high school basketball game. Student was not the intended target. Multiple SROs from both schools were at the game. Officers moved the crowd back into the gym. No other injuries. Shooter fled. A student was fatally shot at the apartment complex across from the school 3 weeks prior.</v>
      </c>
      <c r="AA369" s="5"/>
      <c r="AB369" s="5" t="str">
        <f ca="1">IFERROR(__xludf.DUMMYFUNCTION("""COMPUTED_VALUE"""),"Both")</f>
        <v>Both</v>
      </c>
      <c r="AC369" s="5" t="str">
        <f ca="1">IFERROR(__xludf.DUMMYFUNCTION("""COMPUTED_VALUE"""),"No")</f>
        <v>No</v>
      </c>
      <c r="AD369" s="5" t="str">
        <f ca="1">IFERROR(__xludf.DUMMYFUNCTION("""COMPUTED_VALUE"""),"No")</f>
        <v>No</v>
      </c>
      <c r="AE369" s="5" t="str">
        <f ca="1">IFERROR(__xludf.DUMMYFUNCTION("""COMPUTED_VALUE"""),"No")</f>
        <v>No</v>
      </c>
      <c r="AF369" s="5" t="str">
        <f ca="1">IFERROR(__xludf.DUMMYFUNCTION("""COMPUTED_VALUE"""),"No")</f>
        <v>No</v>
      </c>
      <c r="AG369" s="5" t="str">
        <f ca="1">IFERROR(__xludf.DUMMYFUNCTION("""COMPUTED_VALUE"""),"No")</f>
        <v>No</v>
      </c>
      <c r="AH369" s="5" t="str">
        <f ca="1">IFERROR(__xludf.DUMMYFUNCTION("""COMPUTED_VALUE"""),"No")</f>
        <v>No</v>
      </c>
      <c r="AI369" s="5"/>
      <c r="AJ369" s="5" t="str">
        <f ca="1">IFERROR(__xludf.DUMMYFUNCTION("""COMPUTED_VALUE"""),"No")</f>
        <v>No</v>
      </c>
    </row>
    <row r="370" spans="1:36" ht="13">
      <c r="A370" s="5" t="str">
        <f ca="1">IFERROR(__xludf.DUMMYFUNCTION("""COMPUTED_VALUE"""),"20220203NCSPS")</f>
        <v>20220203NCSPS</v>
      </c>
      <c r="B370" s="5">
        <f ca="1">IFERROR(__xludf.DUMMYFUNCTION("""COMPUTED_VALUE"""),2)</f>
        <v>2</v>
      </c>
      <c r="C370" s="5">
        <f ca="1">IFERROR(__xludf.DUMMYFUNCTION("""COMPUTED_VALUE"""),3)</f>
        <v>3</v>
      </c>
      <c r="D370" s="5">
        <f ca="1">IFERROR(__xludf.DUMMYFUNCTION("""COMPUTED_VALUE"""),2022)</f>
        <v>2022</v>
      </c>
      <c r="E370" s="8">
        <f ca="1">IFERROR(__xludf.DUMMYFUNCTION("""COMPUTED_VALUE"""),44595)</f>
        <v>44595</v>
      </c>
      <c r="F370" s="5" t="str">
        <f ca="1">IFERROR(__xludf.DUMMYFUNCTION("""COMPUTED_VALUE"""),"Speight Middle School")</f>
        <v>Speight Middle School</v>
      </c>
      <c r="G370" s="5">
        <f ca="1">IFERROR(__xludf.DUMMYFUNCTION("""COMPUTED_VALUE"""),0)</f>
        <v>0</v>
      </c>
      <c r="H370" s="5">
        <f ca="1">IFERROR(__xludf.DUMMYFUNCTION("""COMPUTED_VALUE"""),0)</f>
        <v>0</v>
      </c>
      <c r="I370" s="5">
        <f ca="1">IFERROR(__xludf.DUMMYFUNCTION("""COMPUTED_VALUE"""),0)</f>
        <v>0</v>
      </c>
      <c r="J370" s="5">
        <f ca="1">IFERROR(__xludf.DUMMYFUNCTION("""COMPUTED_VALUE"""),0)</f>
        <v>0</v>
      </c>
      <c r="K370" s="5" t="str">
        <f ca="1">IFERROR(__xludf.DUMMYFUNCTION("""COMPUTED_VALUE"""),"https://restorationnewsmedia.com/wilsontimes/news/gunshot-shatters-school-bus-window-5060490 https://www.newsobserver.com/news/state/north-carolina/article258244100.html")</f>
        <v>https://restorationnewsmedia.com/wilsontimes/news/gunshot-shatters-school-bus-window-5060490 https://www.newsobserver.com/news/state/north-carolina/article258244100.html</v>
      </c>
      <c r="L370" s="5">
        <f ca="1">IFERROR(__xludf.DUMMYFUNCTION("""COMPUTED_VALUE"""),2)</f>
        <v>2</v>
      </c>
      <c r="M370" s="5" t="str">
        <f ca="1">IFERROR(__xludf.DUMMYFUNCTION("""COMPUTED_VALUE"""),"Local")</f>
        <v>Local</v>
      </c>
      <c r="N370" s="5">
        <f ca="1">IFERROR(__xludf.DUMMYFUNCTION("""COMPUTED_VALUE"""),4)</f>
        <v>4</v>
      </c>
      <c r="O370" s="5" t="str">
        <f ca="1">IFERROR(__xludf.DUMMYFUNCTION("""COMPUTED_VALUE"""),"Winter")</f>
        <v>Winter</v>
      </c>
      <c r="P370" s="5" t="str">
        <f ca="1">IFERROR(__xludf.DUMMYFUNCTION("""COMPUTED_VALUE"""),"Stantonsburg")</f>
        <v>Stantonsburg</v>
      </c>
      <c r="Q370" s="5" t="str">
        <f ca="1">IFERROR(__xludf.DUMMYFUNCTION("""COMPUTED_VALUE"""),"NC")</f>
        <v>NC</v>
      </c>
      <c r="R370" s="5" t="str">
        <f ca="1">IFERROR(__xludf.DUMMYFUNCTION("""COMPUTED_VALUE"""),"Middle")</f>
        <v>Middle</v>
      </c>
      <c r="S370" s="5" t="str">
        <f ca="1">IFERROR(__xludf.DUMMYFUNCTION("""COMPUTED_VALUE"""),"School Bus")</f>
        <v>School Bus</v>
      </c>
      <c r="T370" s="5" t="str">
        <f ca="1">IFERROR(__xludf.DUMMYFUNCTION("""COMPUTED_VALUE"""),"School Bus")</f>
        <v>School Bus</v>
      </c>
      <c r="U370" s="5" t="str">
        <f ca="1">IFERROR(__xludf.DUMMYFUNCTION("""COMPUTED_VALUE"""),"Yes")</f>
        <v>Yes</v>
      </c>
      <c r="V370" s="5" t="str">
        <f ca="1">IFERROR(__xludf.DUMMYFUNCTION("""COMPUTED_VALUE"""),"Dismissal")</f>
        <v>Dismissal</v>
      </c>
      <c r="W370" s="10">
        <f ca="1">IFERROR(__xludf.DUMMYFUNCTION("""COMPUTED_VALUE"""),0.694444444444444)</f>
        <v>0.69444444444444398</v>
      </c>
      <c r="X370" s="5">
        <f ca="1">IFERROR(__xludf.DUMMYFUNCTION("""COMPUTED_VALUE"""),1)</f>
        <v>1</v>
      </c>
      <c r="Y370" s="5" t="str">
        <f ca="1">IFERROR(__xludf.DUMMYFUNCTION("""COMPUTED_VALUE"""),"Bullet struck window of occupied school bus")</f>
        <v>Bullet struck window of occupied school bus</v>
      </c>
      <c r="Z370" s="5" t="str">
        <f ca="1">IFERROR(__xludf.DUMMYFUNCTION("""COMPUTED_VALUE"""),"A bullet broke the side window of a school bus occupied by 12 students. Student sitting near the window was hit by broken glass. No injuries.")</f>
        <v>A bullet broke the side window of a school bus occupied by 12 students. Student sitting near the window was hit by broken glass. No injuries.</v>
      </c>
      <c r="AA370" s="5"/>
      <c r="AB370" s="5"/>
      <c r="AC370" s="5" t="str">
        <f ca="1">IFERROR(__xludf.DUMMYFUNCTION("""COMPUTED_VALUE"""),"No")</f>
        <v>No</v>
      </c>
      <c r="AD370" s="5" t="str">
        <f ca="1">IFERROR(__xludf.DUMMYFUNCTION("""COMPUTED_VALUE"""),"No")</f>
        <v>No</v>
      </c>
      <c r="AE370" s="5" t="str">
        <f ca="1">IFERROR(__xludf.DUMMYFUNCTION("""COMPUTED_VALUE"""),"No")</f>
        <v>No</v>
      </c>
      <c r="AF370" s="5" t="str">
        <f ca="1">IFERROR(__xludf.DUMMYFUNCTION("""COMPUTED_VALUE"""),"No")</f>
        <v>No</v>
      </c>
      <c r="AG370" s="5" t="str">
        <f ca="1">IFERROR(__xludf.DUMMYFUNCTION("""COMPUTED_VALUE"""),"No")</f>
        <v>No</v>
      </c>
      <c r="AH370" s="5" t="str">
        <f ca="1">IFERROR(__xludf.DUMMYFUNCTION("""COMPUTED_VALUE"""),"No")</f>
        <v>No</v>
      </c>
      <c r="AI370" s="5" t="str">
        <f ca="1">IFERROR(__xludf.DUMMYFUNCTION("""COMPUTED_VALUE"""),"No")</f>
        <v>No</v>
      </c>
      <c r="AJ370" s="5" t="str">
        <f ca="1">IFERROR(__xludf.DUMMYFUNCTION("""COMPUTED_VALUE"""),"No")</f>
        <v>No</v>
      </c>
    </row>
    <row r="371" spans="1:36" ht="13">
      <c r="A371" s="5" t="str">
        <f ca="1">IFERROR(__xludf.DUMMYFUNCTION("""COMPUTED_VALUE"""),"20220202KYLOR")</f>
        <v>20220202KYLOR</v>
      </c>
      <c r="B371" s="5">
        <f ca="1">IFERROR(__xludf.DUMMYFUNCTION("""COMPUTED_VALUE"""),2)</f>
        <v>2</v>
      </c>
      <c r="C371" s="5">
        <f ca="1">IFERROR(__xludf.DUMMYFUNCTION("""COMPUTED_VALUE"""),2)</f>
        <v>2</v>
      </c>
      <c r="D371" s="5">
        <f ca="1">IFERROR(__xludf.DUMMYFUNCTION("""COMPUTED_VALUE"""),2022)</f>
        <v>2022</v>
      </c>
      <c r="E371" s="8">
        <f ca="1">IFERROR(__xludf.DUMMYFUNCTION("""COMPUTED_VALUE"""),44594)</f>
        <v>44594</v>
      </c>
      <c r="F371" s="5" t="str">
        <f ca="1">IFERROR(__xludf.DUMMYFUNCTION("""COMPUTED_VALUE"""),"Logan County Community Technology Center")</f>
        <v>Logan County Community Technology Center</v>
      </c>
      <c r="G371" s="5">
        <f ca="1">IFERROR(__xludf.DUMMYFUNCTION("""COMPUTED_VALUE"""),0)</f>
        <v>0</v>
      </c>
      <c r="H371" s="5">
        <f ca="1">IFERROR(__xludf.DUMMYFUNCTION("""COMPUTED_VALUE"""),0)</f>
        <v>0</v>
      </c>
      <c r="I371" s="5">
        <f ca="1">IFERROR(__xludf.DUMMYFUNCTION("""COMPUTED_VALUE"""),0)</f>
        <v>0</v>
      </c>
      <c r="J371" s="5">
        <f ca="1">IFERROR(__xludf.DUMMYFUNCTION("""COMPUTED_VALUE"""),0)</f>
        <v>0</v>
      </c>
      <c r="K371" s="9" t="str">
        <f ca="1">IFERROR(__xludf.DUMMYFUNCTION("""COMPUTED_VALUE"""),"https://www.wnky.com/sheriffs-office-investigating-several-shots-fired-incidences-including-one-at-a-school-no-injuries/")</f>
        <v>https://www.wnky.com/sheriffs-office-investigating-several-shots-fired-incidences-including-one-at-a-school-no-injuries/</v>
      </c>
      <c r="L371" s="5">
        <f ca="1">IFERROR(__xludf.DUMMYFUNCTION("""COMPUTED_VALUE"""),1)</f>
        <v>1</v>
      </c>
      <c r="M371" s="5" t="str">
        <f ca="1">IFERROR(__xludf.DUMMYFUNCTION("""COMPUTED_VALUE"""),"Local")</f>
        <v>Local</v>
      </c>
      <c r="N371" s="5">
        <f ca="1">IFERROR(__xludf.DUMMYFUNCTION("""COMPUTED_VALUE"""),4)</f>
        <v>4</v>
      </c>
      <c r="O371" s="5" t="str">
        <f ca="1">IFERROR(__xludf.DUMMYFUNCTION("""COMPUTED_VALUE"""),"Winter")</f>
        <v>Winter</v>
      </c>
      <c r="P371" s="5" t="str">
        <f ca="1">IFERROR(__xludf.DUMMYFUNCTION("""COMPUTED_VALUE"""),"Russellville")</f>
        <v>Russellville</v>
      </c>
      <c r="Q371" s="5" t="str">
        <f ca="1">IFERROR(__xludf.DUMMYFUNCTION("""COMPUTED_VALUE"""),"KY")</f>
        <v>KY</v>
      </c>
      <c r="R371" s="5" t="str">
        <f ca="1">IFERROR(__xludf.DUMMYFUNCTION("""COMPUTED_VALUE"""),"High")</f>
        <v>High</v>
      </c>
      <c r="S371" s="5" t="str">
        <f ca="1">IFERROR(__xludf.DUMMYFUNCTION("""COMPUTED_VALUE"""),"Front of School")</f>
        <v>Front of School</v>
      </c>
      <c r="T371" s="5" t="str">
        <f ca="1">IFERROR(__xludf.DUMMYFUNCTION("""COMPUTED_VALUE"""),"Outside on School Property")</f>
        <v>Outside on School Property</v>
      </c>
      <c r="U371" s="5" t="str">
        <f ca="1">IFERROR(__xludf.DUMMYFUNCTION("""COMPUTED_VALUE"""),"No")</f>
        <v>No</v>
      </c>
      <c r="V371" s="5" t="str">
        <f ca="1">IFERROR(__xludf.DUMMYFUNCTION("""COMPUTED_VALUE"""),"Before School")</f>
        <v>Before School</v>
      </c>
      <c r="W371" s="10">
        <f ca="1">IFERROR(__xludf.DUMMYFUNCTION("""COMPUTED_VALUE"""),0.34375)</f>
        <v>0.34375</v>
      </c>
      <c r="X371" s="5">
        <f ca="1">IFERROR(__xludf.DUMMYFUNCTION("""COMPUTED_VALUE"""),1)</f>
        <v>1</v>
      </c>
      <c r="Y371" s="5" t="str">
        <f ca="1">IFERROR(__xludf.DUMMYFUNCTION("""COMPUTED_VALUE"""),"Two windows of the school building shot")</f>
        <v>Two windows of the school building shot</v>
      </c>
      <c r="Z371" s="5" t="str">
        <f ca="1">IFERROR(__xludf.DUMMYFUNCTION("""COMPUTED_VALUE"""),"Two windows of the school building were shot. Not students or staff inside when the shooting occurred.")</f>
        <v>Two windows of the school building were shot. Not students or staff inside when the shooting occurred.</v>
      </c>
      <c r="AA371" s="5" t="str">
        <f ca="1">IFERROR(__xludf.DUMMYFUNCTION("""COMPUTED_VALUE"""),"Intentional Property Damage")</f>
        <v>Intentional Property Damage</v>
      </c>
      <c r="AB371" s="5" t="str">
        <f ca="1">IFERROR(__xludf.DUMMYFUNCTION("""COMPUTED_VALUE"""),"Random Shooting")</f>
        <v>Random Shooting</v>
      </c>
      <c r="AC371" s="5" t="str">
        <f ca="1">IFERROR(__xludf.DUMMYFUNCTION("""COMPUTED_VALUE"""),"No")</f>
        <v>No</v>
      </c>
      <c r="AD371" s="5" t="str">
        <f ca="1">IFERROR(__xludf.DUMMYFUNCTION("""COMPUTED_VALUE"""),"No")</f>
        <v>No</v>
      </c>
      <c r="AE371" s="5" t="str">
        <f ca="1">IFERROR(__xludf.DUMMYFUNCTION("""COMPUTED_VALUE"""),"No")</f>
        <v>No</v>
      </c>
      <c r="AF371" s="5" t="str">
        <f ca="1">IFERROR(__xludf.DUMMYFUNCTION("""COMPUTED_VALUE"""),"No")</f>
        <v>No</v>
      </c>
      <c r="AG371" s="5" t="str">
        <f ca="1">IFERROR(__xludf.DUMMYFUNCTION("""COMPUTED_VALUE"""),"No")</f>
        <v>No</v>
      </c>
      <c r="AH371" s="5" t="str">
        <f ca="1">IFERROR(__xludf.DUMMYFUNCTION("""COMPUTED_VALUE"""),"No")</f>
        <v>No</v>
      </c>
      <c r="AI371" s="5" t="str">
        <f ca="1">IFERROR(__xludf.DUMMYFUNCTION("""COMPUTED_VALUE"""),"No")</f>
        <v>No</v>
      </c>
      <c r="AJ371" s="5" t="str">
        <f ca="1">IFERROR(__xludf.DUMMYFUNCTION("""COMPUTED_VALUE"""),"No")</f>
        <v>No</v>
      </c>
    </row>
    <row r="372" spans="1:36" ht="13">
      <c r="A372" s="5" t="str">
        <f ca="1">IFERROR(__xludf.DUMMYFUNCTION("""COMPUTED_VALUE"""),"20220201PAACS")</f>
        <v>20220201PAACS</v>
      </c>
      <c r="B372" s="5">
        <f ca="1">IFERROR(__xludf.DUMMYFUNCTION("""COMPUTED_VALUE"""),2)</f>
        <v>2</v>
      </c>
      <c r="C372" s="5">
        <f ca="1">IFERROR(__xludf.DUMMYFUNCTION("""COMPUTED_VALUE"""),1)</f>
        <v>1</v>
      </c>
      <c r="D372" s="5">
        <f ca="1">IFERROR(__xludf.DUMMYFUNCTION("""COMPUTED_VALUE"""),2022)</f>
        <v>2022</v>
      </c>
      <c r="E372" s="8">
        <f ca="1">IFERROR(__xludf.DUMMYFUNCTION("""COMPUTED_VALUE"""),44593)</f>
        <v>44593</v>
      </c>
      <c r="F372" s="5" t="str">
        <f ca="1">IFERROR(__xludf.DUMMYFUNCTION("""COMPUTED_VALUE"""),"Academy Park High School")</f>
        <v>Academy Park High School</v>
      </c>
      <c r="G372" s="5">
        <f ca="1">IFERROR(__xludf.DUMMYFUNCTION("""COMPUTED_VALUE"""),0)</f>
        <v>0</v>
      </c>
      <c r="H372" s="5">
        <f ca="1">IFERROR(__xludf.DUMMYFUNCTION("""COMPUTED_VALUE"""),0)</f>
        <v>0</v>
      </c>
      <c r="I372" s="5">
        <f ca="1">IFERROR(__xludf.DUMMYFUNCTION("""COMPUTED_VALUE"""),0)</f>
        <v>0</v>
      </c>
      <c r="J372" s="5">
        <f ca="1">IFERROR(__xludf.DUMMYFUNCTION("""COMPUTED_VALUE"""),0)</f>
        <v>0</v>
      </c>
      <c r="K372" s="5" t="str">
        <f ca="1">IFERROR(__xludf.DUMMYFUNCTION("""COMPUTED_VALUE"""),"https://www.inquirer.com/crime/delco-high-school-shooting-academy-park-sharon-hill-20220201.html https://dailyvoice.com/pennsylvania/delaware/police-fire/shooting-reported-at-academy-park-high-school/825169/ https://philadelphia.cbslocal.com/2022/02/01/ac"&amp;"ademy-park-high-school-sharon-hill-shooting/")</f>
        <v>https://www.inquirer.com/crime/delco-high-school-shooting-academy-park-sharon-hill-20220201.html https://dailyvoice.com/pennsylvania/delaware/police-fire/shooting-reported-at-academy-park-high-school/825169/ https://philadelphia.cbslocal.com/2022/02/01/academy-park-high-school-sharon-hill-shooting/</v>
      </c>
      <c r="L372" s="5">
        <f ca="1">IFERROR(__xludf.DUMMYFUNCTION("""COMPUTED_VALUE"""),5)</f>
        <v>5</v>
      </c>
      <c r="M372" s="5" t="str">
        <f ca="1">IFERROR(__xludf.DUMMYFUNCTION("""COMPUTED_VALUE"""),"Local")</f>
        <v>Local</v>
      </c>
      <c r="N372" s="5">
        <f ca="1">IFERROR(__xludf.DUMMYFUNCTION("""COMPUTED_VALUE"""),4)</f>
        <v>4</v>
      </c>
      <c r="O372" s="5" t="str">
        <f ca="1">IFERROR(__xludf.DUMMYFUNCTION("""COMPUTED_VALUE"""),"Winter")</f>
        <v>Winter</v>
      </c>
      <c r="P372" s="5" t="str">
        <f ca="1">IFERROR(__xludf.DUMMYFUNCTION("""COMPUTED_VALUE"""),"Sharon Hill")</f>
        <v>Sharon Hill</v>
      </c>
      <c r="Q372" s="5" t="str">
        <f ca="1">IFERROR(__xludf.DUMMYFUNCTION("""COMPUTED_VALUE"""),"PA")</f>
        <v>PA</v>
      </c>
      <c r="R372" s="5" t="str">
        <f ca="1">IFERROR(__xludf.DUMMYFUNCTION("""COMPUTED_VALUE"""),"High")</f>
        <v>High</v>
      </c>
      <c r="S372" s="5" t="str">
        <f ca="1">IFERROR(__xludf.DUMMYFUNCTION("""COMPUTED_VALUE"""),"Parking Lot")</f>
        <v>Parking Lot</v>
      </c>
      <c r="T372" s="5" t="str">
        <f ca="1">IFERROR(__xludf.DUMMYFUNCTION("""COMPUTED_VALUE"""),"Outside on School Property")</f>
        <v>Outside on School Property</v>
      </c>
      <c r="U372" s="5" t="str">
        <f ca="1">IFERROR(__xludf.DUMMYFUNCTION("""COMPUTED_VALUE"""),"Yes")</f>
        <v>Yes</v>
      </c>
      <c r="V372" s="5" t="str">
        <f ca="1">IFERROR(__xludf.DUMMYFUNCTION("""COMPUTED_VALUE"""),"Dismissal")</f>
        <v>Dismissal</v>
      </c>
      <c r="W372" s="10">
        <f ca="1">IFERROR(__xludf.DUMMYFUNCTION("""COMPUTED_VALUE"""),0.638888888888888)</f>
        <v>0.63888888888888795</v>
      </c>
      <c r="X372" s="5">
        <f ca="1">IFERROR(__xludf.DUMMYFUNCTION("""COMPUTED_VALUE"""),1)</f>
        <v>1</v>
      </c>
      <c r="Y372" s="5" t="str">
        <f ca="1">IFERROR(__xludf.DUMMYFUNCTION("""COMPUTED_VALUE"""),"Shots fired in the school parking lot")</f>
        <v>Shots fired in the school parking lot</v>
      </c>
      <c r="Z372" s="5" t="str">
        <f ca="1">IFERROR(__xludf.DUMMYFUNCTION("""COMPUTED_VALUE"""),"Shot fired in the school parking lot. No injuries. Shooter fled.")</f>
        <v>Shot fired in the school parking lot. No injuries. Shooter fled.</v>
      </c>
      <c r="AA372" s="5"/>
      <c r="AB372" s="5"/>
      <c r="AC372" s="5" t="str">
        <f ca="1">IFERROR(__xludf.DUMMYFUNCTION("""COMPUTED_VALUE"""),"No")</f>
        <v>No</v>
      </c>
      <c r="AD372" s="5" t="str">
        <f ca="1">IFERROR(__xludf.DUMMYFUNCTION("""COMPUTED_VALUE"""),"No")</f>
        <v>No</v>
      </c>
      <c r="AE372" s="5" t="str">
        <f ca="1">IFERROR(__xludf.DUMMYFUNCTION("""COMPUTED_VALUE"""),"No")</f>
        <v>No</v>
      </c>
      <c r="AF372" s="5" t="str">
        <f ca="1">IFERROR(__xludf.DUMMYFUNCTION("""COMPUTED_VALUE"""),"No")</f>
        <v>No</v>
      </c>
      <c r="AG372" s="5" t="str">
        <f ca="1">IFERROR(__xludf.DUMMYFUNCTION("""COMPUTED_VALUE"""),"No")</f>
        <v>No</v>
      </c>
      <c r="AH372" s="5" t="str">
        <f ca="1">IFERROR(__xludf.DUMMYFUNCTION("""COMPUTED_VALUE"""),"No")</f>
        <v>No</v>
      </c>
      <c r="AI372" s="5"/>
      <c r="AJ372" s="5" t="str">
        <f ca="1">IFERROR(__xludf.DUMMYFUNCTION("""COMPUTED_VALUE"""),"No")</f>
        <v>No</v>
      </c>
    </row>
    <row r="373" spans="1:36" ht="13">
      <c r="A373" s="5" t="str">
        <f ca="1">IFERROR(__xludf.DUMMYFUNCTION("""COMPUTED_VALUE"""),"20220201MNSOR")</f>
        <v>20220201MNSOR</v>
      </c>
      <c r="B373" s="5">
        <f ca="1">IFERROR(__xludf.DUMMYFUNCTION("""COMPUTED_VALUE"""),2)</f>
        <v>2</v>
      </c>
      <c r="C373" s="5">
        <f ca="1">IFERROR(__xludf.DUMMYFUNCTION("""COMPUTED_VALUE"""),1)</f>
        <v>1</v>
      </c>
      <c r="D373" s="5">
        <f ca="1">IFERROR(__xludf.DUMMYFUNCTION("""COMPUTED_VALUE"""),2022)</f>
        <v>2022</v>
      </c>
      <c r="E373" s="8">
        <f ca="1">IFERROR(__xludf.DUMMYFUNCTION("""COMPUTED_VALUE"""),44593)</f>
        <v>44593</v>
      </c>
      <c r="F373" s="5" t="str">
        <f ca="1">IFERROR(__xludf.DUMMYFUNCTION("""COMPUTED_VALUE"""),"South Education Center")</f>
        <v>South Education Center</v>
      </c>
      <c r="G373" s="5">
        <f ca="1">IFERROR(__xludf.DUMMYFUNCTION("""COMPUTED_VALUE"""),1)</f>
        <v>1</v>
      </c>
      <c r="H373" s="5">
        <f ca="1">IFERROR(__xludf.DUMMYFUNCTION("""COMPUTED_VALUE"""),2)</f>
        <v>2</v>
      </c>
      <c r="I373" s="5">
        <f ca="1">IFERROR(__xludf.DUMMYFUNCTION("""COMPUTED_VALUE"""),3)</f>
        <v>3</v>
      </c>
      <c r="J373" s="5">
        <f ca="1">IFERROR(__xludf.DUMMYFUNCTION("""COMPUTED_VALUE"""),0)</f>
        <v>0</v>
      </c>
      <c r="K373" s="5" t="str">
        <f ca="1">IFERROR(__xludf.DUMMYFUNCTION("""COMPUTED_VALUE"""),"https://minnesota.cbslocal.com/2022/02/03/2-in-custody-after-shooting-outside-richfield-school/ https://minnesota.cbslocal.com/2022/02/01/richfield-school-shooting-arrests/ https://www.cnn.com/2022/02/01/us/mn-south-education-center-shooting/index.html
ht"&amp;"tps://kstp.com/kstp-news/top-news/trial-scheduled-for-man-accused-of-murder-in-shooting-outside-richfield-school/
https://www.fox9.com/news/richfield-school-shooting-alfredo-solis-sentenced-jahmari-rice")</f>
        <v>https://minnesota.cbslocal.com/2022/02/03/2-in-custody-after-shooting-outside-richfield-school/ https://minnesota.cbslocal.com/2022/02/01/richfield-school-shooting-arrests/ https://www.cnn.com/2022/02/01/us/mn-south-education-center-shooting/index.html
https://kstp.com/kstp-news/top-news/trial-scheduled-for-man-accused-of-murder-in-shooting-outside-richfield-school/
https://www.fox9.com/news/richfield-school-shooting-alfredo-solis-sentenced-jahmari-rice</v>
      </c>
      <c r="L373" s="5">
        <f ca="1">IFERROR(__xludf.DUMMYFUNCTION("""COMPUTED_VALUE"""),100)</f>
        <v>100</v>
      </c>
      <c r="M373" s="5" t="str">
        <f ca="1">IFERROR(__xludf.DUMMYFUNCTION("""COMPUTED_VALUE"""),"National")</f>
        <v>National</v>
      </c>
      <c r="N373" s="5">
        <f ca="1">IFERROR(__xludf.DUMMYFUNCTION("""COMPUTED_VALUE"""),4)</f>
        <v>4</v>
      </c>
      <c r="O373" s="5" t="str">
        <f ca="1">IFERROR(__xludf.DUMMYFUNCTION("""COMPUTED_VALUE"""),"Winter")</f>
        <v>Winter</v>
      </c>
      <c r="P373" s="5" t="str">
        <f ca="1">IFERROR(__xludf.DUMMYFUNCTION("""COMPUTED_VALUE"""),"Richfield")</f>
        <v>Richfield</v>
      </c>
      <c r="Q373" s="5" t="str">
        <f ca="1">IFERROR(__xludf.DUMMYFUNCTION("""COMPUTED_VALUE"""),"MN")</f>
        <v>MN</v>
      </c>
      <c r="R373" s="5" t="str">
        <f ca="1">IFERROR(__xludf.DUMMYFUNCTION("""COMPUTED_VALUE"""),"K-12")</f>
        <v>K-12</v>
      </c>
      <c r="S373" s="5" t="str">
        <f ca="1">IFERROR(__xludf.DUMMYFUNCTION("""COMPUTED_VALUE"""),"Front of School")</f>
        <v>Front of School</v>
      </c>
      <c r="T373" s="5" t="str">
        <f ca="1">IFERROR(__xludf.DUMMYFUNCTION("""COMPUTED_VALUE"""),"Outside on School Property")</f>
        <v>Outside on School Property</v>
      </c>
      <c r="U373" s="5" t="str">
        <f ca="1">IFERROR(__xludf.DUMMYFUNCTION("""COMPUTED_VALUE"""),"Yes")</f>
        <v>Yes</v>
      </c>
      <c r="V373" s="5" t="str">
        <f ca="1">IFERROR(__xludf.DUMMYFUNCTION("""COMPUTED_VALUE"""),"Lunch")</f>
        <v>Lunch</v>
      </c>
      <c r="W373" s="10">
        <f ca="1">IFERROR(__xludf.DUMMYFUNCTION("""COMPUTED_VALUE"""),0.502777777777777)</f>
        <v>0.50277777777777699</v>
      </c>
      <c r="X373" s="5">
        <f ca="1">IFERROR(__xludf.DUMMYFUNCTION("""COMPUTED_VALUE"""),1)</f>
        <v>1</v>
      </c>
      <c r="Y373" s="5" t="str">
        <f ca="1">IFERROR(__xludf.DUMMYFUNCTION("""COMPUTED_VALUE"""),"Three students shot in front of school")</f>
        <v>Three students shot in front of school</v>
      </c>
      <c r="Z373" s="5" t="str">
        <f ca="1">IFERROR(__xludf.DUMMYFUNCTION("""COMPUTED_VALUE"""),"Three students were shot in front of the school during a dispute between 5 students. One student was killed. The other was transported in critical condition. Shooter fled in a vehicle. School went on lockdown until dismissal to parents. School is an alter"&amp;"native high school and provides special education to students k-12.")</f>
        <v>Three students were shot in front of the school during a dispute between 5 students. One student was killed. The other was transported in critical condition. Shooter fled in a vehicle. School went on lockdown until dismissal to parents. School is an alternative high school and provides special education to students k-12.</v>
      </c>
      <c r="AA373" s="5" t="str">
        <f ca="1">IFERROR(__xludf.DUMMYFUNCTION("""COMPUTED_VALUE"""),"Escalation of Dispute")</f>
        <v>Escalation of Dispute</v>
      </c>
      <c r="AB373" s="5" t="str">
        <f ca="1">IFERROR(__xludf.DUMMYFUNCTION("""COMPUTED_VALUE"""),"Both")</f>
        <v>Both</v>
      </c>
      <c r="AC373" s="5" t="str">
        <f ca="1">IFERROR(__xludf.DUMMYFUNCTION("""COMPUTED_VALUE"""),"Yes")</f>
        <v>Yes</v>
      </c>
      <c r="AD373" s="5" t="str">
        <f ca="1">IFERROR(__xludf.DUMMYFUNCTION("""COMPUTED_VALUE"""),"No")</f>
        <v>No</v>
      </c>
      <c r="AE373" s="5" t="str">
        <f ca="1">IFERROR(__xludf.DUMMYFUNCTION("""COMPUTED_VALUE"""),"No")</f>
        <v>No</v>
      </c>
      <c r="AF373" s="5" t="str">
        <f ca="1">IFERROR(__xludf.DUMMYFUNCTION("""COMPUTED_VALUE"""),"No")</f>
        <v>No</v>
      </c>
      <c r="AG373" s="5" t="str">
        <f ca="1">IFERROR(__xludf.DUMMYFUNCTION("""COMPUTED_VALUE"""),"No")</f>
        <v>No</v>
      </c>
      <c r="AH373" s="5" t="str">
        <f ca="1">IFERROR(__xludf.DUMMYFUNCTION("""COMPUTED_VALUE"""),"No")</f>
        <v>No</v>
      </c>
      <c r="AI373" s="5" t="str">
        <f ca="1">IFERROR(__xludf.DUMMYFUNCTION("""COMPUTED_VALUE"""),"Yes")</f>
        <v>Yes</v>
      </c>
      <c r="AJ373" s="5" t="str">
        <f ca="1">IFERROR(__xludf.DUMMYFUNCTION("""COMPUTED_VALUE"""),"No")</f>
        <v>No</v>
      </c>
    </row>
    <row r="374" spans="1:36" ht="13">
      <c r="A374" s="5" t="str">
        <f ca="1">IFERROR(__xludf.DUMMYFUNCTION("""COMPUTED_VALUE"""),"20220201ILALC")</f>
        <v>20220201ILALC</v>
      </c>
      <c r="B374" s="5">
        <f ca="1">IFERROR(__xludf.DUMMYFUNCTION("""COMPUTED_VALUE"""),2)</f>
        <v>2</v>
      </c>
      <c r="C374" s="5">
        <f ca="1">IFERROR(__xludf.DUMMYFUNCTION("""COMPUTED_VALUE"""),1)</f>
        <v>1</v>
      </c>
      <c r="D374" s="5">
        <f ca="1">IFERROR(__xludf.DUMMYFUNCTION("""COMPUTED_VALUE"""),2022)</f>
        <v>2022</v>
      </c>
      <c r="E374" s="8">
        <f ca="1">IFERROR(__xludf.DUMMYFUNCTION("""COMPUTED_VALUE"""),44593)</f>
        <v>44593</v>
      </c>
      <c r="F374" s="5" t="str">
        <f ca="1">IFERROR(__xludf.DUMMYFUNCTION("""COMPUTED_VALUE"""),"Alessandro Volta Elementary School")</f>
        <v>Alessandro Volta Elementary School</v>
      </c>
      <c r="G374" s="5">
        <f ca="1">IFERROR(__xludf.DUMMYFUNCTION("""COMPUTED_VALUE"""),0)</f>
        <v>0</v>
      </c>
      <c r="H374" s="5">
        <f ca="1">IFERROR(__xludf.DUMMYFUNCTION("""COMPUTED_VALUE"""),1)</f>
        <v>1</v>
      </c>
      <c r="I374" s="5">
        <f ca="1">IFERROR(__xludf.DUMMYFUNCTION("""COMPUTED_VALUE"""),1)</f>
        <v>1</v>
      </c>
      <c r="J374" s="5">
        <f ca="1">IFERROR(__xludf.DUMMYFUNCTION("""COMPUTED_VALUE"""),0)</f>
        <v>0</v>
      </c>
      <c r="K374" s="5" t="str">
        <f ca="1">IFERROR(__xludf.DUMMYFUNCTION("""COMPUTED_VALUE"""),"https://chicago.suntimes.com/crime/2022/2/1/22912781/albany-park-shooting https://chicago.suntimes.com/news/2022/2/11/22929980/chicago-violence-girl-shot-albany-park-school-parents-students-march https://chicago.cbslocal.com/2022/02/11/volta-elementary-al"&amp;"bany-park-playground-shootings-safety/")</f>
        <v>https://chicago.suntimes.com/crime/2022/2/1/22912781/albany-park-shooting https://chicago.suntimes.com/news/2022/2/11/22929980/chicago-violence-girl-shot-albany-park-school-parents-students-march https://chicago.cbslocal.com/2022/02/11/volta-elementary-albany-park-playground-shootings-safety/</v>
      </c>
      <c r="L374" s="5">
        <f ca="1">IFERROR(__xludf.DUMMYFUNCTION("""COMPUTED_VALUE"""),10)</f>
        <v>10</v>
      </c>
      <c r="M374" s="5" t="str">
        <f ca="1">IFERROR(__xludf.DUMMYFUNCTION("""COMPUTED_VALUE"""),"Regional")</f>
        <v>Regional</v>
      </c>
      <c r="N374" s="5">
        <f ca="1">IFERROR(__xludf.DUMMYFUNCTION("""COMPUTED_VALUE"""),4)</f>
        <v>4</v>
      </c>
      <c r="O374" s="5" t="str">
        <f ca="1">IFERROR(__xludf.DUMMYFUNCTION("""COMPUTED_VALUE"""),"Winter")</f>
        <v>Winter</v>
      </c>
      <c r="P374" s="5" t="str">
        <f ca="1">IFERROR(__xludf.DUMMYFUNCTION("""COMPUTED_VALUE"""),"Chicago")</f>
        <v>Chicago</v>
      </c>
      <c r="Q374" s="5" t="str">
        <f ca="1">IFERROR(__xludf.DUMMYFUNCTION("""COMPUTED_VALUE"""),"IL")</f>
        <v>IL</v>
      </c>
      <c r="R374" s="5" t="str">
        <f ca="1">IFERROR(__xludf.DUMMYFUNCTION("""COMPUTED_VALUE"""),"Elementary")</f>
        <v>Elementary</v>
      </c>
      <c r="S374" s="5" t="str">
        <f ca="1">IFERROR(__xludf.DUMMYFUNCTION("""COMPUTED_VALUE"""),"Front of School")</f>
        <v>Front of School</v>
      </c>
      <c r="T374" s="5" t="str">
        <f ca="1">IFERROR(__xludf.DUMMYFUNCTION("""COMPUTED_VALUE"""),"Outside on School Property")</f>
        <v>Outside on School Property</v>
      </c>
      <c r="U374" s="5" t="str">
        <f ca="1">IFERROR(__xludf.DUMMYFUNCTION("""COMPUTED_VALUE"""),"Yes")</f>
        <v>Yes</v>
      </c>
      <c r="V374" s="5" t="str">
        <f ca="1">IFERROR(__xludf.DUMMYFUNCTION("""COMPUTED_VALUE"""),"Morning Classes")</f>
        <v>Morning Classes</v>
      </c>
      <c r="W374" s="10">
        <f ca="1">IFERROR(__xludf.DUMMYFUNCTION("""COMPUTED_VALUE"""),0.416666666666666)</f>
        <v>0.41666666666666602</v>
      </c>
      <c r="X374" s="5">
        <f ca="1">IFERROR(__xludf.DUMMYFUNCTION("""COMPUTED_VALUE"""),1)</f>
        <v>1</v>
      </c>
      <c r="Y374" s="5" t="str">
        <f ca="1">IFERROR(__xludf.DUMMYFUNCTION("""COMPUTED_VALUE"""),"Teen girl shot by front door of school")</f>
        <v>Teen girl shot by front door of school</v>
      </c>
      <c r="Z374" s="5" t="str">
        <f ca="1">IFERROR(__xludf.DUMMYFUNCTION("""COMPUTED_VALUE"""),"A 16-year-old girl was shot near the front door of the school. Shots were fired down the street, she was not the intended target. School went on lockdown. Shooter fled.")</f>
        <v>A 16-year-old girl was shot near the front door of the school. Shots were fired down the street, she was not the intended target. School went on lockdown. Shooter fled.</v>
      </c>
      <c r="AA374" s="5"/>
      <c r="AB374" s="5" t="str">
        <f ca="1">IFERROR(__xludf.DUMMYFUNCTION("""COMPUTED_VALUE"""),"Both")</f>
        <v>Both</v>
      </c>
      <c r="AC374" s="5" t="str">
        <f ca="1">IFERROR(__xludf.DUMMYFUNCTION("""COMPUTED_VALUE"""),"No")</f>
        <v>No</v>
      </c>
      <c r="AD374" s="5" t="str">
        <f ca="1">IFERROR(__xludf.DUMMYFUNCTION("""COMPUTED_VALUE"""),"No")</f>
        <v>No</v>
      </c>
      <c r="AE374" s="5" t="str">
        <f ca="1">IFERROR(__xludf.DUMMYFUNCTION("""COMPUTED_VALUE"""),"No")</f>
        <v>No</v>
      </c>
      <c r="AF374" s="5" t="str">
        <f ca="1">IFERROR(__xludf.DUMMYFUNCTION("""COMPUTED_VALUE"""),"No")</f>
        <v>No</v>
      </c>
      <c r="AG374" s="5" t="str">
        <f ca="1">IFERROR(__xludf.DUMMYFUNCTION("""COMPUTED_VALUE"""),"No")</f>
        <v>No</v>
      </c>
      <c r="AH374" s="5" t="str">
        <f ca="1">IFERROR(__xludf.DUMMYFUNCTION("""COMPUTED_VALUE"""),"No")</f>
        <v>No</v>
      </c>
      <c r="AI374" s="5"/>
      <c r="AJ374" s="5" t="str">
        <f ca="1">IFERROR(__xludf.DUMMYFUNCTION("""COMPUTED_VALUE"""),"No")</f>
        <v>No</v>
      </c>
    </row>
    <row r="375" spans="1:36" ht="13">
      <c r="A375" s="5" t="str">
        <f ca="1">IFERROR(__xludf.DUMMYFUNCTION("""COMPUTED_VALUE"""),"20220201WIRUM")</f>
        <v>20220201WIRUM</v>
      </c>
      <c r="B375" s="5">
        <f ca="1">IFERROR(__xludf.DUMMYFUNCTION("""COMPUTED_VALUE"""),2)</f>
        <v>2</v>
      </c>
      <c r="C375" s="5">
        <f ca="1">IFERROR(__xludf.DUMMYFUNCTION("""COMPUTED_VALUE"""),1)</f>
        <v>1</v>
      </c>
      <c r="D375" s="5">
        <f ca="1">IFERROR(__xludf.DUMMYFUNCTION("""COMPUTED_VALUE"""),2022)</f>
        <v>2022</v>
      </c>
      <c r="E375" s="8">
        <f ca="1">IFERROR(__xludf.DUMMYFUNCTION("""COMPUTED_VALUE"""),44593)</f>
        <v>44593</v>
      </c>
      <c r="F375" s="5" t="str">
        <f ca="1">IFERROR(__xludf.DUMMYFUNCTION("""COMPUTED_VALUE"""),"Rufus King High School")</f>
        <v>Rufus King High School</v>
      </c>
      <c r="G375" s="5">
        <f ca="1">IFERROR(__xludf.DUMMYFUNCTION("""COMPUTED_VALUE"""),0)</f>
        <v>0</v>
      </c>
      <c r="H375" s="5">
        <f ca="1">IFERROR(__xludf.DUMMYFUNCTION("""COMPUTED_VALUE"""),5)</f>
        <v>5</v>
      </c>
      <c r="I375" s="5">
        <f ca="1">IFERROR(__xludf.DUMMYFUNCTION("""COMPUTED_VALUE"""),5)</f>
        <v>5</v>
      </c>
      <c r="J375" s="5">
        <f ca="1">IFERROR(__xludf.DUMMYFUNCTION("""COMPUTED_VALUE"""),0)</f>
        <v>0</v>
      </c>
      <c r="K375" s="5" t="str">
        <f ca="1">IFERROR(__xludf.DUMMYFUNCTION("""COMPUTED_VALUE"""),"https://www.fox6now.com/news/shooting-rufus-king-hs-milwaukee-police-mps https://www.jsonline.com/story/news/2022/02/02/milwaukee-police-say-adult-fired-gun-injured-5-outside-rufus-king-high-school/9317812002/")</f>
        <v>https://www.fox6now.com/news/shooting-rufus-king-hs-milwaukee-police-mps https://www.jsonline.com/story/news/2022/02/02/milwaukee-police-say-adult-fired-gun-injured-5-outside-rufus-king-high-school/9317812002/</v>
      </c>
      <c r="L375" s="5">
        <f ca="1">IFERROR(__xludf.DUMMYFUNCTION("""COMPUTED_VALUE"""),50)</f>
        <v>50</v>
      </c>
      <c r="M375" s="5" t="str">
        <f ca="1">IFERROR(__xludf.DUMMYFUNCTION("""COMPUTED_VALUE"""),"National")</f>
        <v>National</v>
      </c>
      <c r="N375" s="5">
        <f ca="1">IFERROR(__xludf.DUMMYFUNCTION("""COMPUTED_VALUE"""),4)</f>
        <v>4</v>
      </c>
      <c r="O375" s="5" t="str">
        <f ca="1">IFERROR(__xludf.DUMMYFUNCTION("""COMPUTED_VALUE"""),"Winter")</f>
        <v>Winter</v>
      </c>
      <c r="P375" s="5" t="str">
        <f ca="1">IFERROR(__xludf.DUMMYFUNCTION("""COMPUTED_VALUE"""),"Milwaukee")</f>
        <v>Milwaukee</v>
      </c>
      <c r="Q375" s="5" t="str">
        <f ca="1">IFERROR(__xludf.DUMMYFUNCTION("""COMPUTED_VALUE"""),"WI")</f>
        <v>WI</v>
      </c>
      <c r="R375" s="5" t="str">
        <f ca="1">IFERROR(__xludf.DUMMYFUNCTION("""COMPUTED_VALUE"""),"High")</f>
        <v>High</v>
      </c>
      <c r="S375" s="5" t="str">
        <f ca="1">IFERROR(__xludf.DUMMYFUNCTION("""COMPUTED_VALUE"""),"Parking Lot")</f>
        <v>Parking Lot</v>
      </c>
      <c r="T375" s="5" t="str">
        <f ca="1">IFERROR(__xludf.DUMMYFUNCTION("""COMPUTED_VALUE"""),"Outside on School Property")</f>
        <v>Outside on School Property</v>
      </c>
      <c r="U375" s="5" t="str">
        <f ca="1">IFERROR(__xludf.DUMMYFUNCTION("""COMPUTED_VALUE"""),"No")</f>
        <v>No</v>
      </c>
      <c r="V375" s="5" t="str">
        <f ca="1">IFERROR(__xludf.DUMMYFUNCTION("""COMPUTED_VALUE"""),"Sport Event")</f>
        <v>Sport Event</v>
      </c>
      <c r="W375" s="10">
        <f ca="1">IFERROR(__xludf.DUMMYFUNCTION("""COMPUTED_VALUE"""),0.822916666666666)</f>
        <v>0.82291666666666596</v>
      </c>
      <c r="X375" s="5">
        <f ca="1">IFERROR(__xludf.DUMMYFUNCTION("""COMPUTED_VALUE"""),1)</f>
        <v>1</v>
      </c>
      <c r="Y375" s="5" t="str">
        <f ca="1">IFERROR(__xludf.DUMMYFUNCTION("""COMPUTED_VALUE"""),"Five victims shot during fight outside basketball game")</f>
        <v>Five victims shot during fight outside basketball game</v>
      </c>
      <c r="Z375" s="5" t="str">
        <f ca="1">IFERROR(__xludf.DUMMYFUNCTION("""COMPUTED_VALUE"""),"An adult male fired shot during an argument over a social media post outside of a high school basketball game. Five women (20, 15, 15, 16, and 17) were wounded. School will increase security, only admit pre-sale ticket holders, and screen attendees at fut"&amp;"ure games.")</f>
        <v>An adult male fired shot during an argument over a social media post outside of a high school basketball game. Five women (20, 15, 15, 16, and 17) were wounded. School will increase security, only admit pre-sale ticket holders, and screen attendees at future games.</v>
      </c>
      <c r="AA375" s="5" t="str">
        <f ca="1">IFERROR(__xludf.DUMMYFUNCTION("""COMPUTED_VALUE"""),"Escalation of Dispute")</f>
        <v>Escalation of Dispute</v>
      </c>
      <c r="AB375" s="5" t="str">
        <f ca="1">IFERROR(__xludf.DUMMYFUNCTION("""COMPUTED_VALUE"""),"Both")</f>
        <v>Both</v>
      </c>
      <c r="AC375" s="5" t="str">
        <f ca="1">IFERROR(__xludf.DUMMYFUNCTION("""COMPUTED_VALUE"""),"No")</f>
        <v>No</v>
      </c>
      <c r="AD375" s="5" t="str">
        <f ca="1">IFERROR(__xludf.DUMMYFUNCTION("""COMPUTED_VALUE"""),"No")</f>
        <v>No</v>
      </c>
      <c r="AE375" s="5" t="str">
        <f ca="1">IFERROR(__xludf.DUMMYFUNCTION("""COMPUTED_VALUE"""),"No")</f>
        <v>No</v>
      </c>
      <c r="AF375" s="5" t="str">
        <f ca="1">IFERROR(__xludf.DUMMYFUNCTION("""COMPUTED_VALUE"""),"No")</f>
        <v>No</v>
      </c>
      <c r="AG375" s="5" t="str">
        <f ca="1">IFERROR(__xludf.DUMMYFUNCTION("""COMPUTED_VALUE"""),"No")</f>
        <v>No</v>
      </c>
      <c r="AH375" s="5" t="str">
        <f ca="1">IFERROR(__xludf.DUMMYFUNCTION("""COMPUTED_VALUE"""),"No")</f>
        <v>No</v>
      </c>
      <c r="AI375" s="5" t="str">
        <f ca="1">IFERROR(__xludf.DUMMYFUNCTION("""COMPUTED_VALUE"""),"No")</f>
        <v>No</v>
      </c>
      <c r="AJ375" s="5" t="str">
        <f ca="1">IFERROR(__xludf.DUMMYFUNCTION("""COMPUTED_VALUE"""),"No")</f>
        <v>No</v>
      </c>
    </row>
    <row r="376" spans="1:36" ht="13">
      <c r="A376" s="5" t="str">
        <f ca="1">IFERROR(__xludf.DUMMYFUNCTION("""COMPUTED_VALUE"""),"20220129WIBEB")</f>
        <v>20220129WIBEB</v>
      </c>
      <c r="B376" s="5">
        <f ca="1">IFERROR(__xludf.DUMMYFUNCTION("""COMPUTED_VALUE"""),1)</f>
        <v>1</v>
      </c>
      <c r="C376" s="5">
        <f ca="1">IFERROR(__xludf.DUMMYFUNCTION("""COMPUTED_VALUE"""),29)</f>
        <v>29</v>
      </c>
      <c r="D376" s="5">
        <f ca="1">IFERROR(__xludf.DUMMYFUNCTION("""COMPUTED_VALUE"""),2022)</f>
        <v>2022</v>
      </c>
      <c r="E376" s="8">
        <f ca="1">IFERROR(__xludf.DUMMYFUNCTION("""COMPUTED_VALUE"""),44590)</f>
        <v>44590</v>
      </c>
      <c r="F376" s="5" t="str">
        <f ca="1">IFERROR(__xludf.DUMMYFUNCTION("""COMPUTED_VALUE"""),"Beloit Memorial High School")</f>
        <v>Beloit Memorial High School</v>
      </c>
      <c r="G376" s="5">
        <f ca="1">IFERROR(__xludf.DUMMYFUNCTION("""COMPUTED_VALUE"""),1)</f>
        <v>1</v>
      </c>
      <c r="H376" s="5">
        <f ca="1">IFERROR(__xludf.DUMMYFUNCTION("""COMPUTED_VALUE"""),0)</f>
        <v>0</v>
      </c>
      <c r="I376" s="5">
        <f ca="1">IFERROR(__xludf.DUMMYFUNCTION("""COMPUTED_VALUE"""),1)</f>
        <v>1</v>
      </c>
      <c r="J376" s="5">
        <f ca="1">IFERROR(__xludf.DUMMYFUNCTION("""COMPUTED_VALUE"""),0)</f>
        <v>0</v>
      </c>
      <c r="K376" s="5" t="str">
        <f ca="1">IFERROR(__xludf.DUMMYFUNCTION("""COMPUTED_VALUE"""),"https://www.wkow.com/news/beloit-police-respond-to-shots-fired-call-outside-beloit-memorial-high-school/article_bc96c9e0-817e-11ec-a684-1bfb2c37cece.html https://www.wifr.com/2022/01/30/one-person-sent-hospital-after-shooting-beloit-memorial-high-school/ "&amp;"https://www.wrex.com/news/top-stories/police-one-shot-outside-of-beloit-memorial-high-school-after-basketball-game/article_082aa37a-8181-11ec-8355-238f1230f853.html https://www.nbc15.com/2022/01/30/1-hurt-shooting-after-lafollette-high-beloit-memorial-bas"&amp;"ketball-game/")</f>
        <v>https://www.wkow.com/news/beloit-police-respond-to-shots-fired-call-outside-beloit-memorial-high-school/article_bc96c9e0-817e-11ec-a684-1bfb2c37cece.html https://www.wifr.com/2022/01/30/one-person-sent-hospital-after-shooting-beloit-memorial-high-school/ https://www.wrex.com/news/top-stories/police-one-shot-outside-of-beloit-memorial-high-school-after-basketball-game/article_082aa37a-8181-11ec-8355-238f1230f853.html https://www.nbc15.com/2022/01/30/1-hurt-shooting-after-lafollette-high-beloit-memorial-basketball-game/</v>
      </c>
      <c r="L376" s="5">
        <f ca="1">IFERROR(__xludf.DUMMYFUNCTION("""COMPUTED_VALUE"""),5)</f>
        <v>5</v>
      </c>
      <c r="M376" s="5" t="str">
        <f ca="1">IFERROR(__xludf.DUMMYFUNCTION("""COMPUTED_VALUE"""),"Regional")</f>
        <v>Regional</v>
      </c>
      <c r="N376" s="5">
        <f ca="1">IFERROR(__xludf.DUMMYFUNCTION("""COMPUTED_VALUE"""),4)</f>
        <v>4</v>
      </c>
      <c r="O376" s="5" t="str">
        <f ca="1">IFERROR(__xludf.DUMMYFUNCTION("""COMPUTED_VALUE"""),"Winter")</f>
        <v>Winter</v>
      </c>
      <c r="P376" s="5" t="str">
        <f ca="1">IFERROR(__xludf.DUMMYFUNCTION("""COMPUTED_VALUE"""),"Beloit")</f>
        <v>Beloit</v>
      </c>
      <c r="Q376" s="5" t="str">
        <f ca="1">IFERROR(__xludf.DUMMYFUNCTION("""COMPUTED_VALUE"""),"WI")</f>
        <v>WI</v>
      </c>
      <c r="R376" s="5" t="str">
        <f ca="1">IFERROR(__xludf.DUMMYFUNCTION("""COMPUTED_VALUE"""),"High")</f>
        <v>High</v>
      </c>
      <c r="S376" s="5" t="str">
        <f ca="1">IFERROR(__xludf.DUMMYFUNCTION("""COMPUTED_VALUE"""),"Parking Lot")</f>
        <v>Parking Lot</v>
      </c>
      <c r="T376" s="5" t="str">
        <f ca="1">IFERROR(__xludf.DUMMYFUNCTION("""COMPUTED_VALUE"""),"Outside on School Property")</f>
        <v>Outside on School Property</v>
      </c>
      <c r="U376" s="5" t="str">
        <f ca="1">IFERROR(__xludf.DUMMYFUNCTION("""COMPUTED_VALUE"""),"No")</f>
        <v>No</v>
      </c>
      <c r="V376" s="5" t="str">
        <f ca="1">IFERROR(__xludf.DUMMYFUNCTION("""COMPUTED_VALUE"""),"Sport Event")</f>
        <v>Sport Event</v>
      </c>
      <c r="W376" s="10">
        <f ca="1">IFERROR(__xludf.DUMMYFUNCTION("""COMPUTED_VALUE"""),0.871527777777777)</f>
        <v>0.87152777777777701</v>
      </c>
      <c r="X376" s="5">
        <f ca="1">IFERROR(__xludf.DUMMYFUNCTION("""COMPUTED_VALUE"""),1)</f>
        <v>1</v>
      </c>
      <c r="Y376" s="5" t="str">
        <f ca="1">IFERROR(__xludf.DUMMYFUNCTION("""COMPUTED_VALUE"""),"Adult man killed outside of high school basketball game")</f>
        <v>Adult man killed outside of high school basketball game</v>
      </c>
      <c r="Z376" s="5" t="str">
        <f ca="1">IFERROR(__xludf.DUMMYFUNCTION("""COMPUTED_VALUE"""),"An adult male was fatally shot in the school parking lot at the end of a high school basketball game. Students and fans exiting the building ran back into the school. A SRO was assigned to the game and responded immediately to secure the scene. Building w"&amp;"as locked down. Players were escorted to their buses. Shooter fled and was not identified.")</f>
        <v>An adult male was fatally shot in the school parking lot at the end of a high school basketball game. Students and fans exiting the building ran back into the school. A SRO was assigned to the game and responded immediately to secure the scene. Building was locked down. Players were escorted to their buses. Shooter fled and was not identified.</v>
      </c>
      <c r="AA376" s="5"/>
      <c r="AB376" s="5" t="str">
        <f ca="1">IFERROR(__xludf.DUMMYFUNCTION("""COMPUTED_VALUE"""),"Victims Targeted")</f>
        <v>Victims Targeted</v>
      </c>
      <c r="AC376" s="5" t="str">
        <f ca="1">IFERROR(__xludf.DUMMYFUNCTION("""COMPUTED_VALUE"""),"No")</f>
        <v>No</v>
      </c>
      <c r="AD376" s="5" t="str">
        <f ca="1">IFERROR(__xludf.DUMMYFUNCTION("""COMPUTED_VALUE"""),"No")</f>
        <v>No</v>
      </c>
      <c r="AE376" s="5" t="str">
        <f ca="1">IFERROR(__xludf.DUMMYFUNCTION("""COMPUTED_VALUE"""),"No")</f>
        <v>No</v>
      </c>
      <c r="AF376" s="5" t="str">
        <f ca="1">IFERROR(__xludf.DUMMYFUNCTION("""COMPUTED_VALUE"""),"No")</f>
        <v>No</v>
      </c>
      <c r="AG376" s="5" t="str">
        <f ca="1">IFERROR(__xludf.DUMMYFUNCTION("""COMPUTED_VALUE"""),"No")</f>
        <v>No</v>
      </c>
      <c r="AH376" s="5" t="str">
        <f ca="1">IFERROR(__xludf.DUMMYFUNCTION("""COMPUTED_VALUE"""),"No")</f>
        <v>No</v>
      </c>
      <c r="AI376" s="5"/>
      <c r="AJ376" s="5" t="str">
        <f ca="1">IFERROR(__xludf.DUMMYFUNCTION("""COMPUTED_VALUE"""),"No")</f>
        <v>No</v>
      </c>
    </row>
    <row r="377" spans="1:36" ht="13">
      <c r="A377" s="5" t="str">
        <f ca="1">IFERROR(__xludf.DUMMYFUNCTION("""COMPUTED_VALUE"""),"20220128LACAM")</f>
        <v>20220128LACAM</v>
      </c>
      <c r="B377" s="5">
        <f ca="1">IFERROR(__xludf.DUMMYFUNCTION("""COMPUTED_VALUE"""),1)</f>
        <v>1</v>
      </c>
      <c r="C377" s="5">
        <f ca="1">IFERROR(__xludf.DUMMYFUNCTION("""COMPUTED_VALUE"""),28)</f>
        <v>28</v>
      </c>
      <c r="D377" s="5">
        <f ca="1">IFERROR(__xludf.DUMMYFUNCTION("""COMPUTED_VALUE"""),2022)</f>
        <v>2022</v>
      </c>
      <c r="E377" s="8">
        <f ca="1">IFERROR(__xludf.DUMMYFUNCTION("""COMPUTED_VALUE"""),44589)</f>
        <v>44589</v>
      </c>
      <c r="F377" s="5" t="str">
        <f ca="1">IFERROR(__xludf.DUMMYFUNCTION("""COMPUTED_VALUE"""),"Carroll High School")</f>
        <v>Carroll High School</v>
      </c>
      <c r="G377" s="5">
        <f ca="1">IFERROR(__xludf.DUMMYFUNCTION("""COMPUTED_VALUE"""),0)</f>
        <v>0</v>
      </c>
      <c r="H377" s="5">
        <f ca="1">IFERROR(__xludf.DUMMYFUNCTION("""COMPUTED_VALUE"""),0)</f>
        <v>0</v>
      </c>
      <c r="I377" s="5">
        <f ca="1">IFERROR(__xludf.DUMMYFUNCTION("""COMPUTED_VALUE"""),0)</f>
        <v>0</v>
      </c>
      <c r="J377" s="5">
        <f ca="1">IFERROR(__xludf.DUMMYFUNCTION("""COMPUTED_VALUE"""),0)</f>
        <v>0</v>
      </c>
      <c r="K377" s="5" t="str">
        <f ca="1">IFERROR(__xludf.DUMMYFUNCTION("""COMPUTED_VALUE"""),"https://www.myarklamiss.com/news/top-stories/attempted-vehicle-burglary-leads-to-gunshots-after-local-high-school-basketball-game/ https://www.knoe.com/2022/02/01/vehicle-burglary-local-high-school-basketball-game-leads-shots-fired/")</f>
        <v>https://www.myarklamiss.com/news/top-stories/attempted-vehicle-burglary-leads-to-gunshots-after-local-high-school-basketball-game/ https://www.knoe.com/2022/02/01/vehicle-burglary-local-high-school-basketball-game-leads-shots-fired/</v>
      </c>
      <c r="L377" s="5">
        <f ca="1">IFERROR(__xludf.DUMMYFUNCTION("""COMPUTED_VALUE"""),2)</f>
        <v>2</v>
      </c>
      <c r="M377" s="5" t="str">
        <f ca="1">IFERROR(__xludf.DUMMYFUNCTION("""COMPUTED_VALUE"""),"Local")</f>
        <v>Local</v>
      </c>
      <c r="N377" s="5">
        <f ca="1">IFERROR(__xludf.DUMMYFUNCTION("""COMPUTED_VALUE"""),4)</f>
        <v>4</v>
      </c>
      <c r="O377" s="5" t="str">
        <f ca="1">IFERROR(__xludf.DUMMYFUNCTION("""COMPUTED_VALUE"""),"Winter")</f>
        <v>Winter</v>
      </c>
      <c r="P377" s="5" t="str">
        <f ca="1">IFERROR(__xludf.DUMMYFUNCTION("""COMPUTED_VALUE"""),"Monroe")</f>
        <v>Monroe</v>
      </c>
      <c r="Q377" s="5" t="str">
        <f ca="1">IFERROR(__xludf.DUMMYFUNCTION("""COMPUTED_VALUE"""),"LA")</f>
        <v>LA</v>
      </c>
      <c r="R377" s="5" t="str">
        <f ca="1">IFERROR(__xludf.DUMMYFUNCTION("""COMPUTED_VALUE"""),"High")</f>
        <v>High</v>
      </c>
      <c r="S377" s="5" t="str">
        <f ca="1">IFERROR(__xludf.DUMMYFUNCTION("""COMPUTED_VALUE"""),"Parking Lot")</f>
        <v>Parking Lot</v>
      </c>
      <c r="T377" s="5" t="str">
        <f ca="1">IFERROR(__xludf.DUMMYFUNCTION("""COMPUTED_VALUE"""),"Outside on School Property")</f>
        <v>Outside on School Property</v>
      </c>
      <c r="U377" s="5" t="str">
        <f ca="1">IFERROR(__xludf.DUMMYFUNCTION("""COMPUTED_VALUE"""),"No")</f>
        <v>No</v>
      </c>
      <c r="V377" s="5" t="str">
        <f ca="1">IFERROR(__xludf.DUMMYFUNCTION("""COMPUTED_VALUE"""),"Sport Event")</f>
        <v>Sport Event</v>
      </c>
      <c r="W377" s="10">
        <f ca="1">IFERROR(__xludf.DUMMYFUNCTION("""COMPUTED_VALUE"""),0.791666666666666)</f>
        <v>0.79166666666666596</v>
      </c>
      <c r="X377" s="5">
        <f ca="1">IFERROR(__xludf.DUMMYFUNCTION("""COMPUTED_VALUE"""),1)</f>
        <v>1</v>
      </c>
      <c r="Y377" s="5" t="str">
        <f ca="1">IFERROR(__xludf.DUMMYFUNCTION("""COMPUTED_VALUE"""),"Shots fired by man burglarizing vehicles during basketball game")</f>
        <v>Shots fired by man burglarizing vehicles during basketball game</v>
      </c>
      <c r="Z377" s="5" t="str">
        <f ca="1">IFERROR(__xludf.DUMMYFUNCTION("""COMPUTED_VALUE"""),"Two people leaving the high school basketball game saw three men burglarizing vehicles in the school parking lot. When they approached the men, one burglar fired 2 shots at them and then fled the area.")</f>
        <v>Two people leaving the high school basketball game saw three men burglarizing vehicles in the school parking lot. When they approached the men, one burglar fired 2 shots at them and then fled the area.</v>
      </c>
      <c r="AA377" s="5" t="str">
        <f ca="1">IFERROR(__xludf.DUMMYFUNCTION("""COMPUTED_VALUE"""),"Illegal Activity")</f>
        <v>Illegal Activity</v>
      </c>
      <c r="AB377" s="5" t="str">
        <f ca="1">IFERROR(__xludf.DUMMYFUNCTION("""COMPUTED_VALUE"""),"Random Shooting")</f>
        <v>Random Shooting</v>
      </c>
      <c r="AC377" s="5" t="str">
        <f ca="1">IFERROR(__xludf.DUMMYFUNCTION("""COMPUTED_VALUE"""),"Yes")</f>
        <v>Yes</v>
      </c>
      <c r="AD377" s="5" t="str">
        <f ca="1">IFERROR(__xludf.DUMMYFUNCTION("""COMPUTED_VALUE"""),"No")</f>
        <v>No</v>
      </c>
      <c r="AE377" s="5" t="str">
        <f ca="1">IFERROR(__xludf.DUMMYFUNCTION("""COMPUTED_VALUE"""),"No")</f>
        <v>No</v>
      </c>
      <c r="AF377" s="5" t="str">
        <f ca="1">IFERROR(__xludf.DUMMYFUNCTION("""COMPUTED_VALUE"""),"No")</f>
        <v>No</v>
      </c>
      <c r="AG377" s="5" t="str">
        <f ca="1">IFERROR(__xludf.DUMMYFUNCTION("""COMPUTED_VALUE"""),"No")</f>
        <v>No</v>
      </c>
      <c r="AH377" s="5" t="str">
        <f ca="1">IFERROR(__xludf.DUMMYFUNCTION("""COMPUTED_VALUE"""),"No")</f>
        <v>No</v>
      </c>
      <c r="AI377" s="5" t="str">
        <f ca="1">IFERROR(__xludf.DUMMYFUNCTION("""COMPUTED_VALUE"""),"No")</f>
        <v>No</v>
      </c>
      <c r="AJ377" s="5" t="str">
        <f ca="1">IFERROR(__xludf.DUMMYFUNCTION("""COMPUTED_VALUE"""),"No")</f>
        <v>No</v>
      </c>
    </row>
    <row r="378" spans="1:36" ht="13">
      <c r="A378" s="5" t="str">
        <f ca="1">IFERROR(__xludf.DUMMYFUNCTION("""COMPUTED_VALUE"""),"20220127TXMOH")</f>
        <v>20220127TXMOH</v>
      </c>
      <c r="B378" s="5">
        <f ca="1">IFERROR(__xludf.DUMMYFUNCTION("""COMPUTED_VALUE"""),1)</f>
        <v>1</v>
      </c>
      <c r="C378" s="5">
        <f ca="1">IFERROR(__xludf.DUMMYFUNCTION("""COMPUTED_VALUE"""),27)</f>
        <v>27</v>
      </c>
      <c r="D378" s="5">
        <f ca="1">IFERROR(__xludf.DUMMYFUNCTION("""COMPUTED_VALUE"""),2022)</f>
        <v>2022</v>
      </c>
      <c r="E378" s="8">
        <f ca="1">IFERROR(__xludf.DUMMYFUNCTION("""COMPUTED_VALUE"""),44588)</f>
        <v>44588</v>
      </c>
      <c r="F378" s="5" t="str">
        <f ca="1">IFERROR(__xludf.DUMMYFUNCTION("""COMPUTED_VALUE"""),"Montgomery Elementary School")</f>
        <v>Montgomery Elementary School</v>
      </c>
      <c r="G378" s="5">
        <f ca="1">IFERROR(__xludf.DUMMYFUNCTION("""COMPUTED_VALUE"""),0)</f>
        <v>0</v>
      </c>
      <c r="H378" s="5">
        <f ca="1">IFERROR(__xludf.DUMMYFUNCTION("""COMPUTED_VALUE"""),1)</f>
        <v>1</v>
      </c>
      <c r="I378" s="5">
        <f ca="1">IFERROR(__xludf.DUMMYFUNCTION("""COMPUTED_VALUE"""),1)</f>
        <v>1</v>
      </c>
      <c r="J378" s="5">
        <f ca="1">IFERROR(__xludf.DUMMYFUNCTION("""COMPUTED_VALUE"""),0)</f>
        <v>0</v>
      </c>
      <c r="K378" s="5" t="str">
        <f ca="1">IFERROR(__xludf.DUMMYFUNCTION("""COMPUTED_VALUE"""),"https://abc13.com/robbery-set-up-shooting-woman-shot-in-shoulder-montgomery-elementary-school-southwest-houston/11517070/ https://www.click2houston.com/news/local/2022/01/28/woman-shot-during-attempted-car-sale-outside-sw-houston-elementary-school-police-"&amp;"say/")</f>
        <v>https://abc13.com/robbery-set-up-shooting-woman-shot-in-shoulder-montgomery-elementary-school-southwest-houston/11517070/ https://www.click2houston.com/news/local/2022/01/28/woman-shot-during-attempted-car-sale-outside-sw-houston-elementary-school-police-say/</v>
      </c>
      <c r="L378" s="5">
        <f ca="1">IFERROR(__xludf.DUMMYFUNCTION("""COMPUTED_VALUE"""),5)</f>
        <v>5</v>
      </c>
      <c r="M378" s="5" t="str">
        <f ca="1">IFERROR(__xludf.DUMMYFUNCTION("""COMPUTED_VALUE"""),"Local")</f>
        <v>Local</v>
      </c>
      <c r="N378" s="5">
        <f ca="1">IFERROR(__xludf.DUMMYFUNCTION("""COMPUTED_VALUE"""),4)</f>
        <v>4</v>
      </c>
      <c r="O378" s="5" t="str">
        <f ca="1">IFERROR(__xludf.DUMMYFUNCTION("""COMPUTED_VALUE"""),"Winter")</f>
        <v>Winter</v>
      </c>
      <c r="P378" s="5" t="str">
        <f ca="1">IFERROR(__xludf.DUMMYFUNCTION("""COMPUTED_VALUE"""),"Houston")</f>
        <v>Houston</v>
      </c>
      <c r="Q378" s="5" t="str">
        <f ca="1">IFERROR(__xludf.DUMMYFUNCTION("""COMPUTED_VALUE"""),"TX")</f>
        <v>TX</v>
      </c>
      <c r="R378" s="5" t="str">
        <f ca="1">IFERROR(__xludf.DUMMYFUNCTION("""COMPUTED_VALUE"""),"Elementary")</f>
        <v>Elementary</v>
      </c>
      <c r="S378" s="5" t="str">
        <f ca="1">IFERROR(__xludf.DUMMYFUNCTION("""COMPUTED_VALUE"""),"Parking Lot")</f>
        <v>Parking Lot</v>
      </c>
      <c r="T378" s="5" t="str">
        <f ca="1">IFERROR(__xludf.DUMMYFUNCTION("""COMPUTED_VALUE"""),"Outside on School Property")</f>
        <v>Outside on School Property</v>
      </c>
      <c r="U378" s="5" t="str">
        <f ca="1">IFERROR(__xludf.DUMMYFUNCTION("""COMPUTED_VALUE"""),"No")</f>
        <v>No</v>
      </c>
      <c r="V378" s="5" t="str">
        <f ca="1">IFERROR(__xludf.DUMMYFUNCTION("""COMPUTED_VALUE"""),"Night")</f>
        <v>Night</v>
      </c>
      <c r="W378" s="10">
        <f ca="1">IFERROR(__xludf.DUMMYFUNCTION("""COMPUTED_VALUE"""),0.916666666666666)</f>
        <v>0.91666666666666596</v>
      </c>
      <c r="X378" s="5">
        <f ca="1">IFERROR(__xludf.DUMMYFUNCTION("""COMPUTED_VALUE"""),1)</f>
        <v>1</v>
      </c>
      <c r="Y378" s="5" t="str">
        <f ca="1">IFERROR(__xludf.DUMMYFUNCTION("""COMPUTED_VALUE"""),"Woman shot during car sale robbery scam in school parking lot")</f>
        <v>Woman shot during car sale robbery scam in school parking lot</v>
      </c>
      <c r="Z378" s="5" t="str">
        <f ca="1">IFERROR(__xludf.DUMMYFUNCTION("""COMPUTED_VALUE"""),"An adult woman was shot during the sale of a vehicle in the school parking lot. The sale was a robbery setup and she was shot by an adult male who fled the scene. Victim drove to a nearby firehouse for assistance.")</f>
        <v>An adult woman was shot during the sale of a vehicle in the school parking lot. The sale was a robbery setup and she was shot by an adult male who fled the scene. Victim drove to a nearby firehouse for assistance.</v>
      </c>
      <c r="AA378" s="5" t="str">
        <f ca="1">IFERROR(__xludf.DUMMYFUNCTION("""COMPUTED_VALUE"""),"Illegal Activity")</f>
        <v>Illegal Activity</v>
      </c>
      <c r="AB378" s="5" t="str">
        <f ca="1">IFERROR(__xludf.DUMMYFUNCTION("""COMPUTED_VALUE"""),"Victims Targeted")</f>
        <v>Victims Targeted</v>
      </c>
      <c r="AC378" s="5" t="str">
        <f ca="1">IFERROR(__xludf.DUMMYFUNCTION("""COMPUTED_VALUE"""),"Yes")</f>
        <v>Yes</v>
      </c>
      <c r="AD378" s="5" t="str">
        <f ca="1">IFERROR(__xludf.DUMMYFUNCTION("""COMPUTED_VALUE"""),"No")</f>
        <v>No</v>
      </c>
      <c r="AE378" s="5" t="str">
        <f ca="1">IFERROR(__xludf.DUMMYFUNCTION("""COMPUTED_VALUE"""),"No")</f>
        <v>No</v>
      </c>
      <c r="AF378" s="5" t="str">
        <f ca="1">IFERROR(__xludf.DUMMYFUNCTION("""COMPUTED_VALUE"""),"No")</f>
        <v>No</v>
      </c>
      <c r="AG378" s="5" t="str">
        <f ca="1">IFERROR(__xludf.DUMMYFUNCTION("""COMPUTED_VALUE"""),"No")</f>
        <v>No</v>
      </c>
      <c r="AH378" s="5" t="str">
        <f ca="1">IFERROR(__xludf.DUMMYFUNCTION("""COMPUTED_VALUE"""),"No")</f>
        <v>No</v>
      </c>
      <c r="AI378" s="5" t="str">
        <f ca="1">IFERROR(__xludf.DUMMYFUNCTION("""COMPUTED_VALUE"""),"No")</f>
        <v>No</v>
      </c>
      <c r="AJ378" s="5" t="str">
        <f ca="1">IFERROR(__xludf.DUMMYFUNCTION("""COMPUTED_VALUE"""),"No")</f>
        <v>No</v>
      </c>
    </row>
    <row r="379" spans="1:36" ht="13">
      <c r="A379" s="5" t="str">
        <f ca="1">IFERROR(__xludf.DUMMYFUNCTION("""COMPUTED_VALUE"""),"20220126PABAP")</f>
        <v>20220126PABAP</v>
      </c>
      <c r="B379" s="5">
        <f ca="1">IFERROR(__xludf.DUMMYFUNCTION("""COMPUTED_VALUE"""),1)</f>
        <v>1</v>
      </c>
      <c r="C379" s="5">
        <f ca="1">IFERROR(__xludf.DUMMYFUNCTION("""COMPUTED_VALUE"""),26)</f>
        <v>26</v>
      </c>
      <c r="D379" s="5">
        <f ca="1">IFERROR(__xludf.DUMMYFUNCTION("""COMPUTED_VALUE"""),2022)</f>
        <v>2022</v>
      </c>
      <c r="E379" s="8">
        <f ca="1">IFERROR(__xludf.DUMMYFUNCTION("""COMPUTED_VALUE"""),44587)</f>
        <v>44587</v>
      </c>
      <c r="F379" s="5" t="str">
        <f ca="1">IFERROR(__xludf.DUMMYFUNCTION("""COMPUTED_VALUE"""),"Bartram High School")</f>
        <v>Bartram High School</v>
      </c>
      <c r="G379" s="5">
        <f ca="1">IFERROR(__xludf.DUMMYFUNCTION("""COMPUTED_VALUE"""),1)</f>
        <v>1</v>
      </c>
      <c r="H379" s="5">
        <f ca="1">IFERROR(__xludf.DUMMYFUNCTION("""COMPUTED_VALUE"""),0)</f>
        <v>0</v>
      </c>
      <c r="I379" s="5">
        <f ca="1">IFERROR(__xludf.DUMMYFUNCTION("""COMPUTED_VALUE"""),1)</f>
        <v>1</v>
      </c>
      <c r="J379" s="5">
        <f ca="1">IFERROR(__xludf.DUMMYFUNCTION("""COMPUTED_VALUE"""),0)</f>
        <v>0</v>
      </c>
      <c r="K379" s="5" t="str">
        <f ca="1">IFERROR(__xludf.DUMMYFUNCTION("""COMPUTED_VALUE"""),"https://www.nbcphiladelphia.com/news/local/teen-boy-shot-and-killed-near-bartram-high-school/3122167/ https://6abc.com/southwest-philadelphia-shooting-teen-shot-17-year-old-killed-bartram-high-school/11511990/ https://www.nbcphiladelphia.com/news/local/te"&amp;"en-boy-shot-and-killed-near-bartram-high-school/3122167/")</f>
        <v>https://www.nbcphiladelphia.com/news/local/teen-boy-shot-and-killed-near-bartram-high-school/3122167/ https://6abc.com/southwest-philadelphia-shooting-teen-shot-17-year-old-killed-bartram-high-school/11511990/ https://www.nbcphiladelphia.com/news/local/teen-boy-shot-and-killed-near-bartram-high-school/3122167/</v>
      </c>
      <c r="L379" s="5">
        <f ca="1">IFERROR(__xludf.DUMMYFUNCTION("""COMPUTED_VALUE"""),10)</f>
        <v>10</v>
      </c>
      <c r="M379" s="5" t="str">
        <f ca="1">IFERROR(__xludf.DUMMYFUNCTION("""COMPUTED_VALUE"""),"Regional")</f>
        <v>Regional</v>
      </c>
      <c r="N379" s="5">
        <f ca="1">IFERROR(__xludf.DUMMYFUNCTION("""COMPUTED_VALUE"""),4)</f>
        <v>4</v>
      </c>
      <c r="O379" s="5" t="str">
        <f ca="1">IFERROR(__xludf.DUMMYFUNCTION("""COMPUTED_VALUE"""),"Winter")</f>
        <v>Winter</v>
      </c>
      <c r="P379" s="5" t="str">
        <f ca="1">IFERROR(__xludf.DUMMYFUNCTION("""COMPUTED_VALUE"""),"Philadelphia")</f>
        <v>Philadelphia</v>
      </c>
      <c r="Q379" s="5" t="str">
        <f ca="1">IFERROR(__xludf.DUMMYFUNCTION("""COMPUTED_VALUE"""),"PA")</f>
        <v>PA</v>
      </c>
      <c r="R379" s="5" t="str">
        <f ca="1">IFERROR(__xludf.DUMMYFUNCTION("""COMPUTED_VALUE"""),"High")</f>
        <v>High</v>
      </c>
      <c r="S379" s="5" t="str">
        <f ca="1">IFERROR(__xludf.DUMMYFUNCTION("""COMPUTED_VALUE"""),"Front of School")</f>
        <v>Front of School</v>
      </c>
      <c r="T379" s="5" t="str">
        <f ca="1">IFERROR(__xludf.DUMMYFUNCTION("""COMPUTED_VALUE"""),"Off School Property")</f>
        <v>Off School Property</v>
      </c>
      <c r="U379" s="5" t="str">
        <f ca="1">IFERROR(__xludf.DUMMYFUNCTION("""COMPUTED_VALUE"""),"Yes")</f>
        <v>Yes</v>
      </c>
      <c r="V379" s="5" t="str">
        <f ca="1">IFERROR(__xludf.DUMMYFUNCTION("""COMPUTED_VALUE"""),"Dismissal")</f>
        <v>Dismissal</v>
      </c>
      <c r="W379" s="10">
        <f ca="1">IFERROR(__xludf.DUMMYFUNCTION("""COMPUTED_VALUE"""),0.620833333333333)</f>
        <v>0.62083333333333302</v>
      </c>
      <c r="X379" s="5">
        <f ca="1">IFERROR(__xludf.DUMMYFUNCTION("""COMPUTED_VALUE"""),1)</f>
        <v>1</v>
      </c>
      <c r="Y379" s="5" t="str">
        <f ca="1">IFERROR(__xludf.DUMMYFUNCTION("""COMPUTED_VALUE"""),"A 17-year-old male student was fatally shot in the chest while leaving the campus at dismissal.")</f>
        <v>A 17-year-old male student was fatally shot in the chest while leaving the campus at dismissal.</v>
      </c>
      <c r="Z379" s="5" t="str">
        <f ca="1">IFERROR(__xludf.DUMMYFUNCTION("""COMPUTED_VALUE"""),"A 17-year-old male student was fatally shot in the chest while leaving the campus at dismissal. The school went on lockdown and remaining students sheltered on the campus. Shooter fled.")</f>
        <v>A 17-year-old male student was fatally shot in the chest while leaving the campus at dismissal. The school went on lockdown and remaining students sheltered on the campus. Shooter fled.</v>
      </c>
      <c r="AA379" s="5"/>
      <c r="AB379" s="5" t="str">
        <f ca="1">IFERROR(__xludf.DUMMYFUNCTION("""COMPUTED_VALUE"""),"Victims Targeted")</f>
        <v>Victims Targeted</v>
      </c>
      <c r="AC379" s="5" t="str">
        <f ca="1">IFERROR(__xludf.DUMMYFUNCTION("""COMPUTED_VALUE"""),"No")</f>
        <v>No</v>
      </c>
      <c r="AD379" s="5" t="str">
        <f ca="1">IFERROR(__xludf.DUMMYFUNCTION("""COMPUTED_VALUE"""),"No")</f>
        <v>No</v>
      </c>
      <c r="AE379" s="5" t="str">
        <f ca="1">IFERROR(__xludf.DUMMYFUNCTION("""COMPUTED_VALUE"""),"No")</f>
        <v>No</v>
      </c>
      <c r="AF379" s="5" t="str">
        <f ca="1">IFERROR(__xludf.DUMMYFUNCTION("""COMPUTED_VALUE"""),"No")</f>
        <v>No</v>
      </c>
      <c r="AG379" s="5" t="str">
        <f ca="1">IFERROR(__xludf.DUMMYFUNCTION("""COMPUTED_VALUE"""),"No")</f>
        <v>No</v>
      </c>
      <c r="AH379" s="5" t="str">
        <f ca="1">IFERROR(__xludf.DUMMYFUNCTION("""COMPUTED_VALUE"""),"No")</f>
        <v>No</v>
      </c>
      <c r="AI379" s="5"/>
      <c r="AJ379" s="5" t="str">
        <f ca="1">IFERROR(__xludf.DUMMYFUNCTION("""COMPUTED_VALUE"""),"No")</f>
        <v>No</v>
      </c>
    </row>
    <row r="380" spans="1:36" ht="13">
      <c r="A380" s="5" t="str">
        <f ca="1">IFERROR(__xludf.DUMMYFUNCTION("""COMPUTED_VALUE"""),"20220124IDDAD")</f>
        <v>20220124IDDAD</v>
      </c>
      <c r="B380" s="5">
        <f ca="1">IFERROR(__xludf.DUMMYFUNCTION("""COMPUTED_VALUE"""),1)</f>
        <v>1</v>
      </c>
      <c r="C380" s="5">
        <f ca="1">IFERROR(__xludf.DUMMYFUNCTION("""COMPUTED_VALUE"""),24)</f>
        <v>24</v>
      </c>
      <c r="D380" s="5">
        <f ca="1">IFERROR(__xludf.DUMMYFUNCTION("""COMPUTED_VALUE"""),2022)</f>
        <v>2022</v>
      </c>
      <c r="E380" s="8">
        <f ca="1">IFERROR(__xludf.DUMMYFUNCTION("""COMPUTED_VALUE"""),44585)</f>
        <v>44585</v>
      </c>
      <c r="F380" s="5" t="str">
        <f ca="1">IFERROR(__xludf.DUMMYFUNCTION("""COMPUTED_VALUE"""),"Dalton Elementary School")</f>
        <v>Dalton Elementary School</v>
      </c>
      <c r="G380" s="5">
        <f ca="1">IFERROR(__xludf.DUMMYFUNCTION("""COMPUTED_VALUE"""),0)</f>
        <v>0</v>
      </c>
      <c r="H380" s="5">
        <f ca="1">IFERROR(__xludf.DUMMYFUNCTION("""COMPUTED_VALUE"""),0)</f>
        <v>0</v>
      </c>
      <c r="I380" s="5">
        <f ca="1">IFERROR(__xludf.DUMMYFUNCTION("""COMPUTED_VALUE"""),0)</f>
        <v>0</v>
      </c>
      <c r="J380" s="5">
        <f ca="1">IFERROR(__xludf.DUMMYFUNCTION("""COMPUTED_VALUE"""),0)</f>
        <v>0</v>
      </c>
      <c r="K380" s="9" t="str">
        <f ca="1">IFERROR(__xludf.DUMMYFUNCTION("""COMPUTED_VALUE"""),"https://www.khq.com/news/idaho_news/man-shot-by-police-near-dalton-elementary-was-a-local/article_5794eeb4-7d91-11ec-b3be-6b2af9c3ff78.html
https://www.krem.com/article/news/crime/idaho-man-prison-threatening-shoot-school-police/293-a8d2c7b7-c4b5-4162-a54"&amp;"b-4b50fb03e493")</f>
        <v>https://www.khq.com/news/idaho_news/man-shot-by-police-near-dalton-elementary-was-a-local/article_5794eeb4-7d91-11ec-b3be-6b2af9c3ff78.html
https://www.krem.com/article/news/crime/idaho-man-prison-threatening-shoot-school-police/293-a8d2c7b7-c4b5-4162-a54b-4b50fb03e493</v>
      </c>
      <c r="L380" s="5">
        <f ca="1">IFERROR(__xludf.DUMMYFUNCTION("""COMPUTED_VALUE"""),20)</f>
        <v>20</v>
      </c>
      <c r="M380" s="5" t="str">
        <f ca="1">IFERROR(__xludf.DUMMYFUNCTION("""COMPUTED_VALUE"""),"Regional")</f>
        <v>Regional</v>
      </c>
      <c r="N380" s="5">
        <f ca="1">IFERROR(__xludf.DUMMYFUNCTION("""COMPUTED_VALUE"""),4)</f>
        <v>4</v>
      </c>
      <c r="O380" s="5" t="str">
        <f ca="1">IFERROR(__xludf.DUMMYFUNCTION("""COMPUTED_VALUE"""),"Winter")</f>
        <v>Winter</v>
      </c>
      <c r="P380" s="5" t="str">
        <f ca="1">IFERROR(__xludf.DUMMYFUNCTION("""COMPUTED_VALUE"""),"Dalton Gardens")</f>
        <v>Dalton Gardens</v>
      </c>
      <c r="Q380" s="5" t="str">
        <f ca="1">IFERROR(__xludf.DUMMYFUNCTION("""COMPUTED_VALUE"""),"ID")</f>
        <v>ID</v>
      </c>
      <c r="R380" s="5" t="str">
        <f ca="1">IFERROR(__xludf.DUMMYFUNCTION("""COMPUTED_VALUE"""),"Elementary")</f>
        <v>Elementary</v>
      </c>
      <c r="S380" s="5" t="str">
        <f ca="1">IFERROR(__xludf.DUMMYFUNCTION("""COMPUTED_VALUE"""),"Off School Property")</f>
        <v>Off School Property</v>
      </c>
      <c r="T380" s="5" t="str">
        <f ca="1">IFERROR(__xludf.DUMMYFUNCTION("""COMPUTED_VALUE"""),"Off School Property")</f>
        <v>Off School Property</v>
      </c>
      <c r="U380" s="5" t="str">
        <f ca="1">IFERROR(__xludf.DUMMYFUNCTION("""COMPUTED_VALUE"""),"Yes")</f>
        <v>Yes</v>
      </c>
      <c r="V380" s="5" t="str">
        <f ca="1">IFERROR(__xludf.DUMMYFUNCTION("""COMPUTED_VALUE"""),"Afternoon Classes")</f>
        <v>Afternoon Classes</v>
      </c>
      <c r="W380" s="10">
        <f ca="1">IFERROR(__xludf.DUMMYFUNCTION("""COMPUTED_VALUE"""),0.6875)</f>
        <v>0.6875</v>
      </c>
      <c r="X380" s="5">
        <f ca="1">IFERROR(__xludf.DUMMYFUNCTION("""COMPUTED_VALUE"""),1)</f>
        <v>1</v>
      </c>
      <c r="Y380" s="5" t="str">
        <f ca="1">IFERROR(__xludf.DUMMYFUNCTION("""COMPUTED_VALUE"""),"Man with rifle and ammo threatened to fire at school during standoff with police")</f>
        <v>Man with rifle and ammo threatened to fire at school during standoff with police</v>
      </c>
      <c r="Z380" s="5" t="str">
        <f ca="1">IFERROR(__xludf.DUMMYFUNCTION("""COMPUTED_VALUE"""),"A man has been shot in an officer involved shooting near Dalton Elementary School in Coeur d'Alene. CDA Police say Monday afternoon on Jan. 24, Kootenai County Sheriff's Deputies were sent to a home where an armed man was threatening to kill himself. Whil"&amp;"e deputies were negotiating with him, police helped put the school into lockdown and sent out a reverse 911 call to keep people out of the area. For the next several hours, both deputies and officers say they kept talking with the man, who repeatedly said"&amp;" he was going to kill the officers, and threatened people at the school as well. Around 5:30 p.m., officers say the man pointed an AR-type rifle at them, so both deputies and officers opened fire, shooting him multiple times. Paramedics rushed him to the "&amp;"hospital, but so far police aren't releasing his name or his condition.")</f>
        <v>A man has been shot in an officer involved shooting near Dalton Elementary School in Coeur d'Alene. CDA Police say Monday afternoon on Jan. 24, Kootenai County Sheriff's Deputies were sent to a home where an armed man was threatening to kill himself. While deputies were negotiating with him, police helped put the school into lockdown and sent out a reverse 911 call to keep people out of the area. For the next several hours, both deputies and officers say they kept talking with the man, who repeatedly said he was going to kill the officers, and threatened people at the school as well. Around 5:30 p.m., officers say the man pointed an AR-type rifle at them, so both deputies and officers opened fire, shooting him multiple times. Paramedics rushed him to the hospital, but so far police aren't releasing his name or his condition.</v>
      </c>
      <c r="AA380" s="5" t="str">
        <f ca="1">IFERROR(__xludf.DUMMYFUNCTION("""COMPUTED_VALUE"""),"Hostage/Standoff")</f>
        <v>Hostage/Standoff</v>
      </c>
      <c r="AB380" s="5" t="str">
        <f ca="1">IFERROR(__xludf.DUMMYFUNCTION("""COMPUTED_VALUE"""),"Random Shooting")</f>
        <v>Random Shooting</v>
      </c>
      <c r="AC380" s="5" t="str">
        <f ca="1">IFERROR(__xludf.DUMMYFUNCTION("""COMPUTED_VALUE"""),"No")</f>
        <v>No</v>
      </c>
      <c r="AD380" s="5" t="str">
        <f ca="1">IFERROR(__xludf.DUMMYFUNCTION("""COMPUTED_VALUE"""),"No")</f>
        <v>No</v>
      </c>
      <c r="AE380" s="5" t="str">
        <f ca="1">IFERROR(__xludf.DUMMYFUNCTION("""COMPUTED_VALUE"""),"No")</f>
        <v>No</v>
      </c>
      <c r="AF380" s="5" t="str">
        <f ca="1">IFERROR(__xludf.DUMMYFUNCTION("""COMPUTED_VALUE"""),"No")</f>
        <v>No</v>
      </c>
      <c r="AG380" s="5" t="str">
        <f ca="1">IFERROR(__xludf.DUMMYFUNCTION("""COMPUTED_VALUE"""),"No")</f>
        <v>No</v>
      </c>
      <c r="AH380" s="5" t="str">
        <f ca="1">IFERROR(__xludf.DUMMYFUNCTION("""COMPUTED_VALUE"""),"No")</f>
        <v>No</v>
      </c>
      <c r="AI380" s="5"/>
      <c r="AJ380" s="5" t="str">
        <f ca="1">IFERROR(__xludf.DUMMYFUNCTION("""COMPUTED_VALUE"""),"No")</f>
        <v>No</v>
      </c>
    </row>
    <row r="381" spans="1:36" ht="13">
      <c r="A381" s="5" t="str">
        <f ca="1">IFERROR(__xludf.DUMMYFUNCTION("""COMPUTED_VALUE"""),"20220124NVSUL")</f>
        <v>20220124NVSUL</v>
      </c>
      <c r="B381" s="5">
        <f ca="1">IFERROR(__xludf.DUMMYFUNCTION("""COMPUTED_VALUE"""),1)</f>
        <v>1</v>
      </c>
      <c r="C381" s="5">
        <f ca="1">IFERROR(__xludf.DUMMYFUNCTION("""COMPUTED_VALUE"""),24)</f>
        <v>24</v>
      </c>
      <c r="D381" s="5">
        <f ca="1">IFERROR(__xludf.DUMMYFUNCTION("""COMPUTED_VALUE"""),2022)</f>
        <v>2022</v>
      </c>
      <c r="E381" s="8">
        <f ca="1">IFERROR(__xludf.DUMMYFUNCTION("""COMPUTED_VALUE"""),44585)</f>
        <v>44585</v>
      </c>
      <c r="F381" s="5" t="str">
        <f ca="1">IFERROR(__xludf.DUMMYFUNCTION("""COMPUTED_VALUE"""),"Sunrise Mountain High School")</f>
        <v>Sunrise Mountain High School</v>
      </c>
      <c r="G381" s="5">
        <f ca="1">IFERROR(__xludf.DUMMYFUNCTION("""COMPUTED_VALUE"""),0)</f>
        <v>0</v>
      </c>
      <c r="H381" s="5">
        <f ca="1">IFERROR(__xludf.DUMMYFUNCTION("""COMPUTED_VALUE"""),1)</f>
        <v>1</v>
      </c>
      <c r="I381" s="5">
        <f ca="1">IFERROR(__xludf.DUMMYFUNCTION("""COMPUTED_VALUE"""),1)</f>
        <v>1</v>
      </c>
      <c r="J381" s="5">
        <f ca="1">IFERROR(__xludf.DUMMYFUNCTION("""COMPUTED_VALUE"""),0)</f>
        <v>0</v>
      </c>
      <c r="K381" s="5" t="str">
        <f ca="1">IFERROR(__xludf.DUMMYFUNCTION("""COMPUTED_VALUE"""),"https://news3lv.com/newsletter-daily/las-vegas-police-investigate-shooting-near-sunrise-mountain-high-school https://www.8newsnow.com/news/local-news/1-shot-in-east-valley-near-carey-and-hollywood-sunrise-mountain-high-school-on-hard-lockdown/")</f>
        <v>https://news3lv.com/newsletter-daily/las-vegas-police-investigate-shooting-near-sunrise-mountain-high-school https://www.8newsnow.com/news/local-news/1-shot-in-east-valley-near-carey-and-hollywood-sunrise-mountain-high-school-on-hard-lockdown/</v>
      </c>
      <c r="L381" s="5">
        <f ca="1">IFERROR(__xludf.DUMMYFUNCTION("""COMPUTED_VALUE"""),3)</f>
        <v>3</v>
      </c>
      <c r="M381" s="5" t="str">
        <f ca="1">IFERROR(__xludf.DUMMYFUNCTION("""COMPUTED_VALUE"""),"Local")</f>
        <v>Local</v>
      </c>
      <c r="N381" s="5">
        <f ca="1">IFERROR(__xludf.DUMMYFUNCTION("""COMPUTED_VALUE"""),3)</f>
        <v>3</v>
      </c>
      <c r="O381" s="5" t="str">
        <f ca="1">IFERROR(__xludf.DUMMYFUNCTION("""COMPUTED_VALUE"""),"Winter")</f>
        <v>Winter</v>
      </c>
      <c r="P381" s="5" t="str">
        <f ca="1">IFERROR(__xludf.DUMMYFUNCTION("""COMPUTED_VALUE"""),"Las Vegas")</f>
        <v>Las Vegas</v>
      </c>
      <c r="Q381" s="5" t="str">
        <f ca="1">IFERROR(__xludf.DUMMYFUNCTION("""COMPUTED_VALUE"""),"NV")</f>
        <v>NV</v>
      </c>
      <c r="R381" s="5" t="str">
        <f ca="1">IFERROR(__xludf.DUMMYFUNCTION("""COMPUTED_VALUE"""),"High")</f>
        <v>High</v>
      </c>
      <c r="S381" s="5" t="str">
        <f ca="1">IFERROR(__xludf.DUMMYFUNCTION("""COMPUTED_VALUE"""),"Parking Lot")</f>
        <v>Parking Lot</v>
      </c>
      <c r="T381" s="5" t="str">
        <f ca="1">IFERROR(__xludf.DUMMYFUNCTION("""COMPUTED_VALUE"""),"Outside on School Property")</f>
        <v>Outside on School Property</v>
      </c>
      <c r="U381" s="5" t="str">
        <f ca="1">IFERROR(__xludf.DUMMYFUNCTION("""COMPUTED_VALUE"""),"Yes")</f>
        <v>Yes</v>
      </c>
      <c r="V381" s="5" t="str">
        <f ca="1">IFERROR(__xludf.DUMMYFUNCTION("""COMPUTED_VALUE"""),"Lunch")</f>
        <v>Lunch</v>
      </c>
      <c r="W381" s="10">
        <f ca="1">IFERROR(__xludf.DUMMYFUNCTION("""COMPUTED_VALUE"""),0.520833333333333)</f>
        <v>0.52083333333333304</v>
      </c>
      <c r="X381" s="5">
        <f ca="1">IFERROR(__xludf.DUMMYFUNCTION("""COMPUTED_VALUE"""),1)</f>
        <v>1</v>
      </c>
      <c r="Y381" s="5" t="str">
        <f ca="1">IFERROR(__xludf.DUMMYFUNCTION("""COMPUTED_VALUE"""),"Unidentified person shot in school parking lot during school day")</f>
        <v>Unidentified person shot in school parking lot during school day</v>
      </c>
      <c r="Z381" s="5" t="str">
        <f ca="1">IFERROR(__xludf.DUMMYFUNCTION("""COMPUTED_VALUE"""),"High school went on hard lockdown when an unidentified person was shot in the school parking lot. Victim transported to trauma center. Police did not release any other information.")</f>
        <v>High school went on hard lockdown when an unidentified person was shot in the school parking lot. Victim transported to trauma center. Police did not release any other information.</v>
      </c>
      <c r="AA381" s="5"/>
      <c r="AB381" s="5" t="str">
        <f ca="1">IFERROR(__xludf.DUMMYFUNCTION("""COMPUTED_VALUE"""),"Victims Targeted")</f>
        <v>Victims Targeted</v>
      </c>
      <c r="AC381" s="5" t="str">
        <f ca="1">IFERROR(__xludf.DUMMYFUNCTION("""COMPUTED_VALUE"""),"No")</f>
        <v>No</v>
      </c>
      <c r="AD381" s="5" t="str">
        <f ca="1">IFERROR(__xludf.DUMMYFUNCTION("""COMPUTED_VALUE"""),"No")</f>
        <v>No</v>
      </c>
      <c r="AE381" s="5" t="str">
        <f ca="1">IFERROR(__xludf.DUMMYFUNCTION("""COMPUTED_VALUE"""),"No")</f>
        <v>No</v>
      </c>
      <c r="AF381" s="5" t="str">
        <f ca="1">IFERROR(__xludf.DUMMYFUNCTION("""COMPUTED_VALUE"""),"No")</f>
        <v>No</v>
      </c>
      <c r="AG381" s="5" t="str">
        <f ca="1">IFERROR(__xludf.DUMMYFUNCTION("""COMPUTED_VALUE"""),"No")</f>
        <v>No</v>
      </c>
      <c r="AH381" s="5" t="str">
        <f ca="1">IFERROR(__xludf.DUMMYFUNCTION("""COMPUTED_VALUE"""),"No")</f>
        <v>No</v>
      </c>
      <c r="AI381" s="5"/>
      <c r="AJ381" s="5" t="str">
        <f ca="1">IFERROR(__xludf.DUMMYFUNCTION("""COMPUTED_VALUE"""),"No")</f>
        <v>No</v>
      </c>
    </row>
    <row r="382" spans="1:36" ht="13">
      <c r="A382" s="5" t="str">
        <f ca="1">IFERROR(__xludf.DUMMYFUNCTION("""COMPUTED_VALUE"""),"20220121MDMAR")</f>
        <v>20220121MDMAR</v>
      </c>
      <c r="B382" s="5">
        <f ca="1">IFERROR(__xludf.DUMMYFUNCTION("""COMPUTED_VALUE"""),1)</f>
        <v>1</v>
      </c>
      <c r="C382" s="5">
        <f ca="1">IFERROR(__xludf.DUMMYFUNCTION("""COMPUTED_VALUE"""),21)</f>
        <v>21</v>
      </c>
      <c r="D382" s="5">
        <f ca="1">IFERROR(__xludf.DUMMYFUNCTION("""COMPUTED_VALUE"""),2022)</f>
        <v>2022</v>
      </c>
      <c r="E382" s="8">
        <f ca="1">IFERROR(__xludf.DUMMYFUNCTION("""COMPUTED_VALUE"""),44582)</f>
        <v>44582</v>
      </c>
      <c r="F382" s="5" t="str">
        <f ca="1">IFERROR(__xludf.DUMMYFUNCTION("""COMPUTED_VALUE"""),"Magruder High School")</f>
        <v>Magruder High School</v>
      </c>
      <c r="G382" s="5">
        <f ca="1">IFERROR(__xludf.DUMMYFUNCTION("""COMPUTED_VALUE"""),0)</f>
        <v>0</v>
      </c>
      <c r="H382" s="5">
        <f ca="1">IFERROR(__xludf.DUMMYFUNCTION("""COMPUTED_VALUE"""),1)</f>
        <v>1</v>
      </c>
      <c r="I382" s="5">
        <f ca="1">IFERROR(__xludf.DUMMYFUNCTION("""COMPUTED_VALUE"""),1)</f>
        <v>1</v>
      </c>
      <c r="J382" s="5">
        <f ca="1">IFERROR(__xludf.DUMMYFUNCTION("""COMPUTED_VALUE"""),0)</f>
        <v>0</v>
      </c>
      <c r="K382" s="5" t="str">
        <f ca="1">IFERROR(__xludf.DUMMYFUNCTION("""COMPUTED_VALUE"""),"https://www.montgomeryschoolsmd.org/uploadedFiles/220513%20Col%20Zadok%20Magruder%20HS%20After%20Action%20Report.%20Sent%20to%20MCSS%20KH.pdf https://www.wusa9.com/video/news/crime/police-update-on-magruder-high-school-shooting/65-7d1edfac-9590-484f-a4aa-"&amp;"a3e0da65364c")</f>
        <v>https://www.montgomeryschoolsmd.org/uploadedFiles/220513%20Col%20Zadok%20Magruder%20HS%20After%20Action%20Report.%20Sent%20to%20MCSS%20KH.pdf https://www.wusa9.com/video/news/crime/police-update-on-magruder-high-school-shooting/65-7d1edfac-9590-484f-a4aa-a3e0da65364c</v>
      </c>
      <c r="L382" s="5">
        <f ca="1">IFERROR(__xludf.DUMMYFUNCTION("""COMPUTED_VALUE"""),100)</f>
        <v>100</v>
      </c>
      <c r="M382" s="5" t="str">
        <f ca="1">IFERROR(__xludf.DUMMYFUNCTION("""COMPUTED_VALUE"""),"Regional")</f>
        <v>Regional</v>
      </c>
      <c r="N382" s="5">
        <f ca="1">IFERROR(__xludf.DUMMYFUNCTION("""COMPUTED_VALUE"""),5)</f>
        <v>5</v>
      </c>
      <c r="O382" s="5" t="str">
        <f ca="1">IFERROR(__xludf.DUMMYFUNCTION("""COMPUTED_VALUE"""),"Fall")</f>
        <v>Fall</v>
      </c>
      <c r="P382" s="5" t="str">
        <f ca="1">IFERROR(__xludf.DUMMYFUNCTION("""COMPUTED_VALUE"""),"Rockville")</f>
        <v>Rockville</v>
      </c>
      <c r="Q382" s="5" t="str">
        <f ca="1">IFERROR(__xludf.DUMMYFUNCTION("""COMPUTED_VALUE"""),"MD")</f>
        <v>MD</v>
      </c>
      <c r="R382" s="5" t="str">
        <f ca="1">IFERROR(__xludf.DUMMYFUNCTION("""COMPUTED_VALUE"""),"High")</f>
        <v>High</v>
      </c>
      <c r="S382" s="5" t="str">
        <f ca="1">IFERROR(__xludf.DUMMYFUNCTION("""COMPUTED_VALUE"""),"Bathroom")</f>
        <v>Bathroom</v>
      </c>
      <c r="T382" s="5" t="str">
        <f ca="1">IFERROR(__xludf.DUMMYFUNCTION("""COMPUTED_VALUE"""),"Inside School Building")</f>
        <v>Inside School Building</v>
      </c>
      <c r="U382" s="5" t="str">
        <f ca="1">IFERROR(__xludf.DUMMYFUNCTION("""COMPUTED_VALUE"""),"Yes")</f>
        <v>Yes</v>
      </c>
      <c r="V382" s="5" t="str">
        <f ca="1">IFERROR(__xludf.DUMMYFUNCTION("""COMPUTED_VALUE"""),"Afternoon Classes")</f>
        <v>Afternoon Classes</v>
      </c>
      <c r="W382" s="10">
        <f ca="1">IFERROR(__xludf.DUMMYFUNCTION("""COMPUTED_VALUE"""),0.536805555555555)</f>
        <v>0.53680555555555498</v>
      </c>
      <c r="X382" s="5">
        <f ca="1">IFERROR(__xludf.DUMMYFUNCTION("""COMPUTED_VALUE"""),1)</f>
        <v>1</v>
      </c>
      <c r="Y382" s="5" t="str">
        <f ca="1">IFERROR(__xludf.DUMMYFUNCTION("""COMPUTED_VALUE"""),"Student shot in school bathroom, shooter found in school 3 hours later")</f>
        <v>Student shot in school bathroom, shooter found in school 3 hours later</v>
      </c>
      <c r="Z382" s="5" t="str">
        <f ca="1">IFERROR(__xludf.DUMMYFUNCTION("""COMPUTED_VALUE"""),"A teenage student was shot in the bathroom of the school during class. Shooter and victim had a predetermined meeting in the bathroom about an ongoing dispute. Police officer located the victim, determined the injury was a gunshot injury, and locked down "&amp;"the school. Shooter stayed in the building and was arrested inside the school with a handgun 3 hours after the shooting inside a classroom with other students. Student was transported with serious injuries. School was locked down for 5 hours while police "&amp;"searched the building. Other students witnessed the shooting and posted about it on social media. Gun used was a 9mm ghost gun purchased as a parts kit online and assembled by shooter and his friend.")</f>
        <v>A teenage student was shot in the bathroom of the school during class. Shooter and victim had a predetermined meeting in the bathroom about an ongoing dispute. Police officer located the victim, determined the injury was a gunshot injury, and locked down the school. Shooter stayed in the building and was arrested inside the school with a handgun 3 hours after the shooting inside a classroom with other students. Student was transported with serious injuries. School was locked down for 5 hours while police searched the building. Other students witnessed the shooting and posted about it on social media. Gun used was a 9mm ghost gun purchased as a parts kit online and assembled by shooter and his friend.</v>
      </c>
      <c r="AA382" s="5" t="str">
        <f ca="1">IFERROR(__xludf.DUMMYFUNCTION("""COMPUTED_VALUE"""),"Escalation of Dispute")</f>
        <v>Escalation of Dispute</v>
      </c>
      <c r="AB382" s="5" t="str">
        <f ca="1">IFERROR(__xludf.DUMMYFUNCTION("""COMPUTED_VALUE"""),"Victims Targeted")</f>
        <v>Victims Targeted</v>
      </c>
      <c r="AC382" s="5" t="str">
        <f ca="1">IFERROR(__xludf.DUMMYFUNCTION("""COMPUTED_VALUE"""),"No")</f>
        <v>No</v>
      </c>
      <c r="AD382" s="5" t="str">
        <f ca="1">IFERROR(__xludf.DUMMYFUNCTION("""COMPUTED_VALUE"""),"No")</f>
        <v>No</v>
      </c>
      <c r="AE382" s="5" t="str">
        <f ca="1">IFERROR(__xludf.DUMMYFUNCTION("""COMPUTED_VALUE"""),"No")</f>
        <v>No</v>
      </c>
      <c r="AF382" s="5" t="str">
        <f ca="1">IFERROR(__xludf.DUMMYFUNCTION("""COMPUTED_VALUE"""),"No")</f>
        <v>No</v>
      </c>
      <c r="AG382" s="5" t="str">
        <f ca="1">IFERROR(__xludf.DUMMYFUNCTION("""COMPUTED_VALUE"""),"No")</f>
        <v>No</v>
      </c>
      <c r="AH382" s="5" t="str">
        <f ca="1">IFERROR(__xludf.DUMMYFUNCTION("""COMPUTED_VALUE"""),"No")</f>
        <v>No</v>
      </c>
      <c r="AI382" s="5"/>
      <c r="AJ382" s="5" t="str">
        <f ca="1">IFERROR(__xludf.DUMMYFUNCTION("""COMPUTED_VALUE"""),"No")</f>
        <v>No</v>
      </c>
    </row>
    <row r="383" spans="1:36" ht="13">
      <c r="A383" s="5" t="str">
        <f ca="1">IFERROR(__xludf.DUMMYFUNCTION("""COMPUTED_VALUE"""),"20220121GAMCA")</f>
        <v>20220121GAMCA</v>
      </c>
      <c r="B383" s="5">
        <f ca="1">IFERROR(__xludf.DUMMYFUNCTION("""COMPUTED_VALUE"""),1)</f>
        <v>1</v>
      </c>
      <c r="C383" s="5">
        <f ca="1">IFERROR(__xludf.DUMMYFUNCTION("""COMPUTED_VALUE"""),21)</f>
        <v>21</v>
      </c>
      <c r="D383" s="5">
        <f ca="1">IFERROR(__xludf.DUMMYFUNCTION("""COMPUTED_VALUE"""),2022)</f>
        <v>2022</v>
      </c>
      <c r="E383" s="8">
        <f ca="1">IFERROR(__xludf.DUMMYFUNCTION("""COMPUTED_VALUE"""),44582)</f>
        <v>44582</v>
      </c>
      <c r="F383" s="5" t="str">
        <f ca="1">IFERROR(__xludf.DUMMYFUNCTION("""COMPUTED_VALUE"""),"McNair High School")</f>
        <v>McNair High School</v>
      </c>
      <c r="G383" s="5">
        <f ca="1">IFERROR(__xludf.DUMMYFUNCTION("""COMPUTED_VALUE"""),0)</f>
        <v>0</v>
      </c>
      <c r="H383" s="5">
        <f ca="1">IFERROR(__xludf.DUMMYFUNCTION("""COMPUTED_VALUE"""),0)</f>
        <v>0</v>
      </c>
      <c r="I383" s="5">
        <f ca="1">IFERROR(__xludf.DUMMYFUNCTION("""COMPUTED_VALUE"""),0)</f>
        <v>0</v>
      </c>
      <c r="J383" s="5">
        <f ca="1">IFERROR(__xludf.DUMMYFUNCTION("""COMPUTED_VALUE"""),0)</f>
        <v>0</v>
      </c>
      <c r="K383" s="5" t="str">
        <f ca="1">IFERROR(__xludf.DUMMYFUNCTION("""COMPUTED_VALUE"""),"https://www.ajc.com/news/19-year-old-arrested-in-shooting-near-mcnair-high-in-dekalb/3BGA2BTGDVELBCMPAGZZGHRT3Y/ https://www.ajc.com/neighborhoods/dekalb/no-students-injured-in-shooting-near-mcnair-high-during-school-hours/ULTVPGCRYJHEVCR6MY5RGGVA2M/ http"&amp;"s://www.wsbtv.com/video/local-video/police-investigate-shooting-near-main-exit-mcnair-high-school/cb5ef6de-e0fb-4c72-b0a0-b1f6b0dd4cce/ https://www.wsbtv.com/news/local/dekalb-county/police-investigate-shooting-near-main-exit-mcnair-high-school/CRTQ2VPNSR"&amp;"FP5G4NNEGRZ7W6SY/")</f>
        <v>https://www.ajc.com/news/19-year-old-arrested-in-shooting-near-mcnair-high-in-dekalb/3BGA2BTGDVELBCMPAGZZGHRT3Y/ https://www.ajc.com/neighborhoods/dekalb/no-students-injured-in-shooting-near-mcnair-high-during-school-hours/ULTVPGCRYJHEVCR6MY5RGGVA2M/ https://www.wsbtv.com/video/local-video/police-investigate-shooting-near-main-exit-mcnair-high-school/cb5ef6de-e0fb-4c72-b0a0-b1f6b0dd4cce/ https://www.wsbtv.com/news/local/dekalb-county/police-investigate-shooting-near-main-exit-mcnair-high-school/CRTQ2VPNSRFP5G4NNEGRZ7W6SY/</v>
      </c>
      <c r="L383" s="5">
        <f ca="1">IFERROR(__xludf.DUMMYFUNCTION("""COMPUTED_VALUE"""),3)</f>
        <v>3</v>
      </c>
      <c r="M383" s="5" t="str">
        <f ca="1">IFERROR(__xludf.DUMMYFUNCTION("""COMPUTED_VALUE"""),"Local")</f>
        <v>Local</v>
      </c>
      <c r="N383" s="5">
        <f ca="1">IFERROR(__xludf.DUMMYFUNCTION("""COMPUTED_VALUE"""),4)</f>
        <v>4</v>
      </c>
      <c r="O383" s="5" t="str">
        <f ca="1">IFERROR(__xludf.DUMMYFUNCTION("""COMPUTED_VALUE"""),"Fall")</f>
        <v>Fall</v>
      </c>
      <c r="P383" s="5" t="str">
        <f ca="1">IFERROR(__xludf.DUMMYFUNCTION("""COMPUTED_VALUE"""),"Atlanta")</f>
        <v>Atlanta</v>
      </c>
      <c r="Q383" s="5" t="str">
        <f ca="1">IFERROR(__xludf.DUMMYFUNCTION("""COMPUTED_VALUE"""),"GA")</f>
        <v>GA</v>
      </c>
      <c r="R383" s="5" t="str">
        <f ca="1">IFERROR(__xludf.DUMMYFUNCTION("""COMPUTED_VALUE"""),"High")</f>
        <v>High</v>
      </c>
      <c r="S383" s="5" t="str">
        <f ca="1">IFERROR(__xludf.DUMMYFUNCTION("""COMPUTED_VALUE"""),"Parking Lot")</f>
        <v>Parking Lot</v>
      </c>
      <c r="T383" s="5" t="str">
        <f ca="1">IFERROR(__xludf.DUMMYFUNCTION("""COMPUTED_VALUE"""),"Outside on School Property")</f>
        <v>Outside on School Property</v>
      </c>
      <c r="U383" s="5" t="str">
        <f ca="1">IFERROR(__xludf.DUMMYFUNCTION("""COMPUTED_VALUE"""),"Yes")</f>
        <v>Yes</v>
      </c>
      <c r="V383" s="5" t="str">
        <f ca="1">IFERROR(__xludf.DUMMYFUNCTION("""COMPUTED_VALUE"""),"Afternoon Classes")</f>
        <v>Afternoon Classes</v>
      </c>
      <c r="W383" s="10">
        <f ca="1">IFERROR(__xludf.DUMMYFUNCTION("""COMPUTED_VALUE"""),0.604166666666666)</f>
        <v>0.60416666666666596</v>
      </c>
      <c r="X383" s="5">
        <f ca="1">IFERROR(__xludf.DUMMYFUNCTION("""COMPUTED_VALUE"""),1)</f>
        <v>1</v>
      </c>
      <c r="Y383" s="5" t="str">
        <f ca="1">IFERROR(__xludf.DUMMYFUNCTION("""COMPUTED_VALUE"""),"Shots fired in school parking lot prior to dismissal")</f>
        <v>Shots fired in school parking lot prior to dismissal</v>
      </c>
      <c r="Z383" s="5" t="str">
        <f ca="1">IFERROR(__xludf.DUMMYFUNCTION("""COMPUTED_VALUE"""),"Multiple shots were fired in the school parking lot prior to dismissal. No students or staff were injured. Shooter fled. School went on lockdown. 19-year-old student arrested the following week and charged with multiple felonies.")</f>
        <v>Multiple shots were fired in the school parking lot prior to dismissal. No students or staff were injured. Shooter fled. School went on lockdown. 19-year-old student arrested the following week and charged with multiple felonies.</v>
      </c>
      <c r="AA383" s="5" t="str">
        <f ca="1">IFERROR(__xludf.DUMMYFUNCTION("""COMPUTED_VALUE"""),"Drive-by Shooting")</f>
        <v>Drive-by Shooting</v>
      </c>
      <c r="AB383" s="5"/>
      <c r="AC383" s="5" t="str">
        <f ca="1">IFERROR(__xludf.DUMMYFUNCTION("""COMPUTED_VALUE"""),"No")</f>
        <v>No</v>
      </c>
      <c r="AD383" s="5" t="str">
        <f ca="1">IFERROR(__xludf.DUMMYFUNCTION("""COMPUTED_VALUE"""),"No")</f>
        <v>No</v>
      </c>
      <c r="AE383" s="5" t="str">
        <f ca="1">IFERROR(__xludf.DUMMYFUNCTION("""COMPUTED_VALUE"""),"No")</f>
        <v>No</v>
      </c>
      <c r="AF383" s="5" t="str">
        <f ca="1">IFERROR(__xludf.DUMMYFUNCTION("""COMPUTED_VALUE"""),"No")</f>
        <v>No</v>
      </c>
      <c r="AG383" s="5" t="str">
        <f ca="1">IFERROR(__xludf.DUMMYFUNCTION("""COMPUTED_VALUE"""),"No")</f>
        <v>No</v>
      </c>
      <c r="AH383" s="5" t="str">
        <f ca="1">IFERROR(__xludf.DUMMYFUNCTION("""COMPUTED_VALUE"""),"No")</f>
        <v>No</v>
      </c>
      <c r="AI383" s="5"/>
      <c r="AJ383" s="5" t="str">
        <f ca="1">IFERROR(__xludf.DUMMYFUNCTION("""COMPUTED_VALUE"""),"No")</f>
        <v>No</v>
      </c>
    </row>
    <row r="384" spans="1:36" ht="13">
      <c r="A384" s="5" t="str">
        <f ca="1">IFERROR(__xludf.DUMMYFUNCTION("""COMPUTED_VALUE"""),"20220119DCANW")</f>
        <v>20220119DCANW</v>
      </c>
      <c r="B384" s="5">
        <f ca="1">IFERROR(__xludf.DUMMYFUNCTION("""COMPUTED_VALUE"""),1)</f>
        <v>1</v>
      </c>
      <c r="C384" s="5">
        <f ca="1">IFERROR(__xludf.DUMMYFUNCTION("""COMPUTED_VALUE"""),19)</f>
        <v>19</v>
      </c>
      <c r="D384" s="5">
        <f ca="1">IFERROR(__xludf.DUMMYFUNCTION("""COMPUTED_VALUE"""),2022)</f>
        <v>2022</v>
      </c>
      <c r="E384" s="8">
        <f ca="1">IFERROR(__xludf.DUMMYFUNCTION("""COMPUTED_VALUE"""),44580)</f>
        <v>44580</v>
      </c>
      <c r="F384" s="5" t="str">
        <f ca="1">IFERROR(__xludf.DUMMYFUNCTION("""COMPUTED_VALUE"""),"Anacostia High School")</f>
        <v>Anacostia High School</v>
      </c>
      <c r="G384" s="5">
        <f ca="1">IFERROR(__xludf.DUMMYFUNCTION("""COMPUTED_VALUE"""),0)</f>
        <v>0</v>
      </c>
      <c r="H384" s="5">
        <f ca="1">IFERROR(__xludf.DUMMYFUNCTION("""COMPUTED_VALUE"""),0)</f>
        <v>0</v>
      </c>
      <c r="I384" s="5">
        <f ca="1">IFERROR(__xludf.DUMMYFUNCTION("""COMPUTED_VALUE"""),0)</f>
        <v>0</v>
      </c>
      <c r="J384" s="5">
        <f ca="1">IFERROR(__xludf.DUMMYFUNCTION("""COMPUTED_VALUE"""),0)</f>
        <v>0</v>
      </c>
      <c r="K384" s="9" t="str">
        <f ca="1">IFERROR(__xludf.DUMMYFUNCTION("""COMPUTED_VALUE"""),"https://www.wusa9.com/article/news/crime/shooting-outside-anacostia-high-school-caught-on-camera/65-2ad8c323-8d37-4f4d-9ee6-dc8adcd8bc46")</f>
        <v>https://www.wusa9.com/article/news/crime/shooting-outside-anacostia-high-school-caught-on-camera/65-2ad8c323-8d37-4f4d-9ee6-dc8adcd8bc46</v>
      </c>
      <c r="L384" s="5">
        <f ca="1">IFERROR(__xludf.DUMMYFUNCTION("""COMPUTED_VALUE"""),1)</f>
        <v>1</v>
      </c>
      <c r="M384" s="5" t="str">
        <f ca="1">IFERROR(__xludf.DUMMYFUNCTION("""COMPUTED_VALUE"""),"Local")</f>
        <v>Local</v>
      </c>
      <c r="N384" s="5">
        <f ca="1">IFERROR(__xludf.DUMMYFUNCTION("""COMPUTED_VALUE"""),4)</f>
        <v>4</v>
      </c>
      <c r="O384" s="5" t="str">
        <f ca="1">IFERROR(__xludf.DUMMYFUNCTION("""COMPUTED_VALUE"""),"Winter")</f>
        <v>Winter</v>
      </c>
      <c r="P384" s="5" t="str">
        <f ca="1">IFERROR(__xludf.DUMMYFUNCTION("""COMPUTED_VALUE"""),"Washington")</f>
        <v>Washington</v>
      </c>
      <c r="Q384" s="5" t="str">
        <f ca="1">IFERROR(__xludf.DUMMYFUNCTION("""COMPUTED_VALUE"""),"DC")</f>
        <v>DC</v>
      </c>
      <c r="R384" s="5" t="str">
        <f ca="1">IFERROR(__xludf.DUMMYFUNCTION("""COMPUTED_VALUE"""),"High")</f>
        <v>High</v>
      </c>
      <c r="S384" s="5" t="str">
        <f ca="1">IFERROR(__xludf.DUMMYFUNCTION("""COMPUTED_VALUE"""),"Front of School")</f>
        <v>Front of School</v>
      </c>
      <c r="T384" s="5" t="str">
        <f ca="1">IFERROR(__xludf.DUMMYFUNCTION("""COMPUTED_VALUE"""),"Outside on School Property")</f>
        <v>Outside on School Property</v>
      </c>
      <c r="U384" s="5" t="str">
        <f ca="1">IFERROR(__xludf.DUMMYFUNCTION("""COMPUTED_VALUE"""),"No")</f>
        <v>No</v>
      </c>
      <c r="V384" s="5" t="str">
        <f ca="1">IFERROR(__xludf.DUMMYFUNCTION("""COMPUTED_VALUE"""),"After School")</f>
        <v>After School</v>
      </c>
      <c r="W384" s="10">
        <f ca="1">IFERROR(__xludf.DUMMYFUNCTION("""COMPUTED_VALUE"""),0.666666666666666)</f>
        <v>0.66666666666666596</v>
      </c>
      <c r="X384" s="5">
        <f ca="1">IFERROR(__xludf.DUMMYFUNCTION("""COMPUTED_VALUE"""),1)</f>
        <v>1</v>
      </c>
      <c r="Y384" s="5" t="str">
        <f ca="1">IFERROR(__xludf.DUMMYFUNCTION("""COMPUTED_VALUE"""),"Two shots stuck the front door of the school")</f>
        <v>Two shots stuck the front door of the school</v>
      </c>
      <c r="Z384" s="5" t="str">
        <f ca="1">IFERROR(__xludf.DUMMYFUNCTION("""COMPUTED_VALUE"""),"CCTV showed a man being chased toward the school. Shooter fired shot at him, 2 stuck the door of the school. Shooter fled in a vehicle. Students were inside the school for sports practice and were locked down. No injuries.")</f>
        <v>CCTV showed a man being chased toward the school. Shooter fired shot at him, 2 stuck the door of the school. Shooter fled in a vehicle. Students were inside the school for sports practice and were locked down. No injuries.</v>
      </c>
      <c r="AA384" s="5"/>
      <c r="AB384" s="5" t="str">
        <f ca="1">IFERROR(__xludf.DUMMYFUNCTION("""COMPUTED_VALUE"""),"Victims Targeted")</f>
        <v>Victims Targeted</v>
      </c>
      <c r="AC384" s="5" t="str">
        <f ca="1">IFERROR(__xludf.DUMMYFUNCTION("""COMPUTED_VALUE"""),"No")</f>
        <v>No</v>
      </c>
      <c r="AD384" s="5" t="str">
        <f ca="1">IFERROR(__xludf.DUMMYFUNCTION("""COMPUTED_VALUE"""),"No")</f>
        <v>No</v>
      </c>
      <c r="AE384" s="5" t="str">
        <f ca="1">IFERROR(__xludf.DUMMYFUNCTION("""COMPUTED_VALUE"""),"No")</f>
        <v>No</v>
      </c>
      <c r="AF384" s="5" t="str">
        <f ca="1">IFERROR(__xludf.DUMMYFUNCTION("""COMPUTED_VALUE"""),"No")</f>
        <v>No</v>
      </c>
      <c r="AG384" s="5" t="str">
        <f ca="1">IFERROR(__xludf.DUMMYFUNCTION("""COMPUTED_VALUE"""),"No")</f>
        <v>No</v>
      </c>
      <c r="AH384" s="5" t="str">
        <f ca="1">IFERROR(__xludf.DUMMYFUNCTION("""COMPUTED_VALUE"""),"No")</f>
        <v>No</v>
      </c>
      <c r="AI384" s="5"/>
      <c r="AJ384" s="5" t="str">
        <f ca="1">IFERROR(__xludf.DUMMYFUNCTION("""COMPUTED_VALUE"""),"No")</f>
        <v>No</v>
      </c>
    </row>
    <row r="385" spans="1:36" ht="13">
      <c r="A385" s="5" t="str">
        <f ca="1">IFERROR(__xludf.DUMMYFUNCTION("""COMPUTED_VALUE"""),"20220119VAMAP")</f>
        <v>20220119VAMAP</v>
      </c>
      <c r="B385" s="5">
        <f ca="1">IFERROR(__xludf.DUMMYFUNCTION("""COMPUTED_VALUE"""),1)</f>
        <v>1</v>
      </c>
      <c r="C385" s="5">
        <f ca="1">IFERROR(__xludf.DUMMYFUNCTION("""COMPUTED_VALUE"""),19)</f>
        <v>19</v>
      </c>
      <c r="D385" s="5">
        <f ca="1">IFERROR(__xludf.DUMMYFUNCTION("""COMPUTED_VALUE"""),2022)</f>
        <v>2022</v>
      </c>
      <c r="E385" s="8">
        <f ca="1">IFERROR(__xludf.DUMMYFUNCTION("""COMPUTED_VALUE"""),44580)</f>
        <v>44580</v>
      </c>
      <c r="F385" s="5" t="str">
        <f ca="1">IFERROR(__xludf.DUMMYFUNCTION("""COMPUTED_VALUE"""),"Manor High School")</f>
        <v>Manor High School</v>
      </c>
      <c r="G385" s="5">
        <f ca="1">IFERROR(__xludf.DUMMYFUNCTION("""COMPUTED_VALUE"""),0)</f>
        <v>0</v>
      </c>
      <c r="H385" s="5">
        <f ca="1">IFERROR(__xludf.DUMMYFUNCTION("""COMPUTED_VALUE"""),1)</f>
        <v>1</v>
      </c>
      <c r="I385" s="5">
        <f ca="1">IFERROR(__xludf.DUMMYFUNCTION("""COMPUTED_VALUE"""),1)</f>
        <v>1</v>
      </c>
      <c r="J385" s="5">
        <f ca="1">IFERROR(__xludf.DUMMYFUNCTION("""COMPUTED_VALUE"""),0)</f>
        <v>0</v>
      </c>
      <c r="K385" s="5" t="str">
        <f ca="1">IFERROR(__xludf.DUMMYFUNCTION("""COMPUTED_VALUE"""),"https://www.wtkr.com/news/juvenile-victim-left-with-life-threatening-injuries-after-shooting-near-manor-high-school-in-portsmouth https://www.wavy.com/news/local-news/portsmouth/portsmouth-police-investigate-walk-in-gunshot-victim/")</f>
        <v>https://www.wtkr.com/news/juvenile-victim-left-with-life-threatening-injuries-after-shooting-near-manor-high-school-in-portsmouth https://www.wavy.com/news/local-news/portsmouth/portsmouth-police-investigate-walk-in-gunshot-victim/</v>
      </c>
      <c r="L385" s="5">
        <f ca="1">IFERROR(__xludf.DUMMYFUNCTION("""COMPUTED_VALUE"""),2)</f>
        <v>2</v>
      </c>
      <c r="M385" s="5" t="str">
        <f ca="1">IFERROR(__xludf.DUMMYFUNCTION("""COMPUTED_VALUE"""),"Local")</f>
        <v>Local</v>
      </c>
      <c r="N385" s="5">
        <f ca="1">IFERROR(__xludf.DUMMYFUNCTION("""COMPUTED_VALUE"""),3)</f>
        <v>3</v>
      </c>
      <c r="O385" s="5" t="str">
        <f ca="1">IFERROR(__xludf.DUMMYFUNCTION("""COMPUTED_VALUE"""),"Winter")</f>
        <v>Winter</v>
      </c>
      <c r="P385" s="5" t="str">
        <f ca="1">IFERROR(__xludf.DUMMYFUNCTION("""COMPUTED_VALUE"""),"Portsmouth")</f>
        <v>Portsmouth</v>
      </c>
      <c r="Q385" s="5" t="str">
        <f ca="1">IFERROR(__xludf.DUMMYFUNCTION("""COMPUTED_VALUE"""),"VA")</f>
        <v>VA</v>
      </c>
      <c r="R385" s="5" t="str">
        <f ca="1">IFERROR(__xludf.DUMMYFUNCTION("""COMPUTED_VALUE"""),"High")</f>
        <v>High</v>
      </c>
      <c r="S385" s="5" t="str">
        <f ca="1">IFERROR(__xludf.DUMMYFUNCTION("""COMPUTED_VALUE"""),"Parking Lot")</f>
        <v>Parking Lot</v>
      </c>
      <c r="T385" s="5" t="str">
        <f ca="1">IFERROR(__xludf.DUMMYFUNCTION("""COMPUTED_VALUE"""),"Outside on School Property")</f>
        <v>Outside on School Property</v>
      </c>
      <c r="U385" s="5" t="str">
        <f ca="1">IFERROR(__xludf.DUMMYFUNCTION("""COMPUTED_VALUE"""),"Yes")</f>
        <v>Yes</v>
      </c>
      <c r="V385" s="5" t="str">
        <f ca="1">IFERROR(__xludf.DUMMYFUNCTION("""COMPUTED_VALUE"""),"Dismissal")</f>
        <v>Dismissal</v>
      </c>
      <c r="W385" s="10">
        <f ca="1">IFERROR(__xludf.DUMMYFUNCTION("""COMPUTED_VALUE"""),0.625)</f>
        <v>0.625</v>
      </c>
      <c r="X385" s="5">
        <f ca="1">IFERROR(__xludf.DUMMYFUNCTION("""COMPUTED_VALUE"""),1)</f>
        <v>1</v>
      </c>
      <c r="Y385" s="5" t="str">
        <f ca="1">IFERROR(__xludf.DUMMYFUNCTION("""COMPUTED_VALUE"""),"Student fatally shot behind school after dismissal")</f>
        <v>Student fatally shot behind school after dismissal</v>
      </c>
      <c r="Z385" s="5" t="str">
        <f ca="1">IFERROR(__xludf.DUMMYFUNCTION("""COMPUTED_VALUE"""),"A student was fatally shot near the school bus parking lot behind the school at 3:00pm after dismissal. Three teens were arrested (19, 18, and juvenile).")</f>
        <v>A student was fatally shot near the school bus parking lot behind the school at 3:00pm after dismissal. Three teens were arrested (19, 18, and juvenile).</v>
      </c>
      <c r="AA385" s="5"/>
      <c r="AB385" s="5" t="str">
        <f ca="1">IFERROR(__xludf.DUMMYFUNCTION("""COMPUTED_VALUE"""),"Victims Targeted")</f>
        <v>Victims Targeted</v>
      </c>
      <c r="AC385" s="5" t="str">
        <f ca="1">IFERROR(__xludf.DUMMYFUNCTION("""COMPUTED_VALUE"""),"Yes")</f>
        <v>Yes</v>
      </c>
      <c r="AD385" s="5" t="str">
        <f ca="1">IFERROR(__xludf.DUMMYFUNCTION("""COMPUTED_VALUE"""),"No")</f>
        <v>No</v>
      </c>
      <c r="AE385" s="5" t="str">
        <f ca="1">IFERROR(__xludf.DUMMYFUNCTION("""COMPUTED_VALUE"""),"No")</f>
        <v>No</v>
      </c>
      <c r="AF385" s="5" t="str">
        <f ca="1">IFERROR(__xludf.DUMMYFUNCTION("""COMPUTED_VALUE"""),"No")</f>
        <v>No</v>
      </c>
      <c r="AG385" s="5" t="str">
        <f ca="1">IFERROR(__xludf.DUMMYFUNCTION("""COMPUTED_VALUE"""),"No")</f>
        <v>No</v>
      </c>
      <c r="AH385" s="5" t="str">
        <f ca="1">IFERROR(__xludf.DUMMYFUNCTION("""COMPUTED_VALUE"""),"No")</f>
        <v>No</v>
      </c>
      <c r="AI385" s="5"/>
      <c r="AJ385" s="5" t="str">
        <f ca="1">IFERROR(__xludf.DUMMYFUNCTION("""COMPUTED_VALUE"""),"No")</f>
        <v>No</v>
      </c>
    </row>
    <row r="386" spans="1:36" ht="13">
      <c r="A386" s="5" t="str">
        <f ca="1">IFERROR(__xludf.DUMMYFUNCTION("""COMPUTED_VALUE"""),"20220119PAPIP")</f>
        <v>20220119PAPIP</v>
      </c>
      <c r="B386" s="5">
        <f ca="1">IFERROR(__xludf.DUMMYFUNCTION("""COMPUTED_VALUE"""),1)</f>
        <v>1</v>
      </c>
      <c r="C386" s="5">
        <f ca="1">IFERROR(__xludf.DUMMYFUNCTION("""COMPUTED_VALUE"""),19)</f>
        <v>19</v>
      </c>
      <c r="D386" s="5">
        <f ca="1">IFERROR(__xludf.DUMMYFUNCTION("""COMPUTED_VALUE"""),2022)</f>
        <v>2022</v>
      </c>
      <c r="E386" s="8">
        <f ca="1">IFERROR(__xludf.DUMMYFUNCTION("""COMPUTED_VALUE"""),44580)</f>
        <v>44580</v>
      </c>
      <c r="F386" s="5" t="str">
        <f ca="1">IFERROR(__xludf.DUMMYFUNCTION("""COMPUTED_VALUE"""),"Pittsburgh Oliver Citywide Academy")</f>
        <v>Pittsburgh Oliver Citywide Academy</v>
      </c>
      <c r="G386" s="5">
        <f ca="1">IFERROR(__xludf.DUMMYFUNCTION("""COMPUTED_VALUE"""),1)</f>
        <v>1</v>
      </c>
      <c r="H386" s="5">
        <f ca="1">IFERROR(__xludf.DUMMYFUNCTION("""COMPUTED_VALUE"""),0)</f>
        <v>0</v>
      </c>
      <c r="I386" s="5">
        <f ca="1">IFERROR(__xludf.DUMMYFUNCTION("""COMPUTED_VALUE"""),1)</f>
        <v>1</v>
      </c>
      <c r="J386" s="5">
        <f ca="1">IFERROR(__xludf.DUMMYFUNCTION("""COMPUTED_VALUE"""),0)</f>
        <v>0</v>
      </c>
      <c r="K386" s="5" t="str">
        <f ca="1">IFERROR(__xludf.DUMMYFUNCTION("""COMPUTED_VALUE"""),"https://www.post-gazette.com/opinion/tony-norman/2022/01/20/Marquis-Campbell-Oliver-Citywide-Academy-shooting-nameless-killers-community-response/stories/202201210006 https://www.wpxi.com/news/local/massive-police-presence-after-shooting-outside-oliver-ci"&amp;"tywide-academy/TD4KVWG6UVF7HNBULBJND47VLE/ https://pittsburgh.cbslocal.com/2022/01/20/student-killed-shooting-oliver-citywide-academy/ https://www.wtae.com/article/pittsburgh-shooting-outside-oliver-citywide-academy/38818955#")</f>
        <v>https://www.post-gazette.com/opinion/tony-norman/2022/01/20/Marquis-Campbell-Oliver-Citywide-Academy-shooting-nameless-killers-community-response/stories/202201210006 https://www.wpxi.com/news/local/massive-police-presence-after-shooting-outside-oliver-citywide-academy/TD4KVWG6UVF7HNBULBJND47VLE/ https://pittsburgh.cbslocal.com/2022/01/20/student-killed-shooting-oliver-citywide-academy/ https://www.wtae.com/article/pittsburgh-shooting-outside-oliver-citywide-academy/38818955#</v>
      </c>
      <c r="L386" s="5">
        <f ca="1">IFERROR(__xludf.DUMMYFUNCTION("""COMPUTED_VALUE"""),10)</f>
        <v>10</v>
      </c>
      <c r="M386" s="5" t="str">
        <f ca="1">IFERROR(__xludf.DUMMYFUNCTION("""COMPUTED_VALUE"""),"Regional")</f>
        <v>Regional</v>
      </c>
      <c r="N386" s="5">
        <f ca="1">IFERROR(__xludf.DUMMYFUNCTION("""COMPUTED_VALUE"""),4)</f>
        <v>4</v>
      </c>
      <c r="O386" s="5" t="str">
        <f ca="1">IFERROR(__xludf.DUMMYFUNCTION("""COMPUTED_VALUE"""),"Winter")</f>
        <v>Winter</v>
      </c>
      <c r="P386" s="5" t="str">
        <f ca="1">IFERROR(__xludf.DUMMYFUNCTION("""COMPUTED_VALUE"""),"Pittsburgh")</f>
        <v>Pittsburgh</v>
      </c>
      <c r="Q386" s="5" t="str">
        <f ca="1">IFERROR(__xludf.DUMMYFUNCTION("""COMPUTED_VALUE"""),"PA")</f>
        <v>PA</v>
      </c>
      <c r="R386" s="5" t="str">
        <f ca="1">IFERROR(__xludf.DUMMYFUNCTION("""COMPUTED_VALUE"""),"K-12")</f>
        <v>K-12</v>
      </c>
      <c r="S386" s="5" t="str">
        <f ca="1">IFERROR(__xludf.DUMMYFUNCTION("""COMPUTED_VALUE"""),"Front of School")</f>
        <v>Front of School</v>
      </c>
      <c r="T386" s="5" t="str">
        <f ca="1">IFERROR(__xludf.DUMMYFUNCTION("""COMPUTED_VALUE"""),"Outside on School Property")</f>
        <v>Outside on School Property</v>
      </c>
      <c r="U386" s="5" t="str">
        <f ca="1">IFERROR(__xludf.DUMMYFUNCTION("""COMPUTED_VALUE"""),"Yes")</f>
        <v>Yes</v>
      </c>
      <c r="V386" s="5" t="str">
        <f ca="1">IFERROR(__xludf.DUMMYFUNCTION("""COMPUTED_VALUE"""),"Dismissal")</f>
        <v>Dismissal</v>
      </c>
      <c r="W386" s="10">
        <f ca="1">IFERROR(__xludf.DUMMYFUNCTION("""COMPUTED_VALUE"""),0.583333333333333)</f>
        <v>0.58333333333333304</v>
      </c>
      <c r="X386" s="5">
        <f ca="1">IFERROR(__xludf.DUMMYFUNCTION("""COMPUTED_VALUE"""),1)</f>
        <v>1</v>
      </c>
      <c r="Y386" s="5" t="str">
        <f ca="1">IFERROR(__xludf.DUMMYFUNCTION("""COMPUTED_VALUE"""),"Special education student sitting in school van at dismissal shot by 2 gunmen")</f>
        <v>Special education student sitting in school van at dismissal shot by 2 gunmen</v>
      </c>
      <c r="Z386" s="5" t="str">
        <f ca="1">IFERROR(__xludf.DUMMYFUNCTION("""COMPUTED_VALUE"""),"A 15-year-old special education student was sitting inside a school van at dismissal when he was fatally shot by 2 gunmen. Shooters fled. Students dismissing went back into school and locked down for 2 hours. No suspects identified. Police describe shooti"&amp;"ng at ""senseless"".")</f>
        <v>A 15-year-old special education student was sitting inside a school van at dismissal when he was fatally shot by 2 gunmen. Shooters fled. Students dismissing went back into school and locked down for 2 hours. No suspects identified. Police describe shooting at "senseless".</v>
      </c>
      <c r="AA386" s="5"/>
      <c r="AB386" s="5" t="str">
        <f ca="1">IFERROR(__xludf.DUMMYFUNCTION("""COMPUTED_VALUE"""),"Victims Targeted")</f>
        <v>Victims Targeted</v>
      </c>
      <c r="AC386" s="5" t="str">
        <f ca="1">IFERROR(__xludf.DUMMYFUNCTION("""COMPUTED_VALUE"""),"Yes")</f>
        <v>Yes</v>
      </c>
      <c r="AD386" s="5" t="str">
        <f ca="1">IFERROR(__xludf.DUMMYFUNCTION("""COMPUTED_VALUE"""),"No")</f>
        <v>No</v>
      </c>
      <c r="AE386" s="5" t="str">
        <f ca="1">IFERROR(__xludf.DUMMYFUNCTION("""COMPUTED_VALUE"""),"No")</f>
        <v>No</v>
      </c>
      <c r="AF386" s="5" t="str">
        <f ca="1">IFERROR(__xludf.DUMMYFUNCTION("""COMPUTED_VALUE"""),"No")</f>
        <v>No</v>
      </c>
      <c r="AG386" s="5" t="str">
        <f ca="1">IFERROR(__xludf.DUMMYFUNCTION("""COMPUTED_VALUE"""),"No")</f>
        <v>No</v>
      </c>
      <c r="AH386" s="5" t="str">
        <f ca="1">IFERROR(__xludf.DUMMYFUNCTION("""COMPUTED_VALUE"""),"No")</f>
        <v>No</v>
      </c>
      <c r="AI386" s="5"/>
      <c r="AJ386" s="5" t="str">
        <f ca="1">IFERROR(__xludf.DUMMYFUNCTION("""COMPUTED_VALUE"""),"No")</f>
        <v>No</v>
      </c>
    </row>
    <row r="387" spans="1:36" ht="13">
      <c r="A387" s="5" t="str">
        <f ca="1">IFERROR(__xludf.DUMMYFUNCTION("""COMPUTED_VALUE"""),"20220119FLSES")</f>
        <v>20220119FLSES</v>
      </c>
      <c r="B387" s="5">
        <f ca="1">IFERROR(__xludf.DUMMYFUNCTION("""COMPUTED_VALUE"""),1)</f>
        <v>1</v>
      </c>
      <c r="C387" s="5">
        <f ca="1">IFERROR(__xludf.DUMMYFUNCTION("""COMPUTED_VALUE"""),19)</f>
        <v>19</v>
      </c>
      <c r="D387" s="5">
        <f ca="1">IFERROR(__xludf.DUMMYFUNCTION("""COMPUTED_VALUE"""),2022)</f>
        <v>2022</v>
      </c>
      <c r="E387" s="8">
        <f ca="1">IFERROR(__xludf.DUMMYFUNCTION("""COMPUTED_VALUE"""),44580)</f>
        <v>44580</v>
      </c>
      <c r="F387" s="5" t="str">
        <f ca="1">IFERROR(__xludf.DUMMYFUNCTION("""COMPUTED_VALUE"""),"Seminole High School")</f>
        <v>Seminole High School</v>
      </c>
      <c r="G387" s="5">
        <f ca="1">IFERROR(__xludf.DUMMYFUNCTION("""COMPUTED_VALUE"""),0)</f>
        <v>0</v>
      </c>
      <c r="H387" s="5">
        <f ca="1">IFERROR(__xludf.DUMMYFUNCTION("""COMPUTED_VALUE"""),1)</f>
        <v>1</v>
      </c>
      <c r="I387" s="5">
        <f ca="1">IFERROR(__xludf.DUMMYFUNCTION("""COMPUTED_VALUE"""),1)</f>
        <v>1</v>
      </c>
      <c r="J387" s="5">
        <f ca="1">IFERROR(__xludf.DUMMYFUNCTION("""COMPUTED_VALUE"""),0)</f>
        <v>0</v>
      </c>
      <c r="K387" s="5" t="str">
        <f ca="1">IFERROR(__xludf.DUMMYFUNCTION("""COMPUTED_VALUE"""),"https://www.clickorlando.com/news/local/2022/01/19/student-shot-3-times-at-seminole-high-school-doing-ok-family-says/?utm_source=facebook&amp;utm_medium=social&amp;utm_campaign=snd&amp;utm_content=wkmg6 https://www.wesh.com/article/seminole-high-school-lockdown/38817"&amp;"822#")</f>
        <v>https://www.clickorlando.com/news/local/2022/01/19/student-shot-3-times-at-seminole-high-school-doing-ok-family-says/?utm_source=facebook&amp;utm_medium=social&amp;utm_campaign=snd&amp;utm_content=wkmg6 https://www.wesh.com/article/seminole-high-school-lockdown/38817822#</v>
      </c>
      <c r="L387" s="5">
        <f ca="1">IFERROR(__xludf.DUMMYFUNCTION("""COMPUTED_VALUE"""),10)</f>
        <v>10</v>
      </c>
      <c r="M387" s="5" t="str">
        <f ca="1">IFERROR(__xludf.DUMMYFUNCTION("""COMPUTED_VALUE"""),"Regional")</f>
        <v>Regional</v>
      </c>
      <c r="N387" s="5">
        <f ca="1">IFERROR(__xludf.DUMMYFUNCTION("""COMPUTED_VALUE"""),4)</f>
        <v>4</v>
      </c>
      <c r="O387" s="5" t="str">
        <f ca="1">IFERROR(__xludf.DUMMYFUNCTION("""COMPUTED_VALUE"""),"Winter")</f>
        <v>Winter</v>
      </c>
      <c r="P387" s="5" t="str">
        <f ca="1">IFERROR(__xludf.DUMMYFUNCTION("""COMPUTED_VALUE"""),"Sanford")</f>
        <v>Sanford</v>
      </c>
      <c r="Q387" s="5" t="str">
        <f ca="1">IFERROR(__xludf.DUMMYFUNCTION("""COMPUTED_VALUE"""),"FL")</f>
        <v>FL</v>
      </c>
      <c r="R387" s="5" t="str">
        <f ca="1">IFERROR(__xludf.DUMMYFUNCTION("""COMPUTED_VALUE"""),"High")</f>
        <v>High</v>
      </c>
      <c r="S387" s="5" t="str">
        <f ca="1">IFERROR(__xludf.DUMMYFUNCTION("""COMPUTED_VALUE"""),"Bathroom")</f>
        <v>Bathroom</v>
      </c>
      <c r="T387" s="5" t="str">
        <f ca="1">IFERROR(__xludf.DUMMYFUNCTION("""COMPUTED_VALUE"""),"Inside School Building")</f>
        <v>Inside School Building</v>
      </c>
      <c r="U387" s="5" t="str">
        <f ca="1">IFERROR(__xludf.DUMMYFUNCTION("""COMPUTED_VALUE"""),"Yes")</f>
        <v>Yes</v>
      </c>
      <c r="V387" s="5" t="str">
        <f ca="1">IFERROR(__xludf.DUMMYFUNCTION("""COMPUTED_VALUE"""),"Lunch")</f>
        <v>Lunch</v>
      </c>
      <c r="W387" s="10">
        <f ca="1">IFERROR(__xludf.DUMMYFUNCTION("""COMPUTED_VALUE"""),0.997916666666666)</f>
        <v>0.99791666666666601</v>
      </c>
      <c r="X387" s="5">
        <f ca="1">IFERROR(__xludf.DUMMYFUNCTION("""COMPUTED_VALUE"""),1)</f>
        <v>1</v>
      </c>
      <c r="Y387" s="5" t="str">
        <f ca="1">IFERROR(__xludf.DUMMYFUNCTION("""COMPUTED_VALUE"""),"Student shot 3 times inside school, shooter fled")</f>
        <v>Student shot 3 times inside school, shooter fled</v>
      </c>
      <c r="Z387" s="5" t="str">
        <f ca="1">IFERROR(__xludf.DUMMYFUNCTION("""COMPUTED_VALUE"""),"A 17-year-old male student was shot 3 times (once in each leg, and once in arm) while inside the school. 16-year-old male shooter fled. School went on lockdown. Two SROs responded. One provided aid to victim and other related information about suspect to "&amp;"responding officers. Police arrested the shooter away from the school. School remained on lockdown for 3.5 hours until students were released to parents. Shooting was recorded on CCTV. Police chief stated that shooting was isolated incident due to dispute"&amp;" between shooter and victim over a female student. 4 full time SROs are assigned to the school.")</f>
        <v>A 17-year-old male student was shot 3 times (once in each leg, and once in arm) while inside the school. 16-year-old male shooter fled. School went on lockdown. Two SROs responded. One provided aid to victim and other related information about suspect to responding officers. Police arrested the shooter away from the school. School remained on lockdown for 3.5 hours until students were released to parents. Shooting was recorded on CCTV. Police chief stated that shooting was isolated incident due to dispute between shooter and victim over a female student. 4 full time SROs are assigned to the school.</v>
      </c>
      <c r="AA387" s="5" t="str">
        <f ca="1">IFERROR(__xludf.DUMMYFUNCTION("""COMPUTED_VALUE"""),"Domestic w/ Targeted Victim")</f>
        <v>Domestic w/ Targeted Victim</v>
      </c>
      <c r="AB387" s="5" t="str">
        <f ca="1">IFERROR(__xludf.DUMMYFUNCTION("""COMPUTED_VALUE"""),"Victims Targeted")</f>
        <v>Victims Targeted</v>
      </c>
      <c r="AC387" s="5" t="str">
        <f ca="1">IFERROR(__xludf.DUMMYFUNCTION("""COMPUTED_VALUE"""),"No")</f>
        <v>No</v>
      </c>
      <c r="AD387" s="5" t="str">
        <f ca="1">IFERROR(__xludf.DUMMYFUNCTION("""COMPUTED_VALUE"""),"No")</f>
        <v>No</v>
      </c>
      <c r="AE387" s="5" t="str">
        <f ca="1">IFERROR(__xludf.DUMMYFUNCTION("""COMPUTED_VALUE"""),"No")</f>
        <v>No</v>
      </c>
      <c r="AF387" s="5" t="str">
        <f ca="1">IFERROR(__xludf.DUMMYFUNCTION("""COMPUTED_VALUE"""),"No")</f>
        <v>No</v>
      </c>
      <c r="AG387" s="5" t="str">
        <f ca="1">IFERROR(__xludf.DUMMYFUNCTION("""COMPUTED_VALUE"""),"No")</f>
        <v>No</v>
      </c>
      <c r="AH387" s="5" t="str">
        <f ca="1">IFERROR(__xludf.DUMMYFUNCTION("""COMPUTED_VALUE"""),"Yes")</f>
        <v>Yes</v>
      </c>
      <c r="AI387" s="5" t="str">
        <f ca="1">IFERROR(__xludf.DUMMYFUNCTION("""COMPUTED_VALUE"""),"No")</f>
        <v>No</v>
      </c>
      <c r="AJ387" s="5" t="str">
        <f ca="1">IFERROR(__xludf.DUMMYFUNCTION("""COMPUTED_VALUE"""),"No")</f>
        <v>No</v>
      </c>
    </row>
    <row r="388" spans="1:36" ht="13">
      <c r="A388" s="5" t="str">
        <f ca="1">IFERROR(__xludf.DUMMYFUNCTION("""COMPUTED_VALUE"""),"20220117TXPYH")</f>
        <v>20220117TXPYH</v>
      </c>
      <c r="B388" s="5">
        <f ca="1">IFERROR(__xludf.DUMMYFUNCTION("""COMPUTED_VALUE"""),1)</f>
        <v>1</v>
      </c>
      <c r="C388" s="5">
        <f ca="1">IFERROR(__xludf.DUMMYFUNCTION("""COMPUTED_VALUE"""),17)</f>
        <v>17</v>
      </c>
      <c r="D388" s="5">
        <f ca="1">IFERROR(__xludf.DUMMYFUNCTION("""COMPUTED_VALUE"""),2022)</f>
        <v>2022</v>
      </c>
      <c r="E388" s="8">
        <f ca="1">IFERROR(__xludf.DUMMYFUNCTION("""COMPUTED_VALUE"""),44578)</f>
        <v>44578</v>
      </c>
      <c r="F388" s="5" t="str">
        <f ca="1">IFERROR(__xludf.DUMMYFUNCTION("""COMPUTED_VALUE"""),"Pyburn Elementary School")</f>
        <v>Pyburn Elementary School</v>
      </c>
      <c r="G388" s="5">
        <f ca="1">IFERROR(__xludf.DUMMYFUNCTION("""COMPUTED_VALUE"""),2)</f>
        <v>2</v>
      </c>
      <c r="H388" s="5">
        <f ca="1">IFERROR(__xludf.DUMMYFUNCTION("""COMPUTED_VALUE"""),0)</f>
        <v>0</v>
      </c>
      <c r="I388" s="5">
        <f ca="1">IFERROR(__xludf.DUMMYFUNCTION("""COMPUTED_VALUE"""),2)</f>
        <v>2</v>
      </c>
      <c r="J388" s="5">
        <f ca="1">IFERROR(__xludf.DUMMYFUNCTION("""COMPUTED_VALUE"""),0)</f>
        <v>0</v>
      </c>
      <c r="K388" s="9" t="str">
        <f ca="1">IFERROR(__xludf.DUMMYFUNCTION("""COMPUTED_VALUE"""),"https://www.khou.com/article/news/crime/deadly-shooting-pyburn-elementary-peppertree-lane-houston/285-c7d1292b-a102-4d22-953f-69636db73539")</f>
        <v>https://www.khou.com/article/news/crime/deadly-shooting-pyburn-elementary-peppertree-lane-houston/285-c7d1292b-a102-4d22-953f-69636db73539</v>
      </c>
      <c r="L388" s="5">
        <f ca="1">IFERROR(__xludf.DUMMYFUNCTION("""COMPUTED_VALUE"""),1)</f>
        <v>1</v>
      </c>
      <c r="M388" s="5" t="str">
        <f ca="1">IFERROR(__xludf.DUMMYFUNCTION("""COMPUTED_VALUE"""),"Local")</f>
        <v>Local</v>
      </c>
      <c r="N388" s="5">
        <f ca="1">IFERROR(__xludf.DUMMYFUNCTION("""COMPUTED_VALUE"""),4)</f>
        <v>4</v>
      </c>
      <c r="O388" s="5" t="str">
        <f ca="1">IFERROR(__xludf.DUMMYFUNCTION("""COMPUTED_VALUE"""),"Winter")</f>
        <v>Winter</v>
      </c>
      <c r="P388" s="5" t="str">
        <f ca="1">IFERROR(__xludf.DUMMYFUNCTION("""COMPUTED_VALUE"""),"Houston")</f>
        <v>Houston</v>
      </c>
      <c r="Q388" s="5" t="str">
        <f ca="1">IFERROR(__xludf.DUMMYFUNCTION("""COMPUTED_VALUE"""),"TX")</f>
        <v>TX</v>
      </c>
      <c r="R388" s="5" t="str">
        <f ca="1">IFERROR(__xludf.DUMMYFUNCTION("""COMPUTED_VALUE"""),"Elementary")</f>
        <v>Elementary</v>
      </c>
      <c r="S388" s="5" t="str">
        <f ca="1">IFERROR(__xludf.DUMMYFUNCTION("""COMPUTED_VALUE"""),"Parking Lot")</f>
        <v>Parking Lot</v>
      </c>
      <c r="T388" s="5" t="str">
        <f ca="1">IFERROR(__xludf.DUMMYFUNCTION("""COMPUTED_VALUE"""),"Outside on School Property")</f>
        <v>Outside on School Property</v>
      </c>
      <c r="U388" s="5" t="str">
        <f ca="1">IFERROR(__xludf.DUMMYFUNCTION("""COMPUTED_VALUE"""),"No")</f>
        <v>No</v>
      </c>
      <c r="V388" s="5" t="str">
        <f ca="1">IFERROR(__xludf.DUMMYFUNCTION("""COMPUTED_VALUE"""),"Night")</f>
        <v>Night</v>
      </c>
      <c r="W388" s="10">
        <f ca="1">IFERROR(__xludf.DUMMYFUNCTION("""COMPUTED_VALUE"""),0.472222222222222)</f>
        <v>0.47222222222222199</v>
      </c>
      <c r="X388" s="5">
        <f ca="1">IFERROR(__xludf.DUMMYFUNCTION("""COMPUTED_VALUE"""),1)</f>
        <v>1</v>
      </c>
      <c r="Y388" s="5" t="str">
        <f ca="1">IFERROR(__xludf.DUMMYFUNCTION("""COMPUTED_VALUE"""),"Man and woman fatally shot during robbery")</f>
        <v>Man and woman fatally shot during robbery</v>
      </c>
      <c r="Z388" s="5" t="str">
        <f ca="1">IFERROR(__xludf.DUMMYFUNCTION("""COMPUTED_VALUE"""),"Three men fired at a vehicle parking in the school parking lot during a robbery. An adult male driver and adult female passenger were fatally shot. The men dragged the woman's body from the vehicle, put her inside their car, and later dumped the body 4 mi"&amp;"les away. Police believe the woman helped setup the robbery and was an unintended victim. Shooting was recorded on CCTV.")</f>
        <v>Three men fired at a vehicle parking in the school parking lot during a robbery. An adult male driver and adult female passenger were fatally shot. The men dragged the woman's body from the vehicle, put her inside their car, and later dumped the body 4 miles away. Police believe the woman helped setup the robbery and was an unintended victim. Shooting was recorded on CCTV.</v>
      </c>
      <c r="AA388" s="5" t="str">
        <f ca="1">IFERROR(__xludf.DUMMYFUNCTION("""COMPUTED_VALUE"""),"Illegal Activity")</f>
        <v>Illegal Activity</v>
      </c>
      <c r="AB388" s="5" t="str">
        <f ca="1">IFERROR(__xludf.DUMMYFUNCTION("""COMPUTED_VALUE"""),"Victims Targeted")</f>
        <v>Victims Targeted</v>
      </c>
      <c r="AC388" s="5" t="str">
        <f ca="1">IFERROR(__xludf.DUMMYFUNCTION("""COMPUTED_VALUE"""),"Yes")</f>
        <v>Yes</v>
      </c>
      <c r="AD388" s="5" t="str">
        <f ca="1">IFERROR(__xludf.DUMMYFUNCTION("""COMPUTED_VALUE"""),"No")</f>
        <v>No</v>
      </c>
      <c r="AE388" s="5" t="str">
        <f ca="1">IFERROR(__xludf.DUMMYFUNCTION("""COMPUTED_VALUE"""),"No")</f>
        <v>No</v>
      </c>
      <c r="AF388" s="5" t="str">
        <f ca="1">IFERROR(__xludf.DUMMYFUNCTION("""COMPUTED_VALUE"""),"No")</f>
        <v>No</v>
      </c>
      <c r="AG388" s="5" t="str">
        <f ca="1">IFERROR(__xludf.DUMMYFUNCTION("""COMPUTED_VALUE"""),"No")</f>
        <v>No</v>
      </c>
      <c r="AH388" s="5" t="str">
        <f ca="1">IFERROR(__xludf.DUMMYFUNCTION("""COMPUTED_VALUE"""),"No")</f>
        <v>No</v>
      </c>
      <c r="AI388" s="5" t="str">
        <f ca="1">IFERROR(__xludf.DUMMYFUNCTION("""COMPUTED_VALUE"""),"No")</f>
        <v>No</v>
      </c>
      <c r="AJ388" s="5" t="str">
        <f ca="1">IFERROR(__xludf.DUMMYFUNCTION("""COMPUTED_VALUE"""),"No")</f>
        <v>No</v>
      </c>
    </row>
    <row r="389" spans="1:36" ht="13">
      <c r="A389" s="5" t="str">
        <f ca="1">IFERROR(__xludf.DUMMYFUNCTION("""COMPUTED_VALUE"""),"20220114MDGAG")</f>
        <v>20220114MDGAG</v>
      </c>
      <c r="B389" s="5">
        <f ca="1">IFERROR(__xludf.DUMMYFUNCTION("""COMPUTED_VALUE"""),1)</f>
        <v>1</v>
      </c>
      <c r="C389" s="5">
        <f ca="1">IFERROR(__xludf.DUMMYFUNCTION("""COMPUTED_VALUE"""),14)</f>
        <v>14</v>
      </c>
      <c r="D389" s="5">
        <f ca="1">IFERROR(__xludf.DUMMYFUNCTION("""COMPUTED_VALUE"""),2022)</f>
        <v>2022</v>
      </c>
      <c r="E389" s="8">
        <f ca="1">IFERROR(__xludf.DUMMYFUNCTION("""COMPUTED_VALUE"""),44575)</f>
        <v>44575</v>
      </c>
      <c r="F389" s="5" t="str">
        <f ca="1">IFERROR(__xludf.DUMMYFUNCTION("""COMPUTED_VALUE"""),"Gaithersburg High School")</f>
        <v>Gaithersburg High School</v>
      </c>
      <c r="G389" s="5">
        <f ca="1">IFERROR(__xludf.DUMMYFUNCTION("""COMPUTED_VALUE"""),0)</f>
        <v>0</v>
      </c>
      <c r="H389" s="5">
        <f ca="1">IFERROR(__xludf.DUMMYFUNCTION("""COMPUTED_VALUE"""),0)</f>
        <v>0</v>
      </c>
      <c r="I389" s="5">
        <f ca="1">IFERROR(__xludf.DUMMYFUNCTION("""COMPUTED_VALUE"""),0)</f>
        <v>0</v>
      </c>
      <c r="J389" s="5">
        <f ca="1">IFERROR(__xludf.DUMMYFUNCTION("""COMPUTED_VALUE"""),0)</f>
        <v>0</v>
      </c>
      <c r="K389" s="9" t="str">
        <f ca="1">IFERROR(__xludf.DUMMYFUNCTION("""COMPUTED_VALUE"""),"https://www.fox5dc.com/news/man-found-with-gun-at-gaithersburg-high-school-is-second-incident-in-montgomery-county-this-month")</f>
        <v>https://www.fox5dc.com/news/man-found-with-gun-at-gaithersburg-high-school-is-second-incident-in-montgomery-county-this-month</v>
      </c>
      <c r="L389" s="5"/>
      <c r="M389" s="5" t="str">
        <f ca="1">IFERROR(__xludf.DUMMYFUNCTION("""COMPUTED_VALUE"""),"Local")</f>
        <v>Local</v>
      </c>
      <c r="N389" s="5">
        <f ca="1">IFERROR(__xludf.DUMMYFUNCTION("""COMPUTED_VALUE"""),4)</f>
        <v>4</v>
      </c>
      <c r="O389" s="5" t="str">
        <f ca="1">IFERROR(__xludf.DUMMYFUNCTION("""COMPUTED_VALUE"""),"Winter")</f>
        <v>Winter</v>
      </c>
      <c r="P389" s="5" t="str">
        <f ca="1">IFERROR(__xludf.DUMMYFUNCTION("""COMPUTED_VALUE"""),"Gaithersburg")</f>
        <v>Gaithersburg</v>
      </c>
      <c r="Q389" s="5" t="str">
        <f ca="1">IFERROR(__xludf.DUMMYFUNCTION("""COMPUTED_VALUE"""),"MD")</f>
        <v>MD</v>
      </c>
      <c r="R389" s="5" t="str">
        <f ca="1">IFERROR(__xludf.DUMMYFUNCTION("""COMPUTED_VALUE"""),"High")</f>
        <v>High</v>
      </c>
      <c r="S389" s="5" t="str">
        <f ca="1">IFERROR(__xludf.DUMMYFUNCTION("""COMPUTED_VALUE"""),"Parking Lot")</f>
        <v>Parking Lot</v>
      </c>
      <c r="T389" s="5" t="str">
        <f ca="1">IFERROR(__xludf.DUMMYFUNCTION("""COMPUTED_VALUE"""),"Outside on School Property")</f>
        <v>Outside on School Property</v>
      </c>
      <c r="U389" s="5" t="str">
        <f ca="1">IFERROR(__xludf.DUMMYFUNCTION("""COMPUTED_VALUE"""),"Yes")</f>
        <v>Yes</v>
      </c>
      <c r="V389" s="5" t="str">
        <f ca="1">IFERROR(__xludf.DUMMYFUNCTION("""COMPUTED_VALUE"""),"School Start")</f>
        <v>School Start</v>
      </c>
      <c r="W389" s="10">
        <f ca="1">IFERROR(__xludf.DUMMYFUNCTION("""COMPUTED_VALUE"""),0.284722222222222)</f>
        <v>0.28472222222222199</v>
      </c>
      <c r="X389" s="5">
        <f ca="1">IFERROR(__xludf.DUMMYFUNCTION("""COMPUTED_VALUE"""),1)</f>
        <v>1</v>
      </c>
      <c r="Y389" s="5" t="str">
        <f ca="1">IFERROR(__xludf.DUMMYFUNCTION("""COMPUTED_VALUE"""),"Man arrested with loaded AR-15 outside of school")</f>
        <v>Man arrested with loaded AR-15 outside of school</v>
      </c>
      <c r="Z389" s="5" t="str">
        <f ca="1">IFERROR(__xludf.DUMMYFUNCTION("""COMPUTED_VALUE"""),"Before school opened, security guard on patrol noticed a vehicle with out of state license plates idling in the school parking lot. When he approached the vehicle, the drive sped across the lot, turn down a dead end, and crash down the steps to the footba"&amp;"ll stadium. The driver got out of the vehicle with a loaded AR-15 rifle in a neck sling. Guard called police and police arrested the man without shots fired. Man claimed the weapon was for protection and he was waiting at the school to sell it to someone."&amp;" Rifle was an unregistered ghost gun. Charged with multiple felonies.")</f>
        <v>Before school opened, security guard on patrol noticed a vehicle with out of state license plates idling in the school parking lot. When he approached the vehicle, the drive sped across the lot, turn down a dead end, and crash down the steps to the football stadium. The driver got out of the vehicle with a loaded AR-15 rifle in a neck sling. Guard called police and police arrested the man without shots fired. Man claimed the weapon was for protection and he was waiting at the school to sell it to someone. Rifle was an unregistered ghost gun. Charged with multiple felonies.</v>
      </c>
      <c r="AA389" s="5" t="str">
        <f ca="1">IFERROR(__xludf.DUMMYFUNCTION("""COMPUTED_VALUE"""),"Illegal Activity")</f>
        <v>Illegal Activity</v>
      </c>
      <c r="AB389" s="5"/>
      <c r="AC389" s="5" t="str">
        <f ca="1">IFERROR(__xludf.DUMMYFUNCTION("""COMPUTED_VALUE"""),"No")</f>
        <v>No</v>
      </c>
      <c r="AD389" s="5" t="str">
        <f ca="1">IFERROR(__xludf.DUMMYFUNCTION("""COMPUTED_VALUE"""),"No")</f>
        <v>No</v>
      </c>
      <c r="AE389" s="5" t="str">
        <f ca="1">IFERROR(__xludf.DUMMYFUNCTION("""COMPUTED_VALUE"""),"No")</f>
        <v>No</v>
      </c>
      <c r="AF389" s="5" t="str">
        <f ca="1">IFERROR(__xludf.DUMMYFUNCTION("""COMPUTED_VALUE"""),"No")</f>
        <v>No</v>
      </c>
      <c r="AG389" s="5" t="str">
        <f ca="1">IFERROR(__xludf.DUMMYFUNCTION("""COMPUTED_VALUE"""),"No")</f>
        <v>No</v>
      </c>
      <c r="AH389" s="5" t="str">
        <f ca="1">IFERROR(__xludf.DUMMYFUNCTION("""COMPUTED_VALUE"""),"No")</f>
        <v>No</v>
      </c>
      <c r="AI389" s="5" t="str">
        <f ca="1">IFERROR(__xludf.DUMMYFUNCTION("""COMPUTED_VALUE"""),"No")</f>
        <v>No</v>
      </c>
      <c r="AJ389" s="5" t="str">
        <f ca="1">IFERROR(__xludf.DUMMYFUNCTION("""COMPUTED_VALUE"""),"No")</f>
        <v>No</v>
      </c>
    </row>
    <row r="390" spans="1:36" ht="13">
      <c r="A390" s="5" t="str">
        <f ca="1">IFERROR(__xludf.DUMMYFUNCTION("""COMPUTED_VALUE"""),"20220111NMVAA")</f>
        <v>20220111NMVAA</v>
      </c>
      <c r="B390" s="5">
        <f ca="1">IFERROR(__xludf.DUMMYFUNCTION("""COMPUTED_VALUE"""),1)</f>
        <v>1</v>
      </c>
      <c r="C390" s="5">
        <f ca="1">IFERROR(__xludf.DUMMYFUNCTION("""COMPUTED_VALUE"""),11)</f>
        <v>11</v>
      </c>
      <c r="D390" s="5">
        <f ca="1">IFERROR(__xludf.DUMMYFUNCTION("""COMPUTED_VALUE"""),2022)</f>
        <v>2022</v>
      </c>
      <c r="E390" s="8">
        <f ca="1">IFERROR(__xludf.DUMMYFUNCTION("""COMPUTED_VALUE"""),44572)</f>
        <v>44572</v>
      </c>
      <c r="F390" s="5" t="str">
        <f ca="1">IFERROR(__xludf.DUMMYFUNCTION("""COMPUTED_VALUE"""),"Valley High School")</f>
        <v>Valley High School</v>
      </c>
      <c r="G390" s="5">
        <f ca="1">IFERROR(__xludf.DUMMYFUNCTION("""COMPUTED_VALUE"""),0)</f>
        <v>0</v>
      </c>
      <c r="H390" s="5">
        <f ca="1">IFERROR(__xludf.DUMMYFUNCTION("""COMPUTED_VALUE"""),0)</f>
        <v>0</v>
      </c>
      <c r="I390" s="5">
        <f ca="1">IFERROR(__xludf.DUMMYFUNCTION("""COMPUTED_VALUE"""),0)</f>
        <v>0</v>
      </c>
      <c r="J390" s="5">
        <f ca="1">IFERROR(__xludf.DUMMYFUNCTION("""COMPUTED_VALUE"""),0)</f>
        <v>0</v>
      </c>
      <c r="K390" s="5" t="str">
        <f ca="1">IFERROR(__xludf.DUMMYFUNCTION("""COMPUTED_VALUE"""),"https://www.thesun.co.uk/news/17295714/possible-active-shooter-new-mexico-shots-fired/ https://kvia.com/news/new-mexico/ap-new-mexico/2022/01/11/police-shots-fired-outside-high-school-basketball-game/ https://www.kob.com/albuquerque-news/apd-shots-fired-o"&amp;"utside-valley-high-school-game-/6355752/ https://www.abqjournal.com/2460528/apd-shots-fired-outside-valley-high-basketball-game.html")</f>
        <v>https://www.thesun.co.uk/news/17295714/possible-active-shooter-new-mexico-shots-fired/ https://kvia.com/news/new-mexico/ap-new-mexico/2022/01/11/police-shots-fired-outside-high-school-basketball-game/ https://www.kob.com/albuquerque-news/apd-shots-fired-outside-valley-high-school-game-/6355752/ https://www.abqjournal.com/2460528/apd-shots-fired-outside-valley-high-basketball-game.html</v>
      </c>
      <c r="L390" s="5">
        <f ca="1">IFERROR(__xludf.DUMMYFUNCTION("""COMPUTED_VALUE"""),4)</f>
        <v>4</v>
      </c>
      <c r="M390" s="5" t="str">
        <f ca="1">IFERROR(__xludf.DUMMYFUNCTION("""COMPUTED_VALUE"""),"Local")</f>
        <v>Local</v>
      </c>
      <c r="N390" s="5">
        <f ca="1">IFERROR(__xludf.DUMMYFUNCTION("""COMPUTED_VALUE"""),4)</f>
        <v>4</v>
      </c>
      <c r="O390" s="5" t="str">
        <f ca="1">IFERROR(__xludf.DUMMYFUNCTION("""COMPUTED_VALUE"""),"Fall")</f>
        <v>Fall</v>
      </c>
      <c r="P390" s="5" t="str">
        <f ca="1">IFERROR(__xludf.DUMMYFUNCTION("""COMPUTED_VALUE"""),"Albuquerque")</f>
        <v>Albuquerque</v>
      </c>
      <c r="Q390" s="5" t="str">
        <f ca="1">IFERROR(__xludf.DUMMYFUNCTION("""COMPUTED_VALUE"""),"NM")</f>
        <v>NM</v>
      </c>
      <c r="R390" s="5" t="str">
        <f ca="1">IFERROR(__xludf.DUMMYFUNCTION("""COMPUTED_VALUE"""),"High")</f>
        <v>High</v>
      </c>
      <c r="S390" s="5" t="str">
        <f ca="1">IFERROR(__xludf.DUMMYFUNCTION("""COMPUTED_VALUE"""),"Parking Lot")</f>
        <v>Parking Lot</v>
      </c>
      <c r="T390" s="5" t="str">
        <f ca="1">IFERROR(__xludf.DUMMYFUNCTION("""COMPUTED_VALUE"""),"Outside on School Property")</f>
        <v>Outside on School Property</v>
      </c>
      <c r="U390" s="5" t="str">
        <f ca="1">IFERROR(__xludf.DUMMYFUNCTION("""COMPUTED_VALUE"""),"No")</f>
        <v>No</v>
      </c>
      <c r="V390" s="5" t="str">
        <f ca="1">IFERROR(__xludf.DUMMYFUNCTION("""COMPUTED_VALUE"""),"Sport Event")</f>
        <v>Sport Event</v>
      </c>
      <c r="W390" s="10">
        <f ca="1">IFERROR(__xludf.DUMMYFUNCTION("""COMPUTED_VALUE"""),0.819444444444444)</f>
        <v>0.81944444444444398</v>
      </c>
      <c r="X390" s="5">
        <f ca="1">IFERROR(__xludf.DUMMYFUNCTION("""COMPUTED_VALUE"""),1)</f>
        <v>1</v>
      </c>
      <c r="Y390" s="5" t="str">
        <f ca="1">IFERROR(__xludf.DUMMYFUNCTION("""COMPUTED_VALUE"""),"15 shots fired in parking lot during high school basketball game")</f>
        <v>15 shots fired in parking lot during high school basketball game</v>
      </c>
      <c r="Z390" s="5" t="str">
        <f ca="1">IFERROR(__xludf.DUMMYFUNCTION("""COMPUTED_VALUE"""),"15 shots were fired in the parking lot during a high school basketball game. School went on lockdown. Shooter fled. No injures.")</f>
        <v>15 shots were fired in the parking lot during a high school basketball game. School went on lockdown. Shooter fled. No injures.</v>
      </c>
      <c r="AA390" s="5"/>
      <c r="AB390" s="5"/>
      <c r="AC390" s="5" t="str">
        <f ca="1">IFERROR(__xludf.DUMMYFUNCTION("""COMPUTED_VALUE"""),"No")</f>
        <v>No</v>
      </c>
      <c r="AD390" s="5" t="str">
        <f ca="1">IFERROR(__xludf.DUMMYFUNCTION("""COMPUTED_VALUE"""),"No")</f>
        <v>No</v>
      </c>
      <c r="AE390" s="5" t="str">
        <f ca="1">IFERROR(__xludf.DUMMYFUNCTION("""COMPUTED_VALUE"""),"No")</f>
        <v>No</v>
      </c>
      <c r="AF390" s="5" t="str">
        <f ca="1">IFERROR(__xludf.DUMMYFUNCTION("""COMPUTED_VALUE"""),"No")</f>
        <v>No</v>
      </c>
      <c r="AG390" s="5" t="str">
        <f ca="1">IFERROR(__xludf.DUMMYFUNCTION("""COMPUTED_VALUE"""),"No")</f>
        <v>No</v>
      </c>
      <c r="AH390" s="5" t="str">
        <f ca="1">IFERROR(__xludf.DUMMYFUNCTION("""COMPUTED_VALUE"""),"No")</f>
        <v>No</v>
      </c>
      <c r="AI390" s="5"/>
      <c r="AJ390" s="5" t="str">
        <f ca="1">IFERROR(__xludf.DUMMYFUNCTION("""COMPUTED_VALUE"""),"No")</f>
        <v>No</v>
      </c>
    </row>
    <row r="391" spans="1:36" ht="13">
      <c r="A391" s="5" t="str">
        <f ca="1">IFERROR(__xludf.DUMMYFUNCTION("""COMPUTED_VALUE"""),"20220106CAFLS")</f>
        <v>20220106CAFLS</v>
      </c>
      <c r="B391" s="5">
        <f ca="1">IFERROR(__xludf.DUMMYFUNCTION("""COMPUTED_VALUE"""),1)</f>
        <v>1</v>
      </c>
      <c r="C391" s="5">
        <f ca="1">IFERROR(__xludf.DUMMYFUNCTION("""COMPUTED_VALUE"""),6)</f>
        <v>6</v>
      </c>
      <c r="D391" s="5">
        <f ca="1">IFERROR(__xludf.DUMMYFUNCTION("""COMPUTED_VALUE"""),2022)</f>
        <v>2022</v>
      </c>
      <c r="E391" s="8">
        <f ca="1">IFERROR(__xludf.DUMMYFUNCTION("""COMPUTED_VALUE"""),44567)</f>
        <v>44567</v>
      </c>
      <c r="F391" s="5" t="str">
        <f ca="1">IFERROR(__xludf.DUMMYFUNCTION("""COMPUTED_VALUE"""),"Florin High School")</f>
        <v>Florin High School</v>
      </c>
      <c r="G391" s="5">
        <f ca="1">IFERROR(__xludf.DUMMYFUNCTION("""COMPUTED_VALUE"""),0)</f>
        <v>0</v>
      </c>
      <c r="H391" s="5">
        <f ca="1">IFERROR(__xludf.DUMMYFUNCTION("""COMPUTED_VALUE"""),2)</f>
        <v>2</v>
      </c>
      <c r="I391" s="5">
        <f ca="1">IFERROR(__xludf.DUMMYFUNCTION("""COMPUTED_VALUE"""),2)</f>
        <v>2</v>
      </c>
      <c r="J391" s="5">
        <f ca="1">IFERROR(__xludf.DUMMYFUNCTION("""COMPUTED_VALUE"""),0)</f>
        <v>0</v>
      </c>
      <c r="K391" s="5" t="str">
        <f ca="1">IFERROR(__xludf.DUMMYFUNCTION("""COMPUTED_VALUE"""),"https://www.abc10.com/article/news/crime/two-minors-hurt-shooting-near-high-school-sacramento/103-8b5597fc-1395-40e3-8831-47663b8bab63 https://sacramento.cbslocal.com/2022/01/06/2-shot-near-florin-high-school-in-south-sacramento/ https://fox40.com/news/lo"&amp;"cal-news/two-florin-high-school-students-shot-behind-campus/")</f>
        <v>https://www.abc10.com/article/news/crime/two-minors-hurt-shooting-near-high-school-sacramento/103-8b5597fc-1395-40e3-8831-47663b8bab63 https://sacramento.cbslocal.com/2022/01/06/2-shot-near-florin-high-school-in-south-sacramento/ https://fox40.com/news/local-news/two-florin-high-school-students-shot-behind-campus/</v>
      </c>
      <c r="L391" s="5">
        <f ca="1">IFERROR(__xludf.DUMMYFUNCTION("""COMPUTED_VALUE"""),10)</f>
        <v>10</v>
      </c>
      <c r="M391" s="5" t="str">
        <f ca="1">IFERROR(__xludf.DUMMYFUNCTION("""COMPUTED_VALUE"""),"Regional")</f>
        <v>Regional</v>
      </c>
      <c r="N391" s="5">
        <f ca="1">IFERROR(__xludf.DUMMYFUNCTION("""COMPUTED_VALUE"""),4)</f>
        <v>4</v>
      </c>
      <c r="O391" s="5" t="str">
        <f ca="1">IFERROR(__xludf.DUMMYFUNCTION("""COMPUTED_VALUE"""),"Winter")</f>
        <v>Winter</v>
      </c>
      <c r="P391" s="5" t="str">
        <f ca="1">IFERROR(__xludf.DUMMYFUNCTION("""COMPUTED_VALUE"""),"Sacramento")</f>
        <v>Sacramento</v>
      </c>
      <c r="Q391" s="5" t="str">
        <f ca="1">IFERROR(__xludf.DUMMYFUNCTION("""COMPUTED_VALUE"""),"CA")</f>
        <v>CA</v>
      </c>
      <c r="R391" s="5" t="str">
        <f ca="1">IFERROR(__xludf.DUMMYFUNCTION("""COMPUTED_VALUE"""),"High")</f>
        <v>High</v>
      </c>
      <c r="S391" s="5" t="str">
        <f ca="1">IFERROR(__xludf.DUMMYFUNCTION("""COMPUTED_VALUE"""),"Field (General)")</f>
        <v>Field (General)</v>
      </c>
      <c r="T391" s="5" t="str">
        <f ca="1">IFERROR(__xludf.DUMMYFUNCTION("""COMPUTED_VALUE"""),"Outside on School Property")</f>
        <v>Outside on School Property</v>
      </c>
      <c r="U391" s="5" t="str">
        <f ca="1">IFERROR(__xludf.DUMMYFUNCTION("""COMPUTED_VALUE"""),"No")</f>
        <v>No</v>
      </c>
      <c r="V391" s="5" t="str">
        <f ca="1">IFERROR(__xludf.DUMMYFUNCTION("""COMPUTED_VALUE"""),"After School")</f>
        <v>After School</v>
      </c>
      <c r="W391" s="10">
        <f ca="1">IFERROR(__xludf.DUMMYFUNCTION("""COMPUTED_VALUE"""),0.652777777777777)</f>
        <v>0.65277777777777701</v>
      </c>
      <c r="X391" s="5">
        <f ca="1">IFERROR(__xludf.DUMMYFUNCTION("""COMPUTED_VALUE"""),1)</f>
        <v>1</v>
      </c>
      <c r="Y391" s="5" t="str">
        <f ca="1">IFERROR(__xludf.DUMMYFUNCTION("""COMPUTED_VALUE"""),"Two students shot at the back gate to the school campus")</f>
        <v>Two students shot at the back gate to the school campus</v>
      </c>
      <c r="Z391" s="5" t="str">
        <f ca="1">IFERROR(__xludf.DUMMYFUNCTION("""COMPUTED_VALUE"""),"Two 17-year-old students were shot during a fight that involved a dozen students at the back gate to the school campus. School had dismissed but remaining staff and students in the building locked down. Shooter fled the scene.")</f>
        <v>Two 17-year-old students were shot during a fight that involved a dozen students at the back gate to the school campus. School had dismissed but remaining staff and students in the building locked down. Shooter fled the scene.</v>
      </c>
      <c r="AA391" s="5" t="str">
        <f ca="1">IFERROR(__xludf.DUMMYFUNCTION("""COMPUTED_VALUE"""),"Escalation of Dispute")</f>
        <v>Escalation of Dispute</v>
      </c>
      <c r="AB391" s="5" t="str">
        <f ca="1">IFERROR(__xludf.DUMMYFUNCTION("""COMPUTED_VALUE"""),"Both")</f>
        <v>Both</v>
      </c>
      <c r="AC391" s="5" t="str">
        <f ca="1">IFERROR(__xludf.DUMMYFUNCTION("""COMPUTED_VALUE"""),"No")</f>
        <v>No</v>
      </c>
      <c r="AD391" s="5" t="str">
        <f ca="1">IFERROR(__xludf.DUMMYFUNCTION("""COMPUTED_VALUE"""),"No")</f>
        <v>No</v>
      </c>
      <c r="AE391" s="5" t="str">
        <f ca="1">IFERROR(__xludf.DUMMYFUNCTION("""COMPUTED_VALUE"""),"No")</f>
        <v>No</v>
      </c>
      <c r="AF391" s="5" t="str">
        <f ca="1">IFERROR(__xludf.DUMMYFUNCTION("""COMPUTED_VALUE"""),"No")</f>
        <v>No</v>
      </c>
      <c r="AG391" s="5" t="str">
        <f ca="1">IFERROR(__xludf.DUMMYFUNCTION("""COMPUTED_VALUE"""),"No")</f>
        <v>No</v>
      </c>
      <c r="AH391" s="5" t="str">
        <f ca="1">IFERROR(__xludf.DUMMYFUNCTION("""COMPUTED_VALUE"""),"No")</f>
        <v>No</v>
      </c>
      <c r="AI391" s="5"/>
      <c r="AJ391" s="5" t="str">
        <f ca="1">IFERROR(__xludf.DUMMYFUNCTION("""COMPUTED_VALUE"""),"No")</f>
        <v>No</v>
      </c>
    </row>
    <row r="392" spans="1:36" ht="13">
      <c r="A392" s="5" t="str">
        <f ca="1">IFERROR(__xludf.DUMMYFUNCTION("""COMPUTED_VALUE"""),"20220104ILAUR")</f>
        <v>20220104ILAUR</v>
      </c>
      <c r="B392" s="5">
        <f ca="1">IFERROR(__xludf.DUMMYFUNCTION("""COMPUTED_VALUE"""),1)</f>
        <v>1</v>
      </c>
      <c r="C392" s="5">
        <f ca="1">IFERROR(__xludf.DUMMYFUNCTION("""COMPUTED_VALUE"""),4)</f>
        <v>4</v>
      </c>
      <c r="D392" s="5">
        <f ca="1">IFERROR(__xludf.DUMMYFUNCTION("""COMPUTED_VALUE"""),2022)</f>
        <v>2022</v>
      </c>
      <c r="E392" s="8">
        <f ca="1">IFERROR(__xludf.DUMMYFUNCTION("""COMPUTED_VALUE"""),44565)</f>
        <v>44565</v>
      </c>
      <c r="F392" s="5" t="str">
        <f ca="1">IFERROR(__xludf.DUMMYFUNCTION("""COMPUTED_VALUE"""),"Auburn High School")</f>
        <v>Auburn High School</v>
      </c>
      <c r="G392" s="5">
        <f ca="1">IFERROR(__xludf.DUMMYFUNCTION("""COMPUTED_VALUE"""),0)</f>
        <v>0</v>
      </c>
      <c r="H392" s="5">
        <f ca="1">IFERROR(__xludf.DUMMYFUNCTION("""COMPUTED_VALUE"""),2)</f>
        <v>2</v>
      </c>
      <c r="I392" s="5">
        <f ca="1">IFERROR(__xludf.DUMMYFUNCTION("""COMPUTED_VALUE"""),2)</f>
        <v>2</v>
      </c>
      <c r="J392" s="5">
        <f ca="1">IFERROR(__xludf.DUMMYFUNCTION("""COMPUTED_VALUE"""),0)</f>
        <v>0</v>
      </c>
      <c r="K392" s="5" t="str">
        <f ca="1">IFERROR(__xludf.DUMMYFUNCTION("""COMPUTED_VALUE"""),"https://illinoisnewstoday.com/a-teenage-suspect-in-a-shooting-at-auburn-high-school-on-trial-as-an-adult/458315/ https://www.week.com/2022/01/04/breaking-auburn-high-school-lockdown-while-police-investigate-shooting/ https://www.wrex.com/news/top-stories/"&amp;"parents-concerned-about-school-safety-after-two-teens-shot-outside-of-auburn-high-school-three/article_d49ce64c-6d96-11ec-9583-ff1c92d9a812.html https://www.wsiltv.com/news/illinois/3-teens-face-attempted-murder-charges-after-school-shooting/article_c358f"&amp;"ced-59fb-5307-b288-c1dac38c6280.html https://www.wifr.com/2022/01/04/breaking-shooting-investigation-outside-auburn-high-school/")</f>
        <v>https://illinoisnewstoday.com/a-teenage-suspect-in-a-shooting-at-auburn-high-school-on-trial-as-an-adult/458315/ https://www.week.com/2022/01/04/breaking-auburn-high-school-lockdown-while-police-investigate-shooting/ https://www.wrex.com/news/top-stories/parents-concerned-about-school-safety-after-two-teens-shot-outside-of-auburn-high-school-three/article_d49ce64c-6d96-11ec-9583-ff1c92d9a812.html https://www.wsiltv.com/news/illinois/3-teens-face-attempted-murder-charges-after-school-shooting/article_c358fced-59fb-5307-b288-c1dac38c6280.html https://www.wifr.com/2022/01/04/breaking-shooting-investigation-outside-auburn-high-school/</v>
      </c>
      <c r="L392" s="5">
        <f ca="1">IFERROR(__xludf.DUMMYFUNCTION("""COMPUTED_VALUE"""),50)</f>
        <v>50</v>
      </c>
      <c r="M392" s="5" t="str">
        <f ca="1">IFERROR(__xludf.DUMMYFUNCTION("""COMPUTED_VALUE"""),"National")</f>
        <v>National</v>
      </c>
      <c r="N392" s="5">
        <f ca="1">IFERROR(__xludf.DUMMYFUNCTION("""COMPUTED_VALUE"""),4)</f>
        <v>4</v>
      </c>
      <c r="O392" s="5" t="str">
        <f ca="1">IFERROR(__xludf.DUMMYFUNCTION("""COMPUTED_VALUE"""),"Winter")</f>
        <v>Winter</v>
      </c>
      <c r="P392" s="5" t="str">
        <f ca="1">IFERROR(__xludf.DUMMYFUNCTION("""COMPUTED_VALUE"""),"Rockford")</f>
        <v>Rockford</v>
      </c>
      <c r="Q392" s="5" t="str">
        <f ca="1">IFERROR(__xludf.DUMMYFUNCTION("""COMPUTED_VALUE"""),"IL")</f>
        <v>IL</v>
      </c>
      <c r="R392" s="5" t="str">
        <f ca="1">IFERROR(__xludf.DUMMYFUNCTION("""COMPUTED_VALUE"""),"High")</f>
        <v>High</v>
      </c>
      <c r="S392" s="5" t="str">
        <f ca="1">IFERROR(__xludf.DUMMYFUNCTION("""COMPUTED_VALUE"""),"Parking Lot")</f>
        <v>Parking Lot</v>
      </c>
      <c r="T392" s="5" t="str">
        <f ca="1">IFERROR(__xludf.DUMMYFUNCTION("""COMPUTED_VALUE"""),"Outside on School Property")</f>
        <v>Outside on School Property</v>
      </c>
      <c r="U392" s="5" t="str">
        <f ca="1">IFERROR(__xludf.DUMMYFUNCTION("""COMPUTED_VALUE"""),"Yes")</f>
        <v>Yes</v>
      </c>
      <c r="V392" s="5" t="str">
        <f ca="1">IFERROR(__xludf.DUMMYFUNCTION("""COMPUTED_VALUE"""),"Afternoon Classes")</f>
        <v>Afternoon Classes</v>
      </c>
      <c r="W392" s="10">
        <f ca="1">IFERROR(__xludf.DUMMYFUNCTION("""COMPUTED_VALUE"""),0.576388888888888)</f>
        <v>0.57638888888888795</v>
      </c>
      <c r="X392" s="5">
        <f ca="1">IFERROR(__xludf.DUMMYFUNCTION("""COMPUTED_VALUE"""),1)</f>
        <v>1</v>
      </c>
      <c r="Y392" s="5" t="str">
        <f ca="1">IFERROR(__xludf.DUMMYFUNCTION("""COMPUTED_VALUE"""),"Two student shot inside vehicle in school parking lot by 2 other students")</f>
        <v>Two student shot inside vehicle in school parking lot by 2 other students</v>
      </c>
      <c r="Z392" s="5" t="str">
        <f ca="1">IFERROR(__xludf.DUMMYFUNCTION("""COMPUTED_VALUE"""),"A 17-year-old male and 17-year-old female student were seated inside a vehicle in the school parking lot. Another vehicle with a 17-year-old male, 16-year-old male, and 15-year-old male pulled up in front of them. The 16- and 17-year-old both pulled handg"&amp;"uns and fired 5 shots at the vehicle striking both occupants. Shooter fled the scene in a vehicle and crashed during a police pursuit. The shooters ran from the vehicle and were found hiding in the surrounding area. Two handguns were recovered from the ve"&amp;"hicle.")</f>
        <v>A 17-year-old male and 17-year-old female student were seated inside a vehicle in the school parking lot. Another vehicle with a 17-year-old male, 16-year-old male, and 15-year-old male pulled up in front of them. The 16- and 17-year-old both pulled handguns and fired 5 shots at the vehicle striking both occupants. Shooter fled the scene in a vehicle and crashed during a police pursuit. The shooters ran from the vehicle and were found hiding in the surrounding area. Two handguns were recovered from the vehicle.</v>
      </c>
      <c r="AA392" s="5"/>
      <c r="AB392" s="5" t="str">
        <f ca="1">IFERROR(__xludf.DUMMYFUNCTION("""COMPUTED_VALUE"""),"Victims Targeted")</f>
        <v>Victims Targeted</v>
      </c>
      <c r="AC392" s="5" t="str">
        <f ca="1">IFERROR(__xludf.DUMMYFUNCTION("""COMPUTED_VALUE"""),"Yes")</f>
        <v>Yes</v>
      </c>
      <c r="AD392" s="5" t="str">
        <f ca="1">IFERROR(__xludf.DUMMYFUNCTION("""COMPUTED_VALUE"""),"No")</f>
        <v>No</v>
      </c>
      <c r="AE392" s="5" t="str">
        <f ca="1">IFERROR(__xludf.DUMMYFUNCTION("""COMPUTED_VALUE"""),"No")</f>
        <v>No</v>
      </c>
      <c r="AF392" s="5" t="str">
        <f ca="1">IFERROR(__xludf.DUMMYFUNCTION("""COMPUTED_VALUE"""),"No")</f>
        <v>No</v>
      </c>
      <c r="AG392" s="5" t="str">
        <f ca="1">IFERROR(__xludf.DUMMYFUNCTION("""COMPUTED_VALUE"""),"No")</f>
        <v>No</v>
      </c>
      <c r="AH392" s="5" t="str">
        <f ca="1">IFERROR(__xludf.DUMMYFUNCTION("""COMPUTED_VALUE"""),"No")</f>
        <v>No</v>
      </c>
      <c r="AI392" s="5" t="str">
        <f ca="1">IFERROR(__xludf.DUMMYFUNCTION("""COMPUTED_VALUE"""),"No")</f>
        <v>No</v>
      </c>
      <c r="AJ392" s="5" t="str">
        <f ca="1">IFERROR(__xludf.DUMMYFUNCTION("""COMPUTED_VALUE"""),"No")</f>
        <v>No</v>
      </c>
    </row>
    <row r="393" spans="1:36" ht="13">
      <c r="A393" s="5" t="str">
        <f ca="1">IFERROR(__xludf.DUMMYFUNCTION("""COMPUTED_VALUE"""),"20220103WACHP")</f>
        <v>20220103WACHP</v>
      </c>
      <c r="B393" s="5">
        <f ca="1">IFERROR(__xludf.DUMMYFUNCTION("""COMPUTED_VALUE"""),1)</f>
        <v>1</v>
      </c>
      <c r="C393" s="5">
        <f ca="1">IFERROR(__xludf.DUMMYFUNCTION("""COMPUTED_VALUE"""),3)</f>
        <v>3</v>
      </c>
      <c r="D393" s="5">
        <f ca="1">IFERROR(__xludf.DUMMYFUNCTION("""COMPUTED_VALUE"""),2022)</f>
        <v>2022</v>
      </c>
      <c r="E393" s="8">
        <f ca="1">IFERROR(__xludf.DUMMYFUNCTION("""COMPUTED_VALUE"""),44564)</f>
        <v>44564</v>
      </c>
      <c r="F393" s="5" t="str">
        <f ca="1">IFERROR(__xludf.DUMMYFUNCTION("""COMPUTED_VALUE"""),"Childpeace Montessori School")</f>
        <v>Childpeace Montessori School</v>
      </c>
      <c r="G393" s="5">
        <f ca="1">IFERROR(__xludf.DUMMYFUNCTION("""COMPUTED_VALUE"""),0)</f>
        <v>0</v>
      </c>
      <c r="H393" s="5">
        <f ca="1">IFERROR(__xludf.DUMMYFUNCTION("""COMPUTED_VALUE"""),0)</f>
        <v>0</v>
      </c>
      <c r="I393" s="5">
        <f ca="1">IFERROR(__xludf.DUMMYFUNCTION("""COMPUTED_VALUE"""),0)</f>
        <v>0</v>
      </c>
      <c r="J393" s="5">
        <f ca="1">IFERROR(__xludf.DUMMYFUNCTION("""COMPUTED_VALUE"""),0)</f>
        <v>0</v>
      </c>
      <c r="K393" s="5" t="str">
        <f ca="1">IFERROR(__xludf.DUMMYFUNCTION("""COMPUTED_VALUE"""),"https://katu.com/news/local/arrest-made-after-shots-fired-near-northwest-portland-montessori-school https://www.portlandoregon.gov/police/news/read.cfm?id=382126 https://www.koin.com/news/crime/shots-fired-outside-portland-school-woman-arrested/")</f>
        <v>https://katu.com/news/local/arrest-made-after-shots-fired-near-northwest-portland-montessori-school https://www.portlandoregon.gov/police/news/read.cfm?id=382126 https://www.koin.com/news/crime/shots-fired-outside-portland-school-woman-arrested/</v>
      </c>
      <c r="L393" s="5">
        <f ca="1">IFERROR(__xludf.DUMMYFUNCTION("""COMPUTED_VALUE"""),4)</f>
        <v>4</v>
      </c>
      <c r="M393" s="5" t="str">
        <f ca="1">IFERROR(__xludf.DUMMYFUNCTION("""COMPUTED_VALUE"""),"Local")</f>
        <v>Local</v>
      </c>
      <c r="N393" s="5">
        <f ca="1">IFERROR(__xludf.DUMMYFUNCTION("""COMPUTED_VALUE"""),4)</f>
        <v>4</v>
      </c>
      <c r="O393" s="5" t="str">
        <f ca="1">IFERROR(__xludf.DUMMYFUNCTION("""COMPUTED_VALUE"""),"Winter")</f>
        <v>Winter</v>
      </c>
      <c r="P393" s="5" t="str">
        <f ca="1">IFERROR(__xludf.DUMMYFUNCTION("""COMPUTED_VALUE"""),"Portland")</f>
        <v>Portland</v>
      </c>
      <c r="Q393" s="5" t="str">
        <f ca="1">IFERROR(__xludf.DUMMYFUNCTION("""COMPUTED_VALUE"""),"OR")</f>
        <v>OR</v>
      </c>
      <c r="R393" s="5" t="str">
        <f ca="1">IFERROR(__xludf.DUMMYFUNCTION("""COMPUTED_VALUE"""),"K-8")</f>
        <v>K-8</v>
      </c>
      <c r="S393" s="5" t="str">
        <f ca="1">IFERROR(__xludf.DUMMYFUNCTION("""COMPUTED_VALUE"""),"Front of School")</f>
        <v>Front of School</v>
      </c>
      <c r="T393" s="5" t="str">
        <f ca="1">IFERROR(__xludf.DUMMYFUNCTION("""COMPUTED_VALUE"""),"Off School Property")</f>
        <v>Off School Property</v>
      </c>
      <c r="U393" s="5" t="str">
        <f ca="1">IFERROR(__xludf.DUMMYFUNCTION("""COMPUTED_VALUE"""),"Yes")</f>
        <v>Yes</v>
      </c>
      <c r="V393" s="5" t="str">
        <f ca="1">IFERROR(__xludf.DUMMYFUNCTION("""COMPUTED_VALUE"""),"Afternoon Classes")</f>
        <v>Afternoon Classes</v>
      </c>
      <c r="W393" s="10">
        <f ca="1">IFERROR(__xludf.DUMMYFUNCTION("""COMPUTED_VALUE"""),0.541666666666666)</f>
        <v>0.54166666666666596</v>
      </c>
      <c r="X393" s="5">
        <f ca="1">IFERROR(__xludf.DUMMYFUNCTION("""COMPUTED_VALUE"""),1)</f>
        <v>1</v>
      </c>
      <c r="Y393" s="5" t="str">
        <f ca="1">IFERROR(__xludf.DUMMYFUNCTION("""COMPUTED_VALUE"""),"Shots fired from a vehicle in front of the school")</f>
        <v>Shots fired from a vehicle in front of the school</v>
      </c>
      <c r="Z393" s="5" t="str">
        <f ca="1">IFERROR(__xludf.DUMMYFUNCTION("""COMPUTED_VALUE"""),"An adult female fired two shots from a vehicle in front of the school while class was in session. Shooter fled the scene and was arrested a short distance away with a loaded handgun and ammunition. Charged with multiple felonies.")</f>
        <v>An adult female fired two shots from a vehicle in front of the school while class was in session. Shooter fled the scene and was arrested a short distance away with a loaded handgun and ammunition. Charged with multiple felonies.</v>
      </c>
      <c r="AA393" s="5" t="str">
        <f ca="1">IFERROR(__xludf.DUMMYFUNCTION("""COMPUTED_VALUE"""),"Drive-by Shooting")</f>
        <v>Drive-by Shooting</v>
      </c>
      <c r="AB393" s="5" t="str">
        <f ca="1">IFERROR(__xludf.DUMMYFUNCTION("""COMPUTED_VALUE"""),"Random Shooting")</f>
        <v>Random Shooting</v>
      </c>
      <c r="AC393" s="5" t="str">
        <f ca="1">IFERROR(__xludf.DUMMYFUNCTION("""COMPUTED_VALUE"""),"No")</f>
        <v>No</v>
      </c>
      <c r="AD393" s="5" t="str">
        <f ca="1">IFERROR(__xludf.DUMMYFUNCTION("""COMPUTED_VALUE"""),"No")</f>
        <v>No</v>
      </c>
      <c r="AE393" s="5" t="str">
        <f ca="1">IFERROR(__xludf.DUMMYFUNCTION("""COMPUTED_VALUE"""),"No")</f>
        <v>No</v>
      </c>
      <c r="AF393" s="5" t="str">
        <f ca="1">IFERROR(__xludf.DUMMYFUNCTION("""COMPUTED_VALUE"""),"No")</f>
        <v>No</v>
      </c>
      <c r="AG393" s="5" t="str">
        <f ca="1">IFERROR(__xludf.DUMMYFUNCTION("""COMPUTED_VALUE"""),"No")</f>
        <v>No</v>
      </c>
      <c r="AH393" s="5" t="str">
        <f ca="1">IFERROR(__xludf.DUMMYFUNCTION("""COMPUTED_VALUE"""),"No")</f>
        <v>No</v>
      </c>
      <c r="AI393" s="5" t="str">
        <f ca="1">IFERROR(__xludf.DUMMYFUNCTION("""COMPUTED_VALUE"""),"No")</f>
        <v>No</v>
      </c>
      <c r="AJ393" s="5" t="str">
        <f ca="1">IFERROR(__xludf.DUMMYFUNCTION("""COMPUTED_VALUE"""),"No")</f>
        <v>No</v>
      </c>
    </row>
    <row r="394" spans="1:36" ht="13">
      <c r="A394" s="5" t="str">
        <f ca="1">IFERROR(__xludf.DUMMYFUNCTION("""COMPUTED_VALUE"""),"20220103OHCOC")</f>
        <v>20220103OHCOC</v>
      </c>
      <c r="B394" s="5">
        <f ca="1">IFERROR(__xludf.DUMMYFUNCTION("""COMPUTED_VALUE"""),1)</f>
        <v>1</v>
      </c>
      <c r="C394" s="5">
        <f ca="1">IFERROR(__xludf.DUMMYFUNCTION("""COMPUTED_VALUE"""),3)</f>
        <v>3</v>
      </c>
      <c r="D394" s="5">
        <f ca="1">IFERROR(__xludf.DUMMYFUNCTION("""COMPUTED_VALUE"""),2022)</f>
        <v>2022</v>
      </c>
      <c r="E394" s="8">
        <f ca="1">IFERROR(__xludf.DUMMYFUNCTION("""COMPUTED_VALUE"""),44564)</f>
        <v>44564</v>
      </c>
      <c r="F394" s="5" t="str">
        <f ca="1">IFERROR(__xludf.DUMMYFUNCTION("""COMPUTED_VALUE"""),"Columbus School Bus")</f>
        <v>Columbus School Bus</v>
      </c>
      <c r="G394" s="5">
        <f ca="1">IFERROR(__xludf.DUMMYFUNCTION("""COMPUTED_VALUE"""),0)</f>
        <v>0</v>
      </c>
      <c r="H394" s="5">
        <f ca="1">IFERROR(__xludf.DUMMYFUNCTION("""COMPUTED_VALUE"""),0)</f>
        <v>0</v>
      </c>
      <c r="I394" s="5">
        <f ca="1">IFERROR(__xludf.DUMMYFUNCTION("""COMPUTED_VALUE"""),0)</f>
        <v>0</v>
      </c>
      <c r="J394" s="5">
        <f ca="1">IFERROR(__xludf.DUMMYFUNCTION("""COMPUTED_VALUE"""),0)</f>
        <v>0</v>
      </c>
      <c r="K394" s="9" t="str">
        <f ca="1">IFERROR(__xludf.DUMMYFUNCTION("""COMPUTED_VALUE"""),"https://www.10tv.com/article/news/local/columbus-school-bus-hit-gunfire-i-670/530-4688dd7c-6ed3-4e46-9ac9-284f273997c6")</f>
        <v>https://www.10tv.com/article/news/local/columbus-school-bus-hit-gunfire-i-670/530-4688dd7c-6ed3-4e46-9ac9-284f273997c6</v>
      </c>
      <c r="L394" s="5">
        <f ca="1">IFERROR(__xludf.DUMMYFUNCTION("""COMPUTED_VALUE"""),1)</f>
        <v>1</v>
      </c>
      <c r="M394" s="5" t="str">
        <f ca="1">IFERROR(__xludf.DUMMYFUNCTION("""COMPUTED_VALUE"""),"Local")</f>
        <v>Local</v>
      </c>
      <c r="N394" s="5">
        <f ca="1">IFERROR(__xludf.DUMMYFUNCTION("""COMPUTED_VALUE"""),3)</f>
        <v>3</v>
      </c>
      <c r="O394" s="5" t="str">
        <f ca="1">IFERROR(__xludf.DUMMYFUNCTION("""COMPUTED_VALUE"""),"Winter")</f>
        <v>Winter</v>
      </c>
      <c r="P394" s="5" t="str">
        <f ca="1">IFERROR(__xludf.DUMMYFUNCTION("""COMPUTED_VALUE"""),"Columbus")</f>
        <v>Columbus</v>
      </c>
      <c r="Q394" s="5" t="str">
        <f ca="1">IFERROR(__xludf.DUMMYFUNCTION("""COMPUTED_VALUE"""),"OH")</f>
        <v>OH</v>
      </c>
      <c r="R394" s="5"/>
      <c r="S394" s="5" t="str">
        <f ca="1">IFERROR(__xludf.DUMMYFUNCTION("""COMPUTED_VALUE"""),"School Bus")</f>
        <v>School Bus</v>
      </c>
      <c r="T394" s="5" t="str">
        <f ca="1">IFERROR(__xludf.DUMMYFUNCTION("""COMPUTED_VALUE"""),"School Bus")</f>
        <v>School Bus</v>
      </c>
      <c r="U394" s="5" t="str">
        <f ca="1">IFERROR(__xludf.DUMMYFUNCTION("""COMPUTED_VALUE"""),"Yes")</f>
        <v>Yes</v>
      </c>
      <c r="V394" s="5" t="str">
        <f ca="1">IFERROR(__xludf.DUMMYFUNCTION("""COMPUTED_VALUE"""),"Before School")</f>
        <v>Before School</v>
      </c>
      <c r="W394" s="10">
        <f ca="1">IFERROR(__xludf.DUMMYFUNCTION("""COMPUTED_VALUE"""),0.236111111111111)</f>
        <v>0.23611111111111099</v>
      </c>
      <c r="X394" s="5">
        <f ca="1">IFERROR(__xludf.DUMMYFUNCTION("""COMPUTED_VALUE"""),1)</f>
        <v>1</v>
      </c>
      <c r="Y394" s="5" t="str">
        <f ca="1">IFERROR(__xludf.DUMMYFUNCTION("""COMPUTED_VALUE"""),"School bus struck by bullet while driving")</f>
        <v>School bus struck by bullet while driving</v>
      </c>
      <c r="Z394" s="5" t="str">
        <f ca="1">IFERROR(__xludf.DUMMYFUNCTION("""COMPUTED_VALUE"""),"A school bus was struck by a single bullet while driving to pick up students. The driver was the only person on the bus at the time of the shooting and was not injured.")</f>
        <v>A school bus was struck by a single bullet while driving to pick up students. The driver was the only person on the bus at the time of the shooting and was not injured.</v>
      </c>
      <c r="AA394" s="5"/>
      <c r="AB394" s="5"/>
      <c r="AC394" s="5" t="str">
        <f ca="1">IFERROR(__xludf.DUMMYFUNCTION("""COMPUTED_VALUE"""),"No")</f>
        <v>No</v>
      </c>
      <c r="AD394" s="5" t="str">
        <f ca="1">IFERROR(__xludf.DUMMYFUNCTION("""COMPUTED_VALUE"""),"No")</f>
        <v>No</v>
      </c>
      <c r="AE394" s="5" t="str">
        <f ca="1">IFERROR(__xludf.DUMMYFUNCTION("""COMPUTED_VALUE"""),"No")</f>
        <v>No</v>
      </c>
      <c r="AF394" s="5" t="str">
        <f ca="1">IFERROR(__xludf.DUMMYFUNCTION("""COMPUTED_VALUE"""),"No")</f>
        <v>No</v>
      </c>
      <c r="AG394" s="5" t="str">
        <f ca="1">IFERROR(__xludf.DUMMYFUNCTION("""COMPUTED_VALUE"""),"No")</f>
        <v>No</v>
      </c>
      <c r="AH394" s="5" t="str">
        <f ca="1">IFERROR(__xludf.DUMMYFUNCTION("""COMPUTED_VALUE"""),"No")</f>
        <v>No</v>
      </c>
      <c r="AI394" s="5" t="str">
        <f ca="1">IFERROR(__xludf.DUMMYFUNCTION("""COMPUTED_VALUE"""),"No")</f>
        <v>No</v>
      </c>
      <c r="AJ394" s="5" t="str">
        <f ca="1">IFERROR(__xludf.DUMMYFUNCTION("""COMPUTED_VALUE"""),"No")</f>
        <v>No</v>
      </c>
    </row>
    <row r="395" spans="1:36" ht="13">
      <c r="A395" s="5" t="str">
        <f ca="1">IFERROR(__xludf.DUMMYFUNCTION("""COMPUTED_VALUE"""),"20211229NCCAS")</f>
        <v>20211229NCCAS</v>
      </c>
      <c r="B395" s="5">
        <f ca="1">IFERROR(__xludf.DUMMYFUNCTION("""COMPUTED_VALUE"""),12)</f>
        <v>12</v>
      </c>
      <c r="C395" s="5">
        <f ca="1">IFERROR(__xludf.DUMMYFUNCTION("""COMPUTED_VALUE"""),29)</f>
        <v>29</v>
      </c>
      <c r="D395" s="5">
        <f ca="1">IFERROR(__xludf.DUMMYFUNCTION("""COMPUTED_VALUE"""),2021)</f>
        <v>2021</v>
      </c>
      <c r="E395" s="8">
        <f ca="1">IFERROR(__xludf.DUMMYFUNCTION("""COMPUTED_VALUE"""),44559)</f>
        <v>44559</v>
      </c>
      <c r="F395" s="5" t="str">
        <f ca="1">IFERROR(__xludf.DUMMYFUNCTION("""COMPUTED_VALUE"""),"Catawba College (high school tournament)")</f>
        <v>Catawba College (high school tournament)</v>
      </c>
      <c r="G395" s="5">
        <f ca="1">IFERROR(__xludf.DUMMYFUNCTION("""COMPUTED_VALUE"""),0)</f>
        <v>0</v>
      </c>
      <c r="H395" s="5">
        <f ca="1">IFERROR(__xludf.DUMMYFUNCTION("""COMPUTED_VALUE"""),2)</f>
        <v>2</v>
      </c>
      <c r="I395" s="5">
        <f ca="1">IFERROR(__xludf.DUMMYFUNCTION("""COMPUTED_VALUE"""),2)</f>
        <v>2</v>
      </c>
      <c r="J395" s="5">
        <f ca="1">IFERROR(__xludf.DUMMYFUNCTION("""COMPUTED_VALUE"""),0)</f>
        <v>0</v>
      </c>
      <c r="K395" s="5" t="str">
        <f ca="1">IFERROR(__xludf.DUMMYFUNCTION("""COMPUTED_VALUE"""),"https://www.wbtv.com/2022/01/01/two-minors-accused-shooting-during-high-school-basketball-tournament-arrested-taken-juvenile-detention-center/ https://www.charlotteobserver.com/sports/high-school/article256933502.html https://www.wcnc.com/article/news/cri"&amp;"me/catawba-college-shelter-in-place/275-21a035b0-1ae4-443d-9c75-873f5fa3ac67 https://www.wavy.com/news/north-carolina/2-confirmed-shot-at-catawba-college-in-salisbury-nc-campus-under-shelter-in-place/")</f>
        <v>https://www.wbtv.com/2022/01/01/two-minors-accused-shooting-during-high-school-basketball-tournament-arrested-taken-juvenile-detention-center/ https://www.charlotteobserver.com/sports/high-school/article256933502.html https://www.wcnc.com/article/news/crime/catawba-college-shelter-in-place/275-21a035b0-1ae4-443d-9c75-873f5fa3ac67 https://www.wavy.com/news/north-carolina/2-confirmed-shot-at-catawba-college-in-salisbury-nc-campus-under-shelter-in-place/</v>
      </c>
      <c r="L395" s="5">
        <f ca="1">IFERROR(__xludf.DUMMYFUNCTION("""COMPUTED_VALUE"""),20)</f>
        <v>20</v>
      </c>
      <c r="M395" s="5" t="str">
        <f ca="1">IFERROR(__xludf.DUMMYFUNCTION("""COMPUTED_VALUE"""),"Regional")</f>
        <v>Regional</v>
      </c>
      <c r="N395" s="5">
        <f ca="1">IFERROR(__xludf.DUMMYFUNCTION("""COMPUTED_VALUE"""),4)</f>
        <v>4</v>
      </c>
      <c r="O395" s="5" t="str">
        <f ca="1">IFERROR(__xludf.DUMMYFUNCTION("""COMPUTED_VALUE"""),"Winter")</f>
        <v>Winter</v>
      </c>
      <c r="P395" s="5" t="str">
        <f ca="1">IFERROR(__xludf.DUMMYFUNCTION("""COMPUTED_VALUE"""),"Salisbury")</f>
        <v>Salisbury</v>
      </c>
      <c r="Q395" s="5" t="str">
        <f ca="1">IFERROR(__xludf.DUMMYFUNCTION("""COMPUTED_VALUE"""),"NC")</f>
        <v>NC</v>
      </c>
      <c r="R395" s="5" t="str">
        <f ca="1">IFERROR(__xludf.DUMMYFUNCTION("""COMPUTED_VALUE"""),"High")</f>
        <v>High</v>
      </c>
      <c r="S395" s="5" t="str">
        <f ca="1">IFERROR(__xludf.DUMMYFUNCTION("""COMPUTED_VALUE"""),"Gym")</f>
        <v>Gym</v>
      </c>
      <c r="T395" s="5" t="str">
        <f ca="1">IFERROR(__xludf.DUMMYFUNCTION("""COMPUTED_VALUE"""),"Inside School Building")</f>
        <v>Inside School Building</v>
      </c>
      <c r="U395" s="5" t="str">
        <f ca="1">IFERROR(__xludf.DUMMYFUNCTION("""COMPUTED_VALUE"""),"No")</f>
        <v>No</v>
      </c>
      <c r="V395" s="5" t="str">
        <f ca="1">IFERROR(__xludf.DUMMYFUNCTION("""COMPUTED_VALUE"""),"Sport Event")</f>
        <v>Sport Event</v>
      </c>
      <c r="W395" s="10">
        <f ca="1">IFERROR(__xludf.DUMMYFUNCTION("""COMPUTED_VALUE"""),0.84375)</f>
        <v>0.84375</v>
      </c>
      <c r="X395" s="5">
        <f ca="1">IFERROR(__xludf.DUMMYFUNCTION("""COMPUTED_VALUE"""),1)</f>
        <v>1</v>
      </c>
      <c r="Y395" s="5" t="str">
        <f ca="1">IFERROR(__xludf.DUMMYFUNCTION("""COMPUTED_VALUE"""),"Two teens shot during fight in entryway to gym")</f>
        <v>Two teens shot during fight in entryway to gym</v>
      </c>
      <c r="Z395" s="5" t="str">
        <f ca="1">IFERROR(__xludf.DUMMYFUNCTION("""COMPUTED_VALUE"""),"Two teens (both bystanders) were shot during a fight inside the entry lobby to the gym. A high school basketball tournament was being held in the gym of Catawba College. Game was between  North Rowan High School and West Rowan High School. Two teen shoote"&amp;"rs fled. 400 people were attending the game when the shooting occurred. College campus went on shelter-in-place status for 2.5 hours following the shooting.")</f>
        <v>Two teens (both bystanders) were shot during a fight inside the entry lobby to the gym. A high school basketball tournament was being held in the gym of Catawba College. Game was between  North Rowan High School and West Rowan High School. Two teen shooters fled. 400 people were attending the game when the shooting occurred. College campus went on shelter-in-place status for 2.5 hours following the shooting.</v>
      </c>
      <c r="AA395" s="5" t="str">
        <f ca="1">IFERROR(__xludf.DUMMYFUNCTION("""COMPUTED_VALUE"""),"Escalation of Dispute")</f>
        <v>Escalation of Dispute</v>
      </c>
      <c r="AB395" s="5" t="str">
        <f ca="1">IFERROR(__xludf.DUMMYFUNCTION("""COMPUTED_VALUE"""),"Victims Targeted")</f>
        <v>Victims Targeted</v>
      </c>
      <c r="AC395" s="5" t="str">
        <f ca="1">IFERROR(__xludf.DUMMYFUNCTION("""COMPUTED_VALUE"""),"Yes")</f>
        <v>Yes</v>
      </c>
      <c r="AD395" s="5" t="str">
        <f ca="1">IFERROR(__xludf.DUMMYFUNCTION("""COMPUTED_VALUE"""),"No")</f>
        <v>No</v>
      </c>
      <c r="AE395" s="5" t="str">
        <f ca="1">IFERROR(__xludf.DUMMYFUNCTION("""COMPUTED_VALUE"""),"No")</f>
        <v>No</v>
      </c>
      <c r="AF395" s="5" t="str">
        <f ca="1">IFERROR(__xludf.DUMMYFUNCTION("""COMPUTED_VALUE"""),"No")</f>
        <v>No</v>
      </c>
      <c r="AG395" s="5" t="str">
        <f ca="1">IFERROR(__xludf.DUMMYFUNCTION("""COMPUTED_VALUE"""),"No")</f>
        <v>No</v>
      </c>
      <c r="AH395" s="5" t="str">
        <f ca="1">IFERROR(__xludf.DUMMYFUNCTION("""COMPUTED_VALUE"""),"No")</f>
        <v>No</v>
      </c>
      <c r="AI395" s="5"/>
      <c r="AJ395" s="5" t="str">
        <f ca="1">IFERROR(__xludf.DUMMYFUNCTION("""COMPUTED_VALUE"""),"No")</f>
        <v>No</v>
      </c>
    </row>
    <row r="396" spans="1:36" ht="13">
      <c r="A396" s="5" t="str">
        <f ca="1">IFERROR(__xludf.DUMMYFUNCTION("""COMPUTED_VALUE"""),"20211217TXWOD")</f>
        <v>20211217TXWOD</v>
      </c>
      <c r="B396" s="5">
        <f ca="1">IFERROR(__xludf.DUMMYFUNCTION("""COMPUTED_VALUE"""),12)</f>
        <v>12</v>
      </c>
      <c r="C396" s="5">
        <f ca="1">IFERROR(__xludf.DUMMYFUNCTION("""COMPUTED_VALUE"""),17)</f>
        <v>17</v>
      </c>
      <c r="D396" s="5">
        <f ca="1">IFERROR(__xludf.DUMMYFUNCTION("""COMPUTED_VALUE"""),2021)</f>
        <v>2021</v>
      </c>
      <c r="E396" s="8">
        <f ca="1">IFERROR(__xludf.DUMMYFUNCTION("""COMPUTED_VALUE"""),44547)</f>
        <v>44547</v>
      </c>
      <c r="F396" s="5" t="str">
        <f ca="1">IFERROR(__xludf.DUMMYFUNCTION("""COMPUTED_VALUE"""),"Woodrow Wilson Junior High")</f>
        <v>Woodrow Wilson Junior High</v>
      </c>
      <c r="G396" s="5">
        <f ca="1">IFERROR(__xludf.DUMMYFUNCTION("""COMPUTED_VALUE"""),0)</f>
        <v>0</v>
      </c>
      <c r="H396" s="5">
        <f ca="1">IFERROR(__xludf.DUMMYFUNCTION("""COMPUTED_VALUE"""),0)</f>
        <v>0</v>
      </c>
      <c r="I396" s="5">
        <f ca="1">IFERROR(__xludf.DUMMYFUNCTION("""COMPUTED_VALUE"""),0)</f>
        <v>0</v>
      </c>
      <c r="J396" s="5">
        <f ca="1">IFERROR(__xludf.DUMMYFUNCTION("""COMPUTED_VALUE"""),0)</f>
        <v>0</v>
      </c>
      <c r="K396" s="5" t="str">
        <f ca="1">IFERROR(__xludf.DUMMYFUNCTION("""COMPUTED_VALUE"""),"https://nypost.com/2021/12/20/dayton-independent-school-district-investigating-suspect-appearing-to-point-gun-at-bus/ https://www.click2houston.com/news/local/2021/12/18/video-dayton-isd-student-captures-video-of-person-pointing-what-appears-to-be-a-gun-a"&amp;"t-school-bus/ https://www.kait8.com/2021/12/19/caught-camera-teen-with-bb-gun-menaces-school-bus-texas/ https://www.kmov.com/caught-on-camera-teen-with-bb-gun-menaces-school-bus-in-texas/article_feaaf64f-08e8-55cf-83f9-65a00472fcca.html")</f>
        <v>https://nypost.com/2021/12/20/dayton-independent-school-district-investigating-suspect-appearing-to-point-gun-at-bus/ https://www.click2houston.com/news/local/2021/12/18/video-dayton-isd-student-captures-video-of-person-pointing-what-appears-to-be-a-gun-at-school-bus/ https://www.kait8.com/2021/12/19/caught-camera-teen-with-bb-gun-menaces-school-bus-texas/ https://www.kmov.com/caught-on-camera-teen-with-bb-gun-menaces-school-bus-in-texas/article_feaaf64f-08e8-55cf-83f9-65a00472fcca.html</v>
      </c>
      <c r="L396" s="5">
        <f ca="1">IFERROR(__xludf.DUMMYFUNCTION("""COMPUTED_VALUE"""),10)</f>
        <v>10</v>
      </c>
      <c r="M396" s="5" t="str">
        <f ca="1">IFERROR(__xludf.DUMMYFUNCTION("""COMPUTED_VALUE"""),"National")</f>
        <v>National</v>
      </c>
      <c r="N396" s="5">
        <f ca="1">IFERROR(__xludf.DUMMYFUNCTION("""COMPUTED_VALUE"""),4)</f>
        <v>4</v>
      </c>
      <c r="O396" s="5" t="str">
        <f ca="1">IFERROR(__xludf.DUMMYFUNCTION("""COMPUTED_VALUE"""),"Fall")</f>
        <v>Fall</v>
      </c>
      <c r="P396" s="5" t="str">
        <f ca="1">IFERROR(__xludf.DUMMYFUNCTION("""COMPUTED_VALUE"""),"Dayton")</f>
        <v>Dayton</v>
      </c>
      <c r="Q396" s="5" t="str">
        <f ca="1">IFERROR(__xludf.DUMMYFUNCTION("""COMPUTED_VALUE"""),"TX")</f>
        <v>TX</v>
      </c>
      <c r="R396" s="5" t="str">
        <f ca="1">IFERROR(__xludf.DUMMYFUNCTION("""COMPUTED_VALUE"""),"High")</f>
        <v>High</v>
      </c>
      <c r="S396" s="5" t="str">
        <f ca="1">IFERROR(__xludf.DUMMYFUNCTION("""COMPUTED_VALUE"""),"School Bus")</f>
        <v>School Bus</v>
      </c>
      <c r="T396" s="5" t="str">
        <f ca="1">IFERROR(__xludf.DUMMYFUNCTION("""COMPUTED_VALUE"""),"School Bus")</f>
        <v>School Bus</v>
      </c>
      <c r="U396" s="5" t="str">
        <f ca="1">IFERROR(__xludf.DUMMYFUNCTION("""COMPUTED_VALUE"""),"Yes")</f>
        <v>Yes</v>
      </c>
      <c r="V396" s="5" t="str">
        <f ca="1">IFERROR(__xludf.DUMMYFUNCTION("""COMPUTED_VALUE"""),"Dismissal")</f>
        <v>Dismissal</v>
      </c>
      <c r="W396" s="10">
        <f ca="1">IFERROR(__xludf.DUMMYFUNCTION("""COMPUTED_VALUE"""),0.625)</f>
        <v>0.625</v>
      </c>
      <c r="X396" s="5">
        <f ca="1">IFERROR(__xludf.DUMMYFUNCTION("""COMPUTED_VALUE"""),1)</f>
        <v>1</v>
      </c>
      <c r="Y396" s="5" t="str">
        <f ca="1">IFERROR(__xludf.DUMMYFUNCTION("""COMPUTED_VALUE"""),"Student in vehicle pointed BB rifle at school bus causing panic aboard")</f>
        <v>Student in vehicle pointed BB rifle at school bus causing panic aboard</v>
      </c>
      <c r="Z396" s="5"/>
      <c r="AA396" s="5" t="str">
        <f ca="1">IFERROR(__xludf.DUMMYFUNCTION("""COMPUTED_VALUE"""),"Drive-by Shooting")</f>
        <v>Drive-by Shooting</v>
      </c>
      <c r="AB396" s="5" t="str">
        <f ca="1">IFERROR(__xludf.DUMMYFUNCTION("""COMPUTED_VALUE"""),"Neither")</f>
        <v>Neither</v>
      </c>
      <c r="AC396" s="5" t="str">
        <f ca="1">IFERROR(__xludf.DUMMYFUNCTION("""COMPUTED_VALUE"""),"Yes")</f>
        <v>Yes</v>
      </c>
      <c r="AD396" s="5" t="str">
        <f ca="1">IFERROR(__xludf.DUMMYFUNCTION("""COMPUTED_VALUE"""),"No")</f>
        <v>No</v>
      </c>
      <c r="AE396" s="5" t="str">
        <f ca="1">IFERROR(__xludf.DUMMYFUNCTION("""COMPUTED_VALUE"""),"No")</f>
        <v>No</v>
      </c>
      <c r="AF396" s="5" t="str">
        <f ca="1">IFERROR(__xludf.DUMMYFUNCTION("""COMPUTED_VALUE"""),"No")</f>
        <v>No</v>
      </c>
      <c r="AG396" s="5" t="str">
        <f ca="1">IFERROR(__xludf.DUMMYFUNCTION("""COMPUTED_VALUE"""),"No")</f>
        <v>No</v>
      </c>
      <c r="AH396" s="5" t="str">
        <f ca="1">IFERROR(__xludf.DUMMYFUNCTION("""COMPUTED_VALUE"""),"No")</f>
        <v>No</v>
      </c>
      <c r="AI396" s="5" t="str">
        <f ca="1">IFERROR(__xludf.DUMMYFUNCTION("""COMPUTED_VALUE"""),"No")</f>
        <v>No</v>
      </c>
      <c r="AJ396" s="5" t="str">
        <f ca="1">IFERROR(__xludf.DUMMYFUNCTION("""COMPUTED_VALUE"""),"No")</f>
        <v>No</v>
      </c>
    </row>
    <row r="397" spans="1:36" ht="13">
      <c r="A397" s="5" t="str">
        <f ca="1">IFERROR(__xludf.DUMMYFUNCTION("""COMPUTED_VALUE"""),"20211216SCEAC")</f>
        <v>20211216SCEAC</v>
      </c>
      <c r="B397" s="5">
        <f ca="1">IFERROR(__xludf.DUMMYFUNCTION("""COMPUTED_VALUE"""),12)</f>
        <v>12</v>
      </c>
      <c r="C397" s="5">
        <f ca="1">IFERROR(__xludf.DUMMYFUNCTION("""COMPUTED_VALUE"""),16)</f>
        <v>16</v>
      </c>
      <c r="D397" s="5">
        <f ca="1">IFERROR(__xludf.DUMMYFUNCTION("""COMPUTED_VALUE"""),2021)</f>
        <v>2021</v>
      </c>
      <c r="E397" s="8">
        <f ca="1">IFERROR(__xludf.DUMMYFUNCTION("""COMPUTED_VALUE"""),44546)</f>
        <v>44546</v>
      </c>
      <c r="F397" s="5" t="str">
        <f ca="1">IFERROR(__xludf.DUMMYFUNCTION("""COMPUTED_VALUE"""),"Eau Claire High School")</f>
        <v>Eau Claire High School</v>
      </c>
      <c r="G397" s="5">
        <f ca="1">IFERROR(__xludf.DUMMYFUNCTION("""COMPUTED_VALUE"""),0)</f>
        <v>0</v>
      </c>
      <c r="H397" s="5">
        <f ca="1">IFERROR(__xludf.DUMMYFUNCTION("""COMPUTED_VALUE"""),0)</f>
        <v>0</v>
      </c>
      <c r="I397" s="5">
        <f ca="1">IFERROR(__xludf.DUMMYFUNCTION("""COMPUTED_VALUE"""),0)</f>
        <v>0</v>
      </c>
      <c r="J397" s="5">
        <f ca="1">IFERROR(__xludf.DUMMYFUNCTION("""COMPUTED_VALUE"""),0)</f>
        <v>0</v>
      </c>
      <c r="K397" s="5" t="str">
        <f ca="1">IFERROR(__xludf.DUMMYFUNCTION("""COMPUTED_VALUE"""),"https://wach.com/news/local/police-15-year-old-arrested-after-shooting-incident-at-eau-claire-high-school https://www.wltx.com/article/news/crime/students-allowed-leave-reported-gunfire-near-eau-claire/101-e62293bb-29e9-4853-b6b4-55a69c69b477 https://www."&amp;"wistv.com/2021/12/16/police-presence-near-eau-claire-high-school-reports-shots-being-fired-according-richland-one-officials/ https://wach.com/news/local/officers-respond-to-shots-fired-near-eau-claire-high-school")</f>
        <v>https://wach.com/news/local/police-15-year-old-arrested-after-shooting-incident-at-eau-claire-high-school https://www.wltx.com/article/news/crime/students-allowed-leave-reported-gunfire-near-eau-claire/101-e62293bb-29e9-4853-b6b4-55a69c69b477 https://www.wistv.com/2021/12/16/police-presence-near-eau-claire-high-school-reports-shots-being-fired-according-richland-one-officials/ https://wach.com/news/local/officers-respond-to-shots-fired-near-eau-claire-high-school</v>
      </c>
      <c r="L397" s="5">
        <f ca="1">IFERROR(__xludf.DUMMYFUNCTION("""COMPUTED_VALUE"""),5)</f>
        <v>5</v>
      </c>
      <c r="M397" s="5" t="str">
        <f ca="1">IFERROR(__xludf.DUMMYFUNCTION("""COMPUTED_VALUE"""),"Local")</f>
        <v>Local</v>
      </c>
      <c r="N397" s="5">
        <f ca="1">IFERROR(__xludf.DUMMYFUNCTION("""COMPUTED_VALUE"""),4)</f>
        <v>4</v>
      </c>
      <c r="O397" s="5" t="str">
        <f ca="1">IFERROR(__xludf.DUMMYFUNCTION("""COMPUTED_VALUE"""),"Winter")</f>
        <v>Winter</v>
      </c>
      <c r="P397" s="5" t="str">
        <f ca="1">IFERROR(__xludf.DUMMYFUNCTION("""COMPUTED_VALUE"""),"Columbia")</f>
        <v>Columbia</v>
      </c>
      <c r="Q397" s="5" t="str">
        <f ca="1">IFERROR(__xludf.DUMMYFUNCTION("""COMPUTED_VALUE"""),"SC")</f>
        <v>SC</v>
      </c>
      <c r="R397" s="5" t="str">
        <f ca="1">IFERROR(__xludf.DUMMYFUNCTION("""COMPUTED_VALUE"""),"High")</f>
        <v>High</v>
      </c>
      <c r="S397" s="5" t="str">
        <f ca="1">IFERROR(__xludf.DUMMYFUNCTION("""COMPUTED_VALUE"""),"Parking Lot")</f>
        <v>Parking Lot</v>
      </c>
      <c r="T397" s="5" t="str">
        <f ca="1">IFERROR(__xludf.DUMMYFUNCTION("""COMPUTED_VALUE"""),"Outside on School Property")</f>
        <v>Outside on School Property</v>
      </c>
      <c r="U397" s="5" t="str">
        <f ca="1">IFERROR(__xludf.DUMMYFUNCTION("""COMPUTED_VALUE"""),"Yes")</f>
        <v>Yes</v>
      </c>
      <c r="V397" s="5" t="str">
        <f ca="1">IFERROR(__xludf.DUMMYFUNCTION("""COMPUTED_VALUE"""),"Dismissal")</f>
        <v>Dismissal</v>
      </c>
      <c r="W397" s="10">
        <f ca="1">IFERROR(__xludf.DUMMYFUNCTION("""COMPUTED_VALUE"""),0.625)</f>
        <v>0.625</v>
      </c>
      <c r="X397" s="5">
        <f ca="1">IFERROR(__xludf.DUMMYFUNCTION("""COMPUTED_VALUE"""),1)</f>
        <v>1</v>
      </c>
      <c r="Y397" s="5" t="str">
        <f ca="1">IFERROR(__xludf.DUMMYFUNCTION("""COMPUTED_VALUE"""),"Student fired shots during dismissal then fled")</f>
        <v>Student fired shots during dismissal then fled</v>
      </c>
      <c r="Z397" s="5" t="str">
        <f ca="1">IFERROR(__xludf.DUMMYFUNCTION("""COMPUTED_VALUE"""),"Police responded for ShotSpotter alert at the high school. A teen student fired shots in the parking lot during dismissal and fled. No injuries. Remaining students still inside the school were locked down. 15-year-old student arrested on 12/22 and charged"&amp;" with multiple felonies including attempted murder.")</f>
        <v>Police responded for ShotSpotter alert at the high school. A teen student fired shots in the parking lot during dismissal and fled. No injuries. Remaining students still inside the school were locked down. 15-year-old student arrested on 12/22 and charged with multiple felonies including attempted murder.</v>
      </c>
      <c r="AA397" s="5" t="str">
        <f ca="1">IFERROR(__xludf.DUMMYFUNCTION("""COMPUTED_VALUE"""),"Escalation of Dispute")</f>
        <v>Escalation of Dispute</v>
      </c>
      <c r="AB397" s="5" t="str">
        <f ca="1">IFERROR(__xludf.DUMMYFUNCTION("""COMPUTED_VALUE"""),"Victims Targeted")</f>
        <v>Victims Targeted</v>
      </c>
      <c r="AC397" s="5" t="str">
        <f ca="1">IFERROR(__xludf.DUMMYFUNCTION("""COMPUTED_VALUE"""),"No")</f>
        <v>No</v>
      </c>
      <c r="AD397" s="5" t="str">
        <f ca="1">IFERROR(__xludf.DUMMYFUNCTION("""COMPUTED_VALUE"""),"No")</f>
        <v>No</v>
      </c>
      <c r="AE397" s="5" t="str">
        <f ca="1">IFERROR(__xludf.DUMMYFUNCTION("""COMPUTED_VALUE"""),"No")</f>
        <v>No</v>
      </c>
      <c r="AF397" s="5" t="str">
        <f ca="1">IFERROR(__xludf.DUMMYFUNCTION("""COMPUTED_VALUE"""),"No")</f>
        <v>No</v>
      </c>
      <c r="AG397" s="5"/>
      <c r="AH397" s="5" t="str">
        <f ca="1">IFERROR(__xludf.DUMMYFUNCTION("""COMPUTED_VALUE"""),"No")</f>
        <v>No</v>
      </c>
      <c r="AI397" s="5"/>
      <c r="AJ397" s="5" t="str">
        <f ca="1">IFERROR(__xludf.DUMMYFUNCTION("""COMPUTED_VALUE"""),"No")</f>
        <v>No</v>
      </c>
    </row>
    <row r="398" spans="1:36" ht="13">
      <c r="A398" s="5" t="str">
        <f ca="1">IFERROR(__xludf.DUMMYFUNCTION("""COMPUTED_VALUE"""),"20211216NYPSB")</f>
        <v>20211216NYPSB</v>
      </c>
      <c r="B398" s="5">
        <f ca="1">IFERROR(__xludf.DUMMYFUNCTION("""COMPUTED_VALUE"""),12)</f>
        <v>12</v>
      </c>
      <c r="C398" s="5">
        <f ca="1">IFERROR(__xludf.DUMMYFUNCTION("""COMPUTED_VALUE"""),16)</f>
        <v>16</v>
      </c>
      <c r="D398" s="5">
        <f ca="1">IFERROR(__xludf.DUMMYFUNCTION("""COMPUTED_VALUE"""),2021)</f>
        <v>2021</v>
      </c>
      <c r="E398" s="8">
        <f ca="1">IFERROR(__xludf.DUMMYFUNCTION("""COMPUTED_VALUE"""),44546)</f>
        <v>44546</v>
      </c>
      <c r="F398" s="5" t="str">
        <f ca="1">IFERROR(__xludf.DUMMYFUNCTION("""COMPUTED_VALUE"""),"P.S. 026 Jesse Owens")</f>
        <v>P.S. 026 Jesse Owens</v>
      </c>
      <c r="G398" s="5">
        <f ca="1">IFERROR(__xludf.DUMMYFUNCTION("""COMPUTED_VALUE"""),0)</f>
        <v>0</v>
      </c>
      <c r="H398" s="5">
        <f ca="1">IFERROR(__xludf.DUMMYFUNCTION("""COMPUTED_VALUE"""),0)</f>
        <v>0</v>
      </c>
      <c r="I398" s="5">
        <f ca="1">IFERROR(__xludf.DUMMYFUNCTION("""COMPUTED_VALUE"""),0)</f>
        <v>0</v>
      </c>
      <c r="J398" s="5">
        <f ca="1">IFERROR(__xludf.DUMMYFUNCTION("""COMPUTED_VALUE"""),0)</f>
        <v>0</v>
      </c>
      <c r="K398" s="9" t="str">
        <f ca="1">IFERROR(__xludf.DUMMYFUNCTION("""COMPUTED_VALUE"""),"https://bronx.news12.com/nypd-shots-fired-outside-of-p-s-26-in-brooklyn-no-injuries-reported")</f>
        <v>https://bronx.news12.com/nypd-shots-fired-outside-of-p-s-26-in-brooklyn-no-injuries-reported</v>
      </c>
      <c r="L398" s="5">
        <f ca="1">IFERROR(__xludf.DUMMYFUNCTION("""COMPUTED_VALUE"""),1)</f>
        <v>1</v>
      </c>
      <c r="M398" s="5" t="str">
        <f ca="1">IFERROR(__xludf.DUMMYFUNCTION("""COMPUTED_VALUE"""),"Local")</f>
        <v>Local</v>
      </c>
      <c r="N398" s="5">
        <f ca="1">IFERROR(__xludf.DUMMYFUNCTION("""COMPUTED_VALUE"""),3)</f>
        <v>3</v>
      </c>
      <c r="O398" s="5" t="str">
        <f ca="1">IFERROR(__xludf.DUMMYFUNCTION("""COMPUTED_VALUE"""),"Winter")</f>
        <v>Winter</v>
      </c>
      <c r="P398" s="5" t="str">
        <f ca="1">IFERROR(__xludf.DUMMYFUNCTION("""COMPUTED_VALUE"""),"Brooklyn")</f>
        <v>Brooklyn</v>
      </c>
      <c r="Q398" s="5" t="str">
        <f ca="1">IFERROR(__xludf.DUMMYFUNCTION("""COMPUTED_VALUE"""),"NY")</f>
        <v>NY</v>
      </c>
      <c r="R398" s="5" t="str">
        <f ca="1">IFERROR(__xludf.DUMMYFUNCTION("""COMPUTED_VALUE"""),"Elementary")</f>
        <v>Elementary</v>
      </c>
      <c r="S398" s="5" t="str">
        <f ca="1">IFERROR(__xludf.DUMMYFUNCTION("""COMPUTED_VALUE"""),"Front of School")</f>
        <v>Front of School</v>
      </c>
      <c r="T398" s="5" t="str">
        <f ca="1">IFERROR(__xludf.DUMMYFUNCTION("""COMPUTED_VALUE"""),"Outside on School Property")</f>
        <v>Outside on School Property</v>
      </c>
      <c r="U398" s="5" t="str">
        <f ca="1">IFERROR(__xludf.DUMMYFUNCTION("""COMPUTED_VALUE"""),"Yes")</f>
        <v>Yes</v>
      </c>
      <c r="V398" s="5" t="str">
        <f ca="1">IFERROR(__xludf.DUMMYFUNCTION("""COMPUTED_VALUE"""),"Morning Classes")</f>
        <v>Morning Classes</v>
      </c>
      <c r="W398" s="10">
        <f ca="1">IFERROR(__xludf.DUMMYFUNCTION("""COMPUTED_VALUE"""),0.371527777777777)</f>
        <v>0.37152777777777701</v>
      </c>
      <c r="X398" s="5">
        <f ca="1">IFERROR(__xludf.DUMMYFUNCTION("""COMPUTED_VALUE"""),1)</f>
        <v>1</v>
      </c>
      <c r="Y398" s="5" t="str">
        <f ca="1">IFERROR(__xludf.DUMMYFUNCTION("""COMPUTED_VALUE"""),"Shots fired in front of school")</f>
        <v>Shots fired in front of school</v>
      </c>
      <c r="Z398" s="5" t="str">
        <f ca="1">IFERROR(__xludf.DUMMYFUNCTION("""COMPUTED_VALUE"""),"An adult male fired multiple shots in front of the school and then fled the area. No students or staff were injured or involved.")</f>
        <v>An adult male fired multiple shots in front of the school and then fled the area. No students or staff were injured or involved.</v>
      </c>
      <c r="AA398" s="5"/>
      <c r="AB398" s="5"/>
      <c r="AC398" s="5" t="str">
        <f ca="1">IFERROR(__xludf.DUMMYFUNCTION("""COMPUTED_VALUE"""),"No")</f>
        <v>No</v>
      </c>
      <c r="AD398" s="5" t="str">
        <f ca="1">IFERROR(__xludf.DUMMYFUNCTION("""COMPUTED_VALUE"""),"No")</f>
        <v>No</v>
      </c>
      <c r="AE398" s="5" t="str">
        <f ca="1">IFERROR(__xludf.DUMMYFUNCTION("""COMPUTED_VALUE"""),"No")</f>
        <v>No</v>
      </c>
      <c r="AF398" s="5" t="str">
        <f ca="1">IFERROR(__xludf.DUMMYFUNCTION("""COMPUTED_VALUE"""),"No")</f>
        <v>No</v>
      </c>
      <c r="AG398" s="5" t="str">
        <f ca="1">IFERROR(__xludf.DUMMYFUNCTION("""COMPUTED_VALUE"""),"No")</f>
        <v>No</v>
      </c>
      <c r="AH398" s="5" t="str">
        <f ca="1">IFERROR(__xludf.DUMMYFUNCTION("""COMPUTED_VALUE"""),"No")</f>
        <v>No</v>
      </c>
      <c r="AI398" s="5"/>
      <c r="AJ398" s="5" t="str">
        <f ca="1">IFERROR(__xludf.DUMMYFUNCTION("""COMPUTED_VALUE"""),"No")</f>
        <v>No</v>
      </c>
    </row>
    <row r="399" spans="1:36" ht="13">
      <c r="A399" s="5" t="str">
        <f ca="1">IFERROR(__xludf.DUMMYFUNCTION("""COMPUTED_VALUE"""),"20211214WISOM")</f>
        <v>20211214WISOM</v>
      </c>
      <c r="B399" s="5">
        <f ca="1">IFERROR(__xludf.DUMMYFUNCTION("""COMPUTED_VALUE"""),12)</f>
        <v>12</v>
      </c>
      <c r="C399" s="5">
        <f ca="1">IFERROR(__xludf.DUMMYFUNCTION("""COMPUTED_VALUE"""),14)</f>
        <v>14</v>
      </c>
      <c r="D399" s="5">
        <f ca="1">IFERROR(__xludf.DUMMYFUNCTION("""COMPUTED_VALUE"""),2021)</f>
        <v>2021</v>
      </c>
      <c r="E399" s="8">
        <f ca="1">IFERROR(__xludf.DUMMYFUNCTION("""COMPUTED_VALUE"""),44544)</f>
        <v>44544</v>
      </c>
      <c r="F399" s="5" t="str">
        <f ca="1">IFERROR(__xludf.DUMMYFUNCTION("""COMPUTED_VALUE"""),"South Division High School")</f>
        <v>South Division High School</v>
      </c>
      <c r="G399" s="5">
        <f ca="1">IFERROR(__xludf.DUMMYFUNCTION("""COMPUTED_VALUE"""),0)</f>
        <v>0</v>
      </c>
      <c r="H399" s="5">
        <f ca="1">IFERROR(__xludf.DUMMYFUNCTION("""COMPUTED_VALUE"""),0)</f>
        <v>0</v>
      </c>
      <c r="I399" s="5">
        <f ca="1">IFERROR(__xludf.DUMMYFUNCTION("""COMPUTED_VALUE"""),0)</f>
        <v>0</v>
      </c>
      <c r="J399" s="5">
        <f ca="1">IFERROR(__xludf.DUMMYFUNCTION("""COMPUTED_VALUE"""),0)</f>
        <v>0</v>
      </c>
      <c r="K399" s="5" t="str">
        <f ca="1">IFERROR(__xludf.DUMMYFUNCTION("""COMPUTED_VALUE"""),"https://www.fox6now.com/news/milwaukee-man-accused-shots-south-division-high-school https://www.fox6now.com/news/milwaukee-police-south-division-high-school https://www.tmj4.com/news/local-news/shots-fired-outside-south-division-high-school-no-injures-rep"&amp;"orted")</f>
        <v>https://www.fox6now.com/news/milwaukee-man-accused-shots-south-division-high-school https://www.fox6now.com/news/milwaukee-police-south-division-high-school https://www.tmj4.com/news/local-news/shots-fired-outside-south-division-high-school-no-injures-reported</v>
      </c>
      <c r="L399" s="5">
        <f ca="1">IFERROR(__xludf.DUMMYFUNCTION("""COMPUTED_VALUE"""),3)</f>
        <v>3</v>
      </c>
      <c r="M399" s="5" t="str">
        <f ca="1">IFERROR(__xludf.DUMMYFUNCTION("""COMPUTED_VALUE"""),"Local")</f>
        <v>Local</v>
      </c>
      <c r="N399" s="5">
        <f ca="1">IFERROR(__xludf.DUMMYFUNCTION("""COMPUTED_VALUE"""),4)</f>
        <v>4</v>
      </c>
      <c r="O399" s="5" t="str">
        <f ca="1">IFERROR(__xludf.DUMMYFUNCTION("""COMPUTED_VALUE"""),"Winter")</f>
        <v>Winter</v>
      </c>
      <c r="P399" s="5" t="str">
        <f ca="1">IFERROR(__xludf.DUMMYFUNCTION("""COMPUTED_VALUE"""),"Milwaukee")</f>
        <v>Milwaukee</v>
      </c>
      <c r="Q399" s="5" t="str">
        <f ca="1">IFERROR(__xludf.DUMMYFUNCTION("""COMPUTED_VALUE"""),"WI")</f>
        <v>WI</v>
      </c>
      <c r="R399" s="5" t="str">
        <f ca="1">IFERROR(__xludf.DUMMYFUNCTION("""COMPUTED_VALUE"""),"High")</f>
        <v>High</v>
      </c>
      <c r="S399" s="5" t="str">
        <f ca="1">IFERROR(__xludf.DUMMYFUNCTION("""COMPUTED_VALUE"""),"Front of School")</f>
        <v>Front of School</v>
      </c>
      <c r="T399" s="5" t="str">
        <f ca="1">IFERROR(__xludf.DUMMYFUNCTION("""COMPUTED_VALUE"""),"Outside on School Property")</f>
        <v>Outside on School Property</v>
      </c>
      <c r="U399" s="5" t="str">
        <f ca="1">IFERROR(__xludf.DUMMYFUNCTION("""COMPUTED_VALUE"""),"Yes")</f>
        <v>Yes</v>
      </c>
      <c r="V399" s="5" t="str">
        <f ca="1">IFERROR(__xludf.DUMMYFUNCTION("""COMPUTED_VALUE"""),"Lunch")</f>
        <v>Lunch</v>
      </c>
      <c r="W399" s="10">
        <f ca="1">IFERROR(__xludf.DUMMYFUNCTION("""COMPUTED_VALUE"""),0.479166666666666)</f>
        <v>0.47916666666666602</v>
      </c>
      <c r="X399" s="5">
        <f ca="1">IFERROR(__xludf.DUMMYFUNCTION("""COMPUTED_VALUE"""),1)</f>
        <v>1</v>
      </c>
      <c r="Y399" s="5" t="str">
        <f ca="1">IFERROR(__xludf.DUMMYFUNCTION("""COMPUTED_VALUE"""),"Student fired shots into the air by the front door of the school")</f>
        <v>Student fired shots into the air by the front door of the school</v>
      </c>
      <c r="Z399" s="5" t="str">
        <f ca="1">IFERROR(__xludf.DUMMYFUNCTION("""COMPUTED_VALUE"""),"According to the criminal complaint, a Milwaukee police officer was dispatched to South Division High School on Tuesday, Dec. 14. The officer spoke with a 40-year-old man who stated that a student, who he identified as Alexander, ""got into an argument in"&amp;" the school with another student. The defendant left the school without permission and called for a ride."" The complaint says when a vehicle arrived to pick up the defendant, Alexander ""retrieved a firearm from the vehicle and fired several rounds into "&amp;"the air. The defendant then fled from the scene."" When the principal approached the student, he fired multiple shots into the air. The principal and other students ran into the school and the building went on lockdown. School district later reported that"&amp;" the school did not go on lockdown. Shooter fled. No injuries.")</f>
        <v>According to the criminal complaint, a Milwaukee police officer was dispatched to South Division High School on Tuesday, Dec. 14. The officer spoke with a 40-year-old man who stated that a student, who he identified as Alexander, "got into an argument in the school with another student. The defendant left the school without permission and called for a ride." The complaint says when a vehicle arrived to pick up the defendant, Alexander "retrieved a firearm from the vehicle and fired several rounds into the air. The defendant then fled from the scene." When the principal approached the student, he fired multiple shots into the air. The principal and other students ran into the school and the building went on lockdown. School district later reported that the school did not go on lockdown. Shooter fled. No injuries.</v>
      </c>
      <c r="AA399" s="5" t="str">
        <f ca="1">IFERROR(__xludf.DUMMYFUNCTION("""COMPUTED_VALUE"""),"Escalation of Dispute")</f>
        <v>Escalation of Dispute</v>
      </c>
      <c r="AB399" s="5" t="str">
        <f ca="1">IFERROR(__xludf.DUMMYFUNCTION("""COMPUTED_VALUE"""),"Neither")</f>
        <v>Neither</v>
      </c>
      <c r="AC399" s="5" t="str">
        <f ca="1">IFERROR(__xludf.DUMMYFUNCTION("""COMPUTED_VALUE"""),"No")</f>
        <v>No</v>
      </c>
      <c r="AD399" s="5" t="str">
        <f ca="1">IFERROR(__xludf.DUMMYFUNCTION("""COMPUTED_VALUE"""),"No")</f>
        <v>No</v>
      </c>
      <c r="AE399" s="5" t="str">
        <f ca="1">IFERROR(__xludf.DUMMYFUNCTION("""COMPUTED_VALUE"""),"No")</f>
        <v>No</v>
      </c>
      <c r="AF399" s="5" t="str">
        <f ca="1">IFERROR(__xludf.DUMMYFUNCTION("""COMPUTED_VALUE"""),"No")</f>
        <v>No</v>
      </c>
      <c r="AG399" s="5" t="str">
        <f ca="1">IFERROR(__xludf.DUMMYFUNCTION("""COMPUTED_VALUE"""),"No")</f>
        <v>No</v>
      </c>
      <c r="AH399" s="5" t="str">
        <f ca="1">IFERROR(__xludf.DUMMYFUNCTION("""COMPUTED_VALUE"""),"No")</f>
        <v>No</v>
      </c>
      <c r="AI399" s="5"/>
      <c r="AJ399" s="5" t="str">
        <f ca="1">IFERROR(__xludf.DUMMYFUNCTION("""COMPUTED_VALUE"""),"No")</f>
        <v>No</v>
      </c>
    </row>
    <row r="400" spans="1:36" ht="13">
      <c r="A400" s="5" t="str">
        <f ca="1">IFERROR(__xludf.DUMMYFUNCTION("""COMPUTED_VALUE"""),"20211214VAMEN")</f>
        <v>20211214VAMEN</v>
      </c>
      <c r="B400" s="5">
        <f ca="1">IFERROR(__xludf.DUMMYFUNCTION("""COMPUTED_VALUE"""),12)</f>
        <v>12</v>
      </c>
      <c r="C400" s="5">
        <f ca="1">IFERROR(__xludf.DUMMYFUNCTION("""COMPUTED_VALUE"""),14)</f>
        <v>14</v>
      </c>
      <c r="D400" s="5">
        <f ca="1">IFERROR(__xludf.DUMMYFUNCTION("""COMPUTED_VALUE"""),2021)</f>
        <v>2021</v>
      </c>
      <c r="E400" s="8">
        <f ca="1">IFERROR(__xludf.DUMMYFUNCTION("""COMPUTED_VALUE"""),44544)</f>
        <v>44544</v>
      </c>
      <c r="F400" s="5" t="str">
        <f ca="1">IFERROR(__xludf.DUMMYFUNCTION("""COMPUTED_VALUE"""),"Menchville High School")</f>
        <v>Menchville High School</v>
      </c>
      <c r="G400" s="5">
        <f ca="1">IFERROR(__xludf.DUMMYFUNCTION("""COMPUTED_VALUE"""),1)</f>
        <v>1</v>
      </c>
      <c r="H400" s="5">
        <f ca="1">IFERROR(__xludf.DUMMYFUNCTION("""COMPUTED_VALUE"""),0)</f>
        <v>0</v>
      </c>
      <c r="I400" s="5">
        <f ca="1">IFERROR(__xludf.DUMMYFUNCTION("""COMPUTED_VALUE"""),1)</f>
        <v>1</v>
      </c>
      <c r="J400" s="5">
        <f ca="1">IFERROR(__xludf.DUMMYFUNCTION("""COMPUTED_VALUE"""),0)</f>
        <v>0</v>
      </c>
      <c r="K400" s="5" t="str">
        <f ca="1">IFERROR(__xludf.DUMMYFUNCTION("""COMPUTED_VALUE"""),"https://www.wtkr.com/warwick-high-school-student-arrested-after-murder-of-woodside-high-school-student-following-basketball-game https://www.pilotonline.com/news/crime/vp-nw-newport-news-basketball-game-shooting-20211215-2txl5qnt3vbijo4ve3iyxujjf4-story.h"&amp;"tml https://www.wtkr.com/news/teen-shot-killed-after-basketball-game-at-menchville-high-school-in-newport-news https://www.wavy.com/news/local-news/newport-news/newport-news-police-teen-shot-and-killed-after-basketball-game-at-menchville-high-school/")</f>
        <v>https://www.wtkr.com/warwick-high-school-student-arrested-after-murder-of-woodside-high-school-student-following-basketball-game https://www.pilotonline.com/news/crime/vp-nw-newport-news-basketball-game-shooting-20211215-2txl5qnt3vbijo4ve3iyxujjf4-story.html https://www.wtkr.com/news/teen-shot-killed-after-basketball-game-at-menchville-high-school-in-newport-news https://www.wavy.com/news/local-news/newport-news/newport-news-police-teen-shot-and-killed-after-basketball-game-at-menchville-high-school/</v>
      </c>
      <c r="L400" s="5">
        <f ca="1">IFERROR(__xludf.DUMMYFUNCTION("""COMPUTED_VALUE"""),10)</f>
        <v>10</v>
      </c>
      <c r="M400" s="5" t="str">
        <f ca="1">IFERROR(__xludf.DUMMYFUNCTION("""COMPUTED_VALUE"""),"Regional")</f>
        <v>Regional</v>
      </c>
      <c r="N400" s="5">
        <f ca="1">IFERROR(__xludf.DUMMYFUNCTION("""COMPUTED_VALUE"""),4)</f>
        <v>4</v>
      </c>
      <c r="O400" s="5" t="str">
        <f ca="1">IFERROR(__xludf.DUMMYFUNCTION("""COMPUTED_VALUE"""),"Winter")</f>
        <v>Winter</v>
      </c>
      <c r="P400" s="5" t="str">
        <f ca="1">IFERROR(__xludf.DUMMYFUNCTION("""COMPUTED_VALUE"""),"Newport News")</f>
        <v>Newport News</v>
      </c>
      <c r="Q400" s="5" t="str">
        <f ca="1">IFERROR(__xludf.DUMMYFUNCTION("""COMPUTED_VALUE"""),"VA")</f>
        <v>VA</v>
      </c>
      <c r="R400" s="5" t="str">
        <f ca="1">IFERROR(__xludf.DUMMYFUNCTION("""COMPUTED_VALUE"""),"High")</f>
        <v>High</v>
      </c>
      <c r="S400" s="5" t="str">
        <f ca="1">IFERROR(__xludf.DUMMYFUNCTION("""COMPUTED_VALUE"""),"Parking Lot")</f>
        <v>Parking Lot</v>
      </c>
      <c r="T400" s="5" t="str">
        <f ca="1">IFERROR(__xludf.DUMMYFUNCTION("""COMPUTED_VALUE"""),"Outside on School Property")</f>
        <v>Outside on School Property</v>
      </c>
      <c r="U400" s="5" t="str">
        <f ca="1">IFERROR(__xludf.DUMMYFUNCTION("""COMPUTED_VALUE"""),"No")</f>
        <v>No</v>
      </c>
      <c r="V400" s="5" t="str">
        <f ca="1">IFERROR(__xludf.DUMMYFUNCTION("""COMPUTED_VALUE"""),"Sport Event")</f>
        <v>Sport Event</v>
      </c>
      <c r="W400" s="10">
        <f ca="1">IFERROR(__xludf.DUMMYFUNCTION("""COMPUTED_VALUE"""),0.861111111111111)</f>
        <v>0.86111111111111105</v>
      </c>
      <c r="X400" s="5">
        <f ca="1">IFERROR(__xludf.DUMMYFUNCTION("""COMPUTED_VALUE"""),1)</f>
        <v>1</v>
      </c>
      <c r="Y400" s="5" t="str">
        <f ca="1">IFERROR(__xludf.DUMMYFUNCTION("""COMPUTED_VALUE"""),"Student fatally shot in school parking lot during basketball game")</f>
        <v>Student fatally shot in school parking lot during basketball game</v>
      </c>
      <c r="Z400" s="5" t="str">
        <f ca="1">IFERROR(__xludf.DUMMYFUNCTION("""COMPUTED_VALUE"""),"A teenage student was fatally shot during a fight in the school parking lot during a high school basketball game. Teen had left the game early and was waiting outside next to a vehicle. He was spotted by a group of teens from a rival group and they jumped"&amp;" him. He was shot while trying to get into the vehicle. In addition to the gun used to shoot the victim, 2 guns were recovered from inside the car he was entering.")</f>
        <v>A teenage student was fatally shot during a fight in the school parking lot during a high school basketball game. Teen had left the game early and was waiting outside next to a vehicle. He was spotted by a group of teens from a rival group and they jumped him. He was shot while trying to get into the vehicle. In addition to the gun used to shoot the victim, 2 guns were recovered from inside the car he was entering.</v>
      </c>
      <c r="AA400" s="5" t="str">
        <f ca="1">IFERROR(__xludf.DUMMYFUNCTION("""COMPUTED_VALUE"""),"Escalation of Dispute")</f>
        <v>Escalation of Dispute</v>
      </c>
      <c r="AB400" s="5" t="str">
        <f ca="1">IFERROR(__xludf.DUMMYFUNCTION("""COMPUTED_VALUE"""),"Victims Targeted")</f>
        <v>Victims Targeted</v>
      </c>
      <c r="AC400" s="5" t="str">
        <f ca="1">IFERROR(__xludf.DUMMYFUNCTION("""COMPUTED_VALUE"""),"Yes")</f>
        <v>Yes</v>
      </c>
      <c r="AD400" s="5" t="str">
        <f ca="1">IFERROR(__xludf.DUMMYFUNCTION("""COMPUTED_VALUE"""),"No")</f>
        <v>No</v>
      </c>
      <c r="AE400" s="5" t="str">
        <f ca="1">IFERROR(__xludf.DUMMYFUNCTION("""COMPUTED_VALUE"""),"No")</f>
        <v>No</v>
      </c>
      <c r="AF400" s="5" t="str">
        <f ca="1">IFERROR(__xludf.DUMMYFUNCTION("""COMPUTED_VALUE"""),"No")</f>
        <v>No</v>
      </c>
      <c r="AG400" s="5" t="str">
        <f ca="1">IFERROR(__xludf.DUMMYFUNCTION("""COMPUTED_VALUE"""),"No")</f>
        <v>No</v>
      </c>
      <c r="AH400" s="5" t="str">
        <f ca="1">IFERROR(__xludf.DUMMYFUNCTION("""COMPUTED_VALUE"""),"No")</f>
        <v>No</v>
      </c>
      <c r="AI400" s="5" t="str">
        <f ca="1">IFERROR(__xludf.DUMMYFUNCTION("""COMPUTED_VALUE"""),"Yes")</f>
        <v>Yes</v>
      </c>
      <c r="AJ400" s="5" t="str">
        <f ca="1">IFERROR(__xludf.DUMMYFUNCTION("""COMPUTED_VALUE"""),"No")</f>
        <v>No</v>
      </c>
    </row>
    <row r="401" spans="1:36" ht="13">
      <c r="A401" s="5" t="str">
        <f ca="1">IFERROR(__xludf.DUMMYFUNCTION("""COMPUTED_VALUE"""),"20211213NCWEC")</f>
        <v>20211213NCWEC</v>
      </c>
      <c r="B401" s="5">
        <f ca="1">IFERROR(__xludf.DUMMYFUNCTION("""COMPUTED_VALUE"""),12)</f>
        <v>12</v>
      </c>
      <c r="C401" s="5">
        <f ca="1">IFERROR(__xludf.DUMMYFUNCTION("""COMPUTED_VALUE"""),13)</f>
        <v>13</v>
      </c>
      <c r="D401" s="5">
        <f ca="1">IFERROR(__xludf.DUMMYFUNCTION("""COMPUTED_VALUE"""),2021)</f>
        <v>2021</v>
      </c>
      <c r="E401" s="8">
        <f ca="1">IFERROR(__xludf.DUMMYFUNCTION("""COMPUTED_VALUE"""),44543)</f>
        <v>44543</v>
      </c>
      <c r="F401" s="5" t="str">
        <f ca="1">IFERROR(__xludf.DUMMYFUNCTION("""COMPUTED_VALUE"""),"West Charlotte High School")</f>
        <v>West Charlotte High School</v>
      </c>
      <c r="G401" s="5">
        <f ca="1">IFERROR(__xludf.DUMMYFUNCTION("""COMPUTED_VALUE"""),0)</f>
        <v>0</v>
      </c>
      <c r="H401" s="5">
        <f ca="1">IFERROR(__xludf.DUMMYFUNCTION("""COMPUTED_VALUE"""),0)</f>
        <v>0</v>
      </c>
      <c r="I401" s="5">
        <f ca="1">IFERROR(__xludf.DUMMYFUNCTION("""COMPUTED_VALUE"""),0)</f>
        <v>0</v>
      </c>
      <c r="J401" s="5">
        <f ca="1">IFERROR(__xludf.DUMMYFUNCTION("""COMPUTED_VALUE"""),0)</f>
        <v>0</v>
      </c>
      <c r="K401" s="5" t="str">
        <f ca="1">IFERROR(__xludf.DUMMYFUNCTION("""COMPUTED_VALUE"""),"https://www.wistv.com/2021/12/13/shots-west-charlotte-hs-campus-cmpd-responding/ https://www.cbs17.com/news/north-carolina-news/police-argument-over-backpack-sparks-shooting-outside-west-charlotte-high-school-no-injuries-reported/ https://www.wbtv.com/202"&amp;"1/12/13/cmpd-responding-shots-fired-call-west-charlotte-hs-campus/ https://www.wfae.org/crime-justice/2021-12-13/student-fires-a-gun-outside-west-charlotte-high-as-cms-breaks-record-for-guns-at-schools https://www.wsoctv.com/news/local/police-respond-west"&amp;"-charlotte-hs-after-shots-fired-outside-school-cmpd-says/UXBSJ5KJ7FA6DGPXW7WPVNU7FE/")</f>
        <v>https://www.wistv.com/2021/12/13/shots-west-charlotte-hs-campus-cmpd-responding/ https://www.cbs17.com/news/north-carolina-news/police-argument-over-backpack-sparks-shooting-outside-west-charlotte-high-school-no-injuries-reported/ https://www.wbtv.com/2021/12/13/cmpd-responding-shots-fired-call-west-charlotte-hs-campus/ https://www.wfae.org/crime-justice/2021-12-13/student-fires-a-gun-outside-west-charlotte-high-as-cms-breaks-record-for-guns-at-schools https://www.wsoctv.com/news/local/police-respond-west-charlotte-hs-after-shots-fired-outside-school-cmpd-says/UXBSJ5KJ7FA6DGPXW7WPVNU7FE/</v>
      </c>
      <c r="L401" s="5">
        <f ca="1">IFERROR(__xludf.DUMMYFUNCTION("""COMPUTED_VALUE"""),10)</f>
        <v>10</v>
      </c>
      <c r="M401" s="5" t="str">
        <f ca="1">IFERROR(__xludf.DUMMYFUNCTION("""COMPUTED_VALUE"""),"Regional")</f>
        <v>Regional</v>
      </c>
      <c r="N401" s="5">
        <f ca="1">IFERROR(__xludf.DUMMYFUNCTION("""COMPUTED_VALUE"""),4)</f>
        <v>4</v>
      </c>
      <c r="O401" s="5" t="str">
        <f ca="1">IFERROR(__xludf.DUMMYFUNCTION("""COMPUTED_VALUE"""),"Winter")</f>
        <v>Winter</v>
      </c>
      <c r="P401" s="5" t="str">
        <f ca="1">IFERROR(__xludf.DUMMYFUNCTION("""COMPUTED_VALUE"""),"Charlotte")</f>
        <v>Charlotte</v>
      </c>
      <c r="Q401" s="5" t="str">
        <f ca="1">IFERROR(__xludf.DUMMYFUNCTION("""COMPUTED_VALUE"""),"NC")</f>
        <v>NC</v>
      </c>
      <c r="R401" s="5" t="str">
        <f ca="1">IFERROR(__xludf.DUMMYFUNCTION("""COMPUTED_VALUE"""),"High")</f>
        <v>High</v>
      </c>
      <c r="S401" s="5" t="str">
        <f ca="1">IFERROR(__xludf.DUMMYFUNCTION("""COMPUTED_VALUE"""),"Parking Lot")</f>
        <v>Parking Lot</v>
      </c>
      <c r="T401" s="5" t="str">
        <f ca="1">IFERROR(__xludf.DUMMYFUNCTION("""COMPUTED_VALUE"""),"Outside on School Property")</f>
        <v>Outside on School Property</v>
      </c>
      <c r="U401" s="5" t="str">
        <f ca="1">IFERROR(__xludf.DUMMYFUNCTION("""COMPUTED_VALUE"""),"Yes")</f>
        <v>Yes</v>
      </c>
      <c r="V401" s="5" t="str">
        <f ca="1">IFERROR(__xludf.DUMMYFUNCTION("""COMPUTED_VALUE"""),"Dismissal")</f>
        <v>Dismissal</v>
      </c>
      <c r="W401" s="10">
        <f ca="1">IFERROR(__xludf.DUMMYFUNCTION("""COMPUTED_VALUE"""),0.594444444444444)</f>
        <v>0.594444444444444</v>
      </c>
      <c r="X401" s="5">
        <f ca="1">IFERROR(__xludf.DUMMYFUNCTION("""COMPUTED_VALUE"""),1)</f>
        <v>1</v>
      </c>
      <c r="Y401" s="5" t="str">
        <f ca="1">IFERROR(__xludf.DUMMYFUNCTION("""COMPUTED_VALUE"""),"Shot fired during fight at dismissal")</f>
        <v>Shot fired during fight at dismissal</v>
      </c>
      <c r="Z401" s="5" t="str">
        <f ca="1">IFERROR(__xludf.DUMMYFUNCTION("""COMPUTED_VALUE"""),"A teen student fired at shot at another student during a fight in the parking lot at dismissal. The fight was over a bookbag. Shooter fled and was arrested away from the school. No injuries. School switched to virtual learning the following day.")</f>
        <v>A teen student fired at shot at another student during a fight in the parking lot at dismissal. The fight was over a bookbag. Shooter fled and was arrested away from the school. No injuries. School switched to virtual learning the following day.</v>
      </c>
      <c r="AA401" s="5" t="str">
        <f ca="1">IFERROR(__xludf.DUMMYFUNCTION("""COMPUTED_VALUE"""),"Escalation of Dispute")</f>
        <v>Escalation of Dispute</v>
      </c>
      <c r="AB401" s="5" t="str">
        <f ca="1">IFERROR(__xludf.DUMMYFUNCTION("""COMPUTED_VALUE"""),"Victims Targeted")</f>
        <v>Victims Targeted</v>
      </c>
      <c r="AC401" s="5" t="str">
        <f ca="1">IFERROR(__xludf.DUMMYFUNCTION("""COMPUTED_VALUE"""),"No")</f>
        <v>No</v>
      </c>
      <c r="AD401" s="5" t="str">
        <f ca="1">IFERROR(__xludf.DUMMYFUNCTION("""COMPUTED_VALUE"""),"No")</f>
        <v>No</v>
      </c>
      <c r="AE401" s="5" t="str">
        <f ca="1">IFERROR(__xludf.DUMMYFUNCTION("""COMPUTED_VALUE"""),"No")</f>
        <v>No</v>
      </c>
      <c r="AF401" s="5" t="str">
        <f ca="1">IFERROR(__xludf.DUMMYFUNCTION("""COMPUTED_VALUE"""),"No")</f>
        <v>No</v>
      </c>
      <c r="AG401" s="5" t="str">
        <f ca="1">IFERROR(__xludf.DUMMYFUNCTION("""COMPUTED_VALUE"""),"No")</f>
        <v>No</v>
      </c>
      <c r="AH401" s="5" t="str">
        <f ca="1">IFERROR(__xludf.DUMMYFUNCTION("""COMPUTED_VALUE"""),"No")</f>
        <v>No</v>
      </c>
      <c r="AI401" s="5" t="str">
        <f ca="1">IFERROR(__xludf.DUMMYFUNCTION("""COMPUTED_VALUE"""),"No")</f>
        <v>No</v>
      </c>
      <c r="AJ401" s="5" t="str">
        <f ca="1">IFERROR(__xludf.DUMMYFUNCTION("""COMPUTED_VALUE"""),"No")</f>
        <v>No</v>
      </c>
    </row>
    <row r="402" spans="1:36" ht="13">
      <c r="A402" s="5" t="str">
        <f ca="1">IFERROR(__xludf.DUMMYFUNCTION("""COMPUTED_VALUE"""),"20211213FLEAO")</f>
        <v>20211213FLEAO</v>
      </c>
      <c r="B402" s="5">
        <f ca="1">IFERROR(__xludf.DUMMYFUNCTION("""COMPUTED_VALUE"""),12)</f>
        <v>12</v>
      </c>
      <c r="C402" s="5">
        <f ca="1">IFERROR(__xludf.DUMMYFUNCTION("""COMPUTED_VALUE"""),13)</f>
        <v>13</v>
      </c>
      <c r="D402" s="5">
        <f ca="1">IFERROR(__xludf.DUMMYFUNCTION("""COMPUTED_VALUE"""),2021)</f>
        <v>2021</v>
      </c>
      <c r="E402" s="8">
        <f ca="1">IFERROR(__xludf.DUMMYFUNCTION("""COMPUTED_VALUE"""),44543)</f>
        <v>44543</v>
      </c>
      <c r="F402" s="5" t="str">
        <f ca="1">IFERROR(__xludf.DUMMYFUNCTION("""COMPUTED_VALUE"""),"East River High School")</f>
        <v>East River High School</v>
      </c>
      <c r="G402" s="5">
        <f ca="1">IFERROR(__xludf.DUMMYFUNCTION("""COMPUTED_VALUE"""),0)</f>
        <v>0</v>
      </c>
      <c r="H402" s="5">
        <f ca="1">IFERROR(__xludf.DUMMYFUNCTION("""COMPUTED_VALUE"""),0)</f>
        <v>0</v>
      </c>
      <c r="I402" s="5">
        <f ca="1">IFERROR(__xludf.DUMMYFUNCTION("""COMPUTED_VALUE"""),0)</f>
        <v>0</v>
      </c>
      <c r="J402" s="5">
        <f ca="1">IFERROR(__xludf.DUMMYFUNCTION("""COMPUTED_VALUE"""),0)</f>
        <v>0</v>
      </c>
      <c r="K402" s="5" t="str">
        <f ca="1">IFERROR(__xludf.DUMMYFUNCTION("""COMPUTED_VALUE"""),"https://www.orlandosentinel.com/news/orange-county/os-ne-shots-fired-east-river-high-school-20211213-dv35bdxeqvbubc5p33o55eg5iu-story.html https://www.wftv.com/news/local/no-injuries-reported-after-gunfire-east-river-high-school-principal-says/FECBPDJE6JB"&amp;"2LFYN2UA5ZJ4MCY/ https://www.clickorlando.com/news/local/2021/12/13/watch-live-sky-flies-over-large-law-enforcement-presence-at-east-river-high-school/")</f>
        <v>https://www.orlandosentinel.com/news/orange-county/os-ne-shots-fired-east-river-high-school-20211213-dv35bdxeqvbubc5p33o55eg5iu-story.html https://www.wftv.com/news/local/no-injuries-reported-after-gunfire-east-river-high-school-principal-says/FECBPDJE6JB2LFYN2UA5ZJ4MCY/ https://www.clickorlando.com/news/local/2021/12/13/watch-live-sky-flies-over-large-law-enforcement-presence-at-east-river-high-school/</v>
      </c>
      <c r="L402" s="5">
        <f ca="1">IFERROR(__xludf.DUMMYFUNCTION("""COMPUTED_VALUE"""),10)</f>
        <v>10</v>
      </c>
      <c r="M402" s="5" t="str">
        <f ca="1">IFERROR(__xludf.DUMMYFUNCTION("""COMPUTED_VALUE"""),"Regional")</f>
        <v>Regional</v>
      </c>
      <c r="N402" s="5">
        <f ca="1">IFERROR(__xludf.DUMMYFUNCTION("""COMPUTED_VALUE"""),4)</f>
        <v>4</v>
      </c>
      <c r="O402" s="5" t="str">
        <f ca="1">IFERROR(__xludf.DUMMYFUNCTION("""COMPUTED_VALUE"""),"Winter")</f>
        <v>Winter</v>
      </c>
      <c r="P402" s="5" t="str">
        <f ca="1">IFERROR(__xludf.DUMMYFUNCTION("""COMPUTED_VALUE"""),"Orlando")</f>
        <v>Orlando</v>
      </c>
      <c r="Q402" s="5" t="str">
        <f ca="1">IFERROR(__xludf.DUMMYFUNCTION("""COMPUTED_VALUE"""),"FL")</f>
        <v>FL</v>
      </c>
      <c r="R402" s="5" t="str">
        <f ca="1">IFERROR(__xludf.DUMMYFUNCTION("""COMPUTED_VALUE"""),"High")</f>
        <v>High</v>
      </c>
      <c r="S402" s="5" t="str">
        <f ca="1">IFERROR(__xludf.DUMMYFUNCTION("""COMPUTED_VALUE"""),"Parking Lot")</f>
        <v>Parking Lot</v>
      </c>
      <c r="T402" s="5" t="str">
        <f ca="1">IFERROR(__xludf.DUMMYFUNCTION("""COMPUTED_VALUE"""),"Outside on School Property")</f>
        <v>Outside on School Property</v>
      </c>
      <c r="U402" s="5" t="str">
        <f ca="1">IFERROR(__xludf.DUMMYFUNCTION("""COMPUTED_VALUE"""),"Yes")</f>
        <v>Yes</v>
      </c>
      <c r="V402" s="5" t="str">
        <f ca="1">IFERROR(__xludf.DUMMYFUNCTION("""COMPUTED_VALUE"""),"Dismissal")</f>
        <v>Dismissal</v>
      </c>
      <c r="W402" s="10">
        <f ca="1">IFERROR(__xludf.DUMMYFUNCTION("""COMPUTED_VALUE"""),0.625)</f>
        <v>0.625</v>
      </c>
      <c r="X402" s="5">
        <f ca="1">IFERROR(__xludf.DUMMYFUNCTION("""COMPUTED_VALUE"""),1)</f>
        <v>1</v>
      </c>
      <c r="Y402" s="5" t="str">
        <f ca="1">IFERROR(__xludf.DUMMYFUNCTION("""COMPUTED_VALUE"""),"Shot fired in the school parking lot during dismissal")</f>
        <v>Shot fired in the school parking lot during dismissal</v>
      </c>
      <c r="Z402" s="5" t="str">
        <f ca="1">IFERROR(__xludf.DUMMYFUNCTION("""COMPUTED_VALUE"""),"Shot fired in the school parking lot during dismissal. No injuries. Shooter fled. School went into lockdown and notified parents. Basketball game scheduled for later in the evening was cancelled.")</f>
        <v>Shot fired in the school parking lot during dismissal. No injuries. Shooter fled. School went into lockdown and notified parents. Basketball game scheduled for later in the evening was cancelled.</v>
      </c>
      <c r="AA402" s="5"/>
      <c r="AB402" s="5"/>
      <c r="AC402" s="5" t="str">
        <f ca="1">IFERROR(__xludf.DUMMYFUNCTION("""COMPUTED_VALUE"""),"No")</f>
        <v>No</v>
      </c>
      <c r="AD402" s="5" t="str">
        <f ca="1">IFERROR(__xludf.DUMMYFUNCTION("""COMPUTED_VALUE"""),"No")</f>
        <v>No</v>
      </c>
      <c r="AE402" s="5" t="str">
        <f ca="1">IFERROR(__xludf.DUMMYFUNCTION("""COMPUTED_VALUE"""),"No")</f>
        <v>No</v>
      </c>
      <c r="AF402" s="5" t="str">
        <f ca="1">IFERROR(__xludf.DUMMYFUNCTION("""COMPUTED_VALUE"""),"No")</f>
        <v>No</v>
      </c>
      <c r="AG402" s="5" t="str">
        <f ca="1">IFERROR(__xludf.DUMMYFUNCTION("""COMPUTED_VALUE"""),"No")</f>
        <v>No</v>
      </c>
      <c r="AH402" s="5" t="str">
        <f ca="1">IFERROR(__xludf.DUMMYFUNCTION("""COMPUTED_VALUE"""),"No")</f>
        <v>No</v>
      </c>
      <c r="AI402" s="5"/>
      <c r="AJ402" s="5" t="str">
        <f ca="1">IFERROR(__xludf.DUMMYFUNCTION("""COMPUTED_VALUE"""),"No")</f>
        <v>No</v>
      </c>
    </row>
    <row r="403" spans="1:36" ht="13">
      <c r="A403" s="5" t="str">
        <f ca="1">IFERROR(__xludf.DUMMYFUNCTION("""COMPUTED_VALUE"""),"20211212NYSCR")</f>
        <v>20211212NYSCR</v>
      </c>
      <c r="B403" s="5">
        <f ca="1">IFERROR(__xludf.DUMMYFUNCTION("""COMPUTED_VALUE"""),12)</f>
        <v>12</v>
      </c>
      <c r="C403" s="5">
        <f ca="1">IFERROR(__xludf.DUMMYFUNCTION("""COMPUTED_VALUE"""),12)</f>
        <v>12</v>
      </c>
      <c r="D403" s="5">
        <f ca="1">IFERROR(__xludf.DUMMYFUNCTION("""COMPUTED_VALUE"""),2021)</f>
        <v>2021</v>
      </c>
      <c r="E403" s="8">
        <f ca="1">IFERROR(__xludf.DUMMYFUNCTION("""COMPUTED_VALUE"""),44542)</f>
        <v>44542</v>
      </c>
      <c r="F403" s="5" t="str">
        <f ca="1">IFERROR(__xludf.DUMMYFUNCTION("""COMPUTED_VALUE"""),"School No. 17")</f>
        <v>School No. 17</v>
      </c>
      <c r="G403" s="5">
        <f ca="1">IFERROR(__xludf.DUMMYFUNCTION("""COMPUTED_VALUE"""),1)</f>
        <v>1</v>
      </c>
      <c r="H403" s="5">
        <f ca="1">IFERROR(__xludf.DUMMYFUNCTION("""COMPUTED_VALUE"""),0)</f>
        <v>0</v>
      </c>
      <c r="I403" s="5">
        <f ca="1">IFERROR(__xludf.DUMMYFUNCTION("""COMPUTED_VALUE"""),1)</f>
        <v>1</v>
      </c>
      <c r="J403" s="5">
        <f ca="1">IFERROR(__xludf.DUMMYFUNCTION("""COMPUTED_VALUE"""),0)</f>
        <v>0</v>
      </c>
      <c r="K403" s="5" t="str">
        <f ca="1">IFERROR(__xludf.DUMMYFUNCTION("""COMPUTED_VALUE"""),"https://news.yahoo.com/shooting-near-school-playground-leaves-101541934.html https://www.democratandchronicle.com/story/news/2021/12/13/shooting-near-school-17-playground-leaves-one-dead-in-rochester-ny/6491240001/ https://www.rochesterfirst.com/crime/roc"&amp;"hester-man-shot-dead-on-campbell-st-citys-80th-homicide/")</f>
        <v>https://news.yahoo.com/shooting-near-school-playground-leaves-101541934.html https://www.democratandchronicle.com/story/news/2021/12/13/shooting-near-school-17-playground-leaves-one-dead-in-rochester-ny/6491240001/ https://www.rochesterfirst.com/crime/rochester-man-shot-dead-on-campbell-st-citys-80th-homicide/</v>
      </c>
      <c r="L403" s="5">
        <f ca="1">IFERROR(__xludf.DUMMYFUNCTION("""COMPUTED_VALUE"""),2)</f>
        <v>2</v>
      </c>
      <c r="M403" s="5" t="str">
        <f ca="1">IFERROR(__xludf.DUMMYFUNCTION("""COMPUTED_VALUE"""),"Local")</f>
        <v>Local</v>
      </c>
      <c r="N403" s="5">
        <f ca="1">IFERROR(__xludf.DUMMYFUNCTION("""COMPUTED_VALUE"""),4)</f>
        <v>4</v>
      </c>
      <c r="O403" s="5" t="str">
        <f ca="1">IFERROR(__xludf.DUMMYFUNCTION("""COMPUTED_VALUE"""),"Winter")</f>
        <v>Winter</v>
      </c>
      <c r="P403" s="5" t="str">
        <f ca="1">IFERROR(__xludf.DUMMYFUNCTION("""COMPUTED_VALUE"""),"Rochester")</f>
        <v>Rochester</v>
      </c>
      <c r="Q403" s="5" t="str">
        <f ca="1">IFERROR(__xludf.DUMMYFUNCTION("""COMPUTED_VALUE"""),"NY")</f>
        <v>NY</v>
      </c>
      <c r="R403" s="5" t="str">
        <f ca="1">IFERROR(__xludf.DUMMYFUNCTION("""COMPUTED_VALUE"""),"K-8")</f>
        <v>K-8</v>
      </c>
      <c r="S403" s="5" t="str">
        <f ca="1">IFERROR(__xludf.DUMMYFUNCTION("""COMPUTED_VALUE"""),"Playground")</f>
        <v>Playground</v>
      </c>
      <c r="T403" s="5" t="str">
        <f ca="1">IFERROR(__xludf.DUMMYFUNCTION("""COMPUTED_VALUE"""),"Outside on School Property")</f>
        <v>Outside on School Property</v>
      </c>
      <c r="U403" s="5" t="str">
        <f ca="1">IFERROR(__xludf.DUMMYFUNCTION("""COMPUTED_VALUE"""),"No")</f>
        <v>No</v>
      </c>
      <c r="V403" s="5" t="str">
        <f ca="1">IFERROR(__xludf.DUMMYFUNCTION("""COMPUTED_VALUE"""),"Evening")</f>
        <v>Evening</v>
      </c>
      <c r="W403" s="10">
        <f ca="1">IFERROR(__xludf.DUMMYFUNCTION("""COMPUTED_VALUE"""),0.770833333333333)</f>
        <v>0.77083333333333304</v>
      </c>
      <c r="X403" s="5">
        <f ca="1">IFERROR(__xludf.DUMMYFUNCTION("""COMPUTED_VALUE"""),1)</f>
        <v>1</v>
      </c>
      <c r="Y403" s="5" t="str">
        <f ca="1">IFERROR(__xludf.DUMMYFUNCTION("""COMPUTED_VALUE"""),"Adult male fatally shot during dispute on school playground")</f>
        <v>Adult male fatally shot during dispute on school playground</v>
      </c>
      <c r="Z403" s="5" t="str">
        <f ca="1">IFERROR(__xludf.DUMMYFUNCTION("""COMPUTED_VALUE"""),"A 25-year-old man was fatally shot during a dispute with another man on the school playground. Shooter fled. The victim was transported to the hospital in a private vehicle. A 21-year-old male was arrested 2 days later and charged with murder.")</f>
        <v>A 25-year-old man was fatally shot during a dispute with another man on the school playground. Shooter fled. The victim was transported to the hospital in a private vehicle. A 21-year-old male was arrested 2 days later and charged with murder.</v>
      </c>
      <c r="AA403" s="5" t="str">
        <f ca="1">IFERROR(__xludf.DUMMYFUNCTION("""COMPUTED_VALUE"""),"Escalation of Dispute")</f>
        <v>Escalation of Dispute</v>
      </c>
      <c r="AB403" s="5" t="str">
        <f ca="1">IFERROR(__xludf.DUMMYFUNCTION("""COMPUTED_VALUE"""),"Victims Targeted")</f>
        <v>Victims Targeted</v>
      </c>
      <c r="AC403" s="5" t="str">
        <f ca="1">IFERROR(__xludf.DUMMYFUNCTION("""COMPUTED_VALUE"""),"No")</f>
        <v>No</v>
      </c>
      <c r="AD403" s="5" t="str">
        <f ca="1">IFERROR(__xludf.DUMMYFUNCTION("""COMPUTED_VALUE"""),"No")</f>
        <v>No</v>
      </c>
      <c r="AE403" s="5" t="str">
        <f ca="1">IFERROR(__xludf.DUMMYFUNCTION("""COMPUTED_VALUE"""),"No")</f>
        <v>No</v>
      </c>
      <c r="AF403" s="5" t="str">
        <f ca="1">IFERROR(__xludf.DUMMYFUNCTION("""COMPUTED_VALUE"""),"No")</f>
        <v>No</v>
      </c>
      <c r="AG403" s="5" t="str">
        <f ca="1">IFERROR(__xludf.DUMMYFUNCTION("""COMPUTED_VALUE"""),"No")</f>
        <v>No</v>
      </c>
      <c r="AH403" s="5" t="str">
        <f ca="1">IFERROR(__xludf.DUMMYFUNCTION("""COMPUTED_VALUE"""),"No")</f>
        <v>No</v>
      </c>
      <c r="AI403" s="5" t="str">
        <f ca="1">IFERROR(__xludf.DUMMYFUNCTION("""COMPUTED_VALUE"""),"No")</f>
        <v>No</v>
      </c>
      <c r="AJ403" s="5" t="str">
        <f ca="1">IFERROR(__xludf.DUMMYFUNCTION("""COMPUTED_VALUE"""),"No")</f>
        <v>No</v>
      </c>
    </row>
    <row r="404" spans="1:36" ht="13">
      <c r="A404" s="5" t="str">
        <f ca="1">IFERROR(__xludf.DUMMYFUNCTION("""COMPUTED_VALUE"""),"20211211GAJOG")</f>
        <v>20211211GAJOG</v>
      </c>
      <c r="B404" s="5">
        <f ca="1">IFERROR(__xludf.DUMMYFUNCTION("""COMPUTED_VALUE"""),12)</f>
        <v>12</v>
      </c>
      <c r="C404" s="5">
        <f ca="1">IFERROR(__xludf.DUMMYFUNCTION("""COMPUTED_VALUE"""),11)</f>
        <v>11</v>
      </c>
      <c r="D404" s="5">
        <f ca="1">IFERROR(__xludf.DUMMYFUNCTION("""COMPUTED_VALUE"""),2021)</f>
        <v>2021</v>
      </c>
      <c r="E404" s="8">
        <f ca="1">IFERROR(__xludf.DUMMYFUNCTION("""COMPUTED_VALUE"""),44541)</f>
        <v>44541</v>
      </c>
      <c r="F404" s="5" t="str">
        <f ca="1">IFERROR(__xludf.DUMMYFUNCTION("""COMPUTED_VALUE"""),"Jones County High School")</f>
        <v>Jones County High School</v>
      </c>
      <c r="G404" s="5">
        <f ca="1">IFERROR(__xludf.DUMMYFUNCTION("""COMPUTED_VALUE"""),0)</f>
        <v>0</v>
      </c>
      <c r="H404" s="5">
        <f ca="1">IFERROR(__xludf.DUMMYFUNCTION("""COMPUTED_VALUE"""),0)</f>
        <v>0</v>
      </c>
      <c r="I404" s="5">
        <f ca="1">IFERROR(__xludf.DUMMYFUNCTION("""COMPUTED_VALUE"""),0)</f>
        <v>0</v>
      </c>
      <c r="J404" s="5">
        <f ca="1">IFERROR(__xludf.DUMMYFUNCTION("""COMPUTED_VALUE"""),0)</f>
        <v>0</v>
      </c>
      <c r="K404" s="5" t="str">
        <f ca="1">IFERROR(__xludf.DUMMYFUNCTION("""COMPUTED_VALUE"""),"https://www.13wmaz.com/article/news/local/shooting-during-jones-county-high-basketball-game/93-1fe72b16-4515-4a35-b9e2-c6220c4113b1 https://www.unionrecorder.com/news/investigation-underway-into-shooting-at-bhs-jones-co-basketball-game/article_fdc2d244-5a"&amp;"fd-11ec-aec0-d366b61d0394.html")</f>
        <v>https://www.13wmaz.com/article/news/local/shooting-during-jones-county-high-basketball-game/93-1fe72b16-4515-4a35-b9e2-c6220c4113b1 https://www.unionrecorder.com/news/investigation-underway-into-shooting-at-bhs-jones-co-basketball-game/article_fdc2d244-5afd-11ec-aec0-d366b61d0394.html</v>
      </c>
      <c r="L404" s="5">
        <f ca="1">IFERROR(__xludf.DUMMYFUNCTION("""COMPUTED_VALUE"""),2)</f>
        <v>2</v>
      </c>
      <c r="M404" s="5" t="str">
        <f ca="1">IFERROR(__xludf.DUMMYFUNCTION("""COMPUTED_VALUE"""),"Local")</f>
        <v>Local</v>
      </c>
      <c r="N404" s="5">
        <f ca="1">IFERROR(__xludf.DUMMYFUNCTION("""COMPUTED_VALUE"""),4)</f>
        <v>4</v>
      </c>
      <c r="O404" s="5" t="str">
        <f ca="1">IFERROR(__xludf.DUMMYFUNCTION("""COMPUTED_VALUE"""),"Winter")</f>
        <v>Winter</v>
      </c>
      <c r="P404" s="5" t="str">
        <f ca="1">IFERROR(__xludf.DUMMYFUNCTION("""COMPUTED_VALUE"""),"Gray")</f>
        <v>Gray</v>
      </c>
      <c r="Q404" s="5" t="str">
        <f ca="1">IFERROR(__xludf.DUMMYFUNCTION("""COMPUTED_VALUE"""),"GA")</f>
        <v>GA</v>
      </c>
      <c r="R404" s="5" t="str">
        <f ca="1">IFERROR(__xludf.DUMMYFUNCTION("""COMPUTED_VALUE"""),"High")</f>
        <v>High</v>
      </c>
      <c r="S404" s="5" t="str">
        <f ca="1">IFERROR(__xludf.DUMMYFUNCTION("""COMPUTED_VALUE"""),"Gym")</f>
        <v>Gym</v>
      </c>
      <c r="T404" s="5" t="str">
        <f ca="1">IFERROR(__xludf.DUMMYFUNCTION("""COMPUTED_VALUE"""),"Inside School Building")</f>
        <v>Inside School Building</v>
      </c>
      <c r="U404" s="5" t="str">
        <f ca="1">IFERROR(__xludf.DUMMYFUNCTION("""COMPUTED_VALUE"""),"No")</f>
        <v>No</v>
      </c>
      <c r="V404" s="5" t="str">
        <f ca="1">IFERROR(__xludf.DUMMYFUNCTION("""COMPUTED_VALUE"""),"Sport Event")</f>
        <v>Sport Event</v>
      </c>
      <c r="W404" s="10">
        <f ca="1">IFERROR(__xludf.DUMMYFUNCTION("""COMPUTED_VALUE"""),0.84375)</f>
        <v>0.84375</v>
      </c>
      <c r="X404" s="5">
        <f ca="1">IFERROR(__xludf.DUMMYFUNCTION("""COMPUTED_VALUE"""),1)</f>
        <v>1</v>
      </c>
      <c r="Y404" s="5" t="str">
        <f ca="1">IFERROR(__xludf.DUMMYFUNCTION("""COMPUTED_VALUE"""),"Shot fired in the gym during high school basketball game")</f>
        <v>Shot fired in the gym during high school basketball game</v>
      </c>
      <c r="Z404" s="5" t="str">
        <f ca="1">IFERROR(__xludf.DUMMYFUNCTION("""COMPUTED_VALUE"""),"A shot was fired in the gym during fight between teens at a high school basketball game. Gym was evacuated. No injuries. 4 teens were arrested in a vehicle in possession of a handgun and marijuana.")</f>
        <v>A shot was fired in the gym during fight between teens at a high school basketball game. Gym was evacuated. No injuries. 4 teens were arrested in a vehicle in possession of a handgun and marijuana.</v>
      </c>
      <c r="AA404" s="5" t="str">
        <f ca="1">IFERROR(__xludf.DUMMYFUNCTION("""COMPUTED_VALUE"""),"Escalation of Dispute")</f>
        <v>Escalation of Dispute</v>
      </c>
      <c r="AB404" s="5" t="str">
        <f ca="1">IFERROR(__xludf.DUMMYFUNCTION("""COMPUTED_VALUE"""),"Victims Targeted")</f>
        <v>Victims Targeted</v>
      </c>
      <c r="AC404" s="5" t="str">
        <f ca="1">IFERROR(__xludf.DUMMYFUNCTION("""COMPUTED_VALUE"""),"Yes")</f>
        <v>Yes</v>
      </c>
      <c r="AD404" s="5" t="str">
        <f ca="1">IFERROR(__xludf.DUMMYFUNCTION("""COMPUTED_VALUE"""),"No")</f>
        <v>No</v>
      </c>
      <c r="AE404" s="5" t="str">
        <f ca="1">IFERROR(__xludf.DUMMYFUNCTION("""COMPUTED_VALUE"""),"No")</f>
        <v>No</v>
      </c>
      <c r="AF404" s="5" t="str">
        <f ca="1">IFERROR(__xludf.DUMMYFUNCTION("""COMPUTED_VALUE"""),"No")</f>
        <v>No</v>
      </c>
      <c r="AG404" s="5" t="str">
        <f ca="1">IFERROR(__xludf.DUMMYFUNCTION("""COMPUTED_VALUE"""),"No")</f>
        <v>No</v>
      </c>
      <c r="AH404" s="5" t="str">
        <f ca="1">IFERROR(__xludf.DUMMYFUNCTION("""COMPUTED_VALUE"""),"No")</f>
        <v>No</v>
      </c>
      <c r="AI404" s="5" t="str">
        <f ca="1">IFERROR(__xludf.DUMMYFUNCTION("""COMPUTED_VALUE"""),"No")</f>
        <v>No</v>
      </c>
      <c r="AJ404" s="5" t="str">
        <f ca="1">IFERROR(__xludf.DUMMYFUNCTION("""COMPUTED_VALUE"""),"No")</f>
        <v>No</v>
      </c>
    </row>
    <row r="405" spans="1:36" ht="13">
      <c r="A405" s="5" t="str">
        <f ca="1">IFERROR(__xludf.DUMMYFUNCTION("""COMPUTED_VALUE"""),"20211211FLEDL")</f>
        <v>20211211FLEDL</v>
      </c>
      <c r="B405" s="5">
        <f ca="1">IFERROR(__xludf.DUMMYFUNCTION("""COMPUTED_VALUE"""),12)</f>
        <v>12</v>
      </c>
      <c r="C405" s="5">
        <f ca="1">IFERROR(__xludf.DUMMYFUNCTION("""COMPUTED_VALUE"""),11)</f>
        <v>11</v>
      </c>
      <c r="D405" s="5">
        <f ca="1">IFERROR(__xludf.DUMMYFUNCTION("""COMPUTED_VALUE"""),2021)</f>
        <v>2021</v>
      </c>
      <c r="E405" s="8">
        <f ca="1">IFERROR(__xludf.DUMMYFUNCTION("""COMPUTED_VALUE"""),44541)</f>
        <v>44541</v>
      </c>
      <c r="F405" s="5" t="str">
        <f ca="1">IFERROR(__xludf.DUMMYFUNCTION("""COMPUTED_VALUE"""),"Edward A. Upthegrove Elementary School")</f>
        <v>Edward A. Upthegrove Elementary School</v>
      </c>
      <c r="G405" s="5">
        <f ca="1">IFERROR(__xludf.DUMMYFUNCTION("""COMPUTED_VALUE"""),0)</f>
        <v>0</v>
      </c>
      <c r="H405" s="5">
        <f ca="1">IFERROR(__xludf.DUMMYFUNCTION("""COMPUTED_VALUE"""),1)</f>
        <v>1</v>
      </c>
      <c r="I405" s="5">
        <f ca="1">IFERROR(__xludf.DUMMYFUNCTION("""COMPUTED_VALUE"""),1)</f>
        <v>1</v>
      </c>
      <c r="J405" s="5">
        <f ca="1">IFERROR(__xludf.DUMMYFUNCTION("""COMPUTED_VALUE"""),0)</f>
        <v>0</v>
      </c>
      <c r="K405" s="5" t="str">
        <f ca="1">IFERROR(__xludf.DUMMYFUNCTION("""COMPUTED_VALUE"""),"https://www.facebook.com/hendrysheriff/posts/6635865173122755 https://www.winknews.com/2021/12/11/shots-fired-at-edward-a-upthegrove-elementary-school-in-hendry-county/ https://nbc-2.com/news/crime/2021/12/12/deputies-search-for-suspect-after-shots-fired-"&amp;"at-upthegrove-elementary-school/")</f>
        <v>https://www.facebook.com/hendrysheriff/posts/6635865173122755 https://www.winknews.com/2021/12/11/shots-fired-at-edward-a-upthegrove-elementary-school-in-hendry-county/ https://nbc-2.com/news/crime/2021/12/12/deputies-search-for-suspect-after-shots-fired-at-upthegrove-elementary-school/</v>
      </c>
      <c r="L405" s="5">
        <f ca="1">IFERROR(__xludf.DUMMYFUNCTION("""COMPUTED_VALUE"""),3)</f>
        <v>3</v>
      </c>
      <c r="M405" s="5" t="str">
        <f ca="1">IFERROR(__xludf.DUMMYFUNCTION("""COMPUTED_VALUE"""),"Local")</f>
        <v>Local</v>
      </c>
      <c r="N405" s="5">
        <f ca="1">IFERROR(__xludf.DUMMYFUNCTION("""COMPUTED_VALUE"""),4)</f>
        <v>4</v>
      </c>
      <c r="O405" s="5" t="str">
        <f ca="1">IFERROR(__xludf.DUMMYFUNCTION("""COMPUTED_VALUE"""),"Winter")</f>
        <v>Winter</v>
      </c>
      <c r="P405" s="5" t="str">
        <f ca="1">IFERROR(__xludf.DUMMYFUNCTION("""COMPUTED_VALUE"""),"LaBelle")</f>
        <v>LaBelle</v>
      </c>
      <c r="Q405" s="5" t="str">
        <f ca="1">IFERROR(__xludf.DUMMYFUNCTION("""COMPUTED_VALUE"""),"FL")</f>
        <v>FL</v>
      </c>
      <c r="R405" s="5" t="str">
        <f ca="1">IFERROR(__xludf.DUMMYFUNCTION("""COMPUTED_VALUE"""),"Elementary")</f>
        <v>Elementary</v>
      </c>
      <c r="S405" s="5" t="str">
        <f ca="1">IFERROR(__xludf.DUMMYFUNCTION("""COMPUTED_VALUE"""),"Gym")</f>
        <v>Gym</v>
      </c>
      <c r="T405" s="5" t="str">
        <f ca="1">IFERROR(__xludf.DUMMYFUNCTION("""COMPUTED_VALUE"""),"Inside School Building")</f>
        <v>Inside School Building</v>
      </c>
      <c r="U405" s="5" t="str">
        <f ca="1">IFERROR(__xludf.DUMMYFUNCTION("""COMPUTED_VALUE"""),"No")</f>
        <v>No</v>
      </c>
      <c r="V405" s="5" t="str">
        <f ca="1">IFERROR(__xludf.DUMMYFUNCTION("""COMPUTED_VALUE"""),"Sport Event")</f>
        <v>Sport Event</v>
      </c>
      <c r="W405" s="10">
        <f ca="1">IFERROR(__xludf.DUMMYFUNCTION("""COMPUTED_VALUE"""),0.583333333333333)</f>
        <v>0.58333333333333304</v>
      </c>
      <c r="X405" s="5">
        <f ca="1">IFERROR(__xludf.DUMMYFUNCTION("""COMPUTED_VALUE"""),1)</f>
        <v>1</v>
      </c>
      <c r="Y405" s="5" t="str">
        <f ca="1">IFERROR(__xludf.DUMMYFUNCTION("""COMPUTED_VALUE"""),"Shots fired in the school gym during youth basketball game")</f>
        <v>Shots fired in the school gym during youth basketball game</v>
      </c>
      <c r="Z405" s="5" t="str">
        <f ca="1">IFERROR(__xludf.DUMMYFUNCTION("""COMPUTED_VALUE"""),"A shots were fired in the gym during a youth basketball game. Shooter fled the area. An adult was injured and refused to cooperate with police. Motive unknown.")</f>
        <v>A shots were fired in the gym during a youth basketball game. Shooter fled the area. An adult was injured and refused to cooperate with police. Motive unknown.</v>
      </c>
      <c r="AA405" s="5"/>
      <c r="AB405" s="5" t="str">
        <f ca="1">IFERROR(__xludf.DUMMYFUNCTION("""COMPUTED_VALUE"""),"Victims Targeted")</f>
        <v>Victims Targeted</v>
      </c>
      <c r="AC405" s="5" t="str">
        <f ca="1">IFERROR(__xludf.DUMMYFUNCTION("""COMPUTED_VALUE"""),"No")</f>
        <v>No</v>
      </c>
      <c r="AD405" s="5" t="str">
        <f ca="1">IFERROR(__xludf.DUMMYFUNCTION("""COMPUTED_VALUE"""),"No")</f>
        <v>No</v>
      </c>
      <c r="AE405" s="5" t="str">
        <f ca="1">IFERROR(__xludf.DUMMYFUNCTION("""COMPUTED_VALUE"""),"No")</f>
        <v>No</v>
      </c>
      <c r="AF405" s="5" t="str">
        <f ca="1">IFERROR(__xludf.DUMMYFUNCTION("""COMPUTED_VALUE"""),"No")</f>
        <v>No</v>
      </c>
      <c r="AG405" s="5" t="str">
        <f ca="1">IFERROR(__xludf.DUMMYFUNCTION("""COMPUTED_VALUE"""),"No")</f>
        <v>No</v>
      </c>
      <c r="AH405" s="5"/>
      <c r="AI405" s="5"/>
      <c r="AJ405" s="5" t="str">
        <f ca="1">IFERROR(__xludf.DUMMYFUNCTION("""COMPUTED_VALUE"""),"No")</f>
        <v>No</v>
      </c>
    </row>
    <row r="406" spans="1:36" ht="13">
      <c r="A406" s="5" t="str">
        <f ca="1">IFERROR(__xludf.DUMMYFUNCTION("""COMPUTED_VALUE"""),"20211210OHCAC")</f>
        <v>20211210OHCAC</v>
      </c>
      <c r="B406" s="5">
        <f ca="1">IFERROR(__xludf.DUMMYFUNCTION("""COMPUTED_VALUE"""),12)</f>
        <v>12</v>
      </c>
      <c r="C406" s="5">
        <f ca="1">IFERROR(__xludf.DUMMYFUNCTION("""COMPUTED_VALUE"""),10)</f>
        <v>10</v>
      </c>
      <c r="D406" s="5">
        <f ca="1">IFERROR(__xludf.DUMMYFUNCTION("""COMPUTED_VALUE"""),2021)</f>
        <v>2021</v>
      </c>
      <c r="E406" s="8">
        <f ca="1">IFERROR(__xludf.DUMMYFUNCTION("""COMPUTED_VALUE"""),44540)</f>
        <v>44540</v>
      </c>
      <c r="F406" s="5" t="str">
        <f ca="1">IFERROR(__xludf.DUMMYFUNCTION("""COMPUTED_VALUE"""),"Canal Winchester High School")</f>
        <v>Canal Winchester High School</v>
      </c>
      <c r="G406" s="5">
        <f ca="1">IFERROR(__xludf.DUMMYFUNCTION("""COMPUTED_VALUE"""),0)</f>
        <v>0</v>
      </c>
      <c r="H406" s="5">
        <f ca="1">IFERROR(__xludf.DUMMYFUNCTION("""COMPUTED_VALUE"""),0)</f>
        <v>0</v>
      </c>
      <c r="I406" s="5">
        <f ca="1">IFERROR(__xludf.DUMMYFUNCTION("""COMPUTED_VALUE"""),0)</f>
        <v>0</v>
      </c>
      <c r="J406" s="5">
        <f ca="1">IFERROR(__xludf.DUMMYFUNCTION("""COMPUTED_VALUE"""),0)</f>
        <v>0</v>
      </c>
      <c r="K406" s="5" t="str">
        <f ca="1">IFERROR(__xludf.DUMMYFUNCTION("""COMPUTED_VALUE"""),"https://myfox28columbus.com/news/local/canal-winchester-local-school-district-closed-friday-due-to-police-situation-12-10-2021 https://www.dispatch.com/story/news/local/2021/12/10/canal-winchester-schools-closed-after-high-school/6459627001/ https://abc6o"&amp;"nyourside.com/news/local/canal-winchester-local-school-district-closed-friday-due-to-police-situation-12-10-2021")</f>
        <v>https://myfox28columbus.com/news/local/canal-winchester-local-school-district-closed-friday-due-to-police-situation-12-10-2021 https://www.dispatch.com/story/news/local/2021/12/10/canal-winchester-schools-closed-after-high-school/6459627001/ https://abc6onyourside.com/news/local/canal-winchester-local-school-district-closed-friday-due-to-police-situation-12-10-2021</v>
      </c>
      <c r="L406" s="5">
        <f ca="1">IFERROR(__xludf.DUMMYFUNCTION("""COMPUTED_VALUE"""),5)</f>
        <v>5</v>
      </c>
      <c r="M406" s="5" t="str">
        <f ca="1">IFERROR(__xludf.DUMMYFUNCTION("""COMPUTED_VALUE"""),"Local")</f>
        <v>Local</v>
      </c>
      <c r="N406" s="5">
        <f ca="1">IFERROR(__xludf.DUMMYFUNCTION("""COMPUTED_VALUE"""),4)</f>
        <v>4</v>
      </c>
      <c r="O406" s="5" t="str">
        <f ca="1">IFERROR(__xludf.DUMMYFUNCTION("""COMPUTED_VALUE"""),"Winter")</f>
        <v>Winter</v>
      </c>
      <c r="P406" s="5" t="str">
        <f ca="1">IFERROR(__xludf.DUMMYFUNCTION("""COMPUTED_VALUE"""),"Canal Winchester")</f>
        <v>Canal Winchester</v>
      </c>
      <c r="Q406" s="5" t="str">
        <f ca="1">IFERROR(__xludf.DUMMYFUNCTION("""COMPUTED_VALUE"""),"OH")</f>
        <v>OH</v>
      </c>
      <c r="R406" s="5" t="str">
        <f ca="1">IFERROR(__xludf.DUMMYFUNCTION("""COMPUTED_VALUE"""),"High")</f>
        <v>High</v>
      </c>
      <c r="S406" s="5" t="str">
        <f ca="1">IFERROR(__xludf.DUMMYFUNCTION("""COMPUTED_VALUE"""),"Field (General)")</f>
        <v>Field (General)</v>
      </c>
      <c r="T406" s="5" t="str">
        <f ca="1">IFERROR(__xludf.DUMMYFUNCTION("""COMPUTED_VALUE"""),"Outside on School Property")</f>
        <v>Outside on School Property</v>
      </c>
      <c r="U406" s="5" t="str">
        <f ca="1">IFERROR(__xludf.DUMMYFUNCTION("""COMPUTED_VALUE"""),"No")</f>
        <v>No</v>
      </c>
      <c r="V406" s="5" t="str">
        <f ca="1">IFERROR(__xludf.DUMMYFUNCTION("""COMPUTED_VALUE"""),"Before School")</f>
        <v>Before School</v>
      </c>
      <c r="W406" s="10">
        <f ca="1">IFERROR(__xludf.DUMMYFUNCTION("""COMPUTED_VALUE"""),0.243055555555555)</f>
        <v>0.243055555555555</v>
      </c>
      <c r="X406" s="5">
        <f ca="1">IFERROR(__xludf.DUMMYFUNCTION("""COMPUTED_VALUE"""),1)</f>
        <v>1</v>
      </c>
      <c r="Y406" s="5" t="str">
        <f ca="1">IFERROR(__xludf.DUMMYFUNCTION("""COMPUTED_VALUE"""),"Man fired shots at officers and fled across campus")</f>
        <v>Man fired shots at officers and fled across campus</v>
      </c>
      <c r="Z406" s="5" t="str">
        <f ca="1">IFERROR(__xludf.DUMMYFUNCTION("""COMPUTED_VALUE"""),"Officers responded to the school for a vehicle doing donuts on the athletic field. When officers approached, the adult male driver fired shot at them and then ran across the campus. Students had not arrived yet and school was cancelled. 3 hours later at 9"&amp;":30am, police located the man hiding nearby and arrested him. Police reported the truck was stolen.")</f>
        <v>Officers responded to the school for a vehicle doing donuts on the athletic field. When officers approached, the adult male driver fired shot at them and then ran across the campus. Students had not arrived yet and school was cancelled. 3 hours later at 9:30am, police located the man hiding nearby and arrested him. Police reported the truck was stolen.</v>
      </c>
      <c r="AA406" s="5" t="str">
        <f ca="1">IFERROR(__xludf.DUMMYFUNCTION("""COMPUTED_VALUE"""),"Illegal Activity")</f>
        <v>Illegal Activity</v>
      </c>
      <c r="AB406" s="5" t="str">
        <f ca="1">IFERROR(__xludf.DUMMYFUNCTION("""COMPUTED_VALUE"""),"Random Shooting")</f>
        <v>Random Shooting</v>
      </c>
      <c r="AC406" s="5" t="str">
        <f ca="1">IFERROR(__xludf.DUMMYFUNCTION("""COMPUTED_VALUE"""),"No")</f>
        <v>No</v>
      </c>
      <c r="AD406" s="5" t="str">
        <f ca="1">IFERROR(__xludf.DUMMYFUNCTION("""COMPUTED_VALUE"""),"No")</f>
        <v>No</v>
      </c>
      <c r="AE406" s="5" t="str">
        <f ca="1">IFERROR(__xludf.DUMMYFUNCTION("""COMPUTED_VALUE"""),"No")</f>
        <v>No</v>
      </c>
      <c r="AF406" s="5" t="str">
        <f ca="1">IFERROR(__xludf.DUMMYFUNCTION("""COMPUTED_VALUE"""),"No")</f>
        <v>No</v>
      </c>
      <c r="AG406" s="5" t="str">
        <f ca="1">IFERROR(__xludf.DUMMYFUNCTION("""COMPUTED_VALUE"""),"No")</f>
        <v>No</v>
      </c>
      <c r="AH406" s="5" t="str">
        <f ca="1">IFERROR(__xludf.DUMMYFUNCTION("""COMPUTED_VALUE"""),"No")</f>
        <v>No</v>
      </c>
      <c r="AI406" s="5" t="str">
        <f ca="1">IFERROR(__xludf.DUMMYFUNCTION("""COMPUTED_VALUE"""),"No")</f>
        <v>No</v>
      </c>
      <c r="AJ406" s="5" t="str">
        <f ca="1">IFERROR(__xludf.DUMMYFUNCTION("""COMPUTED_VALUE"""),"No")</f>
        <v>No</v>
      </c>
    </row>
    <row r="407" spans="1:36" ht="13">
      <c r="A407" s="5" t="str">
        <f ca="1">IFERROR(__xludf.DUMMYFUNCTION("""COMPUTED_VALUE"""),"20211210NCJEC")</f>
        <v>20211210NCJEC</v>
      </c>
      <c r="B407" s="5">
        <f ca="1">IFERROR(__xludf.DUMMYFUNCTION("""COMPUTED_VALUE"""),12)</f>
        <v>12</v>
      </c>
      <c r="C407" s="5">
        <f ca="1">IFERROR(__xludf.DUMMYFUNCTION("""COMPUTED_VALUE"""),9)</f>
        <v>9</v>
      </c>
      <c r="D407" s="5">
        <f ca="1">IFERROR(__xludf.DUMMYFUNCTION("""COMPUTED_VALUE"""),2021)</f>
        <v>2021</v>
      </c>
      <c r="E407" s="8">
        <f ca="1">IFERROR(__xludf.DUMMYFUNCTION("""COMPUTED_VALUE"""),44539)</f>
        <v>44539</v>
      </c>
      <c r="F407" s="5" t="str">
        <f ca="1">IFERROR(__xludf.DUMMYFUNCTION("""COMPUTED_VALUE"""),"Jesse C. Carson High")</f>
        <v>Jesse C. Carson High</v>
      </c>
      <c r="G407" s="5">
        <f ca="1">IFERROR(__xludf.DUMMYFUNCTION("""COMPUTED_VALUE"""),0)</f>
        <v>0</v>
      </c>
      <c r="H407" s="5">
        <f ca="1">IFERROR(__xludf.DUMMYFUNCTION("""COMPUTED_VALUE"""),0)</f>
        <v>0</v>
      </c>
      <c r="I407" s="5">
        <f ca="1">IFERROR(__xludf.DUMMYFUNCTION("""COMPUTED_VALUE"""),0)</f>
        <v>0</v>
      </c>
      <c r="J407" s="5">
        <f ca="1">IFERROR(__xludf.DUMMYFUNCTION("""COMPUTED_VALUE"""),0)</f>
        <v>0</v>
      </c>
      <c r="K407" s="9" t="str">
        <f ca="1">IFERROR(__xludf.DUMMYFUNCTION("""COMPUTED_VALUE"""),"https://www.wbtv.com/2021/12/09/shots-hit-cars-high-school-parking-lot-rowan-county-prompting-lockdown/")</f>
        <v>https://www.wbtv.com/2021/12/09/shots-hit-cars-high-school-parking-lot-rowan-county-prompting-lockdown/</v>
      </c>
      <c r="L407" s="5">
        <f ca="1">IFERROR(__xludf.DUMMYFUNCTION("""COMPUTED_VALUE"""),1)</f>
        <v>1</v>
      </c>
      <c r="M407" s="5" t="str">
        <f ca="1">IFERROR(__xludf.DUMMYFUNCTION("""COMPUTED_VALUE"""),"Local")</f>
        <v>Local</v>
      </c>
      <c r="N407" s="5">
        <f ca="1">IFERROR(__xludf.DUMMYFUNCTION("""COMPUTED_VALUE"""),4)</f>
        <v>4</v>
      </c>
      <c r="O407" s="5" t="str">
        <f ca="1">IFERROR(__xludf.DUMMYFUNCTION("""COMPUTED_VALUE"""),"Winter")</f>
        <v>Winter</v>
      </c>
      <c r="P407" s="5" t="str">
        <f ca="1">IFERROR(__xludf.DUMMYFUNCTION("""COMPUTED_VALUE"""),"China Grove")</f>
        <v>China Grove</v>
      </c>
      <c r="Q407" s="5" t="str">
        <f ca="1">IFERROR(__xludf.DUMMYFUNCTION("""COMPUTED_VALUE"""),"NC")</f>
        <v>NC</v>
      </c>
      <c r="R407" s="5" t="str">
        <f ca="1">IFERROR(__xludf.DUMMYFUNCTION("""COMPUTED_VALUE"""),"High")</f>
        <v>High</v>
      </c>
      <c r="S407" s="5" t="str">
        <f ca="1">IFERROR(__xludf.DUMMYFUNCTION("""COMPUTED_VALUE"""),"Parking Lot")</f>
        <v>Parking Lot</v>
      </c>
      <c r="T407" s="5" t="str">
        <f ca="1">IFERROR(__xludf.DUMMYFUNCTION("""COMPUTED_VALUE"""),"Outside on School Property")</f>
        <v>Outside on School Property</v>
      </c>
      <c r="U407" s="5" t="str">
        <f ca="1">IFERROR(__xludf.DUMMYFUNCTION("""COMPUTED_VALUE"""),"Yes")</f>
        <v>Yes</v>
      </c>
      <c r="V407" s="5" t="str">
        <f ca="1">IFERROR(__xludf.DUMMYFUNCTION("""COMPUTED_VALUE"""),"Afternoon Classes")</f>
        <v>Afternoon Classes</v>
      </c>
      <c r="W407" s="10">
        <f ca="1">IFERROR(__xludf.DUMMYFUNCTION("""COMPUTED_VALUE"""),0.583333333333333)</f>
        <v>0.58333333333333304</v>
      </c>
      <c r="X407" s="5">
        <f ca="1">IFERROR(__xludf.DUMMYFUNCTION("""COMPUTED_VALUE"""),1)</f>
        <v>1</v>
      </c>
      <c r="Y407" s="5" t="str">
        <f ca="1">IFERROR(__xludf.DUMMYFUNCTION("""COMPUTED_VALUE"""),"Target shooters struck vehicles in the school parking lot")</f>
        <v>Target shooters struck vehicles in the school parking lot</v>
      </c>
      <c r="Z407" s="5" t="str">
        <f ca="1">IFERROR(__xludf.DUMMYFUNCTION("""COMPUTED_VALUE"""),"Two men firing at targets behind the school struck 2 vehicles (one occupied) in the school parking lot. School went on lockdown. One shooter was arrested. No injuries.")</f>
        <v>Two men firing at targets behind the school struck 2 vehicles (one occupied) in the school parking lot. School went on lockdown. One shooter was arrested. No injuries.</v>
      </c>
      <c r="AA407" s="5" t="str">
        <f ca="1">IFERROR(__xludf.DUMMYFUNCTION("""COMPUTED_VALUE"""),"Accidental")</f>
        <v>Accidental</v>
      </c>
      <c r="AB407" s="5" t="str">
        <f ca="1">IFERROR(__xludf.DUMMYFUNCTION("""COMPUTED_VALUE"""),"Neither")</f>
        <v>Neither</v>
      </c>
      <c r="AC407" s="5" t="str">
        <f ca="1">IFERROR(__xludf.DUMMYFUNCTION("""COMPUTED_VALUE"""),"Yes")</f>
        <v>Yes</v>
      </c>
      <c r="AD407" s="5" t="str">
        <f ca="1">IFERROR(__xludf.DUMMYFUNCTION("""COMPUTED_VALUE"""),"No")</f>
        <v>No</v>
      </c>
      <c r="AE407" s="5" t="str">
        <f ca="1">IFERROR(__xludf.DUMMYFUNCTION("""COMPUTED_VALUE"""),"No")</f>
        <v>No</v>
      </c>
      <c r="AF407" s="5" t="str">
        <f ca="1">IFERROR(__xludf.DUMMYFUNCTION("""COMPUTED_VALUE"""),"No")</f>
        <v>No</v>
      </c>
      <c r="AG407" s="5" t="str">
        <f ca="1">IFERROR(__xludf.DUMMYFUNCTION("""COMPUTED_VALUE"""),"No")</f>
        <v>No</v>
      </c>
      <c r="AH407" s="5" t="str">
        <f ca="1">IFERROR(__xludf.DUMMYFUNCTION("""COMPUTED_VALUE"""),"No")</f>
        <v>No</v>
      </c>
      <c r="AI407" s="5" t="str">
        <f ca="1">IFERROR(__xludf.DUMMYFUNCTION("""COMPUTED_VALUE"""),"No")</f>
        <v>No</v>
      </c>
      <c r="AJ407" s="5" t="str">
        <f ca="1">IFERROR(__xludf.DUMMYFUNCTION("""COMPUTED_VALUE"""),"No")</f>
        <v>No</v>
      </c>
    </row>
    <row r="408" spans="1:36" ht="13">
      <c r="A408" s="5" t="str">
        <f ca="1">IFERROR(__xludf.DUMMYFUNCTION("""COMPUTED_VALUE"""),"20211209NYGRN")</f>
        <v>20211209NYGRN</v>
      </c>
      <c r="B408" s="5">
        <f ca="1">IFERROR(__xludf.DUMMYFUNCTION("""COMPUTED_VALUE"""),12)</f>
        <v>12</v>
      </c>
      <c r="C408" s="5">
        <f ca="1">IFERROR(__xludf.DUMMYFUNCTION("""COMPUTED_VALUE"""),9)</f>
        <v>9</v>
      </c>
      <c r="D408" s="5">
        <f ca="1">IFERROR(__xludf.DUMMYFUNCTION("""COMPUTED_VALUE"""),2021)</f>
        <v>2021</v>
      </c>
      <c r="E408" s="8">
        <f ca="1">IFERROR(__xludf.DUMMYFUNCTION("""COMPUTED_VALUE"""),44539)</f>
        <v>44539</v>
      </c>
      <c r="F408" s="5" t="str">
        <f ca="1">IFERROR(__xludf.DUMMYFUNCTION("""COMPUTED_VALUE"""),"Greater Oaks Charter School")</f>
        <v>Greater Oaks Charter School</v>
      </c>
      <c r="G408" s="5">
        <f ca="1">IFERROR(__xludf.DUMMYFUNCTION("""COMPUTED_VALUE"""),0)</f>
        <v>0</v>
      </c>
      <c r="H408" s="5">
        <f ca="1">IFERROR(__xludf.DUMMYFUNCTION("""COMPUTED_VALUE"""),0)</f>
        <v>0</v>
      </c>
      <c r="I408" s="5">
        <f ca="1">IFERROR(__xludf.DUMMYFUNCTION("""COMPUTED_VALUE"""),0)</f>
        <v>0</v>
      </c>
      <c r="J408" s="5">
        <f ca="1">IFERROR(__xludf.DUMMYFUNCTION("""COMPUTED_VALUE"""),0)</f>
        <v>0</v>
      </c>
      <c r="K408" s="5" t="str">
        <f ca="1">IFERROR(__xludf.DUMMYFUNCTION("""COMPUTED_VALUE"""),"https://nypost.com/2021/12/09/stray-bullet-shatters-window-at-nyc-charter-school/ https://pix11.com/news/local-news/stray-bullet-shatters-manhattan-charter-school-window-nypd/ https://abc7ny.com/bullet-classroom-school-lower-east-side/11316823/")</f>
        <v>https://nypost.com/2021/12/09/stray-bullet-shatters-window-at-nyc-charter-school/ https://pix11.com/news/local-news/stray-bullet-shatters-manhattan-charter-school-window-nypd/ https://abc7ny.com/bullet-classroom-school-lower-east-side/11316823/</v>
      </c>
      <c r="L408" s="5">
        <f ca="1">IFERROR(__xludf.DUMMYFUNCTION("""COMPUTED_VALUE"""),10)</f>
        <v>10</v>
      </c>
      <c r="M408" s="5" t="str">
        <f ca="1">IFERROR(__xludf.DUMMYFUNCTION("""COMPUTED_VALUE"""),"Local")</f>
        <v>Local</v>
      </c>
      <c r="N408" s="5">
        <f ca="1">IFERROR(__xludf.DUMMYFUNCTION("""COMPUTED_VALUE"""),4)</f>
        <v>4</v>
      </c>
      <c r="O408" s="5" t="str">
        <f ca="1">IFERROR(__xludf.DUMMYFUNCTION("""COMPUTED_VALUE"""),"Winter")</f>
        <v>Winter</v>
      </c>
      <c r="P408" s="5" t="str">
        <f ca="1">IFERROR(__xludf.DUMMYFUNCTION("""COMPUTED_VALUE"""),"New York")</f>
        <v>New York</v>
      </c>
      <c r="Q408" s="5" t="str">
        <f ca="1">IFERROR(__xludf.DUMMYFUNCTION("""COMPUTED_VALUE"""),"NY")</f>
        <v>NY</v>
      </c>
      <c r="R408" s="5" t="str">
        <f ca="1">IFERROR(__xludf.DUMMYFUNCTION("""COMPUTED_VALUE"""),"Elementary")</f>
        <v>Elementary</v>
      </c>
      <c r="S408" s="5" t="str">
        <f ca="1">IFERROR(__xludf.DUMMYFUNCTION("""COMPUTED_VALUE"""),"Front of School")</f>
        <v>Front of School</v>
      </c>
      <c r="T408" s="5" t="str">
        <f ca="1">IFERROR(__xludf.DUMMYFUNCTION("""COMPUTED_VALUE"""),"Outside on School Property")</f>
        <v>Outside on School Property</v>
      </c>
      <c r="U408" s="5" t="str">
        <f ca="1">IFERROR(__xludf.DUMMYFUNCTION("""COMPUTED_VALUE"""),"Yes")</f>
        <v>Yes</v>
      </c>
      <c r="V408" s="5" t="str">
        <f ca="1">IFERROR(__xludf.DUMMYFUNCTION("""COMPUTED_VALUE"""),"Morning Classes")</f>
        <v>Morning Classes</v>
      </c>
      <c r="W408" s="10">
        <f ca="1">IFERROR(__xludf.DUMMYFUNCTION("""COMPUTED_VALUE"""),0.395833333333333)</f>
        <v>0.39583333333333298</v>
      </c>
      <c r="X408" s="5">
        <f ca="1">IFERROR(__xludf.DUMMYFUNCTION("""COMPUTED_VALUE"""),1)</f>
        <v>1</v>
      </c>
      <c r="Y408" s="5" t="str">
        <f ca="1">IFERROR(__xludf.DUMMYFUNCTION("""COMPUTED_VALUE"""),"Bullet broke classroom window")</f>
        <v>Bullet broke classroom window</v>
      </c>
      <c r="Z408" s="5" t="str">
        <f ca="1">IFERROR(__xludf.DUMMYFUNCTION("""COMPUTED_VALUE"""),"Multiple shots were fired outside the school during dispute between 2 men. One bullet shattered a classroom window. School was open but students were not inside the classroom. No injuries.")</f>
        <v>Multiple shots were fired outside the school during dispute between 2 men. One bullet shattered a classroom window. School was open but students were not inside the classroom. No injuries.</v>
      </c>
      <c r="AA408" s="5" t="str">
        <f ca="1">IFERROR(__xludf.DUMMYFUNCTION("""COMPUTED_VALUE"""),"Escalation of Dispute")</f>
        <v>Escalation of Dispute</v>
      </c>
      <c r="AB408" s="5" t="str">
        <f ca="1">IFERROR(__xludf.DUMMYFUNCTION("""COMPUTED_VALUE"""),"Victims Targeted")</f>
        <v>Victims Targeted</v>
      </c>
      <c r="AC408" s="5" t="str">
        <f ca="1">IFERROR(__xludf.DUMMYFUNCTION("""COMPUTED_VALUE"""),"No")</f>
        <v>No</v>
      </c>
      <c r="AD408" s="5" t="str">
        <f ca="1">IFERROR(__xludf.DUMMYFUNCTION("""COMPUTED_VALUE"""),"No")</f>
        <v>No</v>
      </c>
      <c r="AE408" s="5" t="str">
        <f ca="1">IFERROR(__xludf.DUMMYFUNCTION("""COMPUTED_VALUE"""),"No")</f>
        <v>No</v>
      </c>
      <c r="AF408" s="5" t="str">
        <f ca="1">IFERROR(__xludf.DUMMYFUNCTION("""COMPUTED_VALUE"""),"No")</f>
        <v>No</v>
      </c>
      <c r="AG408" s="5" t="str">
        <f ca="1">IFERROR(__xludf.DUMMYFUNCTION("""COMPUTED_VALUE"""),"No")</f>
        <v>No</v>
      </c>
      <c r="AH408" s="5" t="str">
        <f ca="1">IFERROR(__xludf.DUMMYFUNCTION("""COMPUTED_VALUE"""),"No")</f>
        <v>No</v>
      </c>
      <c r="AI408" s="5" t="str">
        <f ca="1">IFERROR(__xludf.DUMMYFUNCTION("""COMPUTED_VALUE"""),"No")</f>
        <v>No</v>
      </c>
      <c r="AJ408" s="5" t="str">
        <f ca="1">IFERROR(__xludf.DUMMYFUNCTION("""COMPUTED_VALUE"""),"No")</f>
        <v>No</v>
      </c>
    </row>
    <row r="409" spans="1:36" ht="13">
      <c r="A409" s="5" t="str">
        <f ca="1">IFERROR(__xludf.DUMMYFUNCTION("""COMPUTED_VALUE"""),"20211208KYSTL")</f>
        <v>20211208KYSTL</v>
      </c>
      <c r="B409" s="5">
        <f ca="1">IFERROR(__xludf.DUMMYFUNCTION("""COMPUTED_VALUE"""),12)</f>
        <v>12</v>
      </c>
      <c r="C409" s="5">
        <f ca="1">IFERROR(__xludf.DUMMYFUNCTION("""COMPUTED_VALUE"""),8)</f>
        <v>8</v>
      </c>
      <c r="D409" s="5">
        <f ca="1">IFERROR(__xludf.DUMMYFUNCTION("""COMPUTED_VALUE"""),2021)</f>
        <v>2021</v>
      </c>
      <c r="E409" s="8">
        <f ca="1">IFERROR(__xludf.DUMMYFUNCTION("""COMPUTED_VALUE"""),44538)</f>
        <v>44538</v>
      </c>
      <c r="F409" s="5" t="str">
        <f ca="1">IFERROR(__xludf.DUMMYFUNCTION("""COMPUTED_VALUE"""),"St. Matthews Elementary School")</f>
        <v>St. Matthews Elementary School</v>
      </c>
      <c r="G409" s="5">
        <f ca="1">IFERROR(__xludf.DUMMYFUNCTION("""COMPUTED_VALUE"""),0)</f>
        <v>0</v>
      </c>
      <c r="H409" s="5">
        <f ca="1">IFERROR(__xludf.DUMMYFUNCTION("""COMPUTED_VALUE"""),0)</f>
        <v>0</v>
      </c>
      <c r="I409" s="5">
        <f ca="1">IFERROR(__xludf.DUMMYFUNCTION("""COMPUTED_VALUE"""),0)</f>
        <v>0</v>
      </c>
      <c r="J409" s="5">
        <f ca="1">IFERROR(__xludf.DUMMYFUNCTION("""COMPUTED_VALUE"""),0)</f>
        <v>0</v>
      </c>
      <c r="K409" s="9" t="str">
        <f ca="1">IFERROR(__xludf.DUMMYFUNCTION("""COMPUTED_VALUE"""),"https://www.wave3.com/2021/12/08/shooting-near-st-matthews-elementary-school-under-investigation/")</f>
        <v>https://www.wave3.com/2021/12/08/shooting-near-st-matthews-elementary-school-under-investigation/</v>
      </c>
      <c r="L409" s="5">
        <f ca="1">IFERROR(__xludf.DUMMYFUNCTION("""COMPUTED_VALUE"""),1)</f>
        <v>1</v>
      </c>
      <c r="M409" s="5" t="str">
        <f ca="1">IFERROR(__xludf.DUMMYFUNCTION("""COMPUTED_VALUE"""),"Local")</f>
        <v>Local</v>
      </c>
      <c r="N409" s="5">
        <f ca="1">IFERROR(__xludf.DUMMYFUNCTION("""COMPUTED_VALUE"""),3)</f>
        <v>3</v>
      </c>
      <c r="O409" s="5" t="str">
        <f ca="1">IFERROR(__xludf.DUMMYFUNCTION("""COMPUTED_VALUE"""),"Winter")</f>
        <v>Winter</v>
      </c>
      <c r="P409" s="5" t="str">
        <f ca="1">IFERROR(__xludf.DUMMYFUNCTION("""COMPUTED_VALUE"""),"Louisville")</f>
        <v>Louisville</v>
      </c>
      <c r="Q409" s="5" t="str">
        <f ca="1">IFERROR(__xludf.DUMMYFUNCTION("""COMPUTED_VALUE"""),"KY")</f>
        <v>KY</v>
      </c>
      <c r="R409" s="5" t="str">
        <f ca="1">IFERROR(__xludf.DUMMYFUNCTION("""COMPUTED_VALUE"""),"Elementary")</f>
        <v>Elementary</v>
      </c>
      <c r="S409" s="5" t="str">
        <f ca="1">IFERROR(__xludf.DUMMYFUNCTION("""COMPUTED_VALUE"""),"Parking Lot")</f>
        <v>Parking Lot</v>
      </c>
      <c r="T409" s="5" t="str">
        <f ca="1">IFERROR(__xludf.DUMMYFUNCTION("""COMPUTED_VALUE"""),"Outside on School Property")</f>
        <v>Outside on School Property</v>
      </c>
      <c r="U409" s="5" t="str">
        <f ca="1">IFERROR(__xludf.DUMMYFUNCTION("""COMPUTED_VALUE"""),"No")</f>
        <v>No</v>
      </c>
      <c r="V409" s="5" t="str">
        <f ca="1">IFERROR(__xludf.DUMMYFUNCTION("""COMPUTED_VALUE"""),"Night")</f>
        <v>Night</v>
      </c>
      <c r="W409" s="10">
        <f ca="1">IFERROR(__xludf.DUMMYFUNCTION("""COMPUTED_VALUE"""),0.895833333333333)</f>
        <v>0.89583333333333304</v>
      </c>
      <c r="X409" s="5">
        <f ca="1">IFERROR(__xludf.DUMMYFUNCTION("""COMPUTED_VALUE"""),1)</f>
        <v>1</v>
      </c>
      <c r="Y409" s="5" t="str">
        <f ca="1">IFERROR(__xludf.DUMMYFUNCTION("""COMPUTED_VALUE"""),"Person inside a car was shot at several times in school parking lot")</f>
        <v>Person inside a car was shot at several times in school parking lot</v>
      </c>
      <c r="Z409" s="5" t="str">
        <f ca="1">IFERROR(__xludf.DUMMYFUNCTION("""COMPUTED_VALUE"""),"Shooter approached a vehicle, fired multiple shots, and fled the area. Targeted victim driving was not injured. Vehicle was shot multiple times. Shooter fled in a vehicle.")</f>
        <v>Shooter approached a vehicle, fired multiple shots, and fled the area. Targeted victim driving was not injured. Vehicle was shot multiple times. Shooter fled in a vehicle.</v>
      </c>
      <c r="AA409" s="5"/>
      <c r="AB409" s="5" t="str">
        <f ca="1">IFERROR(__xludf.DUMMYFUNCTION("""COMPUTED_VALUE"""),"Victims Targeted")</f>
        <v>Victims Targeted</v>
      </c>
      <c r="AC409" s="5"/>
      <c r="AD409" s="5" t="str">
        <f ca="1">IFERROR(__xludf.DUMMYFUNCTION("""COMPUTED_VALUE"""),"No")</f>
        <v>No</v>
      </c>
      <c r="AE409" s="5" t="str">
        <f ca="1">IFERROR(__xludf.DUMMYFUNCTION("""COMPUTED_VALUE"""),"No")</f>
        <v>No</v>
      </c>
      <c r="AF409" s="5" t="str">
        <f ca="1">IFERROR(__xludf.DUMMYFUNCTION("""COMPUTED_VALUE"""),"No")</f>
        <v>No</v>
      </c>
      <c r="AG409" s="5" t="str">
        <f ca="1">IFERROR(__xludf.DUMMYFUNCTION("""COMPUTED_VALUE"""),"No")</f>
        <v>No</v>
      </c>
      <c r="AH409" s="5"/>
      <c r="AI409" s="5"/>
      <c r="AJ409" s="5" t="str">
        <f ca="1">IFERROR(__xludf.DUMMYFUNCTION("""COMPUTED_VALUE"""),"No")</f>
        <v>No</v>
      </c>
    </row>
    <row r="410" spans="1:36" ht="13">
      <c r="A410" s="5" t="str">
        <f ca="1">IFERROR(__xludf.DUMMYFUNCTION("""COMPUTED_VALUE"""),"20211208MOEWK")</f>
        <v>20211208MOEWK</v>
      </c>
      <c r="B410" s="5">
        <f ca="1">IFERROR(__xludf.DUMMYFUNCTION("""COMPUTED_VALUE"""),12)</f>
        <v>12</v>
      </c>
      <c r="C410" s="5">
        <f ca="1">IFERROR(__xludf.DUMMYFUNCTION("""COMPUTED_VALUE"""),8)</f>
        <v>8</v>
      </c>
      <c r="D410" s="5">
        <f ca="1">IFERROR(__xludf.DUMMYFUNCTION("""COMPUTED_VALUE"""),2021)</f>
        <v>2021</v>
      </c>
      <c r="E410" s="8">
        <f ca="1">IFERROR(__xludf.DUMMYFUNCTION("""COMPUTED_VALUE"""),44538)</f>
        <v>44538</v>
      </c>
      <c r="F410" s="5" t="str">
        <f ca="1">IFERROR(__xludf.DUMMYFUNCTION("""COMPUTED_VALUE"""),"Ewing Marion Kauffman School")</f>
        <v>Ewing Marion Kauffman School</v>
      </c>
      <c r="G410" s="5">
        <f ca="1">IFERROR(__xludf.DUMMYFUNCTION("""COMPUTED_VALUE"""),0)</f>
        <v>0</v>
      </c>
      <c r="H410" s="5">
        <f ca="1">IFERROR(__xludf.DUMMYFUNCTION("""COMPUTED_VALUE"""),2)</f>
        <v>2</v>
      </c>
      <c r="I410" s="5">
        <f ca="1">IFERROR(__xludf.DUMMYFUNCTION("""COMPUTED_VALUE"""),2)</f>
        <v>2</v>
      </c>
      <c r="J410" s="5">
        <f ca="1">IFERROR(__xludf.DUMMYFUNCTION("""COMPUTED_VALUE"""),0)</f>
        <v>0</v>
      </c>
      <c r="K410" s="5" t="str">
        <f ca="1">IFERROR(__xludf.DUMMYFUNCTION("""COMPUTED_VALUE"""),"https://www.kshb.com/news/crime/2-wounded-in-shooting-wednesday-outside-of-ewing-marion-kauffman-school https://fox4kc.com/news/police-investigating-after-two-people-shot-near-kansas-city-school/ https://www.kmbc.com/article/kansas-city-police-say-2-teens"&amp;"-wounded-in-shooting-at-kauffman-school-parking-lot/38466834#")</f>
        <v>https://www.kshb.com/news/crime/2-wounded-in-shooting-wednesday-outside-of-ewing-marion-kauffman-school https://fox4kc.com/news/police-investigating-after-two-people-shot-near-kansas-city-school/ https://www.kmbc.com/article/kansas-city-police-say-2-teens-wounded-in-shooting-at-kauffman-school-parking-lot/38466834#</v>
      </c>
      <c r="L410" s="5">
        <f ca="1">IFERROR(__xludf.DUMMYFUNCTION("""COMPUTED_VALUE"""),10)</f>
        <v>10</v>
      </c>
      <c r="M410" s="5" t="str">
        <f ca="1">IFERROR(__xludf.DUMMYFUNCTION("""COMPUTED_VALUE"""),"Regional")</f>
        <v>Regional</v>
      </c>
      <c r="N410" s="5">
        <f ca="1">IFERROR(__xludf.DUMMYFUNCTION("""COMPUTED_VALUE"""),4)</f>
        <v>4</v>
      </c>
      <c r="O410" s="5" t="str">
        <f ca="1">IFERROR(__xludf.DUMMYFUNCTION("""COMPUTED_VALUE"""),"Winter")</f>
        <v>Winter</v>
      </c>
      <c r="P410" s="5" t="str">
        <f ca="1">IFERROR(__xludf.DUMMYFUNCTION("""COMPUTED_VALUE"""),"Kansas City")</f>
        <v>Kansas City</v>
      </c>
      <c r="Q410" s="5" t="str">
        <f ca="1">IFERROR(__xludf.DUMMYFUNCTION("""COMPUTED_VALUE"""),"MO")</f>
        <v>MO</v>
      </c>
      <c r="R410" s="5" t="str">
        <f ca="1">IFERROR(__xludf.DUMMYFUNCTION("""COMPUTED_VALUE"""),"High")</f>
        <v>High</v>
      </c>
      <c r="S410" s="5" t="str">
        <f ca="1">IFERROR(__xludf.DUMMYFUNCTION("""COMPUTED_VALUE"""),"Parking Lot")</f>
        <v>Parking Lot</v>
      </c>
      <c r="T410" s="5" t="str">
        <f ca="1">IFERROR(__xludf.DUMMYFUNCTION("""COMPUTED_VALUE"""),"Outside on School Property")</f>
        <v>Outside on School Property</v>
      </c>
      <c r="U410" s="5" t="str">
        <f ca="1">IFERROR(__xludf.DUMMYFUNCTION("""COMPUTED_VALUE"""),"No")</f>
        <v>No</v>
      </c>
      <c r="V410" s="5" t="str">
        <f ca="1">IFERROR(__xludf.DUMMYFUNCTION("""COMPUTED_VALUE"""),"Sport Event")</f>
        <v>Sport Event</v>
      </c>
      <c r="W410" s="10">
        <f ca="1">IFERROR(__xludf.DUMMYFUNCTION("""COMPUTED_VALUE"""),0.854166666666666)</f>
        <v>0.85416666666666596</v>
      </c>
      <c r="X410" s="5">
        <f ca="1">IFERROR(__xludf.DUMMYFUNCTION("""COMPUTED_VALUE"""),1)</f>
        <v>1</v>
      </c>
      <c r="Y410" s="5" t="str">
        <f ca="1">IFERROR(__xludf.DUMMYFUNCTION("""COMPUTED_VALUE"""),"Two teens shot in school parking lot during basketball game")</f>
        <v>Two teens shot in school parking lot during basketball game</v>
      </c>
      <c r="Z410" s="5" t="str">
        <f ca="1">IFERROR(__xludf.DUMMYFUNCTION("""COMPUTED_VALUE"""),"Two teen were shot in the parking lot of the school while a high school basketball game was taking place inside. The victims were not students at the school. Shooter fled. An off-duty officer attending the game secured the scene.")</f>
        <v>Two teen were shot in the parking lot of the school while a high school basketball game was taking place inside. The victims were not students at the school. Shooter fled. An off-duty officer attending the game secured the scene.</v>
      </c>
      <c r="AA410" s="5"/>
      <c r="AB410" s="5"/>
      <c r="AC410" s="5"/>
      <c r="AD410" s="5" t="str">
        <f ca="1">IFERROR(__xludf.DUMMYFUNCTION("""COMPUTED_VALUE"""),"No")</f>
        <v>No</v>
      </c>
      <c r="AE410" s="5" t="str">
        <f ca="1">IFERROR(__xludf.DUMMYFUNCTION("""COMPUTED_VALUE"""),"No")</f>
        <v>No</v>
      </c>
      <c r="AF410" s="5" t="str">
        <f ca="1">IFERROR(__xludf.DUMMYFUNCTION("""COMPUTED_VALUE"""),"No")</f>
        <v>No</v>
      </c>
      <c r="AG410" s="5" t="str">
        <f ca="1">IFERROR(__xludf.DUMMYFUNCTION("""COMPUTED_VALUE"""),"No")</f>
        <v>No</v>
      </c>
      <c r="AH410" s="5" t="str">
        <f ca="1">IFERROR(__xludf.DUMMYFUNCTION("""COMPUTED_VALUE"""),"No")</f>
        <v>No</v>
      </c>
      <c r="AI410" s="5"/>
      <c r="AJ410" s="5" t="str">
        <f ca="1">IFERROR(__xludf.DUMMYFUNCTION("""COMPUTED_VALUE"""),"No")</f>
        <v>No</v>
      </c>
    </row>
    <row r="411" spans="1:36" ht="13">
      <c r="A411" s="5" t="str">
        <f ca="1">IFERROR(__xludf.DUMMYFUNCTION("""COMPUTED_VALUE"""),"20211207ILHAC")</f>
        <v>20211207ILHAC</v>
      </c>
      <c r="B411" s="5">
        <f ca="1">IFERROR(__xludf.DUMMYFUNCTION("""COMPUTED_VALUE"""),12)</f>
        <v>12</v>
      </c>
      <c r="C411" s="5">
        <f ca="1">IFERROR(__xludf.DUMMYFUNCTION("""COMPUTED_VALUE"""),7)</f>
        <v>7</v>
      </c>
      <c r="D411" s="5">
        <f ca="1">IFERROR(__xludf.DUMMYFUNCTION("""COMPUTED_VALUE"""),2021)</f>
        <v>2021</v>
      </c>
      <c r="E411" s="8">
        <f ca="1">IFERROR(__xludf.DUMMYFUNCTION("""COMPUTED_VALUE"""),44537)</f>
        <v>44537</v>
      </c>
      <c r="F411" s="5" t="str">
        <f ca="1">IFERROR(__xludf.DUMMYFUNCTION("""COMPUTED_VALUE"""),"Haines Elementary School")</f>
        <v>Haines Elementary School</v>
      </c>
      <c r="G411" s="5">
        <f ca="1">IFERROR(__xludf.DUMMYFUNCTION("""COMPUTED_VALUE"""),1)</f>
        <v>1</v>
      </c>
      <c r="H411" s="5">
        <f ca="1">IFERROR(__xludf.DUMMYFUNCTION("""COMPUTED_VALUE"""),0)</f>
        <v>0</v>
      </c>
      <c r="I411" s="5">
        <f ca="1">IFERROR(__xludf.DUMMYFUNCTION("""COMPUTED_VALUE"""),1)</f>
        <v>1</v>
      </c>
      <c r="J411" s="5">
        <f ca="1">IFERROR(__xludf.DUMMYFUNCTION("""COMPUTED_VALUE"""),0)</f>
        <v>0</v>
      </c>
      <c r="K411" s="5" t="str">
        <f ca="1">IFERROR(__xludf.DUMMYFUNCTION("""COMPUTED_VALUE"""),"https://wgntv.com/news/chicagocrime/man-shot-killed-near-chinatown-elementary-school/ https://abc7chicago.com/chicago-shooting-man-killed-shot-outside-school/11308807/")</f>
        <v>https://wgntv.com/news/chicagocrime/man-shot-killed-near-chinatown-elementary-school/ https://abc7chicago.com/chicago-shooting-man-killed-shot-outside-school/11308807/</v>
      </c>
      <c r="L411" s="5">
        <f ca="1">IFERROR(__xludf.DUMMYFUNCTION("""COMPUTED_VALUE"""),5)</f>
        <v>5</v>
      </c>
      <c r="M411" s="5" t="str">
        <f ca="1">IFERROR(__xludf.DUMMYFUNCTION("""COMPUTED_VALUE"""),"Local")</f>
        <v>Local</v>
      </c>
      <c r="N411" s="5">
        <f ca="1">IFERROR(__xludf.DUMMYFUNCTION("""COMPUTED_VALUE"""),4)</f>
        <v>4</v>
      </c>
      <c r="O411" s="5" t="str">
        <f ca="1">IFERROR(__xludf.DUMMYFUNCTION("""COMPUTED_VALUE"""),"Winter")</f>
        <v>Winter</v>
      </c>
      <c r="P411" s="5" t="str">
        <f ca="1">IFERROR(__xludf.DUMMYFUNCTION("""COMPUTED_VALUE"""),"Chicago")</f>
        <v>Chicago</v>
      </c>
      <c r="Q411" s="5" t="str">
        <f ca="1">IFERROR(__xludf.DUMMYFUNCTION("""COMPUTED_VALUE"""),"IL")</f>
        <v>IL</v>
      </c>
      <c r="R411" s="5" t="str">
        <f ca="1">IFERROR(__xludf.DUMMYFUNCTION("""COMPUTED_VALUE"""),"Elementary")</f>
        <v>Elementary</v>
      </c>
      <c r="S411" s="5" t="str">
        <f ca="1">IFERROR(__xludf.DUMMYFUNCTION("""COMPUTED_VALUE"""),"Front of School")</f>
        <v>Front of School</v>
      </c>
      <c r="T411" s="5" t="str">
        <f ca="1">IFERROR(__xludf.DUMMYFUNCTION("""COMPUTED_VALUE"""),"Off School Property")</f>
        <v>Off School Property</v>
      </c>
      <c r="U411" s="5" t="str">
        <f ca="1">IFERROR(__xludf.DUMMYFUNCTION("""COMPUTED_VALUE"""),"Yes")</f>
        <v>Yes</v>
      </c>
      <c r="V411" s="5" t="str">
        <f ca="1">IFERROR(__xludf.DUMMYFUNCTION("""COMPUTED_VALUE"""),"Lunch")</f>
        <v>Lunch</v>
      </c>
      <c r="W411" s="10">
        <f ca="1">IFERROR(__xludf.DUMMYFUNCTION("""COMPUTED_VALUE"""),0.520833333333333)</f>
        <v>0.52083333333333304</v>
      </c>
      <c r="X411" s="5">
        <f ca="1">IFERROR(__xludf.DUMMYFUNCTION("""COMPUTED_VALUE"""),1)</f>
        <v>1</v>
      </c>
      <c r="Y411" s="5" t="str">
        <f ca="1">IFERROR(__xludf.DUMMYFUNCTION("""COMPUTED_VALUE"""),"Man shot multiple times in front of school")</f>
        <v>Man shot multiple times in front of school</v>
      </c>
      <c r="Z411" s="5" t="str">
        <f ca="1">IFERROR(__xludf.DUMMYFUNCTION("""COMPUTED_VALUE"""),"While students were on the playground for recess, multiple shots were from from a vehicle at a 71-year-old man on the sidewalk in front of the school. The shooter exited the vehicle and shot the victim multiple times ""execution style"". Teachers moved st"&amp;"udents into the school and went into lockdown. Shooter fled the scene and were apprehended a short distance away. Shooting was captured on CCTV footage.")</f>
        <v>While students were on the playground for recess, multiple shots were from from a vehicle at a 71-year-old man on the sidewalk in front of the school. The shooter exited the vehicle and shot the victim multiple times "execution style". Teachers moved students into the school and went into lockdown. Shooter fled the scene and were apprehended a short distance away. Shooting was captured on CCTV footage.</v>
      </c>
      <c r="AA411" s="5" t="str">
        <f ca="1">IFERROR(__xludf.DUMMYFUNCTION("""COMPUTED_VALUE"""),"Illegal Activity")</f>
        <v>Illegal Activity</v>
      </c>
      <c r="AB411" s="5" t="str">
        <f ca="1">IFERROR(__xludf.DUMMYFUNCTION("""COMPUTED_VALUE"""),"Victims Targeted")</f>
        <v>Victims Targeted</v>
      </c>
      <c r="AC411" s="5" t="str">
        <f ca="1">IFERROR(__xludf.DUMMYFUNCTION("""COMPUTED_VALUE"""),"No")</f>
        <v>No</v>
      </c>
      <c r="AD411" s="5"/>
      <c r="AE411" s="5" t="str">
        <f ca="1">IFERROR(__xludf.DUMMYFUNCTION("""COMPUTED_VALUE"""),"No")</f>
        <v>No</v>
      </c>
      <c r="AF411" s="5" t="str">
        <f ca="1">IFERROR(__xludf.DUMMYFUNCTION("""COMPUTED_VALUE"""),"No")</f>
        <v>No</v>
      </c>
      <c r="AG411" s="5" t="str">
        <f ca="1">IFERROR(__xludf.DUMMYFUNCTION("""COMPUTED_VALUE"""),"No")</f>
        <v>No</v>
      </c>
      <c r="AH411" s="5" t="str">
        <f ca="1">IFERROR(__xludf.DUMMYFUNCTION("""COMPUTED_VALUE"""),"No")</f>
        <v>No</v>
      </c>
      <c r="AI411" s="5"/>
      <c r="AJ411" s="5" t="str">
        <f ca="1">IFERROR(__xludf.DUMMYFUNCTION("""COMPUTED_VALUE"""),"No")</f>
        <v>No</v>
      </c>
    </row>
    <row r="412" spans="1:36" ht="13">
      <c r="A412" s="5" t="str">
        <f ca="1">IFERROR(__xludf.DUMMYFUNCTION("""COMPUTED_VALUE"""),"20211206CAWIW")</f>
        <v>20211206CAWIW</v>
      </c>
      <c r="B412" s="5">
        <f ca="1">IFERROR(__xludf.DUMMYFUNCTION("""COMPUTED_VALUE"""),12)</f>
        <v>12</v>
      </c>
      <c r="C412" s="5">
        <f ca="1">IFERROR(__xludf.DUMMYFUNCTION("""COMPUTED_VALUE"""),6)</f>
        <v>6</v>
      </c>
      <c r="D412" s="5">
        <f ca="1">IFERROR(__xludf.DUMMYFUNCTION("""COMPUTED_VALUE"""),2021)</f>
        <v>2021</v>
      </c>
      <c r="E412" s="8">
        <f ca="1">IFERROR(__xludf.DUMMYFUNCTION("""COMPUTED_VALUE"""),44536)</f>
        <v>44536</v>
      </c>
      <c r="F412" s="5" t="str">
        <f ca="1">IFERROR(__xludf.DUMMYFUNCTION("""COMPUTED_VALUE"""),"Wilmington Park Elementary School")</f>
        <v>Wilmington Park Elementary School</v>
      </c>
      <c r="G412" s="5">
        <f ca="1">IFERROR(__xludf.DUMMYFUNCTION("""COMPUTED_VALUE"""),1)</f>
        <v>1</v>
      </c>
      <c r="H412" s="5">
        <f ca="1">IFERROR(__xludf.DUMMYFUNCTION("""COMPUTED_VALUE"""),2)</f>
        <v>2</v>
      </c>
      <c r="I412" s="5">
        <f ca="1">IFERROR(__xludf.DUMMYFUNCTION("""COMPUTED_VALUE"""),3)</f>
        <v>3</v>
      </c>
      <c r="J412" s="5">
        <f ca="1">IFERROR(__xludf.DUMMYFUNCTION("""COMPUTED_VALUE"""),0)</f>
        <v>0</v>
      </c>
      <c r="K412" s="5" t="str">
        <f ca="1">IFERROR(__xludf.DUMMYFUNCTION("""COMPUTED_VALUE"""),"https://abc7.com/wilmington-shooting-triple-lapd-shootings-leave-girl-and-boy-wounded/11306738/ https://ktla.com/news/local-news/3-kids-wounded-in-separate-wilmington-shootings/ https://abc7.com/wilmington-shooting-triple-lapd-shootings-leave-girl-and-boy"&amp;"-wounded/11306738/")</f>
        <v>https://abc7.com/wilmington-shooting-triple-lapd-shootings-leave-girl-and-boy-wounded/11306738/ https://ktla.com/news/local-news/3-kids-wounded-in-separate-wilmington-shootings/ https://abc7.com/wilmington-shooting-triple-lapd-shootings-leave-girl-and-boy-wounded/11306738/</v>
      </c>
      <c r="L412" s="5">
        <f ca="1">IFERROR(__xludf.DUMMYFUNCTION("""COMPUTED_VALUE"""),10)</f>
        <v>10</v>
      </c>
      <c r="M412" s="5" t="str">
        <f ca="1">IFERROR(__xludf.DUMMYFUNCTION("""COMPUTED_VALUE"""),"Regional")</f>
        <v>Regional</v>
      </c>
      <c r="N412" s="5">
        <f ca="1">IFERROR(__xludf.DUMMYFUNCTION("""COMPUTED_VALUE"""),4)</f>
        <v>4</v>
      </c>
      <c r="O412" s="5" t="str">
        <f ca="1">IFERROR(__xludf.DUMMYFUNCTION("""COMPUTED_VALUE"""),"Winter")</f>
        <v>Winter</v>
      </c>
      <c r="P412" s="5" t="str">
        <f ca="1">IFERROR(__xludf.DUMMYFUNCTION("""COMPUTED_VALUE"""),"Wilmington")</f>
        <v>Wilmington</v>
      </c>
      <c r="Q412" s="5" t="str">
        <f ca="1">IFERROR(__xludf.DUMMYFUNCTION("""COMPUTED_VALUE"""),"CA")</f>
        <v>CA</v>
      </c>
      <c r="R412" s="5" t="str">
        <f ca="1">IFERROR(__xludf.DUMMYFUNCTION("""COMPUTED_VALUE"""),"Elementary")</f>
        <v>Elementary</v>
      </c>
      <c r="S412" s="5" t="str">
        <f ca="1">IFERROR(__xludf.DUMMYFUNCTION("""COMPUTED_VALUE"""),"Playground")</f>
        <v>Playground</v>
      </c>
      <c r="T412" s="5" t="str">
        <f ca="1">IFERROR(__xludf.DUMMYFUNCTION("""COMPUTED_VALUE"""),"Outside on School Property")</f>
        <v>Outside on School Property</v>
      </c>
      <c r="U412" s="5" t="str">
        <f ca="1">IFERROR(__xludf.DUMMYFUNCTION("""COMPUTED_VALUE"""),"Yes")</f>
        <v>Yes</v>
      </c>
      <c r="V412" s="5" t="str">
        <f ca="1">IFERROR(__xludf.DUMMYFUNCTION("""COMPUTED_VALUE"""),"After School")</f>
        <v>After School</v>
      </c>
      <c r="W412" s="10">
        <f ca="1">IFERROR(__xludf.DUMMYFUNCTION("""COMPUTED_VALUE"""),0.698611111111111)</f>
        <v>0.69861111111111096</v>
      </c>
      <c r="X412" s="5">
        <f ca="1">IFERROR(__xludf.DUMMYFUNCTION("""COMPUTED_VALUE"""),1)</f>
        <v>1</v>
      </c>
      <c r="Y412" s="5" t="str">
        <f ca="1">IFERROR(__xludf.DUMMYFUNCTION("""COMPUTED_VALUE"""),"9-year-old girl critically injured by stray shot while on school playground")</f>
        <v>9-year-old girl critically injured by stray shot while on school playground</v>
      </c>
      <c r="Z412" s="5" t="str">
        <f ca="1">IFERROR(__xludf.DUMMYFUNCTION("""COMPUTED_VALUE"""),"Two shooters fired multiple shots at a vehicle in front of the elementary school. A 13-year-old boy inside the vehicle was killed and 20-year-old woman was injured. A stray shot struck a 9-year-old female student on the playground of the school, criticall"&amp;"y injuring her.")</f>
        <v>Two shooters fired multiple shots at a vehicle in front of the elementary school. A 13-year-old boy inside the vehicle was killed and 20-year-old woman was injured. A stray shot struck a 9-year-old female student on the playground of the school, critically injuring her.</v>
      </c>
      <c r="AA412" s="5"/>
      <c r="AB412" s="5" t="str">
        <f ca="1">IFERROR(__xludf.DUMMYFUNCTION("""COMPUTED_VALUE"""),"Both")</f>
        <v>Both</v>
      </c>
      <c r="AC412" s="5" t="str">
        <f ca="1">IFERROR(__xludf.DUMMYFUNCTION("""COMPUTED_VALUE"""),"Yes")</f>
        <v>Yes</v>
      </c>
      <c r="AD412" s="5" t="str">
        <f ca="1">IFERROR(__xludf.DUMMYFUNCTION("""COMPUTED_VALUE"""),"No")</f>
        <v>No</v>
      </c>
      <c r="AE412" s="5" t="str">
        <f ca="1">IFERROR(__xludf.DUMMYFUNCTION("""COMPUTED_VALUE"""),"No")</f>
        <v>No</v>
      </c>
      <c r="AF412" s="5" t="str">
        <f ca="1">IFERROR(__xludf.DUMMYFUNCTION("""COMPUTED_VALUE"""),"No")</f>
        <v>No</v>
      </c>
      <c r="AG412" s="5" t="str">
        <f ca="1">IFERROR(__xludf.DUMMYFUNCTION("""COMPUTED_VALUE"""),"No")</f>
        <v>No</v>
      </c>
      <c r="AH412" s="5"/>
      <c r="AI412" s="5"/>
      <c r="AJ412" s="5" t="str">
        <f ca="1">IFERROR(__xludf.DUMMYFUNCTION("""COMPUTED_VALUE"""),"No")</f>
        <v>No</v>
      </c>
    </row>
    <row r="413" spans="1:36" ht="13">
      <c r="A413" s="5" t="str">
        <f ca="1">IFERROR(__xludf.DUMMYFUNCTION("""COMPUTED_VALUE"""),"20211206NYSUS")</f>
        <v>20211206NYSUS</v>
      </c>
      <c r="B413" s="5">
        <f ca="1">IFERROR(__xludf.DUMMYFUNCTION("""COMPUTED_VALUE"""),12)</f>
        <v>12</v>
      </c>
      <c r="C413" s="5">
        <f ca="1">IFERROR(__xludf.DUMMYFUNCTION("""COMPUTED_VALUE"""),6)</f>
        <v>6</v>
      </c>
      <c r="D413" s="5">
        <f ca="1">IFERROR(__xludf.DUMMYFUNCTION("""COMPUTED_VALUE"""),2021)</f>
        <v>2021</v>
      </c>
      <c r="E413" s="8">
        <f ca="1">IFERROR(__xludf.DUMMYFUNCTION("""COMPUTED_VALUE"""),44536)</f>
        <v>44536</v>
      </c>
      <c r="F413" s="5" t="str">
        <f ca="1">IFERROR(__xludf.DUMMYFUNCTION("""COMPUTED_VALUE"""),"Susan E. Wagner High School")</f>
        <v>Susan E. Wagner High School</v>
      </c>
      <c r="G413" s="5">
        <f ca="1">IFERROR(__xludf.DUMMYFUNCTION("""COMPUTED_VALUE"""),0)</f>
        <v>0</v>
      </c>
      <c r="H413" s="5">
        <f ca="1">IFERROR(__xludf.DUMMYFUNCTION("""COMPUTED_VALUE"""),1)</f>
        <v>1</v>
      </c>
      <c r="I413" s="5">
        <f ca="1">IFERROR(__xludf.DUMMYFUNCTION("""COMPUTED_VALUE"""),1)</f>
        <v>1</v>
      </c>
      <c r="J413" s="5">
        <f ca="1">IFERROR(__xludf.DUMMYFUNCTION("""COMPUTED_VALUE"""),0)</f>
        <v>0</v>
      </c>
      <c r="K413" s="5" t="str">
        <f ca="1">IFERROR(__xludf.DUMMYFUNCTION("""COMPUTED_VALUE"""),"https://abc7ny.com/wagner-high-school-susan-e-staten-island/11310969/ https://www.silive.com/crime-safety/2021/12/cops-16-year-old-arrested-amid-safety-concerns-at-susan-wagner-high-school.html https://www.nydailynews.com/new-york/ny-staten-island-student"&amp;"-gun-scare-lockdown-20211207-wgfypndf5rdt5igmucd2f2tjzm-story.html")</f>
        <v>https://abc7ny.com/wagner-high-school-susan-e-staten-island/11310969/ https://www.silive.com/crime-safety/2021/12/cops-16-year-old-arrested-amid-safety-concerns-at-susan-wagner-high-school.html https://www.nydailynews.com/new-york/ny-staten-island-student-gun-scare-lockdown-20211207-wgfypndf5rdt5igmucd2f2tjzm-story.html</v>
      </c>
      <c r="L413" s="5">
        <f ca="1">IFERROR(__xludf.DUMMYFUNCTION("""COMPUTED_VALUE"""),10)</f>
        <v>10</v>
      </c>
      <c r="M413" s="5" t="str">
        <f ca="1">IFERROR(__xludf.DUMMYFUNCTION("""COMPUTED_VALUE"""),"Regional")</f>
        <v>Regional</v>
      </c>
      <c r="N413" s="5">
        <f ca="1">IFERROR(__xludf.DUMMYFUNCTION("""COMPUTED_VALUE"""),4)</f>
        <v>4</v>
      </c>
      <c r="O413" s="5" t="str">
        <f ca="1">IFERROR(__xludf.DUMMYFUNCTION("""COMPUTED_VALUE"""),"Winter")</f>
        <v>Winter</v>
      </c>
      <c r="P413" s="5" t="str">
        <f ca="1">IFERROR(__xludf.DUMMYFUNCTION("""COMPUTED_VALUE"""),"Staten Island")</f>
        <v>Staten Island</v>
      </c>
      <c r="Q413" s="5" t="str">
        <f ca="1">IFERROR(__xludf.DUMMYFUNCTION("""COMPUTED_VALUE"""),"NY")</f>
        <v>NY</v>
      </c>
      <c r="R413" s="5" t="str">
        <f ca="1">IFERROR(__xludf.DUMMYFUNCTION("""COMPUTED_VALUE"""),"High")</f>
        <v>High</v>
      </c>
      <c r="S413" s="5" t="str">
        <f ca="1">IFERROR(__xludf.DUMMYFUNCTION("""COMPUTED_VALUE"""),"Front of School")</f>
        <v>Front of School</v>
      </c>
      <c r="T413" s="5" t="str">
        <f ca="1">IFERROR(__xludf.DUMMYFUNCTION("""COMPUTED_VALUE"""),"Outside on School Property")</f>
        <v>Outside on School Property</v>
      </c>
      <c r="U413" s="5" t="str">
        <f ca="1">IFERROR(__xludf.DUMMYFUNCTION("""COMPUTED_VALUE"""),"Yes")</f>
        <v>Yes</v>
      </c>
      <c r="V413" s="5" t="str">
        <f ca="1">IFERROR(__xludf.DUMMYFUNCTION("""COMPUTED_VALUE"""),"Dismissal")</f>
        <v>Dismissal</v>
      </c>
      <c r="W413" s="10">
        <f ca="1">IFERROR(__xludf.DUMMYFUNCTION("""COMPUTED_VALUE"""),0.625)</f>
        <v>0.625</v>
      </c>
      <c r="X413" s="5">
        <f ca="1">IFERROR(__xludf.DUMMYFUNCTION("""COMPUTED_VALUE"""),1)</f>
        <v>1</v>
      </c>
      <c r="Y413" s="5" t="str">
        <f ca="1">IFERROR(__xludf.DUMMYFUNCTION("""COMPUTED_VALUE"""),"Student waiting for bus was attacked and pistol whipped by 2 teens")</f>
        <v>Student waiting for bus was attacked and pistol whipped by 2 teens</v>
      </c>
      <c r="Z413" s="5" t="str">
        <f ca="1">IFERROR(__xludf.DUMMYFUNCTION("""COMPUTED_VALUE"""),"A 16-year-old male student was waiting for a bus in front of the school when two teens got out of a vehicle and assaulted him. One teen brandished a handgun and pistol whipped the victim with it. Teens fled and were apprehended 1 mile away from the scene "&amp;"with handgun. Incident was captured on video. Initially reported as shots fired and school cancelled dismissal and locked down for 2 hours.")</f>
        <v>A 16-year-old male student was waiting for a bus in front of the school when two teens got out of a vehicle and assaulted him. One teen brandished a handgun and pistol whipped the victim with it. Teens fled and were apprehended 1 mile away from the scene with handgun. Incident was captured on video. Initially reported as shots fired and school cancelled dismissal and locked down for 2 hours.</v>
      </c>
      <c r="AA413" s="5"/>
      <c r="AB413" s="5" t="str">
        <f ca="1">IFERROR(__xludf.DUMMYFUNCTION("""COMPUTED_VALUE"""),"Victims Targeted")</f>
        <v>Victims Targeted</v>
      </c>
      <c r="AC413" s="5" t="str">
        <f ca="1">IFERROR(__xludf.DUMMYFUNCTION("""COMPUTED_VALUE"""),"Yes")</f>
        <v>Yes</v>
      </c>
      <c r="AD413" s="5" t="str">
        <f ca="1">IFERROR(__xludf.DUMMYFUNCTION("""COMPUTED_VALUE"""),"No")</f>
        <v>No</v>
      </c>
      <c r="AE413" s="5" t="str">
        <f ca="1">IFERROR(__xludf.DUMMYFUNCTION("""COMPUTED_VALUE"""),"No")</f>
        <v>No</v>
      </c>
      <c r="AF413" s="5" t="str">
        <f ca="1">IFERROR(__xludf.DUMMYFUNCTION("""COMPUTED_VALUE"""),"No")</f>
        <v>No</v>
      </c>
      <c r="AG413" s="5"/>
      <c r="AH413" s="5" t="str">
        <f ca="1">IFERROR(__xludf.DUMMYFUNCTION("""COMPUTED_VALUE"""),"No")</f>
        <v>No</v>
      </c>
      <c r="AI413" s="5"/>
      <c r="AJ413" s="5" t="str">
        <f ca="1">IFERROR(__xludf.DUMMYFUNCTION("""COMPUTED_VALUE"""),"No")</f>
        <v>No</v>
      </c>
    </row>
    <row r="414" spans="1:36" ht="13">
      <c r="A414" s="5" t="str">
        <f ca="1">IFERROR(__xludf.DUMMYFUNCTION("""COMPUTED_VALUE"""),"20211202WAGAS")</f>
        <v>20211202WAGAS</v>
      </c>
      <c r="B414" s="5">
        <f ca="1">IFERROR(__xludf.DUMMYFUNCTION("""COMPUTED_VALUE"""),12)</f>
        <v>12</v>
      </c>
      <c r="C414" s="5">
        <f ca="1">IFERROR(__xludf.DUMMYFUNCTION("""COMPUTED_VALUE"""),3)</f>
        <v>3</v>
      </c>
      <c r="D414" s="5">
        <f ca="1">IFERROR(__xludf.DUMMYFUNCTION("""COMPUTED_VALUE"""),2021)</f>
        <v>2021</v>
      </c>
      <c r="E414" s="8">
        <f ca="1">IFERROR(__xludf.DUMMYFUNCTION("""COMPUTED_VALUE"""),44533)</f>
        <v>44533</v>
      </c>
      <c r="F414" s="5" t="str">
        <f ca="1">IFERROR(__xludf.DUMMYFUNCTION("""COMPUTED_VALUE"""),"Garfield High School")</f>
        <v>Garfield High School</v>
      </c>
      <c r="G414" s="5">
        <f ca="1">IFERROR(__xludf.DUMMYFUNCTION("""COMPUTED_VALUE"""),0)</f>
        <v>0</v>
      </c>
      <c r="H414" s="5">
        <f ca="1">IFERROR(__xludf.DUMMYFUNCTION("""COMPUTED_VALUE"""),0)</f>
        <v>0</v>
      </c>
      <c r="I414" s="5">
        <f ca="1">IFERROR(__xludf.DUMMYFUNCTION("""COMPUTED_VALUE"""),0)</f>
        <v>0</v>
      </c>
      <c r="J414" s="5">
        <f ca="1">IFERROR(__xludf.DUMMYFUNCTION("""COMPUTED_VALUE"""),0)</f>
        <v>0</v>
      </c>
      <c r="K414" s="5" t="str">
        <f ca="1">IFERROR(__xludf.DUMMYFUNCTION("""COMPUTED_VALUE"""),"https://www.seattletimes.com/seattle-news/law-justice/police-investigate-shooting-near-seattles-garfield-high/ https://www.capitolhillseattle.com/2021/11/threat-forces-evacuation-at-garfield-high-school/ https://www.capitolhillseattle.com/2021/12/police-f"&amp;"ind-lots-of-shell-casings-no-victims-after-gunfire-in-garfield-high-school-parking-lot/")</f>
        <v>https://www.seattletimes.com/seattle-news/law-justice/police-investigate-shooting-near-seattles-garfield-high/ https://www.capitolhillseattle.com/2021/11/threat-forces-evacuation-at-garfield-high-school/ https://www.capitolhillseattle.com/2021/12/police-find-lots-of-shell-casings-no-victims-after-gunfire-in-garfield-high-school-parking-lot/</v>
      </c>
      <c r="L414" s="5">
        <f ca="1">IFERROR(__xludf.DUMMYFUNCTION("""COMPUTED_VALUE"""),2)</f>
        <v>2</v>
      </c>
      <c r="M414" s="5" t="str">
        <f ca="1">IFERROR(__xludf.DUMMYFUNCTION("""COMPUTED_VALUE"""),"Local")</f>
        <v>Local</v>
      </c>
      <c r="N414" s="5">
        <f ca="1">IFERROR(__xludf.DUMMYFUNCTION("""COMPUTED_VALUE"""),3)</f>
        <v>3</v>
      </c>
      <c r="O414" s="5" t="str">
        <f ca="1">IFERROR(__xludf.DUMMYFUNCTION("""COMPUTED_VALUE"""),"Winter")</f>
        <v>Winter</v>
      </c>
      <c r="P414" s="5" t="str">
        <f ca="1">IFERROR(__xludf.DUMMYFUNCTION("""COMPUTED_VALUE"""),"Seattle")</f>
        <v>Seattle</v>
      </c>
      <c r="Q414" s="5" t="str">
        <f ca="1">IFERROR(__xludf.DUMMYFUNCTION("""COMPUTED_VALUE"""),"WA")</f>
        <v>WA</v>
      </c>
      <c r="R414" s="5" t="str">
        <f ca="1">IFERROR(__xludf.DUMMYFUNCTION("""COMPUTED_VALUE"""),"High")</f>
        <v>High</v>
      </c>
      <c r="S414" s="5" t="str">
        <f ca="1">IFERROR(__xludf.DUMMYFUNCTION("""COMPUTED_VALUE"""),"Parking Lot")</f>
        <v>Parking Lot</v>
      </c>
      <c r="T414" s="5" t="str">
        <f ca="1">IFERROR(__xludf.DUMMYFUNCTION("""COMPUTED_VALUE"""),"Outside on School Property")</f>
        <v>Outside on School Property</v>
      </c>
      <c r="U414" s="5" t="str">
        <f ca="1">IFERROR(__xludf.DUMMYFUNCTION("""COMPUTED_VALUE"""),"No")</f>
        <v>No</v>
      </c>
      <c r="V414" s="5" t="str">
        <f ca="1">IFERROR(__xludf.DUMMYFUNCTION("""COMPUTED_VALUE"""),"After School")</f>
        <v>After School</v>
      </c>
      <c r="W414" s="10">
        <f ca="1">IFERROR(__xludf.DUMMYFUNCTION("""COMPUTED_VALUE"""),0.6875)</f>
        <v>0.6875</v>
      </c>
      <c r="X414" s="5">
        <f ca="1">IFERROR(__xludf.DUMMYFUNCTION("""COMPUTED_VALUE"""),1)</f>
        <v>1</v>
      </c>
      <c r="Y414" s="5" t="str">
        <f ca="1">IFERROR(__xludf.DUMMYFUNCTION("""COMPUTED_VALUE"""),"30 shots fired in school parking lot during basketball practice")</f>
        <v>30 shots fired in school parking lot during basketball practice</v>
      </c>
      <c r="Z414" s="5" t="str">
        <f ca="1">IFERROR(__xludf.DUMMYFUNCTION("""COMPUTED_VALUE"""),"A teen shooter fired 30 shots in the parking lot of the high school. Basketball practice was occurring at the time of the shooting and the school was locked down. No injuries. Shooter fled. A bomb threat evacuated the school earlier in the day.")</f>
        <v>A teen shooter fired 30 shots in the parking lot of the high school. Basketball practice was occurring at the time of the shooting and the school was locked down. No injuries. Shooter fled. A bomb threat evacuated the school earlier in the day.</v>
      </c>
      <c r="AA414" s="5"/>
      <c r="AB414" s="5" t="str">
        <f ca="1">IFERROR(__xludf.DUMMYFUNCTION("""COMPUTED_VALUE"""),"Both")</f>
        <v>Both</v>
      </c>
      <c r="AC414" s="5" t="str">
        <f ca="1">IFERROR(__xludf.DUMMYFUNCTION("""COMPUTED_VALUE"""),"No")</f>
        <v>No</v>
      </c>
      <c r="AD414" s="5" t="str">
        <f ca="1">IFERROR(__xludf.DUMMYFUNCTION("""COMPUTED_VALUE"""),"No")</f>
        <v>No</v>
      </c>
      <c r="AE414" s="5" t="str">
        <f ca="1">IFERROR(__xludf.DUMMYFUNCTION("""COMPUTED_VALUE"""),"No")</f>
        <v>No</v>
      </c>
      <c r="AF414" s="5" t="str">
        <f ca="1">IFERROR(__xludf.DUMMYFUNCTION("""COMPUTED_VALUE"""),"No")</f>
        <v>No</v>
      </c>
      <c r="AG414" s="5"/>
      <c r="AH414" s="5" t="str">
        <f ca="1">IFERROR(__xludf.DUMMYFUNCTION("""COMPUTED_VALUE"""),"No")</f>
        <v>No</v>
      </c>
      <c r="AI414" s="5"/>
      <c r="AJ414" s="5" t="str">
        <f ca="1">IFERROR(__xludf.DUMMYFUNCTION("""COMPUTED_VALUE"""),"No")</f>
        <v>No</v>
      </c>
    </row>
    <row r="415" spans="1:36" ht="13">
      <c r="A415" s="5" t="str">
        <f ca="1">IFERROR(__xludf.DUMMYFUNCTION("""COMPUTED_VALUE"""),"20211203ARBLB")</f>
        <v>20211203ARBLB</v>
      </c>
      <c r="B415" s="5">
        <f ca="1">IFERROR(__xludf.DUMMYFUNCTION("""COMPUTED_VALUE"""),12)</f>
        <v>12</v>
      </c>
      <c r="C415" s="5">
        <f ca="1">IFERROR(__xludf.DUMMYFUNCTION("""COMPUTED_VALUE"""),3)</f>
        <v>3</v>
      </c>
      <c r="D415" s="5">
        <f ca="1">IFERROR(__xludf.DUMMYFUNCTION("""COMPUTED_VALUE"""),2021)</f>
        <v>2021</v>
      </c>
      <c r="E415" s="8">
        <f ca="1">IFERROR(__xludf.DUMMYFUNCTION("""COMPUTED_VALUE"""),44533)</f>
        <v>44533</v>
      </c>
      <c r="F415" s="5" t="str">
        <f ca="1">IFERROR(__xludf.DUMMYFUNCTION("""COMPUTED_VALUE"""),"Blytheville High School")</f>
        <v>Blytheville High School</v>
      </c>
      <c r="G415" s="5">
        <f ca="1">IFERROR(__xludf.DUMMYFUNCTION("""COMPUTED_VALUE"""),0)</f>
        <v>0</v>
      </c>
      <c r="H415" s="5">
        <f ca="1">IFERROR(__xludf.DUMMYFUNCTION("""COMPUTED_VALUE"""),0)</f>
        <v>0</v>
      </c>
      <c r="I415" s="5">
        <f ca="1">IFERROR(__xludf.DUMMYFUNCTION("""COMPUTED_VALUE"""),0)</f>
        <v>0</v>
      </c>
      <c r="J415" s="5">
        <f ca="1">IFERROR(__xludf.DUMMYFUNCTION("""COMPUTED_VALUE"""),0)</f>
        <v>0</v>
      </c>
      <c r="K415" s="9" t="str">
        <f ca="1">IFERROR(__xludf.DUMMYFUNCTION("""COMPUTED_VALUE"""),"https://www.kait8.com/2021/12/06/man-arrested-following-school-parking-lot-shooting/")</f>
        <v>https://www.kait8.com/2021/12/06/man-arrested-following-school-parking-lot-shooting/</v>
      </c>
      <c r="L415" s="5">
        <f ca="1">IFERROR(__xludf.DUMMYFUNCTION("""COMPUTED_VALUE"""),1)</f>
        <v>1</v>
      </c>
      <c r="M415" s="5" t="str">
        <f ca="1">IFERROR(__xludf.DUMMYFUNCTION("""COMPUTED_VALUE"""),"Local")</f>
        <v>Local</v>
      </c>
      <c r="N415" s="5">
        <f ca="1">IFERROR(__xludf.DUMMYFUNCTION("""COMPUTED_VALUE"""),4)</f>
        <v>4</v>
      </c>
      <c r="O415" s="5" t="str">
        <f ca="1">IFERROR(__xludf.DUMMYFUNCTION("""COMPUTED_VALUE"""),"Winter")</f>
        <v>Winter</v>
      </c>
      <c r="P415" s="5" t="str">
        <f ca="1">IFERROR(__xludf.DUMMYFUNCTION("""COMPUTED_VALUE"""),"Blytheville")</f>
        <v>Blytheville</v>
      </c>
      <c r="Q415" s="5" t="str">
        <f ca="1">IFERROR(__xludf.DUMMYFUNCTION("""COMPUTED_VALUE"""),"AR")</f>
        <v>AR</v>
      </c>
      <c r="R415" s="5" t="str">
        <f ca="1">IFERROR(__xludf.DUMMYFUNCTION("""COMPUTED_VALUE"""),"High")</f>
        <v>High</v>
      </c>
      <c r="S415" s="5" t="str">
        <f ca="1">IFERROR(__xludf.DUMMYFUNCTION("""COMPUTED_VALUE"""),"Parking Lot")</f>
        <v>Parking Lot</v>
      </c>
      <c r="T415" s="5" t="str">
        <f ca="1">IFERROR(__xludf.DUMMYFUNCTION("""COMPUTED_VALUE"""),"Outside on School Property")</f>
        <v>Outside on School Property</v>
      </c>
      <c r="U415" s="5" t="str">
        <f ca="1">IFERROR(__xludf.DUMMYFUNCTION("""COMPUTED_VALUE"""),"No")</f>
        <v>No</v>
      </c>
      <c r="V415" s="5" t="str">
        <f ca="1">IFERROR(__xludf.DUMMYFUNCTION("""COMPUTED_VALUE"""),"Night")</f>
        <v>Night</v>
      </c>
      <c r="W415" s="10">
        <f ca="1">IFERROR(__xludf.DUMMYFUNCTION("""COMPUTED_VALUE"""),0.885416666666666)</f>
        <v>0.88541666666666596</v>
      </c>
      <c r="X415" s="5">
        <f ca="1">IFERROR(__xludf.DUMMYFUNCTION("""COMPUTED_VALUE"""),1)</f>
        <v>1</v>
      </c>
      <c r="Y415" s="5" t="str">
        <f ca="1">IFERROR(__xludf.DUMMYFUNCTION("""COMPUTED_VALUE"""),"Teen fired multiple shots at person inside vehicle in the parking lot")</f>
        <v>Teen fired multiple shots at person inside vehicle in the parking lot</v>
      </c>
      <c r="Z415" s="5" t="str">
        <f ca="1">IFERROR(__xludf.DUMMYFUNCTION("""COMPUTED_VALUE"""),"A 19-year-old non-student fired multiple shots at another non-student inside a vehicle in the school parking lot. The shooter fled and was identified by CCTV footage, then arrested the next day. Targeted victim was not injured. Teen charged with terrorist"&amp;"ic act. Shooting related to a prior fight between shooter and victim.")</f>
        <v>A 19-year-old non-student fired multiple shots at another non-student inside a vehicle in the school parking lot. The shooter fled and was identified by CCTV footage, then arrested the next day. Targeted victim was not injured. Teen charged with terroristic act. Shooting related to a prior fight between shooter and victim.</v>
      </c>
      <c r="AA415" s="5" t="str">
        <f ca="1">IFERROR(__xludf.DUMMYFUNCTION("""COMPUTED_VALUE"""),"Escalation of Dispute")</f>
        <v>Escalation of Dispute</v>
      </c>
      <c r="AB415" s="5" t="str">
        <f ca="1">IFERROR(__xludf.DUMMYFUNCTION("""COMPUTED_VALUE"""),"Victims Targeted")</f>
        <v>Victims Targeted</v>
      </c>
      <c r="AC415" s="5" t="str">
        <f ca="1">IFERROR(__xludf.DUMMYFUNCTION("""COMPUTED_VALUE"""),"No")</f>
        <v>No</v>
      </c>
      <c r="AD415" s="5" t="str">
        <f ca="1">IFERROR(__xludf.DUMMYFUNCTION("""COMPUTED_VALUE"""),"No")</f>
        <v>No</v>
      </c>
      <c r="AE415" s="5" t="str">
        <f ca="1">IFERROR(__xludf.DUMMYFUNCTION("""COMPUTED_VALUE"""),"No")</f>
        <v>No</v>
      </c>
      <c r="AF415" s="5" t="str">
        <f ca="1">IFERROR(__xludf.DUMMYFUNCTION("""COMPUTED_VALUE"""),"No")</f>
        <v>No</v>
      </c>
      <c r="AG415" s="5" t="str">
        <f ca="1">IFERROR(__xludf.DUMMYFUNCTION("""COMPUTED_VALUE"""),"No")</f>
        <v>No</v>
      </c>
      <c r="AH415" s="5" t="str">
        <f ca="1">IFERROR(__xludf.DUMMYFUNCTION("""COMPUTED_VALUE"""),"No")</f>
        <v>No</v>
      </c>
      <c r="AI415" s="5" t="str">
        <f ca="1">IFERROR(__xludf.DUMMYFUNCTION("""COMPUTED_VALUE"""),"No")</f>
        <v>No</v>
      </c>
      <c r="AJ415" s="5" t="str">
        <f ca="1">IFERROR(__xludf.DUMMYFUNCTION("""COMPUTED_VALUE"""),"No")</f>
        <v>No</v>
      </c>
    </row>
    <row r="416" spans="1:36" ht="13">
      <c r="A416" s="5" t="str">
        <f ca="1">IFERROR(__xludf.DUMMYFUNCTION("""COMPUTED_VALUE"""),"20211201TXSAP")</f>
        <v>20211201TXSAP</v>
      </c>
      <c r="B416" s="5">
        <f ca="1">IFERROR(__xludf.DUMMYFUNCTION("""COMPUTED_VALUE"""),12)</f>
        <v>12</v>
      </c>
      <c r="C416" s="5">
        <f ca="1">IFERROR(__xludf.DUMMYFUNCTION("""COMPUTED_VALUE"""),1)</f>
        <v>1</v>
      </c>
      <c r="D416" s="5">
        <f ca="1">IFERROR(__xludf.DUMMYFUNCTION("""COMPUTED_VALUE"""),2021)</f>
        <v>2021</v>
      </c>
      <c r="E416" s="8">
        <f ca="1">IFERROR(__xludf.DUMMYFUNCTION("""COMPUTED_VALUE"""),44531)</f>
        <v>44531</v>
      </c>
      <c r="F416" s="5" t="str">
        <f ca="1">IFERROR(__xludf.DUMMYFUNCTION("""COMPUTED_VALUE"""),"Sam Rayburn High School")</f>
        <v>Sam Rayburn High School</v>
      </c>
      <c r="G416" s="5">
        <f ca="1">IFERROR(__xludf.DUMMYFUNCTION("""COMPUTED_VALUE"""),0)</f>
        <v>0</v>
      </c>
      <c r="H416" s="5">
        <f ca="1">IFERROR(__xludf.DUMMYFUNCTION("""COMPUTED_VALUE"""),0)</f>
        <v>0</v>
      </c>
      <c r="I416" s="5">
        <f ca="1">IFERROR(__xludf.DUMMYFUNCTION("""COMPUTED_VALUE"""),0)</f>
        <v>0</v>
      </c>
      <c r="J416" s="5">
        <f ca="1">IFERROR(__xludf.DUMMYFUNCTION("""COMPUTED_VALUE"""),0)</f>
        <v>0</v>
      </c>
      <c r="K416" s="9" t="str">
        <f ca="1">IFERROR(__xludf.DUMMYFUNCTION("""COMPUTED_VALUE"""),"https://www.khou.com/article/news/crime/armed-robbery-sam-rayburn-high-school/285-06becca9-eb0b-46ce-85e6-b710d108e7dc")</f>
        <v>https://www.khou.com/article/news/crime/armed-robbery-sam-rayburn-high-school/285-06becca9-eb0b-46ce-85e6-b710d108e7dc</v>
      </c>
      <c r="L416" s="5"/>
      <c r="M416" s="5" t="str">
        <f ca="1">IFERROR(__xludf.DUMMYFUNCTION("""COMPUTED_VALUE"""),"Local")</f>
        <v>Local</v>
      </c>
      <c r="N416" s="5">
        <f ca="1">IFERROR(__xludf.DUMMYFUNCTION("""COMPUTED_VALUE"""),4)</f>
        <v>4</v>
      </c>
      <c r="O416" s="5" t="str">
        <f ca="1">IFERROR(__xludf.DUMMYFUNCTION("""COMPUTED_VALUE"""),"Winter")</f>
        <v>Winter</v>
      </c>
      <c r="P416" s="5" t="str">
        <f ca="1">IFERROR(__xludf.DUMMYFUNCTION("""COMPUTED_VALUE"""),"Pasadena")</f>
        <v>Pasadena</v>
      </c>
      <c r="Q416" s="5" t="str">
        <f ca="1">IFERROR(__xludf.DUMMYFUNCTION("""COMPUTED_VALUE"""),"TX")</f>
        <v>TX</v>
      </c>
      <c r="R416" s="5" t="str">
        <f ca="1">IFERROR(__xludf.DUMMYFUNCTION("""COMPUTED_VALUE"""),"High")</f>
        <v>High</v>
      </c>
      <c r="S416" s="5" t="str">
        <f ca="1">IFERROR(__xludf.DUMMYFUNCTION("""COMPUTED_VALUE"""),"Football Field/Track")</f>
        <v>Football Field/Track</v>
      </c>
      <c r="T416" s="5" t="str">
        <f ca="1">IFERROR(__xludf.DUMMYFUNCTION("""COMPUTED_VALUE"""),"Outside on School Property")</f>
        <v>Outside on School Property</v>
      </c>
      <c r="U416" s="5" t="str">
        <f ca="1">IFERROR(__xludf.DUMMYFUNCTION("""COMPUTED_VALUE"""),"Yes")</f>
        <v>Yes</v>
      </c>
      <c r="V416" s="5" t="str">
        <f ca="1">IFERROR(__xludf.DUMMYFUNCTION("""COMPUTED_VALUE"""),"Morning Classes")</f>
        <v>Morning Classes</v>
      </c>
      <c r="W416" s="10">
        <f ca="1">IFERROR(__xludf.DUMMYFUNCTION("""COMPUTED_VALUE"""),0.458333333333333)</f>
        <v>0.45833333333333298</v>
      </c>
      <c r="X416" s="5">
        <f ca="1">IFERROR(__xludf.DUMMYFUNCTION("""COMPUTED_VALUE"""),1)</f>
        <v>1</v>
      </c>
      <c r="Y416" s="5" t="str">
        <f ca="1">IFERROR(__xludf.DUMMYFUNCTION("""COMPUTED_VALUE"""),"Adult man robbed student at gunpoint and fired shot on the athletic field")</f>
        <v>Adult man robbed student at gunpoint and fired shot on the athletic field</v>
      </c>
      <c r="Z416" s="5" t="str">
        <f ca="1">IFERROR(__xludf.DUMMYFUNCTION("""COMPUTED_VALUE"""),"21-year-old male robbed a student at gunpoint during morning classes on the athletic field of the school. The shooter demanded the student's phone and when the student refused, he fired one shot. SRO responded, arrested the shooter, and recovered the phon"&amp;"e.")</f>
        <v>21-year-old male robbed a student at gunpoint during morning classes on the athletic field of the school. The shooter demanded the student's phone and when the student refused, he fired one shot. SRO responded, arrested the shooter, and recovered the phone.</v>
      </c>
      <c r="AA416" s="5" t="str">
        <f ca="1">IFERROR(__xludf.DUMMYFUNCTION("""COMPUTED_VALUE"""),"Illegal Activity")</f>
        <v>Illegal Activity</v>
      </c>
      <c r="AB416" s="5" t="str">
        <f ca="1">IFERROR(__xludf.DUMMYFUNCTION("""COMPUTED_VALUE"""),"Victims Targeted")</f>
        <v>Victims Targeted</v>
      </c>
      <c r="AC416" s="5" t="str">
        <f ca="1">IFERROR(__xludf.DUMMYFUNCTION("""COMPUTED_VALUE"""),"No")</f>
        <v>No</v>
      </c>
      <c r="AD416" s="5" t="str">
        <f ca="1">IFERROR(__xludf.DUMMYFUNCTION("""COMPUTED_VALUE"""),"No")</f>
        <v>No</v>
      </c>
      <c r="AE416" s="5" t="str">
        <f ca="1">IFERROR(__xludf.DUMMYFUNCTION("""COMPUTED_VALUE"""),"No")</f>
        <v>No</v>
      </c>
      <c r="AF416" s="5" t="str">
        <f ca="1">IFERROR(__xludf.DUMMYFUNCTION("""COMPUTED_VALUE"""),"No")</f>
        <v>No</v>
      </c>
      <c r="AG416" s="5" t="str">
        <f ca="1">IFERROR(__xludf.DUMMYFUNCTION("""COMPUTED_VALUE"""),"No")</f>
        <v>No</v>
      </c>
      <c r="AH416" s="5" t="str">
        <f ca="1">IFERROR(__xludf.DUMMYFUNCTION("""COMPUTED_VALUE"""),"No")</f>
        <v>No</v>
      </c>
      <c r="AI416" s="5" t="str">
        <f ca="1">IFERROR(__xludf.DUMMYFUNCTION("""COMPUTED_VALUE"""),"No")</f>
        <v>No</v>
      </c>
      <c r="AJ416" s="5" t="str">
        <f ca="1">IFERROR(__xludf.DUMMYFUNCTION("""COMPUTED_VALUE"""),"No")</f>
        <v>No</v>
      </c>
    </row>
    <row r="417" spans="1:36" ht="13">
      <c r="A417" s="5" t="str">
        <f ca="1">IFERROR(__xludf.DUMMYFUNCTION("""COMPUTED_VALUE"""),"20211130MIOXO")</f>
        <v>20211130MIOXO</v>
      </c>
      <c r="B417" s="5">
        <f ca="1">IFERROR(__xludf.DUMMYFUNCTION("""COMPUTED_VALUE"""),11)</f>
        <v>11</v>
      </c>
      <c r="C417" s="5">
        <f ca="1">IFERROR(__xludf.DUMMYFUNCTION("""COMPUTED_VALUE"""),30)</f>
        <v>30</v>
      </c>
      <c r="D417" s="5">
        <f ca="1">IFERROR(__xludf.DUMMYFUNCTION("""COMPUTED_VALUE"""),2021)</f>
        <v>2021</v>
      </c>
      <c r="E417" s="8">
        <f ca="1">IFERROR(__xludf.DUMMYFUNCTION("""COMPUTED_VALUE"""),44530)</f>
        <v>44530</v>
      </c>
      <c r="F417" s="5" t="str">
        <f ca="1">IFERROR(__xludf.DUMMYFUNCTION("""COMPUTED_VALUE"""),"Oxford High School")</f>
        <v>Oxford High School</v>
      </c>
      <c r="G417" s="5">
        <f ca="1">IFERROR(__xludf.DUMMYFUNCTION("""COMPUTED_VALUE"""),4)</f>
        <v>4</v>
      </c>
      <c r="H417" s="5">
        <f ca="1">IFERROR(__xludf.DUMMYFUNCTION("""COMPUTED_VALUE"""),7)</f>
        <v>7</v>
      </c>
      <c r="I417" s="5">
        <f ca="1">IFERROR(__xludf.DUMMYFUNCTION("""COMPUTED_VALUE"""),11)</f>
        <v>11</v>
      </c>
      <c r="J417" s="5">
        <f ca="1">IFERROR(__xludf.DUMMYFUNCTION("""COMPUTED_VALUE"""),0)</f>
        <v>0</v>
      </c>
      <c r="K417" s="5" t="str">
        <f ca="1">IFERROR(__xludf.DUMMYFUNCTION("""COMPUTED_VALUE"""),"https://www.freep.com/story/news/local/michigan/oakland/2021/11/30/oxford-high-school-shooting-suspect-used-gun-dad-bought/8817406002/ https://www.cnn.com/2021/11/30/us/michigan-oxford-high-school-incident/index.html https://www.nytimes.com/live/2021/11/3"&amp;"0/us/school-shooting-michigan")</f>
        <v>https://www.freep.com/story/news/local/michigan/oakland/2021/11/30/oxford-high-school-shooting-suspect-used-gun-dad-bought/8817406002/ https://www.cnn.com/2021/11/30/us/michigan-oxford-high-school-incident/index.html https://www.nytimes.com/live/2021/11/30/us/school-shooting-michigan</v>
      </c>
      <c r="L417" s="5">
        <f ca="1">IFERROR(__xludf.DUMMYFUNCTION("""COMPUTED_VALUE"""),999)</f>
        <v>999</v>
      </c>
      <c r="M417" s="5" t="str">
        <f ca="1">IFERROR(__xludf.DUMMYFUNCTION("""COMPUTED_VALUE"""),"International")</f>
        <v>International</v>
      </c>
      <c r="N417" s="5">
        <f ca="1">IFERROR(__xludf.DUMMYFUNCTION("""COMPUTED_VALUE"""),4)</f>
        <v>4</v>
      </c>
      <c r="O417" s="5" t="str">
        <f ca="1">IFERROR(__xludf.DUMMYFUNCTION("""COMPUTED_VALUE"""),"Fall")</f>
        <v>Fall</v>
      </c>
      <c r="P417" s="5" t="str">
        <f ca="1">IFERROR(__xludf.DUMMYFUNCTION("""COMPUTED_VALUE"""),"Oxford")</f>
        <v>Oxford</v>
      </c>
      <c r="Q417" s="5" t="str">
        <f ca="1">IFERROR(__xludf.DUMMYFUNCTION("""COMPUTED_VALUE"""),"MI")</f>
        <v>MI</v>
      </c>
      <c r="R417" s="5" t="str">
        <f ca="1">IFERROR(__xludf.DUMMYFUNCTION("""COMPUTED_VALUE"""),"High")</f>
        <v>High</v>
      </c>
      <c r="S417" s="5" t="str">
        <f ca="1">IFERROR(__xludf.DUMMYFUNCTION("""COMPUTED_VALUE"""),"Inside School Building")</f>
        <v>Inside School Building</v>
      </c>
      <c r="T417" s="5" t="str">
        <f ca="1">IFERROR(__xludf.DUMMYFUNCTION("""COMPUTED_VALUE"""),"Inside School Building")</f>
        <v>Inside School Building</v>
      </c>
      <c r="U417" s="5" t="str">
        <f ca="1">IFERROR(__xludf.DUMMYFUNCTION("""COMPUTED_VALUE"""),"Yes")</f>
        <v>Yes</v>
      </c>
      <c r="V417" s="5" t="str">
        <f ca="1">IFERROR(__xludf.DUMMYFUNCTION("""COMPUTED_VALUE"""),"Afternoon Classes")</f>
        <v>Afternoon Classes</v>
      </c>
      <c r="W417" s="10">
        <f ca="1">IFERROR(__xludf.DUMMYFUNCTION("""COMPUTED_VALUE"""),0.535416666666666)</f>
        <v>0.53541666666666599</v>
      </c>
      <c r="X417" s="5">
        <f ca="1">IFERROR(__xludf.DUMMYFUNCTION("""COMPUTED_VALUE"""),10)</f>
        <v>10</v>
      </c>
      <c r="Y417" s="5" t="str">
        <f ca="1">IFERROR(__xludf.DUMMYFUNCTION("""COMPUTED_VALUE"""),"11 students shot during planned attack at school")</f>
        <v>11 students shot during planned attack at school</v>
      </c>
      <c r="Z417" s="5" t="str">
        <f ca="1">IFERROR(__xludf.DUMMYFUNCTION("""COMPUTED_VALUE"""),"A 15-year-old male student fired 15-20 shots inside the high school killing 4 students, and injuring 6 students and 1 teacher. School went on lockdown and students barricaded classroom doors. Shooter was was not injured and was arrested by police after ex"&amp;"iting bathroom.")</f>
        <v>A 15-year-old male student fired 15-20 shots inside the high school killing 4 students, and injuring 6 students and 1 teacher. School went on lockdown and students barricaded classroom doors. Shooter was was not injured and was arrested by police after exiting bathroom.</v>
      </c>
      <c r="AA417" s="5" t="str">
        <f ca="1">IFERROR(__xludf.DUMMYFUNCTION("""COMPUTED_VALUE"""),"Indiscriminate Shooting")</f>
        <v>Indiscriminate Shooting</v>
      </c>
      <c r="AB417" s="5" t="str">
        <f ca="1">IFERROR(__xludf.DUMMYFUNCTION("""COMPUTED_VALUE"""),"Both")</f>
        <v>Both</v>
      </c>
      <c r="AC417" s="5" t="str">
        <f ca="1">IFERROR(__xludf.DUMMYFUNCTION("""COMPUTED_VALUE"""),"No")</f>
        <v>No</v>
      </c>
      <c r="AD417" s="5" t="str">
        <f ca="1">IFERROR(__xludf.DUMMYFUNCTION("""COMPUTED_VALUE"""),"No")</f>
        <v>No</v>
      </c>
      <c r="AE417" s="5" t="str">
        <f ca="1">IFERROR(__xludf.DUMMYFUNCTION("""COMPUTED_VALUE"""),"No")</f>
        <v>No</v>
      </c>
      <c r="AF417" s="5" t="str">
        <f ca="1">IFERROR(__xludf.DUMMYFUNCTION("""COMPUTED_VALUE"""),"No")</f>
        <v>No</v>
      </c>
      <c r="AG417" s="5"/>
      <c r="AH417" s="5" t="str">
        <f ca="1">IFERROR(__xludf.DUMMYFUNCTION("""COMPUTED_VALUE"""),"No")</f>
        <v>No</v>
      </c>
      <c r="AI417" s="5" t="str">
        <f ca="1">IFERROR(__xludf.DUMMYFUNCTION("""COMPUTED_VALUE"""),"No")</f>
        <v>No</v>
      </c>
      <c r="AJ417" s="5" t="str">
        <f ca="1">IFERROR(__xludf.DUMMYFUNCTION("""COMPUTED_VALUE"""),"Yes")</f>
        <v>Yes</v>
      </c>
    </row>
    <row r="418" spans="1:36" ht="13">
      <c r="A418" s="5" t="str">
        <f ca="1">IFERROR(__xludf.DUMMYFUNCTION("""COMPUTED_VALUE"""),"20211130OHWHW")</f>
        <v>20211130OHWHW</v>
      </c>
      <c r="B418" s="5">
        <f ca="1">IFERROR(__xludf.DUMMYFUNCTION("""COMPUTED_VALUE"""),11)</f>
        <v>11</v>
      </c>
      <c r="C418" s="5">
        <f ca="1">IFERROR(__xludf.DUMMYFUNCTION("""COMPUTED_VALUE"""),30)</f>
        <v>30</v>
      </c>
      <c r="D418" s="5">
        <f ca="1">IFERROR(__xludf.DUMMYFUNCTION("""COMPUTED_VALUE"""),2021)</f>
        <v>2021</v>
      </c>
      <c r="E418" s="8">
        <f ca="1">IFERROR(__xludf.DUMMYFUNCTION("""COMPUTED_VALUE"""),44530)</f>
        <v>44530</v>
      </c>
      <c r="F418" s="5" t="str">
        <f ca="1">IFERROR(__xludf.DUMMYFUNCTION("""COMPUTED_VALUE"""),"Whitehall Yearling High School")</f>
        <v>Whitehall Yearling High School</v>
      </c>
      <c r="G418" s="5">
        <f ca="1">IFERROR(__xludf.DUMMYFUNCTION("""COMPUTED_VALUE"""),0)</f>
        <v>0</v>
      </c>
      <c r="H418" s="5">
        <f ca="1">IFERROR(__xludf.DUMMYFUNCTION("""COMPUTED_VALUE"""),0)</f>
        <v>0</v>
      </c>
      <c r="I418" s="5">
        <f ca="1">IFERROR(__xludf.DUMMYFUNCTION("""COMPUTED_VALUE"""),0)</f>
        <v>0</v>
      </c>
      <c r="J418" s="5">
        <f ca="1">IFERROR(__xludf.DUMMYFUNCTION("""COMPUTED_VALUE"""),0)</f>
        <v>0</v>
      </c>
      <c r="K418" s="5" t="str">
        <f ca="1">IFERROR(__xludf.DUMMYFUNCTION("""COMPUTED_VALUE"""),"https://www.10tv.com/article/news/local/18-year-old-accidentally-shoots-self-playing-with-gun-outside-whitehall-high-school/530-5948f34e-ad8a-4941-979f-6e34ddc9a573 https://abc6onyourside.com/news/local/18-year-old-injured-after-accidentally-shooting-hims"&amp;"elf-outside-whitehall-high-school-11-30-2021")</f>
        <v>https://www.10tv.com/article/news/local/18-year-old-accidentally-shoots-self-playing-with-gun-outside-whitehall-high-school/530-5948f34e-ad8a-4941-979f-6e34ddc9a573 https://abc6onyourside.com/news/local/18-year-old-injured-after-accidentally-shooting-himself-outside-whitehall-high-school-11-30-2021</v>
      </c>
      <c r="L418" s="5">
        <f ca="1">IFERROR(__xludf.DUMMYFUNCTION("""COMPUTED_VALUE"""),2)</f>
        <v>2</v>
      </c>
      <c r="M418" s="5" t="str">
        <f ca="1">IFERROR(__xludf.DUMMYFUNCTION("""COMPUTED_VALUE"""),"Local")</f>
        <v>Local</v>
      </c>
      <c r="N418" s="5">
        <f ca="1">IFERROR(__xludf.DUMMYFUNCTION("""COMPUTED_VALUE"""),4)</f>
        <v>4</v>
      </c>
      <c r="O418" s="5" t="str">
        <f ca="1">IFERROR(__xludf.DUMMYFUNCTION("""COMPUTED_VALUE"""),"Fall")</f>
        <v>Fall</v>
      </c>
      <c r="P418" s="5" t="str">
        <f ca="1">IFERROR(__xludf.DUMMYFUNCTION("""COMPUTED_VALUE"""),"Whitehall")</f>
        <v>Whitehall</v>
      </c>
      <c r="Q418" s="5" t="str">
        <f ca="1">IFERROR(__xludf.DUMMYFUNCTION("""COMPUTED_VALUE"""),"OH")</f>
        <v>OH</v>
      </c>
      <c r="R418" s="5" t="str">
        <f ca="1">IFERROR(__xludf.DUMMYFUNCTION("""COMPUTED_VALUE"""),"High")</f>
        <v>High</v>
      </c>
      <c r="S418" s="5" t="str">
        <f ca="1">IFERROR(__xludf.DUMMYFUNCTION("""COMPUTED_VALUE"""),"Parking Lot")</f>
        <v>Parking Lot</v>
      </c>
      <c r="T418" s="5" t="str">
        <f ca="1">IFERROR(__xludf.DUMMYFUNCTION("""COMPUTED_VALUE"""),"Outside on School Property")</f>
        <v>Outside on School Property</v>
      </c>
      <c r="U418" s="5" t="str">
        <f ca="1">IFERROR(__xludf.DUMMYFUNCTION("""COMPUTED_VALUE"""),"No")</f>
        <v>No</v>
      </c>
      <c r="V418" s="5" t="str">
        <f ca="1">IFERROR(__xludf.DUMMYFUNCTION("""COMPUTED_VALUE"""),"Evening")</f>
        <v>Evening</v>
      </c>
      <c r="W418" s="10">
        <f ca="1">IFERROR(__xludf.DUMMYFUNCTION("""COMPUTED_VALUE"""),0.75)</f>
        <v>0.75</v>
      </c>
      <c r="X418" s="5">
        <f ca="1">IFERROR(__xludf.DUMMYFUNCTION("""COMPUTED_VALUE"""),1)</f>
        <v>1</v>
      </c>
      <c r="Y418" s="5" t="str">
        <f ca="1">IFERROR(__xludf.DUMMYFUNCTION("""COMPUTED_VALUE"""),"Teen shot himself while engaged in horseplay with two other teens")</f>
        <v>Teen shot himself while engaged in horseplay with two other teens</v>
      </c>
      <c r="Z418" s="5" t="str">
        <f ca="1">IFERROR(__xludf.DUMMYFUNCTION("""COMPUTED_VALUE"""),"An 18-year-old male shot himself in the leg while ""engaged in horseplay"" with a 13-year-old and 16-year-old. Shooting occurred in a school parking lot near the football field. Victim asked one of the other teens to hide the gun and claim the situation w"&amp;"as a robbery.")</f>
        <v>An 18-year-old male shot himself in the leg while "engaged in horseplay" with a 13-year-old and 16-year-old. Shooting occurred in a school parking lot near the football field. Victim asked one of the other teens to hide the gun and claim the situation was a robbery.</v>
      </c>
      <c r="AA418" s="5" t="str">
        <f ca="1">IFERROR(__xludf.DUMMYFUNCTION("""COMPUTED_VALUE"""),"Accidental")</f>
        <v>Accidental</v>
      </c>
      <c r="AB418" s="5" t="str">
        <f ca="1">IFERROR(__xludf.DUMMYFUNCTION("""COMPUTED_VALUE"""),"Neither")</f>
        <v>Neither</v>
      </c>
      <c r="AC418" s="5" t="str">
        <f ca="1">IFERROR(__xludf.DUMMYFUNCTION("""COMPUTED_VALUE"""),"Yes")</f>
        <v>Yes</v>
      </c>
      <c r="AD418" s="5" t="str">
        <f ca="1">IFERROR(__xludf.DUMMYFUNCTION("""COMPUTED_VALUE"""),"No")</f>
        <v>No</v>
      </c>
      <c r="AE418" s="5" t="str">
        <f ca="1">IFERROR(__xludf.DUMMYFUNCTION("""COMPUTED_VALUE"""),"No")</f>
        <v>No</v>
      </c>
      <c r="AF418" s="5" t="str">
        <f ca="1">IFERROR(__xludf.DUMMYFUNCTION("""COMPUTED_VALUE"""),"No")</f>
        <v>No</v>
      </c>
      <c r="AG418" s="5" t="str">
        <f ca="1">IFERROR(__xludf.DUMMYFUNCTION("""COMPUTED_VALUE"""),"No")</f>
        <v>No</v>
      </c>
      <c r="AH418" s="5" t="str">
        <f ca="1">IFERROR(__xludf.DUMMYFUNCTION("""COMPUTED_VALUE"""),"No")</f>
        <v>No</v>
      </c>
      <c r="AI418" s="5" t="str">
        <f ca="1">IFERROR(__xludf.DUMMYFUNCTION("""COMPUTED_VALUE"""),"No")</f>
        <v>No</v>
      </c>
      <c r="AJ418" s="5" t="str">
        <f ca="1">IFERROR(__xludf.DUMMYFUNCTION("""COMPUTED_VALUE"""),"No")</f>
        <v>No</v>
      </c>
    </row>
    <row r="419" spans="1:36" ht="13">
      <c r="A419" s="5" t="str">
        <f ca="1">IFERROR(__xludf.DUMMYFUNCTION("""COMPUTED_VALUE"""),"20211130CALOL")</f>
        <v>20211130CALOL</v>
      </c>
      <c r="B419" s="5">
        <f ca="1">IFERROR(__xludf.DUMMYFUNCTION("""COMPUTED_VALUE"""),11)</f>
        <v>11</v>
      </c>
      <c r="C419" s="5">
        <f ca="1">IFERROR(__xludf.DUMMYFUNCTION("""COMPUTED_VALUE"""),30)</f>
        <v>30</v>
      </c>
      <c r="D419" s="5">
        <f ca="1">IFERROR(__xludf.DUMMYFUNCTION("""COMPUTED_VALUE"""),2021)</f>
        <v>2021</v>
      </c>
      <c r="E419" s="8">
        <f ca="1">IFERROR(__xludf.DUMMYFUNCTION("""COMPUTED_VALUE"""),44530)</f>
        <v>44530</v>
      </c>
      <c r="F419" s="5" t="str">
        <f ca="1">IFERROR(__xludf.DUMMYFUNCTION("""COMPUTED_VALUE"""),"Los Angeles School Bus")</f>
        <v>Los Angeles School Bus</v>
      </c>
      <c r="G419" s="5">
        <f ca="1">IFERROR(__xludf.DUMMYFUNCTION("""COMPUTED_VALUE"""),0)</f>
        <v>0</v>
      </c>
      <c r="H419" s="5">
        <f ca="1">IFERROR(__xludf.DUMMYFUNCTION("""COMPUTED_VALUE"""),0)</f>
        <v>0</v>
      </c>
      <c r="I419" s="5">
        <f ca="1">IFERROR(__xludf.DUMMYFUNCTION("""COMPUTED_VALUE"""),0)</f>
        <v>0</v>
      </c>
      <c r="J419" s="5">
        <f ca="1">IFERROR(__xludf.DUMMYFUNCTION("""COMPUTED_VALUE"""),0)</f>
        <v>0</v>
      </c>
      <c r="K419" s="9" t="str">
        <f ca="1">IFERROR(__xludf.DUMMYFUNCTION("""COMPUTED_VALUE"""),"https://losangeles.cbslocal.com/video/6166005-school-bus-hit-by-bb-gun/")</f>
        <v>https://losangeles.cbslocal.com/video/6166005-school-bus-hit-by-bb-gun/</v>
      </c>
      <c r="L419" s="5">
        <f ca="1">IFERROR(__xludf.DUMMYFUNCTION("""COMPUTED_VALUE"""),1)</f>
        <v>1</v>
      </c>
      <c r="M419" s="5" t="str">
        <f ca="1">IFERROR(__xludf.DUMMYFUNCTION("""COMPUTED_VALUE"""),"Local")</f>
        <v>Local</v>
      </c>
      <c r="N419" s="5">
        <f ca="1">IFERROR(__xludf.DUMMYFUNCTION("""COMPUTED_VALUE"""),3)</f>
        <v>3</v>
      </c>
      <c r="O419" s="5" t="str">
        <f ca="1">IFERROR(__xludf.DUMMYFUNCTION("""COMPUTED_VALUE"""),"Fall")</f>
        <v>Fall</v>
      </c>
      <c r="P419" s="5" t="str">
        <f ca="1">IFERROR(__xludf.DUMMYFUNCTION("""COMPUTED_VALUE"""),"Los Angeles")</f>
        <v>Los Angeles</v>
      </c>
      <c r="Q419" s="5" t="str">
        <f ca="1">IFERROR(__xludf.DUMMYFUNCTION("""COMPUTED_VALUE"""),"CA")</f>
        <v>CA</v>
      </c>
      <c r="R419" s="5"/>
      <c r="S419" s="5" t="str">
        <f ca="1">IFERROR(__xludf.DUMMYFUNCTION("""COMPUTED_VALUE"""),"School Bus")</f>
        <v>School Bus</v>
      </c>
      <c r="T419" s="5" t="str">
        <f ca="1">IFERROR(__xludf.DUMMYFUNCTION("""COMPUTED_VALUE"""),"School Bus")</f>
        <v>School Bus</v>
      </c>
      <c r="U419" s="5" t="str">
        <f ca="1">IFERROR(__xludf.DUMMYFUNCTION("""COMPUTED_VALUE"""),"No")</f>
        <v>No</v>
      </c>
      <c r="V419" s="5" t="str">
        <f ca="1">IFERROR(__xludf.DUMMYFUNCTION("""COMPUTED_VALUE"""),"Evening")</f>
        <v>Evening</v>
      </c>
      <c r="W419" s="10">
        <f ca="1">IFERROR(__xludf.DUMMYFUNCTION("""COMPUTED_VALUE"""),0.729166666666666)</f>
        <v>0.72916666666666596</v>
      </c>
      <c r="X419" s="5">
        <f ca="1">IFERROR(__xludf.DUMMYFUNCTION("""COMPUTED_VALUE"""),1)</f>
        <v>1</v>
      </c>
      <c r="Y419" s="5" t="str">
        <f ca="1">IFERROR(__xludf.DUMMYFUNCTION("""COMPUTED_VALUE"""),"Back window of school bus shot out while driving")</f>
        <v>Back window of school bus shot out while driving</v>
      </c>
      <c r="Z419" s="5" t="str">
        <f ca="1">IFERROR(__xludf.DUMMYFUNCTION("""COMPUTED_VALUE"""),"The back window of a school bus was shot out while driving. No students were on the bus. Police determined a BB gun was fired. Shooter fled.")</f>
        <v>The back window of a school bus was shot out while driving. No students were on the bus. Police determined a BB gun was fired. Shooter fled.</v>
      </c>
      <c r="AA419" s="5" t="str">
        <f ca="1">IFERROR(__xludf.DUMMYFUNCTION("""COMPUTED_VALUE"""),"Intentional Property Damage")</f>
        <v>Intentional Property Damage</v>
      </c>
      <c r="AB419" s="5" t="str">
        <f ca="1">IFERROR(__xludf.DUMMYFUNCTION("""COMPUTED_VALUE"""),"Neither")</f>
        <v>Neither</v>
      </c>
      <c r="AC419" s="5" t="str">
        <f ca="1">IFERROR(__xludf.DUMMYFUNCTION("""COMPUTED_VALUE"""),"No")</f>
        <v>No</v>
      </c>
      <c r="AD419" s="5" t="str">
        <f ca="1">IFERROR(__xludf.DUMMYFUNCTION("""COMPUTED_VALUE"""),"No")</f>
        <v>No</v>
      </c>
      <c r="AE419" s="5" t="str">
        <f ca="1">IFERROR(__xludf.DUMMYFUNCTION("""COMPUTED_VALUE"""),"No")</f>
        <v>No</v>
      </c>
      <c r="AF419" s="5" t="str">
        <f ca="1">IFERROR(__xludf.DUMMYFUNCTION("""COMPUTED_VALUE"""),"No")</f>
        <v>No</v>
      </c>
      <c r="AG419" s="5" t="str">
        <f ca="1">IFERROR(__xludf.DUMMYFUNCTION("""COMPUTED_VALUE"""),"No")</f>
        <v>No</v>
      </c>
      <c r="AH419" s="5" t="str">
        <f ca="1">IFERROR(__xludf.DUMMYFUNCTION("""COMPUTED_VALUE"""),"No")</f>
        <v>No</v>
      </c>
      <c r="AI419" s="5" t="str">
        <f ca="1">IFERROR(__xludf.DUMMYFUNCTION("""COMPUTED_VALUE"""),"No")</f>
        <v>No</v>
      </c>
      <c r="AJ419" s="5" t="str">
        <f ca="1">IFERROR(__xludf.DUMMYFUNCTION("""COMPUTED_VALUE"""),"No")</f>
        <v>No</v>
      </c>
    </row>
    <row r="420" spans="1:36" ht="13">
      <c r="A420" s="5" t="str">
        <f ca="1">IFERROR(__xludf.DUMMYFUNCTION("""COMPUTED_VALUE"""),"20211130TNHUH")</f>
        <v>20211130TNHUH</v>
      </c>
      <c r="B420" s="5">
        <f ca="1">IFERROR(__xludf.DUMMYFUNCTION("""COMPUTED_VALUE"""),11)</f>
        <v>11</v>
      </c>
      <c r="C420" s="5">
        <f ca="1">IFERROR(__xludf.DUMMYFUNCTION("""COMPUTED_VALUE"""),30)</f>
        <v>30</v>
      </c>
      <c r="D420" s="5">
        <f ca="1">IFERROR(__xludf.DUMMYFUNCTION("""COMPUTED_VALUE"""),2021)</f>
        <v>2021</v>
      </c>
      <c r="E420" s="8">
        <f ca="1">IFERROR(__xludf.DUMMYFUNCTION("""COMPUTED_VALUE"""),44530)</f>
        <v>44530</v>
      </c>
      <c r="F420" s="5" t="str">
        <f ca="1">IFERROR(__xludf.DUMMYFUNCTION("""COMPUTED_VALUE"""),"Humboldt High School")</f>
        <v>Humboldt High School</v>
      </c>
      <c r="G420" s="5">
        <f ca="1">IFERROR(__xludf.DUMMYFUNCTION("""COMPUTED_VALUE"""),1)</f>
        <v>1</v>
      </c>
      <c r="H420" s="5">
        <f ca="1">IFERROR(__xludf.DUMMYFUNCTION("""COMPUTED_VALUE"""),2)</f>
        <v>2</v>
      </c>
      <c r="I420" s="5">
        <f ca="1">IFERROR(__xludf.DUMMYFUNCTION("""COMPUTED_VALUE"""),3)</f>
        <v>3</v>
      </c>
      <c r="J420" s="5">
        <f ca="1">IFERROR(__xludf.DUMMYFUNCTION("""COMPUTED_VALUE"""),0)</f>
        <v>0</v>
      </c>
      <c r="K420" s="5" t="str">
        <f ca="1">IFERROR(__xludf.DUMMYFUNCTION("""COMPUTED_VALUE"""),"https://www.fox13memphis.com/news/local/man-shot-killed-during-basketball-game-tennessee-high-school-officials-say/6Y22I3RS5FEETA5UJ52IHUYEV4/ https://abcnews.go.com/Sports/wireStory/teen-charged-shooting-high-school-basketball-game-81516044 https://www.n"&amp;"ewschannel5.com/news/1-killed-in-shooting-after-high-school-basketball-games-in-humboldt")</f>
        <v>https://www.fox13memphis.com/news/local/man-shot-killed-during-basketball-game-tennessee-high-school-officials-say/6Y22I3RS5FEETA5UJ52IHUYEV4/ https://abcnews.go.com/Sports/wireStory/teen-charged-shooting-high-school-basketball-game-81516044 https://www.newschannel5.com/news/1-killed-in-shooting-after-high-school-basketball-games-in-humboldt</v>
      </c>
      <c r="L420" s="5">
        <f ca="1">IFERROR(__xludf.DUMMYFUNCTION("""COMPUTED_VALUE"""),5)</f>
        <v>5</v>
      </c>
      <c r="M420" s="5" t="str">
        <f ca="1">IFERROR(__xludf.DUMMYFUNCTION("""COMPUTED_VALUE"""),"Regional")</f>
        <v>Regional</v>
      </c>
      <c r="N420" s="5">
        <f ca="1">IFERROR(__xludf.DUMMYFUNCTION("""COMPUTED_VALUE"""),4)</f>
        <v>4</v>
      </c>
      <c r="O420" s="5" t="str">
        <f ca="1">IFERROR(__xludf.DUMMYFUNCTION("""COMPUTED_VALUE"""),"Fall")</f>
        <v>Fall</v>
      </c>
      <c r="P420" s="5" t="str">
        <f ca="1">IFERROR(__xludf.DUMMYFUNCTION("""COMPUTED_VALUE"""),"Humboldt")</f>
        <v>Humboldt</v>
      </c>
      <c r="Q420" s="5" t="str">
        <f ca="1">IFERROR(__xludf.DUMMYFUNCTION("""COMPUTED_VALUE"""),"TN")</f>
        <v>TN</v>
      </c>
      <c r="R420" s="5" t="str">
        <f ca="1">IFERROR(__xludf.DUMMYFUNCTION("""COMPUTED_VALUE"""),"High")</f>
        <v>High</v>
      </c>
      <c r="S420" s="5" t="str">
        <f ca="1">IFERROR(__xludf.DUMMYFUNCTION("""COMPUTED_VALUE"""),"Gym")</f>
        <v>Gym</v>
      </c>
      <c r="T420" s="5" t="str">
        <f ca="1">IFERROR(__xludf.DUMMYFUNCTION("""COMPUTED_VALUE"""),"Inside School Building")</f>
        <v>Inside School Building</v>
      </c>
      <c r="U420" s="5" t="str">
        <f ca="1">IFERROR(__xludf.DUMMYFUNCTION("""COMPUTED_VALUE"""),"No")</f>
        <v>No</v>
      </c>
      <c r="V420" s="5" t="str">
        <f ca="1">IFERROR(__xludf.DUMMYFUNCTION("""COMPUTED_VALUE"""),"Sport Event")</f>
        <v>Sport Event</v>
      </c>
      <c r="W420" s="10">
        <f ca="1">IFERROR(__xludf.DUMMYFUNCTION("""COMPUTED_VALUE"""),0.854166666666666)</f>
        <v>0.85416666666666596</v>
      </c>
      <c r="X420" s="5">
        <f ca="1">IFERROR(__xludf.DUMMYFUNCTION("""COMPUTED_VALUE"""),1)</f>
        <v>1</v>
      </c>
      <c r="Y420" s="5" t="str">
        <f ca="1">IFERROR(__xludf.DUMMYFUNCTION("""COMPUTED_VALUE"""),"3 people shot during high school basketball game")</f>
        <v>3 people shot during high school basketball game</v>
      </c>
      <c r="Z420" s="5" t="str">
        <f ca="1">IFERROR(__xludf.DUMMYFUNCTION("""COMPUTED_VALUE"""),"Following an altercation, an 18-year-old male fired shot during a high school basketball game. An SRO responded and secured the scene. A 21-year-old male died at the scene. An 18-year-old male was transported in critical condition. Another person was trea"&amp;"ted and released. Shooter fled and turn himself in to police with his attorney the following day.")</f>
        <v>Following an altercation, an 18-year-old male fired shot during a high school basketball game. An SRO responded and secured the scene. A 21-year-old male died at the scene. An 18-year-old male was transported in critical condition. Another person was treated and released. Shooter fled and turn himself in to police with his attorney the following day.</v>
      </c>
      <c r="AA420" s="5" t="str">
        <f ca="1">IFERROR(__xludf.DUMMYFUNCTION("""COMPUTED_VALUE"""),"Escalation of Dispute")</f>
        <v>Escalation of Dispute</v>
      </c>
      <c r="AB420" s="5" t="str">
        <f ca="1">IFERROR(__xludf.DUMMYFUNCTION("""COMPUTED_VALUE"""),"Both")</f>
        <v>Both</v>
      </c>
      <c r="AC420" s="5" t="str">
        <f ca="1">IFERROR(__xludf.DUMMYFUNCTION("""COMPUTED_VALUE"""),"No")</f>
        <v>No</v>
      </c>
      <c r="AD420" s="5" t="str">
        <f ca="1">IFERROR(__xludf.DUMMYFUNCTION("""COMPUTED_VALUE"""),"No")</f>
        <v>No</v>
      </c>
      <c r="AE420" s="5" t="str">
        <f ca="1">IFERROR(__xludf.DUMMYFUNCTION("""COMPUTED_VALUE"""),"No")</f>
        <v>No</v>
      </c>
      <c r="AF420" s="5" t="str">
        <f ca="1">IFERROR(__xludf.DUMMYFUNCTION("""COMPUTED_VALUE"""),"No")</f>
        <v>No</v>
      </c>
      <c r="AG420" s="5" t="str">
        <f ca="1">IFERROR(__xludf.DUMMYFUNCTION("""COMPUTED_VALUE"""),"No")</f>
        <v>No</v>
      </c>
      <c r="AH420" s="5" t="str">
        <f ca="1">IFERROR(__xludf.DUMMYFUNCTION("""COMPUTED_VALUE"""),"No")</f>
        <v>No</v>
      </c>
      <c r="AI420" s="5"/>
      <c r="AJ420" s="5" t="str">
        <f ca="1">IFERROR(__xludf.DUMMYFUNCTION("""COMPUTED_VALUE"""),"No")</f>
        <v>No</v>
      </c>
    </row>
    <row r="421" spans="1:36" ht="13">
      <c r="A421" s="5" t="str">
        <f ca="1">IFERROR(__xludf.DUMMYFUNCTION("""COMPUTED_VALUE"""),"20211129ILWER")</f>
        <v>20211129ILWER</v>
      </c>
      <c r="B421" s="5">
        <f ca="1">IFERROR(__xludf.DUMMYFUNCTION("""COMPUTED_VALUE"""),11)</f>
        <v>11</v>
      </c>
      <c r="C421" s="5">
        <f ca="1">IFERROR(__xludf.DUMMYFUNCTION("""COMPUTED_VALUE"""),29)</f>
        <v>29</v>
      </c>
      <c r="D421" s="5">
        <f ca="1">IFERROR(__xludf.DUMMYFUNCTION("""COMPUTED_VALUE"""),2021)</f>
        <v>2021</v>
      </c>
      <c r="E421" s="8">
        <f ca="1">IFERROR(__xludf.DUMMYFUNCTION("""COMPUTED_VALUE"""),44529)</f>
        <v>44529</v>
      </c>
      <c r="F421" s="5" t="str">
        <f ca="1">IFERROR(__xludf.DUMMYFUNCTION("""COMPUTED_VALUE"""),"West Middle School")</f>
        <v>West Middle School</v>
      </c>
      <c r="G421" s="5">
        <f ca="1">IFERROR(__xludf.DUMMYFUNCTION("""COMPUTED_VALUE"""),0)</f>
        <v>0</v>
      </c>
      <c r="H421" s="5">
        <f ca="1">IFERROR(__xludf.DUMMYFUNCTION("""COMPUTED_VALUE"""),0)</f>
        <v>0</v>
      </c>
      <c r="I421" s="5">
        <f ca="1">IFERROR(__xludf.DUMMYFUNCTION("""COMPUTED_VALUE"""),0)</f>
        <v>0</v>
      </c>
      <c r="J421" s="5">
        <f ca="1">IFERROR(__xludf.DUMMYFUNCTION("""COMPUTED_VALUE"""),0)</f>
        <v>0</v>
      </c>
      <c r="K421" s="9" t="str">
        <f ca="1">IFERROR(__xludf.DUMMYFUNCTION("""COMPUTED_VALUE"""),"https://www.wifr.com/2021/11/29/shots-fired-behind-west-middle-school/")</f>
        <v>https://www.wifr.com/2021/11/29/shots-fired-behind-west-middle-school/</v>
      </c>
      <c r="L421" s="5">
        <f ca="1">IFERROR(__xludf.DUMMYFUNCTION("""COMPUTED_VALUE"""),1)</f>
        <v>1</v>
      </c>
      <c r="M421" s="5" t="str">
        <f ca="1">IFERROR(__xludf.DUMMYFUNCTION("""COMPUTED_VALUE"""),"Local")</f>
        <v>Local</v>
      </c>
      <c r="N421" s="5">
        <f ca="1">IFERROR(__xludf.DUMMYFUNCTION("""COMPUTED_VALUE"""),2)</f>
        <v>2</v>
      </c>
      <c r="O421" s="5" t="str">
        <f ca="1">IFERROR(__xludf.DUMMYFUNCTION("""COMPUTED_VALUE"""),"Fall")</f>
        <v>Fall</v>
      </c>
      <c r="P421" s="5" t="str">
        <f ca="1">IFERROR(__xludf.DUMMYFUNCTION("""COMPUTED_VALUE"""),"Rockford")</f>
        <v>Rockford</v>
      </c>
      <c r="Q421" s="5" t="str">
        <f ca="1">IFERROR(__xludf.DUMMYFUNCTION("""COMPUTED_VALUE"""),"IL")</f>
        <v>IL</v>
      </c>
      <c r="R421" s="5" t="str">
        <f ca="1">IFERROR(__xludf.DUMMYFUNCTION("""COMPUTED_VALUE"""),"Middle")</f>
        <v>Middle</v>
      </c>
      <c r="S421" s="5" t="str">
        <f ca="1">IFERROR(__xludf.DUMMYFUNCTION("""COMPUTED_VALUE"""),"Beside Building")</f>
        <v>Beside Building</v>
      </c>
      <c r="T421" s="5" t="str">
        <f ca="1">IFERROR(__xludf.DUMMYFUNCTION("""COMPUTED_VALUE"""),"Outside on School Property")</f>
        <v>Outside on School Property</v>
      </c>
      <c r="U421" s="5" t="str">
        <f ca="1">IFERROR(__xludf.DUMMYFUNCTION("""COMPUTED_VALUE"""),"No")</f>
        <v>No</v>
      </c>
      <c r="V421" s="5" t="str">
        <f ca="1">IFERROR(__xludf.DUMMYFUNCTION("""COMPUTED_VALUE"""),"After School")</f>
        <v>After School</v>
      </c>
      <c r="W421" s="10">
        <f ca="1">IFERROR(__xludf.DUMMYFUNCTION("""COMPUTED_VALUE"""),0.666666666666666)</f>
        <v>0.66666666666666596</v>
      </c>
      <c r="X421" s="5">
        <f ca="1">IFERROR(__xludf.DUMMYFUNCTION("""COMPUTED_VALUE"""),1)</f>
        <v>1</v>
      </c>
      <c r="Y421" s="5" t="str">
        <f ca="1">IFERROR(__xludf.DUMMYFUNCTION("""COMPUTED_VALUE"""),"Shot fired behind the school, 4 teens seen running away")</f>
        <v>Shot fired behind the school, 4 teens seen running away</v>
      </c>
      <c r="Z421" s="5" t="str">
        <f ca="1">IFERROR(__xludf.DUMMYFUNCTION("""COMPUTED_VALUE"""),"Shots were fired behind the school. 4 teens were seen running away. No injuries reported. A teen was shot during a fight outside the school in August 2021.")</f>
        <v>Shots were fired behind the school. 4 teens were seen running away. No injuries reported. A teen was shot during a fight outside the school in August 2021.</v>
      </c>
      <c r="AA421" s="5"/>
      <c r="AB421" s="5"/>
      <c r="AC421" s="5" t="str">
        <f ca="1">IFERROR(__xludf.DUMMYFUNCTION("""COMPUTED_VALUE"""),"No")</f>
        <v>No</v>
      </c>
      <c r="AD421" s="5" t="str">
        <f ca="1">IFERROR(__xludf.DUMMYFUNCTION("""COMPUTED_VALUE"""),"No")</f>
        <v>No</v>
      </c>
      <c r="AE421" s="5" t="str">
        <f ca="1">IFERROR(__xludf.DUMMYFUNCTION("""COMPUTED_VALUE"""),"No")</f>
        <v>No</v>
      </c>
      <c r="AF421" s="5" t="str">
        <f ca="1">IFERROR(__xludf.DUMMYFUNCTION("""COMPUTED_VALUE"""),"No")</f>
        <v>No</v>
      </c>
      <c r="AG421" s="5" t="str">
        <f ca="1">IFERROR(__xludf.DUMMYFUNCTION("""COMPUTED_VALUE"""),"No")</f>
        <v>No</v>
      </c>
      <c r="AH421" s="5" t="str">
        <f ca="1">IFERROR(__xludf.DUMMYFUNCTION("""COMPUTED_VALUE"""),"No")</f>
        <v>No</v>
      </c>
      <c r="AI421" s="5"/>
      <c r="AJ421" s="5" t="str">
        <f ca="1">IFERROR(__xludf.DUMMYFUNCTION("""COMPUTED_VALUE"""),"No")</f>
        <v>No</v>
      </c>
    </row>
    <row r="422" spans="1:36" ht="13">
      <c r="A422" s="5" t="str">
        <f ca="1">IFERROR(__xludf.DUMMYFUNCTION("""COMPUTED_VALUE"""),"20211129AZCHP")</f>
        <v>20211129AZCHP</v>
      </c>
      <c r="B422" s="5">
        <f ca="1">IFERROR(__xludf.DUMMYFUNCTION("""COMPUTED_VALUE"""),11)</f>
        <v>11</v>
      </c>
      <c r="C422" s="5">
        <f ca="1">IFERROR(__xludf.DUMMYFUNCTION("""COMPUTED_VALUE"""),29)</f>
        <v>29</v>
      </c>
      <c r="D422" s="5">
        <f ca="1">IFERROR(__xludf.DUMMYFUNCTION("""COMPUTED_VALUE"""),2021)</f>
        <v>2021</v>
      </c>
      <c r="E422" s="8">
        <f ca="1">IFERROR(__xludf.DUMMYFUNCTION("""COMPUTED_VALUE"""),44529)</f>
        <v>44529</v>
      </c>
      <c r="F422" s="5" t="str">
        <f ca="1">IFERROR(__xludf.DUMMYFUNCTION("""COMPUTED_VALUE"""),"Cesar Chavez High School")</f>
        <v>Cesar Chavez High School</v>
      </c>
      <c r="G422" s="5">
        <f ca="1">IFERROR(__xludf.DUMMYFUNCTION("""COMPUTED_VALUE"""),0)</f>
        <v>0</v>
      </c>
      <c r="H422" s="5">
        <f ca="1">IFERROR(__xludf.DUMMYFUNCTION("""COMPUTED_VALUE"""),1)</f>
        <v>1</v>
      </c>
      <c r="I422" s="5">
        <f ca="1">IFERROR(__xludf.DUMMYFUNCTION("""COMPUTED_VALUE"""),1)</f>
        <v>1</v>
      </c>
      <c r="J422" s="5">
        <f ca="1">IFERROR(__xludf.DUMMYFUNCTION("""COMPUTED_VALUE"""),0)</f>
        <v>0</v>
      </c>
      <c r="K422" s="5" t="str">
        <f ca="1">IFERROR(__xludf.DUMMYFUNCTION("""COMPUTED_VALUE"""),"https://www.azcentral.com/story/news/local/phoenix-breaking/2021/11/29/one-teen-shot-cesar-chavez-high-school-not-active-shooter/8801295002/ https://www.kgun9.com/news/state/student-hurt-in-shooting-at-cesar-chavez-high-school-in-phoenix https://www.12new"&amp;"s.com/article/news/crime/teen-injured-after-being-shot-at-cesar-chavez-high-school-in-laveen/75-4038832e-000a-4f39-941d-c3d919993530")</f>
        <v>https://www.azcentral.com/story/news/local/phoenix-breaking/2021/11/29/one-teen-shot-cesar-chavez-high-school-not-active-shooter/8801295002/ https://www.kgun9.com/news/state/student-hurt-in-shooting-at-cesar-chavez-high-school-in-phoenix https://www.12news.com/article/news/crime/teen-injured-after-being-shot-at-cesar-chavez-high-school-in-laveen/75-4038832e-000a-4f39-941d-c3d919993530</v>
      </c>
      <c r="L422" s="5">
        <f ca="1">IFERROR(__xludf.DUMMYFUNCTION("""COMPUTED_VALUE"""),10)</f>
        <v>10</v>
      </c>
      <c r="M422" s="5" t="str">
        <f ca="1">IFERROR(__xludf.DUMMYFUNCTION("""COMPUTED_VALUE"""),"Regional")</f>
        <v>Regional</v>
      </c>
      <c r="N422" s="5">
        <f ca="1">IFERROR(__xludf.DUMMYFUNCTION("""COMPUTED_VALUE"""),4)</f>
        <v>4</v>
      </c>
      <c r="O422" s="5" t="str">
        <f ca="1">IFERROR(__xludf.DUMMYFUNCTION("""COMPUTED_VALUE"""),"Fall")</f>
        <v>Fall</v>
      </c>
      <c r="P422" s="5" t="str">
        <f ca="1">IFERROR(__xludf.DUMMYFUNCTION("""COMPUTED_VALUE"""),"Phoenix")</f>
        <v>Phoenix</v>
      </c>
      <c r="Q422" s="5" t="str">
        <f ca="1">IFERROR(__xludf.DUMMYFUNCTION("""COMPUTED_VALUE"""),"AZ")</f>
        <v>AZ</v>
      </c>
      <c r="R422" s="5" t="str">
        <f ca="1">IFERROR(__xludf.DUMMYFUNCTION("""COMPUTED_VALUE"""),"High")</f>
        <v>High</v>
      </c>
      <c r="S422" s="5" t="str">
        <f ca="1">IFERROR(__xludf.DUMMYFUNCTION("""COMPUTED_VALUE"""),"Bathroom")</f>
        <v>Bathroom</v>
      </c>
      <c r="T422" s="5" t="str">
        <f ca="1">IFERROR(__xludf.DUMMYFUNCTION("""COMPUTED_VALUE"""),"Inside School Building")</f>
        <v>Inside School Building</v>
      </c>
      <c r="U422" s="5" t="str">
        <f ca="1">IFERROR(__xludf.DUMMYFUNCTION("""COMPUTED_VALUE"""),"Yes")</f>
        <v>Yes</v>
      </c>
      <c r="V422" s="5" t="str">
        <f ca="1">IFERROR(__xludf.DUMMYFUNCTION("""COMPUTED_VALUE"""),"Afternoon Classes")</f>
        <v>Afternoon Classes</v>
      </c>
      <c r="W422" s="10">
        <f ca="1">IFERROR(__xludf.DUMMYFUNCTION("""COMPUTED_VALUE"""),0.625)</f>
        <v>0.625</v>
      </c>
      <c r="X422" s="5">
        <f ca="1">IFERROR(__xludf.DUMMYFUNCTION("""COMPUTED_VALUE"""),1)</f>
        <v>1</v>
      </c>
      <c r="Y422" s="5" t="str">
        <f ca="1">IFERROR(__xludf.DUMMYFUNCTION("""COMPUTED_VALUE"""),"Student shot during fight in bathroom")</f>
        <v>Student shot during fight in bathroom</v>
      </c>
      <c r="Z422" s="5" t="str">
        <f ca="1">IFERROR(__xludf.DUMMYFUNCTION("""COMPUTED_VALUE"""),"A 16-year-old male student was shot during a fight in the school bathroom. The shooter fled. School was locked down and police responded for an active shooter. Students were evacuated to an alternate location. School district announced backpacks will be b"&amp;"anned until further notice following the shooting.")</f>
        <v>A 16-year-old male student was shot during a fight in the school bathroom. The shooter fled. School was locked down and police responded for an active shooter. Students were evacuated to an alternate location. School district announced backpacks will be banned until further notice following the shooting.</v>
      </c>
      <c r="AA422" s="5" t="str">
        <f ca="1">IFERROR(__xludf.DUMMYFUNCTION("""COMPUTED_VALUE"""),"Escalation of Dispute")</f>
        <v>Escalation of Dispute</v>
      </c>
      <c r="AB422" s="5" t="str">
        <f ca="1">IFERROR(__xludf.DUMMYFUNCTION("""COMPUTED_VALUE"""),"Victims Targeted")</f>
        <v>Victims Targeted</v>
      </c>
      <c r="AC422" s="5" t="str">
        <f ca="1">IFERROR(__xludf.DUMMYFUNCTION("""COMPUTED_VALUE"""),"No")</f>
        <v>No</v>
      </c>
      <c r="AD422" s="5" t="str">
        <f ca="1">IFERROR(__xludf.DUMMYFUNCTION("""COMPUTED_VALUE"""),"No")</f>
        <v>No</v>
      </c>
      <c r="AE422" s="5" t="str">
        <f ca="1">IFERROR(__xludf.DUMMYFUNCTION("""COMPUTED_VALUE"""),"No")</f>
        <v>No</v>
      </c>
      <c r="AF422" s="5" t="str">
        <f ca="1">IFERROR(__xludf.DUMMYFUNCTION("""COMPUTED_VALUE"""),"No")</f>
        <v>No</v>
      </c>
      <c r="AG422" s="5"/>
      <c r="AH422" s="5" t="str">
        <f ca="1">IFERROR(__xludf.DUMMYFUNCTION("""COMPUTED_VALUE"""),"No")</f>
        <v>No</v>
      </c>
      <c r="AI422" s="5" t="str">
        <f ca="1">IFERROR(__xludf.DUMMYFUNCTION("""COMPUTED_VALUE"""),"No")</f>
        <v>No</v>
      </c>
      <c r="AJ422" s="5" t="str">
        <f ca="1">IFERROR(__xludf.DUMMYFUNCTION("""COMPUTED_VALUE"""),"No")</f>
        <v>No</v>
      </c>
    </row>
    <row r="423" spans="1:36" ht="13">
      <c r="A423" s="5" t="str">
        <f ca="1">IFERROR(__xludf.DUMMYFUNCTION("""COMPUTED_VALUE"""),"20211126CAWES")</f>
        <v>20211126CAWES</v>
      </c>
      <c r="B423" s="5">
        <f ca="1">IFERROR(__xludf.DUMMYFUNCTION("""COMPUTED_VALUE"""),11)</f>
        <v>11</v>
      </c>
      <c r="C423" s="5">
        <f ca="1">IFERROR(__xludf.DUMMYFUNCTION("""COMPUTED_VALUE"""),26)</f>
        <v>26</v>
      </c>
      <c r="D423" s="5">
        <f ca="1">IFERROR(__xludf.DUMMYFUNCTION("""COMPUTED_VALUE"""),2021)</f>
        <v>2021</v>
      </c>
      <c r="E423" s="8">
        <f ca="1">IFERROR(__xludf.DUMMYFUNCTION("""COMPUTED_VALUE"""),44526)</f>
        <v>44526</v>
      </c>
      <c r="F423" s="5" t="str">
        <f ca="1">IFERROR(__xludf.DUMMYFUNCTION("""COMPUTED_VALUE"""),"Westmount High School")</f>
        <v>Westmount High School</v>
      </c>
      <c r="G423" s="5">
        <f ca="1">IFERROR(__xludf.DUMMYFUNCTION("""COMPUTED_VALUE"""),0)</f>
        <v>0</v>
      </c>
      <c r="H423" s="5">
        <f ca="1">IFERROR(__xludf.DUMMYFUNCTION("""COMPUTED_VALUE"""),2)</f>
        <v>2</v>
      </c>
      <c r="I423" s="5">
        <f ca="1">IFERROR(__xludf.DUMMYFUNCTION("""COMPUTED_VALUE"""),2)</f>
        <v>2</v>
      </c>
      <c r="J423" s="5">
        <f ca="1">IFERROR(__xludf.DUMMYFUNCTION("""COMPUTED_VALUE"""),0)</f>
        <v>0</v>
      </c>
      <c r="K423" s="5" t="str">
        <f ca="1">IFERROR(__xludf.DUMMYFUNCTION("""COMPUTED_VALUE"""),"https://www.mercurynews.com/2021/11/26/gunshots-halt-st-francis-vs-serra-ccs-division-i-championship-game/ https://sfist.com/2021/11/27/gunshots-at-san-jose-high-school-stadium-sends-football-game-into-chaos-two-people-injured-during-shooting/ https://san"&amp;"francisco.cbslocal.com/2021/11/27/shooting-campbell-westmont-high-game/ https://www.ktvu.com/news/double-shooting-in-parking-lot-of-south-bay-high-school-football-game")</f>
        <v>https://www.mercurynews.com/2021/11/26/gunshots-halt-st-francis-vs-serra-ccs-division-i-championship-game/ https://sfist.com/2021/11/27/gunshots-at-san-jose-high-school-stadium-sends-football-game-into-chaos-two-people-injured-during-shooting/ https://sanfrancisco.cbslocal.com/2021/11/27/shooting-campbell-westmont-high-game/ https://www.ktvu.com/news/double-shooting-in-parking-lot-of-south-bay-high-school-football-game</v>
      </c>
      <c r="L423" s="5">
        <f ca="1">IFERROR(__xludf.DUMMYFUNCTION("""COMPUTED_VALUE"""),50)</f>
        <v>50</v>
      </c>
      <c r="M423" s="5" t="str">
        <f ca="1">IFERROR(__xludf.DUMMYFUNCTION("""COMPUTED_VALUE"""),"Regional")</f>
        <v>Regional</v>
      </c>
      <c r="N423" s="5">
        <f ca="1">IFERROR(__xludf.DUMMYFUNCTION("""COMPUTED_VALUE"""),4)</f>
        <v>4</v>
      </c>
      <c r="O423" s="5" t="str">
        <f ca="1">IFERROR(__xludf.DUMMYFUNCTION("""COMPUTED_VALUE"""),"Fall")</f>
        <v>Fall</v>
      </c>
      <c r="P423" s="5" t="str">
        <f ca="1">IFERROR(__xludf.DUMMYFUNCTION("""COMPUTED_VALUE"""),"San Jose")</f>
        <v>San Jose</v>
      </c>
      <c r="Q423" s="5" t="str">
        <f ca="1">IFERROR(__xludf.DUMMYFUNCTION("""COMPUTED_VALUE"""),"CA")</f>
        <v>CA</v>
      </c>
      <c r="R423" s="5" t="str">
        <f ca="1">IFERROR(__xludf.DUMMYFUNCTION("""COMPUTED_VALUE"""),"High")</f>
        <v>High</v>
      </c>
      <c r="S423" s="5" t="str">
        <f ca="1">IFERROR(__xludf.DUMMYFUNCTION("""COMPUTED_VALUE"""),"Parking Lot")</f>
        <v>Parking Lot</v>
      </c>
      <c r="T423" s="5" t="str">
        <f ca="1">IFERROR(__xludf.DUMMYFUNCTION("""COMPUTED_VALUE"""),"Outside on School Property")</f>
        <v>Outside on School Property</v>
      </c>
      <c r="U423" s="5" t="str">
        <f ca="1">IFERROR(__xludf.DUMMYFUNCTION("""COMPUTED_VALUE"""),"No")</f>
        <v>No</v>
      </c>
      <c r="V423" s="5" t="str">
        <f ca="1">IFERROR(__xludf.DUMMYFUNCTION("""COMPUTED_VALUE"""),"Sport Event")</f>
        <v>Sport Event</v>
      </c>
      <c r="W423" s="10">
        <f ca="1">IFERROR(__xludf.DUMMYFUNCTION("""COMPUTED_VALUE"""),0.875)</f>
        <v>0.875</v>
      </c>
      <c r="X423" s="5">
        <f ca="1">IFERROR(__xludf.DUMMYFUNCTION("""COMPUTED_VALUE"""),1)</f>
        <v>1</v>
      </c>
      <c r="Y423" s="5" t="str">
        <f ca="1">IFERROR(__xludf.DUMMYFUNCTION("""COMPUTED_VALUE"""),"Two men shot in the parking lot during playoff football game, stadium evacuated")</f>
        <v>Two men shot in the parking lot during playoff football game, stadium evacuated</v>
      </c>
      <c r="Z423" s="5" t="str">
        <f ca="1">IFERROR(__xludf.DUMMYFUNCTION("""COMPUTED_VALUE"""),"Rival schools (St. Francis and Serra high schools) were playing a playoff football game at West Mount High School. With 2:00 left in the game, shots were fired in the parking lot injuring 2 adult men. Fans believed an active shooter was in the stadium and"&amp;" evacuated. Players ran off the field when the shots were fired. After an all clear was given, the end of the game resumed. Shooter fled.")</f>
        <v>Rival schools (St. Francis and Serra high schools) were playing a playoff football game at West Mount High School. With 2:00 left in the game, shots were fired in the parking lot injuring 2 adult men. Fans believed an active shooter was in the stadium and evacuated. Players ran off the field when the shots were fired. After an all clear was given, the end of the game resumed. Shooter fled.</v>
      </c>
      <c r="AA423" s="5" t="str">
        <f ca="1">IFERROR(__xludf.DUMMYFUNCTION("""COMPUTED_VALUE"""),"Escalation of Dispute")</f>
        <v>Escalation of Dispute</v>
      </c>
      <c r="AB423" s="5" t="str">
        <f ca="1">IFERROR(__xludf.DUMMYFUNCTION("""COMPUTED_VALUE"""),"Victims Targeted")</f>
        <v>Victims Targeted</v>
      </c>
      <c r="AC423" s="5" t="str">
        <f ca="1">IFERROR(__xludf.DUMMYFUNCTION("""COMPUTED_VALUE"""),"No")</f>
        <v>No</v>
      </c>
      <c r="AD423" s="5" t="str">
        <f ca="1">IFERROR(__xludf.DUMMYFUNCTION("""COMPUTED_VALUE"""),"No")</f>
        <v>No</v>
      </c>
      <c r="AE423" s="5" t="str">
        <f ca="1">IFERROR(__xludf.DUMMYFUNCTION("""COMPUTED_VALUE"""),"No")</f>
        <v>No</v>
      </c>
      <c r="AF423" s="5" t="str">
        <f ca="1">IFERROR(__xludf.DUMMYFUNCTION("""COMPUTED_VALUE"""),"No")</f>
        <v>No</v>
      </c>
      <c r="AG423" s="5" t="str">
        <f ca="1">IFERROR(__xludf.DUMMYFUNCTION("""COMPUTED_VALUE"""),"No")</f>
        <v>No</v>
      </c>
      <c r="AH423" s="5" t="str">
        <f ca="1">IFERROR(__xludf.DUMMYFUNCTION("""COMPUTED_VALUE"""),"No")</f>
        <v>No</v>
      </c>
      <c r="AI423" s="5"/>
      <c r="AJ423" s="5" t="str">
        <f ca="1">IFERROR(__xludf.DUMMYFUNCTION("""COMPUTED_VALUE"""),"No")</f>
        <v>No</v>
      </c>
    </row>
    <row r="424" spans="1:36" ht="13">
      <c r="A424" s="5" t="str">
        <f ca="1">IFERROR(__xludf.DUMMYFUNCTION("""COMPUTED_VALUE"""),"20211124ILTHH")</f>
        <v>20211124ILTHH</v>
      </c>
      <c r="B424" s="5">
        <f ca="1">IFERROR(__xludf.DUMMYFUNCTION("""COMPUTED_VALUE"""),11)</f>
        <v>11</v>
      </c>
      <c r="C424" s="5">
        <f ca="1">IFERROR(__xludf.DUMMYFUNCTION("""COMPUTED_VALUE"""),24)</f>
        <v>24</v>
      </c>
      <c r="D424" s="5">
        <f ca="1">IFERROR(__xludf.DUMMYFUNCTION("""COMPUTED_VALUE"""),2021)</f>
        <v>2021</v>
      </c>
      <c r="E424" s="8">
        <f ca="1">IFERROR(__xludf.DUMMYFUNCTION("""COMPUTED_VALUE"""),44524)</f>
        <v>44524</v>
      </c>
      <c r="F424" s="5" t="str">
        <f ca="1">IFERROR(__xludf.DUMMYFUNCTION("""COMPUTED_VALUE"""),"Thornton Township High School")</f>
        <v>Thornton Township High School</v>
      </c>
      <c r="G424" s="5">
        <f ca="1">IFERROR(__xludf.DUMMYFUNCTION("""COMPUTED_VALUE"""),0)</f>
        <v>0</v>
      </c>
      <c r="H424" s="5">
        <f ca="1">IFERROR(__xludf.DUMMYFUNCTION("""COMPUTED_VALUE"""),0)</f>
        <v>0</v>
      </c>
      <c r="I424" s="5">
        <f ca="1">IFERROR(__xludf.DUMMYFUNCTION("""COMPUTED_VALUE"""),0)</f>
        <v>0</v>
      </c>
      <c r="J424" s="5">
        <f ca="1">IFERROR(__xludf.DUMMYFUNCTION("""COMPUTED_VALUE"""),0)</f>
        <v>0</v>
      </c>
      <c r="K424" s="9" t="str">
        <f ca="1">IFERROR(__xludf.DUMMYFUNCTION("""COMPUTED_VALUE"""),"https://www.chicagotribune.com/suburbs/daily-southtown/ct-sta-thornton-high-school-shots-fired-st-1125-20211124-23o46c2tavacvn4g6agtukzej4-story.html")</f>
        <v>https://www.chicagotribune.com/suburbs/daily-southtown/ct-sta-thornton-high-school-shots-fired-st-1125-20211124-23o46c2tavacvn4g6agtukzej4-story.html</v>
      </c>
      <c r="L424" s="5">
        <f ca="1">IFERROR(__xludf.DUMMYFUNCTION("""COMPUTED_VALUE"""),1)</f>
        <v>1</v>
      </c>
      <c r="M424" s="5" t="str">
        <f ca="1">IFERROR(__xludf.DUMMYFUNCTION("""COMPUTED_VALUE"""),"Local")</f>
        <v>Local</v>
      </c>
      <c r="N424" s="5">
        <f ca="1">IFERROR(__xludf.DUMMYFUNCTION("""COMPUTED_VALUE"""),3)</f>
        <v>3</v>
      </c>
      <c r="O424" s="5" t="str">
        <f ca="1">IFERROR(__xludf.DUMMYFUNCTION("""COMPUTED_VALUE"""),"Fall")</f>
        <v>Fall</v>
      </c>
      <c r="P424" s="5" t="str">
        <f ca="1">IFERROR(__xludf.DUMMYFUNCTION("""COMPUTED_VALUE"""),"Harvey")</f>
        <v>Harvey</v>
      </c>
      <c r="Q424" s="5" t="str">
        <f ca="1">IFERROR(__xludf.DUMMYFUNCTION("""COMPUTED_VALUE"""),"IL")</f>
        <v>IL</v>
      </c>
      <c r="R424" s="5" t="str">
        <f ca="1">IFERROR(__xludf.DUMMYFUNCTION("""COMPUTED_VALUE"""),"High")</f>
        <v>High</v>
      </c>
      <c r="S424" s="5" t="str">
        <f ca="1">IFERROR(__xludf.DUMMYFUNCTION("""COMPUTED_VALUE"""),"Front of School")</f>
        <v>Front of School</v>
      </c>
      <c r="T424" s="5" t="str">
        <f ca="1">IFERROR(__xludf.DUMMYFUNCTION("""COMPUTED_VALUE"""),"Outside on School Property")</f>
        <v>Outside on School Property</v>
      </c>
      <c r="U424" s="5" t="str">
        <f ca="1">IFERROR(__xludf.DUMMYFUNCTION("""COMPUTED_VALUE"""),"Yes")</f>
        <v>Yes</v>
      </c>
      <c r="V424" s="5" t="str">
        <f ca="1">IFERROR(__xludf.DUMMYFUNCTION("""COMPUTED_VALUE"""),"Dismissal")</f>
        <v>Dismissal</v>
      </c>
      <c r="W424" s="10">
        <f ca="1">IFERROR(__xludf.DUMMYFUNCTION("""COMPUTED_VALUE"""),0.625)</f>
        <v>0.625</v>
      </c>
      <c r="X424" s="5">
        <f ca="1">IFERROR(__xludf.DUMMYFUNCTION("""COMPUTED_VALUE"""),1)</f>
        <v>1</v>
      </c>
      <c r="Y424" s="5" t="str">
        <f ca="1">IFERROR(__xludf.DUMMYFUNCTION("""COMPUTED_VALUE"""),"Shots fired outside school at dismissal")</f>
        <v>Shots fired outside school at dismissal</v>
      </c>
      <c r="Z424" s="5" t="str">
        <f ca="1">IFERROR(__xludf.DUMMYFUNCTION("""COMPUTED_VALUE"""),"Shots were fired outside the school at dismissal. Staff and students ran back into the building to take cover. No injuries.")</f>
        <v>Shots were fired outside the school at dismissal. Staff and students ran back into the building to take cover. No injuries.</v>
      </c>
      <c r="AA424" s="5"/>
      <c r="AB424" s="5"/>
      <c r="AC424" s="5" t="str">
        <f ca="1">IFERROR(__xludf.DUMMYFUNCTION("""COMPUTED_VALUE"""),"No")</f>
        <v>No</v>
      </c>
      <c r="AD424" s="5" t="str">
        <f ca="1">IFERROR(__xludf.DUMMYFUNCTION("""COMPUTED_VALUE"""),"No")</f>
        <v>No</v>
      </c>
      <c r="AE424" s="5" t="str">
        <f ca="1">IFERROR(__xludf.DUMMYFUNCTION("""COMPUTED_VALUE"""),"No")</f>
        <v>No</v>
      </c>
      <c r="AF424" s="5" t="str">
        <f ca="1">IFERROR(__xludf.DUMMYFUNCTION("""COMPUTED_VALUE"""),"No")</f>
        <v>No</v>
      </c>
      <c r="AG424" s="5" t="str">
        <f ca="1">IFERROR(__xludf.DUMMYFUNCTION("""COMPUTED_VALUE"""),"No")</f>
        <v>No</v>
      </c>
      <c r="AH424" s="5" t="str">
        <f ca="1">IFERROR(__xludf.DUMMYFUNCTION("""COMPUTED_VALUE"""),"No")</f>
        <v>No</v>
      </c>
      <c r="AI424" s="5"/>
      <c r="AJ424" s="5" t="str">
        <f ca="1">IFERROR(__xludf.DUMMYFUNCTION("""COMPUTED_VALUE"""),"No")</f>
        <v>No</v>
      </c>
    </row>
    <row r="425" spans="1:36" ht="13">
      <c r="A425" s="5" t="str">
        <f ca="1">IFERROR(__xludf.DUMMYFUNCTION("""COMPUTED_VALUE"""),"20211123OHCLC")</f>
        <v>20211123OHCLC</v>
      </c>
      <c r="B425" s="5">
        <f ca="1">IFERROR(__xludf.DUMMYFUNCTION("""COMPUTED_VALUE"""),11)</f>
        <v>11</v>
      </c>
      <c r="C425" s="5">
        <f ca="1">IFERROR(__xludf.DUMMYFUNCTION("""COMPUTED_VALUE"""),23)</f>
        <v>23</v>
      </c>
      <c r="D425" s="5">
        <f ca="1">IFERROR(__xludf.DUMMYFUNCTION("""COMPUTED_VALUE"""),2021)</f>
        <v>2021</v>
      </c>
      <c r="E425" s="8">
        <f ca="1">IFERROR(__xludf.DUMMYFUNCTION("""COMPUTED_VALUE"""),44523)</f>
        <v>44523</v>
      </c>
      <c r="F425" s="5" t="str">
        <f ca="1">IFERROR(__xludf.DUMMYFUNCTION("""COMPUTED_VALUE"""),"Cleveland School Bus")</f>
        <v>Cleveland School Bus</v>
      </c>
      <c r="G425" s="5">
        <f ca="1">IFERROR(__xludf.DUMMYFUNCTION("""COMPUTED_VALUE"""),0)</f>
        <v>0</v>
      </c>
      <c r="H425" s="5">
        <f ca="1">IFERROR(__xludf.DUMMYFUNCTION("""COMPUTED_VALUE"""),0)</f>
        <v>0</v>
      </c>
      <c r="I425" s="5">
        <f ca="1">IFERROR(__xludf.DUMMYFUNCTION("""COMPUTED_VALUE"""),0)</f>
        <v>0</v>
      </c>
      <c r="J425" s="5">
        <f ca="1">IFERROR(__xludf.DUMMYFUNCTION("""COMPUTED_VALUE"""),0)</f>
        <v>0</v>
      </c>
      <c r="K425" s="9" t="str">
        <f ca="1">IFERROR(__xludf.DUMMYFUNCTION("""COMPUTED_VALUE"""),"https://fox8.com/news/cleveland-school-bus-driver-robbed-at-gunpoint/")</f>
        <v>https://fox8.com/news/cleveland-school-bus-driver-robbed-at-gunpoint/</v>
      </c>
      <c r="L425" s="5">
        <f ca="1">IFERROR(__xludf.DUMMYFUNCTION("""COMPUTED_VALUE"""),1)</f>
        <v>1</v>
      </c>
      <c r="M425" s="5" t="str">
        <f ca="1">IFERROR(__xludf.DUMMYFUNCTION("""COMPUTED_VALUE"""),"Local")</f>
        <v>Local</v>
      </c>
      <c r="N425" s="5">
        <f ca="1">IFERROR(__xludf.DUMMYFUNCTION("""COMPUTED_VALUE"""),3)</f>
        <v>3</v>
      </c>
      <c r="O425" s="5" t="str">
        <f ca="1">IFERROR(__xludf.DUMMYFUNCTION("""COMPUTED_VALUE"""),"Fall")</f>
        <v>Fall</v>
      </c>
      <c r="P425" s="5" t="str">
        <f ca="1">IFERROR(__xludf.DUMMYFUNCTION("""COMPUTED_VALUE"""),"Cleveland")</f>
        <v>Cleveland</v>
      </c>
      <c r="Q425" s="5" t="str">
        <f ca="1">IFERROR(__xludf.DUMMYFUNCTION("""COMPUTED_VALUE"""),"OH")</f>
        <v>OH</v>
      </c>
      <c r="R425" s="5"/>
      <c r="S425" s="5" t="str">
        <f ca="1">IFERROR(__xludf.DUMMYFUNCTION("""COMPUTED_VALUE"""),"School Bus")</f>
        <v>School Bus</v>
      </c>
      <c r="T425" s="5" t="str">
        <f ca="1">IFERROR(__xludf.DUMMYFUNCTION("""COMPUTED_VALUE"""),"School Bus")</f>
        <v>School Bus</v>
      </c>
      <c r="U425" s="5" t="str">
        <f ca="1">IFERROR(__xludf.DUMMYFUNCTION("""COMPUTED_VALUE"""),"Yes")</f>
        <v>Yes</v>
      </c>
      <c r="V425" s="5" t="str">
        <f ca="1">IFERROR(__xludf.DUMMYFUNCTION("""COMPUTED_VALUE"""),"Before School")</f>
        <v>Before School</v>
      </c>
      <c r="W425" s="10">
        <f ca="1">IFERROR(__xludf.DUMMYFUNCTION("""COMPUTED_VALUE"""),0.3125)</f>
        <v>0.3125</v>
      </c>
      <c r="X425" s="5">
        <f ca="1">IFERROR(__xludf.DUMMYFUNCTION("""COMPUTED_VALUE"""),1)</f>
        <v>1</v>
      </c>
      <c r="Y425" s="5" t="str">
        <f ca="1">IFERROR(__xludf.DUMMYFUNCTION("""COMPUTED_VALUE"""),"Man robbed school bus driver at gunpoint")</f>
        <v>Man robbed school bus driver at gunpoint</v>
      </c>
      <c r="Z425" s="5" t="str">
        <f ca="1">IFERROR(__xludf.DUMMYFUNCTION("""COMPUTED_VALUE"""),"A adult male robbed a school bus driver at gunpoint as he started the morning route. No students were on the bus during the robbery.")</f>
        <v>A adult male robbed a school bus driver at gunpoint as he started the morning route. No students were on the bus during the robbery.</v>
      </c>
      <c r="AA425" s="5" t="str">
        <f ca="1">IFERROR(__xludf.DUMMYFUNCTION("""COMPUTED_VALUE"""),"Illegal Activity")</f>
        <v>Illegal Activity</v>
      </c>
      <c r="AB425" s="5" t="str">
        <f ca="1">IFERROR(__xludf.DUMMYFUNCTION("""COMPUTED_VALUE"""),"Neither")</f>
        <v>Neither</v>
      </c>
      <c r="AC425" s="5" t="str">
        <f ca="1">IFERROR(__xludf.DUMMYFUNCTION("""COMPUTED_VALUE"""),"No")</f>
        <v>No</v>
      </c>
      <c r="AD425" s="5" t="str">
        <f ca="1">IFERROR(__xludf.DUMMYFUNCTION("""COMPUTED_VALUE"""),"No")</f>
        <v>No</v>
      </c>
      <c r="AE425" s="5" t="str">
        <f ca="1">IFERROR(__xludf.DUMMYFUNCTION("""COMPUTED_VALUE"""),"No")</f>
        <v>No</v>
      </c>
      <c r="AF425" s="5" t="str">
        <f ca="1">IFERROR(__xludf.DUMMYFUNCTION("""COMPUTED_VALUE"""),"No")</f>
        <v>No</v>
      </c>
      <c r="AG425" s="5" t="str">
        <f ca="1">IFERROR(__xludf.DUMMYFUNCTION("""COMPUTED_VALUE"""),"No")</f>
        <v>No</v>
      </c>
      <c r="AH425" s="5" t="str">
        <f ca="1">IFERROR(__xludf.DUMMYFUNCTION("""COMPUTED_VALUE"""),"No")</f>
        <v>No</v>
      </c>
      <c r="AI425" s="5" t="str">
        <f ca="1">IFERROR(__xludf.DUMMYFUNCTION("""COMPUTED_VALUE"""),"No")</f>
        <v>No</v>
      </c>
      <c r="AJ425" s="5" t="str">
        <f ca="1">IFERROR(__xludf.DUMMYFUNCTION("""COMPUTED_VALUE"""),"No")</f>
        <v>No</v>
      </c>
    </row>
    <row r="426" spans="1:36" ht="13">
      <c r="A426" s="5" t="str">
        <f ca="1">IFERROR(__xludf.DUMMYFUNCTION("""COMPUTED_VALUE"""),"20211119COHIA")</f>
        <v>20211119COHIA</v>
      </c>
      <c r="B426" s="5">
        <f ca="1">IFERROR(__xludf.DUMMYFUNCTION("""COMPUTED_VALUE"""),11)</f>
        <v>11</v>
      </c>
      <c r="C426" s="5">
        <f ca="1">IFERROR(__xludf.DUMMYFUNCTION("""COMPUTED_VALUE"""),19)</f>
        <v>19</v>
      </c>
      <c r="D426" s="5">
        <f ca="1">IFERROR(__xludf.DUMMYFUNCTION("""COMPUTED_VALUE"""),2021)</f>
        <v>2021</v>
      </c>
      <c r="E426" s="8">
        <f ca="1">IFERROR(__xludf.DUMMYFUNCTION("""COMPUTED_VALUE"""),44519)</f>
        <v>44519</v>
      </c>
      <c r="F426" s="5" t="str">
        <f ca="1">IFERROR(__xludf.DUMMYFUNCTION("""COMPUTED_VALUE"""),"Hinkley High School")</f>
        <v>Hinkley High School</v>
      </c>
      <c r="G426" s="5">
        <f ca="1">IFERROR(__xludf.DUMMYFUNCTION("""COMPUTED_VALUE"""),0)</f>
        <v>0</v>
      </c>
      <c r="H426" s="5">
        <f ca="1">IFERROR(__xludf.DUMMYFUNCTION("""COMPUTED_VALUE"""),3)</f>
        <v>3</v>
      </c>
      <c r="I426" s="5">
        <f ca="1">IFERROR(__xludf.DUMMYFUNCTION("""COMPUTED_VALUE"""),3)</f>
        <v>3</v>
      </c>
      <c r="J426" s="5">
        <f ca="1">IFERROR(__xludf.DUMMYFUNCTION("""COMPUTED_VALUE"""),0)</f>
        <v>0</v>
      </c>
      <c r="K426" s="5" t="str">
        <f ca="1">IFERROR(__xludf.DUMMYFUNCTION("""COMPUTED_VALUE"""),"https://www.denverpost.com/2021/11/19/aurora-high-school-shooting-central-hinkley-gun-violence-colorado/ https://www.thedenverchannel.com/news/local-news/2-injured-in-shooting-in-hinkley-high-school-parking-lot-aurora-police-say https://kdvr.com/news/loca"&amp;"l/aps-security-officer-heroically-returned-fire-at-hinkley-hs-parking-lot-shooting-chief-wilson-said/ https://www.cnn.com/2021/11/20/us/colorado-high-school-shooting-attempted-murder-charge/index.html")</f>
        <v>https://www.denverpost.com/2021/11/19/aurora-high-school-shooting-central-hinkley-gun-violence-colorado/ https://www.thedenverchannel.com/news/local-news/2-injured-in-shooting-in-hinkley-high-school-parking-lot-aurora-police-say https://kdvr.com/news/local/aps-security-officer-heroically-returned-fire-at-hinkley-hs-parking-lot-shooting-chief-wilson-said/ https://www.cnn.com/2021/11/20/us/colorado-high-school-shooting-attempted-murder-charge/index.html</v>
      </c>
      <c r="L426" s="5">
        <f ca="1">IFERROR(__xludf.DUMMYFUNCTION("""COMPUTED_VALUE"""),999)</f>
        <v>999</v>
      </c>
      <c r="M426" s="5" t="str">
        <f ca="1">IFERROR(__xludf.DUMMYFUNCTION("""COMPUTED_VALUE"""),"International")</f>
        <v>International</v>
      </c>
      <c r="N426" s="5">
        <f ca="1">IFERROR(__xludf.DUMMYFUNCTION("""COMPUTED_VALUE"""),4)</f>
        <v>4</v>
      </c>
      <c r="O426" s="5" t="str">
        <f ca="1">IFERROR(__xludf.DUMMYFUNCTION("""COMPUTED_VALUE"""),"Fall")</f>
        <v>Fall</v>
      </c>
      <c r="P426" s="5" t="str">
        <f ca="1">IFERROR(__xludf.DUMMYFUNCTION("""COMPUTED_VALUE"""),"Aurora")</f>
        <v>Aurora</v>
      </c>
      <c r="Q426" s="5" t="str">
        <f ca="1">IFERROR(__xludf.DUMMYFUNCTION("""COMPUTED_VALUE"""),"CO")</f>
        <v>CO</v>
      </c>
      <c r="R426" s="5" t="str">
        <f ca="1">IFERROR(__xludf.DUMMYFUNCTION("""COMPUTED_VALUE"""),"High")</f>
        <v>High</v>
      </c>
      <c r="S426" s="5" t="str">
        <f ca="1">IFERROR(__xludf.DUMMYFUNCTION("""COMPUTED_VALUE"""),"Parking Lot")</f>
        <v>Parking Lot</v>
      </c>
      <c r="T426" s="5" t="str">
        <f ca="1">IFERROR(__xludf.DUMMYFUNCTION("""COMPUTED_VALUE"""),"Outside on School Property")</f>
        <v>Outside on School Property</v>
      </c>
      <c r="U426" s="5"/>
      <c r="V426" s="5"/>
      <c r="W426" s="10">
        <f ca="1">IFERROR(__xludf.DUMMYFUNCTION("""COMPUTED_VALUE"""),0.576388888888888)</f>
        <v>0.57638888888888795</v>
      </c>
      <c r="X426" s="5">
        <f ca="1">IFERROR(__xludf.DUMMYFUNCTION("""COMPUTED_VALUE"""),1)</f>
        <v>1</v>
      </c>
      <c r="Y426" s="5" t="str">
        <f ca="1">IFERROR(__xludf.DUMMYFUNCTION("""COMPUTED_VALUE"""),"3 students shot in the school parking lot during fight")</f>
        <v>3 students shot in the school parking lot during fight</v>
      </c>
      <c r="Z426" s="5" t="str">
        <f ca="1">IFERROR(__xludf.DUMMYFUNCTION("""COMPUTED_VALUE"""),"3 teenage students were shot in the school parking lot. Shortly after the physical fight involving multiple teens, a white pickup truck with several people inside drove through the parking lot and people from inside it started shooting. There were numerou"&amp;"s shell casings, of different calibers, that were found on scene. Armed school security officer returned fired and then applied a tourniquet to an injured student. Shooter fled. 4 days prior to the shooting, 6 students were shot in a park across the stree"&amp;"t from another Aurora High School.")</f>
        <v>3 teenage students were shot in the school parking lot. Shortly after the physical fight involving multiple teens, a white pickup truck with several people inside drove through the parking lot and people from inside it started shooting. There were numerous shell casings, of different calibers, that were found on scene. Armed school security officer returned fired and then applied a tourniquet to an injured student. Shooter fled. 4 days prior to the shooting, 6 students were shot in a park across the street from another Aurora High School.</v>
      </c>
      <c r="AA426" s="5" t="str">
        <f ca="1">IFERROR(__xludf.DUMMYFUNCTION("""COMPUTED_VALUE"""),"Escalation of Dispute")</f>
        <v>Escalation of Dispute</v>
      </c>
      <c r="AB426" s="5" t="str">
        <f ca="1">IFERROR(__xludf.DUMMYFUNCTION("""COMPUTED_VALUE"""),"Victims Targeted")</f>
        <v>Victims Targeted</v>
      </c>
      <c r="AC426" s="5" t="str">
        <f ca="1">IFERROR(__xludf.DUMMYFUNCTION("""COMPUTED_VALUE"""),"Yes")</f>
        <v>Yes</v>
      </c>
      <c r="AD426" s="5" t="str">
        <f ca="1">IFERROR(__xludf.DUMMYFUNCTION("""COMPUTED_VALUE"""),"No")</f>
        <v>No</v>
      </c>
      <c r="AE426" s="5" t="str">
        <f ca="1">IFERROR(__xludf.DUMMYFUNCTION("""COMPUTED_VALUE"""),"No")</f>
        <v>No</v>
      </c>
      <c r="AF426" s="5" t="str">
        <f ca="1">IFERROR(__xludf.DUMMYFUNCTION("""COMPUTED_VALUE"""),"No")</f>
        <v>No</v>
      </c>
      <c r="AG426" s="5" t="str">
        <f ca="1">IFERROR(__xludf.DUMMYFUNCTION("""COMPUTED_VALUE"""),"No")</f>
        <v>No</v>
      </c>
      <c r="AH426" s="5" t="str">
        <f ca="1">IFERROR(__xludf.DUMMYFUNCTION("""COMPUTED_VALUE"""),"No")</f>
        <v>No</v>
      </c>
      <c r="AI426" s="5"/>
      <c r="AJ426" s="5" t="str">
        <f ca="1">IFERROR(__xludf.DUMMYFUNCTION("""COMPUTED_VALUE"""),"No")</f>
        <v>No</v>
      </c>
    </row>
    <row r="427" spans="1:36" ht="13">
      <c r="A427" s="5" t="str">
        <f ca="1">IFERROR(__xludf.DUMMYFUNCTION("""COMPUTED_VALUE"""),"20211119MDGIB")</f>
        <v>20211119MDGIB</v>
      </c>
      <c r="B427" s="5">
        <f ca="1">IFERROR(__xludf.DUMMYFUNCTION("""COMPUTED_VALUE"""),11)</f>
        <v>11</v>
      </c>
      <c r="C427" s="5">
        <f ca="1">IFERROR(__xludf.DUMMYFUNCTION("""COMPUTED_VALUE"""),18)</f>
        <v>18</v>
      </c>
      <c r="D427" s="5">
        <f ca="1">IFERROR(__xludf.DUMMYFUNCTION("""COMPUTED_VALUE"""),2021)</f>
        <v>2021</v>
      </c>
      <c r="E427" s="8">
        <f ca="1">IFERROR(__xludf.DUMMYFUNCTION("""COMPUTED_VALUE"""),44518)</f>
        <v>44518</v>
      </c>
      <c r="F427" s="5" t="str">
        <f ca="1">IFERROR(__xludf.DUMMYFUNCTION("""COMPUTED_VALUE"""),"Gilmor Elementary School")</f>
        <v>Gilmor Elementary School</v>
      </c>
      <c r="G427" s="5">
        <f ca="1">IFERROR(__xludf.DUMMYFUNCTION("""COMPUTED_VALUE"""),1)</f>
        <v>1</v>
      </c>
      <c r="H427" s="5">
        <f ca="1">IFERROR(__xludf.DUMMYFUNCTION("""COMPUTED_VALUE"""),0)</f>
        <v>0</v>
      </c>
      <c r="I427" s="5">
        <f ca="1">IFERROR(__xludf.DUMMYFUNCTION("""COMPUTED_VALUE"""),1)</f>
        <v>1</v>
      </c>
      <c r="J427" s="5">
        <f ca="1">IFERROR(__xludf.DUMMYFUNCTION("""COMPUTED_VALUE"""),0)</f>
        <v>0</v>
      </c>
      <c r="K427" s="5" t="str">
        <f ca="1">IFERROR(__xludf.DUMMYFUNCTION("""COMPUTED_VALUE"""),"https://baltimore.cbslocal.com/2021/11/18/13-year-old-shot-killed-in-west-baltimore/ https://foxbaltimore.com/news/local/13-year-old-girl-killed-in-west-baltimore")</f>
        <v>https://baltimore.cbslocal.com/2021/11/18/13-year-old-shot-killed-in-west-baltimore/ https://foxbaltimore.com/news/local/13-year-old-girl-killed-in-west-baltimore</v>
      </c>
      <c r="L427" s="5">
        <f ca="1">IFERROR(__xludf.DUMMYFUNCTION("""COMPUTED_VALUE"""),5)</f>
        <v>5</v>
      </c>
      <c r="M427" s="5" t="str">
        <f ca="1">IFERROR(__xludf.DUMMYFUNCTION("""COMPUTED_VALUE"""),"Local")</f>
        <v>Local</v>
      </c>
      <c r="N427" s="5">
        <f ca="1">IFERROR(__xludf.DUMMYFUNCTION("""COMPUTED_VALUE"""),4)</f>
        <v>4</v>
      </c>
      <c r="O427" s="5" t="str">
        <f ca="1">IFERROR(__xludf.DUMMYFUNCTION("""COMPUTED_VALUE"""),"Fall")</f>
        <v>Fall</v>
      </c>
      <c r="P427" s="5" t="str">
        <f ca="1">IFERROR(__xludf.DUMMYFUNCTION("""COMPUTED_VALUE"""),"Baltimore")</f>
        <v>Baltimore</v>
      </c>
      <c r="Q427" s="5" t="str">
        <f ca="1">IFERROR(__xludf.DUMMYFUNCTION("""COMPUTED_VALUE"""),"MD")</f>
        <v>MD</v>
      </c>
      <c r="R427" s="5" t="str">
        <f ca="1">IFERROR(__xludf.DUMMYFUNCTION("""COMPUTED_VALUE"""),"Elementary")</f>
        <v>Elementary</v>
      </c>
      <c r="S427" s="5" t="str">
        <f ca="1">IFERROR(__xludf.DUMMYFUNCTION("""COMPUTED_VALUE"""),"Front of School")</f>
        <v>Front of School</v>
      </c>
      <c r="T427" s="5" t="str">
        <f ca="1">IFERROR(__xludf.DUMMYFUNCTION("""COMPUTED_VALUE"""),"Outside on School Property")</f>
        <v>Outside on School Property</v>
      </c>
      <c r="U427" s="5" t="str">
        <f ca="1">IFERROR(__xludf.DUMMYFUNCTION("""COMPUTED_VALUE"""),"No")</f>
        <v>No</v>
      </c>
      <c r="V427" s="5" t="str">
        <f ca="1">IFERROR(__xludf.DUMMYFUNCTION("""COMPUTED_VALUE"""),"Evening")</f>
        <v>Evening</v>
      </c>
      <c r="W427" s="10">
        <f ca="1">IFERROR(__xludf.DUMMYFUNCTION("""COMPUTED_VALUE"""),0.794444444444444)</f>
        <v>0.79444444444444395</v>
      </c>
      <c r="X427" s="5">
        <f ca="1">IFERROR(__xludf.DUMMYFUNCTION("""COMPUTED_VALUE"""),1)</f>
        <v>1</v>
      </c>
      <c r="Y427" s="5" t="str">
        <f ca="1">IFERROR(__xludf.DUMMYFUNCTION("""COMPUTED_VALUE"""),"13-year-old girl shot outside of school")</f>
        <v>13-year-old girl shot outside of school</v>
      </c>
      <c r="Z427" s="5" t="str">
        <f ca="1">IFERROR(__xludf.DUMMYFUNCTION("""COMPUTED_VALUE"""),"13-year-old girl was shot multiple times outside of elementary school and died at hospital. No other information available.")</f>
        <v>13-year-old girl was shot multiple times outside of elementary school and died at hospital. No other information available.</v>
      </c>
      <c r="AA427" s="5"/>
      <c r="AB427" s="5" t="str">
        <f ca="1">IFERROR(__xludf.DUMMYFUNCTION("""COMPUTED_VALUE"""),"Victims Targeted")</f>
        <v>Victims Targeted</v>
      </c>
      <c r="AC427" s="5"/>
      <c r="AD427" s="5" t="str">
        <f ca="1">IFERROR(__xludf.DUMMYFUNCTION("""COMPUTED_VALUE"""),"No")</f>
        <v>No</v>
      </c>
      <c r="AE427" s="5" t="str">
        <f ca="1">IFERROR(__xludf.DUMMYFUNCTION("""COMPUTED_VALUE"""),"No")</f>
        <v>No</v>
      </c>
      <c r="AF427" s="5" t="str">
        <f ca="1">IFERROR(__xludf.DUMMYFUNCTION("""COMPUTED_VALUE"""),"No")</f>
        <v>No</v>
      </c>
      <c r="AG427" s="5" t="str">
        <f ca="1">IFERROR(__xludf.DUMMYFUNCTION("""COMPUTED_VALUE"""),"No")</f>
        <v>No</v>
      </c>
      <c r="AH427" s="5"/>
      <c r="AI427" s="5"/>
      <c r="AJ427" s="5" t="str">
        <f ca="1">IFERROR(__xludf.DUMMYFUNCTION("""COMPUTED_VALUE"""),"No")</f>
        <v>No</v>
      </c>
    </row>
    <row r="428" spans="1:36" ht="13">
      <c r="A428" s="5" t="str">
        <f ca="1">IFERROR(__xludf.DUMMYFUNCTION("""COMPUTED_VALUE"""),"20211116NYPSB")</f>
        <v>20211116NYPSB</v>
      </c>
      <c r="B428" s="5">
        <f ca="1">IFERROR(__xludf.DUMMYFUNCTION("""COMPUTED_VALUE"""),11)</f>
        <v>11</v>
      </c>
      <c r="C428" s="5">
        <f ca="1">IFERROR(__xludf.DUMMYFUNCTION("""COMPUTED_VALUE"""),16)</f>
        <v>16</v>
      </c>
      <c r="D428" s="5">
        <f ca="1">IFERROR(__xludf.DUMMYFUNCTION("""COMPUTED_VALUE"""),2021)</f>
        <v>2021</v>
      </c>
      <c r="E428" s="8">
        <f ca="1">IFERROR(__xludf.DUMMYFUNCTION("""COMPUTED_VALUE"""),44516)</f>
        <v>44516</v>
      </c>
      <c r="F428" s="5" t="str">
        <f ca="1">IFERROR(__xludf.DUMMYFUNCTION("""COMPUTED_VALUE"""),"P.S. 44")</f>
        <v>P.S. 44</v>
      </c>
      <c r="G428" s="5">
        <f ca="1">IFERROR(__xludf.DUMMYFUNCTION("""COMPUTED_VALUE"""),0)</f>
        <v>0</v>
      </c>
      <c r="H428" s="5">
        <f ca="1">IFERROR(__xludf.DUMMYFUNCTION("""COMPUTED_VALUE"""),0)</f>
        <v>0</v>
      </c>
      <c r="I428" s="5">
        <f ca="1">IFERROR(__xludf.DUMMYFUNCTION("""COMPUTED_VALUE"""),0)</f>
        <v>0</v>
      </c>
      <c r="J428" s="5">
        <f ca="1">IFERROR(__xludf.DUMMYFUNCTION("""COMPUTED_VALUE"""),0)</f>
        <v>0</v>
      </c>
      <c r="K428" s="9" t="str">
        <f ca="1">IFERROR(__xludf.DUMMYFUNCTION("""COMPUTED_VALUE"""),"https://nypost.com/2021/11/18/cops-arrest-gunman-who-fired-outside-nyc-school-police-say/")</f>
        <v>https://nypost.com/2021/11/18/cops-arrest-gunman-who-fired-outside-nyc-school-police-say/</v>
      </c>
      <c r="L428" s="5">
        <f ca="1">IFERROR(__xludf.DUMMYFUNCTION("""COMPUTED_VALUE"""),1)</f>
        <v>1</v>
      </c>
      <c r="M428" s="5" t="str">
        <f ca="1">IFERROR(__xludf.DUMMYFUNCTION("""COMPUTED_VALUE"""),"Local")</f>
        <v>Local</v>
      </c>
      <c r="N428" s="5">
        <f ca="1">IFERROR(__xludf.DUMMYFUNCTION("""COMPUTED_VALUE"""),3)</f>
        <v>3</v>
      </c>
      <c r="O428" s="5" t="str">
        <f ca="1">IFERROR(__xludf.DUMMYFUNCTION("""COMPUTED_VALUE"""),"Fall")</f>
        <v>Fall</v>
      </c>
      <c r="P428" s="5" t="str">
        <f ca="1">IFERROR(__xludf.DUMMYFUNCTION("""COMPUTED_VALUE"""),"Bronx")</f>
        <v>Bronx</v>
      </c>
      <c r="Q428" s="5" t="str">
        <f ca="1">IFERROR(__xludf.DUMMYFUNCTION("""COMPUTED_VALUE"""),"NY")</f>
        <v>NY</v>
      </c>
      <c r="R428" s="5" t="str">
        <f ca="1">IFERROR(__xludf.DUMMYFUNCTION("""COMPUTED_VALUE"""),"Elementary")</f>
        <v>Elementary</v>
      </c>
      <c r="S428" s="5" t="str">
        <f ca="1">IFERROR(__xludf.DUMMYFUNCTION("""COMPUTED_VALUE"""),"Front of School")</f>
        <v>Front of School</v>
      </c>
      <c r="T428" s="5" t="str">
        <f ca="1">IFERROR(__xludf.DUMMYFUNCTION("""COMPUTED_VALUE"""),"Outside on School Property")</f>
        <v>Outside on School Property</v>
      </c>
      <c r="U428" s="5" t="str">
        <f ca="1">IFERROR(__xludf.DUMMYFUNCTION("""COMPUTED_VALUE"""),"Yes")</f>
        <v>Yes</v>
      </c>
      <c r="V428" s="5" t="str">
        <f ca="1">IFERROR(__xludf.DUMMYFUNCTION("""COMPUTED_VALUE"""),"Dismissal")</f>
        <v>Dismissal</v>
      </c>
      <c r="W428" s="10">
        <f ca="1">IFERROR(__xludf.DUMMYFUNCTION("""COMPUTED_VALUE"""),0.59375)</f>
        <v>0.59375</v>
      </c>
      <c r="X428" s="5">
        <f ca="1">IFERROR(__xludf.DUMMYFUNCTION("""COMPUTED_VALUE"""),1)</f>
        <v>1</v>
      </c>
      <c r="Y428" s="5" t="str">
        <f ca="1">IFERROR(__xludf.DUMMYFUNCTION("""COMPUTED_VALUE"""),"Shots fired outside school at dismissal by adult male")</f>
        <v>Shots fired outside school at dismissal by adult male</v>
      </c>
      <c r="Z428" s="5" t="str">
        <f ca="1">IFERROR(__xludf.DUMMYFUNCTION("""COMPUTED_VALUE"""),"A 45-year-old male fired multiple shot outside of the school at dismissal. One shot struck a vehicle. A NYPD Youth Coordination Officer assigned to the school detained the shooter. He was charged with multiple crimes including possession of a weapon at a "&amp;"school.")</f>
        <v>A 45-year-old male fired multiple shot outside of the school at dismissal. One shot struck a vehicle. A NYPD Youth Coordination Officer assigned to the school detained the shooter. He was charged with multiple crimes including possession of a weapon at a school.</v>
      </c>
      <c r="AA428" s="5"/>
      <c r="AB428" s="5" t="str">
        <f ca="1">IFERROR(__xludf.DUMMYFUNCTION("""COMPUTED_VALUE"""),"Victims Targeted")</f>
        <v>Victims Targeted</v>
      </c>
      <c r="AC428" s="5" t="str">
        <f ca="1">IFERROR(__xludf.DUMMYFUNCTION("""COMPUTED_VALUE"""),"No")</f>
        <v>No</v>
      </c>
      <c r="AD428" s="5" t="str">
        <f ca="1">IFERROR(__xludf.DUMMYFUNCTION("""COMPUTED_VALUE"""),"No")</f>
        <v>No</v>
      </c>
      <c r="AE428" s="5" t="str">
        <f ca="1">IFERROR(__xludf.DUMMYFUNCTION("""COMPUTED_VALUE"""),"No")</f>
        <v>No</v>
      </c>
      <c r="AF428" s="5" t="str">
        <f ca="1">IFERROR(__xludf.DUMMYFUNCTION("""COMPUTED_VALUE"""),"No")</f>
        <v>No</v>
      </c>
      <c r="AG428" s="5" t="str">
        <f ca="1">IFERROR(__xludf.DUMMYFUNCTION("""COMPUTED_VALUE"""),"No")</f>
        <v>No</v>
      </c>
      <c r="AH428" s="5" t="str">
        <f ca="1">IFERROR(__xludf.DUMMYFUNCTION("""COMPUTED_VALUE"""),"No")</f>
        <v>No</v>
      </c>
      <c r="AI428" s="5"/>
      <c r="AJ428" s="5" t="str">
        <f ca="1">IFERROR(__xludf.DUMMYFUNCTION("""COMPUTED_VALUE"""),"No")</f>
        <v>No</v>
      </c>
    </row>
    <row r="429" spans="1:36" ht="13">
      <c r="A429" s="5" t="str">
        <f ca="1">IFERROR(__xludf.DUMMYFUNCTION("""COMPUTED_VALUE"""),"20211116FLJAJ")</f>
        <v>20211116FLJAJ</v>
      </c>
      <c r="B429" s="5">
        <f ca="1">IFERROR(__xludf.DUMMYFUNCTION("""COMPUTED_VALUE"""),11)</f>
        <v>11</v>
      </c>
      <c r="C429" s="5">
        <f ca="1">IFERROR(__xludf.DUMMYFUNCTION("""COMPUTED_VALUE"""),16)</f>
        <v>16</v>
      </c>
      <c r="D429" s="5">
        <f ca="1">IFERROR(__xludf.DUMMYFUNCTION("""COMPUTED_VALUE"""),2021)</f>
        <v>2021</v>
      </c>
      <c r="E429" s="8">
        <f ca="1">IFERROR(__xludf.DUMMYFUNCTION("""COMPUTED_VALUE"""),44516)</f>
        <v>44516</v>
      </c>
      <c r="F429" s="5" t="str">
        <f ca="1">IFERROR(__xludf.DUMMYFUNCTION("""COMPUTED_VALUE"""),"Jacksonville School Bus")</f>
        <v>Jacksonville School Bus</v>
      </c>
      <c r="G429" s="5">
        <f ca="1">IFERROR(__xludf.DUMMYFUNCTION("""COMPUTED_VALUE"""),0)</f>
        <v>0</v>
      </c>
      <c r="H429" s="5">
        <f ca="1">IFERROR(__xludf.DUMMYFUNCTION("""COMPUTED_VALUE"""),0)</f>
        <v>0</v>
      </c>
      <c r="I429" s="5">
        <f ca="1">IFERROR(__xludf.DUMMYFUNCTION("""COMPUTED_VALUE"""),0)</f>
        <v>0</v>
      </c>
      <c r="J429" s="5">
        <f ca="1">IFERROR(__xludf.DUMMYFUNCTION("""COMPUTED_VALUE"""),0)</f>
        <v>0</v>
      </c>
      <c r="K429" s="9" t="str">
        <f ca="1">IFERROR(__xludf.DUMMYFUNCTION("""COMPUTED_VALUE"""),"https://www.firstcoastnews.com/article/news/crime/jso-2-critically-wounded-after-moncrief-area-shooting-school-bus-hit-by-gunfire-jacksonville/77-3869f63b-d473-4a45-9724-e3fb6b7ba011")</f>
        <v>https://www.firstcoastnews.com/article/news/crime/jso-2-critically-wounded-after-moncrief-area-shooting-school-bus-hit-by-gunfire-jacksonville/77-3869f63b-d473-4a45-9724-e3fb6b7ba011</v>
      </c>
      <c r="L429" s="5">
        <f ca="1">IFERROR(__xludf.DUMMYFUNCTION("""COMPUTED_VALUE"""),1)</f>
        <v>1</v>
      </c>
      <c r="M429" s="5" t="str">
        <f ca="1">IFERROR(__xludf.DUMMYFUNCTION("""COMPUTED_VALUE"""),"Local")</f>
        <v>Local</v>
      </c>
      <c r="N429" s="5">
        <f ca="1">IFERROR(__xludf.DUMMYFUNCTION("""COMPUTED_VALUE"""),3)</f>
        <v>3</v>
      </c>
      <c r="O429" s="5" t="str">
        <f ca="1">IFERROR(__xludf.DUMMYFUNCTION("""COMPUTED_VALUE"""),"Fall")</f>
        <v>Fall</v>
      </c>
      <c r="P429" s="5" t="str">
        <f ca="1">IFERROR(__xludf.DUMMYFUNCTION("""COMPUTED_VALUE"""),"Jacksonville")</f>
        <v>Jacksonville</v>
      </c>
      <c r="Q429" s="5" t="str">
        <f ca="1">IFERROR(__xludf.DUMMYFUNCTION("""COMPUTED_VALUE"""),"FL")</f>
        <v>FL</v>
      </c>
      <c r="R429" s="5"/>
      <c r="S429" s="5" t="str">
        <f ca="1">IFERROR(__xludf.DUMMYFUNCTION("""COMPUTED_VALUE"""),"School Bus")</f>
        <v>School Bus</v>
      </c>
      <c r="T429" s="5" t="str">
        <f ca="1">IFERROR(__xludf.DUMMYFUNCTION("""COMPUTED_VALUE"""),"School Bus")</f>
        <v>School Bus</v>
      </c>
      <c r="U429" s="5" t="str">
        <f ca="1">IFERROR(__xludf.DUMMYFUNCTION("""COMPUTED_VALUE"""),"Yes")</f>
        <v>Yes</v>
      </c>
      <c r="V429" s="5" t="str">
        <f ca="1">IFERROR(__xludf.DUMMYFUNCTION("""COMPUTED_VALUE"""),"Evening")</f>
        <v>Evening</v>
      </c>
      <c r="W429" s="10">
        <f ca="1">IFERROR(__xludf.DUMMYFUNCTION("""COMPUTED_VALUE"""),0.75)</f>
        <v>0.75</v>
      </c>
      <c r="X429" s="5">
        <f ca="1">IFERROR(__xludf.DUMMYFUNCTION("""COMPUTED_VALUE"""),1)</f>
        <v>1</v>
      </c>
      <c r="Y429" s="5" t="str">
        <f ca="1">IFERROR(__xludf.DUMMYFUNCTION("""COMPUTED_VALUE"""),"Occupied school bus struck by bullets")</f>
        <v>Occupied school bus struck by bullets</v>
      </c>
      <c r="Z429" s="5" t="str">
        <f ca="1">IFERROR(__xludf.DUMMYFUNCTION("""COMPUTED_VALUE"""),"A school bus with a driver and two students aboard was struck by bullets while driving in a residential street. The bus was caught in the crossfire and two adult men on the street were critically injured. The driver and students were not injured.")</f>
        <v>A school bus with a driver and two students aboard was struck by bullets while driving in a residential street. The bus was caught in the crossfire and two adult men on the street were critically injured. The driver and students were not injured.</v>
      </c>
      <c r="AA429" s="5"/>
      <c r="AB429" s="5" t="str">
        <f ca="1">IFERROR(__xludf.DUMMYFUNCTION("""COMPUTED_VALUE"""),"Both")</f>
        <v>Both</v>
      </c>
      <c r="AC429" s="5"/>
      <c r="AD429" s="5" t="str">
        <f ca="1">IFERROR(__xludf.DUMMYFUNCTION("""COMPUTED_VALUE"""),"No")</f>
        <v>No</v>
      </c>
      <c r="AE429" s="5" t="str">
        <f ca="1">IFERROR(__xludf.DUMMYFUNCTION("""COMPUTED_VALUE"""),"No")</f>
        <v>No</v>
      </c>
      <c r="AF429" s="5" t="str">
        <f ca="1">IFERROR(__xludf.DUMMYFUNCTION("""COMPUTED_VALUE"""),"No")</f>
        <v>No</v>
      </c>
      <c r="AG429" s="5" t="str">
        <f ca="1">IFERROR(__xludf.DUMMYFUNCTION("""COMPUTED_VALUE"""),"No")</f>
        <v>No</v>
      </c>
      <c r="AH429" s="5" t="str">
        <f ca="1">IFERROR(__xludf.DUMMYFUNCTION("""COMPUTED_VALUE"""),"No")</f>
        <v>No</v>
      </c>
      <c r="AI429" s="5"/>
      <c r="AJ429" s="5" t="str">
        <f ca="1">IFERROR(__xludf.DUMMYFUNCTION("""COMPUTED_VALUE"""),"No")</f>
        <v>No</v>
      </c>
    </row>
    <row r="430" spans="1:36" ht="13">
      <c r="A430" s="5" t="str">
        <f ca="1">IFERROR(__xludf.DUMMYFUNCTION("""COMPUTED_VALUE"""),"20211115NYPOP")</f>
        <v>20211115NYPOP</v>
      </c>
      <c r="B430" s="5">
        <f ca="1">IFERROR(__xludf.DUMMYFUNCTION("""COMPUTED_VALUE"""),11)</f>
        <v>11</v>
      </c>
      <c r="C430" s="5">
        <f ca="1">IFERROR(__xludf.DUMMYFUNCTION("""COMPUTED_VALUE"""),15)</f>
        <v>15</v>
      </c>
      <c r="D430" s="5">
        <f ca="1">IFERROR(__xludf.DUMMYFUNCTION("""COMPUTED_VALUE"""),2021)</f>
        <v>2021</v>
      </c>
      <c r="E430" s="8">
        <f ca="1">IFERROR(__xludf.DUMMYFUNCTION("""COMPUTED_VALUE"""),44515)</f>
        <v>44515</v>
      </c>
      <c r="F430" s="5" t="str">
        <f ca="1">IFERROR(__xludf.DUMMYFUNCTION("""COMPUTED_VALUE"""),"Poughkeepsie High School")</f>
        <v>Poughkeepsie High School</v>
      </c>
      <c r="G430" s="5">
        <f ca="1">IFERROR(__xludf.DUMMYFUNCTION("""COMPUTED_VALUE"""),0)</f>
        <v>0</v>
      </c>
      <c r="H430" s="5">
        <f ca="1">IFERROR(__xludf.DUMMYFUNCTION("""COMPUTED_VALUE"""),0)</f>
        <v>0</v>
      </c>
      <c r="I430" s="5">
        <f ca="1">IFERROR(__xludf.DUMMYFUNCTION("""COMPUTED_VALUE"""),0)</f>
        <v>0</v>
      </c>
      <c r="J430" s="5">
        <f ca="1">IFERROR(__xludf.DUMMYFUNCTION("""COMPUTED_VALUE"""),0)</f>
        <v>0</v>
      </c>
      <c r="K430" s="5" t="str">
        <f ca="1">IFERROR(__xludf.DUMMYFUNCTION("""COMPUTED_VALUE"""),"https://www.poughkeepsiejournal.com/story/news/education/2021/11/16/shooting-outside-poughkeepsie-high-school-report/8635464002/ https://bronx.news12.com/gunfire-outside-poughkeepsie-hs-cancels-school-for-the-day https://midhudsonnews.com/2021/11/15/class"&amp;"es-and-meeting-canceled-after-high-school-shooting/ https://midhudsonnews.com/2021/11/15/shooting-at-high-school-subjects-in-custody/")</f>
        <v>https://www.poughkeepsiejournal.com/story/news/education/2021/11/16/shooting-outside-poughkeepsie-high-school-report/8635464002/ https://bronx.news12.com/gunfire-outside-poughkeepsie-hs-cancels-school-for-the-day https://midhudsonnews.com/2021/11/15/classes-and-meeting-canceled-after-high-school-shooting/ https://midhudsonnews.com/2021/11/15/shooting-at-high-school-subjects-in-custody/</v>
      </c>
      <c r="L430" s="5">
        <f ca="1">IFERROR(__xludf.DUMMYFUNCTION("""COMPUTED_VALUE"""),5)</f>
        <v>5</v>
      </c>
      <c r="M430" s="5" t="str">
        <f ca="1">IFERROR(__xludf.DUMMYFUNCTION("""COMPUTED_VALUE"""),"Regional")</f>
        <v>Regional</v>
      </c>
      <c r="N430" s="5">
        <f ca="1">IFERROR(__xludf.DUMMYFUNCTION("""COMPUTED_VALUE"""),4)</f>
        <v>4</v>
      </c>
      <c r="O430" s="5" t="str">
        <f ca="1">IFERROR(__xludf.DUMMYFUNCTION("""COMPUTED_VALUE"""),"Fall")</f>
        <v>Fall</v>
      </c>
      <c r="P430" s="5" t="str">
        <f ca="1">IFERROR(__xludf.DUMMYFUNCTION("""COMPUTED_VALUE"""),"Poughkeepsie")</f>
        <v>Poughkeepsie</v>
      </c>
      <c r="Q430" s="5" t="str">
        <f ca="1">IFERROR(__xludf.DUMMYFUNCTION("""COMPUTED_VALUE"""),"NY")</f>
        <v>NY</v>
      </c>
      <c r="R430" s="5" t="str">
        <f ca="1">IFERROR(__xludf.DUMMYFUNCTION("""COMPUTED_VALUE"""),"High")</f>
        <v>High</v>
      </c>
      <c r="S430" s="5" t="str">
        <f ca="1">IFERROR(__xludf.DUMMYFUNCTION("""COMPUTED_VALUE"""),"Front of School")</f>
        <v>Front of School</v>
      </c>
      <c r="T430" s="5" t="str">
        <f ca="1">IFERROR(__xludf.DUMMYFUNCTION("""COMPUTED_VALUE"""),"Outside on School Property")</f>
        <v>Outside on School Property</v>
      </c>
      <c r="U430" s="5" t="str">
        <f ca="1">IFERROR(__xludf.DUMMYFUNCTION("""COMPUTED_VALUE"""),"Yes")</f>
        <v>Yes</v>
      </c>
      <c r="V430" s="5" t="str">
        <f ca="1">IFERROR(__xludf.DUMMYFUNCTION("""COMPUTED_VALUE"""),"Dismissal")</f>
        <v>Dismissal</v>
      </c>
      <c r="W430" s="10">
        <f ca="1">IFERROR(__xludf.DUMMYFUNCTION("""COMPUTED_VALUE"""),0.635416666666666)</f>
        <v>0.63541666666666596</v>
      </c>
      <c r="X430" s="5">
        <f ca="1">IFERROR(__xludf.DUMMYFUNCTION("""COMPUTED_VALUE"""),1)</f>
        <v>1</v>
      </c>
      <c r="Y430" s="5" t="str">
        <f ca="1">IFERROR(__xludf.DUMMYFUNCTION("""COMPUTED_VALUE"""),"Shots fired during fight in front of the school at dismissal")</f>
        <v>Shots fired during fight in front of the school at dismissal</v>
      </c>
      <c r="Z430" s="5" t="str">
        <f ca="1">IFERROR(__xludf.DUMMYFUNCTION("""COMPUTED_VALUE"""),"Multiple shots were fired in front of the school during a fight between students. Multiple students ran from the area. None of the students involved were shot. Vehicles parked in the faculty lot sustained damage. Police recovered multiple .380 shell casin"&amp;"gs and arrested a 13-year-old male student at his home with an empty .380 handgun. School closed the two days following the shooting to update the security plan.")</f>
        <v>Multiple shots were fired in front of the school during a fight between students. Multiple students ran from the area. None of the students involved were shot. Vehicles parked in the faculty lot sustained damage. Police recovered multiple .380 shell casings and arrested a 13-year-old male student at his home with an empty .380 handgun. School closed the two days following the shooting to update the security plan.</v>
      </c>
      <c r="AA430" s="5" t="str">
        <f ca="1">IFERROR(__xludf.DUMMYFUNCTION("""COMPUTED_VALUE"""),"Escalation of Dispute")</f>
        <v>Escalation of Dispute</v>
      </c>
      <c r="AB430" s="5" t="str">
        <f ca="1">IFERROR(__xludf.DUMMYFUNCTION("""COMPUTED_VALUE"""),"Victims Targeted")</f>
        <v>Victims Targeted</v>
      </c>
      <c r="AC430" s="5" t="str">
        <f ca="1">IFERROR(__xludf.DUMMYFUNCTION("""COMPUTED_VALUE"""),"Yes")</f>
        <v>Yes</v>
      </c>
      <c r="AD430" s="5" t="str">
        <f ca="1">IFERROR(__xludf.DUMMYFUNCTION("""COMPUTED_VALUE"""),"No")</f>
        <v>No</v>
      </c>
      <c r="AE430" s="5" t="str">
        <f ca="1">IFERROR(__xludf.DUMMYFUNCTION("""COMPUTED_VALUE"""),"No")</f>
        <v>No</v>
      </c>
      <c r="AF430" s="5" t="str">
        <f ca="1">IFERROR(__xludf.DUMMYFUNCTION("""COMPUTED_VALUE"""),"No")</f>
        <v>No</v>
      </c>
      <c r="AG430" s="5" t="str">
        <f ca="1">IFERROR(__xludf.DUMMYFUNCTION("""COMPUTED_VALUE"""),"No")</f>
        <v>No</v>
      </c>
      <c r="AH430" s="5" t="str">
        <f ca="1">IFERROR(__xludf.DUMMYFUNCTION("""COMPUTED_VALUE"""),"No")</f>
        <v>No</v>
      </c>
      <c r="AI430" s="5" t="str">
        <f ca="1">IFERROR(__xludf.DUMMYFUNCTION("""COMPUTED_VALUE"""),"No")</f>
        <v>No</v>
      </c>
      <c r="AJ430" s="5" t="str">
        <f ca="1">IFERROR(__xludf.DUMMYFUNCTION("""COMPUTED_VALUE"""),"No")</f>
        <v>No</v>
      </c>
    </row>
    <row r="431" spans="1:36" ht="13">
      <c r="A431" s="5" t="str">
        <f ca="1">IFERROR(__xludf.DUMMYFUNCTION("""COMPUTED_VALUE"""),"20211110NYITI")</f>
        <v>20211110NYITI</v>
      </c>
      <c r="B431" s="5">
        <f ca="1">IFERROR(__xludf.DUMMYFUNCTION("""COMPUTED_VALUE"""),11)</f>
        <v>11</v>
      </c>
      <c r="C431" s="5">
        <f ca="1">IFERROR(__xludf.DUMMYFUNCTION("""COMPUTED_VALUE"""),10)</f>
        <v>10</v>
      </c>
      <c r="D431" s="5">
        <f ca="1">IFERROR(__xludf.DUMMYFUNCTION("""COMPUTED_VALUE"""),2021)</f>
        <v>2021</v>
      </c>
      <c r="E431" s="8">
        <f ca="1">IFERROR(__xludf.DUMMYFUNCTION("""COMPUTED_VALUE"""),44510)</f>
        <v>44510</v>
      </c>
      <c r="F431" s="5" t="str">
        <f ca="1">IFERROR(__xludf.DUMMYFUNCTION("""COMPUTED_VALUE"""),"Ithaca High School")</f>
        <v>Ithaca High School</v>
      </c>
      <c r="G431" s="5">
        <f ca="1">IFERROR(__xludf.DUMMYFUNCTION("""COMPUTED_VALUE"""),0)</f>
        <v>0</v>
      </c>
      <c r="H431" s="5">
        <f ca="1">IFERROR(__xludf.DUMMYFUNCTION("""COMPUTED_VALUE"""),0)</f>
        <v>0</v>
      </c>
      <c r="I431" s="5">
        <f ca="1">IFERROR(__xludf.DUMMYFUNCTION("""COMPUTED_VALUE"""),0)</f>
        <v>0</v>
      </c>
      <c r="J431" s="5">
        <f ca="1">IFERROR(__xludf.DUMMYFUNCTION("""COMPUTED_VALUE"""),0)</f>
        <v>0</v>
      </c>
      <c r="K431" s="5" t="str">
        <f ca="1">IFERROR(__xludf.DUMMYFUNCTION("""COMPUTED_VALUE"""),"https://www.weny.com/story/45168174/ithaca-school-bus-hit-by-bullet-shots-fired-under-investigation https://wxhc.com/empty-school-bus-hit-with-gunfire-in-ithaca/")</f>
        <v>https://www.weny.com/story/45168174/ithaca-school-bus-hit-by-bullet-shots-fired-under-investigation https://wxhc.com/empty-school-bus-hit-with-gunfire-in-ithaca/</v>
      </c>
      <c r="L431" s="5">
        <f ca="1">IFERROR(__xludf.DUMMYFUNCTION("""COMPUTED_VALUE"""),5)</f>
        <v>5</v>
      </c>
      <c r="M431" s="5" t="str">
        <f ca="1">IFERROR(__xludf.DUMMYFUNCTION("""COMPUTED_VALUE"""),"Local")</f>
        <v>Local</v>
      </c>
      <c r="N431" s="5">
        <f ca="1">IFERROR(__xludf.DUMMYFUNCTION("""COMPUTED_VALUE"""),4)</f>
        <v>4</v>
      </c>
      <c r="O431" s="5" t="str">
        <f ca="1">IFERROR(__xludf.DUMMYFUNCTION("""COMPUTED_VALUE"""),"Fall")</f>
        <v>Fall</v>
      </c>
      <c r="P431" s="5" t="str">
        <f ca="1">IFERROR(__xludf.DUMMYFUNCTION("""COMPUTED_VALUE"""),"Ithaca")</f>
        <v>Ithaca</v>
      </c>
      <c r="Q431" s="5" t="str">
        <f ca="1">IFERROR(__xludf.DUMMYFUNCTION("""COMPUTED_VALUE"""),"NY")</f>
        <v>NY</v>
      </c>
      <c r="R431" s="5" t="str">
        <f ca="1">IFERROR(__xludf.DUMMYFUNCTION("""COMPUTED_VALUE"""),"High")</f>
        <v>High</v>
      </c>
      <c r="S431" s="5" t="str">
        <f ca="1">IFERROR(__xludf.DUMMYFUNCTION("""COMPUTED_VALUE"""),"School Bus")</f>
        <v>School Bus</v>
      </c>
      <c r="T431" s="5" t="str">
        <f ca="1">IFERROR(__xludf.DUMMYFUNCTION("""COMPUTED_VALUE"""),"School Bus")</f>
        <v>School Bus</v>
      </c>
      <c r="U431" s="5" t="str">
        <f ca="1">IFERROR(__xludf.DUMMYFUNCTION("""COMPUTED_VALUE"""),"No")</f>
        <v>No</v>
      </c>
      <c r="V431" s="5" t="str">
        <f ca="1">IFERROR(__xludf.DUMMYFUNCTION("""COMPUTED_VALUE"""),"Evening")</f>
        <v>Evening</v>
      </c>
      <c r="W431" s="10">
        <f ca="1">IFERROR(__xludf.DUMMYFUNCTION("""COMPUTED_VALUE"""),0.770833333333333)</f>
        <v>0.77083333333333304</v>
      </c>
      <c r="X431" s="5">
        <f ca="1">IFERROR(__xludf.DUMMYFUNCTION("""COMPUTED_VALUE"""),1)</f>
        <v>1</v>
      </c>
      <c r="Y431" s="5" t="str">
        <f ca="1">IFERROR(__xludf.DUMMYFUNCTION("""COMPUTED_VALUE"""),"Door of school bus shot, driver not injured")</f>
        <v>Door of school bus shot, driver not injured</v>
      </c>
      <c r="Z431" s="5" t="str">
        <f ca="1">IFERROR(__xludf.DUMMYFUNCTION("""COMPUTED_VALUE"""),"Door of the school bus was shot while the driver was returning to the bus depot. No students were aboard the bus. The driver was not injured.")</f>
        <v>Door of the school bus was shot while the driver was returning to the bus depot. No students were aboard the bus. The driver was not injured.</v>
      </c>
      <c r="AA431" s="5"/>
      <c r="AB431" s="5"/>
      <c r="AC431" s="5" t="str">
        <f ca="1">IFERROR(__xludf.DUMMYFUNCTION("""COMPUTED_VALUE"""),"No")</f>
        <v>No</v>
      </c>
      <c r="AD431" s="5" t="str">
        <f ca="1">IFERROR(__xludf.DUMMYFUNCTION("""COMPUTED_VALUE"""),"No")</f>
        <v>No</v>
      </c>
      <c r="AE431" s="5" t="str">
        <f ca="1">IFERROR(__xludf.DUMMYFUNCTION("""COMPUTED_VALUE"""),"No")</f>
        <v>No</v>
      </c>
      <c r="AF431" s="5" t="str">
        <f ca="1">IFERROR(__xludf.DUMMYFUNCTION("""COMPUTED_VALUE"""),"No")</f>
        <v>No</v>
      </c>
      <c r="AG431" s="5" t="str">
        <f ca="1">IFERROR(__xludf.DUMMYFUNCTION("""COMPUTED_VALUE"""),"No")</f>
        <v>No</v>
      </c>
      <c r="AH431" s="5" t="str">
        <f ca="1">IFERROR(__xludf.DUMMYFUNCTION("""COMPUTED_VALUE"""),"No")</f>
        <v>No</v>
      </c>
      <c r="AI431" s="5"/>
      <c r="AJ431" s="5" t="str">
        <f ca="1">IFERROR(__xludf.DUMMYFUNCTION("""COMPUTED_VALUE"""),"No")</f>
        <v>No</v>
      </c>
    </row>
    <row r="432" spans="1:36" ht="13">
      <c r="A432" s="5" t="str">
        <f ca="1">IFERROR(__xludf.DUMMYFUNCTION("""COMPUTED_VALUE"""),"20211109NMMEL")</f>
        <v>20211109NMMEL</v>
      </c>
      <c r="B432" s="5">
        <f ca="1">IFERROR(__xludf.DUMMYFUNCTION("""COMPUTED_VALUE"""),11)</f>
        <v>11</v>
      </c>
      <c r="C432" s="5">
        <f ca="1">IFERROR(__xludf.DUMMYFUNCTION("""COMPUTED_VALUE"""),9)</f>
        <v>9</v>
      </c>
      <c r="D432" s="5">
        <f ca="1">IFERROR(__xludf.DUMMYFUNCTION("""COMPUTED_VALUE"""),2021)</f>
        <v>2021</v>
      </c>
      <c r="E432" s="8">
        <f ca="1">IFERROR(__xludf.DUMMYFUNCTION("""COMPUTED_VALUE"""),44509)</f>
        <v>44509</v>
      </c>
      <c r="F432" s="5" t="str">
        <f ca="1">IFERROR(__xludf.DUMMYFUNCTION("""COMPUTED_VALUE"""),"Mesilla Valley Leadership Academy")</f>
        <v>Mesilla Valley Leadership Academy</v>
      </c>
      <c r="G432" s="5">
        <f ca="1">IFERROR(__xludf.DUMMYFUNCTION("""COMPUTED_VALUE"""),0)</f>
        <v>0</v>
      </c>
      <c r="H432" s="5">
        <f ca="1">IFERROR(__xludf.DUMMYFUNCTION("""COMPUTED_VALUE"""),0)</f>
        <v>0</v>
      </c>
      <c r="I432" s="5">
        <f ca="1">IFERROR(__xludf.DUMMYFUNCTION("""COMPUTED_VALUE"""),0)</f>
        <v>0</v>
      </c>
      <c r="J432" s="5">
        <f ca="1">IFERROR(__xludf.DUMMYFUNCTION("""COMPUTED_VALUE"""),1)</f>
        <v>1</v>
      </c>
      <c r="K432" s="5" t="str">
        <f ca="1">IFERROR(__xludf.DUMMYFUNCTION("""COMPUTED_VALUE"""),"https://www.lcsun-news.com/story/news/crime/2021/11/09/lcpd-avoid-almendra-and-lohman-due-police-related-incident/6352372001/ https://kvia.com/news/crime/2021/11/09/police-say-man-fatally-shot-self-after-crashing-las-cruces-officers-stolen-car-into-school"&amp;"/")</f>
        <v>https://www.lcsun-news.com/story/news/crime/2021/11/09/lcpd-avoid-almendra-and-lohman-due-police-related-incident/6352372001/ https://kvia.com/news/crime/2021/11/09/police-say-man-fatally-shot-self-after-crashing-las-cruces-officers-stolen-car-into-school/</v>
      </c>
      <c r="L432" s="5">
        <f ca="1">IFERROR(__xludf.DUMMYFUNCTION("""COMPUTED_VALUE"""),5)</f>
        <v>5</v>
      </c>
      <c r="M432" s="5" t="str">
        <f ca="1">IFERROR(__xludf.DUMMYFUNCTION("""COMPUTED_VALUE"""),"Local")</f>
        <v>Local</v>
      </c>
      <c r="N432" s="5">
        <f ca="1">IFERROR(__xludf.DUMMYFUNCTION("""COMPUTED_VALUE"""),4)</f>
        <v>4</v>
      </c>
      <c r="O432" s="5" t="str">
        <f ca="1">IFERROR(__xludf.DUMMYFUNCTION("""COMPUTED_VALUE"""),"Fall")</f>
        <v>Fall</v>
      </c>
      <c r="P432" s="5" t="str">
        <f ca="1">IFERROR(__xludf.DUMMYFUNCTION("""COMPUTED_VALUE"""),"Las Cruces")</f>
        <v>Las Cruces</v>
      </c>
      <c r="Q432" s="5" t="str">
        <f ca="1">IFERROR(__xludf.DUMMYFUNCTION("""COMPUTED_VALUE"""),"NM")</f>
        <v>NM</v>
      </c>
      <c r="R432" s="5"/>
      <c r="S432" s="5" t="str">
        <f ca="1">IFERROR(__xludf.DUMMYFUNCTION("""COMPUTED_VALUE"""),"Beside Building")</f>
        <v>Beside Building</v>
      </c>
      <c r="T432" s="5" t="str">
        <f ca="1">IFERROR(__xludf.DUMMYFUNCTION("""COMPUTED_VALUE"""),"Outside on School Property")</f>
        <v>Outside on School Property</v>
      </c>
      <c r="U432" s="5" t="str">
        <f ca="1">IFERROR(__xludf.DUMMYFUNCTION("""COMPUTED_VALUE"""),"Yes")</f>
        <v>Yes</v>
      </c>
      <c r="V432" s="5" t="str">
        <f ca="1">IFERROR(__xludf.DUMMYFUNCTION("""COMPUTED_VALUE"""),"Morning Classes")</f>
        <v>Morning Classes</v>
      </c>
      <c r="W432" s="10">
        <f ca="1">IFERROR(__xludf.DUMMYFUNCTION("""COMPUTED_VALUE"""),0.333333333333333)</f>
        <v>0.33333333333333298</v>
      </c>
      <c r="X432" s="5">
        <f ca="1">IFERROR(__xludf.DUMMYFUNCTION("""COMPUTED_VALUE"""),210)</f>
        <v>210</v>
      </c>
      <c r="Y432" s="5" t="str">
        <f ca="1">IFERROR(__xludf.DUMMYFUNCTION("""COMPUTED_VALUE"""),"SWAT standoff after man crashed stolen police car into school")</f>
        <v>SWAT standoff after man crashed stolen police car into school</v>
      </c>
      <c r="Z432" s="5" t="str">
        <f ca="1">IFERROR(__xludf.DUMMYFUNCTION("""COMPUTED_VALUE"""),"A man with a knife stole an unmarked police car at the scene of a traffic stop. During a police pursuit, he crashed through a fence and into the side of the school building. School was in session and went on lockdown. The man stayed inside the vehicle and"&amp;" fatally shot himself after a 3.5 hour standoff with police.")</f>
        <v>A man with a knife stole an unmarked police car at the scene of a traffic stop. During a police pursuit, he crashed through a fence and into the side of the school building. School was in session and went on lockdown. The man stayed inside the vehicle and fatally shot himself after a 3.5 hour standoff with police.</v>
      </c>
      <c r="AA432" s="5" t="str">
        <f ca="1">IFERROR(__xludf.DUMMYFUNCTION("""COMPUTED_VALUE"""),"Hostage/Standoff")</f>
        <v>Hostage/Standoff</v>
      </c>
      <c r="AB432" s="5" t="str">
        <f ca="1">IFERROR(__xludf.DUMMYFUNCTION("""COMPUTED_VALUE"""),"Neither")</f>
        <v>Neither</v>
      </c>
      <c r="AC432" s="5" t="str">
        <f ca="1">IFERROR(__xludf.DUMMYFUNCTION("""COMPUTED_VALUE"""),"No")</f>
        <v>No</v>
      </c>
      <c r="AD432" s="5" t="str">
        <f ca="1">IFERROR(__xludf.DUMMYFUNCTION("""COMPUTED_VALUE"""),"No")</f>
        <v>No</v>
      </c>
      <c r="AE432" s="5" t="str">
        <f ca="1">IFERROR(__xludf.DUMMYFUNCTION("""COMPUTED_VALUE"""),"No")</f>
        <v>No</v>
      </c>
      <c r="AF432" s="5" t="str">
        <f ca="1">IFERROR(__xludf.DUMMYFUNCTION("""COMPUTED_VALUE"""),"No")</f>
        <v>No</v>
      </c>
      <c r="AG432" s="5" t="str">
        <f ca="1">IFERROR(__xludf.DUMMYFUNCTION("""COMPUTED_VALUE"""),"No")</f>
        <v>No</v>
      </c>
      <c r="AH432" s="5" t="str">
        <f ca="1">IFERROR(__xludf.DUMMYFUNCTION("""COMPUTED_VALUE"""),"No")</f>
        <v>No</v>
      </c>
      <c r="AI432" s="5" t="str">
        <f ca="1">IFERROR(__xludf.DUMMYFUNCTION("""COMPUTED_VALUE"""),"No")</f>
        <v>No</v>
      </c>
      <c r="AJ432" s="5" t="str">
        <f ca="1">IFERROR(__xludf.DUMMYFUNCTION("""COMPUTED_VALUE"""),"No")</f>
        <v>No</v>
      </c>
    </row>
    <row r="433" spans="1:36" ht="13">
      <c r="A433" s="5" t="str">
        <f ca="1">IFERROR(__xludf.DUMMYFUNCTION("""COMPUTED_VALUE"""),"20211108NYTHB")</f>
        <v>20211108NYTHB</v>
      </c>
      <c r="B433" s="5">
        <f ca="1">IFERROR(__xludf.DUMMYFUNCTION("""COMPUTED_VALUE"""),11)</f>
        <v>11</v>
      </c>
      <c r="C433" s="5">
        <f ca="1">IFERROR(__xludf.DUMMYFUNCTION("""COMPUTED_VALUE"""),8)</f>
        <v>8</v>
      </c>
      <c r="D433" s="5">
        <f ca="1">IFERROR(__xludf.DUMMYFUNCTION("""COMPUTED_VALUE"""),2021)</f>
        <v>2021</v>
      </c>
      <c r="E433" s="8">
        <f ca="1">IFERROR(__xludf.DUMMYFUNCTION("""COMPUTED_VALUE"""),44508)</f>
        <v>44508</v>
      </c>
      <c r="F433" s="5" t="str">
        <f ca="1">IFERROR(__xludf.DUMMYFUNCTION("""COMPUTED_VALUE"""),"Theodore Roosevelt High School")</f>
        <v>Theodore Roosevelt High School</v>
      </c>
      <c r="G433" s="5">
        <f ca="1">IFERROR(__xludf.DUMMYFUNCTION("""COMPUTED_VALUE"""),0)</f>
        <v>0</v>
      </c>
      <c r="H433" s="5">
        <f ca="1">IFERROR(__xludf.DUMMYFUNCTION("""COMPUTED_VALUE"""),1)</f>
        <v>1</v>
      </c>
      <c r="I433" s="5">
        <f ca="1">IFERROR(__xludf.DUMMYFUNCTION("""COMPUTED_VALUE"""),1)</f>
        <v>1</v>
      </c>
      <c r="J433" s="5">
        <f ca="1">IFERROR(__xludf.DUMMYFUNCTION("""COMPUTED_VALUE"""),0)</f>
        <v>0</v>
      </c>
      <c r="K433" s="5" t="str">
        <f ca="1">IFERROR(__xludf.DUMMYFUNCTION("""COMPUTED_VALUE"""),"https://www.nydailynews.com/new-york/nyc-crime/ny-bronx-teen-shot-outside-school-dismissal-20211109-tmwo77lsi5aixgkmssckxm6bfa-story.html https://newyork.cbslocal.com/2021/11/08/police-student-shot-outside-roosevelt-high-school-in-the-bronx/ https://www.a"&amp;"mny.com/education/teenager-shot-in-the-leg-steps-away-from-high-school-in-bronx-nypd/")</f>
        <v>https://www.nydailynews.com/new-york/nyc-crime/ny-bronx-teen-shot-outside-school-dismissal-20211109-tmwo77lsi5aixgkmssckxm6bfa-story.html https://newyork.cbslocal.com/2021/11/08/police-student-shot-outside-roosevelt-high-school-in-the-bronx/ https://www.amny.com/education/teenager-shot-in-the-leg-steps-away-from-high-school-in-bronx-nypd/</v>
      </c>
      <c r="L433" s="5">
        <f ca="1">IFERROR(__xludf.DUMMYFUNCTION("""COMPUTED_VALUE"""),3)</f>
        <v>3</v>
      </c>
      <c r="M433" s="5" t="str">
        <f ca="1">IFERROR(__xludf.DUMMYFUNCTION("""COMPUTED_VALUE"""),"Local")</f>
        <v>Local</v>
      </c>
      <c r="N433" s="5">
        <f ca="1">IFERROR(__xludf.DUMMYFUNCTION("""COMPUTED_VALUE"""),4)</f>
        <v>4</v>
      </c>
      <c r="O433" s="5" t="str">
        <f ca="1">IFERROR(__xludf.DUMMYFUNCTION("""COMPUTED_VALUE"""),"Fall")</f>
        <v>Fall</v>
      </c>
      <c r="P433" s="5" t="str">
        <f ca="1">IFERROR(__xludf.DUMMYFUNCTION("""COMPUTED_VALUE"""),"Bronx")</f>
        <v>Bronx</v>
      </c>
      <c r="Q433" s="5" t="str">
        <f ca="1">IFERROR(__xludf.DUMMYFUNCTION("""COMPUTED_VALUE"""),"NY")</f>
        <v>NY</v>
      </c>
      <c r="R433" s="5" t="str">
        <f ca="1">IFERROR(__xludf.DUMMYFUNCTION("""COMPUTED_VALUE"""),"High")</f>
        <v>High</v>
      </c>
      <c r="S433" s="5" t="str">
        <f ca="1">IFERROR(__xludf.DUMMYFUNCTION("""COMPUTED_VALUE"""),"Front of School")</f>
        <v>Front of School</v>
      </c>
      <c r="T433" s="5" t="str">
        <f ca="1">IFERROR(__xludf.DUMMYFUNCTION("""COMPUTED_VALUE"""),"Outside on School Property")</f>
        <v>Outside on School Property</v>
      </c>
      <c r="U433" s="5" t="str">
        <f ca="1">IFERROR(__xludf.DUMMYFUNCTION("""COMPUTED_VALUE"""),"Yes")</f>
        <v>Yes</v>
      </c>
      <c r="V433" s="5" t="str">
        <f ca="1">IFERROR(__xludf.DUMMYFUNCTION("""COMPUTED_VALUE"""),"Dismissal")</f>
        <v>Dismissal</v>
      </c>
      <c r="W433" s="10">
        <f ca="1">IFERROR(__xludf.DUMMYFUNCTION("""COMPUTED_VALUE"""),0.611111111111111)</f>
        <v>0.61111111111111105</v>
      </c>
      <c r="X433" s="5">
        <f ca="1">IFERROR(__xludf.DUMMYFUNCTION("""COMPUTED_VALUE"""),1)</f>
        <v>1</v>
      </c>
      <c r="Y433" s="5" t="str">
        <f ca="1">IFERROR(__xludf.DUMMYFUNCTION("""COMPUTED_VALUE"""),"Student shot at dismissal on sidewalk in front of school")</f>
        <v>Student shot at dismissal on sidewalk in front of school</v>
      </c>
      <c r="Z433" s="5" t="str">
        <f ca="1">IFERROR(__xludf.DUMMYFUNCTION("""COMPUTED_VALUE"""),"A 17-year-old student was shot in the leg outside of the school during dismissal. The student was with a group of other students and was shot by a student inside an SUV. Multiple students were inside the vehicle. The shooter fled the scene.")</f>
        <v>A 17-year-old student was shot in the leg outside of the school during dismissal. The student was with a group of other students and was shot by a student inside an SUV. Multiple students were inside the vehicle. The shooter fled the scene.</v>
      </c>
      <c r="AA433" s="5" t="str">
        <f ca="1">IFERROR(__xludf.DUMMYFUNCTION("""COMPUTED_VALUE"""),"Drive-by Shooting")</f>
        <v>Drive-by Shooting</v>
      </c>
      <c r="AB433" s="5" t="str">
        <f ca="1">IFERROR(__xludf.DUMMYFUNCTION("""COMPUTED_VALUE"""),"Victims Targeted")</f>
        <v>Victims Targeted</v>
      </c>
      <c r="AC433" s="5" t="str">
        <f ca="1">IFERROR(__xludf.DUMMYFUNCTION("""COMPUTED_VALUE"""),"Yes")</f>
        <v>Yes</v>
      </c>
      <c r="AD433" s="5" t="str">
        <f ca="1">IFERROR(__xludf.DUMMYFUNCTION("""COMPUTED_VALUE"""),"No")</f>
        <v>No</v>
      </c>
      <c r="AE433" s="5" t="str">
        <f ca="1">IFERROR(__xludf.DUMMYFUNCTION("""COMPUTED_VALUE"""),"No")</f>
        <v>No</v>
      </c>
      <c r="AF433" s="5" t="str">
        <f ca="1">IFERROR(__xludf.DUMMYFUNCTION("""COMPUTED_VALUE"""),"No")</f>
        <v>No</v>
      </c>
      <c r="AG433" s="5" t="str">
        <f ca="1">IFERROR(__xludf.DUMMYFUNCTION("""COMPUTED_VALUE"""),"No")</f>
        <v>No</v>
      </c>
      <c r="AH433" s="5" t="str">
        <f ca="1">IFERROR(__xludf.DUMMYFUNCTION("""COMPUTED_VALUE"""),"No")</f>
        <v>No</v>
      </c>
      <c r="AI433" s="5"/>
      <c r="AJ433" s="5" t="str">
        <f ca="1">IFERROR(__xludf.DUMMYFUNCTION("""COMPUTED_VALUE"""),"No")</f>
        <v>No</v>
      </c>
    </row>
    <row r="434" spans="1:36" ht="13">
      <c r="A434" s="5" t="str">
        <f ca="1">IFERROR(__xludf.DUMMYFUNCTION("""COMPUTED_VALUE"""),"20211106FLOVO")</f>
        <v>20211106FLOVO</v>
      </c>
      <c r="B434" s="5">
        <f ca="1">IFERROR(__xludf.DUMMYFUNCTION("""COMPUTED_VALUE"""),11)</f>
        <v>11</v>
      </c>
      <c r="C434" s="5">
        <f ca="1">IFERROR(__xludf.DUMMYFUNCTION("""COMPUTED_VALUE"""),6)</f>
        <v>6</v>
      </c>
      <c r="D434" s="5">
        <f ca="1">IFERROR(__xludf.DUMMYFUNCTION("""COMPUTED_VALUE"""),2021)</f>
        <v>2021</v>
      </c>
      <c r="E434" s="8">
        <f ca="1">IFERROR(__xludf.DUMMYFUNCTION("""COMPUTED_VALUE"""),44506)</f>
        <v>44506</v>
      </c>
      <c r="F434" s="5" t="str">
        <f ca="1">IFERROR(__xludf.DUMMYFUNCTION("""COMPUTED_VALUE"""),"Oviedo High School")</f>
        <v>Oviedo High School</v>
      </c>
      <c r="G434" s="5">
        <f ca="1">IFERROR(__xludf.DUMMYFUNCTION("""COMPUTED_VALUE"""),0)</f>
        <v>0</v>
      </c>
      <c r="H434" s="5">
        <f ca="1">IFERROR(__xludf.DUMMYFUNCTION("""COMPUTED_VALUE"""),0)</f>
        <v>0</v>
      </c>
      <c r="I434" s="5">
        <f ca="1">IFERROR(__xludf.DUMMYFUNCTION("""COMPUTED_VALUE"""),0)</f>
        <v>0</v>
      </c>
      <c r="J434" s="5">
        <f ca="1">IFERROR(__xludf.DUMMYFUNCTION("""COMPUTED_VALUE"""),0)</f>
        <v>0</v>
      </c>
      <c r="K434" s="5" t="str">
        <f ca="1">IFERROR(__xludf.DUMMYFUNCTION("""COMPUTED_VALUE"""),"https://www.clickorlando.com/news/local/2021/11/09/student-now-faces-gun-charge-in-oviedo-homecoming-scare/ https://www.fox35orlando.com/news/police-student-faces-multiple-charges-after-gun-scare-at-oviedo-high-schools-homecoming-dance https://www.wesh.co"&amp;"m/article/oviedo-high-school-homecoming-dance/38198632#")</f>
        <v>https://www.clickorlando.com/news/local/2021/11/09/student-now-faces-gun-charge-in-oviedo-homecoming-scare/ https://www.fox35orlando.com/news/police-student-faces-multiple-charges-after-gun-scare-at-oviedo-high-schools-homecoming-dance https://www.wesh.com/article/oviedo-high-school-homecoming-dance/38198632#</v>
      </c>
      <c r="L434" s="5">
        <f ca="1">IFERROR(__xludf.DUMMYFUNCTION("""COMPUTED_VALUE"""),10)</f>
        <v>10</v>
      </c>
      <c r="M434" s="5" t="str">
        <f ca="1">IFERROR(__xludf.DUMMYFUNCTION("""COMPUTED_VALUE"""),"Local")</f>
        <v>Local</v>
      </c>
      <c r="N434" s="5">
        <f ca="1">IFERROR(__xludf.DUMMYFUNCTION("""COMPUTED_VALUE"""),4)</f>
        <v>4</v>
      </c>
      <c r="O434" s="5" t="str">
        <f ca="1">IFERROR(__xludf.DUMMYFUNCTION("""COMPUTED_VALUE"""),"Fall")</f>
        <v>Fall</v>
      </c>
      <c r="P434" s="5" t="str">
        <f ca="1">IFERROR(__xludf.DUMMYFUNCTION("""COMPUTED_VALUE"""),"Oviedo")</f>
        <v>Oviedo</v>
      </c>
      <c r="Q434" s="5" t="str">
        <f ca="1">IFERROR(__xludf.DUMMYFUNCTION("""COMPUTED_VALUE"""),"FL")</f>
        <v>FL</v>
      </c>
      <c r="R434" s="5" t="str">
        <f ca="1">IFERROR(__xludf.DUMMYFUNCTION("""COMPUTED_VALUE"""),"High")</f>
        <v>High</v>
      </c>
      <c r="S434" s="5" t="str">
        <f ca="1">IFERROR(__xludf.DUMMYFUNCTION("""COMPUTED_VALUE"""),"Gym")</f>
        <v>Gym</v>
      </c>
      <c r="T434" s="5" t="str">
        <f ca="1">IFERROR(__xludf.DUMMYFUNCTION("""COMPUTED_VALUE"""),"Inside School Building")</f>
        <v>Inside School Building</v>
      </c>
      <c r="U434" s="5" t="str">
        <f ca="1">IFERROR(__xludf.DUMMYFUNCTION("""COMPUTED_VALUE"""),"No")</f>
        <v>No</v>
      </c>
      <c r="V434" s="5" t="str">
        <f ca="1">IFERROR(__xludf.DUMMYFUNCTION("""COMPUTED_VALUE"""),"School Event")</f>
        <v>School Event</v>
      </c>
      <c r="W434" s="10">
        <f ca="1">IFERROR(__xludf.DUMMYFUNCTION("""COMPUTED_VALUE"""),0.916666666666666)</f>
        <v>0.91666666666666596</v>
      </c>
      <c r="X434" s="5">
        <f ca="1">IFERROR(__xludf.DUMMYFUNCTION("""COMPUTED_VALUE"""),1)</f>
        <v>1</v>
      </c>
      <c r="Y434" s="5" t="str">
        <f ca="1">IFERROR(__xludf.DUMMYFUNCTION("""COMPUTED_VALUE"""),"Student brandish gun during fight at homecoming dance")</f>
        <v>Student brandish gun during fight at homecoming dance</v>
      </c>
      <c r="Z434" s="5" t="str">
        <f ca="1">IFERROR(__xludf.DUMMYFUNCTION("""COMPUTED_VALUE"""),"Students evacuated the homecoming dance when they believed a gun had been fired. Police investigated and determined that no shots were fired. A student was charged with brandish a gun during a fight at the dance. A second student had been reported with a "&amp;"gun when he was detained entry to the dance but police did not find a weapon when they searched the person.")</f>
        <v>Students evacuated the homecoming dance when they believed a gun had been fired. Police investigated and determined that no shots were fired. A student was charged with brandish a gun during a fight at the dance. A second student had been reported with a gun when he was detained entry to the dance but police did not find a weapon when they searched the person.</v>
      </c>
      <c r="AA434" s="5" t="str">
        <f ca="1">IFERROR(__xludf.DUMMYFUNCTION("""COMPUTED_VALUE"""),"Escalation of Dispute")</f>
        <v>Escalation of Dispute</v>
      </c>
      <c r="AB434" s="5" t="str">
        <f ca="1">IFERROR(__xludf.DUMMYFUNCTION("""COMPUTED_VALUE"""),"Neither")</f>
        <v>Neither</v>
      </c>
      <c r="AC434" s="5" t="str">
        <f ca="1">IFERROR(__xludf.DUMMYFUNCTION("""COMPUTED_VALUE"""),"No")</f>
        <v>No</v>
      </c>
      <c r="AD434" s="5" t="str">
        <f ca="1">IFERROR(__xludf.DUMMYFUNCTION("""COMPUTED_VALUE"""),"No")</f>
        <v>No</v>
      </c>
      <c r="AE434" s="5" t="str">
        <f ca="1">IFERROR(__xludf.DUMMYFUNCTION("""COMPUTED_VALUE"""),"No")</f>
        <v>No</v>
      </c>
      <c r="AF434" s="5" t="str">
        <f ca="1">IFERROR(__xludf.DUMMYFUNCTION("""COMPUTED_VALUE"""),"No")</f>
        <v>No</v>
      </c>
      <c r="AG434" s="5" t="str">
        <f ca="1">IFERROR(__xludf.DUMMYFUNCTION("""COMPUTED_VALUE"""),"No")</f>
        <v>No</v>
      </c>
      <c r="AH434" s="5" t="str">
        <f ca="1">IFERROR(__xludf.DUMMYFUNCTION("""COMPUTED_VALUE"""),"No")</f>
        <v>No</v>
      </c>
      <c r="AI434" s="5"/>
      <c r="AJ434" s="5" t="str">
        <f ca="1">IFERROR(__xludf.DUMMYFUNCTION("""COMPUTED_VALUE"""),"No")</f>
        <v>No</v>
      </c>
    </row>
    <row r="435" spans="1:36" ht="13">
      <c r="A435" s="5" t="str">
        <f ca="1">IFERROR(__xludf.DUMMYFUNCTION("""COMPUTED_VALUE"""),"20211125SCCEP")</f>
        <v>20211125SCCEP</v>
      </c>
      <c r="B435" s="5">
        <f ca="1">IFERROR(__xludf.DUMMYFUNCTION("""COMPUTED_VALUE"""),11)</f>
        <v>11</v>
      </c>
      <c r="C435" s="5">
        <f ca="1">IFERROR(__xludf.DUMMYFUNCTION("""COMPUTED_VALUE"""),4)</f>
        <v>4</v>
      </c>
      <c r="D435" s="5">
        <f ca="1">IFERROR(__xludf.DUMMYFUNCTION("""COMPUTED_VALUE"""),2021)</f>
        <v>2021</v>
      </c>
      <c r="E435" s="8">
        <f ca="1">IFERROR(__xludf.DUMMYFUNCTION("""COMPUTED_VALUE"""),44504)</f>
        <v>44504</v>
      </c>
      <c r="F435" s="5" t="str">
        <f ca="1">IFERROR(__xludf.DUMMYFUNCTION("""COMPUTED_VALUE"""),"Central High School")</f>
        <v>Central High School</v>
      </c>
      <c r="G435" s="5">
        <f ca="1">IFERROR(__xludf.DUMMYFUNCTION("""COMPUTED_VALUE"""),0)</f>
        <v>0</v>
      </c>
      <c r="H435" s="5">
        <f ca="1">IFERROR(__xludf.DUMMYFUNCTION("""COMPUTED_VALUE"""),0)</f>
        <v>0</v>
      </c>
      <c r="I435" s="5">
        <f ca="1">IFERROR(__xludf.DUMMYFUNCTION("""COMPUTED_VALUE"""),0)</f>
        <v>0</v>
      </c>
      <c r="J435" s="5">
        <f ca="1">IFERROR(__xludf.DUMMYFUNCTION("""COMPUTED_VALUE"""),0)</f>
        <v>0</v>
      </c>
      <c r="K435" s="5" t="str">
        <f ca="1">IFERROR(__xludf.DUMMYFUNCTION("""COMPUTED_VALUE"""),"https://www.wbtw.com/news/state-regional-news/sheriff-several-goats-and-chickens-shot-at-south-carolina-high-school/ https://www.wspa.com/news/state-news/sheriff-several-goats-and-chickens-shot-at-sc-high-school/ https://www.cbs17.com/news/south/several-g"&amp;"oats-and-chickens-shot-at-sc-high-school-sheriff-said/")</f>
        <v>https://www.wbtw.com/news/state-regional-news/sheriff-several-goats-and-chickens-shot-at-south-carolina-high-school/ https://www.wspa.com/news/state-news/sheriff-several-goats-and-chickens-shot-at-sc-high-school/ https://www.cbs17.com/news/south/several-goats-and-chickens-shot-at-sc-high-school-sheriff-said/</v>
      </c>
      <c r="L435" s="5">
        <f ca="1">IFERROR(__xludf.DUMMYFUNCTION("""COMPUTED_VALUE"""),3)</f>
        <v>3</v>
      </c>
      <c r="M435" s="5" t="str">
        <f ca="1">IFERROR(__xludf.DUMMYFUNCTION("""COMPUTED_VALUE"""),"Local")</f>
        <v>Local</v>
      </c>
      <c r="N435" s="5">
        <f ca="1">IFERROR(__xludf.DUMMYFUNCTION("""COMPUTED_VALUE"""),4)</f>
        <v>4</v>
      </c>
      <c r="O435" s="5" t="str">
        <f ca="1">IFERROR(__xludf.DUMMYFUNCTION("""COMPUTED_VALUE"""),"Fall")</f>
        <v>Fall</v>
      </c>
      <c r="P435" s="5" t="str">
        <f ca="1">IFERROR(__xludf.DUMMYFUNCTION("""COMPUTED_VALUE"""),"Pageland")</f>
        <v>Pageland</v>
      </c>
      <c r="Q435" s="5" t="str">
        <f ca="1">IFERROR(__xludf.DUMMYFUNCTION("""COMPUTED_VALUE"""),"SC")</f>
        <v>SC</v>
      </c>
      <c r="R435" s="5" t="str">
        <f ca="1">IFERROR(__xludf.DUMMYFUNCTION("""COMPUTED_VALUE"""),"High")</f>
        <v>High</v>
      </c>
      <c r="S435" s="5" t="str">
        <f ca="1">IFERROR(__xludf.DUMMYFUNCTION("""COMPUTED_VALUE"""),"Outside on School Property")</f>
        <v>Outside on School Property</v>
      </c>
      <c r="T435" s="5" t="str">
        <f ca="1">IFERROR(__xludf.DUMMYFUNCTION("""COMPUTED_VALUE"""),"Outside on School Property")</f>
        <v>Outside on School Property</v>
      </c>
      <c r="U435" s="5" t="str">
        <f ca="1">IFERROR(__xludf.DUMMYFUNCTION("""COMPUTED_VALUE"""),"No")</f>
        <v>No</v>
      </c>
      <c r="V435" s="5" t="str">
        <f ca="1">IFERROR(__xludf.DUMMYFUNCTION("""COMPUTED_VALUE"""),"Night")</f>
        <v>Night</v>
      </c>
      <c r="W435" s="5"/>
      <c r="X435" s="5">
        <f ca="1">IFERROR(__xludf.DUMMYFUNCTION("""COMPUTED_VALUE"""),1)</f>
        <v>1</v>
      </c>
      <c r="Y435" s="5" t="str">
        <f ca="1">IFERROR(__xludf.DUMMYFUNCTION("""COMPUTED_VALUE"""),"Multiple FFA goats and chickens shot")</f>
        <v>Multiple FFA goats and chickens shot</v>
      </c>
      <c r="Z435" s="5" t="str">
        <f ca="1">IFERROR(__xludf.DUMMYFUNCTION("""COMPUTED_VALUE"""),"An unknown shooter killed multiple Future Farmers of America goats and chickens being raised by students at the school.")</f>
        <v>An unknown shooter killed multiple Future Farmers of America goats and chickens being raised by students at the school.</v>
      </c>
      <c r="AA435" s="5"/>
      <c r="AB435" s="5"/>
      <c r="AC435" s="5"/>
      <c r="AD435" s="5" t="str">
        <f ca="1">IFERROR(__xludf.DUMMYFUNCTION("""COMPUTED_VALUE"""),"No")</f>
        <v>No</v>
      </c>
      <c r="AE435" s="5" t="str">
        <f ca="1">IFERROR(__xludf.DUMMYFUNCTION("""COMPUTED_VALUE"""),"No")</f>
        <v>No</v>
      </c>
      <c r="AF435" s="5" t="str">
        <f ca="1">IFERROR(__xludf.DUMMYFUNCTION("""COMPUTED_VALUE"""),"No")</f>
        <v>No</v>
      </c>
      <c r="AG435" s="5"/>
      <c r="AH435" s="5" t="str">
        <f ca="1">IFERROR(__xludf.DUMMYFUNCTION("""COMPUTED_VALUE"""),"No")</f>
        <v>No</v>
      </c>
      <c r="AI435" s="5" t="str">
        <f ca="1">IFERROR(__xludf.DUMMYFUNCTION("""COMPUTED_VALUE"""),"No")</f>
        <v>No</v>
      </c>
      <c r="AJ435" s="5" t="str">
        <f ca="1">IFERROR(__xludf.DUMMYFUNCTION("""COMPUTED_VALUE"""),"No")</f>
        <v>No</v>
      </c>
    </row>
    <row r="436" spans="1:36" ht="13">
      <c r="A436" s="5" t="str">
        <f ca="1">IFERROR(__xludf.DUMMYFUNCTION("""COMPUTED_VALUE"""),"20211102NMHIH")</f>
        <v>20211102NMHIH</v>
      </c>
      <c r="B436" s="5">
        <f ca="1">IFERROR(__xludf.DUMMYFUNCTION("""COMPUTED_VALUE"""),11)</f>
        <v>11</v>
      </c>
      <c r="C436" s="5">
        <f ca="1">IFERROR(__xludf.DUMMYFUNCTION("""COMPUTED_VALUE"""),2)</f>
        <v>2</v>
      </c>
      <c r="D436" s="5">
        <f ca="1">IFERROR(__xludf.DUMMYFUNCTION("""COMPUTED_VALUE"""),2021)</f>
        <v>2021</v>
      </c>
      <c r="E436" s="8">
        <f ca="1">IFERROR(__xludf.DUMMYFUNCTION("""COMPUTED_VALUE"""),44502)</f>
        <v>44502</v>
      </c>
      <c r="F436" s="5" t="str">
        <f ca="1">IFERROR(__xludf.DUMMYFUNCTION("""COMPUTED_VALUE"""),"Highland Middle School")</f>
        <v>Highland Middle School</v>
      </c>
      <c r="G436" s="5">
        <f ca="1">IFERROR(__xludf.DUMMYFUNCTION("""COMPUTED_VALUE"""),0)</f>
        <v>0</v>
      </c>
      <c r="H436" s="5">
        <f ca="1">IFERROR(__xludf.DUMMYFUNCTION("""COMPUTED_VALUE"""),3)</f>
        <v>3</v>
      </c>
      <c r="I436" s="5">
        <f ca="1">IFERROR(__xludf.DUMMYFUNCTION("""COMPUTED_VALUE"""),3)</f>
        <v>3</v>
      </c>
      <c r="J436" s="5">
        <f ca="1">IFERROR(__xludf.DUMMYFUNCTION("""COMPUTED_VALUE"""),0)</f>
        <v>0</v>
      </c>
      <c r="K436" s="5" t="str">
        <f ca="1">IFERROR(__xludf.DUMMYFUNCTION("""COMPUTED_VALUE"""),"https://www.hobbsnews.com/2021/12/04/juvenile-arrested-in-middle-school-shooting/ https://www.krqe.com/news/crime/hobbs-woman-2-juveniles-facing-charges-after-pellet-gun-shot-toward-school/")</f>
        <v>https://www.hobbsnews.com/2021/12/04/juvenile-arrested-in-middle-school-shooting/ https://www.krqe.com/news/crime/hobbs-woman-2-juveniles-facing-charges-after-pellet-gun-shot-toward-school/</v>
      </c>
      <c r="L436" s="5">
        <f ca="1">IFERROR(__xludf.DUMMYFUNCTION("""COMPUTED_VALUE"""),2)</f>
        <v>2</v>
      </c>
      <c r="M436" s="5" t="str">
        <f ca="1">IFERROR(__xludf.DUMMYFUNCTION("""COMPUTED_VALUE"""),"Local")</f>
        <v>Local</v>
      </c>
      <c r="N436" s="5">
        <f ca="1">IFERROR(__xludf.DUMMYFUNCTION("""COMPUTED_VALUE"""),4)</f>
        <v>4</v>
      </c>
      <c r="O436" s="5" t="str">
        <f ca="1">IFERROR(__xludf.DUMMYFUNCTION("""COMPUTED_VALUE"""),"Fall")</f>
        <v>Fall</v>
      </c>
      <c r="P436" s="5" t="str">
        <f ca="1">IFERROR(__xludf.DUMMYFUNCTION("""COMPUTED_VALUE"""),"Hobbs")</f>
        <v>Hobbs</v>
      </c>
      <c r="Q436" s="5" t="str">
        <f ca="1">IFERROR(__xludf.DUMMYFUNCTION("""COMPUTED_VALUE"""),"NM")</f>
        <v>NM</v>
      </c>
      <c r="R436" s="5" t="str">
        <f ca="1">IFERROR(__xludf.DUMMYFUNCTION("""COMPUTED_VALUE"""),"Middle")</f>
        <v>Middle</v>
      </c>
      <c r="S436" s="5" t="str">
        <f ca="1">IFERROR(__xludf.DUMMYFUNCTION("""COMPUTED_VALUE"""),"Parking Lot")</f>
        <v>Parking Lot</v>
      </c>
      <c r="T436" s="5" t="str">
        <f ca="1">IFERROR(__xludf.DUMMYFUNCTION("""COMPUTED_VALUE"""),"Outside on School Property")</f>
        <v>Outside on School Property</v>
      </c>
      <c r="U436" s="5" t="str">
        <f ca="1">IFERROR(__xludf.DUMMYFUNCTION("""COMPUTED_VALUE"""),"Yes")</f>
        <v>Yes</v>
      </c>
      <c r="V436" s="5" t="str">
        <f ca="1">IFERROR(__xludf.DUMMYFUNCTION("""COMPUTED_VALUE"""),"Dismissal")</f>
        <v>Dismissal</v>
      </c>
      <c r="W436" s="10">
        <f ca="1">IFERROR(__xludf.DUMMYFUNCTION("""COMPUTED_VALUE"""),0.625)</f>
        <v>0.625</v>
      </c>
      <c r="X436" s="5">
        <f ca="1">IFERROR(__xludf.DUMMYFUNCTION("""COMPUTED_VALUE"""),1)</f>
        <v>1</v>
      </c>
      <c r="Y436" s="5" t="str">
        <f ca="1">IFERROR(__xludf.DUMMYFUNCTION("""COMPUTED_VALUE"""),"12-year-old and friend shot at students outside the school with BB gun")</f>
        <v>12-year-old and friend shot at students outside the school with BB gun</v>
      </c>
      <c r="Z436" s="5" t="str">
        <f ca="1">IFERROR(__xludf.DUMMYFUNCTION("""COMPUTED_VALUE"""),"A 12-year-old male and his friend fired a BB rifle from an apartment building at students outside of the school across the street. Three students reported injuries. One student required surgery to remove a BB from his scalp. Both children charged as minor"&amp;"s with aggravated battery. Mother charged with felon in possession of a firearm, three counts of child abuse and contributing to a delinquency of a minor.")</f>
        <v>A 12-year-old male and his friend fired a BB rifle from an apartment building at students outside of the school across the street. Three students reported injuries. One student required surgery to remove a BB from his scalp. Both children charged as minors with aggravated battery. Mother charged with felon in possession of a firearm, three counts of child abuse and contributing to a delinquency of a minor.</v>
      </c>
      <c r="AA436" s="5" t="str">
        <f ca="1">IFERROR(__xludf.DUMMYFUNCTION("""COMPUTED_VALUE"""),"Indiscriminate Shooting")</f>
        <v>Indiscriminate Shooting</v>
      </c>
      <c r="AB436" s="5" t="str">
        <f ca="1">IFERROR(__xludf.DUMMYFUNCTION("""COMPUTED_VALUE"""),"Random Shooting")</f>
        <v>Random Shooting</v>
      </c>
      <c r="AC436" s="5" t="str">
        <f ca="1">IFERROR(__xludf.DUMMYFUNCTION("""COMPUTED_VALUE"""),"Yes")</f>
        <v>Yes</v>
      </c>
      <c r="AD436" s="5" t="str">
        <f ca="1">IFERROR(__xludf.DUMMYFUNCTION("""COMPUTED_VALUE"""),"No")</f>
        <v>No</v>
      </c>
      <c r="AE436" s="5" t="str">
        <f ca="1">IFERROR(__xludf.DUMMYFUNCTION("""COMPUTED_VALUE"""),"No")</f>
        <v>No</v>
      </c>
      <c r="AF436" s="5" t="str">
        <f ca="1">IFERROR(__xludf.DUMMYFUNCTION("""COMPUTED_VALUE"""),"No")</f>
        <v>No</v>
      </c>
      <c r="AG436" s="5" t="str">
        <f ca="1">IFERROR(__xludf.DUMMYFUNCTION("""COMPUTED_VALUE"""),"No")</f>
        <v>No</v>
      </c>
      <c r="AH436" s="5" t="str">
        <f ca="1">IFERROR(__xludf.DUMMYFUNCTION("""COMPUTED_VALUE"""),"No")</f>
        <v>No</v>
      </c>
      <c r="AI436" s="5" t="str">
        <f ca="1">IFERROR(__xludf.DUMMYFUNCTION("""COMPUTED_VALUE"""),"No")</f>
        <v>No</v>
      </c>
      <c r="AJ436" s="5" t="str">
        <f ca="1">IFERROR(__xludf.DUMMYFUNCTION("""COMPUTED_VALUE"""),"No")</f>
        <v>No</v>
      </c>
    </row>
    <row r="437" spans="1:36" ht="13">
      <c r="A437" s="5" t="str">
        <f ca="1">IFERROR(__xludf.DUMMYFUNCTION("""COMPUTED_VALUE"""),"20211030PASTM")</f>
        <v>20211030PASTM</v>
      </c>
      <c r="B437" s="5">
        <f ca="1">IFERROR(__xludf.DUMMYFUNCTION("""COMPUTED_VALUE"""),10)</f>
        <v>10</v>
      </c>
      <c r="C437" s="5">
        <f ca="1">IFERROR(__xludf.DUMMYFUNCTION("""COMPUTED_VALUE"""),30)</f>
        <v>30</v>
      </c>
      <c r="D437" s="5">
        <f ca="1">IFERROR(__xludf.DUMMYFUNCTION("""COMPUTED_VALUE"""),2021)</f>
        <v>2021</v>
      </c>
      <c r="E437" s="8">
        <f ca="1">IFERROR(__xludf.DUMMYFUNCTION("""COMPUTED_VALUE"""),44499)</f>
        <v>44499</v>
      </c>
      <c r="F437" s="5" t="str">
        <f ca="1">IFERROR(__xludf.DUMMYFUNCTION("""COMPUTED_VALUE"""),"Sto Rox High School")</f>
        <v>Sto Rox High School</v>
      </c>
      <c r="G437" s="5">
        <f ca="1">IFERROR(__xludf.DUMMYFUNCTION("""COMPUTED_VALUE"""),0)</f>
        <v>0</v>
      </c>
      <c r="H437" s="5">
        <f ca="1">IFERROR(__xludf.DUMMYFUNCTION("""COMPUTED_VALUE"""),1)</f>
        <v>1</v>
      </c>
      <c r="I437" s="5">
        <f ca="1">IFERROR(__xludf.DUMMYFUNCTION("""COMPUTED_VALUE"""),1)</f>
        <v>1</v>
      </c>
      <c r="J437" s="5">
        <f ca="1">IFERROR(__xludf.DUMMYFUNCTION("""COMPUTED_VALUE"""),0)</f>
        <v>0</v>
      </c>
      <c r="K437" s="5" t="str">
        <f ca="1">IFERROR(__xludf.DUMMYFUNCTION("""COMPUTED_VALUE"""),"https://www.wpxi.com/news/top-stories/1-man-transported-hospital-after-shooting-near-sto-rox-high-school/7RGTLISA6NCY3PTUBBKFYZCTJA/ https://www.wtae.com/article/one-injured-after-shooting-near-sto-rox-junior-senior-high-school/38114320# https://pittsburg"&amp;"h.cbslocal.com/2021/10/30/shooting-near-sto-rox-high-school-football-stadium-sends-1-person-to-hospital/")</f>
        <v>https://www.wpxi.com/news/top-stories/1-man-transported-hospital-after-shooting-near-sto-rox-high-school/7RGTLISA6NCY3PTUBBKFYZCTJA/ https://www.wtae.com/article/one-injured-after-shooting-near-sto-rox-junior-senior-high-school/38114320# https://pittsburgh.cbslocal.com/2021/10/30/shooting-near-sto-rox-high-school-football-stadium-sends-1-person-to-hospital/</v>
      </c>
      <c r="L437" s="5">
        <f ca="1">IFERROR(__xludf.DUMMYFUNCTION("""COMPUTED_VALUE"""),5)</f>
        <v>5</v>
      </c>
      <c r="M437" s="5" t="str">
        <f ca="1">IFERROR(__xludf.DUMMYFUNCTION("""COMPUTED_VALUE"""),"Regional")</f>
        <v>Regional</v>
      </c>
      <c r="N437" s="5">
        <f ca="1">IFERROR(__xludf.DUMMYFUNCTION("""COMPUTED_VALUE"""),4)</f>
        <v>4</v>
      </c>
      <c r="O437" s="5" t="str">
        <f ca="1">IFERROR(__xludf.DUMMYFUNCTION("""COMPUTED_VALUE"""),"Fall")</f>
        <v>Fall</v>
      </c>
      <c r="P437" s="5" t="str">
        <f ca="1">IFERROR(__xludf.DUMMYFUNCTION("""COMPUTED_VALUE"""),"McKees Rock")</f>
        <v>McKees Rock</v>
      </c>
      <c r="Q437" s="5" t="str">
        <f ca="1">IFERROR(__xludf.DUMMYFUNCTION("""COMPUTED_VALUE"""),"PA")</f>
        <v>PA</v>
      </c>
      <c r="R437" s="5" t="str">
        <f ca="1">IFERROR(__xludf.DUMMYFUNCTION("""COMPUTED_VALUE"""),"High")</f>
        <v>High</v>
      </c>
      <c r="S437" s="5" t="str">
        <f ca="1">IFERROR(__xludf.DUMMYFUNCTION("""COMPUTED_VALUE"""),"Parking Lot")</f>
        <v>Parking Lot</v>
      </c>
      <c r="T437" s="5" t="str">
        <f ca="1">IFERROR(__xludf.DUMMYFUNCTION("""COMPUTED_VALUE"""),"Outside on School Property")</f>
        <v>Outside on School Property</v>
      </c>
      <c r="U437" s="5" t="str">
        <f ca="1">IFERROR(__xludf.DUMMYFUNCTION("""COMPUTED_VALUE"""),"No")</f>
        <v>No</v>
      </c>
      <c r="V437" s="5" t="str">
        <f ca="1">IFERROR(__xludf.DUMMYFUNCTION("""COMPUTED_VALUE"""),"Sport Event")</f>
        <v>Sport Event</v>
      </c>
      <c r="W437" s="10">
        <f ca="1">IFERROR(__xludf.DUMMYFUNCTION("""COMPUTED_VALUE"""),0.697916666666666)</f>
        <v>0.69791666666666596</v>
      </c>
      <c r="X437" s="5">
        <f ca="1">IFERROR(__xludf.DUMMYFUNCTION("""COMPUTED_VALUE"""),1)</f>
        <v>1</v>
      </c>
      <c r="Y437" s="5" t="str">
        <f ca="1">IFERROR(__xludf.DUMMYFUNCTION("""COMPUTED_VALUE"""),"Man shot outside football stadium during dispute over parking")</f>
        <v>Man shot outside football stadium during dispute over parking</v>
      </c>
      <c r="Z437" s="5" t="str">
        <f ca="1">IFERROR(__xludf.DUMMYFUNCTION("""COMPUTED_VALUE"""),"An adult male was shot during a dispute over parking outside the football stadium. The little league super bowl was being held at the stadium. 10-12 shots were fired. Police evacuated fans inside the stadium. Remainder of the game was cancelled.")</f>
        <v>An adult male was shot during a dispute over parking outside the football stadium. The little league super bowl was being held at the stadium. 10-12 shots were fired. Police evacuated fans inside the stadium. Remainder of the game was cancelled.</v>
      </c>
      <c r="AA437" s="5" t="str">
        <f ca="1">IFERROR(__xludf.DUMMYFUNCTION("""COMPUTED_VALUE"""),"Escalation of Dispute")</f>
        <v>Escalation of Dispute</v>
      </c>
      <c r="AB437" s="5" t="str">
        <f ca="1">IFERROR(__xludf.DUMMYFUNCTION("""COMPUTED_VALUE"""),"Victims Targeted")</f>
        <v>Victims Targeted</v>
      </c>
      <c r="AC437" s="5" t="str">
        <f ca="1">IFERROR(__xludf.DUMMYFUNCTION("""COMPUTED_VALUE"""),"No")</f>
        <v>No</v>
      </c>
      <c r="AD437" s="5" t="str">
        <f ca="1">IFERROR(__xludf.DUMMYFUNCTION("""COMPUTED_VALUE"""),"No")</f>
        <v>No</v>
      </c>
      <c r="AE437" s="5" t="str">
        <f ca="1">IFERROR(__xludf.DUMMYFUNCTION("""COMPUTED_VALUE"""),"No")</f>
        <v>No</v>
      </c>
      <c r="AF437" s="5" t="str">
        <f ca="1">IFERROR(__xludf.DUMMYFUNCTION("""COMPUTED_VALUE"""),"No")</f>
        <v>No</v>
      </c>
      <c r="AG437" s="5" t="str">
        <f ca="1">IFERROR(__xludf.DUMMYFUNCTION("""COMPUTED_VALUE"""),"No")</f>
        <v>No</v>
      </c>
      <c r="AH437" s="5" t="str">
        <f ca="1">IFERROR(__xludf.DUMMYFUNCTION("""COMPUTED_VALUE"""),"No")</f>
        <v>No</v>
      </c>
      <c r="AI437" s="5" t="str">
        <f ca="1">IFERROR(__xludf.DUMMYFUNCTION("""COMPUTED_VALUE"""),"No")</f>
        <v>No</v>
      </c>
      <c r="AJ437" s="5" t="str">
        <f ca="1">IFERROR(__xludf.DUMMYFUNCTION("""COMPUTED_VALUE"""),"No")</f>
        <v>No</v>
      </c>
    </row>
    <row r="438" spans="1:36" ht="13">
      <c r="A438" s="5" t="str">
        <f ca="1">IFERROR(__xludf.DUMMYFUNCTION("""COMPUTED_VALUE"""),"20211027SCCAS")</f>
        <v>20211027SCCAS</v>
      </c>
      <c r="B438" s="5">
        <f ca="1">IFERROR(__xludf.DUMMYFUNCTION("""COMPUTED_VALUE"""),10)</f>
        <v>10</v>
      </c>
      <c r="C438" s="5">
        <f ca="1">IFERROR(__xludf.DUMMYFUNCTION("""COMPUTED_VALUE"""),27)</f>
        <v>27</v>
      </c>
      <c r="D438" s="5">
        <f ca="1">IFERROR(__xludf.DUMMYFUNCTION("""COMPUTED_VALUE"""),2021)</f>
        <v>2021</v>
      </c>
      <c r="E438" s="8">
        <f ca="1">IFERROR(__xludf.DUMMYFUNCTION("""COMPUTED_VALUE"""),44496)</f>
        <v>44496</v>
      </c>
      <c r="F438" s="5" t="str">
        <f ca="1">IFERROR(__xludf.DUMMYFUNCTION("""COMPUTED_VALUE"""),"Calhoun County High School")</f>
        <v>Calhoun County High School</v>
      </c>
      <c r="G438" s="5">
        <f ca="1">IFERROR(__xludf.DUMMYFUNCTION("""COMPUTED_VALUE"""),0)</f>
        <v>0</v>
      </c>
      <c r="H438" s="5">
        <f ca="1">IFERROR(__xludf.DUMMYFUNCTION("""COMPUTED_VALUE"""),0)</f>
        <v>0</v>
      </c>
      <c r="I438" s="5">
        <f ca="1">IFERROR(__xludf.DUMMYFUNCTION("""COMPUTED_VALUE"""),0)</f>
        <v>0</v>
      </c>
      <c r="J438" s="5">
        <f ca="1">IFERROR(__xludf.DUMMYFUNCTION("""COMPUTED_VALUE"""),0)</f>
        <v>0</v>
      </c>
      <c r="K438" s="9" t="str">
        <f ca="1">IFERROR(__xludf.DUMMYFUNCTION("""COMPUTED_VALUE"""),"https://www.wltx.com/article/news/crime/calhoun-county-gunfire-teen-arrested/101-f7c8bca9-d90a-4583-a83e-0ceb27a6bd67")</f>
        <v>https://www.wltx.com/article/news/crime/calhoun-county-gunfire-teen-arrested/101-f7c8bca9-d90a-4583-a83e-0ceb27a6bd67</v>
      </c>
      <c r="L438" s="5">
        <f ca="1">IFERROR(__xludf.DUMMYFUNCTION("""COMPUTED_VALUE"""),1)</f>
        <v>1</v>
      </c>
      <c r="M438" s="5" t="str">
        <f ca="1">IFERROR(__xludf.DUMMYFUNCTION("""COMPUTED_VALUE"""),"Local")</f>
        <v>Local</v>
      </c>
      <c r="N438" s="5">
        <f ca="1">IFERROR(__xludf.DUMMYFUNCTION("""COMPUTED_VALUE"""),4)</f>
        <v>4</v>
      </c>
      <c r="O438" s="5" t="str">
        <f ca="1">IFERROR(__xludf.DUMMYFUNCTION("""COMPUTED_VALUE"""),"Fall")</f>
        <v>Fall</v>
      </c>
      <c r="P438" s="5" t="str">
        <f ca="1">IFERROR(__xludf.DUMMYFUNCTION("""COMPUTED_VALUE"""),"St. Matthews")</f>
        <v>St. Matthews</v>
      </c>
      <c r="Q438" s="5" t="str">
        <f ca="1">IFERROR(__xludf.DUMMYFUNCTION("""COMPUTED_VALUE"""),"SC")</f>
        <v>SC</v>
      </c>
      <c r="R438" s="5" t="str">
        <f ca="1">IFERROR(__xludf.DUMMYFUNCTION("""COMPUTED_VALUE"""),"High")</f>
        <v>High</v>
      </c>
      <c r="S438" s="5" t="str">
        <f ca="1">IFERROR(__xludf.DUMMYFUNCTION("""COMPUTED_VALUE"""),"Parking Lot")</f>
        <v>Parking Lot</v>
      </c>
      <c r="T438" s="5" t="str">
        <f ca="1">IFERROR(__xludf.DUMMYFUNCTION("""COMPUTED_VALUE"""),"Outside on School Property")</f>
        <v>Outside on School Property</v>
      </c>
      <c r="U438" s="5" t="str">
        <f ca="1">IFERROR(__xludf.DUMMYFUNCTION("""COMPUTED_VALUE"""),"No")</f>
        <v>No</v>
      </c>
      <c r="V438" s="5" t="str">
        <f ca="1">IFERROR(__xludf.DUMMYFUNCTION("""COMPUTED_VALUE"""),"Evening")</f>
        <v>Evening</v>
      </c>
      <c r="W438" s="10">
        <f ca="1">IFERROR(__xludf.DUMMYFUNCTION("""COMPUTED_VALUE"""),0.833333333333333)</f>
        <v>0.83333333333333304</v>
      </c>
      <c r="X438" s="5">
        <f ca="1">IFERROR(__xludf.DUMMYFUNCTION("""COMPUTED_VALUE"""),1)</f>
        <v>1</v>
      </c>
      <c r="Y438" s="5" t="str">
        <f ca="1">IFERROR(__xludf.DUMMYFUNCTION("""COMPUTED_VALUE"""),"Student fired shots during fight following football game")</f>
        <v>Student fired shots during fight following football game</v>
      </c>
      <c r="Z438" s="5" t="str">
        <f ca="1">IFERROR(__xludf.DUMMYFUNCTION("""COMPUTED_VALUE"""),"A 17-year-old student fired shots in the parking lot during a fight following a football game at the school. After the fight was broken up, the student went to his vehicle and retrieved a gun that he fired in the direction of multiple people involved in t"&amp;"he fight. No one was struck.")</f>
        <v>A 17-year-old student fired shots in the parking lot during a fight following a football game at the school. After the fight was broken up, the student went to his vehicle and retrieved a gun that he fired in the direction of multiple people involved in the fight. No one was struck.</v>
      </c>
      <c r="AA438" s="5" t="str">
        <f ca="1">IFERROR(__xludf.DUMMYFUNCTION("""COMPUTED_VALUE"""),"Escalation of Dispute")</f>
        <v>Escalation of Dispute</v>
      </c>
      <c r="AB438" s="5" t="str">
        <f ca="1">IFERROR(__xludf.DUMMYFUNCTION("""COMPUTED_VALUE"""),"Victims Targeted")</f>
        <v>Victims Targeted</v>
      </c>
      <c r="AC438" s="5" t="str">
        <f ca="1">IFERROR(__xludf.DUMMYFUNCTION("""COMPUTED_VALUE"""),"No")</f>
        <v>No</v>
      </c>
      <c r="AD438" s="5" t="str">
        <f ca="1">IFERROR(__xludf.DUMMYFUNCTION("""COMPUTED_VALUE"""),"No")</f>
        <v>No</v>
      </c>
      <c r="AE438" s="5" t="str">
        <f ca="1">IFERROR(__xludf.DUMMYFUNCTION("""COMPUTED_VALUE"""),"No")</f>
        <v>No</v>
      </c>
      <c r="AF438" s="5" t="str">
        <f ca="1">IFERROR(__xludf.DUMMYFUNCTION("""COMPUTED_VALUE"""),"No")</f>
        <v>No</v>
      </c>
      <c r="AG438" s="5" t="str">
        <f ca="1">IFERROR(__xludf.DUMMYFUNCTION("""COMPUTED_VALUE"""),"No")</f>
        <v>No</v>
      </c>
      <c r="AH438" s="5" t="str">
        <f ca="1">IFERROR(__xludf.DUMMYFUNCTION("""COMPUTED_VALUE"""),"No")</f>
        <v>No</v>
      </c>
      <c r="AI438" s="5"/>
      <c r="AJ438" s="5" t="str">
        <f ca="1">IFERROR(__xludf.DUMMYFUNCTION("""COMPUTED_VALUE"""),"No")</f>
        <v>No</v>
      </c>
    </row>
    <row r="439" spans="1:36" ht="13">
      <c r="A439" s="5" t="str">
        <f ca="1">IFERROR(__xludf.DUMMYFUNCTION("""COMPUTED_VALUE"""),"20211026ILWIC")</f>
        <v>20211026ILWIC</v>
      </c>
      <c r="B439" s="5">
        <f ca="1">IFERROR(__xludf.DUMMYFUNCTION("""COMPUTED_VALUE"""),10)</f>
        <v>10</v>
      </c>
      <c r="C439" s="5">
        <f ca="1">IFERROR(__xludf.DUMMYFUNCTION("""COMPUTED_VALUE"""),26)</f>
        <v>26</v>
      </c>
      <c r="D439" s="5">
        <f ca="1">IFERROR(__xludf.DUMMYFUNCTION("""COMPUTED_VALUE"""),2021)</f>
        <v>2021</v>
      </c>
      <c r="E439" s="8">
        <f ca="1">IFERROR(__xludf.DUMMYFUNCTION("""COMPUTED_VALUE"""),44495)</f>
        <v>44495</v>
      </c>
      <c r="F439" s="5" t="str">
        <f ca="1">IFERROR(__xludf.DUMMYFUNCTION("""COMPUTED_VALUE"""),"Jose de Diego Community Academy")</f>
        <v>Jose de Diego Community Academy</v>
      </c>
      <c r="G439" s="5">
        <f ca="1">IFERROR(__xludf.DUMMYFUNCTION("""COMPUTED_VALUE"""),0)</f>
        <v>0</v>
      </c>
      <c r="H439" s="5">
        <f ca="1">IFERROR(__xludf.DUMMYFUNCTION("""COMPUTED_VALUE"""),0)</f>
        <v>0</v>
      </c>
      <c r="I439" s="5">
        <f ca="1">IFERROR(__xludf.DUMMYFUNCTION("""COMPUTED_VALUE"""),0)</f>
        <v>0</v>
      </c>
      <c r="J439" s="5">
        <f ca="1">IFERROR(__xludf.DUMMYFUNCTION("""COMPUTED_VALUE"""),0)</f>
        <v>0</v>
      </c>
      <c r="K439" s="9" t="str">
        <f ca="1">IFERROR(__xludf.DUMMYFUNCTION("""COMPUTED_VALUE"""),"https://blockclubchicago.org/2021/10/26/shots-fired-during-fight-outside-west-town-school/")</f>
        <v>https://blockclubchicago.org/2021/10/26/shots-fired-during-fight-outside-west-town-school/</v>
      </c>
      <c r="L439" s="5">
        <f ca="1">IFERROR(__xludf.DUMMYFUNCTION("""COMPUTED_VALUE"""),1)</f>
        <v>1</v>
      </c>
      <c r="M439" s="5" t="str">
        <f ca="1">IFERROR(__xludf.DUMMYFUNCTION("""COMPUTED_VALUE"""),"Local")</f>
        <v>Local</v>
      </c>
      <c r="N439" s="5">
        <f ca="1">IFERROR(__xludf.DUMMYFUNCTION("""COMPUTED_VALUE"""),3)</f>
        <v>3</v>
      </c>
      <c r="O439" s="5"/>
      <c r="P439" s="5" t="str">
        <f ca="1">IFERROR(__xludf.DUMMYFUNCTION("""COMPUTED_VALUE"""),"Chicago")</f>
        <v>Chicago</v>
      </c>
      <c r="Q439" s="5" t="str">
        <f ca="1">IFERROR(__xludf.DUMMYFUNCTION("""COMPUTED_VALUE"""),"IL")</f>
        <v>IL</v>
      </c>
      <c r="R439" s="5" t="str">
        <f ca="1">IFERROR(__xludf.DUMMYFUNCTION("""COMPUTED_VALUE"""),"K-12")</f>
        <v>K-12</v>
      </c>
      <c r="S439" s="5" t="str">
        <f ca="1">IFERROR(__xludf.DUMMYFUNCTION("""COMPUTED_VALUE"""),"Front of School")</f>
        <v>Front of School</v>
      </c>
      <c r="T439" s="5" t="str">
        <f ca="1">IFERROR(__xludf.DUMMYFUNCTION("""COMPUTED_VALUE"""),"Outside on School Property")</f>
        <v>Outside on School Property</v>
      </c>
      <c r="U439" s="5" t="str">
        <f ca="1">IFERROR(__xludf.DUMMYFUNCTION("""COMPUTED_VALUE"""),"No")</f>
        <v>No</v>
      </c>
      <c r="V439" s="5" t="str">
        <f ca="1">IFERROR(__xludf.DUMMYFUNCTION("""COMPUTED_VALUE"""),"After School")</f>
        <v>After School</v>
      </c>
      <c r="W439" s="10">
        <f ca="1">IFERROR(__xludf.DUMMYFUNCTION("""COMPUTED_VALUE"""),0.656944444444444)</f>
        <v>0.656944444444444</v>
      </c>
      <c r="X439" s="5">
        <f ca="1">IFERROR(__xludf.DUMMYFUNCTION("""COMPUTED_VALUE"""),1)</f>
        <v>1</v>
      </c>
      <c r="Y439" s="5" t="str">
        <f ca="1">IFERROR(__xludf.DUMMYFUNCTION("""COMPUTED_VALUE"""),"Two shots fired during fight between two men")</f>
        <v>Two shots fired during fight between two men</v>
      </c>
      <c r="Z439" s="5" t="str">
        <f ca="1">IFERROR(__xludf.DUMMYFUNCTION("""COMPUTED_VALUE"""),"Two shots were fired in front of the school after students dismissed. Shooter fled. No one was struck by the gunshots. A man was hit with a baseball bat and refused treatment. A ""safe passage"" worker at the school witnessed the incident and called polic"&amp;"e.")</f>
        <v>Two shots were fired in front of the school after students dismissed. Shooter fled. No one was struck by the gunshots. A man was hit with a baseball bat and refused treatment. A "safe passage" worker at the school witnessed the incident and called police.</v>
      </c>
      <c r="AA439" s="5" t="str">
        <f ca="1">IFERROR(__xludf.DUMMYFUNCTION("""COMPUTED_VALUE"""),"Escalation of Dispute")</f>
        <v>Escalation of Dispute</v>
      </c>
      <c r="AB439" s="5" t="str">
        <f ca="1">IFERROR(__xludf.DUMMYFUNCTION("""COMPUTED_VALUE"""),"Victims Targeted")</f>
        <v>Victims Targeted</v>
      </c>
      <c r="AC439" s="5" t="str">
        <f ca="1">IFERROR(__xludf.DUMMYFUNCTION("""COMPUTED_VALUE"""),"No")</f>
        <v>No</v>
      </c>
      <c r="AD439" s="5" t="str">
        <f ca="1">IFERROR(__xludf.DUMMYFUNCTION("""COMPUTED_VALUE"""),"No")</f>
        <v>No</v>
      </c>
      <c r="AE439" s="5" t="str">
        <f ca="1">IFERROR(__xludf.DUMMYFUNCTION("""COMPUTED_VALUE"""),"No")</f>
        <v>No</v>
      </c>
      <c r="AF439" s="5" t="str">
        <f ca="1">IFERROR(__xludf.DUMMYFUNCTION("""COMPUTED_VALUE"""),"No")</f>
        <v>No</v>
      </c>
      <c r="AG439" s="5" t="str">
        <f ca="1">IFERROR(__xludf.DUMMYFUNCTION("""COMPUTED_VALUE"""),"No")</f>
        <v>No</v>
      </c>
      <c r="AH439" s="5" t="str">
        <f ca="1">IFERROR(__xludf.DUMMYFUNCTION("""COMPUTED_VALUE"""),"No")</f>
        <v>No</v>
      </c>
      <c r="AI439" s="5" t="str">
        <f ca="1">IFERROR(__xludf.DUMMYFUNCTION("""COMPUTED_VALUE"""),"No")</f>
        <v>No</v>
      </c>
      <c r="AJ439" s="5" t="str">
        <f ca="1">IFERROR(__xludf.DUMMYFUNCTION("""COMPUTED_VALUE"""),"No")</f>
        <v>No</v>
      </c>
    </row>
    <row r="440" spans="1:36" ht="13">
      <c r="A440" s="5" t="str">
        <f ca="1">IFERROR(__xludf.DUMMYFUNCTION("""COMPUTED_VALUE"""),"20211026MSCAN")</f>
        <v>20211026MSCAN</v>
      </c>
      <c r="B440" s="5">
        <f ca="1">IFERROR(__xludf.DUMMYFUNCTION("""COMPUTED_VALUE"""),10)</f>
        <v>10</v>
      </c>
      <c r="C440" s="5">
        <f ca="1">IFERROR(__xludf.DUMMYFUNCTION("""COMPUTED_VALUE"""),26)</f>
        <v>26</v>
      </c>
      <c r="D440" s="5">
        <f ca="1">IFERROR(__xludf.DUMMYFUNCTION("""COMPUTED_VALUE"""),2021)</f>
        <v>2021</v>
      </c>
      <c r="E440" s="8">
        <f ca="1">IFERROR(__xludf.DUMMYFUNCTION("""COMPUTED_VALUE"""),44495)</f>
        <v>44495</v>
      </c>
      <c r="F440" s="5" t="str">
        <f ca="1">IFERROR(__xludf.DUMMYFUNCTION("""COMPUTED_VALUE"""),"Cathedral School")</f>
        <v>Cathedral School</v>
      </c>
      <c r="G440" s="5">
        <f ca="1">IFERROR(__xludf.DUMMYFUNCTION("""COMPUTED_VALUE"""),0)</f>
        <v>0</v>
      </c>
      <c r="H440" s="5">
        <f ca="1">IFERROR(__xludf.DUMMYFUNCTION("""COMPUTED_VALUE"""),0)</f>
        <v>0</v>
      </c>
      <c r="I440" s="5">
        <f ca="1">IFERROR(__xludf.DUMMYFUNCTION("""COMPUTED_VALUE"""),0)</f>
        <v>0</v>
      </c>
      <c r="J440" s="5">
        <f ca="1">IFERROR(__xludf.DUMMYFUNCTION("""COMPUTED_VALUE"""),0)</f>
        <v>0</v>
      </c>
      <c r="K440" s="5" t="str">
        <f ca="1">IFERROR(__xludf.DUMMYFUNCTION("""COMPUTED_VALUE"""),"https://www.wjtv.com/news/local/shot-fired-into-cathedral-school-in-natchez-no-injuries-reported/ https://www.natchezdemocrat.com/2021/10/26/update-police-shooting-near-school-not-intentional/")</f>
        <v>https://www.wjtv.com/news/local/shot-fired-into-cathedral-school-in-natchez-no-injuries-reported/ https://www.natchezdemocrat.com/2021/10/26/update-police-shooting-near-school-not-intentional/</v>
      </c>
      <c r="L440" s="5">
        <f ca="1">IFERROR(__xludf.DUMMYFUNCTION("""COMPUTED_VALUE"""),2)</f>
        <v>2</v>
      </c>
      <c r="M440" s="5" t="str">
        <f ca="1">IFERROR(__xludf.DUMMYFUNCTION("""COMPUTED_VALUE"""),"Local")</f>
        <v>Local</v>
      </c>
      <c r="N440" s="5">
        <f ca="1">IFERROR(__xludf.DUMMYFUNCTION("""COMPUTED_VALUE"""),4)</f>
        <v>4</v>
      </c>
      <c r="O440" s="5" t="str">
        <f ca="1">IFERROR(__xludf.DUMMYFUNCTION("""COMPUTED_VALUE"""),"Fall")</f>
        <v>Fall</v>
      </c>
      <c r="P440" s="5" t="str">
        <f ca="1">IFERROR(__xludf.DUMMYFUNCTION("""COMPUTED_VALUE"""),"Natchez")</f>
        <v>Natchez</v>
      </c>
      <c r="Q440" s="5" t="str">
        <f ca="1">IFERROR(__xludf.DUMMYFUNCTION("""COMPUTED_VALUE"""),"MS")</f>
        <v>MS</v>
      </c>
      <c r="R440" s="5" t="str">
        <f ca="1">IFERROR(__xludf.DUMMYFUNCTION("""COMPUTED_VALUE"""),"K-12")</f>
        <v>K-12</v>
      </c>
      <c r="S440" s="5" t="str">
        <f ca="1">IFERROR(__xludf.DUMMYFUNCTION("""COMPUTED_VALUE"""),"Classroom")</f>
        <v>Classroom</v>
      </c>
      <c r="T440" s="5" t="str">
        <f ca="1">IFERROR(__xludf.DUMMYFUNCTION("""COMPUTED_VALUE"""),"Outside on School Property")</f>
        <v>Outside on School Property</v>
      </c>
      <c r="U440" s="5" t="str">
        <f ca="1">IFERROR(__xludf.DUMMYFUNCTION("""COMPUTED_VALUE"""),"Yes")</f>
        <v>Yes</v>
      </c>
      <c r="V440" s="5" t="str">
        <f ca="1">IFERROR(__xludf.DUMMYFUNCTION("""COMPUTED_VALUE"""),"Morning Classes")</f>
        <v>Morning Classes</v>
      </c>
      <c r="W440" s="10">
        <f ca="1">IFERROR(__xludf.DUMMYFUNCTION("""COMPUTED_VALUE"""),0.388888888888888)</f>
        <v>0.38888888888888801</v>
      </c>
      <c r="X440" s="5">
        <f ca="1">IFERROR(__xludf.DUMMYFUNCTION("""COMPUTED_VALUE"""),1)</f>
        <v>1</v>
      </c>
      <c r="Y440" s="5" t="str">
        <f ca="1">IFERROR(__xludf.DUMMYFUNCTION("""COMPUTED_VALUE"""),"Shot fired from shotgun broke occupied classroom window")</f>
        <v>Shot fired from shotgun broke occupied classroom window</v>
      </c>
      <c r="Z440" s="5" t="str">
        <f ca="1">IFERROR(__xludf.DUMMYFUNCTION("""COMPUTED_VALUE"""),"A shell fired from a shotgun broke an occupied classroom window. School went on lockdown. None of the students or staff in the classroom were injured. Police believe the shot was unintentional and fired away from the school.")</f>
        <v>A shell fired from a shotgun broke an occupied classroom window. School went on lockdown. None of the students or staff in the classroom were injured. Police believe the shot was unintentional and fired away from the school.</v>
      </c>
      <c r="AA440" s="5" t="str">
        <f ca="1">IFERROR(__xludf.DUMMYFUNCTION("""COMPUTED_VALUE"""),"Accidental")</f>
        <v>Accidental</v>
      </c>
      <c r="AB440" s="5" t="str">
        <f ca="1">IFERROR(__xludf.DUMMYFUNCTION("""COMPUTED_VALUE"""),"Neither")</f>
        <v>Neither</v>
      </c>
      <c r="AC440" s="5" t="str">
        <f ca="1">IFERROR(__xludf.DUMMYFUNCTION("""COMPUTED_VALUE"""),"No")</f>
        <v>No</v>
      </c>
      <c r="AD440" s="5" t="str">
        <f ca="1">IFERROR(__xludf.DUMMYFUNCTION("""COMPUTED_VALUE"""),"No")</f>
        <v>No</v>
      </c>
      <c r="AE440" s="5" t="str">
        <f ca="1">IFERROR(__xludf.DUMMYFUNCTION("""COMPUTED_VALUE"""),"No")</f>
        <v>No</v>
      </c>
      <c r="AF440" s="5" t="str">
        <f ca="1">IFERROR(__xludf.DUMMYFUNCTION("""COMPUTED_VALUE"""),"No")</f>
        <v>No</v>
      </c>
      <c r="AG440" s="5" t="str">
        <f ca="1">IFERROR(__xludf.DUMMYFUNCTION("""COMPUTED_VALUE"""),"No")</f>
        <v>No</v>
      </c>
      <c r="AH440" s="5" t="str">
        <f ca="1">IFERROR(__xludf.DUMMYFUNCTION("""COMPUTED_VALUE"""),"No")</f>
        <v>No</v>
      </c>
      <c r="AI440" s="5" t="str">
        <f ca="1">IFERROR(__xludf.DUMMYFUNCTION("""COMPUTED_VALUE"""),"No")</f>
        <v>No</v>
      </c>
      <c r="AJ440" s="5" t="str">
        <f ca="1">IFERROR(__xludf.DUMMYFUNCTION("""COMPUTED_VALUE"""),"No")</f>
        <v>No</v>
      </c>
    </row>
    <row r="441" spans="1:36" ht="13">
      <c r="A441" s="5" t="str">
        <f ca="1">IFERROR(__xludf.DUMMYFUNCTION("""COMPUTED_VALUE"""),"20211022PAPHP")</f>
        <v>20211022PAPHP</v>
      </c>
      <c r="B441" s="5">
        <f ca="1">IFERROR(__xludf.DUMMYFUNCTION("""COMPUTED_VALUE"""),10)</f>
        <v>10</v>
      </c>
      <c r="C441" s="5">
        <f ca="1">IFERROR(__xludf.DUMMYFUNCTION("""COMPUTED_VALUE"""),22)</f>
        <v>22</v>
      </c>
      <c r="D441" s="5">
        <f ca="1">IFERROR(__xludf.DUMMYFUNCTION("""COMPUTED_VALUE"""),2021)</f>
        <v>2021</v>
      </c>
      <c r="E441" s="8">
        <f ca="1">IFERROR(__xludf.DUMMYFUNCTION("""COMPUTED_VALUE"""),44491)</f>
        <v>44491</v>
      </c>
      <c r="F441" s="5" t="str">
        <f ca="1">IFERROR(__xludf.DUMMYFUNCTION("""COMPUTED_VALUE"""),"Philadelphia Learning Academy South")</f>
        <v>Philadelphia Learning Academy South</v>
      </c>
      <c r="G441" s="5">
        <f ca="1">IFERROR(__xludf.DUMMYFUNCTION("""COMPUTED_VALUE"""),0)</f>
        <v>0</v>
      </c>
      <c r="H441" s="5">
        <f ca="1">IFERROR(__xludf.DUMMYFUNCTION("""COMPUTED_VALUE"""),0)</f>
        <v>0</v>
      </c>
      <c r="I441" s="5">
        <f ca="1">IFERROR(__xludf.DUMMYFUNCTION("""COMPUTED_VALUE"""),0)</f>
        <v>0</v>
      </c>
      <c r="J441" s="5">
        <f ca="1">IFERROR(__xludf.DUMMYFUNCTION("""COMPUTED_VALUE"""),0)</f>
        <v>0</v>
      </c>
      <c r="K441" s="5" t="str">
        <f ca="1">IFERROR(__xludf.DUMMYFUNCTION("""COMPUTED_VALUE"""),"https://philadelphia.cbslocal.com/2021/10/22/student-self-inflicted-gunshot-wound-philadelphia-learning-academy/ https://6abc.com/philadelphia-learning-academy-south-west-shooting-teen-shoots-self-in-school-shot-fired/11155849/ https://www.nbcphiladelphia"&amp;".com/news/local/student-shoots-self-in-leg-in-west-philadelphia-school/3008430/")</f>
        <v>https://philadelphia.cbslocal.com/2021/10/22/student-self-inflicted-gunshot-wound-philadelphia-learning-academy/ https://6abc.com/philadelphia-learning-academy-south-west-shooting-teen-shoots-self-in-school-shot-fired/11155849/ https://www.nbcphiladelphia.com/news/local/student-shoots-self-in-leg-in-west-philadelphia-school/3008430/</v>
      </c>
      <c r="L441" s="5">
        <f ca="1">IFERROR(__xludf.DUMMYFUNCTION("""COMPUTED_VALUE"""),10)</f>
        <v>10</v>
      </c>
      <c r="M441" s="5" t="str">
        <f ca="1">IFERROR(__xludf.DUMMYFUNCTION("""COMPUTED_VALUE"""),"Local")</f>
        <v>Local</v>
      </c>
      <c r="N441" s="5">
        <f ca="1">IFERROR(__xludf.DUMMYFUNCTION("""COMPUTED_VALUE"""),4)</f>
        <v>4</v>
      </c>
      <c r="O441" s="5" t="str">
        <f ca="1">IFERROR(__xludf.DUMMYFUNCTION("""COMPUTED_VALUE"""),"Fall")</f>
        <v>Fall</v>
      </c>
      <c r="P441" s="5" t="str">
        <f ca="1">IFERROR(__xludf.DUMMYFUNCTION("""COMPUTED_VALUE"""),"Philadelphia")</f>
        <v>Philadelphia</v>
      </c>
      <c r="Q441" s="5" t="str">
        <f ca="1">IFERROR(__xludf.DUMMYFUNCTION("""COMPUTED_VALUE"""),"PA")</f>
        <v>PA</v>
      </c>
      <c r="R441" s="5" t="str">
        <f ca="1">IFERROR(__xludf.DUMMYFUNCTION("""COMPUTED_VALUE"""),"High")</f>
        <v>High</v>
      </c>
      <c r="S441" s="5" t="str">
        <f ca="1">IFERROR(__xludf.DUMMYFUNCTION("""COMPUTED_VALUE"""),"Gym")</f>
        <v>Gym</v>
      </c>
      <c r="T441" s="5" t="str">
        <f ca="1">IFERROR(__xludf.DUMMYFUNCTION("""COMPUTED_VALUE"""),"Inside School Building")</f>
        <v>Inside School Building</v>
      </c>
      <c r="U441" s="5" t="str">
        <f ca="1">IFERROR(__xludf.DUMMYFUNCTION("""COMPUTED_VALUE"""),"Yes")</f>
        <v>Yes</v>
      </c>
      <c r="V441" s="5" t="str">
        <f ca="1">IFERROR(__xludf.DUMMYFUNCTION("""COMPUTED_VALUE"""),"Afternoon Classes")</f>
        <v>Afternoon Classes</v>
      </c>
      <c r="W441" s="10">
        <f ca="1">IFERROR(__xludf.DUMMYFUNCTION("""COMPUTED_VALUE"""),0.541666666666666)</f>
        <v>0.54166666666666596</v>
      </c>
      <c r="X441" s="5">
        <f ca="1">IFERROR(__xludf.DUMMYFUNCTION("""COMPUTED_VALUE"""),1)</f>
        <v>1</v>
      </c>
      <c r="Y441" s="5" t="str">
        <f ca="1">IFERROR(__xludf.DUMMYFUNCTION("""COMPUTED_VALUE"""),"Student shot himself in the leg in the gym")</f>
        <v>Student shot himself in the leg in the gym</v>
      </c>
      <c r="Z441" s="5" t="str">
        <f ca="1">IFERROR(__xludf.DUMMYFUNCTION("""COMPUTED_VALUE"""),"An 18-year-old student shot himself in the leg inside the gym. 30 students were present at the time of the shooting. Unclear of the circumstances that lead up to the shooting. Police responded for an active shooter and searched the school for the weapon. "&amp;"The weapon was located off campus, unclear who took the the weapon there. The student who shot himself was transported to the hospital. The school has metal detectors. Police believe the student's ankle monitor activated the metal detector and then staff "&amp;"did not search him for a weapon.")</f>
        <v>An 18-year-old student shot himself in the leg inside the gym. 30 students were present at the time of the shooting. Unclear of the circumstances that lead up to the shooting. Police responded for an active shooter and searched the school for the weapon. The weapon was located off campus, unclear who took the the weapon there. The student who shot himself was transported to the hospital. The school has metal detectors. Police believe the student's ankle monitor activated the metal detector and then staff did not search him for a weapon.</v>
      </c>
      <c r="AA441" s="5" t="str">
        <f ca="1">IFERROR(__xludf.DUMMYFUNCTION("""COMPUTED_VALUE"""),"Accidental")</f>
        <v>Accidental</v>
      </c>
      <c r="AB441" s="5" t="str">
        <f ca="1">IFERROR(__xludf.DUMMYFUNCTION("""COMPUTED_VALUE"""),"Neither")</f>
        <v>Neither</v>
      </c>
      <c r="AC441" s="5" t="str">
        <f ca="1">IFERROR(__xludf.DUMMYFUNCTION("""COMPUTED_VALUE"""),"Yes")</f>
        <v>Yes</v>
      </c>
      <c r="AD441" s="5" t="str">
        <f ca="1">IFERROR(__xludf.DUMMYFUNCTION("""COMPUTED_VALUE"""),"No")</f>
        <v>No</v>
      </c>
      <c r="AE441" s="5" t="str">
        <f ca="1">IFERROR(__xludf.DUMMYFUNCTION("""COMPUTED_VALUE"""),"No")</f>
        <v>No</v>
      </c>
      <c r="AF441" s="5" t="str">
        <f ca="1">IFERROR(__xludf.DUMMYFUNCTION("""COMPUTED_VALUE"""),"No")</f>
        <v>No</v>
      </c>
      <c r="AG441" s="5" t="str">
        <f ca="1">IFERROR(__xludf.DUMMYFUNCTION("""COMPUTED_VALUE"""),"No")</f>
        <v>No</v>
      </c>
      <c r="AH441" s="5" t="str">
        <f ca="1">IFERROR(__xludf.DUMMYFUNCTION("""COMPUTED_VALUE"""),"No")</f>
        <v>No</v>
      </c>
      <c r="AI441" s="5"/>
      <c r="AJ441" s="5" t="str">
        <f ca="1">IFERROR(__xludf.DUMMYFUNCTION("""COMPUTED_VALUE"""),"No")</f>
        <v>No</v>
      </c>
    </row>
    <row r="442" spans="1:36" ht="13">
      <c r="A442" s="5" t="str">
        <f ca="1">IFERROR(__xludf.DUMMYFUNCTION("""COMPUTED_VALUE"""),"20211021NYPSB")</f>
        <v>20211021NYPSB</v>
      </c>
      <c r="B442" s="5">
        <f ca="1">IFERROR(__xludf.DUMMYFUNCTION("""COMPUTED_VALUE"""),10)</f>
        <v>10</v>
      </c>
      <c r="C442" s="5">
        <f ca="1">IFERROR(__xludf.DUMMYFUNCTION("""COMPUTED_VALUE"""),21)</f>
        <v>21</v>
      </c>
      <c r="D442" s="5">
        <f ca="1">IFERROR(__xludf.DUMMYFUNCTION("""COMPUTED_VALUE"""),2021)</f>
        <v>2021</v>
      </c>
      <c r="E442" s="8">
        <f ca="1">IFERROR(__xludf.DUMMYFUNCTION("""COMPUTED_VALUE"""),44490)</f>
        <v>44490</v>
      </c>
      <c r="F442" s="5" t="str">
        <f ca="1">IFERROR(__xludf.DUMMYFUNCTION("""COMPUTED_VALUE"""),"P. S. 65 Mother Hale Academy")</f>
        <v>P. S. 65 Mother Hale Academy</v>
      </c>
      <c r="G442" s="5">
        <f ca="1">IFERROR(__xludf.DUMMYFUNCTION("""COMPUTED_VALUE"""),0)</f>
        <v>0</v>
      </c>
      <c r="H442" s="5">
        <f ca="1">IFERROR(__xludf.DUMMYFUNCTION("""COMPUTED_VALUE"""),1)</f>
        <v>1</v>
      </c>
      <c r="I442" s="5">
        <f ca="1">IFERROR(__xludf.DUMMYFUNCTION("""COMPUTED_VALUE"""),1)</f>
        <v>1</v>
      </c>
      <c r="J442" s="5">
        <f ca="1">IFERROR(__xludf.DUMMYFUNCTION("""COMPUTED_VALUE"""),0)</f>
        <v>0</v>
      </c>
      <c r="K442" s="5" t="str">
        <f ca="1">IFERROR(__xludf.DUMMYFUNCTION("""COMPUTED_VALUE"""),"https://www.yahoo.com/now/eyewitness-news-afternoon-204846961.html https://abc7ny.com/new-york-city-bronx-the-school-shooting/11152403/ https://newyork.cbslocal.com/2021/10/21/shooting-near-bronx-school-mott-haven/")</f>
        <v>https://www.yahoo.com/now/eyewitness-news-afternoon-204846961.html https://abc7ny.com/new-york-city-bronx-the-school-shooting/11152403/ https://newyork.cbslocal.com/2021/10/21/shooting-near-bronx-school-mott-haven/</v>
      </c>
      <c r="L442" s="5">
        <f ca="1">IFERROR(__xludf.DUMMYFUNCTION("""COMPUTED_VALUE"""),3)</f>
        <v>3</v>
      </c>
      <c r="M442" s="5" t="str">
        <f ca="1">IFERROR(__xludf.DUMMYFUNCTION("""COMPUTED_VALUE"""),"Local")</f>
        <v>Local</v>
      </c>
      <c r="N442" s="5">
        <f ca="1">IFERROR(__xludf.DUMMYFUNCTION("""COMPUTED_VALUE"""),3)</f>
        <v>3</v>
      </c>
      <c r="O442" s="5" t="str">
        <f ca="1">IFERROR(__xludf.DUMMYFUNCTION("""COMPUTED_VALUE"""),"Fall")</f>
        <v>Fall</v>
      </c>
      <c r="P442" s="5" t="str">
        <f ca="1">IFERROR(__xludf.DUMMYFUNCTION("""COMPUTED_VALUE"""),"Bronx")</f>
        <v>Bronx</v>
      </c>
      <c r="Q442" s="5" t="str">
        <f ca="1">IFERROR(__xludf.DUMMYFUNCTION("""COMPUTED_VALUE"""),"NY")</f>
        <v>NY</v>
      </c>
      <c r="R442" s="5" t="str">
        <f ca="1">IFERROR(__xludf.DUMMYFUNCTION("""COMPUTED_VALUE"""),"Elementary")</f>
        <v>Elementary</v>
      </c>
      <c r="S442" s="5" t="str">
        <f ca="1">IFERROR(__xludf.DUMMYFUNCTION("""COMPUTED_VALUE"""),"Beside Building")</f>
        <v>Beside Building</v>
      </c>
      <c r="T442" s="5" t="str">
        <f ca="1">IFERROR(__xludf.DUMMYFUNCTION("""COMPUTED_VALUE"""),"Outside on School Property")</f>
        <v>Outside on School Property</v>
      </c>
      <c r="U442" s="5" t="str">
        <f ca="1">IFERROR(__xludf.DUMMYFUNCTION("""COMPUTED_VALUE"""),"Yes")</f>
        <v>Yes</v>
      </c>
      <c r="V442" s="5" t="str">
        <f ca="1">IFERROR(__xludf.DUMMYFUNCTION("""COMPUTED_VALUE"""),"Dismissal")</f>
        <v>Dismissal</v>
      </c>
      <c r="W442" s="10">
        <f ca="1">IFERROR(__xludf.DUMMYFUNCTION("""COMPUTED_VALUE"""),0.583333333333333)</f>
        <v>0.58333333333333304</v>
      </c>
      <c r="X442" s="5">
        <f ca="1">IFERROR(__xludf.DUMMYFUNCTION("""COMPUTED_VALUE"""),1)</f>
        <v>1</v>
      </c>
      <c r="Y442" s="5" t="str">
        <f ca="1">IFERROR(__xludf.DUMMYFUNCTION("""COMPUTED_VALUE"""),"Shot fired during argument between two men")</f>
        <v>Shot fired during argument between two men</v>
      </c>
      <c r="Z442" s="5" t="str">
        <f ca="1">IFERROR(__xludf.DUMMYFUNCTION("""COMPUTED_VALUE"""),"Man was shot in the leg outside of the school during an argument between two men. Students were dismissing when the shooting occurred. Shooter fled and was arrested a few blocks away.")</f>
        <v>Man was shot in the leg outside of the school during an argument between two men. Students were dismissing when the shooting occurred. Shooter fled and was arrested a few blocks away.</v>
      </c>
      <c r="AA442" s="5" t="str">
        <f ca="1">IFERROR(__xludf.DUMMYFUNCTION("""COMPUTED_VALUE"""),"Escalation of Dispute")</f>
        <v>Escalation of Dispute</v>
      </c>
      <c r="AB442" s="5" t="str">
        <f ca="1">IFERROR(__xludf.DUMMYFUNCTION("""COMPUTED_VALUE"""),"Victims Targeted")</f>
        <v>Victims Targeted</v>
      </c>
      <c r="AC442" s="5" t="str">
        <f ca="1">IFERROR(__xludf.DUMMYFUNCTION("""COMPUTED_VALUE"""),"No")</f>
        <v>No</v>
      </c>
      <c r="AD442" s="5" t="str">
        <f ca="1">IFERROR(__xludf.DUMMYFUNCTION("""COMPUTED_VALUE"""),"No")</f>
        <v>No</v>
      </c>
      <c r="AE442" s="5" t="str">
        <f ca="1">IFERROR(__xludf.DUMMYFUNCTION("""COMPUTED_VALUE"""),"No")</f>
        <v>No</v>
      </c>
      <c r="AF442" s="5" t="str">
        <f ca="1">IFERROR(__xludf.DUMMYFUNCTION("""COMPUTED_VALUE"""),"No")</f>
        <v>No</v>
      </c>
      <c r="AG442" s="5" t="str">
        <f ca="1">IFERROR(__xludf.DUMMYFUNCTION("""COMPUTED_VALUE"""),"No")</f>
        <v>No</v>
      </c>
      <c r="AH442" s="5" t="str">
        <f ca="1">IFERROR(__xludf.DUMMYFUNCTION("""COMPUTED_VALUE"""),"No")</f>
        <v>No</v>
      </c>
      <c r="AI442" s="5" t="str">
        <f ca="1">IFERROR(__xludf.DUMMYFUNCTION("""COMPUTED_VALUE"""),"No")</f>
        <v>No</v>
      </c>
      <c r="AJ442" s="5" t="str">
        <f ca="1">IFERROR(__xludf.DUMMYFUNCTION("""COMPUTED_VALUE"""),"No")</f>
        <v>No</v>
      </c>
    </row>
    <row r="443" spans="1:36" ht="13">
      <c r="A443" s="5" t="str">
        <f ca="1">IFERROR(__xludf.DUMMYFUNCTION("""COMPUTED_VALUE"""),"20211021GABES")</f>
        <v>20211021GABES</v>
      </c>
      <c r="B443" s="5">
        <f ca="1">IFERROR(__xludf.DUMMYFUNCTION("""COMPUTED_VALUE"""),10)</f>
        <v>10</v>
      </c>
      <c r="C443" s="5">
        <f ca="1">IFERROR(__xludf.DUMMYFUNCTION("""COMPUTED_VALUE"""),21)</f>
        <v>21</v>
      </c>
      <c r="D443" s="5">
        <f ca="1">IFERROR(__xludf.DUMMYFUNCTION("""COMPUTED_VALUE"""),2021)</f>
        <v>2021</v>
      </c>
      <c r="E443" s="8">
        <f ca="1">IFERROR(__xludf.DUMMYFUNCTION("""COMPUTED_VALUE"""),44490)</f>
        <v>44490</v>
      </c>
      <c r="F443" s="5" t="str">
        <f ca="1">IFERROR(__xludf.DUMMYFUNCTION("""COMPUTED_VALUE"""),"Bethesda Academy")</f>
        <v>Bethesda Academy</v>
      </c>
      <c r="G443" s="5">
        <f ca="1">IFERROR(__xludf.DUMMYFUNCTION("""COMPUTED_VALUE"""),0)</f>
        <v>0</v>
      </c>
      <c r="H443" s="5">
        <f ca="1">IFERROR(__xludf.DUMMYFUNCTION("""COMPUTED_VALUE"""),0)</f>
        <v>0</v>
      </c>
      <c r="I443" s="5">
        <f ca="1">IFERROR(__xludf.DUMMYFUNCTION("""COMPUTED_VALUE"""),0)</f>
        <v>0</v>
      </c>
      <c r="J443" s="5">
        <f ca="1">IFERROR(__xludf.DUMMYFUNCTION("""COMPUTED_VALUE"""),0)</f>
        <v>0</v>
      </c>
      <c r="K443" s="5" t="str">
        <f ca="1">IFERROR(__xludf.DUMMYFUNCTION("""COMPUTED_VALUE"""),"https://fox28media.com/news/local/ccpd-man-arrested-after-he-fired-shots-at-occupied-vehicles-at-bethesda-academy https://www.wsav.com/crime-safety/police-arrest-suspect-accused-of-firing-gunshots-outside-of-bethesda-academy/ https://abcnews4.com/news/loc"&amp;"al/ccpd-man-arrested-after-he-fired-shots-at-occupied-vehicles-at-bethesda-academy https://www.wjcl.com/article/savannah-bethesda-academy-shooting/38035594")</f>
        <v>https://fox28media.com/news/local/ccpd-man-arrested-after-he-fired-shots-at-occupied-vehicles-at-bethesda-academy https://www.wsav.com/crime-safety/police-arrest-suspect-accused-of-firing-gunshots-outside-of-bethesda-academy/ https://abcnews4.com/news/local/ccpd-man-arrested-after-he-fired-shots-at-occupied-vehicles-at-bethesda-academy https://www.wjcl.com/article/savannah-bethesda-academy-shooting/38035594</v>
      </c>
      <c r="L443" s="5">
        <f ca="1">IFERROR(__xludf.DUMMYFUNCTION("""COMPUTED_VALUE"""),10)</f>
        <v>10</v>
      </c>
      <c r="M443" s="5" t="str">
        <f ca="1">IFERROR(__xludf.DUMMYFUNCTION("""COMPUTED_VALUE"""),"Local")</f>
        <v>Local</v>
      </c>
      <c r="N443" s="5">
        <f ca="1">IFERROR(__xludf.DUMMYFUNCTION("""COMPUTED_VALUE"""),4)</f>
        <v>4</v>
      </c>
      <c r="O443" s="5" t="str">
        <f ca="1">IFERROR(__xludf.DUMMYFUNCTION("""COMPUTED_VALUE"""),"Fall")</f>
        <v>Fall</v>
      </c>
      <c r="P443" s="5" t="str">
        <f ca="1">IFERROR(__xludf.DUMMYFUNCTION("""COMPUTED_VALUE"""),"Savannah")</f>
        <v>Savannah</v>
      </c>
      <c r="Q443" s="5" t="str">
        <f ca="1">IFERROR(__xludf.DUMMYFUNCTION("""COMPUTED_VALUE"""),"GA")</f>
        <v>GA</v>
      </c>
      <c r="R443" s="11">
        <f ca="1">IFERROR(__xludf.DUMMYFUNCTION("""COMPUTED_VALUE"""),44724)</f>
        <v>44724</v>
      </c>
      <c r="S443" s="5" t="str">
        <f ca="1">IFERROR(__xludf.DUMMYFUNCTION("""COMPUTED_VALUE"""),"Parking Lot")</f>
        <v>Parking Lot</v>
      </c>
      <c r="T443" s="5" t="str">
        <f ca="1">IFERROR(__xludf.DUMMYFUNCTION("""COMPUTED_VALUE"""),"Outside on School Property")</f>
        <v>Outside on School Property</v>
      </c>
      <c r="U443" s="5" t="str">
        <f ca="1">IFERROR(__xludf.DUMMYFUNCTION("""COMPUTED_VALUE"""),"No")</f>
        <v>No</v>
      </c>
      <c r="V443" s="5" t="str">
        <f ca="1">IFERROR(__xludf.DUMMYFUNCTION("""COMPUTED_VALUE"""),"Evening")</f>
        <v>Evening</v>
      </c>
      <c r="W443" s="10">
        <f ca="1">IFERROR(__xludf.DUMMYFUNCTION("""COMPUTED_VALUE"""),0.791666666666666)</f>
        <v>0.79166666666666596</v>
      </c>
      <c r="X443" s="5">
        <f ca="1">IFERROR(__xludf.DUMMYFUNCTION("""COMPUTED_VALUE"""),1)</f>
        <v>1</v>
      </c>
      <c r="Y443" s="5" t="str">
        <f ca="1">IFERROR(__xludf.DUMMYFUNCTION("""COMPUTED_VALUE"""),"Man fired shots at occupied vehicles in the school parking lot")</f>
        <v>Man fired shots at occupied vehicles in the school parking lot</v>
      </c>
      <c r="Z443" s="5" t="str">
        <f ca="1">IFERROR(__xludf.DUMMYFUNCTION("""COMPUTED_VALUE"""),"A 33-year-old man fired shots at random occupied vehicles in the school parking lot. When police arrived, he fired more shots at other vehicles. Police arrested him. One person was injured by broken glass. Police said the shooting was random and the man h"&amp;"as no connection to the school. Prior arrests for domestic violence, battery, and false imprisonment.")</f>
        <v>A 33-year-old man fired shots at random occupied vehicles in the school parking lot. When police arrived, he fired more shots at other vehicles. Police arrested him. One person was injured by broken glass. Police said the shooting was random and the man has no connection to the school. Prior arrests for domestic violence, battery, and false imprisonment.</v>
      </c>
      <c r="AA443" s="5" t="str">
        <f ca="1">IFERROR(__xludf.DUMMYFUNCTION("""COMPUTED_VALUE"""),"Indiscriminate Shooting")</f>
        <v>Indiscriminate Shooting</v>
      </c>
      <c r="AB443" s="5" t="str">
        <f ca="1">IFERROR(__xludf.DUMMYFUNCTION("""COMPUTED_VALUE"""),"Random Shooting")</f>
        <v>Random Shooting</v>
      </c>
      <c r="AC443" s="5" t="str">
        <f ca="1">IFERROR(__xludf.DUMMYFUNCTION("""COMPUTED_VALUE"""),"No")</f>
        <v>No</v>
      </c>
      <c r="AD443" s="5" t="str">
        <f ca="1">IFERROR(__xludf.DUMMYFUNCTION("""COMPUTED_VALUE"""),"No")</f>
        <v>No</v>
      </c>
      <c r="AE443" s="5" t="str">
        <f ca="1">IFERROR(__xludf.DUMMYFUNCTION("""COMPUTED_VALUE"""),"No")</f>
        <v>No</v>
      </c>
      <c r="AF443" s="5" t="str">
        <f ca="1">IFERROR(__xludf.DUMMYFUNCTION("""COMPUTED_VALUE"""),"No")</f>
        <v>No</v>
      </c>
      <c r="AG443" s="5" t="str">
        <f ca="1">IFERROR(__xludf.DUMMYFUNCTION("""COMPUTED_VALUE"""),"No")</f>
        <v>No</v>
      </c>
      <c r="AH443" s="5" t="str">
        <f ca="1">IFERROR(__xludf.DUMMYFUNCTION("""COMPUTED_VALUE"""),"No")</f>
        <v>No</v>
      </c>
      <c r="AI443" s="5" t="str">
        <f ca="1">IFERROR(__xludf.DUMMYFUNCTION("""COMPUTED_VALUE"""),"No")</f>
        <v>No</v>
      </c>
      <c r="AJ443" s="5" t="str">
        <f ca="1">IFERROR(__xludf.DUMMYFUNCTION("""COMPUTED_VALUE"""),"Yes")</f>
        <v>Yes</v>
      </c>
    </row>
    <row r="444" spans="1:36" ht="13">
      <c r="A444" s="5" t="str">
        <f ca="1">IFERROR(__xludf.DUMMYFUNCTION("""COMPUTED_VALUE"""),"20211018PALIP")</f>
        <v>20211018PALIP</v>
      </c>
      <c r="B444" s="5">
        <f ca="1">IFERROR(__xludf.DUMMYFUNCTION("""COMPUTED_VALUE"""),10)</f>
        <v>10</v>
      </c>
      <c r="C444" s="5">
        <f ca="1">IFERROR(__xludf.DUMMYFUNCTION("""COMPUTED_VALUE"""),18)</f>
        <v>18</v>
      </c>
      <c r="D444" s="5">
        <f ca="1">IFERROR(__xludf.DUMMYFUNCTION("""COMPUTED_VALUE"""),2021)</f>
        <v>2021</v>
      </c>
      <c r="E444" s="8">
        <f ca="1">IFERROR(__xludf.DUMMYFUNCTION("""COMPUTED_VALUE"""),44487)</f>
        <v>44487</v>
      </c>
      <c r="F444" s="5" t="str">
        <f ca="1">IFERROR(__xludf.DUMMYFUNCTION("""COMPUTED_VALUE"""),"Lincoln High School")</f>
        <v>Lincoln High School</v>
      </c>
      <c r="G444" s="5">
        <f ca="1">IFERROR(__xludf.DUMMYFUNCTION("""COMPUTED_VALUE"""),0)</f>
        <v>0</v>
      </c>
      <c r="H444" s="5">
        <f ca="1">IFERROR(__xludf.DUMMYFUNCTION("""COMPUTED_VALUE"""),2)</f>
        <v>2</v>
      </c>
      <c r="I444" s="5">
        <f ca="1">IFERROR(__xludf.DUMMYFUNCTION("""COMPUTED_VALUE"""),2)</f>
        <v>2</v>
      </c>
      <c r="J444" s="5">
        <f ca="1">IFERROR(__xludf.DUMMYFUNCTION("""COMPUTED_VALUE"""),0)</f>
        <v>0</v>
      </c>
      <c r="K444" s="5" t="str">
        <f ca="1">IFERROR(__xludf.DUMMYFUNCTION("""COMPUTED_VALUE"""),"https://6abc.com/philadelphia-shooting-lincoln-high-school-today-ryan-rowland-avenues/11140664/ https://philadelphia.cbslocal.com/2021/10/19/16-year-old-boy-man-shot-head-near-lincoln-high-school-philadelphia-police-say/")</f>
        <v>https://6abc.com/philadelphia-shooting-lincoln-high-school-today-ryan-rowland-avenues/11140664/ https://philadelphia.cbslocal.com/2021/10/19/16-year-old-boy-man-shot-head-near-lincoln-high-school-philadelphia-police-say/</v>
      </c>
      <c r="L444" s="5">
        <f ca="1">IFERROR(__xludf.DUMMYFUNCTION("""COMPUTED_VALUE"""),5)</f>
        <v>5</v>
      </c>
      <c r="M444" s="5" t="str">
        <f ca="1">IFERROR(__xludf.DUMMYFUNCTION("""COMPUTED_VALUE"""),"Local")</f>
        <v>Local</v>
      </c>
      <c r="N444" s="5">
        <f ca="1">IFERROR(__xludf.DUMMYFUNCTION("""COMPUTED_VALUE"""),4)</f>
        <v>4</v>
      </c>
      <c r="O444" s="5" t="str">
        <f ca="1">IFERROR(__xludf.DUMMYFUNCTION("""COMPUTED_VALUE"""),"Fall")</f>
        <v>Fall</v>
      </c>
      <c r="P444" s="5" t="str">
        <f ca="1">IFERROR(__xludf.DUMMYFUNCTION("""COMPUTED_VALUE"""),"Philadelphia")</f>
        <v>Philadelphia</v>
      </c>
      <c r="Q444" s="5" t="str">
        <f ca="1">IFERROR(__xludf.DUMMYFUNCTION("""COMPUTED_VALUE"""),"PA")</f>
        <v>PA</v>
      </c>
      <c r="R444" s="5" t="str">
        <f ca="1">IFERROR(__xludf.DUMMYFUNCTION("""COMPUTED_VALUE"""),"High")</f>
        <v>High</v>
      </c>
      <c r="S444" s="5" t="str">
        <f ca="1">IFERROR(__xludf.DUMMYFUNCTION("""COMPUTED_VALUE"""),"Field (General)")</f>
        <v>Field (General)</v>
      </c>
      <c r="T444" s="5" t="str">
        <f ca="1">IFERROR(__xludf.DUMMYFUNCTION("""COMPUTED_VALUE"""),"Outside on School Property")</f>
        <v>Outside on School Property</v>
      </c>
      <c r="U444" s="5" t="str">
        <f ca="1">IFERROR(__xludf.DUMMYFUNCTION("""COMPUTED_VALUE"""),"Yes")</f>
        <v>Yes</v>
      </c>
      <c r="V444" s="5" t="str">
        <f ca="1">IFERROR(__xludf.DUMMYFUNCTION("""COMPUTED_VALUE"""),"Dismissal")</f>
        <v>Dismissal</v>
      </c>
      <c r="W444" s="10">
        <f ca="1">IFERROR(__xludf.DUMMYFUNCTION("""COMPUTED_VALUE"""),0.614583333333333)</f>
        <v>0.61458333333333304</v>
      </c>
      <c r="X444" s="5">
        <f ca="1">IFERROR(__xludf.DUMMYFUNCTION("""COMPUTED_VALUE"""),1)</f>
        <v>1</v>
      </c>
      <c r="Y444" s="5" t="str">
        <f ca="1">IFERROR(__xludf.DUMMYFUNCTION("""COMPUTED_VALUE"""),"Brother of student fired 15 shots at group of students during fight")</f>
        <v>Brother of student fired 15 shots at group of students during fight</v>
      </c>
      <c r="Z444" s="5" t="str">
        <f ca="1">IFERROR(__xludf.DUMMYFUNCTION("""COMPUTED_VALUE"""),"At dismissal, a 21-year-old male (brother of a student), fired 5 shots at a group of students involved in a fight outside the school. One shot fatally struck a 66-year-old male in a vehicle who crashed through a fence onto the school's athletic field. Two"&amp;" police officers witnessed the shooting and arrested the shooter.")</f>
        <v>At dismissal, a 21-year-old male (brother of a student), fired 5 shots at a group of students involved in a fight outside the school. One shot fatally struck a 66-year-old male in a vehicle who crashed through a fence onto the school's athletic field. Two police officers witnessed the shooting and arrested the shooter.</v>
      </c>
      <c r="AA444" s="5" t="str">
        <f ca="1">IFERROR(__xludf.DUMMYFUNCTION("""COMPUTED_VALUE"""),"Escalation of Dispute")</f>
        <v>Escalation of Dispute</v>
      </c>
      <c r="AB444" s="5" t="str">
        <f ca="1">IFERROR(__xludf.DUMMYFUNCTION("""COMPUTED_VALUE"""),"Both")</f>
        <v>Both</v>
      </c>
      <c r="AC444" s="5" t="str">
        <f ca="1">IFERROR(__xludf.DUMMYFUNCTION("""COMPUTED_VALUE"""),"No")</f>
        <v>No</v>
      </c>
      <c r="AD444" s="5" t="str">
        <f ca="1">IFERROR(__xludf.DUMMYFUNCTION("""COMPUTED_VALUE"""),"No")</f>
        <v>No</v>
      </c>
      <c r="AE444" s="5" t="str">
        <f ca="1">IFERROR(__xludf.DUMMYFUNCTION("""COMPUTED_VALUE"""),"No")</f>
        <v>No</v>
      </c>
      <c r="AF444" s="5" t="str">
        <f ca="1">IFERROR(__xludf.DUMMYFUNCTION("""COMPUTED_VALUE"""),"No")</f>
        <v>No</v>
      </c>
      <c r="AG444" s="5" t="str">
        <f ca="1">IFERROR(__xludf.DUMMYFUNCTION("""COMPUTED_VALUE"""),"No")</f>
        <v>No</v>
      </c>
      <c r="AH444" s="5" t="str">
        <f ca="1">IFERROR(__xludf.DUMMYFUNCTION("""COMPUTED_VALUE"""),"No")</f>
        <v>No</v>
      </c>
      <c r="AI444" s="5"/>
      <c r="AJ444" s="5" t="str">
        <f ca="1">IFERROR(__xludf.DUMMYFUNCTION("""COMPUTED_VALUE"""),"No")</f>
        <v>No</v>
      </c>
    </row>
    <row r="445" spans="1:36" ht="13">
      <c r="A445" s="5" t="str">
        <f ca="1">IFERROR(__xludf.DUMMYFUNCTION("""COMPUTED_VALUE"""),"20211017ARROR")</f>
        <v>20211017ARROR</v>
      </c>
      <c r="B445" s="5">
        <f ca="1">IFERROR(__xludf.DUMMYFUNCTION("""COMPUTED_VALUE"""),10)</f>
        <v>10</v>
      </c>
      <c r="C445" s="5">
        <f ca="1">IFERROR(__xludf.DUMMYFUNCTION("""COMPUTED_VALUE"""),17)</f>
        <v>17</v>
      </c>
      <c r="D445" s="5">
        <f ca="1">IFERROR(__xludf.DUMMYFUNCTION("""COMPUTED_VALUE"""),2021)</f>
        <v>2021</v>
      </c>
      <c r="E445" s="8">
        <f ca="1">IFERROR(__xludf.DUMMYFUNCTION("""COMPUTED_VALUE"""),44486)</f>
        <v>44486</v>
      </c>
      <c r="F445" s="5" t="str">
        <f ca="1">IFERROR(__xludf.DUMMYFUNCTION("""COMPUTED_VALUE"""),"Rogers High School")</f>
        <v>Rogers High School</v>
      </c>
      <c r="G445" s="5">
        <f ca="1">IFERROR(__xludf.DUMMYFUNCTION("""COMPUTED_VALUE"""),0)</f>
        <v>0</v>
      </c>
      <c r="H445" s="5">
        <f ca="1">IFERROR(__xludf.DUMMYFUNCTION("""COMPUTED_VALUE"""),0)</f>
        <v>0</v>
      </c>
      <c r="I445" s="5">
        <f ca="1">IFERROR(__xludf.DUMMYFUNCTION("""COMPUTED_VALUE"""),0)</f>
        <v>0</v>
      </c>
      <c r="J445" s="5">
        <f ca="1">IFERROR(__xludf.DUMMYFUNCTION("""COMPUTED_VALUE"""),0)</f>
        <v>0</v>
      </c>
      <c r="K445" s="5" t="str">
        <f ca="1">IFERROR(__xludf.DUMMYFUNCTION("""COMPUTED_VALUE"""),"https://www.fox16.com/news/state-news/man-jailed-for-firing-shots-at-academy-sports-rogers-high-school-press-box/ https://www.nwaonline.com/news/2021/oct/19/rogers-man-accused-of-shooting-at-store-high/")</f>
        <v>https://www.fox16.com/news/state-news/man-jailed-for-firing-shots-at-academy-sports-rogers-high-school-press-box/ https://www.nwaonline.com/news/2021/oct/19/rogers-man-accused-of-shooting-at-store-high/</v>
      </c>
      <c r="L445" s="5">
        <f ca="1">IFERROR(__xludf.DUMMYFUNCTION("""COMPUTED_VALUE"""),5)</f>
        <v>5</v>
      </c>
      <c r="M445" s="5" t="str">
        <f ca="1">IFERROR(__xludf.DUMMYFUNCTION("""COMPUTED_VALUE"""),"Local")</f>
        <v>Local</v>
      </c>
      <c r="N445" s="5">
        <f ca="1">IFERROR(__xludf.DUMMYFUNCTION("""COMPUTED_VALUE"""),4)</f>
        <v>4</v>
      </c>
      <c r="O445" s="5"/>
      <c r="P445" s="5" t="str">
        <f ca="1">IFERROR(__xludf.DUMMYFUNCTION("""COMPUTED_VALUE"""),"Rogers")</f>
        <v>Rogers</v>
      </c>
      <c r="Q445" s="5" t="str">
        <f ca="1">IFERROR(__xludf.DUMMYFUNCTION("""COMPUTED_VALUE"""),"AR")</f>
        <v>AR</v>
      </c>
      <c r="R445" s="5" t="str">
        <f ca="1">IFERROR(__xludf.DUMMYFUNCTION("""COMPUTED_VALUE"""),"High")</f>
        <v>High</v>
      </c>
      <c r="S445" s="5" t="str">
        <f ca="1">IFERROR(__xludf.DUMMYFUNCTION("""COMPUTED_VALUE"""),"Football Field/Track")</f>
        <v>Football Field/Track</v>
      </c>
      <c r="T445" s="5" t="str">
        <f ca="1">IFERROR(__xludf.DUMMYFUNCTION("""COMPUTED_VALUE"""),"Outside on School Property")</f>
        <v>Outside on School Property</v>
      </c>
      <c r="U445" s="5" t="str">
        <f ca="1">IFERROR(__xludf.DUMMYFUNCTION("""COMPUTED_VALUE"""),"No")</f>
        <v>No</v>
      </c>
      <c r="V445" s="5" t="str">
        <f ca="1">IFERROR(__xludf.DUMMYFUNCTION("""COMPUTED_VALUE"""),"Evening")</f>
        <v>Evening</v>
      </c>
      <c r="W445" s="10">
        <f ca="1">IFERROR(__xludf.DUMMYFUNCTION("""COMPUTED_VALUE"""),0.836805555555555)</f>
        <v>0.83680555555555503</v>
      </c>
      <c r="X445" s="5">
        <f ca="1">IFERROR(__xludf.DUMMYFUNCTION("""COMPUTED_VALUE"""),1)</f>
        <v>1</v>
      </c>
      <c r="Y445" s="5" t="str">
        <f ca="1">IFERROR(__xludf.DUMMYFUNCTION("""COMPUTED_VALUE"""),"Man fired 16 shots at stadium press box")</f>
        <v>Man fired 16 shots at stadium press box</v>
      </c>
      <c r="Z445" s="5" t="str">
        <f ca="1">IFERROR(__xludf.DUMMYFUNCTION("""COMPUTED_VALUE"""),"A 28-year-old male fired 16 shots at the stadium press box causing $30,000 in damage. Stadium was empty at the time of the shooting. He was identified and pulled over in a vehicle after leaving the school. He was arrested and police found multiple rifles "&amp;"and ammunition inside his van. Involved in a dispute prior to the shooting when a gun store did not allow him to purchase another weapon. He fired 4 shots outside the store before going to the high school. Charged with multiple felonies and held without b"&amp;"ond.")</f>
        <v>A 28-year-old male fired 16 shots at the stadium press box causing $30,000 in damage. Stadium was empty at the time of the shooting. He was identified and pulled over in a vehicle after leaving the school. He was arrested and police found multiple rifles and ammunition inside his van. Involved in a dispute prior to the shooting when a gun store did not allow him to purchase another weapon. He fired 4 shots outside the store before going to the high school. Charged with multiple felonies and held without bond.</v>
      </c>
      <c r="AA445" s="5" t="str">
        <f ca="1">IFERROR(__xludf.DUMMYFUNCTION("""COMPUTED_VALUE"""),"Intentional Property Damage")</f>
        <v>Intentional Property Damage</v>
      </c>
      <c r="AB445" s="5" t="str">
        <f ca="1">IFERROR(__xludf.DUMMYFUNCTION("""COMPUTED_VALUE"""),"Neither")</f>
        <v>Neither</v>
      </c>
      <c r="AC445" s="5" t="str">
        <f ca="1">IFERROR(__xludf.DUMMYFUNCTION("""COMPUTED_VALUE"""),"No")</f>
        <v>No</v>
      </c>
      <c r="AD445" s="5" t="str">
        <f ca="1">IFERROR(__xludf.DUMMYFUNCTION("""COMPUTED_VALUE"""),"No")</f>
        <v>No</v>
      </c>
      <c r="AE445" s="5" t="str">
        <f ca="1">IFERROR(__xludf.DUMMYFUNCTION("""COMPUTED_VALUE"""),"No")</f>
        <v>No</v>
      </c>
      <c r="AF445" s="5" t="str">
        <f ca="1">IFERROR(__xludf.DUMMYFUNCTION("""COMPUTED_VALUE"""),"No")</f>
        <v>No</v>
      </c>
      <c r="AG445" s="5" t="str">
        <f ca="1">IFERROR(__xludf.DUMMYFUNCTION("""COMPUTED_VALUE"""),"No")</f>
        <v>No</v>
      </c>
      <c r="AH445" s="5" t="str">
        <f ca="1">IFERROR(__xludf.DUMMYFUNCTION("""COMPUTED_VALUE"""),"No")</f>
        <v>No</v>
      </c>
      <c r="AI445" s="5" t="str">
        <f ca="1">IFERROR(__xludf.DUMMYFUNCTION("""COMPUTED_VALUE"""),"No")</f>
        <v>No</v>
      </c>
      <c r="AJ445" s="5" t="str">
        <f ca="1">IFERROR(__xludf.DUMMYFUNCTION("""COMPUTED_VALUE"""),"No")</f>
        <v>No</v>
      </c>
    </row>
    <row r="446" spans="1:36" ht="13">
      <c r="A446" s="5" t="str">
        <f ca="1">IFERROR(__xludf.DUMMYFUNCTION("""COMPUTED_VALUE"""),"20211015CAKEF")</f>
        <v>20211015CAKEF</v>
      </c>
      <c r="B446" s="5">
        <f ca="1">IFERROR(__xludf.DUMMYFUNCTION("""COMPUTED_VALUE"""),10)</f>
        <v>10</v>
      </c>
      <c r="C446" s="5">
        <f ca="1">IFERROR(__xludf.DUMMYFUNCTION("""COMPUTED_VALUE"""),15)</f>
        <v>15</v>
      </c>
      <c r="D446" s="5">
        <f ca="1">IFERROR(__xludf.DUMMYFUNCTION("""COMPUTED_VALUE"""),2021)</f>
        <v>2021</v>
      </c>
      <c r="E446" s="8">
        <f ca="1">IFERROR(__xludf.DUMMYFUNCTION("""COMPUTED_VALUE"""),44484)</f>
        <v>44484</v>
      </c>
      <c r="F446" s="5" t="str">
        <f ca="1">IFERROR(__xludf.DUMMYFUNCTION("""COMPUTED_VALUE"""),"Kepler Community School")</f>
        <v>Kepler Community School</v>
      </c>
      <c r="G446" s="5">
        <f ca="1">IFERROR(__xludf.DUMMYFUNCTION("""COMPUTED_VALUE"""),0)</f>
        <v>0</v>
      </c>
      <c r="H446" s="5">
        <f ca="1">IFERROR(__xludf.DUMMYFUNCTION("""COMPUTED_VALUE"""),1)</f>
        <v>1</v>
      </c>
      <c r="I446" s="5">
        <f ca="1">IFERROR(__xludf.DUMMYFUNCTION("""COMPUTED_VALUE"""),1)</f>
        <v>1</v>
      </c>
      <c r="J446" s="5">
        <f ca="1">IFERROR(__xludf.DUMMYFUNCTION("""COMPUTED_VALUE"""),0)</f>
        <v>0</v>
      </c>
      <c r="K446" s="5" t="str">
        <f ca="1">IFERROR(__xludf.DUMMYFUNCTION("""COMPUTED_VALUE"""),"https://kmph.com/news/local/standoff-ends-peacefully-at-school-playground-thanks-to-schools-pe-teacher https://abc30.com/man-brings-gun-to-school-gunman-fresno-shooting-shots-fired-downtown/11130175/")</f>
        <v>https://kmph.com/news/local/standoff-ends-peacefully-at-school-playground-thanks-to-schools-pe-teacher https://abc30.com/man-brings-gun-to-school-gunman-fresno-shooting-shots-fired-downtown/11130175/</v>
      </c>
      <c r="L446" s="5">
        <f ca="1">IFERROR(__xludf.DUMMYFUNCTION("""COMPUTED_VALUE"""),5)</f>
        <v>5</v>
      </c>
      <c r="M446" s="5" t="str">
        <f ca="1">IFERROR(__xludf.DUMMYFUNCTION("""COMPUTED_VALUE"""),"Local")</f>
        <v>Local</v>
      </c>
      <c r="N446" s="5">
        <f ca="1">IFERROR(__xludf.DUMMYFUNCTION("""COMPUTED_VALUE"""),4)</f>
        <v>4</v>
      </c>
      <c r="O446" s="5" t="str">
        <f ca="1">IFERROR(__xludf.DUMMYFUNCTION("""COMPUTED_VALUE"""),"Fall")</f>
        <v>Fall</v>
      </c>
      <c r="P446" s="5" t="str">
        <f ca="1">IFERROR(__xludf.DUMMYFUNCTION("""COMPUTED_VALUE"""),"Fresno")</f>
        <v>Fresno</v>
      </c>
      <c r="Q446" s="5" t="str">
        <f ca="1">IFERROR(__xludf.DUMMYFUNCTION("""COMPUTED_VALUE"""),"CA")</f>
        <v>CA</v>
      </c>
      <c r="R446" s="5" t="str">
        <f ca="1">IFERROR(__xludf.DUMMYFUNCTION("""COMPUTED_VALUE"""),"Elementary")</f>
        <v>Elementary</v>
      </c>
      <c r="S446" s="5" t="str">
        <f ca="1">IFERROR(__xludf.DUMMYFUNCTION("""COMPUTED_VALUE"""),"Playground")</f>
        <v>Playground</v>
      </c>
      <c r="T446" s="5" t="str">
        <f ca="1">IFERROR(__xludf.DUMMYFUNCTION("""COMPUTED_VALUE"""),"Outside on School Property")</f>
        <v>Outside on School Property</v>
      </c>
      <c r="U446" s="5" t="str">
        <f ca="1">IFERROR(__xludf.DUMMYFUNCTION("""COMPUTED_VALUE"""),"Yes")</f>
        <v>Yes</v>
      </c>
      <c r="V446" s="5" t="str">
        <f ca="1">IFERROR(__xludf.DUMMYFUNCTION("""COMPUTED_VALUE"""),"Morning Classes")</f>
        <v>Morning Classes</v>
      </c>
      <c r="W446" s="10">
        <f ca="1">IFERROR(__xludf.DUMMYFUNCTION("""COMPUTED_VALUE"""),0.430555555555555)</f>
        <v>0.43055555555555503</v>
      </c>
      <c r="X446" s="5">
        <f ca="1">IFERROR(__xludf.DUMMYFUNCTION("""COMPUTED_VALUE"""),1)</f>
        <v>1</v>
      </c>
      <c r="Y446" s="5" t="str">
        <f ca="1">IFERROR(__xludf.DUMMYFUNCTION("""COMPUTED_VALUE"""),"Gym teacher talked down man with gun on school playground")</f>
        <v>Gym teacher talked down man with gun on school playground</v>
      </c>
      <c r="Z446" s="5" t="str">
        <f ca="1">IFERROR(__xludf.DUMMYFUNCTION("""COMPUTED_VALUE"""),"A 33-year-old male was involved in a shooting inside a home near the campus where he threatened to kill 4 people. He then walked onto the school playground and was told to leave the campus by the gym teacher (retired police officer). The man refused to le"&amp;"ave and showed the teacher a gun he was holding in his pocket. After a 45 minute standoff, the man surrendered to police. No shots were fired. School was locked down during the incident.")</f>
        <v>A 33-year-old male was involved in a shooting inside a home near the campus where he threatened to kill 4 people. He then walked onto the school playground and was told to leave the campus by the gym teacher (retired police officer). The man refused to leave and showed the teacher a gun he was holding in his pocket. After a 45 minute standoff, the man surrendered to police. No shots were fired. School was locked down during the incident.</v>
      </c>
      <c r="AA446" s="5" t="str">
        <f ca="1">IFERROR(__xludf.DUMMYFUNCTION("""COMPUTED_VALUE"""),"Hostage/Standoff")</f>
        <v>Hostage/Standoff</v>
      </c>
      <c r="AB446" s="5" t="str">
        <f ca="1">IFERROR(__xludf.DUMMYFUNCTION("""COMPUTED_VALUE"""),"Neither")</f>
        <v>Neither</v>
      </c>
      <c r="AC446" s="5" t="str">
        <f ca="1">IFERROR(__xludf.DUMMYFUNCTION("""COMPUTED_VALUE"""),"No")</f>
        <v>No</v>
      </c>
      <c r="AD446" s="5" t="str">
        <f ca="1">IFERROR(__xludf.DUMMYFUNCTION("""COMPUTED_VALUE"""),"No")</f>
        <v>No</v>
      </c>
      <c r="AE446" s="5" t="str">
        <f ca="1">IFERROR(__xludf.DUMMYFUNCTION("""COMPUTED_VALUE"""),"No")</f>
        <v>No</v>
      </c>
      <c r="AF446" s="5" t="str">
        <f ca="1">IFERROR(__xludf.DUMMYFUNCTION("""COMPUTED_VALUE"""),"No")</f>
        <v>No</v>
      </c>
      <c r="AG446" s="5" t="str">
        <f ca="1">IFERROR(__xludf.DUMMYFUNCTION("""COMPUTED_VALUE"""),"No")</f>
        <v>No</v>
      </c>
      <c r="AH446" s="5" t="str">
        <f ca="1">IFERROR(__xludf.DUMMYFUNCTION("""COMPUTED_VALUE"""),"No")</f>
        <v>No</v>
      </c>
      <c r="AI446" s="5" t="str">
        <f ca="1">IFERROR(__xludf.DUMMYFUNCTION("""COMPUTED_VALUE"""),"No")</f>
        <v>No</v>
      </c>
      <c r="AJ446" s="5" t="str">
        <f ca="1">IFERROR(__xludf.DUMMYFUNCTION("""COMPUTED_VALUE"""),"No")</f>
        <v>No</v>
      </c>
    </row>
    <row r="447" spans="1:36" ht="13">
      <c r="A447" s="5" t="str">
        <f ca="1">IFERROR(__xludf.DUMMYFUNCTION("""COMPUTED_VALUE"""),"20211015ALWIM")</f>
        <v>20211015ALWIM</v>
      </c>
      <c r="B447" s="5">
        <f ca="1">IFERROR(__xludf.DUMMYFUNCTION("""COMPUTED_VALUE"""),10)</f>
        <v>10</v>
      </c>
      <c r="C447" s="5">
        <f ca="1">IFERROR(__xludf.DUMMYFUNCTION("""COMPUTED_VALUE"""),15)</f>
        <v>15</v>
      </c>
      <c r="D447" s="5">
        <f ca="1">IFERROR(__xludf.DUMMYFUNCTION("""COMPUTED_VALUE"""),2021)</f>
        <v>2021</v>
      </c>
      <c r="E447" s="8">
        <f ca="1">IFERROR(__xludf.DUMMYFUNCTION("""COMPUTED_VALUE"""),44484)</f>
        <v>44484</v>
      </c>
      <c r="F447" s="5" t="str">
        <f ca="1">IFERROR(__xludf.DUMMYFUNCTION("""COMPUTED_VALUE"""),"Williamson High School")</f>
        <v>Williamson High School</v>
      </c>
      <c r="G447" s="5">
        <f ca="1">IFERROR(__xludf.DUMMYFUNCTION("""COMPUTED_VALUE"""),0)</f>
        <v>0</v>
      </c>
      <c r="H447" s="5">
        <f ca="1">IFERROR(__xludf.DUMMYFUNCTION("""COMPUTED_VALUE"""),4)</f>
        <v>4</v>
      </c>
      <c r="I447" s="5">
        <f ca="1">IFERROR(__xludf.DUMMYFUNCTION("""COMPUTED_VALUE"""),4)</f>
        <v>4</v>
      </c>
      <c r="J447" s="5">
        <f ca="1">IFERROR(__xludf.DUMMYFUNCTION("""COMPUTED_VALUE"""),0)</f>
        <v>0</v>
      </c>
      <c r="K447" s="5" t="str">
        <f ca="1">IFERROR(__xludf.DUMMYFUNCTION("""COMPUTED_VALUE"""),"https://www.cnn.com/2021/10/16/us/al-mobile-hs-football-game-shooting/index.html https://whnt.com/news/breaking-at-least-one-person-shot-during-football-game-at-ladd-peebles-stadium/ https://www.the-sun.com/news/3868369/ladd-peebles-shooting-horror-moment"&amp;"-high-school-football/")</f>
        <v>https://www.cnn.com/2021/10/16/us/al-mobile-hs-football-game-shooting/index.html https://whnt.com/news/breaking-at-least-one-person-shot-during-football-game-at-ladd-peebles-stadium/ https://www.the-sun.com/news/3868369/ladd-peebles-shooting-horror-moment-high-school-football/</v>
      </c>
      <c r="L447" s="5">
        <f ca="1">IFERROR(__xludf.DUMMYFUNCTION("""COMPUTED_VALUE"""),100)</f>
        <v>100</v>
      </c>
      <c r="M447" s="5" t="str">
        <f ca="1">IFERROR(__xludf.DUMMYFUNCTION("""COMPUTED_VALUE"""),"International")</f>
        <v>International</v>
      </c>
      <c r="N447" s="5">
        <f ca="1">IFERROR(__xludf.DUMMYFUNCTION("""COMPUTED_VALUE"""),4)</f>
        <v>4</v>
      </c>
      <c r="O447" s="5"/>
      <c r="P447" s="5" t="str">
        <f ca="1">IFERROR(__xludf.DUMMYFUNCTION("""COMPUTED_VALUE"""),"Mobile")</f>
        <v>Mobile</v>
      </c>
      <c r="Q447" s="5" t="str">
        <f ca="1">IFERROR(__xludf.DUMMYFUNCTION("""COMPUTED_VALUE"""),"AL")</f>
        <v>AL</v>
      </c>
      <c r="R447" s="11">
        <f ca="1">IFERROR(__xludf.DUMMYFUNCTION("""COMPUTED_VALUE"""),44724)</f>
        <v>44724</v>
      </c>
      <c r="S447" s="5" t="str">
        <f ca="1">IFERROR(__xludf.DUMMYFUNCTION("""COMPUTED_VALUE"""),"Football Field/Track")</f>
        <v>Football Field/Track</v>
      </c>
      <c r="T447" s="5" t="str">
        <f ca="1">IFERROR(__xludf.DUMMYFUNCTION("""COMPUTED_VALUE"""),"Outside on School Property")</f>
        <v>Outside on School Property</v>
      </c>
      <c r="U447" s="5" t="str">
        <f ca="1">IFERROR(__xludf.DUMMYFUNCTION("""COMPUTED_VALUE"""),"No")</f>
        <v>No</v>
      </c>
      <c r="V447" s="5" t="str">
        <f ca="1">IFERROR(__xludf.DUMMYFUNCTION("""COMPUTED_VALUE"""),"Sport Event")</f>
        <v>Sport Event</v>
      </c>
      <c r="W447" s="10">
        <f ca="1">IFERROR(__xludf.DUMMYFUNCTION("""COMPUTED_VALUE"""),0.913888888888888)</f>
        <v>0.91388888888888797</v>
      </c>
      <c r="X447" s="5">
        <f ca="1">IFERROR(__xludf.DUMMYFUNCTION("""COMPUTED_VALUE"""),1)</f>
        <v>1</v>
      </c>
      <c r="Y447" s="5" t="str">
        <f ca="1">IFERROR(__xludf.DUMMYFUNCTION("""COMPUTED_VALUE"""),"4 shot inside the football stadium during game")</f>
        <v>4 shot inside the football stadium during game</v>
      </c>
      <c r="Z447" s="5" t="str">
        <f ca="1">IFERROR(__xludf.DUMMYFUNCTION("""COMPUTED_VALUE"""),"4 people were shot in the concourse of the stadium during the 4th quarter of the high school football game. The PA announcer told fans to take cover and defend themselves. Players evacuated the field. The remainder of the game was cancelled. Shooter and s"&amp;"econd suspect fled the area in a vehicle. Two victims were transported to the hospital, one in critical condition. The stadium has metal detectors at the gates following 9 people shot in 2019.")</f>
        <v>4 people were shot in the concourse of the stadium during the 4th quarter of the high school football game. The PA announcer told fans to take cover and defend themselves. Players evacuated the field. The remainder of the game was cancelled. Shooter and second suspect fled the area in a vehicle. Two victims were transported to the hospital, one in critical condition. The stadium has metal detectors at the gates following 9 people shot in 2019.</v>
      </c>
      <c r="AA447" s="5"/>
      <c r="AB447" s="5" t="str">
        <f ca="1">IFERROR(__xludf.DUMMYFUNCTION("""COMPUTED_VALUE"""),"Both")</f>
        <v>Both</v>
      </c>
      <c r="AC447" s="5" t="str">
        <f ca="1">IFERROR(__xludf.DUMMYFUNCTION("""COMPUTED_VALUE"""),"Yes")</f>
        <v>Yes</v>
      </c>
      <c r="AD447" s="5" t="str">
        <f ca="1">IFERROR(__xludf.DUMMYFUNCTION("""COMPUTED_VALUE"""),"No")</f>
        <v>No</v>
      </c>
      <c r="AE447" s="5" t="str">
        <f ca="1">IFERROR(__xludf.DUMMYFUNCTION("""COMPUTED_VALUE"""),"No")</f>
        <v>No</v>
      </c>
      <c r="AF447" s="5" t="str">
        <f ca="1">IFERROR(__xludf.DUMMYFUNCTION("""COMPUTED_VALUE"""),"No")</f>
        <v>No</v>
      </c>
      <c r="AG447" s="5" t="str">
        <f ca="1">IFERROR(__xludf.DUMMYFUNCTION("""COMPUTED_VALUE"""),"No")</f>
        <v>No</v>
      </c>
      <c r="AH447" s="5" t="str">
        <f ca="1">IFERROR(__xludf.DUMMYFUNCTION("""COMPUTED_VALUE"""),"No")</f>
        <v>No</v>
      </c>
      <c r="AI447" s="5"/>
      <c r="AJ447" s="5" t="str">
        <f ca="1">IFERROR(__xludf.DUMMYFUNCTION("""COMPUTED_VALUE"""),"No")</f>
        <v>No</v>
      </c>
    </row>
    <row r="448" spans="1:36" ht="13">
      <c r="A448" s="5" t="str">
        <f ca="1">IFERROR(__xludf.DUMMYFUNCTION("""COMPUTED_VALUE"""),"20211014MEREP")</f>
        <v>20211014MEREP</v>
      </c>
      <c r="B448" s="5">
        <f ca="1">IFERROR(__xludf.DUMMYFUNCTION("""COMPUTED_VALUE"""),10)</f>
        <v>10</v>
      </c>
      <c r="C448" s="5">
        <f ca="1">IFERROR(__xludf.DUMMYFUNCTION("""COMPUTED_VALUE"""),14)</f>
        <v>14</v>
      </c>
      <c r="D448" s="5">
        <f ca="1">IFERROR(__xludf.DUMMYFUNCTION("""COMPUTED_VALUE"""),2021)</f>
        <v>2021</v>
      </c>
      <c r="E448" s="8">
        <f ca="1">IFERROR(__xludf.DUMMYFUNCTION("""COMPUTED_VALUE"""),44483)</f>
        <v>44483</v>
      </c>
      <c r="F448" s="5" t="str">
        <f ca="1">IFERROR(__xludf.DUMMYFUNCTION("""COMPUTED_VALUE"""),"Reiche Community School")</f>
        <v>Reiche Community School</v>
      </c>
      <c r="G448" s="5">
        <f ca="1">IFERROR(__xludf.DUMMYFUNCTION("""COMPUTED_VALUE"""),1)</f>
        <v>1</v>
      </c>
      <c r="H448" s="5">
        <f ca="1">IFERROR(__xludf.DUMMYFUNCTION("""COMPUTED_VALUE"""),0)</f>
        <v>0</v>
      </c>
      <c r="I448" s="5">
        <f ca="1">IFERROR(__xludf.DUMMYFUNCTION("""COMPUTED_VALUE"""),1)</f>
        <v>1</v>
      </c>
      <c r="J448" s="5">
        <f ca="1">IFERROR(__xludf.DUMMYFUNCTION("""COMPUTED_VALUE"""),0)</f>
        <v>0</v>
      </c>
      <c r="K448" s="5" t="str">
        <f ca="1">IFERROR(__xludf.DUMMYFUNCTION("""COMPUTED_VALUE"""),"https://www.pressherald.com/2021/10/15/portland-police-investigate-reported-shooting-in-west-end/ https://www.newscentermaine.com/article/news/local/portland/portland-police-investigating-reports-of-overnight-shooting-near-reiche-community-school-brackett"&amp;"-street-maine/97-82a97aa7-2f75-4b90-96ac-7c1d2b74a149")</f>
        <v>https://www.pressherald.com/2021/10/15/portland-police-investigate-reported-shooting-in-west-end/ https://www.newscentermaine.com/article/news/local/portland/portland-police-investigating-reports-of-overnight-shooting-near-reiche-community-school-brackett-street-maine/97-82a97aa7-2f75-4b90-96ac-7c1d2b74a149</v>
      </c>
      <c r="L448" s="5">
        <f ca="1">IFERROR(__xludf.DUMMYFUNCTION("""COMPUTED_VALUE"""),2)</f>
        <v>2</v>
      </c>
      <c r="M448" s="5" t="str">
        <f ca="1">IFERROR(__xludf.DUMMYFUNCTION("""COMPUTED_VALUE"""),"Local")</f>
        <v>Local</v>
      </c>
      <c r="N448" s="5">
        <f ca="1">IFERROR(__xludf.DUMMYFUNCTION("""COMPUTED_VALUE"""),3)</f>
        <v>3</v>
      </c>
      <c r="O448" s="5" t="str">
        <f ca="1">IFERROR(__xludf.DUMMYFUNCTION("""COMPUTED_VALUE"""),"Fall")</f>
        <v>Fall</v>
      </c>
      <c r="P448" s="5" t="str">
        <f ca="1">IFERROR(__xludf.DUMMYFUNCTION("""COMPUTED_VALUE"""),"Portland")</f>
        <v>Portland</v>
      </c>
      <c r="Q448" s="5" t="str">
        <f ca="1">IFERROR(__xludf.DUMMYFUNCTION("""COMPUTED_VALUE"""),"ME")</f>
        <v>ME</v>
      </c>
      <c r="R448" s="5" t="str">
        <f ca="1">IFERROR(__xludf.DUMMYFUNCTION("""COMPUTED_VALUE"""),"Elementary")</f>
        <v>Elementary</v>
      </c>
      <c r="S448" s="5" t="str">
        <f ca="1">IFERROR(__xludf.DUMMYFUNCTION("""COMPUTED_VALUE"""),"Playground")</f>
        <v>Playground</v>
      </c>
      <c r="T448" s="5" t="str">
        <f ca="1">IFERROR(__xludf.DUMMYFUNCTION("""COMPUTED_VALUE"""),"Outside on School Property")</f>
        <v>Outside on School Property</v>
      </c>
      <c r="U448" s="5" t="str">
        <f ca="1">IFERROR(__xludf.DUMMYFUNCTION("""COMPUTED_VALUE"""),"No")</f>
        <v>No</v>
      </c>
      <c r="V448" s="5" t="str">
        <f ca="1">IFERROR(__xludf.DUMMYFUNCTION("""COMPUTED_VALUE"""),"Night")</f>
        <v>Night</v>
      </c>
      <c r="W448" s="10">
        <f ca="1">IFERROR(__xludf.DUMMYFUNCTION("""COMPUTED_VALUE"""),0.96875)</f>
        <v>0.96875</v>
      </c>
      <c r="X448" s="5">
        <f ca="1">IFERROR(__xludf.DUMMYFUNCTION("""COMPUTED_VALUE"""),1)</f>
        <v>1</v>
      </c>
      <c r="Y448" s="5" t="str">
        <f ca="1">IFERROR(__xludf.DUMMYFUNCTION("""COMPUTED_VALUE"""),"Person shot on the school playground")</f>
        <v>Person shot on the school playground</v>
      </c>
      <c r="Z448" s="5" t="str">
        <f ca="1">IFERROR(__xludf.DUMMYFUNCTION("""COMPUTED_VALUE"""),"At 11:15PM, police were called for shots fired near the school and did not find anything. The following morning, police were called for a shooting victim on the playground of the school. School held classes. Students were not allowed on the playground unt"&amp;"il the investigation was concluded. Person shot was not affiliated with the school.")</f>
        <v>At 11:15PM, police were called for shots fired near the school and did not find anything. The following morning, police were called for a shooting victim on the playground of the school. School held classes. Students were not allowed on the playground until the investigation was concluded. Person shot was not affiliated with the school.</v>
      </c>
      <c r="AA448" s="5"/>
      <c r="AB448" s="5" t="str">
        <f ca="1">IFERROR(__xludf.DUMMYFUNCTION("""COMPUTED_VALUE"""),"Victims Targeted")</f>
        <v>Victims Targeted</v>
      </c>
      <c r="AC448" s="5" t="str">
        <f ca="1">IFERROR(__xludf.DUMMYFUNCTION("""COMPUTED_VALUE"""),"No")</f>
        <v>No</v>
      </c>
      <c r="AD448" s="5" t="str">
        <f ca="1">IFERROR(__xludf.DUMMYFUNCTION("""COMPUTED_VALUE"""),"No")</f>
        <v>No</v>
      </c>
      <c r="AE448" s="5" t="str">
        <f ca="1">IFERROR(__xludf.DUMMYFUNCTION("""COMPUTED_VALUE"""),"No")</f>
        <v>No</v>
      </c>
      <c r="AF448" s="5" t="str">
        <f ca="1">IFERROR(__xludf.DUMMYFUNCTION("""COMPUTED_VALUE"""),"No")</f>
        <v>No</v>
      </c>
      <c r="AG448" s="5" t="str">
        <f ca="1">IFERROR(__xludf.DUMMYFUNCTION("""COMPUTED_VALUE"""),"No")</f>
        <v>No</v>
      </c>
      <c r="AH448" s="5" t="str">
        <f ca="1">IFERROR(__xludf.DUMMYFUNCTION("""COMPUTED_VALUE"""),"No")</f>
        <v>No</v>
      </c>
      <c r="AI448" s="5"/>
      <c r="AJ448" s="5" t="str">
        <f ca="1">IFERROR(__xludf.DUMMYFUNCTION("""COMPUTED_VALUE"""),"No")</f>
        <v>No</v>
      </c>
    </row>
    <row r="449" spans="1:36" ht="13">
      <c r="A449" s="5" t="str">
        <f ca="1">IFERROR(__xludf.DUMMYFUNCTION("""COMPUTED_VALUE"""),"20211013PACHD")</f>
        <v>20211013PACHD</v>
      </c>
      <c r="B449" s="5">
        <f ca="1">IFERROR(__xludf.DUMMYFUNCTION("""COMPUTED_VALUE"""),10)</f>
        <v>10</v>
      </c>
      <c r="C449" s="5">
        <f ca="1">IFERROR(__xludf.DUMMYFUNCTION("""COMPUTED_VALUE"""),13)</f>
        <v>13</v>
      </c>
      <c r="D449" s="5">
        <f ca="1">IFERROR(__xludf.DUMMYFUNCTION("""COMPUTED_VALUE"""),2021)</f>
        <v>2021</v>
      </c>
      <c r="E449" s="8">
        <f ca="1">IFERROR(__xludf.DUMMYFUNCTION("""COMPUTED_VALUE"""),44482)</f>
        <v>44482</v>
      </c>
      <c r="F449" s="5" t="str">
        <f ca="1">IFERROR(__xludf.DUMMYFUNCTION("""COMPUTED_VALUE"""),"Charles Kelly Elementary")</f>
        <v>Charles Kelly Elementary</v>
      </c>
      <c r="G449" s="5">
        <f ca="1">IFERROR(__xludf.DUMMYFUNCTION("""COMPUTED_VALUE"""),0)</f>
        <v>0</v>
      </c>
      <c r="H449" s="5">
        <f ca="1">IFERROR(__xludf.DUMMYFUNCTION("""COMPUTED_VALUE"""),0)</f>
        <v>0</v>
      </c>
      <c r="I449" s="5">
        <f ca="1">IFERROR(__xludf.DUMMYFUNCTION("""COMPUTED_VALUE"""),0)</f>
        <v>0</v>
      </c>
      <c r="J449" s="5">
        <f ca="1">IFERROR(__xludf.DUMMYFUNCTION("""COMPUTED_VALUE"""),0)</f>
        <v>0</v>
      </c>
      <c r="K449" s="5" t="str">
        <f ca="1">IFERROR(__xludf.DUMMYFUNCTION("""COMPUTED_VALUE"""),"https://www.pennlive.com/news/2021/10/pa-elementary-school-students-suspended-after-firing-air-soft-gun-at-other-children-report.html https://6abc.com/upper-darby-school-district-delaware-county-schools-students-pellet-gun/11126426/")</f>
        <v>https://www.pennlive.com/news/2021/10/pa-elementary-school-students-suspended-after-firing-air-soft-gun-at-other-children-report.html https://6abc.com/upper-darby-school-district-delaware-county-schools-students-pellet-gun/11126426/</v>
      </c>
      <c r="L449" s="5">
        <f ca="1">IFERROR(__xludf.DUMMYFUNCTION("""COMPUTED_VALUE"""),2)</f>
        <v>2</v>
      </c>
      <c r="M449" s="5" t="str">
        <f ca="1">IFERROR(__xludf.DUMMYFUNCTION("""COMPUTED_VALUE"""),"Local")</f>
        <v>Local</v>
      </c>
      <c r="N449" s="5">
        <f ca="1">IFERROR(__xludf.DUMMYFUNCTION("""COMPUTED_VALUE"""),4)</f>
        <v>4</v>
      </c>
      <c r="O449" s="5" t="str">
        <f ca="1">IFERROR(__xludf.DUMMYFUNCTION("""COMPUTED_VALUE"""),"Fall")</f>
        <v>Fall</v>
      </c>
      <c r="P449" s="5" t="str">
        <f ca="1">IFERROR(__xludf.DUMMYFUNCTION("""COMPUTED_VALUE"""),"Drexel Hill")</f>
        <v>Drexel Hill</v>
      </c>
      <c r="Q449" s="5" t="str">
        <f ca="1">IFERROR(__xludf.DUMMYFUNCTION("""COMPUTED_VALUE"""),"PA")</f>
        <v>PA</v>
      </c>
      <c r="R449" s="5" t="str">
        <f ca="1">IFERROR(__xludf.DUMMYFUNCTION("""COMPUTED_VALUE"""),"Elementary")</f>
        <v>Elementary</v>
      </c>
      <c r="S449" s="5" t="str">
        <f ca="1">IFERROR(__xludf.DUMMYFUNCTION("""COMPUTED_VALUE"""),"School Bus")</f>
        <v>School Bus</v>
      </c>
      <c r="T449" s="5" t="str">
        <f ca="1">IFERROR(__xludf.DUMMYFUNCTION("""COMPUTED_VALUE"""),"School Bus")</f>
        <v>School Bus</v>
      </c>
      <c r="U449" s="5" t="str">
        <f ca="1">IFERROR(__xludf.DUMMYFUNCTION("""COMPUTED_VALUE"""),"Yes")</f>
        <v>Yes</v>
      </c>
      <c r="V449" s="5" t="str">
        <f ca="1">IFERROR(__xludf.DUMMYFUNCTION("""COMPUTED_VALUE"""),"School Start")</f>
        <v>School Start</v>
      </c>
      <c r="W449" s="10">
        <f ca="1">IFERROR(__xludf.DUMMYFUNCTION("""COMPUTED_VALUE"""),0.333333333333333)</f>
        <v>0.33333333333333298</v>
      </c>
      <c r="X449" s="5">
        <f ca="1">IFERROR(__xludf.DUMMYFUNCTION("""COMPUTED_VALUE"""),10)</f>
        <v>10</v>
      </c>
      <c r="Y449" s="5" t="str">
        <f ca="1">IFERROR(__xludf.DUMMYFUNCTION("""COMPUTED_VALUE"""),"Two students shot 4 classmates with pellet gun")</f>
        <v>Two students shot 4 classmates with pellet gun</v>
      </c>
      <c r="Z449" s="5" t="str">
        <f ca="1">IFERROR(__xludf.DUMMYFUNCTION("""COMPUTED_VALUE"""),"A 4th grade student with a pellet gun shot 3 students at the bus stop with a pellet gun. The students all got on the school bus and the student fired at a 4th victim. The student then passed the pellet gun to a 2nd student who fired at the 4th victim agai"&amp;"n. The bus driver was notified about the weapon, took it away, and drove to the school. Police and parents were notified. Both students who fired the gun were suspended.")</f>
        <v>A 4th grade student with a pellet gun shot 3 students at the bus stop with a pellet gun. The students all got on the school bus and the student fired at a 4th victim. The student then passed the pellet gun to a 2nd student who fired at the 4th victim again. The bus driver was notified about the weapon, took it away, and drove to the school. Police and parents were notified. Both students who fired the gun were suspended.</v>
      </c>
      <c r="AA449" s="5" t="str">
        <f ca="1">IFERROR(__xludf.DUMMYFUNCTION("""COMPUTED_VALUE"""),"Indiscriminate Shooting")</f>
        <v>Indiscriminate Shooting</v>
      </c>
      <c r="AB449" s="5" t="str">
        <f ca="1">IFERROR(__xludf.DUMMYFUNCTION("""COMPUTED_VALUE"""),"Both")</f>
        <v>Both</v>
      </c>
      <c r="AC449" s="5" t="str">
        <f ca="1">IFERROR(__xludf.DUMMYFUNCTION("""COMPUTED_VALUE"""),"Yes")</f>
        <v>Yes</v>
      </c>
      <c r="AD449" s="5" t="str">
        <f ca="1">IFERROR(__xludf.DUMMYFUNCTION("""COMPUTED_VALUE"""),"No")</f>
        <v>No</v>
      </c>
      <c r="AE449" s="5" t="str">
        <f ca="1">IFERROR(__xludf.DUMMYFUNCTION("""COMPUTED_VALUE"""),"No")</f>
        <v>No</v>
      </c>
      <c r="AF449" s="5" t="str">
        <f ca="1">IFERROR(__xludf.DUMMYFUNCTION("""COMPUTED_VALUE"""),"No")</f>
        <v>No</v>
      </c>
      <c r="AG449" s="5" t="str">
        <f ca="1">IFERROR(__xludf.DUMMYFUNCTION("""COMPUTED_VALUE"""),"No")</f>
        <v>No</v>
      </c>
      <c r="AH449" s="5" t="str">
        <f ca="1">IFERROR(__xludf.DUMMYFUNCTION("""COMPUTED_VALUE"""),"No")</f>
        <v>No</v>
      </c>
      <c r="AI449" s="5" t="str">
        <f ca="1">IFERROR(__xludf.DUMMYFUNCTION("""COMPUTED_VALUE"""),"No")</f>
        <v>No</v>
      </c>
      <c r="AJ449" s="5" t="str">
        <f ca="1">IFERROR(__xludf.DUMMYFUNCTION("""COMPUTED_VALUE"""),"No")</f>
        <v>No</v>
      </c>
    </row>
    <row r="450" spans="1:36" ht="13">
      <c r="A450" s="5" t="str">
        <f ca="1">IFERROR(__xludf.DUMMYFUNCTION("""COMPUTED_VALUE"""),"20211013ILMCC")</f>
        <v>20211013ILMCC</v>
      </c>
      <c r="B450" s="5">
        <f ca="1">IFERROR(__xludf.DUMMYFUNCTION("""COMPUTED_VALUE"""),10)</f>
        <v>10</v>
      </c>
      <c r="C450" s="5">
        <f ca="1">IFERROR(__xludf.DUMMYFUNCTION("""COMPUTED_VALUE"""),13)</f>
        <v>13</v>
      </c>
      <c r="D450" s="5">
        <f ca="1">IFERROR(__xludf.DUMMYFUNCTION("""COMPUTED_VALUE"""),2021)</f>
        <v>2021</v>
      </c>
      <c r="E450" s="8">
        <f ca="1">IFERROR(__xludf.DUMMYFUNCTION("""COMPUTED_VALUE"""),44482)</f>
        <v>44482</v>
      </c>
      <c r="F450" s="5" t="str">
        <f ca="1">IFERROR(__xludf.DUMMYFUNCTION("""COMPUTED_VALUE"""),"McDade Classical Elementary School")</f>
        <v>McDade Classical Elementary School</v>
      </c>
      <c r="G450" s="5">
        <f ca="1">IFERROR(__xludf.DUMMYFUNCTION("""COMPUTED_VALUE"""),0)</f>
        <v>0</v>
      </c>
      <c r="H450" s="5">
        <f ca="1">IFERROR(__xludf.DUMMYFUNCTION("""COMPUTED_VALUE"""),0)</f>
        <v>0</v>
      </c>
      <c r="I450" s="5">
        <f ca="1">IFERROR(__xludf.DUMMYFUNCTION("""COMPUTED_VALUE"""),0)</f>
        <v>0</v>
      </c>
      <c r="J450" s="5">
        <f ca="1">IFERROR(__xludf.DUMMYFUNCTION("""COMPUTED_VALUE"""),0)</f>
        <v>0</v>
      </c>
      <c r="K450" s="9" t="str">
        <f ca="1">IFERROR(__xludf.DUMMYFUNCTION("""COMPUTED_VALUE"""),"https://wgntv.com/news/chicagocrime/separate-shooting-incidents-outside-cps-schools-has-parents-on-edge/")</f>
        <v>https://wgntv.com/news/chicagocrime/separate-shooting-incidents-outside-cps-schools-has-parents-on-edge/</v>
      </c>
      <c r="L450" s="5">
        <f ca="1">IFERROR(__xludf.DUMMYFUNCTION("""COMPUTED_VALUE"""),5)</f>
        <v>5</v>
      </c>
      <c r="M450" s="5" t="str">
        <f ca="1">IFERROR(__xludf.DUMMYFUNCTION("""COMPUTED_VALUE"""),"Local")</f>
        <v>Local</v>
      </c>
      <c r="N450" s="5">
        <f ca="1">IFERROR(__xludf.DUMMYFUNCTION("""COMPUTED_VALUE"""),4)</f>
        <v>4</v>
      </c>
      <c r="O450" s="5" t="str">
        <f ca="1">IFERROR(__xludf.DUMMYFUNCTION("""COMPUTED_VALUE"""),"Fall")</f>
        <v>Fall</v>
      </c>
      <c r="P450" s="5" t="str">
        <f ca="1">IFERROR(__xludf.DUMMYFUNCTION("""COMPUTED_VALUE"""),"Chicago")</f>
        <v>Chicago</v>
      </c>
      <c r="Q450" s="5" t="str">
        <f ca="1">IFERROR(__xludf.DUMMYFUNCTION("""COMPUTED_VALUE"""),"IL")</f>
        <v>IL</v>
      </c>
      <c r="R450" s="5" t="str">
        <f ca="1">IFERROR(__xludf.DUMMYFUNCTION("""COMPUTED_VALUE"""),"Elementary")</f>
        <v>Elementary</v>
      </c>
      <c r="S450" s="5" t="str">
        <f ca="1">IFERROR(__xludf.DUMMYFUNCTION("""COMPUTED_VALUE"""),"Front of School")</f>
        <v>Front of School</v>
      </c>
      <c r="T450" s="5" t="str">
        <f ca="1">IFERROR(__xludf.DUMMYFUNCTION("""COMPUTED_VALUE"""),"Outside on School Property")</f>
        <v>Outside on School Property</v>
      </c>
      <c r="U450" s="5" t="str">
        <f ca="1">IFERROR(__xludf.DUMMYFUNCTION("""COMPUTED_VALUE"""),"Yes")</f>
        <v>Yes</v>
      </c>
      <c r="V450" s="5" t="str">
        <f ca="1">IFERROR(__xludf.DUMMYFUNCTION("""COMPUTED_VALUE"""),"School Start")</f>
        <v>School Start</v>
      </c>
      <c r="W450" s="10">
        <f ca="1">IFERROR(__xludf.DUMMYFUNCTION("""COMPUTED_VALUE"""),0.360416666666666)</f>
        <v>0.360416666666666</v>
      </c>
      <c r="X450" s="5">
        <f ca="1">IFERROR(__xludf.DUMMYFUNCTION("""COMPUTED_VALUE"""),1)</f>
        <v>1</v>
      </c>
      <c r="Y450" s="5" t="str">
        <f ca="1">IFERROR(__xludf.DUMMYFUNCTION("""COMPUTED_VALUE"""),"28 shots fired from a vehicle, multiple bullets hit school building")</f>
        <v>28 shots fired from a vehicle, multiple bullets hit school building</v>
      </c>
      <c r="Z450" s="5" t="str">
        <f ca="1">IFERROR(__xludf.DUMMYFUNCTION("""COMPUTED_VALUE"""),"As the school was opening, 28 shots were fired from a passing vehicle and multiple bullets hit the school building. Multiple bullets hit the cafeteria windows. School was locked down. No injuries to students or staff.")</f>
        <v>As the school was opening, 28 shots were fired from a passing vehicle and multiple bullets hit the school building. Multiple bullets hit the cafeteria windows. School was locked down. No injuries to students or staff.</v>
      </c>
      <c r="AA450" s="5" t="str">
        <f ca="1">IFERROR(__xludf.DUMMYFUNCTION("""COMPUTED_VALUE"""),"Drive-by Shooting")</f>
        <v>Drive-by Shooting</v>
      </c>
      <c r="AB450" s="5" t="str">
        <f ca="1">IFERROR(__xludf.DUMMYFUNCTION("""COMPUTED_VALUE"""),"Random Shooting")</f>
        <v>Random Shooting</v>
      </c>
      <c r="AC450" s="5"/>
      <c r="AD450" s="5" t="str">
        <f ca="1">IFERROR(__xludf.DUMMYFUNCTION("""COMPUTED_VALUE"""),"No")</f>
        <v>No</v>
      </c>
      <c r="AE450" s="5" t="str">
        <f ca="1">IFERROR(__xludf.DUMMYFUNCTION("""COMPUTED_VALUE"""),"No")</f>
        <v>No</v>
      </c>
      <c r="AF450" s="5" t="str">
        <f ca="1">IFERROR(__xludf.DUMMYFUNCTION("""COMPUTED_VALUE"""),"No")</f>
        <v>No</v>
      </c>
      <c r="AG450" s="5" t="str">
        <f ca="1">IFERROR(__xludf.DUMMYFUNCTION("""COMPUTED_VALUE"""),"No")</f>
        <v>No</v>
      </c>
      <c r="AH450" s="5" t="str">
        <f ca="1">IFERROR(__xludf.DUMMYFUNCTION("""COMPUTED_VALUE"""),"No")</f>
        <v>No</v>
      </c>
      <c r="AI450" s="5"/>
      <c r="AJ450" s="5" t="str">
        <f ca="1">IFERROR(__xludf.DUMMYFUNCTION("""COMPUTED_VALUE"""),"No")</f>
        <v>No</v>
      </c>
    </row>
    <row r="451" spans="1:36" ht="13">
      <c r="A451" s="5" t="str">
        <f ca="1">IFERROR(__xludf.DUMMYFUNCTION("""COMPUTED_VALUE"""),"20211012MIELK")</f>
        <v>20211012MIELK</v>
      </c>
      <c r="B451" s="5">
        <f ca="1">IFERROR(__xludf.DUMMYFUNCTION("""COMPUTED_VALUE"""),10)</f>
        <v>10</v>
      </c>
      <c r="C451" s="5">
        <f ca="1">IFERROR(__xludf.DUMMYFUNCTION("""COMPUTED_VALUE"""),12)</f>
        <v>12</v>
      </c>
      <c r="D451" s="5">
        <f ca="1">IFERROR(__xludf.DUMMYFUNCTION("""COMPUTED_VALUE"""),2021)</f>
        <v>2021</v>
      </c>
      <c r="E451" s="8">
        <f ca="1">IFERROR(__xludf.DUMMYFUNCTION("""COMPUTED_VALUE"""),44481)</f>
        <v>44481</v>
      </c>
      <c r="F451" s="5" t="str">
        <f ca="1">IFERROR(__xludf.DUMMYFUNCTION("""COMPUTED_VALUE"""),"El Sol Academy")</f>
        <v>El Sol Academy</v>
      </c>
      <c r="G451" s="5">
        <f ca="1">IFERROR(__xludf.DUMMYFUNCTION("""COMPUTED_VALUE"""),0)</f>
        <v>0</v>
      </c>
      <c r="H451" s="5">
        <f ca="1">IFERROR(__xludf.DUMMYFUNCTION("""COMPUTED_VALUE"""),2)</f>
        <v>2</v>
      </c>
      <c r="I451" s="5">
        <f ca="1">IFERROR(__xludf.DUMMYFUNCTION("""COMPUTED_VALUE"""),2)</f>
        <v>2</v>
      </c>
      <c r="J451" s="5">
        <f ca="1">IFERROR(__xludf.DUMMYFUNCTION("""COMPUTED_VALUE"""),0)</f>
        <v>0</v>
      </c>
      <c r="K451" s="5" t="str">
        <f ca="1">IFERROR(__xludf.DUMMYFUNCTION("""COMPUTED_VALUE"""),"https://wwmt.com/news/local/two-teen-boys-shot-in-kalamazoo https://www.mlive.com/news/kalamazoo/2021/10/two-teenage-boys-shot-tuesday-afternoon-in-kalamazoo-both-still-alive-police-say.html")</f>
        <v>https://wwmt.com/news/local/two-teen-boys-shot-in-kalamazoo https://www.mlive.com/news/kalamazoo/2021/10/two-teenage-boys-shot-tuesday-afternoon-in-kalamazoo-both-still-alive-police-say.html</v>
      </c>
      <c r="L451" s="5">
        <f ca="1">IFERROR(__xludf.DUMMYFUNCTION("""COMPUTED_VALUE"""),5)</f>
        <v>5</v>
      </c>
      <c r="M451" s="5" t="str">
        <f ca="1">IFERROR(__xludf.DUMMYFUNCTION("""COMPUTED_VALUE"""),"Local")</f>
        <v>Local</v>
      </c>
      <c r="N451" s="5">
        <f ca="1">IFERROR(__xludf.DUMMYFUNCTION("""COMPUTED_VALUE"""),4)</f>
        <v>4</v>
      </c>
      <c r="O451" s="5" t="str">
        <f ca="1">IFERROR(__xludf.DUMMYFUNCTION("""COMPUTED_VALUE"""),"Fall")</f>
        <v>Fall</v>
      </c>
      <c r="P451" s="5" t="str">
        <f ca="1">IFERROR(__xludf.DUMMYFUNCTION("""COMPUTED_VALUE"""),"Kalamazoo")</f>
        <v>Kalamazoo</v>
      </c>
      <c r="Q451" s="5" t="str">
        <f ca="1">IFERROR(__xludf.DUMMYFUNCTION("""COMPUTED_VALUE"""),"MI")</f>
        <v>MI</v>
      </c>
      <c r="R451" s="5" t="str">
        <f ca="1">IFERROR(__xludf.DUMMYFUNCTION("""COMPUTED_VALUE"""),"Elementary")</f>
        <v>Elementary</v>
      </c>
      <c r="S451" s="5" t="str">
        <f ca="1">IFERROR(__xludf.DUMMYFUNCTION("""COMPUTED_VALUE"""),"Parking Lot")</f>
        <v>Parking Lot</v>
      </c>
      <c r="T451" s="5" t="str">
        <f ca="1">IFERROR(__xludf.DUMMYFUNCTION("""COMPUTED_VALUE"""),"Outside on School Property")</f>
        <v>Outside on School Property</v>
      </c>
      <c r="U451" s="5" t="str">
        <f ca="1">IFERROR(__xludf.DUMMYFUNCTION("""COMPUTED_VALUE"""),"No")</f>
        <v>No</v>
      </c>
      <c r="V451" s="5" t="str">
        <f ca="1">IFERROR(__xludf.DUMMYFUNCTION("""COMPUTED_VALUE"""),"After School")</f>
        <v>After School</v>
      </c>
      <c r="W451" s="10">
        <f ca="1">IFERROR(__xludf.DUMMYFUNCTION("""COMPUTED_VALUE"""),0.666666666666666)</f>
        <v>0.66666666666666596</v>
      </c>
      <c r="X451" s="5">
        <f ca="1">IFERROR(__xludf.DUMMYFUNCTION("""COMPUTED_VALUE"""),1)</f>
        <v>1</v>
      </c>
      <c r="Y451" s="5" t="str">
        <f ca="1">IFERROR(__xludf.DUMMYFUNCTION("""COMPUTED_VALUE"""),"Group of teens was shot by a masked gunman")</f>
        <v>Group of teens was shot by a masked gunman</v>
      </c>
      <c r="Z451" s="5" t="str">
        <f ca="1">IFERROR(__xludf.DUMMYFUNCTION("""COMPUTED_VALUE"""),"A group of teens walking near the gate to the school parking lot were shot at by a masked gunman. 15-year-old and 17-year-old were shot, one critical condition. Neither of the victims were students at the school. Gunman fled.")</f>
        <v>A group of teens walking near the gate to the school parking lot were shot at by a masked gunman. 15-year-old and 17-year-old were shot, one critical condition. Neither of the victims were students at the school. Gunman fled.</v>
      </c>
      <c r="AA451" s="5"/>
      <c r="AB451" s="5" t="str">
        <f ca="1">IFERROR(__xludf.DUMMYFUNCTION("""COMPUTED_VALUE"""),"Victims Targeted")</f>
        <v>Victims Targeted</v>
      </c>
      <c r="AC451" s="5" t="str">
        <f ca="1">IFERROR(__xludf.DUMMYFUNCTION("""COMPUTED_VALUE"""),"No")</f>
        <v>No</v>
      </c>
      <c r="AD451" s="5" t="str">
        <f ca="1">IFERROR(__xludf.DUMMYFUNCTION("""COMPUTED_VALUE"""),"No")</f>
        <v>No</v>
      </c>
      <c r="AE451" s="5" t="str">
        <f ca="1">IFERROR(__xludf.DUMMYFUNCTION("""COMPUTED_VALUE"""),"No")</f>
        <v>No</v>
      </c>
      <c r="AF451" s="5" t="str">
        <f ca="1">IFERROR(__xludf.DUMMYFUNCTION("""COMPUTED_VALUE"""),"No")</f>
        <v>No</v>
      </c>
      <c r="AG451" s="5" t="str">
        <f ca="1">IFERROR(__xludf.DUMMYFUNCTION("""COMPUTED_VALUE"""),"No")</f>
        <v>No</v>
      </c>
      <c r="AH451" s="5" t="str">
        <f ca="1">IFERROR(__xludf.DUMMYFUNCTION("""COMPUTED_VALUE"""),"No")</f>
        <v>No</v>
      </c>
      <c r="AI451" s="5"/>
      <c r="AJ451" s="5" t="str">
        <f ca="1">IFERROR(__xludf.DUMMYFUNCTION("""COMPUTED_VALUE"""),"No")</f>
        <v>No</v>
      </c>
    </row>
    <row r="452" spans="1:36" ht="13">
      <c r="A452" s="5" t="str">
        <f ca="1">IFERROR(__xludf.DUMMYFUNCTION("""COMPUTED_VALUE"""),"20211012OKUNT")</f>
        <v>20211012OKUNT</v>
      </c>
      <c r="B452" s="5">
        <f ca="1">IFERROR(__xludf.DUMMYFUNCTION("""COMPUTED_VALUE"""),10)</f>
        <v>10</v>
      </c>
      <c r="C452" s="5">
        <f ca="1">IFERROR(__xludf.DUMMYFUNCTION("""COMPUTED_VALUE"""),12)</f>
        <v>12</v>
      </c>
      <c r="D452" s="5">
        <f ca="1">IFERROR(__xludf.DUMMYFUNCTION("""COMPUTED_VALUE"""),2021)</f>
        <v>2021</v>
      </c>
      <c r="E452" s="8">
        <f ca="1">IFERROR(__xludf.DUMMYFUNCTION("""COMPUTED_VALUE"""),44481)</f>
        <v>44481</v>
      </c>
      <c r="F452" s="5" t="str">
        <f ca="1">IFERROR(__xludf.DUMMYFUNCTION("""COMPUTED_VALUE"""),"Union High School")</f>
        <v>Union High School</v>
      </c>
      <c r="G452" s="5">
        <f ca="1">IFERROR(__xludf.DUMMYFUNCTION("""COMPUTED_VALUE"""),0)</f>
        <v>0</v>
      </c>
      <c r="H452" s="5">
        <f ca="1">IFERROR(__xludf.DUMMYFUNCTION("""COMPUTED_VALUE"""),0)</f>
        <v>0</v>
      </c>
      <c r="I452" s="5">
        <f ca="1">IFERROR(__xludf.DUMMYFUNCTION("""COMPUTED_VALUE"""),0)</f>
        <v>0</v>
      </c>
      <c r="J452" s="5">
        <f ca="1">IFERROR(__xludf.DUMMYFUNCTION("""COMPUTED_VALUE"""),0)</f>
        <v>0</v>
      </c>
      <c r="K452" s="5" t="str">
        <f ca="1">IFERROR(__xludf.DUMMYFUNCTION("""COMPUTED_VALUE"""),"https://www.fox23.com/news/local/union-public-schools-tulsa-police-investigating-after-group-students-shot-with-airsoft-gun/BZATDDYSCFDB5AFPAJDEWLQERA/ https://ktul.com/news/local/tpd-warns-of-using-gel-shooters-after-union-shooting-incident https://tulsa"&amp;"world.com/news/local/education/two-union-high-school-students-suspended-after-toy-gun-incident-at-other-campus/article_7039f578-2c5a-11ec-ad75-27b3fc7c7a07.html")</f>
        <v>https://www.fox23.com/news/local/union-public-schools-tulsa-police-investigating-after-group-students-shot-with-airsoft-gun/BZATDDYSCFDB5AFPAJDEWLQERA/ https://ktul.com/news/local/tpd-warns-of-using-gel-shooters-after-union-shooting-incident https://tulsaworld.com/news/local/education/two-union-high-school-students-suspended-after-toy-gun-incident-at-other-campus/article_7039f578-2c5a-11ec-ad75-27b3fc7c7a07.html</v>
      </c>
      <c r="L452" s="5">
        <f ca="1">IFERROR(__xludf.DUMMYFUNCTION("""COMPUTED_VALUE"""),5)</f>
        <v>5</v>
      </c>
      <c r="M452" s="5" t="str">
        <f ca="1">IFERROR(__xludf.DUMMYFUNCTION("""COMPUTED_VALUE"""),"Local")</f>
        <v>Local</v>
      </c>
      <c r="N452" s="5">
        <f ca="1">IFERROR(__xludf.DUMMYFUNCTION("""COMPUTED_VALUE"""),4)</f>
        <v>4</v>
      </c>
      <c r="O452" s="5" t="str">
        <f ca="1">IFERROR(__xludf.DUMMYFUNCTION("""COMPUTED_VALUE"""),"Fall")</f>
        <v>Fall</v>
      </c>
      <c r="P452" s="5" t="str">
        <f ca="1">IFERROR(__xludf.DUMMYFUNCTION("""COMPUTED_VALUE"""),"Tulsa")</f>
        <v>Tulsa</v>
      </c>
      <c r="Q452" s="5" t="str">
        <f ca="1">IFERROR(__xludf.DUMMYFUNCTION("""COMPUTED_VALUE"""),"OK")</f>
        <v>OK</v>
      </c>
      <c r="R452" s="5" t="str">
        <f ca="1">IFERROR(__xludf.DUMMYFUNCTION("""COMPUTED_VALUE"""),"High")</f>
        <v>High</v>
      </c>
      <c r="S452" s="5" t="str">
        <f ca="1">IFERROR(__xludf.DUMMYFUNCTION("""COMPUTED_VALUE"""),"Front of School")</f>
        <v>Front of School</v>
      </c>
      <c r="T452" s="5" t="str">
        <f ca="1">IFERROR(__xludf.DUMMYFUNCTION("""COMPUTED_VALUE"""),"Outside on School Property")</f>
        <v>Outside on School Property</v>
      </c>
      <c r="U452" s="5" t="str">
        <f ca="1">IFERROR(__xludf.DUMMYFUNCTION("""COMPUTED_VALUE"""),"Yes")</f>
        <v>Yes</v>
      </c>
      <c r="V452" s="5" t="str">
        <f ca="1">IFERROR(__xludf.DUMMYFUNCTION("""COMPUTED_VALUE"""),"Dismissal")</f>
        <v>Dismissal</v>
      </c>
      <c r="W452" s="10">
        <f ca="1">IFERROR(__xludf.DUMMYFUNCTION("""COMPUTED_VALUE"""),0.604166666666666)</f>
        <v>0.60416666666666596</v>
      </c>
      <c r="X452" s="5">
        <f ca="1">IFERROR(__xludf.DUMMYFUNCTION("""COMPUTED_VALUE"""),1)</f>
        <v>1</v>
      </c>
      <c r="Y452" s="5" t="str">
        <f ca="1">IFERROR(__xludf.DUMMYFUNCTION("""COMPUTED_VALUE"""),"Student fired plastic projectile gun at group of students and staff waiting for the buses")</f>
        <v>Student fired plastic projectile gun at group of students and staff waiting for the buses</v>
      </c>
      <c r="Z452" s="5" t="str">
        <f ca="1">IFERROR(__xludf.DUMMYFUNCTION("""COMPUTED_VALUE"""),"A student in a vehicle fired a plastic projectile gun at 12 students and 2 staff members who were waiting for the buses in front of the school. Police described the weapon as a fully automatic gel projectile weapon. Students were evaluated by the school n"&amp;"urse and did not have any injuries. Police were called for a shooting at the school. Both students (driver and shooter) were detained and suspended, but no charges were filed. The plastic gun was purchased at the fair.")</f>
        <v>A student in a vehicle fired a plastic projectile gun at 12 students and 2 staff members who were waiting for the buses in front of the school. Police described the weapon as a fully automatic gel projectile weapon. Students were evaluated by the school nurse and did not have any injuries. Police were called for a shooting at the school. Both students (driver and shooter) were detained and suspended, but no charges were filed. The plastic gun was purchased at the fair.</v>
      </c>
      <c r="AA452" s="5" t="str">
        <f ca="1">IFERROR(__xludf.DUMMYFUNCTION("""COMPUTED_VALUE"""),"Drive-by Shooting")</f>
        <v>Drive-by Shooting</v>
      </c>
      <c r="AB452" s="5" t="str">
        <f ca="1">IFERROR(__xludf.DUMMYFUNCTION("""COMPUTED_VALUE"""),"Random Shooting")</f>
        <v>Random Shooting</v>
      </c>
      <c r="AC452" s="5" t="str">
        <f ca="1">IFERROR(__xludf.DUMMYFUNCTION("""COMPUTED_VALUE"""),"Yes")</f>
        <v>Yes</v>
      </c>
      <c r="AD452" s="5" t="str">
        <f ca="1">IFERROR(__xludf.DUMMYFUNCTION("""COMPUTED_VALUE"""),"No")</f>
        <v>No</v>
      </c>
      <c r="AE452" s="5" t="str">
        <f ca="1">IFERROR(__xludf.DUMMYFUNCTION("""COMPUTED_VALUE"""),"No")</f>
        <v>No</v>
      </c>
      <c r="AF452" s="5" t="str">
        <f ca="1">IFERROR(__xludf.DUMMYFUNCTION("""COMPUTED_VALUE"""),"No")</f>
        <v>No</v>
      </c>
      <c r="AG452" s="5" t="str">
        <f ca="1">IFERROR(__xludf.DUMMYFUNCTION("""COMPUTED_VALUE"""),"No")</f>
        <v>No</v>
      </c>
      <c r="AH452" s="5" t="str">
        <f ca="1">IFERROR(__xludf.DUMMYFUNCTION("""COMPUTED_VALUE"""),"No")</f>
        <v>No</v>
      </c>
      <c r="AI452" s="5" t="str">
        <f ca="1">IFERROR(__xludf.DUMMYFUNCTION("""COMPUTED_VALUE"""),"No")</f>
        <v>No</v>
      </c>
      <c r="AJ452" s="5" t="str">
        <f ca="1">IFERROR(__xludf.DUMMYFUNCTION("""COMPUTED_VALUE"""),"No")</f>
        <v>No</v>
      </c>
    </row>
    <row r="453" spans="1:36" ht="13">
      <c r="A453" s="5" t="str">
        <f ca="1">IFERROR(__xludf.DUMMYFUNCTION("""COMPUTED_VALUE"""),"20211012ILWEC")</f>
        <v>20211012ILWEC</v>
      </c>
      <c r="B453" s="5">
        <f ca="1">IFERROR(__xludf.DUMMYFUNCTION("""COMPUTED_VALUE"""),10)</f>
        <v>10</v>
      </c>
      <c r="C453" s="5">
        <f ca="1">IFERROR(__xludf.DUMMYFUNCTION("""COMPUTED_VALUE"""),12)</f>
        <v>12</v>
      </c>
      <c r="D453" s="5">
        <f ca="1">IFERROR(__xludf.DUMMYFUNCTION("""COMPUTED_VALUE"""),2021)</f>
        <v>2021</v>
      </c>
      <c r="E453" s="8">
        <f ca="1">IFERROR(__xludf.DUMMYFUNCTION("""COMPUTED_VALUE"""),44481)</f>
        <v>44481</v>
      </c>
      <c r="F453" s="5" t="str">
        <f ca="1">IFERROR(__xludf.DUMMYFUNCTION("""COMPUTED_VALUE"""),"Wendell Phillips Academy High School")</f>
        <v>Wendell Phillips Academy High School</v>
      </c>
      <c r="G453" s="5">
        <f ca="1">IFERROR(__xludf.DUMMYFUNCTION("""COMPUTED_VALUE"""),0)</f>
        <v>0</v>
      </c>
      <c r="H453" s="5">
        <f ca="1">IFERROR(__xludf.DUMMYFUNCTION("""COMPUTED_VALUE"""),2)</f>
        <v>2</v>
      </c>
      <c r="I453" s="5">
        <f ca="1">IFERROR(__xludf.DUMMYFUNCTION("""COMPUTED_VALUE"""),2)</f>
        <v>2</v>
      </c>
      <c r="J453" s="5">
        <f ca="1">IFERROR(__xludf.DUMMYFUNCTION("""COMPUTED_VALUE"""),0)</f>
        <v>0</v>
      </c>
      <c r="K453" s="5" t="str">
        <f ca="1">IFERROR(__xludf.DUMMYFUNCTION("""COMPUTED_VALUE"""),"https://abc7chicago.com/chicago-shooting-wendell-phillips-academy-high-school-bronzeville-pershing/11120421/ https://www.chicagotribune.com/news/breaking/ct-phillips-academy-shooting-st-sabina-family-speaks-20211013-2wmzyt3lmvgwhi7bytzjduqym4-story.html h"&amp;"ttps://chicago.cbslocal.com/2021/10/12/student-school-resource-officer-shot-wendell-phillips-academy-high-school-shooting-bronzeville/ https://chicago.suntimes.com/crime/2021/10/12/22723253/wendell-phillips-academy-high-school-shooting")</f>
        <v>https://abc7chicago.com/chicago-shooting-wendell-phillips-academy-high-school-bronzeville-pershing/11120421/ https://www.chicagotribune.com/news/breaking/ct-phillips-academy-shooting-st-sabina-family-speaks-20211013-2wmzyt3lmvgwhi7bytzjduqym4-story.html https://chicago.cbslocal.com/2021/10/12/student-school-resource-officer-shot-wendell-phillips-academy-high-school-shooting-bronzeville/ https://chicago.suntimes.com/crime/2021/10/12/22723253/wendell-phillips-academy-high-school-shooting</v>
      </c>
      <c r="L453" s="5">
        <f ca="1">IFERROR(__xludf.DUMMYFUNCTION("""COMPUTED_VALUE"""),10)</f>
        <v>10</v>
      </c>
      <c r="M453" s="5" t="str">
        <f ca="1">IFERROR(__xludf.DUMMYFUNCTION("""COMPUTED_VALUE"""),"Regional")</f>
        <v>Regional</v>
      </c>
      <c r="N453" s="5">
        <f ca="1">IFERROR(__xludf.DUMMYFUNCTION("""COMPUTED_VALUE"""),4)</f>
        <v>4</v>
      </c>
      <c r="O453" s="5" t="str">
        <f ca="1">IFERROR(__xludf.DUMMYFUNCTION("""COMPUTED_VALUE"""),"Fall")</f>
        <v>Fall</v>
      </c>
      <c r="P453" s="5" t="str">
        <f ca="1">IFERROR(__xludf.DUMMYFUNCTION("""COMPUTED_VALUE"""),"Chicago")</f>
        <v>Chicago</v>
      </c>
      <c r="Q453" s="5" t="str">
        <f ca="1">IFERROR(__xludf.DUMMYFUNCTION("""COMPUTED_VALUE"""),"IL")</f>
        <v>IL</v>
      </c>
      <c r="R453" s="5" t="str">
        <f ca="1">IFERROR(__xludf.DUMMYFUNCTION("""COMPUTED_VALUE"""),"High")</f>
        <v>High</v>
      </c>
      <c r="S453" s="5" t="str">
        <f ca="1">IFERROR(__xludf.DUMMYFUNCTION("""COMPUTED_VALUE"""),"Entryway")</f>
        <v>Entryway</v>
      </c>
      <c r="T453" s="5" t="str">
        <f ca="1">IFERROR(__xludf.DUMMYFUNCTION("""COMPUTED_VALUE"""),"Outside on School Property")</f>
        <v>Outside on School Property</v>
      </c>
      <c r="U453" s="5" t="str">
        <f ca="1">IFERROR(__xludf.DUMMYFUNCTION("""COMPUTED_VALUE"""),"Yes")</f>
        <v>Yes</v>
      </c>
      <c r="V453" s="5" t="str">
        <f ca="1">IFERROR(__xludf.DUMMYFUNCTION("""COMPUTED_VALUE"""),"Dismissal")</f>
        <v>Dismissal</v>
      </c>
      <c r="W453" s="10">
        <f ca="1">IFERROR(__xludf.DUMMYFUNCTION("""COMPUTED_VALUE"""),0.604166666666666)</f>
        <v>0.60416666666666596</v>
      </c>
      <c r="X453" s="5">
        <f ca="1">IFERROR(__xludf.DUMMYFUNCTION("""COMPUTED_VALUE"""),1)</f>
        <v>1</v>
      </c>
      <c r="Y453" s="5" t="str">
        <f ca="1">IFERROR(__xludf.DUMMYFUNCTION("""COMPUTED_VALUE"""),"SRO and student shot multiple times when they exited school at dismissal")</f>
        <v>SRO and student shot multiple times when they exited school at dismissal</v>
      </c>
      <c r="Z453" s="5" t="str">
        <f ca="1">IFERROR(__xludf.DUMMYFUNCTION("""COMPUTED_VALUE"""),"When the SRO opened the locked front door to the school at dismissal, a masked gunman fired 8 shots striking him 5 times and a 14-year-old student 3 times. The student was critically injured. Both were transported to the hospital. Shooter fled in a vehicl"&amp;"e. School was locked down and students were released individually to their parents. Motive unknown. No suspect identified.")</f>
        <v>When the SRO opened the locked front door to the school at dismissal, a masked gunman fired 8 shots striking him 5 times and a 14-year-old student 3 times. The student was critically injured. Both were transported to the hospital. Shooter fled in a vehicle. School was locked down and students were released individually to their parents. Motive unknown. No suspect identified.</v>
      </c>
      <c r="AA453" s="5"/>
      <c r="AB453" s="5" t="str">
        <f ca="1">IFERROR(__xludf.DUMMYFUNCTION("""COMPUTED_VALUE"""),"Both")</f>
        <v>Both</v>
      </c>
      <c r="AC453" s="5" t="str">
        <f ca="1">IFERROR(__xludf.DUMMYFUNCTION("""COMPUTED_VALUE"""),"No")</f>
        <v>No</v>
      </c>
      <c r="AD453" s="5" t="str">
        <f ca="1">IFERROR(__xludf.DUMMYFUNCTION("""COMPUTED_VALUE"""),"No")</f>
        <v>No</v>
      </c>
      <c r="AE453" s="5" t="str">
        <f ca="1">IFERROR(__xludf.DUMMYFUNCTION("""COMPUTED_VALUE"""),"No")</f>
        <v>No</v>
      </c>
      <c r="AF453" s="5" t="str">
        <f ca="1">IFERROR(__xludf.DUMMYFUNCTION("""COMPUTED_VALUE"""),"No")</f>
        <v>No</v>
      </c>
      <c r="AG453" s="5" t="str">
        <f ca="1">IFERROR(__xludf.DUMMYFUNCTION("""COMPUTED_VALUE"""),"No")</f>
        <v>No</v>
      </c>
      <c r="AH453" s="5" t="str">
        <f ca="1">IFERROR(__xludf.DUMMYFUNCTION("""COMPUTED_VALUE"""),"No")</f>
        <v>No</v>
      </c>
      <c r="AI453" s="5"/>
      <c r="AJ453" s="5" t="str">
        <f ca="1">IFERROR(__xludf.DUMMYFUNCTION("""COMPUTED_VALUE"""),"No")</f>
        <v>No</v>
      </c>
    </row>
    <row r="454" spans="1:36" ht="13">
      <c r="A454" s="5" t="str">
        <f ca="1">IFERROR(__xludf.DUMMYFUNCTION("""COMPUTED_VALUE"""),"20211012ARLIL")</f>
        <v>20211012ARLIL</v>
      </c>
      <c r="B454" s="5">
        <f ca="1">IFERROR(__xludf.DUMMYFUNCTION("""COMPUTED_VALUE"""),10)</f>
        <v>10</v>
      </c>
      <c r="C454" s="5">
        <f ca="1">IFERROR(__xludf.DUMMYFUNCTION("""COMPUTED_VALUE"""),12)</f>
        <v>12</v>
      </c>
      <c r="D454" s="5">
        <f ca="1">IFERROR(__xludf.DUMMYFUNCTION("""COMPUTED_VALUE"""),2021)</f>
        <v>2021</v>
      </c>
      <c r="E454" s="8">
        <f ca="1">IFERROR(__xludf.DUMMYFUNCTION("""COMPUTED_VALUE"""),44481)</f>
        <v>44481</v>
      </c>
      <c r="F454" s="5" t="str">
        <f ca="1">IFERROR(__xludf.DUMMYFUNCTION("""COMPUTED_VALUE"""),"Little Rock Central High School")</f>
        <v>Little Rock Central High School</v>
      </c>
      <c r="G454" s="5">
        <f ca="1">IFERROR(__xludf.DUMMYFUNCTION("""COMPUTED_VALUE"""),0)</f>
        <v>0</v>
      </c>
      <c r="H454" s="5">
        <f ca="1">IFERROR(__xludf.DUMMYFUNCTION("""COMPUTED_VALUE"""),0)</f>
        <v>0</v>
      </c>
      <c r="I454" s="5">
        <f ca="1">IFERROR(__xludf.DUMMYFUNCTION("""COMPUTED_VALUE"""),0)</f>
        <v>0</v>
      </c>
      <c r="J454" s="5">
        <f ca="1">IFERROR(__xludf.DUMMYFUNCTION("""COMPUTED_VALUE"""),0)</f>
        <v>0</v>
      </c>
      <c r="K454" s="5" t="str">
        <f ca="1">IFERROR(__xludf.DUMMYFUNCTION("""COMPUTED_VALUE"""),"https://www.arkansasonline.com/news/2021/oct/12/little-rock-central-high-put-temporary-lockdown-af/ https://www.thv11.com/article/news/crime/little-rock-central-lockdown-shooting-near-campus/91-21226e32-cf70-444e-b8fe-04fd6f90b7cf https://www.kark.com/new"&amp;"s/local-news/little-rock-central-high-school-on-precautionary-lockdown/ https://www.google.com/search?rlz=1C1VDKB_enUS974US974&amp;sxsrf=AOaemvKsqOdyIrD9kgUyd_VjB8L7qZHTwA:1634169801253&amp;q=little+rock+central+high+school&amp;tbm=nws&amp;source=univ&amp;tbo=u&amp;sa=X&amp;sqi=2&amp;ve"&amp;"d=2ahUKEwifhYb0zMjzAhWzSfEDHQQeDxUQt8YBegQICBAG&amp;biw=1077&amp;bih=736&amp;dpr=1")</f>
        <v>https://www.arkansasonline.com/news/2021/oct/12/little-rock-central-high-put-temporary-lockdown-af/ https://www.thv11.com/article/news/crime/little-rock-central-lockdown-shooting-near-campus/91-21226e32-cf70-444e-b8fe-04fd6f90b7cf https://www.kark.com/news/local-news/little-rock-central-high-school-on-precautionary-lockdown/ https://www.google.com/search?rlz=1C1VDKB_enUS974US974&amp;sxsrf=AOaemvKsqOdyIrD9kgUyd_VjB8L7qZHTwA:1634169801253&amp;q=little+rock+central+high+school&amp;tbm=nws&amp;source=univ&amp;tbo=u&amp;sa=X&amp;sqi=2&amp;ved=2ahUKEwifhYb0zMjzAhWzSfEDHQQeDxUQt8YBegQICBAG&amp;biw=1077&amp;bih=736&amp;dpr=1</v>
      </c>
      <c r="L454" s="5">
        <f ca="1">IFERROR(__xludf.DUMMYFUNCTION("""COMPUTED_VALUE"""),5)</f>
        <v>5</v>
      </c>
      <c r="M454" s="5" t="str">
        <f ca="1">IFERROR(__xludf.DUMMYFUNCTION("""COMPUTED_VALUE"""),"Local")</f>
        <v>Local</v>
      </c>
      <c r="N454" s="5">
        <f ca="1">IFERROR(__xludf.DUMMYFUNCTION("""COMPUTED_VALUE"""),4)</f>
        <v>4</v>
      </c>
      <c r="O454" s="5" t="str">
        <f ca="1">IFERROR(__xludf.DUMMYFUNCTION("""COMPUTED_VALUE"""),"Fall")</f>
        <v>Fall</v>
      </c>
      <c r="P454" s="5" t="str">
        <f ca="1">IFERROR(__xludf.DUMMYFUNCTION("""COMPUTED_VALUE"""),"Little Rock")</f>
        <v>Little Rock</v>
      </c>
      <c r="Q454" s="5" t="str">
        <f ca="1">IFERROR(__xludf.DUMMYFUNCTION("""COMPUTED_VALUE"""),"AR")</f>
        <v>AR</v>
      </c>
      <c r="R454" s="5" t="str">
        <f ca="1">IFERROR(__xludf.DUMMYFUNCTION("""COMPUTED_VALUE"""),"High")</f>
        <v>High</v>
      </c>
      <c r="S454" s="5" t="str">
        <f ca="1">IFERROR(__xludf.DUMMYFUNCTION("""COMPUTED_VALUE"""),"Front of School")</f>
        <v>Front of School</v>
      </c>
      <c r="T454" s="5" t="str">
        <f ca="1">IFERROR(__xludf.DUMMYFUNCTION("""COMPUTED_VALUE"""),"Outside on School Property")</f>
        <v>Outside on School Property</v>
      </c>
      <c r="U454" s="5" t="str">
        <f ca="1">IFERROR(__xludf.DUMMYFUNCTION("""COMPUTED_VALUE"""),"Yes")</f>
        <v>Yes</v>
      </c>
      <c r="V454" s="5" t="str">
        <f ca="1">IFERROR(__xludf.DUMMYFUNCTION("""COMPUTED_VALUE"""),"Morning Classes")</f>
        <v>Morning Classes</v>
      </c>
      <c r="W454" s="10">
        <f ca="1">IFERROR(__xludf.DUMMYFUNCTION("""COMPUTED_VALUE"""),0.493055555555555)</f>
        <v>0.49305555555555503</v>
      </c>
      <c r="X454" s="5">
        <f ca="1">IFERROR(__xludf.DUMMYFUNCTION("""COMPUTED_VALUE"""),1)</f>
        <v>1</v>
      </c>
      <c r="Y454" s="5" t="str">
        <f ca="1">IFERROR(__xludf.DUMMYFUNCTION("""COMPUTED_VALUE"""),"Multiple bullets struck school and broke an occupied classroom window")</f>
        <v>Multiple bullets struck school and broke an occupied classroom window</v>
      </c>
      <c r="Z454" s="5" t="str">
        <f ca="1">IFERROR(__xludf.DUMMYFUNCTION("""COMPUTED_VALUE"""),"The school building was struck by multiple gunshots fired from one block down the street. One bullet broke the window of an occupied classroom. Students and staff heard multiple shots and believed there was an active shooter. School was locked down and di"&amp;"smissed. School switched to virtual classes the following day. Police said the shooting did not target the school. Shots were fired from a vehicle that fled the area. No injuries to students or staff.")</f>
        <v>The school building was struck by multiple gunshots fired from one block down the street. One bullet broke the window of an occupied classroom. Students and staff heard multiple shots and believed there was an active shooter. School was locked down and dismissed. School switched to virtual classes the following day. Police said the shooting did not target the school. Shots were fired from a vehicle that fled the area. No injuries to students or staff.</v>
      </c>
      <c r="AA454" s="5" t="str">
        <f ca="1">IFERROR(__xludf.DUMMYFUNCTION("""COMPUTED_VALUE"""),"Drive-by Shooting")</f>
        <v>Drive-by Shooting</v>
      </c>
      <c r="AB454" s="5" t="str">
        <f ca="1">IFERROR(__xludf.DUMMYFUNCTION("""COMPUTED_VALUE"""),"Random Shooting")</f>
        <v>Random Shooting</v>
      </c>
      <c r="AC454" s="5"/>
      <c r="AD454" s="5" t="str">
        <f ca="1">IFERROR(__xludf.DUMMYFUNCTION("""COMPUTED_VALUE"""),"No")</f>
        <v>No</v>
      </c>
      <c r="AE454" s="5" t="str">
        <f ca="1">IFERROR(__xludf.DUMMYFUNCTION("""COMPUTED_VALUE"""),"No")</f>
        <v>No</v>
      </c>
      <c r="AF454" s="5" t="str">
        <f ca="1">IFERROR(__xludf.DUMMYFUNCTION("""COMPUTED_VALUE"""),"No")</f>
        <v>No</v>
      </c>
      <c r="AG454" s="5" t="str">
        <f ca="1">IFERROR(__xludf.DUMMYFUNCTION("""COMPUTED_VALUE"""),"No")</f>
        <v>No</v>
      </c>
      <c r="AH454" s="5" t="str">
        <f ca="1">IFERROR(__xludf.DUMMYFUNCTION("""COMPUTED_VALUE"""),"No")</f>
        <v>No</v>
      </c>
      <c r="AI454" s="5"/>
      <c r="AJ454" s="5" t="str">
        <f ca="1">IFERROR(__xludf.DUMMYFUNCTION("""COMPUTED_VALUE"""),"No")</f>
        <v>No</v>
      </c>
    </row>
    <row r="455" spans="1:36" ht="13">
      <c r="A455" s="5" t="str">
        <f ca="1">IFERROR(__xludf.DUMMYFUNCTION("""COMPUTED_VALUE"""),"20211011ORROP")</f>
        <v>20211011ORROP</v>
      </c>
      <c r="B455" s="5">
        <f ca="1">IFERROR(__xludf.DUMMYFUNCTION("""COMPUTED_VALUE"""),10)</f>
        <v>10</v>
      </c>
      <c r="C455" s="5">
        <f ca="1">IFERROR(__xludf.DUMMYFUNCTION("""COMPUTED_VALUE"""),11)</f>
        <v>11</v>
      </c>
      <c r="D455" s="5">
        <f ca="1">IFERROR(__xludf.DUMMYFUNCTION("""COMPUTED_VALUE"""),2021)</f>
        <v>2021</v>
      </c>
      <c r="E455" s="8">
        <f ca="1">IFERROR(__xludf.DUMMYFUNCTION("""COMPUTED_VALUE"""),44480)</f>
        <v>44480</v>
      </c>
      <c r="F455" s="5" t="str">
        <f ca="1">IFERROR(__xludf.DUMMYFUNCTION("""COMPUTED_VALUE"""),"Rosemary Anderson High School")</f>
        <v>Rosemary Anderson High School</v>
      </c>
      <c r="G455" s="5">
        <f ca="1">IFERROR(__xludf.DUMMYFUNCTION("""COMPUTED_VALUE"""),0)</f>
        <v>0</v>
      </c>
      <c r="H455" s="5">
        <f ca="1">IFERROR(__xludf.DUMMYFUNCTION("""COMPUTED_VALUE"""),1)</f>
        <v>1</v>
      </c>
      <c r="I455" s="5">
        <f ca="1">IFERROR(__xludf.DUMMYFUNCTION("""COMPUTED_VALUE"""),1)</f>
        <v>1</v>
      </c>
      <c r="J455" s="5">
        <f ca="1">IFERROR(__xludf.DUMMYFUNCTION("""COMPUTED_VALUE"""),0)</f>
        <v>0</v>
      </c>
      <c r="K455" s="5" t="str">
        <f ca="1">IFERROR(__xludf.DUMMYFUNCTION("""COMPUTED_VALUE"""),"https://www.koin.com/news/crime/student-shot-near-school-in-gresham-police-investigating/ https://www.koin.com/news/crime/student-shot-near-school-in-gresham-police-investigating/")</f>
        <v>https://www.koin.com/news/crime/student-shot-near-school-in-gresham-police-investigating/ https://www.koin.com/news/crime/student-shot-near-school-in-gresham-police-investigating/</v>
      </c>
      <c r="L455" s="5">
        <f ca="1">IFERROR(__xludf.DUMMYFUNCTION("""COMPUTED_VALUE"""),2)</f>
        <v>2</v>
      </c>
      <c r="M455" s="5" t="str">
        <f ca="1">IFERROR(__xludf.DUMMYFUNCTION("""COMPUTED_VALUE"""),"Local")</f>
        <v>Local</v>
      </c>
      <c r="N455" s="5">
        <f ca="1">IFERROR(__xludf.DUMMYFUNCTION("""COMPUTED_VALUE"""),3)</f>
        <v>3</v>
      </c>
      <c r="O455" s="5" t="str">
        <f ca="1">IFERROR(__xludf.DUMMYFUNCTION("""COMPUTED_VALUE"""),"Fall")</f>
        <v>Fall</v>
      </c>
      <c r="P455" s="5" t="str">
        <f ca="1">IFERROR(__xludf.DUMMYFUNCTION("""COMPUTED_VALUE"""),"Portland")</f>
        <v>Portland</v>
      </c>
      <c r="Q455" s="5" t="str">
        <f ca="1">IFERROR(__xludf.DUMMYFUNCTION("""COMPUTED_VALUE"""),"OR")</f>
        <v>OR</v>
      </c>
      <c r="R455" s="5" t="str">
        <f ca="1">IFERROR(__xludf.DUMMYFUNCTION("""COMPUTED_VALUE"""),"High")</f>
        <v>High</v>
      </c>
      <c r="S455" s="5" t="str">
        <f ca="1">IFERROR(__xludf.DUMMYFUNCTION("""COMPUTED_VALUE"""),"Off School Property")</f>
        <v>Off School Property</v>
      </c>
      <c r="T455" s="5" t="str">
        <f ca="1">IFERROR(__xludf.DUMMYFUNCTION("""COMPUTED_VALUE"""),"Off School Property")</f>
        <v>Off School Property</v>
      </c>
      <c r="U455" s="5" t="str">
        <f ca="1">IFERROR(__xludf.DUMMYFUNCTION("""COMPUTED_VALUE"""),"Yes")</f>
        <v>Yes</v>
      </c>
      <c r="V455" s="5" t="str">
        <f ca="1">IFERROR(__xludf.DUMMYFUNCTION("""COMPUTED_VALUE"""),"Morning Classes")</f>
        <v>Morning Classes</v>
      </c>
      <c r="W455" s="10">
        <f ca="1">IFERROR(__xludf.DUMMYFUNCTION("""COMPUTED_VALUE"""),0.375)</f>
        <v>0.375</v>
      </c>
      <c r="X455" s="5">
        <f ca="1">IFERROR(__xludf.DUMMYFUNCTION("""COMPUTED_VALUE"""),1)</f>
        <v>1</v>
      </c>
      <c r="Y455" s="5" t="str">
        <f ca="1">IFERROR(__xludf.DUMMYFUNCTION("""COMPUTED_VALUE"""),"Teen student was shot at shopping center, to school for assistance")</f>
        <v>Teen student was shot at shopping center, to school for assistance</v>
      </c>
      <c r="Z455" s="5" t="str">
        <f ca="1">IFERROR(__xludf.DUMMYFUNCTION("""COMPUTED_VALUE"""),"A teen student was shot at the shopping center across from the school. Ran to the school for assistance. School staff called 911 and student was transported to the hospital.")</f>
        <v>A teen student was shot at the shopping center across from the school. Ran to the school for assistance. School staff called 911 and student was transported to the hospital.</v>
      </c>
      <c r="AA455" s="5"/>
      <c r="AB455" s="5"/>
      <c r="AC455" s="5" t="str">
        <f ca="1">IFERROR(__xludf.DUMMYFUNCTION("""COMPUTED_VALUE"""),"No")</f>
        <v>No</v>
      </c>
      <c r="AD455" s="5" t="str">
        <f ca="1">IFERROR(__xludf.DUMMYFUNCTION("""COMPUTED_VALUE"""),"No")</f>
        <v>No</v>
      </c>
      <c r="AE455" s="5" t="str">
        <f ca="1">IFERROR(__xludf.DUMMYFUNCTION("""COMPUTED_VALUE"""),"No")</f>
        <v>No</v>
      </c>
      <c r="AF455" s="5" t="str">
        <f ca="1">IFERROR(__xludf.DUMMYFUNCTION("""COMPUTED_VALUE"""),"No")</f>
        <v>No</v>
      </c>
      <c r="AG455" s="5" t="str">
        <f ca="1">IFERROR(__xludf.DUMMYFUNCTION("""COMPUTED_VALUE"""),"No")</f>
        <v>No</v>
      </c>
      <c r="AH455" s="5" t="str">
        <f ca="1">IFERROR(__xludf.DUMMYFUNCTION("""COMPUTED_VALUE"""),"No")</f>
        <v>No</v>
      </c>
      <c r="AI455" s="5"/>
      <c r="AJ455" s="5" t="str">
        <f ca="1">IFERROR(__xludf.DUMMYFUNCTION("""COMPUTED_VALUE"""),"No")</f>
        <v>No</v>
      </c>
    </row>
    <row r="456" spans="1:36" ht="13">
      <c r="A456" s="5" t="str">
        <f ca="1">IFERROR(__xludf.DUMMYFUNCTION("""COMPUTED_VALUE"""),"20211008OKCOC")</f>
        <v>20211008OKCOC</v>
      </c>
      <c r="B456" s="5">
        <f ca="1">IFERROR(__xludf.DUMMYFUNCTION("""COMPUTED_VALUE"""),10)</f>
        <v>10</v>
      </c>
      <c r="C456" s="5">
        <f ca="1">IFERROR(__xludf.DUMMYFUNCTION("""COMPUTED_VALUE"""),8)</f>
        <v>8</v>
      </c>
      <c r="D456" s="5">
        <f ca="1">IFERROR(__xludf.DUMMYFUNCTION("""COMPUTED_VALUE"""),2021)</f>
        <v>2021</v>
      </c>
      <c r="E456" s="8">
        <f ca="1">IFERROR(__xludf.DUMMYFUNCTION("""COMPUTED_VALUE"""),44477)</f>
        <v>44477</v>
      </c>
      <c r="F456" s="5" t="str">
        <f ca="1">IFERROR(__xludf.DUMMYFUNCTION("""COMPUTED_VALUE"""),"Comanche Middle School")</f>
        <v>Comanche Middle School</v>
      </c>
      <c r="G456" s="5">
        <f ca="1">IFERROR(__xludf.DUMMYFUNCTION("""COMPUTED_VALUE"""),0)</f>
        <v>0</v>
      </c>
      <c r="H456" s="5">
        <f ca="1">IFERROR(__xludf.DUMMYFUNCTION("""COMPUTED_VALUE"""),0)</f>
        <v>0</v>
      </c>
      <c r="I456" s="5">
        <f ca="1">IFERROR(__xludf.DUMMYFUNCTION("""COMPUTED_VALUE"""),0)</f>
        <v>0</v>
      </c>
      <c r="J456" s="5">
        <f ca="1">IFERROR(__xludf.DUMMYFUNCTION("""COMPUTED_VALUE"""),0)</f>
        <v>0</v>
      </c>
      <c r="K456" s="5" t="str">
        <f ca="1">IFERROR(__xludf.DUMMYFUNCTION("""COMPUTED_VALUE"""),"https://www.kswo.com/2021/10/09/student-apprehended-after-shooting-incident-comanche/ https://www.duncanbanner.com/community/cps-superintendent-suspect-who-allegedly-shot-out-door-to-middle-school-in-custody/article_c8be2eb8-288f-11ec-aa6d-1f966631e60d.ht"&amp;"ml")</f>
        <v>https://www.kswo.com/2021/10/09/student-apprehended-after-shooting-incident-comanche/ https://www.duncanbanner.com/community/cps-superintendent-suspect-who-allegedly-shot-out-door-to-middle-school-in-custody/article_c8be2eb8-288f-11ec-aa6d-1f966631e60d.html</v>
      </c>
      <c r="L456" s="5">
        <f ca="1">IFERROR(__xludf.DUMMYFUNCTION("""COMPUTED_VALUE"""),2)</f>
        <v>2</v>
      </c>
      <c r="M456" s="5" t="str">
        <f ca="1">IFERROR(__xludf.DUMMYFUNCTION("""COMPUTED_VALUE"""),"Local")</f>
        <v>Local</v>
      </c>
      <c r="N456" s="5">
        <f ca="1">IFERROR(__xludf.DUMMYFUNCTION("""COMPUTED_VALUE"""),4)</f>
        <v>4</v>
      </c>
      <c r="O456" s="5" t="str">
        <f ca="1">IFERROR(__xludf.DUMMYFUNCTION("""COMPUTED_VALUE"""),"Fall")</f>
        <v>Fall</v>
      </c>
      <c r="P456" s="5" t="str">
        <f ca="1">IFERROR(__xludf.DUMMYFUNCTION("""COMPUTED_VALUE"""),"Comanche")</f>
        <v>Comanche</v>
      </c>
      <c r="Q456" s="5" t="str">
        <f ca="1">IFERROR(__xludf.DUMMYFUNCTION("""COMPUTED_VALUE"""),"OK")</f>
        <v>OK</v>
      </c>
      <c r="R456" s="5" t="str">
        <f ca="1">IFERROR(__xludf.DUMMYFUNCTION("""COMPUTED_VALUE"""),"Middle")</f>
        <v>Middle</v>
      </c>
      <c r="S456" s="5" t="str">
        <f ca="1">IFERROR(__xludf.DUMMYFUNCTION("""COMPUTED_VALUE"""),"Cafeteria")</f>
        <v>Cafeteria</v>
      </c>
      <c r="T456" s="5" t="str">
        <f ca="1">IFERROR(__xludf.DUMMYFUNCTION("""COMPUTED_VALUE"""),"Outside on School Property")</f>
        <v>Outside on School Property</v>
      </c>
      <c r="U456" s="5" t="str">
        <f ca="1">IFERROR(__xludf.DUMMYFUNCTION("""COMPUTED_VALUE"""),"No")</f>
        <v>No</v>
      </c>
      <c r="V456" s="5" t="str">
        <f ca="1">IFERROR(__xludf.DUMMYFUNCTION("""COMPUTED_VALUE"""),"After School")</f>
        <v>After School</v>
      </c>
      <c r="W456" s="10">
        <f ca="1">IFERROR(__xludf.DUMMYFUNCTION("""COMPUTED_VALUE"""),0.6875)</f>
        <v>0.6875</v>
      </c>
      <c r="X456" s="5">
        <f ca="1">IFERROR(__xludf.DUMMYFUNCTION("""COMPUTED_VALUE"""),1)</f>
        <v>1</v>
      </c>
      <c r="Y456" s="5" t="str">
        <f ca="1">IFERROR(__xludf.DUMMYFUNCTION("""COMPUTED_VALUE"""),"Student shot out glass door to cafeteria, staff member was inside")</f>
        <v>Student shot out glass door to cafeteria, staff member was inside</v>
      </c>
      <c r="Z456" s="5" t="str">
        <f ca="1">IFERROR(__xludf.DUMMYFUNCTION("""COMPUTED_VALUE"""),"A student fired shots breaking the glass door to the cafeteria. School had dismissed, staff were still inside. A staff member inside the cafeteria took cover when the shots were fired. The student was arrested outside of the school. Motive unknown.")</f>
        <v>A student fired shots breaking the glass door to the cafeteria. School had dismissed, staff were still inside. A staff member inside the cafeteria took cover when the shots were fired. The student was arrested outside of the school. Motive unknown.</v>
      </c>
      <c r="AA456" s="5"/>
      <c r="AB456" s="5" t="str">
        <f ca="1">IFERROR(__xludf.DUMMYFUNCTION("""COMPUTED_VALUE"""),"Random Shooting")</f>
        <v>Random Shooting</v>
      </c>
      <c r="AC456" s="5" t="str">
        <f ca="1">IFERROR(__xludf.DUMMYFUNCTION("""COMPUTED_VALUE"""),"No")</f>
        <v>No</v>
      </c>
      <c r="AD456" s="5" t="str">
        <f ca="1">IFERROR(__xludf.DUMMYFUNCTION("""COMPUTED_VALUE"""),"No")</f>
        <v>No</v>
      </c>
      <c r="AE456" s="5" t="str">
        <f ca="1">IFERROR(__xludf.DUMMYFUNCTION("""COMPUTED_VALUE"""),"No")</f>
        <v>No</v>
      </c>
      <c r="AF456" s="5" t="str">
        <f ca="1">IFERROR(__xludf.DUMMYFUNCTION("""COMPUTED_VALUE"""),"No")</f>
        <v>No</v>
      </c>
      <c r="AG456" s="5" t="str">
        <f ca="1">IFERROR(__xludf.DUMMYFUNCTION("""COMPUTED_VALUE"""),"No")</f>
        <v>No</v>
      </c>
      <c r="AH456" s="5" t="str">
        <f ca="1">IFERROR(__xludf.DUMMYFUNCTION("""COMPUTED_VALUE"""),"No")</f>
        <v>No</v>
      </c>
      <c r="AI456" s="5" t="str">
        <f ca="1">IFERROR(__xludf.DUMMYFUNCTION("""COMPUTED_VALUE"""),"No")</f>
        <v>No</v>
      </c>
      <c r="AJ456" s="5" t="str">
        <f ca="1">IFERROR(__xludf.DUMMYFUNCTION("""COMPUTED_VALUE"""),"No")</f>
        <v>No</v>
      </c>
    </row>
    <row r="457" spans="1:36" ht="13">
      <c r="A457" s="5" t="str">
        <f ca="1">IFERROR(__xludf.DUMMYFUNCTION("""COMPUTED_VALUE"""),"20211007NCEAD")</f>
        <v>20211007NCEAD</v>
      </c>
      <c r="B457" s="5">
        <f ca="1">IFERROR(__xludf.DUMMYFUNCTION("""COMPUTED_VALUE"""),10)</f>
        <v>10</v>
      </c>
      <c r="C457" s="5">
        <f ca="1">IFERROR(__xludf.DUMMYFUNCTION("""COMPUTED_VALUE"""),7)</f>
        <v>7</v>
      </c>
      <c r="D457" s="5">
        <f ca="1">IFERROR(__xludf.DUMMYFUNCTION("""COMPUTED_VALUE"""),2021)</f>
        <v>2021</v>
      </c>
      <c r="E457" s="8">
        <f ca="1">IFERROR(__xludf.DUMMYFUNCTION("""COMPUTED_VALUE"""),44476)</f>
        <v>44476</v>
      </c>
      <c r="F457" s="5" t="str">
        <f ca="1">IFERROR(__xludf.DUMMYFUNCTION("""COMPUTED_VALUE"""),"Eastway Elementary School")</f>
        <v>Eastway Elementary School</v>
      </c>
      <c r="G457" s="5">
        <f ca="1">IFERROR(__xludf.DUMMYFUNCTION("""COMPUTED_VALUE"""),0)</f>
        <v>0</v>
      </c>
      <c r="H457" s="5">
        <f ca="1">IFERROR(__xludf.DUMMYFUNCTION("""COMPUTED_VALUE"""),0)</f>
        <v>0</v>
      </c>
      <c r="I457" s="5">
        <f ca="1">IFERROR(__xludf.DUMMYFUNCTION("""COMPUTED_VALUE"""),0)</f>
        <v>0</v>
      </c>
      <c r="J457" s="5">
        <f ca="1">IFERROR(__xludf.DUMMYFUNCTION("""COMPUTED_VALUE"""),1)</f>
        <v>1</v>
      </c>
      <c r="K457" s="5" t="str">
        <f ca="1">IFERROR(__xludf.DUMMYFUNCTION("""COMPUTED_VALUE"""),"https://www.wral.com/man-wanted-on-virginia-murder-charge-killed-himself-outside-durham-school-police-say/19916395/ https://www.newsobserver.com/news/local/crime/article254873522.html")</f>
        <v>https://www.wral.com/man-wanted-on-virginia-murder-charge-killed-himself-outside-durham-school-police-say/19916395/ https://www.newsobserver.com/news/local/crime/article254873522.html</v>
      </c>
      <c r="L457" s="5">
        <f ca="1">IFERROR(__xludf.DUMMYFUNCTION("""COMPUTED_VALUE"""),10)</f>
        <v>10</v>
      </c>
      <c r="M457" s="5" t="str">
        <f ca="1">IFERROR(__xludf.DUMMYFUNCTION("""COMPUTED_VALUE"""),"Regional")</f>
        <v>Regional</v>
      </c>
      <c r="N457" s="5">
        <f ca="1">IFERROR(__xludf.DUMMYFUNCTION("""COMPUTED_VALUE"""),4)</f>
        <v>4</v>
      </c>
      <c r="O457" s="5" t="str">
        <f ca="1">IFERROR(__xludf.DUMMYFUNCTION("""COMPUTED_VALUE"""),"Fall")</f>
        <v>Fall</v>
      </c>
      <c r="P457" s="5" t="str">
        <f ca="1">IFERROR(__xludf.DUMMYFUNCTION("""COMPUTED_VALUE"""),"Durham")</f>
        <v>Durham</v>
      </c>
      <c r="Q457" s="5" t="str">
        <f ca="1">IFERROR(__xludf.DUMMYFUNCTION("""COMPUTED_VALUE"""),"NC")</f>
        <v>NC</v>
      </c>
      <c r="R457" s="5" t="str">
        <f ca="1">IFERROR(__xludf.DUMMYFUNCTION("""COMPUTED_VALUE"""),"Elementary")</f>
        <v>Elementary</v>
      </c>
      <c r="S457" s="5" t="str">
        <f ca="1">IFERROR(__xludf.DUMMYFUNCTION("""COMPUTED_VALUE"""),"Parking Lot")</f>
        <v>Parking Lot</v>
      </c>
      <c r="T457" s="5" t="str">
        <f ca="1">IFERROR(__xludf.DUMMYFUNCTION("""COMPUTED_VALUE"""),"Outside on School Property")</f>
        <v>Outside on School Property</v>
      </c>
      <c r="U457" s="5" t="str">
        <f ca="1">IFERROR(__xludf.DUMMYFUNCTION("""COMPUTED_VALUE"""),"No")</f>
        <v>No</v>
      </c>
      <c r="V457" s="5" t="str">
        <f ca="1">IFERROR(__xludf.DUMMYFUNCTION("""COMPUTED_VALUE"""),"After School")</f>
        <v>After School</v>
      </c>
      <c r="W457" s="10">
        <f ca="1">IFERROR(__xludf.DUMMYFUNCTION("""COMPUTED_VALUE"""),0.6875)</f>
        <v>0.6875</v>
      </c>
      <c r="X457" s="5">
        <f ca="1">IFERROR(__xludf.DUMMYFUNCTION("""COMPUTED_VALUE"""),1)</f>
        <v>1</v>
      </c>
      <c r="Y457" s="5" t="str">
        <f ca="1">IFERROR(__xludf.DUMMYFUNCTION("""COMPUTED_VALUE"""),"Man found dead in vehicle in the school parking lot")</f>
        <v>Man found dead in vehicle in the school parking lot</v>
      </c>
      <c r="Z457" s="5" t="str">
        <f ca="1">IFERROR(__xludf.DUMMYFUNCTION("""COMPUTED_VALUE"""),"A 39-year-old man was found dead (suicide) in a vehicle in the school parking lot. Students had already dismissed. Police said the vehicle had been parked for at least a day before the body was discovered. The man was wanted for a homicide and Newport New"&amp;"s, VA and considered ""armed and dangerous"". Unknown why the man parked at the school.")</f>
        <v>A 39-year-old man was found dead (suicide) in a vehicle in the school parking lot. Students had already dismissed. Police said the vehicle had been parked for at least a day before the body was discovered. The man was wanted for a homicide and Newport News, VA and considered "armed and dangerous". Unknown why the man parked at the school.</v>
      </c>
      <c r="AA457" s="5" t="str">
        <f ca="1">IFERROR(__xludf.DUMMYFUNCTION("""COMPUTED_VALUE"""),"Suicide/Attempted")</f>
        <v>Suicide/Attempted</v>
      </c>
      <c r="AB457" s="5" t="str">
        <f ca="1">IFERROR(__xludf.DUMMYFUNCTION("""COMPUTED_VALUE"""),"Victims Targeted")</f>
        <v>Victims Targeted</v>
      </c>
      <c r="AC457" s="5" t="str">
        <f ca="1">IFERROR(__xludf.DUMMYFUNCTION("""COMPUTED_VALUE"""),"No")</f>
        <v>No</v>
      </c>
      <c r="AD457" s="5" t="str">
        <f ca="1">IFERROR(__xludf.DUMMYFUNCTION("""COMPUTED_VALUE"""),"No")</f>
        <v>No</v>
      </c>
      <c r="AE457" s="5" t="str">
        <f ca="1">IFERROR(__xludf.DUMMYFUNCTION("""COMPUTED_VALUE"""),"No")</f>
        <v>No</v>
      </c>
      <c r="AF457" s="5" t="str">
        <f ca="1">IFERROR(__xludf.DUMMYFUNCTION("""COMPUTED_VALUE"""),"No")</f>
        <v>No</v>
      </c>
      <c r="AG457" s="5" t="str">
        <f ca="1">IFERROR(__xludf.DUMMYFUNCTION("""COMPUTED_VALUE"""),"No")</f>
        <v>No</v>
      </c>
      <c r="AH457" s="5" t="str">
        <f ca="1">IFERROR(__xludf.DUMMYFUNCTION("""COMPUTED_VALUE"""),"No")</f>
        <v>No</v>
      </c>
      <c r="AI457" s="5" t="str">
        <f ca="1">IFERROR(__xludf.DUMMYFUNCTION("""COMPUTED_VALUE"""),"No")</f>
        <v>No</v>
      </c>
      <c r="AJ457" s="5" t="str">
        <f ca="1">IFERROR(__xludf.DUMMYFUNCTION("""COMPUTED_VALUE"""),"No")</f>
        <v>No</v>
      </c>
    </row>
    <row r="458" spans="1:36" ht="13">
      <c r="A458" s="5" t="str">
        <f ca="1">IFERROR(__xludf.DUMMYFUNCTION("""COMPUTED_VALUE"""),"20211007PAANP")</f>
        <v>20211007PAANP</v>
      </c>
      <c r="B458" s="5">
        <f ca="1">IFERROR(__xludf.DUMMYFUNCTION("""COMPUTED_VALUE"""),10)</f>
        <v>10</v>
      </c>
      <c r="C458" s="5">
        <f ca="1">IFERROR(__xludf.DUMMYFUNCTION("""COMPUTED_VALUE"""),7)</f>
        <v>7</v>
      </c>
      <c r="D458" s="5">
        <f ca="1">IFERROR(__xludf.DUMMYFUNCTION("""COMPUTED_VALUE"""),2021)</f>
        <v>2021</v>
      </c>
      <c r="E458" s="8">
        <f ca="1">IFERROR(__xludf.DUMMYFUNCTION("""COMPUTED_VALUE"""),44476)</f>
        <v>44476</v>
      </c>
      <c r="F458" s="5" t="str">
        <f ca="1">IFERROR(__xludf.DUMMYFUNCTION("""COMPUTED_VALUE"""),"Antonia Pantoja Charter School")</f>
        <v>Antonia Pantoja Charter School</v>
      </c>
      <c r="G458" s="5">
        <f ca="1">IFERROR(__xludf.DUMMYFUNCTION("""COMPUTED_VALUE"""),0)</f>
        <v>0</v>
      </c>
      <c r="H458" s="5">
        <f ca="1">IFERROR(__xludf.DUMMYFUNCTION("""COMPUTED_VALUE"""),0)</f>
        <v>0</v>
      </c>
      <c r="I458" s="5">
        <f ca="1">IFERROR(__xludf.DUMMYFUNCTION("""COMPUTED_VALUE"""),0)</f>
        <v>0</v>
      </c>
      <c r="J458" s="5">
        <f ca="1">IFERROR(__xludf.DUMMYFUNCTION("""COMPUTED_VALUE"""),0)</f>
        <v>0</v>
      </c>
      <c r="K458" s="5" t="str">
        <f ca="1">IFERROR(__xludf.DUMMYFUNCTION("""COMPUTED_VALUE"""),"https://6abc.com/philadelphia-shooting-antonia-pantoja-charter-school-shot-north-american-street/11095552/ https://philadelphia.cbslocal.com/video/6076428-antonia-pantoja-charter-staff-finds-bullet-holes-fragments-in-cafeteria/")</f>
        <v>https://6abc.com/philadelphia-shooting-antonia-pantoja-charter-school-shot-north-american-street/11095552/ https://philadelphia.cbslocal.com/video/6076428-antonia-pantoja-charter-staff-finds-bullet-holes-fragments-in-cafeteria/</v>
      </c>
      <c r="L458" s="5">
        <f ca="1">IFERROR(__xludf.DUMMYFUNCTION("""COMPUTED_VALUE"""),4)</f>
        <v>4</v>
      </c>
      <c r="M458" s="5" t="str">
        <f ca="1">IFERROR(__xludf.DUMMYFUNCTION("""COMPUTED_VALUE"""),"Local")</f>
        <v>Local</v>
      </c>
      <c r="N458" s="5">
        <f ca="1">IFERROR(__xludf.DUMMYFUNCTION("""COMPUTED_VALUE"""),4)</f>
        <v>4</v>
      </c>
      <c r="O458" s="5" t="str">
        <f ca="1">IFERROR(__xludf.DUMMYFUNCTION("""COMPUTED_VALUE"""),"Fall")</f>
        <v>Fall</v>
      </c>
      <c r="P458" s="5" t="str">
        <f ca="1">IFERROR(__xludf.DUMMYFUNCTION("""COMPUTED_VALUE"""),"Philadelphia")</f>
        <v>Philadelphia</v>
      </c>
      <c r="Q458" s="5" t="str">
        <f ca="1">IFERROR(__xludf.DUMMYFUNCTION("""COMPUTED_VALUE"""),"PA")</f>
        <v>PA</v>
      </c>
      <c r="R458" s="5" t="str">
        <f ca="1">IFERROR(__xludf.DUMMYFUNCTION("""COMPUTED_VALUE"""),"K-8")</f>
        <v>K-8</v>
      </c>
      <c r="S458" s="5" t="str">
        <f ca="1">IFERROR(__xludf.DUMMYFUNCTION("""COMPUTED_VALUE"""),"Cafeteria")</f>
        <v>Cafeteria</v>
      </c>
      <c r="T458" s="5" t="str">
        <f ca="1">IFERROR(__xludf.DUMMYFUNCTION("""COMPUTED_VALUE"""),"Both Inside/Outside")</f>
        <v>Both Inside/Outside</v>
      </c>
      <c r="U458" s="5" t="str">
        <f ca="1">IFERROR(__xludf.DUMMYFUNCTION("""COMPUTED_VALUE"""),"No")</f>
        <v>No</v>
      </c>
      <c r="V458" s="5" t="str">
        <f ca="1">IFERROR(__xludf.DUMMYFUNCTION("""COMPUTED_VALUE"""),"Night")</f>
        <v>Night</v>
      </c>
      <c r="W458" s="5"/>
      <c r="X458" s="5">
        <f ca="1">IFERROR(__xludf.DUMMYFUNCTION("""COMPUTED_VALUE"""),1)</f>
        <v>1</v>
      </c>
      <c r="Y458" s="5" t="str">
        <f ca="1">IFERROR(__xludf.DUMMYFUNCTION("""COMPUTED_VALUE"""),"Multiple shots broke windows of the cafeteria, bullets found inside")</f>
        <v>Multiple shots broke windows of the cafeteria, bullets found inside</v>
      </c>
      <c r="Z458" s="5" t="str">
        <f ca="1">IFERROR(__xludf.DUMMYFUNCTION("""COMPUTED_VALUE"""),"Multiple shots were fired at the school breaking windows during the night. When staff arrived in the morning, they reported the damage to police. Bullet fragments were recovered inside the school.")</f>
        <v>Multiple shots were fired at the school breaking windows during the night. When staff arrived in the morning, they reported the damage to police. Bullet fragments were recovered inside the school.</v>
      </c>
      <c r="AA458" s="5" t="str">
        <f ca="1">IFERROR(__xludf.DUMMYFUNCTION("""COMPUTED_VALUE"""),"Intentional Property Damage")</f>
        <v>Intentional Property Damage</v>
      </c>
      <c r="AB458" s="5" t="str">
        <f ca="1">IFERROR(__xludf.DUMMYFUNCTION("""COMPUTED_VALUE"""),"Neither")</f>
        <v>Neither</v>
      </c>
      <c r="AC458" s="5"/>
      <c r="AD458" s="5" t="str">
        <f ca="1">IFERROR(__xludf.DUMMYFUNCTION("""COMPUTED_VALUE"""),"No")</f>
        <v>No</v>
      </c>
      <c r="AE458" s="5" t="str">
        <f ca="1">IFERROR(__xludf.DUMMYFUNCTION("""COMPUTED_VALUE"""),"No")</f>
        <v>No</v>
      </c>
      <c r="AF458" s="5" t="str">
        <f ca="1">IFERROR(__xludf.DUMMYFUNCTION("""COMPUTED_VALUE"""),"No")</f>
        <v>No</v>
      </c>
      <c r="AG458" s="5" t="str">
        <f ca="1">IFERROR(__xludf.DUMMYFUNCTION("""COMPUTED_VALUE"""),"No")</f>
        <v>No</v>
      </c>
      <c r="AH458" s="5" t="str">
        <f ca="1">IFERROR(__xludf.DUMMYFUNCTION("""COMPUTED_VALUE"""),"No")</f>
        <v>No</v>
      </c>
      <c r="AI458" s="5"/>
      <c r="AJ458" s="5" t="str">
        <f ca="1">IFERROR(__xludf.DUMMYFUNCTION("""COMPUTED_VALUE"""),"No")</f>
        <v>No</v>
      </c>
    </row>
    <row r="459" spans="1:36" ht="13">
      <c r="A459" s="5" t="str">
        <f ca="1">IFERROR(__xludf.DUMMYFUNCTION("""COMPUTED_VALUE"""),"20211007TXEAW")</f>
        <v>20211007TXEAW</v>
      </c>
      <c r="B459" s="5">
        <f ca="1">IFERROR(__xludf.DUMMYFUNCTION("""COMPUTED_VALUE"""),10)</f>
        <v>10</v>
      </c>
      <c r="C459" s="5">
        <f ca="1">IFERROR(__xludf.DUMMYFUNCTION("""COMPUTED_VALUE"""),7)</f>
        <v>7</v>
      </c>
      <c r="D459" s="5">
        <f ca="1">IFERROR(__xludf.DUMMYFUNCTION("""COMPUTED_VALUE"""),2021)</f>
        <v>2021</v>
      </c>
      <c r="E459" s="8">
        <f ca="1">IFERROR(__xludf.DUMMYFUNCTION("""COMPUTED_VALUE"""),44476)</f>
        <v>44476</v>
      </c>
      <c r="F459" s="5" t="str">
        <f ca="1">IFERROR(__xludf.DUMMYFUNCTION("""COMPUTED_VALUE"""),"East Chambers High School")</f>
        <v>East Chambers High School</v>
      </c>
      <c r="G459" s="5">
        <f ca="1">IFERROR(__xludf.DUMMYFUNCTION("""COMPUTED_VALUE"""),0)</f>
        <v>0</v>
      </c>
      <c r="H459" s="5">
        <f ca="1">IFERROR(__xludf.DUMMYFUNCTION("""COMPUTED_VALUE"""),1)</f>
        <v>1</v>
      </c>
      <c r="I459" s="5">
        <f ca="1">IFERROR(__xludf.DUMMYFUNCTION("""COMPUTED_VALUE"""),1)</f>
        <v>1</v>
      </c>
      <c r="J459" s="5">
        <f ca="1">IFERROR(__xludf.DUMMYFUNCTION("""COMPUTED_VALUE"""),0)</f>
        <v>0</v>
      </c>
      <c r="K459" s="5" t="str">
        <f ca="1">IFERROR(__xludf.DUMMYFUNCTION("""COMPUTED_VALUE"""),"https://abc13.com/chambers-county-stray-bullet-accidental-shooting-teen-shot-girl/11099709/ https://www.12newsnow.com/article/news/crime/girl-shot-in-leg-by-22-during-football-game-east-chambers-high-school/502-7ed703bb-232b-47f0-b76b-9bb0baece783")</f>
        <v>https://abc13.com/chambers-county-stray-bullet-accidental-shooting-teen-shot-girl/11099709/ https://www.12newsnow.com/article/news/crime/girl-shot-in-leg-by-22-during-football-game-east-chambers-high-school/502-7ed703bb-232b-47f0-b76b-9bb0baece783</v>
      </c>
      <c r="L459" s="5">
        <f ca="1">IFERROR(__xludf.DUMMYFUNCTION("""COMPUTED_VALUE"""),2)</f>
        <v>2</v>
      </c>
      <c r="M459" s="5" t="str">
        <f ca="1">IFERROR(__xludf.DUMMYFUNCTION("""COMPUTED_VALUE"""),"Local")</f>
        <v>Local</v>
      </c>
      <c r="N459" s="5">
        <f ca="1">IFERROR(__xludf.DUMMYFUNCTION("""COMPUTED_VALUE"""),4)</f>
        <v>4</v>
      </c>
      <c r="O459" s="5" t="str">
        <f ca="1">IFERROR(__xludf.DUMMYFUNCTION("""COMPUTED_VALUE"""),"Fall")</f>
        <v>Fall</v>
      </c>
      <c r="P459" s="5" t="str">
        <f ca="1">IFERROR(__xludf.DUMMYFUNCTION("""COMPUTED_VALUE"""),"Winnie")</f>
        <v>Winnie</v>
      </c>
      <c r="Q459" s="5" t="str">
        <f ca="1">IFERROR(__xludf.DUMMYFUNCTION("""COMPUTED_VALUE"""),"TX")</f>
        <v>TX</v>
      </c>
      <c r="R459" s="5" t="str">
        <f ca="1">IFERROR(__xludf.DUMMYFUNCTION("""COMPUTED_VALUE"""),"High")</f>
        <v>High</v>
      </c>
      <c r="S459" s="5" t="str">
        <f ca="1">IFERROR(__xludf.DUMMYFUNCTION("""COMPUTED_VALUE"""),"Football Field/Track")</f>
        <v>Football Field/Track</v>
      </c>
      <c r="T459" s="5" t="str">
        <f ca="1">IFERROR(__xludf.DUMMYFUNCTION("""COMPUTED_VALUE"""),"Outside on School Property")</f>
        <v>Outside on School Property</v>
      </c>
      <c r="U459" s="5" t="str">
        <f ca="1">IFERROR(__xludf.DUMMYFUNCTION("""COMPUTED_VALUE"""),"No")</f>
        <v>No</v>
      </c>
      <c r="V459" s="5" t="str">
        <f ca="1">IFERROR(__xludf.DUMMYFUNCTION("""COMPUTED_VALUE"""),"Sport Event")</f>
        <v>Sport Event</v>
      </c>
      <c r="W459" s="10">
        <f ca="1">IFERROR(__xludf.DUMMYFUNCTION("""COMPUTED_VALUE"""),0.833333333333333)</f>
        <v>0.83333333333333304</v>
      </c>
      <c r="X459" s="5">
        <f ca="1">IFERROR(__xludf.DUMMYFUNCTION("""COMPUTED_VALUE"""),1)</f>
        <v>1</v>
      </c>
      <c r="Y459" s="5" t="str">
        <f ca="1">IFERROR(__xludf.DUMMYFUNCTION("""COMPUTED_VALUE"""),"Teen girl hit by stray bullet")</f>
        <v>Teen girl hit by stray bullet</v>
      </c>
      <c r="Z459" s="5" t="str">
        <f ca="1">IFERROR(__xludf.DUMMYFUNCTION("""COMPUTED_VALUE"""),"A female teen student was sitting in the stands at a football game when she was struck in the leg by a bullet. She did not realize it was a gun shot and no one hear the sound of a gun fire. She was taken to the hospital where they realized the nature of t"&amp;"he injury. Police said the bullet was likely fired into the air away from the stadium.")</f>
        <v>A female teen student was sitting in the stands at a football game when she was struck in the leg by a bullet. She did not realize it was a gun shot and no one hear the sound of a gun fire. She was taken to the hospital where they realized the nature of the injury. Police said the bullet was likely fired into the air away from the stadium.</v>
      </c>
      <c r="AA459" s="5" t="str">
        <f ca="1">IFERROR(__xludf.DUMMYFUNCTION("""COMPUTED_VALUE"""),"Accidental")</f>
        <v>Accidental</v>
      </c>
      <c r="AB459" s="5" t="str">
        <f ca="1">IFERROR(__xludf.DUMMYFUNCTION("""COMPUTED_VALUE"""),"Random Shooting")</f>
        <v>Random Shooting</v>
      </c>
      <c r="AC459" s="5" t="str">
        <f ca="1">IFERROR(__xludf.DUMMYFUNCTION("""COMPUTED_VALUE"""),"No")</f>
        <v>No</v>
      </c>
      <c r="AD459" s="5" t="str">
        <f ca="1">IFERROR(__xludf.DUMMYFUNCTION("""COMPUTED_VALUE"""),"No")</f>
        <v>No</v>
      </c>
      <c r="AE459" s="5" t="str">
        <f ca="1">IFERROR(__xludf.DUMMYFUNCTION("""COMPUTED_VALUE"""),"No")</f>
        <v>No</v>
      </c>
      <c r="AF459" s="5" t="str">
        <f ca="1">IFERROR(__xludf.DUMMYFUNCTION("""COMPUTED_VALUE"""),"No")</f>
        <v>No</v>
      </c>
      <c r="AG459" s="5" t="str">
        <f ca="1">IFERROR(__xludf.DUMMYFUNCTION("""COMPUTED_VALUE"""),"No")</f>
        <v>No</v>
      </c>
      <c r="AH459" s="5" t="str">
        <f ca="1">IFERROR(__xludf.DUMMYFUNCTION("""COMPUTED_VALUE"""),"No")</f>
        <v>No</v>
      </c>
      <c r="AI459" s="5" t="str">
        <f ca="1">IFERROR(__xludf.DUMMYFUNCTION("""COMPUTED_VALUE"""),"No")</f>
        <v>No</v>
      </c>
      <c r="AJ459" s="5" t="str">
        <f ca="1">IFERROR(__xludf.DUMMYFUNCTION("""COMPUTED_VALUE"""),"No")</f>
        <v>No</v>
      </c>
    </row>
    <row r="460" spans="1:36" ht="13">
      <c r="A460" s="5" t="str">
        <f ca="1">IFERROR(__xludf.DUMMYFUNCTION("""COMPUTED_VALUE"""),"20211007DCWAW")</f>
        <v>20211007DCWAW</v>
      </c>
      <c r="B460" s="5">
        <f ca="1">IFERROR(__xludf.DUMMYFUNCTION("""COMPUTED_VALUE"""),10)</f>
        <v>10</v>
      </c>
      <c r="C460" s="5">
        <f ca="1">IFERROR(__xludf.DUMMYFUNCTION("""COMPUTED_VALUE"""),7)</f>
        <v>7</v>
      </c>
      <c r="D460" s="5">
        <f ca="1">IFERROR(__xludf.DUMMYFUNCTION("""COMPUTED_VALUE"""),2021)</f>
        <v>2021</v>
      </c>
      <c r="E460" s="8">
        <f ca="1">IFERROR(__xludf.DUMMYFUNCTION("""COMPUTED_VALUE"""),44476)</f>
        <v>44476</v>
      </c>
      <c r="F460" s="5" t="str">
        <f ca="1">IFERROR(__xludf.DUMMYFUNCTION("""COMPUTED_VALUE"""),"Walkins Elementary School")</f>
        <v>Walkins Elementary School</v>
      </c>
      <c r="G460" s="5">
        <f ca="1">IFERROR(__xludf.DUMMYFUNCTION("""COMPUTED_VALUE"""),1)</f>
        <v>1</v>
      </c>
      <c r="H460" s="5">
        <f ca="1">IFERROR(__xludf.DUMMYFUNCTION("""COMPUTED_VALUE"""),0)</f>
        <v>0</v>
      </c>
      <c r="I460" s="5">
        <f ca="1">IFERROR(__xludf.DUMMYFUNCTION("""COMPUTED_VALUE"""),1)</f>
        <v>1</v>
      </c>
      <c r="J460" s="5">
        <f ca="1">IFERROR(__xludf.DUMMYFUNCTION("""COMPUTED_VALUE"""),0)</f>
        <v>0</v>
      </c>
      <c r="K460" s="5" t="str">
        <f ca="1">IFERROR(__xludf.DUMMYFUNCTION("""COMPUTED_VALUE"""),"https://www.washingtonpost.com/local/public-safety/shooting-capitol-hill-dc/2021/10/07/9c11665a-2772-11ec-8d53-67cfb452aa60_story.html https://www.hillrag.com/2021/10/07/man-shot-near-watkins-elementary/")</f>
        <v>https://www.washingtonpost.com/local/public-safety/shooting-capitol-hill-dc/2021/10/07/9c11665a-2772-11ec-8d53-67cfb452aa60_story.html https://www.hillrag.com/2021/10/07/man-shot-near-watkins-elementary/</v>
      </c>
      <c r="L460" s="5">
        <f ca="1">IFERROR(__xludf.DUMMYFUNCTION("""COMPUTED_VALUE"""),3)</f>
        <v>3</v>
      </c>
      <c r="M460" s="5" t="str">
        <f ca="1">IFERROR(__xludf.DUMMYFUNCTION("""COMPUTED_VALUE"""),"Local")</f>
        <v>Local</v>
      </c>
      <c r="N460" s="5">
        <f ca="1">IFERROR(__xludf.DUMMYFUNCTION("""COMPUTED_VALUE"""),4)</f>
        <v>4</v>
      </c>
      <c r="O460" s="5" t="str">
        <f ca="1">IFERROR(__xludf.DUMMYFUNCTION("""COMPUTED_VALUE"""),"Fall")</f>
        <v>Fall</v>
      </c>
      <c r="P460" s="5" t="str">
        <f ca="1">IFERROR(__xludf.DUMMYFUNCTION("""COMPUTED_VALUE"""),"Washington")</f>
        <v>Washington</v>
      </c>
      <c r="Q460" s="5" t="str">
        <f ca="1">IFERROR(__xludf.DUMMYFUNCTION("""COMPUTED_VALUE"""),"DC")</f>
        <v>DC</v>
      </c>
      <c r="R460" s="5" t="str">
        <f ca="1">IFERROR(__xludf.DUMMYFUNCTION("""COMPUTED_VALUE"""),"Elementary")</f>
        <v>Elementary</v>
      </c>
      <c r="S460" s="5" t="str">
        <f ca="1">IFERROR(__xludf.DUMMYFUNCTION("""COMPUTED_VALUE"""),"Football Field/Track")</f>
        <v>Football Field/Track</v>
      </c>
      <c r="T460" s="5" t="str">
        <f ca="1">IFERROR(__xludf.DUMMYFUNCTION("""COMPUTED_VALUE"""),"Outside on School Property")</f>
        <v>Outside on School Property</v>
      </c>
      <c r="U460" s="5" t="str">
        <f ca="1">IFERROR(__xludf.DUMMYFUNCTION("""COMPUTED_VALUE"""),"No")</f>
        <v>No</v>
      </c>
      <c r="V460" s="5" t="str">
        <f ca="1">IFERROR(__xludf.DUMMYFUNCTION("""COMPUTED_VALUE"""),"Sport Event")</f>
        <v>Sport Event</v>
      </c>
      <c r="W460" s="10">
        <f ca="1">IFERROR(__xludf.DUMMYFUNCTION("""COMPUTED_VALUE"""),0.907638888888888)</f>
        <v>0.907638888888888</v>
      </c>
      <c r="X460" s="5">
        <f ca="1">IFERROR(__xludf.DUMMYFUNCTION("""COMPUTED_VALUE"""),1)</f>
        <v>1</v>
      </c>
      <c r="Y460" s="5" t="str">
        <f ca="1">IFERROR(__xludf.DUMMYFUNCTION("""COMPUTED_VALUE"""),"Man shot following flag football game")</f>
        <v>Man shot following flag football game</v>
      </c>
      <c r="Z460" s="5" t="str">
        <f ca="1">IFERROR(__xludf.DUMMYFUNCTION("""COMPUTED_VALUE"""),"A 26-year-old man was fatally shot at the end of a flag football game on the school field. There was an argument at the end of the game and an unidentified man went to his bag, pulled out a gun, and shot the victim in front of his family members. Neighbor"&amp;"s reported hearing 12 shots fired. The shooter fled in a vehicle. Youth football practice ended 1 hour before the shooting. A letter was sent to parent of students at the school explaining the situation.")</f>
        <v>A 26-year-old man was fatally shot at the end of a flag football game on the school field. There was an argument at the end of the game and an unidentified man went to his bag, pulled out a gun, and shot the victim in front of his family members. Neighbors reported hearing 12 shots fired. The shooter fled in a vehicle. Youth football practice ended 1 hour before the shooting. A letter was sent to parent of students at the school explaining the situation.</v>
      </c>
      <c r="AA460" s="5" t="str">
        <f ca="1">IFERROR(__xludf.DUMMYFUNCTION("""COMPUTED_VALUE"""),"Escalation of Dispute")</f>
        <v>Escalation of Dispute</v>
      </c>
      <c r="AB460" s="5" t="str">
        <f ca="1">IFERROR(__xludf.DUMMYFUNCTION("""COMPUTED_VALUE"""),"Victims Targeted")</f>
        <v>Victims Targeted</v>
      </c>
      <c r="AC460" s="5"/>
      <c r="AD460" s="5" t="str">
        <f ca="1">IFERROR(__xludf.DUMMYFUNCTION("""COMPUTED_VALUE"""),"No")</f>
        <v>No</v>
      </c>
      <c r="AE460" s="5" t="str">
        <f ca="1">IFERROR(__xludf.DUMMYFUNCTION("""COMPUTED_VALUE"""),"No")</f>
        <v>No</v>
      </c>
      <c r="AF460" s="5" t="str">
        <f ca="1">IFERROR(__xludf.DUMMYFUNCTION("""COMPUTED_VALUE"""),"No")</f>
        <v>No</v>
      </c>
      <c r="AG460" s="5" t="str">
        <f ca="1">IFERROR(__xludf.DUMMYFUNCTION("""COMPUTED_VALUE"""),"No")</f>
        <v>No</v>
      </c>
      <c r="AH460" s="5" t="str">
        <f ca="1">IFERROR(__xludf.DUMMYFUNCTION("""COMPUTED_VALUE"""),"No")</f>
        <v>No</v>
      </c>
      <c r="AI460" s="5"/>
      <c r="AJ460" s="5" t="str">
        <f ca="1">IFERROR(__xludf.DUMMYFUNCTION("""COMPUTED_VALUE"""),"No")</f>
        <v>No</v>
      </c>
    </row>
    <row r="461" spans="1:36" ht="13">
      <c r="A461" s="5" t="str">
        <f ca="1">IFERROR(__xludf.DUMMYFUNCTION("""COMPUTED_VALUE"""),"20211006TXTIA")</f>
        <v>20211006TXTIA</v>
      </c>
      <c r="B461" s="5">
        <f ca="1">IFERROR(__xludf.DUMMYFUNCTION("""COMPUTED_VALUE"""),10)</f>
        <v>10</v>
      </c>
      <c r="C461" s="5">
        <f ca="1">IFERROR(__xludf.DUMMYFUNCTION("""COMPUTED_VALUE"""),6)</f>
        <v>6</v>
      </c>
      <c r="D461" s="5">
        <f ca="1">IFERROR(__xludf.DUMMYFUNCTION("""COMPUTED_VALUE"""),2021)</f>
        <v>2021</v>
      </c>
      <c r="E461" s="8">
        <f ca="1">IFERROR(__xludf.DUMMYFUNCTION("""COMPUTED_VALUE"""),44475)</f>
        <v>44475</v>
      </c>
      <c r="F461" s="5" t="str">
        <f ca="1">IFERROR(__xludf.DUMMYFUNCTION("""COMPUTED_VALUE"""),"Timberview High School")</f>
        <v>Timberview High School</v>
      </c>
      <c r="G461" s="5">
        <f ca="1">IFERROR(__xludf.DUMMYFUNCTION("""COMPUTED_VALUE"""),0)</f>
        <v>0</v>
      </c>
      <c r="H461" s="5">
        <f ca="1">IFERROR(__xludf.DUMMYFUNCTION("""COMPUTED_VALUE"""),3)</f>
        <v>3</v>
      </c>
      <c r="I461" s="5">
        <f ca="1">IFERROR(__xludf.DUMMYFUNCTION("""COMPUTED_VALUE"""),3)</f>
        <v>3</v>
      </c>
      <c r="J461" s="5">
        <f ca="1">IFERROR(__xludf.DUMMYFUNCTION("""COMPUTED_VALUE"""),0)</f>
        <v>0</v>
      </c>
      <c r="K461" s="5" t="str">
        <f ca="1">IFERROR(__xludf.DUMMYFUNCTION("""COMPUTED_VALUE"""),"https://www.star-telegram.com/news/local/crime/article255930861.html https://dfw.cbslocal.com/2021/10/21/parents-safety-concerns-mansfield-isd-town-hall-campus-security-school-shooting/ https://www.star-telegram.com/news/local/crime/article254804532.html "&amp;"https://www.cnn.com/2021/10/06/us/timberview-high-school-shooting-texas/index.html https://www.npr.org/2021/10/06/1043697781/texas-high-school-timberview-shooting")</f>
        <v>https://www.star-telegram.com/news/local/crime/article255930861.html https://dfw.cbslocal.com/2021/10/21/parents-safety-concerns-mansfield-isd-town-hall-campus-security-school-shooting/ https://www.star-telegram.com/news/local/crime/article254804532.html https://www.cnn.com/2021/10/06/us/timberview-high-school-shooting-texas/index.html https://www.npr.org/2021/10/06/1043697781/texas-high-school-timberview-shooting</v>
      </c>
      <c r="L461" s="5">
        <f ca="1">IFERROR(__xludf.DUMMYFUNCTION("""COMPUTED_VALUE"""),999)</f>
        <v>999</v>
      </c>
      <c r="M461" s="5" t="str">
        <f ca="1">IFERROR(__xludf.DUMMYFUNCTION("""COMPUTED_VALUE"""),"International")</f>
        <v>International</v>
      </c>
      <c r="N461" s="5">
        <f ca="1">IFERROR(__xludf.DUMMYFUNCTION("""COMPUTED_VALUE"""),4)</f>
        <v>4</v>
      </c>
      <c r="O461" s="5" t="str">
        <f ca="1">IFERROR(__xludf.DUMMYFUNCTION("""COMPUTED_VALUE"""),"Fall")</f>
        <v>Fall</v>
      </c>
      <c r="P461" s="5" t="str">
        <f ca="1">IFERROR(__xludf.DUMMYFUNCTION("""COMPUTED_VALUE"""),"Arlington")</f>
        <v>Arlington</v>
      </c>
      <c r="Q461" s="5" t="str">
        <f ca="1">IFERROR(__xludf.DUMMYFUNCTION("""COMPUTED_VALUE"""),"TX")</f>
        <v>TX</v>
      </c>
      <c r="R461" s="5" t="str">
        <f ca="1">IFERROR(__xludf.DUMMYFUNCTION("""COMPUTED_VALUE"""),"High")</f>
        <v>High</v>
      </c>
      <c r="S461" s="5" t="str">
        <f ca="1">IFERROR(__xludf.DUMMYFUNCTION("""COMPUTED_VALUE"""),"Classroom")</f>
        <v>Classroom</v>
      </c>
      <c r="T461" s="5" t="str">
        <f ca="1">IFERROR(__xludf.DUMMYFUNCTION("""COMPUTED_VALUE"""),"Inside School Building")</f>
        <v>Inside School Building</v>
      </c>
      <c r="U461" s="5" t="str">
        <f ca="1">IFERROR(__xludf.DUMMYFUNCTION("""COMPUTED_VALUE"""),"Yes")</f>
        <v>Yes</v>
      </c>
      <c r="V461" s="5" t="str">
        <f ca="1">IFERROR(__xludf.DUMMYFUNCTION("""COMPUTED_VALUE"""),"Morning Classes")</f>
        <v>Morning Classes</v>
      </c>
      <c r="W461" s="10">
        <f ca="1">IFERROR(__xludf.DUMMYFUNCTION("""COMPUTED_VALUE"""),0.385416666666666)</f>
        <v>0.38541666666666602</v>
      </c>
      <c r="X461" s="5">
        <f ca="1">IFERROR(__xludf.DUMMYFUNCTION("""COMPUTED_VALUE"""),1)</f>
        <v>1</v>
      </c>
      <c r="Y461" s="5" t="str">
        <f ca="1">IFERROR(__xludf.DUMMYFUNCTION("""COMPUTED_VALUE"""),"Shots fired during fight inside a classroom")</f>
        <v>Shots fired during fight inside a classroom</v>
      </c>
      <c r="Z461" s="5" t="str">
        <f ca="1">IFERROR(__xludf.DUMMYFUNCTION("""COMPUTED_VALUE"""),"Shots were fired by an 18-year-old student during a fight inside the classroom. Shooter was in a classroom when another student, 15-year-old male, walked in and started to fight with the shooter, witnesses said, according to an arrest warrant affidavit su"&amp;"pporting shooters’ arrest. 15-year-old student was critically injured. A 25-year-old teacher was shot in the back. A female student was grazed. A student also sustained a none gunshot injury. Four people were transported to the hospital. Shooter fled the "&amp;"scene and was arrested away from the school. School was placed on lockdown, searched by police, and students were evacuated from the building to an alternate location to reunite with parents. Police investigation showed no signs of bullying prior to the s"&amp;"hooting.")</f>
        <v>Shots were fired by an 18-year-old student during a fight inside the classroom. Shooter was in a classroom when another student, 15-year-old male, walked in and started to fight with the shooter, witnesses said, according to an arrest warrant affidavit supporting shooters’ arrest. 15-year-old student was critically injured. A 25-year-old teacher was shot in the back. A female student was grazed. A student also sustained a none gunshot injury. Four people were transported to the hospital. Shooter fled the scene and was arrested away from the school. School was placed on lockdown, searched by police, and students were evacuated from the building to an alternate location to reunite with parents. Police investigation showed no signs of bullying prior to the shooting.</v>
      </c>
      <c r="AA461" s="5" t="str">
        <f ca="1">IFERROR(__xludf.DUMMYFUNCTION("""COMPUTED_VALUE"""),"Escalation of Dispute")</f>
        <v>Escalation of Dispute</v>
      </c>
      <c r="AB461" s="5" t="str">
        <f ca="1">IFERROR(__xludf.DUMMYFUNCTION("""COMPUTED_VALUE"""),"Both")</f>
        <v>Both</v>
      </c>
      <c r="AC461" s="5" t="str">
        <f ca="1">IFERROR(__xludf.DUMMYFUNCTION("""COMPUTED_VALUE"""),"No")</f>
        <v>No</v>
      </c>
      <c r="AD461" s="5" t="str">
        <f ca="1">IFERROR(__xludf.DUMMYFUNCTION("""COMPUTED_VALUE"""),"No")</f>
        <v>No</v>
      </c>
      <c r="AE461" s="5" t="str">
        <f ca="1">IFERROR(__xludf.DUMMYFUNCTION("""COMPUTED_VALUE"""),"No")</f>
        <v>No</v>
      </c>
      <c r="AF461" s="5" t="str">
        <f ca="1">IFERROR(__xludf.DUMMYFUNCTION("""COMPUTED_VALUE"""),"No")</f>
        <v>No</v>
      </c>
      <c r="AG461" s="5" t="str">
        <f ca="1">IFERROR(__xludf.DUMMYFUNCTION("""COMPUTED_VALUE"""),"No")</f>
        <v>No</v>
      </c>
      <c r="AH461" s="5" t="str">
        <f ca="1">IFERROR(__xludf.DUMMYFUNCTION("""COMPUTED_VALUE"""),"No")</f>
        <v>No</v>
      </c>
      <c r="AI461" s="5" t="str">
        <f ca="1">IFERROR(__xludf.DUMMYFUNCTION("""COMPUTED_VALUE"""),"No")</f>
        <v>No</v>
      </c>
      <c r="AJ461" s="5" t="str">
        <f ca="1">IFERROR(__xludf.DUMMYFUNCTION("""COMPUTED_VALUE"""),"No")</f>
        <v>No</v>
      </c>
    </row>
    <row r="462" spans="1:36" ht="13">
      <c r="A462" s="5" t="str">
        <f ca="1">IFERROR(__xludf.DUMMYFUNCTION("""COMPUTED_VALUE"""),"20211005NDHEH")</f>
        <v>20211005NDHEH</v>
      </c>
      <c r="B462" s="5">
        <f ca="1">IFERROR(__xludf.DUMMYFUNCTION("""COMPUTED_VALUE"""),10)</f>
        <v>10</v>
      </c>
      <c r="C462" s="5">
        <f ca="1">IFERROR(__xludf.DUMMYFUNCTION("""COMPUTED_VALUE"""),5)</f>
        <v>5</v>
      </c>
      <c r="D462" s="5">
        <f ca="1">IFERROR(__xludf.DUMMYFUNCTION("""COMPUTED_VALUE"""),2021)</f>
        <v>2021</v>
      </c>
      <c r="E462" s="8">
        <f ca="1">IFERROR(__xludf.DUMMYFUNCTION("""COMPUTED_VALUE"""),44474)</f>
        <v>44474</v>
      </c>
      <c r="F462" s="5" t="str">
        <f ca="1">IFERROR(__xludf.DUMMYFUNCTION("""COMPUTED_VALUE"""),"Hettinger Public School")</f>
        <v>Hettinger Public School</v>
      </c>
      <c r="G462" s="5">
        <f ca="1">IFERROR(__xludf.DUMMYFUNCTION("""COMPUTED_VALUE"""),0)</f>
        <v>0</v>
      </c>
      <c r="H462" s="5">
        <f ca="1">IFERROR(__xludf.DUMMYFUNCTION("""COMPUTED_VALUE"""),0)</f>
        <v>0</v>
      </c>
      <c r="I462" s="5">
        <f ca="1">IFERROR(__xludf.DUMMYFUNCTION("""COMPUTED_VALUE"""),0)</f>
        <v>0</v>
      </c>
      <c r="J462" s="5">
        <f ca="1">IFERROR(__xludf.DUMMYFUNCTION("""COMPUTED_VALUE"""),0)</f>
        <v>0</v>
      </c>
      <c r="K462" s="5" t="str">
        <f ca="1">IFERROR(__xludf.DUMMYFUNCTION("""COMPUTED_VALUE"""),"https://www.kxnet.com/news/local-news/active-shooting-incident-reported-at-hettinger-public-school-one-student-involved/ https://www.valleynewslive.com/2021/10/04/one-student-hospitalized-after-shooting-hettinger-public-school/ https://hot975fm.com/hettin"&amp;"ger-public-school-shooting/ https://bismarcktribune.com/news/state-and-regional/student-injured-in-hettinger-shooting-suffered-self-inflicted-wound-counseling-offered-to-other-students/article_9550140c-b21b-5867-a1ad-2e6f2c02e09a.html")</f>
        <v>https://www.kxnet.com/news/local-news/active-shooting-incident-reported-at-hettinger-public-school-one-student-involved/ https://www.valleynewslive.com/2021/10/04/one-student-hospitalized-after-shooting-hettinger-public-school/ https://hot975fm.com/hettinger-public-school-shooting/ https://bismarcktribune.com/news/state-and-regional/student-injured-in-hettinger-shooting-suffered-self-inflicted-wound-counseling-offered-to-other-students/article_9550140c-b21b-5867-a1ad-2e6f2c02e09a.html</v>
      </c>
      <c r="L462" s="5">
        <f ca="1">IFERROR(__xludf.DUMMYFUNCTION("""COMPUTED_VALUE"""),5)</f>
        <v>5</v>
      </c>
      <c r="M462" s="5" t="str">
        <f ca="1">IFERROR(__xludf.DUMMYFUNCTION("""COMPUTED_VALUE"""),"Local")</f>
        <v>Local</v>
      </c>
      <c r="N462" s="5">
        <f ca="1">IFERROR(__xludf.DUMMYFUNCTION("""COMPUTED_VALUE"""),4)</f>
        <v>4</v>
      </c>
      <c r="O462" s="5" t="str">
        <f ca="1">IFERROR(__xludf.DUMMYFUNCTION("""COMPUTED_VALUE"""),"Fall")</f>
        <v>Fall</v>
      </c>
      <c r="P462" s="5" t="str">
        <f ca="1">IFERROR(__xludf.DUMMYFUNCTION("""COMPUTED_VALUE"""),"Hettinger")</f>
        <v>Hettinger</v>
      </c>
      <c r="Q462" s="5" t="str">
        <f ca="1">IFERROR(__xludf.DUMMYFUNCTION("""COMPUTED_VALUE"""),"ND")</f>
        <v>ND</v>
      </c>
      <c r="R462" s="5" t="str">
        <f ca="1">IFERROR(__xludf.DUMMYFUNCTION("""COMPUTED_VALUE"""),"K-12")</f>
        <v>K-12</v>
      </c>
      <c r="S462" s="5" t="str">
        <f ca="1">IFERROR(__xludf.DUMMYFUNCTION("""COMPUTED_VALUE"""),"Classroom")</f>
        <v>Classroom</v>
      </c>
      <c r="T462" s="5" t="str">
        <f ca="1">IFERROR(__xludf.DUMMYFUNCTION("""COMPUTED_VALUE"""),"Inside School Building")</f>
        <v>Inside School Building</v>
      </c>
      <c r="U462" s="5" t="str">
        <f ca="1">IFERROR(__xludf.DUMMYFUNCTION("""COMPUTED_VALUE"""),"Yes")</f>
        <v>Yes</v>
      </c>
      <c r="V462" s="5" t="str">
        <f ca="1">IFERROR(__xludf.DUMMYFUNCTION("""COMPUTED_VALUE"""),"Morning Classes")</f>
        <v>Morning Classes</v>
      </c>
      <c r="W462" s="10">
        <f ca="1">IFERROR(__xludf.DUMMYFUNCTION("""COMPUTED_VALUE"""),0.402083333333333)</f>
        <v>0.40208333333333302</v>
      </c>
      <c r="X462" s="5">
        <f ca="1">IFERROR(__xludf.DUMMYFUNCTION("""COMPUTED_VALUE"""),1)</f>
        <v>1</v>
      </c>
      <c r="Y462" s="5" t="str">
        <f ca="1">IFERROR(__xludf.DUMMYFUNCTION("""COMPUTED_VALUE"""),"Student walked into classroom and shot self in front of the class")</f>
        <v>Student walked into classroom and shot self in front of the class</v>
      </c>
      <c r="Z462" s="5" t="str">
        <f ca="1">IFERROR(__xludf.DUMMYFUNCTION("""COMPUTED_VALUE"""),"A student walked into a classroom and shot him/herself in front of the class. School was locked down and then dismissed. Classes cancelled the following day.")</f>
        <v>A student walked into a classroom and shot him/herself in front of the class. School was locked down and then dismissed. Classes cancelled the following day.</v>
      </c>
      <c r="AA462" s="5" t="str">
        <f ca="1">IFERROR(__xludf.DUMMYFUNCTION("""COMPUTED_VALUE"""),"Suicide/Attempted")</f>
        <v>Suicide/Attempted</v>
      </c>
      <c r="AB462" s="5" t="str">
        <f ca="1">IFERROR(__xludf.DUMMYFUNCTION("""COMPUTED_VALUE"""),"Victims Targeted")</f>
        <v>Victims Targeted</v>
      </c>
      <c r="AC462" s="5" t="str">
        <f ca="1">IFERROR(__xludf.DUMMYFUNCTION("""COMPUTED_VALUE"""),"No")</f>
        <v>No</v>
      </c>
      <c r="AD462" s="5" t="str">
        <f ca="1">IFERROR(__xludf.DUMMYFUNCTION("""COMPUTED_VALUE"""),"No")</f>
        <v>No</v>
      </c>
      <c r="AE462" s="5" t="str">
        <f ca="1">IFERROR(__xludf.DUMMYFUNCTION("""COMPUTED_VALUE"""),"No")</f>
        <v>No</v>
      </c>
      <c r="AF462" s="5" t="str">
        <f ca="1">IFERROR(__xludf.DUMMYFUNCTION("""COMPUTED_VALUE"""),"No")</f>
        <v>No</v>
      </c>
      <c r="AG462" s="5"/>
      <c r="AH462" s="5" t="str">
        <f ca="1">IFERROR(__xludf.DUMMYFUNCTION("""COMPUTED_VALUE"""),"No")</f>
        <v>No</v>
      </c>
      <c r="AI462" s="5" t="str">
        <f ca="1">IFERROR(__xludf.DUMMYFUNCTION("""COMPUTED_VALUE"""),"No")</f>
        <v>No</v>
      </c>
      <c r="AJ462" s="5" t="str">
        <f ca="1">IFERROR(__xludf.DUMMYFUNCTION("""COMPUTED_VALUE"""),"No")</f>
        <v>No</v>
      </c>
    </row>
    <row r="463" spans="1:36" ht="13">
      <c r="A463" s="5" t="str">
        <f ca="1">IFERROR(__xludf.DUMMYFUNCTION("""COMPUTED_VALUE"""),"20211005NCGAC")</f>
        <v>20211005NCGAC</v>
      </c>
      <c r="B463" s="5">
        <f ca="1">IFERROR(__xludf.DUMMYFUNCTION("""COMPUTED_VALUE"""),10)</f>
        <v>10</v>
      </c>
      <c r="C463" s="5">
        <f ca="1">IFERROR(__xludf.DUMMYFUNCTION("""COMPUTED_VALUE"""),5)</f>
        <v>5</v>
      </c>
      <c r="D463" s="5">
        <f ca="1">IFERROR(__xludf.DUMMYFUNCTION("""COMPUTED_VALUE"""),2021)</f>
        <v>2021</v>
      </c>
      <c r="E463" s="8">
        <f ca="1">IFERROR(__xludf.DUMMYFUNCTION("""COMPUTED_VALUE"""),44474)</f>
        <v>44474</v>
      </c>
      <c r="F463" s="5" t="str">
        <f ca="1">IFERROR(__xludf.DUMMYFUNCTION("""COMPUTED_VALUE"""),"Garinger High School")</f>
        <v>Garinger High School</v>
      </c>
      <c r="G463" s="5">
        <f ca="1">IFERROR(__xludf.DUMMYFUNCTION("""COMPUTED_VALUE"""),0)</f>
        <v>0</v>
      </c>
      <c r="H463" s="5">
        <f ca="1">IFERROR(__xludf.DUMMYFUNCTION("""COMPUTED_VALUE"""),0)</f>
        <v>0</v>
      </c>
      <c r="I463" s="5">
        <f ca="1">IFERROR(__xludf.DUMMYFUNCTION("""COMPUTED_VALUE"""),0)</f>
        <v>0</v>
      </c>
      <c r="J463" s="5">
        <f ca="1">IFERROR(__xludf.DUMMYFUNCTION("""COMPUTED_VALUE"""),0)</f>
        <v>0</v>
      </c>
      <c r="K463" s="5" t="str">
        <f ca="1">IFERROR(__xludf.DUMMYFUNCTION("""COMPUTED_VALUE"""),"https://www.wcnc.com/article/news/crime/garinger-high-school-lockdown-police-activity/275-eaf117ce-5111-49d9-9fd9-95631a450dce https://www.charlotteobserver.com/news/local/article254768892.html https://www.wbtv.com/2021/10/05/school-officials-gun-found-ch"&amp;"arlotte-high-school-during-lockdown-after-shots-fired-near-school/")</f>
        <v>https://www.wcnc.com/article/news/crime/garinger-high-school-lockdown-police-activity/275-eaf117ce-5111-49d9-9fd9-95631a450dce https://www.charlotteobserver.com/news/local/article254768892.html https://www.wbtv.com/2021/10/05/school-officials-gun-found-charlotte-high-school-during-lockdown-after-shots-fired-near-school/</v>
      </c>
      <c r="L463" s="5">
        <f ca="1">IFERROR(__xludf.DUMMYFUNCTION("""COMPUTED_VALUE"""),10)</f>
        <v>10</v>
      </c>
      <c r="M463" s="5" t="str">
        <f ca="1">IFERROR(__xludf.DUMMYFUNCTION("""COMPUTED_VALUE"""),"Local")</f>
        <v>Local</v>
      </c>
      <c r="N463" s="5">
        <f ca="1">IFERROR(__xludf.DUMMYFUNCTION("""COMPUTED_VALUE"""),4)</f>
        <v>4</v>
      </c>
      <c r="O463" s="5" t="str">
        <f ca="1">IFERROR(__xludf.DUMMYFUNCTION("""COMPUTED_VALUE"""),"Fall")</f>
        <v>Fall</v>
      </c>
      <c r="P463" s="5" t="str">
        <f ca="1">IFERROR(__xludf.DUMMYFUNCTION("""COMPUTED_VALUE"""),"Charlotte")</f>
        <v>Charlotte</v>
      </c>
      <c r="Q463" s="5" t="str">
        <f ca="1">IFERROR(__xludf.DUMMYFUNCTION("""COMPUTED_VALUE"""),"NC")</f>
        <v>NC</v>
      </c>
      <c r="R463" s="5" t="str">
        <f ca="1">IFERROR(__xludf.DUMMYFUNCTION("""COMPUTED_VALUE"""),"High")</f>
        <v>High</v>
      </c>
      <c r="S463" s="5" t="str">
        <f ca="1">IFERROR(__xludf.DUMMYFUNCTION("""COMPUTED_VALUE"""),"Front of School")</f>
        <v>Front of School</v>
      </c>
      <c r="T463" s="5" t="str">
        <f ca="1">IFERROR(__xludf.DUMMYFUNCTION("""COMPUTED_VALUE"""),"Outside on School Property")</f>
        <v>Outside on School Property</v>
      </c>
      <c r="U463" s="5" t="str">
        <f ca="1">IFERROR(__xludf.DUMMYFUNCTION("""COMPUTED_VALUE"""),"Yes")</f>
        <v>Yes</v>
      </c>
      <c r="V463" s="5" t="str">
        <f ca="1">IFERROR(__xludf.DUMMYFUNCTION("""COMPUTED_VALUE"""),"Morning Classes")</f>
        <v>Morning Classes</v>
      </c>
      <c r="W463" s="10">
        <f ca="1">IFERROR(__xludf.DUMMYFUNCTION("""COMPUTED_VALUE"""),0.291666666666666)</f>
        <v>0.29166666666666602</v>
      </c>
      <c r="X463" s="5">
        <f ca="1">IFERROR(__xludf.DUMMYFUNCTION("""COMPUTED_VALUE"""),1)</f>
        <v>1</v>
      </c>
      <c r="Y463" s="5" t="str">
        <f ca="1">IFERROR(__xludf.DUMMYFUNCTION("""COMPUTED_VALUE"""),"Student fired shot at vehicle and then ran inside the school, lockdown, gun recovered")</f>
        <v>Student fired shot at vehicle and then ran inside the school, lockdown, gun recovered</v>
      </c>
      <c r="Z463" s="5" t="str">
        <f ca="1">IFERROR(__xludf.DUMMYFUNCTION("""COMPUTED_VALUE"""),"A teenage student fired shots at a vehicle on the street in front of the school. Shot may have been fired from the vehicle at the student. The shooter then ran into the school. The school was locked down and search by police. Police recovered a loaded han"&amp;"dgun and 2 magazines. Student was arrested.")</f>
        <v>A teenage student fired shots at a vehicle on the street in front of the school. Shot may have been fired from the vehicle at the student. The shooter then ran into the school. The school was locked down and search by police. Police recovered a loaded handgun and 2 magazines. Student was arrested.</v>
      </c>
      <c r="AA463" s="5" t="str">
        <f ca="1">IFERROR(__xludf.DUMMYFUNCTION("""COMPUTED_VALUE"""),"Drive-by Shooting")</f>
        <v>Drive-by Shooting</v>
      </c>
      <c r="AB463" s="5" t="str">
        <f ca="1">IFERROR(__xludf.DUMMYFUNCTION("""COMPUTED_VALUE"""),"Victims Targeted")</f>
        <v>Victims Targeted</v>
      </c>
      <c r="AC463" s="5" t="str">
        <f ca="1">IFERROR(__xludf.DUMMYFUNCTION("""COMPUTED_VALUE"""),"Yes")</f>
        <v>Yes</v>
      </c>
      <c r="AD463" s="5"/>
      <c r="AE463" s="5" t="str">
        <f ca="1">IFERROR(__xludf.DUMMYFUNCTION("""COMPUTED_VALUE"""),"No")</f>
        <v>No</v>
      </c>
      <c r="AF463" s="5" t="str">
        <f ca="1">IFERROR(__xludf.DUMMYFUNCTION("""COMPUTED_VALUE"""),"No")</f>
        <v>No</v>
      </c>
      <c r="AG463" s="5" t="str">
        <f ca="1">IFERROR(__xludf.DUMMYFUNCTION("""COMPUTED_VALUE"""),"No")</f>
        <v>No</v>
      </c>
      <c r="AH463" s="5" t="str">
        <f ca="1">IFERROR(__xludf.DUMMYFUNCTION("""COMPUTED_VALUE"""),"No")</f>
        <v>No</v>
      </c>
      <c r="AI463" s="5"/>
      <c r="AJ463" s="5" t="str">
        <f ca="1">IFERROR(__xludf.DUMMYFUNCTION("""COMPUTED_VALUE"""),"No")</f>
        <v>No</v>
      </c>
    </row>
    <row r="464" spans="1:36" ht="13">
      <c r="A464" s="5" t="str">
        <f ca="1">IFERROR(__xludf.DUMMYFUNCTION("""COMPUTED_VALUE"""),"20211004OHWOT")</f>
        <v>20211004OHWOT</v>
      </c>
      <c r="B464" s="5">
        <f ca="1">IFERROR(__xludf.DUMMYFUNCTION("""COMPUTED_VALUE"""),10)</f>
        <v>10</v>
      </c>
      <c r="C464" s="5">
        <f ca="1">IFERROR(__xludf.DUMMYFUNCTION("""COMPUTED_VALUE"""),4)</f>
        <v>4</v>
      </c>
      <c r="D464" s="5">
        <f ca="1">IFERROR(__xludf.DUMMYFUNCTION("""COMPUTED_VALUE"""),2021)</f>
        <v>2021</v>
      </c>
      <c r="E464" s="8">
        <f ca="1">IFERROR(__xludf.DUMMYFUNCTION("""COMPUTED_VALUE"""),44473)</f>
        <v>44473</v>
      </c>
      <c r="F464" s="5" t="str">
        <f ca="1">IFERROR(__xludf.DUMMYFUNCTION("""COMPUTED_VALUE"""),"Woodward High School")</f>
        <v>Woodward High School</v>
      </c>
      <c r="G464" s="5">
        <f ca="1">IFERROR(__xludf.DUMMYFUNCTION("""COMPUTED_VALUE"""),0)</f>
        <v>0</v>
      </c>
      <c r="H464" s="5">
        <f ca="1">IFERROR(__xludf.DUMMYFUNCTION("""COMPUTED_VALUE"""),1)</f>
        <v>1</v>
      </c>
      <c r="I464" s="5">
        <f ca="1">IFERROR(__xludf.DUMMYFUNCTION("""COMPUTED_VALUE"""),1)</f>
        <v>1</v>
      </c>
      <c r="J464" s="5">
        <f ca="1">IFERROR(__xludf.DUMMYFUNCTION("""COMPUTED_VALUE"""),0)</f>
        <v>0</v>
      </c>
      <c r="K464" s="5" t="str">
        <f ca="1">IFERROR(__xludf.DUMMYFUNCTION("""COMPUTED_VALUE"""),"https://www.wlwt.com/article/police-student-shot-in-arm-outside-of-woodward-high-school/37858634# https://www.fox19.com/2021/10/04/shooting-reported-outside-woodward-high-school-police-say/")</f>
        <v>https://www.wlwt.com/article/police-student-shot-in-arm-outside-of-woodward-high-school/37858634# https://www.fox19.com/2021/10/04/shooting-reported-outside-woodward-high-school-police-say/</v>
      </c>
      <c r="L464" s="5">
        <f ca="1">IFERROR(__xludf.DUMMYFUNCTION("""COMPUTED_VALUE"""),2)</f>
        <v>2</v>
      </c>
      <c r="M464" s="5" t="str">
        <f ca="1">IFERROR(__xludf.DUMMYFUNCTION("""COMPUTED_VALUE"""),"Local")</f>
        <v>Local</v>
      </c>
      <c r="N464" s="5">
        <f ca="1">IFERROR(__xludf.DUMMYFUNCTION("""COMPUTED_VALUE"""),4)</f>
        <v>4</v>
      </c>
      <c r="O464" s="5" t="str">
        <f ca="1">IFERROR(__xludf.DUMMYFUNCTION("""COMPUTED_VALUE"""),"Fall")</f>
        <v>Fall</v>
      </c>
      <c r="P464" s="5" t="str">
        <f ca="1">IFERROR(__xludf.DUMMYFUNCTION("""COMPUTED_VALUE"""),"Toledo")</f>
        <v>Toledo</v>
      </c>
      <c r="Q464" s="5" t="str">
        <f ca="1">IFERROR(__xludf.DUMMYFUNCTION("""COMPUTED_VALUE"""),"OH")</f>
        <v>OH</v>
      </c>
      <c r="R464" s="5" t="str">
        <f ca="1">IFERROR(__xludf.DUMMYFUNCTION("""COMPUTED_VALUE"""),"High")</f>
        <v>High</v>
      </c>
      <c r="S464" s="5" t="str">
        <f ca="1">IFERROR(__xludf.DUMMYFUNCTION("""COMPUTED_VALUE"""),"Off School Property")</f>
        <v>Off School Property</v>
      </c>
      <c r="T464" s="5" t="str">
        <f ca="1">IFERROR(__xludf.DUMMYFUNCTION("""COMPUTED_VALUE"""),"Off School Property")</f>
        <v>Off School Property</v>
      </c>
      <c r="U464" s="5" t="str">
        <f ca="1">IFERROR(__xludf.DUMMYFUNCTION("""COMPUTED_VALUE"""),"No")</f>
        <v>No</v>
      </c>
      <c r="V464" s="5" t="str">
        <f ca="1">IFERROR(__xludf.DUMMYFUNCTION("""COMPUTED_VALUE"""),"After School")</f>
        <v>After School</v>
      </c>
      <c r="W464" s="10">
        <f ca="1">IFERROR(__xludf.DUMMYFUNCTION("""COMPUTED_VALUE"""),0.6875)</f>
        <v>0.6875</v>
      </c>
      <c r="X464" s="5">
        <f ca="1">IFERROR(__xludf.DUMMYFUNCTION("""COMPUTED_VALUE"""),1)</f>
        <v>1</v>
      </c>
      <c r="Y464" s="5" t="str">
        <f ca="1">IFERROR(__xludf.DUMMYFUNCTION("""COMPUTED_VALUE"""),"Student shot across the street, ran to school for assistance")</f>
        <v>Student shot across the street, ran to school for assistance</v>
      </c>
      <c r="Z464" s="5" t="str">
        <f ca="1">IFERROR(__xludf.DUMMYFUNCTION("""COMPUTED_VALUE"""),"A 17-year-old student was with a group of student in the parking lot across from the high school when he was shot. The shooter fled. The student ran to the school for assistance. Teachers and staff still at the school locked down the building. Police and "&amp;"EMS responded to the school and the student was transported to the hospital.")</f>
        <v>A 17-year-old student was with a group of student in the parking lot across from the high school when he was shot. The shooter fled. The student ran to the school for assistance. Teachers and staff still at the school locked down the building. Police and EMS responded to the school and the student was transported to the hospital.</v>
      </c>
      <c r="AA464" s="5"/>
      <c r="AB464" s="5"/>
      <c r="AC464" s="5" t="str">
        <f ca="1">IFERROR(__xludf.DUMMYFUNCTION("""COMPUTED_VALUE"""),"No")</f>
        <v>No</v>
      </c>
      <c r="AD464" s="5" t="str">
        <f ca="1">IFERROR(__xludf.DUMMYFUNCTION("""COMPUTED_VALUE"""),"No")</f>
        <v>No</v>
      </c>
      <c r="AE464" s="5" t="str">
        <f ca="1">IFERROR(__xludf.DUMMYFUNCTION("""COMPUTED_VALUE"""),"No")</f>
        <v>No</v>
      </c>
      <c r="AF464" s="5" t="str">
        <f ca="1">IFERROR(__xludf.DUMMYFUNCTION("""COMPUTED_VALUE"""),"No")</f>
        <v>No</v>
      </c>
      <c r="AG464" s="5" t="str">
        <f ca="1">IFERROR(__xludf.DUMMYFUNCTION("""COMPUTED_VALUE"""),"No")</f>
        <v>No</v>
      </c>
      <c r="AH464" s="5" t="str">
        <f ca="1">IFERROR(__xludf.DUMMYFUNCTION("""COMPUTED_VALUE"""),"No")</f>
        <v>No</v>
      </c>
      <c r="AI464" s="5"/>
      <c r="AJ464" s="5" t="str">
        <f ca="1">IFERROR(__xludf.DUMMYFUNCTION("""COMPUTED_VALUE"""),"No")</f>
        <v>No</v>
      </c>
    </row>
    <row r="465" spans="1:36" ht="13">
      <c r="A465" s="5" t="str">
        <f ca="1">IFERROR(__xludf.DUMMYFUNCTION("""COMPUTED_VALUE"""),"20211004PASCP")</f>
        <v>20211004PASCP</v>
      </c>
      <c r="B465" s="5">
        <f ca="1">IFERROR(__xludf.DUMMYFUNCTION("""COMPUTED_VALUE"""),10)</f>
        <v>10</v>
      </c>
      <c r="C465" s="5">
        <f ca="1">IFERROR(__xludf.DUMMYFUNCTION("""COMPUTED_VALUE"""),4)</f>
        <v>4</v>
      </c>
      <c r="D465" s="5">
        <f ca="1">IFERROR(__xludf.DUMMYFUNCTION("""COMPUTED_VALUE"""),2021)</f>
        <v>2021</v>
      </c>
      <c r="E465" s="8">
        <f ca="1">IFERROR(__xludf.DUMMYFUNCTION("""COMPUTED_VALUE"""),44473)</f>
        <v>44473</v>
      </c>
      <c r="F465" s="5" t="str">
        <f ca="1">IFERROR(__xludf.DUMMYFUNCTION("""COMPUTED_VALUE"""),"School of the Future")</f>
        <v>School of the Future</v>
      </c>
      <c r="G465" s="5">
        <f ca="1">IFERROR(__xludf.DUMMYFUNCTION("""COMPUTED_VALUE"""),0)</f>
        <v>0</v>
      </c>
      <c r="H465" s="5">
        <f ca="1">IFERROR(__xludf.DUMMYFUNCTION("""COMPUTED_VALUE"""),2)</f>
        <v>2</v>
      </c>
      <c r="I465" s="5">
        <f ca="1">IFERROR(__xludf.DUMMYFUNCTION("""COMPUTED_VALUE"""),2)</f>
        <v>2</v>
      </c>
      <c r="J465" s="5">
        <f ca="1">IFERROR(__xludf.DUMMYFUNCTION("""COMPUTED_VALUE"""),0)</f>
        <v>0</v>
      </c>
      <c r="K465" s="5" t="str">
        <f ca="1">IFERROR(__xludf.DUMMYFUNCTION("""COMPUTED_VALUE"""),"https://www.wrex.com/news/top-stories/two-officers-shot-near-philadelphia-school-related-shooting-at-nearby-hospital/article_7b3f5b44-24e8-11ec-b4d3-ef1ba88d79d7.html https://www.nbcphiladelphia.com/news/local/person-shot-inside-jefferson-hospital-shooter"&amp;"-flees/2979652/ https://6abc.com/philadelphia-hospital-shooting-thomas-jefferson-university-center-city-philly/11077698/")</f>
        <v>https://www.wrex.com/news/top-stories/two-officers-shot-near-philadelphia-school-related-shooting-at-nearby-hospital/article_7b3f5b44-24e8-11ec-b4d3-ef1ba88d79d7.html https://www.nbcphiladelphia.com/news/local/person-shot-inside-jefferson-hospital-shooter-flees/2979652/ https://6abc.com/philadelphia-hospital-shooting-thomas-jefferson-university-center-city-philly/11077698/</v>
      </c>
      <c r="L465" s="5">
        <f ca="1">IFERROR(__xludf.DUMMYFUNCTION("""COMPUTED_VALUE"""),10)</f>
        <v>10</v>
      </c>
      <c r="M465" s="5" t="str">
        <f ca="1">IFERROR(__xludf.DUMMYFUNCTION("""COMPUTED_VALUE"""),"Regional")</f>
        <v>Regional</v>
      </c>
      <c r="N465" s="5">
        <f ca="1">IFERROR(__xludf.DUMMYFUNCTION("""COMPUTED_VALUE"""),4)</f>
        <v>4</v>
      </c>
      <c r="O465" s="5" t="str">
        <f ca="1">IFERROR(__xludf.DUMMYFUNCTION("""COMPUTED_VALUE"""),"Fall")</f>
        <v>Fall</v>
      </c>
      <c r="P465" s="5" t="str">
        <f ca="1">IFERROR(__xludf.DUMMYFUNCTION("""COMPUTED_VALUE"""),"Philadelphia")</f>
        <v>Philadelphia</v>
      </c>
      <c r="Q465" s="5" t="str">
        <f ca="1">IFERROR(__xludf.DUMMYFUNCTION("""COMPUTED_VALUE"""),"PA")</f>
        <v>PA</v>
      </c>
      <c r="R465" s="5" t="str">
        <f ca="1">IFERROR(__xludf.DUMMYFUNCTION("""COMPUTED_VALUE"""),"High")</f>
        <v>High</v>
      </c>
      <c r="S465" s="5" t="str">
        <f ca="1">IFERROR(__xludf.DUMMYFUNCTION("""COMPUTED_VALUE"""),"Outside on School Property")</f>
        <v>Outside on School Property</v>
      </c>
      <c r="T465" s="5" t="str">
        <f ca="1">IFERROR(__xludf.DUMMYFUNCTION("""COMPUTED_VALUE"""),"Outside on School Property")</f>
        <v>Outside on School Property</v>
      </c>
      <c r="U465" s="5" t="str">
        <f ca="1">IFERROR(__xludf.DUMMYFUNCTION("""COMPUTED_VALUE"""),"No")</f>
        <v>No</v>
      </c>
      <c r="V465" s="5" t="str">
        <f ca="1">IFERROR(__xludf.DUMMYFUNCTION("""COMPUTED_VALUE"""),"Night")</f>
        <v>Night</v>
      </c>
      <c r="W465" s="10">
        <f ca="1">IFERROR(__xludf.DUMMYFUNCTION("""COMPUTED_VALUE"""),0.0590277777777777)</f>
        <v>5.90277777777777E-2</v>
      </c>
      <c r="X465" s="5">
        <f ca="1">IFERROR(__xludf.DUMMYFUNCTION("""COMPUTED_VALUE"""),1)</f>
        <v>1</v>
      </c>
      <c r="Y465" s="5" t="str">
        <f ca="1">IFERROR(__xludf.DUMMYFUNCTION("""COMPUTED_VALUE"""),"Active shooter fled workplace shooting scene, shootout with police behind school")</f>
        <v>Active shooter fled workplace shooting scene, shootout with police behind school</v>
      </c>
      <c r="Z465" s="5" t="str">
        <f ca="1">IFERROR(__xludf.DUMMYFUNCTION("""COMPUTED_VALUE"""),"An adult male with a semi-auto rifle, handgun, and wearing body armor shot 2 coworkers at Center City Hospital. He fled on foot and was engaged by 4 officers behind the high school. Two officers were shot. Shooter was shot multiple times and transported i"&amp;"n critical condition. School was switched to virtual learning due to shooting.")</f>
        <v>An adult male with a semi-auto rifle, handgun, and wearing body armor shot 2 coworkers at Center City Hospital. He fled on foot and was engaged by 4 officers behind the high school. Two officers were shot. Shooter was shot multiple times and transported in critical condition. School was switched to virtual learning due to shooting.</v>
      </c>
      <c r="AA465" s="5"/>
      <c r="AB465" s="5" t="str">
        <f ca="1">IFERROR(__xludf.DUMMYFUNCTION("""COMPUTED_VALUE"""),"Both")</f>
        <v>Both</v>
      </c>
      <c r="AC465" s="5" t="str">
        <f ca="1">IFERROR(__xludf.DUMMYFUNCTION("""COMPUTED_VALUE"""),"No")</f>
        <v>No</v>
      </c>
      <c r="AD465" s="5" t="str">
        <f ca="1">IFERROR(__xludf.DUMMYFUNCTION("""COMPUTED_VALUE"""),"No")</f>
        <v>No</v>
      </c>
      <c r="AE465" s="5" t="str">
        <f ca="1">IFERROR(__xludf.DUMMYFUNCTION("""COMPUTED_VALUE"""),"No")</f>
        <v>No</v>
      </c>
      <c r="AF465" s="5" t="str">
        <f ca="1">IFERROR(__xludf.DUMMYFUNCTION("""COMPUTED_VALUE"""),"No")</f>
        <v>No</v>
      </c>
      <c r="AG465" s="5" t="str">
        <f ca="1">IFERROR(__xludf.DUMMYFUNCTION("""COMPUTED_VALUE"""),"No")</f>
        <v>No</v>
      </c>
      <c r="AH465" s="5"/>
      <c r="AI465" s="5" t="str">
        <f ca="1">IFERROR(__xludf.DUMMYFUNCTION("""COMPUTED_VALUE"""),"No")</f>
        <v>No</v>
      </c>
      <c r="AJ465" s="5" t="str">
        <f ca="1">IFERROR(__xludf.DUMMYFUNCTION("""COMPUTED_VALUE"""),"Yes")</f>
        <v>Yes</v>
      </c>
    </row>
    <row r="466" spans="1:36" ht="13">
      <c r="A466" s="5" t="str">
        <f ca="1">IFERROR(__xludf.DUMMYFUNCTION("""COMPUTED_VALUE"""),"20211004NMSAS")</f>
        <v>20211004NMSAS</v>
      </c>
      <c r="B466" s="5">
        <f ca="1">IFERROR(__xludf.DUMMYFUNCTION("""COMPUTED_VALUE"""),10)</f>
        <v>10</v>
      </c>
      <c r="C466" s="5">
        <f ca="1">IFERROR(__xludf.DUMMYFUNCTION("""COMPUTED_VALUE"""),4)</f>
        <v>4</v>
      </c>
      <c r="D466" s="5">
        <f ca="1">IFERROR(__xludf.DUMMYFUNCTION("""COMPUTED_VALUE"""),2021)</f>
        <v>2021</v>
      </c>
      <c r="E466" s="8">
        <f ca="1">IFERROR(__xludf.DUMMYFUNCTION("""COMPUTED_VALUE"""),44473)</f>
        <v>44473</v>
      </c>
      <c r="F466" s="5" t="str">
        <f ca="1">IFERROR(__xludf.DUMMYFUNCTION("""COMPUTED_VALUE"""),"Santa Fe Indian School")</f>
        <v>Santa Fe Indian School</v>
      </c>
      <c r="G466" s="5">
        <f ca="1">IFERROR(__xludf.DUMMYFUNCTION("""COMPUTED_VALUE"""),0)</f>
        <v>0</v>
      </c>
      <c r="H466" s="5">
        <f ca="1">IFERROR(__xludf.DUMMYFUNCTION("""COMPUTED_VALUE"""),0)</f>
        <v>0</v>
      </c>
      <c r="I466" s="5">
        <f ca="1">IFERROR(__xludf.DUMMYFUNCTION("""COMPUTED_VALUE"""),0)</f>
        <v>0</v>
      </c>
      <c r="J466" s="5">
        <f ca="1">IFERROR(__xludf.DUMMYFUNCTION("""COMPUTED_VALUE"""),0)</f>
        <v>0</v>
      </c>
      <c r="K466" s="9" t="str">
        <f ca="1">IFERROR(__xludf.DUMMYFUNCTION("""COMPUTED_VALUE"""),"https://www.santafenewmexican.com/news/local_news/suspect-in-shooting-spree-near-santa-fe-indian-school-charged-with-murder/article_29ff33f0-5e89-11ec-b003-9f6af4c814ff.html")</f>
        <v>https://www.santafenewmexican.com/news/local_news/suspect-in-shooting-spree-near-santa-fe-indian-school-charged-with-murder/article_29ff33f0-5e89-11ec-b003-9f6af4c814ff.html</v>
      </c>
      <c r="L466" s="5">
        <f ca="1">IFERROR(__xludf.DUMMYFUNCTION("""COMPUTED_VALUE"""),1)</f>
        <v>1</v>
      </c>
      <c r="M466" s="5" t="str">
        <f ca="1">IFERROR(__xludf.DUMMYFUNCTION("""COMPUTED_VALUE"""),"Local")</f>
        <v>Local</v>
      </c>
      <c r="N466" s="5">
        <f ca="1">IFERROR(__xludf.DUMMYFUNCTION("""COMPUTED_VALUE"""),3)</f>
        <v>3</v>
      </c>
      <c r="O466" s="5" t="str">
        <f ca="1">IFERROR(__xludf.DUMMYFUNCTION("""COMPUTED_VALUE"""),"Winter")</f>
        <v>Winter</v>
      </c>
      <c r="P466" s="5" t="str">
        <f ca="1">IFERROR(__xludf.DUMMYFUNCTION("""COMPUTED_VALUE"""),"Santa Fe")</f>
        <v>Santa Fe</v>
      </c>
      <c r="Q466" s="5" t="str">
        <f ca="1">IFERROR(__xludf.DUMMYFUNCTION("""COMPUTED_VALUE"""),"NM")</f>
        <v>NM</v>
      </c>
      <c r="R466" s="11">
        <f ca="1">IFERROR(__xludf.DUMMYFUNCTION("""COMPUTED_VALUE"""),44724)</f>
        <v>44724</v>
      </c>
      <c r="S466" s="5" t="str">
        <f ca="1">IFERROR(__xludf.DUMMYFUNCTION("""COMPUTED_VALUE"""),"Outside on School Property")</f>
        <v>Outside on School Property</v>
      </c>
      <c r="T466" s="5" t="str">
        <f ca="1">IFERROR(__xludf.DUMMYFUNCTION("""COMPUTED_VALUE"""),"Outside on School Property")</f>
        <v>Outside on School Property</v>
      </c>
      <c r="U466" s="5" t="str">
        <f ca="1">IFERROR(__xludf.DUMMYFUNCTION("""COMPUTED_VALUE"""),"Yes")</f>
        <v>Yes</v>
      </c>
      <c r="V466" s="5"/>
      <c r="W466" s="5"/>
      <c r="X466" s="5"/>
      <c r="Y466" s="5" t="str">
        <f ca="1">IFERROR(__xludf.DUMMYFUNCTION("""COMPUTED_VALUE"""),"Man fired shots and attempted to steal vehicles, arrested on school property")</f>
        <v>Man fired shots and attempted to steal vehicles, arrested on school property</v>
      </c>
      <c r="Z466" s="5" t="str">
        <f ca="1">IFERROR(__xludf.DUMMYFUNCTION("""COMPUTED_VALUE"""),"A wanted felon committed multiple crimes in a 12 hour period. He was arrested on school property after firing multiple times and attempting to steal vehicles. Charged for a murder the day prior and 13 other felonies. No students injured.")</f>
        <v>A wanted felon committed multiple crimes in a 12 hour period. He was arrested on school property after firing multiple times and attempting to steal vehicles. Charged for a murder the day prior and 13 other felonies. No students injured.</v>
      </c>
      <c r="AA466" s="5" t="str">
        <f ca="1">IFERROR(__xludf.DUMMYFUNCTION("""COMPUTED_VALUE"""),"Illegal Activity")</f>
        <v>Illegal Activity</v>
      </c>
      <c r="AB466" s="5" t="str">
        <f ca="1">IFERROR(__xludf.DUMMYFUNCTION("""COMPUTED_VALUE"""),"Random Shooting")</f>
        <v>Random Shooting</v>
      </c>
      <c r="AC466" s="5" t="str">
        <f ca="1">IFERROR(__xludf.DUMMYFUNCTION("""COMPUTED_VALUE"""),"No")</f>
        <v>No</v>
      </c>
      <c r="AD466" s="5" t="str">
        <f ca="1">IFERROR(__xludf.DUMMYFUNCTION("""COMPUTED_VALUE"""),"No")</f>
        <v>No</v>
      </c>
      <c r="AE466" s="5" t="str">
        <f ca="1">IFERROR(__xludf.DUMMYFUNCTION("""COMPUTED_VALUE"""),"No")</f>
        <v>No</v>
      </c>
      <c r="AF466" s="5" t="str">
        <f ca="1">IFERROR(__xludf.DUMMYFUNCTION("""COMPUTED_VALUE"""),"No")</f>
        <v>No</v>
      </c>
      <c r="AG466" s="5" t="str">
        <f ca="1">IFERROR(__xludf.DUMMYFUNCTION("""COMPUTED_VALUE"""),"No")</f>
        <v>No</v>
      </c>
      <c r="AH466" s="5" t="str">
        <f ca="1">IFERROR(__xludf.DUMMYFUNCTION("""COMPUTED_VALUE"""),"No")</f>
        <v>No</v>
      </c>
      <c r="AI466" s="5" t="str">
        <f ca="1">IFERROR(__xludf.DUMMYFUNCTION("""COMPUTED_VALUE"""),"No")</f>
        <v>No</v>
      </c>
      <c r="AJ466" s="5" t="str">
        <f ca="1">IFERROR(__xludf.DUMMYFUNCTION("""COMPUTED_VALUE"""),"No")</f>
        <v>No</v>
      </c>
    </row>
    <row r="467" spans="1:36" ht="13">
      <c r="A467" s="5" t="str">
        <f ca="1">IFERROR(__xludf.DUMMYFUNCTION("""COMPUTED_VALUE"""),"20211004ILLAC")</f>
        <v>20211004ILLAC</v>
      </c>
      <c r="B467" s="5">
        <f ca="1">IFERROR(__xludf.DUMMYFUNCTION("""COMPUTED_VALUE"""),10)</f>
        <v>10</v>
      </c>
      <c r="C467" s="5">
        <f ca="1">IFERROR(__xludf.DUMMYFUNCTION("""COMPUTED_VALUE"""),4)</f>
        <v>4</v>
      </c>
      <c r="D467" s="5">
        <f ca="1">IFERROR(__xludf.DUMMYFUNCTION("""COMPUTED_VALUE"""),2021)</f>
        <v>2021</v>
      </c>
      <c r="E467" s="8">
        <f ca="1">IFERROR(__xludf.DUMMYFUNCTION("""COMPUTED_VALUE"""),44473)</f>
        <v>44473</v>
      </c>
      <c r="F467" s="5" t="str">
        <f ca="1">IFERROR(__xludf.DUMMYFUNCTION("""COMPUTED_VALUE"""),"Lakeview High School")</f>
        <v>Lakeview High School</v>
      </c>
      <c r="G467" s="5">
        <f ca="1">IFERROR(__xludf.DUMMYFUNCTION("""COMPUTED_VALUE"""),0)</f>
        <v>0</v>
      </c>
      <c r="H467" s="5">
        <f ca="1">IFERROR(__xludf.DUMMYFUNCTION("""COMPUTED_VALUE"""),0)</f>
        <v>0</v>
      </c>
      <c r="I467" s="5">
        <f ca="1">IFERROR(__xludf.DUMMYFUNCTION("""COMPUTED_VALUE"""),0)</f>
        <v>0</v>
      </c>
      <c r="J467" s="5">
        <f ca="1">IFERROR(__xludf.DUMMYFUNCTION("""COMPUTED_VALUE"""),0)</f>
        <v>0</v>
      </c>
      <c r="K467" s="9" t="str">
        <f ca="1">IFERROR(__xludf.DUMMYFUNCTION("""COMPUTED_VALUE"""),"https://chicago.cbslocal.com/video/6072449-video-of-shooting-outside-lakeview-high-school/")</f>
        <v>https://chicago.cbslocal.com/video/6072449-video-of-shooting-outside-lakeview-high-school/</v>
      </c>
      <c r="L467" s="5">
        <f ca="1">IFERROR(__xludf.DUMMYFUNCTION("""COMPUTED_VALUE"""),1)</f>
        <v>1</v>
      </c>
      <c r="M467" s="5" t="str">
        <f ca="1">IFERROR(__xludf.DUMMYFUNCTION("""COMPUTED_VALUE"""),"Local")</f>
        <v>Local</v>
      </c>
      <c r="N467" s="5">
        <f ca="1">IFERROR(__xludf.DUMMYFUNCTION("""COMPUTED_VALUE"""),4)</f>
        <v>4</v>
      </c>
      <c r="O467" s="5" t="str">
        <f ca="1">IFERROR(__xludf.DUMMYFUNCTION("""COMPUTED_VALUE"""),"Fall")</f>
        <v>Fall</v>
      </c>
      <c r="P467" s="5" t="str">
        <f ca="1">IFERROR(__xludf.DUMMYFUNCTION("""COMPUTED_VALUE"""),"Chicago")</f>
        <v>Chicago</v>
      </c>
      <c r="Q467" s="5" t="str">
        <f ca="1">IFERROR(__xludf.DUMMYFUNCTION("""COMPUTED_VALUE"""),"IL")</f>
        <v>IL</v>
      </c>
      <c r="R467" s="5" t="str">
        <f ca="1">IFERROR(__xludf.DUMMYFUNCTION("""COMPUTED_VALUE"""),"High")</f>
        <v>High</v>
      </c>
      <c r="S467" s="5" t="str">
        <f ca="1">IFERROR(__xludf.DUMMYFUNCTION("""COMPUTED_VALUE"""),"Parking Lot")</f>
        <v>Parking Lot</v>
      </c>
      <c r="T467" s="5" t="str">
        <f ca="1">IFERROR(__xludf.DUMMYFUNCTION("""COMPUTED_VALUE"""),"Outside on School Property")</f>
        <v>Outside on School Property</v>
      </c>
      <c r="U467" s="5"/>
      <c r="V467" s="5"/>
      <c r="W467" s="5"/>
      <c r="X467" s="5">
        <f ca="1">IFERROR(__xludf.DUMMYFUNCTION("""COMPUTED_VALUE"""),1)</f>
        <v>1</v>
      </c>
      <c r="Y467" s="5" t="str">
        <f ca="1">IFERROR(__xludf.DUMMYFUNCTION("""COMPUTED_VALUE"""),"Shots fired in school parking lot")</f>
        <v>Shots fired in school parking lot</v>
      </c>
      <c r="Z467" s="5" t="str">
        <f ca="1">IFERROR(__xludf.DUMMYFUNCTION("""COMPUTED_VALUE"""),"CCTV footage shows more than 12 shots fired in the school parking lot. No other information available.")</f>
        <v>CCTV footage shows more than 12 shots fired in the school parking lot. No other information available.</v>
      </c>
      <c r="AA467" s="5"/>
      <c r="AB467" s="5"/>
      <c r="AC467" s="5"/>
      <c r="AD467" s="5" t="str">
        <f ca="1">IFERROR(__xludf.DUMMYFUNCTION("""COMPUTED_VALUE"""),"No")</f>
        <v>No</v>
      </c>
      <c r="AE467" s="5" t="str">
        <f ca="1">IFERROR(__xludf.DUMMYFUNCTION("""COMPUTED_VALUE"""),"No")</f>
        <v>No</v>
      </c>
      <c r="AF467" s="5" t="str">
        <f ca="1">IFERROR(__xludf.DUMMYFUNCTION("""COMPUTED_VALUE"""),"No")</f>
        <v>No</v>
      </c>
      <c r="AG467" s="5" t="str">
        <f ca="1">IFERROR(__xludf.DUMMYFUNCTION("""COMPUTED_VALUE"""),"No")</f>
        <v>No</v>
      </c>
      <c r="AH467" s="5" t="str">
        <f ca="1">IFERROR(__xludf.DUMMYFUNCTION("""COMPUTED_VALUE"""),"No")</f>
        <v>No</v>
      </c>
      <c r="AI467" s="5"/>
      <c r="AJ467" s="5" t="str">
        <f ca="1">IFERROR(__xludf.DUMMYFUNCTION("""COMPUTED_VALUE"""),"No")</f>
        <v>No</v>
      </c>
    </row>
    <row r="468" spans="1:36" ht="13">
      <c r="A468" s="5" t="str">
        <f ca="1">IFERROR(__xludf.DUMMYFUNCTION("""COMPUTED_VALUE"""),"20211001TXYEH")</f>
        <v>20211001TXYEH</v>
      </c>
      <c r="B468" s="5">
        <f ca="1">IFERROR(__xludf.DUMMYFUNCTION("""COMPUTED_VALUE"""),10)</f>
        <v>10</v>
      </c>
      <c r="C468" s="5">
        <f ca="1">IFERROR(__xludf.DUMMYFUNCTION("""COMPUTED_VALUE"""),1)</f>
        <v>1</v>
      </c>
      <c r="D468" s="5">
        <f ca="1">IFERROR(__xludf.DUMMYFUNCTION("""COMPUTED_VALUE"""),2021)</f>
        <v>2021</v>
      </c>
      <c r="E468" s="8">
        <f ca="1">IFERROR(__xludf.DUMMYFUNCTION("""COMPUTED_VALUE"""),44470)</f>
        <v>44470</v>
      </c>
      <c r="F468" s="5" t="str">
        <f ca="1">IFERROR(__xludf.DUMMYFUNCTION("""COMPUTED_VALUE"""),"YES Prep")</f>
        <v>YES Prep</v>
      </c>
      <c r="G468" s="5">
        <f ca="1">IFERROR(__xludf.DUMMYFUNCTION("""COMPUTED_VALUE"""),0)</f>
        <v>0</v>
      </c>
      <c r="H468" s="5">
        <f ca="1">IFERROR(__xludf.DUMMYFUNCTION("""COMPUTED_VALUE"""),1)</f>
        <v>1</v>
      </c>
      <c r="I468" s="5">
        <f ca="1">IFERROR(__xludf.DUMMYFUNCTION("""COMPUTED_VALUE"""),1)</f>
        <v>1</v>
      </c>
      <c r="J468" s="5">
        <f ca="1">IFERROR(__xludf.DUMMYFUNCTION("""COMPUTED_VALUE"""),0)</f>
        <v>0</v>
      </c>
      <c r="K468" s="5" t="str">
        <f ca="1">IFERROR(__xludf.DUMMYFUNCTION("""COMPUTED_VALUE"""),"https://www.khou.com/article/news/local/houston-school-shooting-report/285-55f3db2d-9784-48db-b496-3e1941d8e211 https://www.click2houston.com/news/local/2021/10/01/active-shooter-reported-at-yes-prep-southwest-secondary-authorities-say/ https://abc13.com/"&amp;"yes-prep-southwest-houston-school-active-shooting-today-whats-happening-at/11069057/")</f>
        <v>https://www.khou.com/article/news/local/houston-school-shooting-report/285-55f3db2d-9784-48db-b496-3e1941d8e211 https://www.click2houston.com/news/local/2021/10/01/active-shooter-reported-at-yes-prep-southwest-secondary-authorities-say/ https://abc13.com/yes-prep-southwest-houston-school-active-shooting-today-whats-happening-at/11069057/</v>
      </c>
      <c r="L468" s="5">
        <f ca="1">IFERROR(__xludf.DUMMYFUNCTION("""COMPUTED_VALUE"""),100)</f>
        <v>100</v>
      </c>
      <c r="M468" s="5" t="str">
        <f ca="1">IFERROR(__xludf.DUMMYFUNCTION("""COMPUTED_VALUE"""),"Regional")</f>
        <v>Regional</v>
      </c>
      <c r="N468" s="5">
        <f ca="1">IFERROR(__xludf.DUMMYFUNCTION("""COMPUTED_VALUE"""),4)</f>
        <v>4</v>
      </c>
      <c r="O468" s="5" t="str">
        <f ca="1">IFERROR(__xludf.DUMMYFUNCTION("""COMPUTED_VALUE"""),"Fall")</f>
        <v>Fall</v>
      </c>
      <c r="P468" s="5" t="str">
        <f ca="1">IFERROR(__xludf.DUMMYFUNCTION("""COMPUTED_VALUE"""),"Houston")</f>
        <v>Houston</v>
      </c>
      <c r="Q468" s="5" t="str">
        <f ca="1">IFERROR(__xludf.DUMMYFUNCTION("""COMPUTED_VALUE"""),"TX")</f>
        <v>TX</v>
      </c>
      <c r="R468" s="5" t="str">
        <f ca="1">IFERROR(__xludf.DUMMYFUNCTION("""COMPUTED_VALUE"""),"High")</f>
        <v>High</v>
      </c>
      <c r="S468" s="5" t="str">
        <f ca="1">IFERROR(__xludf.DUMMYFUNCTION("""COMPUTED_VALUE"""),"Entryway")</f>
        <v>Entryway</v>
      </c>
      <c r="T468" s="5" t="str">
        <f ca="1">IFERROR(__xludf.DUMMYFUNCTION("""COMPUTED_VALUE"""),"Inside School Building")</f>
        <v>Inside School Building</v>
      </c>
      <c r="U468" s="5" t="str">
        <f ca="1">IFERROR(__xludf.DUMMYFUNCTION("""COMPUTED_VALUE"""),"Yes")</f>
        <v>Yes</v>
      </c>
      <c r="V468" s="5" t="str">
        <f ca="1">IFERROR(__xludf.DUMMYFUNCTION("""COMPUTED_VALUE"""),"Morning Classes")</f>
        <v>Morning Classes</v>
      </c>
      <c r="W468" s="10">
        <f ca="1">IFERROR(__xludf.DUMMYFUNCTION("""COMPUTED_VALUE"""),0.489583333333333)</f>
        <v>0.48958333333333298</v>
      </c>
      <c r="X468" s="5"/>
      <c r="Y468" s="5" t="str">
        <f ca="1">IFERROR(__xludf.DUMMYFUNCTION("""COMPUTED_VALUE"""),"Former student attacked school targeting specific staff member")</f>
        <v>Former student attacked school targeting specific staff member</v>
      </c>
      <c r="Z468" s="5" t="str">
        <f ca="1">IFERROR(__xludf.DUMMYFUNCTION("""COMPUTED_VALUE"""),"A 25-year-old male former student, armed with a rifle, tried to open locked doors and then fired shots to break the glass front door. He then fired shots at the school principal. Family reported he had a history of mental illness and was hearing voices at"&amp;" the time of the shooting. Shooter admitted shooting to police and said that the principal was not his target, he was looking for another staff member. Shooter surrendered when officers arrived. No students were injured. School was locked down and then ev"&amp;"acuated. Principal was transported to hospital with graze wound to the back. Classes cancelled for next 3 days.")</f>
        <v>A 25-year-old male former student, armed with a rifle, tried to open locked doors and then fired shots to break the glass front door. He then fired shots at the school principal. Family reported he had a history of mental illness and was hearing voices at the time of the shooting. Shooter admitted shooting to police and said that the principal was not his target, he was looking for another staff member. Shooter surrendered when officers arrived. No students were injured. School was locked down and then evacuated. Principal was transported to hospital with graze wound to the back. Classes cancelled for next 3 days.</v>
      </c>
      <c r="AA468" s="5" t="str">
        <f ca="1">IFERROR(__xludf.DUMMYFUNCTION("""COMPUTED_VALUE"""),"Psychosis")</f>
        <v>Psychosis</v>
      </c>
      <c r="AB468" s="5" t="str">
        <f ca="1">IFERROR(__xludf.DUMMYFUNCTION("""COMPUTED_VALUE"""),"Both")</f>
        <v>Both</v>
      </c>
      <c r="AC468" s="5" t="str">
        <f ca="1">IFERROR(__xludf.DUMMYFUNCTION("""COMPUTED_VALUE"""),"No")</f>
        <v>No</v>
      </c>
      <c r="AD468" s="5" t="str">
        <f ca="1">IFERROR(__xludf.DUMMYFUNCTION("""COMPUTED_VALUE"""),"No")</f>
        <v>No</v>
      </c>
      <c r="AE468" s="5" t="str">
        <f ca="1">IFERROR(__xludf.DUMMYFUNCTION("""COMPUTED_VALUE"""),"No")</f>
        <v>No</v>
      </c>
      <c r="AF468" s="5" t="str">
        <f ca="1">IFERROR(__xludf.DUMMYFUNCTION("""COMPUTED_VALUE"""),"No")</f>
        <v>No</v>
      </c>
      <c r="AG468" s="5" t="str">
        <f ca="1">IFERROR(__xludf.DUMMYFUNCTION("""COMPUTED_VALUE"""),"No")</f>
        <v>No</v>
      </c>
      <c r="AH468" s="5" t="str">
        <f ca="1">IFERROR(__xludf.DUMMYFUNCTION("""COMPUTED_VALUE"""),"No")</f>
        <v>No</v>
      </c>
      <c r="AI468" s="5" t="str">
        <f ca="1">IFERROR(__xludf.DUMMYFUNCTION("""COMPUTED_VALUE"""),"No")</f>
        <v>No</v>
      </c>
      <c r="AJ468" s="5" t="str">
        <f ca="1">IFERROR(__xludf.DUMMYFUNCTION("""COMPUTED_VALUE"""),"Yes")</f>
        <v>Yes</v>
      </c>
    </row>
    <row r="469" spans="1:36" ht="13">
      <c r="A469" s="5" t="str">
        <f ca="1">IFERROR(__xludf.DUMMYFUNCTION("""COMPUTED_VALUE"""),"20211001NJCHC")</f>
        <v>20211001NJCHC</v>
      </c>
      <c r="B469" s="5">
        <f ca="1">IFERROR(__xludf.DUMMYFUNCTION("""COMPUTED_VALUE"""),10)</f>
        <v>10</v>
      </c>
      <c r="C469" s="5">
        <f ca="1">IFERROR(__xludf.DUMMYFUNCTION("""COMPUTED_VALUE"""),1)</f>
        <v>1</v>
      </c>
      <c r="D469" s="5">
        <f ca="1">IFERROR(__xludf.DUMMYFUNCTION("""COMPUTED_VALUE"""),2021)</f>
        <v>2021</v>
      </c>
      <c r="E469" s="8">
        <f ca="1">IFERROR(__xludf.DUMMYFUNCTION("""COMPUTED_VALUE"""),44470)</f>
        <v>44470</v>
      </c>
      <c r="F469" s="5" t="str">
        <f ca="1">IFERROR(__xludf.DUMMYFUNCTION("""COMPUTED_VALUE"""),"Cherry Hill West High School")</f>
        <v>Cherry Hill West High School</v>
      </c>
      <c r="G469" s="5">
        <f ca="1">IFERROR(__xludf.DUMMYFUNCTION("""COMPUTED_VALUE"""),0)</f>
        <v>0</v>
      </c>
      <c r="H469" s="5">
        <f ca="1">IFERROR(__xludf.DUMMYFUNCTION("""COMPUTED_VALUE"""),0)</f>
        <v>0</v>
      </c>
      <c r="I469" s="5">
        <f ca="1">IFERROR(__xludf.DUMMYFUNCTION("""COMPUTED_VALUE"""),0)</f>
        <v>0</v>
      </c>
      <c r="J469" s="5">
        <f ca="1">IFERROR(__xludf.DUMMYFUNCTION("""COMPUTED_VALUE"""),0)</f>
        <v>0</v>
      </c>
      <c r="K469" s="5" t="str">
        <f ca="1">IFERROR(__xludf.DUMMYFUNCTION("""COMPUTED_VALUE"""),"https://www.inquirer.com/news/shooting-cherry-hill-west-high-school-20211002.html https://6abc.com/cherry-hill-police-shots-fire-shooting/11072449/ https://philadelphia.cbslocal.com/2021/10/02/cherry-hill-west-high-school-football-game-shooting/")</f>
        <v>https://www.inquirer.com/news/shooting-cherry-hill-west-high-school-20211002.html https://6abc.com/cherry-hill-police-shots-fire-shooting/11072449/ https://philadelphia.cbslocal.com/2021/10/02/cherry-hill-west-high-school-football-game-shooting/</v>
      </c>
      <c r="L469" s="5">
        <f ca="1">IFERROR(__xludf.DUMMYFUNCTION("""COMPUTED_VALUE"""),3)</f>
        <v>3</v>
      </c>
      <c r="M469" s="5" t="str">
        <f ca="1">IFERROR(__xludf.DUMMYFUNCTION("""COMPUTED_VALUE"""),"Regional")</f>
        <v>Regional</v>
      </c>
      <c r="N469" s="5">
        <f ca="1">IFERROR(__xludf.DUMMYFUNCTION("""COMPUTED_VALUE"""),4)</f>
        <v>4</v>
      </c>
      <c r="O469" s="5" t="str">
        <f ca="1">IFERROR(__xludf.DUMMYFUNCTION("""COMPUTED_VALUE"""),"Fall")</f>
        <v>Fall</v>
      </c>
      <c r="P469" s="5" t="str">
        <f ca="1">IFERROR(__xludf.DUMMYFUNCTION("""COMPUTED_VALUE"""),"Cherry Hill")</f>
        <v>Cherry Hill</v>
      </c>
      <c r="Q469" s="5" t="str">
        <f ca="1">IFERROR(__xludf.DUMMYFUNCTION("""COMPUTED_VALUE"""),"NJ")</f>
        <v>NJ</v>
      </c>
      <c r="R469" s="5" t="str">
        <f ca="1">IFERROR(__xludf.DUMMYFUNCTION("""COMPUTED_VALUE"""),"High")</f>
        <v>High</v>
      </c>
      <c r="S469" s="5" t="str">
        <f ca="1">IFERROR(__xludf.DUMMYFUNCTION("""COMPUTED_VALUE"""),"Football Field/Track")</f>
        <v>Football Field/Track</v>
      </c>
      <c r="T469" s="5" t="str">
        <f ca="1">IFERROR(__xludf.DUMMYFUNCTION("""COMPUTED_VALUE"""),"Off School Property")</f>
        <v>Off School Property</v>
      </c>
      <c r="U469" s="5" t="str">
        <f ca="1">IFERROR(__xludf.DUMMYFUNCTION("""COMPUTED_VALUE"""),"No")</f>
        <v>No</v>
      </c>
      <c r="V469" s="5" t="str">
        <f ca="1">IFERROR(__xludf.DUMMYFUNCTION("""COMPUTED_VALUE"""),"Sport Event")</f>
        <v>Sport Event</v>
      </c>
      <c r="W469" s="10">
        <f ca="1">IFERROR(__xludf.DUMMYFUNCTION("""COMPUTED_VALUE"""),0.864583333333333)</f>
        <v>0.86458333333333304</v>
      </c>
      <c r="X469" s="5">
        <f ca="1">IFERROR(__xludf.DUMMYFUNCTION("""COMPUTED_VALUE"""),1)</f>
        <v>1</v>
      </c>
      <c r="Y469" s="5" t="str">
        <f ca="1">IFERROR(__xludf.DUMMYFUNCTION("""COMPUTED_VALUE"""),"Male fired 8 shots at the football stadium stands then fled")</f>
        <v>Male fired 8 shots at the football stadium stands then fled</v>
      </c>
      <c r="Z469" s="5" t="str">
        <f ca="1">IFERROR(__xludf.DUMMYFUNCTION("""COMPUTED_VALUE"""),"An unidentified male fired 8 shots from outside the stadium in the direction of the football stadium visitor side stands and then fled. No one was struck. Police recovered shell casings.")</f>
        <v>An unidentified male fired 8 shots from outside the stadium in the direction of the football stadium visitor side stands and then fled. No one was struck. Police recovered shell casings.</v>
      </c>
      <c r="AA469" s="5" t="str">
        <f ca="1">IFERROR(__xludf.DUMMYFUNCTION("""COMPUTED_VALUE"""),"Indiscriminate Shooting")</f>
        <v>Indiscriminate Shooting</v>
      </c>
      <c r="AB469" s="5" t="str">
        <f ca="1">IFERROR(__xludf.DUMMYFUNCTION("""COMPUTED_VALUE"""),"Random Shooting")</f>
        <v>Random Shooting</v>
      </c>
      <c r="AC469" s="5" t="str">
        <f ca="1">IFERROR(__xludf.DUMMYFUNCTION("""COMPUTED_VALUE"""),"No")</f>
        <v>No</v>
      </c>
      <c r="AD469" s="5" t="str">
        <f ca="1">IFERROR(__xludf.DUMMYFUNCTION("""COMPUTED_VALUE"""),"No")</f>
        <v>No</v>
      </c>
      <c r="AE469" s="5" t="str">
        <f ca="1">IFERROR(__xludf.DUMMYFUNCTION("""COMPUTED_VALUE"""),"No")</f>
        <v>No</v>
      </c>
      <c r="AF469" s="5" t="str">
        <f ca="1">IFERROR(__xludf.DUMMYFUNCTION("""COMPUTED_VALUE"""),"No")</f>
        <v>No</v>
      </c>
      <c r="AG469" s="5" t="str">
        <f ca="1">IFERROR(__xludf.DUMMYFUNCTION("""COMPUTED_VALUE"""),"No")</f>
        <v>No</v>
      </c>
      <c r="AH469" s="5" t="str">
        <f ca="1">IFERROR(__xludf.DUMMYFUNCTION("""COMPUTED_VALUE"""),"No")</f>
        <v>No</v>
      </c>
      <c r="AI469" s="5"/>
      <c r="AJ469" s="5" t="str">
        <f ca="1">IFERROR(__xludf.DUMMYFUNCTION("""COMPUTED_VALUE"""),"No")</f>
        <v>No</v>
      </c>
    </row>
    <row r="470" spans="1:36" ht="13">
      <c r="A470" s="5" t="str">
        <f ca="1">IFERROR(__xludf.DUMMYFUNCTION("""COMPUTED_VALUE"""),"20211001NCSEF")</f>
        <v>20211001NCSEF</v>
      </c>
      <c r="B470" s="5">
        <f ca="1">IFERROR(__xludf.DUMMYFUNCTION("""COMPUTED_VALUE"""),10)</f>
        <v>10</v>
      </c>
      <c r="C470" s="5">
        <f ca="1">IFERROR(__xludf.DUMMYFUNCTION("""COMPUTED_VALUE"""),1)</f>
        <v>1</v>
      </c>
      <c r="D470" s="5">
        <f ca="1">IFERROR(__xludf.DUMMYFUNCTION("""COMPUTED_VALUE"""),2021)</f>
        <v>2021</v>
      </c>
      <c r="E470" s="8">
        <f ca="1">IFERROR(__xludf.DUMMYFUNCTION("""COMPUTED_VALUE"""),44470)</f>
        <v>44470</v>
      </c>
      <c r="F470" s="5" t="str">
        <f ca="1">IFERROR(__xludf.DUMMYFUNCTION("""COMPUTED_VALUE"""),"Seventy-First High School")</f>
        <v>Seventy-First High School</v>
      </c>
      <c r="G470" s="5">
        <f ca="1">IFERROR(__xludf.DUMMYFUNCTION("""COMPUTED_VALUE"""),0)</f>
        <v>0</v>
      </c>
      <c r="H470" s="5">
        <f ca="1">IFERROR(__xludf.DUMMYFUNCTION("""COMPUTED_VALUE"""),2)</f>
        <v>2</v>
      </c>
      <c r="I470" s="5">
        <f ca="1">IFERROR(__xludf.DUMMYFUNCTION("""COMPUTED_VALUE"""),2)</f>
        <v>2</v>
      </c>
      <c r="J470" s="5">
        <f ca="1">IFERROR(__xludf.DUMMYFUNCTION("""COMPUTED_VALUE"""),0)</f>
        <v>0</v>
      </c>
      <c r="K470" s="5" t="str">
        <f ca="1">IFERROR(__xludf.DUMMYFUNCTION("""COMPUTED_VALUE"""),"https://abc11.com/seventy-first-high-school-71st-shooting-football/11070742/ https://www.wral.com/2-teens-hurt-in-shooting-following-high-school-football-game-in-fayetteville/19905531/ https://www.fayobserver.com/story/news/2021/10/02/fayetteville-footbal"&amp;"l-game-shooting-2-injured-after-seventy-first-game-friday-night/5967044001/")</f>
        <v>https://abc11.com/seventy-first-high-school-71st-shooting-football/11070742/ https://www.wral.com/2-teens-hurt-in-shooting-following-high-school-football-game-in-fayetteville/19905531/ https://www.fayobserver.com/story/news/2021/10/02/fayetteville-football-game-shooting-2-injured-after-seventy-first-game-friday-night/5967044001/</v>
      </c>
      <c r="L470" s="5">
        <f ca="1">IFERROR(__xludf.DUMMYFUNCTION("""COMPUTED_VALUE"""),5)</f>
        <v>5</v>
      </c>
      <c r="M470" s="5" t="str">
        <f ca="1">IFERROR(__xludf.DUMMYFUNCTION("""COMPUTED_VALUE"""),"Local")</f>
        <v>Local</v>
      </c>
      <c r="N470" s="5">
        <f ca="1">IFERROR(__xludf.DUMMYFUNCTION("""COMPUTED_VALUE"""),4)</f>
        <v>4</v>
      </c>
      <c r="O470" s="5" t="str">
        <f ca="1">IFERROR(__xludf.DUMMYFUNCTION("""COMPUTED_VALUE"""),"Fall")</f>
        <v>Fall</v>
      </c>
      <c r="P470" s="5" t="str">
        <f ca="1">IFERROR(__xludf.DUMMYFUNCTION("""COMPUTED_VALUE"""),"Fayetteville")</f>
        <v>Fayetteville</v>
      </c>
      <c r="Q470" s="5" t="str">
        <f ca="1">IFERROR(__xludf.DUMMYFUNCTION("""COMPUTED_VALUE"""),"NC")</f>
        <v>NC</v>
      </c>
      <c r="R470" s="5" t="str">
        <f ca="1">IFERROR(__xludf.DUMMYFUNCTION("""COMPUTED_VALUE"""),"High")</f>
        <v>High</v>
      </c>
      <c r="S470" s="5" t="str">
        <f ca="1">IFERROR(__xludf.DUMMYFUNCTION("""COMPUTED_VALUE"""),"Parking Lot")</f>
        <v>Parking Lot</v>
      </c>
      <c r="T470" s="5" t="str">
        <f ca="1">IFERROR(__xludf.DUMMYFUNCTION("""COMPUTED_VALUE"""),"Outside on School Property")</f>
        <v>Outside on School Property</v>
      </c>
      <c r="U470" s="5" t="str">
        <f ca="1">IFERROR(__xludf.DUMMYFUNCTION("""COMPUTED_VALUE"""),"No")</f>
        <v>No</v>
      </c>
      <c r="V470" s="5" t="str">
        <f ca="1">IFERROR(__xludf.DUMMYFUNCTION("""COMPUTED_VALUE"""),"Sport Event")</f>
        <v>Sport Event</v>
      </c>
      <c r="W470" s="10">
        <f ca="1">IFERROR(__xludf.DUMMYFUNCTION("""COMPUTED_VALUE"""),0.916666666666666)</f>
        <v>0.91666666666666596</v>
      </c>
      <c r="X470" s="5">
        <f ca="1">IFERROR(__xludf.DUMMYFUNCTION("""COMPUTED_VALUE"""),1)</f>
        <v>1</v>
      </c>
      <c r="Y470" s="5" t="str">
        <f ca="1">IFERROR(__xludf.DUMMYFUNCTION("""COMPUTED_VALUE"""),"Two teens shot in parking lot following football game")</f>
        <v>Two teens shot in parking lot following football game</v>
      </c>
      <c r="Z470" s="5" t="str">
        <f ca="1">IFERROR(__xludf.DUMMYFUNCTION("""COMPUTED_VALUE"""),"A 19-year-old and 18-year-old were shot in the parking lot following the high school football game. A vehicle was also struck. Shooter fled. The following day, a 15-year-old was arrested for threating a mass shooting at the school in retaliation for the s"&amp;"hooting.")</f>
        <v>A 19-year-old and 18-year-old were shot in the parking lot following the high school football game. A vehicle was also struck. Shooter fled. The following day, a 15-year-old was arrested for threating a mass shooting at the school in retaliation for the shooting.</v>
      </c>
      <c r="AA470" s="5" t="str">
        <f ca="1">IFERROR(__xludf.DUMMYFUNCTION("""COMPUTED_VALUE"""),"Escalation of Dispute")</f>
        <v>Escalation of Dispute</v>
      </c>
      <c r="AB470" s="5" t="str">
        <f ca="1">IFERROR(__xludf.DUMMYFUNCTION("""COMPUTED_VALUE"""),"Victims Targeted")</f>
        <v>Victims Targeted</v>
      </c>
      <c r="AC470" s="5" t="str">
        <f ca="1">IFERROR(__xludf.DUMMYFUNCTION("""COMPUTED_VALUE"""),"No")</f>
        <v>No</v>
      </c>
      <c r="AD470" s="5" t="str">
        <f ca="1">IFERROR(__xludf.DUMMYFUNCTION("""COMPUTED_VALUE"""),"No")</f>
        <v>No</v>
      </c>
      <c r="AE470" s="5" t="str">
        <f ca="1">IFERROR(__xludf.DUMMYFUNCTION("""COMPUTED_VALUE"""),"No")</f>
        <v>No</v>
      </c>
      <c r="AF470" s="5" t="str">
        <f ca="1">IFERROR(__xludf.DUMMYFUNCTION("""COMPUTED_VALUE"""),"No")</f>
        <v>No</v>
      </c>
      <c r="AG470" s="5" t="str">
        <f ca="1">IFERROR(__xludf.DUMMYFUNCTION("""COMPUTED_VALUE"""),"No")</f>
        <v>No</v>
      </c>
      <c r="AH470" s="5" t="str">
        <f ca="1">IFERROR(__xludf.DUMMYFUNCTION("""COMPUTED_VALUE"""),"No")</f>
        <v>No</v>
      </c>
      <c r="AI470" s="5" t="str">
        <f ca="1">IFERROR(__xludf.DUMMYFUNCTION("""COMPUTED_VALUE"""),"Yes")</f>
        <v>Yes</v>
      </c>
      <c r="AJ470" s="5" t="str">
        <f ca="1">IFERROR(__xludf.DUMMYFUNCTION("""COMPUTED_VALUE"""),"No")</f>
        <v>No</v>
      </c>
    </row>
    <row r="471" spans="1:36" ht="13">
      <c r="A471" s="5" t="str">
        <f ca="1">IFERROR(__xludf.DUMMYFUNCTION("""COMPUTED_VALUE"""),"20211001NCNOD")</f>
        <v>20211001NCNOD</v>
      </c>
      <c r="B471" s="5">
        <f ca="1">IFERROR(__xludf.DUMMYFUNCTION("""COMPUTED_VALUE"""),10)</f>
        <v>10</v>
      </c>
      <c r="C471" s="5">
        <f ca="1">IFERROR(__xludf.DUMMYFUNCTION("""COMPUTED_VALUE"""),1)</f>
        <v>1</v>
      </c>
      <c r="D471" s="5">
        <f ca="1">IFERROR(__xludf.DUMMYFUNCTION("""COMPUTED_VALUE"""),2021)</f>
        <v>2021</v>
      </c>
      <c r="E471" s="8">
        <f ca="1">IFERROR(__xludf.DUMMYFUNCTION("""COMPUTED_VALUE"""),44470)</f>
        <v>44470</v>
      </c>
      <c r="F471" s="5" t="str">
        <f ca="1">IFERROR(__xludf.DUMMYFUNCTION("""COMPUTED_VALUE"""),"Northern High School")</f>
        <v>Northern High School</v>
      </c>
      <c r="G471" s="5">
        <f ca="1">IFERROR(__xludf.DUMMYFUNCTION("""COMPUTED_VALUE"""),0)</f>
        <v>0</v>
      </c>
      <c r="H471" s="5">
        <f ca="1">IFERROR(__xludf.DUMMYFUNCTION("""COMPUTED_VALUE"""),1)</f>
        <v>1</v>
      </c>
      <c r="I471" s="5">
        <f ca="1">IFERROR(__xludf.DUMMYFUNCTION("""COMPUTED_VALUE"""),1)</f>
        <v>1</v>
      </c>
      <c r="J471" s="5">
        <f ca="1">IFERROR(__xludf.DUMMYFUNCTION("""COMPUTED_VALUE"""),0)</f>
        <v>0</v>
      </c>
      <c r="K471" s="5" t="str">
        <f ca="1">IFERROR(__xludf.DUMMYFUNCTION("""COMPUTED_VALUE"""),"https://www.cbs17.com/news/local-news/durham-county-news/17-year-old-shot-following-durham-high-school-football-game/ https://abc11.com/durham-shooting-stadium-drive-county-northern-hs-football/11072500/ https://www.newsobserver.com/news/local/crime/artic"&amp;"le254710472.html https://www.wavy.com/news/north-carolina/17-year-old-shot-after-durham-high-school-football-game-up-to-15-gunshots-fired-parent-says/")</f>
        <v>https://www.cbs17.com/news/local-news/durham-county-news/17-year-old-shot-following-durham-high-school-football-game/ https://abc11.com/durham-shooting-stadium-drive-county-northern-hs-football/11072500/ https://www.newsobserver.com/news/local/crime/article254710472.html https://www.wavy.com/news/north-carolina/17-year-old-shot-after-durham-high-school-football-game-up-to-15-gunshots-fired-parent-says/</v>
      </c>
      <c r="L471" s="5">
        <f ca="1">IFERROR(__xludf.DUMMYFUNCTION("""COMPUTED_VALUE"""),5)</f>
        <v>5</v>
      </c>
      <c r="M471" s="5" t="str">
        <f ca="1">IFERROR(__xludf.DUMMYFUNCTION("""COMPUTED_VALUE"""),"Local")</f>
        <v>Local</v>
      </c>
      <c r="N471" s="5">
        <f ca="1">IFERROR(__xludf.DUMMYFUNCTION("""COMPUTED_VALUE"""),4)</f>
        <v>4</v>
      </c>
      <c r="O471" s="5" t="str">
        <f ca="1">IFERROR(__xludf.DUMMYFUNCTION("""COMPUTED_VALUE"""),"Fall")</f>
        <v>Fall</v>
      </c>
      <c r="P471" s="5" t="str">
        <f ca="1">IFERROR(__xludf.DUMMYFUNCTION("""COMPUTED_VALUE"""),"Durham")</f>
        <v>Durham</v>
      </c>
      <c r="Q471" s="5" t="str">
        <f ca="1">IFERROR(__xludf.DUMMYFUNCTION("""COMPUTED_VALUE"""),"NC")</f>
        <v>NC</v>
      </c>
      <c r="R471" s="5" t="str">
        <f ca="1">IFERROR(__xludf.DUMMYFUNCTION("""COMPUTED_VALUE"""),"High")</f>
        <v>High</v>
      </c>
      <c r="S471" s="5" t="str">
        <f ca="1">IFERROR(__xludf.DUMMYFUNCTION("""COMPUTED_VALUE"""),"Football Field/Track")</f>
        <v>Football Field/Track</v>
      </c>
      <c r="T471" s="5" t="str">
        <f ca="1">IFERROR(__xludf.DUMMYFUNCTION("""COMPUTED_VALUE"""),"Outside on School Property")</f>
        <v>Outside on School Property</v>
      </c>
      <c r="U471" s="5" t="str">
        <f ca="1">IFERROR(__xludf.DUMMYFUNCTION("""COMPUTED_VALUE"""),"No")</f>
        <v>No</v>
      </c>
      <c r="V471" s="5" t="str">
        <f ca="1">IFERROR(__xludf.DUMMYFUNCTION("""COMPUTED_VALUE"""),"Sport Event")</f>
        <v>Sport Event</v>
      </c>
      <c r="W471" s="10">
        <f ca="1">IFERROR(__xludf.DUMMYFUNCTION("""COMPUTED_VALUE"""),0.904166666666666)</f>
        <v>0.90416666666666601</v>
      </c>
      <c r="X471" s="5">
        <f ca="1">IFERROR(__xludf.DUMMYFUNCTION("""COMPUTED_VALUE"""),1)</f>
        <v>1</v>
      </c>
      <c r="Y471" s="5" t="str">
        <f ca="1">IFERROR(__xludf.DUMMYFUNCTION("""COMPUTED_VALUE"""),"Vehicle drove onto grass near stadium and fired 10-15 shots as crowd was exiting")</f>
        <v>Vehicle drove onto grass near stadium and fired 10-15 shots as crowd was exiting</v>
      </c>
      <c r="Z471" s="5" t="str">
        <f ca="1">IFERROR(__xludf.DUMMYFUNCTION("""COMPUTED_VALUE"""),"A vehicle drove onto the grass near the stadium exit and fired 10-15 shots as fans were exiting. A 17-year-old was wounded and multiple vehicle were struck. Shooter fled.")</f>
        <v>A vehicle drove onto the grass near the stadium exit and fired 10-15 shots as fans were exiting. A 17-year-old was wounded and multiple vehicle were struck. Shooter fled.</v>
      </c>
      <c r="AA471" s="5" t="str">
        <f ca="1">IFERROR(__xludf.DUMMYFUNCTION("""COMPUTED_VALUE"""),"Drive-by Shooting")</f>
        <v>Drive-by Shooting</v>
      </c>
      <c r="AB471" s="5" t="str">
        <f ca="1">IFERROR(__xludf.DUMMYFUNCTION("""COMPUTED_VALUE"""),"Random Shooting")</f>
        <v>Random Shooting</v>
      </c>
      <c r="AC471" s="5"/>
      <c r="AD471" s="5" t="str">
        <f ca="1">IFERROR(__xludf.DUMMYFUNCTION("""COMPUTED_VALUE"""),"No")</f>
        <v>No</v>
      </c>
      <c r="AE471" s="5" t="str">
        <f ca="1">IFERROR(__xludf.DUMMYFUNCTION("""COMPUTED_VALUE"""),"No")</f>
        <v>No</v>
      </c>
      <c r="AF471" s="5" t="str">
        <f ca="1">IFERROR(__xludf.DUMMYFUNCTION("""COMPUTED_VALUE"""),"No")</f>
        <v>No</v>
      </c>
      <c r="AG471" s="5" t="str">
        <f ca="1">IFERROR(__xludf.DUMMYFUNCTION("""COMPUTED_VALUE"""),"No")</f>
        <v>No</v>
      </c>
      <c r="AH471" s="5" t="str">
        <f ca="1">IFERROR(__xludf.DUMMYFUNCTION("""COMPUTED_VALUE"""),"No")</f>
        <v>No</v>
      </c>
      <c r="AI471" s="5"/>
      <c r="AJ471" s="5" t="str">
        <f ca="1">IFERROR(__xludf.DUMMYFUNCTION("""COMPUTED_VALUE"""),"No")</f>
        <v>No</v>
      </c>
    </row>
    <row r="472" spans="1:36" ht="13">
      <c r="A472" s="5" t="str">
        <f ca="1">IFERROR(__xludf.DUMMYFUNCTION("""COMPUTED_VALUE"""),"20211001INBEI")</f>
        <v>20211001INBEI</v>
      </c>
      <c r="B472" s="5">
        <f ca="1">IFERROR(__xludf.DUMMYFUNCTION("""COMPUTED_VALUE"""),10)</f>
        <v>10</v>
      </c>
      <c r="C472" s="5">
        <f ca="1">IFERROR(__xludf.DUMMYFUNCTION("""COMPUTED_VALUE"""),1)</f>
        <v>1</v>
      </c>
      <c r="D472" s="5">
        <f ca="1">IFERROR(__xludf.DUMMYFUNCTION("""COMPUTED_VALUE"""),2021)</f>
        <v>2021</v>
      </c>
      <c r="E472" s="8">
        <f ca="1">IFERROR(__xludf.DUMMYFUNCTION("""COMPUTED_VALUE"""),44470)</f>
        <v>44470</v>
      </c>
      <c r="F472" s="5" t="str">
        <f ca="1">IFERROR(__xludf.DUMMYFUNCTION("""COMPUTED_VALUE"""),"Ben Davis High School")</f>
        <v>Ben Davis High School</v>
      </c>
      <c r="G472" s="5">
        <f ca="1">IFERROR(__xludf.DUMMYFUNCTION("""COMPUTED_VALUE"""),0)</f>
        <v>0</v>
      </c>
      <c r="H472" s="5">
        <f ca="1">IFERROR(__xludf.DUMMYFUNCTION("""COMPUTED_VALUE"""),1)</f>
        <v>1</v>
      </c>
      <c r="I472" s="5">
        <f ca="1">IFERROR(__xludf.DUMMYFUNCTION("""COMPUTED_VALUE"""),1)</f>
        <v>1</v>
      </c>
      <c r="J472" s="5">
        <f ca="1">IFERROR(__xludf.DUMMYFUNCTION("""COMPUTED_VALUE"""),0)</f>
        <v>0</v>
      </c>
      <c r="K472" s="5" t="str">
        <f ca="1">IFERROR(__xludf.DUMMYFUNCTION("""COMPUTED_VALUE"""),"https://www.wrtv.com/news/local-news/crime/bond-revoked-for-man-accused-in-shooting-outside-ben-davis-hs-football-game-city-official
https://www.wishtv.com/news/crime-watch-8/teen-shot-at-ben-davis-hs-football-game-against-carmel-another-teen-in-custody/ "&amp;"https://fox59.com/news/ben-davis-coach-responds-after-shooting-outside-football-stadium-cuts-game-short/ https://www.wdrb.com/news/16-year-old-boy-shot-outside-high-school-football-game-in-indianapolis/article_a1ce5398-23c9-11ec-9d00-1f90653e1288.html")</f>
        <v>https://www.wrtv.com/news/local-news/crime/bond-revoked-for-man-accused-in-shooting-outside-ben-davis-hs-football-game-city-official
https://www.wishtv.com/news/crime-watch-8/teen-shot-at-ben-davis-hs-football-game-against-carmel-another-teen-in-custody/ https://fox59.com/news/ben-davis-coach-responds-after-shooting-outside-football-stadium-cuts-game-short/ https://www.wdrb.com/news/16-year-old-boy-shot-outside-high-school-football-game-in-indianapolis/article_a1ce5398-23c9-11ec-9d00-1f90653e1288.html</v>
      </c>
      <c r="L472" s="5">
        <f ca="1">IFERROR(__xludf.DUMMYFUNCTION("""COMPUTED_VALUE"""),5)</f>
        <v>5</v>
      </c>
      <c r="M472" s="5" t="str">
        <f ca="1">IFERROR(__xludf.DUMMYFUNCTION("""COMPUTED_VALUE"""),"Local")</f>
        <v>Local</v>
      </c>
      <c r="N472" s="5">
        <f ca="1">IFERROR(__xludf.DUMMYFUNCTION("""COMPUTED_VALUE"""),4)</f>
        <v>4</v>
      </c>
      <c r="O472" s="5" t="str">
        <f ca="1">IFERROR(__xludf.DUMMYFUNCTION("""COMPUTED_VALUE"""),"Fall")</f>
        <v>Fall</v>
      </c>
      <c r="P472" s="5" t="str">
        <f ca="1">IFERROR(__xludf.DUMMYFUNCTION("""COMPUTED_VALUE"""),"Indianapolis")</f>
        <v>Indianapolis</v>
      </c>
      <c r="Q472" s="5" t="str">
        <f ca="1">IFERROR(__xludf.DUMMYFUNCTION("""COMPUTED_VALUE"""),"IN")</f>
        <v>IN</v>
      </c>
      <c r="R472" s="5" t="str">
        <f ca="1">IFERROR(__xludf.DUMMYFUNCTION("""COMPUTED_VALUE"""),"High")</f>
        <v>High</v>
      </c>
      <c r="S472" s="5" t="str">
        <f ca="1">IFERROR(__xludf.DUMMYFUNCTION("""COMPUTED_VALUE"""),"Football Field/Track")</f>
        <v>Football Field/Track</v>
      </c>
      <c r="T472" s="5" t="str">
        <f ca="1">IFERROR(__xludf.DUMMYFUNCTION("""COMPUTED_VALUE"""),"Outside on School Property")</f>
        <v>Outside on School Property</v>
      </c>
      <c r="U472" s="5" t="str">
        <f ca="1">IFERROR(__xludf.DUMMYFUNCTION("""COMPUTED_VALUE"""),"No")</f>
        <v>No</v>
      </c>
      <c r="V472" s="5" t="str">
        <f ca="1">IFERROR(__xludf.DUMMYFUNCTION("""COMPUTED_VALUE"""),"Sport Event")</f>
        <v>Sport Event</v>
      </c>
      <c r="W472" s="10">
        <f ca="1">IFERROR(__xludf.DUMMYFUNCTION("""COMPUTED_VALUE"""),0.875)</f>
        <v>0.875</v>
      </c>
      <c r="X472" s="5">
        <f ca="1">IFERROR(__xludf.DUMMYFUNCTION("""COMPUTED_VALUE"""),1)</f>
        <v>1</v>
      </c>
      <c r="Y472" s="5" t="str">
        <f ca="1">IFERROR(__xludf.DUMMYFUNCTION("""COMPUTED_VALUE"""),"Teen shot by another teen at the stadium gate during a football game")</f>
        <v>Teen shot by another teen at the stadium gate during a football game</v>
      </c>
      <c r="Z472" s="5" t="str">
        <f ca="1">IFERROR(__xludf.DUMMYFUNCTION("""COMPUTED_VALUE"""),"An 18-year-old teen shot a 16-year-old teen need the gate to the football stadium. 5-6 shots were fired. Players ran off the field and the stands were evacuated. Game was televised and the shots could be heard on the TV broadcast. Police said neither were"&amp;" students at the school. Stadium had metal detectors, shooting occurred by the ticket office before the screening. The shooter fled and was chased by campus police. He was arrested near the campus. Shooter involved in two prior shootings in area and other"&amp;" violent incidents.")</f>
        <v>An 18-year-old teen shot a 16-year-old teen need the gate to the football stadium. 5-6 shots were fired. Players ran off the field and the stands were evacuated. Game was televised and the shots could be heard on the TV broadcast. Police said neither were students at the school. Stadium had metal detectors, shooting occurred by the ticket office before the screening. The shooter fled and was chased by campus police. He was arrested near the campus. Shooter involved in two prior shootings in area and other violent incidents.</v>
      </c>
      <c r="AA472" s="5" t="str">
        <f ca="1">IFERROR(__xludf.DUMMYFUNCTION("""COMPUTED_VALUE"""),"Illegal Activity")</f>
        <v>Illegal Activity</v>
      </c>
      <c r="AB472" s="5" t="str">
        <f ca="1">IFERROR(__xludf.DUMMYFUNCTION("""COMPUTED_VALUE"""),"Victims Targeted")</f>
        <v>Victims Targeted</v>
      </c>
      <c r="AC472" s="5" t="str">
        <f ca="1">IFERROR(__xludf.DUMMYFUNCTION("""COMPUTED_VALUE"""),"No")</f>
        <v>No</v>
      </c>
      <c r="AD472" s="5" t="str">
        <f ca="1">IFERROR(__xludf.DUMMYFUNCTION("""COMPUTED_VALUE"""),"No")</f>
        <v>No</v>
      </c>
      <c r="AE472" s="5" t="str">
        <f ca="1">IFERROR(__xludf.DUMMYFUNCTION("""COMPUTED_VALUE"""),"No")</f>
        <v>No</v>
      </c>
      <c r="AF472" s="5" t="str">
        <f ca="1">IFERROR(__xludf.DUMMYFUNCTION("""COMPUTED_VALUE"""),"No")</f>
        <v>No</v>
      </c>
      <c r="AG472" s="5" t="str">
        <f ca="1">IFERROR(__xludf.DUMMYFUNCTION("""COMPUTED_VALUE"""),"No")</f>
        <v>No</v>
      </c>
      <c r="AH472" s="5" t="str">
        <f ca="1">IFERROR(__xludf.DUMMYFUNCTION("""COMPUTED_VALUE"""),"No")</f>
        <v>No</v>
      </c>
      <c r="AI472" s="5"/>
      <c r="AJ472" s="5" t="str">
        <f ca="1">IFERROR(__xludf.DUMMYFUNCTION("""COMPUTED_VALUE"""),"No")</f>
        <v>No</v>
      </c>
    </row>
    <row r="473" spans="1:36" ht="13">
      <c r="A473" s="5" t="str">
        <f ca="1">IFERROR(__xludf.DUMMYFUNCTION("""COMPUTED_VALUE"""),"20210930MSNEN")</f>
        <v>20210930MSNEN</v>
      </c>
      <c r="B473" s="5">
        <f ca="1">IFERROR(__xludf.DUMMYFUNCTION("""COMPUTED_VALUE"""),9)</f>
        <v>9</v>
      </c>
      <c r="C473" s="5">
        <f ca="1">IFERROR(__xludf.DUMMYFUNCTION("""COMPUTED_VALUE"""),30)</f>
        <v>30</v>
      </c>
      <c r="D473" s="5">
        <f ca="1">IFERROR(__xludf.DUMMYFUNCTION("""COMPUTED_VALUE"""),2021)</f>
        <v>2021</v>
      </c>
      <c r="E473" s="8">
        <f ca="1">IFERROR(__xludf.DUMMYFUNCTION("""COMPUTED_VALUE"""),44469)</f>
        <v>44469</v>
      </c>
      <c r="F473" s="5" t="str">
        <f ca="1">IFERROR(__xludf.DUMMYFUNCTION("""COMPUTED_VALUE"""),"Newton Elementary School")</f>
        <v>Newton Elementary School</v>
      </c>
      <c r="G473" s="5">
        <f ca="1">IFERROR(__xludf.DUMMYFUNCTION("""COMPUTED_VALUE"""),0)</f>
        <v>0</v>
      </c>
      <c r="H473" s="5">
        <f ca="1">IFERROR(__xludf.DUMMYFUNCTION("""COMPUTED_VALUE"""),1)</f>
        <v>1</v>
      </c>
      <c r="I473" s="5">
        <f ca="1">IFERROR(__xludf.DUMMYFUNCTION("""COMPUTED_VALUE"""),1)</f>
        <v>1</v>
      </c>
      <c r="J473" s="5">
        <f ca="1">IFERROR(__xludf.DUMMYFUNCTION("""COMPUTED_VALUE"""),0)</f>
        <v>0</v>
      </c>
      <c r="K473" s="5" t="str">
        <f ca="1">IFERROR(__xludf.DUMMYFUNCTION("""COMPUTED_VALUE"""),"https://www.wjtv.com/news/local/child-airlifted-to-hospital-after-shooting-at-newton-elementary-school/ https://www.wsaz.com/2021/09/30/child-shot-elementary-school-mississippi/ https://www.the-sun.com/news/3770610/newton-elementary-school-shooting-child/")</f>
        <v>https://www.wjtv.com/news/local/child-airlifted-to-hospital-after-shooting-at-newton-elementary-school/ https://www.wsaz.com/2021/09/30/child-shot-elementary-school-mississippi/ https://www.the-sun.com/news/3770610/newton-elementary-school-shooting-child/</v>
      </c>
      <c r="L473" s="5">
        <f ca="1">IFERROR(__xludf.DUMMYFUNCTION("""COMPUTED_VALUE"""),3)</f>
        <v>3</v>
      </c>
      <c r="M473" s="5" t="str">
        <f ca="1">IFERROR(__xludf.DUMMYFUNCTION("""COMPUTED_VALUE"""),"Local")</f>
        <v>Local</v>
      </c>
      <c r="N473" s="5">
        <f ca="1">IFERROR(__xludf.DUMMYFUNCTION("""COMPUTED_VALUE"""),4)</f>
        <v>4</v>
      </c>
      <c r="O473" s="5" t="str">
        <f ca="1">IFERROR(__xludf.DUMMYFUNCTION("""COMPUTED_VALUE"""),"Fall")</f>
        <v>Fall</v>
      </c>
      <c r="P473" s="5" t="str">
        <f ca="1">IFERROR(__xludf.DUMMYFUNCTION("""COMPUTED_VALUE"""),"Newton")</f>
        <v>Newton</v>
      </c>
      <c r="Q473" s="5" t="str">
        <f ca="1">IFERROR(__xludf.DUMMYFUNCTION("""COMPUTED_VALUE"""),"MS")</f>
        <v>MS</v>
      </c>
      <c r="R473" s="5" t="str">
        <f ca="1">IFERROR(__xludf.DUMMYFUNCTION("""COMPUTED_VALUE"""),"Elementary")</f>
        <v>Elementary</v>
      </c>
      <c r="S473" s="5" t="str">
        <f ca="1">IFERROR(__xludf.DUMMYFUNCTION("""COMPUTED_VALUE"""),"Outside on School Property")</f>
        <v>Outside on School Property</v>
      </c>
      <c r="T473" s="5" t="str">
        <f ca="1">IFERROR(__xludf.DUMMYFUNCTION("""COMPUTED_VALUE"""),"Outside on School Property")</f>
        <v>Outside on School Property</v>
      </c>
      <c r="U473" s="5" t="str">
        <f ca="1">IFERROR(__xludf.DUMMYFUNCTION("""COMPUTED_VALUE"""),"Yes")</f>
        <v>Yes</v>
      </c>
      <c r="V473" s="5" t="str">
        <f ca="1">IFERROR(__xludf.DUMMYFUNCTION("""COMPUTED_VALUE"""),"Dismissal")</f>
        <v>Dismissal</v>
      </c>
      <c r="W473" s="10">
        <f ca="1">IFERROR(__xludf.DUMMYFUNCTION("""COMPUTED_VALUE"""),0.6875)</f>
        <v>0.6875</v>
      </c>
      <c r="X473" s="5">
        <f ca="1">IFERROR(__xludf.DUMMYFUNCTION("""COMPUTED_VALUE"""),1)</f>
        <v>1</v>
      </c>
      <c r="Y473" s="5" t="str">
        <f ca="1">IFERROR(__xludf.DUMMYFUNCTION("""COMPUTED_VALUE"""),"1st grader shot when gun inside backpack discharged")</f>
        <v>1st grader shot when gun inside backpack discharged</v>
      </c>
      <c r="Z473" s="5" t="str">
        <f ca="1">IFERROR(__xludf.DUMMYFUNCTION("""COMPUTED_VALUE"""),"A 1st grade student was shot during dismissal when a gun in the backpack of another 1st grade student discharged. Victim was struck in the leg and airlifted to a trauma center. Police said the shooting was accidental.")</f>
        <v>A 1st grade student was shot during dismissal when a gun in the backpack of another 1st grade student discharged. Victim was struck in the leg and airlifted to a trauma center. Police said the shooting was accidental.</v>
      </c>
      <c r="AA473" s="5" t="str">
        <f ca="1">IFERROR(__xludf.DUMMYFUNCTION("""COMPUTED_VALUE"""),"Accidental")</f>
        <v>Accidental</v>
      </c>
      <c r="AB473" s="5" t="str">
        <f ca="1">IFERROR(__xludf.DUMMYFUNCTION("""COMPUTED_VALUE"""),"Random Shooting")</f>
        <v>Random Shooting</v>
      </c>
      <c r="AC473" s="5" t="str">
        <f ca="1">IFERROR(__xludf.DUMMYFUNCTION("""COMPUTED_VALUE"""),"No")</f>
        <v>No</v>
      </c>
      <c r="AD473" s="5" t="str">
        <f ca="1">IFERROR(__xludf.DUMMYFUNCTION("""COMPUTED_VALUE"""),"No")</f>
        <v>No</v>
      </c>
      <c r="AE473" s="5" t="str">
        <f ca="1">IFERROR(__xludf.DUMMYFUNCTION("""COMPUTED_VALUE"""),"No")</f>
        <v>No</v>
      </c>
      <c r="AF473" s="5" t="str">
        <f ca="1">IFERROR(__xludf.DUMMYFUNCTION("""COMPUTED_VALUE"""),"No")</f>
        <v>No</v>
      </c>
      <c r="AG473" s="5" t="str">
        <f ca="1">IFERROR(__xludf.DUMMYFUNCTION("""COMPUTED_VALUE"""),"No")</f>
        <v>No</v>
      </c>
      <c r="AH473" s="5" t="str">
        <f ca="1">IFERROR(__xludf.DUMMYFUNCTION("""COMPUTED_VALUE"""),"No")</f>
        <v>No</v>
      </c>
      <c r="AI473" s="5" t="str">
        <f ca="1">IFERROR(__xludf.DUMMYFUNCTION("""COMPUTED_VALUE"""),"No")</f>
        <v>No</v>
      </c>
      <c r="AJ473" s="5" t="str">
        <f ca="1">IFERROR(__xludf.DUMMYFUNCTION("""COMPUTED_VALUE"""),"No")</f>
        <v>No</v>
      </c>
    </row>
    <row r="474" spans="1:36" ht="13">
      <c r="A474" s="5" t="str">
        <f ca="1">IFERROR(__xludf.DUMMYFUNCTION("""COMPUTED_VALUE"""),"20210930TNCUM")</f>
        <v>20210930TNCUM</v>
      </c>
      <c r="B474" s="5">
        <f ca="1">IFERROR(__xludf.DUMMYFUNCTION("""COMPUTED_VALUE"""),9)</f>
        <v>9</v>
      </c>
      <c r="C474" s="5">
        <f ca="1">IFERROR(__xludf.DUMMYFUNCTION("""COMPUTED_VALUE"""),30)</f>
        <v>30</v>
      </c>
      <c r="D474" s="5">
        <f ca="1">IFERROR(__xludf.DUMMYFUNCTION("""COMPUTED_VALUE"""),2021)</f>
        <v>2021</v>
      </c>
      <c r="E474" s="8">
        <f ca="1">IFERROR(__xludf.DUMMYFUNCTION("""COMPUTED_VALUE"""),44469)</f>
        <v>44469</v>
      </c>
      <c r="F474" s="5" t="str">
        <f ca="1">IFERROR(__xludf.DUMMYFUNCTION("""COMPUTED_VALUE"""),"Cummings Elementary School")</f>
        <v>Cummings Elementary School</v>
      </c>
      <c r="G474" s="5">
        <f ca="1">IFERROR(__xludf.DUMMYFUNCTION("""COMPUTED_VALUE"""),0)</f>
        <v>0</v>
      </c>
      <c r="H474" s="5">
        <f ca="1">IFERROR(__xludf.DUMMYFUNCTION("""COMPUTED_VALUE"""),1)</f>
        <v>1</v>
      </c>
      <c r="I474" s="5">
        <f ca="1">IFERROR(__xludf.DUMMYFUNCTION("""COMPUTED_VALUE"""),1)</f>
        <v>1</v>
      </c>
      <c r="J474" s="5">
        <f ca="1">IFERROR(__xludf.DUMMYFUNCTION("""COMPUTED_VALUE"""),0)</f>
        <v>0</v>
      </c>
      <c r="K474" s="5" t="str">
        <f ca="1">IFERROR(__xludf.DUMMYFUNCTION("""COMPUTED_VALUE"""),"https://www.wreg.com/news/fight-prompted-shooting-at-memphis-elementary-school/ https://abcnews.go.com/US/boy-shot-memphis-school-critical-condition-suspect-large/story?id=80328357 https://dailymemphian.com/article/24432/child-shot-soulsville-cummings-ele"&amp;"mentary-school https://www.commercialappeal.com/story/news/crime/2021/09/30/one-injured-shooting-memphis-cummings-elementary-school/5929880001/")</f>
        <v>https://www.wreg.com/news/fight-prompted-shooting-at-memphis-elementary-school/ https://abcnews.go.com/US/boy-shot-memphis-school-critical-condition-suspect-large/story?id=80328357 https://dailymemphian.com/article/24432/child-shot-soulsville-cummings-elementary-school https://www.commercialappeal.com/story/news/crime/2021/09/30/one-injured-shooting-memphis-cummings-elementary-school/5929880001/</v>
      </c>
      <c r="L474" s="5">
        <f ca="1">IFERROR(__xludf.DUMMYFUNCTION("""COMPUTED_VALUE"""),100)</f>
        <v>100</v>
      </c>
      <c r="M474" s="5" t="str">
        <f ca="1">IFERROR(__xludf.DUMMYFUNCTION("""COMPUTED_VALUE"""),"National")</f>
        <v>National</v>
      </c>
      <c r="N474" s="5">
        <f ca="1">IFERROR(__xludf.DUMMYFUNCTION("""COMPUTED_VALUE"""),4)</f>
        <v>4</v>
      </c>
      <c r="O474" s="5" t="str">
        <f ca="1">IFERROR(__xludf.DUMMYFUNCTION("""COMPUTED_VALUE"""),"Fall")</f>
        <v>Fall</v>
      </c>
      <c r="P474" s="5" t="str">
        <f ca="1">IFERROR(__xludf.DUMMYFUNCTION("""COMPUTED_VALUE"""),"Memphis")</f>
        <v>Memphis</v>
      </c>
      <c r="Q474" s="5" t="str">
        <f ca="1">IFERROR(__xludf.DUMMYFUNCTION("""COMPUTED_VALUE"""),"TN")</f>
        <v>TN</v>
      </c>
      <c r="R474" s="5" t="str">
        <f ca="1">IFERROR(__xludf.DUMMYFUNCTION("""COMPUTED_VALUE"""),"K-8")</f>
        <v>K-8</v>
      </c>
      <c r="S474" s="5" t="str">
        <f ca="1">IFERROR(__xludf.DUMMYFUNCTION("""COMPUTED_VALUE"""),"Hallway")</f>
        <v>Hallway</v>
      </c>
      <c r="T474" s="5" t="str">
        <f ca="1">IFERROR(__xludf.DUMMYFUNCTION("""COMPUTED_VALUE"""),"Inside School Building")</f>
        <v>Inside School Building</v>
      </c>
      <c r="U474" s="5" t="str">
        <f ca="1">IFERROR(__xludf.DUMMYFUNCTION("""COMPUTED_VALUE"""),"Yes")</f>
        <v>Yes</v>
      </c>
      <c r="V474" s="5" t="str">
        <f ca="1">IFERROR(__xludf.DUMMYFUNCTION("""COMPUTED_VALUE"""),"Morning Classes")</f>
        <v>Morning Classes</v>
      </c>
      <c r="W474" s="10">
        <f ca="1">IFERROR(__xludf.DUMMYFUNCTION("""COMPUTED_VALUE"""),0.385416666666666)</f>
        <v>0.38541666666666602</v>
      </c>
      <c r="X474" s="5">
        <f ca="1">IFERROR(__xludf.DUMMYFUNCTION("""COMPUTED_VALUE"""),1)</f>
        <v>1</v>
      </c>
      <c r="Y474" s="5" t="str">
        <f ca="1">IFERROR(__xludf.DUMMYFUNCTION("""COMPUTED_VALUE"""),"Student shot student in the stairwell then fled in vehicle")</f>
        <v>Student shot student in the stairwell then fled in vehicle</v>
      </c>
      <c r="Z474" s="5" t="str">
        <f ca="1">IFERROR(__xludf.DUMMYFUNCTION("""COMPUTED_VALUE"""),"A 13-year-old male student shot another 13-year-old male student during a fight in the stairwell of the school during morning classes, then fled in a vehicle. No other students were in the stairwell when the shooting occurred. It was recorded on CCTV. The"&amp;" school was placed on lockdown. Students were evacuated by police to a church across the street where they were released to their parents. Shooter turned himself in at the police station.")</f>
        <v>A 13-year-old male student shot another 13-year-old male student during a fight in the stairwell of the school during morning classes, then fled in a vehicle. No other students were in the stairwell when the shooting occurred. It was recorded on CCTV. The school was placed on lockdown. Students were evacuated by police to a church across the street where they were released to their parents. Shooter turned himself in at the police station.</v>
      </c>
      <c r="AA474" s="5" t="str">
        <f ca="1">IFERROR(__xludf.DUMMYFUNCTION("""COMPUTED_VALUE"""),"Escalation of Dispute")</f>
        <v>Escalation of Dispute</v>
      </c>
      <c r="AB474" s="5" t="str">
        <f ca="1">IFERROR(__xludf.DUMMYFUNCTION("""COMPUTED_VALUE"""),"Victims Targeted")</f>
        <v>Victims Targeted</v>
      </c>
      <c r="AC474" s="5" t="str">
        <f ca="1">IFERROR(__xludf.DUMMYFUNCTION("""COMPUTED_VALUE"""),"Yes")</f>
        <v>Yes</v>
      </c>
      <c r="AD474" s="5" t="str">
        <f ca="1">IFERROR(__xludf.DUMMYFUNCTION("""COMPUTED_VALUE"""),"No")</f>
        <v>No</v>
      </c>
      <c r="AE474" s="5" t="str">
        <f ca="1">IFERROR(__xludf.DUMMYFUNCTION("""COMPUTED_VALUE"""),"No")</f>
        <v>No</v>
      </c>
      <c r="AF474" s="5" t="str">
        <f ca="1">IFERROR(__xludf.DUMMYFUNCTION("""COMPUTED_VALUE"""),"No")</f>
        <v>No</v>
      </c>
      <c r="AG474" s="5"/>
      <c r="AH474" s="5" t="str">
        <f ca="1">IFERROR(__xludf.DUMMYFUNCTION("""COMPUTED_VALUE"""),"No")</f>
        <v>No</v>
      </c>
      <c r="AI474" s="5"/>
      <c r="AJ474" s="5" t="str">
        <f ca="1">IFERROR(__xludf.DUMMYFUNCTION("""COMPUTED_VALUE"""),"No")</f>
        <v>No</v>
      </c>
    </row>
    <row r="475" spans="1:36" ht="13">
      <c r="A475" s="5" t="str">
        <f ca="1">IFERROR(__xludf.DUMMYFUNCTION("""COMPUTED_VALUE"""),"20210929OHSHS")</f>
        <v>20210929OHSHS</v>
      </c>
      <c r="B475" s="5">
        <f ca="1">IFERROR(__xludf.DUMMYFUNCTION("""COMPUTED_VALUE"""),9)</f>
        <v>9</v>
      </c>
      <c r="C475" s="5">
        <f ca="1">IFERROR(__xludf.DUMMYFUNCTION("""COMPUTED_VALUE"""),29)</f>
        <v>29</v>
      </c>
      <c r="D475" s="5">
        <f ca="1">IFERROR(__xludf.DUMMYFUNCTION("""COMPUTED_VALUE"""),2021)</f>
        <v>2021</v>
      </c>
      <c r="E475" s="8">
        <f ca="1">IFERROR(__xludf.DUMMYFUNCTION("""COMPUTED_VALUE"""),44468)</f>
        <v>44468</v>
      </c>
      <c r="F475" s="5" t="str">
        <f ca="1">IFERROR(__xludf.DUMMYFUNCTION("""COMPUTED_VALUE"""),"Shaker Heights Middle School")</f>
        <v>Shaker Heights Middle School</v>
      </c>
      <c r="G475" s="5">
        <f ca="1">IFERROR(__xludf.DUMMYFUNCTION("""COMPUTED_VALUE"""),0)</f>
        <v>0</v>
      </c>
      <c r="H475" s="5">
        <f ca="1">IFERROR(__xludf.DUMMYFUNCTION("""COMPUTED_VALUE"""),0)</f>
        <v>0</v>
      </c>
      <c r="I475" s="5">
        <f ca="1">IFERROR(__xludf.DUMMYFUNCTION("""COMPUTED_VALUE"""),0)</f>
        <v>0</v>
      </c>
      <c r="J475" s="5">
        <f ca="1">IFERROR(__xludf.DUMMYFUNCTION("""COMPUTED_VALUE"""),0)</f>
        <v>0</v>
      </c>
      <c r="K475" s="9" t="str">
        <f ca="1">IFERROR(__xludf.DUMMYFUNCTION("""COMPUTED_VALUE"""),"https://www.cleveland19.com/2021/09/30/shot-fired-after-middle-school-football-game-east-cleveland/")</f>
        <v>https://www.cleveland19.com/2021/09/30/shot-fired-after-middle-school-football-game-east-cleveland/</v>
      </c>
      <c r="L475" s="5">
        <f ca="1">IFERROR(__xludf.DUMMYFUNCTION("""COMPUTED_VALUE"""),1)</f>
        <v>1</v>
      </c>
      <c r="M475" s="5" t="str">
        <f ca="1">IFERROR(__xludf.DUMMYFUNCTION("""COMPUTED_VALUE"""),"Local")</f>
        <v>Local</v>
      </c>
      <c r="N475" s="5">
        <f ca="1">IFERROR(__xludf.DUMMYFUNCTION("""COMPUTED_VALUE"""),4)</f>
        <v>4</v>
      </c>
      <c r="O475" s="5" t="str">
        <f ca="1">IFERROR(__xludf.DUMMYFUNCTION("""COMPUTED_VALUE"""),"Fall")</f>
        <v>Fall</v>
      </c>
      <c r="P475" s="5" t="str">
        <f ca="1">IFERROR(__xludf.DUMMYFUNCTION("""COMPUTED_VALUE"""),"Shaker Heights")</f>
        <v>Shaker Heights</v>
      </c>
      <c r="Q475" s="5" t="str">
        <f ca="1">IFERROR(__xludf.DUMMYFUNCTION("""COMPUTED_VALUE"""),"OH")</f>
        <v>OH</v>
      </c>
      <c r="R475" s="5" t="str">
        <f ca="1">IFERROR(__xludf.DUMMYFUNCTION("""COMPUTED_VALUE"""),"Middle")</f>
        <v>Middle</v>
      </c>
      <c r="S475" s="5" t="str">
        <f ca="1">IFERROR(__xludf.DUMMYFUNCTION("""COMPUTED_VALUE"""),"Parking Lot")</f>
        <v>Parking Lot</v>
      </c>
      <c r="T475" s="5" t="str">
        <f ca="1">IFERROR(__xludf.DUMMYFUNCTION("""COMPUTED_VALUE"""),"Outside on School Property")</f>
        <v>Outside on School Property</v>
      </c>
      <c r="U475" s="5" t="str">
        <f ca="1">IFERROR(__xludf.DUMMYFUNCTION("""COMPUTED_VALUE"""),"No")</f>
        <v>No</v>
      </c>
      <c r="V475" s="5" t="str">
        <f ca="1">IFERROR(__xludf.DUMMYFUNCTION("""COMPUTED_VALUE"""),"Sport Event")</f>
        <v>Sport Event</v>
      </c>
      <c r="W475" s="10">
        <f ca="1">IFERROR(__xludf.DUMMYFUNCTION("""COMPUTED_VALUE"""),0.770833333333333)</f>
        <v>0.77083333333333304</v>
      </c>
      <c r="X475" s="5">
        <f ca="1">IFERROR(__xludf.DUMMYFUNCTION("""COMPUTED_VALUE"""),1)</f>
        <v>1</v>
      </c>
      <c r="Y475" s="5" t="str">
        <f ca="1">IFERROR(__xludf.DUMMYFUNCTION("""COMPUTED_VALUE"""),"Shot fired in school parking lot during football game")</f>
        <v>Shot fired in school parking lot during football game</v>
      </c>
      <c r="Z475" s="5" t="str">
        <f ca="1">IFERROR(__xludf.DUMMYFUNCTION("""COMPUTED_VALUE"""),"A shot was fired during a large fight in the parking lot of the school during a middle school football game. Police received a description of the vehicle with the shooter and stopped it nearby. Female shooter did not have a permit for the weapon and said "&amp;"she fired into the air to breakup the fight. A handgun with a round that misfired was recovered. No injuries reported. Game was suspended.")</f>
        <v>A shot was fired during a large fight in the parking lot of the school during a middle school football game. Police received a description of the vehicle with the shooter and stopped it nearby. Female shooter did not have a permit for the weapon and said she fired into the air to breakup the fight. A handgun with a round that misfired was recovered. No injuries reported. Game was suspended.</v>
      </c>
      <c r="AA475" s="5" t="str">
        <f ca="1">IFERROR(__xludf.DUMMYFUNCTION("""COMPUTED_VALUE"""),"Escalation of Dispute")</f>
        <v>Escalation of Dispute</v>
      </c>
      <c r="AB475" s="5" t="str">
        <f ca="1">IFERROR(__xludf.DUMMYFUNCTION("""COMPUTED_VALUE"""),"Neither")</f>
        <v>Neither</v>
      </c>
      <c r="AC475" s="5" t="str">
        <f ca="1">IFERROR(__xludf.DUMMYFUNCTION("""COMPUTED_VALUE"""),"No")</f>
        <v>No</v>
      </c>
      <c r="AD475" s="5" t="str">
        <f ca="1">IFERROR(__xludf.DUMMYFUNCTION("""COMPUTED_VALUE"""),"No")</f>
        <v>No</v>
      </c>
      <c r="AE475" s="5" t="str">
        <f ca="1">IFERROR(__xludf.DUMMYFUNCTION("""COMPUTED_VALUE"""),"No")</f>
        <v>No</v>
      </c>
      <c r="AF475" s="5" t="str">
        <f ca="1">IFERROR(__xludf.DUMMYFUNCTION("""COMPUTED_VALUE"""),"No")</f>
        <v>No</v>
      </c>
      <c r="AG475" s="5" t="str">
        <f ca="1">IFERROR(__xludf.DUMMYFUNCTION("""COMPUTED_VALUE"""),"No")</f>
        <v>No</v>
      </c>
      <c r="AH475" s="5" t="str">
        <f ca="1">IFERROR(__xludf.DUMMYFUNCTION("""COMPUTED_VALUE"""),"No")</f>
        <v>No</v>
      </c>
      <c r="AI475" s="5" t="str">
        <f ca="1">IFERROR(__xludf.DUMMYFUNCTION("""COMPUTED_VALUE"""),"No")</f>
        <v>No</v>
      </c>
      <c r="AJ475" s="5" t="str">
        <f ca="1">IFERROR(__xludf.DUMMYFUNCTION("""COMPUTED_VALUE"""),"No")</f>
        <v>No</v>
      </c>
    </row>
    <row r="476" spans="1:36" ht="13">
      <c r="A476" s="5" t="str">
        <f ca="1">IFERROR(__xludf.DUMMYFUNCTION("""COMPUTED_VALUE"""),"20210928MESOS")</f>
        <v>20210928MESOS</v>
      </c>
      <c r="B476" s="5">
        <f ca="1">IFERROR(__xludf.DUMMYFUNCTION("""COMPUTED_VALUE"""),9)</f>
        <v>9</v>
      </c>
      <c r="C476" s="5">
        <f ca="1">IFERROR(__xludf.DUMMYFUNCTION("""COMPUTED_VALUE"""),28)</f>
        <v>28</v>
      </c>
      <c r="D476" s="5">
        <f ca="1">IFERROR(__xludf.DUMMYFUNCTION("""COMPUTED_VALUE"""),2021)</f>
        <v>2021</v>
      </c>
      <c r="E476" s="8">
        <f ca="1">IFERROR(__xludf.DUMMYFUNCTION("""COMPUTED_VALUE"""),44467)</f>
        <v>44467</v>
      </c>
      <c r="F476" s="5" t="str">
        <f ca="1">IFERROR(__xludf.DUMMYFUNCTION("""COMPUTED_VALUE"""),"South Portland High School")</f>
        <v>South Portland High School</v>
      </c>
      <c r="G476" s="5">
        <f ca="1">IFERROR(__xludf.DUMMYFUNCTION("""COMPUTED_VALUE"""),0)</f>
        <v>0</v>
      </c>
      <c r="H476" s="5">
        <f ca="1">IFERROR(__xludf.DUMMYFUNCTION("""COMPUTED_VALUE"""),1)</f>
        <v>1</v>
      </c>
      <c r="I476" s="5">
        <f ca="1">IFERROR(__xludf.DUMMYFUNCTION("""COMPUTED_VALUE"""),1)</f>
        <v>1</v>
      </c>
      <c r="J476" s="5">
        <f ca="1">IFERROR(__xludf.DUMMYFUNCTION("""COMPUTED_VALUE"""),0)</f>
        <v>0</v>
      </c>
      <c r="K476" s="5" t="str">
        <f ca="1">IFERROR(__xludf.DUMMYFUNCTION("""COMPUTED_VALUE"""),"https://wgme.com/news/local/south-portland-police-on-scene-near-high-school https://www.pressherald.com/2021/09/28/person-found-with-gunshot-wound-near-south-portland-high-school/ https://www.newscentermaine.com/article/news/crime/person-shot-near-south-p"&amp;"ortland-high-school-official-says/97-afe151d5-1805-4c40-a31a-5291d8dde3a9 https://www.wmtw.com/article/person-shot-near-south-portland-high-school/37781378#")</f>
        <v>https://wgme.com/news/local/south-portland-police-on-scene-near-high-school https://www.pressherald.com/2021/09/28/person-found-with-gunshot-wound-near-south-portland-high-school/ https://www.newscentermaine.com/article/news/crime/person-shot-near-south-portland-high-school-official-says/97-afe151d5-1805-4c40-a31a-5291d8dde3a9 https://www.wmtw.com/article/person-shot-near-south-portland-high-school/37781378#</v>
      </c>
      <c r="L476" s="5">
        <f ca="1">IFERROR(__xludf.DUMMYFUNCTION("""COMPUTED_VALUE"""),4)</f>
        <v>4</v>
      </c>
      <c r="M476" s="5" t="str">
        <f ca="1">IFERROR(__xludf.DUMMYFUNCTION("""COMPUTED_VALUE"""),"Local")</f>
        <v>Local</v>
      </c>
      <c r="N476" s="5">
        <f ca="1">IFERROR(__xludf.DUMMYFUNCTION("""COMPUTED_VALUE"""),4)</f>
        <v>4</v>
      </c>
      <c r="O476" s="5" t="str">
        <f ca="1">IFERROR(__xludf.DUMMYFUNCTION("""COMPUTED_VALUE"""),"Fall")</f>
        <v>Fall</v>
      </c>
      <c r="P476" s="5" t="str">
        <f ca="1">IFERROR(__xludf.DUMMYFUNCTION("""COMPUTED_VALUE"""),"South Portland")</f>
        <v>South Portland</v>
      </c>
      <c r="Q476" s="5" t="str">
        <f ca="1">IFERROR(__xludf.DUMMYFUNCTION("""COMPUTED_VALUE"""),"ME")</f>
        <v>ME</v>
      </c>
      <c r="R476" s="5" t="str">
        <f ca="1">IFERROR(__xludf.DUMMYFUNCTION("""COMPUTED_VALUE"""),"High")</f>
        <v>High</v>
      </c>
      <c r="S476" s="5" t="str">
        <f ca="1">IFERROR(__xludf.DUMMYFUNCTION("""COMPUTED_VALUE"""),"Parking Lot")</f>
        <v>Parking Lot</v>
      </c>
      <c r="T476" s="5" t="str">
        <f ca="1">IFERROR(__xludf.DUMMYFUNCTION("""COMPUTED_VALUE"""),"Outside on School Property")</f>
        <v>Outside on School Property</v>
      </c>
      <c r="U476" s="5" t="str">
        <f ca="1">IFERROR(__xludf.DUMMYFUNCTION("""COMPUTED_VALUE"""),"No")</f>
        <v>No</v>
      </c>
      <c r="V476" s="5" t="str">
        <f ca="1">IFERROR(__xludf.DUMMYFUNCTION("""COMPUTED_VALUE"""),"Evening")</f>
        <v>Evening</v>
      </c>
      <c r="W476" s="10">
        <f ca="1">IFERROR(__xludf.DUMMYFUNCTION("""COMPUTED_VALUE"""),0.859722222222222)</f>
        <v>0.85972222222222205</v>
      </c>
      <c r="X476" s="5">
        <f ca="1">IFERROR(__xludf.DUMMYFUNCTION("""COMPUTED_VALUE"""),1)</f>
        <v>1</v>
      </c>
      <c r="Y476" s="5" t="str">
        <f ca="1">IFERROR(__xludf.DUMMYFUNCTION("""COMPUTED_VALUE"""),"Teen shot in school parking lot")</f>
        <v>Teen shot in school parking lot</v>
      </c>
      <c r="Z476" s="5" t="str">
        <f ca="1">IFERROR(__xludf.DUMMYFUNCTION("""COMPUTED_VALUE"""),"A teen was shot in the parking lot of the school. Shooter fled. Police said the shooting was targeted and isolated to just the shooter and the victim.")</f>
        <v>A teen was shot in the parking lot of the school. Shooter fled. Police said the shooting was targeted and isolated to just the shooter and the victim.</v>
      </c>
      <c r="AA476" s="5"/>
      <c r="AB476" s="5" t="str">
        <f ca="1">IFERROR(__xludf.DUMMYFUNCTION("""COMPUTED_VALUE"""),"Victims Targeted")</f>
        <v>Victims Targeted</v>
      </c>
      <c r="AC476" s="5" t="str">
        <f ca="1">IFERROR(__xludf.DUMMYFUNCTION("""COMPUTED_VALUE"""),"No")</f>
        <v>No</v>
      </c>
      <c r="AD476" s="5" t="str">
        <f ca="1">IFERROR(__xludf.DUMMYFUNCTION("""COMPUTED_VALUE"""),"No")</f>
        <v>No</v>
      </c>
      <c r="AE476" s="5" t="str">
        <f ca="1">IFERROR(__xludf.DUMMYFUNCTION("""COMPUTED_VALUE"""),"No")</f>
        <v>No</v>
      </c>
      <c r="AF476" s="5" t="str">
        <f ca="1">IFERROR(__xludf.DUMMYFUNCTION("""COMPUTED_VALUE"""),"No")</f>
        <v>No</v>
      </c>
      <c r="AG476" s="5" t="str">
        <f ca="1">IFERROR(__xludf.DUMMYFUNCTION("""COMPUTED_VALUE"""),"No")</f>
        <v>No</v>
      </c>
      <c r="AH476" s="5" t="str">
        <f ca="1">IFERROR(__xludf.DUMMYFUNCTION("""COMPUTED_VALUE"""),"No")</f>
        <v>No</v>
      </c>
      <c r="AI476" s="5" t="str">
        <f ca="1">IFERROR(__xludf.DUMMYFUNCTION("""COMPUTED_VALUE"""),"No")</f>
        <v>No</v>
      </c>
      <c r="AJ476" s="5" t="str">
        <f ca="1">IFERROR(__xludf.DUMMYFUNCTION("""COMPUTED_VALUE"""),"No")</f>
        <v>No</v>
      </c>
    </row>
    <row r="477" spans="1:36" ht="13">
      <c r="A477" s="5" t="str">
        <f ca="1">IFERROR(__xludf.DUMMYFUNCTION("""COMPUTED_VALUE"""),"20210927ILCAC")</f>
        <v>20210927ILCAC</v>
      </c>
      <c r="B477" s="5">
        <f ca="1">IFERROR(__xludf.DUMMYFUNCTION("""COMPUTED_VALUE"""),9)</f>
        <v>9</v>
      </c>
      <c r="C477" s="5">
        <f ca="1">IFERROR(__xludf.DUMMYFUNCTION("""COMPUTED_VALUE"""),27)</f>
        <v>27</v>
      </c>
      <c r="D477" s="5">
        <f ca="1">IFERROR(__xludf.DUMMYFUNCTION("""COMPUTED_VALUE"""),2021)</f>
        <v>2021</v>
      </c>
      <c r="E477" s="8">
        <f ca="1">IFERROR(__xludf.DUMMYFUNCTION("""COMPUTED_VALUE"""),44466)</f>
        <v>44466</v>
      </c>
      <c r="F477" s="5" t="str">
        <f ca="1">IFERROR(__xludf.DUMMYFUNCTION("""COMPUTED_VALUE"""),"Canterbury Elementary School")</f>
        <v>Canterbury Elementary School</v>
      </c>
      <c r="G477" s="5">
        <f ca="1">IFERROR(__xludf.DUMMYFUNCTION("""COMPUTED_VALUE"""),0)</f>
        <v>0</v>
      </c>
      <c r="H477" s="5">
        <f ca="1">IFERROR(__xludf.DUMMYFUNCTION("""COMPUTED_VALUE"""),0)</f>
        <v>0</v>
      </c>
      <c r="I477" s="5">
        <f ca="1">IFERROR(__xludf.DUMMYFUNCTION("""COMPUTED_VALUE"""),0)</f>
        <v>0</v>
      </c>
      <c r="J477" s="5">
        <f ca="1">IFERROR(__xludf.DUMMYFUNCTION("""COMPUTED_VALUE"""),0)</f>
        <v>0</v>
      </c>
      <c r="K477" s="9" t="str">
        <f ca="1">IFERROR(__xludf.DUMMYFUNCTION("""COMPUTED_VALUE"""),"https://www.lakemchenryscanner.com/2021/09/24/police-arrest-juvenile-who-brought-bb-gun-to-crystal-lake-elementary-school-shot-other-kids/")</f>
        <v>https://www.lakemchenryscanner.com/2021/09/24/police-arrest-juvenile-who-brought-bb-gun-to-crystal-lake-elementary-school-shot-other-kids/</v>
      </c>
      <c r="L477" s="5">
        <f ca="1">IFERROR(__xludf.DUMMYFUNCTION("""COMPUTED_VALUE"""),1)</f>
        <v>1</v>
      </c>
      <c r="M477" s="5" t="str">
        <f ca="1">IFERROR(__xludf.DUMMYFUNCTION("""COMPUTED_VALUE"""),"Local")</f>
        <v>Local</v>
      </c>
      <c r="N477" s="5">
        <f ca="1">IFERROR(__xludf.DUMMYFUNCTION("""COMPUTED_VALUE"""),4)</f>
        <v>4</v>
      </c>
      <c r="O477" s="5" t="str">
        <f ca="1">IFERROR(__xludf.DUMMYFUNCTION("""COMPUTED_VALUE"""),"Fall")</f>
        <v>Fall</v>
      </c>
      <c r="P477" s="5" t="str">
        <f ca="1">IFERROR(__xludf.DUMMYFUNCTION("""COMPUTED_VALUE"""),"Crystal Lake")</f>
        <v>Crystal Lake</v>
      </c>
      <c r="Q477" s="5" t="str">
        <f ca="1">IFERROR(__xludf.DUMMYFUNCTION("""COMPUTED_VALUE"""),"IL")</f>
        <v>IL</v>
      </c>
      <c r="R477" s="5" t="str">
        <f ca="1">IFERROR(__xludf.DUMMYFUNCTION("""COMPUTED_VALUE"""),"Elementary")</f>
        <v>Elementary</v>
      </c>
      <c r="S477" s="5" t="str">
        <f ca="1">IFERROR(__xludf.DUMMYFUNCTION("""COMPUTED_VALUE"""),"Playground")</f>
        <v>Playground</v>
      </c>
      <c r="T477" s="5" t="str">
        <f ca="1">IFERROR(__xludf.DUMMYFUNCTION("""COMPUTED_VALUE"""),"Outside on School Property")</f>
        <v>Outside on School Property</v>
      </c>
      <c r="U477" s="5" t="str">
        <f ca="1">IFERROR(__xludf.DUMMYFUNCTION("""COMPUTED_VALUE"""),"Yes")</f>
        <v>Yes</v>
      </c>
      <c r="V477" s="5" t="str">
        <f ca="1">IFERROR(__xludf.DUMMYFUNCTION("""COMPUTED_VALUE"""),"Lunch")</f>
        <v>Lunch</v>
      </c>
      <c r="W477" s="10">
        <f ca="1">IFERROR(__xludf.DUMMYFUNCTION("""COMPUTED_VALUE"""),0.5)</f>
        <v>0.5</v>
      </c>
      <c r="X477" s="5"/>
      <c r="Y477" s="5" t="str">
        <f ca="1">IFERROR(__xludf.DUMMYFUNCTION("""COMPUTED_VALUE"""),"Police called for student with gun on the playground, arrested student with BB gun")</f>
        <v>Police called for student with gun on the playground, arrested student with BB gun</v>
      </c>
      <c r="Z477" s="5" t="str">
        <f ca="1">IFERROR(__xludf.DUMMYFUNCTION("""COMPUTED_VALUE"""),"Police were called for a student with a gun on the playground. Police arrested a juvenile in possession of a BB gun. Multiple students were shot and sustained minor injuries.")</f>
        <v>Police were called for a student with a gun on the playground. Police arrested a juvenile in possession of a BB gun. Multiple students were shot and sustained minor injuries.</v>
      </c>
      <c r="AA477" s="5"/>
      <c r="AB477" s="5"/>
      <c r="AC477" s="5" t="str">
        <f ca="1">IFERROR(__xludf.DUMMYFUNCTION("""COMPUTED_VALUE"""),"No")</f>
        <v>No</v>
      </c>
      <c r="AD477" s="5" t="str">
        <f ca="1">IFERROR(__xludf.DUMMYFUNCTION("""COMPUTED_VALUE"""),"No")</f>
        <v>No</v>
      </c>
      <c r="AE477" s="5" t="str">
        <f ca="1">IFERROR(__xludf.DUMMYFUNCTION("""COMPUTED_VALUE"""),"No")</f>
        <v>No</v>
      </c>
      <c r="AF477" s="5" t="str">
        <f ca="1">IFERROR(__xludf.DUMMYFUNCTION("""COMPUTED_VALUE"""),"No")</f>
        <v>No</v>
      </c>
      <c r="AG477" s="5"/>
      <c r="AH477" s="5" t="str">
        <f ca="1">IFERROR(__xludf.DUMMYFUNCTION("""COMPUTED_VALUE"""),"No")</f>
        <v>No</v>
      </c>
      <c r="AI477" s="5" t="str">
        <f ca="1">IFERROR(__xludf.DUMMYFUNCTION("""COMPUTED_VALUE"""),"No")</f>
        <v>No</v>
      </c>
      <c r="AJ477" s="5" t="str">
        <f ca="1">IFERROR(__xludf.DUMMYFUNCTION("""COMPUTED_VALUE"""),"No")</f>
        <v>No</v>
      </c>
    </row>
    <row r="478" spans="1:36" ht="13">
      <c r="A478" s="5" t="str">
        <f ca="1">IFERROR(__xludf.DUMMYFUNCTION("""COMPUTED_VALUE"""),"20210924MDWIB")</f>
        <v>20210924MDWIB</v>
      </c>
      <c r="B478" s="5">
        <f ca="1">IFERROR(__xludf.DUMMYFUNCTION("""COMPUTED_VALUE"""),9)</f>
        <v>9</v>
      </c>
      <c r="C478" s="5">
        <f ca="1">IFERROR(__xludf.DUMMYFUNCTION("""COMPUTED_VALUE"""),24)</f>
        <v>24</v>
      </c>
      <c r="D478" s="5">
        <f ca="1">IFERROR(__xludf.DUMMYFUNCTION("""COMPUTED_VALUE"""),2021)</f>
        <v>2021</v>
      </c>
      <c r="E478" s="8">
        <f ca="1">IFERROR(__xludf.DUMMYFUNCTION("""COMPUTED_VALUE"""),44463)</f>
        <v>44463</v>
      </c>
      <c r="F478" s="5" t="str">
        <f ca="1">IFERROR(__xludf.DUMMYFUNCTION("""COMPUTED_VALUE"""),"Wildwood Elementary/Middle School")</f>
        <v>Wildwood Elementary/Middle School</v>
      </c>
      <c r="G478" s="5">
        <f ca="1">IFERROR(__xludf.DUMMYFUNCTION("""COMPUTED_VALUE"""),0)</f>
        <v>0</v>
      </c>
      <c r="H478" s="5">
        <f ca="1">IFERROR(__xludf.DUMMYFUNCTION("""COMPUTED_VALUE"""),1)</f>
        <v>1</v>
      </c>
      <c r="I478" s="5">
        <f ca="1">IFERROR(__xludf.DUMMYFUNCTION("""COMPUTED_VALUE"""),1)</f>
        <v>1</v>
      </c>
      <c r="J478" s="5">
        <f ca="1">IFERROR(__xludf.DUMMYFUNCTION("""COMPUTED_VALUE"""),0)</f>
        <v>0</v>
      </c>
      <c r="K478" s="9" t="str">
        <f ca="1">IFERROR(__xludf.DUMMYFUNCTION("""COMPUTED_VALUE"""),"https://www.baltimoresun.com/maryland/baltimore-city/bs-md-ci-wildwood-parkway-shooting-20210925-foif3yhuzjahniqo7u35vophv4-story.html")</f>
        <v>https://www.baltimoresun.com/maryland/baltimore-city/bs-md-ci-wildwood-parkway-shooting-20210925-foif3yhuzjahniqo7u35vophv4-story.html</v>
      </c>
      <c r="L478" s="5">
        <f ca="1">IFERROR(__xludf.DUMMYFUNCTION("""COMPUTED_VALUE"""),1)</f>
        <v>1</v>
      </c>
      <c r="M478" s="5" t="str">
        <f ca="1">IFERROR(__xludf.DUMMYFUNCTION("""COMPUTED_VALUE"""),"Local")</f>
        <v>Local</v>
      </c>
      <c r="N478" s="5">
        <f ca="1">IFERROR(__xludf.DUMMYFUNCTION("""COMPUTED_VALUE"""),3)</f>
        <v>3</v>
      </c>
      <c r="O478" s="5" t="str">
        <f ca="1">IFERROR(__xludf.DUMMYFUNCTION("""COMPUTED_VALUE"""),"Fall")</f>
        <v>Fall</v>
      </c>
      <c r="P478" s="5" t="str">
        <f ca="1">IFERROR(__xludf.DUMMYFUNCTION("""COMPUTED_VALUE"""),"Baltimore")</f>
        <v>Baltimore</v>
      </c>
      <c r="Q478" s="5" t="str">
        <f ca="1">IFERROR(__xludf.DUMMYFUNCTION("""COMPUTED_VALUE"""),"MD")</f>
        <v>MD</v>
      </c>
      <c r="R478" s="5" t="str">
        <f ca="1">IFERROR(__xludf.DUMMYFUNCTION("""COMPUTED_VALUE"""),"K-8")</f>
        <v>K-8</v>
      </c>
      <c r="S478" s="5" t="str">
        <f ca="1">IFERROR(__xludf.DUMMYFUNCTION("""COMPUTED_VALUE"""),"Outside on School Property")</f>
        <v>Outside on School Property</v>
      </c>
      <c r="T478" s="5" t="str">
        <f ca="1">IFERROR(__xludf.DUMMYFUNCTION("""COMPUTED_VALUE"""),"Outside on School Property")</f>
        <v>Outside on School Property</v>
      </c>
      <c r="U478" s="5" t="str">
        <f ca="1">IFERROR(__xludf.DUMMYFUNCTION("""COMPUTED_VALUE"""),"No")</f>
        <v>No</v>
      </c>
      <c r="V478" s="5" t="str">
        <f ca="1">IFERROR(__xludf.DUMMYFUNCTION("""COMPUTED_VALUE"""),"Evening")</f>
        <v>Evening</v>
      </c>
      <c r="W478" s="10">
        <f ca="1">IFERROR(__xludf.DUMMYFUNCTION("""COMPUTED_VALUE"""),0.799305555555555)</f>
        <v>0.79930555555555505</v>
      </c>
      <c r="X478" s="5">
        <f ca="1">IFERROR(__xludf.DUMMYFUNCTION("""COMPUTED_VALUE"""),1)</f>
        <v>1</v>
      </c>
      <c r="Y478" s="5" t="str">
        <f ca="1">IFERROR(__xludf.DUMMYFUNCTION("""COMPUTED_VALUE"""),"Teen shot outside of school")</f>
        <v>Teen shot outside of school</v>
      </c>
      <c r="Z478" s="5" t="str">
        <f ca="1">IFERROR(__xludf.DUMMYFUNCTION("""COMPUTED_VALUE"""),"18-year-old male was shot outside of the school. Shooter fled.")</f>
        <v>18-year-old male was shot outside of the school. Shooter fled.</v>
      </c>
      <c r="AA478" s="5"/>
      <c r="AB478" s="5" t="str">
        <f ca="1">IFERROR(__xludf.DUMMYFUNCTION("""COMPUTED_VALUE"""),"Victims Targeted")</f>
        <v>Victims Targeted</v>
      </c>
      <c r="AC478" s="5" t="str">
        <f ca="1">IFERROR(__xludf.DUMMYFUNCTION("""COMPUTED_VALUE"""),"No")</f>
        <v>No</v>
      </c>
      <c r="AD478" s="5" t="str">
        <f ca="1">IFERROR(__xludf.DUMMYFUNCTION("""COMPUTED_VALUE"""),"No")</f>
        <v>No</v>
      </c>
      <c r="AE478" s="5" t="str">
        <f ca="1">IFERROR(__xludf.DUMMYFUNCTION("""COMPUTED_VALUE"""),"No")</f>
        <v>No</v>
      </c>
      <c r="AF478" s="5" t="str">
        <f ca="1">IFERROR(__xludf.DUMMYFUNCTION("""COMPUTED_VALUE"""),"No")</f>
        <v>No</v>
      </c>
      <c r="AG478" s="5" t="str">
        <f ca="1">IFERROR(__xludf.DUMMYFUNCTION("""COMPUTED_VALUE"""),"No")</f>
        <v>No</v>
      </c>
      <c r="AH478" s="5" t="str">
        <f ca="1">IFERROR(__xludf.DUMMYFUNCTION("""COMPUTED_VALUE"""),"No")</f>
        <v>No</v>
      </c>
      <c r="AI478" s="5"/>
      <c r="AJ478" s="5" t="str">
        <f ca="1">IFERROR(__xludf.DUMMYFUNCTION("""COMPUTED_VALUE"""),"No")</f>
        <v>No</v>
      </c>
    </row>
    <row r="479" spans="1:36" ht="13">
      <c r="A479" s="5" t="str">
        <f ca="1">IFERROR(__xludf.DUMMYFUNCTION("""COMPUTED_VALUE"""),"20210924VAESE")</f>
        <v>20210924VAESE</v>
      </c>
      <c r="B479" s="5">
        <f ca="1">IFERROR(__xludf.DUMMYFUNCTION("""COMPUTED_VALUE"""),9)</f>
        <v>9</v>
      </c>
      <c r="C479" s="5">
        <f ca="1">IFERROR(__xludf.DUMMYFUNCTION("""COMPUTED_VALUE"""),24)</f>
        <v>24</v>
      </c>
      <c r="D479" s="5">
        <f ca="1">IFERROR(__xludf.DUMMYFUNCTION("""COMPUTED_VALUE"""),2021)</f>
        <v>2021</v>
      </c>
      <c r="E479" s="8">
        <f ca="1">IFERROR(__xludf.DUMMYFUNCTION("""COMPUTED_VALUE"""),44463)</f>
        <v>44463</v>
      </c>
      <c r="F479" s="5" t="str">
        <f ca="1">IFERROR(__xludf.DUMMYFUNCTION("""COMPUTED_VALUE"""),"Essex High School")</f>
        <v>Essex High School</v>
      </c>
      <c r="G479" s="5">
        <f ca="1">IFERROR(__xludf.DUMMYFUNCTION("""COMPUTED_VALUE"""),0)</f>
        <v>0</v>
      </c>
      <c r="H479" s="5">
        <f ca="1">IFERROR(__xludf.DUMMYFUNCTION("""COMPUTED_VALUE"""),0)</f>
        <v>0</v>
      </c>
      <c r="I479" s="5">
        <f ca="1">IFERROR(__xludf.DUMMYFUNCTION("""COMPUTED_VALUE"""),0)</f>
        <v>0</v>
      </c>
      <c r="J479" s="5">
        <f ca="1">IFERROR(__xludf.DUMMYFUNCTION("""COMPUTED_VALUE"""),0)</f>
        <v>0</v>
      </c>
      <c r="K479" s="5" t="str">
        <f ca="1">IFERROR(__xludf.DUMMYFUNCTION("""COMPUTED_VALUE"""),"https://fredericksburg.com/news/local/crime-and-courts/gunfire-shuts-down-essex-football-game-in-tappahannock/article_fc41645f-1e55-5548-8b72-3f533d6f4c26.html https://www.wric.com/news/crime/gunfire-disrupts-essex-high-school-football-game/ https://frede"&amp;"ricksburg.today/2021/09/25/shots-fired-in-essex-high-school-parking-lot-stops-friday-night-football-game/ https://www.wtvr.com/news/local-news/essex-football-game-violence")</f>
        <v>https://fredericksburg.com/news/local/crime-and-courts/gunfire-shuts-down-essex-football-game-in-tappahannock/article_fc41645f-1e55-5548-8b72-3f533d6f4c26.html https://www.wric.com/news/crime/gunfire-disrupts-essex-high-school-football-game/ https://fredericksburg.today/2021/09/25/shots-fired-in-essex-high-school-parking-lot-stops-friday-night-football-game/ https://www.wtvr.com/news/local-news/essex-football-game-violence</v>
      </c>
      <c r="L479" s="5">
        <f ca="1">IFERROR(__xludf.DUMMYFUNCTION("""COMPUTED_VALUE"""),10)</f>
        <v>10</v>
      </c>
      <c r="M479" s="5" t="str">
        <f ca="1">IFERROR(__xludf.DUMMYFUNCTION("""COMPUTED_VALUE"""),"Local")</f>
        <v>Local</v>
      </c>
      <c r="N479" s="5">
        <f ca="1">IFERROR(__xludf.DUMMYFUNCTION("""COMPUTED_VALUE"""),4)</f>
        <v>4</v>
      </c>
      <c r="O479" s="5" t="str">
        <f ca="1">IFERROR(__xludf.DUMMYFUNCTION("""COMPUTED_VALUE"""),"Fall")</f>
        <v>Fall</v>
      </c>
      <c r="P479" s="5" t="str">
        <f ca="1">IFERROR(__xludf.DUMMYFUNCTION("""COMPUTED_VALUE"""),"Essex")</f>
        <v>Essex</v>
      </c>
      <c r="Q479" s="5" t="str">
        <f ca="1">IFERROR(__xludf.DUMMYFUNCTION("""COMPUTED_VALUE"""),"VA")</f>
        <v>VA</v>
      </c>
      <c r="R479" s="5" t="str">
        <f ca="1">IFERROR(__xludf.DUMMYFUNCTION("""COMPUTED_VALUE"""),"High")</f>
        <v>High</v>
      </c>
      <c r="S479" s="5" t="str">
        <f ca="1">IFERROR(__xludf.DUMMYFUNCTION("""COMPUTED_VALUE"""),"Football Field/Track")</f>
        <v>Football Field/Track</v>
      </c>
      <c r="T479" s="5" t="str">
        <f ca="1">IFERROR(__xludf.DUMMYFUNCTION("""COMPUTED_VALUE"""),"Outside on School Property")</f>
        <v>Outside on School Property</v>
      </c>
      <c r="U479" s="5" t="str">
        <f ca="1">IFERROR(__xludf.DUMMYFUNCTION("""COMPUTED_VALUE"""),"No")</f>
        <v>No</v>
      </c>
      <c r="V479" s="5" t="str">
        <f ca="1">IFERROR(__xludf.DUMMYFUNCTION("""COMPUTED_VALUE"""),"Sport Event")</f>
        <v>Sport Event</v>
      </c>
      <c r="W479" s="10">
        <f ca="1">IFERROR(__xludf.DUMMYFUNCTION("""COMPUTED_VALUE"""),0.847222222222222)</f>
        <v>0.84722222222222199</v>
      </c>
      <c r="X479" s="5">
        <f ca="1">IFERROR(__xludf.DUMMYFUNCTION("""COMPUTED_VALUE"""),10)</f>
        <v>10</v>
      </c>
      <c r="Y479" s="5" t="str">
        <f ca="1">IFERROR(__xludf.DUMMYFUNCTION("""COMPUTED_VALUE"""),"Shots fired near ticket booth and softball field during football game")</f>
        <v>Shots fired near ticket booth and softball field during football game</v>
      </c>
      <c r="Z479" s="5" t="str">
        <f ca="1">IFERROR(__xludf.DUMMYFUNCTION("""COMPUTED_VALUE"""),"Shots were fired when a fight broke out near the ticket booth at the football stadium. Police stopped the football game and stadium followed emergencies procedures. The fight continued and shots were fired near the softball field 10 minutes later. 2 deput"&amp;"ies were injured breaking up the fight. No one was struck by gunfire. Shooter fled.")</f>
        <v>Shots were fired when a fight broke out near the ticket booth at the football stadium. Police stopped the football game and stadium followed emergencies procedures. The fight continued and shots were fired near the softball field 10 minutes later. 2 deputies were injured breaking up the fight. No one was struck by gunfire. Shooter fled.</v>
      </c>
      <c r="AA479" s="5" t="str">
        <f ca="1">IFERROR(__xludf.DUMMYFUNCTION("""COMPUTED_VALUE"""),"Escalation of Dispute")</f>
        <v>Escalation of Dispute</v>
      </c>
      <c r="AB479" s="5" t="str">
        <f ca="1">IFERROR(__xludf.DUMMYFUNCTION("""COMPUTED_VALUE"""),"Neither")</f>
        <v>Neither</v>
      </c>
      <c r="AC479" s="5" t="str">
        <f ca="1">IFERROR(__xludf.DUMMYFUNCTION("""COMPUTED_VALUE"""),"No")</f>
        <v>No</v>
      </c>
      <c r="AD479" s="5" t="str">
        <f ca="1">IFERROR(__xludf.DUMMYFUNCTION("""COMPUTED_VALUE"""),"No")</f>
        <v>No</v>
      </c>
      <c r="AE479" s="5" t="str">
        <f ca="1">IFERROR(__xludf.DUMMYFUNCTION("""COMPUTED_VALUE"""),"No")</f>
        <v>No</v>
      </c>
      <c r="AF479" s="5" t="str">
        <f ca="1">IFERROR(__xludf.DUMMYFUNCTION("""COMPUTED_VALUE"""),"No")</f>
        <v>No</v>
      </c>
      <c r="AG479" s="5" t="str">
        <f ca="1">IFERROR(__xludf.DUMMYFUNCTION("""COMPUTED_VALUE"""),"No")</f>
        <v>No</v>
      </c>
      <c r="AH479" s="5" t="str">
        <f ca="1">IFERROR(__xludf.DUMMYFUNCTION("""COMPUTED_VALUE"""),"No")</f>
        <v>No</v>
      </c>
      <c r="AI479" s="5"/>
      <c r="AJ479" s="5" t="str">
        <f ca="1">IFERROR(__xludf.DUMMYFUNCTION("""COMPUTED_VALUE"""),"No")</f>
        <v>No</v>
      </c>
    </row>
    <row r="480" spans="1:36" ht="13">
      <c r="A480" s="5" t="str">
        <f ca="1">IFERROR(__xludf.DUMMYFUNCTION("""COMPUTED_VALUE"""),"20210924TNSTS")</f>
        <v>20210924TNSTS</v>
      </c>
      <c r="B480" s="5">
        <f ca="1">IFERROR(__xludf.DUMMYFUNCTION("""COMPUTED_VALUE"""),9)</f>
        <v>9</v>
      </c>
      <c r="C480" s="5">
        <f ca="1">IFERROR(__xludf.DUMMYFUNCTION("""COMPUTED_VALUE"""),24)</f>
        <v>24</v>
      </c>
      <c r="D480" s="5">
        <f ca="1">IFERROR(__xludf.DUMMYFUNCTION("""COMPUTED_VALUE"""),2021)</f>
        <v>2021</v>
      </c>
      <c r="E480" s="8">
        <f ca="1">IFERROR(__xludf.DUMMYFUNCTION("""COMPUTED_VALUE"""),44463)</f>
        <v>44463</v>
      </c>
      <c r="F480" s="5" t="str">
        <f ca="1">IFERROR(__xludf.DUMMYFUNCTION("""COMPUTED_VALUE"""),"Stewarts Creek High School")</f>
        <v>Stewarts Creek High School</v>
      </c>
      <c r="G480" s="5">
        <f ca="1">IFERROR(__xludf.DUMMYFUNCTION("""COMPUTED_VALUE"""),0)</f>
        <v>0</v>
      </c>
      <c r="H480" s="5">
        <f ca="1">IFERROR(__xludf.DUMMYFUNCTION("""COMPUTED_VALUE"""),0)</f>
        <v>0</v>
      </c>
      <c r="I480" s="5">
        <f ca="1">IFERROR(__xludf.DUMMYFUNCTION("""COMPUTED_VALUE"""),0)</f>
        <v>0</v>
      </c>
      <c r="J480" s="5">
        <f ca="1">IFERROR(__xludf.DUMMYFUNCTION("""COMPUTED_VALUE"""),0)</f>
        <v>0</v>
      </c>
      <c r="K480" s="5" t="str">
        <f ca="1">IFERROR(__xludf.DUMMYFUNCTION("""COMPUTED_VALUE"""),"https://rutherfordsource.com/suspects-arrested-gunfire-school-parking-lot-friday/ https://www.wkrn.com/news/crime-tracker/no-one-hurt-after-shots-fired-in-parking-lot-at-stewarts-creek-high-school-football-game/ https://www.wsmv.com/news/two-arrested-for-"&amp;"after-shots-fired-in-school-parking-lot/article_767a6532-216d-11ec-b3ba-73829a6dc668.html")</f>
        <v>https://rutherfordsource.com/suspects-arrested-gunfire-school-parking-lot-friday/ https://www.wkrn.com/news/crime-tracker/no-one-hurt-after-shots-fired-in-parking-lot-at-stewarts-creek-high-school-football-game/ https://www.wsmv.com/news/two-arrested-for-after-shots-fired-in-school-parking-lot/article_767a6532-216d-11ec-b3ba-73829a6dc668.html</v>
      </c>
      <c r="L480" s="5">
        <f ca="1">IFERROR(__xludf.DUMMYFUNCTION("""COMPUTED_VALUE"""),3)</f>
        <v>3</v>
      </c>
      <c r="M480" s="5" t="str">
        <f ca="1">IFERROR(__xludf.DUMMYFUNCTION("""COMPUTED_VALUE"""),"Local")</f>
        <v>Local</v>
      </c>
      <c r="N480" s="5">
        <f ca="1">IFERROR(__xludf.DUMMYFUNCTION("""COMPUTED_VALUE"""),4)</f>
        <v>4</v>
      </c>
      <c r="O480" s="5" t="str">
        <f ca="1">IFERROR(__xludf.DUMMYFUNCTION("""COMPUTED_VALUE"""),"Fall")</f>
        <v>Fall</v>
      </c>
      <c r="P480" s="5" t="str">
        <f ca="1">IFERROR(__xludf.DUMMYFUNCTION("""COMPUTED_VALUE"""),"Smyrna")</f>
        <v>Smyrna</v>
      </c>
      <c r="Q480" s="5" t="str">
        <f ca="1">IFERROR(__xludf.DUMMYFUNCTION("""COMPUTED_VALUE"""),"FL")</f>
        <v>FL</v>
      </c>
      <c r="R480" s="5" t="str">
        <f ca="1">IFERROR(__xludf.DUMMYFUNCTION("""COMPUTED_VALUE"""),"High")</f>
        <v>High</v>
      </c>
      <c r="S480" s="5" t="str">
        <f ca="1">IFERROR(__xludf.DUMMYFUNCTION("""COMPUTED_VALUE"""),"Parking Lot")</f>
        <v>Parking Lot</v>
      </c>
      <c r="T480" s="5" t="str">
        <f ca="1">IFERROR(__xludf.DUMMYFUNCTION("""COMPUTED_VALUE"""),"Outside on School Property")</f>
        <v>Outside on School Property</v>
      </c>
      <c r="U480" s="5" t="str">
        <f ca="1">IFERROR(__xludf.DUMMYFUNCTION("""COMPUTED_VALUE"""),"No")</f>
        <v>No</v>
      </c>
      <c r="V480" s="5" t="str">
        <f ca="1">IFERROR(__xludf.DUMMYFUNCTION("""COMPUTED_VALUE"""),"Sport Event")</f>
        <v>Sport Event</v>
      </c>
      <c r="W480" s="10">
        <f ca="1">IFERROR(__xludf.DUMMYFUNCTION("""COMPUTED_VALUE"""),0.854166666666666)</f>
        <v>0.85416666666666596</v>
      </c>
      <c r="X480" s="5">
        <f ca="1">IFERROR(__xludf.DUMMYFUNCTION("""COMPUTED_VALUE"""),1)</f>
        <v>1</v>
      </c>
      <c r="Y480" s="5" t="str">
        <f ca="1">IFERROR(__xludf.DUMMYFUNCTION("""COMPUTED_VALUE"""),"Teen fired shots into the air during a fight in the parking lot during a football game")</f>
        <v>Teen fired shots into the air during a fight in the parking lot during a football game</v>
      </c>
      <c r="Z480" s="5" t="str">
        <f ca="1">IFERROR(__xludf.DUMMYFUNCTION("""COMPUTED_VALUE"""),"An 18-year-old male fired shots from a handgun into the air during a fight in the school parking lot near the football field. A SRO saw the muzzle flashes and was able to identify the shooter. A 17-year-old teen was seen with a rifle running from the area"&amp;" but did not fired the weapon. Both teens were arrested the week after the incident.")</f>
        <v>An 18-year-old male fired shots from a handgun into the air during a fight in the school parking lot near the football field. A SRO saw the muzzle flashes and was able to identify the shooter. A 17-year-old teen was seen with a rifle running from the area but did not fired the weapon. Both teens were arrested the week after the incident.</v>
      </c>
      <c r="AA480" s="5" t="str">
        <f ca="1">IFERROR(__xludf.DUMMYFUNCTION("""COMPUTED_VALUE"""),"Escalation of Dispute")</f>
        <v>Escalation of Dispute</v>
      </c>
      <c r="AB480" s="5" t="str">
        <f ca="1">IFERROR(__xludf.DUMMYFUNCTION("""COMPUTED_VALUE"""),"Neither")</f>
        <v>Neither</v>
      </c>
      <c r="AC480" s="5" t="str">
        <f ca="1">IFERROR(__xludf.DUMMYFUNCTION("""COMPUTED_VALUE"""),"No")</f>
        <v>No</v>
      </c>
      <c r="AD480" s="5"/>
      <c r="AE480" s="5" t="str">
        <f ca="1">IFERROR(__xludf.DUMMYFUNCTION("""COMPUTED_VALUE"""),"No")</f>
        <v>No</v>
      </c>
      <c r="AF480" s="5" t="str">
        <f ca="1">IFERROR(__xludf.DUMMYFUNCTION("""COMPUTED_VALUE"""),"No")</f>
        <v>No</v>
      </c>
      <c r="AG480" s="5" t="str">
        <f ca="1">IFERROR(__xludf.DUMMYFUNCTION("""COMPUTED_VALUE"""),"No")</f>
        <v>No</v>
      </c>
      <c r="AH480" s="5" t="str">
        <f ca="1">IFERROR(__xludf.DUMMYFUNCTION("""COMPUTED_VALUE"""),"No")</f>
        <v>No</v>
      </c>
      <c r="AI480" s="5" t="str">
        <f ca="1">IFERROR(__xludf.DUMMYFUNCTION("""COMPUTED_VALUE"""),"No")</f>
        <v>No</v>
      </c>
      <c r="AJ480" s="5" t="str">
        <f ca="1">IFERROR(__xludf.DUMMYFUNCTION("""COMPUTED_VALUE"""),"No")</f>
        <v>No</v>
      </c>
    </row>
    <row r="481" spans="1:36" ht="13">
      <c r="A481" s="5" t="str">
        <f ca="1">IFERROR(__xludf.DUMMYFUNCTION("""COMPUTED_VALUE"""),"20210924ALFAF")</f>
        <v>20210924ALFAF</v>
      </c>
      <c r="B481" s="5">
        <f ca="1">IFERROR(__xludf.DUMMYFUNCTION("""COMPUTED_VALUE"""),9)</f>
        <v>9</v>
      </c>
      <c r="C481" s="5">
        <f ca="1">IFERROR(__xludf.DUMMYFUNCTION("""COMPUTED_VALUE"""),24)</f>
        <v>24</v>
      </c>
      <c r="D481" s="5">
        <f ca="1">IFERROR(__xludf.DUMMYFUNCTION("""COMPUTED_VALUE"""),2021)</f>
        <v>2021</v>
      </c>
      <c r="E481" s="8">
        <f ca="1">IFERROR(__xludf.DUMMYFUNCTION("""COMPUTED_VALUE"""),44463)</f>
        <v>44463</v>
      </c>
      <c r="F481" s="5" t="str">
        <f ca="1">IFERROR(__xludf.DUMMYFUNCTION("""COMPUTED_VALUE"""),"Fairfield High Preparatory School")</f>
        <v>Fairfield High Preparatory School</v>
      </c>
      <c r="G481" s="5">
        <f ca="1">IFERROR(__xludf.DUMMYFUNCTION("""COMPUTED_VALUE"""),0)</f>
        <v>0</v>
      </c>
      <c r="H481" s="5">
        <f ca="1">IFERROR(__xludf.DUMMYFUNCTION("""COMPUTED_VALUE"""),1)</f>
        <v>1</v>
      </c>
      <c r="I481" s="5">
        <f ca="1">IFERROR(__xludf.DUMMYFUNCTION("""COMPUTED_VALUE"""),1)</f>
        <v>1</v>
      </c>
      <c r="J481" s="5">
        <f ca="1">IFERROR(__xludf.DUMMYFUNCTION("""COMPUTED_VALUE"""),0)</f>
        <v>0</v>
      </c>
      <c r="K481" s="5" t="str">
        <f ca="1">IFERROR(__xludf.DUMMYFUNCTION("""COMPUTED_VALUE"""),"https://www.cnn.com/2021/09/25/us/fairfield-alabama-football-game-shooting/index.html https://www.wkrg.com/news/one-injured-after-shots-fired-near-alabama-high-school-football-game/ https://www.saturdaydownsouth.com/sports/high-school-football-game-in-ala"&amp;"bama-shut-down-after-shooting-at-stadium/")</f>
        <v>https://www.cnn.com/2021/09/25/us/fairfield-alabama-football-game-shooting/index.html https://www.wkrg.com/news/one-injured-after-shots-fired-near-alabama-high-school-football-game/ https://www.saturdaydownsouth.com/sports/high-school-football-game-in-alabama-shut-down-after-shooting-at-stadium/</v>
      </c>
      <c r="L481" s="5">
        <f ca="1">IFERROR(__xludf.DUMMYFUNCTION("""COMPUTED_VALUE"""),100)</f>
        <v>100</v>
      </c>
      <c r="M481" s="5" t="str">
        <f ca="1">IFERROR(__xludf.DUMMYFUNCTION("""COMPUTED_VALUE"""),"National")</f>
        <v>National</v>
      </c>
      <c r="N481" s="5">
        <f ca="1">IFERROR(__xludf.DUMMYFUNCTION("""COMPUTED_VALUE"""),4)</f>
        <v>4</v>
      </c>
      <c r="O481" s="5" t="str">
        <f ca="1">IFERROR(__xludf.DUMMYFUNCTION("""COMPUTED_VALUE"""),"Fall")</f>
        <v>Fall</v>
      </c>
      <c r="P481" s="5" t="str">
        <f ca="1">IFERROR(__xludf.DUMMYFUNCTION("""COMPUTED_VALUE"""),"Fairfield")</f>
        <v>Fairfield</v>
      </c>
      <c r="Q481" s="5" t="str">
        <f ca="1">IFERROR(__xludf.DUMMYFUNCTION("""COMPUTED_VALUE"""),"AL")</f>
        <v>AL</v>
      </c>
      <c r="R481" s="5" t="str">
        <f ca="1">IFERROR(__xludf.DUMMYFUNCTION("""COMPUTED_VALUE"""),"High")</f>
        <v>High</v>
      </c>
      <c r="S481" s="5" t="str">
        <f ca="1">IFERROR(__xludf.DUMMYFUNCTION("""COMPUTED_VALUE"""),"Parking Lot")</f>
        <v>Parking Lot</v>
      </c>
      <c r="T481" s="5" t="str">
        <f ca="1">IFERROR(__xludf.DUMMYFUNCTION("""COMPUTED_VALUE"""),"Outside on School Property")</f>
        <v>Outside on School Property</v>
      </c>
      <c r="U481" s="5" t="str">
        <f ca="1">IFERROR(__xludf.DUMMYFUNCTION("""COMPUTED_VALUE"""),"No")</f>
        <v>No</v>
      </c>
      <c r="V481" s="5" t="str">
        <f ca="1">IFERROR(__xludf.DUMMYFUNCTION("""COMPUTED_VALUE"""),"Sport Event")</f>
        <v>Sport Event</v>
      </c>
      <c r="W481" s="10">
        <f ca="1">IFERROR(__xludf.DUMMYFUNCTION("""COMPUTED_VALUE"""),0.907638888888888)</f>
        <v>0.907638888888888</v>
      </c>
      <c r="X481" s="5">
        <f ca="1">IFERROR(__xludf.DUMMYFUNCTION("""COMPUTED_VALUE"""),1)</f>
        <v>1</v>
      </c>
      <c r="Y481" s="5" t="str">
        <f ca="1">IFERROR(__xludf.DUMMYFUNCTION("""COMPUTED_VALUE"""),"Shots fired at visiting fans in the parking lot")</f>
        <v>Shots fired at visiting fans in the parking lot</v>
      </c>
      <c r="Z481" s="5" t="str">
        <f ca="1">IFERROR(__xludf.DUMMYFUNCTION("""COMPUTED_VALUE"""),"Multiple shots were fired at visiting fans in the parking lot outside of the football stadium. Shots were fired from an abandon house across the street. An adult male was struck and transported to the hospital. Police inside the stadium told players and f"&amp;"ans to get down and take cover. The game was cancelled.")</f>
        <v>Multiple shots were fired at visiting fans in the parking lot outside of the football stadium. Shots were fired from an abandon house across the street. An adult male was struck and transported to the hospital. Police inside the stadium told players and fans to get down and take cover. The game was cancelled.</v>
      </c>
      <c r="AA481" s="5" t="str">
        <f ca="1">IFERROR(__xludf.DUMMYFUNCTION("""COMPUTED_VALUE"""),"Indiscriminate Shooting")</f>
        <v>Indiscriminate Shooting</v>
      </c>
      <c r="AB481" s="5" t="str">
        <f ca="1">IFERROR(__xludf.DUMMYFUNCTION("""COMPUTED_VALUE"""),"Random Shooting")</f>
        <v>Random Shooting</v>
      </c>
      <c r="AC481" s="5" t="str">
        <f ca="1">IFERROR(__xludf.DUMMYFUNCTION("""COMPUTED_VALUE"""),"No")</f>
        <v>No</v>
      </c>
      <c r="AD481" s="5" t="str">
        <f ca="1">IFERROR(__xludf.DUMMYFUNCTION("""COMPUTED_VALUE"""),"No")</f>
        <v>No</v>
      </c>
      <c r="AE481" s="5" t="str">
        <f ca="1">IFERROR(__xludf.DUMMYFUNCTION("""COMPUTED_VALUE"""),"No")</f>
        <v>No</v>
      </c>
      <c r="AF481" s="5" t="str">
        <f ca="1">IFERROR(__xludf.DUMMYFUNCTION("""COMPUTED_VALUE"""),"No")</f>
        <v>No</v>
      </c>
      <c r="AG481" s="5" t="str">
        <f ca="1">IFERROR(__xludf.DUMMYFUNCTION("""COMPUTED_VALUE"""),"No")</f>
        <v>No</v>
      </c>
      <c r="AH481" s="5" t="str">
        <f ca="1">IFERROR(__xludf.DUMMYFUNCTION("""COMPUTED_VALUE"""),"No")</f>
        <v>No</v>
      </c>
      <c r="AI481" s="5" t="str">
        <f ca="1">IFERROR(__xludf.DUMMYFUNCTION("""COMPUTED_VALUE"""),"No")</f>
        <v>No</v>
      </c>
      <c r="AJ481" s="5" t="str">
        <f ca="1">IFERROR(__xludf.DUMMYFUNCTION("""COMPUTED_VALUE"""),"No")</f>
        <v>No</v>
      </c>
    </row>
    <row r="482" spans="1:36" ht="13">
      <c r="A482" s="5" t="str">
        <f ca="1">IFERROR(__xludf.DUMMYFUNCTION("""COMPUTED_VALUE"""),"20210923IDRIR")</f>
        <v>20210923IDRIR</v>
      </c>
      <c r="B482" s="5">
        <f ca="1">IFERROR(__xludf.DUMMYFUNCTION("""COMPUTED_VALUE"""),9)</f>
        <v>9</v>
      </c>
      <c r="C482" s="5">
        <f ca="1">IFERROR(__xludf.DUMMYFUNCTION("""COMPUTED_VALUE"""),23)</f>
        <v>23</v>
      </c>
      <c r="D482" s="5">
        <f ca="1">IFERROR(__xludf.DUMMYFUNCTION("""COMPUTED_VALUE"""),2021)</f>
        <v>2021</v>
      </c>
      <c r="E482" s="8">
        <f ca="1">IFERROR(__xludf.DUMMYFUNCTION("""COMPUTED_VALUE"""),44462)</f>
        <v>44462</v>
      </c>
      <c r="F482" s="5" t="str">
        <f ca="1">IFERROR(__xludf.DUMMYFUNCTION("""COMPUTED_VALUE"""),"Rigby Middle School")</f>
        <v>Rigby Middle School</v>
      </c>
      <c r="G482" s="5">
        <f ca="1">IFERROR(__xludf.DUMMYFUNCTION("""COMPUTED_VALUE"""),0)</f>
        <v>0</v>
      </c>
      <c r="H482" s="5">
        <f ca="1">IFERROR(__xludf.DUMMYFUNCTION("""COMPUTED_VALUE"""),0)</f>
        <v>0</v>
      </c>
      <c r="I482" s="5">
        <f ca="1">IFERROR(__xludf.DUMMYFUNCTION("""COMPUTED_VALUE"""),0)</f>
        <v>0</v>
      </c>
      <c r="J482" s="5">
        <f ca="1">IFERROR(__xludf.DUMMYFUNCTION("""COMPUTED_VALUE"""),0)</f>
        <v>0</v>
      </c>
      <c r="K482" s="9" t="str">
        <f ca="1">IFERROR(__xludf.DUMMYFUNCTION("""COMPUTED_VALUE"""),"https://www.postregister.com/star/news/jefferson-joint-school-dist-moving-forward-after-another-gun-incident/article_e7b6f146-3426-5c60-a8c7-4668519062a5.html")</f>
        <v>https://www.postregister.com/star/news/jefferson-joint-school-dist-moving-forward-after-another-gun-incident/article_e7b6f146-3426-5c60-a8c7-4668519062a5.html</v>
      </c>
      <c r="L482" s="5">
        <f ca="1">IFERROR(__xludf.DUMMYFUNCTION("""COMPUTED_VALUE"""),5)</f>
        <v>5</v>
      </c>
      <c r="M482" s="5" t="str">
        <f ca="1">IFERROR(__xludf.DUMMYFUNCTION("""COMPUTED_VALUE"""),"Local")</f>
        <v>Local</v>
      </c>
      <c r="N482" s="5">
        <f ca="1">IFERROR(__xludf.DUMMYFUNCTION("""COMPUTED_VALUE"""),4)</f>
        <v>4</v>
      </c>
      <c r="O482" s="5" t="str">
        <f ca="1">IFERROR(__xludf.DUMMYFUNCTION("""COMPUTED_VALUE"""),"Fall")</f>
        <v>Fall</v>
      </c>
      <c r="P482" s="5" t="str">
        <f ca="1">IFERROR(__xludf.DUMMYFUNCTION("""COMPUTED_VALUE"""),"Rigby")</f>
        <v>Rigby</v>
      </c>
      <c r="Q482" s="5" t="str">
        <f ca="1">IFERROR(__xludf.DUMMYFUNCTION("""COMPUTED_VALUE"""),"ID")</f>
        <v>ID</v>
      </c>
      <c r="R482" s="5" t="str">
        <f ca="1">IFERROR(__xludf.DUMMYFUNCTION("""COMPUTED_VALUE"""),"Middle")</f>
        <v>Middle</v>
      </c>
      <c r="S482" s="5" t="str">
        <f ca="1">IFERROR(__xludf.DUMMYFUNCTION("""COMPUTED_VALUE"""),"Bathroom")</f>
        <v>Bathroom</v>
      </c>
      <c r="T482" s="5" t="str">
        <f ca="1">IFERROR(__xludf.DUMMYFUNCTION("""COMPUTED_VALUE"""),"Inside School Building")</f>
        <v>Inside School Building</v>
      </c>
      <c r="U482" s="5" t="str">
        <f ca="1">IFERROR(__xludf.DUMMYFUNCTION("""COMPUTED_VALUE"""),"Yes")</f>
        <v>Yes</v>
      </c>
      <c r="V482" s="5" t="str">
        <f ca="1">IFERROR(__xludf.DUMMYFUNCTION("""COMPUTED_VALUE"""),"Morning Classes")</f>
        <v>Morning Classes</v>
      </c>
      <c r="W482" s="5"/>
      <c r="X482" s="5">
        <f ca="1">IFERROR(__xludf.DUMMYFUNCTION("""COMPUTED_VALUE"""),1)</f>
        <v>1</v>
      </c>
      <c r="Y482" s="5" t="str">
        <f ca="1">IFERROR(__xludf.DUMMYFUNCTION("""COMPUTED_VALUE"""),"Emotionally distressed student with a gun in the bathroom detained by SRO")</f>
        <v>Emotionally distressed student with a gun in the bathroom detained by SRO</v>
      </c>
      <c r="Z482" s="5" t="str">
        <f ca="1">IFERROR(__xludf.DUMMYFUNCTION("""COMPUTED_VALUE"""),"Staff members were notified of an emotionally distressed female student in the bathroom. When a staff member checked on the student, they saw a gun and notified the SRO. The SRO was able to deescalate the situation, secure the weapon, and detain the stude"&amp;"nt. The school was locked down during the incident.")</f>
        <v>Staff members were notified of an emotionally distressed female student in the bathroom. When a staff member checked on the student, they saw a gun and notified the SRO. The SRO was able to deescalate the situation, secure the weapon, and detain the student. The school was locked down during the incident.</v>
      </c>
      <c r="AA482" s="5" t="str">
        <f ca="1">IFERROR(__xludf.DUMMYFUNCTION("""COMPUTED_VALUE"""),"Suicide/Attempted")</f>
        <v>Suicide/Attempted</v>
      </c>
      <c r="AB482" s="5" t="str">
        <f ca="1">IFERROR(__xludf.DUMMYFUNCTION("""COMPUTED_VALUE"""),"Victims Targeted")</f>
        <v>Victims Targeted</v>
      </c>
      <c r="AC482" s="5" t="str">
        <f ca="1">IFERROR(__xludf.DUMMYFUNCTION("""COMPUTED_VALUE"""),"No")</f>
        <v>No</v>
      </c>
      <c r="AD482" s="5" t="str">
        <f ca="1">IFERROR(__xludf.DUMMYFUNCTION("""COMPUTED_VALUE"""),"No")</f>
        <v>No</v>
      </c>
      <c r="AE482" s="5" t="str">
        <f ca="1">IFERROR(__xludf.DUMMYFUNCTION("""COMPUTED_VALUE"""),"No")</f>
        <v>No</v>
      </c>
      <c r="AF482" s="5" t="str">
        <f ca="1">IFERROR(__xludf.DUMMYFUNCTION("""COMPUTED_VALUE"""),"No")</f>
        <v>No</v>
      </c>
      <c r="AG482" s="5" t="str">
        <f ca="1">IFERROR(__xludf.DUMMYFUNCTION("""COMPUTED_VALUE"""),"No")</f>
        <v>No</v>
      </c>
      <c r="AH482" s="5" t="str">
        <f ca="1">IFERROR(__xludf.DUMMYFUNCTION("""COMPUTED_VALUE"""),"No")</f>
        <v>No</v>
      </c>
      <c r="AI482" s="5" t="str">
        <f ca="1">IFERROR(__xludf.DUMMYFUNCTION("""COMPUTED_VALUE"""),"No")</f>
        <v>No</v>
      </c>
      <c r="AJ482" s="5" t="str">
        <f ca="1">IFERROR(__xludf.DUMMYFUNCTION("""COMPUTED_VALUE"""),"No")</f>
        <v>No</v>
      </c>
    </row>
    <row r="483" spans="1:36" ht="13">
      <c r="A483" s="5" t="str">
        <f ca="1">IFERROR(__xludf.DUMMYFUNCTION("""COMPUTED_VALUE"""),"20210922CTLIN")</f>
        <v>20210922CTLIN</v>
      </c>
      <c r="B483" s="5">
        <f ca="1">IFERROR(__xludf.DUMMYFUNCTION("""COMPUTED_VALUE"""),9)</f>
        <v>9</v>
      </c>
      <c r="C483" s="5">
        <f ca="1">IFERROR(__xludf.DUMMYFUNCTION("""COMPUTED_VALUE"""),22)</f>
        <v>22</v>
      </c>
      <c r="D483" s="5">
        <f ca="1">IFERROR(__xludf.DUMMYFUNCTION("""COMPUTED_VALUE"""),2021)</f>
        <v>2021</v>
      </c>
      <c r="E483" s="8">
        <f ca="1">IFERROR(__xludf.DUMMYFUNCTION("""COMPUTED_VALUE"""),44461)</f>
        <v>44461</v>
      </c>
      <c r="F483" s="5" t="str">
        <f ca="1">IFERROR(__xludf.DUMMYFUNCTION("""COMPUTED_VALUE"""),"Lincoln-Bassett Community School")</f>
        <v>Lincoln-Bassett Community School</v>
      </c>
      <c r="G483" s="5">
        <f ca="1">IFERROR(__xludf.DUMMYFUNCTION("""COMPUTED_VALUE"""),0)</f>
        <v>0</v>
      </c>
      <c r="H483" s="5">
        <f ca="1">IFERROR(__xludf.DUMMYFUNCTION("""COMPUTED_VALUE"""),0)</f>
        <v>0</v>
      </c>
      <c r="I483" s="5">
        <f ca="1">IFERROR(__xludf.DUMMYFUNCTION("""COMPUTED_VALUE"""),0)</f>
        <v>0</v>
      </c>
      <c r="J483" s="5">
        <f ca="1">IFERROR(__xludf.DUMMYFUNCTION("""COMPUTED_VALUE"""),0)</f>
        <v>0</v>
      </c>
      <c r="K483" s="5" t="str">
        <f ca="1">IFERROR(__xludf.DUMMYFUNCTION("""COMPUTED_VALUE"""),"https://www.nhregister.com/news/article/Official-Shots-fired-outside-New-Haven-school-16479194.php#photo-21496632 https://www.wfsb.com/news/shots-fired-outside-new-haven-school-while-children-were-outside-for-recess/article_c9159638-1bdf-11ec-bb35-7becf93"&amp;"0a489.html")</f>
        <v>https://www.nhregister.com/news/article/Official-Shots-fired-outside-New-Haven-school-16479194.php#photo-21496632 https://www.wfsb.com/news/shots-fired-outside-new-haven-school-while-children-were-outside-for-recess/article_c9159638-1bdf-11ec-bb35-7becf930a489.html</v>
      </c>
      <c r="L483" s="5">
        <f ca="1">IFERROR(__xludf.DUMMYFUNCTION("""COMPUTED_VALUE"""),2)</f>
        <v>2</v>
      </c>
      <c r="M483" s="5" t="str">
        <f ca="1">IFERROR(__xludf.DUMMYFUNCTION("""COMPUTED_VALUE"""),"Local")</f>
        <v>Local</v>
      </c>
      <c r="N483" s="5">
        <f ca="1">IFERROR(__xludf.DUMMYFUNCTION("""COMPUTED_VALUE"""),3)</f>
        <v>3</v>
      </c>
      <c r="O483" s="5" t="str">
        <f ca="1">IFERROR(__xludf.DUMMYFUNCTION("""COMPUTED_VALUE"""),"Fall")</f>
        <v>Fall</v>
      </c>
      <c r="P483" s="5" t="str">
        <f ca="1">IFERROR(__xludf.DUMMYFUNCTION("""COMPUTED_VALUE"""),"New Haven")</f>
        <v>New Haven</v>
      </c>
      <c r="Q483" s="5" t="str">
        <f ca="1">IFERROR(__xludf.DUMMYFUNCTION("""COMPUTED_VALUE"""),"CT")</f>
        <v>CT</v>
      </c>
      <c r="R483" s="5" t="str">
        <f ca="1">IFERROR(__xludf.DUMMYFUNCTION("""COMPUTED_VALUE"""),"Elementary")</f>
        <v>Elementary</v>
      </c>
      <c r="S483" s="5" t="str">
        <f ca="1">IFERROR(__xludf.DUMMYFUNCTION("""COMPUTED_VALUE"""),"Off School Property")</f>
        <v>Off School Property</v>
      </c>
      <c r="T483" s="5" t="str">
        <f ca="1">IFERROR(__xludf.DUMMYFUNCTION("""COMPUTED_VALUE"""),"Outside on School Property")</f>
        <v>Outside on School Property</v>
      </c>
      <c r="U483" s="5" t="str">
        <f ca="1">IFERROR(__xludf.DUMMYFUNCTION("""COMPUTED_VALUE"""),"Yes")</f>
        <v>Yes</v>
      </c>
      <c r="V483" s="5" t="str">
        <f ca="1">IFERROR(__xludf.DUMMYFUNCTION("""COMPUTED_VALUE"""),"Lunch")</f>
        <v>Lunch</v>
      </c>
      <c r="W483" s="10">
        <f ca="1">IFERROR(__xludf.DUMMYFUNCTION("""COMPUTED_VALUE"""),0.458333333333333)</f>
        <v>0.45833333333333298</v>
      </c>
      <c r="X483" s="5">
        <f ca="1">IFERROR(__xludf.DUMMYFUNCTION("""COMPUTED_VALUE"""),1)</f>
        <v>1</v>
      </c>
      <c r="Y483" s="5" t="str">
        <f ca="1">IFERROR(__xludf.DUMMYFUNCTION("""COMPUTED_VALUE"""),"Shots fired while students were outside for recess")</f>
        <v>Shots fired while students were outside for recess</v>
      </c>
      <c r="Z483" s="5" t="str">
        <f ca="1">IFERROR(__xludf.DUMMYFUNCTION("""COMPUTED_VALUE"""),"Shots were fired from a vehicle near the school while children were outside for recess. Security officers and staff moved students inside and locked down until police arrived. No students or staff were injured.")</f>
        <v>Shots were fired from a vehicle near the school while children were outside for recess. Security officers and staff moved students inside and locked down until police arrived. No students or staff were injured.</v>
      </c>
      <c r="AA483" s="5" t="str">
        <f ca="1">IFERROR(__xludf.DUMMYFUNCTION("""COMPUTED_VALUE"""),"Drive-by Shooting")</f>
        <v>Drive-by Shooting</v>
      </c>
      <c r="AB483" s="5" t="str">
        <f ca="1">IFERROR(__xludf.DUMMYFUNCTION("""COMPUTED_VALUE"""),"Neither")</f>
        <v>Neither</v>
      </c>
      <c r="AC483" s="5" t="str">
        <f ca="1">IFERROR(__xludf.DUMMYFUNCTION("""COMPUTED_VALUE"""),"No")</f>
        <v>No</v>
      </c>
      <c r="AD483" s="5" t="str">
        <f ca="1">IFERROR(__xludf.DUMMYFUNCTION("""COMPUTED_VALUE"""),"No")</f>
        <v>No</v>
      </c>
      <c r="AE483" s="5" t="str">
        <f ca="1">IFERROR(__xludf.DUMMYFUNCTION("""COMPUTED_VALUE"""),"No")</f>
        <v>No</v>
      </c>
      <c r="AF483" s="5" t="str">
        <f ca="1">IFERROR(__xludf.DUMMYFUNCTION("""COMPUTED_VALUE"""),"No")</f>
        <v>No</v>
      </c>
      <c r="AG483" s="5" t="str">
        <f ca="1">IFERROR(__xludf.DUMMYFUNCTION("""COMPUTED_VALUE"""),"No")</f>
        <v>No</v>
      </c>
      <c r="AH483" s="5" t="str">
        <f ca="1">IFERROR(__xludf.DUMMYFUNCTION("""COMPUTED_VALUE"""),"No")</f>
        <v>No</v>
      </c>
      <c r="AI483" s="5"/>
      <c r="AJ483" s="5" t="str">
        <f ca="1">IFERROR(__xludf.DUMMYFUNCTION("""COMPUTED_VALUE"""),"No")</f>
        <v>No</v>
      </c>
    </row>
    <row r="484" spans="1:36" ht="13">
      <c r="A484" s="5" t="str">
        <f ca="1">IFERROR(__xludf.DUMMYFUNCTION("""COMPUTED_VALUE"""),"20210922NYSOB")</f>
        <v>20210922NYSOB</v>
      </c>
      <c r="B484" s="5">
        <f ca="1">IFERROR(__xludf.DUMMYFUNCTION("""COMPUTED_VALUE"""),9)</f>
        <v>9</v>
      </c>
      <c r="C484" s="5">
        <f ca="1">IFERROR(__xludf.DUMMYFUNCTION("""COMPUTED_VALUE"""),22)</f>
        <v>22</v>
      </c>
      <c r="D484" s="5">
        <f ca="1">IFERROR(__xludf.DUMMYFUNCTION("""COMPUTED_VALUE"""),2021)</f>
        <v>2021</v>
      </c>
      <c r="E484" s="8">
        <f ca="1">IFERROR(__xludf.DUMMYFUNCTION("""COMPUTED_VALUE"""),44461)</f>
        <v>44461</v>
      </c>
      <c r="F484" s="5" t="str">
        <f ca="1">IFERROR(__xludf.DUMMYFUNCTION("""COMPUTED_VALUE"""),"South Shore High School")</f>
        <v>South Shore High School</v>
      </c>
      <c r="G484" s="5">
        <f ca="1">IFERROR(__xludf.DUMMYFUNCTION("""COMPUTED_VALUE"""),0)</f>
        <v>0</v>
      </c>
      <c r="H484" s="5">
        <f ca="1">IFERROR(__xludf.DUMMYFUNCTION("""COMPUTED_VALUE"""),1)</f>
        <v>1</v>
      </c>
      <c r="I484" s="5">
        <f ca="1">IFERROR(__xludf.DUMMYFUNCTION("""COMPUTED_VALUE"""),1)</f>
        <v>1</v>
      </c>
      <c r="J484" s="5">
        <f ca="1">IFERROR(__xludf.DUMMYFUNCTION("""COMPUTED_VALUE"""),0)</f>
        <v>0</v>
      </c>
      <c r="K484" s="9" t="str">
        <f ca="1">IFERROR(__xludf.DUMMYFUNCTION("""COMPUTED_VALUE"""),"https://newyork.cbslocal.com/2021/09/22/teen-shot-near-brooklyn-schools/")</f>
        <v>https://newyork.cbslocal.com/2021/09/22/teen-shot-near-brooklyn-schools/</v>
      </c>
      <c r="L484" s="5">
        <f ca="1">IFERROR(__xludf.DUMMYFUNCTION("""COMPUTED_VALUE"""),1)</f>
        <v>1</v>
      </c>
      <c r="M484" s="5" t="str">
        <f ca="1">IFERROR(__xludf.DUMMYFUNCTION("""COMPUTED_VALUE"""),"Local")</f>
        <v>Local</v>
      </c>
      <c r="N484" s="5">
        <f ca="1">IFERROR(__xludf.DUMMYFUNCTION("""COMPUTED_VALUE"""),3)</f>
        <v>3</v>
      </c>
      <c r="O484" s="5" t="str">
        <f ca="1">IFERROR(__xludf.DUMMYFUNCTION("""COMPUTED_VALUE"""),"Fall")</f>
        <v>Fall</v>
      </c>
      <c r="P484" s="5" t="str">
        <f ca="1">IFERROR(__xludf.DUMMYFUNCTION("""COMPUTED_VALUE"""),"Brooklyn")</f>
        <v>Brooklyn</v>
      </c>
      <c r="Q484" s="5" t="str">
        <f ca="1">IFERROR(__xludf.DUMMYFUNCTION("""COMPUTED_VALUE"""),"NY")</f>
        <v>NY</v>
      </c>
      <c r="R484" s="5" t="str">
        <f ca="1">IFERROR(__xludf.DUMMYFUNCTION("""COMPUTED_VALUE"""),"High")</f>
        <v>High</v>
      </c>
      <c r="S484" s="5" t="str">
        <f ca="1">IFERROR(__xludf.DUMMYFUNCTION("""COMPUTED_VALUE"""),"Front of School")</f>
        <v>Front of School</v>
      </c>
      <c r="T484" s="5" t="str">
        <f ca="1">IFERROR(__xludf.DUMMYFUNCTION("""COMPUTED_VALUE"""),"Outside on School Property")</f>
        <v>Outside on School Property</v>
      </c>
      <c r="U484" s="5" t="str">
        <f ca="1">IFERROR(__xludf.DUMMYFUNCTION("""COMPUTED_VALUE"""),"Yes")</f>
        <v>Yes</v>
      </c>
      <c r="V484" s="5" t="str">
        <f ca="1">IFERROR(__xludf.DUMMYFUNCTION("""COMPUTED_VALUE"""),"School Start")</f>
        <v>School Start</v>
      </c>
      <c r="W484" s="10">
        <f ca="1">IFERROR(__xludf.DUMMYFUNCTION("""COMPUTED_VALUE"""),0.364583333333333)</f>
        <v>0.36458333333333298</v>
      </c>
      <c r="X484" s="5">
        <f ca="1">IFERROR(__xludf.DUMMYFUNCTION("""COMPUTED_VALUE"""),1)</f>
        <v>1</v>
      </c>
      <c r="Y484" s="5" t="str">
        <f ca="1">IFERROR(__xludf.DUMMYFUNCTION("""COMPUTED_VALUE"""),"Teen shot outside school, ran inside for help")</f>
        <v>Teen shot outside school, ran inside for help</v>
      </c>
      <c r="Z484" s="5" t="str">
        <f ca="1">IFERROR(__xludf.DUMMYFUNCTION("""COMPUTED_VALUE"""),"A 17-year-old teen was shot outside of the school. He ran into the building for help. Shooter fled. Police responded to the school and victim was transported to the hospital.")</f>
        <v>A 17-year-old teen was shot outside of the school. He ran into the building for help. Shooter fled. Police responded to the school and victim was transported to the hospital.</v>
      </c>
      <c r="AA484" s="5"/>
      <c r="AB484" s="5"/>
      <c r="AC484" s="5" t="str">
        <f ca="1">IFERROR(__xludf.DUMMYFUNCTION("""COMPUTED_VALUE"""),"No")</f>
        <v>No</v>
      </c>
      <c r="AD484" s="5" t="str">
        <f ca="1">IFERROR(__xludf.DUMMYFUNCTION("""COMPUTED_VALUE"""),"No")</f>
        <v>No</v>
      </c>
      <c r="AE484" s="5" t="str">
        <f ca="1">IFERROR(__xludf.DUMMYFUNCTION("""COMPUTED_VALUE"""),"No")</f>
        <v>No</v>
      </c>
      <c r="AF484" s="5" t="str">
        <f ca="1">IFERROR(__xludf.DUMMYFUNCTION("""COMPUTED_VALUE"""),"No")</f>
        <v>No</v>
      </c>
      <c r="AG484" s="5" t="str">
        <f ca="1">IFERROR(__xludf.DUMMYFUNCTION("""COMPUTED_VALUE"""),"No")</f>
        <v>No</v>
      </c>
      <c r="AH484" s="5" t="str">
        <f ca="1">IFERROR(__xludf.DUMMYFUNCTION("""COMPUTED_VALUE"""),"No")</f>
        <v>No</v>
      </c>
      <c r="AI484" s="5"/>
      <c r="AJ484" s="5" t="str">
        <f ca="1">IFERROR(__xludf.DUMMYFUNCTION("""COMPUTED_VALUE"""),"No")</f>
        <v>No</v>
      </c>
    </row>
    <row r="485" spans="1:36" ht="13">
      <c r="A485" s="5" t="str">
        <f ca="1">IFERROR(__xludf.DUMMYFUNCTION("""COMPUTED_VALUE"""),"20210921PAVAP")</f>
        <v>20210921PAVAP</v>
      </c>
      <c r="B485" s="5">
        <f ca="1">IFERROR(__xludf.DUMMYFUNCTION("""COMPUTED_VALUE"""),9)</f>
        <v>9</v>
      </c>
      <c r="C485" s="5">
        <f ca="1">IFERROR(__xludf.DUMMYFUNCTION("""COMPUTED_VALUE"""),21)</f>
        <v>21</v>
      </c>
      <c r="D485" s="5">
        <f ca="1">IFERROR(__xludf.DUMMYFUNCTION("""COMPUTED_VALUE"""),2021)</f>
        <v>2021</v>
      </c>
      <c r="E485" s="8">
        <f ca="1">IFERROR(__xludf.DUMMYFUNCTION("""COMPUTED_VALUE"""),44460)</f>
        <v>44460</v>
      </c>
      <c r="F485" s="5" t="str">
        <f ca="1">IFERROR(__xludf.DUMMYFUNCTION("""COMPUTED_VALUE"""),"Vaux Big Picture High School")</f>
        <v>Vaux Big Picture High School</v>
      </c>
      <c r="G485" s="5">
        <f ca="1">IFERROR(__xludf.DUMMYFUNCTION("""COMPUTED_VALUE"""),0)</f>
        <v>0</v>
      </c>
      <c r="H485" s="5">
        <f ca="1">IFERROR(__xludf.DUMMYFUNCTION("""COMPUTED_VALUE"""),1)</f>
        <v>1</v>
      </c>
      <c r="I485" s="5">
        <f ca="1">IFERROR(__xludf.DUMMYFUNCTION("""COMPUTED_VALUE"""),1)</f>
        <v>1</v>
      </c>
      <c r="J485" s="5">
        <f ca="1">IFERROR(__xludf.DUMMYFUNCTION("""COMPUTED_VALUE"""),0)</f>
        <v>0</v>
      </c>
      <c r="K485" s="9" t="str">
        <f ca="1">IFERROR(__xludf.DUMMYFUNCTION("""COMPUTED_VALUE"""),"https://www.fox29.com/news/15-year-old-boy-shot-outside-school-in-north-philadelphia-police-say")</f>
        <v>https://www.fox29.com/news/15-year-old-boy-shot-outside-school-in-north-philadelphia-police-say</v>
      </c>
      <c r="L485" s="5">
        <f ca="1">IFERROR(__xludf.DUMMYFUNCTION("""COMPUTED_VALUE"""),2)</f>
        <v>2</v>
      </c>
      <c r="M485" s="5" t="str">
        <f ca="1">IFERROR(__xludf.DUMMYFUNCTION("""COMPUTED_VALUE"""),"Local")</f>
        <v>Local</v>
      </c>
      <c r="N485" s="5">
        <f ca="1">IFERROR(__xludf.DUMMYFUNCTION("""COMPUTED_VALUE"""),3)</f>
        <v>3</v>
      </c>
      <c r="O485" s="5" t="str">
        <f ca="1">IFERROR(__xludf.DUMMYFUNCTION("""COMPUTED_VALUE"""),"Fall")</f>
        <v>Fall</v>
      </c>
      <c r="P485" s="5" t="str">
        <f ca="1">IFERROR(__xludf.DUMMYFUNCTION("""COMPUTED_VALUE"""),"Philadelphia")</f>
        <v>Philadelphia</v>
      </c>
      <c r="Q485" s="5" t="str">
        <f ca="1">IFERROR(__xludf.DUMMYFUNCTION("""COMPUTED_VALUE"""),"PA")</f>
        <v>PA</v>
      </c>
      <c r="R485" s="5" t="str">
        <f ca="1">IFERROR(__xludf.DUMMYFUNCTION("""COMPUTED_VALUE"""),"High")</f>
        <v>High</v>
      </c>
      <c r="S485" s="5" t="str">
        <f ca="1">IFERROR(__xludf.DUMMYFUNCTION("""COMPUTED_VALUE"""),"Front of School")</f>
        <v>Front of School</v>
      </c>
      <c r="T485" s="5" t="str">
        <f ca="1">IFERROR(__xludf.DUMMYFUNCTION("""COMPUTED_VALUE"""),"Outside on School Property")</f>
        <v>Outside on School Property</v>
      </c>
      <c r="U485" s="5" t="str">
        <f ca="1">IFERROR(__xludf.DUMMYFUNCTION("""COMPUTED_VALUE"""),"Yes")</f>
        <v>Yes</v>
      </c>
      <c r="V485" s="5" t="str">
        <f ca="1">IFERROR(__xludf.DUMMYFUNCTION("""COMPUTED_VALUE"""),"Dismissal")</f>
        <v>Dismissal</v>
      </c>
      <c r="W485" s="10">
        <f ca="1">IFERROR(__xludf.DUMMYFUNCTION("""COMPUTED_VALUE"""),0.622916666666666)</f>
        <v>0.62291666666666601</v>
      </c>
      <c r="X485" s="5">
        <f ca="1">IFERROR(__xludf.DUMMYFUNCTION("""COMPUTED_VALUE"""),1)</f>
        <v>1</v>
      </c>
      <c r="Y485" s="5" t="str">
        <f ca="1">IFERROR(__xludf.DUMMYFUNCTION("""COMPUTED_VALUE"""),"Student shot in front of school during dismissal")</f>
        <v>Student shot in front of school during dismissal</v>
      </c>
      <c r="Z485" s="5" t="str">
        <f ca="1">IFERROR(__xludf.DUMMYFUNCTION("""COMPUTED_VALUE"""),"A 15-year-old male student was shot in the leg during dismissal. Shooter fled.")</f>
        <v>A 15-year-old male student was shot in the leg during dismissal. Shooter fled.</v>
      </c>
      <c r="AA485" s="5"/>
      <c r="AB485" s="5" t="str">
        <f ca="1">IFERROR(__xludf.DUMMYFUNCTION("""COMPUTED_VALUE"""),"Victims Targeted")</f>
        <v>Victims Targeted</v>
      </c>
      <c r="AC485" s="5" t="str">
        <f ca="1">IFERROR(__xludf.DUMMYFUNCTION("""COMPUTED_VALUE"""),"No")</f>
        <v>No</v>
      </c>
      <c r="AD485" s="5" t="str">
        <f ca="1">IFERROR(__xludf.DUMMYFUNCTION("""COMPUTED_VALUE"""),"No")</f>
        <v>No</v>
      </c>
      <c r="AE485" s="5" t="str">
        <f ca="1">IFERROR(__xludf.DUMMYFUNCTION("""COMPUTED_VALUE"""),"No")</f>
        <v>No</v>
      </c>
      <c r="AF485" s="5" t="str">
        <f ca="1">IFERROR(__xludf.DUMMYFUNCTION("""COMPUTED_VALUE"""),"No")</f>
        <v>No</v>
      </c>
      <c r="AG485" s="5" t="str">
        <f ca="1">IFERROR(__xludf.DUMMYFUNCTION("""COMPUTED_VALUE"""),"No")</f>
        <v>No</v>
      </c>
      <c r="AH485" s="5" t="str">
        <f ca="1">IFERROR(__xludf.DUMMYFUNCTION("""COMPUTED_VALUE"""),"No")</f>
        <v>No</v>
      </c>
      <c r="AI485" s="5"/>
      <c r="AJ485" s="5" t="str">
        <f ca="1">IFERROR(__xludf.DUMMYFUNCTION("""COMPUTED_VALUE"""),"No")</f>
        <v>No</v>
      </c>
    </row>
    <row r="486" spans="1:36" ht="13">
      <c r="A486" s="5" t="str">
        <f ca="1">IFERROR(__xludf.DUMMYFUNCTION("""COMPUTED_VALUE"""),"20210921OHMIM")</f>
        <v>20210921OHMIM</v>
      </c>
      <c r="B486" s="5">
        <f ca="1">IFERROR(__xludf.DUMMYFUNCTION("""COMPUTED_VALUE"""),9)</f>
        <v>9</v>
      </c>
      <c r="C486" s="5">
        <f ca="1">IFERROR(__xludf.DUMMYFUNCTION("""COMPUTED_VALUE"""),21)</f>
        <v>21</v>
      </c>
      <c r="D486" s="5">
        <f ca="1">IFERROR(__xludf.DUMMYFUNCTION("""COMPUTED_VALUE"""),2021)</f>
        <v>2021</v>
      </c>
      <c r="E486" s="8">
        <f ca="1">IFERROR(__xludf.DUMMYFUNCTION("""COMPUTED_VALUE"""),44460)</f>
        <v>44460</v>
      </c>
      <c r="F486" s="5" t="str">
        <f ca="1">IFERROR(__xludf.DUMMYFUNCTION("""COMPUTED_VALUE"""),"Middletown Preparatory and Fitness Academy")</f>
        <v>Middletown Preparatory and Fitness Academy</v>
      </c>
      <c r="G486" s="5">
        <f ca="1">IFERROR(__xludf.DUMMYFUNCTION("""COMPUTED_VALUE"""),0)</f>
        <v>0</v>
      </c>
      <c r="H486" s="5">
        <f ca="1">IFERROR(__xludf.DUMMYFUNCTION("""COMPUTED_VALUE"""),0)</f>
        <v>0</v>
      </c>
      <c r="I486" s="5">
        <f ca="1">IFERROR(__xludf.DUMMYFUNCTION("""COMPUTED_VALUE"""),0)</f>
        <v>0</v>
      </c>
      <c r="J486" s="5">
        <f ca="1">IFERROR(__xludf.DUMMYFUNCTION("""COMPUTED_VALUE"""),0)</f>
        <v>0</v>
      </c>
      <c r="K486" s="9" t="str">
        <f ca="1">IFERROR(__xludf.DUMMYFUNCTION("""COMPUTED_VALUE"""),"https://www.fox19.com/2021/09/22/middletown-school-bus-hit-with-bb-gun-fire/")</f>
        <v>https://www.fox19.com/2021/09/22/middletown-school-bus-hit-with-bb-gun-fire/</v>
      </c>
      <c r="L486" s="5">
        <f ca="1">IFERROR(__xludf.DUMMYFUNCTION("""COMPUTED_VALUE"""),1)</f>
        <v>1</v>
      </c>
      <c r="M486" s="5" t="str">
        <f ca="1">IFERROR(__xludf.DUMMYFUNCTION("""COMPUTED_VALUE"""),"Local")</f>
        <v>Local</v>
      </c>
      <c r="N486" s="5">
        <f ca="1">IFERROR(__xludf.DUMMYFUNCTION("""COMPUTED_VALUE"""),3)</f>
        <v>3</v>
      </c>
      <c r="O486" s="5" t="str">
        <f ca="1">IFERROR(__xludf.DUMMYFUNCTION("""COMPUTED_VALUE"""),"Fall")</f>
        <v>Fall</v>
      </c>
      <c r="P486" s="5" t="str">
        <f ca="1">IFERROR(__xludf.DUMMYFUNCTION("""COMPUTED_VALUE"""),"Middletown")</f>
        <v>Middletown</v>
      </c>
      <c r="Q486" s="5" t="str">
        <f ca="1">IFERROR(__xludf.DUMMYFUNCTION("""COMPUTED_VALUE"""),"OH")</f>
        <v>OH</v>
      </c>
      <c r="R486" s="5" t="str">
        <f ca="1">IFERROR(__xludf.DUMMYFUNCTION("""COMPUTED_VALUE"""),"High")</f>
        <v>High</v>
      </c>
      <c r="S486" s="5" t="str">
        <f ca="1">IFERROR(__xludf.DUMMYFUNCTION("""COMPUTED_VALUE"""),"School Bus")</f>
        <v>School Bus</v>
      </c>
      <c r="T486" s="5" t="str">
        <f ca="1">IFERROR(__xludf.DUMMYFUNCTION("""COMPUTED_VALUE"""),"School Bus")</f>
        <v>School Bus</v>
      </c>
      <c r="U486" s="5" t="str">
        <f ca="1">IFERROR(__xludf.DUMMYFUNCTION("""COMPUTED_VALUE"""),"Yes")</f>
        <v>Yes</v>
      </c>
      <c r="V486" s="5" t="str">
        <f ca="1">IFERROR(__xludf.DUMMYFUNCTION("""COMPUTED_VALUE"""),"Dismissal")</f>
        <v>Dismissal</v>
      </c>
      <c r="W486" s="10">
        <f ca="1">IFERROR(__xludf.DUMMYFUNCTION("""COMPUTED_VALUE"""),0.625)</f>
        <v>0.625</v>
      </c>
      <c r="X486" s="5">
        <f ca="1">IFERROR(__xludf.DUMMYFUNCTION("""COMPUTED_VALUE"""),1)</f>
        <v>1</v>
      </c>
      <c r="Y486" s="5" t="str">
        <f ca="1">IFERROR(__xludf.DUMMYFUNCTION("""COMPUTED_VALUE"""),"Occupied school bus shot by multiple BBs")</f>
        <v>Occupied school bus shot by multiple BBs</v>
      </c>
      <c r="Z486" s="5" t="str">
        <f ca="1">IFERROR(__xludf.DUMMYFUNCTION("""COMPUTED_VALUE"""),"An occupied school bus leaving the school was shot with multiple BBs. The school bus driver stopped and notified police. No students were injured. Parents drove to the bus to pick their children up. Shooter fled.")</f>
        <v>An occupied school bus leaving the school was shot with multiple BBs. The school bus driver stopped and notified police. No students were injured. Parents drove to the bus to pick their children up. Shooter fled.</v>
      </c>
      <c r="AA486" s="5" t="str">
        <f ca="1">IFERROR(__xludf.DUMMYFUNCTION("""COMPUTED_VALUE"""),"Intentional Property Damage")</f>
        <v>Intentional Property Damage</v>
      </c>
      <c r="AB486" s="5" t="str">
        <f ca="1">IFERROR(__xludf.DUMMYFUNCTION("""COMPUTED_VALUE"""),"Neither")</f>
        <v>Neither</v>
      </c>
      <c r="AC486" s="5" t="str">
        <f ca="1">IFERROR(__xludf.DUMMYFUNCTION("""COMPUTED_VALUE"""),"No")</f>
        <v>No</v>
      </c>
      <c r="AD486" s="5" t="str">
        <f ca="1">IFERROR(__xludf.DUMMYFUNCTION("""COMPUTED_VALUE"""),"No")</f>
        <v>No</v>
      </c>
      <c r="AE486" s="5" t="str">
        <f ca="1">IFERROR(__xludf.DUMMYFUNCTION("""COMPUTED_VALUE"""),"No")</f>
        <v>No</v>
      </c>
      <c r="AF486" s="5" t="str">
        <f ca="1">IFERROR(__xludf.DUMMYFUNCTION("""COMPUTED_VALUE"""),"No")</f>
        <v>No</v>
      </c>
      <c r="AG486" s="5" t="str">
        <f ca="1">IFERROR(__xludf.DUMMYFUNCTION("""COMPUTED_VALUE"""),"No")</f>
        <v>No</v>
      </c>
      <c r="AH486" s="5" t="str">
        <f ca="1">IFERROR(__xludf.DUMMYFUNCTION("""COMPUTED_VALUE"""),"No")</f>
        <v>No</v>
      </c>
      <c r="AI486" s="5" t="str">
        <f ca="1">IFERROR(__xludf.DUMMYFUNCTION("""COMPUTED_VALUE"""),"No")</f>
        <v>No</v>
      </c>
      <c r="AJ486" s="5" t="str">
        <f ca="1">IFERROR(__xludf.DUMMYFUNCTION("""COMPUTED_VALUE"""),"No")</f>
        <v>No</v>
      </c>
    </row>
    <row r="487" spans="1:36" ht="13">
      <c r="A487" s="5" t="str">
        <f ca="1">IFERROR(__xludf.DUMMYFUNCTION("""COMPUTED_VALUE"""),"20210921KSEAW")</f>
        <v>20210921KSEAW</v>
      </c>
      <c r="B487" s="5">
        <f ca="1">IFERROR(__xludf.DUMMYFUNCTION("""COMPUTED_VALUE"""),9)</f>
        <v>9</v>
      </c>
      <c r="C487" s="5">
        <f ca="1">IFERROR(__xludf.DUMMYFUNCTION("""COMPUTED_VALUE"""),21)</f>
        <v>21</v>
      </c>
      <c r="D487" s="5">
        <f ca="1">IFERROR(__xludf.DUMMYFUNCTION("""COMPUTED_VALUE"""),2021)</f>
        <v>2021</v>
      </c>
      <c r="E487" s="8">
        <f ca="1">IFERROR(__xludf.DUMMYFUNCTION("""COMPUTED_VALUE"""),44460)</f>
        <v>44460</v>
      </c>
      <c r="F487" s="5" t="str">
        <f ca="1">IFERROR(__xludf.DUMMYFUNCTION("""COMPUTED_VALUE"""),"East High School")</f>
        <v>East High School</v>
      </c>
      <c r="G487" s="5">
        <f ca="1">IFERROR(__xludf.DUMMYFUNCTION("""COMPUTED_VALUE"""),0)</f>
        <v>0</v>
      </c>
      <c r="H487" s="5">
        <f ca="1">IFERROR(__xludf.DUMMYFUNCTION("""COMPUTED_VALUE"""),3)</f>
        <v>3</v>
      </c>
      <c r="I487" s="5">
        <f ca="1">IFERROR(__xludf.DUMMYFUNCTION("""COMPUTED_VALUE"""),3)</f>
        <v>3</v>
      </c>
      <c r="J487" s="5">
        <f ca="1">IFERROR(__xludf.DUMMYFUNCTION("""COMPUTED_VALUE"""),0)</f>
        <v>0</v>
      </c>
      <c r="K487" s="5" t="str">
        <f ca="1">IFERROR(__xludf.DUMMYFUNCTION("""COMPUTED_VALUE"""),"https://www.ksn.com/news/crime/daytime-shooting-near-east-high-bold-and-disturbing/ https://www.kansas.com/news/local/crime/article254417103.html https://www.kwch.com/2021/09/21/shooting-near-wichita-east-high-school/ https://www.ksn.com/news/local/2-shot"&amp;"-near-east-high-school/")</f>
        <v>https://www.ksn.com/news/crime/daytime-shooting-near-east-high-bold-and-disturbing/ https://www.kansas.com/news/local/crime/article254417103.html https://www.kwch.com/2021/09/21/shooting-near-wichita-east-high-school/ https://www.ksn.com/news/local/2-shot-near-east-high-school/</v>
      </c>
      <c r="L487" s="5">
        <f ca="1">IFERROR(__xludf.DUMMYFUNCTION("""COMPUTED_VALUE"""),10)</f>
        <v>10</v>
      </c>
      <c r="M487" s="5" t="str">
        <f ca="1">IFERROR(__xludf.DUMMYFUNCTION("""COMPUTED_VALUE"""),"Local")</f>
        <v>Local</v>
      </c>
      <c r="N487" s="5">
        <f ca="1">IFERROR(__xludf.DUMMYFUNCTION("""COMPUTED_VALUE"""),4)</f>
        <v>4</v>
      </c>
      <c r="O487" s="5" t="str">
        <f ca="1">IFERROR(__xludf.DUMMYFUNCTION("""COMPUTED_VALUE"""),"Fall")</f>
        <v>Fall</v>
      </c>
      <c r="P487" s="5" t="str">
        <f ca="1">IFERROR(__xludf.DUMMYFUNCTION("""COMPUTED_VALUE"""),"Wichita")</f>
        <v>Wichita</v>
      </c>
      <c r="Q487" s="5" t="str">
        <f ca="1">IFERROR(__xludf.DUMMYFUNCTION("""COMPUTED_VALUE"""),"KS")</f>
        <v>KS</v>
      </c>
      <c r="R487" s="5" t="str">
        <f ca="1">IFERROR(__xludf.DUMMYFUNCTION("""COMPUTED_VALUE"""),"High")</f>
        <v>High</v>
      </c>
      <c r="S487" s="5" t="str">
        <f ca="1">IFERROR(__xludf.DUMMYFUNCTION("""COMPUTED_VALUE"""),"Front of School")</f>
        <v>Front of School</v>
      </c>
      <c r="T487" s="5" t="str">
        <f ca="1">IFERROR(__xludf.DUMMYFUNCTION("""COMPUTED_VALUE"""),"Outside on School Property")</f>
        <v>Outside on School Property</v>
      </c>
      <c r="U487" s="5" t="str">
        <f ca="1">IFERROR(__xludf.DUMMYFUNCTION("""COMPUTED_VALUE"""),"Yes")</f>
        <v>Yes</v>
      </c>
      <c r="V487" s="5" t="str">
        <f ca="1">IFERROR(__xludf.DUMMYFUNCTION("""COMPUTED_VALUE"""),"Lunch")</f>
        <v>Lunch</v>
      </c>
      <c r="W487" s="10">
        <f ca="1">IFERROR(__xludf.DUMMYFUNCTION("""COMPUTED_VALUE"""),0.520833333333333)</f>
        <v>0.52083333333333304</v>
      </c>
      <c r="X487" s="5">
        <f ca="1">IFERROR(__xludf.DUMMYFUNCTION("""COMPUTED_VALUE"""),1)</f>
        <v>1</v>
      </c>
      <c r="Y487" s="5" t="str">
        <f ca="1">IFERROR(__xludf.DUMMYFUNCTION("""COMPUTED_VALUE"""),"Three students shot outside school during lunch")</f>
        <v>Three students shot outside school during lunch</v>
      </c>
      <c r="Z487" s="5" t="str">
        <f ca="1">IFERROR(__xludf.DUMMYFUNCTION("""COMPUTED_VALUE"""),"Shots were fired from off the school campus in the direction of the school during lunch time. Three students were wounded and bullets struck the school building. Three teen suspects were arrested. The shooting was related to an ongoing dispute. The victim"&amp;"s were targeted.")</f>
        <v>Shots were fired from off the school campus in the direction of the school during lunch time. Three students were wounded and bullets struck the school building. Three teen suspects were arrested. The shooting was related to an ongoing dispute. The victims were targeted.</v>
      </c>
      <c r="AA487" s="5" t="str">
        <f ca="1">IFERROR(__xludf.DUMMYFUNCTION("""COMPUTED_VALUE"""),"Escalation of Dispute")</f>
        <v>Escalation of Dispute</v>
      </c>
      <c r="AB487" s="5" t="str">
        <f ca="1">IFERROR(__xludf.DUMMYFUNCTION("""COMPUTED_VALUE"""),"Both")</f>
        <v>Both</v>
      </c>
      <c r="AC487" s="5" t="str">
        <f ca="1">IFERROR(__xludf.DUMMYFUNCTION("""COMPUTED_VALUE"""),"Yes")</f>
        <v>Yes</v>
      </c>
      <c r="AD487" s="5" t="str">
        <f ca="1">IFERROR(__xludf.DUMMYFUNCTION("""COMPUTED_VALUE"""),"No")</f>
        <v>No</v>
      </c>
      <c r="AE487" s="5" t="str">
        <f ca="1">IFERROR(__xludf.DUMMYFUNCTION("""COMPUTED_VALUE"""),"No")</f>
        <v>No</v>
      </c>
      <c r="AF487" s="5" t="str">
        <f ca="1">IFERROR(__xludf.DUMMYFUNCTION("""COMPUTED_VALUE"""),"No")</f>
        <v>No</v>
      </c>
      <c r="AG487" s="5" t="str">
        <f ca="1">IFERROR(__xludf.DUMMYFUNCTION("""COMPUTED_VALUE"""),"No")</f>
        <v>No</v>
      </c>
      <c r="AH487" s="5" t="str">
        <f ca="1">IFERROR(__xludf.DUMMYFUNCTION("""COMPUTED_VALUE"""),"No")</f>
        <v>No</v>
      </c>
      <c r="AI487" s="5" t="str">
        <f ca="1">IFERROR(__xludf.DUMMYFUNCTION("""COMPUTED_VALUE"""),"No")</f>
        <v>No</v>
      </c>
      <c r="AJ487" s="5" t="str">
        <f ca="1">IFERROR(__xludf.DUMMYFUNCTION("""COMPUTED_VALUE"""),"No")</f>
        <v>No</v>
      </c>
    </row>
    <row r="488" spans="1:36" ht="13">
      <c r="A488" s="5" t="str">
        <f ca="1">IFERROR(__xludf.DUMMYFUNCTION("""COMPUTED_VALUE"""),"20210921GAFRA")</f>
        <v>20210921GAFRA</v>
      </c>
      <c r="B488" s="5">
        <f ca="1">IFERROR(__xludf.DUMMYFUNCTION("""COMPUTED_VALUE"""),9)</f>
        <v>9</v>
      </c>
      <c r="C488" s="5">
        <f ca="1">IFERROR(__xludf.DUMMYFUNCTION("""COMPUTED_VALUE"""),21)</f>
        <v>21</v>
      </c>
      <c r="D488" s="5">
        <f ca="1">IFERROR(__xludf.DUMMYFUNCTION("""COMPUTED_VALUE"""),2021)</f>
        <v>2021</v>
      </c>
      <c r="E488" s="8">
        <f ca="1">IFERROR(__xludf.DUMMYFUNCTION("""COMPUTED_VALUE"""),44460)</f>
        <v>44460</v>
      </c>
      <c r="F488" s="5" t="str">
        <f ca="1">IFERROR(__xludf.DUMMYFUNCTION("""COMPUTED_VALUE"""),"Fred A. Toomer Elementary School")</f>
        <v>Fred A. Toomer Elementary School</v>
      </c>
      <c r="G488" s="5">
        <f ca="1">IFERROR(__xludf.DUMMYFUNCTION("""COMPUTED_VALUE"""),0)</f>
        <v>0</v>
      </c>
      <c r="H488" s="5">
        <f ca="1">IFERROR(__xludf.DUMMYFUNCTION("""COMPUTED_VALUE"""),0)</f>
        <v>0</v>
      </c>
      <c r="I488" s="5">
        <f ca="1">IFERROR(__xludf.DUMMYFUNCTION("""COMPUTED_VALUE"""),0)</f>
        <v>0</v>
      </c>
      <c r="J488" s="5">
        <f ca="1">IFERROR(__xludf.DUMMYFUNCTION("""COMPUTED_VALUE"""),0)</f>
        <v>0</v>
      </c>
      <c r="K488" s="9" t="str">
        <f ca="1">IFERROR(__xludf.DUMMYFUNCTION("""COMPUTED_VALUE"""),"https://decaturish.com/2021/09/argument-outside-toomer-elementary-leads-to-shots-fired-temporary-lockdown/")</f>
        <v>https://decaturish.com/2021/09/argument-outside-toomer-elementary-leads-to-shots-fired-temporary-lockdown/</v>
      </c>
      <c r="L488" s="5">
        <f ca="1">IFERROR(__xludf.DUMMYFUNCTION("""COMPUTED_VALUE"""),1)</f>
        <v>1</v>
      </c>
      <c r="M488" s="5" t="str">
        <f ca="1">IFERROR(__xludf.DUMMYFUNCTION("""COMPUTED_VALUE"""),"Local")</f>
        <v>Local</v>
      </c>
      <c r="N488" s="5">
        <f ca="1">IFERROR(__xludf.DUMMYFUNCTION("""COMPUTED_VALUE"""),3)</f>
        <v>3</v>
      </c>
      <c r="O488" s="5" t="str">
        <f ca="1">IFERROR(__xludf.DUMMYFUNCTION("""COMPUTED_VALUE"""),"Fall")</f>
        <v>Fall</v>
      </c>
      <c r="P488" s="5" t="str">
        <f ca="1">IFERROR(__xludf.DUMMYFUNCTION("""COMPUTED_VALUE"""),"Atlanta")</f>
        <v>Atlanta</v>
      </c>
      <c r="Q488" s="5" t="str">
        <f ca="1">IFERROR(__xludf.DUMMYFUNCTION("""COMPUTED_VALUE"""),"GA")</f>
        <v>GA</v>
      </c>
      <c r="R488" s="5" t="str">
        <f ca="1">IFERROR(__xludf.DUMMYFUNCTION("""COMPUTED_VALUE"""),"Elementary")</f>
        <v>Elementary</v>
      </c>
      <c r="S488" s="5" t="str">
        <f ca="1">IFERROR(__xludf.DUMMYFUNCTION("""COMPUTED_VALUE"""),"Outside on School Property")</f>
        <v>Outside on School Property</v>
      </c>
      <c r="T488" s="5" t="str">
        <f ca="1">IFERROR(__xludf.DUMMYFUNCTION("""COMPUTED_VALUE"""),"Outside on School Property")</f>
        <v>Outside on School Property</v>
      </c>
      <c r="U488" s="5" t="str">
        <f ca="1">IFERROR(__xludf.DUMMYFUNCTION("""COMPUTED_VALUE"""),"Yes")</f>
        <v>Yes</v>
      </c>
      <c r="V488" s="5" t="str">
        <f ca="1">IFERROR(__xludf.DUMMYFUNCTION("""COMPUTED_VALUE"""),"School Start")</f>
        <v>School Start</v>
      </c>
      <c r="W488" s="10">
        <f ca="1">IFERROR(__xludf.DUMMYFUNCTION("""COMPUTED_VALUE"""),0.322916666666666)</f>
        <v>0.32291666666666602</v>
      </c>
      <c r="X488" s="5">
        <f ca="1">IFERROR(__xludf.DUMMYFUNCTION("""COMPUTED_VALUE"""),1)</f>
        <v>1</v>
      </c>
      <c r="Y488" s="5" t="str">
        <f ca="1">IFERROR(__xludf.DUMMYFUNCTION("""COMPUTED_VALUE"""),"Shots fired during argument between parents")</f>
        <v>Shots fired during argument between parents</v>
      </c>
      <c r="Z488" s="5" t="str">
        <f ca="1">IFERROR(__xludf.DUMMYFUNCTION("""COMPUTED_VALUE"""),"Shots were fired outside of the school during an argument between parents. School was locked down. Shooter fled but was identified by police.")</f>
        <v>Shots were fired outside of the school during an argument between parents. School was locked down. Shooter fled but was identified by police.</v>
      </c>
      <c r="AA488" s="5" t="str">
        <f ca="1">IFERROR(__xludf.DUMMYFUNCTION("""COMPUTED_VALUE"""),"Escalation of Dispute")</f>
        <v>Escalation of Dispute</v>
      </c>
      <c r="AB488" s="5" t="str">
        <f ca="1">IFERROR(__xludf.DUMMYFUNCTION("""COMPUTED_VALUE"""),"Victims Targeted")</f>
        <v>Victims Targeted</v>
      </c>
      <c r="AC488" s="5" t="str">
        <f ca="1">IFERROR(__xludf.DUMMYFUNCTION("""COMPUTED_VALUE"""),"No")</f>
        <v>No</v>
      </c>
      <c r="AD488" s="5" t="str">
        <f ca="1">IFERROR(__xludf.DUMMYFUNCTION("""COMPUTED_VALUE"""),"No")</f>
        <v>No</v>
      </c>
      <c r="AE488" s="5" t="str">
        <f ca="1">IFERROR(__xludf.DUMMYFUNCTION("""COMPUTED_VALUE"""),"No")</f>
        <v>No</v>
      </c>
      <c r="AF488" s="5" t="str">
        <f ca="1">IFERROR(__xludf.DUMMYFUNCTION("""COMPUTED_VALUE"""),"No")</f>
        <v>No</v>
      </c>
      <c r="AG488" s="5" t="str">
        <f ca="1">IFERROR(__xludf.DUMMYFUNCTION("""COMPUTED_VALUE"""),"No")</f>
        <v>No</v>
      </c>
      <c r="AH488" s="5" t="str">
        <f ca="1">IFERROR(__xludf.DUMMYFUNCTION("""COMPUTED_VALUE"""),"No")</f>
        <v>No</v>
      </c>
      <c r="AI488" s="5" t="str">
        <f ca="1">IFERROR(__xludf.DUMMYFUNCTION("""COMPUTED_VALUE"""),"No")</f>
        <v>No</v>
      </c>
      <c r="AJ488" s="5" t="str">
        <f ca="1">IFERROR(__xludf.DUMMYFUNCTION("""COMPUTED_VALUE"""),"No")</f>
        <v>No</v>
      </c>
    </row>
    <row r="489" spans="1:36" ht="13">
      <c r="A489" s="5" t="str">
        <f ca="1">IFERROR(__xludf.DUMMYFUNCTION("""COMPUTED_VALUE"""),"20210921FLLAL")</f>
        <v>20210921FLLAL</v>
      </c>
      <c r="B489" s="5">
        <f ca="1">IFERROR(__xludf.DUMMYFUNCTION("""COMPUTED_VALUE"""),9)</f>
        <v>9</v>
      </c>
      <c r="C489" s="5">
        <f ca="1">IFERROR(__xludf.DUMMYFUNCTION("""COMPUTED_VALUE"""),21)</f>
        <v>21</v>
      </c>
      <c r="D489" s="5">
        <f ca="1">IFERROR(__xludf.DUMMYFUNCTION("""COMPUTED_VALUE"""),2021)</f>
        <v>2021</v>
      </c>
      <c r="E489" s="8">
        <f ca="1">IFERROR(__xludf.DUMMYFUNCTION("""COMPUTED_VALUE"""),44460)</f>
        <v>44460</v>
      </c>
      <c r="F489" s="5" t="str">
        <f ca="1">IFERROR(__xludf.DUMMYFUNCTION("""COMPUTED_VALUE"""),"Lake Asbury Elementary School")</f>
        <v>Lake Asbury Elementary School</v>
      </c>
      <c r="G489" s="5">
        <f ca="1">IFERROR(__xludf.DUMMYFUNCTION("""COMPUTED_VALUE"""),0)</f>
        <v>0</v>
      </c>
      <c r="H489" s="5">
        <f ca="1">IFERROR(__xludf.DUMMYFUNCTION("""COMPUTED_VALUE"""),0)</f>
        <v>0</v>
      </c>
      <c r="I489" s="5">
        <f ca="1">IFERROR(__xludf.DUMMYFUNCTION("""COMPUTED_VALUE"""),0)</f>
        <v>0</v>
      </c>
      <c r="J489" s="5">
        <f ca="1">IFERROR(__xludf.DUMMYFUNCTION("""COMPUTED_VALUE"""),0)</f>
        <v>0</v>
      </c>
      <c r="K489" s="5" t="str">
        <f ca="1">IFERROR(__xludf.DUMMYFUNCTION("""COMPUTED_VALUE"""),"https://www.actionnewsjax.com/news/local/search-person-who-shot-school-buses-with-bb-gun/f0db9bc2-2500-4047-963a-c3fcb2acd99f/ https://www.news4jax.com/news/local/2021/09/21/two-school-buses-shot-with-a-bb-gun-tuesday-morning/")</f>
        <v>https://www.actionnewsjax.com/news/local/search-person-who-shot-school-buses-with-bb-gun/f0db9bc2-2500-4047-963a-c3fcb2acd99f/ https://www.news4jax.com/news/local/2021/09/21/two-school-buses-shot-with-a-bb-gun-tuesday-morning/</v>
      </c>
      <c r="L489" s="5">
        <f ca="1">IFERROR(__xludf.DUMMYFUNCTION("""COMPUTED_VALUE"""),2)</f>
        <v>2</v>
      </c>
      <c r="M489" s="5" t="str">
        <f ca="1">IFERROR(__xludf.DUMMYFUNCTION("""COMPUTED_VALUE"""),"Local")</f>
        <v>Local</v>
      </c>
      <c r="N489" s="5">
        <f ca="1">IFERROR(__xludf.DUMMYFUNCTION("""COMPUTED_VALUE"""),4)</f>
        <v>4</v>
      </c>
      <c r="O489" s="5" t="str">
        <f ca="1">IFERROR(__xludf.DUMMYFUNCTION("""COMPUTED_VALUE"""),"Fall")</f>
        <v>Fall</v>
      </c>
      <c r="P489" s="5" t="str">
        <f ca="1">IFERROR(__xludf.DUMMYFUNCTION("""COMPUTED_VALUE"""),"Lake Asbury")</f>
        <v>Lake Asbury</v>
      </c>
      <c r="Q489" s="5" t="str">
        <f ca="1">IFERROR(__xludf.DUMMYFUNCTION("""COMPUTED_VALUE"""),"FL")</f>
        <v>FL</v>
      </c>
      <c r="R489" s="5" t="str">
        <f ca="1">IFERROR(__xludf.DUMMYFUNCTION("""COMPUTED_VALUE"""),"Elementary")</f>
        <v>Elementary</v>
      </c>
      <c r="S489" s="5" t="str">
        <f ca="1">IFERROR(__xludf.DUMMYFUNCTION("""COMPUTED_VALUE"""),"School Bus")</f>
        <v>School Bus</v>
      </c>
      <c r="T489" s="5" t="str">
        <f ca="1">IFERROR(__xludf.DUMMYFUNCTION("""COMPUTED_VALUE"""),"School Bus")</f>
        <v>School Bus</v>
      </c>
      <c r="U489" s="5" t="str">
        <f ca="1">IFERROR(__xludf.DUMMYFUNCTION("""COMPUTED_VALUE"""),"Yes")</f>
        <v>Yes</v>
      </c>
      <c r="V489" s="5" t="str">
        <f ca="1">IFERROR(__xludf.DUMMYFUNCTION("""COMPUTED_VALUE"""),"School Start")</f>
        <v>School Start</v>
      </c>
      <c r="W489" s="10">
        <f ca="1">IFERROR(__xludf.DUMMYFUNCTION("""COMPUTED_VALUE"""),0.246527777777777)</f>
        <v>0.24652777777777701</v>
      </c>
      <c r="X489" s="5">
        <f ca="1">IFERROR(__xludf.DUMMYFUNCTION("""COMPUTED_VALUE"""),10)</f>
        <v>10</v>
      </c>
      <c r="Y489" s="5" t="str">
        <f ca="1">IFERROR(__xludf.DUMMYFUNCTION("""COMPUTED_VALUE"""),"Windows of two occupied school buses broken by BBs")</f>
        <v>Windows of two occupied school buses broken by BBs</v>
      </c>
      <c r="Z489" s="5" t="str">
        <f ca="1">IFERROR(__xludf.DUMMYFUNCTION("""COMPUTED_VALUE"""),"Two school buses were shot with BBs 10 minutes apart near Lake Asbury Elementary School. The first bus was shot while parked. The second was shot on a nearby street. Both buses had a driver, monitor, and student on board. Shooter fled. No injuries.")</f>
        <v>Two school buses were shot with BBs 10 minutes apart near Lake Asbury Elementary School. The first bus was shot while parked. The second was shot on a nearby street. Both buses had a driver, monitor, and student on board. Shooter fled. No injuries.</v>
      </c>
      <c r="AA489" s="5" t="str">
        <f ca="1">IFERROR(__xludf.DUMMYFUNCTION("""COMPUTED_VALUE"""),"Intentional Property Damage")</f>
        <v>Intentional Property Damage</v>
      </c>
      <c r="AB489" s="5" t="str">
        <f ca="1">IFERROR(__xludf.DUMMYFUNCTION("""COMPUTED_VALUE"""),"Neither")</f>
        <v>Neither</v>
      </c>
      <c r="AC489" s="5" t="str">
        <f ca="1">IFERROR(__xludf.DUMMYFUNCTION("""COMPUTED_VALUE"""),"No")</f>
        <v>No</v>
      </c>
      <c r="AD489" s="5" t="str">
        <f ca="1">IFERROR(__xludf.DUMMYFUNCTION("""COMPUTED_VALUE"""),"No")</f>
        <v>No</v>
      </c>
      <c r="AE489" s="5" t="str">
        <f ca="1">IFERROR(__xludf.DUMMYFUNCTION("""COMPUTED_VALUE"""),"No")</f>
        <v>No</v>
      </c>
      <c r="AF489" s="5" t="str">
        <f ca="1">IFERROR(__xludf.DUMMYFUNCTION("""COMPUTED_VALUE"""),"No")</f>
        <v>No</v>
      </c>
      <c r="AG489" s="5" t="str">
        <f ca="1">IFERROR(__xludf.DUMMYFUNCTION("""COMPUTED_VALUE"""),"No")</f>
        <v>No</v>
      </c>
      <c r="AH489" s="5" t="str">
        <f ca="1">IFERROR(__xludf.DUMMYFUNCTION("""COMPUTED_VALUE"""),"No")</f>
        <v>No</v>
      </c>
      <c r="AI489" s="5" t="str">
        <f ca="1">IFERROR(__xludf.DUMMYFUNCTION("""COMPUTED_VALUE"""),"No")</f>
        <v>No</v>
      </c>
      <c r="AJ489" s="5" t="str">
        <f ca="1">IFERROR(__xludf.DUMMYFUNCTION("""COMPUTED_VALUE"""),"No")</f>
        <v>No</v>
      </c>
    </row>
    <row r="490" spans="1:36" ht="13">
      <c r="A490" s="5" t="str">
        <f ca="1">IFERROR(__xludf.DUMMYFUNCTION("""COMPUTED_VALUE"""),"20210920OHEAC")</f>
        <v>20210920OHEAC</v>
      </c>
      <c r="B490" s="5">
        <f ca="1">IFERROR(__xludf.DUMMYFUNCTION("""COMPUTED_VALUE"""),9)</f>
        <v>9</v>
      </c>
      <c r="C490" s="5">
        <f ca="1">IFERROR(__xludf.DUMMYFUNCTION("""COMPUTED_VALUE"""),20)</f>
        <v>20</v>
      </c>
      <c r="D490" s="5">
        <f ca="1">IFERROR(__xludf.DUMMYFUNCTION("""COMPUTED_VALUE"""),2021)</f>
        <v>2021</v>
      </c>
      <c r="E490" s="8">
        <f ca="1">IFERROR(__xludf.DUMMYFUNCTION("""COMPUTED_VALUE"""),44459)</f>
        <v>44459</v>
      </c>
      <c r="F490" s="5" t="str">
        <f ca="1">IFERROR(__xludf.DUMMYFUNCTION("""COMPUTED_VALUE"""),"Eastside Arts Academy")</f>
        <v>Eastside Arts Academy</v>
      </c>
      <c r="G490" s="5">
        <f ca="1">IFERROR(__xludf.DUMMYFUNCTION("""COMPUTED_VALUE"""),0)</f>
        <v>0</v>
      </c>
      <c r="H490" s="5">
        <f ca="1">IFERROR(__xludf.DUMMYFUNCTION("""COMPUTED_VALUE"""),3)</f>
        <v>3</v>
      </c>
      <c r="I490" s="5">
        <f ca="1">IFERROR(__xludf.DUMMYFUNCTION("""COMPUTED_VALUE"""),3)</f>
        <v>3</v>
      </c>
      <c r="J490" s="5">
        <f ca="1">IFERROR(__xludf.DUMMYFUNCTION("""COMPUTED_VALUE"""),0)</f>
        <v>0</v>
      </c>
      <c r="K490" s="9" t="str">
        <f ca="1">IFERROR(__xludf.DUMMYFUNCTION("""COMPUTED_VALUE"""),"https://www.news5cleveland.com/news/local-news/cleveland-metro/teens-shot-near-k-6-school-in-clevelands-broadway-slavic-village-neighborhood")</f>
        <v>https://www.news5cleveland.com/news/local-news/cleveland-metro/teens-shot-near-k-6-school-in-clevelands-broadway-slavic-village-neighborhood</v>
      </c>
      <c r="L490" s="5">
        <f ca="1">IFERROR(__xludf.DUMMYFUNCTION("""COMPUTED_VALUE"""),1)</f>
        <v>1</v>
      </c>
      <c r="M490" s="5" t="str">
        <f ca="1">IFERROR(__xludf.DUMMYFUNCTION("""COMPUTED_VALUE"""),"Local")</f>
        <v>Local</v>
      </c>
      <c r="N490" s="5">
        <f ca="1">IFERROR(__xludf.DUMMYFUNCTION("""COMPUTED_VALUE"""),3)</f>
        <v>3</v>
      </c>
      <c r="O490" s="5" t="str">
        <f ca="1">IFERROR(__xludf.DUMMYFUNCTION("""COMPUTED_VALUE"""),"Fall")</f>
        <v>Fall</v>
      </c>
      <c r="P490" s="5" t="str">
        <f ca="1">IFERROR(__xludf.DUMMYFUNCTION("""COMPUTED_VALUE"""),"Cleveland")</f>
        <v>Cleveland</v>
      </c>
      <c r="Q490" s="5" t="str">
        <f ca="1">IFERROR(__xludf.DUMMYFUNCTION("""COMPUTED_VALUE"""),"OH")</f>
        <v>OH</v>
      </c>
      <c r="R490" s="5" t="str">
        <f ca="1">IFERROR(__xludf.DUMMYFUNCTION("""COMPUTED_VALUE"""),"Elementary")</f>
        <v>Elementary</v>
      </c>
      <c r="S490" s="5" t="str">
        <f ca="1">IFERROR(__xludf.DUMMYFUNCTION("""COMPUTED_VALUE"""),"Playground")</f>
        <v>Playground</v>
      </c>
      <c r="T490" s="5" t="str">
        <f ca="1">IFERROR(__xludf.DUMMYFUNCTION("""COMPUTED_VALUE"""),"Outside on School Property")</f>
        <v>Outside on School Property</v>
      </c>
      <c r="U490" s="5" t="str">
        <f ca="1">IFERROR(__xludf.DUMMYFUNCTION("""COMPUTED_VALUE"""),"No")</f>
        <v>No</v>
      </c>
      <c r="V490" s="5" t="str">
        <f ca="1">IFERROR(__xludf.DUMMYFUNCTION("""COMPUTED_VALUE"""),"Evening")</f>
        <v>Evening</v>
      </c>
      <c r="W490" s="10">
        <f ca="1">IFERROR(__xludf.DUMMYFUNCTION("""COMPUTED_VALUE"""),0.751388888888888)</f>
        <v>0.751388888888888</v>
      </c>
      <c r="X490" s="5">
        <f ca="1">IFERROR(__xludf.DUMMYFUNCTION("""COMPUTED_VALUE"""),1)</f>
        <v>1</v>
      </c>
      <c r="Y490" s="5" t="str">
        <f ca="1">IFERROR(__xludf.DUMMYFUNCTION("""COMPUTED_VALUE"""),"Three teens shot on the school playground")</f>
        <v>Three teens shot on the school playground</v>
      </c>
      <c r="Z490" s="5" t="str">
        <f ca="1">IFERROR(__xludf.DUMMYFUNCTION("""COMPUTED_VALUE"""),"Three male teens (14, 15, and 19) shot on the playground of the school. Two male shooters fled the scene.")</f>
        <v>Three male teens (14, 15, and 19) shot on the playground of the school. Two male shooters fled the scene.</v>
      </c>
      <c r="AA490" s="5"/>
      <c r="AB490" s="5"/>
      <c r="AC490" s="5" t="str">
        <f ca="1">IFERROR(__xludf.DUMMYFUNCTION("""COMPUTED_VALUE"""),"Yes")</f>
        <v>Yes</v>
      </c>
      <c r="AD490" s="5" t="str">
        <f ca="1">IFERROR(__xludf.DUMMYFUNCTION("""COMPUTED_VALUE"""),"No")</f>
        <v>No</v>
      </c>
      <c r="AE490" s="5" t="str">
        <f ca="1">IFERROR(__xludf.DUMMYFUNCTION("""COMPUTED_VALUE"""),"No")</f>
        <v>No</v>
      </c>
      <c r="AF490" s="5" t="str">
        <f ca="1">IFERROR(__xludf.DUMMYFUNCTION("""COMPUTED_VALUE"""),"No")</f>
        <v>No</v>
      </c>
      <c r="AG490" s="5" t="str">
        <f ca="1">IFERROR(__xludf.DUMMYFUNCTION("""COMPUTED_VALUE"""),"No")</f>
        <v>No</v>
      </c>
      <c r="AH490" s="5" t="str">
        <f ca="1">IFERROR(__xludf.DUMMYFUNCTION("""COMPUTED_VALUE"""),"No")</f>
        <v>No</v>
      </c>
      <c r="AI490" s="5"/>
      <c r="AJ490" s="5" t="str">
        <f ca="1">IFERROR(__xludf.DUMMYFUNCTION("""COMPUTED_VALUE"""),"No")</f>
        <v>No</v>
      </c>
    </row>
    <row r="491" spans="1:36" ht="13">
      <c r="A491" s="5" t="str">
        <f ca="1">IFERROR(__xludf.DUMMYFUNCTION("""COMPUTED_VALUE"""),"20210920VAHEN")</f>
        <v>20210920VAHEN</v>
      </c>
      <c r="B491" s="5">
        <f ca="1">IFERROR(__xludf.DUMMYFUNCTION("""COMPUTED_VALUE"""),9)</f>
        <v>9</v>
      </c>
      <c r="C491" s="5">
        <f ca="1">IFERROR(__xludf.DUMMYFUNCTION("""COMPUTED_VALUE"""),20)</f>
        <v>20</v>
      </c>
      <c r="D491" s="5">
        <f ca="1">IFERROR(__xludf.DUMMYFUNCTION("""COMPUTED_VALUE"""),2021)</f>
        <v>2021</v>
      </c>
      <c r="E491" s="8">
        <f ca="1">IFERROR(__xludf.DUMMYFUNCTION("""COMPUTED_VALUE"""),44459)</f>
        <v>44459</v>
      </c>
      <c r="F491" s="5" t="str">
        <f ca="1">IFERROR(__xludf.DUMMYFUNCTION("""COMPUTED_VALUE"""),"Heritage High School")</f>
        <v>Heritage High School</v>
      </c>
      <c r="G491" s="5">
        <f ca="1">IFERROR(__xludf.DUMMYFUNCTION("""COMPUTED_VALUE"""),0)</f>
        <v>0</v>
      </c>
      <c r="H491" s="5">
        <f ca="1">IFERROR(__xludf.DUMMYFUNCTION("""COMPUTED_VALUE"""),2)</f>
        <v>2</v>
      </c>
      <c r="I491" s="5">
        <f ca="1">IFERROR(__xludf.DUMMYFUNCTION("""COMPUTED_VALUE"""),2)</f>
        <v>2</v>
      </c>
      <c r="J491" s="5">
        <f ca="1">IFERROR(__xludf.DUMMYFUNCTION("""COMPUTED_VALUE"""),0)</f>
        <v>0</v>
      </c>
      <c r="K491" s="5" t="str">
        <f ca="1">IFERROR(__xludf.DUMMYFUNCTION("""COMPUTED_VALUE"""),"https://www.13newsnow.com/article/news/local/mycity/newport-news/heritage-high-school-newport-news-shooting/291-e693fea3-4515-4b3d-a3a9-79363c7bc4e5 https://www.blackhillsfox.com/2021/09/21/police-teen-charged-high-school-shooting-that-wounded-2/ https://"&amp;"www.ksn.com/news/local/2-shot-near-east-high-school/ https://www.wavy.com/news/investigative/accused-heritage-high-shooter-fought-victim-was-wearing-tracking-bracelet-court-docs-show/")</f>
        <v>https://www.13newsnow.com/article/news/local/mycity/newport-news/heritage-high-school-newport-news-shooting/291-e693fea3-4515-4b3d-a3a9-79363c7bc4e5 https://www.blackhillsfox.com/2021/09/21/police-teen-charged-high-school-shooting-that-wounded-2/ https://www.ksn.com/news/local/2-shot-near-east-high-school/ https://www.wavy.com/news/investigative/accused-heritage-high-shooter-fought-victim-was-wearing-tracking-bracelet-court-docs-show/</v>
      </c>
      <c r="L491" s="5">
        <f ca="1">IFERROR(__xludf.DUMMYFUNCTION("""COMPUTED_VALUE"""),999)</f>
        <v>999</v>
      </c>
      <c r="M491" s="5" t="str">
        <f ca="1">IFERROR(__xludf.DUMMYFUNCTION("""COMPUTED_VALUE"""),"International")</f>
        <v>International</v>
      </c>
      <c r="N491" s="5">
        <f ca="1">IFERROR(__xludf.DUMMYFUNCTION("""COMPUTED_VALUE"""),4)</f>
        <v>4</v>
      </c>
      <c r="O491" s="5" t="str">
        <f ca="1">IFERROR(__xludf.DUMMYFUNCTION("""COMPUTED_VALUE"""),"Fall")</f>
        <v>Fall</v>
      </c>
      <c r="P491" s="5" t="str">
        <f ca="1">IFERROR(__xludf.DUMMYFUNCTION("""COMPUTED_VALUE"""),"Newport News")</f>
        <v>Newport News</v>
      </c>
      <c r="Q491" s="5" t="str">
        <f ca="1">IFERROR(__xludf.DUMMYFUNCTION("""COMPUTED_VALUE"""),"VA")</f>
        <v>VA</v>
      </c>
      <c r="R491" s="5" t="str">
        <f ca="1">IFERROR(__xludf.DUMMYFUNCTION("""COMPUTED_VALUE"""),"High")</f>
        <v>High</v>
      </c>
      <c r="S491" s="5" t="str">
        <f ca="1">IFERROR(__xludf.DUMMYFUNCTION("""COMPUTED_VALUE"""),"Hallway")</f>
        <v>Hallway</v>
      </c>
      <c r="T491" s="5" t="str">
        <f ca="1">IFERROR(__xludf.DUMMYFUNCTION("""COMPUTED_VALUE"""),"Inside School Building")</f>
        <v>Inside School Building</v>
      </c>
      <c r="U491" s="5" t="str">
        <f ca="1">IFERROR(__xludf.DUMMYFUNCTION("""COMPUTED_VALUE"""),"Yes")</f>
        <v>Yes</v>
      </c>
      <c r="V491" s="5" t="str">
        <f ca="1">IFERROR(__xludf.DUMMYFUNCTION("""COMPUTED_VALUE"""),"Lunch")</f>
        <v>Lunch</v>
      </c>
      <c r="W491" s="10">
        <f ca="1">IFERROR(__xludf.DUMMYFUNCTION("""COMPUTED_VALUE"""),0.486111111111111)</f>
        <v>0.48611111111111099</v>
      </c>
      <c r="X491" s="5">
        <f ca="1">IFERROR(__xludf.DUMMYFUNCTION("""COMPUTED_VALUE"""),1)</f>
        <v>1</v>
      </c>
      <c r="Y491" s="5" t="str">
        <f ca="1">IFERROR(__xludf.DUMMYFUNCTION("""COMPUTED_VALUE"""),"Student shot two other students during fight in hallway then fled")</f>
        <v>Student shot two other students during fight in hallway then fled</v>
      </c>
      <c r="Z491" s="5" t="str">
        <f ca="1">IFERROR(__xludf.DUMMYFUNCTION("""COMPUTED_VALUE"""),"A 15-year-old student had a physical altercation with a 17-year-old student in the hallway. A staff member broke up the fight. The 15-year-old then pulled a gun from his waistband and fired multiple shots at the 17-year-old victim striking him in the head"&amp;", leg, and hand. One shot struck a 17-year-old female student in the leg who was walking in the hallway. Shooter fled the scene, put gun inside of a backpack and threw it in a trashcan outside of the school, and ran to his house. The shooter was identifie"&amp;"d from CCTV footage and personal documents in the backpack with the gun. The shooter was wearing an ankle monitor from a Juvenile Detention program and was tracked to his home with GPS. School was locked down and dismissed. Classes were cancelled the foll"&amp;"owing day.")</f>
        <v>A 15-year-old student had a physical altercation with a 17-year-old student in the hallway. A staff member broke up the fight. The 15-year-old then pulled a gun from his waistband and fired multiple shots at the 17-year-old victim striking him in the head, leg, and hand. One shot struck a 17-year-old female student in the leg who was walking in the hallway. Shooter fled the scene, put gun inside of a backpack and threw it in a trashcan outside of the school, and ran to his house. The shooter was identified from CCTV footage and personal documents in the backpack with the gun. The shooter was wearing an ankle monitor from a Juvenile Detention program and was tracked to his home with GPS. School was locked down and dismissed. Classes were cancelled the following day.</v>
      </c>
      <c r="AA491" s="5" t="str">
        <f ca="1">IFERROR(__xludf.DUMMYFUNCTION("""COMPUTED_VALUE"""),"Escalation of Dispute")</f>
        <v>Escalation of Dispute</v>
      </c>
      <c r="AB491" s="5" t="str">
        <f ca="1">IFERROR(__xludf.DUMMYFUNCTION("""COMPUTED_VALUE"""),"Both")</f>
        <v>Both</v>
      </c>
      <c r="AC491" s="5" t="str">
        <f ca="1">IFERROR(__xludf.DUMMYFUNCTION("""COMPUTED_VALUE"""),"No")</f>
        <v>No</v>
      </c>
      <c r="AD491" s="5" t="str">
        <f ca="1">IFERROR(__xludf.DUMMYFUNCTION("""COMPUTED_VALUE"""),"No")</f>
        <v>No</v>
      </c>
      <c r="AE491" s="5" t="str">
        <f ca="1">IFERROR(__xludf.DUMMYFUNCTION("""COMPUTED_VALUE"""),"No")</f>
        <v>No</v>
      </c>
      <c r="AF491" s="5" t="str">
        <f ca="1">IFERROR(__xludf.DUMMYFUNCTION("""COMPUTED_VALUE"""),"No")</f>
        <v>No</v>
      </c>
      <c r="AG491" s="5" t="str">
        <f ca="1">IFERROR(__xludf.DUMMYFUNCTION("""COMPUTED_VALUE"""),"No")</f>
        <v>No</v>
      </c>
      <c r="AH491" s="5" t="str">
        <f ca="1">IFERROR(__xludf.DUMMYFUNCTION("""COMPUTED_VALUE"""),"No")</f>
        <v>No</v>
      </c>
      <c r="AI491" s="5"/>
      <c r="AJ491" s="5" t="str">
        <f ca="1">IFERROR(__xludf.DUMMYFUNCTION("""COMPUTED_VALUE"""),"No")</f>
        <v>No</v>
      </c>
    </row>
    <row r="492" spans="1:36" ht="13">
      <c r="A492" s="5" t="str">
        <f ca="1">IFERROR(__xludf.DUMMYFUNCTION("""COMPUTED_VALUE"""),"20210918COWIC")</f>
        <v>20210918COWIC</v>
      </c>
      <c r="B492" s="5">
        <f ca="1">IFERROR(__xludf.DUMMYFUNCTION("""COMPUTED_VALUE"""),9)</f>
        <v>9</v>
      </c>
      <c r="C492" s="5">
        <f ca="1">IFERROR(__xludf.DUMMYFUNCTION("""COMPUTED_VALUE"""),18)</f>
        <v>18</v>
      </c>
      <c r="D492" s="5">
        <f ca="1">IFERROR(__xludf.DUMMYFUNCTION("""COMPUTED_VALUE"""),2021)</f>
        <v>2021</v>
      </c>
      <c r="E492" s="8">
        <f ca="1">IFERROR(__xludf.DUMMYFUNCTION("""COMPUTED_VALUE"""),44457)</f>
        <v>44457</v>
      </c>
      <c r="F492" s="5" t="str">
        <f ca="1">IFERROR(__xludf.DUMMYFUNCTION("""COMPUTED_VALUE"""),"Widefield High School")</f>
        <v>Widefield High School</v>
      </c>
      <c r="G492" s="5">
        <f ca="1">IFERROR(__xludf.DUMMYFUNCTION("""COMPUTED_VALUE"""),0)</f>
        <v>0</v>
      </c>
      <c r="H492" s="5">
        <f ca="1">IFERROR(__xludf.DUMMYFUNCTION("""COMPUTED_VALUE"""),3)</f>
        <v>3</v>
      </c>
      <c r="I492" s="5">
        <f ca="1">IFERROR(__xludf.DUMMYFUNCTION("""COMPUTED_VALUE"""),3)</f>
        <v>3</v>
      </c>
      <c r="J492" s="5">
        <f ca="1">IFERROR(__xludf.DUMMYFUNCTION("""COMPUTED_VALUE"""),0)</f>
        <v>0</v>
      </c>
      <c r="K492" s="5" t="str">
        <f ca="1">IFERROR(__xludf.DUMMYFUNCTION("""COMPUTED_VALUE"""),"https://gazette.com/news/crime/shooting-reported-near-widefield-high-school/article_e947c64a-18e4-11ec-93c7-f3fbaa5d47b1.html https://www.koaa.com/news/covering-colorado/law-enforcement-investigating-shooting-near-widefield-high-school https://www.kktv.co"&amp;"m/2021/09/19/law-enforcement-respond-shooting-near-widefield-high-school/ https://krdo.com/news/2021/09/18/two-juveniles-shot-near-widefield-high-school-saturday-afternoon/")</f>
        <v>https://gazette.com/news/crime/shooting-reported-near-widefield-high-school/article_e947c64a-18e4-11ec-93c7-f3fbaa5d47b1.html https://www.koaa.com/news/covering-colorado/law-enforcement-investigating-shooting-near-widefield-high-school https://www.kktv.com/2021/09/19/law-enforcement-respond-shooting-near-widefield-high-school/ https://krdo.com/news/2021/09/18/two-juveniles-shot-near-widefield-high-school-saturday-afternoon/</v>
      </c>
      <c r="L492" s="5">
        <f ca="1">IFERROR(__xludf.DUMMYFUNCTION("""COMPUTED_VALUE"""),10)</f>
        <v>10</v>
      </c>
      <c r="M492" s="5" t="str">
        <f ca="1">IFERROR(__xludf.DUMMYFUNCTION("""COMPUTED_VALUE"""),"Local")</f>
        <v>Local</v>
      </c>
      <c r="N492" s="5">
        <f ca="1">IFERROR(__xludf.DUMMYFUNCTION("""COMPUTED_VALUE"""),4)</f>
        <v>4</v>
      </c>
      <c r="O492" s="5" t="str">
        <f ca="1">IFERROR(__xludf.DUMMYFUNCTION("""COMPUTED_VALUE"""),"Fall")</f>
        <v>Fall</v>
      </c>
      <c r="P492" s="5" t="str">
        <f ca="1">IFERROR(__xludf.DUMMYFUNCTION("""COMPUTED_VALUE"""),"Colorado Springs")</f>
        <v>Colorado Springs</v>
      </c>
      <c r="Q492" s="5" t="str">
        <f ca="1">IFERROR(__xludf.DUMMYFUNCTION("""COMPUTED_VALUE"""),"CO")</f>
        <v>CO</v>
      </c>
      <c r="R492" s="5" t="str">
        <f ca="1">IFERROR(__xludf.DUMMYFUNCTION("""COMPUTED_VALUE"""),"High")</f>
        <v>High</v>
      </c>
      <c r="S492" s="5" t="str">
        <f ca="1">IFERROR(__xludf.DUMMYFUNCTION("""COMPUTED_VALUE"""),"Parking Lot")</f>
        <v>Parking Lot</v>
      </c>
      <c r="T492" s="5" t="str">
        <f ca="1">IFERROR(__xludf.DUMMYFUNCTION("""COMPUTED_VALUE"""),"Outside on School Property")</f>
        <v>Outside on School Property</v>
      </c>
      <c r="U492" s="5" t="str">
        <f ca="1">IFERROR(__xludf.DUMMYFUNCTION("""COMPUTED_VALUE"""),"No")</f>
        <v>No</v>
      </c>
      <c r="V492" s="5" t="str">
        <f ca="1">IFERROR(__xludf.DUMMYFUNCTION("""COMPUTED_VALUE"""),"Sport Event")</f>
        <v>Sport Event</v>
      </c>
      <c r="W492" s="10">
        <f ca="1">IFERROR(__xludf.DUMMYFUNCTION("""COMPUTED_VALUE"""),0.68125)</f>
        <v>0.68125000000000002</v>
      </c>
      <c r="X492" s="5">
        <f ca="1">IFERROR(__xludf.DUMMYFUNCTION("""COMPUTED_VALUE"""),1)</f>
        <v>1</v>
      </c>
      <c r="Y492" s="5" t="str">
        <f ca="1">IFERROR(__xludf.DUMMYFUNCTION("""COMPUTED_VALUE"""),"2 teens and 1 adult shot in the parking lot at the end of a football game")</f>
        <v>2 teens and 1 adult shot in the parking lot at the end of a football game</v>
      </c>
      <c r="Z492" s="5" t="str">
        <f ca="1">IFERROR(__xludf.DUMMYFUNCTION("""COMPUTED_VALUE"""),"Two teens and one adult were shot in the parking lot of the high school at the end of a football game. Motive unknown. Shooter fled.")</f>
        <v>Two teens and one adult were shot in the parking lot of the high school at the end of a football game. Motive unknown. Shooter fled.</v>
      </c>
      <c r="AA492" s="5"/>
      <c r="AB492" s="5" t="str">
        <f ca="1">IFERROR(__xludf.DUMMYFUNCTION("""COMPUTED_VALUE"""),"Both")</f>
        <v>Both</v>
      </c>
      <c r="AC492" s="5" t="str">
        <f ca="1">IFERROR(__xludf.DUMMYFUNCTION("""COMPUTED_VALUE"""),"No")</f>
        <v>No</v>
      </c>
      <c r="AD492" s="5" t="str">
        <f ca="1">IFERROR(__xludf.DUMMYFUNCTION("""COMPUTED_VALUE"""),"No")</f>
        <v>No</v>
      </c>
      <c r="AE492" s="5" t="str">
        <f ca="1">IFERROR(__xludf.DUMMYFUNCTION("""COMPUTED_VALUE"""),"No")</f>
        <v>No</v>
      </c>
      <c r="AF492" s="5" t="str">
        <f ca="1">IFERROR(__xludf.DUMMYFUNCTION("""COMPUTED_VALUE"""),"No")</f>
        <v>No</v>
      </c>
      <c r="AG492" s="5" t="str">
        <f ca="1">IFERROR(__xludf.DUMMYFUNCTION("""COMPUTED_VALUE"""),"No")</f>
        <v>No</v>
      </c>
      <c r="AH492" s="5" t="str">
        <f ca="1">IFERROR(__xludf.DUMMYFUNCTION("""COMPUTED_VALUE"""),"No")</f>
        <v>No</v>
      </c>
      <c r="AI492" s="5"/>
      <c r="AJ492" s="5" t="str">
        <f ca="1">IFERROR(__xludf.DUMMYFUNCTION("""COMPUTED_VALUE"""),"No")</f>
        <v>No</v>
      </c>
    </row>
    <row r="493" spans="1:36" ht="13">
      <c r="A493" s="5" t="str">
        <f ca="1">IFERROR(__xludf.DUMMYFUNCTION("""COMPUTED_VALUE"""),"20210917NCPAW")</f>
        <v>20210917NCPAW</v>
      </c>
      <c r="B493" s="5">
        <f ca="1">IFERROR(__xludf.DUMMYFUNCTION("""COMPUTED_VALUE"""),9)</f>
        <v>9</v>
      </c>
      <c r="C493" s="5">
        <f ca="1">IFERROR(__xludf.DUMMYFUNCTION("""COMPUTED_VALUE"""),17)</f>
        <v>17</v>
      </c>
      <c r="D493" s="5">
        <f ca="1">IFERROR(__xludf.DUMMYFUNCTION("""COMPUTED_VALUE"""),2021)</f>
        <v>2021</v>
      </c>
      <c r="E493" s="8">
        <f ca="1">IFERROR(__xludf.DUMMYFUNCTION("""COMPUTED_VALUE"""),44456)</f>
        <v>44456</v>
      </c>
      <c r="F493" s="5" t="str">
        <f ca="1">IFERROR(__xludf.DUMMYFUNCTION("""COMPUTED_VALUE"""),"Parkland High School")</f>
        <v>Parkland High School</v>
      </c>
      <c r="G493" s="5">
        <f ca="1">IFERROR(__xludf.DUMMYFUNCTION("""COMPUTED_VALUE"""),0)</f>
        <v>0</v>
      </c>
      <c r="H493" s="5">
        <f ca="1">IFERROR(__xludf.DUMMYFUNCTION("""COMPUTED_VALUE"""),0)</f>
        <v>0</v>
      </c>
      <c r="I493" s="5">
        <f ca="1">IFERROR(__xludf.DUMMYFUNCTION("""COMPUTED_VALUE"""),0)</f>
        <v>0</v>
      </c>
      <c r="J493" s="5">
        <f ca="1">IFERROR(__xludf.DUMMYFUNCTION("""COMPUTED_VALUE"""),0)</f>
        <v>0</v>
      </c>
      <c r="K493" s="5" t="str">
        <f ca="1">IFERROR(__xludf.DUMMYFUNCTION("""COMPUTED_VALUE"""),"https://journalnow.com/news/local/crime-and-courts/police-respond-to-report-of-shots-fired-at-parkland-high-school-in-winston-salem/article_0fc90d20-17f4-11ec-97fb-6f678d3492db.html https://myfox8.com/news/north-carolina/piedmont-triad/parkland-high-schoo"&amp;"l-on-lockdown-as-police-investigate-in-area/ https://www.wect.com/2021/09/17/gunman-opens-fire-toward-students-winston-salem-high-school/")</f>
        <v>https://journalnow.com/news/local/crime-and-courts/police-respond-to-report-of-shots-fired-at-parkland-high-school-in-winston-salem/article_0fc90d20-17f4-11ec-97fb-6f678d3492db.html https://myfox8.com/news/north-carolina/piedmont-triad/parkland-high-school-on-lockdown-as-police-investigate-in-area/ https://www.wect.com/2021/09/17/gunman-opens-fire-toward-students-winston-salem-high-school/</v>
      </c>
      <c r="L493" s="5">
        <f ca="1">IFERROR(__xludf.DUMMYFUNCTION("""COMPUTED_VALUE"""),5)</f>
        <v>5</v>
      </c>
      <c r="M493" s="5" t="str">
        <f ca="1">IFERROR(__xludf.DUMMYFUNCTION("""COMPUTED_VALUE"""),"Local")</f>
        <v>Local</v>
      </c>
      <c r="N493" s="5">
        <f ca="1">IFERROR(__xludf.DUMMYFUNCTION("""COMPUTED_VALUE"""),4)</f>
        <v>4</v>
      </c>
      <c r="O493" s="5" t="str">
        <f ca="1">IFERROR(__xludf.DUMMYFUNCTION("""COMPUTED_VALUE"""),"Fall")</f>
        <v>Fall</v>
      </c>
      <c r="P493" s="5" t="str">
        <f ca="1">IFERROR(__xludf.DUMMYFUNCTION("""COMPUTED_VALUE"""),"Winston-Salem")</f>
        <v>Winston-Salem</v>
      </c>
      <c r="Q493" s="5" t="str">
        <f ca="1">IFERROR(__xludf.DUMMYFUNCTION("""COMPUTED_VALUE"""),"NC")</f>
        <v>NC</v>
      </c>
      <c r="R493" s="5" t="str">
        <f ca="1">IFERROR(__xludf.DUMMYFUNCTION("""COMPUTED_VALUE"""),"High")</f>
        <v>High</v>
      </c>
      <c r="S493" s="5" t="str">
        <f ca="1">IFERROR(__xludf.DUMMYFUNCTION("""COMPUTED_VALUE"""),"Field (General)")</f>
        <v>Field (General)</v>
      </c>
      <c r="T493" s="5" t="str">
        <f ca="1">IFERROR(__xludf.DUMMYFUNCTION("""COMPUTED_VALUE"""),"Outside on School Property")</f>
        <v>Outside on School Property</v>
      </c>
      <c r="U493" s="5" t="str">
        <f ca="1">IFERROR(__xludf.DUMMYFUNCTION("""COMPUTED_VALUE"""),"Yes")</f>
        <v>Yes</v>
      </c>
      <c r="V493" s="5" t="str">
        <f ca="1">IFERROR(__xludf.DUMMYFUNCTION("""COMPUTED_VALUE"""),"After School")</f>
        <v>After School</v>
      </c>
      <c r="W493" s="10">
        <f ca="1">IFERROR(__xludf.DUMMYFUNCTION("""COMPUTED_VALUE"""),0.666666666666666)</f>
        <v>0.66666666666666596</v>
      </c>
      <c r="X493" s="5">
        <f ca="1">IFERROR(__xludf.DUMMYFUNCTION("""COMPUTED_VALUE"""),1)</f>
        <v>1</v>
      </c>
      <c r="Y493" s="5" t="str">
        <f ca="1">IFERROR(__xludf.DUMMYFUNCTION("""COMPUTED_VALUE"""),"Shots fired toward the school building during a fight between 30 teens")</f>
        <v>Shots fired toward the school building during a fight between 30 teens</v>
      </c>
      <c r="Z493" s="5" t="str">
        <f ca="1">IFERROR(__xludf.DUMMYFUNCTION("""COMPUTED_VALUE"""),"Students were outside of the school for after school activities when a gunman fired shots during a fight between 30 people. Students ran back inside the school building to lockdown. Shooter fled the area.")</f>
        <v>Students were outside of the school for after school activities when a gunman fired shots during a fight between 30 people. Students ran back inside the school building to lockdown. Shooter fled the area.</v>
      </c>
      <c r="AA493" s="5" t="str">
        <f ca="1">IFERROR(__xludf.DUMMYFUNCTION("""COMPUTED_VALUE"""),"Escalation of Dispute")</f>
        <v>Escalation of Dispute</v>
      </c>
      <c r="AB493" s="5" t="str">
        <f ca="1">IFERROR(__xludf.DUMMYFUNCTION("""COMPUTED_VALUE"""),"Random Shooting")</f>
        <v>Random Shooting</v>
      </c>
      <c r="AC493" s="5" t="str">
        <f ca="1">IFERROR(__xludf.DUMMYFUNCTION("""COMPUTED_VALUE"""),"No")</f>
        <v>No</v>
      </c>
      <c r="AD493" s="5" t="str">
        <f ca="1">IFERROR(__xludf.DUMMYFUNCTION("""COMPUTED_VALUE"""),"No")</f>
        <v>No</v>
      </c>
      <c r="AE493" s="5" t="str">
        <f ca="1">IFERROR(__xludf.DUMMYFUNCTION("""COMPUTED_VALUE"""),"No")</f>
        <v>No</v>
      </c>
      <c r="AF493" s="5" t="str">
        <f ca="1">IFERROR(__xludf.DUMMYFUNCTION("""COMPUTED_VALUE"""),"No")</f>
        <v>No</v>
      </c>
      <c r="AG493" s="5" t="str">
        <f ca="1">IFERROR(__xludf.DUMMYFUNCTION("""COMPUTED_VALUE"""),"No")</f>
        <v>No</v>
      </c>
      <c r="AH493" s="5" t="str">
        <f ca="1">IFERROR(__xludf.DUMMYFUNCTION("""COMPUTED_VALUE"""),"No")</f>
        <v>No</v>
      </c>
      <c r="AI493" s="5"/>
      <c r="AJ493" s="5" t="str">
        <f ca="1">IFERROR(__xludf.DUMMYFUNCTION("""COMPUTED_VALUE"""),"No")</f>
        <v>No</v>
      </c>
    </row>
    <row r="494" spans="1:36" ht="13">
      <c r="A494" s="5" t="str">
        <f ca="1">IFERROR(__xludf.DUMMYFUNCTION("""COMPUTED_VALUE"""),"20210917VAHEH")</f>
        <v>20210917VAHEH</v>
      </c>
      <c r="B494" s="5">
        <f ca="1">IFERROR(__xludf.DUMMYFUNCTION("""COMPUTED_VALUE"""),9)</f>
        <v>9</v>
      </c>
      <c r="C494" s="5">
        <f ca="1">IFERROR(__xludf.DUMMYFUNCTION("""COMPUTED_VALUE"""),17)</f>
        <v>17</v>
      </c>
      <c r="D494" s="5">
        <f ca="1">IFERROR(__xludf.DUMMYFUNCTION("""COMPUTED_VALUE"""),2021)</f>
        <v>2021</v>
      </c>
      <c r="E494" s="8">
        <f ca="1">IFERROR(__xludf.DUMMYFUNCTION("""COMPUTED_VALUE"""),44456)</f>
        <v>44456</v>
      </c>
      <c r="F494" s="5" t="str">
        <f ca="1">IFERROR(__xludf.DUMMYFUNCTION("""COMPUTED_VALUE"""),"Hermitage High School")</f>
        <v>Hermitage High School</v>
      </c>
      <c r="G494" s="5">
        <f ca="1">IFERROR(__xludf.DUMMYFUNCTION("""COMPUTED_VALUE"""),0)</f>
        <v>0</v>
      </c>
      <c r="H494" s="5">
        <f ca="1">IFERROR(__xludf.DUMMYFUNCTION("""COMPUTED_VALUE"""),0)</f>
        <v>0</v>
      </c>
      <c r="I494" s="5">
        <f ca="1">IFERROR(__xludf.DUMMYFUNCTION("""COMPUTED_VALUE"""),0)</f>
        <v>0</v>
      </c>
      <c r="J494" s="5">
        <f ca="1">IFERROR(__xludf.DUMMYFUNCTION("""COMPUTED_VALUE"""),0)</f>
        <v>0</v>
      </c>
      <c r="K494" s="5" t="str">
        <f ca="1">IFERROR(__xludf.DUMMYFUNCTION("""COMPUTED_VALUE"""),"https://www.wric.com/news/crime/shots-fired-in-area-adjacent-to-hermitage-high-school-moments-after-football-game/ https://www.wtvr.com/news/local-news/shots-fired-near-hermitage-game")</f>
        <v>https://www.wric.com/news/crime/shots-fired-in-area-adjacent-to-hermitage-high-school-moments-after-football-game/ https://www.wtvr.com/news/local-news/shots-fired-near-hermitage-game</v>
      </c>
      <c r="L494" s="5">
        <f ca="1">IFERROR(__xludf.DUMMYFUNCTION("""COMPUTED_VALUE"""),2)</f>
        <v>2</v>
      </c>
      <c r="M494" s="5" t="str">
        <f ca="1">IFERROR(__xludf.DUMMYFUNCTION("""COMPUTED_VALUE"""),"Local")</f>
        <v>Local</v>
      </c>
      <c r="N494" s="5">
        <f ca="1">IFERROR(__xludf.DUMMYFUNCTION("""COMPUTED_VALUE"""),3)</f>
        <v>3</v>
      </c>
      <c r="O494" s="5" t="str">
        <f ca="1">IFERROR(__xludf.DUMMYFUNCTION("""COMPUTED_VALUE"""),"Fall")</f>
        <v>Fall</v>
      </c>
      <c r="P494" s="5" t="str">
        <f ca="1">IFERROR(__xludf.DUMMYFUNCTION("""COMPUTED_VALUE"""),"Henrico")</f>
        <v>Henrico</v>
      </c>
      <c r="Q494" s="5" t="str">
        <f ca="1">IFERROR(__xludf.DUMMYFUNCTION("""COMPUTED_VALUE"""),"VA")</f>
        <v>VA</v>
      </c>
      <c r="R494" s="5" t="str">
        <f ca="1">IFERROR(__xludf.DUMMYFUNCTION("""COMPUTED_VALUE"""),"High")</f>
        <v>High</v>
      </c>
      <c r="S494" s="5" t="str">
        <f ca="1">IFERROR(__xludf.DUMMYFUNCTION("""COMPUTED_VALUE"""),"Parking Lot")</f>
        <v>Parking Lot</v>
      </c>
      <c r="T494" s="5" t="str">
        <f ca="1">IFERROR(__xludf.DUMMYFUNCTION("""COMPUTED_VALUE"""),"Outside on School Property")</f>
        <v>Outside on School Property</v>
      </c>
      <c r="U494" s="5" t="str">
        <f ca="1">IFERROR(__xludf.DUMMYFUNCTION("""COMPUTED_VALUE"""),"No")</f>
        <v>No</v>
      </c>
      <c r="V494" s="5" t="str">
        <f ca="1">IFERROR(__xludf.DUMMYFUNCTION("""COMPUTED_VALUE"""),"Sport Event")</f>
        <v>Sport Event</v>
      </c>
      <c r="W494" s="10">
        <f ca="1">IFERROR(__xludf.DUMMYFUNCTION("""COMPUTED_VALUE"""),0.958333333333333)</f>
        <v>0.95833333333333304</v>
      </c>
      <c r="X494" s="5">
        <f ca="1">IFERROR(__xludf.DUMMYFUNCTION("""COMPUTED_VALUE"""),1)</f>
        <v>1</v>
      </c>
      <c r="Y494" s="5" t="str">
        <f ca="1">IFERROR(__xludf.DUMMYFUNCTION("""COMPUTED_VALUE"""),"Shots fired during a fight in the parking lot following football game")</f>
        <v>Shots fired during a fight in the parking lot following football game</v>
      </c>
      <c r="Z494" s="5" t="str">
        <f ca="1">IFERROR(__xludf.DUMMYFUNCTION("""COMPUTED_VALUE"""),"Shots were fired during a fight in the parking lot following the football game. Police were already in the area trying to clear the remaining attendees out of the parking lot. No injuries. Shooter fled the scene.")</f>
        <v>Shots were fired during a fight in the parking lot following the football game. Police were already in the area trying to clear the remaining attendees out of the parking lot. No injuries. Shooter fled the scene.</v>
      </c>
      <c r="AA494" s="5" t="str">
        <f ca="1">IFERROR(__xludf.DUMMYFUNCTION("""COMPUTED_VALUE"""),"Escalation of Dispute")</f>
        <v>Escalation of Dispute</v>
      </c>
      <c r="AB494" s="5" t="str">
        <f ca="1">IFERROR(__xludf.DUMMYFUNCTION("""COMPUTED_VALUE"""),"Neither")</f>
        <v>Neither</v>
      </c>
      <c r="AC494" s="5" t="str">
        <f ca="1">IFERROR(__xludf.DUMMYFUNCTION("""COMPUTED_VALUE"""),"No")</f>
        <v>No</v>
      </c>
      <c r="AD494" s="5" t="str">
        <f ca="1">IFERROR(__xludf.DUMMYFUNCTION("""COMPUTED_VALUE"""),"No")</f>
        <v>No</v>
      </c>
      <c r="AE494" s="5" t="str">
        <f ca="1">IFERROR(__xludf.DUMMYFUNCTION("""COMPUTED_VALUE"""),"No")</f>
        <v>No</v>
      </c>
      <c r="AF494" s="5" t="str">
        <f ca="1">IFERROR(__xludf.DUMMYFUNCTION("""COMPUTED_VALUE"""),"No")</f>
        <v>No</v>
      </c>
      <c r="AG494" s="5" t="str">
        <f ca="1">IFERROR(__xludf.DUMMYFUNCTION("""COMPUTED_VALUE"""),"No")</f>
        <v>No</v>
      </c>
      <c r="AH494" s="5" t="str">
        <f ca="1">IFERROR(__xludf.DUMMYFUNCTION("""COMPUTED_VALUE"""),"No")</f>
        <v>No</v>
      </c>
      <c r="AI494" s="5" t="str">
        <f ca="1">IFERROR(__xludf.DUMMYFUNCTION("""COMPUTED_VALUE"""),"No")</f>
        <v>No</v>
      </c>
      <c r="AJ494" s="5" t="str">
        <f ca="1">IFERROR(__xludf.DUMMYFUNCTION("""COMPUTED_VALUE"""),"No")</f>
        <v>No</v>
      </c>
    </row>
    <row r="495" spans="1:36" ht="13">
      <c r="A495" s="5" t="str">
        <f ca="1">IFERROR(__xludf.DUMMYFUNCTION("""COMPUTED_VALUE"""),"20210917TNAUK")</f>
        <v>20210917TNAUK</v>
      </c>
      <c r="B495" s="5">
        <f ca="1">IFERROR(__xludf.DUMMYFUNCTION("""COMPUTED_VALUE"""),9)</f>
        <v>9</v>
      </c>
      <c r="C495" s="5">
        <f ca="1">IFERROR(__xludf.DUMMYFUNCTION("""COMPUTED_VALUE"""),17)</f>
        <v>17</v>
      </c>
      <c r="D495" s="5">
        <f ca="1">IFERROR(__xludf.DUMMYFUNCTION("""COMPUTED_VALUE"""),2021)</f>
        <v>2021</v>
      </c>
      <c r="E495" s="8">
        <f ca="1">IFERROR(__xludf.DUMMYFUNCTION("""COMPUTED_VALUE"""),44456)</f>
        <v>44456</v>
      </c>
      <c r="F495" s="5" t="str">
        <f ca="1">IFERROR(__xludf.DUMMYFUNCTION("""COMPUTED_VALUE"""),"Austin-East High School")</f>
        <v>Austin-East High School</v>
      </c>
      <c r="G495" s="5">
        <f ca="1">IFERROR(__xludf.DUMMYFUNCTION("""COMPUTED_VALUE"""),0)</f>
        <v>0</v>
      </c>
      <c r="H495" s="5">
        <f ca="1">IFERROR(__xludf.DUMMYFUNCTION("""COMPUTED_VALUE"""),1)</f>
        <v>1</v>
      </c>
      <c r="I495" s="5">
        <f ca="1">IFERROR(__xludf.DUMMYFUNCTION("""COMPUTED_VALUE"""),1)</f>
        <v>1</v>
      </c>
      <c r="J495" s="5">
        <f ca="1">IFERROR(__xludf.DUMMYFUNCTION("""COMPUTED_VALUE"""),0)</f>
        <v>0</v>
      </c>
      <c r="K495" s="5" t="str">
        <f ca="1">IFERROR(__xludf.DUMMYFUNCTION("""COMPUTED_VALUE"""),"https://www.wbir.com/article/news/crime/kpd-one-person-shot-and-taken-to-hospital-during-austin-east-high-school-homecoming-football-game/51-557383aa-ce54-4794-b13b-7b8f12671925 https://www.newsweek.com/one-shot-head-near-high-school-football-game-knoxvil"&amp;"le-tennessee-1630437")</f>
        <v>https://www.wbir.com/article/news/crime/kpd-one-person-shot-and-taken-to-hospital-during-austin-east-high-school-homecoming-football-game/51-557383aa-ce54-4794-b13b-7b8f12671925 https://www.newsweek.com/one-shot-head-near-high-school-football-game-knoxville-tennessee-1630437</v>
      </c>
      <c r="L495" s="5">
        <f ca="1">IFERROR(__xludf.DUMMYFUNCTION("""COMPUTED_VALUE"""),5)</f>
        <v>5</v>
      </c>
      <c r="M495" s="5" t="str">
        <f ca="1">IFERROR(__xludf.DUMMYFUNCTION("""COMPUTED_VALUE"""),"National")</f>
        <v>National</v>
      </c>
      <c r="N495" s="5">
        <f ca="1">IFERROR(__xludf.DUMMYFUNCTION("""COMPUTED_VALUE"""),4)</f>
        <v>4</v>
      </c>
      <c r="O495" s="5" t="str">
        <f ca="1">IFERROR(__xludf.DUMMYFUNCTION("""COMPUTED_VALUE"""),"Fall")</f>
        <v>Fall</v>
      </c>
      <c r="P495" s="5" t="str">
        <f ca="1">IFERROR(__xludf.DUMMYFUNCTION("""COMPUTED_VALUE"""),"Knoxville")</f>
        <v>Knoxville</v>
      </c>
      <c r="Q495" s="5" t="str">
        <f ca="1">IFERROR(__xludf.DUMMYFUNCTION("""COMPUTED_VALUE"""),"TN")</f>
        <v>TN</v>
      </c>
      <c r="R495" s="5" t="str">
        <f ca="1">IFERROR(__xludf.DUMMYFUNCTION("""COMPUTED_VALUE"""),"High")</f>
        <v>High</v>
      </c>
      <c r="S495" s="5" t="str">
        <f ca="1">IFERROR(__xludf.DUMMYFUNCTION("""COMPUTED_VALUE"""),"Off School Property")</f>
        <v>Off School Property</v>
      </c>
      <c r="T495" s="5" t="str">
        <f ca="1">IFERROR(__xludf.DUMMYFUNCTION("""COMPUTED_VALUE"""),"Off School Property")</f>
        <v>Off School Property</v>
      </c>
      <c r="U495" s="5" t="str">
        <f ca="1">IFERROR(__xludf.DUMMYFUNCTION("""COMPUTED_VALUE"""),"No")</f>
        <v>No</v>
      </c>
      <c r="V495" s="5" t="str">
        <f ca="1">IFERROR(__xludf.DUMMYFUNCTION("""COMPUTED_VALUE"""),"Sport Event")</f>
        <v>Sport Event</v>
      </c>
      <c r="W495" s="10">
        <f ca="1">IFERROR(__xludf.DUMMYFUNCTION("""COMPUTED_VALUE"""),0.867361111111111)</f>
        <v>0.86736111111111103</v>
      </c>
      <c r="X495" s="5">
        <f ca="1">IFERROR(__xludf.DUMMYFUNCTION("""COMPUTED_VALUE"""),1)</f>
        <v>1</v>
      </c>
      <c r="Y495" s="5" t="str">
        <f ca="1">IFERROR(__xludf.DUMMYFUNCTION("""COMPUTED_VALUE"""),"Teen shot outside football stadium, field cleared")</f>
        <v>Teen shot outside football stadium, field cleared</v>
      </c>
      <c r="Z495" s="5" t="str">
        <f ca="1">IFERROR(__xludf.DUMMYFUNCTION("""COMPUTED_VALUE"""),"A teen was shot in the head outside of the football stadium during the homecoming football game. Shots were heard inside the stadium and officials cleared the field. Teen was transported to the hospital. Shooter fled the scene.")</f>
        <v>A teen was shot in the head outside of the football stadium during the homecoming football game. Shots were heard inside the stadium and officials cleared the field. Teen was transported to the hospital. Shooter fled the scene.</v>
      </c>
      <c r="AA495" s="5"/>
      <c r="AB495" s="5"/>
      <c r="AC495" s="5" t="str">
        <f ca="1">IFERROR(__xludf.DUMMYFUNCTION("""COMPUTED_VALUE"""),"No")</f>
        <v>No</v>
      </c>
      <c r="AD495" s="5" t="str">
        <f ca="1">IFERROR(__xludf.DUMMYFUNCTION("""COMPUTED_VALUE"""),"No")</f>
        <v>No</v>
      </c>
      <c r="AE495" s="5" t="str">
        <f ca="1">IFERROR(__xludf.DUMMYFUNCTION("""COMPUTED_VALUE"""),"No")</f>
        <v>No</v>
      </c>
      <c r="AF495" s="5" t="str">
        <f ca="1">IFERROR(__xludf.DUMMYFUNCTION("""COMPUTED_VALUE"""),"No")</f>
        <v>No</v>
      </c>
      <c r="AG495" s="5" t="str">
        <f ca="1">IFERROR(__xludf.DUMMYFUNCTION("""COMPUTED_VALUE"""),"No")</f>
        <v>No</v>
      </c>
      <c r="AH495" s="5" t="str">
        <f ca="1">IFERROR(__xludf.DUMMYFUNCTION("""COMPUTED_VALUE"""),"No")</f>
        <v>No</v>
      </c>
      <c r="AI495" s="5"/>
      <c r="AJ495" s="5" t="str">
        <f ca="1">IFERROR(__xludf.DUMMYFUNCTION("""COMPUTED_VALUE"""),"No")</f>
        <v>No</v>
      </c>
    </row>
    <row r="496" spans="1:36" ht="13">
      <c r="A496" s="5" t="str">
        <f ca="1">IFERROR(__xludf.DUMMYFUNCTION("""COMPUTED_VALUE"""),"20210917PAWEP")</f>
        <v>20210917PAWEP</v>
      </c>
      <c r="B496" s="5">
        <f ca="1">IFERROR(__xludf.DUMMYFUNCTION("""COMPUTED_VALUE"""),9)</f>
        <v>9</v>
      </c>
      <c r="C496" s="5">
        <f ca="1">IFERROR(__xludf.DUMMYFUNCTION("""COMPUTED_VALUE"""),17)</f>
        <v>17</v>
      </c>
      <c r="D496" s="5">
        <f ca="1">IFERROR(__xludf.DUMMYFUNCTION("""COMPUTED_VALUE"""),2021)</f>
        <v>2021</v>
      </c>
      <c r="E496" s="8">
        <f ca="1">IFERROR(__xludf.DUMMYFUNCTION("""COMPUTED_VALUE"""),44456)</f>
        <v>44456</v>
      </c>
      <c r="F496" s="5" t="str">
        <f ca="1">IFERROR(__xludf.DUMMYFUNCTION("""COMPUTED_VALUE"""),"West Philadelphia High School")</f>
        <v>West Philadelphia High School</v>
      </c>
      <c r="G496" s="5">
        <f ca="1">IFERROR(__xludf.DUMMYFUNCTION("""COMPUTED_VALUE"""),0)</f>
        <v>0</v>
      </c>
      <c r="H496" s="5">
        <f ca="1">IFERROR(__xludf.DUMMYFUNCTION("""COMPUTED_VALUE"""),2)</f>
        <v>2</v>
      </c>
      <c r="I496" s="5">
        <f ca="1">IFERROR(__xludf.DUMMYFUNCTION("""COMPUTED_VALUE"""),2)</f>
        <v>2</v>
      </c>
      <c r="J496" s="5">
        <f ca="1">IFERROR(__xludf.DUMMYFUNCTION("""COMPUTED_VALUE"""),0)</f>
        <v>0</v>
      </c>
      <c r="K496" s="5" t="str">
        <f ca="1">IFERROR(__xludf.DUMMYFUNCTION("""COMPUTED_VALUE"""),"https://philadelphia.cbslocal.com/2021/09/19/philadelphia-gun-violence-spruce-street-teenagers-shooting-walnut-hill/ https://6abc.com/shooting-philadelphia-west-philly-police/11029521/")</f>
        <v>https://philadelphia.cbslocal.com/2021/09/19/philadelphia-gun-violence-spruce-street-teenagers-shooting-walnut-hill/ https://6abc.com/shooting-philadelphia-west-philly-police/11029521/</v>
      </c>
      <c r="L496" s="5">
        <f ca="1">IFERROR(__xludf.DUMMYFUNCTION("""COMPUTED_VALUE"""),3)</f>
        <v>3</v>
      </c>
      <c r="M496" s="5" t="str">
        <f ca="1">IFERROR(__xludf.DUMMYFUNCTION("""COMPUTED_VALUE"""),"Local")</f>
        <v>Local</v>
      </c>
      <c r="N496" s="5">
        <f ca="1">IFERROR(__xludf.DUMMYFUNCTION("""COMPUTED_VALUE"""),4)</f>
        <v>4</v>
      </c>
      <c r="O496" s="5" t="str">
        <f ca="1">IFERROR(__xludf.DUMMYFUNCTION("""COMPUTED_VALUE"""),"Fall")</f>
        <v>Fall</v>
      </c>
      <c r="P496" s="5" t="str">
        <f ca="1">IFERROR(__xludf.DUMMYFUNCTION("""COMPUTED_VALUE"""),"Philadelphia")</f>
        <v>Philadelphia</v>
      </c>
      <c r="Q496" s="5" t="str">
        <f ca="1">IFERROR(__xludf.DUMMYFUNCTION("""COMPUTED_VALUE"""),"PA")</f>
        <v>PA</v>
      </c>
      <c r="R496" s="5" t="str">
        <f ca="1">IFERROR(__xludf.DUMMYFUNCTION("""COMPUTED_VALUE"""),"High")</f>
        <v>High</v>
      </c>
      <c r="S496" s="5" t="str">
        <f ca="1">IFERROR(__xludf.DUMMYFUNCTION("""COMPUTED_VALUE"""),"Football Field/Track")</f>
        <v>Football Field/Track</v>
      </c>
      <c r="T496" s="5" t="str">
        <f ca="1">IFERROR(__xludf.DUMMYFUNCTION("""COMPUTED_VALUE"""),"Outside on School Property")</f>
        <v>Outside on School Property</v>
      </c>
      <c r="U496" s="5" t="str">
        <f ca="1">IFERROR(__xludf.DUMMYFUNCTION("""COMPUTED_VALUE"""),"No")</f>
        <v>No</v>
      </c>
      <c r="V496" s="5" t="str">
        <f ca="1">IFERROR(__xludf.DUMMYFUNCTION("""COMPUTED_VALUE"""),"Sport Event")</f>
        <v>Sport Event</v>
      </c>
      <c r="W496" s="10">
        <f ca="1">IFERROR(__xludf.DUMMYFUNCTION("""COMPUTED_VALUE"""),0.833333333333333)</f>
        <v>0.83333333333333304</v>
      </c>
      <c r="X496" s="5">
        <f ca="1">IFERROR(__xludf.DUMMYFUNCTION("""COMPUTED_VALUE"""),1)</f>
        <v>1</v>
      </c>
      <c r="Y496" s="5" t="str">
        <f ca="1">IFERROR(__xludf.DUMMYFUNCTION("""COMPUTED_VALUE"""),"20 shots fired during football game, teens involved ran across the field")</f>
        <v>20 shots fired during football game, teens involved ran across the field</v>
      </c>
      <c r="Z496" s="5" t="str">
        <f ca="1">IFERROR(__xludf.DUMMYFUNCTION("""COMPUTED_VALUE"""),"20 shots were fired during the Central High School and West Philadelphia High School football game. Teens involved in the shooting jumped the fences and ran across the field. The remainder of the game was cancelled. a 14-year-old and 16-year-old were woun"&amp;"ded. Officers assigned to the game heard the shots and immediately responded.")</f>
        <v>20 shots were fired during the Central High School and West Philadelphia High School football game. Teens involved in the shooting jumped the fences and ran across the field. The remainder of the game was cancelled. a 14-year-old and 16-year-old were wounded. Officers assigned to the game heard the shots and immediately responded.</v>
      </c>
      <c r="AA496" s="5" t="str">
        <f ca="1">IFERROR(__xludf.DUMMYFUNCTION("""COMPUTED_VALUE"""),"Escalation of Dispute")</f>
        <v>Escalation of Dispute</v>
      </c>
      <c r="AB496" s="5"/>
      <c r="AC496" s="5" t="str">
        <f ca="1">IFERROR(__xludf.DUMMYFUNCTION("""COMPUTED_VALUE"""),"No")</f>
        <v>No</v>
      </c>
      <c r="AD496" s="5" t="str">
        <f ca="1">IFERROR(__xludf.DUMMYFUNCTION("""COMPUTED_VALUE"""),"No")</f>
        <v>No</v>
      </c>
      <c r="AE496" s="5" t="str">
        <f ca="1">IFERROR(__xludf.DUMMYFUNCTION("""COMPUTED_VALUE"""),"No")</f>
        <v>No</v>
      </c>
      <c r="AF496" s="5" t="str">
        <f ca="1">IFERROR(__xludf.DUMMYFUNCTION("""COMPUTED_VALUE"""),"No")</f>
        <v>No</v>
      </c>
      <c r="AG496" s="5" t="str">
        <f ca="1">IFERROR(__xludf.DUMMYFUNCTION("""COMPUTED_VALUE"""),"No")</f>
        <v>No</v>
      </c>
      <c r="AH496" s="5" t="str">
        <f ca="1">IFERROR(__xludf.DUMMYFUNCTION("""COMPUTED_VALUE"""),"No")</f>
        <v>No</v>
      </c>
      <c r="AI496" s="5"/>
      <c r="AJ496" s="5" t="str">
        <f ca="1">IFERROR(__xludf.DUMMYFUNCTION("""COMPUTED_VALUE"""),"No")</f>
        <v>No</v>
      </c>
    </row>
    <row r="497" spans="1:36" ht="13">
      <c r="A497" s="5" t="str">
        <f ca="1">IFERROR(__xludf.DUMMYFUNCTION("""COMPUTED_VALUE"""),"20210917GASWS")</f>
        <v>20210917GASWS</v>
      </c>
      <c r="B497" s="5">
        <f ca="1">IFERROR(__xludf.DUMMYFUNCTION("""COMPUTED_VALUE"""),9)</f>
        <v>9</v>
      </c>
      <c r="C497" s="5">
        <f ca="1">IFERROR(__xludf.DUMMYFUNCTION("""COMPUTED_VALUE"""),17)</f>
        <v>17</v>
      </c>
      <c r="D497" s="5">
        <f ca="1">IFERROR(__xludf.DUMMYFUNCTION("""COMPUTED_VALUE"""),2021)</f>
        <v>2021</v>
      </c>
      <c r="E497" s="8">
        <f ca="1">IFERROR(__xludf.DUMMYFUNCTION("""COMPUTED_VALUE"""),44456)</f>
        <v>44456</v>
      </c>
      <c r="F497" s="5" t="str">
        <f ca="1">IFERROR(__xludf.DUMMYFUNCTION("""COMPUTED_VALUE"""),"Swainsboro High School")</f>
        <v>Swainsboro High School</v>
      </c>
      <c r="G497" s="5">
        <f ca="1">IFERROR(__xludf.DUMMYFUNCTION("""COMPUTED_VALUE"""),0)</f>
        <v>0</v>
      </c>
      <c r="H497" s="5">
        <f ca="1">IFERROR(__xludf.DUMMYFUNCTION("""COMPUTED_VALUE"""),0)</f>
        <v>0</v>
      </c>
      <c r="I497" s="5">
        <f ca="1">IFERROR(__xludf.DUMMYFUNCTION("""COMPUTED_VALUE"""),0)</f>
        <v>0</v>
      </c>
      <c r="J497" s="5">
        <f ca="1">IFERROR(__xludf.DUMMYFUNCTION("""COMPUTED_VALUE"""),0)</f>
        <v>0</v>
      </c>
      <c r="K497" s="5" t="str">
        <f ca="1">IFERROR(__xludf.DUMMYFUNCTION("""COMPUTED_VALUE"""),"https://www.facebook.com/plugins/post.php?href=https%3A%2F%2Fwww.facebook.com%2Femanuelcountyso%2Fposts%2F247814710595640 https://www.13wmaz.com/article/news/local/witnesses-remember-shot-fired-dublin-swainsboro-football-game/93-33671eb5-f218-4183-947f-ee"&amp;"c927759eec https://www.wtoc.com/2021/09/18/shots-fired-parking-lot-after-swainsboro-high-football-game/ https://www.wrdw.com/2021/09/18/shots-fired-swainsboro-high-school-football-stadium/")</f>
        <v>https://www.facebook.com/plugins/post.php?href=https%3A%2F%2Fwww.facebook.com%2Femanuelcountyso%2Fposts%2F247814710595640 https://www.13wmaz.com/article/news/local/witnesses-remember-shot-fired-dublin-swainsboro-football-game/93-33671eb5-f218-4183-947f-eec927759eec https://www.wtoc.com/2021/09/18/shots-fired-parking-lot-after-swainsboro-high-football-game/ https://www.wrdw.com/2021/09/18/shots-fired-swainsboro-high-school-football-stadium/</v>
      </c>
      <c r="L497" s="5">
        <f ca="1">IFERROR(__xludf.DUMMYFUNCTION("""COMPUTED_VALUE"""),3)</f>
        <v>3</v>
      </c>
      <c r="M497" s="5" t="str">
        <f ca="1">IFERROR(__xludf.DUMMYFUNCTION("""COMPUTED_VALUE"""),"Local")</f>
        <v>Local</v>
      </c>
      <c r="N497" s="5">
        <f ca="1">IFERROR(__xludf.DUMMYFUNCTION("""COMPUTED_VALUE"""),4)</f>
        <v>4</v>
      </c>
      <c r="O497" s="5" t="str">
        <f ca="1">IFERROR(__xludf.DUMMYFUNCTION("""COMPUTED_VALUE"""),"Fall")</f>
        <v>Fall</v>
      </c>
      <c r="P497" s="5" t="str">
        <f ca="1">IFERROR(__xludf.DUMMYFUNCTION("""COMPUTED_VALUE"""),"Swainsboro")</f>
        <v>Swainsboro</v>
      </c>
      <c r="Q497" s="5" t="str">
        <f ca="1">IFERROR(__xludf.DUMMYFUNCTION("""COMPUTED_VALUE"""),"GA")</f>
        <v>GA</v>
      </c>
      <c r="R497" s="5" t="str">
        <f ca="1">IFERROR(__xludf.DUMMYFUNCTION("""COMPUTED_VALUE"""),"High")</f>
        <v>High</v>
      </c>
      <c r="S497" s="5" t="str">
        <f ca="1">IFERROR(__xludf.DUMMYFUNCTION("""COMPUTED_VALUE"""),"Football Field/Track")</f>
        <v>Football Field/Track</v>
      </c>
      <c r="T497" s="5" t="str">
        <f ca="1">IFERROR(__xludf.DUMMYFUNCTION("""COMPUTED_VALUE"""),"Outside on School Property")</f>
        <v>Outside on School Property</v>
      </c>
      <c r="U497" s="5" t="str">
        <f ca="1">IFERROR(__xludf.DUMMYFUNCTION("""COMPUTED_VALUE"""),"No")</f>
        <v>No</v>
      </c>
      <c r="V497" s="5" t="str">
        <f ca="1">IFERROR(__xludf.DUMMYFUNCTION("""COMPUTED_VALUE"""),"Sport Event")</f>
        <v>Sport Event</v>
      </c>
      <c r="W497" s="10">
        <f ca="1">IFERROR(__xludf.DUMMYFUNCTION("""COMPUTED_VALUE"""),0.875)</f>
        <v>0.875</v>
      </c>
      <c r="X497" s="5">
        <f ca="1">IFERROR(__xludf.DUMMYFUNCTION("""COMPUTED_VALUE"""),1)</f>
        <v>1</v>
      </c>
      <c r="Y497" s="5" t="str">
        <f ca="1">IFERROR(__xludf.DUMMYFUNCTION("""COMPUTED_VALUE"""),"Shots fired in the stands of the football stadium during a fight")</f>
        <v>Shots fired in the stands of the football stadium during a fight</v>
      </c>
      <c r="Z497" s="5" t="str">
        <f ca="1">IFERROR(__xludf.DUMMYFUNCTION("""COMPUTED_VALUE"""),"Shots were fired at the end of the football game during a fight in the stands. The PA announcer notified the crowd to get down and take cover. Shooter fled the scene. No injuries reported.")</f>
        <v>Shots were fired at the end of the football game during a fight in the stands. The PA announcer notified the crowd to get down and take cover. Shooter fled the scene. No injuries reported.</v>
      </c>
      <c r="AA497" s="5" t="str">
        <f ca="1">IFERROR(__xludf.DUMMYFUNCTION("""COMPUTED_VALUE"""),"Escalation of Dispute")</f>
        <v>Escalation of Dispute</v>
      </c>
      <c r="AB497" s="5" t="str">
        <f ca="1">IFERROR(__xludf.DUMMYFUNCTION("""COMPUTED_VALUE"""),"Neither")</f>
        <v>Neither</v>
      </c>
      <c r="AC497" s="5" t="str">
        <f ca="1">IFERROR(__xludf.DUMMYFUNCTION("""COMPUTED_VALUE"""),"No")</f>
        <v>No</v>
      </c>
      <c r="AD497" s="5" t="str">
        <f ca="1">IFERROR(__xludf.DUMMYFUNCTION("""COMPUTED_VALUE"""),"No")</f>
        <v>No</v>
      </c>
      <c r="AE497" s="5" t="str">
        <f ca="1">IFERROR(__xludf.DUMMYFUNCTION("""COMPUTED_VALUE"""),"No")</f>
        <v>No</v>
      </c>
      <c r="AF497" s="5" t="str">
        <f ca="1">IFERROR(__xludf.DUMMYFUNCTION("""COMPUTED_VALUE"""),"No")</f>
        <v>No</v>
      </c>
      <c r="AG497" s="5" t="str">
        <f ca="1">IFERROR(__xludf.DUMMYFUNCTION("""COMPUTED_VALUE"""),"No")</f>
        <v>No</v>
      </c>
      <c r="AH497" s="5" t="str">
        <f ca="1">IFERROR(__xludf.DUMMYFUNCTION("""COMPUTED_VALUE"""),"No")</f>
        <v>No</v>
      </c>
      <c r="AI497" s="5"/>
      <c r="AJ497" s="5" t="str">
        <f ca="1">IFERROR(__xludf.DUMMYFUNCTION("""COMPUTED_VALUE"""),"No")</f>
        <v>No</v>
      </c>
    </row>
    <row r="498" spans="1:36" ht="13">
      <c r="A498" s="5" t="str">
        <f ca="1">IFERROR(__xludf.DUMMYFUNCTION("""COMPUTED_VALUE"""),"20210916WIORM")</f>
        <v>20210916WIORM</v>
      </c>
      <c r="B498" s="5">
        <f ca="1">IFERROR(__xludf.DUMMYFUNCTION("""COMPUTED_VALUE"""),9)</f>
        <v>9</v>
      </c>
      <c r="C498" s="5">
        <f ca="1">IFERROR(__xludf.DUMMYFUNCTION("""COMPUTED_VALUE"""),16)</f>
        <v>16</v>
      </c>
      <c r="D498" s="5">
        <f ca="1">IFERROR(__xludf.DUMMYFUNCTION("""COMPUTED_VALUE"""),2021)</f>
        <v>2021</v>
      </c>
      <c r="E498" s="8">
        <f ca="1">IFERROR(__xludf.DUMMYFUNCTION("""COMPUTED_VALUE"""),44455)</f>
        <v>44455</v>
      </c>
      <c r="F498" s="5" t="str">
        <f ca="1">IFERROR(__xludf.DUMMYFUNCTION("""COMPUTED_VALUE"""),"Orchard Ridge Elementary School")</f>
        <v>Orchard Ridge Elementary School</v>
      </c>
      <c r="G498" s="5">
        <f ca="1">IFERROR(__xludf.DUMMYFUNCTION("""COMPUTED_VALUE"""),0)</f>
        <v>0</v>
      </c>
      <c r="H498" s="5">
        <f ca="1">IFERROR(__xludf.DUMMYFUNCTION("""COMPUTED_VALUE"""),0)</f>
        <v>0</v>
      </c>
      <c r="I498" s="5">
        <f ca="1">IFERROR(__xludf.DUMMYFUNCTION("""COMPUTED_VALUE"""),0)</f>
        <v>0</v>
      </c>
      <c r="J498" s="5">
        <f ca="1">IFERROR(__xludf.DUMMYFUNCTION("""COMPUTED_VALUE"""),0)</f>
        <v>0</v>
      </c>
      <c r="K498" s="9" t="str">
        <f ca="1">IFERROR(__xludf.DUMMYFUNCTION("""COMPUTED_VALUE"""),"https://www.nbc15.com/2021/09/16/reports-shots-fired-near-orchard-ridge-elementary-school/")</f>
        <v>https://www.nbc15.com/2021/09/16/reports-shots-fired-near-orchard-ridge-elementary-school/</v>
      </c>
      <c r="L498" s="5">
        <f ca="1">IFERROR(__xludf.DUMMYFUNCTION("""COMPUTED_VALUE"""),1)</f>
        <v>1</v>
      </c>
      <c r="M498" s="5" t="str">
        <f ca="1">IFERROR(__xludf.DUMMYFUNCTION("""COMPUTED_VALUE"""),"Local")</f>
        <v>Local</v>
      </c>
      <c r="N498" s="5">
        <f ca="1">IFERROR(__xludf.DUMMYFUNCTION("""COMPUTED_VALUE"""),3)</f>
        <v>3</v>
      </c>
      <c r="O498" s="5" t="str">
        <f ca="1">IFERROR(__xludf.DUMMYFUNCTION("""COMPUTED_VALUE"""),"Fall")</f>
        <v>Fall</v>
      </c>
      <c r="P498" s="5" t="str">
        <f ca="1">IFERROR(__xludf.DUMMYFUNCTION("""COMPUTED_VALUE"""),"Madison")</f>
        <v>Madison</v>
      </c>
      <c r="Q498" s="5" t="str">
        <f ca="1">IFERROR(__xludf.DUMMYFUNCTION("""COMPUTED_VALUE"""),"WI")</f>
        <v>WI</v>
      </c>
      <c r="R498" s="5" t="str">
        <f ca="1">IFERROR(__xludf.DUMMYFUNCTION("""COMPUTED_VALUE"""),"Elementary")</f>
        <v>Elementary</v>
      </c>
      <c r="S498" s="5" t="str">
        <f ca="1">IFERROR(__xludf.DUMMYFUNCTION("""COMPUTED_VALUE"""),"Beside Building")</f>
        <v>Beside Building</v>
      </c>
      <c r="T498" s="5" t="str">
        <f ca="1">IFERROR(__xludf.DUMMYFUNCTION("""COMPUTED_VALUE"""),"Outside on School Property")</f>
        <v>Outside on School Property</v>
      </c>
      <c r="U498" s="5" t="str">
        <f ca="1">IFERROR(__xludf.DUMMYFUNCTION("""COMPUTED_VALUE"""),"No")</f>
        <v>No</v>
      </c>
      <c r="V498" s="5" t="str">
        <f ca="1">IFERROR(__xludf.DUMMYFUNCTION("""COMPUTED_VALUE"""),"Night")</f>
        <v>Night</v>
      </c>
      <c r="W498" s="10">
        <f ca="1">IFERROR(__xludf.DUMMYFUNCTION("""COMPUTED_VALUE"""),0.125)</f>
        <v>0.125</v>
      </c>
      <c r="X498" s="5">
        <f ca="1">IFERROR(__xludf.DUMMYFUNCTION("""COMPUTED_VALUE"""),1)</f>
        <v>1</v>
      </c>
      <c r="Y498" s="5" t="str">
        <f ca="1">IFERROR(__xludf.DUMMYFUNCTION("""COMPUTED_VALUE"""),"Shot fired near school, police found shell casings")</f>
        <v>Shot fired near school, police found shell casings</v>
      </c>
      <c r="Z498" s="5" t="str">
        <f ca="1">IFERROR(__xludf.DUMMYFUNCTION("""COMPUTED_VALUE"""),"Police were called for shots fired near the elementary school. Witnesses said the shooter fled the scene. Police found shell casings near the building. No injuries reported.")</f>
        <v>Police were called for shots fired near the elementary school. Witnesses said the shooter fled the scene. Police found shell casings near the building. No injuries reported.</v>
      </c>
      <c r="AA498" s="5"/>
      <c r="AB498" s="5"/>
      <c r="AC498" s="5" t="str">
        <f ca="1">IFERROR(__xludf.DUMMYFUNCTION("""COMPUTED_VALUE"""),"No")</f>
        <v>No</v>
      </c>
      <c r="AD498" s="5" t="str">
        <f ca="1">IFERROR(__xludf.DUMMYFUNCTION("""COMPUTED_VALUE"""),"No")</f>
        <v>No</v>
      </c>
      <c r="AE498" s="5" t="str">
        <f ca="1">IFERROR(__xludf.DUMMYFUNCTION("""COMPUTED_VALUE"""),"No")</f>
        <v>No</v>
      </c>
      <c r="AF498" s="5" t="str">
        <f ca="1">IFERROR(__xludf.DUMMYFUNCTION("""COMPUTED_VALUE"""),"No")</f>
        <v>No</v>
      </c>
      <c r="AG498" s="5" t="str">
        <f ca="1">IFERROR(__xludf.DUMMYFUNCTION("""COMPUTED_VALUE"""),"No")</f>
        <v>No</v>
      </c>
      <c r="AH498" s="5" t="str">
        <f ca="1">IFERROR(__xludf.DUMMYFUNCTION("""COMPUTED_VALUE"""),"No")</f>
        <v>No</v>
      </c>
      <c r="AI498" s="5"/>
      <c r="AJ498" s="5" t="str">
        <f ca="1">IFERROR(__xludf.DUMMYFUNCTION("""COMPUTED_VALUE"""),"No")</f>
        <v>No</v>
      </c>
    </row>
    <row r="499" spans="1:36" ht="13">
      <c r="A499" s="5" t="str">
        <f ca="1">IFERROR(__xludf.DUMMYFUNCTION("""COMPUTED_VALUE"""),"20210916UTPRP")</f>
        <v>20210916UTPRP</v>
      </c>
      <c r="B499" s="5">
        <f ca="1">IFERROR(__xludf.DUMMYFUNCTION("""COMPUTED_VALUE"""),9)</f>
        <v>9</v>
      </c>
      <c r="C499" s="5">
        <f ca="1">IFERROR(__xludf.DUMMYFUNCTION("""COMPUTED_VALUE"""),16)</f>
        <v>16</v>
      </c>
      <c r="D499" s="5">
        <f ca="1">IFERROR(__xludf.DUMMYFUNCTION("""COMPUTED_VALUE"""),2021)</f>
        <v>2021</v>
      </c>
      <c r="E499" s="8">
        <f ca="1">IFERROR(__xludf.DUMMYFUNCTION("""COMPUTED_VALUE"""),44455)</f>
        <v>44455</v>
      </c>
      <c r="F499" s="5" t="str">
        <f ca="1">IFERROR(__xludf.DUMMYFUNCTION("""COMPUTED_VALUE"""),"Provo High School")</f>
        <v>Provo High School</v>
      </c>
      <c r="G499" s="5">
        <f ca="1">IFERROR(__xludf.DUMMYFUNCTION("""COMPUTED_VALUE"""),0)</f>
        <v>0</v>
      </c>
      <c r="H499" s="5">
        <f ca="1">IFERROR(__xludf.DUMMYFUNCTION("""COMPUTED_VALUE"""),0)</f>
        <v>0</v>
      </c>
      <c r="I499" s="5">
        <f ca="1">IFERROR(__xludf.DUMMYFUNCTION("""COMPUTED_VALUE"""),0)</f>
        <v>0</v>
      </c>
      <c r="J499" s="5">
        <f ca="1">IFERROR(__xludf.DUMMYFUNCTION("""COMPUTED_VALUE"""),0)</f>
        <v>0</v>
      </c>
      <c r="K499" s="5" t="str">
        <f ca="1">IFERROR(__xludf.DUMMYFUNCTION("""COMPUTED_VALUE"""),"https://www.heraldextra.com/news/local/2021/sep/16/no-injuries-after-weapon-incident-at-provo-high-school/ https://www.fox13now.com/news/local-news/provo-high-school-on-lockdown-as-police-investigate-reports-of-man-with-weapon https://kjzz.com/news/local/"&amp;"police-respond-to-possible-weapons-offense-at-provo-high-school")</f>
        <v>https://www.heraldextra.com/news/local/2021/sep/16/no-injuries-after-weapon-incident-at-provo-high-school/ https://www.fox13now.com/news/local-news/provo-high-school-on-lockdown-as-police-investigate-reports-of-man-with-weapon https://kjzz.com/news/local/police-respond-to-possible-weapons-offense-at-provo-high-school</v>
      </c>
      <c r="L499" s="5">
        <f ca="1">IFERROR(__xludf.DUMMYFUNCTION("""COMPUTED_VALUE"""),10)</f>
        <v>10</v>
      </c>
      <c r="M499" s="5" t="str">
        <f ca="1">IFERROR(__xludf.DUMMYFUNCTION("""COMPUTED_VALUE"""),"International")</f>
        <v>International</v>
      </c>
      <c r="N499" s="5">
        <f ca="1">IFERROR(__xludf.DUMMYFUNCTION("""COMPUTED_VALUE"""),4)</f>
        <v>4</v>
      </c>
      <c r="O499" s="5" t="str">
        <f ca="1">IFERROR(__xludf.DUMMYFUNCTION("""COMPUTED_VALUE"""),"Fall")</f>
        <v>Fall</v>
      </c>
      <c r="P499" s="5" t="str">
        <f ca="1">IFERROR(__xludf.DUMMYFUNCTION("""COMPUTED_VALUE"""),"Provo")</f>
        <v>Provo</v>
      </c>
      <c r="Q499" s="5" t="str">
        <f ca="1">IFERROR(__xludf.DUMMYFUNCTION("""COMPUTED_VALUE"""),"UT")</f>
        <v>UT</v>
      </c>
      <c r="R499" s="5" t="str">
        <f ca="1">IFERROR(__xludf.DUMMYFUNCTION("""COMPUTED_VALUE"""),"High")</f>
        <v>High</v>
      </c>
      <c r="S499" s="5" t="str">
        <f ca="1">IFERROR(__xludf.DUMMYFUNCTION("""COMPUTED_VALUE"""),"Hallway")</f>
        <v>Hallway</v>
      </c>
      <c r="T499" s="5" t="str">
        <f ca="1">IFERROR(__xludf.DUMMYFUNCTION("""COMPUTED_VALUE"""),"Inside School Building")</f>
        <v>Inside School Building</v>
      </c>
      <c r="U499" s="5" t="str">
        <f ca="1">IFERROR(__xludf.DUMMYFUNCTION("""COMPUTED_VALUE"""),"Yes")</f>
        <v>Yes</v>
      </c>
      <c r="V499" s="5" t="str">
        <f ca="1">IFERROR(__xludf.DUMMYFUNCTION("""COMPUTED_VALUE"""),"Night")</f>
        <v>Night</v>
      </c>
      <c r="W499" s="10">
        <f ca="1">IFERROR(__xludf.DUMMYFUNCTION("""COMPUTED_VALUE"""),0.525694444444444)</f>
        <v>0.52569444444444402</v>
      </c>
      <c r="X499" s="5">
        <f ca="1">IFERROR(__xludf.DUMMYFUNCTION("""COMPUTED_VALUE"""),1)</f>
        <v>1</v>
      </c>
      <c r="Y499" s="5" t="str">
        <f ca="1">IFERROR(__xludf.DUMMYFUNCTION("""COMPUTED_VALUE"""),"Student brandished handgun during fight in the hallway")</f>
        <v>Student brandished handgun during fight in the hallway</v>
      </c>
      <c r="Z499" s="5" t="str">
        <f ca="1">IFERROR(__xludf.DUMMYFUNCTION("""COMPUTED_VALUE"""),"A student brandished a handgun during a fight in the hallway. Another student reported the gun to a teacher and the school was locked down for multiple hours. Police were dispatched for an active shooter and searched the building. Police located the stude"&amp;"nt with the weapon and determined that it was a realistic airsoft pistol.")</f>
        <v>A student brandished a handgun during a fight in the hallway. Another student reported the gun to a teacher and the school was locked down for multiple hours. Police were dispatched for an active shooter and searched the building. Police located the student with the weapon and determined that it was a realistic airsoft pistol.</v>
      </c>
      <c r="AA499" s="5" t="str">
        <f ca="1">IFERROR(__xludf.DUMMYFUNCTION("""COMPUTED_VALUE"""),"Escalation of Dispute")</f>
        <v>Escalation of Dispute</v>
      </c>
      <c r="AB499" s="5" t="str">
        <f ca="1">IFERROR(__xludf.DUMMYFUNCTION("""COMPUTED_VALUE"""),"Victims Targeted")</f>
        <v>Victims Targeted</v>
      </c>
      <c r="AC499" s="5" t="str">
        <f ca="1">IFERROR(__xludf.DUMMYFUNCTION("""COMPUTED_VALUE"""),"No")</f>
        <v>No</v>
      </c>
      <c r="AD499" s="5" t="str">
        <f ca="1">IFERROR(__xludf.DUMMYFUNCTION("""COMPUTED_VALUE"""),"No")</f>
        <v>No</v>
      </c>
      <c r="AE499" s="5" t="str">
        <f ca="1">IFERROR(__xludf.DUMMYFUNCTION("""COMPUTED_VALUE"""),"No")</f>
        <v>No</v>
      </c>
      <c r="AF499" s="5" t="str">
        <f ca="1">IFERROR(__xludf.DUMMYFUNCTION("""COMPUTED_VALUE"""),"No")</f>
        <v>No</v>
      </c>
      <c r="AG499" s="5" t="str">
        <f ca="1">IFERROR(__xludf.DUMMYFUNCTION("""COMPUTED_VALUE"""),"No")</f>
        <v>No</v>
      </c>
      <c r="AH499" s="5" t="str">
        <f ca="1">IFERROR(__xludf.DUMMYFUNCTION("""COMPUTED_VALUE"""),"No")</f>
        <v>No</v>
      </c>
      <c r="AI499" s="5" t="str">
        <f ca="1">IFERROR(__xludf.DUMMYFUNCTION("""COMPUTED_VALUE"""),"No")</f>
        <v>No</v>
      </c>
      <c r="AJ499" s="5" t="str">
        <f ca="1">IFERROR(__xludf.DUMMYFUNCTION("""COMPUTED_VALUE"""),"No")</f>
        <v>No</v>
      </c>
    </row>
    <row r="500" spans="1:36" ht="13">
      <c r="A500" s="5" t="str">
        <f ca="1">IFERROR(__xludf.DUMMYFUNCTION("""COMPUTED_VALUE"""),"20210916OHBEC")</f>
        <v>20210916OHBEC</v>
      </c>
      <c r="B500" s="5">
        <f ca="1">IFERROR(__xludf.DUMMYFUNCTION("""COMPUTED_VALUE"""),9)</f>
        <v>9</v>
      </c>
      <c r="C500" s="5">
        <f ca="1">IFERROR(__xludf.DUMMYFUNCTION("""COMPUTED_VALUE"""),16)</f>
        <v>16</v>
      </c>
      <c r="D500" s="5">
        <f ca="1">IFERROR(__xludf.DUMMYFUNCTION("""COMPUTED_VALUE"""),2021)</f>
        <v>2021</v>
      </c>
      <c r="E500" s="8">
        <f ca="1">IFERROR(__xludf.DUMMYFUNCTION("""COMPUTED_VALUE"""),44455)</f>
        <v>44455</v>
      </c>
      <c r="F500" s="5" t="str">
        <f ca="1">IFERROR(__xludf.DUMMYFUNCTION("""COMPUTED_VALUE"""),"Beechcroft High School")</f>
        <v>Beechcroft High School</v>
      </c>
      <c r="G500" s="5">
        <f ca="1">IFERROR(__xludf.DUMMYFUNCTION("""COMPUTED_VALUE"""),0)</f>
        <v>0</v>
      </c>
      <c r="H500" s="5">
        <f ca="1">IFERROR(__xludf.DUMMYFUNCTION("""COMPUTED_VALUE"""),0)</f>
        <v>0</v>
      </c>
      <c r="I500" s="5">
        <f ca="1">IFERROR(__xludf.DUMMYFUNCTION("""COMPUTED_VALUE"""),0)</f>
        <v>0</v>
      </c>
      <c r="J500" s="5">
        <f ca="1">IFERROR(__xludf.DUMMYFUNCTION("""COMPUTED_VALUE"""),0)</f>
        <v>0</v>
      </c>
      <c r="K500" s="9" t="str">
        <f ca="1">IFERROR(__xludf.DUMMYFUNCTION("""COMPUTED_VALUE"""),"https://www.thesussireport.com/reports/car-windows-shot-out-at-high-school-football-game")</f>
        <v>https://www.thesussireport.com/reports/car-windows-shot-out-at-high-school-football-game</v>
      </c>
      <c r="L500" s="5">
        <f ca="1">IFERROR(__xludf.DUMMYFUNCTION("""COMPUTED_VALUE"""),1)</f>
        <v>1</v>
      </c>
      <c r="M500" s="5" t="str">
        <f ca="1">IFERROR(__xludf.DUMMYFUNCTION("""COMPUTED_VALUE"""),"Local")</f>
        <v>Local</v>
      </c>
      <c r="N500" s="5">
        <f ca="1">IFERROR(__xludf.DUMMYFUNCTION("""COMPUTED_VALUE"""),3)</f>
        <v>3</v>
      </c>
      <c r="O500" s="5" t="str">
        <f ca="1">IFERROR(__xludf.DUMMYFUNCTION("""COMPUTED_VALUE"""),"Fall")</f>
        <v>Fall</v>
      </c>
      <c r="P500" s="5" t="str">
        <f ca="1">IFERROR(__xludf.DUMMYFUNCTION("""COMPUTED_VALUE"""),"Columbus")</f>
        <v>Columbus</v>
      </c>
      <c r="Q500" s="5" t="str">
        <f ca="1">IFERROR(__xludf.DUMMYFUNCTION("""COMPUTED_VALUE"""),"OH")</f>
        <v>OH</v>
      </c>
      <c r="R500" s="5" t="str">
        <f ca="1">IFERROR(__xludf.DUMMYFUNCTION("""COMPUTED_VALUE"""),"High")</f>
        <v>High</v>
      </c>
      <c r="S500" s="5" t="str">
        <f ca="1">IFERROR(__xludf.DUMMYFUNCTION("""COMPUTED_VALUE"""),"Parking Lot")</f>
        <v>Parking Lot</v>
      </c>
      <c r="T500" s="5" t="str">
        <f ca="1">IFERROR(__xludf.DUMMYFUNCTION("""COMPUTED_VALUE"""),"Outside on School Property")</f>
        <v>Outside on School Property</v>
      </c>
      <c r="U500" s="5" t="str">
        <f ca="1">IFERROR(__xludf.DUMMYFUNCTION("""COMPUTED_VALUE"""),"No")</f>
        <v>No</v>
      </c>
      <c r="V500" s="5" t="str">
        <f ca="1">IFERROR(__xludf.DUMMYFUNCTION("""COMPUTED_VALUE"""),"Sport Event")</f>
        <v>Sport Event</v>
      </c>
      <c r="W500" s="10">
        <f ca="1">IFERROR(__xludf.DUMMYFUNCTION("""COMPUTED_VALUE"""),0.911805555555555)</f>
        <v>0.91180555555555498</v>
      </c>
      <c r="X500" s="5">
        <f ca="1">IFERROR(__xludf.DUMMYFUNCTION("""COMPUTED_VALUE"""),1)</f>
        <v>1</v>
      </c>
      <c r="Y500" s="5" t="str">
        <f ca="1">IFERROR(__xludf.DUMMYFUNCTION("""COMPUTED_VALUE"""),"Seven shots fired when fans were leaving the football game")</f>
        <v>Seven shots fired when fans were leaving the football game</v>
      </c>
      <c r="Z500" s="5" t="str">
        <f ca="1">IFERROR(__xludf.DUMMYFUNCTION("""COMPUTED_VALUE"""),"Multiple car windows were broken when seven shots were fired after a high school football game. No injuries. Shooter fled the scene. Columbus schools ended the SRO program last school year, private security was working at the game.")</f>
        <v>Multiple car windows were broken when seven shots were fired after a high school football game. No injuries. Shooter fled the scene. Columbus schools ended the SRO program last school year, private security was working at the game.</v>
      </c>
      <c r="AA500" s="5"/>
      <c r="AB500" s="5" t="str">
        <f ca="1">IFERROR(__xludf.DUMMYFUNCTION("""COMPUTED_VALUE"""),"Neither")</f>
        <v>Neither</v>
      </c>
      <c r="AC500" s="5" t="str">
        <f ca="1">IFERROR(__xludf.DUMMYFUNCTION("""COMPUTED_VALUE"""),"No")</f>
        <v>No</v>
      </c>
      <c r="AD500" s="5" t="str">
        <f ca="1">IFERROR(__xludf.DUMMYFUNCTION("""COMPUTED_VALUE"""),"No")</f>
        <v>No</v>
      </c>
      <c r="AE500" s="5" t="str">
        <f ca="1">IFERROR(__xludf.DUMMYFUNCTION("""COMPUTED_VALUE"""),"No")</f>
        <v>No</v>
      </c>
      <c r="AF500" s="5" t="str">
        <f ca="1">IFERROR(__xludf.DUMMYFUNCTION("""COMPUTED_VALUE"""),"No")</f>
        <v>No</v>
      </c>
      <c r="AG500" s="5" t="str">
        <f ca="1">IFERROR(__xludf.DUMMYFUNCTION("""COMPUTED_VALUE"""),"No")</f>
        <v>No</v>
      </c>
      <c r="AH500" s="5" t="str">
        <f ca="1">IFERROR(__xludf.DUMMYFUNCTION("""COMPUTED_VALUE"""),"No")</f>
        <v>No</v>
      </c>
      <c r="AI500" s="5"/>
      <c r="AJ500" s="5" t="str">
        <f ca="1">IFERROR(__xludf.DUMMYFUNCTION("""COMPUTED_VALUE"""),"No")</f>
        <v>No</v>
      </c>
    </row>
    <row r="501" spans="1:36" ht="13">
      <c r="A501" s="5" t="str">
        <f ca="1">IFERROR(__xludf.DUMMYFUNCTION("""COMPUTED_VALUE"""),"20210915KYMAL")</f>
        <v>20210915KYMAL</v>
      </c>
      <c r="B501" s="5">
        <f ca="1">IFERROR(__xludf.DUMMYFUNCTION("""COMPUTED_VALUE"""),9)</f>
        <v>9</v>
      </c>
      <c r="C501" s="5">
        <f ca="1">IFERROR(__xludf.DUMMYFUNCTION("""COMPUTED_VALUE"""),15)</f>
        <v>15</v>
      </c>
      <c r="D501" s="5">
        <f ca="1">IFERROR(__xludf.DUMMYFUNCTION("""COMPUTED_VALUE"""),2021)</f>
        <v>2021</v>
      </c>
      <c r="E501" s="8">
        <f ca="1">IFERROR(__xludf.DUMMYFUNCTION("""COMPUTED_VALUE"""),44454)</f>
        <v>44454</v>
      </c>
      <c r="F501" s="5" t="str">
        <f ca="1">IFERROR(__xludf.DUMMYFUNCTION("""COMPUTED_VALUE"""),"Mary Todd Elementary School")</f>
        <v>Mary Todd Elementary School</v>
      </c>
      <c r="G501" s="5">
        <f ca="1">IFERROR(__xludf.DUMMYFUNCTION("""COMPUTED_VALUE"""),0)</f>
        <v>0</v>
      </c>
      <c r="H501" s="5">
        <f ca="1">IFERROR(__xludf.DUMMYFUNCTION("""COMPUTED_VALUE"""),1)</f>
        <v>1</v>
      </c>
      <c r="I501" s="5">
        <f ca="1">IFERROR(__xludf.DUMMYFUNCTION("""COMPUTED_VALUE"""),1)</f>
        <v>1</v>
      </c>
      <c r="J501" s="5">
        <f ca="1">IFERROR(__xludf.DUMMYFUNCTION("""COMPUTED_VALUE"""),0)</f>
        <v>0</v>
      </c>
      <c r="K501" s="5" t="str">
        <f ca="1">IFERROR(__xludf.DUMMYFUNCTION("""COMPUTED_VALUE"""),"https://www.lex18.com/news/crime/police-called-to-shooting-scene-on-freeman-drive-near-lexington-elementary-school https://www.wkyt.com/2021/09/15/police-investigating-shooting-lexington/ https://www.kentucky.com/news/local/crime/article254256313.html")</f>
        <v>https://www.lex18.com/news/crime/police-called-to-shooting-scene-on-freeman-drive-near-lexington-elementary-school https://www.wkyt.com/2021/09/15/police-investigating-shooting-lexington/ https://www.kentucky.com/news/local/crime/article254256313.html</v>
      </c>
      <c r="L501" s="5">
        <f ca="1">IFERROR(__xludf.DUMMYFUNCTION("""COMPUTED_VALUE"""),3)</f>
        <v>3</v>
      </c>
      <c r="M501" s="5" t="str">
        <f ca="1">IFERROR(__xludf.DUMMYFUNCTION("""COMPUTED_VALUE"""),"Local")</f>
        <v>Local</v>
      </c>
      <c r="N501" s="5">
        <f ca="1">IFERROR(__xludf.DUMMYFUNCTION("""COMPUTED_VALUE"""),4)</f>
        <v>4</v>
      </c>
      <c r="O501" s="5" t="str">
        <f ca="1">IFERROR(__xludf.DUMMYFUNCTION("""COMPUTED_VALUE"""),"Fall")</f>
        <v>Fall</v>
      </c>
      <c r="P501" s="5" t="str">
        <f ca="1">IFERROR(__xludf.DUMMYFUNCTION("""COMPUTED_VALUE"""),"Lexington")</f>
        <v>Lexington</v>
      </c>
      <c r="Q501" s="5" t="str">
        <f ca="1">IFERROR(__xludf.DUMMYFUNCTION("""COMPUTED_VALUE"""),"KY")</f>
        <v>KY</v>
      </c>
      <c r="R501" s="5" t="str">
        <f ca="1">IFERROR(__xludf.DUMMYFUNCTION("""COMPUTED_VALUE"""),"Elementary")</f>
        <v>Elementary</v>
      </c>
      <c r="S501" s="5" t="str">
        <f ca="1">IFERROR(__xludf.DUMMYFUNCTION("""COMPUTED_VALUE"""),"Parking Lot")</f>
        <v>Parking Lot</v>
      </c>
      <c r="T501" s="5" t="str">
        <f ca="1">IFERROR(__xludf.DUMMYFUNCTION("""COMPUTED_VALUE"""),"Off School Property")</f>
        <v>Off School Property</v>
      </c>
      <c r="U501" s="5" t="str">
        <f ca="1">IFERROR(__xludf.DUMMYFUNCTION("""COMPUTED_VALUE"""),"No")</f>
        <v>No</v>
      </c>
      <c r="V501" s="5" t="str">
        <f ca="1">IFERROR(__xludf.DUMMYFUNCTION("""COMPUTED_VALUE"""),"After School")</f>
        <v>After School</v>
      </c>
      <c r="W501" s="10">
        <f ca="1">IFERROR(__xludf.DUMMYFUNCTION("""COMPUTED_VALUE"""),0.666666666666666)</f>
        <v>0.66666666666666596</v>
      </c>
      <c r="X501" s="5">
        <f ca="1">IFERROR(__xludf.DUMMYFUNCTION("""COMPUTED_VALUE"""),1)</f>
        <v>1</v>
      </c>
      <c r="Y501" s="5" t="str">
        <f ca="1">IFERROR(__xludf.DUMMYFUNCTION("""COMPUTED_VALUE"""),"Man shot and ran to elementary school for assistance")</f>
        <v>Man shot and ran to elementary school for assistance</v>
      </c>
      <c r="Z501" s="5" t="str">
        <f ca="1">IFERROR(__xludf.DUMMYFUNCTION("""COMPUTED_VALUE"""),"An adult male was shot near the school and ran to the elementary school for assistance. Police and EMS responded and assisted him in the parking lot of the school.")</f>
        <v>An adult male was shot near the school and ran to the elementary school for assistance. Police and EMS responded and assisted him in the parking lot of the school.</v>
      </c>
      <c r="AA501" s="5"/>
      <c r="AB501" s="5" t="str">
        <f ca="1">IFERROR(__xludf.DUMMYFUNCTION("""COMPUTED_VALUE"""),"Victims Targeted")</f>
        <v>Victims Targeted</v>
      </c>
      <c r="AC501" s="5" t="str">
        <f ca="1">IFERROR(__xludf.DUMMYFUNCTION("""COMPUTED_VALUE"""),"No")</f>
        <v>No</v>
      </c>
      <c r="AD501" s="5" t="str">
        <f ca="1">IFERROR(__xludf.DUMMYFUNCTION("""COMPUTED_VALUE"""),"No")</f>
        <v>No</v>
      </c>
      <c r="AE501" s="5" t="str">
        <f ca="1">IFERROR(__xludf.DUMMYFUNCTION("""COMPUTED_VALUE"""),"No")</f>
        <v>No</v>
      </c>
      <c r="AF501" s="5" t="str">
        <f ca="1">IFERROR(__xludf.DUMMYFUNCTION("""COMPUTED_VALUE"""),"No")</f>
        <v>No</v>
      </c>
      <c r="AG501" s="5" t="str">
        <f ca="1">IFERROR(__xludf.DUMMYFUNCTION("""COMPUTED_VALUE"""),"No")</f>
        <v>No</v>
      </c>
      <c r="AH501" s="5" t="str">
        <f ca="1">IFERROR(__xludf.DUMMYFUNCTION("""COMPUTED_VALUE"""),"No")</f>
        <v>No</v>
      </c>
      <c r="AI501" s="5" t="str">
        <f ca="1">IFERROR(__xludf.DUMMYFUNCTION("""COMPUTED_VALUE"""),"No")</f>
        <v>No</v>
      </c>
      <c r="AJ501" s="5" t="str">
        <f ca="1">IFERROR(__xludf.DUMMYFUNCTION("""COMPUTED_VALUE"""),"No")</f>
        <v>No</v>
      </c>
    </row>
    <row r="502" spans="1:36" ht="13">
      <c r="A502" s="5" t="str">
        <f ca="1">IFERROR(__xludf.DUMMYFUNCTION("""COMPUTED_VALUE"""),"20210915ILCEC")</f>
        <v>20210915ILCEC</v>
      </c>
      <c r="B502" s="5">
        <f ca="1">IFERROR(__xludf.DUMMYFUNCTION("""COMPUTED_VALUE"""),9)</f>
        <v>9</v>
      </c>
      <c r="C502" s="5">
        <f ca="1">IFERROR(__xludf.DUMMYFUNCTION("""COMPUTED_VALUE"""),15)</f>
        <v>15</v>
      </c>
      <c r="D502" s="5">
        <f ca="1">IFERROR(__xludf.DUMMYFUNCTION("""COMPUTED_VALUE"""),2021)</f>
        <v>2021</v>
      </c>
      <c r="E502" s="8">
        <f ca="1">IFERROR(__xludf.DUMMYFUNCTION("""COMPUTED_VALUE"""),44454)</f>
        <v>44454</v>
      </c>
      <c r="F502" s="5" t="str">
        <f ca="1">IFERROR(__xludf.DUMMYFUNCTION("""COMPUTED_VALUE"""),"Centennial High School")</f>
        <v>Centennial High School</v>
      </c>
      <c r="G502" s="5">
        <f ca="1">IFERROR(__xludf.DUMMYFUNCTION("""COMPUTED_VALUE"""),0)</f>
        <v>0</v>
      </c>
      <c r="H502" s="5">
        <f ca="1">IFERROR(__xludf.DUMMYFUNCTION("""COMPUTED_VALUE"""),0)</f>
        <v>0</v>
      </c>
      <c r="I502" s="5">
        <f ca="1">IFERROR(__xludf.DUMMYFUNCTION("""COMPUTED_VALUE"""),0)</f>
        <v>0</v>
      </c>
      <c r="J502" s="5">
        <f ca="1">IFERROR(__xludf.DUMMYFUNCTION("""COMPUTED_VALUE"""),0)</f>
        <v>0</v>
      </c>
      <c r="K502" s="5" t="str">
        <f ca="1">IFERROR(__xludf.DUMMYFUNCTION("""COMPUTED_VALUE"""),"https://newschannel20.com/news/local/teen-sentenced-for-firing-gun-near-centennial-high-school
https://www.wcia.com/news/champaign-police-arrest-16-year-old-boy-in-connection-to-shots-fired-near-centennial-high-school-search-continues-for-other-suspect/ h"&amp;"ttps://www.wcia.com/news/students-react-to-shots-fired-outside-school/")</f>
        <v>https://newschannel20.com/news/local/teen-sentenced-for-firing-gun-near-centennial-high-school
https://www.wcia.com/news/champaign-police-arrest-16-year-old-boy-in-connection-to-shots-fired-near-centennial-high-school-search-continues-for-other-suspect/ https://www.wcia.com/news/students-react-to-shots-fired-outside-school/</v>
      </c>
      <c r="L502" s="5">
        <f ca="1">IFERROR(__xludf.DUMMYFUNCTION("""COMPUTED_VALUE"""),2)</f>
        <v>2</v>
      </c>
      <c r="M502" s="5" t="str">
        <f ca="1">IFERROR(__xludf.DUMMYFUNCTION("""COMPUTED_VALUE"""),"Local")</f>
        <v>Local</v>
      </c>
      <c r="N502" s="5">
        <f ca="1">IFERROR(__xludf.DUMMYFUNCTION("""COMPUTED_VALUE"""),4)</f>
        <v>4</v>
      </c>
      <c r="O502" s="5" t="str">
        <f ca="1">IFERROR(__xludf.DUMMYFUNCTION("""COMPUTED_VALUE"""),"Fall")</f>
        <v>Fall</v>
      </c>
      <c r="P502" s="5" t="str">
        <f ca="1">IFERROR(__xludf.DUMMYFUNCTION("""COMPUTED_VALUE"""),"Champaign")</f>
        <v>Champaign</v>
      </c>
      <c r="Q502" s="5" t="str">
        <f ca="1">IFERROR(__xludf.DUMMYFUNCTION("""COMPUTED_VALUE"""),"IL")</f>
        <v>IL</v>
      </c>
      <c r="R502" s="5" t="str">
        <f ca="1">IFERROR(__xludf.DUMMYFUNCTION("""COMPUTED_VALUE"""),"High")</f>
        <v>High</v>
      </c>
      <c r="S502" s="5" t="str">
        <f ca="1">IFERROR(__xludf.DUMMYFUNCTION("""COMPUTED_VALUE"""),"Field (General)")</f>
        <v>Field (General)</v>
      </c>
      <c r="T502" s="5" t="str">
        <f ca="1">IFERROR(__xludf.DUMMYFUNCTION("""COMPUTED_VALUE"""),"Outside on School Property")</f>
        <v>Outside on School Property</v>
      </c>
      <c r="U502" s="5" t="str">
        <f ca="1">IFERROR(__xludf.DUMMYFUNCTION("""COMPUTED_VALUE"""),"Yes")</f>
        <v>Yes</v>
      </c>
      <c r="V502" s="5" t="str">
        <f ca="1">IFERROR(__xludf.DUMMYFUNCTION("""COMPUTED_VALUE"""),"Afternoon Classes")</f>
        <v>Afternoon Classes</v>
      </c>
      <c r="W502" s="10">
        <f ca="1">IFERROR(__xludf.DUMMYFUNCTION("""COMPUTED_VALUE"""),0.5625)</f>
        <v>0.5625</v>
      </c>
      <c r="X502" s="5">
        <f ca="1">IFERROR(__xludf.DUMMYFUNCTION("""COMPUTED_VALUE"""),1)</f>
        <v>1</v>
      </c>
      <c r="Y502" s="5" t="str">
        <f ca="1">IFERROR(__xludf.DUMMYFUNCTION("""COMPUTED_VALUE"""),"Shots fired outside of school, no injuries")</f>
        <v>Shots fired outside of school, no injuries</v>
      </c>
      <c r="Z502" s="5" t="str">
        <f ca="1">IFERROR(__xludf.DUMMYFUNCTION("""COMPUTED_VALUE"""),"Shots were fired outside of the school during afternoon classes. Students in gym class on the field ran into the school. Other students took cover behind vehicles in the parking lot. High school and two other nearby schools were placed on lockdown. Police"&amp;" recovered 13 shell casings in two locations showing two different people fired shots. No injuries reported and shooter fled. 16-year-old shooter arrested on 9/30. A 17-year-old male who was the second shooter was arrested on 10/13.")</f>
        <v>Shots were fired outside of the school during afternoon classes. Students in gym class on the field ran into the school. Other students took cover behind vehicles in the parking lot. High school and two other nearby schools were placed on lockdown. Police recovered 13 shell casings in two locations showing two different people fired shots. No injuries reported and shooter fled. 16-year-old shooter arrested on 9/30. A 17-year-old male who was the second shooter was arrested on 10/13.</v>
      </c>
      <c r="AA502" s="5"/>
      <c r="AB502" s="5"/>
      <c r="AC502" s="5" t="str">
        <f ca="1">IFERROR(__xludf.DUMMYFUNCTION("""COMPUTED_VALUE"""),"No")</f>
        <v>No</v>
      </c>
      <c r="AD502" s="5" t="str">
        <f ca="1">IFERROR(__xludf.DUMMYFUNCTION("""COMPUTED_VALUE"""),"No")</f>
        <v>No</v>
      </c>
      <c r="AE502" s="5" t="str">
        <f ca="1">IFERROR(__xludf.DUMMYFUNCTION("""COMPUTED_VALUE"""),"No")</f>
        <v>No</v>
      </c>
      <c r="AF502" s="5" t="str">
        <f ca="1">IFERROR(__xludf.DUMMYFUNCTION("""COMPUTED_VALUE"""),"No")</f>
        <v>No</v>
      </c>
      <c r="AG502" s="5" t="str">
        <f ca="1">IFERROR(__xludf.DUMMYFUNCTION("""COMPUTED_VALUE"""),"No")</f>
        <v>No</v>
      </c>
      <c r="AH502" s="5" t="str">
        <f ca="1">IFERROR(__xludf.DUMMYFUNCTION("""COMPUTED_VALUE"""),"No")</f>
        <v>No</v>
      </c>
      <c r="AI502" s="5"/>
      <c r="AJ502" s="5" t="str">
        <f ca="1">IFERROR(__xludf.DUMMYFUNCTION("""COMPUTED_VALUE"""),"No")</f>
        <v>No</v>
      </c>
    </row>
    <row r="503" spans="1:36" ht="13">
      <c r="A503" s="5" t="str">
        <f ca="1">IFERROR(__xludf.DUMMYFUNCTION("""COMPUTED_VALUE"""),"20210915VASPS")</f>
        <v>20210915VASPS</v>
      </c>
      <c r="B503" s="5">
        <f ca="1">IFERROR(__xludf.DUMMYFUNCTION("""COMPUTED_VALUE"""),9)</f>
        <v>9</v>
      </c>
      <c r="C503" s="5">
        <f ca="1">IFERROR(__xludf.DUMMYFUNCTION("""COMPUTED_VALUE"""),15)</f>
        <v>15</v>
      </c>
      <c r="D503" s="5">
        <f ca="1">IFERROR(__xludf.DUMMYFUNCTION("""COMPUTED_VALUE"""),2021)</f>
        <v>2021</v>
      </c>
      <c r="E503" s="8">
        <f ca="1">IFERROR(__xludf.DUMMYFUNCTION("""COMPUTED_VALUE"""),44454)</f>
        <v>44454</v>
      </c>
      <c r="F503" s="5" t="str">
        <f ca="1">IFERROR(__xludf.DUMMYFUNCTION("""COMPUTED_VALUE"""),"Springfield Estates Elementary")</f>
        <v>Springfield Estates Elementary</v>
      </c>
      <c r="G503" s="5">
        <f ca="1">IFERROR(__xludf.DUMMYFUNCTION("""COMPUTED_VALUE"""),0)</f>
        <v>0</v>
      </c>
      <c r="H503" s="5">
        <f ca="1">IFERROR(__xludf.DUMMYFUNCTION("""COMPUTED_VALUE"""),0)</f>
        <v>0</v>
      </c>
      <c r="I503" s="5">
        <f ca="1">IFERROR(__xludf.DUMMYFUNCTION("""COMPUTED_VALUE"""),0)</f>
        <v>0</v>
      </c>
      <c r="J503" s="5">
        <f ca="1">IFERROR(__xludf.DUMMYFUNCTION("""COMPUTED_VALUE"""),0)</f>
        <v>0</v>
      </c>
      <c r="K503" s="5" t="str">
        <f ca="1">IFERROR(__xludf.DUMMYFUNCTION("""COMPUTED_VALUE"""),"https://wjla.com/news/local/virginia-woman-charged-after-child-brings-stun-gun-to-elementary-school https://www.wusa9.com/article/news/local/virginia/child-brought-stun-gun-to-fcps-school-used-it-on-classmates/65-fd9a8726-3799-4bdb-ae6a-a65b994386d5 https"&amp;"://www.msn.com/en-us/news/crime/police-child-brought-stun-gun-to-fcps-elementary-school-used-it-on-classmates/ar-AAODLQn?ocid=st")</f>
        <v>https://wjla.com/news/local/virginia-woman-charged-after-child-brings-stun-gun-to-elementary-school https://www.wusa9.com/article/news/local/virginia/child-brought-stun-gun-to-fcps-school-used-it-on-classmates/65-fd9a8726-3799-4bdb-ae6a-a65b994386d5 https://www.msn.com/en-us/news/crime/police-child-brought-stun-gun-to-fcps-elementary-school-used-it-on-classmates/ar-AAODLQn?ocid=st</v>
      </c>
      <c r="L503" s="5">
        <f ca="1">IFERROR(__xludf.DUMMYFUNCTION("""COMPUTED_VALUE"""),3)</f>
        <v>3</v>
      </c>
      <c r="M503" s="5" t="str">
        <f ca="1">IFERROR(__xludf.DUMMYFUNCTION("""COMPUTED_VALUE"""),"Local")</f>
        <v>Local</v>
      </c>
      <c r="N503" s="5">
        <f ca="1">IFERROR(__xludf.DUMMYFUNCTION("""COMPUTED_VALUE"""),4)</f>
        <v>4</v>
      </c>
      <c r="O503" s="5" t="str">
        <f ca="1">IFERROR(__xludf.DUMMYFUNCTION("""COMPUTED_VALUE"""),"Fall")</f>
        <v>Fall</v>
      </c>
      <c r="P503" s="5" t="str">
        <f ca="1">IFERROR(__xludf.DUMMYFUNCTION("""COMPUTED_VALUE"""),"Springfield")</f>
        <v>Springfield</v>
      </c>
      <c r="Q503" s="5" t="str">
        <f ca="1">IFERROR(__xludf.DUMMYFUNCTION("""COMPUTED_VALUE"""),"VA")</f>
        <v>VA</v>
      </c>
      <c r="R503" s="5" t="str">
        <f ca="1">IFERROR(__xludf.DUMMYFUNCTION("""COMPUTED_VALUE"""),"Elementary")</f>
        <v>Elementary</v>
      </c>
      <c r="S503" s="5" t="str">
        <f ca="1">IFERROR(__xludf.DUMMYFUNCTION("""COMPUTED_VALUE"""),"Inside School Building")</f>
        <v>Inside School Building</v>
      </c>
      <c r="T503" s="5" t="str">
        <f ca="1">IFERROR(__xludf.DUMMYFUNCTION("""COMPUTED_VALUE"""),"Inside School Building")</f>
        <v>Inside School Building</v>
      </c>
      <c r="U503" s="5" t="str">
        <f ca="1">IFERROR(__xludf.DUMMYFUNCTION("""COMPUTED_VALUE"""),"Yes")</f>
        <v>Yes</v>
      </c>
      <c r="V503" s="5" t="str">
        <f ca="1">IFERROR(__xludf.DUMMYFUNCTION("""COMPUTED_VALUE"""),"Morning Classes")</f>
        <v>Morning Classes</v>
      </c>
      <c r="W503" s="5"/>
      <c r="X503" s="5"/>
      <c r="Y503" s="5" t="str">
        <f ca="1">IFERROR(__xludf.DUMMYFUNCTION("""COMPUTED_VALUE"""),"Student used stungun on 3 classmates in the school")</f>
        <v>Student used stungun on 3 classmates in the school</v>
      </c>
      <c r="Z503" s="5" t="str">
        <f ca="1">IFERROR(__xludf.DUMMYFUNCTION("""COMPUTED_VALUE"""),"An elementary school student used a stungun on 3 classmates inside the school at different times during the school day. Multiple students were seen with the weapon. Police were notified the following day. The 27-year-old female owner of the weapon was cha"&amp;"rged with delinquency of a minor for allowing access to the stun gun. None of the students stunned were injured.")</f>
        <v>An elementary school student used a stungun on 3 classmates inside the school at different times during the school day. Multiple students were seen with the weapon. Police were notified the following day. The 27-year-old female owner of the weapon was charged with delinquency of a minor for allowing access to the stun gun. None of the students stunned were injured.</v>
      </c>
      <c r="AA503" s="5"/>
      <c r="AB503" s="5"/>
      <c r="AC503" s="5"/>
      <c r="AD503" s="5" t="str">
        <f ca="1">IFERROR(__xludf.DUMMYFUNCTION("""COMPUTED_VALUE"""),"No")</f>
        <v>No</v>
      </c>
      <c r="AE503" s="5" t="str">
        <f ca="1">IFERROR(__xludf.DUMMYFUNCTION("""COMPUTED_VALUE"""),"No")</f>
        <v>No</v>
      </c>
      <c r="AF503" s="5" t="str">
        <f ca="1">IFERROR(__xludf.DUMMYFUNCTION("""COMPUTED_VALUE"""),"No")</f>
        <v>No</v>
      </c>
      <c r="AG503" s="5" t="str">
        <f ca="1">IFERROR(__xludf.DUMMYFUNCTION("""COMPUTED_VALUE"""),"No")</f>
        <v>No</v>
      </c>
      <c r="AH503" s="5" t="str">
        <f ca="1">IFERROR(__xludf.DUMMYFUNCTION("""COMPUTED_VALUE"""),"No")</f>
        <v>No</v>
      </c>
      <c r="AI503" s="5" t="str">
        <f ca="1">IFERROR(__xludf.DUMMYFUNCTION("""COMPUTED_VALUE"""),"No")</f>
        <v>No</v>
      </c>
      <c r="AJ503" s="5" t="str">
        <f ca="1">IFERROR(__xludf.DUMMYFUNCTION("""COMPUTED_VALUE"""),"No")</f>
        <v>No</v>
      </c>
    </row>
    <row r="504" spans="1:36" ht="13">
      <c r="A504" s="5" t="str">
        <f ca="1">IFERROR(__xludf.DUMMYFUNCTION("""COMPUTED_VALUE"""),"20210914TNLAL")</f>
        <v>20210914TNLAL</v>
      </c>
      <c r="B504" s="5">
        <f ca="1">IFERROR(__xludf.DUMMYFUNCTION("""COMPUTED_VALUE"""),9)</f>
        <v>9</v>
      </c>
      <c r="C504" s="5">
        <f ca="1">IFERROR(__xludf.DUMMYFUNCTION("""COMPUTED_VALUE"""),14)</f>
        <v>14</v>
      </c>
      <c r="D504" s="5">
        <f ca="1">IFERROR(__xludf.DUMMYFUNCTION("""COMPUTED_VALUE"""),2021)</f>
        <v>2021</v>
      </c>
      <c r="E504" s="8">
        <f ca="1">IFERROR(__xludf.DUMMYFUNCTION("""COMPUTED_VALUE"""),44453)</f>
        <v>44453</v>
      </c>
      <c r="F504" s="5" t="str">
        <f ca="1">IFERROR(__xludf.DUMMYFUNCTION("""COMPUTED_VALUE"""),"La Vergne High School")</f>
        <v>La Vergne High School</v>
      </c>
      <c r="G504" s="5">
        <f ca="1">IFERROR(__xludf.DUMMYFUNCTION("""COMPUTED_VALUE"""),0)</f>
        <v>0</v>
      </c>
      <c r="H504" s="5">
        <f ca="1">IFERROR(__xludf.DUMMYFUNCTION("""COMPUTED_VALUE"""),0)</f>
        <v>0</v>
      </c>
      <c r="I504" s="5">
        <f ca="1">IFERROR(__xludf.DUMMYFUNCTION("""COMPUTED_VALUE"""),0)</f>
        <v>0</v>
      </c>
      <c r="J504" s="5">
        <f ca="1">IFERROR(__xludf.DUMMYFUNCTION("""COMPUTED_VALUE"""),0)</f>
        <v>0</v>
      </c>
      <c r="K504" s="5" t="str">
        <f ca="1">IFERROR(__xludf.DUMMYFUNCTION("""COMPUTED_VALUE"""),"n https://www.mainstreet-nashville.com/communities/2-male-suspects-arrested-after-la-vergne-high-school-shooting/article_9423f27c-1490-11ec-a3f8-57c0c3c567cf.html")</f>
        <v>n https://www.mainstreet-nashville.com/communities/2-male-suspects-arrested-after-la-vergne-high-school-shooting/article_9423f27c-1490-11ec-a3f8-57c0c3c567cf.html</v>
      </c>
      <c r="L504" s="5">
        <f ca="1">IFERROR(__xludf.DUMMYFUNCTION("""COMPUTED_VALUE"""),3)</f>
        <v>3</v>
      </c>
      <c r="M504" s="5" t="str">
        <f ca="1">IFERROR(__xludf.DUMMYFUNCTION("""COMPUTED_VALUE"""),"Local")</f>
        <v>Local</v>
      </c>
      <c r="N504" s="5">
        <f ca="1">IFERROR(__xludf.DUMMYFUNCTION("""COMPUTED_VALUE"""),4)</f>
        <v>4</v>
      </c>
      <c r="O504" s="5" t="str">
        <f ca="1">IFERROR(__xludf.DUMMYFUNCTION("""COMPUTED_VALUE"""),"Fall")</f>
        <v>Fall</v>
      </c>
      <c r="P504" s="5" t="str">
        <f ca="1">IFERROR(__xludf.DUMMYFUNCTION("""COMPUTED_VALUE"""),"La Vergne")</f>
        <v>La Vergne</v>
      </c>
      <c r="Q504" s="5" t="str">
        <f ca="1">IFERROR(__xludf.DUMMYFUNCTION("""COMPUTED_VALUE"""),"TN")</f>
        <v>TN</v>
      </c>
      <c r="R504" s="5" t="str">
        <f ca="1">IFERROR(__xludf.DUMMYFUNCTION("""COMPUTED_VALUE"""),"High")</f>
        <v>High</v>
      </c>
      <c r="S504" s="5" t="str">
        <f ca="1">IFERROR(__xludf.DUMMYFUNCTION("""COMPUTED_VALUE"""),"Parking Lot")</f>
        <v>Parking Lot</v>
      </c>
      <c r="T504" s="5" t="str">
        <f ca="1">IFERROR(__xludf.DUMMYFUNCTION("""COMPUTED_VALUE"""),"Outside on School Property")</f>
        <v>Outside on School Property</v>
      </c>
      <c r="U504" s="5" t="str">
        <f ca="1">IFERROR(__xludf.DUMMYFUNCTION("""COMPUTED_VALUE"""),"Yes")</f>
        <v>Yes</v>
      </c>
      <c r="V504" s="5" t="str">
        <f ca="1">IFERROR(__xludf.DUMMYFUNCTION("""COMPUTED_VALUE"""),"Dismissal")</f>
        <v>Dismissal</v>
      </c>
      <c r="W504" s="10">
        <f ca="1">IFERROR(__xludf.DUMMYFUNCTION("""COMPUTED_VALUE"""),0.614583333333333)</f>
        <v>0.61458333333333304</v>
      </c>
      <c r="X504" s="5">
        <f ca="1">IFERROR(__xludf.DUMMYFUNCTION("""COMPUTED_VALUE"""),1)</f>
        <v>1</v>
      </c>
      <c r="Y504" s="5" t="str">
        <f ca="1">IFERROR(__xludf.DUMMYFUNCTION("""COMPUTED_VALUE"""),"Teen fired 3 shots in the parking lot during dismissal")</f>
        <v>Teen fired 3 shots in the parking lot during dismissal</v>
      </c>
      <c r="Z504" s="5" t="str">
        <f ca="1">IFERROR(__xludf.DUMMYFUNCTION("""COMPUTED_VALUE"""),"A 15-year-old student fired 3 shots in the parking lot at dismissal and then fled the area. The SRO was able to identify the student, notify police of the vehicle description, and the shooter was arrested with a 18-year-old male who also had a handgun. No"&amp;" injuries reported. Additional officers were assigned to the school the following day.")</f>
        <v>A 15-year-old student fired 3 shots in the parking lot at dismissal and then fled the area. The SRO was able to identify the student, notify police of the vehicle description, and the shooter was arrested with a 18-year-old male who also had a handgun. No injuries reported. Additional officers were assigned to the school the following day.</v>
      </c>
      <c r="AA504" s="5"/>
      <c r="AB504" s="5" t="str">
        <f ca="1">IFERROR(__xludf.DUMMYFUNCTION("""COMPUTED_VALUE"""),"Random Shooting")</f>
        <v>Random Shooting</v>
      </c>
      <c r="AC504" s="5" t="str">
        <f ca="1">IFERROR(__xludf.DUMMYFUNCTION("""COMPUTED_VALUE"""),"Yes")</f>
        <v>Yes</v>
      </c>
      <c r="AD504" s="5" t="str">
        <f ca="1">IFERROR(__xludf.DUMMYFUNCTION("""COMPUTED_VALUE"""),"No")</f>
        <v>No</v>
      </c>
      <c r="AE504" s="5" t="str">
        <f ca="1">IFERROR(__xludf.DUMMYFUNCTION("""COMPUTED_VALUE"""),"No")</f>
        <v>No</v>
      </c>
      <c r="AF504" s="5" t="str">
        <f ca="1">IFERROR(__xludf.DUMMYFUNCTION("""COMPUTED_VALUE"""),"No")</f>
        <v>No</v>
      </c>
      <c r="AG504" s="5" t="str">
        <f ca="1">IFERROR(__xludf.DUMMYFUNCTION("""COMPUTED_VALUE"""),"No")</f>
        <v>No</v>
      </c>
      <c r="AH504" s="5" t="str">
        <f ca="1">IFERROR(__xludf.DUMMYFUNCTION("""COMPUTED_VALUE"""),"No")</f>
        <v>No</v>
      </c>
      <c r="AI504" s="5"/>
      <c r="AJ504" s="5" t="str">
        <f ca="1">IFERROR(__xludf.DUMMYFUNCTION("""COMPUTED_VALUE"""),"No")</f>
        <v>No</v>
      </c>
    </row>
    <row r="505" spans="1:36" ht="13">
      <c r="A505" s="5" t="str">
        <f ca="1">IFERROR(__xludf.DUMMYFUNCTION("""COMPUTED_VALUE"""),"20210914MOMCH")</f>
        <v>20210914MOMCH</v>
      </c>
      <c r="B505" s="5">
        <f ca="1">IFERROR(__xludf.DUMMYFUNCTION("""COMPUTED_VALUE"""),9)</f>
        <v>9</v>
      </c>
      <c r="C505" s="5">
        <f ca="1">IFERROR(__xludf.DUMMYFUNCTION("""COMPUTED_VALUE"""),14)</f>
        <v>14</v>
      </c>
      <c r="D505" s="5">
        <f ca="1">IFERROR(__xludf.DUMMYFUNCTION("""COMPUTED_VALUE"""),2021)</f>
        <v>2021</v>
      </c>
      <c r="E505" s="8">
        <f ca="1">IFERROR(__xludf.DUMMYFUNCTION("""COMPUTED_VALUE"""),44453)</f>
        <v>44453</v>
      </c>
      <c r="F505" s="5" t="str">
        <f ca="1">IFERROR(__xludf.DUMMYFUNCTION("""COMPUTED_VALUE"""),"McNair Elementary School")</f>
        <v>McNair Elementary School</v>
      </c>
      <c r="G505" s="5">
        <f ca="1">IFERROR(__xludf.DUMMYFUNCTION("""COMPUTED_VALUE"""),0)</f>
        <v>0</v>
      </c>
      <c r="H505" s="5">
        <f ca="1">IFERROR(__xludf.DUMMYFUNCTION("""COMPUTED_VALUE"""),0)</f>
        <v>0</v>
      </c>
      <c r="I505" s="5">
        <f ca="1">IFERROR(__xludf.DUMMYFUNCTION("""COMPUTED_VALUE"""),0)</f>
        <v>0</v>
      </c>
      <c r="J505" s="5">
        <f ca="1">IFERROR(__xludf.DUMMYFUNCTION("""COMPUTED_VALUE"""),0)</f>
        <v>0</v>
      </c>
      <c r="K505" s="9" t="str">
        <f ca="1">IFERROR(__xludf.DUMMYFUNCTION("""COMPUTED_VALUE"""),"https://www.ksdk.com/article/news/local/hazelwood-parents-bring-gun-school/63-858a7bac-0311-4c92-8471-c2770c2c7716")</f>
        <v>https://www.ksdk.com/article/news/local/hazelwood-parents-bring-gun-school/63-858a7bac-0311-4c92-8471-c2770c2c7716</v>
      </c>
      <c r="L505" s="5">
        <f ca="1">IFERROR(__xludf.DUMMYFUNCTION("""COMPUTED_VALUE"""),1)</f>
        <v>1</v>
      </c>
      <c r="M505" s="5" t="str">
        <f ca="1">IFERROR(__xludf.DUMMYFUNCTION("""COMPUTED_VALUE"""),"Local")</f>
        <v>Local</v>
      </c>
      <c r="N505" s="5">
        <f ca="1">IFERROR(__xludf.DUMMYFUNCTION("""COMPUTED_VALUE"""),3)</f>
        <v>3</v>
      </c>
      <c r="O505" s="5" t="str">
        <f ca="1">IFERROR(__xludf.DUMMYFUNCTION("""COMPUTED_VALUE"""),"Fall")</f>
        <v>Fall</v>
      </c>
      <c r="P505" s="5" t="str">
        <f ca="1">IFERROR(__xludf.DUMMYFUNCTION("""COMPUTED_VALUE"""),"Hazelwood")</f>
        <v>Hazelwood</v>
      </c>
      <c r="Q505" s="5" t="str">
        <f ca="1">IFERROR(__xludf.DUMMYFUNCTION("""COMPUTED_VALUE"""),"MO")</f>
        <v>MO</v>
      </c>
      <c r="R505" s="5" t="str">
        <f ca="1">IFERROR(__xludf.DUMMYFUNCTION("""COMPUTED_VALUE"""),"Elementary")</f>
        <v>Elementary</v>
      </c>
      <c r="S505" s="5" t="str">
        <f ca="1">IFERROR(__xludf.DUMMYFUNCTION("""COMPUTED_VALUE"""),"Parking Lot")</f>
        <v>Parking Lot</v>
      </c>
      <c r="T505" s="5" t="str">
        <f ca="1">IFERROR(__xludf.DUMMYFUNCTION("""COMPUTED_VALUE"""),"Outside on School Property")</f>
        <v>Outside on School Property</v>
      </c>
      <c r="U505" s="5" t="str">
        <f ca="1">IFERROR(__xludf.DUMMYFUNCTION("""COMPUTED_VALUE"""),"Yes")</f>
        <v>Yes</v>
      </c>
      <c r="V505" s="5" t="str">
        <f ca="1">IFERROR(__xludf.DUMMYFUNCTION("""COMPUTED_VALUE"""),"School Start")</f>
        <v>School Start</v>
      </c>
      <c r="W505" s="10">
        <f ca="1">IFERROR(__xludf.DUMMYFUNCTION("""COMPUTED_VALUE"""),0.364583333333333)</f>
        <v>0.36458333333333298</v>
      </c>
      <c r="X505" s="5">
        <f ca="1">IFERROR(__xludf.DUMMYFUNCTION("""COMPUTED_VALUE"""),1)</f>
        <v>1</v>
      </c>
      <c r="Y505" s="5" t="str">
        <f ca="1">IFERROR(__xludf.DUMMYFUNCTION("""COMPUTED_VALUE"""),"Two parents brandished handguns during an argument in the drop-off line")</f>
        <v>Two parents brandished handguns during an argument in the drop-off line</v>
      </c>
      <c r="Z505" s="5" t="str">
        <f ca="1">IFERROR(__xludf.DUMMYFUNCTION("""COMPUTED_VALUE"""),"Two mothers each pulled handguns during a argument in the drop off line of the elementary school. School officials were able to defuse the situation and both parents left the area. Police were notified afterwards and charges are pending.")</f>
        <v>Two mothers each pulled handguns during a argument in the drop off line of the elementary school. School officials were able to defuse the situation and both parents left the area. Police were notified afterwards and charges are pending.</v>
      </c>
      <c r="AA505" s="5" t="str">
        <f ca="1">IFERROR(__xludf.DUMMYFUNCTION("""COMPUTED_VALUE"""),"Escalation of Dispute")</f>
        <v>Escalation of Dispute</v>
      </c>
      <c r="AB505" s="5" t="str">
        <f ca="1">IFERROR(__xludf.DUMMYFUNCTION("""COMPUTED_VALUE"""),"Victims Targeted")</f>
        <v>Victims Targeted</v>
      </c>
      <c r="AC505" s="5" t="str">
        <f ca="1">IFERROR(__xludf.DUMMYFUNCTION("""COMPUTED_VALUE"""),"No")</f>
        <v>No</v>
      </c>
      <c r="AD505" s="5" t="str">
        <f ca="1">IFERROR(__xludf.DUMMYFUNCTION("""COMPUTED_VALUE"""),"No")</f>
        <v>No</v>
      </c>
      <c r="AE505" s="5" t="str">
        <f ca="1">IFERROR(__xludf.DUMMYFUNCTION("""COMPUTED_VALUE"""),"No")</f>
        <v>No</v>
      </c>
      <c r="AF505" s="5" t="str">
        <f ca="1">IFERROR(__xludf.DUMMYFUNCTION("""COMPUTED_VALUE"""),"No")</f>
        <v>No</v>
      </c>
      <c r="AG505" s="5" t="str">
        <f ca="1">IFERROR(__xludf.DUMMYFUNCTION("""COMPUTED_VALUE"""),"No")</f>
        <v>No</v>
      </c>
      <c r="AH505" s="5" t="str">
        <f ca="1">IFERROR(__xludf.DUMMYFUNCTION("""COMPUTED_VALUE"""),"No")</f>
        <v>No</v>
      </c>
      <c r="AI505" s="5" t="str">
        <f ca="1">IFERROR(__xludf.DUMMYFUNCTION("""COMPUTED_VALUE"""),"No")</f>
        <v>No</v>
      </c>
      <c r="AJ505" s="5" t="str">
        <f ca="1">IFERROR(__xludf.DUMMYFUNCTION("""COMPUTED_VALUE"""),"No")</f>
        <v>No</v>
      </c>
    </row>
    <row r="506" spans="1:36" ht="13">
      <c r="A506" s="5" t="str">
        <f ca="1">IFERROR(__xludf.DUMMYFUNCTION("""COMPUTED_VALUE"""),"20210913SCEDC")</f>
        <v>20210913SCEDC</v>
      </c>
      <c r="B506" s="5">
        <f ca="1">IFERROR(__xludf.DUMMYFUNCTION("""COMPUTED_VALUE"""),9)</f>
        <v>9</v>
      </c>
      <c r="C506" s="5">
        <f ca="1">IFERROR(__xludf.DUMMYFUNCTION("""COMPUTED_VALUE"""),13)</f>
        <v>13</v>
      </c>
      <c r="D506" s="5">
        <f ca="1">IFERROR(__xludf.DUMMYFUNCTION("""COMPUTED_VALUE"""),2021)</f>
        <v>2021</v>
      </c>
      <c r="E506" s="8">
        <f ca="1">IFERROR(__xludf.DUMMYFUNCTION("""COMPUTED_VALUE"""),44452)</f>
        <v>44452</v>
      </c>
      <c r="F506" s="5" t="str">
        <f ca="1">IFERROR(__xludf.DUMMYFUNCTION("""COMPUTED_VALUE"""),"Edwards Elementary School")</f>
        <v>Edwards Elementary School</v>
      </c>
      <c r="G506" s="5">
        <f ca="1">IFERROR(__xludf.DUMMYFUNCTION("""COMPUTED_VALUE"""),0)</f>
        <v>0</v>
      </c>
      <c r="H506" s="5">
        <f ca="1">IFERROR(__xludf.DUMMYFUNCTION("""COMPUTED_VALUE"""),1)</f>
        <v>1</v>
      </c>
      <c r="I506" s="5">
        <f ca="1">IFERROR(__xludf.DUMMYFUNCTION("""COMPUTED_VALUE"""),1)</f>
        <v>1</v>
      </c>
      <c r="J506" s="5">
        <f ca="1">IFERROR(__xludf.DUMMYFUNCTION("""COMPUTED_VALUE"""),0)</f>
        <v>0</v>
      </c>
      <c r="K506" s="5" t="str">
        <f ca="1">IFERROR(__xludf.DUMMYFUNCTION("""COMPUTED_VALUE"""),"https://wpde.com/news/local/person-shot-parking-lot-of-chesterfield-county-school https://www.wbtv.com/2021/03/11/woman-wanted-school-parking-lot-shooting-chesterfield-turns-herself/ https://www.wsoctv.com/news/local/domestic-situation-leads-shooting-ches"&amp;"terfield-county-elementary-school-parking-lot/42ZNUCYQDZDWROWFM3K5XM73OM/")</f>
        <v>https://wpde.com/news/local/person-shot-parking-lot-of-chesterfield-county-school https://www.wbtv.com/2021/03/11/woman-wanted-school-parking-lot-shooting-chesterfield-turns-herself/ https://www.wsoctv.com/news/local/domestic-situation-leads-shooting-chesterfield-county-elementary-school-parking-lot/42ZNUCYQDZDWROWFM3K5XM73OM/</v>
      </c>
      <c r="L506" s="5">
        <f ca="1">IFERROR(__xludf.DUMMYFUNCTION("""COMPUTED_VALUE"""),5)</f>
        <v>5</v>
      </c>
      <c r="M506" s="5" t="str">
        <f ca="1">IFERROR(__xludf.DUMMYFUNCTION("""COMPUTED_VALUE"""),"Local")</f>
        <v>Local</v>
      </c>
      <c r="N506" s="5">
        <f ca="1">IFERROR(__xludf.DUMMYFUNCTION("""COMPUTED_VALUE"""),4)</f>
        <v>4</v>
      </c>
      <c r="O506" s="5" t="str">
        <f ca="1">IFERROR(__xludf.DUMMYFUNCTION("""COMPUTED_VALUE"""),"Fall")</f>
        <v>Fall</v>
      </c>
      <c r="P506" s="5" t="str">
        <f ca="1">IFERROR(__xludf.DUMMYFUNCTION("""COMPUTED_VALUE"""),"Chesterfield County")</f>
        <v>Chesterfield County</v>
      </c>
      <c r="Q506" s="5" t="str">
        <f ca="1">IFERROR(__xludf.DUMMYFUNCTION("""COMPUTED_VALUE"""),"SC")</f>
        <v>SC</v>
      </c>
      <c r="R506" s="5" t="str">
        <f ca="1">IFERROR(__xludf.DUMMYFUNCTION("""COMPUTED_VALUE"""),"Elementary")</f>
        <v>Elementary</v>
      </c>
      <c r="S506" s="5" t="str">
        <f ca="1">IFERROR(__xludf.DUMMYFUNCTION("""COMPUTED_VALUE"""),"Parking Lot")</f>
        <v>Parking Lot</v>
      </c>
      <c r="T506" s="5" t="str">
        <f ca="1">IFERROR(__xludf.DUMMYFUNCTION("""COMPUTED_VALUE"""),"Outside on School Property")</f>
        <v>Outside on School Property</v>
      </c>
      <c r="U506" s="5" t="str">
        <f ca="1">IFERROR(__xludf.DUMMYFUNCTION("""COMPUTED_VALUE"""),"Yes")</f>
        <v>Yes</v>
      </c>
      <c r="V506" s="5" t="str">
        <f ca="1">IFERROR(__xludf.DUMMYFUNCTION("""COMPUTED_VALUE"""),"Afternoon Classes")</f>
        <v>Afternoon Classes</v>
      </c>
      <c r="W506" s="10">
        <f ca="1">IFERROR(__xludf.DUMMYFUNCTION("""COMPUTED_VALUE"""),0.5625)</f>
        <v>0.5625</v>
      </c>
      <c r="X506" s="5">
        <f ca="1">IFERROR(__xludf.DUMMYFUNCTION("""COMPUTED_VALUE"""),1)</f>
        <v>1</v>
      </c>
      <c r="Y506" s="5" t="str">
        <f ca="1">IFERROR(__xludf.DUMMYFUNCTION("""COMPUTED_VALUE"""),"Woman shot her adult son-in-law during a domestic dispute in the parking lot")</f>
        <v>Woman shot her adult son-in-law during a domestic dispute in the parking lot</v>
      </c>
      <c r="Z506" s="5" t="str">
        <f ca="1">IFERROR(__xludf.DUMMYFUNCTION("""COMPUTED_VALUE"""),"A 54-year-old woman shot her adult son-in-law in the parking lot of the elementary school while classes were in session. The school was placed on lockdown and she fled the area. She was identified and arrested away from the school.")</f>
        <v>A 54-year-old woman shot her adult son-in-law in the parking lot of the elementary school while classes were in session. The school was placed on lockdown and she fled the area. She was identified and arrested away from the school.</v>
      </c>
      <c r="AA506" s="5" t="str">
        <f ca="1">IFERROR(__xludf.DUMMYFUNCTION("""COMPUTED_VALUE"""),"Domestic w/ Targeted Victim")</f>
        <v>Domestic w/ Targeted Victim</v>
      </c>
      <c r="AB506" s="5" t="str">
        <f ca="1">IFERROR(__xludf.DUMMYFUNCTION("""COMPUTED_VALUE"""),"Victims Targeted")</f>
        <v>Victims Targeted</v>
      </c>
      <c r="AC506" s="5" t="str">
        <f ca="1">IFERROR(__xludf.DUMMYFUNCTION("""COMPUTED_VALUE"""),"No")</f>
        <v>No</v>
      </c>
      <c r="AD506" s="5" t="str">
        <f ca="1">IFERROR(__xludf.DUMMYFUNCTION("""COMPUTED_VALUE"""),"No")</f>
        <v>No</v>
      </c>
      <c r="AE506" s="5" t="str">
        <f ca="1">IFERROR(__xludf.DUMMYFUNCTION("""COMPUTED_VALUE"""),"No")</f>
        <v>No</v>
      </c>
      <c r="AF506" s="5" t="str">
        <f ca="1">IFERROR(__xludf.DUMMYFUNCTION("""COMPUTED_VALUE"""),"No")</f>
        <v>No</v>
      </c>
      <c r="AG506" s="5" t="str">
        <f ca="1">IFERROR(__xludf.DUMMYFUNCTION("""COMPUTED_VALUE"""),"No")</f>
        <v>No</v>
      </c>
      <c r="AH506" s="5" t="str">
        <f ca="1">IFERROR(__xludf.DUMMYFUNCTION("""COMPUTED_VALUE"""),"Yes")</f>
        <v>Yes</v>
      </c>
      <c r="AI506" s="5" t="str">
        <f ca="1">IFERROR(__xludf.DUMMYFUNCTION("""COMPUTED_VALUE"""),"No")</f>
        <v>No</v>
      </c>
      <c r="AJ506" s="5" t="str">
        <f ca="1">IFERROR(__xludf.DUMMYFUNCTION("""COMPUTED_VALUE"""),"No")</f>
        <v>No</v>
      </c>
    </row>
    <row r="507" spans="1:36" ht="13">
      <c r="A507" s="5" t="str">
        <f ca="1">IFERROR(__xludf.DUMMYFUNCTION("""COMPUTED_VALUE"""),"20210910CASTP")</f>
        <v>20210910CASTP</v>
      </c>
      <c r="B507" s="5">
        <f ca="1">IFERROR(__xludf.DUMMYFUNCTION("""COMPUTED_VALUE"""),9)</f>
        <v>9</v>
      </c>
      <c r="C507" s="5">
        <f ca="1">IFERROR(__xludf.DUMMYFUNCTION("""COMPUTED_VALUE"""),10)</f>
        <v>10</v>
      </c>
      <c r="D507" s="5">
        <f ca="1">IFERROR(__xludf.DUMMYFUNCTION("""COMPUTED_VALUE"""),2021)</f>
        <v>2021</v>
      </c>
      <c r="E507" s="8">
        <f ca="1">IFERROR(__xludf.DUMMYFUNCTION("""COMPUTED_VALUE"""),44449)</f>
        <v>44449</v>
      </c>
      <c r="F507" s="5" t="str">
        <f ca="1">IFERROR(__xludf.DUMMYFUNCTION("""COMPUTED_VALUE"""),"Stratford School")</f>
        <v>Stratford School</v>
      </c>
      <c r="G507" s="5">
        <f ca="1">IFERROR(__xludf.DUMMYFUNCTION("""COMPUTED_VALUE"""),0)</f>
        <v>0</v>
      </c>
      <c r="H507" s="5">
        <f ca="1">IFERROR(__xludf.DUMMYFUNCTION("""COMPUTED_VALUE"""),0)</f>
        <v>0</v>
      </c>
      <c r="I507" s="5">
        <f ca="1">IFERROR(__xludf.DUMMYFUNCTION("""COMPUTED_VALUE"""),0)</f>
        <v>0</v>
      </c>
      <c r="J507" s="5">
        <f ca="1">IFERROR(__xludf.DUMMYFUNCTION("""COMPUTED_VALUE"""),0)</f>
        <v>0</v>
      </c>
      <c r="K507" s="9" t="str">
        <f ca="1">IFERROR(__xludf.DUMMYFUNCTION("""COMPUTED_VALUE"""),"https://sanfrancisco.cbslocal.com/2021/09/03/palo-alto-man-arrested-shooting-child-school-air-rifle/")</f>
        <v>https://sanfrancisco.cbslocal.com/2021/09/03/palo-alto-man-arrested-shooting-child-school-air-rifle/</v>
      </c>
      <c r="L507" s="5">
        <f ca="1">IFERROR(__xludf.DUMMYFUNCTION("""COMPUTED_VALUE"""),1)</f>
        <v>1</v>
      </c>
      <c r="M507" s="5" t="str">
        <f ca="1">IFERROR(__xludf.DUMMYFUNCTION("""COMPUTED_VALUE"""),"Local")</f>
        <v>Local</v>
      </c>
      <c r="N507" s="5">
        <f ca="1">IFERROR(__xludf.DUMMYFUNCTION("""COMPUTED_VALUE"""),4)</f>
        <v>4</v>
      </c>
      <c r="O507" s="5" t="str">
        <f ca="1">IFERROR(__xludf.DUMMYFUNCTION("""COMPUTED_VALUE"""),"Fall")</f>
        <v>Fall</v>
      </c>
      <c r="P507" s="5" t="str">
        <f ca="1">IFERROR(__xludf.DUMMYFUNCTION("""COMPUTED_VALUE"""),"Palo Alto")</f>
        <v>Palo Alto</v>
      </c>
      <c r="Q507" s="5" t="str">
        <f ca="1">IFERROR(__xludf.DUMMYFUNCTION("""COMPUTED_VALUE"""),"CA")</f>
        <v>CA</v>
      </c>
      <c r="R507" s="5" t="str">
        <f ca="1">IFERROR(__xludf.DUMMYFUNCTION("""COMPUTED_VALUE"""),"Elementary")</f>
        <v>Elementary</v>
      </c>
      <c r="S507" s="5" t="str">
        <f ca="1">IFERROR(__xludf.DUMMYFUNCTION("""COMPUTED_VALUE"""),"Playground")</f>
        <v>Playground</v>
      </c>
      <c r="T507" s="5" t="str">
        <f ca="1">IFERROR(__xludf.DUMMYFUNCTION("""COMPUTED_VALUE"""),"Outside on School Property")</f>
        <v>Outside on School Property</v>
      </c>
      <c r="U507" s="5" t="str">
        <f ca="1">IFERROR(__xludf.DUMMYFUNCTION("""COMPUTED_VALUE"""),"Yes")</f>
        <v>Yes</v>
      </c>
      <c r="V507" s="5" t="str">
        <f ca="1">IFERROR(__xludf.DUMMYFUNCTION("""COMPUTED_VALUE"""),"Lunch")</f>
        <v>Lunch</v>
      </c>
      <c r="W507" s="10">
        <f ca="1">IFERROR(__xludf.DUMMYFUNCTION("""COMPUTED_VALUE"""),0.519444444444444)</f>
        <v>0.51944444444444404</v>
      </c>
      <c r="X507" s="5">
        <f ca="1">IFERROR(__xludf.DUMMYFUNCTION("""COMPUTED_VALUE"""),1)</f>
        <v>1</v>
      </c>
      <c r="Y507" s="5" t="str">
        <f ca="1">IFERROR(__xludf.DUMMYFUNCTION("""COMPUTED_VALUE"""),"Man shot air rifle at a random student on the playground")</f>
        <v>Man shot air rifle at a random student on the playground</v>
      </c>
      <c r="Z507" s="5" t="str">
        <f ca="1">IFERROR(__xludf.DUMMYFUNCTION("""COMPUTED_VALUE"""),"A 62-year-old man fired a single shot from an air rifle at a child on the school playground. A neighbor witnessed the shooting and called police. The shooter intentionally fired at the student but did not have any connection to the victim or specifically "&amp;"target the victim. The student was not injured. Shooter was arrested and charged with multiple felonies. School was locked down and nearby schools were notified.")</f>
        <v>A 62-year-old man fired a single shot from an air rifle at a child on the school playground. A neighbor witnessed the shooting and called police. The shooter intentionally fired at the student but did not have any connection to the victim or specifically target the victim. The student was not injured. Shooter was arrested and charged with multiple felonies. School was locked down and nearby schools were notified.</v>
      </c>
      <c r="AA507" s="5" t="str">
        <f ca="1">IFERROR(__xludf.DUMMYFUNCTION("""COMPUTED_VALUE"""),"Indiscriminate Shooting")</f>
        <v>Indiscriminate Shooting</v>
      </c>
      <c r="AB507" s="5" t="str">
        <f ca="1">IFERROR(__xludf.DUMMYFUNCTION("""COMPUTED_VALUE"""),"Random Shooting")</f>
        <v>Random Shooting</v>
      </c>
      <c r="AC507" s="5" t="str">
        <f ca="1">IFERROR(__xludf.DUMMYFUNCTION("""COMPUTED_VALUE"""),"No")</f>
        <v>No</v>
      </c>
      <c r="AD507" s="5" t="str">
        <f ca="1">IFERROR(__xludf.DUMMYFUNCTION("""COMPUTED_VALUE"""),"No")</f>
        <v>No</v>
      </c>
      <c r="AE507" s="5" t="str">
        <f ca="1">IFERROR(__xludf.DUMMYFUNCTION("""COMPUTED_VALUE"""),"No")</f>
        <v>No</v>
      </c>
      <c r="AF507" s="5" t="str">
        <f ca="1">IFERROR(__xludf.DUMMYFUNCTION("""COMPUTED_VALUE"""),"No")</f>
        <v>No</v>
      </c>
      <c r="AG507" s="5" t="str">
        <f ca="1">IFERROR(__xludf.DUMMYFUNCTION("""COMPUTED_VALUE"""),"No")</f>
        <v>No</v>
      </c>
      <c r="AH507" s="5" t="str">
        <f ca="1">IFERROR(__xludf.DUMMYFUNCTION("""COMPUTED_VALUE"""),"No")</f>
        <v>No</v>
      </c>
      <c r="AI507" s="5" t="str">
        <f ca="1">IFERROR(__xludf.DUMMYFUNCTION("""COMPUTED_VALUE"""),"No")</f>
        <v>No</v>
      </c>
      <c r="AJ507" s="5" t="str">
        <f ca="1">IFERROR(__xludf.DUMMYFUNCTION("""COMPUTED_VALUE"""),"No")</f>
        <v>No</v>
      </c>
    </row>
    <row r="508" spans="1:36" ht="13">
      <c r="A508" s="5" t="str">
        <f ca="1">IFERROR(__xludf.DUMMYFUNCTION("""COMPUTED_VALUE"""),"20210910CONOA")</f>
        <v>20210910CONOA</v>
      </c>
      <c r="B508" s="5">
        <f ca="1">IFERROR(__xludf.DUMMYFUNCTION("""COMPUTED_VALUE"""),9)</f>
        <v>9</v>
      </c>
      <c r="C508" s="5">
        <f ca="1">IFERROR(__xludf.DUMMYFUNCTION("""COMPUTED_VALUE"""),10)</f>
        <v>10</v>
      </c>
      <c r="D508" s="5">
        <f ca="1">IFERROR(__xludf.DUMMYFUNCTION("""COMPUTED_VALUE"""),2021)</f>
        <v>2021</v>
      </c>
      <c r="E508" s="8">
        <f ca="1">IFERROR(__xludf.DUMMYFUNCTION("""COMPUTED_VALUE"""),44449)</f>
        <v>44449</v>
      </c>
      <c r="F508" s="5" t="str">
        <f ca="1">IFERROR(__xludf.DUMMYFUNCTION("""COMPUTED_VALUE"""),"North Area Athletic Complex")</f>
        <v>North Area Athletic Complex</v>
      </c>
      <c r="G508" s="5">
        <f ca="1">IFERROR(__xludf.DUMMYFUNCTION("""COMPUTED_VALUE"""),0)</f>
        <v>0</v>
      </c>
      <c r="H508" s="5">
        <f ca="1">IFERROR(__xludf.DUMMYFUNCTION("""COMPUTED_VALUE"""),0)</f>
        <v>0</v>
      </c>
      <c r="I508" s="5">
        <f ca="1">IFERROR(__xludf.DUMMYFUNCTION("""COMPUTED_VALUE"""),0)</f>
        <v>0</v>
      </c>
      <c r="J508" s="5">
        <f ca="1">IFERROR(__xludf.DUMMYFUNCTION("""COMPUTED_VALUE"""),0)</f>
        <v>0</v>
      </c>
      <c r="K508" s="5" t="str">
        <f ca="1">IFERROR(__xludf.DUMMYFUNCTION("""COMPUTED_VALUE"""),"https://www.9news.com/article/news/crime/shots-heard-athletic-complex-arvada-police/73-9ce06b04-2099-444f-834b-476125db48a8 https://kdvr.com/news/local/police-investigate-possible-shots-fired-near-arvada-football-game/")</f>
        <v>https://www.9news.com/article/news/crime/shots-heard-athletic-complex-arvada-police/73-9ce06b04-2099-444f-834b-476125db48a8 https://kdvr.com/news/local/police-investigate-possible-shots-fired-near-arvada-football-game/</v>
      </c>
      <c r="L508" s="5">
        <f ca="1">IFERROR(__xludf.DUMMYFUNCTION("""COMPUTED_VALUE"""),2)</f>
        <v>2</v>
      </c>
      <c r="M508" s="5" t="str">
        <f ca="1">IFERROR(__xludf.DUMMYFUNCTION("""COMPUTED_VALUE"""),"Local")</f>
        <v>Local</v>
      </c>
      <c r="N508" s="5">
        <f ca="1">IFERROR(__xludf.DUMMYFUNCTION("""COMPUTED_VALUE"""),4)</f>
        <v>4</v>
      </c>
      <c r="O508" s="5" t="str">
        <f ca="1">IFERROR(__xludf.DUMMYFUNCTION("""COMPUTED_VALUE"""),"Fall")</f>
        <v>Fall</v>
      </c>
      <c r="P508" s="5" t="str">
        <f ca="1">IFERROR(__xludf.DUMMYFUNCTION("""COMPUTED_VALUE"""),"Arvada")</f>
        <v>Arvada</v>
      </c>
      <c r="Q508" s="5" t="str">
        <f ca="1">IFERROR(__xludf.DUMMYFUNCTION("""COMPUTED_VALUE"""),"CO")</f>
        <v>CO</v>
      </c>
      <c r="R508" s="5" t="str">
        <f ca="1">IFERROR(__xludf.DUMMYFUNCTION("""COMPUTED_VALUE"""),"High")</f>
        <v>High</v>
      </c>
      <c r="S508" s="5" t="str">
        <f ca="1">IFERROR(__xludf.DUMMYFUNCTION("""COMPUTED_VALUE"""),"Parking Lot")</f>
        <v>Parking Lot</v>
      </c>
      <c r="T508" s="5" t="str">
        <f ca="1">IFERROR(__xludf.DUMMYFUNCTION("""COMPUTED_VALUE"""),"Outside on School Property")</f>
        <v>Outside on School Property</v>
      </c>
      <c r="U508" s="5" t="str">
        <f ca="1">IFERROR(__xludf.DUMMYFUNCTION("""COMPUTED_VALUE"""),"No")</f>
        <v>No</v>
      </c>
      <c r="V508" s="5" t="str">
        <f ca="1">IFERROR(__xludf.DUMMYFUNCTION("""COMPUTED_VALUE"""),"Sport Event")</f>
        <v>Sport Event</v>
      </c>
      <c r="W508" s="10">
        <f ca="1">IFERROR(__xludf.DUMMYFUNCTION("""COMPUTED_VALUE"""),0.854166666666666)</f>
        <v>0.85416666666666596</v>
      </c>
      <c r="X508" s="5">
        <f ca="1">IFERROR(__xludf.DUMMYFUNCTION("""COMPUTED_VALUE"""),1)</f>
        <v>1</v>
      </c>
      <c r="Y508" s="5" t="str">
        <f ca="1">IFERROR(__xludf.DUMMYFUNCTION("""COMPUTED_VALUE"""),"Shots fired in the parking lot during high school football game")</f>
        <v>Shots fired in the parking lot during high school football game</v>
      </c>
      <c r="Z508" s="5" t="str">
        <f ca="1">IFERROR(__xludf.DUMMYFUNCTION("""COMPUTED_VALUE"""),"4 shots were fired in the parking lot of the athletic complex during a high school football game. Officers were assigned to the game and responded to the area. Witnesses said a man fired the shots from a vehicle. No victims were found and the shooter fled"&amp;".")</f>
        <v>4 shots were fired in the parking lot of the athletic complex during a high school football game. Officers were assigned to the game and responded to the area. Witnesses said a man fired the shots from a vehicle. No victims were found and the shooter fled.</v>
      </c>
      <c r="AA508" s="5" t="str">
        <f ca="1">IFERROR(__xludf.DUMMYFUNCTION("""COMPUTED_VALUE"""),"Drive-by Shooting")</f>
        <v>Drive-by Shooting</v>
      </c>
      <c r="AB508" s="5" t="str">
        <f ca="1">IFERROR(__xludf.DUMMYFUNCTION("""COMPUTED_VALUE"""),"Victims Targeted")</f>
        <v>Victims Targeted</v>
      </c>
      <c r="AC508" s="5" t="str">
        <f ca="1">IFERROR(__xludf.DUMMYFUNCTION("""COMPUTED_VALUE"""),"No")</f>
        <v>No</v>
      </c>
      <c r="AD508" s="5" t="str">
        <f ca="1">IFERROR(__xludf.DUMMYFUNCTION("""COMPUTED_VALUE"""),"No")</f>
        <v>No</v>
      </c>
      <c r="AE508" s="5" t="str">
        <f ca="1">IFERROR(__xludf.DUMMYFUNCTION("""COMPUTED_VALUE"""),"No")</f>
        <v>No</v>
      </c>
      <c r="AF508" s="5" t="str">
        <f ca="1">IFERROR(__xludf.DUMMYFUNCTION("""COMPUTED_VALUE"""),"No")</f>
        <v>No</v>
      </c>
      <c r="AG508" s="5" t="str">
        <f ca="1">IFERROR(__xludf.DUMMYFUNCTION("""COMPUTED_VALUE"""),"No")</f>
        <v>No</v>
      </c>
      <c r="AH508" s="5" t="str">
        <f ca="1">IFERROR(__xludf.DUMMYFUNCTION("""COMPUTED_VALUE"""),"No")</f>
        <v>No</v>
      </c>
      <c r="AI508" s="5"/>
      <c r="AJ508" s="5" t="str">
        <f ca="1">IFERROR(__xludf.DUMMYFUNCTION("""COMPUTED_VALUE"""),"No")</f>
        <v>No</v>
      </c>
    </row>
    <row r="509" spans="1:36" ht="13">
      <c r="A509" s="5" t="str">
        <f ca="1">IFERROR(__xludf.DUMMYFUNCTION("""COMPUTED_VALUE"""),"20210909MITRF")</f>
        <v>20210909MITRF</v>
      </c>
      <c r="B509" s="5">
        <f ca="1">IFERROR(__xludf.DUMMYFUNCTION("""COMPUTED_VALUE"""),9)</f>
        <v>9</v>
      </c>
      <c r="C509" s="5">
        <f ca="1">IFERROR(__xludf.DUMMYFUNCTION("""COMPUTED_VALUE"""),9)</f>
        <v>9</v>
      </c>
      <c r="D509" s="5">
        <f ca="1">IFERROR(__xludf.DUMMYFUNCTION("""COMPUTED_VALUE"""),2021)</f>
        <v>2021</v>
      </c>
      <c r="E509" s="8">
        <f ca="1">IFERROR(__xludf.DUMMYFUNCTION("""COMPUTED_VALUE"""),44448)</f>
        <v>44448</v>
      </c>
      <c r="F509" s="5" t="str">
        <f ca="1">IFERROR(__xludf.DUMMYFUNCTION("""COMPUTED_VALUE"""),"Tri-County Education Center")</f>
        <v>Tri-County Education Center</v>
      </c>
      <c r="G509" s="5">
        <f ca="1">IFERROR(__xludf.DUMMYFUNCTION("""COMPUTED_VALUE"""),0)</f>
        <v>0</v>
      </c>
      <c r="H509" s="5">
        <f ca="1">IFERROR(__xludf.DUMMYFUNCTION("""COMPUTED_VALUE"""),0)</f>
        <v>0</v>
      </c>
      <c r="I509" s="5">
        <f ca="1">IFERROR(__xludf.DUMMYFUNCTION("""COMPUTED_VALUE"""),0)</f>
        <v>0</v>
      </c>
      <c r="J509" s="5">
        <f ca="1">IFERROR(__xludf.DUMMYFUNCTION("""COMPUTED_VALUE"""),0)</f>
        <v>0</v>
      </c>
      <c r="K509" s="9" t="str">
        <f ca="1">IFERROR(__xludf.DUMMYFUNCTION("""COMPUTED_VALUE"""),"https://www.detroitnews.com/story/news/local/oakland-county/2021/09/09/2-teens-arrested-school-parking-lot-shooting-royal-oak-twp/5781664001/")</f>
        <v>https://www.detroitnews.com/story/news/local/oakland-county/2021/09/09/2-teens-arrested-school-parking-lot-shooting-royal-oak-twp/5781664001/</v>
      </c>
      <c r="L509" s="5">
        <f ca="1">IFERROR(__xludf.DUMMYFUNCTION("""COMPUTED_VALUE"""),1)</f>
        <v>1</v>
      </c>
      <c r="M509" s="5" t="str">
        <f ca="1">IFERROR(__xludf.DUMMYFUNCTION("""COMPUTED_VALUE"""),"Local")</f>
        <v>Local</v>
      </c>
      <c r="N509" s="5">
        <f ca="1">IFERROR(__xludf.DUMMYFUNCTION("""COMPUTED_VALUE"""),4)</f>
        <v>4</v>
      </c>
      <c r="O509" s="5" t="str">
        <f ca="1">IFERROR(__xludf.DUMMYFUNCTION("""COMPUTED_VALUE"""),"Fall")</f>
        <v>Fall</v>
      </c>
      <c r="P509" s="5" t="str">
        <f ca="1">IFERROR(__xludf.DUMMYFUNCTION("""COMPUTED_VALUE"""),"Ferndale")</f>
        <v>Ferndale</v>
      </c>
      <c r="Q509" s="5" t="str">
        <f ca="1">IFERROR(__xludf.DUMMYFUNCTION("""COMPUTED_VALUE"""),"MI")</f>
        <v>MI</v>
      </c>
      <c r="R509" s="11">
        <f ca="1">IFERROR(__xludf.DUMMYFUNCTION("""COMPUTED_VALUE"""),44724)</f>
        <v>44724</v>
      </c>
      <c r="S509" s="5" t="str">
        <f ca="1">IFERROR(__xludf.DUMMYFUNCTION("""COMPUTED_VALUE"""),"Parking Lot")</f>
        <v>Parking Lot</v>
      </c>
      <c r="T509" s="5" t="str">
        <f ca="1">IFERROR(__xludf.DUMMYFUNCTION("""COMPUTED_VALUE"""),"Outside on School Property")</f>
        <v>Outside on School Property</v>
      </c>
      <c r="U509" s="5" t="str">
        <f ca="1">IFERROR(__xludf.DUMMYFUNCTION("""COMPUTED_VALUE"""),"Yes")</f>
        <v>Yes</v>
      </c>
      <c r="V509" s="5" t="str">
        <f ca="1">IFERROR(__xludf.DUMMYFUNCTION("""COMPUTED_VALUE"""),"Dismissal")</f>
        <v>Dismissal</v>
      </c>
      <c r="W509" s="10">
        <f ca="1">IFERROR(__xludf.DUMMYFUNCTION("""COMPUTED_VALUE"""),0.604166666666666)</f>
        <v>0.60416666666666596</v>
      </c>
      <c r="X509" s="5">
        <f ca="1">IFERROR(__xludf.DUMMYFUNCTION("""COMPUTED_VALUE"""),1)</f>
        <v>1</v>
      </c>
      <c r="Y509" s="5" t="str">
        <f ca="1">IFERROR(__xludf.DUMMYFUNCTION("""COMPUTED_VALUE"""),"Teen fired shot into the ground during a fight in the parking lot")</f>
        <v>Teen fired shot into the ground during a fight in the parking lot</v>
      </c>
      <c r="Z509" s="5" t="str">
        <f ca="1">IFERROR(__xludf.DUMMYFUNCTION("""COMPUTED_VALUE"""),"A teen fired a single shot into the ground during a fight in the parking lot between two groups of teens. A group of a teens had surrounded another teen who pulled a knife. After pulling the knife, the shooter retrieved a handgun from a nearby house and c"&amp;"ame back to the school parking lot where the fight resumed. Two teens arrested at the scene.")</f>
        <v>A teen fired a single shot into the ground during a fight in the parking lot between two groups of teens. A group of a teens had surrounded another teen who pulled a knife. After pulling the knife, the shooter retrieved a handgun from a nearby house and came back to the school parking lot where the fight resumed. Two teens arrested at the scene.</v>
      </c>
      <c r="AA509" s="5" t="str">
        <f ca="1">IFERROR(__xludf.DUMMYFUNCTION("""COMPUTED_VALUE"""),"Escalation of Dispute")</f>
        <v>Escalation of Dispute</v>
      </c>
      <c r="AB509" s="5" t="str">
        <f ca="1">IFERROR(__xludf.DUMMYFUNCTION("""COMPUTED_VALUE"""),"Neither")</f>
        <v>Neither</v>
      </c>
      <c r="AC509" s="5" t="str">
        <f ca="1">IFERROR(__xludf.DUMMYFUNCTION("""COMPUTED_VALUE"""),"Yes")</f>
        <v>Yes</v>
      </c>
      <c r="AD509" s="5" t="str">
        <f ca="1">IFERROR(__xludf.DUMMYFUNCTION("""COMPUTED_VALUE"""),"No")</f>
        <v>No</v>
      </c>
      <c r="AE509" s="5" t="str">
        <f ca="1">IFERROR(__xludf.DUMMYFUNCTION("""COMPUTED_VALUE"""),"No")</f>
        <v>No</v>
      </c>
      <c r="AF509" s="5" t="str">
        <f ca="1">IFERROR(__xludf.DUMMYFUNCTION("""COMPUTED_VALUE"""),"No")</f>
        <v>No</v>
      </c>
      <c r="AG509" s="5" t="str">
        <f ca="1">IFERROR(__xludf.DUMMYFUNCTION("""COMPUTED_VALUE"""),"No")</f>
        <v>No</v>
      </c>
      <c r="AH509" s="5" t="str">
        <f ca="1">IFERROR(__xludf.DUMMYFUNCTION("""COMPUTED_VALUE"""),"No")</f>
        <v>No</v>
      </c>
      <c r="AI509" s="5"/>
      <c r="AJ509" s="5" t="str">
        <f ca="1">IFERROR(__xludf.DUMMYFUNCTION("""COMPUTED_VALUE"""),"No")</f>
        <v>No</v>
      </c>
    </row>
    <row r="510" spans="1:36" ht="13">
      <c r="A510" s="5" t="str">
        <f ca="1">IFERROR(__xludf.DUMMYFUNCTION("""COMPUTED_VALUE"""),"20210909ILCHC")</f>
        <v>20210909ILCHC</v>
      </c>
      <c r="B510" s="5">
        <f ca="1">IFERROR(__xludf.DUMMYFUNCTION("""COMPUTED_VALUE"""),9)</f>
        <v>9</v>
      </c>
      <c r="C510" s="5">
        <f ca="1">IFERROR(__xludf.DUMMYFUNCTION("""COMPUTED_VALUE"""),9)</f>
        <v>9</v>
      </c>
      <c r="D510" s="5">
        <f ca="1">IFERROR(__xludf.DUMMYFUNCTION("""COMPUTED_VALUE"""),2021)</f>
        <v>2021</v>
      </c>
      <c r="E510" s="8">
        <f ca="1">IFERROR(__xludf.DUMMYFUNCTION("""COMPUTED_VALUE"""),44448)</f>
        <v>44448</v>
      </c>
      <c r="F510" s="5" t="str">
        <f ca="1">IFERROR(__xludf.DUMMYFUNCTION("""COMPUTED_VALUE"""),"Champaign School Bus")</f>
        <v>Champaign School Bus</v>
      </c>
      <c r="G510" s="5">
        <f ca="1">IFERROR(__xludf.DUMMYFUNCTION("""COMPUTED_VALUE"""),0)</f>
        <v>0</v>
      </c>
      <c r="H510" s="5">
        <f ca="1">IFERROR(__xludf.DUMMYFUNCTION("""COMPUTED_VALUE"""),1)</f>
        <v>1</v>
      </c>
      <c r="I510" s="5">
        <f ca="1">IFERROR(__xludf.DUMMYFUNCTION("""COMPUTED_VALUE"""),1)</f>
        <v>1</v>
      </c>
      <c r="J510" s="5">
        <f ca="1">IFERROR(__xludf.DUMMYFUNCTION("""COMPUTED_VALUE"""),0)</f>
        <v>0</v>
      </c>
      <c r="K510" s="5" t="str">
        <f ca="1">IFERROR(__xludf.DUMMYFUNCTION("""COMPUTED_VALUE"""),"https://www.wcia.com/news/school-bus-shot-mother-reacts/ https://newschannel20.com/news/local/school-bus-with-kids-inside-struck-by-gunfire-in-champaign")</f>
        <v>https://www.wcia.com/news/school-bus-shot-mother-reacts/ https://newschannel20.com/news/local/school-bus-with-kids-inside-struck-by-gunfire-in-champaign</v>
      </c>
      <c r="L510" s="5">
        <f ca="1">IFERROR(__xludf.DUMMYFUNCTION("""COMPUTED_VALUE"""),2)</f>
        <v>2</v>
      </c>
      <c r="M510" s="5" t="str">
        <f ca="1">IFERROR(__xludf.DUMMYFUNCTION("""COMPUTED_VALUE"""),"Local")</f>
        <v>Local</v>
      </c>
      <c r="N510" s="5">
        <f ca="1">IFERROR(__xludf.DUMMYFUNCTION("""COMPUTED_VALUE"""),3)</f>
        <v>3</v>
      </c>
      <c r="O510" s="5" t="str">
        <f ca="1">IFERROR(__xludf.DUMMYFUNCTION("""COMPUTED_VALUE"""),"Fall")</f>
        <v>Fall</v>
      </c>
      <c r="P510" s="5" t="str">
        <f ca="1">IFERROR(__xludf.DUMMYFUNCTION("""COMPUTED_VALUE"""),"Champaign")</f>
        <v>Champaign</v>
      </c>
      <c r="Q510" s="5" t="str">
        <f ca="1">IFERROR(__xludf.DUMMYFUNCTION("""COMPUTED_VALUE"""),"IL")</f>
        <v>IL</v>
      </c>
      <c r="R510" s="5" t="str">
        <f ca="1">IFERROR(__xludf.DUMMYFUNCTION("""COMPUTED_VALUE"""),"Elementary")</f>
        <v>Elementary</v>
      </c>
      <c r="S510" s="5" t="str">
        <f ca="1">IFERROR(__xludf.DUMMYFUNCTION("""COMPUTED_VALUE"""),"School Bus")</f>
        <v>School Bus</v>
      </c>
      <c r="T510" s="5" t="str">
        <f ca="1">IFERROR(__xludf.DUMMYFUNCTION("""COMPUTED_VALUE"""),"School Bus")</f>
        <v>School Bus</v>
      </c>
      <c r="U510" s="5" t="str">
        <f ca="1">IFERROR(__xludf.DUMMYFUNCTION("""COMPUTED_VALUE"""),"Yes")</f>
        <v>Yes</v>
      </c>
      <c r="V510" s="5" t="str">
        <f ca="1">IFERROR(__xludf.DUMMYFUNCTION("""COMPUTED_VALUE"""),"Dismissal")</f>
        <v>Dismissal</v>
      </c>
      <c r="W510" s="10">
        <f ca="1">IFERROR(__xludf.DUMMYFUNCTION("""COMPUTED_VALUE"""),0.6125)</f>
        <v>0.61250000000000004</v>
      </c>
      <c r="X510" s="5">
        <f ca="1">IFERROR(__xludf.DUMMYFUNCTION("""COMPUTED_VALUE"""),1)</f>
        <v>1</v>
      </c>
      <c r="Y510" s="5" t="str">
        <f ca="1">IFERROR(__xludf.DUMMYFUNCTION("""COMPUTED_VALUE"""),"Occupied school bus was struck by bullet during drive-by")</f>
        <v>Occupied school bus was struck by bullet during drive-by</v>
      </c>
      <c r="Z510" s="5" t="str">
        <f ca="1">IFERROR(__xludf.DUMMYFUNCTION("""COMPUTED_VALUE"""),"A school bus taking kids home from school was struck by one bullet during a drive-by shooting involving another vehicle that was the target. The driver of the targeted vehicle was struck and transported to the hospital. The students and staff on the bus w"&amp;"ere not injured. Shooter fled the scene.")</f>
        <v>A school bus taking kids home from school was struck by one bullet during a drive-by shooting involving another vehicle that was the target. The driver of the targeted vehicle was struck and transported to the hospital. The students and staff on the bus were not injured. Shooter fled the scene.</v>
      </c>
      <c r="AA510" s="5" t="str">
        <f ca="1">IFERROR(__xludf.DUMMYFUNCTION("""COMPUTED_VALUE"""),"Drive-by Shooting")</f>
        <v>Drive-by Shooting</v>
      </c>
      <c r="AB510" s="5" t="str">
        <f ca="1">IFERROR(__xludf.DUMMYFUNCTION("""COMPUTED_VALUE"""),"Both")</f>
        <v>Both</v>
      </c>
      <c r="AC510" s="5" t="str">
        <f ca="1">IFERROR(__xludf.DUMMYFUNCTION("""COMPUTED_VALUE"""),"No")</f>
        <v>No</v>
      </c>
      <c r="AD510" s="5" t="str">
        <f ca="1">IFERROR(__xludf.DUMMYFUNCTION("""COMPUTED_VALUE"""),"No")</f>
        <v>No</v>
      </c>
      <c r="AE510" s="5" t="str">
        <f ca="1">IFERROR(__xludf.DUMMYFUNCTION("""COMPUTED_VALUE"""),"No")</f>
        <v>No</v>
      </c>
      <c r="AF510" s="5" t="str">
        <f ca="1">IFERROR(__xludf.DUMMYFUNCTION("""COMPUTED_VALUE"""),"No")</f>
        <v>No</v>
      </c>
      <c r="AG510" s="5" t="str">
        <f ca="1">IFERROR(__xludf.DUMMYFUNCTION("""COMPUTED_VALUE"""),"No")</f>
        <v>No</v>
      </c>
      <c r="AH510" s="5" t="str">
        <f ca="1">IFERROR(__xludf.DUMMYFUNCTION("""COMPUTED_VALUE"""),"No")</f>
        <v>No</v>
      </c>
      <c r="AI510" s="5"/>
      <c r="AJ510" s="5" t="str">
        <f ca="1">IFERROR(__xludf.DUMMYFUNCTION("""COMPUTED_VALUE"""),"No")</f>
        <v>No</v>
      </c>
    </row>
    <row r="511" spans="1:36" ht="13">
      <c r="A511" s="5" t="str">
        <f ca="1">IFERROR(__xludf.DUMMYFUNCTION("""COMPUTED_VALUE"""),"20210908MNPRB")</f>
        <v>20210908MNPRB</v>
      </c>
      <c r="B511" s="5">
        <f ca="1">IFERROR(__xludf.DUMMYFUNCTION("""COMPUTED_VALUE"""),9)</f>
        <v>9</v>
      </c>
      <c r="C511" s="5">
        <f ca="1">IFERROR(__xludf.DUMMYFUNCTION("""COMPUTED_VALUE"""),9)</f>
        <v>9</v>
      </c>
      <c r="D511" s="5">
        <f ca="1">IFERROR(__xludf.DUMMYFUNCTION("""COMPUTED_VALUE"""),2021)</f>
        <v>2021</v>
      </c>
      <c r="E511" s="8">
        <f ca="1">IFERROR(__xludf.DUMMYFUNCTION("""COMPUTED_VALUE"""),44448)</f>
        <v>44448</v>
      </c>
      <c r="F511" s="5" t="str">
        <f ca="1">IFERROR(__xludf.DUMMYFUNCTION("""COMPUTED_VALUE"""),"Prairie Seeds Academy")</f>
        <v>Prairie Seeds Academy</v>
      </c>
      <c r="G511" s="5">
        <f ca="1">IFERROR(__xludf.DUMMYFUNCTION("""COMPUTED_VALUE"""),0)</f>
        <v>0</v>
      </c>
      <c r="H511" s="5">
        <f ca="1">IFERROR(__xludf.DUMMYFUNCTION("""COMPUTED_VALUE"""),1)</f>
        <v>1</v>
      </c>
      <c r="I511" s="5">
        <f ca="1">IFERROR(__xludf.DUMMYFUNCTION("""COMPUTED_VALUE"""),1)</f>
        <v>1</v>
      </c>
      <c r="J511" s="5">
        <f ca="1">IFERROR(__xludf.DUMMYFUNCTION("""COMPUTED_VALUE"""),0)</f>
        <v>0</v>
      </c>
      <c r="K511" s="9" t="str">
        <f ca="1">IFERROR(__xludf.DUMMYFUNCTION("""COMPUTED_VALUE"""),"https://bringmethenews.com/minnesota-news/brooklyn-park-school-hit-by-bullets-cancels-classes-thursday")</f>
        <v>https://bringmethenews.com/minnesota-news/brooklyn-park-school-hit-by-bullets-cancels-classes-thursday</v>
      </c>
      <c r="L511" s="5">
        <f ca="1">IFERROR(__xludf.DUMMYFUNCTION("""COMPUTED_VALUE"""),1)</f>
        <v>1</v>
      </c>
      <c r="M511" s="5" t="str">
        <f ca="1">IFERROR(__xludf.DUMMYFUNCTION("""COMPUTED_VALUE"""),"Local")</f>
        <v>Local</v>
      </c>
      <c r="N511" s="5">
        <f ca="1">IFERROR(__xludf.DUMMYFUNCTION("""COMPUTED_VALUE"""),4)</f>
        <v>4</v>
      </c>
      <c r="O511" s="5" t="str">
        <f ca="1">IFERROR(__xludf.DUMMYFUNCTION("""COMPUTED_VALUE"""),"Fall")</f>
        <v>Fall</v>
      </c>
      <c r="P511" s="5" t="str">
        <f ca="1">IFERROR(__xludf.DUMMYFUNCTION("""COMPUTED_VALUE"""),"Brooklyn Park")</f>
        <v>Brooklyn Park</v>
      </c>
      <c r="Q511" s="5" t="str">
        <f ca="1">IFERROR(__xludf.DUMMYFUNCTION("""COMPUTED_VALUE"""),"MN")</f>
        <v>MN</v>
      </c>
      <c r="R511" s="5" t="str">
        <f ca="1">IFERROR(__xludf.DUMMYFUNCTION("""COMPUTED_VALUE"""),"High")</f>
        <v>High</v>
      </c>
      <c r="S511" s="5" t="str">
        <f ca="1">IFERROR(__xludf.DUMMYFUNCTION("""COMPUTED_VALUE"""),"Front of School")</f>
        <v>Front of School</v>
      </c>
      <c r="T511" s="5" t="str">
        <f ca="1">IFERROR(__xludf.DUMMYFUNCTION("""COMPUTED_VALUE"""),"Off School Property")</f>
        <v>Off School Property</v>
      </c>
      <c r="U511" s="5" t="str">
        <f ca="1">IFERROR(__xludf.DUMMYFUNCTION("""COMPUTED_VALUE"""),"No")</f>
        <v>No</v>
      </c>
      <c r="V511" s="5" t="str">
        <f ca="1">IFERROR(__xludf.DUMMYFUNCTION("""COMPUTED_VALUE"""),"Evening")</f>
        <v>Evening</v>
      </c>
      <c r="W511" s="10">
        <f ca="1">IFERROR(__xludf.DUMMYFUNCTION("""COMPUTED_VALUE"""),0.798611111111111)</f>
        <v>0.79861111111111105</v>
      </c>
      <c r="X511" s="5">
        <f ca="1">IFERROR(__xludf.DUMMYFUNCTION("""COMPUTED_VALUE"""),1)</f>
        <v>1</v>
      </c>
      <c r="Y511" s="5" t="str">
        <f ca="1">IFERROR(__xludf.DUMMYFUNCTION("""COMPUTED_VALUE"""),"Multiple people shooting, bullets struck the school building")</f>
        <v>Multiple people shooting, bullets struck the school building</v>
      </c>
      <c r="Z511" s="5" t="str">
        <f ca="1">IFERROR(__xludf.DUMMYFUNCTION("""COMPUTED_VALUE"""),"Police were called for multiple people shooting near the school. Shooters fled the area. School building was struck by multiple bullets and damaged. Classes were cancelled the following day.")</f>
        <v>Police were called for multiple people shooting near the school. Shooters fled the area. School building was struck by multiple bullets and damaged. Classes were cancelled the following day.</v>
      </c>
      <c r="AA511" s="5"/>
      <c r="AB511" s="5" t="str">
        <f ca="1">IFERROR(__xludf.DUMMYFUNCTION("""COMPUTED_VALUE"""),"Both")</f>
        <v>Both</v>
      </c>
      <c r="AC511" s="5" t="str">
        <f ca="1">IFERROR(__xludf.DUMMYFUNCTION("""COMPUTED_VALUE"""),"Yes")</f>
        <v>Yes</v>
      </c>
      <c r="AD511" s="5" t="str">
        <f ca="1">IFERROR(__xludf.DUMMYFUNCTION("""COMPUTED_VALUE"""),"No")</f>
        <v>No</v>
      </c>
      <c r="AE511" s="5" t="str">
        <f ca="1">IFERROR(__xludf.DUMMYFUNCTION("""COMPUTED_VALUE"""),"No")</f>
        <v>No</v>
      </c>
      <c r="AF511" s="5" t="str">
        <f ca="1">IFERROR(__xludf.DUMMYFUNCTION("""COMPUTED_VALUE"""),"No")</f>
        <v>No</v>
      </c>
      <c r="AG511" s="5" t="str">
        <f ca="1">IFERROR(__xludf.DUMMYFUNCTION("""COMPUTED_VALUE"""),"No")</f>
        <v>No</v>
      </c>
      <c r="AH511" s="5" t="str">
        <f ca="1">IFERROR(__xludf.DUMMYFUNCTION("""COMPUTED_VALUE"""),"No")</f>
        <v>No</v>
      </c>
      <c r="AI511" s="5"/>
      <c r="AJ511" s="5" t="str">
        <f ca="1">IFERROR(__xludf.DUMMYFUNCTION("""COMPUTED_VALUE"""),"No")</f>
        <v>No</v>
      </c>
    </row>
    <row r="512" spans="1:36" ht="13">
      <c r="A512" s="5" t="str">
        <f ca="1">IFERROR(__xludf.DUMMYFUNCTION("""COMPUTED_VALUE"""),"20210909NCSHE")</f>
        <v>20210909NCSHE</v>
      </c>
      <c r="B512" s="5">
        <f ca="1">IFERROR(__xludf.DUMMYFUNCTION("""COMPUTED_VALUE"""),9)</f>
        <v>9</v>
      </c>
      <c r="C512" s="5">
        <f ca="1">IFERROR(__xludf.DUMMYFUNCTION("""COMPUTED_VALUE"""),9)</f>
        <v>9</v>
      </c>
      <c r="D512" s="5">
        <f ca="1">IFERROR(__xludf.DUMMYFUNCTION("""COMPUTED_VALUE"""),2021)</f>
        <v>2021</v>
      </c>
      <c r="E512" s="8">
        <f ca="1">IFERROR(__xludf.DUMMYFUNCTION("""COMPUTED_VALUE"""),44448)</f>
        <v>44448</v>
      </c>
      <c r="F512" s="5" t="str">
        <f ca="1">IFERROR(__xludf.DUMMYFUNCTION("""COMPUTED_VALUE"""),"Sheep-Harney Elementary School")</f>
        <v>Sheep-Harney Elementary School</v>
      </c>
      <c r="G512" s="5">
        <f ca="1">IFERROR(__xludf.DUMMYFUNCTION("""COMPUTED_VALUE"""),0)</f>
        <v>0</v>
      </c>
      <c r="H512" s="5">
        <f ca="1">IFERROR(__xludf.DUMMYFUNCTION("""COMPUTED_VALUE"""),0)</f>
        <v>0</v>
      </c>
      <c r="I512" s="5">
        <f ca="1">IFERROR(__xludf.DUMMYFUNCTION("""COMPUTED_VALUE"""),0)</f>
        <v>0</v>
      </c>
      <c r="J512" s="5">
        <f ca="1">IFERROR(__xludf.DUMMYFUNCTION("""COMPUTED_VALUE"""),0)</f>
        <v>0</v>
      </c>
      <c r="K512" s="9" t="str">
        <f ca="1">IFERROR(__xludf.DUMMYFUNCTION("""COMPUTED_VALUE"""),"https://www.wavy.com/news/crime/shooting-shatters-windows-at-elizabeth-city-elementary-school/")</f>
        <v>https://www.wavy.com/news/crime/shooting-shatters-windows-at-elizabeth-city-elementary-school/</v>
      </c>
      <c r="L512" s="5">
        <f ca="1">IFERROR(__xludf.DUMMYFUNCTION("""COMPUTED_VALUE"""),1)</f>
        <v>1</v>
      </c>
      <c r="M512" s="5" t="str">
        <f ca="1">IFERROR(__xludf.DUMMYFUNCTION("""COMPUTED_VALUE"""),"Local")</f>
        <v>Local</v>
      </c>
      <c r="N512" s="5">
        <f ca="1">IFERROR(__xludf.DUMMYFUNCTION("""COMPUTED_VALUE"""),4)</f>
        <v>4</v>
      </c>
      <c r="O512" s="5"/>
      <c r="P512" s="5" t="str">
        <f ca="1">IFERROR(__xludf.DUMMYFUNCTION("""COMPUTED_VALUE"""),"Elizabeth City")</f>
        <v>Elizabeth City</v>
      </c>
      <c r="Q512" s="5" t="str">
        <f ca="1">IFERROR(__xludf.DUMMYFUNCTION("""COMPUTED_VALUE"""),"NC")</f>
        <v>NC</v>
      </c>
      <c r="R512" s="5" t="str">
        <f ca="1">IFERROR(__xludf.DUMMYFUNCTION("""COMPUTED_VALUE"""),"Elementary")</f>
        <v>Elementary</v>
      </c>
      <c r="S512" s="5" t="str">
        <f ca="1">IFERROR(__xludf.DUMMYFUNCTION("""COMPUTED_VALUE"""),"Front of School")</f>
        <v>Front of School</v>
      </c>
      <c r="T512" s="5" t="str">
        <f ca="1">IFERROR(__xludf.DUMMYFUNCTION("""COMPUTED_VALUE"""),"Outside on School Property")</f>
        <v>Outside on School Property</v>
      </c>
      <c r="U512" s="5" t="str">
        <f ca="1">IFERROR(__xludf.DUMMYFUNCTION("""COMPUTED_VALUE"""),"No")</f>
        <v>No</v>
      </c>
      <c r="V512" s="5" t="str">
        <f ca="1">IFERROR(__xludf.DUMMYFUNCTION("""COMPUTED_VALUE"""),"Night")</f>
        <v>Night</v>
      </c>
      <c r="W512" s="10">
        <f ca="1">IFERROR(__xludf.DUMMYFUNCTION("""COMPUTED_VALUE"""),0.979166666666666)</f>
        <v>0.97916666666666596</v>
      </c>
      <c r="X512" s="5">
        <f ca="1">IFERROR(__xludf.DUMMYFUNCTION("""COMPUTED_VALUE"""),1)</f>
        <v>1</v>
      </c>
      <c r="Y512" s="5" t="str">
        <f ca="1">IFERROR(__xludf.DUMMYFUNCTION("""COMPUTED_VALUE"""),"Multiple windows of the school were shot and broken")</f>
        <v>Multiple windows of the school were shot and broken</v>
      </c>
      <c r="Z512" s="5" t="str">
        <f ca="1">IFERROR(__xludf.DUMMYFUNCTION("""COMPUTED_VALUE"""),"Multiple windows of the school were shot and broken. Bullet fragments were found inside the school. School was closed at the time of the shooting.")</f>
        <v>Multiple windows of the school were shot and broken. Bullet fragments were found inside the school. School was closed at the time of the shooting.</v>
      </c>
      <c r="AA512" s="5" t="str">
        <f ca="1">IFERROR(__xludf.DUMMYFUNCTION("""COMPUTED_VALUE"""),"Intentional Property Damage")</f>
        <v>Intentional Property Damage</v>
      </c>
      <c r="AB512" s="5" t="str">
        <f ca="1">IFERROR(__xludf.DUMMYFUNCTION("""COMPUTED_VALUE"""),"Random Shooting")</f>
        <v>Random Shooting</v>
      </c>
      <c r="AC512" s="5"/>
      <c r="AD512" s="5" t="str">
        <f ca="1">IFERROR(__xludf.DUMMYFUNCTION("""COMPUTED_VALUE"""),"No")</f>
        <v>No</v>
      </c>
      <c r="AE512" s="5" t="str">
        <f ca="1">IFERROR(__xludf.DUMMYFUNCTION("""COMPUTED_VALUE"""),"No")</f>
        <v>No</v>
      </c>
      <c r="AF512" s="5" t="str">
        <f ca="1">IFERROR(__xludf.DUMMYFUNCTION("""COMPUTED_VALUE"""),"No")</f>
        <v>No</v>
      </c>
      <c r="AG512" s="5" t="str">
        <f ca="1">IFERROR(__xludf.DUMMYFUNCTION("""COMPUTED_VALUE"""),"No")</f>
        <v>No</v>
      </c>
      <c r="AH512" s="5" t="str">
        <f ca="1">IFERROR(__xludf.DUMMYFUNCTION("""COMPUTED_VALUE"""),"No")</f>
        <v>No</v>
      </c>
      <c r="AI512" s="5" t="str">
        <f ca="1">IFERROR(__xludf.DUMMYFUNCTION("""COMPUTED_VALUE"""),"No")</f>
        <v>No</v>
      </c>
      <c r="AJ512" s="5" t="str">
        <f ca="1">IFERROR(__xludf.DUMMYFUNCTION("""COMPUTED_VALUE"""),"No")</f>
        <v>No</v>
      </c>
    </row>
    <row r="513" spans="1:36" ht="13">
      <c r="A513" s="5" t="str">
        <f ca="1">IFERROR(__xludf.DUMMYFUNCTION("""COMPUTED_VALUE"""),"20210908ILCEC")</f>
        <v>20210908ILCEC</v>
      </c>
      <c r="B513" s="5">
        <f ca="1">IFERROR(__xludf.DUMMYFUNCTION("""COMPUTED_VALUE"""),9)</f>
        <v>9</v>
      </c>
      <c r="C513" s="5">
        <f ca="1">IFERROR(__xludf.DUMMYFUNCTION("""COMPUTED_VALUE"""),8)</f>
        <v>8</v>
      </c>
      <c r="D513" s="5">
        <f ca="1">IFERROR(__xludf.DUMMYFUNCTION("""COMPUTED_VALUE"""),2021)</f>
        <v>2021</v>
      </c>
      <c r="E513" s="8">
        <f ca="1">IFERROR(__xludf.DUMMYFUNCTION("""COMPUTED_VALUE"""),44447)</f>
        <v>44447</v>
      </c>
      <c r="F513" s="5" t="str">
        <f ca="1">IFERROR(__xludf.DUMMYFUNCTION("""COMPUTED_VALUE"""),"Centennial High School")</f>
        <v>Centennial High School</v>
      </c>
      <c r="G513" s="5">
        <f ca="1">IFERROR(__xludf.DUMMYFUNCTION("""COMPUTED_VALUE"""),0)</f>
        <v>0</v>
      </c>
      <c r="H513" s="5">
        <f ca="1">IFERROR(__xludf.DUMMYFUNCTION("""COMPUTED_VALUE"""),0)</f>
        <v>0</v>
      </c>
      <c r="I513" s="5">
        <f ca="1">IFERROR(__xludf.DUMMYFUNCTION("""COMPUTED_VALUE"""),0)</f>
        <v>0</v>
      </c>
      <c r="J513" s="5">
        <f ca="1">IFERROR(__xludf.DUMMYFUNCTION("""COMPUTED_VALUE"""),0)</f>
        <v>0</v>
      </c>
      <c r="K513" s="5" t="str">
        <f ca="1">IFERROR(__xludf.DUMMYFUNCTION("""COMPUTED_VALUE"""),"https://www.wcia.com/news/students-react-to-shots-fired-outside-school/ https://www.wandtv.com/news/centennial-high-school-student-wanted-by-police-after-pulling-out-a-gun-during-school-altercation/article_ea3b34d0-1658-11ec-8840-872abcecb1a6.html")</f>
        <v>https://www.wcia.com/news/students-react-to-shots-fired-outside-school/ https://www.wandtv.com/news/centennial-high-school-student-wanted-by-police-after-pulling-out-a-gun-during-school-altercation/article_ea3b34d0-1658-11ec-8840-872abcecb1a6.html</v>
      </c>
      <c r="L513" s="5">
        <f ca="1">IFERROR(__xludf.DUMMYFUNCTION("""COMPUTED_VALUE"""),2)</f>
        <v>2</v>
      </c>
      <c r="M513" s="5" t="str">
        <f ca="1">IFERROR(__xludf.DUMMYFUNCTION("""COMPUTED_VALUE"""),"Local")</f>
        <v>Local</v>
      </c>
      <c r="N513" s="5">
        <f ca="1">IFERROR(__xludf.DUMMYFUNCTION("""COMPUTED_VALUE"""),4)</f>
        <v>4</v>
      </c>
      <c r="O513" s="5" t="str">
        <f ca="1">IFERROR(__xludf.DUMMYFUNCTION("""COMPUTED_VALUE"""),"Fall")</f>
        <v>Fall</v>
      </c>
      <c r="P513" s="5" t="str">
        <f ca="1">IFERROR(__xludf.DUMMYFUNCTION("""COMPUTED_VALUE"""),"Champaign")</f>
        <v>Champaign</v>
      </c>
      <c r="Q513" s="5" t="str">
        <f ca="1">IFERROR(__xludf.DUMMYFUNCTION("""COMPUTED_VALUE"""),"IL")</f>
        <v>IL</v>
      </c>
      <c r="R513" s="5" t="str">
        <f ca="1">IFERROR(__xludf.DUMMYFUNCTION("""COMPUTED_VALUE"""),"High")</f>
        <v>High</v>
      </c>
      <c r="S513" s="5" t="str">
        <f ca="1">IFERROR(__xludf.DUMMYFUNCTION("""COMPUTED_VALUE"""),"Hallway")</f>
        <v>Hallway</v>
      </c>
      <c r="T513" s="5" t="str">
        <f ca="1">IFERROR(__xludf.DUMMYFUNCTION("""COMPUTED_VALUE"""),"Inside School Building")</f>
        <v>Inside School Building</v>
      </c>
      <c r="U513" s="5" t="str">
        <f ca="1">IFERROR(__xludf.DUMMYFUNCTION("""COMPUTED_VALUE"""),"Yes")</f>
        <v>Yes</v>
      </c>
      <c r="V513" s="5" t="str">
        <f ca="1">IFERROR(__xludf.DUMMYFUNCTION("""COMPUTED_VALUE"""),"Afternoon Classes")</f>
        <v>Afternoon Classes</v>
      </c>
      <c r="W513" s="10">
        <f ca="1">IFERROR(__xludf.DUMMYFUNCTION("""COMPUTED_VALUE"""),0.541666666666666)</f>
        <v>0.54166666666666596</v>
      </c>
      <c r="X513" s="5">
        <f ca="1">IFERROR(__xludf.DUMMYFUNCTION("""COMPUTED_VALUE"""),1)</f>
        <v>1</v>
      </c>
      <c r="Y513" s="5" t="str">
        <f ca="1">IFERROR(__xludf.DUMMYFUNCTION("""COMPUTED_VALUE"""),"Student pulled gun during fight in hallway then fled the school")</f>
        <v>Student pulled gun during fight in hallway then fled the school</v>
      </c>
      <c r="Z513" s="5" t="str">
        <f ca="1">IFERROR(__xludf.DUMMYFUNCTION("""COMPUTED_VALUE"""),"An 18-year-old student pulled a gun in the school hallway during a fight and then fled the school. School was placed on lockdown. Student was identified by police.")</f>
        <v>An 18-year-old student pulled a gun in the school hallway during a fight and then fled the school. School was placed on lockdown. Student was identified by police.</v>
      </c>
      <c r="AA513" s="5" t="str">
        <f ca="1">IFERROR(__xludf.DUMMYFUNCTION("""COMPUTED_VALUE"""),"Escalation of Dispute")</f>
        <v>Escalation of Dispute</v>
      </c>
      <c r="AB513" s="5" t="str">
        <f ca="1">IFERROR(__xludf.DUMMYFUNCTION("""COMPUTED_VALUE"""),"Victims Targeted")</f>
        <v>Victims Targeted</v>
      </c>
      <c r="AC513" s="5" t="str">
        <f ca="1">IFERROR(__xludf.DUMMYFUNCTION("""COMPUTED_VALUE"""),"No")</f>
        <v>No</v>
      </c>
      <c r="AD513" s="5" t="str">
        <f ca="1">IFERROR(__xludf.DUMMYFUNCTION("""COMPUTED_VALUE"""),"No")</f>
        <v>No</v>
      </c>
      <c r="AE513" s="5" t="str">
        <f ca="1">IFERROR(__xludf.DUMMYFUNCTION("""COMPUTED_VALUE"""),"No")</f>
        <v>No</v>
      </c>
      <c r="AF513" s="5" t="str">
        <f ca="1">IFERROR(__xludf.DUMMYFUNCTION("""COMPUTED_VALUE"""),"No")</f>
        <v>No</v>
      </c>
      <c r="AG513" s="5" t="str">
        <f ca="1">IFERROR(__xludf.DUMMYFUNCTION("""COMPUTED_VALUE"""),"No")</f>
        <v>No</v>
      </c>
      <c r="AH513" s="5" t="str">
        <f ca="1">IFERROR(__xludf.DUMMYFUNCTION("""COMPUTED_VALUE"""),"No")</f>
        <v>No</v>
      </c>
      <c r="AI513" s="5" t="str">
        <f ca="1">IFERROR(__xludf.DUMMYFUNCTION("""COMPUTED_VALUE"""),"No")</f>
        <v>No</v>
      </c>
      <c r="AJ513" s="5" t="str">
        <f ca="1">IFERROR(__xludf.DUMMYFUNCTION("""COMPUTED_VALUE"""),"No")</f>
        <v>No</v>
      </c>
    </row>
    <row r="514" spans="1:36" ht="13">
      <c r="A514" s="5" t="str">
        <f ca="1">IFERROR(__xludf.DUMMYFUNCTION("""COMPUTED_VALUE"""),"20210907TNLAL")</f>
        <v>20210907TNLAL</v>
      </c>
      <c r="B514" s="5">
        <f ca="1">IFERROR(__xludf.DUMMYFUNCTION("""COMPUTED_VALUE"""),9)</f>
        <v>9</v>
      </c>
      <c r="C514" s="5">
        <f ca="1">IFERROR(__xludf.DUMMYFUNCTION("""COMPUTED_VALUE"""),7)</f>
        <v>7</v>
      </c>
      <c r="D514" s="5">
        <f ca="1">IFERROR(__xludf.DUMMYFUNCTION("""COMPUTED_VALUE"""),2021)</f>
        <v>2021</v>
      </c>
      <c r="E514" s="8">
        <f ca="1">IFERROR(__xludf.DUMMYFUNCTION("""COMPUTED_VALUE"""),44446)</f>
        <v>44446</v>
      </c>
      <c r="F514" s="5" t="str">
        <f ca="1">IFERROR(__xludf.DUMMYFUNCTION("""COMPUTED_VALUE"""),"La Vergne High School")</f>
        <v>La Vergne High School</v>
      </c>
      <c r="G514" s="5">
        <f ca="1">IFERROR(__xludf.DUMMYFUNCTION("""COMPUTED_VALUE"""),0)</f>
        <v>0</v>
      </c>
      <c r="H514" s="5">
        <f ca="1">IFERROR(__xludf.DUMMYFUNCTION("""COMPUTED_VALUE"""),0)</f>
        <v>0</v>
      </c>
      <c r="I514" s="5">
        <f ca="1">IFERROR(__xludf.DUMMYFUNCTION("""COMPUTED_VALUE"""),0)</f>
        <v>0</v>
      </c>
      <c r="J514" s="5">
        <f ca="1">IFERROR(__xludf.DUMMYFUNCTION("""COMPUTED_VALUE"""),0)</f>
        <v>0</v>
      </c>
      <c r="K514" s="5" t="str">
        <f ca="1">IFERROR(__xludf.DUMMYFUNCTION("""COMPUTED_VALUE"""),"https://fox17.com/news/local/shots-fired-toward-la-vergne-high-school-two-teens-arrested-tennessee-crime-alert-rutherford-county https://www.wkrn.com/news/2-charged-after-shots-fired-near-la-vergne-high-school/ https://www.newschannel5.com/news/two-charge"&amp;"d-in-shooting-outside-la-vergne-high-school-no-injuries-reported")</f>
        <v>https://fox17.com/news/local/shots-fired-toward-la-vergne-high-school-two-teens-arrested-tennessee-crime-alert-rutherford-county https://www.wkrn.com/news/2-charged-after-shots-fired-near-la-vergne-high-school/ https://www.newschannel5.com/news/two-charged-in-shooting-outside-la-vergne-high-school-no-injuries-reported</v>
      </c>
      <c r="L514" s="5">
        <f ca="1">IFERROR(__xludf.DUMMYFUNCTION("""COMPUTED_VALUE"""),5)</f>
        <v>5</v>
      </c>
      <c r="M514" s="5" t="str">
        <f ca="1">IFERROR(__xludf.DUMMYFUNCTION("""COMPUTED_VALUE"""),"Local")</f>
        <v>Local</v>
      </c>
      <c r="N514" s="5">
        <f ca="1">IFERROR(__xludf.DUMMYFUNCTION("""COMPUTED_VALUE"""),4)</f>
        <v>4</v>
      </c>
      <c r="O514" s="5" t="str">
        <f ca="1">IFERROR(__xludf.DUMMYFUNCTION("""COMPUTED_VALUE"""),"Fall")</f>
        <v>Fall</v>
      </c>
      <c r="P514" s="5" t="str">
        <f ca="1">IFERROR(__xludf.DUMMYFUNCTION("""COMPUTED_VALUE"""),"La Vergne")</f>
        <v>La Vergne</v>
      </c>
      <c r="Q514" s="5" t="str">
        <f ca="1">IFERROR(__xludf.DUMMYFUNCTION("""COMPUTED_VALUE"""),"TN")</f>
        <v>TN</v>
      </c>
      <c r="R514" s="5" t="str">
        <f ca="1">IFERROR(__xludf.DUMMYFUNCTION("""COMPUTED_VALUE"""),"High")</f>
        <v>High</v>
      </c>
      <c r="S514" s="5" t="str">
        <f ca="1">IFERROR(__xludf.DUMMYFUNCTION("""COMPUTED_VALUE"""),"Parking Lot")</f>
        <v>Parking Lot</v>
      </c>
      <c r="T514" s="5" t="str">
        <f ca="1">IFERROR(__xludf.DUMMYFUNCTION("""COMPUTED_VALUE"""),"Outside on School Property")</f>
        <v>Outside on School Property</v>
      </c>
      <c r="U514" s="5" t="str">
        <f ca="1">IFERROR(__xludf.DUMMYFUNCTION("""COMPUTED_VALUE"""),"Yes")</f>
        <v>Yes</v>
      </c>
      <c r="V514" s="5" t="str">
        <f ca="1">IFERROR(__xludf.DUMMYFUNCTION("""COMPUTED_VALUE"""),"Dismissal")</f>
        <v>Dismissal</v>
      </c>
      <c r="W514" s="10">
        <f ca="1">IFERROR(__xludf.DUMMYFUNCTION("""COMPUTED_VALUE"""),0.625)</f>
        <v>0.625</v>
      </c>
      <c r="X514" s="5">
        <f ca="1">IFERROR(__xludf.DUMMYFUNCTION("""COMPUTED_VALUE"""),1)</f>
        <v>1</v>
      </c>
      <c r="Y514" s="5" t="str">
        <f ca="1">IFERROR(__xludf.DUMMYFUNCTION("""COMPUTED_VALUE"""),"Teen fired shots in parking lot during dismissal")</f>
        <v>Teen fired shots in parking lot during dismissal</v>
      </c>
      <c r="Z514" s="5" t="str">
        <f ca="1">IFERROR(__xludf.DUMMYFUNCTION("""COMPUTED_VALUE"""),"A 15-year-old student fired three shots in the school parking lot during dismissal. No students were injured. A vehicle was struck. The SRO responded and stopped a vehicle near the school with the suspect inside. A second student was also arrested with a "&amp;"second handgun.")</f>
        <v>A 15-year-old student fired three shots in the school parking lot during dismissal. No students were injured. A vehicle was struck. The SRO responded and stopped a vehicle near the school with the suspect inside. A second student was also arrested with a second handgun.</v>
      </c>
      <c r="AA514" s="5" t="str">
        <f ca="1">IFERROR(__xludf.DUMMYFUNCTION("""COMPUTED_VALUE"""),"Escalation of Dispute")</f>
        <v>Escalation of Dispute</v>
      </c>
      <c r="AB514" s="5" t="str">
        <f ca="1">IFERROR(__xludf.DUMMYFUNCTION("""COMPUTED_VALUE"""),"Random Shooting")</f>
        <v>Random Shooting</v>
      </c>
      <c r="AC514" s="5" t="str">
        <f ca="1">IFERROR(__xludf.DUMMYFUNCTION("""COMPUTED_VALUE"""),"No")</f>
        <v>No</v>
      </c>
      <c r="AD514" s="5" t="str">
        <f ca="1">IFERROR(__xludf.DUMMYFUNCTION("""COMPUTED_VALUE"""),"No")</f>
        <v>No</v>
      </c>
      <c r="AE514" s="5" t="str">
        <f ca="1">IFERROR(__xludf.DUMMYFUNCTION("""COMPUTED_VALUE"""),"No")</f>
        <v>No</v>
      </c>
      <c r="AF514" s="5" t="str">
        <f ca="1">IFERROR(__xludf.DUMMYFUNCTION("""COMPUTED_VALUE"""),"No")</f>
        <v>No</v>
      </c>
      <c r="AG514" s="5" t="str">
        <f ca="1">IFERROR(__xludf.DUMMYFUNCTION("""COMPUTED_VALUE"""),"No")</f>
        <v>No</v>
      </c>
      <c r="AH514" s="5" t="str">
        <f ca="1">IFERROR(__xludf.DUMMYFUNCTION("""COMPUTED_VALUE"""),"No")</f>
        <v>No</v>
      </c>
      <c r="AI514" s="5"/>
      <c r="AJ514" s="5" t="str">
        <f ca="1">IFERROR(__xludf.DUMMYFUNCTION("""COMPUTED_VALUE"""),"No")</f>
        <v>No</v>
      </c>
    </row>
    <row r="515" spans="1:36" ht="13">
      <c r="A515" s="5" t="str">
        <f ca="1">IFERROR(__xludf.DUMMYFUNCTION("""COMPUTED_VALUE"""),"20210907PAHAH")</f>
        <v>20210907PAHAH</v>
      </c>
      <c r="B515" s="5">
        <f ca="1">IFERROR(__xludf.DUMMYFUNCTION("""COMPUTED_VALUE"""),9)</f>
        <v>9</v>
      </c>
      <c r="C515" s="5">
        <f ca="1">IFERROR(__xludf.DUMMYFUNCTION("""COMPUTED_VALUE"""),7)</f>
        <v>7</v>
      </c>
      <c r="D515" s="5">
        <f ca="1">IFERROR(__xludf.DUMMYFUNCTION("""COMPUTED_VALUE"""),2021)</f>
        <v>2021</v>
      </c>
      <c r="E515" s="8">
        <f ca="1">IFERROR(__xludf.DUMMYFUNCTION("""COMPUTED_VALUE"""),44446)</f>
        <v>44446</v>
      </c>
      <c r="F515" s="5" t="str">
        <f ca="1">IFERROR(__xludf.DUMMYFUNCTION("""COMPUTED_VALUE"""),"Harrisburg High School")</f>
        <v>Harrisburg High School</v>
      </c>
      <c r="G515" s="5">
        <f ca="1">IFERROR(__xludf.DUMMYFUNCTION("""COMPUTED_VALUE"""),0)</f>
        <v>0</v>
      </c>
      <c r="H515" s="5">
        <f ca="1">IFERROR(__xludf.DUMMYFUNCTION("""COMPUTED_VALUE"""),0)</f>
        <v>0</v>
      </c>
      <c r="I515" s="5">
        <f ca="1">IFERROR(__xludf.DUMMYFUNCTION("""COMPUTED_VALUE"""),0)</f>
        <v>0</v>
      </c>
      <c r="J515" s="5">
        <f ca="1">IFERROR(__xludf.DUMMYFUNCTION("""COMPUTED_VALUE"""),0)</f>
        <v>0</v>
      </c>
      <c r="K515" s="5" t="str">
        <f ca="1">IFERROR(__xludf.DUMMYFUNCTION("""COMPUTED_VALUE"""),"https://www.wgal.com/article/police-at-the-scene-of-a-shots-fired-incident-at-john-harris-high-school-in-harrisburg/37502796# https://www.abc27.com/news/local/harrisburg/gunshots-fired-at-john-harris-high-school-in-harrisburg/ https://www.abc27.com/news/l"&amp;"ocal/harrisburg/harrisburg-police-continue-investigation-into-shooting-on-harrisburg-high-school-grounds/ https://www.pennlive.com/news/2021/09/shooting-reported-at-harrisburg-high-school-police.html")</f>
        <v>https://www.wgal.com/article/police-at-the-scene-of-a-shots-fired-incident-at-john-harris-high-school-in-harrisburg/37502796# https://www.abc27.com/news/local/harrisburg/gunshots-fired-at-john-harris-high-school-in-harrisburg/ https://www.abc27.com/news/local/harrisburg/harrisburg-police-continue-investigation-into-shooting-on-harrisburg-high-school-grounds/ https://www.pennlive.com/news/2021/09/shooting-reported-at-harrisburg-high-school-police.html</v>
      </c>
      <c r="L515" s="5">
        <f ca="1">IFERROR(__xludf.DUMMYFUNCTION("""COMPUTED_VALUE"""),5)</f>
        <v>5</v>
      </c>
      <c r="M515" s="5" t="str">
        <f ca="1">IFERROR(__xludf.DUMMYFUNCTION("""COMPUTED_VALUE"""),"Local")</f>
        <v>Local</v>
      </c>
      <c r="N515" s="5">
        <f ca="1">IFERROR(__xludf.DUMMYFUNCTION("""COMPUTED_VALUE"""),4)</f>
        <v>4</v>
      </c>
      <c r="O515" s="5" t="str">
        <f ca="1">IFERROR(__xludf.DUMMYFUNCTION("""COMPUTED_VALUE"""),"Fall")</f>
        <v>Fall</v>
      </c>
      <c r="P515" s="5" t="str">
        <f ca="1">IFERROR(__xludf.DUMMYFUNCTION("""COMPUTED_VALUE"""),"Harrisburg")</f>
        <v>Harrisburg</v>
      </c>
      <c r="Q515" s="5" t="str">
        <f ca="1">IFERROR(__xludf.DUMMYFUNCTION("""COMPUTED_VALUE"""),"PA")</f>
        <v>PA</v>
      </c>
      <c r="R515" s="5" t="str">
        <f ca="1">IFERROR(__xludf.DUMMYFUNCTION("""COMPUTED_VALUE"""),"High")</f>
        <v>High</v>
      </c>
      <c r="S515" s="5" t="str">
        <f ca="1">IFERROR(__xludf.DUMMYFUNCTION("""COMPUTED_VALUE"""),"Parking Lot")</f>
        <v>Parking Lot</v>
      </c>
      <c r="T515" s="5" t="str">
        <f ca="1">IFERROR(__xludf.DUMMYFUNCTION("""COMPUTED_VALUE"""),"Outside on School Property")</f>
        <v>Outside on School Property</v>
      </c>
      <c r="U515" s="5" t="str">
        <f ca="1">IFERROR(__xludf.DUMMYFUNCTION("""COMPUTED_VALUE"""),"Yes")</f>
        <v>Yes</v>
      </c>
      <c r="V515" s="5" t="str">
        <f ca="1">IFERROR(__xludf.DUMMYFUNCTION("""COMPUTED_VALUE"""),"Dismissal")</f>
        <v>Dismissal</v>
      </c>
      <c r="W515" s="10">
        <f ca="1">IFERROR(__xludf.DUMMYFUNCTION("""COMPUTED_VALUE"""),0.125)</f>
        <v>0.125</v>
      </c>
      <c r="X515" s="5">
        <f ca="1">IFERROR(__xludf.DUMMYFUNCTION("""COMPUTED_VALUE"""),1)</f>
        <v>1</v>
      </c>
      <c r="Y515" s="5" t="str">
        <f ca="1">IFERROR(__xludf.DUMMYFUNCTION("""COMPUTED_VALUE"""),"Shots fired during fight in the parking lot")</f>
        <v>Shots fired during fight in the parking lot</v>
      </c>
      <c r="Z515" s="5" t="str">
        <f ca="1">IFERROR(__xludf.DUMMYFUNCTION("""COMPUTED_VALUE"""),"Shots fired during a fight in the school parking lot. Shooter and others involved fled before police arrived. Police found a shell casing on school property. School switched to virtual classes the following day while police investigated.")</f>
        <v>Shots fired during a fight in the school parking lot. Shooter and others involved fled before police arrived. Police found a shell casing on school property. School switched to virtual classes the following day while police investigated.</v>
      </c>
      <c r="AA515" s="5" t="str">
        <f ca="1">IFERROR(__xludf.DUMMYFUNCTION("""COMPUTED_VALUE"""),"Escalation of Dispute")</f>
        <v>Escalation of Dispute</v>
      </c>
      <c r="AB515" s="5" t="str">
        <f ca="1">IFERROR(__xludf.DUMMYFUNCTION("""COMPUTED_VALUE"""),"Neither")</f>
        <v>Neither</v>
      </c>
      <c r="AC515" s="5" t="str">
        <f ca="1">IFERROR(__xludf.DUMMYFUNCTION("""COMPUTED_VALUE"""),"No")</f>
        <v>No</v>
      </c>
      <c r="AD515" s="5" t="str">
        <f ca="1">IFERROR(__xludf.DUMMYFUNCTION("""COMPUTED_VALUE"""),"No")</f>
        <v>No</v>
      </c>
      <c r="AE515" s="5" t="str">
        <f ca="1">IFERROR(__xludf.DUMMYFUNCTION("""COMPUTED_VALUE"""),"No")</f>
        <v>No</v>
      </c>
      <c r="AF515" s="5" t="str">
        <f ca="1">IFERROR(__xludf.DUMMYFUNCTION("""COMPUTED_VALUE"""),"No")</f>
        <v>No</v>
      </c>
      <c r="AG515" s="5" t="str">
        <f ca="1">IFERROR(__xludf.DUMMYFUNCTION("""COMPUTED_VALUE"""),"No")</f>
        <v>No</v>
      </c>
      <c r="AH515" s="5" t="str">
        <f ca="1">IFERROR(__xludf.DUMMYFUNCTION("""COMPUTED_VALUE"""),"No")</f>
        <v>No</v>
      </c>
      <c r="AI515" s="5" t="str">
        <f ca="1">IFERROR(__xludf.DUMMYFUNCTION("""COMPUTED_VALUE"""),"No")</f>
        <v>No</v>
      </c>
      <c r="AJ515" s="5" t="str">
        <f ca="1">IFERROR(__xludf.DUMMYFUNCTION("""COMPUTED_VALUE"""),"No")</f>
        <v>No</v>
      </c>
    </row>
    <row r="516" spans="1:36" ht="13">
      <c r="A516" s="5" t="str">
        <f ca="1">IFERROR(__xludf.DUMMYFUNCTION("""COMPUTED_VALUE"""),"20210907MAOMG")</f>
        <v>20210907MAOMG</v>
      </c>
      <c r="B516" s="5">
        <f ca="1">IFERROR(__xludf.DUMMYFUNCTION("""COMPUTED_VALUE"""),9)</f>
        <v>9</v>
      </c>
      <c r="C516" s="5">
        <f ca="1">IFERROR(__xludf.DUMMYFUNCTION("""COMPUTED_VALUE"""),7)</f>
        <v>7</v>
      </c>
      <c r="D516" s="5">
        <f ca="1">IFERROR(__xludf.DUMMYFUNCTION("""COMPUTED_VALUE"""),2021)</f>
        <v>2021</v>
      </c>
      <c r="E516" s="8">
        <f ca="1">IFERROR(__xludf.DUMMYFUNCTION("""COMPUTED_VALUE"""),44446)</f>
        <v>44446</v>
      </c>
      <c r="F516" s="5" t="str">
        <f ca="1">IFERROR(__xludf.DUMMYFUNCTION("""COMPUTED_VALUE"""),"O’Maley Innovation Middle School")</f>
        <v>O’Maley Innovation Middle School</v>
      </c>
      <c r="G516" s="5">
        <f ca="1">IFERROR(__xludf.DUMMYFUNCTION("""COMPUTED_VALUE"""),0)</f>
        <v>0</v>
      </c>
      <c r="H516" s="5">
        <f ca="1">IFERROR(__xludf.DUMMYFUNCTION("""COMPUTED_VALUE"""),0)</f>
        <v>0</v>
      </c>
      <c r="I516" s="5">
        <f ca="1">IFERROR(__xludf.DUMMYFUNCTION("""COMPUTED_VALUE"""),0)</f>
        <v>0</v>
      </c>
      <c r="J516" s="5">
        <f ca="1">IFERROR(__xludf.DUMMYFUNCTION("""COMPUTED_VALUE"""),0)</f>
        <v>0</v>
      </c>
      <c r="K516" s="9" t="str">
        <f ca="1">IFERROR(__xludf.DUMMYFUNCTION("""COMPUTED_VALUE"""),"https://whdh.com/news/police-2-teens-facing-charges-after-shooting-bar-school-bus-more-than-40-cars-with-bb-guns-on-north-shore/")</f>
        <v>https://whdh.com/news/police-2-teens-facing-charges-after-shooting-bar-school-bus-more-than-40-cars-with-bb-guns-on-north-shore/</v>
      </c>
      <c r="L516" s="5">
        <f ca="1">IFERROR(__xludf.DUMMYFUNCTION("""COMPUTED_VALUE"""),1)</f>
        <v>1</v>
      </c>
      <c r="M516" s="5"/>
      <c r="N516" s="5">
        <f ca="1">IFERROR(__xludf.DUMMYFUNCTION("""COMPUTED_VALUE"""),4)</f>
        <v>4</v>
      </c>
      <c r="O516" s="5" t="str">
        <f ca="1">IFERROR(__xludf.DUMMYFUNCTION("""COMPUTED_VALUE"""),"Fall")</f>
        <v>Fall</v>
      </c>
      <c r="P516" s="5" t="str">
        <f ca="1">IFERROR(__xludf.DUMMYFUNCTION("""COMPUTED_VALUE"""),"Gloucester")</f>
        <v>Gloucester</v>
      </c>
      <c r="Q516" s="5" t="str">
        <f ca="1">IFERROR(__xludf.DUMMYFUNCTION("""COMPUTED_VALUE"""),"MA")</f>
        <v>MA</v>
      </c>
      <c r="R516" s="5" t="str">
        <f ca="1">IFERROR(__xludf.DUMMYFUNCTION("""COMPUTED_VALUE"""),"Middle")</f>
        <v>Middle</v>
      </c>
      <c r="S516" s="5" t="str">
        <f ca="1">IFERROR(__xludf.DUMMYFUNCTION("""COMPUTED_VALUE"""),"Parking Lot")</f>
        <v>Parking Lot</v>
      </c>
      <c r="T516" s="5" t="str">
        <f ca="1">IFERROR(__xludf.DUMMYFUNCTION("""COMPUTED_VALUE"""),"Outside on School Property")</f>
        <v>Outside on School Property</v>
      </c>
      <c r="U516" s="5" t="str">
        <f ca="1">IFERROR(__xludf.DUMMYFUNCTION("""COMPUTED_VALUE"""),"No")</f>
        <v>No</v>
      </c>
      <c r="V516" s="5" t="str">
        <f ca="1">IFERROR(__xludf.DUMMYFUNCTION("""COMPUTED_VALUE"""),"Night")</f>
        <v>Night</v>
      </c>
      <c r="W516" s="10">
        <f ca="1">IFERROR(__xludf.DUMMYFUNCTION("""COMPUTED_VALUE"""),0.104166666666666)</f>
        <v>0.10416666666666601</v>
      </c>
      <c r="X516" s="5"/>
      <c r="Y516" s="5" t="str">
        <f ca="1">IFERROR(__xludf.DUMMYFUNCTION("""COMPUTED_VALUE"""),"Teens damaged 46 cars, 7 businesses, and broke 10 windows on a school bus during BB gun shooting spree")</f>
        <v>Teens damaged 46 cars, 7 businesses, and broke 10 windows on a school bus during BB gun shooting spree</v>
      </c>
      <c r="Z516" s="5" t="str">
        <f ca="1">IFERROR(__xludf.DUMMYFUNCTION("""COMPUTED_VALUE"""),"Two 18-year-olds damaged 46 cars, 7 businesses, and broke 10 windows on a school bus during their BB gun shooting spree. Charged with having a weapon on school property and multiple other crimes. Teens were under the influence of alcohol during the shooti"&amp;"ngs.")</f>
        <v>Two 18-year-olds damaged 46 cars, 7 businesses, and broke 10 windows on a school bus during their BB gun shooting spree. Charged with having a weapon on school property and multiple other crimes. Teens were under the influence of alcohol during the shootings.</v>
      </c>
      <c r="AA516" s="5" t="str">
        <f ca="1">IFERROR(__xludf.DUMMYFUNCTION("""COMPUTED_VALUE"""),"Intentional Property Damage")</f>
        <v>Intentional Property Damage</v>
      </c>
      <c r="AB516" s="5" t="str">
        <f ca="1">IFERROR(__xludf.DUMMYFUNCTION("""COMPUTED_VALUE"""),"Random Shooting")</f>
        <v>Random Shooting</v>
      </c>
      <c r="AC516" s="5" t="str">
        <f ca="1">IFERROR(__xludf.DUMMYFUNCTION("""COMPUTED_VALUE"""),"Yes")</f>
        <v>Yes</v>
      </c>
      <c r="AD516" s="5" t="str">
        <f ca="1">IFERROR(__xludf.DUMMYFUNCTION("""COMPUTED_VALUE"""),"No")</f>
        <v>No</v>
      </c>
      <c r="AE516" s="5" t="str">
        <f ca="1">IFERROR(__xludf.DUMMYFUNCTION("""COMPUTED_VALUE"""),"No")</f>
        <v>No</v>
      </c>
      <c r="AF516" s="5" t="str">
        <f ca="1">IFERROR(__xludf.DUMMYFUNCTION("""COMPUTED_VALUE"""),"No")</f>
        <v>No</v>
      </c>
      <c r="AG516" s="5" t="str">
        <f ca="1">IFERROR(__xludf.DUMMYFUNCTION("""COMPUTED_VALUE"""),"No")</f>
        <v>No</v>
      </c>
      <c r="AH516" s="5" t="str">
        <f ca="1">IFERROR(__xludf.DUMMYFUNCTION("""COMPUTED_VALUE"""),"No")</f>
        <v>No</v>
      </c>
      <c r="AI516" s="5" t="str">
        <f ca="1">IFERROR(__xludf.DUMMYFUNCTION("""COMPUTED_VALUE"""),"No")</f>
        <v>No</v>
      </c>
      <c r="AJ516" s="5" t="str">
        <f ca="1">IFERROR(__xludf.DUMMYFUNCTION("""COMPUTED_VALUE"""),"No")</f>
        <v>No</v>
      </c>
    </row>
    <row r="517" spans="1:36" ht="13">
      <c r="A517" s="5" t="str">
        <f ca="1">IFERROR(__xludf.DUMMYFUNCTION("""COMPUTED_VALUE"""),"20210903CABUB")</f>
        <v>20210903CABUB</v>
      </c>
      <c r="B517" s="5">
        <f ca="1">IFERROR(__xludf.DUMMYFUNCTION("""COMPUTED_VALUE"""),9)</f>
        <v>9</v>
      </c>
      <c r="C517" s="5">
        <f ca="1">IFERROR(__xludf.DUMMYFUNCTION("""COMPUTED_VALUE"""),3)</f>
        <v>3</v>
      </c>
      <c r="D517" s="5">
        <f ca="1">IFERROR(__xludf.DUMMYFUNCTION("""COMPUTED_VALUE"""),2021)</f>
        <v>2021</v>
      </c>
      <c r="E517" s="8">
        <f ca="1">IFERROR(__xludf.DUMMYFUNCTION("""COMPUTED_VALUE"""),44442)</f>
        <v>44442</v>
      </c>
      <c r="F517" s="5" t="str">
        <f ca="1">IFERROR(__xludf.DUMMYFUNCTION("""COMPUTED_VALUE"""),"Buena Park School District Bus")</f>
        <v>Buena Park School District Bus</v>
      </c>
      <c r="G517" s="5">
        <f ca="1">IFERROR(__xludf.DUMMYFUNCTION("""COMPUTED_VALUE"""),0)</f>
        <v>0</v>
      </c>
      <c r="H517" s="5">
        <f ca="1">IFERROR(__xludf.DUMMYFUNCTION("""COMPUTED_VALUE"""),0)</f>
        <v>0</v>
      </c>
      <c r="I517" s="5">
        <f ca="1">IFERROR(__xludf.DUMMYFUNCTION("""COMPUTED_VALUE"""),0)</f>
        <v>0</v>
      </c>
      <c r="J517" s="5">
        <f ca="1">IFERROR(__xludf.DUMMYFUNCTION("""COMPUTED_VALUE"""),1)</f>
        <v>1</v>
      </c>
      <c r="K517" s="5" t="str">
        <f ca="1">IFERROR(__xludf.DUMMYFUNCTION("""COMPUTED_VALUE"""),"https://abc7.com/body-cam-video-released-buena-park-officer-involved-shooting-man-shoots-at-school-bus-police-chase/11251250/ https://www.foxla.com/news/bus-driver-was-shooters-estranged-husband-buena-park https://mynewsla.com/crime/2021/09/07/buena-park-"&amp;"police-suspect-killed-in-shooting-at-bus-was-compton-man/ https://www.nbclosangeles.com/news/local/police-fatally-shoot-pursuit-suspect-who-crashed-into-buena-park-school-district-parking-lot/2686134/ https://www.latimes.com/california/story/2021-09-03/on"&amp;"e-person-dead-after-shooting-involving-buena-park-police")</f>
        <v>https://abc7.com/body-cam-video-released-buena-park-officer-involved-shooting-man-shoots-at-school-bus-police-chase/11251250/ https://www.foxla.com/news/bus-driver-was-shooters-estranged-husband-buena-park https://mynewsla.com/crime/2021/09/07/buena-park-police-suspect-killed-in-shooting-at-bus-was-compton-man/ https://www.nbclosangeles.com/news/local/police-fatally-shoot-pursuit-suspect-who-crashed-into-buena-park-school-district-parking-lot/2686134/ https://www.latimes.com/california/story/2021-09-03/one-person-dead-after-shooting-involving-buena-park-police</v>
      </c>
      <c r="L517" s="5">
        <f ca="1">IFERROR(__xludf.DUMMYFUNCTION("""COMPUTED_VALUE"""),10)</f>
        <v>10</v>
      </c>
      <c r="M517" s="5" t="str">
        <f ca="1">IFERROR(__xludf.DUMMYFUNCTION("""COMPUTED_VALUE"""),"Regional")</f>
        <v>Regional</v>
      </c>
      <c r="N517" s="5">
        <f ca="1">IFERROR(__xludf.DUMMYFUNCTION("""COMPUTED_VALUE"""),4)</f>
        <v>4</v>
      </c>
      <c r="O517" s="5" t="str">
        <f ca="1">IFERROR(__xludf.DUMMYFUNCTION("""COMPUTED_VALUE"""),"Fall")</f>
        <v>Fall</v>
      </c>
      <c r="P517" s="5" t="str">
        <f ca="1">IFERROR(__xludf.DUMMYFUNCTION("""COMPUTED_VALUE"""),"Buena Park")</f>
        <v>Buena Park</v>
      </c>
      <c r="Q517" s="5" t="str">
        <f ca="1">IFERROR(__xludf.DUMMYFUNCTION("""COMPUTED_VALUE"""),"CA")</f>
        <v>CA</v>
      </c>
      <c r="R517" s="5"/>
      <c r="S517" s="5" t="str">
        <f ca="1">IFERROR(__xludf.DUMMYFUNCTION("""COMPUTED_VALUE"""),"School Bus")</f>
        <v>School Bus</v>
      </c>
      <c r="T517" s="5" t="str">
        <f ca="1">IFERROR(__xludf.DUMMYFUNCTION("""COMPUTED_VALUE"""),"School Bus")</f>
        <v>School Bus</v>
      </c>
      <c r="U517" s="5" t="str">
        <f ca="1">IFERROR(__xludf.DUMMYFUNCTION("""COMPUTED_VALUE"""),"Yes")</f>
        <v>Yes</v>
      </c>
      <c r="V517" s="5" t="str">
        <f ca="1">IFERROR(__xludf.DUMMYFUNCTION("""COMPUTED_VALUE"""),"Dismissal")</f>
        <v>Dismissal</v>
      </c>
      <c r="W517" s="10">
        <f ca="1">IFERROR(__xludf.DUMMYFUNCTION("""COMPUTED_VALUE"""),0.581944444444444)</f>
        <v>0.58194444444444404</v>
      </c>
      <c r="X517" s="5">
        <f ca="1">IFERROR(__xludf.DUMMYFUNCTION("""COMPUTED_VALUE"""),1)</f>
        <v>1</v>
      </c>
      <c r="Y517" s="5" t="str">
        <f ca="1">IFERROR(__xludf.DUMMYFUNCTION("""COMPUTED_VALUE"""),"Man fired shot at occupied school bus, attempting to kill wife (bus driver)")</f>
        <v>Man fired shot at occupied school bus, attempting to kill wife (bus driver)</v>
      </c>
      <c r="Z517" s="5" t="str">
        <f ca="1">IFERROR(__xludf.DUMMYFUNCTION("""COMPUTED_VALUE"""),"A man fired multiple shots from his vehicle at an occupied school bus. An officer witnessed the shooting and pursued the vehicle. After a brief chase, the bus crashed through a locked gate onto school district property. The officer fired shots at the arme"&amp;"d driver and fatally struck him. The shooter was attempting to kill his estranged wife who was the bus driver. A student was on the bus during the shooting. Driver active domestic violence restraining order against the shooter.")</f>
        <v>A man fired multiple shots from his vehicle at an occupied school bus. An officer witnessed the shooting and pursued the vehicle. After a brief chase, the bus crashed through a locked gate onto school district property. The officer fired shots at the armed driver and fatally struck him. The shooter was attempting to kill his estranged wife who was the bus driver. A student was on the bus during the shooting. Driver active domestic violence restraining order against the shooter.</v>
      </c>
      <c r="AA517" s="5" t="str">
        <f ca="1">IFERROR(__xludf.DUMMYFUNCTION("""COMPUTED_VALUE"""),"Domestic w/ Targeted Victim")</f>
        <v>Domestic w/ Targeted Victim</v>
      </c>
      <c r="AB517" s="5" t="str">
        <f ca="1">IFERROR(__xludf.DUMMYFUNCTION("""COMPUTED_VALUE"""),"Victims Targeted")</f>
        <v>Victims Targeted</v>
      </c>
      <c r="AC517" s="5" t="str">
        <f ca="1">IFERROR(__xludf.DUMMYFUNCTION("""COMPUTED_VALUE"""),"No")</f>
        <v>No</v>
      </c>
      <c r="AD517" s="5" t="str">
        <f ca="1">IFERROR(__xludf.DUMMYFUNCTION("""COMPUTED_VALUE"""),"No")</f>
        <v>No</v>
      </c>
      <c r="AE517" s="5" t="str">
        <f ca="1">IFERROR(__xludf.DUMMYFUNCTION("""COMPUTED_VALUE"""),"No")</f>
        <v>No</v>
      </c>
      <c r="AF517" s="5" t="str">
        <f ca="1">IFERROR(__xludf.DUMMYFUNCTION("""COMPUTED_VALUE"""),"No")</f>
        <v>No</v>
      </c>
      <c r="AG517" s="5" t="str">
        <f ca="1">IFERROR(__xludf.DUMMYFUNCTION("""COMPUTED_VALUE"""),"No")</f>
        <v>No</v>
      </c>
      <c r="AH517" s="5" t="str">
        <f ca="1">IFERROR(__xludf.DUMMYFUNCTION("""COMPUTED_VALUE"""),"Yes")</f>
        <v>Yes</v>
      </c>
      <c r="AI517" s="5" t="str">
        <f ca="1">IFERROR(__xludf.DUMMYFUNCTION("""COMPUTED_VALUE"""),"No")</f>
        <v>No</v>
      </c>
      <c r="AJ517" s="5" t="str">
        <f ca="1">IFERROR(__xludf.DUMMYFUNCTION("""COMPUTED_VALUE"""),"No")</f>
        <v>No</v>
      </c>
    </row>
    <row r="518" spans="1:36" ht="13">
      <c r="A518" s="5" t="str">
        <f ca="1">IFERROR(__xludf.DUMMYFUNCTION("""COMPUTED_VALUE"""),"20210903CAMTH")</f>
        <v>20210903CAMTH</v>
      </c>
      <c r="B518" s="5">
        <f ca="1">IFERROR(__xludf.DUMMYFUNCTION("""COMPUTED_VALUE"""),9)</f>
        <v>9</v>
      </c>
      <c r="C518" s="5">
        <f ca="1">IFERROR(__xludf.DUMMYFUNCTION("""COMPUTED_VALUE"""),3)</f>
        <v>3</v>
      </c>
      <c r="D518" s="5">
        <f ca="1">IFERROR(__xludf.DUMMYFUNCTION("""COMPUTED_VALUE"""),2021)</f>
        <v>2021</v>
      </c>
      <c r="E518" s="8">
        <f ca="1">IFERROR(__xludf.DUMMYFUNCTION("""COMPUTED_VALUE"""),44442)</f>
        <v>44442</v>
      </c>
      <c r="F518" s="5" t="str">
        <f ca="1">IFERROR(__xludf.DUMMYFUNCTION("""COMPUTED_VALUE"""),"Mt. Eden High School")</f>
        <v>Mt. Eden High School</v>
      </c>
      <c r="G518" s="5">
        <f ca="1">IFERROR(__xludf.DUMMYFUNCTION("""COMPUTED_VALUE"""),0)</f>
        <v>0</v>
      </c>
      <c r="H518" s="5">
        <f ca="1">IFERROR(__xludf.DUMMYFUNCTION("""COMPUTED_VALUE"""),0)</f>
        <v>0</v>
      </c>
      <c r="I518" s="5">
        <f ca="1">IFERROR(__xludf.DUMMYFUNCTION("""COMPUTED_VALUE"""),0)</f>
        <v>0</v>
      </c>
      <c r="J518" s="5">
        <f ca="1">IFERROR(__xludf.DUMMYFUNCTION("""COMPUTED_VALUE"""),0)</f>
        <v>0</v>
      </c>
      <c r="K518" s="5" t="str">
        <f ca="1">IFERROR(__xludf.DUMMYFUNCTION("""COMPUTED_VALUE"""),"https://www.kron4.com/news/bay-area/16-year-old-student-arrested-for-shooting-near-hayward-high-school-police/ https://www.sfchronicle.com/bayarea/article/Mt-Eden-High-School-student-arrested-in-Hayward-16435234.php https://www.kron4.com/news/bay-area/16-"&amp;"year-old-student-arrested-for-shooting-near-hayward-high-school-police/")</f>
        <v>https://www.kron4.com/news/bay-area/16-year-old-student-arrested-for-shooting-near-hayward-high-school-police/ https://www.sfchronicle.com/bayarea/article/Mt-Eden-High-School-student-arrested-in-Hayward-16435234.php https://www.kron4.com/news/bay-area/16-year-old-student-arrested-for-shooting-near-hayward-high-school-police/</v>
      </c>
      <c r="L518" s="5">
        <f ca="1">IFERROR(__xludf.DUMMYFUNCTION("""COMPUTED_VALUE"""),2)</f>
        <v>2</v>
      </c>
      <c r="M518" s="5" t="str">
        <f ca="1">IFERROR(__xludf.DUMMYFUNCTION("""COMPUTED_VALUE"""),"Local")</f>
        <v>Local</v>
      </c>
      <c r="N518" s="5">
        <f ca="1">IFERROR(__xludf.DUMMYFUNCTION("""COMPUTED_VALUE"""),4)</f>
        <v>4</v>
      </c>
      <c r="O518" s="5" t="str">
        <f ca="1">IFERROR(__xludf.DUMMYFUNCTION("""COMPUTED_VALUE"""),"Fall")</f>
        <v>Fall</v>
      </c>
      <c r="P518" s="5" t="str">
        <f ca="1">IFERROR(__xludf.DUMMYFUNCTION("""COMPUTED_VALUE"""),"Hayward")</f>
        <v>Hayward</v>
      </c>
      <c r="Q518" s="5" t="str">
        <f ca="1">IFERROR(__xludf.DUMMYFUNCTION("""COMPUTED_VALUE"""),"CA")</f>
        <v>CA</v>
      </c>
      <c r="R518" s="5" t="str">
        <f ca="1">IFERROR(__xludf.DUMMYFUNCTION("""COMPUTED_VALUE"""),"High")</f>
        <v>High</v>
      </c>
      <c r="S518" s="5" t="str">
        <f ca="1">IFERROR(__xludf.DUMMYFUNCTION("""COMPUTED_VALUE"""),"Front of School")</f>
        <v>Front of School</v>
      </c>
      <c r="T518" s="5" t="str">
        <f ca="1">IFERROR(__xludf.DUMMYFUNCTION("""COMPUTED_VALUE"""),"Outside on School Property")</f>
        <v>Outside on School Property</v>
      </c>
      <c r="U518" s="5" t="str">
        <f ca="1">IFERROR(__xludf.DUMMYFUNCTION("""COMPUTED_VALUE"""),"Yes")</f>
        <v>Yes</v>
      </c>
      <c r="V518" s="5" t="str">
        <f ca="1">IFERROR(__xludf.DUMMYFUNCTION("""COMPUTED_VALUE"""),"School Start")</f>
        <v>School Start</v>
      </c>
      <c r="W518" s="10">
        <f ca="1">IFERROR(__xludf.DUMMYFUNCTION("""COMPUTED_VALUE"""),0.375)</f>
        <v>0.375</v>
      </c>
      <c r="X518" s="5">
        <f ca="1">IFERROR(__xludf.DUMMYFUNCTION("""COMPUTED_VALUE"""),1)</f>
        <v>1</v>
      </c>
      <c r="Y518" s="5" t="str">
        <f ca="1">IFERROR(__xludf.DUMMYFUNCTION("""COMPUTED_VALUE"""),"Teen fired shots a vehicle on campus, fled, and then attempted to re-enter school with handgun")</f>
        <v>Teen fired shots a vehicle on campus, fled, and then attempted to re-enter school with handgun</v>
      </c>
      <c r="Z518" s="5" t="str">
        <f ca="1">IFERROR(__xludf.DUMMYFUNCTION("""COMPUTED_VALUE"""),"A 16-year-old student fired shots at a vehicle on the school campus and then fled the area. The school was notified and given description of the shooter. A few minutes later, the shooter was spotted on campus and arrested with a handgun.")</f>
        <v>A 16-year-old student fired shots at a vehicle on the school campus and then fled the area. The school was notified and given description of the shooter. A few minutes later, the shooter was spotted on campus and arrested with a handgun.</v>
      </c>
      <c r="AA518" s="5"/>
      <c r="AB518" s="5" t="str">
        <f ca="1">IFERROR(__xludf.DUMMYFUNCTION("""COMPUTED_VALUE"""),"Victims Targeted")</f>
        <v>Victims Targeted</v>
      </c>
      <c r="AC518" s="5" t="str">
        <f ca="1">IFERROR(__xludf.DUMMYFUNCTION("""COMPUTED_VALUE"""),"No")</f>
        <v>No</v>
      </c>
      <c r="AD518" s="5" t="str">
        <f ca="1">IFERROR(__xludf.DUMMYFUNCTION("""COMPUTED_VALUE"""),"No")</f>
        <v>No</v>
      </c>
      <c r="AE518" s="5" t="str">
        <f ca="1">IFERROR(__xludf.DUMMYFUNCTION("""COMPUTED_VALUE"""),"No")</f>
        <v>No</v>
      </c>
      <c r="AF518" s="5" t="str">
        <f ca="1">IFERROR(__xludf.DUMMYFUNCTION("""COMPUTED_VALUE"""),"No")</f>
        <v>No</v>
      </c>
      <c r="AG518" s="5" t="str">
        <f ca="1">IFERROR(__xludf.DUMMYFUNCTION("""COMPUTED_VALUE"""),"No")</f>
        <v>No</v>
      </c>
      <c r="AH518" s="5" t="str">
        <f ca="1">IFERROR(__xludf.DUMMYFUNCTION("""COMPUTED_VALUE"""),"No")</f>
        <v>No</v>
      </c>
      <c r="AI518" s="5"/>
      <c r="AJ518" s="5" t="str">
        <f ca="1">IFERROR(__xludf.DUMMYFUNCTION("""COMPUTED_VALUE"""),"No")</f>
        <v>No</v>
      </c>
    </row>
    <row r="519" spans="1:36" ht="13">
      <c r="A519" s="5" t="str">
        <f ca="1">IFERROR(__xludf.DUMMYFUNCTION("""COMPUTED_VALUE"""),"20210903NVDEL")</f>
        <v>20210903NVDEL</v>
      </c>
      <c r="B519" s="5">
        <f ca="1">IFERROR(__xludf.DUMMYFUNCTION("""COMPUTED_VALUE"""),9)</f>
        <v>9</v>
      </c>
      <c r="C519" s="5">
        <f ca="1">IFERROR(__xludf.DUMMYFUNCTION("""COMPUTED_VALUE"""),3)</f>
        <v>3</v>
      </c>
      <c r="D519" s="5">
        <f ca="1">IFERROR(__xludf.DUMMYFUNCTION("""COMPUTED_VALUE"""),2021)</f>
        <v>2021</v>
      </c>
      <c r="E519" s="8">
        <f ca="1">IFERROR(__xludf.DUMMYFUNCTION("""COMPUTED_VALUE"""),44442)</f>
        <v>44442</v>
      </c>
      <c r="F519" s="5" t="str">
        <f ca="1">IFERROR(__xludf.DUMMYFUNCTION("""COMPUTED_VALUE"""),"Desert Oasis High School")</f>
        <v>Desert Oasis High School</v>
      </c>
      <c r="G519" s="5">
        <f ca="1">IFERROR(__xludf.DUMMYFUNCTION("""COMPUTED_VALUE"""),0)</f>
        <v>0</v>
      </c>
      <c r="H519" s="5">
        <f ca="1">IFERROR(__xludf.DUMMYFUNCTION("""COMPUTED_VALUE"""),0)</f>
        <v>0</v>
      </c>
      <c r="I519" s="5">
        <f ca="1">IFERROR(__xludf.DUMMYFUNCTION("""COMPUTED_VALUE"""),0)</f>
        <v>0</v>
      </c>
      <c r="J519" s="5">
        <f ca="1">IFERROR(__xludf.DUMMYFUNCTION("""COMPUTED_VALUE"""),0)</f>
        <v>0</v>
      </c>
      <c r="K519" s="5" t="str">
        <f ca="1">IFERROR(__xludf.DUMMYFUNCTION("""COMPUTED_VALUE"""),"https://www.8newsnow.com/news/local-news/families-share-mixed-feelings-as-desert-oasis-high-school-steps-up-security-after-fight-leads-to-gunfire/ https://www.fox5vegas.com/news/las-vegas-police-investigate-shooting-at-desert-oasis-high-school-following-f"&amp;"ootball-game/article_57995e8c-0d42-11ec-a45c-47a24cb55336.html")</f>
        <v>https://www.8newsnow.com/news/local-news/families-share-mixed-feelings-as-desert-oasis-high-school-steps-up-security-after-fight-leads-to-gunfire/ https://www.fox5vegas.com/news/las-vegas-police-investigate-shooting-at-desert-oasis-high-school-following-football-game/article_57995e8c-0d42-11ec-a45c-47a24cb55336.html</v>
      </c>
      <c r="L519" s="5">
        <f ca="1">IFERROR(__xludf.DUMMYFUNCTION("""COMPUTED_VALUE"""),10)</f>
        <v>10</v>
      </c>
      <c r="M519" s="5" t="str">
        <f ca="1">IFERROR(__xludf.DUMMYFUNCTION("""COMPUTED_VALUE"""),"Local")</f>
        <v>Local</v>
      </c>
      <c r="N519" s="5">
        <f ca="1">IFERROR(__xludf.DUMMYFUNCTION("""COMPUTED_VALUE"""),4)</f>
        <v>4</v>
      </c>
      <c r="O519" s="5" t="str">
        <f ca="1">IFERROR(__xludf.DUMMYFUNCTION("""COMPUTED_VALUE"""),"Fall")</f>
        <v>Fall</v>
      </c>
      <c r="P519" s="5" t="str">
        <f ca="1">IFERROR(__xludf.DUMMYFUNCTION("""COMPUTED_VALUE"""),"Las Vegas")</f>
        <v>Las Vegas</v>
      </c>
      <c r="Q519" s="5" t="str">
        <f ca="1">IFERROR(__xludf.DUMMYFUNCTION("""COMPUTED_VALUE"""),"NV")</f>
        <v>NV</v>
      </c>
      <c r="R519" s="5" t="str">
        <f ca="1">IFERROR(__xludf.DUMMYFUNCTION("""COMPUTED_VALUE"""),"High")</f>
        <v>High</v>
      </c>
      <c r="S519" s="5" t="str">
        <f ca="1">IFERROR(__xludf.DUMMYFUNCTION("""COMPUTED_VALUE"""),"Parking Lot")</f>
        <v>Parking Lot</v>
      </c>
      <c r="T519" s="5" t="str">
        <f ca="1">IFERROR(__xludf.DUMMYFUNCTION("""COMPUTED_VALUE"""),"Outside on School Property")</f>
        <v>Outside on School Property</v>
      </c>
      <c r="U519" s="5" t="str">
        <f ca="1">IFERROR(__xludf.DUMMYFUNCTION("""COMPUTED_VALUE"""),"No")</f>
        <v>No</v>
      </c>
      <c r="V519" s="5" t="str">
        <f ca="1">IFERROR(__xludf.DUMMYFUNCTION("""COMPUTED_VALUE"""),"Sport Event")</f>
        <v>Sport Event</v>
      </c>
      <c r="W519" s="10">
        <f ca="1">IFERROR(__xludf.DUMMYFUNCTION("""COMPUTED_VALUE"""),0.875)</f>
        <v>0.875</v>
      </c>
      <c r="X519" s="5">
        <f ca="1">IFERROR(__xludf.DUMMYFUNCTION("""COMPUTED_VALUE"""),1)</f>
        <v>1</v>
      </c>
      <c r="Y519" s="5" t="str">
        <f ca="1">IFERROR(__xludf.DUMMYFUNCTION("""COMPUTED_VALUE"""),"Shots fired into air during fight following football game")</f>
        <v>Shots fired into air during fight following football game</v>
      </c>
      <c r="Z519" s="5" t="str">
        <f ca="1">IFERROR(__xludf.DUMMYFUNCTION("""COMPUTED_VALUE"""),"Shots were fired into the air during a fight in the parking lot at the end of a football game. Police were assigned to the school for the game. Shooter fled the area. No victims. Police and school officials announced increased security for future games.")</f>
        <v>Shots were fired into the air during a fight in the parking lot at the end of a football game. Police were assigned to the school for the game. Shooter fled the area. No victims. Police and school officials announced increased security for future games.</v>
      </c>
      <c r="AA519" s="5" t="str">
        <f ca="1">IFERROR(__xludf.DUMMYFUNCTION("""COMPUTED_VALUE"""),"Escalation of Dispute")</f>
        <v>Escalation of Dispute</v>
      </c>
      <c r="AB519" s="5" t="str">
        <f ca="1">IFERROR(__xludf.DUMMYFUNCTION("""COMPUTED_VALUE"""),"Neither")</f>
        <v>Neither</v>
      </c>
      <c r="AC519" s="5" t="str">
        <f ca="1">IFERROR(__xludf.DUMMYFUNCTION("""COMPUTED_VALUE"""),"No")</f>
        <v>No</v>
      </c>
      <c r="AD519" s="5" t="str">
        <f ca="1">IFERROR(__xludf.DUMMYFUNCTION("""COMPUTED_VALUE"""),"No")</f>
        <v>No</v>
      </c>
      <c r="AE519" s="5" t="str">
        <f ca="1">IFERROR(__xludf.DUMMYFUNCTION("""COMPUTED_VALUE"""),"No")</f>
        <v>No</v>
      </c>
      <c r="AF519" s="5" t="str">
        <f ca="1">IFERROR(__xludf.DUMMYFUNCTION("""COMPUTED_VALUE"""),"No")</f>
        <v>No</v>
      </c>
      <c r="AG519" s="5" t="str">
        <f ca="1">IFERROR(__xludf.DUMMYFUNCTION("""COMPUTED_VALUE"""),"No")</f>
        <v>No</v>
      </c>
      <c r="AH519" s="5" t="str">
        <f ca="1">IFERROR(__xludf.DUMMYFUNCTION("""COMPUTED_VALUE"""),"No")</f>
        <v>No</v>
      </c>
      <c r="AI519" s="5"/>
      <c r="AJ519" s="5" t="str">
        <f ca="1">IFERROR(__xludf.DUMMYFUNCTION("""COMPUTED_VALUE"""),"No")</f>
        <v>No</v>
      </c>
    </row>
    <row r="520" spans="1:36" ht="13">
      <c r="A520" s="5" t="str">
        <f ca="1">IFERROR(__xludf.DUMMYFUNCTION("""COMPUTED_VALUE"""),"20210903NCJUC")</f>
        <v>20210903NCJUC</v>
      </c>
      <c r="B520" s="5">
        <f ca="1">IFERROR(__xludf.DUMMYFUNCTION("""COMPUTED_VALUE"""),9)</f>
        <v>9</v>
      </c>
      <c r="C520" s="5">
        <f ca="1">IFERROR(__xludf.DUMMYFUNCTION("""COMPUTED_VALUE"""),3)</f>
        <v>3</v>
      </c>
      <c r="D520" s="5">
        <f ca="1">IFERROR(__xludf.DUMMYFUNCTION("""COMPUTED_VALUE"""),2021)</f>
        <v>2021</v>
      </c>
      <c r="E520" s="8">
        <f ca="1">IFERROR(__xludf.DUMMYFUNCTION("""COMPUTED_VALUE"""),44442)</f>
        <v>44442</v>
      </c>
      <c r="F520" s="5" t="str">
        <f ca="1">IFERROR(__xludf.DUMMYFUNCTION("""COMPUTED_VALUE"""),"Julius Chambers High School")</f>
        <v>Julius Chambers High School</v>
      </c>
      <c r="G520" s="5">
        <f ca="1">IFERROR(__xludf.DUMMYFUNCTION("""COMPUTED_VALUE"""),0)</f>
        <v>0</v>
      </c>
      <c r="H520" s="5">
        <f ca="1">IFERROR(__xludf.DUMMYFUNCTION("""COMPUTED_VALUE"""),0)</f>
        <v>0</v>
      </c>
      <c r="I520" s="5">
        <f ca="1">IFERROR(__xludf.DUMMYFUNCTION("""COMPUTED_VALUE"""),0)</f>
        <v>0</v>
      </c>
      <c r="J520" s="5">
        <f ca="1">IFERROR(__xludf.DUMMYFUNCTION("""COMPUTED_VALUE"""),0)</f>
        <v>0</v>
      </c>
      <c r="K520" s="5" t="str">
        <f ca="1">IFERROR(__xludf.DUMMYFUNCTION("""COMPUTED_VALUE"""),"https://www.wsoctv.com/news/local/gunfire-erupts-end-high-school-football-game-police-say/RSMEYEGDR5HEHEKHZ3YPQ2QLLY/ https://www.wral.com/shots-fired-during-high-school-football-game-in-charlotte/19858153/")</f>
        <v>https://www.wsoctv.com/news/local/gunfire-erupts-end-high-school-football-game-police-say/RSMEYEGDR5HEHEKHZ3YPQ2QLLY/ https://www.wral.com/shots-fired-during-high-school-football-game-in-charlotte/19858153/</v>
      </c>
      <c r="L520" s="5">
        <f ca="1">IFERROR(__xludf.DUMMYFUNCTION("""COMPUTED_VALUE"""),2)</f>
        <v>2</v>
      </c>
      <c r="M520" s="5" t="str">
        <f ca="1">IFERROR(__xludf.DUMMYFUNCTION("""COMPUTED_VALUE"""),"Local")</f>
        <v>Local</v>
      </c>
      <c r="N520" s="5">
        <f ca="1">IFERROR(__xludf.DUMMYFUNCTION("""COMPUTED_VALUE"""),4)</f>
        <v>4</v>
      </c>
      <c r="O520" s="5" t="str">
        <f ca="1">IFERROR(__xludf.DUMMYFUNCTION("""COMPUTED_VALUE"""),"Fall")</f>
        <v>Fall</v>
      </c>
      <c r="P520" s="5" t="str">
        <f ca="1">IFERROR(__xludf.DUMMYFUNCTION("""COMPUTED_VALUE"""),"Charlotte")</f>
        <v>Charlotte</v>
      </c>
      <c r="Q520" s="5" t="str">
        <f ca="1">IFERROR(__xludf.DUMMYFUNCTION("""COMPUTED_VALUE"""),"NC")</f>
        <v>NC</v>
      </c>
      <c r="R520" s="5" t="str">
        <f ca="1">IFERROR(__xludf.DUMMYFUNCTION("""COMPUTED_VALUE"""),"High")</f>
        <v>High</v>
      </c>
      <c r="S520" s="5" t="str">
        <f ca="1">IFERROR(__xludf.DUMMYFUNCTION("""COMPUTED_VALUE"""),"Football Field/Track")</f>
        <v>Football Field/Track</v>
      </c>
      <c r="T520" s="5" t="str">
        <f ca="1">IFERROR(__xludf.DUMMYFUNCTION("""COMPUTED_VALUE"""),"Outside on School Property")</f>
        <v>Outside on School Property</v>
      </c>
      <c r="U520" s="5" t="str">
        <f ca="1">IFERROR(__xludf.DUMMYFUNCTION("""COMPUTED_VALUE"""),"No")</f>
        <v>No</v>
      </c>
      <c r="V520" s="5" t="str">
        <f ca="1">IFERROR(__xludf.DUMMYFUNCTION("""COMPUTED_VALUE"""),"Sport Event")</f>
        <v>Sport Event</v>
      </c>
      <c r="W520" s="10">
        <f ca="1">IFERROR(__xludf.DUMMYFUNCTION("""COMPUTED_VALUE"""),0.895833333333333)</f>
        <v>0.89583333333333304</v>
      </c>
      <c r="X520" s="5">
        <f ca="1">IFERROR(__xludf.DUMMYFUNCTION("""COMPUTED_VALUE"""),1)</f>
        <v>1</v>
      </c>
      <c r="Y520" s="5" t="str">
        <f ca="1">IFERROR(__xludf.DUMMYFUNCTION("""COMPUTED_VALUE"""),"Multiple shots fired near stadium gate following football game")</f>
        <v>Multiple shots fired near stadium gate following football game</v>
      </c>
      <c r="Z520" s="5" t="str">
        <f ca="1">IFERROR(__xludf.DUMMYFUNCTION("""COMPUTED_VALUE"""),"Multiple shots were fired at the end of the high school football game while the parking lot was being cleared. Attendees and players still inside the stadium self-evacuated or took cover. Shooter fled. No injuries. Police recovered 4 shell casings near th"&amp;"e visitor gate. No fights or issues were reported during the game.")</f>
        <v>Multiple shots were fired at the end of the high school football game while the parking lot was being cleared. Attendees and players still inside the stadium self-evacuated or took cover. Shooter fled. No injuries. Police recovered 4 shell casings near the visitor gate. No fights or issues were reported during the game.</v>
      </c>
      <c r="AA520" s="5"/>
      <c r="AB520" s="5" t="str">
        <f ca="1">IFERROR(__xludf.DUMMYFUNCTION("""COMPUTED_VALUE"""),"Neither")</f>
        <v>Neither</v>
      </c>
      <c r="AC520" s="5" t="str">
        <f ca="1">IFERROR(__xludf.DUMMYFUNCTION("""COMPUTED_VALUE"""),"No")</f>
        <v>No</v>
      </c>
      <c r="AD520" s="5" t="str">
        <f ca="1">IFERROR(__xludf.DUMMYFUNCTION("""COMPUTED_VALUE"""),"No")</f>
        <v>No</v>
      </c>
      <c r="AE520" s="5" t="str">
        <f ca="1">IFERROR(__xludf.DUMMYFUNCTION("""COMPUTED_VALUE"""),"No")</f>
        <v>No</v>
      </c>
      <c r="AF520" s="5" t="str">
        <f ca="1">IFERROR(__xludf.DUMMYFUNCTION("""COMPUTED_VALUE"""),"No")</f>
        <v>No</v>
      </c>
      <c r="AG520" s="5" t="str">
        <f ca="1">IFERROR(__xludf.DUMMYFUNCTION("""COMPUTED_VALUE"""),"No")</f>
        <v>No</v>
      </c>
      <c r="AH520" s="5" t="str">
        <f ca="1">IFERROR(__xludf.DUMMYFUNCTION("""COMPUTED_VALUE"""),"No")</f>
        <v>No</v>
      </c>
      <c r="AI520" s="5" t="str">
        <f ca="1">IFERROR(__xludf.DUMMYFUNCTION("""COMPUTED_VALUE"""),"No")</f>
        <v>No</v>
      </c>
      <c r="AJ520" s="5" t="str">
        <f ca="1">IFERROR(__xludf.DUMMYFUNCTION("""COMPUTED_VALUE"""),"No")</f>
        <v>No</v>
      </c>
    </row>
    <row r="521" spans="1:36" ht="13">
      <c r="A521" s="5" t="str">
        <f ca="1">IFERROR(__xludf.DUMMYFUNCTION("""COMPUTED_VALUE"""),"20210902CASAL")</f>
        <v>20210902CASAL</v>
      </c>
      <c r="B521" s="5">
        <f ca="1">IFERROR(__xludf.DUMMYFUNCTION("""COMPUTED_VALUE"""),9)</f>
        <v>9</v>
      </c>
      <c r="C521" s="5">
        <f ca="1">IFERROR(__xludf.DUMMYFUNCTION("""COMPUTED_VALUE"""),2)</f>
        <v>2</v>
      </c>
      <c r="D521" s="5">
        <f ca="1">IFERROR(__xludf.DUMMYFUNCTION("""COMPUTED_VALUE"""),2021)</f>
        <v>2021</v>
      </c>
      <c r="E521" s="8">
        <f ca="1">IFERROR(__xludf.DUMMYFUNCTION("""COMPUTED_VALUE"""),44441)</f>
        <v>44441</v>
      </c>
      <c r="F521" s="5" t="str">
        <f ca="1">IFERROR(__xludf.DUMMYFUNCTION("""COMPUTED_VALUE"""),"Santee High School")</f>
        <v>Santee High School</v>
      </c>
      <c r="G521" s="5">
        <f ca="1">IFERROR(__xludf.DUMMYFUNCTION("""COMPUTED_VALUE"""),0)</f>
        <v>0</v>
      </c>
      <c r="H521" s="5">
        <f ca="1">IFERROR(__xludf.DUMMYFUNCTION("""COMPUTED_VALUE"""),2)</f>
        <v>2</v>
      </c>
      <c r="I521" s="5">
        <f ca="1">IFERROR(__xludf.DUMMYFUNCTION("""COMPUTED_VALUE"""),2)</f>
        <v>2</v>
      </c>
      <c r="J521" s="5">
        <f ca="1">IFERROR(__xludf.DUMMYFUNCTION("""COMPUTED_VALUE"""),0)</f>
        <v>0</v>
      </c>
      <c r="K521" s="5" t="str">
        <f ca="1">IFERROR(__xludf.DUMMYFUNCTION("""COMPUTED_VALUE"""),"https://www.foxla.com/news/suspects-arrested-in-shooting-outside-high-school-in-south-la https://www.nbclosangeles.com/news/local/suspects-arrested-in-shooting-outside-school-near-downtown-la/2692347/ https://www.nbclosangeles.com/news/local/school-in-sou"&amp;"th-la-locked-down-as-police-respond-to-reports-of-shots-fired/2685232/")</f>
        <v>https://www.foxla.com/news/suspects-arrested-in-shooting-outside-high-school-in-south-la https://www.nbclosangeles.com/news/local/suspects-arrested-in-shooting-outside-school-near-downtown-la/2692347/ https://www.nbclosangeles.com/news/local/school-in-south-la-locked-down-as-police-respond-to-reports-of-shots-fired/2685232/</v>
      </c>
      <c r="L521" s="5">
        <f ca="1">IFERROR(__xludf.DUMMYFUNCTION("""COMPUTED_VALUE"""),10)</f>
        <v>10</v>
      </c>
      <c r="M521" s="5" t="str">
        <f ca="1">IFERROR(__xludf.DUMMYFUNCTION("""COMPUTED_VALUE"""),"Regional")</f>
        <v>Regional</v>
      </c>
      <c r="N521" s="5">
        <f ca="1">IFERROR(__xludf.DUMMYFUNCTION("""COMPUTED_VALUE"""),4)</f>
        <v>4</v>
      </c>
      <c r="O521" s="5" t="str">
        <f ca="1">IFERROR(__xludf.DUMMYFUNCTION("""COMPUTED_VALUE"""),"Fall")</f>
        <v>Fall</v>
      </c>
      <c r="P521" s="5" t="str">
        <f ca="1">IFERROR(__xludf.DUMMYFUNCTION("""COMPUTED_VALUE"""),"Los Angeles")</f>
        <v>Los Angeles</v>
      </c>
      <c r="Q521" s="5" t="str">
        <f ca="1">IFERROR(__xludf.DUMMYFUNCTION("""COMPUTED_VALUE"""),"CA")</f>
        <v>CA</v>
      </c>
      <c r="R521" s="5" t="str">
        <f ca="1">IFERROR(__xludf.DUMMYFUNCTION("""COMPUTED_VALUE"""),"High")</f>
        <v>High</v>
      </c>
      <c r="S521" s="5" t="str">
        <f ca="1">IFERROR(__xludf.DUMMYFUNCTION("""COMPUTED_VALUE"""),"Football Field/Track")</f>
        <v>Football Field/Track</v>
      </c>
      <c r="T521" s="5" t="str">
        <f ca="1">IFERROR(__xludf.DUMMYFUNCTION("""COMPUTED_VALUE"""),"Outside on School Property")</f>
        <v>Outside on School Property</v>
      </c>
      <c r="U521" s="5" t="str">
        <f ca="1">IFERROR(__xludf.DUMMYFUNCTION("""COMPUTED_VALUE"""),"Yes")</f>
        <v>Yes</v>
      </c>
      <c r="V521" s="5" t="str">
        <f ca="1">IFERROR(__xludf.DUMMYFUNCTION("""COMPUTED_VALUE"""),"Afternoon Classes")</f>
        <v>Afternoon Classes</v>
      </c>
      <c r="W521" s="10">
        <f ca="1">IFERROR(__xludf.DUMMYFUNCTION("""COMPUTED_VALUE"""),0.583333333333333)</f>
        <v>0.58333333333333304</v>
      </c>
      <c r="X521" s="5">
        <f ca="1">IFERROR(__xludf.DUMMYFUNCTION("""COMPUTED_VALUE"""),1)</f>
        <v>1</v>
      </c>
      <c r="Y521" s="5" t="str">
        <f ca="1">IFERROR(__xludf.DUMMYFUNCTION("""COMPUTED_VALUE"""),"Two students shot during fight on football field")</f>
        <v>Two students shot during fight on football field</v>
      </c>
      <c r="Z521" s="5" t="str">
        <f ca="1">IFERROR(__xludf.DUMMYFUNCTION("""COMPUTED_VALUE"""),"Two teens were shot during a fight on the football field of the school during afternoon classes. The high school and a neighboring primary school were locked down while police searched for the shooter. A teenage victim was found on the football field and "&amp;"a second victim was found on the street near the school. Shooter fled the scene and was arrested 12 days later. Police are still searching for multiple co-conspirators.")</f>
        <v>Two teens were shot during a fight on the football field of the school during afternoon classes. The high school and a neighboring primary school were locked down while police searched for the shooter. A teenage victim was found on the football field and a second victim was found on the street near the school. Shooter fled the scene and was arrested 12 days later. Police are still searching for multiple co-conspirators.</v>
      </c>
      <c r="AA521" s="5" t="str">
        <f ca="1">IFERROR(__xludf.DUMMYFUNCTION("""COMPUTED_VALUE"""),"Escalation of Dispute")</f>
        <v>Escalation of Dispute</v>
      </c>
      <c r="AB521" s="5" t="str">
        <f ca="1">IFERROR(__xludf.DUMMYFUNCTION("""COMPUTED_VALUE"""),"Both")</f>
        <v>Both</v>
      </c>
      <c r="AC521" s="5" t="str">
        <f ca="1">IFERROR(__xludf.DUMMYFUNCTION("""COMPUTED_VALUE"""),"Yes")</f>
        <v>Yes</v>
      </c>
      <c r="AD521" s="5" t="str">
        <f ca="1">IFERROR(__xludf.DUMMYFUNCTION("""COMPUTED_VALUE"""),"No")</f>
        <v>No</v>
      </c>
      <c r="AE521" s="5" t="str">
        <f ca="1">IFERROR(__xludf.DUMMYFUNCTION("""COMPUTED_VALUE"""),"No")</f>
        <v>No</v>
      </c>
      <c r="AF521" s="5" t="str">
        <f ca="1">IFERROR(__xludf.DUMMYFUNCTION("""COMPUTED_VALUE"""),"No")</f>
        <v>No</v>
      </c>
      <c r="AG521" s="5" t="str">
        <f ca="1">IFERROR(__xludf.DUMMYFUNCTION("""COMPUTED_VALUE"""),"No")</f>
        <v>No</v>
      </c>
      <c r="AH521" s="5" t="str">
        <f ca="1">IFERROR(__xludf.DUMMYFUNCTION("""COMPUTED_VALUE"""),"No")</f>
        <v>No</v>
      </c>
      <c r="AI521" s="5"/>
      <c r="AJ521" s="5" t="str">
        <f ca="1">IFERROR(__xludf.DUMMYFUNCTION("""COMPUTED_VALUE"""),"No")</f>
        <v>No</v>
      </c>
    </row>
    <row r="522" spans="1:36" ht="13">
      <c r="A522" s="5" t="str">
        <f ca="1">IFERROR(__xludf.DUMMYFUNCTION("""COMPUTED_VALUE"""),"20210902INWEG")</f>
        <v>20210902INWEG</v>
      </c>
      <c r="B522" s="5">
        <f ca="1">IFERROR(__xludf.DUMMYFUNCTION("""COMPUTED_VALUE"""),9)</f>
        <v>9</v>
      </c>
      <c r="C522" s="5">
        <f ca="1">IFERROR(__xludf.DUMMYFUNCTION("""COMPUTED_VALUE"""),2)</f>
        <v>2</v>
      </c>
      <c r="D522" s="5">
        <f ca="1">IFERROR(__xludf.DUMMYFUNCTION("""COMPUTED_VALUE"""),2021)</f>
        <v>2021</v>
      </c>
      <c r="E522" s="8">
        <f ca="1">IFERROR(__xludf.DUMMYFUNCTION("""COMPUTED_VALUE"""),44441)</f>
        <v>44441</v>
      </c>
      <c r="F522" s="5" t="str">
        <f ca="1">IFERROR(__xludf.DUMMYFUNCTION("""COMPUTED_VALUE"""),"West Side Leadership Academy")</f>
        <v>West Side Leadership Academy</v>
      </c>
      <c r="G522" s="5">
        <f ca="1">IFERROR(__xludf.DUMMYFUNCTION("""COMPUTED_VALUE"""),0)</f>
        <v>0</v>
      </c>
      <c r="H522" s="5">
        <f ca="1">IFERROR(__xludf.DUMMYFUNCTION("""COMPUTED_VALUE"""),1)</f>
        <v>1</v>
      </c>
      <c r="I522" s="5">
        <f ca="1">IFERROR(__xludf.DUMMYFUNCTION("""COMPUTED_VALUE"""),1)</f>
        <v>1</v>
      </c>
      <c r="J522" s="5">
        <f ca="1">IFERROR(__xludf.DUMMYFUNCTION("""COMPUTED_VALUE"""),0)</f>
        <v>0</v>
      </c>
      <c r="K522" s="9" t="str">
        <f ca="1">IFERROR(__xludf.DUMMYFUNCTION("""COMPUTED_VALUE"""),"https://www.fox32chicago.com/news/gary-students-to-return-to-class-after-classmate-shot")</f>
        <v>https://www.fox32chicago.com/news/gary-students-to-return-to-class-after-classmate-shot</v>
      </c>
      <c r="L522" s="5">
        <f ca="1">IFERROR(__xludf.DUMMYFUNCTION("""COMPUTED_VALUE"""),1)</f>
        <v>1</v>
      </c>
      <c r="M522" s="5" t="str">
        <f ca="1">IFERROR(__xludf.DUMMYFUNCTION("""COMPUTED_VALUE"""),"Local")</f>
        <v>Local</v>
      </c>
      <c r="N522" s="5">
        <f ca="1">IFERROR(__xludf.DUMMYFUNCTION("""COMPUTED_VALUE"""),3)</f>
        <v>3</v>
      </c>
      <c r="O522" s="5" t="str">
        <f ca="1">IFERROR(__xludf.DUMMYFUNCTION("""COMPUTED_VALUE"""),"Fall")</f>
        <v>Fall</v>
      </c>
      <c r="P522" s="5" t="str">
        <f ca="1">IFERROR(__xludf.DUMMYFUNCTION("""COMPUTED_VALUE"""),"Gary")</f>
        <v>Gary</v>
      </c>
      <c r="Q522" s="5" t="str">
        <f ca="1">IFERROR(__xludf.DUMMYFUNCTION("""COMPUTED_VALUE"""),"IN")</f>
        <v>IN</v>
      </c>
      <c r="R522" s="5" t="str">
        <f ca="1">IFERROR(__xludf.DUMMYFUNCTION("""COMPUTED_VALUE"""),"High")</f>
        <v>High</v>
      </c>
      <c r="S522" s="5" t="str">
        <f ca="1">IFERROR(__xludf.DUMMYFUNCTION("""COMPUTED_VALUE"""),"School Bus")</f>
        <v>School Bus</v>
      </c>
      <c r="T522" s="5" t="str">
        <f ca="1">IFERROR(__xludf.DUMMYFUNCTION("""COMPUTED_VALUE"""),"School Bus")</f>
        <v>School Bus</v>
      </c>
      <c r="U522" s="5" t="str">
        <f ca="1">IFERROR(__xludf.DUMMYFUNCTION("""COMPUTED_VALUE"""),"Yes")</f>
        <v>Yes</v>
      </c>
      <c r="V522" s="5" t="str">
        <f ca="1">IFERROR(__xludf.DUMMYFUNCTION("""COMPUTED_VALUE"""),"Dismissal")</f>
        <v>Dismissal</v>
      </c>
      <c r="W522" s="10">
        <f ca="1">IFERROR(__xludf.DUMMYFUNCTION("""COMPUTED_VALUE"""),0.625)</f>
        <v>0.625</v>
      </c>
      <c r="X522" s="5">
        <f ca="1">IFERROR(__xludf.DUMMYFUNCTION("""COMPUTED_VALUE"""),1)</f>
        <v>1</v>
      </c>
      <c r="Y522" s="5" t="str">
        <f ca="1">IFERROR(__xludf.DUMMYFUNCTION("""COMPUTED_VALUE"""),"Student shot getting off school bus")</f>
        <v>Student shot getting off school bus</v>
      </c>
      <c r="Z522" s="5" t="str">
        <f ca="1">IFERROR(__xludf.DUMMYFUNCTION("""COMPUTED_VALUE"""),"A vehicle trailed a school bus at dismissal. When a student got off the bus, someone got out of the vehicle, shot him, and fled the scene. The school switched back to remote learning following the shooting to develop a new security plan.")</f>
        <v>A vehicle trailed a school bus at dismissal. When a student got off the bus, someone got out of the vehicle, shot him, and fled the scene. The school switched back to remote learning following the shooting to develop a new security plan.</v>
      </c>
      <c r="AA522" s="5"/>
      <c r="AB522" s="5" t="str">
        <f ca="1">IFERROR(__xludf.DUMMYFUNCTION("""COMPUTED_VALUE"""),"Victims Targeted")</f>
        <v>Victims Targeted</v>
      </c>
      <c r="AC522" s="5" t="str">
        <f ca="1">IFERROR(__xludf.DUMMYFUNCTION("""COMPUTED_VALUE"""),"No")</f>
        <v>No</v>
      </c>
      <c r="AD522" s="5" t="str">
        <f ca="1">IFERROR(__xludf.DUMMYFUNCTION("""COMPUTED_VALUE"""),"No")</f>
        <v>No</v>
      </c>
      <c r="AE522" s="5" t="str">
        <f ca="1">IFERROR(__xludf.DUMMYFUNCTION("""COMPUTED_VALUE"""),"No")</f>
        <v>No</v>
      </c>
      <c r="AF522" s="5" t="str">
        <f ca="1">IFERROR(__xludf.DUMMYFUNCTION("""COMPUTED_VALUE"""),"No")</f>
        <v>No</v>
      </c>
      <c r="AG522" s="5" t="str">
        <f ca="1">IFERROR(__xludf.DUMMYFUNCTION("""COMPUTED_VALUE"""),"No")</f>
        <v>No</v>
      </c>
      <c r="AH522" s="5" t="str">
        <f ca="1">IFERROR(__xludf.DUMMYFUNCTION("""COMPUTED_VALUE"""),"No")</f>
        <v>No</v>
      </c>
      <c r="AI522" s="5"/>
      <c r="AJ522" s="5" t="str">
        <f ca="1">IFERROR(__xludf.DUMMYFUNCTION("""COMPUTED_VALUE"""),"No")</f>
        <v>No</v>
      </c>
    </row>
    <row r="523" spans="1:36" ht="13">
      <c r="A523" s="5" t="str">
        <f ca="1">IFERROR(__xludf.DUMMYFUNCTION("""COMPUTED_VALUE"""),"20210902NMALA")</f>
        <v>20210902NMALA</v>
      </c>
      <c r="B523" s="5">
        <f ca="1">IFERROR(__xludf.DUMMYFUNCTION("""COMPUTED_VALUE"""),9)</f>
        <v>9</v>
      </c>
      <c r="C523" s="5">
        <f ca="1">IFERROR(__xludf.DUMMYFUNCTION("""COMPUTED_VALUE"""),2)</f>
        <v>2</v>
      </c>
      <c r="D523" s="5">
        <f ca="1">IFERROR(__xludf.DUMMYFUNCTION("""COMPUTED_VALUE"""),2021)</f>
        <v>2021</v>
      </c>
      <c r="E523" s="8">
        <f ca="1">IFERROR(__xludf.DUMMYFUNCTION("""COMPUTED_VALUE"""),44441)</f>
        <v>44441</v>
      </c>
      <c r="F523" s="5" t="str">
        <f ca="1">IFERROR(__xludf.DUMMYFUNCTION("""COMPUTED_VALUE"""),"Albuquerque Christ Lutheran Church and School")</f>
        <v>Albuquerque Christ Lutheran Church and School</v>
      </c>
      <c r="G523" s="5">
        <f ca="1">IFERROR(__xludf.DUMMYFUNCTION("""COMPUTED_VALUE"""),0)</f>
        <v>0</v>
      </c>
      <c r="H523" s="5">
        <f ca="1">IFERROR(__xludf.DUMMYFUNCTION("""COMPUTED_VALUE"""),0)</f>
        <v>0</v>
      </c>
      <c r="I523" s="5">
        <f ca="1">IFERROR(__xludf.DUMMYFUNCTION("""COMPUTED_VALUE"""),0)</f>
        <v>0</v>
      </c>
      <c r="J523" s="5">
        <f ca="1">IFERROR(__xludf.DUMMYFUNCTION("""COMPUTED_VALUE"""),0)</f>
        <v>0</v>
      </c>
      <c r="K523" s="5" t="str">
        <f ca="1">IFERROR(__xludf.DUMMYFUNCTION("""COMPUTED_VALUE"""),"https://www.kob.com/albuquerque-news/apd-responding-to-shots-fired-at-ne-albuquerque-school/6225079/ https://www.krqe.com/news/albuquerque-metro/sandia-high-teen-accused-of-opening-fire-outside-school/")</f>
        <v>https://www.kob.com/albuquerque-news/apd-responding-to-shots-fired-at-ne-albuquerque-school/6225079/ https://www.krqe.com/news/albuquerque-metro/sandia-high-teen-accused-of-opening-fire-outside-school/</v>
      </c>
      <c r="L523" s="5">
        <f ca="1">IFERROR(__xludf.DUMMYFUNCTION("""COMPUTED_VALUE"""),2)</f>
        <v>2</v>
      </c>
      <c r="M523" s="5" t="str">
        <f ca="1">IFERROR(__xludf.DUMMYFUNCTION("""COMPUTED_VALUE"""),"Local")</f>
        <v>Local</v>
      </c>
      <c r="N523" s="5">
        <f ca="1">IFERROR(__xludf.DUMMYFUNCTION("""COMPUTED_VALUE"""),4)</f>
        <v>4</v>
      </c>
      <c r="O523" s="5" t="str">
        <f ca="1">IFERROR(__xludf.DUMMYFUNCTION("""COMPUTED_VALUE"""),"Fall")</f>
        <v>Fall</v>
      </c>
      <c r="P523" s="5" t="str">
        <f ca="1">IFERROR(__xludf.DUMMYFUNCTION("""COMPUTED_VALUE"""),"Albuquerque")</f>
        <v>Albuquerque</v>
      </c>
      <c r="Q523" s="5" t="str">
        <f ca="1">IFERROR(__xludf.DUMMYFUNCTION("""COMPUTED_VALUE"""),"NM")</f>
        <v>NM</v>
      </c>
      <c r="R523" s="5" t="str">
        <f ca="1">IFERROR(__xludf.DUMMYFUNCTION("""COMPUTED_VALUE"""),"K-8")</f>
        <v>K-8</v>
      </c>
      <c r="S523" s="5" t="str">
        <f ca="1">IFERROR(__xludf.DUMMYFUNCTION("""COMPUTED_VALUE"""),"Parking Lot")</f>
        <v>Parking Lot</v>
      </c>
      <c r="T523" s="5" t="str">
        <f ca="1">IFERROR(__xludf.DUMMYFUNCTION("""COMPUTED_VALUE"""),"Outside on School Property")</f>
        <v>Outside on School Property</v>
      </c>
      <c r="U523" s="5" t="str">
        <f ca="1">IFERROR(__xludf.DUMMYFUNCTION("""COMPUTED_VALUE"""),"Yes")</f>
        <v>Yes</v>
      </c>
      <c r="V523" s="5" t="str">
        <f ca="1">IFERROR(__xludf.DUMMYFUNCTION("""COMPUTED_VALUE"""),"Lunch")</f>
        <v>Lunch</v>
      </c>
      <c r="W523" s="10">
        <f ca="1">IFERROR(__xludf.DUMMYFUNCTION("""COMPUTED_VALUE"""),0.520833333333333)</f>
        <v>0.52083333333333304</v>
      </c>
      <c r="X523" s="5">
        <f ca="1">IFERROR(__xludf.DUMMYFUNCTION("""COMPUTED_VALUE"""),1)</f>
        <v>1</v>
      </c>
      <c r="Y523" s="5" t="str">
        <f ca="1">IFERROR(__xludf.DUMMYFUNCTION("""COMPUTED_VALUE"""),"Student fired shots at vehicle in the parking lot")</f>
        <v>Student fired shots at vehicle in the parking lot</v>
      </c>
      <c r="Z523" s="5" t="str">
        <f ca="1">IFERROR(__xludf.DUMMYFUNCTION("""COMPUTED_VALUE"""),"A 16-year-old student at Sandia High School walked across the street to Christ Lutheran School to engage a group of teens who were coming to fight him. Teen fired multiple shots at a vehicle. Someone also fired from the vehicle at the teen. Shooter was sh"&amp;"ot in the leg. Shooter was transported to hospital in a personal vehicle. Gunshots were heard at the high school and the building went into lockdown. Shooter was known to carry a weapon on a regular basis.")</f>
        <v>A 16-year-old student at Sandia High School walked across the street to Christ Lutheran School to engage a group of teens who were coming to fight him. Teen fired multiple shots at a vehicle. Someone also fired from the vehicle at the teen. Shooter was shot in the leg. Shooter was transported to hospital in a personal vehicle. Gunshots were heard at the high school and the building went into lockdown. Shooter was known to carry a weapon on a regular basis.</v>
      </c>
      <c r="AA523" s="5" t="str">
        <f ca="1">IFERROR(__xludf.DUMMYFUNCTION("""COMPUTED_VALUE"""),"Escalation of Dispute")</f>
        <v>Escalation of Dispute</v>
      </c>
      <c r="AB523" s="5" t="str">
        <f ca="1">IFERROR(__xludf.DUMMYFUNCTION("""COMPUTED_VALUE"""),"Victims Targeted")</f>
        <v>Victims Targeted</v>
      </c>
      <c r="AC523" s="5" t="str">
        <f ca="1">IFERROR(__xludf.DUMMYFUNCTION("""COMPUTED_VALUE"""),"No")</f>
        <v>No</v>
      </c>
      <c r="AD523" s="5" t="str">
        <f ca="1">IFERROR(__xludf.DUMMYFUNCTION("""COMPUTED_VALUE"""),"No")</f>
        <v>No</v>
      </c>
      <c r="AE523" s="5" t="str">
        <f ca="1">IFERROR(__xludf.DUMMYFUNCTION("""COMPUTED_VALUE"""),"No")</f>
        <v>No</v>
      </c>
      <c r="AF523" s="5" t="str">
        <f ca="1">IFERROR(__xludf.DUMMYFUNCTION("""COMPUTED_VALUE"""),"No")</f>
        <v>No</v>
      </c>
      <c r="AG523" s="5" t="str">
        <f ca="1">IFERROR(__xludf.DUMMYFUNCTION("""COMPUTED_VALUE"""),"No")</f>
        <v>No</v>
      </c>
      <c r="AH523" s="5" t="str">
        <f ca="1">IFERROR(__xludf.DUMMYFUNCTION("""COMPUTED_VALUE"""),"No")</f>
        <v>No</v>
      </c>
      <c r="AI523" s="5"/>
      <c r="AJ523" s="5" t="str">
        <f ca="1">IFERROR(__xludf.DUMMYFUNCTION("""COMPUTED_VALUE"""),"No")</f>
        <v>No</v>
      </c>
    </row>
    <row r="524" spans="1:36" ht="13">
      <c r="A524" s="5" t="str">
        <f ca="1">IFERROR(__xludf.DUMMYFUNCTION("""COMPUTED_VALUE"""),"20210902GAWOS")</f>
        <v>20210902GAWOS</v>
      </c>
      <c r="B524" s="5">
        <f ca="1">IFERROR(__xludf.DUMMYFUNCTION("""COMPUTED_VALUE"""),9)</f>
        <v>9</v>
      </c>
      <c r="C524" s="5">
        <f ca="1">IFERROR(__xludf.DUMMYFUNCTION("""COMPUTED_VALUE"""),2)</f>
        <v>2</v>
      </c>
      <c r="D524" s="5">
        <f ca="1">IFERROR(__xludf.DUMMYFUNCTION("""COMPUTED_VALUE"""),2021)</f>
        <v>2021</v>
      </c>
      <c r="E524" s="8">
        <f ca="1">IFERROR(__xludf.DUMMYFUNCTION("""COMPUTED_VALUE"""),44441)</f>
        <v>44441</v>
      </c>
      <c r="F524" s="5" t="str">
        <f ca="1">IFERROR(__xludf.DUMMYFUNCTION("""COMPUTED_VALUE"""),"Woodland High School")</f>
        <v>Woodland High School</v>
      </c>
      <c r="G524" s="5">
        <f ca="1">IFERROR(__xludf.DUMMYFUNCTION("""COMPUTED_VALUE"""),0)</f>
        <v>0</v>
      </c>
      <c r="H524" s="5">
        <f ca="1">IFERROR(__xludf.DUMMYFUNCTION("""COMPUTED_VALUE"""),0)</f>
        <v>0</v>
      </c>
      <c r="I524" s="5">
        <f ca="1">IFERROR(__xludf.DUMMYFUNCTION("""COMPUTED_VALUE"""),0)</f>
        <v>0</v>
      </c>
      <c r="J524" s="5">
        <f ca="1">IFERROR(__xludf.DUMMYFUNCTION("""COMPUTED_VALUE"""),0)</f>
        <v>0</v>
      </c>
      <c r="K524" s="9" t="str">
        <f ca="1">IFERROR(__xludf.DUMMYFUNCTION("""COMPUTED_VALUE"""),"https://www.ajc.com/news/breaking-3-henry-schools-on-lockdown-due-to-suspicious-person/J6LSPTV7XVALNDGZOJVBSZJK2E/")</f>
        <v>https://www.ajc.com/news/breaking-3-henry-schools-on-lockdown-due-to-suspicious-person/J6LSPTV7XVALNDGZOJVBSZJK2E/</v>
      </c>
      <c r="L524" s="5">
        <f ca="1">IFERROR(__xludf.DUMMYFUNCTION("""COMPUTED_VALUE"""),1)</f>
        <v>1</v>
      </c>
      <c r="M524" s="5" t="str">
        <f ca="1">IFERROR(__xludf.DUMMYFUNCTION("""COMPUTED_VALUE"""),"Local")</f>
        <v>Local</v>
      </c>
      <c r="N524" s="5">
        <f ca="1">IFERROR(__xludf.DUMMYFUNCTION("""COMPUTED_VALUE"""),3)</f>
        <v>3</v>
      </c>
      <c r="O524" s="5" t="str">
        <f ca="1">IFERROR(__xludf.DUMMYFUNCTION("""COMPUTED_VALUE"""),"Fall")</f>
        <v>Fall</v>
      </c>
      <c r="P524" s="5" t="str">
        <f ca="1">IFERROR(__xludf.DUMMYFUNCTION("""COMPUTED_VALUE"""),"Stockbridge")</f>
        <v>Stockbridge</v>
      </c>
      <c r="Q524" s="5" t="str">
        <f ca="1">IFERROR(__xludf.DUMMYFUNCTION("""COMPUTED_VALUE"""),"GA")</f>
        <v>GA</v>
      </c>
      <c r="R524" s="5" t="str">
        <f ca="1">IFERROR(__xludf.DUMMYFUNCTION("""COMPUTED_VALUE"""),"High")</f>
        <v>High</v>
      </c>
      <c r="S524" s="5" t="str">
        <f ca="1">IFERROR(__xludf.DUMMYFUNCTION("""COMPUTED_VALUE"""),"Outside on School Property")</f>
        <v>Outside on School Property</v>
      </c>
      <c r="T524" s="5" t="str">
        <f ca="1">IFERROR(__xludf.DUMMYFUNCTION("""COMPUTED_VALUE"""),"Outside on School Property")</f>
        <v>Outside on School Property</v>
      </c>
      <c r="U524" s="5" t="str">
        <f ca="1">IFERROR(__xludf.DUMMYFUNCTION("""COMPUTED_VALUE"""),"Yes")</f>
        <v>Yes</v>
      </c>
      <c r="V524" s="5" t="str">
        <f ca="1">IFERROR(__xludf.DUMMYFUNCTION("""COMPUTED_VALUE"""),"Morning Classes")</f>
        <v>Morning Classes</v>
      </c>
      <c r="W524" s="10">
        <f ca="1">IFERROR(__xludf.DUMMYFUNCTION("""COMPUTED_VALUE"""),0.4375)</f>
        <v>0.4375</v>
      </c>
      <c r="X524" s="5"/>
      <c r="Y524" s="5" t="str">
        <f ca="1">IFERROR(__xludf.DUMMYFUNCTION("""COMPUTED_VALUE"""),"Man outside of school waving gun, school locked down")</f>
        <v>Man outside of school waving gun, school locked down</v>
      </c>
      <c r="Z524" s="5" t="str">
        <f ca="1">IFERROR(__xludf.DUMMYFUNCTION("""COMPUTED_VALUE"""),"An adult male was walking around the outside of the school waving a handgun. School went on lockdown and police were dispatched for an active shooter. Police arrested the man and recovered a handgun. No shots were fired. He was under the influence of narc"&amp;"otics at the time of the incident. School was locked down for 3.5 hours and then dismissed.")</f>
        <v>An adult male was walking around the outside of the school waving a handgun. School went on lockdown and police were dispatched for an active shooter. Police arrested the man and recovered a handgun. No shots were fired. He was under the influence of narcotics at the time of the incident. School was locked down for 3.5 hours and then dismissed.</v>
      </c>
      <c r="AA524" s="5" t="str">
        <f ca="1">IFERROR(__xludf.DUMMYFUNCTION("""COMPUTED_VALUE"""),"Illegal Activity")</f>
        <v>Illegal Activity</v>
      </c>
      <c r="AB524" s="5" t="str">
        <f ca="1">IFERROR(__xludf.DUMMYFUNCTION("""COMPUTED_VALUE"""),"Neither")</f>
        <v>Neither</v>
      </c>
      <c r="AC524" s="5" t="str">
        <f ca="1">IFERROR(__xludf.DUMMYFUNCTION("""COMPUTED_VALUE"""),"No")</f>
        <v>No</v>
      </c>
      <c r="AD524" s="5" t="str">
        <f ca="1">IFERROR(__xludf.DUMMYFUNCTION("""COMPUTED_VALUE"""),"No")</f>
        <v>No</v>
      </c>
      <c r="AE524" s="5" t="str">
        <f ca="1">IFERROR(__xludf.DUMMYFUNCTION("""COMPUTED_VALUE"""),"No")</f>
        <v>No</v>
      </c>
      <c r="AF524" s="5" t="str">
        <f ca="1">IFERROR(__xludf.DUMMYFUNCTION("""COMPUTED_VALUE"""),"No")</f>
        <v>No</v>
      </c>
      <c r="AG524" s="5" t="str">
        <f ca="1">IFERROR(__xludf.DUMMYFUNCTION("""COMPUTED_VALUE"""),"No")</f>
        <v>No</v>
      </c>
      <c r="AH524" s="5" t="str">
        <f ca="1">IFERROR(__xludf.DUMMYFUNCTION("""COMPUTED_VALUE"""),"No")</f>
        <v>No</v>
      </c>
      <c r="AI524" s="5" t="str">
        <f ca="1">IFERROR(__xludf.DUMMYFUNCTION("""COMPUTED_VALUE"""),"No")</f>
        <v>No</v>
      </c>
      <c r="AJ524" s="5" t="str">
        <f ca="1">IFERROR(__xludf.DUMMYFUNCTION("""COMPUTED_VALUE"""),"No")</f>
        <v>No</v>
      </c>
    </row>
    <row r="525" spans="1:36" ht="13">
      <c r="A525" s="5" t="str">
        <f ca="1">IFERROR(__xludf.DUMMYFUNCTION("""COMPUTED_VALUE"""),"20210902ARLIL")</f>
        <v>20210902ARLIL</v>
      </c>
      <c r="B525" s="5">
        <f ca="1">IFERROR(__xludf.DUMMYFUNCTION("""COMPUTED_VALUE"""),9)</f>
        <v>9</v>
      </c>
      <c r="C525" s="5">
        <f ca="1">IFERROR(__xludf.DUMMYFUNCTION("""COMPUTED_VALUE"""),2)</f>
        <v>2</v>
      </c>
      <c r="D525" s="5">
        <f ca="1">IFERROR(__xludf.DUMMYFUNCTION("""COMPUTED_VALUE"""),2021)</f>
        <v>2021</v>
      </c>
      <c r="E525" s="8">
        <f ca="1">IFERROR(__xludf.DUMMYFUNCTION("""COMPUTED_VALUE"""),44441)</f>
        <v>44441</v>
      </c>
      <c r="F525" s="5" t="str">
        <f ca="1">IFERROR(__xludf.DUMMYFUNCTION("""COMPUTED_VALUE"""),"Little Rock Central High School")</f>
        <v>Little Rock Central High School</v>
      </c>
      <c r="G525" s="5">
        <f ca="1">IFERROR(__xludf.DUMMYFUNCTION("""COMPUTED_VALUE"""),0)</f>
        <v>0</v>
      </c>
      <c r="H525" s="5">
        <f ca="1">IFERROR(__xludf.DUMMYFUNCTION("""COMPUTED_VALUE"""),0)</f>
        <v>0</v>
      </c>
      <c r="I525" s="5">
        <f ca="1">IFERROR(__xludf.DUMMYFUNCTION("""COMPUTED_VALUE"""),0)</f>
        <v>0</v>
      </c>
      <c r="J525" s="5">
        <f ca="1">IFERROR(__xludf.DUMMYFUNCTION("""COMPUTED_VALUE"""),0)</f>
        <v>0</v>
      </c>
      <c r="K525" s="9" t="str">
        <f ca="1">IFERROR(__xludf.DUMMYFUNCTION("""COMPUTED_VALUE"""),"https://arktimes.com/arkansas-blog/2021/09/02/a-gun-brandished-at-little-rock-central-high-this-morning-but-no-shots-fired")</f>
        <v>https://arktimes.com/arkansas-blog/2021/09/02/a-gun-brandished-at-little-rock-central-high-this-morning-but-no-shots-fired</v>
      </c>
      <c r="L525" s="5">
        <f ca="1">IFERROR(__xludf.DUMMYFUNCTION("""COMPUTED_VALUE"""),1)</f>
        <v>1</v>
      </c>
      <c r="M525" s="5" t="str">
        <f ca="1">IFERROR(__xludf.DUMMYFUNCTION("""COMPUTED_VALUE"""),"Local")</f>
        <v>Local</v>
      </c>
      <c r="N525" s="5">
        <f ca="1">IFERROR(__xludf.DUMMYFUNCTION("""COMPUTED_VALUE"""),4)</f>
        <v>4</v>
      </c>
      <c r="O525" s="5" t="str">
        <f ca="1">IFERROR(__xludf.DUMMYFUNCTION("""COMPUTED_VALUE"""),"Fall")</f>
        <v>Fall</v>
      </c>
      <c r="P525" s="5" t="str">
        <f ca="1">IFERROR(__xludf.DUMMYFUNCTION("""COMPUTED_VALUE"""),"Little Rock")</f>
        <v>Little Rock</v>
      </c>
      <c r="Q525" s="5" t="str">
        <f ca="1">IFERROR(__xludf.DUMMYFUNCTION("""COMPUTED_VALUE"""),"AR")</f>
        <v>AR</v>
      </c>
      <c r="R525" s="5" t="str">
        <f ca="1">IFERROR(__xludf.DUMMYFUNCTION("""COMPUTED_VALUE"""),"High")</f>
        <v>High</v>
      </c>
      <c r="S525" s="5" t="str">
        <f ca="1">IFERROR(__xludf.DUMMYFUNCTION("""COMPUTED_VALUE"""),"Front of School")</f>
        <v>Front of School</v>
      </c>
      <c r="T525" s="5" t="str">
        <f ca="1">IFERROR(__xludf.DUMMYFUNCTION("""COMPUTED_VALUE"""),"Outside on School Property")</f>
        <v>Outside on School Property</v>
      </c>
      <c r="U525" s="5" t="str">
        <f ca="1">IFERROR(__xludf.DUMMYFUNCTION("""COMPUTED_VALUE"""),"Yes")</f>
        <v>Yes</v>
      </c>
      <c r="V525" s="5" t="str">
        <f ca="1">IFERROR(__xludf.DUMMYFUNCTION("""COMPUTED_VALUE"""),"School Start")</f>
        <v>School Start</v>
      </c>
      <c r="W525" s="10">
        <f ca="1">IFERROR(__xludf.DUMMYFUNCTION("""COMPUTED_VALUE"""),0.333333333333333)</f>
        <v>0.33333333333333298</v>
      </c>
      <c r="X525" s="5">
        <f ca="1">IFERROR(__xludf.DUMMYFUNCTION("""COMPUTED_VALUE"""),1)</f>
        <v>1</v>
      </c>
      <c r="Y525" s="5" t="str">
        <f ca="1">IFERROR(__xludf.DUMMYFUNCTION("""COMPUTED_VALUE"""),"Parent of student brandished gun during fight in front of school")</f>
        <v>Parent of student brandished gun during fight in front of school</v>
      </c>
      <c r="Z525" s="5" t="str">
        <f ca="1">IFERROR(__xludf.DUMMYFUNCTION("""COMPUTED_VALUE"""),"Parent pulled a gun during a large fight between multiple students in front of the school. The SRO quickly responded and took the parent into custody. School was not locked down. Parent charged with multiple felonies.")</f>
        <v>Parent pulled a gun during a large fight between multiple students in front of the school. The SRO quickly responded and took the parent into custody. School was not locked down. Parent charged with multiple felonies.</v>
      </c>
      <c r="AA525" s="5" t="str">
        <f ca="1">IFERROR(__xludf.DUMMYFUNCTION("""COMPUTED_VALUE"""),"Escalation of Dispute")</f>
        <v>Escalation of Dispute</v>
      </c>
      <c r="AB525" s="5" t="str">
        <f ca="1">IFERROR(__xludf.DUMMYFUNCTION("""COMPUTED_VALUE"""),"Neither")</f>
        <v>Neither</v>
      </c>
      <c r="AC525" s="5" t="str">
        <f ca="1">IFERROR(__xludf.DUMMYFUNCTION("""COMPUTED_VALUE"""),"No")</f>
        <v>No</v>
      </c>
      <c r="AD525" s="5" t="str">
        <f ca="1">IFERROR(__xludf.DUMMYFUNCTION("""COMPUTED_VALUE"""),"No")</f>
        <v>No</v>
      </c>
      <c r="AE525" s="5" t="str">
        <f ca="1">IFERROR(__xludf.DUMMYFUNCTION("""COMPUTED_VALUE"""),"No")</f>
        <v>No</v>
      </c>
      <c r="AF525" s="5" t="str">
        <f ca="1">IFERROR(__xludf.DUMMYFUNCTION("""COMPUTED_VALUE"""),"No")</f>
        <v>No</v>
      </c>
      <c r="AG525" s="5" t="str">
        <f ca="1">IFERROR(__xludf.DUMMYFUNCTION("""COMPUTED_VALUE"""),"No")</f>
        <v>No</v>
      </c>
      <c r="AH525" s="5" t="str">
        <f ca="1">IFERROR(__xludf.DUMMYFUNCTION("""COMPUTED_VALUE"""),"No")</f>
        <v>No</v>
      </c>
      <c r="AI525" s="5" t="str">
        <f ca="1">IFERROR(__xludf.DUMMYFUNCTION("""COMPUTED_VALUE"""),"No")</f>
        <v>No</v>
      </c>
      <c r="AJ525" s="5" t="str">
        <f ca="1">IFERROR(__xludf.DUMMYFUNCTION("""COMPUTED_VALUE"""),"No")</f>
        <v>No</v>
      </c>
    </row>
    <row r="526" spans="1:36" ht="13">
      <c r="A526" s="5" t="str">
        <f ca="1">IFERROR(__xludf.DUMMYFUNCTION("""COMPUTED_VALUE"""),"20210901ILFRC")</f>
        <v>20210901ILFRC</v>
      </c>
      <c r="B526" s="5">
        <f ca="1">IFERROR(__xludf.DUMMYFUNCTION("""COMPUTED_VALUE"""),9)</f>
        <v>9</v>
      </c>
      <c r="C526" s="5">
        <f ca="1">IFERROR(__xludf.DUMMYFUNCTION("""COMPUTED_VALUE"""),1)</f>
        <v>1</v>
      </c>
      <c r="D526" s="5">
        <f ca="1">IFERROR(__xludf.DUMMYFUNCTION("""COMPUTED_VALUE"""),2021)</f>
        <v>2021</v>
      </c>
      <c r="E526" s="8">
        <f ca="1">IFERROR(__xludf.DUMMYFUNCTION("""COMPUTED_VALUE"""),44440)</f>
        <v>44440</v>
      </c>
      <c r="F526" s="5" t="str">
        <f ca="1">IFERROR(__xludf.DUMMYFUNCTION("""COMPUTED_VALUE"""),"Frazier International Magnet School")</f>
        <v>Frazier International Magnet School</v>
      </c>
      <c r="G526" s="5">
        <f ca="1">IFERROR(__xludf.DUMMYFUNCTION("""COMPUTED_VALUE"""),1)</f>
        <v>1</v>
      </c>
      <c r="H526" s="5">
        <f ca="1">IFERROR(__xludf.DUMMYFUNCTION("""COMPUTED_VALUE"""),0)</f>
        <v>0</v>
      </c>
      <c r="I526" s="5">
        <f ca="1">IFERROR(__xludf.DUMMYFUNCTION("""COMPUTED_VALUE"""),1)</f>
        <v>1</v>
      </c>
      <c r="J526" s="5">
        <f ca="1">IFERROR(__xludf.DUMMYFUNCTION("""COMPUTED_VALUE"""),0)</f>
        <v>0</v>
      </c>
      <c r="K526" s="5" t="str">
        <f ca="1">IFERROR(__xludf.DUMMYFUNCTION("""COMPUTED_VALUE"""),"https://chicago.suntimes.com/crime/2021/9/2/22653675/13-shot-3-fatally-wednesday-in-chicago-including-13-year-old-boy https://chicago.suntimes.com/crime/2021/9/1/22651978/lawndale-shooting-frazier-international-magnet-school-dexter-derrell-dardon")</f>
        <v>https://chicago.suntimes.com/crime/2021/9/2/22653675/13-shot-3-fatally-wednesday-in-chicago-including-13-year-old-boy https://chicago.suntimes.com/crime/2021/9/1/22651978/lawndale-shooting-frazier-international-magnet-school-dexter-derrell-dardon</v>
      </c>
      <c r="L526" s="5">
        <f ca="1">IFERROR(__xludf.DUMMYFUNCTION("""COMPUTED_VALUE"""),2)</f>
        <v>2</v>
      </c>
      <c r="M526" s="5" t="str">
        <f ca="1">IFERROR(__xludf.DUMMYFUNCTION("""COMPUTED_VALUE"""),"Local")</f>
        <v>Local</v>
      </c>
      <c r="N526" s="5">
        <f ca="1">IFERROR(__xludf.DUMMYFUNCTION("""COMPUTED_VALUE"""),3)</f>
        <v>3</v>
      </c>
      <c r="O526" s="5" t="str">
        <f ca="1">IFERROR(__xludf.DUMMYFUNCTION("""COMPUTED_VALUE"""),"Fall")</f>
        <v>Fall</v>
      </c>
      <c r="P526" s="5" t="str">
        <f ca="1">IFERROR(__xludf.DUMMYFUNCTION("""COMPUTED_VALUE"""),"Chicago")</f>
        <v>Chicago</v>
      </c>
      <c r="Q526" s="5" t="str">
        <f ca="1">IFERROR(__xludf.DUMMYFUNCTION("""COMPUTED_VALUE"""),"IL")</f>
        <v>IL</v>
      </c>
      <c r="R526" s="5" t="str">
        <f ca="1">IFERROR(__xludf.DUMMYFUNCTION("""COMPUTED_VALUE"""),"Elementary")</f>
        <v>Elementary</v>
      </c>
      <c r="S526" s="5" t="str">
        <f ca="1">IFERROR(__xludf.DUMMYFUNCTION("""COMPUTED_VALUE"""),"Front of School")</f>
        <v>Front of School</v>
      </c>
      <c r="T526" s="5" t="str">
        <f ca="1">IFERROR(__xludf.DUMMYFUNCTION("""COMPUTED_VALUE"""),"Outside on School Property")</f>
        <v>Outside on School Property</v>
      </c>
      <c r="U526" s="5" t="str">
        <f ca="1">IFERROR(__xludf.DUMMYFUNCTION("""COMPUTED_VALUE"""),"No")</f>
        <v>No</v>
      </c>
      <c r="V526" s="5" t="str">
        <f ca="1">IFERROR(__xludf.DUMMYFUNCTION("""COMPUTED_VALUE"""),"Before School")</f>
        <v>Before School</v>
      </c>
      <c r="W526" s="10">
        <f ca="1">IFERROR(__xludf.DUMMYFUNCTION("""COMPUTED_VALUE"""),0.21875)</f>
        <v>0.21875</v>
      </c>
      <c r="X526" s="5">
        <f ca="1">IFERROR(__xludf.DUMMYFUNCTION("""COMPUTED_VALUE"""),1)</f>
        <v>1</v>
      </c>
      <c r="Y526" s="5" t="str">
        <f ca="1">IFERROR(__xludf.DUMMYFUNCTION("""COMPUTED_VALUE"""),"Adult man fatally shot in front of the school")</f>
        <v>Adult man fatally shot in front of the school</v>
      </c>
      <c r="Z526" s="5" t="str">
        <f ca="1">IFERROR(__xludf.DUMMYFUNCTION("""COMPUTED_VALUE"""),"A 41-year-old man was shot multiple times in front the school prior to opening. Parents were advised to use the rear door of the school due to the homicide investigation in front of the building.")</f>
        <v>A 41-year-old man was shot multiple times in front the school prior to opening. Parents were advised to use the rear door of the school due to the homicide investigation in front of the building.</v>
      </c>
      <c r="AA526" s="5"/>
      <c r="AB526" s="5" t="str">
        <f ca="1">IFERROR(__xludf.DUMMYFUNCTION("""COMPUTED_VALUE"""),"Victims Targeted")</f>
        <v>Victims Targeted</v>
      </c>
      <c r="AC526" s="5" t="str">
        <f ca="1">IFERROR(__xludf.DUMMYFUNCTION("""COMPUTED_VALUE"""),"No")</f>
        <v>No</v>
      </c>
      <c r="AD526" s="5" t="str">
        <f ca="1">IFERROR(__xludf.DUMMYFUNCTION("""COMPUTED_VALUE"""),"No")</f>
        <v>No</v>
      </c>
      <c r="AE526" s="5" t="str">
        <f ca="1">IFERROR(__xludf.DUMMYFUNCTION("""COMPUTED_VALUE"""),"No")</f>
        <v>No</v>
      </c>
      <c r="AF526" s="5" t="str">
        <f ca="1">IFERROR(__xludf.DUMMYFUNCTION("""COMPUTED_VALUE"""),"No")</f>
        <v>No</v>
      </c>
      <c r="AG526" s="5" t="str">
        <f ca="1">IFERROR(__xludf.DUMMYFUNCTION("""COMPUTED_VALUE"""),"No")</f>
        <v>No</v>
      </c>
      <c r="AH526" s="5" t="str">
        <f ca="1">IFERROR(__xludf.DUMMYFUNCTION("""COMPUTED_VALUE"""),"No")</f>
        <v>No</v>
      </c>
      <c r="AI526" s="5"/>
      <c r="AJ526" s="5" t="str">
        <f ca="1">IFERROR(__xludf.DUMMYFUNCTION("""COMPUTED_VALUE"""),"No")</f>
        <v>No</v>
      </c>
    </row>
    <row r="527" spans="1:36" ht="13">
      <c r="A527" s="5" t="str">
        <f ca="1">IFERROR(__xludf.DUMMYFUNCTION("""COMPUTED_VALUE"""),"20210901NCMTW")</f>
        <v>20210901NCMTW</v>
      </c>
      <c r="B527" s="5">
        <f ca="1">IFERROR(__xludf.DUMMYFUNCTION("""COMPUTED_VALUE"""),9)</f>
        <v>9</v>
      </c>
      <c r="C527" s="5">
        <f ca="1">IFERROR(__xludf.DUMMYFUNCTION("""COMPUTED_VALUE"""),1)</f>
        <v>1</v>
      </c>
      <c r="D527" s="5">
        <f ca="1">IFERROR(__xludf.DUMMYFUNCTION("""COMPUTED_VALUE"""),2021)</f>
        <v>2021</v>
      </c>
      <c r="E527" s="8">
        <f ca="1">IFERROR(__xludf.DUMMYFUNCTION("""COMPUTED_VALUE"""),44440)</f>
        <v>44440</v>
      </c>
      <c r="F527" s="5" t="str">
        <f ca="1">IFERROR(__xludf.DUMMYFUNCTION("""COMPUTED_VALUE"""),"Mt. Tabor High School")</f>
        <v>Mt. Tabor High School</v>
      </c>
      <c r="G527" s="5">
        <f ca="1">IFERROR(__xludf.DUMMYFUNCTION("""COMPUTED_VALUE"""),1)</f>
        <v>1</v>
      </c>
      <c r="H527" s="5">
        <f ca="1">IFERROR(__xludf.DUMMYFUNCTION("""COMPUTED_VALUE"""),0)</f>
        <v>0</v>
      </c>
      <c r="I527" s="5">
        <f ca="1">IFERROR(__xludf.DUMMYFUNCTION("""COMPUTED_VALUE"""),1)</f>
        <v>1</v>
      </c>
      <c r="J527" s="5">
        <f ca="1">IFERROR(__xludf.DUMMYFUNCTION("""COMPUTED_VALUE"""),0)</f>
        <v>0</v>
      </c>
      <c r="K527" s="5" t="str">
        <f ca="1">IFERROR(__xludf.DUMMYFUNCTION("""COMPUTED_VALUE"""),"https://www.foxcarolina.com/news/deputies-confirm-arrest-of-deadly-mount-tabor-high-school-shooting-suspect/article_d39e089e-0b48-11ec-8dbc-73e07812f5d1.html?block_id=996028 https://www.wfmynews2.com/article/news/local/2-wants-to-know/will-the-mt-tabor-hs"&amp;"-shooting-suspect-be-tried-as-an-adult-or-a-juvenile-penalties-are-time-served-to-21-years-old-or-life-in-prison-district-attorney/83-bb59e16f-38aa-4ea8-ae37-ad946c52473d https://www.wfmynews2.com/article/news/local/2-wants-to-know/will-the-mt-tabor-hs-sh"&amp;"ooting-suspect-be-tried-as-an-adult-or-a-juvenile-penalties-are-time-served-to-21-years-old-or-life-in-prison-district-attorney/83-bb59e16f-38aa-4ea8-ae37-ad946c52473d https://www.wral.com/teen-shot-killed-at-winston-salem-high-school-another-student-arre"&amp;"sted/19853265/")</f>
        <v>https://www.foxcarolina.com/news/deputies-confirm-arrest-of-deadly-mount-tabor-high-school-shooting-suspect/article_d39e089e-0b48-11ec-8dbc-73e07812f5d1.html?block_id=996028 https://www.wfmynews2.com/article/news/local/2-wants-to-know/will-the-mt-tabor-hs-shooting-suspect-be-tried-as-an-adult-or-a-juvenile-penalties-are-time-served-to-21-years-old-or-life-in-prison-district-attorney/83-bb59e16f-38aa-4ea8-ae37-ad946c52473d https://www.wfmynews2.com/article/news/local/2-wants-to-know/will-the-mt-tabor-hs-shooting-suspect-be-tried-as-an-adult-or-a-juvenile-penalties-are-time-served-to-21-years-old-or-life-in-prison-district-attorney/83-bb59e16f-38aa-4ea8-ae37-ad946c52473d https://www.wral.com/teen-shot-killed-at-winston-salem-high-school-another-student-arrested/19853265/</v>
      </c>
      <c r="L527" s="5">
        <f ca="1">IFERROR(__xludf.DUMMYFUNCTION("""COMPUTED_VALUE"""),999)</f>
        <v>999</v>
      </c>
      <c r="M527" s="5" t="str">
        <f ca="1">IFERROR(__xludf.DUMMYFUNCTION("""COMPUTED_VALUE"""),"International")</f>
        <v>International</v>
      </c>
      <c r="N527" s="5">
        <f ca="1">IFERROR(__xludf.DUMMYFUNCTION("""COMPUTED_VALUE"""),4)</f>
        <v>4</v>
      </c>
      <c r="O527" s="5" t="str">
        <f ca="1">IFERROR(__xludf.DUMMYFUNCTION("""COMPUTED_VALUE"""),"Fall")</f>
        <v>Fall</v>
      </c>
      <c r="P527" s="5" t="str">
        <f ca="1">IFERROR(__xludf.DUMMYFUNCTION("""COMPUTED_VALUE"""),"Winston-Salem")</f>
        <v>Winston-Salem</v>
      </c>
      <c r="Q527" s="5" t="str">
        <f ca="1">IFERROR(__xludf.DUMMYFUNCTION("""COMPUTED_VALUE"""),"NC")</f>
        <v>NC</v>
      </c>
      <c r="R527" s="5" t="str">
        <f ca="1">IFERROR(__xludf.DUMMYFUNCTION("""COMPUTED_VALUE"""),"High")</f>
        <v>High</v>
      </c>
      <c r="S527" s="5" t="str">
        <f ca="1">IFERROR(__xludf.DUMMYFUNCTION("""COMPUTED_VALUE"""),"Hallway")</f>
        <v>Hallway</v>
      </c>
      <c r="T527" s="5" t="str">
        <f ca="1">IFERROR(__xludf.DUMMYFUNCTION("""COMPUTED_VALUE"""),"Inside School Building")</f>
        <v>Inside School Building</v>
      </c>
      <c r="U527" s="5" t="str">
        <f ca="1">IFERROR(__xludf.DUMMYFUNCTION("""COMPUTED_VALUE"""),"Yes")</f>
        <v>Yes</v>
      </c>
      <c r="V527" s="5" t="str">
        <f ca="1">IFERROR(__xludf.DUMMYFUNCTION("""COMPUTED_VALUE"""),"Lunch")</f>
        <v>Lunch</v>
      </c>
      <c r="W527" s="10">
        <f ca="1">IFERROR(__xludf.DUMMYFUNCTION("""COMPUTED_VALUE"""),0.504861111111111)</f>
        <v>0.50486111111111098</v>
      </c>
      <c r="X527" s="5">
        <f ca="1">IFERROR(__xludf.DUMMYFUNCTION("""COMPUTED_VALUE"""),1)</f>
        <v>1</v>
      </c>
      <c r="Y527" s="5" t="str">
        <f ca="1">IFERROR(__xludf.DUMMYFUNCTION("""COMPUTED_VALUE"""),"Student shot another student inside the school and fled the area")</f>
        <v>Student shot another student inside the school and fled the area</v>
      </c>
      <c r="Z527" s="5" t="str">
        <f ca="1">IFERROR(__xludf.DUMMYFUNCTION("""COMPUTED_VALUE"""),"A 15-year-old student fatally shot another 15-year-old student in the hallway. Shooter fled the scene and was arrested 6 hours later. SRO responded and school was locked down. Police active shooter response locked down area and students were evacuated by "&amp;"officers to another location. Police have not released details on motive or other circumstances.")</f>
        <v>A 15-year-old student fatally shot another 15-year-old student in the hallway. Shooter fled the scene and was arrested 6 hours later. SRO responded and school was locked down. Police active shooter response locked down area and students were evacuated by officers to another location. Police have not released details on motive or other circumstances.</v>
      </c>
      <c r="AA527" s="5"/>
      <c r="AB527" s="5" t="str">
        <f ca="1">IFERROR(__xludf.DUMMYFUNCTION("""COMPUTED_VALUE"""),"Victims Targeted")</f>
        <v>Victims Targeted</v>
      </c>
      <c r="AC527" s="5"/>
      <c r="AD527" s="5" t="str">
        <f ca="1">IFERROR(__xludf.DUMMYFUNCTION("""COMPUTED_VALUE"""),"No")</f>
        <v>No</v>
      </c>
      <c r="AE527" s="5" t="str">
        <f ca="1">IFERROR(__xludf.DUMMYFUNCTION("""COMPUTED_VALUE"""),"No")</f>
        <v>No</v>
      </c>
      <c r="AF527" s="5" t="str">
        <f ca="1">IFERROR(__xludf.DUMMYFUNCTION("""COMPUTED_VALUE"""),"No")</f>
        <v>No</v>
      </c>
      <c r="AG527" s="5"/>
      <c r="AH527" s="5" t="str">
        <f ca="1">IFERROR(__xludf.DUMMYFUNCTION("""COMPUTED_VALUE"""),"No")</f>
        <v>No</v>
      </c>
      <c r="AI527" s="5" t="str">
        <f ca="1">IFERROR(__xludf.DUMMYFUNCTION("""COMPUTED_VALUE"""),"No")</f>
        <v>No</v>
      </c>
      <c r="AJ527" s="5" t="str">
        <f ca="1">IFERROR(__xludf.DUMMYFUNCTION("""COMPUTED_VALUE"""),"No")</f>
        <v>No</v>
      </c>
    </row>
    <row r="528" spans="1:36" ht="13">
      <c r="A528" s="5" t="str">
        <f ca="1">IFERROR(__xludf.DUMMYFUNCTION("""COMPUTED_VALUE"""),"20210830MDNEO")</f>
        <v>20210830MDNEO</v>
      </c>
      <c r="B528" s="5">
        <f ca="1">IFERROR(__xludf.DUMMYFUNCTION("""COMPUTED_VALUE"""),8)</f>
        <v>8</v>
      </c>
      <c r="C528" s="5">
        <f ca="1">IFERROR(__xludf.DUMMYFUNCTION("""COMPUTED_VALUE"""),30)</f>
        <v>30</v>
      </c>
      <c r="D528" s="5">
        <f ca="1">IFERROR(__xludf.DUMMYFUNCTION("""COMPUTED_VALUE"""),2021)</f>
        <v>2021</v>
      </c>
      <c r="E528" s="8">
        <f ca="1">IFERROR(__xludf.DUMMYFUNCTION("""COMPUTED_VALUE"""),44438)</f>
        <v>44438</v>
      </c>
      <c r="F528" s="5" t="str">
        <f ca="1">IFERROR(__xludf.DUMMYFUNCTION("""COMPUTED_VALUE"""),"New Town High School")</f>
        <v>New Town High School</v>
      </c>
      <c r="G528" s="5">
        <f ca="1">IFERROR(__xludf.DUMMYFUNCTION("""COMPUTED_VALUE"""),0)</f>
        <v>0</v>
      </c>
      <c r="H528" s="5">
        <f ca="1">IFERROR(__xludf.DUMMYFUNCTION("""COMPUTED_VALUE"""),0)</f>
        <v>0</v>
      </c>
      <c r="I528" s="5">
        <f ca="1">IFERROR(__xludf.DUMMYFUNCTION("""COMPUTED_VALUE"""),0)</f>
        <v>0</v>
      </c>
      <c r="J528" s="5">
        <f ca="1">IFERROR(__xludf.DUMMYFUNCTION("""COMPUTED_VALUE"""),0)</f>
        <v>0</v>
      </c>
      <c r="K528" s="9" t="str">
        <f ca="1">IFERROR(__xludf.DUMMYFUNCTION("""COMPUTED_VALUE"""),"https://www.wmar2news.com/news/local-news/police-investigating-shots-fired-in-owings-mills-monday-afternoon")</f>
        <v>https://www.wmar2news.com/news/local-news/police-investigating-shots-fired-in-owings-mills-monday-afternoon</v>
      </c>
      <c r="L528" s="5">
        <f ca="1">IFERROR(__xludf.DUMMYFUNCTION("""COMPUTED_VALUE"""),1)</f>
        <v>1</v>
      </c>
      <c r="M528" s="5" t="str">
        <f ca="1">IFERROR(__xludf.DUMMYFUNCTION("""COMPUTED_VALUE"""),"Local")</f>
        <v>Local</v>
      </c>
      <c r="N528" s="5">
        <f ca="1">IFERROR(__xludf.DUMMYFUNCTION("""COMPUTED_VALUE"""),3)</f>
        <v>3</v>
      </c>
      <c r="O528" s="5" t="str">
        <f ca="1">IFERROR(__xludf.DUMMYFUNCTION("""COMPUTED_VALUE"""),"Fall")</f>
        <v>Fall</v>
      </c>
      <c r="P528" s="5" t="str">
        <f ca="1">IFERROR(__xludf.DUMMYFUNCTION("""COMPUTED_VALUE"""),"Owings Mills")</f>
        <v>Owings Mills</v>
      </c>
      <c r="Q528" s="5" t="str">
        <f ca="1">IFERROR(__xludf.DUMMYFUNCTION("""COMPUTED_VALUE"""),"MD")</f>
        <v>MD</v>
      </c>
      <c r="R528" s="5" t="str">
        <f ca="1">IFERROR(__xludf.DUMMYFUNCTION("""COMPUTED_VALUE"""),"High")</f>
        <v>High</v>
      </c>
      <c r="S528" s="5" t="str">
        <f ca="1">IFERROR(__xludf.DUMMYFUNCTION("""COMPUTED_VALUE"""),"Outside on School Property")</f>
        <v>Outside on School Property</v>
      </c>
      <c r="T528" s="5" t="str">
        <f ca="1">IFERROR(__xludf.DUMMYFUNCTION("""COMPUTED_VALUE"""),"Outside on School Property")</f>
        <v>Outside on School Property</v>
      </c>
      <c r="U528" s="5" t="str">
        <f ca="1">IFERROR(__xludf.DUMMYFUNCTION("""COMPUTED_VALUE"""),"Yes")</f>
        <v>Yes</v>
      </c>
      <c r="V528" s="5" t="str">
        <f ca="1">IFERROR(__xludf.DUMMYFUNCTION("""COMPUTED_VALUE"""),"Dismissal")</f>
        <v>Dismissal</v>
      </c>
      <c r="W528" s="10">
        <f ca="1">IFERROR(__xludf.DUMMYFUNCTION("""COMPUTED_VALUE"""),0.625)</f>
        <v>0.625</v>
      </c>
      <c r="X528" s="5">
        <f ca="1">IFERROR(__xludf.DUMMYFUNCTION("""COMPUTED_VALUE"""),1)</f>
        <v>1</v>
      </c>
      <c r="Y528" s="5" t="str">
        <f ca="1">IFERROR(__xludf.DUMMYFUNCTION("""COMPUTED_VALUE"""),"Adult male fired shots during fight outside the school")</f>
        <v>Adult male fired shots during fight outside the school</v>
      </c>
      <c r="Z528" s="5" t="str">
        <f ca="1">IFERROR(__xludf.DUMMYFUNCTION("""COMPUTED_VALUE"""),"A 34-year-old male fired shots during a fight outside the school. No one was injured. Shooter was arrested.")</f>
        <v>A 34-year-old male fired shots during a fight outside the school. No one was injured. Shooter was arrested.</v>
      </c>
      <c r="AA528" s="5" t="str">
        <f ca="1">IFERROR(__xludf.DUMMYFUNCTION("""COMPUTED_VALUE"""),"Escalation of Dispute")</f>
        <v>Escalation of Dispute</v>
      </c>
      <c r="AB528" s="5" t="str">
        <f ca="1">IFERROR(__xludf.DUMMYFUNCTION("""COMPUTED_VALUE"""),"Neither")</f>
        <v>Neither</v>
      </c>
      <c r="AC528" s="5" t="str">
        <f ca="1">IFERROR(__xludf.DUMMYFUNCTION("""COMPUTED_VALUE"""),"No")</f>
        <v>No</v>
      </c>
      <c r="AD528" s="5" t="str">
        <f ca="1">IFERROR(__xludf.DUMMYFUNCTION("""COMPUTED_VALUE"""),"No")</f>
        <v>No</v>
      </c>
      <c r="AE528" s="5" t="str">
        <f ca="1">IFERROR(__xludf.DUMMYFUNCTION("""COMPUTED_VALUE"""),"No")</f>
        <v>No</v>
      </c>
      <c r="AF528" s="5" t="str">
        <f ca="1">IFERROR(__xludf.DUMMYFUNCTION("""COMPUTED_VALUE"""),"No")</f>
        <v>No</v>
      </c>
      <c r="AG528" s="5" t="str">
        <f ca="1">IFERROR(__xludf.DUMMYFUNCTION("""COMPUTED_VALUE"""),"No")</f>
        <v>No</v>
      </c>
      <c r="AH528" s="5" t="str">
        <f ca="1">IFERROR(__xludf.DUMMYFUNCTION("""COMPUTED_VALUE"""),"No")</f>
        <v>No</v>
      </c>
      <c r="AI528" s="5"/>
      <c r="AJ528" s="5" t="str">
        <f ca="1">IFERROR(__xludf.DUMMYFUNCTION("""COMPUTED_VALUE"""),"No")</f>
        <v>No</v>
      </c>
    </row>
    <row r="529" spans="1:36" ht="13">
      <c r="A529" s="5" t="str">
        <f ca="1">IFERROR(__xludf.DUMMYFUNCTION("""COMPUTED_VALUE"""),"20210830FLOKW")</f>
        <v>20210830FLOKW</v>
      </c>
      <c r="B529" s="5">
        <f ca="1">IFERROR(__xludf.DUMMYFUNCTION("""COMPUTED_VALUE"""),8)</f>
        <v>8</v>
      </c>
      <c r="C529" s="5">
        <f ca="1">IFERROR(__xludf.DUMMYFUNCTION("""COMPUTED_VALUE"""),30)</f>
        <v>30</v>
      </c>
      <c r="D529" s="5">
        <f ca="1">IFERROR(__xludf.DUMMYFUNCTION("""COMPUTED_VALUE"""),2021)</f>
        <v>2021</v>
      </c>
      <c r="E529" s="8">
        <f ca="1">IFERROR(__xludf.DUMMYFUNCTION("""COMPUTED_VALUE"""),44438)</f>
        <v>44438</v>
      </c>
      <c r="F529" s="5" t="str">
        <f ca="1">IFERROR(__xludf.DUMMYFUNCTION("""COMPUTED_VALUE"""),"Okeeheelee Middle School")</f>
        <v>Okeeheelee Middle School</v>
      </c>
      <c r="G529" s="5">
        <f ca="1">IFERROR(__xludf.DUMMYFUNCTION("""COMPUTED_VALUE"""),0)</f>
        <v>0</v>
      </c>
      <c r="H529" s="5">
        <f ca="1">IFERROR(__xludf.DUMMYFUNCTION("""COMPUTED_VALUE"""),0)</f>
        <v>0</v>
      </c>
      <c r="I529" s="5">
        <f ca="1">IFERROR(__xludf.DUMMYFUNCTION("""COMPUTED_VALUE"""),0)</f>
        <v>0</v>
      </c>
      <c r="J529" s="5">
        <f ca="1">IFERROR(__xludf.DUMMYFUNCTION("""COMPUTED_VALUE"""),0)</f>
        <v>0</v>
      </c>
      <c r="K529" s="9" t="str">
        <f ca="1">IFERROR(__xludf.DUMMYFUNCTION("""COMPUTED_VALUE"""),"https://cbs12.com/news/local/pbc-mom-complains-about-safety-on-buses-after-her-daughter-was-shot-with-a-pellet-gun")</f>
        <v>https://cbs12.com/news/local/pbc-mom-complains-about-safety-on-buses-after-her-daughter-was-shot-with-a-pellet-gun</v>
      </c>
      <c r="L529" s="5">
        <f ca="1">IFERROR(__xludf.DUMMYFUNCTION("""COMPUTED_VALUE"""),1)</f>
        <v>1</v>
      </c>
      <c r="M529" s="5" t="str">
        <f ca="1">IFERROR(__xludf.DUMMYFUNCTION("""COMPUTED_VALUE"""),"Local")</f>
        <v>Local</v>
      </c>
      <c r="N529" s="5">
        <f ca="1">IFERROR(__xludf.DUMMYFUNCTION("""COMPUTED_VALUE"""),3)</f>
        <v>3</v>
      </c>
      <c r="O529" s="5" t="str">
        <f ca="1">IFERROR(__xludf.DUMMYFUNCTION("""COMPUTED_VALUE"""),"Fall")</f>
        <v>Fall</v>
      </c>
      <c r="P529" s="5" t="str">
        <f ca="1">IFERROR(__xludf.DUMMYFUNCTION("""COMPUTED_VALUE"""),"West Palm Beach")</f>
        <v>West Palm Beach</v>
      </c>
      <c r="Q529" s="5" t="str">
        <f ca="1">IFERROR(__xludf.DUMMYFUNCTION("""COMPUTED_VALUE"""),"FL")</f>
        <v>FL</v>
      </c>
      <c r="R529" s="5" t="str">
        <f ca="1">IFERROR(__xludf.DUMMYFUNCTION("""COMPUTED_VALUE"""),"Middle")</f>
        <v>Middle</v>
      </c>
      <c r="S529" s="5" t="str">
        <f ca="1">IFERROR(__xludf.DUMMYFUNCTION("""COMPUTED_VALUE"""),"School Bus")</f>
        <v>School Bus</v>
      </c>
      <c r="T529" s="5" t="str">
        <f ca="1">IFERROR(__xludf.DUMMYFUNCTION("""COMPUTED_VALUE"""),"School Bus")</f>
        <v>School Bus</v>
      </c>
      <c r="U529" s="5" t="str">
        <f ca="1">IFERROR(__xludf.DUMMYFUNCTION("""COMPUTED_VALUE"""),"Yes")</f>
        <v>Yes</v>
      </c>
      <c r="V529" s="5" t="str">
        <f ca="1">IFERROR(__xludf.DUMMYFUNCTION("""COMPUTED_VALUE"""),"Dismissal")</f>
        <v>Dismissal</v>
      </c>
      <c r="W529" s="10">
        <f ca="1">IFERROR(__xludf.DUMMYFUNCTION("""COMPUTED_VALUE"""),0.604166666666666)</f>
        <v>0.60416666666666596</v>
      </c>
      <c r="X529" s="5">
        <f ca="1">IFERROR(__xludf.DUMMYFUNCTION("""COMPUTED_VALUE"""),1)</f>
        <v>1</v>
      </c>
      <c r="Y529" s="5" t="str">
        <f ca="1">IFERROR(__xludf.DUMMYFUNCTION("""COMPUTED_VALUE"""),"Female student shot in the neck with a pellet gun on the school bus")</f>
        <v>Female student shot in the neck with a pellet gun on the school bus</v>
      </c>
      <c r="Z529" s="5" t="str">
        <f ca="1">IFERROR(__xludf.DUMMYFUNCTION("""COMPUTED_VALUE"""),"A female student was shot in the neck with a pellet gun on the school bus. The incident was not reported by the bus driver. The shooter was suspended multiple days later after the school investigated at the request of the victim's parent.")</f>
        <v>A female student was shot in the neck with a pellet gun on the school bus. The incident was not reported by the bus driver. The shooter was suspended multiple days later after the school investigated at the request of the victim's parent.</v>
      </c>
      <c r="AA529" s="5"/>
      <c r="AB529" s="5"/>
      <c r="AC529" s="5"/>
      <c r="AD529" s="5" t="str">
        <f ca="1">IFERROR(__xludf.DUMMYFUNCTION("""COMPUTED_VALUE"""),"No")</f>
        <v>No</v>
      </c>
      <c r="AE529" s="5" t="str">
        <f ca="1">IFERROR(__xludf.DUMMYFUNCTION("""COMPUTED_VALUE"""),"No")</f>
        <v>No</v>
      </c>
      <c r="AF529" s="5" t="str">
        <f ca="1">IFERROR(__xludf.DUMMYFUNCTION("""COMPUTED_VALUE"""),"No")</f>
        <v>No</v>
      </c>
      <c r="AG529" s="5" t="str">
        <f ca="1">IFERROR(__xludf.DUMMYFUNCTION("""COMPUTED_VALUE"""),"No")</f>
        <v>No</v>
      </c>
      <c r="AH529" s="5" t="str">
        <f ca="1">IFERROR(__xludf.DUMMYFUNCTION("""COMPUTED_VALUE"""),"No")</f>
        <v>No</v>
      </c>
      <c r="AI529" s="5" t="str">
        <f ca="1">IFERROR(__xludf.DUMMYFUNCTION("""COMPUTED_VALUE"""),"No")</f>
        <v>No</v>
      </c>
      <c r="AJ529" s="5" t="str">
        <f ca="1">IFERROR(__xludf.DUMMYFUNCTION("""COMPUTED_VALUE"""),"No")</f>
        <v>No</v>
      </c>
    </row>
    <row r="530" spans="1:36" ht="13">
      <c r="A530" s="5" t="str">
        <f ca="1">IFERROR(__xludf.DUMMYFUNCTION("""COMPUTED_VALUE"""),"20210830NJWEN")</f>
        <v>20210830NJWEN</v>
      </c>
      <c r="B530" s="5">
        <f ca="1">IFERROR(__xludf.DUMMYFUNCTION("""COMPUTED_VALUE"""),8)</f>
        <v>8</v>
      </c>
      <c r="C530" s="5">
        <f ca="1">IFERROR(__xludf.DUMMYFUNCTION("""COMPUTED_VALUE"""),30)</f>
        <v>30</v>
      </c>
      <c r="D530" s="5">
        <f ca="1">IFERROR(__xludf.DUMMYFUNCTION("""COMPUTED_VALUE"""),2021)</f>
        <v>2021</v>
      </c>
      <c r="E530" s="8">
        <f ca="1">IFERROR(__xludf.DUMMYFUNCTION("""COMPUTED_VALUE"""),44438)</f>
        <v>44438</v>
      </c>
      <c r="F530" s="5" t="str">
        <f ca="1">IFERROR(__xludf.DUMMYFUNCTION("""COMPUTED_VALUE"""),"West Side High School")</f>
        <v>West Side High School</v>
      </c>
      <c r="G530" s="5">
        <f ca="1">IFERROR(__xludf.DUMMYFUNCTION("""COMPUTED_VALUE"""),1)</f>
        <v>1</v>
      </c>
      <c r="H530" s="5">
        <f ca="1">IFERROR(__xludf.DUMMYFUNCTION("""COMPUTED_VALUE"""),0)</f>
        <v>0</v>
      </c>
      <c r="I530" s="5">
        <f ca="1">IFERROR(__xludf.DUMMYFUNCTION("""COMPUTED_VALUE"""),1)</f>
        <v>1</v>
      </c>
      <c r="J530" s="5">
        <f ca="1">IFERROR(__xludf.DUMMYFUNCTION("""COMPUTED_VALUE"""),0)</f>
        <v>0</v>
      </c>
      <c r="K530" s="5" t="str">
        <f ca="1">IFERROR(__xludf.DUMMYFUNCTION("""COMPUTED_VALUE"""),"https://www.nj.com/crime/2021/08/teen-fatally-shot-in-newark-was-on-his-way-home-from-safe-space-program-mayor-says.html https://www.rlsmedia.com/article/shooting-near-newarks-west-side-high-school-leaves-teen-boy-dead")</f>
        <v>https://www.nj.com/crime/2021/08/teen-fatally-shot-in-newark-was-on-his-way-home-from-safe-space-program-mayor-says.html https://www.rlsmedia.com/article/shooting-near-newarks-west-side-high-school-leaves-teen-boy-dead</v>
      </c>
      <c r="L530" s="5">
        <f ca="1">IFERROR(__xludf.DUMMYFUNCTION("""COMPUTED_VALUE"""),2)</f>
        <v>2</v>
      </c>
      <c r="M530" s="5" t="str">
        <f ca="1">IFERROR(__xludf.DUMMYFUNCTION("""COMPUTED_VALUE"""),"Local")</f>
        <v>Local</v>
      </c>
      <c r="N530" s="5">
        <f ca="1">IFERROR(__xludf.DUMMYFUNCTION("""COMPUTED_VALUE"""),4)</f>
        <v>4</v>
      </c>
      <c r="O530" s="5" t="str">
        <f ca="1">IFERROR(__xludf.DUMMYFUNCTION("""COMPUTED_VALUE"""),"Fall")</f>
        <v>Fall</v>
      </c>
      <c r="P530" s="5" t="str">
        <f ca="1">IFERROR(__xludf.DUMMYFUNCTION("""COMPUTED_VALUE"""),"Newark")</f>
        <v>Newark</v>
      </c>
      <c r="Q530" s="5" t="str">
        <f ca="1">IFERROR(__xludf.DUMMYFUNCTION("""COMPUTED_VALUE"""),"NJ")</f>
        <v>NJ</v>
      </c>
      <c r="R530" s="5" t="str">
        <f ca="1">IFERROR(__xludf.DUMMYFUNCTION("""COMPUTED_VALUE"""),"High")</f>
        <v>High</v>
      </c>
      <c r="S530" s="5" t="str">
        <f ca="1">IFERROR(__xludf.DUMMYFUNCTION("""COMPUTED_VALUE"""),"Front of School")</f>
        <v>Front of School</v>
      </c>
      <c r="T530" s="5" t="str">
        <f ca="1">IFERROR(__xludf.DUMMYFUNCTION("""COMPUTED_VALUE"""),"Outside on School Property")</f>
        <v>Outside on School Property</v>
      </c>
      <c r="U530" s="5" t="str">
        <f ca="1">IFERROR(__xludf.DUMMYFUNCTION("""COMPUTED_VALUE"""),"Yes")</f>
        <v>Yes</v>
      </c>
      <c r="V530" s="5" t="str">
        <f ca="1">IFERROR(__xludf.DUMMYFUNCTION("""COMPUTED_VALUE"""),"Evening")</f>
        <v>Evening</v>
      </c>
      <c r="W530" s="10">
        <f ca="1">IFERROR(__xludf.DUMMYFUNCTION("""COMPUTED_VALUE"""),0.854166666666666)</f>
        <v>0.85416666666666596</v>
      </c>
      <c r="X530" s="5">
        <f ca="1">IFERROR(__xludf.DUMMYFUNCTION("""COMPUTED_VALUE"""),1)</f>
        <v>1</v>
      </c>
      <c r="Y530" s="5" t="str">
        <f ca="1">IFERROR(__xludf.DUMMYFUNCTION("""COMPUTED_VALUE"""),"Teen fatally shot leaving night program at the school")</f>
        <v>Teen fatally shot leaving night program at the school</v>
      </c>
      <c r="Z530" s="5" t="str">
        <f ca="1">IFERROR(__xludf.DUMMYFUNCTION("""COMPUTED_VALUE"""),"A teenage student was fatally shot leaving a night program at the school. He was shot multiple times in front of the school and ran 1/2 block before collapsing in the street. Shooter fled.")</f>
        <v>A teenage student was fatally shot leaving a night program at the school. He was shot multiple times in front of the school and ran 1/2 block before collapsing in the street. Shooter fled.</v>
      </c>
      <c r="AA530" s="5"/>
      <c r="AB530" s="5" t="str">
        <f ca="1">IFERROR(__xludf.DUMMYFUNCTION("""COMPUTED_VALUE"""),"Victims Targeted")</f>
        <v>Victims Targeted</v>
      </c>
      <c r="AC530" s="5" t="str">
        <f ca="1">IFERROR(__xludf.DUMMYFUNCTION("""COMPUTED_VALUE"""),"No")</f>
        <v>No</v>
      </c>
      <c r="AD530" s="5" t="str">
        <f ca="1">IFERROR(__xludf.DUMMYFUNCTION("""COMPUTED_VALUE"""),"No")</f>
        <v>No</v>
      </c>
      <c r="AE530" s="5" t="str">
        <f ca="1">IFERROR(__xludf.DUMMYFUNCTION("""COMPUTED_VALUE"""),"No")</f>
        <v>No</v>
      </c>
      <c r="AF530" s="5" t="str">
        <f ca="1">IFERROR(__xludf.DUMMYFUNCTION("""COMPUTED_VALUE"""),"No")</f>
        <v>No</v>
      </c>
      <c r="AG530" s="5" t="str">
        <f ca="1">IFERROR(__xludf.DUMMYFUNCTION("""COMPUTED_VALUE"""),"No")</f>
        <v>No</v>
      </c>
      <c r="AH530" s="5" t="str">
        <f ca="1">IFERROR(__xludf.DUMMYFUNCTION("""COMPUTED_VALUE"""),"No")</f>
        <v>No</v>
      </c>
      <c r="AI530" s="5"/>
      <c r="AJ530" s="5" t="str">
        <f ca="1">IFERROR(__xludf.DUMMYFUNCTION("""COMPUTED_VALUE"""),"No")</f>
        <v>No</v>
      </c>
    </row>
    <row r="531" spans="1:36" ht="13">
      <c r="A531" s="5" t="str">
        <f ca="1">IFERROR(__xludf.DUMMYFUNCTION("""COMPUTED_VALUE"""),"20210830NCNEW")</f>
        <v>20210830NCNEW</v>
      </c>
      <c r="B531" s="5">
        <f ca="1">IFERROR(__xludf.DUMMYFUNCTION("""COMPUTED_VALUE"""),8)</f>
        <v>8</v>
      </c>
      <c r="C531" s="5">
        <f ca="1">IFERROR(__xludf.DUMMYFUNCTION("""COMPUTED_VALUE"""),30)</f>
        <v>30</v>
      </c>
      <c r="D531" s="5">
        <f ca="1">IFERROR(__xludf.DUMMYFUNCTION("""COMPUTED_VALUE"""),2021)</f>
        <v>2021</v>
      </c>
      <c r="E531" s="8">
        <f ca="1">IFERROR(__xludf.DUMMYFUNCTION("""COMPUTED_VALUE"""),44438)</f>
        <v>44438</v>
      </c>
      <c r="F531" s="5" t="str">
        <f ca="1">IFERROR(__xludf.DUMMYFUNCTION("""COMPUTED_VALUE"""),"New Hanover High School")</f>
        <v>New Hanover High School</v>
      </c>
      <c r="G531" s="5">
        <f ca="1">IFERROR(__xludf.DUMMYFUNCTION("""COMPUTED_VALUE"""),0)</f>
        <v>0</v>
      </c>
      <c r="H531" s="5">
        <f ca="1">IFERROR(__xludf.DUMMYFUNCTION("""COMPUTED_VALUE"""),1)</f>
        <v>1</v>
      </c>
      <c r="I531" s="5">
        <f ca="1">IFERROR(__xludf.DUMMYFUNCTION("""COMPUTED_VALUE"""),1)</f>
        <v>1</v>
      </c>
      <c r="J531" s="5">
        <f ca="1">IFERROR(__xludf.DUMMYFUNCTION("""COMPUTED_VALUE"""),0)</f>
        <v>0</v>
      </c>
      <c r="K531" s="5" t="str">
        <f ca="1">IFERROR(__xludf.DUMMYFUNCTION("""COMPUTED_VALUE"""),"https://www.wwaytv3.com/2021/09/01/911-calls-reveal-new-details-in-new-hanover-high-school-shooting/ https://www.charlotteobserver.com/news/state/north-carolina/article253854048.html https://www.charlotteobserver.com/news/state/north-carolina/article25385"&amp;"4048.html https://www.starnewsonline.com/story/news/2021/08/31/new-hanover-high-school-shooting-wilmington-nc-officials-react-gun-violence-schools-safety/5663068001/ https://www.wsoctv.com/news/local/nc-sheriffs-office-student-shot-school-shooter-sought/4"&amp;"BRPDCXUYFEGDBFGZ6OUTKHFXU/")</f>
        <v>https://www.wwaytv3.com/2021/09/01/911-calls-reveal-new-details-in-new-hanover-high-school-shooting/ https://www.charlotteobserver.com/news/state/north-carolina/article253854048.html https://www.charlotteobserver.com/news/state/north-carolina/article253854048.html https://www.starnewsonline.com/story/news/2021/08/31/new-hanover-high-school-shooting-wilmington-nc-officials-react-gun-violence-schools-safety/5663068001/ https://www.wsoctv.com/news/local/nc-sheriffs-office-student-shot-school-shooter-sought/4BRPDCXUYFEGDBFGZ6OUTKHFXU/</v>
      </c>
      <c r="L531" s="5">
        <f ca="1">IFERROR(__xludf.DUMMYFUNCTION("""COMPUTED_VALUE"""),100)</f>
        <v>100</v>
      </c>
      <c r="M531" s="5" t="str">
        <f ca="1">IFERROR(__xludf.DUMMYFUNCTION("""COMPUTED_VALUE"""),"National")</f>
        <v>National</v>
      </c>
      <c r="N531" s="5">
        <f ca="1">IFERROR(__xludf.DUMMYFUNCTION("""COMPUTED_VALUE"""),4)</f>
        <v>4</v>
      </c>
      <c r="O531" s="5" t="str">
        <f ca="1">IFERROR(__xludf.DUMMYFUNCTION("""COMPUTED_VALUE"""),"Fall")</f>
        <v>Fall</v>
      </c>
      <c r="P531" s="5" t="str">
        <f ca="1">IFERROR(__xludf.DUMMYFUNCTION("""COMPUTED_VALUE"""),"Wilmington")</f>
        <v>Wilmington</v>
      </c>
      <c r="Q531" s="5" t="str">
        <f ca="1">IFERROR(__xludf.DUMMYFUNCTION("""COMPUTED_VALUE"""),"NC")</f>
        <v>NC</v>
      </c>
      <c r="R531" s="5" t="str">
        <f ca="1">IFERROR(__xludf.DUMMYFUNCTION("""COMPUTED_VALUE"""),"High")</f>
        <v>High</v>
      </c>
      <c r="S531" s="5" t="str">
        <f ca="1">IFERROR(__xludf.DUMMYFUNCTION("""COMPUTED_VALUE"""),"Hallway")</f>
        <v>Hallway</v>
      </c>
      <c r="T531" s="5" t="str">
        <f ca="1">IFERROR(__xludf.DUMMYFUNCTION("""COMPUTED_VALUE"""),"Inside School Building")</f>
        <v>Inside School Building</v>
      </c>
      <c r="U531" s="5" t="str">
        <f ca="1">IFERROR(__xludf.DUMMYFUNCTION("""COMPUTED_VALUE"""),"Yes")</f>
        <v>Yes</v>
      </c>
      <c r="V531" s="5" t="str">
        <f ca="1">IFERROR(__xludf.DUMMYFUNCTION("""COMPUTED_VALUE"""),"Morning Classes")</f>
        <v>Morning Classes</v>
      </c>
      <c r="W531" s="10">
        <f ca="1">IFERROR(__xludf.DUMMYFUNCTION("""COMPUTED_VALUE"""),0.475)</f>
        <v>0.47499999999999998</v>
      </c>
      <c r="X531" s="5">
        <f ca="1">IFERROR(__xludf.DUMMYFUNCTION("""COMPUTED_VALUE"""),1)</f>
        <v>1</v>
      </c>
      <c r="Y531" s="5" t="str">
        <f ca="1">IFERROR(__xludf.DUMMYFUNCTION("""COMPUTED_VALUE"""),"Student shot during large fight in hallway")</f>
        <v>Student shot during large fight in hallway</v>
      </c>
      <c r="Z531" s="5" t="str">
        <f ca="1">IFERROR(__xludf.DUMMYFUNCTION("""COMPUTED_VALUE"""),"Student shot during large fight in hallway")</f>
        <v>Student shot during large fight in hallway</v>
      </c>
      <c r="AA531" s="5" t="str">
        <f ca="1">IFERROR(__xludf.DUMMYFUNCTION("""COMPUTED_VALUE"""),"Escalation of Dispute")</f>
        <v>Escalation of Dispute</v>
      </c>
      <c r="AB531" s="5" t="str">
        <f ca="1">IFERROR(__xludf.DUMMYFUNCTION("""COMPUTED_VALUE"""),"Victims Targeted")</f>
        <v>Victims Targeted</v>
      </c>
      <c r="AC531" s="5" t="str">
        <f ca="1">IFERROR(__xludf.DUMMYFUNCTION("""COMPUTED_VALUE"""),"No")</f>
        <v>No</v>
      </c>
      <c r="AD531" s="5" t="str">
        <f ca="1">IFERROR(__xludf.DUMMYFUNCTION("""COMPUTED_VALUE"""),"No")</f>
        <v>No</v>
      </c>
      <c r="AE531" s="5" t="str">
        <f ca="1">IFERROR(__xludf.DUMMYFUNCTION("""COMPUTED_VALUE"""),"No")</f>
        <v>No</v>
      </c>
      <c r="AF531" s="5" t="str">
        <f ca="1">IFERROR(__xludf.DUMMYFUNCTION("""COMPUTED_VALUE"""),"No")</f>
        <v>No</v>
      </c>
      <c r="AG531" s="5" t="str">
        <f ca="1">IFERROR(__xludf.DUMMYFUNCTION("""COMPUTED_VALUE"""),"Yes")</f>
        <v>Yes</v>
      </c>
      <c r="AH531" s="5" t="str">
        <f ca="1">IFERROR(__xludf.DUMMYFUNCTION("""COMPUTED_VALUE"""),"No")</f>
        <v>No</v>
      </c>
      <c r="AI531" s="5" t="str">
        <f ca="1">IFERROR(__xludf.DUMMYFUNCTION("""COMPUTED_VALUE"""),"No")</f>
        <v>No</v>
      </c>
      <c r="AJ531" s="5" t="str">
        <f ca="1">IFERROR(__xludf.DUMMYFUNCTION("""COMPUTED_VALUE"""),"No")</f>
        <v>No</v>
      </c>
    </row>
    <row r="532" spans="1:36" ht="13">
      <c r="A532" s="5" t="str">
        <f ca="1">IFERROR(__xludf.DUMMYFUNCTION("""COMPUTED_VALUE"""),"20210828CASAS")</f>
        <v>20210828CASAS</v>
      </c>
      <c r="B532" s="5">
        <f ca="1">IFERROR(__xludf.DUMMYFUNCTION("""COMPUTED_VALUE"""),8)</f>
        <v>8</v>
      </c>
      <c r="C532" s="5">
        <f ca="1">IFERROR(__xludf.DUMMYFUNCTION("""COMPUTED_VALUE"""),28)</f>
        <v>28</v>
      </c>
      <c r="D532" s="5">
        <f ca="1">IFERROR(__xludf.DUMMYFUNCTION("""COMPUTED_VALUE"""),2021)</f>
        <v>2021</v>
      </c>
      <c r="E532" s="8">
        <f ca="1">IFERROR(__xludf.DUMMYFUNCTION("""COMPUTED_VALUE"""),44436)</f>
        <v>44436</v>
      </c>
      <c r="F532" s="5" t="str">
        <f ca="1">IFERROR(__xludf.DUMMYFUNCTION("""COMPUTED_VALUE"""),"Santa Maria High School")</f>
        <v>Santa Maria High School</v>
      </c>
      <c r="G532" s="5">
        <f ca="1">IFERROR(__xludf.DUMMYFUNCTION("""COMPUTED_VALUE"""),0)</f>
        <v>0</v>
      </c>
      <c r="H532" s="5">
        <f ca="1">IFERROR(__xludf.DUMMYFUNCTION("""COMPUTED_VALUE"""),0)</f>
        <v>0</v>
      </c>
      <c r="I532" s="5">
        <f ca="1">IFERROR(__xludf.DUMMYFUNCTION("""COMPUTED_VALUE"""),0)</f>
        <v>0</v>
      </c>
      <c r="J532" s="5">
        <f ca="1">IFERROR(__xludf.DUMMYFUNCTION("""COMPUTED_VALUE"""),0)</f>
        <v>0</v>
      </c>
      <c r="K532" s="9" t="str">
        <f ca="1">IFERROR(__xludf.DUMMYFUNCTION("""COMPUTED_VALUE"""),"https://keyt.com/news/crime/2021/08/28/police-investigating-shots-fired-at-santa-maria-high-school/")</f>
        <v>https://keyt.com/news/crime/2021/08/28/police-investigating-shots-fired-at-santa-maria-high-school/</v>
      </c>
      <c r="L532" s="5">
        <f ca="1">IFERROR(__xludf.DUMMYFUNCTION("""COMPUTED_VALUE"""),1)</f>
        <v>1</v>
      </c>
      <c r="M532" s="5" t="str">
        <f ca="1">IFERROR(__xludf.DUMMYFUNCTION("""COMPUTED_VALUE"""),"Local")</f>
        <v>Local</v>
      </c>
      <c r="N532" s="5">
        <f ca="1">IFERROR(__xludf.DUMMYFUNCTION("""COMPUTED_VALUE"""),3)</f>
        <v>3</v>
      </c>
      <c r="O532" s="5" t="str">
        <f ca="1">IFERROR(__xludf.DUMMYFUNCTION("""COMPUTED_VALUE"""),"Fall")</f>
        <v>Fall</v>
      </c>
      <c r="P532" s="5" t="str">
        <f ca="1">IFERROR(__xludf.DUMMYFUNCTION("""COMPUTED_VALUE"""),"Santa Maria")</f>
        <v>Santa Maria</v>
      </c>
      <c r="Q532" s="5" t="str">
        <f ca="1">IFERROR(__xludf.DUMMYFUNCTION("""COMPUTED_VALUE"""),"CA")</f>
        <v>CA</v>
      </c>
      <c r="R532" s="5" t="str">
        <f ca="1">IFERROR(__xludf.DUMMYFUNCTION("""COMPUTED_VALUE"""),"High")</f>
        <v>High</v>
      </c>
      <c r="S532" s="5" t="str">
        <f ca="1">IFERROR(__xludf.DUMMYFUNCTION("""COMPUTED_VALUE"""),"Football Field/Track")</f>
        <v>Football Field/Track</v>
      </c>
      <c r="T532" s="5" t="str">
        <f ca="1">IFERROR(__xludf.DUMMYFUNCTION("""COMPUTED_VALUE"""),"Outside on School Property")</f>
        <v>Outside on School Property</v>
      </c>
      <c r="U532" s="5" t="str">
        <f ca="1">IFERROR(__xludf.DUMMYFUNCTION("""COMPUTED_VALUE"""),"No")</f>
        <v>No</v>
      </c>
      <c r="V532" s="5" t="str">
        <f ca="1">IFERROR(__xludf.DUMMYFUNCTION("""COMPUTED_VALUE"""),"Sport Event")</f>
        <v>Sport Event</v>
      </c>
      <c r="W532" s="10">
        <f ca="1">IFERROR(__xludf.DUMMYFUNCTION("""COMPUTED_VALUE"""),0.666666666666666)</f>
        <v>0.66666666666666596</v>
      </c>
      <c r="X532" s="5">
        <f ca="1">IFERROR(__xludf.DUMMYFUNCTION("""COMPUTED_VALUE"""),1)</f>
        <v>1</v>
      </c>
      <c r="Y532" s="5" t="str">
        <f ca="1">IFERROR(__xludf.DUMMYFUNCTION("""COMPUTED_VALUE"""),"Police called for shots fired at football game, police recovered gun")</f>
        <v>Police called for shots fired at football game, police recovered gun</v>
      </c>
      <c r="Z532" s="5" t="str">
        <f ca="1">IFERROR(__xludf.DUMMYFUNCTION("""COMPUTED_VALUE"""),"Police were called for shots fired at a football game. Police searched the area and recovered a handgun. Shooter was not identified and fled the area. No injuries.")</f>
        <v>Police were called for shots fired at a football game. Police searched the area and recovered a handgun. Shooter was not identified and fled the area. No injuries.</v>
      </c>
      <c r="AA532" s="5"/>
      <c r="AB532" s="5"/>
      <c r="AC532" s="5" t="str">
        <f ca="1">IFERROR(__xludf.DUMMYFUNCTION("""COMPUTED_VALUE"""),"No")</f>
        <v>No</v>
      </c>
      <c r="AD532" s="5" t="str">
        <f ca="1">IFERROR(__xludf.DUMMYFUNCTION("""COMPUTED_VALUE"""),"No")</f>
        <v>No</v>
      </c>
      <c r="AE532" s="5" t="str">
        <f ca="1">IFERROR(__xludf.DUMMYFUNCTION("""COMPUTED_VALUE"""),"No")</f>
        <v>No</v>
      </c>
      <c r="AF532" s="5" t="str">
        <f ca="1">IFERROR(__xludf.DUMMYFUNCTION("""COMPUTED_VALUE"""),"No")</f>
        <v>No</v>
      </c>
      <c r="AG532" s="5" t="str">
        <f ca="1">IFERROR(__xludf.DUMMYFUNCTION("""COMPUTED_VALUE"""),"No")</f>
        <v>No</v>
      </c>
      <c r="AH532" s="5" t="str">
        <f ca="1">IFERROR(__xludf.DUMMYFUNCTION("""COMPUTED_VALUE"""),"No")</f>
        <v>No</v>
      </c>
      <c r="AI532" s="5"/>
      <c r="AJ532" s="5" t="str">
        <f ca="1">IFERROR(__xludf.DUMMYFUNCTION("""COMPUTED_VALUE"""),"No")</f>
        <v>No</v>
      </c>
    </row>
    <row r="533" spans="1:36" ht="13">
      <c r="A533" s="5" t="str">
        <f ca="1">IFERROR(__xludf.DUMMYFUNCTION("""COMPUTED_VALUE"""),"20210827VTEDB")</f>
        <v>20210827VTEDB</v>
      </c>
      <c r="B533" s="5">
        <f ca="1">IFERROR(__xludf.DUMMYFUNCTION("""COMPUTED_VALUE"""),8)</f>
        <v>8</v>
      </c>
      <c r="C533" s="5">
        <f ca="1">IFERROR(__xludf.DUMMYFUNCTION("""COMPUTED_VALUE"""),27)</f>
        <v>27</v>
      </c>
      <c r="D533" s="5">
        <f ca="1">IFERROR(__xludf.DUMMYFUNCTION("""COMPUTED_VALUE"""),2021)</f>
        <v>2021</v>
      </c>
      <c r="E533" s="8">
        <f ca="1">IFERROR(__xludf.DUMMYFUNCTION("""COMPUTED_VALUE"""),44435)</f>
        <v>44435</v>
      </c>
      <c r="F533" s="5" t="str">
        <f ca="1">IFERROR(__xludf.DUMMYFUNCTION("""COMPUTED_VALUE"""),"Edmunds Middle School")</f>
        <v>Edmunds Middle School</v>
      </c>
      <c r="G533" s="5">
        <f ca="1">IFERROR(__xludf.DUMMYFUNCTION("""COMPUTED_VALUE"""),0)</f>
        <v>0</v>
      </c>
      <c r="H533" s="5">
        <f ca="1">IFERROR(__xludf.DUMMYFUNCTION("""COMPUTED_VALUE"""),0)</f>
        <v>0</v>
      </c>
      <c r="I533" s="5">
        <f ca="1">IFERROR(__xludf.DUMMYFUNCTION("""COMPUTED_VALUE"""),0)</f>
        <v>0</v>
      </c>
      <c r="J533" s="5">
        <f ca="1">IFERROR(__xludf.DUMMYFUNCTION("""COMPUTED_VALUE"""),0)</f>
        <v>0</v>
      </c>
      <c r="K533" s="9" t="str">
        <f ca="1">IFERROR(__xludf.DUMMYFUNCTION("""COMPUTED_VALUE"""),"https://www.wcax.com/2021/08/27/burlington-schools-canceled-due-police-incident/")</f>
        <v>https://www.wcax.com/2021/08/27/burlington-schools-canceled-due-police-incident/</v>
      </c>
      <c r="L533" s="5">
        <f ca="1">IFERROR(__xludf.DUMMYFUNCTION("""COMPUTED_VALUE"""),1)</f>
        <v>1</v>
      </c>
      <c r="M533" s="5" t="str">
        <f ca="1">IFERROR(__xludf.DUMMYFUNCTION("""COMPUTED_VALUE"""),"Local")</f>
        <v>Local</v>
      </c>
      <c r="N533" s="5">
        <f ca="1">IFERROR(__xludf.DUMMYFUNCTION("""COMPUTED_VALUE"""),4)</f>
        <v>4</v>
      </c>
      <c r="O533" s="5" t="str">
        <f ca="1">IFERROR(__xludf.DUMMYFUNCTION("""COMPUTED_VALUE"""),"Fall")</f>
        <v>Fall</v>
      </c>
      <c r="P533" s="5" t="str">
        <f ca="1">IFERROR(__xludf.DUMMYFUNCTION("""COMPUTED_VALUE"""),"Burlington")</f>
        <v>Burlington</v>
      </c>
      <c r="Q533" s="5" t="str">
        <f ca="1">IFERROR(__xludf.DUMMYFUNCTION("""COMPUTED_VALUE"""),"VT")</f>
        <v>VT</v>
      </c>
      <c r="R533" s="5" t="str">
        <f ca="1">IFERROR(__xludf.DUMMYFUNCTION("""COMPUTED_VALUE"""),"Middle")</f>
        <v>Middle</v>
      </c>
      <c r="S533" s="5" t="str">
        <f ca="1">IFERROR(__xludf.DUMMYFUNCTION("""COMPUTED_VALUE"""),"Front of School")</f>
        <v>Front of School</v>
      </c>
      <c r="T533" s="5" t="str">
        <f ca="1">IFERROR(__xludf.DUMMYFUNCTION("""COMPUTED_VALUE"""),"Both Inside/Outside")</f>
        <v>Both Inside/Outside</v>
      </c>
      <c r="U533" s="5" t="str">
        <f ca="1">IFERROR(__xludf.DUMMYFUNCTION("""COMPUTED_VALUE"""),"No")</f>
        <v>No</v>
      </c>
      <c r="V533" s="5" t="str">
        <f ca="1">IFERROR(__xludf.DUMMYFUNCTION("""COMPUTED_VALUE"""),"Before School")</f>
        <v>Before School</v>
      </c>
      <c r="W533" s="5"/>
      <c r="X533" s="5">
        <f ca="1">IFERROR(__xludf.DUMMYFUNCTION("""COMPUTED_VALUE"""),1)</f>
        <v>1</v>
      </c>
      <c r="Y533" s="5" t="str">
        <f ca="1">IFERROR(__xludf.DUMMYFUNCTION("""COMPUTED_VALUE"""),"Bullet hole found in school window, classes cancelled at 2 schools")</f>
        <v>Bullet hole found in school window, classes cancelled at 2 schools</v>
      </c>
      <c r="Z533" s="5" t="str">
        <f ca="1">IFERROR(__xludf.DUMMYFUNCTION("""COMPUTED_VALUE"""),"Police were called to the school for a bullet hole found in a 3rd floor window prior to the school opening. Police determined the shot was fired from 700 feet away and decided to cancel classes. No suspect was identified.")</f>
        <v>Police were called to the school for a bullet hole found in a 3rd floor window prior to the school opening. Police determined the shot was fired from 700 feet away and decided to cancel classes. No suspect was identified.</v>
      </c>
      <c r="AA533" s="5" t="str">
        <f ca="1">IFERROR(__xludf.DUMMYFUNCTION("""COMPUTED_VALUE"""),"Intentional Property Damage")</f>
        <v>Intentional Property Damage</v>
      </c>
      <c r="AB533" s="5" t="str">
        <f ca="1">IFERROR(__xludf.DUMMYFUNCTION("""COMPUTED_VALUE"""),"Neither")</f>
        <v>Neither</v>
      </c>
      <c r="AC533" s="5" t="str">
        <f ca="1">IFERROR(__xludf.DUMMYFUNCTION("""COMPUTED_VALUE"""),"No")</f>
        <v>No</v>
      </c>
      <c r="AD533" s="5" t="str">
        <f ca="1">IFERROR(__xludf.DUMMYFUNCTION("""COMPUTED_VALUE"""),"No")</f>
        <v>No</v>
      </c>
      <c r="AE533" s="5" t="str">
        <f ca="1">IFERROR(__xludf.DUMMYFUNCTION("""COMPUTED_VALUE"""),"No")</f>
        <v>No</v>
      </c>
      <c r="AF533" s="5" t="str">
        <f ca="1">IFERROR(__xludf.DUMMYFUNCTION("""COMPUTED_VALUE"""),"No")</f>
        <v>No</v>
      </c>
      <c r="AG533" s="5" t="str">
        <f ca="1">IFERROR(__xludf.DUMMYFUNCTION("""COMPUTED_VALUE"""),"No")</f>
        <v>No</v>
      </c>
      <c r="AH533" s="5" t="str">
        <f ca="1">IFERROR(__xludf.DUMMYFUNCTION("""COMPUTED_VALUE"""),"No")</f>
        <v>No</v>
      </c>
      <c r="AI533" s="5" t="str">
        <f ca="1">IFERROR(__xludf.DUMMYFUNCTION("""COMPUTED_VALUE"""),"No")</f>
        <v>No</v>
      </c>
      <c r="AJ533" s="5" t="str">
        <f ca="1">IFERROR(__xludf.DUMMYFUNCTION("""COMPUTED_VALUE"""),"No")</f>
        <v>No</v>
      </c>
    </row>
    <row r="534" spans="1:36" ht="13">
      <c r="A534" s="5" t="str">
        <f ca="1">IFERROR(__xludf.DUMMYFUNCTION("""COMPUTED_VALUE"""),"20210827INHAH")</f>
        <v>20210827INHAH</v>
      </c>
      <c r="B534" s="5">
        <f ca="1">IFERROR(__xludf.DUMMYFUNCTION("""COMPUTED_VALUE"""),8)</f>
        <v>8</v>
      </c>
      <c r="C534" s="5">
        <f ca="1">IFERROR(__xludf.DUMMYFUNCTION("""COMPUTED_VALUE"""),27)</f>
        <v>27</v>
      </c>
      <c r="D534" s="5">
        <f ca="1">IFERROR(__xludf.DUMMYFUNCTION("""COMPUTED_VALUE"""),2021)</f>
        <v>2021</v>
      </c>
      <c r="E534" s="8">
        <f ca="1">IFERROR(__xludf.DUMMYFUNCTION("""COMPUTED_VALUE"""),44435)</f>
        <v>44435</v>
      </c>
      <c r="F534" s="5" t="str">
        <f ca="1">IFERROR(__xludf.DUMMYFUNCTION("""COMPUTED_VALUE"""),"Hammond Central High School")</f>
        <v>Hammond Central High School</v>
      </c>
      <c r="G534" s="5">
        <f ca="1">IFERROR(__xludf.DUMMYFUNCTION("""COMPUTED_VALUE"""),0)</f>
        <v>0</v>
      </c>
      <c r="H534" s="5">
        <f ca="1">IFERROR(__xludf.DUMMYFUNCTION("""COMPUTED_VALUE"""),2)</f>
        <v>2</v>
      </c>
      <c r="I534" s="5">
        <f ca="1">IFERROR(__xludf.DUMMYFUNCTION("""COMPUTED_VALUE"""),2)</f>
        <v>2</v>
      </c>
      <c r="J534" s="5">
        <f ca="1">IFERROR(__xludf.DUMMYFUNCTION("""COMPUTED_VALUE"""),0)</f>
        <v>0</v>
      </c>
      <c r="K534" s="5" t="str">
        <f ca="1">IFERROR(__xludf.DUMMYFUNCTION("""COMPUTED_VALUE"""),"https://www.nwitimes.com/news/local/crime-and-courts/judge-teen-charged-as-adult-in-school-shooting-must-be-held-at-juvenile-lockup-for/article_35e18498-d9ec-5870-b37e-31436776423c.html https://www.nwitimes.com/news/local/crime-and-courts/teen-charged-in-"&amp;"school-shooting-was-known-to-police-court-records-show/article_c0d2abcc-de50-5075-840c-7d932c154abd.html https://www.nwitimes.com/news/local/crime-and-courts/watch-now-1-in-custody-after-2-students-shot-at-hammond-central-high-school-officials/article_b78"&amp;"bfd75-8e8d-598c-b06e-70684e567b1a.html https://chicago.cbslocal.com/2021/08/27/two-students-shot-outside-hammond-central-high-school-in-northwest-indiana/")</f>
        <v>https://www.nwitimes.com/news/local/crime-and-courts/judge-teen-charged-as-adult-in-school-shooting-must-be-held-at-juvenile-lockup-for/article_35e18498-d9ec-5870-b37e-31436776423c.html https://www.nwitimes.com/news/local/crime-and-courts/teen-charged-in-school-shooting-was-known-to-police-court-records-show/article_c0d2abcc-de50-5075-840c-7d932c154abd.html https://www.nwitimes.com/news/local/crime-and-courts/watch-now-1-in-custody-after-2-students-shot-at-hammond-central-high-school-officials/article_b78bfd75-8e8d-598c-b06e-70684e567b1a.html https://chicago.cbslocal.com/2021/08/27/two-students-shot-outside-hammond-central-high-school-in-northwest-indiana/</v>
      </c>
      <c r="L534" s="5">
        <f ca="1">IFERROR(__xludf.DUMMYFUNCTION("""COMPUTED_VALUE"""),5)</f>
        <v>5</v>
      </c>
      <c r="M534" s="5" t="str">
        <f ca="1">IFERROR(__xludf.DUMMYFUNCTION("""COMPUTED_VALUE"""),"Local")</f>
        <v>Local</v>
      </c>
      <c r="N534" s="5">
        <f ca="1">IFERROR(__xludf.DUMMYFUNCTION("""COMPUTED_VALUE"""),4)</f>
        <v>4</v>
      </c>
      <c r="O534" s="5" t="str">
        <f ca="1">IFERROR(__xludf.DUMMYFUNCTION("""COMPUTED_VALUE"""),"Fall")</f>
        <v>Fall</v>
      </c>
      <c r="P534" s="5" t="str">
        <f ca="1">IFERROR(__xludf.DUMMYFUNCTION("""COMPUTED_VALUE"""),"Hammond")</f>
        <v>Hammond</v>
      </c>
      <c r="Q534" s="5" t="str">
        <f ca="1">IFERROR(__xludf.DUMMYFUNCTION("""COMPUTED_VALUE"""),"IN")</f>
        <v>IN</v>
      </c>
      <c r="R534" s="5" t="str">
        <f ca="1">IFERROR(__xludf.DUMMYFUNCTION("""COMPUTED_VALUE"""),"High")</f>
        <v>High</v>
      </c>
      <c r="S534" s="5" t="str">
        <f ca="1">IFERROR(__xludf.DUMMYFUNCTION("""COMPUTED_VALUE"""),"Beside Building")</f>
        <v>Beside Building</v>
      </c>
      <c r="T534" s="5" t="str">
        <f ca="1">IFERROR(__xludf.DUMMYFUNCTION("""COMPUTED_VALUE"""),"Outside on School Property")</f>
        <v>Outside on School Property</v>
      </c>
      <c r="U534" s="5" t="str">
        <f ca="1">IFERROR(__xludf.DUMMYFUNCTION("""COMPUTED_VALUE"""),"Yes")</f>
        <v>Yes</v>
      </c>
      <c r="V534" s="5" t="str">
        <f ca="1">IFERROR(__xludf.DUMMYFUNCTION("""COMPUTED_VALUE"""),"Dismissal")</f>
        <v>Dismissal</v>
      </c>
      <c r="W534" s="10">
        <f ca="1">IFERROR(__xludf.DUMMYFUNCTION("""COMPUTED_VALUE"""),0.600694444444444)</f>
        <v>0.60069444444444398</v>
      </c>
      <c r="X534" s="5">
        <f ca="1">IFERROR(__xludf.DUMMYFUNCTION("""COMPUTED_VALUE"""),1)</f>
        <v>1</v>
      </c>
      <c r="Y534" s="5" t="str">
        <f ca="1">IFERROR(__xludf.DUMMYFUNCTION("""COMPUTED_VALUE"""),"Two student shot beside the school building")</f>
        <v>Two student shot beside the school building</v>
      </c>
      <c r="Z534" s="5" t="str">
        <f ca="1">IFERROR(__xludf.DUMMYFUNCTION("""COMPUTED_VALUE"""),"Teen student fired at a group of students next to the school building during dismissal. Shooter was not a student and was seen on CCTV footage waiting outside the school prior to the shooting. Shooter fled the scene and was arrested at 8pm (5.5 hours afte"&amp;"r). A bullet fired struck one student, passed through him and struck a second student. CCTV video recorded the incident and allowed police to identify the shooter. Police gang unit was aware of the identity of the shooter. Shooter had prior criminal histo"&amp;"ry and was known to police.")</f>
        <v>Teen student fired at a group of students next to the school building during dismissal. Shooter was not a student and was seen on CCTV footage waiting outside the school prior to the shooting. Shooter fled the scene and was arrested at 8pm (5.5 hours after). A bullet fired struck one student, passed through him and struck a second student. CCTV video recorded the incident and allowed police to identify the shooter. Police gang unit was aware of the identity of the shooter. Shooter had prior criminal history and was known to police.</v>
      </c>
      <c r="AA534" s="5" t="str">
        <f ca="1">IFERROR(__xludf.DUMMYFUNCTION("""COMPUTED_VALUE"""),"Illegal Activity")</f>
        <v>Illegal Activity</v>
      </c>
      <c r="AB534" s="5" t="str">
        <f ca="1">IFERROR(__xludf.DUMMYFUNCTION("""COMPUTED_VALUE"""),"Both")</f>
        <v>Both</v>
      </c>
      <c r="AC534" s="5" t="str">
        <f ca="1">IFERROR(__xludf.DUMMYFUNCTION("""COMPUTED_VALUE"""),"Yes")</f>
        <v>Yes</v>
      </c>
      <c r="AD534" s="5" t="str">
        <f ca="1">IFERROR(__xludf.DUMMYFUNCTION("""COMPUTED_VALUE"""),"No")</f>
        <v>No</v>
      </c>
      <c r="AE534" s="5" t="str">
        <f ca="1">IFERROR(__xludf.DUMMYFUNCTION("""COMPUTED_VALUE"""),"No")</f>
        <v>No</v>
      </c>
      <c r="AF534" s="5" t="str">
        <f ca="1">IFERROR(__xludf.DUMMYFUNCTION("""COMPUTED_VALUE"""),"No")</f>
        <v>No</v>
      </c>
      <c r="AG534" s="5" t="str">
        <f ca="1">IFERROR(__xludf.DUMMYFUNCTION("""COMPUTED_VALUE"""),"No")</f>
        <v>No</v>
      </c>
      <c r="AH534" s="5" t="str">
        <f ca="1">IFERROR(__xludf.DUMMYFUNCTION("""COMPUTED_VALUE"""),"No")</f>
        <v>No</v>
      </c>
      <c r="AI534" s="5" t="str">
        <f ca="1">IFERROR(__xludf.DUMMYFUNCTION("""COMPUTED_VALUE"""),"Yes")</f>
        <v>Yes</v>
      </c>
      <c r="AJ534" s="5" t="str">
        <f ca="1">IFERROR(__xludf.DUMMYFUNCTION("""COMPUTED_VALUE"""),"No")</f>
        <v>No</v>
      </c>
    </row>
    <row r="535" spans="1:36" ht="13">
      <c r="A535" s="5" t="str">
        <f ca="1">IFERROR(__xludf.DUMMYFUNCTION("""COMPUTED_VALUE"""),"20210827VAFRW")</f>
        <v>20210827VAFRW</v>
      </c>
      <c r="B535" s="5">
        <f ca="1">IFERROR(__xludf.DUMMYFUNCTION("""COMPUTED_VALUE"""),8)</f>
        <v>8</v>
      </c>
      <c r="C535" s="5">
        <f ca="1">IFERROR(__xludf.DUMMYFUNCTION("""COMPUTED_VALUE"""),27)</f>
        <v>27</v>
      </c>
      <c r="D535" s="5">
        <f ca="1">IFERROR(__xludf.DUMMYFUNCTION("""COMPUTED_VALUE"""),2021)</f>
        <v>2021</v>
      </c>
      <c r="E535" s="8">
        <f ca="1">IFERROR(__xludf.DUMMYFUNCTION("""COMPUTED_VALUE"""),44435)</f>
        <v>44435</v>
      </c>
      <c r="F535" s="5" t="str">
        <f ca="1">IFERROR(__xludf.DUMMYFUNCTION("""COMPUTED_VALUE"""),"Freedom High School")</f>
        <v>Freedom High School</v>
      </c>
      <c r="G535" s="5">
        <f ca="1">IFERROR(__xludf.DUMMYFUNCTION("""COMPUTED_VALUE"""),0)</f>
        <v>0</v>
      </c>
      <c r="H535" s="5">
        <f ca="1">IFERROR(__xludf.DUMMYFUNCTION("""COMPUTED_VALUE"""),2)</f>
        <v>2</v>
      </c>
      <c r="I535" s="5">
        <f ca="1">IFERROR(__xludf.DUMMYFUNCTION("""COMPUTED_VALUE"""),2)</f>
        <v>2</v>
      </c>
      <c r="J535" s="5">
        <f ca="1">IFERROR(__xludf.DUMMYFUNCTION("""COMPUTED_VALUE"""),0)</f>
        <v>0</v>
      </c>
      <c r="K535" s="5" t="str">
        <f ca="1">IFERROR(__xludf.DUMMYFUNCTION("""COMPUTED_VALUE"""),"https://www.wric.com/news/crime/woodbridge-teenager-arrested-in-nc-for-shooting-into-a-crowd-at-freedom-high-school/ https://www.nbcwashington.com/news/local/northern-virginia/17-year-old-charged-with-shooting-2-teens-after-high-school-football-game-in-vi"&amp;"rginia/2792728/ https://wtop.com/prince-william-county/2021/08/police-investigate-shooting-in-parking-lot-of-woodbridge-high-school-after-football-game/")</f>
        <v>https://www.wric.com/news/crime/woodbridge-teenager-arrested-in-nc-for-shooting-into-a-crowd-at-freedom-high-school/ https://www.nbcwashington.com/news/local/northern-virginia/17-year-old-charged-with-shooting-2-teens-after-high-school-football-game-in-virginia/2792728/ https://wtop.com/prince-william-county/2021/08/police-investigate-shooting-in-parking-lot-of-woodbridge-high-school-after-football-game/</v>
      </c>
      <c r="L535" s="5">
        <f ca="1">IFERROR(__xludf.DUMMYFUNCTION("""COMPUTED_VALUE"""),50)</f>
        <v>50</v>
      </c>
      <c r="M535" s="5" t="str">
        <f ca="1">IFERROR(__xludf.DUMMYFUNCTION("""COMPUTED_VALUE"""),"Regional")</f>
        <v>Regional</v>
      </c>
      <c r="N535" s="5">
        <f ca="1">IFERROR(__xludf.DUMMYFUNCTION("""COMPUTED_VALUE"""),4)</f>
        <v>4</v>
      </c>
      <c r="O535" s="5" t="str">
        <f ca="1">IFERROR(__xludf.DUMMYFUNCTION("""COMPUTED_VALUE"""),"Fall")</f>
        <v>Fall</v>
      </c>
      <c r="P535" s="5" t="str">
        <f ca="1">IFERROR(__xludf.DUMMYFUNCTION("""COMPUTED_VALUE"""),"Woodbridge")</f>
        <v>Woodbridge</v>
      </c>
      <c r="Q535" s="5" t="str">
        <f ca="1">IFERROR(__xludf.DUMMYFUNCTION("""COMPUTED_VALUE"""),"VA")</f>
        <v>VA</v>
      </c>
      <c r="R535" s="5" t="str">
        <f ca="1">IFERROR(__xludf.DUMMYFUNCTION("""COMPUTED_VALUE"""),"High")</f>
        <v>High</v>
      </c>
      <c r="S535" s="5" t="str">
        <f ca="1">IFERROR(__xludf.DUMMYFUNCTION("""COMPUTED_VALUE"""),"Parking Lot")</f>
        <v>Parking Lot</v>
      </c>
      <c r="T535" s="5" t="str">
        <f ca="1">IFERROR(__xludf.DUMMYFUNCTION("""COMPUTED_VALUE"""),"Outside on School Property")</f>
        <v>Outside on School Property</v>
      </c>
      <c r="U535" s="5" t="str">
        <f ca="1">IFERROR(__xludf.DUMMYFUNCTION("""COMPUTED_VALUE"""),"No")</f>
        <v>No</v>
      </c>
      <c r="V535" s="5" t="str">
        <f ca="1">IFERROR(__xludf.DUMMYFUNCTION("""COMPUTED_VALUE"""),"Sport Event")</f>
        <v>Sport Event</v>
      </c>
      <c r="W535" s="10">
        <f ca="1">IFERROR(__xludf.DUMMYFUNCTION("""COMPUTED_VALUE"""),0.881944444444444)</f>
        <v>0.88194444444444398</v>
      </c>
      <c r="X535" s="5">
        <f ca="1">IFERROR(__xludf.DUMMYFUNCTION("""COMPUTED_VALUE"""),1)</f>
        <v>1</v>
      </c>
      <c r="Y535" s="5" t="str">
        <f ca="1">IFERROR(__xludf.DUMMYFUNCTION("""COMPUTED_VALUE"""),"Teen fired shots into the crowd following football game")</f>
        <v>Teen fired shots into the crowd following football game</v>
      </c>
      <c r="Z535" s="5" t="str">
        <f ca="1">IFERROR(__xludf.DUMMYFUNCTION("""COMPUTED_VALUE"""),"17-year-old student was involved with fight between two groups of students in the parking lot as the football game ended. Shooter fired shots into the crowd striking two bystanders. A 15-year-old male student and 14-year-old female student were wounded. T"&amp;"he shooter fled the scene and was arrested in North Carolina with his family on vacation the following week.")</f>
        <v>17-year-old student was involved with fight between two groups of students in the parking lot as the football game ended. Shooter fired shots into the crowd striking two bystanders. A 15-year-old male student and 14-year-old female student were wounded. The shooter fled the scene and was arrested in North Carolina with his family on vacation the following week.</v>
      </c>
      <c r="AA535" s="5" t="str">
        <f ca="1">IFERROR(__xludf.DUMMYFUNCTION("""COMPUTED_VALUE"""),"Escalation of Dispute")</f>
        <v>Escalation of Dispute</v>
      </c>
      <c r="AB535" s="5" t="str">
        <f ca="1">IFERROR(__xludf.DUMMYFUNCTION("""COMPUTED_VALUE"""),"Both")</f>
        <v>Both</v>
      </c>
      <c r="AC535" s="5"/>
      <c r="AD535" s="5" t="str">
        <f ca="1">IFERROR(__xludf.DUMMYFUNCTION("""COMPUTED_VALUE"""),"No")</f>
        <v>No</v>
      </c>
      <c r="AE535" s="5" t="str">
        <f ca="1">IFERROR(__xludf.DUMMYFUNCTION("""COMPUTED_VALUE"""),"No")</f>
        <v>No</v>
      </c>
      <c r="AF535" s="5" t="str">
        <f ca="1">IFERROR(__xludf.DUMMYFUNCTION("""COMPUTED_VALUE"""),"No")</f>
        <v>No</v>
      </c>
      <c r="AG535" s="5" t="str">
        <f ca="1">IFERROR(__xludf.DUMMYFUNCTION("""COMPUTED_VALUE"""),"No")</f>
        <v>No</v>
      </c>
      <c r="AH535" s="5" t="str">
        <f ca="1">IFERROR(__xludf.DUMMYFUNCTION("""COMPUTED_VALUE"""),"No")</f>
        <v>No</v>
      </c>
      <c r="AI535" s="5" t="str">
        <f ca="1">IFERROR(__xludf.DUMMYFUNCTION("""COMPUTED_VALUE"""),"No")</f>
        <v>No</v>
      </c>
      <c r="AJ535" s="5" t="str">
        <f ca="1">IFERROR(__xludf.DUMMYFUNCTION("""COMPUTED_VALUE"""),"No")</f>
        <v>No</v>
      </c>
    </row>
    <row r="536" spans="1:36" ht="13">
      <c r="A536" s="5" t="str">
        <f ca="1">IFERROR(__xludf.DUMMYFUNCTION("""COMPUTED_VALUE"""),"20210827PAACS")</f>
        <v>20210827PAACS</v>
      </c>
      <c r="B536" s="5">
        <f ca="1">IFERROR(__xludf.DUMMYFUNCTION("""COMPUTED_VALUE"""),8)</f>
        <v>8</v>
      </c>
      <c r="C536" s="5">
        <f ca="1">IFERROR(__xludf.DUMMYFUNCTION("""COMPUTED_VALUE"""),27)</f>
        <v>27</v>
      </c>
      <c r="D536" s="5">
        <f ca="1">IFERROR(__xludf.DUMMYFUNCTION("""COMPUTED_VALUE"""),2021)</f>
        <v>2021</v>
      </c>
      <c r="E536" s="8">
        <f ca="1">IFERROR(__xludf.DUMMYFUNCTION("""COMPUTED_VALUE"""),44435)</f>
        <v>44435</v>
      </c>
      <c r="F536" s="5" t="str">
        <f ca="1">IFERROR(__xludf.DUMMYFUNCTION("""COMPUTED_VALUE"""),"Academy Park High School")</f>
        <v>Academy Park High School</v>
      </c>
      <c r="G536" s="5">
        <f ca="1">IFERROR(__xludf.DUMMYFUNCTION("""COMPUTED_VALUE"""),1)</f>
        <v>1</v>
      </c>
      <c r="H536" s="5">
        <f ca="1">IFERROR(__xludf.DUMMYFUNCTION("""COMPUTED_VALUE"""),4)</f>
        <v>4</v>
      </c>
      <c r="I536" s="5">
        <f ca="1">IFERROR(__xludf.DUMMYFUNCTION("""COMPUTED_VALUE"""),5)</f>
        <v>5</v>
      </c>
      <c r="J536" s="5">
        <f ca="1">IFERROR(__xludf.DUMMYFUNCTION("""COMPUTED_VALUE"""),0)</f>
        <v>0</v>
      </c>
      <c r="K536" s="5" t="str">
        <f ca="1">IFERROR(__xludf.DUMMYFUNCTION("""COMPUTED_VALUE"""),"https://www.nbcphiladelphia.com/news/local/2-charged-in-gunfire-outside-high-school-football-game-that-killed-little-girl/3042762/ https://abc7chicago.com/academy-park-high-school-shooting-fanta-bility-pa-pennsylvania/10988723/ https://6abc.com/fanta-bili"&amp;"ty-shooting-academy-park-high-school-football-sharon-hill-police-officers-district-attorney-jack-stollsteimer/11053543/ https://www.bgdailynews.com/news/national/prosecutor-police-shots-hit-4-outside-game-killing-girl-8/article_e5fff831-e588-5b34-b421-091"&amp;"1a1ad85d5.html")</f>
        <v>https://www.nbcphiladelphia.com/news/local/2-charged-in-gunfire-outside-high-school-football-game-that-killed-little-girl/3042762/ https://abc7chicago.com/academy-park-high-school-shooting-fanta-bility-pa-pennsylvania/10988723/ https://6abc.com/fanta-bility-shooting-academy-park-high-school-football-sharon-hill-police-officers-district-attorney-jack-stollsteimer/11053543/ https://www.bgdailynews.com/news/national/prosecutor-police-shots-hit-4-outside-game-killing-girl-8/article_e5fff831-e588-5b34-b421-0911a1ad85d5.html</v>
      </c>
      <c r="L536" s="5">
        <f ca="1">IFERROR(__xludf.DUMMYFUNCTION("""COMPUTED_VALUE"""),100)</f>
        <v>100</v>
      </c>
      <c r="M536" s="5" t="str">
        <f ca="1">IFERROR(__xludf.DUMMYFUNCTION("""COMPUTED_VALUE"""),"National")</f>
        <v>National</v>
      </c>
      <c r="N536" s="5">
        <f ca="1">IFERROR(__xludf.DUMMYFUNCTION("""COMPUTED_VALUE"""),4)</f>
        <v>4</v>
      </c>
      <c r="O536" s="5" t="str">
        <f ca="1">IFERROR(__xludf.DUMMYFUNCTION("""COMPUTED_VALUE"""),"Fall")</f>
        <v>Fall</v>
      </c>
      <c r="P536" s="5" t="str">
        <f ca="1">IFERROR(__xludf.DUMMYFUNCTION("""COMPUTED_VALUE"""),"Sharon Hill")</f>
        <v>Sharon Hill</v>
      </c>
      <c r="Q536" s="5" t="str">
        <f ca="1">IFERROR(__xludf.DUMMYFUNCTION("""COMPUTED_VALUE"""),"PA")</f>
        <v>PA</v>
      </c>
      <c r="R536" s="5" t="str">
        <f ca="1">IFERROR(__xludf.DUMMYFUNCTION("""COMPUTED_VALUE"""),"High")</f>
        <v>High</v>
      </c>
      <c r="S536" s="5" t="str">
        <f ca="1">IFERROR(__xludf.DUMMYFUNCTION("""COMPUTED_VALUE"""),"Football Field/Track")</f>
        <v>Football Field/Track</v>
      </c>
      <c r="T536" s="5" t="str">
        <f ca="1">IFERROR(__xludf.DUMMYFUNCTION("""COMPUTED_VALUE"""),"Outside on School Property")</f>
        <v>Outside on School Property</v>
      </c>
      <c r="U536" s="5" t="str">
        <f ca="1">IFERROR(__xludf.DUMMYFUNCTION("""COMPUTED_VALUE"""),"No")</f>
        <v>No</v>
      </c>
      <c r="V536" s="5" t="str">
        <f ca="1">IFERROR(__xludf.DUMMYFUNCTION("""COMPUTED_VALUE"""),"Sport Event")</f>
        <v>Sport Event</v>
      </c>
      <c r="W536" s="10">
        <f ca="1">IFERROR(__xludf.DUMMYFUNCTION("""COMPUTED_VALUE"""),0.875)</f>
        <v>0.875</v>
      </c>
      <c r="X536" s="5">
        <f ca="1">IFERROR(__xludf.DUMMYFUNCTION("""COMPUTED_VALUE"""),1)</f>
        <v>1</v>
      </c>
      <c r="Y536" s="5" t="str">
        <f ca="1">IFERROR(__xludf.DUMMYFUNCTION("""COMPUTED_VALUE"""),"Three officers fired into crowd following football game")</f>
        <v>Three officers fired into crowd following football game</v>
      </c>
      <c r="Z536" s="5" t="str">
        <f ca="1">IFERROR(__xludf.DUMMYFUNCTION("""COMPUTED_VALUE"""),"Two teens, 16 and 18, fired shots at each other near the exit to the football field. One bystander was struck in the crossfire. Three police officers responded to the shots by firing multiple shots into the crowd that was exiting the football game. Shots "&amp;"were fired a block away from the stadium just prior to the officers' firing and a fight also occurred between multiple young males nearby. An 8-year-old female was fatally shot. 2 juveniles and 2 unidentified persons were wounded. Initial ballistics analy"&amp;"sis showed 4 of the 5 victims were struck by shots fire by the officers. Area was searched and no other weapons were recovered.")</f>
        <v>Two teens, 16 and 18, fired shots at each other near the exit to the football field. One bystander was struck in the crossfire. Three police officers responded to the shots by firing multiple shots into the crowd that was exiting the football game. Shots were fired a block away from the stadium just prior to the officers' firing and a fight also occurred between multiple young males nearby. An 8-year-old female was fatally shot. 2 juveniles and 2 unidentified persons were wounded. Initial ballistics analysis showed 4 of the 5 victims were struck by shots fire by the officers. Area was searched and no other weapons were recovered.</v>
      </c>
      <c r="AA536" s="5" t="str">
        <f ca="1">IFERROR(__xludf.DUMMYFUNCTION("""COMPUTED_VALUE"""),"Escalation of Dispute")</f>
        <v>Escalation of Dispute</v>
      </c>
      <c r="AB536" s="5" t="str">
        <f ca="1">IFERROR(__xludf.DUMMYFUNCTION("""COMPUTED_VALUE"""),"Random Shooting")</f>
        <v>Random Shooting</v>
      </c>
      <c r="AC536" s="5"/>
      <c r="AD536" s="5" t="str">
        <f ca="1">IFERROR(__xludf.DUMMYFUNCTION("""COMPUTED_VALUE"""),"No")</f>
        <v>No</v>
      </c>
      <c r="AE536" s="5" t="str">
        <f ca="1">IFERROR(__xludf.DUMMYFUNCTION("""COMPUTED_VALUE"""),"No")</f>
        <v>No</v>
      </c>
      <c r="AF536" s="5" t="str">
        <f ca="1">IFERROR(__xludf.DUMMYFUNCTION("""COMPUTED_VALUE"""),"Yes")</f>
        <v>Yes</v>
      </c>
      <c r="AG536" s="5" t="str">
        <f ca="1">IFERROR(__xludf.DUMMYFUNCTION("""COMPUTED_VALUE"""),"No")</f>
        <v>No</v>
      </c>
      <c r="AH536" s="5" t="str">
        <f ca="1">IFERROR(__xludf.DUMMYFUNCTION("""COMPUTED_VALUE"""),"No")</f>
        <v>No</v>
      </c>
      <c r="AI536" s="5" t="str">
        <f ca="1">IFERROR(__xludf.DUMMYFUNCTION("""COMPUTED_VALUE"""),"No")</f>
        <v>No</v>
      </c>
      <c r="AJ536" s="5" t="str">
        <f ca="1">IFERROR(__xludf.DUMMYFUNCTION("""COMPUTED_VALUE"""),"No")</f>
        <v>No</v>
      </c>
    </row>
    <row r="537" spans="1:36" ht="13">
      <c r="A537" s="5" t="str">
        <f ca="1">IFERROR(__xludf.DUMMYFUNCTION("""COMPUTED_VALUE"""),"20210827KYAPO")</f>
        <v>20210827KYAPO</v>
      </c>
      <c r="B537" s="5">
        <f ca="1">IFERROR(__xludf.DUMMYFUNCTION("""COMPUTED_VALUE"""),8)</f>
        <v>8</v>
      </c>
      <c r="C537" s="5">
        <f ca="1">IFERROR(__xludf.DUMMYFUNCTION("""COMPUTED_VALUE"""),27)</f>
        <v>27</v>
      </c>
      <c r="D537" s="5">
        <f ca="1">IFERROR(__xludf.DUMMYFUNCTION("""COMPUTED_VALUE"""),2021)</f>
        <v>2021</v>
      </c>
      <c r="E537" s="8">
        <f ca="1">IFERROR(__xludf.DUMMYFUNCTION("""COMPUTED_VALUE"""),44435)</f>
        <v>44435</v>
      </c>
      <c r="F537" s="5" t="str">
        <f ca="1">IFERROR(__xludf.DUMMYFUNCTION("""COMPUTED_VALUE"""),"Apollo High School")</f>
        <v>Apollo High School</v>
      </c>
      <c r="G537" s="5">
        <f ca="1">IFERROR(__xludf.DUMMYFUNCTION("""COMPUTED_VALUE"""),0)</f>
        <v>0</v>
      </c>
      <c r="H537" s="5">
        <f ca="1">IFERROR(__xludf.DUMMYFUNCTION("""COMPUTED_VALUE"""),1)</f>
        <v>1</v>
      </c>
      <c r="I537" s="5">
        <f ca="1">IFERROR(__xludf.DUMMYFUNCTION("""COMPUTED_VALUE"""),1)</f>
        <v>1</v>
      </c>
      <c r="J537" s="5">
        <f ca="1">IFERROR(__xludf.DUMMYFUNCTION("""COMPUTED_VALUE"""),0)</f>
        <v>0</v>
      </c>
      <c r="K537" s="5" t="str">
        <f ca="1">IFERROR(__xludf.DUMMYFUNCTION("""COMPUTED_VALUE"""),"https://www.facebook.com/DaviessCountyPublicSchools/posts/3094849274081755 https://www.14news.com/2021/08/28/dcso-1-person-shot-following-altercation-apollo-high-school-parking-lot/")</f>
        <v>https://www.facebook.com/DaviessCountyPublicSchools/posts/3094849274081755 https://www.14news.com/2021/08/28/dcso-1-person-shot-following-altercation-apollo-high-school-parking-lot/</v>
      </c>
      <c r="L537" s="5">
        <f ca="1">IFERROR(__xludf.DUMMYFUNCTION("""COMPUTED_VALUE"""),1)</f>
        <v>1</v>
      </c>
      <c r="M537" s="5" t="str">
        <f ca="1">IFERROR(__xludf.DUMMYFUNCTION("""COMPUTED_VALUE"""),"Local")</f>
        <v>Local</v>
      </c>
      <c r="N537" s="5">
        <f ca="1">IFERROR(__xludf.DUMMYFUNCTION("""COMPUTED_VALUE"""),4)</f>
        <v>4</v>
      </c>
      <c r="O537" s="5" t="str">
        <f ca="1">IFERROR(__xludf.DUMMYFUNCTION("""COMPUTED_VALUE"""),"Fall")</f>
        <v>Fall</v>
      </c>
      <c r="P537" s="5" t="str">
        <f ca="1">IFERROR(__xludf.DUMMYFUNCTION("""COMPUTED_VALUE"""),"Owensboro")</f>
        <v>Owensboro</v>
      </c>
      <c r="Q537" s="5" t="str">
        <f ca="1">IFERROR(__xludf.DUMMYFUNCTION("""COMPUTED_VALUE"""),"KY")</f>
        <v>KY</v>
      </c>
      <c r="R537" s="5" t="str">
        <f ca="1">IFERROR(__xludf.DUMMYFUNCTION("""COMPUTED_VALUE"""),"High")</f>
        <v>High</v>
      </c>
      <c r="S537" s="5" t="str">
        <f ca="1">IFERROR(__xludf.DUMMYFUNCTION("""COMPUTED_VALUE"""),"Parking Lot")</f>
        <v>Parking Lot</v>
      </c>
      <c r="T537" s="5" t="str">
        <f ca="1">IFERROR(__xludf.DUMMYFUNCTION("""COMPUTED_VALUE"""),"Outside on School Property")</f>
        <v>Outside on School Property</v>
      </c>
      <c r="U537" s="5" t="str">
        <f ca="1">IFERROR(__xludf.DUMMYFUNCTION("""COMPUTED_VALUE"""),"No")</f>
        <v>No</v>
      </c>
      <c r="V537" s="5" t="str">
        <f ca="1">IFERROR(__xludf.DUMMYFUNCTION("""COMPUTED_VALUE"""),"Sport Event")</f>
        <v>Sport Event</v>
      </c>
      <c r="W537" s="10">
        <f ca="1">IFERROR(__xludf.DUMMYFUNCTION("""COMPUTED_VALUE"""),0.902777777777777)</f>
        <v>0.90277777777777701</v>
      </c>
      <c r="X537" s="5">
        <f ca="1">IFERROR(__xludf.DUMMYFUNCTION("""COMPUTED_VALUE"""),1)</f>
        <v>1</v>
      </c>
      <c r="Y537" s="5" t="str">
        <f ca="1">IFERROR(__xludf.DUMMYFUNCTION("""COMPUTED_VALUE"""),"Man shot during fight following football game")</f>
        <v>Man shot during fight following football game</v>
      </c>
      <c r="Z537" s="5" t="str">
        <f ca="1">IFERROR(__xludf.DUMMYFUNCTION("""COMPUTED_VALUE"""),"An adult male was shot in the parking lot during a fight between four nonstudents who were attending a high school football game. Police were assigned to the school and quickly took the shooter into custody. Police said the shooting was unintentional.")</f>
        <v>An adult male was shot in the parking lot during a fight between four nonstudents who were attending a high school football game. Police were assigned to the school and quickly took the shooter into custody. Police said the shooting was unintentional.</v>
      </c>
      <c r="AA537" s="5" t="str">
        <f ca="1">IFERROR(__xludf.DUMMYFUNCTION("""COMPUTED_VALUE"""),"Escalation of Dispute")</f>
        <v>Escalation of Dispute</v>
      </c>
      <c r="AB537" s="5" t="str">
        <f ca="1">IFERROR(__xludf.DUMMYFUNCTION("""COMPUTED_VALUE"""),"Victims Targeted")</f>
        <v>Victims Targeted</v>
      </c>
      <c r="AC537" s="5" t="str">
        <f ca="1">IFERROR(__xludf.DUMMYFUNCTION("""COMPUTED_VALUE"""),"No")</f>
        <v>No</v>
      </c>
      <c r="AD537" s="5" t="str">
        <f ca="1">IFERROR(__xludf.DUMMYFUNCTION("""COMPUTED_VALUE"""),"No")</f>
        <v>No</v>
      </c>
      <c r="AE537" s="5" t="str">
        <f ca="1">IFERROR(__xludf.DUMMYFUNCTION("""COMPUTED_VALUE"""),"No")</f>
        <v>No</v>
      </c>
      <c r="AF537" s="5" t="str">
        <f ca="1">IFERROR(__xludf.DUMMYFUNCTION("""COMPUTED_VALUE"""),"No")</f>
        <v>No</v>
      </c>
      <c r="AG537" s="5" t="str">
        <f ca="1">IFERROR(__xludf.DUMMYFUNCTION("""COMPUTED_VALUE"""),"No")</f>
        <v>No</v>
      </c>
      <c r="AH537" s="5" t="str">
        <f ca="1">IFERROR(__xludf.DUMMYFUNCTION("""COMPUTED_VALUE"""),"No")</f>
        <v>No</v>
      </c>
      <c r="AI537" s="5" t="str">
        <f ca="1">IFERROR(__xludf.DUMMYFUNCTION("""COMPUTED_VALUE"""),"No")</f>
        <v>No</v>
      </c>
      <c r="AJ537" s="5" t="str">
        <f ca="1">IFERROR(__xludf.DUMMYFUNCTION("""COMPUTED_VALUE"""),"No")</f>
        <v>No</v>
      </c>
    </row>
    <row r="538" spans="1:36" ht="13">
      <c r="A538" s="5" t="str">
        <f ca="1">IFERROR(__xludf.DUMMYFUNCTION("""COMPUTED_VALUE"""),"20210826WAAKS")</f>
        <v>20210826WAAKS</v>
      </c>
      <c r="B538" s="5">
        <f ca="1">IFERROR(__xludf.DUMMYFUNCTION("""COMPUTED_VALUE"""),8)</f>
        <v>8</v>
      </c>
      <c r="C538" s="5">
        <f ca="1">IFERROR(__xludf.DUMMYFUNCTION("""COMPUTED_VALUE"""),26)</f>
        <v>26</v>
      </c>
      <c r="D538" s="5">
        <f ca="1">IFERROR(__xludf.DUMMYFUNCTION("""COMPUTED_VALUE"""),2021)</f>
        <v>2021</v>
      </c>
      <c r="E538" s="8">
        <f ca="1">IFERROR(__xludf.DUMMYFUNCTION("""COMPUTED_VALUE"""),44434)</f>
        <v>44434</v>
      </c>
      <c r="F538" s="5" t="str">
        <f ca="1">IFERROR(__xludf.DUMMYFUNCTION("""COMPUTED_VALUE"""),"Aki Kurose Middle School")</f>
        <v>Aki Kurose Middle School</v>
      </c>
      <c r="G538" s="5">
        <f ca="1">IFERROR(__xludf.DUMMYFUNCTION("""COMPUTED_VALUE"""),0)</f>
        <v>0</v>
      </c>
      <c r="H538" s="5">
        <f ca="1">IFERROR(__xludf.DUMMYFUNCTION("""COMPUTED_VALUE"""),0)</f>
        <v>0</v>
      </c>
      <c r="I538" s="5">
        <f ca="1">IFERROR(__xludf.DUMMYFUNCTION("""COMPUTED_VALUE"""),0)</f>
        <v>0</v>
      </c>
      <c r="J538" s="5">
        <f ca="1">IFERROR(__xludf.DUMMYFUNCTION("""COMPUTED_VALUE"""),0)</f>
        <v>0</v>
      </c>
      <c r="K538" s="9" t="str">
        <f ca="1">IFERROR(__xludf.DUMMYFUNCTION("""COMPUTED_VALUE"""),"https://www.seattletimes.com/seattle-news/crime/14-year-old-in-critical-condition-teen-in-custody-after-gunfire-erupts-outside-seattle-middle-school/")</f>
        <v>https://www.seattletimes.com/seattle-news/crime/14-year-old-in-critical-condition-teen-in-custody-after-gunfire-erupts-outside-seattle-middle-school/</v>
      </c>
      <c r="L538" s="5">
        <f ca="1">IFERROR(__xludf.DUMMYFUNCTION("""COMPUTED_VALUE"""),1)</f>
        <v>1</v>
      </c>
      <c r="M538" s="5" t="str">
        <f ca="1">IFERROR(__xludf.DUMMYFUNCTION("""COMPUTED_VALUE"""),"Local")</f>
        <v>Local</v>
      </c>
      <c r="N538" s="5">
        <f ca="1">IFERROR(__xludf.DUMMYFUNCTION("""COMPUTED_VALUE"""),4)</f>
        <v>4</v>
      </c>
      <c r="O538" s="5" t="str">
        <f ca="1">IFERROR(__xludf.DUMMYFUNCTION("""COMPUTED_VALUE"""),"Fall")</f>
        <v>Fall</v>
      </c>
      <c r="P538" s="5" t="str">
        <f ca="1">IFERROR(__xludf.DUMMYFUNCTION("""COMPUTED_VALUE"""),"Seattle")</f>
        <v>Seattle</v>
      </c>
      <c r="Q538" s="5" t="str">
        <f ca="1">IFERROR(__xludf.DUMMYFUNCTION("""COMPUTED_VALUE"""),"WA")</f>
        <v>WA</v>
      </c>
      <c r="R538" s="5" t="str">
        <f ca="1">IFERROR(__xludf.DUMMYFUNCTION("""COMPUTED_VALUE"""),"Middle")</f>
        <v>Middle</v>
      </c>
      <c r="S538" s="5" t="str">
        <f ca="1">IFERROR(__xludf.DUMMYFUNCTION("""COMPUTED_VALUE"""),"Front of School")</f>
        <v>Front of School</v>
      </c>
      <c r="T538" s="5" t="str">
        <f ca="1">IFERROR(__xludf.DUMMYFUNCTION("""COMPUTED_VALUE"""),"Outside on School Property")</f>
        <v>Outside on School Property</v>
      </c>
      <c r="U538" s="5" t="str">
        <f ca="1">IFERROR(__xludf.DUMMYFUNCTION("""COMPUTED_VALUE"""),"No")</f>
        <v>No</v>
      </c>
      <c r="V538" s="5" t="str">
        <f ca="1">IFERROR(__xludf.DUMMYFUNCTION("""COMPUTED_VALUE"""),"Evening")</f>
        <v>Evening</v>
      </c>
      <c r="W538" s="10">
        <f ca="1">IFERROR(__xludf.DUMMYFUNCTION("""COMPUTED_VALUE"""),0.770833333333333)</f>
        <v>0.77083333333333304</v>
      </c>
      <c r="X538" s="5">
        <f ca="1">IFERROR(__xludf.DUMMYFUNCTION("""COMPUTED_VALUE"""),1)</f>
        <v>1</v>
      </c>
      <c r="Y538" s="5" t="str">
        <f ca="1">IFERROR(__xludf.DUMMYFUNCTION("""COMPUTED_VALUE"""),"Teen was sitting on front steps of school when he was shot multiple times by another teen")</f>
        <v>Teen was sitting on front steps of school when he was shot multiple times by another teen</v>
      </c>
      <c r="Z538" s="5" t="str">
        <f ca="1">IFERROR(__xludf.DUMMYFUNCTION("""COMPUTED_VALUE"""),"A 17-year-old teen was sitting on the front steps of the school when he was shot multiple times by a 14-year-old teen. The 17-year-old shot back at the 14-year-old who fled the area. The 17-year-old was critically injured and found by police outside the s"&amp;"chool.")</f>
        <v>A 17-year-old teen was sitting on the front steps of the school when he was shot multiple times by a 14-year-old teen. The 17-year-old shot back at the 14-year-old who fled the area. The 17-year-old was critically injured and found by police outside the school.</v>
      </c>
      <c r="AA538" s="5"/>
      <c r="AB538" s="5" t="str">
        <f ca="1">IFERROR(__xludf.DUMMYFUNCTION("""COMPUTED_VALUE"""),"Victims Targeted")</f>
        <v>Victims Targeted</v>
      </c>
      <c r="AC538" s="5" t="str">
        <f ca="1">IFERROR(__xludf.DUMMYFUNCTION("""COMPUTED_VALUE"""),"No")</f>
        <v>No</v>
      </c>
      <c r="AD538" s="5" t="str">
        <f ca="1">IFERROR(__xludf.DUMMYFUNCTION("""COMPUTED_VALUE"""),"No")</f>
        <v>No</v>
      </c>
      <c r="AE538" s="5" t="str">
        <f ca="1">IFERROR(__xludf.DUMMYFUNCTION("""COMPUTED_VALUE"""),"No")</f>
        <v>No</v>
      </c>
      <c r="AF538" s="5" t="str">
        <f ca="1">IFERROR(__xludf.DUMMYFUNCTION("""COMPUTED_VALUE"""),"No")</f>
        <v>No</v>
      </c>
      <c r="AG538" s="5" t="str">
        <f ca="1">IFERROR(__xludf.DUMMYFUNCTION("""COMPUTED_VALUE"""),"No")</f>
        <v>No</v>
      </c>
      <c r="AH538" s="5" t="str">
        <f ca="1">IFERROR(__xludf.DUMMYFUNCTION("""COMPUTED_VALUE"""),"No")</f>
        <v>No</v>
      </c>
      <c r="AI538" s="5" t="str">
        <f ca="1">IFERROR(__xludf.DUMMYFUNCTION("""COMPUTED_VALUE"""),"No")</f>
        <v>No</v>
      </c>
      <c r="AJ538" s="5" t="str">
        <f ca="1">IFERROR(__xludf.DUMMYFUNCTION("""COMPUTED_VALUE"""),"No")</f>
        <v>No</v>
      </c>
    </row>
    <row r="539" spans="1:36" ht="13">
      <c r="A539" s="5" t="str">
        <f ca="1">IFERROR(__xludf.DUMMYFUNCTION("""COMPUTED_VALUE"""),"20210826NYHAH")</f>
        <v>20210826NYHAH</v>
      </c>
      <c r="B539" s="5">
        <f ca="1">IFERROR(__xludf.DUMMYFUNCTION("""COMPUTED_VALUE"""),8)</f>
        <v>8</v>
      </c>
      <c r="C539" s="5">
        <f ca="1">IFERROR(__xludf.DUMMYFUNCTION("""COMPUTED_VALUE"""),26)</f>
        <v>26</v>
      </c>
      <c r="D539" s="5">
        <f ca="1">IFERROR(__xludf.DUMMYFUNCTION("""COMPUTED_VALUE"""),2021)</f>
        <v>2021</v>
      </c>
      <c r="E539" s="8">
        <f ca="1">IFERROR(__xludf.DUMMYFUNCTION("""COMPUTED_VALUE"""),44434)</f>
        <v>44434</v>
      </c>
      <c r="F539" s="5" t="str">
        <f ca="1">IFERROR(__xludf.DUMMYFUNCTION("""COMPUTED_VALUE"""),"Hauppauge Middle School")</f>
        <v>Hauppauge Middle School</v>
      </c>
      <c r="G539" s="5">
        <f ca="1">IFERROR(__xludf.DUMMYFUNCTION("""COMPUTED_VALUE"""),0)</f>
        <v>0</v>
      </c>
      <c r="H539" s="5">
        <f ca="1">IFERROR(__xludf.DUMMYFUNCTION("""COMPUTED_VALUE"""),0)</f>
        <v>0</v>
      </c>
      <c r="I539" s="5">
        <f ca="1">IFERROR(__xludf.DUMMYFUNCTION("""COMPUTED_VALUE"""),0)</f>
        <v>0</v>
      </c>
      <c r="J539" s="5">
        <f ca="1">IFERROR(__xludf.DUMMYFUNCTION("""COMPUTED_VALUE"""),0)</f>
        <v>0</v>
      </c>
      <c r="K539" s="9" t="str">
        <f ca="1">IFERROR(__xludf.DUMMYFUNCTION("""COMPUTED_VALUE"""),"https://bronx.news12.com/police-suspect-arrested-for-firing-shots-during-dispute-on-grounds-of-hauppauge-middle-school")</f>
        <v>https://bronx.news12.com/police-suspect-arrested-for-firing-shots-during-dispute-on-grounds-of-hauppauge-middle-school</v>
      </c>
      <c r="L539" s="5">
        <f ca="1">IFERROR(__xludf.DUMMYFUNCTION("""COMPUTED_VALUE"""),1)</f>
        <v>1</v>
      </c>
      <c r="M539" s="5" t="str">
        <f ca="1">IFERROR(__xludf.DUMMYFUNCTION("""COMPUTED_VALUE"""),"Local")</f>
        <v>Local</v>
      </c>
      <c r="N539" s="5">
        <f ca="1">IFERROR(__xludf.DUMMYFUNCTION("""COMPUTED_VALUE"""),3)</f>
        <v>3</v>
      </c>
      <c r="O539" s="5" t="str">
        <f ca="1">IFERROR(__xludf.DUMMYFUNCTION("""COMPUTED_VALUE"""),"Fall")</f>
        <v>Fall</v>
      </c>
      <c r="P539" s="5" t="str">
        <f ca="1">IFERROR(__xludf.DUMMYFUNCTION("""COMPUTED_VALUE"""),"Hauppauge")</f>
        <v>Hauppauge</v>
      </c>
      <c r="Q539" s="5" t="str">
        <f ca="1">IFERROR(__xludf.DUMMYFUNCTION("""COMPUTED_VALUE"""),"NY")</f>
        <v>NY</v>
      </c>
      <c r="R539" s="5" t="str">
        <f ca="1">IFERROR(__xludf.DUMMYFUNCTION("""COMPUTED_VALUE"""),"Middle")</f>
        <v>Middle</v>
      </c>
      <c r="S539" s="5" t="str">
        <f ca="1">IFERROR(__xludf.DUMMYFUNCTION("""COMPUTED_VALUE"""),"Beside Building")</f>
        <v>Beside Building</v>
      </c>
      <c r="T539" s="5" t="str">
        <f ca="1">IFERROR(__xludf.DUMMYFUNCTION("""COMPUTED_VALUE"""),"Outside on School Property")</f>
        <v>Outside on School Property</v>
      </c>
      <c r="U539" s="5" t="str">
        <f ca="1">IFERROR(__xludf.DUMMYFUNCTION("""COMPUTED_VALUE"""),"Yes")</f>
        <v>Yes</v>
      </c>
      <c r="V539" s="5" t="str">
        <f ca="1">IFERROR(__xludf.DUMMYFUNCTION("""COMPUTED_VALUE"""),"Morning Classes")</f>
        <v>Morning Classes</v>
      </c>
      <c r="W539" s="10">
        <f ca="1">IFERROR(__xludf.DUMMYFUNCTION("""COMPUTED_VALUE"""),0.489583333333333)</f>
        <v>0.48958333333333298</v>
      </c>
      <c r="X539" s="5">
        <f ca="1">IFERROR(__xludf.DUMMYFUNCTION("""COMPUTED_VALUE"""),1)</f>
        <v>1</v>
      </c>
      <c r="Y539" s="5" t="str">
        <f ca="1">IFERROR(__xludf.DUMMYFUNCTION("""COMPUTED_VALUE"""),"Man fired shots during dispute, then fired at security officer")</f>
        <v>Man fired shots during dispute, then fired at security officer</v>
      </c>
      <c r="Z539" s="5" t="str">
        <f ca="1">IFERROR(__xludf.DUMMYFUNCTION("""COMPUTED_VALUE"""),"A man fired shots during a dispute outside the school. The school security officer heard shots and approached the man. He fired shots at the officer and fled. Police located the man and arrested him a short distance from the school.")</f>
        <v>A man fired shots during a dispute outside the school. The school security officer heard shots and approached the man. He fired shots at the officer and fled. Police located the man and arrested him a short distance from the school.</v>
      </c>
      <c r="AA539" s="5" t="str">
        <f ca="1">IFERROR(__xludf.DUMMYFUNCTION("""COMPUTED_VALUE"""),"Escalation of Dispute")</f>
        <v>Escalation of Dispute</v>
      </c>
      <c r="AB539" s="5" t="str">
        <f ca="1">IFERROR(__xludf.DUMMYFUNCTION("""COMPUTED_VALUE"""),"Both")</f>
        <v>Both</v>
      </c>
      <c r="AC539" s="5" t="str">
        <f ca="1">IFERROR(__xludf.DUMMYFUNCTION("""COMPUTED_VALUE"""),"No")</f>
        <v>No</v>
      </c>
      <c r="AD539" s="5" t="str">
        <f ca="1">IFERROR(__xludf.DUMMYFUNCTION("""COMPUTED_VALUE"""),"No")</f>
        <v>No</v>
      </c>
      <c r="AE539" s="5" t="str">
        <f ca="1">IFERROR(__xludf.DUMMYFUNCTION("""COMPUTED_VALUE"""),"No")</f>
        <v>No</v>
      </c>
      <c r="AF539" s="5" t="str">
        <f ca="1">IFERROR(__xludf.DUMMYFUNCTION("""COMPUTED_VALUE"""),"No")</f>
        <v>No</v>
      </c>
      <c r="AG539" s="5" t="str">
        <f ca="1">IFERROR(__xludf.DUMMYFUNCTION("""COMPUTED_VALUE"""),"No")</f>
        <v>No</v>
      </c>
      <c r="AH539" s="5" t="str">
        <f ca="1">IFERROR(__xludf.DUMMYFUNCTION("""COMPUTED_VALUE"""),"No")</f>
        <v>No</v>
      </c>
      <c r="AI539" s="5" t="str">
        <f ca="1">IFERROR(__xludf.DUMMYFUNCTION("""COMPUTED_VALUE"""),"No")</f>
        <v>No</v>
      </c>
      <c r="AJ539" s="5" t="str">
        <f ca="1">IFERROR(__xludf.DUMMYFUNCTION("""COMPUTED_VALUE"""),"No")</f>
        <v>No</v>
      </c>
    </row>
    <row r="540" spans="1:36" ht="13">
      <c r="A540" s="5" t="str">
        <f ca="1">IFERROR(__xludf.DUMMYFUNCTION("""COMPUTED_VALUE"""),"20210826OHNOT")</f>
        <v>20210826OHNOT</v>
      </c>
      <c r="B540" s="5">
        <f ca="1">IFERROR(__xludf.DUMMYFUNCTION("""COMPUTED_VALUE"""),8)</f>
        <v>8</v>
      </c>
      <c r="C540" s="5">
        <f ca="1">IFERROR(__xludf.DUMMYFUNCTION("""COMPUTED_VALUE"""),26)</f>
        <v>26</v>
      </c>
      <c r="D540" s="5">
        <f ca="1">IFERROR(__xludf.DUMMYFUNCTION("""COMPUTED_VALUE"""),2021)</f>
        <v>2021</v>
      </c>
      <c r="E540" s="8">
        <f ca="1">IFERROR(__xludf.DUMMYFUNCTION("""COMPUTED_VALUE"""),44434)</f>
        <v>44434</v>
      </c>
      <c r="F540" s="5" t="str">
        <f ca="1">IFERROR(__xludf.DUMMYFUNCTION("""COMPUTED_VALUE"""),"Northpointe Academy Elementary School")</f>
        <v>Northpointe Academy Elementary School</v>
      </c>
      <c r="G540" s="5">
        <f ca="1">IFERROR(__xludf.DUMMYFUNCTION("""COMPUTED_VALUE"""),0)</f>
        <v>0</v>
      </c>
      <c r="H540" s="5">
        <f ca="1">IFERROR(__xludf.DUMMYFUNCTION("""COMPUTED_VALUE"""),0)</f>
        <v>0</v>
      </c>
      <c r="I540" s="5">
        <f ca="1">IFERROR(__xludf.DUMMYFUNCTION("""COMPUTED_VALUE"""),0)</f>
        <v>0</v>
      </c>
      <c r="J540" s="5">
        <f ca="1">IFERROR(__xludf.DUMMYFUNCTION("""COMPUTED_VALUE"""),0)</f>
        <v>0</v>
      </c>
      <c r="K540" s="9" t="str">
        <f ca="1">IFERROR(__xludf.DUMMYFUNCTION("""COMPUTED_VALUE"""),"https://www.wtol.com/article/news/local/fight-shots-fired-during-youth-football-game-at-northpointe-academy-elementary/512-86c1c571-4188-43c4-898e-3930ac7721aa")</f>
        <v>https://www.wtol.com/article/news/local/fight-shots-fired-during-youth-football-game-at-northpointe-academy-elementary/512-86c1c571-4188-43c4-898e-3930ac7721aa</v>
      </c>
      <c r="L540" s="5">
        <f ca="1">IFERROR(__xludf.DUMMYFUNCTION("""COMPUTED_VALUE"""),1)</f>
        <v>1</v>
      </c>
      <c r="M540" s="5" t="str">
        <f ca="1">IFERROR(__xludf.DUMMYFUNCTION("""COMPUTED_VALUE"""),"Local")</f>
        <v>Local</v>
      </c>
      <c r="N540" s="5">
        <f ca="1">IFERROR(__xludf.DUMMYFUNCTION("""COMPUTED_VALUE"""),3)</f>
        <v>3</v>
      </c>
      <c r="O540" s="5" t="str">
        <f ca="1">IFERROR(__xludf.DUMMYFUNCTION("""COMPUTED_VALUE"""),"Fall")</f>
        <v>Fall</v>
      </c>
      <c r="P540" s="5" t="str">
        <f ca="1">IFERROR(__xludf.DUMMYFUNCTION("""COMPUTED_VALUE"""),"Toledo")</f>
        <v>Toledo</v>
      </c>
      <c r="Q540" s="5" t="str">
        <f ca="1">IFERROR(__xludf.DUMMYFUNCTION("""COMPUTED_VALUE"""),"OH")</f>
        <v>OH</v>
      </c>
      <c r="R540" s="5" t="str">
        <f ca="1">IFERROR(__xludf.DUMMYFUNCTION("""COMPUTED_VALUE"""),"Elementary")</f>
        <v>Elementary</v>
      </c>
      <c r="S540" s="5" t="str">
        <f ca="1">IFERROR(__xludf.DUMMYFUNCTION("""COMPUTED_VALUE"""),"Football Field/Track")</f>
        <v>Football Field/Track</v>
      </c>
      <c r="T540" s="5" t="str">
        <f ca="1">IFERROR(__xludf.DUMMYFUNCTION("""COMPUTED_VALUE"""),"Outside on School Property")</f>
        <v>Outside on School Property</v>
      </c>
      <c r="U540" s="5" t="str">
        <f ca="1">IFERROR(__xludf.DUMMYFUNCTION("""COMPUTED_VALUE"""),"No")</f>
        <v>No</v>
      </c>
      <c r="V540" s="5" t="str">
        <f ca="1">IFERROR(__xludf.DUMMYFUNCTION("""COMPUTED_VALUE"""),"Sport Event")</f>
        <v>Sport Event</v>
      </c>
      <c r="W540" s="10">
        <f ca="1">IFERROR(__xludf.DUMMYFUNCTION("""COMPUTED_VALUE"""),0.795138888888888)</f>
        <v>0.79513888888888795</v>
      </c>
      <c r="X540" s="5">
        <f ca="1">IFERROR(__xludf.DUMMYFUNCTION("""COMPUTED_VALUE"""),1)</f>
        <v>1</v>
      </c>
      <c r="Y540" s="5" t="str">
        <f ca="1">IFERROR(__xludf.DUMMYFUNCTION("""COMPUTED_VALUE"""),"Coach fired shots into the air during fight at football game")</f>
        <v>Coach fired shots into the air during fight at football game</v>
      </c>
      <c r="Z540" s="5" t="str">
        <f ca="1">IFERROR(__xludf.DUMMYFUNCTION("""COMPUTED_VALUE"""),"Adult football coach fired shots into the air during fight between multiple people at a youth football game. When police arrived, 150 people were fleeing the area. Witnesses did not cooperate with police. Coach was not identified and fled the scene prior "&amp;"to police arriving.")</f>
        <v>Adult football coach fired shots into the air during fight between multiple people at a youth football game. When police arrived, 150 people were fleeing the area. Witnesses did not cooperate with police. Coach was not identified and fled the scene prior to police arriving.</v>
      </c>
      <c r="AA540" s="5" t="str">
        <f ca="1">IFERROR(__xludf.DUMMYFUNCTION("""COMPUTED_VALUE"""),"Escalation of Dispute")</f>
        <v>Escalation of Dispute</v>
      </c>
      <c r="AB540" s="5" t="str">
        <f ca="1">IFERROR(__xludf.DUMMYFUNCTION("""COMPUTED_VALUE"""),"Neither")</f>
        <v>Neither</v>
      </c>
      <c r="AC540" s="5" t="str">
        <f ca="1">IFERROR(__xludf.DUMMYFUNCTION("""COMPUTED_VALUE"""),"No")</f>
        <v>No</v>
      </c>
      <c r="AD540" s="5" t="str">
        <f ca="1">IFERROR(__xludf.DUMMYFUNCTION("""COMPUTED_VALUE"""),"No")</f>
        <v>No</v>
      </c>
      <c r="AE540" s="5" t="str">
        <f ca="1">IFERROR(__xludf.DUMMYFUNCTION("""COMPUTED_VALUE"""),"No")</f>
        <v>No</v>
      </c>
      <c r="AF540" s="5" t="str">
        <f ca="1">IFERROR(__xludf.DUMMYFUNCTION("""COMPUTED_VALUE"""),"No")</f>
        <v>No</v>
      </c>
      <c r="AG540" s="5" t="str">
        <f ca="1">IFERROR(__xludf.DUMMYFUNCTION("""COMPUTED_VALUE"""),"No")</f>
        <v>No</v>
      </c>
      <c r="AH540" s="5" t="str">
        <f ca="1">IFERROR(__xludf.DUMMYFUNCTION("""COMPUTED_VALUE"""),"No")</f>
        <v>No</v>
      </c>
      <c r="AI540" s="5" t="str">
        <f ca="1">IFERROR(__xludf.DUMMYFUNCTION("""COMPUTED_VALUE"""),"No")</f>
        <v>No</v>
      </c>
      <c r="AJ540" s="5" t="str">
        <f ca="1">IFERROR(__xludf.DUMMYFUNCTION("""COMPUTED_VALUE"""),"No")</f>
        <v>No</v>
      </c>
    </row>
    <row r="541" spans="1:36" ht="13">
      <c r="A541" s="5" t="str">
        <f ca="1">IFERROR(__xludf.DUMMYFUNCTION("""COMPUTED_VALUE"""),"20210822ILWER")</f>
        <v>20210822ILWER</v>
      </c>
      <c r="B541" s="5">
        <f ca="1">IFERROR(__xludf.DUMMYFUNCTION("""COMPUTED_VALUE"""),8)</f>
        <v>8</v>
      </c>
      <c r="C541" s="5">
        <f ca="1">IFERROR(__xludf.DUMMYFUNCTION("""COMPUTED_VALUE"""),22)</f>
        <v>22</v>
      </c>
      <c r="D541" s="5">
        <f ca="1">IFERROR(__xludf.DUMMYFUNCTION("""COMPUTED_VALUE"""),2021)</f>
        <v>2021</v>
      </c>
      <c r="E541" s="8">
        <f ca="1">IFERROR(__xludf.DUMMYFUNCTION("""COMPUTED_VALUE"""),44430)</f>
        <v>44430</v>
      </c>
      <c r="F541" s="5" t="str">
        <f ca="1">IFERROR(__xludf.DUMMYFUNCTION("""COMPUTED_VALUE"""),"West Middle School")</f>
        <v>West Middle School</v>
      </c>
      <c r="G541" s="5">
        <f ca="1">IFERROR(__xludf.DUMMYFUNCTION("""COMPUTED_VALUE"""),0)</f>
        <v>0</v>
      </c>
      <c r="H541" s="5">
        <f ca="1">IFERROR(__xludf.DUMMYFUNCTION("""COMPUTED_VALUE"""),1)</f>
        <v>1</v>
      </c>
      <c r="I541" s="5">
        <f ca="1">IFERROR(__xludf.DUMMYFUNCTION("""COMPUTED_VALUE"""),1)</f>
        <v>1</v>
      </c>
      <c r="J541" s="5">
        <f ca="1">IFERROR(__xludf.DUMMYFUNCTION("""COMPUTED_VALUE"""),0)</f>
        <v>0</v>
      </c>
      <c r="K541" s="5" t="str">
        <f ca="1">IFERROR(__xludf.DUMMYFUNCTION("""COMPUTED_VALUE"""),"https://wrex.com/2021/08/30/17-year-old-arrested-accused-of-shooting-13-year-old-boy/ https://www.mystateline.com/news/local-news/17-year-old-arrested-for-shooting-13-year-old-rockford-boy/ https://www.mystateline.com/news/local-news/13-year-old-shot-in-p"&amp;"arking-lot-of-rockford-middle-school/")</f>
        <v>https://wrex.com/2021/08/30/17-year-old-arrested-accused-of-shooting-13-year-old-boy/ https://www.mystateline.com/news/local-news/17-year-old-arrested-for-shooting-13-year-old-rockford-boy/ https://www.mystateline.com/news/local-news/13-year-old-shot-in-parking-lot-of-rockford-middle-school/</v>
      </c>
      <c r="L541" s="5">
        <f ca="1">IFERROR(__xludf.DUMMYFUNCTION("""COMPUTED_VALUE"""),3)</f>
        <v>3</v>
      </c>
      <c r="M541" s="5" t="str">
        <f ca="1">IFERROR(__xludf.DUMMYFUNCTION("""COMPUTED_VALUE"""),"Local")</f>
        <v>Local</v>
      </c>
      <c r="N541" s="5">
        <f ca="1">IFERROR(__xludf.DUMMYFUNCTION("""COMPUTED_VALUE"""),4)</f>
        <v>4</v>
      </c>
      <c r="O541" s="5" t="str">
        <f ca="1">IFERROR(__xludf.DUMMYFUNCTION("""COMPUTED_VALUE"""),"Fall")</f>
        <v>Fall</v>
      </c>
      <c r="P541" s="5" t="str">
        <f ca="1">IFERROR(__xludf.DUMMYFUNCTION("""COMPUTED_VALUE"""),"Rockford")</f>
        <v>Rockford</v>
      </c>
      <c r="Q541" s="5" t="str">
        <f ca="1">IFERROR(__xludf.DUMMYFUNCTION("""COMPUTED_VALUE"""),"IL")</f>
        <v>IL</v>
      </c>
      <c r="R541" s="5" t="str">
        <f ca="1">IFERROR(__xludf.DUMMYFUNCTION("""COMPUTED_VALUE"""),"Middle")</f>
        <v>Middle</v>
      </c>
      <c r="S541" s="5" t="str">
        <f ca="1">IFERROR(__xludf.DUMMYFUNCTION("""COMPUTED_VALUE"""),"Parking Lot")</f>
        <v>Parking Lot</v>
      </c>
      <c r="T541" s="5" t="str">
        <f ca="1">IFERROR(__xludf.DUMMYFUNCTION("""COMPUTED_VALUE"""),"Outside on School Property")</f>
        <v>Outside on School Property</v>
      </c>
      <c r="U541" s="5" t="str">
        <f ca="1">IFERROR(__xludf.DUMMYFUNCTION("""COMPUTED_VALUE"""),"No")</f>
        <v>No</v>
      </c>
      <c r="V541" s="5" t="str">
        <f ca="1">IFERROR(__xludf.DUMMYFUNCTION("""COMPUTED_VALUE"""),"Not a School Day")</f>
        <v>Not a School Day</v>
      </c>
      <c r="W541" s="10">
        <f ca="1">IFERROR(__xludf.DUMMYFUNCTION("""COMPUTED_VALUE"""),0.583333333333333)</f>
        <v>0.58333333333333304</v>
      </c>
      <c r="X541" s="5">
        <f ca="1">IFERROR(__xludf.DUMMYFUNCTION("""COMPUTED_VALUE"""),1)</f>
        <v>1</v>
      </c>
      <c r="Y541" s="5" t="str">
        <f ca="1">IFERROR(__xludf.DUMMYFUNCTION("""COMPUTED_VALUE"""),"Teen shot during fight in the school parking lot")</f>
        <v>Teen shot during fight in the school parking lot</v>
      </c>
      <c r="Z541" s="5" t="str">
        <f ca="1">IFERROR(__xludf.DUMMYFUNCTION("""COMPUTED_VALUE"""),"A 13-year-old teen was shot during a fight between multiple teens in the school parking lot. Shooter fled the scene. 17-year-old shooter was arrested the following week and charged with aggravated battery.")</f>
        <v>A 13-year-old teen was shot during a fight between multiple teens in the school parking lot. Shooter fled the scene. 17-year-old shooter was arrested the following week and charged with aggravated battery.</v>
      </c>
      <c r="AA541" s="5" t="str">
        <f ca="1">IFERROR(__xludf.DUMMYFUNCTION("""COMPUTED_VALUE"""),"Escalation of Dispute")</f>
        <v>Escalation of Dispute</v>
      </c>
      <c r="AB541" s="5" t="str">
        <f ca="1">IFERROR(__xludf.DUMMYFUNCTION("""COMPUTED_VALUE"""),"Victims Targeted")</f>
        <v>Victims Targeted</v>
      </c>
      <c r="AC541" s="5"/>
      <c r="AD541" s="5" t="str">
        <f ca="1">IFERROR(__xludf.DUMMYFUNCTION("""COMPUTED_VALUE"""),"No")</f>
        <v>No</v>
      </c>
      <c r="AE541" s="5" t="str">
        <f ca="1">IFERROR(__xludf.DUMMYFUNCTION("""COMPUTED_VALUE"""),"No")</f>
        <v>No</v>
      </c>
      <c r="AF541" s="5" t="str">
        <f ca="1">IFERROR(__xludf.DUMMYFUNCTION("""COMPUTED_VALUE"""),"No")</f>
        <v>No</v>
      </c>
      <c r="AG541" s="5"/>
      <c r="AH541" s="5" t="str">
        <f ca="1">IFERROR(__xludf.DUMMYFUNCTION("""COMPUTED_VALUE"""),"No")</f>
        <v>No</v>
      </c>
      <c r="AI541" s="5"/>
      <c r="AJ541" s="5" t="str">
        <f ca="1">IFERROR(__xludf.DUMMYFUNCTION("""COMPUTED_VALUE"""),"No")</f>
        <v>No</v>
      </c>
    </row>
    <row r="542" spans="1:36" ht="13">
      <c r="A542" s="5" t="str">
        <f ca="1">IFERROR(__xludf.DUMMYFUNCTION("""COMPUTED_VALUE"""),"20210820NEMIO")</f>
        <v>20210820NEMIO</v>
      </c>
      <c r="B542" s="5">
        <f ca="1">IFERROR(__xludf.DUMMYFUNCTION("""COMPUTED_VALUE"""),8)</f>
        <v>8</v>
      </c>
      <c r="C542" s="5">
        <f ca="1">IFERROR(__xludf.DUMMYFUNCTION("""COMPUTED_VALUE"""),20)</f>
        <v>20</v>
      </c>
      <c r="D542" s="5">
        <f ca="1">IFERROR(__xludf.DUMMYFUNCTION("""COMPUTED_VALUE"""),2021)</f>
        <v>2021</v>
      </c>
      <c r="E542" s="8">
        <f ca="1">IFERROR(__xludf.DUMMYFUNCTION("""COMPUTED_VALUE"""),44428)</f>
        <v>44428</v>
      </c>
      <c r="F542" s="5" t="str">
        <f ca="1">IFERROR(__xludf.DUMMYFUNCTION("""COMPUTED_VALUE"""),"Miller Park Elementary")</f>
        <v>Miller Park Elementary</v>
      </c>
      <c r="G542" s="5">
        <f ca="1">IFERROR(__xludf.DUMMYFUNCTION("""COMPUTED_VALUE"""),0)</f>
        <v>0</v>
      </c>
      <c r="H542" s="5">
        <f ca="1">IFERROR(__xludf.DUMMYFUNCTION("""COMPUTED_VALUE"""),2)</f>
        <v>2</v>
      </c>
      <c r="I542" s="5">
        <f ca="1">IFERROR(__xludf.DUMMYFUNCTION("""COMPUTED_VALUE"""),2)</f>
        <v>2</v>
      </c>
      <c r="J542" s="5">
        <f ca="1">IFERROR(__xludf.DUMMYFUNCTION("""COMPUTED_VALUE"""),0)</f>
        <v>0</v>
      </c>
      <c r="K542" s="5" t="str">
        <f ca="1">IFERROR(__xludf.DUMMYFUNCTION("""COMPUTED_VALUE"""),"https://www.wowt.com/2021/08/19/two-shot-overnight-near-omaha-school/ https://www.ketv.com/article/police-2-injured-in-shooting-near-miller-park-elementary/37346754")</f>
        <v>https://www.wowt.com/2021/08/19/two-shot-overnight-near-omaha-school/ https://www.ketv.com/article/police-2-injured-in-shooting-near-miller-park-elementary/37346754</v>
      </c>
      <c r="L542" s="5">
        <f ca="1">IFERROR(__xludf.DUMMYFUNCTION("""COMPUTED_VALUE"""),2)</f>
        <v>2</v>
      </c>
      <c r="M542" s="5" t="str">
        <f ca="1">IFERROR(__xludf.DUMMYFUNCTION("""COMPUTED_VALUE"""),"Local")</f>
        <v>Local</v>
      </c>
      <c r="N542" s="5">
        <f ca="1">IFERROR(__xludf.DUMMYFUNCTION("""COMPUTED_VALUE"""),4)</f>
        <v>4</v>
      </c>
      <c r="O542" s="5" t="str">
        <f ca="1">IFERROR(__xludf.DUMMYFUNCTION("""COMPUTED_VALUE"""),"Fall")</f>
        <v>Fall</v>
      </c>
      <c r="P542" s="5" t="str">
        <f ca="1">IFERROR(__xludf.DUMMYFUNCTION("""COMPUTED_VALUE"""),"Omaha")</f>
        <v>Omaha</v>
      </c>
      <c r="Q542" s="5" t="str">
        <f ca="1">IFERROR(__xludf.DUMMYFUNCTION("""COMPUTED_VALUE"""),"NE")</f>
        <v>NE</v>
      </c>
      <c r="R542" s="5" t="str">
        <f ca="1">IFERROR(__xludf.DUMMYFUNCTION("""COMPUTED_VALUE"""),"Elementary")</f>
        <v>Elementary</v>
      </c>
      <c r="S542" s="5" t="str">
        <f ca="1">IFERROR(__xludf.DUMMYFUNCTION("""COMPUTED_VALUE"""),"Playground")</f>
        <v>Playground</v>
      </c>
      <c r="T542" s="5" t="str">
        <f ca="1">IFERROR(__xludf.DUMMYFUNCTION("""COMPUTED_VALUE"""),"Outside on School Property")</f>
        <v>Outside on School Property</v>
      </c>
      <c r="U542" s="5" t="str">
        <f ca="1">IFERROR(__xludf.DUMMYFUNCTION("""COMPUTED_VALUE"""),"No")</f>
        <v>No</v>
      </c>
      <c r="V542" s="5" t="str">
        <f ca="1">IFERROR(__xludf.DUMMYFUNCTION("""COMPUTED_VALUE"""),"Night")</f>
        <v>Night</v>
      </c>
      <c r="W542" s="10">
        <f ca="1">IFERROR(__xludf.DUMMYFUNCTION("""COMPUTED_VALUE"""),0.104166666666666)</f>
        <v>0.10416666666666601</v>
      </c>
      <c r="X542" s="5">
        <f ca="1">IFERROR(__xludf.DUMMYFUNCTION("""COMPUTED_VALUE"""),1)</f>
        <v>1</v>
      </c>
      <c r="Y542" s="5" t="str">
        <f ca="1">IFERROR(__xludf.DUMMYFUNCTION("""COMPUTED_VALUE"""),"Two adults shot in front of elementary school")</f>
        <v>Two adults shot in front of elementary school</v>
      </c>
      <c r="Z542" s="5" t="str">
        <f ca="1">IFERROR(__xludf.DUMMYFUNCTION("""COMPUTED_VALUE"""),"Two adults were shot in front of the elementary school. Crime scene extended across the front lawn of the school and playground. 27 shots were fired. School was closed at the time of the shooting. Crime scene investigation was active as students and paren"&amp;"ts arrived at the school.")</f>
        <v>Two adults were shot in front of the elementary school. Crime scene extended across the front lawn of the school and playground. 27 shots were fired. School was closed at the time of the shooting. Crime scene investigation was active as students and parents arrived at the school.</v>
      </c>
      <c r="AA542" s="5"/>
      <c r="AB542" s="5" t="str">
        <f ca="1">IFERROR(__xludf.DUMMYFUNCTION("""COMPUTED_VALUE"""),"Victims Targeted")</f>
        <v>Victims Targeted</v>
      </c>
      <c r="AC542" s="5"/>
      <c r="AD542" s="5" t="str">
        <f ca="1">IFERROR(__xludf.DUMMYFUNCTION("""COMPUTED_VALUE"""),"No")</f>
        <v>No</v>
      </c>
      <c r="AE542" s="5" t="str">
        <f ca="1">IFERROR(__xludf.DUMMYFUNCTION("""COMPUTED_VALUE"""),"No")</f>
        <v>No</v>
      </c>
      <c r="AF542" s="5" t="str">
        <f ca="1">IFERROR(__xludf.DUMMYFUNCTION("""COMPUTED_VALUE"""),"No")</f>
        <v>No</v>
      </c>
      <c r="AG542" s="5" t="str">
        <f ca="1">IFERROR(__xludf.DUMMYFUNCTION("""COMPUTED_VALUE"""),"No")</f>
        <v>No</v>
      </c>
      <c r="AH542" s="5"/>
      <c r="AI542" s="5"/>
      <c r="AJ542" s="5" t="str">
        <f ca="1">IFERROR(__xludf.DUMMYFUNCTION("""COMPUTED_VALUE"""),"No")</f>
        <v>No</v>
      </c>
    </row>
    <row r="543" spans="1:36" ht="13">
      <c r="A543" s="5" t="str">
        <f ca="1">IFERROR(__xludf.DUMMYFUNCTION("""COMPUTED_VALUE"""),"20210820CACEF")</f>
        <v>20210820CACEF</v>
      </c>
      <c r="B543" s="5">
        <f ca="1">IFERROR(__xludf.DUMMYFUNCTION("""COMPUTED_VALUE"""),8)</f>
        <v>8</v>
      </c>
      <c r="C543" s="5">
        <f ca="1">IFERROR(__xludf.DUMMYFUNCTION("""COMPUTED_VALUE"""),20)</f>
        <v>20</v>
      </c>
      <c r="D543" s="5">
        <f ca="1">IFERROR(__xludf.DUMMYFUNCTION("""COMPUTED_VALUE"""),2021)</f>
        <v>2021</v>
      </c>
      <c r="E543" s="8">
        <f ca="1">IFERROR(__xludf.DUMMYFUNCTION("""COMPUTED_VALUE"""),44428)</f>
        <v>44428</v>
      </c>
      <c r="F543" s="5" t="str">
        <f ca="1">IFERROR(__xludf.DUMMYFUNCTION("""COMPUTED_VALUE"""),"Central High-Bullard High")</f>
        <v>Central High-Bullard High</v>
      </c>
      <c r="G543" s="5">
        <f ca="1">IFERROR(__xludf.DUMMYFUNCTION("""COMPUTED_VALUE"""),0)</f>
        <v>0</v>
      </c>
      <c r="H543" s="5">
        <f ca="1">IFERROR(__xludf.DUMMYFUNCTION("""COMPUTED_VALUE"""),1)</f>
        <v>1</v>
      </c>
      <c r="I543" s="5">
        <f ca="1">IFERROR(__xludf.DUMMYFUNCTION("""COMPUTED_VALUE"""),1)</f>
        <v>1</v>
      </c>
      <c r="J543" s="5">
        <f ca="1">IFERROR(__xludf.DUMMYFUNCTION("""COMPUTED_VALUE"""),0)</f>
        <v>0</v>
      </c>
      <c r="K543" s="5" t="str">
        <f ca="1">IFERROR(__xludf.DUMMYFUNCTION("""COMPUTED_VALUE"""),"https://abc30.com/koligian-stadium-fresno-police-activity/10965467/ https://www.fresnobee.com/news/local/crime/article253652078.html https://www.kmjnow.com/2021/08/21/suspect-cuffed-for-shooting-outside-high-school-football-game/")</f>
        <v>https://abc30.com/koligian-stadium-fresno-police-activity/10965467/ https://www.fresnobee.com/news/local/crime/article253652078.html https://www.kmjnow.com/2021/08/21/suspect-cuffed-for-shooting-outside-high-school-football-game/</v>
      </c>
      <c r="L543" s="5">
        <f ca="1">IFERROR(__xludf.DUMMYFUNCTION("""COMPUTED_VALUE"""),3)</f>
        <v>3</v>
      </c>
      <c r="M543" s="5" t="str">
        <f ca="1">IFERROR(__xludf.DUMMYFUNCTION("""COMPUTED_VALUE"""),"Local")</f>
        <v>Local</v>
      </c>
      <c r="N543" s="5">
        <f ca="1">IFERROR(__xludf.DUMMYFUNCTION("""COMPUTED_VALUE"""),4)</f>
        <v>4</v>
      </c>
      <c r="O543" s="5" t="str">
        <f ca="1">IFERROR(__xludf.DUMMYFUNCTION("""COMPUTED_VALUE"""),"Fall")</f>
        <v>Fall</v>
      </c>
      <c r="P543" s="5" t="str">
        <f ca="1">IFERROR(__xludf.DUMMYFUNCTION("""COMPUTED_VALUE"""),"Fresno")</f>
        <v>Fresno</v>
      </c>
      <c r="Q543" s="5" t="str">
        <f ca="1">IFERROR(__xludf.DUMMYFUNCTION("""COMPUTED_VALUE"""),"CA")</f>
        <v>CA</v>
      </c>
      <c r="R543" s="5" t="str">
        <f ca="1">IFERROR(__xludf.DUMMYFUNCTION("""COMPUTED_VALUE"""),"High")</f>
        <v>High</v>
      </c>
      <c r="S543" s="5" t="str">
        <f ca="1">IFERROR(__xludf.DUMMYFUNCTION("""COMPUTED_VALUE"""),"Parking Lot")</f>
        <v>Parking Lot</v>
      </c>
      <c r="T543" s="5" t="str">
        <f ca="1">IFERROR(__xludf.DUMMYFUNCTION("""COMPUTED_VALUE"""),"Outside on School Property")</f>
        <v>Outside on School Property</v>
      </c>
      <c r="U543" s="5" t="str">
        <f ca="1">IFERROR(__xludf.DUMMYFUNCTION("""COMPUTED_VALUE"""),"No")</f>
        <v>No</v>
      </c>
      <c r="V543" s="5" t="str">
        <f ca="1">IFERROR(__xludf.DUMMYFUNCTION("""COMPUTED_VALUE"""),"Sport Event")</f>
        <v>Sport Event</v>
      </c>
      <c r="W543" s="10">
        <f ca="1">IFERROR(__xludf.DUMMYFUNCTION("""COMPUTED_VALUE"""),0.920138888888888)</f>
        <v>0.92013888888888795</v>
      </c>
      <c r="X543" s="5">
        <f ca="1">IFERROR(__xludf.DUMMYFUNCTION("""COMPUTED_VALUE"""),1)</f>
        <v>1</v>
      </c>
      <c r="Y543" s="5" t="str">
        <f ca="1">IFERROR(__xludf.DUMMYFUNCTION("""COMPUTED_VALUE"""),"Teen shot multiple times in the parking lot following football game")</f>
        <v>Teen shot multiple times in the parking lot following football game</v>
      </c>
      <c r="Z543" s="5" t="str">
        <f ca="1">IFERROR(__xludf.DUMMYFUNCTION("""COMPUTED_VALUE"""),"A 19-year-old teen was shot by another 19-year-old teen in the parking lot of the high school when fans were leaving after a football game. Students and parents ran from the area. Police officers assigned to the game were already in the parking lot and de"&amp;"tained the shooter who attempted to run. Police reported the shooter and victim were gang members and not students at the school.")</f>
        <v>A 19-year-old teen was shot by another 19-year-old teen in the parking lot of the high school when fans were leaving after a football game. Students and parents ran from the area. Police officers assigned to the game were already in the parking lot and detained the shooter who attempted to run. Police reported the shooter and victim were gang members and not students at the school.</v>
      </c>
      <c r="AA543" s="5" t="str">
        <f ca="1">IFERROR(__xludf.DUMMYFUNCTION("""COMPUTED_VALUE"""),"Escalation of Dispute")</f>
        <v>Escalation of Dispute</v>
      </c>
      <c r="AB543" s="5" t="str">
        <f ca="1">IFERROR(__xludf.DUMMYFUNCTION("""COMPUTED_VALUE"""),"Victims Targeted")</f>
        <v>Victims Targeted</v>
      </c>
      <c r="AC543" s="5" t="str">
        <f ca="1">IFERROR(__xludf.DUMMYFUNCTION("""COMPUTED_VALUE"""),"No")</f>
        <v>No</v>
      </c>
      <c r="AD543" s="5" t="str">
        <f ca="1">IFERROR(__xludf.DUMMYFUNCTION("""COMPUTED_VALUE"""),"No")</f>
        <v>No</v>
      </c>
      <c r="AE543" s="5" t="str">
        <f ca="1">IFERROR(__xludf.DUMMYFUNCTION("""COMPUTED_VALUE"""),"No")</f>
        <v>No</v>
      </c>
      <c r="AF543" s="5" t="str">
        <f ca="1">IFERROR(__xludf.DUMMYFUNCTION("""COMPUTED_VALUE"""),"No")</f>
        <v>No</v>
      </c>
      <c r="AG543" s="5" t="str">
        <f ca="1">IFERROR(__xludf.DUMMYFUNCTION("""COMPUTED_VALUE"""),"No")</f>
        <v>No</v>
      </c>
      <c r="AH543" s="5" t="str">
        <f ca="1">IFERROR(__xludf.DUMMYFUNCTION("""COMPUTED_VALUE"""),"No")</f>
        <v>No</v>
      </c>
      <c r="AI543" s="5" t="str">
        <f ca="1">IFERROR(__xludf.DUMMYFUNCTION("""COMPUTED_VALUE"""),"Yes")</f>
        <v>Yes</v>
      </c>
      <c r="AJ543" s="5" t="str">
        <f ca="1">IFERROR(__xludf.DUMMYFUNCTION("""COMPUTED_VALUE"""),"No")</f>
        <v>No</v>
      </c>
    </row>
    <row r="544" spans="1:36" ht="13">
      <c r="A544" s="5" t="str">
        <f ca="1">IFERROR(__xludf.DUMMYFUNCTION("""COMPUTED_VALUE"""),"20210818SCORO")</f>
        <v>20210818SCORO</v>
      </c>
      <c r="B544" s="5">
        <f ca="1">IFERROR(__xludf.DUMMYFUNCTION("""COMPUTED_VALUE"""),8)</f>
        <v>8</v>
      </c>
      <c r="C544" s="5">
        <f ca="1">IFERROR(__xludf.DUMMYFUNCTION("""COMPUTED_VALUE"""),18)</f>
        <v>18</v>
      </c>
      <c r="D544" s="5">
        <f ca="1">IFERROR(__xludf.DUMMYFUNCTION("""COMPUTED_VALUE"""),2021)</f>
        <v>2021</v>
      </c>
      <c r="E544" s="8">
        <f ca="1">IFERROR(__xludf.DUMMYFUNCTION("""COMPUTED_VALUE"""),44426)</f>
        <v>44426</v>
      </c>
      <c r="F544" s="5" t="str">
        <f ca="1">IFERROR(__xludf.DUMMYFUNCTION("""COMPUTED_VALUE"""),"Orangeburg-Wilkinson High School")</f>
        <v>Orangeburg-Wilkinson High School</v>
      </c>
      <c r="G544" s="5">
        <f ca="1">IFERROR(__xludf.DUMMYFUNCTION("""COMPUTED_VALUE"""),0)</f>
        <v>0</v>
      </c>
      <c r="H544" s="5">
        <f ca="1">IFERROR(__xludf.DUMMYFUNCTION("""COMPUTED_VALUE"""),3)</f>
        <v>3</v>
      </c>
      <c r="I544" s="5">
        <f ca="1">IFERROR(__xludf.DUMMYFUNCTION("""COMPUTED_VALUE"""),3)</f>
        <v>3</v>
      </c>
      <c r="J544" s="5">
        <f ca="1">IFERROR(__xludf.DUMMYFUNCTION("""COMPUTED_VALUE"""),0)</f>
        <v>0</v>
      </c>
      <c r="K544" s="5" t="str">
        <f ca="1">IFERROR(__xludf.DUMMYFUNCTION("""COMPUTED_VALUE"""),"https://www.thestate.com/news/local/crime/article253587544.html https://www.wistv.com/2021/08/19/sheriff-school-district-provide-update-orangeburg-wilkinson-high-school-shooting/ https://www.wspa.com/news/state-news/14-year-old-arrested-after-3-shot-in-sc"&amp;"-high-school-parking-lot/
https://www.wistv.com/2022/08/18/court-records-show-alleged-orangeburg-wilkinson-shooter-claims-other-guns-were-campus-well/")</f>
        <v>https://www.thestate.com/news/local/crime/article253587544.html https://www.wistv.com/2021/08/19/sheriff-school-district-provide-update-orangeburg-wilkinson-high-school-shooting/ https://www.wspa.com/news/state-news/14-year-old-arrested-after-3-shot-in-sc-high-school-parking-lot/
https://www.wistv.com/2022/08/18/court-records-show-alleged-orangeburg-wilkinson-shooter-claims-other-guns-were-campus-well/</v>
      </c>
      <c r="L544" s="5">
        <f ca="1">IFERROR(__xludf.DUMMYFUNCTION("""COMPUTED_VALUE"""),10)</f>
        <v>10</v>
      </c>
      <c r="M544" s="5" t="str">
        <f ca="1">IFERROR(__xludf.DUMMYFUNCTION("""COMPUTED_VALUE"""),"Regional")</f>
        <v>Regional</v>
      </c>
      <c r="N544" s="5">
        <f ca="1">IFERROR(__xludf.DUMMYFUNCTION("""COMPUTED_VALUE"""),4)</f>
        <v>4</v>
      </c>
      <c r="O544" s="5" t="str">
        <f ca="1">IFERROR(__xludf.DUMMYFUNCTION("""COMPUTED_VALUE"""),"Fall")</f>
        <v>Fall</v>
      </c>
      <c r="P544" s="5" t="str">
        <f ca="1">IFERROR(__xludf.DUMMYFUNCTION("""COMPUTED_VALUE"""),"Orangeburg")</f>
        <v>Orangeburg</v>
      </c>
      <c r="Q544" s="5" t="str">
        <f ca="1">IFERROR(__xludf.DUMMYFUNCTION("""COMPUTED_VALUE"""),"SC")</f>
        <v>SC</v>
      </c>
      <c r="R544" s="5" t="str">
        <f ca="1">IFERROR(__xludf.DUMMYFUNCTION("""COMPUTED_VALUE"""),"High")</f>
        <v>High</v>
      </c>
      <c r="S544" s="5" t="str">
        <f ca="1">IFERROR(__xludf.DUMMYFUNCTION("""COMPUTED_VALUE"""),"Parking Lot")</f>
        <v>Parking Lot</v>
      </c>
      <c r="T544" s="5" t="str">
        <f ca="1">IFERROR(__xludf.DUMMYFUNCTION("""COMPUTED_VALUE"""),"Outside on School Property")</f>
        <v>Outside on School Property</v>
      </c>
      <c r="U544" s="5" t="str">
        <f ca="1">IFERROR(__xludf.DUMMYFUNCTION("""COMPUTED_VALUE"""),"Yes")</f>
        <v>Yes</v>
      </c>
      <c r="V544" s="5" t="str">
        <f ca="1">IFERROR(__xludf.DUMMYFUNCTION("""COMPUTED_VALUE"""),"Dismissal")</f>
        <v>Dismissal</v>
      </c>
      <c r="W544" s="10">
        <f ca="1">IFERROR(__xludf.DUMMYFUNCTION("""COMPUTED_VALUE"""),0.666666666666666)</f>
        <v>0.66666666666666596</v>
      </c>
      <c r="X544" s="5">
        <f ca="1">IFERROR(__xludf.DUMMYFUNCTION("""COMPUTED_VALUE"""),1)</f>
        <v>1</v>
      </c>
      <c r="Y544" s="5" t="str">
        <f ca="1">IFERROR(__xludf.DUMMYFUNCTION("""COMPUTED_VALUE"""),"Teen shot 3 students in school parking lot during dismissal")</f>
        <v>Teen shot 3 students in school parking lot during dismissal</v>
      </c>
      <c r="Z544" s="5" t="str">
        <f ca="1">IFERROR(__xludf.DUMMYFUNCTION("""COMPUTED_VALUE"""),"A 14-year-old male shot 3 students in the parking lot outside of the school during dismissal. Shooter fled the scene and was arrested the following day. Principal credited ""stop the bleed"" training with saving the lives of the victims. Police increased "&amp;"presence at the school. Shooter obtained the gun in Atlanta while visiting the family, that the shooting was pre-meditated, that Glover bragged about the shooting before it happened, and he strategically waited for the victims. Shooter claims multiple stu"&amp;"dents had weapons on campus the day of the shooting.")</f>
        <v>A 14-year-old male shot 3 students in the parking lot outside of the school during dismissal. Shooter fled the scene and was arrested the following day. Principal credited "stop the bleed" training with saving the lives of the victims. Police increased presence at the school. Shooter obtained the gun in Atlanta while visiting the family, that the shooting was pre-meditated, that Glover bragged about the shooting before it happened, and he strategically waited for the victims. Shooter claims multiple students had weapons on campus the day of the shooting.</v>
      </c>
      <c r="AA544" s="5" t="str">
        <f ca="1">IFERROR(__xludf.DUMMYFUNCTION("""COMPUTED_VALUE"""),"Escalation of Dispute")</f>
        <v>Escalation of Dispute</v>
      </c>
      <c r="AB544" s="5" t="str">
        <f ca="1">IFERROR(__xludf.DUMMYFUNCTION("""COMPUTED_VALUE"""),"Both")</f>
        <v>Both</v>
      </c>
      <c r="AC544" s="5" t="str">
        <f ca="1">IFERROR(__xludf.DUMMYFUNCTION("""COMPUTED_VALUE"""),"No")</f>
        <v>No</v>
      </c>
      <c r="AD544" s="5" t="str">
        <f ca="1">IFERROR(__xludf.DUMMYFUNCTION("""COMPUTED_VALUE"""),"No")</f>
        <v>No</v>
      </c>
      <c r="AE544" s="5" t="str">
        <f ca="1">IFERROR(__xludf.DUMMYFUNCTION("""COMPUTED_VALUE"""),"No")</f>
        <v>No</v>
      </c>
      <c r="AF544" s="5" t="str">
        <f ca="1">IFERROR(__xludf.DUMMYFUNCTION("""COMPUTED_VALUE"""),"No")</f>
        <v>No</v>
      </c>
      <c r="AG544" s="5" t="str">
        <f ca="1">IFERROR(__xludf.DUMMYFUNCTION("""COMPUTED_VALUE"""),"Yes")</f>
        <v>Yes</v>
      </c>
      <c r="AH544" s="5" t="str">
        <f ca="1">IFERROR(__xludf.DUMMYFUNCTION("""COMPUTED_VALUE"""),"No")</f>
        <v>No</v>
      </c>
      <c r="AI544" s="5"/>
      <c r="AJ544" s="5" t="str">
        <f ca="1">IFERROR(__xludf.DUMMYFUNCTION("""COMPUTED_VALUE"""),"No")</f>
        <v>No</v>
      </c>
    </row>
    <row r="545" spans="1:36" ht="13">
      <c r="A545" s="5" t="str">
        <f ca="1">IFERROR(__xludf.DUMMYFUNCTION("""COMPUTED_VALUE"""),"20210817COYED")</f>
        <v>20210817COYED</v>
      </c>
      <c r="B545" s="5">
        <f ca="1">IFERROR(__xludf.DUMMYFUNCTION("""COMPUTED_VALUE"""),8)</f>
        <v>8</v>
      </c>
      <c r="C545" s="5">
        <f ca="1">IFERROR(__xludf.DUMMYFUNCTION("""COMPUTED_VALUE"""),17)</f>
        <v>17</v>
      </c>
      <c r="D545" s="5">
        <f ca="1">IFERROR(__xludf.DUMMYFUNCTION("""COMPUTED_VALUE"""),2021)</f>
        <v>2021</v>
      </c>
      <c r="E545" s="8">
        <f ca="1">IFERROR(__xludf.DUMMYFUNCTION("""COMPUTED_VALUE"""),44425)</f>
        <v>44425</v>
      </c>
      <c r="F545" s="5" t="str">
        <f ca="1">IFERROR(__xludf.DUMMYFUNCTION("""COMPUTED_VALUE"""),"Yeshiva Toras Chaim High School")</f>
        <v>Yeshiva Toras Chaim High School</v>
      </c>
      <c r="G545" s="5">
        <f ca="1">IFERROR(__xludf.DUMMYFUNCTION("""COMPUTED_VALUE"""),1)</f>
        <v>1</v>
      </c>
      <c r="H545" s="5">
        <f ca="1">IFERROR(__xludf.DUMMYFUNCTION("""COMPUTED_VALUE"""),0)</f>
        <v>0</v>
      </c>
      <c r="I545" s="5">
        <f ca="1">IFERROR(__xludf.DUMMYFUNCTION("""COMPUTED_VALUE"""),1)</f>
        <v>1</v>
      </c>
      <c r="J545" s="5">
        <f ca="1">IFERROR(__xludf.DUMMYFUNCTION("""COMPUTED_VALUE"""),0)</f>
        <v>0</v>
      </c>
      <c r="K545" s="5" t="str">
        <f ca="1">IFERROR(__xludf.DUMMYFUNCTION("""COMPUTED_VALUE"""),"https://www.cleveland19.com/2021/08/19/18-year-old-student-cleveland-killed-outside-yeshiva-denver/ https://kdvr.com/news/local/man-shot-and-killed-near-yeshiva-toras-chaim-in-denver-police-searching-for-3-vehicles-connected-to-crime-spree/")</f>
        <v>https://www.cleveland19.com/2021/08/19/18-year-old-student-cleveland-killed-outside-yeshiva-denver/ https://kdvr.com/news/local/man-shot-and-killed-near-yeshiva-toras-chaim-in-denver-police-searching-for-3-vehicles-connected-to-crime-spree/</v>
      </c>
      <c r="L545" s="5">
        <f ca="1">IFERROR(__xludf.DUMMYFUNCTION("""COMPUTED_VALUE"""),5)</f>
        <v>5</v>
      </c>
      <c r="M545" s="5" t="str">
        <f ca="1">IFERROR(__xludf.DUMMYFUNCTION("""COMPUTED_VALUE"""),"Regional")</f>
        <v>Regional</v>
      </c>
      <c r="N545" s="5">
        <f ca="1">IFERROR(__xludf.DUMMYFUNCTION("""COMPUTED_VALUE"""),4)</f>
        <v>4</v>
      </c>
      <c r="O545" s="5" t="str">
        <f ca="1">IFERROR(__xludf.DUMMYFUNCTION("""COMPUTED_VALUE"""),"Fall")</f>
        <v>Fall</v>
      </c>
      <c r="P545" s="5" t="str">
        <f ca="1">IFERROR(__xludf.DUMMYFUNCTION("""COMPUTED_VALUE"""),"Denver")</f>
        <v>Denver</v>
      </c>
      <c r="Q545" s="5" t="str">
        <f ca="1">IFERROR(__xludf.DUMMYFUNCTION("""COMPUTED_VALUE"""),"CO")</f>
        <v>CO</v>
      </c>
      <c r="R545" s="5" t="str">
        <f ca="1">IFERROR(__xludf.DUMMYFUNCTION("""COMPUTED_VALUE"""),"High")</f>
        <v>High</v>
      </c>
      <c r="S545" s="5" t="str">
        <f ca="1">IFERROR(__xludf.DUMMYFUNCTION("""COMPUTED_VALUE"""),"Front of School")</f>
        <v>Front of School</v>
      </c>
      <c r="T545" s="5" t="str">
        <f ca="1">IFERROR(__xludf.DUMMYFUNCTION("""COMPUTED_VALUE"""),"Outside on School Property")</f>
        <v>Outside on School Property</v>
      </c>
      <c r="U545" s="5" t="str">
        <f ca="1">IFERROR(__xludf.DUMMYFUNCTION("""COMPUTED_VALUE"""),"Yes")</f>
        <v>Yes</v>
      </c>
      <c r="V545" s="5" t="str">
        <f ca="1">IFERROR(__xludf.DUMMYFUNCTION("""COMPUTED_VALUE"""),"Night")</f>
        <v>Night</v>
      </c>
      <c r="W545" s="10">
        <f ca="1">IFERROR(__xludf.DUMMYFUNCTION("""COMPUTED_VALUE"""),0.982638888888888)</f>
        <v>0.98263888888888795</v>
      </c>
      <c r="X545" s="5">
        <f ca="1">IFERROR(__xludf.DUMMYFUNCTION("""COMPUTED_VALUE"""),1)</f>
        <v>1</v>
      </c>
      <c r="Y545" s="5" t="str">
        <f ca="1">IFERROR(__xludf.DUMMYFUNCTION("""COMPUTED_VALUE"""),"Student fatally shot during robbery in front of school")</f>
        <v>Student fatally shot during robbery in front of school</v>
      </c>
      <c r="Z545" s="5" t="str">
        <f ca="1">IFERROR(__xludf.DUMMYFUNCTION("""COMPUTED_VALUE"""),"An 18-year-old student was making a phone call outside of the Orthodox Jewish High School when he was fatally shot during a robbery. The shooter was involved in 2 other armed robberies just prior to the shooting. Shooter fled the scene and was arrested th"&amp;"e next day. Four suspects were arrested for their role in the shooting and other crimes prior to it.")</f>
        <v>An 18-year-old student was making a phone call outside of the Orthodox Jewish High School when he was fatally shot during a robbery. The shooter was involved in 2 other armed robberies just prior to the shooting. Shooter fled the scene and was arrested the next day. Four suspects were arrested for their role in the shooting and other crimes prior to it.</v>
      </c>
      <c r="AA545" s="5" t="str">
        <f ca="1">IFERROR(__xludf.DUMMYFUNCTION("""COMPUTED_VALUE"""),"Illegal Activity")</f>
        <v>Illegal Activity</v>
      </c>
      <c r="AB545" s="5" t="str">
        <f ca="1">IFERROR(__xludf.DUMMYFUNCTION("""COMPUTED_VALUE"""),"Victims Targeted")</f>
        <v>Victims Targeted</v>
      </c>
      <c r="AC545" s="5" t="str">
        <f ca="1">IFERROR(__xludf.DUMMYFUNCTION("""COMPUTED_VALUE"""),"Yes")</f>
        <v>Yes</v>
      </c>
      <c r="AD545" s="5" t="str">
        <f ca="1">IFERROR(__xludf.DUMMYFUNCTION("""COMPUTED_VALUE"""),"No")</f>
        <v>No</v>
      </c>
      <c r="AE545" s="5" t="str">
        <f ca="1">IFERROR(__xludf.DUMMYFUNCTION("""COMPUTED_VALUE"""),"No")</f>
        <v>No</v>
      </c>
      <c r="AF545" s="5" t="str">
        <f ca="1">IFERROR(__xludf.DUMMYFUNCTION("""COMPUTED_VALUE"""),"No")</f>
        <v>No</v>
      </c>
      <c r="AG545" s="5" t="str">
        <f ca="1">IFERROR(__xludf.DUMMYFUNCTION("""COMPUTED_VALUE"""),"No")</f>
        <v>No</v>
      </c>
      <c r="AH545" s="5" t="str">
        <f ca="1">IFERROR(__xludf.DUMMYFUNCTION("""COMPUTED_VALUE"""),"No")</f>
        <v>No</v>
      </c>
      <c r="AI545" s="5" t="str">
        <f ca="1">IFERROR(__xludf.DUMMYFUNCTION("""COMPUTED_VALUE"""),"No")</f>
        <v>No</v>
      </c>
      <c r="AJ545" s="5" t="str">
        <f ca="1">IFERROR(__xludf.DUMMYFUNCTION("""COMPUTED_VALUE"""),"No")</f>
        <v>No</v>
      </c>
    </row>
    <row r="546" spans="1:36" ht="13">
      <c r="A546" s="5" t="str">
        <f ca="1">IFERROR(__xludf.DUMMYFUNCTION("""COMPUTED_VALUE"""),"20210815VAROD")</f>
        <v>20210815VAROD</v>
      </c>
      <c r="B546" s="5">
        <f ca="1">IFERROR(__xludf.DUMMYFUNCTION("""COMPUTED_VALUE"""),8)</f>
        <v>8</v>
      </c>
      <c r="C546" s="5">
        <f ca="1">IFERROR(__xludf.DUMMYFUNCTION("""COMPUTED_VALUE"""),15)</f>
        <v>15</v>
      </c>
      <c r="D546" s="5">
        <f ca="1">IFERROR(__xludf.DUMMYFUNCTION("""COMPUTED_VALUE"""),2021)</f>
        <v>2021</v>
      </c>
      <c r="E546" s="8">
        <f ca="1">IFERROR(__xludf.DUMMYFUNCTION("""COMPUTED_VALUE"""),44423)</f>
        <v>44423</v>
      </c>
      <c r="F546" s="5" t="str">
        <f ca="1">IFERROR(__xludf.DUMMYFUNCTION("""COMPUTED_VALUE"""),"Rosa Park Elementary School")</f>
        <v>Rosa Park Elementary School</v>
      </c>
      <c r="G546" s="5">
        <f ca="1">IFERROR(__xludf.DUMMYFUNCTION("""COMPUTED_VALUE"""),0)</f>
        <v>0</v>
      </c>
      <c r="H546" s="5">
        <f ca="1">IFERROR(__xludf.DUMMYFUNCTION("""COMPUTED_VALUE"""),0)</f>
        <v>0</v>
      </c>
      <c r="I546" s="5">
        <f ca="1">IFERROR(__xludf.DUMMYFUNCTION("""COMPUTED_VALUE"""),0)</f>
        <v>0</v>
      </c>
      <c r="J546" s="5">
        <f ca="1">IFERROR(__xludf.DUMMYFUNCTION("""COMPUTED_VALUE"""),0)</f>
        <v>0</v>
      </c>
      <c r="K546" s="9" t="str">
        <f ca="1">IFERROR(__xludf.DUMMYFUNCTION("""COMPUTED_VALUE"""),"https://www.insidenova.com/news/crime_police/police-investigate-shots-fired-in-dale-city-school-parking-lot/article_ffda50d0-0061-11ec-945a-9343d5248cec.html")</f>
        <v>https://www.insidenova.com/news/crime_police/police-investigate-shots-fired-in-dale-city-school-parking-lot/article_ffda50d0-0061-11ec-945a-9343d5248cec.html</v>
      </c>
      <c r="L546" s="5">
        <f ca="1">IFERROR(__xludf.DUMMYFUNCTION("""COMPUTED_VALUE"""),1)</f>
        <v>1</v>
      </c>
      <c r="M546" s="5" t="str">
        <f ca="1">IFERROR(__xludf.DUMMYFUNCTION("""COMPUTED_VALUE"""),"Local")</f>
        <v>Local</v>
      </c>
      <c r="N546" s="5">
        <f ca="1">IFERROR(__xludf.DUMMYFUNCTION("""COMPUTED_VALUE"""),3)</f>
        <v>3</v>
      </c>
      <c r="O546" s="5" t="str">
        <f ca="1">IFERROR(__xludf.DUMMYFUNCTION("""COMPUTED_VALUE"""),"Summer")</f>
        <v>Summer</v>
      </c>
      <c r="P546" s="5" t="str">
        <f ca="1">IFERROR(__xludf.DUMMYFUNCTION("""COMPUTED_VALUE"""),"Dale City")</f>
        <v>Dale City</v>
      </c>
      <c r="Q546" s="5" t="str">
        <f ca="1">IFERROR(__xludf.DUMMYFUNCTION("""COMPUTED_VALUE"""),"VA")</f>
        <v>VA</v>
      </c>
      <c r="R546" s="5" t="str">
        <f ca="1">IFERROR(__xludf.DUMMYFUNCTION("""COMPUTED_VALUE"""),"Elementary")</f>
        <v>Elementary</v>
      </c>
      <c r="S546" s="5" t="str">
        <f ca="1">IFERROR(__xludf.DUMMYFUNCTION("""COMPUTED_VALUE"""),"Parking Lot")</f>
        <v>Parking Lot</v>
      </c>
      <c r="T546" s="5" t="str">
        <f ca="1">IFERROR(__xludf.DUMMYFUNCTION("""COMPUTED_VALUE"""),"Outside on School Property")</f>
        <v>Outside on School Property</v>
      </c>
      <c r="U546" s="5" t="str">
        <f ca="1">IFERROR(__xludf.DUMMYFUNCTION("""COMPUTED_VALUE"""),"No")</f>
        <v>No</v>
      </c>
      <c r="V546" s="5" t="str">
        <f ca="1">IFERROR(__xludf.DUMMYFUNCTION("""COMPUTED_VALUE"""),"Not a School Day")</f>
        <v>Not a School Day</v>
      </c>
      <c r="W546" s="10">
        <f ca="1">IFERROR(__xludf.DUMMYFUNCTION("""COMPUTED_VALUE"""),0.767361111111111)</f>
        <v>0.76736111111111105</v>
      </c>
      <c r="X546" s="5">
        <f ca="1">IFERROR(__xludf.DUMMYFUNCTION("""COMPUTED_VALUE"""),1)</f>
        <v>1</v>
      </c>
      <c r="Y546" s="5" t="str">
        <f ca="1">IFERROR(__xludf.DUMMYFUNCTION("""COMPUTED_VALUE"""),"Shots fired in school parking lot during fight between a group of people")</f>
        <v>Shots fired in school parking lot during fight between a group of people</v>
      </c>
      <c r="Z546" s="5" t="str">
        <f ca="1">IFERROR(__xludf.DUMMYFUNCTION("""COMPUTED_VALUE"""),"Shots were fired in the school parking lot during a fight between a group of people. All persons involved fled the scene before police arrived. Police recovered shell casing from the parking lot. No injuries reported. School was closed at the time of the "&amp;"shooting.")</f>
        <v>Shots were fired in the school parking lot during a fight between a group of people. All persons involved fled the scene before police arrived. Police recovered shell casing from the parking lot. No injuries reported. School was closed at the time of the shooting.</v>
      </c>
      <c r="AA546" s="5" t="str">
        <f ca="1">IFERROR(__xludf.DUMMYFUNCTION("""COMPUTED_VALUE"""),"Escalation of Dispute")</f>
        <v>Escalation of Dispute</v>
      </c>
      <c r="AB546" s="5" t="str">
        <f ca="1">IFERROR(__xludf.DUMMYFUNCTION("""COMPUTED_VALUE"""),"Neither")</f>
        <v>Neither</v>
      </c>
      <c r="AC546" s="5" t="str">
        <f ca="1">IFERROR(__xludf.DUMMYFUNCTION("""COMPUTED_VALUE"""),"No")</f>
        <v>No</v>
      </c>
      <c r="AD546" s="5" t="str">
        <f ca="1">IFERROR(__xludf.DUMMYFUNCTION("""COMPUTED_VALUE"""),"No")</f>
        <v>No</v>
      </c>
      <c r="AE546" s="5" t="str">
        <f ca="1">IFERROR(__xludf.DUMMYFUNCTION("""COMPUTED_VALUE"""),"No")</f>
        <v>No</v>
      </c>
      <c r="AF546" s="5" t="str">
        <f ca="1">IFERROR(__xludf.DUMMYFUNCTION("""COMPUTED_VALUE"""),"No")</f>
        <v>No</v>
      </c>
      <c r="AG546" s="5" t="str">
        <f ca="1">IFERROR(__xludf.DUMMYFUNCTION("""COMPUTED_VALUE"""),"No")</f>
        <v>No</v>
      </c>
      <c r="AH546" s="5" t="str">
        <f ca="1">IFERROR(__xludf.DUMMYFUNCTION("""COMPUTED_VALUE"""),"No")</f>
        <v>No</v>
      </c>
      <c r="AI546" s="5"/>
      <c r="AJ546" s="5" t="str">
        <f ca="1">IFERROR(__xludf.DUMMYFUNCTION("""COMPUTED_VALUE"""),"No")</f>
        <v>No</v>
      </c>
    </row>
    <row r="547" spans="1:36" ht="13">
      <c r="A547" s="5" t="str">
        <f ca="1">IFERROR(__xludf.DUMMYFUNCTION("""COMPUTED_VALUE"""),"20210814SCDAH")</f>
        <v>20210814SCDAH</v>
      </c>
      <c r="B547" s="5">
        <f ca="1">IFERROR(__xludf.DUMMYFUNCTION("""COMPUTED_VALUE"""),8)</f>
        <v>8</v>
      </c>
      <c r="C547" s="5">
        <f ca="1">IFERROR(__xludf.DUMMYFUNCTION("""COMPUTED_VALUE"""),14)</f>
        <v>14</v>
      </c>
      <c r="D547" s="5">
        <f ca="1">IFERROR(__xludf.DUMMYFUNCTION("""COMPUTED_VALUE"""),2021)</f>
        <v>2021</v>
      </c>
      <c r="E547" s="8">
        <f ca="1">IFERROR(__xludf.DUMMYFUNCTION("""COMPUTED_VALUE"""),44422)</f>
        <v>44422</v>
      </c>
      <c r="F547" s="5" t="str">
        <f ca="1">IFERROR(__xludf.DUMMYFUNCTION("""COMPUTED_VALUE"""),"Darlington County School District Buses")</f>
        <v>Darlington County School District Buses</v>
      </c>
      <c r="G547" s="5">
        <f ca="1">IFERROR(__xludf.DUMMYFUNCTION("""COMPUTED_VALUE"""),0)</f>
        <v>0</v>
      </c>
      <c r="H547" s="5">
        <f ca="1">IFERROR(__xludf.DUMMYFUNCTION("""COMPUTED_VALUE"""),0)</f>
        <v>0</v>
      </c>
      <c r="I547" s="5">
        <f ca="1">IFERROR(__xludf.DUMMYFUNCTION("""COMPUTED_VALUE"""),0)</f>
        <v>0</v>
      </c>
      <c r="J547" s="5">
        <f ca="1">IFERROR(__xludf.DUMMYFUNCTION("""COMPUTED_VALUE"""),0)</f>
        <v>0</v>
      </c>
      <c r="K547" s="9" t="str">
        <f ca="1">IFERROR(__xludf.DUMMYFUNCTION("""COMPUTED_VALUE"""),"https://wpde.com/news/local/school-bus-windows-shot-out-with-bb-pellet-gun-in-hartsville")</f>
        <v>https://wpde.com/news/local/school-bus-windows-shot-out-with-bb-pellet-gun-in-hartsville</v>
      </c>
      <c r="L547" s="5">
        <f ca="1">IFERROR(__xludf.DUMMYFUNCTION("""COMPUTED_VALUE"""),1)</f>
        <v>1</v>
      </c>
      <c r="M547" s="5"/>
      <c r="N547" s="5">
        <f ca="1">IFERROR(__xludf.DUMMYFUNCTION("""COMPUTED_VALUE"""),3)</f>
        <v>3</v>
      </c>
      <c r="O547" s="5" t="str">
        <f ca="1">IFERROR(__xludf.DUMMYFUNCTION("""COMPUTED_VALUE"""),"Summer")</f>
        <v>Summer</v>
      </c>
      <c r="P547" s="5" t="str">
        <f ca="1">IFERROR(__xludf.DUMMYFUNCTION("""COMPUTED_VALUE"""),"Hartsville")</f>
        <v>Hartsville</v>
      </c>
      <c r="Q547" s="5" t="str">
        <f ca="1">IFERROR(__xludf.DUMMYFUNCTION("""COMPUTED_VALUE"""),"SC")</f>
        <v>SC</v>
      </c>
      <c r="R547" s="5"/>
      <c r="S547" s="5" t="str">
        <f ca="1">IFERROR(__xludf.DUMMYFUNCTION("""COMPUTED_VALUE"""),"School Bus")</f>
        <v>School Bus</v>
      </c>
      <c r="T547" s="5" t="str">
        <f ca="1">IFERROR(__xludf.DUMMYFUNCTION("""COMPUTED_VALUE"""),"School Bus")</f>
        <v>School Bus</v>
      </c>
      <c r="U547" s="5"/>
      <c r="V547" s="5" t="str">
        <f ca="1">IFERROR(__xludf.DUMMYFUNCTION("""COMPUTED_VALUE"""),"Not a School Day")</f>
        <v>Not a School Day</v>
      </c>
      <c r="W547" s="5"/>
      <c r="X547" s="5"/>
      <c r="Y547" s="5" t="str">
        <f ca="1">IFERROR(__xludf.DUMMYFUNCTION("""COMPUTED_VALUE"""),"Windows of 6 school buses shot with BBs")</f>
        <v>Windows of 6 school buses shot with BBs</v>
      </c>
      <c r="Z547" s="5" t="str">
        <f ca="1">IFERROR(__xludf.DUMMYFUNCTION("""COMPUTED_VALUE"""),"The windows of 6 school buses that were parked were shot with BBs or pellets over the weekend. No students or staff were injured.")</f>
        <v>The windows of 6 school buses that were parked were shot with BBs or pellets over the weekend. No students or staff were injured.</v>
      </c>
      <c r="AA547" s="5" t="str">
        <f ca="1">IFERROR(__xludf.DUMMYFUNCTION("""COMPUTED_VALUE"""),"Intentional Property Damage")</f>
        <v>Intentional Property Damage</v>
      </c>
      <c r="AB547" s="5" t="str">
        <f ca="1">IFERROR(__xludf.DUMMYFUNCTION("""COMPUTED_VALUE"""),"Neither")</f>
        <v>Neither</v>
      </c>
      <c r="AC547" s="5"/>
      <c r="AD547" s="5" t="str">
        <f ca="1">IFERROR(__xludf.DUMMYFUNCTION("""COMPUTED_VALUE"""),"No")</f>
        <v>No</v>
      </c>
      <c r="AE547" s="5" t="str">
        <f ca="1">IFERROR(__xludf.DUMMYFUNCTION("""COMPUTED_VALUE"""),"No")</f>
        <v>No</v>
      </c>
      <c r="AF547" s="5" t="str">
        <f ca="1">IFERROR(__xludf.DUMMYFUNCTION("""COMPUTED_VALUE"""),"No")</f>
        <v>No</v>
      </c>
      <c r="AG547" s="5"/>
      <c r="AH547" s="5" t="str">
        <f ca="1">IFERROR(__xludf.DUMMYFUNCTION("""COMPUTED_VALUE"""),"No")</f>
        <v>No</v>
      </c>
      <c r="AI547" s="5" t="str">
        <f ca="1">IFERROR(__xludf.DUMMYFUNCTION("""COMPUTED_VALUE"""),"No")</f>
        <v>No</v>
      </c>
      <c r="AJ547" s="5" t="str">
        <f ca="1">IFERROR(__xludf.DUMMYFUNCTION("""COMPUTED_VALUE"""),"No")</f>
        <v>No</v>
      </c>
    </row>
    <row r="548" spans="1:36" ht="13">
      <c r="A548" s="5" t="str">
        <f ca="1">IFERROR(__xludf.DUMMYFUNCTION("""COMPUTED_VALUE"""),"20210814ILMAC")</f>
        <v>20210814ILMAC</v>
      </c>
      <c r="B548" s="5">
        <f ca="1">IFERROR(__xludf.DUMMYFUNCTION("""COMPUTED_VALUE"""),8)</f>
        <v>8</v>
      </c>
      <c r="C548" s="5">
        <f ca="1">IFERROR(__xludf.DUMMYFUNCTION("""COMPUTED_VALUE"""),14)</f>
        <v>14</v>
      </c>
      <c r="D548" s="5">
        <f ca="1">IFERROR(__xludf.DUMMYFUNCTION("""COMPUTED_VALUE"""),2021)</f>
        <v>2021</v>
      </c>
      <c r="E548" s="8">
        <f ca="1">IFERROR(__xludf.DUMMYFUNCTION("""COMPUTED_VALUE"""),44422)</f>
        <v>44422</v>
      </c>
      <c r="F548" s="5" t="str">
        <f ca="1">IFERROR(__xludf.DUMMYFUNCTION("""COMPUTED_VALUE"""),"Mary E. McDowell Elementary School")</f>
        <v>Mary E. McDowell Elementary School</v>
      </c>
      <c r="G548" s="5">
        <f ca="1">IFERROR(__xludf.DUMMYFUNCTION("""COMPUTED_VALUE"""),0)</f>
        <v>0</v>
      </c>
      <c r="H548" s="5">
        <f ca="1">IFERROR(__xludf.DUMMYFUNCTION("""COMPUTED_VALUE"""),1)</f>
        <v>1</v>
      </c>
      <c r="I548" s="5">
        <f ca="1">IFERROR(__xludf.DUMMYFUNCTION("""COMPUTED_VALUE"""),1)</f>
        <v>1</v>
      </c>
      <c r="J548" s="5">
        <f ca="1">IFERROR(__xludf.DUMMYFUNCTION("""COMPUTED_VALUE"""),0)</f>
        <v>0</v>
      </c>
      <c r="K548" s="9" t="str">
        <f ca="1">IFERROR(__xludf.DUMMYFUNCTION("""COMPUTED_VALUE"""),"https://chicago.cbslocal.com/2021/08/14/15-year-old-boy-shot-near-elementary-school-calumet-heights/")</f>
        <v>https://chicago.cbslocal.com/2021/08/14/15-year-old-boy-shot-near-elementary-school-calumet-heights/</v>
      </c>
      <c r="L548" s="5">
        <f ca="1">IFERROR(__xludf.DUMMYFUNCTION("""COMPUTED_VALUE"""),2)</f>
        <v>2</v>
      </c>
      <c r="M548" s="5" t="str">
        <f ca="1">IFERROR(__xludf.DUMMYFUNCTION("""COMPUTED_VALUE"""),"Local")</f>
        <v>Local</v>
      </c>
      <c r="N548" s="5">
        <f ca="1">IFERROR(__xludf.DUMMYFUNCTION("""COMPUTED_VALUE"""),3)</f>
        <v>3</v>
      </c>
      <c r="O548" s="5" t="str">
        <f ca="1">IFERROR(__xludf.DUMMYFUNCTION("""COMPUTED_VALUE"""),"Summer")</f>
        <v>Summer</v>
      </c>
      <c r="P548" s="5" t="str">
        <f ca="1">IFERROR(__xludf.DUMMYFUNCTION("""COMPUTED_VALUE"""),"Chicago")</f>
        <v>Chicago</v>
      </c>
      <c r="Q548" s="5" t="str">
        <f ca="1">IFERROR(__xludf.DUMMYFUNCTION("""COMPUTED_VALUE"""),"IL")</f>
        <v>IL</v>
      </c>
      <c r="R548" s="5" t="str">
        <f ca="1">IFERROR(__xludf.DUMMYFUNCTION("""COMPUTED_VALUE"""),"Elementary")</f>
        <v>Elementary</v>
      </c>
      <c r="S548" s="5" t="str">
        <f ca="1">IFERROR(__xludf.DUMMYFUNCTION("""COMPUTED_VALUE"""),"Outside on School Property")</f>
        <v>Outside on School Property</v>
      </c>
      <c r="T548" s="5" t="str">
        <f ca="1">IFERROR(__xludf.DUMMYFUNCTION("""COMPUTED_VALUE"""),"Outside on School Property")</f>
        <v>Outside on School Property</v>
      </c>
      <c r="U548" s="5" t="str">
        <f ca="1">IFERROR(__xludf.DUMMYFUNCTION("""COMPUTED_VALUE"""),"No")</f>
        <v>No</v>
      </c>
      <c r="V548" s="5" t="str">
        <f ca="1">IFERROR(__xludf.DUMMYFUNCTION("""COMPUTED_VALUE"""),"Not a School Day")</f>
        <v>Not a School Day</v>
      </c>
      <c r="W548" s="10">
        <f ca="1">IFERROR(__xludf.DUMMYFUNCTION("""COMPUTED_VALUE"""),0.693055555555555)</f>
        <v>0.69305555555555498</v>
      </c>
      <c r="X548" s="5">
        <f ca="1">IFERROR(__xludf.DUMMYFUNCTION("""COMPUTED_VALUE"""),1)</f>
        <v>1</v>
      </c>
      <c r="Y548" s="5" t="str">
        <f ca="1">IFERROR(__xludf.DUMMYFUNCTION("""COMPUTED_VALUE"""),"Teen shot during drive-by outside elementary school")</f>
        <v>Teen shot during drive-by outside elementary school</v>
      </c>
      <c r="Z548" s="5" t="str">
        <f ca="1">IFERROR(__xludf.DUMMYFUNCTION("""COMPUTED_VALUE"""),"A 15-year-old teen was sitting outside of an elementary school when someone fired shots at him from a vehicle. He was wounded and transported to the hospital. Shooter fled.")</f>
        <v>A 15-year-old teen was sitting outside of an elementary school when someone fired shots at him from a vehicle. He was wounded and transported to the hospital. Shooter fled.</v>
      </c>
      <c r="AA548" s="5" t="str">
        <f ca="1">IFERROR(__xludf.DUMMYFUNCTION("""COMPUTED_VALUE"""),"Drive-by Shooting")</f>
        <v>Drive-by Shooting</v>
      </c>
      <c r="AB548" s="5" t="str">
        <f ca="1">IFERROR(__xludf.DUMMYFUNCTION("""COMPUTED_VALUE"""),"Victims Targeted")</f>
        <v>Victims Targeted</v>
      </c>
      <c r="AC548" s="5"/>
      <c r="AD548" s="5" t="str">
        <f ca="1">IFERROR(__xludf.DUMMYFUNCTION("""COMPUTED_VALUE"""),"No")</f>
        <v>No</v>
      </c>
      <c r="AE548" s="5" t="str">
        <f ca="1">IFERROR(__xludf.DUMMYFUNCTION("""COMPUTED_VALUE"""),"No")</f>
        <v>No</v>
      </c>
      <c r="AF548" s="5" t="str">
        <f ca="1">IFERROR(__xludf.DUMMYFUNCTION("""COMPUTED_VALUE"""),"No")</f>
        <v>No</v>
      </c>
      <c r="AG548" s="5" t="str">
        <f ca="1">IFERROR(__xludf.DUMMYFUNCTION("""COMPUTED_VALUE"""),"No")</f>
        <v>No</v>
      </c>
      <c r="AH548" s="5" t="str">
        <f ca="1">IFERROR(__xludf.DUMMYFUNCTION("""COMPUTED_VALUE"""),"No")</f>
        <v>No</v>
      </c>
      <c r="AI548" s="5"/>
      <c r="AJ548" s="5" t="str">
        <f ca="1">IFERROR(__xludf.DUMMYFUNCTION("""COMPUTED_VALUE"""),"No")</f>
        <v>No</v>
      </c>
    </row>
    <row r="549" spans="1:36" ht="13">
      <c r="A549" s="5" t="str">
        <f ca="1">IFERROR(__xludf.DUMMYFUNCTION("""COMPUTED_VALUE"""),"20210813NMWAA")</f>
        <v>20210813NMWAA</v>
      </c>
      <c r="B549" s="5">
        <f ca="1">IFERROR(__xludf.DUMMYFUNCTION("""COMPUTED_VALUE"""),8)</f>
        <v>8</v>
      </c>
      <c r="C549" s="5">
        <f ca="1">IFERROR(__xludf.DUMMYFUNCTION("""COMPUTED_VALUE"""),13)</f>
        <v>13</v>
      </c>
      <c r="D549" s="5">
        <f ca="1">IFERROR(__xludf.DUMMYFUNCTION("""COMPUTED_VALUE"""),2021)</f>
        <v>2021</v>
      </c>
      <c r="E549" s="8">
        <f ca="1">IFERROR(__xludf.DUMMYFUNCTION("""COMPUTED_VALUE"""),44421)</f>
        <v>44421</v>
      </c>
      <c r="F549" s="5" t="str">
        <f ca="1">IFERROR(__xludf.DUMMYFUNCTION("""COMPUTED_VALUE"""),"Washington Middle School")</f>
        <v>Washington Middle School</v>
      </c>
      <c r="G549" s="5">
        <f ca="1">IFERROR(__xludf.DUMMYFUNCTION("""COMPUTED_VALUE"""),1)</f>
        <v>1</v>
      </c>
      <c r="H549" s="5">
        <f ca="1">IFERROR(__xludf.DUMMYFUNCTION("""COMPUTED_VALUE"""),0)</f>
        <v>0</v>
      </c>
      <c r="I549" s="5">
        <f ca="1">IFERROR(__xludf.DUMMYFUNCTION("""COMPUTED_VALUE"""),1)</f>
        <v>1</v>
      </c>
      <c r="J549" s="5">
        <f ca="1">IFERROR(__xludf.DUMMYFUNCTION("""COMPUTED_VALUE"""),0)</f>
        <v>0</v>
      </c>
      <c r="K549" s="5" t="str">
        <f ca="1">IFERROR(__xludf.DUMMYFUNCTION("""COMPUTED_VALUE"""),"https://www.krqe.com/news/albuquerque-metro/albuquerque-teen-pleads-no-contest-in-fatal-washington-middle-school-shooting/
https://www.koat.com/article/police-multiple-students-knew-school-shooter-had-a-gun/37321357# https://www.yourbasin.com/news/nationa"&amp;"l/1-dies-in-albuquerque-school-shooting-student-detained/ https://www.kob.com/albuquerque-news/apd-student-killed-in-shooting-on-washington-middle-school-campus/6206622/")</f>
        <v>https://www.krqe.com/news/albuquerque-metro/albuquerque-teen-pleads-no-contest-in-fatal-washington-middle-school-shooting/
https://www.koat.com/article/police-multiple-students-knew-school-shooter-had-a-gun/37321357# https://www.yourbasin.com/news/national/1-dies-in-albuquerque-school-shooting-student-detained/ https://www.kob.com/albuquerque-news/apd-student-killed-in-shooting-on-washington-middle-school-campus/6206622/</v>
      </c>
      <c r="L549" s="5">
        <f ca="1">IFERROR(__xludf.DUMMYFUNCTION("""COMPUTED_VALUE"""),50)</f>
        <v>50</v>
      </c>
      <c r="M549" s="5" t="str">
        <f ca="1">IFERROR(__xludf.DUMMYFUNCTION("""COMPUTED_VALUE"""),"National")</f>
        <v>National</v>
      </c>
      <c r="N549" s="5">
        <f ca="1">IFERROR(__xludf.DUMMYFUNCTION("""COMPUTED_VALUE"""),4)</f>
        <v>4</v>
      </c>
      <c r="O549" s="5" t="str">
        <f ca="1">IFERROR(__xludf.DUMMYFUNCTION("""COMPUTED_VALUE"""),"Fall")</f>
        <v>Fall</v>
      </c>
      <c r="P549" s="5" t="str">
        <f ca="1">IFERROR(__xludf.DUMMYFUNCTION("""COMPUTED_VALUE"""),"Albuquerque")</f>
        <v>Albuquerque</v>
      </c>
      <c r="Q549" s="5" t="str">
        <f ca="1">IFERROR(__xludf.DUMMYFUNCTION("""COMPUTED_VALUE"""),"NM")</f>
        <v>NM</v>
      </c>
      <c r="R549" s="5" t="str">
        <f ca="1">IFERROR(__xludf.DUMMYFUNCTION("""COMPUTED_VALUE"""),"Middle")</f>
        <v>Middle</v>
      </c>
      <c r="S549" s="5" t="str">
        <f ca="1">IFERROR(__xludf.DUMMYFUNCTION("""COMPUTED_VALUE"""),"Playground")</f>
        <v>Playground</v>
      </c>
      <c r="T549" s="5" t="str">
        <f ca="1">IFERROR(__xludf.DUMMYFUNCTION("""COMPUTED_VALUE"""),"Outside on School Property")</f>
        <v>Outside on School Property</v>
      </c>
      <c r="U549" s="5" t="str">
        <f ca="1">IFERROR(__xludf.DUMMYFUNCTION("""COMPUTED_VALUE"""),"Yes")</f>
        <v>Yes</v>
      </c>
      <c r="V549" s="5" t="str">
        <f ca="1">IFERROR(__xludf.DUMMYFUNCTION("""COMPUTED_VALUE"""),"Lunch")</f>
        <v>Lunch</v>
      </c>
      <c r="W549" s="10">
        <f ca="1">IFERROR(__xludf.DUMMYFUNCTION("""COMPUTED_VALUE"""),0.53125)</f>
        <v>0.53125</v>
      </c>
      <c r="X549" s="5">
        <f ca="1">IFERROR(__xludf.DUMMYFUNCTION("""COMPUTED_VALUE"""),1)</f>
        <v>1</v>
      </c>
      <c r="Y549" s="5" t="str">
        <f ca="1">IFERROR(__xludf.DUMMYFUNCTION("""COMPUTED_VALUE"""),"Student shot another student during recess following a prior dispute")</f>
        <v>Student shot another student during recess following a prior dispute</v>
      </c>
      <c r="Z549" s="5" t="str">
        <f ca="1">IFERROR(__xludf.DUMMYFUNCTION("""COMPUTED_VALUE"""),"A 13-year-old student fired 6 shots at another 13-year-old student on the playground of the school during recess. Other students witnessed the shooting and said the victim was attempting to de-escalate a conflict between other students when he was shot. A"&amp;" SRO was nearby and able to quickly detain the shooter. School went into lockdown and then dismissed. Multiple students reported to police that the shooter had shown them a gun prior to the shooting.")</f>
        <v>A 13-year-old student fired 6 shots at another 13-year-old student on the playground of the school during recess. Other students witnessed the shooting and said the victim was attempting to de-escalate a conflict between other students when he was shot. A SRO was nearby and able to quickly detain the shooter. School went into lockdown and then dismissed. Multiple students reported to police that the shooter had shown them a gun prior to the shooting.</v>
      </c>
      <c r="AA549" s="5" t="str">
        <f ca="1">IFERROR(__xludf.DUMMYFUNCTION("""COMPUTED_VALUE"""),"Escalation of Dispute")</f>
        <v>Escalation of Dispute</v>
      </c>
      <c r="AB549" s="5" t="str">
        <f ca="1">IFERROR(__xludf.DUMMYFUNCTION("""COMPUTED_VALUE"""),"Victims Targeted")</f>
        <v>Victims Targeted</v>
      </c>
      <c r="AC549" s="5" t="str">
        <f ca="1">IFERROR(__xludf.DUMMYFUNCTION("""COMPUTED_VALUE"""),"No")</f>
        <v>No</v>
      </c>
      <c r="AD549" s="5" t="str">
        <f ca="1">IFERROR(__xludf.DUMMYFUNCTION("""COMPUTED_VALUE"""),"No")</f>
        <v>No</v>
      </c>
      <c r="AE549" s="5" t="str">
        <f ca="1">IFERROR(__xludf.DUMMYFUNCTION("""COMPUTED_VALUE"""),"No")</f>
        <v>No</v>
      </c>
      <c r="AF549" s="5" t="str">
        <f ca="1">IFERROR(__xludf.DUMMYFUNCTION("""COMPUTED_VALUE"""),"No")</f>
        <v>No</v>
      </c>
      <c r="AG549" s="5" t="str">
        <f ca="1">IFERROR(__xludf.DUMMYFUNCTION("""COMPUTED_VALUE"""),"Yes")</f>
        <v>Yes</v>
      </c>
      <c r="AH549" s="5" t="str">
        <f ca="1">IFERROR(__xludf.DUMMYFUNCTION("""COMPUTED_VALUE"""),"No")</f>
        <v>No</v>
      </c>
      <c r="AI549" s="5" t="str">
        <f ca="1">IFERROR(__xludf.DUMMYFUNCTION("""COMPUTED_VALUE"""),"No")</f>
        <v>No</v>
      </c>
      <c r="AJ549" s="5" t="str">
        <f ca="1">IFERROR(__xludf.DUMMYFUNCTION("""COMPUTED_VALUE"""),"No")</f>
        <v>No</v>
      </c>
    </row>
    <row r="550" spans="1:36" ht="13">
      <c r="A550" s="5" t="str">
        <f ca="1">IFERROR(__xludf.DUMMYFUNCTION("""COMPUTED_VALUE"""),"20210813GACAS")</f>
        <v>20210813GACAS</v>
      </c>
      <c r="B550" s="5">
        <f ca="1">IFERROR(__xludf.DUMMYFUNCTION("""COMPUTED_VALUE"""),8)</f>
        <v>8</v>
      </c>
      <c r="C550" s="5">
        <f ca="1">IFERROR(__xludf.DUMMYFUNCTION("""COMPUTED_VALUE"""),13)</f>
        <v>13</v>
      </c>
      <c r="D550" s="5">
        <f ca="1">IFERROR(__xludf.DUMMYFUNCTION("""COMPUTED_VALUE"""),2021)</f>
        <v>2021</v>
      </c>
      <c r="E550" s="8">
        <f ca="1">IFERROR(__xludf.DUMMYFUNCTION("""COMPUTED_VALUE"""),44421)</f>
        <v>44421</v>
      </c>
      <c r="F550" s="5" t="str">
        <f ca="1">IFERROR(__xludf.DUMMYFUNCTION("""COMPUTED_VALUE"""),"Campbell High SChool")</f>
        <v>Campbell High SChool</v>
      </c>
      <c r="G550" s="5">
        <f ca="1">IFERROR(__xludf.DUMMYFUNCTION("""COMPUTED_VALUE"""),0)</f>
        <v>0</v>
      </c>
      <c r="H550" s="5">
        <f ca="1">IFERROR(__xludf.DUMMYFUNCTION("""COMPUTED_VALUE"""),0)</f>
        <v>0</v>
      </c>
      <c r="I550" s="5">
        <f ca="1">IFERROR(__xludf.DUMMYFUNCTION("""COMPUTED_VALUE"""),0)</f>
        <v>0</v>
      </c>
      <c r="J550" s="5">
        <f ca="1">IFERROR(__xludf.DUMMYFUNCTION("""COMPUTED_VALUE"""),0)</f>
        <v>0</v>
      </c>
      <c r="K550" s="5" t="str">
        <f ca="1">IFERROR(__xludf.DUMMYFUNCTION("""COMPUTED_VALUE"""),"https://www.wsbtv.com/news/local/cobb-county/shots-fired-after-high-school-football-scrimmage-smyrna-friday-night/UWEGAJMNMBFP7LZIIB6MUMHSAE/ https://www.fox5atlanta.com/news/shots-fired-outside-high-school-football-game-in-smyrna-police-say https://www.c"&amp;"bs46.com/news/smyrna-police-investigating-shooting-at-high-school-football-game/article_46663e44-fcaa-11eb-b292-f312855cbd3f.html")</f>
        <v>https://www.wsbtv.com/news/local/cobb-county/shots-fired-after-high-school-football-scrimmage-smyrna-friday-night/UWEGAJMNMBFP7LZIIB6MUMHSAE/ https://www.fox5atlanta.com/news/shots-fired-outside-high-school-football-game-in-smyrna-police-say https://www.cbs46.com/news/smyrna-police-investigating-shooting-at-high-school-football-game/article_46663e44-fcaa-11eb-b292-f312855cbd3f.html</v>
      </c>
      <c r="L550" s="5">
        <f ca="1">IFERROR(__xludf.DUMMYFUNCTION("""COMPUTED_VALUE"""),5)</f>
        <v>5</v>
      </c>
      <c r="M550" s="5" t="str">
        <f ca="1">IFERROR(__xludf.DUMMYFUNCTION("""COMPUTED_VALUE"""),"Regional")</f>
        <v>Regional</v>
      </c>
      <c r="N550" s="5">
        <f ca="1">IFERROR(__xludf.DUMMYFUNCTION("""COMPUTED_VALUE"""),4)</f>
        <v>4</v>
      </c>
      <c r="O550" s="5" t="str">
        <f ca="1">IFERROR(__xludf.DUMMYFUNCTION("""COMPUTED_VALUE"""),"Fall")</f>
        <v>Fall</v>
      </c>
      <c r="P550" s="5" t="str">
        <f ca="1">IFERROR(__xludf.DUMMYFUNCTION("""COMPUTED_VALUE"""),"Smyrna")</f>
        <v>Smyrna</v>
      </c>
      <c r="Q550" s="5" t="str">
        <f ca="1">IFERROR(__xludf.DUMMYFUNCTION("""COMPUTED_VALUE"""),"GA")</f>
        <v>GA</v>
      </c>
      <c r="R550" s="5" t="str">
        <f ca="1">IFERROR(__xludf.DUMMYFUNCTION("""COMPUTED_VALUE"""),"High")</f>
        <v>High</v>
      </c>
      <c r="S550" s="5" t="str">
        <f ca="1">IFERROR(__xludf.DUMMYFUNCTION("""COMPUTED_VALUE"""),"Football Field/Track")</f>
        <v>Football Field/Track</v>
      </c>
      <c r="T550" s="5" t="str">
        <f ca="1">IFERROR(__xludf.DUMMYFUNCTION("""COMPUTED_VALUE"""),"Outside on School Property")</f>
        <v>Outside on School Property</v>
      </c>
      <c r="U550" s="5" t="str">
        <f ca="1">IFERROR(__xludf.DUMMYFUNCTION("""COMPUTED_VALUE"""),"No")</f>
        <v>No</v>
      </c>
      <c r="V550" s="5" t="str">
        <f ca="1">IFERROR(__xludf.DUMMYFUNCTION("""COMPUTED_VALUE"""),"Sport Event")</f>
        <v>Sport Event</v>
      </c>
      <c r="W550" s="10">
        <f ca="1">IFERROR(__xludf.DUMMYFUNCTION("""COMPUTED_VALUE"""),0.885416666666666)</f>
        <v>0.88541666666666596</v>
      </c>
      <c r="X550" s="5">
        <f ca="1">IFERROR(__xludf.DUMMYFUNCTION("""COMPUTED_VALUE"""),1)</f>
        <v>1</v>
      </c>
      <c r="Y550" s="5" t="str">
        <f ca="1">IFERROR(__xludf.DUMMYFUNCTION("""COMPUTED_VALUE"""),"Shots fired during fight following high school football game")</f>
        <v>Shots fired during fight following high school football game</v>
      </c>
      <c r="Z550" s="5" t="str">
        <f ca="1">IFERROR(__xludf.DUMMYFUNCTION("""COMPUTED_VALUE"""),"Shots were figured during a fight between multiple people at the end of a high school football game. No injuries. Shooter fled. Students and attendees ran from the stadium. After the shooting, threats were posted on Snapchat warning students not to come t"&amp;"o school on Monday.")</f>
        <v>Shots were figured during a fight between multiple people at the end of a high school football game. No injuries. Shooter fled. Students and attendees ran from the stadium. After the shooting, threats were posted on Snapchat warning students not to come to school on Monday.</v>
      </c>
      <c r="AA550" s="5" t="str">
        <f ca="1">IFERROR(__xludf.DUMMYFUNCTION("""COMPUTED_VALUE"""),"Escalation of Dispute")</f>
        <v>Escalation of Dispute</v>
      </c>
      <c r="AB550" s="5" t="str">
        <f ca="1">IFERROR(__xludf.DUMMYFUNCTION("""COMPUTED_VALUE"""),"Neither")</f>
        <v>Neither</v>
      </c>
      <c r="AC550" s="5" t="str">
        <f ca="1">IFERROR(__xludf.DUMMYFUNCTION("""COMPUTED_VALUE"""),"No")</f>
        <v>No</v>
      </c>
      <c r="AD550" s="5" t="str">
        <f ca="1">IFERROR(__xludf.DUMMYFUNCTION("""COMPUTED_VALUE"""),"No")</f>
        <v>No</v>
      </c>
      <c r="AE550" s="5" t="str">
        <f ca="1">IFERROR(__xludf.DUMMYFUNCTION("""COMPUTED_VALUE"""),"No")</f>
        <v>No</v>
      </c>
      <c r="AF550" s="5" t="str">
        <f ca="1">IFERROR(__xludf.DUMMYFUNCTION("""COMPUTED_VALUE"""),"No")</f>
        <v>No</v>
      </c>
      <c r="AG550" s="5" t="str">
        <f ca="1">IFERROR(__xludf.DUMMYFUNCTION("""COMPUTED_VALUE"""),"No")</f>
        <v>No</v>
      </c>
      <c r="AH550" s="5" t="str">
        <f ca="1">IFERROR(__xludf.DUMMYFUNCTION("""COMPUTED_VALUE"""),"No")</f>
        <v>No</v>
      </c>
      <c r="AI550" s="5"/>
      <c r="AJ550" s="5" t="str">
        <f ca="1">IFERROR(__xludf.DUMMYFUNCTION("""COMPUTED_VALUE"""),"No")</f>
        <v>No</v>
      </c>
    </row>
    <row r="551" spans="1:36" ht="13">
      <c r="A551" s="5" t="str">
        <f ca="1">IFERROR(__xludf.DUMMYFUNCTION("""COMPUTED_VALUE"""),"20210812GALIL")</f>
        <v>20210812GALIL</v>
      </c>
      <c r="B551" s="5">
        <f ca="1">IFERROR(__xludf.DUMMYFUNCTION("""COMPUTED_VALUE"""),8)</f>
        <v>8</v>
      </c>
      <c r="C551" s="5">
        <f ca="1">IFERROR(__xludf.DUMMYFUNCTION("""COMPUTED_VALUE"""),12)</f>
        <v>12</v>
      </c>
      <c r="D551" s="5">
        <f ca="1">IFERROR(__xludf.DUMMYFUNCTION("""COMPUTED_VALUE"""),2021)</f>
        <v>2021</v>
      </c>
      <c r="E551" s="8">
        <f ca="1">IFERROR(__xludf.DUMMYFUNCTION("""COMPUTED_VALUE"""),44420)</f>
        <v>44420</v>
      </c>
      <c r="F551" s="5" t="str">
        <f ca="1">IFERROR(__xludf.DUMMYFUNCTION("""COMPUTED_VALUE"""),"Lithonia High School")</f>
        <v>Lithonia High School</v>
      </c>
      <c r="G551" s="5">
        <f ca="1">IFERROR(__xludf.DUMMYFUNCTION("""COMPUTED_VALUE"""),0)</f>
        <v>0</v>
      </c>
      <c r="H551" s="5">
        <f ca="1">IFERROR(__xludf.DUMMYFUNCTION("""COMPUTED_VALUE"""),1)</f>
        <v>1</v>
      </c>
      <c r="I551" s="5">
        <f ca="1">IFERROR(__xludf.DUMMYFUNCTION("""COMPUTED_VALUE"""),1)</f>
        <v>1</v>
      </c>
      <c r="J551" s="5">
        <f ca="1">IFERROR(__xludf.DUMMYFUNCTION("""COMPUTED_VALUE"""),0)</f>
        <v>0</v>
      </c>
      <c r="K551" s="5" t="str">
        <f ca="1">IFERROR(__xludf.DUMMYFUNCTION("""COMPUTED_VALUE"""),"https://www.11alive.com/article/news/crime/lithonia-high-school-resource-officer-involved-in-shooting/85-bfbcd697-d9dd-4cb4-bd59-0bdbcf81a64c https://www.wsbtv.com/news/local/dekalb-county/breaking-news-police-investigate-incident-lithonia-high-school/GDX"&amp;"J4NJIKJHUNC3OHHPRCP45R4/ https://www.ajc.com/news/breaking-large-police-presence-at-lithonia-high-school/EECHMWRMOBGLVJW4SPDUGR5W5Q/")</f>
        <v>https://www.11alive.com/article/news/crime/lithonia-high-school-resource-officer-involved-in-shooting/85-bfbcd697-d9dd-4cb4-bd59-0bdbcf81a64c https://www.wsbtv.com/news/local/dekalb-county/breaking-news-police-investigate-incident-lithonia-high-school/GDXJ4NJIKJHUNC3OHHPRCP45R4/ https://www.ajc.com/news/breaking-large-police-presence-at-lithonia-high-school/EECHMWRMOBGLVJW4SPDUGR5W5Q/</v>
      </c>
      <c r="L551" s="5">
        <f ca="1">IFERROR(__xludf.DUMMYFUNCTION("""COMPUTED_VALUE"""),10)</f>
        <v>10</v>
      </c>
      <c r="M551" s="5" t="str">
        <f ca="1">IFERROR(__xludf.DUMMYFUNCTION("""COMPUTED_VALUE"""),"Regional")</f>
        <v>Regional</v>
      </c>
      <c r="N551" s="5">
        <f ca="1">IFERROR(__xludf.DUMMYFUNCTION("""COMPUTED_VALUE"""),4)</f>
        <v>4</v>
      </c>
      <c r="O551" s="5" t="str">
        <f ca="1">IFERROR(__xludf.DUMMYFUNCTION("""COMPUTED_VALUE"""),"Fall")</f>
        <v>Fall</v>
      </c>
      <c r="P551" s="5" t="str">
        <f ca="1">IFERROR(__xludf.DUMMYFUNCTION("""COMPUTED_VALUE"""),"Lithonia")</f>
        <v>Lithonia</v>
      </c>
      <c r="Q551" s="5" t="str">
        <f ca="1">IFERROR(__xludf.DUMMYFUNCTION("""COMPUTED_VALUE"""),"GA")</f>
        <v>GA</v>
      </c>
      <c r="R551" s="5" t="str">
        <f ca="1">IFERROR(__xludf.DUMMYFUNCTION("""COMPUTED_VALUE"""),"High")</f>
        <v>High</v>
      </c>
      <c r="S551" s="5" t="str">
        <f ca="1">IFERROR(__xludf.DUMMYFUNCTION("""COMPUTED_VALUE"""),"Parking Lot")</f>
        <v>Parking Lot</v>
      </c>
      <c r="T551" s="5" t="str">
        <f ca="1">IFERROR(__xludf.DUMMYFUNCTION("""COMPUTED_VALUE"""),"Outside on School Property")</f>
        <v>Outside on School Property</v>
      </c>
      <c r="U551" s="5" t="str">
        <f ca="1">IFERROR(__xludf.DUMMYFUNCTION("""COMPUTED_VALUE"""),"Yes")</f>
        <v>Yes</v>
      </c>
      <c r="V551" s="5" t="str">
        <f ca="1">IFERROR(__xludf.DUMMYFUNCTION("""COMPUTED_VALUE"""),"Afternoon Classes")</f>
        <v>Afternoon Classes</v>
      </c>
      <c r="W551" s="10">
        <f ca="1">IFERROR(__xludf.DUMMYFUNCTION("""COMPUTED_VALUE"""),0.625)</f>
        <v>0.625</v>
      </c>
      <c r="X551" s="5">
        <f ca="1">IFERROR(__xludf.DUMMYFUNCTION("""COMPUTED_VALUE"""),1)</f>
        <v>1</v>
      </c>
      <c r="Y551" s="5" t="str">
        <f ca="1">IFERROR(__xludf.DUMMYFUNCTION("""COMPUTED_VALUE"""),"SRO attempted to stop 2 men, they fled in vehicle, and SRO fired shots at the vehicle")</f>
        <v>SRO attempted to stop 2 men, they fled in vehicle, and SRO fired shots at the vehicle</v>
      </c>
      <c r="Z551" s="5" t="str">
        <f ca="1">IFERROR(__xludf.DUMMYFUNCTION("""COMPUTED_VALUE"""),"Teachers alerted the SRO about 2 unauthorized men on the campus. The SRO attempted to stop the men in the school parking lot and they ran to a vehicle. Once in the vehicle, the men drove toward the SRO. He fired multiple shots striking the vehicle and the"&amp;" driver. Both men were arrested and a handgun was recovered from the vehicle. School was locked down. No students were injured.")</f>
        <v>Teachers alerted the SRO about 2 unauthorized men on the campus. The SRO attempted to stop the men in the school parking lot and they ran to a vehicle. Once in the vehicle, the men drove toward the SRO. He fired multiple shots striking the vehicle and the driver. Both men were arrested and a handgun was recovered from the vehicle. School was locked down. No students were injured.</v>
      </c>
      <c r="AA551" s="5" t="str">
        <f ca="1">IFERROR(__xludf.DUMMYFUNCTION("""COMPUTED_VALUE"""),"Officer-Involved Shooting")</f>
        <v>Officer-Involved Shooting</v>
      </c>
      <c r="AB551" s="5"/>
      <c r="AC551" s="5"/>
      <c r="AD551" s="5"/>
      <c r="AE551" s="5"/>
      <c r="AF551" s="5" t="str">
        <f ca="1">IFERROR(__xludf.DUMMYFUNCTION("""COMPUTED_VALUE"""),"Yes")</f>
        <v>Yes</v>
      </c>
      <c r="AG551" s="5"/>
      <c r="AH551" s="5"/>
      <c r="AI551" s="5"/>
      <c r="AJ551" s="5"/>
    </row>
    <row r="552" spans="1:36" ht="13">
      <c r="A552" s="5" t="str">
        <f ca="1">IFERROR(__xludf.DUMMYFUNCTION("""COMPUTED_VALUE"""),"20210812CANOS")</f>
        <v>20210812CANOS</v>
      </c>
      <c r="B552" s="5">
        <f ca="1">IFERROR(__xludf.DUMMYFUNCTION("""COMPUTED_VALUE"""),8)</f>
        <v>8</v>
      </c>
      <c r="C552" s="5">
        <f ca="1">IFERROR(__xludf.DUMMYFUNCTION("""COMPUTED_VALUE"""),12)</f>
        <v>12</v>
      </c>
      <c r="D552" s="5">
        <f ca="1">IFERROR(__xludf.DUMMYFUNCTION("""COMPUTED_VALUE"""),2021)</f>
        <v>2021</v>
      </c>
      <c r="E552" s="8">
        <f ca="1">IFERROR(__xludf.DUMMYFUNCTION("""COMPUTED_VALUE"""),44420)</f>
        <v>44420</v>
      </c>
      <c r="F552" s="5" t="str">
        <f ca="1">IFERROR(__xludf.DUMMYFUNCTION("""COMPUTED_VALUE"""),"North Mountain Middle School")</f>
        <v>North Mountain Middle School</v>
      </c>
      <c r="G552" s="5">
        <f ca="1">IFERROR(__xludf.DUMMYFUNCTION("""COMPUTED_VALUE"""),0)</f>
        <v>0</v>
      </c>
      <c r="H552" s="5">
        <f ca="1">IFERROR(__xludf.DUMMYFUNCTION("""COMPUTED_VALUE"""),0)</f>
        <v>0</v>
      </c>
      <c r="I552" s="5">
        <f ca="1">IFERROR(__xludf.DUMMYFUNCTION("""COMPUTED_VALUE"""),0)</f>
        <v>0</v>
      </c>
      <c r="J552" s="5">
        <f ca="1">IFERROR(__xludf.DUMMYFUNCTION("""COMPUTED_VALUE"""),0)</f>
        <v>0</v>
      </c>
      <c r="K552" s="9" t="str">
        <f ca="1">IFERROR(__xludf.DUMMYFUNCTION("""COMPUTED_VALUE"""),"https://www.pe.com/2021/08/12/early-morning-gunshot-locks-down-san-jacintos-north-mountain-middle-school/")</f>
        <v>https://www.pe.com/2021/08/12/early-morning-gunshot-locks-down-san-jacintos-north-mountain-middle-school/</v>
      </c>
      <c r="L552" s="5">
        <f ca="1">IFERROR(__xludf.DUMMYFUNCTION("""COMPUTED_VALUE"""),1)</f>
        <v>1</v>
      </c>
      <c r="M552" s="5" t="str">
        <f ca="1">IFERROR(__xludf.DUMMYFUNCTION("""COMPUTED_VALUE"""),"Local")</f>
        <v>Local</v>
      </c>
      <c r="N552" s="5">
        <f ca="1">IFERROR(__xludf.DUMMYFUNCTION("""COMPUTED_VALUE"""),4)</f>
        <v>4</v>
      </c>
      <c r="O552" s="5" t="str">
        <f ca="1">IFERROR(__xludf.DUMMYFUNCTION("""COMPUTED_VALUE"""),"Fall")</f>
        <v>Fall</v>
      </c>
      <c r="P552" s="5" t="str">
        <f ca="1">IFERROR(__xludf.DUMMYFUNCTION("""COMPUTED_VALUE"""),"San Jacinto")</f>
        <v>San Jacinto</v>
      </c>
      <c r="Q552" s="5" t="str">
        <f ca="1">IFERROR(__xludf.DUMMYFUNCTION("""COMPUTED_VALUE"""),"CA")</f>
        <v>CA</v>
      </c>
      <c r="R552" s="5" t="str">
        <f ca="1">IFERROR(__xludf.DUMMYFUNCTION("""COMPUTED_VALUE"""),"Middle")</f>
        <v>Middle</v>
      </c>
      <c r="S552" s="5" t="str">
        <f ca="1">IFERROR(__xludf.DUMMYFUNCTION("""COMPUTED_VALUE"""),"Bathroom")</f>
        <v>Bathroom</v>
      </c>
      <c r="T552" s="5" t="str">
        <f ca="1">IFERROR(__xludf.DUMMYFUNCTION("""COMPUTED_VALUE"""),"Inside School Building")</f>
        <v>Inside School Building</v>
      </c>
      <c r="U552" s="5" t="str">
        <f ca="1">IFERROR(__xludf.DUMMYFUNCTION("""COMPUTED_VALUE"""),"Yes")</f>
        <v>Yes</v>
      </c>
      <c r="V552" s="5" t="str">
        <f ca="1">IFERROR(__xludf.DUMMYFUNCTION("""COMPUTED_VALUE"""),"School Start")</f>
        <v>School Start</v>
      </c>
      <c r="W552" s="10">
        <f ca="1">IFERROR(__xludf.DUMMYFUNCTION("""COMPUTED_VALUE"""),0.299305555555555)</f>
        <v>0.29930555555555499</v>
      </c>
      <c r="X552" s="5">
        <f ca="1">IFERROR(__xludf.DUMMYFUNCTION("""COMPUTED_VALUE"""),1)</f>
        <v>1</v>
      </c>
      <c r="Y552" s="5" t="str">
        <f ca="1">IFERROR(__xludf.DUMMYFUNCTION("""COMPUTED_VALUE"""),"Student fired shot in the school bathroom")</f>
        <v>Student fired shot in the school bathroom</v>
      </c>
      <c r="Z552" s="5" t="str">
        <f ca="1">IFERROR(__xludf.DUMMYFUNCTION("""COMPUTED_VALUE"""),"As the school opened, a student fired a shot inside a bathroom of the school. The student was the only person in the bathroom at the time of the shooting. School used active shooter plan and went into lockdown. 4 minutes later, sheriff's deputies located "&amp;"the student, secured the firearm, and released the lockdown. Student was arrested. Motive unknown.")</f>
        <v>As the school opened, a student fired a shot inside a bathroom of the school. The student was the only person in the bathroom at the time of the shooting. School used active shooter plan and went into lockdown. 4 minutes later, sheriff's deputies located the student, secured the firearm, and released the lockdown. Student was arrested. Motive unknown.</v>
      </c>
      <c r="AA552" s="5"/>
      <c r="AB552" s="5" t="str">
        <f ca="1">IFERROR(__xludf.DUMMYFUNCTION("""COMPUTED_VALUE"""),"Neither")</f>
        <v>Neither</v>
      </c>
      <c r="AC552" s="5" t="str">
        <f ca="1">IFERROR(__xludf.DUMMYFUNCTION("""COMPUTED_VALUE"""),"No")</f>
        <v>No</v>
      </c>
      <c r="AD552" s="5" t="str">
        <f ca="1">IFERROR(__xludf.DUMMYFUNCTION("""COMPUTED_VALUE"""),"No")</f>
        <v>No</v>
      </c>
      <c r="AE552" s="5" t="str">
        <f ca="1">IFERROR(__xludf.DUMMYFUNCTION("""COMPUTED_VALUE"""),"No")</f>
        <v>No</v>
      </c>
      <c r="AF552" s="5" t="str">
        <f ca="1">IFERROR(__xludf.DUMMYFUNCTION("""COMPUTED_VALUE"""),"No")</f>
        <v>No</v>
      </c>
      <c r="AG552" s="5"/>
      <c r="AH552" s="5" t="str">
        <f ca="1">IFERROR(__xludf.DUMMYFUNCTION("""COMPUTED_VALUE"""),"No")</f>
        <v>No</v>
      </c>
      <c r="AI552" s="5" t="str">
        <f ca="1">IFERROR(__xludf.DUMMYFUNCTION("""COMPUTED_VALUE"""),"No")</f>
        <v>No</v>
      </c>
      <c r="AJ552" s="5" t="str">
        <f ca="1">IFERROR(__xludf.DUMMYFUNCTION("""COMPUTED_VALUE"""),"No")</f>
        <v>No</v>
      </c>
    </row>
    <row r="553" spans="1:36" ht="13">
      <c r="A553" s="5" t="str">
        <f ca="1">IFERROR(__xludf.DUMMYFUNCTION("""COMPUTED_VALUE"""),"20210811CAOAO")</f>
        <v>20210811CAOAO</v>
      </c>
      <c r="B553" s="5">
        <f ca="1">IFERROR(__xludf.DUMMYFUNCTION("""COMPUTED_VALUE"""),8)</f>
        <v>8</v>
      </c>
      <c r="C553" s="5">
        <f ca="1">IFERROR(__xludf.DUMMYFUNCTION("""COMPUTED_VALUE"""),11)</f>
        <v>11</v>
      </c>
      <c r="D553" s="5">
        <f ca="1">IFERROR(__xludf.DUMMYFUNCTION("""COMPUTED_VALUE"""),2021)</f>
        <v>2021</v>
      </c>
      <c r="E553" s="8">
        <f ca="1">IFERROR(__xludf.DUMMYFUNCTION("""COMPUTED_VALUE"""),44419)</f>
        <v>44419</v>
      </c>
      <c r="F553" s="5" t="str">
        <f ca="1">IFERROR(__xludf.DUMMYFUNCTION("""COMPUTED_VALUE"""),"Oakland Tech High School")</f>
        <v>Oakland Tech High School</v>
      </c>
      <c r="G553" s="5">
        <f ca="1">IFERROR(__xludf.DUMMYFUNCTION("""COMPUTED_VALUE"""),0)</f>
        <v>0</v>
      </c>
      <c r="H553" s="5">
        <f ca="1">IFERROR(__xludf.DUMMYFUNCTION("""COMPUTED_VALUE"""),0)</f>
        <v>0</v>
      </c>
      <c r="I553" s="5">
        <f ca="1">IFERROR(__xludf.DUMMYFUNCTION("""COMPUTED_VALUE"""),0)</f>
        <v>0</v>
      </c>
      <c r="J553" s="5">
        <f ca="1">IFERROR(__xludf.DUMMYFUNCTION("""COMPUTED_VALUE"""),0)</f>
        <v>0</v>
      </c>
      <c r="K553" s="5" t="str">
        <f ca="1">IFERROR(__xludf.DUMMYFUNCTION("""COMPUTED_VALUE"""),"https://www.kron4.com/news/bay-area/shots-fired-near-oakland-tech-high-school/ https://sanfrancisco.cbslocal.com/2021/08/13/after-school-shooting-near-oakland-tech/")</f>
        <v>https://www.kron4.com/news/bay-area/shots-fired-near-oakland-tech-high-school/ https://sanfrancisco.cbslocal.com/2021/08/13/after-school-shooting-near-oakland-tech/</v>
      </c>
      <c r="L553" s="5">
        <f ca="1">IFERROR(__xludf.DUMMYFUNCTION("""COMPUTED_VALUE"""),3)</f>
        <v>3</v>
      </c>
      <c r="M553" s="5" t="str">
        <f ca="1">IFERROR(__xludf.DUMMYFUNCTION("""COMPUTED_VALUE"""),"Local")</f>
        <v>Local</v>
      </c>
      <c r="N553" s="5">
        <f ca="1">IFERROR(__xludf.DUMMYFUNCTION("""COMPUTED_VALUE"""),4)</f>
        <v>4</v>
      </c>
      <c r="O553" s="5" t="str">
        <f ca="1">IFERROR(__xludf.DUMMYFUNCTION("""COMPUTED_VALUE"""),"Fall")</f>
        <v>Fall</v>
      </c>
      <c r="P553" s="5" t="str">
        <f ca="1">IFERROR(__xludf.DUMMYFUNCTION("""COMPUTED_VALUE"""),"Oakland")</f>
        <v>Oakland</v>
      </c>
      <c r="Q553" s="5" t="str">
        <f ca="1">IFERROR(__xludf.DUMMYFUNCTION("""COMPUTED_VALUE"""),"CA")</f>
        <v>CA</v>
      </c>
      <c r="R553" s="5" t="str">
        <f ca="1">IFERROR(__xludf.DUMMYFUNCTION("""COMPUTED_VALUE"""),"High")</f>
        <v>High</v>
      </c>
      <c r="S553" s="5" t="str">
        <f ca="1">IFERROR(__xludf.DUMMYFUNCTION("""COMPUTED_VALUE"""),"Beside Building")</f>
        <v>Beside Building</v>
      </c>
      <c r="T553" s="5" t="str">
        <f ca="1">IFERROR(__xludf.DUMMYFUNCTION("""COMPUTED_VALUE"""),"Outside on School Property")</f>
        <v>Outside on School Property</v>
      </c>
      <c r="U553" s="5" t="str">
        <f ca="1">IFERROR(__xludf.DUMMYFUNCTION("""COMPUTED_VALUE"""),"Yes")</f>
        <v>Yes</v>
      </c>
      <c r="V553" s="5" t="str">
        <f ca="1">IFERROR(__xludf.DUMMYFUNCTION("""COMPUTED_VALUE"""),"Dismissal")</f>
        <v>Dismissal</v>
      </c>
      <c r="W553" s="10">
        <f ca="1">IFERROR(__xludf.DUMMYFUNCTION("""COMPUTED_VALUE"""),0.645833333333333)</f>
        <v>0.64583333333333304</v>
      </c>
      <c r="X553" s="5">
        <f ca="1">IFERROR(__xludf.DUMMYFUNCTION("""COMPUTED_VALUE"""),1)</f>
        <v>1</v>
      </c>
      <c r="Y553" s="5" t="str">
        <f ca="1">IFERROR(__xludf.DUMMYFUNCTION("""COMPUTED_VALUE"""),"Shots fired outside of the school during dismissal")</f>
        <v>Shots fired outside of the school during dismissal</v>
      </c>
      <c r="Z553" s="5" t="str">
        <f ca="1">IFERROR(__xludf.DUMMYFUNCTION("""COMPUTED_VALUE"""),"10 shots were fired during dismissal of the school. Shooter fled the scene. Students who were still in the building were locked down and parents picked them up away from the campus. No injuries. Shell casing were recovered next to the building.")</f>
        <v>10 shots were fired during dismissal of the school. Shooter fled the scene. Students who were still in the building were locked down and parents picked them up away from the campus. No injuries. Shell casing were recovered next to the building.</v>
      </c>
      <c r="AA553" s="5"/>
      <c r="AB553" s="5"/>
      <c r="AC553" s="5" t="str">
        <f ca="1">IFERROR(__xludf.DUMMYFUNCTION("""COMPUTED_VALUE"""),"No")</f>
        <v>No</v>
      </c>
      <c r="AD553" s="5" t="str">
        <f ca="1">IFERROR(__xludf.DUMMYFUNCTION("""COMPUTED_VALUE"""),"No")</f>
        <v>No</v>
      </c>
      <c r="AE553" s="5" t="str">
        <f ca="1">IFERROR(__xludf.DUMMYFUNCTION("""COMPUTED_VALUE"""),"No")</f>
        <v>No</v>
      </c>
      <c r="AF553" s="5" t="str">
        <f ca="1">IFERROR(__xludf.DUMMYFUNCTION("""COMPUTED_VALUE"""),"No")</f>
        <v>No</v>
      </c>
      <c r="AG553" s="5" t="str">
        <f ca="1">IFERROR(__xludf.DUMMYFUNCTION("""COMPUTED_VALUE"""),"No")</f>
        <v>No</v>
      </c>
      <c r="AH553" s="5" t="str">
        <f ca="1">IFERROR(__xludf.DUMMYFUNCTION("""COMPUTED_VALUE"""),"No")</f>
        <v>No</v>
      </c>
      <c r="AI553" s="5"/>
      <c r="AJ553" s="5" t="str">
        <f ca="1">IFERROR(__xludf.DUMMYFUNCTION("""COMPUTED_VALUE"""),"No")</f>
        <v>No</v>
      </c>
    </row>
    <row r="554" spans="1:36" ht="13">
      <c r="A554" s="5" t="str">
        <f ca="1">IFERROR(__xludf.DUMMYFUNCTION("""COMPUTED_VALUE"""),"20210811COMAC")</f>
        <v>20210811COMAC</v>
      </c>
      <c r="B554" s="5">
        <f ca="1">IFERROR(__xludf.DUMMYFUNCTION("""COMPUTED_VALUE"""),8)</f>
        <v>8</v>
      </c>
      <c r="C554" s="5">
        <f ca="1">IFERROR(__xludf.DUMMYFUNCTION("""COMPUTED_VALUE"""),11)</f>
        <v>11</v>
      </c>
      <c r="D554" s="5">
        <f ca="1">IFERROR(__xludf.DUMMYFUNCTION("""COMPUTED_VALUE"""),2021)</f>
        <v>2021</v>
      </c>
      <c r="E554" s="8">
        <f ca="1">IFERROR(__xludf.DUMMYFUNCTION("""COMPUTED_VALUE"""),44419)</f>
        <v>44419</v>
      </c>
      <c r="F554" s="5" t="str">
        <f ca="1">IFERROR(__xludf.DUMMYFUNCTION("""COMPUTED_VALUE"""),"Mark Twain Elementary School")</f>
        <v>Mark Twain Elementary School</v>
      </c>
      <c r="G554" s="5">
        <f ca="1">IFERROR(__xludf.DUMMYFUNCTION("""COMPUTED_VALUE"""),0)</f>
        <v>0</v>
      </c>
      <c r="H554" s="5">
        <f ca="1">IFERROR(__xludf.DUMMYFUNCTION("""COMPUTED_VALUE"""),1)</f>
        <v>1</v>
      </c>
      <c r="I554" s="5">
        <f ca="1">IFERROR(__xludf.DUMMYFUNCTION("""COMPUTED_VALUE"""),1)</f>
        <v>1</v>
      </c>
      <c r="J554" s="5">
        <f ca="1">IFERROR(__xludf.DUMMYFUNCTION("""COMPUTED_VALUE"""),0)</f>
        <v>0</v>
      </c>
      <c r="K554" s="5" t="str">
        <f ca="1">IFERROR(__xludf.DUMMYFUNCTION("""COMPUTED_VALUE"""),"https://www.koaa.com/news/covering-colorado/one-person-shot-near-mark-twain-elementary-wednesday-morning https://www.kktv.com/2021/08/11/one-person-shot-outside-colorado-springs-elementary-school-wednesday-morning/ https://gazette.com/news/one-seriously-w"&amp;"ounded-in-shooting-near-colorado-springs-elementary-school/article_aa8617d2-fa9d-11eb-80d9-e729e24e8452.html")</f>
        <v>https://www.koaa.com/news/covering-colorado/one-person-shot-near-mark-twain-elementary-wednesday-morning https://www.kktv.com/2021/08/11/one-person-shot-outside-colorado-springs-elementary-school-wednesday-morning/ https://gazette.com/news/one-seriously-wounded-in-shooting-near-colorado-springs-elementary-school/article_aa8617d2-fa9d-11eb-80d9-e729e24e8452.html</v>
      </c>
      <c r="L554" s="5">
        <f ca="1">IFERROR(__xludf.DUMMYFUNCTION("""COMPUTED_VALUE"""),3)</f>
        <v>3</v>
      </c>
      <c r="M554" s="5" t="str">
        <f ca="1">IFERROR(__xludf.DUMMYFUNCTION("""COMPUTED_VALUE"""),"Local")</f>
        <v>Local</v>
      </c>
      <c r="N554" s="5">
        <f ca="1">IFERROR(__xludf.DUMMYFUNCTION("""COMPUTED_VALUE"""),3)</f>
        <v>3</v>
      </c>
      <c r="O554" s="5" t="str">
        <f ca="1">IFERROR(__xludf.DUMMYFUNCTION("""COMPUTED_VALUE"""),"Summer")</f>
        <v>Summer</v>
      </c>
      <c r="P554" s="5" t="str">
        <f ca="1">IFERROR(__xludf.DUMMYFUNCTION("""COMPUTED_VALUE"""),"Colorado Springs")</f>
        <v>Colorado Springs</v>
      </c>
      <c r="Q554" s="5" t="str">
        <f ca="1">IFERROR(__xludf.DUMMYFUNCTION("""COMPUTED_VALUE"""),"CO")</f>
        <v>CO</v>
      </c>
      <c r="R554" s="5" t="str">
        <f ca="1">IFERROR(__xludf.DUMMYFUNCTION("""COMPUTED_VALUE"""),"Elementary")</f>
        <v>Elementary</v>
      </c>
      <c r="S554" s="5" t="str">
        <f ca="1">IFERROR(__xludf.DUMMYFUNCTION("""COMPUTED_VALUE"""),"Outside on School Property")</f>
        <v>Outside on School Property</v>
      </c>
      <c r="T554" s="5" t="str">
        <f ca="1">IFERROR(__xludf.DUMMYFUNCTION("""COMPUTED_VALUE"""),"Outside on School Property")</f>
        <v>Outside on School Property</v>
      </c>
      <c r="U554" s="5" t="str">
        <f ca="1">IFERROR(__xludf.DUMMYFUNCTION("""COMPUTED_VALUE"""),"No")</f>
        <v>No</v>
      </c>
      <c r="V554" s="5" t="str">
        <f ca="1">IFERROR(__xludf.DUMMYFUNCTION("""COMPUTED_VALUE"""),"Night")</f>
        <v>Night</v>
      </c>
      <c r="W554" s="10">
        <f ca="1">IFERROR(__xludf.DUMMYFUNCTION("""COMPUTED_VALUE"""),0.0416666666666666)</f>
        <v>4.1666666666666602E-2</v>
      </c>
      <c r="X554" s="5">
        <f ca="1">IFERROR(__xludf.DUMMYFUNCTION("""COMPUTED_VALUE"""),1)</f>
        <v>1</v>
      </c>
      <c r="Y554" s="5" t="str">
        <f ca="1">IFERROR(__xludf.DUMMYFUNCTION("""COMPUTED_VALUE"""),"Man shot outside of the school")</f>
        <v>Man shot outside of the school</v>
      </c>
      <c r="Z554" s="5" t="str">
        <f ca="1">IFERROR(__xludf.DUMMYFUNCTION("""COMPUTED_VALUE"""),"An adult male was shot outside of the school and walked several blocks before telling officers he was shot. School was closed at the time of the shooting.")</f>
        <v>An adult male was shot outside of the school and walked several blocks before telling officers he was shot. School was closed at the time of the shooting.</v>
      </c>
      <c r="AA554" s="5"/>
      <c r="AB554" s="5"/>
      <c r="AC554" s="5" t="str">
        <f ca="1">IFERROR(__xludf.DUMMYFUNCTION("""COMPUTED_VALUE"""),"No")</f>
        <v>No</v>
      </c>
      <c r="AD554" s="5" t="str">
        <f ca="1">IFERROR(__xludf.DUMMYFUNCTION("""COMPUTED_VALUE"""),"No")</f>
        <v>No</v>
      </c>
      <c r="AE554" s="5" t="str">
        <f ca="1">IFERROR(__xludf.DUMMYFUNCTION("""COMPUTED_VALUE"""),"No")</f>
        <v>No</v>
      </c>
      <c r="AF554" s="5" t="str">
        <f ca="1">IFERROR(__xludf.DUMMYFUNCTION("""COMPUTED_VALUE"""),"No")</f>
        <v>No</v>
      </c>
      <c r="AG554" s="5" t="str">
        <f ca="1">IFERROR(__xludf.DUMMYFUNCTION("""COMPUTED_VALUE"""),"No")</f>
        <v>No</v>
      </c>
      <c r="AH554" s="5" t="str">
        <f ca="1">IFERROR(__xludf.DUMMYFUNCTION("""COMPUTED_VALUE"""),"No")</f>
        <v>No</v>
      </c>
      <c r="AI554" s="5"/>
      <c r="AJ554" s="5" t="str">
        <f ca="1">IFERROR(__xludf.DUMMYFUNCTION("""COMPUTED_VALUE"""),"No")</f>
        <v>No</v>
      </c>
    </row>
    <row r="555" spans="1:36" ht="13">
      <c r="A555" s="5" t="str">
        <f ca="1">IFERROR(__xludf.DUMMYFUNCTION("""COMPUTED_VALUE"""),"20210810OHEAC")</f>
        <v>20210810OHEAC</v>
      </c>
      <c r="B555" s="5">
        <f ca="1">IFERROR(__xludf.DUMMYFUNCTION("""COMPUTED_VALUE"""),8)</f>
        <v>8</v>
      </c>
      <c r="C555" s="5">
        <f ca="1">IFERROR(__xludf.DUMMYFUNCTION("""COMPUTED_VALUE"""),10)</f>
        <v>10</v>
      </c>
      <c r="D555" s="5">
        <f ca="1">IFERROR(__xludf.DUMMYFUNCTION("""COMPUTED_VALUE"""),2021)</f>
        <v>2021</v>
      </c>
      <c r="E555" s="8">
        <f ca="1">IFERROR(__xludf.DUMMYFUNCTION("""COMPUTED_VALUE"""),44418)</f>
        <v>44418</v>
      </c>
      <c r="F555" s="5" t="str">
        <f ca="1">IFERROR(__xludf.DUMMYFUNCTION("""COMPUTED_VALUE"""),"East Linden Elementary School")</f>
        <v>East Linden Elementary School</v>
      </c>
      <c r="G555" s="5">
        <f ca="1">IFERROR(__xludf.DUMMYFUNCTION("""COMPUTED_VALUE"""),0)</f>
        <v>0</v>
      </c>
      <c r="H555" s="5">
        <f ca="1">IFERROR(__xludf.DUMMYFUNCTION("""COMPUTED_VALUE"""),1)</f>
        <v>1</v>
      </c>
      <c r="I555" s="5">
        <f ca="1">IFERROR(__xludf.DUMMYFUNCTION("""COMPUTED_VALUE"""),1)</f>
        <v>1</v>
      </c>
      <c r="J555" s="5">
        <f ca="1">IFERROR(__xludf.DUMMYFUNCTION("""COMPUTED_VALUE"""),0)</f>
        <v>0</v>
      </c>
      <c r="K555" s="5" t="str">
        <f ca="1">IFERROR(__xludf.DUMMYFUNCTION("""COMPUTED_VALUE"""),"https://www.cleveland.com/crime/2021/08/boy-12-playing-with-gun-outside-columbus-elementary-school-accidentally-shoots-teen.html https://www.nbc4i.com/news/local-news/columbus/person-stable-after-being-found-shot-near-east-columbus-elementary-school/ http"&amp;"s://www.10tv.com/article/news/local/teen-injured-in-shooting-outside-east-linden-elementary/530-8bd0002b-4f06-46c0-a090-782563e20e0d https://abc6onyourside.com/news/local/shooting-near-east-linden-elementary-school-8-10-2021")</f>
        <v>https://www.cleveland.com/crime/2021/08/boy-12-playing-with-gun-outside-columbus-elementary-school-accidentally-shoots-teen.html https://www.nbc4i.com/news/local-news/columbus/person-stable-after-being-found-shot-near-east-columbus-elementary-school/ https://www.10tv.com/article/news/local/teen-injured-in-shooting-outside-east-linden-elementary/530-8bd0002b-4f06-46c0-a090-782563e20e0d https://abc6onyourside.com/news/local/shooting-near-east-linden-elementary-school-8-10-2021</v>
      </c>
      <c r="L555" s="5">
        <f ca="1">IFERROR(__xludf.DUMMYFUNCTION("""COMPUTED_VALUE"""),4)</f>
        <v>4</v>
      </c>
      <c r="M555" s="5" t="str">
        <f ca="1">IFERROR(__xludf.DUMMYFUNCTION("""COMPUTED_VALUE"""),"Local")</f>
        <v>Local</v>
      </c>
      <c r="N555" s="5">
        <f ca="1">IFERROR(__xludf.DUMMYFUNCTION("""COMPUTED_VALUE"""),4)</f>
        <v>4</v>
      </c>
      <c r="O555" s="5" t="str">
        <f ca="1">IFERROR(__xludf.DUMMYFUNCTION("""COMPUTED_VALUE"""),"Summer")</f>
        <v>Summer</v>
      </c>
      <c r="P555" s="5" t="str">
        <f ca="1">IFERROR(__xludf.DUMMYFUNCTION("""COMPUTED_VALUE"""),"Columbus")</f>
        <v>Columbus</v>
      </c>
      <c r="Q555" s="5" t="str">
        <f ca="1">IFERROR(__xludf.DUMMYFUNCTION("""COMPUTED_VALUE"""),"OH")</f>
        <v>OH</v>
      </c>
      <c r="R555" s="5" t="str">
        <f ca="1">IFERROR(__xludf.DUMMYFUNCTION("""COMPUTED_VALUE"""),"Elementary")</f>
        <v>Elementary</v>
      </c>
      <c r="S555" s="5" t="str">
        <f ca="1">IFERROR(__xludf.DUMMYFUNCTION("""COMPUTED_VALUE"""),"Beside Building")</f>
        <v>Beside Building</v>
      </c>
      <c r="T555" s="5" t="str">
        <f ca="1">IFERROR(__xludf.DUMMYFUNCTION("""COMPUTED_VALUE"""),"Outside on School Property")</f>
        <v>Outside on School Property</v>
      </c>
      <c r="U555" s="5" t="str">
        <f ca="1">IFERROR(__xludf.DUMMYFUNCTION("""COMPUTED_VALUE"""),"No")</f>
        <v>No</v>
      </c>
      <c r="V555" s="5" t="str">
        <f ca="1">IFERROR(__xludf.DUMMYFUNCTION("""COMPUTED_VALUE"""),"Evening")</f>
        <v>Evening</v>
      </c>
      <c r="W555" s="10">
        <f ca="1">IFERROR(__xludf.DUMMYFUNCTION("""COMPUTED_VALUE"""),0.716666666666666)</f>
        <v>0.71666666666666601</v>
      </c>
      <c r="X555" s="5">
        <f ca="1">IFERROR(__xludf.DUMMYFUNCTION("""COMPUTED_VALUE"""),1)</f>
        <v>1</v>
      </c>
      <c r="Y555" s="5" t="str">
        <f ca="1">IFERROR(__xludf.DUMMYFUNCTION("""COMPUTED_VALUE"""),"Group of teens was playing with gun, one shot was fired striking a teen")</f>
        <v>Group of teens was playing with gun, one shot was fired striking a teen</v>
      </c>
      <c r="Z555" s="5" t="str">
        <f ca="1">IFERROR(__xludf.DUMMYFUNCTION("""COMPUTED_VALUE"""),"A 15-year-old teen was shot in the stomach. A group of teens were playing with the gun and a 12-year-old male fired the accidental shot. Police are reviewing the case to determine if charges will be filed. Victim was transported to the hospital.")</f>
        <v>A 15-year-old teen was shot in the stomach. A group of teens were playing with the gun and a 12-year-old male fired the accidental shot. Police are reviewing the case to determine if charges will be filed. Victim was transported to the hospital.</v>
      </c>
      <c r="AA555" s="5" t="str">
        <f ca="1">IFERROR(__xludf.DUMMYFUNCTION("""COMPUTED_VALUE"""),"Accidental")</f>
        <v>Accidental</v>
      </c>
      <c r="AB555" s="5" t="str">
        <f ca="1">IFERROR(__xludf.DUMMYFUNCTION("""COMPUTED_VALUE"""),"Random Shooting")</f>
        <v>Random Shooting</v>
      </c>
      <c r="AC555" s="5" t="str">
        <f ca="1">IFERROR(__xludf.DUMMYFUNCTION("""COMPUTED_VALUE"""),"No")</f>
        <v>No</v>
      </c>
      <c r="AD555" s="5" t="str">
        <f ca="1">IFERROR(__xludf.DUMMYFUNCTION("""COMPUTED_VALUE"""),"No")</f>
        <v>No</v>
      </c>
      <c r="AE555" s="5" t="str">
        <f ca="1">IFERROR(__xludf.DUMMYFUNCTION("""COMPUTED_VALUE"""),"No")</f>
        <v>No</v>
      </c>
      <c r="AF555" s="5" t="str">
        <f ca="1">IFERROR(__xludf.DUMMYFUNCTION("""COMPUTED_VALUE"""),"No")</f>
        <v>No</v>
      </c>
      <c r="AG555" s="5" t="str">
        <f ca="1">IFERROR(__xludf.DUMMYFUNCTION("""COMPUTED_VALUE"""),"No")</f>
        <v>No</v>
      </c>
      <c r="AH555" s="5" t="str">
        <f ca="1">IFERROR(__xludf.DUMMYFUNCTION("""COMPUTED_VALUE"""),"No")</f>
        <v>No</v>
      </c>
      <c r="AI555" s="5" t="str">
        <f ca="1">IFERROR(__xludf.DUMMYFUNCTION("""COMPUTED_VALUE"""),"No")</f>
        <v>No</v>
      </c>
      <c r="AJ555" s="5" t="str">
        <f ca="1">IFERROR(__xludf.DUMMYFUNCTION("""COMPUTED_VALUE"""),"No")</f>
        <v>No</v>
      </c>
    </row>
    <row r="556" spans="1:36" ht="13">
      <c r="A556" s="5" t="str">
        <f ca="1">IFERROR(__xludf.DUMMYFUNCTION("""COMPUTED_VALUE"""),"20210807ORGIP")</f>
        <v>20210807ORGIP</v>
      </c>
      <c r="B556" s="5">
        <f ca="1">IFERROR(__xludf.DUMMYFUNCTION("""COMPUTED_VALUE"""),8)</f>
        <v>8</v>
      </c>
      <c r="C556" s="5">
        <f ca="1">IFERROR(__xludf.DUMMYFUNCTION("""COMPUTED_VALUE"""),7)</f>
        <v>7</v>
      </c>
      <c r="D556" s="5">
        <f ca="1">IFERROR(__xludf.DUMMYFUNCTION("""COMPUTED_VALUE"""),2021)</f>
        <v>2021</v>
      </c>
      <c r="E556" s="8">
        <f ca="1">IFERROR(__xludf.DUMMYFUNCTION("""COMPUTED_VALUE"""),44415)</f>
        <v>44415</v>
      </c>
      <c r="F556" s="5" t="str">
        <f ca="1">IFERROR(__xludf.DUMMYFUNCTION("""COMPUTED_VALUE"""),"Gilbert Heights Elementary School")</f>
        <v>Gilbert Heights Elementary School</v>
      </c>
      <c r="G556" s="5">
        <f ca="1">IFERROR(__xludf.DUMMYFUNCTION("""COMPUTED_VALUE"""),1)</f>
        <v>1</v>
      </c>
      <c r="H556" s="5">
        <f ca="1">IFERROR(__xludf.DUMMYFUNCTION("""COMPUTED_VALUE"""),0)</f>
        <v>0</v>
      </c>
      <c r="I556" s="5">
        <f ca="1">IFERROR(__xludf.DUMMYFUNCTION("""COMPUTED_VALUE"""),1)</f>
        <v>1</v>
      </c>
      <c r="J556" s="5">
        <f ca="1">IFERROR(__xludf.DUMMYFUNCTION("""COMPUTED_VALUE"""),0)</f>
        <v>0</v>
      </c>
      <c r="K556" s="9" t="str">
        <f ca="1">IFERROR(__xludf.DUMMYFUNCTION("""COMPUTED_VALUE"""),"https://www.oregonlive.com/portland/2021/08/man-found-dead-after-shooting-in-portlands-powellhurst-gilbert-neighborhood-police-say.html")</f>
        <v>https://www.oregonlive.com/portland/2021/08/man-found-dead-after-shooting-in-portlands-powellhurst-gilbert-neighborhood-police-say.html</v>
      </c>
      <c r="L556" s="5">
        <f ca="1">IFERROR(__xludf.DUMMYFUNCTION("""COMPUTED_VALUE"""),1)</f>
        <v>1</v>
      </c>
      <c r="M556" s="5" t="str">
        <f ca="1">IFERROR(__xludf.DUMMYFUNCTION("""COMPUTED_VALUE"""),"Local")</f>
        <v>Local</v>
      </c>
      <c r="N556" s="5">
        <f ca="1">IFERROR(__xludf.DUMMYFUNCTION("""COMPUTED_VALUE"""),3)</f>
        <v>3</v>
      </c>
      <c r="O556" s="5" t="str">
        <f ca="1">IFERROR(__xludf.DUMMYFUNCTION("""COMPUTED_VALUE"""),"Summer")</f>
        <v>Summer</v>
      </c>
      <c r="P556" s="5" t="str">
        <f ca="1">IFERROR(__xludf.DUMMYFUNCTION("""COMPUTED_VALUE"""),"Portland")</f>
        <v>Portland</v>
      </c>
      <c r="Q556" s="5" t="str">
        <f ca="1">IFERROR(__xludf.DUMMYFUNCTION("""COMPUTED_VALUE"""),"OR")</f>
        <v>OR</v>
      </c>
      <c r="R556" s="5" t="str">
        <f ca="1">IFERROR(__xludf.DUMMYFUNCTION("""COMPUTED_VALUE"""),"Elementary")</f>
        <v>Elementary</v>
      </c>
      <c r="S556" s="5" t="str">
        <f ca="1">IFERROR(__xludf.DUMMYFUNCTION("""COMPUTED_VALUE"""),"Parking Lot")</f>
        <v>Parking Lot</v>
      </c>
      <c r="T556" s="5" t="str">
        <f ca="1">IFERROR(__xludf.DUMMYFUNCTION("""COMPUTED_VALUE"""),"Outside on School Property")</f>
        <v>Outside on School Property</v>
      </c>
      <c r="U556" s="5" t="str">
        <f ca="1">IFERROR(__xludf.DUMMYFUNCTION("""COMPUTED_VALUE"""),"No")</f>
        <v>No</v>
      </c>
      <c r="V556" s="5" t="str">
        <f ca="1">IFERROR(__xludf.DUMMYFUNCTION("""COMPUTED_VALUE"""),"Night")</f>
        <v>Night</v>
      </c>
      <c r="W556" s="5"/>
      <c r="X556" s="5"/>
      <c r="Y556" s="5" t="str">
        <f ca="1">IFERROR(__xludf.DUMMYFUNCTION("""COMPUTED_VALUE"""),"Man found fatally shot in school parking lot")</f>
        <v>Man found fatally shot in school parking lot</v>
      </c>
      <c r="Z556" s="5" t="str">
        <f ca="1">IFERROR(__xludf.DUMMYFUNCTION("""COMPUTED_VALUE"""),"A security guard found the body of a man who had been fatally shot in the parking lot behind the school.")</f>
        <v>A security guard found the body of a man who had been fatally shot in the parking lot behind the school.</v>
      </c>
      <c r="AA556" s="5"/>
      <c r="AB556" s="5"/>
      <c r="AC556" s="5"/>
      <c r="AD556" s="5" t="str">
        <f ca="1">IFERROR(__xludf.DUMMYFUNCTION("""COMPUTED_VALUE"""),"No")</f>
        <v>No</v>
      </c>
      <c r="AE556" s="5" t="str">
        <f ca="1">IFERROR(__xludf.DUMMYFUNCTION("""COMPUTED_VALUE"""),"No")</f>
        <v>No</v>
      </c>
      <c r="AF556" s="5" t="str">
        <f ca="1">IFERROR(__xludf.DUMMYFUNCTION("""COMPUTED_VALUE"""),"No")</f>
        <v>No</v>
      </c>
      <c r="AG556" s="5" t="str">
        <f ca="1">IFERROR(__xludf.DUMMYFUNCTION("""COMPUTED_VALUE"""),"No")</f>
        <v>No</v>
      </c>
      <c r="AH556" s="5"/>
      <c r="AI556" s="5"/>
      <c r="AJ556" s="5" t="str">
        <f ca="1">IFERROR(__xludf.DUMMYFUNCTION("""COMPUTED_VALUE"""),"No")</f>
        <v>No</v>
      </c>
    </row>
    <row r="557" spans="1:36" ht="13">
      <c r="A557" s="5" t="str">
        <f ca="1">IFERROR(__xludf.DUMMYFUNCTION("""COMPUTED_VALUE"""),"20210806LASTH")</f>
        <v>20210806LASTH</v>
      </c>
      <c r="B557" s="5">
        <f ca="1">IFERROR(__xludf.DUMMYFUNCTION("""COMPUTED_VALUE"""),8)</f>
        <v>8</v>
      </c>
      <c r="C557" s="5">
        <f ca="1">IFERROR(__xludf.DUMMYFUNCTION("""COMPUTED_VALUE"""),6)</f>
        <v>6</v>
      </c>
      <c r="D557" s="5">
        <f ca="1">IFERROR(__xludf.DUMMYFUNCTION("""COMPUTED_VALUE"""),2021)</f>
        <v>2021</v>
      </c>
      <c r="E557" s="8">
        <f ca="1">IFERROR(__xludf.DUMMYFUNCTION("""COMPUTED_VALUE"""),44414)</f>
        <v>44414</v>
      </c>
      <c r="F557" s="5" t="str">
        <f ca="1">IFERROR(__xludf.DUMMYFUNCTION("""COMPUTED_VALUE"""),"St. Francis de Sales school")</f>
        <v>St. Francis de Sales school</v>
      </c>
      <c r="G557" s="5">
        <f ca="1">IFERROR(__xludf.DUMMYFUNCTION("""COMPUTED_VALUE"""),0)</f>
        <v>0</v>
      </c>
      <c r="H557" s="5">
        <f ca="1">IFERROR(__xludf.DUMMYFUNCTION("""COMPUTED_VALUE"""),1)</f>
        <v>1</v>
      </c>
      <c r="I557" s="5">
        <f ca="1">IFERROR(__xludf.DUMMYFUNCTION("""COMPUTED_VALUE"""),1)</f>
        <v>1</v>
      </c>
      <c r="J557" s="5">
        <f ca="1">IFERROR(__xludf.DUMMYFUNCTION("""COMPUTED_VALUE"""),0)</f>
        <v>0</v>
      </c>
      <c r="K557" s="5" t="str">
        <f ca="1">IFERROR(__xludf.DUMMYFUNCTION("""COMPUTED_VALUE"""),"https://www.fox8live.com/2021/08/06/grandmother-shot-while-picking-up-grandkids-school/ https://www.wwltv.com/article/news/local/lafourche-terrebonne/houma-grandmother-shot-while-picking-up-grandkids-from-school-police-report/289-7613b278-3224-442a-9631-3"&amp;"17fc8286309 https://www.houmatoday.com/story/news/2021/08/06/woman-shot-while-picking-up-grandkids-houma-school-police-say/5517607001/")</f>
        <v>https://www.fox8live.com/2021/08/06/grandmother-shot-while-picking-up-grandkids-school/ https://www.wwltv.com/article/news/local/lafourche-terrebonne/houma-grandmother-shot-while-picking-up-grandkids-from-school-police-report/289-7613b278-3224-442a-9631-317fc8286309 https://www.houmatoday.com/story/news/2021/08/06/woman-shot-while-picking-up-grandkids-houma-school-police-say/5517607001/</v>
      </c>
      <c r="L557" s="5">
        <f ca="1">IFERROR(__xludf.DUMMYFUNCTION("""COMPUTED_VALUE"""),3)</f>
        <v>3</v>
      </c>
      <c r="M557" s="5" t="str">
        <f ca="1">IFERROR(__xludf.DUMMYFUNCTION("""COMPUTED_VALUE"""),"Local")</f>
        <v>Local</v>
      </c>
      <c r="N557" s="5">
        <f ca="1">IFERROR(__xludf.DUMMYFUNCTION("""COMPUTED_VALUE"""),4)</f>
        <v>4</v>
      </c>
      <c r="O557" s="5" t="str">
        <f ca="1">IFERROR(__xludf.DUMMYFUNCTION("""COMPUTED_VALUE"""),"Summer")</f>
        <v>Summer</v>
      </c>
      <c r="P557" s="5" t="str">
        <f ca="1">IFERROR(__xludf.DUMMYFUNCTION("""COMPUTED_VALUE"""),"Houma")</f>
        <v>Houma</v>
      </c>
      <c r="Q557" s="5" t="str">
        <f ca="1">IFERROR(__xludf.DUMMYFUNCTION("""COMPUTED_VALUE"""),"LA")</f>
        <v>LA</v>
      </c>
      <c r="R557" s="5" t="str">
        <f ca="1">IFERROR(__xludf.DUMMYFUNCTION("""COMPUTED_VALUE"""),"K-8")</f>
        <v>K-8</v>
      </c>
      <c r="S557" s="5" t="str">
        <f ca="1">IFERROR(__xludf.DUMMYFUNCTION("""COMPUTED_VALUE"""),"Front of School")</f>
        <v>Front of School</v>
      </c>
      <c r="T557" s="5" t="str">
        <f ca="1">IFERROR(__xludf.DUMMYFUNCTION("""COMPUTED_VALUE"""),"Outside on School Property")</f>
        <v>Outside on School Property</v>
      </c>
      <c r="U557" s="5" t="str">
        <f ca="1">IFERROR(__xludf.DUMMYFUNCTION("""COMPUTED_VALUE"""),"Yes")</f>
        <v>Yes</v>
      </c>
      <c r="V557" s="5" t="str">
        <f ca="1">IFERROR(__xludf.DUMMYFUNCTION("""COMPUTED_VALUE"""),"Dismissal")</f>
        <v>Dismissal</v>
      </c>
      <c r="W557" s="10">
        <f ca="1">IFERROR(__xludf.DUMMYFUNCTION("""COMPUTED_VALUE"""),0.541666666666666)</f>
        <v>0.54166666666666596</v>
      </c>
      <c r="X557" s="5">
        <f ca="1">IFERROR(__xludf.DUMMYFUNCTION("""COMPUTED_VALUE"""),1)</f>
        <v>1</v>
      </c>
      <c r="Y557" s="5" t="str">
        <f ca="1">IFERROR(__xludf.DUMMYFUNCTION("""COMPUTED_VALUE"""),"Woman shot inside her car in pick-up line during attempted robbery")</f>
        <v>Woman shot inside her car in pick-up line during attempted robbery</v>
      </c>
      <c r="Z557" s="5" t="str">
        <f ca="1">IFERROR(__xludf.DUMMYFUNCTION("""COMPUTED_VALUE"""),"A 60-year-old woman was inside her vehicle in the pick-up line waiting for her grandchildren. A 17-year-old male opened her car door, attempted to steal property, and then shot her once in the abdomen. Shooter fled the scene. No students or staff were inj"&amp;"ured.")</f>
        <v>A 60-year-old woman was inside her vehicle in the pick-up line waiting for her grandchildren. A 17-year-old male opened her car door, attempted to steal property, and then shot her once in the abdomen. Shooter fled the scene. No students or staff were injured.</v>
      </c>
      <c r="AA557" s="5" t="str">
        <f ca="1">IFERROR(__xludf.DUMMYFUNCTION("""COMPUTED_VALUE"""),"Illegal Activity")</f>
        <v>Illegal Activity</v>
      </c>
      <c r="AB557" s="5" t="str">
        <f ca="1">IFERROR(__xludf.DUMMYFUNCTION("""COMPUTED_VALUE"""),"Random Shooting")</f>
        <v>Random Shooting</v>
      </c>
      <c r="AC557" s="5" t="str">
        <f ca="1">IFERROR(__xludf.DUMMYFUNCTION("""COMPUTED_VALUE"""),"No")</f>
        <v>No</v>
      </c>
      <c r="AD557" s="5" t="str">
        <f ca="1">IFERROR(__xludf.DUMMYFUNCTION("""COMPUTED_VALUE"""),"No")</f>
        <v>No</v>
      </c>
      <c r="AE557" s="5" t="str">
        <f ca="1">IFERROR(__xludf.DUMMYFUNCTION("""COMPUTED_VALUE"""),"No")</f>
        <v>No</v>
      </c>
      <c r="AF557" s="5" t="str">
        <f ca="1">IFERROR(__xludf.DUMMYFUNCTION("""COMPUTED_VALUE"""),"No")</f>
        <v>No</v>
      </c>
      <c r="AG557" s="5" t="str">
        <f ca="1">IFERROR(__xludf.DUMMYFUNCTION("""COMPUTED_VALUE"""),"No")</f>
        <v>No</v>
      </c>
      <c r="AH557" s="5" t="str">
        <f ca="1">IFERROR(__xludf.DUMMYFUNCTION("""COMPUTED_VALUE"""),"No")</f>
        <v>No</v>
      </c>
      <c r="AI557" s="5" t="str">
        <f ca="1">IFERROR(__xludf.DUMMYFUNCTION("""COMPUTED_VALUE"""),"No")</f>
        <v>No</v>
      </c>
      <c r="AJ557" s="5" t="str">
        <f ca="1">IFERROR(__xludf.DUMMYFUNCTION("""COMPUTED_VALUE"""),"No")</f>
        <v>No</v>
      </c>
    </row>
    <row r="558" spans="1:36" ht="13">
      <c r="A558" s="5" t="str">
        <f ca="1">IFERROR(__xludf.DUMMYFUNCTION("""COMPUTED_VALUE"""),"20210805GACHD")</f>
        <v>20210805GACHD</v>
      </c>
      <c r="B558" s="5">
        <f ca="1">IFERROR(__xludf.DUMMYFUNCTION("""COMPUTED_VALUE"""),8)</f>
        <v>8</v>
      </c>
      <c r="C558" s="5">
        <f ca="1">IFERROR(__xludf.DUMMYFUNCTION("""COMPUTED_VALUE"""),5)</f>
        <v>5</v>
      </c>
      <c r="D558" s="5">
        <f ca="1">IFERROR(__xludf.DUMMYFUNCTION("""COMPUTED_VALUE"""),2021)</f>
        <v>2021</v>
      </c>
      <c r="E558" s="8">
        <f ca="1">IFERROR(__xludf.DUMMYFUNCTION("""COMPUTED_VALUE"""),44413)</f>
        <v>44413</v>
      </c>
      <c r="F558" s="5" t="str">
        <f ca="1">IFERROR(__xludf.DUMMYFUNCTION("""COMPUTED_VALUE"""),"Chapel Hill Middle School")</f>
        <v>Chapel Hill Middle School</v>
      </c>
      <c r="G558" s="5">
        <f ca="1">IFERROR(__xludf.DUMMYFUNCTION("""COMPUTED_VALUE"""),0)</f>
        <v>0</v>
      </c>
      <c r="H558" s="5">
        <f ca="1">IFERROR(__xludf.DUMMYFUNCTION("""COMPUTED_VALUE"""),0)</f>
        <v>0</v>
      </c>
      <c r="I558" s="5">
        <f ca="1">IFERROR(__xludf.DUMMYFUNCTION("""COMPUTED_VALUE"""),0)</f>
        <v>0</v>
      </c>
      <c r="J558" s="5">
        <f ca="1">IFERROR(__xludf.DUMMYFUNCTION("""COMPUTED_VALUE"""),0)</f>
        <v>0</v>
      </c>
      <c r="K558" s="5" t="str">
        <f ca="1">IFERROR(__xludf.DUMMYFUNCTION("""COMPUTED_VALUE"""),"https://www.fox5atlanta.com/news/fire-damages-dekalb-county-school-teacher-charged-with-arson https://www.foxnews.com/us/georgia-teacher-faces-arson-charge-middle-school")</f>
        <v>https://www.fox5atlanta.com/news/fire-damages-dekalb-county-school-teacher-charged-with-arson https://www.foxnews.com/us/georgia-teacher-faces-arson-charge-middle-school</v>
      </c>
      <c r="L558" s="5">
        <f ca="1">IFERROR(__xludf.DUMMYFUNCTION("""COMPUTED_VALUE"""),2)</f>
        <v>2</v>
      </c>
      <c r="M558" s="5" t="str">
        <f ca="1">IFERROR(__xludf.DUMMYFUNCTION("""COMPUTED_VALUE"""),"National")</f>
        <v>National</v>
      </c>
      <c r="N558" s="5">
        <f ca="1">IFERROR(__xludf.DUMMYFUNCTION("""COMPUTED_VALUE"""),4)</f>
        <v>4</v>
      </c>
      <c r="O558" s="5" t="str">
        <f ca="1">IFERROR(__xludf.DUMMYFUNCTION("""COMPUTED_VALUE"""),"Summer")</f>
        <v>Summer</v>
      </c>
      <c r="P558" s="5" t="str">
        <f ca="1">IFERROR(__xludf.DUMMYFUNCTION("""COMPUTED_VALUE"""),"Douglasville")</f>
        <v>Douglasville</v>
      </c>
      <c r="Q558" s="5" t="str">
        <f ca="1">IFERROR(__xludf.DUMMYFUNCTION("""COMPUTED_VALUE"""),"GA")</f>
        <v>GA</v>
      </c>
      <c r="R558" s="5" t="str">
        <f ca="1">IFERROR(__xludf.DUMMYFUNCTION("""COMPUTED_VALUE"""),"Middle")</f>
        <v>Middle</v>
      </c>
      <c r="S558" s="5" t="str">
        <f ca="1">IFERROR(__xludf.DUMMYFUNCTION("""COMPUTED_VALUE"""),"Office")</f>
        <v>Office</v>
      </c>
      <c r="T558" s="5" t="str">
        <f ca="1">IFERROR(__xludf.DUMMYFUNCTION("""COMPUTED_VALUE"""),"Inside School Building")</f>
        <v>Inside School Building</v>
      </c>
      <c r="U558" s="5" t="str">
        <f ca="1">IFERROR(__xludf.DUMMYFUNCTION("""COMPUTED_VALUE"""),"No")</f>
        <v>No</v>
      </c>
      <c r="V558" s="5" t="str">
        <f ca="1">IFERROR(__xludf.DUMMYFUNCTION("""COMPUTED_VALUE"""),"Night")</f>
        <v>Night</v>
      </c>
      <c r="W558" s="5"/>
      <c r="X558" s="5"/>
      <c r="Y558" s="5" t="str">
        <f ca="1">IFERROR(__xludf.DUMMYFUNCTION("""COMPUTED_VALUE"""),"Teacher set fired to school office and fired shots, placed on admin leave day prior")</f>
        <v>Teacher set fired to school office and fired shots, placed on admin leave day prior</v>
      </c>
      <c r="Z558" s="5" t="str">
        <f ca="1">IFERROR(__xludf.DUMMYFUNCTION("""COMPUTED_VALUE"""),"A 23-year-old male teacher set a fire in the office of the school building and fired 5 shots. He was arrested charged with first-degree arson, property damage, and gun charges. He was placed on administrative leave the day prior to the shooting.")</f>
        <v>A 23-year-old male teacher set a fire in the office of the school building and fired 5 shots. He was arrested charged with first-degree arson, property damage, and gun charges. He was placed on administrative leave the day prior to the shooting.</v>
      </c>
      <c r="AA558" s="5" t="str">
        <f ca="1">IFERROR(__xludf.DUMMYFUNCTION("""COMPUTED_VALUE"""),"Intentional Property Damage")</f>
        <v>Intentional Property Damage</v>
      </c>
      <c r="AB558" s="5" t="str">
        <f ca="1">IFERROR(__xludf.DUMMYFUNCTION("""COMPUTED_VALUE"""),"Neither")</f>
        <v>Neither</v>
      </c>
      <c r="AC558" s="5" t="str">
        <f ca="1">IFERROR(__xludf.DUMMYFUNCTION("""COMPUTED_VALUE"""),"No")</f>
        <v>No</v>
      </c>
      <c r="AD558" s="5" t="str">
        <f ca="1">IFERROR(__xludf.DUMMYFUNCTION("""COMPUTED_VALUE"""),"No")</f>
        <v>No</v>
      </c>
      <c r="AE558" s="5" t="str">
        <f ca="1">IFERROR(__xludf.DUMMYFUNCTION("""COMPUTED_VALUE"""),"No")</f>
        <v>No</v>
      </c>
      <c r="AF558" s="5" t="str">
        <f ca="1">IFERROR(__xludf.DUMMYFUNCTION("""COMPUTED_VALUE"""),"No")</f>
        <v>No</v>
      </c>
      <c r="AG558" s="5" t="str">
        <f ca="1">IFERROR(__xludf.DUMMYFUNCTION("""COMPUTED_VALUE"""),"No")</f>
        <v>No</v>
      </c>
      <c r="AH558" s="5" t="str">
        <f ca="1">IFERROR(__xludf.DUMMYFUNCTION("""COMPUTED_VALUE"""),"No")</f>
        <v>No</v>
      </c>
      <c r="AI558" s="5" t="str">
        <f ca="1">IFERROR(__xludf.DUMMYFUNCTION("""COMPUTED_VALUE"""),"No")</f>
        <v>No</v>
      </c>
      <c r="AJ558" s="5" t="str">
        <f ca="1">IFERROR(__xludf.DUMMYFUNCTION("""COMPUTED_VALUE"""),"No")</f>
        <v>No</v>
      </c>
    </row>
    <row r="559" spans="1:36" ht="13">
      <c r="A559" s="5" t="str">
        <f ca="1">IFERROR(__xludf.DUMMYFUNCTION("""COMPUTED_VALUE"""),"20210804ALBUM")</f>
        <v>20210804ALBUM</v>
      </c>
      <c r="B559" s="5">
        <f ca="1">IFERROR(__xludf.DUMMYFUNCTION("""COMPUTED_VALUE"""),8)</f>
        <v>8</v>
      </c>
      <c r="C559" s="5">
        <f ca="1">IFERROR(__xludf.DUMMYFUNCTION("""COMPUTED_VALUE"""),4)</f>
        <v>4</v>
      </c>
      <c r="D559" s="5">
        <f ca="1">IFERROR(__xludf.DUMMYFUNCTION("""COMPUTED_VALUE"""),2021)</f>
        <v>2021</v>
      </c>
      <c r="E559" s="8">
        <f ca="1">IFERROR(__xludf.DUMMYFUNCTION("""COMPUTED_VALUE"""),44412)</f>
        <v>44412</v>
      </c>
      <c r="F559" s="5" t="str">
        <f ca="1">IFERROR(__xludf.DUMMYFUNCTION("""COMPUTED_VALUE"""),"Burns Middle School")</f>
        <v>Burns Middle School</v>
      </c>
      <c r="G559" s="5">
        <f ca="1">IFERROR(__xludf.DUMMYFUNCTION("""COMPUTED_VALUE"""),0)</f>
        <v>0</v>
      </c>
      <c r="H559" s="5">
        <f ca="1">IFERROR(__xludf.DUMMYFUNCTION("""COMPUTED_VALUE"""),2)</f>
        <v>2</v>
      </c>
      <c r="I559" s="5">
        <f ca="1">IFERROR(__xludf.DUMMYFUNCTION("""COMPUTED_VALUE"""),2)</f>
        <v>2</v>
      </c>
      <c r="J559" s="5">
        <f ca="1">IFERROR(__xludf.DUMMYFUNCTION("""COMPUTED_VALUE"""),0)</f>
        <v>0</v>
      </c>
      <c r="K559" s="5" t="str">
        <f ca="1">IFERROR(__xludf.DUMMYFUNCTION("""COMPUTED_VALUE"""),"https://www.wkrg.com/top-stories/mobile-police-investigating-report-of-shots-fired-at-burns-middle-school/ https://www.fox10tv.com/news/mobile_county/mpd-investigates-early-morning-shooting-at-burns-middle-school/article_37508968-f5d5-11eb-8e04-1b58453661"&amp;"27.html")</f>
        <v>https://www.wkrg.com/top-stories/mobile-police-investigating-report-of-shots-fired-at-burns-middle-school/ https://www.fox10tv.com/news/mobile_county/mpd-investigates-early-morning-shooting-at-burns-middle-school/article_37508968-f5d5-11eb-8e04-1b5845366127.html</v>
      </c>
      <c r="L559" s="5">
        <f ca="1">IFERROR(__xludf.DUMMYFUNCTION("""COMPUTED_VALUE"""),2)</f>
        <v>2</v>
      </c>
      <c r="M559" s="5" t="str">
        <f ca="1">IFERROR(__xludf.DUMMYFUNCTION("""COMPUTED_VALUE"""),"Local")</f>
        <v>Local</v>
      </c>
      <c r="N559" s="5">
        <f ca="1">IFERROR(__xludf.DUMMYFUNCTION("""COMPUTED_VALUE"""),4)</f>
        <v>4</v>
      </c>
      <c r="O559" s="5" t="str">
        <f ca="1">IFERROR(__xludf.DUMMYFUNCTION("""COMPUTED_VALUE"""),"Summer")</f>
        <v>Summer</v>
      </c>
      <c r="P559" s="5" t="str">
        <f ca="1">IFERROR(__xludf.DUMMYFUNCTION("""COMPUTED_VALUE"""),"Mobile")</f>
        <v>Mobile</v>
      </c>
      <c r="Q559" s="5" t="str">
        <f ca="1">IFERROR(__xludf.DUMMYFUNCTION("""COMPUTED_VALUE"""),"AL")</f>
        <v>AL</v>
      </c>
      <c r="R559" s="5" t="str">
        <f ca="1">IFERROR(__xludf.DUMMYFUNCTION("""COMPUTED_VALUE"""),"Middle")</f>
        <v>Middle</v>
      </c>
      <c r="S559" s="5" t="str">
        <f ca="1">IFERROR(__xludf.DUMMYFUNCTION("""COMPUTED_VALUE"""),"Parking Lot")</f>
        <v>Parking Lot</v>
      </c>
      <c r="T559" s="5" t="str">
        <f ca="1">IFERROR(__xludf.DUMMYFUNCTION("""COMPUTED_VALUE"""),"Outside on School Property")</f>
        <v>Outside on School Property</v>
      </c>
      <c r="U559" s="5" t="str">
        <f ca="1">IFERROR(__xludf.DUMMYFUNCTION("""COMPUTED_VALUE"""),"No")</f>
        <v>No</v>
      </c>
      <c r="V559" s="5" t="str">
        <f ca="1">IFERROR(__xludf.DUMMYFUNCTION("""COMPUTED_VALUE"""),"Night")</f>
        <v>Night</v>
      </c>
      <c r="W559" s="10">
        <f ca="1">IFERROR(__xludf.DUMMYFUNCTION("""COMPUTED_VALUE"""),0.129166666666666)</f>
        <v>0.12916666666666601</v>
      </c>
      <c r="X559" s="5">
        <f ca="1">IFERROR(__xludf.DUMMYFUNCTION("""COMPUTED_VALUE"""),1)</f>
        <v>1</v>
      </c>
      <c r="Y559" s="5" t="str">
        <f ca="1">IFERROR(__xludf.DUMMYFUNCTION("""COMPUTED_VALUE"""),"Two teens shot in school parking lot")</f>
        <v>Two teens shot in school parking lot</v>
      </c>
      <c r="Z559" s="5" t="str">
        <f ca="1">IFERROR(__xludf.DUMMYFUNCTION("""COMPUTED_VALUE"""),"Two teens were shot in the parking lot of the school. One victim was found at the scene. The other was dropped off at a local hospital. Shooter fled. School was closed at the time of the shooting.")</f>
        <v>Two teens were shot in the parking lot of the school. One victim was found at the scene. The other was dropped off at a local hospital. Shooter fled. School was closed at the time of the shooting.</v>
      </c>
      <c r="AA559" s="5"/>
      <c r="AB559" s="5"/>
      <c r="AC559" s="5"/>
      <c r="AD559" s="5" t="str">
        <f ca="1">IFERROR(__xludf.DUMMYFUNCTION("""COMPUTED_VALUE"""),"No")</f>
        <v>No</v>
      </c>
      <c r="AE559" s="5" t="str">
        <f ca="1">IFERROR(__xludf.DUMMYFUNCTION("""COMPUTED_VALUE"""),"No")</f>
        <v>No</v>
      </c>
      <c r="AF559" s="5" t="str">
        <f ca="1">IFERROR(__xludf.DUMMYFUNCTION("""COMPUTED_VALUE"""),"No")</f>
        <v>No</v>
      </c>
      <c r="AG559" s="5" t="str">
        <f ca="1">IFERROR(__xludf.DUMMYFUNCTION("""COMPUTED_VALUE"""),"No")</f>
        <v>No</v>
      </c>
      <c r="AH559" s="5" t="str">
        <f ca="1">IFERROR(__xludf.DUMMYFUNCTION("""COMPUTED_VALUE"""),"No")</f>
        <v>No</v>
      </c>
      <c r="AI559" s="5"/>
      <c r="AJ559" s="5" t="str">
        <f ca="1">IFERROR(__xludf.DUMMYFUNCTION("""COMPUTED_VALUE"""),"No")</f>
        <v>No</v>
      </c>
    </row>
    <row r="560" spans="1:36" ht="13">
      <c r="A560" s="5" t="str">
        <f ca="1">IFERROR(__xludf.DUMMYFUNCTION("""COMPUTED_VALUE"""),"20210727WATYS")</f>
        <v>20210727WATYS</v>
      </c>
      <c r="B560" s="5">
        <f ca="1">IFERROR(__xludf.DUMMYFUNCTION("""COMPUTED_VALUE"""),7)</f>
        <v>7</v>
      </c>
      <c r="C560" s="5">
        <f ca="1">IFERROR(__xludf.DUMMYFUNCTION("""COMPUTED_VALUE"""),27)</f>
        <v>27</v>
      </c>
      <c r="D560" s="5">
        <f ca="1">IFERROR(__xludf.DUMMYFUNCTION("""COMPUTED_VALUE"""),2021)</f>
        <v>2021</v>
      </c>
      <c r="E560" s="8">
        <f ca="1">IFERROR(__xludf.DUMMYFUNCTION("""COMPUTED_VALUE"""),44404)</f>
        <v>44404</v>
      </c>
      <c r="F560" s="5" t="str">
        <f ca="1">IFERROR(__xludf.DUMMYFUNCTION("""COMPUTED_VALUE"""),"Tyee High School")</f>
        <v>Tyee High School</v>
      </c>
      <c r="G560" s="5">
        <f ca="1">IFERROR(__xludf.DUMMYFUNCTION("""COMPUTED_VALUE"""),1)</f>
        <v>1</v>
      </c>
      <c r="H560" s="5">
        <f ca="1">IFERROR(__xludf.DUMMYFUNCTION("""COMPUTED_VALUE"""),0)</f>
        <v>0</v>
      </c>
      <c r="I560" s="5">
        <f ca="1">IFERROR(__xludf.DUMMYFUNCTION("""COMPUTED_VALUE"""),1)</f>
        <v>1</v>
      </c>
      <c r="J560" s="5">
        <f ca="1">IFERROR(__xludf.DUMMYFUNCTION("""COMPUTED_VALUE"""),0)</f>
        <v>0</v>
      </c>
      <c r="K560" s="5" t="str">
        <f ca="1">IFERROR(__xludf.DUMMYFUNCTION("""COMPUTED_VALUE"""),"https://www.kiro7.com/news/local/deputies-investigate-shooting-seatac/KTWOOPAW45GZBMESMFPOCARTUQ/ https://seatacblog.com/2021/07/27/police-investigating-shooting-near-tyee-high-schoo-in-seatac-tuesday-night/ https://www.q13fox.com/news/deputies-investigat"&amp;"ing-shooting-at-tyee-high-school-in-seatac")</f>
        <v>https://www.kiro7.com/news/local/deputies-investigate-shooting-seatac/KTWOOPAW45GZBMESMFPOCARTUQ/ https://seatacblog.com/2021/07/27/police-investigating-shooting-near-tyee-high-schoo-in-seatac-tuesday-night/ https://www.q13fox.com/news/deputies-investigating-shooting-at-tyee-high-school-in-seatac</v>
      </c>
      <c r="L560" s="5">
        <f ca="1">IFERROR(__xludf.DUMMYFUNCTION("""COMPUTED_VALUE"""),3)</f>
        <v>3</v>
      </c>
      <c r="M560" s="5" t="str">
        <f ca="1">IFERROR(__xludf.DUMMYFUNCTION("""COMPUTED_VALUE"""),"Local")</f>
        <v>Local</v>
      </c>
      <c r="N560" s="5">
        <f ca="1">IFERROR(__xludf.DUMMYFUNCTION("""COMPUTED_VALUE"""),4)</f>
        <v>4</v>
      </c>
      <c r="O560" s="5" t="str">
        <f ca="1">IFERROR(__xludf.DUMMYFUNCTION("""COMPUTED_VALUE"""),"Summer")</f>
        <v>Summer</v>
      </c>
      <c r="P560" s="5" t="str">
        <f ca="1">IFERROR(__xludf.DUMMYFUNCTION("""COMPUTED_VALUE"""),"SeaTac")</f>
        <v>SeaTac</v>
      </c>
      <c r="Q560" s="5" t="str">
        <f ca="1">IFERROR(__xludf.DUMMYFUNCTION("""COMPUTED_VALUE"""),"WA")</f>
        <v>WA</v>
      </c>
      <c r="R560" s="5" t="str">
        <f ca="1">IFERROR(__xludf.DUMMYFUNCTION("""COMPUTED_VALUE"""),"High")</f>
        <v>High</v>
      </c>
      <c r="S560" s="5" t="str">
        <f ca="1">IFERROR(__xludf.DUMMYFUNCTION("""COMPUTED_VALUE"""),"Basketball Court")</f>
        <v>Basketball Court</v>
      </c>
      <c r="T560" s="5" t="str">
        <f ca="1">IFERROR(__xludf.DUMMYFUNCTION("""COMPUTED_VALUE"""),"Outside on School Property")</f>
        <v>Outside on School Property</v>
      </c>
      <c r="U560" s="5" t="str">
        <f ca="1">IFERROR(__xludf.DUMMYFUNCTION("""COMPUTED_VALUE"""),"No")</f>
        <v>No</v>
      </c>
      <c r="V560" s="5" t="str">
        <f ca="1">IFERROR(__xludf.DUMMYFUNCTION("""COMPUTED_VALUE"""),"Night")</f>
        <v>Night</v>
      </c>
      <c r="W560" s="10">
        <f ca="1">IFERROR(__xludf.DUMMYFUNCTION("""COMPUTED_VALUE"""),0.8875)</f>
        <v>0.88749999999999996</v>
      </c>
      <c r="X560" s="5">
        <f ca="1">IFERROR(__xludf.DUMMYFUNCTION("""COMPUTED_VALUE"""),1)</f>
        <v>1</v>
      </c>
      <c r="Y560" s="5" t="str">
        <f ca="1">IFERROR(__xludf.DUMMYFUNCTION("""COMPUTED_VALUE"""),"Adult man fatally shot on school basketball court")</f>
        <v>Adult man fatally shot on school basketball court</v>
      </c>
      <c r="Z560" s="5" t="str">
        <f ca="1">IFERROR(__xludf.DUMMYFUNCTION("""COMPUTED_VALUE"""),"An adult male was fatally shot on the school's basketball court. Shooting had multiple witnesses. Shooter fled.")</f>
        <v>An adult male was fatally shot on the school's basketball court. Shooting had multiple witnesses. Shooter fled.</v>
      </c>
      <c r="AA560" s="5"/>
      <c r="AB560" s="5"/>
      <c r="AC560" s="5" t="str">
        <f ca="1">IFERROR(__xludf.DUMMYFUNCTION("""COMPUTED_VALUE"""),"No")</f>
        <v>No</v>
      </c>
      <c r="AD560" s="5" t="str">
        <f ca="1">IFERROR(__xludf.DUMMYFUNCTION("""COMPUTED_VALUE"""),"No")</f>
        <v>No</v>
      </c>
      <c r="AE560" s="5" t="str">
        <f ca="1">IFERROR(__xludf.DUMMYFUNCTION("""COMPUTED_VALUE"""),"No")</f>
        <v>No</v>
      </c>
      <c r="AF560" s="5" t="str">
        <f ca="1">IFERROR(__xludf.DUMMYFUNCTION("""COMPUTED_VALUE"""),"No")</f>
        <v>No</v>
      </c>
      <c r="AG560" s="5" t="str">
        <f ca="1">IFERROR(__xludf.DUMMYFUNCTION("""COMPUTED_VALUE"""),"No")</f>
        <v>No</v>
      </c>
      <c r="AH560" s="5" t="str">
        <f ca="1">IFERROR(__xludf.DUMMYFUNCTION("""COMPUTED_VALUE"""),"No")</f>
        <v>No</v>
      </c>
      <c r="AI560" s="5"/>
      <c r="AJ560" s="5" t="str">
        <f ca="1">IFERROR(__xludf.DUMMYFUNCTION("""COMPUTED_VALUE"""),"No")</f>
        <v>No</v>
      </c>
    </row>
    <row r="561" spans="1:36" ht="13">
      <c r="A561" s="5" t="str">
        <f ca="1">IFERROR(__xludf.DUMMYFUNCTION("""COMPUTED_VALUE"""),"20210721ILTHC")</f>
        <v>20210721ILTHC</v>
      </c>
      <c r="B561" s="5">
        <f ca="1">IFERROR(__xludf.DUMMYFUNCTION("""COMPUTED_VALUE"""),7)</f>
        <v>7</v>
      </c>
      <c r="C561" s="5">
        <f ca="1">IFERROR(__xludf.DUMMYFUNCTION("""COMPUTED_VALUE"""),21)</f>
        <v>21</v>
      </c>
      <c r="D561" s="5">
        <f ca="1">IFERROR(__xludf.DUMMYFUNCTION("""COMPUTED_VALUE"""),2021)</f>
        <v>2021</v>
      </c>
      <c r="E561" s="8">
        <f ca="1">IFERROR(__xludf.DUMMYFUNCTION("""COMPUTED_VALUE"""),44398)</f>
        <v>44398</v>
      </c>
      <c r="F561" s="5" t="str">
        <f ca="1">IFERROR(__xludf.DUMMYFUNCTION("""COMPUTED_VALUE"""),"Theodore Herzl Elementary School")</f>
        <v>Theodore Herzl Elementary School</v>
      </c>
      <c r="G561" s="5">
        <f ca="1">IFERROR(__xludf.DUMMYFUNCTION("""COMPUTED_VALUE"""),0)</f>
        <v>0</v>
      </c>
      <c r="H561" s="5">
        <f ca="1">IFERROR(__xludf.DUMMYFUNCTION("""COMPUTED_VALUE"""),5)</f>
        <v>5</v>
      </c>
      <c r="I561" s="5">
        <f ca="1">IFERROR(__xludf.DUMMYFUNCTION("""COMPUTED_VALUE"""),5)</f>
        <v>5</v>
      </c>
      <c r="J561" s="5">
        <f ca="1">IFERROR(__xludf.DUMMYFUNCTION("""COMPUTED_VALUE"""),0)</f>
        <v>0</v>
      </c>
      <c r="K561" s="5" t="str">
        <f ca="1">IFERROR(__xludf.DUMMYFUNCTION("""COMPUTED_VALUE"""),"https://www.fox32chicago.com/news/boy-killed-28-wounded-wednesday-in-chicago-city-sees-3-mass-shootings-in-single-day https://chicago.suntimes.com/crime/2021/7/22/22588357/1-killed-28-wounded-shootings-wednesday-chicago")</f>
        <v>https://www.fox32chicago.com/news/boy-killed-28-wounded-wednesday-in-chicago-city-sees-3-mass-shootings-in-single-day https://chicago.suntimes.com/crime/2021/7/22/22588357/1-killed-28-wounded-shootings-wednesday-chicago</v>
      </c>
      <c r="L561" s="5">
        <f ca="1">IFERROR(__xludf.DUMMYFUNCTION("""COMPUTED_VALUE"""),2)</f>
        <v>2</v>
      </c>
      <c r="M561" s="5" t="str">
        <f ca="1">IFERROR(__xludf.DUMMYFUNCTION("""COMPUTED_VALUE"""),"Local")</f>
        <v>Local</v>
      </c>
      <c r="N561" s="5">
        <f ca="1">IFERROR(__xludf.DUMMYFUNCTION("""COMPUTED_VALUE"""),3)</f>
        <v>3</v>
      </c>
      <c r="O561" s="5" t="str">
        <f ca="1">IFERROR(__xludf.DUMMYFUNCTION("""COMPUTED_VALUE"""),"Summer")</f>
        <v>Summer</v>
      </c>
      <c r="P561" s="5" t="str">
        <f ca="1">IFERROR(__xludf.DUMMYFUNCTION("""COMPUTED_VALUE"""),"Chicago")</f>
        <v>Chicago</v>
      </c>
      <c r="Q561" s="5" t="str">
        <f ca="1">IFERROR(__xludf.DUMMYFUNCTION("""COMPUTED_VALUE"""),"IL")</f>
        <v>IL</v>
      </c>
      <c r="R561" s="5" t="str">
        <f ca="1">IFERROR(__xludf.DUMMYFUNCTION("""COMPUTED_VALUE"""),"Elementary")</f>
        <v>Elementary</v>
      </c>
      <c r="S561" s="5" t="str">
        <f ca="1">IFERROR(__xludf.DUMMYFUNCTION("""COMPUTED_VALUE"""),"Front of School")</f>
        <v>Front of School</v>
      </c>
      <c r="T561" s="5" t="str">
        <f ca="1">IFERROR(__xludf.DUMMYFUNCTION("""COMPUTED_VALUE"""),"Outside on School Property")</f>
        <v>Outside on School Property</v>
      </c>
      <c r="U561" s="5" t="str">
        <f ca="1">IFERROR(__xludf.DUMMYFUNCTION("""COMPUTED_VALUE"""),"No")</f>
        <v>No</v>
      </c>
      <c r="V561" s="5" t="str">
        <f ca="1">IFERROR(__xludf.DUMMYFUNCTION("""COMPUTED_VALUE"""),"Evening")</f>
        <v>Evening</v>
      </c>
      <c r="W561" s="10">
        <f ca="1">IFERROR(__xludf.DUMMYFUNCTION("""COMPUTED_VALUE"""),0.753472222222222)</f>
        <v>0.75347222222222199</v>
      </c>
      <c r="X561" s="5">
        <f ca="1">IFERROR(__xludf.DUMMYFUNCTION("""COMPUTED_VALUE"""),1)</f>
        <v>1</v>
      </c>
      <c r="Y561" s="5" t="str">
        <f ca="1">IFERROR(__xludf.DUMMYFUNCTION("""COMPUTED_VALUE"""),"5 people shot outside of elementary school")</f>
        <v>5 people shot outside of elementary school</v>
      </c>
      <c r="Z561" s="5" t="str">
        <f ca="1">IFERROR(__xludf.DUMMYFUNCTION("""COMPUTED_VALUE"""),"5 people were shot outside of the elementary school. Class was not in session. An 18-year-old male was critically injured. A 15-year-old male, 14-year-old male, 17-year-old male, and 22-year-old male were wounded and transported to the hospital.")</f>
        <v>5 people were shot outside of the elementary school. Class was not in session. An 18-year-old male was critically injured. A 15-year-old male, 14-year-old male, 17-year-old male, and 22-year-old male were wounded and transported to the hospital.</v>
      </c>
      <c r="AA561" s="5" t="str">
        <f ca="1">IFERROR(__xludf.DUMMYFUNCTION("""COMPUTED_VALUE"""),"Drive-by Shooting")</f>
        <v>Drive-by Shooting</v>
      </c>
      <c r="AB561" s="5"/>
      <c r="AC561" s="5"/>
      <c r="AD561" s="5" t="str">
        <f ca="1">IFERROR(__xludf.DUMMYFUNCTION("""COMPUTED_VALUE"""),"No")</f>
        <v>No</v>
      </c>
      <c r="AE561" s="5" t="str">
        <f ca="1">IFERROR(__xludf.DUMMYFUNCTION("""COMPUTED_VALUE"""),"No")</f>
        <v>No</v>
      </c>
      <c r="AF561" s="5" t="str">
        <f ca="1">IFERROR(__xludf.DUMMYFUNCTION("""COMPUTED_VALUE"""),"No")</f>
        <v>No</v>
      </c>
      <c r="AG561" s="5" t="str">
        <f ca="1">IFERROR(__xludf.DUMMYFUNCTION("""COMPUTED_VALUE"""),"No")</f>
        <v>No</v>
      </c>
      <c r="AH561" s="5" t="str">
        <f ca="1">IFERROR(__xludf.DUMMYFUNCTION("""COMPUTED_VALUE"""),"No")</f>
        <v>No</v>
      </c>
      <c r="AI561" s="5"/>
      <c r="AJ561" s="5" t="str">
        <f ca="1">IFERROR(__xludf.DUMMYFUNCTION("""COMPUTED_VALUE"""),"No")</f>
        <v>No</v>
      </c>
    </row>
    <row r="562" spans="1:36" ht="13">
      <c r="A562" s="5" t="str">
        <f ca="1">IFERROR(__xludf.DUMMYFUNCTION("""COMPUTED_VALUE"""),"20210719TXCAC")</f>
        <v>20210719TXCAC</v>
      </c>
      <c r="B562" s="5">
        <f ca="1">IFERROR(__xludf.DUMMYFUNCTION("""COMPUTED_VALUE"""),7)</f>
        <v>7</v>
      </c>
      <c r="C562" s="5">
        <f ca="1">IFERROR(__xludf.DUMMYFUNCTION("""COMPUTED_VALUE"""),19)</f>
        <v>19</v>
      </c>
      <c r="D562" s="5">
        <f ca="1">IFERROR(__xludf.DUMMYFUNCTION("""COMPUTED_VALUE"""),2021)</f>
        <v>2021</v>
      </c>
      <c r="E562" s="8">
        <f ca="1">IFERROR(__xludf.DUMMYFUNCTION("""COMPUTED_VALUE"""),44396)</f>
        <v>44396</v>
      </c>
      <c r="F562" s="5" t="str">
        <f ca="1">IFERROR(__xludf.DUMMYFUNCTION("""COMPUTED_VALUE"""),"Caldwell High School")</f>
        <v>Caldwell High School</v>
      </c>
      <c r="G562" s="5">
        <f ca="1">IFERROR(__xludf.DUMMYFUNCTION("""COMPUTED_VALUE"""),0)</f>
        <v>0</v>
      </c>
      <c r="H562" s="5">
        <f ca="1">IFERROR(__xludf.DUMMYFUNCTION("""COMPUTED_VALUE"""),0)</f>
        <v>0</v>
      </c>
      <c r="I562" s="5">
        <f ca="1">IFERROR(__xludf.DUMMYFUNCTION("""COMPUTED_VALUE"""),0)</f>
        <v>0</v>
      </c>
      <c r="J562" s="5">
        <f ca="1">IFERROR(__xludf.DUMMYFUNCTION("""COMPUTED_VALUE"""),0)</f>
        <v>0</v>
      </c>
      <c r="K562" s="5" t="str">
        <f ca="1">IFERROR(__xludf.DUMMYFUNCTION("""COMPUTED_VALUE"""),"https://www.fox44news.com/news/local-news/projectile-fired-at-caldwell-high-school-students-in-parking-lot/ https://www.kwtx.com/2021/07/19/four-teens-accused-firing-projectiles-caldwell-high-school/ https://www.kxxv.com/news/local-news/four-teenagers-ide"&amp;"ntified-as-suspects-in-caldwell-hs-projectile-incident")</f>
        <v>https://www.fox44news.com/news/local-news/projectile-fired-at-caldwell-high-school-students-in-parking-lot/ https://www.kwtx.com/2021/07/19/four-teens-accused-firing-projectiles-caldwell-high-school/ https://www.kxxv.com/news/local-news/four-teenagers-identified-as-suspects-in-caldwell-hs-projectile-incident</v>
      </c>
      <c r="L562" s="5">
        <f ca="1">IFERROR(__xludf.DUMMYFUNCTION("""COMPUTED_VALUE"""),3)</f>
        <v>3</v>
      </c>
      <c r="M562" s="5" t="str">
        <f ca="1">IFERROR(__xludf.DUMMYFUNCTION("""COMPUTED_VALUE"""),"Local")</f>
        <v>Local</v>
      </c>
      <c r="N562" s="5">
        <f ca="1">IFERROR(__xludf.DUMMYFUNCTION("""COMPUTED_VALUE"""),4)</f>
        <v>4</v>
      </c>
      <c r="O562" s="5" t="str">
        <f ca="1">IFERROR(__xludf.DUMMYFUNCTION("""COMPUTED_VALUE"""),"Summer")</f>
        <v>Summer</v>
      </c>
      <c r="P562" s="5" t="str">
        <f ca="1">IFERROR(__xludf.DUMMYFUNCTION("""COMPUTED_VALUE"""),"Caldwell")</f>
        <v>Caldwell</v>
      </c>
      <c r="Q562" s="5" t="str">
        <f ca="1">IFERROR(__xludf.DUMMYFUNCTION("""COMPUTED_VALUE"""),"TX")</f>
        <v>TX</v>
      </c>
      <c r="R562" s="5" t="str">
        <f ca="1">IFERROR(__xludf.DUMMYFUNCTION("""COMPUTED_VALUE"""),"High")</f>
        <v>High</v>
      </c>
      <c r="S562" s="5" t="str">
        <f ca="1">IFERROR(__xludf.DUMMYFUNCTION("""COMPUTED_VALUE"""),"Parking Lot")</f>
        <v>Parking Lot</v>
      </c>
      <c r="T562" s="5" t="str">
        <f ca="1">IFERROR(__xludf.DUMMYFUNCTION("""COMPUTED_VALUE"""),"Outside on School Property")</f>
        <v>Outside on School Property</v>
      </c>
      <c r="U562" s="5" t="str">
        <f ca="1">IFERROR(__xludf.DUMMYFUNCTION("""COMPUTED_VALUE"""),"Yes")</f>
        <v>Yes</v>
      </c>
      <c r="V562" s="5" t="str">
        <f ca="1">IFERROR(__xludf.DUMMYFUNCTION("""COMPUTED_VALUE"""),"Afternoon Classes")</f>
        <v>Afternoon Classes</v>
      </c>
      <c r="W562" s="10">
        <f ca="1">IFERROR(__xludf.DUMMYFUNCTION("""COMPUTED_VALUE"""),0.542361111111111)</f>
        <v>0.54236111111111096</v>
      </c>
      <c r="X562" s="5">
        <f ca="1">IFERROR(__xludf.DUMMYFUNCTION("""COMPUTED_VALUE"""),1)</f>
        <v>1</v>
      </c>
      <c r="Y562" s="5" t="str">
        <f ca="1">IFERROR(__xludf.DUMMYFUNCTION("""COMPUTED_VALUE"""),"Teen in a vehicle fired ""hydroball"" gun at students in the parking lot")</f>
        <v>Teen in a vehicle fired "hydroball" gun at students in the parking lot</v>
      </c>
      <c r="Z562" s="5" t="str">
        <f ca="1">IFERROR(__xludf.DUMMYFUNCTION("""COMPUTED_VALUE"""),"Four teens inside a vehicle, 16-year-old male, 16-year-old male, 16-year-old female, and 14-year-old female, fired shots from a ""hydroball"" gun at students in the parking lot. Two students sustained minor injuries. Police stopped the vehicle after it le"&amp;"ft the school. The gun had been painted black to look like a realistic firearm. All four teens were arrested.")</f>
        <v>Four teens inside a vehicle, 16-year-old male, 16-year-old male, 16-year-old female, and 14-year-old female, fired shots from a "hydroball" gun at students in the parking lot. Two students sustained minor injuries. Police stopped the vehicle after it left the school. The gun had been painted black to look like a realistic firearm. All four teens were arrested.</v>
      </c>
      <c r="AA562" s="5" t="str">
        <f ca="1">IFERROR(__xludf.DUMMYFUNCTION("""COMPUTED_VALUE"""),"Drive-by Shooting")</f>
        <v>Drive-by Shooting</v>
      </c>
      <c r="AB562" s="5" t="str">
        <f ca="1">IFERROR(__xludf.DUMMYFUNCTION("""COMPUTED_VALUE"""),"Random Shooting")</f>
        <v>Random Shooting</v>
      </c>
      <c r="AC562" s="5" t="str">
        <f ca="1">IFERROR(__xludf.DUMMYFUNCTION("""COMPUTED_VALUE"""),"Yes")</f>
        <v>Yes</v>
      </c>
      <c r="AD562" s="5" t="str">
        <f ca="1">IFERROR(__xludf.DUMMYFUNCTION("""COMPUTED_VALUE"""),"No")</f>
        <v>No</v>
      </c>
      <c r="AE562" s="5" t="str">
        <f ca="1">IFERROR(__xludf.DUMMYFUNCTION("""COMPUTED_VALUE"""),"No")</f>
        <v>No</v>
      </c>
      <c r="AF562" s="5" t="str">
        <f ca="1">IFERROR(__xludf.DUMMYFUNCTION("""COMPUTED_VALUE"""),"No")</f>
        <v>No</v>
      </c>
      <c r="AG562" s="5" t="str">
        <f ca="1">IFERROR(__xludf.DUMMYFUNCTION("""COMPUTED_VALUE"""),"No")</f>
        <v>No</v>
      </c>
      <c r="AH562" s="5" t="str">
        <f ca="1">IFERROR(__xludf.DUMMYFUNCTION("""COMPUTED_VALUE"""),"No")</f>
        <v>No</v>
      </c>
      <c r="AI562" s="5" t="str">
        <f ca="1">IFERROR(__xludf.DUMMYFUNCTION("""COMPUTED_VALUE"""),"No")</f>
        <v>No</v>
      </c>
      <c r="AJ562" s="5" t="str">
        <f ca="1">IFERROR(__xludf.DUMMYFUNCTION("""COMPUTED_VALUE"""),"No")</f>
        <v>No</v>
      </c>
    </row>
    <row r="563" spans="1:36" ht="13">
      <c r="A563" s="5" t="str">
        <f ca="1">IFERROR(__xludf.DUMMYFUNCTION("""COMPUTED_VALUE"""),"20210718ARFOL")</f>
        <v>20210718ARFOL</v>
      </c>
      <c r="B563" s="5">
        <f ca="1">IFERROR(__xludf.DUMMYFUNCTION("""COMPUTED_VALUE"""),7)</f>
        <v>7</v>
      </c>
      <c r="C563" s="5">
        <f ca="1">IFERROR(__xludf.DUMMYFUNCTION("""COMPUTED_VALUE"""),18)</f>
        <v>18</v>
      </c>
      <c r="D563" s="5">
        <f ca="1">IFERROR(__xludf.DUMMYFUNCTION("""COMPUTED_VALUE"""),2021)</f>
        <v>2021</v>
      </c>
      <c r="E563" s="8">
        <f ca="1">IFERROR(__xludf.DUMMYFUNCTION("""COMPUTED_VALUE"""),44395)</f>
        <v>44395</v>
      </c>
      <c r="F563" s="5" t="str">
        <f ca="1">IFERROR(__xludf.DUMMYFUNCTION("""COMPUTED_VALUE"""),"Forest Park Elementary")</f>
        <v>Forest Park Elementary</v>
      </c>
      <c r="G563" s="5">
        <f ca="1">IFERROR(__xludf.DUMMYFUNCTION("""COMPUTED_VALUE"""),0)</f>
        <v>0</v>
      </c>
      <c r="H563" s="5">
        <f ca="1">IFERROR(__xludf.DUMMYFUNCTION("""COMPUTED_VALUE"""),0)</f>
        <v>0</v>
      </c>
      <c r="I563" s="5">
        <f ca="1">IFERROR(__xludf.DUMMYFUNCTION("""COMPUTED_VALUE"""),0)</f>
        <v>0</v>
      </c>
      <c r="J563" s="5">
        <f ca="1">IFERROR(__xludf.DUMMYFUNCTION("""COMPUTED_VALUE"""),0)</f>
        <v>0</v>
      </c>
      <c r="K563" s="9" t="str">
        <f ca="1">IFERROR(__xludf.DUMMYFUNCTION("""COMPUTED_VALUE"""),"https://www.kark.com/news/local-news/little-rock-police-investigating-shooting-near-elementary-school-no-injuries-reported/")</f>
        <v>https://www.kark.com/news/local-news/little-rock-police-investigating-shooting-near-elementary-school-no-injuries-reported/</v>
      </c>
      <c r="L563" s="5">
        <f ca="1">IFERROR(__xludf.DUMMYFUNCTION("""COMPUTED_VALUE"""),1)</f>
        <v>1</v>
      </c>
      <c r="M563" s="5" t="str">
        <f ca="1">IFERROR(__xludf.DUMMYFUNCTION("""COMPUTED_VALUE"""),"Local")</f>
        <v>Local</v>
      </c>
      <c r="N563" s="5">
        <f ca="1">IFERROR(__xludf.DUMMYFUNCTION("""COMPUTED_VALUE"""),3)</f>
        <v>3</v>
      </c>
      <c r="O563" s="5" t="str">
        <f ca="1">IFERROR(__xludf.DUMMYFUNCTION("""COMPUTED_VALUE"""),"Summer")</f>
        <v>Summer</v>
      </c>
      <c r="P563" s="5" t="str">
        <f ca="1">IFERROR(__xludf.DUMMYFUNCTION("""COMPUTED_VALUE"""),"Little Rock")</f>
        <v>Little Rock</v>
      </c>
      <c r="Q563" s="5" t="str">
        <f ca="1">IFERROR(__xludf.DUMMYFUNCTION("""COMPUTED_VALUE"""),"AL")</f>
        <v>AL</v>
      </c>
      <c r="R563" s="5" t="str">
        <f ca="1">IFERROR(__xludf.DUMMYFUNCTION("""COMPUTED_VALUE"""),"Elementary")</f>
        <v>Elementary</v>
      </c>
      <c r="S563" s="5" t="str">
        <f ca="1">IFERROR(__xludf.DUMMYFUNCTION("""COMPUTED_VALUE"""),"Basketball Court")</f>
        <v>Basketball Court</v>
      </c>
      <c r="T563" s="5" t="str">
        <f ca="1">IFERROR(__xludf.DUMMYFUNCTION("""COMPUTED_VALUE"""),"Outside on School Property")</f>
        <v>Outside on School Property</v>
      </c>
      <c r="U563" s="5" t="str">
        <f ca="1">IFERROR(__xludf.DUMMYFUNCTION("""COMPUTED_VALUE"""),"No")</f>
        <v>No</v>
      </c>
      <c r="V563" s="5" t="str">
        <f ca="1">IFERROR(__xludf.DUMMYFUNCTION("""COMPUTED_VALUE"""),"Not a School Day")</f>
        <v>Not a School Day</v>
      </c>
      <c r="W563" s="10">
        <f ca="1">IFERROR(__xludf.DUMMYFUNCTION("""COMPUTED_VALUE"""),0.750694444444444)</f>
        <v>0.750694444444444</v>
      </c>
      <c r="X563" s="5">
        <f ca="1">IFERROR(__xludf.DUMMYFUNCTION("""COMPUTED_VALUE"""),1)</f>
        <v>1</v>
      </c>
      <c r="Y563" s="5" t="str">
        <f ca="1">IFERROR(__xludf.DUMMYFUNCTION("""COMPUTED_VALUE"""),"Shots fired on school basketball court")</f>
        <v>Shots fired on school basketball court</v>
      </c>
      <c r="Z563" s="5" t="str">
        <f ca="1">IFERROR(__xludf.DUMMYFUNCTION("""COMPUTED_VALUE"""),"Shot were fired on the basketball court of the school. Two people were present at the time of the shooting, both fled before police arrived. No injuries reported.")</f>
        <v>Shot were fired on the basketball court of the school. Two people were present at the time of the shooting, both fled before police arrived. No injuries reported.</v>
      </c>
      <c r="AA563" s="5"/>
      <c r="AB563" s="5"/>
      <c r="AC563" s="5" t="str">
        <f ca="1">IFERROR(__xludf.DUMMYFUNCTION("""COMPUTED_VALUE"""),"No")</f>
        <v>No</v>
      </c>
      <c r="AD563" s="5" t="str">
        <f ca="1">IFERROR(__xludf.DUMMYFUNCTION("""COMPUTED_VALUE"""),"No")</f>
        <v>No</v>
      </c>
      <c r="AE563" s="5" t="str">
        <f ca="1">IFERROR(__xludf.DUMMYFUNCTION("""COMPUTED_VALUE"""),"No")</f>
        <v>No</v>
      </c>
      <c r="AF563" s="5" t="str">
        <f ca="1">IFERROR(__xludf.DUMMYFUNCTION("""COMPUTED_VALUE"""),"No")</f>
        <v>No</v>
      </c>
      <c r="AG563" s="5" t="str">
        <f ca="1">IFERROR(__xludf.DUMMYFUNCTION("""COMPUTED_VALUE"""),"No")</f>
        <v>No</v>
      </c>
      <c r="AH563" s="5" t="str">
        <f ca="1">IFERROR(__xludf.DUMMYFUNCTION("""COMPUTED_VALUE"""),"No")</f>
        <v>No</v>
      </c>
      <c r="AI563" s="5"/>
      <c r="AJ563" s="5" t="str">
        <f ca="1">IFERROR(__xludf.DUMMYFUNCTION("""COMPUTED_VALUE"""),"No")</f>
        <v>No</v>
      </c>
    </row>
    <row r="564" spans="1:36" ht="13">
      <c r="A564" s="5" t="str">
        <f ca="1">IFERROR(__xludf.DUMMYFUNCTION("""COMPUTED_VALUE"""),"20210709KSCAW")</f>
        <v>20210709KSCAW</v>
      </c>
      <c r="B564" s="5">
        <f ca="1">IFERROR(__xludf.DUMMYFUNCTION("""COMPUTED_VALUE"""),7)</f>
        <v>7</v>
      </c>
      <c r="C564" s="5">
        <f ca="1">IFERROR(__xludf.DUMMYFUNCTION("""COMPUTED_VALUE"""),9)</f>
        <v>9</v>
      </c>
      <c r="D564" s="5">
        <f ca="1">IFERROR(__xludf.DUMMYFUNCTION("""COMPUTED_VALUE"""),2021)</f>
        <v>2021</v>
      </c>
      <c r="E564" s="8">
        <f ca="1">IFERROR(__xludf.DUMMYFUNCTION("""COMPUTED_VALUE"""),44386)</f>
        <v>44386</v>
      </c>
      <c r="F564" s="5" t="str">
        <f ca="1">IFERROR(__xludf.DUMMYFUNCTION("""COMPUTED_VALUE"""),"Campus High School")</f>
        <v>Campus High School</v>
      </c>
      <c r="G564" s="5">
        <f ca="1">IFERROR(__xludf.DUMMYFUNCTION("""COMPUTED_VALUE"""),0)</f>
        <v>0</v>
      </c>
      <c r="H564" s="5">
        <f ca="1">IFERROR(__xludf.DUMMYFUNCTION("""COMPUTED_VALUE"""),0)</f>
        <v>0</v>
      </c>
      <c r="I564" s="5">
        <f ca="1">IFERROR(__xludf.DUMMYFUNCTION("""COMPUTED_VALUE"""),0)</f>
        <v>0</v>
      </c>
      <c r="J564" s="5">
        <f ca="1">IFERROR(__xludf.DUMMYFUNCTION("""COMPUTED_VALUE"""),1)</f>
        <v>1</v>
      </c>
      <c r="K564" s="5" t="str">
        <f ca="1">IFERROR(__xludf.DUMMYFUNCTION("""COMPUTED_VALUE"""),"https://www.kake.com/story/44277095/authorities-searching-for-suspect-who-led-officers-on-chase-in-south-wichita https://www.kwch.com/2021/07/10/police-man-dies-vehicle-fire-following-chase-with-shots-fired-south-wichita/")</f>
        <v>https://www.kake.com/story/44277095/authorities-searching-for-suspect-who-led-officers-on-chase-in-south-wichita https://www.kwch.com/2021/07/10/police-man-dies-vehicle-fire-following-chase-with-shots-fired-south-wichita/</v>
      </c>
      <c r="L564" s="5">
        <f ca="1">IFERROR(__xludf.DUMMYFUNCTION("""COMPUTED_VALUE"""),2)</f>
        <v>2</v>
      </c>
      <c r="M564" s="5" t="str">
        <f ca="1">IFERROR(__xludf.DUMMYFUNCTION("""COMPUTED_VALUE"""),"Local")</f>
        <v>Local</v>
      </c>
      <c r="N564" s="5">
        <f ca="1">IFERROR(__xludf.DUMMYFUNCTION("""COMPUTED_VALUE"""),4)</f>
        <v>4</v>
      </c>
      <c r="O564" s="5" t="str">
        <f ca="1">IFERROR(__xludf.DUMMYFUNCTION("""COMPUTED_VALUE"""),"Summer")</f>
        <v>Summer</v>
      </c>
      <c r="P564" s="5" t="str">
        <f ca="1">IFERROR(__xludf.DUMMYFUNCTION("""COMPUTED_VALUE"""),"Wichita")</f>
        <v>Wichita</v>
      </c>
      <c r="Q564" s="5" t="str">
        <f ca="1">IFERROR(__xludf.DUMMYFUNCTION("""COMPUTED_VALUE"""),"KS")</f>
        <v>KS</v>
      </c>
      <c r="R564" s="5" t="str">
        <f ca="1">IFERROR(__xludf.DUMMYFUNCTION("""COMPUTED_VALUE"""),"High")</f>
        <v>High</v>
      </c>
      <c r="S564" s="5" t="str">
        <f ca="1">IFERROR(__xludf.DUMMYFUNCTION("""COMPUTED_VALUE"""),"Field (General)")</f>
        <v>Field (General)</v>
      </c>
      <c r="T564" s="5" t="str">
        <f ca="1">IFERROR(__xludf.DUMMYFUNCTION("""COMPUTED_VALUE"""),"Outside on School Property")</f>
        <v>Outside on School Property</v>
      </c>
      <c r="U564" s="5" t="str">
        <f ca="1">IFERROR(__xludf.DUMMYFUNCTION("""COMPUTED_VALUE"""),"No")</f>
        <v>No</v>
      </c>
      <c r="V564" s="5" t="str">
        <f ca="1">IFERROR(__xludf.DUMMYFUNCTION("""COMPUTED_VALUE"""),"Not a School Day")</f>
        <v>Not a School Day</v>
      </c>
      <c r="W564" s="10">
        <f ca="1">IFERROR(__xludf.DUMMYFUNCTION("""COMPUTED_VALUE"""),0.625)</f>
        <v>0.625</v>
      </c>
      <c r="X564" s="5"/>
      <c r="Y564" s="5" t="str">
        <f ca="1">IFERROR(__xludf.DUMMYFUNCTION("""COMPUTED_VALUE"""),"Following police chase, vehicle crashed and caught fire on the field in front of the high school, driver fired shots at officers")</f>
        <v>Following police chase, vehicle crashed and caught fire on the field in front of the high school, driver fired shots at officers</v>
      </c>
      <c r="Z564" s="5" t="str">
        <f ca="1">IFERROR(__xludf.DUMMYFUNCTION("""COMPUTED_VALUE"""),"Following a police chase, a man driving a vehicle crashed onto the field in front of the high school. He fired shots from the vehicle at police officers. The vehicle caught fire and he died inside it. His wife said that he was suicidal.")</f>
        <v>Following a police chase, a man driving a vehicle crashed onto the field in front of the high school. He fired shots from the vehicle at police officers. The vehicle caught fire and he died inside it. His wife said that he was suicidal.</v>
      </c>
      <c r="AA564" s="5" t="str">
        <f ca="1">IFERROR(__xludf.DUMMYFUNCTION("""COMPUTED_VALUE"""),"Suicide/Attempted")</f>
        <v>Suicide/Attempted</v>
      </c>
      <c r="AB564" s="5" t="str">
        <f ca="1">IFERROR(__xludf.DUMMYFUNCTION("""COMPUTED_VALUE"""),"Random Shooting")</f>
        <v>Random Shooting</v>
      </c>
      <c r="AC564" s="5" t="str">
        <f ca="1">IFERROR(__xludf.DUMMYFUNCTION("""COMPUTED_VALUE"""),"No")</f>
        <v>No</v>
      </c>
      <c r="AD564" s="5" t="str">
        <f ca="1">IFERROR(__xludf.DUMMYFUNCTION("""COMPUTED_VALUE"""),"No")</f>
        <v>No</v>
      </c>
      <c r="AE564" s="5" t="str">
        <f ca="1">IFERROR(__xludf.DUMMYFUNCTION("""COMPUTED_VALUE"""),"No")</f>
        <v>No</v>
      </c>
      <c r="AF564" s="5" t="str">
        <f ca="1">IFERROR(__xludf.DUMMYFUNCTION("""COMPUTED_VALUE"""),"No")</f>
        <v>No</v>
      </c>
      <c r="AG564" s="5" t="str">
        <f ca="1">IFERROR(__xludf.DUMMYFUNCTION("""COMPUTED_VALUE"""),"No")</f>
        <v>No</v>
      </c>
      <c r="AH564" s="5" t="str">
        <f ca="1">IFERROR(__xludf.DUMMYFUNCTION("""COMPUTED_VALUE"""),"No")</f>
        <v>No</v>
      </c>
      <c r="AI564" s="5" t="str">
        <f ca="1">IFERROR(__xludf.DUMMYFUNCTION("""COMPUTED_VALUE"""),"No")</f>
        <v>No</v>
      </c>
      <c r="AJ564" s="5" t="str">
        <f ca="1">IFERROR(__xludf.DUMMYFUNCTION("""COMPUTED_VALUE"""),"No")</f>
        <v>No</v>
      </c>
    </row>
    <row r="565" spans="1:36" ht="13">
      <c r="A565" s="5" t="str">
        <f ca="1">IFERROR(__xludf.DUMMYFUNCTION("""COMPUTED_VALUE"""),"20210708ILBEC")</f>
        <v>20210708ILBEC</v>
      </c>
      <c r="B565" s="5">
        <f ca="1">IFERROR(__xludf.DUMMYFUNCTION("""COMPUTED_VALUE"""),7)</f>
        <v>7</v>
      </c>
      <c r="C565" s="5">
        <f ca="1">IFERROR(__xludf.DUMMYFUNCTION("""COMPUTED_VALUE"""),8)</f>
        <v>8</v>
      </c>
      <c r="D565" s="5">
        <f ca="1">IFERROR(__xludf.DUMMYFUNCTION("""COMPUTED_VALUE"""),2021)</f>
        <v>2021</v>
      </c>
      <c r="E565" s="8">
        <f ca="1">IFERROR(__xludf.DUMMYFUNCTION("""COMPUTED_VALUE"""),44385)</f>
        <v>44385</v>
      </c>
      <c r="F565" s="5" t="str">
        <f ca="1">IFERROR(__xludf.DUMMYFUNCTION("""COMPUTED_VALUE"""),"Benito Juarez Community Academy")</f>
        <v>Benito Juarez Community Academy</v>
      </c>
      <c r="G565" s="5">
        <f ca="1">IFERROR(__xludf.DUMMYFUNCTION("""COMPUTED_VALUE"""),0)</f>
        <v>0</v>
      </c>
      <c r="H565" s="5">
        <f ca="1">IFERROR(__xludf.DUMMYFUNCTION("""COMPUTED_VALUE"""),2)</f>
        <v>2</v>
      </c>
      <c r="I565" s="5">
        <f ca="1">IFERROR(__xludf.DUMMYFUNCTION("""COMPUTED_VALUE"""),2)</f>
        <v>2</v>
      </c>
      <c r="J565" s="5">
        <f ca="1">IFERROR(__xludf.DUMMYFUNCTION("""COMPUTED_VALUE"""),0)</f>
        <v>0</v>
      </c>
      <c r="K565" s="5" t="str">
        <f ca="1">IFERROR(__xludf.DUMMYFUNCTION("""COMPUTED_VALUE"""),"https://chicago.cbslocal.com/2021/07/08/pilsen-shooting-near-juarez-high-school/ https://chicago.suntimes.com/2021/7/8/22568760/2-shot-near-juarez-high-school-on-west-side")</f>
        <v>https://chicago.cbslocal.com/2021/07/08/pilsen-shooting-near-juarez-high-school/ https://chicago.suntimes.com/2021/7/8/22568760/2-shot-near-juarez-high-school-on-west-side</v>
      </c>
      <c r="L565" s="5">
        <f ca="1">IFERROR(__xludf.DUMMYFUNCTION("""COMPUTED_VALUE"""),2)</f>
        <v>2</v>
      </c>
      <c r="M565" s="5" t="str">
        <f ca="1">IFERROR(__xludf.DUMMYFUNCTION("""COMPUTED_VALUE"""),"Local")</f>
        <v>Local</v>
      </c>
      <c r="N565" s="5">
        <f ca="1">IFERROR(__xludf.DUMMYFUNCTION("""COMPUTED_VALUE"""),4)</f>
        <v>4</v>
      </c>
      <c r="O565" s="5" t="str">
        <f ca="1">IFERROR(__xludf.DUMMYFUNCTION("""COMPUTED_VALUE"""),"Summer")</f>
        <v>Summer</v>
      </c>
      <c r="P565" s="5" t="str">
        <f ca="1">IFERROR(__xludf.DUMMYFUNCTION("""COMPUTED_VALUE"""),"Chicago")</f>
        <v>Chicago</v>
      </c>
      <c r="Q565" s="5" t="str">
        <f ca="1">IFERROR(__xludf.DUMMYFUNCTION("""COMPUTED_VALUE"""),"IL")</f>
        <v>IL</v>
      </c>
      <c r="R565" s="5" t="str">
        <f ca="1">IFERROR(__xludf.DUMMYFUNCTION("""COMPUTED_VALUE"""),"High")</f>
        <v>High</v>
      </c>
      <c r="S565" s="5" t="str">
        <f ca="1">IFERROR(__xludf.DUMMYFUNCTION("""COMPUTED_VALUE"""),"Front of School")</f>
        <v>Front of School</v>
      </c>
      <c r="T565" s="5" t="str">
        <f ca="1">IFERROR(__xludf.DUMMYFUNCTION("""COMPUTED_VALUE"""),"Outside on School Property")</f>
        <v>Outside on School Property</v>
      </c>
      <c r="U565" s="5" t="str">
        <f ca="1">IFERROR(__xludf.DUMMYFUNCTION("""COMPUTED_VALUE"""),"Yes")</f>
        <v>Yes</v>
      </c>
      <c r="V565" s="5" t="str">
        <f ca="1">IFERROR(__xludf.DUMMYFUNCTION("""COMPUTED_VALUE"""),"Afternoon Classes")</f>
        <v>Afternoon Classes</v>
      </c>
      <c r="W565" s="10">
        <f ca="1">IFERROR(__xludf.DUMMYFUNCTION("""COMPUTED_VALUE"""),0.50625)</f>
        <v>0.50624999999999998</v>
      </c>
      <c r="X565" s="5">
        <f ca="1">IFERROR(__xludf.DUMMYFUNCTION("""COMPUTED_VALUE"""),1)</f>
        <v>1</v>
      </c>
      <c r="Y565" s="5" t="str">
        <f ca="1">IFERROR(__xludf.DUMMYFUNCTION("""COMPUTED_VALUE"""),"Teen student bystander struck during shooting resulting from fight between 2 adult women")</f>
        <v>Teen student bystander struck during shooting resulting from fight between 2 adult women</v>
      </c>
      <c r="Z565" s="5" t="str">
        <f ca="1">IFERROR(__xludf.DUMMYFUNCTION("""COMPUTED_VALUE"""),"Shots were fired during a fight between two adult women in front of the school. A vehicle stopped near them and someone inside started shooting. Students were attending summer programs at the time of the shooting. A 34-year-old female involved in the figh"&amp;"t was shot in the neck. A 16-year-old male student at the school was shot in the leg. School was locked down for one hour and then students were released to their parents.")</f>
        <v>Shots were fired during a fight between two adult women in front of the school. A vehicle stopped near them and someone inside started shooting. Students were attending summer programs at the time of the shooting. A 34-year-old female involved in the fight was shot in the neck. A 16-year-old male student at the school was shot in the leg. School was locked down for one hour and then students were released to their parents.</v>
      </c>
      <c r="AA565" s="5" t="str">
        <f ca="1">IFERROR(__xludf.DUMMYFUNCTION("""COMPUTED_VALUE"""),"Drive-by Shooting")</f>
        <v>Drive-by Shooting</v>
      </c>
      <c r="AB565" s="5" t="str">
        <f ca="1">IFERROR(__xludf.DUMMYFUNCTION("""COMPUTED_VALUE"""),"Both")</f>
        <v>Both</v>
      </c>
      <c r="AC565" s="5"/>
      <c r="AD565" s="5" t="str">
        <f ca="1">IFERROR(__xludf.DUMMYFUNCTION("""COMPUTED_VALUE"""),"No")</f>
        <v>No</v>
      </c>
      <c r="AE565" s="5" t="str">
        <f ca="1">IFERROR(__xludf.DUMMYFUNCTION("""COMPUTED_VALUE"""),"No")</f>
        <v>No</v>
      </c>
      <c r="AF565" s="5" t="str">
        <f ca="1">IFERROR(__xludf.DUMMYFUNCTION("""COMPUTED_VALUE"""),"No")</f>
        <v>No</v>
      </c>
      <c r="AG565" s="5" t="str">
        <f ca="1">IFERROR(__xludf.DUMMYFUNCTION("""COMPUTED_VALUE"""),"No")</f>
        <v>No</v>
      </c>
      <c r="AH565" s="5" t="str">
        <f ca="1">IFERROR(__xludf.DUMMYFUNCTION("""COMPUTED_VALUE"""),"No")</f>
        <v>No</v>
      </c>
      <c r="AI565" s="5"/>
      <c r="AJ565" s="5" t="str">
        <f ca="1">IFERROR(__xludf.DUMMYFUNCTION("""COMPUTED_VALUE"""),"No")</f>
        <v>No</v>
      </c>
    </row>
    <row r="566" spans="1:36" ht="13">
      <c r="A566" s="5" t="str">
        <f ca="1">IFERROR(__xludf.DUMMYFUNCTION("""COMPUTED_VALUE"""),"20210704NYDRR")</f>
        <v>20210704NYDRR</v>
      </c>
      <c r="B566" s="5">
        <f ca="1">IFERROR(__xludf.DUMMYFUNCTION("""COMPUTED_VALUE"""),7)</f>
        <v>7</v>
      </c>
      <c r="C566" s="5">
        <f ca="1">IFERROR(__xludf.DUMMYFUNCTION("""COMPUTED_VALUE"""),4)</f>
        <v>4</v>
      </c>
      <c r="D566" s="5">
        <f ca="1">IFERROR(__xludf.DUMMYFUNCTION("""COMPUTED_VALUE"""),2021)</f>
        <v>2021</v>
      </c>
      <c r="E566" s="8">
        <f ca="1">IFERROR(__xludf.DUMMYFUNCTION("""COMPUTED_VALUE"""),44381)</f>
        <v>44381</v>
      </c>
      <c r="F566" s="5" t="str">
        <f ca="1">IFERROR(__xludf.DUMMYFUNCTION("""COMPUTED_VALUE"""),"Dr. Louis A. Cerulli School No. 34")</f>
        <v>Dr. Louis A. Cerulli School No. 34</v>
      </c>
      <c r="G566" s="5">
        <f ca="1">IFERROR(__xludf.DUMMYFUNCTION("""COMPUTED_VALUE"""),1)</f>
        <v>1</v>
      </c>
      <c r="H566" s="5">
        <f ca="1">IFERROR(__xludf.DUMMYFUNCTION("""COMPUTED_VALUE"""),0)</f>
        <v>0</v>
      </c>
      <c r="I566" s="5">
        <f ca="1">IFERROR(__xludf.DUMMYFUNCTION("""COMPUTED_VALUE"""),1)</f>
        <v>1</v>
      </c>
      <c r="J566" s="5">
        <f ca="1">IFERROR(__xludf.DUMMYFUNCTION("""COMPUTED_VALUE"""),0)</f>
        <v>0</v>
      </c>
      <c r="K566" s="5" t="str">
        <f ca="1">IFERROR(__xludf.DUMMYFUNCTION("""COMPUTED_VALUE"""),"https://www.democratandchronicle.com/story/news/2021/07/05/two-rochester-shootings-leave-four-victims-all-expected-live/7864450002/ https://www.democratandchronicle.com/story/news/2021/07/04/rochester-ny-shooting-teenage-boy-found-falmouth-street-greece-d"&amp;"riving-park-lark/7861094002/")</f>
        <v>https://www.democratandchronicle.com/story/news/2021/07/05/two-rochester-shootings-leave-four-victims-all-expected-live/7864450002/ https://www.democratandchronicle.com/story/news/2021/07/04/rochester-ny-shooting-teenage-boy-found-falmouth-street-greece-driving-park-lark/7861094002/</v>
      </c>
      <c r="L566" s="5">
        <f ca="1">IFERROR(__xludf.DUMMYFUNCTION("""COMPUTED_VALUE"""),2)</f>
        <v>2</v>
      </c>
      <c r="M566" s="5" t="str">
        <f ca="1">IFERROR(__xludf.DUMMYFUNCTION("""COMPUTED_VALUE"""),"Local")</f>
        <v>Local</v>
      </c>
      <c r="N566" s="5">
        <f ca="1">IFERROR(__xludf.DUMMYFUNCTION("""COMPUTED_VALUE"""),3)</f>
        <v>3</v>
      </c>
      <c r="O566" s="5" t="str">
        <f ca="1">IFERROR(__xludf.DUMMYFUNCTION("""COMPUTED_VALUE"""),"Summer")</f>
        <v>Summer</v>
      </c>
      <c r="P566" s="5" t="str">
        <f ca="1">IFERROR(__xludf.DUMMYFUNCTION("""COMPUTED_VALUE"""),"Rochester")</f>
        <v>Rochester</v>
      </c>
      <c r="Q566" s="5" t="str">
        <f ca="1">IFERROR(__xludf.DUMMYFUNCTION("""COMPUTED_VALUE"""),"NY")</f>
        <v>NY</v>
      </c>
      <c r="R566" s="5" t="str">
        <f ca="1">IFERROR(__xludf.DUMMYFUNCTION("""COMPUTED_VALUE"""),"High")</f>
        <v>High</v>
      </c>
      <c r="S566" s="5" t="str">
        <f ca="1">IFERROR(__xludf.DUMMYFUNCTION("""COMPUTED_VALUE"""),"Parking Lot")</f>
        <v>Parking Lot</v>
      </c>
      <c r="T566" s="5" t="str">
        <f ca="1">IFERROR(__xludf.DUMMYFUNCTION("""COMPUTED_VALUE"""),"Outside on School Property")</f>
        <v>Outside on School Property</v>
      </c>
      <c r="U566" s="5" t="str">
        <f ca="1">IFERROR(__xludf.DUMMYFUNCTION("""COMPUTED_VALUE"""),"No")</f>
        <v>No</v>
      </c>
      <c r="V566" s="5" t="str">
        <f ca="1">IFERROR(__xludf.DUMMYFUNCTION("""COMPUTED_VALUE"""),"Night")</f>
        <v>Night</v>
      </c>
      <c r="W566" s="10">
        <f ca="1">IFERROR(__xludf.DUMMYFUNCTION("""COMPUTED_VALUE"""),0.0416666666666666)</f>
        <v>4.1666666666666602E-2</v>
      </c>
      <c r="X566" s="5">
        <f ca="1">IFERROR(__xludf.DUMMYFUNCTION("""COMPUTED_VALUE"""),1)</f>
        <v>1</v>
      </c>
      <c r="Y566" s="5" t="str">
        <f ca="1">IFERROR(__xludf.DUMMYFUNCTION("""COMPUTED_VALUE"""),"Teen sitting in vehicle shot during drive-by in school parking lot")</f>
        <v>Teen sitting in vehicle shot during drive-by in school parking lot</v>
      </c>
      <c r="Z566" s="5" t="str">
        <f ca="1">IFERROR(__xludf.DUMMYFUNCTION("""COMPUTED_VALUE"""),"A 16-year-old male was sitting inside a vehicle in the school parking lot when shots were fired from another vehicle. He was driven 2 miles from the scene before the other occupants called 9-1-1. Shooter fled.")</f>
        <v>A 16-year-old male was sitting inside a vehicle in the school parking lot when shots were fired from another vehicle. He was driven 2 miles from the scene before the other occupants called 9-1-1. Shooter fled.</v>
      </c>
      <c r="AA566" s="5" t="str">
        <f ca="1">IFERROR(__xludf.DUMMYFUNCTION("""COMPUTED_VALUE"""),"Drive-by Shooting")</f>
        <v>Drive-by Shooting</v>
      </c>
      <c r="AB566" s="5"/>
      <c r="AC566" s="5"/>
      <c r="AD566" s="5" t="str">
        <f ca="1">IFERROR(__xludf.DUMMYFUNCTION("""COMPUTED_VALUE"""),"No")</f>
        <v>No</v>
      </c>
      <c r="AE566" s="5" t="str">
        <f ca="1">IFERROR(__xludf.DUMMYFUNCTION("""COMPUTED_VALUE"""),"No")</f>
        <v>No</v>
      </c>
      <c r="AF566" s="5" t="str">
        <f ca="1">IFERROR(__xludf.DUMMYFUNCTION("""COMPUTED_VALUE"""),"No")</f>
        <v>No</v>
      </c>
      <c r="AG566" s="5" t="str">
        <f ca="1">IFERROR(__xludf.DUMMYFUNCTION("""COMPUTED_VALUE"""),"No")</f>
        <v>No</v>
      </c>
      <c r="AH566" s="5" t="str">
        <f ca="1">IFERROR(__xludf.DUMMYFUNCTION("""COMPUTED_VALUE"""),"No")</f>
        <v>No</v>
      </c>
      <c r="AI566" s="5"/>
      <c r="AJ566" s="5" t="str">
        <f ca="1">IFERROR(__xludf.DUMMYFUNCTION("""COMPUTED_VALUE"""),"No")</f>
        <v>No</v>
      </c>
    </row>
    <row r="567" spans="1:36" ht="13">
      <c r="A567" s="5" t="str">
        <f ca="1">IFERROR(__xludf.DUMMYFUNCTION("""COMPUTED_VALUE"""),"20210628CASLF")</f>
        <v>20210628CASLF</v>
      </c>
      <c r="B567" s="5">
        <f ca="1">IFERROR(__xludf.DUMMYFUNCTION("""COMPUTED_VALUE"""),6)</f>
        <v>6</v>
      </c>
      <c r="C567" s="5">
        <f ca="1">IFERROR(__xludf.DUMMYFUNCTION("""COMPUTED_VALUE"""),28)</f>
        <v>28</v>
      </c>
      <c r="D567" s="5">
        <f ca="1">IFERROR(__xludf.DUMMYFUNCTION("""COMPUTED_VALUE"""),2021)</f>
        <v>2021</v>
      </c>
      <c r="E567" s="8">
        <f ca="1">IFERROR(__xludf.DUMMYFUNCTION("""COMPUTED_VALUE"""),44375)</f>
        <v>44375</v>
      </c>
      <c r="F567" s="5" t="str">
        <f ca="1">IFERROR(__xludf.DUMMYFUNCTION("""COMPUTED_VALUE"""),"Slater Elementary School")</f>
        <v>Slater Elementary School</v>
      </c>
      <c r="G567" s="5">
        <f ca="1">IFERROR(__xludf.DUMMYFUNCTION("""COMPUTED_VALUE"""),0)</f>
        <v>0</v>
      </c>
      <c r="H567" s="5">
        <f ca="1">IFERROR(__xludf.DUMMYFUNCTION("""COMPUTED_VALUE"""),1)</f>
        <v>1</v>
      </c>
      <c r="I567" s="5">
        <f ca="1">IFERROR(__xludf.DUMMYFUNCTION("""COMPUTED_VALUE"""),1)</f>
        <v>1</v>
      </c>
      <c r="J567" s="5">
        <f ca="1">IFERROR(__xludf.DUMMYFUNCTION("""COMPUTED_VALUE"""),0)</f>
        <v>0</v>
      </c>
      <c r="K567" s="9" t="str">
        <f ca="1">IFERROR(__xludf.DUMMYFUNCTION("""COMPUTED_VALUE"""),"https://www.yourcentralvalley.com/news/local-news/driver-crashes-into-central-fresno-school-fence-after-being-shot-police-say/")</f>
        <v>https://www.yourcentralvalley.com/news/local-news/driver-crashes-into-central-fresno-school-fence-after-being-shot-police-say/</v>
      </c>
      <c r="L567" s="5">
        <f ca="1">IFERROR(__xludf.DUMMYFUNCTION("""COMPUTED_VALUE"""),3)</f>
        <v>3</v>
      </c>
      <c r="M567" s="5" t="str">
        <f ca="1">IFERROR(__xludf.DUMMYFUNCTION("""COMPUTED_VALUE"""),"Local")</f>
        <v>Local</v>
      </c>
      <c r="N567" s="5">
        <f ca="1">IFERROR(__xludf.DUMMYFUNCTION("""COMPUTED_VALUE"""),4)</f>
        <v>4</v>
      </c>
      <c r="O567" s="5" t="str">
        <f ca="1">IFERROR(__xludf.DUMMYFUNCTION("""COMPUTED_VALUE"""),"Summer")</f>
        <v>Summer</v>
      </c>
      <c r="P567" s="5" t="str">
        <f ca="1">IFERROR(__xludf.DUMMYFUNCTION("""COMPUTED_VALUE"""),"Fresno")</f>
        <v>Fresno</v>
      </c>
      <c r="Q567" s="5" t="str">
        <f ca="1">IFERROR(__xludf.DUMMYFUNCTION("""COMPUTED_VALUE"""),"CA")</f>
        <v>CA</v>
      </c>
      <c r="R567" s="5" t="str">
        <f ca="1">IFERROR(__xludf.DUMMYFUNCTION("""COMPUTED_VALUE"""),"Elementary")</f>
        <v>Elementary</v>
      </c>
      <c r="S567" s="5" t="str">
        <f ca="1">IFERROR(__xludf.DUMMYFUNCTION("""COMPUTED_VALUE"""),"Field (General)")</f>
        <v>Field (General)</v>
      </c>
      <c r="T567" s="5" t="str">
        <f ca="1">IFERROR(__xludf.DUMMYFUNCTION("""COMPUTED_VALUE"""),"Outside on School Property")</f>
        <v>Outside on School Property</v>
      </c>
      <c r="U567" s="5" t="str">
        <f ca="1">IFERROR(__xludf.DUMMYFUNCTION("""COMPUTED_VALUE"""),"No")</f>
        <v>No</v>
      </c>
      <c r="V567" s="5" t="str">
        <f ca="1">IFERROR(__xludf.DUMMYFUNCTION("""COMPUTED_VALUE"""),"Not a School Day")</f>
        <v>Not a School Day</v>
      </c>
      <c r="W567" s="10">
        <f ca="1">IFERROR(__xludf.DUMMYFUNCTION("""COMPUTED_VALUE"""),0.375)</f>
        <v>0.375</v>
      </c>
      <c r="X567" s="5">
        <f ca="1">IFERROR(__xludf.DUMMYFUNCTION("""COMPUTED_VALUE"""),1)</f>
        <v>1</v>
      </c>
      <c r="Y567" s="5" t="str">
        <f ca="1">IFERROR(__xludf.DUMMYFUNCTION("""COMPUTED_VALUE"""),"Shot fired at vehicle that crashed through fence onto school property")</f>
        <v>Shot fired at vehicle that crashed through fence onto school property</v>
      </c>
      <c r="Z567" s="5" t="str">
        <f ca="1">IFERROR(__xludf.DUMMYFUNCTION("""COMPUTED_VALUE"""),"Shot were fired by the occupants of one vehicle at another vehicle that crashed into the fence and onto school property. Driver of the crashed vehicle was shot and fled across the school grounds. He was picked up and driven to a local hospital. Police rec"&amp;"overed shell casings near the crashed vehicle. No students or staff were injured. School closed for summer break.")</f>
        <v>Shot were fired by the occupants of one vehicle at another vehicle that crashed into the fence and onto school property. Driver of the crashed vehicle was shot and fled across the school grounds. He was picked up and driven to a local hospital. Police recovered shell casings near the crashed vehicle. No students or staff were injured. School closed for summer break.</v>
      </c>
      <c r="AA567" s="5" t="str">
        <f ca="1">IFERROR(__xludf.DUMMYFUNCTION("""COMPUTED_VALUE"""),"Drive-by Shooting")</f>
        <v>Drive-by Shooting</v>
      </c>
      <c r="AB567" s="5" t="str">
        <f ca="1">IFERROR(__xludf.DUMMYFUNCTION("""COMPUTED_VALUE"""),"Victims Targeted")</f>
        <v>Victims Targeted</v>
      </c>
      <c r="AC567" s="5"/>
      <c r="AD567" s="5" t="str">
        <f ca="1">IFERROR(__xludf.DUMMYFUNCTION("""COMPUTED_VALUE"""),"No")</f>
        <v>No</v>
      </c>
      <c r="AE567" s="5" t="str">
        <f ca="1">IFERROR(__xludf.DUMMYFUNCTION("""COMPUTED_VALUE"""),"No")</f>
        <v>No</v>
      </c>
      <c r="AF567" s="5" t="str">
        <f ca="1">IFERROR(__xludf.DUMMYFUNCTION("""COMPUTED_VALUE"""),"No")</f>
        <v>No</v>
      </c>
      <c r="AG567" s="5" t="str">
        <f ca="1">IFERROR(__xludf.DUMMYFUNCTION("""COMPUTED_VALUE"""),"No")</f>
        <v>No</v>
      </c>
      <c r="AH567" s="5" t="str">
        <f ca="1">IFERROR(__xludf.DUMMYFUNCTION("""COMPUTED_VALUE"""),"No")</f>
        <v>No</v>
      </c>
      <c r="AI567" s="5"/>
      <c r="AJ567" s="5" t="str">
        <f ca="1">IFERROR(__xludf.DUMMYFUNCTION("""COMPUTED_VALUE"""),"No")</f>
        <v>No</v>
      </c>
    </row>
    <row r="568" spans="1:36" ht="13">
      <c r="A568" s="5" t="str">
        <f ca="1">IFERROR(__xludf.DUMMYFUNCTION("""COMPUTED_VALUE"""),"20210624ILABR")</f>
        <v>20210624ILABR</v>
      </c>
      <c r="B568" s="5">
        <f ca="1">IFERROR(__xludf.DUMMYFUNCTION("""COMPUTED_VALUE"""),6)</f>
        <v>6</v>
      </c>
      <c r="C568" s="5">
        <f ca="1">IFERROR(__xludf.DUMMYFUNCTION("""COMPUTED_VALUE"""),24)</f>
        <v>24</v>
      </c>
      <c r="D568" s="5">
        <f ca="1">IFERROR(__xludf.DUMMYFUNCTION("""COMPUTED_VALUE"""),2021)</f>
        <v>2021</v>
      </c>
      <c r="E568" s="8">
        <f ca="1">IFERROR(__xludf.DUMMYFUNCTION("""COMPUTED_VALUE"""),44371)</f>
        <v>44371</v>
      </c>
      <c r="F568" s="5" t="str">
        <f ca="1">IFERROR(__xludf.DUMMYFUNCTION("""COMPUTED_VALUE"""),"Abraham Lincoln Middle School")</f>
        <v>Abraham Lincoln Middle School</v>
      </c>
      <c r="G568" s="5">
        <f ca="1">IFERROR(__xludf.DUMMYFUNCTION("""COMPUTED_VALUE"""),0)</f>
        <v>0</v>
      </c>
      <c r="H568" s="5">
        <f ca="1">IFERROR(__xludf.DUMMYFUNCTION("""COMPUTED_VALUE"""),1)</f>
        <v>1</v>
      </c>
      <c r="I568" s="5">
        <f ca="1">IFERROR(__xludf.DUMMYFUNCTION("""COMPUTED_VALUE"""),1)</f>
        <v>1</v>
      </c>
      <c r="J568" s="5">
        <f ca="1">IFERROR(__xludf.DUMMYFUNCTION("""COMPUTED_VALUE"""),0)</f>
        <v>0</v>
      </c>
      <c r="K568" s="5" t="str">
        <f ca="1">IFERROR(__xludf.DUMMYFUNCTION("""COMPUTED_VALUE"""),"https://wrex.com/2021/06/24/man-shot-in-vehicle-in-front-of-lincoln-middle-school/ https://www.wifr.com/2021/06/25/man-shot-jaw-heading-home-work-near-rockford-school/")</f>
        <v>https://wrex.com/2021/06/24/man-shot-in-vehicle-in-front-of-lincoln-middle-school/ https://www.wifr.com/2021/06/25/man-shot-jaw-heading-home-work-near-rockford-school/</v>
      </c>
      <c r="L568" s="5">
        <f ca="1">IFERROR(__xludf.DUMMYFUNCTION("""COMPUTED_VALUE"""),2)</f>
        <v>2</v>
      </c>
      <c r="M568" s="5" t="str">
        <f ca="1">IFERROR(__xludf.DUMMYFUNCTION("""COMPUTED_VALUE"""),"Local")</f>
        <v>Local</v>
      </c>
      <c r="N568" s="5">
        <f ca="1">IFERROR(__xludf.DUMMYFUNCTION("""COMPUTED_VALUE"""),3)</f>
        <v>3</v>
      </c>
      <c r="O568" s="5" t="str">
        <f ca="1">IFERROR(__xludf.DUMMYFUNCTION("""COMPUTED_VALUE"""),"Summer")</f>
        <v>Summer</v>
      </c>
      <c r="P568" s="5" t="str">
        <f ca="1">IFERROR(__xludf.DUMMYFUNCTION("""COMPUTED_VALUE"""),"Rockford")</f>
        <v>Rockford</v>
      </c>
      <c r="Q568" s="5" t="str">
        <f ca="1">IFERROR(__xludf.DUMMYFUNCTION("""COMPUTED_VALUE"""),"IL")</f>
        <v>IL</v>
      </c>
      <c r="R568" s="5" t="str">
        <f ca="1">IFERROR(__xludf.DUMMYFUNCTION("""COMPUTED_VALUE"""),"Middle")</f>
        <v>Middle</v>
      </c>
      <c r="S568" s="5" t="str">
        <f ca="1">IFERROR(__xludf.DUMMYFUNCTION("""COMPUTED_VALUE"""),"Front of School")</f>
        <v>Front of School</v>
      </c>
      <c r="T568" s="5" t="str">
        <f ca="1">IFERROR(__xludf.DUMMYFUNCTION("""COMPUTED_VALUE"""),"Outside on School Property")</f>
        <v>Outside on School Property</v>
      </c>
      <c r="U568" s="5" t="str">
        <f ca="1">IFERROR(__xludf.DUMMYFUNCTION("""COMPUTED_VALUE"""),"No")</f>
        <v>No</v>
      </c>
      <c r="V568" s="5" t="str">
        <f ca="1">IFERROR(__xludf.DUMMYFUNCTION("""COMPUTED_VALUE"""),"Evening")</f>
        <v>Evening</v>
      </c>
      <c r="W568" s="10">
        <f ca="1">IFERROR(__xludf.DUMMYFUNCTION("""COMPUTED_VALUE"""),0.815972222222222)</f>
        <v>0.81597222222222199</v>
      </c>
      <c r="X568" s="5">
        <f ca="1">IFERROR(__xludf.DUMMYFUNCTION("""COMPUTED_VALUE"""),1)</f>
        <v>1</v>
      </c>
      <c r="Y568" s="5" t="str">
        <f ca="1">IFERROR(__xludf.DUMMYFUNCTION("""COMPUTED_VALUE"""),"Man shot while driving, crashed his vehicle on the front lawn of the school")</f>
        <v>Man shot while driving, crashed his vehicle on the front lawn of the school</v>
      </c>
      <c r="Z568" s="5" t="str">
        <f ca="1">IFERROR(__xludf.DUMMYFUNCTION("""COMPUTED_VALUE"""),"An adult male was shot in the jaw while driving near the school. He lost control of his vehicle and ended up in the middle of the front lawn of the school. The shots were fired from another vehicle that fled the scene. No students or staff were involved.")</f>
        <v>An adult male was shot in the jaw while driving near the school. He lost control of his vehicle and ended up in the middle of the front lawn of the school. The shots were fired from another vehicle that fled the scene. No students or staff were involved.</v>
      </c>
      <c r="AA568" s="5" t="str">
        <f ca="1">IFERROR(__xludf.DUMMYFUNCTION("""COMPUTED_VALUE"""),"Drive-by Shooting")</f>
        <v>Drive-by Shooting</v>
      </c>
      <c r="AB568" s="5"/>
      <c r="AC568" s="5"/>
      <c r="AD568" s="5" t="str">
        <f ca="1">IFERROR(__xludf.DUMMYFUNCTION("""COMPUTED_VALUE"""),"No")</f>
        <v>No</v>
      </c>
      <c r="AE568" s="5" t="str">
        <f ca="1">IFERROR(__xludf.DUMMYFUNCTION("""COMPUTED_VALUE"""),"No")</f>
        <v>No</v>
      </c>
      <c r="AF568" s="5" t="str">
        <f ca="1">IFERROR(__xludf.DUMMYFUNCTION("""COMPUTED_VALUE"""),"No")</f>
        <v>No</v>
      </c>
      <c r="AG568" s="5" t="str">
        <f ca="1">IFERROR(__xludf.DUMMYFUNCTION("""COMPUTED_VALUE"""),"No")</f>
        <v>No</v>
      </c>
      <c r="AH568" s="5" t="str">
        <f ca="1">IFERROR(__xludf.DUMMYFUNCTION("""COMPUTED_VALUE"""),"No")</f>
        <v>No</v>
      </c>
      <c r="AI568" s="5"/>
      <c r="AJ568" s="5" t="str">
        <f ca="1">IFERROR(__xludf.DUMMYFUNCTION("""COMPUTED_VALUE"""),"No")</f>
        <v>No</v>
      </c>
    </row>
    <row r="569" spans="1:36" ht="13">
      <c r="A569" s="5" t="str">
        <f ca="1">IFERROR(__xludf.DUMMYFUNCTION("""COMPUTED_VALUE"""),"20210620CAGRM")</f>
        <v>20210620CAGRM</v>
      </c>
      <c r="B569" s="5">
        <f ca="1">IFERROR(__xludf.DUMMYFUNCTION("""COMPUTED_VALUE"""),6)</f>
        <v>6</v>
      </c>
      <c r="C569" s="5">
        <f ca="1">IFERROR(__xludf.DUMMYFUNCTION("""COMPUTED_VALUE"""),20)</f>
        <v>20</v>
      </c>
      <c r="D569" s="5">
        <f ca="1">IFERROR(__xludf.DUMMYFUNCTION("""COMPUTED_VALUE"""),2021)</f>
        <v>2021</v>
      </c>
      <c r="E569" s="8">
        <f ca="1">IFERROR(__xludf.DUMMYFUNCTION("""COMPUTED_VALUE"""),44367)</f>
        <v>44367</v>
      </c>
      <c r="F569" s="5" t="str">
        <f ca="1">IFERROR(__xludf.DUMMYFUNCTION("""COMPUTED_VALUE"""),"Modesto Christian School")</f>
        <v>Modesto Christian School</v>
      </c>
      <c r="G569" s="5">
        <f ca="1">IFERROR(__xludf.DUMMYFUNCTION("""COMPUTED_VALUE"""),0)</f>
        <v>0</v>
      </c>
      <c r="H569" s="5">
        <f ca="1">IFERROR(__xludf.DUMMYFUNCTION("""COMPUTED_VALUE"""),1)</f>
        <v>1</v>
      </c>
      <c r="I569" s="5">
        <f ca="1">IFERROR(__xludf.DUMMYFUNCTION("""COMPUTED_VALUE"""),1)</f>
        <v>1</v>
      </c>
      <c r="J569" s="5">
        <f ca="1">IFERROR(__xludf.DUMMYFUNCTION("""COMPUTED_VALUE"""),0)</f>
        <v>0</v>
      </c>
      <c r="K569" s="5" t="str">
        <f ca="1">IFERROR(__xludf.DUMMYFUNCTION("""COMPUTED_VALUE"""),"https://www.abc10.com/article/news/crime/shooting-modesto-area-school/103-1e2417eb-7886-4cc7-a3f9-e1fa4e7435e4 https://www.modbee.com/news/local/crime/article252255833.html")</f>
        <v>https://www.abc10.com/article/news/crime/shooting-modesto-area-school/103-1e2417eb-7886-4cc7-a3f9-e1fa4e7435e4 https://www.modbee.com/news/local/crime/article252255833.html</v>
      </c>
      <c r="L569" s="5">
        <f ca="1">IFERROR(__xludf.DUMMYFUNCTION("""COMPUTED_VALUE"""),3)</f>
        <v>3</v>
      </c>
      <c r="M569" s="5" t="str">
        <f ca="1">IFERROR(__xludf.DUMMYFUNCTION("""COMPUTED_VALUE"""),"Local")</f>
        <v>Local</v>
      </c>
      <c r="N569" s="5">
        <f ca="1">IFERROR(__xludf.DUMMYFUNCTION("""COMPUTED_VALUE"""),3)</f>
        <v>3</v>
      </c>
      <c r="O569" s="5" t="str">
        <f ca="1">IFERROR(__xludf.DUMMYFUNCTION("""COMPUTED_VALUE"""),"Summer")</f>
        <v>Summer</v>
      </c>
      <c r="P569" s="5" t="str">
        <f ca="1">IFERROR(__xludf.DUMMYFUNCTION("""COMPUTED_VALUE"""),"Modesto")</f>
        <v>Modesto</v>
      </c>
      <c r="Q569" s="5" t="str">
        <f ca="1">IFERROR(__xludf.DUMMYFUNCTION("""COMPUTED_VALUE"""),"CA")</f>
        <v>CA</v>
      </c>
      <c r="R569" s="5" t="str">
        <f ca="1">IFERROR(__xludf.DUMMYFUNCTION("""COMPUTED_VALUE"""),"K-12")</f>
        <v>K-12</v>
      </c>
      <c r="S569" s="5" t="str">
        <f ca="1">IFERROR(__xludf.DUMMYFUNCTION("""COMPUTED_VALUE"""),"Parking Lot")</f>
        <v>Parking Lot</v>
      </c>
      <c r="T569" s="5" t="str">
        <f ca="1">IFERROR(__xludf.DUMMYFUNCTION("""COMPUTED_VALUE"""),"Outside on School Property")</f>
        <v>Outside on School Property</v>
      </c>
      <c r="U569" s="5" t="str">
        <f ca="1">IFERROR(__xludf.DUMMYFUNCTION("""COMPUTED_VALUE"""),"No")</f>
        <v>No</v>
      </c>
      <c r="V569" s="5" t="str">
        <f ca="1">IFERROR(__xludf.DUMMYFUNCTION("""COMPUTED_VALUE"""),"Not a School Day")</f>
        <v>Not a School Day</v>
      </c>
      <c r="W569" s="10">
        <f ca="1">IFERROR(__xludf.DUMMYFUNCTION("""COMPUTED_VALUE"""),0.270833333333333)</f>
        <v>0.27083333333333298</v>
      </c>
      <c r="X569" s="5">
        <f ca="1">IFERROR(__xludf.DUMMYFUNCTION("""COMPUTED_VALUE"""),1)</f>
        <v>1</v>
      </c>
      <c r="Y569" s="5" t="str">
        <f ca="1">IFERROR(__xludf.DUMMYFUNCTION("""COMPUTED_VALUE"""),"Armed security guard fired at man who attempted to run him over with vehicle")</f>
        <v>Armed security guard fired at man who attempted to run him over with vehicle</v>
      </c>
      <c r="Z569" s="5" t="str">
        <f ca="1">IFERROR(__xludf.DUMMYFUNCTION("""COMPUTED_VALUE"""),"Two armed security guards approached a man who appeared to be stealing the catalytic converter of a school vehicle parking in the parking lot. The man got in a vehicle and attempted to run over the security officer. The security officer fired at him and t"&amp;"he man was detained. The school was closed at the time of the shooting and no students were present.")</f>
        <v>Two armed security guards approached a man who appeared to be stealing the catalytic converter of a school vehicle parking in the parking lot. The man got in a vehicle and attempted to run over the security officer. The security officer fired at him and the man was detained. The school was closed at the time of the shooting and no students were present.</v>
      </c>
      <c r="AA569" s="5" t="str">
        <f ca="1">IFERROR(__xludf.DUMMYFUNCTION("""COMPUTED_VALUE"""),"Illegal Activity")</f>
        <v>Illegal Activity</v>
      </c>
      <c r="AB569" s="5" t="str">
        <f ca="1">IFERROR(__xludf.DUMMYFUNCTION("""COMPUTED_VALUE"""),"Neither")</f>
        <v>Neither</v>
      </c>
      <c r="AC569" s="5" t="str">
        <f ca="1">IFERROR(__xludf.DUMMYFUNCTION("""COMPUTED_VALUE"""),"No")</f>
        <v>No</v>
      </c>
      <c r="AD569" s="5" t="str">
        <f ca="1">IFERROR(__xludf.DUMMYFUNCTION("""COMPUTED_VALUE"""),"No")</f>
        <v>No</v>
      </c>
      <c r="AE569" s="5" t="str">
        <f ca="1">IFERROR(__xludf.DUMMYFUNCTION("""COMPUTED_VALUE"""),"No")</f>
        <v>No</v>
      </c>
      <c r="AF569" s="5" t="str">
        <f ca="1">IFERROR(__xludf.DUMMYFUNCTION("""COMPUTED_VALUE"""),"No")</f>
        <v>No</v>
      </c>
      <c r="AG569" s="5" t="str">
        <f ca="1">IFERROR(__xludf.DUMMYFUNCTION("""COMPUTED_VALUE"""),"No")</f>
        <v>No</v>
      </c>
      <c r="AH569" s="5" t="str">
        <f ca="1">IFERROR(__xludf.DUMMYFUNCTION("""COMPUTED_VALUE"""),"No")</f>
        <v>No</v>
      </c>
      <c r="AI569" s="5" t="str">
        <f ca="1">IFERROR(__xludf.DUMMYFUNCTION("""COMPUTED_VALUE"""),"No")</f>
        <v>No</v>
      </c>
      <c r="AJ569" s="5" t="str">
        <f ca="1">IFERROR(__xludf.DUMMYFUNCTION("""COMPUTED_VALUE"""),"No")</f>
        <v>No</v>
      </c>
    </row>
    <row r="570" spans="1:36" ht="13">
      <c r="A570" s="5" t="str">
        <f ca="1">IFERROR(__xludf.DUMMYFUNCTION("""COMPUTED_VALUE"""),"20210614TXEAF")</f>
        <v>20210614TXEAF</v>
      </c>
      <c r="B570" s="5">
        <f ca="1">IFERROR(__xludf.DUMMYFUNCTION("""COMPUTED_VALUE"""),6)</f>
        <v>6</v>
      </c>
      <c r="C570" s="5">
        <f ca="1">IFERROR(__xludf.DUMMYFUNCTION("""COMPUTED_VALUE"""),14)</f>
        <v>14</v>
      </c>
      <c r="D570" s="5">
        <f ca="1">IFERROR(__xludf.DUMMYFUNCTION("""COMPUTED_VALUE"""),2021)</f>
        <v>2021</v>
      </c>
      <c r="E570" s="8">
        <f ca="1">IFERROR(__xludf.DUMMYFUNCTION("""COMPUTED_VALUE"""),44361)</f>
        <v>44361</v>
      </c>
      <c r="F570" s="5" t="str">
        <f ca="1">IFERROR(__xludf.DUMMYFUNCTION("""COMPUTED_VALUE"""),"Eastern Hills High School")</f>
        <v>Eastern Hills High School</v>
      </c>
      <c r="G570" s="5">
        <f ca="1">IFERROR(__xludf.DUMMYFUNCTION("""COMPUTED_VALUE"""),0)</f>
        <v>0</v>
      </c>
      <c r="H570" s="5">
        <f ca="1">IFERROR(__xludf.DUMMYFUNCTION("""COMPUTED_VALUE"""),1)</f>
        <v>1</v>
      </c>
      <c r="I570" s="5">
        <f ca="1">IFERROR(__xludf.DUMMYFUNCTION("""COMPUTED_VALUE"""),1)</f>
        <v>1</v>
      </c>
      <c r="J570" s="5">
        <f ca="1">IFERROR(__xludf.DUMMYFUNCTION("""COMPUTED_VALUE"""),0)</f>
        <v>0</v>
      </c>
      <c r="K570" s="5" t="str">
        <f ca="1">IFERROR(__xludf.DUMMYFUNCTION("""COMPUTED_VALUE"""),"https://www.dallasnews.com/news/crime/2021/06/15/robbery-results-in-2nd-shooting-in-a-week-outside-fort-worths-eastern-hills-high-school/ https://www.star-telegram.com/news/local/crime/article252126168.html")</f>
        <v>https://www.dallasnews.com/news/crime/2021/06/15/robbery-results-in-2nd-shooting-in-a-week-outside-fort-worths-eastern-hills-high-school/ https://www.star-telegram.com/news/local/crime/article252126168.html</v>
      </c>
      <c r="L570" s="5">
        <f ca="1">IFERROR(__xludf.DUMMYFUNCTION("""COMPUTED_VALUE"""),2)</f>
        <v>2</v>
      </c>
      <c r="M570" s="5" t="str">
        <f ca="1">IFERROR(__xludf.DUMMYFUNCTION("""COMPUTED_VALUE"""),"Local")</f>
        <v>Local</v>
      </c>
      <c r="N570" s="5">
        <f ca="1">IFERROR(__xludf.DUMMYFUNCTION("""COMPUTED_VALUE"""),4)</f>
        <v>4</v>
      </c>
      <c r="O570" s="5" t="str">
        <f ca="1">IFERROR(__xludf.DUMMYFUNCTION("""COMPUTED_VALUE"""),"Summer")</f>
        <v>Summer</v>
      </c>
      <c r="P570" s="5" t="str">
        <f ca="1">IFERROR(__xludf.DUMMYFUNCTION("""COMPUTED_VALUE"""),"Fort Worth")</f>
        <v>Fort Worth</v>
      </c>
      <c r="Q570" s="5" t="str">
        <f ca="1">IFERROR(__xludf.DUMMYFUNCTION("""COMPUTED_VALUE"""),"TX")</f>
        <v>TX</v>
      </c>
      <c r="R570" s="5" t="str">
        <f ca="1">IFERROR(__xludf.DUMMYFUNCTION("""COMPUTED_VALUE"""),"High")</f>
        <v>High</v>
      </c>
      <c r="S570" s="5" t="str">
        <f ca="1">IFERROR(__xludf.DUMMYFUNCTION("""COMPUTED_VALUE"""),"Parking Lot")</f>
        <v>Parking Lot</v>
      </c>
      <c r="T570" s="5" t="str">
        <f ca="1">IFERROR(__xludf.DUMMYFUNCTION("""COMPUTED_VALUE"""),"Outside on School Property")</f>
        <v>Outside on School Property</v>
      </c>
      <c r="U570" s="5" t="str">
        <f ca="1">IFERROR(__xludf.DUMMYFUNCTION("""COMPUTED_VALUE"""),"No")</f>
        <v>No</v>
      </c>
      <c r="V570" s="5" t="str">
        <f ca="1">IFERROR(__xludf.DUMMYFUNCTION("""COMPUTED_VALUE"""),"Evening")</f>
        <v>Evening</v>
      </c>
      <c r="W570" s="10">
        <f ca="1">IFERROR(__xludf.DUMMYFUNCTION("""COMPUTED_VALUE"""),0.8125)</f>
        <v>0.8125</v>
      </c>
      <c r="X570" s="5">
        <f ca="1">IFERROR(__xludf.DUMMYFUNCTION("""COMPUTED_VALUE"""),1)</f>
        <v>1</v>
      </c>
      <c r="Y570" s="5" t="str">
        <f ca="1">IFERROR(__xludf.DUMMYFUNCTION("""COMPUTED_VALUE"""),"Man shot during robbery in school parking lot")</f>
        <v>Man shot during robbery in school parking lot</v>
      </c>
      <c r="Z570" s="5" t="str">
        <f ca="1">IFERROR(__xludf.DUMMYFUNCTION("""COMPUTED_VALUE"""),"A man was shot in the hand during an attempted robbery in the school parking lot. Shooter fled in a vehicle driven by an 18-year-old female who was arrested following a police chase. The shooter fled the vehicle on foot and escaped from police. Youth spor"&amp;"ts events were taking place at the school when the shooting occurred.")</f>
        <v>A man was shot in the hand during an attempted robbery in the school parking lot. Shooter fled in a vehicle driven by an 18-year-old female who was arrested following a police chase. The shooter fled the vehicle on foot and escaped from police. Youth sports events were taking place at the school when the shooting occurred.</v>
      </c>
      <c r="AA570" s="5" t="str">
        <f ca="1">IFERROR(__xludf.DUMMYFUNCTION("""COMPUTED_VALUE"""),"Illegal Activity")</f>
        <v>Illegal Activity</v>
      </c>
      <c r="AB570" s="5" t="str">
        <f ca="1">IFERROR(__xludf.DUMMYFUNCTION("""COMPUTED_VALUE"""),"Victims Targeted")</f>
        <v>Victims Targeted</v>
      </c>
      <c r="AC570" s="5" t="str">
        <f ca="1">IFERROR(__xludf.DUMMYFUNCTION("""COMPUTED_VALUE"""),"Yes")</f>
        <v>Yes</v>
      </c>
      <c r="AD570" s="5" t="str">
        <f ca="1">IFERROR(__xludf.DUMMYFUNCTION("""COMPUTED_VALUE"""),"No")</f>
        <v>No</v>
      </c>
      <c r="AE570" s="5" t="str">
        <f ca="1">IFERROR(__xludf.DUMMYFUNCTION("""COMPUTED_VALUE"""),"No")</f>
        <v>No</v>
      </c>
      <c r="AF570" s="5" t="str">
        <f ca="1">IFERROR(__xludf.DUMMYFUNCTION("""COMPUTED_VALUE"""),"No")</f>
        <v>No</v>
      </c>
      <c r="AG570" s="5" t="str">
        <f ca="1">IFERROR(__xludf.DUMMYFUNCTION("""COMPUTED_VALUE"""),"No")</f>
        <v>No</v>
      </c>
      <c r="AH570" s="5" t="str">
        <f ca="1">IFERROR(__xludf.DUMMYFUNCTION("""COMPUTED_VALUE"""),"No")</f>
        <v>No</v>
      </c>
      <c r="AI570" s="5" t="str">
        <f ca="1">IFERROR(__xludf.DUMMYFUNCTION("""COMPUTED_VALUE"""),"No")</f>
        <v>No</v>
      </c>
      <c r="AJ570" s="5" t="str">
        <f ca="1">IFERROR(__xludf.DUMMYFUNCTION("""COMPUTED_VALUE"""),"No")</f>
        <v>No</v>
      </c>
    </row>
    <row r="571" spans="1:36" ht="13">
      <c r="A571" s="5" t="str">
        <f ca="1">IFERROR(__xludf.DUMMYFUNCTION("""COMPUTED_VALUE"""),"20210614NCROR")</f>
        <v>20210614NCROR</v>
      </c>
      <c r="B571" s="5">
        <f ca="1">IFERROR(__xludf.DUMMYFUNCTION("""COMPUTED_VALUE"""),6)</f>
        <v>6</v>
      </c>
      <c r="C571" s="5">
        <f ca="1">IFERROR(__xludf.DUMMYFUNCTION("""COMPUTED_VALUE"""),14)</f>
        <v>14</v>
      </c>
      <c r="D571" s="5">
        <f ca="1">IFERROR(__xludf.DUMMYFUNCTION("""COMPUTED_VALUE"""),2021)</f>
        <v>2021</v>
      </c>
      <c r="E571" s="8">
        <f ca="1">IFERROR(__xludf.DUMMYFUNCTION("""COMPUTED_VALUE"""),44361)</f>
        <v>44361</v>
      </c>
      <c r="F571" s="5" t="str">
        <f ca="1">IFERROR(__xludf.DUMMYFUNCTION("""COMPUTED_VALUE"""),"Rowland Middle School")</f>
        <v>Rowland Middle School</v>
      </c>
      <c r="G571" s="5">
        <f ca="1">IFERROR(__xludf.DUMMYFUNCTION("""COMPUTED_VALUE"""),0)</f>
        <v>0</v>
      </c>
      <c r="H571" s="5">
        <f ca="1">IFERROR(__xludf.DUMMYFUNCTION("""COMPUTED_VALUE"""),0)</f>
        <v>0</v>
      </c>
      <c r="I571" s="5">
        <f ca="1">IFERROR(__xludf.DUMMYFUNCTION("""COMPUTED_VALUE"""),0)</f>
        <v>0</v>
      </c>
      <c r="J571" s="5">
        <f ca="1">IFERROR(__xludf.DUMMYFUNCTION("""COMPUTED_VALUE"""),0)</f>
        <v>0</v>
      </c>
      <c r="K571" s="5" t="str">
        <f ca="1">IFERROR(__xludf.DUMMYFUNCTION("""COMPUTED_VALUE"""),"https://www.robesonian.com/news/146889/police-in-rowland-investigate-shooting-of-cars-in-school-parking-lot https://news.yahoo.com/police-rowland-investigate-shooting-cars-191200021.html")</f>
        <v>https://www.robesonian.com/news/146889/police-in-rowland-investigate-shooting-of-cars-in-school-parking-lot https://news.yahoo.com/police-rowland-investigate-shooting-cars-191200021.html</v>
      </c>
      <c r="L571" s="5">
        <f ca="1">IFERROR(__xludf.DUMMYFUNCTION("""COMPUTED_VALUE"""),2)</f>
        <v>2</v>
      </c>
      <c r="M571" s="5" t="str">
        <f ca="1">IFERROR(__xludf.DUMMYFUNCTION("""COMPUTED_VALUE"""),"Local")</f>
        <v>Local</v>
      </c>
      <c r="N571" s="5">
        <f ca="1">IFERROR(__xludf.DUMMYFUNCTION("""COMPUTED_VALUE"""),4)</f>
        <v>4</v>
      </c>
      <c r="O571" s="5" t="str">
        <f ca="1">IFERROR(__xludf.DUMMYFUNCTION("""COMPUTED_VALUE"""),"Summer")</f>
        <v>Summer</v>
      </c>
      <c r="P571" s="5" t="str">
        <f ca="1">IFERROR(__xludf.DUMMYFUNCTION("""COMPUTED_VALUE"""),"Rowland")</f>
        <v>Rowland</v>
      </c>
      <c r="Q571" s="5" t="str">
        <f ca="1">IFERROR(__xludf.DUMMYFUNCTION("""COMPUTED_VALUE"""),"NC")</f>
        <v>NC</v>
      </c>
      <c r="R571" s="5" t="str">
        <f ca="1">IFERROR(__xludf.DUMMYFUNCTION("""COMPUTED_VALUE"""),"Middle")</f>
        <v>Middle</v>
      </c>
      <c r="S571" s="5" t="str">
        <f ca="1">IFERROR(__xludf.DUMMYFUNCTION("""COMPUTED_VALUE"""),"Parking Lot")</f>
        <v>Parking Lot</v>
      </c>
      <c r="T571" s="5" t="str">
        <f ca="1">IFERROR(__xludf.DUMMYFUNCTION("""COMPUTED_VALUE"""),"Outside on School Property")</f>
        <v>Outside on School Property</v>
      </c>
      <c r="U571" s="5" t="str">
        <f ca="1">IFERROR(__xludf.DUMMYFUNCTION("""COMPUTED_VALUE"""),"No")</f>
        <v>No</v>
      </c>
      <c r="V571" s="5" t="str">
        <f ca="1">IFERROR(__xludf.DUMMYFUNCTION("""COMPUTED_VALUE"""),"Evening")</f>
        <v>Evening</v>
      </c>
      <c r="W571" s="10">
        <f ca="1">IFERROR(__xludf.DUMMYFUNCTION("""COMPUTED_VALUE"""),0.75)</f>
        <v>0.75</v>
      </c>
      <c r="X571" s="5">
        <f ca="1">IFERROR(__xludf.DUMMYFUNCTION("""COMPUTED_VALUE"""),1)</f>
        <v>1</v>
      </c>
      <c r="Y571" s="5" t="str">
        <f ca="1">IFERROR(__xludf.DUMMYFUNCTION("""COMPUTED_VALUE"""),"6 vehicles shot in school parking lot, several individuals fired shots")</f>
        <v>6 vehicles shot in school parking lot, several individuals fired shots</v>
      </c>
      <c r="Z571" s="5" t="str">
        <f ca="1">IFERROR(__xludf.DUMMYFUNCTION("""COMPUTED_VALUE"""),"Several people fired multiple shots in the school parking lot striking 6 different vehicles. Community members were playing basketball inside the open gym when the shooting occurred. No injures. Shooters fled. Motive unknown.")</f>
        <v>Several people fired multiple shots in the school parking lot striking 6 different vehicles. Community members were playing basketball inside the open gym when the shooting occurred. No injures. Shooters fled. Motive unknown.</v>
      </c>
      <c r="AA571" s="5"/>
      <c r="AB571" s="5"/>
      <c r="AC571" s="5" t="str">
        <f ca="1">IFERROR(__xludf.DUMMYFUNCTION("""COMPUTED_VALUE"""),"Yes")</f>
        <v>Yes</v>
      </c>
      <c r="AD571" s="5" t="str">
        <f ca="1">IFERROR(__xludf.DUMMYFUNCTION("""COMPUTED_VALUE"""),"No")</f>
        <v>No</v>
      </c>
      <c r="AE571" s="5" t="str">
        <f ca="1">IFERROR(__xludf.DUMMYFUNCTION("""COMPUTED_VALUE"""),"No")</f>
        <v>No</v>
      </c>
      <c r="AF571" s="5" t="str">
        <f ca="1">IFERROR(__xludf.DUMMYFUNCTION("""COMPUTED_VALUE"""),"No")</f>
        <v>No</v>
      </c>
      <c r="AG571" s="5" t="str">
        <f ca="1">IFERROR(__xludf.DUMMYFUNCTION("""COMPUTED_VALUE"""),"No")</f>
        <v>No</v>
      </c>
      <c r="AH571" s="5" t="str">
        <f ca="1">IFERROR(__xludf.DUMMYFUNCTION("""COMPUTED_VALUE"""),"No")</f>
        <v>No</v>
      </c>
      <c r="AI571" s="5"/>
      <c r="AJ571" s="5" t="str">
        <f ca="1">IFERROR(__xludf.DUMMYFUNCTION("""COMPUTED_VALUE"""),"No")</f>
        <v>No</v>
      </c>
    </row>
    <row r="572" spans="1:36" ht="13">
      <c r="A572" s="5" t="str">
        <f ca="1">IFERROR(__xludf.DUMMYFUNCTION("""COMPUTED_VALUE"""),"20210614NCRJW")</f>
        <v>20210614NCRJW</v>
      </c>
      <c r="B572" s="5">
        <f ca="1">IFERROR(__xludf.DUMMYFUNCTION("""COMPUTED_VALUE"""),6)</f>
        <v>6</v>
      </c>
      <c r="C572" s="5">
        <f ca="1">IFERROR(__xludf.DUMMYFUNCTION("""COMPUTED_VALUE"""),14)</f>
        <v>14</v>
      </c>
      <c r="D572" s="5">
        <f ca="1">IFERROR(__xludf.DUMMYFUNCTION("""COMPUTED_VALUE"""),2021)</f>
        <v>2021</v>
      </c>
      <c r="E572" s="8">
        <f ca="1">IFERROR(__xludf.DUMMYFUNCTION("""COMPUTED_VALUE"""),44361)</f>
        <v>44361</v>
      </c>
      <c r="F572" s="5" t="str">
        <f ca="1">IFERROR(__xludf.DUMMYFUNCTION("""COMPUTED_VALUE"""),"R.J. Reynolds High School")</f>
        <v>R.J. Reynolds High School</v>
      </c>
      <c r="G572" s="5">
        <f ca="1">IFERROR(__xludf.DUMMYFUNCTION("""COMPUTED_VALUE"""),0)</f>
        <v>0</v>
      </c>
      <c r="H572" s="5">
        <f ca="1">IFERROR(__xludf.DUMMYFUNCTION("""COMPUTED_VALUE"""),0)</f>
        <v>0</v>
      </c>
      <c r="I572" s="5">
        <f ca="1">IFERROR(__xludf.DUMMYFUNCTION("""COMPUTED_VALUE"""),0)</f>
        <v>0</v>
      </c>
      <c r="J572" s="5">
        <f ca="1">IFERROR(__xludf.DUMMYFUNCTION("""COMPUTED_VALUE"""),1)</f>
        <v>1</v>
      </c>
      <c r="K572" s="5" t="str">
        <f ca="1">IFERROR(__xludf.DUMMYFUNCTION("""COMPUTED_VALUE"""),"https://journalnow.com/news/local/crime-and-courts/suspect-in-hanes-park-shooting-has-long-criminal-history-charges-include-assault-and-armed-robbery/article_7fe1f468-cdf4-11eb-8906-6fc0f6b510ef.html https://www.wxii12.com/article/winston-salem-police-pre"&amp;"sence-near-hanes-park-west-end/36720594")</f>
        <v>https://journalnow.com/news/local/crime-and-courts/suspect-in-hanes-park-shooting-has-long-criminal-history-charges-include-assault-and-armed-robbery/article_7fe1f468-cdf4-11eb-8906-6fc0f6b510ef.html https://www.wxii12.com/article/winston-salem-police-presence-near-hanes-park-west-end/36720594</v>
      </c>
      <c r="L572" s="5">
        <f ca="1">IFERROR(__xludf.DUMMYFUNCTION("""COMPUTED_VALUE"""),10)</f>
        <v>10</v>
      </c>
      <c r="M572" s="5" t="str">
        <f ca="1">IFERROR(__xludf.DUMMYFUNCTION("""COMPUTED_VALUE"""),"Local")</f>
        <v>Local</v>
      </c>
      <c r="N572" s="5">
        <f ca="1">IFERROR(__xludf.DUMMYFUNCTION("""COMPUTED_VALUE"""),4)</f>
        <v>4</v>
      </c>
      <c r="O572" s="5" t="str">
        <f ca="1">IFERROR(__xludf.DUMMYFUNCTION("""COMPUTED_VALUE"""),"Summer")</f>
        <v>Summer</v>
      </c>
      <c r="P572" s="5" t="str">
        <f ca="1">IFERROR(__xludf.DUMMYFUNCTION("""COMPUTED_VALUE"""),"Winston-Salem")</f>
        <v>Winston-Salem</v>
      </c>
      <c r="Q572" s="5" t="str">
        <f ca="1">IFERROR(__xludf.DUMMYFUNCTION("""COMPUTED_VALUE"""),"NC")</f>
        <v>NC</v>
      </c>
      <c r="R572" s="5" t="str">
        <f ca="1">IFERROR(__xludf.DUMMYFUNCTION("""COMPUTED_VALUE"""),"High")</f>
        <v>High</v>
      </c>
      <c r="S572" s="5" t="str">
        <f ca="1">IFERROR(__xludf.DUMMYFUNCTION("""COMPUTED_VALUE"""),"Beside Building")</f>
        <v>Beside Building</v>
      </c>
      <c r="T572" s="5" t="str">
        <f ca="1">IFERROR(__xludf.DUMMYFUNCTION("""COMPUTED_VALUE"""),"Outside on School Property")</f>
        <v>Outside on School Property</v>
      </c>
      <c r="U572" s="5" t="str">
        <f ca="1">IFERROR(__xludf.DUMMYFUNCTION("""COMPUTED_VALUE"""),"No")</f>
        <v>No</v>
      </c>
      <c r="V572" s="5" t="str">
        <f ca="1">IFERROR(__xludf.DUMMYFUNCTION("""COMPUTED_VALUE"""),"Not a School Day")</f>
        <v>Not a School Day</v>
      </c>
      <c r="W572" s="10">
        <f ca="1">IFERROR(__xludf.DUMMYFUNCTION("""COMPUTED_VALUE"""),0.663194444444444)</f>
        <v>0.66319444444444398</v>
      </c>
      <c r="X572" s="5">
        <f ca="1">IFERROR(__xludf.DUMMYFUNCTION("""COMPUTED_VALUE"""),15)</f>
        <v>15</v>
      </c>
      <c r="Y572" s="5" t="str">
        <f ca="1">IFERROR(__xludf.DUMMYFUNCTION("""COMPUTED_VALUE"""),"Police chase ended at school, man fired shots at police and fled on foot across campus")</f>
        <v>Police chase ended at school, man fired shots at police and fled on foot across campus</v>
      </c>
      <c r="Z572" s="5" t="str">
        <f ca="1">IFERROR(__xludf.DUMMYFUNCTION("""COMPUTED_VALUE"""),"A 26-year-old man killed his mother and grandmother in their home. Fired shots at police during 4-mile chase that concluded when he crashed near the gym at the school. Shooter fired shots from both a semi-automatic rifle and handgun at police officers and"&amp;" then fled across the school campus to a nearby park where he was fatally shot by officers. Shooter had prior felony convictions, history of mental illness, and history of violent behavior. School was closed at the time of the incident.")</f>
        <v>A 26-year-old man killed his mother and grandmother in their home. Fired shots at police during 4-mile chase that concluded when he crashed near the gym at the school. Shooter fired shots from both a semi-automatic rifle and handgun at police officers and then fled across the school campus to a nearby park where he was fatally shot by officers. Shooter had prior felony convictions, history of mental illness, and history of violent behavior. School was closed at the time of the incident.</v>
      </c>
      <c r="AA572" s="5" t="str">
        <f ca="1">IFERROR(__xludf.DUMMYFUNCTION("""COMPUTED_VALUE"""),"Domestic w/ Targeted Victim")</f>
        <v>Domestic w/ Targeted Victim</v>
      </c>
      <c r="AB572" s="5" t="str">
        <f ca="1">IFERROR(__xludf.DUMMYFUNCTION("""COMPUTED_VALUE"""),"Both")</f>
        <v>Both</v>
      </c>
      <c r="AC572" s="5" t="str">
        <f ca="1">IFERROR(__xludf.DUMMYFUNCTION("""COMPUTED_VALUE"""),"No")</f>
        <v>No</v>
      </c>
      <c r="AD572" s="5" t="str">
        <f ca="1">IFERROR(__xludf.DUMMYFUNCTION("""COMPUTED_VALUE"""),"No")</f>
        <v>No</v>
      </c>
      <c r="AE572" s="5" t="str">
        <f ca="1">IFERROR(__xludf.DUMMYFUNCTION("""COMPUTED_VALUE"""),"No")</f>
        <v>No</v>
      </c>
      <c r="AF572" s="5" t="str">
        <f ca="1">IFERROR(__xludf.DUMMYFUNCTION("""COMPUTED_VALUE"""),"No")</f>
        <v>No</v>
      </c>
      <c r="AG572" s="5" t="str">
        <f ca="1">IFERROR(__xludf.DUMMYFUNCTION("""COMPUTED_VALUE"""),"No")</f>
        <v>No</v>
      </c>
      <c r="AH572" s="5" t="str">
        <f ca="1">IFERROR(__xludf.DUMMYFUNCTION("""COMPUTED_VALUE"""),"Yes")</f>
        <v>Yes</v>
      </c>
      <c r="AI572" s="5" t="str">
        <f ca="1">IFERROR(__xludf.DUMMYFUNCTION("""COMPUTED_VALUE"""),"No")</f>
        <v>No</v>
      </c>
      <c r="AJ572" s="5" t="str">
        <f ca="1">IFERROR(__xludf.DUMMYFUNCTION("""COMPUTED_VALUE"""),"Yes")</f>
        <v>Yes</v>
      </c>
    </row>
    <row r="573" spans="1:36" ht="13">
      <c r="A573" s="5" t="str">
        <f ca="1">IFERROR(__xludf.DUMMYFUNCTION("""COMPUTED_VALUE"""),"20210613PAWIP")</f>
        <v>20210613PAWIP</v>
      </c>
      <c r="B573" s="5">
        <f ca="1">IFERROR(__xludf.DUMMYFUNCTION("""COMPUTED_VALUE"""),6)</f>
        <v>6</v>
      </c>
      <c r="C573" s="5">
        <f ca="1">IFERROR(__xludf.DUMMYFUNCTION("""COMPUTED_VALUE"""),13)</f>
        <v>13</v>
      </c>
      <c r="D573" s="5">
        <f ca="1">IFERROR(__xludf.DUMMYFUNCTION("""COMPUTED_VALUE"""),2021)</f>
        <v>2021</v>
      </c>
      <c r="E573" s="8">
        <f ca="1">IFERROR(__xludf.DUMMYFUNCTION("""COMPUTED_VALUE"""),44360)</f>
        <v>44360</v>
      </c>
      <c r="F573" s="5" t="str">
        <f ca="1">IFERROR(__xludf.DUMMYFUNCTION("""COMPUTED_VALUE"""),"William Dick School")</f>
        <v>William Dick School</v>
      </c>
      <c r="G573" s="5">
        <f ca="1">IFERROR(__xludf.DUMMYFUNCTION("""COMPUTED_VALUE"""),1)</f>
        <v>1</v>
      </c>
      <c r="H573" s="5">
        <f ca="1">IFERROR(__xludf.DUMMYFUNCTION("""COMPUTED_VALUE"""),0)</f>
        <v>0</v>
      </c>
      <c r="I573" s="5">
        <f ca="1">IFERROR(__xludf.DUMMYFUNCTION("""COMPUTED_VALUE"""),1)</f>
        <v>1</v>
      </c>
      <c r="J573" s="5">
        <f ca="1">IFERROR(__xludf.DUMMYFUNCTION("""COMPUTED_VALUE"""),0)</f>
        <v>0</v>
      </c>
      <c r="K573" s="9" t="str">
        <f ca="1">IFERROR(__xludf.DUMMYFUNCTION("""COMPUTED_VALUE"""),"https://6abc.com/young-man-shot-and-killed-near-philadelphia-school/10787708/")</f>
        <v>https://6abc.com/young-man-shot-and-killed-near-philadelphia-school/10787708/</v>
      </c>
      <c r="L573" s="5">
        <f ca="1">IFERROR(__xludf.DUMMYFUNCTION("""COMPUTED_VALUE"""),1)</f>
        <v>1</v>
      </c>
      <c r="M573" s="5" t="str">
        <f ca="1">IFERROR(__xludf.DUMMYFUNCTION("""COMPUTED_VALUE"""),"Local")</f>
        <v>Local</v>
      </c>
      <c r="N573" s="5">
        <f ca="1">IFERROR(__xludf.DUMMYFUNCTION("""COMPUTED_VALUE"""),3)</f>
        <v>3</v>
      </c>
      <c r="O573" s="5" t="str">
        <f ca="1">IFERROR(__xludf.DUMMYFUNCTION("""COMPUTED_VALUE"""),"Summer")</f>
        <v>Summer</v>
      </c>
      <c r="P573" s="5" t="str">
        <f ca="1">IFERROR(__xludf.DUMMYFUNCTION("""COMPUTED_VALUE"""),"Philadelphia")</f>
        <v>Philadelphia</v>
      </c>
      <c r="Q573" s="5" t="str">
        <f ca="1">IFERROR(__xludf.DUMMYFUNCTION("""COMPUTED_VALUE"""),"PA")</f>
        <v>PA</v>
      </c>
      <c r="R573" s="5" t="str">
        <f ca="1">IFERROR(__xludf.DUMMYFUNCTION("""COMPUTED_VALUE"""),"K-8")</f>
        <v>K-8</v>
      </c>
      <c r="S573" s="5" t="str">
        <f ca="1">IFERROR(__xludf.DUMMYFUNCTION("""COMPUTED_VALUE"""),"Basketball Court")</f>
        <v>Basketball Court</v>
      </c>
      <c r="T573" s="5" t="str">
        <f ca="1">IFERROR(__xludf.DUMMYFUNCTION("""COMPUTED_VALUE"""),"Outside on School Property")</f>
        <v>Outside on School Property</v>
      </c>
      <c r="U573" s="5" t="str">
        <f ca="1">IFERROR(__xludf.DUMMYFUNCTION("""COMPUTED_VALUE"""),"No")</f>
        <v>No</v>
      </c>
      <c r="V573" s="5" t="str">
        <f ca="1">IFERROR(__xludf.DUMMYFUNCTION("""COMPUTED_VALUE"""),"Night")</f>
        <v>Night</v>
      </c>
      <c r="W573" s="10">
        <f ca="1">IFERROR(__xludf.DUMMYFUNCTION("""COMPUTED_VALUE"""),0.979166666666666)</f>
        <v>0.97916666666666596</v>
      </c>
      <c r="X573" s="5">
        <f ca="1">IFERROR(__xludf.DUMMYFUNCTION("""COMPUTED_VALUE"""),1)</f>
        <v>1</v>
      </c>
      <c r="Y573" s="5" t="str">
        <f ca="1">IFERROR(__xludf.DUMMYFUNCTION("""COMPUTED_VALUE"""),"Man shot on the school basketball court")</f>
        <v>Man shot on the school basketball court</v>
      </c>
      <c r="Z573" s="5" t="str">
        <f ca="1">IFERROR(__xludf.DUMMYFUNCTION("""COMPUTED_VALUE"""),"An unidentified male (young adult or teen) was fatally shot multiple times on the school basketball court. Shooter fled the scene. CCTV recorded the shooting. School was closed at the time of the shooting.")</f>
        <v>An unidentified male (young adult or teen) was fatally shot multiple times on the school basketball court. Shooter fled the scene. CCTV recorded the shooting. School was closed at the time of the shooting.</v>
      </c>
      <c r="AA573" s="5"/>
      <c r="AB573" s="5" t="str">
        <f ca="1">IFERROR(__xludf.DUMMYFUNCTION("""COMPUTED_VALUE"""),"Victims Targeted")</f>
        <v>Victims Targeted</v>
      </c>
      <c r="AC573" s="5" t="str">
        <f ca="1">IFERROR(__xludf.DUMMYFUNCTION("""COMPUTED_VALUE"""),"No")</f>
        <v>No</v>
      </c>
      <c r="AD573" s="5" t="str">
        <f ca="1">IFERROR(__xludf.DUMMYFUNCTION("""COMPUTED_VALUE"""),"No")</f>
        <v>No</v>
      </c>
      <c r="AE573" s="5" t="str">
        <f ca="1">IFERROR(__xludf.DUMMYFUNCTION("""COMPUTED_VALUE"""),"No")</f>
        <v>No</v>
      </c>
      <c r="AF573" s="5" t="str">
        <f ca="1">IFERROR(__xludf.DUMMYFUNCTION("""COMPUTED_VALUE"""),"No")</f>
        <v>No</v>
      </c>
      <c r="AG573" s="5" t="str">
        <f ca="1">IFERROR(__xludf.DUMMYFUNCTION("""COMPUTED_VALUE"""),"No")</f>
        <v>No</v>
      </c>
      <c r="AH573" s="5" t="str">
        <f ca="1">IFERROR(__xludf.DUMMYFUNCTION("""COMPUTED_VALUE"""),"No")</f>
        <v>No</v>
      </c>
      <c r="AI573" s="5"/>
      <c r="AJ573" s="5" t="str">
        <f ca="1">IFERROR(__xludf.DUMMYFUNCTION("""COMPUTED_VALUE"""),"No")</f>
        <v>No</v>
      </c>
    </row>
    <row r="574" spans="1:36" ht="13">
      <c r="A574" s="5" t="str">
        <f ca="1">IFERROR(__xludf.DUMMYFUNCTION("""COMPUTED_VALUE"""),"20210613PAPAC")</f>
        <v>20210613PAPAC</v>
      </c>
      <c r="B574" s="5">
        <f ca="1">IFERROR(__xludf.DUMMYFUNCTION("""COMPUTED_VALUE"""),6)</f>
        <v>6</v>
      </c>
      <c r="C574" s="5">
        <f ca="1">IFERROR(__xludf.DUMMYFUNCTION("""COMPUTED_VALUE"""),13)</f>
        <v>13</v>
      </c>
      <c r="D574" s="5">
        <f ca="1">IFERROR(__xludf.DUMMYFUNCTION("""COMPUTED_VALUE"""),2021)</f>
        <v>2021</v>
      </c>
      <c r="E574" s="8">
        <f ca="1">IFERROR(__xludf.DUMMYFUNCTION("""COMPUTED_VALUE"""),44360)</f>
        <v>44360</v>
      </c>
      <c r="F574" s="5" t="str">
        <f ca="1">IFERROR(__xludf.DUMMYFUNCTION("""COMPUTED_VALUE"""),"Park Elementary School")</f>
        <v>Park Elementary School</v>
      </c>
      <c r="G574" s="5">
        <f ca="1">IFERROR(__xludf.DUMMYFUNCTION("""COMPUTED_VALUE"""),0)</f>
        <v>0</v>
      </c>
      <c r="H574" s="5">
        <f ca="1">IFERROR(__xludf.DUMMYFUNCTION("""COMPUTED_VALUE"""),0)</f>
        <v>0</v>
      </c>
      <c r="I574" s="5">
        <f ca="1">IFERROR(__xludf.DUMMYFUNCTION("""COMPUTED_VALUE"""),0)</f>
        <v>0</v>
      </c>
      <c r="J574" s="5">
        <f ca="1">IFERROR(__xludf.DUMMYFUNCTION("""COMPUTED_VALUE"""),0)</f>
        <v>0</v>
      </c>
      <c r="K574" s="9" t="str">
        <f ca="1">IFERROR(__xludf.DUMMYFUNCTION("""COMPUTED_VALUE"""),"https://www.wgal.com/article/man-found-shot-in-columbia/36709512")</f>
        <v>https://www.wgal.com/article/man-found-shot-in-columbia/36709512</v>
      </c>
      <c r="L574" s="5">
        <f ca="1">IFERROR(__xludf.DUMMYFUNCTION("""COMPUTED_VALUE"""),1)</f>
        <v>1</v>
      </c>
      <c r="M574" s="5" t="str">
        <f ca="1">IFERROR(__xludf.DUMMYFUNCTION("""COMPUTED_VALUE"""),"Local")</f>
        <v>Local</v>
      </c>
      <c r="N574" s="5">
        <f ca="1">IFERROR(__xludf.DUMMYFUNCTION("""COMPUTED_VALUE"""),3)</f>
        <v>3</v>
      </c>
      <c r="O574" s="5" t="str">
        <f ca="1">IFERROR(__xludf.DUMMYFUNCTION("""COMPUTED_VALUE"""),"Summer")</f>
        <v>Summer</v>
      </c>
      <c r="P574" s="5" t="str">
        <f ca="1">IFERROR(__xludf.DUMMYFUNCTION("""COMPUTED_VALUE"""),"Columbia")</f>
        <v>Columbia</v>
      </c>
      <c r="Q574" s="5" t="str">
        <f ca="1">IFERROR(__xludf.DUMMYFUNCTION("""COMPUTED_VALUE"""),"PA")</f>
        <v>PA</v>
      </c>
      <c r="R574" s="5" t="str">
        <f ca="1">IFERROR(__xludf.DUMMYFUNCTION("""COMPUTED_VALUE"""),"Elementary")</f>
        <v>Elementary</v>
      </c>
      <c r="S574" s="5" t="str">
        <f ca="1">IFERROR(__xludf.DUMMYFUNCTION("""COMPUTED_VALUE"""),"Parking Lot")</f>
        <v>Parking Lot</v>
      </c>
      <c r="T574" s="5" t="str">
        <f ca="1">IFERROR(__xludf.DUMMYFUNCTION("""COMPUTED_VALUE"""),"Outside on School Property")</f>
        <v>Outside on School Property</v>
      </c>
      <c r="U574" s="5" t="str">
        <f ca="1">IFERROR(__xludf.DUMMYFUNCTION("""COMPUTED_VALUE"""),"No")</f>
        <v>No</v>
      </c>
      <c r="V574" s="5" t="str">
        <f ca="1">IFERROR(__xludf.DUMMYFUNCTION("""COMPUTED_VALUE"""),"Not a School Day")</f>
        <v>Not a School Day</v>
      </c>
      <c r="W574" s="10">
        <f ca="1">IFERROR(__xludf.DUMMYFUNCTION("""COMPUTED_VALUE"""),0.333333333333333)</f>
        <v>0.33333333333333298</v>
      </c>
      <c r="X574" s="5">
        <f ca="1">IFERROR(__xludf.DUMMYFUNCTION("""COMPUTED_VALUE"""),1)</f>
        <v>1</v>
      </c>
      <c r="Y574" s="5" t="str">
        <f ca="1">IFERROR(__xludf.DUMMYFUNCTION("""COMPUTED_VALUE"""),"Elderly man shot himself in the school parking lot")</f>
        <v>Elderly man shot himself in the school parking lot</v>
      </c>
      <c r="Z574" s="5" t="str">
        <f ca="1">IFERROR(__xludf.DUMMYFUNCTION("""COMPUTED_VALUE"""),"A 78-year-old man was found in the school parking lot with a self-inflicted gunshot wound to the chest. He was transported in critical condition. No students or staff were present.")</f>
        <v>A 78-year-old man was found in the school parking lot with a self-inflicted gunshot wound to the chest. He was transported in critical condition. No students or staff were present.</v>
      </c>
      <c r="AA574" s="5" t="str">
        <f ca="1">IFERROR(__xludf.DUMMYFUNCTION("""COMPUTED_VALUE"""),"Suicide/Attempted")</f>
        <v>Suicide/Attempted</v>
      </c>
      <c r="AB574" s="5" t="str">
        <f ca="1">IFERROR(__xludf.DUMMYFUNCTION("""COMPUTED_VALUE"""),"Victims Targeted")</f>
        <v>Victims Targeted</v>
      </c>
      <c r="AC574" s="5" t="str">
        <f ca="1">IFERROR(__xludf.DUMMYFUNCTION("""COMPUTED_VALUE"""),"No")</f>
        <v>No</v>
      </c>
      <c r="AD574" s="5" t="str">
        <f ca="1">IFERROR(__xludf.DUMMYFUNCTION("""COMPUTED_VALUE"""),"No")</f>
        <v>No</v>
      </c>
      <c r="AE574" s="5" t="str">
        <f ca="1">IFERROR(__xludf.DUMMYFUNCTION("""COMPUTED_VALUE"""),"No")</f>
        <v>No</v>
      </c>
      <c r="AF574" s="5" t="str">
        <f ca="1">IFERROR(__xludf.DUMMYFUNCTION("""COMPUTED_VALUE"""),"No")</f>
        <v>No</v>
      </c>
      <c r="AG574" s="5" t="str">
        <f ca="1">IFERROR(__xludf.DUMMYFUNCTION("""COMPUTED_VALUE"""),"No")</f>
        <v>No</v>
      </c>
      <c r="AH574" s="5" t="str">
        <f ca="1">IFERROR(__xludf.DUMMYFUNCTION("""COMPUTED_VALUE"""),"No")</f>
        <v>No</v>
      </c>
      <c r="AI574" s="5" t="str">
        <f ca="1">IFERROR(__xludf.DUMMYFUNCTION("""COMPUTED_VALUE"""),"No")</f>
        <v>No</v>
      </c>
      <c r="AJ574" s="5"/>
    </row>
    <row r="575" spans="1:36" ht="13">
      <c r="A575" s="5" t="str">
        <f ca="1">IFERROR(__xludf.DUMMYFUNCTION("""COMPUTED_VALUE"""),"20210612MOMCF")</f>
        <v>20210612MOMCF</v>
      </c>
      <c r="B575" s="5">
        <f ca="1">IFERROR(__xludf.DUMMYFUNCTION("""COMPUTED_VALUE"""),6)</f>
        <v>6</v>
      </c>
      <c r="C575" s="5">
        <f ca="1">IFERROR(__xludf.DUMMYFUNCTION("""COMPUTED_VALUE"""),12)</f>
        <v>12</v>
      </c>
      <c r="D575" s="5">
        <f ca="1">IFERROR(__xludf.DUMMYFUNCTION("""COMPUTED_VALUE"""),2021)</f>
        <v>2021</v>
      </c>
      <c r="E575" s="8">
        <f ca="1">IFERROR(__xludf.DUMMYFUNCTION("""COMPUTED_VALUE"""),44359)</f>
        <v>44359</v>
      </c>
      <c r="F575" s="5" t="str">
        <f ca="1">IFERROR(__xludf.DUMMYFUNCTION("""COMPUTED_VALUE"""),"McCluer North High School")</f>
        <v>McCluer North High School</v>
      </c>
      <c r="G575" s="5">
        <f ca="1">IFERROR(__xludf.DUMMYFUNCTION("""COMPUTED_VALUE"""),1)</f>
        <v>1</v>
      </c>
      <c r="H575" s="5">
        <f ca="1">IFERROR(__xludf.DUMMYFUNCTION("""COMPUTED_VALUE"""),0)</f>
        <v>0</v>
      </c>
      <c r="I575" s="5">
        <f ca="1">IFERROR(__xludf.DUMMYFUNCTION("""COMPUTED_VALUE"""),1)</f>
        <v>1</v>
      </c>
      <c r="J575" s="5">
        <f ca="1">IFERROR(__xludf.DUMMYFUNCTION("""COMPUTED_VALUE"""),0)</f>
        <v>0</v>
      </c>
      <c r="K575" s="5" t="str">
        <f ca="1">IFERROR(__xludf.DUMMYFUNCTION("""COMPUTED_VALUE"""),"https://www.kansascity.com/news/state/missouri/article252076968.html https://www.stltoday.com/news/local/crime-and-courts/feud-leads-to-teens-murder-at-mccluer-north-high-school-police-say/article_620b0518-6f22-5342-973e-b803a26ca7b0.html https://www.kmov"&amp;".com/news/man-charged-after-18-year-old-found-shot-to-death-at-mccluer-north-high-school/article_c8c0144c-cb94-11eb-9744-9bdc5db88603.html")</f>
        <v>https://www.kansascity.com/news/state/missouri/article252076968.html https://www.stltoday.com/news/local/crime-and-courts/feud-leads-to-teens-murder-at-mccluer-north-high-school-police-say/article_620b0518-6f22-5342-973e-b803a26ca7b0.html https://www.kmov.com/news/man-charged-after-18-year-old-found-shot-to-death-at-mccluer-north-high-school/article_c8c0144c-cb94-11eb-9744-9bdc5db88603.html</v>
      </c>
      <c r="L575" s="5">
        <f ca="1">IFERROR(__xludf.DUMMYFUNCTION("""COMPUTED_VALUE"""),3)</f>
        <v>3</v>
      </c>
      <c r="M575" s="5" t="str">
        <f ca="1">IFERROR(__xludf.DUMMYFUNCTION("""COMPUTED_VALUE"""),"Local")</f>
        <v>Local</v>
      </c>
      <c r="N575" s="5">
        <f ca="1">IFERROR(__xludf.DUMMYFUNCTION("""COMPUTED_VALUE"""),3)</f>
        <v>3</v>
      </c>
      <c r="O575" s="5" t="str">
        <f ca="1">IFERROR(__xludf.DUMMYFUNCTION("""COMPUTED_VALUE"""),"Summer")</f>
        <v>Summer</v>
      </c>
      <c r="P575" s="5" t="str">
        <f ca="1">IFERROR(__xludf.DUMMYFUNCTION("""COMPUTED_VALUE"""),"Florissant")</f>
        <v>Florissant</v>
      </c>
      <c r="Q575" s="5" t="str">
        <f ca="1">IFERROR(__xludf.DUMMYFUNCTION("""COMPUTED_VALUE"""),"MO")</f>
        <v>MO</v>
      </c>
      <c r="R575" s="5" t="str">
        <f ca="1">IFERROR(__xludf.DUMMYFUNCTION("""COMPUTED_VALUE"""),"High")</f>
        <v>High</v>
      </c>
      <c r="S575" s="5" t="str">
        <f ca="1">IFERROR(__xludf.DUMMYFUNCTION("""COMPUTED_VALUE"""),"Outside on School Property")</f>
        <v>Outside on School Property</v>
      </c>
      <c r="T575" s="5" t="str">
        <f ca="1">IFERROR(__xludf.DUMMYFUNCTION("""COMPUTED_VALUE"""),"Outside on School Property")</f>
        <v>Outside on School Property</v>
      </c>
      <c r="U575" s="5" t="str">
        <f ca="1">IFERROR(__xludf.DUMMYFUNCTION("""COMPUTED_VALUE"""),"No")</f>
        <v>No</v>
      </c>
      <c r="V575" s="5" t="str">
        <f ca="1">IFERROR(__xludf.DUMMYFUNCTION("""COMPUTED_VALUE"""),"Night")</f>
        <v>Night</v>
      </c>
      <c r="W575" s="10">
        <f ca="1">IFERROR(__xludf.DUMMYFUNCTION("""COMPUTED_VALUE"""),0.0416666666666666)</f>
        <v>4.1666666666666602E-2</v>
      </c>
      <c r="X575" s="5">
        <f ca="1">IFERROR(__xludf.DUMMYFUNCTION("""COMPUTED_VALUE"""),1)</f>
        <v>1</v>
      </c>
      <c r="Y575" s="5" t="str">
        <f ca="1">IFERROR(__xludf.DUMMYFUNCTION("""COMPUTED_VALUE"""),"Teen shot and killed by another teen on school campus late at night")</f>
        <v>Teen shot and killed by another teen on school campus late at night</v>
      </c>
      <c r="Z575" s="5" t="str">
        <f ca="1">IFERROR(__xludf.DUMMYFUNCTION("""COMPUTED_VALUE"""),"Police responded to shot fired and found an 18-year-old male who was fatally shot. The following day, an 18-year-old male was arrested and charged with first degree murder. The two teens had an on-going feud. No other details available.")</f>
        <v>Police responded to shot fired and found an 18-year-old male who was fatally shot. The following day, an 18-year-old male was arrested and charged with first degree murder. The two teens had an on-going feud. No other details available.</v>
      </c>
      <c r="AA575" s="5" t="str">
        <f ca="1">IFERROR(__xludf.DUMMYFUNCTION("""COMPUTED_VALUE"""),"Escalation of Dispute")</f>
        <v>Escalation of Dispute</v>
      </c>
      <c r="AB575" s="5" t="str">
        <f ca="1">IFERROR(__xludf.DUMMYFUNCTION("""COMPUTED_VALUE"""),"Victims Targeted")</f>
        <v>Victims Targeted</v>
      </c>
      <c r="AC575" s="5"/>
      <c r="AD575" s="5" t="str">
        <f ca="1">IFERROR(__xludf.DUMMYFUNCTION("""COMPUTED_VALUE"""),"No")</f>
        <v>No</v>
      </c>
      <c r="AE575" s="5" t="str">
        <f ca="1">IFERROR(__xludf.DUMMYFUNCTION("""COMPUTED_VALUE"""),"No")</f>
        <v>No</v>
      </c>
      <c r="AF575" s="5" t="str">
        <f ca="1">IFERROR(__xludf.DUMMYFUNCTION("""COMPUTED_VALUE"""),"No")</f>
        <v>No</v>
      </c>
      <c r="AG575" s="5"/>
      <c r="AH575" s="5" t="str">
        <f ca="1">IFERROR(__xludf.DUMMYFUNCTION("""COMPUTED_VALUE"""),"No")</f>
        <v>No</v>
      </c>
      <c r="AI575" s="5" t="str">
        <f ca="1">IFERROR(__xludf.DUMMYFUNCTION("""COMPUTED_VALUE"""),"No")</f>
        <v>No</v>
      </c>
      <c r="AJ575" s="5" t="str">
        <f ca="1">IFERROR(__xludf.DUMMYFUNCTION("""COMPUTED_VALUE"""),"No")</f>
        <v>No</v>
      </c>
    </row>
    <row r="576" spans="1:36" ht="13">
      <c r="A576" s="5" t="str">
        <f ca="1">IFERROR(__xludf.DUMMYFUNCTION("""COMPUTED_VALUE"""),"20210610CTHOW")</f>
        <v>20210610CTHOW</v>
      </c>
      <c r="B576" s="5">
        <f ca="1">IFERROR(__xludf.DUMMYFUNCTION("""COMPUTED_VALUE"""),6)</f>
        <v>6</v>
      </c>
      <c r="C576" s="5">
        <f ca="1">IFERROR(__xludf.DUMMYFUNCTION("""COMPUTED_VALUE"""),10)</f>
        <v>10</v>
      </c>
      <c r="D576" s="5">
        <f ca="1">IFERROR(__xludf.DUMMYFUNCTION("""COMPUTED_VALUE"""),2021)</f>
        <v>2021</v>
      </c>
      <c r="E576" s="8">
        <f ca="1">IFERROR(__xludf.DUMMYFUNCTION("""COMPUTED_VALUE"""),44357)</f>
        <v>44357</v>
      </c>
      <c r="F576" s="5" t="str">
        <f ca="1">IFERROR(__xludf.DUMMYFUNCTION("""COMPUTED_VALUE"""),"Holy Cross High School")</f>
        <v>Holy Cross High School</v>
      </c>
      <c r="G576" s="5">
        <f ca="1">IFERROR(__xludf.DUMMYFUNCTION("""COMPUTED_VALUE"""),0)</f>
        <v>0</v>
      </c>
      <c r="H576" s="5">
        <f ca="1">IFERROR(__xludf.DUMMYFUNCTION("""COMPUTED_VALUE"""),0)</f>
        <v>0</v>
      </c>
      <c r="I576" s="5">
        <f ca="1">IFERROR(__xludf.DUMMYFUNCTION("""COMPUTED_VALUE"""),0)</f>
        <v>0</v>
      </c>
      <c r="J576" s="5">
        <f ca="1">IFERROR(__xludf.DUMMYFUNCTION("""COMPUTED_VALUE"""),0)</f>
        <v>0</v>
      </c>
      <c r="K576" s="5" t="str">
        <f ca="1">IFERROR(__xludf.DUMMYFUNCTION("""COMPUTED_VALUE"""),"https://www.ctpost.com/news/article/Police-2-arrested-after-gunfire-at-Waterbury-16241293.php https://www.fox61.com/article/news/local/waterbury-connecticut-shots-fired-school-holy-cross-high-school/520-971b6000-fe54-4aaa-a121-eccb97a93d00")</f>
        <v>https://www.ctpost.com/news/article/Police-2-arrested-after-gunfire-at-Waterbury-16241293.php https://www.fox61.com/article/news/local/waterbury-connecticut-shots-fired-school-holy-cross-high-school/520-971b6000-fe54-4aaa-a121-eccb97a93d00</v>
      </c>
      <c r="L576" s="5">
        <f ca="1">IFERROR(__xludf.DUMMYFUNCTION("""COMPUTED_VALUE"""),2)</f>
        <v>2</v>
      </c>
      <c r="M576" s="5" t="str">
        <f ca="1">IFERROR(__xludf.DUMMYFUNCTION("""COMPUTED_VALUE"""),"Local")</f>
        <v>Local</v>
      </c>
      <c r="N576" s="5">
        <f ca="1">IFERROR(__xludf.DUMMYFUNCTION("""COMPUTED_VALUE"""),4)</f>
        <v>4</v>
      </c>
      <c r="O576" s="5" t="str">
        <f ca="1">IFERROR(__xludf.DUMMYFUNCTION("""COMPUTED_VALUE"""),"Summer")</f>
        <v>Summer</v>
      </c>
      <c r="P576" s="5" t="str">
        <f ca="1">IFERROR(__xludf.DUMMYFUNCTION("""COMPUTED_VALUE"""),"Waterbury")</f>
        <v>Waterbury</v>
      </c>
      <c r="Q576" s="5" t="str">
        <f ca="1">IFERROR(__xludf.DUMMYFUNCTION("""COMPUTED_VALUE"""),"CT")</f>
        <v>CT</v>
      </c>
      <c r="R576" s="5" t="str">
        <f ca="1">IFERROR(__xludf.DUMMYFUNCTION("""COMPUTED_VALUE"""),"High")</f>
        <v>High</v>
      </c>
      <c r="S576" s="5" t="str">
        <f ca="1">IFERROR(__xludf.DUMMYFUNCTION("""COMPUTED_VALUE"""),"Field (General)")</f>
        <v>Field (General)</v>
      </c>
      <c r="T576" s="5" t="str">
        <f ca="1">IFERROR(__xludf.DUMMYFUNCTION("""COMPUTED_VALUE"""),"Outside on School Property")</f>
        <v>Outside on School Property</v>
      </c>
      <c r="U576" s="5" t="str">
        <f ca="1">IFERROR(__xludf.DUMMYFUNCTION("""COMPUTED_VALUE"""),"No")</f>
        <v>No</v>
      </c>
      <c r="V576" s="5" t="str">
        <f ca="1">IFERROR(__xludf.DUMMYFUNCTION("""COMPUTED_VALUE"""),"Before School")</f>
        <v>Before School</v>
      </c>
      <c r="W576" s="10">
        <f ca="1">IFERROR(__xludf.DUMMYFUNCTION("""COMPUTED_VALUE"""),0.25)</f>
        <v>0.25</v>
      </c>
      <c r="X576" s="5">
        <f ca="1">IFERROR(__xludf.DUMMYFUNCTION("""COMPUTED_VALUE"""),1)</f>
        <v>1</v>
      </c>
      <c r="Y576" s="5" t="str">
        <f ca="1">IFERROR(__xludf.DUMMYFUNCTION("""COMPUTED_VALUE"""),"Adult men fired multiple shots on school baseball field during illegal arms sale")</f>
        <v>Adult men fired multiple shots on school baseball field during illegal arms sale</v>
      </c>
      <c r="Z576" s="5" t="str">
        <f ca="1">IFERROR(__xludf.DUMMYFUNCTION("""COMPUTED_VALUE"""),"Police responded for shots fired and found two adult men (41 and 45) walking around the baseball field. The men said they were looking for a child's toy. Police found evidence of gunfire and arrested both men. A handgun with an illegal high capacity magaz"&amp;"ine was found in their vehicle. Charged with firing a weapon and illegal sale of a weapon. No students or staff injured. No property damage at the school.")</f>
        <v>Police responded for shots fired and found two adult men (41 and 45) walking around the baseball field. The men said they were looking for a child's toy. Police found evidence of gunfire and arrested both men. A handgun with an illegal high capacity magazine was found in their vehicle. Charged with firing a weapon and illegal sale of a weapon. No students or staff injured. No property damage at the school.</v>
      </c>
      <c r="AA576" s="5" t="str">
        <f ca="1">IFERROR(__xludf.DUMMYFUNCTION("""COMPUTED_VALUE"""),"Illegal Activity")</f>
        <v>Illegal Activity</v>
      </c>
      <c r="AB576" s="5" t="str">
        <f ca="1">IFERROR(__xludf.DUMMYFUNCTION("""COMPUTED_VALUE"""),"Neither")</f>
        <v>Neither</v>
      </c>
      <c r="AC576" s="5" t="str">
        <f ca="1">IFERROR(__xludf.DUMMYFUNCTION("""COMPUTED_VALUE"""),"Yes")</f>
        <v>Yes</v>
      </c>
      <c r="AD576" s="5" t="str">
        <f ca="1">IFERROR(__xludf.DUMMYFUNCTION("""COMPUTED_VALUE"""),"No")</f>
        <v>No</v>
      </c>
      <c r="AE576" s="5" t="str">
        <f ca="1">IFERROR(__xludf.DUMMYFUNCTION("""COMPUTED_VALUE"""),"No")</f>
        <v>No</v>
      </c>
      <c r="AF576" s="5" t="str">
        <f ca="1">IFERROR(__xludf.DUMMYFUNCTION("""COMPUTED_VALUE"""),"No")</f>
        <v>No</v>
      </c>
      <c r="AG576" s="5" t="str">
        <f ca="1">IFERROR(__xludf.DUMMYFUNCTION("""COMPUTED_VALUE"""),"No")</f>
        <v>No</v>
      </c>
      <c r="AH576" s="5" t="str">
        <f ca="1">IFERROR(__xludf.DUMMYFUNCTION("""COMPUTED_VALUE"""),"No")</f>
        <v>No</v>
      </c>
      <c r="AI576" s="5" t="str">
        <f ca="1">IFERROR(__xludf.DUMMYFUNCTION("""COMPUTED_VALUE"""),"No")</f>
        <v>No</v>
      </c>
      <c r="AJ576" s="5" t="str">
        <f ca="1">IFERROR(__xludf.DUMMYFUNCTION("""COMPUTED_VALUE"""),"No")</f>
        <v>No</v>
      </c>
    </row>
    <row r="577" spans="1:36" ht="13">
      <c r="A577" s="5" t="str">
        <f ca="1">IFERROR(__xludf.DUMMYFUNCTION("""COMPUTED_VALUE"""),"20210609TXNOH")</f>
        <v>20210609TXNOH</v>
      </c>
      <c r="B577" s="5">
        <f ca="1">IFERROR(__xludf.DUMMYFUNCTION("""COMPUTED_VALUE"""),6)</f>
        <v>6</v>
      </c>
      <c r="C577" s="5">
        <f ca="1">IFERROR(__xludf.DUMMYFUNCTION("""COMPUTED_VALUE"""),9)</f>
        <v>9</v>
      </c>
      <c r="D577" s="5">
        <f ca="1">IFERROR(__xludf.DUMMYFUNCTION("""COMPUTED_VALUE"""),2021)</f>
        <v>2021</v>
      </c>
      <c r="E577" s="8">
        <f ca="1">IFERROR(__xludf.DUMMYFUNCTION("""COMPUTED_VALUE"""),44356)</f>
        <v>44356</v>
      </c>
      <c r="F577" s="5" t="str">
        <f ca="1">IFERROR(__xludf.DUMMYFUNCTION("""COMPUTED_VALUE"""),"North Forest High School")</f>
        <v>North Forest High School</v>
      </c>
      <c r="G577" s="5">
        <f ca="1">IFERROR(__xludf.DUMMYFUNCTION("""COMPUTED_VALUE"""),0)</f>
        <v>0</v>
      </c>
      <c r="H577" s="5">
        <f ca="1">IFERROR(__xludf.DUMMYFUNCTION("""COMPUTED_VALUE"""),1)</f>
        <v>1</v>
      </c>
      <c r="I577" s="5">
        <f ca="1">IFERROR(__xludf.DUMMYFUNCTION("""COMPUTED_VALUE"""),1)</f>
        <v>1</v>
      </c>
      <c r="J577" s="5">
        <f ca="1">IFERROR(__xludf.DUMMYFUNCTION("""COMPUTED_VALUE"""),0)</f>
        <v>0</v>
      </c>
      <c r="K577" s="5" t="str">
        <f ca="1">IFERROR(__xludf.DUMMYFUNCTION("""COMPUTED_VALUE"""),"https://www.khou.com/article/news/crime/north-forest-school-shooting-student-shot-in-hand-suspect-flees/285-d5e61714-3b20-43bc-82ac-c31357310e69 https://abc13.com/student-shot-school-shooting-houston-police-north-forest-high/10766549/")</f>
        <v>https://www.khou.com/article/news/crime/north-forest-school-shooting-student-shot-in-hand-suspect-flees/285-d5e61714-3b20-43bc-82ac-c31357310e69 https://abc13.com/student-shot-school-shooting-houston-police-north-forest-high/10766549/</v>
      </c>
      <c r="L577" s="5">
        <f ca="1">IFERROR(__xludf.DUMMYFUNCTION("""COMPUTED_VALUE"""),5)</f>
        <v>5</v>
      </c>
      <c r="M577" s="5" t="str">
        <f ca="1">IFERROR(__xludf.DUMMYFUNCTION("""COMPUTED_VALUE"""),"Local")</f>
        <v>Local</v>
      </c>
      <c r="N577" s="5">
        <f ca="1">IFERROR(__xludf.DUMMYFUNCTION("""COMPUTED_VALUE"""),4)</f>
        <v>4</v>
      </c>
      <c r="O577" s="5" t="str">
        <f ca="1">IFERROR(__xludf.DUMMYFUNCTION("""COMPUTED_VALUE"""),"Summer")</f>
        <v>Summer</v>
      </c>
      <c r="P577" s="5" t="str">
        <f ca="1">IFERROR(__xludf.DUMMYFUNCTION("""COMPUTED_VALUE"""),"Houston")</f>
        <v>Houston</v>
      </c>
      <c r="Q577" s="5" t="str">
        <f ca="1">IFERROR(__xludf.DUMMYFUNCTION("""COMPUTED_VALUE"""),"TX")</f>
        <v>TX</v>
      </c>
      <c r="R577" s="5" t="str">
        <f ca="1">IFERROR(__xludf.DUMMYFUNCTION("""COMPUTED_VALUE"""),"High")</f>
        <v>High</v>
      </c>
      <c r="S577" s="5" t="str">
        <f ca="1">IFERROR(__xludf.DUMMYFUNCTION("""COMPUTED_VALUE"""),"Parking Lot")</f>
        <v>Parking Lot</v>
      </c>
      <c r="T577" s="5" t="str">
        <f ca="1">IFERROR(__xludf.DUMMYFUNCTION("""COMPUTED_VALUE"""),"Outside on School Property")</f>
        <v>Outside on School Property</v>
      </c>
      <c r="U577" s="5" t="str">
        <f ca="1">IFERROR(__xludf.DUMMYFUNCTION("""COMPUTED_VALUE"""),"Yes")</f>
        <v>Yes</v>
      </c>
      <c r="V577" s="5" t="str">
        <f ca="1">IFERROR(__xludf.DUMMYFUNCTION("""COMPUTED_VALUE"""),"School Event")</f>
        <v>School Event</v>
      </c>
      <c r="W577" s="10">
        <f ca="1">IFERROR(__xludf.DUMMYFUNCTION("""COMPUTED_VALUE"""),0.430555555555555)</f>
        <v>0.43055555555555503</v>
      </c>
      <c r="X577" s="5">
        <f ca="1">IFERROR(__xludf.DUMMYFUNCTION("""COMPUTED_VALUE"""),1)</f>
        <v>1</v>
      </c>
      <c r="Y577" s="5" t="str">
        <f ca="1">IFERROR(__xludf.DUMMYFUNCTION("""COMPUTED_VALUE"""),"Student bystander shot during fight following graduation rehearsal")</f>
        <v>Student bystander shot during fight following graduation rehearsal</v>
      </c>
      <c r="Z577" s="5" t="str">
        <f ca="1">IFERROR(__xludf.DUMMYFUNCTION("""COMPUTED_VALUE"""),"An 18-year-old male student was sitting inside a vehicle in the school parking lot when he was shot in the hand. The shot was fired during a fight between students, the student struck was no involved. Graduation rehearsal had just finished and students we"&amp;"re leaving the school. An 18-year-old student was arrested and charged. SRO was present at the school and immediately reported that it was not an active shooter situation. School was not locked down.")</f>
        <v>An 18-year-old male student was sitting inside a vehicle in the school parking lot when he was shot in the hand. The shot was fired during a fight between students, the student struck was no involved. Graduation rehearsal had just finished and students were leaving the school. An 18-year-old student was arrested and charged. SRO was present at the school and immediately reported that it was not an active shooter situation. School was not locked down.</v>
      </c>
      <c r="AA577" s="5" t="str">
        <f ca="1">IFERROR(__xludf.DUMMYFUNCTION("""COMPUTED_VALUE"""),"Escalation of Dispute")</f>
        <v>Escalation of Dispute</v>
      </c>
      <c r="AB577" s="5" t="str">
        <f ca="1">IFERROR(__xludf.DUMMYFUNCTION("""COMPUTED_VALUE"""),"Both")</f>
        <v>Both</v>
      </c>
      <c r="AC577" s="5" t="str">
        <f ca="1">IFERROR(__xludf.DUMMYFUNCTION("""COMPUTED_VALUE"""),"No")</f>
        <v>No</v>
      </c>
      <c r="AD577" s="5" t="str">
        <f ca="1">IFERROR(__xludf.DUMMYFUNCTION("""COMPUTED_VALUE"""),"No")</f>
        <v>No</v>
      </c>
      <c r="AE577" s="5" t="str">
        <f ca="1">IFERROR(__xludf.DUMMYFUNCTION("""COMPUTED_VALUE"""),"No")</f>
        <v>No</v>
      </c>
      <c r="AF577" s="5" t="str">
        <f ca="1">IFERROR(__xludf.DUMMYFUNCTION("""COMPUTED_VALUE"""),"No")</f>
        <v>No</v>
      </c>
      <c r="AG577" s="5" t="str">
        <f ca="1">IFERROR(__xludf.DUMMYFUNCTION("""COMPUTED_VALUE"""),"No")</f>
        <v>No</v>
      </c>
      <c r="AH577" s="5" t="str">
        <f ca="1">IFERROR(__xludf.DUMMYFUNCTION("""COMPUTED_VALUE"""),"No")</f>
        <v>No</v>
      </c>
      <c r="AI577" s="5" t="str">
        <f ca="1">IFERROR(__xludf.DUMMYFUNCTION("""COMPUTED_VALUE"""),"No")</f>
        <v>No</v>
      </c>
      <c r="AJ577" s="5" t="str">
        <f ca="1">IFERROR(__xludf.DUMMYFUNCTION("""COMPUTED_VALUE"""),"No")</f>
        <v>No</v>
      </c>
    </row>
    <row r="578" spans="1:36" ht="13">
      <c r="A578" s="5" t="str">
        <f ca="1">IFERROR(__xludf.DUMMYFUNCTION("""COMPUTED_VALUE"""),"20210609VAWIR")</f>
        <v>20210609VAWIR</v>
      </c>
      <c r="B578" s="5">
        <f ca="1">IFERROR(__xludf.DUMMYFUNCTION("""COMPUTED_VALUE"""),6)</f>
        <v>6</v>
      </c>
      <c r="C578" s="5">
        <f ca="1">IFERROR(__xludf.DUMMYFUNCTION("""COMPUTED_VALUE"""),9)</f>
        <v>9</v>
      </c>
      <c r="D578" s="5">
        <f ca="1">IFERROR(__xludf.DUMMYFUNCTION("""COMPUTED_VALUE"""),2021)</f>
        <v>2021</v>
      </c>
      <c r="E578" s="8">
        <f ca="1">IFERROR(__xludf.DUMMYFUNCTION("""COMPUTED_VALUE"""),44356)</f>
        <v>44356</v>
      </c>
      <c r="F578" s="5" t="str">
        <f ca="1">IFERROR(__xludf.DUMMYFUNCTION("""COMPUTED_VALUE"""),"William Fleming High School")</f>
        <v>William Fleming High School</v>
      </c>
      <c r="G578" s="5">
        <f ca="1">IFERROR(__xludf.DUMMYFUNCTION("""COMPUTED_VALUE"""),0)</f>
        <v>0</v>
      </c>
      <c r="H578" s="5">
        <f ca="1">IFERROR(__xludf.DUMMYFUNCTION("""COMPUTED_VALUE"""),1)</f>
        <v>1</v>
      </c>
      <c r="I578" s="5">
        <f ca="1">IFERROR(__xludf.DUMMYFUNCTION("""COMPUTED_VALUE"""),1)</f>
        <v>1</v>
      </c>
      <c r="J578" s="5">
        <f ca="1">IFERROR(__xludf.DUMMYFUNCTION("""COMPUTED_VALUE"""),0)</f>
        <v>0</v>
      </c>
      <c r="K578" s="5" t="str">
        <f ca="1">IFERROR(__xludf.DUMMYFUNCTION("""COMPUTED_VALUE"""),"https://roanoke.com/news/local/crime-and-courts/student-injured-in-shooting-outside-roanokes-berglund-center-before-high-school-graduation-practice/article_b85b6bf0-c95b-11eb-a683-8fad1e1b18c0.html https://www.wfxrtv.com/news/local-news/roanoke-valley-new"&amp;"s/roanoke-police-on-scene-of-incident-at-berglund-center/")</f>
        <v>https://roanoke.com/news/local/crime-and-courts/student-injured-in-shooting-outside-roanokes-berglund-center-before-high-school-graduation-practice/article_b85b6bf0-c95b-11eb-a683-8fad1e1b18c0.html https://www.wfxrtv.com/news/local-news/roanoke-valley-news/roanoke-police-on-scene-of-incident-at-berglund-center/</v>
      </c>
      <c r="L578" s="5">
        <f ca="1">IFERROR(__xludf.DUMMYFUNCTION("""COMPUTED_VALUE"""),5)</f>
        <v>5</v>
      </c>
      <c r="M578" s="5" t="str">
        <f ca="1">IFERROR(__xludf.DUMMYFUNCTION("""COMPUTED_VALUE"""),"National")</f>
        <v>National</v>
      </c>
      <c r="N578" s="5">
        <f ca="1">IFERROR(__xludf.DUMMYFUNCTION("""COMPUTED_VALUE"""),4)</f>
        <v>4</v>
      </c>
      <c r="O578" s="5"/>
      <c r="P578" s="5" t="str">
        <f ca="1">IFERROR(__xludf.DUMMYFUNCTION("""COMPUTED_VALUE"""),"Roanoke")</f>
        <v>Roanoke</v>
      </c>
      <c r="Q578" s="5" t="str">
        <f ca="1">IFERROR(__xludf.DUMMYFUNCTION("""COMPUTED_VALUE"""),"VA")</f>
        <v>VA</v>
      </c>
      <c r="R578" s="5" t="str">
        <f ca="1">IFERROR(__xludf.DUMMYFUNCTION("""COMPUTED_VALUE"""),"High")</f>
        <v>High</v>
      </c>
      <c r="S578" s="5" t="str">
        <f ca="1">IFERROR(__xludf.DUMMYFUNCTION("""COMPUTED_VALUE"""),"Parking Lot")</f>
        <v>Parking Lot</v>
      </c>
      <c r="T578" s="5" t="str">
        <f ca="1">IFERROR(__xludf.DUMMYFUNCTION("""COMPUTED_VALUE"""),"Outside on School Property")</f>
        <v>Outside on School Property</v>
      </c>
      <c r="U578" s="5" t="str">
        <f ca="1">IFERROR(__xludf.DUMMYFUNCTION("""COMPUTED_VALUE"""),"No")</f>
        <v>No</v>
      </c>
      <c r="V578" s="5" t="str">
        <f ca="1">IFERROR(__xludf.DUMMYFUNCTION("""COMPUTED_VALUE"""),"Sport Event")</f>
        <v>Sport Event</v>
      </c>
      <c r="W578" s="10">
        <f ca="1">IFERROR(__xludf.DUMMYFUNCTION("""COMPUTED_VALUE"""),0.583333333333333)</f>
        <v>0.58333333333333304</v>
      </c>
      <c r="X578" s="5">
        <f ca="1">IFERROR(__xludf.DUMMYFUNCTION("""COMPUTED_VALUE"""),1)</f>
        <v>1</v>
      </c>
      <c r="Y578" s="5" t="str">
        <f ca="1">IFERROR(__xludf.DUMMYFUNCTION("""COMPUTED_VALUE"""),"Student shot in parking lot during graduation rehearsal")</f>
        <v>Student shot in parking lot during graduation rehearsal</v>
      </c>
      <c r="Z578" s="5" t="str">
        <f ca="1">IFERROR(__xludf.DUMMYFUNCTION("""COMPUTED_VALUE"""),"A student was shot and transported to the hospital following a fight in the parking lot during graduation rehearsal. 300 students were onsite at the time of the shooting. Students sheltered inside the auditorium for 90 minutes while police searched the sc"&amp;"ene. Shooter fled the scene.")</f>
        <v>A student was shot and transported to the hospital following a fight in the parking lot during graduation rehearsal. 300 students were onsite at the time of the shooting. Students sheltered inside the auditorium for 90 minutes while police searched the scene. Shooter fled the scene.</v>
      </c>
      <c r="AA578" s="5" t="str">
        <f ca="1">IFERROR(__xludf.DUMMYFUNCTION("""COMPUTED_VALUE"""),"Escalation of Dispute")</f>
        <v>Escalation of Dispute</v>
      </c>
      <c r="AB578" s="5"/>
      <c r="AC578" s="5" t="str">
        <f ca="1">IFERROR(__xludf.DUMMYFUNCTION("""COMPUTED_VALUE"""),"No")</f>
        <v>No</v>
      </c>
      <c r="AD578" s="5" t="str">
        <f ca="1">IFERROR(__xludf.DUMMYFUNCTION("""COMPUTED_VALUE"""),"No")</f>
        <v>No</v>
      </c>
      <c r="AE578" s="5" t="str">
        <f ca="1">IFERROR(__xludf.DUMMYFUNCTION("""COMPUTED_VALUE"""),"No")</f>
        <v>No</v>
      </c>
      <c r="AF578" s="5" t="str">
        <f ca="1">IFERROR(__xludf.DUMMYFUNCTION("""COMPUTED_VALUE"""),"No")</f>
        <v>No</v>
      </c>
      <c r="AG578" s="5" t="str">
        <f ca="1">IFERROR(__xludf.DUMMYFUNCTION("""COMPUTED_VALUE"""),"No")</f>
        <v>No</v>
      </c>
      <c r="AH578" s="5" t="str">
        <f ca="1">IFERROR(__xludf.DUMMYFUNCTION("""COMPUTED_VALUE"""),"No")</f>
        <v>No</v>
      </c>
      <c r="AI578" s="5"/>
      <c r="AJ578" s="5" t="str">
        <f ca="1">IFERROR(__xludf.DUMMYFUNCTION("""COMPUTED_VALUE"""),"No")</f>
        <v>No</v>
      </c>
    </row>
    <row r="579" spans="1:36" ht="13">
      <c r="A579" s="5" t="str">
        <f ca="1">IFERROR(__xludf.DUMMYFUNCTION("""COMPUTED_VALUE"""),"20210608KSHAK")</f>
        <v>20210608KSHAK</v>
      </c>
      <c r="B579" s="5">
        <f ca="1">IFERROR(__xludf.DUMMYFUNCTION("""COMPUTED_VALUE"""),6)</f>
        <v>6</v>
      </c>
      <c r="C579" s="5">
        <f ca="1">IFERROR(__xludf.DUMMYFUNCTION("""COMPUTED_VALUE"""),8)</f>
        <v>8</v>
      </c>
      <c r="D579" s="5">
        <f ca="1">IFERROR(__xludf.DUMMYFUNCTION("""COMPUTED_VALUE"""),2021)</f>
        <v>2021</v>
      </c>
      <c r="E579" s="8">
        <f ca="1">IFERROR(__xludf.DUMMYFUNCTION("""COMPUTED_VALUE"""),44355)</f>
        <v>44355</v>
      </c>
      <c r="F579" s="5" t="str">
        <f ca="1">IFERROR(__xludf.DUMMYFUNCTION("""COMPUTED_VALUE"""),"Hazel Grove Elementary")</f>
        <v>Hazel Grove Elementary</v>
      </c>
      <c r="G579" s="5">
        <f ca="1">IFERROR(__xludf.DUMMYFUNCTION("""COMPUTED_VALUE"""),1)</f>
        <v>1</v>
      </c>
      <c r="H579" s="5">
        <f ca="1">IFERROR(__xludf.DUMMYFUNCTION("""COMPUTED_VALUE"""),0)</f>
        <v>0</v>
      </c>
      <c r="I579" s="5">
        <f ca="1">IFERROR(__xludf.DUMMYFUNCTION("""COMPUTED_VALUE"""),1)</f>
        <v>1</v>
      </c>
      <c r="J579" s="5">
        <f ca="1">IFERROR(__xludf.DUMMYFUNCTION("""COMPUTED_VALUE"""),0)</f>
        <v>0</v>
      </c>
      <c r="K579" s="5" t="str">
        <f ca="1">IFERROR(__xludf.DUMMYFUNCTION("""COMPUTED_VALUE"""),"https://fox4kc.com/news/neighbors-shocked-to-hear-gunfire-outside-kck-elementary-leaving-15-year-old-dead/ https://fox4kc.com/news/teenager-injured-in-kansas-city-kansas-shooting-near-elementary-school/ https://www.kmbc.com/article/teen-suffers-life-threa"&amp;"tening-injuries-in-shooting-near-kck-elementary-school-1623185816/36665363")</f>
        <v>https://fox4kc.com/news/neighbors-shocked-to-hear-gunfire-outside-kck-elementary-leaving-15-year-old-dead/ https://fox4kc.com/news/teenager-injured-in-kansas-city-kansas-shooting-near-elementary-school/ https://www.kmbc.com/article/teen-suffers-life-threatening-injuries-in-shooting-near-kck-elementary-school-1623185816/36665363</v>
      </c>
      <c r="L579" s="5">
        <f ca="1">IFERROR(__xludf.DUMMYFUNCTION("""COMPUTED_VALUE"""),3)</f>
        <v>3</v>
      </c>
      <c r="M579" s="5" t="str">
        <f ca="1">IFERROR(__xludf.DUMMYFUNCTION("""COMPUTED_VALUE"""),"Local")</f>
        <v>Local</v>
      </c>
      <c r="N579" s="5">
        <f ca="1">IFERROR(__xludf.DUMMYFUNCTION("""COMPUTED_VALUE"""),4)</f>
        <v>4</v>
      </c>
      <c r="O579" s="5" t="str">
        <f ca="1">IFERROR(__xludf.DUMMYFUNCTION("""COMPUTED_VALUE"""),"Summer")</f>
        <v>Summer</v>
      </c>
      <c r="P579" s="5" t="str">
        <f ca="1">IFERROR(__xludf.DUMMYFUNCTION("""COMPUTED_VALUE"""),"Kansas City")</f>
        <v>Kansas City</v>
      </c>
      <c r="Q579" s="5" t="str">
        <f ca="1">IFERROR(__xludf.DUMMYFUNCTION("""COMPUTED_VALUE"""),"KS")</f>
        <v>KS</v>
      </c>
      <c r="R579" s="5" t="str">
        <f ca="1">IFERROR(__xludf.DUMMYFUNCTION("""COMPUTED_VALUE"""),"Elementary")</f>
        <v>Elementary</v>
      </c>
      <c r="S579" s="5" t="str">
        <f ca="1">IFERROR(__xludf.DUMMYFUNCTION("""COMPUTED_VALUE"""),"Front of School")</f>
        <v>Front of School</v>
      </c>
      <c r="T579" s="5" t="str">
        <f ca="1">IFERROR(__xludf.DUMMYFUNCTION("""COMPUTED_VALUE"""),"Outside on School Property")</f>
        <v>Outside on School Property</v>
      </c>
      <c r="U579" s="5" t="str">
        <f ca="1">IFERROR(__xludf.DUMMYFUNCTION("""COMPUTED_VALUE"""),"Yes")</f>
        <v>Yes</v>
      </c>
      <c r="V579" s="5" t="str">
        <f ca="1">IFERROR(__xludf.DUMMYFUNCTION("""COMPUTED_VALUE"""),"Afternoon Classes")</f>
        <v>Afternoon Classes</v>
      </c>
      <c r="W579" s="10">
        <f ca="1">IFERROR(__xludf.DUMMYFUNCTION("""COMPUTED_VALUE"""),0.5)</f>
        <v>0.5</v>
      </c>
      <c r="X579" s="5">
        <f ca="1">IFERROR(__xludf.DUMMYFUNCTION("""COMPUTED_VALUE"""),1)</f>
        <v>1</v>
      </c>
      <c r="Y579" s="5" t="str">
        <f ca="1">IFERROR(__xludf.DUMMYFUNCTION("""COMPUTED_VALUE"""),"Teen walking in front of school fatally shot by drive-by")</f>
        <v>Teen walking in front of school fatally shot by drive-by</v>
      </c>
      <c r="Z579" s="5" t="str">
        <f ca="1">IFERROR(__xludf.DUMMYFUNCTION("""COMPUTED_VALUE"""),"A 15-year-old male was walking in front of the school when a vehicle stopped next to him. The shooter called out to the victim and then fatally shot him. Multiple people were in the vehicle. The shooter fled the scene. Students and staff outside of the sc"&amp;"hool witnessed the shooting. School went on lockdown for 30 minutes while police cleared the scene. School was dismissed early.")</f>
        <v>A 15-year-old male was walking in front of the school when a vehicle stopped next to him. The shooter called out to the victim and then fatally shot him. Multiple people were in the vehicle. The shooter fled the scene. Students and staff outside of the school witnessed the shooting. School went on lockdown for 30 minutes while police cleared the scene. School was dismissed early.</v>
      </c>
      <c r="AA579" s="5" t="str">
        <f ca="1">IFERROR(__xludf.DUMMYFUNCTION("""COMPUTED_VALUE"""),"Drive-by Shooting")</f>
        <v>Drive-by Shooting</v>
      </c>
      <c r="AB579" s="5" t="str">
        <f ca="1">IFERROR(__xludf.DUMMYFUNCTION("""COMPUTED_VALUE"""),"Victims Targeted")</f>
        <v>Victims Targeted</v>
      </c>
      <c r="AC579" s="5" t="str">
        <f ca="1">IFERROR(__xludf.DUMMYFUNCTION("""COMPUTED_VALUE"""),"Yes")</f>
        <v>Yes</v>
      </c>
      <c r="AD579" s="5" t="str">
        <f ca="1">IFERROR(__xludf.DUMMYFUNCTION("""COMPUTED_VALUE"""),"No")</f>
        <v>No</v>
      </c>
      <c r="AE579" s="5" t="str">
        <f ca="1">IFERROR(__xludf.DUMMYFUNCTION("""COMPUTED_VALUE"""),"No")</f>
        <v>No</v>
      </c>
      <c r="AF579" s="5" t="str">
        <f ca="1">IFERROR(__xludf.DUMMYFUNCTION("""COMPUTED_VALUE"""),"No")</f>
        <v>No</v>
      </c>
      <c r="AG579" s="5" t="str">
        <f ca="1">IFERROR(__xludf.DUMMYFUNCTION("""COMPUTED_VALUE"""),"No")</f>
        <v>No</v>
      </c>
      <c r="AH579" s="5" t="str">
        <f ca="1">IFERROR(__xludf.DUMMYFUNCTION("""COMPUTED_VALUE"""),"No")</f>
        <v>No</v>
      </c>
      <c r="AI579" s="5"/>
      <c r="AJ579" s="5" t="str">
        <f ca="1">IFERROR(__xludf.DUMMYFUNCTION("""COMPUTED_VALUE"""),"No")</f>
        <v>No</v>
      </c>
    </row>
    <row r="580" spans="1:36" ht="13">
      <c r="A580" s="5" t="str">
        <f ca="1">IFERROR(__xludf.DUMMYFUNCTION("""COMPUTED_VALUE"""),"20210608PAMUS")</f>
        <v>20210608PAMUS</v>
      </c>
      <c r="B580" s="5">
        <f ca="1">IFERROR(__xludf.DUMMYFUNCTION("""COMPUTED_VALUE"""),6)</f>
        <v>6</v>
      </c>
      <c r="C580" s="5">
        <f ca="1">IFERROR(__xludf.DUMMYFUNCTION("""COMPUTED_VALUE"""),8)</f>
        <v>8</v>
      </c>
      <c r="D580" s="5">
        <f ca="1">IFERROR(__xludf.DUMMYFUNCTION("""COMPUTED_VALUE"""),2021)</f>
        <v>2021</v>
      </c>
      <c r="E580" s="8">
        <f ca="1">IFERROR(__xludf.DUMMYFUNCTION("""COMPUTED_VALUE"""),44355)</f>
        <v>44355</v>
      </c>
      <c r="F580" s="5" t="str">
        <f ca="1">IFERROR(__xludf.DUMMYFUNCTION("""COMPUTED_VALUE"""),"Musser Elementary School")</f>
        <v>Musser Elementary School</v>
      </c>
      <c r="G580" s="5">
        <f ca="1">IFERROR(__xludf.DUMMYFUNCTION("""COMPUTED_VALUE"""),0)</f>
        <v>0</v>
      </c>
      <c r="H580" s="5">
        <f ca="1">IFERROR(__xludf.DUMMYFUNCTION("""COMPUTED_VALUE"""),0)</f>
        <v>0</v>
      </c>
      <c r="I580" s="5">
        <f ca="1">IFERROR(__xludf.DUMMYFUNCTION("""COMPUTED_VALUE"""),0)</f>
        <v>0</v>
      </c>
      <c r="J580" s="5">
        <f ca="1">IFERROR(__xludf.DUMMYFUNCTION("""COMPUTED_VALUE"""),0)</f>
        <v>0</v>
      </c>
      <c r="K580" s="5" t="str">
        <f ca="1">IFERROR(__xludf.DUMMYFUNCTION("""COMPUTED_VALUE"""),"https://www.yahoo.com/news/shooting-charges-against-teen-held-191600602.html https://www.sharonherald.com/news/local_news/teen-charged-in-shooting-near-musser-school/article_2e5f6a90-2c16-5ff2-b16b-1ff0cdda61a6.html")</f>
        <v>https://www.yahoo.com/news/shooting-charges-against-teen-held-191600602.html https://www.sharonherald.com/news/local_news/teen-charged-in-shooting-near-musser-school/article_2e5f6a90-2c16-5ff2-b16b-1ff0cdda61a6.html</v>
      </c>
      <c r="L580" s="5">
        <f ca="1">IFERROR(__xludf.DUMMYFUNCTION("""COMPUTED_VALUE"""),5)</f>
        <v>5</v>
      </c>
      <c r="M580" s="5" t="str">
        <f ca="1">IFERROR(__xludf.DUMMYFUNCTION("""COMPUTED_VALUE"""),"Local")</f>
        <v>Local</v>
      </c>
      <c r="N580" s="5">
        <f ca="1">IFERROR(__xludf.DUMMYFUNCTION("""COMPUTED_VALUE"""),4)</f>
        <v>4</v>
      </c>
      <c r="O580" s="5" t="str">
        <f ca="1">IFERROR(__xludf.DUMMYFUNCTION("""COMPUTED_VALUE"""),"Summer")</f>
        <v>Summer</v>
      </c>
      <c r="P580" s="5" t="str">
        <f ca="1">IFERROR(__xludf.DUMMYFUNCTION("""COMPUTED_VALUE"""),"Sharon")</f>
        <v>Sharon</v>
      </c>
      <c r="Q580" s="5" t="str">
        <f ca="1">IFERROR(__xludf.DUMMYFUNCTION("""COMPUTED_VALUE"""),"PA")</f>
        <v>PA</v>
      </c>
      <c r="R580" s="5" t="str">
        <f ca="1">IFERROR(__xludf.DUMMYFUNCTION("""COMPUTED_VALUE"""),"Elementary")</f>
        <v>Elementary</v>
      </c>
      <c r="S580" s="5" t="str">
        <f ca="1">IFERROR(__xludf.DUMMYFUNCTION("""COMPUTED_VALUE"""),"Parking Lot")</f>
        <v>Parking Lot</v>
      </c>
      <c r="T580" s="5" t="str">
        <f ca="1">IFERROR(__xludf.DUMMYFUNCTION("""COMPUTED_VALUE"""),"Outside on School Property")</f>
        <v>Outside on School Property</v>
      </c>
      <c r="U580" s="5" t="str">
        <f ca="1">IFERROR(__xludf.DUMMYFUNCTION("""COMPUTED_VALUE"""),"No")</f>
        <v>No</v>
      </c>
      <c r="V580" s="5" t="str">
        <f ca="1">IFERROR(__xludf.DUMMYFUNCTION("""COMPUTED_VALUE"""),"Evening")</f>
        <v>Evening</v>
      </c>
      <c r="W580" s="10">
        <f ca="1">IFERROR(__xludf.DUMMYFUNCTION("""COMPUTED_VALUE"""),0.8625)</f>
        <v>0.86250000000000004</v>
      </c>
      <c r="X580" s="5">
        <f ca="1">IFERROR(__xludf.DUMMYFUNCTION("""COMPUTED_VALUE"""),1)</f>
        <v>1</v>
      </c>
      <c r="Y580" s="5" t="str">
        <f ca="1">IFERROR(__xludf.DUMMYFUNCTION("""COMPUTED_VALUE"""),"Teen fired multiple shots during dispute with other teens")</f>
        <v>Teen fired multiple shots during dispute with other teens</v>
      </c>
      <c r="Z580" s="5" t="str">
        <f ca="1">IFERROR(__xludf.DUMMYFUNCTION("""COMPUTED_VALUE"""),"A 17-year-old male fired multiple in the parking lot and alley area of the school during a dispute with other teens. Children were on the playground of the school during the shooting. Shooter fled in a vehicle driven by another teen. Vehicle was stopped a"&amp;"nd the shooter was arrested.")</f>
        <v>A 17-year-old male fired multiple in the parking lot and alley area of the school during a dispute with other teens. Children were on the playground of the school during the shooting. Shooter fled in a vehicle driven by another teen. Vehicle was stopped and the shooter was arrested.</v>
      </c>
      <c r="AA580" s="5" t="str">
        <f ca="1">IFERROR(__xludf.DUMMYFUNCTION("""COMPUTED_VALUE"""),"Escalation of Dispute")</f>
        <v>Escalation of Dispute</v>
      </c>
      <c r="AB580" s="5" t="str">
        <f ca="1">IFERROR(__xludf.DUMMYFUNCTION("""COMPUTED_VALUE"""),"Victims Targeted")</f>
        <v>Victims Targeted</v>
      </c>
      <c r="AC580" s="5" t="str">
        <f ca="1">IFERROR(__xludf.DUMMYFUNCTION("""COMPUTED_VALUE"""),"Yes")</f>
        <v>Yes</v>
      </c>
      <c r="AD580" s="5" t="str">
        <f ca="1">IFERROR(__xludf.DUMMYFUNCTION("""COMPUTED_VALUE"""),"No")</f>
        <v>No</v>
      </c>
      <c r="AE580" s="5" t="str">
        <f ca="1">IFERROR(__xludf.DUMMYFUNCTION("""COMPUTED_VALUE"""),"No")</f>
        <v>No</v>
      </c>
      <c r="AF580" s="5" t="str">
        <f ca="1">IFERROR(__xludf.DUMMYFUNCTION("""COMPUTED_VALUE"""),"No")</f>
        <v>No</v>
      </c>
      <c r="AG580" s="5" t="str">
        <f ca="1">IFERROR(__xludf.DUMMYFUNCTION("""COMPUTED_VALUE"""),"No")</f>
        <v>No</v>
      </c>
      <c r="AH580" s="5" t="str">
        <f ca="1">IFERROR(__xludf.DUMMYFUNCTION("""COMPUTED_VALUE"""),"No")</f>
        <v>No</v>
      </c>
      <c r="AI580" s="5"/>
      <c r="AJ580" s="5" t="str">
        <f ca="1">IFERROR(__xludf.DUMMYFUNCTION("""COMPUTED_VALUE"""),"No")</f>
        <v>No</v>
      </c>
    </row>
    <row r="581" spans="1:36" ht="13">
      <c r="A581" s="5" t="str">
        <f ca="1">IFERROR(__xludf.DUMMYFUNCTION("""COMPUTED_VALUE"""),"20210607TXEAF")</f>
        <v>20210607TXEAF</v>
      </c>
      <c r="B581" s="5">
        <f ca="1">IFERROR(__xludf.DUMMYFUNCTION("""COMPUTED_VALUE"""),6)</f>
        <v>6</v>
      </c>
      <c r="C581" s="5">
        <f ca="1">IFERROR(__xludf.DUMMYFUNCTION("""COMPUTED_VALUE"""),7)</f>
        <v>7</v>
      </c>
      <c r="D581" s="5">
        <f ca="1">IFERROR(__xludf.DUMMYFUNCTION("""COMPUTED_VALUE"""),2021)</f>
        <v>2021</v>
      </c>
      <c r="E581" s="8">
        <f ca="1">IFERROR(__xludf.DUMMYFUNCTION("""COMPUTED_VALUE"""),44354)</f>
        <v>44354</v>
      </c>
      <c r="F581" s="5" t="str">
        <f ca="1">IFERROR(__xludf.DUMMYFUNCTION("""COMPUTED_VALUE"""),"Eastern Hills High School")</f>
        <v>Eastern Hills High School</v>
      </c>
      <c r="G581" s="5">
        <f ca="1">IFERROR(__xludf.DUMMYFUNCTION("""COMPUTED_VALUE"""),1)</f>
        <v>1</v>
      </c>
      <c r="H581" s="5">
        <f ca="1">IFERROR(__xludf.DUMMYFUNCTION("""COMPUTED_VALUE"""),0)</f>
        <v>0</v>
      </c>
      <c r="I581" s="5">
        <f ca="1">IFERROR(__xludf.DUMMYFUNCTION("""COMPUTED_VALUE"""),1)</f>
        <v>1</v>
      </c>
      <c r="J581" s="5">
        <f ca="1">IFERROR(__xludf.DUMMYFUNCTION("""COMPUTED_VALUE"""),0)</f>
        <v>0</v>
      </c>
      <c r="K581" s="9" t="str">
        <f ca="1">IFERROR(__xludf.DUMMYFUNCTION("""COMPUTED_VALUE"""),"https://www.nbcnews.com/news/us-news/16-year-old-critical-condition-after-getting-shot-outside-texas-n1269945")</f>
        <v>https://www.nbcnews.com/news/us-news/16-year-old-critical-condition-after-getting-shot-outside-texas-n1269945</v>
      </c>
      <c r="L581" s="5">
        <f ca="1">IFERROR(__xludf.DUMMYFUNCTION("""COMPUTED_VALUE"""),10)</f>
        <v>10</v>
      </c>
      <c r="M581" s="5" t="str">
        <f ca="1">IFERROR(__xludf.DUMMYFUNCTION("""COMPUTED_VALUE"""),"National")</f>
        <v>National</v>
      </c>
      <c r="N581" s="5">
        <f ca="1">IFERROR(__xludf.DUMMYFUNCTION("""COMPUTED_VALUE"""),4)</f>
        <v>4</v>
      </c>
      <c r="O581" s="5"/>
      <c r="P581" s="5" t="str">
        <f ca="1">IFERROR(__xludf.DUMMYFUNCTION("""COMPUTED_VALUE"""),"Fort Worth")</f>
        <v>Fort Worth</v>
      </c>
      <c r="Q581" s="5" t="str">
        <f ca="1">IFERROR(__xludf.DUMMYFUNCTION("""COMPUTED_VALUE"""),"TX")</f>
        <v>TX</v>
      </c>
      <c r="R581" s="5" t="str">
        <f ca="1">IFERROR(__xludf.DUMMYFUNCTION("""COMPUTED_VALUE"""),"High")</f>
        <v>High</v>
      </c>
      <c r="S581" s="5" t="str">
        <f ca="1">IFERROR(__xludf.DUMMYFUNCTION("""COMPUTED_VALUE"""),"Parking Lot")</f>
        <v>Parking Lot</v>
      </c>
      <c r="T581" s="5" t="str">
        <f ca="1">IFERROR(__xludf.DUMMYFUNCTION("""COMPUTED_VALUE"""),"Outside on School Property")</f>
        <v>Outside on School Property</v>
      </c>
      <c r="U581" s="5" t="str">
        <f ca="1">IFERROR(__xludf.DUMMYFUNCTION("""COMPUTED_VALUE"""),"No")</f>
        <v>No</v>
      </c>
      <c r="V581" s="5" t="str">
        <f ca="1">IFERROR(__xludf.DUMMYFUNCTION("""COMPUTED_VALUE"""),"Sport Event")</f>
        <v>Sport Event</v>
      </c>
      <c r="W581" s="10">
        <f ca="1">IFERROR(__xludf.DUMMYFUNCTION("""COMPUTED_VALUE"""),0.722222222222222)</f>
        <v>0.72222222222222199</v>
      </c>
      <c r="X581" s="5">
        <f ca="1">IFERROR(__xludf.DUMMYFUNCTION("""COMPUTED_VALUE"""),1)</f>
        <v>1</v>
      </c>
      <c r="Y581" s="5" t="str">
        <f ca="1">IFERROR(__xludf.DUMMYFUNCTION("""COMPUTED_VALUE"""),"Teen shot in the neck during fight outside school gym during sporting event")</f>
        <v>Teen shot in the neck during fight outside school gym during sporting event</v>
      </c>
      <c r="Z581" s="5" t="str">
        <f ca="1">IFERROR(__xludf.DUMMYFUNCTION("""COMPUTED_VALUE"""),"A 17-year-old teen was shot in the neck during a fight in the school parking lot near the gym. A volleyball was about to begin and was cancelled. Shooter fled the scene.")</f>
        <v>A 17-year-old teen was shot in the neck during a fight in the school parking lot near the gym. A volleyball was about to begin and was cancelled. Shooter fled the scene.</v>
      </c>
      <c r="AA581" s="5" t="str">
        <f ca="1">IFERROR(__xludf.DUMMYFUNCTION("""COMPUTED_VALUE"""),"Escalation of Dispute")</f>
        <v>Escalation of Dispute</v>
      </c>
      <c r="AB581" s="5" t="str">
        <f ca="1">IFERROR(__xludf.DUMMYFUNCTION("""COMPUTED_VALUE"""),"Victims Targeted")</f>
        <v>Victims Targeted</v>
      </c>
      <c r="AC581" s="5" t="str">
        <f ca="1">IFERROR(__xludf.DUMMYFUNCTION("""COMPUTED_VALUE"""),"No")</f>
        <v>No</v>
      </c>
      <c r="AD581" s="5" t="str">
        <f ca="1">IFERROR(__xludf.DUMMYFUNCTION("""COMPUTED_VALUE"""),"No")</f>
        <v>No</v>
      </c>
      <c r="AE581" s="5" t="str">
        <f ca="1">IFERROR(__xludf.DUMMYFUNCTION("""COMPUTED_VALUE"""),"No")</f>
        <v>No</v>
      </c>
      <c r="AF581" s="5" t="str">
        <f ca="1">IFERROR(__xludf.DUMMYFUNCTION("""COMPUTED_VALUE"""),"No")</f>
        <v>No</v>
      </c>
      <c r="AG581" s="5" t="str">
        <f ca="1">IFERROR(__xludf.DUMMYFUNCTION("""COMPUTED_VALUE"""),"No")</f>
        <v>No</v>
      </c>
      <c r="AH581" s="5" t="str">
        <f ca="1">IFERROR(__xludf.DUMMYFUNCTION("""COMPUTED_VALUE"""),"No")</f>
        <v>No</v>
      </c>
      <c r="AI581" s="5"/>
      <c r="AJ581" s="5" t="str">
        <f ca="1">IFERROR(__xludf.DUMMYFUNCTION("""COMPUTED_VALUE"""),"No")</f>
        <v>No</v>
      </c>
    </row>
    <row r="582" spans="1:36" ht="13">
      <c r="A582" s="5" t="str">
        <f ca="1">IFERROR(__xludf.DUMMYFUNCTION("""COMPUTED_VALUE"""),"20210606VADRA")</f>
        <v>20210606VADRA</v>
      </c>
      <c r="B582" s="5">
        <f ca="1">IFERROR(__xludf.DUMMYFUNCTION("""COMPUTED_VALUE"""),6)</f>
        <v>6</v>
      </c>
      <c r="C582" s="5">
        <f ca="1">IFERROR(__xludf.DUMMYFUNCTION("""COMPUTED_VALUE"""),6)</f>
        <v>6</v>
      </c>
      <c r="D582" s="5">
        <f ca="1">IFERROR(__xludf.DUMMYFUNCTION("""COMPUTED_VALUE"""),2021)</f>
        <v>2021</v>
      </c>
      <c r="E582" s="8">
        <f ca="1">IFERROR(__xludf.DUMMYFUNCTION("""COMPUTED_VALUE"""),44353)</f>
        <v>44353</v>
      </c>
      <c r="F582" s="5" t="str">
        <f ca="1">IFERROR(__xludf.DUMMYFUNCTION("""COMPUTED_VALUE"""),"Dr. Charles R. Drew Elementary School")</f>
        <v>Dr. Charles R. Drew Elementary School</v>
      </c>
      <c r="G582" s="5">
        <f ca="1">IFERROR(__xludf.DUMMYFUNCTION("""COMPUTED_VALUE"""),0)</f>
        <v>0</v>
      </c>
      <c r="H582" s="5">
        <f ca="1">IFERROR(__xludf.DUMMYFUNCTION("""COMPUTED_VALUE"""),0)</f>
        <v>0</v>
      </c>
      <c r="I582" s="5">
        <f ca="1">IFERROR(__xludf.DUMMYFUNCTION("""COMPUTED_VALUE"""),0)</f>
        <v>0</v>
      </c>
      <c r="J582" s="5">
        <f ca="1">IFERROR(__xludf.DUMMYFUNCTION("""COMPUTED_VALUE"""),0)</f>
        <v>0</v>
      </c>
      <c r="K582" s="5" t="str">
        <f ca="1">IFERROR(__xludf.DUMMYFUNCTION("""COMPUTED_VALUE"""),"https://newsroom.arlingtonva.us/release/police-investigate-shots-fired-in-green-valley-neighborhood/ https://www.arlnow.com/2021/06/06/acpd-investigating-early-morning-gunfire-outside-elementary-school/")</f>
        <v>https://newsroom.arlingtonva.us/release/police-investigate-shots-fired-in-green-valley-neighborhood/ https://www.arlnow.com/2021/06/06/acpd-investigating-early-morning-gunfire-outside-elementary-school/</v>
      </c>
      <c r="L582" s="5">
        <f ca="1">IFERROR(__xludf.DUMMYFUNCTION("""COMPUTED_VALUE"""),2)</f>
        <v>2</v>
      </c>
      <c r="M582" s="5" t="str">
        <f ca="1">IFERROR(__xludf.DUMMYFUNCTION("""COMPUTED_VALUE"""),"Local")</f>
        <v>Local</v>
      </c>
      <c r="N582" s="5">
        <f ca="1">IFERROR(__xludf.DUMMYFUNCTION("""COMPUTED_VALUE"""),4)</f>
        <v>4</v>
      </c>
      <c r="O582" s="5"/>
      <c r="P582" s="5" t="str">
        <f ca="1">IFERROR(__xludf.DUMMYFUNCTION("""COMPUTED_VALUE"""),"Arlington")</f>
        <v>Arlington</v>
      </c>
      <c r="Q582" s="5" t="str">
        <f ca="1">IFERROR(__xludf.DUMMYFUNCTION("""COMPUTED_VALUE"""),"VA")</f>
        <v>VA</v>
      </c>
      <c r="R582" s="5" t="str">
        <f ca="1">IFERROR(__xludf.DUMMYFUNCTION("""COMPUTED_VALUE"""),"Elementary")</f>
        <v>Elementary</v>
      </c>
      <c r="S582" s="5" t="str">
        <f ca="1">IFERROR(__xludf.DUMMYFUNCTION("""COMPUTED_VALUE"""),"Parking Lot")</f>
        <v>Parking Lot</v>
      </c>
      <c r="T582" s="5" t="str">
        <f ca="1">IFERROR(__xludf.DUMMYFUNCTION("""COMPUTED_VALUE"""),"Outside on School Property")</f>
        <v>Outside on School Property</v>
      </c>
      <c r="U582" s="5" t="str">
        <f ca="1">IFERROR(__xludf.DUMMYFUNCTION("""COMPUTED_VALUE"""),"No")</f>
        <v>No</v>
      </c>
      <c r="V582" s="5" t="str">
        <f ca="1">IFERROR(__xludf.DUMMYFUNCTION("""COMPUTED_VALUE"""),"Night")</f>
        <v>Night</v>
      </c>
      <c r="W582" s="10">
        <f ca="1">IFERROR(__xludf.DUMMYFUNCTION("""COMPUTED_VALUE"""),0.0951388888888888)</f>
        <v>9.5138888888888801E-2</v>
      </c>
      <c r="X582" s="5">
        <f ca="1">IFERROR(__xludf.DUMMYFUNCTION("""COMPUTED_VALUE"""),1)</f>
        <v>1</v>
      </c>
      <c r="Y582" s="5" t="str">
        <f ca="1">IFERROR(__xludf.DUMMYFUNCTION("""COMPUTED_VALUE"""),"Shots fired in parking lot during fight involving large crowd")</f>
        <v>Shots fired in parking lot during fight involving large crowd</v>
      </c>
      <c r="Z582" s="5" t="str">
        <f ca="1">IFERROR(__xludf.DUMMYFUNCTION("""COMPUTED_VALUE"""),"Shot were fired in the parking lot and field area of the school when a large crowd gathered. Shooter fled the scene. No injuries were reported. Police found shell casings from 2 different weapons.")</f>
        <v>Shot were fired in the parking lot and field area of the school when a large crowd gathered. Shooter fled the scene. No injuries were reported. Police found shell casings from 2 different weapons.</v>
      </c>
      <c r="AA582" s="5" t="str">
        <f ca="1">IFERROR(__xludf.DUMMYFUNCTION("""COMPUTED_VALUE"""),"Escalation of Dispute")</f>
        <v>Escalation of Dispute</v>
      </c>
      <c r="AB582" s="5" t="str">
        <f ca="1">IFERROR(__xludf.DUMMYFUNCTION("""COMPUTED_VALUE"""),"Random Shooting")</f>
        <v>Random Shooting</v>
      </c>
      <c r="AC582" s="5" t="str">
        <f ca="1">IFERROR(__xludf.DUMMYFUNCTION("""COMPUTED_VALUE"""),"Yes")</f>
        <v>Yes</v>
      </c>
      <c r="AD582" s="5" t="str">
        <f ca="1">IFERROR(__xludf.DUMMYFUNCTION("""COMPUTED_VALUE"""),"No")</f>
        <v>No</v>
      </c>
      <c r="AE582" s="5" t="str">
        <f ca="1">IFERROR(__xludf.DUMMYFUNCTION("""COMPUTED_VALUE"""),"No")</f>
        <v>No</v>
      </c>
      <c r="AF582" s="5" t="str">
        <f ca="1">IFERROR(__xludf.DUMMYFUNCTION("""COMPUTED_VALUE"""),"No")</f>
        <v>No</v>
      </c>
      <c r="AG582" s="5" t="str">
        <f ca="1">IFERROR(__xludf.DUMMYFUNCTION("""COMPUTED_VALUE"""),"No")</f>
        <v>No</v>
      </c>
      <c r="AH582" s="5" t="str">
        <f ca="1">IFERROR(__xludf.DUMMYFUNCTION("""COMPUTED_VALUE"""),"No")</f>
        <v>No</v>
      </c>
      <c r="AI582" s="5"/>
      <c r="AJ582" s="5" t="str">
        <f ca="1">IFERROR(__xludf.DUMMYFUNCTION("""COMPUTED_VALUE"""),"No")</f>
        <v>No</v>
      </c>
    </row>
    <row r="583" spans="1:36" ht="13">
      <c r="A583" s="5" t="str">
        <f ca="1">IFERROR(__xludf.DUMMYFUNCTION("""COMPUTED_VALUE"""),"20210601ILLIC")</f>
        <v>20210601ILLIC</v>
      </c>
      <c r="B583" s="5">
        <f ca="1">IFERROR(__xludf.DUMMYFUNCTION("""COMPUTED_VALUE"""),6)</f>
        <v>6</v>
      </c>
      <c r="C583" s="5">
        <f ca="1">IFERROR(__xludf.DUMMYFUNCTION("""COMPUTED_VALUE"""),1)</f>
        <v>1</v>
      </c>
      <c r="D583" s="5">
        <f ca="1">IFERROR(__xludf.DUMMYFUNCTION("""COMPUTED_VALUE"""),2021)</f>
        <v>2021</v>
      </c>
      <c r="E583" s="8">
        <f ca="1">IFERROR(__xludf.DUMMYFUNCTION("""COMPUTED_VALUE"""),44348)</f>
        <v>44348</v>
      </c>
      <c r="F583" s="5" t="str">
        <f ca="1">IFERROR(__xludf.DUMMYFUNCTION("""COMPUTED_VALUE"""),"Lincoln Park High School")</f>
        <v>Lincoln Park High School</v>
      </c>
      <c r="G583" s="5">
        <f ca="1">IFERROR(__xludf.DUMMYFUNCTION("""COMPUTED_VALUE"""),0)</f>
        <v>0</v>
      </c>
      <c r="H583" s="5">
        <f ca="1">IFERROR(__xludf.DUMMYFUNCTION("""COMPUTED_VALUE"""),1)</f>
        <v>1</v>
      </c>
      <c r="I583" s="5">
        <f ca="1">IFERROR(__xludf.DUMMYFUNCTION("""COMPUTED_VALUE"""),1)</f>
        <v>1</v>
      </c>
      <c r="J583" s="5">
        <f ca="1">IFERROR(__xludf.DUMMYFUNCTION("""COMPUTED_VALUE"""),0)</f>
        <v>0</v>
      </c>
      <c r="K583" s="5" t="str">
        <f ca="1">IFERROR(__xludf.DUMMYFUNCTION("""COMPUTED_VALUE"""),"https://chicago.cbslocal.com/2021/06/08/teen-boy-charged-shooting-lincoln-park-high-school/ https://chicago.suntimes.com/crime/2021/6/1/22464264/teen-boy-17-wounded-in-lincoln-park-shooting-gun-violence https://chicago.cbslocal.com/2021/06/01/lincoln-park"&amp;"-parking-lot-shooting/")</f>
        <v>https://chicago.cbslocal.com/2021/06/08/teen-boy-charged-shooting-lincoln-park-high-school/ https://chicago.suntimes.com/crime/2021/6/1/22464264/teen-boy-17-wounded-in-lincoln-park-shooting-gun-violence https://chicago.cbslocal.com/2021/06/01/lincoln-park-parking-lot-shooting/</v>
      </c>
      <c r="L583" s="5">
        <f ca="1">IFERROR(__xludf.DUMMYFUNCTION("""COMPUTED_VALUE"""),3)</f>
        <v>3</v>
      </c>
      <c r="M583" s="5" t="str">
        <f ca="1">IFERROR(__xludf.DUMMYFUNCTION("""COMPUTED_VALUE"""),"Local")</f>
        <v>Local</v>
      </c>
      <c r="N583" s="5">
        <f ca="1">IFERROR(__xludf.DUMMYFUNCTION("""COMPUTED_VALUE"""),3)</f>
        <v>3</v>
      </c>
      <c r="O583" s="5" t="str">
        <f ca="1">IFERROR(__xludf.DUMMYFUNCTION("""COMPUTED_VALUE"""),"Summer")</f>
        <v>Summer</v>
      </c>
      <c r="P583" s="5" t="str">
        <f ca="1">IFERROR(__xludf.DUMMYFUNCTION("""COMPUTED_VALUE"""),"Chicago")</f>
        <v>Chicago</v>
      </c>
      <c r="Q583" s="5" t="str">
        <f ca="1">IFERROR(__xludf.DUMMYFUNCTION("""COMPUTED_VALUE"""),"IL")</f>
        <v>IL</v>
      </c>
      <c r="R583" s="5" t="str">
        <f ca="1">IFERROR(__xludf.DUMMYFUNCTION("""COMPUTED_VALUE"""),"High")</f>
        <v>High</v>
      </c>
      <c r="S583" s="5" t="str">
        <f ca="1">IFERROR(__xludf.DUMMYFUNCTION("""COMPUTED_VALUE"""),"Parking Lot")</f>
        <v>Parking Lot</v>
      </c>
      <c r="T583" s="5" t="str">
        <f ca="1">IFERROR(__xludf.DUMMYFUNCTION("""COMPUTED_VALUE"""),"Outside on School Property")</f>
        <v>Outside on School Property</v>
      </c>
      <c r="U583" s="5" t="str">
        <f ca="1">IFERROR(__xludf.DUMMYFUNCTION("""COMPUTED_VALUE"""),"No")</f>
        <v>No</v>
      </c>
      <c r="V583" s="5" t="str">
        <f ca="1">IFERROR(__xludf.DUMMYFUNCTION("""COMPUTED_VALUE"""),"Evening")</f>
        <v>Evening</v>
      </c>
      <c r="W583" s="10">
        <f ca="1">IFERROR(__xludf.DUMMYFUNCTION("""COMPUTED_VALUE"""),0.8125)</f>
        <v>0.8125</v>
      </c>
      <c r="X583" s="5">
        <f ca="1">IFERROR(__xludf.DUMMYFUNCTION("""COMPUTED_VALUE"""),1)</f>
        <v>1</v>
      </c>
      <c r="Y583" s="5" t="str">
        <f ca="1">IFERROR(__xludf.DUMMYFUNCTION("""COMPUTED_VALUE"""),"Teen shot in school parking lot, shooter fled")</f>
        <v>Teen shot in school parking lot, shooter fled</v>
      </c>
      <c r="Z583" s="5" t="str">
        <f ca="1">IFERROR(__xludf.DUMMYFUNCTION("""COMPUTED_VALUE"""),"A 17-year-old teen was grazed by a bullet in the school parking lot. Shooter fled. The school was closed at the time of the shooting. Police arrested a 17-year-old male on 6/8/2021 and charged him as a juvenile with illegal weapon possession and aggravate"&amp;"d discharge of a firearm based on CCTV footage.")</f>
        <v>A 17-year-old teen was grazed by a bullet in the school parking lot. Shooter fled. The school was closed at the time of the shooting. Police arrested a 17-year-old male on 6/8/2021 and charged him as a juvenile with illegal weapon possession and aggravated discharge of a firearm based on CCTV footage.</v>
      </c>
      <c r="AA583" s="5"/>
      <c r="AB583" s="5"/>
      <c r="AC583" s="5" t="str">
        <f ca="1">IFERROR(__xludf.DUMMYFUNCTION("""COMPUTED_VALUE"""),"No")</f>
        <v>No</v>
      </c>
      <c r="AD583" s="5" t="str">
        <f ca="1">IFERROR(__xludf.DUMMYFUNCTION("""COMPUTED_VALUE"""),"No")</f>
        <v>No</v>
      </c>
      <c r="AE583" s="5" t="str">
        <f ca="1">IFERROR(__xludf.DUMMYFUNCTION("""COMPUTED_VALUE"""),"No")</f>
        <v>No</v>
      </c>
      <c r="AF583" s="5" t="str">
        <f ca="1">IFERROR(__xludf.DUMMYFUNCTION("""COMPUTED_VALUE"""),"No")</f>
        <v>No</v>
      </c>
      <c r="AG583" s="5"/>
      <c r="AH583" s="5" t="str">
        <f ca="1">IFERROR(__xludf.DUMMYFUNCTION("""COMPUTED_VALUE"""),"No")</f>
        <v>No</v>
      </c>
      <c r="AI583" s="5"/>
      <c r="AJ583" s="5" t="str">
        <f ca="1">IFERROR(__xludf.DUMMYFUNCTION("""COMPUTED_VALUE"""),"No")</f>
        <v>No</v>
      </c>
    </row>
    <row r="584" spans="1:36" ht="13">
      <c r="A584" s="5" t="str">
        <f ca="1">IFERROR(__xludf.DUMMYFUNCTION("""COMPUTED_VALUE"""),"20210525NJPAP")</f>
        <v>20210525NJPAP</v>
      </c>
      <c r="B584" s="5">
        <f ca="1">IFERROR(__xludf.DUMMYFUNCTION("""COMPUTED_VALUE"""),5)</f>
        <v>5</v>
      </c>
      <c r="C584" s="5">
        <f ca="1">IFERROR(__xludf.DUMMYFUNCTION("""COMPUTED_VALUE"""),25)</f>
        <v>25</v>
      </c>
      <c r="D584" s="5">
        <f ca="1">IFERROR(__xludf.DUMMYFUNCTION("""COMPUTED_VALUE"""),2021)</f>
        <v>2021</v>
      </c>
      <c r="E584" s="8">
        <f ca="1">IFERROR(__xludf.DUMMYFUNCTION("""COMPUTED_VALUE"""),44341)</f>
        <v>44341</v>
      </c>
      <c r="F584" s="5" t="str">
        <f ca="1">IFERROR(__xludf.DUMMYFUNCTION("""COMPUTED_VALUE"""),"Paterson School 6")</f>
        <v>Paterson School 6</v>
      </c>
      <c r="G584" s="5">
        <f ca="1">IFERROR(__xludf.DUMMYFUNCTION("""COMPUTED_VALUE"""),0)</f>
        <v>0</v>
      </c>
      <c r="H584" s="5">
        <f ca="1">IFERROR(__xludf.DUMMYFUNCTION("""COMPUTED_VALUE"""),0)</f>
        <v>0</v>
      </c>
      <c r="I584" s="5">
        <f ca="1">IFERROR(__xludf.DUMMYFUNCTION("""COMPUTED_VALUE"""),0)</f>
        <v>0</v>
      </c>
      <c r="J584" s="5">
        <f ca="1">IFERROR(__xludf.DUMMYFUNCTION("""COMPUTED_VALUE"""),0)</f>
        <v>0</v>
      </c>
      <c r="K584" s="5" t="str">
        <f ca="1">IFERROR(__xludf.DUMMYFUNCTION("""COMPUTED_VALUE"""),"https://www.tapinto.net/sections/police-and-fire/articles/paterson-police-foot-patrol-seize-high-powered-weapon-from-15-year-old-near-school https://pix11.com/news/local-news/new-jersey/high-powered-war-zone-weapon-confiscated-from-15-year-old-near-paters"&amp;"on-school/")</f>
        <v>https://www.tapinto.net/sections/police-and-fire/articles/paterson-police-foot-patrol-seize-high-powered-weapon-from-15-year-old-near-school https://pix11.com/news/local-news/new-jersey/high-powered-war-zone-weapon-confiscated-from-15-year-old-near-paterson-school/</v>
      </c>
      <c r="L584" s="5">
        <f ca="1">IFERROR(__xludf.DUMMYFUNCTION("""COMPUTED_VALUE"""),2)</f>
        <v>2</v>
      </c>
      <c r="M584" s="5" t="str">
        <f ca="1">IFERROR(__xludf.DUMMYFUNCTION("""COMPUTED_VALUE"""),"Local")</f>
        <v>Local</v>
      </c>
      <c r="N584" s="5">
        <f ca="1">IFERROR(__xludf.DUMMYFUNCTION("""COMPUTED_VALUE"""),2)</f>
        <v>2</v>
      </c>
      <c r="O584" s="5" t="str">
        <f ca="1">IFERROR(__xludf.DUMMYFUNCTION("""COMPUTED_VALUE"""),"Spring")</f>
        <v>Spring</v>
      </c>
      <c r="P584" s="5" t="str">
        <f ca="1">IFERROR(__xludf.DUMMYFUNCTION("""COMPUTED_VALUE"""),"Paterson")</f>
        <v>Paterson</v>
      </c>
      <c r="Q584" s="5" t="str">
        <f ca="1">IFERROR(__xludf.DUMMYFUNCTION("""COMPUTED_VALUE"""),"NJ")</f>
        <v>NJ</v>
      </c>
      <c r="R584" s="5" t="str">
        <f ca="1">IFERROR(__xludf.DUMMYFUNCTION("""COMPUTED_VALUE"""),"Elementary")</f>
        <v>Elementary</v>
      </c>
      <c r="S584" s="5" t="str">
        <f ca="1">IFERROR(__xludf.DUMMYFUNCTION("""COMPUTED_VALUE"""),"Front of School")</f>
        <v>Front of School</v>
      </c>
      <c r="T584" s="5" t="str">
        <f ca="1">IFERROR(__xludf.DUMMYFUNCTION("""COMPUTED_VALUE"""),"Off School Property")</f>
        <v>Off School Property</v>
      </c>
      <c r="U584" s="5" t="str">
        <f ca="1">IFERROR(__xludf.DUMMYFUNCTION("""COMPUTED_VALUE"""),"Yes")</f>
        <v>Yes</v>
      </c>
      <c r="V584" s="5" t="str">
        <f ca="1">IFERROR(__xludf.DUMMYFUNCTION("""COMPUTED_VALUE"""),"Afternoon Classes")</f>
        <v>Afternoon Classes</v>
      </c>
      <c r="W584" s="5"/>
      <c r="X584" s="5">
        <f ca="1">IFERROR(__xludf.DUMMYFUNCTION("""COMPUTED_VALUE"""),1)</f>
        <v>1</v>
      </c>
      <c r="Y584" s="5" t="str">
        <f ca="1">IFERROR(__xludf.DUMMYFUNCTION("""COMPUTED_VALUE"""),"Police responded for shots fired and detained teen with high-powered firearm")</f>
        <v>Police responded for shots fired and detained teen with high-powered firearm</v>
      </c>
      <c r="Z584" s="5" t="str">
        <f ca="1">IFERROR(__xludf.DUMMYFUNCTION("""COMPUTED_VALUE"""),"Police working a foot patrol near the elementary school responded for gunshots fired. They detained a 15-year-old male with a high-powered firearm equipped with a pistol grip, scope, and extended magazine. No students or staff were involved or injured.")</f>
        <v>Police working a foot patrol near the elementary school responded for gunshots fired. They detained a 15-year-old male with a high-powered firearm equipped with a pistol grip, scope, and extended magazine. No students or staff were involved or injured.</v>
      </c>
      <c r="AA584" s="5"/>
      <c r="AB584" s="5" t="str">
        <f ca="1">IFERROR(__xludf.DUMMYFUNCTION("""COMPUTED_VALUE"""),"Random Shooting")</f>
        <v>Random Shooting</v>
      </c>
      <c r="AC584" s="5" t="str">
        <f ca="1">IFERROR(__xludf.DUMMYFUNCTION("""COMPUTED_VALUE"""),"No")</f>
        <v>No</v>
      </c>
      <c r="AD584" s="5" t="str">
        <f ca="1">IFERROR(__xludf.DUMMYFUNCTION("""COMPUTED_VALUE"""),"No")</f>
        <v>No</v>
      </c>
      <c r="AE584" s="5" t="str">
        <f ca="1">IFERROR(__xludf.DUMMYFUNCTION("""COMPUTED_VALUE"""),"No")</f>
        <v>No</v>
      </c>
      <c r="AF584" s="5" t="str">
        <f ca="1">IFERROR(__xludf.DUMMYFUNCTION("""COMPUTED_VALUE"""),"No")</f>
        <v>No</v>
      </c>
      <c r="AG584" s="5" t="str">
        <f ca="1">IFERROR(__xludf.DUMMYFUNCTION("""COMPUTED_VALUE"""),"No")</f>
        <v>No</v>
      </c>
      <c r="AH584" s="5" t="str">
        <f ca="1">IFERROR(__xludf.DUMMYFUNCTION("""COMPUTED_VALUE"""),"No")</f>
        <v>No</v>
      </c>
      <c r="AI584" s="5"/>
      <c r="AJ584" s="5" t="str">
        <f ca="1">IFERROR(__xludf.DUMMYFUNCTION("""COMPUTED_VALUE"""),"No")</f>
        <v>No</v>
      </c>
    </row>
    <row r="585" spans="1:36" ht="13">
      <c r="A585" s="5" t="str">
        <f ca="1">IFERROR(__xludf.DUMMYFUNCTION("""COMPUTED_VALUE"""),"20210517TXBRE")</f>
        <v>20210517TXBRE</v>
      </c>
      <c r="B585" s="5">
        <f ca="1">IFERROR(__xludf.DUMMYFUNCTION("""COMPUTED_VALUE"""),5)</f>
        <v>5</v>
      </c>
      <c r="C585" s="5">
        <f ca="1">IFERROR(__xludf.DUMMYFUNCTION("""COMPUTED_VALUE"""),17)</f>
        <v>17</v>
      </c>
      <c r="D585" s="5">
        <f ca="1">IFERROR(__xludf.DUMMYFUNCTION("""COMPUTED_VALUE"""),2021)</f>
        <v>2021</v>
      </c>
      <c r="E585" s="8">
        <f ca="1">IFERROR(__xludf.DUMMYFUNCTION("""COMPUTED_VALUE"""),44333)</f>
        <v>44333</v>
      </c>
      <c r="F585" s="5" t="str">
        <f ca="1">IFERROR(__xludf.DUMMYFUNCTION("""COMPUTED_VALUE"""),"Brown Middle School")</f>
        <v>Brown Middle School</v>
      </c>
      <c r="G585" s="5">
        <f ca="1">IFERROR(__xludf.DUMMYFUNCTION("""COMPUTED_VALUE"""),0)</f>
        <v>0</v>
      </c>
      <c r="H585" s="5">
        <f ca="1">IFERROR(__xludf.DUMMYFUNCTION("""COMPUTED_VALUE"""),0)</f>
        <v>0</v>
      </c>
      <c r="I585" s="5">
        <f ca="1">IFERROR(__xludf.DUMMYFUNCTION("""COMPUTED_VALUE"""),0)</f>
        <v>0</v>
      </c>
      <c r="J585" s="5">
        <f ca="1">IFERROR(__xludf.DUMMYFUNCTION("""COMPUTED_VALUE"""),0)</f>
        <v>0</v>
      </c>
      <c r="K585" s="5" t="str">
        <f ca="1">IFERROR(__xludf.DUMMYFUNCTION("""COMPUTED_VALUE"""),"https://www.elpasotimes.com/story/news/local/el-paso/2021/07/17/parents-plan-sue-episd-after-girl-shot-bb-gun-school/7982507002/ https://www.ktsm.com/news/local-news/parents-file-lawsuit-against-episd-after-middle-school-girl-shot-multiple-times-with-bb-g"&amp;"un-on-campus/")</f>
        <v>https://www.elpasotimes.com/story/news/local/el-paso/2021/07/17/parents-plan-sue-episd-after-girl-shot-bb-gun-school/7982507002/ https://www.ktsm.com/news/local-news/parents-file-lawsuit-against-episd-after-middle-school-girl-shot-multiple-times-with-bb-gun-on-campus/</v>
      </c>
      <c r="L585" s="5">
        <f ca="1">IFERROR(__xludf.DUMMYFUNCTION("""COMPUTED_VALUE"""),2)</f>
        <v>2</v>
      </c>
      <c r="M585" s="5" t="str">
        <f ca="1">IFERROR(__xludf.DUMMYFUNCTION("""COMPUTED_VALUE"""),"Local")</f>
        <v>Local</v>
      </c>
      <c r="N585" s="5">
        <f ca="1">IFERROR(__xludf.DUMMYFUNCTION("""COMPUTED_VALUE"""),3)</f>
        <v>3</v>
      </c>
      <c r="O585" s="5" t="str">
        <f ca="1">IFERROR(__xludf.DUMMYFUNCTION("""COMPUTED_VALUE"""),"Spring")</f>
        <v>Spring</v>
      </c>
      <c r="P585" s="5" t="str">
        <f ca="1">IFERROR(__xludf.DUMMYFUNCTION("""COMPUTED_VALUE"""),"El Paso")</f>
        <v>El Paso</v>
      </c>
      <c r="Q585" s="5" t="str">
        <f ca="1">IFERROR(__xludf.DUMMYFUNCTION("""COMPUTED_VALUE"""),"TX")</f>
        <v>TX</v>
      </c>
      <c r="R585" s="5" t="str">
        <f ca="1">IFERROR(__xludf.DUMMYFUNCTION("""COMPUTED_VALUE"""),"Middle")</f>
        <v>Middle</v>
      </c>
      <c r="S585" s="5" t="str">
        <f ca="1">IFERROR(__xludf.DUMMYFUNCTION("""COMPUTED_VALUE"""),"Classroom")</f>
        <v>Classroom</v>
      </c>
      <c r="T585" s="5" t="str">
        <f ca="1">IFERROR(__xludf.DUMMYFUNCTION("""COMPUTED_VALUE"""),"Inside School Building")</f>
        <v>Inside School Building</v>
      </c>
      <c r="U585" s="5" t="str">
        <f ca="1">IFERROR(__xludf.DUMMYFUNCTION("""COMPUTED_VALUE"""),"Yes")</f>
        <v>Yes</v>
      </c>
      <c r="V585" s="5" t="str">
        <f ca="1">IFERROR(__xludf.DUMMYFUNCTION("""COMPUTED_VALUE"""),"Afternoon Classes")</f>
        <v>Afternoon Classes</v>
      </c>
      <c r="W585" s="5"/>
      <c r="X585" s="5">
        <f ca="1">IFERROR(__xludf.DUMMYFUNCTION("""COMPUTED_VALUE"""),30)</f>
        <v>30</v>
      </c>
      <c r="Y585" s="5" t="str">
        <f ca="1">IFERROR(__xludf.DUMMYFUNCTION("""COMPUTED_VALUE"""),"Student pointed BB gun at a female student in the classroom and then fired at students in the hallway")</f>
        <v>Student pointed BB gun at a female student in the classroom and then fired at students in the hallway</v>
      </c>
      <c r="Z585" s="5" t="str">
        <f ca="1">IFERROR(__xludf.DUMMYFUNCTION("""COMPUTED_VALUE"""),"A student pointed a black BB gun at a student inside a classroom. The teacher told him to put the gun away. 30 minutes later in the hallway, the shooter fired 7-8 shots at other students injuring 2 students.")</f>
        <v>A student pointed a black BB gun at a student inside a classroom. The teacher told him to put the gun away. 30 minutes later in the hallway, the shooter fired 7-8 shots at other students injuring 2 students.</v>
      </c>
      <c r="AA585" s="5" t="str">
        <f ca="1">IFERROR(__xludf.DUMMYFUNCTION("""COMPUTED_VALUE"""),"Indiscriminate Shooting")</f>
        <v>Indiscriminate Shooting</v>
      </c>
      <c r="AB585" s="5" t="str">
        <f ca="1">IFERROR(__xludf.DUMMYFUNCTION("""COMPUTED_VALUE"""),"Both")</f>
        <v>Both</v>
      </c>
      <c r="AC585" s="5" t="str">
        <f ca="1">IFERROR(__xludf.DUMMYFUNCTION("""COMPUTED_VALUE"""),"No")</f>
        <v>No</v>
      </c>
      <c r="AD585" s="5" t="str">
        <f ca="1">IFERROR(__xludf.DUMMYFUNCTION("""COMPUTED_VALUE"""),"No")</f>
        <v>No</v>
      </c>
      <c r="AE585" s="5" t="str">
        <f ca="1">IFERROR(__xludf.DUMMYFUNCTION("""COMPUTED_VALUE"""),"No")</f>
        <v>No</v>
      </c>
      <c r="AF585" s="5" t="str">
        <f ca="1">IFERROR(__xludf.DUMMYFUNCTION("""COMPUTED_VALUE"""),"No")</f>
        <v>No</v>
      </c>
      <c r="AG585" s="5"/>
      <c r="AH585" s="5" t="str">
        <f ca="1">IFERROR(__xludf.DUMMYFUNCTION("""COMPUTED_VALUE"""),"No")</f>
        <v>No</v>
      </c>
      <c r="AI585" s="5" t="str">
        <f ca="1">IFERROR(__xludf.DUMMYFUNCTION("""COMPUTED_VALUE"""),"No")</f>
        <v>No</v>
      </c>
      <c r="AJ585" s="5" t="str">
        <f ca="1">IFERROR(__xludf.DUMMYFUNCTION("""COMPUTED_VALUE"""),"No")</f>
        <v>No</v>
      </c>
    </row>
    <row r="586" spans="1:36" ht="13">
      <c r="A586" s="5" t="str">
        <f ca="1">IFERROR(__xludf.DUMMYFUNCTION("""COMPUTED_VALUE"""),"20210517TNAUM")</f>
        <v>20210517TNAUM</v>
      </c>
      <c r="B586" s="5">
        <f ca="1">IFERROR(__xludf.DUMMYFUNCTION("""COMPUTED_VALUE"""),5)</f>
        <v>5</v>
      </c>
      <c r="C586" s="5">
        <f ca="1">IFERROR(__xludf.DUMMYFUNCTION("""COMPUTED_VALUE"""),17)</f>
        <v>17</v>
      </c>
      <c r="D586" s="5">
        <f ca="1">IFERROR(__xludf.DUMMYFUNCTION("""COMPUTED_VALUE"""),2021)</f>
        <v>2021</v>
      </c>
      <c r="E586" s="8">
        <f ca="1">IFERROR(__xludf.DUMMYFUNCTION("""COMPUTED_VALUE"""),44333)</f>
        <v>44333</v>
      </c>
      <c r="F586" s="5" t="str">
        <f ca="1">IFERROR(__xludf.DUMMYFUNCTION("""COMPUTED_VALUE"""),"Aurora Collegiate Academy")</f>
        <v>Aurora Collegiate Academy</v>
      </c>
      <c r="G586" s="5">
        <f ca="1">IFERROR(__xludf.DUMMYFUNCTION("""COMPUTED_VALUE"""),0)</f>
        <v>0</v>
      </c>
      <c r="H586" s="5">
        <f ca="1">IFERROR(__xludf.DUMMYFUNCTION("""COMPUTED_VALUE"""),1)</f>
        <v>1</v>
      </c>
      <c r="I586" s="5">
        <f ca="1">IFERROR(__xludf.DUMMYFUNCTION("""COMPUTED_VALUE"""),1)</f>
        <v>1</v>
      </c>
      <c r="J586" s="5">
        <f ca="1">IFERROR(__xludf.DUMMYFUNCTION("""COMPUTED_VALUE"""),0)</f>
        <v>0</v>
      </c>
      <c r="K586" s="5" t="str">
        <f ca="1">IFERROR(__xludf.DUMMYFUNCTION("""COMPUTED_VALUE"""),"https://www.localmemphis.com/article/news/crime/man-crashes-into-school-on-summer-ave-after-being-shot/522-fc5dc3b7-6b9c-4c40-8ad8-52874d9f331d https://wreg.com/news/police-man-crashes-into-summer-avenue-building-after-shooting/ https://www.fox13memphis.c"&amp;"om/news/local/mpd-man-crashes-into-building-after-being-shot-one-being-questioned/MQGVFMG37RD3JFJWEONK2LLNQU/")</f>
        <v>https://www.localmemphis.com/article/news/crime/man-crashes-into-school-on-summer-ave-after-being-shot/522-fc5dc3b7-6b9c-4c40-8ad8-52874d9f331d https://wreg.com/news/police-man-crashes-into-summer-avenue-building-after-shooting/ https://www.fox13memphis.com/news/local/mpd-man-crashes-into-building-after-being-shot-one-being-questioned/MQGVFMG37RD3JFJWEONK2LLNQU/</v>
      </c>
      <c r="L586" s="5">
        <f ca="1">IFERROR(__xludf.DUMMYFUNCTION("""COMPUTED_VALUE"""),3)</f>
        <v>3</v>
      </c>
      <c r="M586" s="5" t="str">
        <f ca="1">IFERROR(__xludf.DUMMYFUNCTION("""COMPUTED_VALUE"""),"Local")</f>
        <v>Local</v>
      </c>
      <c r="N586" s="5">
        <f ca="1">IFERROR(__xludf.DUMMYFUNCTION("""COMPUTED_VALUE"""),4)</f>
        <v>4</v>
      </c>
      <c r="O586" s="5" t="str">
        <f ca="1">IFERROR(__xludf.DUMMYFUNCTION("""COMPUTED_VALUE"""),"Spring")</f>
        <v>Spring</v>
      </c>
      <c r="P586" s="5" t="str">
        <f ca="1">IFERROR(__xludf.DUMMYFUNCTION("""COMPUTED_VALUE"""),"Memphis")</f>
        <v>Memphis</v>
      </c>
      <c r="Q586" s="5" t="str">
        <f ca="1">IFERROR(__xludf.DUMMYFUNCTION("""COMPUTED_VALUE"""),"TN")</f>
        <v>TN</v>
      </c>
      <c r="R586" s="5" t="str">
        <f ca="1">IFERROR(__xludf.DUMMYFUNCTION("""COMPUTED_VALUE"""),"Elementary")</f>
        <v>Elementary</v>
      </c>
      <c r="S586" s="5" t="str">
        <f ca="1">IFERROR(__xludf.DUMMYFUNCTION("""COMPUTED_VALUE"""),"Front of School")</f>
        <v>Front of School</v>
      </c>
      <c r="T586" s="5" t="str">
        <f ca="1">IFERROR(__xludf.DUMMYFUNCTION("""COMPUTED_VALUE"""),"Off School Property")</f>
        <v>Off School Property</v>
      </c>
      <c r="U586" s="5" t="str">
        <f ca="1">IFERROR(__xludf.DUMMYFUNCTION("""COMPUTED_VALUE"""),"Yes")</f>
        <v>Yes</v>
      </c>
      <c r="V586" s="5" t="str">
        <f ca="1">IFERROR(__xludf.DUMMYFUNCTION("""COMPUTED_VALUE"""),"Morning Classes")</f>
        <v>Morning Classes</v>
      </c>
      <c r="W586" s="10">
        <f ca="1">IFERROR(__xludf.DUMMYFUNCTION("""COMPUTED_VALUE"""),0.322916666666666)</f>
        <v>0.32291666666666602</v>
      </c>
      <c r="X586" s="5">
        <f ca="1">IFERROR(__xludf.DUMMYFUNCTION("""COMPUTED_VALUE"""),1)</f>
        <v>1</v>
      </c>
      <c r="Y586" s="5" t="str">
        <f ca="1">IFERROR(__xludf.DUMMYFUNCTION("""COMPUTED_VALUE"""),"Man in vehicle shot and crashed vehicle into the front of the school")</f>
        <v>Man in vehicle shot and crashed vehicle into the front of the school</v>
      </c>
      <c r="Z586" s="5" t="str">
        <f ca="1">IFERROR(__xludf.DUMMYFUNCTION("""COMPUTED_VALUE"""),"A 51-year-old male was eating breakfast at a diner across the street from the school. He saw another man attempting to break into his vehicle. He confronted the man and then fired shots when the victim (attempted thief) fled the scene in a van. The victim"&amp;" was stuck and crashed into the front of the school building near the front door. No students or staff were injured. The school was locked down and dismissed.")</f>
        <v>A 51-year-old male was eating breakfast at a diner across the street from the school. He saw another man attempting to break into his vehicle. He confronted the man and then fired shots when the victim (attempted thief) fled the scene in a van. The victim was stuck and crashed into the front of the school building near the front door. No students or staff were injured. The school was locked down and dismissed.</v>
      </c>
      <c r="AA586" s="5" t="str">
        <f ca="1">IFERROR(__xludf.DUMMYFUNCTION("""COMPUTED_VALUE"""),"Illegal Activity")</f>
        <v>Illegal Activity</v>
      </c>
      <c r="AB586" s="5" t="str">
        <f ca="1">IFERROR(__xludf.DUMMYFUNCTION("""COMPUTED_VALUE"""),"Victims Targeted")</f>
        <v>Victims Targeted</v>
      </c>
      <c r="AC586" s="5" t="str">
        <f ca="1">IFERROR(__xludf.DUMMYFUNCTION("""COMPUTED_VALUE"""),"No")</f>
        <v>No</v>
      </c>
      <c r="AD586" s="5" t="str">
        <f ca="1">IFERROR(__xludf.DUMMYFUNCTION("""COMPUTED_VALUE"""),"No")</f>
        <v>No</v>
      </c>
      <c r="AE586" s="5" t="str">
        <f ca="1">IFERROR(__xludf.DUMMYFUNCTION("""COMPUTED_VALUE"""),"No")</f>
        <v>No</v>
      </c>
      <c r="AF586" s="5" t="str">
        <f ca="1">IFERROR(__xludf.DUMMYFUNCTION("""COMPUTED_VALUE"""),"No")</f>
        <v>No</v>
      </c>
      <c r="AG586" s="5" t="str">
        <f ca="1">IFERROR(__xludf.DUMMYFUNCTION("""COMPUTED_VALUE"""),"No")</f>
        <v>No</v>
      </c>
      <c r="AH586" s="5" t="str">
        <f ca="1">IFERROR(__xludf.DUMMYFUNCTION("""COMPUTED_VALUE"""),"No")</f>
        <v>No</v>
      </c>
      <c r="AI586" s="5" t="str">
        <f ca="1">IFERROR(__xludf.DUMMYFUNCTION("""COMPUTED_VALUE"""),"No")</f>
        <v>No</v>
      </c>
      <c r="AJ586" s="5" t="str">
        <f ca="1">IFERROR(__xludf.DUMMYFUNCTION("""COMPUTED_VALUE"""),"No")</f>
        <v>No</v>
      </c>
    </row>
    <row r="587" spans="1:36" ht="13">
      <c r="A587" s="5" t="str">
        <f ca="1">IFERROR(__xludf.DUMMYFUNCTION("""COMPUTED_VALUE"""),"20210517MDLOC")</f>
        <v>20210517MDLOC</v>
      </c>
      <c r="B587" s="5">
        <f ca="1">IFERROR(__xludf.DUMMYFUNCTION("""COMPUTED_VALUE"""),5)</f>
        <v>5</v>
      </c>
      <c r="C587" s="5">
        <f ca="1">IFERROR(__xludf.DUMMYFUNCTION("""COMPUTED_VALUE"""),17)</f>
        <v>17</v>
      </c>
      <c r="D587" s="5">
        <f ca="1">IFERROR(__xludf.DUMMYFUNCTION("""COMPUTED_VALUE"""),2021)</f>
        <v>2021</v>
      </c>
      <c r="E587" s="8">
        <f ca="1">IFERROR(__xludf.DUMMYFUNCTION("""COMPUTED_VALUE"""),44333)</f>
        <v>44333</v>
      </c>
      <c r="F587" s="5" t="str">
        <f ca="1">IFERROR(__xludf.DUMMYFUNCTION("""COMPUTED_VALUE"""),"Long Reach High School")</f>
        <v>Long Reach High School</v>
      </c>
      <c r="G587" s="5">
        <f ca="1">IFERROR(__xludf.DUMMYFUNCTION("""COMPUTED_VALUE"""),0)</f>
        <v>0</v>
      </c>
      <c r="H587" s="5">
        <f ca="1">IFERROR(__xludf.DUMMYFUNCTION("""COMPUTED_VALUE"""),0)</f>
        <v>0</v>
      </c>
      <c r="I587" s="5">
        <f ca="1">IFERROR(__xludf.DUMMYFUNCTION("""COMPUTED_VALUE"""),0)</f>
        <v>0</v>
      </c>
      <c r="J587" s="5">
        <f ca="1">IFERROR(__xludf.DUMMYFUNCTION("""COMPUTED_VALUE"""),0)</f>
        <v>0</v>
      </c>
      <c r="K587" s="5" t="str">
        <f ca="1">IFERROR(__xludf.DUMMYFUNCTION("""COMPUTED_VALUE"""),"https://www.howardcountymd.gov/LinkClick.aspx?fileticket=Qo_2iA1NhhM%3D&amp;tabid=1925&amp;portalid=0 https://baltimore.cbslocal.com/2021/05/17/2-arrested-with-loaded-gun-in-long-reach-high-schools-parking-lot/")</f>
        <v>https://www.howardcountymd.gov/LinkClick.aspx?fileticket=Qo_2iA1NhhM%3D&amp;tabid=1925&amp;portalid=0 https://baltimore.cbslocal.com/2021/05/17/2-arrested-with-loaded-gun-in-long-reach-high-schools-parking-lot/</v>
      </c>
      <c r="L587" s="5">
        <f ca="1">IFERROR(__xludf.DUMMYFUNCTION("""COMPUTED_VALUE"""),2)</f>
        <v>2</v>
      </c>
      <c r="M587" s="5" t="str">
        <f ca="1">IFERROR(__xludf.DUMMYFUNCTION("""COMPUTED_VALUE"""),"Local")</f>
        <v>Local</v>
      </c>
      <c r="N587" s="5">
        <f ca="1">IFERROR(__xludf.DUMMYFUNCTION("""COMPUTED_VALUE"""),4)</f>
        <v>4</v>
      </c>
      <c r="O587" s="5" t="str">
        <f ca="1">IFERROR(__xludf.DUMMYFUNCTION("""COMPUTED_VALUE"""),"Spring")</f>
        <v>Spring</v>
      </c>
      <c r="P587" s="5" t="str">
        <f ca="1">IFERROR(__xludf.DUMMYFUNCTION("""COMPUTED_VALUE"""),"Columbia")</f>
        <v>Columbia</v>
      </c>
      <c r="Q587" s="5" t="str">
        <f ca="1">IFERROR(__xludf.DUMMYFUNCTION("""COMPUTED_VALUE"""),"MD")</f>
        <v>MD</v>
      </c>
      <c r="R587" s="5" t="str">
        <f ca="1">IFERROR(__xludf.DUMMYFUNCTION("""COMPUTED_VALUE"""),"High")</f>
        <v>High</v>
      </c>
      <c r="S587" s="5" t="str">
        <f ca="1">IFERROR(__xludf.DUMMYFUNCTION("""COMPUTED_VALUE"""),"Parking Lot")</f>
        <v>Parking Lot</v>
      </c>
      <c r="T587" s="5" t="str">
        <f ca="1">IFERROR(__xludf.DUMMYFUNCTION("""COMPUTED_VALUE"""),"Outside on School Property")</f>
        <v>Outside on School Property</v>
      </c>
      <c r="U587" s="5" t="str">
        <f ca="1">IFERROR(__xludf.DUMMYFUNCTION("""COMPUTED_VALUE"""),"Yes")</f>
        <v>Yes</v>
      </c>
      <c r="V587" s="5" t="str">
        <f ca="1">IFERROR(__xludf.DUMMYFUNCTION("""COMPUTED_VALUE"""),"Morning Classes")</f>
        <v>Morning Classes</v>
      </c>
      <c r="W587" s="10">
        <f ca="1">IFERROR(__xludf.DUMMYFUNCTION("""COMPUTED_VALUE"""),0.392361111111111)</f>
        <v>0.39236111111111099</v>
      </c>
      <c r="X587" s="5">
        <f ca="1">IFERROR(__xludf.DUMMYFUNCTION("""COMPUTED_VALUE"""),1)</f>
        <v>1</v>
      </c>
      <c r="Y587" s="5" t="str">
        <f ca="1">IFERROR(__xludf.DUMMYFUNCTION("""COMPUTED_VALUE"""),"Domestic dispute in dropoff lane, both arrested with handguns")</f>
        <v>Domestic dispute in dropoff lane, both arrested with handguns</v>
      </c>
      <c r="Z587" s="5" t="str">
        <f ca="1">IFERROR(__xludf.DUMMYFUNCTION("""COMPUTED_VALUE"""),"Police were notified of a domestic dispute with an armed person in the dropoff lane of the school. A police officer already at the school (not a SRO) responded and detained a 18-year-old male and a 20-year-old female. Both of had handguns are were arreste"&amp;"d for possession of guns on school property. One of the suspects was dropping off a student at the time of the incident. No shots were fired and no students or staff were injured. One of the handguns recovered was an unregistered ""ghost gun"".")</f>
        <v>Police were notified of a domestic dispute with an armed person in the dropoff lane of the school. A police officer already at the school (not a SRO) responded and detained a 18-year-old male and a 20-year-old female. Both of had handguns are were arrested for possession of guns on school property. One of the suspects was dropping off a student at the time of the incident. No shots were fired and no students or staff were injured. One of the handguns recovered was an unregistered "ghost gun".</v>
      </c>
      <c r="AA587" s="5" t="str">
        <f ca="1">IFERROR(__xludf.DUMMYFUNCTION("""COMPUTED_VALUE"""),"Domestic w/ Targeted Victim")</f>
        <v>Domestic w/ Targeted Victim</v>
      </c>
      <c r="AB587" s="5" t="str">
        <f ca="1">IFERROR(__xludf.DUMMYFUNCTION("""COMPUTED_VALUE"""),"Victims Targeted")</f>
        <v>Victims Targeted</v>
      </c>
      <c r="AC587" s="5" t="str">
        <f ca="1">IFERROR(__xludf.DUMMYFUNCTION("""COMPUTED_VALUE"""),"No")</f>
        <v>No</v>
      </c>
      <c r="AD587" s="5" t="str">
        <f ca="1">IFERROR(__xludf.DUMMYFUNCTION("""COMPUTED_VALUE"""),"No")</f>
        <v>No</v>
      </c>
      <c r="AE587" s="5" t="str">
        <f ca="1">IFERROR(__xludf.DUMMYFUNCTION("""COMPUTED_VALUE"""),"No")</f>
        <v>No</v>
      </c>
      <c r="AF587" s="5" t="str">
        <f ca="1">IFERROR(__xludf.DUMMYFUNCTION("""COMPUTED_VALUE"""),"No")</f>
        <v>No</v>
      </c>
      <c r="AG587" s="5" t="str">
        <f ca="1">IFERROR(__xludf.DUMMYFUNCTION("""COMPUTED_VALUE"""),"No")</f>
        <v>No</v>
      </c>
      <c r="AH587" s="5" t="str">
        <f ca="1">IFERROR(__xludf.DUMMYFUNCTION("""COMPUTED_VALUE"""),"Yes")</f>
        <v>Yes</v>
      </c>
      <c r="AI587" s="5" t="str">
        <f ca="1">IFERROR(__xludf.DUMMYFUNCTION("""COMPUTED_VALUE"""),"No")</f>
        <v>No</v>
      </c>
      <c r="AJ587" s="5" t="str">
        <f ca="1">IFERROR(__xludf.DUMMYFUNCTION("""COMPUTED_VALUE"""),"No")</f>
        <v>No</v>
      </c>
    </row>
    <row r="588" spans="1:36" ht="13">
      <c r="A588" s="5" t="str">
        <f ca="1">IFERROR(__xludf.DUMMYFUNCTION("""COMPUTED_VALUE"""),"20210514CASAS")</f>
        <v>20210514CASAS</v>
      </c>
      <c r="B588" s="5">
        <f ca="1">IFERROR(__xludf.DUMMYFUNCTION("""COMPUTED_VALUE"""),5)</f>
        <v>5</v>
      </c>
      <c r="C588" s="5">
        <f ca="1">IFERROR(__xludf.DUMMYFUNCTION("""COMPUTED_VALUE"""),14)</f>
        <v>14</v>
      </c>
      <c r="D588" s="5">
        <f ca="1">IFERROR(__xludf.DUMMYFUNCTION("""COMPUTED_VALUE"""),2021)</f>
        <v>2021</v>
      </c>
      <c r="E588" s="8">
        <f ca="1">IFERROR(__xludf.DUMMYFUNCTION("""COMPUTED_VALUE"""),44330)</f>
        <v>44330</v>
      </c>
      <c r="F588" s="5" t="str">
        <f ca="1">IFERROR(__xludf.DUMMYFUNCTION("""COMPUTED_VALUE"""),"San Mateo High School")</f>
        <v>San Mateo High School</v>
      </c>
      <c r="G588" s="5">
        <f ca="1">IFERROR(__xludf.DUMMYFUNCTION("""COMPUTED_VALUE"""),1)</f>
        <v>1</v>
      </c>
      <c r="H588" s="5">
        <f ca="1">IFERROR(__xludf.DUMMYFUNCTION("""COMPUTED_VALUE"""),0)</f>
        <v>0</v>
      </c>
      <c r="I588" s="5">
        <f ca="1">IFERROR(__xludf.DUMMYFUNCTION("""COMPUTED_VALUE"""),1)</f>
        <v>1</v>
      </c>
      <c r="J588" s="5">
        <f ca="1">IFERROR(__xludf.DUMMYFUNCTION("""COMPUTED_VALUE"""),0)</f>
        <v>0</v>
      </c>
      <c r="K588" s="5" t="str">
        <f ca="1">IFERROR(__xludf.DUMMYFUNCTION("""COMPUTED_VALUE"""),"https://www.yahoo.com/news/young-man-dies-protecting-girlfriend-171128499.html https://sanfrancisco.cbslocal.com/2021/05/14/suspects-sought-shooting-san-mateo/ https://www.mercurynews.com/2021/05/15/san-mateo-19-year-old-shot-and-killed-friday-night-near-"&amp;"high-school/")</f>
        <v>https://www.yahoo.com/news/young-man-dies-protecting-girlfriend-171128499.html https://sanfrancisco.cbslocal.com/2021/05/14/suspects-sought-shooting-san-mateo/ https://www.mercurynews.com/2021/05/15/san-mateo-19-year-old-shot-and-killed-friday-night-near-high-school/</v>
      </c>
      <c r="L588" s="5">
        <f ca="1">IFERROR(__xludf.DUMMYFUNCTION("""COMPUTED_VALUE"""),10)</f>
        <v>10</v>
      </c>
      <c r="M588" s="5" t="str">
        <f ca="1">IFERROR(__xludf.DUMMYFUNCTION("""COMPUTED_VALUE"""),"National")</f>
        <v>National</v>
      </c>
      <c r="N588" s="5">
        <f ca="1">IFERROR(__xludf.DUMMYFUNCTION("""COMPUTED_VALUE"""),4)</f>
        <v>4</v>
      </c>
      <c r="O588" s="5" t="str">
        <f ca="1">IFERROR(__xludf.DUMMYFUNCTION("""COMPUTED_VALUE"""),"Spring")</f>
        <v>Spring</v>
      </c>
      <c r="P588" s="5" t="str">
        <f ca="1">IFERROR(__xludf.DUMMYFUNCTION("""COMPUTED_VALUE"""),"San Mateo")</f>
        <v>San Mateo</v>
      </c>
      <c r="Q588" s="5" t="str">
        <f ca="1">IFERROR(__xludf.DUMMYFUNCTION("""COMPUTED_VALUE"""),"CA")</f>
        <v>CA</v>
      </c>
      <c r="R588" s="5" t="str">
        <f ca="1">IFERROR(__xludf.DUMMYFUNCTION("""COMPUTED_VALUE"""),"High")</f>
        <v>High</v>
      </c>
      <c r="S588" s="5" t="str">
        <f ca="1">IFERROR(__xludf.DUMMYFUNCTION("""COMPUTED_VALUE"""),"Parking Lot")</f>
        <v>Parking Lot</v>
      </c>
      <c r="T588" s="5" t="str">
        <f ca="1">IFERROR(__xludf.DUMMYFUNCTION("""COMPUTED_VALUE"""),"Outside on School Property")</f>
        <v>Outside on School Property</v>
      </c>
      <c r="U588" s="5" t="str">
        <f ca="1">IFERROR(__xludf.DUMMYFUNCTION("""COMPUTED_VALUE"""),"No")</f>
        <v>No</v>
      </c>
      <c r="V588" s="5" t="str">
        <f ca="1">IFERROR(__xludf.DUMMYFUNCTION("""COMPUTED_VALUE"""),"Night")</f>
        <v>Night</v>
      </c>
      <c r="W588" s="10">
        <f ca="1">IFERROR(__xludf.DUMMYFUNCTION("""COMPUTED_VALUE"""),0.875)</f>
        <v>0.875</v>
      </c>
      <c r="X588" s="5">
        <f ca="1">IFERROR(__xludf.DUMMYFUNCTION("""COMPUTED_VALUE"""),1)</f>
        <v>1</v>
      </c>
      <c r="Y588" s="5" t="str">
        <f ca="1">IFERROR(__xludf.DUMMYFUNCTION("""COMPUTED_VALUE"""),"Teen fatally shot inside car in the school parking lot during attempted carjacking")</f>
        <v>Teen fatally shot inside car in the school parking lot during attempted carjacking</v>
      </c>
      <c r="Z588" s="5" t="str">
        <f ca="1">IFERROR(__xludf.DUMMYFUNCTION("""COMPUTED_VALUE"""),"A 19-year-old male was fatally shot inside a vehicle in the parking lot of the school. 3 suspects attempted carjacking and were seen running from the scene. School was closed at the time of the shooting. Victim's girlfriend was also inside the vehicle at "&amp;"the time of the shooting.")</f>
        <v>A 19-year-old male was fatally shot inside a vehicle in the parking lot of the school. 3 suspects attempted carjacking and were seen running from the scene. School was closed at the time of the shooting. Victim's girlfriend was also inside the vehicle at the time of the shooting.</v>
      </c>
      <c r="AA588" s="5" t="str">
        <f ca="1">IFERROR(__xludf.DUMMYFUNCTION("""COMPUTED_VALUE"""),"Illegal Activity")</f>
        <v>Illegal Activity</v>
      </c>
      <c r="AB588" s="5" t="str">
        <f ca="1">IFERROR(__xludf.DUMMYFUNCTION("""COMPUTED_VALUE"""),"Victims Targeted")</f>
        <v>Victims Targeted</v>
      </c>
      <c r="AC588" s="5" t="str">
        <f ca="1">IFERROR(__xludf.DUMMYFUNCTION("""COMPUTED_VALUE"""),"Yes")</f>
        <v>Yes</v>
      </c>
      <c r="AD588" s="5" t="str">
        <f ca="1">IFERROR(__xludf.DUMMYFUNCTION("""COMPUTED_VALUE"""),"No")</f>
        <v>No</v>
      </c>
      <c r="AE588" s="5" t="str">
        <f ca="1">IFERROR(__xludf.DUMMYFUNCTION("""COMPUTED_VALUE"""),"No")</f>
        <v>No</v>
      </c>
      <c r="AF588" s="5" t="str">
        <f ca="1">IFERROR(__xludf.DUMMYFUNCTION("""COMPUTED_VALUE"""),"No")</f>
        <v>No</v>
      </c>
      <c r="AG588" s="5" t="str">
        <f ca="1">IFERROR(__xludf.DUMMYFUNCTION("""COMPUTED_VALUE"""),"No")</f>
        <v>No</v>
      </c>
      <c r="AH588" s="5" t="str">
        <f ca="1">IFERROR(__xludf.DUMMYFUNCTION("""COMPUTED_VALUE"""),"No")</f>
        <v>No</v>
      </c>
      <c r="AI588" s="5"/>
      <c r="AJ588" s="5" t="str">
        <f ca="1">IFERROR(__xludf.DUMMYFUNCTION("""COMPUTED_VALUE"""),"No")</f>
        <v>No</v>
      </c>
    </row>
    <row r="589" spans="1:36" ht="13">
      <c r="A589" s="5" t="str">
        <f ca="1">IFERROR(__xludf.DUMMYFUNCTION("""COMPUTED_VALUE"""),"20210511CAVEL")</f>
        <v>20210511CAVEL</v>
      </c>
      <c r="B589" s="5">
        <f ca="1">IFERROR(__xludf.DUMMYFUNCTION("""COMPUTED_VALUE"""),5)</f>
        <v>5</v>
      </c>
      <c r="C589" s="5">
        <f ca="1">IFERROR(__xludf.DUMMYFUNCTION("""COMPUTED_VALUE"""),11)</f>
        <v>11</v>
      </c>
      <c r="D589" s="5">
        <f ca="1">IFERROR(__xludf.DUMMYFUNCTION("""COMPUTED_VALUE"""),2021)</f>
        <v>2021</v>
      </c>
      <c r="E589" s="8">
        <f ca="1">IFERROR(__xludf.DUMMYFUNCTION("""COMPUTED_VALUE"""),44327)</f>
        <v>44327</v>
      </c>
      <c r="F589" s="5" t="str">
        <f ca="1">IFERROR(__xludf.DUMMYFUNCTION("""COMPUTED_VALUE"""),"Verbum Dei High School")</f>
        <v>Verbum Dei High School</v>
      </c>
      <c r="G589" s="5">
        <f ca="1">IFERROR(__xludf.DUMMYFUNCTION("""COMPUTED_VALUE"""),0)</f>
        <v>0</v>
      </c>
      <c r="H589" s="5">
        <f ca="1">IFERROR(__xludf.DUMMYFUNCTION("""COMPUTED_VALUE"""),0)</f>
        <v>0</v>
      </c>
      <c r="I589" s="5">
        <f ca="1">IFERROR(__xludf.DUMMYFUNCTION("""COMPUTED_VALUE"""),0)</f>
        <v>0</v>
      </c>
      <c r="J589" s="5">
        <f ca="1">IFERROR(__xludf.DUMMYFUNCTION("""COMPUTED_VALUE"""),0)</f>
        <v>0</v>
      </c>
      <c r="K589" s="5" t="str">
        <f ca="1">IFERROR(__xludf.DUMMYFUNCTION("""COMPUTED_VALUE"""),"https://abc7.com/bus-carrying-high-school-students-shot-at-on-105-fwy/10627430/ https://www.loscerritosnews.net/2021/05/14/verbum-dei-hs-bus-carrying-shot-at-on-105-freeway-in-bellflower/")</f>
        <v>https://abc7.com/bus-carrying-high-school-students-shot-at-on-105-fwy/10627430/ https://www.loscerritosnews.net/2021/05/14/verbum-dei-hs-bus-carrying-shot-at-on-105-freeway-in-bellflower/</v>
      </c>
      <c r="L589" s="5">
        <f ca="1">IFERROR(__xludf.DUMMYFUNCTION("""COMPUTED_VALUE"""),2)</f>
        <v>2</v>
      </c>
      <c r="M589" s="5" t="str">
        <f ca="1">IFERROR(__xludf.DUMMYFUNCTION("""COMPUTED_VALUE"""),"Local")</f>
        <v>Local</v>
      </c>
      <c r="N589" s="5">
        <f ca="1">IFERROR(__xludf.DUMMYFUNCTION("""COMPUTED_VALUE"""),4)</f>
        <v>4</v>
      </c>
      <c r="O589" s="5" t="str">
        <f ca="1">IFERROR(__xludf.DUMMYFUNCTION("""COMPUTED_VALUE"""),"Spring")</f>
        <v>Spring</v>
      </c>
      <c r="P589" s="5" t="str">
        <f ca="1">IFERROR(__xludf.DUMMYFUNCTION("""COMPUTED_VALUE"""),"Los Angeles")</f>
        <v>Los Angeles</v>
      </c>
      <c r="Q589" s="5" t="str">
        <f ca="1">IFERROR(__xludf.DUMMYFUNCTION("""COMPUTED_VALUE"""),"CA")</f>
        <v>CA</v>
      </c>
      <c r="R589" s="5" t="str">
        <f ca="1">IFERROR(__xludf.DUMMYFUNCTION("""COMPUTED_VALUE"""),"High")</f>
        <v>High</v>
      </c>
      <c r="S589" s="5" t="str">
        <f ca="1">IFERROR(__xludf.DUMMYFUNCTION("""COMPUTED_VALUE"""),"School Bus")</f>
        <v>School Bus</v>
      </c>
      <c r="T589" s="5" t="str">
        <f ca="1">IFERROR(__xludf.DUMMYFUNCTION("""COMPUTED_VALUE"""),"School Bus")</f>
        <v>School Bus</v>
      </c>
      <c r="U589" s="5" t="str">
        <f ca="1">IFERROR(__xludf.DUMMYFUNCTION("""COMPUTED_VALUE"""),"Yes")</f>
        <v>Yes</v>
      </c>
      <c r="V589" s="5" t="str">
        <f ca="1">IFERROR(__xludf.DUMMYFUNCTION("""COMPUTED_VALUE"""),"Afternoon Classes")</f>
        <v>Afternoon Classes</v>
      </c>
      <c r="W589" s="10">
        <f ca="1">IFERROR(__xludf.DUMMYFUNCTION("""COMPUTED_VALUE"""),0.625)</f>
        <v>0.625</v>
      </c>
      <c r="X589" s="5">
        <f ca="1">IFERROR(__xludf.DUMMYFUNCTION("""COMPUTED_VALUE"""),1)</f>
        <v>1</v>
      </c>
      <c r="Y589" s="5" t="str">
        <f ca="1">IFERROR(__xludf.DUMMYFUNCTION("""COMPUTED_VALUE"""),"School bus windows shot by pellet gun on freeway")</f>
        <v>School bus windows shot by pellet gun on freeway</v>
      </c>
      <c r="Z589" s="5" t="str">
        <f ca="1">IFERROR(__xludf.DUMMYFUNCTION("""COMPUTED_VALUE"""),"A charter bus carrying shot school students was shot by a pellet gun multiple times on the freeway. No injuries. $8,000 in damage to the bus.")</f>
        <v>A charter bus carrying shot school students was shot by a pellet gun multiple times on the freeway. No injuries. $8,000 in damage to the bus.</v>
      </c>
      <c r="AA589" s="5" t="str">
        <f ca="1">IFERROR(__xludf.DUMMYFUNCTION("""COMPUTED_VALUE"""),"Intentional Property Damage")</f>
        <v>Intentional Property Damage</v>
      </c>
      <c r="AB589" s="5" t="str">
        <f ca="1">IFERROR(__xludf.DUMMYFUNCTION("""COMPUTED_VALUE"""),"Random Shooting")</f>
        <v>Random Shooting</v>
      </c>
      <c r="AC589" s="5" t="str">
        <f ca="1">IFERROR(__xludf.DUMMYFUNCTION("""COMPUTED_VALUE"""),"No")</f>
        <v>No</v>
      </c>
      <c r="AD589" s="5" t="str">
        <f ca="1">IFERROR(__xludf.DUMMYFUNCTION("""COMPUTED_VALUE"""),"No")</f>
        <v>No</v>
      </c>
      <c r="AE589" s="5" t="str">
        <f ca="1">IFERROR(__xludf.DUMMYFUNCTION("""COMPUTED_VALUE"""),"No")</f>
        <v>No</v>
      </c>
      <c r="AF589" s="5" t="str">
        <f ca="1">IFERROR(__xludf.DUMMYFUNCTION("""COMPUTED_VALUE"""),"No")</f>
        <v>No</v>
      </c>
      <c r="AG589" s="5" t="str">
        <f ca="1">IFERROR(__xludf.DUMMYFUNCTION("""COMPUTED_VALUE"""),"No")</f>
        <v>No</v>
      </c>
      <c r="AH589" s="5" t="str">
        <f ca="1">IFERROR(__xludf.DUMMYFUNCTION("""COMPUTED_VALUE"""),"No")</f>
        <v>No</v>
      </c>
      <c r="AI589" s="5" t="str">
        <f ca="1">IFERROR(__xludf.DUMMYFUNCTION("""COMPUTED_VALUE"""),"No")</f>
        <v>No</v>
      </c>
      <c r="AJ589" s="5" t="str">
        <f ca="1">IFERROR(__xludf.DUMMYFUNCTION("""COMPUTED_VALUE"""),"No")</f>
        <v>No</v>
      </c>
    </row>
    <row r="590" spans="1:36" ht="13">
      <c r="A590" s="5" t="str">
        <f ca="1">IFERROR(__xludf.DUMMYFUNCTION("""COMPUTED_VALUE"""),"20210511NYPSB")</f>
        <v>20210511NYPSB</v>
      </c>
      <c r="B590" s="5">
        <f ca="1">IFERROR(__xludf.DUMMYFUNCTION("""COMPUTED_VALUE"""),5)</f>
        <v>5</v>
      </c>
      <c r="C590" s="5">
        <f ca="1">IFERROR(__xludf.DUMMYFUNCTION("""COMPUTED_VALUE"""),11)</f>
        <v>11</v>
      </c>
      <c r="D590" s="5">
        <f ca="1">IFERROR(__xludf.DUMMYFUNCTION("""COMPUTED_VALUE"""),2021)</f>
        <v>2021</v>
      </c>
      <c r="E590" s="8">
        <f ca="1">IFERROR(__xludf.DUMMYFUNCTION("""COMPUTED_VALUE"""),44327)</f>
        <v>44327</v>
      </c>
      <c r="F590" s="5" t="str">
        <f ca="1">IFERROR(__xludf.DUMMYFUNCTION("""COMPUTED_VALUE"""),"P.S. 178 Saint Clair Mckelway Grade School")</f>
        <v>P.S. 178 Saint Clair Mckelway Grade School</v>
      </c>
      <c r="G590" s="5">
        <f ca="1">IFERROR(__xludf.DUMMYFUNCTION("""COMPUTED_VALUE"""),0)</f>
        <v>0</v>
      </c>
      <c r="H590" s="5">
        <f ca="1">IFERROR(__xludf.DUMMYFUNCTION("""COMPUTED_VALUE"""),1)</f>
        <v>1</v>
      </c>
      <c r="I590" s="5">
        <f ca="1">IFERROR(__xludf.DUMMYFUNCTION("""COMPUTED_VALUE"""),1)</f>
        <v>1</v>
      </c>
      <c r="J590" s="5">
        <f ca="1">IFERROR(__xludf.DUMMYFUNCTION("""COMPUTED_VALUE"""),0)</f>
        <v>0</v>
      </c>
      <c r="K590" s="5" t="str">
        <f ca="1">IFERROR(__xludf.DUMMYFUNCTION("""COMPUTED_VALUE"""),"https://nypost.com/2021/05/11/four-people-shot-including-two-teens-in-nyc-shootings/ https://twitter.com/NYPDnews/status/1397704104932220929 https://www.audacy.com/1010wins/news/local/police-search-for-teen-in-skull-mask-in-brooklyn-shooting https://pix11"&amp;".com/news/local-news/brooklyn/16-year-old-shot-outside-school-brownsville-suspect-images/")</f>
        <v>https://nypost.com/2021/05/11/four-people-shot-including-two-teens-in-nyc-shootings/ https://twitter.com/NYPDnews/status/1397704104932220929 https://www.audacy.com/1010wins/news/local/police-search-for-teen-in-skull-mask-in-brooklyn-shooting https://pix11.com/news/local-news/brooklyn/16-year-old-shot-outside-school-brownsville-suspect-images/</v>
      </c>
      <c r="L590" s="5">
        <f ca="1">IFERROR(__xludf.DUMMYFUNCTION("""COMPUTED_VALUE"""),3)</f>
        <v>3</v>
      </c>
      <c r="M590" s="5" t="str">
        <f ca="1">IFERROR(__xludf.DUMMYFUNCTION("""COMPUTED_VALUE"""),"Local")</f>
        <v>Local</v>
      </c>
      <c r="N590" s="5">
        <f ca="1">IFERROR(__xludf.DUMMYFUNCTION("""COMPUTED_VALUE"""),4)</f>
        <v>4</v>
      </c>
      <c r="O590" s="5" t="str">
        <f ca="1">IFERROR(__xludf.DUMMYFUNCTION("""COMPUTED_VALUE"""),"Spring")</f>
        <v>Spring</v>
      </c>
      <c r="P590" s="5" t="str">
        <f ca="1">IFERROR(__xludf.DUMMYFUNCTION("""COMPUTED_VALUE"""),"Brooklyn")</f>
        <v>Brooklyn</v>
      </c>
      <c r="Q590" s="5" t="str">
        <f ca="1">IFERROR(__xludf.DUMMYFUNCTION("""COMPUTED_VALUE"""),"NY")</f>
        <v>NY</v>
      </c>
      <c r="R590" s="5" t="str">
        <f ca="1">IFERROR(__xludf.DUMMYFUNCTION("""COMPUTED_VALUE"""),"K-8")</f>
        <v>K-8</v>
      </c>
      <c r="S590" s="5" t="str">
        <f ca="1">IFERROR(__xludf.DUMMYFUNCTION("""COMPUTED_VALUE"""),"Front of School")</f>
        <v>Front of School</v>
      </c>
      <c r="T590" s="5" t="str">
        <f ca="1">IFERROR(__xludf.DUMMYFUNCTION("""COMPUTED_VALUE"""),"Outside on School Property")</f>
        <v>Outside on School Property</v>
      </c>
      <c r="U590" s="5" t="str">
        <f ca="1">IFERROR(__xludf.DUMMYFUNCTION("""COMPUTED_VALUE"""),"No")</f>
        <v>No</v>
      </c>
      <c r="V590" s="5" t="str">
        <f ca="1">IFERROR(__xludf.DUMMYFUNCTION("""COMPUTED_VALUE"""),"Evening")</f>
        <v>Evening</v>
      </c>
      <c r="W590" s="10">
        <f ca="1">IFERROR(__xludf.DUMMYFUNCTION("""COMPUTED_VALUE"""),0.709722222222222)</f>
        <v>0.70972222222222203</v>
      </c>
      <c r="X590" s="5">
        <f ca="1">IFERROR(__xludf.DUMMYFUNCTION("""COMPUTED_VALUE"""),1)</f>
        <v>1</v>
      </c>
      <c r="Y590" s="5" t="str">
        <f ca="1">IFERROR(__xludf.DUMMYFUNCTION("""COMPUTED_VALUE"""),"Teen shot in front of school during fight that escalated into shooting")</f>
        <v>Teen shot in front of school during fight that escalated into shooting</v>
      </c>
      <c r="Z590" s="5" t="str">
        <f ca="1">IFERROR(__xludf.DUMMYFUNCTION("""COMPUTED_VALUE"""),"16 year-old-male was involved in an argument with another teen. The teen pulled out a handgun, shot the victim in the leg, and then fled the scene. CCTV showed a shooter wearing a mask and police have not been able to identify the suspect.")</f>
        <v>16 year-old-male was involved in an argument with another teen. The teen pulled out a handgun, shot the victim in the leg, and then fled the scene. CCTV showed a shooter wearing a mask and police have not been able to identify the suspect.</v>
      </c>
      <c r="AA590" s="5" t="str">
        <f ca="1">IFERROR(__xludf.DUMMYFUNCTION("""COMPUTED_VALUE"""),"Escalation of Dispute")</f>
        <v>Escalation of Dispute</v>
      </c>
      <c r="AB590" s="5" t="str">
        <f ca="1">IFERROR(__xludf.DUMMYFUNCTION("""COMPUTED_VALUE"""),"Victims Targeted")</f>
        <v>Victims Targeted</v>
      </c>
      <c r="AC590" s="5" t="str">
        <f ca="1">IFERROR(__xludf.DUMMYFUNCTION("""COMPUTED_VALUE"""),"No")</f>
        <v>No</v>
      </c>
      <c r="AD590" s="5"/>
      <c r="AE590" s="5" t="str">
        <f ca="1">IFERROR(__xludf.DUMMYFUNCTION("""COMPUTED_VALUE"""),"No")</f>
        <v>No</v>
      </c>
      <c r="AF590" s="5" t="str">
        <f ca="1">IFERROR(__xludf.DUMMYFUNCTION("""COMPUTED_VALUE"""),"No")</f>
        <v>No</v>
      </c>
      <c r="AG590" s="5" t="str">
        <f ca="1">IFERROR(__xludf.DUMMYFUNCTION("""COMPUTED_VALUE"""),"No")</f>
        <v>No</v>
      </c>
      <c r="AH590" s="5" t="str">
        <f ca="1">IFERROR(__xludf.DUMMYFUNCTION("""COMPUTED_VALUE"""),"No")</f>
        <v>No</v>
      </c>
      <c r="AI590" s="5"/>
      <c r="AJ590" s="5" t="str">
        <f ca="1">IFERROR(__xludf.DUMMYFUNCTION("""COMPUTED_VALUE"""),"No")</f>
        <v>No</v>
      </c>
    </row>
    <row r="591" spans="1:36" ht="13">
      <c r="A591" s="5" t="str">
        <f ca="1">IFERROR(__xludf.DUMMYFUNCTION("""COMPUTED_VALUE"""),"20210506SCFOC")</f>
        <v>20210506SCFOC</v>
      </c>
      <c r="B591" s="5">
        <f ca="1">IFERROR(__xludf.DUMMYFUNCTION("""COMPUTED_VALUE"""),5)</f>
        <v>5</v>
      </c>
      <c r="C591" s="5">
        <f ca="1">IFERROR(__xludf.DUMMYFUNCTION("""COMPUTED_VALUE"""),6)</f>
        <v>6</v>
      </c>
      <c r="D591" s="5">
        <f ca="1">IFERROR(__xludf.DUMMYFUNCTION("""COMPUTED_VALUE"""),2021)</f>
        <v>2021</v>
      </c>
      <c r="E591" s="8">
        <f ca="1">IFERROR(__xludf.DUMMYFUNCTION("""COMPUTED_VALUE"""),44322)</f>
        <v>44322</v>
      </c>
      <c r="F591" s="5" t="str">
        <f ca="1">IFERROR(__xludf.DUMMYFUNCTION("""COMPUTED_VALUE"""),"Forest Lake Elementary")</f>
        <v>Forest Lake Elementary</v>
      </c>
      <c r="G591" s="5">
        <f ca="1">IFERROR(__xludf.DUMMYFUNCTION("""COMPUTED_VALUE"""),0)</f>
        <v>0</v>
      </c>
      <c r="H591" s="5">
        <f ca="1">IFERROR(__xludf.DUMMYFUNCTION("""COMPUTED_VALUE"""),0)</f>
        <v>0</v>
      </c>
      <c r="I591" s="5">
        <f ca="1">IFERROR(__xludf.DUMMYFUNCTION("""COMPUTED_VALUE"""),0)</f>
        <v>0</v>
      </c>
      <c r="J591" s="5">
        <f ca="1">IFERROR(__xludf.DUMMYFUNCTION("""COMPUTED_VALUE"""),0)</f>
        <v>0</v>
      </c>
      <c r="K591" s="9" t="str">
        <f ca="1">IFERROR(__xludf.DUMMYFUNCTION("""COMPUTED_VALUE"""),"https://www.wistv.com/2021/05/06/fort-jackson-trainee-arrested-after-emergency-incident-school-bus-full-children/ https://www.nbcnews.com/news/amp/ncna1266514
https://abcnews.go.com/US/wireStory/soldier-hijacked-school-bus-found-guilty-insanity-97829956")</f>
        <v>https://www.wistv.com/2021/05/06/fort-jackson-trainee-arrested-after-emergency-incident-school-bus-full-children/ https://www.nbcnews.com/news/amp/ncna1266514
https://abcnews.go.com/US/wireStory/soldier-hijacked-school-bus-found-guilty-insanity-97829956</v>
      </c>
      <c r="L591" s="5">
        <f ca="1">IFERROR(__xludf.DUMMYFUNCTION("""COMPUTED_VALUE"""),100)</f>
        <v>100</v>
      </c>
      <c r="M591" s="5" t="str">
        <f ca="1">IFERROR(__xludf.DUMMYFUNCTION("""COMPUTED_VALUE"""),"National")</f>
        <v>National</v>
      </c>
      <c r="N591" s="5">
        <f ca="1">IFERROR(__xludf.DUMMYFUNCTION("""COMPUTED_VALUE"""),4)</f>
        <v>4</v>
      </c>
      <c r="O591" s="5" t="str">
        <f ca="1">IFERROR(__xludf.DUMMYFUNCTION("""COMPUTED_VALUE"""),"Spring")</f>
        <v>Spring</v>
      </c>
      <c r="P591" s="5" t="str">
        <f ca="1">IFERROR(__xludf.DUMMYFUNCTION("""COMPUTED_VALUE"""),"Columbia")</f>
        <v>Columbia</v>
      </c>
      <c r="Q591" s="5" t="str">
        <f ca="1">IFERROR(__xludf.DUMMYFUNCTION("""COMPUTED_VALUE"""),"SC")</f>
        <v>SC</v>
      </c>
      <c r="R591" s="5" t="str">
        <f ca="1">IFERROR(__xludf.DUMMYFUNCTION("""COMPUTED_VALUE"""),"Elementary")</f>
        <v>Elementary</v>
      </c>
      <c r="S591" s="5" t="str">
        <f ca="1">IFERROR(__xludf.DUMMYFUNCTION("""COMPUTED_VALUE"""),"School Bus")</f>
        <v>School Bus</v>
      </c>
      <c r="T591" s="5" t="str">
        <f ca="1">IFERROR(__xludf.DUMMYFUNCTION("""COMPUTED_VALUE"""),"School Bus")</f>
        <v>School Bus</v>
      </c>
      <c r="U591" s="5" t="str">
        <f ca="1">IFERROR(__xludf.DUMMYFUNCTION("""COMPUTED_VALUE"""),"Yes")</f>
        <v>Yes</v>
      </c>
      <c r="V591" s="5" t="str">
        <f ca="1">IFERROR(__xludf.DUMMYFUNCTION("""COMPUTED_VALUE"""),"Before School")</f>
        <v>Before School</v>
      </c>
      <c r="W591" s="10">
        <f ca="1">IFERROR(__xludf.DUMMYFUNCTION("""COMPUTED_VALUE"""),0.291666666666666)</f>
        <v>0.29166666666666602</v>
      </c>
      <c r="X591" s="5">
        <f ca="1">IFERROR(__xludf.DUMMYFUNCTION("""COMPUTED_VALUE"""),6)</f>
        <v>6</v>
      </c>
      <c r="Y591" s="5" t="str">
        <f ca="1">IFERROR(__xludf.DUMMYFUNCTION("""COMPUTED_VALUE"""),"Army trainee jumped the fence of the fort with a rifle then hijacked school bus full of students")</f>
        <v>Army trainee jumped the fence of the fort with a rifle then hijacked school bus full of students</v>
      </c>
      <c r="Z591" s="5" t="str">
        <f ca="1">IFERROR(__xludf.DUMMYFUNCTION("""COMPUTED_VALUE"""),"A 23-year-old Army trainee jumped over the fence of Fort Jackson wearing his physical training uniform and armed with a rifle. He stopped a school bus, got on the bus, and ordered the driver to take him to the next town. When the driver refused, the shoot"&amp;"er became frustrated. He forced all 18 students to come to the front of the bus and continued to threaten the driver. He then ordered the students and the driver off of the bus and drove it a short distance before abandoning it. He fled on foot and was ar"&amp;"rested. After the incident, officials determined that the rifle was not loaded. No shots were fired and no students were injured.")</f>
        <v>A 23-year-old Army trainee jumped over the fence of Fort Jackson wearing his physical training uniform and armed with a rifle. He stopped a school bus, got on the bus, and ordered the driver to take him to the next town. When the driver refused, the shooter became frustrated. He forced all 18 students to come to the front of the bus and continued to threaten the driver. He then ordered the students and the driver off of the bus and drove it a short distance before abandoning it. He fled on foot and was arrested. After the incident, officials determined that the rifle was not loaded. No shots were fired and no students were injured.</v>
      </c>
      <c r="AA591" s="5" t="str">
        <f ca="1">IFERROR(__xludf.DUMMYFUNCTION("""COMPUTED_VALUE"""),"Hostage/Standoff")</f>
        <v>Hostage/Standoff</v>
      </c>
      <c r="AB591" s="5" t="str">
        <f ca="1">IFERROR(__xludf.DUMMYFUNCTION("""COMPUTED_VALUE"""),"Random Shooting")</f>
        <v>Random Shooting</v>
      </c>
      <c r="AC591" s="5" t="str">
        <f ca="1">IFERROR(__xludf.DUMMYFUNCTION("""COMPUTED_VALUE"""),"No")</f>
        <v>No</v>
      </c>
      <c r="AD591" s="5" t="str">
        <f ca="1">IFERROR(__xludf.DUMMYFUNCTION("""COMPUTED_VALUE"""),"Yes")</f>
        <v>Yes</v>
      </c>
      <c r="AE591" s="5" t="str">
        <f ca="1">IFERROR(__xludf.DUMMYFUNCTION("""COMPUTED_VALUE"""),"No")</f>
        <v>No</v>
      </c>
      <c r="AF591" s="5" t="str">
        <f ca="1">IFERROR(__xludf.DUMMYFUNCTION("""COMPUTED_VALUE"""),"No")</f>
        <v>No</v>
      </c>
      <c r="AG591" s="5" t="str">
        <f ca="1">IFERROR(__xludf.DUMMYFUNCTION("""COMPUTED_VALUE"""),"No")</f>
        <v>No</v>
      </c>
      <c r="AH591" s="5" t="str">
        <f ca="1">IFERROR(__xludf.DUMMYFUNCTION("""COMPUTED_VALUE"""),"No")</f>
        <v>No</v>
      </c>
      <c r="AI591" s="5" t="str">
        <f ca="1">IFERROR(__xludf.DUMMYFUNCTION("""COMPUTED_VALUE"""),"No")</f>
        <v>No</v>
      </c>
      <c r="AJ591" s="5" t="str">
        <f ca="1">IFERROR(__xludf.DUMMYFUNCTION("""COMPUTED_VALUE"""),"Yes")</f>
        <v>Yes</v>
      </c>
    </row>
    <row r="592" spans="1:36" ht="13">
      <c r="A592" s="5" t="str">
        <f ca="1">IFERROR(__xludf.DUMMYFUNCTION("""COMPUTED_VALUE"""),"20210506IDRIR")</f>
        <v>20210506IDRIR</v>
      </c>
      <c r="B592" s="5">
        <f ca="1">IFERROR(__xludf.DUMMYFUNCTION("""COMPUTED_VALUE"""),5)</f>
        <v>5</v>
      </c>
      <c r="C592" s="5">
        <f ca="1">IFERROR(__xludf.DUMMYFUNCTION("""COMPUTED_VALUE"""),6)</f>
        <v>6</v>
      </c>
      <c r="D592" s="5">
        <f ca="1">IFERROR(__xludf.DUMMYFUNCTION("""COMPUTED_VALUE"""),2021)</f>
        <v>2021</v>
      </c>
      <c r="E592" s="8">
        <f ca="1">IFERROR(__xludf.DUMMYFUNCTION("""COMPUTED_VALUE"""),44322)</f>
        <v>44322</v>
      </c>
      <c r="F592" s="5" t="str">
        <f ca="1">IFERROR(__xludf.DUMMYFUNCTION("""COMPUTED_VALUE"""),"Rigby Middle School")</f>
        <v>Rigby Middle School</v>
      </c>
      <c r="G592" s="5">
        <f ca="1">IFERROR(__xludf.DUMMYFUNCTION("""COMPUTED_VALUE"""),0)</f>
        <v>0</v>
      </c>
      <c r="H592" s="5">
        <f ca="1">IFERROR(__xludf.DUMMYFUNCTION("""COMPUTED_VALUE"""),3)</f>
        <v>3</v>
      </c>
      <c r="I592" s="5">
        <f ca="1">IFERROR(__xludf.DUMMYFUNCTION("""COMPUTED_VALUE"""),3)</f>
        <v>3</v>
      </c>
      <c r="J592" s="5">
        <f ca="1">IFERROR(__xludf.DUMMYFUNCTION("""COMPUTED_VALUE"""),0)</f>
        <v>0</v>
      </c>
      <c r="K592" s="5" t="str">
        <f ca="1">IFERROR(__xludf.DUMMYFUNCTION("""COMPUTED_VALUE"""),"https://localnews8.com/news/top-stories/2022/04/07/documents-shed-light-on-rigby-middle-school-shooting/ https://www.usatoday.com/story/news/nation/2021/05/06/rigby-middle-school-shooting-idaho-3-injured-student-custody/4973739001/ https://www.nbcnews.com"&amp;"/news/us-news/two-children-one-adult-wounded-idaho-middle-school-shooting-n1266544 https://apnews.com/article/idaho-rigby-middle-school-shooting-0f01cf5dc5aa04c3b2574a4c8379be9a?utm_medium=AP&amp;utm_source=Twitter&amp;utm_campaign=SocialFlow")</f>
        <v>https://localnews8.com/news/top-stories/2022/04/07/documents-shed-light-on-rigby-middle-school-shooting/ https://www.usatoday.com/story/news/nation/2021/05/06/rigby-middle-school-shooting-idaho-3-injured-student-custody/4973739001/ https://www.nbcnews.com/news/us-news/two-children-one-adult-wounded-idaho-middle-school-shooting-n1266544 https://apnews.com/article/idaho-rigby-middle-school-shooting-0f01cf5dc5aa04c3b2574a4c8379be9a?utm_medium=AP&amp;utm_source=Twitter&amp;utm_campaign=SocialFlow</v>
      </c>
      <c r="L592" s="5">
        <f ca="1">IFERROR(__xludf.DUMMYFUNCTION("""COMPUTED_VALUE"""),500)</f>
        <v>500</v>
      </c>
      <c r="M592" s="5" t="str">
        <f ca="1">IFERROR(__xludf.DUMMYFUNCTION("""COMPUTED_VALUE"""),"International")</f>
        <v>International</v>
      </c>
      <c r="N592" s="5">
        <f ca="1">IFERROR(__xludf.DUMMYFUNCTION("""COMPUTED_VALUE"""),4)</f>
        <v>4</v>
      </c>
      <c r="O592" s="5" t="str">
        <f ca="1">IFERROR(__xludf.DUMMYFUNCTION("""COMPUTED_VALUE"""),"Spring")</f>
        <v>Spring</v>
      </c>
      <c r="P592" s="5" t="str">
        <f ca="1">IFERROR(__xludf.DUMMYFUNCTION("""COMPUTED_VALUE"""),"Rigby")</f>
        <v>Rigby</v>
      </c>
      <c r="Q592" s="5" t="str">
        <f ca="1">IFERROR(__xludf.DUMMYFUNCTION("""COMPUTED_VALUE"""),"ID")</f>
        <v>ID</v>
      </c>
      <c r="R592" s="5" t="str">
        <f ca="1">IFERROR(__xludf.DUMMYFUNCTION("""COMPUTED_VALUE"""),"Middle")</f>
        <v>Middle</v>
      </c>
      <c r="S592" s="5" t="str">
        <f ca="1">IFERROR(__xludf.DUMMYFUNCTION("""COMPUTED_VALUE"""),"Inside School Building")</f>
        <v>Inside School Building</v>
      </c>
      <c r="T592" s="5" t="str">
        <f ca="1">IFERROR(__xludf.DUMMYFUNCTION("""COMPUTED_VALUE"""),"Both Inside/Outside")</f>
        <v>Both Inside/Outside</v>
      </c>
      <c r="U592" s="5" t="str">
        <f ca="1">IFERROR(__xludf.DUMMYFUNCTION("""COMPUTED_VALUE"""),"Yes")</f>
        <v>Yes</v>
      </c>
      <c r="V592" s="5" t="str">
        <f ca="1">IFERROR(__xludf.DUMMYFUNCTION("""COMPUTED_VALUE"""),"Morning Classes")</f>
        <v>Morning Classes</v>
      </c>
      <c r="W592" s="10">
        <f ca="1">IFERROR(__xludf.DUMMYFUNCTION("""COMPUTED_VALUE"""),0.385416666666666)</f>
        <v>0.38541666666666602</v>
      </c>
      <c r="X592" s="5">
        <f ca="1">IFERROR(__xludf.DUMMYFUNCTION("""COMPUTED_VALUE"""),1)</f>
        <v>1</v>
      </c>
      <c r="Y592" s="5" t="str">
        <f ca="1">IFERROR(__xludf.DUMMYFUNCTION("""COMPUTED_VALUE"""),"Female student pulled handgun from backpack and fired at 1 person inside the school and 2 people outside before being disarmed by a teacher")</f>
        <v>Female student pulled handgun from backpack and fired at 1 person inside the school and 2 people outside before being disarmed by a teacher</v>
      </c>
      <c r="Z592" s="5" t="str">
        <f ca="1">IFERROR(__xludf.DUMMYFUNCTION("""COMPUTED_VALUE"""),"A 12-year-old female student pulled a handgun outside of her backpack inside the school and fired at one person. She then walked outside and fired at 2 more people. Students began to run away and she fired shots at them. Based on CCTV footage, she appeare"&amp;"d to target the first victims and then fire randomly at the fleeing students. Two students and the school janitor were injured. The shooter was disarmed by a female teacher who held her down until police arrived. All three victims were transported to the "&amp;"hospital in stable condition. She had a second gun and 2 knives in her backpack. Hitlist was found at her home with statements that she planned to kill 20 people and wound 40-60 others.")</f>
        <v>A 12-year-old female student pulled a handgun outside of her backpack inside the school and fired at one person. She then walked outside and fired at 2 more people. Students began to run away and she fired shots at them. Based on CCTV footage, she appeared to target the first victims and then fire randomly at the fleeing students. Two students and the school janitor were injured. The shooter was disarmed by a female teacher who held her down until police arrived. All three victims were transported to the hospital in stable condition. She had a second gun and 2 knives in her backpack. Hitlist was found at her home with statements that she planned to kill 20 people and wound 40-60 others.</v>
      </c>
      <c r="AA592" s="5" t="str">
        <f ca="1">IFERROR(__xludf.DUMMYFUNCTION("""COMPUTED_VALUE"""),"Indiscriminate Shooting")</f>
        <v>Indiscriminate Shooting</v>
      </c>
      <c r="AB592" s="5" t="str">
        <f ca="1">IFERROR(__xludf.DUMMYFUNCTION("""COMPUTED_VALUE"""),"Both")</f>
        <v>Both</v>
      </c>
      <c r="AC592" s="5" t="str">
        <f ca="1">IFERROR(__xludf.DUMMYFUNCTION("""COMPUTED_VALUE"""),"No")</f>
        <v>No</v>
      </c>
      <c r="AD592" s="5" t="str">
        <f ca="1">IFERROR(__xludf.DUMMYFUNCTION("""COMPUTED_VALUE"""),"No")</f>
        <v>No</v>
      </c>
      <c r="AE592" s="5" t="str">
        <f ca="1">IFERROR(__xludf.DUMMYFUNCTION("""COMPUTED_VALUE"""),"No")</f>
        <v>No</v>
      </c>
      <c r="AF592" s="5" t="str">
        <f ca="1">IFERROR(__xludf.DUMMYFUNCTION("""COMPUTED_VALUE"""),"No")</f>
        <v>No</v>
      </c>
      <c r="AG592" s="5"/>
      <c r="AH592" s="5" t="str">
        <f ca="1">IFERROR(__xludf.DUMMYFUNCTION("""COMPUTED_VALUE"""),"No")</f>
        <v>No</v>
      </c>
      <c r="AI592" s="5" t="str">
        <f ca="1">IFERROR(__xludf.DUMMYFUNCTION("""COMPUTED_VALUE"""),"No")</f>
        <v>No</v>
      </c>
      <c r="AJ592" s="5" t="str">
        <f ca="1">IFERROR(__xludf.DUMMYFUNCTION("""COMPUTED_VALUE"""),"Yes")</f>
        <v>Yes</v>
      </c>
    </row>
    <row r="593" spans="1:36" ht="13">
      <c r="A593" s="5" t="str">
        <f ca="1">IFERROR(__xludf.DUMMYFUNCTION("""COMPUTED_VALUE"""),"20210505MICRC")</f>
        <v>20210505MICRC</v>
      </c>
      <c r="B593" s="5">
        <f ca="1">IFERROR(__xludf.DUMMYFUNCTION("""COMPUTED_VALUE"""),5)</f>
        <v>5</v>
      </c>
      <c r="C593" s="5">
        <f ca="1">IFERROR(__xludf.DUMMYFUNCTION("""COMPUTED_VALUE"""),5)</f>
        <v>5</v>
      </c>
      <c r="D593" s="5">
        <f ca="1">IFERROR(__xludf.DUMMYFUNCTION("""COMPUTED_VALUE"""),2021)</f>
        <v>2021</v>
      </c>
      <c r="E593" s="8">
        <f ca="1">IFERROR(__xludf.DUMMYFUNCTION("""COMPUTED_VALUE"""),44321)</f>
        <v>44321</v>
      </c>
      <c r="F593" s="5" t="str">
        <f ca="1">IFERROR(__xludf.DUMMYFUNCTION("""COMPUTED_VALUE"""),"Crossroads Alternative High")</f>
        <v>Crossroads Alternative High</v>
      </c>
      <c r="G593" s="5">
        <f ca="1">IFERROR(__xludf.DUMMYFUNCTION("""COMPUTED_VALUE"""),0)</f>
        <v>0</v>
      </c>
      <c r="H593" s="5">
        <f ca="1">IFERROR(__xludf.DUMMYFUNCTION("""COMPUTED_VALUE"""),1)</f>
        <v>1</v>
      </c>
      <c r="I593" s="5">
        <f ca="1">IFERROR(__xludf.DUMMYFUNCTION("""COMPUTED_VALUE"""),1)</f>
        <v>1</v>
      </c>
      <c r="J593" s="5">
        <f ca="1">IFERROR(__xludf.DUMMYFUNCTION("""COMPUTED_VALUE"""),0)</f>
        <v>0</v>
      </c>
      <c r="K593" s="5" t="str">
        <f ca="1">IFERROR(__xludf.DUMMYFUNCTION("""COMPUTED_VALUE"""),"https://www.fox17online.com/news/local-news/kent/police-investigating-shooting-near-kentwood-high-school https://www.woodtv.com/news/kent-county/deputies-investigate-shooting-on-s-division-outside-of-grand-rapids/")</f>
        <v>https://www.fox17online.com/news/local-news/kent/police-investigating-shooting-near-kentwood-high-school https://www.woodtv.com/news/kent-county/deputies-investigate-shooting-on-s-division-outside-of-grand-rapids/</v>
      </c>
      <c r="L593" s="5">
        <f ca="1">IFERROR(__xludf.DUMMYFUNCTION("""COMPUTED_VALUE"""),3)</f>
        <v>3</v>
      </c>
      <c r="M593" s="5" t="str">
        <f ca="1">IFERROR(__xludf.DUMMYFUNCTION("""COMPUTED_VALUE"""),"Local")</f>
        <v>Local</v>
      </c>
      <c r="N593" s="5">
        <f ca="1">IFERROR(__xludf.DUMMYFUNCTION("""COMPUTED_VALUE"""),3)</f>
        <v>3</v>
      </c>
      <c r="O593" s="5" t="str">
        <f ca="1">IFERROR(__xludf.DUMMYFUNCTION("""COMPUTED_VALUE"""),"Spring")</f>
        <v>Spring</v>
      </c>
      <c r="P593" s="5" t="str">
        <f ca="1">IFERROR(__xludf.DUMMYFUNCTION("""COMPUTED_VALUE"""),"Cutlerville")</f>
        <v>Cutlerville</v>
      </c>
      <c r="Q593" s="5" t="str">
        <f ca="1">IFERROR(__xludf.DUMMYFUNCTION("""COMPUTED_VALUE"""),"MI")</f>
        <v>MI</v>
      </c>
      <c r="R593" s="5" t="str">
        <f ca="1">IFERROR(__xludf.DUMMYFUNCTION("""COMPUTED_VALUE"""),"High")</f>
        <v>High</v>
      </c>
      <c r="S593" s="5" t="str">
        <f ca="1">IFERROR(__xludf.DUMMYFUNCTION("""COMPUTED_VALUE"""),"Front of School")</f>
        <v>Front of School</v>
      </c>
      <c r="T593" s="5" t="str">
        <f ca="1">IFERROR(__xludf.DUMMYFUNCTION("""COMPUTED_VALUE"""),"Outside on School Property")</f>
        <v>Outside on School Property</v>
      </c>
      <c r="U593" s="5" t="str">
        <f ca="1">IFERROR(__xludf.DUMMYFUNCTION("""COMPUTED_VALUE"""),"Yes")</f>
        <v>Yes</v>
      </c>
      <c r="V593" s="5" t="str">
        <f ca="1">IFERROR(__xludf.DUMMYFUNCTION("""COMPUTED_VALUE"""),"Afternoon Classes")</f>
        <v>Afternoon Classes</v>
      </c>
      <c r="W593" s="10">
        <f ca="1">IFERROR(__xludf.DUMMYFUNCTION("""COMPUTED_VALUE"""),0.583333333333333)</f>
        <v>0.58333333333333304</v>
      </c>
      <c r="X593" s="5">
        <f ca="1">IFERROR(__xludf.DUMMYFUNCTION("""COMPUTED_VALUE"""),1)</f>
        <v>1</v>
      </c>
      <c r="Y593" s="5" t="str">
        <f ca="1">IFERROR(__xludf.DUMMYFUNCTION("""COMPUTED_VALUE"""),"Man on scooter fired at another man on the sidewalk, then accidentally shot himself and collapsed in front of the school")</f>
        <v>Man on scooter fired at another man on the sidewalk, then accidentally shot himself and collapsed in front of the school</v>
      </c>
      <c r="Z593" s="5" t="str">
        <f ca="1">IFERROR(__xludf.DUMMYFUNCTION("""COMPUTED_VALUE"""),"An adult male on scooter fired at another man on the sidewalk, then accidentally shot himself and collapsed in front of the school. Both men were transported to the hospital. The school were the shooting occurred and an elementary school next door were bo"&amp;"th in session at the time of the shooting.")</f>
        <v>An adult male on scooter fired at another man on the sidewalk, then accidentally shot himself and collapsed in front of the school. Both men were transported to the hospital. The school were the shooting occurred and an elementary school next door were both in session at the time of the shooting.</v>
      </c>
      <c r="AA593" s="5" t="str">
        <f ca="1">IFERROR(__xludf.DUMMYFUNCTION("""COMPUTED_VALUE"""),"Drive-by Shooting")</f>
        <v>Drive-by Shooting</v>
      </c>
      <c r="AB593" s="5" t="str">
        <f ca="1">IFERROR(__xludf.DUMMYFUNCTION("""COMPUTED_VALUE"""),"Victims Targeted")</f>
        <v>Victims Targeted</v>
      </c>
      <c r="AC593" s="5" t="str">
        <f ca="1">IFERROR(__xludf.DUMMYFUNCTION("""COMPUTED_VALUE"""),"No")</f>
        <v>No</v>
      </c>
      <c r="AD593" s="5" t="str">
        <f ca="1">IFERROR(__xludf.DUMMYFUNCTION("""COMPUTED_VALUE"""),"No")</f>
        <v>No</v>
      </c>
      <c r="AE593" s="5" t="str">
        <f ca="1">IFERROR(__xludf.DUMMYFUNCTION("""COMPUTED_VALUE"""),"No")</f>
        <v>No</v>
      </c>
      <c r="AF593" s="5" t="str">
        <f ca="1">IFERROR(__xludf.DUMMYFUNCTION("""COMPUTED_VALUE"""),"No")</f>
        <v>No</v>
      </c>
      <c r="AG593" s="5" t="str">
        <f ca="1">IFERROR(__xludf.DUMMYFUNCTION("""COMPUTED_VALUE"""),"No")</f>
        <v>No</v>
      </c>
      <c r="AH593" s="5" t="str">
        <f ca="1">IFERROR(__xludf.DUMMYFUNCTION("""COMPUTED_VALUE"""),"No")</f>
        <v>No</v>
      </c>
      <c r="AI593" s="5"/>
      <c r="AJ593" s="5" t="str">
        <f ca="1">IFERROR(__xludf.DUMMYFUNCTION("""COMPUTED_VALUE"""),"No")</f>
        <v>No</v>
      </c>
    </row>
    <row r="594" spans="1:36" ht="13">
      <c r="A594" s="5" t="str">
        <f ca="1">IFERROR(__xludf.DUMMYFUNCTION("""COMPUTED_VALUE"""),"20210505SCWAW")</f>
        <v>20210505SCWAW</v>
      </c>
      <c r="B594" s="5">
        <f ca="1">IFERROR(__xludf.DUMMYFUNCTION("""COMPUTED_VALUE"""),5)</f>
        <v>5</v>
      </c>
      <c r="C594" s="5">
        <f ca="1">IFERROR(__xludf.DUMMYFUNCTION("""COMPUTED_VALUE"""),5)</f>
        <v>5</v>
      </c>
      <c r="D594" s="5">
        <f ca="1">IFERROR(__xludf.DUMMYFUNCTION("""COMPUTED_VALUE"""),2021)</f>
        <v>2021</v>
      </c>
      <c r="E594" s="8">
        <f ca="1">IFERROR(__xludf.DUMMYFUNCTION("""COMPUTED_VALUE"""),44321)</f>
        <v>44321</v>
      </c>
      <c r="F594" s="5" t="str">
        <f ca="1">IFERROR(__xludf.DUMMYFUNCTION("""COMPUTED_VALUE"""),"Ware Shoals High School")</f>
        <v>Ware Shoals High School</v>
      </c>
      <c r="G594" s="5">
        <f ca="1">IFERROR(__xludf.DUMMYFUNCTION("""COMPUTED_VALUE"""),0)</f>
        <v>0</v>
      </c>
      <c r="H594" s="5">
        <f ca="1">IFERROR(__xludf.DUMMYFUNCTION("""COMPUTED_VALUE"""),0)</f>
        <v>0</v>
      </c>
      <c r="I594" s="5">
        <f ca="1">IFERROR(__xludf.DUMMYFUNCTION("""COMPUTED_VALUE"""),0)</f>
        <v>0</v>
      </c>
      <c r="J594" s="5">
        <f ca="1">IFERROR(__xludf.DUMMYFUNCTION("""COMPUTED_VALUE"""),1)</f>
        <v>1</v>
      </c>
      <c r="K594" s="5" t="str">
        <f ca="1">IFERROR(__xludf.DUMMYFUNCTION("""COMPUTED_VALUE"""),"https://www.wyff4.com/article/student-dies-after-shooting-himself-in-ware-shoals-high-school-parking-lot/36341438# https://www.foxcarolina.com/update-on-student-who-shot-themselves-at-ware-shoals-high-school/video_6e9f8fe3-a145-5e14-8ba2-8c6ede8871ae.html"&amp;" https://www.foxcarolina.com/news/greenwood-co-high-school-on-lockdown-for-shooting/article_004aee4a-ada0-11eb-a1c9-cb163d9b6810.html?block_id=685196 https://www.foxcarolina.com/4-00pm-news-update/video_97bbf1da-2386-5c5c-aaa1-2a7fbcb0009b.html?block_id=9"&amp;"96030")</f>
        <v>https://www.wyff4.com/article/student-dies-after-shooting-himself-in-ware-shoals-high-school-parking-lot/36341438# https://www.foxcarolina.com/update-on-student-who-shot-themselves-at-ware-shoals-high-school/video_6e9f8fe3-a145-5e14-8ba2-8c6ede8871ae.html https://www.foxcarolina.com/news/greenwood-co-high-school-on-lockdown-for-shooting/article_004aee4a-ada0-11eb-a1c9-cb163d9b6810.html?block_id=685196 https://www.foxcarolina.com/4-00pm-news-update/video_97bbf1da-2386-5c5c-aaa1-2a7fbcb0009b.html?block_id=996030</v>
      </c>
      <c r="L594" s="5">
        <f ca="1">IFERROR(__xludf.DUMMYFUNCTION("""COMPUTED_VALUE"""),10)</f>
        <v>10</v>
      </c>
      <c r="M594" s="5" t="str">
        <f ca="1">IFERROR(__xludf.DUMMYFUNCTION("""COMPUTED_VALUE"""),"Regional")</f>
        <v>Regional</v>
      </c>
      <c r="N594" s="5">
        <f ca="1">IFERROR(__xludf.DUMMYFUNCTION("""COMPUTED_VALUE"""),4)</f>
        <v>4</v>
      </c>
      <c r="O594" s="5" t="str">
        <f ca="1">IFERROR(__xludf.DUMMYFUNCTION("""COMPUTED_VALUE"""),"Spring")</f>
        <v>Spring</v>
      </c>
      <c r="P594" s="5" t="str">
        <f ca="1">IFERROR(__xludf.DUMMYFUNCTION("""COMPUTED_VALUE"""),"Ware Shoals")</f>
        <v>Ware Shoals</v>
      </c>
      <c r="Q594" s="5" t="str">
        <f ca="1">IFERROR(__xludf.DUMMYFUNCTION("""COMPUTED_VALUE"""),"SC")</f>
        <v>SC</v>
      </c>
      <c r="R594" s="5" t="str">
        <f ca="1">IFERROR(__xludf.DUMMYFUNCTION("""COMPUTED_VALUE"""),"High")</f>
        <v>High</v>
      </c>
      <c r="S594" s="5" t="str">
        <f ca="1">IFERROR(__xludf.DUMMYFUNCTION("""COMPUTED_VALUE"""),"Parking Lot")</f>
        <v>Parking Lot</v>
      </c>
      <c r="T594" s="5" t="str">
        <f ca="1">IFERROR(__xludf.DUMMYFUNCTION("""COMPUTED_VALUE"""),"Outside on School Property")</f>
        <v>Outside on School Property</v>
      </c>
      <c r="U594" s="5" t="str">
        <f ca="1">IFERROR(__xludf.DUMMYFUNCTION("""COMPUTED_VALUE"""),"Yes")</f>
        <v>Yes</v>
      </c>
      <c r="V594" s="5" t="str">
        <f ca="1">IFERROR(__xludf.DUMMYFUNCTION("""COMPUTED_VALUE"""),"School Start")</f>
        <v>School Start</v>
      </c>
      <c r="W594" s="10">
        <f ca="1">IFERROR(__xludf.DUMMYFUNCTION("""COMPUTED_VALUE"""),0.336805555555555)</f>
        <v>0.33680555555555503</v>
      </c>
      <c r="X594" s="5">
        <f ca="1">IFERROR(__xludf.DUMMYFUNCTION("""COMPUTED_VALUE"""),1)</f>
        <v>1</v>
      </c>
      <c r="Y594" s="5" t="str">
        <f ca="1">IFERROR(__xludf.DUMMYFUNCTION("""COMPUTED_VALUE"""),"Student got out of his car with a handgun and then shot himself in the head")</f>
        <v>Student got out of his car with a handgun and then shot himself in the head</v>
      </c>
      <c r="Z594" s="5" t="str">
        <f ca="1">IFERROR(__xludf.DUMMYFUNCTION("""COMPUTED_VALUE"""),"A student and his friend (also a student) were sit inside his car in the school parking lot. The school safety officer noticed them and told them to go inside because class had started. The safety officer noticed a vaping device in the car that he confisc"&amp;"ated. When the student got out of the car, the safety officer noticed a gun in his waistband. The student then ran up a hill and shot himself in the head. The principal and two students witnessed the shooting.")</f>
        <v>A student and his friend (also a student) were sit inside his car in the school parking lot. The school safety officer noticed them and told them to go inside because class had started. The safety officer noticed a vaping device in the car that he confiscated. When the student got out of the car, the safety officer noticed a gun in his waistband. The student then ran up a hill and shot himself in the head. The principal and two students witnessed the shooting.</v>
      </c>
      <c r="AA594" s="5" t="str">
        <f ca="1">IFERROR(__xludf.DUMMYFUNCTION("""COMPUTED_VALUE"""),"Suicide/Attempted")</f>
        <v>Suicide/Attempted</v>
      </c>
      <c r="AB594" s="5"/>
      <c r="AC594" s="5" t="str">
        <f ca="1">IFERROR(__xludf.DUMMYFUNCTION("""COMPUTED_VALUE"""),"No")</f>
        <v>No</v>
      </c>
      <c r="AD594" s="5" t="str">
        <f ca="1">IFERROR(__xludf.DUMMYFUNCTION("""COMPUTED_VALUE"""),"No")</f>
        <v>No</v>
      </c>
      <c r="AE594" s="5" t="str">
        <f ca="1">IFERROR(__xludf.DUMMYFUNCTION("""COMPUTED_VALUE"""),"No")</f>
        <v>No</v>
      </c>
      <c r="AF594" s="5" t="str">
        <f ca="1">IFERROR(__xludf.DUMMYFUNCTION("""COMPUTED_VALUE"""),"No")</f>
        <v>No</v>
      </c>
      <c r="AG594" s="5"/>
      <c r="AH594" s="5" t="str">
        <f ca="1">IFERROR(__xludf.DUMMYFUNCTION("""COMPUTED_VALUE"""),"No")</f>
        <v>No</v>
      </c>
      <c r="AI594" s="5" t="str">
        <f ca="1">IFERROR(__xludf.DUMMYFUNCTION("""COMPUTED_VALUE"""),"No")</f>
        <v>No</v>
      </c>
      <c r="AJ594" s="5" t="str">
        <f ca="1">IFERROR(__xludf.DUMMYFUNCTION("""COMPUTED_VALUE"""),"No")</f>
        <v>No</v>
      </c>
    </row>
    <row r="595" spans="1:36" ht="13">
      <c r="A595" s="5" t="str">
        <f ca="1">IFERROR(__xludf.DUMMYFUNCTION("""COMPUTED_VALUE"""),"20210502ILCHC")</f>
        <v>20210502ILCHC</v>
      </c>
      <c r="B595" s="5">
        <f ca="1">IFERROR(__xludf.DUMMYFUNCTION("""COMPUTED_VALUE"""),5)</f>
        <v>5</v>
      </c>
      <c r="C595" s="5">
        <f ca="1">IFERROR(__xludf.DUMMYFUNCTION("""COMPUTED_VALUE"""),2)</f>
        <v>2</v>
      </c>
      <c r="D595" s="5">
        <f ca="1">IFERROR(__xludf.DUMMYFUNCTION("""COMPUTED_VALUE"""),2021)</f>
        <v>2021</v>
      </c>
      <c r="E595" s="8">
        <f ca="1">IFERROR(__xludf.DUMMYFUNCTION("""COMPUTED_VALUE"""),44318)</f>
        <v>44318</v>
      </c>
      <c r="F595" s="5" t="str">
        <f ca="1">IFERROR(__xludf.DUMMYFUNCTION("""COMPUTED_VALUE"""),"Chicago Bulls College Prep High School")</f>
        <v>Chicago Bulls College Prep High School</v>
      </c>
      <c r="G595" s="5">
        <f ca="1">IFERROR(__xludf.DUMMYFUNCTION("""COMPUTED_VALUE"""),0)</f>
        <v>0</v>
      </c>
      <c r="H595" s="5">
        <f ca="1">IFERROR(__xludf.DUMMYFUNCTION("""COMPUTED_VALUE"""),5)</f>
        <v>5</v>
      </c>
      <c r="I595" s="5">
        <f ca="1">IFERROR(__xludf.DUMMYFUNCTION("""COMPUTED_VALUE"""),5)</f>
        <v>5</v>
      </c>
      <c r="J595" s="5">
        <f ca="1">IFERROR(__xludf.DUMMYFUNCTION("""COMPUTED_VALUE"""),0)</f>
        <v>0</v>
      </c>
      <c r="K595" s="9" t="str">
        <f ca="1">IFERROR(__xludf.DUMMYFUNCTION("""COMPUTED_VALUE"""),"https://chicago.cbslocal.com/2021/05/03/near-west-side-shooting-2/")</f>
        <v>https://chicago.cbslocal.com/2021/05/03/near-west-side-shooting-2/</v>
      </c>
      <c r="L595" s="5">
        <f ca="1">IFERROR(__xludf.DUMMYFUNCTION("""COMPUTED_VALUE"""),2)</f>
        <v>2</v>
      </c>
      <c r="M595" s="5" t="str">
        <f ca="1">IFERROR(__xludf.DUMMYFUNCTION("""COMPUTED_VALUE"""),"Local")</f>
        <v>Local</v>
      </c>
      <c r="N595" s="5">
        <f ca="1">IFERROR(__xludf.DUMMYFUNCTION("""COMPUTED_VALUE"""),3)</f>
        <v>3</v>
      </c>
      <c r="O595" s="5" t="str">
        <f ca="1">IFERROR(__xludf.DUMMYFUNCTION("""COMPUTED_VALUE"""),"Spring")</f>
        <v>Spring</v>
      </c>
      <c r="P595" s="5" t="str">
        <f ca="1">IFERROR(__xludf.DUMMYFUNCTION("""COMPUTED_VALUE"""),"Chicago")</f>
        <v>Chicago</v>
      </c>
      <c r="Q595" s="5" t="str">
        <f ca="1">IFERROR(__xludf.DUMMYFUNCTION("""COMPUTED_VALUE"""),"IL")</f>
        <v>IL</v>
      </c>
      <c r="R595" s="5" t="str">
        <f ca="1">IFERROR(__xludf.DUMMYFUNCTION("""COMPUTED_VALUE"""),"High")</f>
        <v>High</v>
      </c>
      <c r="S595" s="5" t="str">
        <f ca="1">IFERROR(__xludf.DUMMYFUNCTION("""COMPUTED_VALUE"""),"Front of School")</f>
        <v>Front of School</v>
      </c>
      <c r="T595" s="5" t="str">
        <f ca="1">IFERROR(__xludf.DUMMYFUNCTION("""COMPUTED_VALUE"""),"Outside on School Property")</f>
        <v>Outside on School Property</v>
      </c>
      <c r="U595" s="5" t="str">
        <f ca="1">IFERROR(__xludf.DUMMYFUNCTION("""COMPUTED_VALUE"""),"No")</f>
        <v>No</v>
      </c>
      <c r="V595" s="5" t="str">
        <f ca="1">IFERROR(__xludf.DUMMYFUNCTION("""COMPUTED_VALUE"""),"Night")</f>
        <v>Night</v>
      </c>
      <c r="W595" s="10">
        <f ca="1">IFERROR(__xludf.DUMMYFUNCTION("""COMPUTED_VALUE"""),0.965277777777777)</f>
        <v>0.96527777777777701</v>
      </c>
      <c r="X595" s="5">
        <f ca="1">IFERROR(__xludf.DUMMYFUNCTION("""COMPUTED_VALUE"""),1)</f>
        <v>1</v>
      </c>
      <c r="Y595" s="5" t="str">
        <f ca="1">IFERROR(__xludf.DUMMYFUNCTION("""COMPUTED_VALUE"""),"5 people shot during drive-by shooting in front of the school")</f>
        <v>5 people shot during drive-by shooting in front of the school</v>
      </c>
      <c r="Z595" s="5" t="str">
        <f ca="1">IFERROR(__xludf.DUMMYFUNCTION("""COMPUTED_VALUE"""),"Three people inside an SUV fired shots at a crowd standing in front of the high school. 3 adult women and 2 adult men were shot. The shooters fled the scene. No students or staff were at the school.")</f>
        <v>Three people inside an SUV fired shots at a crowd standing in front of the high school. 3 adult women and 2 adult men were shot. The shooters fled the scene. No students or staff were at the school.</v>
      </c>
      <c r="AA595" s="5" t="str">
        <f ca="1">IFERROR(__xludf.DUMMYFUNCTION("""COMPUTED_VALUE"""),"Drive-by Shooting")</f>
        <v>Drive-by Shooting</v>
      </c>
      <c r="AB595" s="5" t="str">
        <f ca="1">IFERROR(__xludf.DUMMYFUNCTION("""COMPUTED_VALUE"""),"Both")</f>
        <v>Both</v>
      </c>
      <c r="AC595" s="5" t="str">
        <f ca="1">IFERROR(__xludf.DUMMYFUNCTION("""COMPUTED_VALUE"""),"Yes")</f>
        <v>Yes</v>
      </c>
      <c r="AD595" s="5"/>
      <c r="AE595" s="5" t="str">
        <f ca="1">IFERROR(__xludf.DUMMYFUNCTION("""COMPUTED_VALUE"""),"No")</f>
        <v>No</v>
      </c>
      <c r="AF595" s="5" t="str">
        <f ca="1">IFERROR(__xludf.DUMMYFUNCTION("""COMPUTED_VALUE"""),"No")</f>
        <v>No</v>
      </c>
      <c r="AG595" s="5" t="str">
        <f ca="1">IFERROR(__xludf.DUMMYFUNCTION("""COMPUTED_VALUE"""),"No")</f>
        <v>No</v>
      </c>
      <c r="AH595" s="5" t="str">
        <f ca="1">IFERROR(__xludf.DUMMYFUNCTION("""COMPUTED_VALUE"""),"No")</f>
        <v>No</v>
      </c>
      <c r="AI595" s="5"/>
      <c r="AJ595" s="5" t="str">
        <f ca="1">IFERROR(__xludf.DUMMYFUNCTION("""COMPUTED_VALUE"""),"No")</f>
        <v>No</v>
      </c>
    </row>
    <row r="596" spans="1:36" ht="13">
      <c r="A596" s="5" t="str">
        <f ca="1">IFERROR(__xludf.DUMMYFUNCTION("""COMPUTED_VALUE"""),"20210501MNBES")</f>
        <v>20210501MNBES</v>
      </c>
      <c r="B596" s="5">
        <f ca="1">IFERROR(__xludf.DUMMYFUNCTION("""COMPUTED_VALUE"""),5)</f>
        <v>5</v>
      </c>
      <c r="C596" s="5">
        <f ca="1">IFERROR(__xludf.DUMMYFUNCTION("""COMPUTED_VALUE"""),1)</f>
        <v>1</v>
      </c>
      <c r="D596" s="5">
        <f ca="1">IFERROR(__xludf.DUMMYFUNCTION("""COMPUTED_VALUE"""),2021)</f>
        <v>2021</v>
      </c>
      <c r="E596" s="8">
        <f ca="1">IFERROR(__xludf.DUMMYFUNCTION("""COMPUTED_VALUE"""),44317)</f>
        <v>44317</v>
      </c>
      <c r="F596" s="5" t="str">
        <f ca="1">IFERROR(__xludf.DUMMYFUNCTION("""COMPUTED_VALUE"""),"Benjamin E Mays School")</f>
        <v>Benjamin E Mays School</v>
      </c>
      <c r="G596" s="5">
        <f ca="1">IFERROR(__xludf.DUMMYFUNCTION("""COMPUTED_VALUE"""),0)</f>
        <v>0</v>
      </c>
      <c r="H596" s="5">
        <f ca="1">IFERROR(__xludf.DUMMYFUNCTION("""COMPUTED_VALUE"""),0)</f>
        <v>0</v>
      </c>
      <c r="I596" s="5">
        <f ca="1">IFERROR(__xludf.DUMMYFUNCTION("""COMPUTED_VALUE"""),0)</f>
        <v>0</v>
      </c>
      <c r="J596" s="5">
        <f ca="1">IFERROR(__xludf.DUMMYFUNCTION("""COMPUTED_VALUE"""),0)</f>
        <v>0</v>
      </c>
      <c r="K596" s="5" t="str">
        <f ca="1">IFERROR(__xludf.DUMMYFUNCTION("""COMPUTED_VALUE"""),"https://www.startribune.com/police-say-7-people-were-injured-overnight-in-3-separate-st-paul-shootings/600052798/?refresh=true https://apnews.com/article/st-paul-shootings-d8fd608a0b03d25db7e741f469555684 https://www.kare11.com/article/news/local/three-se"&amp;"parate-overnight-shootings-injure-7-in-st-paul/89-c7a084e5-5ad0-4050-a5d6-612f19a8fb8d")</f>
        <v>https://www.startribune.com/police-say-7-people-were-injured-overnight-in-3-separate-st-paul-shootings/600052798/?refresh=true https://apnews.com/article/st-paul-shootings-d8fd608a0b03d25db7e741f469555684 https://www.kare11.com/article/news/local/three-separate-overnight-shootings-injure-7-in-st-paul/89-c7a084e5-5ad0-4050-a5d6-612f19a8fb8d</v>
      </c>
      <c r="L596" s="5">
        <f ca="1">IFERROR(__xludf.DUMMYFUNCTION("""COMPUTED_VALUE"""),3)</f>
        <v>3</v>
      </c>
      <c r="M596" s="5" t="str">
        <f ca="1">IFERROR(__xludf.DUMMYFUNCTION("""COMPUTED_VALUE"""),"Local")</f>
        <v>Local</v>
      </c>
      <c r="N596" s="5">
        <f ca="1">IFERROR(__xludf.DUMMYFUNCTION("""COMPUTED_VALUE"""),4)</f>
        <v>4</v>
      </c>
      <c r="O596" s="5" t="str">
        <f ca="1">IFERROR(__xludf.DUMMYFUNCTION("""COMPUTED_VALUE"""),"Spring")</f>
        <v>Spring</v>
      </c>
      <c r="P596" s="5" t="str">
        <f ca="1">IFERROR(__xludf.DUMMYFUNCTION("""COMPUTED_VALUE"""),"St. Paul")</f>
        <v>St. Paul</v>
      </c>
      <c r="Q596" s="5" t="str">
        <f ca="1">IFERROR(__xludf.DUMMYFUNCTION("""COMPUTED_VALUE"""),"MN")</f>
        <v>MN</v>
      </c>
      <c r="R596" s="5" t="str">
        <f ca="1">IFERROR(__xludf.DUMMYFUNCTION("""COMPUTED_VALUE"""),"Elementary")</f>
        <v>Elementary</v>
      </c>
      <c r="S596" s="5" t="str">
        <f ca="1">IFERROR(__xludf.DUMMYFUNCTION("""COMPUTED_VALUE"""),"Front of School")</f>
        <v>Front of School</v>
      </c>
      <c r="T596" s="5" t="str">
        <f ca="1">IFERROR(__xludf.DUMMYFUNCTION("""COMPUTED_VALUE"""),"Outside on School Property")</f>
        <v>Outside on School Property</v>
      </c>
      <c r="U596" s="5" t="str">
        <f ca="1">IFERROR(__xludf.DUMMYFUNCTION("""COMPUTED_VALUE"""),"No")</f>
        <v>No</v>
      </c>
      <c r="V596" s="5" t="str">
        <f ca="1">IFERROR(__xludf.DUMMYFUNCTION("""COMPUTED_VALUE"""),"Night")</f>
        <v>Night</v>
      </c>
      <c r="W596" s="10">
        <f ca="1">IFERROR(__xludf.DUMMYFUNCTION("""COMPUTED_VALUE"""),0.981944444444444)</f>
        <v>0.98194444444444395</v>
      </c>
      <c r="X596" s="5">
        <f ca="1">IFERROR(__xludf.DUMMYFUNCTION("""COMPUTED_VALUE"""),1)</f>
        <v>1</v>
      </c>
      <c r="Y596" s="5" t="str">
        <f ca="1">IFERROR(__xludf.DUMMYFUNCTION("""COMPUTED_VALUE"""),"Shots fired by 5 different armed men involved in a fight struck the school building")</f>
        <v>Shots fired by 5 different armed men involved in a fight struck the school building</v>
      </c>
      <c r="Z596" s="5" t="str">
        <f ca="1">IFERROR(__xludf.DUMMYFUNCTION("""COMPUTED_VALUE"""),"Three armed men began firing at two men in a vehicle who were also armed. All five fired shots. Dozens of shots were fired striking 6 different vehicles and the school building. The shooting took place 2 blocks from the school. No students or staff were i"&amp;"nside the building at the time of the shooting.")</f>
        <v>Three armed men began firing at two men in a vehicle who were also armed. All five fired shots. Dozens of shots were fired striking 6 different vehicles and the school building. The shooting took place 2 blocks from the school. No students or staff were inside the building at the time of the shooting.</v>
      </c>
      <c r="AA596" s="5"/>
      <c r="AB596" s="5" t="str">
        <f ca="1">IFERROR(__xludf.DUMMYFUNCTION("""COMPUTED_VALUE"""),"Victims Targeted")</f>
        <v>Victims Targeted</v>
      </c>
      <c r="AC596" s="5" t="str">
        <f ca="1">IFERROR(__xludf.DUMMYFUNCTION("""COMPUTED_VALUE"""),"Yes")</f>
        <v>Yes</v>
      </c>
      <c r="AD596" s="5" t="str">
        <f ca="1">IFERROR(__xludf.DUMMYFUNCTION("""COMPUTED_VALUE"""),"No")</f>
        <v>No</v>
      </c>
      <c r="AE596" s="5" t="str">
        <f ca="1">IFERROR(__xludf.DUMMYFUNCTION("""COMPUTED_VALUE"""),"No")</f>
        <v>No</v>
      </c>
      <c r="AF596" s="5"/>
      <c r="AG596" s="5" t="str">
        <f ca="1">IFERROR(__xludf.DUMMYFUNCTION("""COMPUTED_VALUE"""),"No")</f>
        <v>No</v>
      </c>
      <c r="AH596" s="5" t="str">
        <f ca="1">IFERROR(__xludf.DUMMYFUNCTION("""COMPUTED_VALUE"""),"No")</f>
        <v>No</v>
      </c>
      <c r="AI596" s="5"/>
      <c r="AJ596" s="5" t="str">
        <f ca="1">IFERROR(__xludf.DUMMYFUNCTION("""COMPUTED_VALUE"""),"No")</f>
        <v>No</v>
      </c>
    </row>
    <row r="597" spans="1:36" ht="13">
      <c r="A597" s="5" t="str">
        <f ca="1">IFERROR(__xludf.DUMMYFUNCTION("""COMPUTED_VALUE"""),"20210430INMAI")</f>
        <v>20210430INMAI</v>
      </c>
      <c r="B597" s="5">
        <f ca="1">IFERROR(__xludf.DUMMYFUNCTION("""COMPUTED_VALUE"""),4)</f>
        <v>4</v>
      </c>
      <c r="C597" s="5">
        <f ca="1">IFERROR(__xludf.DUMMYFUNCTION("""COMPUTED_VALUE"""),30)</f>
        <v>30</v>
      </c>
      <c r="D597" s="5">
        <f ca="1">IFERROR(__xludf.DUMMYFUNCTION("""COMPUTED_VALUE"""),2021)</f>
        <v>2021</v>
      </c>
      <c r="E597" s="8">
        <f ca="1">IFERROR(__xludf.DUMMYFUNCTION("""COMPUTED_VALUE"""),44316)</f>
        <v>44316</v>
      </c>
      <c r="F597" s="5" t="str">
        <f ca="1">IFERROR(__xludf.DUMMYFUNCTION("""COMPUTED_VALUE"""),"Mary Castle Elementary School")</f>
        <v>Mary Castle Elementary School</v>
      </c>
      <c r="G597" s="5">
        <f ca="1">IFERROR(__xludf.DUMMYFUNCTION("""COMPUTED_VALUE"""),0)</f>
        <v>0</v>
      </c>
      <c r="H597" s="5">
        <f ca="1">IFERROR(__xludf.DUMMYFUNCTION("""COMPUTED_VALUE"""),1)</f>
        <v>1</v>
      </c>
      <c r="I597" s="5">
        <f ca="1">IFERROR(__xludf.DUMMYFUNCTION("""COMPUTED_VALUE"""),1)</f>
        <v>1</v>
      </c>
      <c r="J597" s="5">
        <f ca="1">IFERROR(__xludf.DUMMYFUNCTION("""COMPUTED_VALUE"""),0)</f>
        <v>0</v>
      </c>
      <c r="K597" s="5" t="str">
        <f ca="1">IFERROR(__xludf.DUMMYFUNCTION("""COMPUTED_VALUE"""),"https://www.wthr.com/article/news/crime/impd-investigating-shooting-near-school-on-northeast-side/531-4d099fdd-938a-4010-86a3-d3d9184dae48 https://www.msn.com/en-us/news/us/impd-investigating-shooting-near-school-on-northeast-side/ar-BB1ge4Oa")</f>
        <v>https://www.wthr.com/article/news/crime/impd-investigating-shooting-near-school-on-northeast-side/531-4d099fdd-938a-4010-86a3-d3d9184dae48 https://www.msn.com/en-us/news/us/impd-investigating-shooting-near-school-on-northeast-side/ar-BB1ge4Oa</v>
      </c>
      <c r="L597" s="5">
        <f ca="1">IFERROR(__xludf.DUMMYFUNCTION("""COMPUTED_VALUE"""),10)</f>
        <v>10</v>
      </c>
      <c r="M597" s="5" t="str">
        <f ca="1">IFERROR(__xludf.DUMMYFUNCTION("""COMPUTED_VALUE"""),"Regional")</f>
        <v>Regional</v>
      </c>
      <c r="N597" s="5">
        <f ca="1">IFERROR(__xludf.DUMMYFUNCTION("""COMPUTED_VALUE"""),4)</f>
        <v>4</v>
      </c>
      <c r="O597" s="5" t="str">
        <f ca="1">IFERROR(__xludf.DUMMYFUNCTION("""COMPUTED_VALUE"""),"Spring")</f>
        <v>Spring</v>
      </c>
      <c r="P597" s="5" t="str">
        <f ca="1">IFERROR(__xludf.DUMMYFUNCTION("""COMPUTED_VALUE"""),"Indianapolis")</f>
        <v>Indianapolis</v>
      </c>
      <c r="Q597" s="5" t="str">
        <f ca="1">IFERROR(__xludf.DUMMYFUNCTION("""COMPUTED_VALUE"""),"IN")</f>
        <v>IN</v>
      </c>
      <c r="R597" s="5" t="str">
        <f ca="1">IFERROR(__xludf.DUMMYFUNCTION("""COMPUTED_VALUE"""),"Elementary")</f>
        <v>Elementary</v>
      </c>
      <c r="S597" s="5" t="str">
        <f ca="1">IFERROR(__xludf.DUMMYFUNCTION("""COMPUTED_VALUE"""),"Parking Lot")</f>
        <v>Parking Lot</v>
      </c>
      <c r="T597" s="5" t="str">
        <f ca="1">IFERROR(__xludf.DUMMYFUNCTION("""COMPUTED_VALUE"""),"Off School Property")</f>
        <v>Off School Property</v>
      </c>
      <c r="U597" s="5" t="str">
        <f ca="1">IFERROR(__xludf.DUMMYFUNCTION("""COMPUTED_VALUE"""),"Yes")</f>
        <v>Yes</v>
      </c>
      <c r="V597" s="5" t="str">
        <f ca="1">IFERROR(__xludf.DUMMYFUNCTION("""COMPUTED_VALUE"""),"Afternoon Classes")</f>
        <v>Afternoon Classes</v>
      </c>
      <c r="W597" s="10">
        <f ca="1">IFERROR(__xludf.DUMMYFUNCTION("""COMPUTED_VALUE"""),0.541666666666666)</f>
        <v>0.54166666666666596</v>
      </c>
      <c r="X597" s="5">
        <f ca="1">IFERROR(__xludf.DUMMYFUNCTION("""COMPUTED_VALUE"""),1)</f>
        <v>1</v>
      </c>
      <c r="Y597" s="5" t="str">
        <f ca="1">IFERROR(__xludf.DUMMYFUNCTION("""COMPUTED_VALUE"""),"Parent shot during domestic incident in school parking lot while class was in session")</f>
        <v>Parent shot during domestic incident in school parking lot while class was in session</v>
      </c>
      <c r="Z597" s="5" t="str">
        <f ca="1">IFERROR(__xludf.DUMMYFUNCTION("""COMPUTED_VALUE"""),"An adult female parent was shot during a domestic incident in the parking lot of the school. The school campus was locked down and the shooter did not enter the school building. Initial report to police of a student abducted by the shooter, that report wa"&amp;"s determined to be incorrect after students were accounted for. 950 students were on campus at the time of the shooting. Shooter fled the area. Victim was transported in critical condition. After searching the campus, parents were notified to pickup child"&amp;"ren and school was dismissed.")</f>
        <v>An adult female parent was shot during a domestic incident in the parking lot of the school. The school campus was locked down and the shooter did not enter the school building. Initial report to police of a student abducted by the shooter, that report was determined to be incorrect after students were accounted for. 950 students were on campus at the time of the shooting. Shooter fled the area. Victim was transported in critical condition. After searching the campus, parents were notified to pickup children and school was dismissed.</v>
      </c>
      <c r="AA597" s="5" t="str">
        <f ca="1">IFERROR(__xludf.DUMMYFUNCTION("""COMPUTED_VALUE"""),"Domestic w/ Targeted Victim")</f>
        <v>Domestic w/ Targeted Victim</v>
      </c>
      <c r="AB597" s="5" t="str">
        <f ca="1">IFERROR(__xludf.DUMMYFUNCTION("""COMPUTED_VALUE"""),"Victims Targeted")</f>
        <v>Victims Targeted</v>
      </c>
      <c r="AC597" s="5" t="str">
        <f ca="1">IFERROR(__xludf.DUMMYFUNCTION("""COMPUTED_VALUE"""),"No")</f>
        <v>No</v>
      </c>
      <c r="AD597" s="5" t="str">
        <f ca="1">IFERROR(__xludf.DUMMYFUNCTION("""COMPUTED_VALUE"""),"No")</f>
        <v>No</v>
      </c>
      <c r="AE597" s="5" t="str">
        <f ca="1">IFERROR(__xludf.DUMMYFUNCTION("""COMPUTED_VALUE"""),"No")</f>
        <v>No</v>
      </c>
      <c r="AF597" s="5" t="str">
        <f ca="1">IFERROR(__xludf.DUMMYFUNCTION("""COMPUTED_VALUE"""),"No")</f>
        <v>No</v>
      </c>
      <c r="AG597" s="5" t="str">
        <f ca="1">IFERROR(__xludf.DUMMYFUNCTION("""COMPUTED_VALUE"""),"No")</f>
        <v>No</v>
      </c>
      <c r="AH597" s="5" t="str">
        <f ca="1">IFERROR(__xludf.DUMMYFUNCTION("""COMPUTED_VALUE"""),"Yes")</f>
        <v>Yes</v>
      </c>
      <c r="AI597" s="5" t="str">
        <f ca="1">IFERROR(__xludf.DUMMYFUNCTION("""COMPUTED_VALUE"""),"No")</f>
        <v>No</v>
      </c>
      <c r="AJ597" s="5" t="str">
        <f ca="1">IFERROR(__xludf.DUMMYFUNCTION("""COMPUTED_VALUE"""),"No")</f>
        <v>No</v>
      </c>
    </row>
    <row r="598" spans="1:36" ht="13">
      <c r="A598" s="5" t="str">
        <f ca="1">IFERROR(__xludf.DUMMYFUNCTION("""COMPUTED_VALUE"""),"20210429NYURB")</f>
        <v>20210429NYURB</v>
      </c>
      <c r="B598" s="5">
        <f ca="1">IFERROR(__xludf.DUMMYFUNCTION("""COMPUTED_VALUE"""),4)</f>
        <v>4</v>
      </c>
      <c r="C598" s="5">
        <f ca="1">IFERROR(__xludf.DUMMYFUNCTION("""COMPUTED_VALUE"""),29)</f>
        <v>29</v>
      </c>
      <c r="D598" s="5">
        <f ca="1">IFERROR(__xludf.DUMMYFUNCTION("""COMPUTED_VALUE"""),2021)</f>
        <v>2021</v>
      </c>
      <c r="E598" s="8">
        <f ca="1">IFERROR(__xludf.DUMMYFUNCTION("""COMPUTED_VALUE"""),44315)</f>
        <v>44315</v>
      </c>
      <c r="F598" s="5" t="str">
        <f ca="1">IFERROR(__xludf.DUMMYFUNCTION("""COMPUTED_VALUE"""),"Urban Dove Charter School")</f>
        <v>Urban Dove Charter School</v>
      </c>
      <c r="G598" s="5">
        <f ca="1">IFERROR(__xludf.DUMMYFUNCTION("""COMPUTED_VALUE"""),1)</f>
        <v>1</v>
      </c>
      <c r="H598" s="5">
        <f ca="1">IFERROR(__xludf.DUMMYFUNCTION("""COMPUTED_VALUE"""),0)</f>
        <v>0</v>
      </c>
      <c r="I598" s="5">
        <f ca="1">IFERROR(__xludf.DUMMYFUNCTION("""COMPUTED_VALUE"""),1)</f>
        <v>1</v>
      </c>
      <c r="J598" s="5">
        <f ca="1">IFERROR(__xludf.DUMMYFUNCTION("""COMPUTED_VALUE"""),0)</f>
        <v>0</v>
      </c>
      <c r="K598" s="5" t="str">
        <f ca="1">IFERROR(__xludf.DUMMYFUNCTION("""COMPUTED_VALUE"""),"https://pix11.com/news/local-news/brooklyn/teens-arrested-in-shooting-death-of-17-year-old-outside-brooklyn-school/ https://www.nydailynews.com/new-york/nyc-crime/ny-nyc-charter-school-murder-teen-family-speaks-20210521-lenaidbv3rgfzlzme4yerzegwi-story.ht"&amp;"ml https://www.nydailynews.com/new-york/nyc-crime/ny-shooting-brooklyn-charter-school-20210429-c6gicn5epfdstkxh4lm7y3esiu-story.html https://nypost.com/2021/04/29/shooting-in-front-of-brooklyn-school-for-troubled-teens/ https://nypost.com/2021/04/30/17-ye"&amp;"ar-old-boy-fatally-shot-outside-nyc-charter-school/")</f>
        <v>https://pix11.com/news/local-news/brooklyn/teens-arrested-in-shooting-death-of-17-year-old-outside-brooklyn-school/ https://www.nydailynews.com/new-york/nyc-crime/ny-nyc-charter-school-murder-teen-family-speaks-20210521-lenaidbv3rgfzlzme4yerzegwi-story.html https://www.nydailynews.com/new-york/nyc-crime/ny-shooting-brooklyn-charter-school-20210429-c6gicn5epfdstkxh4lm7y3esiu-story.html https://nypost.com/2021/04/29/shooting-in-front-of-brooklyn-school-for-troubled-teens/ https://nypost.com/2021/04/30/17-year-old-boy-fatally-shot-outside-nyc-charter-school/</v>
      </c>
      <c r="L598" s="5">
        <f ca="1">IFERROR(__xludf.DUMMYFUNCTION("""COMPUTED_VALUE"""),10)</f>
        <v>10</v>
      </c>
      <c r="M598" s="5" t="str">
        <f ca="1">IFERROR(__xludf.DUMMYFUNCTION("""COMPUTED_VALUE"""),"Regional")</f>
        <v>Regional</v>
      </c>
      <c r="N598" s="5">
        <f ca="1">IFERROR(__xludf.DUMMYFUNCTION("""COMPUTED_VALUE"""),4)</f>
        <v>4</v>
      </c>
      <c r="O598" s="5" t="str">
        <f ca="1">IFERROR(__xludf.DUMMYFUNCTION("""COMPUTED_VALUE"""),"Spring")</f>
        <v>Spring</v>
      </c>
      <c r="P598" s="5" t="str">
        <f ca="1">IFERROR(__xludf.DUMMYFUNCTION("""COMPUTED_VALUE"""),"Brooklyn")</f>
        <v>Brooklyn</v>
      </c>
      <c r="Q598" s="5" t="str">
        <f ca="1">IFERROR(__xludf.DUMMYFUNCTION("""COMPUTED_VALUE"""),"NY")</f>
        <v>NY</v>
      </c>
      <c r="R598" s="5" t="str">
        <f ca="1">IFERROR(__xludf.DUMMYFUNCTION("""COMPUTED_VALUE"""),"High")</f>
        <v>High</v>
      </c>
      <c r="S598" s="5" t="str">
        <f ca="1">IFERROR(__xludf.DUMMYFUNCTION("""COMPUTED_VALUE"""),"Front of School")</f>
        <v>Front of School</v>
      </c>
      <c r="T598" s="5" t="str">
        <f ca="1">IFERROR(__xludf.DUMMYFUNCTION("""COMPUTED_VALUE"""),"Outside on School Property")</f>
        <v>Outside on School Property</v>
      </c>
      <c r="U598" s="5" t="str">
        <f ca="1">IFERROR(__xludf.DUMMYFUNCTION("""COMPUTED_VALUE"""),"Yes")</f>
        <v>Yes</v>
      </c>
      <c r="V598" s="5" t="str">
        <f ca="1">IFERROR(__xludf.DUMMYFUNCTION("""COMPUTED_VALUE"""),"Dismissal")</f>
        <v>Dismissal</v>
      </c>
      <c r="W598" s="10">
        <f ca="1">IFERROR(__xludf.DUMMYFUNCTION("""COMPUTED_VALUE"""),0.614583333333333)</f>
        <v>0.61458333333333304</v>
      </c>
      <c r="X598" s="5">
        <f ca="1">IFERROR(__xludf.DUMMYFUNCTION("""COMPUTED_VALUE"""),1)</f>
        <v>1</v>
      </c>
      <c r="Y598" s="5" t="str">
        <f ca="1">IFERROR(__xludf.DUMMYFUNCTION("""COMPUTED_VALUE"""),"Teen fatally shot on front steps leaving the school building")</f>
        <v>Teen fatally shot on front steps leaving the school building</v>
      </c>
      <c r="Z598" s="5" t="str">
        <f ca="1">IFERROR(__xludf.DUMMYFUNCTION("""COMPUTED_VALUE"""),"Teen fatally shot on front steps leaving the school building")</f>
        <v>Teen fatally shot on front steps leaving the school building</v>
      </c>
      <c r="AA598" s="5"/>
      <c r="AB598" s="5" t="str">
        <f ca="1">IFERROR(__xludf.DUMMYFUNCTION("""COMPUTED_VALUE"""),"Victims Targeted")</f>
        <v>Victims Targeted</v>
      </c>
      <c r="AC598" s="5" t="str">
        <f ca="1">IFERROR(__xludf.DUMMYFUNCTION("""COMPUTED_VALUE"""),"Yes")</f>
        <v>Yes</v>
      </c>
      <c r="AD598" s="5" t="str">
        <f ca="1">IFERROR(__xludf.DUMMYFUNCTION("""COMPUTED_VALUE"""),"No")</f>
        <v>No</v>
      </c>
      <c r="AE598" s="5" t="str">
        <f ca="1">IFERROR(__xludf.DUMMYFUNCTION("""COMPUTED_VALUE"""),"No")</f>
        <v>No</v>
      </c>
      <c r="AF598" s="5" t="str">
        <f ca="1">IFERROR(__xludf.DUMMYFUNCTION("""COMPUTED_VALUE"""),"No")</f>
        <v>No</v>
      </c>
      <c r="AG598" s="5" t="str">
        <f ca="1">IFERROR(__xludf.DUMMYFUNCTION("""COMPUTED_VALUE"""),"No")</f>
        <v>No</v>
      </c>
      <c r="AH598" s="5" t="str">
        <f ca="1">IFERROR(__xludf.DUMMYFUNCTION("""COMPUTED_VALUE"""),"No")</f>
        <v>No</v>
      </c>
      <c r="AI598" s="5"/>
      <c r="AJ598" s="5" t="str">
        <f ca="1">IFERROR(__xludf.DUMMYFUNCTION("""COMPUTED_VALUE"""),"No")</f>
        <v>No</v>
      </c>
    </row>
    <row r="599" spans="1:36" ht="13">
      <c r="A599" s="5" t="str">
        <f ca="1">IFERROR(__xludf.DUMMYFUNCTION("""COMPUTED_VALUE"""),"20210429CAVIV")</f>
        <v>20210429CAVIV</v>
      </c>
      <c r="B599" s="5">
        <f ca="1">IFERROR(__xludf.DUMMYFUNCTION("""COMPUTED_VALUE"""),4)</f>
        <v>4</v>
      </c>
      <c r="C599" s="5">
        <f ca="1">IFERROR(__xludf.DUMMYFUNCTION("""COMPUTED_VALUE"""),29)</f>
        <v>29</v>
      </c>
      <c r="D599" s="5">
        <f ca="1">IFERROR(__xludf.DUMMYFUNCTION("""COMPUTED_VALUE"""),2021)</f>
        <v>2021</v>
      </c>
      <c r="E599" s="8">
        <f ca="1">IFERROR(__xludf.DUMMYFUNCTION("""COMPUTED_VALUE"""),44315)</f>
        <v>44315</v>
      </c>
      <c r="F599" s="5" t="str">
        <f ca="1">IFERROR(__xludf.DUMMYFUNCTION("""COMPUTED_VALUE"""),"Victor Valley High School")</f>
        <v>Victor Valley High School</v>
      </c>
      <c r="G599" s="5">
        <f ca="1">IFERROR(__xludf.DUMMYFUNCTION("""COMPUTED_VALUE"""),0)</f>
        <v>0</v>
      </c>
      <c r="H599" s="5">
        <f ca="1">IFERROR(__xludf.DUMMYFUNCTION("""COMPUTED_VALUE"""),1)</f>
        <v>1</v>
      </c>
      <c r="I599" s="5">
        <f ca="1">IFERROR(__xludf.DUMMYFUNCTION("""COMPUTED_VALUE"""),1)</f>
        <v>1</v>
      </c>
      <c r="J599" s="5">
        <f ca="1">IFERROR(__xludf.DUMMYFUNCTION("""COMPUTED_VALUE"""),0)</f>
        <v>0</v>
      </c>
      <c r="K599" s="5" t="str">
        <f ca="1">IFERROR(__xludf.DUMMYFUNCTION("""COMPUTED_VALUE"""),"https://www.sbsun.com/2021/04/30/17-year-old-accused-of-attempted-murder-after-shooting-at-a-victorville-high-school/ https://www.foxla.com/news/17-year-old-arrested-following-shooting-near-high-school-in-victorville https://www.vvdailypress.com/story/new"&amp;"s/2021/04/29/victor-valley-high-school-locked-down-after-student-shot-nearby/7401969002/")</f>
        <v>https://www.sbsun.com/2021/04/30/17-year-old-accused-of-attempted-murder-after-shooting-at-a-victorville-high-school/ https://www.foxla.com/news/17-year-old-arrested-following-shooting-near-high-school-in-victorville https://www.vvdailypress.com/story/news/2021/04/29/victor-valley-high-school-locked-down-after-student-shot-nearby/7401969002/</v>
      </c>
      <c r="L599" s="5">
        <f ca="1">IFERROR(__xludf.DUMMYFUNCTION("""COMPUTED_VALUE"""),5)</f>
        <v>5</v>
      </c>
      <c r="M599" s="5" t="str">
        <f ca="1">IFERROR(__xludf.DUMMYFUNCTION("""COMPUTED_VALUE"""),"Regional")</f>
        <v>Regional</v>
      </c>
      <c r="N599" s="5">
        <f ca="1">IFERROR(__xludf.DUMMYFUNCTION("""COMPUTED_VALUE"""),4)</f>
        <v>4</v>
      </c>
      <c r="O599" s="5" t="str">
        <f ca="1">IFERROR(__xludf.DUMMYFUNCTION("""COMPUTED_VALUE"""),"Spring")</f>
        <v>Spring</v>
      </c>
      <c r="P599" s="5" t="str">
        <f ca="1">IFERROR(__xludf.DUMMYFUNCTION("""COMPUTED_VALUE"""),"Victorville")</f>
        <v>Victorville</v>
      </c>
      <c r="Q599" s="5" t="str">
        <f ca="1">IFERROR(__xludf.DUMMYFUNCTION("""COMPUTED_VALUE"""),"CA")</f>
        <v>CA</v>
      </c>
      <c r="R599" s="5" t="str">
        <f ca="1">IFERROR(__xludf.DUMMYFUNCTION("""COMPUTED_VALUE"""),"High")</f>
        <v>High</v>
      </c>
      <c r="S599" s="5" t="str">
        <f ca="1">IFERROR(__xludf.DUMMYFUNCTION("""COMPUTED_VALUE"""),"Parking Lot")</f>
        <v>Parking Lot</v>
      </c>
      <c r="T599" s="5" t="str">
        <f ca="1">IFERROR(__xludf.DUMMYFUNCTION("""COMPUTED_VALUE"""),"Outside on School Property")</f>
        <v>Outside on School Property</v>
      </c>
      <c r="U599" s="5" t="str">
        <f ca="1">IFERROR(__xludf.DUMMYFUNCTION("""COMPUTED_VALUE"""),"Yes")</f>
        <v>Yes</v>
      </c>
      <c r="V599" s="5" t="str">
        <f ca="1">IFERROR(__xludf.DUMMYFUNCTION("""COMPUTED_VALUE"""),"Lunch")</f>
        <v>Lunch</v>
      </c>
      <c r="W599" s="10">
        <f ca="1">IFERROR(__xludf.DUMMYFUNCTION("""COMPUTED_VALUE"""),0.504861111111111)</f>
        <v>0.50486111111111098</v>
      </c>
      <c r="X599" s="5">
        <f ca="1">IFERROR(__xludf.DUMMYFUNCTION("""COMPUTED_VALUE"""),1)</f>
        <v>1</v>
      </c>
      <c r="Y599" s="5" t="str">
        <f ca="1">IFERROR(__xludf.DUMMYFUNCTION("""COMPUTED_VALUE"""),"Teen fired into crowd during fight in school parking lot during lunch")</f>
        <v>Teen fired into crowd during fight in school parking lot during lunch</v>
      </c>
      <c r="Z599" s="5" t="str">
        <f ca="1">IFERROR(__xludf.DUMMYFUNCTION("""COMPUTED_VALUE"""),"Police were called for shots fired in the school parking lot during a large fight between multiple teens. The fight took place in both the school parking lot and the street in front of the school. A 17-year-old male non-student fired three shots into the "&amp;"crowd during the fight, striking an 18-year-old student in the foot. The shooter fled the scene and was arrested in a nearby residence. The school was locked down.")</f>
        <v>Police were called for shots fired in the school parking lot during a large fight between multiple teens. The fight took place in both the school parking lot and the street in front of the school. A 17-year-old male non-student fired three shots into the crowd during the fight, striking an 18-year-old student in the foot. The shooter fled the scene and was arrested in a nearby residence. The school was locked down.</v>
      </c>
      <c r="AA599" s="5" t="str">
        <f ca="1">IFERROR(__xludf.DUMMYFUNCTION("""COMPUTED_VALUE"""),"Escalation of Dispute")</f>
        <v>Escalation of Dispute</v>
      </c>
      <c r="AB599" s="5" t="str">
        <f ca="1">IFERROR(__xludf.DUMMYFUNCTION("""COMPUTED_VALUE"""),"Random Shooting")</f>
        <v>Random Shooting</v>
      </c>
      <c r="AC599" s="5" t="str">
        <f ca="1">IFERROR(__xludf.DUMMYFUNCTION("""COMPUTED_VALUE"""),"No")</f>
        <v>No</v>
      </c>
      <c r="AD599" s="5" t="str">
        <f ca="1">IFERROR(__xludf.DUMMYFUNCTION("""COMPUTED_VALUE"""),"No")</f>
        <v>No</v>
      </c>
      <c r="AE599" s="5" t="str">
        <f ca="1">IFERROR(__xludf.DUMMYFUNCTION("""COMPUTED_VALUE"""),"No")</f>
        <v>No</v>
      </c>
      <c r="AF599" s="5" t="str">
        <f ca="1">IFERROR(__xludf.DUMMYFUNCTION("""COMPUTED_VALUE"""),"No")</f>
        <v>No</v>
      </c>
      <c r="AG599" s="5" t="str">
        <f ca="1">IFERROR(__xludf.DUMMYFUNCTION("""COMPUTED_VALUE"""),"No")</f>
        <v>No</v>
      </c>
      <c r="AH599" s="5" t="str">
        <f ca="1">IFERROR(__xludf.DUMMYFUNCTION("""COMPUTED_VALUE"""),"No")</f>
        <v>No</v>
      </c>
      <c r="AI599" s="5" t="str">
        <f ca="1">IFERROR(__xludf.DUMMYFUNCTION("""COMPUTED_VALUE"""),"No")</f>
        <v>No</v>
      </c>
      <c r="AJ599" s="5" t="str">
        <f ca="1">IFERROR(__xludf.DUMMYFUNCTION("""COMPUTED_VALUE"""),"No")</f>
        <v>No</v>
      </c>
    </row>
    <row r="600" spans="1:36" ht="13">
      <c r="A600" s="5" t="str">
        <f ca="1">IFERROR(__xludf.DUMMYFUNCTION("""COMPUTED_VALUE"""),"20210427TNLAM")</f>
        <v>20210427TNLAM</v>
      </c>
      <c r="B600" s="5">
        <f ca="1">IFERROR(__xludf.DUMMYFUNCTION("""COMPUTED_VALUE"""),4)</f>
        <v>4</v>
      </c>
      <c r="C600" s="5">
        <f ca="1">IFERROR(__xludf.DUMMYFUNCTION("""COMPUTED_VALUE"""),27)</f>
        <v>27</v>
      </c>
      <c r="D600" s="5">
        <f ca="1">IFERROR(__xludf.DUMMYFUNCTION("""COMPUTED_VALUE"""),2021)</f>
        <v>2021</v>
      </c>
      <c r="E600" s="8">
        <f ca="1">IFERROR(__xludf.DUMMYFUNCTION("""COMPUTED_VALUE"""),44313)</f>
        <v>44313</v>
      </c>
      <c r="F600" s="5" t="str">
        <f ca="1">IFERROR(__xludf.DUMMYFUNCTION("""COMPUTED_VALUE"""),"La Petite Academy")</f>
        <v>La Petite Academy</v>
      </c>
      <c r="G600" s="5">
        <f ca="1">IFERROR(__xludf.DUMMYFUNCTION("""COMPUTED_VALUE"""),0)</f>
        <v>0</v>
      </c>
      <c r="H600" s="5">
        <f ca="1">IFERROR(__xludf.DUMMYFUNCTION("""COMPUTED_VALUE"""),0)</f>
        <v>0</v>
      </c>
      <c r="I600" s="5">
        <f ca="1">IFERROR(__xludf.DUMMYFUNCTION("""COMPUTED_VALUE"""),0)</f>
        <v>0</v>
      </c>
      <c r="J600" s="5">
        <f ca="1">IFERROR(__xludf.DUMMYFUNCTION("""COMPUTED_VALUE"""),0)</f>
        <v>0</v>
      </c>
      <c r="K600" s="5" t="str">
        <f ca="1">IFERROR(__xludf.DUMMYFUNCTION("""COMPUTED_VALUE"""),"https://www.wmcactionnews5.com/2021/04/27/police-investigating-shots-fired-memphis-day-care-facility/ https://www.wkrn.com/news/tennessee-news/police-mother-fired-shot-into-memphis-daycare-after-argument-over-payments/")</f>
        <v>https://www.wmcactionnews5.com/2021/04/27/police-investigating-shots-fired-memphis-day-care-facility/ https://www.wkrn.com/news/tennessee-news/police-mother-fired-shot-into-memphis-daycare-after-argument-over-payments/</v>
      </c>
      <c r="L600" s="5">
        <f ca="1">IFERROR(__xludf.DUMMYFUNCTION("""COMPUTED_VALUE"""),2)</f>
        <v>2</v>
      </c>
      <c r="M600" s="5" t="str">
        <f ca="1">IFERROR(__xludf.DUMMYFUNCTION("""COMPUTED_VALUE"""),"Local")</f>
        <v>Local</v>
      </c>
      <c r="N600" s="5">
        <f ca="1">IFERROR(__xludf.DUMMYFUNCTION("""COMPUTED_VALUE"""),4)</f>
        <v>4</v>
      </c>
      <c r="O600" s="5" t="str">
        <f ca="1">IFERROR(__xludf.DUMMYFUNCTION("""COMPUTED_VALUE"""),"Spring")</f>
        <v>Spring</v>
      </c>
      <c r="P600" s="5" t="str">
        <f ca="1">IFERROR(__xludf.DUMMYFUNCTION("""COMPUTED_VALUE"""),"Memphis")</f>
        <v>Memphis</v>
      </c>
      <c r="Q600" s="5" t="str">
        <f ca="1">IFERROR(__xludf.DUMMYFUNCTION("""COMPUTED_VALUE"""),"TN")</f>
        <v>TN</v>
      </c>
      <c r="R600" s="5" t="str">
        <f ca="1">IFERROR(__xludf.DUMMYFUNCTION("""COMPUTED_VALUE"""),"Other")</f>
        <v>Other</v>
      </c>
      <c r="S600" s="5" t="str">
        <f ca="1">IFERROR(__xludf.DUMMYFUNCTION("""COMPUTED_VALUE"""),"Front of School")</f>
        <v>Front of School</v>
      </c>
      <c r="T600" s="5" t="str">
        <f ca="1">IFERROR(__xludf.DUMMYFUNCTION("""COMPUTED_VALUE"""),"Outside on School Property")</f>
        <v>Outside on School Property</v>
      </c>
      <c r="U600" s="5" t="str">
        <f ca="1">IFERROR(__xludf.DUMMYFUNCTION("""COMPUTED_VALUE"""),"Yes")</f>
        <v>Yes</v>
      </c>
      <c r="V600" s="5" t="str">
        <f ca="1">IFERROR(__xludf.DUMMYFUNCTION("""COMPUTED_VALUE"""),"Dismissal")</f>
        <v>Dismissal</v>
      </c>
      <c r="W600" s="10">
        <f ca="1">IFERROR(__xludf.DUMMYFUNCTION("""COMPUTED_VALUE"""),0.666666666666666)</f>
        <v>0.66666666666666596</v>
      </c>
      <c r="X600" s="5">
        <f ca="1">IFERROR(__xludf.DUMMYFUNCTION("""COMPUTED_VALUE"""),1)</f>
        <v>1</v>
      </c>
      <c r="Y600" s="5" t="str">
        <f ca="1">IFERROR(__xludf.DUMMYFUNCTION("""COMPUTED_VALUE"""),"Following a dispute with staff about attendance, a parent fired a shot at the front door of the school")</f>
        <v>Following a dispute with staff about attendance, a parent fired a shot at the front door of the school</v>
      </c>
      <c r="Z600" s="5" t="str">
        <f ca="1">IFERROR(__xludf.DUMMYFUNCTION("""COMPUTED_VALUE"""),"An adult female parent had a dispute with a staff member about the attendance requirements to maintain enrollment at the school (a private pre-K to elementary ""pre-STEM"" program). Following the dispute, the woman exited the building and locked the door."&amp;" The woman walked to her car, got a handgun, tapped on the glass with the barrel of the gun, and then fired a single shot breaking the glass. She then fled the scene and was later arrested.")</f>
        <v>An adult female parent had a dispute with a staff member about the attendance requirements to maintain enrollment at the school (a private pre-K to elementary "pre-STEM" program). Following the dispute, the woman exited the building and locked the door. The woman walked to her car, got a handgun, tapped on the glass with the barrel of the gun, and then fired a single shot breaking the glass. She then fled the scene and was later arrested.</v>
      </c>
      <c r="AA600" s="5" t="str">
        <f ca="1">IFERROR(__xludf.DUMMYFUNCTION("""COMPUTED_VALUE"""),"Escalation of Dispute")</f>
        <v>Escalation of Dispute</v>
      </c>
      <c r="AB600" s="5" t="str">
        <f ca="1">IFERROR(__xludf.DUMMYFUNCTION("""COMPUTED_VALUE"""),"Random Shooting")</f>
        <v>Random Shooting</v>
      </c>
      <c r="AC600" s="5" t="str">
        <f ca="1">IFERROR(__xludf.DUMMYFUNCTION("""COMPUTED_VALUE"""),"No")</f>
        <v>No</v>
      </c>
      <c r="AD600" s="5" t="str">
        <f ca="1">IFERROR(__xludf.DUMMYFUNCTION("""COMPUTED_VALUE"""),"No")</f>
        <v>No</v>
      </c>
      <c r="AE600" s="5" t="str">
        <f ca="1">IFERROR(__xludf.DUMMYFUNCTION("""COMPUTED_VALUE"""),"No")</f>
        <v>No</v>
      </c>
      <c r="AF600" s="5" t="str">
        <f ca="1">IFERROR(__xludf.DUMMYFUNCTION("""COMPUTED_VALUE"""),"No")</f>
        <v>No</v>
      </c>
      <c r="AG600" s="5" t="str">
        <f ca="1">IFERROR(__xludf.DUMMYFUNCTION("""COMPUTED_VALUE"""),"No")</f>
        <v>No</v>
      </c>
      <c r="AH600" s="5" t="str">
        <f ca="1">IFERROR(__xludf.DUMMYFUNCTION("""COMPUTED_VALUE"""),"No")</f>
        <v>No</v>
      </c>
      <c r="AI600" s="5" t="str">
        <f ca="1">IFERROR(__xludf.DUMMYFUNCTION("""COMPUTED_VALUE"""),"No")</f>
        <v>No</v>
      </c>
      <c r="AJ600" s="5" t="str">
        <f ca="1">IFERROR(__xludf.DUMMYFUNCTION("""COMPUTED_VALUE"""),"No")</f>
        <v>No</v>
      </c>
    </row>
    <row r="601" spans="1:36" ht="13">
      <c r="A601" s="5" t="str">
        <f ca="1">IFERROR(__xludf.DUMMYFUNCTION("""COMPUTED_VALUE"""),"20210427DESMS")</f>
        <v>20210427DESMS</v>
      </c>
      <c r="B601" s="5">
        <f ca="1">IFERROR(__xludf.DUMMYFUNCTION("""COMPUTED_VALUE"""),4)</f>
        <v>4</v>
      </c>
      <c r="C601" s="5">
        <f ca="1">IFERROR(__xludf.DUMMYFUNCTION("""COMPUTED_VALUE"""),27)</f>
        <v>27</v>
      </c>
      <c r="D601" s="5">
        <f ca="1">IFERROR(__xludf.DUMMYFUNCTION("""COMPUTED_VALUE"""),2021)</f>
        <v>2021</v>
      </c>
      <c r="E601" s="8">
        <f ca="1">IFERROR(__xludf.DUMMYFUNCTION("""COMPUTED_VALUE"""),44313)</f>
        <v>44313</v>
      </c>
      <c r="F601" s="5" t="str">
        <f ca="1">IFERROR(__xludf.DUMMYFUNCTION("""COMPUTED_VALUE"""),"Smyrna Middle School")</f>
        <v>Smyrna Middle School</v>
      </c>
      <c r="G601" s="5">
        <f ca="1">IFERROR(__xludf.DUMMYFUNCTION("""COMPUTED_VALUE"""),1)</f>
        <v>1</v>
      </c>
      <c r="H601" s="5">
        <f ca="1">IFERROR(__xludf.DUMMYFUNCTION("""COMPUTED_VALUE"""),0)</f>
        <v>0</v>
      </c>
      <c r="I601" s="5">
        <f ca="1">IFERROR(__xludf.DUMMYFUNCTION("""COMPUTED_VALUE"""),1)</f>
        <v>1</v>
      </c>
      <c r="J601" s="5">
        <f ca="1">IFERROR(__xludf.DUMMYFUNCTION("""COMPUTED_VALUE"""),1)</f>
        <v>1</v>
      </c>
      <c r="K601" s="5" t="str">
        <f ca="1">IFERROR(__xludf.DUMMYFUNCTION("""COMPUTED_VALUE"""),"https://www.nbcphiladelphia.com/news/local/woman-shot-outside-smyrna-middle-school/2793670/ https://6abc.com/police-suspect-in-shooting-outside-delaware-school-involved-in-2nd-homicide/10556241/ https://www.wdel.com/smyrna-school-shooting/image_82583ad6-a"&amp;"76b-11eb-828d-9b489026d544.html https://whyy.org/articles/woman-shot-at-smyrna-middle-school-in-delaware/ https://www.delawareonline.com/story/news/crime/2021/04/28/smyrna-middle-school-shooting-police-release-new-information/4871123001/")</f>
        <v>https://www.nbcphiladelphia.com/news/local/woman-shot-outside-smyrna-middle-school/2793670/ https://6abc.com/police-suspect-in-shooting-outside-delaware-school-involved-in-2nd-homicide/10556241/ https://www.wdel.com/smyrna-school-shooting/image_82583ad6-a76b-11eb-828d-9b489026d544.html https://whyy.org/articles/woman-shot-at-smyrna-middle-school-in-delaware/ https://www.delawareonline.com/story/news/crime/2021/04/28/smyrna-middle-school-shooting-police-release-new-information/4871123001/</v>
      </c>
      <c r="L601" s="5">
        <f ca="1">IFERROR(__xludf.DUMMYFUNCTION("""COMPUTED_VALUE"""),10)</f>
        <v>10</v>
      </c>
      <c r="M601" s="5" t="str">
        <f ca="1">IFERROR(__xludf.DUMMYFUNCTION("""COMPUTED_VALUE"""),"Regional")</f>
        <v>Regional</v>
      </c>
      <c r="N601" s="5">
        <f ca="1">IFERROR(__xludf.DUMMYFUNCTION("""COMPUTED_VALUE"""),4)</f>
        <v>4</v>
      </c>
      <c r="O601" s="5" t="str">
        <f ca="1">IFERROR(__xludf.DUMMYFUNCTION("""COMPUTED_VALUE"""),"Spring")</f>
        <v>Spring</v>
      </c>
      <c r="P601" s="5" t="str">
        <f ca="1">IFERROR(__xludf.DUMMYFUNCTION("""COMPUTED_VALUE"""),"Smyrna")</f>
        <v>Smyrna</v>
      </c>
      <c r="Q601" s="5" t="str">
        <f ca="1">IFERROR(__xludf.DUMMYFUNCTION("""COMPUTED_VALUE"""),"DE")</f>
        <v>DE</v>
      </c>
      <c r="R601" s="5" t="str">
        <f ca="1">IFERROR(__xludf.DUMMYFUNCTION("""COMPUTED_VALUE"""),"Middle")</f>
        <v>Middle</v>
      </c>
      <c r="S601" s="5" t="str">
        <f ca="1">IFERROR(__xludf.DUMMYFUNCTION("""COMPUTED_VALUE"""),"Parking Lot")</f>
        <v>Parking Lot</v>
      </c>
      <c r="T601" s="5" t="str">
        <f ca="1">IFERROR(__xludf.DUMMYFUNCTION("""COMPUTED_VALUE"""),"Outside on School Property")</f>
        <v>Outside on School Property</v>
      </c>
      <c r="U601" s="5" t="str">
        <f ca="1">IFERROR(__xludf.DUMMYFUNCTION("""COMPUTED_VALUE"""),"Yes")</f>
        <v>Yes</v>
      </c>
      <c r="V601" s="5" t="str">
        <f ca="1">IFERROR(__xludf.DUMMYFUNCTION("""COMPUTED_VALUE"""),"Morning Classes")</f>
        <v>Morning Classes</v>
      </c>
      <c r="W601" s="10">
        <f ca="1">IFERROR(__xludf.DUMMYFUNCTION("""COMPUTED_VALUE"""),0.934027777777777)</f>
        <v>0.93402777777777701</v>
      </c>
      <c r="X601" s="5">
        <f ca="1">IFERROR(__xludf.DUMMYFUNCTION("""COMPUTED_VALUE"""),1)</f>
        <v>1</v>
      </c>
      <c r="Y601" s="5" t="str">
        <f ca="1">IFERROR(__xludf.DUMMYFUNCTION("""COMPUTED_VALUE"""),"Husband shot wife in school parking lot while she was waiting to pick-up child from medical appointment")</f>
        <v>Husband shot wife in school parking lot while she was waiting to pick-up child from medical appointment</v>
      </c>
      <c r="Z601" s="5" t="str">
        <f ca="1">IFERROR(__xludf.DUMMYFUNCTION("""COMPUTED_VALUE"""),"Husband shot wife in school parking lot while she was waiting to pick-up child from medical appointment")</f>
        <v>Husband shot wife in school parking lot while she was waiting to pick-up child from medical appointment</v>
      </c>
      <c r="AA601" s="5" t="str">
        <f ca="1">IFERROR(__xludf.DUMMYFUNCTION("""COMPUTED_VALUE"""),"Domestic w/ Targeted Victim")</f>
        <v>Domestic w/ Targeted Victim</v>
      </c>
      <c r="AB601" s="5" t="str">
        <f ca="1">IFERROR(__xludf.DUMMYFUNCTION("""COMPUTED_VALUE"""),"Victims Targeted")</f>
        <v>Victims Targeted</v>
      </c>
      <c r="AC601" s="5" t="str">
        <f ca="1">IFERROR(__xludf.DUMMYFUNCTION("""COMPUTED_VALUE"""),"No")</f>
        <v>No</v>
      </c>
      <c r="AD601" s="5" t="str">
        <f ca="1">IFERROR(__xludf.DUMMYFUNCTION("""COMPUTED_VALUE"""),"No")</f>
        <v>No</v>
      </c>
      <c r="AE601" s="5" t="str">
        <f ca="1">IFERROR(__xludf.DUMMYFUNCTION("""COMPUTED_VALUE"""),"No")</f>
        <v>No</v>
      </c>
      <c r="AF601" s="5" t="str">
        <f ca="1">IFERROR(__xludf.DUMMYFUNCTION("""COMPUTED_VALUE"""),"No")</f>
        <v>No</v>
      </c>
      <c r="AG601" s="5" t="str">
        <f ca="1">IFERROR(__xludf.DUMMYFUNCTION("""COMPUTED_VALUE"""),"No")</f>
        <v>No</v>
      </c>
      <c r="AH601" s="5" t="str">
        <f ca="1">IFERROR(__xludf.DUMMYFUNCTION("""COMPUTED_VALUE"""),"Yes")</f>
        <v>Yes</v>
      </c>
      <c r="AI601" s="5" t="str">
        <f ca="1">IFERROR(__xludf.DUMMYFUNCTION("""COMPUTED_VALUE"""),"No")</f>
        <v>No</v>
      </c>
      <c r="AJ601" s="5" t="str">
        <f ca="1">IFERROR(__xludf.DUMMYFUNCTION("""COMPUTED_VALUE"""),"No")</f>
        <v>No</v>
      </c>
    </row>
    <row r="602" spans="1:36" ht="13">
      <c r="A602" s="5" t="str">
        <f ca="1">IFERROR(__xludf.DUMMYFUNCTION("""COMPUTED_VALUE"""),"20210426MNPLP")</f>
        <v>20210426MNPLP</v>
      </c>
      <c r="B602" s="5">
        <f ca="1">IFERROR(__xludf.DUMMYFUNCTION("""COMPUTED_VALUE"""),4)</f>
        <v>4</v>
      </c>
      <c r="C602" s="5">
        <f ca="1">IFERROR(__xludf.DUMMYFUNCTION("""COMPUTED_VALUE"""),26)</f>
        <v>26</v>
      </c>
      <c r="D602" s="5">
        <f ca="1">IFERROR(__xludf.DUMMYFUNCTION("""COMPUTED_VALUE"""),2021)</f>
        <v>2021</v>
      </c>
      <c r="E602" s="8">
        <f ca="1">IFERROR(__xludf.DUMMYFUNCTION("""COMPUTED_VALUE"""),44312)</f>
        <v>44312</v>
      </c>
      <c r="F602" s="5" t="str">
        <f ca="1">IFERROR(__xludf.DUMMYFUNCTION("""COMPUTED_VALUE"""),"Plymouth Middle School")</f>
        <v>Plymouth Middle School</v>
      </c>
      <c r="G602" s="5">
        <f ca="1">IFERROR(__xludf.DUMMYFUNCTION("""COMPUTED_VALUE"""),0)</f>
        <v>0</v>
      </c>
      <c r="H602" s="5">
        <f ca="1">IFERROR(__xludf.DUMMYFUNCTION("""COMPUTED_VALUE"""),0)</f>
        <v>0</v>
      </c>
      <c r="I602" s="5">
        <f ca="1">IFERROR(__xludf.DUMMYFUNCTION("""COMPUTED_VALUE"""),0)</f>
        <v>0</v>
      </c>
      <c r="J602" s="5">
        <f ca="1">IFERROR(__xludf.DUMMYFUNCTION("""COMPUTED_VALUE"""),0)</f>
        <v>0</v>
      </c>
      <c r="K602" s="5" t="str">
        <f ca="1">IFERROR(__xludf.DUMMYFUNCTION("""COMPUTED_VALUE"""),"https://kstp.com/news/plymouth-middle-school-on-lockdown-students-safe-after-serious-incident-under-investigation/6086786/ https://abcnews.go.com/US/shots-fired-inside-minnesota-middle-school-hurt-police/story?id=77321095 https://kstp.com/news/father-of-s"&amp;"tudent-who-fired-gun-inside-plymouth-middle-school-offers-apologies/6087489/ https://www.startribune.com/plymouth-6th-grader-fires-gun-in-school-dad-says-boy-took-gun-from-home/600050309/?refresh=true")</f>
        <v>https://kstp.com/news/plymouth-middle-school-on-lockdown-students-safe-after-serious-incident-under-investigation/6086786/ https://abcnews.go.com/US/shots-fired-inside-minnesota-middle-school-hurt-police/story?id=77321095 https://kstp.com/news/father-of-student-who-fired-gun-inside-plymouth-middle-school-offers-apologies/6087489/ https://www.startribune.com/plymouth-6th-grader-fires-gun-in-school-dad-says-boy-took-gun-from-home/600050309/?refresh=true</v>
      </c>
      <c r="L602" s="5">
        <f ca="1">IFERROR(__xludf.DUMMYFUNCTION("""COMPUTED_VALUE"""),50)</f>
        <v>50</v>
      </c>
      <c r="M602" s="5" t="str">
        <f ca="1">IFERROR(__xludf.DUMMYFUNCTION("""COMPUTED_VALUE"""),"National")</f>
        <v>National</v>
      </c>
      <c r="N602" s="5">
        <f ca="1">IFERROR(__xludf.DUMMYFUNCTION("""COMPUTED_VALUE"""),4)</f>
        <v>4</v>
      </c>
      <c r="O602" s="5" t="str">
        <f ca="1">IFERROR(__xludf.DUMMYFUNCTION("""COMPUTED_VALUE"""),"Spring")</f>
        <v>Spring</v>
      </c>
      <c r="P602" s="5" t="str">
        <f ca="1">IFERROR(__xludf.DUMMYFUNCTION("""COMPUTED_VALUE"""),"Plymouth")</f>
        <v>Plymouth</v>
      </c>
      <c r="Q602" s="5" t="str">
        <f ca="1">IFERROR(__xludf.DUMMYFUNCTION("""COMPUTED_VALUE"""),"MN")</f>
        <v>MN</v>
      </c>
      <c r="R602" s="5" t="str">
        <f ca="1">IFERROR(__xludf.DUMMYFUNCTION("""COMPUTED_VALUE"""),"Middle")</f>
        <v>Middle</v>
      </c>
      <c r="S602" s="5" t="str">
        <f ca="1">IFERROR(__xludf.DUMMYFUNCTION("""COMPUTED_VALUE"""),"Hallway")</f>
        <v>Hallway</v>
      </c>
      <c r="T602" s="5" t="str">
        <f ca="1">IFERROR(__xludf.DUMMYFUNCTION("""COMPUTED_VALUE"""),"Inside School Building")</f>
        <v>Inside School Building</v>
      </c>
      <c r="U602" s="5" t="str">
        <f ca="1">IFERROR(__xludf.DUMMYFUNCTION("""COMPUTED_VALUE"""),"Yes")</f>
        <v>Yes</v>
      </c>
      <c r="V602" s="5" t="str">
        <f ca="1">IFERROR(__xludf.DUMMYFUNCTION("""COMPUTED_VALUE"""),"Morning Classes")</f>
        <v>Morning Classes</v>
      </c>
      <c r="W602" s="10">
        <f ca="1">IFERROR(__xludf.DUMMYFUNCTION("""COMPUTED_VALUE"""),0.363888888888888)</f>
        <v>0.36388888888888798</v>
      </c>
      <c r="X602" s="5">
        <f ca="1">IFERROR(__xludf.DUMMYFUNCTION("""COMPUTED_VALUE"""),1)</f>
        <v>1</v>
      </c>
      <c r="Y602" s="5" t="str">
        <f ca="1">IFERROR(__xludf.DUMMYFUNCTION("""COMPUTED_VALUE"""),"Student fired multiple shots in the school hallway attempting suicide by cop")</f>
        <v>Student fired multiple shots in the school hallway attempting suicide by cop</v>
      </c>
      <c r="Z602" s="5" t="str">
        <f ca="1">IFERROR(__xludf.DUMMYFUNCTION("""COMPUTED_VALUE"""),"A 12-year-old student fired multiple shots into the ceiling the hallway of the school near a bathroom while morning classes were in session. Other students witnessed the shooting but were not injured. The SRO responded and the student surrendered without "&amp;"force. School was locked down and students were dismissed to parents. The shooter's father said the gun had been taken from his bedroom without permission. Father said that his son was attempting ""suicide by cop"" and this was a cry for help. Father said"&amp;": ""It's the first year of middle school. He didn't keep in contact with friends from elementary school. The COVID. These kids are getting depressed. They have no friends. They don't know what to do. They're sitting on their computers. It's starting to fr"&amp;"y their brains.""")</f>
        <v>A 12-year-old student fired multiple shots into the ceiling the hallway of the school near a bathroom while morning classes were in session. Other students witnessed the shooting but were not injured. The SRO responded and the student surrendered without force. School was locked down and students were dismissed to parents. The shooter's father said the gun had been taken from his bedroom without permission. Father said that his son was attempting "suicide by cop" and this was a cry for help. Father said: "It's the first year of middle school. He didn't keep in contact with friends from elementary school. The COVID. These kids are getting depressed. They have no friends. They don't know what to do. They're sitting on their computers. It's starting to fry their brains."</v>
      </c>
      <c r="AA602" s="5" t="str">
        <f ca="1">IFERROR(__xludf.DUMMYFUNCTION("""COMPUTED_VALUE"""),"Suicide/Attempted")</f>
        <v>Suicide/Attempted</v>
      </c>
      <c r="AB602" s="5" t="str">
        <f ca="1">IFERROR(__xludf.DUMMYFUNCTION("""COMPUTED_VALUE"""),"Random Shooting")</f>
        <v>Random Shooting</v>
      </c>
      <c r="AC602" s="5" t="str">
        <f ca="1">IFERROR(__xludf.DUMMYFUNCTION("""COMPUTED_VALUE"""),"No")</f>
        <v>No</v>
      </c>
      <c r="AD602" s="5" t="str">
        <f ca="1">IFERROR(__xludf.DUMMYFUNCTION("""COMPUTED_VALUE"""),"No")</f>
        <v>No</v>
      </c>
      <c r="AE602" s="5" t="str">
        <f ca="1">IFERROR(__xludf.DUMMYFUNCTION("""COMPUTED_VALUE"""),"No")</f>
        <v>No</v>
      </c>
      <c r="AF602" s="5" t="str">
        <f ca="1">IFERROR(__xludf.DUMMYFUNCTION("""COMPUTED_VALUE"""),"No")</f>
        <v>No</v>
      </c>
      <c r="AG602" s="5"/>
      <c r="AH602" s="5" t="str">
        <f ca="1">IFERROR(__xludf.DUMMYFUNCTION("""COMPUTED_VALUE"""),"No")</f>
        <v>No</v>
      </c>
      <c r="AI602" s="5" t="str">
        <f ca="1">IFERROR(__xludf.DUMMYFUNCTION("""COMPUTED_VALUE"""),"No")</f>
        <v>No</v>
      </c>
      <c r="AJ602" s="5" t="str">
        <f ca="1">IFERROR(__xludf.DUMMYFUNCTION("""COMPUTED_VALUE"""),"No")</f>
        <v>No</v>
      </c>
    </row>
    <row r="603" spans="1:36" ht="13">
      <c r="A603" s="5" t="str">
        <f ca="1">IFERROR(__xludf.DUMMYFUNCTION("""COMPUTED_VALUE"""),"20210420TXHAH")</f>
        <v>20210420TXHAH</v>
      </c>
      <c r="B603" s="5">
        <f ca="1">IFERROR(__xludf.DUMMYFUNCTION("""COMPUTED_VALUE"""),4)</f>
        <v>4</v>
      </c>
      <c r="C603" s="5">
        <f ca="1">IFERROR(__xludf.DUMMYFUNCTION("""COMPUTED_VALUE"""),20)</f>
        <v>20</v>
      </c>
      <c r="D603" s="5">
        <f ca="1">IFERROR(__xludf.DUMMYFUNCTION("""COMPUTED_VALUE"""),2021)</f>
        <v>2021</v>
      </c>
      <c r="E603" s="8">
        <f ca="1">IFERROR(__xludf.DUMMYFUNCTION("""COMPUTED_VALUE"""),44306)</f>
        <v>44306</v>
      </c>
      <c r="F603" s="5" t="str">
        <f ca="1">IFERROR(__xludf.DUMMYFUNCTION("""COMPUTED_VALUE"""),"Harker Heights High School")</f>
        <v>Harker Heights High School</v>
      </c>
      <c r="G603" s="5">
        <f ca="1">IFERROR(__xludf.DUMMYFUNCTION("""COMPUTED_VALUE"""),1)</f>
        <v>1</v>
      </c>
      <c r="H603" s="5">
        <f ca="1">IFERROR(__xludf.DUMMYFUNCTION("""COMPUTED_VALUE"""),0)</f>
        <v>0</v>
      </c>
      <c r="I603" s="5">
        <f ca="1">IFERROR(__xludf.DUMMYFUNCTION("""COMPUTED_VALUE"""),1)</f>
        <v>1</v>
      </c>
      <c r="J603" s="5">
        <f ca="1">IFERROR(__xludf.DUMMYFUNCTION("""COMPUTED_VALUE"""),0)</f>
        <v>0</v>
      </c>
      <c r="K603" s="5" t="str">
        <f ca="1">IFERROR(__xludf.DUMMYFUNCTION("""COMPUTED_VALUE"""),"https://www.fox44news.com/news/local-news/update-three-arrested-in-harker-heights-high-school-parking-lot-shooting/#/questions/3264283 https://www.fox44news.com/news/local-news/man-dies-in-harker-heights-high-school-parking-lot-shooting/#/questions/326428"&amp;"3")</f>
        <v>https://www.fox44news.com/news/local-news/update-three-arrested-in-harker-heights-high-school-parking-lot-shooting/#/questions/3264283 https://www.fox44news.com/news/local-news/man-dies-in-harker-heights-high-school-parking-lot-shooting/#/questions/3264283</v>
      </c>
      <c r="L603" s="5">
        <f ca="1">IFERROR(__xludf.DUMMYFUNCTION("""COMPUTED_VALUE"""),10)</f>
        <v>10</v>
      </c>
      <c r="M603" s="5" t="str">
        <f ca="1">IFERROR(__xludf.DUMMYFUNCTION("""COMPUTED_VALUE"""),"Local")</f>
        <v>Local</v>
      </c>
      <c r="N603" s="5">
        <f ca="1">IFERROR(__xludf.DUMMYFUNCTION("""COMPUTED_VALUE"""),4)</f>
        <v>4</v>
      </c>
      <c r="O603" s="5" t="str">
        <f ca="1">IFERROR(__xludf.DUMMYFUNCTION("""COMPUTED_VALUE"""),"Spring")</f>
        <v>Spring</v>
      </c>
      <c r="P603" s="5" t="str">
        <f ca="1">IFERROR(__xludf.DUMMYFUNCTION("""COMPUTED_VALUE"""),"Harker Heights")</f>
        <v>Harker Heights</v>
      </c>
      <c r="Q603" s="5" t="str">
        <f ca="1">IFERROR(__xludf.DUMMYFUNCTION("""COMPUTED_VALUE"""),"TX")</f>
        <v>TX</v>
      </c>
      <c r="R603" s="5" t="str">
        <f ca="1">IFERROR(__xludf.DUMMYFUNCTION("""COMPUTED_VALUE"""),"High")</f>
        <v>High</v>
      </c>
      <c r="S603" s="5" t="str">
        <f ca="1">IFERROR(__xludf.DUMMYFUNCTION("""COMPUTED_VALUE"""),"Parking Lot")</f>
        <v>Parking Lot</v>
      </c>
      <c r="T603" s="5" t="str">
        <f ca="1">IFERROR(__xludf.DUMMYFUNCTION("""COMPUTED_VALUE"""),"Outside on School Property")</f>
        <v>Outside on School Property</v>
      </c>
      <c r="U603" s="5" t="str">
        <f ca="1">IFERROR(__xludf.DUMMYFUNCTION("""COMPUTED_VALUE"""),"No")</f>
        <v>No</v>
      </c>
      <c r="V603" s="5" t="str">
        <f ca="1">IFERROR(__xludf.DUMMYFUNCTION("""COMPUTED_VALUE"""),"Night")</f>
        <v>Night</v>
      </c>
      <c r="W603" s="10">
        <f ca="1">IFERROR(__xludf.DUMMYFUNCTION("""COMPUTED_VALUE"""),0.964583333333333)</f>
        <v>0.96458333333333302</v>
      </c>
      <c r="X603" s="5">
        <f ca="1">IFERROR(__xludf.DUMMYFUNCTION("""COMPUTED_VALUE"""),1)</f>
        <v>1</v>
      </c>
      <c r="Y603" s="5" t="str">
        <f ca="1">IFERROR(__xludf.DUMMYFUNCTION("""COMPUTED_VALUE"""),"Teen shot and killed in school parking lot")</f>
        <v>Teen shot and killed in school parking lot</v>
      </c>
      <c r="Z603" s="5" t="str">
        <f ca="1">IFERROR(__xludf.DUMMYFUNCTION("""COMPUTED_VALUE"""),"Police received 6 different 9-1-1 calls for shots fired in the school parking lot. Police found a 19YOM victim who had fled to a nearby wooded area. He had been shot multiple times and died at the hospital. Three other teens fled the area and were later a"&amp;"rrested. One was charged with discharging a firearm and the other two with aggravated robbery.")</f>
        <v>Police received 6 different 9-1-1 calls for shots fired in the school parking lot. Police found a 19YOM victim who had fled to a nearby wooded area. He had been shot multiple times and died at the hospital. Three other teens fled the area and were later arrested. One was charged with discharging a firearm and the other two with aggravated robbery.</v>
      </c>
      <c r="AA603" s="5" t="str">
        <f ca="1">IFERROR(__xludf.DUMMYFUNCTION("""COMPUTED_VALUE"""),"Illegal Activity")</f>
        <v>Illegal Activity</v>
      </c>
      <c r="AB603" s="5" t="str">
        <f ca="1">IFERROR(__xludf.DUMMYFUNCTION("""COMPUTED_VALUE"""),"Victims Targeted")</f>
        <v>Victims Targeted</v>
      </c>
      <c r="AC603" s="5" t="str">
        <f ca="1">IFERROR(__xludf.DUMMYFUNCTION("""COMPUTED_VALUE"""),"Yes")</f>
        <v>Yes</v>
      </c>
      <c r="AD603" s="5" t="str">
        <f ca="1">IFERROR(__xludf.DUMMYFUNCTION("""COMPUTED_VALUE"""),"No")</f>
        <v>No</v>
      </c>
      <c r="AE603" s="5" t="str">
        <f ca="1">IFERROR(__xludf.DUMMYFUNCTION("""COMPUTED_VALUE"""),"No")</f>
        <v>No</v>
      </c>
      <c r="AF603" s="5" t="str">
        <f ca="1">IFERROR(__xludf.DUMMYFUNCTION("""COMPUTED_VALUE"""),"No")</f>
        <v>No</v>
      </c>
      <c r="AG603" s="5" t="str">
        <f ca="1">IFERROR(__xludf.DUMMYFUNCTION("""COMPUTED_VALUE"""),"No")</f>
        <v>No</v>
      </c>
      <c r="AH603" s="5" t="str">
        <f ca="1">IFERROR(__xludf.DUMMYFUNCTION("""COMPUTED_VALUE"""),"No")</f>
        <v>No</v>
      </c>
      <c r="AI603" s="5" t="str">
        <f ca="1">IFERROR(__xludf.DUMMYFUNCTION("""COMPUTED_VALUE"""),"No")</f>
        <v>No</v>
      </c>
      <c r="AJ603" s="5" t="str">
        <f ca="1">IFERROR(__xludf.DUMMYFUNCTION("""COMPUTED_VALUE"""),"No")</f>
        <v>No</v>
      </c>
    </row>
    <row r="604" spans="1:36" ht="13">
      <c r="A604" s="5" t="str">
        <f ca="1">IFERROR(__xludf.DUMMYFUNCTION("""COMPUTED_VALUE"""),"20210418OHWED")</f>
        <v>20210418OHWED</v>
      </c>
      <c r="B604" s="5">
        <f ca="1">IFERROR(__xludf.DUMMYFUNCTION("""COMPUTED_VALUE"""),4)</f>
        <v>4</v>
      </c>
      <c r="C604" s="5">
        <f ca="1">IFERROR(__xludf.DUMMYFUNCTION("""COMPUTED_VALUE"""),18)</f>
        <v>18</v>
      </c>
      <c r="D604" s="5">
        <f ca="1">IFERROR(__xludf.DUMMYFUNCTION("""COMPUTED_VALUE"""),2021)</f>
        <v>2021</v>
      </c>
      <c r="E604" s="8">
        <f ca="1">IFERROR(__xludf.DUMMYFUNCTION("""COMPUTED_VALUE"""),44304)</f>
        <v>44304</v>
      </c>
      <c r="F604" s="5" t="str">
        <f ca="1">IFERROR(__xludf.DUMMYFUNCTION("""COMPUTED_VALUE"""),"Westwood Elementary School")</f>
        <v>Westwood Elementary School</v>
      </c>
      <c r="G604" s="5">
        <f ca="1">IFERROR(__xludf.DUMMYFUNCTION("""COMPUTED_VALUE"""),1)</f>
        <v>1</v>
      </c>
      <c r="H604" s="5">
        <f ca="1">IFERROR(__xludf.DUMMYFUNCTION("""COMPUTED_VALUE"""),1)</f>
        <v>1</v>
      </c>
      <c r="I604" s="5">
        <f ca="1">IFERROR(__xludf.DUMMYFUNCTION("""COMPUTED_VALUE"""),2)</f>
        <v>2</v>
      </c>
      <c r="J604" s="5">
        <f ca="1">IFERROR(__xludf.DUMMYFUNCTION("""COMPUTED_VALUE"""),0)</f>
        <v>0</v>
      </c>
      <c r="K604" s="5" t="str">
        <f ca="1">IFERROR(__xludf.DUMMYFUNCTION("""COMPUTED_VALUE"""),"https://www.whio.com/news/local/2-people-shot-n-upland-avenue/ZVXVPN6BXJAHFEWPOVTP4QBAFQ/ https://dayton247now.com/news/local/shooting-reported-on-upland-ave")</f>
        <v>https://www.whio.com/news/local/2-people-shot-n-upland-avenue/ZVXVPN6BXJAHFEWPOVTP4QBAFQ/ https://dayton247now.com/news/local/shooting-reported-on-upland-ave</v>
      </c>
      <c r="L604" s="5">
        <f ca="1">IFERROR(__xludf.DUMMYFUNCTION("""COMPUTED_VALUE"""),2)</f>
        <v>2</v>
      </c>
      <c r="M604" s="5" t="str">
        <f ca="1">IFERROR(__xludf.DUMMYFUNCTION("""COMPUTED_VALUE"""),"Local")</f>
        <v>Local</v>
      </c>
      <c r="N604" s="5">
        <f ca="1">IFERROR(__xludf.DUMMYFUNCTION("""COMPUTED_VALUE"""),3)</f>
        <v>3</v>
      </c>
      <c r="O604" s="5" t="str">
        <f ca="1">IFERROR(__xludf.DUMMYFUNCTION("""COMPUTED_VALUE"""),"Spring")</f>
        <v>Spring</v>
      </c>
      <c r="P604" s="5" t="str">
        <f ca="1">IFERROR(__xludf.DUMMYFUNCTION("""COMPUTED_VALUE"""),"Dayton")</f>
        <v>Dayton</v>
      </c>
      <c r="Q604" s="5" t="str">
        <f ca="1">IFERROR(__xludf.DUMMYFUNCTION("""COMPUTED_VALUE"""),"OH")</f>
        <v>OH</v>
      </c>
      <c r="R604" s="5" t="str">
        <f ca="1">IFERROR(__xludf.DUMMYFUNCTION("""COMPUTED_VALUE"""),"Elementary")</f>
        <v>Elementary</v>
      </c>
      <c r="S604" s="5" t="str">
        <f ca="1">IFERROR(__xludf.DUMMYFUNCTION("""COMPUTED_VALUE"""),"Playground")</f>
        <v>Playground</v>
      </c>
      <c r="T604" s="5" t="str">
        <f ca="1">IFERROR(__xludf.DUMMYFUNCTION("""COMPUTED_VALUE"""),"Outside on School Property")</f>
        <v>Outside on School Property</v>
      </c>
      <c r="U604" s="5" t="str">
        <f ca="1">IFERROR(__xludf.DUMMYFUNCTION("""COMPUTED_VALUE"""),"No")</f>
        <v>No</v>
      </c>
      <c r="V604" s="5" t="str">
        <f ca="1">IFERROR(__xludf.DUMMYFUNCTION("""COMPUTED_VALUE"""),"Not a School Day")</f>
        <v>Not a School Day</v>
      </c>
      <c r="W604" s="10">
        <f ca="1">IFERROR(__xludf.DUMMYFUNCTION("""COMPUTED_VALUE"""),0.677083333333333)</f>
        <v>0.67708333333333304</v>
      </c>
      <c r="X604" s="5">
        <f ca="1">IFERROR(__xludf.DUMMYFUNCTION("""COMPUTED_VALUE"""),1)</f>
        <v>1</v>
      </c>
      <c r="Y604" s="5" t="str">
        <f ca="1">IFERROR(__xludf.DUMMYFUNCTION("""COMPUTED_VALUE"""),"Two teens found shot inside a vehicle near the school playground")</f>
        <v>Two teens found shot inside a vehicle near the school playground</v>
      </c>
      <c r="Z604" s="5" t="str">
        <f ca="1">IFERROR(__xludf.DUMMYFUNCTION("""COMPUTED_VALUE"""),"Two teens were found shot inside a vehicle near the school playground. One teen died at the hospital. Police found shell casings behind the elementary school and near the playground. Shooter fled the scene. No students or staff involved.")</f>
        <v>Two teens were found shot inside a vehicle near the school playground. One teen died at the hospital. Police found shell casings behind the elementary school and near the playground. Shooter fled the scene. No students or staff involved.</v>
      </c>
      <c r="AA604" s="5"/>
      <c r="AB604" s="5" t="str">
        <f ca="1">IFERROR(__xludf.DUMMYFUNCTION("""COMPUTED_VALUE"""),"Victims Targeted")</f>
        <v>Victims Targeted</v>
      </c>
      <c r="AC604" s="5"/>
      <c r="AD604" s="5" t="str">
        <f ca="1">IFERROR(__xludf.DUMMYFUNCTION("""COMPUTED_VALUE"""),"No")</f>
        <v>No</v>
      </c>
      <c r="AE604" s="5" t="str">
        <f ca="1">IFERROR(__xludf.DUMMYFUNCTION("""COMPUTED_VALUE"""),"No")</f>
        <v>No</v>
      </c>
      <c r="AF604" s="5" t="str">
        <f ca="1">IFERROR(__xludf.DUMMYFUNCTION("""COMPUTED_VALUE"""),"No")</f>
        <v>No</v>
      </c>
      <c r="AG604" s="5" t="str">
        <f ca="1">IFERROR(__xludf.DUMMYFUNCTION("""COMPUTED_VALUE"""),"No")</f>
        <v>No</v>
      </c>
      <c r="AH604" s="5" t="str">
        <f ca="1">IFERROR(__xludf.DUMMYFUNCTION("""COMPUTED_VALUE"""),"No")</f>
        <v>No</v>
      </c>
      <c r="AI604" s="5"/>
      <c r="AJ604" s="5" t="str">
        <f ca="1">IFERROR(__xludf.DUMMYFUNCTION("""COMPUTED_VALUE"""),"No")</f>
        <v>No</v>
      </c>
    </row>
    <row r="605" spans="1:36" ht="13">
      <c r="A605" s="5" t="str">
        <f ca="1">IFERROR(__xludf.DUMMYFUNCTION("""COMPUTED_VALUE"""),"20210413TNMAC")</f>
        <v>20210413TNMAC</v>
      </c>
      <c r="B605" s="5">
        <f ca="1">IFERROR(__xludf.DUMMYFUNCTION("""COMPUTED_VALUE"""),4)</f>
        <v>4</v>
      </c>
      <c r="C605" s="5">
        <f ca="1">IFERROR(__xludf.DUMMYFUNCTION("""COMPUTED_VALUE"""),13)</f>
        <v>13</v>
      </c>
      <c r="D605" s="5">
        <f ca="1">IFERROR(__xludf.DUMMYFUNCTION("""COMPUTED_VALUE"""),2021)</f>
        <v>2021</v>
      </c>
      <c r="E605" s="8">
        <f ca="1">IFERROR(__xludf.DUMMYFUNCTION("""COMPUTED_VALUE"""),44299)</f>
        <v>44299</v>
      </c>
      <c r="F605" s="5" t="str">
        <f ca="1">IFERROR(__xludf.DUMMYFUNCTION("""COMPUTED_VALUE"""),"Maury County Public Schools Bus No. 50")</f>
        <v>Maury County Public Schools Bus No. 50</v>
      </c>
      <c r="G605" s="5">
        <f ca="1">IFERROR(__xludf.DUMMYFUNCTION("""COMPUTED_VALUE"""),0)</f>
        <v>0</v>
      </c>
      <c r="H605" s="5">
        <f ca="1">IFERROR(__xludf.DUMMYFUNCTION("""COMPUTED_VALUE"""),0)</f>
        <v>0</v>
      </c>
      <c r="I605" s="5">
        <f ca="1">IFERROR(__xludf.DUMMYFUNCTION("""COMPUTED_VALUE"""),0)</f>
        <v>0</v>
      </c>
      <c r="J605" s="5">
        <f ca="1">IFERROR(__xludf.DUMMYFUNCTION("""COMPUTED_VALUE"""),0)</f>
        <v>0</v>
      </c>
      <c r="K605" s="5" t="str">
        <f ca="1">IFERROR(__xludf.DUMMYFUNCTION("""COMPUTED_VALUE"""),"https://www.wsmv.com/news/maury_county/woman-arrested-after-pulling-gun-on-maury-county-school-bus/article_e2233d3e-9e20-11eb-8dfe-0b2859ab07ec.html https://www.wsmv.com/news/maury_county/woman-arrested-after-pulling-gun-on-maury-county-school-bus/article"&amp;"_e2233d3e-9e20-11eb-8dfe-0b2859ab07ec.html")</f>
        <v>https://www.wsmv.com/news/maury_county/woman-arrested-after-pulling-gun-on-maury-county-school-bus/article_e2233d3e-9e20-11eb-8dfe-0b2859ab07ec.html https://www.wsmv.com/news/maury_county/woman-arrested-after-pulling-gun-on-maury-county-school-bus/article_e2233d3e-9e20-11eb-8dfe-0b2859ab07ec.html</v>
      </c>
      <c r="L605" s="5">
        <f ca="1">IFERROR(__xludf.DUMMYFUNCTION("""COMPUTED_VALUE"""),2)</f>
        <v>2</v>
      </c>
      <c r="M605" s="5" t="str">
        <f ca="1">IFERROR(__xludf.DUMMYFUNCTION("""COMPUTED_VALUE"""),"Local")</f>
        <v>Local</v>
      </c>
      <c r="N605" s="5">
        <f ca="1">IFERROR(__xludf.DUMMYFUNCTION("""COMPUTED_VALUE"""),3)</f>
        <v>3</v>
      </c>
      <c r="O605" s="5" t="str">
        <f ca="1">IFERROR(__xludf.DUMMYFUNCTION("""COMPUTED_VALUE"""),"Spring")</f>
        <v>Spring</v>
      </c>
      <c r="P605" s="5" t="str">
        <f ca="1">IFERROR(__xludf.DUMMYFUNCTION("""COMPUTED_VALUE"""),"Columbia")</f>
        <v>Columbia</v>
      </c>
      <c r="Q605" s="5" t="str">
        <f ca="1">IFERROR(__xludf.DUMMYFUNCTION("""COMPUTED_VALUE"""),"TN")</f>
        <v>TN</v>
      </c>
      <c r="R605" s="5"/>
      <c r="S605" s="5" t="str">
        <f ca="1">IFERROR(__xludf.DUMMYFUNCTION("""COMPUTED_VALUE"""),"School Bus")</f>
        <v>School Bus</v>
      </c>
      <c r="T605" s="5" t="str">
        <f ca="1">IFERROR(__xludf.DUMMYFUNCTION("""COMPUTED_VALUE"""),"School Bus")</f>
        <v>School Bus</v>
      </c>
      <c r="U605" s="5" t="str">
        <f ca="1">IFERROR(__xludf.DUMMYFUNCTION("""COMPUTED_VALUE"""),"Yes")</f>
        <v>Yes</v>
      </c>
      <c r="V605" s="5" t="str">
        <f ca="1">IFERROR(__xludf.DUMMYFUNCTION("""COMPUTED_VALUE"""),"Dismissal")</f>
        <v>Dismissal</v>
      </c>
      <c r="W605" s="10">
        <f ca="1">IFERROR(__xludf.DUMMYFUNCTION("""COMPUTED_VALUE"""),0.666666666666666)</f>
        <v>0.66666666666666596</v>
      </c>
      <c r="X605" s="5">
        <f ca="1">IFERROR(__xludf.DUMMYFUNCTION("""COMPUTED_VALUE"""),1)</f>
        <v>1</v>
      </c>
      <c r="Y605" s="5" t="str">
        <f ca="1">IFERROR(__xludf.DUMMYFUNCTION("""COMPUTED_VALUE"""),"Woman was upset school bus was late and pulled gun during argument with bus driver")</f>
        <v>Woman was upset school bus was late and pulled gun during argument with bus driver</v>
      </c>
      <c r="Z605" s="5" t="str">
        <f ca="1">IFERROR(__xludf.DUMMYFUNCTION("""COMPUTED_VALUE"""),"9 students and 2 staff members (bus driver and driver trainee) were on a school bus when a 32-year-old woman got onto the bus. She was upset about the bus being late and pulled a semi-automatic handgun. She did not fire the weapon and left the scene. Scho"&amp;"ol bus driver notified police to report the incident. No students or staff were injured. Woman was arrested.")</f>
        <v>9 students and 2 staff members (bus driver and driver trainee) were on a school bus when a 32-year-old woman got onto the bus. She was upset about the bus being late and pulled a semi-automatic handgun. She did not fire the weapon and left the scene. School bus driver notified police to report the incident. No students or staff were injured. Woman was arrested.</v>
      </c>
      <c r="AA605" s="5" t="str">
        <f ca="1">IFERROR(__xludf.DUMMYFUNCTION("""COMPUTED_VALUE"""),"Escalation of Dispute")</f>
        <v>Escalation of Dispute</v>
      </c>
      <c r="AB605" s="5" t="str">
        <f ca="1">IFERROR(__xludf.DUMMYFUNCTION("""COMPUTED_VALUE"""),"Victims Targeted")</f>
        <v>Victims Targeted</v>
      </c>
      <c r="AC605" s="5" t="str">
        <f ca="1">IFERROR(__xludf.DUMMYFUNCTION("""COMPUTED_VALUE"""),"No")</f>
        <v>No</v>
      </c>
      <c r="AD605" s="5" t="str">
        <f ca="1">IFERROR(__xludf.DUMMYFUNCTION("""COMPUTED_VALUE"""),"No")</f>
        <v>No</v>
      </c>
      <c r="AE605" s="5" t="str">
        <f ca="1">IFERROR(__xludf.DUMMYFUNCTION("""COMPUTED_VALUE"""),"No")</f>
        <v>No</v>
      </c>
      <c r="AF605" s="5" t="str">
        <f ca="1">IFERROR(__xludf.DUMMYFUNCTION("""COMPUTED_VALUE"""),"No")</f>
        <v>No</v>
      </c>
      <c r="AG605" s="5" t="str">
        <f ca="1">IFERROR(__xludf.DUMMYFUNCTION("""COMPUTED_VALUE"""),"No")</f>
        <v>No</v>
      </c>
      <c r="AH605" s="5" t="str">
        <f ca="1">IFERROR(__xludf.DUMMYFUNCTION("""COMPUTED_VALUE"""),"No")</f>
        <v>No</v>
      </c>
      <c r="AI605" s="5" t="str">
        <f ca="1">IFERROR(__xludf.DUMMYFUNCTION("""COMPUTED_VALUE"""),"No")</f>
        <v>No</v>
      </c>
      <c r="AJ605" s="5" t="str">
        <f ca="1">IFERROR(__xludf.DUMMYFUNCTION("""COMPUTED_VALUE"""),"No")</f>
        <v>No</v>
      </c>
    </row>
    <row r="606" spans="1:36" ht="13">
      <c r="A606" s="5" t="str">
        <f ca="1">IFERROR(__xludf.DUMMYFUNCTION("""COMPUTED_VALUE"""),"20210412TNAUK")</f>
        <v>20210412TNAUK</v>
      </c>
      <c r="B606" s="5">
        <f ca="1">IFERROR(__xludf.DUMMYFUNCTION("""COMPUTED_VALUE"""),4)</f>
        <v>4</v>
      </c>
      <c r="C606" s="5">
        <f ca="1">IFERROR(__xludf.DUMMYFUNCTION("""COMPUTED_VALUE"""),12)</f>
        <v>12</v>
      </c>
      <c r="D606" s="5">
        <f ca="1">IFERROR(__xludf.DUMMYFUNCTION("""COMPUTED_VALUE"""),2021)</f>
        <v>2021</v>
      </c>
      <c r="E606" s="8">
        <f ca="1">IFERROR(__xludf.DUMMYFUNCTION("""COMPUTED_VALUE"""),44298)</f>
        <v>44298</v>
      </c>
      <c r="F606" s="5" t="str">
        <f ca="1">IFERROR(__xludf.DUMMYFUNCTION("""COMPUTED_VALUE"""),"Austin-East Magnet High School")</f>
        <v>Austin-East Magnet High School</v>
      </c>
      <c r="G606" s="5">
        <f ca="1">IFERROR(__xludf.DUMMYFUNCTION("""COMPUTED_VALUE"""),0)</f>
        <v>0</v>
      </c>
      <c r="H606" s="5">
        <f ca="1">IFERROR(__xludf.DUMMYFUNCTION("""COMPUTED_VALUE"""),1)</f>
        <v>1</v>
      </c>
      <c r="I606" s="5">
        <f ca="1">IFERROR(__xludf.DUMMYFUNCTION("""COMPUTED_VALUE"""),1)</f>
        <v>1</v>
      </c>
      <c r="J606" s="5">
        <f ca="1">IFERROR(__xludf.DUMMYFUNCTION("""COMPUTED_VALUE"""),1)</f>
        <v>1</v>
      </c>
      <c r="K606" s="5" t="str">
        <f ca="1">IFERROR(__xludf.DUMMYFUNCTION("""COMPUTED_VALUE"""),"https://newschannel9.com/news/local/police-tennessee-officers-involved-in-teens-shooting-in-school-bathroom-followed-policy
https://www.wate.com/news/questions-arise-after-anthony-thompson-jr-seen-roaming-campus-prior-to-austin-east-shooting-school-launch"&amp;"es-internal-investigation/ https://www.wsmv.com/news/tennessee/district-attorney-said-officer-acted-in-self-defense-in-knoxville-school-shooting/article_529696d8-a2e5-11eb-a307-4ff879e838b0.html https://kcby.com/news/nation-world/officer-hurt-in-tennessee"&amp;"-school-shooting-wasnt-shot-by-students-gun https://www.knoxnews.com/story/news/crime/2021/04/14/anthony-j-thompson-jr-austin-east-magnet-school-shooting-shooting/7199330002/ https://www.knoxnews.com/story/news/crime/2021/04/13/knoxville-austin-east-high-"&amp;"school-shooting-what-we-know/7197954002/ https://www.voanews.com/usa/one-dead-officer-wounded-tennessee-school-shooting https://www.cnn.com/2021/04/12/us/knoxville-school-shooting/index.html")</f>
        <v>https://newschannel9.com/news/local/police-tennessee-officers-involved-in-teens-shooting-in-school-bathroom-followed-policy
https://www.wate.com/news/questions-arise-after-anthony-thompson-jr-seen-roaming-campus-prior-to-austin-east-shooting-school-launches-internal-investigation/ https://www.wsmv.com/news/tennessee/district-attorney-said-officer-acted-in-self-defense-in-knoxville-school-shooting/article_529696d8-a2e5-11eb-a307-4ff879e838b0.html https://kcby.com/news/nation-world/officer-hurt-in-tennessee-school-shooting-wasnt-shot-by-students-gun https://www.knoxnews.com/story/news/crime/2021/04/14/anthony-j-thompson-jr-austin-east-magnet-school-shooting-shooting/7199330002/ https://www.knoxnews.com/story/news/crime/2021/04/13/knoxville-austin-east-high-school-shooting-what-we-know/7197954002/ https://www.voanews.com/usa/one-dead-officer-wounded-tennessee-school-shooting https://www.cnn.com/2021/04/12/us/knoxville-school-shooting/index.html</v>
      </c>
      <c r="L606" s="5">
        <f ca="1">IFERROR(__xludf.DUMMYFUNCTION("""COMPUTED_VALUE"""),100)</f>
        <v>100</v>
      </c>
      <c r="M606" s="5" t="str">
        <f ca="1">IFERROR(__xludf.DUMMYFUNCTION("""COMPUTED_VALUE"""),"International")</f>
        <v>International</v>
      </c>
      <c r="N606" s="5">
        <f ca="1">IFERROR(__xludf.DUMMYFUNCTION("""COMPUTED_VALUE"""),4)</f>
        <v>4</v>
      </c>
      <c r="O606" s="5" t="str">
        <f ca="1">IFERROR(__xludf.DUMMYFUNCTION("""COMPUTED_VALUE"""),"Spring")</f>
        <v>Spring</v>
      </c>
      <c r="P606" s="5" t="str">
        <f ca="1">IFERROR(__xludf.DUMMYFUNCTION("""COMPUTED_VALUE"""),"Knoxville")</f>
        <v>Knoxville</v>
      </c>
      <c r="Q606" s="5" t="str">
        <f ca="1">IFERROR(__xludf.DUMMYFUNCTION("""COMPUTED_VALUE"""),"TN")</f>
        <v>TN</v>
      </c>
      <c r="R606" s="5" t="str">
        <f ca="1">IFERROR(__xludf.DUMMYFUNCTION("""COMPUTED_VALUE"""),"High")</f>
        <v>High</v>
      </c>
      <c r="S606" s="5" t="str">
        <f ca="1">IFERROR(__xludf.DUMMYFUNCTION("""COMPUTED_VALUE"""),"Bathroom")</f>
        <v>Bathroom</v>
      </c>
      <c r="T606" s="5" t="str">
        <f ca="1">IFERROR(__xludf.DUMMYFUNCTION("""COMPUTED_VALUE"""),"Inside School Building")</f>
        <v>Inside School Building</v>
      </c>
      <c r="U606" s="5" t="str">
        <f ca="1">IFERROR(__xludf.DUMMYFUNCTION("""COMPUTED_VALUE"""),"Yes")</f>
        <v>Yes</v>
      </c>
      <c r="V606" s="5" t="str">
        <f ca="1">IFERROR(__xludf.DUMMYFUNCTION("""COMPUTED_VALUE"""),"Afternoon Classes")</f>
        <v>Afternoon Classes</v>
      </c>
      <c r="W606" s="10">
        <f ca="1">IFERROR(__xludf.DUMMYFUNCTION("""COMPUTED_VALUE"""),0.635416666666666)</f>
        <v>0.63541666666666596</v>
      </c>
      <c r="X606" s="5">
        <f ca="1">IFERROR(__xludf.DUMMYFUNCTION("""COMPUTED_VALUE"""),1)</f>
        <v>1</v>
      </c>
      <c r="Y606" s="5" t="str">
        <f ca="1">IFERROR(__xludf.DUMMYFUNCTION("""COMPUTED_VALUE"""),"Shots fired during struggle with police in school bathroom by armed student")</f>
        <v>Shots fired during struggle with police in school bathroom by armed student</v>
      </c>
      <c r="Z606" s="5" t="str">
        <f ca="1">IFERROR(__xludf.DUMMYFUNCTION("""COMPUTED_VALUE"""),"Shots fired during struggle with police in school bathroom by armed student. During the struggle, a handgun in the sweatshirt pocket of the student discharged and the bullet struck a trashcan. Officer reacted to the shot, pulled his weapon and fatally sho"&amp;"t the student. Investigation found that officers acted correctly and were not charged. Police responded to the school after the shooter's girlfriend's mother called police to report domestic violence.")</f>
        <v>Shots fired during struggle with police in school bathroom by armed student. During the struggle, a handgun in the sweatshirt pocket of the student discharged and the bullet struck a trashcan. Officer reacted to the shot, pulled his weapon and fatally shot the student. Investigation found that officers acted correctly and were not charged. Police responded to the school after the shooter's girlfriend's mother called police to report domestic violence.</v>
      </c>
      <c r="AA606" s="5"/>
      <c r="AB606" s="5" t="str">
        <f ca="1">IFERROR(__xludf.DUMMYFUNCTION("""COMPUTED_VALUE"""),"Victims Targeted")</f>
        <v>Victims Targeted</v>
      </c>
      <c r="AC606" s="5" t="str">
        <f ca="1">IFERROR(__xludf.DUMMYFUNCTION("""COMPUTED_VALUE"""),"No")</f>
        <v>No</v>
      </c>
      <c r="AD606" s="5" t="str">
        <f ca="1">IFERROR(__xludf.DUMMYFUNCTION("""COMPUTED_VALUE"""),"No")</f>
        <v>No</v>
      </c>
      <c r="AE606" s="5" t="str">
        <f ca="1">IFERROR(__xludf.DUMMYFUNCTION("""COMPUTED_VALUE"""),"Yes")</f>
        <v>Yes</v>
      </c>
      <c r="AF606" s="5" t="str">
        <f ca="1">IFERROR(__xludf.DUMMYFUNCTION("""COMPUTED_VALUE"""),"No")</f>
        <v>No</v>
      </c>
      <c r="AG606" s="5" t="str">
        <f ca="1">IFERROR(__xludf.DUMMYFUNCTION("""COMPUTED_VALUE"""),"No")</f>
        <v>No</v>
      </c>
      <c r="AH606" s="5" t="str">
        <f ca="1">IFERROR(__xludf.DUMMYFUNCTION("""COMPUTED_VALUE"""),"Yes")</f>
        <v>Yes</v>
      </c>
      <c r="AI606" s="5" t="str">
        <f ca="1">IFERROR(__xludf.DUMMYFUNCTION("""COMPUTED_VALUE"""),"No")</f>
        <v>No</v>
      </c>
      <c r="AJ606" s="5" t="str">
        <f ca="1">IFERROR(__xludf.DUMMYFUNCTION("""COMPUTED_VALUE"""),"No")</f>
        <v>No</v>
      </c>
    </row>
    <row r="607" spans="1:36" ht="13">
      <c r="A607" s="5" t="str">
        <f ca="1">IFERROR(__xludf.DUMMYFUNCTION("""COMPUTED_VALUE"""),"20210412CASAS")</f>
        <v>20210412CASAS</v>
      </c>
      <c r="B607" s="5">
        <f ca="1">IFERROR(__xludf.DUMMYFUNCTION("""COMPUTED_VALUE"""),4)</f>
        <v>4</v>
      </c>
      <c r="C607" s="5">
        <f ca="1">IFERROR(__xludf.DUMMYFUNCTION("""COMPUTED_VALUE"""),12)</f>
        <v>12</v>
      </c>
      <c r="D607" s="5">
        <f ca="1">IFERROR(__xludf.DUMMYFUNCTION("""COMPUTED_VALUE"""),2021)</f>
        <v>2021</v>
      </c>
      <c r="E607" s="8">
        <f ca="1">IFERROR(__xludf.DUMMYFUNCTION("""COMPUTED_VALUE"""),44298)</f>
        <v>44298</v>
      </c>
      <c r="F607" s="5" t="str">
        <f ca="1">IFERROR(__xludf.DUMMYFUNCTION("""COMPUTED_VALUE"""),"San Diego High School")</f>
        <v>San Diego High School</v>
      </c>
      <c r="G607" s="5">
        <f ca="1">IFERROR(__xludf.DUMMYFUNCTION("""COMPUTED_VALUE"""),0)</f>
        <v>0</v>
      </c>
      <c r="H607" s="5">
        <f ca="1">IFERROR(__xludf.DUMMYFUNCTION("""COMPUTED_VALUE"""),0)</f>
        <v>0</v>
      </c>
      <c r="I607" s="5">
        <f ca="1">IFERROR(__xludf.DUMMYFUNCTION("""COMPUTED_VALUE"""),0)</f>
        <v>0</v>
      </c>
      <c r="J607" s="5">
        <f ca="1">IFERROR(__xludf.DUMMYFUNCTION("""COMPUTED_VALUE"""),1)</f>
        <v>1</v>
      </c>
      <c r="K607" s="5" t="str">
        <f ca="1">IFERROR(__xludf.DUMMYFUNCTION("""COMPUTED_VALUE"""),"https://www.nbcsandiego.com/news/local/woman-with-manhunt-suspect-during-hideout-on-san-diego-high-school-campus-arrested/2578138/ https://www.sandiegouniontribune.com/news/public-safety/story/2021-04-12/shots-reportedly-fired-in-ocean-beach-and-downtown-"&amp;"san-diego-during-police-chase-swat-standoff-underway https://www.kpbs.org/news/2021/apr/13/suspect-wanted-for-2-shootings-hiding-on-san/ https://www.10news.com/news/local-news/swat-team-responds-to-san-diego-high-school-following-pursuit https://www.nbcsa"&amp;"ndiego.com/news/local/pursuit-suspects-who-fired-at-officers-hiding-out-on-san-diego-hs-campus-sdpd/2574923/")</f>
        <v>https://www.nbcsandiego.com/news/local/woman-with-manhunt-suspect-during-hideout-on-san-diego-high-school-campus-arrested/2578138/ https://www.sandiegouniontribune.com/news/public-safety/story/2021-04-12/shots-reportedly-fired-in-ocean-beach-and-downtown-san-diego-during-police-chase-swat-standoff-underway https://www.kpbs.org/news/2021/apr/13/suspect-wanted-for-2-shootings-hiding-on-san/ https://www.10news.com/news/local-news/swat-team-responds-to-san-diego-high-school-following-pursuit https://www.nbcsandiego.com/news/local/pursuit-suspects-who-fired-at-officers-hiding-out-on-san-diego-hs-campus-sdpd/2574923/</v>
      </c>
      <c r="L607" s="5">
        <f ca="1">IFERROR(__xludf.DUMMYFUNCTION("""COMPUTED_VALUE"""),10)</f>
        <v>10</v>
      </c>
      <c r="M607" s="5" t="str">
        <f ca="1">IFERROR(__xludf.DUMMYFUNCTION("""COMPUTED_VALUE"""),"Regional")</f>
        <v>Regional</v>
      </c>
      <c r="N607" s="5">
        <f ca="1">IFERROR(__xludf.DUMMYFUNCTION("""COMPUTED_VALUE"""),4)</f>
        <v>4</v>
      </c>
      <c r="O607" s="5" t="str">
        <f ca="1">IFERROR(__xludf.DUMMYFUNCTION("""COMPUTED_VALUE"""),"Spring")</f>
        <v>Spring</v>
      </c>
      <c r="P607" s="5" t="str">
        <f ca="1">IFERROR(__xludf.DUMMYFUNCTION("""COMPUTED_VALUE"""),"San Diego")</f>
        <v>San Diego</v>
      </c>
      <c r="Q607" s="5" t="str">
        <f ca="1">IFERROR(__xludf.DUMMYFUNCTION("""COMPUTED_VALUE"""),"CA")</f>
        <v>CA</v>
      </c>
      <c r="R607" s="5" t="str">
        <f ca="1">IFERROR(__xludf.DUMMYFUNCTION("""COMPUTED_VALUE"""),"High")</f>
        <v>High</v>
      </c>
      <c r="S607" s="5" t="str">
        <f ca="1">IFERROR(__xludf.DUMMYFUNCTION("""COMPUTED_VALUE"""),"Football Field/Track")</f>
        <v>Football Field/Track</v>
      </c>
      <c r="T607" s="5" t="str">
        <f ca="1">IFERROR(__xludf.DUMMYFUNCTION("""COMPUTED_VALUE"""),"Outside on School Property")</f>
        <v>Outside on School Property</v>
      </c>
      <c r="U607" s="5" t="str">
        <f ca="1">IFERROR(__xludf.DUMMYFUNCTION("""COMPUTED_VALUE"""),"No")</f>
        <v>No</v>
      </c>
      <c r="V607" s="5" t="str">
        <f ca="1">IFERROR(__xludf.DUMMYFUNCTION("""COMPUTED_VALUE"""),"Evening")</f>
        <v>Evening</v>
      </c>
      <c r="W607" s="10">
        <f ca="1">IFERROR(__xludf.DUMMYFUNCTION("""COMPUTED_VALUE"""),0.864583333333333)</f>
        <v>0.86458333333333304</v>
      </c>
      <c r="X607" s="5">
        <f ca="1">IFERROR(__xludf.DUMMYFUNCTION("""COMPUTED_VALUE"""),660)</f>
        <v>660</v>
      </c>
      <c r="Y607" s="5" t="str">
        <f ca="1">IFERROR(__xludf.DUMMYFUNCTION("""COMPUTED_VALUE"""),"Hostage standoff inside dumpster near the football field")</f>
        <v>Hostage standoff inside dumpster near the football field</v>
      </c>
      <c r="Z607" s="5" t="str">
        <f ca="1">IFERROR(__xludf.DUMMYFUNCTION("""COMPUTED_VALUE"""),"A 36-year-old male was wanted by police for 3 different shootings in the prior month involving officers and a private bail bondsman. Police attempted a traffic stop and the suspect fled. During the pursuit, the suspect fired shots at officers. At the end "&amp;"of the pursuit, the suspect drove through a gate onto the football field of San Diego High School and fled on foot with a 32-year-old female (his girlfriend) into a large garbage dumpster on the campus. There was an 11-hour standoff and negotiation with p"&amp;"olice. During the standoff, the woman tried to get out of the dumpster and the man pulled her back inside. When the suspect made a verbal threat and pushed the female who police believed was a hostage, SWAT officers fired and killed him. After the inciden"&amp;"t, police charged the 33-year-old woman (Janeth Iriarte) with vehicle theft and accessory to a crime after the fact. Three school campuses including San Diego High School, East Village Middle College High School, and Garfield High School were all switched"&amp;" to remote learning due to the incident.")</f>
        <v>A 36-year-old male was wanted by police for 3 different shootings in the prior month involving officers and a private bail bondsman. Police attempted a traffic stop and the suspect fled. During the pursuit, the suspect fired shots at officers. At the end of the pursuit, the suspect drove through a gate onto the football field of San Diego High School and fled on foot with a 32-year-old female (his girlfriend) into a large garbage dumpster on the campus. There was an 11-hour standoff and negotiation with police. During the standoff, the woman tried to get out of the dumpster and the man pulled her back inside. When the suspect made a verbal threat and pushed the female who police believed was a hostage, SWAT officers fired and killed him. After the incident, police charged the 33-year-old woman (Janeth Iriarte) with vehicle theft and accessory to a crime after the fact. Three school campuses including San Diego High School, East Village Middle College High School, and Garfield High School were all switched to remote learning due to the incident.</v>
      </c>
      <c r="AA607" s="5" t="str">
        <f ca="1">IFERROR(__xludf.DUMMYFUNCTION("""COMPUTED_VALUE"""),"Hostage/Standoff")</f>
        <v>Hostage/Standoff</v>
      </c>
      <c r="AB607" s="5" t="str">
        <f ca="1">IFERROR(__xludf.DUMMYFUNCTION("""COMPUTED_VALUE"""),"Random Shooting")</f>
        <v>Random Shooting</v>
      </c>
      <c r="AC607" s="5" t="str">
        <f ca="1">IFERROR(__xludf.DUMMYFUNCTION("""COMPUTED_VALUE"""),"Yes")</f>
        <v>Yes</v>
      </c>
      <c r="AD607" s="5" t="str">
        <f ca="1">IFERROR(__xludf.DUMMYFUNCTION("""COMPUTED_VALUE"""),"Yes")</f>
        <v>Yes</v>
      </c>
      <c r="AE607" s="5" t="str">
        <f ca="1">IFERROR(__xludf.DUMMYFUNCTION("""COMPUTED_VALUE"""),"Yes")</f>
        <v>Yes</v>
      </c>
      <c r="AF607" s="5" t="str">
        <f ca="1">IFERROR(__xludf.DUMMYFUNCTION("""COMPUTED_VALUE"""),"No")</f>
        <v>No</v>
      </c>
      <c r="AG607" s="5" t="str">
        <f ca="1">IFERROR(__xludf.DUMMYFUNCTION("""COMPUTED_VALUE"""),"No")</f>
        <v>No</v>
      </c>
      <c r="AH607" s="5" t="str">
        <f ca="1">IFERROR(__xludf.DUMMYFUNCTION("""COMPUTED_VALUE"""),"No")</f>
        <v>No</v>
      </c>
      <c r="AI607" s="5" t="str">
        <f ca="1">IFERROR(__xludf.DUMMYFUNCTION("""COMPUTED_VALUE"""),"No")</f>
        <v>No</v>
      </c>
      <c r="AJ607" s="5" t="str">
        <f ca="1">IFERROR(__xludf.DUMMYFUNCTION("""COMPUTED_VALUE"""),"Yes")</f>
        <v>Yes</v>
      </c>
    </row>
    <row r="608" spans="1:36" ht="13">
      <c r="A608" s="5" t="str">
        <f ca="1">IFERROR(__xludf.DUMMYFUNCTION("""COMPUTED_VALUE"""),"20210411INBIH")</f>
        <v>20210411INBIH</v>
      </c>
      <c r="B608" s="5">
        <f ca="1">IFERROR(__xludf.DUMMYFUNCTION("""COMPUTED_VALUE"""),4)</f>
        <v>4</v>
      </c>
      <c r="C608" s="5">
        <f ca="1">IFERROR(__xludf.DUMMYFUNCTION("""COMPUTED_VALUE"""),11)</f>
        <v>11</v>
      </c>
      <c r="D608" s="5">
        <f ca="1">IFERROR(__xludf.DUMMYFUNCTION("""COMPUTED_VALUE"""),2021)</f>
        <v>2021</v>
      </c>
      <c r="E608" s="8">
        <f ca="1">IFERROR(__xludf.DUMMYFUNCTION("""COMPUTED_VALUE"""),44297)</f>
        <v>44297</v>
      </c>
      <c r="F608" s="5" t="str">
        <f ca="1">IFERROR(__xludf.DUMMYFUNCTION("""COMPUTED_VALUE"""),"Bishop Noll Institute")</f>
        <v>Bishop Noll Institute</v>
      </c>
      <c r="G608" s="5">
        <f ca="1">IFERROR(__xludf.DUMMYFUNCTION("""COMPUTED_VALUE"""),1)</f>
        <v>1</v>
      </c>
      <c r="H608" s="5">
        <f ca="1">IFERROR(__xludf.DUMMYFUNCTION("""COMPUTED_VALUE"""),0)</f>
        <v>0</v>
      </c>
      <c r="I608" s="5">
        <f ca="1">IFERROR(__xludf.DUMMYFUNCTION("""COMPUTED_VALUE"""),1)</f>
        <v>1</v>
      </c>
      <c r="J608" s="5">
        <f ca="1">IFERROR(__xludf.DUMMYFUNCTION("""COMPUTED_VALUE"""),0)</f>
        <v>0</v>
      </c>
      <c r="K608" s="5" t="str">
        <f ca="1">IFERROR(__xludf.DUMMYFUNCTION("""COMPUTED_VALUE"""),"https://www.nwitimes.com/news/local/crime-and-courts/man-charged-with-murder-in-womans-shooting-death-outside-bishop-noll-institute/article_7fc28132-9e39-576b-a152-d30859f14448.html https://chicago.suntimes.com/crime/2021/4/12/22380026/monica-mills-hammon"&amp;"d-shooting-bishop-noll-institute")</f>
        <v>https://www.nwitimes.com/news/local/crime-and-courts/man-charged-with-murder-in-womans-shooting-death-outside-bishop-noll-institute/article_7fc28132-9e39-576b-a152-d30859f14448.html https://chicago.suntimes.com/crime/2021/4/12/22380026/monica-mills-hammond-shooting-bishop-noll-institute</v>
      </c>
      <c r="L608" s="5">
        <f ca="1">IFERROR(__xludf.DUMMYFUNCTION("""COMPUTED_VALUE"""),2)</f>
        <v>2</v>
      </c>
      <c r="M608" s="5" t="str">
        <f ca="1">IFERROR(__xludf.DUMMYFUNCTION("""COMPUTED_VALUE"""),"Regional")</f>
        <v>Regional</v>
      </c>
      <c r="N608" s="5">
        <f ca="1">IFERROR(__xludf.DUMMYFUNCTION("""COMPUTED_VALUE"""),3)</f>
        <v>3</v>
      </c>
      <c r="O608" s="5" t="str">
        <f ca="1">IFERROR(__xludf.DUMMYFUNCTION("""COMPUTED_VALUE"""),"Spring")</f>
        <v>Spring</v>
      </c>
      <c r="P608" s="5" t="str">
        <f ca="1">IFERROR(__xludf.DUMMYFUNCTION("""COMPUTED_VALUE"""),"Hammond")</f>
        <v>Hammond</v>
      </c>
      <c r="Q608" s="5" t="str">
        <f ca="1">IFERROR(__xludf.DUMMYFUNCTION("""COMPUTED_VALUE"""),"IN")</f>
        <v>IN</v>
      </c>
      <c r="R608" s="5" t="str">
        <f ca="1">IFERROR(__xludf.DUMMYFUNCTION("""COMPUTED_VALUE"""),"High")</f>
        <v>High</v>
      </c>
      <c r="S608" s="5" t="str">
        <f ca="1">IFERROR(__xludf.DUMMYFUNCTION("""COMPUTED_VALUE"""),"Parking Lot")</f>
        <v>Parking Lot</v>
      </c>
      <c r="T608" s="5" t="str">
        <f ca="1">IFERROR(__xludf.DUMMYFUNCTION("""COMPUTED_VALUE"""),"Outside on School Property")</f>
        <v>Outside on School Property</v>
      </c>
      <c r="U608" s="5" t="str">
        <f ca="1">IFERROR(__xludf.DUMMYFUNCTION("""COMPUTED_VALUE"""),"No")</f>
        <v>No</v>
      </c>
      <c r="V608" s="5" t="str">
        <f ca="1">IFERROR(__xludf.DUMMYFUNCTION("""COMPUTED_VALUE"""),"Night")</f>
        <v>Night</v>
      </c>
      <c r="W608" s="10">
        <f ca="1">IFERROR(__xludf.DUMMYFUNCTION("""COMPUTED_VALUE"""),0.888888888888888)</f>
        <v>0.88888888888888795</v>
      </c>
      <c r="X608" s="5">
        <f ca="1">IFERROR(__xludf.DUMMYFUNCTION("""COMPUTED_VALUE"""),1)</f>
        <v>1</v>
      </c>
      <c r="Y608" s="5" t="str">
        <f ca="1">IFERROR(__xludf.DUMMYFUNCTION("""COMPUTED_VALUE"""),"Adult male shot adult female in the school parking lot")</f>
        <v>Adult male shot adult female in the school parking lot</v>
      </c>
      <c r="Z608" s="5" t="str">
        <f ca="1">IFERROR(__xludf.DUMMYFUNCTION("""COMPUTED_VALUE"""),"Police responded to the school parking lot for a reported shooting and found a 43-year-old female fatally shot inside a vehicle. The 38-year-old male shooter fled to a nearby apartment complex where he was arrested 2 days later. A 9mm handgun was found at"&amp;" the property. The shooter had sent threatening text messages to the victim prior to the shooting. Shooter had prior felony convictions for drug dealing and was not permitted to own a handgun. No students or school staff were involved and the school was c"&amp;"losed at the time of the shooting.")</f>
        <v>Police responded to the school parking lot for a reported shooting and found a 43-year-old female fatally shot inside a vehicle. The 38-year-old male shooter fled to a nearby apartment complex where he was arrested 2 days later. A 9mm handgun was found at the property. The shooter had sent threatening text messages to the victim prior to the shooting. Shooter had prior felony convictions for drug dealing and was not permitted to own a handgun. No students or school staff were involved and the school was closed at the time of the shooting.</v>
      </c>
      <c r="AA608" s="5" t="str">
        <f ca="1">IFERROR(__xludf.DUMMYFUNCTION("""COMPUTED_VALUE"""),"Domestic w/ Targeted Victim")</f>
        <v>Domestic w/ Targeted Victim</v>
      </c>
      <c r="AB608" s="5" t="str">
        <f ca="1">IFERROR(__xludf.DUMMYFUNCTION("""COMPUTED_VALUE"""),"Victims Targeted")</f>
        <v>Victims Targeted</v>
      </c>
      <c r="AC608" s="5" t="str">
        <f ca="1">IFERROR(__xludf.DUMMYFUNCTION("""COMPUTED_VALUE"""),"No")</f>
        <v>No</v>
      </c>
      <c r="AD608" s="5" t="str">
        <f ca="1">IFERROR(__xludf.DUMMYFUNCTION("""COMPUTED_VALUE"""),"No")</f>
        <v>No</v>
      </c>
      <c r="AE608" s="5" t="str">
        <f ca="1">IFERROR(__xludf.DUMMYFUNCTION("""COMPUTED_VALUE"""),"No")</f>
        <v>No</v>
      </c>
      <c r="AF608" s="5" t="str">
        <f ca="1">IFERROR(__xludf.DUMMYFUNCTION("""COMPUTED_VALUE"""),"No")</f>
        <v>No</v>
      </c>
      <c r="AG608" s="5" t="str">
        <f ca="1">IFERROR(__xludf.DUMMYFUNCTION("""COMPUTED_VALUE"""),"No")</f>
        <v>No</v>
      </c>
      <c r="AH608" s="5" t="str">
        <f ca="1">IFERROR(__xludf.DUMMYFUNCTION("""COMPUTED_VALUE"""),"Yes")</f>
        <v>Yes</v>
      </c>
      <c r="AI608" s="5" t="str">
        <f ca="1">IFERROR(__xludf.DUMMYFUNCTION("""COMPUTED_VALUE"""),"No")</f>
        <v>No</v>
      </c>
      <c r="AJ608" s="5" t="str">
        <f ca="1">IFERROR(__xludf.DUMMYFUNCTION("""COMPUTED_VALUE"""),"No")</f>
        <v>No</v>
      </c>
    </row>
    <row r="609" spans="1:36" ht="13">
      <c r="A609" s="5" t="str">
        <f ca="1">IFERROR(__xludf.DUMMYFUNCTION("""COMPUTED_VALUE"""),"20210407ILPEP")</f>
        <v>20210407ILPEP</v>
      </c>
      <c r="B609" s="5">
        <f ca="1">IFERROR(__xludf.DUMMYFUNCTION("""COMPUTED_VALUE"""),4)</f>
        <v>4</v>
      </c>
      <c r="C609" s="5">
        <f ca="1">IFERROR(__xludf.DUMMYFUNCTION("""COMPUTED_VALUE"""),7)</f>
        <v>7</v>
      </c>
      <c r="D609" s="5">
        <f ca="1">IFERROR(__xludf.DUMMYFUNCTION("""COMPUTED_VALUE"""),2021)</f>
        <v>2021</v>
      </c>
      <c r="E609" s="8">
        <f ca="1">IFERROR(__xludf.DUMMYFUNCTION("""COMPUTED_VALUE"""),44293)</f>
        <v>44293</v>
      </c>
      <c r="F609" s="5" t="str">
        <f ca="1">IFERROR(__xludf.DUMMYFUNCTION("""COMPUTED_VALUE"""),"Peoria High School")</f>
        <v>Peoria High School</v>
      </c>
      <c r="G609" s="5">
        <f ca="1">IFERROR(__xludf.DUMMYFUNCTION("""COMPUTED_VALUE"""),0)</f>
        <v>0</v>
      </c>
      <c r="H609" s="5">
        <f ca="1">IFERROR(__xludf.DUMMYFUNCTION("""COMPUTED_VALUE"""),0)</f>
        <v>0</v>
      </c>
      <c r="I609" s="5">
        <f ca="1">IFERROR(__xludf.DUMMYFUNCTION("""COMPUTED_VALUE"""),0)</f>
        <v>0</v>
      </c>
      <c r="J609" s="5">
        <f ca="1">IFERROR(__xludf.DUMMYFUNCTION("""COMPUTED_VALUE"""),0)</f>
        <v>0</v>
      </c>
      <c r="K609" s="5" t="str">
        <f ca="1">IFERROR(__xludf.DUMMYFUNCTION("""COMPUTED_VALUE"""),"https://hoiabc.com/2021/04/07/14-year-old-arrested-for-having-gun-at-peoria-high-that-causes-school-lockdown-wednesday/ https://week.com/2021/04/07/peoria-high-school-placed-on-lockdown-tuesday-morning-after-incident-with-unloaded-gun/ https://www.central"&amp;"illinoisproud.com/news/local-news/incident-at-peoria-high-school-involving-unloaded-gun/")</f>
        <v>https://hoiabc.com/2021/04/07/14-year-old-arrested-for-having-gun-at-peoria-high-that-causes-school-lockdown-wednesday/ https://week.com/2021/04/07/peoria-high-school-placed-on-lockdown-tuesday-morning-after-incident-with-unloaded-gun/ https://www.centralillinoisproud.com/news/local-news/incident-at-peoria-high-school-involving-unloaded-gun/</v>
      </c>
      <c r="L609" s="5">
        <f ca="1">IFERROR(__xludf.DUMMYFUNCTION("""COMPUTED_VALUE"""),3)</f>
        <v>3</v>
      </c>
      <c r="M609" s="5" t="str">
        <f ca="1">IFERROR(__xludf.DUMMYFUNCTION("""COMPUTED_VALUE"""),"Local")</f>
        <v>Local</v>
      </c>
      <c r="N609" s="5">
        <f ca="1">IFERROR(__xludf.DUMMYFUNCTION("""COMPUTED_VALUE"""),4)</f>
        <v>4</v>
      </c>
      <c r="O609" s="5" t="str">
        <f ca="1">IFERROR(__xludf.DUMMYFUNCTION("""COMPUTED_VALUE"""),"Spring")</f>
        <v>Spring</v>
      </c>
      <c r="P609" s="5" t="str">
        <f ca="1">IFERROR(__xludf.DUMMYFUNCTION("""COMPUTED_VALUE"""),"Peoria")</f>
        <v>Peoria</v>
      </c>
      <c r="Q609" s="5" t="str">
        <f ca="1">IFERROR(__xludf.DUMMYFUNCTION("""COMPUTED_VALUE"""),"IL")</f>
        <v>IL</v>
      </c>
      <c r="R609" s="5" t="str">
        <f ca="1">IFERROR(__xludf.DUMMYFUNCTION("""COMPUTED_VALUE"""),"High")</f>
        <v>High</v>
      </c>
      <c r="S609" s="5" t="str">
        <f ca="1">IFERROR(__xludf.DUMMYFUNCTION("""COMPUTED_VALUE"""),"Inside School Building")</f>
        <v>Inside School Building</v>
      </c>
      <c r="T609" s="5" t="str">
        <f ca="1">IFERROR(__xludf.DUMMYFUNCTION("""COMPUTED_VALUE"""),"Inside School Building")</f>
        <v>Inside School Building</v>
      </c>
      <c r="U609" s="5" t="str">
        <f ca="1">IFERROR(__xludf.DUMMYFUNCTION("""COMPUTED_VALUE"""),"Yes")</f>
        <v>Yes</v>
      </c>
      <c r="V609" s="5" t="str">
        <f ca="1">IFERROR(__xludf.DUMMYFUNCTION("""COMPUTED_VALUE"""),"Morning Classes")</f>
        <v>Morning Classes</v>
      </c>
      <c r="W609" s="10">
        <f ca="1">IFERROR(__xludf.DUMMYFUNCTION("""COMPUTED_VALUE"""),0.416666666666666)</f>
        <v>0.41666666666666602</v>
      </c>
      <c r="X609" s="5">
        <f ca="1">IFERROR(__xludf.DUMMYFUNCTION("""COMPUTED_VALUE"""),1)</f>
        <v>1</v>
      </c>
      <c r="Y609" s="5" t="str">
        <f ca="1">IFERROR(__xludf.DUMMYFUNCTION("""COMPUTED_VALUE"""),"Student pointed a gun at another student during a fight inside the school")</f>
        <v>Student pointed a gun at another student during a fight inside the school</v>
      </c>
      <c r="Z609" s="5" t="str">
        <f ca="1">IFERROR(__xludf.DUMMYFUNCTION("""COMPUTED_VALUE"""),"A 14-year-old student pulled a handgun and pointed it at a 16-year-old student during a fight inside the school. The gun was wrestled away from the shooter and a 3rd uninvolved student grabbed the gun then gave it to a teacher. The shooter was subdued and"&amp;" arrested by police. Police determined the gun was stolen and it was not loaded at the time of the incident. The school was locked down for 2 hours.")</f>
        <v>A 14-year-old student pulled a handgun and pointed it at a 16-year-old student during a fight inside the school. The gun was wrestled away from the shooter and a 3rd uninvolved student grabbed the gun then gave it to a teacher. The shooter was subdued and arrested by police. Police determined the gun was stolen and it was not loaded at the time of the incident. The school was locked down for 2 hours.</v>
      </c>
      <c r="AA609" s="5" t="str">
        <f ca="1">IFERROR(__xludf.DUMMYFUNCTION("""COMPUTED_VALUE"""),"Escalation of Dispute")</f>
        <v>Escalation of Dispute</v>
      </c>
      <c r="AB609" s="5" t="str">
        <f ca="1">IFERROR(__xludf.DUMMYFUNCTION("""COMPUTED_VALUE"""),"Victims Targeted")</f>
        <v>Victims Targeted</v>
      </c>
      <c r="AC609" s="5" t="str">
        <f ca="1">IFERROR(__xludf.DUMMYFUNCTION("""COMPUTED_VALUE"""),"No")</f>
        <v>No</v>
      </c>
      <c r="AD609" s="5" t="str">
        <f ca="1">IFERROR(__xludf.DUMMYFUNCTION("""COMPUTED_VALUE"""),"No")</f>
        <v>No</v>
      </c>
      <c r="AE609" s="5" t="str">
        <f ca="1">IFERROR(__xludf.DUMMYFUNCTION("""COMPUTED_VALUE"""),"No")</f>
        <v>No</v>
      </c>
      <c r="AF609" s="5" t="str">
        <f ca="1">IFERROR(__xludf.DUMMYFUNCTION("""COMPUTED_VALUE"""),"No")</f>
        <v>No</v>
      </c>
      <c r="AG609" s="5"/>
      <c r="AH609" s="5" t="str">
        <f ca="1">IFERROR(__xludf.DUMMYFUNCTION("""COMPUTED_VALUE"""),"No")</f>
        <v>No</v>
      </c>
      <c r="AI609" s="5"/>
      <c r="AJ609" s="5" t="str">
        <f ca="1">IFERROR(__xludf.DUMMYFUNCTION("""COMPUTED_VALUE"""),"No")</f>
        <v>No</v>
      </c>
    </row>
    <row r="610" spans="1:36" ht="13">
      <c r="A610" s="5" t="str">
        <f ca="1">IFERROR(__xludf.DUMMYFUNCTION("""COMPUTED_VALUE"""),"20210406ILBAC")</f>
        <v>20210406ILBAC</v>
      </c>
      <c r="B610" s="5">
        <f ca="1">IFERROR(__xludf.DUMMYFUNCTION("""COMPUTED_VALUE"""),4)</f>
        <v>4</v>
      </c>
      <c r="C610" s="5">
        <f ca="1">IFERROR(__xludf.DUMMYFUNCTION("""COMPUTED_VALUE"""),6)</f>
        <v>6</v>
      </c>
      <c r="D610" s="5">
        <f ca="1">IFERROR(__xludf.DUMMYFUNCTION("""COMPUTED_VALUE"""),2021)</f>
        <v>2021</v>
      </c>
      <c r="E610" s="8">
        <f ca="1">IFERROR(__xludf.DUMMYFUNCTION("""COMPUTED_VALUE"""),44292)</f>
        <v>44292</v>
      </c>
      <c r="F610" s="5" t="str">
        <f ca="1">IFERROR(__xludf.DUMMYFUNCTION("""COMPUTED_VALUE"""),"Back of the Yards College Prep High School")</f>
        <v>Back of the Yards College Prep High School</v>
      </c>
      <c r="G610" s="5">
        <f ca="1">IFERROR(__xludf.DUMMYFUNCTION("""COMPUTED_VALUE"""),0)</f>
        <v>0</v>
      </c>
      <c r="H610" s="5">
        <f ca="1">IFERROR(__xludf.DUMMYFUNCTION("""COMPUTED_VALUE"""),0)</f>
        <v>0</v>
      </c>
      <c r="I610" s="5">
        <f ca="1">IFERROR(__xludf.DUMMYFUNCTION("""COMPUTED_VALUE"""),0)</f>
        <v>0</v>
      </c>
      <c r="J610" s="5">
        <f ca="1">IFERROR(__xludf.DUMMYFUNCTION("""COMPUTED_VALUE"""),0)</f>
        <v>0</v>
      </c>
      <c r="K610" s="5" t="str">
        <f ca="1">IFERROR(__xludf.DUMMYFUNCTION("""COMPUTED_VALUE"""),"https://news.yahoo.com/back-yards-school-windows-shot-215925998.html https://abc7chicago.com/back-of-the-yards-chicago-cps-school-windows-shot-shooting/10492434/")</f>
        <v>https://news.yahoo.com/back-yards-school-windows-shot-215925998.html https://abc7chicago.com/back-of-the-yards-chicago-cps-school-windows-shot-shooting/10492434/</v>
      </c>
      <c r="L610" s="5">
        <f ca="1">IFERROR(__xludf.DUMMYFUNCTION("""COMPUTED_VALUE"""),2)</f>
        <v>2</v>
      </c>
      <c r="M610" s="5" t="str">
        <f ca="1">IFERROR(__xludf.DUMMYFUNCTION("""COMPUTED_VALUE"""),"Local")</f>
        <v>Local</v>
      </c>
      <c r="N610" s="5">
        <f ca="1">IFERROR(__xludf.DUMMYFUNCTION("""COMPUTED_VALUE"""),3)</f>
        <v>3</v>
      </c>
      <c r="O610" s="5" t="str">
        <f ca="1">IFERROR(__xludf.DUMMYFUNCTION("""COMPUTED_VALUE"""),"Spring")</f>
        <v>Spring</v>
      </c>
      <c r="P610" s="5" t="str">
        <f ca="1">IFERROR(__xludf.DUMMYFUNCTION("""COMPUTED_VALUE"""),"Chicago")</f>
        <v>Chicago</v>
      </c>
      <c r="Q610" s="5" t="str">
        <f ca="1">IFERROR(__xludf.DUMMYFUNCTION("""COMPUTED_VALUE"""),"IL")</f>
        <v>IL</v>
      </c>
      <c r="R610" s="5" t="str">
        <f ca="1">IFERROR(__xludf.DUMMYFUNCTION("""COMPUTED_VALUE"""),"High")</f>
        <v>High</v>
      </c>
      <c r="S610" s="5" t="str">
        <f ca="1">IFERROR(__xludf.DUMMYFUNCTION("""COMPUTED_VALUE"""),"Beside Building")</f>
        <v>Beside Building</v>
      </c>
      <c r="T610" s="5" t="str">
        <f ca="1">IFERROR(__xludf.DUMMYFUNCTION("""COMPUTED_VALUE"""),"Outside on School Property")</f>
        <v>Outside on School Property</v>
      </c>
      <c r="U610" s="5" t="str">
        <f ca="1">IFERROR(__xludf.DUMMYFUNCTION("""COMPUTED_VALUE"""),"Yes")</f>
        <v>Yes</v>
      </c>
      <c r="V610" s="5" t="str">
        <f ca="1">IFERROR(__xludf.DUMMYFUNCTION("""COMPUTED_VALUE"""),"Afternoon Classes")</f>
        <v>Afternoon Classes</v>
      </c>
      <c r="W610" s="10">
        <f ca="1">IFERROR(__xludf.DUMMYFUNCTION("""COMPUTED_VALUE"""),0.583333333333333)</f>
        <v>0.58333333333333304</v>
      </c>
      <c r="X610" s="5">
        <f ca="1">IFERROR(__xludf.DUMMYFUNCTION("""COMPUTED_VALUE"""),1)</f>
        <v>1</v>
      </c>
      <c r="Y610" s="5" t="str">
        <f ca="1">IFERROR(__xludf.DUMMYFUNCTION("""COMPUTED_VALUE"""),"Window of the school shot by BB during classes")</f>
        <v>Window of the school shot by BB during classes</v>
      </c>
      <c r="Z610" s="5" t="str">
        <f ca="1">IFERROR(__xludf.DUMMYFUNCTION("""COMPUTED_VALUE"""),"Police were notified of an active shooter outside the school. A large window on the back of the school building was shattered by a BB. Staff were near the window and avoided injury from shattered glass. A 19-year-old male was arrested nearby with a BB gun"&amp;" that was designed to look like a semi-automatic ""assault style"" rifle. Police had received multiple reports the prior days of someone shooting BBs at the school. Damage estimated at $50,000.")</f>
        <v>Police were notified of an active shooter outside the school. A large window on the back of the school building was shattered by a BB. Staff were near the window and avoided injury from shattered glass. A 19-year-old male was arrested nearby with a BB gun that was designed to look like a semi-automatic "assault style" rifle. Police had received multiple reports the prior days of someone shooting BBs at the school. Damage estimated at $50,000.</v>
      </c>
      <c r="AA610" s="5" t="str">
        <f ca="1">IFERROR(__xludf.DUMMYFUNCTION("""COMPUTED_VALUE"""),"Intentional Property Damage")</f>
        <v>Intentional Property Damage</v>
      </c>
      <c r="AB610" s="5" t="str">
        <f ca="1">IFERROR(__xludf.DUMMYFUNCTION("""COMPUTED_VALUE"""),"Neither")</f>
        <v>Neither</v>
      </c>
      <c r="AC610" s="5" t="str">
        <f ca="1">IFERROR(__xludf.DUMMYFUNCTION("""COMPUTED_VALUE"""),"No")</f>
        <v>No</v>
      </c>
      <c r="AD610" s="5" t="str">
        <f ca="1">IFERROR(__xludf.DUMMYFUNCTION("""COMPUTED_VALUE"""),"No")</f>
        <v>No</v>
      </c>
      <c r="AE610" s="5" t="str">
        <f ca="1">IFERROR(__xludf.DUMMYFUNCTION("""COMPUTED_VALUE"""),"No")</f>
        <v>No</v>
      </c>
      <c r="AF610" s="5" t="str">
        <f ca="1">IFERROR(__xludf.DUMMYFUNCTION("""COMPUTED_VALUE"""),"No")</f>
        <v>No</v>
      </c>
      <c r="AG610" s="5" t="str">
        <f ca="1">IFERROR(__xludf.DUMMYFUNCTION("""COMPUTED_VALUE"""),"No")</f>
        <v>No</v>
      </c>
      <c r="AH610" s="5" t="str">
        <f ca="1">IFERROR(__xludf.DUMMYFUNCTION("""COMPUTED_VALUE"""),"No")</f>
        <v>No</v>
      </c>
      <c r="AI610" s="5" t="str">
        <f ca="1">IFERROR(__xludf.DUMMYFUNCTION("""COMPUTED_VALUE"""),"No")</f>
        <v>No</v>
      </c>
      <c r="AJ610" s="5" t="str">
        <f ca="1">IFERROR(__xludf.DUMMYFUNCTION("""COMPUTED_VALUE"""),"No")</f>
        <v>No</v>
      </c>
    </row>
    <row r="611" spans="1:36" ht="13">
      <c r="A611" s="5" t="str">
        <f ca="1">IFERROR(__xludf.DUMMYFUNCTION("""COMPUTED_VALUE"""),"20210401OKCLC")</f>
        <v>20210401OKCLC</v>
      </c>
      <c r="B611" s="5">
        <f ca="1">IFERROR(__xludf.DUMMYFUNCTION("""COMPUTED_VALUE"""),4)</f>
        <v>4</v>
      </c>
      <c r="C611" s="5">
        <f ca="1">IFERROR(__xludf.DUMMYFUNCTION("""COMPUTED_VALUE"""),1)</f>
        <v>1</v>
      </c>
      <c r="D611" s="5">
        <f ca="1">IFERROR(__xludf.DUMMYFUNCTION("""COMPUTED_VALUE"""),2021)</f>
        <v>2021</v>
      </c>
      <c r="E611" s="8">
        <f ca="1">IFERROR(__xludf.DUMMYFUNCTION("""COMPUTED_VALUE"""),44287)</f>
        <v>44287</v>
      </c>
      <c r="F611" s="5" t="str">
        <f ca="1">IFERROR(__xludf.DUMMYFUNCTION("""COMPUTED_VALUE"""),"Cleveland High School")</f>
        <v>Cleveland High School</v>
      </c>
      <c r="G611" s="5">
        <f ca="1">IFERROR(__xludf.DUMMYFUNCTION("""COMPUTED_VALUE"""),0)</f>
        <v>0</v>
      </c>
      <c r="H611" s="5">
        <f ca="1">IFERROR(__xludf.DUMMYFUNCTION("""COMPUTED_VALUE"""),0)</f>
        <v>0</v>
      </c>
      <c r="I611" s="5">
        <f ca="1">IFERROR(__xludf.DUMMYFUNCTION("""COMPUTED_VALUE"""),0)</f>
        <v>0</v>
      </c>
      <c r="J611" s="5">
        <f ca="1">IFERROR(__xludf.DUMMYFUNCTION("""COMPUTED_VALUE"""),0)</f>
        <v>0</v>
      </c>
      <c r="K611" s="5" t="str">
        <f ca="1">IFERROR(__xludf.DUMMYFUNCTION("""COMPUTED_VALUE"""),"https://www.news9.com/story/6067a5180e82920be227efd9/students-stunned-after-windows-shot-while-on-cleveland-public-schools-bus- https://kfor.com/news/local/oklahoma-school-bus-windows-shot-out-while-driving-down-oklahoma-city-highway-with-students-inside/")</f>
        <v>https://www.news9.com/story/6067a5180e82920be227efd9/students-stunned-after-windows-shot-while-on-cleveland-public-schools-bus- https://kfor.com/news/local/oklahoma-school-bus-windows-shot-out-while-driving-down-oklahoma-city-highway-with-students-inside/</v>
      </c>
      <c r="L611" s="5">
        <f ca="1">IFERROR(__xludf.DUMMYFUNCTION("""COMPUTED_VALUE"""),5)</f>
        <v>5</v>
      </c>
      <c r="M611" s="5" t="str">
        <f ca="1">IFERROR(__xludf.DUMMYFUNCTION("""COMPUTED_VALUE"""),"Local")</f>
        <v>Local</v>
      </c>
      <c r="N611" s="5">
        <f ca="1">IFERROR(__xludf.DUMMYFUNCTION("""COMPUTED_VALUE"""),4)</f>
        <v>4</v>
      </c>
      <c r="O611" s="5" t="str">
        <f ca="1">IFERROR(__xludf.DUMMYFUNCTION("""COMPUTED_VALUE"""),"Spring")</f>
        <v>Spring</v>
      </c>
      <c r="P611" s="5" t="str">
        <f ca="1">IFERROR(__xludf.DUMMYFUNCTION("""COMPUTED_VALUE"""),"Cleveland")</f>
        <v>Cleveland</v>
      </c>
      <c r="Q611" s="5" t="str">
        <f ca="1">IFERROR(__xludf.DUMMYFUNCTION("""COMPUTED_VALUE"""),"OK")</f>
        <v>OK</v>
      </c>
      <c r="R611" s="5" t="str">
        <f ca="1">IFERROR(__xludf.DUMMYFUNCTION("""COMPUTED_VALUE"""),"High")</f>
        <v>High</v>
      </c>
      <c r="S611" s="5" t="str">
        <f ca="1">IFERROR(__xludf.DUMMYFUNCTION("""COMPUTED_VALUE"""),"School Bus")</f>
        <v>School Bus</v>
      </c>
      <c r="T611" s="5" t="str">
        <f ca="1">IFERROR(__xludf.DUMMYFUNCTION("""COMPUTED_VALUE"""),"School Bus")</f>
        <v>School Bus</v>
      </c>
      <c r="U611" s="5" t="str">
        <f ca="1">IFERROR(__xludf.DUMMYFUNCTION("""COMPUTED_VALUE"""),"Yes")</f>
        <v>Yes</v>
      </c>
      <c r="V611" s="5" t="str">
        <f ca="1">IFERROR(__xludf.DUMMYFUNCTION("""COMPUTED_VALUE"""),"Evening")</f>
        <v>Evening</v>
      </c>
      <c r="W611" s="5"/>
      <c r="X611" s="5">
        <f ca="1">IFERROR(__xludf.DUMMYFUNCTION("""COMPUTED_VALUE"""),1)</f>
        <v>1</v>
      </c>
      <c r="Y611" s="5" t="str">
        <f ca="1">IFERROR(__xludf.DUMMYFUNCTION("""COMPUTED_VALUE"""),"5 windows shot and broken on moving school bus with students returning from field trip")</f>
        <v>5 windows shot and broken on moving school bus with students returning from field trip</v>
      </c>
      <c r="Z611" s="5" t="str">
        <f ca="1">IFERROR(__xludf.DUMMYFUNCTION("""COMPUTED_VALUE"""),"A school bus with 11 students and 2 adults was driving on I-35 returning from a school field trip. A vehicle pulled up next to the school bus and fired multiple shots breaking 5 windows. No students were injured. The driver pulled over and contacted polic"&amp;"e. Police believe a BB or pellet gun was used because damage was not found inside the bus.")</f>
        <v>A school bus with 11 students and 2 adults was driving on I-35 returning from a school field trip. A vehicle pulled up next to the school bus and fired multiple shots breaking 5 windows. No students were injured. The driver pulled over and contacted police. Police believe a BB or pellet gun was used because damage was not found inside the bus.</v>
      </c>
      <c r="AA611" s="5" t="str">
        <f ca="1">IFERROR(__xludf.DUMMYFUNCTION("""COMPUTED_VALUE"""),"Drive-by Shooting")</f>
        <v>Drive-by Shooting</v>
      </c>
      <c r="AB611" s="5" t="str">
        <f ca="1">IFERROR(__xludf.DUMMYFUNCTION("""COMPUTED_VALUE"""),"Neither")</f>
        <v>Neither</v>
      </c>
      <c r="AC611" s="5"/>
      <c r="AD611" s="5" t="str">
        <f ca="1">IFERROR(__xludf.DUMMYFUNCTION("""COMPUTED_VALUE"""),"No")</f>
        <v>No</v>
      </c>
      <c r="AE611" s="5" t="str">
        <f ca="1">IFERROR(__xludf.DUMMYFUNCTION("""COMPUTED_VALUE"""),"No")</f>
        <v>No</v>
      </c>
      <c r="AF611" s="5" t="str">
        <f ca="1">IFERROR(__xludf.DUMMYFUNCTION("""COMPUTED_VALUE"""),"No")</f>
        <v>No</v>
      </c>
      <c r="AG611" s="5" t="str">
        <f ca="1">IFERROR(__xludf.DUMMYFUNCTION("""COMPUTED_VALUE"""),"No")</f>
        <v>No</v>
      </c>
      <c r="AH611" s="5" t="str">
        <f ca="1">IFERROR(__xludf.DUMMYFUNCTION("""COMPUTED_VALUE"""),"No")</f>
        <v>No</v>
      </c>
      <c r="AI611" s="5" t="str">
        <f ca="1">IFERROR(__xludf.DUMMYFUNCTION("""COMPUTED_VALUE"""),"No")</f>
        <v>No</v>
      </c>
      <c r="AJ611" s="5" t="str">
        <f ca="1">IFERROR(__xludf.DUMMYFUNCTION("""COMPUTED_VALUE"""),"No")</f>
        <v>No</v>
      </c>
    </row>
    <row r="612" spans="1:36" ht="13">
      <c r="A612" s="5" t="str">
        <f ca="1">IFERROR(__xludf.DUMMYFUNCTION("""COMPUTED_VALUE"""),"20210401ALSES")</f>
        <v>20210401ALSES</v>
      </c>
      <c r="B612" s="5">
        <f ca="1">IFERROR(__xludf.DUMMYFUNCTION("""COMPUTED_VALUE"""),4)</f>
        <v>4</v>
      </c>
      <c r="C612" s="5">
        <f ca="1">IFERROR(__xludf.DUMMYFUNCTION("""COMPUTED_VALUE"""),1)</f>
        <v>1</v>
      </c>
      <c r="D612" s="5">
        <f ca="1">IFERROR(__xludf.DUMMYFUNCTION("""COMPUTED_VALUE"""),2021)</f>
        <v>2021</v>
      </c>
      <c r="E612" s="8">
        <f ca="1">IFERROR(__xludf.DUMMYFUNCTION("""COMPUTED_VALUE"""),44287)</f>
        <v>44287</v>
      </c>
      <c r="F612" s="5" t="str">
        <f ca="1">IFERROR(__xludf.DUMMYFUNCTION("""COMPUTED_VALUE"""),"Selma High School")</f>
        <v>Selma High School</v>
      </c>
      <c r="G612" s="5">
        <f ca="1">IFERROR(__xludf.DUMMYFUNCTION("""COMPUTED_VALUE"""),0)</f>
        <v>0</v>
      </c>
      <c r="H612" s="5">
        <f ca="1">IFERROR(__xludf.DUMMYFUNCTION("""COMPUTED_VALUE"""),0)</f>
        <v>0</v>
      </c>
      <c r="I612" s="5">
        <f ca="1">IFERROR(__xludf.DUMMYFUNCTION("""COMPUTED_VALUE"""),0)</f>
        <v>0</v>
      </c>
      <c r="J612" s="5">
        <f ca="1">IFERROR(__xludf.DUMMYFUNCTION("""COMPUTED_VALUE"""),0)</f>
        <v>0</v>
      </c>
      <c r="K612" s="5" t="str">
        <f ca="1">IFERROR(__xludf.DUMMYFUNCTION("""COMPUTED_VALUE"""),"https://www.al.com/news/montgomery/2021/04/shot-fired-during-fight-inside-alabama-high-school-cafeteria.html https://www.wsfa.com/2021/04/01/gun-fired-inside-selma-high-school-arrested/ https://www.alabamanews.net/2021/04/02/selma-high-school-returning-to"&amp;"-virtual-learning-following-shooting-inside-school/ https://www.wsfa.com/2021/04/02/superintendent-reacts-after-shot-fired-inside-selma-high-school/")</f>
        <v>https://www.al.com/news/montgomery/2021/04/shot-fired-during-fight-inside-alabama-high-school-cafeteria.html https://www.wsfa.com/2021/04/01/gun-fired-inside-selma-high-school-arrested/ https://www.alabamanews.net/2021/04/02/selma-high-school-returning-to-virtual-learning-following-shooting-inside-school/ https://www.wsfa.com/2021/04/02/superintendent-reacts-after-shot-fired-inside-selma-high-school/</v>
      </c>
      <c r="L612" s="5">
        <f ca="1">IFERROR(__xludf.DUMMYFUNCTION("""COMPUTED_VALUE"""),10)</f>
        <v>10</v>
      </c>
      <c r="M612" s="5" t="str">
        <f ca="1">IFERROR(__xludf.DUMMYFUNCTION("""COMPUTED_VALUE"""),"Regional")</f>
        <v>Regional</v>
      </c>
      <c r="N612" s="5">
        <f ca="1">IFERROR(__xludf.DUMMYFUNCTION("""COMPUTED_VALUE"""),4)</f>
        <v>4</v>
      </c>
      <c r="O612" s="5" t="str">
        <f ca="1">IFERROR(__xludf.DUMMYFUNCTION("""COMPUTED_VALUE"""),"Spring")</f>
        <v>Spring</v>
      </c>
      <c r="P612" s="5" t="str">
        <f ca="1">IFERROR(__xludf.DUMMYFUNCTION("""COMPUTED_VALUE"""),"Selma")</f>
        <v>Selma</v>
      </c>
      <c r="Q612" s="5" t="str">
        <f ca="1">IFERROR(__xludf.DUMMYFUNCTION("""COMPUTED_VALUE"""),"AL")</f>
        <v>AL</v>
      </c>
      <c r="R612" s="5" t="str">
        <f ca="1">IFERROR(__xludf.DUMMYFUNCTION("""COMPUTED_VALUE"""),"High")</f>
        <v>High</v>
      </c>
      <c r="S612" s="5" t="str">
        <f ca="1">IFERROR(__xludf.DUMMYFUNCTION("""COMPUTED_VALUE"""),"Cafeteria")</f>
        <v>Cafeteria</v>
      </c>
      <c r="T612" s="5" t="str">
        <f ca="1">IFERROR(__xludf.DUMMYFUNCTION("""COMPUTED_VALUE"""),"Inside School Building")</f>
        <v>Inside School Building</v>
      </c>
      <c r="U612" s="5" t="str">
        <f ca="1">IFERROR(__xludf.DUMMYFUNCTION("""COMPUTED_VALUE"""),"Yes")</f>
        <v>Yes</v>
      </c>
      <c r="V612" s="5" t="str">
        <f ca="1">IFERROR(__xludf.DUMMYFUNCTION("""COMPUTED_VALUE"""),"Lunch")</f>
        <v>Lunch</v>
      </c>
      <c r="W612" s="10">
        <f ca="1">IFERROR(__xludf.DUMMYFUNCTION("""COMPUTED_VALUE"""),0.541666666666666)</f>
        <v>0.54166666666666596</v>
      </c>
      <c r="X612" s="5">
        <f ca="1">IFERROR(__xludf.DUMMYFUNCTION("""COMPUTED_VALUE"""),1)</f>
        <v>1</v>
      </c>
      <c r="Y612" s="5" t="str">
        <f ca="1">IFERROR(__xludf.DUMMYFUNCTION("""COMPUTED_VALUE"""),"Student fired one shot at another student during a fight in the cafeteria")</f>
        <v>Student fired one shot at another student during a fight in the cafeteria</v>
      </c>
      <c r="Z612" s="5" t="str">
        <f ca="1">IFERROR(__xludf.DUMMYFUNCTION("""COMPUTED_VALUE"""),"During a fight in the school cafeteria, a 15-year-old student pulled a handgun and fired one shot. The shot missed and no students were injured. A 17-year-old student was also charged with possession of the weapon. The shooter fled the school and was arre"&amp;"sted at a nearby apartment complex. School was locked down and searched by police. The school has metal detectors and armed SRO. School switched back to virtual learning to reassess security.")</f>
        <v>During a fight in the school cafeteria, a 15-year-old student pulled a handgun and fired one shot. The shot missed and no students were injured. A 17-year-old student was also charged with possession of the weapon. The shooter fled the school and was arrested at a nearby apartment complex. School was locked down and searched by police. The school has metal detectors and armed SRO. School switched back to virtual learning to reassess security.</v>
      </c>
      <c r="AA612" s="5" t="str">
        <f ca="1">IFERROR(__xludf.DUMMYFUNCTION("""COMPUTED_VALUE"""),"Escalation of Dispute")</f>
        <v>Escalation of Dispute</v>
      </c>
      <c r="AB612" s="5" t="str">
        <f ca="1">IFERROR(__xludf.DUMMYFUNCTION("""COMPUTED_VALUE"""),"Victims Targeted")</f>
        <v>Victims Targeted</v>
      </c>
      <c r="AC612" s="5" t="str">
        <f ca="1">IFERROR(__xludf.DUMMYFUNCTION("""COMPUTED_VALUE"""),"Yes")</f>
        <v>Yes</v>
      </c>
      <c r="AD612" s="5" t="str">
        <f ca="1">IFERROR(__xludf.DUMMYFUNCTION("""COMPUTED_VALUE"""),"No")</f>
        <v>No</v>
      </c>
      <c r="AE612" s="5" t="str">
        <f ca="1">IFERROR(__xludf.DUMMYFUNCTION("""COMPUTED_VALUE"""),"No")</f>
        <v>No</v>
      </c>
      <c r="AF612" s="5" t="str">
        <f ca="1">IFERROR(__xludf.DUMMYFUNCTION("""COMPUTED_VALUE"""),"No")</f>
        <v>No</v>
      </c>
      <c r="AG612" s="5"/>
      <c r="AH612" s="5" t="str">
        <f ca="1">IFERROR(__xludf.DUMMYFUNCTION("""COMPUTED_VALUE"""),"No")</f>
        <v>No</v>
      </c>
      <c r="AI612" s="5"/>
      <c r="AJ612" s="5" t="str">
        <f ca="1">IFERROR(__xludf.DUMMYFUNCTION("""COMPUTED_VALUE"""),"No")</f>
        <v>No</v>
      </c>
    </row>
    <row r="613" spans="1:36" ht="13">
      <c r="A613" s="5" t="str">
        <f ca="1">IFERROR(__xludf.DUMMYFUNCTION("""COMPUTED_VALUE"""),"20210327MAPEC")</f>
        <v>20210327MAPEC</v>
      </c>
      <c r="B613" s="5">
        <f ca="1">IFERROR(__xludf.DUMMYFUNCTION("""COMPUTED_VALUE"""),3)</f>
        <v>3</v>
      </c>
      <c r="C613" s="5">
        <f ca="1">IFERROR(__xludf.DUMMYFUNCTION("""COMPUTED_VALUE"""),27)</f>
        <v>27</v>
      </c>
      <c r="D613" s="5">
        <f ca="1">IFERROR(__xludf.DUMMYFUNCTION("""COMPUTED_VALUE"""),2021)</f>
        <v>2021</v>
      </c>
      <c r="E613" s="8">
        <f ca="1">IFERROR(__xludf.DUMMYFUNCTION("""COMPUTED_VALUE"""),44282)</f>
        <v>44282</v>
      </c>
      <c r="F613" s="5" t="str">
        <f ca="1">IFERROR(__xludf.DUMMYFUNCTION("""COMPUTED_VALUE"""),"Peabody Elementary School")</f>
        <v>Peabody Elementary School</v>
      </c>
      <c r="G613" s="5">
        <f ca="1">IFERROR(__xludf.DUMMYFUNCTION("""COMPUTED_VALUE"""),1)</f>
        <v>1</v>
      </c>
      <c r="H613" s="5">
        <f ca="1">IFERROR(__xludf.DUMMYFUNCTION("""COMPUTED_VALUE"""),0)</f>
        <v>0</v>
      </c>
      <c r="I613" s="5">
        <f ca="1">IFERROR(__xludf.DUMMYFUNCTION("""COMPUTED_VALUE"""),1)</f>
        <v>1</v>
      </c>
      <c r="J613" s="5">
        <f ca="1">IFERROR(__xludf.DUMMYFUNCTION("""COMPUTED_VALUE"""),0)</f>
        <v>0</v>
      </c>
      <c r="K613" s="5" t="str">
        <f ca="1">IFERROR(__xludf.DUMMYFUNCTION("""COMPUTED_VALUE"""),"https://www.middlesexda.com/press-releases/news/fatal-shooting-under-investigation-cambridge https://www.nbcboston.com/news/local/19-year-old-man-dead-after-cambridge-shooting-police/2340447/")</f>
        <v>https://www.middlesexda.com/press-releases/news/fatal-shooting-under-investigation-cambridge https://www.nbcboston.com/news/local/19-year-old-man-dead-after-cambridge-shooting-police/2340447/</v>
      </c>
      <c r="L613" s="5">
        <f ca="1">IFERROR(__xludf.DUMMYFUNCTION("""COMPUTED_VALUE"""),1)</f>
        <v>1</v>
      </c>
      <c r="M613" s="5" t="str">
        <f ca="1">IFERROR(__xludf.DUMMYFUNCTION("""COMPUTED_VALUE"""),"Local")</f>
        <v>Local</v>
      </c>
      <c r="N613" s="5">
        <f ca="1">IFERROR(__xludf.DUMMYFUNCTION("""COMPUTED_VALUE"""),4)</f>
        <v>4</v>
      </c>
      <c r="O613" s="5" t="str">
        <f ca="1">IFERROR(__xludf.DUMMYFUNCTION("""COMPUTED_VALUE"""),"Spring")</f>
        <v>Spring</v>
      </c>
      <c r="P613" s="5" t="str">
        <f ca="1">IFERROR(__xludf.DUMMYFUNCTION("""COMPUTED_VALUE"""),"Cambridge")</f>
        <v>Cambridge</v>
      </c>
      <c r="Q613" s="5" t="str">
        <f ca="1">IFERROR(__xludf.DUMMYFUNCTION("""COMPUTED_VALUE"""),"MA")</f>
        <v>MA</v>
      </c>
      <c r="R613" s="5" t="str">
        <f ca="1">IFERROR(__xludf.DUMMYFUNCTION("""COMPUTED_VALUE"""),"Elementary")</f>
        <v>Elementary</v>
      </c>
      <c r="S613" s="5" t="str">
        <f ca="1">IFERROR(__xludf.DUMMYFUNCTION("""COMPUTED_VALUE"""),"Basketball Court")</f>
        <v>Basketball Court</v>
      </c>
      <c r="T613" s="5" t="str">
        <f ca="1">IFERROR(__xludf.DUMMYFUNCTION("""COMPUTED_VALUE"""),"Outside on School Property")</f>
        <v>Outside on School Property</v>
      </c>
      <c r="U613" s="5" t="str">
        <f ca="1">IFERROR(__xludf.DUMMYFUNCTION("""COMPUTED_VALUE"""),"No")</f>
        <v>No</v>
      </c>
      <c r="V613" s="5" t="str">
        <f ca="1">IFERROR(__xludf.DUMMYFUNCTION("""COMPUTED_VALUE"""),"Night")</f>
        <v>Night</v>
      </c>
      <c r="W613" s="10">
        <f ca="1">IFERROR(__xludf.DUMMYFUNCTION("""COMPUTED_VALUE"""),0.0277777777777777)</f>
        <v>2.77777777777777E-2</v>
      </c>
      <c r="X613" s="5">
        <f ca="1">IFERROR(__xludf.DUMMYFUNCTION("""COMPUTED_VALUE"""),1)</f>
        <v>1</v>
      </c>
      <c r="Y613" s="5" t="str">
        <f ca="1">IFERROR(__xludf.DUMMYFUNCTION("""COMPUTED_VALUE"""),"Man found fatally shot next to basketball court")</f>
        <v>Man found fatally shot next to basketball court</v>
      </c>
      <c r="Z613" s="5" t="str">
        <f ca="1">IFERROR(__xludf.DUMMYFUNCTION("""COMPUTED_VALUE"""),"A 19-year-old man's body was found next to the basketball court. Shooter fled the scene. Motive unknown.")</f>
        <v>A 19-year-old man's body was found next to the basketball court. Shooter fled the scene. Motive unknown.</v>
      </c>
      <c r="AA613" s="5"/>
      <c r="AB613" s="5" t="str">
        <f ca="1">IFERROR(__xludf.DUMMYFUNCTION("""COMPUTED_VALUE"""),"Victims Targeted")</f>
        <v>Victims Targeted</v>
      </c>
      <c r="AC613" s="5"/>
      <c r="AD613" s="5" t="str">
        <f ca="1">IFERROR(__xludf.DUMMYFUNCTION("""COMPUTED_VALUE"""),"No")</f>
        <v>No</v>
      </c>
      <c r="AE613" s="5" t="str">
        <f ca="1">IFERROR(__xludf.DUMMYFUNCTION("""COMPUTED_VALUE"""),"No")</f>
        <v>No</v>
      </c>
      <c r="AF613" s="5" t="str">
        <f ca="1">IFERROR(__xludf.DUMMYFUNCTION("""COMPUTED_VALUE"""),"No")</f>
        <v>No</v>
      </c>
      <c r="AG613" s="5" t="str">
        <f ca="1">IFERROR(__xludf.DUMMYFUNCTION("""COMPUTED_VALUE"""),"No")</f>
        <v>No</v>
      </c>
      <c r="AH613" s="5"/>
      <c r="AI613" s="5"/>
      <c r="AJ613" s="5" t="str">
        <f ca="1">IFERROR(__xludf.DUMMYFUNCTION("""COMPUTED_VALUE"""),"No")</f>
        <v>No</v>
      </c>
    </row>
    <row r="614" spans="1:36" ht="13">
      <c r="A614" s="5" t="str">
        <f ca="1">IFERROR(__xludf.DUMMYFUNCTION("""COMPUTED_VALUE"""),"20210326MOCAS")</f>
        <v>20210326MOCAS</v>
      </c>
      <c r="B614" s="5">
        <f ca="1">IFERROR(__xludf.DUMMYFUNCTION("""COMPUTED_VALUE"""),3)</f>
        <v>3</v>
      </c>
      <c r="C614" s="5">
        <f ca="1">IFERROR(__xludf.DUMMYFUNCTION("""COMPUTED_VALUE"""),26)</f>
        <v>26</v>
      </c>
      <c r="D614" s="5">
        <f ca="1">IFERROR(__xludf.DUMMYFUNCTION("""COMPUTED_VALUE"""),2021)</f>
        <v>2021</v>
      </c>
      <c r="E614" s="8">
        <f ca="1">IFERROR(__xludf.DUMMYFUNCTION("""COMPUTED_VALUE"""),44281)</f>
        <v>44281</v>
      </c>
      <c r="F614" s="5" t="str">
        <f ca="1">IFERROR(__xludf.DUMMYFUNCTION("""COMPUTED_VALUE"""),"Castlio Elementary School")</f>
        <v>Castlio Elementary School</v>
      </c>
      <c r="G614" s="5">
        <f ca="1">IFERROR(__xludf.DUMMYFUNCTION("""COMPUTED_VALUE"""),0)</f>
        <v>0</v>
      </c>
      <c r="H614" s="5">
        <f ca="1">IFERROR(__xludf.DUMMYFUNCTION("""COMPUTED_VALUE"""),0)</f>
        <v>0</v>
      </c>
      <c r="I614" s="5">
        <f ca="1">IFERROR(__xludf.DUMMYFUNCTION("""COMPUTED_VALUE"""),0)</f>
        <v>0</v>
      </c>
      <c r="J614" s="5">
        <f ca="1">IFERROR(__xludf.DUMMYFUNCTION("""COMPUTED_VALUE"""),1)</f>
        <v>1</v>
      </c>
      <c r="K614" s="5" t="str">
        <f ca="1">IFERROR(__xludf.DUMMYFUNCTION("""COMPUTED_VALUE"""),"https://www.stltoday.com/news/local/crime-and-courts/st-charles-county-police-shoot-kill-man-who-pointed-weapon-at-officer/article_bc04cd0a-1451-5433-83eb-899c3b911080.html https://wsiltv.com/2021/03/26/officials-st-charles-police-officer-shoots-kills-man"&amp;"/")</f>
        <v>https://www.stltoday.com/news/local/crime-and-courts/st-charles-county-police-shoot-kill-man-who-pointed-weapon-at-officer/article_bc04cd0a-1451-5433-83eb-899c3b911080.html https://wsiltv.com/2021/03/26/officials-st-charles-police-officer-shoots-kills-man/</v>
      </c>
      <c r="L614" s="5">
        <f ca="1">IFERROR(__xludf.DUMMYFUNCTION("""COMPUTED_VALUE"""),2)</f>
        <v>2</v>
      </c>
      <c r="M614" s="5" t="str">
        <f ca="1">IFERROR(__xludf.DUMMYFUNCTION("""COMPUTED_VALUE"""),"Local")</f>
        <v>Local</v>
      </c>
      <c r="N614" s="5">
        <f ca="1">IFERROR(__xludf.DUMMYFUNCTION("""COMPUTED_VALUE"""),3)</f>
        <v>3</v>
      </c>
      <c r="O614" s="5" t="str">
        <f ca="1">IFERROR(__xludf.DUMMYFUNCTION("""COMPUTED_VALUE"""),"Spring")</f>
        <v>Spring</v>
      </c>
      <c r="P614" s="5" t="str">
        <f ca="1">IFERROR(__xludf.DUMMYFUNCTION("""COMPUTED_VALUE"""),"St Charles")</f>
        <v>St Charles</v>
      </c>
      <c r="Q614" s="5" t="str">
        <f ca="1">IFERROR(__xludf.DUMMYFUNCTION("""COMPUTED_VALUE"""),"MO")</f>
        <v>MO</v>
      </c>
      <c r="R614" s="5" t="str">
        <f ca="1">IFERROR(__xludf.DUMMYFUNCTION("""COMPUTED_VALUE"""),"Elementary")</f>
        <v>Elementary</v>
      </c>
      <c r="S614" s="5" t="str">
        <f ca="1">IFERROR(__xludf.DUMMYFUNCTION("""COMPUTED_VALUE"""),"Parking Lot")</f>
        <v>Parking Lot</v>
      </c>
      <c r="T614" s="5" t="str">
        <f ca="1">IFERROR(__xludf.DUMMYFUNCTION("""COMPUTED_VALUE"""),"Outside on School Property")</f>
        <v>Outside on School Property</v>
      </c>
      <c r="U614" s="5" t="str">
        <f ca="1">IFERROR(__xludf.DUMMYFUNCTION("""COMPUTED_VALUE"""),"No")</f>
        <v>No</v>
      </c>
      <c r="V614" s="5" t="str">
        <f ca="1">IFERROR(__xludf.DUMMYFUNCTION("""COMPUTED_VALUE"""),"Night")</f>
        <v>Night</v>
      </c>
      <c r="W614" s="10">
        <f ca="1">IFERROR(__xludf.DUMMYFUNCTION("""COMPUTED_VALUE"""),0.0833333333333333)</f>
        <v>8.3333333333333301E-2</v>
      </c>
      <c r="X614" s="5">
        <f ca="1">IFERROR(__xludf.DUMMYFUNCTION("""COMPUTED_VALUE"""),1)</f>
        <v>1</v>
      </c>
      <c r="Y614" s="5" t="str">
        <f ca="1">IFERROR(__xludf.DUMMYFUNCTION("""COMPUTED_VALUE"""),"Suicidal man pointed gun at officer who then shot him")</f>
        <v>Suicidal man pointed gun at officer who then shot him</v>
      </c>
      <c r="Z614" s="5" t="str">
        <f ca="1">IFERROR(__xludf.DUMMYFUNCTION("""COMPUTED_VALUE"""),"A 33-year-old man called 911 to say he was suicidal. When the first police officer arrived, the man pointed a gun at the officer in the school parking lot. The officer shot and killed him.")</f>
        <v>A 33-year-old man called 911 to say he was suicidal. When the first police officer arrived, the man pointed a gun at the officer in the school parking lot. The officer shot and killed him.</v>
      </c>
      <c r="AA614" s="5" t="str">
        <f ca="1">IFERROR(__xludf.DUMMYFUNCTION("""COMPUTED_VALUE"""),"Suicide/Attempted")</f>
        <v>Suicide/Attempted</v>
      </c>
      <c r="AB614" s="5" t="str">
        <f ca="1">IFERROR(__xludf.DUMMYFUNCTION("""COMPUTED_VALUE"""),"Victims Targeted")</f>
        <v>Victims Targeted</v>
      </c>
      <c r="AC614" s="5" t="str">
        <f ca="1">IFERROR(__xludf.DUMMYFUNCTION("""COMPUTED_VALUE"""),"No")</f>
        <v>No</v>
      </c>
      <c r="AD614" s="5" t="str">
        <f ca="1">IFERROR(__xludf.DUMMYFUNCTION("""COMPUTED_VALUE"""),"No")</f>
        <v>No</v>
      </c>
      <c r="AE614" s="5" t="str">
        <f ca="1">IFERROR(__xludf.DUMMYFUNCTION("""COMPUTED_VALUE"""),"No")</f>
        <v>No</v>
      </c>
      <c r="AF614" s="5" t="str">
        <f ca="1">IFERROR(__xludf.DUMMYFUNCTION("""COMPUTED_VALUE"""),"Yes")</f>
        <v>Yes</v>
      </c>
      <c r="AG614" s="5" t="str">
        <f ca="1">IFERROR(__xludf.DUMMYFUNCTION("""COMPUTED_VALUE"""),"No")</f>
        <v>No</v>
      </c>
      <c r="AH614" s="5" t="str">
        <f ca="1">IFERROR(__xludf.DUMMYFUNCTION("""COMPUTED_VALUE"""),"No")</f>
        <v>No</v>
      </c>
      <c r="AI614" s="5" t="str">
        <f ca="1">IFERROR(__xludf.DUMMYFUNCTION("""COMPUTED_VALUE"""),"No")</f>
        <v>No</v>
      </c>
      <c r="AJ614" s="5" t="str">
        <f ca="1">IFERROR(__xludf.DUMMYFUNCTION("""COMPUTED_VALUE"""),"No")</f>
        <v>No</v>
      </c>
    </row>
    <row r="615" spans="1:36" ht="13">
      <c r="A615" s="5" t="str">
        <f ca="1">IFERROR(__xludf.DUMMYFUNCTION("""COMPUTED_VALUE"""),"20210324ORFOS")</f>
        <v>20210324ORFOS</v>
      </c>
      <c r="B615" s="5">
        <f ca="1">IFERROR(__xludf.DUMMYFUNCTION("""COMPUTED_VALUE"""),3)</f>
        <v>3</v>
      </c>
      <c r="C615" s="5">
        <f ca="1">IFERROR(__xludf.DUMMYFUNCTION("""COMPUTED_VALUE"""),24)</f>
        <v>24</v>
      </c>
      <c r="D615" s="5">
        <f ca="1">IFERROR(__xludf.DUMMYFUNCTION("""COMPUTED_VALUE"""),2021)</f>
        <v>2021</v>
      </c>
      <c r="E615" s="8">
        <f ca="1">IFERROR(__xludf.DUMMYFUNCTION("""COMPUTED_VALUE"""),44279)</f>
        <v>44279</v>
      </c>
      <c r="F615" s="5" t="str">
        <f ca="1">IFERROR(__xludf.DUMMYFUNCTION("""COMPUTED_VALUE"""),"Four Corners Elementary School")</f>
        <v>Four Corners Elementary School</v>
      </c>
      <c r="G615" s="5">
        <f ca="1">IFERROR(__xludf.DUMMYFUNCTION("""COMPUTED_VALUE"""),1)</f>
        <v>1</v>
      </c>
      <c r="H615" s="5">
        <f ca="1">IFERROR(__xludf.DUMMYFUNCTION("""COMPUTED_VALUE"""),1)</f>
        <v>1</v>
      </c>
      <c r="I615" s="5">
        <f ca="1">IFERROR(__xludf.DUMMYFUNCTION("""COMPUTED_VALUE"""),2)</f>
        <v>2</v>
      </c>
      <c r="J615" s="5">
        <f ca="1">IFERROR(__xludf.DUMMYFUNCTION("""COMPUTED_VALUE"""),0)</f>
        <v>0</v>
      </c>
      <c r="K615" s="5" t="str">
        <f ca="1">IFERROR(__xludf.DUMMYFUNCTION("""COMPUTED_VALUE"""),"https://www.oregonlive.com/crime/2021/03/teenager-dies-after-shooting-in-salem-elementary-school-parking-lot.html https://katu.com/news/local/two-teens-shot-two-others-in-custody-after-marijuana-robbery-in-se-salem-sheriff-says https://www.kxl.com/two-tee"&amp;"ns-shot-outside-salem-school-shooter-detained/")</f>
        <v>https://www.oregonlive.com/crime/2021/03/teenager-dies-after-shooting-in-salem-elementary-school-parking-lot.html https://katu.com/news/local/two-teens-shot-two-others-in-custody-after-marijuana-robbery-in-se-salem-sheriff-says https://www.kxl.com/two-teens-shot-outside-salem-school-shooter-detained/</v>
      </c>
      <c r="L615" s="5">
        <f ca="1">IFERROR(__xludf.DUMMYFUNCTION("""COMPUTED_VALUE"""),2)</f>
        <v>2</v>
      </c>
      <c r="M615" s="5" t="str">
        <f ca="1">IFERROR(__xludf.DUMMYFUNCTION("""COMPUTED_VALUE"""),"Local")</f>
        <v>Local</v>
      </c>
      <c r="N615" s="5">
        <f ca="1">IFERROR(__xludf.DUMMYFUNCTION("""COMPUTED_VALUE"""),3)</f>
        <v>3</v>
      </c>
      <c r="O615" s="5" t="str">
        <f ca="1">IFERROR(__xludf.DUMMYFUNCTION("""COMPUTED_VALUE"""),"Spring")</f>
        <v>Spring</v>
      </c>
      <c r="P615" s="5" t="str">
        <f ca="1">IFERROR(__xludf.DUMMYFUNCTION("""COMPUTED_VALUE"""),"Salem")</f>
        <v>Salem</v>
      </c>
      <c r="Q615" s="5" t="str">
        <f ca="1">IFERROR(__xludf.DUMMYFUNCTION("""COMPUTED_VALUE"""),"OR")</f>
        <v>OR</v>
      </c>
      <c r="R615" s="5" t="str">
        <f ca="1">IFERROR(__xludf.DUMMYFUNCTION("""COMPUTED_VALUE"""),"Elementary")</f>
        <v>Elementary</v>
      </c>
      <c r="S615" s="5" t="str">
        <f ca="1">IFERROR(__xludf.DUMMYFUNCTION("""COMPUTED_VALUE"""),"Parking Lot")</f>
        <v>Parking Lot</v>
      </c>
      <c r="T615" s="5" t="str">
        <f ca="1">IFERROR(__xludf.DUMMYFUNCTION("""COMPUTED_VALUE"""),"Outside on School Property")</f>
        <v>Outside on School Property</v>
      </c>
      <c r="U615" s="5" t="str">
        <f ca="1">IFERROR(__xludf.DUMMYFUNCTION("""COMPUTED_VALUE"""),"No")</f>
        <v>No</v>
      </c>
      <c r="V615" s="5" t="str">
        <f ca="1">IFERROR(__xludf.DUMMYFUNCTION("""COMPUTED_VALUE"""),"Evening")</f>
        <v>Evening</v>
      </c>
      <c r="W615" s="10">
        <f ca="1">IFERROR(__xludf.DUMMYFUNCTION("""COMPUTED_VALUE"""),0.680555555555555)</f>
        <v>0.68055555555555503</v>
      </c>
      <c r="X615" s="5">
        <f ca="1">IFERROR(__xludf.DUMMYFUNCTION("""COMPUTED_VALUE"""),1)</f>
        <v>1</v>
      </c>
      <c r="Y615" s="5" t="str">
        <f ca="1">IFERROR(__xludf.DUMMYFUNCTION("""COMPUTED_VALUE"""),"Two teens shot during drug deal in school parking lot")</f>
        <v>Two teens shot during drug deal in school parking lot</v>
      </c>
      <c r="Z615" s="5" t="str">
        <f ca="1">IFERROR(__xludf.DUMMYFUNCTION("""COMPUTED_VALUE"""),"Two 17-year-old teens were shot during a drug deal in the parking lot behind the school. One of the victims was critically injured and died the following day at the hospital. Two teens were arrested and a gun was recovered.")</f>
        <v>Two 17-year-old teens were shot during a drug deal in the parking lot behind the school. One of the victims was critically injured and died the following day at the hospital. Two teens were arrested and a gun was recovered.</v>
      </c>
      <c r="AA615" s="5" t="str">
        <f ca="1">IFERROR(__xludf.DUMMYFUNCTION("""COMPUTED_VALUE"""),"Illegal Activity")</f>
        <v>Illegal Activity</v>
      </c>
      <c r="AB615" s="5" t="str">
        <f ca="1">IFERROR(__xludf.DUMMYFUNCTION("""COMPUTED_VALUE"""),"Victims Targeted")</f>
        <v>Victims Targeted</v>
      </c>
      <c r="AC615" s="5" t="str">
        <f ca="1">IFERROR(__xludf.DUMMYFUNCTION("""COMPUTED_VALUE"""),"Yes")</f>
        <v>Yes</v>
      </c>
      <c r="AD615" s="5" t="str">
        <f ca="1">IFERROR(__xludf.DUMMYFUNCTION("""COMPUTED_VALUE"""),"No")</f>
        <v>No</v>
      </c>
      <c r="AE615" s="5" t="str">
        <f ca="1">IFERROR(__xludf.DUMMYFUNCTION("""COMPUTED_VALUE"""),"No")</f>
        <v>No</v>
      </c>
      <c r="AF615" s="5" t="str">
        <f ca="1">IFERROR(__xludf.DUMMYFUNCTION("""COMPUTED_VALUE"""),"No")</f>
        <v>No</v>
      </c>
      <c r="AG615" s="5" t="str">
        <f ca="1">IFERROR(__xludf.DUMMYFUNCTION("""COMPUTED_VALUE"""),"No")</f>
        <v>No</v>
      </c>
      <c r="AH615" s="5" t="str">
        <f ca="1">IFERROR(__xludf.DUMMYFUNCTION("""COMPUTED_VALUE"""),"No")</f>
        <v>No</v>
      </c>
      <c r="AI615" s="5" t="str">
        <f ca="1">IFERROR(__xludf.DUMMYFUNCTION("""COMPUTED_VALUE"""),"No")</f>
        <v>No</v>
      </c>
      <c r="AJ615" s="5" t="str">
        <f ca="1">IFERROR(__xludf.DUMMYFUNCTION("""COMPUTED_VALUE"""),"No")</f>
        <v>No</v>
      </c>
    </row>
    <row r="616" spans="1:36" ht="13">
      <c r="A616" s="5" t="str">
        <f ca="1">IFERROR(__xludf.DUMMYFUNCTION("""COMPUTED_VALUE"""),"20210319WVSPM")</f>
        <v>20210319WVSPM</v>
      </c>
      <c r="B616" s="5">
        <f ca="1">IFERROR(__xludf.DUMMYFUNCTION("""COMPUTED_VALUE"""),3)</f>
        <v>3</v>
      </c>
      <c r="C616" s="5">
        <f ca="1">IFERROR(__xludf.DUMMYFUNCTION("""COMPUTED_VALUE"""),19)</f>
        <v>19</v>
      </c>
      <c r="D616" s="5">
        <f ca="1">IFERROR(__xludf.DUMMYFUNCTION("""COMPUTED_VALUE"""),2021)</f>
        <v>2021</v>
      </c>
      <c r="E616" s="8">
        <f ca="1">IFERROR(__xludf.DUMMYFUNCTION("""COMPUTED_VALUE"""),44274)</f>
        <v>44274</v>
      </c>
      <c r="F616" s="5" t="str">
        <f ca="1">IFERROR(__xludf.DUMMYFUNCTION("""COMPUTED_VALUE"""),"Spring Mills Middle School")</f>
        <v>Spring Mills Middle School</v>
      </c>
      <c r="G616" s="5">
        <f ca="1">IFERROR(__xludf.DUMMYFUNCTION("""COMPUTED_VALUE"""),0)</f>
        <v>0</v>
      </c>
      <c r="H616" s="5">
        <f ca="1">IFERROR(__xludf.DUMMYFUNCTION("""COMPUTED_VALUE"""),0)</f>
        <v>0</v>
      </c>
      <c r="I616" s="5">
        <f ca="1">IFERROR(__xludf.DUMMYFUNCTION("""COMPUTED_VALUE"""),0)</f>
        <v>0</v>
      </c>
      <c r="J616" s="5">
        <f ca="1">IFERROR(__xludf.DUMMYFUNCTION("""COMPUTED_VALUE"""),0)</f>
        <v>0</v>
      </c>
      <c r="K616" s="5" t="str">
        <f ca="1">IFERROR(__xludf.DUMMYFUNCTION("""COMPUTED_VALUE"""),"https://www.heraldmailmedia.com/news/tri_state/west_virginia/police-identify-two-males-involved-in-shooting-a-school-bus-with-a-bb-gun-near/article_22396b99-f7ad-5100-a650-0241547d4239.html https://wjla.com/features/7-on-your-side/investigators-searching-"&amp;"for-2-minors-who-shot-at-school-bus-in-west-virginia")</f>
        <v>https://www.heraldmailmedia.com/news/tri_state/west_virginia/police-identify-two-males-involved-in-shooting-a-school-bus-with-a-bb-gun-near/article_22396b99-f7ad-5100-a650-0241547d4239.html https://wjla.com/features/7-on-your-side/investigators-searching-for-2-minors-who-shot-at-school-bus-in-west-virginia</v>
      </c>
      <c r="L616" s="5">
        <f ca="1">IFERROR(__xludf.DUMMYFUNCTION("""COMPUTED_VALUE"""),2)</f>
        <v>2</v>
      </c>
      <c r="M616" s="5" t="str">
        <f ca="1">IFERROR(__xludf.DUMMYFUNCTION("""COMPUTED_VALUE"""),"Local")</f>
        <v>Local</v>
      </c>
      <c r="N616" s="5">
        <f ca="1">IFERROR(__xludf.DUMMYFUNCTION("""COMPUTED_VALUE"""),4)</f>
        <v>4</v>
      </c>
      <c r="O616" s="5" t="str">
        <f ca="1">IFERROR(__xludf.DUMMYFUNCTION("""COMPUTED_VALUE"""),"Spring")</f>
        <v>Spring</v>
      </c>
      <c r="P616" s="5" t="str">
        <f ca="1">IFERROR(__xludf.DUMMYFUNCTION("""COMPUTED_VALUE"""),"Martinsburg")</f>
        <v>Martinsburg</v>
      </c>
      <c r="Q616" s="5" t="str">
        <f ca="1">IFERROR(__xludf.DUMMYFUNCTION("""COMPUTED_VALUE"""),"WV")</f>
        <v>WV</v>
      </c>
      <c r="R616" s="5" t="str">
        <f ca="1">IFERROR(__xludf.DUMMYFUNCTION("""COMPUTED_VALUE"""),"Middle")</f>
        <v>Middle</v>
      </c>
      <c r="S616" s="5" t="str">
        <f ca="1">IFERROR(__xludf.DUMMYFUNCTION("""COMPUTED_VALUE"""),"School Bus")</f>
        <v>School Bus</v>
      </c>
      <c r="T616" s="5" t="str">
        <f ca="1">IFERROR(__xludf.DUMMYFUNCTION("""COMPUTED_VALUE"""),"School Bus")</f>
        <v>School Bus</v>
      </c>
      <c r="U616" s="5" t="str">
        <f ca="1">IFERROR(__xludf.DUMMYFUNCTION("""COMPUTED_VALUE"""),"Yes")</f>
        <v>Yes</v>
      </c>
      <c r="V616" s="5" t="str">
        <f ca="1">IFERROR(__xludf.DUMMYFUNCTION("""COMPUTED_VALUE"""),"Dismissal")</f>
        <v>Dismissal</v>
      </c>
      <c r="W616" s="10">
        <f ca="1">IFERROR(__xludf.DUMMYFUNCTION("""COMPUTED_VALUE"""),0.625)</f>
        <v>0.625</v>
      </c>
      <c r="X616" s="5">
        <f ca="1">IFERROR(__xludf.DUMMYFUNCTION("""COMPUTED_VALUE"""),2)</f>
        <v>2</v>
      </c>
      <c r="Y616" s="5" t="str">
        <f ca="1">IFERROR(__xludf.DUMMYFUNCTION("""COMPUTED_VALUE"""),"Two teens fired BB guns at two school buses full of students leaving the school")</f>
        <v>Two teens fired BB guns at two school buses full of students leaving the school</v>
      </c>
      <c r="Z616" s="5" t="str">
        <f ca="1">IFERROR(__xludf.DUMMYFUNCTION("""COMPUTED_VALUE"""),"At dismissal, two teenage shooters fired BB guns at two school buses occupied by students. A window was broken on one bus and the other was undamaged. No students were injured. The two shooters fled the scene. Video from the bus was used to identify the t"&amp;"eens who were questioned to police and referred for prosecution.")</f>
        <v>At dismissal, two teenage shooters fired BB guns at two school buses occupied by students. A window was broken on one bus and the other was undamaged. No students were injured. The two shooters fled the scene. Video from the bus was used to identify the teens who were questioned to police and referred for prosecution.</v>
      </c>
      <c r="AA616" s="5" t="str">
        <f ca="1">IFERROR(__xludf.DUMMYFUNCTION("""COMPUTED_VALUE"""),"Intentional Property Damage")</f>
        <v>Intentional Property Damage</v>
      </c>
      <c r="AB616" s="5" t="str">
        <f ca="1">IFERROR(__xludf.DUMMYFUNCTION("""COMPUTED_VALUE"""),"Random Shooting")</f>
        <v>Random Shooting</v>
      </c>
      <c r="AC616" s="5" t="str">
        <f ca="1">IFERROR(__xludf.DUMMYFUNCTION("""COMPUTED_VALUE"""),"Yes")</f>
        <v>Yes</v>
      </c>
      <c r="AD616" s="5" t="str">
        <f ca="1">IFERROR(__xludf.DUMMYFUNCTION("""COMPUTED_VALUE"""),"No")</f>
        <v>No</v>
      </c>
      <c r="AE616" s="5" t="str">
        <f ca="1">IFERROR(__xludf.DUMMYFUNCTION("""COMPUTED_VALUE"""),"No")</f>
        <v>No</v>
      </c>
      <c r="AF616" s="5" t="str">
        <f ca="1">IFERROR(__xludf.DUMMYFUNCTION("""COMPUTED_VALUE"""),"No")</f>
        <v>No</v>
      </c>
      <c r="AG616" s="5"/>
      <c r="AH616" s="5" t="str">
        <f ca="1">IFERROR(__xludf.DUMMYFUNCTION("""COMPUTED_VALUE"""),"No")</f>
        <v>No</v>
      </c>
      <c r="AI616" s="5" t="str">
        <f ca="1">IFERROR(__xludf.DUMMYFUNCTION("""COMPUTED_VALUE"""),"No")</f>
        <v>No</v>
      </c>
      <c r="AJ616" s="5" t="str">
        <f ca="1">IFERROR(__xludf.DUMMYFUNCTION("""COMPUTED_VALUE"""),"No")</f>
        <v>No</v>
      </c>
    </row>
    <row r="617" spans="1:36" ht="13">
      <c r="A617" s="5" t="str">
        <f ca="1">IFERROR(__xludf.DUMMYFUNCTION("""COMPUTED_VALUE"""),"20210318KYGRL")</f>
        <v>20210318KYGRL</v>
      </c>
      <c r="B617" s="5">
        <f ca="1">IFERROR(__xludf.DUMMYFUNCTION("""COMPUTED_VALUE"""),3)</f>
        <v>3</v>
      </c>
      <c r="C617" s="5">
        <f ca="1">IFERROR(__xludf.DUMMYFUNCTION("""COMPUTED_VALUE"""),18)</f>
        <v>18</v>
      </c>
      <c r="D617" s="5">
        <f ca="1">IFERROR(__xludf.DUMMYFUNCTION("""COMPUTED_VALUE"""),2021)</f>
        <v>2021</v>
      </c>
      <c r="E617" s="8">
        <f ca="1">IFERROR(__xludf.DUMMYFUNCTION("""COMPUTED_VALUE"""),44273)</f>
        <v>44273</v>
      </c>
      <c r="F617" s="5" t="str">
        <f ca="1">IFERROR(__xludf.DUMMYFUNCTION("""COMPUTED_VALUE"""),"Greenwood Elementary School")</f>
        <v>Greenwood Elementary School</v>
      </c>
      <c r="G617" s="5">
        <f ca="1">IFERROR(__xludf.DUMMYFUNCTION("""COMPUTED_VALUE"""),0)</f>
        <v>0</v>
      </c>
      <c r="H617" s="5">
        <f ca="1">IFERROR(__xludf.DUMMYFUNCTION("""COMPUTED_VALUE"""),0)</f>
        <v>0</v>
      </c>
      <c r="I617" s="5">
        <f ca="1">IFERROR(__xludf.DUMMYFUNCTION("""COMPUTED_VALUE"""),0)</f>
        <v>0</v>
      </c>
      <c r="J617" s="5">
        <f ca="1">IFERROR(__xludf.DUMMYFUNCTION("""COMPUTED_VALUE"""),0)</f>
        <v>0</v>
      </c>
      <c r="K617" s="5" t="str">
        <f ca="1">IFERROR(__xludf.DUMMYFUNCTION("""COMPUTED_VALUE"""),"https://www.wave3.com/2021/03/18/irate-man-with-gun-arrested-grounds-jcps-elementary-school/ https://www.wlky.com/article/active-aggressor-in-custody-after-incident-outside-elementary-school-in-pleasure-ridge-park/35877635 https://www.wave3.com/2021/03/19"&amp;"/suspect-threatened-pointed-gun-greenwood-elementary-staff/")</f>
        <v>https://www.wave3.com/2021/03/18/irate-man-with-gun-arrested-grounds-jcps-elementary-school/ https://www.wlky.com/article/active-aggressor-in-custody-after-incident-outside-elementary-school-in-pleasure-ridge-park/35877635 https://www.wave3.com/2021/03/19/suspect-threatened-pointed-gun-greenwood-elementary-staff/</v>
      </c>
      <c r="L617" s="5">
        <f ca="1">IFERROR(__xludf.DUMMYFUNCTION("""COMPUTED_VALUE"""),3)</f>
        <v>3</v>
      </c>
      <c r="M617" s="5" t="str">
        <f ca="1">IFERROR(__xludf.DUMMYFUNCTION("""COMPUTED_VALUE"""),"Local")</f>
        <v>Local</v>
      </c>
      <c r="N617" s="5">
        <f ca="1">IFERROR(__xludf.DUMMYFUNCTION("""COMPUTED_VALUE"""),4)</f>
        <v>4</v>
      </c>
      <c r="O617" s="5" t="str">
        <f ca="1">IFERROR(__xludf.DUMMYFUNCTION("""COMPUTED_VALUE"""),"Spring")</f>
        <v>Spring</v>
      </c>
      <c r="P617" s="5" t="str">
        <f ca="1">IFERROR(__xludf.DUMMYFUNCTION("""COMPUTED_VALUE"""),"Louisville")</f>
        <v>Louisville</v>
      </c>
      <c r="Q617" s="5" t="str">
        <f ca="1">IFERROR(__xludf.DUMMYFUNCTION("""COMPUTED_VALUE"""),"KY")</f>
        <v>KY</v>
      </c>
      <c r="R617" s="5" t="str">
        <f ca="1">IFERROR(__xludf.DUMMYFUNCTION("""COMPUTED_VALUE"""),"Elementary")</f>
        <v>Elementary</v>
      </c>
      <c r="S617" s="5" t="str">
        <f ca="1">IFERROR(__xludf.DUMMYFUNCTION("""COMPUTED_VALUE"""),"Cafeteria")</f>
        <v>Cafeteria</v>
      </c>
      <c r="T617" s="5" t="str">
        <f ca="1">IFERROR(__xludf.DUMMYFUNCTION("""COMPUTED_VALUE"""),"Outside on School Property")</f>
        <v>Outside on School Property</v>
      </c>
      <c r="U617" s="5" t="str">
        <f ca="1">IFERROR(__xludf.DUMMYFUNCTION("""COMPUTED_VALUE"""),"Yes")</f>
        <v>Yes</v>
      </c>
      <c r="V617" s="5" t="str">
        <f ca="1">IFERROR(__xludf.DUMMYFUNCTION("""COMPUTED_VALUE"""),"Lunch")</f>
        <v>Lunch</v>
      </c>
      <c r="W617" s="10">
        <f ca="1">IFERROR(__xludf.DUMMYFUNCTION("""COMPUTED_VALUE"""),0.530555555555555)</f>
        <v>0.530555555555555</v>
      </c>
      <c r="X617" s="5">
        <f ca="1">IFERROR(__xludf.DUMMYFUNCTION("""COMPUTED_VALUE"""),10)</f>
        <v>10</v>
      </c>
      <c r="Y617" s="5" t="str">
        <f ca="1">IFERROR(__xludf.DUMMYFUNCTION("""COMPUTED_VALUE"""),"Adult male pointed gun and threatened school staff who did not allow him to enter")</f>
        <v>Adult male pointed gun and threatened school staff who did not allow him to enter</v>
      </c>
      <c r="Z617" s="5" t="str">
        <f ca="1">IFERROR(__xludf.DUMMYFUNCTION("""COMPUTED_VALUE"""),"A 36-year-old male attempted to enter the school cafeteria during lunch. He was not authorized to be in the building and school staff did not allow him to enter. He pointed a gun at school staff and said they had 10 minutes to give him his child. The scho"&amp;"ol was locked down and students were sheltered. The man attempted to break into the school multiple times before being arrested by police.")</f>
        <v>A 36-year-old male attempted to enter the school cafeteria during lunch. He was not authorized to be in the building and school staff did not allow him to enter. He pointed a gun at school staff and said they had 10 minutes to give him his child. The school was locked down and students were sheltered. The man attempted to break into the school multiple times before being arrested by police.</v>
      </c>
      <c r="AA617" s="5" t="str">
        <f ca="1">IFERROR(__xludf.DUMMYFUNCTION("""COMPUTED_VALUE"""),"Domestic w/ Targeted Victim")</f>
        <v>Domestic w/ Targeted Victim</v>
      </c>
      <c r="AB617" s="5" t="str">
        <f ca="1">IFERROR(__xludf.DUMMYFUNCTION("""COMPUTED_VALUE"""),"Neither")</f>
        <v>Neither</v>
      </c>
      <c r="AC617" s="5" t="str">
        <f ca="1">IFERROR(__xludf.DUMMYFUNCTION("""COMPUTED_VALUE"""),"No")</f>
        <v>No</v>
      </c>
      <c r="AD617" s="5" t="str">
        <f ca="1">IFERROR(__xludf.DUMMYFUNCTION("""COMPUTED_VALUE"""),"No")</f>
        <v>No</v>
      </c>
      <c r="AE617" s="5" t="str">
        <f ca="1">IFERROR(__xludf.DUMMYFUNCTION("""COMPUTED_VALUE"""),"No")</f>
        <v>No</v>
      </c>
      <c r="AF617" s="5" t="str">
        <f ca="1">IFERROR(__xludf.DUMMYFUNCTION("""COMPUTED_VALUE"""),"No")</f>
        <v>No</v>
      </c>
      <c r="AG617" s="5" t="str">
        <f ca="1">IFERROR(__xludf.DUMMYFUNCTION("""COMPUTED_VALUE"""),"No")</f>
        <v>No</v>
      </c>
      <c r="AH617" s="5" t="str">
        <f ca="1">IFERROR(__xludf.DUMMYFUNCTION("""COMPUTED_VALUE"""),"Yes")</f>
        <v>Yes</v>
      </c>
      <c r="AI617" s="5" t="str">
        <f ca="1">IFERROR(__xludf.DUMMYFUNCTION("""COMPUTED_VALUE"""),"No")</f>
        <v>No</v>
      </c>
      <c r="AJ617" s="5" t="str">
        <f ca="1">IFERROR(__xludf.DUMMYFUNCTION("""COMPUTED_VALUE"""),"No")</f>
        <v>No</v>
      </c>
    </row>
    <row r="618" spans="1:36" ht="13">
      <c r="A618" s="5" t="str">
        <f ca="1">IFERROR(__xludf.DUMMYFUNCTION("""COMPUTED_VALUE"""),"20210315INMEM")</f>
        <v>20210315INMEM</v>
      </c>
      <c r="B618" s="5">
        <f ca="1">IFERROR(__xludf.DUMMYFUNCTION("""COMPUTED_VALUE"""),3)</f>
        <v>3</v>
      </c>
      <c r="C618" s="5">
        <f ca="1">IFERROR(__xludf.DUMMYFUNCTION("""COMPUTED_VALUE"""),15)</f>
        <v>15</v>
      </c>
      <c r="D618" s="5">
        <f ca="1">IFERROR(__xludf.DUMMYFUNCTION("""COMPUTED_VALUE"""),2021)</f>
        <v>2021</v>
      </c>
      <c r="E618" s="8">
        <f ca="1">IFERROR(__xludf.DUMMYFUNCTION("""COMPUTED_VALUE"""),44270)</f>
        <v>44270</v>
      </c>
      <c r="F618" s="5" t="str">
        <f ca="1">IFERROR(__xludf.DUMMYFUNCTION("""COMPUTED_VALUE"""),"Merrillville High School")</f>
        <v>Merrillville High School</v>
      </c>
      <c r="G618" s="5">
        <f ca="1">IFERROR(__xludf.DUMMYFUNCTION("""COMPUTED_VALUE"""),1)</f>
        <v>1</v>
      </c>
      <c r="H618" s="5">
        <f ca="1">IFERROR(__xludf.DUMMYFUNCTION("""COMPUTED_VALUE"""),1)</f>
        <v>1</v>
      </c>
      <c r="I618" s="5">
        <f ca="1">IFERROR(__xludf.DUMMYFUNCTION("""COMPUTED_VALUE"""),2)</f>
        <v>2</v>
      </c>
      <c r="J618" s="5">
        <f ca="1">IFERROR(__xludf.DUMMYFUNCTION("""COMPUTED_VALUE"""),0)</f>
        <v>0</v>
      </c>
      <c r="K618" s="9" t="str">
        <f ca="1">IFERROR(__xludf.DUMMYFUNCTION("""COMPUTED_VALUE"""),"https://www.chicagotribune.com/suburbs/post-tribune/ct-ptb-courts-riley-murder-st-0407-20210406-iuwci7kygfet5iwmiwcxasuwfa-story.html")</f>
        <v>https://www.chicagotribune.com/suburbs/post-tribune/ct-ptb-courts-riley-murder-st-0407-20210406-iuwci7kygfet5iwmiwcxasuwfa-story.html</v>
      </c>
      <c r="L618" s="5">
        <f ca="1">IFERROR(__xludf.DUMMYFUNCTION("""COMPUTED_VALUE"""),1)</f>
        <v>1</v>
      </c>
      <c r="M618" s="5" t="str">
        <f ca="1">IFERROR(__xludf.DUMMYFUNCTION("""COMPUTED_VALUE"""),"Regional")</f>
        <v>Regional</v>
      </c>
      <c r="N618" s="5">
        <f ca="1">IFERROR(__xludf.DUMMYFUNCTION("""COMPUTED_VALUE"""),4)</f>
        <v>4</v>
      </c>
      <c r="O618" s="5" t="str">
        <f ca="1">IFERROR(__xludf.DUMMYFUNCTION("""COMPUTED_VALUE"""),"Spring")</f>
        <v>Spring</v>
      </c>
      <c r="P618" s="5" t="str">
        <f ca="1">IFERROR(__xludf.DUMMYFUNCTION("""COMPUTED_VALUE"""),"Merrillville")</f>
        <v>Merrillville</v>
      </c>
      <c r="Q618" s="5" t="str">
        <f ca="1">IFERROR(__xludf.DUMMYFUNCTION("""COMPUTED_VALUE"""),"IN")</f>
        <v>IN</v>
      </c>
      <c r="R618" s="5" t="str">
        <f ca="1">IFERROR(__xludf.DUMMYFUNCTION("""COMPUTED_VALUE"""),"High")</f>
        <v>High</v>
      </c>
      <c r="S618" s="5" t="str">
        <f ca="1">IFERROR(__xludf.DUMMYFUNCTION("""COMPUTED_VALUE"""),"Parking Lot")</f>
        <v>Parking Lot</v>
      </c>
      <c r="T618" s="5" t="str">
        <f ca="1">IFERROR(__xludf.DUMMYFUNCTION("""COMPUTED_VALUE"""),"Outside on School Property")</f>
        <v>Outside on School Property</v>
      </c>
      <c r="U618" s="5" t="str">
        <f ca="1">IFERROR(__xludf.DUMMYFUNCTION("""COMPUTED_VALUE"""),"No")</f>
        <v>No</v>
      </c>
      <c r="V618" s="5" t="str">
        <f ca="1">IFERROR(__xludf.DUMMYFUNCTION("""COMPUTED_VALUE"""),"Night")</f>
        <v>Night</v>
      </c>
      <c r="W618" s="10">
        <f ca="1">IFERROR(__xludf.DUMMYFUNCTION("""COMPUTED_VALUE"""),0.0104166666666666)</f>
        <v>1.04166666666666E-2</v>
      </c>
      <c r="X618" s="5">
        <f ca="1">IFERROR(__xludf.DUMMYFUNCTION("""COMPUTED_VALUE"""),1)</f>
        <v>1</v>
      </c>
      <c r="Y618" s="5" t="str">
        <f ca="1">IFERROR(__xludf.DUMMYFUNCTION("""COMPUTED_VALUE"""),"Two men shot during planned fight in the school parking lot")</f>
        <v>Two men shot during planned fight in the school parking lot</v>
      </c>
      <c r="Z618" s="5" t="str">
        <f ca="1">IFERROR(__xludf.DUMMYFUNCTION("""COMPUTED_VALUE"""),"Two groups met for a planned fight between two men in the parking lot of the school. After 3-5 minutes of fighting, two men got back in their car and then were shot at by two men as they drove away. An 18-year-old man in the vehicle was fatally shot and a"&amp;"nother was grazed. All involved parties fled the scene before police arrived. Police found multiple shell casings in the school parking lot.")</f>
        <v>Two groups met for a planned fight between two men in the parking lot of the school. After 3-5 minutes of fighting, two men got back in their car and then were shot at by two men as they drove away. An 18-year-old man in the vehicle was fatally shot and another was grazed. All involved parties fled the scene before police arrived. Police found multiple shell casings in the school parking lot.</v>
      </c>
      <c r="AA618" s="5" t="str">
        <f ca="1">IFERROR(__xludf.DUMMYFUNCTION("""COMPUTED_VALUE"""),"Escalation of Dispute")</f>
        <v>Escalation of Dispute</v>
      </c>
      <c r="AB618" s="5" t="str">
        <f ca="1">IFERROR(__xludf.DUMMYFUNCTION("""COMPUTED_VALUE"""),"Victims Targeted")</f>
        <v>Victims Targeted</v>
      </c>
      <c r="AC618" s="5" t="str">
        <f ca="1">IFERROR(__xludf.DUMMYFUNCTION("""COMPUTED_VALUE"""),"Yes")</f>
        <v>Yes</v>
      </c>
      <c r="AD618" s="5" t="str">
        <f ca="1">IFERROR(__xludf.DUMMYFUNCTION("""COMPUTED_VALUE"""),"No")</f>
        <v>No</v>
      </c>
      <c r="AE618" s="5" t="str">
        <f ca="1">IFERROR(__xludf.DUMMYFUNCTION("""COMPUTED_VALUE"""),"No")</f>
        <v>No</v>
      </c>
      <c r="AF618" s="5" t="str">
        <f ca="1">IFERROR(__xludf.DUMMYFUNCTION("""COMPUTED_VALUE"""),"No")</f>
        <v>No</v>
      </c>
      <c r="AG618" s="5" t="str">
        <f ca="1">IFERROR(__xludf.DUMMYFUNCTION("""COMPUTED_VALUE"""),"No")</f>
        <v>No</v>
      </c>
      <c r="AH618" s="5" t="str">
        <f ca="1">IFERROR(__xludf.DUMMYFUNCTION("""COMPUTED_VALUE"""),"No")</f>
        <v>No</v>
      </c>
      <c r="AI618" s="5" t="str">
        <f ca="1">IFERROR(__xludf.DUMMYFUNCTION("""COMPUTED_VALUE"""),"No")</f>
        <v>No</v>
      </c>
      <c r="AJ618" s="5" t="str">
        <f ca="1">IFERROR(__xludf.DUMMYFUNCTION("""COMPUTED_VALUE"""),"No")</f>
        <v>No</v>
      </c>
    </row>
    <row r="619" spans="1:36" ht="13">
      <c r="A619" s="5" t="str">
        <f ca="1">IFERROR(__xludf.DUMMYFUNCTION("""COMPUTED_VALUE"""),"20210313TXLEA")</f>
        <v>20210313TXLEA</v>
      </c>
      <c r="B619" s="5">
        <f ca="1">IFERROR(__xludf.DUMMYFUNCTION("""COMPUTED_VALUE"""),3)</f>
        <v>3</v>
      </c>
      <c r="C619" s="5">
        <f ca="1">IFERROR(__xludf.DUMMYFUNCTION("""COMPUTED_VALUE"""),13)</f>
        <v>13</v>
      </c>
      <c r="D619" s="5">
        <f ca="1">IFERROR(__xludf.DUMMYFUNCTION("""COMPUTED_VALUE"""),2021)</f>
        <v>2021</v>
      </c>
      <c r="E619" s="8">
        <f ca="1">IFERROR(__xludf.DUMMYFUNCTION("""COMPUTED_VALUE"""),44268)</f>
        <v>44268</v>
      </c>
      <c r="F619" s="5" t="str">
        <f ca="1">IFERROR(__xludf.DUMMYFUNCTION("""COMPUTED_VALUE"""),"Lee Elementary School")</f>
        <v>Lee Elementary School</v>
      </c>
      <c r="G619" s="5">
        <f ca="1">IFERROR(__xludf.DUMMYFUNCTION("""COMPUTED_VALUE"""),0)</f>
        <v>0</v>
      </c>
      <c r="H619" s="5">
        <f ca="1">IFERROR(__xludf.DUMMYFUNCTION("""COMPUTED_VALUE"""),1)</f>
        <v>1</v>
      </c>
      <c r="I619" s="5">
        <f ca="1">IFERROR(__xludf.DUMMYFUNCTION("""COMPUTED_VALUE"""),1)</f>
        <v>1</v>
      </c>
      <c r="J619" s="5">
        <f ca="1">IFERROR(__xludf.DUMMYFUNCTION("""COMPUTED_VALUE"""),0)</f>
        <v>0</v>
      </c>
      <c r="K619" s="5" t="str">
        <f ca="1">IFERROR(__xludf.DUMMYFUNCTION("""COMPUTED_VALUE"""),"https://ktxs.com/news/local/dallas-man-arrested-after-shooting-at-lee-complex-in-abilene https://ktxs.com/news/local/police-responding-to-shooting-near-lee-elementary")</f>
        <v>https://ktxs.com/news/local/dallas-man-arrested-after-shooting-at-lee-complex-in-abilene https://ktxs.com/news/local/police-responding-to-shooting-near-lee-elementary</v>
      </c>
      <c r="L619" s="5">
        <f ca="1">IFERROR(__xludf.DUMMYFUNCTION("""COMPUTED_VALUE"""),2)</f>
        <v>2</v>
      </c>
      <c r="M619" s="5" t="str">
        <f ca="1">IFERROR(__xludf.DUMMYFUNCTION("""COMPUTED_VALUE"""),"Local")</f>
        <v>Local</v>
      </c>
      <c r="N619" s="5">
        <f ca="1">IFERROR(__xludf.DUMMYFUNCTION("""COMPUTED_VALUE"""),3)</f>
        <v>3</v>
      </c>
      <c r="O619" s="5" t="str">
        <f ca="1">IFERROR(__xludf.DUMMYFUNCTION("""COMPUTED_VALUE"""),"Spring")</f>
        <v>Spring</v>
      </c>
      <c r="P619" s="5" t="str">
        <f ca="1">IFERROR(__xludf.DUMMYFUNCTION("""COMPUTED_VALUE"""),"Abilene")</f>
        <v>Abilene</v>
      </c>
      <c r="Q619" s="5" t="str">
        <f ca="1">IFERROR(__xludf.DUMMYFUNCTION("""COMPUTED_VALUE"""),"TX")</f>
        <v>TX</v>
      </c>
      <c r="R619" s="5" t="str">
        <f ca="1">IFERROR(__xludf.DUMMYFUNCTION("""COMPUTED_VALUE"""),"Elementary")</f>
        <v>Elementary</v>
      </c>
      <c r="S619" s="5" t="str">
        <f ca="1">IFERROR(__xludf.DUMMYFUNCTION("""COMPUTED_VALUE"""),"Football Field/Track")</f>
        <v>Football Field/Track</v>
      </c>
      <c r="T619" s="5" t="str">
        <f ca="1">IFERROR(__xludf.DUMMYFUNCTION("""COMPUTED_VALUE"""),"Outside on School Property")</f>
        <v>Outside on School Property</v>
      </c>
      <c r="U619" s="5" t="str">
        <f ca="1">IFERROR(__xludf.DUMMYFUNCTION("""COMPUTED_VALUE"""),"No")</f>
        <v>No</v>
      </c>
      <c r="V619" s="5" t="str">
        <f ca="1">IFERROR(__xludf.DUMMYFUNCTION("""COMPUTED_VALUE"""),"Night")</f>
        <v>Night</v>
      </c>
      <c r="W619" s="10">
        <f ca="1">IFERROR(__xludf.DUMMYFUNCTION("""COMPUTED_VALUE"""),0.875)</f>
        <v>0.875</v>
      </c>
      <c r="X619" s="5">
        <f ca="1">IFERROR(__xludf.DUMMYFUNCTION("""COMPUTED_VALUE"""),1)</f>
        <v>1</v>
      </c>
      <c r="Y619" s="5" t="str">
        <f ca="1">IFERROR(__xludf.DUMMYFUNCTION("""COMPUTED_VALUE"""),"Semi-pro football player shot by fan during game held at elementary school field")</f>
        <v>Semi-pro football player shot by fan during game held at elementary school field</v>
      </c>
      <c r="Z619" s="5" t="str">
        <f ca="1">IFERROR(__xludf.DUMMYFUNCTION("""COMPUTED_VALUE"""),"A semi-pro football player was shot multiple times by a fan who walked on the field at the end of the game. The game was held at the sports complex on the school campus. The shooter fled the scene and was arrested the following day. The school was closed "&amp;"at the time of the shooting.")</f>
        <v>A semi-pro football player was shot multiple times by a fan who walked on the field at the end of the game. The game was held at the sports complex on the school campus. The shooter fled the scene and was arrested the following day. The school was closed at the time of the shooting.</v>
      </c>
      <c r="AA619" s="5"/>
      <c r="AB619" s="5" t="str">
        <f ca="1">IFERROR(__xludf.DUMMYFUNCTION("""COMPUTED_VALUE"""),"Victims Targeted")</f>
        <v>Victims Targeted</v>
      </c>
      <c r="AC619" s="5" t="str">
        <f ca="1">IFERROR(__xludf.DUMMYFUNCTION("""COMPUTED_VALUE"""),"No")</f>
        <v>No</v>
      </c>
      <c r="AD619" s="5" t="str">
        <f ca="1">IFERROR(__xludf.DUMMYFUNCTION("""COMPUTED_VALUE"""),"No")</f>
        <v>No</v>
      </c>
      <c r="AE619" s="5" t="str">
        <f ca="1">IFERROR(__xludf.DUMMYFUNCTION("""COMPUTED_VALUE"""),"No")</f>
        <v>No</v>
      </c>
      <c r="AF619" s="5" t="str">
        <f ca="1">IFERROR(__xludf.DUMMYFUNCTION("""COMPUTED_VALUE"""),"No")</f>
        <v>No</v>
      </c>
      <c r="AG619" s="5" t="str">
        <f ca="1">IFERROR(__xludf.DUMMYFUNCTION("""COMPUTED_VALUE"""),"No")</f>
        <v>No</v>
      </c>
      <c r="AH619" s="5"/>
      <c r="AI619" s="5"/>
      <c r="AJ619" s="5" t="str">
        <f ca="1">IFERROR(__xludf.DUMMYFUNCTION("""COMPUTED_VALUE"""),"No")</f>
        <v>No</v>
      </c>
    </row>
    <row r="620" spans="1:36" ht="13">
      <c r="A620" s="5" t="str">
        <f ca="1">IFERROR(__xludf.DUMMYFUNCTION("""COMPUTED_VALUE"""),"20210311OHCIC")</f>
        <v>20210311OHCIC</v>
      </c>
      <c r="B620" s="5">
        <f ca="1">IFERROR(__xludf.DUMMYFUNCTION("""COMPUTED_VALUE"""),3)</f>
        <v>3</v>
      </c>
      <c r="C620" s="5">
        <f ca="1">IFERROR(__xludf.DUMMYFUNCTION("""COMPUTED_VALUE"""),11)</f>
        <v>11</v>
      </c>
      <c r="D620" s="5">
        <f ca="1">IFERROR(__xludf.DUMMYFUNCTION("""COMPUTED_VALUE"""),2021)</f>
        <v>2021</v>
      </c>
      <c r="E620" s="8">
        <f ca="1">IFERROR(__xludf.DUMMYFUNCTION("""COMPUTED_VALUE"""),44266)</f>
        <v>44266</v>
      </c>
      <c r="F620" s="5" t="str">
        <f ca="1">IFERROR(__xludf.DUMMYFUNCTION("""COMPUTED_VALUE"""),"Cincinnati College Preparatory Academy")</f>
        <v>Cincinnati College Preparatory Academy</v>
      </c>
      <c r="G620" s="5">
        <f ca="1">IFERROR(__xludf.DUMMYFUNCTION("""COMPUTED_VALUE"""),0)</f>
        <v>0</v>
      </c>
      <c r="H620" s="5">
        <f ca="1">IFERROR(__xludf.DUMMYFUNCTION("""COMPUTED_VALUE"""),1)</f>
        <v>1</v>
      </c>
      <c r="I620" s="5">
        <f ca="1">IFERROR(__xludf.DUMMYFUNCTION("""COMPUTED_VALUE"""),1)</f>
        <v>1</v>
      </c>
      <c r="J620" s="5">
        <f ca="1">IFERROR(__xludf.DUMMYFUNCTION("""COMPUTED_VALUE"""),0)</f>
        <v>0</v>
      </c>
      <c r="K620" s="5" t="str">
        <f ca="1">IFERROR(__xludf.DUMMYFUNCTION("""COMPUTED_VALUE"""),"https://local12.com/news/local/car-with-bullet-holes-stopped-in-front-of-west-end-charter-school https://www.fox19.com/2021/03/11/car-with-bullet-holes-found-outside-west-end-school/")</f>
        <v>https://local12.com/news/local/car-with-bullet-holes-stopped-in-front-of-west-end-charter-school https://www.fox19.com/2021/03/11/car-with-bullet-holes-found-outside-west-end-school/</v>
      </c>
      <c r="L620" s="5">
        <f ca="1">IFERROR(__xludf.DUMMYFUNCTION("""COMPUTED_VALUE"""),2)</f>
        <v>2</v>
      </c>
      <c r="M620" s="5"/>
      <c r="N620" s="5">
        <f ca="1">IFERROR(__xludf.DUMMYFUNCTION("""COMPUTED_VALUE"""),3)</f>
        <v>3</v>
      </c>
      <c r="O620" s="5" t="str">
        <f ca="1">IFERROR(__xludf.DUMMYFUNCTION("""COMPUTED_VALUE"""),"Spring")</f>
        <v>Spring</v>
      </c>
      <c r="P620" s="5" t="str">
        <f ca="1">IFERROR(__xludf.DUMMYFUNCTION("""COMPUTED_VALUE"""),"Cincinnati")</f>
        <v>Cincinnati</v>
      </c>
      <c r="Q620" s="5" t="str">
        <f ca="1">IFERROR(__xludf.DUMMYFUNCTION("""COMPUTED_VALUE"""),"OH")</f>
        <v>OH</v>
      </c>
      <c r="R620" s="5" t="str">
        <f ca="1">IFERROR(__xludf.DUMMYFUNCTION("""COMPUTED_VALUE"""),"K-12")</f>
        <v>K-12</v>
      </c>
      <c r="S620" s="5" t="str">
        <f ca="1">IFERROR(__xludf.DUMMYFUNCTION("""COMPUTED_VALUE"""),"Front of School")</f>
        <v>Front of School</v>
      </c>
      <c r="T620" s="5" t="str">
        <f ca="1">IFERROR(__xludf.DUMMYFUNCTION("""COMPUTED_VALUE"""),"Outside on School Property")</f>
        <v>Outside on School Property</v>
      </c>
      <c r="U620" s="5" t="str">
        <f ca="1">IFERROR(__xludf.DUMMYFUNCTION("""COMPUTED_VALUE"""),"Yes")</f>
        <v>Yes</v>
      </c>
      <c r="V620" s="5" t="str">
        <f ca="1">IFERROR(__xludf.DUMMYFUNCTION("""COMPUTED_VALUE"""),"School Start")</f>
        <v>School Start</v>
      </c>
      <c r="W620" s="10">
        <f ca="1">IFERROR(__xludf.DUMMYFUNCTION("""COMPUTED_VALUE"""),0.333333333333333)</f>
        <v>0.33333333333333298</v>
      </c>
      <c r="X620" s="5">
        <f ca="1">IFERROR(__xludf.DUMMYFUNCTION("""COMPUTED_VALUE"""),1)</f>
        <v>1</v>
      </c>
      <c r="Y620" s="5" t="str">
        <f ca="1">IFERROR(__xludf.DUMMYFUNCTION("""COMPUTED_VALUE"""),"Person in vehicle shot and crashed in front of school")</f>
        <v>Person in vehicle shot and crashed in front of school</v>
      </c>
      <c r="Z620" s="5" t="str">
        <f ca="1">IFERROR(__xludf.DUMMYFUNCTION("""COMPUTED_VALUE"""),"An adult male in a vehicle was shot and the vehicle crashed into the sidewalk and sign in front of the school. No information on the motive. Shooter fled. No students or staff involved or injured.")</f>
        <v>An adult male in a vehicle was shot and the vehicle crashed into the sidewalk and sign in front of the school. No information on the motive. Shooter fled. No students or staff involved or injured.</v>
      </c>
      <c r="AA620" s="5"/>
      <c r="AB620" s="5" t="str">
        <f ca="1">IFERROR(__xludf.DUMMYFUNCTION("""COMPUTED_VALUE"""),"Victims Targeted")</f>
        <v>Victims Targeted</v>
      </c>
      <c r="AC620" s="5"/>
      <c r="AD620" s="5" t="str">
        <f ca="1">IFERROR(__xludf.DUMMYFUNCTION("""COMPUTED_VALUE"""),"No")</f>
        <v>No</v>
      </c>
      <c r="AE620" s="5" t="str">
        <f ca="1">IFERROR(__xludf.DUMMYFUNCTION("""COMPUTED_VALUE"""),"No")</f>
        <v>No</v>
      </c>
      <c r="AF620" s="5" t="str">
        <f ca="1">IFERROR(__xludf.DUMMYFUNCTION("""COMPUTED_VALUE"""),"No")</f>
        <v>No</v>
      </c>
      <c r="AG620" s="5" t="str">
        <f ca="1">IFERROR(__xludf.DUMMYFUNCTION("""COMPUTED_VALUE"""),"No")</f>
        <v>No</v>
      </c>
      <c r="AH620" s="5" t="str">
        <f ca="1">IFERROR(__xludf.DUMMYFUNCTION("""COMPUTED_VALUE"""),"No")</f>
        <v>No</v>
      </c>
      <c r="AI620" s="5"/>
      <c r="AJ620" s="5" t="str">
        <f ca="1">IFERROR(__xludf.DUMMYFUNCTION("""COMPUTED_VALUE"""),"No")</f>
        <v>No</v>
      </c>
    </row>
    <row r="621" spans="1:36" ht="13">
      <c r="A621" s="5" t="str">
        <f ca="1">IFERROR(__xludf.DUMMYFUNCTION("""COMPUTED_VALUE"""),"20210309TNSAK")</f>
        <v>20210309TNSAK</v>
      </c>
      <c r="B621" s="5">
        <f ca="1">IFERROR(__xludf.DUMMYFUNCTION("""COMPUTED_VALUE"""),3)</f>
        <v>3</v>
      </c>
      <c r="C621" s="5">
        <f ca="1">IFERROR(__xludf.DUMMYFUNCTION("""COMPUTED_VALUE"""),9)</f>
        <v>9</v>
      </c>
      <c r="D621" s="5">
        <f ca="1">IFERROR(__xludf.DUMMYFUNCTION("""COMPUTED_VALUE"""),2021)</f>
        <v>2021</v>
      </c>
      <c r="E621" s="8">
        <f ca="1">IFERROR(__xludf.DUMMYFUNCTION("""COMPUTED_VALUE"""),44264)</f>
        <v>44264</v>
      </c>
      <c r="F621" s="5" t="str">
        <f ca="1">IFERROR(__xludf.DUMMYFUNCTION("""COMPUTED_VALUE"""),"Sarah Moore Greene Elementary")</f>
        <v>Sarah Moore Greene Elementary</v>
      </c>
      <c r="G621" s="5">
        <f ca="1">IFERROR(__xludf.DUMMYFUNCTION("""COMPUTED_VALUE"""),0)</f>
        <v>0</v>
      </c>
      <c r="H621" s="5">
        <f ca="1">IFERROR(__xludf.DUMMYFUNCTION("""COMPUTED_VALUE"""),0)</f>
        <v>0</v>
      </c>
      <c r="I621" s="5">
        <f ca="1">IFERROR(__xludf.DUMMYFUNCTION("""COMPUTED_VALUE"""),0)</f>
        <v>0</v>
      </c>
      <c r="J621" s="5">
        <f ca="1">IFERROR(__xludf.DUMMYFUNCTION("""COMPUTED_VALUE"""),0)</f>
        <v>0</v>
      </c>
      <c r="K621" s="5" t="str">
        <f ca="1">IFERROR(__xludf.DUMMYFUNCTION("""COMPUTED_VALUE"""),"https://www.wbir.com/article/news/education/what-went-wrong-after-a-reported-shooting-at-sarah-moore-greene-elementary-knox-county-schools-wont-say/51-27202dcc-3be2-4b6e-a1d0-65457467b183 https://www.wbir.com/article/news/crime/district-will-review-how-it"&amp;"-reported-shooting-outside-east-knoxville-elementary-school/51-cb353948-8326-42bc-820e-11655b1beab8 https://www.wbir.com/article/news/crime/kpd-possible-shooting-in-sarah-moore-greene-elementary-parking-lot-tuesday-afternoon/51-3e2cfabb-eeec-46c7-ad18-78d"&amp;"10cc81918")</f>
        <v>https://www.wbir.com/article/news/education/what-went-wrong-after-a-reported-shooting-at-sarah-moore-greene-elementary-knox-county-schools-wont-say/51-27202dcc-3be2-4b6e-a1d0-65457467b183 https://www.wbir.com/article/news/crime/district-will-review-how-it-reported-shooting-outside-east-knoxville-elementary-school/51-cb353948-8326-42bc-820e-11655b1beab8 https://www.wbir.com/article/news/crime/kpd-possible-shooting-in-sarah-moore-greene-elementary-parking-lot-tuesday-afternoon/51-3e2cfabb-eeec-46c7-ad18-78d10cc81918</v>
      </c>
      <c r="L621" s="5">
        <f ca="1">IFERROR(__xludf.DUMMYFUNCTION("""COMPUTED_VALUE"""),3)</f>
        <v>3</v>
      </c>
      <c r="M621" s="5" t="str">
        <f ca="1">IFERROR(__xludf.DUMMYFUNCTION("""COMPUTED_VALUE"""),"Local")</f>
        <v>Local</v>
      </c>
      <c r="N621" s="5">
        <f ca="1">IFERROR(__xludf.DUMMYFUNCTION("""COMPUTED_VALUE"""),4)</f>
        <v>4</v>
      </c>
      <c r="O621" s="5" t="str">
        <f ca="1">IFERROR(__xludf.DUMMYFUNCTION("""COMPUTED_VALUE"""),"Spring")</f>
        <v>Spring</v>
      </c>
      <c r="P621" s="5" t="str">
        <f ca="1">IFERROR(__xludf.DUMMYFUNCTION("""COMPUTED_VALUE"""),"Knoxville")</f>
        <v>Knoxville</v>
      </c>
      <c r="Q621" s="5" t="str">
        <f ca="1">IFERROR(__xludf.DUMMYFUNCTION("""COMPUTED_VALUE"""),"TN")</f>
        <v>TN</v>
      </c>
      <c r="R621" s="5" t="str">
        <f ca="1">IFERROR(__xludf.DUMMYFUNCTION("""COMPUTED_VALUE"""),"Elementary")</f>
        <v>Elementary</v>
      </c>
      <c r="S621" s="5" t="str">
        <f ca="1">IFERROR(__xludf.DUMMYFUNCTION("""COMPUTED_VALUE"""),"Parking Lot")</f>
        <v>Parking Lot</v>
      </c>
      <c r="T621" s="5" t="str">
        <f ca="1">IFERROR(__xludf.DUMMYFUNCTION("""COMPUTED_VALUE"""),"Outside on School Property")</f>
        <v>Outside on School Property</v>
      </c>
      <c r="U621" s="5" t="str">
        <f ca="1">IFERROR(__xludf.DUMMYFUNCTION("""COMPUTED_VALUE"""),"Yes")</f>
        <v>Yes</v>
      </c>
      <c r="V621" s="5" t="str">
        <f ca="1">IFERROR(__xludf.DUMMYFUNCTION("""COMPUTED_VALUE"""),"Afternoon Classes")</f>
        <v>Afternoon Classes</v>
      </c>
      <c r="W621" s="10">
        <f ca="1">IFERROR(__xludf.DUMMYFUNCTION("""COMPUTED_VALUE"""),0.5625)</f>
        <v>0.5625</v>
      </c>
      <c r="X621" s="5">
        <f ca="1">IFERROR(__xludf.DUMMYFUNCTION("""COMPUTED_VALUE"""),1)</f>
        <v>1</v>
      </c>
      <c r="Y621" s="5" t="str">
        <f ca="1">IFERROR(__xludf.DUMMYFUNCTION("""COMPUTED_VALUE"""),"Shots fired from a vehicle in the school parking lot")</f>
        <v>Shots fired from a vehicle in the school parking lot</v>
      </c>
      <c r="Z621" s="5" t="str">
        <f ca="1">IFERROR(__xludf.DUMMYFUNCTION("""COMPUTED_VALUE"""),"An adult female picked up her son from the nearby high school and noticed a car following them. She pulled into the elementary school parking lot and the vehicle followed her into the parking lot. School staff witnessed the drive open the door and fire th"&amp;"ree shots that missed her vehicle. Shots were fired in the direction of the school playground where students were outside. The woman then drove directly to the police station. The vehicle with the shooter fled the area. Police did not respond to the schoo"&amp;"l immediately due to confusion about the location of the shooting. School went on lockdown for 2 hours.")</f>
        <v>An adult female picked up her son from the nearby high school and noticed a car following them. She pulled into the elementary school parking lot and the vehicle followed her into the parking lot. School staff witnessed the drive open the door and fire three shots that missed her vehicle. Shots were fired in the direction of the school playground where students were outside. The woman then drove directly to the police station. The vehicle with the shooter fled the area. Police did not respond to the school immediately due to confusion about the location of the shooting. School went on lockdown for 2 hours.</v>
      </c>
      <c r="AA621" s="5" t="str">
        <f ca="1">IFERROR(__xludf.DUMMYFUNCTION("""COMPUTED_VALUE"""),"Drive-by Shooting")</f>
        <v>Drive-by Shooting</v>
      </c>
      <c r="AB621" s="5" t="str">
        <f ca="1">IFERROR(__xludf.DUMMYFUNCTION("""COMPUTED_VALUE"""),"Victims Targeted")</f>
        <v>Victims Targeted</v>
      </c>
      <c r="AC621" s="5"/>
      <c r="AD621" s="5" t="str">
        <f ca="1">IFERROR(__xludf.DUMMYFUNCTION("""COMPUTED_VALUE"""),"No")</f>
        <v>No</v>
      </c>
      <c r="AE621" s="5" t="str">
        <f ca="1">IFERROR(__xludf.DUMMYFUNCTION("""COMPUTED_VALUE"""),"No")</f>
        <v>No</v>
      </c>
      <c r="AF621" s="5" t="str">
        <f ca="1">IFERROR(__xludf.DUMMYFUNCTION("""COMPUTED_VALUE"""),"No")</f>
        <v>No</v>
      </c>
      <c r="AG621" s="5" t="str">
        <f ca="1">IFERROR(__xludf.DUMMYFUNCTION("""COMPUTED_VALUE"""),"No")</f>
        <v>No</v>
      </c>
      <c r="AH621" s="5"/>
      <c r="AI621" s="5"/>
      <c r="AJ621" s="5" t="str">
        <f ca="1">IFERROR(__xludf.DUMMYFUNCTION("""COMPUTED_VALUE"""),"No")</f>
        <v>No</v>
      </c>
    </row>
    <row r="622" spans="1:36" ht="13">
      <c r="A622" s="5" t="str">
        <f ca="1">IFERROR(__xludf.DUMMYFUNCTION("""COMPUTED_VALUE"""),"20210309OHBIC")</f>
        <v>20210309OHBIC</v>
      </c>
      <c r="B622" s="5">
        <f ca="1">IFERROR(__xludf.DUMMYFUNCTION("""COMPUTED_VALUE"""),3)</f>
        <v>3</v>
      </c>
      <c r="C622" s="5">
        <f ca="1">IFERROR(__xludf.DUMMYFUNCTION("""COMPUTED_VALUE"""),9)</f>
        <v>9</v>
      </c>
      <c r="D622" s="5">
        <f ca="1">IFERROR(__xludf.DUMMYFUNCTION("""COMPUTED_VALUE"""),2021)</f>
        <v>2021</v>
      </c>
      <c r="E622" s="8">
        <f ca="1">IFERROR(__xludf.DUMMYFUNCTION("""COMPUTED_VALUE"""),44264)</f>
        <v>44264</v>
      </c>
      <c r="F622" s="5" t="str">
        <f ca="1">IFERROR(__xludf.DUMMYFUNCTION("""COMPUTED_VALUE"""),"Bishop Hartley High School")</f>
        <v>Bishop Hartley High School</v>
      </c>
      <c r="G622" s="5">
        <f ca="1">IFERROR(__xludf.DUMMYFUNCTION("""COMPUTED_VALUE"""),0)</f>
        <v>0</v>
      </c>
      <c r="H622" s="5">
        <f ca="1">IFERROR(__xludf.DUMMYFUNCTION("""COMPUTED_VALUE"""),0)</f>
        <v>0</v>
      </c>
      <c r="I622" s="5">
        <f ca="1">IFERROR(__xludf.DUMMYFUNCTION("""COMPUTED_VALUE"""),0)</f>
        <v>0</v>
      </c>
      <c r="J622" s="5">
        <f ca="1">IFERROR(__xludf.DUMMYFUNCTION("""COMPUTED_VALUE"""),0)</f>
        <v>0</v>
      </c>
      <c r="K622" s="5" t="str">
        <f ca="1">IFERROR(__xludf.DUMMYFUNCTION("""COMPUTED_VALUE"""),"https://www.nbc4i.com/news/local-news/teen-injured-in-shooting-near-bishop-hartley-high-school/ https://abc6onyourside.com/news/local/shot-fired-into-bishop-hartley-high-school https://fox8.com/news/shot-fired-into-ohio-gym-where-dozens-of-students-were-t"&amp;"aking-test/")</f>
        <v>https://www.nbc4i.com/news/local-news/teen-injured-in-shooting-near-bishop-hartley-high-school/ https://abc6onyourside.com/news/local/shot-fired-into-bishop-hartley-high-school https://fox8.com/news/shot-fired-into-ohio-gym-where-dozens-of-students-were-taking-test/</v>
      </c>
      <c r="L622" s="5">
        <f ca="1">IFERROR(__xludf.DUMMYFUNCTION("""COMPUTED_VALUE"""),3)</f>
        <v>3</v>
      </c>
      <c r="M622" s="5" t="str">
        <f ca="1">IFERROR(__xludf.DUMMYFUNCTION("""COMPUTED_VALUE"""),"Local")</f>
        <v>Local</v>
      </c>
      <c r="N622" s="5">
        <f ca="1">IFERROR(__xludf.DUMMYFUNCTION("""COMPUTED_VALUE"""),4)</f>
        <v>4</v>
      </c>
      <c r="O622" s="5" t="str">
        <f ca="1">IFERROR(__xludf.DUMMYFUNCTION("""COMPUTED_VALUE"""),"Spring")</f>
        <v>Spring</v>
      </c>
      <c r="P622" s="5" t="str">
        <f ca="1">IFERROR(__xludf.DUMMYFUNCTION("""COMPUTED_VALUE"""),"Columbus")</f>
        <v>Columbus</v>
      </c>
      <c r="Q622" s="5" t="str">
        <f ca="1">IFERROR(__xludf.DUMMYFUNCTION("""COMPUTED_VALUE"""),"OH")</f>
        <v>OH</v>
      </c>
      <c r="R622" s="5" t="str">
        <f ca="1">IFERROR(__xludf.DUMMYFUNCTION("""COMPUTED_VALUE"""),"High")</f>
        <v>High</v>
      </c>
      <c r="S622" s="5" t="str">
        <f ca="1">IFERROR(__xludf.DUMMYFUNCTION("""COMPUTED_VALUE"""),"Gym")</f>
        <v>Gym</v>
      </c>
      <c r="T622" s="5" t="str">
        <f ca="1">IFERROR(__xludf.DUMMYFUNCTION("""COMPUTED_VALUE"""),"Both Inside/Outside")</f>
        <v>Both Inside/Outside</v>
      </c>
      <c r="U622" s="5" t="str">
        <f ca="1">IFERROR(__xludf.DUMMYFUNCTION("""COMPUTED_VALUE"""),"Yes")</f>
        <v>Yes</v>
      </c>
      <c r="V622" s="5" t="str">
        <f ca="1">IFERROR(__xludf.DUMMYFUNCTION("""COMPUTED_VALUE"""),"Morning Classes")</f>
        <v>Morning Classes</v>
      </c>
      <c r="W622" s="10">
        <f ca="1">IFERROR(__xludf.DUMMYFUNCTION("""COMPUTED_VALUE"""),0.368055555555555)</f>
        <v>0.36805555555555503</v>
      </c>
      <c r="X622" s="5">
        <f ca="1">IFERROR(__xludf.DUMMYFUNCTION("""COMPUTED_VALUE"""),1)</f>
        <v>1</v>
      </c>
      <c r="Y622" s="5" t="str">
        <f ca="1">IFERROR(__xludf.DUMMYFUNCTION("""COMPUTED_VALUE"""),"Bullet fired from outside the school went through the gym wall with 59 students inside")</f>
        <v>Bullet fired from outside the school went through the gym wall with 59 students inside</v>
      </c>
      <c r="Z622" s="5" t="str">
        <f ca="1">IFERROR(__xludf.DUMMYFUNCTION("""COMPUTED_VALUE"""),"A bullet fired from across the street went through the gym wall and struck a metal beam. 59 students were inside the gym taking an exam when the shooting occurred. No students or staff were injured. No suspect or motive identified.")</f>
        <v>A bullet fired from across the street went through the gym wall and struck a metal beam. 59 students were inside the gym taking an exam when the shooting occurred. No students or staff were injured. No suspect or motive identified.</v>
      </c>
      <c r="AA622" s="5"/>
      <c r="AB622" s="5"/>
      <c r="AC622" s="5" t="str">
        <f ca="1">IFERROR(__xludf.DUMMYFUNCTION("""COMPUTED_VALUE"""),"No")</f>
        <v>No</v>
      </c>
      <c r="AD622" s="5" t="str">
        <f ca="1">IFERROR(__xludf.DUMMYFUNCTION("""COMPUTED_VALUE"""),"No")</f>
        <v>No</v>
      </c>
      <c r="AE622" s="5" t="str">
        <f ca="1">IFERROR(__xludf.DUMMYFUNCTION("""COMPUTED_VALUE"""),"No")</f>
        <v>No</v>
      </c>
      <c r="AF622" s="5" t="str">
        <f ca="1">IFERROR(__xludf.DUMMYFUNCTION("""COMPUTED_VALUE"""),"No")</f>
        <v>No</v>
      </c>
      <c r="AG622" s="5" t="str">
        <f ca="1">IFERROR(__xludf.DUMMYFUNCTION("""COMPUTED_VALUE"""),"No")</f>
        <v>No</v>
      </c>
      <c r="AH622" s="5"/>
      <c r="AI622" s="5"/>
      <c r="AJ622" s="5" t="str">
        <f ca="1">IFERROR(__xludf.DUMMYFUNCTION("""COMPUTED_VALUE"""),"No")</f>
        <v>No</v>
      </c>
    </row>
    <row r="623" spans="1:36" ht="13">
      <c r="A623" s="5" t="str">
        <f ca="1">IFERROR(__xludf.DUMMYFUNCTION("""COMPUTED_VALUE"""),"20210308SCEDC")</f>
        <v>20210308SCEDC</v>
      </c>
      <c r="B623" s="5">
        <f ca="1">IFERROR(__xludf.DUMMYFUNCTION("""COMPUTED_VALUE"""),3)</f>
        <v>3</v>
      </c>
      <c r="C623" s="5">
        <f ca="1">IFERROR(__xludf.DUMMYFUNCTION("""COMPUTED_VALUE"""),8)</f>
        <v>8</v>
      </c>
      <c r="D623" s="5">
        <f ca="1">IFERROR(__xludf.DUMMYFUNCTION("""COMPUTED_VALUE"""),2021)</f>
        <v>2021</v>
      </c>
      <c r="E623" s="8">
        <f ca="1">IFERROR(__xludf.DUMMYFUNCTION("""COMPUTED_VALUE"""),44263)</f>
        <v>44263</v>
      </c>
      <c r="F623" s="5" t="str">
        <f ca="1">IFERROR(__xludf.DUMMYFUNCTION("""COMPUTED_VALUE"""),"Chesterfield Elementary School")</f>
        <v>Chesterfield Elementary School</v>
      </c>
      <c r="G623" s="5">
        <f ca="1">IFERROR(__xludf.DUMMYFUNCTION("""COMPUTED_VALUE"""),0)</f>
        <v>0</v>
      </c>
      <c r="H623" s="5">
        <f ca="1">IFERROR(__xludf.DUMMYFUNCTION("""COMPUTED_VALUE"""),1)</f>
        <v>1</v>
      </c>
      <c r="I623" s="5">
        <f ca="1">IFERROR(__xludf.DUMMYFUNCTION("""COMPUTED_VALUE"""),1)</f>
        <v>1</v>
      </c>
      <c r="J623" s="5">
        <f ca="1">IFERROR(__xludf.DUMMYFUNCTION("""COMPUTED_VALUE"""),0)</f>
        <v>0</v>
      </c>
      <c r="K623" s="5" t="str">
        <f ca="1">IFERROR(__xludf.DUMMYFUNCTION("""COMPUTED_VALUE"""),"https://www.wbtv.com/2021/03/11/woman-wanted-school-parking-lot-shooting-chesterfield-turns-herself/ https://myfox8.com/news/person-shot-in-the-leg-during-family-dispute-in-sc-elementary-school-parking-lot-officials-say/ https://www.wsoctv.com/news/local/"&amp;"domestic-situation-leads-shooting-chesterfield-county-elementary-school-parking-lot/42ZNUCYQDZDWROWFM3K5XM73OM/ https://www.wbtv.com/2021/03/08/person-shot-during-argument-front-chesterfield-county-elementary-school/")</f>
        <v>https://www.wbtv.com/2021/03/11/woman-wanted-school-parking-lot-shooting-chesterfield-turns-herself/ https://myfox8.com/news/person-shot-in-the-leg-during-family-dispute-in-sc-elementary-school-parking-lot-officials-say/ https://www.wsoctv.com/news/local/domestic-situation-leads-shooting-chesterfield-county-elementary-school-parking-lot/42ZNUCYQDZDWROWFM3K5XM73OM/ https://www.wbtv.com/2021/03/08/person-shot-during-argument-front-chesterfield-county-elementary-school/</v>
      </c>
      <c r="L623" s="5">
        <f ca="1">IFERROR(__xludf.DUMMYFUNCTION("""COMPUTED_VALUE"""),5)</f>
        <v>5</v>
      </c>
      <c r="M623" s="5" t="str">
        <f ca="1">IFERROR(__xludf.DUMMYFUNCTION("""COMPUTED_VALUE"""),"Regional")</f>
        <v>Regional</v>
      </c>
      <c r="N623" s="5">
        <f ca="1">IFERROR(__xludf.DUMMYFUNCTION("""COMPUTED_VALUE"""),4)</f>
        <v>4</v>
      </c>
      <c r="O623" s="5" t="str">
        <f ca="1">IFERROR(__xludf.DUMMYFUNCTION("""COMPUTED_VALUE"""),"Spring")</f>
        <v>Spring</v>
      </c>
      <c r="P623" s="5" t="str">
        <f ca="1">IFERROR(__xludf.DUMMYFUNCTION("""COMPUTED_VALUE"""),"Chesterfield")</f>
        <v>Chesterfield</v>
      </c>
      <c r="Q623" s="5" t="str">
        <f ca="1">IFERROR(__xludf.DUMMYFUNCTION("""COMPUTED_VALUE"""),"SC")</f>
        <v>SC</v>
      </c>
      <c r="R623" s="5" t="str">
        <f ca="1">IFERROR(__xludf.DUMMYFUNCTION("""COMPUTED_VALUE"""),"Elementary")</f>
        <v>Elementary</v>
      </c>
      <c r="S623" s="5" t="str">
        <f ca="1">IFERROR(__xludf.DUMMYFUNCTION("""COMPUTED_VALUE"""),"Parking Lot")</f>
        <v>Parking Lot</v>
      </c>
      <c r="T623" s="5" t="str">
        <f ca="1">IFERROR(__xludf.DUMMYFUNCTION("""COMPUTED_VALUE"""),"Outside on School Property")</f>
        <v>Outside on School Property</v>
      </c>
      <c r="U623" s="5" t="str">
        <f ca="1">IFERROR(__xludf.DUMMYFUNCTION("""COMPUTED_VALUE"""),"Yes")</f>
        <v>Yes</v>
      </c>
      <c r="V623" s="5" t="str">
        <f ca="1">IFERROR(__xludf.DUMMYFUNCTION("""COMPUTED_VALUE"""),"Afternoon Classes")</f>
        <v>Afternoon Classes</v>
      </c>
      <c r="W623" s="10">
        <f ca="1">IFERROR(__xludf.DUMMYFUNCTION("""COMPUTED_VALUE"""),0.5625)</f>
        <v>0.5625</v>
      </c>
      <c r="X623" s="5">
        <f ca="1">IFERROR(__xludf.DUMMYFUNCTION("""COMPUTED_VALUE"""),1)</f>
        <v>1</v>
      </c>
      <c r="Y623" s="5" t="str">
        <f ca="1">IFERROR(__xludf.DUMMYFUNCTION("""COMPUTED_VALUE"""),"Adult woman shot her son-in-law in the leg in the school parking lot")</f>
        <v>Adult woman shot her son-in-law in the leg in the school parking lot</v>
      </c>
      <c r="Z623" s="5" t="str">
        <f ca="1">IFERROR(__xludf.DUMMYFUNCTION("""COMPUTED_VALUE"""),"A 54-year-old woman shot her adult son-in-law in the leg during a dispute in the parking lot of the school. The school was in session at the time and placed on lockdown. Shooter fled the scene in a vehicle and turned herself in 3 days later. Her son was a"&amp;"lso involved and arrested. The victim was shot in hip and transported to the hospital. No students or staff were involved or injured.")</f>
        <v>A 54-year-old woman shot her adult son-in-law in the leg during a dispute in the parking lot of the school. The school was in session at the time and placed on lockdown. Shooter fled the scene in a vehicle and turned herself in 3 days later. Her son was also involved and arrested. The victim was shot in hip and transported to the hospital. No students or staff were involved or injured.</v>
      </c>
      <c r="AA623" s="5" t="str">
        <f ca="1">IFERROR(__xludf.DUMMYFUNCTION("""COMPUTED_VALUE"""),"Domestic w/ Targeted Victim")</f>
        <v>Domestic w/ Targeted Victim</v>
      </c>
      <c r="AB623" s="5" t="str">
        <f ca="1">IFERROR(__xludf.DUMMYFUNCTION("""COMPUTED_VALUE"""),"Victims Targeted")</f>
        <v>Victims Targeted</v>
      </c>
      <c r="AC623" s="5" t="str">
        <f ca="1">IFERROR(__xludf.DUMMYFUNCTION("""COMPUTED_VALUE"""),"Yes")</f>
        <v>Yes</v>
      </c>
      <c r="AD623" s="5" t="str">
        <f ca="1">IFERROR(__xludf.DUMMYFUNCTION("""COMPUTED_VALUE"""),"No")</f>
        <v>No</v>
      </c>
      <c r="AE623" s="5" t="str">
        <f ca="1">IFERROR(__xludf.DUMMYFUNCTION("""COMPUTED_VALUE"""),"No")</f>
        <v>No</v>
      </c>
      <c r="AF623" s="5" t="str">
        <f ca="1">IFERROR(__xludf.DUMMYFUNCTION("""COMPUTED_VALUE"""),"No")</f>
        <v>No</v>
      </c>
      <c r="AG623" s="5" t="str">
        <f ca="1">IFERROR(__xludf.DUMMYFUNCTION("""COMPUTED_VALUE"""),"No")</f>
        <v>No</v>
      </c>
      <c r="AH623" s="5" t="str">
        <f ca="1">IFERROR(__xludf.DUMMYFUNCTION("""COMPUTED_VALUE"""),"Yes")</f>
        <v>Yes</v>
      </c>
      <c r="AI623" s="5" t="str">
        <f ca="1">IFERROR(__xludf.DUMMYFUNCTION("""COMPUTED_VALUE"""),"No")</f>
        <v>No</v>
      </c>
      <c r="AJ623" s="5" t="str">
        <f ca="1">IFERROR(__xludf.DUMMYFUNCTION("""COMPUTED_VALUE"""),"No")</f>
        <v>No</v>
      </c>
    </row>
    <row r="624" spans="1:36" ht="13">
      <c r="A624" s="5" t="str">
        <f ca="1">IFERROR(__xludf.DUMMYFUNCTION("""COMPUTED_VALUE"""),"20210301ARWAP")</f>
        <v>20210301ARWAP</v>
      </c>
      <c r="B624" s="5">
        <f ca="1">IFERROR(__xludf.DUMMYFUNCTION("""COMPUTED_VALUE"""),3)</f>
        <v>3</v>
      </c>
      <c r="C624" s="5">
        <f ca="1">IFERROR(__xludf.DUMMYFUNCTION("""COMPUTED_VALUE"""),1)</f>
        <v>1</v>
      </c>
      <c r="D624" s="5">
        <f ca="1">IFERROR(__xludf.DUMMYFUNCTION("""COMPUTED_VALUE"""),2021)</f>
        <v>2021</v>
      </c>
      <c r="E624" s="8">
        <f ca="1">IFERROR(__xludf.DUMMYFUNCTION("""COMPUTED_VALUE"""),44256)</f>
        <v>44256</v>
      </c>
      <c r="F624" s="5" t="str">
        <f ca="1">IFERROR(__xludf.DUMMYFUNCTION("""COMPUTED_VALUE"""),"Watson Chapel Junior High")</f>
        <v>Watson Chapel Junior High</v>
      </c>
      <c r="G624" s="5">
        <f ca="1">IFERROR(__xludf.DUMMYFUNCTION("""COMPUTED_VALUE"""),1)</f>
        <v>1</v>
      </c>
      <c r="H624" s="5">
        <f ca="1">IFERROR(__xludf.DUMMYFUNCTION("""COMPUTED_VALUE"""),0)</f>
        <v>0</v>
      </c>
      <c r="I624" s="5">
        <f ca="1">IFERROR(__xludf.DUMMYFUNCTION("""COMPUTED_VALUE"""),1)</f>
        <v>1</v>
      </c>
      <c r="J624" s="5">
        <f ca="1">IFERROR(__xludf.DUMMYFUNCTION("""COMPUTED_VALUE"""),0)</f>
        <v>0</v>
      </c>
      <c r="K624" s="5" t="str">
        <f ca="1">IFERROR(__xludf.DUMMYFUNCTION("""COMPUTED_VALUE"""),"https://www.arkansasonline.com/news/2021/mar/04/pb-teen-dies-after-shooting-in-school-hall/ https://www.fox19.com/video/2021/03/02/police-believe-disagreement-between-teens-led-ark-school-shooting/ https://www.cnn.com/2021/03/01/us/school-shooting-pine-bl"&amp;"uff-arkansas-/index.html https://www.nbcnews.com/news/us-news/one-student-hurt-after-shooting-junior-high-school-arkansas-n1259154 https://abcnews.go.com/US/shooting-reported-junior-high-school-arkansas-school-district/story?id=76184186 https://katv.com/n"&amp;"ews/local/police-1-person-shot-at-watson-chapel-junior-high-in-pine-bluff")</f>
        <v>https://www.arkansasonline.com/news/2021/mar/04/pb-teen-dies-after-shooting-in-school-hall/ https://www.fox19.com/video/2021/03/02/police-believe-disagreement-between-teens-led-ark-school-shooting/ https://www.cnn.com/2021/03/01/us/school-shooting-pine-bluff-arkansas-/index.html https://www.nbcnews.com/news/us-news/one-student-hurt-after-shooting-junior-high-school-arkansas-n1259154 https://abcnews.go.com/US/shooting-reported-junior-high-school-arkansas-school-district/story?id=76184186 https://katv.com/news/local/police-1-person-shot-at-watson-chapel-junior-high-in-pine-bluff</v>
      </c>
      <c r="L624" s="5">
        <f ca="1">IFERROR(__xludf.DUMMYFUNCTION("""COMPUTED_VALUE"""),100)</f>
        <v>100</v>
      </c>
      <c r="M624" s="5" t="str">
        <f ca="1">IFERROR(__xludf.DUMMYFUNCTION("""COMPUTED_VALUE"""),"National")</f>
        <v>National</v>
      </c>
      <c r="N624" s="5">
        <f ca="1">IFERROR(__xludf.DUMMYFUNCTION("""COMPUTED_VALUE"""),4)</f>
        <v>4</v>
      </c>
      <c r="O624" s="5" t="str">
        <f ca="1">IFERROR(__xludf.DUMMYFUNCTION("""COMPUTED_VALUE"""),"Spring")</f>
        <v>Spring</v>
      </c>
      <c r="P624" s="5" t="str">
        <f ca="1">IFERROR(__xludf.DUMMYFUNCTION("""COMPUTED_VALUE"""),"Pine Bluff")</f>
        <v>Pine Bluff</v>
      </c>
      <c r="Q624" s="5" t="str">
        <f ca="1">IFERROR(__xludf.DUMMYFUNCTION("""COMPUTED_VALUE"""),"AR")</f>
        <v>AR</v>
      </c>
      <c r="R624" s="5" t="str">
        <f ca="1">IFERROR(__xludf.DUMMYFUNCTION("""COMPUTED_VALUE"""),"Junior High")</f>
        <v>Junior High</v>
      </c>
      <c r="S624" s="5" t="str">
        <f ca="1">IFERROR(__xludf.DUMMYFUNCTION("""COMPUTED_VALUE"""),"Hallway")</f>
        <v>Hallway</v>
      </c>
      <c r="T624" s="5" t="str">
        <f ca="1">IFERROR(__xludf.DUMMYFUNCTION("""COMPUTED_VALUE"""),"Inside School Building")</f>
        <v>Inside School Building</v>
      </c>
      <c r="U624" s="5" t="str">
        <f ca="1">IFERROR(__xludf.DUMMYFUNCTION("""COMPUTED_VALUE"""),"Yes")</f>
        <v>Yes</v>
      </c>
      <c r="V624" s="5" t="str">
        <f ca="1">IFERROR(__xludf.DUMMYFUNCTION("""COMPUTED_VALUE"""),"Morning Classes")</f>
        <v>Morning Classes</v>
      </c>
      <c r="W624" s="10">
        <f ca="1">IFERROR(__xludf.DUMMYFUNCTION("""COMPUTED_VALUE"""),0.415972222222222)</f>
        <v>0.41597222222222202</v>
      </c>
      <c r="X624" s="5">
        <f ca="1">IFERROR(__xludf.DUMMYFUNCTION("""COMPUTED_VALUE"""),1)</f>
        <v>1</v>
      </c>
      <c r="Y624" s="5" t="str">
        <f ca="1">IFERROR(__xludf.DUMMYFUNCTION("""COMPUTED_VALUE"""),"Student shot by another student in the hallway between classes")</f>
        <v>Student shot by another student in the hallway between classes</v>
      </c>
      <c r="Z624" s="5" t="str">
        <f ca="1">IFERROR(__xludf.DUMMYFUNCTION("""COMPUTED_VALUE"""),"A 15-year-old student shot another 15-year-old student 3 times in the hallway as students changed classes. Many students were in the hallway at the time of the shooting and witnessed it. Injured student was flown to hospital in critical condition and died"&amp;" 2 days later (3/3/2021). Shooter fled the scene and was tracked by a police K-9 to the backyard of a house near the school where he was arrested. School was placed on lockdown for 1 hour and then dismissed. Police said the shooting was targeted and there"&amp;" was a dispute between the shooter and victim. The shooting occurred on the first day the school had resumed in-person learning following COVID-19 related closures and virtual learning.")</f>
        <v>A 15-year-old student shot another 15-year-old student 3 times in the hallway as students changed classes. Many students were in the hallway at the time of the shooting and witnessed it. Injured student was flown to hospital in critical condition and died 2 days later (3/3/2021). Shooter fled the scene and was tracked by a police K-9 to the backyard of a house near the school where he was arrested. School was placed on lockdown for 1 hour and then dismissed. Police said the shooting was targeted and there was a dispute between the shooter and victim. The shooting occurred on the first day the school had resumed in-person learning following COVID-19 related closures and virtual learning.</v>
      </c>
      <c r="AA624" s="5" t="str">
        <f ca="1">IFERROR(__xludf.DUMMYFUNCTION("""COMPUTED_VALUE"""),"Escalation of Dispute")</f>
        <v>Escalation of Dispute</v>
      </c>
      <c r="AB624" s="5" t="str">
        <f ca="1">IFERROR(__xludf.DUMMYFUNCTION("""COMPUTED_VALUE"""),"Victims Targeted")</f>
        <v>Victims Targeted</v>
      </c>
      <c r="AC624" s="5" t="str">
        <f ca="1">IFERROR(__xludf.DUMMYFUNCTION("""COMPUTED_VALUE"""),"No")</f>
        <v>No</v>
      </c>
      <c r="AD624" s="5" t="str">
        <f ca="1">IFERROR(__xludf.DUMMYFUNCTION("""COMPUTED_VALUE"""),"No")</f>
        <v>No</v>
      </c>
      <c r="AE624" s="5" t="str">
        <f ca="1">IFERROR(__xludf.DUMMYFUNCTION("""COMPUTED_VALUE"""),"No")</f>
        <v>No</v>
      </c>
      <c r="AF624" s="5" t="str">
        <f ca="1">IFERROR(__xludf.DUMMYFUNCTION("""COMPUTED_VALUE"""),"No")</f>
        <v>No</v>
      </c>
      <c r="AG624" s="5" t="str">
        <f ca="1">IFERROR(__xludf.DUMMYFUNCTION("""COMPUTED_VALUE"""),"No")</f>
        <v>No</v>
      </c>
      <c r="AH624" s="5" t="str">
        <f ca="1">IFERROR(__xludf.DUMMYFUNCTION("""COMPUTED_VALUE"""),"No")</f>
        <v>No</v>
      </c>
      <c r="AI624" s="5" t="str">
        <f ca="1">IFERROR(__xludf.DUMMYFUNCTION("""COMPUTED_VALUE"""),"No")</f>
        <v>No</v>
      </c>
      <c r="AJ624" s="5" t="str">
        <f ca="1">IFERROR(__xludf.DUMMYFUNCTION("""COMPUTED_VALUE"""),"No")</f>
        <v>No</v>
      </c>
    </row>
    <row r="625" spans="1:36" ht="13">
      <c r="A625" s="5" t="str">
        <f ca="1">IFERROR(__xludf.DUMMYFUNCTION("""COMPUTED_VALUE"""),"20210226LAGEN")</f>
        <v>20210226LAGEN</v>
      </c>
      <c r="B625" s="5">
        <f ca="1">IFERROR(__xludf.DUMMYFUNCTION("""COMPUTED_VALUE"""),2)</f>
        <v>2</v>
      </c>
      <c r="C625" s="5">
        <f ca="1">IFERROR(__xludf.DUMMYFUNCTION("""COMPUTED_VALUE"""),26)</f>
        <v>26</v>
      </c>
      <c r="D625" s="5">
        <f ca="1">IFERROR(__xludf.DUMMYFUNCTION("""COMPUTED_VALUE"""),2021)</f>
        <v>2021</v>
      </c>
      <c r="E625" s="8">
        <f ca="1">IFERROR(__xludf.DUMMYFUNCTION("""COMPUTED_VALUE"""),44253)</f>
        <v>44253</v>
      </c>
      <c r="F625" s="5" t="str">
        <f ca="1">IFERROR(__xludf.DUMMYFUNCTION("""COMPUTED_VALUE"""),"George Washington Carver High School")</f>
        <v>George Washington Carver High School</v>
      </c>
      <c r="G625" s="5">
        <f ca="1">IFERROR(__xludf.DUMMYFUNCTION("""COMPUTED_VALUE"""),1)</f>
        <v>1</v>
      </c>
      <c r="H625" s="5">
        <f ca="1">IFERROR(__xludf.DUMMYFUNCTION("""COMPUTED_VALUE"""),0)</f>
        <v>0</v>
      </c>
      <c r="I625" s="5">
        <f ca="1">IFERROR(__xludf.DUMMYFUNCTION("""COMPUTED_VALUE"""),1)</f>
        <v>1</v>
      </c>
      <c r="J625" s="5">
        <f ca="1">IFERROR(__xludf.DUMMYFUNCTION("""COMPUTED_VALUE"""),0)</f>
        <v>0</v>
      </c>
      <c r="K625" s="5" t="str">
        <f ca="1">IFERROR(__xludf.DUMMYFUNCTION("""COMPUTED_VALUE"""),"https://www.nbcnews.com/news/us-news/officer-working-security-high-school-basketball-game-fatally-shot-suspect-n1259070 https://www.cnn.com/2021/02/27/us/new-orleans-officer-killed-basketball-game/index.html https://www.wwltv.com/article/news/crime/office"&amp;"r-shot-at-carver-highl-during-basketball-game/289-e197f460-e5bd-4e06-99e7-0a6373f7eda1")</f>
        <v>https://www.nbcnews.com/news/us-news/officer-working-security-high-school-basketball-game-fatally-shot-suspect-n1259070 https://www.cnn.com/2021/02/27/us/new-orleans-officer-killed-basketball-game/index.html https://www.wwltv.com/article/news/crime/officer-shot-at-carver-highl-during-basketball-game/289-e197f460-e5bd-4e06-99e7-0a6373f7eda1</v>
      </c>
      <c r="L625" s="5">
        <f ca="1">IFERROR(__xludf.DUMMYFUNCTION("""COMPUTED_VALUE"""),100)</f>
        <v>100</v>
      </c>
      <c r="M625" s="5" t="str">
        <f ca="1">IFERROR(__xludf.DUMMYFUNCTION("""COMPUTED_VALUE"""),"National")</f>
        <v>National</v>
      </c>
      <c r="N625" s="5">
        <f ca="1">IFERROR(__xludf.DUMMYFUNCTION("""COMPUTED_VALUE"""),4)</f>
        <v>4</v>
      </c>
      <c r="O625" s="5"/>
      <c r="P625" s="5" t="str">
        <f ca="1">IFERROR(__xludf.DUMMYFUNCTION("""COMPUTED_VALUE"""),"New Orleans")</f>
        <v>New Orleans</v>
      </c>
      <c r="Q625" s="5" t="str">
        <f ca="1">IFERROR(__xludf.DUMMYFUNCTION("""COMPUTED_VALUE"""),"LA")</f>
        <v>LA</v>
      </c>
      <c r="R625" s="5" t="str">
        <f ca="1">IFERROR(__xludf.DUMMYFUNCTION("""COMPUTED_VALUE"""),"High")</f>
        <v>High</v>
      </c>
      <c r="S625" s="5" t="str">
        <f ca="1">IFERROR(__xludf.DUMMYFUNCTION("""COMPUTED_VALUE"""),"Hallway")</f>
        <v>Hallway</v>
      </c>
      <c r="T625" s="5" t="str">
        <f ca="1">IFERROR(__xludf.DUMMYFUNCTION("""COMPUTED_VALUE"""),"Inside School Building")</f>
        <v>Inside School Building</v>
      </c>
      <c r="U625" s="5" t="str">
        <f ca="1">IFERROR(__xludf.DUMMYFUNCTION("""COMPUTED_VALUE"""),"No")</f>
        <v>No</v>
      </c>
      <c r="V625" s="5" t="str">
        <f ca="1">IFERROR(__xludf.DUMMYFUNCTION("""COMPUTED_VALUE"""),"Sport Event")</f>
        <v>Sport Event</v>
      </c>
      <c r="W625" s="10">
        <f ca="1">IFERROR(__xludf.DUMMYFUNCTION("""COMPUTED_VALUE"""),0.760416666666666)</f>
        <v>0.76041666666666596</v>
      </c>
      <c r="X625" s="5">
        <f ca="1">IFERROR(__xludf.DUMMYFUNCTION("""COMPUTED_VALUE"""),1)</f>
        <v>1</v>
      </c>
      <c r="Y625" s="5" t="str">
        <f ca="1">IFERROR(__xludf.DUMMYFUNCTION("""COMPUTED_VALUE"""),"Police officer shot while escorting person out of high school basketball game")</f>
        <v>Police officer shot while escorting person out of high school basketball game</v>
      </c>
      <c r="Z625" s="5" t="str">
        <f ca="1">IFERROR(__xludf.DUMMYFUNCTION("""COMPUTED_VALUE"""),"A Tulane University police officer was working security at the high school during a playoff basketball game. A 35-year-old male (shooter) had a confrontation with a school employee who denied him entry to the game for not wearing a mask. Police officer in"&amp;"tervened in the confrontation and escorted the shooter out of the building. Near the door, the shooter pulled a gun and fatally shot the officer twice in the chest. Shooter then put the gun on the ground and surrendered. Prior to the shooting, the shooter"&amp;" approached a man inside a vehicle in the school parking lot, showed a gun, and demanded his gold chain.")</f>
        <v>A Tulane University police officer was working security at the high school during a playoff basketball game. A 35-year-old male (shooter) had a confrontation with a school employee who denied him entry to the game for not wearing a mask. Police officer intervened in the confrontation and escorted the shooter out of the building. Near the door, the shooter pulled a gun and fatally shot the officer twice in the chest. Shooter then put the gun on the ground and surrendered. Prior to the shooting, the shooter approached a man inside a vehicle in the school parking lot, showed a gun, and demanded his gold chain.</v>
      </c>
      <c r="AA625" s="5" t="str">
        <f ca="1">IFERROR(__xludf.DUMMYFUNCTION("""COMPUTED_VALUE"""),"Illegal Activity")</f>
        <v>Illegal Activity</v>
      </c>
      <c r="AB625" s="5" t="str">
        <f ca="1">IFERROR(__xludf.DUMMYFUNCTION("""COMPUTED_VALUE"""),"Random Shooting")</f>
        <v>Random Shooting</v>
      </c>
      <c r="AC625" s="5" t="str">
        <f ca="1">IFERROR(__xludf.DUMMYFUNCTION("""COMPUTED_VALUE"""),"No")</f>
        <v>No</v>
      </c>
      <c r="AD625" s="5" t="str">
        <f ca="1">IFERROR(__xludf.DUMMYFUNCTION("""COMPUTED_VALUE"""),"No")</f>
        <v>No</v>
      </c>
      <c r="AE625" s="5" t="str">
        <f ca="1">IFERROR(__xludf.DUMMYFUNCTION("""COMPUTED_VALUE"""),"No")</f>
        <v>No</v>
      </c>
      <c r="AF625" s="5" t="str">
        <f ca="1">IFERROR(__xludf.DUMMYFUNCTION("""COMPUTED_VALUE"""),"No")</f>
        <v>No</v>
      </c>
      <c r="AG625" s="5" t="str">
        <f ca="1">IFERROR(__xludf.DUMMYFUNCTION("""COMPUTED_VALUE"""),"No")</f>
        <v>No</v>
      </c>
      <c r="AH625" s="5" t="str">
        <f ca="1">IFERROR(__xludf.DUMMYFUNCTION("""COMPUTED_VALUE"""),"No")</f>
        <v>No</v>
      </c>
      <c r="AI625" s="5" t="str">
        <f ca="1">IFERROR(__xludf.DUMMYFUNCTION("""COMPUTED_VALUE"""),"No")</f>
        <v>No</v>
      </c>
      <c r="AJ625" s="5" t="str">
        <f ca="1">IFERROR(__xludf.DUMMYFUNCTION("""COMPUTED_VALUE"""),"No")</f>
        <v>No</v>
      </c>
    </row>
    <row r="626" spans="1:36" ht="13">
      <c r="A626" s="5" t="str">
        <f ca="1">IFERROR(__xludf.DUMMYFUNCTION("""COMPUTED_VALUE"""),"20210224WAGAY")</f>
        <v>20210224WAGAY</v>
      </c>
      <c r="B626" s="5">
        <f ca="1">IFERROR(__xludf.DUMMYFUNCTION("""COMPUTED_VALUE"""),2)</f>
        <v>2</v>
      </c>
      <c r="C626" s="5">
        <f ca="1">IFERROR(__xludf.DUMMYFUNCTION("""COMPUTED_VALUE"""),24)</f>
        <v>24</v>
      </c>
      <c r="D626" s="5">
        <f ca="1">IFERROR(__xludf.DUMMYFUNCTION("""COMPUTED_VALUE"""),2021)</f>
        <v>2021</v>
      </c>
      <c r="E626" s="8">
        <f ca="1">IFERROR(__xludf.DUMMYFUNCTION("""COMPUTED_VALUE"""),44251)</f>
        <v>44251</v>
      </c>
      <c r="F626" s="5" t="str">
        <f ca="1">IFERROR(__xludf.DUMMYFUNCTION("""COMPUTED_VALUE"""),"Garfield Elementary School")</f>
        <v>Garfield Elementary School</v>
      </c>
      <c r="G626" s="5">
        <f ca="1">IFERROR(__xludf.DUMMYFUNCTION("""COMPUTED_VALUE"""),0)</f>
        <v>0</v>
      </c>
      <c r="H626" s="5">
        <f ca="1">IFERROR(__xludf.DUMMYFUNCTION("""COMPUTED_VALUE"""),1)</f>
        <v>1</v>
      </c>
      <c r="I626" s="5">
        <f ca="1">IFERROR(__xludf.DUMMYFUNCTION("""COMPUTED_VALUE"""),1)</f>
        <v>1</v>
      </c>
      <c r="J626" s="5">
        <f ca="1">IFERROR(__xludf.DUMMYFUNCTION("""COMPUTED_VALUE"""),0)</f>
        <v>0</v>
      </c>
      <c r="K626" s="5" t="str">
        <f ca="1">IFERROR(__xludf.DUMMYFUNCTION("""COMPUTED_VALUE"""),"https://kimatv.com/news/local/suspects-in-police-chase-crash-into-school-bus-in-yakima https://www.yakimaherald.com/yakima-police-say-17-year-old-injured-in-drive-by-shooting-by-garfield-elementary-school/article_aea38423-2080-50fc-93a1-dd9798d7d6c6.html "&amp;"https://komonews.com/news/local/teen-suspects-car-crashes-into-yakima-school-bus-after-shooting-100-mph-police-chase")</f>
        <v>https://kimatv.com/news/local/suspects-in-police-chase-crash-into-school-bus-in-yakima https://www.yakimaherald.com/yakima-police-say-17-year-old-injured-in-drive-by-shooting-by-garfield-elementary-school/article_aea38423-2080-50fc-93a1-dd9798d7d6c6.html https://komonews.com/news/local/teen-suspects-car-crashes-into-yakima-school-bus-after-shooting-100-mph-police-chase</v>
      </c>
      <c r="L626" s="5">
        <f ca="1">IFERROR(__xludf.DUMMYFUNCTION("""COMPUTED_VALUE"""),4)</f>
        <v>4</v>
      </c>
      <c r="M626" s="5" t="str">
        <f ca="1">IFERROR(__xludf.DUMMYFUNCTION("""COMPUTED_VALUE"""),"Local")</f>
        <v>Local</v>
      </c>
      <c r="N626" s="5">
        <f ca="1">IFERROR(__xludf.DUMMYFUNCTION("""COMPUTED_VALUE"""),4)</f>
        <v>4</v>
      </c>
      <c r="O626" s="5" t="str">
        <f ca="1">IFERROR(__xludf.DUMMYFUNCTION("""COMPUTED_VALUE"""),"Winter")</f>
        <v>Winter</v>
      </c>
      <c r="P626" s="5" t="str">
        <f ca="1">IFERROR(__xludf.DUMMYFUNCTION("""COMPUTED_VALUE"""),"Yakima")</f>
        <v>Yakima</v>
      </c>
      <c r="Q626" s="5" t="str">
        <f ca="1">IFERROR(__xludf.DUMMYFUNCTION("""COMPUTED_VALUE"""),"WA")</f>
        <v>WA</v>
      </c>
      <c r="R626" s="5" t="str">
        <f ca="1">IFERROR(__xludf.DUMMYFUNCTION("""COMPUTED_VALUE"""),"Elementary")</f>
        <v>Elementary</v>
      </c>
      <c r="S626" s="5" t="str">
        <f ca="1">IFERROR(__xludf.DUMMYFUNCTION("""COMPUTED_VALUE"""),"Parking Lot")</f>
        <v>Parking Lot</v>
      </c>
      <c r="T626" s="5" t="str">
        <f ca="1">IFERROR(__xludf.DUMMYFUNCTION("""COMPUTED_VALUE"""),"Outside on School Property")</f>
        <v>Outside on School Property</v>
      </c>
      <c r="U626" s="5" t="str">
        <f ca="1">IFERROR(__xludf.DUMMYFUNCTION("""COMPUTED_VALUE"""),"Yes")</f>
        <v>Yes</v>
      </c>
      <c r="V626" s="5" t="str">
        <f ca="1">IFERROR(__xludf.DUMMYFUNCTION("""COMPUTED_VALUE"""),"Afternoon Classes")</f>
        <v>Afternoon Classes</v>
      </c>
      <c r="W626" s="10">
        <f ca="1">IFERROR(__xludf.DUMMYFUNCTION("""COMPUTED_VALUE"""),0.506944444444444)</f>
        <v>0.50694444444444398</v>
      </c>
      <c r="X626" s="5">
        <f ca="1">IFERROR(__xludf.DUMMYFUNCTION("""COMPUTED_VALUE"""),1)</f>
        <v>1</v>
      </c>
      <c r="Y626" s="5" t="str">
        <f ca="1">IFERROR(__xludf.DUMMYFUNCTION("""COMPUTED_VALUE"""),"Teen shot in the parking lot of the school, shooter fled and crashed vehicle into school bus")</f>
        <v>Teen shot in the parking lot of the school, shooter fled and crashed vehicle into school bus</v>
      </c>
      <c r="Z626" s="5" t="str">
        <f ca="1">IFERROR(__xludf.DUMMYFUNCTION("""COMPUTED_VALUE"""),"A 16-year-old male was shot twice during a fight with other teens in the school parking lot. Four teens who were involved, including the shooter, fled the area in a stolen vehicle. 2 hours later, police attempted to stop the stolen vehicle with the four t"&amp;"eens and during a pursuit, the vehicle crashed into a school bus. Teachers and staff were at the school at the time of the shooting while student were in remote learning.")</f>
        <v>A 16-year-old male was shot twice during a fight with other teens in the school parking lot. Four teens who were involved, including the shooter, fled the area in a stolen vehicle. 2 hours later, police attempted to stop the stolen vehicle with the four teens and during a pursuit, the vehicle crashed into a school bus. Teachers and staff were at the school at the time of the shooting while student were in remote learning.</v>
      </c>
      <c r="AA626" s="5" t="str">
        <f ca="1">IFERROR(__xludf.DUMMYFUNCTION("""COMPUTED_VALUE"""),"Drive-by Shooting")</f>
        <v>Drive-by Shooting</v>
      </c>
      <c r="AB626" s="5" t="str">
        <f ca="1">IFERROR(__xludf.DUMMYFUNCTION("""COMPUTED_VALUE"""),"Victims Targeted")</f>
        <v>Victims Targeted</v>
      </c>
      <c r="AC626" s="5" t="str">
        <f ca="1">IFERROR(__xludf.DUMMYFUNCTION("""COMPUTED_VALUE"""),"Yes")</f>
        <v>Yes</v>
      </c>
      <c r="AD626" s="5" t="str">
        <f ca="1">IFERROR(__xludf.DUMMYFUNCTION("""COMPUTED_VALUE"""),"No")</f>
        <v>No</v>
      </c>
      <c r="AE626" s="5" t="str">
        <f ca="1">IFERROR(__xludf.DUMMYFUNCTION("""COMPUTED_VALUE"""),"No")</f>
        <v>No</v>
      </c>
      <c r="AF626" s="5" t="str">
        <f ca="1">IFERROR(__xludf.DUMMYFUNCTION("""COMPUTED_VALUE"""),"No")</f>
        <v>No</v>
      </c>
      <c r="AG626" s="5" t="str">
        <f ca="1">IFERROR(__xludf.DUMMYFUNCTION("""COMPUTED_VALUE"""),"No")</f>
        <v>No</v>
      </c>
      <c r="AH626" s="5" t="str">
        <f ca="1">IFERROR(__xludf.DUMMYFUNCTION("""COMPUTED_VALUE"""),"No")</f>
        <v>No</v>
      </c>
      <c r="AI626" s="5" t="str">
        <f ca="1">IFERROR(__xludf.DUMMYFUNCTION("""COMPUTED_VALUE"""),"Yes")</f>
        <v>Yes</v>
      </c>
      <c r="AJ626" s="5" t="str">
        <f ca="1">IFERROR(__xludf.DUMMYFUNCTION("""COMPUTED_VALUE"""),"No")</f>
        <v>No</v>
      </c>
    </row>
    <row r="627" spans="1:36" ht="13">
      <c r="A627" s="5" t="str">
        <f ca="1">IFERROR(__xludf.DUMMYFUNCTION("""COMPUTED_VALUE"""),"20210222CAHOV")</f>
        <v>20210222CAHOV</v>
      </c>
      <c r="B627" s="5">
        <f ca="1">IFERROR(__xludf.DUMMYFUNCTION("""COMPUTED_VALUE"""),2)</f>
        <v>2</v>
      </c>
      <c r="C627" s="5">
        <f ca="1">IFERROR(__xludf.DUMMYFUNCTION("""COMPUTED_VALUE"""),22)</f>
        <v>22</v>
      </c>
      <c r="D627" s="5">
        <f ca="1">IFERROR(__xludf.DUMMYFUNCTION("""COMPUTED_VALUE"""),2021)</f>
        <v>2021</v>
      </c>
      <c r="E627" s="8">
        <f ca="1">IFERROR(__xludf.DUMMYFUNCTION("""COMPUTED_VALUE"""),44249)</f>
        <v>44249</v>
      </c>
      <c r="F627" s="5" t="str">
        <f ca="1">IFERROR(__xludf.DUMMYFUNCTION("""COMPUTED_VALUE"""),"Houston Elementary School")</f>
        <v>Houston Elementary School</v>
      </c>
      <c r="G627" s="5">
        <f ca="1">IFERROR(__xludf.DUMMYFUNCTION("""COMPUTED_VALUE"""),0)</f>
        <v>0</v>
      </c>
      <c r="H627" s="5">
        <f ca="1">IFERROR(__xludf.DUMMYFUNCTION("""COMPUTED_VALUE"""),1)</f>
        <v>1</v>
      </c>
      <c r="I627" s="5">
        <f ca="1">IFERROR(__xludf.DUMMYFUNCTION("""COMPUTED_VALUE"""),1)</f>
        <v>1</v>
      </c>
      <c r="J627" s="5">
        <f ca="1">IFERROR(__xludf.DUMMYFUNCTION("""COMPUTED_VALUE"""),0)</f>
        <v>0</v>
      </c>
      <c r="K627" s="9" t="str">
        <f ca="1">IFERROR(__xludf.DUMMYFUNCTION("""COMPUTED_VALUE"""),"https://abc30.com/visalia-shooting-houston-elementary-school-police-man-shot/10361223/")</f>
        <v>https://abc30.com/visalia-shooting-houston-elementary-school-police-man-shot/10361223/</v>
      </c>
      <c r="L627" s="5">
        <f ca="1">IFERROR(__xludf.DUMMYFUNCTION("""COMPUTED_VALUE"""),1)</f>
        <v>1</v>
      </c>
      <c r="M627" s="5" t="str">
        <f ca="1">IFERROR(__xludf.DUMMYFUNCTION("""COMPUTED_VALUE"""),"Local")</f>
        <v>Local</v>
      </c>
      <c r="N627" s="5">
        <f ca="1">IFERROR(__xludf.DUMMYFUNCTION("""COMPUTED_VALUE"""),3)</f>
        <v>3</v>
      </c>
      <c r="O627" s="5" t="str">
        <f ca="1">IFERROR(__xludf.DUMMYFUNCTION("""COMPUTED_VALUE"""),"Winter")</f>
        <v>Winter</v>
      </c>
      <c r="P627" s="5" t="str">
        <f ca="1">IFERROR(__xludf.DUMMYFUNCTION("""COMPUTED_VALUE"""),"Visalia")</f>
        <v>Visalia</v>
      </c>
      <c r="Q627" s="5" t="str">
        <f ca="1">IFERROR(__xludf.DUMMYFUNCTION("""COMPUTED_VALUE"""),"CA")</f>
        <v>CA</v>
      </c>
      <c r="R627" s="5" t="str">
        <f ca="1">IFERROR(__xludf.DUMMYFUNCTION("""COMPUTED_VALUE"""),"Elementary")</f>
        <v>Elementary</v>
      </c>
      <c r="S627" s="5" t="str">
        <f ca="1">IFERROR(__xludf.DUMMYFUNCTION("""COMPUTED_VALUE"""),"Front of School")</f>
        <v>Front of School</v>
      </c>
      <c r="T627" s="5" t="str">
        <f ca="1">IFERROR(__xludf.DUMMYFUNCTION("""COMPUTED_VALUE"""),"Outside on School Property")</f>
        <v>Outside on School Property</v>
      </c>
      <c r="U627" s="5" t="str">
        <f ca="1">IFERROR(__xludf.DUMMYFUNCTION("""COMPUTED_VALUE"""),"No")</f>
        <v>No</v>
      </c>
      <c r="V627" s="5" t="str">
        <f ca="1">IFERROR(__xludf.DUMMYFUNCTION("""COMPUTED_VALUE"""),"Night")</f>
        <v>Night</v>
      </c>
      <c r="W627" s="10">
        <f ca="1">IFERROR(__xludf.DUMMYFUNCTION("""COMPUTED_VALUE"""),0.166666666666666)</f>
        <v>0.16666666666666599</v>
      </c>
      <c r="X627" s="5">
        <f ca="1">IFERROR(__xludf.DUMMYFUNCTION("""COMPUTED_VALUE"""),1)</f>
        <v>1</v>
      </c>
      <c r="Y627" s="5" t="str">
        <f ca="1">IFERROR(__xludf.DUMMYFUNCTION("""COMPUTED_VALUE"""),"Man shot in front of the school")</f>
        <v>Man shot in front of the school</v>
      </c>
      <c r="Z627" s="5" t="str">
        <f ca="1">IFERROR(__xludf.DUMMYFUNCTION("""COMPUTED_VALUE"""),"An adult male was shot in the stomach while standing in front of the school. Shooter fled the scene. School was closed at the time of the shooting. The motive and identity of the shooter are unknown.")</f>
        <v>An adult male was shot in the stomach while standing in front of the school. Shooter fled the scene. School was closed at the time of the shooting. The motive and identity of the shooter are unknown.</v>
      </c>
      <c r="AA627" s="5"/>
      <c r="AB627" s="5"/>
      <c r="AC627" s="5"/>
      <c r="AD627" s="5" t="str">
        <f ca="1">IFERROR(__xludf.DUMMYFUNCTION("""COMPUTED_VALUE"""),"No")</f>
        <v>No</v>
      </c>
      <c r="AE627" s="5" t="str">
        <f ca="1">IFERROR(__xludf.DUMMYFUNCTION("""COMPUTED_VALUE"""),"No")</f>
        <v>No</v>
      </c>
      <c r="AF627" s="5" t="str">
        <f ca="1">IFERROR(__xludf.DUMMYFUNCTION("""COMPUTED_VALUE"""),"No")</f>
        <v>No</v>
      </c>
      <c r="AG627" s="5" t="str">
        <f ca="1">IFERROR(__xludf.DUMMYFUNCTION("""COMPUTED_VALUE"""),"No")</f>
        <v>No</v>
      </c>
      <c r="AH627" s="5"/>
      <c r="AI627" s="5"/>
      <c r="AJ627" s="5" t="str">
        <f ca="1">IFERROR(__xludf.DUMMYFUNCTION("""COMPUTED_VALUE"""),"No")</f>
        <v>No</v>
      </c>
    </row>
    <row r="628" spans="1:36" ht="13">
      <c r="A628" s="5" t="str">
        <f ca="1">IFERROR(__xludf.DUMMYFUNCTION("""COMPUTED_VALUE"""),"20210219ILLIR")</f>
        <v>20210219ILLIR</v>
      </c>
      <c r="B628" s="5">
        <f ca="1">IFERROR(__xludf.DUMMYFUNCTION("""COMPUTED_VALUE"""),2)</f>
        <v>2</v>
      </c>
      <c r="C628" s="5">
        <f ca="1">IFERROR(__xludf.DUMMYFUNCTION("""COMPUTED_VALUE"""),19)</f>
        <v>19</v>
      </c>
      <c r="D628" s="5">
        <f ca="1">IFERROR(__xludf.DUMMYFUNCTION("""COMPUTED_VALUE"""),2021)</f>
        <v>2021</v>
      </c>
      <c r="E628" s="8">
        <f ca="1">IFERROR(__xludf.DUMMYFUNCTION("""COMPUTED_VALUE"""),44246)</f>
        <v>44246</v>
      </c>
      <c r="F628" s="5" t="str">
        <f ca="1">IFERROR(__xludf.DUMMYFUNCTION("""COMPUTED_VALUE"""),"Lincoln Middle School")</f>
        <v>Lincoln Middle School</v>
      </c>
      <c r="G628" s="5">
        <f ca="1">IFERROR(__xludf.DUMMYFUNCTION("""COMPUTED_VALUE"""),1)</f>
        <v>1</v>
      </c>
      <c r="H628" s="5">
        <f ca="1">IFERROR(__xludf.DUMMYFUNCTION("""COMPUTED_VALUE"""),0)</f>
        <v>0</v>
      </c>
      <c r="I628" s="5">
        <f ca="1">IFERROR(__xludf.DUMMYFUNCTION("""COMPUTED_VALUE"""),1)</f>
        <v>1</v>
      </c>
      <c r="J628" s="5">
        <f ca="1">IFERROR(__xludf.DUMMYFUNCTION("""COMPUTED_VALUE"""),0)</f>
        <v>0</v>
      </c>
      <c r="K628" s="5" t="str">
        <f ca="1">IFERROR(__xludf.DUMMYFUNCTION("""COMPUTED_VALUE"""),"https://www.mystateline.com/news/local-news/rockford-police-investigate-shooting-near-lincoln-middle-school/ https://www.wifr.com/2021/02/19/shooting-investigation-near-lincoln-middle-school/ https://wrex.com/2021/02/19/rockford-police-investigate-shootin"&amp;"g-near-lincoln-middle-school/")</f>
        <v>https://www.mystateline.com/news/local-news/rockford-police-investigate-shooting-near-lincoln-middle-school/ https://www.wifr.com/2021/02/19/shooting-investigation-near-lincoln-middle-school/ https://wrex.com/2021/02/19/rockford-police-investigate-shooting-near-lincoln-middle-school/</v>
      </c>
      <c r="L628" s="5">
        <f ca="1">IFERROR(__xludf.DUMMYFUNCTION("""COMPUTED_VALUE"""),3)</f>
        <v>3</v>
      </c>
      <c r="M628" s="5" t="str">
        <f ca="1">IFERROR(__xludf.DUMMYFUNCTION("""COMPUTED_VALUE"""),"Local")</f>
        <v>Local</v>
      </c>
      <c r="N628" s="5">
        <f ca="1">IFERROR(__xludf.DUMMYFUNCTION("""COMPUTED_VALUE"""),4)</f>
        <v>4</v>
      </c>
      <c r="O628" s="5" t="str">
        <f ca="1">IFERROR(__xludf.DUMMYFUNCTION("""COMPUTED_VALUE"""),"Winter")</f>
        <v>Winter</v>
      </c>
      <c r="P628" s="5" t="str">
        <f ca="1">IFERROR(__xludf.DUMMYFUNCTION("""COMPUTED_VALUE"""),"Rockford")</f>
        <v>Rockford</v>
      </c>
      <c r="Q628" s="5" t="str">
        <f ca="1">IFERROR(__xludf.DUMMYFUNCTION("""COMPUTED_VALUE"""),"IL")</f>
        <v>IL</v>
      </c>
      <c r="R628" s="5" t="str">
        <f ca="1">IFERROR(__xludf.DUMMYFUNCTION("""COMPUTED_VALUE"""),"Middle")</f>
        <v>Middle</v>
      </c>
      <c r="S628" s="5" t="str">
        <f ca="1">IFERROR(__xludf.DUMMYFUNCTION("""COMPUTED_VALUE"""),"Front of School")</f>
        <v>Front of School</v>
      </c>
      <c r="T628" s="5" t="str">
        <f ca="1">IFERROR(__xludf.DUMMYFUNCTION("""COMPUTED_VALUE"""),"Outside on School Property")</f>
        <v>Outside on School Property</v>
      </c>
      <c r="U628" s="5" t="str">
        <f ca="1">IFERROR(__xludf.DUMMYFUNCTION("""COMPUTED_VALUE"""),"Yes")</f>
        <v>Yes</v>
      </c>
      <c r="V628" s="5" t="str">
        <f ca="1">IFERROR(__xludf.DUMMYFUNCTION("""COMPUTED_VALUE"""),"Afternoon Classes")</f>
        <v>Afternoon Classes</v>
      </c>
      <c r="W628" s="10">
        <f ca="1">IFERROR(__xludf.DUMMYFUNCTION("""COMPUTED_VALUE"""),0.534722222222222)</f>
        <v>0.53472222222222199</v>
      </c>
      <c r="X628" s="5">
        <f ca="1">IFERROR(__xludf.DUMMYFUNCTION("""COMPUTED_VALUE"""),1)</f>
        <v>1</v>
      </c>
      <c r="Y628" s="5" t="str">
        <f ca="1">IFERROR(__xludf.DUMMYFUNCTION("""COMPUTED_VALUE"""),"Man who was fatally shot found inside vehicle on the front yard of the school")</f>
        <v>Man who was fatally shot found inside vehicle on the front yard of the school</v>
      </c>
      <c r="Z628" s="5" t="str">
        <f ca="1">IFERROR(__xludf.DUMMYFUNCTION("""COMPUTED_VALUE"""),"While class was in session, a vehicle drove onto the front yard of the school and stopped in front of the building. The adult male driver had been shot multiple times and died at the hospital (next door to the school). School was locked down. No motive or"&amp;" shooter identified.")</f>
        <v>While class was in session, a vehicle drove onto the front yard of the school and stopped in front of the building. The adult male driver had been shot multiple times and died at the hospital (next door to the school). School was locked down. No motive or shooter identified.</v>
      </c>
      <c r="AA628" s="5"/>
      <c r="AB628" s="5" t="str">
        <f ca="1">IFERROR(__xludf.DUMMYFUNCTION("""COMPUTED_VALUE"""),"Victims Targeted")</f>
        <v>Victims Targeted</v>
      </c>
      <c r="AC628" s="5"/>
      <c r="AD628" s="5" t="str">
        <f ca="1">IFERROR(__xludf.DUMMYFUNCTION("""COMPUTED_VALUE"""),"No")</f>
        <v>No</v>
      </c>
      <c r="AE628" s="5" t="str">
        <f ca="1">IFERROR(__xludf.DUMMYFUNCTION("""COMPUTED_VALUE"""),"No")</f>
        <v>No</v>
      </c>
      <c r="AF628" s="5"/>
      <c r="AG628" s="5" t="str">
        <f ca="1">IFERROR(__xludf.DUMMYFUNCTION("""COMPUTED_VALUE"""),"No")</f>
        <v>No</v>
      </c>
      <c r="AH628" s="5"/>
      <c r="AI628" s="5"/>
      <c r="AJ628" s="5" t="str">
        <f ca="1">IFERROR(__xludf.DUMMYFUNCTION("""COMPUTED_VALUE"""),"No")</f>
        <v>No</v>
      </c>
    </row>
    <row r="629" spans="1:36" ht="13">
      <c r="A629" s="5" t="str">
        <f ca="1">IFERROR(__xludf.DUMMYFUNCTION("""COMPUTED_VALUE"""),"20210217TNKNK")</f>
        <v>20210217TNKNK</v>
      </c>
      <c r="B629" s="5">
        <f ca="1">IFERROR(__xludf.DUMMYFUNCTION("""COMPUTED_VALUE"""),2)</f>
        <v>2</v>
      </c>
      <c r="C629" s="5">
        <f ca="1">IFERROR(__xludf.DUMMYFUNCTION("""COMPUTED_VALUE"""),17)</f>
        <v>17</v>
      </c>
      <c r="D629" s="5">
        <f ca="1">IFERROR(__xludf.DUMMYFUNCTION("""COMPUTED_VALUE"""),2021)</f>
        <v>2021</v>
      </c>
      <c r="E629" s="8">
        <f ca="1">IFERROR(__xludf.DUMMYFUNCTION("""COMPUTED_VALUE"""),44244)</f>
        <v>44244</v>
      </c>
      <c r="F629" s="5" t="str">
        <f ca="1">IFERROR(__xludf.DUMMYFUNCTION("""COMPUTED_VALUE"""),"Christenberry Elementary School")</f>
        <v>Christenberry Elementary School</v>
      </c>
      <c r="G629" s="5">
        <f ca="1">IFERROR(__xludf.DUMMYFUNCTION("""COMPUTED_VALUE"""),0)</f>
        <v>0</v>
      </c>
      <c r="H629" s="5">
        <f ca="1">IFERROR(__xludf.DUMMYFUNCTION("""COMPUTED_VALUE"""),0)</f>
        <v>0</v>
      </c>
      <c r="I629" s="5">
        <f ca="1">IFERROR(__xludf.DUMMYFUNCTION("""COMPUTED_VALUE"""),0)</f>
        <v>0</v>
      </c>
      <c r="J629" s="5">
        <f ca="1">IFERROR(__xludf.DUMMYFUNCTION("""COMPUTED_VALUE"""),0)</f>
        <v>0</v>
      </c>
      <c r="K629" s="9" t="str">
        <f ca="1">IFERROR(__xludf.DUMMYFUNCTION("""COMPUTED_VALUE"""),"https://www.wate.com/news/local-news/dispatch-knoxville-police-respond-to-reported-shooting-in-north-knoxville/")</f>
        <v>https://www.wate.com/news/local-news/dispatch-knoxville-police-respond-to-reported-shooting-in-north-knoxville/</v>
      </c>
      <c r="L629" s="5">
        <f ca="1">IFERROR(__xludf.DUMMYFUNCTION("""COMPUTED_VALUE"""),1)</f>
        <v>1</v>
      </c>
      <c r="M629" s="5" t="str">
        <f ca="1">IFERROR(__xludf.DUMMYFUNCTION("""COMPUTED_VALUE"""),"Local")</f>
        <v>Local</v>
      </c>
      <c r="N629" s="5">
        <f ca="1">IFERROR(__xludf.DUMMYFUNCTION("""COMPUTED_VALUE"""),3)</f>
        <v>3</v>
      </c>
      <c r="O629" s="5" t="str">
        <f ca="1">IFERROR(__xludf.DUMMYFUNCTION("""COMPUTED_VALUE"""),"Winter")</f>
        <v>Winter</v>
      </c>
      <c r="P629" s="5" t="str">
        <f ca="1">IFERROR(__xludf.DUMMYFUNCTION("""COMPUTED_VALUE"""),"Knoxville")</f>
        <v>Knoxville</v>
      </c>
      <c r="Q629" s="5" t="str">
        <f ca="1">IFERROR(__xludf.DUMMYFUNCTION("""COMPUTED_VALUE"""),"TN")</f>
        <v>TN</v>
      </c>
      <c r="R629" s="5" t="str">
        <f ca="1">IFERROR(__xludf.DUMMYFUNCTION("""COMPUTED_VALUE"""),"Elementary")</f>
        <v>Elementary</v>
      </c>
      <c r="S629" s="5" t="str">
        <f ca="1">IFERROR(__xludf.DUMMYFUNCTION("""COMPUTED_VALUE"""),"School Bus")</f>
        <v>School Bus</v>
      </c>
      <c r="T629" s="5" t="str">
        <f ca="1">IFERROR(__xludf.DUMMYFUNCTION("""COMPUTED_VALUE"""),"School Bus")</f>
        <v>School Bus</v>
      </c>
      <c r="U629" s="5" t="str">
        <f ca="1">IFERROR(__xludf.DUMMYFUNCTION("""COMPUTED_VALUE"""),"Yes")</f>
        <v>Yes</v>
      </c>
      <c r="V629" s="5" t="str">
        <f ca="1">IFERROR(__xludf.DUMMYFUNCTION("""COMPUTED_VALUE"""),"Dismissal")</f>
        <v>Dismissal</v>
      </c>
      <c r="W629" s="10">
        <f ca="1">IFERROR(__xludf.DUMMYFUNCTION("""COMPUTED_VALUE"""),0.614583333333333)</f>
        <v>0.61458333333333304</v>
      </c>
      <c r="X629" s="5">
        <f ca="1">IFERROR(__xludf.DUMMYFUNCTION("""COMPUTED_VALUE"""),1)</f>
        <v>1</v>
      </c>
      <c r="Y629" s="5" t="str">
        <f ca="1">IFERROR(__xludf.DUMMYFUNCTION("""COMPUTED_VALUE"""),"School bus struck by bullet")</f>
        <v>School bus struck by bullet</v>
      </c>
      <c r="Z629" s="5" t="str">
        <f ca="1">IFERROR(__xludf.DUMMYFUNCTION("""COMPUTED_VALUE"""),"A 30-year-old male fired multiple shot at a woman in a vehicle. She was critically injured and the vehicle crashed into a building. One of the shots struck a school bus with two staff members and one student on board.")</f>
        <v>A 30-year-old male fired multiple shot at a woman in a vehicle. She was critically injured and the vehicle crashed into a building. One of the shots struck a school bus with two staff members and one student on board.</v>
      </c>
      <c r="AA629" s="5"/>
      <c r="AB629" s="5"/>
      <c r="AC629" s="5" t="str">
        <f ca="1">IFERROR(__xludf.DUMMYFUNCTION("""COMPUTED_VALUE"""),"No")</f>
        <v>No</v>
      </c>
      <c r="AD629" s="5" t="str">
        <f ca="1">IFERROR(__xludf.DUMMYFUNCTION("""COMPUTED_VALUE"""),"No")</f>
        <v>No</v>
      </c>
      <c r="AE629" s="5" t="str">
        <f ca="1">IFERROR(__xludf.DUMMYFUNCTION("""COMPUTED_VALUE"""),"No")</f>
        <v>No</v>
      </c>
      <c r="AF629" s="5" t="str">
        <f ca="1">IFERROR(__xludf.DUMMYFUNCTION("""COMPUTED_VALUE"""),"No")</f>
        <v>No</v>
      </c>
      <c r="AG629" s="5" t="str">
        <f ca="1">IFERROR(__xludf.DUMMYFUNCTION("""COMPUTED_VALUE"""),"No")</f>
        <v>No</v>
      </c>
      <c r="AH629" s="5"/>
      <c r="AI629" s="5"/>
      <c r="AJ629" s="5" t="str">
        <f ca="1">IFERROR(__xludf.DUMMYFUNCTION("""COMPUTED_VALUE"""),"No")</f>
        <v>No</v>
      </c>
    </row>
    <row r="630" spans="1:36" ht="13">
      <c r="A630" s="5" t="str">
        <f ca="1">IFERROR(__xludf.DUMMYFUNCTION("""COMPUTED_VALUE"""),"20210216NCTHS")</f>
        <v>20210216NCTHS</v>
      </c>
      <c r="B630" s="5">
        <f ca="1">IFERROR(__xludf.DUMMYFUNCTION("""COMPUTED_VALUE"""),2)</f>
        <v>2</v>
      </c>
      <c r="C630" s="5">
        <f ca="1">IFERROR(__xludf.DUMMYFUNCTION("""COMPUTED_VALUE"""),16)</f>
        <v>16</v>
      </c>
      <c r="D630" s="5">
        <f ca="1">IFERROR(__xludf.DUMMYFUNCTION("""COMPUTED_VALUE"""),2021)</f>
        <v>2021</v>
      </c>
      <c r="E630" s="8">
        <f ca="1">IFERROR(__xludf.DUMMYFUNCTION("""COMPUTED_VALUE"""),44243)</f>
        <v>44243</v>
      </c>
      <c r="F630" s="5" t="str">
        <f ca="1">IFERROR(__xludf.DUMMYFUNCTION("""COMPUTED_VALUE"""),"Third Creek Elementary School")</f>
        <v>Third Creek Elementary School</v>
      </c>
      <c r="G630" s="5">
        <f ca="1">IFERROR(__xludf.DUMMYFUNCTION("""COMPUTED_VALUE"""),0)</f>
        <v>0</v>
      </c>
      <c r="H630" s="5">
        <f ca="1">IFERROR(__xludf.DUMMYFUNCTION("""COMPUTED_VALUE"""),0)</f>
        <v>0</v>
      </c>
      <c r="I630" s="5">
        <f ca="1">IFERROR(__xludf.DUMMYFUNCTION("""COMPUTED_VALUE"""),0)</f>
        <v>0</v>
      </c>
      <c r="J630" s="5">
        <f ca="1">IFERROR(__xludf.DUMMYFUNCTION("""COMPUTED_VALUE"""),0)</f>
        <v>0</v>
      </c>
      <c r="K630" s="5" t="str">
        <f ca="1">IFERROR(__xludf.DUMMYFUNCTION("""COMPUTED_VALUE"""),"https://www.wsicweb.com/wsicnews/icso-incident-on-iss-school-bus-today/ https://statesville.com/news/local/sheriff-girl-shot-with-pellet-gun-on-school-bus-two-boys-to-be-charged/article_1768a500-7096-11eb-9ee0-fb706446405e.html https://patch.com/north-car"&amp;"olina/mooresville/two-face-charges-after-student-shot-pellet-gun-bus https://www.wbtv.com/2021/02/16/two-children-charged-after-elementary-school-student-shot-by-pellet-gun-school-bus/")</f>
        <v>https://www.wsicweb.com/wsicnews/icso-incident-on-iss-school-bus-today/ https://statesville.com/news/local/sheriff-girl-shot-with-pellet-gun-on-school-bus-two-boys-to-be-charged/article_1768a500-7096-11eb-9ee0-fb706446405e.html https://patch.com/north-carolina/mooresville/two-face-charges-after-student-shot-pellet-gun-bus https://www.wbtv.com/2021/02/16/two-children-charged-after-elementary-school-student-shot-by-pellet-gun-school-bus/</v>
      </c>
      <c r="L630" s="5">
        <f ca="1">IFERROR(__xludf.DUMMYFUNCTION("""COMPUTED_VALUE"""),4)</f>
        <v>4</v>
      </c>
      <c r="M630" s="5" t="str">
        <f ca="1">IFERROR(__xludf.DUMMYFUNCTION("""COMPUTED_VALUE"""),"Local")</f>
        <v>Local</v>
      </c>
      <c r="N630" s="5">
        <f ca="1">IFERROR(__xludf.DUMMYFUNCTION("""COMPUTED_VALUE"""),4)</f>
        <v>4</v>
      </c>
      <c r="O630" s="5" t="str">
        <f ca="1">IFERROR(__xludf.DUMMYFUNCTION("""COMPUTED_VALUE"""),"Winter")</f>
        <v>Winter</v>
      </c>
      <c r="P630" s="5" t="str">
        <f ca="1">IFERROR(__xludf.DUMMYFUNCTION("""COMPUTED_VALUE"""),"Statesville")</f>
        <v>Statesville</v>
      </c>
      <c r="Q630" s="5" t="str">
        <f ca="1">IFERROR(__xludf.DUMMYFUNCTION("""COMPUTED_VALUE"""),"NC")</f>
        <v>NC</v>
      </c>
      <c r="R630" s="5" t="str">
        <f ca="1">IFERROR(__xludf.DUMMYFUNCTION("""COMPUTED_VALUE"""),"Elementary")</f>
        <v>Elementary</v>
      </c>
      <c r="S630" s="5" t="str">
        <f ca="1">IFERROR(__xludf.DUMMYFUNCTION("""COMPUTED_VALUE"""),"School Bus")</f>
        <v>School Bus</v>
      </c>
      <c r="T630" s="5" t="str">
        <f ca="1">IFERROR(__xludf.DUMMYFUNCTION("""COMPUTED_VALUE"""),"School Bus")</f>
        <v>School Bus</v>
      </c>
      <c r="U630" s="5" t="str">
        <f ca="1">IFERROR(__xludf.DUMMYFUNCTION("""COMPUTED_VALUE"""),"Yes")</f>
        <v>Yes</v>
      </c>
      <c r="V630" s="5" t="str">
        <f ca="1">IFERROR(__xludf.DUMMYFUNCTION("""COMPUTED_VALUE"""),"School Start")</f>
        <v>School Start</v>
      </c>
      <c r="W630" s="10">
        <f ca="1">IFERROR(__xludf.DUMMYFUNCTION("""COMPUTED_VALUE"""),0.333333333333333)</f>
        <v>0.33333333333333298</v>
      </c>
      <c r="X630" s="5">
        <f ca="1">IFERROR(__xludf.DUMMYFUNCTION("""COMPUTED_VALUE"""),1)</f>
        <v>1</v>
      </c>
      <c r="Y630" s="5" t="str">
        <f ca="1">IFERROR(__xludf.DUMMYFUNCTION("""COMPUTED_VALUE"""),"Student shot another student with a pellet gun on the school bus")</f>
        <v>Student shot another student with a pellet gun on the school bus</v>
      </c>
      <c r="Z630" s="5" t="str">
        <f ca="1">IFERROR(__xludf.DUMMYFUNCTION("""COMPUTED_VALUE"""),"Two male students had a pellet gun on the school bus. One of the students fired the pellet gun at a female student. She notified the school bus driver who then notified the school. The SRO detained the students when they arrived and found the weapon. Both"&amp;" male students were charged and referred to juvenile court.")</f>
        <v>Two male students had a pellet gun on the school bus. One of the students fired the pellet gun at a female student. She notified the school bus driver who then notified the school. The SRO detained the students when they arrived and found the weapon. Both male students were charged and referred to juvenile court.</v>
      </c>
      <c r="AA630" s="5"/>
      <c r="AB630" s="5"/>
      <c r="AC630" s="5" t="str">
        <f ca="1">IFERROR(__xludf.DUMMYFUNCTION("""COMPUTED_VALUE"""),"Yes")</f>
        <v>Yes</v>
      </c>
      <c r="AD630" s="5" t="str">
        <f ca="1">IFERROR(__xludf.DUMMYFUNCTION("""COMPUTED_VALUE"""),"No")</f>
        <v>No</v>
      </c>
      <c r="AE630" s="5" t="str">
        <f ca="1">IFERROR(__xludf.DUMMYFUNCTION("""COMPUTED_VALUE"""),"No")</f>
        <v>No</v>
      </c>
      <c r="AF630" s="5" t="str">
        <f ca="1">IFERROR(__xludf.DUMMYFUNCTION("""COMPUTED_VALUE"""),"No")</f>
        <v>No</v>
      </c>
      <c r="AG630" s="5" t="str">
        <f ca="1">IFERROR(__xludf.DUMMYFUNCTION("""COMPUTED_VALUE"""),"No")</f>
        <v>No</v>
      </c>
      <c r="AH630" s="5" t="str">
        <f ca="1">IFERROR(__xludf.DUMMYFUNCTION("""COMPUTED_VALUE"""),"No")</f>
        <v>No</v>
      </c>
      <c r="AI630" s="5" t="str">
        <f ca="1">IFERROR(__xludf.DUMMYFUNCTION("""COMPUTED_VALUE"""),"No")</f>
        <v>No</v>
      </c>
      <c r="AJ630" s="5" t="str">
        <f ca="1">IFERROR(__xludf.DUMMYFUNCTION("""COMPUTED_VALUE"""),"No")</f>
        <v>No</v>
      </c>
    </row>
    <row r="631" spans="1:36" ht="13">
      <c r="A631" s="5" t="str">
        <f ca="1">IFERROR(__xludf.DUMMYFUNCTION("""COMPUTED_VALUE"""),"20210214MNROM")</f>
        <v>20210214MNROM</v>
      </c>
      <c r="B631" s="5">
        <f ca="1">IFERROR(__xludf.DUMMYFUNCTION("""COMPUTED_VALUE"""),2)</f>
        <v>2</v>
      </c>
      <c r="C631" s="5">
        <f ca="1">IFERROR(__xludf.DUMMYFUNCTION("""COMPUTED_VALUE"""),14)</f>
        <v>14</v>
      </c>
      <c r="D631" s="5">
        <f ca="1">IFERROR(__xludf.DUMMYFUNCTION("""COMPUTED_VALUE"""),2021)</f>
        <v>2021</v>
      </c>
      <c r="E631" s="8">
        <f ca="1">IFERROR(__xludf.DUMMYFUNCTION("""COMPUTED_VALUE"""),44241)</f>
        <v>44241</v>
      </c>
      <c r="F631" s="5" t="str">
        <f ca="1">IFERROR(__xludf.DUMMYFUNCTION("""COMPUTED_VALUE"""),"Roosevelt High School")</f>
        <v>Roosevelt High School</v>
      </c>
      <c r="G631" s="5">
        <f ca="1">IFERROR(__xludf.DUMMYFUNCTION("""COMPUTED_VALUE"""),2)</f>
        <v>2</v>
      </c>
      <c r="H631" s="5">
        <f ca="1">IFERROR(__xludf.DUMMYFUNCTION("""COMPUTED_VALUE"""),1)</f>
        <v>1</v>
      </c>
      <c r="I631" s="5">
        <f ca="1">IFERROR(__xludf.DUMMYFUNCTION("""COMPUTED_VALUE"""),3)</f>
        <v>3</v>
      </c>
      <c r="J631" s="5">
        <f ca="1">IFERROR(__xludf.DUMMYFUNCTION("""COMPUTED_VALUE"""),0)</f>
        <v>0</v>
      </c>
      <c r="K631" s="5" t="str">
        <f ca="1">IFERROR(__xludf.DUMMYFUNCTION("""COMPUTED_VALUE"""),"https://www.mprnews.org/story/2021/02/15/2-people-found-shot-dead-inside-car-in-south-minneapolis https://www.kare11.com/article/news/local/two-killed-minneapolis-shooting-2-14-21/89-f6d405fc-4b38-4e01-86de-60b6674ee768")</f>
        <v>https://www.mprnews.org/story/2021/02/15/2-people-found-shot-dead-inside-car-in-south-minneapolis https://www.kare11.com/article/news/local/two-killed-minneapolis-shooting-2-14-21/89-f6d405fc-4b38-4e01-86de-60b6674ee768</v>
      </c>
      <c r="L631" s="5">
        <f ca="1">IFERROR(__xludf.DUMMYFUNCTION("""COMPUTED_VALUE"""),2)</f>
        <v>2</v>
      </c>
      <c r="M631" s="5" t="str">
        <f ca="1">IFERROR(__xludf.DUMMYFUNCTION("""COMPUTED_VALUE"""),"Local")</f>
        <v>Local</v>
      </c>
      <c r="N631" s="5">
        <f ca="1">IFERROR(__xludf.DUMMYFUNCTION("""COMPUTED_VALUE"""),3)</f>
        <v>3</v>
      </c>
      <c r="O631" s="5" t="str">
        <f ca="1">IFERROR(__xludf.DUMMYFUNCTION("""COMPUTED_VALUE"""),"Winter")</f>
        <v>Winter</v>
      </c>
      <c r="P631" s="5" t="str">
        <f ca="1">IFERROR(__xludf.DUMMYFUNCTION("""COMPUTED_VALUE"""),"Minneapolis")</f>
        <v>Minneapolis</v>
      </c>
      <c r="Q631" s="5" t="str">
        <f ca="1">IFERROR(__xludf.DUMMYFUNCTION("""COMPUTED_VALUE"""),"MN")</f>
        <v>MN</v>
      </c>
      <c r="R631" s="5" t="str">
        <f ca="1">IFERROR(__xludf.DUMMYFUNCTION("""COMPUTED_VALUE"""),"High")</f>
        <v>High</v>
      </c>
      <c r="S631" s="5" t="str">
        <f ca="1">IFERROR(__xludf.DUMMYFUNCTION("""COMPUTED_VALUE"""),"Front of School")</f>
        <v>Front of School</v>
      </c>
      <c r="T631" s="5" t="str">
        <f ca="1">IFERROR(__xludf.DUMMYFUNCTION("""COMPUTED_VALUE"""),"Outside on School Property")</f>
        <v>Outside on School Property</v>
      </c>
      <c r="U631" s="5" t="str">
        <f ca="1">IFERROR(__xludf.DUMMYFUNCTION("""COMPUTED_VALUE"""),"No")</f>
        <v>No</v>
      </c>
      <c r="V631" s="5" t="str">
        <f ca="1">IFERROR(__xludf.DUMMYFUNCTION("""COMPUTED_VALUE"""),"Night")</f>
        <v>Night</v>
      </c>
      <c r="W631" s="10">
        <f ca="1">IFERROR(__xludf.DUMMYFUNCTION("""COMPUTED_VALUE"""),0.9375)</f>
        <v>0.9375</v>
      </c>
      <c r="X631" s="5">
        <f ca="1">IFERROR(__xludf.DUMMYFUNCTION("""COMPUTED_VALUE"""),1)</f>
        <v>1</v>
      </c>
      <c r="Y631" s="5" t="str">
        <f ca="1">IFERROR(__xludf.DUMMYFUNCTION("""COMPUTED_VALUE"""),"Two adults found fatally shot inside car in front of the school")</f>
        <v>Two adults found fatally shot inside car in front of the school</v>
      </c>
      <c r="Z631" s="5" t="str">
        <f ca="1">IFERROR(__xludf.DUMMYFUNCTION("""COMPUTED_VALUE"""),"Two adults were found fatally shot inside a car that was stopped on top of the curb in front of the school building. A third person in the car was not shot and suffered minor injuries. Shooter fled. Motive unknown.")</f>
        <v>Two adults were found fatally shot inside a car that was stopped on top of the curb in front of the school building. A third person in the car was not shot and suffered minor injuries. Shooter fled. Motive unknown.</v>
      </c>
      <c r="AA631" s="5"/>
      <c r="AB631" s="5" t="str">
        <f ca="1">IFERROR(__xludf.DUMMYFUNCTION("""COMPUTED_VALUE"""),"Victims Targeted")</f>
        <v>Victims Targeted</v>
      </c>
      <c r="AC631" s="5"/>
      <c r="AD631" s="5" t="str">
        <f ca="1">IFERROR(__xludf.DUMMYFUNCTION("""COMPUTED_VALUE"""),"No")</f>
        <v>No</v>
      </c>
      <c r="AE631" s="5" t="str">
        <f ca="1">IFERROR(__xludf.DUMMYFUNCTION("""COMPUTED_VALUE"""),"No")</f>
        <v>No</v>
      </c>
      <c r="AF631" s="5" t="str">
        <f ca="1">IFERROR(__xludf.DUMMYFUNCTION("""COMPUTED_VALUE"""),"No")</f>
        <v>No</v>
      </c>
      <c r="AG631" s="5" t="str">
        <f ca="1">IFERROR(__xludf.DUMMYFUNCTION("""COMPUTED_VALUE"""),"No")</f>
        <v>No</v>
      </c>
      <c r="AH631" s="5"/>
      <c r="AI631" s="5"/>
      <c r="AJ631" s="5" t="str">
        <f ca="1">IFERROR(__xludf.DUMMYFUNCTION("""COMPUTED_VALUE"""),"No")</f>
        <v>No</v>
      </c>
    </row>
    <row r="632" spans="1:36" ht="13">
      <c r="A632" s="5" t="str">
        <f ca="1">IFERROR(__xludf.DUMMYFUNCTION("""COMPUTED_VALUE"""),"20210210LASTS")</f>
        <v>20210210LASTS</v>
      </c>
      <c r="B632" s="5">
        <f ca="1">IFERROR(__xludf.DUMMYFUNCTION("""COMPUTED_VALUE"""),2)</f>
        <v>2</v>
      </c>
      <c r="C632" s="5">
        <f ca="1">IFERROR(__xludf.DUMMYFUNCTION("""COMPUTED_VALUE"""),10)</f>
        <v>10</v>
      </c>
      <c r="D632" s="5">
        <f ca="1">IFERROR(__xludf.DUMMYFUNCTION("""COMPUTED_VALUE"""),2021)</f>
        <v>2021</v>
      </c>
      <c r="E632" s="8">
        <f ca="1">IFERROR(__xludf.DUMMYFUNCTION("""COMPUTED_VALUE"""),44237)</f>
        <v>44237</v>
      </c>
      <c r="F632" s="5" t="str">
        <f ca="1">IFERROR(__xludf.DUMMYFUNCTION("""COMPUTED_VALUE"""),"St. Martinville Head Start Center")</f>
        <v>St. Martinville Head Start Center</v>
      </c>
      <c r="G632" s="5">
        <f ca="1">IFERROR(__xludf.DUMMYFUNCTION("""COMPUTED_VALUE"""),0)</f>
        <v>0</v>
      </c>
      <c r="H632" s="5">
        <f ca="1">IFERROR(__xludf.DUMMYFUNCTION("""COMPUTED_VALUE"""),0)</f>
        <v>0</v>
      </c>
      <c r="I632" s="5">
        <f ca="1">IFERROR(__xludf.DUMMYFUNCTION("""COMPUTED_VALUE"""),0)</f>
        <v>0</v>
      </c>
      <c r="J632" s="5">
        <f ca="1">IFERROR(__xludf.DUMMYFUNCTION("""COMPUTED_VALUE"""),0)</f>
        <v>0</v>
      </c>
      <c r="K632" s="5" t="str">
        <f ca="1">IFERROR(__xludf.DUMMYFUNCTION("""COMPUTED_VALUE"""),"https://www.theadvocate.com/acadiana/news/crime_police/article_e051908c-6bda-11eb-804c-5ff7cfc02f95.html https://www.klfy.com/st-martin-parish/preschool-caught-in-crossfire-is-part-of-troubling-trend/ https://www.klfy.com/st-martin-parish/stray-bullet-alm"&amp;"ost-strikes-head-start-student-in-st-martinville-school-placed-on-lockdown/ https://wreg.com/news/stray-bullet-shatters-plate-in-preschoolers-hands-miraculously-missing-him/")</f>
        <v>https://www.theadvocate.com/acadiana/news/crime_police/article_e051908c-6bda-11eb-804c-5ff7cfc02f95.html https://www.klfy.com/st-martin-parish/preschool-caught-in-crossfire-is-part-of-troubling-trend/ https://www.klfy.com/st-martin-parish/stray-bullet-almost-strikes-head-start-student-in-st-martinville-school-placed-on-lockdown/ https://wreg.com/news/stray-bullet-shatters-plate-in-preschoolers-hands-miraculously-missing-him/</v>
      </c>
      <c r="L632" s="5">
        <f ca="1">IFERROR(__xludf.DUMMYFUNCTION("""COMPUTED_VALUE"""),4)</f>
        <v>4</v>
      </c>
      <c r="M632" s="5" t="str">
        <f ca="1">IFERROR(__xludf.DUMMYFUNCTION("""COMPUTED_VALUE"""),"Local")</f>
        <v>Local</v>
      </c>
      <c r="N632" s="5">
        <f ca="1">IFERROR(__xludf.DUMMYFUNCTION("""COMPUTED_VALUE"""),4)</f>
        <v>4</v>
      </c>
      <c r="O632" s="5" t="str">
        <f ca="1">IFERROR(__xludf.DUMMYFUNCTION("""COMPUTED_VALUE"""),"Winter")</f>
        <v>Winter</v>
      </c>
      <c r="P632" s="5" t="str">
        <f ca="1">IFERROR(__xludf.DUMMYFUNCTION("""COMPUTED_VALUE"""),"St. Martinville")</f>
        <v>St. Martinville</v>
      </c>
      <c r="Q632" s="5" t="str">
        <f ca="1">IFERROR(__xludf.DUMMYFUNCTION("""COMPUTED_VALUE"""),"LA")</f>
        <v>LA</v>
      </c>
      <c r="R632" s="5" t="str">
        <f ca="1">IFERROR(__xludf.DUMMYFUNCTION("""COMPUTED_VALUE"""),"Other")</f>
        <v>Other</v>
      </c>
      <c r="S632" s="5" t="str">
        <f ca="1">IFERROR(__xludf.DUMMYFUNCTION("""COMPUTED_VALUE"""),"Cafeteria")</f>
        <v>Cafeteria</v>
      </c>
      <c r="T632" s="5" t="str">
        <f ca="1">IFERROR(__xludf.DUMMYFUNCTION("""COMPUTED_VALUE"""),"Inside School Building")</f>
        <v>Inside School Building</v>
      </c>
      <c r="U632" s="5" t="str">
        <f ca="1">IFERROR(__xludf.DUMMYFUNCTION("""COMPUTED_VALUE"""),"Yes")</f>
        <v>Yes</v>
      </c>
      <c r="V632" s="5" t="str">
        <f ca="1">IFERROR(__xludf.DUMMYFUNCTION("""COMPUTED_VALUE"""),"Lunch")</f>
        <v>Lunch</v>
      </c>
      <c r="W632" s="10">
        <f ca="1">IFERROR(__xludf.DUMMYFUNCTION("""COMPUTED_VALUE"""),0.502777777777777)</f>
        <v>0.50277777777777699</v>
      </c>
      <c r="X632" s="5">
        <f ca="1">IFERROR(__xludf.DUMMYFUNCTION("""COMPUTED_VALUE"""),1)</f>
        <v>1</v>
      </c>
      <c r="Y632" s="5" t="str">
        <f ca="1">IFERROR(__xludf.DUMMYFUNCTION("""COMPUTED_VALUE"""),"Bullet from drive-by struck plate child was holding in cafeteria")</f>
        <v>Bullet from drive-by struck plate child was holding in cafeteria</v>
      </c>
      <c r="Z632" s="5" t="str">
        <f ca="1">IFERROR(__xludf.DUMMYFUNCTION("""COMPUTED_VALUE"""),"A bullet fired during a drive-by shooting went through the wall of the school and struck a plate that a 4-year-old student was holding in the cafeteria. The victim had cuts from the broken plate but was not struck by the bullet. Shooter fled the area.")</f>
        <v>A bullet fired during a drive-by shooting went through the wall of the school and struck a plate that a 4-year-old student was holding in the cafeteria. The victim had cuts from the broken plate but was not struck by the bullet. Shooter fled the area.</v>
      </c>
      <c r="AA632" s="5" t="str">
        <f ca="1">IFERROR(__xludf.DUMMYFUNCTION("""COMPUTED_VALUE"""),"Drive-by Shooting")</f>
        <v>Drive-by Shooting</v>
      </c>
      <c r="AB632" s="5" t="str">
        <f ca="1">IFERROR(__xludf.DUMMYFUNCTION("""COMPUTED_VALUE"""),"Both")</f>
        <v>Both</v>
      </c>
      <c r="AC632" s="5" t="str">
        <f ca="1">IFERROR(__xludf.DUMMYFUNCTION("""COMPUTED_VALUE"""),"Yes")</f>
        <v>Yes</v>
      </c>
      <c r="AD632" s="5" t="str">
        <f ca="1">IFERROR(__xludf.DUMMYFUNCTION("""COMPUTED_VALUE"""),"No")</f>
        <v>No</v>
      </c>
      <c r="AE632" s="5" t="str">
        <f ca="1">IFERROR(__xludf.DUMMYFUNCTION("""COMPUTED_VALUE"""),"No")</f>
        <v>No</v>
      </c>
      <c r="AF632" s="5" t="str">
        <f ca="1">IFERROR(__xludf.DUMMYFUNCTION("""COMPUTED_VALUE"""),"No")</f>
        <v>No</v>
      </c>
      <c r="AG632" s="5" t="str">
        <f ca="1">IFERROR(__xludf.DUMMYFUNCTION("""COMPUTED_VALUE"""),"No")</f>
        <v>No</v>
      </c>
      <c r="AH632" s="5" t="str">
        <f ca="1">IFERROR(__xludf.DUMMYFUNCTION("""COMPUTED_VALUE"""),"No")</f>
        <v>No</v>
      </c>
      <c r="AI632" s="5" t="str">
        <f ca="1">IFERROR(__xludf.DUMMYFUNCTION("""COMPUTED_VALUE"""),"Yes")</f>
        <v>Yes</v>
      </c>
      <c r="AJ632" s="5" t="str">
        <f ca="1">IFERROR(__xludf.DUMMYFUNCTION("""COMPUTED_VALUE"""),"No")</f>
        <v>No</v>
      </c>
    </row>
    <row r="633" spans="1:36" ht="13">
      <c r="A633" s="5" t="str">
        <f ca="1">IFERROR(__xludf.DUMMYFUNCTION("""COMPUTED_VALUE"""),"20210210TXFOF")</f>
        <v>20210210TXFOF</v>
      </c>
      <c r="B633" s="5">
        <f ca="1">IFERROR(__xludf.DUMMYFUNCTION("""COMPUTED_VALUE"""),2)</f>
        <v>2</v>
      </c>
      <c r="C633" s="5">
        <f ca="1">IFERROR(__xludf.DUMMYFUNCTION("""COMPUTED_VALUE"""),10)</f>
        <v>10</v>
      </c>
      <c r="D633" s="5">
        <f ca="1">IFERROR(__xludf.DUMMYFUNCTION("""COMPUTED_VALUE"""),2021)</f>
        <v>2021</v>
      </c>
      <c r="E633" s="8">
        <f ca="1">IFERROR(__xludf.DUMMYFUNCTION("""COMPUTED_VALUE"""),44237)</f>
        <v>44237</v>
      </c>
      <c r="F633" s="5" t="str">
        <f ca="1">IFERROR(__xludf.DUMMYFUNCTION("""COMPUTED_VALUE"""),"Forest Oak Middle School")</f>
        <v>Forest Oak Middle School</v>
      </c>
      <c r="G633" s="5">
        <f ca="1">IFERROR(__xludf.DUMMYFUNCTION("""COMPUTED_VALUE"""),1)</f>
        <v>1</v>
      </c>
      <c r="H633" s="5">
        <f ca="1">IFERROR(__xludf.DUMMYFUNCTION("""COMPUTED_VALUE"""),0)</f>
        <v>0</v>
      </c>
      <c r="I633" s="5">
        <f ca="1">IFERROR(__xludf.DUMMYFUNCTION("""COMPUTED_VALUE"""),1)</f>
        <v>1</v>
      </c>
      <c r="J633" s="5">
        <f ca="1">IFERROR(__xludf.DUMMYFUNCTION("""COMPUTED_VALUE"""),0)</f>
        <v>0</v>
      </c>
      <c r="K633" s="5" t="str">
        <f ca="1">IFERROR(__xludf.DUMMYFUNCTION("""COMPUTED_VALUE"""),"https://www.nbcdfw.com/news/local/police-investigate-fatal-overnight-shooting-in-south-fort-worth/2548121/ https://www.wfaa.com/article/news/crime/man-found-shot-inside-vehicle-across-from-fort-worth-middle-school-police-say/287-ef294a6e-4503-4b98-9b35-aa"&amp;"19d0403717 https://www.fox4news.com/news/man-shot-to-death-near-middle-school-in-fort-worth https://www.star-telegram.com/news/local/fort-worth/article249145335.html")</f>
        <v>https://www.nbcdfw.com/news/local/police-investigate-fatal-overnight-shooting-in-south-fort-worth/2548121/ https://www.wfaa.com/article/news/crime/man-found-shot-inside-vehicle-across-from-fort-worth-middle-school-police-say/287-ef294a6e-4503-4b98-9b35-aa19d0403717 https://www.fox4news.com/news/man-shot-to-death-near-middle-school-in-fort-worth https://www.star-telegram.com/news/local/fort-worth/article249145335.html</v>
      </c>
      <c r="L633" s="5">
        <f ca="1">IFERROR(__xludf.DUMMYFUNCTION("""COMPUTED_VALUE"""),3)</f>
        <v>3</v>
      </c>
      <c r="M633" s="5" t="str">
        <f ca="1">IFERROR(__xludf.DUMMYFUNCTION("""COMPUTED_VALUE"""),"Local")</f>
        <v>Local</v>
      </c>
      <c r="N633" s="5">
        <f ca="1">IFERROR(__xludf.DUMMYFUNCTION("""COMPUTED_VALUE"""),4)</f>
        <v>4</v>
      </c>
      <c r="O633" s="5" t="str">
        <f ca="1">IFERROR(__xludf.DUMMYFUNCTION("""COMPUTED_VALUE"""),"Winter")</f>
        <v>Winter</v>
      </c>
      <c r="P633" s="5" t="str">
        <f ca="1">IFERROR(__xludf.DUMMYFUNCTION("""COMPUTED_VALUE"""),"Fort Worth")</f>
        <v>Fort Worth</v>
      </c>
      <c r="Q633" s="5" t="str">
        <f ca="1">IFERROR(__xludf.DUMMYFUNCTION("""COMPUTED_VALUE"""),"TX")</f>
        <v>TX</v>
      </c>
      <c r="R633" s="5" t="str">
        <f ca="1">IFERROR(__xludf.DUMMYFUNCTION("""COMPUTED_VALUE"""),"Middle")</f>
        <v>Middle</v>
      </c>
      <c r="S633" s="5" t="str">
        <f ca="1">IFERROR(__xludf.DUMMYFUNCTION("""COMPUTED_VALUE"""),"Front of School")</f>
        <v>Front of School</v>
      </c>
      <c r="T633" s="5" t="str">
        <f ca="1">IFERROR(__xludf.DUMMYFUNCTION("""COMPUTED_VALUE"""),"Outside on School Property")</f>
        <v>Outside on School Property</v>
      </c>
      <c r="U633" s="5" t="str">
        <f ca="1">IFERROR(__xludf.DUMMYFUNCTION("""COMPUTED_VALUE"""),"No")</f>
        <v>No</v>
      </c>
      <c r="V633" s="5" t="str">
        <f ca="1">IFERROR(__xludf.DUMMYFUNCTION("""COMPUTED_VALUE"""),"Night")</f>
        <v>Night</v>
      </c>
      <c r="W633" s="10">
        <f ca="1">IFERROR(__xludf.DUMMYFUNCTION("""COMPUTED_VALUE"""),0.0208333333333333)</f>
        <v>2.0833333333333301E-2</v>
      </c>
      <c r="X633" s="5">
        <f ca="1">IFERROR(__xludf.DUMMYFUNCTION("""COMPUTED_VALUE"""),1)</f>
        <v>1</v>
      </c>
      <c r="Y633" s="5" t="str">
        <f ca="1">IFERROR(__xludf.DUMMYFUNCTION("""COMPUTED_VALUE"""),"Adult male shot to death in vehicle in front of school")</f>
        <v>Adult male shot to death in vehicle in front of school</v>
      </c>
      <c r="Z633" s="5" t="str">
        <f ca="1">IFERROR(__xludf.DUMMYFUNCTION("""COMPUTED_VALUE"""),"Police were called for a gun shot victim in front of the school. Officers found an adult male in a vehicle fatally shot multiple times. The vehicle had gone off the road and stopped in front of the school. Shell casings were found along the street next to"&amp;" the school. Suspect fled the scene.")</f>
        <v>Police were called for a gun shot victim in front of the school. Officers found an adult male in a vehicle fatally shot multiple times. The vehicle had gone off the road and stopped in front of the school. Shell casings were found along the street next to the school. Suspect fled the scene.</v>
      </c>
      <c r="AA633" s="5"/>
      <c r="AB633" s="5" t="str">
        <f ca="1">IFERROR(__xludf.DUMMYFUNCTION("""COMPUTED_VALUE"""),"Victims Targeted")</f>
        <v>Victims Targeted</v>
      </c>
      <c r="AC633" s="5"/>
      <c r="AD633" s="5" t="str">
        <f ca="1">IFERROR(__xludf.DUMMYFUNCTION("""COMPUTED_VALUE"""),"No")</f>
        <v>No</v>
      </c>
      <c r="AE633" s="5" t="str">
        <f ca="1">IFERROR(__xludf.DUMMYFUNCTION("""COMPUTED_VALUE"""),"No")</f>
        <v>No</v>
      </c>
      <c r="AF633" s="5" t="str">
        <f ca="1">IFERROR(__xludf.DUMMYFUNCTION("""COMPUTED_VALUE"""),"No")</f>
        <v>No</v>
      </c>
      <c r="AG633" s="5" t="str">
        <f ca="1">IFERROR(__xludf.DUMMYFUNCTION("""COMPUTED_VALUE"""),"No")</f>
        <v>No</v>
      </c>
      <c r="AH633" s="5" t="str">
        <f ca="1">IFERROR(__xludf.DUMMYFUNCTION("""COMPUTED_VALUE"""),"No")</f>
        <v>No</v>
      </c>
      <c r="AI633" s="5"/>
      <c r="AJ633" s="5" t="str">
        <f ca="1">IFERROR(__xludf.DUMMYFUNCTION("""COMPUTED_VALUE"""),"No")</f>
        <v>No</v>
      </c>
    </row>
    <row r="634" spans="1:36" ht="13">
      <c r="A634" s="5" t="str">
        <f ca="1">IFERROR(__xludf.DUMMYFUNCTION("""COMPUTED_VALUE"""),"20210210NJSCP")</f>
        <v>20210210NJSCP</v>
      </c>
      <c r="B634" s="5">
        <f ca="1">IFERROR(__xludf.DUMMYFUNCTION("""COMPUTED_VALUE"""),2)</f>
        <v>2</v>
      </c>
      <c r="C634" s="5">
        <f ca="1">IFERROR(__xludf.DUMMYFUNCTION("""COMPUTED_VALUE"""),10)</f>
        <v>10</v>
      </c>
      <c r="D634" s="5">
        <f ca="1">IFERROR(__xludf.DUMMYFUNCTION("""COMPUTED_VALUE"""),2021)</f>
        <v>2021</v>
      </c>
      <c r="E634" s="8">
        <f ca="1">IFERROR(__xludf.DUMMYFUNCTION("""COMPUTED_VALUE"""),44237)</f>
        <v>44237</v>
      </c>
      <c r="F634" s="5" t="str">
        <f ca="1">IFERROR(__xludf.DUMMYFUNCTION("""COMPUTED_VALUE"""),"School Number 15")</f>
        <v>School Number 15</v>
      </c>
      <c r="G634" s="5">
        <f ca="1">IFERROR(__xludf.DUMMYFUNCTION("""COMPUTED_VALUE"""),1)</f>
        <v>1</v>
      </c>
      <c r="H634" s="5">
        <f ca="1">IFERROR(__xludf.DUMMYFUNCTION("""COMPUTED_VALUE"""),0)</f>
        <v>0</v>
      </c>
      <c r="I634" s="5">
        <f ca="1">IFERROR(__xludf.DUMMYFUNCTION("""COMPUTED_VALUE"""),1)</f>
        <v>1</v>
      </c>
      <c r="J634" s="5">
        <f ca="1">IFERROR(__xludf.DUMMYFUNCTION("""COMPUTED_VALUE"""),0)</f>
        <v>0</v>
      </c>
      <c r="K634" s="5" t="str">
        <f ca="1">IFERROR(__xludf.DUMMYFUNCTION("""COMPUTED_VALUE"""),"https://www.nj.com/passaic-county/2021/09/man-charged-with-murder-of-woman-found-dead-near-school-parking-lot-police-say.html https://dailyvoice.com/new-jersey/southpassaic/news/update-who-gunned-down-hawthorne-woman-41-outside-paterson-school/803277/ htt"&amp;"ps://www.newsbreak.com/new-jersey/paterson/safety/2161349358577/hawthorne-woman-shot-several-times-in-paterson https://dailyvoice.com/new-jersey/fairlawn/news/hawthorne-woman-shot-several-times-in-paterson/803050/")</f>
        <v>https://www.nj.com/passaic-county/2021/09/man-charged-with-murder-of-woman-found-dead-near-school-parking-lot-police-say.html https://dailyvoice.com/new-jersey/southpassaic/news/update-who-gunned-down-hawthorne-woman-41-outside-paterson-school/803277/ https://www.newsbreak.com/new-jersey/paterson/safety/2161349358577/hawthorne-woman-shot-several-times-in-paterson https://dailyvoice.com/new-jersey/fairlawn/news/hawthorne-woman-shot-several-times-in-paterson/803050/</v>
      </c>
      <c r="L634" s="5">
        <f ca="1">IFERROR(__xludf.DUMMYFUNCTION("""COMPUTED_VALUE"""),4)</f>
        <v>4</v>
      </c>
      <c r="M634" s="5" t="str">
        <f ca="1">IFERROR(__xludf.DUMMYFUNCTION("""COMPUTED_VALUE"""),"Local")</f>
        <v>Local</v>
      </c>
      <c r="N634" s="5">
        <f ca="1">IFERROR(__xludf.DUMMYFUNCTION("""COMPUTED_VALUE"""),4)</f>
        <v>4</v>
      </c>
      <c r="O634" s="5" t="str">
        <f ca="1">IFERROR(__xludf.DUMMYFUNCTION("""COMPUTED_VALUE"""),"Winter")</f>
        <v>Winter</v>
      </c>
      <c r="P634" s="5" t="str">
        <f ca="1">IFERROR(__xludf.DUMMYFUNCTION("""COMPUTED_VALUE"""),"Paterson")</f>
        <v>Paterson</v>
      </c>
      <c r="Q634" s="5" t="str">
        <f ca="1">IFERROR(__xludf.DUMMYFUNCTION("""COMPUTED_VALUE"""),"NJ")</f>
        <v>NJ</v>
      </c>
      <c r="R634" s="5" t="str">
        <f ca="1">IFERROR(__xludf.DUMMYFUNCTION("""COMPUTED_VALUE"""),"Elementary")</f>
        <v>Elementary</v>
      </c>
      <c r="S634" s="5" t="str">
        <f ca="1">IFERROR(__xludf.DUMMYFUNCTION("""COMPUTED_VALUE"""),"Beside Building")</f>
        <v>Beside Building</v>
      </c>
      <c r="T634" s="5" t="str">
        <f ca="1">IFERROR(__xludf.DUMMYFUNCTION("""COMPUTED_VALUE"""),"Outside on School Property")</f>
        <v>Outside on School Property</v>
      </c>
      <c r="U634" s="5" t="str">
        <f ca="1">IFERROR(__xludf.DUMMYFUNCTION("""COMPUTED_VALUE"""),"No")</f>
        <v>No</v>
      </c>
      <c r="V634" s="5" t="str">
        <f ca="1">IFERROR(__xludf.DUMMYFUNCTION("""COMPUTED_VALUE"""),"Night")</f>
        <v>Night</v>
      </c>
      <c r="W634" s="10">
        <f ca="1">IFERROR(__xludf.DUMMYFUNCTION("""COMPUTED_VALUE"""),0.0770833333333333)</f>
        <v>7.7083333333333295E-2</v>
      </c>
      <c r="X634" s="5">
        <f ca="1">IFERROR(__xludf.DUMMYFUNCTION("""COMPUTED_VALUE"""),1)</f>
        <v>1</v>
      </c>
      <c r="Y634" s="5" t="str">
        <f ca="1">IFERROR(__xludf.DUMMYFUNCTION("""COMPUTED_VALUE"""),"Woman shot multiple times next to school")</f>
        <v>Woman shot multiple times next to school</v>
      </c>
      <c r="Z634" s="5" t="str">
        <f ca="1">IFERROR(__xludf.DUMMYFUNCTION("""COMPUTED_VALUE"""),"A 41-year-old woman was shot multiple times next to the school. Shooter fled the scene. Motive unknown. Victim transported to the hospital in critical condition.")</f>
        <v>A 41-year-old woman was shot multiple times next to the school. Shooter fled the scene. Motive unknown. Victim transported to the hospital in critical condition.</v>
      </c>
      <c r="AA634" s="5"/>
      <c r="AB634" s="5" t="str">
        <f ca="1">IFERROR(__xludf.DUMMYFUNCTION("""COMPUTED_VALUE"""),"Victims Targeted")</f>
        <v>Victims Targeted</v>
      </c>
      <c r="AC634" s="5"/>
      <c r="AD634" s="5" t="str">
        <f ca="1">IFERROR(__xludf.DUMMYFUNCTION("""COMPUTED_VALUE"""),"No")</f>
        <v>No</v>
      </c>
      <c r="AE634" s="5" t="str">
        <f ca="1">IFERROR(__xludf.DUMMYFUNCTION("""COMPUTED_VALUE"""),"No")</f>
        <v>No</v>
      </c>
      <c r="AF634" s="5" t="str">
        <f ca="1">IFERROR(__xludf.DUMMYFUNCTION("""COMPUTED_VALUE"""),"No")</f>
        <v>No</v>
      </c>
      <c r="AG634" s="5" t="str">
        <f ca="1">IFERROR(__xludf.DUMMYFUNCTION("""COMPUTED_VALUE"""),"No")</f>
        <v>No</v>
      </c>
      <c r="AH634" s="5"/>
      <c r="AI634" s="5"/>
      <c r="AJ634" s="5" t="str">
        <f ca="1">IFERROR(__xludf.DUMMYFUNCTION("""COMPUTED_VALUE"""),"No")</f>
        <v>No</v>
      </c>
    </row>
    <row r="635" spans="1:36" ht="13">
      <c r="A635" s="5" t="str">
        <f ca="1">IFERROR(__xludf.DUMMYFUNCTION("""COMPUTED_VALUE"""),"20210208MISCG")</f>
        <v>20210208MISCG</v>
      </c>
      <c r="B635" s="5">
        <f ca="1">IFERROR(__xludf.DUMMYFUNCTION("""COMPUTED_VALUE"""),2)</f>
        <v>2</v>
      </c>
      <c r="C635" s="5">
        <f ca="1">IFERROR(__xludf.DUMMYFUNCTION("""COMPUTED_VALUE"""),8)</f>
        <v>8</v>
      </c>
      <c r="D635" s="5">
        <f ca="1">IFERROR(__xludf.DUMMYFUNCTION("""COMPUTED_VALUE"""),2021)</f>
        <v>2021</v>
      </c>
      <c r="E635" s="8">
        <f ca="1">IFERROR(__xludf.DUMMYFUNCTION("""COMPUTED_VALUE"""),44235)</f>
        <v>44235</v>
      </c>
      <c r="F635" s="5" t="str">
        <f ca="1">IFERROR(__xludf.DUMMYFUNCTION("""COMPUTED_VALUE"""),"School Bus")</f>
        <v>School Bus</v>
      </c>
      <c r="G635" s="5">
        <f ca="1">IFERROR(__xludf.DUMMYFUNCTION("""COMPUTED_VALUE"""),0)</f>
        <v>0</v>
      </c>
      <c r="H635" s="5">
        <f ca="1">IFERROR(__xludf.DUMMYFUNCTION("""COMPUTED_VALUE"""),0)</f>
        <v>0</v>
      </c>
      <c r="I635" s="5">
        <f ca="1">IFERROR(__xludf.DUMMYFUNCTION("""COMPUTED_VALUE"""),0)</f>
        <v>0</v>
      </c>
      <c r="J635" s="5">
        <f ca="1">IFERROR(__xludf.DUMMYFUNCTION("""COMPUTED_VALUE"""),0)</f>
        <v>0</v>
      </c>
      <c r="K635" s="5" t="str">
        <f ca="1">IFERROR(__xludf.DUMMYFUNCTION("""COMPUTED_VALUE"""),"https://www.fox17online.com/news/local-news/grand-rapids/grpd-responds-to-shooting-with-school-bus-caught-in-crossfire https://www.woodtv.com/news/grand-rapids/school-bus-shot-at-in-grand-rapids-no-injuries-reported/ http://cw7michigan.com/news/local/bull"&amp;"et-hits-grand-rapids-school-bus https://www.mlive.com/news/grand-rapids/2021/02/school-bus-hit-in-crossfire-during-drive-by-shooting-in-grand-rapids.html")</f>
        <v>https://www.fox17online.com/news/local-news/grand-rapids/grpd-responds-to-shooting-with-school-bus-caught-in-crossfire https://www.woodtv.com/news/grand-rapids/school-bus-shot-at-in-grand-rapids-no-injuries-reported/ http://cw7michigan.com/news/local/bullet-hits-grand-rapids-school-bus https://www.mlive.com/news/grand-rapids/2021/02/school-bus-hit-in-crossfire-during-drive-by-shooting-in-grand-rapids.html</v>
      </c>
      <c r="L635" s="5">
        <f ca="1">IFERROR(__xludf.DUMMYFUNCTION("""COMPUTED_VALUE"""),4)</f>
        <v>4</v>
      </c>
      <c r="M635" s="5" t="str">
        <f ca="1">IFERROR(__xludf.DUMMYFUNCTION("""COMPUTED_VALUE"""),"Local")</f>
        <v>Local</v>
      </c>
      <c r="N635" s="5">
        <f ca="1">IFERROR(__xludf.DUMMYFUNCTION("""COMPUTED_VALUE"""),4)</f>
        <v>4</v>
      </c>
      <c r="O635" s="5" t="str">
        <f ca="1">IFERROR(__xludf.DUMMYFUNCTION("""COMPUTED_VALUE"""),"Winter")</f>
        <v>Winter</v>
      </c>
      <c r="P635" s="5" t="str">
        <f ca="1">IFERROR(__xludf.DUMMYFUNCTION("""COMPUTED_VALUE"""),"Grand Rapids")</f>
        <v>Grand Rapids</v>
      </c>
      <c r="Q635" s="5" t="str">
        <f ca="1">IFERROR(__xludf.DUMMYFUNCTION("""COMPUTED_VALUE"""),"MI")</f>
        <v>MI</v>
      </c>
      <c r="R635" s="5"/>
      <c r="S635" s="5" t="str">
        <f ca="1">IFERROR(__xludf.DUMMYFUNCTION("""COMPUTED_VALUE"""),"School Bus")</f>
        <v>School Bus</v>
      </c>
      <c r="T635" s="5" t="str">
        <f ca="1">IFERROR(__xludf.DUMMYFUNCTION("""COMPUTED_VALUE"""),"School Bus")</f>
        <v>School Bus</v>
      </c>
      <c r="U635" s="5" t="str">
        <f ca="1">IFERROR(__xludf.DUMMYFUNCTION("""COMPUTED_VALUE"""),"Yes")</f>
        <v>Yes</v>
      </c>
      <c r="V635" s="5" t="str">
        <f ca="1">IFERROR(__xludf.DUMMYFUNCTION("""COMPUTED_VALUE"""),"Dismissal")</f>
        <v>Dismissal</v>
      </c>
      <c r="W635" s="10">
        <f ca="1">IFERROR(__xludf.DUMMYFUNCTION("""COMPUTED_VALUE"""),0.664583333333333)</f>
        <v>0.66458333333333297</v>
      </c>
      <c r="X635" s="5">
        <f ca="1">IFERROR(__xludf.DUMMYFUNCTION("""COMPUTED_VALUE"""),1)</f>
        <v>1</v>
      </c>
      <c r="Y635" s="5" t="str">
        <f ca="1">IFERROR(__xludf.DUMMYFUNCTION("""COMPUTED_VALUE"""),"School bus struck by bullet fired from another vehicle")</f>
        <v>School bus struck by bullet fired from another vehicle</v>
      </c>
      <c r="Z635" s="5" t="str">
        <f ca="1">IFERROR(__xludf.DUMMYFUNCTION("""COMPUTED_VALUE"""),"A school bus was caught in the cross fire of a person firing from a moving vehicle at another vehicle. One student was on the bus and was not injured. A police officer in his personal vehicle witnessed the shooting but was not able to stop the suspect who"&amp;" fled the scene.")</f>
        <v>A school bus was caught in the cross fire of a person firing from a moving vehicle at another vehicle. One student was on the bus and was not injured. A police officer in his personal vehicle witnessed the shooting but was not able to stop the suspect who fled the scene.</v>
      </c>
      <c r="AA635" s="5" t="str">
        <f ca="1">IFERROR(__xludf.DUMMYFUNCTION("""COMPUTED_VALUE"""),"Drive-by Shooting")</f>
        <v>Drive-by Shooting</v>
      </c>
      <c r="AB635" s="5" t="str">
        <f ca="1">IFERROR(__xludf.DUMMYFUNCTION("""COMPUTED_VALUE"""),"Victims Targeted")</f>
        <v>Victims Targeted</v>
      </c>
      <c r="AC635" s="5"/>
      <c r="AD635" s="5" t="str">
        <f ca="1">IFERROR(__xludf.DUMMYFUNCTION("""COMPUTED_VALUE"""),"No")</f>
        <v>No</v>
      </c>
      <c r="AE635" s="5" t="str">
        <f ca="1">IFERROR(__xludf.DUMMYFUNCTION("""COMPUTED_VALUE"""),"No")</f>
        <v>No</v>
      </c>
      <c r="AF635" s="5" t="str">
        <f ca="1">IFERROR(__xludf.DUMMYFUNCTION("""COMPUTED_VALUE"""),"No")</f>
        <v>No</v>
      </c>
      <c r="AG635" s="5" t="str">
        <f ca="1">IFERROR(__xludf.DUMMYFUNCTION("""COMPUTED_VALUE"""),"No")</f>
        <v>No</v>
      </c>
      <c r="AH635" s="5" t="str">
        <f ca="1">IFERROR(__xludf.DUMMYFUNCTION("""COMPUTED_VALUE"""),"No")</f>
        <v>No</v>
      </c>
      <c r="AI635" s="5"/>
      <c r="AJ635" s="5" t="str">
        <f ca="1">IFERROR(__xludf.DUMMYFUNCTION("""COMPUTED_VALUE"""),"No")</f>
        <v>No</v>
      </c>
    </row>
    <row r="636" spans="1:36" ht="13">
      <c r="A636" s="5" t="str">
        <f ca="1">IFERROR(__xludf.DUMMYFUNCTION("""COMPUTED_VALUE"""),"20210205MDBEM")</f>
        <v>20210205MDBEM</v>
      </c>
      <c r="B636" s="5">
        <f ca="1">IFERROR(__xludf.DUMMYFUNCTION("""COMPUTED_VALUE"""),2)</f>
        <v>2</v>
      </c>
      <c r="C636" s="5">
        <f ca="1">IFERROR(__xludf.DUMMYFUNCTION("""COMPUTED_VALUE"""),5)</f>
        <v>5</v>
      </c>
      <c r="D636" s="5">
        <f ca="1">IFERROR(__xludf.DUMMYFUNCTION("""COMPUTED_VALUE"""),2021)</f>
        <v>2021</v>
      </c>
      <c r="E636" s="8">
        <f ca="1">IFERROR(__xludf.DUMMYFUNCTION("""COMPUTED_VALUE"""),44232)</f>
        <v>44232</v>
      </c>
      <c r="F636" s="5" t="str">
        <f ca="1">IFERROR(__xludf.DUMMYFUNCTION("""COMPUTED_VALUE"""),"Benjamin Stoddert Middle School")</f>
        <v>Benjamin Stoddert Middle School</v>
      </c>
      <c r="G636" s="5">
        <f ca="1">IFERROR(__xludf.DUMMYFUNCTION("""COMPUTED_VALUE"""),0)</f>
        <v>0</v>
      </c>
      <c r="H636" s="5">
        <f ca="1">IFERROR(__xludf.DUMMYFUNCTION("""COMPUTED_VALUE"""),1)</f>
        <v>1</v>
      </c>
      <c r="I636" s="5">
        <f ca="1">IFERROR(__xludf.DUMMYFUNCTION("""COMPUTED_VALUE"""),1)</f>
        <v>1</v>
      </c>
      <c r="J636" s="5">
        <f ca="1">IFERROR(__xludf.DUMMYFUNCTION("""COMPUTED_VALUE"""),0)</f>
        <v>0</v>
      </c>
      <c r="K636" s="5" t="str">
        <f ca="1">IFERROR(__xludf.DUMMYFUNCTION("""COMPUTED_VALUE"""),"https://southernmarylandchronicle.com/2021/02/06/police-investigating-shooting-behind-stoddert-middle-school-victim-recovering/ https://smnewsnet.com/archives/487029/police-investigating-male-shot-multiple-times-at-benjamin-stoddert-middle-school-in-waldo"&amp;"rf/")</f>
        <v>https://southernmarylandchronicle.com/2021/02/06/police-investigating-shooting-behind-stoddert-middle-school-victim-recovering/ https://smnewsnet.com/archives/487029/police-investigating-male-shot-multiple-times-at-benjamin-stoddert-middle-school-in-waldorf/</v>
      </c>
      <c r="L636" s="5">
        <f ca="1">IFERROR(__xludf.DUMMYFUNCTION("""COMPUTED_VALUE"""),2)</f>
        <v>2</v>
      </c>
      <c r="M636" s="5" t="str">
        <f ca="1">IFERROR(__xludf.DUMMYFUNCTION("""COMPUTED_VALUE"""),"Local")</f>
        <v>Local</v>
      </c>
      <c r="N636" s="5">
        <f ca="1">IFERROR(__xludf.DUMMYFUNCTION("""COMPUTED_VALUE"""),3)</f>
        <v>3</v>
      </c>
      <c r="O636" s="5" t="str">
        <f ca="1">IFERROR(__xludf.DUMMYFUNCTION("""COMPUTED_VALUE"""),"Winter")</f>
        <v>Winter</v>
      </c>
      <c r="P636" s="5" t="str">
        <f ca="1">IFERROR(__xludf.DUMMYFUNCTION("""COMPUTED_VALUE"""),"Marlow Heights")</f>
        <v>Marlow Heights</v>
      </c>
      <c r="Q636" s="5" t="str">
        <f ca="1">IFERROR(__xludf.DUMMYFUNCTION("""COMPUTED_VALUE"""),"MD")</f>
        <v>MD</v>
      </c>
      <c r="R636" s="5" t="str">
        <f ca="1">IFERROR(__xludf.DUMMYFUNCTION("""COMPUTED_VALUE"""),"Middle")</f>
        <v>Middle</v>
      </c>
      <c r="S636" s="5" t="str">
        <f ca="1">IFERROR(__xludf.DUMMYFUNCTION("""COMPUTED_VALUE"""),"Football Field/Track")</f>
        <v>Football Field/Track</v>
      </c>
      <c r="T636" s="5" t="str">
        <f ca="1">IFERROR(__xludf.DUMMYFUNCTION("""COMPUTED_VALUE"""),"Outside on School Property")</f>
        <v>Outside on School Property</v>
      </c>
      <c r="U636" s="5" t="str">
        <f ca="1">IFERROR(__xludf.DUMMYFUNCTION("""COMPUTED_VALUE"""),"No")</f>
        <v>No</v>
      </c>
      <c r="V636" s="5" t="str">
        <f ca="1">IFERROR(__xludf.DUMMYFUNCTION("""COMPUTED_VALUE"""),"Evening")</f>
        <v>Evening</v>
      </c>
      <c r="W636" s="10">
        <f ca="1">IFERROR(__xludf.DUMMYFUNCTION("""COMPUTED_VALUE"""),0.708333333333333)</f>
        <v>0.70833333333333304</v>
      </c>
      <c r="X636" s="5"/>
      <c r="Y636" s="5" t="str">
        <f ca="1">IFERROR(__xludf.DUMMYFUNCTION("""COMPUTED_VALUE"""),"Man shot near football field behind the school")</f>
        <v>Man shot near football field behind the school</v>
      </c>
      <c r="Z636" s="5" t="str">
        <f ca="1">IFERROR(__xludf.DUMMYFUNCTION("""COMPUTED_VALUE"""),"A police officer making a traffic stop heard gun shots fired behind the school. Police located an adult victim with multiple gunshot wounds at a gas station 1/4 mile from the school. Victim he was shot behind the school. Victim did not provide any other i"&amp;"nformation. Shooter fled the area.")</f>
        <v>A police officer making a traffic stop heard gun shots fired behind the school. Police located an adult victim with multiple gunshot wounds at a gas station 1/4 mile from the school. Victim he was shot behind the school. Victim did not provide any other information. Shooter fled the area.</v>
      </c>
      <c r="AA636" s="5"/>
      <c r="AB636" s="5" t="str">
        <f ca="1">IFERROR(__xludf.DUMMYFUNCTION("""COMPUTED_VALUE"""),"Victims Targeted")</f>
        <v>Victims Targeted</v>
      </c>
      <c r="AC636" s="5"/>
      <c r="AD636" s="5" t="str">
        <f ca="1">IFERROR(__xludf.DUMMYFUNCTION("""COMPUTED_VALUE"""),"No")</f>
        <v>No</v>
      </c>
      <c r="AE636" s="5" t="str">
        <f ca="1">IFERROR(__xludf.DUMMYFUNCTION("""COMPUTED_VALUE"""),"No")</f>
        <v>No</v>
      </c>
      <c r="AF636" s="5" t="str">
        <f ca="1">IFERROR(__xludf.DUMMYFUNCTION("""COMPUTED_VALUE"""),"No")</f>
        <v>No</v>
      </c>
      <c r="AG636" s="5" t="str">
        <f ca="1">IFERROR(__xludf.DUMMYFUNCTION("""COMPUTED_VALUE"""),"No")</f>
        <v>No</v>
      </c>
      <c r="AH636" s="5" t="str">
        <f ca="1">IFERROR(__xludf.DUMMYFUNCTION("""COMPUTED_VALUE"""),"No")</f>
        <v>No</v>
      </c>
      <c r="AI636" s="5"/>
      <c r="AJ636" s="5" t="str">
        <f ca="1">IFERROR(__xludf.DUMMYFUNCTION("""COMPUTED_VALUE"""),"No")</f>
        <v>No</v>
      </c>
    </row>
    <row r="637" spans="1:36" ht="13">
      <c r="A637" s="5" t="str">
        <f ca="1">IFERROR(__xludf.DUMMYFUNCTION("""COMPUTED_VALUE"""),"20210201MIMUD")</f>
        <v>20210201MIMUD</v>
      </c>
      <c r="B637" s="5">
        <f ca="1">IFERROR(__xludf.DUMMYFUNCTION("""COMPUTED_VALUE"""),2)</f>
        <v>2</v>
      </c>
      <c r="C637" s="5">
        <f ca="1">IFERROR(__xludf.DUMMYFUNCTION("""COMPUTED_VALUE"""),1)</f>
        <v>1</v>
      </c>
      <c r="D637" s="5">
        <f ca="1">IFERROR(__xludf.DUMMYFUNCTION("""COMPUTED_VALUE"""),2021)</f>
        <v>2021</v>
      </c>
      <c r="E637" s="8">
        <f ca="1">IFERROR(__xludf.DUMMYFUNCTION("""COMPUTED_VALUE"""),44228)</f>
        <v>44228</v>
      </c>
      <c r="F637" s="5" t="str">
        <f ca="1">IFERROR(__xludf.DUMMYFUNCTION("""COMPUTED_VALUE"""),"Muslim American Youth Academy")</f>
        <v>Muslim American Youth Academy</v>
      </c>
      <c r="G637" s="5">
        <f ca="1">IFERROR(__xludf.DUMMYFUNCTION("""COMPUTED_VALUE"""),0)</f>
        <v>0</v>
      </c>
      <c r="H637" s="5">
        <f ca="1">IFERROR(__xludf.DUMMYFUNCTION("""COMPUTED_VALUE"""),1)</f>
        <v>1</v>
      </c>
      <c r="I637" s="5">
        <f ca="1">IFERROR(__xludf.DUMMYFUNCTION("""COMPUTED_VALUE"""),1)</f>
        <v>1</v>
      </c>
      <c r="J637" s="5">
        <f ca="1">IFERROR(__xludf.DUMMYFUNCTION("""COMPUTED_VALUE"""),0)</f>
        <v>0</v>
      </c>
      <c r="K637" s="5" t="str">
        <f ca="1">IFERROR(__xludf.DUMMYFUNCTION("""COMPUTED_VALUE"""),"https://www.detroitnews.com/story/news/local/wayne-county/2021/02/03/tips-sought-shooting-dearborn-school-gym/4379432001/ https://www.pressandguide.com/news/police_fire/video-released-of-suspects-in-muslim-american-youth-academy-shooting/article_79072fba-"&amp;"670f-11eb-8905-2388f4c0263f.html https://www.miheadlines.com/2021/02/03/dearborn-police-seek-information-about-non-fatal-gymnasium-shooting/")</f>
        <v>https://www.detroitnews.com/story/news/local/wayne-county/2021/02/03/tips-sought-shooting-dearborn-school-gym/4379432001/ https://www.pressandguide.com/news/police_fire/video-released-of-suspects-in-muslim-american-youth-academy-shooting/article_79072fba-670f-11eb-8905-2388f4c0263f.html https://www.miheadlines.com/2021/02/03/dearborn-police-seek-information-about-non-fatal-gymnasium-shooting/</v>
      </c>
      <c r="L637" s="5">
        <f ca="1">IFERROR(__xludf.DUMMYFUNCTION("""COMPUTED_VALUE"""),3)</f>
        <v>3</v>
      </c>
      <c r="M637" s="5" t="str">
        <f ca="1">IFERROR(__xludf.DUMMYFUNCTION("""COMPUTED_VALUE"""),"Local")</f>
        <v>Local</v>
      </c>
      <c r="N637" s="5">
        <f ca="1">IFERROR(__xludf.DUMMYFUNCTION("""COMPUTED_VALUE"""),4)</f>
        <v>4</v>
      </c>
      <c r="O637" s="5" t="str">
        <f ca="1">IFERROR(__xludf.DUMMYFUNCTION("""COMPUTED_VALUE"""),"Winter")</f>
        <v>Winter</v>
      </c>
      <c r="P637" s="5" t="str">
        <f ca="1">IFERROR(__xludf.DUMMYFUNCTION("""COMPUTED_VALUE"""),"Dearborn")</f>
        <v>Dearborn</v>
      </c>
      <c r="Q637" s="5" t="str">
        <f ca="1">IFERROR(__xludf.DUMMYFUNCTION("""COMPUTED_VALUE"""),"MI")</f>
        <v>MI</v>
      </c>
      <c r="R637" s="5" t="str">
        <f ca="1">IFERROR(__xludf.DUMMYFUNCTION("""COMPUTED_VALUE"""),"K-8")</f>
        <v>K-8</v>
      </c>
      <c r="S637" s="5" t="str">
        <f ca="1">IFERROR(__xludf.DUMMYFUNCTION("""COMPUTED_VALUE"""),"Gym")</f>
        <v>Gym</v>
      </c>
      <c r="T637" s="5" t="str">
        <f ca="1">IFERROR(__xludf.DUMMYFUNCTION("""COMPUTED_VALUE"""),"Inside School Building")</f>
        <v>Inside School Building</v>
      </c>
      <c r="U637" s="5" t="str">
        <f ca="1">IFERROR(__xludf.DUMMYFUNCTION("""COMPUTED_VALUE"""),"No")</f>
        <v>No</v>
      </c>
      <c r="V637" s="5" t="str">
        <f ca="1">IFERROR(__xludf.DUMMYFUNCTION("""COMPUTED_VALUE"""),"Night")</f>
        <v>Night</v>
      </c>
      <c r="W637" s="10">
        <f ca="1">IFERROR(__xludf.DUMMYFUNCTION("""COMPUTED_VALUE"""),0.958333333333333)</f>
        <v>0.95833333333333304</v>
      </c>
      <c r="X637" s="5">
        <f ca="1">IFERROR(__xludf.DUMMYFUNCTION("""COMPUTED_VALUE"""),1)</f>
        <v>1</v>
      </c>
      <c r="Y637" s="5" t="str">
        <f ca="1">IFERROR(__xludf.DUMMYFUNCTION("""COMPUTED_VALUE"""),"Shooting inside school gym during dispute between two groups")</f>
        <v>Shooting inside school gym during dispute between two groups</v>
      </c>
      <c r="Z637" s="5" t="str">
        <f ca="1">IFERROR(__xludf.DUMMYFUNCTION("""COMPUTED_VALUE"""),"Multiple people were involved in a dispute between two groups that resulted in a shooting in the school gym. One person was shot in the leg. Shooter fled the scene. School classes were not in session at the time of the shooting and the shooter and victim "&amp;"were not students at the school.")</f>
        <v>Multiple people were involved in a dispute between two groups that resulted in a shooting in the school gym. One person was shot in the leg. Shooter fled the scene. School classes were not in session at the time of the shooting and the shooter and victim were not students at the school.</v>
      </c>
      <c r="AA637" s="5" t="str">
        <f ca="1">IFERROR(__xludf.DUMMYFUNCTION("""COMPUTED_VALUE"""),"Escalation of Dispute")</f>
        <v>Escalation of Dispute</v>
      </c>
      <c r="AB637" s="5" t="str">
        <f ca="1">IFERROR(__xludf.DUMMYFUNCTION("""COMPUTED_VALUE"""),"Victims Targeted")</f>
        <v>Victims Targeted</v>
      </c>
      <c r="AC637" s="5" t="str">
        <f ca="1">IFERROR(__xludf.DUMMYFUNCTION("""COMPUTED_VALUE"""),"No")</f>
        <v>No</v>
      </c>
      <c r="AD637" s="5" t="str">
        <f ca="1">IFERROR(__xludf.DUMMYFUNCTION("""COMPUTED_VALUE"""),"No")</f>
        <v>No</v>
      </c>
      <c r="AE637" s="5" t="str">
        <f ca="1">IFERROR(__xludf.DUMMYFUNCTION("""COMPUTED_VALUE"""),"No")</f>
        <v>No</v>
      </c>
      <c r="AF637" s="5" t="str">
        <f ca="1">IFERROR(__xludf.DUMMYFUNCTION("""COMPUTED_VALUE"""),"No")</f>
        <v>No</v>
      </c>
      <c r="AG637" s="5" t="str">
        <f ca="1">IFERROR(__xludf.DUMMYFUNCTION("""COMPUTED_VALUE"""),"No")</f>
        <v>No</v>
      </c>
      <c r="AH637" s="5" t="str">
        <f ca="1">IFERROR(__xludf.DUMMYFUNCTION("""COMPUTED_VALUE"""),"No")</f>
        <v>No</v>
      </c>
      <c r="AI637" s="5"/>
      <c r="AJ637" s="5" t="str">
        <f ca="1">IFERROR(__xludf.DUMMYFUNCTION("""COMPUTED_VALUE"""),"No")</f>
        <v>No</v>
      </c>
    </row>
    <row r="638" spans="1:36" ht="13">
      <c r="A638" s="5" t="str">
        <f ca="1">IFERROR(__xludf.DUMMYFUNCTION("""COMPUTED_VALUE"""),"20210127FLHOH")</f>
        <v>20210127FLHOH</v>
      </c>
      <c r="B638" s="5">
        <f ca="1">IFERROR(__xludf.DUMMYFUNCTION("""COMPUTED_VALUE"""),1)</f>
        <v>1</v>
      </c>
      <c r="C638" s="5">
        <f ca="1">IFERROR(__xludf.DUMMYFUNCTION("""COMPUTED_VALUE"""),27)</f>
        <v>27</v>
      </c>
      <c r="D638" s="5">
        <f ca="1">IFERROR(__xludf.DUMMYFUNCTION("""COMPUTED_VALUE"""),2021)</f>
        <v>2021</v>
      </c>
      <c r="E638" s="8">
        <f ca="1">IFERROR(__xludf.DUMMYFUNCTION("""COMPUTED_VALUE"""),44223)</f>
        <v>44223</v>
      </c>
      <c r="F638" s="5" t="str">
        <f ca="1">IFERROR(__xludf.DUMMYFUNCTION("""COMPUTED_VALUE"""),"Holly Hill School")</f>
        <v>Holly Hill School</v>
      </c>
      <c r="G638" s="5">
        <f ca="1">IFERROR(__xludf.DUMMYFUNCTION("""COMPUTED_VALUE"""),0)</f>
        <v>0</v>
      </c>
      <c r="H638" s="5">
        <f ca="1">IFERROR(__xludf.DUMMYFUNCTION("""COMPUTED_VALUE"""),0)</f>
        <v>0</v>
      </c>
      <c r="I638" s="5">
        <f ca="1">IFERROR(__xludf.DUMMYFUNCTION("""COMPUTED_VALUE"""),0)</f>
        <v>0</v>
      </c>
      <c r="J638" s="5">
        <f ca="1">IFERROR(__xludf.DUMMYFUNCTION("""COMPUTED_VALUE"""),0)</f>
        <v>0</v>
      </c>
      <c r="K638" s="5" t="str">
        <f ca="1">IFERROR(__xludf.DUMMYFUNCTION("""COMPUTED_VALUE"""),"https://www.orlandosentinel.com/news/volusia-county/os-ne-central-florida-students-charges-airsoft-guns-school-20210129-k6zg7s7nhzcnhbe6q4pntqhid4-story.html https://www.clickorlando.com/news/local/2021/01/28/kid-shot-with-airsoft-gun-at-holly-hill-school"&amp;"-2-students-face-charges-police-say/")</f>
        <v>https://www.orlandosentinel.com/news/volusia-county/os-ne-central-florida-students-charges-airsoft-guns-school-20210129-k6zg7s7nhzcnhbe6q4pntqhid4-story.html https://www.clickorlando.com/news/local/2021/01/28/kid-shot-with-airsoft-gun-at-holly-hill-school-2-students-face-charges-police-say/</v>
      </c>
      <c r="L638" s="5">
        <f ca="1">IFERROR(__xludf.DUMMYFUNCTION("""COMPUTED_VALUE"""),2)</f>
        <v>2</v>
      </c>
      <c r="M638" s="5" t="str">
        <f ca="1">IFERROR(__xludf.DUMMYFUNCTION("""COMPUTED_VALUE"""),"Local")</f>
        <v>Local</v>
      </c>
      <c r="N638" s="5">
        <f ca="1">IFERROR(__xludf.DUMMYFUNCTION("""COMPUTED_VALUE"""),4)</f>
        <v>4</v>
      </c>
      <c r="O638" s="5" t="str">
        <f ca="1">IFERROR(__xludf.DUMMYFUNCTION("""COMPUTED_VALUE"""),"Winter")</f>
        <v>Winter</v>
      </c>
      <c r="P638" s="5" t="str">
        <f ca="1">IFERROR(__xludf.DUMMYFUNCTION("""COMPUTED_VALUE"""),"Holly Hill")</f>
        <v>Holly Hill</v>
      </c>
      <c r="Q638" s="5" t="str">
        <f ca="1">IFERROR(__xludf.DUMMYFUNCTION("""COMPUTED_VALUE"""),"FL")</f>
        <v>FL</v>
      </c>
      <c r="R638" s="5" t="str">
        <f ca="1">IFERROR(__xludf.DUMMYFUNCTION("""COMPUTED_VALUE"""),"K-8")</f>
        <v>K-8</v>
      </c>
      <c r="S638" s="5" t="str">
        <f ca="1">IFERROR(__xludf.DUMMYFUNCTION("""COMPUTED_VALUE"""),"Gym")</f>
        <v>Gym</v>
      </c>
      <c r="T638" s="5" t="str">
        <f ca="1">IFERROR(__xludf.DUMMYFUNCTION("""COMPUTED_VALUE"""),"Inside School Building")</f>
        <v>Inside School Building</v>
      </c>
      <c r="U638" s="5" t="str">
        <f ca="1">IFERROR(__xludf.DUMMYFUNCTION("""COMPUTED_VALUE"""),"Yes")</f>
        <v>Yes</v>
      </c>
      <c r="V638" s="5" t="str">
        <f ca="1">IFERROR(__xludf.DUMMYFUNCTION("""COMPUTED_VALUE"""),"Afternoon Classes")</f>
        <v>Afternoon Classes</v>
      </c>
      <c r="W638" s="5"/>
      <c r="X638" s="5">
        <f ca="1">IFERROR(__xludf.DUMMYFUNCTION("""COMPUTED_VALUE"""),1)</f>
        <v>1</v>
      </c>
      <c r="Y638" s="5" t="str">
        <f ca="1">IFERROR(__xludf.DUMMYFUNCTION("""COMPUTED_VALUE"""),"Student shot with airsoft gun in locker room")</f>
        <v>Student shot with airsoft gun in locker room</v>
      </c>
      <c r="Z638" s="5" t="str">
        <f ca="1">IFERROR(__xludf.DUMMYFUNCTION("""COMPUTED_VALUE"""),"Student (shooter 1) brought 2 airsoft replica pistols to school. In the gym locker room, another student (shooter 2) fired the airsoft gun at another student (victim 1). Shooter 1 also attempted to shoot victim 1 but the weapon failed to fire. The followi"&amp;"ng day, school officials were notified about the shooting and detailed the student who had both weapons. Shooter 1 and Shooter 2 admitted to the shooting. Both face weapons charges and shooter 2 faces aggravated battery. School was not locked down or awar"&amp;"e of the incident the day the shooting took place.")</f>
        <v>Student (shooter 1) brought 2 airsoft replica pistols to school. In the gym locker room, another student (shooter 2) fired the airsoft gun at another student (victim 1). Shooter 1 also attempted to shoot victim 1 but the weapon failed to fire. The following day, school officials were notified about the shooting and detailed the student who had both weapons. Shooter 1 and Shooter 2 admitted to the shooting. Both face weapons charges and shooter 2 faces aggravated battery. School was not locked down or aware of the incident the day the shooting took place.</v>
      </c>
      <c r="AA638" s="5"/>
      <c r="AB638" s="5" t="str">
        <f ca="1">IFERROR(__xludf.DUMMYFUNCTION("""COMPUTED_VALUE"""),"Victims Targeted")</f>
        <v>Victims Targeted</v>
      </c>
      <c r="AC638" s="5" t="str">
        <f ca="1">IFERROR(__xludf.DUMMYFUNCTION("""COMPUTED_VALUE"""),"Yes")</f>
        <v>Yes</v>
      </c>
      <c r="AD638" s="5" t="str">
        <f ca="1">IFERROR(__xludf.DUMMYFUNCTION("""COMPUTED_VALUE"""),"No")</f>
        <v>No</v>
      </c>
      <c r="AE638" s="5" t="str">
        <f ca="1">IFERROR(__xludf.DUMMYFUNCTION("""COMPUTED_VALUE"""),"No")</f>
        <v>No</v>
      </c>
      <c r="AF638" s="5" t="str">
        <f ca="1">IFERROR(__xludf.DUMMYFUNCTION("""COMPUTED_VALUE"""),"No")</f>
        <v>No</v>
      </c>
      <c r="AG638" s="5"/>
      <c r="AH638" s="5" t="str">
        <f ca="1">IFERROR(__xludf.DUMMYFUNCTION("""COMPUTED_VALUE"""),"No")</f>
        <v>No</v>
      </c>
      <c r="AI638" s="5"/>
      <c r="AJ638" s="5" t="str">
        <f ca="1">IFERROR(__xludf.DUMMYFUNCTION("""COMPUTED_VALUE"""),"No")</f>
        <v>No</v>
      </c>
    </row>
    <row r="639" spans="1:36" ht="13">
      <c r="A639" s="5" t="str">
        <f ca="1">IFERROR(__xludf.DUMMYFUNCTION("""COMPUTED_VALUE"""),"20210127MSHAH")</f>
        <v>20210127MSHAH</v>
      </c>
      <c r="B639" s="5">
        <f ca="1">IFERROR(__xludf.DUMMYFUNCTION("""COMPUTED_VALUE"""),1)</f>
        <v>1</v>
      </c>
      <c r="C639" s="5">
        <f ca="1">IFERROR(__xludf.DUMMYFUNCTION("""COMPUTED_VALUE"""),27)</f>
        <v>27</v>
      </c>
      <c r="D639" s="5">
        <f ca="1">IFERROR(__xludf.DUMMYFUNCTION("""COMPUTED_VALUE"""),2021)</f>
        <v>2021</v>
      </c>
      <c r="E639" s="8">
        <f ca="1">IFERROR(__xludf.DUMMYFUNCTION("""COMPUTED_VALUE"""),44223)</f>
        <v>44223</v>
      </c>
      <c r="F639" s="5" t="str">
        <f ca="1">IFERROR(__xludf.DUMMYFUNCTION("""COMPUTED_VALUE"""),"Hattiesburg High School")</f>
        <v>Hattiesburg High School</v>
      </c>
      <c r="G639" s="5">
        <f ca="1">IFERROR(__xludf.DUMMYFUNCTION("""COMPUTED_VALUE"""),0)</f>
        <v>0</v>
      </c>
      <c r="H639" s="5">
        <f ca="1">IFERROR(__xludf.DUMMYFUNCTION("""COMPUTED_VALUE"""),0)</f>
        <v>0</v>
      </c>
      <c r="I639" s="5">
        <f ca="1">IFERROR(__xludf.DUMMYFUNCTION("""COMPUTED_VALUE"""),0)</f>
        <v>0</v>
      </c>
      <c r="J639" s="5">
        <f ca="1">IFERROR(__xludf.DUMMYFUNCTION("""COMPUTED_VALUE"""),0)</f>
        <v>0</v>
      </c>
      <c r="K639" s="5" t="str">
        <f ca="1">IFERROR(__xludf.DUMMYFUNCTION("""COMPUTED_VALUE"""),"https://www.wapt.com/article/hattiesburg-police-shooting-near-high-school-under-investigation/35340013# https://www.hattiesburgamerican.com/story/news/local/hattiesburg/2021/02/11/hattiesburg-officers-shooting-armed-teen-injured/6723198002/")</f>
        <v>https://www.wapt.com/article/hattiesburg-police-shooting-near-high-school-under-investigation/35340013# https://www.hattiesburgamerican.com/story/news/local/hattiesburg/2021/02/11/hattiesburg-officers-shooting-armed-teen-injured/6723198002/</v>
      </c>
      <c r="L639" s="5">
        <f ca="1">IFERROR(__xludf.DUMMYFUNCTION("""COMPUTED_VALUE"""),2)</f>
        <v>2</v>
      </c>
      <c r="M639" s="5" t="str">
        <f ca="1">IFERROR(__xludf.DUMMYFUNCTION("""COMPUTED_VALUE"""),"Local")</f>
        <v>Local</v>
      </c>
      <c r="N639" s="5">
        <f ca="1">IFERROR(__xludf.DUMMYFUNCTION("""COMPUTED_VALUE"""),4)</f>
        <v>4</v>
      </c>
      <c r="O639" s="5" t="str">
        <f ca="1">IFERROR(__xludf.DUMMYFUNCTION("""COMPUTED_VALUE"""),"Winter")</f>
        <v>Winter</v>
      </c>
      <c r="P639" s="5" t="str">
        <f ca="1">IFERROR(__xludf.DUMMYFUNCTION("""COMPUTED_VALUE"""),"Hattiesburg")</f>
        <v>Hattiesburg</v>
      </c>
      <c r="Q639" s="5" t="str">
        <f ca="1">IFERROR(__xludf.DUMMYFUNCTION("""COMPUTED_VALUE"""),"MS")</f>
        <v>MS</v>
      </c>
      <c r="R639" s="5" t="str">
        <f ca="1">IFERROR(__xludf.DUMMYFUNCTION("""COMPUTED_VALUE"""),"High")</f>
        <v>High</v>
      </c>
      <c r="S639" s="5" t="str">
        <f ca="1">IFERROR(__xludf.DUMMYFUNCTION("""COMPUTED_VALUE"""),"Off School Property")</f>
        <v>Off School Property</v>
      </c>
      <c r="T639" s="5" t="str">
        <f ca="1">IFERROR(__xludf.DUMMYFUNCTION("""COMPUTED_VALUE"""),"School Bus")</f>
        <v>School Bus</v>
      </c>
      <c r="U639" s="5" t="str">
        <f ca="1">IFERROR(__xludf.DUMMYFUNCTION("""COMPUTED_VALUE"""),"Yes")</f>
        <v>Yes</v>
      </c>
      <c r="V639" s="5" t="str">
        <f ca="1">IFERROR(__xludf.DUMMYFUNCTION("""COMPUTED_VALUE"""),"School Start")</f>
        <v>School Start</v>
      </c>
      <c r="W639" s="10">
        <f ca="1">IFERROR(__xludf.DUMMYFUNCTION("""COMPUTED_VALUE"""),0.333333333333333)</f>
        <v>0.33333333333333298</v>
      </c>
      <c r="X639" s="5">
        <f ca="1">IFERROR(__xludf.DUMMYFUNCTION("""COMPUTED_VALUE"""),21)</f>
        <v>21</v>
      </c>
      <c r="Y639" s="5" t="str">
        <f ca="1">IFERROR(__xludf.DUMMYFUNCTION("""COMPUTED_VALUE"""),"Teen pointed gun at school bus and then fired shots into the air near the school")</f>
        <v>Teen pointed gun at school bus and then fired shots into the air near the school</v>
      </c>
      <c r="Z639" s="5" t="str">
        <f ca="1">IFERROR(__xludf.DUMMYFUNCTION("""COMPUTED_VALUE"""),"During a 21 minute time period, multiple people called 911 to report a teen with a gun near the school. At 7:43 AM, the 14-year-old male pointed the gun at a school bus and then fired shots into the air near the school. When police officers arrived at 7:5"&amp;"0 AM, the teen pointed the weapon at officers and said he was going to shoot them. At 7:51 AM, the officers fired multiple shots and wounded the shooter. He was taken to the hospital, treated, and recovered from injuries. The shooting was recorded on body"&amp;" cameras worn by the officers. Motive unknown.")</f>
        <v>During a 21 minute time period, multiple people called 911 to report a teen with a gun near the school. At 7:43 AM, the 14-year-old male pointed the gun at a school bus and then fired shots into the air near the school. When police officers arrived at 7:50 AM, the teen pointed the weapon at officers and said he was going to shoot them. At 7:51 AM, the officers fired multiple shots and wounded the shooter. He was taken to the hospital, treated, and recovered from injuries. The shooting was recorded on body cameras worn by the officers. Motive unknown.</v>
      </c>
      <c r="AA639" s="5"/>
      <c r="AB639" s="5" t="str">
        <f ca="1">IFERROR(__xludf.DUMMYFUNCTION("""COMPUTED_VALUE"""),"Random Shooting")</f>
        <v>Random Shooting</v>
      </c>
      <c r="AC639" s="5" t="str">
        <f ca="1">IFERROR(__xludf.DUMMYFUNCTION("""COMPUTED_VALUE"""),"No")</f>
        <v>No</v>
      </c>
      <c r="AD639" s="5" t="str">
        <f ca="1">IFERROR(__xludf.DUMMYFUNCTION("""COMPUTED_VALUE"""),"No")</f>
        <v>No</v>
      </c>
      <c r="AE639" s="5" t="str">
        <f ca="1">IFERROR(__xludf.DUMMYFUNCTION("""COMPUTED_VALUE"""),"No")</f>
        <v>No</v>
      </c>
      <c r="AF639" s="5" t="str">
        <f ca="1">IFERROR(__xludf.DUMMYFUNCTION("""COMPUTED_VALUE"""),"Yes")</f>
        <v>Yes</v>
      </c>
      <c r="AG639" s="5" t="str">
        <f ca="1">IFERROR(__xludf.DUMMYFUNCTION("""COMPUTED_VALUE"""),"No")</f>
        <v>No</v>
      </c>
      <c r="AH639" s="5" t="str">
        <f ca="1">IFERROR(__xludf.DUMMYFUNCTION("""COMPUTED_VALUE"""),"No")</f>
        <v>No</v>
      </c>
      <c r="AI639" s="5" t="str">
        <f ca="1">IFERROR(__xludf.DUMMYFUNCTION("""COMPUTED_VALUE"""),"No")</f>
        <v>No</v>
      </c>
      <c r="AJ639" s="5" t="str">
        <f ca="1">IFERROR(__xludf.DUMMYFUNCTION("""COMPUTED_VALUE"""),"No")</f>
        <v>No</v>
      </c>
    </row>
    <row r="640" spans="1:36" ht="13">
      <c r="A640" s="5" t="str">
        <f ca="1">IFERROR(__xludf.DUMMYFUNCTION("""COMPUTED_VALUE"""),"20210121OKLOG")</f>
        <v>20210121OKLOG</v>
      </c>
      <c r="B640" s="5">
        <f ca="1">IFERROR(__xludf.DUMMYFUNCTION("""COMPUTED_VALUE"""),1)</f>
        <v>1</v>
      </c>
      <c r="C640" s="5">
        <f ca="1">IFERROR(__xludf.DUMMYFUNCTION("""COMPUTED_VALUE"""),21)</f>
        <v>21</v>
      </c>
      <c r="D640" s="5">
        <f ca="1">IFERROR(__xludf.DUMMYFUNCTION("""COMPUTED_VALUE"""),2021)</f>
        <v>2021</v>
      </c>
      <c r="E640" s="8">
        <f ca="1">IFERROR(__xludf.DUMMYFUNCTION("""COMPUTED_VALUE"""),44217)</f>
        <v>44217</v>
      </c>
      <c r="F640" s="5" t="str">
        <f ca="1">IFERROR(__xludf.DUMMYFUNCTION("""COMPUTED_VALUE"""),"Lower Elementary School")</f>
        <v>Lower Elementary School</v>
      </c>
      <c r="G640" s="5">
        <f ca="1">IFERROR(__xludf.DUMMYFUNCTION("""COMPUTED_VALUE"""),0)</f>
        <v>0</v>
      </c>
      <c r="H640" s="5">
        <f ca="1">IFERROR(__xludf.DUMMYFUNCTION("""COMPUTED_VALUE"""),0)</f>
        <v>0</v>
      </c>
      <c r="I640" s="5">
        <f ca="1">IFERROR(__xludf.DUMMYFUNCTION("""COMPUTED_VALUE"""),0)</f>
        <v>0</v>
      </c>
      <c r="J640" s="5">
        <f ca="1">IFERROR(__xludf.DUMMYFUNCTION("""COMPUTED_VALUE"""),0)</f>
        <v>0</v>
      </c>
      <c r="K640" s="9" t="str">
        <f ca="1">IFERROR(__xludf.DUMMYFUNCTION("""COMPUTED_VALUE"""),"https://www.newson6.com/story/600ba2d50247a70bc6e22b8a/parent-accidentally-shoots-themself-while-picking-up-student-at-grove-lower-elementary")</f>
        <v>https://www.newson6.com/story/600ba2d50247a70bc6e22b8a/parent-accidentally-shoots-themself-while-picking-up-student-at-grove-lower-elementary</v>
      </c>
      <c r="L640" s="5">
        <f ca="1">IFERROR(__xludf.DUMMYFUNCTION("""COMPUTED_VALUE"""),1)</f>
        <v>1</v>
      </c>
      <c r="M640" s="5" t="str">
        <f ca="1">IFERROR(__xludf.DUMMYFUNCTION("""COMPUTED_VALUE"""),"Local")</f>
        <v>Local</v>
      </c>
      <c r="N640" s="5">
        <f ca="1">IFERROR(__xludf.DUMMYFUNCTION("""COMPUTED_VALUE"""),4)</f>
        <v>4</v>
      </c>
      <c r="O640" s="5" t="str">
        <f ca="1">IFERROR(__xludf.DUMMYFUNCTION("""COMPUTED_VALUE"""),"Winter")</f>
        <v>Winter</v>
      </c>
      <c r="P640" s="5" t="str">
        <f ca="1">IFERROR(__xludf.DUMMYFUNCTION("""COMPUTED_VALUE"""),"Grove")</f>
        <v>Grove</v>
      </c>
      <c r="Q640" s="5" t="str">
        <f ca="1">IFERROR(__xludf.DUMMYFUNCTION("""COMPUTED_VALUE"""),"OK")</f>
        <v>OK</v>
      </c>
      <c r="R640" s="5" t="str">
        <f ca="1">IFERROR(__xludf.DUMMYFUNCTION("""COMPUTED_VALUE"""),"Elementary")</f>
        <v>Elementary</v>
      </c>
      <c r="S640" s="5" t="str">
        <f ca="1">IFERROR(__xludf.DUMMYFUNCTION("""COMPUTED_VALUE"""),"Parking Lot")</f>
        <v>Parking Lot</v>
      </c>
      <c r="T640" s="5" t="str">
        <f ca="1">IFERROR(__xludf.DUMMYFUNCTION("""COMPUTED_VALUE"""),"Outside on School Property")</f>
        <v>Outside on School Property</v>
      </c>
      <c r="U640" s="5" t="str">
        <f ca="1">IFERROR(__xludf.DUMMYFUNCTION("""COMPUTED_VALUE"""),"Yes")</f>
        <v>Yes</v>
      </c>
      <c r="V640" s="5" t="str">
        <f ca="1">IFERROR(__xludf.DUMMYFUNCTION("""COMPUTED_VALUE"""),"Dismissal")</f>
        <v>Dismissal</v>
      </c>
      <c r="W640" s="10">
        <f ca="1">IFERROR(__xludf.DUMMYFUNCTION("""COMPUTED_VALUE"""),0.625)</f>
        <v>0.625</v>
      </c>
      <c r="X640" s="5">
        <f ca="1">IFERROR(__xludf.DUMMYFUNCTION("""COMPUTED_VALUE"""),1)</f>
        <v>1</v>
      </c>
      <c r="Y640" s="5" t="str">
        <f ca="1">IFERROR(__xludf.DUMMYFUNCTION("""COMPUTED_VALUE"""),"Parent shot self inside car while in pickup line at school")</f>
        <v>Parent shot self inside car while in pickup line at school</v>
      </c>
      <c r="Z640" s="5" t="str">
        <f ca="1">IFERROR(__xludf.DUMMYFUNCTION("""COMPUTED_VALUE"""),"A parent waiting in the pickup line, accidentally shot himself inside his vehicle. He exited the pickup line and drove to the hospital. No students were involved or injured. Firearms are prohibited on the campus.")</f>
        <v>A parent waiting in the pickup line, accidentally shot himself inside his vehicle. He exited the pickup line and drove to the hospital. No students were involved or injured. Firearms are prohibited on the campus.</v>
      </c>
      <c r="AA640" s="5" t="str">
        <f ca="1">IFERROR(__xludf.DUMMYFUNCTION("""COMPUTED_VALUE"""),"Accidental")</f>
        <v>Accidental</v>
      </c>
      <c r="AB640" s="5" t="str">
        <f ca="1">IFERROR(__xludf.DUMMYFUNCTION("""COMPUTED_VALUE"""),"Random Shooting")</f>
        <v>Random Shooting</v>
      </c>
      <c r="AC640" s="5" t="str">
        <f ca="1">IFERROR(__xludf.DUMMYFUNCTION("""COMPUTED_VALUE"""),"No")</f>
        <v>No</v>
      </c>
      <c r="AD640" s="5" t="str">
        <f ca="1">IFERROR(__xludf.DUMMYFUNCTION("""COMPUTED_VALUE"""),"No")</f>
        <v>No</v>
      </c>
      <c r="AE640" s="5" t="str">
        <f ca="1">IFERROR(__xludf.DUMMYFUNCTION("""COMPUTED_VALUE"""),"No")</f>
        <v>No</v>
      </c>
      <c r="AF640" s="5" t="str">
        <f ca="1">IFERROR(__xludf.DUMMYFUNCTION("""COMPUTED_VALUE"""),"No")</f>
        <v>No</v>
      </c>
      <c r="AG640" s="5" t="str">
        <f ca="1">IFERROR(__xludf.DUMMYFUNCTION("""COMPUTED_VALUE"""),"No")</f>
        <v>No</v>
      </c>
      <c r="AH640" s="5" t="str">
        <f ca="1">IFERROR(__xludf.DUMMYFUNCTION("""COMPUTED_VALUE"""),"No")</f>
        <v>No</v>
      </c>
      <c r="AI640" s="5" t="str">
        <f ca="1">IFERROR(__xludf.DUMMYFUNCTION("""COMPUTED_VALUE"""),"No")</f>
        <v>No</v>
      </c>
      <c r="AJ640" s="5" t="str">
        <f ca="1">IFERROR(__xludf.DUMMYFUNCTION("""COMPUTED_VALUE"""),"No")</f>
        <v>No</v>
      </c>
    </row>
    <row r="641" spans="1:36" ht="13">
      <c r="A641" s="5" t="str">
        <f ca="1">IFERROR(__xludf.DUMMYFUNCTION("""COMPUTED_VALUE"""),"20210121OHEAC")</f>
        <v>20210121OHEAC</v>
      </c>
      <c r="B641" s="5">
        <f ca="1">IFERROR(__xludf.DUMMYFUNCTION("""COMPUTED_VALUE"""),1)</f>
        <v>1</v>
      </c>
      <c r="C641" s="5">
        <f ca="1">IFERROR(__xludf.DUMMYFUNCTION("""COMPUTED_VALUE"""),21)</f>
        <v>21</v>
      </c>
      <c r="D641" s="5">
        <f ca="1">IFERROR(__xludf.DUMMYFUNCTION("""COMPUTED_VALUE"""),2021)</f>
        <v>2021</v>
      </c>
      <c r="E641" s="8">
        <f ca="1">IFERROR(__xludf.DUMMYFUNCTION("""COMPUTED_VALUE"""),44217)</f>
        <v>44217</v>
      </c>
      <c r="F641" s="5" t="str">
        <f ca="1">IFERROR(__xludf.DUMMYFUNCTION("""COMPUTED_VALUE"""),"Eastmoor Academy")</f>
        <v>Eastmoor Academy</v>
      </c>
      <c r="G641" s="5">
        <f ca="1">IFERROR(__xludf.DUMMYFUNCTION("""COMPUTED_VALUE"""),0)</f>
        <v>0</v>
      </c>
      <c r="H641" s="5">
        <f ca="1">IFERROR(__xludf.DUMMYFUNCTION("""COMPUTED_VALUE"""),1)</f>
        <v>1</v>
      </c>
      <c r="I641" s="5">
        <f ca="1">IFERROR(__xludf.DUMMYFUNCTION("""COMPUTED_VALUE"""),1)</f>
        <v>1</v>
      </c>
      <c r="J641" s="5">
        <f ca="1">IFERROR(__xludf.DUMMYFUNCTION("""COMPUTED_VALUE"""),0)</f>
        <v>0</v>
      </c>
      <c r="K641" s="9" t="str">
        <f ca="1">IFERROR(__xludf.DUMMYFUNCTION("""COMPUTED_VALUE"""),"https://www.nbc4i.com/news/local-news/cpd-school-fight-leads-to-shooting/")</f>
        <v>https://www.nbc4i.com/news/local-news/cpd-school-fight-leads-to-shooting/</v>
      </c>
      <c r="L641" s="5">
        <f ca="1">IFERROR(__xludf.DUMMYFUNCTION("""COMPUTED_VALUE"""),1)</f>
        <v>1</v>
      </c>
      <c r="M641" s="5" t="str">
        <f ca="1">IFERROR(__xludf.DUMMYFUNCTION("""COMPUTED_VALUE"""),"Local")</f>
        <v>Local</v>
      </c>
      <c r="N641" s="5">
        <f ca="1">IFERROR(__xludf.DUMMYFUNCTION("""COMPUTED_VALUE"""),3)</f>
        <v>3</v>
      </c>
      <c r="O641" s="5" t="str">
        <f ca="1">IFERROR(__xludf.DUMMYFUNCTION("""COMPUTED_VALUE"""),"Winter")</f>
        <v>Winter</v>
      </c>
      <c r="P641" s="5" t="str">
        <f ca="1">IFERROR(__xludf.DUMMYFUNCTION("""COMPUTED_VALUE"""),"Columbus")</f>
        <v>Columbus</v>
      </c>
      <c r="Q641" s="5" t="str">
        <f ca="1">IFERROR(__xludf.DUMMYFUNCTION("""COMPUTED_VALUE"""),"OH")</f>
        <v>OH</v>
      </c>
      <c r="R641" s="5" t="str">
        <f ca="1">IFERROR(__xludf.DUMMYFUNCTION("""COMPUTED_VALUE"""),"High")</f>
        <v>High</v>
      </c>
      <c r="S641" s="5" t="str">
        <f ca="1">IFERROR(__xludf.DUMMYFUNCTION("""COMPUTED_VALUE"""),"Parking Lot")</f>
        <v>Parking Lot</v>
      </c>
      <c r="T641" s="5" t="str">
        <f ca="1">IFERROR(__xludf.DUMMYFUNCTION("""COMPUTED_VALUE"""),"Outside on School Property")</f>
        <v>Outside on School Property</v>
      </c>
      <c r="U641" s="5" t="str">
        <f ca="1">IFERROR(__xludf.DUMMYFUNCTION("""COMPUTED_VALUE"""),"No")</f>
        <v>No</v>
      </c>
      <c r="V641" s="5" t="str">
        <f ca="1">IFERROR(__xludf.DUMMYFUNCTION("""COMPUTED_VALUE"""),"Evening")</f>
        <v>Evening</v>
      </c>
      <c r="W641" s="10">
        <f ca="1">IFERROR(__xludf.DUMMYFUNCTION("""COMPUTED_VALUE"""),0.8125)</f>
        <v>0.8125</v>
      </c>
      <c r="X641" s="5">
        <f ca="1">IFERROR(__xludf.DUMMYFUNCTION("""COMPUTED_VALUE"""),1)</f>
        <v>1</v>
      </c>
      <c r="Y641" s="5" t="str">
        <f ca="1">IFERROR(__xludf.DUMMYFUNCTION("""COMPUTED_VALUE"""),"Man shot while watching fight in school parking lot")</f>
        <v>Man shot while watching fight in school parking lot</v>
      </c>
      <c r="Z641" s="5" t="str">
        <f ca="1">IFERROR(__xludf.DUMMYFUNCTION("""COMPUTED_VALUE"""),"A crowd was watching a fight in the school parking lot. A man fired a shot at another man in a vehicle. The shot missed and struck a 19 year old male victim in the crowd. Shooter fled the scene.")</f>
        <v>A crowd was watching a fight in the school parking lot. A man fired a shot at another man in a vehicle. The shot missed and struck a 19 year old male victim in the crowd. Shooter fled the scene.</v>
      </c>
      <c r="AA641" s="5" t="str">
        <f ca="1">IFERROR(__xludf.DUMMYFUNCTION("""COMPUTED_VALUE"""),"Escalation of Dispute")</f>
        <v>Escalation of Dispute</v>
      </c>
      <c r="AB641" s="5" t="str">
        <f ca="1">IFERROR(__xludf.DUMMYFUNCTION("""COMPUTED_VALUE"""),"Both")</f>
        <v>Both</v>
      </c>
      <c r="AC641" s="5" t="str">
        <f ca="1">IFERROR(__xludf.DUMMYFUNCTION("""COMPUTED_VALUE"""),"No")</f>
        <v>No</v>
      </c>
      <c r="AD641" s="5" t="str">
        <f ca="1">IFERROR(__xludf.DUMMYFUNCTION("""COMPUTED_VALUE"""),"No")</f>
        <v>No</v>
      </c>
      <c r="AE641" s="5" t="str">
        <f ca="1">IFERROR(__xludf.DUMMYFUNCTION("""COMPUTED_VALUE"""),"No")</f>
        <v>No</v>
      </c>
      <c r="AF641" s="5" t="str">
        <f ca="1">IFERROR(__xludf.DUMMYFUNCTION("""COMPUTED_VALUE"""),"No")</f>
        <v>No</v>
      </c>
      <c r="AG641" s="5" t="str">
        <f ca="1">IFERROR(__xludf.DUMMYFUNCTION("""COMPUTED_VALUE"""),"No")</f>
        <v>No</v>
      </c>
      <c r="AH641" s="5" t="str">
        <f ca="1">IFERROR(__xludf.DUMMYFUNCTION("""COMPUTED_VALUE"""),"No")</f>
        <v>No</v>
      </c>
      <c r="AI641" s="5"/>
      <c r="AJ641" s="5" t="str">
        <f ca="1">IFERROR(__xludf.DUMMYFUNCTION("""COMPUTED_VALUE"""),"No")</f>
        <v>No</v>
      </c>
    </row>
    <row r="642" spans="1:36" ht="13">
      <c r="A642" s="5" t="str">
        <f ca="1">IFERROR(__xludf.DUMMYFUNCTION("""COMPUTED_VALUE"""),"20210114MDHIW")</f>
        <v>20210114MDHIW</v>
      </c>
      <c r="B642" s="5">
        <f ca="1">IFERROR(__xludf.DUMMYFUNCTION("""COMPUTED_VALUE"""),1)</f>
        <v>1</v>
      </c>
      <c r="C642" s="5">
        <f ca="1">IFERROR(__xludf.DUMMYFUNCTION("""COMPUTED_VALUE"""),14)</f>
        <v>14</v>
      </c>
      <c r="D642" s="5">
        <f ca="1">IFERROR(__xludf.DUMMYFUNCTION("""COMPUTED_VALUE"""),2021)</f>
        <v>2021</v>
      </c>
      <c r="E642" s="8">
        <f ca="1">IFERROR(__xludf.DUMMYFUNCTION("""COMPUTED_VALUE"""),44210)</f>
        <v>44210</v>
      </c>
      <c r="F642" s="5" t="str">
        <f ca="1">IFERROR(__xludf.DUMMYFUNCTION("""COMPUTED_VALUE"""),"Highland Elementary School")</f>
        <v>Highland Elementary School</v>
      </c>
      <c r="G642" s="5">
        <f ca="1">IFERROR(__xludf.DUMMYFUNCTION("""COMPUTED_VALUE"""),1)</f>
        <v>1</v>
      </c>
      <c r="H642" s="5">
        <f ca="1">IFERROR(__xludf.DUMMYFUNCTION("""COMPUTED_VALUE"""),0)</f>
        <v>0</v>
      </c>
      <c r="I642" s="5">
        <f ca="1">IFERROR(__xludf.DUMMYFUNCTION("""COMPUTED_VALUE"""),1)</f>
        <v>1</v>
      </c>
      <c r="J642" s="5">
        <f ca="1">IFERROR(__xludf.DUMMYFUNCTION("""COMPUTED_VALUE"""),0)</f>
        <v>0</v>
      </c>
      <c r="K642" s="5" t="str">
        <f ca="1">IFERROR(__xludf.DUMMYFUNCTION("""COMPUTED_VALUE"""),"https://www2.montgomerycountymd.gov/mcgportalapps/Press_Detail_Pol.aspx?Item_ID=32579 https://wtop.com/montgomery-county/2021/01/man-found-dead-at-parking-lot-near-montgomery-county-school/ https://www.washingtonpost.com/local/public-safety/montgomery-cou"&amp;"nty-homicide-spike/2021/01/14/b5ba8b7a-55d3-11eb-a817-e5e7f8a406d6_story.html")</f>
        <v>https://www2.montgomerycountymd.gov/mcgportalapps/Press_Detail_Pol.aspx?Item_ID=32579 https://wtop.com/montgomery-county/2021/01/man-found-dead-at-parking-lot-near-montgomery-county-school/ https://www.washingtonpost.com/local/public-safety/montgomery-county-homicide-spike/2021/01/14/b5ba8b7a-55d3-11eb-a817-e5e7f8a406d6_story.html</v>
      </c>
      <c r="L642" s="5">
        <f ca="1">IFERROR(__xludf.DUMMYFUNCTION("""COMPUTED_VALUE"""),3)</f>
        <v>3</v>
      </c>
      <c r="M642" s="5" t="str">
        <f ca="1">IFERROR(__xludf.DUMMYFUNCTION("""COMPUTED_VALUE"""),"Local")</f>
        <v>Local</v>
      </c>
      <c r="N642" s="5">
        <f ca="1">IFERROR(__xludf.DUMMYFUNCTION("""COMPUTED_VALUE"""),4)</f>
        <v>4</v>
      </c>
      <c r="O642" s="5" t="str">
        <f ca="1">IFERROR(__xludf.DUMMYFUNCTION("""COMPUTED_VALUE"""),"Winter")</f>
        <v>Winter</v>
      </c>
      <c r="P642" s="5" t="str">
        <f ca="1">IFERROR(__xludf.DUMMYFUNCTION("""COMPUTED_VALUE"""),"Wheaton")</f>
        <v>Wheaton</v>
      </c>
      <c r="Q642" s="5" t="str">
        <f ca="1">IFERROR(__xludf.DUMMYFUNCTION("""COMPUTED_VALUE"""),"MD")</f>
        <v>MD</v>
      </c>
      <c r="R642" s="5" t="str">
        <f ca="1">IFERROR(__xludf.DUMMYFUNCTION("""COMPUTED_VALUE"""),"Elementary")</f>
        <v>Elementary</v>
      </c>
      <c r="S642" s="5" t="str">
        <f ca="1">IFERROR(__xludf.DUMMYFUNCTION("""COMPUTED_VALUE"""),"Parking Lot")</f>
        <v>Parking Lot</v>
      </c>
      <c r="T642" s="5" t="str">
        <f ca="1">IFERROR(__xludf.DUMMYFUNCTION("""COMPUTED_VALUE"""),"Outside on School Property")</f>
        <v>Outside on School Property</v>
      </c>
      <c r="U642" s="5" t="str">
        <f ca="1">IFERROR(__xludf.DUMMYFUNCTION("""COMPUTED_VALUE"""),"No")</f>
        <v>No</v>
      </c>
      <c r="V642" s="5" t="str">
        <f ca="1">IFERROR(__xludf.DUMMYFUNCTION("""COMPUTED_VALUE"""),"Before School")</f>
        <v>Before School</v>
      </c>
      <c r="W642" s="10">
        <f ca="1">IFERROR(__xludf.DUMMYFUNCTION("""COMPUTED_VALUE"""),0.236111111111111)</f>
        <v>0.23611111111111099</v>
      </c>
      <c r="X642" s="5">
        <f ca="1">IFERROR(__xludf.DUMMYFUNCTION("""COMPUTED_VALUE"""),1)</f>
        <v>1</v>
      </c>
      <c r="Y642" s="5" t="str">
        <f ca="1">IFERROR(__xludf.DUMMYFUNCTION("""COMPUTED_VALUE"""),"Man found shot and killed inside vehicle in school parking lot")</f>
        <v>Man found shot and killed inside vehicle in school parking lot</v>
      </c>
      <c r="Z642" s="5" t="str">
        <f ca="1">IFERROR(__xludf.DUMMYFUNCTION("""COMPUTED_VALUE"""),"Police were called for shots fired near the elementary school. Police found a man fatally shot inside a vehicle and he was declared dead at the scene. No motive or suspect identified. Investigated as homicide.")</f>
        <v>Police were called for shots fired near the elementary school. Police found a man fatally shot inside a vehicle and he was declared dead at the scene. No motive or suspect identified. Investigated as homicide.</v>
      </c>
      <c r="AA642" s="5"/>
      <c r="AB642" s="5" t="str">
        <f ca="1">IFERROR(__xludf.DUMMYFUNCTION("""COMPUTED_VALUE"""),"Victims Targeted")</f>
        <v>Victims Targeted</v>
      </c>
      <c r="AC642" s="5"/>
      <c r="AD642" s="5" t="str">
        <f ca="1">IFERROR(__xludf.DUMMYFUNCTION("""COMPUTED_VALUE"""),"No")</f>
        <v>No</v>
      </c>
      <c r="AE642" s="5" t="str">
        <f ca="1">IFERROR(__xludf.DUMMYFUNCTION("""COMPUTED_VALUE"""),"No")</f>
        <v>No</v>
      </c>
      <c r="AF642" s="5" t="str">
        <f ca="1">IFERROR(__xludf.DUMMYFUNCTION("""COMPUTED_VALUE"""),"No")</f>
        <v>No</v>
      </c>
      <c r="AG642" s="5" t="str">
        <f ca="1">IFERROR(__xludf.DUMMYFUNCTION("""COMPUTED_VALUE"""),"No")</f>
        <v>No</v>
      </c>
      <c r="AH642" s="5" t="str">
        <f ca="1">IFERROR(__xludf.DUMMYFUNCTION("""COMPUTED_VALUE"""),"No")</f>
        <v>No</v>
      </c>
      <c r="AI642" s="5"/>
      <c r="AJ642" s="5" t="str">
        <f ca="1">IFERROR(__xludf.DUMMYFUNCTION("""COMPUTED_VALUE"""),"No")</f>
        <v>No</v>
      </c>
    </row>
    <row r="643" spans="1:36" ht="13">
      <c r="A643" s="5" t="str">
        <f ca="1">IFERROR(__xludf.DUMMYFUNCTION("""COMPUTED_VALUE"""),"20210110ILSOS")</f>
        <v>20210110ILSOS</v>
      </c>
      <c r="B643" s="5">
        <f ca="1">IFERROR(__xludf.DUMMYFUNCTION("""COMPUTED_VALUE"""),1)</f>
        <v>1</v>
      </c>
      <c r="C643" s="5">
        <f ca="1">IFERROR(__xludf.DUMMYFUNCTION("""COMPUTED_VALUE"""),10)</f>
        <v>10</v>
      </c>
      <c r="D643" s="5">
        <f ca="1">IFERROR(__xludf.DUMMYFUNCTION("""COMPUTED_VALUE"""),2021)</f>
        <v>2021</v>
      </c>
      <c r="E643" s="8">
        <f ca="1">IFERROR(__xludf.DUMMYFUNCTION("""COMPUTED_VALUE"""),44206)</f>
        <v>44206</v>
      </c>
      <c r="F643" s="5" t="str">
        <f ca="1">IFERROR(__xludf.DUMMYFUNCTION("""COMPUTED_VALUE"""),"Southeast High School")</f>
        <v>Southeast High School</v>
      </c>
      <c r="G643" s="5">
        <f ca="1">IFERROR(__xludf.DUMMYFUNCTION("""COMPUTED_VALUE"""),0)</f>
        <v>0</v>
      </c>
      <c r="H643" s="5">
        <f ca="1">IFERROR(__xludf.DUMMYFUNCTION("""COMPUTED_VALUE"""),2)</f>
        <v>2</v>
      </c>
      <c r="I643" s="5">
        <f ca="1">IFERROR(__xludf.DUMMYFUNCTION("""COMPUTED_VALUE"""),2)</f>
        <v>2</v>
      </c>
      <c r="J643" s="5">
        <f ca="1">IFERROR(__xludf.DUMMYFUNCTION("""COMPUTED_VALUE"""),0)</f>
        <v>0</v>
      </c>
      <c r="K643" s="5" t="str">
        <f ca="1">IFERROR(__xludf.DUMMYFUNCTION("""COMPUTED_VALUE"""),"https://www.wandtv.com/news/father-daughters-shot-while-learning-to-drive-in-springfield/article_2299847c-5b82-11eb-959b-af3e608f8464.html https://newschannel20.com/news/local/3-injured-in-shooting-in-southeast-high-school-parking-lot https://foxillinois."&amp;"com/news/local/3-injured-in-shooting-in-southeast-high-school-parking-lot")</f>
        <v>https://www.wandtv.com/news/father-daughters-shot-while-learning-to-drive-in-springfield/article_2299847c-5b82-11eb-959b-af3e608f8464.html https://newschannel20.com/news/local/3-injured-in-shooting-in-southeast-high-school-parking-lot https://foxillinois.com/news/local/3-injured-in-shooting-in-southeast-high-school-parking-lot</v>
      </c>
      <c r="L643" s="5">
        <f ca="1">IFERROR(__xludf.DUMMYFUNCTION("""COMPUTED_VALUE"""),2)</f>
        <v>2</v>
      </c>
      <c r="M643" s="5" t="str">
        <f ca="1">IFERROR(__xludf.DUMMYFUNCTION("""COMPUTED_VALUE"""),"Local")</f>
        <v>Local</v>
      </c>
      <c r="N643" s="5">
        <f ca="1">IFERROR(__xludf.DUMMYFUNCTION("""COMPUTED_VALUE"""),3)</f>
        <v>3</v>
      </c>
      <c r="O643" s="5" t="str">
        <f ca="1">IFERROR(__xludf.DUMMYFUNCTION("""COMPUTED_VALUE"""),"Winter")</f>
        <v>Winter</v>
      </c>
      <c r="P643" s="5" t="str">
        <f ca="1">IFERROR(__xludf.DUMMYFUNCTION("""COMPUTED_VALUE"""),"Springfield")</f>
        <v>Springfield</v>
      </c>
      <c r="Q643" s="5" t="str">
        <f ca="1">IFERROR(__xludf.DUMMYFUNCTION("""COMPUTED_VALUE"""),"IL")</f>
        <v>IL</v>
      </c>
      <c r="R643" s="5" t="str">
        <f ca="1">IFERROR(__xludf.DUMMYFUNCTION("""COMPUTED_VALUE"""),"High")</f>
        <v>High</v>
      </c>
      <c r="S643" s="5" t="str">
        <f ca="1">IFERROR(__xludf.DUMMYFUNCTION("""COMPUTED_VALUE"""),"Parking Lot")</f>
        <v>Parking Lot</v>
      </c>
      <c r="T643" s="5" t="str">
        <f ca="1">IFERROR(__xludf.DUMMYFUNCTION("""COMPUTED_VALUE"""),"Outside on School Property")</f>
        <v>Outside on School Property</v>
      </c>
      <c r="U643" s="5" t="str">
        <f ca="1">IFERROR(__xludf.DUMMYFUNCTION("""COMPUTED_VALUE"""),"No")</f>
        <v>No</v>
      </c>
      <c r="V643" s="5" t="str">
        <f ca="1">IFERROR(__xludf.DUMMYFUNCTION("""COMPUTED_VALUE"""),"Not a School Day")</f>
        <v>Not a School Day</v>
      </c>
      <c r="W643" s="10">
        <f ca="1">IFERROR(__xludf.DUMMYFUNCTION("""COMPUTED_VALUE"""),0.636805555555555)</f>
        <v>0.63680555555555496</v>
      </c>
      <c r="X643" s="5">
        <f ca="1">IFERROR(__xludf.DUMMYFUNCTION("""COMPUTED_VALUE"""),1)</f>
        <v>1</v>
      </c>
      <c r="Y643" s="5" t="str">
        <f ca="1">IFERROR(__xludf.DUMMYFUNCTION("""COMPUTED_VALUE"""),"Two women in vehicle shot in school parking lot")</f>
        <v>Two women in vehicle shot in school parking lot</v>
      </c>
      <c r="Z643" s="5" t="str">
        <f ca="1">IFERROR(__xludf.DUMMYFUNCTION("""COMPUTED_VALUE"""),"Three people were inside a vehicle in the school parking lot. The 16 year old female driver was practicing driving. A male shooter fired 22 shots from the bushes nearby. 5 struck the vehicle hitting the 16 year old female and a 20 year old female. An 18 y"&amp;"ear old male in the back seat was not injured. Bullets struck signs in the parking lot and the school building. Shooter fled the scene. Police said the shooting was targeted.")</f>
        <v>Three people were inside a vehicle in the school parking lot. The 16 year old female driver was practicing driving. A male shooter fired 22 shots from the bushes nearby. 5 struck the vehicle hitting the 16 year old female and a 20 year old female. An 18 year old male in the back seat was not injured. Bullets struck signs in the parking lot and the school building. Shooter fled the scene. Police said the shooting was targeted.</v>
      </c>
      <c r="AA643" s="5"/>
      <c r="AB643" s="5" t="str">
        <f ca="1">IFERROR(__xludf.DUMMYFUNCTION("""COMPUTED_VALUE"""),"Victims Targeted")</f>
        <v>Victims Targeted</v>
      </c>
      <c r="AC643" s="5" t="str">
        <f ca="1">IFERROR(__xludf.DUMMYFUNCTION("""COMPUTED_VALUE"""),"No")</f>
        <v>No</v>
      </c>
      <c r="AD643" s="5" t="str">
        <f ca="1">IFERROR(__xludf.DUMMYFUNCTION("""COMPUTED_VALUE"""),"No")</f>
        <v>No</v>
      </c>
      <c r="AE643" s="5" t="str">
        <f ca="1">IFERROR(__xludf.DUMMYFUNCTION("""COMPUTED_VALUE"""),"No")</f>
        <v>No</v>
      </c>
      <c r="AF643" s="5"/>
      <c r="AG643" s="5" t="str">
        <f ca="1">IFERROR(__xludf.DUMMYFUNCTION("""COMPUTED_VALUE"""),"No")</f>
        <v>No</v>
      </c>
      <c r="AH643" s="5"/>
      <c r="AI643" s="5"/>
      <c r="AJ643" s="5" t="str">
        <f ca="1">IFERROR(__xludf.DUMMYFUNCTION("""COMPUTED_VALUE"""),"No")</f>
        <v>No</v>
      </c>
    </row>
    <row r="644" spans="1:36" ht="13">
      <c r="A644" s="5" t="str">
        <f ca="1">IFERROR(__xludf.DUMMYFUNCTION("""COMPUTED_VALUE"""),"20210104NYPEJ")</f>
        <v>20210104NYPEJ</v>
      </c>
      <c r="B644" s="5">
        <f ca="1">IFERROR(__xludf.DUMMYFUNCTION("""COMPUTED_VALUE"""),1)</f>
        <v>1</v>
      </c>
      <c r="C644" s="5">
        <f ca="1">IFERROR(__xludf.DUMMYFUNCTION("""COMPUTED_VALUE"""),4)</f>
        <v>4</v>
      </c>
      <c r="D644" s="5">
        <f ca="1">IFERROR(__xludf.DUMMYFUNCTION("""COMPUTED_VALUE"""),2021)</f>
        <v>2021</v>
      </c>
      <c r="E644" s="8">
        <f ca="1">IFERROR(__xludf.DUMMYFUNCTION("""COMPUTED_VALUE"""),44200)</f>
        <v>44200</v>
      </c>
      <c r="F644" s="5" t="str">
        <f ca="1">IFERROR(__xludf.DUMMYFUNCTION("""COMPUTED_VALUE"""),"Perth Bible Church and Christian Academy")</f>
        <v>Perth Bible Church and Christian Academy</v>
      </c>
      <c r="G644" s="5">
        <f ca="1">IFERROR(__xludf.DUMMYFUNCTION("""COMPUTED_VALUE"""),0)</f>
        <v>0</v>
      </c>
      <c r="H644" s="5">
        <f ca="1">IFERROR(__xludf.DUMMYFUNCTION("""COMPUTED_VALUE"""),0)</f>
        <v>0</v>
      </c>
      <c r="I644" s="5">
        <f ca="1">IFERROR(__xludf.DUMMYFUNCTION("""COMPUTED_VALUE"""),0)</f>
        <v>0</v>
      </c>
      <c r="J644" s="5">
        <f ca="1">IFERROR(__xludf.DUMMYFUNCTION("""COMPUTED_VALUE"""),0)</f>
        <v>0</v>
      </c>
      <c r="K644" s="9" t="str">
        <f ca="1">IFERROR(__xludf.DUMMYFUNCTION("""COMPUTED_VALUE"""),"https://www.timesunion.com/news/article/Town-of-Perth-man-charged-for-alleged-animal-16084406.php#photo-20839860")</f>
        <v>https://www.timesunion.com/news/article/Town-of-Perth-man-charged-for-alleged-animal-16084406.php#photo-20839860</v>
      </c>
      <c r="L644" s="5">
        <f ca="1">IFERROR(__xludf.DUMMYFUNCTION("""COMPUTED_VALUE"""),1)</f>
        <v>1</v>
      </c>
      <c r="M644" s="5" t="str">
        <f ca="1">IFERROR(__xludf.DUMMYFUNCTION("""COMPUTED_VALUE"""),"Local")</f>
        <v>Local</v>
      </c>
      <c r="N644" s="5">
        <f ca="1">IFERROR(__xludf.DUMMYFUNCTION("""COMPUTED_VALUE"""),3)</f>
        <v>3</v>
      </c>
      <c r="O644" s="5" t="str">
        <f ca="1">IFERROR(__xludf.DUMMYFUNCTION("""COMPUTED_VALUE"""),"Winter")</f>
        <v>Winter</v>
      </c>
      <c r="P644" s="5" t="str">
        <f ca="1">IFERROR(__xludf.DUMMYFUNCTION("""COMPUTED_VALUE"""),"Johnstown")</f>
        <v>Johnstown</v>
      </c>
      <c r="Q644" s="5" t="str">
        <f ca="1">IFERROR(__xludf.DUMMYFUNCTION("""COMPUTED_VALUE"""),"NY")</f>
        <v>NY</v>
      </c>
      <c r="R644" s="11">
        <f ca="1">IFERROR(__xludf.DUMMYFUNCTION("""COMPUTED_VALUE"""),44724)</f>
        <v>44724</v>
      </c>
      <c r="S644" s="5" t="str">
        <f ca="1">IFERROR(__xludf.DUMMYFUNCTION("""COMPUTED_VALUE"""),"Field (General)")</f>
        <v>Field (General)</v>
      </c>
      <c r="T644" s="5" t="str">
        <f ca="1">IFERROR(__xludf.DUMMYFUNCTION("""COMPUTED_VALUE"""),"Outside on School Property")</f>
        <v>Outside on School Property</v>
      </c>
      <c r="U644" s="5" t="str">
        <f ca="1">IFERROR(__xludf.DUMMYFUNCTION("""COMPUTED_VALUE"""),"Yes")</f>
        <v>Yes</v>
      </c>
      <c r="V644" s="5" t="str">
        <f ca="1">IFERROR(__xludf.DUMMYFUNCTION("""COMPUTED_VALUE"""),"Morning Classes")</f>
        <v>Morning Classes</v>
      </c>
      <c r="W644" s="5"/>
      <c r="X644" s="5">
        <f ca="1">IFERROR(__xludf.DUMMYFUNCTION("""COMPUTED_VALUE"""),1)</f>
        <v>1</v>
      </c>
      <c r="Y644" s="5" t="str">
        <f ca="1">IFERROR(__xludf.DUMMYFUNCTION("""COMPUTED_VALUE"""),"Animal control officer fired personal handgun at animal on school property while school was in session")</f>
        <v>Animal control officer fired personal handgun at animal on school property while school was in session</v>
      </c>
      <c r="Z644" s="5" t="str">
        <f ca="1">IFERROR(__xludf.DUMMYFUNCTION("""COMPUTED_VALUE"""),"An animal control officer was attempting to capture a dog on the property of the school. When he said the dog became aggressive, he fired his personal handgun at the animal which fled the area after being shot in the mouth. The animal control officer did "&amp;"not report the shooting. Based on social media reports, the animal control officer was investigated and charged 3 months after the incident.")</f>
        <v>An animal control officer was attempting to capture a dog on the property of the school. When he said the dog became aggressive, he fired his personal handgun at the animal which fled the area after being shot in the mouth. The animal control officer did not report the shooting. Based on social media reports, the animal control officer was investigated and charged 3 months after the incident.</v>
      </c>
      <c r="AA644" s="5" t="str">
        <f ca="1">IFERROR(__xludf.DUMMYFUNCTION("""COMPUTED_VALUE"""),"Illegal Activity")</f>
        <v>Illegal Activity</v>
      </c>
      <c r="AB644" s="5" t="str">
        <f ca="1">IFERROR(__xludf.DUMMYFUNCTION("""COMPUTED_VALUE"""),"Neither")</f>
        <v>Neither</v>
      </c>
      <c r="AC644" s="5" t="str">
        <f ca="1">IFERROR(__xludf.DUMMYFUNCTION("""COMPUTED_VALUE"""),"No")</f>
        <v>No</v>
      </c>
      <c r="AD644" s="5" t="str">
        <f ca="1">IFERROR(__xludf.DUMMYFUNCTION("""COMPUTED_VALUE"""),"No")</f>
        <v>No</v>
      </c>
      <c r="AE644" s="5" t="str">
        <f ca="1">IFERROR(__xludf.DUMMYFUNCTION("""COMPUTED_VALUE"""),"No")</f>
        <v>No</v>
      </c>
      <c r="AF644" s="5" t="str">
        <f ca="1">IFERROR(__xludf.DUMMYFUNCTION("""COMPUTED_VALUE"""),"No")</f>
        <v>No</v>
      </c>
      <c r="AG644" s="5" t="str">
        <f ca="1">IFERROR(__xludf.DUMMYFUNCTION("""COMPUTED_VALUE"""),"No")</f>
        <v>No</v>
      </c>
      <c r="AH644" s="5" t="str">
        <f ca="1">IFERROR(__xludf.DUMMYFUNCTION("""COMPUTED_VALUE"""),"No")</f>
        <v>No</v>
      </c>
      <c r="AI644" s="5" t="str">
        <f ca="1">IFERROR(__xludf.DUMMYFUNCTION("""COMPUTED_VALUE"""),"No")</f>
        <v>No</v>
      </c>
      <c r="AJ644" s="5" t="str">
        <f ca="1">IFERROR(__xludf.DUMMYFUNCTION("""COMPUTED_VALUE"""),"No")</f>
        <v>No</v>
      </c>
    </row>
    <row r="645" spans="1:36" ht="13">
      <c r="A645" s="5" t="str">
        <f ca="1">IFERROR(__xludf.DUMMYFUNCTION("""COMPUTED_VALUE"""),"20201229WAROS")</f>
        <v>20201229WAROS</v>
      </c>
      <c r="B645" s="5">
        <f ca="1">IFERROR(__xludf.DUMMYFUNCTION("""COMPUTED_VALUE"""),12)</f>
        <v>12</v>
      </c>
      <c r="C645" s="5">
        <f ca="1">IFERROR(__xludf.DUMMYFUNCTION("""COMPUTED_VALUE"""),29)</f>
        <v>29</v>
      </c>
      <c r="D645" s="5">
        <f ca="1">IFERROR(__xludf.DUMMYFUNCTION("""COMPUTED_VALUE"""),2020)</f>
        <v>2020</v>
      </c>
      <c r="E645" s="8">
        <f ca="1">IFERROR(__xludf.DUMMYFUNCTION("""COMPUTED_VALUE"""),44194)</f>
        <v>44194</v>
      </c>
      <c r="F645" s="5" t="str">
        <f ca="1">IFERROR(__xludf.DUMMYFUNCTION("""COMPUTED_VALUE"""),"Rogers High School")</f>
        <v>Rogers High School</v>
      </c>
      <c r="G645" s="5">
        <f ca="1">IFERROR(__xludf.DUMMYFUNCTION("""COMPUTED_VALUE"""),0)</f>
        <v>0</v>
      </c>
      <c r="H645" s="5">
        <f ca="1">IFERROR(__xludf.DUMMYFUNCTION("""COMPUTED_VALUE"""),2)</f>
        <v>2</v>
      </c>
      <c r="I645" s="5">
        <f ca="1">IFERROR(__xludf.DUMMYFUNCTION("""COMPUTED_VALUE"""),2)</f>
        <v>2</v>
      </c>
      <c r="J645" s="5">
        <f ca="1">IFERROR(__xludf.DUMMYFUNCTION("""COMPUTED_VALUE"""),0)</f>
        <v>0</v>
      </c>
      <c r="K645" s="5" t="str">
        <f ca="1">IFERROR(__xludf.DUMMYFUNCTION("""COMPUTED_VALUE"""),"https://www.spokesman.com/stories/2020/dec/29/two-people-shot-at-rogers-high-school-tuesday-nigh/ https://www.khq.com/news/update-two-juveniles-suffer-non-life-threatening-gunshot-wounds-victims-statements-not-matching-up/article_c061deb0-4a44-11eb-ba84-4"&amp;"b03bcf20b40.html")</f>
        <v>https://www.spokesman.com/stories/2020/dec/29/two-people-shot-at-rogers-high-school-tuesday-nigh/ https://www.khq.com/news/update-two-juveniles-suffer-non-life-threatening-gunshot-wounds-victims-statements-not-matching-up/article_c061deb0-4a44-11eb-ba84-4b03bcf20b40.html</v>
      </c>
      <c r="L645" s="5">
        <f ca="1">IFERROR(__xludf.DUMMYFUNCTION("""COMPUTED_VALUE"""),2)</f>
        <v>2</v>
      </c>
      <c r="M645" s="5" t="str">
        <f ca="1">IFERROR(__xludf.DUMMYFUNCTION("""COMPUTED_VALUE"""),"Local")</f>
        <v>Local</v>
      </c>
      <c r="N645" s="5">
        <f ca="1">IFERROR(__xludf.DUMMYFUNCTION("""COMPUTED_VALUE"""),4)</f>
        <v>4</v>
      </c>
      <c r="O645" s="5" t="str">
        <f ca="1">IFERROR(__xludf.DUMMYFUNCTION("""COMPUTED_VALUE"""),"Winter")</f>
        <v>Winter</v>
      </c>
      <c r="P645" s="5" t="str">
        <f ca="1">IFERROR(__xludf.DUMMYFUNCTION("""COMPUTED_VALUE"""),"Spokane")</f>
        <v>Spokane</v>
      </c>
      <c r="Q645" s="5" t="str">
        <f ca="1">IFERROR(__xludf.DUMMYFUNCTION("""COMPUTED_VALUE"""),"WA")</f>
        <v>WA</v>
      </c>
      <c r="R645" s="5" t="str">
        <f ca="1">IFERROR(__xludf.DUMMYFUNCTION("""COMPUTED_VALUE"""),"High")</f>
        <v>High</v>
      </c>
      <c r="S645" s="5" t="str">
        <f ca="1">IFERROR(__xludf.DUMMYFUNCTION("""COMPUTED_VALUE"""),"Parking Lot")</f>
        <v>Parking Lot</v>
      </c>
      <c r="T645" s="5" t="str">
        <f ca="1">IFERROR(__xludf.DUMMYFUNCTION("""COMPUTED_VALUE"""),"Outside on School Property")</f>
        <v>Outside on School Property</v>
      </c>
      <c r="U645" s="5" t="str">
        <f ca="1">IFERROR(__xludf.DUMMYFUNCTION("""COMPUTED_VALUE"""),"No")</f>
        <v>No</v>
      </c>
      <c r="V645" s="5" t="str">
        <f ca="1">IFERROR(__xludf.DUMMYFUNCTION("""COMPUTED_VALUE"""),"Evening")</f>
        <v>Evening</v>
      </c>
      <c r="W645" s="10">
        <f ca="1">IFERROR(__xludf.DUMMYFUNCTION("""COMPUTED_VALUE"""),0.729166666666666)</f>
        <v>0.72916666666666596</v>
      </c>
      <c r="X645" s="5">
        <f ca="1">IFERROR(__xludf.DUMMYFUNCTION("""COMPUTED_VALUE"""),1)</f>
        <v>1</v>
      </c>
      <c r="Y645" s="5" t="str">
        <f ca="1">IFERROR(__xludf.DUMMYFUNCTION("""COMPUTED_VALUE"""),"Two teens shot in school parking lot")</f>
        <v>Two teens shot in school parking lot</v>
      </c>
      <c r="Z645" s="5" t="str">
        <f ca="1">IFERROR(__xludf.DUMMYFUNCTION("""COMPUTED_VALUE"""),"Two teen shot during fight in the school parking lot. Shooter and victims fled the scene before police arrived. Police found shell casings, a knife, and brass knuckles in the school parking lot. Two teens arrived at a hospital an hour later with gunshot w"&amp;"ound injuries to their legs.")</f>
        <v>Two teen shot during fight in the school parking lot. Shooter and victims fled the scene before police arrived. Police found shell casings, a knife, and brass knuckles in the school parking lot. Two teens arrived at a hospital an hour later with gunshot wound injuries to their legs.</v>
      </c>
      <c r="AA645" s="5" t="str">
        <f ca="1">IFERROR(__xludf.DUMMYFUNCTION("""COMPUTED_VALUE"""),"Escalation of Dispute")</f>
        <v>Escalation of Dispute</v>
      </c>
      <c r="AB645" s="5" t="str">
        <f ca="1">IFERROR(__xludf.DUMMYFUNCTION("""COMPUTED_VALUE"""),"Victims Targeted")</f>
        <v>Victims Targeted</v>
      </c>
      <c r="AC645" s="5"/>
      <c r="AD645" s="5" t="str">
        <f ca="1">IFERROR(__xludf.DUMMYFUNCTION("""COMPUTED_VALUE"""),"No")</f>
        <v>No</v>
      </c>
      <c r="AE645" s="5" t="str">
        <f ca="1">IFERROR(__xludf.DUMMYFUNCTION("""COMPUTED_VALUE"""),"No")</f>
        <v>No</v>
      </c>
      <c r="AF645" s="5" t="str">
        <f ca="1">IFERROR(__xludf.DUMMYFUNCTION("""COMPUTED_VALUE"""),"No")</f>
        <v>No</v>
      </c>
      <c r="AG645" s="5" t="str">
        <f ca="1">IFERROR(__xludf.DUMMYFUNCTION("""COMPUTED_VALUE"""),"No")</f>
        <v>No</v>
      </c>
      <c r="AH645" s="5" t="str">
        <f ca="1">IFERROR(__xludf.DUMMYFUNCTION("""COMPUTED_VALUE"""),"No")</f>
        <v>No</v>
      </c>
      <c r="AI645" s="5"/>
      <c r="AJ645" s="5" t="str">
        <f ca="1">IFERROR(__xludf.DUMMYFUNCTION("""COMPUTED_VALUE"""),"No")</f>
        <v>No</v>
      </c>
    </row>
    <row r="646" spans="1:36" ht="13">
      <c r="A646" s="5" t="str">
        <f ca="1">IFERROR(__xludf.DUMMYFUNCTION("""COMPUTED_VALUE"""),"20201225FLYOP")</f>
        <v>20201225FLYOP</v>
      </c>
      <c r="B646" s="5">
        <f ca="1">IFERROR(__xludf.DUMMYFUNCTION("""COMPUTED_VALUE"""),12)</f>
        <v>12</v>
      </c>
      <c r="C646" s="5">
        <f ca="1">IFERROR(__xludf.DUMMYFUNCTION("""COMPUTED_VALUE"""),25)</f>
        <v>25</v>
      </c>
      <c r="D646" s="5">
        <f ca="1">IFERROR(__xludf.DUMMYFUNCTION("""COMPUTED_VALUE"""),2020)</f>
        <v>2020</v>
      </c>
      <c r="E646" s="8">
        <f ca="1">IFERROR(__xludf.DUMMYFUNCTION("""COMPUTED_VALUE"""),44190)</f>
        <v>44190</v>
      </c>
      <c r="F646" s="5" t="str">
        <f ca="1">IFERROR(__xludf.DUMMYFUNCTION("""COMPUTED_VALUE"""),"Youth Under Construction Youth Center")</f>
        <v>Youth Under Construction Youth Center</v>
      </c>
      <c r="G646" s="5">
        <f ca="1">IFERROR(__xludf.DUMMYFUNCTION("""COMPUTED_VALUE"""),0)</f>
        <v>0</v>
      </c>
      <c r="H646" s="5">
        <f ca="1">IFERROR(__xludf.DUMMYFUNCTION("""COMPUTED_VALUE"""),0)</f>
        <v>0</v>
      </c>
      <c r="I646" s="5">
        <f ca="1">IFERROR(__xludf.DUMMYFUNCTION("""COMPUTED_VALUE"""),0)</f>
        <v>0</v>
      </c>
      <c r="J646" s="5">
        <f ca="1">IFERROR(__xludf.DUMMYFUNCTION("""COMPUTED_VALUE"""),0)</f>
        <v>0</v>
      </c>
      <c r="K646" s="9" t="str">
        <f ca="1">IFERROR(__xludf.DUMMYFUNCTION("""COMPUTED_VALUE"""),"https://wsvn.com/news/special-reports/bso-investigating-shooting-incident-outside-holiday-party-hosted-by-pompano-beach-school-for-at-risk-youth/")</f>
        <v>https://wsvn.com/news/special-reports/bso-investigating-shooting-incident-outside-holiday-party-hosted-by-pompano-beach-school-for-at-risk-youth/</v>
      </c>
      <c r="L646" s="5">
        <f ca="1">IFERROR(__xludf.DUMMYFUNCTION("""COMPUTED_VALUE"""),1)</f>
        <v>1</v>
      </c>
      <c r="M646" s="5" t="str">
        <f ca="1">IFERROR(__xludf.DUMMYFUNCTION("""COMPUTED_VALUE"""),"Local")</f>
        <v>Local</v>
      </c>
      <c r="N646" s="5">
        <f ca="1">IFERROR(__xludf.DUMMYFUNCTION("""COMPUTED_VALUE"""),4)</f>
        <v>4</v>
      </c>
      <c r="O646" s="5" t="str">
        <f ca="1">IFERROR(__xludf.DUMMYFUNCTION("""COMPUTED_VALUE"""),"Winter")</f>
        <v>Winter</v>
      </c>
      <c r="P646" s="5" t="str">
        <f ca="1">IFERROR(__xludf.DUMMYFUNCTION("""COMPUTED_VALUE"""),"Pompano Beach")</f>
        <v>Pompano Beach</v>
      </c>
      <c r="Q646" s="5" t="str">
        <f ca="1">IFERROR(__xludf.DUMMYFUNCTION("""COMPUTED_VALUE"""),"FL")</f>
        <v>FL</v>
      </c>
      <c r="R646" s="5" t="str">
        <f ca="1">IFERROR(__xludf.DUMMYFUNCTION("""COMPUTED_VALUE"""),"High")</f>
        <v>High</v>
      </c>
      <c r="S646" s="5" t="str">
        <f ca="1">IFERROR(__xludf.DUMMYFUNCTION("""COMPUTED_VALUE"""),"Parking Lot")</f>
        <v>Parking Lot</v>
      </c>
      <c r="T646" s="5" t="str">
        <f ca="1">IFERROR(__xludf.DUMMYFUNCTION("""COMPUTED_VALUE"""),"Outside on School Property")</f>
        <v>Outside on School Property</v>
      </c>
      <c r="U646" s="5" t="str">
        <f ca="1">IFERROR(__xludf.DUMMYFUNCTION("""COMPUTED_VALUE"""),"No")</f>
        <v>No</v>
      </c>
      <c r="V646" s="5" t="str">
        <f ca="1">IFERROR(__xludf.DUMMYFUNCTION("""COMPUTED_VALUE"""),"School Event")</f>
        <v>School Event</v>
      </c>
      <c r="W646" s="10">
        <f ca="1">IFERROR(__xludf.DUMMYFUNCTION("""COMPUTED_VALUE"""),0.958333333333333)</f>
        <v>0.95833333333333304</v>
      </c>
      <c r="X646" s="5">
        <f ca="1">IFERROR(__xludf.DUMMYFUNCTION("""COMPUTED_VALUE"""),1)</f>
        <v>1</v>
      </c>
      <c r="Y646" s="5" t="str">
        <f ca="1">IFERROR(__xludf.DUMMYFUNCTION("""COMPUTED_VALUE"""),"Shots fired in the parking lot during school holiday party")</f>
        <v>Shots fired in the parking lot during school holiday party</v>
      </c>
      <c r="Z646" s="5" t="str">
        <f ca="1">IFERROR(__xludf.DUMMYFUNCTION("""COMPUTED_VALUE"""),"15 shots were fired in the parking lot of the school during an evening holiday party attended by students of the school. Students inside the school called 911 and reported an active shooter. Police responded and searched the building. Shooter fled the sce"&amp;"ne. No injuries.")</f>
        <v>15 shots were fired in the parking lot of the school during an evening holiday party attended by students of the school. Students inside the school called 911 and reported an active shooter. Police responded and searched the building. Shooter fled the scene. No injuries.</v>
      </c>
      <c r="AA646" s="5"/>
      <c r="AB646" s="5"/>
      <c r="AC646" s="5" t="str">
        <f ca="1">IFERROR(__xludf.DUMMYFUNCTION("""COMPUTED_VALUE"""),"No")</f>
        <v>No</v>
      </c>
      <c r="AD646" s="5" t="str">
        <f ca="1">IFERROR(__xludf.DUMMYFUNCTION("""COMPUTED_VALUE"""),"No")</f>
        <v>No</v>
      </c>
      <c r="AE646" s="5" t="str">
        <f ca="1">IFERROR(__xludf.DUMMYFUNCTION("""COMPUTED_VALUE"""),"No")</f>
        <v>No</v>
      </c>
      <c r="AF646" s="5" t="str">
        <f ca="1">IFERROR(__xludf.DUMMYFUNCTION("""COMPUTED_VALUE"""),"No")</f>
        <v>No</v>
      </c>
      <c r="AG646" s="5"/>
      <c r="AH646" s="5" t="str">
        <f ca="1">IFERROR(__xludf.DUMMYFUNCTION("""COMPUTED_VALUE"""),"No")</f>
        <v>No</v>
      </c>
      <c r="AI646" s="5"/>
      <c r="AJ646" s="5" t="str">
        <f ca="1">IFERROR(__xludf.DUMMYFUNCTION("""COMPUTED_VALUE"""),"No")</f>
        <v>No</v>
      </c>
    </row>
    <row r="647" spans="1:36" ht="13">
      <c r="A647" s="5" t="str">
        <f ca="1">IFERROR(__xludf.DUMMYFUNCTION("""COMPUTED_VALUE"""),"20201216ILDUC")</f>
        <v>20201216ILDUC</v>
      </c>
      <c r="B647" s="5">
        <f ca="1">IFERROR(__xludf.DUMMYFUNCTION("""COMPUTED_VALUE"""),12)</f>
        <v>12</v>
      </c>
      <c r="C647" s="5">
        <f ca="1">IFERROR(__xludf.DUMMYFUNCTION("""COMPUTED_VALUE"""),16)</f>
        <v>16</v>
      </c>
      <c r="D647" s="5">
        <f ca="1">IFERROR(__xludf.DUMMYFUNCTION("""COMPUTED_VALUE"""),2020)</f>
        <v>2020</v>
      </c>
      <c r="E647" s="8">
        <f ca="1">IFERROR(__xludf.DUMMYFUNCTION("""COMPUTED_VALUE"""),44181)</f>
        <v>44181</v>
      </c>
      <c r="F647" s="5" t="str">
        <f ca="1">IFERROR(__xludf.DUMMYFUNCTION("""COMPUTED_VALUE"""),"Dubois Elementary School")</f>
        <v>Dubois Elementary School</v>
      </c>
      <c r="G647" s="5">
        <f ca="1">IFERROR(__xludf.DUMMYFUNCTION("""COMPUTED_VALUE"""),1)</f>
        <v>1</v>
      </c>
      <c r="H647" s="5">
        <f ca="1">IFERROR(__xludf.DUMMYFUNCTION("""COMPUTED_VALUE"""),0)</f>
        <v>0</v>
      </c>
      <c r="I647" s="5">
        <f ca="1">IFERROR(__xludf.DUMMYFUNCTION("""COMPUTED_VALUE"""),1)</f>
        <v>1</v>
      </c>
      <c r="J647" s="5">
        <f ca="1">IFERROR(__xludf.DUMMYFUNCTION("""COMPUTED_VALUE"""),0)</f>
        <v>0</v>
      </c>
      <c r="K647" s="5" t="str">
        <f ca="1">IFERROR(__xludf.DUMMYFUNCTION("""COMPUTED_VALUE"""),"https://chicago.suntimes.com/crime/2020/12/17/22180063/man-found-fatally-shot-133rd-riverdale-police https://chicago.cbslocal.com/2020/12/17/man-shot-and-killed-in-school-parking-lot-on-far-south-side/ https://abc7chicago.com/man-shot-dead-near-riverdale-"&amp;"elementary-school-cpd/8840460/ https://wgntv.com/news/chicago-news/man-found-shot-to-death-near-school-on-far-south-side/")</f>
        <v>https://chicago.suntimes.com/crime/2020/12/17/22180063/man-found-fatally-shot-133rd-riverdale-police https://chicago.cbslocal.com/2020/12/17/man-shot-and-killed-in-school-parking-lot-on-far-south-side/ https://abc7chicago.com/man-shot-dead-near-riverdale-elementary-school-cpd/8840460/ https://wgntv.com/news/chicago-news/man-found-shot-to-death-near-school-on-far-south-side/</v>
      </c>
      <c r="L647" s="5">
        <f ca="1">IFERROR(__xludf.DUMMYFUNCTION("""COMPUTED_VALUE"""),4)</f>
        <v>4</v>
      </c>
      <c r="M647" s="5" t="str">
        <f ca="1">IFERROR(__xludf.DUMMYFUNCTION("""COMPUTED_VALUE"""),"Local")</f>
        <v>Local</v>
      </c>
      <c r="N647" s="5">
        <f ca="1">IFERROR(__xludf.DUMMYFUNCTION("""COMPUTED_VALUE"""),4)</f>
        <v>4</v>
      </c>
      <c r="O647" s="5" t="str">
        <f ca="1">IFERROR(__xludf.DUMMYFUNCTION("""COMPUTED_VALUE"""),"Winter")</f>
        <v>Winter</v>
      </c>
      <c r="P647" s="5" t="str">
        <f ca="1">IFERROR(__xludf.DUMMYFUNCTION("""COMPUTED_VALUE"""),"Chicago")</f>
        <v>Chicago</v>
      </c>
      <c r="Q647" s="5" t="str">
        <f ca="1">IFERROR(__xludf.DUMMYFUNCTION("""COMPUTED_VALUE"""),"IL")</f>
        <v>IL</v>
      </c>
      <c r="R647" s="5" t="str">
        <f ca="1">IFERROR(__xludf.DUMMYFUNCTION("""COMPUTED_VALUE"""),"Elementary")</f>
        <v>Elementary</v>
      </c>
      <c r="S647" s="5" t="str">
        <f ca="1">IFERROR(__xludf.DUMMYFUNCTION("""COMPUTED_VALUE"""),"Parking Lot")</f>
        <v>Parking Lot</v>
      </c>
      <c r="T647" s="5" t="str">
        <f ca="1">IFERROR(__xludf.DUMMYFUNCTION("""COMPUTED_VALUE"""),"Outside on School Property")</f>
        <v>Outside on School Property</v>
      </c>
      <c r="U647" s="5" t="str">
        <f ca="1">IFERROR(__xludf.DUMMYFUNCTION("""COMPUTED_VALUE"""),"No")</f>
        <v>No</v>
      </c>
      <c r="V647" s="5" t="str">
        <f ca="1">IFERROR(__xludf.DUMMYFUNCTION("""COMPUTED_VALUE"""),"Night")</f>
        <v>Night</v>
      </c>
      <c r="W647" s="10">
        <f ca="1">IFERROR(__xludf.DUMMYFUNCTION("""COMPUTED_VALUE"""),0.979166666666666)</f>
        <v>0.97916666666666596</v>
      </c>
      <c r="X647" s="5">
        <f ca="1">IFERROR(__xludf.DUMMYFUNCTION("""COMPUTED_VALUE"""),1)</f>
        <v>1</v>
      </c>
      <c r="Y647" s="5" t="str">
        <f ca="1">IFERROR(__xludf.DUMMYFUNCTION("""COMPUTED_VALUE"""),"Man fatally shot in parking lot of school")</f>
        <v>Man fatally shot in parking lot of school</v>
      </c>
      <c r="Z647" s="5" t="str">
        <f ca="1">IFERROR(__xludf.DUMMYFUNCTION("""COMPUTED_VALUE"""),"Shot detection technology alerted police for a shooting at the school. Police found a man who had been fatally shot multiple times in the head, back, and leg. He was pronounced dead at the scene. Shooter fled the area before police arrived.")</f>
        <v>Shot detection technology alerted police for a shooting at the school. Police found a man who had been fatally shot multiple times in the head, back, and leg. He was pronounced dead at the scene. Shooter fled the area before police arrived.</v>
      </c>
      <c r="AA647" s="5"/>
      <c r="AB647" s="5" t="str">
        <f ca="1">IFERROR(__xludf.DUMMYFUNCTION("""COMPUTED_VALUE"""),"Victims Targeted")</f>
        <v>Victims Targeted</v>
      </c>
      <c r="AC647" s="5"/>
      <c r="AD647" s="5" t="str">
        <f ca="1">IFERROR(__xludf.DUMMYFUNCTION("""COMPUTED_VALUE"""),"No")</f>
        <v>No</v>
      </c>
      <c r="AE647" s="5" t="str">
        <f ca="1">IFERROR(__xludf.DUMMYFUNCTION("""COMPUTED_VALUE"""),"No")</f>
        <v>No</v>
      </c>
      <c r="AF647" s="5" t="str">
        <f ca="1">IFERROR(__xludf.DUMMYFUNCTION("""COMPUTED_VALUE"""),"No")</f>
        <v>No</v>
      </c>
      <c r="AG647" s="5" t="str">
        <f ca="1">IFERROR(__xludf.DUMMYFUNCTION("""COMPUTED_VALUE"""),"No")</f>
        <v>No</v>
      </c>
      <c r="AH647" s="5" t="str">
        <f ca="1">IFERROR(__xludf.DUMMYFUNCTION("""COMPUTED_VALUE"""),"No")</f>
        <v>No</v>
      </c>
      <c r="AI647" s="5"/>
      <c r="AJ647" s="5" t="str">
        <f ca="1">IFERROR(__xludf.DUMMYFUNCTION("""COMPUTED_VALUE"""),"No")</f>
        <v>No</v>
      </c>
    </row>
    <row r="648" spans="1:36" ht="13">
      <c r="A648" s="5" t="str">
        <f ca="1">IFERROR(__xludf.DUMMYFUNCTION("""COMPUTED_VALUE"""),"20201211VATAY")</f>
        <v>20201211VATAY</v>
      </c>
      <c r="B648" s="5">
        <f ca="1">IFERROR(__xludf.DUMMYFUNCTION("""COMPUTED_VALUE"""),12)</f>
        <v>12</v>
      </c>
      <c r="C648" s="5">
        <f ca="1">IFERROR(__xludf.DUMMYFUNCTION("""COMPUTED_VALUE"""),11)</f>
        <v>11</v>
      </c>
      <c r="D648" s="5">
        <f ca="1">IFERROR(__xludf.DUMMYFUNCTION("""COMPUTED_VALUE"""),2020)</f>
        <v>2020</v>
      </c>
      <c r="E648" s="8">
        <f ca="1">IFERROR(__xludf.DUMMYFUNCTION("""COMPUTED_VALUE"""),44176)</f>
        <v>44176</v>
      </c>
      <c r="F648" s="5" t="str">
        <f ca="1">IFERROR(__xludf.DUMMYFUNCTION("""COMPUTED_VALUE"""),"Tabb Middle School")</f>
        <v>Tabb Middle School</v>
      </c>
      <c r="G648" s="5">
        <f ca="1">IFERROR(__xludf.DUMMYFUNCTION("""COMPUTED_VALUE"""),0)</f>
        <v>0</v>
      </c>
      <c r="H648" s="5">
        <f ca="1">IFERROR(__xludf.DUMMYFUNCTION("""COMPUTED_VALUE"""),0)</f>
        <v>0</v>
      </c>
      <c r="I648" s="5">
        <f ca="1">IFERROR(__xludf.DUMMYFUNCTION("""COMPUTED_VALUE"""),0)</f>
        <v>0</v>
      </c>
      <c r="J648" s="5">
        <f ca="1">IFERROR(__xludf.DUMMYFUNCTION("""COMPUTED_VALUE"""),0)</f>
        <v>0</v>
      </c>
      <c r="K648" s="5" t="str">
        <f ca="1">IFERROR(__xludf.DUMMYFUNCTION("""COMPUTED_VALUE"""),"https://www.wtkr.com/news/deputies-investigating-report-of-possible-shooting-near-york-co-middle-school https://www.13newsnow.com/article/news/crime/deputies-investigate-shooting-outside-tabb-middle-school-in-york-county/291-794eef13-68c8-4f1e-ae83-d5cd23"&amp;"8d00d6")</f>
        <v>https://www.wtkr.com/news/deputies-investigating-report-of-possible-shooting-near-york-co-middle-school https://www.13newsnow.com/article/news/crime/deputies-investigate-shooting-outside-tabb-middle-school-in-york-county/291-794eef13-68c8-4f1e-ae83-d5cd238d00d6</v>
      </c>
      <c r="L648" s="5">
        <f ca="1">IFERROR(__xludf.DUMMYFUNCTION("""COMPUTED_VALUE"""),2)</f>
        <v>2</v>
      </c>
      <c r="M648" s="5" t="str">
        <f ca="1">IFERROR(__xludf.DUMMYFUNCTION("""COMPUTED_VALUE"""),"Local")</f>
        <v>Local</v>
      </c>
      <c r="N648" s="5">
        <f ca="1">IFERROR(__xludf.DUMMYFUNCTION("""COMPUTED_VALUE"""),3)</f>
        <v>3</v>
      </c>
      <c r="O648" s="5" t="str">
        <f ca="1">IFERROR(__xludf.DUMMYFUNCTION("""COMPUTED_VALUE"""),"Winter")</f>
        <v>Winter</v>
      </c>
      <c r="P648" s="5" t="str">
        <f ca="1">IFERROR(__xludf.DUMMYFUNCTION("""COMPUTED_VALUE"""),"Yorktown")</f>
        <v>Yorktown</v>
      </c>
      <c r="Q648" s="5" t="str">
        <f ca="1">IFERROR(__xludf.DUMMYFUNCTION("""COMPUTED_VALUE"""),"VA")</f>
        <v>VA</v>
      </c>
      <c r="R648" s="5" t="str">
        <f ca="1">IFERROR(__xludf.DUMMYFUNCTION("""COMPUTED_VALUE"""),"Middle")</f>
        <v>Middle</v>
      </c>
      <c r="S648" s="5" t="str">
        <f ca="1">IFERROR(__xludf.DUMMYFUNCTION("""COMPUTED_VALUE"""),"Basketball Court")</f>
        <v>Basketball Court</v>
      </c>
      <c r="T648" s="5" t="str">
        <f ca="1">IFERROR(__xludf.DUMMYFUNCTION("""COMPUTED_VALUE"""),"Outside on School Property")</f>
        <v>Outside on School Property</v>
      </c>
      <c r="U648" s="5" t="str">
        <f ca="1">IFERROR(__xludf.DUMMYFUNCTION("""COMPUTED_VALUE"""),"No")</f>
        <v>No</v>
      </c>
      <c r="V648" s="5" t="str">
        <f ca="1">IFERROR(__xludf.DUMMYFUNCTION("""COMPUTED_VALUE"""),"Evening")</f>
        <v>Evening</v>
      </c>
      <c r="W648" s="10">
        <f ca="1">IFERROR(__xludf.DUMMYFUNCTION("""COMPUTED_VALUE"""),0.693055555555555)</f>
        <v>0.69305555555555498</v>
      </c>
      <c r="X648" s="5">
        <f ca="1">IFERROR(__xludf.DUMMYFUNCTION("""COMPUTED_VALUE"""),1)</f>
        <v>1</v>
      </c>
      <c r="Y648" s="5" t="str">
        <f ca="1">IFERROR(__xludf.DUMMYFUNCTION("""COMPUTED_VALUE"""),"Shooting on school basketball court")</f>
        <v>Shooting on school basketball court</v>
      </c>
      <c r="Z648" s="5" t="str">
        <f ca="1">IFERROR(__xludf.DUMMYFUNCTION("""COMPUTED_VALUE"""),"Police were notified by school employees of a shooting that occurred on the basketball court of the school. Shooter fled the scene. No injuries reported. Students were not in class at the time of the shooting.")</f>
        <v>Police were notified by school employees of a shooting that occurred on the basketball court of the school. Shooter fled the scene. No injuries reported. Students were not in class at the time of the shooting.</v>
      </c>
      <c r="AA648" s="5"/>
      <c r="AB648" s="5"/>
      <c r="AC648" s="5"/>
      <c r="AD648" s="5" t="str">
        <f ca="1">IFERROR(__xludf.DUMMYFUNCTION("""COMPUTED_VALUE"""),"No")</f>
        <v>No</v>
      </c>
      <c r="AE648" s="5" t="str">
        <f ca="1">IFERROR(__xludf.DUMMYFUNCTION("""COMPUTED_VALUE"""),"No")</f>
        <v>No</v>
      </c>
      <c r="AF648" s="5" t="str">
        <f ca="1">IFERROR(__xludf.DUMMYFUNCTION("""COMPUTED_VALUE"""),"No")</f>
        <v>No</v>
      </c>
      <c r="AG648" s="5" t="str">
        <f ca="1">IFERROR(__xludf.DUMMYFUNCTION("""COMPUTED_VALUE"""),"No")</f>
        <v>No</v>
      </c>
      <c r="AH648" s="5" t="str">
        <f ca="1">IFERROR(__xludf.DUMMYFUNCTION("""COMPUTED_VALUE"""),"No")</f>
        <v>No</v>
      </c>
      <c r="AI648" s="5"/>
      <c r="AJ648" s="5" t="str">
        <f ca="1">IFERROR(__xludf.DUMMYFUNCTION("""COMPUTED_VALUE"""),"No")</f>
        <v>No</v>
      </c>
    </row>
    <row r="649" spans="1:36" ht="13">
      <c r="A649" s="5" t="str">
        <f ca="1">IFERROR(__xludf.DUMMYFUNCTION("""COMPUTED_VALUE"""),"20201207ILEAC")</f>
        <v>20201207ILEAC</v>
      </c>
      <c r="B649" s="5">
        <f ca="1">IFERROR(__xludf.DUMMYFUNCTION("""COMPUTED_VALUE"""),12)</f>
        <v>12</v>
      </c>
      <c r="C649" s="5">
        <f ca="1">IFERROR(__xludf.DUMMYFUNCTION("""COMPUTED_VALUE"""),6)</f>
        <v>6</v>
      </c>
      <c r="D649" s="5">
        <f ca="1">IFERROR(__xludf.DUMMYFUNCTION("""COMPUTED_VALUE"""),2020)</f>
        <v>2020</v>
      </c>
      <c r="E649" s="8">
        <f ca="1">IFERROR(__xludf.DUMMYFUNCTION("""COMPUTED_VALUE"""),44171)</f>
        <v>44171</v>
      </c>
      <c r="F649" s="5" t="str">
        <f ca="1">IFERROR(__xludf.DUMMYFUNCTION("""COMPUTED_VALUE"""),"East Chicago Academy of Visual and Performing Arts")</f>
        <v>East Chicago Academy of Visual and Performing Arts</v>
      </c>
      <c r="G649" s="5">
        <f ca="1">IFERROR(__xludf.DUMMYFUNCTION("""COMPUTED_VALUE"""),1)</f>
        <v>1</v>
      </c>
      <c r="H649" s="5">
        <f ca="1">IFERROR(__xludf.DUMMYFUNCTION("""COMPUTED_VALUE"""),0)</f>
        <v>0</v>
      </c>
      <c r="I649" s="5">
        <f ca="1">IFERROR(__xludf.DUMMYFUNCTION("""COMPUTED_VALUE"""),1)</f>
        <v>1</v>
      </c>
      <c r="J649" s="5">
        <f ca="1">IFERROR(__xludf.DUMMYFUNCTION("""COMPUTED_VALUE"""),0)</f>
        <v>0</v>
      </c>
      <c r="K649" s="5" t="str">
        <f ca="1">IFERROR(__xludf.DUMMYFUNCTION("""COMPUTED_VALUE"""),"https://www.nwitimes.com/news/police-respond-to-gunshot-victim-found-in-east-chicago/article_1c8bd618-0344-5acb-bf1c-63f675544572.html https://wgntv.com/news/chicago-news/man-found-shot-to-death-outside-high-school-in-east-chicago-neighborhood/")</f>
        <v>https://www.nwitimes.com/news/police-respond-to-gunshot-victim-found-in-east-chicago/article_1c8bd618-0344-5acb-bf1c-63f675544572.html https://wgntv.com/news/chicago-news/man-found-shot-to-death-outside-high-school-in-east-chicago-neighborhood/</v>
      </c>
      <c r="L649" s="5">
        <f ca="1">IFERROR(__xludf.DUMMYFUNCTION("""COMPUTED_VALUE"""),2)</f>
        <v>2</v>
      </c>
      <c r="M649" s="5" t="str">
        <f ca="1">IFERROR(__xludf.DUMMYFUNCTION("""COMPUTED_VALUE"""),"Local")</f>
        <v>Local</v>
      </c>
      <c r="N649" s="5">
        <f ca="1">IFERROR(__xludf.DUMMYFUNCTION("""COMPUTED_VALUE"""),3)</f>
        <v>3</v>
      </c>
      <c r="O649" s="5" t="str">
        <f ca="1">IFERROR(__xludf.DUMMYFUNCTION("""COMPUTED_VALUE"""),"Winter")</f>
        <v>Winter</v>
      </c>
      <c r="P649" s="5" t="str">
        <f ca="1">IFERROR(__xludf.DUMMYFUNCTION("""COMPUTED_VALUE"""),"Chicago")</f>
        <v>Chicago</v>
      </c>
      <c r="Q649" s="5" t="str">
        <f ca="1">IFERROR(__xludf.DUMMYFUNCTION("""COMPUTED_VALUE"""),"IL")</f>
        <v>IL</v>
      </c>
      <c r="R649" s="5" t="str">
        <f ca="1">IFERROR(__xludf.DUMMYFUNCTION("""COMPUTED_VALUE"""),"High")</f>
        <v>High</v>
      </c>
      <c r="S649" s="5" t="str">
        <f ca="1">IFERROR(__xludf.DUMMYFUNCTION("""COMPUTED_VALUE"""),"Front of School")</f>
        <v>Front of School</v>
      </c>
      <c r="T649" s="5" t="str">
        <f ca="1">IFERROR(__xludf.DUMMYFUNCTION("""COMPUTED_VALUE"""),"Outside on School Property")</f>
        <v>Outside on School Property</v>
      </c>
      <c r="U649" s="5" t="str">
        <f ca="1">IFERROR(__xludf.DUMMYFUNCTION("""COMPUTED_VALUE"""),"No")</f>
        <v>No</v>
      </c>
      <c r="V649" s="5" t="str">
        <f ca="1">IFERROR(__xludf.DUMMYFUNCTION("""COMPUTED_VALUE"""),"Night")</f>
        <v>Night</v>
      </c>
      <c r="W649" s="5"/>
      <c r="X649" s="5">
        <f ca="1">IFERROR(__xludf.DUMMYFUNCTION("""COMPUTED_VALUE"""),1)</f>
        <v>1</v>
      </c>
      <c r="Y649" s="5" t="str">
        <f ca="1">IFERROR(__xludf.DUMMYFUNCTION("""COMPUTED_VALUE"""),"Man found dead in front of school from gunshot wound")</f>
        <v>Man found dead in front of school from gunshot wound</v>
      </c>
      <c r="Z649" s="5" t="str">
        <f ca="1">IFERROR(__xludf.DUMMYFUNCTION("""COMPUTED_VALUE"""),"Police were notified at 8 AM in the morning for a man who was found with a gunshot wound to the head in the grass in front of the school. The shooting occurred overnight. Multiple 911 calls for different shots fired incidents in the nearby area had taken "&amp;"place recently. No suspect or motive identified by police.")</f>
        <v>Police were notified at 8 AM in the morning for a man who was found with a gunshot wound to the head in the grass in front of the school. The shooting occurred overnight. Multiple 911 calls for different shots fired incidents in the nearby area had taken place recently. No suspect or motive identified by police.</v>
      </c>
      <c r="AA649" s="5"/>
      <c r="AB649" s="5"/>
      <c r="AC649" s="5"/>
      <c r="AD649" s="5" t="str">
        <f ca="1">IFERROR(__xludf.DUMMYFUNCTION("""COMPUTED_VALUE"""),"No")</f>
        <v>No</v>
      </c>
      <c r="AE649" s="5" t="str">
        <f ca="1">IFERROR(__xludf.DUMMYFUNCTION("""COMPUTED_VALUE"""),"No")</f>
        <v>No</v>
      </c>
      <c r="AF649" s="5"/>
      <c r="AG649" s="5" t="str">
        <f ca="1">IFERROR(__xludf.DUMMYFUNCTION("""COMPUTED_VALUE"""),"No")</f>
        <v>No</v>
      </c>
      <c r="AH649" s="5" t="str">
        <f ca="1">IFERROR(__xludf.DUMMYFUNCTION("""COMPUTED_VALUE"""),"No")</f>
        <v>No</v>
      </c>
      <c r="AI649" s="5"/>
      <c r="AJ649" s="5" t="str">
        <f ca="1">IFERROR(__xludf.DUMMYFUNCTION("""COMPUTED_VALUE"""),"No")</f>
        <v>No</v>
      </c>
    </row>
    <row r="650" spans="1:36" ht="13">
      <c r="A650" s="5" t="str">
        <f ca="1">IFERROR(__xludf.DUMMYFUNCTION("""COMPUTED_VALUE"""),"20201124NCHEH")</f>
        <v>20201124NCHEH</v>
      </c>
      <c r="B650" s="5">
        <f ca="1">IFERROR(__xludf.DUMMYFUNCTION("""COMPUTED_VALUE"""),11)</f>
        <v>11</v>
      </c>
      <c r="C650" s="5">
        <f ca="1">IFERROR(__xludf.DUMMYFUNCTION("""COMPUTED_VALUE"""),25)</f>
        <v>25</v>
      </c>
      <c r="D650" s="5">
        <f ca="1">IFERROR(__xludf.DUMMYFUNCTION("""COMPUTED_VALUE"""),2020)</f>
        <v>2020</v>
      </c>
      <c r="E650" s="8">
        <f ca="1">IFERROR(__xludf.DUMMYFUNCTION("""COMPUTED_VALUE"""),44160)</f>
        <v>44160</v>
      </c>
      <c r="F650" s="5" t="str">
        <f ca="1">IFERROR(__xludf.DUMMYFUNCTION("""COMPUTED_VALUE"""),"Hendersonville Middle School")</f>
        <v>Hendersonville Middle School</v>
      </c>
      <c r="G650" s="5">
        <f ca="1">IFERROR(__xludf.DUMMYFUNCTION("""COMPUTED_VALUE"""),0)</f>
        <v>0</v>
      </c>
      <c r="H650" s="5">
        <f ca="1">IFERROR(__xludf.DUMMYFUNCTION("""COMPUTED_VALUE"""),1)</f>
        <v>1</v>
      </c>
      <c r="I650" s="5">
        <f ca="1">IFERROR(__xludf.DUMMYFUNCTION("""COMPUTED_VALUE"""),1)</f>
        <v>1</v>
      </c>
      <c r="J650" s="5">
        <f ca="1">IFERROR(__xludf.DUMMYFUNCTION("""COMPUTED_VALUE"""),0)</f>
        <v>0</v>
      </c>
      <c r="K650" s="5" t="str">
        <f ca="1">IFERROR(__xludf.DUMMYFUNCTION("""COMPUTED_VALUE"""),"https://www.wyff4.com/article/update-on-condition-of-hendersonville-middle-school-student-who-was-shot/34786456 https://www.wspa.com/news/top-stories/henderson-middle-school-on-code-yellow-lockdown/ https://wlos.com/news/local/12-year-old-accused-of-shoot"&amp;"ing-classmate-faces-felony-charge https://www.hendersonvillelightning.com/news/9846-student-wounded-in-shooting-at-hendersonville-middle-school.html https://www.foxcarolina.com/news/one-student-in-custody-another-in-the-hospital-following-shooting-at-hend"&amp;"ersonville-middle-school/article_b3da78c0-2e59-11eb-84e3-577755c57b3c.html?block_id=994016 https://www.citizen-times.com/story/news/local/2020/11/24/school-shooting-student-shoots-classmate-hendersonville-middle/6406392002/")</f>
        <v>https://www.wyff4.com/article/update-on-condition-of-hendersonville-middle-school-student-who-was-shot/34786456 https://www.wspa.com/news/top-stories/henderson-middle-school-on-code-yellow-lockdown/ https://wlos.com/news/local/12-year-old-accused-of-shooting-classmate-faces-felony-charge https://www.hendersonvillelightning.com/news/9846-student-wounded-in-shooting-at-hendersonville-middle-school.html https://www.foxcarolina.com/news/one-student-in-custody-another-in-the-hospital-following-shooting-at-hendersonville-middle-school/article_b3da78c0-2e59-11eb-84e3-577755c57b3c.html?block_id=994016 https://www.citizen-times.com/story/news/local/2020/11/24/school-shooting-student-shoots-classmate-hendersonville-middle/6406392002/</v>
      </c>
      <c r="L650" s="5">
        <f ca="1">IFERROR(__xludf.DUMMYFUNCTION("""COMPUTED_VALUE"""),10)</f>
        <v>10</v>
      </c>
      <c r="M650" s="5" t="str">
        <f ca="1">IFERROR(__xludf.DUMMYFUNCTION("""COMPUTED_VALUE"""),"Regional")</f>
        <v>Regional</v>
      </c>
      <c r="N650" s="5">
        <f ca="1">IFERROR(__xludf.DUMMYFUNCTION("""COMPUTED_VALUE"""),4)</f>
        <v>4</v>
      </c>
      <c r="O650" s="5" t="str">
        <f ca="1">IFERROR(__xludf.DUMMYFUNCTION("""COMPUTED_VALUE"""),"Fall")</f>
        <v>Fall</v>
      </c>
      <c r="P650" s="5" t="str">
        <f ca="1">IFERROR(__xludf.DUMMYFUNCTION("""COMPUTED_VALUE"""),"Hendersonville")</f>
        <v>Hendersonville</v>
      </c>
      <c r="Q650" s="5" t="str">
        <f ca="1">IFERROR(__xludf.DUMMYFUNCTION("""COMPUTED_VALUE"""),"NC")</f>
        <v>NC</v>
      </c>
      <c r="R650" s="5" t="str">
        <f ca="1">IFERROR(__xludf.DUMMYFUNCTION("""COMPUTED_VALUE"""),"Middle")</f>
        <v>Middle</v>
      </c>
      <c r="S650" s="5" t="str">
        <f ca="1">IFERROR(__xludf.DUMMYFUNCTION("""COMPUTED_VALUE"""),"Gym")</f>
        <v>Gym</v>
      </c>
      <c r="T650" s="5" t="str">
        <f ca="1">IFERROR(__xludf.DUMMYFUNCTION("""COMPUTED_VALUE"""),"Inside School Building")</f>
        <v>Inside School Building</v>
      </c>
      <c r="U650" s="5" t="str">
        <f ca="1">IFERROR(__xludf.DUMMYFUNCTION("""COMPUTED_VALUE"""),"Yes")</f>
        <v>Yes</v>
      </c>
      <c r="V650" s="5" t="str">
        <f ca="1">IFERROR(__xludf.DUMMYFUNCTION("""COMPUTED_VALUE"""),"Morning Classes")</f>
        <v>Morning Classes</v>
      </c>
      <c r="W650" s="10">
        <f ca="1">IFERROR(__xludf.DUMMYFUNCTION("""COMPUTED_VALUE"""),0.322916666666666)</f>
        <v>0.32291666666666602</v>
      </c>
      <c r="X650" s="5">
        <f ca="1">IFERROR(__xludf.DUMMYFUNCTION("""COMPUTED_VALUE"""),1)</f>
        <v>1</v>
      </c>
      <c r="Y650" s="5" t="str">
        <f ca="1">IFERROR(__xludf.DUMMYFUNCTION("""COMPUTED_VALUE"""),"Student fired single shot at another student in the school gym")</f>
        <v>Student fired single shot at another student in the school gym</v>
      </c>
      <c r="Z650" s="5" t="str">
        <f ca="1">IFERROR(__xludf.DUMMYFUNCTION("""COMPUTED_VALUE"""),"A 13 year-old male student pulled a gun out of his backpack and fired a single shot at a female student in the school gym. 35 other students witnessed the shooting. Victim was struck in the leg. After firing a single shot, the shooter put his hands on his"&amp;" head and surrendered to school staff. A SRO assigned to the school responded within 60 seconds and secured the handgun used. Victim was transported to a hospital. School was locked down and then dismissed early. Motive unknown.")</f>
        <v>A 13 year-old male student pulled a gun out of his backpack and fired a single shot at a female student in the school gym. 35 other students witnessed the shooting. Victim was struck in the leg. After firing a single shot, the shooter put his hands on his head and surrendered to school staff. A SRO assigned to the school responded within 60 seconds and secured the handgun used. Victim was transported to a hospital. School was locked down and then dismissed early. Motive unknown.</v>
      </c>
      <c r="AA650" s="5"/>
      <c r="AB650" s="5" t="str">
        <f ca="1">IFERROR(__xludf.DUMMYFUNCTION("""COMPUTED_VALUE"""),"Victims Targeted")</f>
        <v>Victims Targeted</v>
      </c>
      <c r="AC650" s="5" t="str">
        <f ca="1">IFERROR(__xludf.DUMMYFUNCTION("""COMPUTED_VALUE"""),"No")</f>
        <v>No</v>
      </c>
      <c r="AD650" s="5" t="str">
        <f ca="1">IFERROR(__xludf.DUMMYFUNCTION("""COMPUTED_VALUE"""),"No")</f>
        <v>No</v>
      </c>
      <c r="AE650" s="5" t="str">
        <f ca="1">IFERROR(__xludf.DUMMYFUNCTION("""COMPUTED_VALUE"""),"No")</f>
        <v>No</v>
      </c>
      <c r="AF650" s="5" t="str">
        <f ca="1">IFERROR(__xludf.DUMMYFUNCTION("""COMPUTED_VALUE"""),"No")</f>
        <v>No</v>
      </c>
      <c r="AG650" s="5"/>
      <c r="AH650" s="5"/>
      <c r="AI650" s="5" t="str">
        <f ca="1">IFERROR(__xludf.DUMMYFUNCTION("""COMPUTED_VALUE"""),"No")</f>
        <v>No</v>
      </c>
      <c r="AJ650" s="5" t="str">
        <f ca="1">IFERROR(__xludf.DUMMYFUNCTION("""COMPUTED_VALUE"""),"No")</f>
        <v>No</v>
      </c>
    </row>
    <row r="651" spans="1:36" ht="13">
      <c r="A651" s="5" t="str">
        <f ca="1">IFERROR(__xludf.DUMMYFUNCTION("""COMPUTED_VALUE"""),"20201125KSABG")</f>
        <v>20201125KSABG</v>
      </c>
      <c r="B651" s="5">
        <f ca="1">IFERROR(__xludf.DUMMYFUNCTION("""COMPUTED_VALUE"""),11)</f>
        <v>11</v>
      </c>
      <c r="C651" s="5">
        <f ca="1">IFERROR(__xludf.DUMMYFUNCTION("""COMPUTED_VALUE"""),25)</f>
        <v>25</v>
      </c>
      <c r="D651" s="5">
        <f ca="1">IFERROR(__xludf.DUMMYFUNCTION("""COMPUTED_VALUE"""),2020)</f>
        <v>2020</v>
      </c>
      <c r="E651" s="8">
        <f ca="1">IFERROR(__xludf.DUMMYFUNCTION("""COMPUTED_VALUE"""),44160)</f>
        <v>44160</v>
      </c>
      <c r="F651" s="5" t="str">
        <f ca="1">IFERROR(__xludf.DUMMYFUNCTION("""COMPUTED_VALUE"""),"Abe Hubert Elementary School")</f>
        <v>Abe Hubert Elementary School</v>
      </c>
      <c r="G651" s="5">
        <f ca="1">IFERROR(__xludf.DUMMYFUNCTION("""COMPUTED_VALUE"""),0)</f>
        <v>0</v>
      </c>
      <c r="H651" s="5">
        <f ca="1">IFERROR(__xludf.DUMMYFUNCTION("""COMPUTED_VALUE"""),1)</f>
        <v>1</v>
      </c>
      <c r="I651" s="5">
        <f ca="1">IFERROR(__xludf.DUMMYFUNCTION("""COMPUTED_VALUE"""),1)</f>
        <v>1</v>
      </c>
      <c r="J651" s="5">
        <f ca="1">IFERROR(__xludf.DUMMYFUNCTION("""COMPUTED_VALUE"""),0)</f>
        <v>0</v>
      </c>
      <c r="K651" s="5" t="str">
        <f ca="1">IFERROR(__xludf.DUMMYFUNCTION("""COMPUTED_VALUE"""),"https://hayspost.com/posts/5a4576f7-5a9e-4077-8738-03df850c4c8e https://www.ksn.com/news/local/4-year-old-girl-dies-from-gunshot-wound-in-garden-city-another-teenager-injured-in-shooting/ https://www.kwch.com/2020/11/25/police-4-year-old-killed-teen-injur"&amp;"ed-in-garden-city-shooting/ https://www.kake.com/story/42966364/4yearold-killed-16yearold-in-critical-condition-after-shooting-stemming-from-domestic-dispute https://knss.radio.com/articles/four-year-old-girl-dead-after-double-shooting-in-garden-city")</f>
        <v>https://hayspost.com/posts/5a4576f7-5a9e-4077-8738-03df850c4c8e https://www.ksn.com/news/local/4-year-old-girl-dies-from-gunshot-wound-in-garden-city-another-teenager-injured-in-shooting/ https://www.kwch.com/2020/11/25/police-4-year-old-killed-teen-injured-in-garden-city-shooting/ https://www.kake.com/story/42966364/4yearold-killed-16yearold-in-critical-condition-after-shooting-stemming-from-domestic-dispute https://knss.radio.com/articles/four-year-old-girl-dead-after-double-shooting-in-garden-city</v>
      </c>
      <c r="L651" s="5">
        <f ca="1">IFERROR(__xludf.DUMMYFUNCTION("""COMPUTED_VALUE"""),6)</f>
        <v>6</v>
      </c>
      <c r="M651" s="5" t="str">
        <f ca="1">IFERROR(__xludf.DUMMYFUNCTION("""COMPUTED_VALUE"""),"Local")</f>
        <v>Local</v>
      </c>
      <c r="N651" s="5">
        <f ca="1">IFERROR(__xludf.DUMMYFUNCTION("""COMPUTED_VALUE"""),4)</f>
        <v>4</v>
      </c>
      <c r="O651" s="5" t="str">
        <f ca="1">IFERROR(__xludf.DUMMYFUNCTION("""COMPUTED_VALUE"""),"Fall")</f>
        <v>Fall</v>
      </c>
      <c r="P651" s="5" t="str">
        <f ca="1">IFERROR(__xludf.DUMMYFUNCTION("""COMPUTED_VALUE"""),"Garden City")</f>
        <v>Garden City</v>
      </c>
      <c r="Q651" s="5" t="str">
        <f ca="1">IFERROR(__xludf.DUMMYFUNCTION("""COMPUTED_VALUE"""),"KS")</f>
        <v>KS</v>
      </c>
      <c r="R651" s="5" t="str">
        <f ca="1">IFERROR(__xludf.DUMMYFUNCTION("""COMPUTED_VALUE"""),"Elementary")</f>
        <v>Elementary</v>
      </c>
      <c r="S651" s="5" t="str">
        <f ca="1">IFERROR(__xludf.DUMMYFUNCTION("""COMPUTED_VALUE"""),"Parking Lot")</f>
        <v>Parking Lot</v>
      </c>
      <c r="T651" s="5" t="str">
        <f ca="1">IFERROR(__xludf.DUMMYFUNCTION("""COMPUTED_VALUE"""),"Outside on School Property")</f>
        <v>Outside on School Property</v>
      </c>
      <c r="U651" s="5" t="str">
        <f ca="1">IFERROR(__xludf.DUMMYFUNCTION("""COMPUTED_VALUE"""),"No")</f>
        <v>No</v>
      </c>
      <c r="V651" s="5" t="str">
        <f ca="1">IFERROR(__xludf.DUMMYFUNCTION("""COMPUTED_VALUE"""),"Not a School Day")</f>
        <v>Not a School Day</v>
      </c>
      <c r="W651" s="10">
        <f ca="1">IFERROR(__xludf.DUMMYFUNCTION("""COMPUTED_VALUE"""),0.53125)</f>
        <v>0.53125</v>
      </c>
      <c r="X651" s="5">
        <f ca="1">IFERROR(__xludf.DUMMYFUNCTION("""COMPUTED_VALUE"""),1)</f>
        <v>1</v>
      </c>
      <c r="Y651" s="5" t="str">
        <f ca="1">IFERROR(__xludf.DUMMYFUNCTION("""COMPUTED_VALUE"""),"Teen shot in parking lot of school")</f>
        <v>Teen shot in parking lot of school</v>
      </c>
      <c r="Z651" s="5" t="str">
        <f ca="1">IFERROR(__xludf.DUMMYFUNCTION("""COMPUTED_VALUE"""),"Police were called for shots fired near the elementary school. Police found a 16 year-old male shot in the school parking lot. While investigating the shooting, police were called for a second shooting at a residence nearby. A 4 year-old female was fatall"&amp;"y shot and a 31 year-old male was arrested. Police said the shooting was not related to activities at the school and was domestic in nature.")</f>
        <v>Police were called for shots fired near the elementary school. Police found a 16 year-old male shot in the school parking lot. While investigating the shooting, police were called for a second shooting at a residence nearby. A 4 year-old female was fatally shot and a 31 year-old male was arrested. Police said the shooting was not related to activities at the school and was domestic in nature.</v>
      </c>
      <c r="AA651" s="5" t="str">
        <f ca="1">IFERROR(__xludf.DUMMYFUNCTION("""COMPUTED_VALUE"""),"Domestic w/ Targeted Victim")</f>
        <v>Domestic w/ Targeted Victim</v>
      </c>
      <c r="AB651" s="5" t="str">
        <f ca="1">IFERROR(__xludf.DUMMYFUNCTION("""COMPUTED_VALUE"""),"Victims Targeted")</f>
        <v>Victims Targeted</v>
      </c>
      <c r="AC651" s="5" t="str">
        <f ca="1">IFERROR(__xludf.DUMMYFUNCTION("""COMPUTED_VALUE"""),"No")</f>
        <v>No</v>
      </c>
      <c r="AD651" s="5" t="str">
        <f ca="1">IFERROR(__xludf.DUMMYFUNCTION("""COMPUTED_VALUE"""),"No")</f>
        <v>No</v>
      </c>
      <c r="AE651" s="5" t="str">
        <f ca="1">IFERROR(__xludf.DUMMYFUNCTION("""COMPUTED_VALUE"""),"No")</f>
        <v>No</v>
      </c>
      <c r="AF651" s="5" t="str">
        <f ca="1">IFERROR(__xludf.DUMMYFUNCTION("""COMPUTED_VALUE"""),"No")</f>
        <v>No</v>
      </c>
      <c r="AG651" s="5" t="str">
        <f ca="1">IFERROR(__xludf.DUMMYFUNCTION("""COMPUTED_VALUE"""),"No")</f>
        <v>No</v>
      </c>
      <c r="AH651" s="5" t="str">
        <f ca="1">IFERROR(__xludf.DUMMYFUNCTION("""COMPUTED_VALUE"""),"Yes")</f>
        <v>Yes</v>
      </c>
      <c r="AI651" s="5" t="str">
        <f ca="1">IFERROR(__xludf.DUMMYFUNCTION("""COMPUTED_VALUE"""),"No")</f>
        <v>No</v>
      </c>
      <c r="AJ651" s="5" t="str">
        <f ca="1">IFERROR(__xludf.DUMMYFUNCTION("""COMPUTED_VALUE"""),"No")</f>
        <v>No</v>
      </c>
    </row>
    <row r="652" spans="1:36" ht="13">
      <c r="A652" s="5" t="str">
        <f ca="1">IFERROR(__xludf.DUMMYFUNCTION("""COMPUTED_VALUE"""),"20201117TXWEW")</f>
        <v>20201117TXWEW</v>
      </c>
      <c r="B652" s="5">
        <f ca="1">IFERROR(__xludf.DUMMYFUNCTION("""COMPUTED_VALUE"""),11)</f>
        <v>11</v>
      </c>
      <c r="C652" s="5">
        <f ca="1">IFERROR(__xludf.DUMMYFUNCTION("""COMPUTED_VALUE"""),17)</f>
        <v>17</v>
      </c>
      <c r="D652" s="5">
        <f ca="1">IFERROR(__xludf.DUMMYFUNCTION("""COMPUTED_VALUE"""),2020)</f>
        <v>2020</v>
      </c>
      <c r="E652" s="8">
        <f ca="1">IFERROR(__xludf.DUMMYFUNCTION("""COMPUTED_VALUE"""),44152)</f>
        <v>44152</v>
      </c>
      <c r="F652" s="5" t="str">
        <f ca="1">IFERROR(__xludf.DUMMYFUNCTION("""COMPUTED_VALUE"""),"Weatherford High School")</f>
        <v>Weatherford High School</v>
      </c>
      <c r="G652" s="5">
        <f ca="1">IFERROR(__xludf.DUMMYFUNCTION("""COMPUTED_VALUE"""),0)</f>
        <v>0</v>
      </c>
      <c r="H652" s="5">
        <f ca="1">IFERROR(__xludf.DUMMYFUNCTION("""COMPUTED_VALUE"""),0)</f>
        <v>0</v>
      </c>
      <c r="I652" s="5">
        <f ca="1">IFERROR(__xludf.DUMMYFUNCTION("""COMPUTED_VALUE"""),0)</f>
        <v>0</v>
      </c>
      <c r="J652" s="5">
        <f ca="1">IFERROR(__xludf.DUMMYFUNCTION("""COMPUTED_VALUE"""),0)</f>
        <v>0</v>
      </c>
      <c r="K652" s="5" t="str">
        <f ca="1">IFERROR(__xludf.DUMMYFUNCTION("""COMPUTED_VALUE"""),"https://www.weatherforddemocrat.com/news/whs-on-lockdown-following-active-situation-staff-and-students-safe-district-says/article_45efc954-2919-11eb-beb6-53d938cbb67e.html https://www.wfaa.com/article/news/local/weatherford-high-school-lockdown-due-to-act"&amp;"ive-situation-police/287-c8e00d2c-98d4-4fa3-bf21-475784680603 https://dfw.cbslocal.com/2020/11/17/boy-hospital-shooting-weatherford-high-school-lockdown/")</f>
        <v>https://www.weatherforddemocrat.com/news/whs-on-lockdown-following-active-situation-staff-and-students-safe-district-says/article_45efc954-2919-11eb-beb6-53d938cbb67e.html https://www.wfaa.com/article/news/local/weatherford-high-school-lockdown-due-to-active-situation-police/287-c8e00d2c-98d4-4fa3-bf21-475784680603 https://dfw.cbslocal.com/2020/11/17/boy-hospital-shooting-weatherford-high-school-lockdown/</v>
      </c>
      <c r="L652" s="5">
        <f ca="1">IFERROR(__xludf.DUMMYFUNCTION("""COMPUTED_VALUE"""),3)</f>
        <v>3</v>
      </c>
      <c r="M652" s="5" t="str">
        <f ca="1">IFERROR(__xludf.DUMMYFUNCTION("""COMPUTED_VALUE"""),"Regional")</f>
        <v>Regional</v>
      </c>
      <c r="N652" s="5">
        <f ca="1">IFERROR(__xludf.DUMMYFUNCTION("""COMPUTED_VALUE"""),4)</f>
        <v>4</v>
      </c>
      <c r="O652" s="5" t="str">
        <f ca="1">IFERROR(__xludf.DUMMYFUNCTION("""COMPUTED_VALUE"""),"Fall")</f>
        <v>Fall</v>
      </c>
      <c r="P652" s="5" t="str">
        <f ca="1">IFERROR(__xludf.DUMMYFUNCTION("""COMPUTED_VALUE"""),"Weatherford")</f>
        <v>Weatherford</v>
      </c>
      <c r="Q652" s="5" t="str">
        <f ca="1">IFERROR(__xludf.DUMMYFUNCTION("""COMPUTED_VALUE"""),"TX")</f>
        <v>TX</v>
      </c>
      <c r="R652" s="5" t="str">
        <f ca="1">IFERROR(__xludf.DUMMYFUNCTION("""COMPUTED_VALUE"""),"High")</f>
        <v>High</v>
      </c>
      <c r="S652" s="5" t="str">
        <f ca="1">IFERROR(__xludf.DUMMYFUNCTION("""COMPUTED_VALUE"""),"Beside Building")</f>
        <v>Beside Building</v>
      </c>
      <c r="T652" s="5" t="str">
        <f ca="1">IFERROR(__xludf.DUMMYFUNCTION("""COMPUTED_VALUE"""),"Outside on School Property")</f>
        <v>Outside on School Property</v>
      </c>
      <c r="U652" s="5" t="str">
        <f ca="1">IFERROR(__xludf.DUMMYFUNCTION("""COMPUTED_VALUE"""),"Yes")</f>
        <v>Yes</v>
      </c>
      <c r="V652" s="5" t="str">
        <f ca="1">IFERROR(__xludf.DUMMYFUNCTION("""COMPUTED_VALUE"""),"Afternoon Classes")</f>
        <v>Afternoon Classes</v>
      </c>
      <c r="W652" s="10">
        <f ca="1">IFERROR(__xludf.DUMMYFUNCTION("""COMPUTED_VALUE"""),0.583333333333333)</f>
        <v>0.58333333333333304</v>
      </c>
      <c r="X652" s="5"/>
      <c r="Y652" s="5" t="str">
        <f ca="1">IFERROR(__xludf.DUMMYFUNCTION("""COMPUTED_VALUE"""),"Teen with handgun shot himself when confronted by police")</f>
        <v>Teen with handgun shot himself when confronted by police</v>
      </c>
      <c r="Z652" s="5" t="str">
        <f ca="1">IFERROR(__xludf.DUMMYFUNCTION("""COMPUTED_VALUE"""),"The school SRO and police were notified by a teen, believed to be a runaway, was scene on the campus. When police approached the teen near a school building, he pulled a handgun and he ran across the campus to the tree line at the edge of the school's pro"&amp;"perty. An active shooter situation was declared and the campus was locked down. The teen made statements about self harm and then shot himself in the abdomen. He was transported to a hospital. No students or staff were involved or injured.")</f>
        <v>The school SRO and police were notified by a teen, believed to be a runaway, was scene on the campus. When police approached the teen near a school building, he pulled a handgun and he ran across the campus to the tree line at the edge of the school's property. An active shooter situation was declared and the campus was locked down. The teen made statements about self harm and then shot himself in the abdomen. He was transported to a hospital. No students or staff were involved or injured.</v>
      </c>
      <c r="AA652" s="5" t="str">
        <f ca="1">IFERROR(__xludf.DUMMYFUNCTION("""COMPUTED_VALUE"""),"Suicide/Attempted")</f>
        <v>Suicide/Attempted</v>
      </c>
      <c r="AB652" s="5" t="str">
        <f ca="1">IFERROR(__xludf.DUMMYFUNCTION("""COMPUTED_VALUE"""),"Victims Targeted")</f>
        <v>Victims Targeted</v>
      </c>
      <c r="AC652" s="5" t="str">
        <f ca="1">IFERROR(__xludf.DUMMYFUNCTION("""COMPUTED_VALUE"""),"No")</f>
        <v>No</v>
      </c>
      <c r="AD652" s="5" t="str">
        <f ca="1">IFERROR(__xludf.DUMMYFUNCTION("""COMPUTED_VALUE"""),"No")</f>
        <v>No</v>
      </c>
      <c r="AE652" s="5" t="str">
        <f ca="1">IFERROR(__xludf.DUMMYFUNCTION("""COMPUTED_VALUE"""),"No")</f>
        <v>No</v>
      </c>
      <c r="AF652" s="5" t="str">
        <f ca="1">IFERROR(__xludf.DUMMYFUNCTION("""COMPUTED_VALUE"""),"No")</f>
        <v>No</v>
      </c>
      <c r="AG652" s="5"/>
      <c r="AH652" s="5" t="str">
        <f ca="1">IFERROR(__xludf.DUMMYFUNCTION("""COMPUTED_VALUE"""),"No")</f>
        <v>No</v>
      </c>
      <c r="AI652" s="5" t="str">
        <f ca="1">IFERROR(__xludf.DUMMYFUNCTION("""COMPUTED_VALUE"""),"No")</f>
        <v>No</v>
      </c>
      <c r="AJ652" s="5" t="str">
        <f ca="1">IFERROR(__xludf.DUMMYFUNCTION("""COMPUTED_VALUE"""),"No")</f>
        <v>No</v>
      </c>
    </row>
    <row r="653" spans="1:36" ht="13">
      <c r="A653" s="5" t="str">
        <f ca="1">IFERROR(__xludf.DUMMYFUNCTION("""COMPUTED_VALUE"""),"20201117MTGRG")</f>
        <v>20201117MTGRG</v>
      </c>
      <c r="B653" s="5">
        <f ca="1">IFERROR(__xludf.DUMMYFUNCTION("""COMPUTED_VALUE"""),11)</f>
        <v>11</v>
      </c>
      <c r="C653" s="5">
        <f ca="1">IFERROR(__xludf.DUMMYFUNCTION("""COMPUTED_VALUE"""),17)</f>
        <v>17</v>
      </c>
      <c r="D653" s="5">
        <f ca="1">IFERROR(__xludf.DUMMYFUNCTION("""COMPUTED_VALUE"""),2020)</f>
        <v>2020</v>
      </c>
      <c r="E653" s="8">
        <f ca="1">IFERROR(__xludf.DUMMYFUNCTION("""COMPUTED_VALUE"""),44152)</f>
        <v>44152</v>
      </c>
      <c r="F653" s="5" t="str">
        <f ca="1">IFERROR(__xludf.DUMMYFUNCTION("""COMPUTED_VALUE"""),"Great Falls High School")</f>
        <v>Great Falls High School</v>
      </c>
      <c r="G653" s="5">
        <f ca="1">IFERROR(__xludf.DUMMYFUNCTION("""COMPUTED_VALUE"""),0)</f>
        <v>0</v>
      </c>
      <c r="H653" s="5">
        <f ca="1">IFERROR(__xludf.DUMMYFUNCTION("""COMPUTED_VALUE"""),0)</f>
        <v>0</v>
      </c>
      <c r="I653" s="5">
        <f ca="1">IFERROR(__xludf.DUMMYFUNCTION("""COMPUTED_VALUE"""),0)</f>
        <v>0</v>
      </c>
      <c r="J653" s="5">
        <f ca="1">IFERROR(__xludf.DUMMYFUNCTION("""COMPUTED_VALUE"""),0)</f>
        <v>0</v>
      </c>
      <c r="K653" s="9" t="str">
        <f ca="1">IFERROR(__xludf.DUMMYFUNCTION("""COMPUTED_VALUE"""),"https://www.krtv.com/news/crime-and-courts/ledford-charged-with-shooting-out-windows-at-great-falls-high-school")</f>
        <v>https://www.krtv.com/news/crime-and-courts/ledford-charged-with-shooting-out-windows-at-great-falls-high-school</v>
      </c>
      <c r="L653" s="5">
        <f ca="1">IFERROR(__xludf.DUMMYFUNCTION("""COMPUTED_VALUE"""),1)</f>
        <v>1</v>
      </c>
      <c r="M653" s="5" t="str">
        <f ca="1">IFERROR(__xludf.DUMMYFUNCTION("""COMPUTED_VALUE"""),"Local")</f>
        <v>Local</v>
      </c>
      <c r="N653" s="5">
        <f ca="1">IFERROR(__xludf.DUMMYFUNCTION("""COMPUTED_VALUE"""),4)</f>
        <v>4</v>
      </c>
      <c r="O653" s="5"/>
      <c r="P653" s="5" t="str">
        <f ca="1">IFERROR(__xludf.DUMMYFUNCTION("""COMPUTED_VALUE"""),"Great Falls")</f>
        <v>Great Falls</v>
      </c>
      <c r="Q653" s="5" t="str">
        <f ca="1">IFERROR(__xludf.DUMMYFUNCTION("""COMPUTED_VALUE"""),"MT")</f>
        <v>MT</v>
      </c>
      <c r="R653" s="5" t="str">
        <f ca="1">IFERROR(__xludf.DUMMYFUNCTION("""COMPUTED_VALUE"""),"High")</f>
        <v>High</v>
      </c>
      <c r="S653" s="5" t="str">
        <f ca="1">IFERROR(__xludf.DUMMYFUNCTION("""COMPUTED_VALUE"""),"Front of School")</f>
        <v>Front of School</v>
      </c>
      <c r="T653" s="5" t="str">
        <f ca="1">IFERROR(__xludf.DUMMYFUNCTION("""COMPUTED_VALUE"""),"Outside on School Property")</f>
        <v>Outside on School Property</v>
      </c>
      <c r="U653" s="5" t="str">
        <f ca="1">IFERROR(__xludf.DUMMYFUNCTION("""COMPUTED_VALUE"""),"No")</f>
        <v>No</v>
      </c>
      <c r="V653" s="5" t="str">
        <f ca="1">IFERROR(__xludf.DUMMYFUNCTION("""COMPUTED_VALUE"""),"Evening")</f>
        <v>Evening</v>
      </c>
      <c r="W653" s="10">
        <f ca="1">IFERROR(__xludf.DUMMYFUNCTION("""COMPUTED_VALUE"""),0.788194444444444)</f>
        <v>0.78819444444444398</v>
      </c>
      <c r="X653" s="5">
        <f ca="1">IFERROR(__xludf.DUMMYFUNCTION("""COMPUTED_VALUE"""),1)</f>
        <v>1</v>
      </c>
      <c r="Y653" s="5" t="str">
        <f ca="1">IFERROR(__xludf.DUMMYFUNCTION("""COMPUTED_VALUE"""),"Teen fired BB gun from vehicle breaking multiple windows")</f>
        <v>Teen fired BB gun from vehicle breaking multiple windows</v>
      </c>
      <c r="Z653" s="5" t="str">
        <f ca="1">IFERROR(__xludf.DUMMYFUNCTION("""COMPUTED_VALUE"""),"Police responded to reports of a person with a gun firing from a vehicle at the school. A 19 year-old male was arrested for firing BB's from his vehicle and breaking multiple windows at the school. Shooter was detained and admitted to shootings. Said it "&amp;"""looked cool"" to see how the windows broke. Charged with felony.")</f>
        <v>Police responded to reports of a person with a gun firing from a vehicle at the school. A 19 year-old male was arrested for firing BB's from his vehicle and breaking multiple windows at the school. Shooter was detained and admitted to shootings. Said it "looked cool" to see how the windows broke. Charged with felony.</v>
      </c>
      <c r="AA653" s="5" t="str">
        <f ca="1">IFERROR(__xludf.DUMMYFUNCTION("""COMPUTED_VALUE"""),"Intentional Property Damage")</f>
        <v>Intentional Property Damage</v>
      </c>
      <c r="AB653" s="5" t="str">
        <f ca="1">IFERROR(__xludf.DUMMYFUNCTION("""COMPUTED_VALUE"""),"Neither")</f>
        <v>Neither</v>
      </c>
      <c r="AC653" s="5" t="str">
        <f ca="1">IFERROR(__xludf.DUMMYFUNCTION("""COMPUTED_VALUE"""),"No")</f>
        <v>No</v>
      </c>
      <c r="AD653" s="5" t="str">
        <f ca="1">IFERROR(__xludf.DUMMYFUNCTION("""COMPUTED_VALUE"""),"No")</f>
        <v>No</v>
      </c>
      <c r="AE653" s="5" t="str">
        <f ca="1">IFERROR(__xludf.DUMMYFUNCTION("""COMPUTED_VALUE"""),"No")</f>
        <v>No</v>
      </c>
      <c r="AF653" s="5" t="str">
        <f ca="1">IFERROR(__xludf.DUMMYFUNCTION("""COMPUTED_VALUE"""),"No")</f>
        <v>No</v>
      </c>
      <c r="AG653" s="5" t="str">
        <f ca="1">IFERROR(__xludf.DUMMYFUNCTION("""COMPUTED_VALUE"""),"No")</f>
        <v>No</v>
      </c>
      <c r="AH653" s="5" t="str">
        <f ca="1">IFERROR(__xludf.DUMMYFUNCTION("""COMPUTED_VALUE"""),"No")</f>
        <v>No</v>
      </c>
      <c r="AI653" s="5" t="str">
        <f ca="1">IFERROR(__xludf.DUMMYFUNCTION("""COMPUTED_VALUE"""),"No")</f>
        <v>No</v>
      </c>
      <c r="AJ653" s="5" t="str">
        <f ca="1">IFERROR(__xludf.DUMMYFUNCTION("""COMPUTED_VALUE"""),"No")</f>
        <v>No</v>
      </c>
    </row>
    <row r="654" spans="1:36" ht="13">
      <c r="A654" s="5" t="str">
        <f ca="1">IFERROR(__xludf.DUMMYFUNCTION("""COMPUTED_VALUE"""),"20201116TNWIM")</f>
        <v>20201116TNWIM</v>
      </c>
      <c r="B654" s="5">
        <f ca="1">IFERROR(__xludf.DUMMYFUNCTION("""COMPUTED_VALUE"""),11)</f>
        <v>11</v>
      </c>
      <c r="C654" s="5">
        <f ca="1">IFERROR(__xludf.DUMMYFUNCTION("""COMPUTED_VALUE"""),16)</f>
        <v>16</v>
      </c>
      <c r="D654" s="5">
        <f ca="1">IFERROR(__xludf.DUMMYFUNCTION("""COMPUTED_VALUE"""),2020)</f>
        <v>2020</v>
      </c>
      <c r="E654" s="8">
        <f ca="1">IFERROR(__xludf.DUMMYFUNCTION("""COMPUTED_VALUE"""),44151)</f>
        <v>44151</v>
      </c>
      <c r="F654" s="5" t="str">
        <f ca="1">IFERROR(__xludf.DUMMYFUNCTION("""COMPUTED_VALUE"""),"Winridge Elementary School")</f>
        <v>Winridge Elementary School</v>
      </c>
      <c r="G654" s="5">
        <f ca="1">IFERROR(__xludf.DUMMYFUNCTION("""COMPUTED_VALUE"""),0)</f>
        <v>0</v>
      </c>
      <c r="H654" s="5">
        <f ca="1">IFERROR(__xludf.DUMMYFUNCTION("""COMPUTED_VALUE"""),0)</f>
        <v>0</v>
      </c>
      <c r="I654" s="5">
        <f ca="1">IFERROR(__xludf.DUMMYFUNCTION("""COMPUTED_VALUE"""),0)</f>
        <v>0</v>
      </c>
      <c r="J654" s="5">
        <f ca="1">IFERROR(__xludf.DUMMYFUNCTION("""COMPUTED_VALUE"""),0)</f>
        <v>0</v>
      </c>
      <c r="K654" s="5" t="str">
        <f ca="1">IFERROR(__xludf.DUMMYFUNCTION("""COMPUTED_VALUE"""),"https://www.wmcactionnews5.com/2020/11/18/man-arrested-firing-weapon-elementary-school-during-domestic-dispute/ https://wreg.com/news/memphis-man-accused-of-firing-gun-at-woman-small-children-on-school-property/")</f>
        <v>https://www.wmcactionnews5.com/2020/11/18/man-arrested-firing-weapon-elementary-school-during-domestic-dispute/ https://wreg.com/news/memphis-man-accused-of-firing-gun-at-woman-small-children-on-school-property/</v>
      </c>
      <c r="L654" s="5">
        <f ca="1">IFERROR(__xludf.DUMMYFUNCTION("""COMPUTED_VALUE"""),1)</f>
        <v>1</v>
      </c>
      <c r="M654" s="5" t="str">
        <f ca="1">IFERROR(__xludf.DUMMYFUNCTION("""COMPUTED_VALUE"""),"Local")</f>
        <v>Local</v>
      </c>
      <c r="N654" s="5">
        <f ca="1">IFERROR(__xludf.DUMMYFUNCTION("""COMPUTED_VALUE"""),3)</f>
        <v>3</v>
      </c>
      <c r="O654" s="5" t="str">
        <f ca="1">IFERROR(__xludf.DUMMYFUNCTION("""COMPUTED_VALUE"""),"Fall")</f>
        <v>Fall</v>
      </c>
      <c r="P654" s="5" t="str">
        <f ca="1">IFERROR(__xludf.DUMMYFUNCTION("""COMPUTED_VALUE"""),"Memphis")</f>
        <v>Memphis</v>
      </c>
      <c r="Q654" s="5" t="str">
        <f ca="1">IFERROR(__xludf.DUMMYFUNCTION("""COMPUTED_VALUE"""),"TN")</f>
        <v>TN</v>
      </c>
      <c r="R654" s="5" t="str">
        <f ca="1">IFERROR(__xludf.DUMMYFUNCTION("""COMPUTED_VALUE"""),"Elementary")</f>
        <v>Elementary</v>
      </c>
      <c r="S654" s="5" t="str">
        <f ca="1">IFERROR(__xludf.DUMMYFUNCTION("""COMPUTED_VALUE"""),"Beside Building")</f>
        <v>Beside Building</v>
      </c>
      <c r="T654" s="5" t="str">
        <f ca="1">IFERROR(__xludf.DUMMYFUNCTION("""COMPUTED_VALUE"""),"Outside on School Property")</f>
        <v>Outside on School Property</v>
      </c>
      <c r="U654" s="5" t="str">
        <f ca="1">IFERROR(__xludf.DUMMYFUNCTION("""COMPUTED_VALUE"""),"No")</f>
        <v>No</v>
      </c>
      <c r="V654" s="5"/>
      <c r="W654" s="5"/>
      <c r="X654" s="5">
        <f ca="1">IFERROR(__xludf.DUMMYFUNCTION("""COMPUTED_VALUE"""),1)</f>
        <v>1</v>
      </c>
      <c r="Y654" s="5" t="str">
        <f ca="1">IFERROR(__xludf.DUMMYFUNCTION("""COMPUTED_VALUE"""),"Man shot at woman with two children following robbery")</f>
        <v>Man shot at woman with two children following robbery</v>
      </c>
      <c r="Z654" s="5" t="str">
        <f ca="1">IFERROR(__xludf.DUMMYFUNCTION("""COMPUTED_VALUE"""),"A dispute occurred inside a home when a 25 year-old male (boyfriend of the victim) grabbed $120 from the purse of the female victim. He left the house and she followed him in a vehicle, with 2 children inside, to a nearby elementary school. Behind the sch"&amp;"ool, the man pulled a handgun, threatened the women, fired a shot in the direction of her and the children, and then ran from the scene. Shooter was later arrested and charged with multiple felonies.")</f>
        <v>A dispute occurred inside a home when a 25 year-old male (boyfriend of the victim) grabbed $120 from the purse of the female victim. He left the house and she followed him in a vehicle, with 2 children inside, to a nearby elementary school. Behind the school, the man pulled a handgun, threatened the women, fired a shot in the direction of her and the children, and then ran from the scene. Shooter was later arrested and charged with multiple felonies.</v>
      </c>
      <c r="AA654" s="5" t="str">
        <f ca="1">IFERROR(__xludf.DUMMYFUNCTION("""COMPUTED_VALUE"""),"Domestic w/ Targeted Victim")</f>
        <v>Domestic w/ Targeted Victim</v>
      </c>
      <c r="AB654" s="5" t="str">
        <f ca="1">IFERROR(__xludf.DUMMYFUNCTION("""COMPUTED_VALUE"""),"Victims Targeted")</f>
        <v>Victims Targeted</v>
      </c>
      <c r="AC654" s="5" t="str">
        <f ca="1">IFERROR(__xludf.DUMMYFUNCTION("""COMPUTED_VALUE"""),"No")</f>
        <v>No</v>
      </c>
      <c r="AD654" s="5" t="str">
        <f ca="1">IFERROR(__xludf.DUMMYFUNCTION("""COMPUTED_VALUE"""),"No")</f>
        <v>No</v>
      </c>
      <c r="AE654" s="5" t="str">
        <f ca="1">IFERROR(__xludf.DUMMYFUNCTION("""COMPUTED_VALUE"""),"No")</f>
        <v>No</v>
      </c>
      <c r="AF654" s="5" t="str">
        <f ca="1">IFERROR(__xludf.DUMMYFUNCTION("""COMPUTED_VALUE"""),"No")</f>
        <v>No</v>
      </c>
      <c r="AG654" s="5" t="str">
        <f ca="1">IFERROR(__xludf.DUMMYFUNCTION("""COMPUTED_VALUE"""),"No")</f>
        <v>No</v>
      </c>
      <c r="AH654" s="5" t="str">
        <f ca="1">IFERROR(__xludf.DUMMYFUNCTION("""COMPUTED_VALUE"""),"Yes")</f>
        <v>Yes</v>
      </c>
      <c r="AI654" s="5" t="str">
        <f ca="1">IFERROR(__xludf.DUMMYFUNCTION("""COMPUTED_VALUE"""),"No")</f>
        <v>No</v>
      </c>
      <c r="AJ654" s="5" t="str">
        <f ca="1">IFERROR(__xludf.DUMMYFUNCTION("""COMPUTED_VALUE"""),"No")</f>
        <v>No</v>
      </c>
    </row>
    <row r="655" spans="1:36" ht="13">
      <c r="A655" s="5" t="str">
        <f ca="1">IFERROR(__xludf.DUMMYFUNCTION("""COMPUTED_VALUE"""),"20201113NCLIL")</f>
        <v>20201113NCLIL</v>
      </c>
      <c r="B655" s="5">
        <f ca="1">IFERROR(__xludf.DUMMYFUNCTION("""COMPUTED_VALUE"""),11)</f>
        <v>11</v>
      </c>
      <c r="C655" s="5">
        <f ca="1">IFERROR(__xludf.DUMMYFUNCTION("""COMPUTED_VALUE"""),13)</f>
        <v>13</v>
      </c>
      <c r="D655" s="5">
        <f ca="1">IFERROR(__xludf.DUMMYFUNCTION("""COMPUTED_VALUE"""),2020)</f>
        <v>2020</v>
      </c>
      <c r="E655" s="8">
        <f ca="1">IFERROR(__xludf.DUMMYFUNCTION("""COMPUTED_VALUE"""),44148)</f>
        <v>44148</v>
      </c>
      <c r="F655" s="5" t="str">
        <f ca="1">IFERROR(__xludf.DUMMYFUNCTION("""COMPUTED_VALUE"""),"Lincoln Elementary School")</f>
        <v>Lincoln Elementary School</v>
      </c>
      <c r="G655" s="5">
        <f ca="1">IFERROR(__xludf.DUMMYFUNCTION("""COMPUTED_VALUE"""),0)</f>
        <v>0</v>
      </c>
      <c r="H655" s="5">
        <f ca="1">IFERROR(__xludf.DUMMYFUNCTION("""COMPUTED_VALUE"""),1)</f>
        <v>1</v>
      </c>
      <c r="I655" s="5">
        <f ca="1">IFERROR(__xludf.DUMMYFUNCTION("""COMPUTED_VALUE"""),1)</f>
        <v>1</v>
      </c>
      <c r="J655" s="5">
        <f ca="1">IFERROR(__xludf.DUMMYFUNCTION("""COMPUTED_VALUE"""),0)</f>
        <v>0</v>
      </c>
      <c r="K655" s="5" t="str">
        <f ca="1">IFERROR(__xludf.DUMMYFUNCTION("""COMPUTED_VALUE"""),"https://www.dailymail.co.uk/news/article-8953839/Boy-6-North-Carolina-school-playground-shot-jaw-suspected-stray-bullet.html https://www.wect.com/2020/11/15/child-struck-by-bullet-lincoln-elementary-school-leland/ https://www.wwaytv3.com/2020/11/15/6-year"&amp;"-old-shot-at-lincoln-elementary-school-in-leland/ https://www.actionnewsjax.com/news/trending/boy-6-shot-jaw-while-north-carolina-elementary-school-grounds-deputies-say/WIQIMQZ4OJFGXJKU2IAF4AJW3I/")</f>
        <v>https://www.dailymail.co.uk/news/article-8953839/Boy-6-North-Carolina-school-playground-shot-jaw-suspected-stray-bullet.html https://www.wect.com/2020/11/15/child-struck-by-bullet-lincoln-elementary-school-leland/ https://www.wwaytv3.com/2020/11/15/6-year-old-shot-at-lincoln-elementary-school-in-leland/ https://www.actionnewsjax.com/news/trending/boy-6-shot-jaw-while-north-carolina-elementary-school-grounds-deputies-say/WIQIMQZ4OJFGXJKU2IAF4AJW3I/</v>
      </c>
      <c r="L655" s="5">
        <f ca="1">IFERROR(__xludf.DUMMYFUNCTION("""COMPUTED_VALUE"""),10)</f>
        <v>10</v>
      </c>
      <c r="M655" s="5" t="str">
        <f ca="1">IFERROR(__xludf.DUMMYFUNCTION("""COMPUTED_VALUE"""),"International")</f>
        <v>International</v>
      </c>
      <c r="N655" s="5">
        <f ca="1">IFERROR(__xludf.DUMMYFUNCTION("""COMPUTED_VALUE"""),4)</f>
        <v>4</v>
      </c>
      <c r="O655" s="5" t="str">
        <f ca="1">IFERROR(__xludf.DUMMYFUNCTION("""COMPUTED_VALUE"""),"Fall")</f>
        <v>Fall</v>
      </c>
      <c r="P655" s="5" t="str">
        <f ca="1">IFERROR(__xludf.DUMMYFUNCTION("""COMPUTED_VALUE"""),"Leland")</f>
        <v>Leland</v>
      </c>
      <c r="Q655" s="5" t="str">
        <f ca="1">IFERROR(__xludf.DUMMYFUNCTION("""COMPUTED_VALUE"""),"NC")</f>
        <v>NC</v>
      </c>
      <c r="R655" s="5" t="str">
        <f ca="1">IFERROR(__xludf.DUMMYFUNCTION("""COMPUTED_VALUE"""),"Elementary")</f>
        <v>Elementary</v>
      </c>
      <c r="S655" s="5" t="str">
        <f ca="1">IFERROR(__xludf.DUMMYFUNCTION("""COMPUTED_VALUE"""),"Playground")</f>
        <v>Playground</v>
      </c>
      <c r="T655" s="5" t="str">
        <f ca="1">IFERROR(__xludf.DUMMYFUNCTION("""COMPUTED_VALUE"""),"Outside on School Property")</f>
        <v>Outside on School Property</v>
      </c>
      <c r="U655" s="5" t="str">
        <f ca="1">IFERROR(__xludf.DUMMYFUNCTION("""COMPUTED_VALUE"""),"Yes")</f>
        <v>Yes</v>
      </c>
      <c r="V655" s="5" t="str">
        <f ca="1">IFERROR(__xludf.DUMMYFUNCTION("""COMPUTED_VALUE"""),"Afternoon Classes")</f>
        <v>Afternoon Classes</v>
      </c>
      <c r="W655" s="10">
        <f ca="1">IFERROR(__xludf.DUMMYFUNCTION("""COMPUTED_VALUE"""),0.59375)</f>
        <v>0.59375</v>
      </c>
      <c r="X655" s="5">
        <f ca="1">IFERROR(__xludf.DUMMYFUNCTION("""COMPUTED_VALUE"""),1)</f>
        <v>1</v>
      </c>
      <c r="Y655" s="5" t="str">
        <f ca="1">IFERROR(__xludf.DUMMYFUNCTION("""COMPUTED_VALUE"""),"Student struck by shot fired from long distance")</f>
        <v>Student struck by shot fired from long distance</v>
      </c>
      <c r="Z655" s="5" t="str">
        <f ca="1">IFERROR(__xludf.DUMMYFUNCTION("""COMPUTED_VALUE"""),"A 6 year-old student was shot in the jaw by a bullet fired from a long distance. Police believe the shooting was an accident. The round was fired from private property and the shooter did not intend to shoot at the school.")</f>
        <v>A 6 year-old student was shot in the jaw by a bullet fired from a long distance. Police believe the shooting was an accident. The round was fired from private property and the shooter did not intend to shoot at the school.</v>
      </c>
      <c r="AA655" s="5" t="str">
        <f ca="1">IFERROR(__xludf.DUMMYFUNCTION("""COMPUTED_VALUE"""),"Accidental")</f>
        <v>Accidental</v>
      </c>
      <c r="AB655" s="5" t="str">
        <f ca="1">IFERROR(__xludf.DUMMYFUNCTION("""COMPUTED_VALUE"""),"Random Shooting")</f>
        <v>Random Shooting</v>
      </c>
      <c r="AC655" s="5" t="str">
        <f ca="1">IFERROR(__xludf.DUMMYFUNCTION("""COMPUTED_VALUE"""),"No")</f>
        <v>No</v>
      </c>
      <c r="AD655" s="5" t="str">
        <f ca="1">IFERROR(__xludf.DUMMYFUNCTION("""COMPUTED_VALUE"""),"No")</f>
        <v>No</v>
      </c>
      <c r="AE655" s="5" t="str">
        <f ca="1">IFERROR(__xludf.DUMMYFUNCTION("""COMPUTED_VALUE"""),"No")</f>
        <v>No</v>
      </c>
      <c r="AF655" s="5" t="str">
        <f ca="1">IFERROR(__xludf.DUMMYFUNCTION("""COMPUTED_VALUE"""),"No")</f>
        <v>No</v>
      </c>
      <c r="AG655" s="5" t="str">
        <f ca="1">IFERROR(__xludf.DUMMYFUNCTION("""COMPUTED_VALUE"""),"No")</f>
        <v>No</v>
      </c>
      <c r="AH655" s="5" t="str">
        <f ca="1">IFERROR(__xludf.DUMMYFUNCTION("""COMPUTED_VALUE"""),"No")</f>
        <v>No</v>
      </c>
      <c r="AI655" s="5" t="str">
        <f ca="1">IFERROR(__xludf.DUMMYFUNCTION("""COMPUTED_VALUE"""),"No")</f>
        <v>No</v>
      </c>
      <c r="AJ655" s="5" t="str">
        <f ca="1">IFERROR(__xludf.DUMMYFUNCTION("""COMPUTED_VALUE"""),"No")</f>
        <v>No</v>
      </c>
    </row>
    <row r="656" spans="1:36" ht="13">
      <c r="A656" s="5" t="str">
        <f ca="1">IFERROR(__xludf.DUMMYFUNCTION("""COMPUTED_VALUE"""),"20201112PANAH")</f>
        <v>20201112PANAH</v>
      </c>
      <c r="B656" s="5">
        <f ca="1">IFERROR(__xludf.DUMMYFUNCTION("""COMPUTED_VALUE"""),11)</f>
        <v>11</v>
      </c>
      <c r="C656" s="5">
        <f ca="1">IFERROR(__xludf.DUMMYFUNCTION("""COMPUTED_VALUE"""),12)</f>
        <v>12</v>
      </c>
      <c r="D656" s="5">
        <f ca="1">IFERROR(__xludf.DUMMYFUNCTION("""COMPUTED_VALUE"""),2020)</f>
        <v>2020</v>
      </c>
      <c r="E656" s="8">
        <f ca="1">IFERROR(__xludf.DUMMYFUNCTION("""COMPUTED_VALUE"""),44147)</f>
        <v>44147</v>
      </c>
      <c r="F656" s="5" t="str">
        <f ca="1">IFERROR(__xludf.DUMMYFUNCTION("""COMPUTED_VALUE"""),"Nativity School of Harrisburg")</f>
        <v>Nativity School of Harrisburg</v>
      </c>
      <c r="G656" s="5">
        <f ca="1">IFERROR(__xludf.DUMMYFUNCTION("""COMPUTED_VALUE"""),1)</f>
        <v>1</v>
      </c>
      <c r="H656" s="5">
        <f ca="1">IFERROR(__xludf.DUMMYFUNCTION("""COMPUTED_VALUE"""),0)</f>
        <v>0</v>
      </c>
      <c r="I656" s="5">
        <f ca="1">IFERROR(__xludf.DUMMYFUNCTION("""COMPUTED_VALUE"""),1)</f>
        <v>1</v>
      </c>
      <c r="J656" s="5">
        <f ca="1">IFERROR(__xludf.DUMMYFUNCTION("""COMPUTED_VALUE"""),0)</f>
        <v>0</v>
      </c>
      <c r="K656" s="5" t="str">
        <f ca="1">IFERROR(__xludf.DUMMYFUNCTION("""COMPUTED_VALUE"""),"https://www.pennlive.com/news/2020/11/teen-killed-in-harrisburg-shooting-officials.html https://www.pennlive.com/news/2020/11/police-investigating-harrisburg-shooting.html")</f>
        <v>https://www.pennlive.com/news/2020/11/teen-killed-in-harrisburg-shooting-officials.html https://www.pennlive.com/news/2020/11/police-investigating-harrisburg-shooting.html</v>
      </c>
      <c r="L656" s="5">
        <f ca="1">IFERROR(__xludf.DUMMYFUNCTION("""COMPUTED_VALUE"""),2)</f>
        <v>2</v>
      </c>
      <c r="M656" s="5" t="str">
        <f ca="1">IFERROR(__xludf.DUMMYFUNCTION("""COMPUTED_VALUE"""),"Local")</f>
        <v>Local</v>
      </c>
      <c r="N656" s="5">
        <f ca="1">IFERROR(__xludf.DUMMYFUNCTION("""COMPUTED_VALUE"""),4)</f>
        <v>4</v>
      </c>
      <c r="O656" s="5" t="str">
        <f ca="1">IFERROR(__xludf.DUMMYFUNCTION("""COMPUTED_VALUE"""),"Fall")</f>
        <v>Fall</v>
      </c>
      <c r="P656" s="5" t="str">
        <f ca="1">IFERROR(__xludf.DUMMYFUNCTION("""COMPUTED_VALUE"""),"Harrisburg")</f>
        <v>Harrisburg</v>
      </c>
      <c r="Q656" s="5" t="str">
        <f ca="1">IFERROR(__xludf.DUMMYFUNCTION("""COMPUTED_VALUE"""),"PA")</f>
        <v>PA</v>
      </c>
      <c r="R656" s="5" t="str">
        <f ca="1">IFERROR(__xludf.DUMMYFUNCTION("""COMPUTED_VALUE"""),"Middle")</f>
        <v>Middle</v>
      </c>
      <c r="S656" s="5" t="str">
        <f ca="1">IFERROR(__xludf.DUMMYFUNCTION("""COMPUTED_VALUE"""),"Parking Lot")</f>
        <v>Parking Lot</v>
      </c>
      <c r="T656" s="5" t="str">
        <f ca="1">IFERROR(__xludf.DUMMYFUNCTION("""COMPUTED_VALUE"""),"Outside on School Property")</f>
        <v>Outside on School Property</v>
      </c>
      <c r="U656" s="5" t="str">
        <f ca="1">IFERROR(__xludf.DUMMYFUNCTION("""COMPUTED_VALUE"""),"No")</f>
        <v>No</v>
      </c>
      <c r="V656" s="5" t="str">
        <f ca="1">IFERROR(__xludf.DUMMYFUNCTION("""COMPUTED_VALUE"""),"Evening")</f>
        <v>Evening</v>
      </c>
      <c r="W656" s="10">
        <f ca="1">IFERROR(__xludf.DUMMYFUNCTION("""COMPUTED_VALUE"""),0.729166666666666)</f>
        <v>0.72916666666666596</v>
      </c>
      <c r="X656" s="5">
        <f ca="1">IFERROR(__xludf.DUMMYFUNCTION("""COMPUTED_VALUE"""),1)</f>
        <v>1</v>
      </c>
      <c r="Y656" s="5" t="str">
        <f ca="1">IFERROR(__xludf.DUMMYFUNCTION("""COMPUTED_VALUE"""),"Teen shot and killed in school parking lot")</f>
        <v>Teen shot and killed in school parking lot</v>
      </c>
      <c r="Z656" s="5" t="str">
        <f ca="1">IFERROR(__xludf.DUMMYFUNCTION("""COMPUTED_VALUE"""),"A 17 year-old teen was shot and killed in the school parking lot. Shooter fled the scene. No information on the motive.")</f>
        <v>A 17 year-old teen was shot and killed in the school parking lot. Shooter fled the scene. No information on the motive.</v>
      </c>
      <c r="AA656" s="5"/>
      <c r="AB656" s="5"/>
      <c r="AC656" s="5"/>
      <c r="AD656" s="5" t="str">
        <f ca="1">IFERROR(__xludf.DUMMYFUNCTION("""COMPUTED_VALUE"""),"No")</f>
        <v>No</v>
      </c>
      <c r="AE656" s="5" t="str">
        <f ca="1">IFERROR(__xludf.DUMMYFUNCTION("""COMPUTED_VALUE"""),"No")</f>
        <v>No</v>
      </c>
      <c r="AF656" s="5" t="str">
        <f ca="1">IFERROR(__xludf.DUMMYFUNCTION("""COMPUTED_VALUE"""),"No")</f>
        <v>No</v>
      </c>
      <c r="AG656" s="5" t="str">
        <f ca="1">IFERROR(__xludf.DUMMYFUNCTION("""COMPUTED_VALUE"""),"No")</f>
        <v>No</v>
      </c>
      <c r="AH656" s="5" t="str">
        <f ca="1">IFERROR(__xludf.DUMMYFUNCTION("""COMPUTED_VALUE"""),"No")</f>
        <v>No</v>
      </c>
      <c r="AI656" s="5"/>
      <c r="AJ656" s="5" t="str">
        <f ca="1">IFERROR(__xludf.DUMMYFUNCTION("""COMPUTED_VALUE"""),"No")</f>
        <v>No</v>
      </c>
    </row>
    <row r="657" spans="1:36" ht="13">
      <c r="A657" s="5" t="str">
        <f ca="1">IFERROR(__xludf.DUMMYFUNCTION("""COMPUTED_VALUE"""),"20201112CACEU")</f>
        <v>20201112CACEU</v>
      </c>
      <c r="B657" s="5">
        <f ca="1">IFERROR(__xludf.DUMMYFUNCTION("""COMPUTED_VALUE"""),11)</f>
        <v>11</v>
      </c>
      <c r="C657" s="5">
        <f ca="1">IFERROR(__xludf.DUMMYFUNCTION("""COMPUTED_VALUE"""),12)</f>
        <v>12</v>
      </c>
      <c r="D657" s="5">
        <f ca="1">IFERROR(__xludf.DUMMYFUNCTION("""COMPUTED_VALUE"""),2020)</f>
        <v>2020</v>
      </c>
      <c r="E657" s="8">
        <f ca="1">IFERROR(__xludf.DUMMYFUNCTION("""COMPUTED_VALUE"""),44147)</f>
        <v>44147</v>
      </c>
      <c r="F657" s="5" t="str">
        <f ca="1">IFERROR(__xludf.DUMMYFUNCTION("""COMPUTED_VALUE"""),"Cesar Chavez Middle School")</f>
        <v>Cesar Chavez Middle School</v>
      </c>
      <c r="G657" s="5">
        <f ca="1">IFERROR(__xludf.DUMMYFUNCTION("""COMPUTED_VALUE"""),0)</f>
        <v>0</v>
      </c>
      <c r="H657" s="5">
        <f ca="1">IFERROR(__xludf.DUMMYFUNCTION("""COMPUTED_VALUE"""),1)</f>
        <v>1</v>
      </c>
      <c r="I657" s="5">
        <f ca="1">IFERROR(__xludf.DUMMYFUNCTION("""COMPUTED_VALUE"""),1)</f>
        <v>1</v>
      </c>
      <c r="J657" s="5">
        <f ca="1">IFERROR(__xludf.DUMMYFUNCTION("""COMPUTED_VALUE"""),0)</f>
        <v>0</v>
      </c>
      <c r="K657" s="9" t="str">
        <f ca="1">IFERROR(__xludf.DUMMYFUNCTION("""COMPUTED_VALUE"""),"https://www.eastbaytimes.com/2020/11/13/union-city-man-shot-near-cesar-chavez-middle-school/")</f>
        <v>https://www.eastbaytimes.com/2020/11/13/union-city-man-shot-near-cesar-chavez-middle-school/</v>
      </c>
      <c r="L657" s="5">
        <f ca="1">IFERROR(__xludf.DUMMYFUNCTION("""COMPUTED_VALUE"""),1)</f>
        <v>1</v>
      </c>
      <c r="M657" s="5" t="str">
        <f ca="1">IFERROR(__xludf.DUMMYFUNCTION("""COMPUTED_VALUE"""),"Local")</f>
        <v>Local</v>
      </c>
      <c r="N657" s="5">
        <f ca="1">IFERROR(__xludf.DUMMYFUNCTION("""COMPUTED_VALUE"""),3)</f>
        <v>3</v>
      </c>
      <c r="O657" s="5" t="str">
        <f ca="1">IFERROR(__xludf.DUMMYFUNCTION("""COMPUTED_VALUE"""),"Fall")</f>
        <v>Fall</v>
      </c>
      <c r="P657" s="5" t="str">
        <f ca="1">IFERROR(__xludf.DUMMYFUNCTION("""COMPUTED_VALUE"""),"Union City")</f>
        <v>Union City</v>
      </c>
      <c r="Q657" s="5" t="str">
        <f ca="1">IFERROR(__xludf.DUMMYFUNCTION("""COMPUTED_VALUE"""),"CA")</f>
        <v>CA</v>
      </c>
      <c r="R657" s="5" t="str">
        <f ca="1">IFERROR(__xludf.DUMMYFUNCTION("""COMPUTED_VALUE"""),"Middle")</f>
        <v>Middle</v>
      </c>
      <c r="S657" s="5" t="str">
        <f ca="1">IFERROR(__xludf.DUMMYFUNCTION("""COMPUTED_VALUE"""),"Parking Lot")</f>
        <v>Parking Lot</v>
      </c>
      <c r="T657" s="5" t="str">
        <f ca="1">IFERROR(__xludf.DUMMYFUNCTION("""COMPUTED_VALUE"""),"Outside on School Property")</f>
        <v>Outside on School Property</v>
      </c>
      <c r="U657" s="5" t="str">
        <f ca="1">IFERROR(__xludf.DUMMYFUNCTION("""COMPUTED_VALUE"""),"No")</f>
        <v>No</v>
      </c>
      <c r="V657" s="5" t="str">
        <f ca="1">IFERROR(__xludf.DUMMYFUNCTION("""COMPUTED_VALUE"""),"Evening")</f>
        <v>Evening</v>
      </c>
      <c r="W657" s="10">
        <f ca="1">IFERROR(__xludf.DUMMYFUNCTION("""COMPUTED_VALUE"""),0.732638888888888)</f>
        <v>0.73263888888888795</v>
      </c>
      <c r="X657" s="5">
        <f ca="1">IFERROR(__xludf.DUMMYFUNCTION("""COMPUTED_VALUE"""),1)</f>
        <v>1</v>
      </c>
      <c r="Y657" s="5" t="str">
        <f ca="1">IFERROR(__xludf.DUMMYFUNCTION("""COMPUTED_VALUE"""),"Man in vehicle shot in school parking lot, fled and crashed nearby")</f>
        <v>Man in vehicle shot in school parking lot, fled and crashed nearby</v>
      </c>
      <c r="Z657" s="5" t="str">
        <f ca="1">IFERROR(__xludf.DUMMYFUNCTION("""COMPUTED_VALUE"""),"A man driving a vehicle was shot in the school parking lot, fled after being shot, and crashed into trees nearby. He was transported to the hospital. Shooter fled. Motive unknown.")</f>
        <v>A man driving a vehicle was shot in the school parking lot, fled after being shot, and crashed into trees nearby. He was transported to the hospital. Shooter fled. Motive unknown.</v>
      </c>
      <c r="AA657" s="5"/>
      <c r="AB657" s="5" t="str">
        <f ca="1">IFERROR(__xludf.DUMMYFUNCTION("""COMPUTED_VALUE"""),"Victims Targeted")</f>
        <v>Victims Targeted</v>
      </c>
      <c r="AC657" s="5"/>
      <c r="AD657" s="5" t="str">
        <f ca="1">IFERROR(__xludf.DUMMYFUNCTION("""COMPUTED_VALUE"""),"No")</f>
        <v>No</v>
      </c>
      <c r="AE657" s="5" t="str">
        <f ca="1">IFERROR(__xludf.DUMMYFUNCTION("""COMPUTED_VALUE"""),"No")</f>
        <v>No</v>
      </c>
      <c r="AF657" s="5" t="str">
        <f ca="1">IFERROR(__xludf.DUMMYFUNCTION("""COMPUTED_VALUE"""),"No")</f>
        <v>No</v>
      </c>
      <c r="AG657" s="5" t="str">
        <f ca="1">IFERROR(__xludf.DUMMYFUNCTION("""COMPUTED_VALUE"""),"No")</f>
        <v>No</v>
      </c>
      <c r="AH657" s="5" t="str">
        <f ca="1">IFERROR(__xludf.DUMMYFUNCTION("""COMPUTED_VALUE"""),"No")</f>
        <v>No</v>
      </c>
      <c r="AI657" s="5"/>
      <c r="AJ657" s="5" t="str">
        <f ca="1">IFERROR(__xludf.DUMMYFUNCTION("""COMPUTED_VALUE"""),"No")</f>
        <v>No</v>
      </c>
    </row>
    <row r="658" spans="1:36" ht="13">
      <c r="A658" s="5" t="str">
        <f ca="1">IFERROR(__xludf.DUMMYFUNCTION("""COMPUTED_VALUE"""),"20201109TXCOH")</f>
        <v>20201109TXCOH</v>
      </c>
      <c r="B658" s="5">
        <f ca="1">IFERROR(__xludf.DUMMYFUNCTION("""COMPUTED_VALUE"""),11)</f>
        <v>11</v>
      </c>
      <c r="C658" s="5">
        <f ca="1">IFERROR(__xludf.DUMMYFUNCTION("""COMPUTED_VALUE"""),9)</f>
        <v>9</v>
      </c>
      <c r="D658" s="5">
        <f ca="1">IFERROR(__xludf.DUMMYFUNCTION("""COMPUTED_VALUE"""),2020)</f>
        <v>2020</v>
      </c>
      <c r="E658" s="8">
        <f ca="1">IFERROR(__xludf.DUMMYFUNCTION("""COMPUTED_VALUE"""),44144)</f>
        <v>44144</v>
      </c>
      <c r="F658" s="5" t="str">
        <f ca="1">IFERROR(__xludf.DUMMYFUNCTION("""COMPUTED_VALUE"""),"Collins Elementary School")</f>
        <v>Collins Elementary School</v>
      </c>
      <c r="G658" s="5">
        <f ca="1">IFERROR(__xludf.DUMMYFUNCTION("""COMPUTED_VALUE"""),1)</f>
        <v>1</v>
      </c>
      <c r="H658" s="5">
        <f ca="1">IFERROR(__xludf.DUMMYFUNCTION("""COMPUTED_VALUE"""),0)</f>
        <v>0</v>
      </c>
      <c r="I658" s="5">
        <f ca="1">IFERROR(__xludf.DUMMYFUNCTION("""COMPUTED_VALUE"""),1)</f>
        <v>1</v>
      </c>
      <c r="J658" s="5">
        <f ca="1">IFERROR(__xludf.DUMMYFUNCTION("""COMPUTED_VALUE"""),0)</f>
        <v>0</v>
      </c>
      <c r="K658" s="5" t="str">
        <f ca="1">IFERROR(__xludf.DUMMYFUNCTION("""COMPUTED_VALUE"""),"https://abc13.com/houston-crime-shootings-in-officer-killed-hotel-tajinn-north-man/7807860/ https://www.khou.com/article/news/local/body-found-at-alief-isds-collins-elementary-school-on-monday/285-b0799339-67fe-4b48-aabe-49351485754a")</f>
        <v>https://abc13.com/houston-crime-shootings-in-officer-killed-hotel-tajinn-north-man/7807860/ https://www.khou.com/article/news/local/body-found-at-alief-isds-collins-elementary-school-on-monday/285-b0799339-67fe-4b48-aabe-49351485754a</v>
      </c>
      <c r="L658" s="5">
        <f ca="1">IFERROR(__xludf.DUMMYFUNCTION("""COMPUTED_VALUE"""),2)</f>
        <v>2</v>
      </c>
      <c r="M658" s="5" t="str">
        <f ca="1">IFERROR(__xludf.DUMMYFUNCTION("""COMPUTED_VALUE"""),"Local")</f>
        <v>Local</v>
      </c>
      <c r="N658" s="5">
        <f ca="1">IFERROR(__xludf.DUMMYFUNCTION("""COMPUTED_VALUE"""),4)</f>
        <v>4</v>
      </c>
      <c r="O658" s="5" t="str">
        <f ca="1">IFERROR(__xludf.DUMMYFUNCTION("""COMPUTED_VALUE"""),"Fall")</f>
        <v>Fall</v>
      </c>
      <c r="P658" s="5" t="str">
        <f ca="1">IFERROR(__xludf.DUMMYFUNCTION("""COMPUTED_VALUE"""),"Houston")</f>
        <v>Houston</v>
      </c>
      <c r="Q658" s="5" t="str">
        <f ca="1">IFERROR(__xludf.DUMMYFUNCTION("""COMPUTED_VALUE"""),"TX")</f>
        <v>TX</v>
      </c>
      <c r="R658" s="5" t="str">
        <f ca="1">IFERROR(__xludf.DUMMYFUNCTION("""COMPUTED_VALUE"""),"Elementary")</f>
        <v>Elementary</v>
      </c>
      <c r="S658" s="5" t="str">
        <f ca="1">IFERROR(__xludf.DUMMYFUNCTION("""COMPUTED_VALUE"""),"Parking Lot")</f>
        <v>Parking Lot</v>
      </c>
      <c r="T658" s="5" t="str">
        <f ca="1">IFERROR(__xludf.DUMMYFUNCTION("""COMPUTED_VALUE"""),"Outside on School Property")</f>
        <v>Outside on School Property</v>
      </c>
      <c r="U658" s="5" t="str">
        <f ca="1">IFERROR(__xludf.DUMMYFUNCTION("""COMPUTED_VALUE"""),"No")</f>
        <v>No</v>
      </c>
      <c r="V658" s="5" t="str">
        <f ca="1">IFERROR(__xludf.DUMMYFUNCTION("""COMPUTED_VALUE"""),"Night")</f>
        <v>Night</v>
      </c>
      <c r="W658" s="5"/>
      <c r="X658" s="5">
        <f ca="1">IFERROR(__xludf.DUMMYFUNCTION("""COMPUTED_VALUE"""),1)</f>
        <v>1</v>
      </c>
      <c r="Y658" s="5" t="str">
        <f ca="1">IFERROR(__xludf.DUMMYFUNCTION("""COMPUTED_VALUE"""),"Man found fatally shot in school parking lot")</f>
        <v>Man found fatally shot in school parking lot</v>
      </c>
      <c r="Z658" s="5" t="str">
        <f ca="1">IFERROR(__xludf.DUMMYFUNCTION("""COMPUTED_VALUE"""),"An adult male was found by school employees fatally shot in the parking lot of the school. School opened for classes and students were not allowed outside during lunch or recess while police investigated. Police said the shooting occurred overnight. Motiv"&amp;"e unknown.")</f>
        <v>An adult male was found by school employees fatally shot in the parking lot of the school. School opened for classes and students were not allowed outside during lunch or recess while police investigated. Police said the shooting occurred overnight. Motive unknown.</v>
      </c>
      <c r="AA658" s="5"/>
      <c r="AB658" s="5" t="str">
        <f ca="1">IFERROR(__xludf.DUMMYFUNCTION("""COMPUTED_VALUE"""),"Victims Targeted")</f>
        <v>Victims Targeted</v>
      </c>
      <c r="AC658" s="5"/>
      <c r="AD658" s="5" t="str">
        <f ca="1">IFERROR(__xludf.DUMMYFUNCTION("""COMPUTED_VALUE"""),"No")</f>
        <v>No</v>
      </c>
      <c r="AE658" s="5" t="str">
        <f ca="1">IFERROR(__xludf.DUMMYFUNCTION("""COMPUTED_VALUE"""),"No")</f>
        <v>No</v>
      </c>
      <c r="AF658" s="5" t="str">
        <f ca="1">IFERROR(__xludf.DUMMYFUNCTION("""COMPUTED_VALUE"""),"No")</f>
        <v>No</v>
      </c>
      <c r="AG658" s="5" t="str">
        <f ca="1">IFERROR(__xludf.DUMMYFUNCTION("""COMPUTED_VALUE"""),"No")</f>
        <v>No</v>
      </c>
      <c r="AH658" s="5" t="str">
        <f ca="1">IFERROR(__xludf.DUMMYFUNCTION("""COMPUTED_VALUE"""),"No")</f>
        <v>No</v>
      </c>
      <c r="AI658" s="5"/>
      <c r="AJ658" s="5" t="str">
        <f ca="1">IFERROR(__xludf.DUMMYFUNCTION("""COMPUTED_VALUE"""),"No")</f>
        <v>No</v>
      </c>
    </row>
    <row r="659" spans="1:36" ht="13">
      <c r="A659" s="5" t="str">
        <f ca="1">IFERROR(__xludf.DUMMYFUNCTION("""COMPUTED_VALUE"""),"20201109CABAL")</f>
        <v>20201109CABAL</v>
      </c>
      <c r="B659" s="5">
        <f ca="1">IFERROR(__xludf.DUMMYFUNCTION("""COMPUTED_VALUE"""),11)</f>
        <v>11</v>
      </c>
      <c r="C659" s="5">
        <f ca="1">IFERROR(__xludf.DUMMYFUNCTION("""COMPUTED_VALUE"""),9)</f>
        <v>9</v>
      </c>
      <c r="D659" s="5">
        <f ca="1">IFERROR(__xludf.DUMMYFUNCTION("""COMPUTED_VALUE"""),2020)</f>
        <v>2020</v>
      </c>
      <c r="E659" s="8">
        <f ca="1">IFERROR(__xludf.DUMMYFUNCTION("""COMPUTED_VALUE"""),44144)</f>
        <v>44144</v>
      </c>
      <c r="F659" s="5" t="str">
        <f ca="1">IFERROR(__xludf.DUMMYFUNCTION("""COMPUTED_VALUE"""),"Baldwin Elementary School")</f>
        <v>Baldwin Elementary School</v>
      </c>
      <c r="G659" s="5">
        <f ca="1">IFERROR(__xludf.DUMMYFUNCTION("""COMPUTED_VALUE"""),0)</f>
        <v>0</v>
      </c>
      <c r="H659" s="5">
        <f ca="1">IFERROR(__xludf.DUMMYFUNCTION("""COMPUTED_VALUE"""),0)</f>
        <v>0</v>
      </c>
      <c r="I659" s="5">
        <f ca="1">IFERROR(__xludf.DUMMYFUNCTION("""COMPUTED_VALUE"""),0)</f>
        <v>0</v>
      </c>
      <c r="J659" s="5">
        <f ca="1">IFERROR(__xludf.DUMMYFUNCTION("""COMPUTED_VALUE"""),1)</f>
        <v>1</v>
      </c>
      <c r="K659" s="9" t="str">
        <f ca="1">IFERROR(__xludf.DUMMYFUNCTION("""COMPUTED_VALUE"""),"https://www.sgvtribune.com/2020/11/09/body-of-man-who-had-been-fatally-shot-is-found-at-school-near-la-puente/")</f>
        <v>https://www.sgvtribune.com/2020/11/09/body-of-man-who-had-been-fatally-shot-is-found-at-school-near-la-puente/</v>
      </c>
      <c r="L659" s="5">
        <f ca="1">IFERROR(__xludf.DUMMYFUNCTION("""COMPUTED_VALUE"""),1)</f>
        <v>1</v>
      </c>
      <c r="M659" s="5" t="str">
        <f ca="1">IFERROR(__xludf.DUMMYFUNCTION("""COMPUTED_VALUE"""),"Local")</f>
        <v>Local</v>
      </c>
      <c r="N659" s="5">
        <f ca="1">IFERROR(__xludf.DUMMYFUNCTION("""COMPUTED_VALUE"""),4)</f>
        <v>4</v>
      </c>
      <c r="O659" s="5" t="str">
        <f ca="1">IFERROR(__xludf.DUMMYFUNCTION("""COMPUTED_VALUE"""),"Fall")</f>
        <v>Fall</v>
      </c>
      <c r="P659" s="5" t="str">
        <f ca="1">IFERROR(__xludf.DUMMYFUNCTION("""COMPUTED_VALUE"""),"La Puente")</f>
        <v>La Puente</v>
      </c>
      <c r="Q659" s="5" t="str">
        <f ca="1">IFERROR(__xludf.DUMMYFUNCTION("""COMPUTED_VALUE"""),"CA")</f>
        <v>CA</v>
      </c>
      <c r="R659" s="5" t="str">
        <f ca="1">IFERROR(__xludf.DUMMYFUNCTION("""COMPUTED_VALUE"""),"Elementary")</f>
        <v>Elementary</v>
      </c>
      <c r="S659" s="5" t="str">
        <f ca="1">IFERROR(__xludf.DUMMYFUNCTION("""COMPUTED_VALUE"""),"Beside Building")</f>
        <v>Beside Building</v>
      </c>
      <c r="T659" s="5" t="str">
        <f ca="1">IFERROR(__xludf.DUMMYFUNCTION("""COMPUTED_VALUE"""),"Outside on School Property")</f>
        <v>Outside on School Property</v>
      </c>
      <c r="U659" s="5" t="str">
        <f ca="1">IFERROR(__xludf.DUMMYFUNCTION("""COMPUTED_VALUE"""),"No")</f>
        <v>No</v>
      </c>
      <c r="V659" s="5" t="str">
        <f ca="1">IFERROR(__xludf.DUMMYFUNCTION("""COMPUTED_VALUE"""),"Night")</f>
        <v>Night</v>
      </c>
      <c r="W659" s="5"/>
      <c r="X659" s="5">
        <f ca="1">IFERROR(__xludf.DUMMYFUNCTION("""COMPUTED_VALUE"""),1)</f>
        <v>1</v>
      </c>
      <c r="Y659" s="5" t="str">
        <f ca="1">IFERROR(__xludf.DUMMYFUNCTION("""COMPUTED_VALUE"""),"Janitor found man dead from gunshot wound next to the school")</f>
        <v>Janitor found man dead from gunshot wound next to the school</v>
      </c>
      <c r="Z659" s="5" t="str">
        <f ca="1">IFERROR(__xludf.DUMMYFUNCTION("""COMPUTED_VALUE"""),"A janitor found a man with a gun shot wound to the head fatally shot next to the school just before the school opened. 5 children were at the school when the body was discovered. The victim had a single gun shot wound and the gun used was found next to th"&amp;"e victim. Victim was pronounced dead at the scene. Police said the same man was shooting into the air the night prior but fled before police arrived at the scene.")</f>
        <v>A janitor found a man with a gun shot wound to the head fatally shot next to the school just before the school opened. 5 children were at the school when the body was discovered. The victim had a single gun shot wound and the gun used was found next to the victim. Victim was pronounced dead at the scene. Police said the same man was shooting into the air the night prior but fled before police arrived at the scene.</v>
      </c>
      <c r="AA659" s="5" t="str">
        <f ca="1">IFERROR(__xludf.DUMMYFUNCTION("""COMPUTED_VALUE"""),"Suicide/Attempted")</f>
        <v>Suicide/Attempted</v>
      </c>
      <c r="AB659" s="5" t="str">
        <f ca="1">IFERROR(__xludf.DUMMYFUNCTION("""COMPUTED_VALUE"""),"Victims Targeted")</f>
        <v>Victims Targeted</v>
      </c>
      <c r="AC659" s="5" t="str">
        <f ca="1">IFERROR(__xludf.DUMMYFUNCTION("""COMPUTED_VALUE"""),"No")</f>
        <v>No</v>
      </c>
      <c r="AD659" s="5" t="str">
        <f ca="1">IFERROR(__xludf.DUMMYFUNCTION("""COMPUTED_VALUE"""),"No")</f>
        <v>No</v>
      </c>
      <c r="AE659" s="5" t="str">
        <f ca="1">IFERROR(__xludf.DUMMYFUNCTION("""COMPUTED_VALUE"""),"No")</f>
        <v>No</v>
      </c>
      <c r="AF659" s="5" t="str">
        <f ca="1">IFERROR(__xludf.DUMMYFUNCTION("""COMPUTED_VALUE"""),"No")</f>
        <v>No</v>
      </c>
      <c r="AG659" s="5" t="str">
        <f ca="1">IFERROR(__xludf.DUMMYFUNCTION("""COMPUTED_VALUE"""),"No")</f>
        <v>No</v>
      </c>
      <c r="AH659" s="5" t="str">
        <f ca="1">IFERROR(__xludf.DUMMYFUNCTION("""COMPUTED_VALUE"""),"No")</f>
        <v>No</v>
      </c>
      <c r="AI659" s="5" t="str">
        <f ca="1">IFERROR(__xludf.DUMMYFUNCTION("""COMPUTED_VALUE"""),"No")</f>
        <v>No</v>
      </c>
      <c r="AJ659" s="5" t="str">
        <f ca="1">IFERROR(__xludf.DUMMYFUNCTION("""COMPUTED_VALUE"""),"No")</f>
        <v>No</v>
      </c>
    </row>
    <row r="660" spans="1:36" ht="13">
      <c r="A660" s="5" t="str">
        <f ca="1">IFERROR(__xludf.DUMMYFUNCTION("""COMPUTED_VALUE"""),"20201108INTET")</f>
        <v>20201108INTET</v>
      </c>
      <c r="B660" s="5">
        <f ca="1">IFERROR(__xludf.DUMMYFUNCTION("""COMPUTED_VALUE"""),11)</f>
        <v>11</v>
      </c>
      <c r="C660" s="5">
        <f ca="1">IFERROR(__xludf.DUMMYFUNCTION("""COMPUTED_VALUE"""),8)</f>
        <v>8</v>
      </c>
      <c r="D660" s="5">
        <f ca="1">IFERROR(__xludf.DUMMYFUNCTION("""COMPUTED_VALUE"""),2020)</f>
        <v>2020</v>
      </c>
      <c r="E660" s="8">
        <f ca="1">IFERROR(__xludf.DUMMYFUNCTION("""COMPUTED_VALUE"""),44143)</f>
        <v>44143</v>
      </c>
      <c r="F660" s="5" t="str">
        <f ca="1">IFERROR(__xludf.DUMMYFUNCTION("""COMPUTED_VALUE"""),"Terre Haute South Vigo High School")</f>
        <v>Terre Haute South Vigo High School</v>
      </c>
      <c r="G660" s="5">
        <f ca="1">IFERROR(__xludf.DUMMYFUNCTION("""COMPUTED_VALUE"""),0)</f>
        <v>0</v>
      </c>
      <c r="H660" s="5">
        <f ca="1">IFERROR(__xludf.DUMMYFUNCTION("""COMPUTED_VALUE"""),0)</f>
        <v>0</v>
      </c>
      <c r="I660" s="5">
        <f ca="1">IFERROR(__xludf.DUMMYFUNCTION("""COMPUTED_VALUE"""),0)</f>
        <v>0</v>
      </c>
      <c r="J660" s="5">
        <f ca="1">IFERROR(__xludf.DUMMYFUNCTION("""COMPUTED_VALUE"""),0)</f>
        <v>0</v>
      </c>
      <c r="K660" s="9" t="str">
        <f ca="1">IFERROR(__xludf.DUMMYFUNCTION("""COMPUTED_VALUE"""),"https://www.mywabashvalley.com/top-news/thpd-shots-fired-at-terre-haute-high-school-no-injuries/")</f>
        <v>https://www.mywabashvalley.com/top-news/thpd-shots-fired-at-terre-haute-high-school-no-injuries/</v>
      </c>
      <c r="L660" s="5">
        <f ca="1">IFERROR(__xludf.DUMMYFUNCTION("""COMPUTED_VALUE"""),1)</f>
        <v>1</v>
      </c>
      <c r="M660" s="5" t="str">
        <f ca="1">IFERROR(__xludf.DUMMYFUNCTION("""COMPUTED_VALUE"""),"Local")</f>
        <v>Local</v>
      </c>
      <c r="N660" s="5">
        <f ca="1">IFERROR(__xludf.DUMMYFUNCTION("""COMPUTED_VALUE"""),4)</f>
        <v>4</v>
      </c>
      <c r="O660" s="5" t="str">
        <f ca="1">IFERROR(__xludf.DUMMYFUNCTION("""COMPUTED_VALUE"""),"Fall")</f>
        <v>Fall</v>
      </c>
      <c r="P660" s="5" t="str">
        <f ca="1">IFERROR(__xludf.DUMMYFUNCTION("""COMPUTED_VALUE"""),"Terre Haute")</f>
        <v>Terre Haute</v>
      </c>
      <c r="Q660" s="5" t="str">
        <f ca="1">IFERROR(__xludf.DUMMYFUNCTION("""COMPUTED_VALUE"""),"IN")</f>
        <v>IN</v>
      </c>
      <c r="R660" s="5" t="str">
        <f ca="1">IFERROR(__xludf.DUMMYFUNCTION("""COMPUTED_VALUE"""),"High")</f>
        <v>High</v>
      </c>
      <c r="S660" s="5" t="str">
        <f ca="1">IFERROR(__xludf.DUMMYFUNCTION("""COMPUTED_VALUE"""),"Parking Lot")</f>
        <v>Parking Lot</v>
      </c>
      <c r="T660" s="5" t="str">
        <f ca="1">IFERROR(__xludf.DUMMYFUNCTION("""COMPUTED_VALUE"""),"Outside on School Property")</f>
        <v>Outside on School Property</v>
      </c>
      <c r="U660" s="5" t="str">
        <f ca="1">IFERROR(__xludf.DUMMYFUNCTION("""COMPUTED_VALUE"""),"No")</f>
        <v>No</v>
      </c>
      <c r="V660" s="5" t="str">
        <f ca="1">IFERROR(__xludf.DUMMYFUNCTION("""COMPUTED_VALUE"""),"Not a School Day")</f>
        <v>Not a School Day</v>
      </c>
      <c r="W660" s="10">
        <f ca="1">IFERROR(__xludf.DUMMYFUNCTION("""COMPUTED_VALUE"""),0.69375)</f>
        <v>0.69374999999999998</v>
      </c>
      <c r="X660" s="5">
        <f ca="1">IFERROR(__xludf.DUMMYFUNCTION("""COMPUTED_VALUE"""),1)</f>
        <v>1</v>
      </c>
      <c r="Y660" s="5" t="str">
        <f ca="1">IFERROR(__xludf.DUMMYFUNCTION("""COMPUTED_VALUE"""),"Shots fired in the school parking lot")</f>
        <v>Shots fired in the school parking lot</v>
      </c>
      <c r="Z660" s="5" t="str">
        <f ca="1">IFERROR(__xludf.DUMMYFUNCTION("""COMPUTED_VALUE"""),"23 year-old man fired shot in the school parking lot. No injuries. Shooter fled the scene and was arrested later that night. Motive unknown. School was closed at the time of the shooting.")</f>
        <v>23 year-old man fired shot in the school parking lot. No injuries. Shooter fled the scene and was arrested later that night. Motive unknown. School was closed at the time of the shooting.</v>
      </c>
      <c r="AA660" s="5"/>
      <c r="AB660" s="5" t="str">
        <f ca="1">IFERROR(__xludf.DUMMYFUNCTION("""COMPUTED_VALUE"""),"Victims Targeted")</f>
        <v>Victims Targeted</v>
      </c>
      <c r="AC660" s="5"/>
      <c r="AD660" s="5" t="str">
        <f ca="1">IFERROR(__xludf.DUMMYFUNCTION("""COMPUTED_VALUE"""),"No")</f>
        <v>No</v>
      </c>
      <c r="AE660" s="5" t="str">
        <f ca="1">IFERROR(__xludf.DUMMYFUNCTION("""COMPUTED_VALUE"""),"No")</f>
        <v>No</v>
      </c>
      <c r="AF660" s="5" t="str">
        <f ca="1">IFERROR(__xludf.DUMMYFUNCTION("""COMPUTED_VALUE"""),"No")</f>
        <v>No</v>
      </c>
      <c r="AG660" s="5" t="str">
        <f ca="1">IFERROR(__xludf.DUMMYFUNCTION("""COMPUTED_VALUE"""),"No")</f>
        <v>No</v>
      </c>
      <c r="AH660" s="5" t="str">
        <f ca="1">IFERROR(__xludf.DUMMYFUNCTION("""COMPUTED_VALUE"""),"No")</f>
        <v>No</v>
      </c>
      <c r="AI660" s="5"/>
      <c r="AJ660" s="5" t="str">
        <f ca="1">IFERROR(__xludf.DUMMYFUNCTION("""COMPUTED_VALUE"""),"No")</f>
        <v>No</v>
      </c>
    </row>
    <row r="661" spans="1:36" ht="13">
      <c r="A661" s="5" t="str">
        <f ca="1">IFERROR(__xludf.DUMMYFUNCTION("""COMPUTED_VALUE"""),"20201106AZKHT")</f>
        <v>20201106AZKHT</v>
      </c>
      <c r="B661" s="5">
        <f ca="1">IFERROR(__xludf.DUMMYFUNCTION("""COMPUTED_VALUE"""),11)</f>
        <v>11</v>
      </c>
      <c r="C661" s="5">
        <f ca="1">IFERROR(__xludf.DUMMYFUNCTION("""COMPUTED_VALUE"""),6)</f>
        <v>6</v>
      </c>
      <c r="D661" s="5">
        <f ca="1">IFERROR(__xludf.DUMMYFUNCTION("""COMPUTED_VALUE"""),2020)</f>
        <v>2020</v>
      </c>
      <c r="E661" s="8">
        <f ca="1">IFERROR(__xludf.DUMMYFUNCTION("""COMPUTED_VALUE"""),44141)</f>
        <v>44141</v>
      </c>
      <c r="F661" s="5" t="str">
        <f ca="1">IFERROR(__xludf.DUMMYFUNCTION("""COMPUTED_VALUE"""),"Khalsa Montessori Charter")</f>
        <v>Khalsa Montessori Charter</v>
      </c>
      <c r="G661" s="5">
        <f ca="1">IFERROR(__xludf.DUMMYFUNCTION("""COMPUTED_VALUE"""),0)</f>
        <v>0</v>
      </c>
      <c r="H661" s="5">
        <f ca="1">IFERROR(__xludf.DUMMYFUNCTION("""COMPUTED_VALUE"""),0)</f>
        <v>0</v>
      </c>
      <c r="I661" s="5">
        <f ca="1">IFERROR(__xludf.DUMMYFUNCTION("""COMPUTED_VALUE"""),0)</f>
        <v>0</v>
      </c>
      <c r="J661" s="5">
        <f ca="1">IFERROR(__xludf.DUMMYFUNCTION("""COMPUTED_VALUE"""),0)</f>
        <v>0</v>
      </c>
      <c r="K661" s="5" t="str">
        <f ca="1">IFERROR(__xludf.DUMMYFUNCTION("""COMPUTED_VALUE"""),"https://kvoa.com/news/top-stories/2020/11/06/barricade-situation-prompts-evacuation-in-midtown-police-say/ https://kvoa.com/news/2020/11/11/man-in-custody-after-firing-weapon-on-school-property/")</f>
        <v>https://kvoa.com/news/top-stories/2020/11/06/barricade-situation-prompts-evacuation-in-midtown-police-say/ https://kvoa.com/news/2020/11/11/man-in-custody-after-firing-weapon-on-school-property/</v>
      </c>
      <c r="L661" s="5">
        <f ca="1">IFERROR(__xludf.DUMMYFUNCTION("""COMPUTED_VALUE"""),2)</f>
        <v>2</v>
      </c>
      <c r="M661" s="5" t="str">
        <f ca="1">IFERROR(__xludf.DUMMYFUNCTION("""COMPUTED_VALUE"""),"Local")</f>
        <v>Local</v>
      </c>
      <c r="N661" s="5">
        <f ca="1">IFERROR(__xludf.DUMMYFUNCTION("""COMPUTED_VALUE"""),3)</f>
        <v>3</v>
      </c>
      <c r="O661" s="5" t="str">
        <f ca="1">IFERROR(__xludf.DUMMYFUNCTION("""COMPUTED_VALUE"""),"Fall")</f>
        <v>Fall</v>
      </c>
      <c r="P661" s="5" t="str">
        <f ca="1">IFERROR(__xludf.DUMMYFUNCTION("""COMPUTED_VALUE"""),"Tuscon")</f>
        <v>Tuscon</v>
      </c>
      <c r="Q661" s="5" t="str">
        <f ca="1">IFERROR(__xludf.DUMMYFUNCTION("""COMPUTED_VALUE"""),"AZ")</f>
        <v>AZ</v>
      </c>
      <c r="R661" s="5" t="str">
        <f ca="1">IFERROR(__xludf.DUMMYFUNCTION("""COMPUTED_VALUE"""),"Elementary")</f>
        <v>Elementary</v>
      </c>
      <c r="S661" s="5" t="str">
        <f ca="1">IFERROR(__xludf.DUMMYFUNCTION("""COMPUTED_VALUE"""),"Parking Lot")</f>
        <v>Parking Lot</v>
      </c>
      <c r="T661" s="5" t="str">
        <f ca="1">IFERROR(__xludf.DUMMYFUNCTION("""COMPUTED_VALUE"""),"Outside on School Property")</f>
        <v>Outside on School Property</v>
      </c>
      <c r="U661" s="5" t="str">
        <f ca="1">IFERROR(__xludf.DUMMYFUNCTION("""COMPUTED_VALUE"""),"Yes")</f>
        <v>Yes</v>
      </c>
      <c r="V661" s="5" t="str">
        <f ca="1">IFERROR(__xludf.DUMMYFUNCTION("""COMPUTED_VALUE"""),"Morning Classes")</f>
        <v>Morning Classes</v>
      </c>
      <c r="W661" s="10">
        <f ca="1">IFERROR(__xludf.DUMMYFUNCTION("""COMPUTED_VALUE"""),0.416666666666666)</f>
        <v>0.41666666666666602</v>
      </c>
      <c r="X661" s="5"/>
      <c r="Y661" s="5" t="str">
        <f ca="1">IFERROR(__xludf.DUMMYFUNCTION("""COMPUTED_VALUE"""),"Man fired shots at multiple vehicles in the school parking lot during standoff with police")</f>
        <v>Man fired shots at multiple vehicles in the school parking lot during standoff with police</v>
      </c>
      <c r="Z661" s="5" t="str">
        <f ca="1">IFERROR(__xludf.DUMMYFUNCTION("""COMPUTED_VALUE"""),"A 73 year-old man fired multiple shot at vehicles parked in the school parking lot during a standoff with police. Teachers inside the school were locked down and residents in the neighborhood were evacuated. Teachers were leading virtual classes at the ti"&amp;"me of the incident. Man was arrested and charged with 14 felonies. Motive unknown. The shooter's home was searched by police and deemed unlivable by inspectors.")</f>
        <v>A 73 year-old man fired multiple shot at vehicles parked in the school parking lot during a standoff with police. Teachers inside the school were locked down and residents in the neighborhood were evacuated. Teachers were leading virtual classes at the time of the incident. Man was arrested and charged with 14 felonies. Motive unknown. The shooter's home was searched by police and deemed unlivable by inspectors.</v>
      </c>
      <c r="AA661" s="5" t="str">
        <f ca="1">IFERROR(__xludf.DUMMYFUNCTION("""COMPUTED_VALUE"""),"Hostage/Standoff")</f>
        <v>Hostage/Standoff</v>
      </c>
      <c r="AB661" s="5" t="str">
        <f ca="1">IFERROR(__xludf.DUMMYFUNCTION("""COMPUTED_VALUE"""),"Neither")</f>
        <v>Neither</v>
      </c>
      <c r="AC661" s="5" t="str">
        <f ca="1">IFERROR(__xludf.DUMMYFUNCTION("""COMPUTED_VALUE"""),"No")</f>
        <v>No</v>
      </c>
      <c r="AD661" s="5" t="str">
        <f ca="1">IFERROR(__xludf.DUMMYFUNCTION("""COMPUTED_VALUE"""),"No")</f>
        <v>No</v>
      </c>
      <c r="AE661" s="5" t="str">
        <f ca="1">IFERROR(__xludf.DUMMYFUNCTION("""COMPUTED_VALUE"""),"No")</f>
        <v>No</v>
      </c>
      <c r="AF661" s="5" t="str">
        <f ca="1">IFERROR(__xludf.DUMMYFUNCTION("""COMPUTED_VALUE"""),"No")</f>
        <v>No</v>
      </c>
      <c r="AG661" s="5" t="str">
        <f ca="1">IFERROR(__xludf.DUMMYFUNCTION("""COMPUTED_VALUE"""),"No")</f>
        <v>No</v>
      </c>
      <c r="AH661" s="5" t="str">
        <f ca="1">IFERROR(__xludf.DUMMYFUNCTION("""COMPUTED_VALUE"""),"No")</f>
        <v>No</v>
      </c>
      <c r="AI661" s="5" t="str">
        <f ca="1">IFERROR(__xludf.DUMMYFUNCTION("""COMPUTED_VALUE"""),"No")</f>
        <v>No</v>
      </c>
      <c r="AJ661" s="5" t="str">
        <f ca="1">IFERROR(__xludf.DUMMYFUNCTION("""COMPUTED_VALUE"""),"Yes")</f>
        <v>Yes</v>
      </c>
    </row>
    <row r="662" spans="1:36" ht="13">
      <c r="A662" s="5" t="str">
        <f ca="1">IFERROR(__xludf.DUMMYFUNCTION("""COMPUTED_VALUE"""),"20201102COERE")</f>
        <v>20201102COERE</v>
      </c>
      <c r="B662" s="5">
        <f ca="1">IFERROR(__xludf.DUMMYFUNCTION("""COMPUTED_VALUE"""),11)</f>
        <v>11</v>
      </c>
      <c r="C662" s="5">
        <f ca="1">IFERROR(__xludf.DUMMYFUNCTION("""COMPUTED_VALUE"""),2)</f>
        <v>2</v>
      </c>
      <c r="D662" s="5">
        <f ca="1">IFERROR(__xludf.DUMMYFUNCTION("""COMPUTED_VALUE"""),2020)</f>
        <v>2020</v>
      </c>
      <c r="E662" s="8">
        <f ca="1">IFERROR(__xludf.DUMMYFUNCTION("""COMPUTED_VALUE"""),44137)</f>
        <v>44137</v>
      </c>
      <c r="F662" s="5" t="str">
        <f ca="1">IFERROR(__xludf.DUMMYFUNCTION("""COMPUTED_VALUE"""),"Erie High School")</f>
        <v>Erie High School</v>
      </c>
      <c r="G662" s="5">
        <f ca="1">IFERROR(__xludf.DUMMYFUNCTION("""COMPUTED_VALUE"""),0)</f>
        <v>0</v>
      </c>
      <c r="H662" s="5">
        <f ca="1">IFERROR(__xludf.DUMMYFUNCTION("""COMPUTED_VALUE"""),0)</f>
        <v>0</v>
      </c>
      <c r="I662" s="5">
        <f ca="1">IFERROR(__xludf.DUMMYFUNCTION("""COMPUTED_VALUE"""),0)</f>
        <v>0</v>
      </c>
      <c r="J662" s="5">
        <f ca="1">IFERROR(__xludf.DUMMYFUNCTION("""COMPUTED_VALUE"""),0)</f>
        <v>0</v>
      </c>
      <c r="K662" s="5" t="str">
        <f ca="1">IFERROR(__xludf.DUMMYFUNCTION("""COMPUTED_VALUE"""),"https://www.coloradohometownweekly.com/2020/11/02/erie-police-investigate-criminal-mischief-at-erie-high-school/ https://www.greeleytribune.com/2020/11/02/erie-police-investigate-projectile-shot-through-high-school-window-overnight/")</f>
        <v>https://www.coloradohometownweekly.com/2020/11/02/erie-police-investigate-criminal-mischief-at-erie-high-school/ https://www.greeleytribune.com/2020/11/02/erie-police-investigate-projectile-shot-through-high-school-window-overnight/</v>
      </c>
      <c r="L662" s="5">
        <f ca="1">IFERROR(__xludf.DUMMYFUNCTION("""COMPUTED_VALUE"""),2)</f>
        <v>2</v>
      </c>
      <c r="M662" s="5" t="str">
        <f ca="1">IFERROR(__xludf.DUMMYFUNCTION("""COMPUTED_VALUE"""),"Local")</f>
        <v>Local</v>
      </c>
      <c r="N662" s="5">
        <f ca="1">IFERROR(__xludf.DUMMYFUNCTION("""COMPUTED_VALUE"""),2)</f>
        <v>2</v>
      </c>
      <c r="O662" s="5" t="str">
        <f ca="1">IFERROR(__xludf.DUMMYFUNCTION("""COMPUTED_VALUE"""),"Fall")</f>
        <v>Fall</v>
      </c>
      <c r="P662" s="5" t="str">
        <f ca="1">IFERROR(__xludf.DUMMYFUNCTION("""COMPUTED_VALUE"""),"Erie")</f>
        <v>Erie</v>
      </c>
      <c r="Q662" s="5" t="str">
        <f ca="1">IFERROR(__xludf.DUMMYFUNCTION("""COMPUTED_VALUE"""),"CO")</f>
        <v>CO</v>
      </c>
      <c r="R662" s="5" t="str">
        <f ca="1">IFERROR(__xludf.DUMMYFUNCTION("""COMPUTED_VALUE"""),"High")</f>
        <v>High</v>
      </c>
      <c r="S662" s="5" t="str">
        <f ca="1">IFERROR(__xludf.DUMMYFUNCTION("""COMPUTED_VALUE"""),"Cafeteria")</f>
        <v>Cafeteria</v>
      </c>
      <c r="T662" s="5" t="str">
        <f ca="1">IFERROR(__xludf.DUMMYFUNCTION("""COMPUTED_VALUE"""),"Outside on School Property")</f>
        <v>Outside on School Property</v>
      </c>
      <c r="U662" s="5" t="str">
        <f ca="1">IFERROR(__xludf.DUMMYFUNCTION("""COMPUTED_VALUE"""),"No")</f>
        <v>No</v>
      </c>
      <c r="V662" s="5" t="str">
        <f ca="1">IFERROR(__xludf.DUMMYFUNCTION("""COMPUTED_VALUE"""),"Night")</f>
        <v>Night</v>
      </c>
      <c r="W662" s="10">
        <f ca="1">IFERROR(__xludf.DUMMYFUNCTION("""COMPUTED_VALUE"""),0.00347222222222222)</f>
        <v>3.4722222222222199E-3</v>
      </c>
      <c r="X662" s="5">
        <f ca="1">IFERROR(__xludf.DUMMYFUNCTION("""COMPUTED_VALUE"""),1)</f>
        <v>1</v>
      </c>
      <c r="Y662" s="5" t="str">
        <f ca="1">IFERROR(__xludf.DUMMYFUNCTION("""COMPUTED_VALUE"""),"Bullet shot at cafeteria window")</f>
        <v>Bullet shot at cafeteria window</v>
      </c>
      <c r="Z662" s="5" t="str">
        <f ca="1">IFERROR(__xludf.DUMMYFUNCTION("""COMPUTED_VALUE"""),"School officials notified police when they found a projectile hole in a window in the school cafeteria at 7:30 AM. Police believe the shot was fired just after midnight. No suspect.")</f>
        <v>School officials notified police when they found a projectile hole in a window in the school cafeteria at 7:30 AM. Police believe the shot was fired just after midnight. No suspect.</v>
      </c>
      <c r="AA662" s="5" t="str">
        <f ca="1">IFERROR(__xludf.DUMMYFUNCTION("""COMPUTED_VALUE"""),"Intentional Property Damage")</f>
        <v>Intentional Property Damage</v>
      </c>
      <c r="AB662" s="5" t="str">
        <f ca="1">IFERROR(__xludf.DUMMYFUNCTION("""COMPUTED_VALUE"""),"Neither")</f>
        <v>Neither</v>
      </c>
      <c r="AC662" s="5"/>
      <c r="AD662" s="5" t="str">
        <f ca="1">IFERROR(__xludf.DUMMYFUNCTION("""COMPUTED_VALUE"""),"No")</f>
        <v>No</v>
      </c>
      <c r="AE662" s="5" t="str">
        <f ca="1">IFERROR(__xludf.DUMMYFUNCTION("""COMPUTED_VALUE"""),"No")</f>
        <v>No</v>
      </c>
      <c r="AF662" s="5" t="str">
        <f ca="1">IFERROR(__xludf.DUMMYFUNCTION("""COMPUTED_VALUE"""),"No")</f>
        <v>No</v>
      </c>
      <c r="AG662" s="5"/>
      <c r="AH662" s="5" t="str">
        <f ca="1">IFERROR(__xludf.DUMMYFUNCTION("""COMPUTED_VALUE"""),"No")</f>
        <v>No</v>
      </c>
      <c r="AI662" s="5" t="str">
        <f ca="1">IFERROR(__xludf.DUMMYFUNCTION("""COMPUTED_VALUE"""),"No")</f>
        <v>No</v>
      </c>
      <c r="AJ662" s="5" t="str">
        <f ca="1">IFERROR(__xludf.DUMMYFUNCTION("""COMPUTED_VALUE"""),"No")</f>
        <v>No</v>
      </c>
    </row>
    <row r="663" spans="1:36" ht="13">
      <c r="A663" s="5" t="str">
        <f ca="1">IFERROR(__xludf.DUMMYFUNCTION("""COMPUTED_VALUE"""),"20201029FLLAM")</f>
        <v>20201029FLLAM</v>
      </c>
      <c r="B663" s="5">
        <f ca="1">IFERROR(__xludf.DUMMYFUNCTION("""COMPUTED_VALUE"""),10)</f>
        <v>10</v>
      </c>
      <c r="C663" s="5">
        <f ca="1">IFERROR(__xludf.DUMMYFUNCTION("""COMPUTED_VALUE"""),29)</f>
        <v>29</v>
      </c>
      <c r="D663" s="5">
        <f ca="1">IFERROR(__xludf.DUMMYFUNCTION("""COMPUTED_VALUE"""),2020)</f>
        <v>2020</v>
      </c>
      <c r="E663" s="8">
        <f ca="1">IFERROR(__xludf.DUMMYFUNCTION("""COMPUTED_VALUE"""),44133)</f>
        <v>44133</v>
      </c>
      <c r="F663" s="5" t="str">
        <f ca="1">IFERROR(__xludf.DUMMYFUNCTION("""COMPUTED_VALUE"""),"Lawton Chiles Middle School")</f>
        <v>Lawton Chiles Middle School</v>
      </c>
      <c r="G663" s="5">
        <f ca="1">IFERROR(__xludf.DUMMYFUNCTION("""COMPUTED_VALUE"""),2)</f>
        <v>2</v>
      </c>
      <c r="H663" s="5">
        <f ca="1">IFERROR(__xludf.DUMMYFUNCTION("""COMPUTED_VALUE"""),0)</f>
        <v>0</v>
      </c>
      <c r="I663" s="5">
        <f ca="1">IFERROR(__xludf.DUMMYFUNCTION("""COMPUTED_VALUE"""),2)</f>
        <v>2</v>
      </c>
      <c r="J663" s="5">
        <f ca="1">IFERROR(__xludf.DUMMYFUNCTION("""COMPUTED_VALUE"""),0)</f>
        <v>0</v>
      </c>
      <c r="K663" s="5" t="str">
        <f ca="1">IFERROR(__xludf.DUMMYFUNCTION("""COMPUTED_VALUE"""),"https://www.nbcmiami.com/news/local/1-person-killed-after-late-night-shooting-in-northwest-miami-dade/2314045/ https://wsvn.com/news/local/2-killed-in-shooting-near-nw-miami-dade-school/")</f>
        <v>https://www.nbcmiami.com/news/local/1-person-killed-after-late-night-shooting-in-northwest-miami-dade/2314045/ https://wsvn.com/news/local/2-killed-in-shooting-near-nw-miami-dade-school/</v>
      </c>
      <c r="L663" s="5">
        <f ca="1">IFERROR(__xludf.DUMMYFUNCTION("""COMPUTED_VALUE"""),10)</f>
        <v>10</v>
      </c>
      <c r="M663" s="5" t="str">
        <f ca="1">IFERROR(__xludf.DUMMYFUNCTION("""COMPUTED_VALUE"""),"National")</f>
        <v>National</v>
      </c>
      <c r="N663" s="5">
        <f ca="1">IFERROR(__xludf.DUMMYFUNCTION("""COMPUTED_VALUE"""),4)</f>
        <v>4</v>
      </c>
      <c r="O663" s="5" t="str">
        <f ca="1">IFERROR(__xludf.DUMMYFUNCTION("""COMPUTED_VALUE"""),"Fall")</f>
        <v>Fall</v>
      </c>
      <c r="P663" s="5" t="str">
        <f ca="1">IFERROR(__xludf.DUMMYFUNCTION("""COMPUTED_VALUE"""),"Miramar")</f>
        <v>Miramar</v>
      </c>
      <c r="Q663" s="5" t="str">
        <f ca="1">IFERROR(__xludf.DUMMYFUNCTION("""COMPUTED_VALUE"""),"FL")</f>
        <v>FL</v>
      </c>
      <c r="R663" s="5" t="str">
        <f ca="1">IFERROR(__xludf.DUMMYFUNCTION("""COMPUTED_VALUE"""),"Middle")</f>
        <v>Middle</v>
      </c>
      <c r="S663" s="5" t="str">
        <f ca="1">IFERROR(__xludf.DUMMYFUNCTION("""COMPUTED_VALUE"""),"Parking Lot")</f>
        <v>Parking Lot</v>
      </c>
      <c r="T663" s="5" t="str">
        <f ca="1">IFERROR(__xludf.DUMMYFUNCTION("""COMPUTED_VALUE"""),"Outside on School Property")</f>
        <v>Outside on School Property</v>
      </c>
      <c r="U663" s="5" t="str">
        <f ca="1">IFERROR(__xludf.DUMMYFUNCTION("""COMPUTED_VALUE"""),"No")</f>
        <v>No</v>
      </c>
      <c r="V663" s="5" t="str">
        <f ca="1">IFERROR(__xludf.DUMMYFUNCTION("""COMPUTED_VALUE"""),"Night")</f>
        <v>Night</v>
      </c>
      <c r="W663" s="10">
        <f ca="1">IFERROR(__xludf.DUMMYFUNCTION("""COMPUTED_VALUE"""),0.96875)</f>
        <v>0.96875</v>
      </c>
      <c r="X663" s="5">
        <f ca="1">IFERROR(__xludf.DUMMYFUNCTION("""COMPUTED_VALUE"""),1)</f>
        <v>1</v>
      </c>
      <c r="Y663" s="5" t="str">
        <f ca="1">IFERROR(__xludf.DUMMYFUNCTION("""COMPUTED_VALUE"""),"Two men fatally shot in school parking lot")</f>
        <v>Two men fatally shot in school parking lot</v>
      </c>
      <c r="Z663" s="5" t="str">
        <f ca="1">IFERROR(__xludf.DUMMYFUNCTION("""COMPUTED_VALUE"""),"Two men were fatally shot in the school parking lot. One man was found by police in the parking lot and flown to the hospital where he died. The second man was found fatally shot in a vehicle that crashed nearby. Unclear if the men shot at each other or i"&amp;"f there was another person involved.")</f>
        <v>Two men were fatally shot in the school parking lot. One man was found by police in the parking lot and flown to the hospital where he died. The second man was found fatally shot in a vehicle that crashed nearby. Unclear if the men shot at each other or if there was another person involved.</v>
      </c>
      <c r="AA663" s="5"/>
      <c r="AB663" s="5" t="str">
        <f ca="1">IFERROR(__xludf.DUMMYFUNCTION("""COMPUTED_VALUE"""),"Victims Targeted")</f>
        <v>Victims Targeted</v>
      </c>
      <c r="AC663" s="5"/>
      <c r="AD663" s="5" t="str">
        <f ca="1">IFERROR(__xludf.DUMMYFUNCTION("""COMPUTED_VALUE"""),"No")</f>
        <v>No</v>
      </c>
      <c r="AE663" s="5" t="str">
        <f ca="1">IFERROR(__xludf.DUMMYFUNCTION("""COMPUTED_VALUE"""),"No")</f>
        <v>No</v>
      </c>
      <c r="AF663" s="5" t="str">
        <f ca="1">IFERROR(__xludf.DUMMYFUNCTION("""COMPUTED_VALUE"""),"No")</f>
        <v>No</v>
      </c>
      <c r="AG663" s="5" t="str">
        <f ca="1">IFERROR(__xludf.DUMMYFUNCTION("""COMPUTED_VALUE"""),"No")</f>
        <v>No</v>
      </c>
      <c r="AH663" s="5" t="str">
        <f ca="1">IFERROR(__xludf.DUMMYFUNCTION("""COMPUTED_VALUE"""),"No")</f>
        <v>No</v>
      </c>
      <c r="AI663" s="5"/>
      <c r="AJ663" s="5" t="str">
        <f ca="1">IFERROR(__xludf.DUMMYFUNCTION("""COMPUTED_VALUE"""),"No")</f>
        <v>No</v>
      </c>
    </row>
    <row r="664" spans="1:36" ht="13">
      <c r="A664" s="5" t="str">
        <f ca="1">IFERROR(__xludf.DUMMYFUNCTION("""COMPUTED_VALUE"""),"20201028NYROR")</f>
        <v>20201028NYROR</v>
      </c>
      <c r="B664" s="5">
        <f ca="1">IFERROR(__xludf.DUMMYFUNCTION("""COMPUTED_VALUE"""),10)</f>
        <v>10</v>
      </c>
      <c r="C664" s="5">
        <f ca="1">IFERROR(__xludf.DUMMYFUNCTION("""COMPUTED_VALUE"""),28)</f>
        <v>28</v>
      </c>
      <c r="D664" s="5">
        <f ca="1">IFERROR(__xludf.DUMMYFUNCTION("""COMPUTED_VALUE"""),2020)</f>
        <v>2020</v>
      </c>
      <c r="E664" s="8">
        <f ca="1">IFERROR(__xludf.DUMMYFUNCTION("""COMPUTED_VALUE"""),44132)</f>
        <v>44132</v>
      </c>
      <c r="F664" s="5" t="str">
        <f ca="1">IFERROR(__xludf.DUMMYFUNCTION("""COMPUTED_VALUE"""),"Rochester Prep Charter School")</f>
        <v>Rochester Prep Charter School</v>
      </c>
      <c r="G664" s="5">
        <f ca="1">IFERROR(__xludf.DUMMYFUNCTION("""COMPUTED_VALUE"""),0)</f>
        <v>0</v>
      </c>
      <c r="H664" s="5">
        <f ca="1">IFERROR(__xludf.DUMMYFUNCTION("""COMPUTED_VALUE"""),0)</f>
        <v>0</v>
      </c>
      <c r="I664" s="5">
        <f ca="1">IFERROR(__xludf.DUMMYFUNCTION("""COMPUTED_VALUE"""),0)</f>
        <v>0</v>
      </c>
      <c r="J664" s="5">
        <f ca="1">IFERROR(__xludf.DUMMYFUNCTION("""COMPUTED_VALUE"""),0)</f>
        <v>0</v>
      </c>
      <c r="K664" s="9" t="str">
        <f ca="1">IFERROR(__xludf.DUMMYFUNCTION("""COMPUTED_VALUE"""),"https://spectrumlocalnews.com/nys/rochester/public-safety/2020/10/29/rpd--bullet-hits-rochester-prep-charter-school-in-apparent-drive-by-shooting-")</f>
        <v>https://spectrumlocalnews.com/nys/rochester/public-safety/2020/10/29/rpd--bullet-hits-rochester-prep-charter-school-in-apparent-drive-by-shooting-</v>
      </c>
      <c r="L664" s="5">
        <f ca="1">IFERROR(__xludf.DUMMYFUNCTION("""COMPUTED_VALUE"""),1)</f>
        <v>1</v>
      </c>
      <c r="M664" s="5" t="str">
        <f ca="1">IFERROR(__xludf.DUMMYFUNCTION("""COMPUTED_VALUE"""),"Local")</f>
        <v>Local</v>
      </c>
      <c r="N664" s="5">
        <f ca="1">IFERROR(__xludf.DUMMYFUNCTION("""COMPUTED_VALUE"""),3)</f>
        <v>3</v>
      </c>
      <c r="O664" s="5" t="str">
        <f ca="1">IFERROR(__xludf.DUMMYFUNCTION("""COMPUTED_VALUE"""),"Fall")</f>
        <v>Fall</v>
      </c>
      <c r="P664" s="5" t="str">
        <f ca="1">IFERROR(__xludf.DUMMYFUNCTION("""COMPUTED_VALUE"""),"Rochester")</f>
        <v>Rochester</v>
      </c>
      <c r="Q664" s="5" t="str">
        <f ca="1">IFERROR(__xludf.DUMMYFUNCTION("""COMPUTED_VALUE"""),"NY")</f>
        <v>NY</v>
      </c>
      <c r="R664" s="5" t="str">
        <f ca="1">IFERROR(__xludf.DUMMYFUNCTION("""COMPUTED_VALUE"""),"K-12")</f>
        <v>K-12</v>
      </c>
      <c r="S664" s="5" t="str">
        <f ca="1">IFERROR(__xludf.DUMMYFUNCTION("""COMPUTED_VALUE"""),"Front of School")</f>
        <v>Front of School</v>
      </c>
      <c r="T664" s="5" t="str">
        <f ca="1">IFERROR(__xludf.DUMMYFUNCTION("""COMPUTED_VALUE"""),"Off School Property")</f>
        <v>Off School Property</v>
      </c>
      <c r="U664" s="5" t="str">
        <f ca="1">IFERROR(__xludf.DUMMYFUNCTION("""COMPUTED_VALUE"""),"No")</f>
        <v>No</v>
      </c>
      <c r="V664" s="5" t="str">
        <f ca="1">IFERROR(__xludf.DUMMYFUNCTION("""COMPUTED_VALUE"""),"Evening")</f>
        <v>Evening</v>
      </c>
      <c r="W664" s="10">
        <f ca="1">IFERROR(__xludf.DUMMYFUNCTION("""COMPUTED_VALUE"""),0.708333333333333)</f>
        <v>0.70833333333333304</v>
      </c>
      <c r="X664" s="5">
        <f ca="1">IFERROR(__xludf.DUMMYFUNCTION("""COMPUTED_VALUE"""),1)</f>
        <v>1</v>
      </c>
      <c r="Y664" s="5" t="str">
        <f ca="1">IFERROR(__xludf.DUMMYFUNCTION("""COMPUTED_VALUE"""),"School building struck by shot fired during drive-by")</f>
        <v>School building struck by shot fired during drive-by</v>
      </c>
      <c r="Z664" s="5" t="str">
        <f ca="1">IFERROR(__xludf.DUMMYFUNCTION("""COMPUTED_VALUE"""),"Shots fired during a drive-by shooting struck the school building. No staff or students were inside the building at the time of the shooting.")</f>
        <v>Shots fired during a drive-by shooting struck the school building. No staff or students were inside the building at the time of the shooting.</v>
      </c>
      <c r="AA664" s="5" t="str">
        <f ca="1">IFERROR(__xludf.DUMMYFUNCTION("""COMPUTED_VALUE"""),"Drive-by Shooting")</f>
        <v>Drive-by Shooting</v>
      </c>
      <c r="AB664" s="5" t="str">
        <f ca="1">IFERROR(__xludf.DUMMYFUNCTION("""COMPUTED_VALUE"""),"Victims Targeted")</f>
        <v>Victims Targeted</v>
      </c>
      <c r="AC664" s="5"/>
      <c r="AD664" s="5" t="str">
        <f ca="1">IFERROR(__xludf.DUMMYFUNCTION("""COMPUTED_VALUE"""),"No")</f>
        <v>No</v>
      </c>
      <c r="AE664" s="5" t="str">
        <f ca="1">IFERROR(__xludf.DUMMYFUNCTION("""COMPUTED_VALUE"""),"No")</f>
        <v>No</v>
      </c>
      <c r="AF664" s="5" t="str">
        <f ca="1">IFERROR(__xludf.DUMMYFUNCTION("""COMPUTED_VALUE"""),"No")</f>
        <v>No</v>
      </c>
      <c r="AG664" s="5" t="str">
        <f ca="1">IFERROR(__xludf.DUMMYFUNCTION("""COMPUTED_VALUE"""),"No")</f>
        <v>No</v>
      </c>
      <c r="AH664" s="5" t="str">
        <f ca="1">IFERROR(__xludf.DUMMYFUNCTION("""COMPUTED_VALUE"""),"No")</f>
        <v>No</v>
      </c>
      <c r="AI664" s="5"/>
      <c r="AJ664" s="5" t="str">
        <f ca="1">IFERROR(__xludf.DUMMYFUNCTION("""COMPUTED_VALUE"""),"No")</f>
        <v>No</v>
      </c>
    </row>
    <row r="665" spans="1:36" ht="13">
      <c r="A665" s="5" t="str">
        <f ca="1">IFERROR(__xludf.DUMMYFUNCTION("""COMPUTED_VALUE"""),"20201026GARIR")</f>
        <v>20201026GARIR</v>
      </c>
      <c r="B665" s="5">
        <f ca="1">IFERROR(__xludf.DUMMYFUNCTION("""COMPUTED_VALUE"""),10)</f>
        <v>10</v>
      </c>
      <c r="C665" s="5">
        <f ca="1">IFERROR(__xludf.DUMMYFUNCTION("""COMPUTED_VALUE"""),26)</f>
        <v>26</v>
      </c>
      <c r="D665" s="5">
        <f ca="1">IFERROR(__xludf.DUMMYFUNCTION("""COMPUTED_VALUE"""),2020)</f>
        <v>2020</v>
      </c>
      <c r="E665" s="8">
        <f ca="1">IFERROR(__xludf.DUMMYFUNCTION("""COMPUTED_VALUE"""),44130)</f>
        <v>44130</v>
      </c>
      <c r="F665" s="5" t="str">
        <f ca="1">IFERROR(__xludf.DUMMYFUNCTION("""COMPUTED_VALUE"""),"Riverdale High School")</f>
        <v>Riverdale High School</v>
      </c>
      <c r="G665" s="5">
        <f ca="1">IFERROR(__xludf.DUMMYFUNCTION("""COMPUTED_VALUE"""),1)</f>
        <v>1</v>
      </c>
      <c r="H665" s="5">
        <f ca="1">IFERROR(__xludf.DUMMYFUNCTION("""COMPUTED_VALUE"""),0)</f>
        <v>0</v>
      </c>
      <c r="I665" s="5">
        <f ca="1">IFERROR(__xludf.DUMMYFUNCTION("""COMPUTED_VALUE"""),1)</f>
        <v>1</v>
      </c>
      <c r="J665" s="5">
        <f ca="1">IFERROR(__xludf.DUMMYFUNCTION("""COMPUTED_VALUE"""),0)</f>
        <v>0</v>
      </c>
      <c r="K665" s="5" t="str">
        <f ca="1">IFERROR(__xludf.DUMMYFUNCTION("""COMPUTED_VALUE"""),"https://www.fox5atlanta.com/news/suspect-wanted-in-deadly-shooting-outside-riverdale-high-school https://www.fox5atlanta.com/news/suspect-wanted-in-deadly-shooting-outside-riverdale-high-school https://www.wsbtv.com/news/local/clayton-county/1-person-shot"&amp;"-killed-riverdale-high-school-authorities-say/PDEDAQDCXBDLZNI3FH7KTBBKCM/ https://www.11alive.com/article/news/local/riverdale/riverdale-high-school-shooting/85-c35d5768-7b0f-4dd3-86e6-5c396b10d57c https://www.cbs46.com/news/1-dead-in-riverdale-high-schoo"&amp;"l-shooting/article_098c55ca-17e1-11eb-80c3-8fcce50ab0b2.html https://www.fox5atlanta.com/news/police-shooting-on-riverdale-high-school-campus")</f>
        <v>https://www.fox5atlanta.com/news/suspect-wanted-in-deadly-shooting-outside-riverdale-high-school https://www.fox5atlanta.com/news/suspect-wanted-in-deadly-shooting-outside-riverdale-high-school https://www.wsbtv.com/news/local/clayton-county/1-person-shot-killed-riverdale-high-school-authorities-say/PDEDAQDCXBDLZNI3FH7KTBBKCM/ https://www.11alive.com/article/news/local/riverdale/riverdale-high-school-shooting/85-c35d5768-7b0f-4dd3-86e6-5c396b10d57c https://www.cbs46.com/news/1-dead-in-riverdale-high-school-shooting/article_098c55ca-17e1-11eb-80c3-8fcce50ab0b2.html https://www.fox5atlanta.com/news/police-shooting-on-riverdale-high-school-campus</v>
      </c>
      <c r="L665" s="5">
        <f ca="1">IFERROR(__xludf.DUMMYFUNCTION("""COMPUTED_VALUE"""),6)</f>
        <v>6</v>
      </c>
      <c r="M665" s="5" t="str">
        <f ca="1">IFERROR(__xludf.DUMMYFUNCTION("""COMPUTED_VALUE"""),"Local")</f>
        <v>Local</v>
      </c>
      <c r="N665" s="5">
        <f ca="1">IFERROR(__xludf.DUMMYFUNCTION("""COMPUTED_VALUE"""),4)</f>
        <v>4</v>
      </c>
      <c r="O665" s="5" t="str">
        <f ca="1">IFERROR(__xludf.DUMMYFUNCTION("""COMPUTED_VALUE"""),"Fall")</f>
        <v>Fall</v>
      </c>
      <c r="P665" s="5" t="str">
        <f ca="1">IFERROR(__xludf.DUMMYFUNCTION("""COMPUTED_VALUE"""),"Riverdale")</f>
        <v>Riverdale</v>
      </c>
      <c r="Q665" s="5" t="str">
        <f ca="1">IFERROR(__xludf.DUMMYFUNCTION("""COMPUTED_VALUE"""),"GA")</f>
        <v>GA</v>
      </c>
      <c r="R665" s="5" t="str">
        <f ca="1">IFERROR(__xludf.DUMMYFUNCTION("""COMPUTED_VALUE"""),"High")</f>
        <v>High</v>
      </c>
      <c r="S665" s="5" t="str">
        <f ca="1">IFERROR(__xludf.DUMMYFUNCTION("""COMPUTED_VALUE"""),"Parking Lot")</f>
        <v>Parking Lot</v>
      </c>
      <c r="T665" s="5" t="str">
        <f ca="1">IFERROR(__xludf.DUMMYFUNCTION("""COMPUTED_VALUE"""),"Outside on School Property")</f>
        <v>Outside on School Property</v>
      </c>
      <c r="U665" s="5" t="str">
        <f ca="1">IFERROR(__xludf.DUMMYFUNCTION("""COMPUTED_VALUE"""),"No")</f>
        <v>No</v>
      </c>
      <c r="V665" s="5" t="str">
        <f ca="1">IFERROR(__xludf.DUMMYFUNCTION("""COMPUTED_VALUE"""),"Evening")</f>
        <v>Evening</v>
      </c>
      <c r="W665" s="10">
        <f ca="1">IFERROR(__xludf.DUMMYFUNCTION("""COMPUTED_VALUE"""),0.723611111111111)</f>
        <v>0.72361111111111098</v>
      </c>
      <c r="X665" s="5">
        <f ca="1">IFERROR(__xludf.DUMMYFUNCTION("""COMPUTED_VALUE"""),1)</f>
        <v>1</v>
      </c>
      <c r="Y665" s="5" t="str">
        <f ca="1">IFERROR(__xludf.DUMMYFUNCTION("""COMPUTED_VALUE"""),"Man shot and killed in school parking lot")</f>
        <v>Man shot and killed in school parking lot</v>
      </c>
      <c r="Z665" s="5" t="str">
        <f ca="1">IFERROR(__xludf.DUMMYFUNCTION("""COMPUTED_VALUE"""),"A 28 year-old man was shot and killed in the high school parking lot. The school is currently closed for COVID and no students or staff were involved. The shooter fled the scene. Police said the shooter and victims were not affiliated with the school.")</f>
        <v>A 28 year-old man was shot and killed in the high school parking lot. The school is currently closed for COVID and no students or staff were involved. The shooter fled the scene. Police said the shooter and victims were not affiliated with the school.</v>
      </c>
      <c r="AA665" s="5" t="str">
        <f ca="1">IFERROR(__xludf.DUMMYFUNCTION("""COMPUTED_VALUE"""),"Illegal Activity")</f>
        <v>Illegal Activity</v>
      </c>
      <c r="AB665" s="5" t="str">
        <f ca="1">IFERROR(__xludf.DUMMYFUNCTION("""COMPUTED_VALUE"""),"Victims Targeted")</f>
        <v>Victims Targeted</v>
      </c>
      <c r="AC665" s="5" t="str">
        <f ca="1">IFERROR(__xludf.DUMMYFUNCTION("""COMPUTED_VALUE"""),"Yes")</f>
        <v>Yes</v>
      </c>
      <c r="AD665" s="5" t="str">
        <f ca="1">IFERROR(__xludf.DUMMYFUNCTION("""COMPUTED_VALUE"""),"No")</f>
        <v>No</v>
      </c>
      <c r="AE665" s="5" t="str">
        <f ca="1">IFERROR(__xludf.DUMMYFUNCTION("""COMPUTED_VALUE"""),"No")</f>
        <v>No</v>
      </c>
      <c r="AF665" s="5" t="str">
        <f ca="1">IFERROR(__xludf.DUMMYFUNCTION("""COMPUTED_VALUE"""),"No")</f>
        <v>No</v>
      </c>
      <c r="AG665" s="5" t="str">
        <f ca="1">IFERROR(__xludf.DUMMYFUNCTION("""COMPUTED_VALUE"""),"No")</f>
        <v>No</v>
      </c>
      <c r="AH665" s="5" t="str">
        <f ca="1">IFERROR(__xludf.DUMMYFUNCTION("""COMPUTED_VALUE"""),"No")</f>
        <v>No</v>
      </c>
      <c r="AI665" s="5" t="str">
        <f ca="1">IFERROR(__xludf.DUMMYFUNCTION("""COMPUTED_VALUE"""),"No")</f>
        <v>No</v>
      </c>
      <c r="AJ665" s="5" t="str">
        <f ca="1">IFERROR(__xludf.DUMMYFUNCTION("""COMPUTED_VALUE"""),"No")</f>
        <v>No</v>
      </c>
    </row>
    <row r="666" spans="1:36" ht="13">
      <c r="A666" s="5" t="str">
        <f ca="1">IFERROR(__xludf.DUMMYFUNCTION("""COMPUTED_VALUE"""),"20201024CTSTS")</f>
        <v>20201024CTSTS</v>
      </c>
      <c r="B666" s="5">
        <f ca="1">IFERROR(__xludf.DUMMYFUNCTION("""COMPUTED_VALUE"""),10)</f>
        <v>10</v>
      </c>
      <c r="C666" s="5">
        <f ca="1">IFERROR(__xludf.DUMMYFUNCTION("""COMPUTED_VALUE"""),24)</f>
        <v>24</v>
      </c>
      <c r="D666" s="5">
        <f ca="1">IFERROR(__xludf.DUMMYFUNCTION("""COMPUTED_VALUE"""),2020)</f>
        <v>2020</v>
      </c>
      <c r="E666" s="8">
        <f ca="1">IFERROR(__xludf.DUMMYFUNCTION("""COMPUTED_VALUE"""),44128)</f>
        <v>44128</v>
      </c>
      <c r="F666" s="5" t="str">
        <f ca="1">IFERROR(__xludf.DUMMYFUNCTION("""COMPUTED_VALUE"""),"Stillwater Elementary School")</f>
        <v>Stillwater Elementary School</v>
      </c>
      <c r="G666" s="5">
        <f ca="1">IFERROR(__xludf.DUMMYFUNCTION("""COMPUTED_VALUE"""),0)</f>
        <v>0</v>
      </c>
      <c r="H666" s="5">
        <f ca="1">IFERROR(__xludf.DUMMYFUNCTION("""COMPUTED_VALUE"""),0)</f>
        <v>0</v>
      </c>
      <c r="I666" s="5">
        <f ca="1">IFERROR(__xludf.DUMMYFUNCTION("""COMPUTED_VALUE"""),0)</f>
        <v>0</v>
      </c>
      <c r="J666" s="5">
        <f ca="1">IFERROR(__xludf.DUMMYFUNCTION("""COMPUTED_VALUE"""),0)</f>
        <v>0</v>
      </c>
      <c r="K666" s="9" t="str">
        <f ca="1">IFERROR(__xludf.DUMMYFUNCTION("""COMPUTED_VALUE"""),"https://www.stamfordadvocate.com/policereports/article/Police-Man-shot-early-Tuesday-in-Stamford-15678594.php")</f>
        <v>https://www.stamfordadvocate.com/policereports/article/Police-Man-shot-early-Tuesday-in-Stamford-15678594.php</v>
      </c>
      <c r="L666" s="5">
        <f ca="1">IFERROR(__xludf.DUMMYFUNCTION("""COMPUTED_VALUE"""),1)</f>
        <v>1</v>
      </c>
      <c r="M666" s="5" t="str">
        <f ca="1">IFERROR(__xludf.DUMMYFUNCTION("""COMPUTED_VALUE"""),"Local")</f>
        <v>Local</v>
      </c>
      <c r="N666" s="5">
        <f ca="1">IFERROR(__xludf.DUMMYFUNCTION("""COMPUTED_VALUE"""),3)</f>
        <v>3</v>
      </c>
      <c r="O666" s="5" t="str">
        <f ca="1">IFERROR(__xludf.DUMMYFUNCTION("""COMPUTED_VALUE"""),"Fall")</f>
        <v>Fall</v>
      </c>
      <c r="P666" s="5" t="str">
        <f ca="1">IFERROR(__xludf.DUMMYFUNCTION("""COMPUTED_VALUE"""),"Stamford")</f>
        <v>Stamford</v>
      </c>
      <c r="Q666" s="5" t="str">
        <f ca="1">IFERROR(__xludf.DUMMYFUNCTION("""COMPUTED_VALUE"""),"CT")</f>
        <v>CT</v>
      </c>
      <c r="R666" s="5" t="str">
        <f ca="1">IFERROR(__xludf.DUMMYFUNCTION("""COMPUTED_VALUE"""),"Elementary")</f>
        <v>Elementary</v>
      </c>
      <c r="S666" s="5" t="str">
        <f ca="1">IFERROR(__xludf.DUMMYFUNCTION("""COMPUTED_VALUE"""),"Beside Building")</f>
        <v>Beside Building</v>
      </c>
      <c r="T666" s="5" t="str">
        <f ca="1">IFERROR(__xludf.DUMMYFUNCTION("""COMPUTED_VALUE"""),"Outside on School Property")</f>
        <v>Outside on School Property</v>
      </c>
      <c r="U666" s="5" t="str">
        <f ca="1">IFERROR(__xludf.DUMMYFUNCTION("""COMPUTED_VALUE"""),"No")</f>
        <v>No</v>
      </c>
      <c r="V666" s="5" t="str">
        <f ca="1">IFERROR(__xludf.DUMMYFUNCTION("""COMPUTED_VALUE"""),"Night")</f>
        <v>Night</v>
      </c>
      <c r="W666" s="10">
        <f ca="1">IFERROR(__xludf.DUMMYFUNCTION("""COMPUTED_VALUE"""),0.983333333333333)</f>
        <v>0.98333333333333295</v>
      </c>
      <c r="X666" s="5">
        <f ca="1">IFERROR(__xludf.DUMMYFUNCTION("""COMPUTED_VALUE"""),1)</f>
        <v>1</v>
      </c>
      <c r="Y666" s="5" t="str">
        <f ca="1">IFERROR(__xludf.DUMMYFUNCTION("""COMPUTED_VALUE"""),"Shots fired next to school building")</f>
        <v>Shots fired next to school building</v>
      </c>
      <c r="Z666" s="5" t="str">
        <f ca="1">IFERROR(__xludf.DUMMYFUNCTION("""COMPUTED_VALUE"""),"Police were called for a report of gun shots fired near the school. Police searched the area and found 4 shell casings next to the building. No injuries or damage. No shooter or motive identified. School was closed at the time of the shooting.")</f>
        <v>Police were called for a report of gun shots fired near the school. Police searched the area and found 4 shell casings next to the building. No injuries or damage. No shooter or motive identified. School was closed at the time of the shooting.</v>
      </c>
      <c r="AA666" s="5"/>
      <c r="AB666" s="5"/>
      <c r="AC666" s="5"/>
      <c r="AD666" s="5" t="str">
        <f ca="1">IFERROR(__xludf.DUMMYFUNCTION("""COMPUTED_VALUE"""),"No")</f>
        <v>No</v>
      </c>
      <c r="AE666" s="5" t="str">
        <f ca="1">IFERROR(__xludf.DUMMYFUNCTION("""COMPUTED_VALUE"""),"No")</f>
        <v>No</v>
      </c>
      <c r="AF666" s="5" t="str">
        <f ca="1">IFERROR(__xludf.DUMMYFUNCTION("""COMPUTED_VALUE"""),"No")</f>
        <v>No</v>
      </c>
      <c r="AG666" s="5" t="str">
        <f ca="1">IFERROR(__xludf.DUMMYFUNCTION("""COMPUTED_VALUE"""),"No")</f>
        <v>No</v>
      </c>
      <c r="AH666" s="5"/>
      <c r="AI666" s="5"/>
      <c r="AJ666" s="5" t="str">
        <f ca="1">IFERROR(__xludf.DUMMYFUNCTION("""COMPUTED_VALUE"""),"No")</f>
        <v>No</v>
      </c>
    </row>
    <row r="667" spans="1:36" ht="13">
      <c r="A667" s="5" t="str">
        <f ca="1">IFERROR(__xludf.DUMMYFUNCTION("""COMPUTED_VALUE"""),"20201020ARJAP")</f>
        <v>20201020ARJAP</v>
      </c>
      <c r="B667" s="5">
        <f ca="1">IFERROR(__xludf.DUMMYFUNCTION("""COMPUTED_VALUE"""),10)</f>
        <v>10</v>
      </c>
      <c r="C667" s="5">
        <f ca="1">IFERROR(__xludf.DUMMYFUNCTION("""COMPUTED_VALUE"""),20)</f>
        <v>20</v>
      </c>
      <c r="D667" s="5">
        <f ca="1">IFERROR(__xludf.DUMMYFUNCTION("""COMPUTED_VALUE"""),2020)</f>
        <v>2020</v>
      </c>
      <c r="E667" s="8">
        <f ca="1">IFERROR(__xludf.DUMMYFUNCTION("""COMPUTED_VALUE"""),44124)</f>
        <v>44124</v>
      </c>
      <c r="F667" s="5" t="str">
        <f ca="1">IFERROR(__xludf.DUMMYFUNCTION("""COMPUTED_VALUE"""),"Jack Robey Junior High School")</f>
        <v>Jack Robey Junior High School</v>
      </c>
      <c r="G667" s="5">
        <f ca="1">IFERROR(__xludf.DUMMYFUNCTION("""COMPUTED_VALUE"""),1)</f>
        <v>1</v>
      </c>
      <c r="H667" s="5">
        <f ca="1">IFERROR(__xludf.DUMMYFUNCTION("""COMPUTED_VALUE"""),0)</f>
        <v>0</v>
      </c>
      <c r="I667" s="5">
        <f ca="1">IFERROR(__xludf.DUMMYFUNCTION("""COMPUTED_VALUE"""),1)</f>
        <v>1</v>
      </c>
      <c r="J667" s="5">
        <f ca="1">IFERROR(__xludf.DUMMYFUNCTION("""COMPUTED_VALUE"""),0)</f>
        <v>0</v>
      </c>
      <c r="K667" s="5" t="str">
        <f ca="1">IFERROR(__xludf.DUMMYFUNCTION("""COMPUTED_VALUE"""),"https://www.arkansasonline.com/news/2020/oct/23/no-bail-set-for-teen-arrested-in-killing/ https://www.arkansasonline.com/news/2020/oct/22/teen-found-dead-2nd-boy-in-custody/ https://www.thv11.com/article/news/crime/16-year-old-male-found-dead-on-south-oli"&amp;"ve-street-in-pine-bluff/91-94d1c008-6a44-47e0-8909-3215e005fee2 https://www.newsweek.com/teenager-found-dead-outside-arkansas-junior-high-school-gunshot-wound-1541010 https://wreg.com/news/pine-bluff-police-16-year-old-found-shot-dead-inside-car-near-juni"&amp;"or-high-school-17-year-old-facing-capital-murder-charges/")</f>
        <v>https://www.arkansasonline.com/news/2020/oct/23/no-bail-set-for-teen-arrested-in-killing/ https://www.arkansasonline.com/news/2020/oct/22/teen-found-dead-2nd-boy-in-custody/ https://www.thv11.com/article/news/crime/16-year-old-male-found-dead-on-south-olive-street-in-pine-bluff/91-94d1c008-6a44-47e0-8909-3215e005fee2 https://www.newsweek.com/teenager-found-dead-outside-arkansas-junior-high-school-gunshot-wound-1541010 https://wreg.com/news/pine-bluff-police-16-year-old-found-shot-dead-inside-car-near-junior-high-school-17-year-old-facing-capital-murder-charges/</v>
      </c>
      <c r="L667" s="5">
        <f ca="1">IFERROR(__xludf.DUMMYFUNCTION("""COMPUTED_VALUE"""),10)</f>
        <v>10</v>
      </c>
      <c r="M667" s="5" t="str">
        <f ca="1">IFERROR(__xludf.DUMMYFUNCTION("""COMPUTED_VALUE"""),"National")</f>
        <v>National</v>
      </c>
      <c r="N667" s="5">
        <f ca="1">IFERROR(__xludf.DUMMYFUNCTION("""COMPUTED_VALUE"""),4)</f>
        <v>4</v>
      </c>
      <c r="O667" s="5" t="str">
        <f ca="1">IFERROR(__xludf.DUMMYFUNCTION("""COMPUTED_VALUE"""),"Fall")</f>
        <v>Fall</v>
      </c>
      <c r="P667" s="5" t="str">
        <f ca="1">IFERROR(__xludf.DUMMYFUNCTION("""COMPUTED_VALUE"""),"Pine Bluff")</f>
        <v>Pine Bluff</v>
      </c>
      <c r="Q667" s="5" t="str">
        <f ca="1">IFERROR(__xludf.DUMMYFUNCTION("""COMPUTED_VALUE"""),"AR")</f>
        <v>AR</v>
      </c>
      <c r="R667" s="5" t="str">
        <f ca="1">IFERROR(__xludf.DUMMYFUNCTION("""COMPUTED_VALUE"""),"Junior High")</f>
        <v>Junior High</v>
      </c>
      <c r="S667" s="5" t="str">
        <f ca="1">IFERROR(__xludf.DUMMYFUNCTION("""COMPUTED_VALUE"""),"Parking Lot")</f>
        <v>Parking Lot</v>
      </c>
      <c r="T667" s="5" t="str">
        <f ca="1">IFERROR(__xludf.DUMMYFUNCTION("""COMPUTED_VALUE"""),"Outside on School Property")</f>
        <v>Outside on School Property</v>
      </c>
      <c r="U667" s="5" t="str">
        <f ca="1">IFERROR(__xludf.DUMMYFUNCTION("""COMPUTED_VALUE"""),"No")</f>
        <v>No</v>
      </c>
      <c r="V667" s="5" t="str">
        <f ca="1">IFERROR(__xludf.DUMMYFUNCTION("""COMPUTED_VALUE"""),"Night")</f>
        <v>Night</v>
      </c>
      <c r="W667" s="10">
        <f ca="1">IFERROR(__xludf.DUMMYFUNCTION("""COMPUTED_VALUE"""),0.885416666666666)</f>
        <v>0.88541666666666596</v>
      </c>
      <c r="X667" s="5">
        <f ca="1">IFERROR(__xludf.DUMMYFUNCTION("""COMPUTED_VALUE"""),1)</f>
        <v>1</v>
      </c>
      <c r="Y667" s="5" t="str">
        <f ca="1">IFERROR(__xludf.DUMMYFUNCTION("""COMPUTED_VALUE"""),"Teen found shot and killed in vehicle in the school parking lot")</f>
        <v>Teen found shot and killed in vehicle in the school parking lot</v>
      </c>
      <c r="Z667" s="5" t="str">
        <f ca="1">IFERROR(__xludf.DUMMYFUNCTION("""COMPUTED_VALUE"""),"A 16 year-old male was found fatally shot in the school parking lot. A 17 year-old male was arrested and charged with murder. No other details released by police. Police believe the shooting was retaliation for a fight earlier in the day at a nearby apart"&amp;"ment complex.")</f>
        <v>A 16 year-old male was found fatally shot in the school parking lot. A 17 year-old male was arrested and charged with murder. No other details released by police. Police believe the shooting was retaliation for a fight earlier in the day at a nearby apartment complex.</v>
      </c>
      <c r="AA667" s="5" t="str">
        <f ca="1">IFERROR(__xludf.DUMMYFUNCTION("""COMPUTED_VALUE"""),"Escalation of Dispute")</f>
        <v>Escalation of Dispute</v>
      </c>
      <c r="AB667" s="5" t="str">
        <f ca="1">IFERROR(__xludf.DUMMYFUNCTION("""COMPUTED_VALUE"""),"Victims Targeted")</f>
        <v>Victims Targeted</v>
      </c>
      <c r="AC667" s="5"/>
      <c r="AD667" s="5" t="str">
        <f ca="1">IFERROR(__xludf.DUMMYFUNCTION("""COMPUTED_VALUE"""),"No")</f>
        <v>No</v>
      </c>
      <c r="AE667" s="5" t="str">
        <f ca="1">IFERROR(__xludf.DUMMYFUNCTION("""COMPUTED_VALUE"""),"No")</f>
        <v>No</v>
      </c>
      <c r="AF667" s="5" t="str">
        <f ca="1">IFERROR(__xludf.DUMMYFUNCTION("""COMPUTED_VALUE"""),"No")</f>
        <v>No</v>
      </c>
      <c r="AG667" s="5" t="str">
        <f ca="1">IFERROR(__xludf.DUMMYFUNCTION("""COMPUTED_VALUE"""),"No")</f>
        <v>No</v>
      </c>
      <c r="AH667" s="5" t="str">
        <f ca="1">IFERROR(__xludf.DUMMYFUNCTION("""COMPUTED_VALUE"""),"No")</f>
        <v>No</v>
      </c>
      <c r="AI667" s="5" t="str">
        <f ca="1">IFERROR(__xludf.DUMMYFUNCTION("""COMPUTED_VALUE"""),"Yes")</f>
        <v>Yes</v>
      </c>
      <c r="AJ667" s="5" t="str">
        <f ca="1">IFERROR(__xludf.DUMMYFUNCTION("""COMPUTED_VALUE"""),"No")</f>
        <v>No</v>
      </c>
    </row>
    <row r="668" spans="1:36" ht="13">
      <c r="A668" s="5" t="str">
        <f ca="1">IFERROR(__xludf.DUMMYFUNCTION("""COMPUTED_VALUE"""),"20201018KYSEL")</f>
        <v>20201018KYSEL</v>
      </c>
      <c r="B668" s="5">
        <f ca="1">IFERROR(__xludf.DUMMYFUNCTION("""COMPUTED_VALUE"""),10)</f>
        <v>10</v>
      </c>
      <c r="C668" s="5">
        <f ca="1">IFERROR(__xludf.DUMMYFUNCTION("""COMPUTED_VALUE"""),18)</f>
        <v>18</v>
      </c>
      <c r="D668" s="5">
        <f ca="1">IFERROR(__xludf.DUMMYFUNCTION("""COMPUTED_VALUE"""),2020)</f>
        <v>2020</v>
      </c>
      <c r="E668" s="8">
        <f ca="1">IFERROR(__xludf.DUMMYFUNCTION("""COMPUTED_VALUE"""),44122)</f>
        <v>44122</v>
      </c>
      <c r="F668" s="5" t="str">
        <f ca="1">IFERROR(__xludf.DUMMYFUNCTION("""COMPUTED_VALUE"""),"Seneca High School")</f>
        <v>Seneca High School</v>
      </c>
      <c r="G668" s="5">
        <f ca="1">IFERROR(__xludf.DUMMYFUNCTION("""COMPUTED_VALUE"""),0)</f>
        <v>0</v>
      </c>
      <c r="H668" s="5">
        <f ca="1">IFERROR(__xludf.DUMMYFUNCTION("""COMPUTED_VALUE"""),3)</f>
        <v>3</v>
      </c>
      <c r="I668" s="5">
        <f ca="1">IFERROR(__xludf.DUMMYFUNCTION("""COMPUTED_VALUE"""),3)</f>
        <v>3</v>
      </c>
      <c r="J668" s="5">
        <f ca="1">IFERROR(__xludf.DUMMYFUNCTION("""COMPUTED_VALUE"""),0)</f>
        <v>0</v>
      </c>
      <c r="K668" s="5" t="str">
        <f ca="1">IFERROR(__xludf.DUMMYFUNCTION("""COMPUTED_VALUE"""),"https://www.whas11.com/article/news/crime/multiple-shot-at-seneca-high-school-oct-18/417-015fa83b-e6b2-4efc-8829-306ae56b8d42 https://www.wdrb.com/news/wdrb-video/three-juveniles-shot-in-parking-lot-of-seneca-high-school-expected-to-recover-police-say/vid"&amp;"eo_fee090f5-5933-51df-977c-170d263d2410.html https://www.courier-journal.com/story/news/crime/2020/10/18/seneca-high-school-shooting-sunday-louisville/3704035001/")</f>
        <v>https://www.whas11.com/article/news/crime/multiple-shot-at-seneca-high-school-oct-18/417-015fa83b-e6b2-4efc-8829-306ae56b8d42 https://www.wdrb.com/news/wdrb-video/three-juveniles-shot-in-parking-lot-of-seneca-high-school-expected-to-recover-police-say/video_fee090f5-5933-51df-977c-170d263d2410.html https://www.courier-journal.com/story/news/crime/2020/10/18/seneca-high-school-shooting-sunday-louisville/3704035001/</v>
      </c>
      <c r="L668" s="5">
        <f ca="1">IFERROR(__xludf.DUMMYFUNCTION("""COMPUTED_VALUE"""),3)</f>
        <v>3</v>
      </c>
      <c r="M668" s="5" t="str">
        <f ca="1">IFERROR(__xludf.DUMMYFUNCTION("""COMPUTED_VALUE"""),"Local")</f>
        <v>Local</v>
      </c>
      <c r="N668" s="5">
        <f ca="1">IFERROR(__xludf.DUMMYFUNCTION("""COMPUTED_VALUE"""),4)</f>
        <v>4</v>
      </c>
      <c r="O668" s="5" t="str">
        <f ca="1">IFERROR(__xludf.DUMMYFUNCTION("""COMPUTED_VALUE"""),"Fall")</f>
        <v>Fall</v>
      </c>
      <c r="P668" s="5" t="str">
        <f ca="1">IFERROR(__xludf.DUMMYFUNCTION("""COMPUTED_VALUE"""),"Louisville")</f>
        <v>Louisville</v>
      </c>
      <c r="Q668" s="5" t="str">
        <f ca="1">IFERROR(__xludf.DUMMYFUNCTION("""COMPUTED_VALUE"""),"KY")</f>
        <v>KY</v>
      </c>
      <c r="R668" s="5" t="str">
        <f ca="1">IFERROR(__xludf.DUMMYFUNCTION("""COMPUTED_VALUE"""),"High")</f>
        <v>High</v>
      </c>
      <c r="S668" s="5" t="str">
        <f ca="1">IFERROR(__xludf.DUMMYFUNCTION("""COMPUTED_VALUE"""),"Parking Lot (Bus)")</f>
        <v>Parking Lot (Bus)</v>
      </c>
      <c r="T668" s="5" t="str">
        <f ca="1">IFERROR(__xludf.DUMMYFUNCTION("""COMPUTED_VALUE"""),"Outside on School Property")</f>
        <v>Outside on School Property</v>
      </c>
      <c r="U668" s="5" t="str">
        <f ca="1">IFERROR(__xludf.DUMMYFUNCTION("""COMPUTED_VALUE"""),"No")</f>
        <v>No</v>
      </c>
      <c r="V668" s="5" t="str">
        <f ca="1">IFERROR(__xludf.DUMMYFUNCTION("""COMPUTED_VALUE"""),"Not a School Day")</f>
        <v>Not a School Day</v>
      </c>
      <c r="W668" s="10">
        <f ca="1">IFERROR(__xludf.DUMMYFUNCTION("""COMPUTED_VALUE"""),0.559722222222222)</f>
        <v>0.55972222222222201</v>
      </c>
      <c r="X668" s="5">
        <f ca="1">IFERROR(__xludf.DUMMYFUNCTION("""COMPUTED_VALUE"""),1)</f>
        <v>1</v>
      </c>
      <c r="Y668" s="5" t="str">
        <f ca="1">IFERROR(__xludf.DUMMYFUNCTION("""COMPUTED_VALUE"""),"Three teens shot in school parking lot")</f>
        <v>Three teens shot in school parking lot</v>
      </c>
      <c r="Z668" s="5" t="str">
        <f ca="1">IFERROR(__xludf.DUMMYFUNCTION("""COMPUTED_VALUE"""),"Three teens were shot and wounded in the parking lot of the school. The school is closed due to COVID and the shooting was not related to any school activities. Shooter fled the scene. Victims were transported to the hospital.")</f>
        <v>Three teens were shot and wounded in the parking lot of the school. The school is closed due to COVID and the shooting was not related to any school activities. Shooter fled the scene. Victims were transported to the hospital.</v>
      </c>
      <c r="AA668" s="5"/>
      <c r="AB668" s="5"/>
      <c r="AC668" s="5"/>
      <c r="AD668" s="5" t="str">
        <f ca="1">IFERROR(__xludf.DUMMYFUNCTION("""COMPUTED_VALUE"""),"No")</f>
        <v>No</v>
      </c>
      <c r="AE668" s="5" t="str">
        <f ca="1">IFERROR(__xludf.DUMMYFUNCTION("""COMPUTED_VALUE"""),"No")</f>
        <v>No</v>
      </c>
      <c r="AF668" s="5" t="str">
        <f ca="1">IFERROR(__xludf.DUMMYFUNCTION("""COMPUTED_VALUE"""),"No")</f>
        <v>No</v>
      </c>
      <c r="AG668" s="5" t="str">
        <f ca="1">IFERROR(__xludf.DUMMYFUNCTION("""COMPUTED_VALUE"""),"No")</f>
        <v>No</v>
      </c>
      <c r="AH668" s="5" t="str">
        <f ca="1">IFERROR(__xludf.DUMMYFUNCTION("""COMPUTED_VALUE"""),"No")</f>
        <v>No</v>
      </c>
      <c r="AI668" s="5"/>
      <c r="AJ668" s="5" t="str">
        <f ca="1">IFERROR(__xludf.DUMMYFUNCTION("""COMPUTED_VALUE"""),"No")</f>
        <v>No</v>
      </c>
    </row>
    <row r="669" spans="1:36" ht="13">
      <c r="A669" s="5" t="str">
        <f ca="1">IFERROR(__xludf.DUMMYFUNCTION("""COMPUTED_VALUE"""),"20201014PABRB")</f>
        <v>20201014PABRB</v>
      </c>
      <c r="B669" s="5">
        <f ca="1">IFERROR(__xludf.DUMMYFUNCTION("""COMPUTED_VALUE"""),10)</f>
        <v>10</v>
      </c>
      <c r="C669" s="5">
        <f ca="1">IFERROR(__xludf.DUMMYFUNCTION("""COMPUTED_VALUE"""),14)</f>
        <v>14</v>
      </c>
      <c r="D669" s="5">
        <f ca="1">IFERROR(__xludf.DUMMYFUNCTION("""COMPUTED_VALUE"""),2020)</f>
        <v>2020</v>
      </c>
      <c r="E669" s="8">
        <f ca="1">IFERROR(__xludf.DUMMYFUNCTION("""COMPUTED_VALUE"""),44118)</f>
        <v>44118</v>
      </c>
      <c r="F669" s="5" t="str">
        <f ca="1">IFERROR(__xludf.DUMMYFUNCTION("""COMPUTED_VALUE"""),"Bradford Area School District")</f>
        <v>Bradford Area School District</v>
      </c>
      <c r="G669" s="5">
        <f ca="1">IFERROR(__xludf.DUMMYFUNCTION("""COMPUTED_VALUE"""),0)</f>
        <v>0</v>
      </c>
      <c r="H669" s="5">
        <f ca="1">IFERROR(__xludf.DUMMYFUNCTION("""COMPUTED_VALUE"""),0)</f>
        <v>0</v>
      </c>
      <c r="I669" s="5">
        <f ca="1">IFERROR(__xludf.DUMMYFUNCTION("""COMPUTED_VALUE"""),0)</f>
        <v>0</v>
      </c>
      <c r="J669" s="5">
        <f ca="1">IFERROR(__xludf.DUMMYFUNCTION("""COMPUTED_VALUE"""),0)</f>
        <v>0</v>
      </c>
      <c r="K669" s="9" t="str">
        <f ca="1">IFERROR(__xludf.DUMMYFUNCTION("""COMPUTED_VALUE"""),"http://www.bradfordera.com/news/local/no-injuries-when-school-bus-shot-by-bb-gun-wednesday/article_5e809a44-23b0-5f69-a54c-b2ae8799785b.html")</f>
        <v>http://www.bradfordera.com/news/local/no-injuries-when-school-bus-shot-by-bb-gun-wednesday/article_5e809a44-23b0-5f69-a54c-b2ae8799785b.html</v>
      </c>
      <c r="L669" s="5">
        <f ca="1">IFERROR(__xludf.DUMMYFUNCTION("""COMPUTED_VALUE"""),1)</f>
        <v>1</v>
      </c>
      <c r="M669" s="5" t="str">
        <f ca="1">IFERROR(__xludf.DUMMYFUNCTION("""COMPUTED_VALUE"""),"Local")</f>
        <v>Local</v>
      </c>
      <c r="N669" s="5">
        <f ca="1">IFERROR(__xludf.DUMMYFUNCTION("""COMPUTED_VALUE"""),3)</f>
        <v>3</v>
      </c>
      <c r="O669" s="5" t="str">
        <f ca="1">IFERROR(__xludf.DUMMYFUNCTION("""COMPUTED_VALUE"""),"Fall")</f>
        <v>Fall</v>
      </c>
      <c r="P669" s="5" t="str">
        <f ca="1">IFERROR(__xludf.DUMMYFUNCTION("""COMPUTED_VALUE"""),"Bradford")</f>
        <v>Bradford</v>
      </c>
      <c r="Q669" s="5" t="str">
        <f ca="1">IFERROR(__xludf.DUMMYFUNCTION("""COMPUTED_VALUE"""),"PA")</f>
        <v>PA</v>
      </c>
      <c r="R669" s="5"/>
      <c r="S669" s="5" t="str">
        <f ca="1">IFERROR(__xludf.DUMMYFUNCTION("""COMPUTED_VALUE"""),"School Bus")</f>
        <v>School Bus</v>
      </c>
      <c r="T669" s="5" t="str">
        <f ca="1">IFERROR(__xludf.DUMMYFUNCTION("""COMPUTED_VALUE"""),"School Bus")</f>
        <v>School Bus</v>
      </c>
      <c r="U669" s="5" t="str">
        <f ca="1">IFERROR(__xludf.DUMMYFUNCTION("""COMPUTED_VALUE"""),"Yes")</f>
        <v>Yes</v>
      </c>
      <c r="V669" s="5" t="str">
        <f ca="1">IFERROR(__xludf.DUMMYFUNCTION("""COMPUTED_VALUE"""),"After School")</f>
        <v>After School</v>
      </c>
      <c r="W669" s="5"/>
      <c r="X669" s="5">
        <f ca="1">IFERROR(__xludf.DUMMYFUNCTION("""COMPUTED_VALUE"""),1)</f>
        <v>1</v>
      </c>
      <c r="Y669" s="5" t="str">
        <f ca="1">IFERROR(__xludf.DUMMYFUNCTION("""COMPUTED_VALUE"""),"School bus window behind driver's head struck by BB")</f>
        <v>School bus window behind driver's head struck by BB</v>
      </c>
      <c r="Z669" s="5" t="str">
        <f ca="1">IFERROR(__xludf.DUMMYFUNCTION("""COMPUTED_VALUE"""),"A school bus driver heard a crack and stopped the school bus. The driver found a bullet hole in the window behind the driver's seat. Police were notified and identified a 11 year-old boy with a BB gun nearby. No students were on the bus at the time of the"&amp;" shooting.")</f>
        <v>A school bus driver heard a crack and stopped the school bus. The driver found a bullet hole in the window behind the driver's seat. Police were notified and identified a 11 year-old boy with a BB gun nearby. No students were on the bus at the time of the shooting.</v>
      </c>
      <c r="AA669" s="5" t="str">
        <f ca="1">IFERROR(__xludf.DUMMYFUNCTION("""COMPUTED_VALUE"""),"Intentional Property Damage")</f>
        <v>Intentional Property Damage</v>
      </c>
      <c r="AB669" s="5" t="str">
        <f ca="1">IFERROR(__xludf.DUMMYFUNCTION("""COMPUTED_VALUE"""),"Neither")</f>
        <v>Neither</v>
      </c>
      <c r="AC669" s="5" t="str">
        <f ca="1">IFERROR(__xludf.DUMMYFUNCTION("""COMPUTED_VALUE"""),"No")</f>
        <v>No</v>
      </c>
      <c r="AD669" s="5" t="str">
        <f ca="1">IFERROR(__xludf.DUMMYFUNCTION("""COMPUTED_VALUE"""),"No")</f>
        <v>No</v>
      </c>
      <c r="AE669" s="5" t="str">
        <f ca="1">IFERROR(__xludf.DUMMYFUNCTION("""COMPUTED_VALUE"""),"No")</f>
        <v>No</v>
      </c>
      <c r="AF669" s="5" t="str">
        <f ca="1">IFERROR(__xludf.DUMMYFUNCTION("""COMPUTED_VALUE"""),"No")</f>
        <v>No</v>
      </c>
      <c r="AG669" s="5" t="str">
        <f ca="1">IFERROR(__xludf.DUMMYFUNCTION("""COMPUTED_VALUE"""),"No")</f>
        <v>No</v>
      </c>
      <c r="AH669" s="5" t="str">
        <f ca="1">IFERROR(__xludf.DUMMYFUNCTION("""COMPUTED_VALUE"""),"No")</f>
        <v>No</v>
      </c>
      <c r="AI669" s="5" t="str">
        <f ca="1">IFERROR(__xludf.DUMMYFUNCTION("""COMPUTED_VALUE"""),"No")</f>
        <v>No</v>
      </c>
      <c r="AJ669" s="5" t="str">
        <f ca="1">IFERROR(__xludf.DUMMYFUNCTION("""COMPUTED_VALUE"""),"No")</f>
        <v>No</v>
      </c>
    </row>
    <row r="670" spans="1:36" ht="13">
      <c r="A670" s="5" t="str">
        <f ca="1">IFERROR(__xludf.DUMMYFUNCTION("""COMPUTED_VALUE"""),"20201014WAWAS")</f>
        <v>20201014WAWAS</v>
      </c>
      <c r="B670" s="5">
        <f ca="1">IFERROR(__xludf.DUMMYFUNCTION("""COMPUTED_VALUE"""),10)</f>
        <v>10</v>
      </c>
      <c r="C670" s="5">
        <f ca="1">IFERROR(__xludf.DUMMYFUNCTION("""COMPUTED_VALUE"""),14)</f>
        <v>14</v>
      </c>
      <c r="D670" s="5">
        <f ca="1">IFERROR(__xludf.DUMMYFUNCTION("""COMPUTED_VALUE"""),2020)</f>
        <v>2020</v>
      </c>
      <c r="E670" s="8">
        <f ca="1">IFERROR(__xludf.DUMMYFUNCTION("""COMPUTED_VALUE"""),44118)</f>
        <v>44118</v>
      </c>
      <c r="F670" s="5" t="str">
        <f ca="1">IFERROR(__xludf.DUMMYFUNCTION("""COMPUTED_VALUE"""),"Washington Elementary School")</f>
        <v>Washington Elementary School</v>
      </c>
      <c r="G670" s="5">
        <f ca="1">IFERROR(__xludf.DUMMYFUNCTION("""COMPUTED_VALUE"""),0)</f>
        <v>0</v>
      </c>
      <c r="H670" s="5">
        <f ca="1">IFERROR(__xludf.DUMMYFUNCTION("""COMPUTED_VALUE"""),0)</f>
        <v>0</v>
      </c>
      <c r="I670" s="5">
        <f ca="1">IFERROR(__xludf.DUMMYFUNCTION("""COMPUTED_VALUE"""),0)</f>
        <v>0</v>
      </c>
      <c r="J670" s="5">
        <f ca="1">IFERROR(__xludf.DUMMYFUNCTION("""COMPUTED_VALUE"""),0)</f>
        <v>0</v>
      </c>
      <c r="K670" s="5" t="str">
        <f ca="1">IFERROR(__xludf.DUMMYFUNCTION("""COMPUTED_VALUE"""),"https://www.yakimaherald.com/news/crime_and_courts/men-face-assault-charges-in-sunnyside-drive-by-shooting-that-threatened-students-school/article_e906b58d-6edc-5998-80f6-557a8fa6532a.html https://www.yakimaherald.com/news/crime_and_courts/police-say-sunn"&amp;"yside-drive-by-shooting-threatened-students-and-school-staff/article_e6024979-ea8e-57f6-b2aa-2fcb3512f67c.html https://www.yakimaherald.com/news/crime_and_courts/police-say-sunnyside-drive-by-shooting-threatened-students-and-school-staff/article_e6024979-"&amp;"ea8e-57f6-b2aa-2fcb3512f67c.html")</f>
        <v>https://www.yakimaherald.com/news/crime_and_courts/men-face-assault-charges-in-sunnyside-drive-by-shooting-that-threatened-students-school/article_e906b58d-6edc-5998-80f6-557a8fa6532a.html https://www.yakimaherald.com/news/crime_and_courts/police-say-sunnyside-drive-by-shooting-threatened-students-and-school-staff/article_e6024979-ea8e-57f6-b2aa-2fcb3512f67c.html https://www.yakimaherald.com/news/crime_and_courts/police-say-sunnyside-drive-by-shooting-threatened-students-and-school-staff/article_e6024979-ea8e-57f6-b2aa-2fcb3512f67c.html</v>
      </c>
      <c r="L670" s="5">
        <f ca="1">IFERROR(__xludf.DUMMYFUNCTION("""COMPUTED_VALUE"""),2)</f>
        <v>2</v>
      </c>
      <c r="M670" s="5" t="str">
        <f ca="1">IFERROR(__xludf.DUMMYFUNCTION("""COMPUTED_VALUE"""),"Local")</f>
        <v>Local</v>
      </c>
      <c r="N670" s="5">
        <f ca="1">IFERROR(__xludf.DUMMYFUNCTION("""COMPUTED_VALUE"""),3)</f>
        <v>3</v>
      </c>
      <c r="O670" s="5" t="str">
        <f ca="1">IFERROR(__xludf.DUMMYFUNCTION("""COMPUTED_VALUE"""),"Fall")</f>
        <v>Fall</v>
      </c>
      <c r="P670" s="5" t="str">
        <f ca="1">IFERROR(__xludf.DUMMYFUNCTION("""COMPUTED_VALUE"""),"Sunnyside")</f>
        <v>Sunnyside</v>
      </c>
      <c r="Q670" s="5" t="str">
        <f ca="1">IFERROR(__xludf.DUMMYFUNCTION("""COMPUTED_VALUE"""),"WA")</f>
        <v>WA</v>
      </c>
      <c r="R670" s="5" t="str">
        <f ca="1">IFERROR(__xludf.DUMMYFUNCTION("""COMPUTED_VALUE"""),"Elementary")</f>
        <v>Elementary</v>
      </c>
      <c r="S670" s="5" t="str">
        <f ca="1">IFERROR(__xludf.DUMMYFUNCTION("""COMPUTED_VALUE"""),"Front of School")</f>
        <v>Front of School</v>
      </c>
      <c r="T670" s="5" t="str">
        <f ca="1">IFERROR(__xludf.DUMMYFUNCTION("""COMPUTED_VALUE"""),"Off School Property")</f>
        <v>Off School Property</v>
      </c>
      <c r="U670" s="5" t="str">
        <f ca="1">IFERROR(__xludf.DUMMYFUNCTION("""COMPUTED_VALUE"""),"Yes")</f>
        <v>Yes</v>
      </c>
      <c r="V670" s="5" t="str">
        <f ca="1">IFERROR(__xludf.DUMMYFUNCTION("""COMPUTED_VALUE"""),"Morning Classes")</f>
        <v>Morning Classes</v>
      </c>
      <c r="W670" s="10">
        <f ca="1">IFERROR(__xludf.DUMMYFUNCTION("""COMPUTED_VALUE"""),0.444444444444444)</f>
        <v>0.44444444444444398</v>
      </c>
      <c r="X670" s="5">
        <f ca="1">IFERROR(__xludf.DUMMYFUNCTION("""COMPUTED_VALUE"""),1)</f>
        <v>1</v>
      </c>
      <c r="Y670" s="5" t="str">
        <f ca="1">IFERROR(__xludf.DUMMYFUNCTION("""COMPUTED_VALUE"""),"Shots from drive-by shooting struck occupied school building")</f>
        <v>Shots from drive-by shooting struck occupied school building</v>
      </c>
      <c r="Z670" s="5" t="str">
        <f ca="1">IFERROR(__xludf.DUMMYFUNCTION("""COMPUTED_VALUE"""),"Two men in an SUV fired shots at a third man in a different vehicle following a traffic dispute. Shots struck the school building and broke a window of a classroom with a school employee inside near the window. 60 employees were inside the school at the t"&amp;"ime of the shooting. Shots fired also struck two different residences with students inside attending virtual classes. One bullet missed a child by inches. No students were inside the school and no school staff were injured.")</f>
        <v>Two men in an SUV fired shots at a third man in a different vehicle following a traffic dispute. Shots struck the school building and broke a window of a classroom with a school employee inside near the window. 60 employees were inside the school at the time of the shooting. Shots fired also struck two different residences with students inside attending virtual classes. One bullet missed a child by inches. No students were inside the school and no school staff were injured.</v>
      </c>
      <c r="AA670" s="5" t="str">
        <f ca="1">IFERROR(__xludf.DUMMYFUNCTION("""COMPUTED_VALUE"""),"Drive-by Shooting")</f>
        <v>Drive-by Shooting</v>
      </c>
      <c r="AB670" s="5" t="str">
        <f ca="1">IFERROR(__xludf.DUMMYFUNCTION("""COMPUTED_VALUE"""),"Victims Targeted")</f>
        <v>Victims Targeted</v>
      </c>
      <c r="AC670" s="5" t="str">
        <f ca="1">IFERROR(__xludf.DUMMYFUNCTION("""COMPUTED_VALUE"""),"Yes")</f>
        <v>Yes</v>
      </c>
      <c r="AD670" s="5" t="str">
        <f ca="1">IFERROR(__xludf.DUMMYFUNCTION("""COMPUTED_VALUE"""),"No")</f>
        <v>No</v>
      </c>
      <c r="AE670" s="5" t="str">
        <f ca="1">IFERROR(__xludf.DUMMYFUNCTION("""COMPUTED_VALUE"""),"No")</f>
        <v>No</v>
      </c>
      <c r="AF670" s="5" t="str">
        <f ca="1">IFERROR(__xludf.DUMMYFUNCTION("""COMPUTED_VALUE"""),"No")</f>
        <v>No</v>
      </c>
      <c r="AG670" s="5" t="str">
        <f ca="1">IFERROR(__xludf.DUMMYFUNCTION("""COMPUTED_VALUE"""),"No")</f>
        <v>No</v>
      </c>
      <c r="AH670" s="5" t="str">
        <f ca="1">IFERROR(__xludf.DUMMYFUNCTION("""COMPUTED_VALUE"""),"No")</f>
        <v>No</v>
      </c>
      <c r="AI670" s="5" t="str">
        <f ca="1">IFERROR(__xludf.DUMMYFUNCTION("""COMPUTED_VALUE"""),"No")</f>
        <v>No</v>
      </c>
      <c r="AJ670" s="5" t="str">
        <f ca="1">IFERROR(__xludf.DUMMYFUNCTION("""COMPUTED_VALUE"""),"No")</f>
        <v>No</v>
      </c>
    </row>
    <row r="671" spans="1:36" ht="13">
      <c r="A671" s="5" t="str">
        <f ca="1">IFERROR(__xludf.DUMMYFUNCTION("""COMPUTED_VALUE"""),"20201013RIRHP")</f>
        <v>20201013RIRHP</v>
      </c>
      <c r="B671" s="5">
        <f ca="1">IFERROR(__xludf.DUMMYFUNCTION("""COMPUTED_VALUE"""),10)</f>
        <v>10</v>
      </c>
      <c r="C671" s="5">
        <f ca="1">IFERROR(__xludf.DUMMYFUNCTION("""COMPUTED_VALUE"""),13)</f>
        <v>13</v>
      </c>
      <c r="D671" s="5">
        <f ca="1">IFERROR(__xludf.DUMMYFUNCTION("""COMPUTED_VALUE"""),2020)</f>
        <v>2020</v>
      </c>
      <c r="E671" s="8">
        <f ca="1">IFERROR(__xludf.DUMMYFUNCTION("""COMPUTED_VALUE"""),44117)</f>
        <v>44117</v>
      </c>
      <c r="F671" s="5" t="str">
        <f ca="1">IFERROR(__xludf.DUMMYFUNCTION("""COMPUTED_VALUE"""),"Rhode Island School for the Deaf")</f>
        <v>Rhode Island School for the Deaf</v>
      </c>
      <c r="G671" s="5">
        <f ca="1">IFERROR(__xludf.DUMMYFUNCTION("""COMPUTED_VALUE"""),1)</f>
        <v>1</v>
      </c>
      <c r="H671" s="5">
        <f ca="1">IFERROR(__xludf.DUMMYFUNCTION("""COMPUTED_VALUE"""),2)</f>
        <v>2</v>
      </c>
      <c r="I671" s="5">
        <f ca="1">IFERROR(__xludf.DUMMYFUNCTION("""COMPUTED_VALUE"""),3)</f>
        <v>3</v>
      </c>
      <c r="J671" s="5">
        <f ca="1">IFERROR(__xludf.DUMMYFUNCTION("""COMPUTED_VALUE"""),0)</f>
        <v>0</v>
      </c>
      <c r="K671" s="5" t="str">
        <f ca="1">IFERROR(__xludf.DUMMYFUNCTION("""COMPUTED_VALUE"""),"https://www.wpri.com/news/local-news/providence/police-3-people-shot-in-providence/ https://www.providencejournal.com/news/20201013/1-killed-2-injured-in-shooting-outside-ri-school-for-deaf-in-providence")</f>
        <v>https://www.wpri.com/news/local-news/providence/police-3-people-shot-in-providence/ https://www.providencejournal.com/news/20201013/1-killed-2-injured-in-shooting-outside-ri-school-for-deaf-in-providence</v>
      </c>
      <c r="L671" s="5">
        <f ca="1">IFERROR(__xludf.DUMMYFUNCTION("""COMPUTED_VALUE"""),2)</f>
        <v>2</v>
      </c>
      <c r="M671" s="5" t="str">
        <f ca="1">IFERROR(__xludf.DUMMYFUNCTION("""COMPUTED_VALUE"""),"Local")</f>
        <v>Local</v>
      </c>
      <c r="N671" s="5">
        <f ca="1">IFERROR(__xludf.DUMMYFUNCTION("""COMPUTED_VALUE"""),4)</f>
        <v>4</v>
      </c>
      <c r="O671" s="5" t="str">
        <f ca="1">IFERROR(__xludf.DUMMYFUNCTION("""COMPUTED_VALUE"""),"Fall")</f>
        <v>Fall</v>
      </c>
      <c r="P671" s="5" t="str">
        <f ca="1">IFERROR(__xludf.DUMMYFUNCTION("""COMPUTED_VALUE"""),"Providence")</f>
        <v>Providence</v>
      </c>
      <c r="Q671" s="5" t="str">
        <f ca="1">IFERROR(__xludf.DUMMYFUNCTION("""COMPUTED_VALUE"""),"RI")</f>
        <v>RI</v>
      </c>
      <c r="R671" s="5" t="str">
        <f ca="1">IFERROR(__xludf.DUMMYFUNCTION("""COMPUTED_VALUE"""),"K-12")</f>
        <v>K-12</v>
      </c>
      <c r="S671" s="5" t="str">
        <f ca="1">IFERROR(__xludf.DUMMYFUNCTION("""COMPUTED_VALUE"""),"Parking Lot")</f>
        <v>Parking Lot</v>
      </c>
      <c r="T671" s="5" t="str">
        <f ca="1">IFERROR(__xludf.DUMMYFUNCTION("""COMPUTED_VALUE"""),"Outside on School Property")</f>
        <v>Outside on School Property</v>
      </c>
      <c r="U671" s="5" t="str">
        <f ca="1">IFERROR(__xludf.DUMMYFUNCTION("""COMPUTED_VALUE"""),"No")</f>
        <v>No</v>
      </c>
      <c r="V671" s="5" t="str">
        <f ca="1">IFERROR(__xludf.DUMMYFUNCTION("""COMPUTED_VALUE"""),"After School")</f>
        <v>After School</v>
      </c>
      <c r="W671" s="10">
        <f ca="1">IFERROR(__xludf.DUMMYFUNCTION("""COMPUTED_VALUE"""),0.6875)</f>
        <v>0.6875</v>
      </c>
      <c r="X671" s="5">
        <f ca="1">IFERROR(__xludf.DUMMYFUNCTION("""COMPUTED_VALUE"""),1)</f>
        <v>1</v>
      </c>
      <c r="Y671" s="5" t="str">
        <f ca="1">IFERROR(__xludf.DUMMYFUNCTION("""COMPUTED_VALUE"""),"3 adult men shot in the school parking lot")</f>
        <v>3 adult men shot in the school parking lot</v>
      </c>
      <c r="Z671" s="5" t="str">
        <f ca="1">IFERROR(__xludf.DUMMYFUNCTION("""COMPUTED_VALUE"""),"5 men inside a vehicle in the school parking lot were targeted in a shooting. One man was killed and two were wounded, an uninjured man drove the vehicle to the hospital. 20 shots were fired in the school parking lot in the direction of the school buildin"&amp;"g.")</f>
        <v>5 men inside a vehicle in the school parking lot were targeted in a shooting. One man was killed and two were wounded, an uninjured man drove the vehicle to the hospital. 20 shots were fired in the school parking lot in the direction of the school building.</v>
      </c>
      <c r="AA671" s="5"/>
      <c r="AB671" s="5" t="str">
        <f ca="1">IFERROR(__xludf.DUMMYFUNCTION("""COMPUTED_VALUE"""),"Victims Targeted")</f>
        <v>Victims Targeted</v>
      </c>
      <c r="AC671" s="5"/>
      <c r="AD671" s="5" t="str">
        <f ca="1">IFERROR(__xludf.DUMMYFUNCTION("""COMPUTED_VALUE"""),"No")</f>
        <v>No</v>
      </c>
      <c r="AE671" s="5" t="str">
        <f ca="1">IFERROR(__xludf.DUMMYFUNCTION("""COMPUTED_VALUE"""),"No")</f>
        <v>No</v>
      </c>
      <c r="AF671" s="5" t="str">
        <f ca="1">IFERROR(__xludf.DUMMYFUNCTION("""COMPUTED_VALUE"""),"No")</f>
        <v>No</v>
      </c>
      <c r="AG671" s="5" t="str">
        <f ca="1">IFERROR(__xludf.DUMMYFUNCTION("""COMPUTED_VALUE"""),"No")</f>
        <v>No</v>
      </c>
      <c r="AH671" s="5" t="str">
        <f ca="1">IFERROR(__xludf.DUMMYFUNCTION("""COMPUTED_VALUE"""),"No")</f>
        <v>No</v>
      </c>
      <c r="AI671" s="5"/>
      <c r="AJ671" s="5" t="str">
        <f ca="1">IFERROR(__xludf.DUMMYFUNCTION("""COMPUTED_VALUE"""),"No")</f>
        <v>No</v>
      </c>
    </row>
    <row r="672" spans="1:36" ht="13">
      <c r="A672" s="5" t="str">
        <f ca="1">IFERROR(__xludf.DUMMYFUNCTION("""COMPUTED_VALUE"""),"20201012TXNOD")</f>
        <v>20201012TXNOD</v>
      </c>
      <c r="B672" s="5">
        <f ca="1">IFERROR(__xludf.DUMMYFUNCTION("""COMPUTED_VALUE"""),10)</f>
        <v>10</v>
      </c>
      <c r="C672" s="5">
        <f ca="1">IFERROR(__xludf.DUMMYFUNCTION("""COMPUTED_VALUE"""),12)</f>
        <v>12</v>
      </c>
      <c r="D672" s="5">
        <f ca="1">IFERROR(__xludf.DUMMYFUNCTION("""COMPUTED_VALUE"""),2020)</f>
        <v>2020</v>
      </c>
      <c r="E672" s="8">
        <f ca="1">IFERROR(__xludf.DUMMYFUNCTION("""COMPUTED_VALUE"""),44116)</f>
        <v>44116</v>
      </c>
      <c r="F672" s="5" t="str">
        <f ca="1">IFERROR(__xludf.DUMMYFUNCTION("""COMPUTED_VALUE"""),"North Dallas High School")</f>
        <v>North Dallas High School</v>
      </c>
      <c r="G672" s="5">
        <f ca="1">IFERROR(__xludf.DUMMYFUNCTION("""COMPUTED_VALUE"""),0)</f>
        <v>0</v>
      </c>
      <c r="H672" s="5">
        <f ca="1">IFERROR(__xludf.DUMMYFUNCTION("""COMPUTED_VALUE"""),0)</f>
        <v>0</v>
      </c>
      <c r="I672" s="5">
        <f ca="1">IFERROR(__xludf.DUMMYFUNCTION("""COMPUTED_VALUE"""),0)</f>
        <v>0</v>
      </c>
      <c r="J672" s="5">
        <f ca="1">IFERROR(__xludf.DUMMYFUNCTION("""COMPUTED_VALUE"""),0)</f>
        <v>0</v>
      </c>
      <c r="K672" s="9" t="str">
        <f ca="1">IFERROR(__xludf.DUMMYFUNCTION("""COMPUTED_VALUE"""),"https://www.wfaa.com/article/news/crime/no-one-injured-verbal-altercation-escalates-shooting-north-dallas-high-school-parking-lot-district-officials-say/287-2a04b92a-88da-45cc-8ed3-b8a7ab58ee78")</f>
        <v>https://www.wfaa.com/article/news/crime/no-one-injured-verbal-altercation-escalates-shooting-north-dallas-high-school-parking-lot-district-officials-say/287-2a04b92a-88da-45cc-8ed3-b8a7ab58ee78</v>
      </c>
      <c r="L672" s="5">
        <f ca="1">IFERROR(__xludf.DUMMYFUNCTION("""COMPUTED_VALUE"""),1)</f>
        <v>1</v>
      </c>
      <c r="M672" s="5" t="str">
        <f ca="1">IFERROR(__xludf.DUMMYFUNCTION("""COMPUTED_VALUE"""),"Local")</f>
        <v>Local</v>
      </c>
      <c r="N672" s="5">
        <f ca="1">IFERROR(__xludf.DUMMYFUNCTION("""COMPUTED_VALUE"""),3)</f>
        <v>3</v>
      </c>
      <c r="O672" s="5" t="str">
        <f ca="1">IFERROR(__xludf.DUMMYFUNCTION("""COMPUTED_VALUE"""),"Fall")</f>
        <v>Fall</v>
      </c>
      <c r="P672" s="5" t="str">
        <f ca="1">IFERROR(__xludf.DUMMYFUNCTION("""COMPUTED_VALUE"""),"Dallas")</f>
        <v>Dallas</v>
      </c>
      <c r="Q672" s="5" t="str">
        <f ca="1">IFERROR(__xludf.DUMMYFUNCTION("""COMPUTED_VALUE"""),"TX")</f>
        <v>TX</v>
      </c>
      <c r="R672" s="5" t="str">
        <f ca="1">IFERROR(__xludf.DUMMYFUNCTION("""COMPUTED_VALUE"""),"High")</f>
        <v>High</v>
      </c>
      <c r="S672" s="5" t="str">
        <f ca="1">IFERROR(__xludf.DUMMYFUNCTION("""COMPUTED_VALUE"""),"Parking Lot")</f>
        <v>Parking Lot</v>
      </c>
      <c r="T672" s="5" t="str">
        <f ca="1">IFERROR(__xludf.DUMMYFUNCTION("""COMPUTED_VALUE"""),"Outside on School Property")</f>
        <v>Outside on School Property</v>
      </c>
      <c r="U672" s="5" t="str">
        <f ca="1">IFERROR(__xludf.DUMMYFUNCTION("""COMPUTED_VALUE"""),"Yes")</f>
        <v>Yes</v>
      </c>
      <c r="V672" s="5" t="str">
        <f ca="1">IFERROR(__xludf.DUMMYFUNCTION("""COMPUTED_VALUE"""),"Afternoon Classes")</f>
        <v>Afternoon Classes</v>
      </c>
      <c r="W672" s="5"/>
      <c r="X672" s="5">
        <f ca="1">IFERROR(__xludf.DUMMYFUNCTION("""COMPUTED_VALUE"""),1)</f>
        <v>1</v>
      </c>
      <c r="Y672" s="5" t="str">
        <f ca="1">IFERROR(__xludf.DUMMYFUNCTION("""COMPUTED_VALUE"""),"Shots fired during dispute in school parking lot")</f>
        <v>Shots fired during dispute in school parking lot</v>
      </c>
      <c r="Z672" s="5" t="str">
        <f ca="1">IFERROR(__xludf.DUMMYFUNCTION("""COMPUTED_VALUE"""),"Shots were fired during a dispute between two adult men in the school parking lot. Shots missed and neither man was injured. No students were involved or injured. Both men were detained by Dallas school police and Dallas Police Department officers.")</f>
        <v>Shots were fired during a dispute between two adult men in the school parking lot. Shots missed and neither man was injured. No students were involved or injured. Both men were detained by Dallas school police and Dallas Police Department officers.</v>
      </c>
      <c r="AA672" s="5" t="str">
        <f ca="1">IFERROR(__xludf.DUMMYFUNCTION("""COMPUTED_VALUE"""),"Escalation of Dispute")</f>
        <v>Escalation of Dispute</v>
      </c>
      <c r="AB672" s="5" t="str">
        <f ca="1">IFERROR(__xludf.DUMMYFUNCTION("""COMPUTED_VALUE"""),"Victims Targeted")</f>
        <v>Victims Targeted</v>
      </c>
      <c r="AC672" s="5" t="str">
        <f ca="1">IFERROR(__xludf.DUMMYFUNCTION("""COMPUTED_VALUE"""),"No")</f>
        <v>No</v>
      </c>
      <c r="AD672" s="5" t="str">
        <f ca="1">IFERROR(__xludf.DUMMYFUNCTION("""COMPUTED_VALUE"""),"No")</f>
        <v>No</v>
      </c>
      <c r="AE672" s="5" t="str">
        <f ca="1">IFERROR(__xludf.DUMMYFUNCTION("""COMPUTED_VALUE"""),"No")</f>
        <v>No</v>
      </c>
      <c r="AF672" s="5" t="str">
        <f ca="1">IFERROR(__xludf.DUMMYFUNCTION("""COMPUTED_VALUE"""),"No")</f>
        <v>No</v>
      </c>
      <c r="AG672" s="5" t="str">
        <f ca="1">IFERROR(__xludf.DUMMYFUNCTION("""COMPUTED_VALUE"""),"No")</f>
        <v>No</v>
      </c>
      <c r="AH672" s="5" t="str">
        <f ca="1">IFERROR(__xludf.DUMMYFUNCTION("""COMPUTED_VALUE"""),"No")</f>
        <v>No</v>
      </c>
      <c r="AI672" s="5" t="str">
        <f ca="1">IFERROR(__xludf.DUMMYFUNCTION("""COMPUTED_VALUE"""),"No")</f>
        <v>No</v>
      </c>
      <c r="AJ672" s="5" t="str">
        <f ca="1">IFERROR(__xludf.DUMMYFUNCTION("""COMPUTED_VALUE"""),"No")</f>
        <v>No</v>
      </c>
    </row>
    <row r="673" spans="1:36" ht="13">
      <c r="A673" s="5" t="str">
        <f ca="1">IFERROR(__xludf.DUMMYFUNCTION("""COMPUTED_VALUE"""),"20201012MNSHS")</f>
        <v>20201012MNSHS</v>
      </c>
      <c r="B673" s="5">
        <f ca="1">IFERROR(__xludf.DUMMYFUNCTION("""COMPUTED_VALUE"""),10)</f>
        <v>10</v>
      </c>
      <c r="C673" s="5">
        <f ca="1">IFERROR(__xludf.DUMMYFUNCTION("""COMPUTED_VALUE"""),12)</f>
        <v>12</v>
      </c>
      <c r="D673" s="5">
        <f ca="1">IFERROR(__xludf.DUMMYFUNCTION("""COMPUTED_VALUE"""),2020)</f>
        <v>2020</v>
      </c>
      <c r="E673" s="8">
        <f ca="1">IFERROR(__xludf.DUMMYFUNCTION("""COMPUTED_VALUE"""),44116)</f>
        <v>44116</v>
      </c>
      <c r="F673" s="5" t="str">
        <f ca="1">IFERROR(__xludf.DUMMYFUNCTION("""COMPUTED_VALUE"""),"Shakopee High School")</f>
        <v>Shakopee High School</v>
      </c>
      <c r="G673" s="5">
        <f ca="1">IFERROR(__xludf.DUMMYFUNCTION("""COMPUTED_VALUE"""),0)</f>
        <v>0</v>
      </c>
      <c r="H673" s="5">
        <f ca="1">IFERROR(__xludf.DUMMYFUNCTION("""COMPUTED_VALUE"""),0)</f>
        <v>0</v>
      </c>
      <c r="I673" s="5">
        <f ca="1">IFERROR(__xludf.DUMMYFUNCTION("""COMPUTED_VALUE"""),0)</f>
        <v>0</v>
      </c>
      <c r="J673" s="5">
        <f ca="1">IFERROR(__xludf.DUMMYFUNCTION("""COMPUTED_VALUE"""),0)</f>
        <v>0</v>
      </c>
      <c r="K673" s="9" t="str">
        <f ca="1">IFERROR(__xludf.DUMMYFUNCTION("""COMPUTED_VALUE"""),"https://www.fox9.com/news/target-shooter-fires-accidental-shots-near-shakopee-sports-stadium")</f>
        <v>https://www.fox9.com/news/target-shooter-fires-accidental-shots-near-shakopee-sports-stadium</v>
      </c>
      <c r="L673" s="5">
        <f ca="1">IFERROR(__xludf.DUMMYFUNCTION("""COMPUTED_VALUE"""),1)</f>
        <v>1</v>
      </c>
      <c r="M673" s="5" t="str">
        <f ca="1">IFERROR(__xludf.DUMMYFUNCTION("""COMPUTED_VALUE"""),"Local")</f>
        <v>Local</v>
      </c>
      <c r="N673" s="5">
        <f ca="1">IFERROR(__xludf.DUMMYFUNCTION("""COMPUTED_VALUE"""),4)</f>
        <v>4</v>
      </c>
      <c r="O673" s="5" t="str">
        <f ca="1">IFERROR(__xludf.DUMMYFUNCTION("""COMPUTED_VALUE"""),"Fall")</f>
        <v>Fall</v>
      </c>
      <c r="P673" s="5" t="str">
        <f ca="1">IFERROR(__xludf.DUMMYFUNCTION("""COMPUTED_VALUE"""),"Shakopee")</f>
        <v>Shakopee</v>
      </c>
      <c r="Q673" s="5" t="str">
        <f ca="1">IFERROR(__xludf.DUMMYFUNCTION("""COMPUTED_VALUE"""),"MN")</f>
        <v>MN</v>
      </c>
      <c r="R673" s="5" t="str">
        <f ca="1">IFERROR(__xludf.DUMMYFUNCTION("""COMPUTED_VALUE"""),"High")</f>
        <v>High</v>
      </c>
      <c r="S673" s="5" t="str">
        <f ca="1">IFERROR(__xludf.DUMMYFUNCTION("""COMPUTED_VALUE"""),"Field (General)")</f>
        <v>Field (General)</v>
      </c>
      <c r="T673" s="5" t="str">
        <f ca="1">IFERROR(__xludf.DUMMYFUNCTION("""COMPUTED_VALUE"""),"Off School Property")</f>
        <v>Off School Property</v>
      </c>
      <c r="U673" s="5" t="str">
        <f ca="1">IFERROR(__xludf.DUMMYFUNCTION("""COMPUTED_VALUE"""),"No")</f>
        <v>No</v>
      </c>
      <c r="V673" s="5" t="str">
        <f ca="1">IFERROR(__xludf.DUMMYFUNCTION("""COMPUTED_VALUE"""),"Sport Event")</f>
        <v>Sport Event</v>
      </c>
      <c r="W673" s="10">
        <f ca="1">IFERROR(__xludf.DUMMYFUNCTION("""COMPUTED_VALUE"""),0.729166666666666)</f>
        <v>0.72916666666666596</v>
      </c>
      <c r="X673" s="5"/>
      <c r="Y673" s="5" t="str">
        <f ca="1">IFERROR(__xludf.DUMMYFUNCTION("""COMPUTED_VALUE"""),"Shots fired at field during high school baseball practice")</f>
        <v>Shots fired at field during high school baseball practice</v>
      </c>
      <c r="Z673" s="5" t="str">
        <f ca="1">IFERROR(__xludf.DUMMYFUNCTION("""COMPUTED_VALUE"""),"Police were called for shots fired at a public park and baseball complex. High school baseball practice was taking place when the shooting occurred. Police determined that someone was target/trap shooting nearby without proper safety precautions and pelle"&amp;"ts were striking the athletic field.")</f>
        <v>Police were called for shots fired at a public park and baseball complex. High school baseball practice was taking place when the shooting occurred. Police determined that someone was target/trap shooting nearby without proper safety precautions and pellets were striking the athletic field.</v>
      </c>
      <c r="AA673" s="5" t="str">
        <f ca="1">IFERROR(__xludf.DUMMYFUNCTION("""COMPUTED_VALUE"""),"Accidental")</f>
        <v>Accidental</v>
      </c>
      <c r="AB673" s="5" t="str">
        <f ca="1">IFERROR(__xludf.DUMMYFUNCTION("""COMPUTED_VALUE"""),"Neither")</f>
        <v>Neither</v>
      </c>
      <c r="AC673" s="5" t="str">
        <f ca="1">IFERROR(__xludf.DUMMYFUNCTION("""COMPUTED_VALUE"""),"No")</f>
        <v>No</v>
      </c>
      <c r="AD673" s="5" t="str">
        <f ca="1">IFERROR(__xludf.DUMMYFUNCTION("""COMPUTED_VALUE"""),"No")</f>
        <v>No</v>
      </c>
      <c r="AE673" s="5" t="str">
        <f ca="1">IFERROR(__xludf.DUMMYFUNCTION("""COMPUTED_VALUE"""),"No")</f>
        <v>No</v>
      </c>
      <c r="AF673" s="5"/>
      <c r="AG673" s="5" t="str">
        <f ca="1">IFERROR(__xludf.DUMMYFUNCTION("""COMPUTED_VALUE"""),"No")</f>
        <v>No</v>
      </c>
      <c r="AH673" s="5" t="str">
        <f ca="1">IFERROR(__xludf.DUMMYFUNCTION("""COMPUTED_VALUE"""),"No")</f>
        <v>No</v>
      </c>
      <c r="AI673" s="5" t="str">
        <f ca="1">IFERROR(__xludf.DUMMYFUNCTION("""COMPUTED_VALUE"""),"No")</f>
        <v>No</v>
      </c>
      <c r="AJ673" s="5" t="str">
        <f ca="1">IFERROR(__xludf.DUMMYFUNCTION("""COMPUTED_VALUE"""),"No")</f>
        <v>No</v>
      </c>
    </row>
    <row r="674" spans="1:36" ht="13">
      <c r="A674" s="5" t="str">
        <f ca="1">IFERROR(__xludf.DUMMYFUNCTION("""COMPUTED_VALUE"""),"20201009FLJEJ")</f>
        <v>20201009FLJEJ</v>
      </c>
      <c r="B674" s="5">
        <f ca="1">IFERROR(__xludf.DUMMYFUNCTION("""COMPUTED_VALUE"""),10)</f>
        <v>10</v>
      </c>
      <c r="C674" s="5">
        <f ca="1">IFERROR(__xludf.DUMMYFUNCTION("""COMPUTED_VALUE"""),9)</f>
        <v>9</v>
      </c>
      <c r="D674" s="5">
        <f ca="1">IFERROR(__xludf.DUMMYFUNCTION("""COMPUTED_VALUE"""),2020)</f>
        <v>2020</v>
      </c>
      <c r="E674" s="8">
        <f ca="1">IFERROR(__xludf.DUMMYFUNCTION("""COMPUTED_VALUE"""),44113)</f>
        <v>44113</v>
      </c>
      <c r="F674" s="5" t="str">
        <f ca="1">IFERROR(__xludf.DUMMYFUNCTION("""COMPUTED_VALUE"""),"Jean Ribault High School")</f>
        <v>Jean Ribault High School</v>
      </c>
      <c r="G674" s="5">
        <f ca="1">IFERROR(__xludf.DUMMYFUNCTION("""COMPUTED_VALUE"""),0)</f>
        <v>0</v>
      </c>
      <c r="H674" s="5">
        <f ca="1">IFERROR(__xludf.DUMMYFUNCTION("""COMPUTED_VALUE"""),1)</f>
        <v>1</v>
      </c>
      <c r="I674" s="5">
        <f ca="1">IFERROR(__xludf.DUMMYFUNCTION("""COMPUTED_VALUE"""),1)</f>
        <v>1</v>
      </c>
      <c r="J674" s="5">
        <f ca="1">IFERROR(__xludf.DUMMYFUNCTION("""COMPUTED_VALUE"""),0)</f>
        <v>0</v>
      </c>
      <c r="K674" s="5" t="str">
        <f ca="1">IFERROR(__xludf.DUMMYFUNCTION("""COMPUTED_VALUE"""),"https://www.news4jax.com/news/local/2020/10/09/adult-shot-transported-from-ribault-high-school-jfrd-says/ https://www.actionnewsjax.com/news/local/duval-county/shots-fired-ribault-high-school-according-jso/2PXVLGF2JRCC7DHHI4XKI3F25E/ https://www.firstcoas"&amp;"tnews.com/article/news/crime/shooting-at-ribault-high-school/77-8a5f99f0-761b-4c02-9396-e27ddfbd5222 https://www.actionnewsjax.com/news/local/duval-county/ribault-high-implementing-metal-detectors-after-school-shooting/WRSDTI4OPNH4DDT5Q6UOLK6UQM/")</f>
        <v>https://www.news4jax.com/news/local/2020/10/09/adult-shot-transported-from-ribault-high-school-jfrd-says/ https://www.actionnewsjax.com/news/local/duval-county/shots-fired-ribault-high-school-according-jso/2PXVLGF2JRCC7DHHI4XKI3F25E/ https://www.firstcoastnews.com/article/news/crime/shooting-at-ribault-high-school/77-8a5f99f0-761b-4c02-9396-e27ddfbd5222 https://www.actionnewsjax.com/news/local/duval-county/ribault-high-implementing-metal-detectors-after-school-shooting/WRSDTI4OPNH4DDT5Q6UOLK6UQM/</v>
      </c>
      <c r="L674" s="5">
        <f ca="1">IFERROR(__xludf.DUMMYFUNCTION("""COMPUTED_VALUE"""),5)</f>
        <v>5</v>
      </c>
      <c r="M674" s="5" t="str">
        <f ca="1">IFERROR(__xludf.DUMMYFUNCTION("""COMPUTED_VALUE"""),"Local")</f>
        <v>Local</v>
      </c>
      <c r="N674" s="5">
        <f ca="1">IFERROR(__xludf.DUMMYFUNCTION("""COMPUTED_VALUE"""),4)</f>
        <v>4</v>
      </c>
      <c r="O674" s="5" t="str">
        <f ca="1">IFERROR(__xludf.DUMMYFUNCTION("""COMPUTED_VALUE"""),"Fall")</f>
        <v>Fall</v>
      </c>
      <c r="P674" s="5" t="str">
        <f ca="1">IFERROR(__xludf.DUMMYFUNCTION("""COMPUTED_VALUE"""),"Jacksonville")</f>
        <v>Jacksonville</v>
      </c>
      <c r="Q674" s="5" t="str">
        <f ca="1">IFERROR(__xludf.DUMMYFUNCTION("""COMPUTED_VALUE"""),"FL")</f>
        <v>FL</v>
      </c>
      <c r="R674" s="5" t="str">
        <f ca="1">IFERROR(__xludf.DUMMYFUNCTION("""COMPUTED_VALUE"""),"High")</f>
        <v>High</v>
      </c>
      <c r="S674" s="5"/>
      <c r="T674" s="5"/>
      <c r="U674" s="5"/>
      <c r="V674" s="5"/>
      <c r="W674" s="10">
        <f ca="1">IFERROR(__xludf.DUMMYFUNCTION("""COMPUTED_VALUE"""),0.583333333333333)</f>
        <v>0.58333333333333304</v>
      </c>
      <c r="X674" s="5">
        <f ca="1">IFERROR(__xludf.DUMMYFUNCTION("""COMPUTED_VALUE"""),1)</f>
        <v>1</v>
      </c>
      <c r="Y674" s="5" t="str">
        <f ca="1">IFERROR(__xludf.DUMMYFUNCTION("""COMPUTED_VALUE"""),"Student shot in the arm by another student")</f>
        <v>Student shot in the arm by another student</v>
      </c>
      <c r="Z674" s="5" t="str">
        <f ca="1">IFERROR(__xludf.DUMMYFUNCTION("""COMPUTED_VALUE"""),"An 18 year-old student shot another 18 year-old student in the arm in or behind the school fieldhouse building. The SRO responded and arrested the shooter. School was not locked down. Police said the shooting was an accident.")</f>
        <v>An 18 year-old student shot another 18 year-old student in the arm in or behind the school fieldhouse building. The SRO responded and arrested the shooter. School was not locked down. Police said the shooting was an accident.</v>
      </c>
      <c r="AA674" s="5" t="str">
        <f ca="1">IFERROR(__xludf.DUMMYFUNCTION("""COMPUTED_VALUE"""),"Accidental")</f>
        <v>Accidental</v>
      </c>
      <c r="AB674" s="5" t="str">
        <f ca="1">IFERROR(__xludf.DUMMYFUNCTION("""COMPUTED_VALUE"""),"Random Shooting")</f>
        <v>Random Shooting</v>
      </c>
      <c r="AC674" s="5" t="str">
        <f ca="1">IFERROR(__xludf.DUMMYFUNCTION("""COMPUTED_VALUE"""),"No")</f>
        <v>No</v>
      </c>
      <c r="AD674" s="5" t="str">
        <f ca="1">IFERROR(__xludf.DUMMYFUNCTION("""COMPUTED_VALUE"""),"No")</f>
        <v>No</v>
      </c>
      <c r="AE674" s="5" t="str">
        <f ca="1">IFERROR(__xludf.DUMMYFUNCTION("""COMPUTED_VALUE"""),"No")</f>
        <v>No</v>
      </c>
      <c r="AF674" s="5" t="str">
        <f ca="1">IFERROR(__xludf.DUMMYFUNCTION("""COMPUTED_VALUE"""),"No")</f>
        <v>No</v>
      </c>
      <c r="AG674" s="5" t="str">
        <f ca="1">IFERROR(__xludf.DUMMYFUNCTION("""COMPUTED_VALUE"""),"No")</f>
        <v>No</v>
      </c>
      <c r="AH674" s="5" t="str">
        <f ca="1">IFERROR(__xludf.DUMMYFUNCTION("""COMPUTED_VALUE"""),"No")</f>
        <v>No</v>
      </c>
      <c r="AI674" s="5" t="str">
        <f ca="1">IFERROR(__xludf.DUMMYFUNCTION("""COMPUTED_VALUE"""),"No")</f>
        <v>No</v>
      </c>
      <c r="AJ674" s="5" t="str">
        <f ca="1">IFERROR(__xludf.DUMMYFUNCTION("""COMPUTED_VALUE"""),"No")</f>
        <v>No</v>
      </c>
    </row>
    <row r="675" spans="1:36" ht="13">
      <c r="A675" s="5" t="str">
        <f ca="1">IFERROR(__xludf.DUMMYFUNCTION("""COMPUTED_VALUE"""),"20201005OKSOM")</f>
        <v>20201005OKSOM</v>
      </c>
      <c r="B675" s="5">
        <f ca="1">IFERROR(__xludf.DUMMYFUNCTION("""COMPUTED_VALUE"""),10)</f>
        <v>10</v>
      </c>
      <c r="C675" s="5">
        <f ca="1">IFERROR(__xludf.DUMMYFUNCTION("""COMPUTED_VALUE"""),5)</f>
        <v>5</v>
      </c>
      <c r="D675" s="5">
        <f ca="1">IFERROR(__xludf.DUMMYFUNCTION("""COMPUTED_VALUE"""),2020)</f>
        <v>2020</v>
      </c>
      <c r="E675" s="8">
        <f ca="1">IFERROR(__xludf.DUMMYFUNCTION("""COMPUTED_VALUE"""),44109)</f>
        <v>44109</v>
      </c>
      <c r="F675" s="5" t="str">
        <f ca="1">IFERROR(__xludf.DUMMYFUNCTION("""COMPUTED_VALUE"""),"Southridge Junior High")</f>
        <v>Southridge Junior High</v>
      </c>
      <c r="G675" s="5">
        <f ca="1">IFERROR(__xludf.DUMMYFUNCTION("""COMPUTED_VALUE"""),0)</f>
        <v>0</v>
      </c>
      <c r="H675" s="5">
        <f ca="1">IFERROR(__xludf.DUMMYFUNCTION("""COMPUTED_VALUE"""),0)</f>
        <v>0</v>
      </c>
      <c r="I675" s="5">
        <f ca="1">IFERROR(__xludf.DUMMYFUNCTION("""COMPUTED_VALUE"""),0)</f>
        <v>0</v>
      </c>
      <c r="J675" s="5">
        <f ca="1">IFERROR(__xludf.DUMMYFUNCTION("""COMPUTED_VALUE"""),0)</f>
        <v>0</v>
      </c>
      <c r="K675" s="5" t="str">
        <f ca="1">IFERROR(__xludf.DUMMYFUNCTION("""COMPUTED_VALUE"""),"https://kfor.com/news/local/oklahoma-student-arrested-after-allegedly-shooting-peer-on-bus-with-airsoft-pistol/ https://www.koco.com/article/moore-junior-high-student-arrested-after-firing-airsoft-pistol-on-school-bus/34273618#")</f>
        <v>https://kfor.com/news/local/oklahoma-student-arrested-after-allegedly-shooting-peer-on-bus-with-airsoft-pistol/ https://www.koco.com/article/moore-junior-high-student-arrested-after-firing-airsoft-pistol-on-school-bus/34273618#</v>
      </c>
      <c r="L675" s="5">
        <f ca="1">IFERROR(__xludf.DUMMYFUNCTION("""COMPUTED_VALUE"""),3)</f>
        <v>3</v>
      </c>
      <c r="M675" s="5" t="str">
        <f ca="1">IFERROR(__xludf.DUMMYFUNCTION("""COMPUTED_VALUE"""),"Local")</f>
        <v>Local</v>
      </c>
      <c r="N675" s="5">
        <f ca="1">IFERROR(__xludf.DUMMYFUNCTION("""COMPUTED_VALUE"""),3)</f>
        <v>3</v>
      </c>
      <c r="O675" s="5" t="str">
        <f ca="1">IFERROR(__xludf.DUMMYFUNCTION("""COMPUTED_VALUE"""),"Fall")</f>
        <v>Fall</v>
      </c>
      <c r="P675" s="5" t="str">
        <f ca="1">IFERROR(__xludf.DUMMYFUNCTION("""COMPUTED_VALUE"""),"Moore")</f>
        <v>Moore</v>
      </c>
      <c r="Q675" s="5" t="str">
        <f ca="1">IFERROR(__xludf.DUMMYFUNCTION("""COMPUTED_VALUE"""),"OK")</f>
        <v>OK</v>
      </c>
      <c r="R675" s="5" t="str">
        <f ca="1">IFERROR(__xludf.DUMMYFUNCTION("""COMPUTED_VALUE"""),"High")</f>
        <v>High</v>
      </c>
      <c r="S675" s="5" t="str">
        <f ca="1">IFERROR(__xludf.DUMMYFUNCTION("""COMPUTED_VALUE"""),"School Bus")</f>
        <v>School Bus</v>
      </c>
      <c r="T675" s="5" t="str">
        <f ca="1">IFERROR(__xludf.DUMMYFUNCTION("""COMPUTED_VALUE"""),"School Bus")</f>
        <v>School Bus</v>
      </c>
      <c r="U675" s="5" t="str">
        <f ca="1">IFERROR(__xludf.DUMMYFUNCTION("""COMPUTED_VALUE"""),"Yes")</f>
        <v>Yes</v>
      </c>
      <c r="V675" s="5" t="str">
        <f ca="1">IFERROR(__xludf.DUMMYFUNCTION("""COMPUTED_VALUE"""),"Before School")</f>
        <v>Before School</v>
      </c>
      <c r="W675" s="5"/>
      <c r="X675" s="5">
        <f ca="1">IFERROR(__xludf.DUMMYFUNCTION("""COMPUTED_VALUE"""),1)</f>
        <v>1</v>
      </c>
      <c r="Y675" s="5" t="str">
        <f ca="1">IFERROR(__xludf.DUMMYFUNCTION("""COMPUTED_VALUE"""),"Student with airsoft gun fired multiple shots at other students on school bus")</f>
        <v>Student with airsoft gun fired multiple shots at other students on school bus</v>
      </c>
      <c r="Z675" s="5" t="str">
        <f ca="1">IFERROR(__xludf.DUMMYFUNCTION("""COMPUTED_VALUE"""),"A student got onto the school bus on the way to school, pulled out an airsoft gun, and fired a shot striking one student. The student then put the gun into his backpack and then exited the bus when it arrived at the school. Police were notified and the st"&amp;"udent was arrested at the school. Student has been expelled under the zero tolerance policy.")</f>
        <v>A student got onto the school bus on the way to school, pulled out an airsoft gun, and fired a shot striking one student. The student then put the gun into his backpack and then exited the bus when it arrived at the school. Police were notified and the student was arrested at the school. Student has been expelled under the zero tolerance policy.</v>
      </c>
      <c r="AA675" s="5"/>
      <c r="AB675" s="5"/>
      <c r="AC675" s="5" t="str">
        <f ca="1">IFERROR(__xludf.DUMMYFUNCTION("""COMPUTED_VALUE"""),"No")</f>
        <v>No</v>
      </c>
      <c r="AD675" s="5" t="str">
        <f ca="1">IFERROR(__xludf.DUMMYFUNCTION("""COMPUTED_VALUE"""),"No")</f>
        <v>No</v>
      </c>
      <c r="AE675" s="5" t="str">
        <f ca="1">IFERROR(__xludf.DUMMYFUNCTION("""COMPUTED_VALUE"""),"No")</f>
        <v>No</v>
      </c>
      <c r="AF675" s="5" t="str">
        <f ca="1">IFERROR(__xludf.DUMMYFUNCTION("""COMPUTED_VALUE"""),"No")</f>
        <v>No</v>
      </c>
      <c r="AG675" s="5"/>
      <c r="AH675" s="5" t="str">
        <f ca="1">IFERROR(__xludf.DUMMYFUNCTION("""COMPUTED_VALUE"""),"No")</f>
        <v>No</v>
      </c>
      <c r="AI675" s="5" t="str">
        <f ca="1">IFERROR(__xludf.DUMMYFUNCTION("""COMPUTED_VALUE"""),"No")</f>
        <v>No</v>
      </c>
      <c r="AJ675" s="5" t="str">
        <f ca="1">IFERROR(__xludf.DUMMYFUNCTION("""COMPUTED_VALUE"""),"No")</f>
        <v>No</v>
      </c>
    </row>
    <row r="676" spans="1:36" ht="13">
      <c r="A676" s="5" t="str">
        <f ca="1">IFERROR(__xludf.DUMMYFUNCTION("""COMPUTED_VALUE"""),"20201005ARKIH")</f>
        <v>20201005ARKIH</v>
      </c>
      <c r="B676" s="5">
        <f ca="1">IFERROR(__xludf.DUMMYFUNCTION("""COMPUTED_VALUE"""),10)</f>
        <v>10</v>
      </c>
      <c r="C676" s="5">
        <f ca="1">IFERROR(__xludf.DUMMYFUNCTION("""COMPUTED_VALUE"""),5)</f>
        <v>5</v>
      </c>
      <c r="D676" s="5">
        <f ca="1">IFERROR(__xludf.DUMMYFUNCTION("""COMPUTED_VALUE"""),2020)</f>
        <v>2020</v>
      </c>
      <c r="E676" s="8">
        <f ca="1">IFERROR(__xludf.DUMMYFUNCTION("""COMPUTED_VALUE"""),44109)</f>
        <v>44109</v>
      </c>
      <c r="F676" s="5" t="str">
        <f ca="1">IFERROR(__xludf.DUMMYFUNCTION("""COMPUTED_VALUE"""),"KIPP Delta Elementary School")</f>
        <v>KIPP Delta Elementary School</v>
      </c>
      <c r="G676" s="5">
        <f ca="1">IFERROR(__xludf.DUMMYFUNCTION("""COMPUTED_VALUE"""),1)</f>
        <v>1</v>
      </c>
      <c r="H676" s="5">
        <f ca="1">IFERROR(__xludf.DUMMYFUNCTION("""COMPUTED_VALUE"""),1)</f>
        <v>1</v>
      </c>
      <c r="I676" s="5">
        <f ca="1">IFERROR(__xludf.DUMMYFUNCTION("""COMPUTED_VALUE"""),2)</f>
        <v>2</v>
      </c>
      <c r="J676" s="5">
        <f ca="1">IFERROR(__xludf.DUMMYFUNCTION("""COMPUTED_VALUE"""),0)</f>
        <v>0</v>
      </c>
      <c r="K676" s="5" t="str">
        <f ca="1">IFERROR(__xludf.DUMMYFUNCTION("""COMPUTED_VALUE"""),"https://wreg.com/news/arkansas-man-turns-himself-in-after-deadly-shooting-near-helena-west-helena-school/ https://wreg.com/news/1-killed-1-injured-in-shootings-near-helena-west-helena-school/")</f>
        <v>https://wreg.com/news/arkansas-man-turns-himself-in-after-deadly-shooting-near-helena-west-helena-school/ https://wreg.com/news/1-killed-1-injured-in-shootings-near-helena-west-helena-school/</v>
      </c>
      <c r="L676" s="5">
        <f ca="1">IFERROR(__xludf.DUMMYFUNCTION("""COMPUTED_VALUE"""),2)</f>
        <v>2</v>
      </c>
      <c r="M676" s="5" t="str">
        <f ca="1">IFERROR(__xludf.DUMMYFUNCTION("""COMPUTED_VALUE"""),"Local")</f>
        <v>Local</v>
      </c>
      <c r="N676" s="5">
        <f ca="1">IFERROR(__xludf.DUMMYFUNCTION("""COMPUTED_VALUE"""),4)</f>
        <v>4</v>
      </c>
      <c r="O676" s="5" t="str">
        <f ca="1">IFERROR(__xludf.DUMMYFUNCTION("""COMPUTED_VALUE"""),"Fall")</f>
        <v>Fall</v>
      </c>
      <c r="P676" s="5" t="str">
        <f ca="1">IFERROR(__xludf.DUMMYFUNCTION("""COMPUTED_VALUE"""),"West Helena")</f>
        <v>West Helena</v>
      </c>
      <c r="Q676" s="5" t="str">
        <f ca="1">IFERROR(__xludf.DUMMYFUNCTION("""COMPUTED_VALUE"""),"AR")</f>
        <v>AR</v>
      </c>
      <c r="R676" s="5" t="str">
        <f ca="1">IFERROR(__xludf.DUMMYFUNCTION("""COMPUTED_VALUE"""),"Elementary")</f>
        <v>Elementary</v>
      </c>
      <c r="S676" s="5" t="str">
        <f ca="1">IFERROR(__xludf.DUMMYFUNCTION("""COMPUTED_VALUE"""),"Front of School")</f>
        <v>Front of School</v>
      </c>
      <c r="T676" s="5" t="str">
        <f ca="1">IFERROR(__xludf.DUMMYFUNCTION("""COMPUTED_VALUE"""),"Outside on School Property")</f>
        <v>Outside on School Property</v>
      </c>
      <c r="U676" s="5" t="str">
        <f ca="1">IFERROR(__xludf.DUMMYFUNCTION("""COMPUTED_VALUE"""),"Yes")</f>
        <v>Yes</v>
      </c>
      <c r="V676" s="5" t="str">
        <f ca="1">IFERROR(__xludf.DUMMYFUNCTION("""COMPUTED_VALUE"""),"Dismissal")</f>
        <v>Dismissal</v>
      </c>
      <c r="W676" s="10">
        <f ca="1">IFERROR(__xludf.DUMMYFUNCTION("""COMPUTED_VALUE"""),0.625)</f>
        <v>0.625</v>
      </c>
      <c r="X676" s="5"/>
      <c r="Y676" s="5" t="str">
        <f ca="1">IFERROR(__xludf.DUMMYFUNCTION("""COMPUTED_VALUE"""),"Two men shot during domestic dispute in front of school during dismissal")</f>
        <v>Two men shot during domestic dispute in front of school during dismissal</v>
      </c>
      <c r="Z676" s="5" t="str">
        <f ca="1">IFERROR(__xludf.DUMMYFUNCTION("""COMPUTED_VALUE"""),"Two men were shot during two shootings a few minutes apart related to a domestic dispute in front of the school. Students were dismissing at the time of the shooting and ran back into the school following lockdown procedures when the shots were fired. A m"&amp;"an was struck in the arm and fled the scene. While locked down, the second shooting occurred (man fatally shot). Assistant Police Chief James Mayfield said: “It’s gonna be a girlfriend-boyfriend, baby daddy, ex-boyfriend-new boyfriend type situation.” No "&amp;"students or staff were injured.")</f>
        <v>Two men were shot during two shootings a few minutes apart related to a domestic dispute in front of the school. Students were dismissing at the time of the shooting and ran back into the school following lockdown procedures when the shots were fired. A man was struck in the arm and fled the scene. While locked down, the second shooting occurred (man fatally shot). Assistant Police Chief James Mayfield said: “It’s gonna be a girlfriend-boyfriend, baby daddy, ex-boyfriend-new boyfriend type situation.” No students or staff were injured.</v>
      </c>
      <c r="AA676" s="5" t="str">
        <f ca="1">IFERROR(__xludf.DUMMYFUNCTION("""COMPUTED_VALUE"""),"Domestic w/ Targeted Victim")</f>
        <v>Domestic w/ Targeted Victim</v>
      </c>
      <c r="AB676" s="5" t="str">
        <f ca="1">IFERROR(__xludf.DUMMYFUNCTION("""COMPUTED_VALUE"""),"Victims Targeted")</f>
        <v>Victims Targeted</v>
      </c>
      <c r="AC676" s="5"/>
      <c r="AD676" s="5" t="str">
        <f ca="1">IFERROR(__xludf.DUMMYFUNCTION("""COMPUTED_VALUE"""),"No")</f>
        <v>No</v>
      </c>
      <c r="AE676" s="5" t="str">
        <f ca="1">IFERROR(__xludf.DUMMYFUNCTION("""COMPUTED_VALUE"""),"No")</f>
        <v>No</v>
      </c>
      <c r="AF676" s="5" t="str">
        <f ca="1">IFERROR(__xludf.DUMMYFUNCTION("""COMPUTED_VALUE"""),"No")</f>
        <v>No</v>
      </c>
      <c r="AG676" s="5" t="str">
        <f ca="1">IFERROR(__xludf.DUMMYFUNCTION("""COMPUTED_VALUE"""),"No")</f>
        <v>No</v>
      </c>
      <c r="AH676" s="5" t="str">
        <f ca="1">IFERROR(__xludf.DUMMYFUNCTION("""COMPUTED_VALUE"""),"Yes")</f>
        <v>Yes</v>
      </c>
      <c r="AI676" s="5" t="str">
        <f ca="1">IFERROR(__xludf.DUMMYFUNCTION("""COMPUTED_VALUE"""),"No")</f>
        <v>No</v>
      </c>
      <c r="AJ676" s="5" t="str">
        <f ca="1">IFERROR(__xludf.DUMMYFUNCTION("""COMPUTED_VALUE"""),"No")</f>
        <v>No</v>
      </c>
    </row>
    <row r="677" spans="1:36" ht="13">
      <c r="A677" s="5" t="str">
        <f ca="1">IFERROR(__xludf.DUMMYFUNCTION("""COMPUTED_VALUE"""),"20201004NEADL")</f>
        <v>20201004NEADL</v>
      </c>
      <c r="B677" s="5">
        <f ca="1">IFERROR(__xludf.DUMMYFUNCTION("""COMPUTED_VALUE"""),10)</f>
        <v>10</v>
      </c>
      <c r="C677" s="5">
        <f ca="1">IFERROR(__xludf.DUMMYFUNCTION("""COMPUTED_VALUE"""),4)</f>
        <v>4</v>
      </c>
      <c r="D677" s="5">
        <f ca="1">IFERROR(__xludf.DUMMYFUNCTION("""COMPUTED_VALUE"""),2020)</f>
        <v>2020</v>
      </c>
      <c r="E677" s="8">
        <f ca="1">IFERROR(__xludf.DUMMYFUNCTION("""COMPUTED_VALUE"""),44108)</f>
        <v>44108</v>
      </c>
      <c r="F677" s="5" t="str">
        <f ca="1">IFERROR(__xludf.DUMMYFUNCTION("""COMPUTED_VALUE"""),"Adam’s Elementary School")</f>
        <v>Adam’s Elementary School</v>
      </c>
      <c r="G677" s="5">
        <f ca="1">IFERROR(__xludf.DUMMYFUNCTION("""COMPUTED_VALUE"""),0)</f>
        <v>0</v>
      </c>
      <c r="H677" s="5">
        <f ca="1">IFERROR(__xludf.DUMMYFUNCTION("""COMPUTED_VALUE"""),0)</f>
        <v>0</v>
      </c>
      <c r="I677" s="5">
        <f ca="1">IFERROR(__xludf.DUMMYFUNCTION("""COMPUTED_VALUE"""),0)</f>
        <v>0</v>
      </c>
      <c r="J677" s="5">
        <f ca="1">IFERROR(__xludf.DUMMYFUNCTION("""COMPUTED_VALUE"""),0)</f>
        <v>0</v>
      </c>
      <c r="K677" s="9" t="str">
        <f ca="1">IFERROR(__xludf.DUMMYFUNCTION("""COMPUTED_VALUE"""),"https://www.klkntv.com/shots-fired-at-a-lincoln-elementary-school-officers-say-its-alarming/")</f>
        <v>https://www.klkntv.com/shots-fired-at-a-lincoln-elementary-school-officers-say-its-alarming/</v>
      </c>
      <c r="L677" s="5">
        <f ca="1">IFERROR(__xludf.DUMMYFUNCTION("""COMPUTED_VALUE"""),1)</f>
        <v>1</v>
      </c>
      <c r="M677" s="5" t="str">
        <f ca="1">IFERROR(__xludf.DUMMYFUNCTION("""COMPUTED_VALUE"""),"Local")</f>
        <v>Local</v>
      </c>
      <c r="N677" s="5">
        <f ca="1">IFERROR(__xludf.DUMMYFUNCTION("""COMPUTED_VALUE"""),3)</f>
        <v>3</v>
      </c>
      <c r="O677" s="5" t="str">
        <f ca="1">IFERROR(__xludf.DUMMYFUNCTION("""COMPUTED_VALUE"""),"Fall")</f>
        <v>Fall</v>
      </c>
      <c r="P677" s="5" t="str">
        <f ca="1">IFERROR(__xludf.DUMMYFUNCTION("""COMPUTED_VALUE"""),"Lincoln")</f>
        <v>Lincoln</v>
      </c>
      <c r="Q677" s="5" t="str">
        <f ca="1">IFERROR(__xludf.DUMMYFUNCTION("""COMPUTED_VALUE"""),"NE")</f>
        <v>NE</v>
      </c>
      <c r="R677" s="5" t="str">
        <f ca="1">IFERROR(__xludf.DUMMYFUNCTION("""COMPUTED_VALUE"""),"Elementary")</f>
        <v>Elementary</v>
      </c>
      <c r="S677" s="5" t="str">
        <f ca="1">IFERROR(__xludf.DUMMYFUNCTION("""COMPUTED_VALUE"""),"Parking Lot")</f>
        <v>Parking Lot</v>
      </c>
      <c r="T677" s="5" t="str">
        <f ca="1">IFERROR(__xludf.DUMMYFUNCTION("""COMPUTED_VALUE"""),"Outside on School Property")</f>
        <v>Outside on School Property</v>
      </c>
      <c r="U677" s="5" t="str">
        <f ca="1">IFERROR(__xludf.DUMMYFUNCTION("""COMPUTED_VALUE"""),"No")</f>
        <v>No</v>
      </c>
      <c r="V677" s="5"/>
      <c r="W677" s="5"/>
      <c r="X677" s="5"/>
      <c r="Y677" s="5" t="str">
        <f ca="1">IFERROR(__xludf.DUMMYFUNCTION("""COMPUTED_VALUE"""),"Police found shell casings near the elementary school playground")</f>
        <v>Police found shell casings near the elementary school playground</v>
      </c>
      <c r="Z677" s="5" t="str">
        <f ca="1">IFERROR(__xludf.DUMMYFUNCTION("""COMPUTED_VALUE"""),"Following an anonymous tip, police found spent shell casing in the parking lot of the elementary school near the play ground 2 days after the shooting occurred. A witness said a car pulled up, fired shots and left the scene. No injuries or damage.")</f>
        <v>Following an anonymous tip, police found spent shell casing in the parking lot of the elementary school near the play ground 2 days after the shooting occurred. A witness said a car pulled up, fired shots and left the scene. No injuries or damage.</v>
      </c>
      <c r="AA677" s="5" t="str">
        <f ca="1">IFERROR(__xludf.DUMMYFUNCTION("""COMPUTED_VALUE"""),"Drive-by Shooting")</f>
        <v>Drive-by Shooting</v>
      </c>
      <c r="AB677" s="5" t="str">
        <f ca="1">IFERROR(__xludf.DUMMYFUNCTION("""COMPUTED_VALUE"""),"Neither")</f>
        <v>Neither</v>
      </c>
      <c r="AC677" s="5"/>
      <c r="AD677" s="5" t="str">
        <f ca="1">IFERROR(__xludf.DUMMYFUNCTION("""COMPUTED_VALUE"""),"No")</f>
        <v>No</v>
      </c>
      <c r="AE677" s="5" t="str">
        <f ca="1">IFERROR(__xludf.DUMMYFUNCTION("""COMPUTED_VALUE"""),"No")</f>
        <v>No</v>
      </c>
      <c r="AF677" s="5" t="str">
        <f ca="1">IFERROR(__xludf.DUMMYFUNCTION("""COMPUTED_VALUE"""),"No")</f>
        <v>No</v>
      </c>
      <c r="AG677" s="5" t="str">
        <f ca="1">IFERROR(__xludf.DUMMYFUNCTION("""COMPUTED_VALUE"""),"No")</f>
        <v>No</v>
      </c>
      <c r="AH677" s="5" t="str">
        <f ca="1">IFERROR(__xludf.DUMMYFUNCTION("""COMPUTED_VALUE"""),"No")</f>
        <v>No</v>
      </c>
      <c r="AI677" s="5"/>
      <c r="AJ677" s="5" t="str">
        <f ca="1">IFERROR(__xludf.DUMMYFUNCTION("""COMPUTED_VALUE"""),"No")</f>
        <v>No</v>
      </c>
    </row>
    <row r="678" spans="1:36" ht="13">
      <c r="A678" s="5" t="str">
        <f ca="1">IFERROR(__xludf.DUMMYFUNCTION("""COMPUTED_VALUE"""),"20201002PAMAE")</f>
        <v>20201002PAMAE</v>
      </c>
      <c r="B678" s="5">
        <f ca="1">IFERROR(__xludf.DUMMYFUNCTION("""COMPUTED_VALUE"""),10)</f>
        <v>10</v>
      </c>
      <c r="C678" s="5">
        <f ca="1">IFERROR(__xludf.DUMMYFUNCTION("""COMPUTED_VALUE"""),2)</f>
        <v>2</v>
      </c>
      <c r="D678" s="5">
        <f ca="1">IFERROR(__xludf.DUMMYFUNCTION("""COMPUTED_VALUE"""),2020)</f>
        <v>2020</v>
      </c>
      <c r="E678" s="8">
        <f ca="1">IFERROR(__xludf.DUMMYFUNCTION("""COMPUTED_VALUE"""),44106)</f>
        <v>44106</v>
      </c>
      <c r="F678" s="5" t="str">
        <f ca="1">IFERROR(__xludf.DUMMYFUNCTION("""COMPUTED_VALUE"""),"Marple-Newtown School Bus")</f>
        <v>Marple-Newtown School Bus</v>
      </c>
      <c r="G678" s="5">
        <f ca="1">IFERROR(__xludf.DUMMYFUNCTION("""COMPUTED_VALUE"""),0)</f>
        <v>0</v>
      </c>
      <c r="H678" s="5">
        <f ca="1">IFERROR(__xludf.DUMMYFUNCTION("""COMPUTED_VALUE"""),0)</f>
        <v>0</v>
      </c>
      <c r="I678" s="5">
        <f ca="1">IFERROR(__xludf.DUMMYFUNCTION("""COMPUTED_VALUE"""),0)</f>
        <v>0</v>
      </c>
      <c r="J678" s="5">
        <f ca="1">IFERROR(__xludf.DUMMYFUNCTION("""COMPUTED_VALUE"""),0)</f>
        <v>0</v>
      </c>
      <c r="K678" s="9" t="str">
        <f ca="1">IFERROR(__xludf.DUMMYFUNCTION("""COMPUTED_VALUE"""),"https://www.mainlinemedianews.com/mainlinesuburbanlife/radnor-police-reports-shots-from-pellet-gun-hit-school-bus/article_a0646684-0c76-11eb-bae3-0702efefe48f.html")</f>
        <v>https://www.mainlinemedianews.com/mainlinesuburbanlife/radnor-police-reports-shots-from-pellet-gun-hit-school-bus/article_a0646684-0c76-11eb-bae3-0702efefe48f.html</v>
      </c>
      <c r="L678" s="5">
        <f ca="1">IFERROR(__xludf.DUMMYFUNCTION("""COMPUTED_VALUE"""),1)</f>
        <v>1</v>
      </c>
      <c r="M678" s="5" t="str">
        <f ca="1">IFERROR(__xludf.DUMMYFUNCTION("""COMPUTED_VALUE"""),"Local")</f>
        <v>Local</v>
      </c>
      <c r="N678" s="5">
        <f ca="1">IFERROR(__xludf.DUMMYFUNCTION("""COMPUTED_VALUE"""),3)</f>
        <v>3</v>
      </c>
      <c r="O678" s="5" t="str">
        <f ca="1">IFERROR(__xludf.DUMMYFUNCTION("""COMPUTED_VALUE"""),"Fall")</f>
        <v>Fall</v>
      </c>
      <c r="P678" s="5" t="str">
        <f ca="1">IFERROR(__xludf.DUMMYFUNCTION("""COMPUTED_VALUE"""),"Exton")</f>
        <v>Exton</v>
      </c>
      <c r="Q678" s="5" t="str">
        <f ca="1">IFERROR(__xludf.DUMMYFUNCTION("""COMPUTED_VALUE"""),"PA")</f>
        <v>PA</v>
      </c>
      <c r="R678" s="5"/>
      <c r="S678" s="5" t="str">
        <f ca="1">IFERROR(__xludf.DUMMYFUNCTION("""COMPUTED_VALUE"""),"School Bus")</f>
        <v>School Bus</v>
      </c>
      <c r="T678" s="5" t="str">
        <f ca="1">IFERROR(__xludf.DUMMYFUNCTION("""COMPUTED_VALUE"""),"School Bus")</f>
        <v>School Bus</v>
      </c>
      <c r="U678" s="5"/>
      <c r="V678" s="5"/>
      <c r="W678" s="5"/>
      <c r="X678" s="5">
        <f ca="1">IFERROR(__xludf.DUMMYFUNCTION("""COMPUTED_VALUE"""),1)</f>
        <v>1</v>
      </c>
      <c r="Y678" s="5" t="str">
        <f ca="1">IFERROR(__xludf.DUMMYFUNCTION("""COMPUTED_VALUE"""),"Multiple school bus windows shot while bus was driving on city street")</f>
        <v>Multiple school bus windows shot while bus was driving on city street</v>
      </c>
      <c r="Z678" s="5" t="str">
        <f ca="1">IFERROR(__xludf.DUMMYFUNCTION("""COMPUTED_VALUE"""),"Multiple bus windows were broken while the school bus was being driven on a city street. Police said a pellet gun was used. No other information available.")</f>
        <v>Multiple bus windows were broken while the school bus was being driven on a city street. Police said a pellet gun was used. No other information available.</v>
      </c>
      <c r="AA678" s="5" t="str">
        <f ca="1">IFERROR(__xludf.DUMMYFUNCTION("""COMPUTED_VALUE"""),"Intentional Property Damage")</f>
        <v>Intentional Property Damage</v>
      </c>
      <c r="AB678" s="5" t="str">
        <f ca="1">IFERROR(__xludf.DUMMYFUNCTION("""COMPUTED_VALUE"""),"Neither")</f>
        <v>Neither</v>
      </c>
      <c r="AC678" s="5"/>
      <c r="AD678" s="5" t="str">
        <f ca="1">IFERROR(__xludf.DUMMYFUNCTION("""COMPUTED_VALUE"""),"No")</f>
        <v>No</v>
      </c>
      <c r="AE678" s="5" t="str">
        <f ca="1">IFERROR(__xludf.DUMMYFUNCTION("""COMPUTED_VALUE"""),"No")</f>
        <v>No</v>
      </c>
      <c r="AF678" s="5" t="str">
        <f ca="1">IFERROR(__xludf.DUMMYFUNCTION("""COMPUTED_VALUE"""),"No")</f>
        <v>No</v>
      </c>
      <c r="AG678" s="5" t="str">
        <f ca="1">IFERROR(__xludf.DUMMYFUNCTION("""COMPUTED_VALUE"""),"No")</f>
        <v>No</v>
      </c>
      <c r="AH678" s="5" t="str">
        <f ca="1">IFERROR(__xludf.DUMMYFUNCTION("""COMPUTED_VALUE"""),"No")</f>
        <v>No</v>
      </c>
      <c r="AI678" s="5" t="str">
        <f ca="1">IFERROR(__xludf.DUMMYFUNCTION("""COMPUTED_VALUE"""),"No")</f>
        <v>No</v>
      </c>
      <c r="AJ678" s="5" t="str">
        <f ca="1">IFERROR(__xludf.DUMMYFUNCTION("""COMPUTED_VALUE"""),"No")</f>
        <v>No</v>
      </c>
    </row>
    <row r="679" spans="1:36" ht="13">
      <c r="A679" s="5" t="str">
        <f ca="1">IFERROR(__xludf.DUMMYFUNCTION("""COMPUTED_VALUE"""),"20200930CADYL")</f>
        <v>20200930CADYL</v>
      </c>
      <c r="B679" s="5">
        <f ca="1">IFERROR(__xludf.DUMMYFUNCTION("""COMPUTED_VALUE"""),9)</f>
        <v>9</v>
      </c>
      <c r="C679" s="5">
        <f ca="1">IFERROR(__xludf.DUMMYFUNCTION("""COMPUTED_VALUE"""),30)</f>
        <v>30</v>
      </c>
      <c r="D679" s="5">
        <f ca="1">IFERROR(__xludf.DUMMYFUNCTION("""COMPUTED_VALUE"""),2020)</f>
        <v>2020</v>
      </c>
      <c r="E679" s="8">
        <f ca="1">IFERROR(__xludf.DUMMYFUNCTION("""COMPUTED_VALUE"""),44104)</f>
        <v>44104</v>
      </c>
      <c r="F679" s="5" t="str">
        <f ca="1">IFERROR(__xludf.DUMMYFUNCTION("""COMPUTED_VALUE"""),"Dymally High School")</f>
        <v>Dymally High School</v>
      </c>
      <c r="G679" s="5">
        <f ca="1">IFERROR(__xludf.DUMMYFUNCTION("""COMPUTED_VALUE"""),0)</f>
        <v>0</v>
      </c>
      <c r="H679" s="5">
        <f ca="1">IFERROR(__xludf.DUMMYFUNCTION("""COMPUTED_VALUE"""),2)</f>
        <v>2</v>
      </c>
      <c r="I679" s="5">
        <f ca="1">IFERROR(__xludf.DUMMYFUNCTION("""COMPUTED_VALUE"""),2)</f>
        <v>2</v>
      </c>
      <c r="J679" s="5">
        <f ca="1">IFERROR(__xludf.DUMMYFUNCTION("""COMPUTED_VALUE"""),0)</f>
        <v>0</v>
      </c>
      <c r="K679" s="5" t="str">
        <f ca="1">IFERROR(__xludf.DUMMYFUNCTION("""COMPUTED_VALUE"""),"https://losangeles.cbslocal.com/2020/10/01/police-investigating-alleged-murder-of-westlake-high-school-football-star/ https://twitter.com/LASchoolPolice/status/1311442378075512832?s=20 https://www.instagram.com/p/CFxzvZOF416/?igshid=121a92bhc4dbt https://"&amp;"patch.com/california/los-angeles/shooting-forces-dymally-high-school-lockdown-2-wounded")</f>
        <v>https://losangeles.cbslocal.com/2020/10/01/police-investigating-alleged-murder-of-westlake-high-school-football-star/ https://twitter.com/LASchoolPolice/status/1311442378075512832?s=20 https://www.instagram.com/p/CFxzvZOF416/?igshid=121a92bhc4dbt https://patch.com/california/los-angeles/shooting-forces-dymally-high-school-lockdown-2-wounded</v>
      </c>
      <c r="L679" s="5">
        <f ca="1">IFERROR(__xludf.DUMMYFUNCTION("""COMPUTED_VALUE"""),1)</f>
        <v>1</v>
      </c>
      <c r="M679" s="5" t="str">
        <f ca="1">IFERROR(__xludf.DUMMYFUNCTION("""COMPUTED_VALUE"""),"Local")</f>
        <v>Local</v>
      </c>
      <c r="N679" s="5">
        <f ca="1">IFERROR(__xludf.DUMMYFUNCTION("""COMPUTED_VALUE"""),4)</f>
        <v>4</v>
      </c>
      <c r="O679" s="5" t="str">
        <f ca="1">IFERROR(__xludf.DUMMYFUNCTION("""COMPUTED_VALUE"""),"Fall")</f>
        <v>Fall</v>
      </c>
      <c r="P679" s="5" t="str">
        <f ca="1">IFERROR(__xludf.DUMMYFUNCTION("""COMPUTED_VALUE"""),"Los Angeles")</f>
        <v>Los Angeles</v>
      </c>
      <c r="Q679" s="5" t="str">
        <f ca="1">IFERROR(__xludf.DUMMYFUNCTION("""COMPUTED_VALUE"""),"CA")</f>
        <v>CA</v>
      </c>
      <c r="R679" s="5" t="str">
        <f ca="1">IFERROR(__xludf.DUMMYFUNCTION("""COMPUTED_VALUE"""),"High")</f>
        <v>High</v>
      </c>
      <c r="S679" s="5" t="str">
        <f ca="1">IFERROR(__xludf.DUMMYFUNCTION("""COMPUTED_VALUE"""),"Front of School")</f>
        <v>Front of School</v>
      </c>
      <c r="T679" s="5" t="str">
        <f ca="1">IFERROR(__xludf.DUMMYFUNCTION("""COMPUTED_VALUE"""),"Outside on School Property")</f>
        <v>Outside on School Property</v>
      </c>
      <c r="U679" s="5" t="str">
        <f ca="1">IFERROR(__xludf.DUMMYFUNCTION("""COMPUTED_VALUE"""),"Yes")</f>
        <v>Yes</v>
      </c>
      <c r="V679" s="5" t="str">
        <f ca="1">IFERROR(__xludf.DUMMYFUNCTION("""COMPUTED_VALUE"""),"Afternoon Classes")</f>
        <v>Afternoon Classes</v>
      </c>
      <c r="W679" s="5"/>
      <c r="X679" s="5">
        <f ca="1">IFERROR(__xludf.DUMMYFUNCTION("""COMPUTED_VALUE"""),1)</f>
        <v>1</v>
      </c>
      <c r="Y679" s="5" t="str">
        <f ca="1">IFERROR(__xludf.DUMMYFUNCTION("""COMPUTED_VALUE"""),"Two men were shot in front of the school")</f>
        <v>Two men were shot in front of the school</v>
      </c>
      <c r="Z679" s="5" t="str">
        <f ca="1">IFERROR(__xludf.DUMMYFUNCTION("""COMPUTED_VALUE"""),"LA School Police assigned to the building responded to two men shot (one was a 18 year-old male student) in front of the school. Staff and students in the building were locked down. School police provided first aid to both victims who were not students. N"&amp;"o further information about the shooter or motive provided.")</f>
        <v>LA School Police assigned to the building responded to two men shot (one was a 18 year-old male student) in front of the school. Staff and students in the building were locked down. School police provided first aid to both victims who were not students. No further information about the shooter or motive provided.</v>
      </c>
      <c r="AA679" s="5"/>
      <c r="AB679" s="5" t="str">
        <f ca="1">IFERROR(__xludf.DUMMYFUNCTION("""COMPUTED_VALUE"""),"Victims Targeted")</f>
        <v>Victims Targeted</v>
      </c>
      <c r="AC679" s="5"/>
      <c r="AD679" s="5" t="str">
        <f ca="1">IFERROR(__xludf.DUMMYFUNCTION("""COMPUTED_VALUE"""),"No")</f>
        <v>No</v>
      </c>
      <c r="AE679" s="5" t="str">
        <f ca="1">IFERROR(__xludf.DUMMYFUNCTION("""COMPUTED_VALUE"""),"No")</f>
        <v>No</v>
      </c>
      <c r="AF679" s="5" t="str">
        <f ca="1">IFERROR(__xludf.DUMMYFUNCTION("""COMPUTED_VALUE"""),"No")</f>
        <v>No</v>
      </c>
      <c r="AG679" s="5" t="str">
        <f ca="1">IFERROR(__xludf.DUMMYFUNCTION("""COMPUTED_VALUE"""),"No")</f>
        <v>No</v>
      </c>
      <c r="AH679" s="5" t="str">
        <f ca="1">IFERROR(__xludf.DUMMYFUNCTION("""COMPUTED_VALUE"""),"No")</f>
        <v>No</v>
      </c>
      <c r="AI679" s="5"/>
      <c r="AJ679" s="5" t="str">
        <f ca="1">IFERROR(__xludf.DUMMYFUNCTION("""COMPUTED_VALUE"""),"No")</f>
        <v>No</v>
      </c>
    </row>
    <row r="680" spans="1:36" ht="13">
      <c r="A680" s="5" t="str">
        <f ca="1">IFERROR(__xludf.DUMMYFUNCTION("""COMPUTED_VALUE"""),"20200928CTEAN")</f>
        <v>20200928CTEAN</v>
      </c>
      <c r="B680" s="5">
        <f ca="1">IFERROR(__xludf.DUMMYFUNCTION("""COMPUTED_VALUE"""),9)</f>
        <v>9</v>
      </c>
      <c r="C680" s="5">
        <f ca="1">IFERROR(__xludf.DUMMYFUNCTION("""COMPUTED_VALUE"""),28)</f>
        <v>28</v>
      </c>
      <c r="D680" s="5">
        <f ca="1">IFERROR(__xludf.DUMMYFUNCTION("""COMPUTED_VALUE"""),2020)</f>
        <v>2020</v>
      </c>
      <c r="E680" s="8">
        <f ca="1">IFERROR(__xludf.DUMMYFUNCTION("""COMPUTED_VALUE"""),44102)</f>
        <v>44102</v>
      </c>
      <c r="F680" s="5" t="str">
        <f ca="1">IFERROR(__xludf.DUMMYFUNCTION("""COMPUTED_VALUE"""),"East Rock Community Magnet School")</f>
        <v>East Rock Community Magnet School</v>
      </c>
      <c r="G680" s="5">
        <f ca="1">IFERROR(__xludf.DUMMYFUNCTION("""COMPUTED_VALUE"""),0)</f>
        <v>0</v>
      </c>
      <c r="H680" s="5">
        <f ca="1">IFERROR(__xludf.DUMMYFUNCTION("""COMPUTED_VALUE"""),1)</f>
        <v>1</v>
      </c>
      <c r="I680" s="5">
        <f ca="1">IFERROR(__xludf.DUMMYFUNCTION("""COMPUTED_VALUE"""),1)</f>
        <v>1</v>
      </c>
      <c r="J680" s="5">
        <f ca="1">IFERROR(__xludf.DUMMYFUNCTION("""COMPUTED_VALUE"""),0)</f>
        <v>0</v>
      </c>
      <c r="K680" s="5" t="str">
        <f ca="1">IFERROR(__xludf.DUMMYFUNCTION("""COMPUTED_VALUE"""),"https://www.nbcconnecticut.com/news/local/18-year-old-man-injured-in-new-haven-shooting/2338391/ https://www.fox61.com/article/news/local/new-haven-police-investigate-east-rock-shooting-that-injured-1/520-aeeaf359-78fa-429a-8798-534d5bf1b4d4")</f>
        <v>https://www.nbcconnecticut.com/news/local/18-year-old-man-injured-in-new-haven-shooting/2338391/ https://www.fox61.com/article/news/local/new-haven-police-investigate-east-rock-shooting-that-injured-1/520-aeeaf359-78fa-429a-8798-534d5bf1b4d4</v>
      </c>
      <c r="L680" s="5">
        <f ca="1">IFERROR(__xludf.DUMMYFUNCTION("""COMPUTED_VALUE"""),2)</f>
        <v>2</v>
      </c>
      <c r="M680" s="5" t="str">
        <f ca="1">IFERROR(__xludf.DUMMYFUNCTION("""COMPUTED_VALUE"""),"Local")</f>
        <v>Local</v>
      </c>
      <c r="N680" s="5">
        <f ca="1">IFERROR(__xludf.DUMMYFUNCTION("""COMPUTED_VALUE"""),3)</f>
        <v>3</v>
      </c>
      <c r="O680" s="5" t="str">
        <f ca="1">IFERROR(__xludf.DUMMYFUNCTION("""COMPUTED_VALUE"""),"Fall")</f>
        <v>Fall</v>
      </c>
      <c r="P680" s="5" t="str">
        <f ca="1">IFERROR(__xludf.DUMMYFUNCTION("""COMPUTED_VALUE"""),"New Haven")</f>
        <v>New Haven</v>
      </c>
      <c r="Q680" s="5" t="str">
        <f ca="1">IFERROR(__xludf.DUMMYFUNCTION("""COMPUTED_VALUE"""),"CT")</f>
        <v>CT</v>
      </c>
      <c r="R680" s="5" t="str">
        <f ca="1">IFERROR(__xludf.DUMMYFUNCTION("""COMPUTED_VALUE"""),"K-8")</f>
        <v>K-8</v>
      </c>
      <c r="S680" s="5" t="str">
        <f ca="1">IFERROR(__xludf.DUMMYFUNCTION("""COMPUTED_VALUE"""),"Beside Building")</f>
        <v>Beside Building</v>
      </c>
      <c r="T680" s="5" t="str">
        <f ca="1">IFERROR(__xludf.DUMMYFUNCTION("""COMPUTED_VALUE"""),"Outside on School Property")</f>
        <v>Outside on School Property</v>
      </c>
      <c r="U680" s="5" t="str">
        <f ca="1">IFERROR(__xludf.DUMMYFUNCTION("""COMPUTED_VALUE"""),"No")</f>
        <v>No</v>
      </c>
      <c r="V680" s="5" t="str">
        <f ca="1">IFERROR(__xludf.DUMMYFUNCTION("""COMPUTED_VALUE"""),"Before School")</f>
        <v>Before School</v>
      </c>
      <c r="W680" s="10">
        <f ca="1">IFERROR(__xludf.DUMMYFUNCTION("""COMPUTED_VALUE"""),0.259027777777777)</f>
        <v>0.25902777777777702</v>
      </c>
      <c r="X680" s="5">
        <f ca="1">IFERROR(__xludf.DUMMYFUNCTION("""COMPUTED_VALUE"""),1)</f>
        <v>1</v>
      </c>
      <c r="Y680" s="5" t="str">
        <f ca="1">IFERROR(__xludf.DUMMYFUNCTION("""COMPUTED_VALUE"""),"Man shot next to school building")</f>
        <v>Man shot next to school building</v>
      </c>
      <c r="Z680" s="5" t="str">
        <f ca="1">IFERROR(__xludf.DUMMYFUNCTION("""COMPUTED_VALUE"""),"Police responded for a call of multiple shots fired. Officers found an 18 year-old male wounded next to the school. Shooter fled the scene. School is closed for COVID-19. No information about motive. A vehicle parked in the street was also struck by the g"&amp;"unfire.")</f>
        <v>Police responded for a call of multiple shots fired. Officers found an 18 year-old male wounded next to the school. Shooter fled the scene. School is closed for COVID-19. No information about motive. A vehicle parked in the street was also struck by the gunfire.</v>
      </c>
      <c r="AA680" s="5"/>
      <c r="AB680" s="5" t="str">
        <f ca="1">IFERROR(__xludf.DUMMYFUNCTION("""COMPUTED_VALUE"""),"Victims Targeted")</f>
        <v>Victims Targeted</v>
      </c>
      <c r="AC680" s="5"/>
      <c r="AD680" s="5" t="str">
        <f ca="1">IFERROR(__xludf.DUMMYFUNCTION("""COMPUTED_VALUE"""),"No")</f>
        <v>No</v>
      </c>
      <c r="AE680" s="5" t="str">
        <f ca="1">IFERROR(__xludf.DUMMYFUNCTION("""COMPUTED_VALUE"""),"No")</f>
        <v>No</v>
      </c>
      <c r="AF680" s="5" t="str">
        <f ca="1">IFERROR(__xludf.DUMMYFUNCTION("""COMPUTED_VALUE"""),"No")</f>
        <v>No</v>
      </c>
      <c r="AG680" s="5" t="str">
        <f ca="1">IFERROR(__xludf.DUMMYFUNCTION("""COMPUTED_VALUE"""),"No")</f>
        <v>No</v>
      </c>
      <c r="AH680" s="5" t="str">
        <f ca="1">IFERROR(__xludf.DUMMYFUNCTION("""COMPUTED_VALUE"""),"No")</f>
        <v>No</v>
      </c>
      <c r="AI680" s="5"/>
      <c r="AJ680" s="5" t="str">
        <f ca="1">IFERROR(__xludf.DUMMYFUNCTION("""COMPUTED_VALUE"""),"No")</f>
        <v>No</v>
      </c>
    </row>
    <row r="681" spans="1:36" ht="13">
      <c r="A681" s="5" t="str">
        <f ca="1">IFERROR(__xludf.DUMMYFUNCTION("""COMPUTED_VALUE"""),"20200925NJHAH")</f>
        <v>20200925NJHAH</v>
      </c>
      <c r="B681" s="5">
        <f ca="1">IFERROR(__xludf.DUMMYFUNCTION("""COMPUTED_VALUE"""),9)</f>
        <v>9</v>
      </c>
      <c r="C681" s="5">
        <f ca="1">IFERROR(__xludf.DUMMYFUNCTION("""COMPUTED_VALUE"""),25)</f>
        <v>25</v>
      </c>
      <c r="D681" s="5">
        <f ca="1">IFERROR(__xludf.DUMMYFUNCTION("""COMPUTED_VALUE"""),2020)</f>
        <v>2020</v>
      </c>
      <c r="E681" s="8">
        <f ca="1">IFERROR(__xludf.DUMMYFUNCTION("""COMPUTED_VALUE"""),44099)</f>
        <v>44099</v>
      </c>
      <c r="F681" s="5" t="str">
        <f ca="1">IFERROR(__xludf.DUMMYFUNCTION("""COMPUTED_VALUE"""),"Haledon Public School")</f>
        <v>Haledon Public School</v>
      </c>
      <c r="G681" s="5">
        <f ca="1">IFERROR(__xludf.DUMMYFUNCTION("""COMPUTED_VALUE"""),0)</f>
        <v>0</v>
      </c>
      <c r="H681" s="5">
        <f ca="1">IFERROR(__xludf.DUMMYFUNCTION("""COMPUTED_VALUE"""),1)</f>
        <v>1</v>
      </c>
      <c r="I681" s="5">
        <f ca="1">IFERROR(__xludf.DUMMYFUNCTION("""COMPUTED_VALUE"""),1)</f>
        <v>1</v>
      </c>
      <c r="J681" s="5">
        <f ca="1">IFERROR(__xludf.DUMMYFUNCTION("""COMPUTED_VALUE"""),0)</f>
        <v>0</v>
      </c>
      <c r="K681" s="5" t="str">
        <f ca="1">IFERROR(__xludf.DUMMYFUNCTION("""COMPUTED_VALUE"""),"https://patersontimes.com/2020/09/26/long-branch-man-wounded-in-paterson-shooting/ https://www.northjersey.com/picture-gallery/news/passaic/2020/09/26/shooting-victim-found-near-haledon-nj-school-police-investigate/3538699001/")</f>
        <v>https://patersontimes.com/2020/09/26/long-branch-man-wounded-in-paterson-shooting/ https://www.northjersey.com/picture-gallery/news/passaic/2020/09/26/shooting-victim-found-near-haledon-nj-school-police-investigate/3538699001/</v>
      </c>
      <c r="L681" s="5">
        <f ca="1">IFERROR(__xludf.DUMMYFUNCTION("""COMPUTED_VALUE"""),2)</f>
        <v>2</v>
      </c>
      <c r="M681" s="5" t="str">
        <f ca="1">IFERROR(__xludf.DUMMYFUNCTION("""COMPUTED_VALUE"""),"Local")</f>
        <v>Local</v>
      </c>
      <c r="N681" s="5">
        <f ca="1">IFERROR(__xludf.DUMMYFUNCTION("""COMPUTED_VALUE"""),3)</f>
        <v>3</v>
      </c>
      <c r="O681" s="5" t="str">
        <f ca="1">IFERROR(__xludf.DUMMYFUNCTION("""COMPUTED_VALUE"""),"Fall")</f>
        <v>Fall</v>
      </c>
      <c r="P681" s="5" t="str">
        <f ca="1">IFERROR(__xludf.DUMMYFUNCTION("""COMPUTED_VALUE"""),"Haledon")</f>
        <v>Haledon</v>
      </c>
      <c r="Q681" s="5" t="str">
        <f ca="1">IFERROR(__xludf.DUMMYFUNCTION("""COMPUTED_VALUE"""),"NJ")</f>
        <v>NJ</v>
      </c>
      <c r="R681" s="5" t="str">
        <f ca="1">IFERROR(__xludf.DUMMYFUNCTION("""COMPUTED_VALUE"""),"K-8")</f>
        <v>K-8</v>
      </c>
      <c r="S681" s="5" t="str">
        <f ca="1">IFERROR(__xludf.DUMMYFUNCTION("""COMPUTED_VALUE"""),"Beside Building")</f>
        <v>Beside Building</v>
      </c>
      <c r="T681" s="5" t="str">
        <f ca="1">IFERROR(__xludf.DUMMYFUNCTION("""COMPUTED_VALUE"""),"Outside on School Property")</f>
        <v>Outside on School Property</v>
      </c>
      <c r="U681" s="5" t="str">
        <f ca="1">IFERROR(__xludf.DUMMYFUNCTION("""COMPUTED_VALUE"""),"No")</f>
        <v>No</v>
      </c>
      <c r="V681" s="5" t="str">
        <f ca="1">IFERROR(__xludf.DUMMYFUNCTION("""COMPUTED_VALUE"""),"Evening")</f>
        <v>Evening</v>
      </c>
      <c r="W681" s="10">
        <f ca="1">IFERROR(__xludf.DUMMYFUNCTION("""COMPUTED_VALUE"""),0.797222222222222)</f>
        <v>0.79722222222222205</v>
      </c>
      <c r="X681" s="5">
        <f ca="1">IFERROR(__xludf.DUMMYFUNCTION("""COMPUTED_VALUE"""),1)</f>
        <v>1</v>
      </c>
      <c r="Y681" s="5" t="str">
        <f ca="1">IFERROR(__xludf.DUMMYFUNCTION("""COMPUTED_VALUE"""),"Shooting victim found beside school building")</f>
        <v>Shooting victim found beside school building</v>
      </c>
      <c r="Z681" s="5" t="str">
        <f ca="1">IFERROR(__xludf.DUMMYFUNCTION("""COMPUTED_VALUE"""),"41 year-old male shooting victim was found beside school building. Transported the hospital and survived. No other information available.")</f>
        <v>41 year-old male shooting victim was found beside school building. Transported the hospital and survived. No other information available.</v>
      </c>
      <c r="AA681" s="5"/>
      <c r="AB681" s="5"/>
      <c r="AC681" s="5"/>
      <c r="AD681" s="5" t="str">
        <f ca="1">IFERROR(__xludf.DUMMYFUNCTION("""COMPUTED_VALUE"""),"No")</f>
        <v>No</v>
      </c>
      <c r="AE681" s="5" t="str">
        <f ca="1">IFERROR(__xludf.DUMMYFUNCTION("""COMPUTED_VALUE"""),"No")</f>
        <v>No</v>
      </c>
      <c r="AF681" s="5" t="str">
        <f ca="1">IFERROR(__xludf.DUMMYFUNCTION("""COMPUTED_VALUE"""),"No")</f>
        <v>No</v>
      </c>
      <c r="AG681" s="5" t="str">
        <f ca="1">IFERROR(__xludf.DUMMYFUNCTION("""COMPUTED_VALUE"""),"No")</f>
        <v>No</v>
      </c>
      <c r="AH681" s="5"/>
      <c r="AI681" s="5"/>
      <c r="AJ681" s="5" t="str">
        <f ca="1">IFERROR(__xludf.DUMMYFUNCTION("""COMPUTED_VALUE"""),"No")</f>
        <v>No</v>
      </c>
    </row>
    <row r="682" spans="1:36" ht="13">
      <c r="A682" s="5" t="str">
        <f ca="1">IFERROR(__xludf.DUMMYFUNCTION("""COMPUTED_VALUE"""),"20200925ILROR")</f>
        <v>20200925ILROR</v>
      </c>
      <c r="B682" s="5">
        <f ca="1">IFERROR(__xludf.DUMMYFUNCTION("""COMPUTED_VALUE"""),9)</f>
        <v>9</v>
      </c>
      <c r="C682" s="5">
        <f ca="1">IFERROR(__xludf.DUMMYFUNCTION("""COMPUTED_VALUE"""),25)</f>
        <v>25</v>
      </c>
      <c r="D682" s="5">
        <f ca="1">IFERROR(__xludf.DUMMYFUNCTION("""COMPUTED_VALUE"""),2020)</f>
        <v>2020</v>
      </c>
      <c r="E682" s="8">
        <f ca="1">IFERROR(__xludf.DUMMYFUNCTION("""COMPUTED_VALUE"""),44099)</f>
        <v>44099</v>
      </c>
      <c r="F682" s="5" t="str">
        <f ca="1">IFERROR(__xludf.DUMMYFUNCTION("""COMPUTED_VALUE"""),"Rock Island Academy")</f>
        <v>Rock Island Academy</v>
      </c>
      <c r="G682" s="5">
        <f ca="1">IFERROR(__xludf.DUMMYFUNCTION("""COMPUTED_VALUE"""),0)</f>
        <v>0</v>
      </c>
      <c r="H682" s="5">
        <f ca="1">IFERROR(__xludf.DUMMYFUNCTION("""COMPUTED_VALUE"""),0)</f>
        <v>0</v>
      </c>
      <c r="I682" s="5">
        <f ca="1">IFERROR(__xludf.DUMMYFUNCTION("""COMPUTED_VALUE"""),0)</f>
        <v>0</v>
      </c>
      <c r="J682" s="5">
        <f ca="1">IFERROR(__xludf.DUMMYFUNCTION("""COMPUTED_VALUE"""),0)</f>
        <v>0</v>
      </c>
      <c r="K682" s="9" t="str">
        <f ca="1">IFERROR(__xludf.DUMMYFUNCTION("""COMPUTED_VALUE"""),"https://www.kwqc.com/2020/09/27/police-man-found-in-school-stairwell-and-arrested-after-shooting-friday-night/")</f>
        <v>https://www.kwqc.com/2020/09/27/police-man-found-in-school-stairwell-and-arrested-after-shooting-friday-night/</v>
      </c>
      <c r="L682" s="5">
        <f ca="1">IFERROR(__xludf.DUMMYFUNCTION("""COMPUTED_VALUE"""),1)</f>
        <v>1</v>
      </c>
      <c r="M682" s="5" t="str">
        <f ca="1">IFERROR(__xludf.DUMMYFUNCTION("""COMPUTED_VALUE"""),"Local")</f>
        <v>Local</v>
      </c>
      <c r="N682" s="5">
        <f ca="1">IFERROR(__xludf.DUMMYFUNCTION("""COMPUTED_VALUE"""),3)</f>
        <v>3</v>
      </c>
      <c r="O682" s="5" t="str">
        <f ca="1">IFERROR(__xludf.DUMMYFUNCTION("""COMPUTED_VALUE"""),"Fall")</f>
        <v>Fall</v>
      </c>
      <c r="P682" s="5" t="str">
        <f ca="1">IFERROR(__xludf.DUMMYFUNCTION("""COMPUTED_VALUE"""),"Rock Island")</f>
        <v>Rock Island</v>
      </c>
      <c r="Q682" s="5" t="str">
        <f ca="1">IFERROR(__xludf.DUMMYFUNCTION("""COMPUTED_VALUE"""),"IL")</f>
        <v>IL</v>
      </c>
      <c r="R682" s="5" t="str">
        <f ca="1">IFERROR(__xludf.DUMMYFUNCTION("""COMPUTED_VALUE"""),"Elementary")</f>
        <v>Elementary</v>
      </c>
      <c r="S682" s="5" t="str">
        <f ca="1">IFERROR(__xludf.DUMMYFUNCTION("""COMPUTED_VALUE"""),"Hallway")</f>
        <v>Hallway</v>
      </c>
      <c r="T682" s="5" t="str">
        <f ca="1">IFERROR(__xludf.DUMMYFUNCTION("""COMPUTED_VALUE"""),"Inside School Building")</f>
        <v>Inside School Building</v>
      </c>
      <c r="U682" s="5" t="str">
        <f ca="1">IFERROR(__xludf.DUMMYFUNCTION("""COMPUTED_VALUE"""),"No")</f>
        <v>No</v>
      </c>
      <c r="V682" s="5"/>
      <c r="W682" s="10">
        <f ca="1">IFERROR(__xludf.DUMMYFUNCTION("""COMPUTED_VALUE"""),0.958333333333333)</f>
        <v>0.95833333333333304</v>
      </c>
      <c r="X682" s="5">
        <f ca="1">IFERROR(__xludf.DUMMYFUNCTION("""COMPUTED_VALUE"""),1)</f>
        <v>1</v>
      </c>
      <c r="Y682" s="5" t="str">
        <f ca="1">IFERROR(__xludf.DUMMYFUNCTION("""COMPUTED_VALUE"""),"Armed man fled from police into the school where he was arrested")</f>
        <v>Armed man fled from police into the school where he was arrested</v>
      </c>
      <c r="Z682" s="5" t="str">
        <f ca="1">IFERROR(__xludf.DUMMYFUNCTION("""COMPUTED_VALUE"""),"Police responded to 9-1-1 calls for shots fired and saw an adult male running from the shooting scene. Officers chased the man and he ran into the school building. Police found him with a loaded handgun in the school's stairwell. Arrested and charged with"&amp;" a felony.")</f>
        <v>Police responded to 9-1-1 calls for shots fired and saw an adult male running from the shooting scene. Officers chased the man and he ran into the school building. Police found him with a loaded handgun in the school's stairwell. Arrested and charged with a felony.</v>
      </c>
      <c r="AA682" s="5"/>
      <c r="AB682" s="5"/>
      <c r="AC682" s="5" t="str">
        <f ca="1">IFERROR(__xludf.DUMMYFUNCTION("""COMPUTED_VALUE"""),"No")</f>
        <v>No</v>
      </c>
      <c r="AD682" s="5"/>
      <c r="AE682" s="5" t="str">
        <f ca="1">IFERROR(__xludf.DUMMYFUNCTION("""COMPUTED_VALUE"""),"No")</f>
        <v>No</v>
      </c>
      <c r="AF682" s="5" t="str">
        <f ca="1">IFERROR(__xludf.DUMMYFUNCTION("""COMPUTED_VALUE"""),"No")</f>
        <v>No</v>
      </c>
      <c r="AG682" s="5" t="str">
        <f ca="1">IFERROR(__xludf.DUMMYFUNCTION("""COMPUTED_VALUE"""),"No")</f>
        <v>No</v>
      </c>
      <c r="AH682" s="5" t="str">
        <f ca="1">IFERROR(__xludf.DUMMYFUNCTION("""COMPUTED_VALUE"""),"No")</f>
        <v>No</v>
      </c>
      <c r="AI682" s="5"/>
      <c r="AJ682" s="5" t="str">
        <f ca="1">IFERROR(__xludf.DUMMYFUNCTION("""COMPUTED_VALUE"""),"No")</f>
        <v>No</v>
      </c>
    </row>
    <row r="683" spans="1:36" ht="13">
      <c r="A683" s="5" t="str">
        <f ca="1">IFERROR(__xludf.DUMMYFUNCTION("""COMPUTED_VALUE"""),"20200924ILMCS")</f>
        <v>20200924ILMCS</v>
      </c>
      <c r="B683" s="5">
        <f ca="1">IFERROR(__xludf.DUMMYFUNCTION("""COMPUTED_VALUE"""),9)</f>
        <v>9</v>
      </c>
      <c r="C683" s="5">
        <f ca="1">IFERROR(__xludf.DUMMYFUNCTION("""COMPUTED_VALUE"""),24)</f>
        <v>24</v>
      </c>
      <c r="D683" s="5">
        <f ca="1">IFERROR(__xludf.DUMMYFUNCTION("""COMPUTED_VALUE"""),2020)</f>
        <v>2020</v>
      </c>
      <c r="E683" s="8">
        <f ca="1">IFERROR(__xludf.DUMMYFUNCTION("""COMPUTED_VALUE"""),44098)</f>
        <v>44098</v>
      </c>
      <c r="F683" s="5" t="str">
        <f ca="1">IFERROR(__xludf.DUMMYFUNCTION("""COMPUTED_VALUE"""),"McClernand Elementary School")</f>
        <v>McClernand Elementary School</v>
      </c>
      <c r="G683" s="5">
        <f ca="1">IFERROR(__xludf.DUMMYFUNCTION("""COMPUTED_VALUE"""),0)</f>
        <v>0</v>
      </c>
      <c r="H683" s="5">
        <f ca="1">IFERROR(__xludf.DUMMYFUNCTION("""COMPUTED_VALUE"""),0)</f>
        <v>0</v>
      </c>
      <c r="I683" s="5">
        <f ca="1">IFERROR(__xludf.DUMMYFUNCTION("""COMPUTED_VALUE"""),0)</f>
        <v>0</v>
      </c>
      <c r="J683" s="5">
        <f ca="1">IFERROR(__xludf.DUMMYFUNCTION("""COMPUTED_VALUE"""),0)</f>
        <v>0</v>
      </c>
      <c r="K683" s="9" t="str">
        <f ca="1">IFERROR(__xludf.DUMMYFUNCTION("""COMPUTED_VALUE"""),"https://newschannel20.com/news/local/man-elementary-school-window-shot-by-bb-gun")</f>
        <v>https://newschannel20.com/news/local/man-elementary-school-window-shot-by-bb-gun</v>
      </c>
      <c r="L683" s="5">
        <f ca="1">IFERROR(__xludf.DUMMYFUNCTION("""COMPUTED_VALUE"""),1)</f>
        <v>1</v>
      </c>
      <c r="M683" s="5" t="str">
        <f ca="1">IFERROR(__xludf.DUMMYFUNCTION("""COMPUTED_VALUE"""),"Local")</f>
        <v>Local</v>
      </c>
      <c r="N683" s="5">
        <f ca="1">IFERROR(__xludf.DUMMYFUNCTION("""COMPUTED_VALUE"""),3)</f>
        <v>3</v>
      </c>
      <c r="O683" s="5" t="str">
        <f ca="1">IFERROR(__xludf.DUMMYFUNCTION("""COMPUTED_VALUE"""),"Fall")</f>
        <v>Fall</v>
      </c>
      <c r="P683" s="5" t="str">
        <f ca="1">IFERROR(__xludf.DUMMYFUNCTION("""COMPUTED_VALUE"""),"Springfield")</f>
        <v>Springfield</v>
      </c>
      <c r="Q683" s="5" t="str">
        <f ca="1">IFERROR(__xludf.DUMMYFUNCTION("""COMPUTED_VALUE"""),"IL")</f>
        <v>IL</v>
      </c>
      <c r="R683" s="5" t="str">
        <f ca="1">IFERROR(__xludf.DUMMYFUNCTION("""COMPUTED_VALUE"""),"Elementary")</f>
        <v>Elementary</v>
      </c>
      <c r="S683" s="5" t="str">
        <f ca="1">IFERROR(__xludf.DUMMYFUNCTION("""COMPUTED_VALUE"""),"Beside Building")</f>
        <v>Beside Building</v>
      </c>
      <c r="T683" s="5" t="str">
        <f ca="1">IFERROR(__xludf.DUMMYFUNCTION("""COMPUTED_VALUE"""),"Outside on School Property")</f>
        <v>Outside on School Property</v>
      </c>
      <c r="U683" s="5" t="str">
        <f ca="1">IFERROR(__xludf.DUMMYFUNCTION("""COMPUTED_VALUE"""),"Yes")</f>
        <v>Yes</v>
      </c>
      <c r="V683" s="5" t="str">
        <f ca="1">IFERROR(__xludf.DUMMYFUNCTION("""COMPUTED_VALUE"""),"Afternoon Classes")</f>
        <v>Afternoon Classes</v>
      </c>
      <c r="W683" s="10">
        <f ca="1">IFERROR(__xludf.DUMMYFUNCTION("""COMPUTED_VALUE"""),0.522916666666666)</f>
        <v>0.52291666666666603</v>
      </c>
      <c r="X683" s="5"/>
      <c r="Y683" s="5" t="str">
        <f ca="1">IFERROR(__xludf.DUMMYFUNCTION("""COMPUTED_VALUE"""),"Man fired shot that broke window then walked past classroom with BB gun")</f>
        <v>Man fired shot that broke window then walked past classroom with BB gun</v>
      </c>
      <c r="Z683" s="5" t="str">
        <f ca="1">IFERROR(__xludf.DUMMYFUNCTION("""COMPUTED_VALUE"""),"Police received a report of a BB gun near the school. A window was shot out of the school. Police said there were people inside the school at the time. Police were also called by a person who lives on the same block as the school who said he was shot in t"&amp;"he back with what he believed to be a BB. A teacher said they saw someone in the background of a Zoom class with a black gun, which ended up being a BB gun. 2 juveniles and an 18 year-old were arrested.")</f>
        <v>Police received a report of a BB gun near the school. A window was shot out of the school. Police said there were people inside the school at the time. Police were also called by a person who lives on the same block as the school who said he was shot in the back with what he believed to be a BB. A teacher said they saw someone in the background of a Zoom class with a black gun, which ended up being a BB gun. 2 juveniles and an 18 year-old were arrested.</v>
      </c>
      <c r="AA683" s="5" t="str">
        <f ca="1">IFERROR(__xludf.DUMMYFUNCTION("""COMPUTED_VALUE"""),"Intentional Property Damage")</f>
        <v>Intentional Property Damage</v>
      </c>
      <c r="AB683" s="5" t="str">
        <f ca="1">IFERROR(__xludf.DUMMYFUNCTION("""COMPUTED_VALUE"""),"Neither")</f>
        <v>Neither</v>
      </c>
      <c r="AC683" s="5" t="str">
        <f ca="1">IFERROR(__xludf.DUMMYFUNCTION("""COMPUTED_VALUE"""),"No")</f>
        <v>No</v>
      </c>
      <c r="AD683" s="5" t="str">
        <f ca="1">IFERROR(__xludf.DUMMYFUNCTION("""COMPUTED_VALUE"""),"No")</f>
        <v>No</v>
      </c>
      <c r="AE683" s="5" t="str">
        <f ca="1">IFERROR(__xludf.DUMMYFUNCTION("""COMPUTED_VALUE"""),"No")</f>
        <v>No</v>
      </c>
      <c r="AF683" s="5" t="str">
        <f ca="1">IFERROR(__xludf.DUMMYFUNCTION("""COMPUTED_VALUE"""),"No")</f>
        <v>No</v>
      </c>
      <c r="AG683" s="5" t="str">
        <f ca="1">IFERROR(__xludf.DUMMYFUNCTION("""COMPUTED_VALUE"""),"No")</f>
        <v>No</v>
      </c>
      <c r="AH683" s="5" t="str">
        <f ca="1">IFERROR(__xludf.DUMMYFUNCTION("""COMPUTED_VALUE"""),"No")</f>
        <v>No</v>
      </c>
      <c r="AI683" s="5" t="str">
        <f ca="1">IFERROR(__xludf.DUMMYFUNCTION("""COMPUTED_VALUE"""),"No")</f>
        <v>No</v>
      </c>
      <c r="AJ683" s="5" t="str">
        <f ca="1">IFERROR(__xludf.DUMMYFUNCTION("""COMPUTED_VALUE"""),"No")</f>
        <v>No</v>
      </c>
    </row>
    <row r="684" spans="1:36" ht="13">
      <c r="A684" s="5" t="str">
        <f ca="1">IFERROR(__xludf.DUMMYFUNCTION("""COMPUTED_VALUE"""),"20200924CAWAC")</f>
        <v>20200924CAWAC</v>
      </c>
      <c r="B684" s="5">
        <f ca="1">IFERROR(__xludf.DUMMYFUNCTION("""COMPUTED_VALUE"""),9)</f>
        <v>9</v>
      </c>
      <c r="C684" s="5">
        <f ca="1">IFERROR(__xludf.DUMMYFUNCTION("""COMPUTED_VALUE"""),24)</f>
        <v>24</v>
      </c>
      <c r="D684" s="5">
        <f ca="1">IFERROR(__xludf.DUMMYFUNCTION("""COMPUTED_VALUE"""),2020)</f>
        <v>2020</v>
      </c>
      <c r="E684" s="8">
        <f ca="1">IFERROR(__xludf.DUMMYFUNCTION("""COMPUTED_VALUE"""),44098)</f>
        <v>44098</v>
      </c>
      <c r="F684" s="5" t="str">
        <f ca="1">IFERROR(__xludf.DUMMYFUNCTION("""COMPUTED_VALUE"""),"Walt Hanline Middle School")</f>
        <v>Walt Hanline Middle School</v>
      </c>
      <c r="G684" s="5">
        <f ca="1">IFERROR(__xludf.DUMMYFUNCTION("""COMPUTED_VALUE"""),0)</f>
        <v>0</v>
      </c>
      <c r="H684" s="5">
        <f ca="1">IFERROR(__xludf.DUMMYFUNCTION("""COMPUTED_VALUE"""),0)</f>
        <v>0</v>
      </c>
      <c r="I684" s="5">
        <f ca="1">IFERROR(__xludf.DUMMYFUNCTION("""COMPUTED_VALUE"""),0)</f>
        <v>0</v>
      </c>
      <c r="J684" s="5">
        <f ca="1">IFERROR(__xludf.DUMMYFUNCTION("""COMPUTED_VALUE"""),0)</f>
        <v>0</v>
      </c>
      <c r="K684" s="5" t="str">
        <f ca="1">IFERROR(__xludf.DUMMYFUNCTION("""COMPUTED_VALUE"""),"https://www.abc10.com/article/news/crime/3-men-arrested-for-shooting-into-ceres-elementary-school/103-60e1f519-3519-464b-92f9-13eceaf9ddfd https://campuslifesecurity.com/articles/2020/09/28/three-arrested-after-target-practice-hits-nearby-school-buildings"&amp;".aspx https://www.modbee.com/article246004895.html")</f>
        <v>https://www.abc10.com/article/news/crime/3-men-arrested-for-shooting-into-ceres-elementary-school/103-60e1f519-3519-464b-92f9-13eceaf9ddfd https://campuslifesecurity.com/articles/2020/09/28/three-arrested-after-target-practice-hits-nearby-school-buildings.aspx https://www.modbee.com/article246004895.html</v>
      </c>
      <c r="L684" s="5">
        <f ca="1">IFERROR(__xludf.DUMMYFUNCTION("""COMPUTED_VALUE"""),3)</f>
        <v>3</v>
      </c>
      <c r="M684" s="5" t="str">
        <f ca="1">IFERROR(__xludf.DUMMYFUNCTION("""COMPUTED_VALUE"""),"National")</f>
        <v>National</v>
      </c>
      <c r="N684" s="5">
        <f ca="1">IFERROR(__xludf.DUMMYFUNCTION("""COMPUTED_VALUE"""),4)</f>
        <v>4</v>
      </c>
      <c r="O684" s="5" t="str">
        <f ca="1">IFERROR(__xludf.DUMMYFUNCTION("""COMPUTED_VALUE"""),"Fall")</f>
        <v>Fall</v>
      </c>
      <c r="P684" s="5" t="str">
        <f ca="1">IFERROR(__xludf.DUMMYFUNCTION("""COMPUTED_VALUE"""),"Ceres")</f>
        <v>Ceres</v>
      </c>
      <c r="Q684" s="5" t="str">
        <f ca="1">IFERROR(__xludf.DUMMYFUNCTION("""COMPUTED_VALUE"""),"CA")</f>
        <v>CA</v>
      </c>
      <c r="R684" s="5" t="str">
        <f ca="1">IFERROR(__xludf.DUMMYFUNCTION("""COMPUTED_VALUE"""),"Middle")</f>
        <v>Middle</v>
      </c>
      <c r="S684" s="5" t="str">
        <f ca="1">IFERROR(__xludf.DUMMYFUNCTION("""COMPUTED_VALUE"""),"Classroom")</f>
        <v>Classroom</v>
      </c>
      <c r="T684" s="5" t="str">
        <f ca="1">IFERROR(__xludf.DUMMYFUNCTION("""COMPUTED_VALUE"""),"Both Inside/Outside")</f>
        <v>Both Inside/Outside</v>
      </c>
      <c r="U684" s="5" t="str">
        <f ca="1">IFERROR(__xludf.DUMMYFUNCTION("""COMPUTED_VALUE"""),"Yes")</f>
        <v>Yes</v>
      </c>
      <c r="V684" s="5" t="str">
        <f ca="1">IFERROR(__xludf.DUMMYFUNCTION("""COMPUTED_VALUE"""),"Afternoon Classes")</f>
        <v>Afternoon Classes</v>
      </c>
      <c r="W684" s="5"/>
      <c r="X684" s="5"/>
      <c r="Y684" s="5" t="str">
        <f ca="1">IFERROR(__xludf.DUMMYFUNCTION("""COMPUTED_VALUE"""),"Bullets struck classroom and gym occupied by teachers")</f>
        <v>Bullets struck classroom and gym occupied by teachers</v>
      </c>
      <c r="Z684" s="5" t="str">
        <f ca="1">IFERROR(__xludf.DUMMYFUNCTION("""COMPUTED_VALUE"""),"One bullet struck a classroom wall and hit the classroom ceiling while a teach was in the room teaching a zoom class session. Two bullets struck the gym wall while a teacher was inside. Police arrested 3 men firing multiple weapons 300 yards from the scho"&amp;"ol. Claimed to be shooting for target practice. Police found 10 casing near the school. Men were arrested with 6 weapons.")</f>
        <v>One bullet struck a classroom wall and hit the classroom ceiling while a teach was in the room teaching a zoom class session. Two bullets struck the gym wall while a teacher was inside. Police arrested 3 men firing multiple weapons 300 yards from the school. Claimed to be shooting for target practice. Police found 10 casing near the school. Men were arrested with 6 weapons.</v>
      </c>
      <c r="AA684" s="5" t="str">
        <f ca="1">IFERROR(__xludf.DUMMYFUNCTION("""COMPUTED_VALUE"""),"Illegal Activity")</f>
        <v>Illegal Activity</v>
      </c>
      <c r="AB684" s="5" t="str">
        <f ca="1">IFERROR(__xludf.DUMMYFUNCTION("""COMPUTED_VALUE"""),"Neither")</f>
        <v>Neither</v>
      </c>
      <c r="AC684" s="5" t="str">
        <f ca="1">IFERROR(__xludf.DUMMYFUNCTION("""COMPUTED_VALUE"""),"Yes")</f>
        <v>Yes</v>
      </c>
      <c r="AD684" s="5" t="str">
        <f ca="1">IFERROR(__xludf.DUMMYFUNCTION("""COMPUTED_VALUE"""),"No")</f>
        <v>No</v>
      </c>
      <c r="AE684" s="5" t="str">
        <f ca="1">IFERROR(__xludf.DUMMYFUNCTION("""COMPUTED_VALUE"""),"No")</f>
        <v>No</v>
      </c>
      <c r="AF684" s="5" t="str">
        <f ca="1">IFERROR(__xludf.DUMMYFUNCTION("""COMPUTED_VALUE"""),"No")</f>
        <v>No</v>
      </c>
      <c r="AG684" s="5" t="str">
        <f ca="1">IFERROR(__xludf.DUMMYFUNCTION("""COMPUTED_VALUE"""),"No")</f>
        <v>No</v>
      </c>
      <c r="AH684" s="5" t="str">
        <f ca="1">IFERROR(__xludf.DUMMYFUNCTION("""COMPUTED_VALUE"""),"No")</f>
        <v>No</v>
      </c>
      <c r="AI684" s="5"/>
      <c r="AJ684" s="5"/>
    </row>
    <row r="685" spans="1:36" ht="13">
      <c r="A685" s="5" t="str">
        <f ca="1">IFERROR(__xludf.DUMMYFUNCTION("""COMPUTED_VALUE"""),"20200923PAWIW")</f>
        <v>20200923PAWIW</v>
      </c>
      <c r="B685" s="5">
        <f ca="1">IFERROR(__xludf.DUMMYFUNCTION("""COMPUTED_VALUE"""),9)</f>
        <v>9</v>
      </c>
      <c r="C685" s="5">
        <f ca="1">IFERROR(__xludf.DUMMYFUNCTION("""COMPUTED_VALUE"""),23)</f>
        <v>23</v>
      </c>
      <c r="D685" s="5">
        <f ca="1">IFERROR(__xludf.DUMMYFUNCTION("""COMPUTED_VALUE"""),2020)</f>
        <v>2020</v>
      </c>
      <c r="E685" s="8">
        <f ca="1">IFERROR(__xludf.DUMMYFUNCTION("""COMPUTED_VALUE"""),44097)</f>
        <v>44097</v>
      </c>
      <c r="F685" s="5" t="str">
        <f ca="1">IFERROR(__xludf.DUMMYFUNCTION("""COMPUTED_VALUE"""),"William Tennent High School")</f>
        <v>William Tennent High School</v>
      </c>
      <c r="G685" s="5">
        <f ca="1">IFERROR(__xludf.DUMMYFUNCTION("""COMPUTED_VALUE"""),0)</f>
        <v>0</v>
      </c>
      <c r="H685" s="5">
        <f ca="1">IFERROR(__xludf.DUMMYFUNCTION("""COMPUTED_VALUE"""),0)</f>
        <v>0</v>
      </c>
      <c r="I685" s="5">
        <f ca="1">IFERROR(__xludf.DUMMYFUNCTION("""COMPUTED_VALUE"""),0)</f>
        <v>0</v>
      </c>
      <c r="J685" s="5">
        <f ca="1">IFERROR(__xludf.DUMMYFUNCTION("""COMPUTED_VALUE"""),0)</f>
        <v>0</v>
      </c>
      <c r="K685" s="5" t="str">
        <f ca="1">IFERROR(__xludf.DUMMYFUNCTION("""COMPUTED_VALUE"""),"https://www.buckscountycouriertimes.com/story/news/2021/08/27/man-sentenced-probation-shooting-incident-behind-william-tennent/5607581001/ https://philadelphia.cbslocal.com/2020/10/06/22-year-old-man-arrested-for-shooting-outside-warminster-township-high-"&amp;"school-police-say/ https://www.buckscountycouriertimes.com/story/news/2020/10/06/man-charged-shooting-incident-behind-william-tennent-high-school-warminster/3637458001/ https://patch.com/pennsylvania/warminster/arrest-made-tennent-high-school-shooting htt"&amp;"ps://patch.com/pennsylvania/warminster/shooter-fired-gun-tennent-high-school-police https://6abc.com/william-tennent-high-school-gunfire-warminster-shooting-news/6535348/")</f>
        <v>https://www.buckscountycouriertimes.com/story/news/2021/08/27/man-sentenced-probation-shooting-incident-behind-william-tennent/5607581001/ https://philadelphia.cbslocal.com/2020/10/06/22-year-old-man-arrested-for-shooting-outside-warminster-township-high-school-police-say/ https://www.buckscountycouriertimes.com/story/news/2020/10/06/man-charged-shooting-incident-behind-william-tennent-high-school-warminster/3637458001/ https://patch.com/pennsylvania/warminster/arrest-made-tennent-high-school-shooting https://patch.com/pennsylvania/warminster/shooter-fired-gun-tennent-high-school-police https://6abc.com/william-tennent-high-school-gunfire-warminster-shooting-news/6535348/</v>
      </c>
      <c r="L685" s="5">
        <f ca="1">IFERROR(__xludf.DUMMYFUNCTION("""COMPUTED_VALUE"""),6)</f>
        <v>6</v>
      </c>
      <c r="M685" s="5" t="str">
        <f ca="1">IFERROR(__xludf.DUMMYFUNCTION("""COMPUTED_VALUE"""),"Local")</f>
        <v>Local</v>
      </c>
      <c r="N685" s="5">
        <f ca="1">IFERROR(__xludf.DUMMYFUNCTION("""COMPUTED_VALUE"""),4)</f>
        <v>4</v>
      </c>
      <c r="O685" s="5" t="str">
        <f ca="1">IFERROR(__xludf.DUMMYFUNCTION("""COMPUTED_VALUE"""),"Fall")</f>
        <v>Fall</v>
      </c>
      <c r="P685" s="5" t="str">
        <f ca="1">IFERROR(__xludf.DUMMYFUNCTION("""COMPUTED_VALUE"""),"Warminster")</f>
        <v>Warminster</v>
      </c>
      <c r="Q685" s="5" t="str">
        <f ca="1">IFERROR(__xludf.DUMMYFUNCTION("""COMPUTED_VALUE"""),"PA")</f>
        <v>PA</v>
      </c>
      <c r="R685" s="5" t="str">
        <f ca="1">IFERROR(__xludf.DUMMYFUNCTION("""COMPUTED_VALUE"""),"High")</f>
        <v>High</v>
      </c>
      <c r="S685" s="5" t="str">
        <f ca="1">IFERROR(__xludf.DUMMYFUNCTION("""COMPUTED_VALUE"""),"Parking Lot")</f>
        <v>Parking Lot</v>
      </c>
      <c r="T685" s="5" t="str">
        <f ca="1">IFERROR(__xludf.DUMMYFUNCTION("""COMPUTED_VALUE"""),"Outside on School Property")</f>
        <v>Outside on School Property</v>
      </c>
      <c r="U685" s="5" t="str">
        <f ca="1">IFERROR(__xludf.DUMMYFUNCTION("""COMPUTED_VALUE"""),"No")</f>
        <v>No</v>
      </c>
      <c r="V685" s="5" t="str">
        <f ca="1">IFERROR(__xludf.DUMMYFUNCTION("""COMPUTED_VALUE"""),"After School")</f>
        <v>After School</v>
      </c>
      <c r="W685" s="10">
        <f ca="1">IFERROR(__xludf.DUMMYFUNCTION("""COMPUTED_VALUE"""),0.704861111111111)</f>
        <v>0.70486111111111105</v>
      </c>
      <c r="X685" s="5">
        <f ca="1">IFERROR(__xludf.DUMMYFUNCTION("""COMPUTED_VALUE"""),1)</f>
        <v>1</v>
      </c>
      <c r="Y685" s="5" t="str">
        <f ca="1">IFERROR(__xludf.DUMMYFUNCTION("""COMPUTED_VALUE"""),"Shooting in parking lot during sports practice")</f>
        <v>Shooting in parking lot during sports practice</v>
      </c>
      <c r="Z685" s="5" t="str">
        <f ca="1">IFERROR(__xludf.DUMMYFUNCTION("""COMPUTED_VALUE"""),"A man chasing another man fired 2 shots in the school parking lot. Both shots missed. The shooter and the targeted victim fled the areas. The shooter fled in a vehicle driven by another person. The school was locked down. The incident was recorded on the "&amp;"school's CCTV system. Suspect was arrested on October 6, 2020 in a neighboring county. Police said the shooting was related to a drug deal that went wrong.")</f>
        <v>A man chasing another man fired 2 shots in the school parking lot. Both shots missed. The shooter and the targeted victim fled the areas. The shooter fled in a vehicle driven by another person. The school was locked down. The incident was recorded on the school's CCTV system. Suspect was arrested on October 6, 2020 in a neighboring county. Police said the shooting was related to a drug deal that went wrong.</v>
      </c>
      <c r="AA685" s="5" t="str">
        <f ca="1">IFERROR(__xludf.DUMMYFUNCTION("""COMPUTED_VALUE"""),"Illegal Activity")</f>
        <v>Illegal Activity</v>
      </c>
      <c r="AB685" s="5" t="str">
        <f ca="1">IFERROR(__xludf.DUMMYFUNCTION("""COMPUTED_VALUE"""),"Victims Targeted")</f>
        <v>Victims Targeted</v>
      </c>
      <c r="AC685" s="5" t="str">
        <f ca="1">IFERROR(__xludf.DUMMYFUNCTION("""COMPUTED_VALUE"""),"Yes")</f>
        <v>Yes</v>
      </c>
      <c r="AD685" s="5" t="str">
        <f ca="1">IFERROR(__xludf.DUMMYFUNCTION("""COMPUTED_VALUE"""),"No")</f>
        <v>No</v>
      </c>
      <c r="AE685" s="5" t="str">
        <f ca="1">IFERROR(__xludf.DUMMYFUNCTION("""COMPUTED_VALUE"""),"No")</f>
        <v>No</v>
      </c>
      <c r="AF685" s="5" t="str">
        <f ca="1">IFERROR(__xludf.DUMMYFUNCTION("""COMPUTED_VALUE"""),"No")</f>
        <v>No</v>
      </c>
      <c r="AG685" s="5" t="str">
        <f ca="1">IFERROR(__xludf.DUMMYFUNCTION("""COMPUTED_VALUE"""),"No")</f>
        <v>No</v>
      </c>
      <c r="AH685" s="5" t="str">
        <f ca="1">IFERROR(__xludf.DUMMYFUNCTION("""COMPUTED_VALUE"""),"No")</f>
        <v>No</v>
      </c>
      <c r="AI685" s="5" t="str">
        <f ca="1">IFERROR(__xludf.DUMMYFUNCTION("""COMPUTED_VALUE"""),"No")</f>
        <v>No</v>
      </c>
      <c r="AJ685" s="5" t="str">
        <f ca="1">IFERROR(__xludf.DUMMYFUNCTION("""COMPUTED_VALUE"""),"No")</f>
        <v>No</v>
      </c>
    </row>
    <row r="686" spans="1:36" ht="13">
      <c r="A686" s="5" t="str">
        <f ca="1">IFERROR(__xludf.DUMMYFUNCTION("""COMPUTED_VALUE"""),"20200923FLHIJ")</f>
        <v>20200923FLHIJ</v>
      </c>
      <c r="B686" s="5">
        <f ca="1">IFERROR(__xludf.DUMMYFUNCTION("""COMPUTED_VALUE"""),9)</f>
        <v>9</v>
      </c>
      <c r="C686" s="5">
        <f ca="1">IFERROR(__xludf.DUMMYFUNCTION("""COMPUTED_VALUE"""),23)</f>
        <v>23</v>
      </c>
      <c r="D686" s="5">
        <f ca="1">IFERROR(__xludf.DUMMYFUNCTION("""COMPUTED_VALUE"""),2020)</f>
        <v>2020</v>
      </c>
      <c r="E686" s="8">
        <f ca="1">IFERROR(__xludf.DUMMYFUNCTION("""COMPUTED_VALUE"""),44097)</f>
        <v>44097</v>
      </c>
      <c r="F686" s="5" t="str">
        <f ca="1">IFERROR(__xludf.DUMMYFUNCTION("""COMPUTED_VALUE"""),"Highlands Middle School")</f>
        <v>Highlands Middle School</v>
      </c>
      <c r="G686" s="5">
        <f ca="1">IFERROR(__xludf.DUMMYFUNCTION("""COMPUTED_VALUE"""),0)</f>
        <v>0</v>
      </c>
      <c r="H686" s="5">
        <f ca="1">IFERROR(__xludf.DUMMYFUNCTION("""COMPUTED_VALUE"""),0)</f>
        <v>0</v>
      </c>
      <c r="I686" s="5">
        <f ca="1">IFERROR(__xludf.DUMMYFUNCTION("""COMPUTED_VALUE"""),0)</f>
        <v>0</v>
      </c>
      <c r="J686" s="5">
        <f ca="1">IFERROR(__xludf.DUMMYFUNCTION("""COMPUTED_VALUE"""),0)</f>
        <v>0</v>
      </c>
      <c r="K686" s="9" t="str">
        <f ca="1">IFERROR(__xludf.DUMMYFUNCTION("""COMPUTED_VALUE"""),"https://www.news4jax.com/news/local/2020/09/23/police-1-detained-after-shot-fired-at-duval-county-school-bus/")</f>
        <v>https://www.news4jax.com/news/local/2020/09/23/police-1-detained-after-shot-fired-at-duval-county-school-bus/</v>
      </c>
      <c r="L686" s="5">
        <f ca="1">IFERROR(__xludf.DUMMYFUNCTION("""COMPUTED_VALUE"""),1)</f>
        <v>1</v>
      </c>
      <c r="M686" s="5" t="str">
        <f ca="1">IFERROR(__xludf.DUMMYFUNCTION("""COMPUTED_VALUE"""),"Local")</f>
        <v>Local</v>
      </c>
      <c r="N686" s="5">
        <f ca="1">IFERROR(__xludf.DUMMYFUNCTION("""COMPUTED_VALUE"""),4)</f>
        <v>4</v>
      </c>
      <c r="O686" s="5" t="str">
        <f ca="1">IFERROR(__xludf.DUMMYFUNCTION("""COMPUTED_VALUE"""),"Fall")</f>
        <v>Fall</v>
      </c>
      <c r="P686" s="5" t="str">
        <f ca="1">IFERROR(__xludf.DUMMYFUNCTION("""COMPUTED_VALUE"""),"Jacksonville")</f>
        <v>Jacksonville</v>
      </c>
      <c r="Q686" s="5" t="str">
        <f ca="1">IFERROR(__xludf.DUMMYFUNCTION("""COMPUTED_VALUE"""),"FL")</f>
        <v>FL</v>
      </c>
      <c r="R686" s="5" t="str">
        <f ca="1">IFERROR(__xludf.DUMMYFUNCTION("""COMPUTED_VALUE"""),"Middle")</f>
        <v>Middle</v>
      </c>
      <c r="S686" s="5" t="str">
        <f ca="1">IFERROR(__xludf.DUMMYFUNCTION("""COMPUTED_VALUE"""),"School Bus")</f>
        <v>School Bus</v>
      </c>
      <c r="T686" s="5" t="str">
        <f ca="1">IFERROR(__xludf.DUMMYFUNCTION("""COMPUTED_VALUE"""),"School Bus")</f>
        <v>School Bus</v>
      </c>
      <c r="U686" s="5" t="str">
        <f ca="1">IFERROR(__xludf.DUMMYFUNCTION("""COMPUTED_VALUE"""),"Yes")</f>
        <v>Yes</v>
      </c>
      <c r="V686" s="5" t="str">
        <f ca="1">IFERROR(__xludf.DUMMYFUNCTION("""COMPUTED_VALUE"""),"Dismissal")</f>
        <v>Dismissal</v>
      </c>
      <c r="W686" s="10">
        <f ca="1">IFERROR(__xludf.DUMMYFUNCTION("""COMPUTED_VALUE"""),0.6875)</f>
        <v>0.6875</v>
      </c>
      <c r="X686" s="5">
        <f ca="1">IFERROR(__xludf.DUMMYFUNCTION("""COMPUTED_VALUE"""),1)</f>
        <v>1</v>
      </c>
      <c r="Y686" s="5" t="str">
        <f ca="1">IFERROR(__xludf.DUMMYFUNCTION("""COMPUTED_VALUE"""),"Teen shot BB breaking window of occupied school bus")</f>
        <v>Teen shot BB breaking window of occupied school bus</v>
      </c>
      <c r="Z686" s="5" t="str">
        <f ca="1">IFERROR(__xludf.DUMMYFUNCTION("""COMPUTED_VALUE"""),"Teen fired a BB that broke the window of a school bus with 12 students and the drive. Police were notified for a shooting involving a school bus. 18 year-old male teen was arrested near the scene.")</f>
        <v>Teen fired a BB that broke the window of a school bus with 12 students and the drive. Police were notified for a shooting involving a school bus. 18 year-old male teen was arrested near the scene.</v>
      </c>
      <c r="AA686" s="5" t="str">
        <f ca="1">IFERROR(__xludf.DUMMYFUNCTION("""COMPUTED_VALUE"""),"Intentional Property Damage")</f>
        <v>Intentional Property Damage</v>
      </c>
      <c r="AB686" s="5" t="str">
        <f ca="1">IFERROR(__xludf.DUMMYFUNCTION("""COMPUTED_VALUE"""),"Neither")</f>
        <v>Neither</v>
      </c>
      <c r="AC686" s="5" t="str">
        <f ca="1">IFERROR(__xludf.DUMMYFUNCTION("""COMPUTED_VALUE"""),"No")</f>
        <v>No</v>
      </c>
      <c r="AD686" s="5" t="str">
        <f ca="1">IFERROR(__xludf.DUMMYFUNCTION("""COMPUTED_VALUE"""),"No")</f>
        <v>No</v>
      </c>
      <c r="AE686" s="5" t="str">
        <f ca="1">IFERROR(__xludf.DUMMYFUNCTION("""COMPUTED_VALUE"""),"No")</f>
        <v>No</v>
      </c>
      <c r="AF686" s="5" t="str">
        <f ca="1">IFERROR(__xludf.DUMMYFUNCTION("""COMPUTED_VALUE"""),"No")</f>
        <v>No</v>
      </c>
      <c r="AG686" s="5" t="str">
        <f ca="1">IFERROR(__xludf.DUMMYFUNCTION("""COMPUTED_VALUE"""),"No")</f>
        <v>No</v>
      </c>
      <c r="AH686" s="5" t="str">
        <f ca="1">IFERROR(__xludf.DUMMYFUNCTION("""COMPUTED_VALUE"""),"No")</f>
        <v>No</v>
      </c>
      <c r="AI686" s="5" t="str">
        <f ca="1">IFERROR(__xludf.DUMMYFUNCTION("""COMPUTED_VALUE"""),"No")</f>
        <v>No</v>
      </c>
      <c r="AJ686" s="5" t="str">
        <f ca="1">IFERROR(__xludf.DUMMYFUNCTION("""COMPUTED_VALUE"""),"No")</f>
        <v>No</v>
      </c>
    </row>
    <row r="687" spans="1:36" ht="13">
      <c r="A687" s="5" t="str">
        <f ca="1">IFERROR(__xludf.DUMMYFUNCTION("""COMPUTED_VALUE"""),"20200921CAPLP")</f>
        <v>20200921CAPLP</v>
      </c>
      <c r="B687" s="5">
        <f ca="1">IFERROR(__xludf.DUMMYFUNCTION("""COMPUTED_VALUE"""),9)</f>
        <v>9</v>
      </c>
      <c r="C687" s="5">
        <f ca="1">IFERROR(__xludf.DUMMYFUNCTION("""COMPUTED_VALUE"""),21)</f>
        <v>21</v>
      </c>
      <c r="D687" s="5">
        <f ca="1">IFERROR(__xludf.DUMMYFUNCTION("""COMPUTED_VALUE"""),2020)</f>
        <v>2020</v>
      </c>
      <c r="E687" s="8">
        <f ca="1">IFERROR(__xludf.DUMMYFUNCTION("""COMPUTED_VALUE"""),44095)</f>
        <v>44095</v>
      </c>
      <c r="F687" s="5" t="str">
        <f ca="1">IFERROR(__xludf.DUMMYFUNCTION("""COMPUTED_VALUE"""),"Pleasant Hill Elementary School")</f>
        <v>Pleasant Hill Elementary School</v>
      </c>
      <c r="G687" s="5">
        <f ca="1">IFERROR(__xludf.DUMMYFUNCTION("""COMPUTED_VALUE"""),0)</f>
        <v>0</v>
      </c>
      <c r="H687" s="5">
        <f ca="1">IFERROR(__xludf.DUMMYFUNCTION("""COMPUTED_VALUE"""),0)</f>
        <v>0</v>
      </c>
      <c r="I687" s="5">
        <f ca="1">IFERROR(__xludf.DUMMYFUNCTION("""COMPUTED_VALUE"""),0)</f>
        <v>0</v>
      </c>
      <c r="J687" s="5">
        <f ca="1">IFERROR(__xludf.DUMMYFUNCTION("""COMPUTED_VALUE"""),0)</f>
        <v>0</v>
      </c>
      <c r="K687" s="5" t="str">
        <f ca="1">IFERROR(__xludf.DUMMYFUNCTION("""COMPUTED_VALUE"""),"https://sanfrancisco.cbslocal.com/2020/09/23/shooting-outside-pleasant-hill-elementary-school/ https://www.facebook.com/PleasantHillPD https://sanfrancisco.cbslocal.com/2020/09/21/shooting-outside-pleasant-hill-elementary-school/")</f>
        <v>https://sanfrancisco.cbslocal.com/2020/09/23/shooting-outside-pleasant-hill-elementary-school/ https://www.facebook.com/PleasantHillPD https://sanfrancisco.cbslocal.com/2020/09/21/shooting-outside-pleasant-hill-elementary-school/</v>
      </c>
      <c r="L687" s="5">
        <f ca="1">IFERROR(__xludf.DUMMYFUNCTION("""COMPUTED_VALUE"""),3)</f>
        <v>3</v>
      </c>
      <c r="M687" s="5" t="str">
        <f ca="1">IFERROR(__xludf.DUMMYFUNCTION("""COMPUTED_VALUE"""),"Local")</f>
        <v>Local</v>
      </c>
      <c r="N687" s="5">
        <f ca="1">IFERROR(__xludf.DUMMYFUNCTION("""COMPUTED_VALUE"""),4)</f>
        <v>4</v>
      </c>
      <c r="O687" s="5" t="str">
        <f ca="1">IFERROR(__xludf.DUMMYFUNCTION("""COMPUTED_VALUE"""),"Fall")</f>
        <v>Fall</v>
      </c>
      <c r="P687" s="5" t="str">
        <f ca="1">IFERROR(__xludf.DUMMYFUNCTION("""COMPUTED_VALUE"""),"Pleasant Hill")</f>
        <v>Pleasant Hill</v>
      </c>
      <c r="Q687" s="5" t="str">
        <f ca="1">IFERROR(__xludf.DUMMYFUNCTION("""COMPUTED_VALUE"""),"CA")</f>
        <v>CA</v>
      </c>
      <c r="R687" s="5" t="str">
        <f ca="1">IFERROR(__xludf.DUMMYFUNCTION("""COMPUTED_VALUE"""),"Elementary")</f>
        <v>Elementary</v>
      </c>
      <c r="S687" s="5" t="str">
        <f ca="1">IFERROR(__xludf.DUMMYFUNCTION("""COMPUTED_VALUE"""),"Beside Building")</f>
        <v>Beside Building</v>
      </c>
      <c r="T687" s="5" t="str">
        <f ca="1">IFERROR(__xludf.DUMMYFUNCTION("""COMPUTED_VALUE"""),"Outside on School Property")</f>
        <v>Outside on School Property</v>
      </c>
      <c r="U687" s="5" t="str">
        <f ca="1">IFERROR(__xludf.DUMMYFUNCTION("""COMPUTED_VALUE"""),"No")</f>
        <v>No</v>
      </c>
      <c r="V687" s="5" t="str">
        <f ca="1">IFERROR(__xludf.DUMMYFUNCTION("""COMPUTED_VALUE"""),"Evening")</f>
        <v>Evening</v>
      </c>
      <c r="W687" s="5"/>
      <c r="X687" s="5">
        <f ca="1">IFERROR(__xludf.DUMMYFUNCTION("""COMPUTED_VALUE"""),1)</f>
        <v>1</v>
      </c>
      <c r="Y687" s="5" t="str">
        <f ca="1">IFERROR(__xludf.DUMMYFUNCTION("""COMPUTED_VALUE"""),"Man attempted suicide behind school after firing at officers during pursuit")</f>
        <v>Man attempted suicide behind school after firing at officers during pursuit</v>
      </c>
      <c r="Z687" s="5" t="str">
        <f ca="1">IFERROR(__xludf.DUMMYFUNCTION("""COMPUTED_VALUE"""),"Man attempted suicide behind school after firing at officers during pursuit")</f>
        <v>Man attempted suicide behind school after firing at officers during pursuit</v>
      </c>
      <c r="AA687" s="5" t="str">
        <f ca="1">IFERROR(__xludf.DUMMYFUNCTION("""COMPUTED_VALUE"""),"Suicide/Attempted")</f>
        <v>Suicide/Attempted</v>
      </c>
      <c r="AB687" s="5" t="str">
        <f ca="1">IFERROR(__xludf.DUMMYFUNCTION("""COMPUTED_VALUE"""),"Neither")</f>
        <v>Neither</v>
      </c>
      <c r="AC687" s="5" t="str">
        <f ca="1">IFERROR(__xludf.DUMMYFUNCTION("""COMPUTED_VALUE"""),"No")</f>
        <v>No</v>
      </c>
      <c r="AD687" s="5" t="str">
        <f ca="1">IFERROR(__xludf.DUMMYFUNCTION("""COMPUTED_VALUE"""),"No")</f>
        <v>No</v>
      </c>
      <c r="AE687" s="5" t="str">
        <f ca="1">IFERROR(__xludf.DUMMYFUNCTION("""COMPUTED_VALUE"""),"No")</f>
        <v>No</v>
      </c>
      <c r="AF687" s="5" t="str">
        <f ca="1">IFERROR(__xludf.DUMMYFUNCTION("""COMPUTED_VALUE"""),"No")</f>
        <v>No</v>
      </c>
      <c r="AG687" s="5" t="str">
        <f ca="1">IFERROR(__xludf.DUMMYFUNCTION("""COMPUTED_VALUE"""),"No")</f>
        <v>No</v>
      </c>
      <c r="AH687" s="5" t="str">
        <f ca="1">IFERROR(__xludf.DUMMYFUNCTION("""COMPUTED_VALUE"""),"No")</f>
        <v>No</v>
      </c>
      <c r="AI687" s="5" t="str">
        <f ca="1">IFERROR(__xludf.DUMMYFUNCTION("""COMPUTED_VALUE"""),"No")</f>
        <v>No</v>
      </c>
      <c r="AJ687" s="5" t="str">
        <f ca="1">IFERROR(__xludf.DUMMYFUNCTION("""COMPUTED_VALUE"""),"No")</f>
        <v>No</v>
      </c>
    </row>
    <row r="688" spans="1:36" ht="13">
      <c r="A688" s="5" t="str">
        <f ca="1">IFERROR(__xludf.DUMMYFUNCTION("""COMPUTED_VALUE"""),"20200920UTLIS")</f>
        <v>20200920UTLIS</v>
      </c>
      <c r="B688" s="5">
        <f ca="1">IFERROR(__xludf.DUMMYFUNCTION("""COMPUTED_VALUE"""),9)</f>
        <v>9</v>
      </c>
      <c r="C688" s="5">
        <f ca="1">IFERROR(__xludf.DUMMYFUNCTION("""COMPUTED_VALUE"""),20)</f>
        <v>20</v>
      </c>
      <c r="D688" s="5">
        <f ca="1">IFERROR(__xludf.DUMMYFUNCTION("""COMPUTED_VALUE"""),2020)</f>
        <v>2020</v>
      </c>
      <c r="E688" s="8">
        <f ca="1">IFERROR(__xludf.DUMMYFUNCTION("""COMPUTED_VALUE"""),44094)</f>
        <v>44094</v>
      </c>
      <c r="F688" s="5" t="str">
        <f ca="1">IFERROR(__xludf.DUMMYFUNCTION("""COMPUTED_VALUE"""),"Liberty Elementary School")</f>
        <v>Liberty Elementary School</v>
      </c>
      <c r="G688" s="5">
        <f ca="1">IFERROR(__xludf.DUMMYFUNCTION("""COMPUTED_VALUE"""),0)</f>
        <v>0</v>
      </c>
      <c r="H688" s="5">
        <f ca="1">IFERROR(__xludf.DUMMYFUNCTION("""COMPUTED_VALUE"""),0)</f>
        <v>0</v>
      </c>
      <c r="I688" s="5">
        <f ca="1">IFERROR(__xludf.DUMMYFUNCTION("""COMPUTED_VALUE"""),0)</f>
        <v>0</v>
      </c>
      <c r="J688" s="5">
        <f ca="1">IFERROR(__xludf.DUMMYFUNCTION("""COMPUTED_VALUE"""),0)</f>
        <v>0</v>
      </c>
      <c r="K688" s="5" t="str">
        <f ca="1">IFERROR(__xludf.DUMMYFUNCTION("""COMPUTED_VALUE"""),"https://www.ksl.com/article/50019528/shots-fired-into-9-year-old-girls-bedroom-bullet-narrowly-misses-her https://www.fox13now.com/news/local-news/stray-bullet-narrowly-misses-young-girl-inside-slc-home")</f>
        <v>https://www.ksl.com/article/50019528/shots-fired-into-9-year-old-girls-bedroom-bullet-narrowly-misses-her https://www.fox13now.com/news/local-news/stray-bullet-narrowly-misses-young-girl-inside-slc-home</v>
      </c>
      <c r="L688" s="5">
        <f ca="1">IFERROR(__xludf.DUMMYFUNCTION("""COMPUTED_VALUE"""),2)</f>
        <v>2</v>
      </c>
      <c r="M688" s="5" t="str">
        <f ca="1">IFERROR(__xludf.DUMMYFUNCTION("""COMPUTED_VALUE"""),"Local")</f>
        <v>Local</v>
      </c>
      <c r="N688" s="5">
        <f ca="1">IFERROR(__xludf.DUMMYFUNCTION("""COMPUTED_VALUE"""),4)</f>
        <v>4</v>
      </c>
      <c r="O688" s="5" t="str">
        <f ca="1">IFERROR(__xludf.DUMMYFUNCTION("""COMPUTED_VALUE"""),"Fall")</f>
        <v>Fall</v>
      </c>
      <c r="P688" s="5" t="str">
        <f ca="1">IFERROR(__xludf.DUMMYFUNCTION("""COMPUTED_VALUE"""),"Salt Lake City")</f>
        <v>Salt Lake City</v>
      </c>
      <c r="Q688" s="5" t="str">
        <f ca="1">IFERROR(__xludf.DUMMYFUNCTION("""COMPUTED_VALUE"""),"UT")</f>
        <v>UT</v>
      </c>
      <c r="R688" s="5" t="str">
        <f ca="1">IFERROR(__xludf.DUMMYFUNCTION("""COMPUTED_VALUE"""),"Elementary")</f>
        <v>Elementary</v>
      </c>
      <c r="S688" s="5" t="str">
        <f ca="1">IFERROR(__xludf.DUMMYFUNCTION("""COMPUTED_VALUE"""),"Field (General)")</f>
        <v>Field (General)</v>
      </c>
      <c r="T688" s="5" t="str">
        <f ca="1">IFERROR(__xludf.DUMMYFUNCTION("""COMPUTED_VALUE"""),"Outside on School Property")</f>
        <v>Outside on School Property</v>
      </c>
      <c r="U688" s="5" t="str">
        <f ca="1">IFERROR(__xludf.DUMMYFUNCTION("""COMPUTED_VALUE"""),"No")</f>
        <v>No</v>
      </c>
      <c r="V688" s="5" t="str">
        <f ca="1">IFERROR(__xludf.DUMMYFUNCTION("""COMPUTED_VALUE"""),"Not a School Day")</f>
        <v>Not a School Day</v>
      </c>
      <c r="W688" s="10">
        <f ca="1">IFERROR(__xludf.DUMMYFUNCTION("""COMPUTED_VALUE"""),0.666666666666666)</f>
        <v>0.66666666666666596</v>
      </c>
      <c r="X688" s="5">
        <f ca="1">IFERROR(__xludf.DUMMYFUNCTION("""COMPUTED_VALUE"""),1)</f>
        <v>1</v>
      </c>
      <c r="Y688" s="5" t="str">
        <f ca="1">IFERROR(__xludf.DUMMYFUNCTION("""COMPUTED_VALUE"""),"8 shots fired on school soccer field")</f>
        <v>8 shots fired on school soccer field</v>
      </c>
      <c r="Z688" s="5" t="str">
        <f ca="1">IFERROR(__xludf.DUMMYFUNCTION("""COMPUTED_VALUE"""),"8 shots were fired from the school soccer field. Police found shell casings near the soccer goal. One round struck the window of a nearby home with a 9-year-old girl sitting nearby. Father reported a dispute earlier in the day with an unknown male. Shoote"&amp;"r fled. Police did not identify a suspect.")</f>
        <v>8 shots were fired from the school soccer field. Police found shell casings near the soccer goal. One round struck the window of a nearby home with a 9-year-old girl sitting nearby. Father reported a dispute earlier in the day with an unknown male. Shooter fled. Police did not identify a suspect.</v>
      </c>
      <c r="AA688" s="5"/>
      <c r="AB688" s="5"/>
      <c r="AC688" s="5"/>
      <c r="AD688" s="5" t="str">
        <f ca="1">IFERROR(__xludf.DUMMYFUNCTION("""COMPUTED_VALUE"""),"No")</f>
        <v>No</v>
      </c>
      <c r="AE688" s="5" t="str">
        <f ca="1">IFERROR(__xludf.DUMMYFUNCTION("""COMPUTED_VALUE"""),"No")</f>
        <v>No</v>
      </c>
      <c r="AF688" s="5" t="str">
        <f ca="1">IFERROR(__xludf.DUMMYFUNCTION("""COMPUTED_VALUE"""),"No")</f>
        <v>No</v>
      </c>
      <c r="AG688" s="5" t="str">
        <f ca="1">IFERROR(__xludf.DUMMYFUNCTION("""COMPUTED_VALUE"""),"No")</f>
        <v>No</v>
      </c>
      <c r="AH688" s="5" t="str">
        <f ca="1">IFERROR(__xludf.DUMMYFUNCTION("""COMPUTED_VALUE"""),"No")</f>
        <v>No</v>
      </c>
      <c r="AI688" s="5"/>
      <c r="AJ688" s="5" t="str">
        <f ca="1">IFERROR(__xludf.DUMMYFUNCTION("""COMPUTED_VALUE"""),"No")</f>
        <v>No</v>
      </c>
    </row>
    <row r="689" spans="1:36" ht="13">
      <c r="A689" s="5" t="str">
        <f ca="1">IFERROR(__xludf.DUMMYFUNCTION("""COMPUTED_VALUE"""),"20200919CAKRS")</f>
        <v>20200919CAKRS</v>
      </c>
      <c r="B689" s="5">
        <f ca="1">IFERROR(__xludf.DUMMYFUNCTION("""COMPUTED_VALUE"""),9)</f>
        <v>9</v>
      </c>
      <c r="C689" s="5">
        <f ca="1">IFERROR(__xludf.DUMMYFUNCTION("""COMPUTED_VALUE"""),19)</f>
        <v>19</v>
      </c>
      <c r="D689" s="5">
        <f ca="1">IFERROR(__xludf.DUMMYFUNCTION("""COMPUTED_VALUE"""),2020)</f>
        <v>2020</v>
      </c>
      <c r="E689" s="8">
        <f ca="1">IFERROR(__xludf.DUMMYFUNCTION("""COMPUTED_VALUE"""),44093)</f>
        <v>44093</v>
      </c>
      <c r="F689" s="5" t="str">
        <f ca="1">IFERROR(__xludf.DUMMYFUNCTION("""COMPUTED_VALUE"""),"Krouzian Zekarian Vasbouragan Armenian School")</f>
        <v>Krouzian Zekarian Vasbouragan Armenian School</v>
      </c>
      <c r="G689" s="5">
        <f ca="1">IFERROR(__xludf.DUMMYFUNCTION("""COMPUTED_VALUE"""),0)</f>
        <v>0</v>
      </c>
      <c r="H689" s="5">
        <f ca="1">IFERROR(__xludf.DUMMYFUNCTION("""COMPUTED_VALUE"""),0)</f>
        <v>0</v>
      </c>
      <c r="I689" s="5">
        <f ca="1">IFERROR(__xludf.DUMMYFUNCTION("""COMPUTED_VALUE"""),0)</f>
        <v>0</v>
      </c>
      <c r="J689" s="5">
        <f ca="1">IFERROR(__xludf.DUMMYFUNCTION("""COMPUTED_VALUE"""),0)</f>
        <v>0</v>
      </c>
      <c r="K689" s="5" t="str">
        <f ca="1">IFERROR(__xludf.DUMMYFUNCTION("""COMPUTED_VALUE"""),"https://sfbayca.com/2020/09/22/armenian-community-suffers-third-hate-crime-incident-in-two-months/ http://asbarez.com/196959/shots-fired-at-kzv-school-in-san-francisco/ https://sanfrancisco.cbslocal.com/2020/09/21/gunfire-erupts-at-k-8-private-school-thir"&amp;"d-hate-crime-against-sf-armenians-in-2-months/")</f>
        <v>https://sfbayca.com/2020/09/22/armenian-community-suffers-third-hate-crime-incident-in-two-months/ http://asbarez.com/196959/shots-fired-at-kzv-school-in-san-francisco/ https://sanfrancisco.cbslocal.com/2020/09/21/gunfire-erupts-at-k-8-private-school-third-hate-crime-against-sf-armenians-in-2-months/</v>
      </c>
      <c r="L689" s="5">
        <f ca="1">IFERROR(__xludf.DUMMYFUNCTION("""COMPUTED_VALUE"""),3)</f>
        <v>3</v>
      </c>
      <c r="M689" s="5" t="str">
        <f ca="1">IFERROR(__xludf.DUMMYFUNCTION("""COMPUTED_VALUE"""),"Regional")</f>
        <v>Regional</v>
      </c>
      <c r="N689" s="5">
        <f ca="1">IFERROR(__xludf.DUMMYFUNCTION("""COMPUTED_VALUE"""),4)</f>
        <v>4</v>
      </c>
      <c r="O689" s="5"/>
      <c r="P689" s="5" t="str">
        <f ca="1">IFERROR(__xludf.DUMMYFUNCTION("""COMPUTED_VALUE"""),"San Francisco")</f>
        <v>San Francisco</v>
      </c>
      <c r="Q689" s="5" t="str">
        <f ca="1">IFERROR(__xludf.DUMMYFUNCTION("""COMPUTED_VALUE"""),"CA")</f>
        <v>CA</v>
      </c>
      <c r="R689" s="5" t="str">
        <f ca="1">IFERROR(__xludf.DUMMYFUNCTION("""COMPUTED_VALUE"""),"K-8")</f>
        <v>K-8</v>
      </c>
      <c r="S689" s="5" t="str">
        <f ca="1">IFERROR(__xludf.DUMMYFUNCTION("""COMPUTED_VALUE"""),"Outside on School Property")</f>
        <v>Outside on School Property</v>
      </c>
      <c r="T689" s="5" t="str">
        <f ca="1">IFERROR(__xludf.DUMMYFUNCTION("""COMPUTED_VALUE"""),"Outside on School Property")</f>
        <v>Outside on School Property</v>
      </c>
      <c r="U689" s="5" t="str">
        <f ca="1">IFERROR(__xludf.DUMMYFUNCTION("""COMPUTED_VALUE"""),"No")</f>
        <v>No</v>
      </c>
      <c r="V689" s="5" t="str">
        <f ca="1">IFERROR(__xludf.DUMMYFUNCTION("""COMPUTED_VALUE"""),"Night")</f>
        <v>Night</v>
      </c>
      <c r="W689" s="10">
        <f ca="1">IFERROR(__xludf.DUMMYFUNCTION("""COMPUTED_VALUE"""),0.600694444444444)</f>
        <v>0.60069444444444398</v>
      </c>
      <c r="X689" s="5">
        <f ca="1">IFERROR(__xludf.DUMMYFUNCTION("""COMPUTED_VALUE"""),1)</f>
        <v>1</v>
      </c>
      <c r="Y689" s="5" t="str">
        <f ca="1">IFERROR(__xludf.DUMMYFUNCTION("""COMPUTED_VALUE"""),"School sign damaged by gunshot")</f>
        <v>School sign damaged by gunshot</v>
      </c>
      <c r="Z689" s="5" t="str">
        <f ca="1">IFERROR(__xludf.DUMMYFUNCTION("""COMPUTED_VALUE"""),"Police were called for the report of gunshots near the school. Police found a bullet hole in the sign of the school. The school was been vandalized twice in the past 2 months. Shooting is being investigated as a hate crime.")</f>
        <v>Police were called for the report of gunshots near the school. Police found a bullet hole in the sign of the school. The school was been vandalized twice in the past 2 months. Shooting is being investigated as a hate crime.</v>
      </c>
      <c r="AA689" s="5" t="str">
        <f ca="1">IFERROR(__xludf.DUMMYFUNCTION("""COMPUTED_VALUE"""),"Intentional Property Damage")</f>
        <v>Intentional Property Damage</v>
      </c>
      <c r="AB689" s="5" t="str">
        <f ca="1">IFERROR(__xludf.DUMMYFUNCTION("""COMPUTED_VALUE"""),"Neither")</f>
        <v>Neither</v>
      </c>
      <c r="AC689" s="5"/>
      <c r="AD689" s="5" t="str">
        <f ca="1">IFERROR(__xludf.DUMMYFUNCTION("""COMPUTED_VALUE"""),"No")</f>
        <v>No</v>
      </c>
      <c r="AE689" s="5" t="str">
        <f ca="1">IFERROR(__xludf.DUMMYFUNCTION("""COMPUTED_VALUE"""),"No")</f>
        <v>No</v>
      </c>
      <c r="AF689" s="5" t="str">
        <f ca="1">IFERROR(__xludf.DUMMYFUNCTION("""COMPUTED_VALUE"""),"No")</f>
        <v>No</v>
      </c>
      <c r="AG689" s="5" t="str">
        <f ca="1">IFERROR(__xludf.DUMMYFUNCTION("""COMPUTED_VALUE"""),"No")</f>
        <v>No</v>
      </c>
      <c r="AH689" s="5" t="str">
        <f ca="1">IFERROR(__xludf.DUMMYFUNCTION("""COMPUTED_VALUE"""),"No")</f>
        <v>No</v>
      </c>
      <c r="AI689" s="5"/>
      <c r="AJ689" s="5" t="str">
        <f ca="1">IFERROR(__xludf.DUMMYFUNCTION("""COMPUTED_VALUE"""),"No")</f>
        <v>No</v>
      </c>
    </row>
    <row r="690" spans="1:36" ht="13">
      <c r="A690" s="5" t="str">
        <f ca="1">IFERROR(__xludf.DUMMYFUNCTION("""COMPUTED_VALUE"""),"20200918KYWIL")</f>
        <v>20200918KYWIL</v>
      </c>
      <c r="B690" s="5">
        <f ca="1">IFERROR(__xludf.DUMMYFUNCTION("""COMPUTED_VALUE"""),9)</f>
        <v>9</v>
      </c>
      <c r="C690" s="5">
        <f ca="1">IFERROR(__xludf.DUMMYFUNCTION("""COMPUTED_VALUE"""),18)</f>
        <v>18</v>
      </c>
      <c r="D690" s="5">
        <f ca="1">IFERROR(__xludf.DUMMYFUNCTION("""COMPUTED_VALUE"""),2020)</f>
        <v>2020</v>
      </c>
      <c r="E690" s="8">
        <f ca="1">IFERROR(__xludf.DUMMYFUNCTION("""COMPUTED_VALUE"""),44092)</f>
        <v>44092</v>
      </c>
      <c r="F690" s="5" t="str">
        <f ca="1">IFERROR(__xludf.DUMMYFUNCTION("""COMPUTED_VALUE"""),"Winburn Middle School")</f>
        <v>Winburn Middle School</v>
      </c>
      <c r="G690" s="5">
        <f ca="1">IFERROR(__xludf.DUMMYFUNCTION("""COMPUTED_VALUE"""),0)</f>
        <v>0</v>
      </c>
      <c r="H690" s="5">
        <f ca="1">IFERROR(__xludf.DUMMYFUNCTION("""COMPUTED_VALUE"""),1)</f>
        <v>1</v>
      </c>
      <c r="I690" s="5">
        <f ca="1">IFERROR(__xludf.DUMMYFUNCTION("""COMPUTED_VALUE"""),1)</f>
        <v>1</v>
      </c>
      <c r="J690" s="5">
        <f ca="1">IFERROR(__xludf.DUMMYFUNCTION("""COMPUTED_VALUE"""),0)</f>
        <v>0</v>
      </c>
      <c r="K690" s="9" t="str">
        <f ca="1">IFERROR(__xludf.DUMMYFUNCTION("""COMPUTED_VALUE"""),"https://www.wkyt.com/2020/09/19/one-shot-near-lexington-school/")</f>
        <v>https://www.wkyt.com/2020/09/19/one-shot-near-lexington-school/</v>
      </c>
      <c r="L690" s="5">
        <f ca="1">IFERROR(__xludf.DUMMYFUNCTION("""COMPUTED_VALUE"""),1)</f>
        <v>1</v>
      </c>
      <c r="M690" s="5" t="str">
        <f ca="1">IFERROR(__xludf.DUMMYFUNCTION("""COMPUTED_VALUE"""),"Local")</f>
        <v>Local</v>
      </c>
      <c r="N690" s="5">
        <f ca="1">IFERROR(__xludf.DUMMYFUNCTION("""COMPUTED_VALUE"""),3)</f>
        <v>3</v>
      </c>
      <c r="O690" s="5" t="str">
        <f ca="1">IFERROR(__xludf.DUMMYFUNCTION("""COMPUTED_VALUE"""),"Fall")</f>
        <v>Fall</v>
      </c>
      <c r="P690" s="5" t="str">
        <f ca="1">IFERROR(__xludf.DUMMYFUNCTION("""COMPUTED_VALUE"""),"Lexington")</f>
        <v>Lexington</v>
      </c>
      <c r="Q690" s="5" t="str">
        <f ca="1">IFERROR(__xludf.DUMMYFUNCTION("""COMPUTED_VALUE"""),"KY")</f>
        <v>KY</v>
      </c>
      <c r="R690" s="5" t="str">
        <f ca="1">IFERROR(__xludf.DUMMYFUNCTION("""COMPUTED_VALUE"""),"Middle")</f>
        <v>Middle</v>
      </c>
      <c r="S690" s="5" t="str">
        <f ca="1">IFERROR(__xludf.DUMMYFUNCTION("""COMPUTED_VALUE"""),"Basketball Court")</f>
        <v>Basketball Court</v>
      </c>
      <c r="T690" s="5" t="str">
        <f ca="1">IFERROR(__xludf.DUMMYFUNCTION("""COMPUTED_VALUE"""),"Outside on School Property")</f>
        <v>Outside on School Property</v>
      </c>
      <c r="U690" s="5" t="str">
        <f ca="1">IFERROR(__xludf.DUMMYFUNCTION("""COMPUTED_VALUE"""),"No")</f>
        <v>No</v>
      </c>
      <c r="V690" s="5" t="str">
        <f ca="1">IFERROR(__xludf.DUMMYFUNCTION("""COMPUTED_VALUE"""),"Evening")</f>
        <v>Evening</v>
      </c>
      <c r="W690" s="10">
        <f ca="1">IFERROR(__xludf.DUMMYFUNCTION("""COMPUTED_VALUE"""),0.854166666666666)</f>
        <v>0.85416666666666596</v>
      </c>
      <c r="X690" s="5">
        <f ca="1">IFERROR(__xludf.DUMMYFUNCTION("""COMPUTED_VALUE"""),1)</f>
        <v>1</v>
      </c>
      <c r="Y690" s="5" t="str">
        <f ca="1">IFERROR(__xludf.DUMMYFUNCTION("""COMPUTED_VALUE"""),"Man shot near the school basketball court")</f>
        <v>Man shot near the school basketball court</v>
      </c>
      <c r="Z690" s="5" t="str">
        <f ca="1">IFERROR(__xludf.DUMMYFUNCTION("""COMPUTED_VALUE"""),"Man was shot near the school basketball court. Police did not provide any other information.")</f>
        <v>Man was shot near the school basketball court. Police did not provide any other information.</v>
      </c>
      <c r="AA690" s="5"/>
      <c r="AB690" s="5"/>
      <c r="AC690" s="5"/>
      <c r="AD690" s="5" t="str">
        <f ca="1">IFERROR(__xludf.DUMMYFUNCTION("""COMPUTED_VALUE"""),"No")</f>
        <v>No</v>
      </c>
      <c r="AE690" s="5" t="str">
        <f ca="1">IFERROR(__xludf.DUMMYFUNCTION("""COMPUTED_VALUE"""),"No")</f>
        <v>No</v>
      </c>
      <c r="AF690" s="5" t="str">
        <f ca="1">IFERROR(__xludf.DUMMYFUNCTION("""COMPUTED_VALUE"""),"No")</f>
        <v>No</v>
      </c>
      <c r="AG690" s="5" t="str">
        <f ca="1">IFERROR(__xludf.DUMMYFUNCTION("""COMPUTED_VALUE"""),"No")</f>
        <v>No</v>
      </c>
      <c r="AH690" s="5" t="str">
        <f ca="1">IFERROR(__xludf.DUMMYFUNCTION("""COMPUTED_VALUE"""),"No")</f>
        <v>No</v>
      </c>
      <c r="AI690" s="5"/>
      <c r="AJ690" s="5" t="str">
        <f ca="1">IFERROR(__xludf.DUMMYFUNCTION("""COMPUTED_VALUE"""),"No")</f>
        <v>No</v>
      </c>
    </row>
    <row r="691" spans="1:36" ht="13">
      <c r="A691" s="5" t="str">
        <f ca="1">IFERROR(__xludf.DUMMYFUNCTION("""COMPUTED_VALUE"""),"20200917ORDRP")</f>
        <v>20200917ORDRP</v>
      </c>
      <c r="B691" s="5">
        <f ca="1">IFERROR(__xludf.DUMMYFUNCTION("""COMPUTED_VALUE"""),9)</f>
        <v>9</v>
      </c>
      <c r="C691" s="5">
        <f ca="1">IFERROR(__xludf.DUMMYFUNCTION("""COMPUTED_VALUE"""),17)</f>
        <v>17</v>
      </c>
      <c r="D691" s="5">
        <f ca="1">IFERROR(__xludf.DUMMYFUNCTION("""COMPUTED_VALUE"""),2020)</f>
        <v>2020</v>
      </c>
      <c r="E691" s="8">
        <f ca="1">IFERROR(__xludf.DUMMYFUNCTION("""COMPUTED_VALUE"""),44091)</f>
        <v>44091</v>
      </c>
      <c r="F691" s="5" t="str">
        <f ca="1">IFERROR(__xludf.DUMMYFUNCTION("""COMPUTED_VALUE"""),"Dr. Martin Luther King Jr. Elementary School")</f>
        <v>Dr. Martin Luther King Jr. Elementary School</v>
      </c>
      <c r="G691" s="5">
        <f ca="1">IFERROR(__xludf.DUMMYFUNCTION("""COMPUTED_VALUE"""),0)</f>
        <v>0</v>
      </c>
      <c r="H691" s="5">
        <f ca="1">IFERROR(__xludf.DUMMYFUNCTION("""COMPUTED_VALUE"""),1)</f>
        <v>1</v>
      </c>
      <c r="I691" s="5">
        <f ca="1">IFERROR(__xludf.DUMMYFUNCTION("""COMPUTED_VALUE"""),1)</f>
        <v>1</v>
      </c>
      <c r="J691" s="5">
        <f ca="1">IFERROR(__xludf.DUMMYFUNCTION("""COMPUTED_VALUE"""),0)</f>
        <v>0</v>
      </c>
      <c r="K691" s="5" t="str">
        <f ca="1">IFERROR(__xludf.DUMMYFUNCTION("""COMPUTED_VALUE"""),"https://www.kxl.com/four-shootings-in-portland-in-7-hours/ https://pamplinmedia.com/pt/9-news/480506-387841-two-shot-in-southeast-portland-is-separate-incidents")</f>
        <v>https://www.kxl.com/four-shootings-in-portland-in-7-hours/ https://pamplinmedia.com/pt/9-news/480506-387841-two-shot-in-southeast-portland-is-separate-incidents</v>
      </c>
      <c r="L691" s="5">
        <f ca="1">IFERROR(__xludf.DUMMYFUNCTION("""COMPUTED_VALUE"""),2)</f>
        <v>2</v>
      </c>
      <c r="M691" s="5" t="str">
        <f ca="1">IFERROR(__xludf.DUMMYFUNCTION("""COMPUTED_VALUE"""),"Local")</f>
        <v>Local</v>
      </c>
      <c r="N691" s="5">
        <f ca="1">IFERROR(__xludf.DUMMYFUNCTION("""COMPUTED_VALUE"""),3)</f>
        <v>3</v>
      </c>
      <c r="O691" s="5" t="str">
        <f ca="1">IFERROR(__xludf.DUMMYFUNCTION("""COMPUTED_VALUE"""),"Fall")</f>
        <v>Fall</v>
      </c>
      <c r="P691" s="5" t="str">
        <f ca="1">IFERROR(__xludf.DUMMYFUNCTION("""COMPUTED_VALUE"""),"Portland")</f>
        <v>Portland</v>
      </c>
      <c r="Q691" s="5" t="str">
        <f ca="1">IFERROR(__xludf.DUMMYFUNCTION("""COMPUTED_VALUE"""),"OR")</f>
        <v>OR</v>
      </c>
      <c r="R691" s="5" t="str">
        <f ca="1">IFERROR(__xludf.DUMMYFUNCTION("""COMPUTED_VALUE"""),"Elementary")</f>
        <v>Elementary</v>
      </c>
      <c r="S691" s="5" t="str">
        <f ca="1">IFERROR(__xludf.DUMMYFUNCTION("""COMPUTED_VALUE"""),"Outside on School Property")</f>
        <v>Outside on School Property</v>
      </c>
      <c r="T691" s="5" t="str">
        <f ca="1">IFERROR(__xludf.DUMMYFUNCTION("""COMPUTED_VALUE"""),"Outside on School Property")</f>
        <v>Outside on School Property</v>
      </c>
      <c r="U691" s="5" t="str">
        <f ca="1">IFERROR(__xludf.DUMMYFUNCTION("""COMPUTED_VALUE"""),"No")</f>
        <v>No</v>
      </c>
      <c r="V691" s="5" t="str">
        <f ca="1">IFERROR(__xludf.DUMMYFUNCTION("""COMPUTED_VALUE"""),"Night")</f>
        <v>Night</v>
      </c>
      <c r="W691" s="10">
        <f ca="1">IFERROR(__xludf.DUMMYFUNCTION("""COMPUTED_VALUE"""),0.900694444444444)</f>
        <v>0.90069444444444402</v>
      </c>
      <c r="X691" s="5">
        <f ca="1">IFERROR(__xludf.DUMMYFUNCTION("""COMPUTED_VALUE"""),1)</f>
        <v>1</v>
      </c>
      <c r="Y691" s="5" t="str">
        <f ca="1">IFERROR(__xludf.DUMMYFUNCTION("""COMPUTED_VALUE"""),"Victim shot near school tennis court")</f>
        <v>Victim shot near school tennis court</v>
      </c>
      <c r="Z691" s="5" t="str">
        <f ca="1">IFERROR(__xludf.DUMMYFUNCTION("""COMPUTED_VALUE"""),"Victim shot near school tennis court. Police were called for report of gunshot and did not find any victims. Victim was driven to the hospital and notified police that the shooting occurred near the school tennis court. Shooter fled.")</f>
        <v>Victim shot near school tennis court. Police were called for report of gunshot and did not find any victims. Victim was driven to the hospital and notified police that the shooting occurred near the school tennis court. Shooter fled.</v>
      </c>
      <c r="AA691" s="5"/>
      <c r="AB691" s="5"/>
      <c r="AC691" s="5"/>
      <c r="AD691" s="5" t="str">
        <f ca="1">IFERROR(__xludf.DUMMYFUNCTION("""COMPUTED_VALUE"""),"No")</f>
        <v>No</v>
      </c>
      <c r="AE691" s="5" t="str">
        <f ca="1">IFERROR(__xludf.DUMMYFUNCTION("""COMPUTED_VALUE"""),"No")</f>
        <v>No</v>
      </c>
      <c r="AF691" s="5" t="str">
        <f ca="1">IFERROR(__xludf.DUMMYFUNCTION("""COMPUTED_VALUE"""),"No")</f>
        <v>No</v>
      </c>
      <c r="AG691" s="5" t="str">
        <f ca="1">IFERROR(__xludf.DUMMYFUNCTION("""COMPUTED_VALUE"""),"No")</f>
        <v>No</v>
      </c>
      <c r="AH691" s="5" t="str">
        <f ca="1">IFERROR(__xludf.DUMMYFUNCTION("""COMPUTED_VALUE"""),"No")</f>
        <v>No</v>
      </c>
      <c r="AI691" s="5"/>
      <c r="AJ691" s="5" t="str">
        <f ca="1">IFERROR(__xludf.DUMMYFUNCTION("""COMPUTED_VALUE"""),"No")</f>
        <v>No</v>
      </c>
    </row>
    <row r="692" spans="1:36" ht="13">
      <c r="A692" s="5" t="str">
        <f ca="1">IFERROR(__xludf.DUMMYFUNCTION("""COMPUTED_VALUE"""),"20200917OHELA")</f>
        <v>20200917OHELA</v>
      </c>
      <c r="B692" s="5">
        <f ca="1">IFERROR(__xludf.DUMMYFUNCTION("""COMPUTED_VALUE"""),9)</f>
        <v>9</v>
      </c>
      <c r="C692" s="5">
        <f ca="1">IFERROR(__xludf.DUMMYFUNCTION("""COMPUTED_VALUE"""),17)</f>
        <v>17</v>
      </c>
      <c r="D692" s="5">
        <f ca="1">IFERROR(__xludf.DUMMYFUNCTION("""COMPUTED_VALUE"""),2020)</f>
        <v>2020</v>
      </c>
      <c r="E692" s="8">
        <f ca="1">IFERROR(__xludf.DUMMYFUNCTION("""COMPUTED_VALUE"""),44091)</f>
        <v>44091</v>
      </c>
      <c r="F692" s="5" t="str">
        <f ca="1">IFERROR(__xludf.DUMMYFUNCTION("""COMPUTED_VALUE"""),"Ellet High School")</f>
        <v>Ellet High School</v>
      </c>
      <c r="G692" s="5">
        <f ca="1">IFERROR(__xludf.DUMMYFUNCTION("""COMPUTED_VALUE"""),0)</f>
        <v>0</v>
      </c>
      <c r="H692" s="5">
        <f ca="1">IFERROR(__xludf.DUMMYFUNCTION("""COMPUTED_VALUE"""),2)</f>
        <v>2</v>
      </c>
      <c r="I692" s="5">
        <f ca="1">IFERROR(__xludf.DUMMYFUNCTION("""COMPUTED_VALUE"""),2)</f>
        <v>2</v>
      </c>
      <c r="J692" s="5">
        <f ca="1">IFERROR(__xludf.DUMMYFUNCTION("""COMPUTED_VALUE"""),0)</f>
        <v>0</v>
      </c>
      <c r="K692" s="5" t="str">
        <f ca="1">IFERROR(__xludf.DUMMYFUNCTION("""COMPUTED_VALUE"""),"https://www.news5cleveland.com/news/local-news/akron-canton-news/2-shot-during-akron-high-school-football-game https://www.cleveland19.com/2020/09/17/shot-akron-football-game-between-east-high-school-firestone-clc/ https://www.wkyc.com/article/news/crime/"&amp;"two-injured-in-shooting-at-ellet-high-school-football-game/95-ca3ff63b-ac9f-470a-aec8-cd3ec89df79c")</f>
        <v>https://www.news5cleveland.com/news/local-news/akron-canton-news/2-shot-during-akron-high-school-football-game https://www.cleveland19.com/2020/09/17/shot-akron-football-game-between-east-high-school-firestone-clc/ https://www.wkyc.com/article/news/crime/two-injured-in-shooting-at-ellet-high-school-football-game/95-ca3ff63b-ac9f-470a-aec8-cd3ec89df79c</v>
      </c>
      <c r="L692" s="5"/>
      <c r="M692" s="5" t="str">
        <f ca="1">IFERROR(__xludf.DUMMYFUNCTION("""COMPUTED_VALUE"""),"Local")</f>
        <v>Local</v>
      </c>
      <c r="N692" s="5">
        <f ca="1">IFERROR(__xludf.DUMMYFUNCTION("""COMPUTED_VALUE"""),4)</f>
        <v>4</v>
      </c>
      <c r="O692" s="5" t="str">
        <f ca="1">IFERROR(__xludf.DUMMYFUNCTION("""COMPUTED_VALUE"""),"Fall")</f>
        <v>Fall</v>
      </c>
      <c r="P692" s="5" t="str">
        <f ca="1">IFERROR(__xludf.DUMMYFUNCTION("""COMPUTED_VALUE"""),"Akron")</f>
        <v>Akron</v>
      </c>
      <c r="Q692" s="5" t="str">
        <f ca="1">IFERROR(__xludf.DUMMYFUNCTION("""COMPUTED_VALUE"""),"OH")</f>
        <v>OH</v>
      </c>
      <c r="R692" s="5" t="str">
        <f ca="1">IFERROR(__xludf.DUMMYFUNCTION("""COMPUTED_VALUE"""),"High")</f>
        <v>High</v>
      </c>
      <c r="S692" s="5" t="str">
        <f ca="1">IFERROR(__xludf.DUMMYFUNCTION("""COMPUTED_VALUE"""),"Football Field/Track")</f>
        <v>Football Field/Track</v>
      </c>
      <c r="T692" s="5" t="str">
        <f ca="1">IFERROR(__xludf.DUMMYFUNCTION("""COMPUTED_VALUE"""),"Outside on School Property")</f>
        <v>Outside on School Property</v>
      </c>
      <c r="U692" s="5" t="str">
        <f ca="1">IFERROR(__xludf.DUMMYFUNCTION("""COMPUTED_VALUE"""),"No")</f>
        <v>No</v>
      </c>
      <c r="V692" s="5" t="str">
        <f ca="1">IFERROR(__xludf.DUMMYFUNCTION("""COMPUTED_VALUE"""),"Sport Event")</f>
        <v>Sport Event</v>
      </c>
      <c r="W692" s="10">
        <f ca="1">IFERROR(__xludf.DUMMYFUNCTION("""COMPUTED_VALUE"""),0.833333333333333)</f>
        <v>0.83333333333333304</v>
      </c>
      <c r="X692" s="5">
        <f ca="1">IFERROR(__xludf.DUMMYFUNCTION("""COMPUTED_VALUE"""),1)</f>
        <v>1</v>
      </c>
      <c r="Y692" s="5" t="str">
        <f ca="1">IFERROR(__xludf.DUMMYFUNCTION("""COMPUTED_VALUE"""),"Teen shot another teen and bystander during dispute at football game")</f>
        <v>Teen shot another teen and bystander during dispute at football game</v>
      </c>
      <c r="Z692" s="5" t="str">
        <f ca="1">IFERROR(__xludf.DUMMYFUNCTION("""COMPUTED_VALUE"""),"An unidentified teen got into a dispute with a 19YOM (victim) in the stands during a high school football game. The teen shot the 19YOM victim and a woman in her 40's seated behind them. The shooter fled the area.")</f>
        <v>An unidentified teen got into a dispute with a 19YOM (victim) in the stands during a high school football game. The teen shot the 19YOM victim and a woman in her 40's seated behind them. The shooter fled the area.</v>
      </c>
      <c r="AA692" s="5" t="str">
        <f ca="1">IFERROR(__xludf.DUMMYFUNCTION("""COMPUTED_VALUE"""),"Escalation of Dispute")</f>
        <v>Escalation of Dispute</v>
      </c>
      <c r="AB692" s="5" t="str">
        <f ca="1">IFERROR(__xludf.DUMMYFUNCTION("""COMPUTED_VALUE"""),"Both")</f>
        <v>Both</v>
      </c>
      <c r="AC692" s="5" t="str">
        <f ca="1">IFERROR(__xludf.DUMMYFUNCTION("""COMPUTED_VALUE"""),"No")</f>
        <v>No</v>
      </c>
      <c r="AD692" s="5" t="str">
        <f ca="1">IFERROR(__xludf.DUMMYFUNCTION("""COMPUTED_VALUE"""),"No")</f>
        <v>No</v>
      </c>
      <c r="AE692" s="5" t="str">
        <f ca="1">IFERROR(__xludf.DUMMYFUNCTION("""COMPUTED_VALUE"""),"No")</f>
        <v>No</v>
      </c>
      <c r="AF692" s="5" t="str">
        <f ca="1">IFERROR(__xludf.DUMMYFUNCTION("""COMPUTED_VALUE"""),"No")</f>
        <v>No</v>
      </c>
      <c r="AG692" s="5" t="str">
        <f ca="1">IFERROR(__xludf.DUMMYFUNCTION("""COMPUTED_VALUE"""),"No")</f>
        <v>No</v>
      </c>
      <c r="AH692" s="5" t="str">
        <f ca="1">IFERROR(__xludf.DUMMYFUNCTION("""COMPUTED_VALUE"""),"No")</f>
        <v>No</v>
      </c>
      <c r="AI692" s="5"/>
      <c r="AJ692" s="5" t="str">
        <f ca="1">IFERROR(__xludf.DUMMYFUNCTION("""COMPUTED_VALUE"""),"No")</f>
        <v>No</v>
      </c>
    </row>
    <row r="693" spans="1:36" ht="13">
      <c r="A693" s="5" t="str">
        <f ca="1">IFERROR(__xludf.DUMMYFUNCTION("""COMPUTED_VALUE"""),"20200916CASOS")</f>
        <v>20200916CASOS</v>
      </c>
      <c r="B693" s="5">
        <f ca="1">IFERROR(__xludf.DUMMYFUNCTION("""COMPUTED_VALUE"""),9)</f>
        <v>9</v>
      </c>
      <c r="C693" s="5">
        <f ca="1">IFERROR(__xludf.DUMMYFUNCTION("""COMPUTED_VALUE"""),16)</f>
        <v>16</v>
      </c>
      <c r="D693" s="5">
        <f ca="1">IFERROR(__xludf.DUMMYFUNCTION("""COMPUTED_VALUE"""),2020)</f>
        <v>2020</v>
      </c>
      <c r="E693" s="8">
        <f ca="1">IFERROR(__xludf.DUMMYFUNCTION("""COMPUTED_VALUE"""),44090)</f>
        <v>44090</v>
      </c>
      <c r="F693" s="5" t="str">
        <f ca="1">IFERROR(__xludf.DUMMYFUNCTION("""COMPUTED_VALUE"""),"Sonora High School")</f>
        <v>Sonora High School</v>
      </c>
      <c r="G693" s="5">
        <f ca="1">IFERROR(__xludf.DUMMYFUNCTION("""COMPUTED_VALUE"""),1)</f>
        <v>1</v>
      </c>
      <c r="H693" s="5">
        <f ca="1">IFERROR(__xludf.DUMMYFUNCTION("""COMPUTED_VALUE"""),0)</f>
        <v>0</v>
      </c>
      <c r="I693" s="5">
        <f ca="1">IFERROR(__xludf.DUMMYFUNCTION("""COMPUTED_VALUE"""),1)</f>
        <v>1</v>
      </c>
      <c r="J693" s="5">
        <f ca="1">IFERROR(__xludf.DUMMYFUNCTION("""COMPUTED_VALUE"""),0)</f>
        <v>0</v>
      </c>
      <c r="K693" s="5" t="str">
        <f ca="1">IFERROR(__xludf.DUMMYFUNCTION("""COMPUTED_VALUE"""),"https://www.uniondemocrat.com/news/article_8643953a-f8f9-11ea-a90c-53c220f7f58c.html https://www.mymotherlode.com/news/local/1261277/homicide-investigation-in-sonora-following-death-of-teen.html")</f>
        <v>https://www.uniondemocrat.com/news/article_8643953a-f8f9-11ea-a90c-53c220f7f58c.html https://www.mymotherlode.com/news/local/1261277/homicide-investigation-in-sonora-following-death-of-teen.html</v>
      </c>
      <c r="L693" s="5">
        <f ca="1">IFERROR(__xludf.DUMMYFUNCTION("""COMPUTED_VALUE"""),2)</f>
        <v>2</v>
      </c>
      <c r="M693" s="5" t="str">
        <f ca="1">IFERROR(__xludf.DUMMYFUNCTION("""COMPUTED_VALUE"""),"Local")</f>
        <v>Local</v>
      </c>
      <c r="N693" s="5">
        <f ca="1">IFERROR(__xludf.DUMMYFUNCTION("""COMPUTED_VALUE"""),4)</f>
        <v>4</v>
      </c>
      <c r="O693" s="5" t="str">
        <f ca="1">IFERROR(__xludf.DUMMYFUNCTION("""COMPUTED_VALUE"""),"Fall")</f>
        <v>Fall</v>
      </c>
      <c r="P693" s="5" t="str">
        <f ca="1">IFERROR(__xludf.DUMMYFUNCTION("""COMPUTED_VALUE"""),"Sonora")</f>
        <v>Sonora</v>
      </c>
      <c r="Q693" s="5" t="str">
        <f ca="1">IFERROR(__xludf.DUMMYFUNCTION("""COMPUTED_VALUE"""),"CA")</f>
        <v>CA</v>
      </c>
      <c r="R693" s="5" t="str">
        <f ca="1">IFERROR(__xludf.DUMMYFUNCTION("""COMPUTED_VALUE"""),"High")</f>
        <v>High</v>
      </c>
      <c r="S693" s="5" t="str">
        <f ca="1">IFERROR(__xludf.DUMMYFUNCTION("""COMPUTED_VALUE"""),"Parking Lot")</f>
        <v>Parking Lot</v>
      </c>
      <c r="T693" s="5" t="str">
        <f ca="1">IFERROR(__xludf.DUMMYFUNCTION("""COMPUTED_VALUE"""),"Outside on School Property")</f>
        <v>Outside on School Property</v>
      </c>
      <c r="U693" s="5" t="str">
        <f ca="1">IFERROR(__xludf.DUMMYFUNCTION("""COMPUTED_VALUE"""),"No")</f>
        <v>No</v>
      </c>
      <c r="V693" s="5" t="str">
        <f ca="1">IFERROR(__xludf.DUMMYFUNCTION("""COMPUTED_VALUE"""),"Night")</f>
        <v>Night</v>
      </c>
      <c r="W693" s="10">
        <f ca="1">IFERROR(__xludf.DUMMYFUNCTION("""COMPUTED_VALUE"""),0.990277777777777)</f>
        <v>0.99027777777777704</v>
      </c>
      <c r="X693" s="5">
        <f ca="1">IFERROR(__xludf.DUMMYFUNCTION("""COMPUTED_VALUE"""),1)</f>
        <v>1</v>
      </c>
      <c r="Y693" s="5" t="str">
        <f ca="1">IFERROR(__xludf.DUMMYFUNCTION("""COMPUTED_VALUE"""),"17 year-old male killed in the school parking lot")</f>
        <v>17 year-old male killed in the school parking lot</v>
      </c>
      <c r="Z693" s="5" t="str">
        <f ca="1">IFERROR(__xludf.DUMMYFUNCTION("""COMPUTED_VALUE"""),"Multiple shots were fired in the school parking lot and 3-4 vehicles fled the scene. When officers arrived, the shooters and victims had fled. Officers were notified by the local hospital that a 17YOM gun shot victim (fatal) had been brought in. Police sa"&amp;"id the shooting was not random and the victim and shooter(s) were known to each other.")</f>
        <v>Multiple shots were fired in the school parking lot and 3-4 vehicles fled the scene. When officers arrived, the shooters and victims had fled. Officers were notified by the local hospital that a 17YOM gun shot victim (fatal) had been brought in. Police said the shooting was not random and the victim and shooter(s) were known to each other.</v>
      </c>
      <c r="AA693" s="5" t="str">
        <f ca="1">IFERROR(__xludf.DUMMYFUNCTION("""COMPUTED_VALUE"""),"Drive-by Shooting")</f>
        <v>Drive-by Shooting</v>
      </c>
      <c r="AB693" s="5" t="str">
        <f ca="1">IFERROR(__xludf.DUMMYFUNCTION("""COMPUTED_VALUE"""),"Victims Targeted")</f>
        <v>Victims Targeted</v>
      </c>
      <c r="AC693" s="5" t="str">
        <f ca="1">IFERROR(__xludf.DUMMYFUNCTION("""COMPUTED_VALUE"""),"Yes")</f>
        <v>Yes</v>
      </c>
      <c r="AD693" s="5" t="str">
        <f ca="1">IFERROR(__xludf.DUMMYFUNCTION("""COMPUTED_VALUE"""),"No")</f>
        <v>No</v>
      </c>
      <c r="AE693" s="5" t="str">
        <f ca="1">IFERROR(__xludf.DUMMYFUNCTION("""COMPUTED_VALUE"""),"No")</f>
        <v>No</v>
      </c>
      <c r="AF693" s="5" t="str">
        <f ca="1">IFERROR(__xludf.DUMMYFUNCTION("""COMPUTED_VALUE"""),"No")</f>
        <v>No</v>
      </c>
      <c r="AG693" s="5" t="str">
        <f ca="1">IFERROR(__xludf.DUMMYFUNCTION("""COMPUTED_VALUE"""),"No")</f>
        <v>No</v>
      </c>
      <c r="AH693" s="5" t="str">
        <f ca="1">IFERROR(__xludf.DUMMYFUNCTION("""COMPUTED_VALUE"""),"No")</f>
        <v>No</v>
      </c>
      <c r="AI693" s="5"/>
      <c r="AJ693" s="5" t="str">
        <f ca="1">IFERROR(__xludf.DUMMYFUNCTION("""COMPUTED_VALUE"""),"No")</f>
        <v>No</v>
      </c>
    </row>
    <row r="694" spans="1:36" ht="13">
      <c r="A694" s="5" t="str">
        <f ca="1">IFERROR(__xludf.DUMMYFUNCTION("""COMPUTED_VALUE"""),"20200915SCYOR")</f>
        <v>20200915SCYOR</v>
      </c>
      <c r="B694" s="5">
        <f ca="1">IFERROR(__xludf.DUMMYFUNCTION("""COMPUTED_VALUE"""),9)</f>
        <v>9</v>
      </c>
      <c r="C694" s="5">
        <f ca="1">IFERROR(__xludf.DUMMYFUNCTION("""COMPUTED_VALUE"""),15)</f>
        <v>15</v>
      </c>
      <c r="D694" s="5">
        <f ca="1">IFERROR(__xludf.DUMMYFUNCTION("""COMPUTED_VALUE"""),2020)</f>
        <v>2020</v>
      </c>
      <c r="E694" s="8">
        <f ca="1">IFERROR(__xludf.DUMMYFUNCTION("""COMPUTED_VALUE"""),44089)</f>
        <v>44089</v>
      </c>
      <c r="F694" s="5" t="str">
        <f ca="1">IFERROR(__xludf.DUMMYFUNCTION("""COMPUTED_VALUE"""),"York County School Bus")</f>
        <v>York County School Bus</v>
      </c>
      <c r="G694" s="5">
        <f ca="1">IFERROR(__xludf.DUMMYFUNCTION("""COMPUTED_VALUE"""),0)</f>
        <v>0</v>
      </c>
      <c r="H694" s="5">
        <f ca="1">IFERROR(__xludf.DUMMYFUNCTION("""COMPUTED_VALUE"""),0)</f>
        <v>0</v>
      </c>
      <c r="I694" s="5">
        <f ca="1">IFERROR(__xludf.DUMMYFUNCTION("""COMPUTED_VALUE"""),0)</f>
        <v>0</v>
      </c>
      <c r="J694" s="5">
        <f ca="1">IFERROR(__xludf.DUMMYFUNCTION("""COMPUTED_VALUE"""),0)</f>
        <v>0</v>
      </c>
      <c r="K694" s="9" t="str">
        <f ca="1">IFERROR(__xludf.DUMMYFUNCTION("""COMPUTED_VALUE"""),"https://www.heraldonline.com/news/local/crime/article245774640.html")</f>
        <v>https://www.heraldonline.com/news/local/crime/article245774640.html</v>
      </c>
      <c r="L694" s="5">
        <f ca="1">IFERROR(__xludf.DUMMYFUNCTION("""COMPUTED_VALUE"""),2)</f>
        <v>2</v>
      </c>
      <c r="M694" s="5" t="str">
        <f ca="1">IFERROR(__xludf.DUMMYFUNCTION("""COMPUTED_VALUE"""),"Local")</f>
        <v>Local</v>
      </c>
      <c r="N694" s="5">
        <f ca="1">IFERROR(__xludf.DUMMYFUNCTION("""COMPUTED_VALUE"""),4)</f>
        <v>4</v>
      </c>
      <c r="O694" s="5" t="str">
        <f ca="1">IFERROR(__xludf.DUMMYFUNCTION("""COMPUTED_VALUE"""),"Fall")</f>
        <v>Fall</v>
      </c>
      <c r="P694" s="5" t="str">
        <f ca="1">IFERROR(__xludf.DUMMYFUNCTION("""COMPUTED_VALUE"""),"Rock Hill")</f>
        <v>Rock Hill</v>
      </c>
      <c r="Q694" s="5" t="str">
        <f ca="1">IFERROR(__xludf.DUMMYFUNCTION("""COMPUTED_VALUE"""),"SC")</f>
        <v>SC</v>
      </c>
      <c r="R694" s="5"/>
      <c r="S694" s="5" t="str">
        <f ca="1">IFERROR(__xludf.DUMMYFUNCTION("""COMPUTED_VALUE"""),"School Bus")</f>
        <v>School Bus</v>
      </c>
      <c r="T694" s="5" t="str">
        <f ca="1">IFERROR(__xludf.DUMMYFUNCTION("""COMPUTED_VALUE"""),"School Bus")</f>
        <v>School Bus</v>
      </c>
      <c r="U694" s="5" t="str">
        <f ca="1">IFERROR(__xludf.DUMMYFUNCTION("""COMPUTED_VALUE"""),"Yes")</f>
        <v>Yes</v>
      </c>
      <c r="V694" s="5" t="str">
        <f ca="1">IFERROR(__xludf.DUMMYFUNCTION("""COMPUTED_VALUE"""),"Dismissal")</f>
        <v>Dismissal</v>
      </c>
      <c r="W694" s="10">
        <f ca="1">IFERROR(__xludf.DUMMYFUNCTION("""COMPUTED_VALUE"""),0.614583333333333)</f>
        <v>0.61458333333333304</v>
      </c>
      <c r="X694" s="5">
        <f ca="1">IFERROR(__xludf.DUMMYFUNCTION("""COMPUTED_VALUE"""),1)</f>
        <v>1</v>
      </c>
      <c r="Y694" s="5" t="str">
        <f ca="1">IFERROR(__xludf.DUMMYFUNCTION("""COMPUTED_VALUE"""),"BB shot at occupied school bus broke window")</f>
        <v>BB shot at occupied school bus broke window</v>
      </c>
      <c r="Z694" s="5" t="str">
        <f ca="1">IFERROR(__xludf.DUMMYFUNCTION("""COMPUTED_VALUE"""),"A BB fired at a school bus occupied by one student broke the window. The student and driver were not injured. No suspect identified. Police are investigating.")</f>
        <v>A BB fired at a school bus occupied by one student broke the window. The student and driver were not injured. No suspect identified. Police are investigating.</v>
      </c>
      <c r="AA694" s="5" t="str">
        <f ca="1">IFERROR(__xludf.DUMMYFUNCTION("""COMPUTED_VALUE"""),"Intentional Property Damage")</f>
        <v>Intentional Property Damage</v>
      </c>
      <c r="AB694" s="5" t="str">
        <f ca="1">IFERROR(__xludf.DUMMYFUNCTION("""COMPUTED_VALUE"""),"Neither")</f>
        <v>Neither</v>
      </c>
      <c r="AC694" s="5"/>
      <c r="AD694" s="5" t="str">
        <f ca="1">IFERROR(__xludf.DUMMYFUNCTION("""COMPUTED_VALUE"""),"No")</f>
        <v>No</v>
      </c>
      <c r="AE694" s="5" t="str">
        <f ca="1">IFERROR(__xludf.DUMMYFUNCTION("""COMPUTED_VALUE"""),"No")</f>
        <v>No</v>
      </c>
      <c r="AF694" s="5" t="str">
        <f ca="1">IFERROR(__xludf.DUMMYFUNCTION("""COMPUTED_VALUE"""),"No")</f>
        <v>No</v>
      </c>
      <c r="AG694" s="5" t="str">
        <f ca="1">IFERROR(__xludf.DUMMYFUNCTION("""COMPUTED_VALUE"""),"No")</f>
        <v>No</v>
      </c>
      <c r="AH694" s="5" t="str">
        <f ca="1">IFERROR(__xludf.DUMMYFUNCTION("""COMPUTED_VALUE"""),"No")</f>
        <v>No</v>
      </c>
      <c r="AI694" s="5" t="str">
        <f ca="1">IFERROR(__xludf.DUMMYFUNCTION("""COMPUTED_VALUE"""),"No")</f>
        <v>No</v>
      </c>
      <c r="AJ694" s="5" t="str">
        <f ca="1">IFERROR(__xludf.DUMMYFUNCTION("""COMPUTED_VALUE"""),"No")</f>
        <v>No</v>
      </c>
    </row>
    <row r="695" spans="1:36" ht="13">
      <c r="A695" s="5" t="str">
        <f ca="1">IFERROR(__xludf.DUMMYFUNCTION("""COMPUTED_VALUE"""),"20200916WAARG")</f>
        <v>20200916WAARG</v>
      </c>
      <c r="B695" s="5">
        <f ca="1">IFERROR(__xludf.DUMMYFUNCTION("""COMPUTED_VALUE"""),9)</f>
        <v>9</v>
      </c>
      <c r="C695" s="5">
        <f ca="1">IFERROR(__xludf.DUMMYFUNCTION("""COMPUTED_VALUE"""),15)</f>
        <v>15</v>
      </c>
      <c r="D695" s="5">
        <f ca="1">IFERROR(__xludf.DUMMYFUNCTION("""COMPUTED_VALUE"""),2020)</f>
        <v>2020</v>
      </c>
      <c r="E695" s="8">
        <f ca="1">IFERROR(__xludf.DUMMYFUNCTION("""COMPUTED_VALUE"""),44089)</f>
        <v>44089</v>
      </c>
      <c r="F695" s="5" t="str">
        <f ca="1">IFERROR(__xludf.DUMMYFUNCTION("""COMPUTED_VALUE"""),"Artondale Elementary School")</f>
        <v>Artondale Elementary School</v>
      </c>
      <c r="G695" s="5">
        <f ca="1">IFERROR(__xludf.DUMMYFUNCTION("""COMPUTED_VALUE"""),0)</f>
        <v>0</v>
      </c>
      <c r="H695" s="5">
        <f ca="1">IFERROR(__xludf.DUMMYFUNCTION("""COMPUTED_VALUE"""),1)</f>
        <v>1</v>
      </c>
      <c r="I695" s="5">
        <f ca="1">IFERROR(__xludf.DUMMYFUNCTION("""COMPUTED_VALUE"""),1)</f>
        <v>1</v>
      </c>
      <c r="J695" s="5">
        <f ca="1">IFERROR(__xludf.DUMMYFUNCTION("""COMPUTED_VALUE"""),0)</f>
        <v>0</v>
      </c>
      <c r="K695" s="9" t="str">
        <f ca="1">IFERROR(__xludf.DUMMYFUNCTION("""COMPUTED_VALUE"""),"https://www.kiro7.com/news/local/man-injured-gig-harbor-shooting/AMXZMA2TLZC53LAN53PMT5GNAE/")</f>
        <v>https://www.kiro7.com/news/local/man-injured-gig-harbor-shooting/AMXZMA2TLZC53LAN53PMT5GNAE/</v>
      </c>
      <c r="L695" s="5">
        <f ca="1">IFERROR(__xludf.DUMMYFUNCTION("""COMPUTED_VALUE"""),3)</f>
        <v>3</v>
      </c>
      <c r="M695" s="5" t="str">
        <f ca="1">IFERROR(__xludf.DUMMYFUNCTION("""COMPUTED_VALUE"""),"Local")</f>
        <v>Local</v>
      </c>
      <c r="N695" s="5">
        <f ca="1">IFERROR(__xludf.DUMMYFUNCTION("""COMPUTED_VALUE"""),3)</f>
        <v>3</v>
      </c>
      <c r="O695" s="5" t="str">
        <f ca="1">IFERROR(__xludf.DUMMYFUNCTION("""COMPUTED_VALUE"""),"Fall")</f>
        <v>Fall</v>
      </c>
      <c r="P695" s="5" t="str">
        <f ca="1">IFERROR(__xludf.DUMMYFUNCTION("""COMPUTED_VALUE"""),"Gig Harbor")</f>
        <v>Gig Harbor</v>
      </c>
      <c r="Q695" s="5" t="str">
        <f ca="1">IFERROR(__xludf.DUMMYFUNCTION("""COMPUTED_VALUE"""),"WA")</f>
        <v>WA</v>
      </c>
      <c r="R695" s="5" t="str">
        <f ca="1">IFERROR(__xludf.DUMMYFUNCTION("""COMPUTED_VALUE"""),"Elementary")</f>
        <v>Elementary</v>
      </c>
      <c r="S695" s="5" t="str">
        <f ca="1">IFERROR(__xludf.DUMMYFUNCTION("""COMPUTED_VALUE"""),"Beside Building")</f>
        <v>Beside Building</v>
      </c>
      <c r="T695" s="5" t="str">
        <f ca="1">IFERROR(__xludf.DUMMYFUNCTION("""COMPUTED_VALUE"""),"Outside on School Property")</f>
        <v>Outside on School Property</v>
      </c>
      <c r="U695" s="5" t="str">
        <f ca="1">IFERROR(__xludf.DUMMYFUNCTION("""COMPUTED_VALUE"""),"No")</f>
        <v>No</v>
      </c>
      <c r="V695" s="5" t="str">
        <f ca="1">IFERROR(__xludf.DUMMYFUNCTION("""COMPUTED_VALUE"""),"Evening")</f>
        <v>Evening</v>
      </c>
      <c r="W695" s="10">
        <f ca="1">IFERROR(__xludf.DUMMYFUNCTION("""COMPUTED_VALUE"""),0.354166666666666)</f>
        <v>0.35416666666666602</v>
      </c>
      <c r="X695" s="5">
        <f ca="1">IFERROR(__xludf.DUMMYFUNCTION("""COMPUTED_VALUE"""),1)</f>
        <v>1</v>
      </c>
      <c r="Y695" s="5" t="str">
        <f ca="1">IFERROR(__xludf.DUMMYFUNCTION("""COMPUTED_VALUE"""),"Neighbor shot man stealing construction materials from the school")</f>
        <v>Neighbor shot man stealing construction materials from the school</v>
      </c>
      <c r="Z695" s="5" t="str">
        <f ca="1">IFERROR(__xludf.DUMMYFUNCTION("""COMPUTED_VALUE"""),"A homeowner near the school approached a man who was stealing construction materials from the school. The man had a baton, brass knuckles, and illegal drugs. The homeowner felt threatened and shot the man once then provided first aid and notified police. "&amp;"The homeowner who fired the shot was not arrested. The victim had an arrest warrant for another crime.")</f>
        <v>A homeowner near the school approached a man who was stealing construction materials from the school. The man had a baton, brass knuckles, and illegal drugs. The homeowner felt threatened and shot the man once then provided first aid and notified police. The homeowner who fired the shot was not arrested. The victim had an arrest warrant for another crime.</v>
      </c>
      <c r="AA695" s="5" t="str">
        <f ca="1">IFERROR(__xludf.DUMMYFUNCTION("""COMPUTED_VALUE"""),"Illegal Activity")</f>
        <v>Illegal Activity</v>
      </c>
      <c r="AB695" s="5" t="str">
        <f ca="1">IFERROR(__xludf.DUMMYFUNCTION("""COMPUTED_VALUE"""),"Victims Targeted")</f>
        <v>Victims Targeted</v>
      </c>
      <c r="AC695" s="5" t="str">
        <f ca="1">IFERROR(__xludf.DUMMYFUNCTION("""COMPUTED_VALUE"""),"No")</f>
        <v>No</v>
      </c>
      <c r="AD695" s="5" t="str">
        <f ca="1">IFERROR(__xludf.DUMMYFUNCTION("""COMPUTED_VALUE"""),"No")</f>
        <v>No</v>
      </c>
      <c r="AE695" s="5" t="str">
        <f ca="1">IFERROR(__xludf.DUMMYFUNCTION("""COMPUTED_VALUE"""),"No")</f>
        <v>No</v>
      </c>
      <c r="AF695" s="5" t="str">
        <f ca="1">IFERROR(__xludf.DUMMYFUNCTION("""COMPUTED_VALUE"""),"No")</f>
        <v>No</v>
      </c>
      <c r="AG695" s="5" t="str">
        <f ca="1">IFERROR(__xludf.DUMMYFUNCTION("""COMPUTED_VALUE"""),"No")</f>
        <v>No</v>
      </c>
      <c r="AH695" s="5" t="str">
        <f ca="1">IFERROR(__xludf.DUMMYFUNCTION("""COMPUTED_VALUE"""),"No")</f>
        <v>No</v>
      </c>
      <c r="AI695" s="5" t="str">
        <f ca="1">IFERROR(__xludf.DUMMYFUNCTION("""COMPUTED_VALUE"""),"No")</f>
        <v>No</v>
      </c>
      <c r="AJ695" s="5" t="str">
        <f ca="1">IFERROR(__xludf.DUMMYFUNCTION("""COMPUTED_VALUE"""),"No")</f>
        <v>No</v>
      </c>
    </row>
    <row r="696" spans="1:36" ht="13">
      <c r="A696" s="5" t="str">
        <f ca="1">IFERROR(__xludf.DUMMYFUNCTION("""COMPUTED_VALUE"""),"20200915UTVIB")</f>
        <v>20200915UTVIB</v>
      </c>
      <c r="B696" s="5">
        <f ca="1">IFERROR(__xludf.DUMMYFUNCTION("""COMPUTED_VALUE"""),9)</f>
        <v>9</v>
      </c>
      <c r="C696" s="5">
        <f ca="1">IFERROR(__xludf.DUMMYFUNCTION("""COMPUTED_VALUE"""),15)</f>
        <v>15</v>
      </c>
      <c r="D696" s="5">
        <f ca="1">IFERROR(__xludf.DUMMYFUNCTION("""COMPUTED_VALUE"""),2020)</f>
        <v>2020</v>
      </c>
      <c r="E696" s="8">
        <f ca="1">IFERROR(__xludf.DUMMYFUNCTION("""COMPUTED_VALUE"""),44089)</f>
        <v>44089</v>
      </c>
      <c r="F696" s="5" t="str">
        <f ca="1">IFERROR(__xludf.DUMMYFUNCTION("""COMPUTED_VALUE"""),"Viewmont High School")</f>
        <v>Viewmont High School</v>
      </c>
      <c r="G696" s="5">
        <f ca="1">IFERROR(__xludf.DUMMYFUNCTION("""COMPUTED_VALUE"""),0)</f>
        <v>0</v>
      </c>
      <c r="H696" s="5">
        <f ca="1">IFERROR(__xludf.DUMMYFUNCTION("""COMPUTED_VALUE"""),0)</f>
        <v>0</v>
      </c>
      <c r="I696" s="5">
        <f ca="1">IFERROR(__xludf.DUMMYFUNCTION("""COMPUTED_VALUE"""),0)</f>
        <v>0</v>
      </c>
      <c r="J696" s="5">
        <f ca="1">IFERROR(__xludf.DUMMYFUNCTION("""COMPUTED_VALUE"""),1)</f>
        <v>1</v>
      </c>
      <c r="K696" s="5" t="str">
        <f ca="1">IFERROR(__xludf.DUMMYFUNCTION("""COMPUTED_VALUE"""),"https://www.fox13now.com/news/local-news/man-armed-with-rifle-and-bow-and-arrow-shot-and-killed-outside-viewmont-high-school https://www.deseret.com/utah/2020/9/16/21439509/armed-man-shot-killed-by-police-near-viewmont-high-school")</f>
        <v>https://www.fox13now.com/news/local-news/man-armed-with-rifle-and-bow-and-arrow-shot-and-killed-outside-viewmont-high-school https://www.deseret.com/utah/2020/9/16/21439509/armed-man-shot-killed-by-police-near-viewmont-high-school</v>
      </c>
      <c r="L696" s="5">
        <f ca="1">IFERROR(__xludf.DUMMYFUNCTION("""COMPUTED_VALUE"""),10)</f>
        <v>10</v>
      </c>
      <c r="M696" s="5" t="str">
        <f ca="1">IFERROR(__xludf.DUMMYFUNCTION("""COMPUTED_VALUE"""),"Regional")</f>
        <v>Regional</v>
      </c>
      <c r="N696" s="5">
        <f ca="1">IFERROR(__xludf.DUMMYFUNCTION("""COMPUTED_VALUE"""),4)</f>
        <v>4</v>
      </c>
      <c r="O696" s="5" t="str">
        <f ca="1">IFERROR(__xludf.DUMMYFUNCTION("""COMPUTED_VALUE"""),"Fall")</f>
        <v>Fall</v>
      </c>
      <c r="P696" s="5" t="str">
        <f ca="1">IFERROR(__xludf.DUMMYFUNCTION("""COMPUTED_VALUE"""),"Bountiful")</f>
        <v>Bountiful</v>
      </c>
      <c r="Q696" s="5" t="str">
        <f ca="1">IFERROR(__xludf.DUMMYFUNCTION("""COMPUTED_VALUE"""),"UT")</f>
        <v>UT</v>
      </c>
      <c r="R696" s="5" t="str">
        <f ca="1">IFERROR(__xludf.DUMMYFUNCTION("""COMPUTED_VALUE"""),"High")</f>
        <v>High</v>
      </c>
      <c r="S696" s="5" t="str">
        <f ca="1">IFERROR(__xludf.DUMMYFUNCTION("""COMPUTED_VALUE"""),"Front of School")</f>
        <v>Front of School</v>
      </c>
      <c r="T696" s="5" t="str">
        <f ca="1">IFERROR(__xludf.DUMMYFUNCTION("""COMPUTED_VALUE"""),"Outside on School Property")</f>
        <v>Outside on School Property</v>
      </c>
      <c r="U696" s="5" t="str">
        <f ca="1">IFERROR(__xludf.DUMMYFUNCTION("""COMPUTED_VALUE"""),"No")</f>
        <v>No</v>
      </c>
      <c r="V696" s="5" t="str">
        <f ca="1">IFERROR(__xludf.DUMMYFUNCTION("""COMPUTED_VALUE"""),"Night")</f>
        <v>Night</v>
      </c>
      <c r="W696" s="10">
        <f ca="1">IFERROR(__xludf.DUMMYFUNCTION("""COMPUTED_VALUE"""),0.935416666666666)</f>
        <v>0.93541666666666601</v>
      </c>
      <c r="X696" s="5">
        <f ca="1">IFERROR(__xludf.DUMMYFUNCTION("""COMPUTED_VALUE"""),1)</f>
        <v>1</v>
      </c>
      <c r="Y696" s="5" t="str">
        <f ca="1">IFERROR(__xludf.DUMMYFUNCTION("""COMPUTED_VALUE"""),"Police shot a man armed with a rifle and bow in front of the school")</f>
        <v>Police shot a man armed with a rifle and bow in front of the school</v>
      </c>
      <c r="Z696" s="5" t="str">
        <f ca="1">IFERROR(__xludf.DUMMYFUNCTION("""COMPUTED_VALUE"""),"Police responded to the high school for a 911 call about a man with a rifle. Police found an 27 year-old male with a rifle, bow, and knife in front of the school. When police approached the man, he reached for the weapon and was fatally shot by officers. "&amp;"The family of the man said had a history of mental illness and was experiencing a mental health crisis. Bullets stuck the school's windows causing damage. Classes were delayed the next day due to the shooting.")</f>
        <v>Police responded to the high school for a 911 call about a man with a rifle. Police found an 27 year-old male with a rifle, bow, and knife in front of the school. When police approached the man, he reached for the weapon and was fatally shot by officers. The family of the man said had a history of mental illness and was experiencing a mental health crisis. Bullets stuck the school's windows causing damage. Classes were delayed the next day due to the shooting.</v>
      </c>
      <c r="AA696" s="5" t="str">
        <f ca="1">IFERROR(__xludf.DUMMYFUNCTION("""COMPUTED_VALUE"""),"Psychosis")</f>
        <v>Psychosis</v>
      </c>
      <c r="AB696" s="5" t="str">
        <f ca="1">IFERROR(__xludf.DUMMYFUNCTION("""COMPUTED_VALUE"""),"Neither")</f>
        <v>Neither</v>
      </c>
      <c r="AC696" s="5" t="str">
        <f ca="1">IFERROR(__xludf.DUMMYFUNCTION("""COMPUTED_VALUE"""),"No")</f>
        <v>No</v>
      </c>
      <c r="AD696" s="5" t="str">
        <f ca="1">IFERROR(__xludf.DUMMYFUNCTION("""COMPUTED_VALUE"""),"No")</f>
        <v>No</v>
      </c>
      <c r="AE696" s="5" t="str">
        <f ca="1">IFERROR(__xludf.DUMMYFUNCTION("""COMPUTED_VALUE"""),"No")</f>
        <v>No</v>
      </c>
      <c r="AF696" s="5" t="str">
        <f ca="1">IFERROR(__xludf.DUMMYFUNCTION("""COMPUTED_VALUE"""),"No")</f>
        <v>No</v>
      </c>
      <c r="AG696" s="5" t="str">
        <f ca="1">IFERROR(__xludf.DUMMYFUNCTION("""COMPUTED_VALUE"""),"No")</f>
        <v>No</v>
      </c>
      <c r="AH696" s="5" t="str">
        <f ca="1">IFERROR(__xludf.DUMMYFUNCTION("""COMPUTED_VALUE"""),"No")</f>
        <v>No</v>
      </c>
      <c r="AI696" s="5" t="str">
        <f ca="1">IFERROR(__xludf.DUMMYFUNCTION("""COMPUTED_VALUE"""),"No")</f>
        <v>No</v>
      </c>
      <c r="AJ696" s="5" t="str">
        <f ca="1">IFERROR(__xludf.DUMMYFUNCTION("""COMPUTED_VALUE"""),"No")</f>
        <v>No</v>
      </c>
    </row>
    <row r="697" spans="1:36" ht="13">
      <c r="A697" s="5" t="str">
        <f ca="1">IFERROR(__xludf.DUMMYFUNCTION("""COMPUTED_VALUE"""),"20200910ILPEP")</f>
        <v>20200910ILPEP</v>
      </c>
      <c r="B697" s="5">
        <f ca="1">IFERROR(__xludf.DUMMYFUNCTION("""COMPUTED_VALUE"""),9)</f>
        <v>9</v>
      </c>
      <c r="C697" s="5">
        <f ca="1">IFERROR(__xludf.DUMMYFUNCTION("""COMPUTED_VALUE"""),14)</f>
        <v>14</v>
      </c>
      <c r="D697" s="5">
        <f ca="1">IFERROR(__xludf.DUMMYFUNCTION("""COMPUTED_VALUE"""),2020)</f>
        <v>2020</v>
      </c>
      <c r="E697" s="8">
        <f ca="1">IFERROR(__xludf.DUMMYFUNCTION("""COMPUTED_VALUE"""),44088)</f>
        <v>44088</v>
      </c>
      <c r="F697" s="5" t="str">
        <f ca="1">IFERROR(__xludf.DUMMYFUNCTION("""COMPUTED_VALUE"""),"Peoria Public Schools Bus")</f>
        <v>Peoria Public Schools Bus</v>
      </c>
      <c r="G697" s="5">
        <f ca="1">IFERROR(__xludf.DUMMYFUNCTION("""COMPUTED_VALUE"""),0)</f>
        <v>0</v>
      </c>
      <c r="H697" s="5">
        <f ca="1">IFERROR(__xludf.DUMMYFUNCTION("""COMPUTED_VALUE"""),0)</f>
        <v>0</v>
      </c>
      <c r="I697" s="5">
        <f ca="1">IFERROR(__xludf.DUMMYFUNCTION("""COMPUTED_VALUE"""),0)</f>
        <v>0</v>
      </c>
      <c r="J697" s="5">
        <f ca="1">IFERROR(__xludf.DUMMYFUNCTION("""COMPUTED_VALUE"""),0)</f>
        <v>0</v>
      </c>
      <c r="K697" s="9" t="str">
        <f ca="1">IFERROR(__xludf.DUMMYFUNCTION("""COMPUTED_VALUE"""),"https://www.centralillinoisproud.com/news/local-news/peoria-public-schools-emphasizing-student-safety-after-school-bus-was-struck-by-stray-bullet-thursday/")</f>
        <v>https://www.centralillinoisproud.com/news/local-news/peoria-public-schools-emphasizing-student-safety-after-school-bus-was-struck-by-stray-bullet-thursday/</v>
      </c>
      <c r="L697" s="5">
        <f ca="1">IFERROR(__xludf.DUMMYFUNCTION("""COMPUTED_VALUE"""),2)</f>
        <v>2</v>
      </c>
      <c r="M697" s="5" t="str">
        <f ca="1">IFERROR(__xludf.DUMMYFUNCTION("""COMPUTED_VALUE"""),"Local")</f>
        <v>Local</v>
      </c>
      <c r="N697" s="5">
        <f ca="1">IFERROR(__xludf.DUMMYFUNCTION("""COMPUTED_VALUE"""),4)</f>
        <v>4</v>
      </c>
      <c r="O697" s="5" t="str">
        <f ca="1">IFERROR(__xludf.DUMMYFUNCTION("""COMPUTED_VALUE"""),"Fall")</f>
        <v>Fall</v>
      </c>
      <c r="P697" s="5" t="str">
        <f ca="1">IFERROR(__xludf.DUMMYFUNCTION("""COMPUTED_VALUE"""),"Peoria")</f>
        <v>Peoria</v>
      </c>
      <c r="Q697" s="5" t="str">
        <f ca="1">IFERROR(__xludf.DUMMYFUNCTION("""COMPUTED_VALUE"""),"IL")</f>
        <v>IL</v>
      </c>
      <c r="R697" s="5"/>
      <c r="S697" s="5" t="str">
        <f ca="1">IFERROR(__xludf.DUMMYFUNCTION("""COMPUTED_VALUE"""),"School Bus")</f>
        <v>School Bus</v>
      </c>
      <c r="T697" s="5" t="str">
        <f ca="1">IFERROR(__xludf.DUMMYFUNCTION("""COMPUTED_VALUE"""),"School Bus")</f>
        <v>School Bus</v>
      </c>
      <c r="U697" s="5" t="str">
        <f ca="1">IFERROR(__xludf.DUMMYFUNCTION("""COMPUTED_VALUE"""),"Yes")</f>
        <v>Yes</v>
      </c>
      <c r="V697" s="5" t="str">
        <f ca="1">IFERROR(__xludf.DUMMYFUNCTION("""COMPUTED_VALUE"""),"Afternoon Classes")</f>
        <v>Afternoon Classes</v>
      </c>
      <c r="W697" s="10">
        <f ca="1">IFERROR(__xludf.DUMMYFUNCTION("""COMPUTED_VALUE"""),0.572916666666666)</f>
        <v>0.57291666666666596</v>
      </c>
      <c r="X697" s="5">
        <f ca="1">IFERROR(__xludf.DUMMYFUNCTION("""COMPUTED_VALUE"""),1)</f>
        <v>1</v>
      </c>
      <c r="Y697" s="5" t="str">
        <f ca="1">IFERROR(__xludf.DUMMYFUNCTION("""COMPUTED_VALUE"""),"Occupied school bus struck by gunfire")</f>
        <v>Occupied school bus struck by gunfire</v>
      </c>
      <c r="Z697" s="5" t="str">
        <f ca="1">IFERROR(__xludf.DUMMYFUNCTION("""COMPUTED_VALUE"""),"School bus was hit by shot fired during drive-by. Bus driver, aid, and one student were on the bus. No injuries.")</f>
        <v>School bus was hit by shot fired during drive-by. Bus driver, aid, and one student were on the bus. No injuries.</v>
      </c>
      <c r="AA697" s="5" t="str">
        <f ca="1">IFERROR(__xludf.DUMMYFUNCTION("""COMPUTED_VALUE"""),"Drive-by Shooting")</f>
        <v>Drive-by Shooting</v>
      </c>
      <c r="AB697" s="5" t="str">
        <f ca="1">IFERROR(__xludf.DUMMYFUNCTION("""COMPUTED_VALUE"""),"Victims Targeted")</f>
        <v>Victims Targeted</v>
      </c>
      <c r="AC697" s="5"/>
      <c r="AD697" s="5" t="str">
        <f ca="1">IFERROR(__xludf.DUMMYFUNCTION("""COMPUTED_VALUE"""),"No")</f>
        <v>No</v>
      </c>
      <c r="AE697" s="5" t="str">
        <f ca="1">IFERROR(__xludf.DUMMYFUNCTION("""COMPUTED_VALUE"""),"No")</f>
        <v>No</v>
      </c>
      <c r="AF697" s="5"/>
      <c r="AG697" s="5" t="str">
        <f ca="1">IFERROR(__xludf.DUMMYFUNCTION("""COMPUTED_VALUE"""),"No")</f>
        <v>No</v>
      </c>
      <c r="AH697" s="5" t="str">
        <f ca="1">IFERROR(__xludf.DUMMYFUNCTION("""COMPUTED_VALUE"""),"No")</f>
        <v>No</v>
      </c>
      <c r="AI697" s="5"/>
      <c r="AJ697" s="5" t="str">
        <f ca="1">IFERROR(__xludf.DUMMYFUNCTION("""COMPUTED_VALUE"""),"No")</f>
        <v>No</v>
      </c>
    </row>
    <row r="698" spans="1:36" ht="13">
      <c r="A698" s="5" t="str">
        <f ca="1">IFERROR(__xludf.DUMMYFUNCTION("""COMPUTED_VALUE"""),"20200910OHSAC")</f>
        <v>20200910OHSAC</v>
      </c>
      <c r="B698" s="5">
        <f ca="1">IFERROR(__xludf.DUMMYFUNCTION("""COMPUTED_VALUE"""),9)</f>
        <v>9</v>
      </c>
      <c r="C698" s="5">
        <f ca="1">IFERROR(__xludf.DUMMYFUNCTION("""COMPUTED_VALUE"""),10)</f>
        <v>10</v>
      </c>
      <c r="D698" s="5">
        <f ca="1">IFERROR(__xludf.DUMMYFUNCTION("""COMPUTED_VALUE"""),2020)</f>
        <v>2020</v>
      </c>
      <c r="E698" s="8">
        <f ca="1">IFERROR(__xludf.DUMMYFUNCTION("""COMPUTED_VALUE"""),44084)</f>
        <v>44084</v>
      </c>
      <c r="F698" s="5" t="str">
        <f ca="1">IFERROR(__xludf.DUMMYFUNCTION("""COMPUTED_VALUE"""),"Saint Francis DeSales High School")</f>
        <v>Saint Francis DeSales High School</v>
      </c>
      <c r="G698" s="5">
        <f ca="1">IFERROR(__xludf.DUMMYFUNCTION("""COMPUTED_VALUE"""),0)</f>
        <v>0</v>
      </c>
      <c r="H698" s="5">
        <f ca="1">IFERROR(__xludf.DUMMYFUNCTION("""COMPUTED_VALUE"""),0)</f>
        <v>0</v>
      </c>
      <c r="I698" s="5">
        <f ca="1">IFERROR(__xludf.DUMMYFUNCTION("""COMPUTED_VALUE"""),0)</f>
        <v>0</v>
      </c>
      <c r="J698" s="5">
        <f ca="1">IFERROR(__xludf.DUMMYFUNCTION("""COMPUTED_VALUE"""),0)</f>
        <v>0</v>
      </c>
      <c r="K698" s="9" t="str">
        <f ca="1">IFERROR(__xludf.DUMMYFUNCTION("""COMPUTED_VALUE"""),"https://www.10tv.com/article/news/local/no-one-hurt-when-columbus-city-schools-bus-shot-in-northeast-columbus/530-16a8f216-efe8-4e7a-922d-4a9ba1c21493")</f>
        <v>https://www.10tv.com/article/news/local/no-one-hurt-when-columbus-city-schools-bus-shot-in-northeast-columbus/530-16a8f216-efe8-4e7a-922d-4a9ba1c21493</v>
      </c>
      <c r="L698" s="5">
        <f ca="1">IFERROR(__xludf.DUMMYFUNCTION("""COMPUTED_VALUE"""),1)</f>
        <v>1</v>
      </c>
      <c r="M698" s="5" t="str">
        <f ca="1">IFERROR(__xludf.DUMMYFUNCTION("""COMPUTED_VALUE"""),"Local")</f>
        <v>Local</v>
      </c>
      <c r="N698" s="5">
        <f ca="1">IFERROR(__xludf.DUMMYFUNCTION("""COMPUTED_VALUE"""),3)</f>
        <v>3</v>
      </c>
      <c r="O698" s="5" t="str">
        <f ca="1">IFERROR(__xludf.DUMMYFUNCTION("""COMPUTED_VALUE"""),"Fall")</f>
        <v>Fall</v>
      </c>
      <c r="P698" s="5" t="str">
        <f ca="1">IFERROR(__xludf.DUMMYFUNCTION("""COMPUTED_VALUE"""),"Columbus")</f>
        <v>Columbus</v>
      </c>
      <c r="Q698" s="5" t="str">
        <f ca="1">IFERROR(__xludf.DUMMYFUNCTION("""COMPUTED_VALUE"""),"OH")</f>
        <v>OH</v>
      </c>
      <c r="R698" s="5" t="str">
        <f ca="1">IFERROR(__xludf.DUMMYFUNCTION("""COMPUTED_VALUE"""),"High")</f>
        <v>High</v>
      </c>
      <c r="S698" s="5" t="str">
        <f ca="1">IFERROR(__xludf.DUMMYFUNCTION("""COMPUTED_VALUE"""),"School Bus")</f>
        <v>School Bus</v>
      </c>
      <c r="T698" s="5" t="str">
        <f ca="1">IFERROR(__xludf.DUMMYFUNCTION("""COMPUTED_VALUE"""),"School Bus")</f>
        <v>School Bus</v>
      </c>
      <c r="U698" s="5" t="str">
        <f ca="1">IFERROR(__xludf.DUMMYFUNCTION("""COMPUTED_VALUE"""),"Yes")</f>
        <v>Yes</v>
      </c>
      <c r="V698" s="5" t="str">
        <f ca="1">IFERROR(__xludf.DUMMYFUNCTION("""COMPUTED_VALUE"""),"Dismissal")</f>
        <v>Dismissal</v>
      </c>
      <c r="W698" s="10">
        <f ca="1">IFERROR(__xludf.DUMMYFUNCTION("""COMPUTED_VALUE"""),0.65625)</f>
        <v>0.65625</v>
      </c>
      <c r="X698" s="5">
        <f ca="1">IFERROR(__xludf.DUMMYFUNCTION("""COMPUTED_VALUE"""),1)</f>
        <v>1</v>
      </c>
      <c r="Y698" s="5" t="str">
        <f ca="1">IFERROR(__xludf.DUMMYFUNCTION("""COMPUTED_VALUE"""),"School bus struck by multiple shots fired from vehicle")</f>
        <v>School bus struck by multiple shots fired from vehicle</v>
      </c>
      <c r="Z698" s="5" t="str">
        <f ca="1">IFERROR(__xludf.DUMMYFUNCTION("""COMPUTED_VALUE"""),"School bus occupied by 3 students was struck by 2 rounds fired from a vehicle at another vehicle (bus was not the target). Bus was damaged. Students and driver were not injured.")</f>
        <v>School bus occupied by 3 students was struck by 2 rounds fired from a vehicle at another vehicle (bus was not the target). Bus was damaged. Students and driver were not injured.</v>
      </c>
      <c r="AA698" s="5" t="str">
        <f ca="1">IFERROR(__xludf.DUMMYFUNCTION("""COMPUTED_VALUE"""),"Drive-by Shooting")</f>
        <v>Drive-by Shooting</v>
      </c>
      <c r="AB698" s="5" t="str">
        <f ca="1">IFERROR(__xludf.DUMMYFUNCTION("""COMPUTED_VALUE"""),"Both")</f>
        <v>Both</v>
      </c>
      <c r="AC698" s="5"/>
      <c r="AD698" s="5" t="str">
        <f ca="1">IFERROR(__xludf.DUMMYFUNCTION("""COMPUTED_VALUE"""),"No")</f>
        <v>No</v>
      </c>
      <c r="AE698" s="5" t="str">
        <f ca="1">IFERROR(__xludf.DUMMYFUNCTION("""COMPUTED_VALUE"""),"No")</f>
        <v>No</v>
      </c>
      <c r="AF698" s="5" t="str">
        <f ca="1">IFERROR(__xludf.DUMMYFUNCTION("""COMPUTED_VALUE"""),"No")</f>
        <v>No</v>
      </c>
      <c r="AG698" s="5" t="str">
        <f ca="1">IFERROR(__xludf.DUMMYFUNCTION("""COMPUTED_VALUE"""),"No")</f>
        <v>No</v>
      </c>
      <c r="AH698" s="5" t="str">
        <f ca="1">IFERROR(__xludf.DUMMYFUNCTION("""COMPUTED_VALUE"""),"No")</f>
        <v>No</v>
      </c>
      <c r="AI698" s="5"/>
      <c r="AJ698" s="5" t="str">
        <f ca="1">IFERROR(__xludf.DUMMYFUNCTION("""COMPUTED_VALUE"""),"No")</f>
        <v>No</v>
      </c>
    </row>
    <row r="699" spans="1:36" ht="13">
      <c r="A699" s="5" t="str">
        <f ca="1">IFERROR(__xludf.DUMMYFUNCTION("""COMPUTED_VALUE"""),"20200909PAWEW")</f>
        <v>20200909PAWEW</v>
      </c>
      <c r="B699" s="5">
        <f ca="1">IFERROR(__xludf.DUMMYFUNCTION("""COMPUTED_VALUE"""),9)</f>
        <v>9</v>
      </c>
      <c r="C699" s="5">
        <f ca="1">IFERROR(__xludf.DUMMYFUNCTION("""COMPUTED_VALUE"""),9)</f>
        <v>9</v>
      </c>
      <c r="D699" s="5">
        <f ca="1">IFERROR(__xludf.DUMMYFUNCTION("""COMPUTED_VALUE"""),2020)</f>
        <v>2020</v>
      </c>
      <c r="E699" s="8">
        <f ca="1">IFERROR(__xludf.DUMMYFUNCTION("""COMPUTED_VALUE"""),44083)</f>
        <v>44083</v>
      </c>
      <c r="F699" s="5" t="str">
        <f ca="1">IFERROR(__xludf.DUMMYFUNCTION("""COMPUTED_VALUE"""),"West Bradford Elementary School")</f>
        <v>West Bradford Elementary School</v>
      </c>
      <c r="G699" s="5">
        <f ca="1">IFERROR(__xludf.DUMMYFUNCTION("""COMPUTED_VALUE"""),0)</f>
        <v>0</v>
      </c>
      <c r="H699" s="5">
        <f ca="1">IFERROR(__xludf.DUMMYFUNCTION("""COMPUTED_VALUE"""),0)</f>
        <v>0</v>
      </c>
      <c r="I699" s="5">
        <f ca="1">IFERROR(__xludf.DUMMYFUNCTION("""COMPUTED_VALUE"""),0)</f>
        <v>0</v>
      </c>
      <c r="J699" s="5">
        <f ca="1">IFERROR(__xludf.DUMMYFUNCTION("""COMPUTED_VALUE"""),0)</f>
        <v>0</v>
      </c>
      <c r="K699" s="5" t="str">
        <f ca="1">IFERROR(__xludf.DUMMYFUNCTION("""COMPUTED_VALUE"""),"https://twitter.com/PSPTroopJPIO/status/1308452442582011904?ref_src=twsrc%5Etfw%7Ctwcamp%5Etweetembed%7Ctwterm%5E1308452442582011904%7Ctwgr%5Eshare_3&amp;ref_url=https%3A%2F%2F6abc.com%2Froad-rage-shooting-west-bradford-elementary-school-township-pennsylvania"&amp;"-state-police%2F6517416%2F https://6abc.com/man-wanted-for-road-rage-shooting-at-elementary-school-/6517416/")</f>
        <v>https://twitter.com/PSPTroopJPIO/status/1308452442582011904?ref_src=twsrc%5Etfw%7Ctwcamp%5Etweetembed%7Ctwterm%5E1308452442582011904%7Ctwgr%5Eshare_3&amp;ref_url=https%3A%2F%2F6abc.com%2Froad-rage-shooting-west-bradford-elementary-school-township-pennsylvania-state-police%2F6517416%2F https://6abc.com/man-wanted-for-road-rage-shooting-at-elementary-school-/6517416/</v>
      </c>
      <c r="L699" s="5">
        <f ca="1">IFERROR(__xludf.DUMMYFUNCTION("""COMPUTED_VALUE"""),2)</f>
        <v>2</v>
      </c>
      <c r="M699" s="5" t="str">
        <f ca="1">IFERROR(__xludf.DUMMYFUNCTION("""COMPUTED_VALUE"""),"Local")</f>
        <v>Local</v>
      </c>
      <c r="N699" s="5">
        <f ca="1">IFERROR(__xludf.DUMMYFUNCTION("""COMPUTED_VALUE"""),4)</f>
        <v>4</v>
      </c>
      <c r="O699" s="5" t="str">
        <f ca="1">IFERROR(__xludf.DUMMYFUNCTION("""COMPUTED_VALUE"""),"Fall")</f>
        <v>Fall</v>
      </c>
      <c r="P699" s="5" t="str">
        <f ca="1">IFERROR(__xludf.DUMMYFUNCTION("""COMPUTED_VALUE"""),"West Bradford Township")</f>
        <v>West Bradford Township</v>
      </c>
      <c r="Q699" s="5" t="str">
        <f ca="1">IFERROR(__xludf.DUMMYFUNCTION("""COMPUTED_VALUE"""),"PA")</f>
        <v>PA</v>
      </c>
      <c r="R699" s="5" t="str">
        <f ca="1">IFERROR(__xludf.DUMMYFUNCTION("""COMPUTED_VALUE"""),"Elementary")</f>
        <v>Elementary</v>
      </c>
      <c r="S699" s="5" t="str">
        <f ca="1">IFERROR(__xludf.DUMMYFUNCTION("""COMPUTED_VALUE"""),"Parking Lot")</f>
        <v>Parking Lot</v>
      </c>
      <c r="T699" s="5" t="str">
        <f ca="1">IFERROR(__xludf.DUMMYFUNCTION("""COMPUTED_VALUE"""),"Outside on School Property")</f>
        <v>Outside on School Property</v>
      </c>
      <c r="U699" s="5" t="str">
        <f ca="1">IFERROR(__xludf.DUMMYFUNCTION("""COMPUTED_VALUE"""),"No")</f>
        <v>No</v>
      </c>
      <c r="V699" s="5" t="str">
        <f ca="1">IFERROR(__xludf.DUMMYFUNCTION("""COMPUTED_VALUE"""),"Evening")</f>
        <v>Evening</v>
      </c>
      <c r="W699" s="10">
        <f ca="1">IFERROR(__xludf.DUMMYFUNCTION("""COMPUTED_VALUE"""),0.774305555555555)</f>
        <v>0.77430555555555503</v>
      </c>
      <c r="X699" s="5">
        <f ca="1">IFERROR(__xludf.DUMMYFUNCTION("""COMPUTED_VALUE"""),1)</f>
        <v>1</v>
      </c>
      <c r="Y699" s="5" t="str">
        <f ca="1">IFERROR(__xludf.DUMMYFUNCTION("""COMPUTED_VALUE"""),"Shot fired in school parking lot following roadrage incident")</f>
        <v>Shot fired in school parking lot following roadrage incident</v>
      </c>
      <c r="Z699" s="5" t="str">
        <f ca="1">IFERROR(__xludf.DUMMYFUNCTION("""COMPUTED_VALUE"""),"After a ""roadrage"" incident, an unknown adult man followed the victim's vehicle into the school parking lot. The unknown male fired one shot at the vehicle breaking his back window and then fled the scene. Police have not identified the shooter. No inju"&amp;"ries.")</f>
        <v>After a "roadrage" incident, an unknown adult man followed the victim's vehicle into the school parking lot. The unknown male fired one shot at the vehicle breaking his back window and then fled the scene. Police have not identified the shooter. No injuries.</v>
      </c>
      <c r="AA699" s="5" t="str">
        <f ca="1">IFERROR(__xludf.DUMMYFUNCTION("""COMPUTED_VALUE"""),"Escalation of Dispute")</f>
        <v>Escalation of Dispute</v>
      </c>
      <c r="AB699" s="5" t="str">
        <f ca="1">IFERROR(__xludf.DUMMYFUNCTION("""COMPUTED_VALUE"""),"Victims Targeted")</f>
        <v>Victims Targeted</v>
      </c>
      <c r="AC699" s="5" t="str">
        <f ca="1">IFERROR(__xludf.DUMMYFUNCTION("""COMPUTED_VALUE"""),"No")</f>
        <v>No</v>
      </c>
      <c r="AD699" s="5" t="str">
        <f ca="1">IFERROR(__xludf.DUMMYFUNCTION("""COMPUTED_VALUE"""),"No")</f>
        <v>No</v>
      </c>
      <c r="AE699" s="5" t="str">
        <f ca="1">IFERROR(__xludf.DUMMYFUNCTION("""COMPUTED_VALUE"""),"No")</f>
        <v>No</v>
      </c>
      <c r="AF699" s="5" t="str">
        <f ca="1">IFERROR(__xludf.DUMMYFUNCTION("""COMPUTED_VALUE"""),"No")</f>
        <v>No</v>
      </c>
      <c r="AG699" s="5" t="str">
        <f ca="1">IFERROR(__xludf.DUMMYFUNCTION("""COMPUTED_VALUE"""),"No")</f>
        <v>No</v>
      </c>
      <c r="AH699" s="5" t="str">
        <f ca="1">IFERROR(__xludf.DUMMYFUNCTION("""COMPUTED_VALUE"""),"No")</f>
        <v>No</v>
      </c>
      <c r="AI699" s="5" t="str">
        <f ca="1">IFERROR(__xludf.DUMMYFUNCTION("""COMPUTED_VALUE"""),"No")</f>
        <v>No</v>
      </c>
      <c r="AJ699" s="5" t="str">
        <f ca="1">IFERROR(__xludf.DUMMYFUNCTION("""COMPUTED_VALUE"""),"No")</f>
        <v>No</v>
      </c>
    </row>
    <row r="700" spans="1:36" ht="13">
      <c r="A700" s="5" t="str">
        <f ca="1">IFERROR(__xludf.DUMMYFUNCTION("""COMPUTED_VALUE"""),"20200909TXSOH")</f>
        <v>20200909TXSOH</v>
      </c>
      <c r="B700" s="5">
        <f ca="1">IFERROR(__xludf.DUMMYFUNCTION("""COMPUTED_VALUE"""),9)</f>
        <v>9</v>
      </c>
      <c r="C700" s="5">
        <f ca="1">IFERROR(__xludf.DUMMYFUNCTION("""COMPUTED_VALUE"""),9)</f>
        <v>9</v>
      </c>
      <c r="D700" s="5">
        <f ca="1">IFERROR(__xludf.DUMMYFUNCTION("""COMPUTED_VALUE"""),2020)</f>
        <v>2020</v>
      </c>
      <c r="E700" s="8">
        <f ca="1">IFERROR(__xludf.DUMMYFUNCTION("""COMPUTED_VALUE"""),44083)</f>
        <v>44083</v>
      </c>
      <c r="F700" s="5" t="str">
        <f ca="1">IFERROR(__xludf.DUMMYFUNCTION("""COMPUTED_VALUE"""),"Southmayd Elementary School")</f>
        <v>Southmayd Elementary School</v>
      </c>
      <c r="G700" s="5">
        <f ca="1">IFERROR(__xludf.DUMMYFUNCTION("""COMPUTED_VALUE"""),0)</f>
        <v>0</v>
      </c>
      <c r="H700" s="5">
        <f ca="1">IFERROR(__xludf.DUMMYFUNCTION("""COMPUTED_VALUE"""),1)</f>
        <v>1</v>
      </c>
      <c r="I700" s="5">
        <f ca="1">IFERROR(__xludf.DUMMYFUNCTION("""COMPUTED_VALUE"""),1)</f>
        <v>1</v>
      </c>
      <c r="J700" s="5">
        <f ca="1">IFERROR(__xludf.DUMMYFUNCTION("""COMPUTED_VALUE"""),0)</f>
        <v>0</v>
      </c>
      <c r="K700" s="5" t="str">
        <f ca="1">IFERROR(__xludf.DUMMYFUNCTION("""COMPUTED_VALUE"""),"https://www.click2houston.com/news/local/2020/09/09/1-person-injured-in-drive-by-shooting-near-school-playground-in-se-houston-police-say/ https://abc13.com/man-found-shot-outside-of-elementary-school-in-se-houston-/6415778/")</f>
        <v>https://www.click2houston.com/news/local/2020/09/09/1-person-injured-in-drive-by-shooting-near-school-playground-in-se-houston-police-say/ https://abc13.com/man-found-shot-outside-of-elementary-school-in-se-houston-/6415778/</v>
      </c>
      <c r="L700" s="5">
        <f ca="1">IFERROR(__xludf.DUMMYFUNCTION("""COMPUTED_VALUE"""),2)</f>
        <v>2</v>
      </c>
      <c r="M700" s="5" t="str">
        <f ca="1">IFERROR(__xludf.DUMMYFUNCTION("""COMPUTED_VALUE"""),"Regional")</f>
        <v>Regional</v>
      </c>
      <c r="N700" s="5">
        <f ca="1">IFERROR(__xludf.DUMMYFUNCTION("""COMPUTED_VALUE"""),3)</f>
        <v>3</v>
      </c>
      <c r="O700" s="5" t="str">
        <f ca="1">IFERROR(__xludf.DUMMYFUNCTION("""COMPUTED_VALUE"""),"Fall")</f>
        <v>Fall</v>
      </c>
      <c r="P700" s="5" t="str">
        <f ca="1">IFERROR(__xludf.DUMMYFUNCTION("""COMPUTED_VALUE"""),"Houston")</f>
        <v>Houston</v>
      </c>
      <c r="Q700" s="5" t="str">
        <f ca="1">IFERROR(__xludf.DUMMYFUNCTION("""COMPUTED_VALUE"""),"TX")</f>
        <v>TX</v>
      </c>
      <c r="R700" s="5" t="str">
        <f ca="1">IFERROR(__xludf.DUMMYFUNCTION("""COMPUTED_VALUE"""),"Elementary")</f>
        <v>Elementary</v>
      </c>
      <c r="S700" s="5" t="str">
        <f ca="1">IFERROR(__xludf.DUMMYFUNCTION("""COMPUTED_VALUE"""),"Front of School")</f>
        <v>Front of School</v>
      </c>
      <c r="T700" s="5" t="str">
        <f ca="1">IFERROR(__xludf.DUMMYFUNCTION("""COMPUTED_VALUE"""),"Outside on School Property")</f>
        <v>Outside on School Property</v>
      </c>
      <c r="U700" s="5" t="str">
        <f ca="1">IFERROR(__xludf.DUMMYFUNCTION("""COMPUTED_VALUE"""),"Yes")</f>
        <v>Yes</v>
      </c>
      <c r="V700" s="5" t="str">
        <f ca="1">IFERROR(__xludf.DUMMYFUNCTION("""COMPUTED_VALUE"""),"Morning Classes")</f>
        <v>Morning Classes</v>
      </c>
      <c r="W700" s="10">
        <f ca="1">IFERROR(__xludf.DUMMYFUNCTION("""COMPUTED_VALUE"""),0.909722222222222)</f>
        <v>0.90972222222222199</v>
      </c>
      <c r="X700" s="5">
        <f ca="1">IFERROR(__xludf.DUMMYFUNCTION("""COMPUTED_VALUE"""),1)</f>
        <v>1</v>
      </c>
      <c r="Y700" s="5" t="str">
        <f ca="1">IFERROR(__xludf.DUMMYFUNCTION("""COMPUTED_VALUE"""),"Teen shot during drive-by in front of school")</f>
        <v>Teen shot during drive-by in front of school</v>
      </c>
      <c r="Z700" s="5" t="str">
        <f ca="1">IFERROR(__xludf.DUMMYFUNCTION("""COMPUTED_VALUE"""),"18 year-old male was shot during a drive-by in front of the elementary school. School officials provided aid and locked down the school. Police said the shooting was gang related. Shooter fled the scene in a vehicle.")</f>
        <v>18 year-old male was shot during a drive-by in front of the elementary school. School officials provided aid and locked down the school. Police said the shooting was gang related. Shooter fled the scene in a vehicle.</v>
      </c>
      <c r="AA700" s="5" t="str">
        <f ca="1">IFERROR(__xludf.DUMMYFUNCTION("""COMPUTED_VALUE"""),"Drive-by Shooting")</f>
        <v>Drive-by Shooting</v>
      </c>
      <c r="AB700" s="5" t="str">
        <f ca="1">IFERROR(__xludf.DUMMYFUNCTION("""COMPUTED_VALUE"""),"Victims Targeted")</f>
        <v>Victims Targeted</v>
      </c>
      <c r="AC700" s="5" t="str">
        <f ca="1">IFERROR(__xludf.DUMMYFUNCTION("""COMPUTED_VALUE"""),"Yes")</f>
        <v>Yes</v>
      </c>
      <c r="AD700" s="5" t="str">
        <f ca="1">IFERROR(__xludf.DUMMYFUNCTION("""COMPUTED_VALUE"""),"No")</f>
        <v>No</v>
      </c>
      <c r="AE700" s="5" t="str">
        <f ca="1">IFERROR(__xludf.DUMMYFUNCTION("""COMPUTED_VALUE"""),"No")</f>
        <v>No</v>
      </c>
      <c r="AF700" s="5" t="str">
        <f ca="1">IFERROR(__xludf.DUMMYFUNCTION("""COMPUTED_VALUE"""),"No")</f>
        <v>No</v>
      </c>
      <c r="AG700" s="5" t="str">
        <f ca="1">IFERROR(__xludf.DUMMYFUNCTION("""COMPUTED_VALUE"""),"No")</f>
        <v>No</v>
      </c>
      <c r="AH700" s="5" t="str">
        <f ca="1">IFERROR(__xludf.DUMMYFUNCTION("""COMPUTED_VALUE"""),"No")</f>
        <v>No</v>
      </c>
      <c r="AI700" s="5" t="str">
        <f ca="1">IFERROR(__xludf.DUMMYFUNCTION("""COMPUTED_VALUE"""),"Yes")</f>
        <v>Yes</v>
      </c>
      <c r="AJ700" s="5" t="str">
        <f ca="1">IFERROR(__xludf.DUMMYFUNCTION("""COMPUTED_VALUE"""),"No")</f>
        <v>No</v>
      </c>
    </row>
    <row r="701" spans="1:36" ht="13">
      <c r="A701" s="5" t="str">
        <f ca="1">IFERROR(__xludf.DUMMYFUNCTION("""COMPUTED_VALUE"""),"20200904FLLOJ")</f>
        <v>20200904FLLOJ</v>
      </c>
      <c r="B701" s="5">
        <f ca="1">IFERROR(__xludf.DUMMYFUNCTION("""COMPUTED_VALUE"""),9)</f>
        <v>9</v>
      </c>
      <c r="C701" s="5">
        <f ca="1">IFERROR(__xludf.DUMMYFUNCTION("""COMPUTED_VALUE"""),3)</f>
        <v>3</v>
      </c>
      <c r="D701" s="5">
        <f ca="1">IFERROR(__xludf.DUMMYFUNCTION("""COMPUTED_VALUE"""),2020)</f>
        <v>2020</v>
      </c>
      <c r="E701" s="8">
        <f ca="1">IFERROR(__xludf.DUMMYFUNCTION("""COMPUTED_VALUE"""),44077)</f>
        <v>44077</v>
      </c>
      <c r="F701" s="5" t="str">
        <f ca="1">IFERROR(__xludf.DUMMYFUNCTION("""COMPUTED_VALUE"""),"Lone Star Elementary School")</f>
        <v>Lone Star Elementary School</v>
      </c>
      <c r="G701" s="5">
        <f ca="1">IFERROR(__xludf.DUMMYFUNCTION("""COMPUTED_VALUE"""),0)</f>
        <v>0</v>
      </c>
      <c r="H701" s="5">
        <f ca="1">IFERROR(__xludf.DUMMYFUNCTION("""COMPUTED_VALUE"""),1)</f>
        <v>1</v>
      </c>
      <c r="I701" s="5">
        <f ca="1">IFERROR(__xludf.DUMMYFUNCTION("""COMPUTED_VALUE"""),1)</f>
        <v>1</v>
      </c>
      <c r="J701" s="5">
        <f ca="1">IFERROR(__xludf.DUMMYFUNCTION("""COMPUTED_VALUE"""),0)</f>
        <v>0</v>
      </c>
      <c r="K701" s="5" t="str">
        <f ca="1">IFERROR(__xludf.DUMMYFUNCTION("""COMPUTED_VALUE"""),"https://www.wokv.com/news/local/shooting-east-arlington-leaves-man-with-life-threatening-injuries/VLBRUTBETNHA3IFQLMQ2P6BY7I/ https://www.actionnewsjax.com/news/local/duval-county/man-found-shot-near-east-arlington-elementary-school/DE2Z6Q4SYNFOJP57FEPLVW"&amp;"G4BY/")</f>
        <v>https://www.wokv.com/news/local/shooting-east-arlington-leaves-man-with-life-threatening-injuries/VLBRUTBETNHA3IFQLMQ2P6BY7I/ https://www.actionnewsjax.com/news/local/duval-county/man-found-shot-near-east-arlington-elementary-school/DE2Z6Q4SYNFOJP57FEPLVWG4BY/</v>
      </c>
      <c r="L701" s="5">
        <f ca="1">IFERROR(__xludf.DUMMYFUNCTION("""COMPUTED_VALUE"""),2)</f>
        <v>2</v>
      </c>
      <c r="M701" s="5" t="str">
        <f ca="1">IFERROR(__xludf.DUMMYFUNCTION("""COMPUTED_VALUE"""),"Local")</f>
        <v>Local</v>
      </c>
      <c r="N701" s="5">
        <f ca="1">IFERROR(__xludf.DUMMYFUNCTION("""COMPUTED_VALUE"""),3)</f>
        <v>3</v>
      </c>
      <c r="O701" s="5" t="str">
        <f ca="1">IFERROR(__xludf.DUMMYFUNCTION("""COMPUTED_VALUE"""),"Fall")</f>
        <v>Fall</v>
      </c>
      <c r="P701" s="5" t="str">
        <f ca="1">IFERROR(__xludf.DUMMYFUNCTION("""COMPUTED_VALUE"""),"Jacksonville")</f>
        <v>Jacksonville</v>
      </c>
      <c r="Q701" s="5" t="str">
        <f ca="1">IFERROR(__xludf.DUMMYFUNCTION("""COMPUTED_VALUE"""),"FL")</f>
        <v>FL</v>
      </c>
      <c r="R701" s="5" t="str">
        <f ca="1">IFERROR(__xludf.DUMMYFUNCTION("""COMPUTED_VALUE"""),"Elementary")</f>
        <v>Elementary</v>
      </c>
      <c r="S701" s="5" t="str">
        <f ca="1">IFERROR(__xludf.DUMMYFUNCTION("""COMPUTED_VALUE"""),"Beside Building")</f>
        <v>Beside Building</v>
      </c>
      <c r="T701" s="5" t="str">
        <f ca="1">IFERROR(__xludf.DUMMYFUNCTION("""COMPUTED_VALUE"""),"Outside on School Property")</f>
        <v>Outside on School Property</v>
      </c>
      <c r="U701" s="5" t="str">
        <f ca="1">IFERROR(__xludf.DUMMYFUNCTION("""COMPUTED_VALUE"""),"No")</f>
        <v>No</v>
      </c>
      <c r="V701" s="5" t="str">
        <f ca="1">IFERROR(__xludf.DUMMYFUNCTION("""COMPUTED_VALUE"""),"Night")</f>
        <v>Night</v>
      </c>
      <c r="W701" s="10">
        <f ca="1">IFERROR(__xludf.DUMMYFUNCTION("""COMPUTED_VALUE"""),0.989583333333333)</f>
        <v>0.98958333333333304</v>
      </c>
      <c r="X701" s="5">
        <f ca="1">IFERROR(__xludf.DUMMYFUNCTION("""COMPUTED_VALUE"""),1)</f>
        <v>1</v>
      </c>
      <c r="Y701" s="5" t="str">
        <f ca="1">IFERROR(__xludf.DUMMYFUNCTION("""COMPUTED_VALUE"""),"Adult male found shot to death outside of school")</f>
        <v>Adult male found shot to death outside of school</v>
      </c>
      <c r="Z701" s="5" t="str">
        <f ca="1">IFERROR(__xludf.DUMMYFUNCTION("""COMPUTED_VALUE"""),"A 27 year-old male was found laying in the grass near the school building following a shooting. He was taken to the hospital with life threatening injuries. No suspect or motive identified.")</f>
        <v>A 27 year-old male was found laying in the grass near the school building following a shooting. He was taken to the hospital with life threatening injuries. No suspect or motive identified.</v>
      </c>
      <c r="AA701" s="5"/>
      <c r="AB701" s="5"/>
      <c r="AC701" s="5"/>
      <c r="AD701" s="5" t="str">
        <f ca="1">IFERROR(__xludf.DUMMYFUNCTION("""COMPUTED_VALUE"""),"No")</f>
        <v>No</v>
      </c>
      <c r="AE701" s="5" t="str">
        <f ca="1">IFERROR(__xludf.DUMMYFUNCTION("""COMPUTED_VALUE"""),"No")</f>
        <v>No</v>
      </c>
      <c r="AF701" s="5" t="str">
        <f ca="1">IFERROR(__xludf.DUMMYFUNCTION("""COMPUTED_VALUE"""),"No")</f>
        <v>No</v>
      </c>
      <c r="AG701" s="5" t="str">
        <f ca="1">IFERROR(__xludf.DUMMYFUNCTION("""COMPUTED_VALUE"""),"No")</f>
        <v>No</v>
      </c>
      <c r="AH701" s="5" t="str">
        <f ca="1">IFERROR(__xludf.DUMMYFUNCTION("""COMPUTED_VALUE"""),"No")</f>
        <v>No</v>
      </c>
      <c r="AI701" s="5" t="str">
        <f ca="1">IFERROR(__xludf.DUMMYFUNCTION("""COMPUTED_VALUE"""),"No")</f>
        <v>No</v>
      </c>
      <c r="AJ701" s="5" t="str">
        <f ca="1">IFERROR(__xludf.DUMMYFUNCTION("""COMPUTED_VALUE"""),"No")</f>
        <v>No</v>
      </c>
    </row>
    <row r="702" spans="1:36" ht="13">
      <c r="A702" s="5" t="str">
        <f ca="1">IFERROR(__xludf.DUMMYFUNCTION("""COMPUTED_VALUE"""),"20200903GADOA")</f>
        <v>20200903GADOA</v>
      </c>
      <c r="B702" s="5">
        <f ca="1">IFERROR(__xludf.DUMMYFUNCTION("""COMPUTED_VALUE"""),9)</f>
        <v>9</v>
      </c>
      <c r="C702" s="5">
        <f ca="1">IFERROR(__xludf.DUMMYFUNCTION("""COMPUTED_VALUE"""),3)</f>
        <v>3</v>
      </c>
      <c r="D702" s="5">
        <f ca="1">IFERROR(__xludf.DUMMYFUNCTION("""COMPUTED_VALUE"""),2020)</f>
        <v>2020</v>
      </c>
      <c r="E702" s="8">
        <f ca="1">IFERROR(__xludf.DUMMYFUNCTION("""COMPUTED_VALUE"""),44077)</f>
        <v>44077</v>
      </c>
      <c r="F702" s="5" t="str">
        <f ca="1">IFERROR(__xludf.DUMMYFUNCTION("""COMPUTED_VALUE"""),"Dougherty Comprehensive High School")</f>
        <v>Dougherty Comprehensive High School</v>
      </c>
      <c r="G702" s="5">
        <f ca="1">IFERROR(__xludf.DUMMYFUNCTION("""COMPUTED_VALUE"""),1)</f>
        <v>1</v>
      </c>
      <c r="H702" s="5">
        <f ca="1">IFERROR(__xludf.DUMMYFUNCTION("""COMPUTED_VALUE"""),0)</f>
        <v>0</v>
      </c>
      <c r="I702" s="5">
        <f ca="1">IFERROR(__xludf.DUMMYFUNCTION("""COMPUTED_VALUE"""),1)</f>
        <v>1</v>
      </c>
      <c r="J702" s="5">
        <f ca="1">IFERROR(__xludf.DUMMYFUNCTION("""COMPUTED_VALUE"""),0)</f>
        <v>0</v>
      </c>
      <c r="K702" s="5" t="str">
        <f ca="1">IFERROR(__xludf.DUMMYFUNCTION("""COMPUTED_VALUE"""),"https://www.walb.com/2020/09/03/homicide-investigation-underway-dougherty-high-school/ https://wfxl.com/news/local/death-investigation-underway-at-dougherty-comprehensive-high-school")</f>
        <v>https://www.walb.com/2020/09/03/homicide-investigation-underway-dougherty-high-school/ https://wfxl.com/news/local/death-investigation-underway-at-dougherty-comprehensive-high-school</v>
      </c>
      <c r="L702" s="5">
        <f ca="1">IFERROR(__xludf.DUMMYFUNCTION("""COMPUTED_VALUE"""),2)</f>
        <v>2</v>
      </c>
      <c r="M702" s="5" t="str">
        <f ca="1">IFERROR(__xludf.DUMMYFUNCTION("""COMPUTED_VALUE"""),"Local")</f>
        <v>Local</v>
      </c>
      <c r="N702" s="5">
        <f ca="1">IFERROR(__xludf.DUMMYFUNCTION("""COMPUTED_VALUE"""),3)</f>
        <v>3</v>
      </c>
      <c r="O702" s="5" t="str">
        <f ca="1">IFERROR(__xludf.DUMMYFUNCTION("""COMPUTED_VALUE"""),"Fall")</f>
        <v>Fall</v>
      </c>
      <c r="P702" s="5" t="str">
        <f ca="1">IFERROR(__xludf.DUMMYFUNCTION("""COMPUTED_VALUE"""),"Albany")</f>
        <v>Albany</v>
      </c>
      <c r="Q702" s="5" t="str">
        <f ca="1">IFERROR(__xludf.DUMMYFUNCTION("""COMPUTED_VALUE"""),"GA")</f>
        <v>GA</v>
      </c>
      <c r="R702" s="5" t="str">
        <f ca="1">IFERROR(__xludf.DUMMYFUNCTION("""COMPUTED_VALUE"""),"High")</f>
        <v>High</v>
      </c>
      <c r="S702" s="5" t="str">
        <f ca="1">IFERROR(__xludf.DUMMYFUNCTION("""COMPUTED_VALUE"""),"Parking Lot")</f>
        <v>Parking Lot</v>
      </c>
      <c r="T702" s="5" t="str">
        <f ca="1">IFERROR(__xludf.DUMMYFUNCTION("""COMPUTED_VALUE"""),"Outside on School Property")</f>
        <v>Outside on School Property</v>
      </c>
      <c r="U702" s="5" t="str">
        <f ca="1">IFERROR(__xludf.DUMMYFUNCTION("""COMPUTED_VALUE"""),"No")</f>
        <v>No</v>
      </c>
      <c r="V702" s="5" t="str">
        <f ca="1">IFERROR(__xludf.DUMMYFUNCTION("""COMPUTED_VALUE"""),"Not a School Day")</f>
        <v>Not a School Day</v>
      </c>
      <c r="W702" s="10">
        <f ca="1">IFERROR(__xludf.DUMMYFUNCTION("""COMPUTED_VALUE"""),0.34375)</f>
        <v>0.34375</v>
      </c>
      <c r="X702" s="5">
        <f ca="1">IFERROR(__xludf.DUMMYFUNCTION("""COMPUTED_VALUE"""),1)</f>
        <v>1</v>
      </c>
      <c r="Y702" s="5" t="str">
        <f ca="1">IFERROR(__xludf.DUMMYFUNCTION("""COMPUTED_VALUE"""),"18 year-old found shot and killed in vehicle in school parking lot")</f>
        <v>18 year-old found shot and killed in vehicle in school parking lot</v>
      </c>
      <c r="Z702" s="5" t="str">
        <f ca="1">IFERROR(__xludf.DUMMYFUNCTION("""COMPUTED_VALUE"""),"18 year-old male was found shot and killed in the school parking lot. Death is being investigated as a homicide. School was closed due to COVID-19. No suspect or motive released.")</f>
        <v>18 year-old male was found shot and killed in the school parking lot. Death is being investigated as a homicide. School was closed due to COVID-19. No suspect or motive released.</v>
      </c>
      <c r="AA702" s="5"/>
      <c r="AB702" s="5" t="str">
        <f ca="1">IFERROR(__xludf.DUMMYFUNCTION("""COMPUTED_VALUE"""),"Victims Targeted")</f>
        <v>Victims Targeted</v>
      </c>
      <c r="AC702" s="5"/>
      <c r="AD702" s="5" t="str">
        <f ca="1">IFERROR(__xludf.DUMMYFUNCTION("""COMPUTED_VALUE"""),"No")</f>
        <v>No</v>
      </c>
      <c r="AE702" s="5" t="str">
        <f ca="1">IFERROR(__xludf.DUMMYFUNCTION("""COMPUTED_VALUE"""),"No")</f>
        <v>No</v>
      </c>
      <c r="AF702" s="5" t="str">
        <f ca="1">IFERROR(__xludf.DUMMYFUNCTION("""COMPUTED_VALUE"""),"No")</f>
        <v>No</v>
      </c>
      <c r="AG702" s="5" t="str">
        <f ca="1">IFERROR(__xludf.DUMMYFUNCTION("""COMPUTED_VALUE"""),"No")</f>
        <v>No</v>
      </c>
      <c r="AH702" s="5" t="str">
        <f ca="1">IFERROR(__xludf.DUMMYFUNCTION("""COMPUTED_VALUE"""),"No")</f>
        <v>No</v>
      </c>
      <c r="AI702" s="5"/>
      <c r="AJ702" s="5" t="str">
        <f ca="1">IFERROR(__xludf.DUMMYFUNCTION("""COMPUTED_VALUE"""),"No")</f>
        <v>No</v>
      </c>
    </row>
    <row r="703" spans="1:36" ht="13">
      <c r="A703" s="5" t="str">
        <f ca="1">IFERROR(__xludf.DUMMYFUNCTION("""COMPUTED_VALUE"""),"20200830TXLOD")</f>
        <v>20200830TXLOD</v>
      </c>
      <c r="B703" s="5">
        <f ca="1">IFERROR(__xludf.DUMMYFUNCTION("""COMPUTED_VALUE"""),8)</f>
        <v>8</v>
      </c>
      <c r="C703" s="5">
        <f ca="1">IFERROR(__xludf.DUMMYFUNCTION("""COMPUTED_VALUE"""),30)</f>
        <v>30</v>
      </c>
      <c r="D703" s="5">
        <f ca="1">IFERROR(__xludf.DUMMYFUNCTION("""COMPUTED_VALUE"""),2020)</f>
        <v>2020</v>
      </c>
      <c r="E703" s="8">
        <f ca="1">IFERROR(__xludf.DUMMYFUNCTION("""COMPUTED_VALUE"""),44073)</f>
        <v>44073</v>
      </c>
      <c r="F703" s="5" t="str">
        <f ca="1">IFERROR(__xludf.DUMMYFUNCTION("""COMPUTED_VALUE"""),"L.O. Donald Leadership Academy")</f>
        <v>L.O. Donald Leadership Academy</v>
      </c>
      <c r="G703" s="5">
        <f ca="1">IFERROR(__xludf.DUMMYFUNCTION("""COMPUTED_VALUE"""),1)</f>
        <v>1</v>
      </c>
      <c r="H703" s="5">
        <f ca="1">IFERROR(__xludf.DUMMYFUNCTION("""COMPUTED_VALUE"""),0)</f>
        <v>0</v>
      </c>
      <c r="I703" s="5">
        <f ca="1">IFERROR(__xludf.DUMMYFUNCTION("""COMPUTED_VALUE"""),1)</f>
        <v>1</v>
      </c>
      <c r="J703" s="5">
        <f ca="1">IFERROR(__xludf.DUMMYFUNCTION("""COMPUTED_VALUE"""),0)</f>
        <v>0</v>
      </c>
      <c r="K703" s="5" t="str">
        <f ca="1">IFERROR(__xludf.DUMMYFUNCTION("""COMPUTED_VALUE"""),"https://www.dallasnews.com/news/crime/2020/10/26/teen-indicted-on-murder-charge-in-drug-deal-gone-wrong-at-west-oak-cliff-elementary-school/ https://www.wfaa.com/article/news/crime/man-shot-and-killed-at-elementary-school-playground-dallas-police-say/287-"&amp;"b7acfd4a-a5d4-4cfa-a36d-ee718548263a https://www.dallasnews.com/news/crime/2020/08/31/1-fatally-shot-in-west-oak-cliff-dallas-police-say/ https://www.wfaa.com/article/news/crime/man-shot-and-killed-at-elementary-school-playground-dallas-police-say/287-b7a"&amp;"cfd4a-a5d4-4cfa-a36d-ee718548263a")</f>
        <v>https://www.dallasnews.com/news/crime/2020/10/26/teen-indicted-on-murder-charge-in-drug-deal-gone-wrong-at-west-oak-cliff-elementary-school/ https://www.wfaa.com/article/news/crime/man-shot-and-killed-at-elementary-school-playground-dallas-police-say/287-b7acfd4a-a5d4-4cfa-a36d-ee718548263a https://www.dallasnews.com/news/crime/2020/08/31/1-fatally-shot-in-west-oak-cliff-dallas-police-say/ https://www.wfaa.com/article/news/crime/man-shot-and-killed-at-elementary-school-playground-dallas-police-say/287-b7acfd4a-a5d4-4cfa-a36d-ee718548263a</v>
      </c>
      <c r="L703" s="5">
        <f ca="1">IFERROR(__xludf.DUMMYFUNCTION("""COMPUTED_VALUE"""),4)</f>
        <v>4</v>
      </c>
      <c r="M703" s="5" t="str">
        <f ca="1">IFERROR(__xludf.DUMMYFUNCTION("""COMPUTED_VALUE"""),"Local")</f>
        <v>Local</v>
      </c>
      <c r="N703" s="5">
        <f ca="1">IFERROR(__xludf.DUMMYFUNCTION("""COMPUTED_VALUE"""),4)</f>
        <v>4</v>
      </c>
      <c r="O703" s="5" t="str">
        <f ca="1">IFERROR(__xludf.DUMMYFUNCTION("""COMPUTED_VALUE"""),"Summer")</f>
        <v>Summer</v>
      </c>
      <c r="P703" s="5" t="str">
        <f ca="1">IFERROR(__xludf.DUMMYFUNCTION("""COMPUTED_VALUE"""),"Dallas")</f>
        <v>Dallas</v>
      </c>
      <c r="Q703" s="5" t="str">
        <f ca="1">IFERROR(__xludf.DUMMYFUNCTION("""COMPUTED_VALUE"""),"TX")</f>
        <v>TX</v>
      </c>
      <c r="R703" s="5" t="str">
        <f ca="1">IFERROR(__xludf.DUMMYFUNCTION("""COMPUTED_VALUE"""),"Elementary")</f>
        <v>Elementary</v>
      </c>
      <c r="S703" s="5" t="str">
        <f ca="1">IFERROR(__xludf.DUMMYFUNCTION("""COMPUTED_VALUE"""),"Playground")</f>
        <v>Playground</v>
      </c>
      <c r="T703" s="5" t="str">
        <f ca="1">IFERROR(__xludf.DUMMYFUNCTION("""COMPUTED_VALUE"""),"Outside on School Property")</f>
        <v>Outside on School Property</v>
      </c>
      <c r="U703" s="5" t="str">
        <f ca="1">IFERROR(__xludf.DUMMYFUNCTION("""COMPUTED_VALUE"""),"No")</f>
        <v>No</v>
      </c>
      <c r="V703" s="5" t="str">
        <f ca="1">IFERROR(__xludf.DUMMYFUNCTION("""COMPUTED_VALUE"""),"Night")</f>
        <v>Night</v>
      </c>
      <c r="W703" s="10">
        <f ca="1">IFERROR(__xludf.DUMMYFUNCTION("""COMPUTED_VALUE"""),0.916666666666666)</f>
        <v>0.91666666666666596</v>
      </c>
      <c r="X703" s="5">
        <f ca="1">IFERROR(__xludf.DUMMYFUNCTION("""COMPUTED_VALUE"""),1)</f>
        <v>1</v>
      </c>
      <c r="Y703" s="5" t="str">
        <f ca="1">IFERROR(__xludf.DUMMYFUNCTION("""COMPUTED_VALUE"""),"Adult man shot and killed on school playground")</f>
        <v>Adult man shot and killed on school playground</v>
      </c>
      <c r="Z703" s="5" t="str">
        <f ca="1">IFERROR(__xludf.DUMMYFUNCTION("""COMPUTED_VALUE"""),"A 27 year-old male was shot and killed on the school playground. Shooter fled the scene. 17 year-old man was later arrested and charged with murder. Police said the shooting was a result of a drug deal that went wrong. The victim pulled a knife and attemp"&amp;"ted to rob the shooter. The shooter fired as the victim ran away. Police determine it was not a shooting in self defense due to the distance between the shooter and the victim.")</f>
        <v>A 27 year-old male was shot and killed on the school playground. Shooter fled the scene. 17 year-old man was later arrested and charged with murder. Police said the shooting was a result of a drug deal that went wrong. The victim pulled a knife and attempted to rob the shooter. The shooter fired as the victim ran away. Police determine it was not a shooting in self defense due to the distance between the shooter and the victim.</v>
      </c>
      <c r="AA703" s="5" t="str">
        <f ca="1">IFERROR(__xludf.DUMMYFUNCTION("""COMPUTED_VALUE"""),"Illegal Activity")</f>
        <v>Illegal Activity</v>
      </c>
      <c r="AB703" s="5" t="str">
        <f ca="1">IFERROR(__xludf.DUMMYFUNCTION("""COMPUTED_VALUE"""),"Victims Targeted")</f>
        <v>Victims Targeted</v>
      </c>
      <c r="AC703" s="5" t="str">
        <f ca="1">IFERROR(__xludf.DUMMYFUNCTION("""COMPUTED_VALUE"""),"No")</f>
        <v>No</v>
      </c>
      <c r="AD703" s="5" t="str">
        <f ca="1">IFERROR(__xludf.DUMMYFUNCTION("""COMPUTED_VALUE"""),"No")</f>
        <v>No</v>
      </c>
      <c r="AE703" s="5" t="str">
        <f ca="1">IFERROR(__xludf.DUMMYFUNCTION("""COMPUTED_VALUE"""),"No")</f>
        <v>No</v>
      </c>
      <c r="AF703" s="5" t="str">
        <f ca="1">IFERROR(__xludf.DUMMYFUNCTION("""COMPUTED_VALUE"""),"No")</f>
        <v>No</v>
      </c>
      <c r="AG703" s="5" t="str">
        <f ca="1">IFERROR(__xludf.DUMMYFUNCTION("""COMPUTED_VALUE"""),"No")</f>
        <v>No</v>
      </c>
      <c r="AH703" s="5" t="str">
        <f ca="1">IFERROR(__xludf.DUMMYFUNCTION("""COMPUTED_VALUE"""),"No")</f>
        <v>No</v>
      </c>
      <c r="AI703" s="5" t="str">
        <f ca="1">IFERROR(__xludf.DUMMYFUNCTION("""COMPUTED_VALUE"""),"No")</f>
        <v>No</v>
      </c>
      <c r="AJ703" s="5" t="str">
        <f ca="1">IFERROR(__xludf.DUMMYFUNCTION("""COMPUTED_VALUE"""),"No")</f>
        <v>No</v>
      </c>
    </row>
    <row r="704" spans="1:36" ht="13">
      <c r="A704" s="5" t="str">
        <f ca="1">IFERROR(__xludf.DUMMYFUNCTION("""COMPUTED_VALUE"""),"20200825MOWEC")</f>
        <v>20200825MOWEC</v>
      </c>
      <c r="B704" s="5">
        <f ca="1">IFERROR(__xludf.DUMMYFUNCTION("""COMPUTED_VALUE"""),8)</f>
        <v>8</v>
      </c>
      <c r="C704" s="5">
        <f ca="1">IFERROR(__xludf.DUMMYFUNCTION("""COMPUTED_VALUE"""),25)</f>
        <v>25</v>
      </c>
      <c r="D704" s="5">
        <f ca="1">IFERROR(__xludf.DUMMYFUNCTION("""COMPUTED_VALUE"""),2020)</f>
        <v>2020</v>
      </c>
      <c r="E704" s="8">
        <f ca="1">IFERROR(__xludf.DUMMYFUNCTION("""COMPUTED_VALUE"""),44068)</f>
        <v>44068</v>
      </c>
      <c r="F704" s="5" t="str">
        <f ca="1">IFERROR(__xludf.DUMMYFUNCTION("""COMPUTED_VALUE"""),"West Middle School")</f>
        <v>West Middle School</v>
      </c>
      <c r="G704" s="5">
        <f ca="1">IFERROR(__xludf.DUMMYFUNCTION("""COMPUTED_VALUE"""),0)</f>
        <v>0</v>
      </c>
      <c r="H704" s="5">
        <f ca="1">IFERROR(__xludf.DUMMYFUNCTION("""COMPUTED_VALUE"""),1)</f>
        <v>1</v>
      </c>
      <c r="I704" s="5">
        <f ca="1">IFERROR(__xludf.DUMMYFUNCTION("""COMPUTED_VALUE"""),1)</f>
        <v>1</v>
      </c>
      <c r="J704" s="5">
        <f ca="1">IFERROR(__xludf.DUMMYFUNCTION("""COMPUTED_VALUE"""),0)</f>
        <v>0</v>
      </c>
      <c r="K704" s="9" t="str">
        <f ca="1">IFERROR(__xludf.DUMMYFUNCTION("""COMPUTED_VALUE"""),"https://abc17news.com/news/crime/shooting/2020/08/25/one-person-shot-near-west-middle-school-in-columbia/")</f>
        <v>https://abc17news.com/news/crime/shooting/2020/08/25/one-person-shot-near-west-middle-school-in-columbia/</v>
      </c>
      <c r="L704" s="5">
        <f ca="1">IFERROR(__xludf.DUMMYFUNCTION("""COMPUTED_VALUE"""),1)</f>
        <v>1</v>
      </c>
      <c r="M704" s="5" t="str">
        <f ca="1">IFERROR(__xludf.DUMMYFUNCTION("""COMPUTED_VALUE"""),"Local")</f>
        <v>Local</v>
      </c>
      <c r="N704" s="5">
        <f ca="1">IFERROR(__xludf.DUMMYFUNCTION("""COMPUTED_VALUE"""),3)</f>
        <v>3</v>
      </c>
      <c r="O704" s="5" t="str">
        <f ca="1">IFERROR(__xludf.DUMMYFUNCTION("""COMPUTED_VALUE"""),"Summer")</f>
        <v>Summer</v>
      </c>
      <c r="P704" s="5" t="str">
        <f ca="1">IFERROR(__xludf.DUMMYFUNCTION("""COMPUTED_VALUE"""),"Columbia")</f>
        <v>Columbia</v>
      </c>
      <c r="Q704" s="5" t="str">
        <f ca="1">IFERROR(__xludf.DUMMYFUNCTION("""COMPUTED_VALUE"""),"MO")</f>
        <v>MO</v>
      </c>
      <c r="R704" s="5" t="str">
        <f ca="1">IFERROR(__xludf.DUMMYFUNCTION("""COMPUTED_VALUE"""),"Middle")</f>
        <v>Middle</v>
      </c>
      <c r="S704" s="5" t="str">
        <f ca="1">IFERROR(__xludf.DUMMYFUNCTION("""COMPUTED_VALUE"""),"Football Field/Track")</f>
        <v>Football Field/Track</v>
      </c>
      <c r="T704" s="5" t="str">
        <f ca="1">IFERROR(__xludf.DUMMYFUNCTION("""COMPUTED_VALUE"""),"Outside on School Property")</f>
        <v>Outside on School Property</v>
      </c>
      <c r="U704" s="5" t="str">
        <f ca="1">IFERROR(__xludf.DUMMYFUNCTION("""COMPUTED_VALUE"""),"No")</f>
        <v>No</v>
      </c>
      <c r="V704" s="5" t="str">
        <f ca="1">IFERROR(__xludf.DUMMYFUNCTION("""COMPUTED_VALUE"""),"Night")</f>
        <v>Night</v>
      </c>
      <c r="W704" s="10">
        <f ca="1">IFERROR(__xludf.DUMMYFUNCTION("""COMPUTED_VALUE"""),0.145833333333333)</f>
        <v>0.14583333333333301</v>
      </c>
      <c r="X704" s="5">
        <f ca="1">IFERROR(__xludf.DUMMYFUNCTION("""COMPUTED_VALUE"""),1)</f>
        <v>1</v>
      </c>
      <c r="Y704" s="5" t="str">
        <f ca="1">IFERROR(__xludf.DUMMYFUNCTION("""COMPUTED_VALUE"""),"Adult male shot on the school track")</f>
        <v>Adult male shot on the school track</v>
      </c>
      <c r="Z704" s="5" t="str">
        <f ca="1">IFERROR(__xludf.DUMMYFUNCTION("""COMPUTED_VALUE"""),"An unidentified adult male was shot on the school track by an unknown shooter. Sustained non-life threatening injuries. Shooter fled the scene. No other information available.")</f>
        <v>An unidentified adult male was shot on the school track by an unknown shooter. Sustained non-life threatening injuries. Shooter fled the scene. No other information available.</v>
      </c>
      <c r="AA704" s="5"/>
      <c r="AB704" s="5"/>
      <c r="AC704" s="5"/>
      <c r="AD704" s="5" t="str">
        <f ca="1">IFERROR(__xludf.DUMMYFUNCTION("""COMPUTED_VALUE"""),"No")</f>
        <v>No</v>
      </c>
      <c r="AE704" s="5" t="str">
        <f ca="1">IFERROR(__xludf.DUMMYFUNCTION("""COMPUTED_VALUE"""),"No")</f>
        <v>No</v>
      </c>
      <c r="AF704" s="5" t="str">
        <f ca="1">IFERROR(__xludf.DUMMYFUNCTION("""COMPUTED_VALUE"""),"No")</f>
        <v>No</v>
      </c>
      <c r="AG704" s="5" t="str">
        <f ca="1">IFERROR(__xludf.DUMMYFUNCTION("""COMPUTED_VALUE"""),"No")</f>
        <v>No</v>
      </c>
      <c r="AH704" s="5" t="str">
        <f ca="1">IFERROR(__xludf.DUMMYFUNCTION("""COMPUTED_VALUE"""),"No")</f>
        <v>No</v>
      </c>
      <c r="AI704" s="5"/>
      <c r="AJ704" s="5" t="str">
        <f ca="1">IFERROR(__xludf.DUMMYFUNCTION("""COMPUTED_VALUE"""),"No")</f>
        <v>No</v>
      </c>
    </row>
    <row r="705" spans="1:36" ht="13">
      <c r="A705" s="5" t="str">
        <f ca="1">IFERROR(__xludf.DUMMYFUNCTION("""COMPUTED_VALUE"""),"20200817MIABG")</f>
        <v>20200817MIABG</v>
      </c>
      <c r="B705" s="5">
        <f ca="1">IFERROR(__xludf.DUMMYFUNCTION("""COMPUTED_VALUE"""),8)</f>
        <v>8</v>
      </c>
      <c r="C705" s="5">
        <f ca="1">IFERROR(__xludf.DUMMYFUNCTION("""COMPUTED_VALUE"""),17)</f>
        <v>17</v>
      </c>
      <c r="D705" s="5">
        <f ca="1">IFERROR(__xludf.DUMMYFUNCTION("""COMPUTED_VALUE"""),2020)</f>
        <v>2020</v>
      </c>
      <c r="E705" s="8">
        <f ca="1">IFERROR(__xludf.DUMMYFUNCTION("""COMPUTED_VALUE"""),44060)</f>
        <v>44060</v>
      </c>
      <c r="F705" s="5" t="str">
        <f ca="1">IFERROR(__xludf.DUMMYFUNCTION("""COMPUTED_VALUE"""),"Aberdeen K-8 School")</f>
        <v>Aberdeen K-8 School</v>
      </c>
      <c r="G705" s="5">
        <f ca="1">IFERROR(__xludf.DUMMYFUNCTION("""COMPUTED_VALUE"""),0)</f>
        <v>0</v>
      </c>
      <c r="H705" s="5">
        <f ca="1">IFERROR(__xludf.DUMMYFUNCTION("""COMPUTED_VALUE"""),1)</f>
        <v>1</v>
      </c>
      <c r="I705" s="5">
        <f ca="1">IFERROR(__xludf.DUMMYFUNCTION("""COMPUTED_VALUE"""),1)</f>
        <v>1</v>
      </c>
      <c r="J705" s="5">
        <f ca="1">IFERROR(__xludf.DUMMYFUNCTION("""COMPUTED_VALUE"""),0)</f>
        <v>0</v>
      </c>
      <c r="K705" s="5" t="str">
        <f ca="1">IFERROR(__xludf.DUMMYFUNCTION("""COMPUTED_VALUE"""),"https://www.fox17online.com/news/local-news/grand-rapids/man-shot-in-hand-near-school-on-aberdeen-street https://www.woodtv.com/news/grand-rapids/grpd-1-person-shot-near-aberdeen-school/")</f>
        <v>https://www.fox17online.com/news/local-news/grand-rapids/man-shot-in-hand-near-school-on-aberdeen-street https://www.woodtv.com/news/grand-rapids/grpd-1-person-shot-near-aberdeen-school/</v>
      </c>
      <c r="L705" s="5">
        <f ca="1">IFERROR(__xludf.DUMMYFUNCTION("""COMPUTED_VALUE"""),2)</f>
        <v>2</v>
      </c>
      <c r="M705" s="5" t="str">
        <f ca="1">IFERROR(__xludf.DUMMYFUNCTION("""COMPUTED_VALUE"""),"Local")</f>
        <v>Local</v>
      </c>
      <c r="N705" s="5">
        <f ca="1">IFERROR(__xludf.DUMMYFUNCTION("""COMPUTED_VALUE"""),3)</f>
        <v>3</v>
      </c>
      <c r="O705" s="5" t="str">
        <f ca="1">IFERROR(__xludf.DUMMYFUNCTION("""COMPUTED_VALUE"""),"Summer")</f>
        <v>Summer</v>
      </c>
      <c r="P705" s="5" t="str">
        <f ca="1">IFERROR(__xludf.DUMMYFUNCTION("""COMPUTED_VALUE"""),"Grand Rapids")</f>
        <v>Grand Rapids</v>
      </c>
      <c r="Q705" s="5" t="str">
        <f ca="1">IFERROR(__xludf.DUMMYFUNCTION("""COMPUTED_VALUE"""),"MI")</f>
        <v>MI</v>
      </c>
      <c r="R705" s="5" t="str">
        <f ca="1">IFERROR(__xludf.DUMMYFUNCTION("""COMPUTED_VALUE"""),"K-8")</f>
        <v>K-8</v>
      </c>
      <c r="S705" s="5" t="str">
        <f ca="1">IFERROR(__xludf.DUMMYFUNCTION("""COMPUTED_VALUE"""),"Beside Building")</f>
        <v>Beside Building</v>
      </c>
      <c r="T705" s="5" t="str">
        <f ca="1">IFERROR(__xludf.DUMMYFUNCTION("""COMPUTED_VALUE"""),"Outside on School Property")</f>
        <v>Outside on School Property</v>
      </c>
      <c r="U705" s="5" t="str">
        <f ca="1">IFERROR(__xludf.DUMMYFUNCTION("""COMPUTED_VALUE"""),"No")</f>
        <v>No</v>
      </c>
      <c r="V705" s="5" t="str">
        <f ca="1">IFERROR(__xludf.DUMMYFUNCTION("""COMPUTED_VALUE"""),"Not a School Day")</f>
        <v>Not a School Day</v>
      </c>
      <c r="W705" s="10">
        <f ca="1">IFERROR(__xludf.DUMMYFUNCTION("""COMPUTED_VALUE"""),0.6875)</f>
        <v>0.6875</v>
      </c>
      <c r="X705" s="5">
        <f ca="1">IFERROR(__xludf.DUMMYFUNCTION("""COMPUTED_VALUE"""),1)</f>
        <v>1</v>
      </c>
      <c r="Y705" s="5" t="str">
        <f ca="1">IFERROR(__xludf.DUMMYFUNCTION("""COMPUTED_VALUE"""),"Adult male shot in hand next to school")</f>
        <v>Adult male shot in hand next to school</v>
      </c>
      <c r="Z705" s="5" t="str">
        <f ca="1">IFERROR(__xludf.DUMMYFUNCTION("""COMPUTED_VALUE"""),"Adult male was shot in the hand next to the school. Police responded to 9-1-1 call for shots fired. Victim and shooter fled the scene. Victim was later found and did not cooperate with police. Identify of shooter and circumstances unknown.")</f>
        <v>Adult male was shot in the hand next to the school. Police responded to 9-1-1 call for shots fired. Victim and shooter fled the scene. Victim was later found and did not cooperate with police. Identify of shooter and circumstances unknown.</v>
      </c>
      <c r="AA705" s="5"/>
      <c r="AB705" s="5"/>
      <c r="AC705" s="5" t="str">
        <f ca="1">IFERROR(__xludf.DUMMYFUNCTION("""COMPUTED_VALUE"""),"No")</f>
        <v>No</v>
      </c>
      <c r="AD705" s="5" t="str">
        <f ca="1">IFERROR(__xludf.DUMMYFUNCTION("""COMPUTED_VALUE"""),"No")</f>
        <v>No</v>
      </c>
      <c r="AE705" s="5" t="str">
        <f ca="1">IFERROR(__xludf.DUMMYFUNCTION("""COMPUTED_VALUE"""),"No")</f>
        <v>No</v>
      </c>
      <c r="AF705" s="5" t="str">
        <f ca="1">IFERROR(__xludf.DUMMYFUNCTION("""COMPUTED_VALUE"""),"No")</f>
        <v>No</v>
      </c>
      <c r="AG705" s="5" t="str">
        <f ca="1">IFERROR(__xludf.DUMMYFUNCTION("""COMPUTED_VALUE"""),"No")</f>
        <v>No</v>
      </c>
      <c r="AH705" s="5" t="str">
        <f ca="1">IFERROR(__xludf.DUMMYFUNCTION("""COMPUTED_VALUE"""),"No")</f>
        <v>No</v>
      </c>
      <c r="AI705" s="5"/>
      <c r="AJ705" s="5" t="str">
        <f ca="1">IFERROR(__xludf.DUMMYFUNCTION("""COMPUTED_VALUE"""),"No")</f>
        <v>No</v>
      </c>
    </row>
    <row r="706" spans="1:36" ht="13">
      <c r="A706" s="5" t="str">
        <f ca="1">IFERROR(__xludf.DUMMYFUNCTION("""COMPUTED_VALUE"""),"20200804PAKEP")</f>
        <v>20200804PAKEP</v>
      </c>
      <c r="B706" s="5">
        <f ca="1">IFERROR(__xludf.DUMMYFUNCTION("""COMPUTED_VALUE"""),8)</f>
        <v>8</v>
      </c>
      <c r="C706" s="5">
        <f ca="1">IFERROR(__xludf.DUMMYFUNCTION("""COMPUTED_VALUE"""),4)</f>
        <v>4</v>
      </c>
      <c r="D706" s="5">
        <f ca="1">IFERROR(__xludf.DUMMYFUNCTION("""COMPUTED_VALUE"""),2020)</f>
        <v>2020</v>
      </c>
      <c r="E706" s="8">
        <f ca="1">IFERROR(__xludf.DUMMYFUNCTION("""COMPUTED_VALUE"""),44047)</f>
        <v>44047</v>
      </c>
      <c r="F706" s="5" t="str">
        <f ca="1">IFERROR(__xludf.DUMMYFUNCTION("""COMPUTED_VALUE"""),"Kelly Elementary School")</f>
        <v>Kelly Elementary School</v>
      </c>
      <c r="G706" s="5">
        <f ca="1">IFERROR(__xludf.DUMMYFUNCTION("""COMPUTED_VALUE"""),1)</f>
        <v>1</v>
      </c>
      <c r="H706" s="5">
        <f ca="1">IFERROR(__xludf.DUMMYFUNCTION("""COMPUTED_VALUE"""),0)</f>
        <v>0</v>
      </c>
      <c r="I706" s="5">
        <f ca="1">IFERROR(__xludf.DUMMYFUNCTION("""COMPUTED_VALUE"""),1)</f>
        <v>1</v>
      </c>
      <c r="J706" s="5">
        <f ca="1">IFERROR(__xludf.DUMMYFUNCTION("""COMPUTED_VALUE"""),0)</f>
        <v>0</v>
      </c>
      <c r="K706" s="5" t="str">
        <f ca="1">IFERROR(__xludf.DUMMYFUNCTION("""COMPUTED_VALUE"""),"https://triblive.com/local/pittsburgh-allegheny/man-detained-after-shooting-near-wilkinsburg-school-victim-in-critical-condition/ https://www.wtae.com/article/person-shot-multiple-times-outside-of-kelly-primary-school-in-wilkinsburg/33512549# https://kdka"&amp;"radio.radio.com/articles/police-investigate-shooting-outside-wilkinsburg-school")</f>
        <v>https://triblive.com/local/pittsburgh-allegheny/man-detained-after-shooting-near-wilkinsburg-school-victim-in-critical-condition/ https://www.wtae.com/article/person-shot-multiple-times-outside-of-kelly-primary-school-in-wilkinsburg/33512549# https://kdkaradio.radio.com/articles/police-investigate-shooting-outside-wilkinsburg-school</v>
      </c>
      <c r="L706" s="5">
        <f ca="1">IFERROR(__xludf.DUMMYFUNCTION("""COMPUTED_VALUE"""),3)</f>
        <v>3</v>
      </c>
      <c r="M706" s="5" t="str">
        <f ca="1">IFERROR(__xludf.DUMMYFUNCTION("""COMPUTED_VALUE"""),"Local")</f>
        <v>Local</v>
      </c>
      <c r="N706" s="5">
        <f ca="1">IFERROR(__xludf.DUMMYFUNCTION("""COMPUTED_VALUE"""),3)</f>
        <v>3</v>
      </c>
      <c r="O706" s="5" t="str">
        <f ca="1">IFERROR(__xludf.DUMMYFUNCTION("""COMPUTED_VALUE"""),"Summer")</f>
        <v>Summer</v>
      </c>
      <c r="P706" s="5" t="str">
        <f ca="1">IFERROR(__xludf.DUMMYFUNCTION("""COMPUTED_VALUE"""),"Pittsburg")</f>
        <v>Pittsburg</v>
      </c>
      <c r="Q706" s="5" t="str">
        <f ca="1">IFERROR(__xludf.DUMMYFUNCTION("""COMPUTED_VALUE"""),"PA")</f>
        <v>PA</v>
      </c>
      <c r="R706" s="5" t="str">
        <f ca="1">IFERROR(__xludf.DUMMYFUNCTION("""COMPUTED_VALUE"""),"Elementary")</f>
        <v>Elementary</v>
      </c>
      <c r="S706" s="5" t="str">
        <f ca="1">IFERROR(__xludf.DUMMYFUNCTION("""COMPUTED_VALUE"""),"Beside Building")</f>
        <v>Beside Building</v>
      </c>
      <c r="T706" s="5" t="str">
        <f ca="1">IFERROR(__xludf.DUMMYFUNCTION("""COMPUTED_VALUE"""),"Outside on School Property")</f>
        <v>Outside on School Property</v>
      </c>
      <c r="U706" s="5" t="str">
        <f ca="1">IFERROR(__xludf.DUMMYFUNCTION("""COMPUTED_VALUE"""),"No")</f>
        <v>No</v>
      </c>
      <c r="V706" s="5" t="str">
        <f ca="1">IFERROR(__xludf.DUMMYFUNCTION("""COMPUTED_VALUE"""),"Not A School Day")</f>
        <v>Not A School Day</v>
      </c>
      <c r="W706" s="10">
        <f ca="1">IFERROR(__xludf.DUMMYFUNCTION("""COMPUTED_VALUE"""),0.510416666666666)</f>
        <v>0.51041666666666596</v>
      </c>
      <c r="X706" s="5">
        <f ca="1">IFERROR(__xludf.DUMMYFUNCTION("""COMPUTED_VALUE"""),1)</f>
        <v>1</v>
      </c>
      <c r="Y706" s="5" t="str">
        <f ca="1">IFERROR(__xludf.DUMMYFUNCTION("""COMPUTED_VALUE"""),"Adult male found shot next to school building")</f>
        <v>Adult male found shot next to school building</v>
      </c>
      <c r="Z706" s="5" t="str">
        <f ca="1">IFERROR(__xludf.DUMMYFUNCTION("""COMPUTED_VALUE"""),"Adult male was found shot multiple times next to school building. Class was not in session, janitors were present cleaning the schools. Doors were locked and school was locked down. 29 year-old male arrested.")</f>
        <v>Adult male was found shot multiple times next to school building. Class was not in session, janitors were present cleaning the schools. Doors were locked and school was locked down. 29 year-old male arrested.</v>
      </c>
      <c r="AA706" s="5" t="str">
        <f ca="1">IFERROR(__xludf.DUMMYFUNCTION("""COMPUTED_VALUE"""),"Unknown")</f>
        <v>Unknown</v>
      </c>
      <c r="AB706" s="5" t="str">
        <f ca="1">IFERROR(__xludf.DUMMYFUNCTION("""COMPUTED_VALUE"""),"Victims Targeted")</f>
        <v>Victims Targeted</v>
      </c>
      <c r="AC706" s="5"/>
      <c r="AD706" s="5" t="str">
        <f ca="1">IFERROR(__xludf.DUMMYFUNCTION("""COMPUTED_VALUE"""),"No")</f>
        <v>No</v>
      </c>
      <c r="AE706" s="5" t="str">
        <f ca="1">IFERROR(__xludf.DUMMYFUNCTION("""COMPUTED_VALUE"""),"No")</f>
        <v>No</v>
      </c>
      <c r="AF706" s="5" t="str">
        <f ca="1">IFERROR(__xludf.DUMMYFUNCTION("""COMPUTED_VALUE"""),"No")</f>
        <v>No</v>
      </c>
      <c r="AG706" s="5" t="str">
        <f ca="1">IFERROR(__xludf.DUMMYFUNCTION("""COMPUTED_VALUE"""),"No")</f>
        <v>No</v>
      </c>
      <c r="AH706" s="5" t="str">
        <f ca="1">IFERROR(__xludf.DUMMYFUNCTION("""COMPUTED_VALUE"""),"No")</f>
        <v>No</v>
      </c>
      <c r="AI706" s="5" t="str">
        <f ca="1">IFERROR(__xludf.DUMMYFUNCTION("""COMPUTED_VALUE"""),"No")</f>
        <v>No</v>
      </c>
      <c r="AJ706" s="5"/>
    </row>
    <row r="707" spans="1:36" ht="13">
      <c r="A707" s="5" t="str">
        <f ca="1">IFERROR(__xludf.DUMMYFUNCTION("""COMPUTED_VALUE"""),"20200729ILCOC")</f>
        <v>20200729ILCOC</v>
      </c>
      <c r="B707" s="5">
        <f ca="1">IFERROR(__xludf.DUMMYFUNCTION("""COMPUTED_VALUE"""),7)</f>
        <v>7</v>
      </c>
      <c r="C707" s="5">
        <f ca="1">IFERROR(__xludf.DUMMYFUNCTION("""COMPUTED_VALUE"""),29)</f>
        <v>29</v>
      </c>
      <c r="D707" s="5">
        <f ca="1">IFERROR(__xludf.DUMMYFUNCTION("""COMPUTED_VALUE"""),2020)</f>
        <v>2020</v>
      </c>
      <c r="E707" s="8">
        <f ca="1">IFERROR(__xludf.DUMMYFUNCTION("""COMPUTED_VALUE"""),44041)</f>
        <v>44041</v>
      </c>
      <c r="F707" s="5" t="str">
        <f ca="1">IFERROR(__xludf.DUMMYFUNCTION("""COMPUTED_VALUE"""),"Collinsville High School")</f>
        <v>Collinsville High School</v>
      </c>
      <c r="G707" s="5">
        <f ca="1">IFERROR(__xludf.DUMMYFUNCTION("""COMPUTED_VALUE"""),0)</f>
        <v>0</v>
      </c>
      <c r="H707" s="5">
        <f ca="1">IFERROR(__xludf.DUMMYFUNCTION("""COMPUTED_VALUE"""),0)</f>
        <v>0</v>
      </c>
      <c r="I707" s="5">
        <f ca="1">IFERROR(__xludf.DUMMYFUNCTION("""COMPUTED_VALUE"""),0)</f>
        <v>0</v>
      </c>
      <c r="J707" s="5">
        <f ca="1">IFERROR(__xludf.DUMMYFUNCTION("""COMPUTED_VALUE"""),0)</f>
        <v>0</v>
      </c>
      <c r="K707" s="5" t="str">
        <f ca="1">IFERROR(__xludf.DUMMYFUNCTION("""COMPUTED_VALUE"""),"https://www.bnd.com/news/local/crime/article244612797.html https://www.kmov.com/news/investigation-underway-after-17-year-old-with-gun-shot-by-police-at-collinsville-high-school/article_52142d78-d24e-11ea-88d6-83568384002c.html https://www.riverbender.com"&amp;"/articles/details/illinois-state-police-investigate-officer-involved-shooting-in-collinsville-43444.cfm")</f>
        <v>https://www.bnd.com/news/local/crime/article244612797.html https://www.kmov.com/news/investigation-underway-after-17-year-old-with-gun-shot-by-police-at-collinsville-high-school/article_52142d78-d24e-11ea-88d6-83568384002c.html https://www.riverbender.com/articles/details/illinois-state-police-investigate-officer-involved-shooting-in-collinsville-43444.cfm</v>
      </c>
      <c r="L707" s="5">
        <f ca="1">IFERROR(__xludf.DUMMYFUNCTION("""COMPUTED_VALUE"""),3)</f>
        <v>3</v>
      </c>
      <c r="M707" s="5" t="str">
        <f ca="1">IFERROR(__xludf.DUMMYFUNCTION("""COMPUTED_VALUE"""),"Local")</f>
        <v>Local</v>
      </c>
      <c r="N707" s="5">
        <f ca="1">IFERROR(__xludf.DUMMYFUNCTION("""COMPUTED_VALUE"""),4)</f>
        <v>4</v>
      </c>
      <c r="O707" s="5"/>
      <c r="P707" s="5" t="str">
        <f ca="1">IFERROR(__xludf.DUMMYFUNCTION("""COMPUTED_VALUE"""),"Collinsville")</f>
        <v>Collinsville</v>
      </c>
      <c r="Q707" s="5" t="str">
        <f ca="1">IFERROR(__xludf.DUMMYFUNCTION("""COMPUTED_VALUE"""),"IL")</f>
        <v>IL</v>
      </c>
      <c r="R707" s="5" t="str">
        <f ca="1">IFERROR(__xludf.DUMMYFUNCTION("""COMPUTED_VALUE"""),"High")</f>
        <v>High</v>
      </c>
      <c r="S707" s="5" t="str">
        <f ca="1">IFERROR(__xludf.DUMMYFUNCTION("""COMPUTED_VALUE"""),"Beside Building")</f>
        <v>Beside Building</v>
      </c>
      <c r="T707" s="5" t="str">
        <f ca="1">IFERROR(__xludf.DUMMYFUNCTION("""COMPUTED_VALUE"""),"Outside on School Property")</f>
        <v>Outside on School Property</v>
      </c>
      <c r="U707" s="5" t="str">
        <f ca="1">IFERROR(__xludf.DUMMYFUNCTION("""COMPUTED_VALUE"""),"No")</f>
        <v>No</v>
      </c>
      <c r="V707" s="5" t="str">
        <f ca="1">IFERROR(__xludf.DUMMYFUNCTION("""COMPUTED_VALUE"""),"Night")</f>
        <v>Night</v>
      </c>
      <c r="W707" s="10">
        <f ca="1">IFERROR(__xludf.DUMMYFUNCTION("""COMPUTED_VALUE"""),0.884722222222222)</f>
        <v>0.88472222222222197</v>
      </c>
      <c r="X707" s="5">
        <f ca="1">IFERROR(__xludf.DUMMYFUNCTION("""COMPUTED_VALUE"""),1)</f>
        <v>1</v>
      </c>
      <c r="Y707" s="5" t="str">
        <f ca="1">IFERROR(__xludf.DUMMYFUNCTION("""COMPUTED_VALUE"""),"Teen shot by police officer after pointing gun at the officers")</f>
        <v>Teen shot by police officer after pointing gun at the officers</v>
      </c>
      <c r="Z707" s="5" t="str">
        <f ca="1">IFERROR(__xludf.DUMMYFUNCTION("""COMPUTED_VALUE"""),"Police responded to the school for a 911 hang-up call for a person in distress. Officers found a 17 year-old male with a gun near the school. When officers approached, the teen pointed the gun at the officers who then fired and injured him. Teen was trans"&amp;"ported to the hospital with minor injuries.")</f>
        <v>Police responded to the school for a 911 hang-up call for a person in distress. Officers found a 17 year-old male with a gun near the school. When officers approached, the teen pointed the gun at the officers who then fired and injured him. Teen was transported to the hospital with minor injuries.</v>
      </c>
      <c r="AA707" s="5" t="str">
        <f ca="1">IFERROR(__xludf.DUMMYFUNCTION("""COMPUTED_VALUE"""),"Unknown")</f>
        <v>Unknown</v>
      </c>
      <c r="AB707" s="5" t="str">
        <f ca="1">IFERROR(__xludf.DUMMYFUNCTION("""COMPUTED_VALUE"""),"Neither")</f>
        <v>Neither</v>
      </c>
      <c r="AC707" s="5" t="str">
        <f ca="1">IFERROR(__xludf.DUMMYFUNCTION("""COMPUTED_VALUE"""),"No")</f>
        <v>No</v>
      </c>
      <c r="AD707" s="5" t="str">
        <f ca="1">IFERROR(__xludf.DUMMYFUNCTION("""COMPUTED_VALUE"""),"No")</f>
        <v>No</v>
      </c>
      <c r="AE707" s="5" t="str">
        <f ca="1">IFERROR(__xludf.DUMMYFUNCTION("""COMPUTED_VALUE"""),"No")</f>
        <v>No</v>
      </c>
      <c r="AF707" s="5" t="str">
        <f ca="1">IFERROR(__xludf.DUMMYFUNCTION("""COMPUTED_VALUE"""),"Yes")</f>
        <v>Yes</v>
      </c>
      <c r="AG707" s="5"/>
      <c r="AH707" s="5" t="str">
        <f ca="1">IFERROR(__xludf.DUMMYFUNCTION("""COMPUTED_VALUE"""),"No")</f>
        <v>No</v>
      </c>
      <c r="AI707" s="5"/>
      <c r="AJ707" s="5" t="str">
        <f ca="1">IFERROR(__xludf.DUMMYFUNCTION("""COMPUTED_VALUE"""),"No")</f>
        <v>No</v>
      </c>
    </row>
    <row r="708" spans="1:36" ht="13">
      <c r="A708" s="5" t="str">
        <f ca="1">IFERROR(__xludf.DUMMYFUNCTION("""COMPUTED_VALUE"""),"20200727AZCAO")</f>
        <v>20200727AZCAO</v>
      </c>
      <c r="B708" s="5">
        <f ca="1">IFERROR(__xludf.DUMMYFUNCTION("""COMPUTED_VALUE"""),7)</f>
        <v>7</v>
      </c>
      <c r="C708" s="5">
        <f ca="1">IFERROR(__xludf.DUMMYFUNCTION("""COMPUTED_VALUE"""),27)</f>
        <v>27</v>
      </c>
      <c r="D708" s="5">
        <f ca="1">IFERROR(__xludf.DUMMYFUNCTION("""COMPUTED_VALUE"""),2020)</f>
        <v>2020</v>
      </c>
      <c r="E708" s="8">
        <f ca="1">IFERROR(__xludf.DUMMYFUNCTION("""COMPUTED_VALUE"""),44039)</f>
        <v>44039</v>
      </c>
      <c r="F708" s="5" t="str">
        <f ca="1">IFERROR(__xludf.DUMMYFUNCTION("""COMPUTED_VALUE"""),"Canyon del Oro High School")</f>
        <v>Canyon del Oro High School</v>
      </c>
      <c r="G708" s="5">
        <f ca="1">IFERROR(__xludf.DUMMYFUNCTION("""COMPUTED_VALUE"""),0)</f>
        <v>0</v>
      </c>
      <c r="H708" s="5">
        <f ca="1">IFERROR(__xludf.DUMMYFUNCTION("""COMPUTED_VALUE"""),0)</f>
        <v>0</v>
      </c>
      <c r="I708" s="5">
        <f ca="1">IFERROR(__xludf.DUMMYFUNCTION("""COMPUTED_VALUE"""),0)</f>
        <v>0</v>
      </c>
      <c r="J708" s="5">
        <f ca="1">IFERROR(__xludf.DUMMYFUNCTION("""COMPUTED_VALUE"""),1)</f>
        <v>1</v>
      </c>
      <c r="K708" s="5" t="str">
        <f ca="1">IFERROR(__xludf.DUMMYFUNCTION("""COMPUTED_VALUE"""),"https://www.kgun9.com/news/education/man-dies-at-cdo-high-school-after-self-inflicted-shooting https://tucson.com/news/local/crime-and-courts/police-id-roofer-working-at-cdo-high-school-who-fatally-shot-himself/article_001c5c06-d038-11ea-adbb-936ea8f054c1"&amp;".html")</f>
        <v>https://www.kgun9.com/news/education/man-dies-at-cdo-high-school-after-self-inflicted-shooting https://tucson.com/news/local/crime-and-courts/police-id-roofer-working-at-cdo-high-school-who-fatally-shot-himself/article_001c5c06-d038-11ea-adbb-936ea8f054c1.html</v>
      </c>
      <c r="L708" s="5">
        <f ca="1">IFERROR(__xludf.DUMMYFUNCTION("""COMPUTED_VALUE"""),3)</f>
        <v>3</v>
      </c>
      <c r="M708" s="5" t="str">
        <f ca="1">IFERROR(__xludf.DUMMYFUNCTION("""COMPUTED_VALUE"""),"Local")</f>
        <v>Local</v>
      </c>
      <c r="N708" s="5">
        <f ca="1">IFERROR(__xludf.DUMMYFUNCTION("""COMPUTED_VALUE"""),4)</f>
        <v>4</v>
      </c>
      <c r="O708" s="5" t="str">
        <f ca="1">IFERROR(__xludf.DUMMYFUNCTION("""COMPUTED_VALUE"""),"Summer")</f>
        <v>Summer</v>
      </c>
      <c r="P708" s="5" t="str">
        <f ca="1">IFERROR(__xludf.DUMMYFUNCTION("""COMPUTED_VALUE"""),"Oro Valley")</f>
        <v>Oro Valley</v>
      </c>
      <c r="Q708" s="5" t="str">
        <f ca="1">IFERROR(__xludf.DUMMYFUNCTION("""COMPUTED_VALUE"""),"AZ")</f>
        <v>AZ</v>
      </c>
      <c r="R708" s="5" t="str">
        <f ca="1">IFERROR(__xludf.DUMMYFUNCTION("""COMPUTED_VALUE"""),"High")</f>
        <v>High</v>
      </c>
      <c r="S708" s="5" t="str">
        <f ca="1">IFERROR(__xludf.DUMMYFUNCTION("""COMPUTED_VALUE"""),"Beside Building")</f>
        <v>Beside Building</v>
      </c>
      <c r="T708" s="5" t="str">
        <f ca="1">IFERROR(__xludf.DUMMYFUNCTION("""COMPUTED_VALUE"""),"Outside on School Property")</f>
        <v>Outside on School Property</v>
      </c>
      <c r="U708" s="5" t="str">
        <f ca="1">IFERROR(__xludf.DUMMYFUNCTION("""COMPUTED_VALUE"""),"No")</f>
        <v>No</v>
      </c>
      <c r="V708" s="5" t="str">
        <f ca="1">IFERROR(__xludf.DUMMYFUNCTION("""COMPUTED_VALUE"""),"Not a School Day")</f>
        <v>Not a School Day</v>
      </c>
      <c r="W708" s="10">
        <f ca="1">IFERROR(__xludf.DUMMYFUNCTION("""COMPUTED_VALUE"""),0.666666666666666)</f>
        <v>0.66666666666666596</v>
      </c>
      <c r="X708" s="5">
        <f ca="1">IFERROR(__xludf.DUMMYFUNCTION("""COMPUTED_VALUE"""),1)</f>
        <v>1</v>
      </c>
      <c r="Y708" s="5" t="str">
        <f ca="1">IFERROR(__xludf.DUMMYFUNCTION("""COMPUTED_VALUE"""),"Adult male construction work fatal shot self in leg")</f>
        <v>Adult male construction work fatal shot self in leg</v>
      </c>
      <c r="Z708" s="5" t="str">
        <f ca="1">IFERROR(__xludf.DUMMYFUNCTION("""COMPUTED_VALUE"""),"40 year-old male fatally shot himself (accident) while working on the roof of the school. School placed on lockdown when gun shot was reported. No students were present at the school.")</f>
        <v>40 year-old male fatally shot himself (accident) while working on the roof of the school. School placed on lockdown when gun shot was reported. No students were present at the school.</v>
      </c>
      <c r="AA708" s="5" t="str">
        <f ca="1">IFERROR(__xludf.DUMMYFUNCTION("""COMPUTED_VALUE"""),"Accidental")</f>
        <v>Accidental</v>
      </c>
      <c r="AB708" s="5" t="str">
        <f ca="1">IFERROR(__xludf.DUMMYFUNCTION("""COMPUTED_VALUE"""),"Neither")</f>
        <v>Neither</v>
      </c>
      <c r="AC708" s="5" t="str">
        <f ca="1">IFERROR(__xludf.DUMMYFUNCTION("""COMPUTED_VALUE"""),"No")</f>
        <v>No</v>
      </c>
      <c r="AD708" s="5" t="str">
        <f ca="1">IFERROR(__xludf.DUMMYFUNCTION("""COMPUTED_VALUE"""),"No")</f>
        <v>No</v>
      </c>
      <c r="AE708" s="5" t="str">
        <f ca="1">IFERROR(__xludf.DUMMYFUNCTION("""COMPUTED_VALUE"""),"No")</f>
        <v>No</v>
      </c>
      <c r="AF708" s="5" t="str">
        <f ca="1">IFERROR(__xludf.DUMMYFUNCTION("""COMPUTED_VALUE"""),"No")</f>
        <v>No</v>
      </c>
      <c r="AG708" s="5" t="str">
        <f ca="1">IFERROR(__xludf.DUMMYFUNCTION("""COMPUTED_VALUE"""),"No")</f>
        <v>No</v>
      </c>
      <c r="AH708" s="5" t="str">
        <f ca="1">IFERROR(__xludf.DUMMYFUNCTION("""COMPUTED_VALUE"""),"No")</f>
        <v>No</v>
      </c>
      <c r="AI708" s="5" t="str">
        <f ca="1">IFERROR(__xludf.DUMMYFUNCTION("""COMPUTED_VALUE"""),"No")</f>
        <v>No</v>
      </c>
      <c r="AJ708" s="5" t="str">
        <f ca="1">IFERROR(__xludf.DUMMYFUNCTION("""COMPUTED_VALUE"""),"No")</f>
        <v>No</v>
      </c>
    </row>
    <row r="709" spans="1:36" ht="13">
      <c r="A709" s="5" t="str">
        <f ca="1">IFERROR(__xludf.DUMMYFUNCTION("""COMPUTED_VALUE"""),"20200721SCBRO")</f>
        <v>20200721SCBRO</v>
      </c>
      <c r="B709" s="5">
        <f ca="1">IFERROR(__xludf.DUMMYFUNCTION("""COMPUTED_VALUE"""),7)</f>
        <v>7</v>
      </c>
      <c r="C709" s="5">
        <f ca="1">IFERROR(__xludf.DUMMYFUNCTION("""COMPUTED_VALUE"""),21)</f>
        <v>21</v>
      </c>
      <c r="D709" s="5">
        <f ca="1">IFERROR(__xludf.DUMMYFUNCTION("""COMPUTED_VALUE"""),2020)</f>
        <v>2020</v>
      </c>
      <c r="E709" s="8">
        <f ca="1">IFERROR(__xludf.DUMMYFUNCTION("""COMPUTED_VALUE"""),44033)</f>
        <v>44033</v>
      </c>
      <c r="F709" s="5" t="str">
        <f ca="1">IFERROR(__xludf.DUMMYFUNCTION("""COMPUTED_VALUE"""),"Brookdale Elementary School")</f>
        <v>Brookdale Elementary School</v>
      </c>
      <c r="G709" s="5">
        <f ca="1">IFERROR(__xludf.DUMMYFUNCTION("""COMPUTED_VALUE"""),1)</f>
        <v>1</v>
      </c>
      <c r="H709" s="5">
        <f ca="1">IFERROR(__xludf.DUMMYFUNCTION("""COMPUTED_VALUE"""),0)</f>
        <v>0</v>
      </c>
      <c r="I709" s="5">
        <f ca="1">IFERROR(__xludf.DUMMYFUNCTION("""COMPUTED_VALUE"""),1)</f>
        <v>1</v>
      </c>
      <c r="J709" s="5">
        <f ca="1">IFERROR(__xludf.DUMMYFUNCTION("""COMPUTED_VALUE"""),0)</f>
        <v>0</v>
      </c>
      <c r="K709" s="5" t="str">
        <f ca="1">IFERROR(__xludf.DUMMYFUNCTION("""COMPUTED_VALUE"""),"https://abcnews4.com/news/crime-news/person-of-interest-sought-after-deadly-shooting-near-orangeburg-co-school https://www.wistv.com/2020/07/22/orangeburg-co-deputies-investigate-deadly-shooting-near-elementary-school/ https://abcnews4.com/news/crime-news"&amp;"/deputies-argument-over-orangeburg-co-basketball-game-leads-to-deadly-shooting")</f>
        <v>https://abcnews4.com/news/crime-news/person-of-interest-sought-after-deadly-shooting-near-orangeburg-co-school https://www.wistv.com/2020/07/22/orangeburg-co-deputies-investigate-deadly-shooting-near-elementary-school/ https://abcnews4.com/news/crime-news/deputies-argument-over-orangeburg-co-basketball-game-leads-to-deadly-shooting</v>
      </c>
      <c r="L709" s="5">
        <f ca="1">IFERROR(__xludf.DUMMYFUNCTION("""COMPUTED_VALUE"""),2)</f>
        <v>2</v>
      </c>
      <c r="M709" s="5" t="str">
        <f ca="1">IFERROR(__xludf.DUMMYFUNCTION("""COMPUTED_VALUE"""),"Local")</f>
        <v>Local</v>
      </c>
      <c r="N709" s="5">
        <f ca="1">IFERROR(__xludf.DUMMYFUNCTION("""COMPUTED_VALUE"""),3)</f>
        <v>3</v>
      </c>
      <c r="O709" s="5" t="str">
        <f ca="1">IFERROR(__xludf.DUMMYFUNCTION("""COMPUTED_VALUE"""),"Summer")</f>
        <v>Summer</v>
      </c>
      <c r="P709" s="5" t="str">
        <f ca="1">IFERROR(__xludf.DUMMYFUNCTION("""COMPUTED_VALUE"""),"Orangeburg")</f>
        <v>Orangeburg</v>
      </c>
      <c r="Q709" s="5" t="str">
        <f ca="1">IFERROR(__xludf.DUMMYFUNCTION("""COMPUTED_VALUE"""),"SC")</f>
        <v>SC</v>
      </c>
      <c r="R709" s="5" t="str">
        <f ca="1">IFERROR(__xludf.DUMMYFUNCTION("""COMPUTED_VALUE"""),"Elementary")</f>
        <v>Elementary</v>
      </c>
      <c r="S709" s="5" t="str">
        <f ca="1">IFERROR(__xludf.DUMMYFUNCTION("""COMPUTED_VALUE"""),"Basketball Court")</f>
        <v>Basketball Court</v>
      </c>
      <c r="T709" s="5" t="str">
        <f ca="1">IFERROR(__xludf.DUMMYFUNCTION("""COMPUTED_VALUE"""),"Outside on School Property")</f>
        <v>Outside on School Property</v>
      </c>
      <c r="U709" s="5" t="str">
        <f ca="1">IFERROR(__xludf.DUMMYFUNCTION("""COMPUTED_VALUE"""),"No")</f>
        <v>No</v>
      </c>
      <c r="V709" s="5" t="str">
        <f ca="1">IFERROR(__xludf.DUMMYFUNCTION("""COMPUTED_VALUE"""),"Night")</f>
        <v>Night</v>
      </c>
      <c r="W709" s="10">
        <f ca="1">IFERROR(__xludf.DUMMYFUNCTION("""COMPUTED_VALUE"""),0.875)</f>
        <v>0.875</v>
      </c>
      <c r="X709" s="5">
        <f ca="1">IFERROR(__xludf.DUMMYFUNCTION("""COMPUTED_VALUE"""),1)</f>
        <v>1</v>
      </c>
      <c r="Y709" s="5" t="str">
        <f ca="1">IFERROR(__xludf.DUMMYFUNCTION("""COMPUTED_VALUE"""),"Adult male shot on school basketball court")</f>
        <v>Adult male shot on school basketball court</v>
      </c>
      <c r="Z709" s="5" t="str">
        <f ca="1">IFERROR(__xludf.DUMMYFUNCTION("""COMPUTED_VALUE"""),"28 year-old male victim was shot on the school basketball court. Shooter fled the area. Brother transported victim to the hospital where he died. Police searching for 21 year-old male shooter.")</f>
        <v>28 year-old male victim was shot on the school basketball court. Shooter fled the area. Brother transported victim to the hospital where he died. Police searching for 21 year-old male shooter.</v>
      </c>
      <c r="AA709" s="5" t="str">
        <f ca="1">IFERROR(__xludf.DUMMYFUNCTION("""COMPUTED_VALUE"""),"Escalation of Dispute")</f>
        <v>Escalation of Dispute</v>
      </c>
      <c r="AB709" s="5"/>
      <c r="AC709" s="5" t="str">
        <f ca="1">IFERROR(__xludf.DUMMYFUNCTION("""COMPUTED_VALUE"""),"No")</f>
        <v>No</v>
      </c>
      <c r="AD709" s="5" t="str">
        <f ca="1">IFERROR(__xludf.DUMMYFUNCTION("""COMPUTED_VALUE"""),"No")</f>
        <v>No</v>
      </c>
      <c r="AE709" s="5" t="str">
        <f ca="1">IFERROR(__xludf.DUMMYFUNCTION("""COMPUTED_VALUE"""),"No")</f>
        <v>No</v>
      </c>
      <c r="AF709" s="5" t="str">
        <f ca="1">IFERROR(__xludf.DUMMYFUNCTION("""COMPUTED_VALUE"""),"No")</f>
        <v>No</v>
      </c>
      <c r="AG709" s="5" t="str">
        <f ca="1">IFERROR(__xludf.DUMMYFUNCTION("""COMPUTED_VALUE"""),"No")</f>
        <v>No</v>
      </c>
      <c r="AH709" s="5" t="str">
        <f ca="1">IFERROR(__xludf.DUMMYFUNCTION("""COMPUTED_VALUE"""),"No")</f>
        <v>No</v>
      </c>
      <c r="AI709" s="5"/>
      <c r="AJ709" s="5" t="str">
        <f ca="1">IFERROR(__xludf.DUMMYFUNCTION("""COMPUTED_VALUE"""),"No")</f>
        <v>No</v>
      </c>
    </row>
    <row r="710" spans="1:36" ht="13">
      <c r="A710" s="5" t="str">
        <f ca="1">IFERROR(__xludf.DUMMYFUNCTION("""COMPUTED_VALUE"""),"20200714MIWID")</f>
        <v>20200714MIWID</v>
      </c>
      <c r="B710" s="5">
        <f ca="1">IFERROR(__xludf.DUMMYFUNCTION("""COMPUTED_VALUE"""),7)</f>
        <v>7</v>
      </c>
      <c r="C710" s="5">
        <f ca="1">IFERROR(__xludf.DUMMYFUNCTION("""COMPUTED_VALUE"""),14)</f>
        <v>14</v>
      </c>
      <c r="D710" s="5">
        <f ca="1">IFERROR(__xludf.DUMMYFUNCTION("""COMPUTED_VALUE"""),2020)</f>
        <v>2020</v>
      </c>
      <c r="E710" s="8">
        <f ca="1">IFERROR(__xludf.DUMMYFUNCTION("""COMPUTED_VALUE"""),44026)</f>
        <v>44026</v>
      </c>
      <c r="F710" s="5" t="str">
        <f ca="1">IFERROR(__xludf.DUMMYFUNCTION("""COMPUTED_VALUE"""),"Willow Woods Elementary School")</f>
        <v>Willow Woods Elementary School</v>
      </c>
      <c r="G710" s="5">
        <f ca="1">IFERROR(__xludf.DUMMYFUNCTION("""COMPUTED_VALUE"""),0)</f>
        <v>0</v>
      </c>
      <c r="H710" s="5">
        <f ca="1">IFERROR(__xludf.DUMMYFUNCTION("""COMPUTED_VALUE"""),0)</f>
        <v>0</v>
      </c>
      <c r="I710" s="5">
        <f ca="1">IFERROR(__xludf.DUMMYFUNCTION("""COMPUTED_VALUE"""),0)</f>
        <v>0</v>
      </c>
      <c r="J710" s="5">
        <f ca="1">IFERROR(__xludf.DUMMYFUNCTION("""COMPUTED_VALUE"""),0)</f>
        <v>0</v>
      </c>
      <c r="K710" s="9" t="str">
        <f ca="1">IFERROR(__xludf.DUMMYFUNCTION("""COMPUTED_VALUE"""),"https://www.detroitnews.com/story/news/local/macomb-county/2020/07/14/sterling-heights-police-fight-shot-fired-school-grounds/5435977002/")</f>
        <v>https://www.detroitnews.com/story/news/local/macomb-county/2020/07/14/sterling-heights-police-fight-shot-fired-school-grounds/5435977002/</v>
      </c>
      <c r="L710" s="5">
        <f ca="1">IFERROR(__xludf.DUMMYFUNCTION("""COMPUTED_VALUE"""),1)</f>
        <v>1</v>
      </c>
      <c r="M710" s="5" t="str">
        <f ca="1">IFERROR(__xludf.DUMMYFUNCTION("""COMPUTED_VALUE"""),"Local")</f>
        <v>Local</v>
      </c>
      <c r="N710" s="5">
        <f ca="1">IFERROR(__xludf.DUMMYFUNCTION("""COMPUTED_VALUE"""),3)</f>
        <v>3</v>
      </c>
      <c r="O710" s="5" t="str">
        <f ca="1">IFERROR(__xludf.DUMMYFUNCTION("""COMPUTED_VALUE"""),"Summer")</f>
        <v>Summer</v>
      </c>
      <c r="P710" s="5" t="str">
        <f ca="1">IFERROR(__xludf.DUMMYFUNCTION("""COMPUTED_VALUE"""),"Detroit")</f>
        <v>Detroit</v>
      </c>
      <c r="Q710" s="5" t="str">
        <f ca="1">IFERROR(__xludf.DUMMYFUNCTION("""COMPUTED_VALUE"""),"MI")</f>
        <v>MI</v>
      </c>
      <c r="R710" s="5" t="str">
        <f ca="1">IFERROR(__xludf.DUMMYFUNCTION("""COMPUTED_VALUE"""),"Elementary")</f>
        <v>Elementary</v>
      </c>
      <c r="S710" s="5" t="str">
        <f ca="1">IFERROR(__xludf.DUMMYFUNCTION("""COMPUTED_VALUE"""),"Parking Lot")</f>
        <v>Parking Lot</v>
      </c>
      <c r="T710" s="5" t="str">
        <f ca="1">IFERROR(__xludf.DUMMYFUNCTION("""COMPUTED_VALUE"""),"Outside on School Property")</f>
        <v>Outside on School Property</v>
      </c>
      <c r="U710" s="5" t="str">
        <f ca="1">IFERROR(__xludf.DUMMYFUNCTION("""COMPUTED_VALUE"""),"No")</f>
        <v>No</v>
      </c>
      <c r="V710" s="5" t="str">
        <f ca="1">IFERROR(__xludf.DUMMYFUNCTION("""COMPUTED_VALUE"""),"Not a School Day")</f>
        <v>Not a School Day</v>
      </c>
      <c r="W710" s="5"/>
      <c r="X710" s="5">
        <f ca="1">IFERROR(__xludf.DUMMYFUNCTION("""COMPUTED_VALUE"""),1)</f>
        <v>1</v>
      </c>
      <c r="Y710" s="5" t="str">
        <f ca="1">IFERROR(__xludf.DUMMYFUNCTION("""COMPUTED_VALUE"""),"Shots fired into the air during fight between two men")</f>
        <v>Shots fired into the air during fight between two men</v>
      </c>
      <c r="Z710" s="5" t="str">
        <f ca="1">IFERROR(__xludf.DUMMYFUNCTION("""COMPUTED_VALUE"""),"Shots fired into the air between two men who police reported are not related to the school. School was not in session. Both men fled the scene.")</f>
        <v>Shots fired into the air between two men who police reported are not related to the school. School was not in session. Both men fled the scene.</v>
      </c>
      <c r="AA710" s="5" t="str">
        <f ca="1">IFERROR(__xludf.DUMMYFUNCTION("""COMPUTED_VALUE"""),"Escalation of Dispute")</f>
        <v>Escalation of Dispute</v>
      </c>
      <c r="AB710" s="5" t="str">
        <f ca="1">IFERROR(__xludf.DUMMYFUNCTION("""COMPUTED_VALUE"""),"Neither")</f>
        <v>Neither</v>
      </c>
      <c r="AC710" s="5" t="str">
        <f ca="1">IFERROR(__xludf.DUMMYFUNCTION("""COMPUTED_VALUE"""),"No")</f>
        <v>No</v>
      </c>
      <c r="AD710" s="5" t="str">
        <f ca="1">IFERROR(__xludf.DUMMYFUNCTION("""COMPUTED_VALUE"""),"No")</f>
        <v>No</v>
      </c>
      <c r="AE710" s="5" t="str">
        <f ca="1">IFERROR(__xludf.DUMMYFUNCTION("""COMPUTED_VALUE"""),"No")</f>
        <v>No</v>
      </c>
      <c r="AF710" s="5" t="str">
        <f ca="1">IFERROR(__xludf.DUMMYFUNCTION("""COMPUTED_VALUE"""),"No")</f>
        <v>No</v>
      </c>
      <c r="AG710" s="5" t="str">
        <f ca="1">IFERROR(__xludf.DUMMYFUNCTION("""COMPUTED_VALUE"""),"No")</f>
        <v>No</v>
      </c>
      <c r="AH710" s="5" t="str">
        <f ca="1">IFERROR(__xludf.DUMMYFUNCTION("""COMPUTED_VALUE"""),"No")</f>
        <v>No</v>
      </c>
      <c r="AI710" s="5" t="str">
        <f ca="1">IFERROR(__xludf.DUMMYFUNCTION("""COMPUTED_VALUE"""),"No")</f>
        <v>No</v>
      </c>
      <c r="AJ710" s="5" t="str">
        <f ca="1">IFERROR(__xludf.DUMMYFUNCTION("""COMPUTED_VALUE"""),"No")</f>
        <v>No</v>
      </c>
    </row>
    <row r="711" spans="1:36" ht="13">
      <c r="A711" s="5" t="str">
        <f ca="1">IFERROR(__xludf.DUMMYFUNCTION("""COMPUTED_VALUE"""),"20200704INLAM")</f>
        <v>20200704INLAM</v>
      </c>
      <c r="B711" s="5">
        <f ca="1">IFERROR(__xludf.DUMMYFUNCTION("""COMPUTED_VALUE"""),7)</f>
        <v>7</v>
      </c>
      <c r="C711" s="5">
        <f ca="1">IFERROR(__xludf.DUMMYFUNCTION("""COMPUTED_VALUE"""),4)</f>
        <v>4</v>
      </c>
      <c r="D711" s="5">
        <f ca="1">IFERROR(__xludf.DUMMYFUNCTION("""COMPUTED_VALUE"""),2020)</f>
        <v>2020</v>
      </c>
      <c r="E711" s="8">
        <f ca="1">IFERROR(__xludf.DUMMYFUNCTION("""COMPUTED_VALUE"""),44016)</f>
        <v>44016</v>
      </c>
      <c r="F711" s="5" t="str">
        <f ca="1">IFERROR(__xludf.DUMMYFUNCTION("""COMPUTED_VALUE"""),"Lake Hills Elementary School")</f>
        <v>Lake Hills Elementary School</v>
      </c>
      <c r="G711" s="5">
        <f ca="1">IFERROR(__xludf.DUMMYFUNCTION("""COMPUTED_VALUE"""),1)</f>
        <v>1</v>
      </c>
      <c r="H711" s="5">
        <f ca="1">IFERROR(__xludf.DUMMYFUNCTION("""COMPUTED_VALUE"""),0)</f>
        <v>0</v>
      </c>
      <c r="I711" s="5">
        <f ca="1">IFERROR(__xludf.DUMMYFUNCTION("""COMPUTED_VALUE"""),1)</f>
        <v>1</v>
      </c>
      <c r="J711" s="5">
        <f ca="1">IFERROR(__xludf.DUMMYFUNCTION("""COMPUTED_VALUE"""),0)</f>
        <v>0</v>
      </c>
      <c r="K711" s="5" t="str">
        <f ca="1">IFERROR(__xludf.DUMMYFUNCTION("""COMPUTED_VALUE"""),"https://www.abc57.com/news/murder-suspect-charged-in-fatal-shooting-near-washington-park https://www.nwitimes.com/news/local/laporte/cops-escort-jet-skier-to-shore-serve-michigan-city-murder-warrant/article_368fb153-b3ba-531e-aeb9-722119ab48f3.html")</f>
        <v>https://www.abc57.com/news/murder-suspect-charged-in-fatal-shooting-near-washington-park https://www.nwitimes.com/news/local/laporte/cops-escort-jet-skier-to-shore-serve-michigan-city-murder-warrant/article_368fb153-b3ba-531e-aeb9-722119ab48f3.html</v>
      </c>
      <c r="L711" s="5">
        <f ca="1">IFERROR(__xludf.DUMMYFUNCTION("""COMPUTED_VALUE"""),2)</f>
        <v>2</v>
      </c>
      <c r="M711" s="5" t="str">
        <f ca="1">IFERROR(__xludf.DUMMYFUNCTION("""COMPUTED_VALUE"""),"Local")</f>
        <v>Local</v>
      </c>
      <c r="N711" s="5">
        <f ca="1">IFERROR(__xludf.DUMMYFUNCTION("""COMPUTED_VALUE"""),4)</f>
        <v>4</v>
      </c>
      <c r="O711" s="5" t="str">
        <f ca="1">IFERROR(__xludf.DUMMYFUNCTION("""COMPUTED_VALUE"""),"Summer")</f>
        <v>Summer</v>
      </c>
      <c r="P711" s="5" t="str">
        <f ca="1">IFERROR(__xludf.DUMMYFUNCTION("""COMPUTED_VALUE"""),"Michigan City")</f>
        <v>Michigan City</v>
      </c>
      <c r="Q711" s="5" t="str">
        <f ca="1">IFERROR(__xludf.DUMMYFUNCTION("""COMPUTED_VALUE"""),"IN")</f>
        <v>IN</v>
      </c>
      <c r="R711" s="5" t="str">
        <f ca="1">IFERROR(__xludf.DUMMYFUNCTION("""COMPUTED_VALUE"""),"Elementary")</f>
        <v>Elementary</v>
      </c>
      <c r="S711" s="5" t="str">
        <f ca="1">IFERROR(__xludf.DUMMYFUNCTION("""COMPUTED_VALUE"""),"Parking Lot")</f>
        <v>Parking Lot</v>
      </c>
      <c r="T711" s="5" t="str">
        <f ca="1">IFERROR(__xludf.DUMMYFUNCTION("""COMPUTED_VALUE"""),"Outside on School Property")</f>
        <v>Outside on School Property</v>
      </c>
      <c r="U711" s="5" t="str">
        <f ca="1">IFERROR(__xludf.DUMMYFUNCTION("""COMPUTED_VALUE"""),"No")</f>
        <v>No</v>
      </c>
      <c r="V711" s="5" t="str">
        <f ca="1">IFERROR(__xludf.DUMMYFUNCTION("""COMPUTED_VALUE"""),"Night")</f>
        <v>Night</v>
      </c>
      <c r="W711" s="5"/>
      <c r="X711" s="5">
        <f ca="1">IFERROR(__xludf.DUMMYFUNCTION("""COMPUTED_VALUE"""),1)</f>
        <v>1</v>
      </c>
      <c r="Y711" s="5" t="str">
        <f ca="1">IFERROR(__xludf.DUMMYFUNCTION("""COMPUTED_VALUE"""),"Adult male fired shot during exchange of stolen cellphone")</f>
        <v>Adult male fired shot during exchange of stolen cellphone</v>
      </c>
      <c r="Z711" s="5" t="str">
        <f ca="1">IFERROR(__xludf.DUMMYFUNCTION("""COMPUTED_VALUE"""),"22 year-old male was involved in a prior assualt and theft of a cell phone. The victim tracked the phone and arranged to meet the shooter in the school parking lot. During the exchange of the phone, he fired a shot at a 22 year-old male victim who was wit"&amp;"h the woman. Shooter than chased the victim in his vehicle. The victim was fatally shot and crashed his vehicle away from the school. Shooter was arrested 2 weeks later after investigation.")</f>
        <v>22 year-old male was involved in a prior assualt and theft of a cell phone. The victim tracked the phone and arranged to meet the shooter in the school parking lot. During the exchange of the phone, he fired a shot at a 22 year-old male victim who was with the woman. Shooter than chased the victim in his vehicle. The victim was fatally shot and crashed his vehicle away from the school. Shooter was arrested 2 weeks later after investigation.</v>
      </c>
      <c r="AA711" s="5" t="str">
        <f ca="1">IFERROR(__xludf.DUMMYFUNCTION("""COMPUTED_VALUE"""),"Illegal Activity")</f>
        <v>Illegal Activity</v>
      </c>
      <c r="AB711" s="5" t="str">
        <f ca="1">IFERROR(__xludf.DUMMYFUNCTION("""COMPUTED_VALUE"""),"Victims Targeted")</f>
        <v>Victims Targeted</v>
      </c>
      <c r="AC711" s="5" t="str">
        <f ca="1">IFERROR(__xludf.DUMMYFUNCTION("""COMPUTED_VALUE"""),"No")</f>
        <v>No</v>
      </c>
      <c r="AD711" s="5" t="str">
        <f ca="1">IFERROR(__xludf.DUMMYFUNCTION("""COMPUTED_VALUE"""),"No")</f>
        <v>No</v>
      </c>
      <c r="AE711" s="5" t="str">
        <f ca="1">IFERROR(__xludf.DUMMYFUNCTION("""COMPUTED_VALUE"""),"No")</f>
        <v>No</v>
      </c>
      <c r="AF711" s="5" t="str">
        <f ca="1">IFERROR(__xludf.DUMMYFUNCTION("""COMPUTED_VALUE"""),"No")</f>
        <v>No</v>
      </c>
      <c r="AG711" s="5" t="str">
        <f ca="1">IFERROR(__xludf.DUMMYFUNCTION("""COMPUTED_VALUE"""),"No")</f>
        <v>No</v>
      </c>
      <c r="AH711" s="5" t="str">
        <f ca="1">IFERROR(__xludf.DUMMYFUNCTION("""COMPUTED_VALUE"""),"No")</f>
        <v>No</v>
      </c>
      <c r="AI711" s="5" t="str">
        <f ca="1">IFERROR(__xludf.DUMMYFUNCTION("""COMPUTED_VALUE"""),"No")</f>
        <v>No</v>
      </c>
      <c r="AJ711" s="5" t="str">
        <f ca="1">IFERROR(__xludf.DUMMYFUNCTION("""COMPUTED_VALUE"""),"No")</f>
        <v>No</v>
      </c>
    </row>
    <row r="712" spans="1:36" ht="13">
      <c r="A712" s="5" t="str">
        <f ca="1">IFERROR(__xludf.DUMMYFUNCTION("""COMPUTED_VALUE"""),"20200701ILFRP")</f>
        <v>20200701ILFRP</v>
      </c>
      <c r="B712" s="5">
        <f ca="1">IFERROR(__xludf.DUMMYFUNCTION("""COMPUTED_VALUE"""),7)</f>
        <v>7</v>
      </c>
      <c r="C712" s="5">
        <f ca="1">IFERROR(__xludf.DUMMYFUNCTION("""COMPUTED_VALUE"""),1)</f>
        <v>1</v>
      </c>
      <c r="D712" s="5">
        <f ca="1">IFERROR(__xludf.DUMMYFUNCTION("""COMPUTED_VALUE"""),2020)</f>
        <v>2020</v>
      </c>
      <c r="E712" s="8">
        <f ca="1">IFERROR(__xludf.DUMMYFUNCTION("""COMPUTED_VALUE"""),44013)</f>
        <v>44013</v>
      </c>
      <c r="F712" s="5" t="str">
        <f ca="1">IFERROR(__xludf.DUMMYFUNCTION("""COMPUTED_VALUE"""),"Frost Elementary School")</f>
        <v>Frost Elementary School</v>
      </c>
      <c r="G712" s="5">
        <f ca="1">IFERROR(__xludf.DUMMYFUNCTION("""COMPUTED_VALUE"""),0)</f>
        <v>0</v>
      </c>
      <c r="H712" s="5">
        <f ca="1">IFERROR(__xludf.DUMMYFUNCTION("""COMPUTED_VALUE"""),0)</f>
        <v>0</v>
      </c>
      <c r="I712" s="5">
        <f ca="1">IFERROR(__xludf.DUMMYFUNCTION("""COMPUTED_VALUE"""),0)</f>
        <v>0</v>
      </c>
      <c r="J712" s="5">
        <f ca="1">IFERROR(__xludf.DUMMYFUNCTION("""COMPUTED_VALUE"""),0)</f>
        <v>0</v>
      </c>
      <c r="K712" s="9" t="str">
        <f ca="1">IFERROR(__xludf.DUMMYFUNCTION("""COMPUTED_VALUE"""),"https://www.dailyherald.com/news/20200714/prospect-heights-man-charged-after-shooting-near-frost-elementary-school")</f>
        <v>https://www.dailyherald.com/news/20200714/prospect-heights-man-charged-after-shooting-near-frost-elementary-school</v>
      </c>
      <c r="L712" s="5">
        <f ca="1">IFERROR(__xludf.DUMMYFUNCTION("""COMPUTED_VALUE"""),1)</f>
        <v>1</v>
      </c>
      <c r="M712" s="5" t="str">
        <f ca="1">IFERROR(__xludf.DUMMYFUNCTION("""COMPUTED_VALUE"""),"Local")</f>
        <v>Local</v>
      </c>
      <c r="N712" s="5">
        <f ca="1">IFERROR(__xludf.DUMMYFUNCTION("""COMPUTED_VALUE"""),3)</f>
        <v>3</v>
      </c>
      <c r="O712" s="5" t="str">
        <f ca="1">IFERROR(__xludf.DUMMYFUNCTION("""COMPUTED_VALUE"""),"Summer")</f>
        <v>Summer</v>
      </c>
      <c r="P712" s="5" t="str">
        <f ca="1">IFERROR(__xludf.DUMMYFUNCTION("""COMPUTED_VALUE"""),"Prospect Heights")</f>
        <v>Prospect Heights</v>
      </c>
      <c r="Q712" s="5" t="str">
        <f ca="1">IFERROR(__xludf.DUMMYFUNCTION("""COMPUTED_VALUE"""),"IL")</f>
        <v>IL</v>
      </c>
      <c r="R712" s="5" t="str">
        <f ca="1">IFERROR(__xludf.DUMMYFUNCTION("""COMPUTED_VALUE"""),"Elementary")</f>
        <v>Elementary</v>
      </c>
      <c r="S712" s="5" t="str">
        <f ca="1">IFERROR(__xludf.DUMMYFUNCTION("""COMPUTED_VALUE"""),"Parking Lot")</f>
        <v>Parking Lot</v>
      </c>
      <c r="T712" s="5" t="str">
        <f ca="1">IFERROR(__xludf.DUMMYFUNCTION("""COMPUTED_VALUE"""),"Outside on School Property")</f>
        <v>Outside on School Property</v>
      </c>
      <c r="U712" s="5" t="str">
        <f ca="1">IFERROR(__xludf.DUMMYFUNCTION("""COMPUTED_VALUE"""),"No")</f>
        <v>No</v>
      </c>
      <c r="V712" s="5" t="str">
        <f ca="1">IFERROR(__xludf.DUMMYFUNCTION("""COMPUTED_VALUE"""),"Not a School Day")</f>
        <v>Not a School Day</v>
      </c>
      <c r="W712" s="10">
        <f ca="1">IFERROR(__xludf.DUMMYFUNCTION("""COMPUTED_VALUE"""),0.690972222222222)</f>
        <v>0.69097222222222199</v>
      </c>
      <c r="X712" s="5">
        <f ca="1">IFERROR(__xludf.DUMMYFUNCTION("""COMPUTED_VALUE"""),1)</f>
        <v>1</v>
      </c>
      <c r="Y712" s="5" t="str">
        <f ca="1">IFERROR(__xludf.DUMMYFUNCTION("""COMPUTED_VALUE"""),"Adult male fired shot from vehicle at 4 people")</f>
        <v>Adult male fired shot from vehicle at 4 people</v>
      </c>
      <c r="Z712" s="5" t="str">
        <f ca="1">IFERROR(__xludf.DUMMYFUNCTION("""COMPUTED_VALUE"""),"25 year-old male fired shots from a vehicle at 4 people near the school and then fled the scene. Later arrested. Driver also charged. Police said the shooting is gang related.")</f>
        <v>25 year-old male fired shots from a vehicle at 4 people near the school and then fled the scene. Later arrested. Driver also charged. Police said the shooting is gang related.</v>
      </c>
      <c r="AA712" s="5" t="str">
        <f ca="1">IFERROR(__xludf.DUMMYFUNCTION("""COMPUTED_VALUE"""),"Drive-by Shooting")</f>
        <v>Drive-by Shooting</v>
      </c>
      <c r="AB712" s="5"/>
      <c r="AC712" s="5" t="str">
        <f ca="1">IFERROR(__xludf.DUMMYFUNCTION("""COMPUTED_VALUE"""),"Yes")</f>
        <v>Yes</v>
      </c>
      <c r="AD712" s="5" t="str">
        <f ca="1">IFERROR(__xludf.DUMMYFUNCTION("""COMPUTED_VALUE"""),"No")</f>
        <v>No</v>
      </c>
      <c r="AE712" s="5" t="str">
        <f ca="1">IFERROR(__xludf.DUMMYFUNCTION("""COMPUTED_VALUE"""),"No")</f>
        <v>No</v>
      </c>
      <c r="AF712" s="5" t="str">
        <f ca="1">IFERROR(__xludf.DUMMYFUNCTION("""COMPUTED_VALUE"""),"No")</f>
        <v>No</v>
      </c>
      <c r="AG712" s="5" t="str">
        <f ca="1">IFERROR(__xludf.DUMMYFUNCTION("""COMPUTED_VALUE"""),"No")</f>
        <v>No</v>
      </c>
      <c r="AH712" s="5" t="str">
        <f ca="1">IFERROR(__xludf.DUMMYFUNCTION("""COMPUTED_VALUE"""),"No")</f>
        <v>No</v>
      </c>
      <c r="AI712" s="5" t="str">
        <f ca="1">IFERROR(__xludf.DUMMYFUNCTION("""COMPUTED_VALUE"""),"Yes")</f>
        <v>Yes</v>
      </c>
      <c r="AJ712" s="5" t="str">
        <f ca="1">IFERROR(__xludf.DUMMYFUNCTION("""COMPUTED_VALUE"""),"No")</f>
        <v>No</v>
      </c>
    </row>
    <row r="713" spans="1:36" ht="13">
      <c r="A713" s="5" t="str">
        <f ca="1">IFERROR(__xludf.DUMMYFUNCTION("""COMPUTED_VALUE"""),"20200630OHLAW")</f>
        <v>20200630OHLAW</v>
      </c>
      <c r="B713" s="5">
        <f ca="1">IFERROR(__xludf.DUMMYFUNCTION("""COMPUTED_VALUE"""),6)</f>
        <v>6</v>
      </c>
      <c r="C713" s="5">
        <f ca="1">IFERROR(__xludf.DUMMYFUNCTION("""COMPUTED_VALUE"""),30)</f>
        <v>30</v>
      </c>
      <c r="D713" s="5">
        <f ca="1">IFERROR(__xludf.DUMMYFUNCTION("""COMPUTED_VALUE"""),2020)</f>
        <v>2020</v>
      </c>
      <c r="E713" s="8">
        <f ca="1">IFERROR(__xludf.DUMMYFUNCTION("""COMPUTED_VALUE"""),44012)</f>
        <v>44012</v>
      </c>
      <c r="F713" s="5" t="str">
        <f ca="1">IFERROR(__xludf.DUMMYFUNCTION("""COMPUTED_VALUE"""),"Lakota Career Readiness Academy")</f>
        <v>Lakota Career Readiness Academy</v>
      </c>
      <c r="G713" s="5">
        <f ca="1">IFERROR(__xludf.DUMMYFUNCTION("""COMPUTED_VALUE"""),0)</f>
        <v>0</v>
      </c>
      <c r="H713" s="5">
        <f ca="1">IFERROR(__xludf.DUMMYFUNCTION("""COMPUTED_VALUE"""),0)</f>
        <v>0</v>
      </c>
      <c r="I713" s="5">
        <f ca="1">IFERROR(__xludf.DUMMYFUNCTION("""COMPUTED_VALUE"""),0)</f>
        <v>0</v>
      </c>
      <c r="J713" s="5">
        <f ca="1">IFERROR(__xludf.DUMMYFUNCTION("""COMPUTED_VALUE"""),0)</f>
        <v>0</v>
      </c>
      <c r="K713" s="5" t="str">
        <f ca="1">IFERROR(__xludf.DUMMYFUNCTION("""COMPUTED_VALUE"""),"https://www.wlwt.com/article/police-19-year-old-arrested-after-firing-rifle-at-lakota-career-readiness-academy/33074703 https://local12.com/news/local/lakota-school-building-vandalized-cincinnati https://local12.com/news/local/man-accused-of-shooting-up-a"&amp;"-school-building-in-butler-county")</f>
        <v>https://www.wlwt.com/article/police-19-year-old-arrested-after-firing-rifle-at-lakota-career-readiness-academy/33074703 https://local12.com/news/local/lakota-school-building-vandalized-cincinnati https://local12.com/news/local/man-accused-of-shooting-up-a-school-building-in-butler-county</v>
      </c>
      <c r="L713" s="5">
        <f ca="1">IFERROR(__xludf.DUMMYFUNCTION("""COMPUTED_VALUE"""),3)</f>
        <v>3</v>
      </c>
      <c r="M713" s="5" t="str">
        <f ca="1">IFERROR(__xludf.DUMMYFUNCTION("""COMPUTED_VALUE"""),"Local")</f>
        <v>Local</v>
      </c>
      <c r="N713" s="5">
        <f ca="1">IFERROR(__xludf.DUMMYFUNCTION("""COMPUTED_VALUE"""),4)</f>
        <v>4</v>
      </c>
      <c r="O713" s="5" t="str">
        <f ca="1">IFERROR(__xludf.DUMMYFUNCTION("""COMPUTED_VALUE"""),"Summer")</f>
        <v>Summer</v>
      </c>
      <c r="P713" s="5" t="str">
        <f ca="1">IFERROR(__xludf.DUMMYFUNCTION("""COMPUTED_VALUE"""),"West Chester Township")</f>
        <v>West Chester Township</v>
      </c>
      <c r="Q713" s="5" t="str">
        <f ca="1">IFERROR(__xludf.DUMMYFUNCTION("""COMPUTED_VALUE"""),"OH")</f>
        <v>OH</v>
      </c>
      <c r="R713" s="5" t="str">
        <f ca="1">IFERROR(__xludf.DUMMYFUNCTION("""COMPUTED_VALUE"""),"K-12")</f>
        <v>K-12</v>
      </c>
      <c r="S713" s="5" t="str">
        <f ca="1">IFERROR(__xludf.DUMMYFUNCTION("""COMPUTED_VALUE"""),"Front of School")</f>
        <v>Front of School</v>
      </c>
      <c r="T713" s="5" t="str">
        <f ca="1">IFERROR(__xludf.DUMMYFUNCTION("""COMPUTED_VALUE"""),"Outside on School Property")</f>
        <v>Outside on School Property</v>
      </c>
      <c r="U713" s="5" t="str">
        <f ca="1">IFERROR(__xludf.DUMMYFUNCTION("""COMPUTED_VALUE"""),"No")</f>
        <v>No</v>
      </c>
      <c r="V713" s="5" t="str">
        <f ca="1">IFERROR(__xludf.DUMMYFUNCTION("""COMPUTED_VALUE"""),"Before School")</f>
        <v>Before School</v>
      </c>
      <c r="W713" s="5"/>
      <c r="X713" s="5"/>
      <c r="Y713" s="5" t="str">
        <f ca="1">IFERROR(__xludf.DUMMYFUNCTION("""COMPUTED_VALUE"""),"Adult male with AK-47 shot the front glass doors of the school")</f>
        <v>Adult male with AK-47 shot the front glass doors of the school</v>
      </c>
      <c r="Z713" s="5" t="str">
        <f ca="1">IFERROR(__xludf.DUMMYFUNCTION("""COMPUTED_VALUE"""),"19 year-old male fired shot with an AK-47 style rifle breaking the glass front doors to the school. Shooting occurred in the early morning before the school opened. No injuries. Shooter charged of improperly discharging a firearm into a school, vandalism,"&amp;" and a gun charge. Shooter fled the scene and arrested later following identification with CCTV footage.")</f>
        <v>19 year-old male fired shot with an AK-47 style rifle breaking the glass front doors to the school. Shooting occurred in the early morning before the school opened. No injuries. Shooter charged of improperly discharging a firearm into a school, vandalism, and a gun charge. Shooter fled the scene and arrested later following identification with CCTV footage.</v>
      </c>
      <c r="AA713" s="5" t="str">
        <f ca="1">IFERROR(__xludf.DUMMYFUNCTION("""COMPUTED_VALUE"""),"Intentional Property Damage")</f>
        <v>Intentional Property Damage</v>
      </c>
      <c r="AB713" s="5" t="str">
        <f ca="1">IFERROR(__xludf.DUMMYFUNCTION("""COMPUTED_VALUE"""),"Neither")</f>
        <v>Neither</v>
      </c>
      <c r="AC713" s="5" t="str">
        <f ca="1">IFERROR(__xludf.DUMMYFUNCTION("""COMPUTED_VALUE"""),"No")</f>
        <v>No</v>
      </c>
      <c r="AD713" s="5" t="str">
        <f ca="1">IFERROR(__xludf.DUMMYFUNCTION("""COMPUTED_VALUE"""),"No")</f>
        <v>No</v>
      </c>
      <c r="AE713" s="5" t="str">
        <f ca="1">IFERROR(__xludf.DUMMYFUNCTION("""COMPUTED_VALUE"""),"No")</f>
        <v>No</v>
      </c>
      <c r="AF713" s="5" t="str">
        <f ca="1">IFERROR(__xludf.DUMMYFUNCTION("""COMPUTED_VALUE"""),"No")</f>
        <v>No</v>
      </c>
      <c r="AG713" s="5" t="str">
        <f ca="1">IFERROR(__xludf.DUMMYFUNCTION("""COMPUTED_VALUE"""),"No")</f>
        <v>No</v>
      </c>
      <c r="AH713" s="5" t="str">
        <f ca="1">IFERROR(__xludf.DUMMYFUNCTION("""COMPUTED_VALUE"""),"No")</f>
        <v>No</v>
      </c>
      <c r="AI713" s="5" t="str">
        <f ca="1">IFERROR(__xludf.DUMMYFUNCTION("""COMPUTED_VALUE"""),"No")</f>
        <v>No</v>
      </c>
      <c r="AJ713" s="5" t="str">
        <f ca="1">IFERROR(__xludf.DUMMYFUNCTION("""COMPUTED_VALUE"""),"No")</f>
        <v>No</v>
      </c>
    </row>
    <row r="714" spans="1:36" ht="13">
      <c r="A714" s="5" t="str">
        <f ca="1">IFERROR(__xludf.DUMMYFUNCTION("""COMPUTED_VALUE"""),"20200627VAHAS")</f>
        <v>20200627VAHAS</v>
      </c>
      <c r="B714" s="5">
        <f ca="1">IFERROR(__xludf.DUMMYFUNCTION("""COMPUTED_VALUE"""),6)</f>
        <v>6</v>
      </c>
      <c r="C714" s="5">
        <f ca="1">IFERROR(__xludf.DUMMYFUNCTION("""COMPUTED_VALUE"""),27)</f>
        <v>27</v>
      </c>
      <c r="D714" s="5">
        <f ca="1">IFERROR(__xludf.DUMMYFUNCTION("""COMPUTED_VALUE"""),2020)</f>
        <v>2020</v>
      </c>
      <c r="E714" s="8">
        <f ca="1">IFERROR(__xludf.DUMMYFUNCTION("""COMPUTED_VALUE"""),44009)</f>
        <v>44009</v>
      </c>
      <c r="F714" s="5" t="str">
        <f ca="1">IFERROR(__xludf.DUMMYFUNCTION("""COMPUTED_VALUE"""),"Halifax County Middle School")</f>
        <v>Halifax County Middle School</v>
      </c>
      <c r="G714" s="5">
        <f ca="1">IFERROR(__xludf.DUMMYFUNCTION("""COMPUTED_VALUE"""),0)</f>
        <v>0</v>
      </c>
      <c r="H714" s="5">
        <f ca="1">IFERROR(__xludf.DUMMYFUNCTION("""COMPUTED_VALUE"""),0)</f>
        <v>0</v>
      </c>
      <c r="I714" s="5">
        <f ca="1">IFERROR(__xludf.DUMMYFUNCTION("""COMPUTED_VALUE"""),0)</f>
        <v>0</v>
      </c>
      <c r="J714" s="5">
        <f ca="1">IFERROR(__xludf.DUMMYFUNCTION("""COMPUTED_VALUE"""),0)</f>
        <v>0</v>
      </c>
      <c r="K714" s="5" t="str">
        <f ca="1">IFERROR(__xludf.DUMMYFUNCTION("""COMPUTED_VALUE"""),"https://www.rochesterfirst.com/news/virginia-teen-faces-multiple-charges-after-shooting-near-middle-school/
 Halifax County Middle School")</f>
        <v>https://www.rochesterfirst.com/news/virginia-teen-faces-multiple-charges-after-shooting-near-middle-school/
 Halifax County Middle School</v>
      </c>
      <c r="L714" s="5">
        <f ca="1">IFERROR(__xludf.DUMMYFUNCTION("""COMPUTED_VALUE"""),2)</f>
        <v>2</v>
      </c>
      <c r="M714" s="5" t="str">
        <f ca="1">IFERROR(__xludf.DUMMYFUNCTION("""COMPUTED_VALUE"""),"Local")</f>
        <v>Local</v>
      </c>
      <c r="N714" s="5">
        <f ca="1">IFERROR(__xludf.DUMMYFUNCTION("""COMPUTED_VALUE"""),4)</f>
        <v>4</v>
      </c>
      <c r="O714" s="5" t="str">
        <f ca="1">IFERROR(__xludf.DUMMYFUNCTION("""COMPUTED_VALUE"""),"Summer")</f>
        <v>Summer</v>
      </c>
      <c r="P714" s="5" t="str">
        <f ca="1">IFERROR(__xludf.DUMMYFUNCTION("""COMPUTED_VALUE"""),"South Boston")</f>
        <v>South Boston</v>
      </c>
      <c r="Q714" s="5" t="str">
        <f ca="1">IFERROR(__xludf.DUMMYFUNCTION("""COMPUTED_VALUE"""),"VA")</f>
        <v>VA</v>
      </c>
      <c r="R714" s="5" t="str">
        <f ca="1">IFERROR(__xludf.DUMMYFUNCTION("""COMPUTED_VALUE"""),"Middle")</f>
        <v>Middle</v>
      </c>
      <c r="S714" s="5" t="str">
        <f ca="1">IFERROR(__xludf.DUMMYFUNCTION("""COMPUTED_VALUE"""),"Football Field/Track")</f>
        <v>Football Field/Track</v>
      </c>
      <c r="T714" s="5" t="str">
        <f ca="1">IFERROR(__xludf.DUMMYFUNCTION("""COMPUTED_VALUE"""),"Outside on School Property")</f>
        <v>Outside on School Property</v>
      </c>
      <c r="U714" s="5" t="str">
        <f ca="1">IFERROR(__xludf.DUMMYFUNCTION("""COMPUTED_VALUE"""),"No")</f>
        <v>No</v>
      </c>
      <c r="V714" s="5" t="str">
        <f ca="1">IFERROR(__xludf.DUMMYFUNCTION("""COMPUTED_VALUE"""),"Night")</f>
        <v>Night</v>
      </c>
      <c r="W714" s="10">
        <f ca="1">IFERROR(__xludf.DUMMYFUNCTION("""COMPUTED_VALUE"""),0.916666666666666)</f>
        <v>0.91666666666666596</v>
      </c>
      <c r="X714" s="5">
        <f ca="1">IFERROR(__xludf.DUMMYFUNCTION("""COMPUTED_VALUE"""),1)</f>
        <v>1</v>
      </c>
      <c r="Y714" s="5" t="str">
        <f ca="1">IFERROR(__xludf.DUMMYFUNCTION("""COMPUTED_VALUE"""),"Teen fired shot during large fight between multiple teens and adults on school football field")</f>
        <v>Teen fired shot during large fight between multiple teens and adults on school football field</v>
      </c>
      <c r="Z714" s="5" t="str">
        <f ca="1">IFERROR(__xludf.DUMMYFUNCTION("""COMPUTED_VALUE"""),"A 17 year-old male fired multiple shots during a large fight between multiple teens and adults on the school football field. A vehicle was struck twice. No one was injured.")</f>
        <v>A 17 year-old male fired multiple shots during a large fight between multiple teens and adults on the school football field. A vehicle was struck twice. No one was injured.</v>
      </c>
      <c r="AA714" s="5" t="str">
        <f ca="1">IFERROR(__xludf.DUMMYFUNCTION("""COMPUTED_VALUE"""),"Escalation of Dispute")</f>
        <v>Escalation of Dispute</v>
      </c>
      <c r="AB714" s="5"/>
      <c r="AC714" s="5" t="str">
        <f ca="1">IFERROR(__xludf.DUMMYFUNCTION("""COMPUTED_VALUE"""),"No")</f>
        <v>No</v>
      </c>
      <c r="AD714" s="5" t="str">
        <f ca="1">IFERROR(__xludf.DUMMYFUNCTION("""COMPUTED_VALUE"""),"No")</f>
        <v>No</v>
      </c>
      <c r="AE714" s="5" t="str">
        <f ca="1">IFERROR(__xludf.DUMMYFUNCTION("""COMPUTED_VALUE"""),"No")</f>
        <v>No</v>
      </c>
      <c r="AF714" s="5" t="str">
        <f ca="1">IFERROR(__xludf.DUMMYFUNCTION("""COMPUTED_VALUE"""),"No")</f>
        <v>No</v>
      </c>
      <c r="AG714" s="5" t="str">
        <f ca="1">IFERROR(__xludf.DUMMYFUNCTION("""COMPUTED_VALUE"""),"No")</f>
        <v>No</v>
      </c>
      <c r="AH714" s="5" t="str">
        <f ca="1">IFERROR(__xludf.DUMMYFUNCTION("""COMPUTED_VALUE"""),"No")</f>
        <v>No</v>
      </c>
      <c r="AI714" s="5"/>
      <c r="AJ714" s="5" t="str">
        <f ca="1">IFERROR(__xludf.DUMMYFUNCTION("""COMPUTED_VALUE"""),"No")</f>
        <v>No</v>
      </c>
    </row>
    <row r="715" spans="1:36" ht="13">
      <c r="A715" s="5" t="str">
        <f ca="1">IFERROR(__xludf.DUMMYFUNCTION("""COMPUTED_VALUE"""),"20200621INCOC")</f>
        <v>20200621INCOC</v>
      </c>
      <c r="B715" s="5">
        <f ca="1">IFERROR(__xludf.DUMMYFUNCTION("""COMPUTED_VALUE"""),6)</f>
        <v>6</v>
      </c>
      <c r="C715" s="5">
        <f ca="1">IFERROR(__xludf.DUMMYFUNCTION("""COMPUTED_VALUE"""),21)</f>
        <v>21</v>
      </c>
      <c r="D715" s="5">
        <f ca="1">IFERROR(__xludf.DUMMYFUNCTION("""COMPUTED_VALUE"""),2020)</f>
        <v>2020</v>
      </c>
      <c r="E715" s="8">
        <f ca="1">IFERROR(__xludf.DUMMYFUNCTION("""COMPUTED_VALUE"""),44003)</f>
        <v>44003</v>
      </c>
      <c r="F715" s="5" t="str">
        <f ca="1">IFERROR(__xludf.DUMMYFUNCTION("""COMPUTED_VALUE"""),"Columbus East High School")</f>
        <v>Columbus East High School</v>
      </c>
      <c r="G715" s="5">
        <f ca="1">IFERROR(__xludf.DUMMYFUNCTION("""COMPUTED_VALUE"""),0)</f>
        <v>0</v>
      </c>
      <c r="H715" s="5">
        <f ca="1">IFERROR(__xludf.DUMMYFUNCTION("""COMPUTED_VALUE"""),0)</f>
        <v>0</v>
      </c>
      <c r="I715" s="5">
        <f ca="1">IFERROR(__xludf.DUMMYFUNCTION("""COMPUTED_VALUE"""),0)</f>
        <v>0</v>
      </c>
      <c r="J715" s="5">
        <f ca="1">IFERROR(__xludf.DUMMYFUNCTION("""COMPUTED_VALUE"""),0)</f>
        <v>0</v>
      </c>
      <c r="K715" s="5" t="str">
        <f ca="1">IFERROR(__xludf.DUMMYFUNCTION("""COMPUTED_VALUE"""),"https://www.wthr.com/article/news/crime/columbus-teenagers-accused-of-damaging-school-shooting-gun-in-cemetery/531-cfb8a401-31f9-4a5d-8480-635f5f5f734c https://www.localnewsdigital.com/2020/06/24/cpd-seeks-information-regarding-columbus-east-vandalism/ ht"&amp;"tps://wrbiradio.com/2020/06/26/three-juveniles-in-custody-after-gun-theft-and-vandalism-reported/")</f>
        <v>https://www.wthr.com/article/news/crime/columbus-teenagers-accused-of-damaging-school-shooting-gun-in-cemetery/531-cfb8a401-31f9-4a5d-8480-635f5f5f734c https://www.localnewsdigital.com/2020/06/24/cpd-seeks-information-regarding-columbus-east-vandalism/ https://wrbiradio.com/2020/06/26/three-juveniles-in-custody-after-gun-theft-and-vandalism-reported/</v>
      </c>
      <c r="L715" s="5">
        <f ca="1">IFERROR(__xludf.DUMMYFUNCTION("""COMPUTED_VALUE"""),3)</f>
        <v>3</v>
      </c>
      <c r="M715" s="5" t="str">
        <f ca="1">IFERROR(__xludf.DUMMYFUNCTION("""COMPUTED_VALUE"""),"Local")</f>
        <v>Local</v>
      </c>
      <c r="N715" s="5">
        <f ca="1">IFERROR(__xludf.DUMMYFUNCTION("""COMPUTED_VALUE"""),4)</f>
        <v>4</v>
      </c>
      <c r="O715" s="5" t="str">
        <f ca="1">IFERROR(__xludf.DUMMYFUNCTION("""COMPUTED_VALUE"""),"Summer")</f>
        <v>Summer</v>
      </c>
      <c r="P715" s="5" t="str">
        <f ca="1">IFERROR(__xludf.DUMMYFUNCTION("""COMPUTED_VALUE"""),"Columbus")</f>
        <v>Columbus</v>
      </c>
      <c r="Q715" s="5" t="str">
        <f ca="1">IFERROR(__xludf.DUMMYFUNCTION("""COMPUTED_VALUE"""),"IN")</f>
        <v>IN</v>
      </c>
      <c r="R715" s="5" t="str">
        <f ca="1">IFERROR(__xludf.DUMMYFUNCTION("""COMPUTED_VALUE"""),"High")</f>
        <v>High</v>
      </c>
      <c r="S715" s="5" t="str">
        <f ca="1">IFERROR(__xludf.DUMMYFUNCTION("""COMPUTED_VALUE"""),"Beside Building")</f>
        <v>Beside Building</v>
      </c>
      <c r="T715" s="5" t="str">
        <f ca="1">IFERROR(__xludf.DUMMYFUNCTION("""COMPUTED_VALUE"""),"Outside on School Property")</f>
        <v>Outside on School Property</v>
      </c>
      <c r="U715" s="5" t="str">
        <f ca="1">IFERROR(__xludf.DUMMYFUNCTION("""COMPUTED_VALUE"""),"No")</f>
        <v>No</v>
      </c>
      <c r="V715" s="5" t="str">
        <f ca="1">IFERROR(__xludf.DUMMYFUNCTION("""COMPUTED_VALUE"""),"Night")</f>
        <v>Night</v>
      </c>
      <c r="W715" s="10">
        <f ca="1">IFERROR(__xludf.DUMMYFUNCTION("""COMPUTED_VALUE"""),0.229166666666666)</f>
        <v>0.22916666666666599</v>
      </c>
      <c r="X715" s="5">
        <f ca="1">IFERROR(__xludf.DUMMYFUNCTION("""COMPUTED_VALUE"""),1)</f>
        <v>1</v>
      </c>
      <c r="Y715" s="5" t="str">
        <f ca="1">IFERROR(__xludf.DUMMYFUNCTION("""COMPUTED_VALUE"""),"Three teen males fired a stolen handgun at the school building damaging windows.")</f>
        <v>Three teen males fired a stolen handgun at the school building damaging windows.</v>
      </c>
      <c r="Z715" s="5" t="str">
        <f ca="1">IFERROR(__xludf.DUMMYFUNCTION("""COMPUTED_VALUE"""),"14 year-old male, 16 year-old male, and 16 year-old male fired a stolen handgun at the school building damaging property. Later arrested after being identified with CCTV footage.")</f>
        <v>14 year-old male, 16 year-old male, and 16 year-old male fired a stolen handgun at the school building damaging property. Later arrested after being identified with CCTV footage.</v>
      </c>
      <c r="AA715" s="5" t="str">
        <f ca="1">IFERROR(__xludf.DUMMYFUNCTION("""COMPUTED_VALUE"""),"Intentional Property Damage")</f>
        <v>Intentional Property Damage</v>
      </c>
      <c r="AB715" s="5" t="str">
        <f ca="1">IFERROR(__xludf.DUMMYFUNCTION("""COMPUTED_VALUE"""),"Neither")</f>
        <v>Neither</v>
      </c>
      <c r="AC715" s="5" t="str">
        <f ca="1">IFERROR(__xludf.DUMMYFUNCTION("""COMPUTED_VALUE"""),"Yes")</f>
        <v>Yes</v>
      </c>
      <c r="AD715" s="5" t="str">
        <f ca="1">IFERROR(__xludf.DUMMYFUNCTION("""COMPUTED_VALUE"""),"No")</f>
        <v>No</v>
      </c>
      <c r="AE715" s="5" t="str">
        <f ca="1">IFERROR(__xludf.DUMMYFUNCTION("""COMPUTED_VALUE"""),"No")</f>
        <v>No</v>
      </c>
      <c r="AF715" s="5" t="str">
        <f ca="1">IFERROR(__xludf.DUMMYFUNCTION("""COMPUTED_VALUE"""),"No")</f>
        <v>No</v>
      </c>
      <c r="AG715" s="5" t="str">
        <f ca="1">IFERROR(__xludf.DUMMYFUNCTION("""COMPUTED_VALUE"""),"No")</f>
        <v>No</v>
      </c>
      <c r="AH715" s="5" t="str">
        <f ca="1">IFERROR(__xludf.DUMMYFUNCTION("""COMPUTED_VALUE"""),"No")</f>
        <v>No</v>
      </c>
      <c r="AI715" s="5" t="str">
        <f ca="1">IFERROR(__xludf.DUMMYFUNCTION("""COMPUTED_VALUE"""),"No")</f>
        <v>No</v>
      </c>
      <c r="AJ715" s="5" t="str">
        <f ca="1">IFERROR(__xludf.DUMMYFUNCTION("""COMPUTED_VALUE"""),"No")</f>
        <v>No</v>
      </c>
    </row>
    <row r="716" spans="1:36" ht="13">
      <c r="A716" s="5" t="str">
        <f ca="1">IFERROR(__xludf.DUMMYFUNCTION("""COMPUTED_VALUE"""),"20200618INJOI")</f>
        <v>20200618INJOI</v>
      </c>
      <c r="B716" s="5">
        <f ca="1">IFERROR(__xludf.DUMMYFUNCTION("""COMPUTED_VALUE"""),6)</f>
        <v>6</v>
      </c>
      <c r="C716" s="5">
        <f ca="1">IFERROR(__xludf.DUMMYFUNCTION("""COMPUTED_VALUE"""),18)</f>
        <v>18</v>
      </c>
      <c r="D716" s="5">
        <f ca="1">IFERROR(__xludf.DUMMYFUNCTION("""COMPUTED_VALUE"""),2020)</f>
        <v>2020</v>
      </c>
      <c r="E716" s="8">
        <f ca="1">IFERROR(__xludf.DUMMYFUNCTION("""COMPUTED_VALUE"""),44000)</f>
        <v>44000</v>
      </c>
      <c r="F716" s="5" t="str">
        <f ca="1">IFERROR(__xludf.DUMMYFUNCTION("""COMPUTED_VALUE"""),"Joyce Kilmer School 69")</f>
        <v>Joyce Kilmer School 69</v>
      </c>
      <c r="G716" s="5">
        <f ca="1">IFERROR(__xludf.DUMMYFUNCTION("""COMPUTED_VALUE"""),0)</f>
        <v>0</v>
      </c>
      <c r="H716" s="5">
        <f ca="1">IFERROR(__xludf.DUMMYFUNCTION("""COMPUTED_VALUE"""),0)</f>
        <v>0</v>
      </c>
      <c r="I716" s="5">
        <f ca="1">IFERROR(__xludf.DUMMYFUNCTION("""COMPUTED_VALUE"""),0)</f>
        <v>0</v>
      </c>
      <c r="J716" s="5">
        <f ca="1">IFERROR(__xludf.DUMMYFUNCTION("""COMPUTED_VALUE"""),0)</f>
        <v>0</v>
      </c>
      <c r="K716" s="5" t="str">
        <f ca="1">IFERROR(__xludf.DUMMYFUNCTION("""COMPUTED_VALUE"""),"https://fox59.com/news/man-found-shot-to-death-outside-school-on-near-north-side-of-indianapolis/ https://cbs4indy.com/news/impd-investigates-shooting-death-of-man-found-outside-school-on-near-north-side/")</f>
        <v>https://fox59.com/news/man-found-shot-to-death-outside-school-on-near-north-side-of-indianapolis/ https://cbs4indy.com/news/impd-investigates-shooting-death-of-man-found-outside-school-on-near-north-side/</v>
      </c>
      <c r="L716" s="5">
        <f ca="1">IFERROR(__xludf.DUMMYFUNCTION("""COMPUTED_VALUE"""),2)</f>
        <v>2</v>
      </c>
      <c r="M716" s="5" t="str">
        <f ca="1">IFERROR(__xludf.DUMMYFUNCTION("""COMPUTED_VALUE"""),"Local")</f>
        <v>Local</v>
      </c>
      <c r="N716" s="5">
        <f ca="1">IFERROR(__xludf.DUMMYFUNCTION("""COMPUTED_VALUE"""),4)</f>
        <v>4</v>
      </c>
      <c r="O716" s="5" t="str">
        <f ca="1">IFERROR(__xludf.DUMMYFUNCTION("""COMPUTED_VALUE"""),"Summer")</f>
        <v>Summer</v>
      </c>
      <c r="P716" s="5" t="str">
        <f ca="1">IFERROR(__xludf.DUMMYFUNCTION("""COMPUTED_VALUE"""),"Indianapolis")</f>
        <v>Indianapolis</v>
      </c>
      <c r="Q716" s="5" t="str">
        <f ca="1">IFERROR(__xludf.DUMMYFUNCTION("""COMPUTED_VALUE"""),"IN")</f>
        <v>IN</v>
      </c>
      <c r="R716" s="5" t="str">
        <f ca="1">IFERROR(__xludf.DUMMYFUNCTION("""COMPUTED_VALUE"""),"Elementary")</f>
        <v>Elementary</v>
      </c>
      <c r="S716" s="5" t="str">
        <f ca="1">IFERROR(__xludf.DUMMYFUNCTION("""COMPUTED_VALUE"""),"Beside Building")</f>
        <v>Beside Building</v>
      </c>
      <c r="T716" s="5" t="str">
        <f ca="1">IFERROR(__xludf.DUMMYFUNCTION("""COMPUTED_VALUE"""),"Outside on School Property")</f>
        <v>Outside on School Property</v>
      </c>
      <c r="U716" s="5" t="str">
        <f ca="1">IFERROR(__xludf.DUMMYFUNCTION("""COMPUTED_VALUE"""),"No")</f>
        <v>No</v>
      </c>
      <c r="V716" s="5" t="str">
        <f ca="1">IFERROR(__xludf.DUMMYFUNCTION("""COMPUTED_VALUE"""),"Night")</f>
        <v>Night</v>
      </c>
      <c r="W716" s="10">
        <f ca="1">IFERROR(__xludf.DUMMYFUNCTION("""COMPUTED_VALUE"""),0.0625)</f>
        <v>6.25E-2</v>
      </c>
      <c r="X716" s="5">
        <f ca="1">IFERROR(__xludf.DUMMYFUNCTION("""COMPUTED_VALUE"""),1)</f>
        <v>1</v>
      </c>
      <c r="Y716" s="5" t="str">
        <f ca="1">IFERROR(__xludf.DUMMYFUNCTION("""COMPUTED_VALUE"""),"Adult male found dead next to school")</f>
        <v>Adult male found dead next to school</v>
      </c>
      <c r="Z716" s="5" t="str">
        <f ca="1">IFERROR(__xludf.DUMMYFUNCTION("""COMPUTED_VALUE"""),"A 37 year-old male was found lying in the grass next to the school. Neighbors reported hearing gunshots. Police believe the shooting was related to an attempted robbery at a nearby business.  No suspects.")</f>
        <v>A 37 year-old male was found lying in the grass next to the school. Neighbors reported hearing gunshots. Police believe the shooting was related to an attempted robbery at a nearby business.  No suspects.</v>
      </c>
      <c r="AA716" s="5" t="str">
        <f ca="1">IFERROR(__xludf.DUMMYFUNCTION("""COMPUTED_VALUE"""),"Illegal Activity")</f>
        <v>Illegal Activity</v>
      </c>
      <c r="AB716" s="5"/>
      <c r="AC716" s="5"/>
      <c r="AD716" s="5" t="str">
        <f ca="1">IFERROR(__xludf.DUMMYFUNCTION("""COMPUTED_VALUE"""),"No")</f>
        <v>No</v>
      </c>
      <c r="AE716" s="5" t="str">
        <f ca="1">IFERROR(__xludf.DUMMYFUNCTION("""COMPUTED_VALUE"""),"No")</f>
        <v>No</v>
      </c>
      <c r="AF716" s="5" t="str">
        <f ca="1">IFERROR(__xludf.DUMMYFUNCTION("""COMPUTED_VALUE"""),"No")</f>
        <v>No</v>
      </c>
      <c r="AG716" s="5" t="str">
        <f ca="1">IFERROR(__xludf.DUMMYFUNCTION("""COMPUTED_VALUE"""),"No")</f>
        <v>No</v>
      </c>
      <c r="AH716" s="5" t="str">
        <f ca="1">IFERROR(__xludf.DUMMYFUNCTION("""COMPUTED_VALUE"""),"No")</f>
        <v>No</v>
      </c>
      <c r="AI716" s="5"/>
      <c r="AJ716" s="5" t="str">
        <f ca="1">IFERROR(__xludf.DUMMYFUNCTION("""COMPUTED_VALUE"""),"No")</f>
        <v>No</v>
      </c>
    </row>
    <row r="717" spans="1:36" ht="13">
      <c r="A717" s="5" t="str">
        <f ca="1">IFERROR(__xludf.DUMMYFUNCTION("""COMPUTED_VALUE"""),"20200616FLTOM")</f>
        <v>20200616FLTOM</v>
      </c>
      <c r="B717" s="5">
        <f ca="1">IFERROR(__xludf.DUMMYFUNCTION("""COMPUTED_VALUE"""),6)</f>
        <v>6</v>
      </c>
      <c r="C717" s="5">
        <f ca="1">IFERROR(__xludf.DUMMYFUNCTION("""COMPUTED_VALUE"""),16)</f>
        <v>16</v>
      </c>
      <c r="D717" s="5">
        <f ca="1">IFERROR(__xludf.DUMMYFUNCTION("""COMPUTED_VALUE"""),2020)</f>
        <v>2020</v>
      </c>
      <c r="E717" s="8">
        <f ca="1">IFERROR(__xludf.DUMMYFUNCTION("""COMPUTED_VALUE"""),43998)</f>
        <v>43998</v>
      </c>
      <c r="F717" s="5" t="str">
        <f ca="1">IFERROR(__xludf.DUMMYFUNCTION("""COMPUTED_VALUE"""),"Touissant Louverture Elementary School")</f>
        <v>Touissant Louverture Elementary School</v>
      </c>
      <c r="G717" s="5">
        <f ca="1">IFERROR(__xludf.DUMMYFUNCTION("""COMPUTED_VALUE"""),0)</f>
        <v>0</v>
      </c>
      <c r="H717" s="5">
        <f ca="1">IFERROR(__xludf.DUMMYFUNCTION("""COMPUTED_VALUE"""),1)</f>
        <v>1</v>
      </c>
      <c r="I717" s="5">
        <f ca="1">IFERROR(__xludf.DUMMYFUNCTION("""COMPUTED_VALUE"""),1)</f>
        <v>1</v>
      </c>
      <c r="J717" s="5">
        <f ca="1">IFERROR(__xludf.DUMMYFUNCTION("""COMPUTED_VALUE"""),0)</f>
        <v>0</v>
      </c>
      <c r="K717" s="5" t="str">
        <f ca="1">IFERROR(__xludf.DUMMYFUNCTION("""COMPUTED_VALUE"""),"https://miami.cbslocal.com/2020/06/17/little-haiti-homicide-investigated/ https://miami.cbslocal.com/2017/02/10/bullets-strike-little-haiti-elementary-school/")</f>
        <v>https://miami.cbslocal.com/2020/06/17/little-haiti-homicide-investigated/ https://miami.cbslocal.com/2017/02/10/bullets-strike-little-haiti-elementary-school/</v>
      </c>
      <c r="L717" s="5">
        <f ca="1">IFERROR(__xludf.DUMMYFUNCTION("""COMPUTED_VALUE"""),2)</f>
        <v>2</v>
      </c>
      <c r="M717" s="5" t="str">
        <f ca="1">IFERROR(__xludf.DUMMYFUNCTION("""COMPUTED_VALUE"""),"Local")</f>
        <v>Local</v>
      </c>
      <c r="N717" s="5">
        <f ca="1">IFERROR(__xludf.DUMMYFUNCTION("""COMPUTED_VALUE"""),4)</f>
        <v>4</v>
      </c>
      <c r="O717" s="5" t="str">
        <f ca="1">IFERROR(__xludf.DUMMYFUNCTION("""COMPUTED_VALUE"""),"Summer")</f>
        <v>Summer</v>
      </c>
      <c r="P717" s="5" t="str">
        <f ca="1">IFERROR(__xludf.DUMMYFUNCTION("""COMPUTED_VALUE"""),"Miami")</f>
        <v>Miami</v>
      </c>
      <c r="Q717" s="5" t="str">
        <f ca="1">IFERROR(__xludf.DUMMYFUNCTION("""COMPUTED_VALUE"""),"FL")</f>
        <v>FL</v>
      </c>
      <c r="R717" s="5" t="str">
        <f ca="1">IFERROR(__xludf.DUMMYFUNCTION("""COMPUTED_VALUE"""),"Elementary")</f>
        <v>Elementary</v>
      </c>
      <c r="S717" s="5" t="str">
        <f ca="1">IFERROR(__xludf.DUMMYFUNCTION("""COMPUTED_VALUE"""),"Front of School")</f>
        <v>Front of School</v>
      </c>
      <c r="T717" s="5" t="str">
        <f ca="1">IFERROR(__xludf.DUMMYFUNCTION("""COMPUTED_VALUE"""),"Off School Property")</f>
        <v>Off School Property</v>
      </c>
      <c r="U717" s="5" t="str">
        <f ca="1">IFERROR(__xludf.DUMMYFUNCTION("""COMPUTED_VALUE"""),"No")</f>
        <v>No</v>
      </c>
      <c r="V717" s="5" t="str">
        <f ca="1">IFERROR(__xludf.DUMMYFUNCTION("""COMPUTED_VALUE"""),"Night")</f>
        <v>Night</v>
      </c>
      <c r="W717" s="10">
        <f ca="1">IFERROR(__xludf.DUMMYFUNCTION("""COMPUTED_VALUE"""),0.96875)</f>
        <v>0.96875</v>
      </c>
      <c r="X717" s="5">
        <f ca="1">IFERROR(__xludf.DUMMYFUNCTION("""COMPUTED_VALUE"""),1)</f>
        <v>1</v>
      </c>
      <c r="Y717" s="5" t="str">
        <f ca="1">IFERROR(__xludf.DUMMYFUNCTION("""COMPUTED_VALUE"""),"Shots fired during a drive-by struck the school building")</f>
        <v>Shots fired during a drive-by struck the school building</v>
      </c>
      <c r="Z717" s="5" t="str">
        <f ca="1">IFERROR(__xludf.DUMMYFUNCTION("""COMPUTED_VALUE"""),"At least 56 shots were fired during a drive-by shooting that targeted two adult victims in front of the school building. The school building was struck by bullets. No suspects identified. School was closed.")</f>
        <v>At least 56 shots were fired during a drive-by shooting that targeted two adult victims in front of the school building. The school building was struck by bullets. No suspects identified. School was closed.</v>
      </c>
      <c r="AA717" s="5" t="str">
        <f ca="1">IFERROR(__xludf.DUMMYFUNCTION("""COMPUTED_VALUE"""),"Drive-by Shooting")</f>
        <v>Drive-by Shooting</v>
      </c>
      <c r="AB717" s="5"/>
      <c r="AC717" s="5"/>
      <c r="AD717" s="5" t="str">
        <f ca="1">IFERROR(__xludf.DUMMYFUNCTION("""COMPUTED_VALUE"""),"No")</f>
        <v>No</v>
      </c>
      <c r="AE717" s="5" t="str">
        <f ca="1">IFERROR(__xludf.DUMMYFUNCTION("""COMPUTED_VALUE"""),"No")</f>
        <v>No</v>
      </c>
      <c r="AF717" s="5" t="str">
        <f ca="1">IFERROR(__xludf.DUMMYFUNCTION("""COMPUTED_VALUE"""),"No")</f>
        <v>No</v>
      </c>
      <c r="AG717" s="5" t="str">
        <f ca="1">IFERROR(__xludf.DUMMYFUNCTION("""COMPUTED_VALUE"""),"No")</f>
        <v>No</v>
      </c>
      <c r="AH717" s="5" t="str">
        <f ca="1">IFERROR(__xludf.DUMMYFUNCTION("""COMPUTED_VALUE"""),"No")</f>
        <v>No</v>
      </c>
      <c r="AI717" s="5" t="str">
        <f ca="1">IFERROR(__xludf.DUMMYFUNCTION("""COMPUTED_VALUE"""),"Yes")</f>
        <v>Yes</v>
      </c>
      <c r="AJ717" s="5" t="str">
        <f ca="1">IFERROR(__xludf.DUMMYFUNCTION("""COMPUTED_VALUE"""),"No")</f>
        <v>No</v>
      </c>
    </row>
    <row r="718" spans="1:36" ht="13">
      <c r="A718" s="5" t="str">
        <f ca="1">IFERROR(__xludf.DUMMYFUNCTION("""COMPUTED_VALUE"""),"20200603IAGAD")</f>
        <v>20200603IAGAD</v>
      </c>
      <c r="B718" s="5">
        <f ca="1">IFERROR(__xludf.DUMMYFUNCTION("""COMPUTED_VALUE"""),6)</f>
        <v>6</v>
      </c>
      <c r="C718" s="5">
        <f ca="1">IFERROR(__xludf.DUMMYFUNCTION("""COMPUTED_VALUE"""),3)</f>
        <v>3</v>
      </c>
      <c r="D718" s="5">
        <f ca="1">IFERROR(__xludf.DUMMYFUNCTION("""COMPUTED_VALUE"""),2020)</f>
        <v>2020</v>
      </c>
      <c r="E718" s="8">
        <f ca="1">IFERROR(__xludf.DUMMYFUNCTION("""COMPUTED_VALUE"""),43985)</f>
        <v>43985</v>
      </c>
      <c r="F718" s="5" t="str">
        <f ca="1">IFERROR(__xludf.DUMMYFUNCTION("""COMPUTED_VALUE"""),"Garfield Elementary School")</f>
        <v>Garfield Elementary School</v>
      </c>
      <c r="G718" s="5">
        <f ca="1">IFERROR(__xludf.DUMMYFUNCTION("""COMPUTED_VALUE"""),0)</f>
        <v>0</v>
      </c>
      <c r="H718" s="5">
        <f ca="1">IFERROR(__xludf.DUMMYFUNCTION("""COMPUTED_VALUE"""),1)</f>
        <v>1</v>
      </c>
      <c r="I718" s="5">
        <f ca="1">IFERROR(__xludf.DUMMYFUNCTION("""COMPUTED_VALUE"""),1)</f>
        <v>1</v>
      </c>
      <c r="J718" s="5">
        <f ca="1">IFERROR(__xludf.DUMMYFUNCTION("""COMPUTED_VALUE"""),0)</f>
        <v>0</v>
      </c>
      <c r="K718" s="5" t="str">
        <f ca="1">IFERROR(__xludf.DUMMYFUNCTION("""COMPUTED_VALUE"""),"https://www.ourquadcities.com/news/local-news/shooting-near-garfield-elementary-in-davenport/ https://qctimes.com/news/local/crime-and-courts/watch-now-teen-injured-in-shooting-outside-garfield-elementary-school-in-davenport/article_7a80740c-0af4-5471-b0f"&amp;"2-0dfc61cf3223.html https://www.kwqc.com/content/news/Shooting-near-Davenport-Garfield-Elementary-leaves-man-injured-Wednesday-571020891.html")</f>
        <v>https://www.ourquadcities.com/news/local-news/shooting-near-garfield-elementary-in-davenport/ https://qctimes.com/news/local/crime-and-courts/watch-now-teen-injured-in-shooting-outside-garfield-elementary-school-in-davenport/article_7a80740c-0af4-5471-b0f2-0dfc61cf3223.html https://www.kwqc.com/content/news/Shooting-near-Davenport-Garfield-Elementary-leaves-man-injured-Wednesday-571020891.html</v>
      </c>
      <c r="L718" s="5"/>
      <c r="M718" s="5"/>
      <c r="N718" s="5">
        <f ca="1">IFERROR(__xludf.DUMMYFUNCTION("""COMPUTED_VALUE"""),4)</f>
        <v>4</v>
      </c>
      <c r="O718" s="5" t="str">
        <f ca="1">IFERROR(__xludf.DUMMYFUNCTION("""COMPUTED_VALUE"""),"Summer")</f>
        <v>Summer</v>
      </c>
      <c r="P718" s="5" t="str">
        <f ca="1">IFERROR(__xludf.DUMMYFUNCTION("""COMPUTED_VALUE"""),"Davenport")</f>
        <v>Davenport</v>
      </c>
      <c r="Q718" s="5" t="str">
        <f ca="1">IFERROR(__xludf.DUMMYFUNCTION("""COMPUTED_VALUE"""),"IA")</f>
        <v>IA</v>
      </c>
      <c r="R718" s="5" t="str">
        <f ca="1">IFERROR(__xludf.DUMMYFUNCTION("""COMPUTED_VALUE"""),"Elementary")</f>
        <v>Elementary</v>
      </c>
      <c r="S718" s="5" t="str">
        <f ca="1">IFERROR(__xludf.DUMMYFUNCTION("""COMPUTED_VALUE"""),"Front of School")</f>
        <v>Front of School</v>
      </c>
      <c r="T718" s="5" t="str">
        <f ca="1">IFERROR(__xludf.DUMMYFUNCTION("""COMPUTED_VALUE"""),"Outside on School Property")</f>
        <v>Outside on School Property</v>
      </c>
      <c r="U718" s="5" t="str">
        <f ca="1">IFERROR(__xludf.DUMMYFUNCTION("""COMPUTED_VALUE"""),"No")</f>
        <v>No</v>
      </c>
      <c r="V718" s="5" t="str">
        <f ca="1">IFERROR(__xludf.DUMMYFUNCTION("""COMPUTED_VALUE"""),"Not a School Day")</f>
        <v>Not a School Day</v>
      </c>
      <c r="W718" s="10">
        <f ca="1">IFERROR(__xludf.DUMMYFUNCTION("""COMPUTED_VALUE"""),0.538194444444444)</f>
        <v>0.53819444444444398</v>
      </c>
      <c r="X718" s="5">
        <f ca="1">IFERROR(__xludf.DUMMYFUNCTION("""COMPUTED_VALUE"""),1)</f>
        <v>1</v>
      </c>
      <c r="Y718" s="5" t="str">
        <f ca="1">IFERROR(__xludf.DUMMYFUNCTION("""COMPUTED_VALUE"""),"Adult male shot in front of school")</f>
        <v>Adult male shot in front of school</v>
      </c>
      <c r="Z718" s="5" t="str">
        <f ca="1">IFERROR(__xludf.DUMMYFUNCTION("""COMPUTED_VALUE"""),"An 18 year-old male was shot by an unidentified adult male in vehicle in front of the school (closed for COVID). The victim was struck once in the leg and other bullets stuck the school's playground equipment. Shooter fled the scene. Motive unknown.")</f>
        <v>An 18 year-old male was shot by an unidentified adult male in vehicle in front of the school (closed for COVID). The victim was struck once in the leg and other bullets stuck the school's playground equipment. Shooter fled the scene. Motive unknown.</v>
      </c>
      <c r="AA718" s="5" t="str">
        <f ca="1">IFERROR(__xludf.DUMMYFUNCTION("""COMPUTED_VALUE"""),"Drive-by Shooting")</f>
        <v>Drive-by Shooting</v>
      </c>
      <c r="AB718" s="5" t="str">
        <f ca="1">IFERROR(__xludf.DUMMYFUNCTION("""COMPUTED_VALUE"""),"Victims Targeted")</f>
        <v>Victims Targeted</v>
      </c>
      <c r="AC718" s="5"/>
      <c r="AD718" s="5" t="str">
        <f ca="1">IFERROR(__xludf.DUMMYFUNCTION("""COMPUTED_VALUE"""),"No")</f>
        <v>No</v>
      </c>
      <c r="AE718" s="5" t="str">
        <f ca="1">IFERROR(__xludf.DUMMYFUNCTION("""COMPUTED_VALUE"""),"No")</f>
        <v>No</v>
      </c>
      <c r="AF718" s="5" t="str">
        <f ca="1">IFERROR(__xludf.DUMMYFUNCTION("""COMPUTED_VALUE"""),"No")</f>
        <v>No</v>
      </c>
      <c r="AG718" s="5" t="str">
        <f ca="1">IFERROR(__xludf.DUMMYFUNCTION("""COMPUTED_VALUE"""),"No")</f>
        <v>No</v>
      </c>
      <c r="AH718" s="5" t="str">
        <f ca="1">IFERROR(__xludf.DUMMYFUNCTION("""COMPUTED_VALUE"""),"No")</f>
        <v>No</v>
      </c>
      <c r="AI718" s="5"/>
      <c r="AJ718" s="5" t="str">
        <f ca="1">IFERROR(__xludf.DUMMYFUNCTION("""COMPUTED_VALUE"""),"No")</f>
        <v>No</v>
      </c>
    </row>
    <row r="719" spans="1:36" ht="13">
      <c r="A719" s="5" t="str">
        <f ca="1">IFERROR(__xludf.DUMMYFUNCTION("""COMPUTED_VALUE"""),"20200527OHLUC")</f>
        <v>20200527OHLUC</v>
      </c>
      <c r="B719" s="5">
        <f ca="1">IFERROR(__xludf.DUMMYFUNCTION("""COMPUTED_VALUE"""),5)</f>
        <v>5</v>
      </c>
      <c r="C719" s="5">
        <f ca="1">IFERROR(__xludf.DUMMYFUNCTION("""COMPUTED_VALUE"""),27)</f>
        <v>27</v>
      </c>
      <c r="D719" s="5">
        <f ca="1">IFERROR(__xludf.DUMMYFUNCTION("""COMPUTED_VALUE"""),2020)</f>
        <v>2020</v>
      </c>
      <c r="E719" s="8">
        <f ca="1">IFERROR(__xludf.DUMMYFUNCTION("""COMPUTED_VALUE"""),43978)</f>
        <v>43978</v>
      </c>
      <c r="F719" s="5" t="str">
        <f ca="1">IFERROR(__xludf.DUMMYFUNCTION("""COMPUTED_VALUE"""),"Luis Munoz Marin Middle School")</f>
        <v>Luis Munoz Marin Middle School</v>
      </c>
      <c r="G719" s="5">
        <f ca="1">IFERROR(__xludf.DUMMYFUNCTION("""COMPUTED_VALUE"""),0)</f>
        <v>0</v>
      </c>
      <c r="H719" s="5">
        <f ca="1">IFERROR(__xludf.DUMMYFUNCTION("""COMPUTED_VALUE"""),0)</f>
        <v>0</v>
      </c>
      <c r="I719" s="5">
        <f ca="1">IFERROR(__xludf.DUMMYFUNCTION("""COMPUTED_VALUE"""),0)</f>
        <v>0</v>
      </c>
      <c r="J719" s="5">
        <f ca="1">IFERROR(__xludf.DUMMYFUNCTION("""COMPUTED_VALUE"""),1)</f>
        <v>1</v>
      </c>
      <c r="K719" s="9" t="str">
        <f ca="1">IFERROR(__xludf.DUMMYFUNCTION("""COMPUTED_VALUE"""),"https://www.cleveland.com/metro/2020/05/man-shot-to-death-in-school-parking-lot-in-clevelands-tremont-neighborhood.html")</f>
        <v>https://www.cleveland.com/metro/2020/05/man-shot-to-death-in-school-parking-lot-in-clevelands-tremont-neighborhood.html</v>
      </c>
      <c r="L719" s="5"/>
      <c r="M719" s="5"/>
      <c r="N719" s="5">
        <f ca="1">IFERROR(__xludf.DUMMYFUNCTION("""COMPUTED_VALUE"""),3)</f>
        <v>3</v>
      </c>
      <c r="O719" s="5" t="str">
        <f ca="1">IFERROR(__xludf.DUMMYFUNCTION("""COMPUTED_VALUE"""),"Spring")</f>
        <v>Spring</v>
      </c>
      <c r="P719" s="5" t="str">
        <f ca="1">IFERROR(__xludf.DUMMYFUNCTION("""COMPUTED_VALUE"""),"Cleveland")</f>
        <v>Cleveland</v>
      </c>
      <c r="Q719" s="5" t="str">
        <f ca="1">IFERROR(__xludf.DUMMYFUNCTION("""COMPUTED_VALUE"""),"OH")</f>
        <v>OH</v>
      </c>
      <c r="R719" s="5" t="str">
        <f ca="1">IFERROR(__xludf.DUMMYFUNCTION("""COMPUTED_VALUE"""),"Middle")</f>
        <v>Middle</v>
      </c>
      <c r="S719" s="5" t="str">
        <f ca="1">IFERROR(__xludf.DUMMYFUNCTION("""COMPUTED_VALUE"""),"Parking Lot")</f>
        <v>Parking Lot</v>
      </c>
      <c r="T719" s="5" t="str">
        <f ca="1">IFERROR(__xludf.DUMMYFUNCTION("""COMPUTED_VALUE"""),"Outside on School Property")</f>
        <v>Outside on School Property</v>
      </c>
      <c r="U719" s="5" t="str">
        <f ca="1">IFERROR(__xludf.DUMMYFUNCTION("""COMPUTED_VALUE"""),"No")</f>
        <v>No</v>
      </c>
      <c r="V719" s="5" t="str">
        <f ca="1">IFERROR(__xludf.DUMMYFUNCTION("""COMPUTED_VALUE"""),"Night")</f>
        <v>Night</v>
      </c>
      <c r="W719" s="10">
        <f ca="1">IFERROR(__xludf.DUMMYFUNCTION("""COMPUTED_VALUE"""),0.979166666666666)</f>
        <v>0.97916666666666596</v>
      </c>
      <c r="X719" s="5">
        <f ca="1">IFERROR(__xludf.DUMMYFUNCTION("""COMPUTED_VALUE"""),1)</f>
        <v>1</v>
      </c>
      <c r="Y719" s="5" t="str">
        <f ca="1">IFERROR(__xludf.DUMMYFUNCTION("""COMPUTED_VALUE"""),"Two men shot each other during sale of handgun at school parking lot")</f>
        <v>Two men shot each other during sale of handgun at school parking lot</v>
      </c>
      <c r="Z719" s="5" t="str">
        <f ca="1">IFERROR(__xludf.DUMMYFUNCTION("""COMPUTED_VALUE"""),"Two 21 year-old men met in the school parking lot to sell a handgun. During the exchange, both men shot either other. One was killed at the scene and the other was shot in the leg, arrested, and transported to the hospital.")</f>
        <v>Two 21 year-old men met in the school parking lot to sell a handgun. During the exchange, both men shot either other. One was killed at the scene and the other was shot in the leg, arrested, and transported to the hospital.</v>
      </c>
      <c r="AA719" s="5" t="str">
        <f ca="1">IFERROR(__xludf.DUMMYFUNCTION("""COMPUTED_VALUE"""),"Illegal Activity")</f>
        <v>Illegal Activity</v>
      </c>
      <c r="AB719" s="5" t="str">
        <f ca="1">IFERROR(__xludf.DUMMYFUNCTION("""COMPUTED_VALUE"""),"Victims Targeted")</f>
        <v>Victims Targeted</v>
      </c>
      <c r="AC719" s="5" t="str">
        <f ca="1">IFERROR(__xludf.DUMMYFUNCTION("""COMPUTED_VALUE"""),"No")</f>
        <v>No</v>
      </c>
      <c r="AD719" s="5" t="str">
        <f ca="1">IFERROR(__xludf.DUMMYFUNCTION("""COMPUTED_VALUE"""),"No")</f>
        <v>No</v>
      </c>
      <c r="AE719" s="5" t="str">
        <f ca="1">IFERROR(__xludf.DUMMYFUNCTION("""COMPUTED_VALUE"""),"No")</f>
        <v>No</v>
      </c>
      <c r="AF719" s="5" t="str">
        <f ca="1">IFERROR(__xludf.DUMMYFUNCTION("""COMPUTED_VALUE"""),"No")</f>
        <v>No</v>
      </c>
      <c r="AG719" s="5" t="str">
        <f ca="1">IFERROR(__xludf.DUMMYFUNCTION("""COMPUTED_VALUE"""),"No")</f>
        <v>No</v>
      </c>
      <c r="AH719" s="5" t="str">
        <f ca="1">IFERROR(__xludf.DUMMYFUNCTION("""COMPUTED_VALUE"""),"No")</f>
        <v>No</v>
      </c>
      <c r="AI719" s="5" t="str">
        <f ca="1">IFERROR(__xludf.DUMMYFUNCTION("""COMPUTED_VALUE"""),"No")</f>
        <v>No</v>
      </c>
      <c r="AJ719" s="5" t="str">
        <f ca="1">IFERROR(__xludf.DUMMYFUNCTION("""COMPUTED_VALUE"""),"No")</f>
        <v>No</v>
      </c>
    </row>
    <row r="720" spans="1:36" ht="13">
      <c r="A720" s="5" t="str">
        <f ca="1">IFERROR(__xludf.DUMMYFUNCTION("""COMPUTED_VALUE"""),"20200525ALORM")</f>
        <v>20200525ALORM</v>
      </c>
      <c r="B720" s="5">
        <f ca="1">IFERROR(__xludf.DUMMYFUNCTION("""COMPUTED_VALUE"""),5)</f>
        <v>5</v>
      </c>
      <c r="C720" s="5">
        <f ca="1">IFERROR(__xludf.DUMMYFUNCTION("""COMPUTED_VALUE"""),25)</f>
        <v>25</v>
      </c>
      <c r="D720" s="5">
        <f ca="1">IFERROR(__xludf.DUMMYFUNCTION("""COMPUTED_VALUE"""),2020)</f>
        <v>2020</v>
      </c>
      <c r="E720" s="8">
        <f ca="1">IFERROR(__xludf.DUMMYFUNCTION("""COMPUTED_VALUE"""),43976)</f>
        <v>43976</v>
      </c>
      <c r="F720" s="5" t="str">
        <f ca="1">IFERROR(__xludf.DUMMYFUNCTION("""COMPUTED_VALUE"""),"O Rourke Elementary School")</f>
        <v>O Rourke Elementary School</v>
      </c>
      <c r="G720" s="5">
        <f ca="1">IFERROR(__xludf.DUMMYFUNCTION("""COMPUTED_VALUE"""),0)</f>
        <v>0</v>
      </c>
      <c r="H720" s="5">
        <f ca="1">IFERROR(__xludf.DUMMYFUNCTION("""COMPUTED_VALUE"""),3)</f>
        <v>3</v>
      </c>
      <c r="I720" s="5">
        <f ca="1">IFERROR(__xludf.DUMMYFUNCTION("""COMPUTED_VALUE"""),3)</f>
        <v>3</v>
      </c>
      <c r="J720" s="5">
        <f ca="1">IFERROR(__xludf.DUMMYFUNCTION("""COMPUTED_VALUE"""),0)</f>
        <v>0</v>
      </c>
      <c r="K720" s="9" t="str">
        <f ca="1">IFERROR(__xludf.DUMMYFUNCTION("""COMPUTED_VALUE"""),"https://www.fox10tv.com/news/mpd-makes-arrest-in-overnight-robbery-and-shooting-in-school-parking-lot/article_711aa7e0-9fa6-11ea-ac6c-ef149a798701.html")</f>
        <v>https://www.fox10tv.com/news/mpd-makes-arrest-in-overnight-robbery-and-shooting-in-school-parking-lot/article_711aa7e0-9fa6-11ea-ac6c-ef149a798701.html</v>
      </c>
      <c r="L720" s="5"/>
      <c r="M720" s="5"/>
      <c r="N720" s="5">
        <f ca="1">IFERROR(__xludf.DUMMYFUNCTION("""COMPUTED_VALUE"""),3)</f>
        <v>3</v>
      </c>
      <c r="O720" s="5" t="str">
        <f ca="1">IFERROR(__xludf.DUMMYFUNCTION("""COMPUTED_VALUE"""),"Spring")</f>
        <v>Spring</v>
      </c>
      <c r="P720" s="5" t="str">
        <f ca="1">IFERROR(__xludf.DUMMYFUNCTION("""COMPUTED_VALUE"""),"Mobile")</f>
        <v>Mobile</v>
      </c>
      <c r="Q720" s="5" t="str">
        <f ca="1">IFERROR(__xludf.DUMMYFUNCTION("""COMPUTED_VALUE"""),"AL")</f>
        <v>AL</v>
      </c>
      <c r="R720" s="5" t="str">
        <f ca="1">IFERROR(__xludf.DUMMYFUNCTION("""COMPUTED_VALUE"""),"Elementary")</f>
        <v>Elementary</v>
      </c>
      <c r="S720" s="5" t="str">
        <f ca="1">IFERROR(__xludf.DUMMYFUNCTION("""COMPUTED_VALUE"""),"Parking Lot")</f>
        <v>Parking Lot</v>
      </c>
      <c r="T720" s="5" t="str">
        <f ca="1">IFERROR(__xludf.DUMMYFUNCTION("""COMPUTED_VALUE"""),"Outside on School Property")</f>
        <v>Outside on School Property</v>
      </c>
      <c r="U720" s="5" t="str">
        <f ca="1">IFERROR(__xludf.DUMMYFUNCTION("""COMPUTED_VALUE"""),"No")</f>
        <v>No</v>
      </c>
      <c r="V720" s="5" t="str">
        <f ca="1">IFERROR(__xludf.DUMMYFUNCTION("""COMPUTED_VALUE"""),"Night")</f>
        <v>Night</v>
      </c>
      <c r="W720" s="10">
        <f ca="1">IFERROR(__xludf.DUMMYFUNCTION("""COMPUTED_VALUE"""),0.0625)</f>
        <v>6.25E-2</v>
      </c>
      <c r="X720" s="5">
        <f ca="1">IFERROR(__xludf.DUMMYFUNCTION("""COMPUTED_VALUE"""),1)</f>
        <v>1</v>
      </c>
      <c r="Y720" s="5" t="str">
        <f ca="1">IFERROR(__xludf.DUMMYFUNCTION("""COMPUTED_VALUE"""),"Three adult males shot during robbery in school parking lot")</f>
        <v>Three adult males shot during robbery in school parking lot</v>
      </c>
      <c r="Z720" s="5" t="str">
        <f ca="1">IFERROR(__xludf.DUMMYFUNCTION("""COMPUTED_VALUE"""),"A group of three adult men met at 1:30 AM in the elementary school parking lot to carry out an unspecified transaction. While they were meeting, they were approached by two other men to robbed them. One of the two robbers fired multiple shots striking all"&amp;" three of the men then fled the scene. Police arrested a 19 year-old male but did not identify him as the shooter.")</f>
        <v>A group of three adult men met at 1:30 AM in the elementary school parking lot to carry out an unspecified transaction. While they were meeting, they were approached by two other men to robbed them. One of the two robbers fired multiple shots striking all three of the men then fled the scene. Police arrested a 19 year-old male but did not identify him as the shooter.</v>
      </c>
      <c r="AA720" s="5" t="str">
        <f ca="1">IFERROR(__xludf.DUMMYFUNCTION("""COMPUTED_VALUE"""),"Illegal Activity")</f>
        <v>Illegal Activity</v>
      </c>
      <c r="AB720" s="5" t="str">
        <f ca="1">IFERROR(__xludf.DUMMYFUNCTION("""COMPUTED_VALUE"""),"Victims Targeted")</f>
        <v>Victims Targeted</v>
      </c>
      <c r="AC720" s="5" t="str">
        <f ca="1">IFERROR(__xludf.DUMMYFUNCTION("""COMPUTED_VALUE"""),"Yes")</f>
        <v>Yes</v>
      </c>
      <c r="AD720" s="5" t="str">
        <f ca="1">IFERROR(__xludf.DUMMYFUNCTION("""COMPUTED_VALUE"""),"No")</f>
        <v>No</v>
      </c>
      <c r="AE720" s="5" t="str">
        <f ca="1">IFERROR(__xludf.DUMMYFUNCTION("""COMPUTED_VALUE"""),"No")</f>
        <v>No</v>
      </c>
      <c r="AF720" s="5" t="str">
        <f ca="1">IFERROR(__xludf.DUMMYFUNCTION("""COMPUTED_VALUE"""),"No")</f>
        <v>No</v>
      </c>
      <c r="AG720" s="5" t="str">
        <f ca="1">IFERROR(__xludf.DUMMYFUNCTION("""COMPUTED_VALUE"""),"No")</f>
        <v>No</v>
      </c>
      <c r="AH720" s="5" t="str">
        <f ca="1">IFERROR(__xludf.DUMMYFUNCTION("""COMPUTED_VALUE"""),"No")</f>
        <v>No</v>
      </c>
      <c r="AI720" s="5" t="str">
        <f ca="1">IFERROR(__xludf.DUMMYFUNCTION("""COMPUTED_VALUE"""),"No")</f>
        <v>No</v>
      </c>
      <c r="AJ720" s="5" t="str">
        <f ca="1">IFERROR(__xludf.DUMMYFUNCTION("""COMPUTED_VALUE"""),"No")</f>
        <v>No</v>
      </c>
    </row>
    <row r="721" spans="1:36" ht="13">
      <c r="A721" s="5" t="str">
        <f ca="1">IFERROR(__xludf.DUMMYFUNCTION("""COMPUTED_VALUE"""),"20200522OHMIC")</f>
        <v>20200522OHMIC</v>
      </c>
      <c r="B721" s="5">
        <f ca="1">IFERROR(__xludf.DUMMYFUNCTION("""COMPUTED_VALUE"""),5)</f>
        <v>5</v>
      </c>
      <c r="C721" s="5">
        <f ca="1">IFERROR(__xludf.DUMMYFUNCTION("""COMPUTED_VALUE"""),22)</f>
        <v>22</v>
      </c>
      <c r="D721" s="5">
        <f ca="1">IFERROR(__xludf.DUMMYFUNCTION("""COMPUTED_VALUE"""),2020)</f>
        <v>2020</v>
      </c>
      <c r="E721" s="8">
        <f ca="1">IFERROR(__xludf.DUMMYFUNCTION("""COMPUTED_VALUE"""),43973)</f>
        <v>43973</v>
      </c>
      <c r="F721" s="5" t="str">
        <f ca="1">IFERROR(__xludf.DUMMYFUNCTION("""COMPUTED_VALUE"""),"Miles Elementary School")</f>
        <v>Miles Elementary School</v>
      </c>
      <c r="G721" s="5">
        <f ca="1">IFERROR(__xludf.DUMMYFUNCTION("""COMPUTED_VALUE"""),1)</f>
        <v>1</v>
      </c>
      <c r="H721" s="5">
        <f ca="1">IFERROR(__xludf.DUMMYFUNCTION("""COMPUTED_VALUE"""),0)</f>
        <v>0</v>
      </c>
      <c r="I721" s="5">
        <f ca="1">IFERROR(__xludf.DUMMYFUNCTION("""COMPUTED_VALUE"""),1)</f>
        <v>1</v>
      </c>
      <c r="J721" s="5">
        <f ca="1">IFERROR(__xludf.DUMMYFUNCTION("""COMPUTED_VALUE"""),0)</f>
        <v>0</v>
      </c>
      <c r="K721" s="9" t="str">
        <f ca="1">IFERROR(__xludf.DUMMYFUNCTION("""COMPUTED_VALUE"""),"https://fox8.com/news/man-killed-in-shooting-near-miles-elementary-school-in-cleveland/")</f>
        <v>https://fox8.com/news/man-killed-in-shooting-near-miles-elementary-school-in-cleveland/</v>
      </c>
      <c r="L721" s="5"/>
      <c r="M721" s="5"/>
      <c r="N721" s="5">
        <f ca="1">IFERROR(__xludf.DUMMYFUNCTION("""COMPUTED_VALUE"""),2)</f>
        <v>2</v>
      </c>
      <c r="O721" s="5" t="str">
        <f ca="1">IFERROR(__xludf.DUMMYFUNCTION("""COMPUTED_VALUE"""),"Spring")</f>
        <v>Spring</v>
      </c>
      <c r="P721" s="5" t="str">
        <f ca="1">IFERROR(__xludf.DUMMYFUNCTION("""COMPUTED_VALUE"""),"Cleveland")</f>
        <v>Cleveland</v>
      </c>
      <c r="Q721" s="5" t="str">
        <f ca="1">IFERROR(__xludf.DUMMYFUNCTION("""COMPUTED_VALUE"""),"OH")</f>
        <v>OH</v>
      </c>
      <c r="R721" s="5" t="str">
        <f ca="1">IFERROR(__xludf.DUMMYFUNCTION("""COMPUTED_VALUE"""),"Elementary")</f>
        <v>Elementary</v>
      </c>
      <c r="S721" s="5" t="str">
        <f ca="1">IFERROR(__xludf.DUMMYFUNCTION("""COMPUTED_VALUE"""),"Beside Building")</f>
        <v>Beside Building</v>
      </c>
      <c r="T721" s="5" t="str">
        <f ca="1">IFERROR(__xludf.DUMMYFUNCTION("""COMPUTED_VALUE"""),"Outside on School Property")</f>
        <v>Outside on School Property</v>
      </c>
      <c r="U721" s="5" t="str">
        <f ca="1">IFERROR(__xludf.DUMMYFUNCTION("""COMPUTED_VALUE"""),"No")</f>
        <v>No</v>
      </c>
      <c r="V721" s="5" t="str">
        <f ca="1">IFERROR(__xludf.DUMMYFUNCTION("""COMPUTED_VALUE"""),"Night")</f>
        <v>Night</v>
      </c>
      <c r="W721" s="10">
        <f ca="1">IFERROR(__xludf.DUMMYFUNCTION("""COMPUTED_VALUE"""),0.0625)</f>
        <v>6.25E-2</v>
      </c>
      <c r="X721" s="5">
        <f ca="1">IFERROR(__xludf.DUMMYFUNCTION("""COMPUTED_VALUE"""),1)</f>
        <v>1</v>
      </c>
      <c r="Y721" s="5" t="str">
        <f ca="1">IFERROR(__xludf.DUMMYFUNCTION("""COMPUTED_VALUE"""),"Adult man found dead outside of school from gunshot to chest")</f>
        <v>Adult man found dead outside of school from gunshot to chest</v>
      </c>
      <c r="Z721" s="5" t="str">
        <f ca="1">IFERROR(__xludf.DUMMYFUNCTION("""COMPUTED_VALUE"""),"A 34 year-old male was found dead outside of the school with a gunshot wound to the chest. Police have not identified a suspect or motive.")</f>
        <v>A 34 year-old male was found dead outside of the school with a gunshot wound to the chest. Police have not identified a suspect or motive.</v>
      </c>
      <c r="AA721" s="5" t="str">
        <f ca="1">IFERROR(__xludf.DUMMYFUNCTION("""COMPUTED_VALUE"""),"Unknown")</f>
        <v>Unknown</v>
      </c>
      <c r="AB721" s="5" t="str">
        <f ca="1">IFERROR(__xludf.DUMMYFUNCTION("""COMPUTED_VALUE"""),"Victims Targeted")</f>
        <v>Victims Targeted</v>
      </c>
      <c r="AC721" s="5"/>
      <c r="AD721" s="5" t="str">
        <f ca="1">IFERROR(__xludf.DUMMYFUNCTION("""COMPUTED_VALUE"""),"No")</f>
        <v>No</v>
      </c>
      <c r="AE721" s="5" t="str">
        <f ca="1">IFERROR(__xludf.DUMMYFUNCTION("""COMPUTED_VALUE"""),"No")</f>
        <v>No</v>
      </c>
      <c r="AF721" s="5" t="str">
        <f ca="1">IFERROR(__xludf.DUMMYFUNCTION("""COMPUTED_VALUE"""),"No")</f>
        <v>No</v>
      </c>
      <c r="AG721" s="5" t="str">
        <f ca="1">IFERROR(__xludf.DUMMYFUNCTION("""COMPUTED_VALUE"""),"No")</f>
        <v>No</v>
      </c>
      <c r="AH721" s="5" t="str">
        <f ca="1">IFERROR(__xludf.DUMMYFUNCTION("""COMPUTED_VALUE"""),"No")</f>
        <v>No</v>
      </c>
      <c r="AI721" s="5"/>
      <c r="AJ721" s="5" t="str">
        <f ca="1">IFERROR(__xludf.DUMMYFUNCTION("""COMPUTED_VALUE"""),"No")</f>
        <v>No</v>
      </c>
    </row>
    <row r="722" spans="1:36" ht="13">
      <c r="A722" s="5" t="str">
        <f ca="1">IFERROR(__xludf.DUMMYFUNCTION("""COMPUTED_VALUE"""),"20200519VAWEM")</f>
        <v>20200519VAWEM</v>
      </c>
      <c r="B722" s="5">
        <f ca="1">IFERROR(__xludf.DUMMYFUNCTION("""COMPUTED_VALUE"""),5)</f>
        <v>5</v>
      </c>
      <c r="C722" s="5">
        <f ca="1">IFERROR(__xludf.DUMMYFUNCTION("""COMPUTED_VALUE"""),19)</f>
        <v>19</v>
      </c>
      <c r="D722" s="5">
        <f ca="1">IFERROR(__xludf.DUMMYFUNCTION("""COMPUTED_VALUE"""),2020)</f>
        <v>2020</v>
      </c>
      <c r="E722" s="8">
        <f ca="1">IFERROR(__xludf.DUMMYFUNCTION("""COMPUTED_VALUE"""),43970)</f>
        <v>43970</v>
      </c>
      <c r="F722" s="5" t="str">
        <f ca="1">IFERROR(__xludf.DUMMYFUNCTION("""COMPUTED_VALUE"""),"West Gate Elementary School")</f>
        <v>West Gate Elementary School</v>
      </c>
      <c r="G722" s="5">
        <f ca="1">IFERROR(__xludf.DUMMYFUNCTION("""COMPUTED_VALUE"""),0)</f>
        <v>0</v>
      </c>
      <c r="H722" s="5">
        <f ca="1">IFERROR(__xludf.DUMMYFUNCTION("""COMPUTED_VALUE"""),0)</f>
        <v>0</v>
      </c>
      <c r="I722" s="5">
        <f ca="1">IFERROR(__xludf.DUMMYFUNCTION("""COMPUTED_VALUE"""),0)</f>
        <v>0</v>
      </c>
      <c r="J722" s="5">
        <f ca="1">IFERROR(__xludf.DUMMYFUNCTION("""COMPUTED_VALUE"""),0)</f>
        <v>0</v>
      </c>
      <c r="K722" s="5" t="str">
        <f ca="1">IFERROR(__xludf.DUMMYFUNCTION("""COMPUTED_VALUE"""),"https://patch.com/virginia/manassas/suspect-manassas-area-school-shooting-arrested-police https://patch.com/virginia/manassas/gunshot-fired-manassas-school-after-argument-escalates-police")</f>
        <v>https://patch.com/virginia/manassas/suspect-manassas-area-school-shooting-arrested-police https://patch.com/virginia/manassas/gunshot-fired-manassas-school-after-argument-escalates-police</v>
      </c>
      <c r="L722" s="5"/>
      <c r="M722" s="5"/>
      <c r="N722" s="5">
        <f ca="1">IFERROR(__xludf.DUMMYFUNCTION("""COMPUTED_VALUE"""),3)</f>
        <v>3</v>
      </c>
      <c r="O722" s="5" t="str">
        <f ca="1">IFERROR(__xludf.DUMMYFUNCTION("""COMPUTED_VALUE"""),"Spring")</f>
        <v>Spring</v>
      </c>
      <c r="P722" s="5" t="str">
        <f ca="1">IFERROR(__xludf.DUMMYFUNCTION("""COMPUTED_VALUE"""),"Manassas")</f>
        <v>Manassas</v>
      </c>
      <c r="Q722" s="5" t="str">
        <f ca="1">IFERROR(__xludf.DUMMYFUNCTION("""COMPUTED_VALUE"""),"VA")</f>
        <v>VA</v>
      </c>
      <c r="R722" s="5" t="str">
        <f ca="1">IFERROR(__xludf.DUMMYFUNCTION("""COMPUTED_VALUE"""),"Elementary")</f>
        <v>Elementary</v>
      </c>
      <c r="S722" s="5" t="str">
        <f ca="1">IFERROR(__xludf.DUMMYFUNCTION("""COMPUTED_VALUE"""),"Beside Building")</f>
        <v>Beside Building</v>
      </c>
      <c r="T722" s="5" t="str">
        <f ca="1">IFERROR(__xludf.DUMMYFUNCTION("""COMPUTED_VALUE"""),"Outside on School Property")</f>
        <v>Outside on School Property</v>
      </c>
      <c r="U722" s="5" t="str">
        <f ca="1">IFERROR(__xludf.DUMMYFUNCTION("""COMPUTED_VALUE"""),"No")</f>
        <v>No</v>
      </c>
      <c r="V722" s="5" t="str">
        <f ca="1">IFERROR(__xludf.DUMMYFUNCTION("""COMPUTED_VALUE"""),"Not a School Day")</f>
        <v>Not a School Day</v>
      </c>
      <c r="W722" s="10">
        <f ca="1">IFERROR(__xludf.DUMMYFUNCTION("""COMPUTED_VALUE"""),0.611111111111111)</f>
        <v>0.61111111111111105</v>
      </c>
      <c r="X722" s="5">
        <f ca="1">IFERROR(__xludf.DUMMYFUNCTION("""COMPUTED_VALUE"""),1)</f>
        <v>1</v>
      </c>
      <c r="Y722" s="5" t="str">
        <f ca="1">IFERROR(__xludf.DUMMYFUNCTION("""COMPUTED_VALUE"""),"Teen fired shot at another group of teens during a dispute")</f>
        <v>Teen fired shot at another group of teens during a dispute</v>
      </c>
      <c r="Z722" s="5" t="str">
        <f ca="1">IFERROR(__xludf.DUMMYFUNCTION("""COMPUTED_VALUE"""),"An 18 year-old male was given a handgun by a person in his group and then fired at another group of males during a dispute outside of the school. Shooter fled the scene and was arrested the following day. Shooter held without bond on multiple felony charg"&amp;"es. School was closed for COVID-19.")</f>
        <v>An 18 year-old male was given a handgun by a person in his group and then fired at another group of males during a dispute outside of the school. Shooter fled the scene and was arrested the following day. Shooter held without bond on multiple felony charges. School was closed for COVID-19.</v>
      </c>
      <c r="AA722" s="5" t="str">
        <f ca="1">IFERROR(__xludf.DUMMYFUNCTION("""COMPUTED_VALUE"""),"Escalation of Dispute")</f>
        <v>Escalation of Dispute</v>
      </c>
      <c r="AB722" s="5" t="str">
        <f ca="1">IFERROR(__xludf.DUMMYFUNCTION("""COMPUTED_VALUE"""),"Victims Targeted")</f>
        <v>Victims Targeted</v>
      </c>
      <c r="AC722" s="5" t="str">
        <f ca="1">IFERROR(__xludf.DUMMYFUNCTION("""COMPUTED_VALUE"""),"Yes")</f>
        <v>Yes</v>
      </c>
      <c r="AD722" s="5" t="str">
        <f ca="1">IFERROR(__xludf.DUMMYFUNCTION("""COMPUTED_VALUE"""),"No")</f>
        <v>No</v>
      </c>
      <c r="AE722" s="5" t="str">
        <f ca="1">IFERROR(__xludf.DUMMYFUNCTION("""COMPUTED_VALUE"""),"No")</f>
        <v>No</v>
      </c>
      <c r="AF722" s="5" t="str">
        <f ca="1">IFERROR(__xludf.DUMMYFUNCTION("""COMPUTED_VALUE"""),"No")</f>
        <v>No</v>
      </c>
      <c r="AG722" s="5" t="str">
        <f ca="1">IFERROR(__xludf.DUMMYFUNCTION("""COMPUTED_VALUE"""),"No")</f>
        <v>No</v>
      </c>
      <c r="AH722" s="5" t="str">
        <f ca="1">IFERROR(__xludf.DUMMYFUNCTION("""COMPUTED_VALUE"""),"No")</f>
        <v>No</v>
      </c>
      <c r="AI722" s="5" t="str">
        <f ca="1">IFERROR(__xludf.DUMMYFUNCTION("""COMPUTED_VALUE"""),"No")</f>
        <v>No</v>
      </c>
      <c r="AJ722" s="5" t="str">
        <f ca="1">IFERROR(__xludf.DUMMYFUNCTION("""COMPUTED_VALUE"""),"No")</f>
        <v>No</v>
      </c>
    </row>
    <row r="723" spans="1:36" ht="13">
      <c r="A723" s="5" t="str">
        <f ca="1">IFERROR(__xludf.DUMMYFUNCTION("""COMPUTED_VALUE"""),"20200515NCSTC")</f>
        <v>20200515NCSTC</v>
      </c>
      <c r="B723" s="5">
        <f ca="1">IFERROR(__xludf.DUMMYFUNCTION("""COMPUTED_VALUE"""),5)</f>
        <v>5</v>
      </c>
      <c r="C723" s="5">
        <f ca="1">IFERROR(__xludf.DUMMYFUNCTION("""COMPUTED_VALUE"""),15)</f>
        <v>15</v>
      </c>
      <c r="D723" s="5">
        <f ca="1">IFERROR(__xludf.DUMMYFUNCTION("""COMPUTED_VALUE"""),2020)</f>
        <v>2020</v>
      </c>
      <c r="E723" s="8">
        <f ca="1">IFERROR(__xludf.DUMMYFUNCTION("""COMPUTED_VALUE"""),43966)</f>
        <v>43966</v>
      </c>
      <c r="F723" s="5" t="str">
        <f ca="1">IFERROR(__xludf.DUMMYFUNCTION("""COMPUTED_VALUE"""),"Stuart W Cramer High School")</f>
        <v>Stuart W Cramer High School</v>
      </c>
      <c r="G723" s="5">
        <f ca="1">IFERROR(__xludf.DUMMYFUNCTION("""COMPUTED_VALUE"""),0)</f>
        <v>0</v>
      </c>
      <c r="H723" s="5">
        <f ca="1">IFERROR(__xludf.DUMMYFUNCTION("""COMPUTED_VALUE"""),0)</f>
        <v>0</v>
      </c>
      <c r="I723" s="5">
        <f ca="1">IFERROR(__xludf.DUMMYFUNCTION("""COMPUTED_VALUE"""),0)</f>
        <v>0</v>
      </c>
      <c r="J723" s="5">
        <f ca="1">IFERROR(__xludf.DUMMYFUNCTION("""COMPUTED_VALUE"""),0)</f>
        <v>0</v>
      </c>
      <c r="K723" s="9" t="str">
        <f ca="1">IFERROR(__xludf.DUMMYFUNCTION("""COMPUTED_VALUE"""),"https://abc11.com/nc-man-shoots-at-couple-after-mistaking-them-for-russian-mafia-/6196277/")</f>
        <v>https://abc11.com/nc-man-shoots-at-couple-after-mistaking-them-for-russian-mafia-/6196277/</v>
      </c>
      <c r="L723" s="5"/>
      <c r="M723" s="5"/>
      <c r="N723" s="5">
        <f ca="1">IFERROR(__xludf.DUMMYFUNCTION("""COMPUTED_VALUE"""),2)</f>
        <v>2</v>
      </c>
      <c r="O723" s="5" t="str">
        <f ca="1">IFERROR(__xludf.DUMMYFUNCTION("""COMPUTED_VALUE"""),"Spring")</f>
        <v>Spring</v>
      </c>
      <c r="P723" s="5" t="str">
        <f ca="1">IFERROR(__xludf.DUMMYFUNCTION("""COMPUTED_VALUE"""),"Cramerton")</f>
        <v>Cramerton</v>
      </c>
      <c r="Q723" s="5" t="str">
        <f ca="1">IFERROR(__xludf.DUMMYFUNCTION("""COMPUTED_VALUE"""),"NC")</f>
        <v>NC</v>
      </c>
      <c r="R723" s="5" t="str">
        <f ca="1">IFERROR(__xludf.DUMMYFUNCTION("""COMPUTED_VALUE"""),"High")</f>
        <v>High</v>
      </c>
      <c r="S723" s="5" t="str">
        <f ca="1">IFERROR(__xludf.DUMMYFUNCTION("""COMPUTED_VALUE"""),"Parking Lot")</f>
        <v>Parking Lot</v>
      </c>
      <c r="T723" s="5" t="str">
        <f ca="1">IFERROR(__xludf.DUMMYFUNCTION("""COMPUTED_VALUE"""),"Outside on School Property")</f>
        <v>Outside on School Property</v>
      </c>
      <c r="U723" s="5" t="str">
        <f ca="1">IFERROR(__xludf.DUMMYFUNCTION("""COMPUTED_VALUE"""),"No")</f>
        <v>No</v>
      </c>
      <c r="V723" s="5" t="str">
        <f ca="1">IFERROR(__xludf.DUMMYFUNCTION("""COMPUTED_VALUE"""),"Night")</f>
        <v>Night</v>
      </c>
      <c r="W723" s="5"/>
      <c r="X723" s="5">
        <f ca="1">IFERROR(__xludf.DUMMYFUNCTION("""COMPUTED_VALUE"""),1)</f>
        <v>1</v>
      </c>
      <c r="Y723" s="5" t="str">
        <f ca="1">IFERROR(__xludf.DUMMYFUNCTION("""COMPUTED_VALUE"""),"Couple confused with mafia members during drug deal")</f>
        <v>Couple confused with mafia members during drug deal</v>
      </c>
      <c r="Z723" s="5" t="str">
        <f ca="1">IFERROR(__xludf.DUMMYFUNCTION("""COMPUTED_VALUE"""),"Couple came to school parking lot at night to see the school campus. They were unaware of a drug deal taking place in the parking lot. Adult male involved with the drug deal thought the couple were members of the Russian Mafia and fired shots at the vehic"&amp;"le. Bullets struck the windshield but did not hit the occupants. Shooter was later arrested and charged with two counts of attempted murder. FBI is investigating with local police.")</f>
        <v>Couple came to school parking lot at night to see the school campus. They were unaware of a drug deal taking place in the parking lot. Adult male involved with the drug deal thought the couple were members of the Russian Mafia and fired shots at the vehicle. Bullets struck the windshield but did not hit the occupants. Shooter was later arrested and charged with two counts of attempted murder. FBI is investigating with local police.</v>
      </c>
      <c r="AA723" s="5" t="str">
        <f ca="1">IFERROR(__xludf.DUMMYFUNCTION("""COMPUTED_VALUE"""),"Illegal Activity")</f>
        <v>Illegal Activity</v>
      </c>
      <c r="AB723" s="5" t="str">
        <f ca="1">IFERROR(__xludf.DUMMYFUNCTION("""COMPUTED_VALUE"""),"Random Shooting")</f>
        <v>Random Shooting</v>
      </c>
      <c r="AC723" s="5"/>
      <c r="AD723" s="5" t="str">
        <f ca="1">IFERROR(__xludf.DUMMYFUNCTION("""COMPUTED_VALUE"""),"No")</f>
        <v>No</v>
      </c>
      <c r="AE723" s="5" t="str">
        <f ca="1">IFERROR(__xludf.DUMMYFUNCTION("""COMPUTED_VALUE"""),"No")</f>
        <v>No</v>
      </c>
      <c r="AF723" s="5" t="str">
        <f ca="1">IFERROR(__xludf.DUMMYFUNCTION("""COMPUTED_VALUE"""),"No")</f>
        <v>No</v>
      </c>
      <c r="AG723" s="5" t="str">
        <f ca="1">IFERROR(__xludf.DUMMYFUNCTION("""COMPUTED_VALUE"""),"No")</f>
        <v>No</v>
      </c>
      <c r="AH723" s="5" t="str">
        <f ca="1">IFERROR(__xludf.DUMMYFUNCTION("""COMPUTED_VALUE"""),"No")</f>
        <v>No</v>
      </c>
      <c r="AI723" s="5" t="str">
        <f ca="1">IFERROR(__xludf.DUMMYFUNCTION("""COMPUTED_VALUE"""),"Yes")</f>
        <v>Yes</v>
      </c>
      <c r="AJ723" s="5" t="str">
        <f ca="1">IFERROR(__xludf.DUMMYFUNCTION("""COMPUTED_VALUE"""),"No")</f>
        <v>No</v>
      </c>
    </row>
    <row r="724" spans="1:36" ht="13">
      <c r="A724" s="5" t="str">
        <f ca="1">IFERROR(__xludf.DUMMYFUNCTION("""COMPUTED_VALUE"""),"20200505CAGOV")</f>
        <v>20200505CAGOV</v>
      </c>
      <c r="B724" s="5">
        <f ca="1">IFERROR(__xludf.DUMMYFUNCTION("""COMPUTED_VALUE"""),5)</f>
        <v>5</v>
      </c>
      <c r="C724" s="5">
        <f ca="1">IFERROR(__xludf.DUMMYFUNCTION("""COMPUTED_VALUE"""),5)</f>
        <v>5</v>
      </c>
      <c r="D724" s="5">
        <f ca="1">IFERROR(__xludf.DUMMYFUNCTION("""COMPUTED_VALUE"""),2020)</f>
        <v>2020</v>
      </c>
      <c r="E724" s="8">
        <f ca="1">IFERROR(__xludf.DUMMYFUNCTION("""COMPUTED_VALUE"""),43956)</f>
        <v>43956</v>
      </c>
      <c r="F724" s="5" t="str">
        <f ca="1">IFERROR(__xludf.DUMMYFUNCTION("""COMPUTED_VALUE"""),"Golden West High School")</f>
        <v>Golden West High School</v>
      </c>
      <c r="G724" s="5">
        <f ca="1">IFERROR(__xludf.DUMMYFUNCTION("""COMPUTED_VALUE"""),3)</f>
        <v>3</v>
      </c>
      <c r="H724" s="5">
        <f ca="1">IFERROR(__xludf.DUMMYFUNCTION("""COMPUTED_VALUE"""),0)</f>
        <v>0</v>
      </c>
      <c r="I724" s="5">
        <f ca="1">IFERROR(__xludf.DUMMYFUNCTION("""COMPUTED_VALUE"""),3)</f>
        <v>3</v>
      </c>
      <c r="J724" s="5">
        <f ca="1">IFERROR(__xludf.DUMMYFUNCTION("""COMPUTED_VALUE"""),0)</f>
        <v>0</v>
      </c>
      <c r="K724" s="5" t="str">
        <f ca="1">IFERROR(__xludf.DUMMYFUNCTION("""COMPUTED_VALUE"""),"https://www.yourcentralvalley.com/news/crime/1-year-later-suspects-still-wanted-after-3-teens-killed-in-visalia-high-school-shooting/ https://kmph.com/news/local/three-found-shot-dead-at-golden-west-high-school-in-visalia https://www.nytimes.com/2020/05/0"&amp;"6/us/golden-west-high-school-shooting.html")</f>
        <v>https://www.yourcentralvalley.com/news/crime/1-year-later-suspects-still-wanted-after-3-teens-killed-in-visalia-high-school-shooting/ https://kmph.com/news/local/three-found-shot-dead-at-golden-west-high-school-in-visalia https://www.nytimes.com/2020/05/06/us/golden-west-high-school-shooting.html</v>
      </c>
      <c r="L724" s="5"/>
      <c r="M724" s="5" t="str">
        <f ca="1">IFERROR(__xludf.DUMMYFUNCTION("""COMPUTED_VALUE"""),"Regional")</f>
        <v>Regional</v>
      </c>
      <c r="N724" s="5">
        <f ca="1">IFERROR(__xludf.DUMMYFUNCTION("""COMPUTED_VALUE"""),4)</f>
        <v>4</v>
      </c>
      <c r="O724" s="5" t="str">
        <f ca="1">IFERROR(__xludf.DUMMYFUNCTION("""COMPUTED_VALUE"""),"Spring")</f>
        <v>Spring</v>
      </c>
      <c r="P724" s="5" t="str">
        <f ca="1">IFERROR(__xludf.DUMMYFUNCTION("""COMPUTED_VALUE"""),"Visalia")</f>
        <v>Visalia</v>
      </c>
      <c r="Q724" s="5" t="str">
        <f ca="1">IFERROR(__xludf.DUMMYFUNCTION("""COMPUTED_VALUE"""),"CA")</f>
        <v>CA</v>
      </c>
      <c r="R724" s="5" t="str">
        <f ca="1">IFERROR(__xludf.DUMMYFUNCTION("""COMPUTED_VALUE"""),"High")</f>
        <v>High</v>
      </c>
      <c r="S724" s="5" t="str">
        <f ca="1">IFERROR(__xludf.DUMMYFUNCTION("""COMPUTED_VALUE"""),"Parking Lot")</f>
        <v>Parking Lot</v>
      </c>
      <c r="T724" s="5" t="str">
        <f ca="1">IFERROR(__xludf.DUMMYFUNCTION("""COMPUTED_VALUE"""),"Outside on School Property")</f>
        <v>Outside on School Property</v>
      </c>
      <c r="U724" s="5" t="str">
        <f ca="1">IFERROR(__xludf.DUMMYFUNCTION("""COMPUTED_VALUE"""),"No")</f>
        <v>No</v>
      </c>
      <c r="V724" s="5" t="str">
        <f ca="1">IFERROR(__xludf.DUMMYFUNCTION("""COMPUTED_VALUE"""),"Night")</f>
        <v>Night</v>
      </c>
      <c r="W724" s="10">
        <f ca="1">IFERROR(__xludf.DUMMYFUNCTION("""COMPUTED_VALUE"""),0.96875)</f>
        <v>0.96875</v>
      </c>
      <c r="X724" s="5">
        <f ca="1">IFERROR(__xludf.DUMMYFUNCTION("""COMPUTED_VALUE"""),1)</f>
        <v>1</v>
      </c>
      <c r="Y724" s="5" t="str">
        <f ca="1">IFERROR(__xludf.DUMMYFUNCTION("""COMPUTED_VALUE"""),"Three victims found dead in school parking lot")</f>
        <v>Three victims found dead in school parking lot</v>
      </c>
      <c r="Z724" s="5" t="str">
        <f ca="1">IFERROR(__xludf.DUMMYFUNCTION("""COMPUTED_VALUE"""),"Three victims found dead in school parking lot")</f>
        <v>Three victims found dead in school parking lot</v>
      </c>
      <c r="AA724" s="5" t="str">
        <f ca="1">IFERROR(__xludf.DUMMYFUNCTION("""COMPUTED_VALUE"""),"Escalation of Dispute")</f>
        <v>Escalation of Dispute</v>
      </c>
      <c r="AB724" s="5"/>
      <c r="AC724" s="5"/>
      <c r="AD724" s="5" t="str">
        <f ca="1">IFERROR(__xludf.DUMMYFUNCTION("""COMPUTED_VALUE"""),"No")</f>
        <v>No</v>
      </c>
      <c r="AE724" s="5" t="str">
        <f ca="1">IFERROR(__xludf.DUMMYFUNCTION("""COMPUTED_VALUE"""),"No")</f>
        <v>No</v>
      </c>
      <c r="AF724" s="5" t="str">
        <f ca="1">IFERROR(__xludf.DUMMYFUNCTION("""COMPUTED_VALUE"""),"No")</f>
        <v>No</v>
      </c>
      <c r="AG724" s="5" t="str">
        <f ca="1">IFERROR(__xludf.DUMMYFUNCTION("""COMPUTED_VALUE"""),"No")</f>
        <v>No</v>
      </c>
      <c r="AH724" s="5" t="str">
        <f ca="1">IFERROR(__xludf.DUMMYFUNCTION("""COMPUTED_VALUE"""),"No")</f>
        <v>No</v>
      </c>
      <c r="AI724" s="5"/>
      <c r="AJ724" s="5" t="str">
        <f ca="1">IFERROR(__xludf.DUMMYFUNCTION("""COMPUTED_VALUE"""),"No")</f>
        <v>No</v>
      </c>
    </row>
    <row r="725" spans="1:36" ht="13">
      <c r="A725" s="5" t="str">
        <f ca="1">IFERROR(__xludf.DUMMYFUNCTION("""COMPUTED_VALUE"""),"20200419NCABR")</f>
        <v>20200419NCABR</v>
      </c>
      <c r="B725" s="5">
        <f ca="1">IFERROR(__xludf.DUMMYFUNCTION("""COMPUTED_VALUE"""),4)</f>
        <v>4</v>
      </c>
      <c r="C725" s="5">
        <f ca="1">IFERROR(__xludf.DUMMYFUNCTION("""COMPUTED_VALUE"""),19)</f>
        <v>19</v>
      </c>
      <c r="D725" s="5">
        <f ca="1">IFERROR(__xludf.DUMMYFUNCTION("""COMPUTED_VALUE"""),2020)</f>
        <v>2020</v>
      </c>
      <c r="E725" s="8">
        <f ca="1">IFERROR(__xludf.DUMMYFUNCTION("""COMPUTED_VALUE"""),43940)</f>
        <v>43940</v>
      </c>
      <c r="F725" s="5" t="str">
        <f ca="1">IFERROR(__xludf.DUMMYFUNCTION("""COMPUTED_VALUE"""),"Abbotts Creek Elementary School")</f>
        <v>Abbotts Creek Elementary School</v>
      </c>
      <c r="G725" s="5">
        <f ca="1">IFERROR(__xludf.DUMMYFUNCTION("""COMPUTED_VALUE"""),0)</f>
        <v>0</v>
      </c>
      <c r="H725" s="5">
        <f ca="1">IFERROR(__xludf.DUMMYFUNCTION("""COMPUTED_VALUE"""),0)</f>
        <v>0</v>
      </c>
      <c r="I725" s="5">
        <f ca="1">IFERROR(__xludf.DUMMYFUNCTION("""COMPUTED_VALUE"""),0)</f>
        <v>0</v>
      </c>
      <c r="J725" s="5">
        <f ca="1">IFERROR(__xludf.DUMMYFUNCTION("""COMPUTED_VALUE"""),0)</f>
        <v>0</v>
      </c>
      <c r="K725" s="9" t="str">
        <f ca="1">IFERROR(__xludf.DUMMYFUNCTION("""COMPUTED_VALUE"""),"https://www.newsobserver.com/news/local/crime/article256631386.html")</f>
        <v>https://www.newsobserver.com/news/local/crime/article256631386.html</v>
      </c>
      <c r="L725" s="5">
        <f ca="1">IFERROR(__xludf.DUMMYFUNCTION("""COMPUTED_VALUE"""),1)</f>
        <v>1</v>
      </c>
      <c r="M725" s="5" t="str">
        <f ca="1">IFERROR(__xludf.DUMMYFUNCTION("""COMPUTED_VALUE"""),"Local")</f>
        <v>Local</v>
      </c>
      <c r="N725" s="5">
        <f ca="1">IFERROR(__xludf.DUMMYFUNCTION("""COMPUTED_VALUE"""),4)</f>
        <v>4</v>
      </c>
      <c r="O725" s="5" t="str">
        <f ca="1">IFERROR(__xludf.DUMMYFUNCTION("""COMPUTED_VALUE"""),"Spring")</f>
        <v>Spring</v>
      </c>
      <c r="P725" s="5" t="str">
        <f ca="1">IFERROR(__xludf.DUMMYFUNCTION("""COMPUTED_VALUE"""),"Raleigh")</f>
        <v>Raleigh</v>
      </c>
      <c r="Q725" s="5" t="str">
        <f ca="1">IFERROR(__xludf.DUMMYFUNCTION("""COMPUTED_VALUE"""),"NC")</f>
        <v>NC</v>
      </c>
      <c r="R725" s="5" t="str">
        <f ca="1">IFERROR(__xludf.DUMMYFUNCTION("""COMPUTED_VALUE"""),"Elementary")</f>
        <v>Elementary</v>
      </c>
      <c r="S725" s="5" t="str">
        <f ca="1">IFERROR(__xludf.DUMMYFUNCTION("""COMPUTED_VALUE"""),"Parking Lot")</f>
        <v>Parking Lot</v>
      </c>
      <c r="T725" s="5" t="str">
        <f ca="1">IFERROR(__xludf.DUMMYFUNCTION("""COMPUTED_VALUE"""),"Outside on School Property")</f>
        <v>Outside on School Property</v>
      </c>
      <c r="U725" s="5" t="str">
        <f ca="1">IFERROR(__xludf.DUMMYFUNCTION("""COMPUTED_VALUE"""),"No")</f>
        <v>No</v>
      </c>
      <c r="V725" s="5" t="str">
        <f ca="1">IFERROR(__xludf.DUMMYFUNCTION("""COMPUTED_VALUE"""),"Night")</f>
        <v>Night</v>
      </c>
      <c r="W725" s="10">
        <f ca="1">IFERROR(__xludf.DUMMYFUNCTION("""COMPUTED_VALUE"""),0.0833333333333333)</f>
        <v>8.3333333333333301E-2</v>
      </c>
      <c r="X725" s="5">
        <f ca="1">IFERROR(__xludf.DUMMYFUNCTION("""COMPUTED_VALUE"""),1)</f>
        <v>1</v>
      </c>
      <c r="Y725" s="5" t="str">
        <f ca="1">IFERROR(__xludf.DUMMYFUNCTION("""COMPUTED_VALUE"""),"Man fired multiple gunshots in school parking lot")</f>
        <v>Man fired multiple gunshots in school parking lot</v>
      </c>
      <c r="Z725" s="5" t="str">
        <f ca="1">IFERROR(__xludf.DUMMYFUNCTION("""COMPUTED_VALUE"""),"24-year-old man was under police surveillance when he pulled into the school parking lot, fired multiple shots, and fled the area. He was arrested away from the scene and charged with multiple crimes.")</f>
        <v>24-year-old man was under police surveillance when he pulled into the school parking lot, fired multiple shots, and fled the area. He was arrested away from the scene and charged with multiple crimes.</v>
      </c>
      <c r="AA725" s="5" t="str">
        <f ca="1">IFERROR(__xludf.DUMMYFUNCTION("""COMPUTED_VALUE"""),"Illegal Activity")</f>
        <v>Illegal Activity</v>
      </c>
      <c r="AB725" s="5" t="str">
        <f ca="1">IFERROR(__xludf.DUMMYFUNCTION("""COMPUTED_VALUE"""),"Victims Targeted")</f>
        <v>Victims Targeted</v>
      </c>
      <c r="AC725" s="5" t="str">
        <f ca="1">IFERROR(__xludf.DUMMYFUNCTION("""COMPUTED_VALUE"""),"No")</f>
        <v>No</v>
      </c>
      <c r="AD725" s="5" t="str">
        <f ca="1">IFERROR(__xludf.DUMMYFUNCTION("""COMPUTED_VALUE"""),"No")</f>
        <v>No</v>
      </c>
      <c r="AE725" s="5" t="str">
        <f ca="1">IFERROR(__xludf.DUMMYFUNCTION("""COMPUTED_VALUE"""),"No")</f>
        <v>No</v>
      </c>
      <c r="AF725" s="5" t="str">
        <f ca="1">IFERROR(__xludf.DUMMYFUNCTION("""COMPUTED_VALUE"""),"No")</f>
        <v>No</v>
      </c>
      <c r="AG725" s="5" t="str">
        <f ca="1">IFERROR(__xludf.DUMMYFUNCTION("""COMPUTED_VALUE"""),"No")</f>
        <v>No</v>
      </c>
      <c r="AH725" s="5" t="str">
        <f ca="1">IFERROR(__xludf.DUMMYFUNCTION("""COMPUTED_VALUE"""),"No")</f>
        <v>No</v>
      </c>
      <c r="AI725" s="5" t="str">
        <f ca="1">IFERROR(__xludf.DUMMYFUNCTION("""COMPUTED_VALUE"""),"No")</f>
        <v>No</v>
      </c>
      <c r="AJ725" s="5" t="str">
        <f ca="1">IFERROR(__xludf.DUMMYFUNCTION("""COMPUTED_VALUE"""),"No")</f>
        <v>No</v>
      </c>
    </row>
    <row r="726" spans="1:36" ht="13">
      <c r="A726" s="5" t="str">
        <f ca="1">IFERROR(__xludf.DUMMYFUNCTION("""COMPUTED_VALUE"""),"20200413NEMOO")</f>
        <v>20200413NEMOO</v>
      </c>
      <c r="B726" s="5">
        <f ca="1">IFERROR(__xludf.DUMMYFUNCTION("""COMPUTED_VALUE"""),4)</f>
        <v>4</v>
      </c>
      <c r="C726" s="5">
        <f ca="1">IFERROR(__xludf.DUMMYFUNCTION("""COMPUTED_VALUE"""),13)</f>
        <v>13</v>
      </c>
      <c r="D726" s="5">
        <f ca="1">IFERROR(__xludf.DUMMYFUNCTION("""COMPUTED_VALUE"""),2020)</f>
        <v>2020</v>
      </c>
      <c r="E726" s="8">
        <f ca="1">IFERROR(__xludf.DUMMYFUNCTION("""COMPUTED_VALUE"""),43934)</f>
        <v>43934</v>
      </c>
      <c r="F726" s="5" t="str">
        <f ca="1">IFERROR(__xludf.DUMMYFUNCTION("""COMPUTED_VALUE"""),"Morton Middle School")</f>
        <v>Morton Middle School</v>
      </c>
      <c r="G726" s="5">
        <f ca="1">IFERROR(__xludf.DUMMYFUNCTION("""COMPUTED_VALUE"""),0)</f>
        <v>0</v>
      </c>
      <c r="H726" s="5">
        <f ca="1">IFERROR(__xludf.DUMMYFUNCTION("""COMPUTED_VALUE"""),1)</f>
        <v>1</v>
      </c>
      <c r="I726" s="5">
        <f ca="1">IFERROR(__xludf.DUMMYFUNCTION("""COMPUTED_VALUE"""),1)</f>
        <v>1</v>
      </c>
      <c r="J726" s="5">
        <f ca="1">IFERROR(__xludf.DUMMYFUNCTION("""COMPUTED_VALUE"""),0)</f>
        <v>0</v>
      </c>
      <c r="K726" s="5" t="str">
        <f ca="1">IFERROR(__xludf.DUMMYFUNCTION("""COMPUTED_VALUE"""),"https://www.ketv.com/article/opd-investigating-after-18-year-old-reportedly-shot-in-middle-school-parking-lot/32132676 https://www.omaha.com/news/crime/18-year-old-shot-in-parking-lot-of-morton-middle-school/article_8b193c0c-18ef-5b54-bd7d-f1845ae11403.ht"&amp;"ml")</f>
        <v>https://www.ketv.com/article/opd-investigating-after-18-year-old-reportedly-shot-in-middle-school-parking-lot/32132676 https://www.omaha.com/news/crime/18-year-old-shot-in-parking-lot-of-morton-middle-school/article_8b193c0c-18ef-5b54-bd7d-f1845ae11403.html</v>
      </c>
      <c r="L726" s="5"/>
      <c r="M726" s="5"/>
      <c r="N726" s="5">
        <f ca="1">IFERROR(__xludf.DUMMYFUNCTION("""COMPUTED_VALUE"""),3)</f>
        <v>3</v>
      </c>
      <c r="O726" s="5" t="str">
        <f ca="1">IFERROR(__xludf.DUMMYFUNCTION("""COMPUTED_VALUE"""),"Spring")</f>
        <v>Spring</v>
      </c>
      <c r="P726" s="5" t="str">
        <f ca="1">IFERROR(__xludf.DUMMYFUNCTION("""COMPUTED_VALUE"""),"Omaha")</f>
        <v>Omaha</v>
      </c>
      <c r="Q726" s="5" t="str">
        <f ca="1">IFERROR(__xludf.DUMMYFUNCTION("""COMPUTED_VALUE"""),"NE")</f>
        <v>NE</v>
      </c>
      <c r="R726" s="5" t="str">
        <f ca="1">IFERROR(__xludf.DUMMYFUNCTION("""COMPUTED_VALUE"""),"Middle")</f>
        <v>Middle</v>
      </c>
      <c r="S726" s="5" t="str">
        <f ca="1">IFERROR(__xludf.DUMMYFUNCTION("""COMPUTED_VALUE"""),"Parking Lot")</f>
        <v>Parking Lot</v>
      </c>
      <c r="T726" s="5" t="str">
        <f ca="1">IFERROR(__xludf.DUMMYFUNCTION("""COMPUTED_VALUE"""),"Outside on School Property")</f>
        <v>Outside on School Property</v>
      </c>
      <c r="U726" s="5" t="str">
        <f ca="1">IFERROR(__xludf.DUMMYFUNCTION("""COMPUTED_VALUE"""),"No")</f>
        <v>No</v>
      </c>
      <c r="V726" s="5" t="str">
        <f ca="1">IFERROR(__xludf.DUMMYFUNCTION("""COMPUTED_VALUE"""),"Not a School Day")</f>
        <v>Not a School Day</v>
      </c>
      <c r="W726" s="10">
        <f ca="1">IFERROR(__xludf.DUMMYFUNCTION("""COMPUTED_VALUE"""),0.427083333333333)</f>
        <v>0.42708333333333298</v>
      </c>
      <c r="X726" s="5">
        <f ca="1">IFERROR(__xludf.DUMMYFUNCTION("""COMPUTED_VALUE"""),1)</f>
        <v>1</v>
      </c>
      <c r="Y726" s="5" t="str">
        <f ca="1">IFERROR(__xludf.DUMMYFUNCTION("""COMPUTED_VALUE"""),"18YOM shot during fight in school parking lot")</f>
        <v>18YOM shot during fight in school parking lot</v>
      </c>
      <c r="Z726" s="5" t="str">
        <f ca="1">IFERROR(__xludf.DUMMYFUNCTION("""COMPUTED_VALUE"""),"An 18 year-old male was shot during argument that escalated into shooting in the school parking lot. Driven to the hospital and notified police of the shooting from the hospital. School was closed due to COVID-19.")</f>
        <v>An 18 year-old male was shot during argument that escalated into shooting in the school parking lot. Driven to the hospital and notified police of the shooting from the hospital. School was closed due to COVID-19.</v>
      </c>
      <c r="AA726" s="5" t="str">
        <f ca="1">IFERROR(__xludf.DUMMYFUNCTION("""COMPUTED_VALUE"""),"Escalation of Dispute")</f>
        <v>Escalation of Dispute</v>
      </c>
      <c r="AB726" s="5"/>
      <c r="AC726" s="5"/>
      <c r="AD726" s="5" t="str">
        <f ca="1">IFERROR(__xludf.DUMMYFUNCTION("""COMPUTED_VALUE"""),"No")</f>
        <v>No</v>
      </c>
      <c r="AE726" s="5" t="str">
        <f ca="1">IFERROR(__xludf.DUMMYFUNCTION("""COMPUTED_VALUE"""),"No")</f>
        <v>No</v>
      </c>
      <c r="AF726" s="5" t="str">
        <f ca="1">IFERROR(__xludf.DUMMYFUNCTION("""COMPUTED_VALUE"""),"No")</f>
        <v>No</v>
      </c>
      <c r="AG726" s="5" t="str">
        <f ca="1">IFERROR(__xludf.DUMMYFUNCTION("""COMPUTED_VALUE"""),"No")</f>
        <v>No</v>
      </c>
      <c r="AH726" s="5" t="str">
        <f ca="1">IFERROR(__xludf.DUMMYFUNCTION("""COMPUTED_VALUE"""),"No")</f>
        <v>No</v>
      </c>
      <c r="AI726" s="5" t="str">
        <f ca="1">IFERROR(__xludf.DUMMYFUNCTION("""COMPUTED_VALUE"""),"No")</f>
        <v>No</v>
      </c>
      <c r="AJ726" s="5" t="str">
        <f ca="1">IFERROR(__xludf.DUMMYFUNCTION("""COMPUTED_VALUE"""),"No")</f>
        <v>No</v>
      </c>
    </row>
    <row r="727" spans="1:36" ht="13">
      <c r="A727" s="5" t="str">
        <f ca="1">IFERROR(__xludf.DUMMYFUNCTION("""COMPUTED_VALUE"""),"20200330GANAS")</f>
        <v>20200330GANAS</v>
      </c>
      <c r="B727" s="5">
        <f ca="1">IFERROR(__xludf.DUMMYFUNCTION("""COMPUTED_VALUE"""),3)</f>
        <v>3</v>
      </c>
      <c r="C727" s="5">
        <f ca="1">IFERROR(__xludf.DUMMYFUNCTION("""COMPUTED_VALUE"""),30)</f>
        <v>30</v>
      </c>
      <c r="D727" s="5">
        <f ca="1">IFERROR(__xludf.DUMMYFUNCTION("""COMPUTED_VALUE"""),2020)</f>
        <v>2020</v>
      </c>
      <c r="E727" s="8">
        <f ca="1">IFERROR(__xludf.DUMMYFUNCTION("""COMPUTED_VALUE"""),43920)</f>
        <v>43920</v>
      </c>
      <c r="F727" s="5" t="str">
        <f ca="1">IFERROR(__xludf.DUMMYFUNCTION("""COMPUTED_VALUE"""),"Narvie J. Harris Elementary School")</f>
        <v>Narvie J. Harris Elementary School</v>
      </c>
      <c r="G727" s="5">
        <f ca="1">IFERROR(__xludf.DUMMYFUNCTION("""COMPUTED_VALUE"""),0)</f>
        <v>0</v>
      </c>
      <c r="H727" s="5">
        <f ca="1">IFERROR(__xludf.DUMMYFUNCTION("""COMPUTED_VALUE"""),3)</f>
        <v>3</v>
      </c>
      <c r="I727" s="5">
        <f ca="1">IFERROR(__xludf.DUMMYFUNCTION("""COMPUTED_VALUE"""),3)</f>
        <v>3</v>
      </c>
      <c r="J727" s="5">
        <f ca="1">IFERROR(__xludf.DUMMYFUNCTION("""COMPUTED_VALUE"""),0)</f>
        <v>0</v>
      </c>
      <c r="K727" s="5" t="str">
        <f ca="1">IFERROR(__xludf.DUMMYFUNCTION("""COMPUTED_VALUE"""),"https://www.11alive.com/article/news/crime/shooting-narvie-j-harris-elementary-school-parking-lot/85-c9d614da-8330-4b61-a094-f8d7968ff691 https://www.fox5atlanta.com/news/police-2-arrested-after-shooting-in-elementary-school-parking-lot https://www.ajc.co"&amp;"m/news/crime--law/breaking-hospital-after-shooting-dekalb-elementary-school-parking-lot/7VJuNo9nNlnwSmGaa8NdPK/")</f>
        <v>https://www.11alive.com/article/news/crime/shooting-narvie-j-harris-elementary-school-parking-lot/85-c9d614da-8330-4b61-a094-f8d7968ff691 https://www.fox5atlanta.com/news/police-2-arrested-after-shooting-in-elementary-school-parking-lot https://www.ajc.com/news/crime--law/breaking-hospital-after-shooting-dekalb-elementary-school-parking-lot/7VJuNo9nNlnwSmGaa8NdPK/</v>
      </c>
      <c r="L727" s="5"/>
      <c r="M727" s="5"/>
      <c r="N727" s="5">
        <f ca="1">IFERROR(__xludf.DUMMYFUNCTION("""COMPUTED_VALUE"""),4)</f>
        <v>4</v>
      </c>
      <c r="O727" s="5" t="str">
        <f ca="1">IFERROR(__xludf.DUMMYFUNCTION("""COMPUTED_VALUE"""),"Spring")</f>
        <v>Spring</v>
      </c>
      <c r="P727" s="5" t="str">
        <f ca="1">IFERROR(__xludf.DUMMYFUNCTION("""COMPUTED_VALUE"""),"Stonecrest")</f>
        <v>Stonecrest</v>
      </c>
      <c r="Q727" s="5" t="str">
        <f ca="1">IFERROR(__xludf.DUMMYFUNCTION("""COMPUTED_VALUE"""),"GA")</f>
        <v>GA</v>
      </c>
      <c r="R727" s="5" t="str">
        <f ca="1">IFERROR(__xludf.DUMMYFUNCTION("""COMPUTED_VALUE"""),"Elementary")</f>
        <v>Elementary</v>
      </c>
      <c r="S727" s="5" t="str">
        <f ca="1">IFERROR(__xludf.DUMMYFUNCTION("""COMPUTED_VALUE"""),"Parking Lot")</f>
        <v>Parking Lot</v>
      </c>
      <c r="T727" s="5" t="str">
        <f ca="1">IFERROR(__xludf.DUMMYFUNCTION("""COMPUTED_VALUE"""),"Outside on School Property")</f>
        <v>Outside on School Property</v>
      </c>
      <c r="U727" s="5" t="str">
        <f ca="1">IFERROR(__xludf.DUMMYFUNCTION("""COMPUTED_VALUE"""),"No")</f>
        <v>No</v>
      </c>
      <c r="V727" s="5" t="str">
        <f ca="1">IFERROR(__xludf.DUMMYFUNCTION("""COMPUTED_VALUE"""),"Night")</f>
        <v>Night</v>
      </c>
      <c r="W727" s="10">
        <f ca="1">IFERROR(__xludf.DUMMYFUNCTION("""COMPUTED_VALUE"""),0.902777777777777)</f>
        <v>0.90277777777777701</v>
      </c>
      <c r="X727" s="5">
        <f ca="1">IFERROR(__xludf.DUMMYFUNCTION("""COMPUTED_VALUE"""),1)</f>
        <v>1</v>
      </c>
      <c r="Y727" s="5" t="str">
        <f ca="1">IFERROR(__xludf.DUMMYFUNCTION("""COMPUTED_VALUE"""),"Three people shot during fight in the school parking lot")</f>
        <v>Three people shot during fight in the school parking lot</v>
      </c>
      <c r="Z727" s="5" t="str">
        <f ca="1">IFERROR(__xludf.DUMMYFUNCTION("""COMPUTED_VALUE"""),"Three people were shot and 2 suspects (names not released) were arrested following a fight in the parking lot of the school. School was closed for COVID-19.")</f>
        <v>Three people were shot and 2 suspects (names not released) were arrested following a fight in the parking lot of the school. School was closed for COVID-19.</v>
      </c>
      <c r="AA727" s="5" t="str">
        <f ca="1">IFERROR(__xludf.DUMMYFUNCTION("""COMPUTED_VALUE"""),"Escalation of Dispute")</f>
        <v>Escalation of Dispute</v>
      </c>
      <c r="AB727" s="5" t="str">
        <f ca="1">IFERROR(__xludf.DUMMYFUNCTION("""COMPUTED_VALUE"""),"Victims Targeted")</f>
        <v>Victims Targeted</v>
      </c>
      <c r="AC727" s="5" t="str">
        <f ca="1">IFERROR(__xludf.DUMMYFUNCTION("""COMPUTED_VALUE"""),"Yes")</f>
        <v>Yes</v>
      </c>
      <c r="AD727" s="5" t="str">
        <f ca="1">IFERROR(__xludf.DUMMYFUNCTION("""COMPUTED_VALUE"""),"No")</f>
        <v>No</v>
      </c>
      <c r="AE727" s="5" t="str">
        <f ca="1">IFERROR(__xludf.DUMMYFUNCTION("""COMPUTED_VALUE"""),"No")</f>
        <v>No</v>
      </c>
      <c r="AF727" s="5" t="str">
        <f ca="1">IFERROR(__xludf.DUMMYFUNCTION("""COMPUTED_VALUE"""),"No")</f>
        <v>No</v>
      </c>
      <c r="AG727" s="5" t="str">
        <f ca="1">IFERROR(__xludf.DUMMYFUNCTION("""COMPUTED_VALUE"""),"No")</f>
        <v>No</v>
      </c>
      <c r="AH727" s="5" t="str">
        <f ca="1">IFERROR(__xludf.DUMMYFUNCTION("""COMPUTED_VALUE"""),"No")</f>
        <v>No</v>
      </c>
      <c r="AI727" s="5" t="str">
        <f ca="1">IFERROR(__xludf.DUMMYFUNCTION("""COMPUTED_VALUE"""),"No")</f>
        <v>No</v>
      </c>
      <c r="AJ727" s="5" t="str">
        <f ca="1">IFERROR(__xludf.DUMMYFUNCTION("""COMPUTED_VALUE"""),"No")</f>
        <v>No</v>
      </c>
    </row>
    <row r="728" spans="1:36" ht="13">
      <c r="A728" s="5" t="str">
        <f ca="1">IFERROR(__xludf.DUMMYFUNCTION("""COMPUTED_VALUE"""),"20200324LAROM")</f>
        <v>20200324LAROM</v>
      </c>
      <c r="B728" s="5">
        <f ca="1">IFERROR(__xludf.DUMMYFUNCTION("""COMPUTED_VALUE"""),3)</f>
        <v>3</v>
      </c>
      <c r="C728" s="5">
        <f ca="1">IFERROR(__xludf.DUMMYFUNCTION("""COMPUTED_VALUE"""),24)</f>
        <v>24</v>
      </c>
      <c r="D728" s="5">
        <f ca="1">IFERROR(__xludf.DUMMYFUNCTION("""COMPUTED_VALUE"""),2020)</f>
        <v>2020</v>
      </c>
      <c r="E728" s="8">
        <f ca="1">IFERROR(__xludf.DUMMYFUNCTION("""COMPUTED_VALUE"""),43914)</f>
        <v>43914</v>
      </c>
      <c r="F728" s="5" t="str">
        <f ca="1">IFERROR(__xludf.DUMMYFUNCTION("""COMPUTED_VALUE"""),"Roy Shelling Elementary School")</f>
        <v>Roy Shelling Elementary School</v>
      </c>
      <c r="G728" s="5">
        <f ca="1">IFERROR(__xludf.DUMMYFUNCTION("""COMPUTED_VALUE"""),0)</f>
        <v>0</v>
      </c>
      <c r="H728" s="5">
        <f ca="1">IFERROR(__xludf.DUMMYFUNCTION("""COMPUTED_VALUE"""),1)</f>
        <v>1</v>
      </c>
      <c r="I728" s="5">
        <f ca="1">IFERROR(__xludf.DUMMYFUNCTION("""COMPUTED_VALUE"""),1)</f>
        <v>1</v>
      </c>
      <c r="J728" s="5">
        <f ca="1">IFERROR(__xludf.DUMMYFUNCTION("""COMPUTED_VALUE"""),0)</f>
        <v>0</v>
      </c>
      <c r="K728" s="5" t="str">
        <f ca="1">IFERROR(__xludf.DUMMYFUNCTION("""COMPUTED_VALUE"""),"https://www.knoe.com/content/news/Monroe-Police-investigating-parking-lot-shooting-at-Roy-Shelling-Elementary-School-569072391.html https://www.thenewsstar.com/story/news/crime/2020/03/25/mpd-arrests-roy-neal-shelling-elementary-parking-lot-shooting/50836"&amp;"88002/ https://www.myarklamiss.com/crime/monroe-police-investigating-shooting-at-roy-shelling-elementary-parking-lot/ https://www.hannapub.com/ouachitacitizen/news/crime/police-probe-rival-groups-shooting-at-monroe-school/article_d989642a-7449-11ea-a4bf-3"&amp;"33d705e9435.html https://www.thenewsstar.com/story/news/crime/2020/04/08/suspect-school-parking-lot-shooting-faces-attempted-murder-charge/2974196001/")</f>
        <v>https://www.knoe.com/content/news/Monroe-Police-investigating-parking-lot-shooting-at-Roy-Shelling-Elementary-School-569072391.html https://www.thenewsstar.com/story/news/crime/2020/03/25/mpd-arrests-roy-neal-shelling-elementary-parking-lot-shooting/5083688002/ https://www.myarklamiss.com/crime/monroe-police-investigating-shooting-at-roy-shelling-elementary-parking-lot/ https://www.hannapub.com/ouachitacitizen/news/crime/police-probe-rival-groups-shooting-at-monroe-school/article_d989642a-7449-11ea-a4bf-333d705e9435.html https://www.thenewsstar.com/story/news/crime/2020/04/08/suspect-school-parking-lot-shooting-faces-attempted-murder-charge/2974196001/</v>
      </c>
      <c r="L728" s="5"/>
      <c r="M728" s="5"/>
      <c r="N728" s="5">
        <f ca="1">IFERROR(__xludf.DUMMYFUNCTION("""COMPUTED_VALUE"""),4)</f>
        <v>4</v>
      </c>
      <c r="O728" s="5" t="str">
        <f ca="1">IFERROR(__xludf.DUMMYFUNCTION("""COMPUTED_VALUE"""),"Spring")</f>
        <v>Spring</v>
      </c>
      <c r="P728" s="5" t="str">
        <f ca="1">IFERROR(__xludf.DUMMYFUNCTION("""COMPUTED_VALUE"""),"Monroe")</f>
        <v>Monroe</v>
      </c>
      <c r="Q728" s="5" t="str">
        <f ca="1">IFERROR(__xludf.DUMMYFUNCTION("""COMPUTED_VALUE"""),"LA")</f>
        <v>LA</v>
      </c>
      <c r="R728" s="5" t="str">
        <f ca="1">IFERROR(__xludf.DUMMYFUNCTION("""COMPUTED_VALUE"""),"Elementary")</f>
        <v>Elementary</v>
      </c>
      <c r="S728" s="5" t="str">
        <f ca="1">IFERROR(__xludf.DUMMYFUNCTION("""COMPUTED_VALUE"""),"Parking Lot")</f>
        <v>Parking Lot</v>
      </c>
      <c r="T728" s="5" t="str">
        <f ca="1">IFERROR(__xludf.DUMMYFUNCTION("""COMPUTED_VALUE"""),"Outside on School Property")</f>
        <v>Outside on School Property</v>
      </c>
      <c r="U728" s="5" t="str">
        <f ca="1">IFERROR(__xludf.DUMMYFUNCTION("""COMPUTED_VALUE"""),"No")</f>
        <v>No</v>
      </c>
      <c r="V728" s="5" t="str">
        <f ca="1">IFERROR(__xludf.DUMMYFUNCTION("""COMPUTED_VALUE"""),"Not a School Day")</f>
        <v>Not a School Day</v>
      </c>
      <c r="W728" s="10">
        <f ca="1">IFERROR(__xludf.DUMMYFUNCTION("""COMPUTED_VALUE"""),0.675)</f>
        <v>0.67500000000000004</v>
      </c>
      <c r="X728" s="5">
        <f ca="1">IFERROR(__xludf.DUMMYFUNCTION("""COMPUTED_VALUE"""),1)</f>
        <v>1</v>
      </c>
      <c r="Y728" s="5" t="str">
        <f ca="1">IFERROR(__xludf.DUMMYFUNCTION("""COMPUTED_VALUE"""),"Male shot during fight between 20 people in school parking lot")</f>
        <v>Male shot during fight between 20 people in school parking lot</v>
      </c>
      <c r="Z728" s="5" t="str">
        <f ca="1">IFERROR(__xludf.DUMMYFUNCTION("""COMPUTED_VALUE"""),"Multiple shots fired during fight between rival rappers and a group of 20 people in parking lot of the elementary school (closed for COVID-19). One male injured and transported to hospital. One person arrested later in connection and police looking for ot"&amp;"her suspects. “At some point during the fight multiple persons retrieve handguns and began shooting,” said Monroe Police Sgt. Charles “Chuck” Johnson. “It was a clear division among groups with persons from both sides firing upon each other.  There were s"&amp;"everal shots fired from both groups.”")</f>
        <v>Multiple shots fired during fight between rival rappers and a group of 20 people in parking lot of the elementary school (closed for COVID-19). One male injured and transported to hospital. One person arrested later in connection and police looking for other suspects. “At some point during the fight multiple persons retrieve handguns and began shooting,” said Monroe Police Sgt. Charles “Chuck” Johnson. “It was a clear division among groups with persons from both sides firing upon each other.  There were several shots fired from both groups.”</v>
      </c>
      <c r="AA728" s="5" t="str">
        <f ca="1">IFERROR(__xludf.DUMMYFUNCTION("""COMPUTED_VALUE"""),"Escalation of Dispute")</f>
        <v>Escalation of Dispute</v>
      </c>
      <c r="AB728" s="5" t="str">
        <f ca="1">IFERROR(__xludf.DUMMYFUNCTION("""COMPUTED_VALUE"""),"Victims Targeted")</f>
        <v>Victims Targeted</v>
      </c>
      <c r="AC728" s="5" t="str">
        <f ca="1">IFERROR(__xludf.DUMMYFUNCTION("""COMPUTED_VALUE"""),"No")</f>
        <v>No</v>
      </c>
      <c r="AD728" s="5" t="str">
        <f ca="1">IFERROR(__xludf.DUMMYFUNCTION("""COMPUTED_VALUE"""),"No")</f>
        <v>No</v>
      </c>
      <c r="AE728" s="5" t="str">
        <f ca="1">IFERROR(__xludf.DUMMYFUNCTION("""COMPUTED_VALUE"""),"No")</f>
        <v>No</v>
      </c>
      <c r="AF728" s="5" t="str">
        <f ca="1">IFERROR(__xludf.DUMMYFUNCTION("""COMPUTED_VALUE"""),"No")</f>
        <v>No</v>
      </c>
      <c r="AG728" s="5" t="str">
        <f ca="1">IFERROR(__xludf.DUMMYFUNCTION("""COMPUTED_VALUE"""),"No")</f>
        <v>No</v>
      </c>
      <c r="AH728" s="5" t="str">
        <f ca="1">IFERROR(__xludf.DUMMYFUNCTION("""COMPUTED_VALUE"""),"No")</f>
        <v>No</v>
      </c>
      <c r="AI728" s="5" t="str">
        <f ca="1">IFERROR(__xludf.DUMMYFUNCTION("""COMPUTED_VALUE"""),"Yes")</f>
        <v>Yes</v>
      </c>
      <c r="AJ728" s="5" t="str">
        <f ca="1">IFERROR(__xludf.DUMMYFUNCTION("""COMPUTED_VALUE"""),"No")</f>
        <v>No</v>
      </c>
    </row>
    <row r="729" spans="1:36" ht="13">
      <c r="A729" s="5" t="str">
        <f ca="1">IFERROR(__xludf.DUMMYFUNCTION("""COMPUTED_VALUE"""),"20200318LABOS")</f>
        <v>20200318LABOS</v>
      </c>
      <c r="B729" s="5">
        <f ca="1">IFERROR(__xludf.DUMMYFUNCTION("""COMPUTED_VALUE"""),3)</f>
        <v>3</v>
      </c>
      <c r="C729" s="5">
        <f ca="1">IFERROR(__xludf.DUMMYFUNCTION("""COMPUTED_VALUE"""),18)</f>
        <v>18</v>
      </c>
      <c r="D729" s="5">
        <f ca="1">IFERROR(__xludf.DUMMYFUNCTION("""COMPUTED_VALUE"""),2020)</f>
        <v>2020</v>
      </c>
      <c r="E729" s="8">
        <f ca="1">IFERROR(__xludf.DUMMYFUNCTION("""COMPUTED_VALUE"""),43908)</f>
        <v>43908</v>
      </c>
      <c r="F729" s="5" t="str">
        <f ca="1">IFERROR(__xludf.DUMMYFUNCTION("""COMPUTED_VALUE"""),"Booker T. Washington High School")</f>
        <v>Booker T. Washington High School</v>
      </c>
      <c r="G729" s="5">
        <f ca="1">IFERROR(__xludf.DUMMYFUNCTION("""COMPUTED_VALUE"""),0)</f>
        <v>0</v>
      </c>
      <c r="H729" s="5">
        <f ca="1">IFERROR(__xludf.DUMMYFUNCTION("""COMPUTED_VALUE"""),1)</f>
        <v>1</v>
      </c>
      <c r="I729" s="5">
        <f ca="1">IFERROR(__xludf.DUMMYFUNCTION("""COMPUTED_VALUE"""),1)</f>
        <v>1</v>
      </c>
      <c r="J729" s="5">
        <f ca="1">IFERROR(__xludf.DUMMYFUNCTION("""COMPUTED_VALUE"""),0)</f>
        <v>0</v>
      </c>
      <c r="K729" s="5" t="str">
        <f ca="1">IFERROR(__xludf.DUMMYFUNCTION("""COMPUTED_VALUE"""),"https://www.ksla.com/2020/03/19/fight-leads-shooting-police-search-gunman/ https://www.ktbs.com/news/crime/teen-shot-at-shreveport-s-btw-high-school/article_92485794-69c5-11ea-b9d0-f78542daac93.html")</f>
        <v>https://www.ksla.com/2020/03/19/fight-leads-shooting-police-search-gunman/ https://www.ktbs.com/news/crime/teen-shot-at-shreveport-s-btw-high-school/article_92485794-69c5-11ea-b9d0-f78542daac93.html</v>
      </c>
      <c r="L729" s="5"/>
      <c r="M729" s="5"/>
      <c r="N729" s="5">
        <f ca="1">IFERROR(__xludf.DUMMYFUNCTION("""COMPUTED_VALUE"""),4)</f>
        <v>4</v>
      </c>
      <c r="O729" s="5" t="str">
        <f ca="1">IFERROR(__xludf.DUMMYFUNCTION("""COMPUTED_VALUE"""),"Spring")</f>
        <v>Spring</v>
      </c>
      <c r="P729" s="5" t="str">
        <f ca="1">IFERROR(__xludf.DUMMYFUNCTION("""COMPUTED_VALUE"""),"Shreveport")</f>
        <v>Shreveport</v>
      </c>
      <c r="Q729" s="5" t="str">
        <f ca="1">IFERROR(__xludf.DUMMYFUNCTION("""COMPUTED_VALUE"""),"LA")</f>
        <v>LA</v>
      </c>
      <c r="R729" s="5" t="str">
        <f ca="1">IFERROR(__xludf.DUMMYFUNCTION("""COMPUTED_VALUE"""),"High")</f>
        <v>High</v>
      </c>
      <c r="S729" s="5" t="str">
        <f ca="1">IFERROR(__xludf.DUMMYFUNCTION("""COMPUTED_VALUE"""),"Parking Lot")</f>
        <v>Parking Lot</v>
      </c>
      <c r="T729" s="5" t="str">
        <f ca="1">IFERROR(__xludf.DUMMYFUNCTION("""COMPUTED_VALUE"""),"Outside on School Property")</f>
        <v>Outside on School Property</v>
      </c>
      <c r="U729" s="5" t="str">
        <f ca="1">IFERROR(__xludf.DUMMYFUNCTION("""COMPUTED_VALUE"""),"No")</f>
        <v>No</v>
      </c>
      <c r="V729" s="5" t="str">
        <f ca="1">IFERROR(__xludf.DUMMYFUNCTION("""COMPUTED_VALUE"""),"Night")</f>
        <v>Night</v>
      </c>
      <c r="W729" s="10">
        <f ca="1">IFERROR(__xludf.DUMMYFUNCTION("""COMPUTED_VALUE"""),0.958333333333333)</f>
        <v>0.95833333333333304</v>
      </c>
      <c r="X729" s="5">
        <f ca="1">IFERROR(__xludf.DUMMYFUNCTION("""COMPUTED_VALUE"""),1)</f>
        <v>1</v>
      </c>
      <c r="Y729" s="5" t="str">
        <f ca="1">IFERROR(__xludf.DUMMYFUNCTION("""COMPUTED_VALUE"""),"Teen shot outside of school during fight")</f>
        <v>Teen shot outside of school during fight</v>
      </c>
      <c r="Z729" s="5" t="str">
        <f ca="1">IFERROR(__xludf.DUMMYFUNCTION("""COMPUTED_VALUE"""),"15YOM shot in the leg during a fight with another teen in the parking lot outside of the school. Shooter fled the scene and was not arrested.")</f>
        <v>15YOM shot in the leg during a fight with another teen in the parking lot outside of the school. Shooter fled the scene and was not arrested.</v>
      </c>
      <c r="AA729" s="5" t="str">
        <f ca="1">IFERROR(__xludf.DUMMYFUNCTION("""COMPUTED_VALUE"""),"Escalation of Dispute")</f>
        <v>Escalation of Dispute</v>
      </c>
      <c r="AB729" s="5" t="str">
        <f ca="1">IFERROR(__xludf.DUMMYFUNCTION("""COMPUTED_VALUE"""),"Victims Targeted")</f>
        <v>Victims Targeted</v>
      </c>
      <c r="AC729" s="5" t="str">
        <f ca="1">IFERROR(__xludf.DUMMYFUNCTION("""COMPUTED_VALUE"""),"No")</f>
        <v>No</v>
      </c>
      <c r="AD729" s="5" t="str">
        <f ca="1">IFERROR(__xludf.DUMMYFUNCTION("""COMPUTED_VALUE"""),"No")</f>
        <v>No</v>
      </c>
      <c r="AE729" s="5" t="str">
        <f ca="1">IFERROR(__xludf.DUMMYFUNCTION("""COMPUTED_VALUE"""),"No")</f>
        <v>No</v>
      </c>
      <c r="AF729" s="5" t="str">
        <f ca="1">IFERROR(__xludf.DUMMYFUNCTION("""COMPUTED_VALUE"""),"No")</f>
        <v>No</v>
      </c>
      <c r="AG729" s="5" t="str">
        <f ca="1">IFERROR(__xludf.DUMMYFUNCTION("""COMPUTED_VALUE"""),"No")</f>
        <v>No</v>
      </c>
      <c r="AH729" s="5" t="str">
        <f ca="1">IFERROR(__xludf.DUMMYFUNCTION("""COMPUTED_VALUE"""),"No")</f>
        <v>No</v>
      </c>
      <c r="AI729" s="5" t="str">
        <f ca="1">IFERROR(__xludf.DUMMYFUNCTION("""COMPUTED_VALUE"""),"No")</f>
        <v>No</v>
      </c>
      <c r="AJ729" s="5" t="str">
        <f ca="1">IFERROR(__xludf.DUMMYFUNCTION("""COMPUTED_VALUE"""),"No")</f>
        <v>No</v>
      </c>
    </row>
    <row r="730" spans="1:36" ht="13">
      <c r="A730" s="5" t="str">
        <f ca="1">IFERROR(__xludf.DUMMYFUNCTION("""COMPUTED_VALUE"""),"20200315TXATH")</f>
        <v>20200315TXATH</v>
      </c>
      <c r="B730" s="5">
        <f ca="1">IFERROR(__xludf.DUMMYFUNCTION("""COMPUTED_VALUE"""),3)</f>
        <v>3</v>
      </c>
      <c r="C730" s="5">
        <f ca="1">IFERROR(__xludf.DUMMYFUNCTION("""COMPUTED_VALUE"""),15)</f>
        <v>15</v>
      </c>
      <c r="D730" s="5">
        <f ca="1">IFERROR(__xludf.DUMMYFUNCTION("""COMPUTED_VALUE"""),2020)</f>
        <v>2020</v>
      </c>
      <c r="E730" s="8">
        <f ca="1">IFERROR(__xludf.DUMMYFUNCTION("""COMPUTED_VALUE"""),43905)</f>
        <v>43905</v>
      </c>
      <c r="F730" s="5" t="str">
        <f ca="1">IFERROR(__xludf.DUMMYFUNCTION("""COMPUTED_VALUE"""),"Atascocita High School")</f>
        <v>Atascocita High School</v>
      </c>
      <c r="G730" s="5">
        <f ca="1">IFERROR(__xludf.DUMMYFUNCTION("""COMPUTED_VALUE"""),1)</f>
        <v>1</v>
      </c>
      <c r="H730" s="5">
        <f ca="1">IFERROR(__xludf.DUMMYFUNCTION("""COMPUTED_VALUE"""),0)</f>
        <v>0</v>
      </c>
      <c r="I730" s="5">
        <f ca="1">IFERROR(__xludf.DUMMYFUNCTION("""COMPUTED_VALUE"""),1)</f>
        <v>1</v>
      </c>
      <c r="J730" s="5">
        <f ca="1">IFERROR(__xludf.DUMMYFUNCTION("""COMPUTED_VALUE"""),0)</f>
        <v>0</v>
      </c>
      <c r="K730" s="5" t="str">
        <f ca="1">IFERROR(__xludf.DUMMYFUNCTION("""COMPUTED_VALUE"""),"https://abc13.com/teen-shot-during-argument-at-atascocita-high-school/6015648/ https://www.khou.com/article/news/crime/one-person-shot-during-argument-at-atascocita-hs-football-field/285-3abb11dd-c75a-41f8-adcc-4c674e805c34")</f>
        <v>https://abc13.com/teen-shot-during-argument-at-atascocita-high-school/6015648/ https://www.khou.com/article/news/crime/one-person-shot-during-argument-at-atascocita-hs-football-field/285-3abb11dd-c75a-41f8-adcc-4c674e805c34</v>
      </c>
      <c r="L730" s="5"/>
      <c r="M730" s="5"/>
      <c r="N730" s="5">
        <f ca="1">IFERROR(__xludf.DUMMYFUNCTION("""COMPUTED_VALUE"""),4)</f>
        <v>4</v>
      </c>
      <c r="O730" s="5" t="str">
        <f ca="1">IFERROR(__xludf.DUMMYFUNCTION("""COMPUTED_VALUE"""),"Spring")</f>
        <v>Spring</v>
      </c>
      <c r="P730" s="5" t="str">
        <f ca="1">IFERROR(__xludf.DUMMYFUNCTION("""COMPUTED_VALUE"""),"Humble")</f>
        <v>Humble</v>
      </c>
      <c r="Q730" s="5" t="str">
        <f ca="1">IFERROR(__xludf.DUMMYFUNCTION("""COMPUTED_VALUE"""),"TX")</f>
        <v>TX</v>
      </c>
      <c r="R730" s="5" t="str">
        <f ca="1">IFERROR(__xludf.DUMMYFUNCTION("""COMPUTED_VALUE"""),"High")</f>
        <v>High</v>
      </c>
      <c r="S730" s="5" t="str">
        <f ca="1">IFERROR(__xludf.DUMMYFUNCTION("""COMPUTED_VALUE"""),"Football Field/Track")</f>
        <v>Football Field/Track</v>
      </c>
      <c r="T730" s="5" t="str">
        <f ca="1">IFERROR(__xludf.DUMMYFUNCTION("""COMPUTED_VALUE"""),"Outside on School Property")</f>
        <v>Outside on School Property</v>
      </c>
      <c r="U730" s="5" t="str">
        <f ca="1">IFERROR(__xludf.DUMMYFUNCTION("""COMPUTED_VALUE"""),"No")</f>
        <v>No</v>
      </c>
      <c r="V730" s="5" t="str">
        <f ca="1">IFERROR(__xludf.DUMMYFUNCTION("""COMPUTED_VALUE"""),"Not a School Day")</f>
        <v>Not a School Day</v>
      </c>
      <c r="W730" s="10">
        <f ca="1">IFERROR(__xludf.DUMMYFUNCTION("""COMPUTED_VALUE"""),0.447916666666666)</f>
        <v>0.44791666666666602</v>
      </c>
      <c r="X730" s="5">
        <f ca="1">IFERROR(__xludf.DUMMYFUNCTION("""COMPUTED_VALUE"""),1)</f>
        <v>1</v>
      </c>
      <c r="Y730" s="5" t="str">
        <f ca="1">IFERROR(__xludf.DUMMYFUNCTION("""COMPUTED_VALUE"""),"19YOM former student shot during fight on school football field")</f>
        <v>19YOM former student shot during fight on school football field</v>
      </c>
      <c r="Z730" s="5" t="str">
        <f ca="1">IFERROR(__xludf.DUMMYFUNCTION("""COMPUTED_VALUE"""),"20YOM (former student) shot another 19YOM (former student) during a fight on the high school football field. Victim was targeted and had prior disputes with shooter. Shooter chased down victim and shot him multiple times. 20-30 men had jumped the fence an"&amp;"d were on the football field during the shooting. Shooter fled the scene and murder warrant was issued.")</f>
        <v>20YOM (former student) shot another 19YOM (former student) during a fight on the high school football field. Victim was targeted and had prior disputes with shooter. Shooter chased down victim and shot him multiple times. 20-30 men had jumped the fence and were on the football field during the shooting. Shooter fled the scene and murder warrant was issued.</v>
      </c>
      <c r="AA730" s="5" t="str">
        <f ca="1">IFERROR(__xludf.DUMMYFUNCTION("""COMPUTED_VALUE"""),"Escalation of Dispute")</f>
        <v>Escalation of Dispute</v>
      </c>
      <c r="AB730" s="5" t="str">
        <f ca="1">IFERROR(__xludf.DUMMYFUNCTION("""COMPUTED_VALUE"""),"Victims Targeted")</f>
        <v>Victims Targeted</v>
      </c>
      <c r="AC730" s="5"/>
      <c r="AD730" s="5" t="str">
        <f ca="1">IFERROR(__xludf.DUMMYFUNCTION("""COMPUTED_VALUE"""),"No")</f>
        <v>No</v>
      </c>
      <c r="AE730" s="5" t="str">
        <f ca="1">IFERROR(__xludf.DUMMYFUNCTION("""COMPUTED_VALUE"""),"No")</f>
        <v>No</v>
      </c>
      <c r="AF730" s="5" t="str">
        <f ca="1">IFERROR(__xludf.DUMMYFUNCTION("""COMPUTED_VALUE"""),"No")</f>
        <v>No</v>
      </c>
      <c r="AG730" s="5" t="str">
        <f ca="1">IFERROR(__xludf.DUMMYFUNCTION("""COMPUTED_VALUE"""),"No")</f>
        <v>No</v>
      </c>
      <c r="AH730" s="5" t="str">
        <f ca="1">IFERROR(__xludf.DUMMYFUNCTION("""COMPUTED_VALUE"""),"No")</f>
        <v>No</v>
      </c>
      <c r="AI730" s="5" t="str">
        <f ca="1">IFERROR(__xludf.DUMMYFUNCTION("""COMPUTED_VALUE"""),"No")</f>
        <v>No</v>
      </c>
      <c r="AJ730" s="5" t="str">
        <f ca="1">IFERROR(__xludf.DUMMYFUNCTION("""COMPUTED_VALUE"""),"No")</f>
        <v>No</v>
      </c>
    </row>
    <row r="731" spans="1:36" ht="13">
      <c r="A731" s="5" t="str">
        <f ca="1">IFERROR(__xludf.DUMMYFUNCTION("""COMPUTED_VALUE"""),"20200313TNPIR")</f>
        <v>20200313TNPIR</v>
      </c>
      <c r="B731" s="5">
        <f ca="1">IFERROR(__xludf.DUMMYFUNCTION("""COMPUTED_VALUE"""),3)</f>
        <v>3</v>
      </c>
      <c r="C731" s="5">
        <f ca="1">IFERROR(__xludf.DUMMYFUNCTION("""COMPUTED_VALUE"""),13)</f>
        <v>13</v>
      </c>
      <c r="D731" s="5">
        <f ca="1">IFERROR(__xludf.DUMMYFUNCTION("""COMPUTED_VALUE"""),2020)</f>
        <v>2020</v>
      </c>
      <c r="E731" s="8">
        <f ca="1">IFERROR(__xludf.DUMMYFUNCTION("""COMPUTED_VALUE"""),43903)</f>
        <v>43903</v>
      </c>
      <c r="F731" s="5" t="str">
        <f ca="1">IFERROR(__xludf.DUMMYFUNCTION("""COMPUTED_VALUE"""),"Pine View Elementary")</f>
        <v>Pine View Elementary</v>
      </c>
      <c r="G731" s="5">
        <f ca="1">IFERROR(__xludf.DUMMYFUNCTION("""COMPUTED_VALUE"""),0)</f>
        <v>0</v>
      </c>
      <c r="H731" s="5">
        <f ca="1">IFERROR(__xludf.DUMMYFUNCTION("""COMPUTED_VALUE"""),0)</f>
        <v>0</v>
      </c>
      <c r="I731" s="5">
        <f ca="1">IFERROR(__xludf.DUMMYFUNCTION("""COMPUTED_VALUE"""),0)</f>
        <v>0</v>
      </c>
      <c r="J731" s="5">
        <f ca="1">IFERROR(__xludf.DUMMYFUNCTION("""COMPUTED_VALUE"""),0)</f>
        <v>0</v>
      </c>
      <c r="K731" s="9" t="str">
        <f ca="1">IFERROR(__xludf.DUMMYFUNCTION("""COMPUTED_VALUE"""),"https://www.wsmv.com/news/sro-accidentally-fires-gun-inside-elementary-school/article_37ac76fe-654b-11ea-88b9-3fd9db99f2ae.html")</f>
        <v>https://www.wsmv.com/news/sro-accidentally-fires-gun-inside-elementary-school/article_37ac76fe-654b-11ea-88b9-3fd9db99f2ae.html</v>
      </c>
      <c r="L731" s="5"/>
      <c r="M731" s="5"/>
      <c r="N731" s="5">
        <f ca="1">IFERROR(__xludf.DUMMYFUNCTION("""COMPUTED_VALUE"""),4)</f>
        <v>4</v>
      </c>
      <c r="O731" s="5" t="str">
        <f ca="1">IFERROR(__xludf.DUMMYFUNCTION("""COMPUTED_VALUE"""),"Spring")</f>
        <v>Spring</v>
      </c>
      <c r="P731" s="5" t="str">
        <f ca="1">IFERROR(__xludf.DUMMYFUNCTION("""COMPUTED_VALUE"""),"Rockwood")</f>
        <v>Rockwood</v>
      </c>
      <c r="Q731" s="5" t="str">
        <f ca="1">IFERROR(__xludf.DUMMYFUNCTION("""COMPUTED_VALUE"""),"TN")</f>
        <v>TN</v>
      </c>
      <c r="R731" s="5" t="str">
        <f ca="1">IFERROR(__xludf.DUMMYFUNCTION("""COMPUTED_VALUE"""),"Elementary")</f>
        <v>Elementary</v>
      </c>
      <c r="S731" s="5" t="str">
        <f ca="1">IFERROR(__xludf.DUMMYFUNCTION("""COMPUTED_VALUE"""),"Office")</f>
        <v>Office</v>
      </c>
      <c r="T731" s="5" t="str">
        <f ca="1">IFERROR(__xludf.DUMMYFUNCTION("""COMPUTED_VALUE"""),"Inside School Building")</f>
        <v>Inside School Building</v>
      </c>
      <c r="U731" s="5" t="str">
        <f ca="1">IFERROR(__xludf.DUMMYFUNCTION("""COMPUTED_VALUE"""),"Yes")</f>
        <v>Yes</v>
      </c>
      <c r="V731" s="5" t="str">
        <f ca="1">IFERROR(__xludf.DUMMYFUNCTION("""COMPUTED_VALUE"""),"Morning Classes")</f>
        <v>Morning Classes</v>
      </c>
      <c r="W731" s="5"/>
      <c r="X731" s="5">
        <f ca="1">IFERROR(__xludf.DUMMYFUNCTION("""COMPUTED_VALUE"""),1)</f>
        <v>1</v>
      </c>
      <c r="Y731" s="5" t="str">
        <f ca="1">IFERROR(__xludf.DUMMYFUNCTION("""COMPUTED_VALUE"""),"SRO discharged firearm inside his office in the school")</f>
        <v>SRO discharged firearm inside his office in the school</v>
      </c>
      <c r="Z731" s="5" t="str">
        <f ca="1">IFERROR(__xludf.DUMMYFUNCTION("""COMPUTED_VALUE"""),"SRO discharged firearm inside his office inside the elementary school. No students were inside the office during the shooting. Officer notified authorities and placed on administrative leave.")</f>
        <v>SRO discharged firearm inside his office inside the elementary school. No students were inside the office during the shooting. Officer notified authorities and placed on administrative leave.</v>
      </c>
      <c r="AA731" s="5" t="str">
        <f ca="1">IFERROR(__xludf.DUMMYFUNCTION("""COMPUTED_VALUE"""),"Accidental")</f>
        <v>Accidental</v>
      </c>
      <c r="AB731" s="5" t="str">
        <f ca="1">IFERROR(__xludf.DUMMYFUNCTION("""COMPUTED_VALUE"""),"Neither")</f>
        <v>Neither</v>
      </c>
      <c r="AC731" s="5" t="str">
        <f ca="1">IFERROR(__xludf.DUMMYFUNCTION("""COMPUTED_VALUE"""),"No")</f>
        <v>No</v>
      </c>
      <c r="AD731" s="5" t="str">
        <f ca="1">IFERROR(__xludf.DUMMYFUNCTION("""COMPUTED_VALUE"""),"No")</f>
        <v>No</v>
      </c>
      <c r="AE731" s="5" t="str">
        <f ca="1">IFERROR(__xludf.DUMMYFUNCTION("""COMPUTED_VALUE"""),"No")</f>
        <v>No</v>
      </c>
      <c r="AF731" s="5" t="str">
        <f ca="1">IFERROR(__xludf.DUMMYFUNCTION("""COMPUTED_VALUE"""),"Yes")</f>
        <v>Yes</v>
      </c>
      <c r="AG731" s="5" t="str">
        <f ca="1">IFERROR(__xludf.DUMMYFUNCTION("""COMPUTED_VALUE"""),"N/A")</f>
        <v>N/A</v>
      </c>
      <c r="AH731" s="5" t="str">
        <f ca="1">IFERROR(__xludf.DUMMYFUNCTION("""COMPUTED_VALUE"""),"N/A")</f>
        <v>N/A</v>
      </c>
      <c r="AI731" s="5" t="str">
        <f ca="1">IFERROR(__xludf.DUMMYFUNCTION("""COMPUTED_VALUE"""),"N/A")</f>
        <v>N/A</v>
      </c>
      <c r="AJ731" s="5" t="str">
        <f ca="1">IFERROR(__xludf.DUMMYFUNCTION("""COMPUTED_VALUE"""),"N/A")</f>
        <v>N/A</v>
      </c>
    </row>
    <row r="732" spans="1:36" ht="13">
      <c r="A732" s="5" t="str">
        <f ca="1">IFERROR(__xludf.DUMMYFUNCTION("""COMPUTED_VALUE"""),"20200310PASHN")</f>
        <v>20200310PASHN</v>
      </c>
      <c r="B732" s="5">
        <f ca="1">IFERROR(__xludf.DUMMYFUNCTION("""COMPUTED_VALUE"""),3)</f>
        <v>3</v>
      </c>
      <c r="C732" s="5">
        <f ca="1">IFERROR(__xludf.DUMMYFUNCTION("""COMPUTED_VALUE"""),10)</f>
        <v>10</v>
      </c>
      <c r="D732" s="5">
        <f ca="1">IFERROR(__xludf.DUMMYFUNCTION("""COMPUTED_VALUE"""),2020)</f>
        <v>2020</v>
      </c>
      <c r="E732" s="8">
        <f ca="1">IFERROR(__xludf.DUMMYFUNCTION("""COMPUTED_VALUE"""),43900)</f>
        <v>43900</v>
      </c>
      <c r="F732" s="5" t="str">
        <f ca="1">IFERROR(__xludf.DUMMYFUNCTION("""COMPUTED_VALUE"""),"Shenango Area Schools (bus)")</f>
        <v>Shenango Area Schools (bus)</v>
      </c>
      <c r="G732" s="5">
        <f ca="1">IFERROR(__xludf.DUMMYFUNCTION("""COMPUTED_VALUE"""),0)</f>
        <v>0</v>
      </c>
      <c r="H732" s="5">
        <f ca="1">IFERROR(__xludf.DUMMYFUNCTION("""COMPUTED_VALUE"""),0)</f>
        <v>0</v>
      </c>
      <c r="I732" s="5">
        <f ca="1">IFERROR(__xludf.DUMMYFUNCTION("""COMPUTED_VALUE"""),0)</f>
        <v>0</v>
      </c>
      <c r="J732" s="5">
        <f ca="1">IFERROR(__xludf.DUMMYFUNCTION("""COMPUTED_VALUE"""),0)</f>
        <v>0</v>
      </c>
      <c r="K732" s="5" t="str">
        <f ca="1">IFERROR(__xludf.DUMMYFUNCTION("""COMPUTED_VALUE"""),"https://www.wfmj.com/story/43620249/new-castle-man-awaits-sentencing-for-shooting-into-shenango-school-van https://www.ncnewsonline.com/news/local_news/man-who-shot-at-school-van-pleads-guilty/article_201eb8dc-8e90-5807-9b51-494b8d934485.html https://www."&amp;"ncnewsonline.com/news/update-shenango-school-van-struck-by-bullet-one-in-custody/article_cdb90098-62d2-11ea-81b6-cf7f408fb362.html https://www.wpxi.com/news/top-stories/man-wearing-camo-suspected-shooting-school-van-woods-shenango-twp/R4K2OBISFFHM3D77SJ3B"&amp;"ANFQOI/")</f>
        <v>https://www.wfmj.com/story/43620249/new-castle-man-awaits-sentencing-for-shooting-into-shenango-school-van https://www.ncnewsonline.com/news/local_news/man-who-shot-at-school-van-pleads-guilty/article_201eb8dc-8e90-5807-9b51-494b8d934485.html https://www.ncnewsonline.com/news/update-shenango-school-van-struck-by-bullet-one-in-custody/article_cdb90098-62d2-11ea-81b6-cf7f408fb362.html https://www.wpxi.com/news/top-stories/man-wearing-camo-suspected-shooting-school-van-woods-shenango-twp/R4K2OBISFFHM3D77SJ3BANFQOI/</v>
      </c>
      <c r="L732" s="5">
        <f ca="1">IFERROR(__xludf.DUMMYFUNCTION("""COMPUTED_VALUE"""),5)</f>
        <v>5</v>
      </c>
      <c r="M732" s="5" t="str">
        <f ca="1">IFERROR(__xludf.DUMMYFUNCTION("""COMPUTED_VALUE"""),"Local")</f>
        <v>Local</v>
      </c>
      <c r="N732" s="5">
        <f ca="1">IFERROR(__xludf.DUMMYFUNCTION("""COMPUTED_VALUE"""),5)</f>
        <v>5</v>
      </c>
      <c r="O732" s="5" t="str">
        <f ca="1">IFERROR(__xludf.DUMMYFUNCTION("""COMPUTED_VALUE"""),"Spring")</f>
        <v>Spring</v>
      </c>
      <c r="P732" s="5" t="str">
        <f ca="1">IFERROR(__xludf.DUMMYFUNCTION("""COMPUTED_VALUE"""),"New Castle")</f>
        <v>New Castle</v>
      </c>
      <c r="Q732" s="5" t="str">
        <f ca="1">IFERROR(__xludf.DUMMYFUNCTION("""COMPUTED_VALUE"""),"PA")</f>
        <v>PA</v>
      </c>
      <c r="R732" s="5" t="str">
        <f ca="1">IFERROR(__xludf.DUMMYFUNCTION("""COMPUTED_VALUE"""),"Elementary")</f>
        <v>Elementary</v>
      </c>
      <c r="S732" s="5" t="str">
        <f ca="1">IFERROR(__xludf.DUMMYFUNCTION("""COMPUTED_VALUE"""),"School Bus")</f>
        <v>School Bus</v>
      </c>
      <c r="T732" s="5" t="str">
        <f ca="1">IFERROR(__xludf.DUMMYFUNCTION("""COMPUTED_VALUE"""),"School Bus")</f>
        <v>School Bus</v>
      </c>
      <c r="U732" s="5" t="str">
        <f ca="1">IFERROR(__xludf.DUMMYFUNCTION("""COMPUTED_VALUE"""),"Yes")</f>
        <v>Yes</v>
      </c>
      <c r="V732" s="5" t="str">
        <f ca="1">IFERROR(__xludf.DUMMYFUNCTION("""COMPUTED_VALUE"""),"School Start")</f>
        <v>School Start</v>
      </c>
      <c r="W732" s="10">
        <f ca="1">IFERROR(__xludf.DUMMYFUNCTION("""COMPUTED_VALUE"""),0.363194444444444)</f>
        <v>0.36319444444444399</v>
      </c>
      <c r="X732" s="5">
        <f ca="1">IFERROR(__xludf.DUMMYFUNCTION("""COMPUTED_VALUE"""),1)</f>
        <v>1</v>
      </c>
      <c r="Y732" s="5" t="str">
        <f ca="1">IFERROR(__xludf.DUMMYFUNCTION("""COMPUTED_VALUE"""),"Adult male fired shot breaking two windows of school van with elementary school students abroad")</f>
        <v>Adult male fired shot breaking two windows of school van with elementary school students abroad</v>
      </c>
      <c r="Z732" s="5" t="str">
        <f ca="1">IFERROR(__xludf.DUMMYFUNCTION("""COMPUTED_VALUE"""),"41YOM fired rifle at school van (7 students inside) traveling along highway. Bullet broke window, traveled across van, and broke a second window on the opposite side. 15 bullets struck different parts of the school bus. None of the students were injured. "&amp;"Shooter was arrested by police hiding in a wooded area with a .22 rifle and .22 pistol. Benetas was dressed in a woodland camouflage ghillie suit, commonly used by military personnel for concealment evasion, overalls, gloves, a camo boonie hat, camo facem"&amp;"ask and two tactical magazine pouches. Police said they found .22-caliber long rifle with a suppressor lying on the ground next to him. The rifle had a targeting scope and “bumpfire” buttstock, a device that allows a semiautomatic firearm to fire more tha"&amp;"n one shot with a single pull of the trigger. Officers also found a .22-caliber Walther PPK semi automatic handgun with eight live rounds in the magazine in a shoulder holster on Benetas.")</f>
        <v>41YOM fired rifle at school van (7 students inside) traveling along highway. Bullet broke window, traveled across van, and broke a second window on the opposite side. 15 bullets struck different parts of the school bus. None of the students were injured. Shooter was arrested by police hiding in a wooded area with a .22 rifle and .22 pistol. Benetas was dressed in a woodland camouflage ghillie suit, commonly used by military personnel for concealment evasion, overalls, gloves, a camo boonie hat, camo facemask and two tactical magazine pouches. Police said they found .22-caliber long rifle with a suppressor lying on the ground next to him. The rifle had a targeting scope and “bumpfire” buttstock, a device that allows a semiautomatic firearm to fire more than one shot with a single pull of the trigger. Officers also found a .22-caliber Walther PPK semi automatic handgun with eight live rounds in the magazine in a shoulder holster on Benetas.</v>
      </c>
      <c r="AA732" s="5" t="str">
        <f ca="1">IFERROR(__xludf.DUMMYFUNCTION("""COMPUTED_VALUE"""),"Indiscriminate Shooting")</f>
        <v>Indiscriminate Shooting</v>
      </c>
      <c r="AB732" s="5"/>
      <c r="AC732" s="5" t="str">
        <f ca="1">IFERROR(__xludf.DUMMYFUNCTION("""COMPUTED_VALUE"""),"No")</f>
        <v>No</v>
      </c>
      <c r="AD732" s="5" t="str">
        <f ca="1">IFERROR(__xludf.DUMMYFUNCTION("""COMPUTED_VALUE"""),"No")</f>
        <v>No</v>
      </c>
      <c r="AE732" s="5" t="str">
        <f ca="1">IFERROR(__xludf.DUMMYFUNCTION("""COMPUTED_VALUE"""),"No")</f>
        <v>No</v>
      </c>
      <c r="AF732" s="5" t="str">
        <f ca="1">IFERROR(__xludf.DUMMYFUNCTION("""COMPUTED_VALUE"""),"No")</f>
        <v>No</v>
      </c>
      <c r="AG732" s="5" t="str">
        <f ca="1">IFERROR(__xludf.DUMMYFUNCTION("""COMPUTED_VALUE"""),"No")</f>
        <v>No</v>
      </c>
      <c r="AH732" s="5" t="str">
        <f ca="1">IFERROR(__xludf.DUMMYFUNCTION("""COMPUTED_VALUE"""),"No")</f>
        <v>No</v>
      </c>
      <c r="AI732" s="5" t="str">
        <f ca="1">IFERROR(__xludf.DUMMYFUNCTION("""COMPUTED_VALUE"""),"No")</f>
        <v>No</v>
      </c>
      <c r="AJ732" s="5" t="str">
        <f ca="1">IFERROR(__xludf.DUMMYFUNCTION("""COMPUTED_VALUE"""),"No")</f>
        <v>No</v>
      </c>
    </row>
    <row r="733" spans="1:36" ht="13">
      <c r="A733" s="5" t="str">
        <f ca="1">IFERROR(__xludf.DUMMYFUNCTION("""COMPUTED_VALUE"""),"20200305FLSAW")</f>
        <v>20200305FLSAW</v>
      </c>
      <c r="B733" s="5">
        <f ca="1">IFERROR(__xludf.DUMMYFUNCTION("""COMPUTED_VALUE"""),3)</f>
        <v>3</v>
      </c>
      <c r="C733" s="5">
        <f ca="1">IFERROR(__xludf.DUMMYFUNCTION("""COMPUTED_VALUE"""),5)</f>
        <v>5</v>
      </c>
      <c r="D733" s="5">
        <f ca="1">IFERROR(__xludf.DUMMYFUNCTION("""COMPUTED_VALUE"""),2020)</f>
        <v>2020</v>
      </c>
      <c r="E733" s="8">
        <f ca="1">IFERROR(__xludf.DUMMYFUNCTION("""COMPUTED_VALUE"""),43895)</f>
        <v>43895</v>
      </c>
      <c r="F733" s="5" t="str">
        <f ca="1">IFERROR(__xludf.DUMMYFUNCTION("""COMPUTED_VALUE"""),"Sagemont School")</f>
        <v>Sagemont School</v>
      </c>
      <c r="G733" s="5">
        <f ca="1">IFERROR(__xludf.DUMMYFUNCTION("""COMPUTED_VALUE"""),0)</f>
        <v>0</v>
      </c>
      <c r="H733" s="5">
        <f ca="1">IFERROR(__xludf.DUMMYFUNCTION("""COMPUTED_VALUE"""),1)</f>
        <v>1</v>
      </c>
      <c r="I733" s="5">
        <f ca="1">IFERROR(__xludf.DUMMYFUNCTION("""COMPUTED_VALUE"""),1)</f>
        <v>1</v>
      </c>
      <c r="J733" s="5">
        <f ca="1">IFERROR(__xludf.DUMMYFUNCTION("""COMPUTED_VALUE"""),0)</f>
        <v>0</v>
      </c>
      <c r="K733" s="5" t="str">
        <f ca="1">IFERROR(__xludf.DUMMYFUNCTION("""COMPUTED_VALUE"""),"https://www.sun-sentinel.com/local/broward/weston/fl-ne-weston-sagemont-school-security-officer-shooting-20200306-vvd4lm6hp5addlohnmxaushnse-story.html https://www.local10.com/news/local/2020/03/06/school-security-guard-accidentally-shoots-coworker-in-fac"&amp;"e-at-weston-school-deputies-say/ https://www.campussafetymagazine.com/news/school-security-officer-gun-discharges-strikes-co-worker/")</f>
        <v>https://www.sun-sentinel.com/local/broward/weston/fl-ne-weston-sagemont-school-security-officer-shooting-20200306-vvd4lm6hp5addlohnmxaushnse-story.html https://www.local10.com/news/local/2020/03/06/school-security-guard-accidentally-shoots-coworker-in-face-at-weston-school-deputies-say/ https://www.campussafetymagazine.com/news/school-security-officer-gun-discharges-strikes-co-worker/</v>
      </c>
      <c r="L733" s="5"/>
      <c r="M733" s="5"/>
      <c r="N733" s="5">
        <f ca="1">IFERROR(__xludf.DUMMYFUNCTION("""COMPUTED_VALUE"""),4)</f>
        <v>4</v>
      </c>
      <c r="O733" s="5" t="str">
        <f ca="1">IFERROR(__xludf.DUMMYFUNCTION("""COMPUTED_VALUE"""),"Spring")</f>
        <v>Spring</v>
      </c>
      <c r="P733" s="5" t="str">
        <f ca="1">IFERROR(__xludf.DUMMYFUNCTION("""COMPUTED_VALUE"""),"Weston")</f>
        <v>Weston</v>
      </c>
      <c r="Q733" s="5" t="str">
        <f ca="1">IFERROR(__xludf.DUMMYFUNCTION("""COMPUTED_VALUE"""),"FL")</f>
        <v>FL</v>
      </c>
      <c r="R733" s="5" t="str">
        <f ca="1">IFERROR(__xludf.DUMMYFUNCTION("""COMPUTED_VALUE"""),"K-12")</f>
        <v>K-12</v>
      </c>
      <c r="S733" s="5" t="str">
        <f ca="1">IFERROR(__xludf.DUMMYFUNCTION("""COMPUTED_VALUE"""),"Parking Lot")</f>
        <v>Parking Lot</v>
      </c>
      <c r="T733" s="5" t="str">
        <f ca="1">IFERROR(__xludf.DUMMYFUNCTION("""COMPUTED_VALUE"""),"Outside on School Property")</f>
        <v>Outside on School Property</v>
      </c>
      <c r="U733" s="5" t="str">
        <f ca="1">IFERROR(__xludf.DUMMYFUNCTION("""COMPUTED_VALUE"""),"Yes")</f>
        <v>Yes</v>
      </c>
      <c r="V733" s="5" t="str">
        <f ca="1">IFERROR(__xludf.DUMMYFUNCTION("""COMPUTED_VALUE"""),"Lunch")</f>
        <v>Lunch</v>
      </c>
      <c r="W733" s="10">
        <f ca="1">IFERROR(__xludf.DUMMYFUNCTION("""COMPUTED_VALUE"""),0.513888888888888)</f>
        <v>0.51388888888888795</v>
      </c>
      <c r="X733" s="5">
        <f ca="1">IFERROR(__xludf.DUMMYFUNCTION("""COMPUTED_VALUE"""),1)</f>
        <v>1</v>
      </c>
      <c r="Y733" s="5" t="str">
        <f ca="1">IFERROR(__xludf.DUMMYFUNCTION("""COMPUTED_VALUE"""),"School security officer was showing off gun and accidentally shot another school employee")</f>
        <v>School security officer was showing off gun and accidentally shot another school employee</v>
      </c>
      <c r="Z733" s="5" t="str">
        <f ca="1">IFERROR(__xludf.DUMMYFUNCTION("""COMPUTED_VALUE"""),"55YOM security officer was showing a handgun to a coworker in the school parking lot when he accidentally fired the weapon striking the other employee in the eye. The security officer drove the school employee to a health clinic and then drove home. Arres"&amp;"ted after the health clinic notified police about the injury. The security guard was not authorized to carry the weapon at the school.")</f>
        <v>55YOM security officer was showing a handgun to a coworker in the school parking lot when he accidentally fired the weapon striking the other employee in the eye. The security officer drove the school employee to a health clinic and then drove home. Arrested after the health clinic notified police about the injury. The security guard was not authorized to carry the weapon at the school.</v>
      </c>
      <c r="AA733" s="5" t="str">
        <f ca="1">IFERROR(__xludf.DUMMYFUNCTION("""COMPUTED_VALUE"""),"Accidental")</f>
        <v>Accidental</v>
      </c>
      <c r="AB733" s="5" t="str">
        <f ca="1">IFERROR(__xludf.DUMMYFUNCTION("""COMPUTED_VALUE"""),"Random Shooting")</f>
        <v>Random Shooting</v>
      </c>
      <c r="AC733" s="5" t="str">
        <f ca="1">IFERROR(__xludf.DUMMYFUNCTION("""COMPUTED_VALUE"""),"No")</f>
        <v>No</v>
      </c>
      <c r="AD733" s="5" t="str">
        <f ca="1">IFERROR(__xludf.DUMMYFUNCTION("""COMPUTED_VALUE"""),"No")</f>
        <v>No</v>
      </c>
      <c r="AE733" s="5" t="str">
        <f ca="1">IFERROR(__xludf.DUMMYFUNCTION("""COMPUTED_VALUE"""),"No")</f>
        <v>No</v>
      </c>
      <c r="AF733" s="5" t="str">
        <f ca="1">IFERROR(__xludf.DUMMYFUNCTION("""COMPUTED_VALUE"""),"No")</f>
        <v>No</v>
      </c>
      <c r="AG733" s="5" t="str">
        <f ca="1">IFERROR(__xludf.DUMMYFUNCTION("""COMPUTED_VALUE"""),"No")</f>
        <v>No</v>
      </c>
      <c r="AH733" s="5" t="str">
        <f ca="1">IFERROR(__xludf.DUMMYFUNCTION("""COMPUTED_VALUE"""),"No")</f>
        <v>No</v>
      </c>
      <c r="AI733" s="5" t="str">
        <f ca="1">IFERROR(__xludf.DUMMYFUNCTION("""COMPUTED_VALUE"""),"No")</f>
        <v>No</v>
      </c>
      <c r="AJ733" s="5" t="str">
        <f ca="1">IFERROR(__xludf.DUMMYFUNCTION("""COMPUTED_VALUE"""),"No")</f>
        <v>No</v>
      </c>
    </row>
    <row r="734" spans="1:36" ht="13">
      <c r="A734" s="5" t="str">
        <f ca="1">IFERROR(__xludf.DUMMYFUNCTION("""COMPUTED_VALUE"""),"20200302TXNOF")</f>
        <v>20200302TXNOF</v>
      </c>
      <c r="B734" s="5">
        <f ca="1">IFERROR(__xludf.DUMMYFUNCTION("""COMPUTED_VALUE"""),3)</f>
        <v>3</v>
      </c>
      <c r="C734" s="5">
        <f ca="1">IFERROR(__xludf.DUMMYFUNCTION("""COMPUTED_VALUE"""),2)</f>
        <v>2</v>
      </c>
      <c r="D734" s="5">
        <f ca="1">IFERROR(__xludf.DUMMYFUNCTION("""COMPUTED_VALUE"""),2020)</f>
        <v>2020</v>
      </c>
      <c r="E734" s="8">
        <f ca="1">IFERROR(__xludf.DUMMYFUNCTION("""COMPUTED_VALUE"""),43892)</f>
        <v>43892</v>
      </c>
      <c r="F734" s="5" t="str">
        <f ca="1">IFERROR(__xludf.DUMMYFUNCTION("""COMPUTED_VALUE"""),"North Forney High School")</f>
        <v>North Forney High School</v>
      </c>
      <c r="G734" s="5">
        <f ca="1">IFERROR(__xludf.DUMMYFUNCTION("""COMPUTED_VALUE"""),0)</f>
        <v>0</v>
      </c>
      <c r="H734" s="5">
        <f ca="1">IFERROR(__xludf.DUMMYFUNCTION("""COMPUTED_VALUE"""),0)</f>
        <v>0</v>
      </c>
      <c r="I734" s="5">
        <f ca="1">IFERROR(__xludf.DUMMYFUNCTION("""COMPUTED_VALUE"""),0)</f>
        <v>0</v>
      </c>
      <c r="J734" s="5">
        <f ca="1">IFERROR(__xludf.DUMMYFUNCTION("""COMPUTED_VALUE"""),0)</f>
        <v>0</v>
      </c>
      <c r="K734" s="5" t="str">
        <f ca="1">IFERROR(__xludf.DUMMYFUNCTION("""COMPUTED_VALUE"""),"https://www.dallasnews.com/news/crime/2020/03/02/forney-school-on-lockdown-after-gun-went-off-kaufman-sheriffs-office-says/ https://www.nbcdfw.com/news/local/shooting-sends-kaufman-county-school-into-lockdown-2-in-custody-sheriff/2322717/ https://www.wfaa"&amp;".com/article/news/crime/2-in-custody-after-gun-was-found-at-north-forney-high-school/287-77b70d70-3c52-4d84-81fd-2a3b9f507f31")</f>
        <v>https://www.dallasnews.com/news/crime/2020/03/02/forney-school-on-lockdown-after-gun-went-off-kaufman-sheriffs-office-says/ https://www.nbcdfw.com/news/local/shooting-sends-kaufman-county-school-into-lockdown-2-in-custody-sheriff/2322717/ https://www.wfaa.com/article/news/crime/2-in-custody-after-gun-was-found-at-north-forney-high-school/287-77b70d70-3c52-4d84-81fd-2a3b9f507f31</v>
      </c>
      <c r="L734" s="5"/>
      <c r="M734" s="5"/>
      <c r="N734" s="5">
        <f ca="1">IFERROR(__xludf.DUMMYFUNCTION("""COMPUTED_VALUE"""),4)</f>
        <v>4</v>
      </c>
      <c r="O734" s="5" t="str">
        <f ca="1">IFERROR(__xludf.DUMMYFUNCTION("""COMPUTED_VALUE"""),"Spring")</f>
        <v>Spring</v>
      </c>
      <c r="P734" s="5" t="str">
        <f ca="1">IFERROR(__xludf.DUMMYFUNCTION("""COMPUTED_VALUE"""),"Forney")</f>
        <v>Forney</v>
      </c>
      <c r="Q734" s="5" t="str">
        <f ca="1">IFERROR(__xludf.DUMMYFUNCTION("""COMPUTED_VALUE"""),"TX")</f>
        <v>TX</v>
      </c>
      <c r="R734" s="5" t="str">
        <f ca="1">IFERROR(__xludf.DUMMYFUNCTION("""COMPUTED_VALUE"""),"High")</f>
        <v>High</v>
      </c>
      <c r="S734" s="5" t="str">
        <f ca="1">IFERROR(__xludf.DUMMYFUNCTION("""COMPUTED_VALUE"""),"Inside School Building")</f>
        <v>Inside School Building</v>
      </c>
      <c r="T734" s="5" t="str">
        <f ca="1">IFERROR(__xludf.DUMMYFUNCTION("""COMPUTED_VALUE"""),"Inside School Building")</f>
        <v>Inside School Building</v>
      </c>
      <c r="U734" s="5" t="str">
        <f ca="1">IFERROR(__xludf.DUMMYFUNCTION("""COMPUTED_VALUE"""),"Yes")</f>
        <v>Yes</v>
      </c>
      <c r="V734" s="5" t="str">
        <f ca="1">IFERROR(__xludf.DUMMYFUNCTION("""COMPUTED_VALUE"""),"Morning Classes")</f>
        <v>Morning Classes</v>
      </c>
      <c r="W734" s="10">
        <f ca="1">IFERROR(__xludf.DUMMYFUNCTION("""COMPUTED_VALUE"""),0.458333333333333)</f>
        <v>0.45833333333333298</v>
      </c>
      <c r="X734" s="5">
        <f ca="1">IFERROR(__xludf.DUMMYFUNCTION("""COMPUTED_VALUE"""),1)</f>
        <v>1</v>
      </c>
      <c r="Y734" s="5" t="str">
        <f ca="1">IFERROR(__xludf.DUMMYFUNCTION("""COMPUTED_VALUE"""),"Accidental discharge showing off gun")</f>
        <v>Accidental discharge showing off gun</v>
      </c>
      <c r="Z734" s="5" t="str">
        <f ca="1">IFERROR(__xludf.DUMMYFUNCTION("""COMPUTED_VALUE"""),"Student accidentally fired handgun inside school. Police said there was no intent to harm or threat made. School locked down and student arrested.")</f>
        <v>Student accidentally fired handgun inside school. Police said there was no intent to harm or threat made. School locked down and student arrested.</v>
      </c>
      <c r="AA734" s="5" t="str">
        <f ca="1">IFERROR(__xludf.DUMMYFUNCTION("""COMPUTED_VALUE"""),"Accidental")</f>
        <v>Accidental</v>
      </c>
      <c r="AB734" s="5" t="str">
        <f ca="1">IFERROR(__xludf.DUMMYFUNCTION("""COMPUTED_VALUE"""),"Neither")</f>
        <v>Neither</v>
      </c>
      <c r="AC734" s="5" t="str">
        <f ca="1">IFERROR(__xludf.DUMMYFUNCTION("""COMPUTED_VALUE"""),"No")</f>
        <v>No</v>
      </c>
      <c r="AD734" s="5" t="str">
        <f ca="1">IFERROR(__xludf.DUMMYFUNCTION("""COMPUTED_VALUE"""),"No")</f>
        <v>No</v>
      </c>
      <c r="AE734" s="5" t="str">
        <f ca="1">IFERROR(__xludf.DUMMYFUNCTION("""COMPUTED_VALUE"""),"No")</f>
        <v>No</v>
      </c>
      <c r="AF734" s="5" t="str">
        <f ca="1">IFERROR(__xludf.DUMMYFUNCTION("""COMPUTED_VALUE"""),"No")</f>
        <v>No</v>
      </c>
      <c r="AG734" s="5" t="str">
        <f ca="1">IFERROR(__xludf.DUMMYFUNCTION("""COMPUTED_VALUE"""),"No")</f>
        <v>No</v>
      </c>
      <c r="AH734" s="5" t="str">
        <f ca="1">IFERROR(__xludf.DUMMYFUNCTION("""COMPUTED_VALUE"""),"No")</f>
        <v>No</v>
      </c>
      <c r="AI734" s="5" t="str">
        <f ca="1">IFERROR(__xludf.DUMMYFUNCTION("""COMPUTED_VALUE"""),"No")</f>
        <v>No</v>
      </c>
      <c r="AJ734" s="5" t="str">
        <f ca="1">IFERROR(__xludf.DUMMYFUNCTION("""COMPUTED_VALUE"""),"No")</f>
        <v>No</v>
      </c>
    </row>
    <row r="735" spans="1:36" ht="13">
      <c r="A735" s="5" t="str">
        <f ca="1">IFERROR(__xludf.DUMMYFUNCTION("""COMPUTED_VALUE"""),"20200221NMCEA")</f>
        <v>20200221NMCEA</v>
      </c>
      <c r="B735" s="5">
        <f ca="1">IFERROR(__xludf.DUMMYFUNCTION("""COMPUTED_VALUE"""),2)</f>
        <v>2</v>
      </c>
      <c r="C735" s="5">
        <f ca="1">IFERROR(__xludf.DUMMYFUNCTION("""COMPUTED_VALUE"""),21)</f>
        <v>21</v>
      </c>
      <c r="D735" s="5">
        <f ca="1">IFERROR(__xludf.DUMMYFUNCTION("""COMPUTED_VALUE"""),2020)</f>
        <v>2020</v>
      </c>
      <c r="E735" s="8">
        <f ca="1">IFERROR(__xludf.DUMMYFUNCTION("""COMPUTED_VALUE"""),43882)</f>
        <v>43882</v>
      </c>
      <c r="F735" s="5" t="str">
        <f ca="1">IFERROR(__xludf.DUMMYFUNCTION("""COMPUTED_VALUE"""),"Cesar Chavez Community School")</f>
        <v>Cesar Chavez Community School</v>
      </c>
      <c r="G735" s="5">
        <f ca="1">IFERROR(__xludf.DUMMYFUNCTION("""COMPUTED_VALUE"""),0)</f>
        <v>0</v>
      </c>
      <c r="H735" s="5">
        <f ca="1">IFERROR(__xludf.DUMMYFUNCTION("""COMPUTED_VALUE"""),0)</f>
        <v>0</v>
      </c>
      <c r="I735" s="5">
        <f ca="1">IFERROR(__xludf.DUMMYFUNCTION("""COMPUTED_VALUE"""),0)</f>
        <v>0</v>
      </c>
      <c r="J735" s="5">
        <f ca="1">IFERROR(__xludf.DUMMYFUNCTION("""COMPUTED_VALUE"""),0)</f>
        <v>0</v>
      </c>
      <c r="K735" s="9" t="str">
        <f ca="1">IFERROR(__xludf.DUMMYFUNCTION("""COMPUTED_VALUE"""),"https://www.abqjournal.com/1424911/apd-drive-by-sent-bullets-flying-into-abq-school.html")</f>
        <v>https://www.abqjournal.com/1424911/apd-drive-by-sent-bullets-flying-into-abq-school.html</v>
      </c>
      <c r="L735" s="5"/>
      <c r="M735" s="5"/>
      <c r="N735" s="5">
        <f ca="1">IFERROR(__xludf.DUMMYFUNCTION("""COMPUTED_VALUE"""),4)</f>
        <v>4</v>
      </c>
      <c r="O735" s="5" t="str">
        <f ca="1">IFERROR(__xludf.DUMMYFUNCTION("""COMPUTED_VALUE"""),"Winter")</f>
        <v>Winter</v>
      </c>
      <c r="P735" s="5" t="str">
        <f ca="1">IFERROR(__xludf.DUMMYFUNCTION("""COMPUTED_VALUE"""),"Albuquerque")</f>
        <v>Albuquerque</v>
      </c>
      <c r="Q735" s="5" t="str">
        <f ca="1">IFERROR(__xludf.DUMMYFUNCTION("""COMPUTED_VALUE"""),"NM")</f>
        <v>NM</v>
      </c>
      <c r="R735" s="5" t="str">
        <f ca="1">IFERROR(__xludf.DUMMYFUNCTION("""COMPUTED_VALUE"""),"Other")</f>
        <v>Other</v>
      </c>
      <c r="S735" s="5" t="str">
        <f ca="1">IFERROR(__xludf.DUMMYFUNCTION("""COMPUTED_VALUE"""),"Front of School")</f>
        <v>Front of School</v>
      </c>
      <c r="T735" s="5" t="str">
        <f ca="1">IFERROR(__xludf.DUMMYFUNCTION("""COMPUTED_VALUE"""),"Outside on School Property")</f>
        <v>Outside on School Property</v>
      </c>
      <c r="U735" s="5" t="str">
        <f ca="1">IFERROR(__xludf.DUMMYFUNCTION("""COMPUTED_VALUE"""),"Yes")</f>
        <v>Yes</v>
      </c>
      <c r="V735" s="5" t="str">
        <f ca="1">IFERROR(__xludf.DUMMYFUNCTION("""COMPUTED_VALUE"""),"Morning Classes")</f>
        <v>Morning Classes</v>
      </c>
      <c r="W735" s="10">
        <f ca="1">IFERROR(__xludf.DUMMYFUNCTION("""COMPUTED_VALUE"""),0.472222222222222)</f>
        <v>0.47222222222222199</v>
      </c>
      <c r="X735" s="5">
        <f ca="1">IFERROR(__xludf.DUMMYFUNCTION("""COMPUTED_VALUE"""),1)</f>
        <v>1</v>
      </c>
      <c r="Y735" s="5" t="str">
        <f ca="1">IFERROR(__xludf.DUMMYFUNCTION("""COMPUTED_VALUE"""),"Shots fired from vehicle struck school damaging screen inside classroom")</f>
        <v>Shots fired from vehicle struck school damaging screen inside classroom</v>
      </c>
      <c r="Z735" s="5" t="str">
        <f ca="1">IFERROR(__xludf.DUMMYFUNCTION("""COMPUTED_VALUE"""),"Multiple shots fired from one vehicle at another vehicle struck the occupied school building. One of the bullets went into a classroom and hit a large video screen, which stopped it, according to an Albuquerque Police Department report. Another bullet wen"&amp;"t into a wall, through an office and stopped inside a water heater closet. No injuries. Shooter fled.")</f>
        <v>Multiple shots fired from one vehicle at another vehicle struck the occupied school building. One of the bullets went into a classroom and hit a large video screen, which stopped it, according to an Albuquerque Police Department report. Another bullet went into a wall, through an office and stopped inside a water heater closet. No injuries. Shooter fled.</v>
      </c>
      <c r="AA735" s="5" t="str">
        <f ca="1">IFERROR(__xludf.DUMMYFUNCTION("""COMPUTED_VALUE"""),"Drive-by Shooting")</f>
        <v>Drive-by Shooting</v>
      </c>
      <c r="AB735" s="5" t="str">
        <f ca="1">IFERROR(__xludf.DUMMYFUNCTION("""COMPUTED_VALUE"""),"Victims Targeted")</f>
        <v>Victims Targeted</v>
      </c>
      <c r="AC735" s="5"/>
      <c r="AD735" s="5" t="str">
        <f ca="1">IFERROR(__xludf.DUMMYFUNCTION("""COMPUTED_VALUE"""),"No")</f>
        <v>No</v>
      </c>
      <c r="AE735" s="5" t="str">
        <f ca="1">IFERROR(__xludf.DUMMYFUNCTION("""COMPUTED_VALUE"""),"No")</f>
        <v>No</v>
      </c>
      <c r="AF735" s="5" t="str">
        <f ca="1">IFERROR(__xludf.DUMMYFUNCTION("""COMPUTED_VALUE"""),"No")</f>
        <v>No</v>
      </c>
      <c r="AG735" s="5" t="str">
        <f ca="1">IFERROR(__xludf.DUMMYFUNCTION("""COMPUTED_VALUE"""),"No")</f>
        <v>No</v>
      </c>
      <c r="AH735" s="5" t="str">
        <f ca="1">IFERROR(__xludf.DUMMYFUNCTION("""COMPUTED_VALUE"""),"No")</f>
        <v>No</v>
      </c>
      <c r="AI735" s="5"/>
      <c r="AJ735" s="5" t="str">
        <f ca="1">IFERROR(__xludf.DUMMYFUNCTION("""COMPUTED_VALUE"""),"No")</f>
        <v>No</v>
      </c>
    </row>
    <row r="736" spans="1:36" ht="13">
      <c r="A736" s="5" t="str">
        <f ca="1">IFERROR(__xludf.DUMMYFUNCTION("""COMPUTED_VALUE"""),"20200215DCDUW")</f>
        <v>20200215DCDUW</v>
      </c>
      <c r="B736" s="5">
        <f ca="1">IFERROR(__xludf.DUMMYFUNCTION("""COMPUTED_VALUE"""),2)</f>
        <v>2</v>
      </c>
      <c r="C736" s="5">
        <f ca="1">IFERROR(__xludf.DUMMYFUNCTION("""COMPUTED_VALUE"""),15)</f>
        <v>15</v>
      </c>
      <c r="D736" s="5">
        <f ca="1">IFERROR(__xludf.DUMMYFUNCTION("""COMPUTED_VALUE"""),2020)</f>
        <v>2020</v>
      </c>
      <c r="E736" s="8">
        <f ca="1">IFERROR(__xludf.DUMMYFUNCTION("""COMPUTED_VALUE"""),43876)</f>
        <v>43876</v>
      </c>
      <c r="F736" s="5" t="str">
        <f ca="1">IFERROR(__xludf.DUMMYFUNCTION("""COMPUTED_VALUE"""),"Dunbar High School")</f>
        <v>Dunbar High School</v>
      </c>
      <c r="G736" s="5">
        <f ca="1">IFERROR(__xludf.DUMMYFUNCTION("""COMPUTED_VALUE"""),1)</f>
        <v>1</v>
      </c>
      <c r="H736" s="5">
        <f ca="1">IFERROR(__xludf.DUMMYFUNCTION("""COMPUTED_VALUE"""),0)</f>
        <v>0</v>
      </c>
      <c r="I736" s="5">
        <f ca="1">IFERROR(__xludf.DUMMYFUNCTION("""COMPUTED_VALUE"""),1)</f>
        <v>1</v>
      </c>
      <c r="J736" s="5">
        <f ca="1">IFERROR(__xludf.DUMMYFUNCTION("""COMPUTED_VALUE"""),0)</f>
        <v>0</v>
      </c>
      <c r="K736" s="5" t="str">
        <f ca="1">IFERROR(__xludf.DUMMYFUNCTION("""COMPUTED_VALUE"""),"https://www.washingtonpost.com/local/crime/man-fatally-shot-saturday-outside-dcs-dunbar-high-school-police-say/2020/02/16/230d4f12-50dc-11ea-929a-64efa7482a77_story.html https://www.wusa9.com/article/news/local/dc/man-killed-outside-dc-high-school/65-d46c"&amp;"93df-de43-45e7-b230-d1705f971613 https://wtop.com/dc/2020/02/dc-police-investigating-fatal-shooting-outside-dunbar-high-school/")</f>
        <v>https://www.washingtonpost.com/local/crime/man-fatally-shot-saturday-outside-dcs-dunbar-high-school-police-say/2020/02/16/230d4f12-50dc-11ea-929a-64efa7482a77_story.html https://www.wusa9.com/article/news/local/dc/man-killed-outside-dc-high-school/65-d46c93df-de43-45e7-b230-d1705f971613 https://wtop.com/dc/2020/02/dc-police-investigating-fatal-shooting-outside-dunbar-high-school/</v>
      </c>
      <c r="L736" s="5"/>
      <c r="M736" s="5"/>
      <c r="N736" s="5">
        <f ca="1">IFERROR(__xludf.DUMMYFUNCTION("""COMPUTED_VALUE"""),4)</f>
        <v>4</v>
      </c>
      <c r="O736" s="5" t="str">
        <f ca="1">IFERROR(__xludf.DUMMYFUNCTION("""COMPUTED_VALUE"""),"Winter")</f>
        <v>Winter</v>
      </c>
      <c r="P736" s="5" t="str">
        <f ca="1">IFERROR(__xludf.DUMMYFUNCTION("""COMPUTED_VALUE"""),"Washington")</f>
        <v>Washington</v>
      </c>
      <c r="Q736" s="5" t="str">
        <f ca="1">IFERROR(__xludf.DUMMYFUNCTION("""COMPUTED_VALUE"""),"DC")</f>
        <v>DC</v>
      </c>
      <c r="R736" s="5" t="str">
        <f ca="1">IFERROR(__xludf.DUMMYFUNCTION("""COMPUTED_VALUE"""),"High")</f>
        <v>High</v>
      </c>
      <c r="S736" s="5" t="str">
        <f ca="1">IFERROR(__xludf.DUMMYFUNCTION("""COMPUTED_VALUE"""),"Front of School")</f>
        <v>Front of School</v>
      </c>
      <c r="T736" s="5" t="str">
        <f ca="1">IFERROR(__xludf.DUMMYFUNCTION("""COMPUTED_VALUE"""),"Outside on School Property")</f>
        <v>Outside on School Property</v>
      </c>
      <c r="U736" s="5" t="str">
        <f ca="1">IFERROR(__xludf.DUMMYFUNCTION("""COMPUTED_VALUE"""),"No")</f>
        <v>No</v>
      </c>
      <c r="V736" s="5" t="str">
        <f ca="1">IFERROR(__xludf.DUMMYFUNCTION("""COMPUTED_VALUE"""),"Sport Event")</f>
        <v>Sport Event</v>
      </c>
      <c r="W736" s="10">
        <f ca="1">IFERROR(__xludf.DUMMYFUNCTION("""COMPUTED_VALUE"""),0.75)</f>
        <v>0.75</v>
      </c>
      <c r="X736" s="5">
        <f ca="1">IFERROR(__xludf.DUMMYFUNCTION("""COMPUTED_VALUE"""),1)</f>
        <v>1</v>
      </c>
      <c r="Y736" s="5" t="str">
        <f ca="1">IFERROR(__xludf.DUMMYFUNCTION("""COMPUTED_VALUE"""),"Adult male shot and killed in front of school during basketball game")</f>
        <v>Adult male shot and killed in front of school during basketball game</v>
      </c>
      <c r="Z736" s="5" t="str">
        <f ca="1">IFERROR(__xludf.DUMMYFUNCTION("""COMPUTED_VALUE"""),"34YOM shot and killed by front doors of high school during high school basketball game. Shots were fired from dark SUV that fled the scene. No suspect identified.")</f>
        <v>34YOM shot and killed by front doors of high school during high school basketball game. Shots were fired from dark SUV that fled the scene. No suspect identified.</v>
      </c>
      <c r="AA736" s="5" t="str">
        <f ca="1">IFERROR(__xludf.DUMMYFUNCTION("""COMPUTED_VALUE"""),"Drive-by Shooting")</f>
        <v>Drive-by Shooting</v>
      </c>
      <c r="AB736" s="5"/>
      <c r="AC736" s="5"/>
      <c r="AD736" s="5" t="str">
        <f ca="1">IFERROR(__xludf.DUMMYFUNCTION("""COMPUTED_VALUE"""),"No")</f>
        <v>No</v>
      </c>
      <c r="AE736" s="5" t="str">
        <f ca="1">IFERROR(__xludf.DUMMYFUNCTION("""COMPUTED_VALUE"""),"No")</f>
        <v>No</v>
      </c>
      <c r="AF736" s="5" t="str">
        <f ca="1">IFERROR(__xludf.DUMMYFUNCTION("""COMPUTED_VALUE"""),"No")</f>
        <v>No</v>
      </c>
      <c r="AG736" s="5" t="str">
        <f ca="1">IFERROR(__xludf.DUMMYFUNCTION("""COMPUTED_VALUE"""),"No")</f>
        <v>No</v>
      </c>
      <c r="AH736" s="5" t="str">
        <f ca="1">IFERROR(__xludf.DUMMYFUNCTION("""COMPUTED_VALUE"""),"No")</f>
        <v>No</v>
      </c>
      <c r="AI736" s="5"/>
      <c r="AJ736" s="5" t="str">
        <f ca="1">IFERROR(__xludf.DUMMYFUNCTION("""COMPUTED_VALUE"""),"No")</f>
        <v>No</v>
      </c>
    </row>
    <row r="737" spans="1:36" ht="13">
      <c r="A737" s="5" t="str">
        <f ca="1">IFERROR(__xludf.DUMMYFUNCTION("""COMPUTED_VALUE"""),"20200212MOJOF")</f>
        <v>20200212MOJOF</v>
      </c>
      <c r="B737" s="5">
        <f ca="1">IFERROR(__xludf.DUMMYFUNCTION("""COMPUTED_VALUE"""),2)</f>
        <v>2</v>
      </c>
      <c r="C737" s="5">
        <f ca="1">IFERROR(__xludf.DUMMYFUNCTION("""COMPUTED_VALUE"""),12)</f>
        <v>12</v>
      </c>
      <c r="D737" s="5">
        <f ca="1">IFERROR(__xludf.DUMMYFUNCTION("""COMPUTED_VALUE"""),2020)</f>
        <v>2020</v>
      </c>
      <c r="E737" s="8">
        <f ca="1">IFERROR(__xludf.DUMMYFUNCTION("""COMPUTED_VALUE"""),43873)</f>
        <v>43873</v>
      </c>
      <c r="F737" s="5" t="str">
        <f ca="1">IFERROR(__xludf.DUMMYFUNCTION("""COMPUTED_VALUE"""),"Johnson-Wabash Elementary School")</f>
        <v>Johnson-Wabash Elementary School</v>
      </c>
      <c r="G737" s="5">
        <f ca="1">IFERROR(__xludf.DUMMYFUNCTION("""COMPUTED_VALUE"""),0)</f>
        <v>0</v>
      </c>
      <c r="H737" s="5">
        <f ca="1">IFERROR(__xludf.DUMMYFUNCTION("""COMPUTED_VALUE"""),0)</f>
        <v>0</v>
      </c>
      <c r="I737" s="5">
        <f ca="1">IFERROR(__xludf.DUMMYFUNCTION("""COMPUTED_VALUE"""),0)</f>
        <v>0</v>
      </c>
      <c r="J737" s="5">
        <f ca="1">IFERROR(__xludf.DUMMYFUNCTION("""COMPUTED_VALUE"""),0)</f>
        <v>0</v>
      </c>
      <c r="K737" s="5" t="str">
        <f ca="1">IFERROR(__xludf.DUMMYFUNCTION("""COMPUTED_VALUE"""),"https://www.ksdk.com/article/news/crime/man-pleads-guilty-pointing-loaded-gun-students-ferguson-florissant/63-a81916ef-aacd-4fa5-8b74-3fb6ed1c833c https://www.kmov.com/news/dad-accused-of-forcing-his-way-on-school-bus-with/article_9905e14e-4e10-11ea-bc76-"&amp;"6b2f685351e4.html https://fox2now.com/2020/02/12/ferguson-florissant-district-administrators-respond-after-parent-pulls-gun-on-school-bus/")</f>
        <v>https://www.ksdk.com/article/news/crime/man-pleads-guilty-pointing-loaded-gun-students-ferguson-florissant/63-a81916ef-aacd-4fa5-8b74-3fb6ed1c833c https://www.kmov.com/news/dad-accused-of-forcing-his-way-on-school-bus-with/article_9905e14e-4e10-11ea-bc76-6b2f685351e4.html https://fox2now.com/2020/02/12/ferguson-florissant-district-administrators-respond-after-parent-pulls-gun-on-school-bus/</v>
      </c>
      <c r="L737" s="5"/>
      <c r="M737" s="5" t="str">
        <f ca="1">IFERROR(__xludf.DUMMYFUNCTION("""COMPUTED_VALUE"""),"Local")</f>
        <v>Local</v>
      </c>
      <c r="N737" s="5">
        <f ca="1">IFERROR(__xludf.DUMMYFUNCTION("""COMPUTED_VALUE"""),4)</f>
        <v>4</v>
      </c>
      <c r="O737" s="5" t="str">
        <f ca="1">IFERROR(__xludf.DUMMYFUNCTION("""COMPUTED_VALUE"""),"Winter")</f>
        <v>Winter</v>
      </c>
      <c r="P737" s="5" t="str">
        <f ca="1">IFERROR(__xludf.DUMMYFUNCTION("""COMPUTED_VALUE"""),"Ferguson")</f>
        <v>Ferguson</v>
      </c>
      <c r="Q737" s="5" t="str">
        <f ca="1">IFERROR(__xludf.DUMMYFUNCTION("""COMPUTED_VALUE"""),"MO")</f>
        <v>MO</v>
      </c>
      <c r="R737" s="5" t="str">
        <f ca="1">IFERROR(__xludf.DUMMYFUNCTION("""COMPUTED_VALUE"""),"Elementary")</f>
        <v>Elementary</v>
      </c>
      <c r="S737" s="5" t="str">
        <f ca="1">IFERROR(__xludf.DUMMYFUNCTION("""COMPUTED_VALUE"""),"School Bus")</f>
        <v>School Bus</v>
      </c>
      <c r="T737" s="5" t="str">
        <f ca="1">IFERROR(__xludf.DUMMYFUNCTION("""COMPUTED_VALUE"""),"School Bus")</f>
        <v>School Bus</v>
      </c>
      <c r="U737" s="5" t="str">
        <f ca="1">IFERROR(__xludf.DUMMYFUNCTION("""COMPUTED_VALUE"""),"Yes")</f>
        <v>Yes</v>
      </c>
      <c r="V737" s="5" t="str">
        <f ca="1">IFERROR(__xludf.DUMMYFUNCTION("""COMPUTED_VALUE"""),"School Start")</f>
        <v>School Start</v>
      </c>
      <c r="W737" s="10">
        <f ca="1">IFERROR(__xludf.DUMMYFUNCTION("""COMPUTED_VALUE"""),0.333333333333333)</f>
        <v>0.33333333333333298</v>
      </c>
      <c r="X737" s="5">
        <f ca="1">IFERROR(__xludf.DUMMYFUNCTION("""COMPUTED_VALUE"""),1)</f>
        <v>1</v>
      </c>
      <c r="Y737" s="5" t="str">
        <f ca="1">IFERROR(__xludf.DUMMYFUNCTION("""COMPUTED_VALUE"""),"Father pointed gun at students on school bus following fight between students")</f>
        <v>Father pointed gun at students on school bus following fight between students</v>
      </c>
      <c r="Z737" s="5"/>
      <c r="AA737" s="5" t="str">
        <f ca="1">IFERROR(__xludf.DUMMYFUNCTION("""COMPUTED_VALUE"""),"Escalation of Dispute")</f>
        <v>Escalation of Dispute</v>
      </c>
      <c r="AB737" s="5" t="str">
        <f ca="1">IFERROR(__xludf.DUMMYFUNCTION("""COMPUTED_VALUE"""),"Victims Targeted")</f>
        <v>Victims Targeted</v>
      </c>
      <c r="AC737" s="5" t="str">
        <f ca="1">IFERROR(__xludf.DUMMYFUNCTION("""COMPUTED_VALUE"""),"No")</f>
        <v>No</v>
      </c>
      <c r="AD737" s="5" t="str">
        <f ca="1">IFERROR(__xludf.DUMMYFUNCTION("""COMPUTED_VALUE"""),"No")</f>
        <v>No</v>
      </c>
      <c r="AE737" s="5" t="str">
        <f ca="1">IFERROR(__xludf.DUMMYFUNCTION("""COMPUTED_VALUE"""),"No")</f>
        <v>No</v>
      </c>
      <c r="AF737" s="5" t="str">
        <f ca="1">IFERROR(__xludf.DUMMYFUNCTION("""COMPUTED_VALUE"""),"No")</f>
        <v>No</v>
      </c>
      <c r="AG737" s="5"/>
      <c r="AH737" s="5" t="str">
        <f ca="1">IFERROR(__xludf.DUMMYFUNCTION("""COMPUTED_VALUE"""),"No")</f>
        <v>No</v>
      </c>
      <c r="AI737" s="5" t="str">
        <f ca="1">IFERROR(__xludf.DUMMYFUNCTION("""COMPUTED_VALUE"""),"No")</f>
        <v>No</v>
      </c>
      <c r="AJ737" s="5" t="str">
        <f ca="1">IFERROR(__xludf.DUMMYFUNCTION("""COMPUTED_VALUE"""),"No")</f>
        <v>No</v>
      </c>
    </row>
    <row r="738" spans="1:36" ht="13">
      <c r="A738" s="5" t="str">
        <f ca="1">IFERROR(__xludf.DUMMYFUNCTION("""COMPUTED_VALUE"""),"20200205NHSEC")</f>
        <v>20200205NHSEC</v>
      </c>
      <c r="B738" s="5">
        <f ca="1">IFERROR(__xludf.DUMMYFUNCTION("""COMPUTED_VALUE"""),2)</f>
        <v>2</v>
      </c>
      <c r="C738" s="5">
        <f ca="1">IFERROR(__xludf.DUMMYFUNCTION("""COMPUTED_VALUE"""),5)</f>
        <v>5</v>
      </c>
      <c r="D738" s="5">
        <f ca="1">IFERROR(__xludf.DUMMYFUNCTION("""COMPUTED_VALUE"""),2020)</f>
        <v>2020</v>
      </c>
      <c r="E738" s="8">
        <f ca="1">IFERROR(__xludf.DUMMYFUNCTION("""COMPUTED_VALUE"""),43866)</f>
        <v>43866</v>
      </c>
      <c r="F738" s="5" t="str">
        <f ca="1">IFERROR(__xludf.DUMMYFUNCTION("""COMPUTED_VALUE"""),"Second Start Alternative High School")</f>
        <v>Second Start Alternative High School</v>
      </c>
      <c r="G738" s="5">
        <f ca="1">IFERROR(__xludf.DUMMYFUNCTION("""COMPUTED_VALUE"""),0)</f>
        <v>0</v>
      </c>
      <c r="H738" s="5">
        <f ca="1">IFERROR(__xludf.DUMMYFUNCTION("""COMPUTED_VALUE"""),0)</f>
        <v>0</v>
      </c>
      <c r="I738" s="5">
        <f ca="1">IFERROR(__xludf.DUMMYFUNCTION("""COMPUTED_VALUE"""),0)</f>
        <v>0</v>
      </c>
      <c r="J738" s="5">
        <f ca="1">IFERROR(__xludf.DUMMYFUNCTION("""COMPUTED_VALUE"""),1)</f>
        <v>1</v>
      </c>
      <c r="K738" s="5" t="str">
        <f ca="1">IFERROR(__xludf.DUMMYFUNCTION("""COMPUTED_VALUE"""),"https://www.nhpr.org/post/report-student-fired-gun-concord-school-employee-killing-himself#stream/0 https://www.eagletribune.com/news/new_hampshire/one-student-dead-in-concord-alternative-high-school-shooting/article_5597252b-fee4-56a9-9f35-0ad82455a702.h"&amp;"tml  https://www.wmur.com/article/person-dies-from-apparent-suicide-at-new-hampshire-school-ag-says/30779029 https://www.wmur.com/article/person-dies-from-apparent-suicide-at-new-hampshire-school-ag-says/30779029#")</f>
        <v>https://www.nhpr.org/post/report-student-fired-gun-concord-school-employee-killing-himself#stream/0 https://www.eagletribune.com/news/new_hampshire/one-student-dead-in-concord-alternative-high-school-shooting/article_5597252b-fee4-56a9-9f35-0ad82455a702.html  https://www.wmur.com/article/person-dies-from-apparent-suicide-at-new-hampshire-school-ag-says/30779029 https://www.wmur.com/article/person-dies-from-apparent-suicide-at-new-hampshire-school-ag-says/30779029#</v>
      </c>
      <c r="L738" s="5">
        <f ca="1">IFERROR(__xludf.DUMMYFUNCTION("""COMPUTED_VALUE"""),2)</f>
        <v>2</v>
      </c>
      <c r="M738" s="5" t="str">
        <f ca="1">IFERROR(__xludf.DUMMYFUNCTION("""COMPUTED_VALUE"""),"Regional")</f>
        <v>Regional</v>
      </c>
      <c r="N738" s="5">
        <f ca="1">IFERROR(__xludf.DUMMYFUNCTION("""COMPUTED_VALUE"""),4)</f>
        <v>4</v>
      </c>
      <c r="O738" s="5" t="str">
        <f ca="1">IFERROR(__xludf.DUMMYFUNCTION("""COMPUTED_VALUE"""),"Winter")</f>
        <v>Winter</v>
      </c>
      <c r="P738" s="5" t="str">
        <f ca="1">IFERROR(__xludf.DUMMYFUNCTION("""COMPUTED_VALUE"""),"Concord")</f>
        <v>Concord</v>
      </c>
      <c r="Q738" s="5" t="str">
        <f ca="1">IFERROR(__xludf.DUMMYFUNCTION("""COMPUTED_VALUE"""),"NH")</f>
        <v>NH</v>
      </c>
      <c r="R738" s="5" t="str">
        <f ca="1">IFERROR(__xludf.DUMMYFUNCTION("""COMPUTED_VALUE"""),"High")</f>
        <v>High</v>
      </c>
      <c r="S738" s="5" t="str">
        <f ca="1">IFERROR(__xludf.DUMMYFUNCTION("""COMPUTED_VALUE"""),"Classroom")</f>
        <v>Classroom</v>
      </c>
      <c r="T738" s="5" t="str">
        <f ca="1">IFERROR(__xludf.DUMMYFUNCTION("""COMPUTED_VALUE"""),"Inside School Building")</f>
        <v>Inside School Building</v>
      </c>
      <c r="U738" s="5" t="str">
        <f ca="1">IFERROR(__xludf.DUMMYFUNCTION("""COMPUTED_VALUE"""),"Yes")</f>
        <v>Yes</v>
      </c>
      <c r="V738" s="5" t="str">
        <f ca="1">IFERROR(__xludf.DUMMYFUNCTION("""COMPUTED_VALUE"""),"Morning Classes")</f>
        <v>Morning Classes</v>
      </c>
      <c r="W738" s="10">
        <f ca="1">IFERROR(__xludf.DUMMYFUNCTION("""COMPUTED_VALUE"""),0.416666666666666)</f>
        <v>0.41666666666666602</v>
      </c>
      <c r="X738" s="5">
        <f ca="1">IFERROR(__xludf.DUMMYFUNCTION("""COMPUTED_VALUE"""),1)</f>
        <v>1</v>
      </c>
      <c r="Y738" s="5" t="str">
        <f ca="1">IFERROR(__xludf.DUMMYFUNCTION("""COMPUTED_VALUE"""),"Student fired shot at school employee then killed self")</f>
        <v>Student fired shot at school employee then killed self</v>
      </c>
      <c r="Z738" s="5" t="str">
        <f ca="1">IFERROR(__xludf.DUMMYFUNCTION("""COMPUTED_VALUE"""),"A 17 year-old male student shot at a school employee, shot missed, and then he killed himself inside a classroom. He was alone at the time and no one else was injured. A group of students and staff were then led out of the building and moved to a nearby b"&amp;"uilding. Many of these students have been identified as having learning and/or emotional handicaps that have interfered with their functioning effectively in a previous educational setting.")</f>
        <v>A 17 year-old male student shot at a school employee, shot missed, and then he killed himself inside a classroom. He was alone at the time and no one else was injured. A group of students and staff were then led out of the building and moved to a nearby building. Many of these students have been identified as having learning and/or emotional handicaps that have interfered with their functioning effectively in a previous educational setting.</v>
      </c>
      <c r="AA738" s="5" t="str">
        <f ca="1">IFERROR(__xludf.DUMMYFUNCTION("""COMPUTED_VALUE"""),"Suicide/Attempted")</f>
        <v>Suicide/Attempted</v>
      </c>
      <c r="AB738" s="5" t="str">
        <f ca="1">IFERROR(__xludf.DUMMYFUNCTION("""COMPUTED_VALUE"""),"Victims Targeted")</f>
        <v>Victims Targeted</v>
      </c>
      <c r="AC738" s="5" t="str">
        <f ca="1">IFERROR(__xludf.DUMMYFUNCTION("""COMPUTED_VALUE"""),"No")</f>
        <v>No</v>
      </c>
      <c r="AD738" s="5" t="str">
        <f ca="1">IFERROR(__xludf.DUMMYFUNCTION("""COMPUTED_VALUE"""),"No")</f>
        <v>No</v>
      </c>
      <c r="AE738" s="5" t="str">
        <f ca="1">IFERROR(__xludf.DUMMYFUNCTION("""COMPUTED_VALUE"""),"No")</f>
        <v>No</v>
      </c>
      <c r="AF738" s="5" t="str">
        <f ca="1">IFERROR(__xludf.DUMMYFUNCTION("""COMPUTED_VALUE"""),"No")</f>
        <v>No</v>
      </c>
      <c r="AG738" s="5"/>
      <c r="AH738" s="5" t="str">
        <f ca="1">IFERROR(__xludf.DUMMYFUNCTION("""COMPUTED_VALUE"""),"No")</f>
        <v>No</v>
      </c>
      <c r="AI738" s="5" t="str">
        <f ca="1">IFERROR(__xludf.DUMMYFUNCTION("""COMPUTED_VALUE"""),"No")</f>
        <v>No</v>
      </c>
      <c r="AJ738" s="5" t="str">
        <f ca="1">IFERROR(__xludf.DUMMYFUNCTION("""COMPUTED_VALUE"""),"No")</f>
        <v>No</v>
      </c>
    </row>
    <row r="739" spans="1:36" ht="13">
      <c r="A739" s="5" t="str">
        <f ca="1">IFERROR(__xludf.DUMMYFUNCTION("""COMPUTED_VALUE"""),"20200204LABEA")</f>
        <v>20200204LABEA</v>
      </c>
      <c r="B739" s="5">
        <f ca="1">IFERROR(__xludf.DUMMYFUNCTION("""COMPUTED_VALUE"""),2)</f>
        <v>2</v>
      </c>
      <c r="C739" s="5">
        <f ca="1">IFERROR(__xludf.DUMMYFUNCTION("""COMPUTED_VALUE"""),4)</f>
        <v>4</v>
      </c>
      <c r="D739" s="5">
        <f ca="1">IFERROR(__xludf.DUMMYFUNCTION("""COMPUTED_VALUE"""),2020)</f>
        <v>2020</v>
      </c>
      <c r="E739" s="8">
        <f ca="1">IFERROR(__xludf.DUMMYFUNCTION("""COMPUTED_VALUE"""),43865)</f>
        <v>43865</v>
      </c>
      <c r="F739" s="5" t="str">
        <f ca="1">IFERROR(__xludf.DUMMYFUNCTION("""COMPUTED_VALUE"""),"Beau Chene High School")</f>
        <v>Beau Chene High School</v>
      </c>
      <c r="G739" s="5">
        <f ca="1">IFERROR(__xludf.DUMMYFUNCTION("""COMPUTED_VALUE"""),0)</f>
        <v>0</v>
      </c>
      <c r="H739" s="5">
        <f ca="1">IFERROR(__xludf.DUMMYFUNCTION("""COMPUTED_VALUE"""),0)</f>
        <v>0</v>
      </c>
      <c r="I739" s="5">
        <f ca="1">IFERROR(__xludf.DUMMYFUNCTION("""COMPUTED_VALUE"""),0)</f>
        <v>0</v>
      </c>
      <c r="J739" s="5">
        <f ca="1">IFERROR(__xludf.DUMMYFUNCTION("""COMPUTED_VALUE"""),0)</f>
        <v>0</v>
      </c>
      <c r="K739" s="5" t="str">
        <f ca="1">IFERROR(__xludf.DUMMYFUNCTION("""COMPUTED_VALUE"""),"https://www.brproud.com/news/teens-arrested-for-pointing-rifle-at-soccer-match/ https://www.arklatexhomepage.com/louisiana-network/teens-arrested-for-pointing-rifle-at-soccer-match/ https://www.katc.com/news/st-landry-parish/two-arrested-for-allegedly-bri"&amp;"nging-weapon-on-beau-chene-high-campus")</f>
        <v>https://www.brproud.com/news/teens-arrested-for-pointing-rifle-at-soccer-match/ https://www.arklatexhomepage.com/louisiana-network/teens-arrested-for-pointing-rifle-at-soccer-match/ https://www.katc.com/news/st-landry-parish/two-arrested-for-allegedly-bringing-weapon-on-beau-chene-high-campus</v>
      </c>
      <c r="L739" s="5"/>
      <c r="M739" s="5"/>
      <c r="N739" s="5">
        <f ca="1">IFERROR(__xludf.DUMMYFUNCTION("""COMPUTED_VALUE"""),4)</f>
        <v>4</v>
      </c>
      <c r="O739" s="5" t="str">
        <f ca="1">IFERROR(__xludf.DUMMYFUNCTION("""COMPUTED_VALUE"""),"Winter")</f>
        <v>Winter</v>
      </c>
      <c r="P739" s="5" t="str">
        <f ca="1">IFERROR(__xludf.DUMMYFUNCTION("""COMPUTED_VALUE"""),"Arnaudville")</f>
        <v>Arnaudville</v>
      </c>
      <c r="Q739" s="5" t="str">
        <f ca="1">IFERROR(__xludf.DUMMYFUNCTION("""COMPUTED_VALUE"""),"LA")</f>
        <v>LA</v>
      </c>
      <c r="R739" s="5" t="str">
        <f ca="1">IFERROR(__xludf.DUMMYFUNCTION("""COMPUTED_VALUE"""),"High")</f>
        <v>High</v>
      </c>
      <c r="S739" s="5" t="str">
        <f ca="1">IFERROR(__xludf.DUMMYFUNCTION("""COMPUTED_VALUE"""),"Parking Lot")</f>
        <v>Parking Lot</v>
      </c>
      <c r="T739" s="5" t="str">
        <f ca="1">IFERROR(__xludf.DUMMYFUNCTION("""COMPUTED_VALUE"""),"Outside on School Property")</f>
        <v>Outside on School Property</v>
      </c>
      <c r="U739" s="5" t="str">
        <f ca="1">IFERROR(__xludf.DUMMYFUNCTION("""COMPUTED_VALUE"""),"No")</f>
        <v>No</v>
      </c>
      <c r="V739" s="5" t="str">
        <f ca="1">IFERROR(__xludf.DUMMYFUNCTION("""COMPUTED_VALUE"""),"Sport Event")</f>
        <v>Sport Event</v>
      </c>
      <c r="W739" s="10">
        <f ca="1">IFERROR(__xludf.DUMMYFUNCTION("""COMPUTED_VALUE"""),0.75)</f>
        <v>0.75</v>
      </c>
      <c r="X739" s="5">
        <f ca="1">IFERROR(__xludf.DUMMYFUNCTION("""COMPUTED_VALUE"""),1)</f>
        <v>1</v>
      </c>
      <c r="Y739" s="5" t="str">
        <f ca="1">IFERROR(__xludf.DUMMYFUNCTION("""COMPUTED_VALUE"""),"17YOM pointed rifle at people in school parking lot during soccer game, arrested by SRO")</f>
        <v>17YOM pointed rifle at people in school parking lot during soccer game, arrested by SRO</v>
      </c>
      <c r="Z739" s="5" t="str">
        <f ca="1">IFERROR(__xludf.DUMMYFUNCTION("""COMPUTED_VALUE"""),"17YOM took rifle out of vehicle in school parking lot and pointed it at people in the parking lot. Student reported this to SRO who arrested the shooter. Brother was also arrested. Neither were students. Police said they both had gang involvement.")</f>
        <v>17YOM took rifle out of vehicle in school parking lot and pointed it at people in the parking lot. Student reported this to SRO who arrested the shooter. Brother was also arrested. Neither were students. Police said they both had gang involvement.</v>
      </c>
      <c r="AA739" s="5" t="str">
        <f ca="1">IFERROR(__xludf.DUMMYFUNCTION("""COMPUTED_VALUE"""),"Escalation of Dispute")</f>
        <v>Escalation of Dispute</v>
      </c>
      <c r="AB739" s="5" t="str">
        <f ca="1">IFERROR(__xludf.DUMMYFUNCTION("""COMPUTED_VALUE"""),"Neither")</f>
        <v>Neither</v>
      </c>
      <c r="AC739" s="5" t="str">
        <f ca="1">IFERROR(__xludf.DUMMYFUNCTION("""COMPUTED_VALUE"""),"Yes")</f>
        <v>Yes</v>
      </c>
      <c r="AD739" s="5" t="str">
        <f ca="1">IFERROR(__xludf.DUMMYFUNCTION("""COMPUTED_VALUE"""),"No")</f>
        <v>No</v>
      </c>
      <c r="AE739" s="5" t="str">
        <f ca="1">IFERROR(__xludf.DUMMYFUNCTION("""COMPUTED_VALUE"""),"No")</f>
        <v>No</v>
      </c>
      <c r="AF739" s="5" t="str">
        <f ca="1">IFERROR(__xludf.DUMMYFUNCTION("""COMPUTED_VALUE"""),"No")</f>
        <v>No</v>
      </c>
      <c r="AG739" s="5" t="str">
        <f ca="1">IFERROR(__xludf.DUMMYFUNCTION("""COMPUTED_VALUE"""),"No")</f>
        <v>No</v>
      </c>
      <c r="AH739" s="5" t="str">
        <f ca="1">IFERROR(__xludf.DUMMYFUNCTION("""COMPUTED_VALUE"""),"No")</f>
        <v>No</v>
      </c>
      <c r="AI739" s="5" t="str">
        <f ca="1">IFERROR(__xludf.DUMMYFUNCTION("""COMPUTED_VALUE"""),"Yes")</f>
        <v>Yes</v>
      </c>
      <c r="AJ739" s="5" t="str">
        <f ca="1">IFERROR(__xludf.DUMMYFUNCTION("""COMPUTED_VALUE"""),"No")</f>
        <v>No</v>
      </c>
    </row>
    <row r="740" spans="1:36" ht="13">
      <c r="A740" s="5" t="str">
        <f ca="1">IFERROR(__xludf.DUMMYFUNCTION("""COMPUTED_VALUE"""),"20200203FLGEJ")</f>
        <v>20200203FLGEJ</v>
      </c>
      <c r="B740" s="5">
        <f ca="1">IFERROR(__xludf.DUMMYFUNCTION("""COMPUTED_VALUE"""),2)</f>
        <v>2</v>
      </c>
      <c r="C740" s="5">
        <f ca="1">IFERROR(__xludf.DUMMYFUNCTION("""COMPUTED_VALUE"""),3)</f>
        <v>3</v>
      </c>
      <c r="D740" s="5">
        <f ca="1">IFERROR(__xludf.DUMMYFUNCTION("""COMPUTED_VALUE"""),2020)</f>
        <v>2020</v>
      </c>
      <c r="E740" s="8">
        <f ca="1">IFERROR(__xludf.DUMMYFUNCTION("""COMPUTED_VALUE"""),43864)</f>
        <v>43864</v>
      </c>
      <c r="F740" s="5" t="str">
        <f ca="1">IFERROR(__xludf.DUMMYFUNCTION("""COMPUTED_VALUE"""),"George Washington Carver Elementary School")</f>
        <v>George Washington Carver Elementary School</v>
      </c>
      <c r="G740" s="5">
        <f ca="1">IFERROR(__xludf.DUMMYFUNCTION("""COMPUTED_VALUE"""),0)</f>
        <v>0</v>
      </c>
      <c r="H740" s="5">
        <f ca="1">IFERROR(__xludf.DUMMYFUNCTION("""COMPUTED_VALUE"""),1)</f>
        <v>1</v>
      </c>
      <c r="I740" s="5">
        <f ca="1">IFERROR(__xludf.DUMMYFUNCTION("""COMPUTED_VALUE"""),1)</f>
        <v>1</v>
      </c>
      <c r="J740" s="5">
        <f ca="1">IFERROR(__xludf.DUMMYFUNCTION("""COMPUTED_VALUE"""),0)</f>
        <v>0</v>
      </c>
      <c r="K740" s="5" t="str">
        <f ca="1">IFERROR(__xludf.DUMMYFUNCTION("""COMPUTED_VALUE"""),"https://www.actionnewsjax.com/news/local/jacksonville-police-investigating-shooting-elementary-school-no-students-or-staff-involved/IDQOHQDGDBH35PH62FCB2YJB6I/ https://www.wokv.com/news/local/shooting-near-jacksonville-elementary-school-rattles-parents/oN"&amp;"ZdCm8QnUr3Efzp1NACyK/ https://www.firstcoastnews.com/article/news/crime/shell-casings-blood-trail-and-a-gold-bracelet-found-after-shooting-outside-florida-elementary-school/77-db509e14-f315-4997-9f1d-3285002f7ca3")</f>
        <v>https://www.actionnewsjax.com/news/local/jacksonville-police-investigating-shooting-elementary-school-no-students-or-staff-involved/IDQOHQDGDBH35PH62FCB2YJB6I/ https://www.wokv.com/news/local/shooting-near-jacksonville-elementary-school-rattles-parents/oNZdCm8QnUr3Efzp1NACyK/ https://www.firstcoastnews.com/article/news/crime/shell-casings-blood-trail-and-a-gold-bracelet-found-after-shooting-outside-florida-elementary-school/77-db509e14-f315-4997-9f1d-3285002f7ca3</v>
      </c>
      <c r="L740" s="5"/>
      <c r="M740" s="5"/>
      <c r="N740" s="5">
        <f ca="1">IFERROR(__xludf.DUMMYFUNCTION("""COMPUTED_VALUE"""),4)</f>
        <v>4</v>
      </c>
      <c r="O740" s="5" t="str">
        <f ca="1">IFERROR(__xludf.DUMMYFUNCTION("""COMPUTED_VALUE"""),"Winter")</f>
        <v>Winter</v>
      </c>
      <c r="P740" s="5" t="str">
        <f ca="1">IFERROR(__xludf.DUMMYFUNCTION("""COMPUTED_VALUE"""),"Jacksonville")</f>
        <v>Jacksonville</v>
      </c>
      <c r="Q740" s="5" t="str">
        <f ca="1">IFERROR(__xludf.DUMMYFUNCTION("""COMPUTED_VALUE"""),"FL")</f>
        <v>FL</v>
      </c>
      <c r="R740" s="5" t="str">
        <f ca="1">IFERROR(__xludf.DUMMYFUNCTION("""COMPUTED_VALUE"""),"Elementary")</f>
        <v>Elementary</v>
      </c>
      <c r="S740" s="5" t="str">
        <f ca="1">IFERROR(__xludf.DUMMYFUNCTION("""COMPUTED_VALUE"""),"Parking Lot")</f>
        <v>Parking Lot</v>
      </c>
      <c r="T740" s="5" t="str">
        <f ca="1">IFERROR(__xludf.DUMMYFUNCTION("""COMPUTED_VALUE"""),"Outside on School Property")</f>
        <v>Outside on School Property</v>
      </c>
      <c r="U740" s="5" t="str">
        <f ca="1">IFERROR(__xludf.DUMMYFUNCTION("""COMPUTED_VALUE"""),"No")</f>
        <v>No</v>
      </c>
      <c r="V740" s="5" t="str">
        <f ca="1">IFERROR(__xludf.DUMMYFUNCTION("""COMPUTED_VALUE"""),"Evening")</f>
        <v>Evening</v>
      </c>
      <c r="W740" s="10">
        <f ca="1">IFERROR(__xludf.DUMMYFUNCTION("""COMPUTED_VALUE"""),0.729166666666666)</f>
        <v>0.72916666666666596</v>
      </c>
      <c r="X740" s="5">
        <f ca="1">IFERROR(__xludf.DUMMYFUNCTION("""COMPUTED_VALUE"""),1)</f>
        <v>1</v>
      </c>
      <c r="Y740" s="5" t="str">
        <f ca="1">IFERROR(__xludf.DUMMYFUNCTION("""COMPUTED_VALUE"""),"Drive-by shooting in school parking lot")</f>
        <v>Drive-by shooting in school parking lot</v>
      </c>
      <c r="Z740" s="5" t="str">
        <f ca="1">IFERROR(__xludf.DUMMYFUNCTION("""COMPUTED_VALUE"""),"Adult male was shot during drive-by shooting in school parking lot. Group of adult males ran from the shooting across the school playground. Vehicles in the school parking lot and the building were struck by bullets. School was placed on lockdown for 45 m"&amp;"inutes. Victim attempted to gain entry to school but was denied access.")</f>
        <v>Adult male was shot during drive-by shooting in school parking lot. Group of adult males ran from the shooting across the school playground. Vehicles in the school parking lot and the building were struck by bullets. School was placed on lockdown for 45 minutes. Victim attempted to gain entry to school but was denied access.</v>
      </c>
      <c r="AA740" s="5" t="str">
        <f ca="1">IFERROR(__xludf.DUMMYFUNCTION("""COMPUTED_VALUE"""),"Drive-by Shooting")</f>
        <v>Drive-by Shooting</v>
      </c>
      <c r="AB740" s="5"/>
      <c r="AC740" s="5" t="str">
        <f ca="1">IFERROR(__xludf.DUMMYFUNCTION("""COMPUTED_VALUE"""),"Yes")</f>
        <v>Yes</v>
      </c>
      <c r="AD740" s="5" t="str">
        <f ca="1">IFERROR(__xludf.DUMMYFUNCTION("""COMPUTED_VALUE"""),"No")</f>
        <v>No</v>
      </c>
      <c r="AE740" s="5" t="str">
        <f ca="1">IFERROR(__xludf.DUMMYFUNCTION("""COMPUTED_VALUE"""),"No")</f>
        <v>No</v>
      </c>
      <c r="AF740" s="5" t="str">
        <f ca="1">IFERROR(__xludf.DUMMYFUNCTION("""COMPUTED_VALUE"""),"No")</f>
        <v>No</v>
      </c>
      <c r="AG740" s="5" t="str">
        <f ca="1">IFERROR(__xludf.DUMMYFUNCTION("""COMPUTED_VALUE"""),"No")</f>
        <v>No</v>
      </c>
      <c r="AH740" s="5" t="str">
        <f ca="1">IFERROR(__xludf.DUMMYFUNCTION("""COMPUTED_VALUE"""),"No")</f>
        <v>No</v>
      </c>
      <c r="AI740" s="5"/>
      <c r="AJ740" s="5" t="str">
        <f ca="1">IFERROR(__xludf.DUMMYFUNCTION("""COMPUTED_VALUE"""),"No")</f>
        <v>No</v>
      </c>
    </row>
    <row r="741" spans="1:36" ht="13">
      <c r="A741" s="5" t="str">
        <f ca="1">IFERROR(__xludf.DUMMYFUNCTION("""COMPUTED_VALUE"""),"20200201TXHIH")</f>
        <v>20200201TXHIH</v>
      </c>
      <c r="B741" s="5">
        <f ca="1">IFERROR(__xludf.DUMMYFUNCTION("""COMPUTED_VALUE"""),2)</f>
        <v>2</v>
      </c>
      <c r="C741" s="5">
        <f ca="1">IFERROR(__xludf.DUMMYFUNCTION("""COMPUTED_VALUE"""),1)</f>
        <v>1</v>
      </c>
      <c r="D741" s="5">
        <f ca="1">IFERROR(__xludf.DUMMYFUNCTION("""COMPUTED_VALUE"""),2020)</f>
        <v>2020</v>
      </c>
      <c r="E741" s="8">
        <f ca="1">IFERROR(__xludf.DUMMYFUNCTION("""COMPUTED_VALUE"""),43862)</f>
        <v>43862</v>
      </c>
      <c r="F741" s="5" t="str">
        <f ca="1">IFERROR(__xludf.DUMMYFUNCTION("""COMPUTED_VALUE"""),"Hicks Elementary School")</f>
        <v>Hicks Elementary School</v>
      </c>
      <c r="G741" s="5">
        <f ca="1">IFERROR(__xludf.DUMMYFUNCTION("""COMPUTED_VALUE"""),0)</f>
        <v>0</v>
      </c>
      <c r="H741" s="5">
        <f ca="1">IFERROR(__xludf.DUMMYFUNCTION("""COMPUTED_VALUE"""),1)</f>
        <v>1</v>
      </c>
      <c r="I741" s="5">
        <f ca="1">IFERROR(__xludf.DUMMYFUNCTION("""COMPUTED_VALUE"""),1)</f>
        <v>1</v>
      </c>
      <c r="J741" s="5">
        <f ca="1">IFERROR(__xludf.DUMMYFUNCTION("""COMPUTED_VALUE"""),0)</f>
        <v>0</v>
      </c>
      <c r="K741" s="9" t="str">
        <f ca="1">IFERROR(__xludf.DUMMYFUNCTION("""COMPUTED_VALUE"""),"https://abc13.com/shooting-at-hicks-elementary-leaves-man-injured/5897932/")</f>
        <v>https://abc13.com/shooting-at-hicks-elementary-leaves-man-injured/5897932/</v>
      </c>
      <c r="L741" s="5"/>
      <c r="M741" s="5"/>
      <c r="N741" s="5">
        <f ca="1">IFERROR(__xludf.DUMMYFUNCTION("""COMPUTED_VALUE"""),3)</f>
        <v>3</v>
      </c>
      <c r="O741" s="5" t="str">
        <f ca="1">IFERROR(__xludf.DUMMYFUNCTION("""COMPUTED_VALUE"""),"Winter")</f>
        <v>Winter</v>
      </c>
      <c r="P741" s="5" t="str">
        <f ca="1">IFERROR(__xludf.DUMMYFUNCTION("""COMPUTED_VALUE"""),"Houston")</f>
        <v>Houston</v>
      </c>
      <c r="Q741" s="5" t="str">
        <f ca="1">IFERROR(__xludf.DUMMYFUNCTION("""COMPUTED_VALUE"""),"TX")</f>
        <v>TX</v>
      </c>
      <c r="R741" s="5" t="str">
        <f ca="1">IFERROR(__xludf.DUMMYFUNCTION("""COMPUTED_VALUE"""),"Elementary")</f>
        <v>Elementary</v>
      </c>
      <c r="S741" s="5" t="str">
        <f ca="1">IFERROR(__xludf.DUMMYFUNCTION("""COMPUTED_VALUE"""),"Outside on School Property")</f>
        <v>Outside on School Property</v>
      </c>
      <c r="T741" s="5" t="str">
        <f ca="1">IFERROR(__xludf.DUMMYFUNCTION("""COMPUTED_VALUE"""),"Outside on School Property")</f>
        <v>Outside on School Property</v>
      </c>
      <c r="U741" s="5" t="str">
        <f ca="1">IFERROR(__xludf.DUMMYFUNCTION("""COMPUTED_VALUE"""),"No")</f>
        <v>No</v>
      </c>
      <c r="V741" s="5" t="str">
        <f ca="1">IFERROR(__xludf.DUMMYFUNCTION("""COMPUTED_VALUE"""),"Not a School Day")</f>
        <v>Not a School Day</v>
      </c>
      <c r="W741" s="5"/>
      <c r="X741" s="5">
        <f ca="1">IFERROR(__xludf.DUMMYFUNCTION("""COMPUTED_VALUE"""),1)</f>
        <v>1</v>
      </c>
      <c r="Y741" s="5" t="str">
        <f ca="1">IFERROR(__xludf.DUMMYFUNCTION("""COMPUTED_VALUE"""),"Adult male shot during robbery at the school")</f>
        <v>Adult male shot during robbery at the school</v>
      </c>
      <c r="Z741" s="5" t="str">
        <f ca="1">IFERROR(__xludf.DUMMYFUNCTION("""COMPUTED_VALUE"""),"Adult male shot during robbery at the school. He was meeting the shooter to sell a pair of shoes. Shooter fled the area.")</f>
        <v>Adult male shot during robbery at the school. He was meeting the shooter to sell a pair of shoes. Shooter fled the area.</v>
      </c>
      <c r="AA741" s="5" t="str">
        <f ca="1">IFERROR(__xludf.DUMMYFUNCTION("""COMPUTED_VALUE"""),"Illegal Activity")</f>
        <v>Illegal Activity</v>
      </c>
      <c r="AB741" s="5" t="str">
        <f ca="1">IFERROR(__xludf.DUMMYFUNCTION("""COMPUTED_VALUE"""),"Victims Targeted")</f>
        <v>Victims Targeted</v>
      </c>
      <c r="AC741" s="5"/>
      <c r="AD741" s="5" t="str">
        <f ca="1">IFERROR(__xludf.DUMMYFUNCTION("""COMPUTED_VALUE"""),"No")</f>
        <v>No</v>
      </c>
      <c r="AE741" s="5" t="str">
        <f ca="1">IFERROR(__xludf.DUMMYFUNCTION("""COMPUTED_VALUE"""),"No")</f>
        <v>No</v>
      </c>
      <c r="AF741" s="5" t="str">
        <f ca="1">IFERROR(__xludf.DUMMYFUNCTION("""COMPUTED_VALUE"""),"No")</f>
        <v>No</v>
      </c>
      <c r="AG741" s="5" t="str">
        <f ca="1">IFERROR(__xludf.DUMMYFUNCTION("""COMPUTED_VALUE"""),"No")</f>
        <v>No</v>
      </c>
      <c r="AH741" s="5" t="str">
        <f ca="1">IFERROR(__xludf.DUMMYFUNCTION("""COMPUTED_VALUE"""),"No")</f>
        <v>No</v>
      </c>
      <c r="AI741" s="5" t="str">
        <f ca="1">IFERROR(__xludf.DUMMYFUNCTION("""COMPUTED_VALUE"""),"No")</f>
        <v>No</v>
      </c>
      <c r="AJ741" s="5" t="str">
        <f ca="1">IFERROR(__xludf.DUMMYFUNCTION("""COMPUTED_VALUE"""),"No")</f>
        <v>No</v>
      </c>
    </row>
    <row r="742" spans="1:36" ht="13">
      <c r="A742" s="5" t="str">
        <f ca="1">IFERROR(__xludf.DUMMYFUNCTION("""COMPUTED_VALUE"""),"20200131CADEA")</f>
        <v>20200131CADEA</v>
      </c>
      <c r="B742" s="5">
        <f ca="1">IFERROR(__xludf.DUMMYFUNCTION("""COMPUTED_VALUE"""),1)</f>
        <v>1</v>
      </c>
      <c r="C742" s="5">
        <f ca="1">IFERROR(__xludf.DUMMYFUNCTION("""COMPUTED_VALUE"""),31)</f>
        <v>31</v>
      </c>
      <c r="D742" s="5">
        <f ca="1">IFERROR(__xludf.DUMMYFUNCTION("""COMPUTED_VALUE"""),2020)</f>
        <v>2020</v>
      </c>
      <c r="E742" s="8">
        <f ca="1">IFERROR(__xludf.DUMMYFUNCTION("""COMPUTED_VALUE"""),43861)</f>
        <v>43861</v>
      </c>
      <c r="F742" s="5" t="str">
        <f ca="1">IFERROR(__xludf.DUMMYFUNCTION("""COMPUTED_VALUE"""),"Deer Valley High School")</f>
        <v>Deer Valley High School</v>
      </c>
      <c r="G742" s="5">
        <f ca="1">IFERROR(__xludf.DUMMYFUNCTION("""COMPUTED_VALUE"""),1)</f>
        <v>1</v>
      </c>
      <c r="H742" s="5">
        <f ca="1">IFERROR(__xludf.DUMMYFUNCTION("""COMPUTED_VALUE"""),0)</f>
        <v>0</v>
      </c>
      <c r="I742" s="5">
        <f ca="1">IFERROR(__xludf.DUMMYFUNCTION("""COMPUTED_VALUE"""),1)</f>
        <v>1</v>
      </c>
      <c r="J742" s="5">
        <f ca="1">IFERROR(__xludf.DUMMYFUNCTION("""COMPUTED_VALUE"""),0)</f>
        <v>0</v>
      </c>
      <c r="K742" s="5" t="str">
        <f ca="1">IFERROR(__xludf.DUMMYFUNCTION("""COMPUTED_VALUE"""),"https://abc7news.com/antioch-student-fighting-for-his-life-after-shooting-outside-high-school/5897744/ https://abc7news.com/5899287/ https://www.kron4.com/news/bay-area/family-heartbroken-after-teen-killed-in-antioch-shooting/ https://www.eastbaytimes.com"&amp;"/2020/02/14/parents-others-ask-antioch-school-trustees-to-ensure-safety-at-schools/ https://www.nbcbayarea.com/news/local/east-bay/antioch-police-seek-15-year-old-connected-to-deer-valley-high-homicide/2254464/")</f>
        <v>https://abc7news.com/antioch-student-fighting-for-his-life-after-shooting-outside-high-school/5897744/ https://abc7news.com/5899287/ https://www.kron4.com/news/bay-area/family-heartbroken-after-teen-killed-in-antioch-shooting/ https://www.eastbaytimes.com/2020/02/14/parents-others-ask-antioch-school-trustees-to-ensure-safety-at-schools/ https://www.nbcbayarea.com/news/local/east-bay/antioch-police-seek-15-year-old-connected-to-deer-valley-high-homicide/2254464/</v>
      </c>
      <c r="L742" s="5"/>
      <c r="M742" s="5"/>
      <c r="N742" s="5">
        <f ca="1">IFERROR(__xludf.DUMMYFUNCTION("""COMPUTED_VALUE"""),4)</f>
        <v>4</v>
      </c>
      <c r="O742" s="5" t="str">
        <f ca="1">IFERROR(__xludf.DUMMYFUNCTION("""COMPUTED_VALUE"""),"Winter")</f>
        <v>Winter</v>
      </c>
      <c r="P742" s="5" t="str">
        <f ca="1">IFERROR(__xludf.DUMMYFUNCTION("""COMPUTED_VALUE"""),"Antioch")</f>
        <v>Antioch</v>
      </c>
      <c r="Q742" s="5" t="str">
        <f ca="1">IFERROR(__xludf.DUMMYFUNCTION("""COMPUTED_VALUE"""),"CA")</f>
        <v>CA</v>
      </c>
      <c r="R742" s="5" t="str">
        <f ca="1">IFERROR(__xludf.DUMMYFUNCTION("""COMPUTED_VALUE"""),"High")</f>
        <v>High</v>
      </c>
      <c r="S742" s="5" t="str">
        <f ca="1">IFERROR(__xludf.DUMMYFUNCTION("""COMPUTED_VALUE"""),"Parking Lot")</f>
        <v>Parking Lot</v>
      </c>
      <c r="T742" s="5" t="str">
        <f ca="1">IFERROR(__xludf.DUMMYFUNCTION("""COMPUTED_VALUE"""),"Outside on School Property")</f>
        <v>Outside on School Property</v>
      </c>
      <c r="U742" s="5" t="str">
        <f ca="1">IFERROR(__xludf.DUMMYFUNCTION("""COMPUTED_VALUE"""),"No")</f>
        <v>No</v>
      </c>
      <c r="V742" s="5" t="str">
        <f ca="1">IFERROR(__xludf.DUMMYFUNCTION("""COMPUTED_VALUE"""),"Sport Event")</f>
        <v>Sport Event</v>
      </c>
      <c r="W742" s="10">
        <f ca="1">IFERROR(__xludf.DUMMYFUNCTION("""COMPUTED_VALUE"""),0.864583333333333)</f>
        <v>0.86458333333333304</v>
      </c>
      <c r="X742" s="5">
        <f ca="1">IFERROR(__xludf.DUMMYFUNCTION("""COMPUTED_VALUE"""),1)</f>
        <v>1</v>
      </c>
      <c r="Y742" s="5" t="str">
        <f ca="1">IFERROR(__xludf.DUMMYFUNCTION("""COMPUTED_VALUE"""),"16YOM student shot during fight outside of school during basketball game")</f>
        <v>16YOM student shot during fight outside of school during basketball game</v>
      </c>
      <c r="Z742" s="5" t="str">
        <f ca="1">IFERROR(__xludf.DUMMYFUNCTION("""COMPUTED_VALUE"""),"16YOM student shot 3 times and killed during a fight outside of a high school in the parking lot during a basketball game. Police said the fight was not related to the rivalry. Shooter fled the area.")</f>
        <v>16YOM student shot 3 times and killed during a fight outside of a high school in the parking lot during a basketball game. Police said the fight was not related to the rivalry. Shooter fled the area.</v>
      </c>
      <c r="AA742" s="5" t="str">
        <f ca="1">IFERROR(__xludf.DUMMYFUNCTION("""COMPUTED_VALUE"""),"Escalation of Dispute")</f>
        <v>Escalation of Dispute</v>
      </c>
      <c r="AB742" s="5"/>
      <c r="AC742" s="5"/>
      <c r="AD742" s="5" t="str">
        <f ca="1">IFERROR(__xludf.DUMMYFUNCTION("""COMPUTED_VALUE"""),"No")</f>
        <v>No</v>
      </c>
      <c r="AE742" s="5" t="str">
        <f ca="1">IFERROR(__xludf.DUMMYFUNCTION("""COMPUTED_VALUE"""),"No")</f>
        <v>No</v>
      </c>
      <c r="AF742" s="5" t="str">
        <f ca="1">IFERROR(__xludf.DUMMYFUNCTION("""COMPUTED_VALUE"""),"No")</f>
        <v>No</v>
      </c>
      <c r="AG742" s="5" t="str">
        <f ca="1">IFERROR(__xludf.DUMMYFUNCTION("""COMPUTED_VALUE"""),"No")</f>
        <v>No</v>
      </c>
      <c r="AH742" s="5" t="str">
        <f ca="1">IFERROR(__xludf.DUMMYFUNCTION("""COMPUTED_VALUE"""),"No")</f>
        <v>No</v>
      </c>
      <c r="AI742" s="5" t="str">
        <f ca="1">IFERROR(__xludf.DUMMYFUNCTION("""COMPUTED_VALUE"""),"No")</f>
        <v>No</v>
      </c>
      <c r="AJ742" s="5" t="str">
        <f ca="1">IFERROR(__xludf.DUMMYFUNCTION("""COMPUTED_VALUE"""),"No")</f>
        <v>No</v>
      </c>
    </row>
    <row r="743" spans="1:36" ht="13">
      <c r="A743" s="5" t="str">
        <f ca="1">IFERROR(__xludf.DUMMYFUNCTION("""COMPUTED_VALUE"""),"20200128NYMAQ")</f>
        <v>20200128NYMAQ</v>
      </c>
      <c r="B743" s="5">
        <f ca="1">IFERROR(__xludf.DUMMYFUNCTION("""COMPUTED_VALUE"""),1)</f>
        <v>1</v>
      </c>
      <c r="C743" s="5">
        <f ca="1">IFERROR(__xludf.DUMMYFUNCTION("""COMPUTED_VALUE"""),28)</f>
        <v>28</v>
      </c>
      <c r="D743" s="5">
        <f ca="1">IFERROR(__xludf.DUMMYFUNCTION("""COMPUTED_VALUE"""),2020)</f>
        <v>2020</v>
      </c>
      <c r="E743" s="8">
        <f ca="1">IFERROR(__xludf.DUMMYFUNCTION("""COMPUTED_VALUE"""),43858)</f>
        <v>43858</v>
      </c>
      <c r="F743" s="5" t="str">
        <f ca="1">IFERROR(__xludf.DUMMYFUNCTION("""COMPUTED_VALUE"""),"Martin Van Buren High School")</f>
        <v>Martin Van Buren High School</v>
      </c>
      <c r="G743" s="5">
        <f ca="1">IFERROR(__xludf.DUMMYFUNCTION("""COMPUTED_VALUE"""),0)</f>
        <v>0</v>
      </c>
      <c r="H743" s="5">
        <f ca="1">IFERROR(__xludf.DUMMYFUNCTION("""COMPUTED_VALUE"""),0)</f>
        <v>0</v>
      </c>
      <c r="I743" s="5">
        <f ca="1">IFERROR(__xludf.DUMMYFUNCTION("""COMPUTED_VALUE"""),0)</f>
        <v>0</v>
      </c>
      <c r="J743" s="5">
        <f ca="1">IFERROR(__xludf.DUMMYFUNCTION("""COMPUTED_VALUE"""),0)</f>
        <v>0</v>
      </c>
      <c r="K743" s="5" t="str">
        <f ca="1">IFERROR(__xludf.DUMMYFUNCTION("""COMPUTED_VALUE"""),"https://www.amny.com/police-fire/teen-accidentally-shoots-self-outside-queens-high-school-campus-cops/ https://1010wins.radio.com/articles/teen-shot-outside-queens-high-school-police-seek-3")</f>
        <v>https://www.amny.com/police-fire/teen-accidentally-shoots-self-outside-queens-high-school-campus-cops/ https://1010wins.radio.com/articles/teen-shot-outside-queens-high-school-police-seek-3</v>
      </c>
      <c r="L743" s="5"/>
      <c r="M743" s="5"/>
      <c r="N743" s="5">
        <f ca="1">IFERROR(__xludf.DUMMYFUNCTION("""COMPUTED_VALUE"""),4)</f>
        <v>4</v>
      </c>
      <c r="O743" s="5" t="str">
        <f ca="1">IFERROR(__xludf.DUMMYFUNCTION("""COMPUTED_VALUE"""),"Winter")</f>
        <v>Winter</v>
      </c>
      <c r="P743" s="5" t="str">
        <f ca="1">IFERROR(__xludf.DUMMYFUNCTION("""COMPUTED_VALUE"""),"Queens")</f>
        <v>Queens</v>
      </c>
      <c r="Q743" s="5" t="str">
        <f ca="1">IFERROR(__xludf.DUMMYFUNCTION("""COMPUTED_VALUE"""),"NY")</f>
        <v>NY</v>
      </c>
      <c r="R743" s="5" t="str">
        <f ca="1">IFERROR(__xludf.DUMMYFUNCTION("""COMPUTED_VALUE"""),"High")</f>
        <v>High</v>
      </c>
      <c r="S743" s="5" t="str">
        <f ca="1">IFERROR(__xludf.DUMMYFUNCTION("""COMPUTED_VALUE"""),"Beside Building")</f>
        <v>Beside Building</v>
      </c>
      <c r="T743" s="5" t="str">
        <f ca="1">IFERROR(__xludf.DUMMYFUNCTION("""COMPUTED_VALUE"""),"Outside on School Property")</f>
        <v>Outside on School Property</v>
      </c>
      <c r="U743" s="5" t="str">
        <f ca="1">IFERROR(__xludf.DUMMYFUNCTION("""COMPUTED_VALUE"""),"Yes")</f>
        <v>Yes</v>
      </c>
      <c r="V743" s="5" t="str">
        <f ca="1">IFERROR(__xludf.DUMMYFUNCTION("""COMPUTED_VALUE"""),"Dismissal")</f>
        <v>Dismissal</v>
      </c>
      <c r="W743" s="10">
        <f ca="1">IFERROR(__xludf.DUMMYFUNCTION("""COMPUTED_VALUE"""),0.614583333333333)</f>
        <v>0.61458333333333304</v>
      </c>
      <c r="X743" s="5">
        <f ca="1">IFERROR(__xludf.DUMMYFUNCTION("""COMPUTED_VALUE"""),1)</f>
        <v>1</v>
      </c>
      <c r="Y743" s="5" t="str">
        <f ca="1">IFERROR(__xludf.DUMMYFUNCTION("""COMPUTED_VALUE"""),"Student accidentally shot self during fight outside of school")</f>
        <v>Student accidentally shot self during fight outside of school</v>
      </c>
      <c r="Z743" s="5" t="str">
        <f ca="1">IFERROR(__xludf.DUMMYFUNCTION("""COMPUTED_VALUE"""),"16YOM student accidentally shot himself in the leg during a fight outside of the school. Other students involved in the fight fled the area. Student was taken to the hospital. School locked down.")</f>
        <v>16YOM student accidentally shot himself in the leg during a fight outside of the school. Other students involved in the fight fled the area. Student was taken to the hospital. School locked down.</v>
      </c>
      <c r="AA743" s="5" t="str">
        <f ca="1">IFERROR(__xludf.DUMMYFUNCTION("""COMPUTED_VALUE"""),"Escalation of Dispute")</f>
        <v>Escalation of Dispute</v>
      </c>
      <c r="AB743" s="5"/>
      <c r="AC743" s="5" t="str">
        <f ca="1">IFERROR(__xludf.DUMMYFUNCTION("""COMPUTED_VALUE"""),"No")</f>
        <v>No</v>
      </c>
      <c r="AD743" s="5" t="str">
        <f ca="1">IFERROR(__xludf.DUMMYFUNCTION("""COMPUTED_VALUE"""),"No")</f>
        <v>No</v>
      </c>
      <c r="AE743" s="5" t="str">
        <f ca="1">IFERROR(__xludf.DUMMYFUNCTION("""COMPUTED_VALUE"""),"No")</f>
        <v>No</v>
      </c>
      <c r="AF743" s="5" t="str">
        <f ca="1">IFERROR(__xludf.DUMMYFUNCTION("""COMPUTED_VALUE"""),"No")</f>
        <v>No</v>
      </c>
      <c r="AG743" s="5" t="str">
        <f ca="1">IFERROR(__xludf.DUMMYFUNCTION("""COMPUTED_VALUE"""),"No")</f>
        <v>No</v>
      </c>
      <c r="AH743" s="5" t="str">
        <f ca="1">IFERROR(__xludf.DUMMYFUNCTION("""COMPUTED_VALUE"""),"No")</f>
        <v>No</v>
      </c>
      <c r="AI743" s="5" t="str">
        <f ca="1">IFERROR(__xludf.DUMMYFUNCTION("""COMPUTED_VALUE"""),"No")</f>
        <v>No</v>
      </c>
      <c r="AJ743" s="5" t="str">
        <f ca="1">IFERROR(__xludf.DUMMYFUNCTION("""COMPUTED_VALUE"""),"No")</f>
        <v>No</v>
      </c>
    </row>
    <row r="744" spans="1:36" ht="13">
      <c r="A744" s="5" t="str">
        <f ca="1">IFERROR(__xludf.DUMMYFUNCTION("""COMPUTED_VALUE"""),"20200128TNWHM")</f>
        <v>20200128TNWHM</v>
      </c>
      <c r="B744" s="5">
        <f ca="1">IFERROR(__xludf.DUMMYFUNCTION("""COMPUTED_VALUE"""),1)</f>
        <v>1</v>
      </c>
      <c r="C744" s="5">
        <f ca="1">IFERROR(__xludf.DUMMYFUNCTION("""COMPUTED_VALUE"""),28)</f>
        <v>28</v>
      </c>
      <c r="D744" s="5">
        <f ca="1">IFERROR(__xludf.DUMMYFUNCTION("""COMPUTED_VALUE"""),2020)</f>
        <v>2020</v>
      </c>
      <c r="E744" s="8">
        <f ca="1">IFERROR(__xludf.DUMMYFUNCTION("""COMPUTED_VALUE"""),43858)</f>
        <v>43858</v>
      </c>
      <c r="F744" s="5" t="str">
        <f ca="1">IFERROR(__xludf.DUMMYFUNCTION("""COMPUTED_VALUE"""),"White Station High School")</f>
        <v>White Station High School</v>
      </c>
      <c r="G744" s="5">
        <f ca="1">IFERROR(__xludf.DUMMYFUNCTION("""COMPUTED_VALUE"""),0)</f>
        <v>0</v>
      </c>
      <c r="H744" s="5">
        <f ca="1">IFERROR(__xludf.DUMMYFUNCTION("""COMPUTED_VALUE"""),1)</f>
        <v>1</v>
      </c>
      <c r="I744" s="5">
        <f ca="1">IFERROR(__xludf.DUMMYFUNCTION("""COMPUTED_VALUE"""),1)</f>
        <v>1</v>
      </c>
      <c r="J744" s="5">
        <f ca="1">IFERROR(__xludf.DUMMYFUNCTION("""COMPUTED_VALUE"""),0)</f>
        <v>0</v>
      </c>
      <c r="K744" s="5" t="str">
        <f ca="1">IFERROR(__xludf.DUMMYFUNCTION("""COMPUTED_VALUE"""),"https://wreg.com/2020/01/31/police-release-photos-of-suspects-vehicle-after-shooting-outside-white-station-high-school/ https://www.wmcactionnews5.com/2020/01/31/police-investigating-shooting-near-white-station-high-school/")</f>
        <v>https://wreg.com/2020/01/31/police-release-photos-of-suspects-vehicle-after-shooting-outside-white-station-high-school/ https://www.wmcactionnews5.com/2020/01/31/police-investigating-shooting-near-white-station-high-school/</v>
      </c>
      <c r="L744" s="5"/>
      <c r="M744" s="5"/>
      <c r="N744" s="5">
        <f ca="1">IFERROR(__xludf.DUMMYFUNCTION("""COMPUTED_VALUE"""),4)</f>
        <v>4</v>
      </c>
      <c r="O744" s="5" t="str">
        <f ca="1">IFERROR(__xludf.DUMMYFUNCTION("""COMPUTED_VALUE"""),"Winter")</f>
        <v>Winter</v>
      </c>
      <c r="P744" s="5" t="str">
        <f ca="1">IFERROR(__xludf.DUMMYFUNCTION("""COMPUTED_VALUE"""),"Memphis")</f>
        <v>Memphis</v>
      </c>
      <c r="Q744" s="5" t="str">
        <f ca="1">IFERROR(__xludf.DUMMYFUNCTION("""COMPUTED_VALUE"""),"TN")</f>
        <v>TN</v>
      </c>
      <c r="R744" s="5" t="str">
        <f ca="1">IFERROR(__xludf.DUMMYFUNCTION("""COMPUTED_VALUE"""),"High")</f>
        <v>High</v>
      </c>
      <c r="S744" s="5" t="str">
        <f ca="1">IFERROR(__xludf.DUMMYFUNCTION("""COMPUTED_VALUE"""),"Parking Lot")</f>
        <v>Parking Lot</v>
      </c>
      <c r="T744" s="5" t="str">
        <f ca="1">IFERROR(__xludf.DUMMYFUNCTION("""COMPUTED_VALUE"""),"Outside on School Property")</f>
        <v>Outside on School Property</v>
      </c>
      <c r="U744" s="5" t="str">
        <f ca="1">IFERROR(__xludf.DUMMYFUNCTION("""COMPUTED_VALUE"""),"No")</f>
        <v>No</v>
      </c>
      <c r="V744" s="5" t="str">
        <f ca="1">IFERROR(__xludf.DUMMYFUNCTION("""COMPUTED_VALUE"""),"Evening")</f>
        <v>Evening</v>
      </c>
      <c r="W744" s="5"/>
      <c r="X744" s="5">
        <f ca="1">IFERROR(__xludf.DUMMYFUNCTION("""COMPUTED_VALUE"""),1)</f>
        <v>1</v>
      </c>
      <c r="Y744" s="5" t="str">
        <f ca="1">IFERROR(__xludf.DUMMYFUNCTION("""COMPUTED_VALUE"""),"18YPM fired shots from vehicle following argument in school parking lot")</f>
        <v>18YPM fired shots from vehicle following argument in school parking lot</v>
      </c>
      <c r="Z744" s="5" t="str">
        <f ca="1">IFERROR(__xludf.DUMMYFUNCTION("""COMPUTED_VALUE"""),"18YOM fired 5 shots from vehicle following an argument in the school parking lot. Shots struck 2 other vehicles and an adult male victim was cut by broken glass. Police have not identified the 18YOM shooter who fled the scene in a vehicle.")</f>
        <v>18YOM fired 5 shots from vehicle following an argument in the school parking lot. Shots struck 2 other vehicles and an adult male victim was cut by broken glass. Police have not identified the 18YOM shooter who fled the scene in a vehicle.</v>
      </c>
      <c r="AA744" s="5" t="str">
        <f ca="1">IFERROR(__xludf.DUMMYFUNCTION("""COMPUTED_VALUE"""),"Drive-by Shooting")</f>
        <v>Drive-by Shooting</v>
      </c>
      <c r="AB744" s="5" t="str">
        <f ca="1">IFERROR(__xludf.DUMMYFUNCTION("""COMPUTED_VALUE"""),"Both")</f>
        <v>Both</v>
      </c>
      <c r="AC744" s="5"/>
      <c r="AD744" s="5" t="str">
        <f ca="1">IFERROR(__xludf.DUMMYFUNCTION("""COMPUTED_VALUE"""),"No")</f>
        <v>No</v>
      </c>
      <c r="AE744" s="5" t="str">
        <f ca="1">IFERROR(__xludf.DUMMYFUNCTION("""COMPUTED_VALUE"""),"No")</f>
        <v>No</v>
      </c>
      <c r="AF744" s="5" t="str">
        <f ca="1">IFERROR(__xludf.DUMMYFUNCTION("""COMPUTED_VALUE"""),"No")</f>
        <v>No</v>
      </c>
      <c r="AG744" s="5" t="str">
        <f ca="1">IFERROR(__xludf.DUMMYFUNCTION("""COMPUTED_VALUE"""),"No")</f>
        <v>No</v>
      </c>
      <c r="AH744" s="5" t="str">
        <f ca="1">IFERROR(__xludf.DUMMYFUNCTION("""COMPUTED_VALUE"""),"No")</f>
        <v>No</v>
      </c>
      <c r="AI744" s="5" t="str">
        <f ca="1">IFERROR(__xludf.DUMMYFUNCTION("""COMPUTED_VALUE"""),"No")</f>
        <v>No</v>
      </c>
      <c r="AJ744" s="5" t="str">
        <f ca="1">IFERROR(__xludf.DUMMYFUNCTION("""COMPUTED_VALUE"""),"No")</f>
        <v>No</v>
      </c>
    </row>
    <row r="745" spans="1:36" ht="13">
      <c r="A745" s="5" t="str">
        <f ca="1">IFERROR(__xludf.DUMMYFUNCTION("""COMPUTED_VALUE"""),"20200128TXLUL")</f>
        <v>20200128TXLUL</v>
      </c>
      <c r="B745" s="5">
        <f ca="1">IFERROR(__xludf.DUMMYFUNCTION("""COMPUTED_VALUE"""),1)</f>
        <v>1</v>
      </c>
      <c r="C745" s="5">
        <f ca="1">IFERROR(__xludf.DUMMYFUNCTION("""COMPUTED_VALUE"""),28)</f>
        <v>28</v>
      </c>
      <c r="D745" s="5">
        <f ca="1">IFERROR(__xludf.DUMMYFUNCTION("""COMPUTED_VALUE"""),2020)</f>
        <v>2020</v>
      </c>
      <c r="E745" s="8">
        <f ca="1">IFERROR(__xludf.DUMMYFUNCTION("""COMPUTED_VALUE"""),43858)</f>
        <v>43858</v>
      </c>
      <c r="F745" s="5" t="str">
        <f ca="1">IFERROR(__xludf.DUMMYFUNCTION("""COMPUTED_VALUE"""),"Lufkin Middle School")</f>
        <v>Lufkin Middle School</v>
      </c>
      <c r="G745" s="5">
        <f ca="1">IFERROR(__xludf.DUMMYFUNCTION("""COMPUTED_VALUE"""),0)</f>
        <v>0</v>
      </c>
      <c r="H745" s="5">
        <f ca="1">IFERROR(__xludf.DUMMYFUNCTION("""COMPUTED_VALUE"""),1)</f>
        <v>1</v>
      </c>
      <c r="I745" s="5">
        <f ca="1">IFERROR(__xludf.DUMMYFUNCTION("""COMPUTED_VALUE"""),1)</f>
        <v>1</v>
      </c>
      <c r="J745" s="5">
        <f ca="1">IFERROR(__xludf.DUMMYFUNCTION("""COMPUTED_VALUE"""),0)</f>
        <v>0</v>
      </c>
      <c r="K745" s="5" t="str">
        <f ca="1">IFERROR(__xludf.DUMMYFUNCTION("""COMPUTED_VALUE"""),"https://www.cbs19.tv/article/news/local/lufkin-police-searching-for-2-suspects-in-shooting-investigation/501-e0d443bd-ae32-4dcd-81ef-479743b75e67 https://www.ktre.com/2020/01/29/lufkin-police-identify-victim-shooting-outside-middle-school/ https://www.ktr"&amp;"e.com/2020/03/03/white-gloves-revolver-lead-attempted-murder-charge-shooting-near-lufkin-school/")</f>
        <v>https://www.cbs19.tv/article/news/local/lufkin-police-searching-for-2-suspects-in-shooting-investigation/501-e0d443bd-ae32-4dcd-81ef-479743b75e67 https://www.ktre.com/2020/01/29/lufkin-police-identify-victim-shooting-outside-middle-school/ https://www.ktre.com/2020/03/03/white-gloves-revolver-lead-attempted-murder-charge-shooting-near-lufkin-school/</v>
      </c>
      <c r="L745" s="5"/>
      <c r="M745" s="5"/>
      <c r="N745" s="5">
        <f ca="1">IFERROR(__xludf.DUMMYFUNCTION("""COMPUTED_VALUE"""),4)</f>
        <v>4</v>
      </c>
      <c r="O745" s="5" t="str">
        <f ca="1">IFERROR(__xludf.DUMMYFUNCTION("""COMPUTED_VALUE"""),"Winter")</f>
        <v>Winter</v>
      </c>
      <c r="P745" s="5" t="str">
        <f ca="1">IFERROR(__xludf.DUMMYFUNCTION("""COMPUTED_VALUE"""),"Lufkin")</f>
        <v>Lufkin</v>
      </c>
      <c r="Q745" s="5" t="str">
        <f ca="1">IFERROR(__xludf.DUMMYFUNCTION("""COMPUTED_VALUE"""),"TX")</f>
        <v>TX</v>
      </c>
      <c r="R745" s="5" t="str">
        <f ca="1">IFERROR(__xludf.DUMMYFUNCTION("""COMPUTED_VALUE"""),"High")</f>
        <v>High</v>
      </c>
      <c r="S745" s="5" t="str">
        <f ca="1">IFERROR(__xludf.DUMMYFUNCTION("""COMPUTED_VALUE"""),"Front of School")</f>
        <v>Front of School</v>
      </c>
      <c r="T745" s="5" t="str">
        <f ca="1">IFERROR(__xludf.DUMMYFUNCTION("""COMPUTED_VALUE"""),"Outside on School Property")</f>
        <v>Outside on School Property</v>
      </c>
      <c r="U745" s="5" t="str">
        <f ca="1">IFERROR(__xludf.DUMMYFUNCTION("""COMPUTED_VALUE"""),"No")</f>
        <v>No</v>
      </c>
      <c r="V745" s="5" t="str">
        <f ca="1">IFERROR(__xludf.DUMMYFUNCTION("""COMPUTED_VALUE"""),"Sport Event")</f>
        <v>Sport Event</v>
      </c>
      <c r="W745" s="10">
        <f ca="1">IFERROR(__xludf.DUMMYFUNCTION("""COMPUTED_VALUE"""),0.854166666666666)</f>
        <v>0.85416666666666596</v>
      </c>
      <c r="X745" s="5">
        <f ca="1">IFERROR(__xludf.DUMMYFUNCTION("""COMPUTED_VALUE"""),1)</f>
        <v>1</v>
      </c>
      <c r="Y745" s="5" t="str">
        <f ca="1">IFERROR(__xludf.DUMMYFUNCTION("""COMPUTED_VALUE"""),"17YOM student shot by two suspects in front of school during basketball game")</f>
        <v>17YOM student shot by two suspects in front of school during basketball game</v>
      </c>
      <c r="Z745" s="5" t="str">
        <f ca="1">IFERROR(__xludf.DUMMYFUNCTION("""COMPUTED_VALUE"""),"Police officers assigned to the high school basketball game heard gunshots and found a 17YOM student shot in front of the school. Victim was seen talking to 2 unidentified males prior to the shooting who fled the area. Police said the shooting was not rel"&amp;"ated to the rivalry basketball game. Shooter and victim were members of rival gang. Agreed to meet in front of school for fight when the shooting occured.")</f>
        <v>Police officers assigned to the high school basketball game heard gunshots and found a 17YOM student shot in front of the school. Victim was seen talking to 2 unidentified males prior to the shooting who fled the area. Police said the shooting was not related to the rivalry basketball game. Shooter and victim were members of rival gang. Agreed to meet in front of school for fight when the shooting occured.</v>
      </c>
      <c r="AA745" s="5" t="str">
        <f ca="1">IFERROR(__xludf.DUMMYFUNCTION("""COMPUTED_VALUE"""),"Escalation of Dispute")</f>
        <v>Escalation of Dispute</v>
      </c>
      <c r="AB745" s="5" t="str">
        <f ca="1">IFERROR(__xludf.DUMMYFUNCTION("""COMPUTED_VALUE"""),"Victims Targeted")</f>
        <v>Victims Targeted</v>
      </c>
      <c r="AC745" s="5" t="str">
        <f ca="1">IFERROR(__xludf.DUMMYFUNCTION("""COMPUTED_VALUE"""),"Yes")</f>
        <v>Yes</v>
      </c>
      <c r="AD745" s="5" t="str">
        <f ca="1">IFERROR(__xludf.DUMMYFUNCTION("""COMPUTED_VALUE"""),"No")</f>
        <v>No</v>
      </c>
      <c r="AE745" s="5" t="str">
        <f ca="1">IFERROR(__xludf.DUMMYFUNCTION("""COMPUTED_VALUE"""),"No")</f>
        <v>No</v>
      </c>
      <c r="AF745" s="5" t="str">
        <f ca="1">IFERROR(__xludf.DUMMYFUNCTION("""COMPUTED_VALUE"""),"No")</f>
        <v>No</v>
      </c>
      <c r="AG745" s="5" t="str">
        <f ca="1">IFERROR(__xludf.DUMMYFUNCTION("""COMPUTED_VALUE"""),"No")</f>
        <v>No</v>
      </c>
      <c r="AH745" s="5" t="str">
        <f ca="1">IFERROR(__xludf.DUMMYFUNCTION("""COMPUTED_VALUE"""),"No")</f>
        <v>No</v>
      </c>
      <c r="AI745" s="5" t="str">
        <f ca="1">IFERROR(__xludf.DUMMYFUNCTION("""COMPUTED_VALUE"""),"Yes")</f>
        <v>Yes</v>
      </c>
      <c r="AJ745" s="5" t="str">
        <f ca="1">IFERROR(__xludf.DUMMYFUNCTION("""COMPUTED_VALUE"""),"No")</f>
        <v>No</v>
      </c>
    </row>
    <row r="746" spans="1:36" ht="13">
      <c r="A746" s="5" t="str">
        <f ca="1">IFERROR(__xludf.DUMMYFUNCTION("""COMPUTED_VALUE"""),"20200127WAROY")</f>
        <v>20200127WAROY</v>
      </c>
      <c r="B746" s="5">
        <f ca="1">IFERROR(__xludf.DUMMYFUNCTION("""COMPUTED_VALUE"""),1)</f>
        <v>1</v>
      </c>
      <c r="C746" s="5">
        <f ca="1">IFERROR(__xludf.DUMMYFUNCTION("""COMPUTED_VALUE"""),27)</f>
        <v>27</v>
      </c>
      <c r="D746" s="5">
        <f ca="1">IFERROR(__xludf.DUMMYFUNCTION("""COMPUTED_VALUE"""),2020)</f>
        <v>2020</v>
      </c>
      <c r="E746" s="8">
        <f ca="1">IFERROR(__xludf.DUMMYFUNCTION("""COMPUTED_VALUE"""),43857)</f>
        <v>43857</v>
      </c>
      <c r="F746" s="5" t="str">
        <f ca="1">IFERROR(__xludf.DUMMYFUNCTION("""COMPUTED_VALUE"""),"Robertson Elementary School")</f>
        <v>Robertson Elementary School</v>
      </c>
      <c r="G746" s="5">
        <f ca="1">IFERROR(__xludf.DUMMYFUNCTION("""COMPUTED_VALUE"""),0)</f>
        <v>0</v>
      </c>
      <c r="H746" s="5">
        <f ca="1">IFERROR(__xludf.DUMMYFUNCTION("""COMPUTED_VALUE"""),0)</f>
        <v>0</v>
      </c>
      <c r="I746" s="5">
        <f ca="1">IFERROR(__xludf.DUMMYFUNCTION("""COMPUTED_VALUE"""),0)</f>
        <v>0</v>
      </c>
      <c r="J746" s="5">
        <f ca="1">IFERROR(__xludf.DUMMYFUNCTION("""COMPUTED_VALUE"""),0)</f>
        <v>0</v>
      </c>
      <c r="K746" s="9" t="str">
        <f ca="1">IFERROR(__xludf.DUMMYFUNCTION("""COMPUTED_VALUE"""),"https://kimatv.com/news/local/police-yakima-teen-arrested-for-threatening-woman-girl-at-and-elementary-school")</f>
        <v>https://kimatv.com/news/local/police-yakima-teen-arrested-for-threatening-woman-girl-at-and-elementary-school</v>
      </c>
      <c r="L746" s="5"/>
      <c r="M746" s="5"/>
      <c r="N746" s="5">
        <f ca="1">IFERROR(__xludf.DUMMYFUNCTION("""COMPUTED_VALUE"""),4)</f>
        <v>4</v>
      </c>
      <c r="O746" s="5" t="str">
        <f ca="1">IFERROR(__xludf.DUMMYFUNCTION("""COMPUTED_VALUE"""),"Winter")</f>
        <v>Winter</v>
      </c>
      <c r="P746" s="5" t="str">
        <f ca="1">IFERROR(__xludf.DUMMYFUNCTION("""COMPUTED_VALUE"""),"Yakima")</f>
        <v>Yakima</v>
      </c>
      <c r="Q746" s="5" t="str">
        <f ca="1">IFERROR(__xludf.DUMMYFUNCTION("""COMPUTED_VALUE"""),"WA")</f>
        <v>WA</v>
      </c>
      <c r="R746" s="5" t="str">
        <f ca="1">IFERROR(__xludf.DUMMYFUNCTION("""COMPUTED_VALUE"""),"Elementary")</f>
        <v>Elementary</v>
      </c>
      <c r="S746" s="5" t="str">
        <f ca="1">IFERROR(__xludf.DUMMYFUNCTION("""COMPUTED_VALUE"""),"Playground")</f>
        <v>Playground</v>
      </c>
      <c r="T746" s="5" t="str">
        <f ca="1">IFERROR(__xludf.DUMMYFUNCTION("""COMPUTED_VALUE"""),"Outside on School Property")</f>
        <v>Outside on School Property</v>
      </c>
      <c r="U746" s="5" t="str">
        <f ca="1">IFERROR(__xludf.DUMMYFUNCTION("""COMPUTED_VALUE"""),"No")</f>
        <v>No</v>
      </c>
      <c r="V746" s="5" t="str">
        <f ca="1">IFERROR(__xludf.DUMMYFUNCTION("""COMPUTED_VALUE"""),"After School")</f>
        <v>After School</v>
      </c>
      <c r="W746" s="10">
        <f ca="1">IFERROR(__xludf.DUMMYFUNCTION("""COMPUTED_VALUE"""),0.645833333333333)</f>
        <v>0.64583333333333304</v>
      </c>
      <c r="X746" s="5">
        <f ca="1">IFERROR(__xludf.DUMMYFUNCTION("""COMPUTED_VALUE"""),1)</f>
        <v>1</v>
      </c>
      <c r="Y746" s="5" t="str">
        <f ca="1">IFERROR(__xludf.DUMMYFUNCTION("""COMPUTED_VALUE"""),"18YOM pointed gun at multiple students and parents on school playground then fled the area in a vehicle")</f>
        <v>18YOM pointed gun at multiple students and parents on school playground then fled the area in a vehicle</v>
      </c>
      <c r="Z746" s="5" t="str">
        <f ca="1">IFERROR(__xludf.DUMMYFUNCTION("""COMPUTED_VALUE"""),"18YOM approached juvenile on school playground and asked him if he ""banged"". Shooter then pulled out a handgun and pointed it at the juvenile, pointed it at another juvenile film with her cell phone, and then a parent in a vehicle in the parking lot. Ac"&amp;"cording to court documents, the man then noticed the woman turned his attention away from the girl recording on her phone, pointed a gun at the woman calling 911, and then ran to a car with 4 other people inside and was then driven away.")</f>
        <v>18YOM approached juvenile on school playground and asked him if he "banged". Shooter then pulled out a handgun and pointed it at the juvenile, pointed it at another juvenile film with her cell phone, and then a parent in a vehicle in the parking lot. According to court documents, the man then noticed the woman turned his attention away from the girl recording on her phone, pointed a gun at the woman calling 911, and then ran to a car with 4 other people inside and was then driven away.</v>
      </c>
      <c r="AA746" s="5" t="str">
        <f ca="1">IFERROR(__xludf.DUMMYFUNCTION("""COMPUTED_VALUE"""),"Illegal Activity")</f>
        <v>Illegal Activity</v>
      </c>
      <c r="AB746" s="5" t="str">
        <f ca="1">IFERROR(__xludf.DUMMYFUNCTION("""COMPUTED_VALUE"""),"Victims Targeted")</f>
        <v>Victims Targeted</v>
      </c>
      <c r="AC746" s="5" t="str">
        <f ca="1">IFERROR(__xludf.DUMMYFUNCTION("""COMPUTED_VALUE"""),"Yes")</f>
        <v>Yes</v>
      </c>
      <c r="AD746" s="5" t="str">
        <f ca="1">IFERROR(__xludf.DUMMYFUNCTION("""COMPUTED_VALUE"""),"No")</f>
        <v>No</v>
      </c>
      <c r="AE746" s="5" t="str">
        <f ca="1">IFERROR(__xludf.DUMMYFUNCTION("""COMPUTED_VALUE"""),"No")</f>
        <v>No</v>
      </c>
      <c r="AF746" s="5" t="str">
        <f ca="1">IFERROR(__xludf.DUMMYFUNCTION("""COMPUTED_VALUE"""),"No")</f>
        <v>No</v>
      </c>
      <c r="AG746" s="5" t="str">
        <f ca="1">IFERROR(__xludf.DUMMYFUNCTION("""COMPUTED_VALUE"""),"No")</f>
        <v>No</v>
      </c>
      <c r="AH746" s="5" t="str">
        <f ca="1">IFERROR(__xludf.DUMMYFUNCTION("""COMPUTED_VALUE"""),"No")</f>
        <v>No</v>
      </c>
      <c r="AI746" s="5" t="str">
        <f ca="1">IFERROR(__xludf.DUMMYFUNCTION("""COMPUTED_VALUE"""),"Yes")</f>
        <v>Yes</v>
      </c>
      <c r="AJ746" s="5" t="str">
        <f ca="1">IFERROR(__xludf.DUMMYFUNCTION("""COMPUTED_VALUE"""),"No")</f>
        <v>No</v>
      </c>
    </row>
    <row r="747" spans="1:36" ht="13">
      <c r="A747" s="5" t="str">
        <f ca="1">IFERROR(__xludf.DUMMYFUNCTION("""COMPUTED_VALUE"""),"20200123CAOXO")</f>
        <v>20200123CAOXO</v>
      </c>
      <c r="B747" s="5">
        <f ca="1">IFERROR(__xludf.DUMMYFUNCTION("""COMPUTED_VALUE"""),1)</f>
        <v>1</v>
      </c>
      <c r="C747" s="5">
        <f ca="1">IFERROR(__xludf.DUMMYFUNCTION("""COMPUTED_VALUE"""),23)</f>
        <v>23</v>
      </c>
      <c r="D747" s="5">
        <f ca="1">IFERROR(__xludf.DUMMYFUNCTION("""COMPUTED_VALUE"""),2020)</f>
        <v>2020</v>
      </c>
      <c r="E747" s="8">
        <f ca="1">IFERROR(__xludf.DUMMYFUNCTION("""COMPUTED_VALUE"""),43853)</f>
        <v>43853</v>
      </c>
      <c r="F747" s="5" t="str">
        <f ca="1">IFERROR(__xludf.DUMMYFUNCTION("""COMPUTED_VALUE"""),"Oxnard's Christa McAuliffe Elementary School")</f>
        <v>Oxnard's Christa McAuliffe Elementary School</v>
      </c>
      <c r="G747" s="5">
        <f ca="1">IFERROR(__xludf.DUMMYFUNCTION("""COMPUTED_VALUE"""),0)</f>
        <v>0</v>
      </c>
      <c r="H747" s="5">
        <f ca="1">IFERROR(__xludf.DUMMYFUNCTION("""COMPUTED_VALUE"""),1)</f>
        <v>1</v>
      </c>
      <c r="I747" s="5">
        <f ca="1">IFERROR(__xludf.DUMMYFUNCTION("""COMPUTED_VALUE"""),1)</f>
        <v>1</v>
      </c>
      <c r="J747" s="5">
        <f ca="1">IFERROR(__xludf.DUMMYFUNCTION("""COMPUTED_VALUE"""),0)</f>
        <v>0</v>
      </c>
      <c r="K747" s="5" t="str">
        <f ca="1">IFERROR(__xludf.DUMMYFUNCTION("""COMPUTED_VALUE"""),"https://abc7.com/oxnard-police-respond-to-report-of-possible-shooting-victim-at-school/5873647/?fbclid=IwAR0p0mrpJe74HJ9aojEiuC8_Z-4mRTTFqQN2qAD-n7Q4RUEoxBPpUKdT0tg https://ktla.com/2020/01/23/elementary-school-in-oxnard-on-lockdown-after-person-possibly-"&amp;"shot-police/ https://keyt.com/news/2020/01/23/police-investigate-possible-shooting-victim-near-oxnard-elementary-school/")</f>
        <v>https://abc7.com/oxnard-police-respond-to-report-of-possible-shooting-victim-at-school/5873647/?fbclid=IwAR0p0mrpJe74HJ9aojEiuC8_Z-4mRTTFqQN2qAD-n7Q4RUEoxBPpUKdT0tg https://ktla.com/2020/01/23/elementary-school-in-oxnard-on-lockdown-after-person-possibly-shot-police/ https://keyt.com/news/2020/01/23/police-investigate-possible-shooting-victim-near-oxnard-elementary-school/</v>
      </c>
      <c r="L747" s="5">
        <f ca="1">IFERROR(__xludf.DUMMYFUNCTION("""COMPUTED_VALUE"""),11)</f>
        <v>11</v>
      </c>
      <c r="M747" s="5" t="str">
        <f ca="1">IFERROR(__xludf.DUMMYFUNCTION("""COMPUTED_VALUE"""),"Regional")</f>
        <v>Regional</v>
      </c>
      <c r="N747" s="5">
        <f ca="1">IFERROR(__xludf.DUMMYFUNCTION("""COMPUTED_VALUE"""),4)</f>
        <v>4</v>
      </c>
      <c r="O747" s="5" t="str">
        <f ca="1">IFERROR(__xludf.DUMMYFUNCTION("""COMPUTED_VALUE"""),"Winter")</f>
        <v>Winter</v>
      </c>
      <c r="P747" s="5" t="str">
        <f ca="1">IFERROR(__xludf.DUMMYFUNCTION("""COMPUTED_VALUE"""),"Oxnard")</f>
        <v>Oxnard</v>
      </c>
      <c r="Q747" s="5" t="str">
        <f ca="1">IFERROR(__xludf.DUMMYFUNCTION("""COMPUTED_VALUE"""),"CA")</f>
        <v>CA</v>
      </c>
      <c r="R747" s="5" t="str">
        <f ca="1">IFERROR(__xludf.DUMMYFUNCTION("""COMPUTED_VALUE"""),"Elementary")</f>
        <v>Elementary</v>
      </c>
      <c r="S747" s="5" t="str">
        <f ca="1">IFERROR(__xludf.DUMMYFUNCTION("""COMPUTED_VALUE"""),"Playground")</f>
        <v>Playground</v>
      </c>
      <c r="T747" s="5" t="str">
        <f ca="1">IFERROR(__xludf.DUMMYFUNCTION("""COMPUTED_VALUE"""),"Outside on School Property")</f>
        <v>Outside on School Property</v>
      </c>
      <c r="U747" s="5" t="str">
        <f ca="1">IFERROR(__xludf.DUMMYFUNCTION("""COMPUTED_VALUE"""),"Yes")</f>
        <v>Yes</v>
      </c>
      <c r="V747" s="5" t="str">
        <f ca="1">IFERROR(__xludf.DUMMYFUNCTION("""COMPUTED_VALUE"""),"Lunch")</f>
        <v>Lunch</v>
      </c>
      <c r="W747" s="10">
        <f ca="1">IFERROR(__xludf.DUMMYFUNCTION("""COMPUTED_VALUE"""),0.479166666666666)</f>
        <v>0.47916666666666602</v>
      </c>
      <c r="X747" s="5">
        <f ca="1">IFERROR(__xludf.DUMMYFUNCTION("""COMPUTED_VALUE"""),1)</f>
        <v>1</v>
      </c>
      <c r="Y747" s="5" t="str">
        <f ca="1">IFERROR(__xludf.DUMMYFUNCTION("""COMPUTED_VALUE"""),"Car-to-car shooting, a student was struck on the playground")</f>
        <v>Car-to-car shooting, a student was struck on the playground</v>
      </c>
      <c r="Z747" s="5" t="str">
        <f ca="1">IFERROR(__xludf.DUMMYFUNCTION("""COMPUTED_VALUE"""),"A 9 year-old girl at an Oxnard elementary school was hospitalized after she was struck by a stray bullet from a nearby car-to-car shooting as she was playing on the playground. Victim was sent to the hospital with a wound in the lower extremities.")</f>
        <v>A 9 year-old girl at an Oxnard elementary school was hospitalized after she was struck by a stray bullet from a nearby car-to-car shooting as she was playing on the playground. Victim was sent to the hospital with a wound in the lower extremities.</v>
      </c>
      <c r="AA747" s="5" t="str">
        <f ca="1">IFERROR(__xludf.DUMMYFUNCTION("""COMPUTED_VALUE"""),"Drive-by Shooting")</f>
        <v>Drive-by Shooting</v>
      </c>
      <c r="AB747" s="5" t="str">
        <f ca="1">IFERROR(__xludf.DUMMYFUNCTION("""COMPUTED_VALUE"""),"Random Shooting")</f>
        <v>Random Shooting</v>
      </c>
      <c r="AC747" s="5"/>
      <c r="AD747" s="5" t="str">
        <f ca="1">IFERROR(__xludf.DUMMYFUNCTION("""COMPUTED_VALUE"""),"No")</f>
        <v>No</v>
      </c>
      <c r="AE747" s="5" t="str">
        <f ca="1">IFERROR(__xludf.DUMMYFUNCTION("""COMPUTED_VALUE"""),"No")</f>
        <v>No</v>
      </c>
      <c r="AF747" s="5" t="str">
        <f ca="1">IFERROR(__xludf.DUMMYFUNCTION("""COMPUTED_VALUE"""),"No")</f>
        <v>No</v>
      </c>
      <c r="AG747" s="5" t="str">
        <f ca="1">IFERROR(__xludf.DUMMYFUNCTION("""COMPUTED_VALUE"""),"N/A")</f>
        <v>N/A</v>
      </c>
      <c r="AH747" s="5"/>
      <c r="AI747" s="5" t="str">
        <f ca="1">IFERROR(__xludf.DUMMYFUNCTION("""COMPUTED_VALUE"""),"Yes")</f>
        <v>Yes</v>
      </c>
      <c r="AJ747" s="5" t="str">
        <f ca="1">IFERROR(__xludf.DUMMYFUNCTION("""COMPUTED_VALUE"""),"No")</f>
        <v>No</v>
      </c>
    </row>
    <row r="748" spans="1:36" ht="13">
      <c r="A748" s="5" t="str">
        <f ca="1">IFERROR(__xludf.DUMMYFUNCTION("""COMPUTED_VALUE"""),"20200121NEPAL")</f>
        <v>20200121NEPAL</v>
      </c>
      <c r="B748" s="5">
        <f ca="1">IFERROR(__xludf.DUMMYFUNCTION("""COMPUTED_VALUE"""),1)</f>
        <v>1</v>
      </c>
      <c r="C748" s="5">
        <f ca="1">IFERROR(__xludf.DUMMYFUNCTION("""COMPUTED_VALUE"""),21)</f>
        <v>21</v>
      </c>
      <c r="D748" s="5">
        <f ca="1">IFERROR(__xludf.DUMMYFUNCTION("""COMPUTED_VALUE"""),2020)</f>
        <v>2020</v>
      </c>
      <c r="E748" s="8">
        <f ca="1">IFERROR(__xludf.DUMMYFUNCTION("""COMPUTED_VALUE"""),43851)</f>
        <v>43851</v>
      </c>
      <c r="F748" s="5" t="str">
        <f ca="1">IFERROR(__xludf.DUMMYFUNCTION("""COMPUTED_VALUE"""),"Park Middle School")</f>
        <v>Park Middle School</v>
      </c>
      <c r="G748" s="5">
        <f ca="1">IFERROR(__xludf.DUMMYFUNCTION("""COMPUTED_VALUE"""),0)</f>
        <v>0</v>
      </c>
      <c r="H748" s="5">
        <f ca="1">IFERROR(__xludf.DUMMYFUNCTION("""COMPUTED_VALUE"""),0)</f>
        <v>0</v>
      </c>
      <c r="I748" s="5">
        <f ca="1">IFERROR(__xludf.DUMMYFUNCTION("""COMPUTED_VALUE"""),0)</f>
        <v>0</v>
      </c>
      <c r="J748" s="5">
        <f ca="1">IFERROR(__xludf.DUMMYFUNCTION("""COMPUTED_VALUE"""),0)</f>
        <v>0</v>
      </c>
      <c r="K748" s="9" t="str">
        <f ca="1">IFERROR(__xludf.DUMMYFUNCTION("""COMPUTED_VALUE"""),"https://www.klkntv.com/story/41605181/car-breakins-occur-at-a-lincoln-middle-school")</f>
        <v>https://www.klkntv.com/story/41605181/car-breakins-occur-at-a-lincoln-middle-school</v>
      </c>
      <c r="L748" s="5"/>
      <c r="M748" s="5"/>
      <c r="N748" s="5">
        <f ca="1">IFERROR(__xludf.DUMMYFUNCTION("""COMPUTED_VALUE"""),4)</f>
        <v>4</v>
      </c>
      <c r="O748" s="5" t="str">
        <f ca="1">IFERROR(__xludf.DUMMYFUNCTION("""COMPUTED_VALUE"""),"Winter")</f>
        <v>Winter</v>
      </c>
      <c r="P748" s="5" t="str">
        <f ca="1">IFERROR(__xludf.DUMMYFUNCTION("""COMPUTED_VALUE"""),"Lincoln")</f>
        <v>Lincoln</v>
      </c>
      <c r="Q748" s="5" t="str">
        <f ca="1">IFERROR(__xludf.DUMMYFUNCTION("""COMPUTED_VALUE"""),"NE")</f>
        <v>NE</v>
      </c>
      <c r="R748" s="5" t="str">
        <f ca="1">IFERROR(__xludf.DUMMYFUNCTION("""COMPUTED_VALUE"""),"Middle")</f>
        <v>Middle</v>
      </c>
      <c r="S748" s="5" t="str">
        <f ca="1">IFERROR(__xludf.DUMMYFUNCTION("""COMPUTED_VALUE"""),"Parking Lot")</f>
        <v>Parking Lot</v>
      </c>
      <c r="T748" s="5" t="str">
        <f ca="1">IFERROR(__xludf.DUMMYFUNCTION("""COMPUTED_VALUE"""),"Outside on School Property")</f>
        <v>Outside on School Property</v>
      </c>
      <c r="U748" s="5" t="str">
        <f ca="1">IFERROR(__xludf.DUMMYFUNCTION("""COMPUTED_VALUE"""),"No")</f>
        <v>No</v>
      </c>
      <c r="V748" s="5" t="str">
        <f ca="1">IFERROR(__xludf.DUMMYFUNCTION("""COMPUTED_VALUE"""),"Evening")</f>
        <v>Evening</v>
      </c>
      <c r="W748" s="10">
        <f ca="1">IFERROR(__xludf.DUMMYFUNCTION("""COMPUTED_VALUE"""),0.739583333333333)</f>
        <v>0.73958333333333304</v>
      </c>
      <c r="X748" s="5"/>
      <c r="Y748" s="5" t="str">
        <f ca="1">IFERROR(__xludf.DUMMYFUNCTION("""COMPUTED_VALUE"""),"Shot vehicle windows in school parking lot during break-in")</f>
        <v>Shot vehicle windows in school parking lot during break-in</v>
      </c>
      <c r="Z748" s="5" t="str">
        <f ca="1">IFERROR(__xludf.DUMMYFUNCTION("""COMPUTED_VALUE"""),"Multiple vehicle windows shot with BB gun during vehicle break-ins in school parking lot")</f>
        <v>Multiple vehicle windows shot with BB gun during vehicle break-ins in school parking lot</v>
      </c>
      <c r="AA748" s="5" t="str">
        <f ca="1">IFERROR(__xludf.DUMMYFUNCTION("""COMPUTED_VALUE"""),"Intentional Property Damage")</f>
        <v>Intentional Property Damage</v>
      </c>
      <c r="AB748" s="5" t="str">
        <f ca="1">IFERROR(__xludf.DUMMYFUNCTION("""COMPUTED_VALUE"""),"Neither")</f>
        <v>Neither</v>
      </c>
      <c r="AC748" s="5"/>
      <c r="AD748" s="5" t="str">
        <f ca="1">IFERROR(__xludf.DUMMYFUNCTION("""COMPUTED_VALUE"""),"No")</f>
        <v>No</v>
      </c>
      <c r="AE748" s="5" t="str">
        <f ca="1">IFERROR(__xludf.DUMMYFUNCTION("""COMPUTED_VALUE"""),"No")</f>
        <v>No</v>
      </c>
      <c r="AF748" s="5" t="str">
        <f ca="1">IFERROR(__xludf.DUMMYFUNCTION("""COMPUTED_VALUE"""),"No")</f>
        <v>No</v>
      </c>
      <c r="AG748" s="5" t="str">
        <f ca="1">IFERROR(__xludf.DUMMYFUNCTION("""COMPUTED_VALUE"""),"No")</f>
        <v>No</v>
      </c>
      <c r="AH748" s="5" t="str">
        <f ca="1">IFERROR(__xludf.DUMMYFUNCTION("""COMPUTED_VALUE"""),"No")</f>
        <v>No</v>
      </c>
      <c r="AI748" s="5" t="str">
        <f ca="1">IFERROR(__xludf.DUMMYFUNCTION("""COMPUTED_VALUE"""),"No")</f>
        <v>No</v>
      </c>
      <c r="AJ748" s="5" t="str">
        <f ca="1">IFERROR(__xludf.DUMMYFUNCTION("""COMPUTED_VALUE"""),"No")</f>
        <v>No</v>
      </c>
    </row>
    <row r="749" spans="1:36" ht="13">
      <c r="A749" s="5" t="str">
        <f ca="1">IFERROR(__xludf.DUMMYFUNCTION("""COMPUTED_VALUE"""),"20200121ILLIC")</f>
        <v>20200121ILLIC</v>
      </c>
      <c r="B749" s="5">
        <f ca="1">IFERROR(__xludf.DUMMYFUNCTION("""COMPUTED_VALUE"""),1)</f>
        <v>1</v>
      </c>
      <c r="C749" s="5">
        <f ca="1">IFERROR(__xludf.DUMMYFUNCTION("""COMPUTED_VALUE"""),21)</f>
        <v>21</v>
      </c>
      <c r="D749" s="5">
        <f ca="1">IFERROR(__xludf.DUMMYFUNCTION("""COMPUTED_VALUE"""),2020)</f>
        <v>2020</v>
      </c>
      <c r="E749" s="8">
        <f ca="1">IFERROR(__xludf.DUMMYFUNCTION("""COMPUTED_VALUE"""),43851)</f>
        <v>43851</v>
      </c>
      <c r="F749" s="5" t="str">
        <f ca="1">IFERROR(__xludf.DUMMYFUNCTION("""COMPUTED_VALUE"""),"Lindblom Math &amp; Science Academy High School")</f>
        <v>Lindblom Math &amp; Science Academy High School</v>
      </c>
      <c r="G749" s="5">
        <f ca="1">IFERROR(__xludf.DUMMYFUNCTION("""COMPUTED_VALUE"""),0)</f>
        <v>0</v>
      </c>
      <c r="H749" s="5">
        <f ca="1">IFERROR(__xludf.DUMMYFUNCTION("""COMPUTED_VALUE"""),1)</f>
        <v>1</v>
      </c>
      <c r="I749" s="5">
        <f ca="1">IFERROR(__xludf.DUMMYFUNCTION("""COMPUTED_VALUE"""),1)</f>
        <v>1</v>
      </c>
      <c r="J749" s="5">
        <f ca="1">IFERROR(__xludf.DUMMYFUNCTION("""COMPUTED_VALUE"""),0)</f>
        <v>0</v>
      </c>
      <c r="K749" s="9" t="str">
        <f ca="1">IFERROR(__xludf.DUMMYFUNCTION("""COMPUTED_VALUE"""),"https://chicago.cbslocal.com/2020/01/22/lindblom-high-school-shooting-robbery-swim-team-members/")</f>
        <v>https://chicago.cbslocal.com/2020/01/22/lindblom-high-school-shooting-robbery-swim-team-members/</v>
      </c>
      <c r="L749" s="5"/>
      <c r="M749" s="5"/>
      <c r="N749" s="5">
        <f ca="1">IFERROR(__xludf.DUMMYFUNCTION("""COMPUTED_VALUE"""),3)</f>
        <v>3</v>
      </c>
      <c r="O749" s="5" t="str">
        <f ca="1">IFERROR(__xludf.DUMMYFUNCTION("""COMPUTED_VALUE"""),"Winter")</f>
        <v>Winter</v>
      </c>
      <c r="P749" s="5" t="str">
        <f ca="1">IFERROR(__xludf.DUMMYFUNCTION("""COMPUTED_VALUE"""),"Chicago")</f>
        <v>Chicago</v>
      </c>
      <c r="Q749" s="5" t="str">
        <f ca="1">IFERROR(__xludf.DUMMYFUNCTION("""COMPUTED_VALUE"""),"IL")</f>
        <v>IL</v>
      </c>
      <c r="R749" s="5" t="str">
        <f ca="1">IFERROR(__xludf.DUMMYFUNCTION("""COMPUTED_VALUE"""),"High")</f>
        <v>High</v>
      </c>
      <c r="S749" s="5" t="str">
        <f ca="1">IFERROR(__xludf.DUMMYFUNCTION("""COMPUTED_VALUE"""),"Front of School")</f>
        <v>Front of School</v>
      </c>
      <c r="T749" s="5" t="str">
        <f ca="1">IFERROR(__xludf.DUMMYFUNCTION("""COMPUTED_VALUE"""),"Outside on School Property")</f>
        <v>Outside on School Property</v>
      </c>
      <c r="U749" s="5" t="str">
        <f ca="1">IFERROR(__xludf.DUMMYFUNCTION("""COMPUTED_VALUE"""),"No")</f>
        <v>No</v>
      </c>
      <c r="V749" s="5" t="str">
        <f ca="1">IFERROR(__xludf.DUMMYFUNCTION("""COMPUTED_VALUE"""),"Sport Event")</f>
        <v>Sport Event</v>
      </c>
      <c r="W749" s="10">
        <f ca="1">IFERROR(__xludf.DUMMYFUNCTION("""COMPUTED_VALUE"""),0.770833333333333)</f>
        <v>0.77083333333333304</v>
      </c>
      <c r="X749" s="5">
        <f ca="1">IFERROR(__xludf.DUMMYFUNCTION("""COMPUTED_VALUE"""),1)</f>
        <v>1</v>
      </c>
      <c r="Y749" s="5" t="str">
        <f ca="1">IFERROR(__xludf.DUMMYFUNCTION("""COMPUTED_VALUE"""),"Student shot during robbery after leaving swim meet at school")</f>
        <v>Student shot during robbery after leaving swim meet at school</v>
      </c>
      <c r="Z749" s="5" t="str">
        <f ca="1">IFERROR(__xludf.DUMMYFUNCTION("""COMPUTED_VALUE"""),"Two students (15YOM 17YOM) were leaving the school after a swim meet. Car pulled up in front of school and occupant demanded their property. Students ran from the vehicle and the 17YOM student was shot in the chest in front of the school. Shooter fled the"&amp;" area.")</f>
        <v>Two students (15YOM 17YOM) were leaving the school after a swim meet. Car pulled up in front of school and occupant demanded their property. Students ran from the vehicle and the 17YOM student was shot in the chest in front of the school. Shooter fled the area.</v>
      </c>
      <c r="AA749" s="5" t="str">
        <f ca="1">IFERROR(__xludf.DUMMYFUNCTION("""COMPUTED_VALUE"""),"Illegal Activity")</f>
        <v>Illegal Activity</v>
      </c>
      <c r="AB749" s="5" t="str">
        <f ca="1">IFERROR(__xludf.DUMMYFUNCTION("""COMPUTED_VALUE"""),"Victims Targeted")</f>
        <v>Victims Targeted</v>
      </c>
      <c r="AC749" s="5" t="str">
        <f ca="1">IFERROR(__xludf.DUMMYFUNCTION("""COMPUTED_VALUE"""),"Yes")</f>
        <v>Yes</v>
      </c>
      <c r="AD749" s="5" t="str">
        <f ca="1">IFERROR(__xludf.DUMMYFUNCTION("""COMPUTED_VALUE"""),"No")</f>
        <v>No</v>
      </c>
      <c r="AE749" s="5" t="str">
        <f ca="1">IFERROR(__xludf.DUMMYFUNCTION("""COMPUTED_VALUE"""),"No")</f>
        <v>No</v>
      </c>
      <c r="AF749" s="5" t="str">
        <f ca="1">IFERROR(__xludf.DUMMYFUNCTION("""COMPUTED_VALUE"""),"No")</f>
        <v>No</v>
      </c>
      <c r="AG749" s="5" t="str">
        <f ca="1">IFERROR(__xludf.DUMMYFUNCTION("""COMPUTED_VALUE"""),"No")</f>
        <v>No</v>
      </c>
      <c r="AH749" s="5" t="str">
        <f ca="1">IFERROR(__xludf.DUMMYFUNCTION("""COMPUTED_VALUE"""),"No")</f>
        <v>No</v>
      </c>
      <c r="AI749" s="5" t="str">
        <f ca="1">IFERROR(__xludf.DUMMYFUNCTION("""COMPUTED_VALUE"""),"No")</f>
        <v>No</v>
      </c>
      <c r="AJ749" s="5" t="str">
        <f ca="1">IFERROR(__xludf.DUMMYFUNCTION("""COMPUTED_VALUE"""),"No")</f>
        <v>No</v>
      </c>
    </row>
    <row r="750" spans="1:36" ht="13">
      <c r="A750" s="5" t="str">
        <f ca="1">IFERROR(__xludf.DUMMYFUNCTION("""COMPUTED_VALUE"""),"20200119TXNOF")</f>
        <v>20200119TXNOF</v>
      </c>
      <c r="B750" s="5">
        <f ca="1">IFERROR(__xludf.DUMMYFUNCTION("""COMPUTED_VALUE"""),1)</f>
        <v>1</v>
      </c>
      <c r="C750" s="5">
        <f ca="1">IFERROR(__xludf.DUMMYFUNCTION("""COMPUTED_VALUE"""),19)</f>
        <v>19</v>
      </c>
      <c r="D750" s="5">
        <f ca="1">IFERROR(__xludf.DUMMYFUNCTION("""COMPUTED_VALUE"""),2020)</f>
        <v>2020</v>
      </c>
      <c r="E750" s="8">
        <f ca="1">IFERROR(__xludf.DUMMYFUNCTION("""COMPUTED_VALUE"""),43849)</f>
        <v>43849</v>
      </c>
      <c r="F750" s="5" t="str">
        <f ca="1">IFERROR(__xludf.DUMMYFUNCTION("""COMPUTED_VALUE"""),"North Crowley Ninth Grade Campus")</f>
        <v>North Crowley Ninth Grade Campus</v>
      </c>
      <c r="G750" s="5">
        <f ca="1">IFERROR(__xludf.DUMMYFUNCTION("""COMPUTED_VALUE"""),0)</f>
        <v>0</v>
      </c>
      <c r="H750" s="5">
        <f ca="1">IFERROR(__xludf.DUMMYFUNCTION("""COMPUTED_VALUE"""),2)</f>
        <v>2</v>
      </c>
      <c r="I750" s="5">
        <f ca="1">IFERROR(__xludf.DUMMYFUNCTION("""COMPUTED_VALUE"""),2)</f>
        <v>2</v>
      </c>
      <c r="J750" s="5">
        <f ca="1">IFERROR(__xludf.DUMMYFUNCTION("""COMPUTED_VALUE"""),0)</f>
        <v>0</v>
      </c>
      <c r="K750" s="5" t="str">
        <f ca="1">IFERROR(__xludf.DUMMYFUNCTION("""COMPUTED_VALUE"""),"https://www.star-telegram.com/news/local/crime/article239450188.html https://www.wfaa.com/article/news/local/1-person-shot-at-parking-lot-of-school-campus-in-fort-worth-police-say/287-1bc57cb9-271c-4a57-bbfc-6fb21b9c4009")</f>
        <v>https://www.star-telegram.com/news/local/crime/article239450188.html https://www.wfaa.com/article/news/local/1-person-shot-at-parking-lot-of-school-campus-in-fort-worth-police-say/287-1bc57cb9-271c-4a57-bbfc-6fb21b9c4009</v>
      </c>
      <c r="L750" s="5"/>
      <c r="M750" s="5"/>
      <c r="N750" s="5">
        <f ca="1">IFERROR(__xludf.DUMMYFUNCTION("""COMPUTED_VALUE"""),4)</f>
        <v>4</v>
      </c>
      <c r="O750" s="5" t="str">
        <f ca="1">IFERROR(__xludf.DUMMYFUNCTION("""COMPUTED_VALUE"""),"Winter")</f>
        <v>Winter</v>
      </c>
      <c r="P750" s="5" t="str">
        <f ca="1">IFERROR(__xludf.DUMMYFUNCTION("""COMPUTED_VALUE"""),"Fort Worth")</f>
        <v>Fort Worth</v>
      </c>
      <c r="Q750" s="5" t="str">
        <f ca="1">IFERROR(__xludf.DUMMYFUNCTION("""COMPUTED_VALUE"""),"TX")</f>
        <v>TX</v>
      </c>
      <c r="R750" s="5" t="str">
        <f ca="1">IFERROR(__xludf.DUMMYFUNCTION("""COMPUTED_VALUE"""),"High")</f>
        <v>High</v>
      </c>
      <c r="S750" s="5" t="str">
        <f ca="1">IFERROR(__xludf.DUMMYFUNCTION("""COMPUTED_VALUE"""),"Parking Lot")</f>
        <v>Parking Lot</v>
      </c>
      <c r="T750" s="5" t="str">
        <f ca="1">IFERROR(__xludf.DUMMYFUNCTION("""COMPUTED_VALUE"""),"Outside on School Property")</f>
        <v>Outside on School Property</v>
      </c>
      <c r="U750" s="5" t="str">
        <f ca="1">IFERROR(__xludf.DUMMYFUNCTION("""COMPUTED_VALUE"""),"No")</f>
        <v>No</v>
      </c>
      <c r="V750" s="5" t="str">
        <f ca="1">IFERROR(__xludf.DUMMYFUNCTION("""COMPUTED_VALUE"""),"Sport Event")</f>
        <v>Sport Event</v>
      </c>
      <c r="W750" s="10">
        <f ca="1">IFERROR(__xludf.DUMMYFUNCTION("""COMPUTED_VALUE"""),0.791666666666666)</f>
        <v>0.79166666666666596</v>
      </c>
      <c r="X750" s="5">
        <f ca="1">IFERROR(__xludf.DUMMYFUNCTION("""COMPUTED_VALUE"""),1)</f>
        <v>1</v>
      </c>
      <c r="Y750" s="5" t="str">
        <f ca="1">IFERROR(__xludf.DUMMYFUNCTION("""COMPUTED_VALUE"""),"Targeted shooting of adult male in school parking lot, child was also struck")</f>
        <v>Targeted shooting of adult male in school parking lot, child was also struck</v>
      </c>
      <c r="Z750" s="5" t="str">
        <f ca="1">IFERROR(__xludf.DUMMYFUNCTION("""COMPUTED_VALUE"""),"Adult male confronted person who was damaging vehicles in the parking lot. Shooters fired at the adult victim and also struck a child. Police believe there were two shooters because 2 types of shell casings were found and the shooters may have been waitin"&amp;"g for the victim. The school was being rented out for a basketball game. Armed security is provided for all school events but not 3rd party rentals. Armed security will be present at all future events. Shooter fled the scene.")</f>
        <v>Adult male confronted person who was damaging vehicles in the parking lot. Shooters fired at the adult victim and also struck a child. Police believe there were two shooters because 2 types of shell casings were found and the shooters may have been waiting for the victim. The school was being rented out for a basketball game. Armed security is provided for all school events but not 3rd party rentals. Armed security will be present at all future events. Shooter fled the scene.</v>
      </c>
      <c r="AA750" s="5" t="str">
        <f ca="1">IFERROR(__xludf.DUMMYFUNCTION("""COMPUTED_VALUE"""),"Escalation of Dispute")</f>
        <v>Escalation of Dispute</v>
      </c>
      <c r="AB750" s="5" t="str">
        <f ca="1">IFERROR(__xludf.DUMMYFUNCTION("""COMPUTED_VALUE"""),"Both")</f>
        <v>Both</v>
      </c>
      <c r="AC750" s="5" t="str">
        <f ca="1">IFERROR(__xludf.DUMMYFUNCTION("""COMPUTED_VALUE"""),"Yes")</f>
        <v>Yes</v>
      </c>
      <c r="AD750" s="5" t="str">
        <f ca="1">IFERROR(__xludf.DUMMYFUNCTION("""COMPUTED_VALUE"""),"No")</f>
        <v>No</v>
      </c>
      <c r="AE750" s="5" t="str">
        <f ca="1">IFERROR(__xludf.DUMMYFUNCTION("""COMPUTED_VALUE"""),"No")</f>
        <v>No</v>
      </c>
      <c r="AF750" s="5" t="str">
        <f ca="1">IFERROR(__xludf.DUMMYFUNCTION("""COMPUTED_VALUE"""),"No")</f>
        <v>No</v>
      </c>
      <c r="AG750" s="5" t="str">
        <f ca="1">IFERROR(__xludf.DUMMYFUNCTION("""COMPUTED_VALUE"""),"No")</f>
        <v>No</v>
      </c>
      <c r="AH750" s="5" t="str">
        <f ca="1">IFERROR(__xludf.DUMMYFUNCTION("""COMPUTED_VALUE"""),"No")</f>
        <v>No</v>
      </c>
      <c r="AI750" s="5" t="str">
        <f ca="1">IFERROR(__xludf.DUMMYFUNCTION("""COMPUTED_VALUE"""),"No")</f>
        <v>No</v>
      </c>
      <c r="AJ750" s="5" t="str">
        <f ca="1">IFERROR(__xludf.DUMMYFUNCTION("""COMPUTED_VALUE"""),"No")</f>
        <v>No</v>
      </c>
    </row>
    <row r="751" spans="1:36" ht="13">
      <c r="A751" s="5" t="str">
        <f ca="1">IFERROR(__xludf.DUMMYFUNCTION("""COMPUTED_VALUE"""),"20200117MITHH")</f>
        <v>20200117MITHH</v>
      </c>
      <c r="B751" s="5">
        <f ca="1">IFERROR(__xludf.DUMMYFUNCTION("""COMPUTED_VALUE"""),1)</f>
        <v>1</v>
      </c>
      <c r="C751" s="5">
        <f ca="1">IFERROR(__xludf.DUMMYFUNCTION("""COMPUTED_VALUE"""),17)</f>
        <v>17</v>
      </c>
      <c r="D751" s="5">
        <f ca="1">IFERROR(__xludf.DUMMYFUNCTION("""COMPUTED_VALUE"""),2020)</f>
        <v>2020</v>
      </c>
      <c r="E751" s="8">
        <f ca="1">IFERROR(__xludf.DUMMYFUNCTION("""COMPUTED_VALUE"""),43847)</f>
        <v>43847</v>
      </c>
      <c r="F751" s="5" t="str">
        <f ca="1">IFERROR(__xludf.DUMMYFUNCTION("""COMPUTED_VALUE"""),"Three Fires Elementary School")</f>
        <v>Three Fires Elementary School</v>
      </c>
      <c r="G751" s="5">
        <f ca="1">IFERROR(__xludf.DUMMYFUNCTION("""COMPUTED_VALUE"""),0)</f>
        <v>0</v>
      </c>
      <c r="H751" s="5">
        <f ca="1">IFERROR(__xludf.DUMMYFUNCTION("""COMPUTED_VALUE"""),1)</f>
        <v>1</v>
      </c>
      <c r="I751" s="5">
        <f ca="1">IFERROR(__xludf.DUMMYFUNCTION("""COMPUTED_VALUE"""),1)</f>
        <v>1</v>
      </c>
      <c r="J751" s="5">
        <f ca="1">IFERROR(__xludf.DUMMYFUNCTION("""COMPUTED_VALUE"""),0)</f>
        <v>0</v>
      </c>
      <c r="K751" s="5" t="str">
        <f ca="1">IFERROR(__xludf.DUMMYFUNCTION("""COMPUTED_VALUE"""),"https://www.whmi.com/news/article/three-fires-elementary-school-shooting https://www.fox2detroit.com/news/man-accidentally-shoots-himself-outside-brighton-area-elementary-school https://www.wxyz.com/news/parent-charged-after-gun-goes-off-at-howell-element"&amp;"ary-school https://www.livingstondaily.com/story/news/local/2020/03/09/man-whose-gun-went-off-howell-school-parking-lot-pleads-guilty/5002939002/ https://www.livingstondaily.com/story/news/local/2020/07/14/man-who-accidentally-shot-himself-near-howell-sch"&amp;"ool-sentenced/5430842002/")</f>
        <v>https://www.whmi.com/news/article/three-fires-elementary-school-shooting https://www.fox2detroit.com/news/man-accidentally-shoots-himself-outside-brighton-area-elementary-school https://www.wxyz.com/news/parent-charged-after-gun-goes-off-at-howell-elementary-school https://www.livingstondaily.com/story/news/local/2020/03/09/man-whose-gun-went-off-howell-school-parking-lot-pleads-guilty/5002939002/ https://www.livingstondaily.com/story/news/local/2020/07/14/man-who-accidentally-shot-himself-near-howell-school-sentenced/5430842002/</v>
      </c>
      <c r="L751" s="5"/>
      <c r="M751" s="5"/>
      <c r="N751" s="5">
        <f ca="1">IFERROR(__xludf.DUMMYFUNCTION("""COMPUTED_VALUE"""),5)</f>
        <v>5</v>
      </c>
      <c r="O751" s="5" t="str">
        <f ca="1">IFERROR(__xludf.DUMMYFUNCTION("""COMPUTED_VALUE"""),"Winter")</f>
        <v>Winter</v>
      </c>
      <c r="P751" s="5" t="str">
        <f ca="1">IFERROR(__xludf.DUMMYFUNCTION("""COMPUTED_VALUE"""),"Howell")</f>
        <v>Howell</v>
      </c>
      <c r="Q751" s="5" t="str">
        <f ca="1">IFERROR(__xludf.DUMMYFUNCTION("""COMPUTED_VALUE"""),"MI")</f>
        <v>MI</v>
      </c>
      <c r="R751" s="5" t="str">
        <f ca="1">IFERROR(__xludf.DUMMYFUNCTION("""COMPUTED_VALUE"""),"Elementary")</f>
        <v>Elementary</v>
      </c>
      <c r="S751" s="5" t="str">
        <f ca="1">IFERROR(__xludf.DUMMYFUNCTION("""COMPUTED_VALUE"""),"Parking Lot")</f>
        <v>Parking Lot</v>
      </c>
      <c r="T751" s="5" t="str">
        <f ca="1">IFERROR(__xludf.DUMMYFUNCTION("""COMPUTED_VALUE"""),"Outside on School Property")</f>
        <v>Outside on School Property</v>
      </c>
      <c r="U751" s="5" t="str">
        <f ca="1">IFERROR(__xludf.DUMMYFUNCTION("""COMPUTED_VALUE"""),"Yes")</f>
        <v>Yes</v>
      </c>
      <c r="V751" s="5" t="str">
        <f ca="1">IFERROR(__xludf.DUMMYFUNCTION("""COMPUTED_VALUE"""),"Dismissal")</f>
        <v>Dismissal</v>
      </c>
      <c r="W751" s="10">
        <f ca="1">IFERROR(__xludf.DUMMYFUNCTION("""COMPUTED_VALUE"""),0.635416666666666)</f>
        <v>0.63541666666666596</v>
      </c>
      <c r="X751" s="5">
        <f ca="1">IFERROR(__xludf.DUMMYFUNCTION("""COMPUTED_VALUE"""),1)</f>
        <v>1</v>
      </c>
      <c r="Y751" s="5" t="str">
        <f ca="1">IFERROR(__xludf.DUMMYFUNCTION("""COMPUTED_VALUE"""),"Parent shot self while adjusting gun in vehicle while waiting to pick up child")</f>
        <v>Parent shot self while adjusting gun in vehicle while waiting to pick up child</v>
      </c>
      <c r="Z751" s="5" t="str">
        <f ca="1">IFERROR(__xludf.DUMMYFUNCTION("""COMPUTED_VALUE"""),"Parent was waiting in vehicle in the school parking lot for child. Adjusted gun and shot himself in the leg. School went on lockdown. Transported in critical condition. Victim did not have a weapons permit and may face charges.")</f>
        <v>Parent was waiting in vehicle in the school parking lot for child. Adjusted gun and shot himself in the leg. School went on lockdown. Transported in critical condition. Victim did not have a weapons permit and may face charges.</v>
      </c>
      <c r="AA751" s="5" t="str">
        <f ca="1">IFERROR(__xludf.DUMMYFUNCTION("""COMPUTED_VALUE"""),"Accidental")</f>
        <v>Accidental</v>
      </c>
      <c r="AB751" s="5" t="str">
        <f ca="1">IFERROR(__xludf.DUMMYFUNCTION("""COMPUTED_VALUE"""),"Neither")</f>
        <v>Neither</v>
      </c>
      <c r="AC751" s="5" t="str">
        <f ca="1">IFERROR(__xludf.DUMMYFUNCTION("""COMPUTED_VALUE"""),"No")</f>
        <v>No</v>
      </c>
      <c r="AD751" s="5" t="str">
        <f ca="1">IFERROR(__xludf.DUMMYFUNCTION("""COMPUTED_VALUE"""),"No")</f>
        <v>No</v>
      </c>
      <c r="AE751" s="5" t="str">
        <f ca="1">IFERROR(__xludf.DUMMYFUNCTION("""COMPUTED_VALUE"""),"No")</f>
        <v>No</v>
      </c>
      <c r="AF751" s="5" t="str">
        <f ca="1">IFERROR(__xludf.DUMMYFUNCTION("""COMPUTED_VALUE"""),"No")</f>
        <v>No</v>
      </c>
      <c r="AG751" s="5" t="str">
        <f ca="1">IFERROR(__xludf.DUMMYFUNCTION("""COMPUTED_VALUE"""),"No")</f>
        <v>No</v>
      </c>
      <c r="AH751" s="5" t="str">
        <f ca="1">IFERROR(__xludf.DUMMYFUNCTION("""COMPUTED_VALUE"""),"No")</f>
        <v>No</v>
      </c>
      <c r="AI751" s="5" t="str">
        <f ca="1">IFERROR(__xludf.DUMMYFUNCTION("""COMPUTED_VALUE"""),"No")</f>
        <v>No</v>
      </c>
      <c r="AJ751" s="5" t="str">
        <f ca="1">IFERROR(__xludf.DUMMYFUNCTION("""COMPUTED_VALUE"""),"No")</f>
        <v>No</v>
      </c>
    </row>
    <row r="752" spans="1:36" ht="13">
      <c r="A752" s="5" t="str">
        <f ca="1">IFERROR(__xludf.DUMMYFUNCTION("""COMPUTED_VALUE"""),"20200117SCCAS")</f>
        <v>20200117SCCAS</v>
      </c>
      <c r="B752" s="5">
        <f ca="1">IFERROR(__xludf.DUMMYFUNCTION("""COMPUTED_VALUE"""),1)</f>
        <v>1</v>
      </c>
      <c r="C752" s="5">
        <f ca="1">IFERROR(__xludf.DUMMYFUNCTION("""COMPUTED_VALUE"""),17)</f>
        <v>17</v>
      </c>
      <c r="D752" s="5">
        <f ca="1">IFERROR(__xludf.DUMMYFUNCTION("""COMPUTED_VALUE"""),2020)</f>
        <v>2020</v>
      </c>
      <c r="E752" s="8">
        <f ca="1">IFERROR(__xludf.DUMMYFUNCTION("""COMPUTED_VALUE"""),43847)</f>
        <v>43847</v>
      </c>
      <c r="F752" s="5" t="str">
        <f ca="1">IFERROR(__xludf.DUMMYFUNCTION("""COMPUTED_VALUE"""),"Cane Bay High School")</f>
        <v>Cane Bay High School</v>
      </c>
      <c r="G752" s="5">
        <f ca="1">IFERROR(__xludf.DUMMYFUNCTION("""COMPUTED_VALUE"""),0)</f>
        <v>0</v>
      </c>
      <c r="H752" s="5">
        <f ca="1">IFERROR(__xludf.DUMMYFUNCTION("""COMPUTED_VALUE"""),0)</f>
        <v>0</v>
      </c>
      <c r="I752" s="5">
        <f ca="1">IFERROR(__xludf.DUMMYFUNCTION("""COMPUTED_VALUE"""),0)</f>
        <v>0</v>
      </c>
      <c r="J752" s="5">
        <f ca="1">IFERROR(__xludf.DUMMYFUNCTION("""COMPUTED_VALUE"""),1)</f>
        <v>1</v>
      </c>
      <c r="K752" s="5" t="str">
        <f ca="1">IFERROR(__xludf.DUMMYFUNCTION("""COMPUTED_VALUE"""),"https://www.live5news.com/2020/01/17/cane-bay-hs-lockdown-campus-safe-after-students-experiences-medical-emergency/ https://abcnews4.com/news/local/cane-bay-high-school-on-lockdown-for-student-medical-emergency")</f>
        <v>https://www.live5news.com/2020/01/17/cane-bay-hs-lockdown-campus-safe-after-students-experiences-medical-emergency/ https://abcnews4.com/news/local/cane-bay-high-school-on-lockdown-for-student-medical-emergency</v>
      </c>
      <c r="L752" s="5"/>
      <c r="M752" s="5"/>
      <c r="N752" s="5">
        <f ca="1">IFERROR(__xludf.DUMMYFUNCTION("""COMPUTED_VALUE"""),3)</f>
        <v>3</v>
      </c>
      <c r="O752" s="5" t="str">
        <f ca="1">IFERROR(__xludf.DUMMYFUNCTION("""COMPUTED_VALUE"""),"Winter")</f>
        <v>Winter</v>
      </c>
      <c r="P752" s="5" t="str">
        <f ca="1">IFERROR(__xludf.DUMMYFUNCTION("""COMPUTED_VALUE"""),"Summerville")</f>
        <v>Summerville</v>
      </c>
      <c r="Q752" s="5" t="str">
        <f ca="1">IFERROR(__xludf.DUMMYFUNCTION("""COMPUTED_VALUE"""),"SC")</f>
        <v>SC</v>
      </c>
      <c r="R752" s="5" t="str">
        <f ca="1">IFERROR(__xludf.DUMMYFUNCTION("""COMPUTED_VALUE"""),"High")</f>
        <v>High</v>
      </c>
      <c r="S752" s="5" t="str">
        <f ca="1">IFERROR(__xludf.DUMMYFUNCTION("""COMPUTED_VALUE"""),"Parking Lot")</f>
        <v>Parking Lot</v>
      </c>
      <c r="T752" s="5" t="str">
        <f ca="1">IFERROR(__xludf.DUMMYFUNCTION("""COMPUTED_VALUE"""),"Outside on School Property")</f>
        <v>Outside on School Property</v>
      </c>
      <c r="U752" s="5" t="str">
        <f ca="1">IFERROR(__xludf.DUMMYFUNCTION("""COMPUTED_VALUE"""),"Yes")</f>
        <v>Yes</v>
      </c>
      <c r="V752" s="5" t="str">
        <f ca="1">IFERROR(__xludf.DUMMYFUNCTION("""COMPUTED_VALUE"""),"Morning Classes")</f>
        <v>Morning Classes</v>
      </c>
      <c r="W752" s="10">
        <f ca="1">IFERROR(__xludf.DUMMYFUNCTION("""COMPUTED_VALUE"""),0.458333333333333)</f>
        <v>0.45833333333333298</v>
      </c>
      <c r="X752" s="5">
        <f ca="1">IFERROR(__xludf.DUMMYFUNCTION("""COMPUTED_VALUE"""),1)</f>
        <v>1</v>
      </c>
      <c r="Y752" s="5" t="str">
        <f ca="1">IFERROR(__xludf.DUMMYFUNCTION("""COMPUTED_VALUE"""),"16YOM found dead in vehicle in school parking lot, school locked down")</f>
        <v>16YOM found dead in vehicle in school parking lot, school locked down</v>
      </c>
      <c r="Z752" s="5" t="str">
        <f ca="1">IFERROR(__xludf.DUMMYFUNCTION("""COMPUTED_VALUE"""),"16YOM student found dead in vehicle in school parking lot. School was locked down and police reported that there was not an active shooter while they were conducting an investigation in the parking lot. Shooting has not yet been confirmed by law enforceme"&amp;"nt or school officials.")</f>
        <v>16YOM student found dead in vehicle in school parking lot. School was locked down and police reported that there was not an active shooter while they were conducting an investigation in the parking lot. Shooting has not yet been confirmed by law enforcement or school officials.</v>
      </c>
      <c r="AA752" s="5" t="str">
        <f ca="1">IFERROR(__xludf.DUMMYFUNCTION("""COMPUTED_VALUE"""),"Suicide/Attempted")</f>
        <v>Suicide/Attempted</v>
      </c>
      <c r="AB752" s="5" t="str">
        <f ca="1">IFERROR(__xludf.DUMMYFUNCTION("""COMPUTED_VALUE"""),"Victims Targeted")</f>
        <v>Victims Targeted</v>
      </c>
      <c r="AC752" s="5" t="str">
        <f ca="1">IFERROR(__xludf.DUMMYFUNCTION("""COMPUTED_VALUE"""),"No")</f>
        <v>No</v>
      </c>
      <c r="AD752" s="5" t="str">
        <f ca="1">IFERROR(__xludf.DUMMYFUNCTION("""COMPUTED_VALUE"""),"No")</f>
        <v>No</v>
      </c>
      <c r="AE752" s="5" t="str">
        <f ca="1">IFERROR(__xludf.DUMMYFUNCTION("""COMPUTED_VALUE"""),"No")</f>
        <v>No</v>
      </c>
      <c r="AF752" s="5" t="str">
        <f ca="1">IFERROR(__xludf.DUMMYFUNCTION("""COMPUTED_VALUE"""),"No")</f>
        <v>No</v>
      </c>
      <c r="AG752" s="5"/>
      <c r="AH752" s="5" t="str">
        <f ca="1">IFERROR(__xludf.DUMMYFUNCTION("""COMPUTED_VALUE"""),"No")</f>
        <v>No</v>
      </c>
      <c r="AI752" s="5" t="str">
        <f ca="1">IFERROR(__xludf.DUMMYFUNCTION("""COMPUTED_VALUE"""),"No")</f>
        <v>No</v>
      </c>
      <c r="AJ752" s="5" t="str">
        <f ca="1">IFERROR(__xludf.DUMMYFUNCTION("""COMPUTED_VALUE"""),"No")</f>
        <v>No</v>
      </c>
    </row>
    <row r="753" spans="1:36" ht="13">
      <c r="A753" s="5" t="str">
        <f ca="1">IFERROR(__xludf.DUMMYFUNCTION("""COMPUTED_VALUE"""),"20200114TXBEH")</f>
        <v>20200114TXBEH</v>
      </c>
      <c r="B753" s="5">
        <f ca="1">IFERROR(__xludf.DUMMYFUNCTION("""COMPUTED_VALUE"""),1)</f>
        <v>1</v>
      </c>
      <c r="C753" s="5">
        <f ca="1">IFERROR(__xludf.DUMMYFUNCTION("""COMPUTED_VALUE"""),14)</f>
        <v>14</v>
      </c>
      <c r="D753" s="5">
        <f ca="1">IFERROR(__xludf.DUMMYFUNCTION("""COMPUTED_VALUE"""),2020)</f>
        <v>2020</v>
      </c>
      <c r="E753" s="8">
        <f ca="1">IFERROR(__xludf.DUMMYFUNCTION("""COMPUTED_VALUE"""),43844)</f>
        <v>43844</v>
      </c>
      <c r="F753" s="5" t="str">
        <f ca="1">IFERROR(__xludf.DUMMYFUNCTION("""COMPUTED_VALUE"""),"Bellaire High School")</f>
        <v>Bellaire High School</v>
      </c>
      <c r="G753" s="5">
        <f ca="1">IFERROR(__xludf.DUMMYFUNCTION("""COMPUTED_VALUE"""),1)</f>
        <v>1</v>
      </c>
      <c r="H753" s="5">
        <f ca="1">IFERROR(__xludf.DUMMYFUNCTION("""COMPUTED_VALUE"""),0)</f>
        <v>0</v>
      </c>
      <c r="I753" s="5">
        <f ca="1">IFERROR(__xludf.DUMMYFUNCTION("""COMPUTED_VALUE"""),1)</f>
        <v>1</v>
      </c>
      <c r="J753" s="5">
        <f ca="1">IFERROR(__xludf.DUMMYFUNCTION("""COMPUTED_VALUE"""),0)</f>
        <v>0</v>
      </c>
      <c r="K753" s="5" t="str">
        <f ca="1">IFERROR(__xludf.DUMMYFUNCTION("""COMPUTED_VALUE"""),"https://www.khou.com/article/news/crime/bellaire-high-school-shooting-suspect-charged-with-manslaughter/285-594a3ef4-4280-45f2-b548-dafe640e5ee6 https://kfdm.com/news/local/teen-charged-with-manslaughter-in-shooting-death-of-bellaire-high-school-student h"&amp;"ttps://www.khou.com/article/news/verify/verify-why-was-bellaire-high-school-shooting-suspect-not-charged-with-murder/285-a18a16a6-e585-4fba-adfc-d32a52ddf65c https://hosted.ap.org/citizensvoice/article/86d113f968f22a4b34c4ee7288d11920/minor-charged-mansla"&amp;"ughter-texas-school-shooting https://abc13.com/bellaire-hs-shooting-suspect-charged-with-manslaughter/5850016/")</f>
        <v>https://www.khou.com/article/news/crime/bellaire-high-school-shooting-suspect-charged-with-manslaughter/285-594a3ef4-4280-45f2-b548-dafe640e5ee6 https://kfdm.com/news/local/teen-charged-with-manslaughter-in-shooting-death-of-bellaire-high-school-student https://www.khou.com/article/news/verify/verify-why-was-bellaire-high-school-shooting-suspect-not-charged-with-murder/285-a18a16a6-e585-4fba-adfc-d32a52ddf65c https://hosted.ap.org/citizensvoice/article/86d113f968f22a4b34c4ee7288d11920/minor-charged-manslaughter-texas-school-shooting https://abc13.com/bellaire-hs-shooting-suspect-charged-with-manslaughter/5850016/</v>
      </c>
      <c r="L753" s="5"/>
      <c r="M753" s="5"/>
      <c r="N753" s="5">
        <f ca="1">IFERROR(__xludf.DUMMYFUNCTION("""COMPUTED_VALUE"""),4)</f>
        <v>4</v>
      </c>
      <c r="O753" s="5" t="str">
        <f ca="1">IFERROR(__xludf.DUMMYFUNCTION("""COMPUTED_VALUE"""),"Winter")</f>
        <v>Winter</v>
      </c>
      <c r="P753" s="5" t="str">
        <f ca="1">IFERROR(__xludf.DUMMYFUNCTION("""COMPUTED_VALUE"""),"Houston")</f>
        <v>Houston</v>
      </c>
      <c r="Q753" s="5" t="str">
        <f ca="1">IFERROR(__xludf.DUMMYFUNCTION("""COMPUTED_VALUE"""),"TX")</f>
        <v>TX</v>
      </c>
      <c r="R753" s="5" t="str">
        <f ca="1">IFERROR(__xludf.DUMMYFUNCTION("""COMPUTED_VALUE"""),"High")</f>
        <v>High</v>
      </c>
      <c r="S753" s="5" t="str">
        <f ca="1">IFERROR(__xludf.DUMMYFUNCTION("""COMPUTED_VALUE"""),"Classroom")</f>
        <v>Classroom</v>
      </c>
      <c r="T753" s="5" t="str">
        <f ca="1">IFERROR(__xludf.DUMMYFUNCTION("""COMPUTED_VALUE"""),"Inside School Building")</f>
        <v>Inside School Building</v>
      </c>
      <c r="U753" s="5" t="str">
        <f ca="1">IFERROR(__xludf.DUMMYFUNCTION("""COMPUTED_VALUE"""),"Yes")</f>
        <v>Yes</v>
      </c>
      <c r="V753" s="5" t="str">
        <f ca="1">IFERROR(__xludf.DUMMYFUNCTION("""COMPUTED_VALUE"""),"Dismissal")</f>
        <v>Dismissal</v>
      </c>
      <c r="W753" s="10">
        <f ca="1">IFERROR(__xludf.DUMMYFUNCTION("""COMPUTED_VALUE"""),0.666666666666666)</f>
        <v>0.66666666666666596</v>
      </c>
      <c r="X753" s="5">
        <f ca="1">IFERROR(__xludf.DUMMYFUNCTION("""COMPUTED_VALUE"""),1)</f>
        <v>1</v>
      </c>
      <c r="Y753" s="5" t="str">
        <f ca="1">IFERROR(__xludf.DUMMYFUNCTION("""COMPUTED_VALUE"""),"16YOM student shot 19YON student inside the school and then fled")</f>
        <v>16YOM student shot 19YON student inside the school and then fled</v>
      </c>
      <c r="Z753" s="5" t="str">
        <f ca="1">IFERROR(__xludf.DUMMYFUNCTION("""COMPUTED_VALUE"""),"16YOM student shot 19YOM student in the chest inside the school then fled the area. 4 students were inside a room when the shooting occurred. The school was locked down. 3.5 hours later, the shooter and another student were found by police behind a dumpst"&amp;"er in a shopping center parking lot. Students reported that both the shooter and victim were friends and members of the ROTC program. District Attorney stated the shooting was not intentional. Other students saw the shooter with the gun prior to the shoot"&amp;"ing but did not report it to school officials.")</f>
        <v>16YOM student shot 19YOM student in the chest inside the school then fled the area. 4 students were inside a room when the shooting occurred. The school was locked down. 3.5 hours later, the shooter and another student were found by police behind a dumpster in a shopping center parking lot. Students reported that both the shooter and victim were friends and members of the ROTC program. District Attorney stated the shooting was not intentional. Other students saw the shooter with the gun prior to the shooting but did not report it to school officials.</v>
      </c>
      <c r="AA753" s="5" t="str">
        <f ca="1">IFERROR(__xludf.DUMMYFUNCTION("""COMPUTED_VALUE"""),"Accidental")</f>
        <v>Accidental</v>
      </c>
      <c r="AB753" s="5" t="str">
        <f ca="1">IFERROR(__xludf.DUMMYFUNCTION("""COMPUTED_VALUE"""),"Neither")</f>
        <v>Neither</v>
      </c>
      <c r="AC753" s="5" t="str">
        <f ca="1">IFERROR(__xludf.DUMMYFUNCTION("""COMPUTED_VALUE"""),"Yes")</f>
        <v>Yes</v>
      </c>
      <c r="AD753" s="5" t="str">
        <f ca="1">IFERROR(__xludf.DUMMYFUNCTION("""COMPUTED_VALUE"""),"No")</f>
        <v>No</v>
      </c>
      <c r="AE753" s="5" t="str">
        <f ca="1">IFERROR(__xludf.DUMMYFUNCTION("""COMPUTED_VALUE"""),"No")</f>
        <v>No</v>
      </c>
      <c r="AF753" s="5" t="str">
        <f ca="1">IFERROR(__xludf.DUMMYFUNCTION("""COMPUTED_VALUE"""),"No")</f>
        <v>No</v>
      </c>
      <c r="AG753" s="5" t="str">
        <f ca="1">IFERROR(__xludf.DUMMYFUNCTION("""COMPUTED_VALUE"""),"No")</f>
        <v>No</v>
      </c>
      <c r="AH753" s="5" t="str">
        <f ca="1">IFERROR(__xludf.DUMMYFUNCTION("""COMPUTED_VALUE"""),"No")</f>
        <v>No</v>
      </c>
      <c r="AI753" s="5" t="str">
        <f ca="1">IFERROR(__xludf.DUMMYFUNCTION("""COMPUTED_VALUE"""),"No")</f>
        <v>No</v>
      </c>
      <c r="AJ753" s="5" t="str">
        <f ca="1">IFERROR(__xludf.DUMMYFUNCTION("""COMPUTED_VALUE"""),"No")</f>
        <v>No</v>
      </c>
    </row>
    <row r="754" spans="1:36" ht="13">
      <c r="A754" s="5" t="str">
        <f ca="1">IFERROR(__xludf.DUMMYFUNCTION("""COMPUTED_VALUE"""),"20200114TXPOM")</f>
        <v>20200114TXPOM</v>
      </c>
      <c r="B754" s="5">
        <f ca="1">IFERROR(__xludf.DUMMYFUNCTION("""COMPUTED_VALUE"""),1)</f>
        <v>1</v>
      </c>
      <c r="C754" s="5">
        <f ca="1">IFERROR(__xludf.DUMMYFUNCTION("""COMPUTED_VALUE"""),14)</f>
        <v>14</v>
      </c>
      <c r="D754" s="5">
        <f ca="1">IFERROR(__xludf.DUMMYFUNCTION("""COMPUTED_VALUE"""),2020)</f>
        <v>2020</v>
      </c>
      <c r="E754" s="8">
        <f ca="1">IFERROR(__xludf.DUMMYFUNCTION("""COMPUTED_VALUE"""),43844)</f>
        <v>43844</v>
      </c>
      <c r="F754" s="5" t="str">
        <f ca="1">IFERROR(__xludf.DUMMYFUNCTION("""COMPUTED_VALUE"""),"Poteet High School")</f>
        <v>Poteet High School</v>
      </c>
      <c r="G754" s="5">
        <f ca="1">IFERROR(__xludf.DUMMYFUNCTION("""COMPUTED_VALUE"""),0)</f>
        <v>0</v>
      </c>
      <c r="H754" s="5">
        <f ca="1">IFERROR(__xludf.DUMMYFUNCTION("""COMPUTED_VALUE"""),0)</f>
        <v>0</v>
      </c>
      <c r="I754" s="5">
        <f ca="1">IFERROR(__xludf.DUMMYFUNCTION("""COMPUTED_VALUE"""),0)</f>
        <v>0</v>
      </c>
      <c r="J754" s="5">
        <f ca="1">IFERROR(__xludf.DUMMYFUNCTION("""COMPUTED_VALUE"""),0)</f>
        <v>0</v>
      </c>
      <c r="K754" s="5" t="str">
        <f ca="1">IFERROR(__xludf.DUMMYFUNCTION("""COMPUTED_VALUE"""),"https://www.wfaa.com/article/news/crime/two-teens-accused-of-firing-shots-after-poteet-high-school-basketball-game-mesquite-police-say/287-be694dc8-7c03-4c2f-a3be-7dc19e956cfb https://www.dallasnews.com/news/2020/01/17/two-arrests-made-after-gunshots-were"&amp;"-fired-near-poteet-high-school-mesquite-police-say/")</f>
        <v>https://www.wfaa.com/article/news/crime/two-teens-accused-of-firing-shots-after-poteet-high-school-basketball-game-mesquite-police-say/287-be694dc8-7c03-4c2f-a3be-7dc19e956cfb https://www.dallasnews.com/news/2020/01/17/two-arrests-made-after-gunshots-were-fired-near-poteet-high-school-mesquite-police-say/</v>
      </c>
      <c r="L754" s="5"/>
      <c r="M754" s="5"/>
      <c r="N754" s="5">
        <f ca="1">IFERROR(__xludf.DUMMYFUNCTION("""COMPUTED_VALUE"""),4)</f>
        <v>4</v>
      </c>
      <c r="O754" s="5" t="str">
        <f ca="1">IFERROR(__xludf.DUMMYFUNCTION("""COMPUTED_VALUE"""),"Winter")</f>
        <v>Winter</v>
      </c>
      <c r="P754" s="5" t="str">
        <f ca="1">IFERROR(__xludf.DUMMYFUNCTION("""COMPUTED_VALUE"""),"Mesquite")</f>
        <v>Mesquite</v>
      </c>
      <c r="Q754" s="5" t="str">
        <f ca="1">IFERROR(__xludf.DUMMYFUNCTION("""COMPUTED_VALUE"""),"TX")</f>
        <v>TX</v>
      </c>
      <c r="R754" s="5" t="str">
        <f ca="1">IFERROR(__xludf.DUMMYFUNCTION("""COMPUTED_VALUE"""),"High")</f>
        <v>High</v>
      </c>
      <c r="S754" s="5" t="str">
        <f ca="1">IFERROR(__xludf.DUMMYFUNCTION("""COMPUTED_VALUE"""),"Parking Lot")</f>
        <v>Parking Lot</v>
      </c>
      <c r="T754" s="5" t="str">
        <f ca="1">IFERROR(__xludf.DUMMYFUNCTION("""COMPUTED_VALUE"""),"Outside on School Property")</f>
        <v>Outside on School Property</v>
      </c>
      <c r="U754" s="5" t="str">
        <f ca="1">IFERROR(__xludf.DUMMYFUNCTION("""COMPUTED_VALUE"""),"No")</f>
        <v>No</v>
      </c>
      <c r="V754" s="5" t="str">
        <f ca="1">IFERROR(__xludf.DUMMYFUNCTION("""COMPUTED_VALUE"""),"Sport Event")</f>
        <v>Sport Event</v>
      </c>
      <c r="W754" s="10">
        <f ca="1">IFERROR(__xludf.DUMMYFUNCTION("""COMPUTED_VALUE"""),0.847222222222222)</f>
        <v>0.84722222222222199</v>
      </c>
      <c r="X754" s="5">
        <f ca="1">IFERROR(__xludf.DUMMYFUNCTION("""COMPUTED_VALUE"""),1)</f>
        <v>1</v>
      </c>
      <c r="Y754" s="5" t="str">
        <f ca="1">IFERROR(__xludf.DUMMYFUNCTION("""COMPUTED_VALUE"""),"Two non-student teens fired shots in the school parking lot following an altercation at a basketball game")</f>
        <v>Two non-student teens fired shots in the school parking lot following an altercation at a basketball game</v>
      </c>
      <c r="Z754" s="5" t="str">
        <f ca="1">IFERROR(__xludf.DUMMYFUNCTION("""COMPUTED_VALUE"""),"Two 17YOM non-students fired shots at a group in the school parking lot following an altercation at the basketball game. School resources officers assigned to the game heard the shots. Suspects fled and were later arrested. No injuries.")</f>
        <v>Two 17YOM non-students fired shots at a group in the school parking lot following an altercation at the basketball game. School resources officers assigned to the game heard the shots. Suspects fled and were later arrested. No injuries.</v>
      </c>
      <c r="AA754" s="5" t="str">
        <f ca="1">IFERROR(__xludf.DUMMYFUNCTION("""COMPUTED_VALUE"""),"Escalation of Dispute")</f>
        <v>Escalation of Dispute</v>
      </c>
      <c r="AB754" s="5" t="str">
        <f ca="1">IFERROR(__xludf.DUMMYFUNCTION("""COMPUTED_VALUE"""),"Victims Targeted")</f>
        <v>Victims Targeted</v>
      </c>
      <c r="AC754" s="5" t="str">
        <f ca="1">IFERROR(__xludf.DUMMYFUNCTION("""COMPUTED_VALUE"""),"Yes")</f>
        <v>Yes</v>
      </c>
      <c r="AD754" s="5" t="str">
        <f ca="1">IFERROR(__xludf.DUMMYFUNCTION("""COMPUTED_VALUE"""),"No")</f>
        <v>No</v>
      </c>
      <c r="AE754" s="5" t="str">
        <f ca="1">IFERROR(__xludf.DUMMYFUNCTION("""COMPUTED_VALUE"""),"No")</f>
        <v>No</v>
      </c>
      <c r="AF754" s="5" t="str">
        <f ca="1">IFERROR(__xludf.DUMMYFUNCTION("""COMPUTED_VALUE"""),"No")</f>
        <v>No</v>
      </c>
      <c r="AG754" s="5" t="str">
        <f ca="1">IFERROR(__xludf.DUMMYFUNCTION("""COMPUTED_VALUE"""),"No")</f>
        <v>No</v>
      </c>
      <c r="AH754" s="5" t="str">
        <f ca="1">IFERROR(__xludf.DUMMYFUNCTION("""COMPUTED_VALUE"""),"No")</f>
        <v>No</v>
      </c>
      <c r="AI754" s="5" t="str">
        <f ca="1">IFERROR(__xludf.DUMMYFUNCTION("""COMPUTED_VALUE"""),"No")</f>
        <v>No</v>
      </c>
      <c r="AJ754" s="5" t="str">
        <f ca="1">IFERROR(__xludf.DUMMYFUNCTION("""COMPUTED_VALUE"""),"No")</f>
        <v>No</v>
      </c>
    </row>
    <row r="755" spans="1:36" ht="13">
      <c r="A755" s="5" t="str">
        <f ca="1">IFERROR(__xludf.DUMMYFUNCTION("""COMPUTED_VALUE"""),"20200111TXELD")</f>
        <v>20200111TXELD</v>
      </c>
      <c r="B755" s="5">
        <f ca="1">IFERROR(__xludf.DUMMYFUNCTION("""COMPUTED_VALUE"""),1)</f>
        <v>1</v>
      </c>
      <c r="C755" s="5">
        <f ca="1">IFERROR(__xludf.DUMMYFUNCTION("""COMPUTED_VALUE"""),11)</f>
        <v>11</v>
      </c>
      <c r="D755" s="5">
        <f ca="1">IFERROR(__xludf.DUMMYFUNCTION("""COMPUTED_VALUE"""),2020)</f>
        <v>2020</v>
      </c>
      <c r="E755" s="8">
        <f ca="1">IFERROR(__xludf.DUMMYFUNCTION("""COMPUTED_VALUE"""),43841)</f>
        <v>43841</v>
      </c>
      <c r="F755" s="5" t="str">
        <f ca="1">IFERROR(__xludf.DUMMYFUNCTION("""COMPUTED_VALUE"""),"Ellis Davis Field House")</f>
        <v>Ellis Davis Field House</v>
      </c>
      <c r="G755" s="5">
        <f ca="1">IFERROR(__xludf.DUMMYFUNCTION("""COMPUTED_VALUE"""),1)</f>
        <v>1</v>
      </c>
      <c r="H755" s="5">
        <f ca="1">IFERROR(__xludf.DUMMYFUNCTION("""COMPUTED_VALUE"""),1)</f>
        <v>1</v>
      </c>
      <c r="I755" s="5">
        <f ca="1">IFERROR(__xludf.DUMMYFUNCTION("""COMPUTED_VALUE"""),2)</f>
        <v>2</v>
      </c>
      <c r="J755" s="5">
        <f ca="1">IFERROR(__xludf.DUMMYFUNCTION("""COMPUTED_VALUE"""),0)</f>
        <v>0</v>
      </c>
      <c r="K755" s="5" t="str">
        <f ca="1">IFERROR(__xludf.DUMMYFUNCTION("""COMPUTED_VALUE"""),"https://www.nbcdfw.com/news/local/juvenile-shot-inside-gym-at-basketball-game/2290801/ https://abcnews.go.com/US/police-officer-spectator-shot-high-school-basketball-game/story?id=68228376 https://www.fox10phoenix.com/news/15-year-old-arrested-for-shootin"&amp;"g-at-dallas-isd-high-school-basketball-game https://www.wfaa.com/article/news/local/dallas-isd-address-shooting-high-school-basketball-game/287-716163e1-eb61-495e-b832-e7df599168a1 https://abcnews.go.com/US/teen-facing-murder-charge-victim-shot-dallas-hig"&amp;"h/story?id=68385916")</f>
        <v>https://www.nbcdfw.com/news/local/juvenile-shot-inside-gym-at-basketball-game/2290801/ https://abcnews.go.com/US/police-officer-spectator-shot-high-school-basketball-game/story?id=68228376 https://www.fox10phoenix.com/news/15-year-old-arrested-for-shooting-at-dallas-isd-high-school-basketball-game https://www.wfaa.com/article/news/local/dallas-isd-address-shooting-high-school-basketball-game/287-716163e1-eb61-495e-b832-e7df599168a1 https://abcnews.go.com/US/teen-facing-murder-charge-victim-shot-dallas-high/story?id=68385916</v>
      </c>
      <c r="L755" s="5"/>
      <c r="M755" s="5"/>
      <c r="N755" s="5">
        <f ca="1">IFERROR(__xludf.DUMMYFUNCTION("""COMPUTED_VALUE"""),4)</f>
        <v>4</v>
      </c>
      <c r="O755" s="5" t="str">
        <f ca="1">IFERROR(__xludf.DUMMYFUNCTION("""COMPUTED_VALUE"""),"Winter")</f>
        <v>Winter</v>
      </c>
      <c r="P755" s="5" t="str">
        <f ca="1">IFERROR(__xludf.DUMMYFUNCTION("""COMPUTED_VALUE"""),"Dallas")</f>
        <v>Dallas</v>
      </c>
      <c r="Q755" s="5" t="str">
        <f ca="1">IFERROR(__xludf.DUMMYFUNCTION("""COMPUTED_VALUE"""),"TX")</f>
        <v>TX</v>
      </c>
      <c r="R755" s="5" t="str">
        <f ca="1">IFERROR(__xludf.DUMMYFUNCTION("""COMPUTED_VALUE"""),"High")</f>
        <v>High</v>
      </c>
      <c r="S755" s="5" t="str">
        <f ca="1">IFERROR(__xludf.DUMMYFUNCTION("""COMPUTED_VALUE"""),"Gym")</f>
        <v>Gym</v>
      </c>
      <c r="T755" s="5" t="str">
        <f ca="1">IFERROR(__xludf.DUMMYFUNCTION("""COMPUTED_VALUE"""),"Inside School Building")</f>
        <v>Inside School Building</v>
      </c>
      <c r="U755" s="5" t="str">
        <f ca="1">IFERROR(__xludf.DUMMYFUNCTION("""COMPUTED_VALUE"""),"No")</f>
        <v>No</v>
      </c>
      <c r="V755" s="5" t="str">
        <f ca="1">IFERROR(__xludf.DUMMYFUNCTION("""COMPUTED_VALUE"""),"Sport Event")</f>
        <v>Sport Event</v>
      </c>
      <c r="W755" s="10">
        <f ca="1">IFERROR(__xludf.DUMMYFUNCTION("""COMPUTED_VALUE"""),0.881944444444444)</f>
        <v>0.88194444444444398</v>
      </c>
      <c r="X755" s="5">
        <f ca="1">IFERROR(__xludf.DUMMYFUNCTION("""COMPUTED_VALUE"""),1)</f>
        <v>1</v>
      </c>
      <c r="Y755" s="5" t="str">
        <f ca="1">IFERROR(__xludf.DUMMYFUNCTION("""COMPUTED_VALUE"""),"18YOM and officer shot during fight at basketball game")</f>
        <v>18YOM and officer shot during fight at basketball game</v>
      </c>
      <c r="Z755" s="5" t="str">
        <f ca="1">IFERROR(__xludf.DUMMYFUNCTION("""COMPUTED_VALUE"""),"18YOM former student and ISD police officer were shot during a fight at a high school basketball game. The shooter fled the scene with 2 other persons of interest. Players and fans took cover in the stands and some evacuated the area. The basketball game "&amp;"was part of a ribbon-cutting ceremony for the new facility. 15 YOM shooter turned himself in to police the following day.")</f>
        <v>18YOM former student and ISD police officer were shot during a fight at a high school basketball game. The shooter fled the scene with 2 other persons of interest. Players and fans took cover in the stands and some evacuated the area. The basketball game was part of a ribbon-cutting ceremony for the new facility. 15 YOM shooter turned himself in to police the following day.</v>
      </c>
      <c r="AA755" s="5" t="str">
        <f ca="1">IFERROR(__xludf.DUMMYFUNCTION("""COMPUTED_VALUE"""),"Escalation of Dispute")</f>
        <v>Escalation of Dispute</v>
      </c>
      <c r="AB755" s="5" t="str">
        <f ca="1">IFERROR(__xludf.DUMMYFUNCTION("""COMPUTED_VALUE"""),"Both")</f>
        <v>Both</v>
      </c>
      <c r="AC755" s="5" t="str">
        <f ca="1">IFERROR(__xludf.DUMMYFUNCTION("""COMPUTED_VALUE"""),"Yes")</f>
        <v>Yes</v>
      </c>
      <c r="AD755" s="5" t="str">
        <f ca="1">IFERROR(__xludf.DUMMYFUNCTION("""COMPUTED_VALUE"""),"No")</f>
        <v>No</v>
      </c>
      <c r="AE755" s="5" t="str">
        <f ca="1">IFERROR(__xludf.DUMMYFUNCTION("""COMPUTED_VALUE"""),"No")</f>
        <v>No</v>
      </c>
      <c r="AF755" s="5" t="str">
        <f ca="1">IFERROR(__xludf.DUMMYFUNCTION("""COMPUTED_VALUE"""),"No")</f>
        <v>No</v>
      </c>
      <c r="AG755" s="5" t="str">
        <f ca="1">IFERROR(__xludf.DUMMYFUNCTION("""COMPUTED_VALUE"""),"No")</f>
        <v>No</v>
      </c>
      <c r="AH755" s="5" t="str">
        <f ca="1">IFERROR(__xludf.DUMMYFUNCTION("""COMPUTED_VALUE"""),"No")</f>
        <v>No</v>
      </c>
      <c r="AI755" s="5" t="str">
        <f ca="1">IFERROR(__xludf.DUMMYFUNCTION("""COMPUTED_VALUE"""),"No")</f>
        <v>No</v>
      </c>
      <c r="AJ755" s="5" t="str">
        <f ca="1">IFERROR(__xludf.DUMMYFUNCTION("""COMPUTED_VALUE"""),"No")</f>
        <v>No</v>
      </c>
    </row>
    <row r="756" spans="1:36" ht="13">
      <c r="A756" s="5" t="str">
        <f ca="1">IFERROR(__xludf.DUMMYFUNCTION("""COMPUTED_VALUE"""),"20200110MSMCJ")</f>
        <v>20200110MSMCJ</v>
      </c>
      <c r="B756" s="5">
        <f ca="1">IFERROR(__xludf.DUMMYFUNCTION("""COMPUTED_VALUE"""),1)</f>
        <v>1</v>
      </c>
      <c r="C756" s="5">
        <f ca="1">IFERROR(__xludf.DUMMYFUNCTION("""COMPUTED_VALUE"""),10)</f>
        <v>10</v>
      </c>
      <c r="D756" s="5">
        <f ca="1">IFERROR(__xludf.DUMMYFUNCTION("""COMPUTED_VALUE"""),2020)</f>
        <v>2020</v>
      </c>
      <c r="E756" s="8">
        <f ca="1">IFERROR(__xludf.DUMMYFUNCTION("""COMPUTED_VALUE"""),43840)</f>
        <v>43840</v>
      </c>
      <c r="F756" s="5" t="str">
        <f ca="1">IFERROR(__xludf.DUMMYFUNCTION("""COMPUTED_VALUE"""),"McWillie Elementary School")</f>
        <v>McWillie Elementary School</v>
      </c>
      <c r="G756" s="5">
        <f ca="1">IFERROR(__xludf.DUMMYFUNCTION("""COMPUTED_VALUE"""),0)</f>
        <v>0</v>
      </c>
      <c r="H756" s="5">
        <f ca="1">IFERROR(__xludf.DUMMYFUNCTION("""COMPUTED_VALUE"""),1)</f>
        <v>1</v>
      </c>
      <c r="I756" s="5">
        <f ca="1">IFERROR(__xludf.DUMMYFUNCTION("""COMPUTED_VALUE"""),1)</f>
        <v>1</v>
      </c>
      <c r="J756" s="5">
        <f ca="1">IFERROR(__xludf.DUMMYFUNCTION("""COMPUTED_VALUE"""),0)</f>
        <v>0</v>
      </c>
      <c r="K756" s="9" t="str">
        <f ca="1">IFERROR(__xludf.DUMMYFUNCTION("""COMPUTED_VALUE"""),"https://www.wapt.com/article/australia-turns-from-defense-to-offense-in-wildfire-battle/30485441")</f>
        <v>https://www.wapt.com/article/australia-turns-from-defense-to-offense-in-wildfire-battle/30485441</v>
      </c>
      <c r="L756" s="5"/>
      <c r="M756" s="5"/>
      <c r="N756" s="5">
        <f ca="1">IFERROR(__xludf.DUMMYFUNCTION("""COMPUTED_VALUE"""),4)</f>
        <v>4</v>
      </c>
      <c r="O756" s="5" t="str">
        <f ca="1">IFERROR(__xludf.DUMMYFUNCTION("""COMPUTED_VALUE"""),"Winter")</f>
        <v>Winter</v>
      </c>
      <c r="P756" s="5" t="str">
        <f ca="1">IFERROR(__xludf.DUMMYFUNCTION("""COMPUTED_VALUE"""),"Jackson")</f>
        <v>Jackson</v>
      </c>
      <c r="Q756" s="5" t="str">
        <f ca="1">IFERROR(__xludf.DUMMYFUNCTION("""COMPUTED_VALUE"""),"MS")</f>
        <v>MS</v>
      </c>
      <c r="R756" s="5" t="str">
        <f ca="1">IFERROR(__xludf.DUMMYFUNCTION("""COMPUTED_VALUE"""),"Middle")</f>
        <v>Middle</v>
      </c>
      <c r="S756" s="5" t="str">
        <f ca="1">IFERROR(__xludf.DUMMYFUNCTION("""COMPUTED_VALUE"""),"School Bus")</f>
        <v>School Bus</v>
      </c>
      <c r="T756" s="5" t="str">
        <f ca="1">IFERROR(__xludf.DUMMYFUNCTION("""COMPUTED_VALUE"""),"School Bus")</f>
        <v>School Bus</v>
      </c>
      <c r="U756" s="5" t="str">
        <f ca="1">IFERROR(__xludf.DUMMYFUNCTION("""COMPUTED_VALUE"""),"Yes")</f>
        <v>Yes</v>
      </c>
      <c r="V756" s="5" t="str">
        <f ca="1">IFERROR(__xludf.DUMMYFUNCTION("""COMPUTED_VALUE"""),"School Start")</f>
        <v>School Start</v>
      </c>
      <c r="W756" s="10">
        <f ca="1">IFERROR(__xludf.DUMMYFUNCTION("""COMPUTED_VALUE"""),0.291666666666666)</f>
        <v>0.29166666666666602</v>
      </c>
      <c r="X756" s="5">
        <f ca="1">IFERROR(__xludf.DUMMYFUNCTION("""COMPUTED_VALUE"""),1)</f>
        <v>1</v>
      </c>
      <c r="Y756" s="5" t="str">
        <f ca="1">IFERROR(__xludf.DUMMYFUNCTION("""COMPUTED_VALUE"""),"Student struck by BB and bus window shattered")</f>
        <v>Student struck by BB and bus window shattered</v>
      </c>
      <c r="Z756" s="5" t="str">
        <f ca="1">IFERROR(__xludf.DUMMYFUNCTION("""COMPUTED_VALUE"""),"13YOM student fired BB at student waiting to get on bus and the school bus window shattering it. 7 students on the bus were evaluated for injuries and then taken to school on a different bus. 13YOM was arrested.")</f>
        <v>13YOM student fired BB at student waiting to get on bus and the school bus window shattering it. 7 students on the bus were evaluated for injuries and then taken to school on a different bus. 13YOM was arrested.</v>
      </c>
      <c r="AA756" s="5" t="str">
        <f ca="1">IFERROR(__xludf.DUMMYFUNCTION("""COMPUTED_VALUE"""),"Unknown")</f>
        <v>Unknown</v>
      </c>
      <c r="AB756" s="5"/>
      <c r="AC756" s="5" t="str">
        <f ca="1">IFERROR(__xludf.DUMMYFUNCTION("""COMPUTED_VALUE"""),"No")</f>
        <v>No</v>
      </c>
      <c r="AD756" s="5" t="str">
        <f ca="1">IFERROR(__xludf.DUMMYFUNCTION("""COMPUTED_VALUE"""),"No")</f>
        <v>No</v>
      </c>
      <c r="AE756" s="5" t="str">
        <f ca="1">IFERROR(__xludf.DUMMYFUNCTION("""COMPUTED_VALUE"""),"No")</f>
        <v>No</v>
      </c>
      <c r="AF756" s="5" t="str">
        <f ca="1">IFERROR(__xludf.DUMMYFUNCTION("""COMPUTED_VALUE"""),"No")</f>
        <v>No</v>
      </c>
      <c r="AG756" s="5" t="str">
        <f ca="1">IFERROR(__xludf.DUMMYFUNCTION("""COMPUTED_VALUE"""),"No")</f>
        <v>No</v>
      </c>
      <c r="AH756" s="5" t="str">
        <f ca="1">IFERROR(__xludf.DUMMYFUNCTION("""COMPUTED_VALUE"""),"No")</f>
        <v>No</v>
      </c>
      <c r="AI756" s="5" t="str">
        <f ca="1">IFERROR(__xludf.DUMMYFUNCTION("""COMPUTED_VALUE"""),"No")</f>
        <v>No</v>
      </c>
      <c r="AJ756" s="5" t="str">
        <f ca="1">IFERROR(__xludf.DUMMYFUNCTION("""COMPUTED_VALUE"""),"No")</f>
        <v>No</v>
      </c>
    </row>
    <row r="757" spans="1:36" ht="13">
      <c r="A757" s="5" t="str">
        <f ca="1">IFERROR(__xludf.DUMMYFUNCTION("""COMPUTED_VALUE"""),"20200108FLGLB")</f>
        <v>20200108FLGLB</v>
      </c>
      <c r="B757" s="5">
        <f ca="1">IFERROR(__xludf.DUMMYFUNCTION("""COMPUTED_VALUE"""),1)</f>
        <v>1</v>
      </c>
      <c r="C757" s="5">
        <f ca="1">IFERROR(__xludf.DUMMYFUNCTION("""COMPUTED_VALUE"""),8)</f>
        <v>8</v>
      </c>
      <c r="D757" s="5">
        <f ca="1">IFERROR(__xludf.DUMMYFUNCTION("""COMPUTED_VALUE"""),2020)</f>
        <v>2020</v>
      </c>
      <c r="E757" s="8">
        <f ca="1">IFERROR(__xludf.DUMMYFUNCTION("""COMPUTED_VALUE"""),43838)</f>
        <v>43838</v>
      </c>
      <c r="F757" s="5" t="str">
        <f ca="1">IFERROR(__xludf.DUMMYFUNCTION("""COMPUTED_VALUE"""),"Glades Central Community High School")</f>
        <v>Glades Central Community High School</v>
      </c>
      <c r="G757" s="5">
        <f ca="1">IFERROR(__xludf.DUMMYFUNCTION("""COMPUTED_VALUE"""),0)</f>
        <v>0</v>
      </c>
      <c r="H757" s="5">
        <f ca="1">IFERROR(__xludf.DUMMYFUNCTION("""COMPUTED_VALUE"""),0)</f>
        <v>0</v>
      </c>
      <c r="I757" s="5">
        <f ca="1">IFERROR(__xludf.DUMMYFUNCTION("""COMPUTED_VALUE"""),0)</f>
        <v>0</v>
      </c>
      <c r="J757" s="5">
        <f ca="1">IFERROR(__xludf.DUMMYFUNCTION("""COMPUTED_VALUE"""),0)</f>
        <v>0</v>
      </c>
      <c r="K757" s="9" t="str">
        <f ca="1">IFERROR(__xludf.DUMMYFUNCTION("""COMPUTED_VALUE"""),"https://www.wptv.com/news/region-the-glades/belle-glade/lockdown-lifted-at-glades-central-high-school-following-shooting")</f>
        <v>https://www.wptv.com/news/region-the-glades/belle-glade/lockdown-lifted-at-glades-central-high-school-following-shooting</v>
      </c>
      <c r="L757" s="5"/>
      <c r="M757" s="5"/>
      <c r="N757" s="5">
        <f ca="1">IFERROR(__xludf.DUMMYFUNCTION("""COMPUTED_VALUE"""),3)</f>
        <v>3</v>
      </c>
      <c r="O757" s="5" t="str">
        <f ca="1">IFERROR(__xludf.DUMMYFUNCTION("""COMPUTED_VALUE"""),"Winter")</f>
        <v>Winter</v>
      </c>
      <c r="P757" s="5" t="str">
        <f ca="1">IFERROR(__xludf.DUMMYFUNCTION("""COMPUTED_VALUE"""),"Belle Glade")</f>
        <v>Belle Glade</v>
      </c>
      <c r="Q757" s="5" t="str">
        <f ca="1">IFERROR(__xludf.DUMMYFUNCTION("""COMPUTED_VALUE"""),"FL")</f>
        <v>FL</v>
      </c>
      <c r="R757" s="5" t="str">
        <f ca="1">IFERROR(__xludf.DUMMYFUNCTION("""COMPUTED_VALUE"""),"High")</f>
        <v>High</v>
      </c>
      <c r="S757" s="5" t="str">
        <f ca="1">IFERROR(__xludf.DUMMYFUNCTION("""COMPUTED_VALUE"""),"Parking Lot")</f>
        <v>Parking Lot</v>
      </c>
      <c r="T757" s="5" t="str">
        <f ca="1">IFERROR(__xludf.DUMMYFUNCTION("""COMPUTED_VALUE"""),"Outside on School Property")</f>
        <v>Outside on School Property</v>
      </c>
      <c r="U757" s="5" t="str">
        <f ca="1">IFERROR(__xludf.DUMMYFUNCTION("""COMPUTED_VALUE"""),"Yes")</f>
        <v>Yes</v>
      </c>
      <c r="V757" s="5" t="str">
        <f ca="1">IFERROR(__xludf.DUMMYFUNCTION("""COMPUTED_VALUE"""),"Afternoon Classes")</f>
        <v>Afternoon Classes</v>
      </c>
      <c r="W757" s="10">
        <f ca="1">IFERROR(__xludf.DUMMYFUNCTION("""COMPUTED_VALUE"""),0.541666666666666)</f>
        <v>0.54166666666666596</v>
      </c>
      <c r="X757" s="5">
        <f ca="1">IFERROR(__xludf.DUMMYFUNCTION("""COMPUTED_VALUE"""),1)</f>
        <v>1</v>
      </c>
      <c r="Y757" s="5" t="str">
        <f ca="1">IFERROR(__xludf.DUMMYFUNCTION("""COMPUTED_VALUE"""),"Unidentified person shot themselves in the leg in the school parking lot")</f>
        <v>Unidentified person shot themselves in the leg in the school parking lot</v>
      </c>
      <c r="Z757" s="5" t="str">
        <f ca="1">IFERROR(__xludf.DUMMYFUNCTION("""COMPUTED_VALUE"""),"Unidentified person accidentally shot themselves in the leg in the school parking lot. Victim was transported to a trauma center. School was locked down for 2 hours and dismissal was delayed.")</f>
        <v>Unidentified person accidentally shot themselves in the leg in the school parking lot. Victim was transported to a trauma center. School was locked down for 2 hours and dismissal was delayed.</v>
      </c>
      <c r="AA757" s="5" t="str">
        <f ca="1">IFERROR(__xludf.DUMMYFUNCTION("""COMPUTED_VALUE"""),"Accidental")</f>
        <v>Accidental</v>
      </c>
      <c r="AB757" s="5" t="str">
        <f ca="1">IFERROR(__xludf.DUMMYFUNCTION("""COMPUTED_VALUE"""),"Neither")</f>
        <v>Neither</v>
      </c>
      <c r="AC757" s="5" t="str">
        <f ca="1">IFERROR(__xludf.DUMMYFUNCTION("""COMPUTED_VALUE"""),"No")</f>
        <v>No</v>
      </c>
      <c r="AD757" s="5" t="str">
        <f ca="1">IFERROR(__xludf.DUMMYFUNCTION("""COMPUTED_VALUE"""),"No")</f>
        <v>No</v>
      </c>
      <c r="AE757" s="5" t="str">
        <f ca="1">IFERROR(__xludf.DUMMYFUNCTION("""COMPUTED_VALUE"""),"No")</f>
        <v>No</v>
      </c>
      <c r="AF757" s="5" t="str">
        <f ca="1">IFERROR(__xludf.DUMMYFUNCTION("""COMPUTED_VALUE"""),"No")</f>
        <v>No</v>
      </c>
      <c r="AG757" s="5" t="str">
        <f ca="1">IFERROR(__xludf.DUMMYFUNCTION("""COMPUTED_VALUE"""),"No")</f>
        <v>No</v>
      </c>
      <c r="AH757" s="5" t="str">
        <f ca="1">IFERROR(__xludf.DUMMYFUNCTION("""COMPUTED_VALUE"""),"No")</f>
        <v>No</v>
      </c>
      <c r="AI757" s="5" t="str">
        <f ca="1">IFERROR(__xludf.DUMMYFUNCTION("""COMPUTED_VALUE"""),"No")</f>
        <v>No</v>
      </c>
      <c r="AJ757" s="5" t="str">
        <f ca="1">IFERROR(__xludf.DUMMYFUNCTION("""COMPUTED_VALUE"""),"No")</f>
        <v>No</v>
      </c>
    </row>
    <row r="758" spans="1:36" ht="13">
      <c r="A758" s="5" t="str">
        <f ca="1">IFERROR(__xludf.DUMMYFUNCTION("""COMPUTED_VALUE"""),"20200107WASOK")</f>
        <v>20200107WASOK</v>
      </c>
      <c r="B758" s="5">
        <f ca="1">IFERROR(__xludf.DUMMYFUNCTION("""COMPUTED_VALUE"""),1)</f>
        <v>1</v>
      </c>
      <c r="C758" s="5">
        <f ca="1">IFERROR(__xludf.DUMMYFUNCTION("""COMPUTED_VALUE"""),7)</f>
        <v>7</v>
      </c>
      <c r="D758" s="5">
        <f ca="1">IFERROR(__xludf.DUMMYFUNCTION("""COMPUTED_VALUE"""),2020)</f>
        <v>2020</v>
      </c>
      <c r="E758" s="8">
        <f ca="1">IFERROR(__xludf.DUMMYFUNCTION("""COMPUTED_VALUE"""),43837)</f>
        <v>43837</v>
      </c>
      <c r="F758" s="5" t="str">
        <f ca="1">IFERROR(__xludf.DUMMYFUNCTION("""COMPUTED_VALUE"""),"Southridge High School")</f>
        <v>Southridge High School</v>
      </c>
      <c r="G758" s="5">
        <f ca="1">IFERROR(__xludf.DUMMYFUNCTION("""COMPUTED_VALUE"""),0)</f>
        <v>0</v>
      </c>
      <c r="H758" s="5">
        <f ca="1">IFERROR(__xludf.DUMMYFUNCTION("""COMPUTED_VALUE"""),0)</f>
        <v>0</v>
      </c>
      <c r="I758" s="5">
        <f ca="1">IFERROR(__xludf.DUMMYFUNCTION("""COMPUTED_VALUE"""),0)</f>
        <v>0</v>
      </c>
      <c r="J758" s="5">
        <f ca="1">IFERROR(__xludf.DUMMYFUNCTION("""COMPUTED_VALUE"""),0)</f>
        <v>0</v>
      </c>
      <c r="K758" s="5" t="str">
        <f ca="1">IFERROR(__xludf.DUMMYFUNCTION("""COMPUTED_VALUE"""),"https://keprtv.com/news/local/police-bb-gun-bandit-shoots-out-windows-at-southridge-high-surrounding-homes https://www.tri-cityherald.com/news/local/crime/article239045748.html")</f>
        <v>https://keprtv.com/news/local/police-bb-gun-bandit-shoots-out-windows-at-southridge-high-surrounding-homes https://www.tri-cityherald.com/news/local/crime/article239045748.html</v>
      </c>
      <c r="L758" s="5"/>
      <c r="M758" s="5"/>
      <c r="N758" s="5">
        <f ca="1">IFERROR(__xludf.DUMMYFUNCTION("""COMPUTED_VALUE"""),4)</f>
        <v>4</v>
      </c>
      <c r="O758" s="5" t="str">
        <f ca="1">IFERROR(__xludf.DUMMYFUNCTION("""COMPUTED_VALUE"""),"Winter")</f>
        <v>Winter</v>
      </c>
      <c r="P758" s="5" t="str">
        <f ca="1">IFERROR(__xludf.DUMMYFUNCTION("""COMPUTED_VALUE"""),"Kennewick")</f>
        <v>Kennewick</v>
      </c>
      <c r="Q758" s="5" t="str">
        <f ca="1">IFERROR(__xludf.DUMMYFUNCTION("""COMPUTED_VALUE"""),"WA")</f>
        <v>WA</v>
      </c>
      <c r="R758" s="5" t="str">
        <f ca="1">IFERROR(__xludf.DUMMYFUNCTION("""COMPUTED_VALUE"""),"High")</f>
        <v>High</v>
      </c>
      <c r="S758" s="5" t="str">
        <f ca="1">IFERROR(__xludf.DUMMYFUNCTION("""COMPUTED_VALUE"""),"Beside Building")</f>
        <v>Beside Building</v>
      </c>
      <c r="T758" s="5" t="str">
        <f ca="1">IFERROR(__xludf.DUMMYFUNCTION("""COMPUTED_VALUE"""),"Outside on School Property")</f>
        <v>Outside on School Property</v>
      </c>
      <c r="U758" s="5" t="str">
        <f ca="1">IFERROR(__xludf.DUMMYFUNCTION("""COMPUTED_VALUE"""),"No")</f>
        <v>No</v>
      </c>
      <c r="V758" s="5" t="str">
        <f ca="1">IFERROR(__xludf.DUMMYFUNCTION("""COMPUTED_VALUE"""),"Night")</f>
        <v>Night</v>
      </c>
      <c r="W758" s="5"/>
      <c r="X758" s="5"/>
      <c r="Y758" s="5" t="str">
        <f ca="1">IFERROR(__xludf.DUMMYFUNCTION("""COMPUTED_VALUE"""),"Two 16YOM shot more than 60 windows at homes and the high school")</f>
        <v>Two 16YOM shot more than 60 windows at homes and the high school</v>
      </c>
      <c r="Z758" s="5" t="str">
        <f ca="1">IFERROR(__xludf.DUMMYFUNCTION("""COMPUTED_VALUE"""),"Two 16YOM arrested for shooting more than 60 windows with BB guns at their high school and homes in the neighborhood.")</f>
        <v>Two 16YOM arrested for shooting more than 60 windows with BB guns at their high school and homes in the neighborhood.</v>
      </c>
      <c r="AA758" s="5" t="str">
        <f ca="1">IFERROR(__xludf.DUMMYFUNCTION("""COMPUTED_VALUE"""),"Intentional Property Damage")</f>
        <v>Intentional Property Damage</v>
      </c>
      <c r="AB758" s="5" t="str">
        <f ca="1">IFERROR(__xludf.DUMMYFUNCTION("""COMPUTED_VALUE"""),"Neither")</f>
        <v>Neither</v>
      </c>
      <c r="AC758" s="5" t="str">
        <f ca="1">IFERROR(__xludf.DUMMYFUNCTION("""COMPUTED_VALUE"""),"Yes")</f>
        <v>Yes</v>
      </c>
      <c r="AD758" s="5" t="str">
        <f ca="1">IFERROR(__xludf.DUMMYFUNCTION("""COMPUTED_VALUE"""),"No")</f>
        <v>No</v>
      </c>
      <c r="AE758" s="5" t="str">
        <f ca="1">IFERROR(__xludf.DUMMYFUNCTION("""COMPUTED_VALUE"""),"No")</f>
        <v>No</v>
      </c>
      <c r="AF758" s="5" t="str">
        <f ca="1">IFERROR(__xludf.DUMMYFUNCTION("""COMPUTED_VALUE"""),"No")</f>
        <v>No</v>
      </c>
      <c r="AG758" s="5" t="str">
        <f ca="1">IFERROR(__xludf.DUMMYFUNCTION("""COMPUTED_VALUE"""),"No")</f>
        <v>No</v>
      </c>
      <c r="AH758" s="5" t="str">
        <f ca="1">IFERROR(__xludf.DUMMYFUNCTION("""COMPUTED_VALUE"""),"No")</f>
        <v>No</v>
      </c>
      <c r="AI758" s="5" t="str">
        <f ca="1">IFERROR(__xludf.DUMMYFUNCTION("""COMPUTED_VALUE"""),"No")</f>
        <v>No</v>
      </c>
      <c r="AJ758" s="5" t="str">
        <f ca="1">IFERROR(__xludf.DUMMYFUNCTION("""COMPUTED_VALUE"""),"No")</f>
        <v>No</v>
      </c>
    </row>
    <row r="759" spans="1:36" ht="13">
      <c r="A759" s="5" t="str">
        <f ca="1">IFERROR(__xludf.DUMMYFUNCTION("""COMPUTED_VALUE"""),"20191228MOMAS")</f>
        <v>20191228MOMAS</v>
      </c>
      <c r="B759" s="5">
        <f ca="1">IFERROR(__xludf.DUMMYFUNCTION("""COMPUTED_VALUE"""),12)</f>
        <v>12</v>
      </c>
      <c r="C759" s="5">
        <f ca="1">IFERROR(__xludf.DUMMYFUNCTION("""COMPUTED_VALUE"""),28)</f>
        <v>28</v>
      </c>
      <c r="D759" s="5">
        <f ca="1">IFERROR(__xludf.DUMMYFUNCTION("""COMPUTED_VALUE"""),2019)</f>
        <v>2019</v>
      </c>
      <c r="E759" s="8">
        <f ca="1">IFERROR(__xludf.DUMMYFUNCTION("""COMPUTED_VALUE"""),43827)</f>
        <v>43827</v>
      </c>
      <c r="F759" s="5" t="str">
        <f ca="1">IFERROR(__xludf.DUMMYFUNCTION("""COMPUTED_VALUE"""),"Mason-Clark Middle School")</f>
        <v>Mason-Clark Middle School</v>
      </c>
      <c r="G759" s="5">
        <f ca="1">IFERROR(__xludf.DUMMYFUNCTION("""COMPUTED_VALUE"""),1)</f>
        <v>1</v>
      </c>
      <c r="H759" s="5">
        <f ca="1">IFERROR(__xludf.DUMMYFUNCTION("""COMPUTED_VALUE"""),0)</f>
        <v>0</v>
      </c>
      <c r="I759" s="5">
        <f ca="1">IFERROR(__xludf.DUMMYFUNCTION("""COMPUTED_VALUE"""),1)</f>
        <v>1</v>
      </c>
      <c r="J759" s="5">
        <f ca="1">IFERROR(__xludf.DUMMYFUNCTION("""COMPUTED_VALUE"""),0)</f>
        <v>0</v>
      </c>
      <c r="K759" s="5" t="str">
        <f ca="1">IFERROR(__xludf.DUMMYFUNCTION("""COMPUTED_VALUE"""),"https://fox2now.com/2019/12/29/isp-investigators-working-east-st-louis-homicide-after-body-found-in-school-parking-lot/ https://www.ksdk.com/article/news/crime/mason-clark-middle-school-murder-victim-identified/63-0aba3c42-cfa1-4b52-81c0-b185b4ebc4e1 http"&amp;"s://www.ksdk.com/article/news/local/homicide-victim-found-east-st-louis-middle-school/63-347bde5f-128c-4da9-8eac-f27a82434cef https://www.bnd.com/news/local/crime/article238808808.html https://www.ksdk.com/article/news/crime/charges-shooting-east-st-louis"&amp;"-middle-school/63-9ef1c415-0bdb-417c-807c-57bfa3806844")</f>
        <v>https://fox2now.com/2019/12/29/isp-investigators-working-east-st-louis-homicide-after-body-found-in-school-parking-lot/ https://www.ksdk.com/article/news/crime/mason-clark-middle-school-murder-victim-identified/63-0aba3c42-cfa1-4b52-81c0-b185b4ebc4e1 https://www.ksdk.com/article/news/local/homicide-victim-found-east-st-louis-middle-school/63-347bde5f-128c-4da9-8eac-f27a82434cef https://www.bnd.com/news/local/crime/article238808808.html https://www.ksdk.com/article/news/crime/charges-shooting-east-st-louis-middle-school/63-9ef1c415-0bdb-417c-807c-57bfa3806844</v>
      </c>
      <c r="L759" s="5"/>
      <c r="M759" s="5"/>
      <c r="N759" s="5">
        <f ca="1">IFERROR(__xludf.DUMMYFUNCTION("""COMPUTED_VALUE"""),4)</f>
        <v>4</v>
      </c>
      <c r="O759" s="5" t="str">
        <f ca="1">IFERROR(__xludf.DUMMYFUNCTION("""COMPUTED_VALUE"""),"Winter")</f>
        <v>Winter</v>
      </c>
      <c r="P759" s="5" t="str">
        <f ca="1">IFERROR(__xludf.DUMMYFUNCTION("""COMPUTED_VALUE"""),"St. Louis")</f>
        <v>St. Louis</v>
      </c>
      <c r="Q759" s="5" t="str">
        <f ca="1">IFERROR(__xludf.DUMMYFUNCTION("""COMPUTED_VALUE"""),"MO")</f>
        <v>MO</v>
      </c>
      <c r="R759" s="5" t="str">
        <f ca="1">IFERROR(__xludf.DUMMYFUNCTION("""COMPUTED_VALUE"""),"Middle")</f>
        <v>Middle</v>
      </c>
      <c r="S759" s="5" t="str">
        <f ca="1">IFERROR(__xludf.DUMMYFUNCTION("""COMPUTED_VALUE"""),"Parking Lot")</f>
        <v>Parking Lot</v>
      </c>
      <c r="T759" s="5" t="str">
        <f ca="1">IFERROR(__xludf.DUMMYFUNCTION("""COMPUTED_VALUE"""),"Outside on School Property")</f>
        <v>Outside on School Property</v>
      </c>
      <c r="U759" s="5" t="str">
        <f ca="1">IFERROR(__xludf.DUMMYFUNCTION("""COMPUTED_VALUE"""),"No")</f>
        <v>No</v>
      </c>
      <c r="V759" s="5" t="str">
        <f ca="1">IFERROR(__xludf.DUMMYFUNCTION("""COMPUTED_VALUE"""),"Evening")</f>
        <v>Evening</v>
      </c>
      <c r="W759" s="10">
        <f ca="1">IFERROR(__xludf.DUMMYFUNCTION("""COMPUTED_VALUE"""),0.833333333333333)</f>
        <v>0.83333333333333304</v>
      </c>
      <c r="X759" s="5">
        <f ca="1">IFERROR(__xludf.DUMMYFUNCTION("""COMPUTED_VALUE"""),1)</f>
        <v>1</v>
      </c>
      <c r="Y759" s="5" t="str">
        <f ca="1">IFERROR(__xludf.DUMMYFUNCTION("""COMPUTED_VALUE"""),"13YOM shot in the street and found dead in school parking lot the next morning")</f>
        <v>13YOM shot in the street and found dead in school parking lot the next morning</v>
      </c>
      <c r="Z759" s="5" t="str">
        <f ca="1">IFERROR(__xludf.DUMMYFUNCTION("""COMPUTED_VALUE"""),"Body of 13YOM found the morning after the shooting in the parking lot of the school. Bookbag found in a ditch nearby. Police reported the shooting took place in the street by the school at 8pm and the victim's body was found in the school parking lot at 8"&amp;"am the next morning. 17YOM arrested and charged with 1st degree murder. Police reported the victim was targeted.")</f>
        <v>Body of 13YOM found the morning after the shooting in the parking lot of the school. Bookbag found in a ditch nearby. Police reported the shooting took place in the street by the school at 8pm and the victim's body was found in the school parking lot at 8am the next morning. 17YOM arrested and charged with 1st degree murder. Police reported the victim was targeted.</v>
      </c>
      <c r="AA759" s="5" t="str">
        <f ca="1">IFERROR(__xludf.DUMMYFUNCTION("""COMPUTED_VALUE"""),"Unknown")</f>
        <v>Unknown</v>
      </c>
      <c r="AB759" s="5" t="str">
        <f ca="1">IFERROR(__xludf.DUMMYFUNCTION("""COMPUTED_VALUE"""),"Victims Targeted")</f>
        <v>Victims Targeted</v>
      </c>
      <c r="AC759" s="5"/>
      <c r="AD759" s="5" t="str">
        <f ca="1">IFERROR(__xludf.DUMMYFUNCTION("""COMPUTED_VALUE"""),"No")</f>
        <v>No</v>
      </c>
      <c r="AE759" s="5" t="str">
        <f ca="1">IFERROR(__xludf.DUMMYFUNCTION("""COMPUTED_VALUE"""),"No")</f>
        <v>No</v>
      </c>
      <c r="AF759" s="5" t="str">
        <f ca="1">IFERROR(__xludf.DUMMYFUNCTION("""COMPUTED_VALUE"""),"No")</f>
        <v>No</v>
      </c>
      <c r="AG759" s="5" t="str">
        <f ca="1">IFERROR(__xludf.DUMMYFUNCTION("""COMPUTED_VALUE"""),"No")</f>
        <v>No</v>
      </c>
      <c r="AH759" s="5" t="str">
        <f ca="1">IFERROR(__xludf.DUMMYFUNCTION("""COMPUTED_VALUE"""),"No")</f>
        <v>No</v>
      </c>
      <c r="AI759" s="5"/>
      <c r="AJ759" s="5" t="str">
        <f ca="1">IFERROR(__xludf.DUMMYFUNCTION("""COMPUTED_VALUE"""),"No")</f>
        <v>No</v>
      </c>
    </row>
    <row r="760" spans="1:36" ht="13">
      <c r="A760" s="5" t="str">
        <f ca="1">IFERROR(__xludf.DUMMYFUNCTION("""COMPUTED_VALUE"""),"20191221LAWES")</f>
        <v>20191221LAWES</v>
      </c>
      <c r="B760" s="5">
        <f ca="1">IFERROR(__xludf.DUMMYFUNCTION("""COMPUTED_VALUE"""),12)</f>
        <v>12</v>
      </c>
      <c r="C760" s="5">
        <f ca="1">IFERROR(__xludf.DUMMYFUNCTION("""COMPUTED_VALUE"""),21)</f>
        <v>21</v>
      </c>
      <c r="D760" s="5">
        <f ca="1">IFERROR(__xludf.DUMMYFUNCTION("""COMPUTED_VALUE"""),2019)</f>
        <v>2019</v>
      </c>
      <c r="E760" s="8">
        <f ca="1">IFERROR(__xludf.DUMMYFUNCTION("""COMPUTED_VALUE"""),43820)</f>
        <v>43820</v>
      </c>
      <c r="F760" s="5" t="str">
        <f ca="1">IFERROR(__xludf.DUMMYFUNCTION("""COMPUTED_VALUE"""),"West St. John Elementary School")</f>
        <v>West St. John Elementary School</v>
      </c>
      <c r="G760" s="5">
        <f ca="1">IFERROR(__xludf.DUMMYFUNCTION("""COMPUTED_VALUE"""),0)</f>
        <v>0</v>
      </c>
      <c r="H760" s="5">
        <f ca="1">IFERROR(__xludf.DUMMYFUNCTION("""COMPUTED_VALUE"""),4)</f>
        <v>4</v>
      </c>
      <c r="I760" s="5">
        <f ca="1">IFERROR(__xludf.DUMMYFUNCTION("""COMPUTED_VALUE"""),4)</f>
        <v>4</v>
      </c>
      <c r="J760" s="5">
        <f ca="1">IFERROR(__xludf.DUMMYFUNCTION("""COMPUTED_VALUE"""),0)</f>
        <v>0</v>
      </c>
      <c r="K760" s="5" t="str">
        <f ca="1">IFERROR(__xludf.DUMMYFUNCTION("""COMPUTED_VALUE"""),"https://www.fox8live.com/2019/12/24/injured-during-private-party-west-st-john-elementary-suspect-arrested/ https://www.wdsu.com/article/watch-new-video-shows-two-people-fire-shots-at-party-held-at-west-st-john-elementary/30347330")</f>
        <v>https://www.fox8live.com/2019/12/24/injured-during-private-party-west-st-john-elementary-suspect-arrested/ https://www.wdsu.com/article/watch-new-video-shows-two-people-fire-shots-at-party-held-at-west-st-john-elementary/30347330</v>
      </c>
      <c r="L760" s="5"/>
      <c r="M760" s="5"/>
      <c r="N760" s="5">
        <f ca="1">IFERROR(__xludf.DUMMYFUNCTION("""COMPUTED_VALUE"""),4)</f>
        <v>4</v>
      </c>
      <c r="O760" s="5" t="str">
        <f ca="1">IFERROR(__xludf.DUMMYFUNCTION("""COMPUTED_VALUE"""),"Winter")</f>
        <v>Winter</v>
      </c>
      <c r="P760" s="5" t="str">
        <f ca="1">IFERROR(__xludf.DUMMYFUNCTION("""COMPUTED_VALUE"""),"St. John the Baptist Parish")</f>
        <v>St. John the Baptist Parish</v>
      </c>
      <c r="Q760" s="5" t="str">
        <f ca="1">IFERROR(__xludf.DUMMYFUNCTION("""COMPUTED_VALUE"""),"LA")</f>
        <v>LA</v>
      </c>
      <c r="R760" s="5" t="str">
        <f ca="1">IFERROR(__xludf.DUMMYFUNCTION("""COMPUTED_VALUE"""),"Elementary")</f>
        <v>Elementary</v>
      </c>
      <c r="S760" s="5" t="str">
        <f ca="1">IFERROR(__xludf.DUMMYFUNCTION("""COMPUTED_VALUE"""),"Parking Lot")</f>
        <v>Parking Lot</v>
      </c>
      <c r="T760" s="5" t="str">
        <f ca="1">IFERROR(__xludf.DUMMYFUNCTION("""COMPUTED_VALUE"""),"Outside on School Property")</f>
        <v>Outside on School Property</v>
      </c>
      <c r="U760" s="5" t="str">
        <f ca="1">IFERROR(__xludf.DUMMYFUNCTION("""COMPUTED_VALUE"""),"No")</f>
        <v>No</v>
      </c>
      <c r="V760" s="5" t="str">
        <f ca="1">IFERROR(__xludf.DUMMYFUNCTION("""COMPUTED_VALUE"""),"Night")</f>
        <v>Night</v>
      </c>
      <c r="W760" s="10">
        <f ca="1">IFERROR(__xludf.DUMMYFUNCTION("""COMPUTED_VALUE"""),0.979166666666666)</f>
        <v>0.97916666666666596</v>
      </c>
      <c r="X760" s="5">
        <f ca="1">IFERROR(__xludf.DUMMYFUNCTION("""COMPUTED_VALUE"""),1)</f>
        <v>1</v>
      </c>
      <c r="Y760" s="5" t="str">
        <f ca="1">IFERROR(__xludf.DUMMYFUNCTION("""COMPUTED_VALUE"""),"4 people shot outside of school after party (rented school for event)")</f>
        <v>4 people shot outside of school after party (rented school for event)</v>
      </c>
      <c r="Z760" s="5" t="str">
        <f ca="1">IFERROR(__xludf.DUMMYFUNCTION("""COMPUTED_VALUE"""),"School was rented for private party. Following an argument, 4 people were shot in the school parking lot. 2 suspects fled and a 34YOM was later arrested. 5 vehicles in the parking lot were stuck by bullets. No students in the school during the event.")</f>
        <v>School was rented for private party. Following an argument, 4 people were shot in the school parking lot. 2 suspects fled and a 34YOM was later arrested. 5 vehicles in the parking lot were stuck by bullets. No students in the school during the event.</v>
      </c>
      <c r="AA760" s="5" t="str">
        <f ca="1">IFERROR(__xludf.DUMMYFUNCTION("""COMPUTED_VALUE"""),"Escalation of Dispute")</f>
        <v>Escalation of Dispute</v>
      </c>
      <c r="AB760" s="5"/>
      <c r="AC760" s="5" t="str">
        <f ca="1">IFERROR(__xludf.DUMMYFUNCTION("""COMPUTED_VALUE"""),"Yes")</f>
        <v>Yes</v>
      </c>
      <c r="AD760" s="5" t="str">
        <f ca="1">IFERROR(__xludf.DUMMYFUNCTION("""COMPUTED_VALUE"""),"No")</f>
        <v>No</v>
      </c>
      <c r="AE760" s="5" t="str">
        <f ca="1">IFERROR(__xludf.DUMMYFUNCTION("""COMPUTED_VALUE"""),"No")</f>
        <v>No</v>
      </c>
      <c r="AF760" s="5" t="str">
        <f ca="1">IFERROR(__xludf.DUMMYFUNCTION("""COMPUTED_VALUE"""),"No")</f>
        <v>No</v>
      </c>
      <c r="AG760" s="5" t="str">
        <f ca="1">IFERROR(__xludf.DUMMYFUNCTION("""COMPUTED_VALUE"""),"No")</f>
        <v>No</v>
      </c>
      <c r="AH760" s="5" t="str">
        <f ca="1">IFERROR(__xludf.DUMMYFUNCTION("""COMPUTED_VALUE"""),"No")</f>
        <v>No</v>
      </c>
      <c r="AI760" s="5" t="str">
        <f ca="1">IFERROR(__xludf.DUMMYFUNCTION("""COMPUTED_VALUE"""),"No")</f>
        <v>No</v>
      </c>
      <c r="AJ760" s="5" t="str">
        <f ca="1">IFERROR(__xludf.DUMMYFUNCTION("""COMPUTED_VALUE"""),"No")</f>
        <v>No</v>
      </c>
    </row>
    <row r="761" spans="1:36" ht="13">
      <c r="A761" s="5" t="str">
        <f ca="1">IFERROR(__xludf.DUMMYFUNCTION("""COMPUTED_VALUE"""),"20191219FLLEN")</f>
        <v>20191219FLLEN</v>
      </c>
      <c r="B761" s="5">
        <f ca="1">IFERROR(__xludf.DUMMYFUNCTION("""COMPUTED_VALUE"""),12)</f>
        <v>12</v>
      </c>
      <c r="C761" s="5">
        <f ca="1">IFERROR(__xludf.DUMMYFUNCTION("""COMPUTED_VALUE"""),19)</f>
        <v>19</v>
      </c>
      <c r="D761" s="5">
        <f ca="1">IFERROR(__xludf.DUMMYFUNCTION("""COMPUTED_VALUE"""),2019)</f>
        <v>2019</v>
      </c>
      <c r="E761" s="8">
        <f ca="1">IFERROR(__xludf.DUMMYFUNCTION("""COMPUTED_VALUE"""),43818)</f>
        <v>43818</v>
      </c>
      <c r="F761" s="5" t="str">
        <f ca="1">IFERROR(__xludf.DUMMYFUNCTION("""COMPUTED_VALUE"""),"Lely High School")</f>
        <v>Lely High School</v>
      </c>
      <c r="G761" s="5">
        <f ca="1">IFERROR(__xludf.DUMMYFUNCTION("""COMPUTED_VALUE"""),1)</f>
        <v>1</v>
      </c>
      <c r="H761" s="5">
        <f ca="1">IFERROR(__xludf.DUMMYFUNCTION("""COMPUTED_VALUE"""),0)</f>
        <v>0</v>
      </c>
      <c r="I761" s="5">
        <f ca="1">IFERROR(__xludf.DUMMYFUNCTION("""COMPUTED_VALUE"""),1)</f>
        <v>1</v>
      </c>
      <c r="J761" s="5">
        <f ca="1">IFERROR(__xludf.DUMMYFUNCTION("""COMPUTED_VALUE"""),0)</f>
        <v>0</v>
      </c>
      <c r="K761" s="5" t="str">
        <f ca="1">IFERROR(__xludf.DUMMYFUNCTION("""COMPUTED_VALUE"""),"https://www.winknews.com/2019/12/19/collier-county-deputies-conducting-investigation-at-lely-high-school/ https://www.nbc-2.com/story/41479254/adult-education-student-involved-in-shooting-at-lely-high-school https://www.nbc-2.com/story/41832291/man-gets-l"&amp;"ife-in-prison-for-murder-of-woman-at-lely-high-school")</f>
        <v>https://www.winknews.com/2019/12/19/collier-county-deputies-conducting-investigation-at-lely-high-school/ https://www.nbc-2.com/story/41479254/adult-education-student-involved-in-shooting-at-lely-high-school https://www.nbc-2.com/story/41832291/man-gets-life-in-prison-for-murder-of-woman-at-lely-high-school</v>
      </c>
      <c r="L761" s="5"/>
      <c r="M761" s="5"/>
      <c r="N761" s="5">
        <f ca="1">IFERROR(__xludf.DUMMYFUNCTION("""COMPUTED_VALUE"""),5)</f>
        <v>5</v>
      </c>
      <c r="O761" s="5" t="str">
        <f ca="1">IFERROR(__xludf.DUMMYFUNCTION("""COMPUTED_VALUE"""),"Winter")</f>
        <v>Winter</v>
      </c>
      <c r="P761" s="5" t="str">
        <f ca="1">IFERROR(__xludf.DUMMYFUNCTION("""COMPUTED_VALUE"""),"Naples")</f>
        <v>Naples</v>
      </c>
      <c r="Q761" s="5" t="str">
        <f ca="1">IFERROR(__xludf.DUMMYFUNCTION("""COMPUTED_VALUE"""),"FL")</f>
        <v>FL</v>
      </c>
      <c r="R761" s="5" t="str">
        <f ca="1">IFERROR(__xludf.DUMMYFUNCTION("""COMPUTED_VALUE"""),"High")</f>
        <v>High</v>
      </c>
      <c r="S761" s="5" t="str">
        <f ca="1">IFERROR(__xludf.DUMMYFUNCTION("""COMPUTED_VALUE"""),"Parking Lot")</f>
        <v>Parking Lot</v>
      </c>
      <c r="T761" s="5" t="str">
        <f ca="1">IFERROR(__xludf.DUMMYFUNCTION("""COMPUTED_VALUE"""),"Outside on School Property")</f>
        <v>Outside on School Property</v>
      </c>
      <c r="U761" s="5" t="str">
        <f ca="1">IFERROR(__xludf.DUMMYFUNCTION("""COMPUTED_VALUE"""),"No")</f>
        <v>No</v>
      </c>
      <c r="V761" s="5" t="str">
        <f ca="1">IFERROR(__xludf.DUMMYFUNCTION("""COMPUTED_VALUE"""),"Evening")</f>
        <v>Evening</v>
      </c>
      <c r="W761" s="10">
        <f ca="1">IFERROR(__xludf.DUMMYFUNCTION("""COMPUTED_VALUE"""),0.853472222222222)</f>
        <v>0.85347222222222197</v>
      </c>
      <c r="X761" s="5">
        <f ca="1">IFERROR(__xludf.DUMMYFUNCTION("""COMPUTED_VALUE"""),1)</f>
        <v>1</v>
      </c>
      <c r="Y761" s="5" t="str">
        <f ca="1">IFERROR(__xludf.DUMMYFUNCTION("""COMPUTED_VALUE"""),"Adult male shot adult female night school students in parking lot")</f>
        <v>Adult male shot adult female night school students in parking lot</v>
      </c>
      <c r="Z761" s="5" t="str">
        <f ca="1">IFERROR(__xludf.DUMMYFUNCTION("""COMPUTED_VALUE"""),"Female adult night school student was shot and killed in school parking lot. 50YOM fled the scene and was later arrested. Targeted shooting. Domestic violence. Principle made statement about the shooting and school opened on schedule the following day.")</f>
        <v>Female adult night school student was shot and killed in school parking lot. 50YOM fled the scene and was later arrested. Targeted shooting. Domestic violence. Principle made statement about the shooting and school opened on schedule the following day.</v>
      </c>
      <c r="AA761" s="5" t="str">
        <f ca="1">IFERROR(__xludf.DUMMYFUNCTION("""COMPUTED_VALUE"""),"Domestic w/ Targeted Victim")</f>
        <v>Domestic w/ Targeted Victim</v>
      </c>
      <c r="AB761" s="5" t="str">
        <f ca="1">IFERROR(__xludf.DUMMYFUNCTION("""COMPUTED_VALUE"""),"Victims Targeted")</f>
        <v>Victims Targeted</v>
      </c>
      <c r="AC761" s="5" t="str">
        <f ca="1">IFERROR(__xludf.DUMMYFUNCTION("""COMPUTED_VALUE"""),"No")</f>
        <v>No</v>
      </c>
      <c r="AD761" s="5" t="str">
        <f ca="1">IFERROR(__xludf.DUMMYFUNCTION("""COMPUTED_VALUE"""),"No")</f>
        <v>No</v>
      </c>
      <c r="AE761" s="5" t="str">
        <f ca="1">IFERROR(__xludf.DUMMYFUNCTION("""COMPUTED_VALUE"""),"No")</f>
        <v>No</v>
      </c>
      <c r="AF761" s="5" t="str">
        <f ca="1">IFERROR(__xludf.DUMMYFUNCTION("""COMPUTED_VALUE"""),"No")</f>
        <v>No</v>
      </c>
      <c r="AG761" s="5" t="str">
        <f ca="1">IFERROR(__xludf.DUMMYFUNCTION("""COMPUTED_VALUE"""),"No")</f>
        <v>No</v>
      </c>
      <c r="AH761" s="5" t="str">
        <f ca="1">IFERROR(__xludf.DUMMYFUNCTION("""COMPUTED_VALUE"""),"Yes")</f>
        <v>Yes</v>
      </c>
      <c r="AI761" s="5" t="str">
        <f ca="1">IFERROR(__xludf.DUMMYFUNCTION("""COMPUTED_VALUE"""),"No")</f>
        <v>No</v>
      </c>
      <c r="AJ761" s="5" t="str">
        <f ca="1">IFERROR(__xludf.DUMMYFUNCTION("""COMPUTED_VALUE"""),"No")</f>
        <v>No</v>
      </c>
    </row>
    <row r="762" spans="1:36" ht="13">
      <c r="A762" s="5" t="str">
        <f ca="1">IFERROR(__xludf.DUMMYFUNCTION("""COMPUTED_VALUE"""),"20191216CTCAN")</f>
        <v>20191216CTCAN</v>
      </c>
      <c r="B762" s="5">
        <f ca="1">IFERROR(__xludf.DUMMYFUNCTION("""COMPUTED_VALUE"""),12)</f>
        <v>12</v>
      </c>
      <c r="C762" s="5">
        <f ca="1">IFERROR(__xludf.DUMMYFUNCTION("""COMPUTED_VALUE"""),16)</f>
        <v>16</v>
      </c>
      <c r="D762" s="5">
        <f ca="1">IFERROR(__xludf.DUMMYFUNCTION("""COMPUTED_VALUE"""),2019)</f>
        <v>2019</v>
      </c>
      <c r="E762" s="8">
        <f ca="1">IFERROR(__xludf.DUMMYFUNCTION("""COMPUTED_VALUE"""),43815)</f>
        <v>43815</v>
      </c>
      <c r="F762" s="5" t="str">
        <f ca="1">IFERROR(__xludf.DUMMYFUNCTION("""COMPUTED_VALUE"""),"Catholic Academy of New Haven")</f>
        <v>Catholic Academy of New Haven</v>
      </c>
      <c r="G762" s="5">
        <f ca="1">IFERROR(__xludf.DUMMYFUNCTION("""COMPUTED_VALUE"""),0)</f>
        <v>0</v>
      </c>
      <c r="H762" s="5">
        <f ca="1">IFERROR(__xludf.DUMMYFUNCTION("""COMPUTED_VALUE"""),1)</f>
        <v>1</v>
      </c>
      <c r="I762" s="5">
        <f ca="1">IFERROR(__xludf.DUMMYFUNCTION("""COMPUTED_VALUE"""),1)</f>
        <v>1</v>
      </c>
      <c r="J762" s="5">
        <f ca="1">IFERROR(__xludf.DUMMYFUNCTION("""COMPUTED_VALUE"""),0)</f>
        <v>0</v>
      </c>
      <c r="K762" s="5" t="str">
        <f ca="1">IFERROR(__xludf.DUMMYFUNCTION("""COMPUTED_VALUE"""),"https://whdh.com/news/police-man-shot-outside-school-bullet-hits-classroom-in-connecticut/ https://www.wral.com/police-man-shot-outside-school-bullet-hits-classroom/18836915/ https://www.newhavenindependent.org/index.php/archives/entry/lockdown_shooting/")</f>
        <v>https://whdh.com/news/police-man-shot-outside-school-bullet-hits-classroom-in-connecticut/ https://www.wral.com/police-man-shot-outside-school-bullet-hits-classroom/18836915/ https://www.newhavenindependent.org/index.php/archives/entry/lockdown_shooting/</v>
      </c>
      <c r="L762" s="5"/>
      <c r="M762" s="5"/>
      <c r="N762" s="5">
        <f ca="1">IFERROR(__xludf.DUMMYFUNCTION("""COMPUTED_VALUE"""),4)</f>
        <v>4</v>
      </c>
      <c r="O762" s="5" t="str">
        <f ca="1">IFERROR(__xludf.DUMMYFUNCTION("""COMPUTED_VALUE"""),"Winter")</f>
        <v>Winter</v>
      </c>
      <c r="P762" s="5" t="str">
        <f ca="1">IFERROR(__xludf.DUMMYFUNCTION("""COMPUTED_VALUE"""),"New Haven")</f>
        <v>New Haven</v>
      </c>
      <c r="Q762" s="5" t="str">
        <f ca="1">IFERROR(__xludf.DUMMYFUNCTION("""COMPUTED_VALUE"""),"CT")</f>
        <v>CT</v>
      </c>
      <c r="R762" s="5" t="str">
        <f ca="1">IFERROR(__xludf.DUMMYFUNCTION("""COMPUTED_VALUE"""),"K-8")</f>
        <v>K-8</v>
      </c>
      <c r="S762" s="5" t="str">
        <f ca="1">IFERROR(__xludf.DUMMYFUNCTION("""COMPUTED_VALUE"""),"Beside Building")</f>
        <v>Beside Building</v>
      </c>
      <c r="T762" s="5" t="str">
        <f ca="1">IFERROR(__xludf.DUMMYFUNCTION("""COMPUTED_VALUE"""),"Outside on School Property")</f>
        <v>Outside on School Property</v>
      </c>
      <c r="U762" s="5" t="str">
        <f ca="1">IFERROR(__xludf.DUMMYFUNCTION("""COMPUTED_VALUE"""),"Yes")</f>
        <v>Yes</v>
      </c>
      <c r="V762" s="5" t="str">
        <f ca="1">IFERROR(__xludf.DUMMYFUNCTION("""COMPUTED_VALUE"""),"School Start")</f>
        <v>School Start</v>
      </c>
      <c r="W762" s="10">
        <f ca="1">IFERROR(__xludf.DUMMYFUNCTION("""COMPUTED_VALUE"""),0.375)</f>
        <v>0.375</v>
      </c>
      <c r="X762" s="5">
        <f ca="1">IFERROR(__xludf.DUMMYFUNCTION("""COMPUTED_VALUE"""),1)</f>
        <v>1</v>
      </c>
      <c r="Y762" s="5" t="str">
        <f ca="1">IFERROR(__xludf.DUMMYFUNCTION("""COMPUTED_VALUE"""),"Adult dropping child off shot in targeted shooting, 7 bullets hit school building")</f>
        <v>Adult dropping child off shot in targeted shooting, 7 bullets hit school building</v>
      </c>
      <c r="Z762" s="5" t="str">
        <f ca="1">IFERROR(__xludf.DUMMYFUNCTION("""COMPUTED_VALUE"""),"Adult caregiver was shot multiple times while dropping child off at school. 10 shots fired. 7 hit school building and 1 entered occupied classroom with students inside. Caregiver had been recently released from prison and had gang affiliation. Unknown sho"&amp;"oter fled the area. School placed on lockdown and additional police patrol assigned.")</f>
        <v>Adult caregiver was shot multiple times while dropping child off at school. 10 shots fired. 7 hit school building and 1 entered occupied classroom with students inside. Caregiver had been recently released from prison and had gang affiliation. Unknown shooter fled the area. School placed on lockdown and additional police patrol assigned.</v>
      </c>
      <c r="AA762" s="5" t="str">
        <f ca="1">IFERROR(__xludf.DUMMYFUNCTION("""COMPUTED_VALUE"""),"Drive-by Shooting")</f>
        <v>Drive-by Shooting</v>
      </c>
      <c r="AB762" s="5" t="str">
        <f ca="1">IFERROR(__xludf.DUMMYFUNCTION("""COMPUTED_VALUE"""),"Victims Targeted")</f>
        <v>Victims Targeted</v>
      </c>
      <c r="AC762" s="5" t="str">
        <f ca="1">IFERROR(__xludf.DUMMYFUNCTION("""COMPUTED_VALUE"""),"No")</f>
        <v>No</v>
      </c>
      <c r="AD762" s="5" t="str">
        <f ca="1">IFERROR(__xludf.DUMMYFUNCTION("""COMPUTED_VALUE"""),"No")</f>
        <v>No</v>
      </c>
      <c r="AE762" s="5" t="str">
        <f ca="1">IFERROR(__xludf.DUMMYFUNCTION("""COMPUTED_VALUE"""),"No")</f>
        <v>No</v>
      </c>
      <c r="AF762" s="5" t="str">
        <f ca="1">IFERROR(__xludf.DUMMYFUNCTION("""COMPUTED_VALUE"""),"No")</f>
        <v>No</v>
      </c>
      <c r="AG762" s="5" t="str">
        <f ca="1">IFERROR(__xludf.DUMMYFUNCTION("""COMPUTED_VALUE"""),"No")</f>
        <v>No</v>
      </c>
      <c r="AH762" s="5" t="str">
        <f ca="1">IFERROR(__xludf.DUMMYFUNCTION("""COMPUTED_VALUE"""),"No")</f>
        <v>No</v>
      </c>
      <c r="AI762" s="5" t="str">
        <f ca="1">IFERROR(__xludf.DUMMYFUNCTION("""COMPUTED_VALUE"""),"Yes")</f>
        <v>Yes</v>
      </c>
      <c r="AJ762" s="5" t="str">
        <f ca="1">IFERROR(__xludf.DUMMYFUNCTION("""COMPUTED_VALUE"""),"No")</f>
        <v>No</v>
      </c>
    </row>
    <row r="763" spans="1:36" ht="13">
      <c r="A763" s="5" t="str">
        <f ca="1">IFERROR(__xludf.DUMMYFUNCTION("""COMPUTED_VALUE"""),"20191213VAMAN")</f>
        <v>20191213VAMAN</v>
      </c>
      <c r="B763" s="5">
        <f ca="1">IFERROR(__xludf.DUMMYFUNCTION("""COMPUTED_VALUE"""),12)</f>
        <v>12</v>
      </c>
      <c r="C763" s="5">
        <f ca="1">IFERROR(__xludf.DUMMYFUNCTION("""COMPUTED_VALUE"""),13)</f>
        <v>13</v>
      </c>
      <c r="D763" s="5">
        <f ca="1">IFERROR(__xludf.DUMMYFUNCTION("""COMPUTED_VALUE"""),2019)</f>
        <v>2019</v>
      </c>
      <c r="E763" s="8">
        <f ca="1">IFERROR(__xludf.DUMMYFUNCTION("""COMPUTED_VALUE"""),43812)</f>
        <v>43812</v>
      </c>
      <c r="F763" s="5" t="str">
        <f ca="1">IFERROR(__xludf.DUMMYFUNCTION("""COMPUTED_VALUE"""),"Maury High School")</f>
        <v>Maury High School</v>
      </c>
      <c r="G763" s="5">
        <f ca="1">IFERROR(__xludf.DUMMYFUNCTION("""COMPUTED_VALUE"""),0)</f>
        <v>0</v>
      </c>
      <c r="H763" s="5">
        <f ca="1">IFERROR(__xludf.DUMMYFUNCTION("""COMPUTED_VALUE"""),0)</f>
        <v>0</v>
      </c>
      <c r="I763" s="5">
        <f ca="1">IFERROR(__xludf.DUMMYFUNCTION("""COMPUTED_VALUE"""),0)</f>
        <v>0</v>
      </c>
      <c r="J763" s="5">
        <f ca="1">IFERROR(__xludf.DUMMYFUNCTION("""COMPUTED_VALUE"""),0)</f>
        <v>0</v>
      </c>
      <c r="K763" s="5" t="str">
        <f ca="1">IFERROR(__xludf.DUMMYFUNCTION("""COMPUTED_VALUE"""),"https://www.wavy.com/news/local-news/norfolk/maury-high-student-taken-to-hospital-after-minor-explosion-reportedly-lit-ammunition-on-fire/ https://www.wavy.com/news/breaking-news/police-two-juveniles-charged-in-connection-to-maury-high-school-shooting/")</f>
        <v>https://www.wavy.com/news/local-news/norfolk/maury-high-student-taken-to-hospital-after-minor-explosion-reportedly-lit-ammunition-on-fire/ https://www.wavy.com/news/breaking-news/police-two-juveniles-charged-in-connection-to-maury-high-school-shooting/</v>
      </c>
      <c r="L763" s="5"/>
      <c r="M763" s="5"/>
      <c r="N763" s="5">
        <f ca="1">IFERROR(__xludf.DUMMYFUNCTION("""COMPUTED_VALUE"""),4)</f>
        <v>4</v>
      </c>
      <c r="O763" s="5" t="str">
        <f ca="1">IFERROR(__xludf.DUMMYFUNCTION("""COMPUTED_VALUE"""),"Winter")</f>
        <v>Winter</v>
      </c>
      <c r="P763" s="5" t="str">
        <f ca="1">IFERROR(__xludf.DUMMYFUNCTION("""COMPUTED_VALUE"""),"Norfolk")</f>
        <v>Norfolk</v>
      </c>
      <c r="Q763" s="5" t="str">
        <f ca="1">IFERROR(__xludf.DUMMYFUNCTION("""COMPUTED_VALUE"""),"VA")</f>
        <v>VA</v>
      </c>
      <c r="R763" s="5" t="str">
        <f ca="1">IFERROR(__xludf.DUMMYFUNCTION("""COMPUTED_VALUE"""),"High")</f>
        <v>High</v>
      </c>
      <c r="S763" s="5" t="str">
        <f ca="1">IFERROR(__xludf.DUMMYFUNCTION("""COMPUTED_VALUE"""),"Classroom")</f>
        <v>Classroom</v>
      </c>
      <c r="T763" s="5" t="str">
        <f ca="1">IFERROR(__xludf.DUMMYFUNCTION("""COMPUTED_VALUE"""),"Inside School Building")</f>
        <v>Inside School Building</v>
      </c>
      <c r="U763" s="5" t="str">
        <f ca="1">IFERROR(__xludf.DUMMYFUNCTION("""COMPUTED_VALUE"""),"Yes")</f>
        <v>Yes</v>
      </c>
      <c r="V763" s="5" t="str">
        <f ca="1">IFERROR(__xludf.DUMMYFUNCTION("""COMPUTED_VALUE"""),"Afternoon Classes")</f>
        <v>Afternoon Classes</v>
      </c>
      <c r="W763" s="10">
        <f ca="1">IFERROR(__xludf.DUMMYFUNCTION("""COMPUTED_VALUE"""),0.510416666666666)</f>
        <v>0.51041666666666596</v>
      </c>
      <c r="X763" s="5">
        <f ca="1">IFERROR(__xludf.DUMMYFUNCTION("""COMPUTED_VALUE"""),1)</f>
        <v>1</v>
      </c>
      <c r="Y763" s="5" t="str">
        <f ca="1">IFERROR(__xludf.DUMMYFUNCTION("""COMPUTED_VALUE"""),"Student shot self in hand in classroom")</f>
        <v>Student shot self in hand in classroom</v>
      </c>
      <c r="Z763" s="5" t="str">
        <f ca="1">IFERROR(__xludf.DUMMYFUNCTION("""COMPUTED_VALUE"""),"17YOM student shot self in hand while playing with handgun during class. Second student took possession of the handgun after the shooting and was later arrested. School was locked down for 3 hours, searched, and then dismissed. Injured student was taken t"&amp;"o the hospital. Charges pending.")</f>
        <v>17YOM student shot self in hand while playing with handgun during class. Second student took possession of the handgun after the shooting and was later arrested. School was locked down for 3 hours, searched, and then dismissed. Injured student was taken to the hospital. Charges pending.</v>
      </c>
      <c r="AA763" s="5" t="str">
        <f ca="1">IFERROR(__xludf.DUMMYFUNCTION("""COMPUTED_VALUE"""),"Accidental")</f>
        <v>Accidental</v>
      </c>
      <c r="AB763" s="5" t="str">
        <f ca="1">IFERROR(__xludf.DUMMYFUNCTION("""COMPUTED_VALUE"""),"Neither")</f>
        <v>Neither</v>
      </c>
      <c r="AC763" s="5" t="str">
        <f ca="1">IFERROR(__xludf.DUMMYFUNCTION("""COMPUTED_VALUE"""),"Yes")</f>
        <v>Yes</v>
      </c>
      <c r="AD763" s="5" t="str">
        <f ca="1">IFERROR(__xludf.DUMMYFUNCTION("""COMPUTED_VALUE"""),"No")</f>
        <v>No</v>
      </c>
      <c r="AE763" s="5" t="str">
        <f ca="1">IFERROR(__xludf.DUMMYFUNCTION("""COMPUTED_VALUE"""),"No")</f>
        <v>No</v>
      </c>
      <c r="AF763" s="5" t="str">
        <f ca="1">IFERROR(__xludf.DUMMYFUNCTION("""COMPUTED_VALUE"""),"No")</f>
        <v>No</v>
      </c>
      <c r="AG763" s="5" t="str">
        <f ca="1">IFERROR(__xludf.DUMMYFUNCTION("""COMPUTED_VALUE"""),"No")</f>
        <v>No</v>
      </c>
      <c r="AH763" s="5" t="str">
        <f ca="1">IFERROR(__xludf.DUMMYFUNCTION("""COMPUTED_VALUE"""),"No")</f>
        <v>No</v>
      </c>
      <c r="AI763" s="5" t="str">
        <f ca="1">IFERROR(__xludf.DUMMYFUNCTION("""COMPUTED_VALUE"""),"No")</f>
        <v>No</v>
      </c>
      <c r="AJ763" s="5" t="str">
        <f ca="1">IFERROR(__xludf.DUMMYFUNCTION("""COMPUTED_VALUE"""),"No")</f>
        <v>No</v>
      </c>
    </row>
    <row r="764" spans="1:36" ht="13">
      <c r="A764" s="5" t="str">
        <f ca="1">IFERROR(__xludf.DUMMYFUNCTION("""COMPUTED_VALUE"""),"20191211INEVE")</f>
        <v>20191211INEVE</v>
      </c>
      <c r="B764" s="5">
        <f ca="1">IFERROR(__xludf.DUMMYFUNCTION("""COMPUTED_VALUE"""),12)</f>
        <v>12</v>
      </c>
      <c r="C764" s="5">
        <f ca="1">IFERROR(__xludf.DUMMYFUNCTION("""COMPUTED_VALUE"""),11)</f>
        <v>11</v>
      </c>
      <c r="D764" s="5">
        <f ca="1">IFERROR(__xludf.DUMMYFUNCTION("""COMPUTED_VALUE"""),2019)</f>
        <v>2019</v>
      </c>
      <c r="E764" s="8">
        <f ca="1">IFERROR(__xludf.DUMMYFUNCTION("""COMPUTED_VALUE"""),43810)</f>
        <v>43810</v>
      </c>
      <c r="F764" s="5" t="str">
        <f ca="1">IFERROR(__xludf.DUMMYFUNCTION("""COMPUTED_VALUE"""),"Evans Elementary School")</f>
        <v>Evans Elementary School</v>
      </c>
      <c r="G764" s="5">
        <f ca="1">IFERROR(__xludf.DUMMYFUNCTION("""COMPUTED_VALUE"""),0)</f>
        <v>0</v>
      </c>
      <c r="H764" s="5">
        <f ca="1">IFERROR(__xludf.DUMMYFUNCTION("""COMPUTED_VALUE"""),0)</f>
        <v>0</v>
      </c>
      <c r="I764" s="5">
        <f ca="1">IFERROR(__xludf.DUMMYFUNCTION("""COMPUTED_VALUE"""),0)</f>
        <v>0</v>
      </c>
      <c r="J764" s="5">
        <f ca="1">IFERROR(__xludf.DUMMYFUNCTION("""COMPUTED_VALUE"""),0)</f>
        <v>0</v>
      </c>
      <c r="K764" s="9" t="str">
        <f ca="1">IFERROR(__xludf.DUMMYFUNCTION("""COMPUTED_VALUE"""),"https://www.14news.com/2019/12/11/dispatch-police-called-evans-elem-after-gunshots-reported/")</f>
        <v>https://www.14news.com/2019/12/11/dispatch-police-called-evans-elem-after-gunshots-reported/</v>
      </c>
      <c r="L764" s="5"/>
      <c r="M764" s="5"/>
      <c r="N764" s="5">
        <f ca="1">IFERROR(__xludf.DUMMYFUNCTION("""COMPUTED_VALUE"""),3)</f>
        <v>3</v>
      </c>
      <c r="O764" s="5" t="str">
        <f ca="1">IFERROR(__xludf.DUMMYFUNCTION("""COMPUTED_VALUE"""),"Winter")</f>
        <v>Winter</v>
      </c>
      <c r="P764" s="5" t="str">
        <f ca="1">IFERROR(__xludf.DUMMYFUNCTION("""COMPUTED_VALUE"""),"Evansville")</f>
        <v>Evansville</v>
      </c>
      <c r="Q764" s="5" t="str">
        <f ca="1">IFERROR(__xludf.DUMMYFUNCTION("""COMPUTED_VALUE"""),"IN")</f>
        <v>IN</v>
      </c>
      <c r="R764" s="5" t="str">
        <f ca="1">IFERROR(__xludf.DUMMYFUNCTION("""COMPUTED_VALUE"""),"Elementary")</f>
        <v>Elementary</v>
      </c>
      <c r="S764" s="5" t="str">
        <f ca="1">IFERROR(__xludf.DUMMYFUNCTION("""COMPUTED_VALUE"""),"School Bus")</f>
        <v>School Bus</v>
      </c>
      <c r="T764" s="5" t="str">
        <f ca="1">IFERROR(__xludf.DUMMYFUNCTION("""COMPUTED_VALUE"""),"School Bus")</f>
        <v>School Bus</v>
      </c>
      <c r="U764" s="5" t="str">
        <f ca="1">IFERROR(__xludf.DUMMYFUNCTION("""COMPUTED_VALUE"""),"No")</f>
        <v>No</v>
      </c>
      <c r="V764" s="5" t="str">
        <f ca="1">IFERROR(__xludf.DUMMYFUNCTION("""COMPUTED_VALUE"""),"After School")</f>
        <v>After School</v>
      </c>
      <c r="W764" s="10">
        <f ca="1">IFERROR(__xludf.DUMMYFUNCTION("""COMPUTED_VALUE"""),0.625)</f>
        <v>0.625</v>
      </c>
      <c r="X764" s="5">
        <f ca="1">IFERROR(__xludf.DUMMYFUNCTION("""COMPUTED_VALUE"""),1)</f>
        <v>1</v>
      </c>
      <c r="Y764" s="5" t="str">
        <f ca="1">IFERROR(__xludf.DUMMYFUNCTION("""COMPUTED_VALUE"""),"BB shattered school bus window while driving")</f>
        <v>BB shattered school bus window while driving</v>
      </c>
      <c r="Z764" s="5" t="str">
        <f ca="1">IFERROR(__xludf.DUMMYFUNCTION("""COMPUTED_VALUE"""),"Bus driver reported that BB shattered school bus window while driving. No students on the bus when the incident occured.")</f>
        <v>Bus driver reported that BB shattered school bus window while driving. No students on the bus when the incident occured.</v>
      </c>
      <c r="AA764" s="5" t="str">
        <f ca="1">IFERROR(__xludf.DUMMYFUNCTION("""COMPUTED_VALUE"""),"Unknown")</f>
        <v>Unknown</v>
      </c>
      <c r="AB764" s="5"/>
      <c r="AC764" s="5" t="str">
        <f ca="1">IFERROR(__xludf.DUMMYFUNCTION("""COMPUTED_VALUE"""),"No")</f>
        <v>No</v>
      </c>
      <c r="AD764" s="5" t="str">
        <f ca="1">IFERROR(__xludf.DUMMYFUNCTION("""COMPUTED_VALUE"""),"No")</f>
        <v>No</v>
      </c>
      <c r="AE764" s="5" t="str">
        <f ca="1">IFERROR(__xludf.DUMMYFUNCTION("""COMPUTED_VALUE"""),"No")</f>
        <v>No</v>
      </c>
      <c r="AF764" s="5" t="str">
        <f ca="1">IFERROR(__xludf.DUMMYFUNCTION("""COMPUTED_VALUE"""),"No")</f>
        <v>No</v>
      </c>
      <c r="AG764" s="5" t="str">
        <f ca="1">IFERROR(__xludf.DUMMYFUNCTION("""COMPUTED_VALUE"""),"No")</f>
        <v>No</v>
      </c>
      <c r="AH764" s="5" t="str">
        <f ca="1">IFERROR(__xludf.DUMMYFUNCTION("""COMPUTED_VALUE"""),"No")</f>
        <v>No</v>
      </c>
      <c r="AI764" s="5" t="str">
        <f ca="1">IFERROR(__xludf.DUMMYFUNCTION("""COMPUTED_VALUE"""),"No")</f>
        <v>No</v>
      </c>
      <c r="AJ764" s="5" t="str">
        <f ca="1">IFERROR(__xludf.DUMMYFUNCTION("""COMPUTED_VALUE"""),"No")</f>
        <v>No</v>
      </c>
    </row>
    <row r="765" spans="1:36" ht="13">
      <c r="A765" s="5" t="str">
        <f ca="1">IFERROR(__xludf.DUMMYFUNCTION("""COMPUTED_VALUE"""),"20191211KSCHT")</f>
        <v>20191211KSCHT</v>
      </c>
      <c r="B765" s="5">
        <f ca="1">IFERROR(__xludf.DUMMYFUNCTION("""COMPUTED_VALUE"""),12)</f>
        <v>12</v>
      </c>
      <c r="C765" s="5">
        <f ca="1">IFERROR(__xludf.DUMMYFUNCTION("""COMPUTED_VALUE"""),11)</f>
        <v>11</v>
      </c>
      <c r="D765" s="5">
        <f ca="1">IFERROR(__xludf.DUMMYFUNCTION("""COMPUTED_VALUE"""),2019)</f>
        <v>2019</v>
      </c>
      <c r="E765" s="8">
        <f ca="1">IFERROR(__xludf.DUMMYFUNCTION("""COMPUTED_VALUE"""),43810)</f>
        <v>43810</v>
      </c>
      <c r="F765" s="5" t="str">
        <f ca="1">IFERROR(__xludf.DUMMYFUNCTION("""COMPUTED_VALUE"""),"Chase Middle School")</f>
        <v>Chase Middle School</v>
      </c>
      <c r="G765" s="5">
        <f ca="1">IFERROR(__xludf.DUMMYFUNCTION("""COMPUTED_VALUE"""),0)</f>
        <v>0</v>
      </c>
      <c r="H765" s="5">
        <f ca="1">IFERROR(__xludf.DUMMYFUNCTION("""COMPUTED_VALUE"""),0)</f>
        <v>0</v>
      </c>
      <c r="I765" s="5">
        <f ca="1">IFERROR(__xludf.DUMMYFUNCTION("""COMPUTED_VALUE"""),0)</f>
        <v>0</v>
      </c>
      <c r="J765" s="5">
        <f ca="1">IFERROR(__xludf.DUMMYFUNCTION("""COMPUTED_VALUE"""),0)</f>
        <v>0</v>
      </c>
      <c r="K765" s="5" t="str">
        <f ca="1">IFERROR(__xludf.DUMMYFUNCTION("""COMPUTED_VALUE"""),"https://www.ksnt.com/news/local-news/topeka-school-bus-shot-with-bb-gun-students-not-hurt/ https://www.wibw.com/content/news/School-bus-with-students-on-board-hit-by-BB-shot-566096591.html")</f>
        <v>https://www.ksnt.com/news/local-news/topeka-school-bus-shot-with-bb-gun-students-not-hurt/ https://www.wibw.com/content/news/School-bus-with-students-on-board-hit-by-BB-shot-566096591.html</v>
      </c>
      <c r="L765" s="5"/>
      <c r="M765" s="5"/>
      <c r="N765" s="5">
        <f ca="1">IFERROR(__xludf.DUMMYFUNCTION("""COMPUTED_VALUE"""),3)</f>
        <v>3</v>
      </c>
      <c r="O765" s="5" t="str">
        <f ca="1">IFERROR(__xludf.DUMMYFUNCTION("""COMPUTED_VALUE"""),"Winter")</f>
        <v>Winter</v>
      </c>
      <c r="P765" s="5" t="str">
        <f ca="1">IFERROR(__xludf.DUMMYFUNCTION("""COMPUTED_VALUE"""),"Topeka")</f>
        <v>Topeka</v>
      </c>
      <c r="Q765" s="5" t="str">
        <f ca="1">IFERROR(__xludf.DUMMYFUNCTION("""COMPUTED_VALUE"""),"KS")</f>
        <v>KS</v>
      </c>
      <c r="R765" s="5" t="str">
        <f ca="1">IFERROR(__xludf.DUMMYFUNCTION("""COMPUTED_VALUE"""),"Middle")</f>
        <v>Middle</v>
      </c>
      <c r="S765" s="5" t="str">
        <f ca="1">IFERROR(__xludf.DUMMYFUNCTION("""COMPUTED_VALUE"""),"School Bus")</f>
        <v>School Bus</v>
      </c>
      <c r="T765" s="5" t="str">
        <f ca="1">IFERROR(__xludf.DUMMYFUNCTION("""COMPUTED_VALUE"""),"School Bus")</f>
        <v>School Bus</v>
      </c>
      <c r="U765" s="5" t="str">
        <f ca="1">IFERROR(__xludf.DUMMYFUNCTION("""COMPUTED_VALUE"""),"Yes")</f>
        <v>Yes</v>
      </c>
      <c r="V765" s="5" t="str">
        <f ca="1">IFERROR(__xludf.DUMMYFUNCTION("""COMPUTED_VALUE"""),"Dismissal")</f>
        <v>Dismissal</v>
      </c>
      <c r="W765" s="10">
        <f ca="1">IFERROR(__xludf.DUMMYFUNCTION("""COMPUTED_VALUE"""),0.635416666666666)</f>
        <v>0.63541666666666596</v>
      </c>
      <c r="X765" s="5">
        <f ca="1">IFERROR(__xludf.DUMMYFUNCTION("""COMPUTED_VALUE"""),1)</f>
        <v>1</v>
      </c>
      <c r="Y765" s="5" t="str">
        <f ca="1">IFERROR(__xludf.DUMMYFUNCTION("""COMPUTED_VALUE"""),"Bus shot with multiple BBs with students onboard")</f>
        <v>Bus shot with multiple BBs with students onboard</v>
      </c>
      <c r="Z765" s="5" t="str">
        <f ca="1">IFERROR(__xludf.DUMMYFUNCTION("""COMPUTED_VALUE"""),"School bus with 33 students onboard was shot multiple times with BBs. Bus drive drove to the police station for assistance. No injuries. Unnamed suspect arrested.")</f>
        <v>School bus with 33 students onboard was shot multiple times with BBs. Bus drive drove to the police station for assistance. No injuries. Unnamed suspect arrested.</v>
      </c>
      <c r="AA765" s="5" t="str">
        <f ca="1">IFERROR(__xludf.DUMMYFUNCTION("""COMPUTED_VALUE"""),"Unknown")</f>
        <v>Unknown</v>
      </c>
      <c r="AB765" s="5"/>
      <c r="AC765" s="5" t="str">
        <f ca="1">IFERROR(__xludf.DUMMYFUNCTION("""COMPUTED_VALUE"""),"No")</f>
        <v>No</v>
      </c>
      <c r="AD765" s="5" t="str">
        <f ca="1">IFERROR(__xludf.DUMMYFUNCTION("""COMPUTED_VALUE"""),"No")</f>
        <v>No</v>
      </c>
      <c r="AE765" s="5" t="str">
        <f ca="1">IFERROR(__xludf.DUMMYFUNCTION("""COMPUTED_VALUE"""),"No")</f>
        <v>No</v>
      </c>
      <c r="AF765" s="5" t="str">
        <f ca="1">IFERROR(__xludf.DUMMYFUNCTION("""COMPUTED_VALUE"""),"No")</f>
        <v>No</v>
      </c>
      <c r="AG765" s="5" t="str">
        <f ca="1">IFERROR(__xludf.DUMMYFUNCTION("""COMPUTED_VALUE"""),"No")</f>
        <v>No</v>
      </c>
      <c r="AH765" s="5" t="str">
        <f ca="1">IFERROR(__xludf.DUMMYFUNCTION("""COMPUTED_VALUE"""),"No")</f>
        <v>No</v>
      </c>
      <c r="AI765" s="5" t="str">
        <f ca="1">IFERROR(__xludf.DUMMYFUNCTION("""COMPUTED_VALUE"""),"No")</f>
        <v>No</v>
      </c>
      <c r="AJ765" s="5" t="str">
        <f ca="1">IFERROR(__xludf.DUMMYFUNCTION("""COMPUTED_VALUE"""),"No")</f>
        <v>No</v>
      </c>
    </row>
    <row r="766" spans="1:36" ht="13">
      <c r="A766" s="5" t="str">
        <f ca="1">IFERROR(__xludf.DUMMYFUNCTION("""COMPUTED_VALUE"""),"20191210NJSAJ")</f>
        <v>20191210NJSAJ</v>
      </c>
      <c r="B766" s="5">
        <f ca="1">IFERROR(__xludf.DUMMYFUNCTION("""COMPUTED_VALUE"""),12)</f>
        <v>12</v>
      </c>
      <c r="C766" s="5">
        <f ca="1">IFERROR(__xludf.DUMMYFUNCTION("""COMPUTED_VALUE"""),10)</f>
        <v>10</v>
      </c>
      <c r="D766" s="5">
        <f ca="1">IFERROR(__xludf.DUMMYFUNCTION("""COMPUTED_VALUE"""),2019)</f>
        <v>2019</v>
      </c>
      <c r="E766" s="8">
        <f ca="1">IFERROR(__xludf.DUMMYFUNCTION("""COMPUTED_VALUE"""),43809)</f>
        <v>43809</v>
      </c>
      <c r="F766" s="5" t="str">
        <f ca="1">IFERROR(__xludf.DUMMYFUNCTION("""COMPUTED_VALUE"""),"Sacred Heart School")</f>
        <v>Sacred Heart School</v>
      </c>
      <c r="G766" s="5">
        <f ca="1">IFERROR(__xludf.DUMMYFUNCTION("""COMPUTED_VALUE"""),0)</f>
        <v>0</v>
      </c>
      <c r="H766" s="5">
        <f ca="1">IFERROR(__xludf.DUMMYFUNCTION("""COMPUTED_VALUE"""),0)</f>
        <v>0</v>
      </c>
      <c r="I766" s="5">
        <f ca="1">IFERROR(__xludf.DUMMYFUNCTION("""COMPUTED_VALUE"""),0)</f>
        <v>0</v>
      </c>
      <c r="J766" s="5">
        <f ca="1">IFERROR(__xludf.DUMMYFUNCTION("""COMPUTED_VALUE"""),0)</f>
        <v>0</v>
      </c>
      <c r="K766" s="5" t="str">
        <f ca="1">IFERROR(__xludf.DUMMYFUNCTION("""COMPUTED_VALUE"""),"https://newyork.cbslocal.com/2019/12/12/students-return-to-bullet-riddled-jersey-city-school/ https://newyork.cbslocal.com/2019/12/12/jersey-city-shooting-investigation/")</f>
        <v>https://newyork.cbslocal.com/2019/12/12/students-return-to-bullet-riddled-jersey-city-school/ https://newyork.cbslocal.com/2019/12/12/jersey-city-shooting-investigation/</v>
      </c>
      <c r="L766" s="5"/>
      <c r="M766" s="5"/>
      <c r="N766" s="5">
        <f ca="1">IFERROR(__xludf.DUMMYFUNCTION("""COMPUTED_VALUE"""),4)</f>
        <v>4</v>
      </c>
      <c r="O766" s="5" t="str">
        <f ca="1">IFERROR(__xludf.DUMMYFUNCTION("""COMPUTED_VALUE"""),"Winter")</f>
        <v>Winter</v>
      </c>
      <c r="P766" s="5" t="str">
        <f ca="1">IFERROR(__xludf.DUMMYFUNCTION("""COMPUTED_VALUE"""),"Jersey City")</f>
        <v>Jersey City</v>
      </c>
      <c r="Q766" s="5" t="str">
        <f ca="1">IFERROR(__xludf.DUMMYFUNCTION("""COMPUTED_VALUE"""),"NJ")</f>
        <v>NJ</v>
      </c>
      <c r="R766" s="5" t="str">
        <f ca="1">IFERROR(__xludf.DUMMYFUNCTION("""COMPUTED_VALUE"""),"K-8")</f>
        <v>K-8</v>
      </c>
      <c r="S766" s="5" t="str">
        <f ca="1">IFERROR(__xludf.DUMMYFUNCTION("""COMPUTED_VALUE"""),"Off School Property")</f>
        <v>Off School Property</v>
      </c>
      <c r="T766" s="5" t="str">
        <f ca="1">IFERROR(__xludf.DUMMYFUNCTION("""COMPUTED_VALUE"""),"Off School Property")</f>
        <v>Off School Property</v>
      </c>
      <c r="U766" s="5" t="str">
        <f ca="1">IFERROR(__xludf.DUMMYFUNCTION("""COMPUTED_VALUE"""),"Yes")</f>
        <v>Yes</v>
      </c>
      <c r="V766" s="5" t="str">
        <f ca="1">IFERROR(__xludf.DUMMYFUNCTION("""COMPUTED_VALUE"""),"Afternoon Classes")</f>
        <v>Afternoon Classes</v>
      </c>
      <c r="W766" s="10">
        <f ca="1">IFERROR(__xludf.DUMMYFUNCTION("""COMPUTED_VALUE"""),0.520833333333333)</f>
        <v>0.52083333333333304</v>
      </c>
      <c r="X766" s="5">
        <f ca="1">IFERROR(__xludf.DUMMYFUNCTION("""COMPUTED_VALUE"""),60)</f>
        <v>60</v>
      </c>
      <c r="Y766" s="5" t="str">
        <f ca="1">IFERROR(__xludf.DUMMYFUNCTION("""COMPUTED_VALUE"""),"Attack on Jewish Grocery Store across the street from school, multiple shots struck school building")</f>
        <v>Attack on Jewish Grocery Store across the street from school, multiple shots struck school building</v>
      </c>
      <c r="Z766" s="5" t="str">
        <f ca="1">IFERROR(__xludf.DUMMYFUNCTION("""COMPUTED_VALUE"""),"Police officer attempted to stop two murder suspects 1 mile from the school. The suspects shot and killed him. The 2 suspects with multiple weapons fled the area and then attacked a Jewish Grocery Store across the street from the school killing the owner "&amp;"and 2 customers. Possible terrorism nexus/hate-crime. Suspects barricaded themselves inside the store for 1 hour during gun battle with police. During shootout with police, multiple shots struck the school building breaking windows. School was locked down"&amp;" during the shooting and closed the following day. 200 students were inside the school.")</f>
        <v>Police officer attempted to stop two murder suspects 1 mile from the school. The suspects shot and killed him. The 2 suspects with multiple weapons fled the area and then attacked a Jewish Grocery Store across the street from the school killing the owner and 2 customers. Possible terrorism nexus/hate-crime. Suspects barricaded themselves inside the store for 1 hour during gun battle with police. During shootout with police, multiple shots struck the school building breaking windows. School was locked down during the shooting and closed the following day. 200 students were inside the school.</v>
      </c>
      <c r="AA766" s="5" t="str">
        <f ca="1">IFERROR(__xludf.DUMMYFUNCTION("""COMPUTED_VALUE"""),"Indiscriminate Shooting")</f>
        <v>Indiscriminate Shooting</v>
      </c>
      <c r="AB766" s="5" t="str">
        <f ca="1">IFERROR(__xludf.DUMMYFUNCTION("""COMPUTED_VALUE"""),"Neither")</f>
        <v>Neither</v>
      </c>
      <c r="AC766" s="5" t="str">
        <f ca="1">IFERROR(__xludf.DUMMYFUNCTION("""COMPUTED_VALUE"""),"Yes")</f>
        <v>Yes</v>
      </c>
      <c r="AD766" s="5" t="str">
        <f ca="1">IFERROR(__xludf.DUMMYFUNCTION("""COMPUTED_VALUE"""),"No")</f>
        <v>No</v>
      </c>
      <c r="AE766" s="5" t="str">
        <f ca="1">IFERROR(__xludf.DUMMYFUNCTION("""COMPUTED_VALUE"""),"Yes")</f>
        <v>Yes</v>
      </c>
      <c r="AF766" s="5" t="str">
        <f ca="1">IFERROR(__xludf.DUMMYFUNCTION("""COMPUTED_VALUE"""),"No")</f>
        <v>No</v>
      </c>
      <c r="AG766" s="5" t="str">
        <f ca="1">IFERROR(__xludf.DUMMYFUNCTION("""COMPUTED_VALUE"""),"No")</f>
        <v>No</v>
      </c>
      <c r="AH766" s="5" t="str">
        <f ca="1">IFERROR(__xludf.DUMMYFUNCTION("""COMPUTED_VALUE"""),"No")</f>
        <v>No</v>
      </c>
      <c r="AI766" s="5" t="str">
        <f ca="1">IFERROR(__xludf.DUMMYFUNCTION("""COMPUTED_VALUE"""),"No")</f>
        <v>No</v>
      </c>
      <c r="AJ766" s="5" t="str">
        <f ca="1">IFERROR(__xludf.DUMMYFUNCTION("""COMPUTED_VALUE"""),"Yes")</f>
        <v>Yes</v>
      </c>
    </row>
    <row r="767" spans="1:36" ht="13">
      <c r="A767" s="5" t="str">
        <f ca="1">IFERROR(__xludf.DUMMYFUNCTION("""COMPUTED_VALUE"""),"20191210KSJCK")</f>
        <v>20191210KSJCK</v>
      </c>
      <c r="B767" s="5">
        <f ca="1">IFERROR(__xludf.DUMMYFUNCTION("""COMPUTED_VALUE"""),12)</f>
        <v>12</v>
      </c>
      <c r="C767" s="5">
        <f ca="1">IFERROR(__xludf.DUMMYFUNCTION("""COMPUTED_VALUE"""),10)</f>
        <v>10</v>
      </c>
      <c r="D767" s="5">
        <f ca="1">IFERROR(__xludf.DUMMYFUNCTION("""COMPUTED_VALUE"""),2019)</f>
        <v>2019</v>
      </c>
      <c r="E767" s="8">
        <f ca="1">IFERROR(__xludf.DUMMYFUNCTION("""COMPUTED_VALUE"""),43809)</f>
        <v>43809</v>
      </c>
      <c r="F767" s="5" t="str">
        <f ca="1">IFERROR(__xludf.DUMMYFUNCTION("""COMPUTED_VALUE"""),"J C Harmon High School")</f>
        <v>J C Harmon High School</v>
      </c>
      <c r="G767" s="5">
        <f ca="1">IFERROR(__xludf.DUMMYFUNCTION("""COMPUTED_VALUE"""),0)</f>
        <v>0</v>
      </c>
      <c r="H767" s="5">
        <f ca="1">IFERROR(__xludf.DUMMYFUNCTION("""COMPUTED_VALUE"""),0)</f>
        <v>0</v>
      </c>
      <c r="I767" s="5">
        <f ca="1">IFERROR(__xludf.DUMMYFUNCTION("""COMPUTED_VALUE"""),0)</f>
        <v>0</v>
      </c>
      <c r="J767" s="5">
        <f ca="1">IFERROR(__xludf.DUMMYFUNCTION("""COMPUTED_VALUE"""),0)</f>
        <v>0</v>
      </c>
      <c r="K767" s="9" t="str">
        <f ca="1">IFERROR(__xludf.DUMMYFUNCTION("""COMPUTED_VALUE"""),"https://www.kshb.com/news/local-news/no-injuries-reported-after-school-bus-struck-by-gunfire-near-j-c-harmon-high-school")</f>
        <v>https://www.kshb.com/news/local-news/no-injuries-reported-after-school-bus-struck-by-gunfire-near-j-c-harmon-high-school</v>
      </c>
      <c r="L767" s="5"/>
      <c r="M767" s="5"/>
      <c r="N767" s="5">
        <f ca="1">IFERROR(__xludf.DUMMYFUNCTION("""COMPUTED_VALUE"""),4)</f>
        <v>4</v>
      </c>
      <c r="O767" s="5" t="str">
        <f ca="1">IFERROR(__xludf.DUMMYFUNCTION("""COMPUTED_VALUE"""),"Winter")</f>
        <v>Winter</v>
      </c>
      <c r="P767" s="5" t="str">
        <f ca="1">IFERROR(__xludf.DUMMYFUNCTION("""COMPUTED_VALUE"""),"Kansas City")</f>
        <v>Kansas City</v>
      </c>
      <c r="Q767" s="5" t="str">
        <f ca="1">IFERROR(__xludf.DUMMYFUNCTION("""COMPUTED_VALUE"""),"KS")</f>
        <v>KS</v>
      </c>
      <c r="R767" s="5" t="str">
        <f ca="1">IFERROR(__xludf.DUMMYFUNCTION("""COMPUTED_VALUE"""),"High")</f>
        <v>High</v>
      </c>
      <c r="S767" s="5" t="str">
        <f ca="1">IFERROR(__xludf.DUMMYFUNCTION("""COMPUTED_VALUE"""),"Parking Lot (Bus)")</f>
        <v>Parking Lot (Bus)</v>
      </c>
      <c r="T767" s="5" t="str">
        <f ca="1">IFERROR(__xludf.DUMMYFUNCTION("""COMPUTED_VALUE"""),"Off School Property")</f>
        <v>Off School Property</v>
      </c>
      <c r="U767" s="5" t="str">
        <f ca="1">IFERROR(__xludf.DUMMYFUNCTION("""COMPUTED_VALUE"""),"Yes")</f>
        <v>Yes</v>
      </c>
      <c r="V767" s="5" t="str">
        <f ca="1">IFERROR(__xludf.DUMMYFUNCTION("""COMPUTED_VALUE"""),"Dismissal")</f>
        <v>Dismissal</v>
      </c>
      <c r="W767" s="10">
        <f ca="1">IFERROR(__xludf.DUMMYFUNCTION("""COMPUTED_VALUE"""),0.583333333333333)</f>
        <v>0.58333333333333304</v>
      </c>
      <c r="X767" s="5">
        <f ca="1">IFERROR(__xludf.DUMMYFUNCTION("""COMPUTED_VALUE"""),1)</f>
        <v>1</v>
      </c>
      <c r="Y767" s="5" t="str">
        <f ca="1">IFERROR(__xludf.DUMMYFUNCTION("""COMPUTED_VALUE"""),"School bus hit in school parking lot during drive by shooting")</f>
        <v>School bus hit in school parking lot during drive by shooting</v>
      </c>
      <c r="Z767" s="5" t="str">
        <f ca="1">IFERROR(__xludf.DUMMYFUNCTION("""COMPUTED_VALUE"""),"10 shots fired during drive by shooting outside of high school. School bus was struck one time. A student and teacher were on the bus during the shooting. Shooter fled the area. No injuries. School locked down.")</f>
        <v>10 shots fired during drive by shooting outside of high school. School bus was struck one time. A student and teacher were on the bus during the shooting. Shooter fled the area. No injuries. School locked down.</v>
      </c>
      <c r="AA767" s="5" t="str">
        <f ca="1">IFERROR(__xludf.DUMMYFUNCTION("""COMPUTED_VALUE"""),"Drive-by Shooting")</f>
        <v>Drive-by Shooting</v>
      </c>
      <c r="AB767" s="5"/>
      <c r="AC767" s="5"/>
      <c r="AD767" s="5" t="str">
        <f ca="1">IFERROR(__xludf.DUMMYFUNCTION("""COMPUTED_VALUE"""),"No")</f>
        <v>No</v>
      </c>
      <c r="AE767" s="5" t="str">
        <f ca="1">IFERROR(__xludf.DUMMYFUNCTION("""COMPUTED_VALUE"""),"No")</f>
        <v>No</v>
      </c>
      <c r="AF767" s="5" t="str">
        <f ca="1">IFERROR(__xludf.DUMMYFUNCTION("""COMPUTED_VALUE"""),"No")</f>
        <v>No</v>
      </c>
      <c r="AG767" s="5" t="str">
        <f ca="1">IFERROR(__xludf.DUMMYFUNCTION("""COMPUTED_VALUE"""),"No")</f>
        <v>No</v>
      </c>
      <c r="AH767" s="5" t="str">
        <f ca="1">IFERROR(__xludf.DUMMYFUNCTION("""COMPUTED_VALUE"""),"No")</f>
        <v>No</v>
      </c>
      <c r="AI767" s="5"/>
      <c r="AJ767" s="5" t="str">
        <f ca="1">IFERROR(__xludf.DUMMYFUNCTION("""COMPUTED_VALUE"""),"No")</f>
        <v>No</v>
      </c>
    </row>
    <row r="768" spans="1:36" ht="13">
      <c r="A768" s="5" t="str">
        <f ca="1">IFERROR(__xludf.DUMMYFUNCTION("""COMPUTED_VALUE"""),"20191210ALDED")</f>
        <v>20191210ALDED</v>
      </c>
      <c r="B768" s="5">
        <f ca="1">IFERROR(__xludf.DUMMYFUNCTION("""COMPUTED_VALUE"""),12)</f>
        <v>12</v>
      </c>
      <c r="C768" s="5">
        <f ca="1">IFERROR(__xludf.DUMMYFUNCTION("""COMPUTED_VALUE"""),10)</f>
        <v>10</v>
      </c>
      <c r="D768" s="5">
        <f ca="1">IFERROR(__xludf.DUMMYFUNCTION("""COMPUTED_VALUE"""),2019)</f>
        <v>2019</v>
      </c>
      <c r="E768" s="8">
        <f ca="1">IFERROR(__xludf.DUMMYFUNCTION("""COMPUTED_VALUE"""),43809)</f>
        <v>43809</v>
      </c>
      <c r="F768" s="5" t="str">
        <f ca="1">IFERROR(__xludf.DUMMYFUNCTION("""COMPUTED_VALUE"""),"Decatur High School")</f>
        <v>Decatur High School</v>
      </c>
      <c r="G768" s="5">
        <f ca="1">IFERROR(__xludf.DUMMYFUNCTION("""COMPUTED_VALUE"""),0)</f>
        <v>0</v>
      </c>
      <c r="H768" s="5">
        <f ca="1">IFERROR(__xludf.DUMMYFUNCTION("""COMPUTED_VALUE"""),0)</f>
        <v>0</v>
      </c>
      <c r="I768" s="5">
        <f ca="1">IFERROR(__xludf.DUMMYFUNCTION("""COMPUTED_VALUE"""),0)</f>
        <v>0</v>
      </c>
      <c r="J768" s="5">
        <f ca="1">IFERROR(__xludf.DUMMYFUNCTION("""COMPUTED_VALUE"""),0)</f>
        <v>0</v>
      </c>
      <c r="K768" s="5" t="str">
        <f ca="1">IFERROR(__xludf.DUMMYFUNCTION("""COMPUTED_VALUE"""),"https://www.waaytv.com/content/news/School-officials-want-to-see-laws-changed-after-gun-was-shot-in-school-parking-lot-566111331.html https://www.waaytv.com/content/news/Police-investigating-report-of-shots-fired-at-Decatur-High-School--566036621.html htt"&amp;"ps://whnt.com/2019/12/10/man-arrested-for-shooting-after-gun-fired-on-decatur-high-school-grounds/")</f>
        <v>https://www.waaytv.com/content/news/School-officials-want-to-see-laws-changed-after-gun-was-shot-in-school-parking-lot-566111331.html https://www.waaytv.com/content/news/Police-investigating-report-of-shots-fired-at-Decatur-High-School--566036621.html https://whnt.com/2019/12/10/man-arrested-for-shooting-after-gun-fired-on-decatur-high-school-grounds/</v>
      </c>
      <c r="L768" s="5"/>
      <c r="M768" s="5"/>
      <c r="N768" s="5">
        <f ca="1">IFERROR(__xludf.DUMMYFUNCTION("""COMPUTED_VALUE"""),4)</f>
        <v>4</v>
      </c>
      <c r="O768" s="5" t="str">
        <f ca="1">IFERROR(__xludf.DUMMYFUNCTION("""COMPUTED_VALUE"""),"Winter")</f>
        <v>Winter</v>
      </c>
      <c r="P768" s="5" t="str">
        <f ca="1">IFERROR(__xludf.DUMMYFUNCTION("""COMPUTED_VALUE"""),"Decatur")</f>
        <v>Decatur</v>
      </c>
      <c r="Q768" s="5" t="str">
        <f ca="1">IFERROR(__xludf.DUMMYFUNCTION("""COMPUTED_VALUE"""),"AL")</f>
        <v>AL</v>
      </c>
      <c r="R768" s="5" t="str">
        <f ca="1">IFERROR(__xludf.DUMMYFUNCTION("""COMPUTED_VALUE"""),"High")</f>
        <v>High</v>
      </c>
      <c r="S768" s="5" t="str">
        <f ca="1">IFERROR(__xludf.DUMMYFUNCTION("""COMPUTED_VALUE"""),"Parking Lot")</f>
        <v>Parking Lot</v>
      </c>
      <c r="T768" s="5" t="str">
        <f ca="1">IFERROR(__xludf.DUMMYFUNCTION("""COMPUTED_VALUE"""),"Outside on School Property")</f>
        <v>Outside on School Property</v>
      </c>
      <c r="U768" s="5" t="str">
        <f ca="1">IFERROR(__xludf.DUMMYFUNCTION("""COMPUTED_VALUE"""),"Yes")</f>
        <v>Yes</v>
      </c>
      <c r="V768" s="5" t="str">
        <f ca="1">IFERROR(__xludf.DUMMYFUNCTION("""COMPUTED_VALUE"""),"School Start")</f>
        <v>School Start</v>
      </c>
      <c r="W768" s="10">
        <f ca="1">IFERROR(__xludf.DUMMYFUNCTION("""COMPUTED_VALUE"""),0.347222222222222)</f>
        <v>0.34722222222222199</v>
      </c>
      <c r="X768" s="5">
        <f ca="1">IFERROR(__xludf.DUMMYFUNCTION("""COMPUTED_VALUE"""),1)</f>
        <v>1</v>
      </c>
      <c r="Y768" s="5" t="str">
        <f ca="1">IFERROR(__xludf.DUMMYFUNCTION("""COMPUTED_VALUE"""),"Man fired shots into the air in the school parking lot following dispute with girlfriend")</f>
        <v>Man fired shots into the air in the school parking lot following dispute with girlfriend</v>
      </c>
      <c r="Z768" s="5" t="str">
        <f ca="1">IFERROR(__xludf.DUMMYFUNCTION("""COMPUTED_VALUE"""),"20YOM fired multiple shots into the air during a dispute with his ex-girlfriend (current student) then fled the campus.")</f>
        <v>20YOM fired multiple shots into the air during a dispute with his ex-girlfriend (current student) then fled the campus.</v>
      </c>
      <c r="AA768" s="5" t="str">
        <f ca="1">IFERROR(__xludf.DUMMYFUNCTION("""COMPUTED_VALUE"""),"Domestic w/ Targeted Victim")</f>
        <v>Domestic w/ Targeted Victim</v>
      </c>
      <c r="AB768" s="5" t="str">
        <f ca="1">IFERROR(__xludf.DUMMYFUNCTION("""COMPUTED_VALUE"""),"Victims Targeted")</f>
        <v>Victims Targeted</v>
      </c>
      <c r="AC768" s="5" t="str">
        <f ca="1">IFERROR(__xludf.DUMMYFUNCTION("""COMPUTED_VALUE"""),"No")</f>
        <v>No</v>
      </c>
      <c r="AD768" s="5" t="str">
        <f ca="1">IFERROR(__xludf.DUMMYFUNCTION("""COMPUTED_VALUE"""),"No")</f>
        <v>No</v>
      </c>
      <c r="AE768" s="5" t="str">
        <f ca="1">IFERROR(__xludf.DUMMYFUNCTION("""COMPUTED_VALUE"""),"No")</f>
        <v>No</v>
      </c>
      <c r="AF768" s="5" t="str">
        <f ca="1">IFERROR(__xludf.DUMMYFUNCTION("""COMPUTED_VALUE"""),"No")</f>
        <v>No</v>
      </c>
      <c r="AG768" s="5" t="str">
        <f ca="1">IFERROR(__xludf.DUMMYFUNCTION("""COMPUTED_VALUE"""),"No")</f>
        <v>No</v>
      </c>
      <c r="AH768" s="5" t="str">
        <f ca="1">IFERROR(__xludf.DUMMYFUNCTION("""COMPUTED_VALUE"""),"Yes")</f>
        <v>Yes</v>
      </c>
      <c r="AI768" s="5" t="str">
        <f ca="1">IFERROR(__xludf.DUMMYFUNCTION("""COMPUTED_VALUE"""),"No")</f>
        <v>No</v>
      </c>
      <c r="AJ768" s="5" t="str">
        <f ca="1">IFERROR(__xludf.DUMMYFUNCTION("""COMPUTED_VALUE"""),"No")</f>
        <v>No</v>
      </c>
    </row>
    <row r="769" spans="1:36" ht="13">
      <c r="A769" s="5" t="str">
        <f ca="1">IFERROR(__xludf.DUMMYFUNCTION("""COMPUTED_VALUE"""),"20191204NMPIL")</f>
        <v>20191204NMPIL</v>
      </c>
      <c r="B769" s="5">
        <f ca="1">IFERROR(__xludf.DUMMYFUNCTION("""COMPUTED_VALUE"""),12)</f>
        <v>12</v>
      </c>
      <c r="C769" s="5">
        <f ca="1">IFERROR(__xludf.DUMMYFUNCTION("""COMPUTED_VALUE"""),4)</f>
        <v>4</v>
      </c>
      <c r="D769" s="5">
        <f ca="1">IFERROR(__xludf.DUMMYFUNCTION("""COMPUTED_VALUE"""),2019)</f>
        <v>2019</v>
      </c>
      <c r="E769" s="8">
        <f ca="1">IFERROR(__xludf.DUMMYFUNCTION("""COMPUTED_VALUE"""),43803)</f>
        <v>43803</v>
      </c>
      <c r="F769" s="5" t="str">
        <f ca="1">IFERROR(__xludf.DUMMYFUNCTION("""COMPUTED_VALUE"""),"Picacho Middle School")</f>
        <v>Picacho Middle School</v>
      </c>
      <c r="G769" s="5">
        <f ca="1">IFERROR(__xludf.DUMMYFUNCTION("""COMPUTED_VALUE"""),0)</f>
        <v>0</v>
      </c>
      <c r="H769" s="5">
        <f ca="1">IFERROR(__xludf.DUMMYFUNCTION("""COMPUTED_VALUE"""),0)</f>
        <v>0</v>
      </c>
      <c r="I769" s="5">
        <f ca="1">IFERROR(__xludf.DUMMYFUNCTION("""COMPUTED_VALUE"""),0)</f>
        <v>0</v>
      </c>
      <c r="J769" s="5">
        <f ca="1">IFERROR(__xludf.DUMMYFUNCTION("""COMPUTED_VALUE"""),0)</f>
        <v>0</v>
      </c>
      <c r="K769" s="5" t="str">
        <f ca="1">IFERROR(__xludf.DUMMYFUNCTION("""COMPUTED_VALUE"""),"https://cbs4local.com/news/las-cruces-news/surveillance-video-shows-moment-an-lcpd-officer-discharges-his-firearm-in-lc-middle-school-12-13-2019 https://cbs4local.com/news/local/heavy-police-presence-at-picacho-middle-school https://cbs4local.com/news/loc"&amp;"al/lawsuit-filed-against-officer-involved-in-shooting-at-picacho-middle-school-03-24-2020")</f>
        <v>https://cbs4local.com/news/las-cruces-news/surveillance-video-shows-moment-an-lcpd-officer-discharges-his-firearm-in-lc-middle-school-12-13-2019 https://cbs4local.com/news/local/heavy-police-presence-at-picacho-middle-school https://cbs4local.com/news/local/lawsuit-filed-against-officer-involved-in-shooting-at-picacho-middle-school-03-24-2020</v>
      </c>
      <c r="L769" s="5"/>
      <c r="M769" s="5"/>
      <c r="N769" s="5">
        <f ca="1">IFERROR(__xludf.DUMMYFUNCTION("""COMPUTED_VALUE"""),4)</f>
        <v>4</v>
      </c>
      <c r="O769" s="5" t="str">
        <f ca="1">IFERROR(__xludf.DUMMYFUNCTION("""COMPUTED_VALUE"""),"Winter")</f>
        <v>Winter</v>
      </c>
      <c r="P769" s="5" t="str">
        <f ca="1">IFERROR(__xludf.DUMMYFUNCTION("""COMPUTED_VALUE"""),"Las Cruces")</f>
        <v>Las Cruces</v>
      </c>
      <c r="Q769" s="5" t="str">
        <f ca="1">IFERROR(__xludf.DUMMYFUNCTION("""COMPUTED_VALUE"""),"NM")</f>
        <v>NM</v>
      </c>
      <c r="R769" s="5" t="str">
        <f ca="1">IFERROR(__xludf.DUMMYFUNCTION("""COMPUTED_VALUE"""),"High")</f>
        <v>High</v>
      </c>
      <c r="S769" s="5" t="str">
        <f ca="1">IFERROR(__xludf.DUMMYFUNCTION("""COMPUTED_VALUE"""),"Office")</f>
        <v>Office</v>
      </c>
      <c r="T769" s="5" t="str">
        <f ca="1">IFERROR(__xludf.DUMMYFUNCTION("""COMPUTED_VALUE"""),"Inside School Building")</f>
        <v>Inside School Building</v>
      </c>
      <c r="U769" s="5" t="str">
        <f ca="1">IFERROR(__xludf.DUMMYFUNCTION("""COMPUTED_VALUE"""),"Yes")</f>
        <v>Yes</v>
      </c>
      <c r="V769" s="5" t="str">
        <f ca="1">IFERROR(__xludf.DUMMYFUNCTION("""COMPUTED_VALUE"""),"Afternoon Classes")</f>
        <v>Afternoon Classes</v>
      </c>
      <c r="W769" s="10">
        <f ca="1">IFERROR(__xludf.DUMMYFUNCTION("""COMPUTED_VALUE"""),0.567361111111111)</f>
        <v>0.56736111111111098</v>
      </c>
      <c r="X769" s="5">
        <f ca="1">IFERROR(__xludf.DUMMYFUNCTION("""COMPUTED_VALUE"""),1)</f>
        <v>1</v>
      </c>
      <c r="Y769" s="5" t="str">
        <f ca="1">IFERROR(__xludf.DUMMYFUNCTION("""COMPUTED_VALUE"""),"SRO fired weapon inside office with student present")</f>
        <v>SRO fired weapon inside office with student present</v>
      </c>
      <c r="Z769" s="5" t="str">
        <f ca="1">IFERROR(__xludf.DUMMYFUNCTION("""COMPUTED_VALUE"""),"SRO fired service weapon inside his office while questioning student. Bullet went through wall and across school hallway. Charged with prohibited use of a firearm.")</f>
        <v>SRO fired service weapon inside his office while questioning student. Bullet went through wall and across school hallway. Charged with prohibited use of a firearm.</v>
      </c>
      <c r="AA769" s="5" t="str">
        <f ca="1">IFERROR(__xludf.DUMMYFUNCTION("""COMPUTED_VALUE"""),"Accidental")</f>
        <v>Accidental</v>
      </c>
      <c r="AB769" s="5" t="str">
        <f ca="1">IFERROR(__xludf.DUMMYFUNCTION("""COMPUTED_VALUE"""),"Neither")</f>
        <v>Neither</v>
      </c>
      <c r="AC769" s="5" t="str">
        <f ca="1">IFERROR(__xludf.DUMMYFUNCTION("""COMPUTED_VALUE"""),"No")</f>
        <v>No</v>
      </c>
      <c r="AD769" s="5" t="str">
        <f ca="1">IFERROR(__xludf.DUMMYFUNCTION("""COMPUTED_VALUE"""),"No")</f>
        <v>No</v>
      </c>
      <c r="AE769" s="5" t="str">
        <f ca="1">IFERROR(__xludf.DUMMYFUNCTION("""COMPUTED_VALUE"""),"No")</f>
        <v>No</v>
      </c>
      <c r="AF769" s="5" t="str">
        <f ca="1">IFERROR(__xludf.DUMMYFUNCTION("""COMPUTED_VALUE"""),"No")</f>
        <v>No</v>
      </c>
      <c r="AG769" s="5" t="str">
        <f ca="1">IFERROR(__xludf.DUMMYFUNCTION("""COMPUTED_VALUE"""),"No")</f>
        <v>No</v>
      </c>
      <c r="AH769" s="5" t="str">
        <f ca="1">IFERROR(__xludf.DUMMYFUNCTION("""COMPUTED_VALUE"""),"No")</f>
        <v>No</v>
      </c>
      <c r="AI769" s="5" t="str">
        <f ca="1">IFERROR(__xludf.DUMMYFUNCTION("""COMPUTED_VALUE"""),"No")</f>
        <v>No</v>
      </c>
      <c r="AJ769" s="5" t="str">
        <f ca="1">IFERROR(__xludf.DUMMYFUNCTION("""COMPUTED_VALUE"""),"No")</f>
        <v>No</v>
      </c>
    </row>
    <row r="770" spans="1:36" ht="13">
      <c r="A770" s="5" t="str">
        <f ca="1">IFERROR(__xludf.DUMMYFUNCTION("""COMPUTED_VALUE"""),"20191203WITHM")</f>
        <v>20191203WITHM</v>
      </c>
      <c r="B770" s="5">
        <f ca="1">IFERROR(__xludf.DUMMYFUNCTION("""COMPUTED_VALUE"""),12)</f>
        <v>12</v>
      </c>
      <c r="C770" s="5">
        <f ca="1">IFERROR(__xludf.DUMMYFUNCTION("""COMPUTED_VALUE"""),3)</f>
        <v>3</v>
      </c>
      <c r="D770" s="5">
        <f ca="1">IFERROR(__xludf.DUMMYFUNCTION("""COMPUTED_VALUE"""),2019)</f>
        <v>2019</v>
      </c>
      <c r="E770" s="8">
        <f ca="1">IFERROR(__xludf.DUMMYFUNCTION("""COMPUTED_VALUE"""),43802)</f>
        <v>43802</v>
      </c>
      <c r="F770" s="5" t="str">
        <f ca="1">IFERROR(__xludf.DUMMYFUNCTION("""COMPUTED_VALUE"""),"Thomas Jefferson Middle School")</f>
        <v>Thomas Jefferson Middle School</v>
      </c>
      <c r="G770" s="5">
        <f ca="1">IFERROR(__xludf.DUMMYFUNCTION("""COMPUTED_VALUE"""),0)</f>
        <v>0</v>
      </c>
      <c r="H770" s="5">
        <f ca="1">IFERROR(__xludf.DUMMYFUNCTION("""COMPUTED_VALUE"""),2)</f>
        <v>2</v>
      </c>
      <c r="I770" s="5">
        <f ca="1">IFERROR(__xludf.DUMMYFUNCTION("""COMPUTED_VALUE"""),2)</f>
        <v>2</v>
      </c>
      <c r="J770" s="5">
        <f ca="1">IFERROR(__xludf.DUMMYFUNCTION("""COMPUTED_VALUE"""),0)</f>
        <v>0</v>
      </c>
      <c r="K770" s="5" t="str">
        <f ca="1">IFERROR(__xludf.DUMMYFUNCTION("""COMPUTED_VALUE"""),"https://www.cbs58.com/news/police-investigate-report-of-student-shot-by-pellet-gun-at-madison-middle-school https://www.channel3000.com/news/increased-police-presence-at-jefferson-middle-school/1148052267 http://fox47.com/news/local/i-was-scared-student-h"&amp;"it-by-bb-father-hopes-bb-gun-incident-incites-change https://madison.com/wsj/news/local/crime-and-courts/update-boy-with-bb-gun-shot-two-girls-getting-off/article_9a3dbb83-1838-57f2-b9a0-e766ba0ab472.html")</f>
        <v>https://www.cbs58.com/news/police-investigate-report-of-student-shot-by-pellet-gun-at-madison-middle-school https://www.channel3000.com/news/increased-police-presence-at-jefferson-middle-school/1148052267 http://fox47.com/news/local/i-was-scared-student-hit-by-bb-father-hopes-bb-gun-incident-incites-change https://madison.com/wsj/news/local/crime-and-courts/update-boy-with-bb-gun-shot-two-girls-getting-off/article_9a3dbb83-1838-57f2-b9a0-e766ba0ab472.html</v>
      </c>
      <c r="L770" s="5"/>
      <c r="M770" s="5"/>
      <c r="N770" s="5">
        <f ca="1">IFERROR(__xludf.DUMMYFUNCTION("""COMPUTED_VALUE"""),4)</f>
        <v>4</v>
      </c>
      <c r="O770" s="5" t="str">
        <f ca="1">IFERROR(__xludf.DUMMYFUNCTION("""COMPUTED_VALUE"""),"Winter")</f>
        <v>Winter</v>
      </c>
      <c r="P770" s="5" t="str">
        <f ca="1">IFERROR(__xludf.DUMMYFUNCTION("""COMPUTED_VALUE"""),"Madison")</f>
        <v>Madison</v>
      </c>
      <c r="Q770" s="5" t="str">
        <f ca="1">IFERROR(__xludf.DUMMYFUNCTION("""COMPUTED_VALUE"""),"WI")</f>
        <v>WI</v>
      </c>
      <c r="R770" s="5" t="str">
        <f ca="1">IFERROR(__xludf.DUMMYFUNCTION("""COMPUTED_VALUE"""),"Middle")</f>
        <v>Middle</v>
      </c>
      <c r="S770" s="5" t="str">
        <f ca="1">IFERROR(__xludf.DUMMYFUNCTION("""COMPUTED_VALUE"""),"School Bus")</f>
        <v>School Bus</v>
      </c>
      <c r="T770" s="5" t="str">
        <f ca="1">IFERROR(__xludf.DUMMYFUNCTION("""COMPUTED_VALUE"""),"School Bus")</f>
        <v>School Bus</v>
      </c>
      <c r="U770" s="5" t="str">
        <f ca="1">IFERROR(__xludf.DUMMYFUNCTION("""COMPUTED_VALUE"""),"Yes")</f>
        <v>Yes</v>
      </c>
      <c r="V770" s="5" t="str">
        <f ca="1">IFERROR(__xludf.DUMMYFUNCTION("""COMPUTED_VALUE"""),"Dismissal")</f>
        <v>Dismissal</v>
      </c>
      <c r="W770" s="10">
        <f ca="1">IFERROR(__xludf.DUMMYFUNCTION("""COMPUTED_VALUE"""),0.645833333333333)</f>
        <v>0.64583333333333304</v>
      </c>
      <c r="X770" s="5">
        <f ca="1">IFERROR(__xludf.DUMMYFUNCTION("""COMPUTED_VALUE"""),1)</f>
        <v>1</v>
      </c>
      <c r="Y770" s="5" t="str">
        <f ca="1">IFERROR(__xludf.DUMMYFUNCTION("""COMPUTED_VALUE"""),"Student fired pellet gun from school bus at female student getting off the bus")</f>
        <v>Student fired pellet gun from school bus at female student getting off the bus</v>
      </c>
      <c r="Z770" s="5" t="str">
        <f ca="1">IFERROR(__xludf.DUMMYFUNCTION("""COMPUTED_VALUE"""),"Two 13YOM students arrested for having pellet gun at school. One of the students fired the pellet gun from the window of the school bus at a female student who had just exited the bus. Student arrested the next morning and charged with possessing a weapon"&amp;" on school grounds.")</f>
        <v>Two 13YOM students arrested for having pellet gun at school. One of the students fired the pellet gun from the window of the school bus at a female student who had just exited the bus. Student arrested the next morning and charged with possessing a weapon on school grounds.</v>
      </c>
      <c r="AA770" s="5" t="str">
        <f ca="1">IFERROR(__xludf.DUMMYFUNCTION("""COMPUTED_VALUE"""),"Unknown")</f>
        <v>Unknown</v>
      </c>
      <c r="AB770" s="5" t="str">
        <f ca="1">IFERROR(__xludf.DUMMYFUNCTION("""COMPUTED_VALUE"""),"Victims Targeted")</f>
        <v>Victims Targeted</v>
      </c>
      <c r="AC770" s="5" t="str">
        <f ca="1">IFERROR(__xludf.DUMMYFUNCTION("""COMPUTED_VALUE"""),"Yes")</f>
        <v>Yes</v>
      </c>
      <c r="AD770" s="5" t="str">
        <f ca="1">IFERROR(__xludf.DUMMYFUNCTION("""COMPUTED_VALUE"""),"No")</f>
        <v>No</v>
      </c>
      <c r="AE770" s="5" t="str">
        <f ca="1">IFERROR(__xludf.DUMMYFUNCTION("""COMPUTED_VALUE"""),"No")</f>
        <v>No</v>
      </c>
      <c r="AF770" s="5" t="str">
        <f ca="1">IFERROR(__xludf.DUMMYFUNCTION("""COMPUTED_VALUE"""),"No")</f>
        <v>No</v>
      </c>
      <c r="AG770" s="5" t="str">
        <f ca="1">IFERROR(__xludf.DUMMYFUNCTION("""COMPUTED_VALUE"""),"No")</f>
        <v>No</v>
      </c>
      <c r="AH770" s="5" t="str">
        <f ca="1">IFERROR(__xludf.DUMMYFUNCTION("""COMPUTED_VALUE"""),"No")</f>
        <v>No</v>
      </c>
      <c r="AI770" s="5" t="str">
        <f ca="1">IFERROR(__xludf.DUMMYFUNCTION("""COMPUTED_VALUE"""),"No")</f>
        <v>No</v>
      </c>
      <c r="AJ770" s="5" t="str">
        <f ca="1">IFERROR(__xludf.DUMMYFUNCTION("""COMPUTED_VALUE"""),"No")</f>
        <v>No</v>
      </c>
    </row>
    <row r="771" spans="1:36" ht="13">
      <c r="A771" s="5" t="str">
        <f ca="1">IFERROR(__xludf.DUMMYFUNCTION("""COMPUTED_VALUE"""),"20191203WIOSO")</f>
        <v>20191203WIOSO</v>
      </c>
      <c r="B771" s="5">
        <f ca="1">IFERROR(__xludf.DUMMYFUNCTION("""COMPUTED_VALUE"""),12)</f>
        <v>12</v>
      </c>
      <c r="C771" s="5">
        <f ca="1">IFERROR(__xludf.DUMMYFUNCTION("""COMPUTED_VALUE"""),3)</f>
        <v>3</v>
      </c>
      <c r="D771" s="5">
        <f ca="1">IFERROR(__xludf.DUMMYFUNCTION("""COMPUTED_VALUE"""),2019)</f>
        <v>2019</v>
      </c>
      <c r="E771" s="8">
        <f ca="1">IFERROR(__xludf.DUMMYFUNCTION("""COMPUTED_VALUE"""),43802)</f>
        <v>43802</v>
      </c>
      <c r="F771" s="5" t="str">
        <f ca="1">IFERROR(__xludf.DUMMYFUNCTION("""COMPUTED_VALUE"""),"Oshkosh West High School")</f>
        <v>Oshkosh West High School</v>
      </c>
      <c r="G771" s="5">
        <f ca="1">IFERROR(__xludf.DUMMYFUNCTION("""COMPUTED_VALUE"""),0)</f>
        <v>0</v>
      </c>
      <c r="H771" s="5">
        <f ca="1">IFERROR(__xludf.DUMMYFUNCTION("""COMPUTED_VALUE"""),1)</f>
        <v>1</v>
      </c>
      <c r="I771" s="5">
        <f ca="1">IFERROR(__xludf.DUMMYFUNCTION("""COMPUTED_VALUE"""),1)</f>
        <v>1</v>
      </c>
      <c r="J771" s="5">
        <f ca="1">IFERROR(__xludf.DUMMYFUNCTION("""COMPUTED_VALUE"""),0)</f>
        <v>0</v>
      </c>
      <c r="K771" s="5" t="str">
        <f ca="1">IFERROR(__xludf.DUMMYFUNCTION("""COMPUTED_VALUE"""),"https://www.cbsnews.com/news/oshkosh-west-high-school-shooting-armed-student-prompts-officer-shooting-at-wisconsin-school-today-2019-12-03/ https://www.startribune.com/prosecutors-clear-oshkosh-officer-in-school-shooting/570377922/")</f>
        <v>https://www.cbsnews.com/news/oshkosh-west-high-school-shooting-armed-student-prompts-officer-shooting-at-wisconsin-school-today-2019-12-03/ https://www.startribune.com/prosecutors-clear-oshkosh-officer-in-school-shooting/570377922/</v>
      </c>
      <c r="L771" s="5"/>
      <c r="M771" s="5"/>
      <c r="N771" s="5">
        <f ca="1">IFERROR(__xludf.DUMMYFUNCTION("""COMPUTED_VALUE"""),4)</f>
        <v>4</v>
      </c>
      <c r="O771" s="5" t="str">
        <f ca="1">IFERROR(__xludf.DUMMYFUNCTION("""COMPUTED_VALUE"""),"Winter")</f>
        <v>Winter</v>
      </c>
      <c r="P771" s="5" t="str">
        <f ca="1">IFERROR(__xludf.DUMMYFUNCTION("""COMPUTED_VALUE"""),"Oshkosh")</f>
        <v>Oshkosh</v>
      </c>
      <c r="Q771" s="5" t="str">
        <f ca="1">IFERROR(__xludf.DUMMYFUNCTION("""COMPUTED_VALUE"""),"WI")</f>
        <v>WI</v>
      </c>
      <c r="R771" s="5" t="str">
        <f ca="1">IFERROR(__xludf.DUMMYFUNCTION("""COMPUTED_VALUE"""),"High")</f>
        <v>High</v>
      </c>
      <c r="S771" s="5" t="str">
        <f ca="1">IFERROR(__xludf.DUMMYFUNCTION("""COMPUTED_VALUE"""),"Hallway")</f>
        <v>Hallway</v>
      </c>
      <c r="T771" s="5" t="str">
        <f ca="1">IFERROR(__xludf.DUMMYFUNCTION("""COMPUTED_VALUE"""),"Inside School Building")</f>
        <v>Inside School Building</v>
      </c>
      <c r="U771" s="5" t="str">
        <f ca="1">IFERROR(__xludf.DUMMYFUNCTION("""COMPUTED_VALUE"""),"Yes")</f>
        <v>Yes</v>
      </c>
      <c r="V771" s="5" t="str">
        <f ca="1">IFERROR(__xludf.DUMMYFUNCTION("""COMPUTED_VALUE"""),"Morning Classes")</f>
        <v>Morning Classes</v>
      </c>
      <c r="W771" s="10">
        <f ca="1">IFERROR(__xludf.DUMMYFUNCTION("""COMPUTED_VALUE"""),0.383333333333333)</f>
        <v>0.38333333333333303</v>
      </c>
      <c r="X771" s="5">
        <f ca="1">IFERROR(__xludf.DUMMYFUNCTION("""COMPUTED_VALUE"""),1)</f>
        <v>1</v>
      </c>
      <c r="Y771" s="5" t="str">
        <f ca="1">IFERROR(__xludf.DUMMYFUNCTION("""COMPUTED_VALUE"""),"SRO fired at student who stabbed him with edged weapon")</f>
        <v>SRO fired at student who stabbed him with edged weapon</v>
      </c>
      <c r="Z771" s="5" t="str">
        <f ca="1">IFERROR(__xludf.DUMMYFUNCTION("""COMPUTED_VALUE"""),"SRO fired one shot at 16YOM student who stabbed him with edged weapon. Student was injured and transported to hospital. School locked down. Prosecutors cleared the school liaison officer of any criminal wrongdoing. County Assistant District Attorney said "&amp;"a state determined that SROs decision to use deadly force was reasonable and justified. According to court documents, student entered SRO's office at Oshkosh West High School on Dec. 3 and stabbed SRO multiple times with a barbecue fork. SRO couldn't reac"&amp;"h his stun gun so he shot the student. Student had texted a friend to bet that he would not go to SRO's office and stab him with a pencil, take SRO's gun out of his holster and either shoot himself or the officer. The friend did not report student's comme"&amp;"nts.")</f>
        <v>SRO fired one shot at 16YOM student who stabbed him with edged weapon. Student was injured and transported to hospital. School locked down. Prosecutors cleared the school liaison officer of any criminal wrongdoing. County Assistant District Attorney said a state determined that SROs decision to use deadly force was reasonable and justified. According to court documents, student entered SRO's office at Oshkosh West High School on Dec. 3 and stabbed SRO multiple times with a barbecue fork. SRO couldn't reach his stun gun so he shot the student. Student had texted a friend to bet that he would not go to SRO's office and stab him with a pencil, take SRO's gun out of his holster and either shoot himself or the officer. The friend did not report student's comments.</v>
      </c>
      <c r="AA771" s="5" t="str">
        <f ca="1">IFERROR(__xludf.DUMMYFUNCTION("""COMPUTED_VALUE"""),"Self-defense")</f>
        <v>Self-defense</v>
      </c>
      <c r="AB771" s="5" t="str">
        <f ca="1">IFERROR(__xludf.DUMMYFUNCTION("""COMPUTED_VALUE"""),"NA")</f>
        <v>NA</v>
      </c>
      <c r="AC771" s="5" t="str">
        <f ca="1">IFERROR(__xludf.DUMMYFUNCTION("""COMPUTED_VALUE"""),"No")</f>
        <v>No</v>
      </c>
      <c r="AD771" s="5" t="str">
        <f ca="1">IFERROR(__xludf.DUMMYFUNCTION("""COMPUTED_VALUE"""),"No")</f>
        <v>No</v>
      </c>
      <c r="AE771" s="5" t="str">
        <f ca="1">IFERROR(__xludf.DUMMYFUNCTION("""COMPUTED_VALUE"""),"No")</f>
        <v>No</v>
      </c>
      <c r="AF771" s="5" t="str">
        <f ca="1">IFERROR(__xludf.DUMMYFUNCTION("""COMPUTED_VALUE"""),"Yes")</f>
        <v>Yes</v>
      </c>
      <c r="AG771" s="5"/>
      <c r="AH771" s="5"/>
      <c r="AI771" s="5"/>
      <c r="AJ771" s="5"/>
    </row>
    <row r="772" spans="1:36" ht="13">
      <c r="A772" s="5" t="str">
        <f ca="1">IFERROR(__xludf.DUMMYFUNCTION("""COMPUTED_VALUE"""),"20191202WIWAW")</f>
        <v>20191202WIWAW</v>
      </c>
      <c r="B772" s="5">
        <f ca="1">IFERROR(__xludf.DUMMYFUNCTION("""COMPUTED_VALUE"""),12)</f>
        <v>12</v>
      </c>
      <c r="C772" s="5">
        <f ca="1">IFERROR(__xludf.DUMMYFUNCTION("""COMPUTED_VALUE"""),2)</f>
        <v>2</v>
      </c>
      <c r="D772" s="5">
        <f ca="1">IFERROR(__xludf.DUMMYFUNCTION("""COMPUTED_VALUE"""),2019)</f>
        <v>2019</v>
      </c>
      <c r="E772" s="8">
        <f ca="1">IFERROR(__xludf.DUMMYFUNCTION("""COMPUTED_VALUE"""),43801)</f>
        <v>43801</v>
      </c>
      <c r="F772" s="5" t="str">
        <f ca="1">IFERROR(__xludf.DUMMYFUNCTION("""COMPUTED_VALUE"""),"Waukesha South High School")</f>
        <v>Waukesha South High School</v>
      </c>
      <c r="G772" s="5">
        <f ca="1">IFERROR(__xludf.DUMMYFUNCTION("""COMPUTED_VALUE"""),0)</f>
        <v>0</v>
      </c>
      <c r="H772" s="5">
        <f ca="1">IFERROR(__xludf.DUMMYFUNCTION("""COMPUTED_VALUE"""),0)</f>
        <v>0</v>
      </c>
      <c r="I772" s="5">
        <f ca="1">IFERROR(__xludf.DUMMYFUNCTION("""COMPUTED_VALUE"""),0)</f>
        <v>0</v>
      </c>
      <c r="J772" s="5">
        <f ca="1">IFERROR(__xludf.DUMMYFUNCTION("""COMPUTED_VALUE"""),0)</f>
        <v>0</v>
      </c>
      <c r="K772" s="5" t="str">
        <f ca="1">IFERROR(__xludf.DUMMYFUNCTION("""COMPUTED_VALUE"""),"https://www.jsonline.com/story/communities/waukesha/news/waukesha/2021/04/22/waukesha-south-shooting-student-charged-guilty-lesser-charges/7335635002/ https://www.jsonline.com/story/communities/waukesha/news/waukesha/2021/04/22/waukesha-south-shooting-stu"&amp;"dent-charged-guilty-lesser-charges/7335635002/ https://apnews.com/7fa2dae5aa86462a9433753f7a6be520 https://whotv.com/2019/12/02/shots-fired-inside-wisconsin-high-school-suspect-in-custody/?taid=5de5adfe16deae000192e621&amp;utm_campaign=trueAnthem%3A+Trending+"&amp;"Content&amp;utm_medium=trueAnthem&amp;utm_source=twitter https://www.jsonline.com/story/communities/waukesha/news/waukesha/2019/12/02/waukesha-south-heavy-police-presence-high-school/2586536001/ https://www.nbc15.com/content/news/565987821.html")</f>
        <v>https://www.jsonline.com/story/communities/waukesha/news/waukesha/2021/04/22/waukesha-south-shooting-student-charged-guilty-lesser-charges/7335635002/ https://www.jsonline.com/story/communities/waukesha/news/waukesha/2021/04/22/waukesha-south-shooting-student-charged-guilty-lesser-charges/7335635002/ https://apnews.com/7fa2dae5aa86462a9433753f7a6be520 https://whotv.com/2019/12/02/shots-fired-inside-wisconsin-high-school-suspect-in-custody/?taid=5de5adfe16deae000192e621&amp;utm_campaign=trueAnthem%3A+Trending+Content&amp;utm_medium=trueAnthem&amp;utm_source=twitter https://www.jsonline.com/story/communities/waukesha/news/waukesha/2019/12/02/waukesha-south-heavy-police-presence-high-school/2586536001/ https://www.nbc15.com/content/news/565987821.html</v>
      </c>
      <c r="L772" s="5"/>
      <c r="M772" s="5" t="str">
        <f ca="1">IFERROR(__xludf.DUMMYFUNCTION("""COMPUTED_VALUE"""),"Local")</f>
        <v>Local</v>
      </c>
      <c r="N772" s="5">
        <f ca="1">IFERROR(__xludf.DUMMYFUNCTION("""COMPUTED_VALUE"""),5)</f>
        <v>5</v>
      </c>
      <c r="O772" s="5" t="str">
        <f ca="1">IFERROR(__xludf.DUMMYFUNCTION("""COMPUTED_VALUE"""),"Winter")</f>
        <v>Winter</v>
      </c>
      <c r="P772" s="5" t="str">
        <f ca="1">IFERROR(__xludf.DUMMYFUNCTION("""COMPUTED_VALUE"""),"Waukesha")</f>
        <v>Waukesha</v>
      </c>
      <c r="Q772" s="5" t="str">
        <f ca="1">IFERROR(__xludf.DUMMYFUNCTION("""COMPUTED_VALUE"""),"WI")</f>
        <v>WI</v>
      </c>
      <c r="R772" s="5" t="str">
        <f ca="1">IFERROR(__xludf.DUMMYFUNCTION("""COMPUTED_VALUE"""),"High")</f>
        <v>High</v>
      </c>
      <c r="S772" s="5" t="str">
        <f ca="1">IFERROR(__xludf.DUMMYFUNCTION("""COMPUTED_VALUE"""),"Classroom")</f>
        <v>Classroom</v>
      </c>
      <c r="T772" s="5" t="str">
        <f ca="1">IFERROR(__xludf.DUMMYFUNCTION("""COMPUTED_VALUE"""),"Inside School Building")</f>
        <v>Inside School Building</v>
      </c>
      <c r="U772" s="5" t="str">
        <f ca="1">IFERROR(__xludf.DUMMYFUNCTION("""COMPUTED_VALUE"""),"Yes")</f>
        <v>Yes</v>
      </c>
      <c r="V772" s="5" t="str">
        <f ca="1">IFERROR(__xludf.DUMMYFUNCTION("""COMPUTED_VALUE"""),"Morning Classes")</f>
        <v>Morning Classes</v>
      </c>
      <c r="W772" s="10">
        <f ca="1">IFERROR(__xludf.DUMMYFUNCTION("""COMPUTED_VALUE"""),0.421527777777777)</f>
        <v>0.421527777777777</v>
      </c>
      <c r="X772" s="5"/>
      <c r="Y772" s="5" t="str">
        <f ca="1">IFERROR(__xludf.DUMMYFUNCTION("""COMPUTED_VALUE"""),"Armed student shot by police officer in classroom during attempted negotiation")</f>
        <v>Armed student shot by police officer in classroom during attempted negotiation</v>
      </c>
      <c r="Z772" s="5" t="str">
        <f ca="1">IFERROR(__xludf.DUMMYFUNCTION("""COMPUTED_VALUE"""),"17YOM student was armed with realistic BB gun that looked like a real handgun. Other students reported the gun to SRO. SRO confronted student in classroom and notified other officers. During standoff/negotiation, armed student pointed the gun at officers "&amp;"who fired and injured him. Unknown if other students were inside the classroom. Student was treated, taken to hospital, and in custody. Student told police he carried the pellet gun because of bullying and wanting to scare other students with it.")</f>
        <v>17YOM student was armed with realistic BB gun that looked like a real handgun. Other students reported the gun to SRO. SRO confronted student in classroom and notified other officers. During standoff/negotiation, armed student pointed the gun at officers who fired and injured him. Unknown if other students were inside the classroom. Student was treated, taken to hospital, and in custody. Student told police he carried the pellet gun because of bullying and wanting to scare other students with it.</v>
      </c>
      <c r="AA772" s="5" t="str">
        <f ca="1">IFERROR(__xludf.DUMMYFUNCTION("""COMPUTED_VALUE"""),"Bullying")</f>
        <v>Bullying</v>
      </c>
      <c r="AB772" s="5"/>
      <c r="AC772" s="5" t="str">
        <f ca="1">IFERROR(__xludf.DUMMYFUNCTION("""COMPUTED_VALUE"""),"No")</f>
        <v>No</v>
      </c>
      <c r="AD772" s="5" t="str">
        <f ca="1">IFERROR(__xludf.DUMMYFUNCTION("""COMPUTED_VALUE"""),"No")</f>
        <v>No</v>
      </c>
      <c r="AE772" s="5" t="str">
        <f ca="1">IFERROR(__xludf.DUMMYFUNCTION("""COMPUTED_VALUE"""),"No")</f>
        <v>No</v>
      </c>
      <c r="AF772" s="5" t="str">
        <f ca="1">IFERROR(__xludf.DUMMYFUNCTION("""COMPUTED_VALUE"""),"No")</f>
        <v>No</v>
      </c>
      <c r="AG772" s="5"/>
      <c r="AH772" s="5" t="str">
        <f ca="1">IFERROR(__xludf.DUMMYFUNCTION("""COMPUTED_VALUE"""),"No")</f>
        <v>No</v>
      </c>
      <c r="AI772" s="5" t="str">
        <f ca="1">IFERROR(__xludf.DUMMYFUNCTION("""COMPUTED_VALUE"""),"No")</f>
        <v>No</v>
      </c>
      <c r="AJ772" s="5" t="str">
        <f ca="1">IFERROR(__xludf.DUMMYFUNCTION("""COMPUTED_VALUE"""),"No")</f>
        <v>No</v>
      </c>
    </row>
    <row r="773" spans="1:36" ht="13">
      <c r="A773" s="5" t="str">
        <f ca="1">IFERROR(__xludf.DUMMYFUNCTION("""COMPUTED_VALUE"""),"20191201ALMOM")</f>
        <v>20191201ALMOM</v>
      </c>
      <c r="B773" s="5">
        <f ca="1">IFERROR(__xludf.DUMMYFUNCTION("""COMPUTED_VALUE"""),12)</f>
        <v>12</v>
      </c>
      <c r="C773" s="5">
        <f ca="1">IFERROR(__xludf.DUMMYFUNCTION("""COMPUTED_VALUE"""),1)</f>
        <v>1</v>
      </c>
      <c r="D773" s="5">
        <f ca="1">IFERROR(__xludf.DUMMYFUNCTION("""COMPUTED_VALUE"""),2019)</f>
        <v>2019</v>
      </c>
      <c r="E773" s="8">
        <f ca="1">IFERROR(__xludf.DUMMYFUNCTION("""COMPUTED_VALUE"""),43800)</f>
        <v>43800</v>
      </c>
      <c r="F773" s="5" t="str">
        <f ca="1">IFERROR(__xludf.DUMMYFUNCTION("""COMPUTED_VALUE"""),"Mountain Brook High School")</f>
        <v>Mountain Brook High School</v>
      </c>
      <c r="G773" s="5">
        <f ca="1">IFERROR(__xludf.DUMMYFUNCTION("""COMPUTED_VALUE"""),1)</f>
        <v>1</v>
      </c>
      <c r="H773" s="5">
        <f ca="1">IFERROR(__xludf.DUMMYFUNCTION("""COMPUTED_VALUE"""),0)</f>
        <v>0</v>
      </c>
      <c r="I773" s="5">
        <f ca="1">IFERROR(__xludf.DUMMYFUNCTION("""COMPUTED_VALUE"""),1)</f>
        <v>1</v>
      </c>
      <c r="J773" s="5">
        <f ca="1">IFERROR(__xludf.DUMMYFUNCTION("""COMPUTED_VALUE"""),0)</f>
        <v>0</v>
      </c>
      <c r="K773" s="9" t="str">
        <f ca="1">IFERROR(__xludf.DUMMYFUNCTION("""COMPUTED_VALUE"""),"https://www.wvtm13.com/article/mountain-brook-homicide-woman-found-dead-parking-lot-megan-montgomery/30065595")</f>
        <v>https://www.wvtm13.com/article/mountain-brook-homicide-woman-found-dead-parking-lot-megan-montgomery/30065595</v>
      </c>
      <c r="L773" s="5"/>
      <c r="M773" s="5"/>
      <c r="N773" s="5">
        <f ca="1">IFERROR(__xludf.DUMMYFUNCTION("""COMPUTED_VALUE"""),4)</f>
        <v>4</v>
      </c>
      <c r="O773" s="5" t="str">
        <f ca="1">IFERROR(__xludf.DUMMYFUNCTION("""COMPUTED_VALUE"""),"Winter")</f>
        <v>Winter</v>
      </c>
      <c r="P773" s="5" t="str">
        <f ca="1">IFERROR(__xludf.DUMMYFUNCTION("""COMPUTED_VALUE"""),"Mountain Brook")</f>
        <v>Mountain Brook</v>
      </c>
      <c r="Q773" s="5" t="str">
        <f ca="1">IFERROR(__xludf.DUMMYFUNCTION("""COMPUTED_VALUE"""),"AL")</f>
        <v>AL</v>
      </c>
      <c r="R773" s="5" t="str">
        <f ca="1">IFERROR(__xludf.DUMMYFUNCTION("""COMPUTED_VALUE"""),"High")</f>
        <v>High</v>
      </c>
      <c r="S773" s="5" t="str">
        <f ca="1">IFERROR(__xludf.DUMMYFUNCTION("""COMPUTED_VALUE"""),"Parking Lot")</f>
        <v>Parking Lot</v>
      </c>
      <c r="T773" s="5" t="str">
        <f ca="1">IFERROR(__xludf.DUMMYFUNCTION("""COMPUTED_VALUE"""),"Outside on School Property")</f>
        <v>Outside on School Property</v>
      </c>
      <c r="U773" s="5" t="str">
        <f ca="1">IFERROR(__xludf.DUMMYFUNCTION("""COMPUTED_VALUE"""),"No")</f>
        <v>No</v>
      </c>
      <c r="V773" s="5" t="str">
        <f ca="1">IFERROR(__xludf.DUMMYFUNCTION("""COMPUTED_VALUE"""),"Night")</f>
        <v>Night</v>
      </c>
      <c r="W773" s="10">
        <f ca="1">IFERROR(__xludf.DUMMYFUNCTION("""COMPUTED_VALUE"""),0.166666666666666)</f>
        <v>0.16666666666666599</v>
      </c>
      <c r="X773" s="5">
        <f ca="1">IFERROR(__xludf.DUMMYFUNCTION("""COMPUTED_VALUE"""),1)</f>
        <v>1</v>
      </c>
      <c r="Y773" s="5" t="str">
        <f ca="1">IFERROR(__xludf.DUMMYFUNCTION("""COMPUTED_VALUE"""),"Woman killed during domestic dispute in parking lot")</f>
        <v>Woman killed during domestic dispute in parking lot</v>
      </c>
      <c r="Z773" s="5" t="str">
        <f ca="1">IFERROR(__xludf.DUMMYFUNCTION("""COMPUTED_VALUE"""),"31YOF killed by ex-husband in school parking lot overnight. Body was found the next day. No students involved. Shooter had prior arrest for domestic violence and restraining order (police officer prior to domestic violence charges).")</f>
        <v>31YOF killed by ex-husband in school parking lot overnight. Body was found the next day. No students involved. Shooter had prior arrest for domestic violence and restraining order (police officer prior to domestic violence charges).</v>
      </c>
      <c r="AA773" s="5" t="str">
        <f ca="1">IFERROR(__xludf.DUMMYFUNCTION("""COMPUTED_VALUE"""),"Domestic w/ Targeted Victim")</f>
        <v>Domestic w/ Targeted Victim</v>
      </c>
      <c r="AB773" s="5" t="str">
        <f ca="1">IFERROR(__xludf.DUMMYFUNCTION("""COMPUTED_VALUE"""),"Victims Targeted")</f>
        <v>Victims Targeted</v>
      </c>
      <c r="AC773" s="5" t="str">
        <f ca="1">IFERROR(__xludf.DUMMYFUNCTION("""COMPUTED_VALUE"""),"No")</f>
        <v>No</v>
      </c>
      <c r="AD773" s="5" t="str">
        <f ca="1">IFERROR(__xludf.DUMMYFUNCTION("""COMPUTED_VALUE"""),"No")</f>
        <v>No</v>
      </c>
      <c r="AE773" s="5" t="str">
        <f ca="1">IFERROR(__xludf.DUMMYFUNCTION("""COMPUTED_VALUE"""),"No")</f>
        <v>No</v>
      </c>
      <c r="AF773" s="5" t="str">
        <f ca="1">IFERROR(__xludf.DUMMYFUNCTION("""COMPUTED_VALUE"""),"No")</f>
        <v>No</v>
      </c>
      <c r="AG773" s="5" t="str">
        <f ca="1">IFERROR(__xludf.DUMMYFUNCTION("""COMPUTED_VALUE"""),"No")</f>
        <v>No</v>
      </c>
      <c r="AH773" s="5" t="str">
        <f ca="1">IFERROR(__xludf.DUMMYFUNCTION("""COMPUTED_VALUE"""),"Yes")</f>
        <v>Yes</v>
      </c>
      <c r="AI773" s="5" t="str">
        <f ca="1">IFERROR(__xludf.DUMMYFUNCTION("""COMPUTED_VALUE"""),"No")</f>
        <v>No</v>
      </c>
      <c r="AJ773" s="5" t="str">
        <f ca="1">IFERROR(__xludf.DUMMYFUNCTION("""COMPUTED_VALUE"""),"No")</f>
        <v>No</v>
      </c>
    </row>
    <row r="774" spans="1:36" ht="13">
      <c r="A774" s="5" t="str">
        <f ca="1">IFERROR(__xludf.DUMMYFUNCTION("""COMPUTED_VALUE"""),"20191126WASAV")</f>
        <v>20191126WASAV</v>
      </c>
      <c r="B774" s="5">
        <f ca="1">IFERROR(__xludf.DUMMYFUNCTION("""COMPUTED_VALUE"""),11)</f>
        <v>11</v>
      </c>
      <c r="C774" s="5">
        <f ca="1">IFERROR(__xludf.DUMMYFUNCTION("""COMPUTED_VALUE"""),26)</f>
        <v>26</v>
      </c>
      <c r="D774" s="5">
        <f ca="1">IFERROR(__xludf.DUMMYFUNCTION("""COMPUTED_VALUE"""),2019)</f>
        <v>2019</v>
      </c>
      <c r="E774" s="8">
        <f ca="1">IFERROR(__xludf.DUMMYFUNCTION("""COMPUTED_VALUE"""),43795)</f>
        <v>43795</v>
      </c>
      <c r="F774" s="5" t="str">
        <f ca="1">IFERROR(__xludf.DUMMYFUNCTION("""COMPUTED_VALUE"""),"Sarah J. Anderson Elementary School")</f>
        <v>Sarah J. Anderson Elementary School</v>
      </c>
      <c r="G774" s="5">
        <f ca="1">IFERROR(__xludf.DUMMYFUNCTION("""COMPUTED_VALUE"""),0)</f>
        <v>0</v>
      </c>
      <c r="H774" s="5">
        <f ca="1">IFERROR(__xludf.DUMMYFUNCTION("""COMPUTED_VALUE"""),2)</f>
        <v>2</v>
      </c>
      <c r="I774" s="5">
        <f ca="1">IFERROR(__xludf.DUMMYFUNCTION("""COMPUTED_VALUE"""),2)</f>
        <v>2</v>
      </c>
      <c r="J774" s="5">
        <f ca="1">IFERROR(__xludf.DUMMYFUNCTION("""COMPUTED_VALUE"""),1)</f>
        <v>1</v>
      </c>
      <c r="K774" s="5" t="str">
        <f ca="1">IFERROR(__xludf.DUMMYFUNCTION("""COMPUTED_VALUE"""),"https://www.columbian.com/news/2019/nov/26/police-responding-to-shooting-at-vancouver-elementary-school/ https://abcnews.go.com/US/wireStory/family-kids-car-estranged-husband-kills-mother-67376601")</f>
        <v>https://www.columbian.com/news/2019/nov/26/police-responding-to-shooting-at-vancouver-elementary-school/ https://abcnews.go.com/US/wireStory/family-kids-car-estranged-husband-kills-mother-67376601</v>
      </c>
      <c r="L774" s="5"/>
      <c r="M774" s="5"/>
      <c r="N774" s="5">
        <f ca="1">IFERROR(__xludf.DUMMYFUNCTION("""COMPUTED_VALUE"""),4)</f>
        <v>4</v>
      </c>
      <c r="O774" s="5" t="str">
        <f ca="1">IFERROR(__xludf.DUMMYFUNCTION("""COMPUTED_VALUE"""),"Fall")</f>
        <v>Fall</v>
      </c>
      <c r="P774" s="5" t="str">
        <f ca="1">IFERROR(__xludf.DUMMYFUNCTION("""COMPUTED_VALUE"""),"Vancouver")</f>
        <v>Vancouver</v>
      </c>
      <c r="Q774" s="5" t="str">
        <f ca="1">IFERROR(__xludf.DUMMYFUNCTION("""COMPUTED_VALUE"""),"WA")</f>
        <v>WA</v>
      </c>
      <c r="R774" s="5" t="str">
        <f ca="1">IFERROR(__xludf.DUMMYFUNCTION("""COMPUTED_VALUE"""),"Elementary")</f>
        <v>Elementary</v>
      </c>
      <c r="S774" s="5" t="str">
        <f ca="1">IFERROR(__xludf.DUMMYFUNCTION("""COMPUTED_VALUE"""),"Parking Lot")</f>
        <v>Parking Lot</v>
      </c>
      <c r="T774" s="5" t="str">
        <f ca="1">IFERROR(__xludf.DUMMYFUNCTION("""COMPUTED_VALUE"""),"Outside on School Property")</f>
        <v>Outside on School Property</v>
      </c>
      <c r="U774" s="5" t="str">
        <f ca="1">IFERROR(__xludf.DUMMYFUNCTION("""COMPUTED_VALUE"""),"Yes")</f>
        <v>Yes</v>
      </c>
      <c r="V774" s="5" t="str">
        <f ca="1">IFERROR(__xludf.DUMMYFUNCTION("""COMPUTED_VALUE"""),"Dismissal")</f>
        <v>Dismissal</v>
      </c>
      <c r="W774" s="10">
        <f ca="1">IFERROR(__xludf.DUMMYFUNCTION("""COMPUTED_VALUE"""),0.638888888888888)</f>
        <v>0.63888888888888795</v>
      </c>
      <c r="X774" s="5">
        <f ca="1">IFERROR(__xludf.DUMMYFUNCTION("""COMPUTED_VALUE"""),1)</f>
        <v>1</v>
      </c>
      <c r="Y774" s="5" t="str">
        <f ca="1">IFERROR(__xludf.DUMMYFUNCTION("""COMPUTED_VALUE"""),"Father shot ex-wife and her mother in vehicle in the school parking lot (3 kids inside the car)")</f>
        <v>Father shot ex-wife and her mother in vehicle in the school parking lot (3 kids inside the car)</v>
      </c>
      <c r="Z774" s="5" t="str">
        <f ca="1">IFERROR(__xludf.DUMMYFUNCTION("""COMPUTED_VALUE"""),"Father shot ex-wife and her mother in the school parking lot during dismissal. Shooter had recently been released from jail, stalked and threatened the mother, and had a restraining order against him. 3 children were inside the car during the shooting. Sc"&amp;"hool was placed on lockdown until 5pm. Shooter fled the school, was involved with police pursuit, and fatally shot himself (not at the school). No students were injured. Court papers associated with the restraining order show an extensive history of abuse"&amp;" and violence, with shooter repeatedly violating the restraining order.")</f>
        <v>Father shot ex-wife and her mother in the school parking lot during dismissal. Shooter had recently been released from jail, stalked and threatened the mother, and had a restraining order against him. 3 children were inside the car during the shooting. School was placed on lockdown until 5pm. Shooter fled the school, was involved with police pursuit, and fatally shot himself (not at the school). No students were injured. Court papers associated with the restraining order show an extensive history of abuse and violence, with shooter repeatedly violating the restraining order.</v>
      </c>
      <c r="AA774" s="5" t="str">
        <f ca="1">IFERROR(__xludf.DUMMYFUNCTION("""COMPUTED_VALUE"""),"Domestic w/ Targeted Victim")</f>
        <v>Domestic w/ Targeted Victim</v>
      </c>
      <c r="AB774" s="5" t="str">
        <f ca="1">IFERROR(__xludf.DUMMYFUNCTION("""COMPUTED_VALUE"""),"Victims Targeted")</f>
        <v>Victims Targeted</v>
      </c>
      <c r="AC774" s="5" t="str">
        <f ca="1">IFERROR(__xludf.DUMMYFUNCTION("""COMPUTED_VALUE"""),"No")</f>
        <v>No</v>
      </c>
      <c r="AD774" s="5" t="str">
        <f ca="1">IFERROR(__xludf.DUMMYFUNCTION("""COMPUTED_VALUE"""),"No")</f>
        <v>No</v>
      </c>
      <c r="AE774" s="5" t="str">
        <f ca="1">IFERROR(__xludf.DUMMYFUNCTION("""COMPUTED_VALUE"""),"No")</f>
        <v>No</v>
      </c>
      <c r="AF774" s="5" t="str">
        <f ca="1">IFERROR(__xludf.DUMMYFUNCTION("""COMPUTED_VALUE"""),"No")</f>
        <v>No</v>
      </c>
      <c r="AG774" s="5" t="str">
        <f ca="1">IFERROR(__xludf.DUMMYFUNCTION("""COMPUTED_VALUE"""),"No")</f>
        <v>No</v>
      </c>
      <c r="AH774" s="5" t="str">
        <f ca="1">IFERROR(__xludf.DUMMYFUNCTION("""COMPUTED_VALUE"""),"Yes")</f>
        <v>Yes</v>
      </c>
      <c r="AI774" s="5" t="str">
        <f ca="1">IFERROR(__xludf.DUMMYFUNCTION("""COMPUTED_VALUE"""),"No")</f>
        <v>No</v>
      </c>
      <c r="AJ774" s="5" t="str">
        <f ca="1">IFERROR(__xludf.DUMMYFUNCTION("""COMPUTED_VALUE"""),"No")</f>
        <v>No</v>
      </c>
    </row>
    <row r="775" spans="1:36" ht="13">
      <c r="A775" s="5" t="str">
        <f ca="1">IFERROR(__xludf.DUMMYFUNCTION("""COMPUTED_VALUE"""),"20191125ILCAC")</f>
        <v>20191125ILCAC</v>
      </c>
      <c r="B775" s="5">
        <f ca="1">IFERROR(__xludf.DUMMYFUNCTION("""COMPUTED_VALUE"""),11)</f>
        <v>11</v>
      </c>
      <c r="C775" s="5">
        <f ca="1">IFERROR(__xludf.DUMMYFUNCTION("""COMPUTED_VALUE"""),25)</f>
        <v>25</v>
      </c>
      <c r="D775" s="5">
        <f ca="1">IFERROR(__xludf.DUMMYFUNCTION("""COMPUTED_VALUE"""),2019)</f>
        <v>2019</v>
      </c>
      <c r="E775" s="8">
        <f ca="1">IFERROR(__xludf.DUMMYFUNCTION("""COMPUTED_VALUE"""),43794)</f>
        <v>43794</v>
      </c>
      <c r="F775" s="5" t="str">
        <f ca="1">IFERROR(__xludf.DUMMYFUNCTION("""COMPUTED_VALUE"""),"Catalyst Circle Rock Charter School")</f>
        <v>Catalyst Circle Rock Charter School</v>
      </c>
      <c r="G775" s="5">
        <f ca="1">IFERROR(__xludf.DUMMYFUNCTION("""COMPUTED_VALUE"""),0)</f>
        <v>0</v>
      </c>
      <c r="H775" s="5">
        <f ca="1">IFERROR(__xludf.DUMMYFUNCTION("""COMPUTED_VALUE"""),1)</f>
        <v>1</v>
      </c>
      <c r="I775" s="5">
        <f ca="1">IFERROR(__xludf.DUMMYFUNCTION("""COMPUTED_VALUE"""),1)</f>
        <v>1</v>
      </c>
      <c r="J775" s="5">
        <f ca="1">IFERROR(__xludf.DUMMYFUNCTION("""COMPUTED_VALUE"""),0)</f>
        <v>0</v>
      </c>
      <c r="K775" s="9" t="str">
        <f ca="1">IFERROR(__xludf.DUMMYFUNCTION("""COMPUTED_VALUE"""),"https://abc7chicago.com/1-shot-outside-school-in-austin/5717900/")</f>
        <v>https://abc7chicago.com/1-shot-outside-school-in-austin/5717900/</v>
      </c>
      <c r="L775" s="5"/>
      <c r="M775" s="5"/>
      <c r="N775" s="5">
        <f ca="1">IFERROR(__xludf.DUMMYFUNCTION("""COMPUTED_VALUE"""),3)</f>
        <v>3</v>
      </c>
      <c r="O775" s="5" t="str">
        <f ca="1">IFERROR(__xludf.DUMMYFUNCTION("""COMPUTED_VALUE"""),"Fall")</f>
        <v>Fall</v>
      </c>
      <c r="P775" s="5" t="str">
        <f ca="1">IFERROR(__xludf.DUMMYFUNCTION("""COMPUTED_VALUE"""),"Chicago")</f>
        <v>Chicago</v>
      </c>
      <c r="Q775" s="5" t="str">
        <f ca="1">IFERROR(__xludf.DUMMYFUNCTION("""COMPUTED_VALUE"""),"IL")</f>
        <v>IL</v>
      </c>
      <c r="R775" s="5" t="str">
        <f ca="1">IFERROR(__xludf.DUMMYFUNCTION("""COMPUTED_VALUE"""),"Elementary")</f>
        <v>Elementary</v>
      </c>
      <c r="S775" s="5" t="str">
        <f ca="1">IFERROR(__xludf.DUMMYFUNCTION("""COMPUTED_VALUE"""),"Front of School")</f>
        <v>Front of School</v>
      </c>
      <c r="T775" s="5" t="str">
        <f ca="1">IFERROR(__xludf.DUMMYFUNCTION("""COMPUTED_VALUE"""),"Both Inside/Outside")</f>
        <v>Both Inside/Outside</v>
      </c>
      <c r="U775" s="5" t="str">
        <f ca="1">IFERROR(__xludf.DUMMYFUNCTION("""COMPUTED_VALUE"""),"Yes")</f>
        <v>Yes</v>
      </c>
      <c r="V775" s="5" t="str">
        <f ca="1">IFERROR(__xludf.DUMMYFUNCTION("""COMPUTED_VALUE"""),"School Start")</f>
        <v>School Start</v>
      </c>
      <c r="W775" s="10">
        <f ca="1">IFERROR(__xludf.DUMMYFUNCTION("""COMPUTED_VALUE"""),0.333333333333333)</f>
        <v>0.33333333333333298</v>
      </c>
      <c r="X775" s="5">
        <f ca="1">IFERROR(__xludf.DUMMYFUNCTION("""COMPUTED_VALUE"""),1)</f>
        <v>1</v>
      </c>
      <c r="Y775" s="5" t="str">
        <f ca="1">IFERROR(__xludf.DUMMYFUNCTION("""COMPUTED_VALUE"""),"37 YOM shot outside of school while students were outside, went into school for assistance")</f>
        <v>37 YOM shot outside of school while students were outside, went into school for assistance</v>
      </c>
      <c r="Z775" s="5" t="str">
        <f ca="1">IFERROR(__xludf.DUMMYFUNCTION("""COMPUTED_VALUE"""),"37YOM in vehicle was shot outside of school while students were arriving. Students and teachers took cover. School was locked down. Shooting victim went into school for assistance. Shooter fled in vehicle.")</f>
        <v>37YOM in vehicle was shot outside of school while students were arriving. Students and teachers took cover. School was locked down. Shooting victim went into school for assistance. Shooter fled in vehicle.</v>
      </c>
      <c r="AA775" s="5" t="str">
        <f ca="1">IFERROR(__xludf.DUMMYFUNCTION("""COMPUTED_VALUE"""),"Unknown")</f>
        <v>Unknown</v>
      </c>
      <c r="AB775" s="5" t="str">
        <f ca="1">IFERROR(__xludf.DUMMYFUNCTION("""COMPUTED_VALUE"""),"Victims Targeted")</f>
        <v>Victims Targeted</v>
      </c>
      <c r="AC775" s="5"/>
      <c r="AD775" s="5" t="str">
        <f ca="1">IFERROR(__xludf.DUMMYFUNCTION("""COMPUTED_VALUE"""),"No")</f>
        <v>No</v>
      </c>
      <c r="AE775" s="5" t="str">
        <f ca="1">IFERROR(__xludf.DUMMYFUNCTION("""COMPUTED_VALUE"""),"No")</f>
        <v>No</v>
      </c>
      <c r="AF775" s="5" t="str">
        <f ca="1">IFERROR(__xludf.DUMMYFUNCTION("""COMPUTED_VALUE"""),"No")</f>
        <v>No</v>
      </c>
      <c r="AG775" s="5" t="str">
        <f ca="1">IFERROR(__xludf.DUMMYFUNCTION("""COMPUTED_VALUE"""),"No")</f>
        <v>No</v>
      </c>
      <c r="AH775" s="5" t="str">
        <f ca="1">IFERROR(__xludf.DUMMYFUNCTION("""COMPUTED_VALUE"""),"No")</f>
        <v>No</v>
      </c>
      <c r="AI775" s="5"/>
      <c r="AJ775" s="5" t="str">
        <f ca="1">IFERROR(__xludf.DUMMYFUNCTION("""COMPUTED_VALUE"""),"No")</f>
        <v>No</v>
      </c>
    </row>
    <row r="776" spans="1:36" ht="13">
      <c r="A776" s="5" t="str">
        <f ca="1">IFERROR(__xludf.DUMMYFUNCTION("""COMPUTED_VALUE"""),"20191124CASEU")</f>
        <v>20191124CASEU</v>
      </c>
      <c r="B776" s="5">
        <f ca="1">IFERROR(__xludf.DUMMYFUNCTION("""COMPUTED_VALUE"""),11)</f>
        <v>11</v>
      </c>
      <c r="C776" s="5">
        <f ca="1">IFERROR(__xludf.DUMMYFUNCTION("""COMPUTED_VALUE"""),24)</f>
        <v>24</v>
      </c>
      <c r="D776" s="5">
        <f ca="1">IFERROR(__xludf.DUMMYFUNCTION("""COMPUTED_VALUE"""),2019)</f>
        <v>2019</v>
      </c>
      <c r="E776" s="8">
        <f ca="1">IFERROR(__xludf.DUMMYFUNCTION("""COMPUTED_VALUE"""),43793)</f>
        <v>43793</v>
      </c>
      <c r="F776" s="5" t="str">
        <f ca="1">IFERROR(__xludf.DUMMYFUNCTION("""COMPUTED_VALUE"""),"Searles Elementary School")</f>
        <v>Searles Elementary School</v>
      </c>
      <c r="G776" s="5">
        <f ca="1">IFERROR(__xludf.DUMMYFUNCTION("""COMPUTED_VALUE"""),2)</f>
        <v>2</v>
      </c>
      <c r="H776" s="5">
        <f ca="1">IFERROR(__xludf.DUMMYFUNCTION("""COMPUTED_VALUE"""),0)</f>
        <v>0</v>
      </c>
      <c r="I776" s="5">
        <f ca="1">IFERROR(__xludf.DUMMYFUNCTION("""COMPUTED_VALUE"""),2)</f>
        <v>2</v>
      </c>
      <c r="J776" s="5">
        <f ca="1">IFERROR(__xludf.DUMMYFUNCTION("""COMPUTED_VALUE"""),0)</f>
        <v>0</v>
      </c>
      <c r="K776" s="5" t="str">
        <f ca="1">IFERROR(__xludf.DUMMYFUNCTION("""COMPUTED_VALUE"""),"https://www.nbcbayarea.com/news/local/break-in-union-city-double-homicide-of-2-boys-to-be-announced/2234191/ https://www.sfchronicle.com/crime/article/Two-people-dead-in-shooting-at-Union-City-14857800.php https://sanfrancisco.cbslocal.com/2019/11/23/doub"&amp;"le-homicide-union-city-school-parking-lot/")</f>
        <v>https://www.nbcbayarea.com/news/local/break-in-union-city-double-homicide-of-2-boys-to-be-announced/2234191/ https://www.sfchronicle.com/crime/article/Two-people-dead-in-shooting-at-Union-City-14857800.php https://sanfrancisco.cbslocal.com/2019/11/23/double-homicide-union-city-school-parking-lot/</v>
      </c>
      <c r="L776" s="5"/>
      <c r="M776" s="5" t="str">
        <f ca="1">IFERROR(__xludf.DUMMYFUNCTION("""COMPUTED_VALUE"""),"National")</f>
        <v>National</v>
      </c>
      <c r="N776" s="5">
        <f ca="1">IFERROR(__xludf.DUMMYFUNCTION("""COMPUTED_VALUE"""),4)</f>
        <v>4</v>
      </c>
      <c r="O776" s="5" t="str">
        <f ca="1">IFERROR(__xludf.DUMMYFUNCTION("""COMPUTED_VALUE"""),"Fall")</f>
        <v>Fall</v>
      </c>
      <c r="P776" s="5" t="str">
        <f ca="1">IFERROR(__xludf.DUMMYFUNCTION("""COMPUTED_VALUE"""),"Union City")</f>
        <v>Union City</v>
      </c>
      <c r="Q776" s="5" t="str">
        <f ca="1">IFERROR(__xludf.DUMMYFUNCTION("""COMPUTED_VALUE"""),"CA")</f>
        <v>CA</v>
      </c>
      <c r="R776" s="5" t="str">
        <f ca="1">IFERROR(__xludf.DUMMYFUNCTION("""COMPUTED_VALUE"""),"Elementary")</f>
        <v>Elementary</v>
      </c>
      <c r="S776" s="5" t="str">
        <f ca="1">IFERROR(__xludf.DUMMYFUNCTION("""COMPUTED_VALUE"""),"Parking Lot")</f>
        <v>Parking Lot</v>
      </c>
      <c r="T776" s="5" t="str">
        <f ca="1">IFERROR(__xludf.DUMMYFUNCTION("""COMPUTED_VALUE"""),"Outside on School Property")</f>
        <v>Outside on School Property</v>
      </c>
      <c r="U776" s="5" t="str">
        <f ca="1">IFERROR(__xludf.DUMMYFUNCTION("""COMPUTED_VALUE"""),"No")</f>
        <v>No</v>
      </c>
      <c r="V776" s="5" t="str">
        <f ca="1">IFERROR(__xludf.DUMMYFUNCTION("""COMPUTED_VALUE"""),"Night")</f>
        <v>Night</v>
      </c>
      <c r="W776" s="10">
        <f ca="1">IFERROR(__xludf.DUMMYFUNCTION("""COMPUTED_VALUE"""),0.0597222222222222)</f>
        <v>5.9722222222222197E-2</v>
      </c>
      <c r="X776" s="5">
        <f ca="1">IFERROR(__xludf.DUMMYFUNCTION("""COMPUTED_VALUE"""),1)</f>
        <v>1</v>
      </c>
      <c r="Y776" s="5" t="str">
        <f ca="1">IFERROR(__xludf.DUMMYFUNCTION("""COMPUTED_VALUE"""),"2 boys sitting inside van were shot and killed in school parking lot")</f>
        <v>2 boys sitting inside van were shot and killed in school parking lot</v>
      </c>
      <c r="Z776" s="5" t="str">
        <f ca="1">IFERROR(__xludf.DUMMYFUNCTION("""COMPUTED_VALUE"""),"14YOM wounded and 11YOM killed in overnight shooting in parking lot of elementary school. Neither were students at the school. Motive unknown. 2 teens (17 and 18) arrested 2.5 months later. Both have connections to gangs. Drugs and multiple weapons recove"&amp;"red during search warrant. Third man, 20YOM, arrested in December 2020 on gang related and illegal firearms charges. Shooting is now described as part of a longstanding dispute between rival gangs.")</f>
        <v>14YOM wounded and 11YOM killed in overnight shooting in parking lot of elementary school. Neither were students at the school. Motive unknown. 2 teens (17 and 18) arrested 2.5 months later. Both have connections to gangs. Drugs and multiple weapons recovered during search warrant. Third man, 20YOM, arrested in December 2020 on gang related and illegal firearms charges. Shooting is now described as part of a longstanding dispute between rival gangs.</v>
      </c>
      <c r="AA776" s="5" t="str">
        <f ca="1">IFERROR(__xludf.DUMMYFUNCTION("""COMPUTED_VALUE"""),"Illegal Activity")</f>
        <v>Illegal Activity</v>
      </c>
      <c r="AB776" s="5" t="str">
        <f ca="1">IFERROR(__xludf.DUMMYFUNCTION("""COMPUTED_VALUE"""),"Random Shooting")</f>
        <v>Random Shooting</v>
      </c>
      <c r="AC776" s="5" t="str">
        <f ca="1">IFERROR(__xludf.DUMMYFUNCTION("""COMPUTED_VALUE"""),"Yes")</f>
        <v>Yes</v>
      </c>
      <c r="AD776" s="5" t="str">
        <f ca="1">IFERROR(__xludf.DUMMYFUNCTION("""COMPUTED_VALUE"""),"No")</f>
        <v>No</v>
      </c>
      <c r="AE776" s="5" t="str">
        <f ca="1">IFERROR(__xludf.DUMMYFUNCTION("""COMPUTED_VALUE"""),"No")</f>
        <v>No</v>
      </c>
      <c r="AF776" s="5" t="str">
        <f ca="1">IFERROR(__xludf.DUMMYFUNCTION("""COMPUTED_VALUE"""),"No")</f>
        <v>No</v>
      </c>
      <c r="AG776" s="5" t="str">
        <f ca="1">IFERROR(__xludf.DUMMYFUNCTION("""COMPUTED_VALUE"""),"No")</f>
        <v>No</v>
      </c>
      <c r="AH776" s="5" t="str">
        <f ca="1">IFERROR(__xludf.DUMMYFUNCTION("""COMPUTED_VALUE"""),"No")</f>
        <v>No</v>
      </c>
      <c r="AI776" s="5" t="str">
        <f ca="1">IFERROR(__xludf.DUMMYFUNCTION("""COMPUTED_VALUE"""),"Yes")</f>
        <v>Yes</v>
      </c>
      <c r="AJ776" s="5" t="str">
        <f ca="1">IFERROR(__xludf.DUMMYFUNCTION("""COMPUTED_VALUE"""),"No")</f>
        <v>No</v>
      </c>
    </row>
    <row r="777" spans="1:36" ht="13">
      <c r="A777" s="5" t="str">
        <f ca="1">IFERROR(__xludf.DUMMYFUNCTION("""COMPUTED_VALUE"""),"20191121ILRIO")</f>
        <v>20191121ILRIO</v>
      </c>
      <c r="B777" s="5">
        <f ca="1">IFERROR(__xludf.DUMMYFUNCTION("""COMPUTED_VALUE"""),11)</f>
        <v>11</v>
      </c>
      <c r="C777" s="5">
        <f ca="1">IFERROR(__xludf.DUMMYFUNCTION("""COMPUTED_VALUE"""),21)</f>
        <v>21</v>
      </c>
      <c r="D777" s="5">
        <f ca="1">IFERROR(__xludf.DUMMYFUNCTION("""COMPUTED_VALUE"""),2019)</f>
        <v>2019</v>
      </c>
      <c r="E777" s="8">
        <f ca="1">IFERROR(__xludf.DUMMYFUNCTION("""COMPUTED_VALUE"""),43790)</f>
        <v>43790</v>
      </c>
      <c r="F777" s="5" t="str">
        <f ca="1">IFERROR(__xludf.DUMMYFUNCTION("""COMPUTED_VALUE"""),"Rich Central High School")</f>
        <v>Rich Central High School</v>
      </c>
      <c r="G777" s="5">
        <f ca="1">IFERROR(__xludf.DUMMYFUNCTION("""COMPUTED_VALUE"""),0)</f>
        <v>0</v>
      </c>
      <c r="H777" s="5">
        <f ca="1">IFERROR(__xludf.DUMMYFUNCTION("""COMPUTED_VALUE"""),1)</f>
        <v>1</v>
      </c>
      <c r="I777" s="5">
        <f ca="1">IFERROR(__xludf.DUMMYFUNCTION("""COMPUTED_VALUE"""),1)</f>
        <v>1</v>
      </c>
      <c r="J777" s="5">
        <f ca="1">IFERROR(__xludf.DUMMYFUNCTION("""COMPUTED_VALUE"""),0)</f>
        <v>0</v>
      </c>
      <c r="K777" s="9" t="str">
        <f ca="1">IFERROR(__xludf.DUMMYFUNCTION("""COMPUTED_VALUE"""),"https://abc7chicago.com/rich-central-student-charged-after-pellet-hits-school-bus-injuring-another-student/5713973/")</f>
        <v>https://abc7chicago.com/rich-central-student-charged-after-pellet-hits-school-bus-injuring-another-student/5713973/</v>
      </c>
      <c r="L777" s="5"/>
      <c r="M777" s="5"/>
      <c r="N777" s="5">
        <f ca="1">IFERROR(__xludf.DUMMYFUNCTION("""COMPUTED_VALUE"""),4)</f>
        <v>4</v>
      </c>
      <c r="O777" s="5" t="str">
        <f ca="1">IFERROR(__xludf.DUMMYFUNCTION("""COMPUTED_VALUE"""),"Fall")</f>
        <v>Fall</v>
      </c>
      <c r="P777" s="5" t="str">
        <f ca="1">IFERROR(__xludf.DUMMYFUNCTION("""COMPUTED_VALUE"""),"Olympia Fields")</f>
        <v>Olympia Fields</v>
      </c>
      <c r="Q777" s="5" t="str">
        <f ca="1">IFERROR(__xludf.DUMMYFUNCTION("""COMPUTED_VALUE"""),"IL")</f>
        <v>IL</v>
      </c>
      <c r="R777" s="5" t="str">
        <f ca="1">IFERROR(__xludf.DUMMYFUNCTION("""COMPUTED_VALUE"""),"High")</f>
        <v>High</v>
      </c>
      <c r="S777" s="5" t="str">
        <f ca="1">IFERROR(__xludf.DUMMYFUNCTION("""COMPUTED_VALUE"""),"Parking Lot (Bus)")</f>
        <v>Parking Lot (Bus)</v>
      </c>
      <c r="T777" s="5" t="str">
        <f ca="1">IFERROR(__xludf.DUMMYFUNCTION("""COMPUTED_VALUE"""),"Outside on School Property")</f>
        <v>Outside on School Property</v>
      </c>
      <c r="U777" s="5" t="str">
        <f ca="1">IFERROR(__xludf.DUMMYFUNCTION("""COMPUTED_VALUE"""),"Yes")</f>
        <v>Yes</v>
      </c>
      <c r="V777" s="5" t="str">
        <f ca="1">IFERROR(__xludf.DUMMYFUNCTION("""COMPUTED_VALUE"""),"Dismissal")</f>
        <v>Dismissal</v>
      </c>
      <c r="W777" s="10">
        <f ca="1">IFERROR(__xludf.DUMMYFUNCTION("""COMPUTED_VALUE"""),0.625)</f>
        <v>0.625</v>
      </c>
      <c r="X777" s="5">
        <f ca="1">IFERROR(__xludf.DUMMYFUNCTION("""COMPUTED_VALUE"""),1)</f>
        <v>1</v>
      </c>
      <c r="Y777" s="5" t="str">
        <f ca="1">IFERROR(__xludf.DUMMYFUNCTION("""COMPUTED_VALUE"""),"Student fired pellet gun at bus window injuring student inside")</f>
        <v>Student fired pellet gun at bus window injuring student inside</v>
      </c>
      <c r="Z777" s="5" t="str">
        <f ca="1">IFERROR(__xludf.DUMMYFUNCTION("""COMPUTED_VALUE"""),"19YOM student fired a pellet gun at a bus window during dismissal. The pellet shattered the glass and cut the face of a 14YO student on the bus.")</f>
        <v>19YOM student fired a pellet gun at a bus window during dismissal. The pellet shattered the glass and cut the face of a 14YO student on the bus.</v>
      </c>
      <c r="AA777" s="5" t="str">
        <f ca="1">IFERROR(__xludf.DUMMYFUNCTION("""COMPUTED_VALUE"""),"Intentional Property Damage")</f>
        <v>Intentional Property Damage</v>
      </c>
      <c r="AB777" s="5" t="str">
        <f ca="1">IFERROR(__xludf.DUMMYFUNCTION("""COMPUTED_VALUE"""),"Random Shooting")</f>
        <v>Random Shooting</v>
      </c>
      <c r="AC777" s="5" t="str">
        <f ca="1">IFERROR(__xludf.DUMMYFUNCTION("""COMPUTED_VALUE"""),"No")</f>
        <v>No</v>
      </c>
      <c r="AD777" s="5" t="str">
        <f ca="1">IFERROR(__xludf.DUMMYFUNCTION("""COMPUTED_VALUE"""),"No")</f>
        <v>No</v>
      </c>
      <c r="AE777" s="5" t="str">
        <f ca="1">IFERROR(__xludf.DUMMYFUNCTION("""COMPUTED_VALUE"""),"No")</f>
        <v>No</v>
      </c>
      <c r="AF777" s="5" t="str">
        <f ca="1">IFERROR(__xludf.DUMMYFUNCTION("""COMPUTED_VALUE"""),"No")</f>
        <v>No</v>
      </c>
      <c r="AG777" s="5" t="str">
        <f ca="1">IFERROR(__xludf.DUMMYFUNCTION("""COMPUTED_VALUE"""),"No")</f>
        <v>No</v>
      </c>
      <c r="AH777" s="5" t="str">
        <f ca="1">IFERROR(__xludf.DUMMYFUNCTION("""COMPUTED_VALUE"""),"No")</f>
        <v>No</v>
      </c>
      <c r="AI777" s="5" t="str">
        <f ca="1">IFERROR(__xludf.DUMMYFUNCTION("""COMPUTED_VALUE"""),"No")</f>
        <v>No</v>
      </c>
      <c r="AJ777" s="5" t="str">
        <f ca="1">IFERROR(__xludf.DUMMYFUNCTION("""COMPUTED_VALUE"""),"No")</f>
        <v>No</v>
      </c>
    </row>
    <row r="778" spans="1:36" ht="13">
      <c r="A778" s="5" t="str">
        <f ca="1">IFERROR(__xludf.DUMMYFUNCTION("""COMPUTED_VALUE"""),"20191115NJPLP")</f>
        <v>20191115NJPLP</v>
      </c>
      <c r="B778" s="5">
        <f ca="1">IFERROR(__xludf.DUMMYFUNCTION("""COMPUTED_VALUE"""),11)</f>
        <v>11</v>
      </c>
      <c r="C778" s="5">
        <f ca="1">IFERROR(__xludf.DUMMYFUNCTION("""COMPUTED_VALUE"""),15)</f>
        <v>15</v>
      </c>
      <c r="D778" s="5">
        <f ca="1">IFERROR(__xludf.DUMMYFUNCTION("""COMPUTED_VALUE"""),2019)</f>
        <v>2019</v>
      </c>
      <c r="E778" s="8">
        <f ca="1">IFERROR(__xludf.DUMMYFUNCTION("""COMPUTED_VALUE"""),43784)</f>
        <v>43784</v>
      </c>
      <c r="F778" s="5" t="str">
        <f ca="1">IFERROR(__xludf.DUMMYFUNCTION("""COMPUTED_VALUE"""),"Pleasantville High School")</f>
        <v>Pleasantville High School</v>
      </c>
      <c r="G778" s="5">
        <f ca="1">IFERROR(__xludf.DUMMYFUNCTION("""COMPUTED_VALUE"""),1)</f>
        <v>1</v>
      </c>
      <c r="H778" s="5">
        <f ca="1">IFERROR(__xludf.DUMMYFUNCTION("""COMPUTED_VALUE"""),2)</f>
        <v>2</v>
      </c>
      <c r="I778" s="5">
        <f ca="1">IFERROR(__xludf.DUMMYFUNCTION("""COMPUTED_VALUE"""),3)</f>
        <v>3</v>
      </c>
      <c r="J778" s="5">
        <f ca="1">IFERROR(__xludf.DUMMYFUNCTION("""COMPUTED_VALUE"""),0)</f>
        <v>0</v>
      </c>
      <c r="K778" s="5" t="str">
        <f ca="1">IFERROR(__xludf.DUMMYFUNCTION("""COMPUTED_VALUE"""),"https://www.nbcphiladelphia.com/news/local/Gunfire-Breaks-Out-at-High-School-Football-Game-Between-Camden-Pleasantville-565018992.html https://metro.co.uk/2019/11/16/arrests-after-mass-shooting-leaves-10-year-old-boy-in-critical-condition-11168500/ https:"&amp;"//abcnews.go.com/US/injured-shooting-jersey-high-school-football-game/story?id=67062410 https://www.cnn.com/2019/11/16/us/new-jersey-football-game-shooting/index.html https://www.nytimes.com/2019/11/20/us/pleasantville-nj-high-school-shooting.html https:/"&amp;"/philadelphia.cbslocal.com/2020/07/14/officials-atlantic-city-man-pleads-guilty-in-connection-to-shooting-at-high-school-football-game-that-led-to-death-of-10-year-old-michah-tennant/")</f>
        <v>https://www.nbcphiladelphia.com/news/local/Gunfire-Breaks-Out-at-High-School-Football-Game-Between-Camden-Pleasantville-565018992.html https://metro.co.uk/2019/11/16/arrests-after-mass-shooting-leaves-10-year-old-boy-in-critical-condition-11168500/ https://abcnews.go.com/US/injured-shooting-jersey-high-school-football-game/story?id=67062410 https://www.cnn.com/2019/11/16/us/new-jersey-football-game-shooting/index.html https://www.nytimes.com/2019/11/20/us/pleasantville-nj-high-school-shooting.html https://philadelphia.cbslocal.com/2020/07/14/officials-atlantic-city-man-pleads-guilty-in-connection-to-shooting-at-high-school-football-game-that-led-to-death-of-10-year-old-michah-tennant/</v>
      </c>
      <c r="L778" s="5"/>
      <c r="M778" s="5"/>
      <c r="N778" s="5">
        <f ca="1">IFERROR(__xludf.DUMMYFUNCTION("""COMPUTED_VALUE"""),4)</f>
        <v>4</v>
      </c>
      <c r="O778" s="5" t="str">
        <f ca="1">IFERROR(__xludf.DUMMYFUNCTION("""COMPUTED_VALUE"""),"Fall")</f>
        <v>Fall</v>
      </c>
      <c r="P778" s="5" t="str">
        <f ca="1">IFERROR(__xludf.DUMMYFUNCTION("""COMPUTED_VALUE"""),"Pleasantville")</f>
        <v>Pleasantville</v>
      </c>
      <c r="Q778" s="5" t="str">
        <f ca="1">IFERROR(__xludf.DUMMYFUNCTION("""COMPUTED_VALUE"""),"NJ")</f>
        <v>NJ</v>
      </c>
      <c r="R778" s="5" t="str">
        <f ca="1">IFERROR(__xludf.DUMMYFUNCTION("""COMPUTED_VALUE"""),"High")</f>
        <v>High</v>
      </c>
      <c r="S778" s="5" t="str">
        <f ca="1">IFERROR(__xludf.DUMMYFUNCTION("""COMPUTED_VALUE"""),"Football Field/Track")</f>
        <v>Football Field/Track</v>
      </c>
      <c r="T778" s="5" t="str">
        <f ca="1">IFERROR(__xludf.DUMMYFUNCTION("""COMPUTED_VALUE"""),"Outside on School Property")</f>
        <v>Outside on School Property</v>
      </c>
      <c r="U778" s="5" t="str">
        <f ca="1">IFERROR(__xludf.DUMMYFUNCTION("""COMPUTED_VALUE"""),"No")</f>
        <v>No</v>
      </c>
      <c r="V778" s="5" t="str">
        <f ca="1">IFERROR(__xludf.DUMMYFUNCTION("""COMPUTED_VALUE"""),"Sport Event")</f>
        <v>Sport Event</v>
      </c>
      <c r="W778" s="10">
        <f ca="1">IFERROR(__xludf.DUMMYFUNCTION("""COMPUTED_VALUE"""),0.895833333333333)</f>
        <v>0.89583333333333304</v>
      </c>
      <c r="X778" s="5">
        <f ca="1">IFERROR(__xludf.DUMMYFUNCTION("""COMPUTED_VALUE"""),1)</f>
        <v>1</v>
      </c>
      <c r="Y778" s="5" t="str">
        <f ca="1">IFERROR(__xludf.DUMMYFUNCTION("""COMPUTED_VALUE"""),"Targeted shooting at football game, missed target and stuck 3 bystanders in the stands")</f>
        <v>Targeted shooting at football game, missed target and stuck 3 bystanders in the stands</v>
      </c>
      <c r="Z778" s="5" t="str">
        <f ca="1">IFERROR(__xludf.DUMMYFUNCTION("""COMPUTED_VALUE"""),"31YOM fired 6 shots at specific target during high school football game in the stands. All of the shots missed and 3 bystanders (10YOM, 15YOM, and 27YOM) were hit. Fans in the stands heard the shots and ran from the stadium. Game was suspended. 10YOM in c"&amp;"ritical condition. Shooter and 5 other males fled the scene in a car. Observed by police throwing handgun over bridge and later arrested. 10YOM victim died 5 days after the shooting.")</f>
        <v>31YOM fired 6 shots at specific target during high school football game in the stands. All of the shots missed and 3 bystanders (10YOM, 15YOM, and 27YOM) were hit. Fans in the stands heard the shots and ran from the stadium. Game was suspended. 10YOM in critical condition. Shooter and 5 other males fled the scene in a car. Observed by police throwing handgun over bridge and later arrested. 10YOM victim died 5 days after the shooting.</v>
      </c>
      <c r="AA778" s="5" t="str">
        <f ca="1">IFERROR(__xludf.DUMMYFUNCTION("""COMPUTED_VALUE"""),"Unknown")</f>
        <v>Unknown</v>
      </c>
      <c r="AB778" s="5" t="str">
        <f ca="1">IFERROR(__xludf.DUMMYFUNCTION("""COMPUTED_VALUE"""),"Both")</f>
        <v>Both</v>
      </c>
      <c r="AC778" s="5" t="str">
        <f ca="1">IFERROR(__xludf.DUMMYFUNCTION("""COMPUTED_VALUE"""),"Yes")</f>
        <v>Yes</v>
      </c>
      <c r="AD778" s="5" t="str">
        <f ca="1">IFERROR(__xludf.DUMMYFUNCTION("""COMPUTED_VALUE"""),"No")</f>
        <v>No</v>
      </c>
      <c r="AE778" s="5" t="str">
        <f ca="1">IFERROR(__xludf.DUMMYFUNCTION("""COMPUTED_VALUE"""),"No")</f>
        <v>No</v>
      </c>
      <c r="AF778" s="5" t="str">
        <f ca="1">IFERROR(__xludf.DUMMYFUNCTION("""COMPUTED_VALUE"""),"No")</f>
        <v>No</v>
      </c>
      <c r="AG778" s="5" t="str">
        <f ca="1">IFERROR(__xludf.DUMMYFUNCTION("""COMPUTED_VALUE"""),"No")</f>
        <v>No</v>
      </c>
      <c r="AH778" s="5" t="str">
        <f ca="1">IFERROR(__xludf.DUMMYFUNCTION("""COMPUTED_VALUE"""),"No")</f>
        <v>No</v>
      </c>
      <c r="AI778" s="5"/>
      <c r="AJ778" s="5" t="str">
        <f ca="1">IFERROR(__xludf.DUMMYFUNCTION("""COMPUTED_VALUE"""),"No")</f>
        <v>No</v>
      </c>
    </row>
    <row r="779" spans="1:36" ht="13">
      <c r="A779" s="5" t="str">
        <f ca="1">IFERROR(__xludf.DUMMYFUNCTION("""COMPUTED_VALUE"""),"20191114CASAS")</f>
        <v>20191114CASAS</v>
      </c>
      <c r="B779" s="5">
        <f ca="1">IFERROR(__xludf.DUMMYFUNCTION("""COMPUTED_VALUE"""),11)</f>
        <v>11</v>
      </c>
      <c r="C779" s="5">
        <f ca="1">IFERROR(__xludf.DUMMYFUNCTION("""COMPUTED_VALUE"""),14)</f>
        <v>14</v>
      </c>
      <c r="D779" s="5">
        <f ca="1">IFERROR(__xludf.DUMMYFUNCTION("""COMPUTED_VALUE"""),2019)</f>
        <v>2019</v>
      </c>
      <c r="E779" s="8">
        <f ca="1">IFERROR(__xludf.DUMMYFUNCTION("""COMPUTED_VALUE"""),43783)</f>
        <v>43783</v>
      </c>
      <c r="F779" s="5" t="str">
        <f ca="1">IFERROR(__xludf.DUMMYFUNCTION("""COMPUTED_VALUE"""),"Saugus High School")</f>
        <v>Saugus High School</v>
      </c>
      <c r="G779" s="5">
        <f ca="1">IFERROR(__xludf.DUMMYFUNCTION("""COMPUTED_VALUE"""),2)</f>
        <v>2</v>
      </c>
      <c r="H779" s="5">
        <f ca="1">IFERROR(__xludf.DUMMYFUNCTION("""COMPUTED_VALUE"""),3)</f>
        <v>3</v>
      </c>
      <c r="I779" s="5">
        <f ca="1">IFERROR(__xludf.DUMMYFUNCTION("""COMPUTED_VALUE"""),5)</f>
        <v>5</v>
      </c>
      <c r="J779" s="5">
        <f ca="1">IFERROR(__xludf.DUMMYFUNCTION("""COMPUTED_VALUE"""),1)</f>
        <v>1</v>
      </c>
      <c r="K779" s="5" t="str">
        <f ca="1">IFERROR(__xludf.DUMMYFUNCTION("""COMPUTED_VALUE"""),"https://www.nbclosangeles.com/investigations/two-families-killed-in-saugus-high-school-shooting-file-lawsuit/2467490/ https://www.cnn.com/us/live-news/santa-clarita-high-school-shooting-11-15-2019/index.html https://www.nbcnews.com/news/us-news/motive-beh"&amp;"ind-saugus-high-school-high-school-shooting-remains-mystery-n108346111/14/2019 press conference: https://www.youtube.com/watch?v=jYOEvBZ2hfs11/15/2019 press conference: https://www.youtube.com/watch?v=Gj6t8qW6Sl4")</f>
        <v>https://www.nbclosangeles.com/investigations/two-families-killed-in-saugus-high-school-shooting-file-lawsuit/2467490/ https://www.cnn.com/us/live-news/santa-clarita-high-school-shooting-11-15-2019/index.html https://www.nbcnews.com/news/us-news/motive-behind-saugus-high-school-high-school-shooting-remains-mystery-n108346111/14/2019 press conference: https://www.youtube.com/watch?v=jYOEvBZ2hfs11/15/2019 press conference: https://www.youtube.com/watch?v=Gj6t8qW6Sl4</v>
      </c>
      <c r="L779" s="5"/>
      <c r="M779" s="5" t="str">
        <f ca="1">IFERROR(__xludf.DUMMYFUNCTION("""COMPUTED_VALUE"""),"National")</f>
        <v>National</v>
      </c>
      <c r="N779" s="5">
        <f ca="1">IFERROR(__xludf.DUMMYFUNCTION("""COMPUTED_VALUE"""),4)</f>
        <v>4</v>
      </c>
      <c r="O779" s="5" t="str">
        <f ca="1">IFERROR(__xludf.DUMMYFUNCTION("""COMPUTED_VALUE"""),"Fall")</f>
        <v>Fall</v>
      </c>
      <c r="P779" s="5" t="str">
        <f ca="1">IFERROR(__xludf.DUMMYFUNCTION("""COMPUTED_VALUE"""),"Santa Clarita")</f>
        <v>Santa Clarita</v>
      </c>
      <c r="Q779" s="5" t="str">
        <f ca="1">IFERROR(__xludf.DUMMYFUNCTION("""COMPUTED_VALUE"""),"CA")</f>
        <v>CA</v>
      </c>
      <c r="R779" s="5" t="str">
        <f ca="1">IFERROR(__xludf.DUMMYFUNCTION("""COMPUTED_VALUE"""),"High")</f>
        <v>High</v>
      </c>
      <c r="S779" s="5" t="str">
        <f ca="1">IFERROR(__xludf.DUMMYFUNCTION("""COMPUTED_VALUE"""),"Courtyard")</f>
        <v>Courtyard</v>
      </c>
      <c r="T779" s="5" t="str">
        <f ca="1">IFERROR(__xludf.DUMMYFUNCTION("""COMPUTED_VALUE"""),"Outside on School Property")</f>
        <v>Outside on School Property</v>
      </c>
      <c r="U779" s="5" t="str">
        <f ca="1">IFERROR(__xludf.DUMMYFUNCTION("""COMPUTED_VALUE"""),"Yes")</f>
        <v>Yes</v>
      </c>
      <c r="V779" s="5" t="str">
        <f ca="1">IFERROR(__xludf.DUMMYFUNCTION("""COMPUTED_VALUE"""),"School Start")</f>
        <v>School Start</v>
      </c>
      <c r="W779" s="10">
        <f ca="1">IFERROR(__xludf.DUMMYFUNCTION("""COMPUTED_VALUE"""),0.318055555555555)</f>
        <v>0.31805555555555498</v>
      </c>
      <c r="X779" s="5">
        <f ca="1">IFERROR(__xludf.DUMMYFUNCTION("""COMPUTED_VALUE"""),1)</f>
        <v>1</v>
      </c>
      <c r="Y779" s="5" t="str">
        <f ca="1">IFERROR(__xludf.DUMMYFUNCTION("""COMPUTED_VALUE"""),"Student fired at multiple students in school courtyard then commit suicide")</f>
        <v>Student fired at multiple students in school courtyard then commit suicide</v>
      </c>
      <c r="Z779" s="5" t="str">
        <f ca="1">IFERROR(__xludf.DUMMYFUNCTION("""COMPUTED_VALUE"""),"Student fired at multiple students in school courtyard then commit suicide. 6 shots were fired in 16 seconds.")</f>
        <v>Student fired at multiple students in school courtyard then commit suicide. 6 shots were fired in 16 seconds.</v>
      </c>
      <c r="AA779" s="5" t="str">
        <f ca="1">IFERROR(__xludf.DUMMYFUNCTION("""COMPUTED_VALUE"""),"Indiscriminate Shooting")</f>
        <v>Indiscriminate Shooting</v>
      </c>
      <c r="AB779" s="5" t="str">
        <f ca="1">IFERROR(__xludf.DUMMYFUNCTION("""COMPUTED_VALUE"""),"Random Shooting")</f>
        <v>Random Shooting</v>
      </c>
      <c r="AC779" s="5" t="str">
        <f ca="1">IFERROR(__xludf.DUMMYFUNCTION("""COMPUTED_VALUE"""),"No")</f>
        <v>No</v>
      </c>
      <c r="AD779" s="5" t="str">
        <f ca="1">IFERROR(__xludf.DUMMYFUNCTION("""COMPUTED_VALUE"""),"No")</f>
        <v>No</v>
      </c>
      <c r="AE779" s="5" t="str">
        <f ca="1">IFERROR(__xludf.DUMMYFUNCTION("""COMPUTED_VALUE"""),"No")</f>
        <v>No</v>
      </c>
      <c r="AF779" s="5" t="str">
        <f ca="1">IFERROR(__xludf.DUMMYFUNCTION("""COMPUTED_VALUE"""),"No")</f>
        <v>No</v>
      </c>
      <c r="AG779" s="5" t="str">
        <f ca="1">IFERROR(__xludf.DUMMYFUNCTION("""COMPUTED_VALUE"""),"No")</f>
        <v>No</v>
      </c>
      <c r="AH779" s="5" t="str">
        <f ca="1">IFERROR(__xludf.DUMMYFUNCTION("""COMPUTED_VALUE"""),"No")</f>
        <v>No</v>
      </c>
      <c r="AI779" s="5" t="str">
        <f ca="1">IFERROR(__xludf.DUMMYFUNCTION("""COMPUTED_VALUE"""),"No")</f>
        <v>No</v>
      </c>
      <c r="AJ779" s="5" t="str">
        <f ca="1">IFERROR(__xludf.DUMMYFUNCTION("""COMPUTED_VALUE"""),"Yes")</f>
        <v>Yes</v>
      </c>
    </row>
    <row r="780" spans="1:36" ht="13">
      <c r="A780" s="5" t="str">
        <f ca="1">IFERROR(__xludf.DUMMYFUNCTION("""COMPUTED_VALUE"""),"20191113CAESL")</f>
        <v>20191113CAESL</v>
      </c>
      <c r="B780" s="5">
        <f ca="1">IFERROR(__xludf.DUMMYFUNCTION("""COMPUTED_VALUE"""),11)</f>
        <v>11</v>
      </c>
      <c r="C780" s="5">
        <f ca="1">IFERROR(__xludf.DUMMYFUNCTION("""COMPUTED_VALUE"""),13)</f>
        <v>13</v>
      </c>
      <c r="D780" s="5">
        <f ca="1">IFERROR(__xludf.DUMMYFUNCTION("""COMPUTED_VALUE"""),2019)</f>
        <v>2019</v>
      </c>
      <c r="E780" s="8">
        <f ca="1">IFERROR(__xludf.DUMMYFUNCTION("""COMPUTED_VALUE"""),43782)</f>
        <v>43782</v>
      </c>
      <c r="F780" s="5" t="str">
        <f ca="1">IFERROR(__xludf.DUMMYFUNCTION("""COMPUTED_VALUE"""),"Esteban Torres High School")</f>
        <v>Esteban Torres High School</v>
      </c>
      <c r="G780" s="5">
        <f ca="1">IFERROR(__xludf.DUMMYFUNCTION("""COMPUTED_VALUE"""),1)</f>
        <v>1</v>
      </c>
      <c r="H780" s="5">
        <f ca="1">IFERROR(__xludf.DUMMYFUNCTION("""COMPUTED_VALUE"""),0)</f>
        <v>0</v>
      </c>
      <c r="I780" s="5">
        <f ca="1">IFERROR(__xludf.DUMMYFUNCTION("""COMPUTED_VALUE"""),1)</f>
        <v>1</v>
      </c>
      <c r="J780" s="5">
        <f ca="1">IFERROR(__xludf.DUMMYFUNCTION("""COMPUTED_VALUE"""),0)</f>
        <v>0</v>
      </c>
      <c r="K780" s="5" t="str">
        <f ca="1">IFERROR(__xludf.DUMMYFUNCTION("""COMPUTED_VALUE"""),"https://abc7.com/1-dead-after-deputy-involved-shooting-at-east-los-angeles-high-school/5694740/ https://losangeles.cbslocal.com/2019/11/13/suspect-shot-by-deputies-near-east-la-school/")</f>
        <v>https://abc7.com/1-dead-after-deputy-involved-shooting-at-east-los-angeles-high-school/5694740/ https://losangeles.cbslocal.com/2019/11/13/suspect-shot-by-deputies-near-east-la-school/</v>
      </c>
      <c r="L780" s="5"/>
      <c r="M780" s="5"/>
      <c r="N780" s="5">
        <f ca="1">IFERROR(__xludf.DUMMYFUNCTION("""COMPUTED_VALUE"""),4)</f>
        <v>4</v>
      </c>
      <c r="O780" s="5" t="str">
        <f ca="1">IFERROR(__xludf.DUMMYFUNCTION("""COMPUTED_VALUE"""),"Fall")</f>
        <v>Fall</v>
      </c>
      <c r="P780" s="5" t="str">
        <f ca="1">IFERROR(__xludf.DUMMYFUNCTION("""COMPUTED_VALUE"""),"Los Angeles")</f>
        <v>Los Angeles</v>
      </c>
      <c r="Q780" s="5" t="str">
        <f ca="1">IFERROR(__xludf.DUMMYFUNCTION("""COMPUTED_VALUE"""),"CA")</f>
        <v>CA</v>
      </c>
      <c r="R780" s="5" t="str">
        <f ca="1">IFERROR(__xludf.DUMMYFUNCTION("""COMPUTED_VALUE"""),"High")</f>
        <v>High</v>
      </c>
      <c r="S780" s="5" t="str">
        <f ca="1">IFERROR(__xludf.DUMMYFUNCTION("""COMPUTED_VALUE"""),"Courtyard")</f>
        <v>Courtyard</v>
      </c>
      <c r="T780" s="5" t="str">
        <f ca="1">IFERROR(__xludf.DUMMYFUNCTION("""COMPUTED_VALUE"""),"Outside on School Property")</f>
        <v>Outside on School Property</v>
      </c>
      <c r="U780" s="5" t="str">
        <f ca="1">IFERROR(__xludf.DUMMYFUNCTION("""COMPUTED_VALUE"""),"Yes")</f>
        <v>Yes</v>
      </c>
      <c r="V780" s="5" t="str">
        <f ca="1">IFERROR(__xludf.DUMMYFUNCTION("""COMPUTED_VALUE"""),"Morning Classes")</f>
        <v>Morning Classes</v>
      </c>
      <c r="W780" s="10">
        <f ca="1">IFERROR(__xludf.DUMMYFUNCTION("""COMPUTED_VALUE"""),0.375)</f>
        <v>0.375</v>
      </c>
      <c r="X780" s="5">
        <f ca="1">IFERROR(__xludf.DUMMYFUNCTION("""COMPUTED_VALUE"""),1)</f>
        <v>1</v>
      </c>
      <c r="Y780" s="5" t="str">
        <f ca="1">IFERROR(__xludf.DUMMYFUNCTION("""COMPUTED_VALUE"""),"Officer shot and killed suspect with sword in outdoor lunch area of school campus")</f>
        <v>Officer shot and killed suspect with sword in outdoor lunch area of school campus</v>
      </c>
      <c r="Z780" s="5" t="str">
        <f ca="1">IFERROR(__xludf.DUMMYFUNCTION("""COMPUTED_VALUE"""),"Suspect with sword was involved with domestic dispute at residence 1 mile away from the school. Suspect ran from the residence and ended up on the school campus in an outdoor lunch area. Suspect threatened police officers with a 3 foot sword and was shot/"&amp;"killed by officers. School was locked down. Students inside heard gunshots and called parents to tell them about a shooting in the school. No students or school staff injured.")</f>
        <v>Suspect with sword was involved with domestic dispute at residence 1 mile away from the school. Suspect ran from the residence and ended up on the school campus in an outdoor lunch area. Suspect threatened police officers with a 3 foot sword and was shot/killed by officers. School was locked down. Students inside heard gunshots and called parents to tell them about a shooting in the school. No students or school staff injured.</v>
      </c>
      <c r="AA780" s="5" t="str">
        <f ca="1">IFERROR(__xludf.DUMMYFUNCTION("""COMPUTED_VALUE"""),"Self-defense")</f>
        <v>Self-defense</v>
      </c>
      <c r="AB780" s="5" t="str">
        <f ca="1">IFERROR(__xludf.DUMMYFUNCTION("""COMPUTED_VALUE"""),"NA")</f>
        <v>NA</v>
      </c>
      <c r="AC780" s="5" t="str">
        <f ca="1">IFERROR(__xludf.DUMMYFUNCTION("""COMPUTED_VALUE"""),"No")</f>
        <v>No</v>
      </c>
      <c r="AD780" s="5" t="str">
        <f ca="1">IFERROR(__xludf.DUMMYFUNCTION("""COMPUTED_VALUE"""),"No")</f>
        <v>No</v>
      </c>
      <c r="AE780" s="5" t="str">
        <f ca="1">IFERROR(__xludf.DUMMYFUNCTION("""COMPUTED_VALUE"""),"N/A")</f>
        <v>N/A</v>
      </c>
      <c r="AF780" s="5" t="str">
        <f ca="1">IFERROR(__xludf.DUMMYFUNCTION("""COMPUTED_VALUE"""),"Yes")</f>
        <v>Yes</v>
      </c>
      <c r="AG780" s="5" t="str">
        <f ca="1">IFERROR(__xludf.DUMMYFUNCTION("""COMPUTED_VALUE"""),"N/A")</f>
        <v>N/A</v>
      </c>
      <c r="AH780" s="5" t="str">
        <f ca="1">IFERROR(__xludf.DUMMYFUNCTION("""COMPUTED_VALUE"""),"N/A")</f>
        <v>N/A</v>
      </c>
      <c r="AI780" s="5" t="str">
        <f ca="1">IFERROR(__xludf.DUMMYFUNCTION("""COMPUTED_VALUE"""),"N/A")</f>
        <v>N/A</v>
      </c>
      <c r="AJ780" s="5" t="str">
        <f ca="1">IFERROR(__xludf.DUMMYFUNCTION("""COMPUTED_VALUE"""),"N/A")</f>
        <v>N/A</v>
      </c>
    </row>
    <row r="781" spans="1:36" ht="13">
      <c r="A781" s="5" t="str">
        <f ca="1">IFERROR(__xludf.DUMMYFUNCTION("""COMPUTED_VALUE"""),"20191111MDACB")</f>
        <v>20191111MDACB</v>
      </c>
      <c r="B781" s="5">
        <f ca="1">IFERROR(__xludf.DUMMYFUNCTION("""COMPUTED_VALUE"""),11)</f>
        <v>11</v>
      </c>
      <c r="C781" s="5">
        <f ca="1">IFERROR(__xludf.DUMMYFUNCTION("""COMPUTED_VALUE"""),11)</f>
        <v>11</v>
      </c>
      <c r="D781" s="5">
        <f ca="1">IFERROR(__xludf.DUMMYFUNCTION("""COMPUTED_VALUE"""),2019)</f>
        <v>2019</v>
      </c>
      <c r="E781" s="8">
        <f ca="1">IFERROR(__xludf.DUMMYFUNCTION("""COMPUTED_VALUE"""),43780)</f>
        <v>43780</v>
      </c>
      <c r="F781" s="5" t="str">
        <f ca="1">IFERROR(__xludf.DUMMYFUNCTION("""COMPUTED_VALUE"""),"Achievement Academy")</f>
        <v>Achievement Academy</v>
      </c>
      <c r="G781" s="5">
        <f ca="1">IFERROR(__xludf.DUMMYFUNCTION("""COMPUTED_VALUE"""),0)</f>
        <v>0</v>
      </c>
      <c r="H781" s="5">
        <f ca="1">IFERROR(__xludf.DUMMYFUNCTION("""COMPUTED_VALUE"""),1)</f>
        <v>1</v>
      </c>
      <c r="I781" s="5">
        <f ca="1">IFERROR(__xludf.DUMMYFUNCTION("""COMPUTED_VALUE"""),1)</f>
        <v>1</v>
      </c>
      <c r="J781" s="5">
        <f ca="1">IFERROR(__xludf.DUMMYFUNCTION("""COMPUTED_VALUE"""),0)</f>
        <v>0</v>
      </c>
      <c r="K781" s="5" t="str">
        <f ca="1">IFERROR(__xludf.DUMMYFUNCTION("""COMPUTED_VALUE"""),"https://baltimore.cbslocal.com/2019/11/11/student-shot-achievement-academy-school-northeast-baltimore-latest/ https://www.wbaltv.com/article/shooting-outside-achievement-academy-baltimore/29761798")</f>
        <v>https://baltimore.cbslocal.com/2019/11/11/student-shot-achievement-academy-school-northeast-baltimore-latest/ https://www.wbaltv.com/article/shooting-outside-achievement-academy-baltimore/29761798</v>
      </c>
      <c r="L781" s="5"/>
      <c r="M781" s="5"/>
      <c r="N781" s="5">
        <f ca="1">IFERROR(__xludf.DUMMYFUNCTION("""COMPUTED_VALUE"""),4)</f>
        <v>4</v>
      </c>
      <c r="O781" s="5" t="str">
        <f ca="1">IFERROR(__xludf.DUMMYFUNCTION("""COMPUTED_VALUE"""),"Fall")</f>
        <v>Fall</v>
      </c>
      <c r="P781" s="5" t="str">
        <f ca="1">IFERROR(__xludf.DUMMYFUNCTION("""COMPUTED_VALUE"""),"Baltimore")</f>
        <v>Baltimore</v>
      </c>
      <c r="Q781" s="5" t="str">
        <f ca="1">IFERROR(__xludf.DUMMYFUNCTION("""COMPUTED_VALUE"""),"MD")</f>
        <v>MD</v>
      </c>
      <c r="R781" s="5" t="str">
        <f ca="1">IFERROR(__xludf.DUMMYFUNCTION("""COMPUTED_VALUE"""),"High")</f>
        <v>High</v>
      </c>
      <c r="S781" s="5" t="str">
        <f ca="1">IFERROR(__xludf.DUMMYFUNCTION("""COMPUTED_VALUE"""),"Parking Lot")</f>
        <v>Parking Lot</v>
      </c>
      <c r="T781" s="5" t="str">
        <f ca="1">IFERROR(__xludf.DUMMYFUNCTION("""COMPUTED_VALUE"""),"Outside on School Property")</f>
        <v>Outside on School Property</v>
      </c>
      <c r="U781" s="5" t="str">
        <f ca="1">IFERROR(__xludf.DUMMYFUNCTION("""COMPUTED_VALUE"""),"Yes")</f>
        <v>Yes</v>
      </c>
      <c r="V781" s="5" t="str">
        <f ca="1">IFERROR(__xludf.DUMMYFUNCTION("""COMPUTED_VALUE"""),"Afternoon Classes")</f>
        <v>Afternoon Classes</v>
      </c>
      <c r="W781" s="10">
        <f ca="1">IFERROR(__xludf.DUMMYFUNCTION("""COMPUTED_VALUE"""),0.583333333333333)</f>
        <v>0.58333333333333304</v>
      </c>
      <c r="X781" s="5">
        <f ca="1">IFERROR(__xludf.DUMMYFUNCTION("""COMPUTED_VALUE"""),1)</f>
        <v>1</v>
      </c>
      <c r="Y781" s="5" t="str">
        <f ca="1">IFERROR(__xludf.DUMMYFUNCTION("""COMPUTED_VALUE"""),"19YOM student shot outside of school then ran into school for assistance")</f>
        <v>19YOM student shot outside of school then ran into school for assistance</v>
      </c>
      <c r="Z781" s="5" t="str">
        <f ca="1">IFERROR(__xludf.DUMMYFUNCTION("""COMPUTED_VALUE"""),"19YOM student shot while getting out of vehicle outside of the school by a masked gunman. Police said the shooting was targeted and not a robbery. Police said there was a prior altercation. Three schools, Achievement Academy, Reginald F. Lewis High School"&amp;" and Success Academy share the campus.")</f>
        <v>19YOM student shot while getting out of vehicle outside of the school by a masked gunman. Police said the shooting was targeted and not a robbery. Police said there was a prior altercation. Three schools, Achievement Academy, Reginald F. Lewis High School and Success Academy share the campus.</v>
      </c>
      <c r="AA781" s="5" t="str">
        <f ca="1">IFERROR(__xludf.DUMMYFUNCTION("""COMPUTED_VALUE"""),"Escalation of Dispute")</f>
        <v>Escalation of Dispute</v>
      </c>
      <c r="AB781" s="5" t="str">
        <f ca="1">IFERROR(__xludf.DUMMYFUNCTION("""COMPUTED_VALUE"""),"Victims Targeted")</f>
        <v>Victims Targeted</v>
      </c>
      <c r="AC781" s="5"/>
      <c r="AD781" s="5" t="str">
        <f ca="1">IFERROR(__xludf.DUMMYFUNCTION("""COMPUTED_VALUE"""),"No")</f>
        <v>No</v>
      </c>
      <c r="AE781" s="5" t="str">
        <f ca="1">IFERROR(__xludf.DUMMYFUNCTION("""COMPUTED_VALUE"""),"No")</f>
        <v>No</v>
      </c>
      <c r="AF781" s="5" t="str">
        <f ca="1">IFERROR(__xludf.DUMMYFUNCTION("""COMPUTED_VALUE"""),"No")</f>
        <v>No</v>
      </c>
      <c r="AG781" s="5" t="str">
        <f ca="1">IFERROR(__xludf.DUMMYFUNCTION("""COMPUTED_VALUE"""),"No")</f>
        <v>No</v>
      </c>
      <c r="AH781" s="5" t="str">
        <f ca="1">IFERROR(__xludf.DUMMYFUNCTION("""COMPUTED_VALUE"""),"No")</f>
        <v>No</v>
      </c>
      <c r="AI781" s="5" t="str">
        <f ca="1">IFERROR(__xludf.DUMMYFUNCTION("""COMPUTED_VALUE"""),"No")</f>
        <v>No</v>
      </c>
      <c r="AJ781" s="5" t="str">
        <f ca="1">IFERROR(__xludf.DUMMYFUNCTION("""COMPUTED_VALUE"""),"No")</f>
        <v>No</v>
      </c>
    </row>
    <row r="782" spans="1:36" ht="13">
      <c r="A782" s="5" t="str">
        <f ca="1">IFERROR(__xludf.DUMMYFUNCTION("""COMPUTED_VALUE"""),"20191108TXROD")</f>
        <v>20191108TXROD</v>
      </c>
      <c r="B782" s="5">
        <f ca="1">IFERROR(__xludf.DUMMYFUNCTION("""COMPUTED_VALUE"""),11)</f>
        <v>11</v>
      </c>
      <c r="C782" s="5">
        <f ca="1">IFERROR(__xludf.DUMMYFUNCTION("""COMPUTED_VALUE"""),8)</f>
        <v>8</v>
      </c>
      <c r="D782" s="5">
        <f ca="1">IFERROR(__xludf.DUMMYFUNCTION("""COMPUTED_VALUE"""),2019)</f>
        <v>2019</v>
      </c>
      <c r="E782" s="8">
        <f ca="1">IFERROR(__xludf.DUMMYFUNCTION("""COMPUTED_VALUE"""),43777)</f>
        <v>43777</v>
      </c>
      <c r="F782" s="5" t="str">
        <f ca="1">IFERROR(__xludf.DUMMYFUNCTION("""COMPUTED_VALUE"""),"Robert L. Thornton Elementary School")</f>
        <v>Robert L. Thornton Elementary School</v>
      </c>
      <c r="G782" s="5">
        <f ca="1">IFERROR(__xludf.DUMMYFUNCTION("""COMPUTED_VALUE"""),1)</f>
        <v>1</v>
      </c>
      <c r="H782" s="5">
        <f ca="1">IFERROR(__xludf.DUMMYFUNCTION("""COMPUTED_VALUE"""),0)</f>
        <v>0</v>
      </c>
      <c r="I782" s="5">
        <f ca="1">IFERROR(__xludf.DUMMYFUNCTION("""COMPUTED_VALUE"""),1)</f>
        <v>1</v>
      </c>
      <c r="J782" s="5">
        <f ca="1">IFERROR(__xludf.DUMMYFUNCTION("""COMPUTED_VALUE"""),0)</f>
        <v>0</v>
      </c>
      <c r="K782" s="5" t="str">
        <f ca="1">IFERROR(__xludf.DUMMYFUNCTION("""COMPUTED_VALUE"""),"https://www.nbcdfw.com/news/local/Family-Identifies-Dallas-Teen-Found-Shot-to-Death-in-Singing-Hills-564709792.html https://www.wfaa.com/article/news/crime/teens-body-found-near-robert-l-thornton-elementary-school-in-dallas/287-22b265dd-da11-4165-98fe-3f4"&amp;"95dae68e0")</f>
        <v>https://www.nbcdfw.com/news/local/Family-Identifies-Dallas-Teen-Found-Shot-to-Death-in-Singing-Hills-564709792.html https://www.wfaa.com/article/news/crime/teens-body-found-near-robert-l-thornton-elementary-school-in-dallas/287-22b265dd-da11-4165-98fe-3f495dae68e0</v>
      </c>
      <c r="L782" s="5"/>
      <c r="M782" s="5"/>
      <c r="N782" s="5">
        <f ca="1">IFERROR(__xludf.DUMMYFUNCTION("""COMPUTED_VALUE"""),4)</f>
        <v>4</v>
      </c>
      <c r="O782" s="5" t="str">
        <f ca="1">IFERROR(__xludf.DUMMYFUNCTION("""COMPUTED_VALUE"""),"Fall")</f>
        <v>Fall</v>
      </c>
      <c r="P782" s="5" t="str">
        <f ca="1">IFERROR(__xludf.DUMMYFUNCTION("""COMPUTED_VALUE"""),"Dallas")</f>
        <v>Dallas</v>
      </c>
      <c r="Q782" s="5" t="str">
        <f ca="1">IFERROR(__xludf.DUMMYFUNCTION("""COMPUTED_VALUE"""),"TX")</f>
        <v>TX</v>
      </c>
      <c r="R782" s="5" t="str">
        <f ca="1">IFERROR(__xludf.DUMMYFUNCTION("""COMPUTED_VALUE"""),"Elementary")</f>
        <v>Elementary</v>
      </c>
      <c r="S782" s="5" t="str">
        <f ca="1">IFERROR(__xludf.DUMMYFUNCTION("""COMPUTED_VALUE"""),"Basketball Court")</f>
        <v>Basketball Court</v>
      </c>
      <c r="T782" s="5" t="str">
        <f ca="1">IFERROR(__xludf.DUMMYFUNCTION("""COMPUTED_VALUE"""),"Outside on School Property")</f>
        <v>Outside on School Property</v>
      </c>
      <c r="U782" s="5" t="str">
        <f ca="1">IFERROR(__xludf.DUMMYFUNCTION("""COMPUTED_VALUE"""),"No")</f>
        <v>No</v>
      </c>
      <c r="V782" s="5" t="str">
        <f ca="1">IFERROR(__xludf.DUMMYFUNCTION("""COMPUTED_VALUE"""),"Evening")</f>
        <v>Evening</v>
      </c>
      <c r="W782" s="10">
        <f ca="1">IFERROR(__xludf.DUMMYFUNCTION("""COMPUTED_VALUE"""),0.833333333333333)</f>
        <v>0.83333333333333304</v>
      </c>
      <c r="X782" s="5">
        <f ca="1">IFERROR(__xludf.DUMMYFUNCTION("""COMPUTED_VALUE"""),1)</f>
        <v>1</v>
      </c>
      <c r="Y782" s="5" t="str">
        <f ca="1">IFERROR(__xludf.DUMMYFUNCTION("""COMPUTED_VALUE"""),"15YOM shot on school basketball court. Specific target and received prior threats.")</f>
        <v>15YOM shot on school basketball court. Specific target and received prior threats.</v>
      </c>
      <c r="Z782" s="5" t="str">
        <f ca="1">IFERROR(__xludf.DUMMYFUNCTION("""COMPUTED_VALUE"""),"15YOM shot and killed (30 shots fired) on elementary school basketball court on Friday night. Mother stated that victim had been threatened and was targeted by group of suspects. No students involved.")</f>
        <v>15YOM shot and killed (30 shots fired) on elementary school basketball court on Friday night. Mother stated that victim had been threatened and was targeted by group of suspects. No students involved.</v>
      </c>
      <c r="AA782" s="5" t="str">
        <f ca="1">IFERROR(__xludf.DUMMYFUNCTION("""COMPUTED_VALUE"""),"Escalation of Dispute")</f>
        <v>Escalation of Dispute</v>
      </c>
      <c r="AB782" s="5" t="str">
        <f ca="1">IFERROR(__xludf.DUMMYFUNCTION("""COMPUTED_VALUE"""),"Victims Targeted")</f>
        <v>Victims Targeted</v>
      </c>
      <c r="AC782" s="5" t="str">
        <f ca="1">IFERROR(__xludf.DUMMYFUNCTION("""COMPUTED_VALUE"""),"Yes")</f>
        <v>Yes</v>
      </c>
      <c r="AD782" s="5" t="str">
        <f ca="1">IFERROR(__xludf.DUMMYFUNCTION("""COMPUTED_VALUE"""),"No")</f>
        <v>No</v>
      </c>
      <c r="AE782" s="5" t="str">
        <f ca="1">IFERROR(__xludf.DUMMYFUNCTION("""COMPUTED_VALUE"""),"No")</f>
        <v>No</v>
      </c>
      <c r="AF782" s="5" t="str">
        <f ca="1">IFERROR(__xludf.DUMMYFUNCTION("""COMPUTED_VALUE"""),"No")</f>
        <v>No</v>
      </c>
      <c r="AG782" s="5" t="str">
        <f ca="1">IFERROR(__xludf.DUMMYFUNCTION("""COMPUTED_VALUE"""),"No")</f>
        <v>No</v>
      </c>
      <c r="AH782" s="5" t="str">
        <f ca="1">IFERROR(__xludf.DUMMYFUNCTION("""COMPUTED_VALUE"""),"No")</f>
        <v>No</v>
      </c>
      <c r="AI782" s="5" t="str">
        <f ca="1">IFERROR(__xludf.DUMMYFUNCTION("""COMPUTED_VALUE"""),"No")</f>
        <v>No</v>
      </c>
      <c r="AJ782" s="5" t="str">
        <f ca="1">IFERROR(__xludf.DUMMYFUNCTION("""COMPUTED_VALUE"""),"No")</f>
        <v>No</v>
      </c>
    </row>
    <row r="783" spans="1:36" ht="13">
      <c r="A783" s="5" t="str">
        <f ca="1">IFERROR(__xludf.DUMMYFUNCTION("""COMPUTED_VALUE"""),"20191108CAEDS")</f>
        <v>20191108CAEDS</v>
      </c>
      <c r="B783" s="5">
        <f ca="1">IFERROR(__xludf.DUMMYFUNCTION("""COMPUTED_VALUE"""),11)</f>
        <v>11</v>
      </c>
      <c r="C783" s="5">
        <f ca="1">IFERROR(__xludf.DUMMYFUNCTION("""COMPUTED_VALUE"""),8)</f>
        <v>8</v>
      </c>
      <c r="D783" s="5">
        <f ca="1">IFERROR(__xludf.DUMMYFUNCTION("""COMPUTED_VALUE"""),2019)</f>
        <v>2019</v>
      </c>
      <c r="E783" s="8">
        <f ca="1">IFERROR(__xludf.DUMMYFUNCTION("""COMPUTED_VALUE"""),43777)</f>
        <v>43777</v>
      </c>
      <c r="F783" s="5" t="str">
        <f ca="1">IFERROR(__xludf.DUMMYFUNCTION("""COMPUTED_VALUE"""),"Edison High School")</f>
        <v>Edison High School</v>
      </c>
      <c r="G783" s="5">
        <f ca="1">IFERROR(__xludf.DUMMYFUNCTION("""COMPUTED_VALUE"""),0)</f>
        <v>0</v>
      </c>
      <c r="H783" s="5">
        <f ca="1">IFERROR(__xludf.DUMMYFUNCTION("""COMPUTED_VALUE"""),0)</f>
        <v>0</v>
      </c>
      <c r="I783" s="5">
        <f ca="1">IFERROR(__xludf.DUMMYFUNCTION("""COMPUTED_VALUE"""),0)</f>
        <v>0</v>
      </c>
      <c r="J783" s="5">
        <f ca="1">IFERROR(__xludf.DUMMYFUNCTION("""COMPUTED_VALUE"""),0)</f>
        <v>0</v>
      </c>
      <c r="K783" s="9" t="str">
        <f ca="1">IFERROR(__xludf.DUMMYFUNCTION("""COMPUTED_VALUE"""),"https://www.kcra.com/article/shooting-scare-prompts-panic-at-stockton-football-game/29745486")</f>
        <v>https://www.kcra.com/article/shooting-scare-prompts-panic-at-stockton-football-game/29745486</v>
      </c>
      <c r="L783" s="5"/>
      <c r="M783" s="5"/>
      <c r="N783" s="5">
        <f ca="1">IFERROR(__xludf.DUMMYFUNCTION("""COMPUTED_VALUE"""),3)</f>
        <v>3</v>
      </c>
      <c r="O783" s="5" t="str">
        <f ca="1">IFERROR(__xludf.DUMMYFUNCTION("""COMPUTED_VALUE"""),"Fall")</f>
        <v>Fall</v>
      </c>
      <c r="P783" s="5" t="str">
        <f ca="1">IFERROR(__xludf.DUMMYFUNCTION("""COMPUTED_VALUE"""),"Stockton")</f>
        <v>Stockton</v>
      </c>
      <c r="Q783" s="5" t="str">
        <f ca="1">IFERROR(__xludf.DUMMYFUNCTION("""COMPUTED_VALUE"""),"CA")</f>
        <v>CA</v>
      </c>
      <c r="R783" s="5" t="str">
        <f ca="1">IFERROR(__xludf.DUMMYFUNCTION("""COMPUTED_VALUE"""),"High")</f>
        <v>High</v>
      </c>
      <c r="S783" s="5" t="str">
        <f ca="1">IFERROR(__xludf.DUMMYFUNCTION("""COMPUTED_VALUE"""),"Football Field/Track")</f>
        <v>Football Field/Track</v>
      </c>
      <c r="T783" s="5" t="str">
        <f ca="1">IFERROR(__xludf.DUMMYFUNCTION("""COMPUTED_VALUE"""),"Outside on School Property")</f>
        <v>Outside on School Property</v>
      </c>
      <c r="U783" s="5" t="str">
        <f ca="1">IFERROR(__xludf.DUMMYFUNCTION("""COMPUTED_VALUE"""),"No")</f>
        <v>No</v>
      </c>
      <c r="V783" s="5" t="str">
        <f ca="1">IFERROR(__xludf.DUMMYFUNCTION("""COMPUTED_VALUE"""),"Sport Event")</f>
        <v>Sport Event</v>
      </c>
      <c r="W783" s="10">
        <f ca="1">IFERROR(__xludf.DUMMYFUNCTION("""COMPUTED_VALUE"""),0.90625)</f>
        <v>0.90625</v>
      </c>
      <c r="X783" s="5">
        <f ca="1">IFERROR(__xludf.DUMMYFUNCTION("""COMPUTED_VALUE"""),1)</f>
        <v>1</v>
      </c>
      <c r="Y783" s="5" t="str">
        <f ca="1">IFERROR(__xludf.DUMMYFUNCTION("""COMPUTED_VALUE"""),"Shots fired in parking lot during football game, stadium locked down")</f>
        <v>Shots fired in parking lot during football game, stadium locked down</v>
      </c>
      <c r="Z783" s="5" t="str">
        <f ca="1">IFERROR(__xludf.DUMMYFUNCTION("""COMPUTED_VALUE"""),"More than 10 shots were fired in the school parking lot during a football game. Attendees in the stands heard the shots and many fled the stadium. Game was suspended and the stadium was locked down. Game resumed after police determined there was no threat"&amp;". Shell casing and bullet holes in cars were found in the school parking lot. No injuries")</f>
        <v>More than 10 shots were fired in the school parking lot during a football game. Attendees in the stands heard the shots and many fled the stadium. Game was suspended and the stadium was locked down. Game resumed after police determined there was no threat. Shell casing and bullet holes in cars were found in the school parking lot. No injuries</v>
      </c>
      <c r="AA783" s="5" t="str">
        <f ca="1">IFERROR(__xludf.DUMMYFUNCTION("""COMPUTED_VALUE"""),"Escalation of Dispute")</f>
        <v>Escalation of Dispute</v>
      </c>
      <c r="AB783" s="5"/>
      <c r="AC783" s="5"/>
      <c r="AD783" s="5" t="str">
        <f ca="1">IFERROR(__xludf.DUMMYFUNCTION("""COMPUTED_VALUE"""),"No")</f>
        <v>No</v>
      </c>
      <c r="AE783" s="5" t="str">
        <f ca="1">IFERROR(__xludf.DUMMYFUNCTION("""COMPUTED_VALUE"""),"No")</f>
        <v>No</v>
      </c>
      <c r="AF783" s="5" t="str">
        <f ca="1">IFERROR(__xludf.DUMMYFUNCTION("""COMPUTED_VALUE"""),"No")</f>
        <v>No</v>
      </c>
      <c r="AG783" s="5" t="str">
        <f ca="1">IFERROR(__xludf.DUMMYFUNCTION("""COMPUTED_VALUE"""),"No")</f>
        <v>No</v>
      </c>
      <c r="AH783" s="5" t="str">
        <f ca="1">IFERROR(__xludf.DUMMYFUNCTION("""COMPUTED_VALUE"""),"No")</f>
        <v>No</v>
      </c>
      <c r="AI783" s="5"/>
      <c r="AJ783" s="5" t="str">
        <f ca="1">IFERROR(__xludf.DUMMYFUNCTION("""COMPUTED_VALUE"""),"No")</f>
        <v>No</v>
      </c>
    </row>
    <row r="784" spans="1:36" ht="13">
      <c r="A784" s="5" t="str">
        <f ca="1">IFERROR(__xludf.DUMMYFUNCTION("""COMPUTED_VALUE"""),"20191029NYNEN")</f>
        <v>20191029NYNEN</v>
      </c>
      <c r="B784" s="5">
        <f ca="1">IFERROR(__xludf.DUMMYFUNCTION("""COMPUTED_VALUE"""),10)</f>
        <v>10</v>
      </c>
      <c r="C784" s="5">
        <f ca="1">IFERROR(__xludf.DUMMYFUNCTION("""COMPUTED_VALUE"""),29)</f>
        <v>29</v>
      </c>
      <c r="D784" s="5">
        <f ca="1">IFERROR(__xludf.DUMMYFUNCTION("""COMPUTED_VALUE"""),2019)</f>
        <v>2019</v>
      </c>
      <c r="E784" s="8">
        <f ca="1">IFERROR(__xludf.DUMMYFUNCTION("""COMPUTED_VALUE"""),43767)</f>
        <v>43767</v>
      </c>
      <c r="F784" s="5" t="str">
        <f ca="1">IFERROR(__xludf.DUMMYFUNCTION("""COMPUTED_VALUE"""),"New Dawn Charter High School")</f>
        <v>New Dawn Charter High School</v>
      </c>
      <c r="G784" s="5">
        <f ca="1">IFERROR(__xludf.DUMMYFUNCTION("""COMPUTED_VALUE"""),0)</f>
        <v>0</v>
      </c>
      <c r="H784" s="5">
        <f ca="1">IFERROR(__xludf.DUMMYFUNCTION("""COMPUTED_VALUE"""),1)</f>
        <v>1</v>
      </c>
      <c r="I784" s="5">
        <f ca="1">IFERROR(__xludf.DUMMYFUNCTION("""COMPUTED_VALUE"""),1)</f>
        <v>1</v>
      </c>
      <c r="J784" s="5">
        <f ca="1">IFERROR(__xludf.DUMMYFUNCTION("""COMPUTED_VALUE"""),0)</f>
        <v>0</v>
      </c>
      <c r="K784" s="5" t="str">
        <f ca="1">IFERROR(__xludf.DUMMYFUNCTION("""COMPUTED_VALUE"""),"https://www.ny1.com/nyc/queens/news/2019/10/29/three-wanted-in-shooting-of-girl-outside-queens-school- https://nypost.com/2019/10/28/16-year-old-girl-struck-in-queens-school-shooting/ https://abc7ny.com/teen-suspect-turns-self-in-for-nyc-girls-shooting/56"&amp;"55580/")</f>
        <v>https://www.ny1.com/nyc/queens/news/2019/10/29/three-wanted-in-shooting-of-girl-outside-queens-school- https://nypost.com/2019/10/28/16-year-old-girl-struck-in-queens-school-shooting/ https://abc7ny.com/teen-suspect-turns-self-in-for-nyc-girls-shooting/5655580/</v>
      </c>
      <c r="L784" s="5"/>
      <c r="M784" s="5"/>
      <c r="N784" s="5">
        <f ca="1">IFERROR(__xludf.DUMMYFUNCTION("""COMPUTED_VALUE"""),4)</f>
        <v>4</v>
      </c>
      <c r="O784" s="5" t="str">
        <f ca="1">IFERROR(__xludf.DUMMYFUNCTION("""COMPUTED_VALUE"""),"Fall")</f>
        <v>Fall</v>
      </c>
      <c r="P784" s="5" t="str">
        <f ca="1">IFERROR(__xludf.DUMMYFUNCTION("""COMPUTED_VALUE"""),"New York")</f>
        <v>New York</v>
      </c>
      <c r="Q784" s="5" t="str">
        <f ca="1">IFERROR(__xludf.DUMMYFUNCTION("""COMPUTED_VALUE"""),"NY")</f>
        <v>NY</v>
      </c>
      <c r="R784" s="5" t="str">
        <f ca="1">IFERROR(__xludf.DUMMYFUNCTION("""COMPUTED_VALUE"""),"High")</f>
        <v>High</v>
      </c>
      <c r="S784" s="5" t="str">
        <f ca="1">IFERROR(__xludf.DUMMYFUNCTION("""COMPUTED_VALUE"""),"Front of School")</f>
        <v>Front of School</v>
      </c>
      <c r="T784" s="5" t="str">
        <f ca="1">IFERROR(__xludf.DUMMYFUNCTION("""COMPUTED_VALUE"""),"Outside on School Property")</f>
        <v>Outside on School Property</v>
      </c>
      <c r="U784" s="5" t="str">
        <f ca="1">IFERROR(__xludf.DUMMYFUNCTION("""COMPUTED_VALUE"""),"Yes")</f>
        <v>Yes</v>
      </c>
      <c r="V784" s="5" t="str">
        <f ca="1">IFERROR(__xludf.DUMMYFUNCTION("""COMPUTED_VALUE"""),"Dismissal")</f>
        <v>Dismissal</v>
      </c>
      <c r="W784" s="10">
        <f ca="1">IFERROR(__xludf.DUMMYFUNCTION("""COMPUTED_VALUE"""),0.666666666666666)</f>
        <v>0.66666666666666596</v>
      </c>
      <c r="X784" s="5">
        <f ca="1">IFERROR(__xludf.DUMMYFUNCTION("""COMPUTED_VALUE"""),1)</f>
        <v>1</v>
      </c>
      <c r="Y784" s="5" t="str">
        <f ca="1">IFERROR(__xludf.DUMMYFUNCTION("""COMPUTED_VALUE"""),"Female student bystander shot during fight after school")</f>
        <v>Female student bystander shot during fight after school</v>
      </c>
      <c r="Z784" s="5" t="str">
        <f ca="1">IFERROR(__xludf.DUMMYFUNCTION("""COMPUTED_VALUE"""),"Shots fired during fight outside of school at dismissal. 16YOF stuck by stray shot. Not intended target. Shooter fled. Police searching for 3 suspects.")</f>
        <v>Shots fired during fight outside of school at dismissal. 16YOF stuck by stray shot. Not intended target. Shooter fled. Police searching for 3 suspects.</v>
      </c>
      <c r="AA784" s="5" t="str">
        <f ca="1">IFERROR(__xludf.DUMMYFUNCTION("""COMPUTED_VALUE"""),"Escalation of Dispute")</f>
        <v>Escalation of Dispute</v>
      </c>
      <c r="AB784" s="5" t="str">
        <f ca="1">IFERROR(__xludf.DUMMYFUNCTION("""COMPUTED_VALUE"""),"Both")</f>
        <v>Both</v>
      </c>
      <c r="AC784" s="5" t="str">
        <f ca="1">IFERROR(__xludf.DUMMYFUNCTION("""COMPUTED_VALUE"""),"Yes")</f>
        <v>Yes</v>
      </c>
      <c r="AD784" s="5" t="str">
        <f ca="1">IFERROR(__xludf.DUMMYFUNCTION("""COMPUTED_VALUE"""),"No")</f>
        <v>No</v>
      </c>
      <c r="AE784" s="5" t="str">
        <f ca="1">IFERROR(__xludf.DUMMYFUNCTION("""COMPUTED_VALUE"""),"No")</f>
        <v>No</v>
      </c>
      <c r="AF784" s="5" t="str">
        <f ca="1">IFERROR(__xludf.DUMMYFUNCTION("""COMPUTED_VALUE"""),"No")</f>
        <v>No</v>
      </c>
      <c r="AG784" s="5"/>
      <c r="AH784" s="5" t="str">
        <f ca="1">IFERROR(__xludf.DUMMYFUNCTION("""COMPUTED_VALUE"""),"No")</f>
        <v>No</v>
      </c>
      <c r="AI784" s="5" t="str">
        <f ca="1">IFERROR(__xludf.DUMMYFUNCTION("""COMPUTED_VALUE"""),"No")</f>
        <v>No</v>
      </c>
      <c r="AJ784" s="5" t="str">
        <f ca="1">IFERROR(__xludf.DUMMYFUNCTION("""COMPUTED_VALUE"""),"No")</f>
        <v>No</v>
      </c>
    </row>
    <row r="785" spans="1:36" ht="13">
      <c r="A785" s="5" t="str">
        <f ca="1">IFERROR(__xludf.DUMMYFUNCTION("""COMPUTED_VALUE"""),"20191027MDLAL")</f>
        <v>20191027MDLAL</v>
      </c>
      <c r="B785" s="5">
        <f ca="1">IFERROR(__xludf.DUMMYFUNCTION("""COMPUTED_VALUE"""),10)</f>
        <v>10</v>
      </c>
      <c r="C785" s="5">
        <f ca="1">IFERROR(__xludf.DUMMYFUNCTION("""COMPUTED_VALUE"""),27)</f>
        <v>27</v>
      </c>
      <c r="D785" s="5">
        <f ca="1">IFERROR(__xludf.DUMMYFUNCTION("""COMPUTED_VALUE"""),2019)</f>
        <v>2019</v>
      </c>
      <c r="E785" s="8">
        <f ca="1">IFERROR(__xludf.DUMMYFUNCTION("""COMPUTED_VALUE"""),43765)</f>
        <v>43765</v>
      </c>
      <c r="F785" s="5" t="str">
        <f ca="1">IFERROR(__xludf.DUMMYFUNCTION("""COMPUTED_VALUE"""),"Laurel Woods Elementary School")</f>
        <v>Laurel Woods Elementary School</v>
      </c>
      <c r="G785" s="5">
        <f ca="1">IFERROR(__xludf.DUMMYFUNCTION("""COMPUTED_VALUE"""),0)</f>
        <v>0</v>
      </c>
      <c r="H785" s="5">
        <f ca="1">IFERROR(__xludf.DUMMYFUNCTION("""COMPUTED_VALUE"""),1)</f>
        <v>1</v>
      </c>
      <c r="I785" s="5">
        <f ca="1">IFERROR(__xludf.DUMMYFUNCTION("""COMPUTED_VALUE"""),1)</f>
        <v>1</v>
      </c>
      <c r="J785" s="5">
        <f ca="1">IFERROR(__xludf.DUMMYFUNCTION("""COMPUTED_VALUE"""),0)</f>
        <v>0</v>
      </c>
      <c r="K785" s="5" t="str">
        <f ca="1">IFERROR(__xludf.DUMMYFUNCTION("""COMPUTED_VALUE"""),"https://www.wbaltv.com/article/woman-shot-in-laurel-woods-elementary-school-parking-lot/29609309 https://baltimore.cbslocal.com/2019/10/27/woman-shot-laurel-elementary-school-parking-lot/")</f>
        <v>https://www.wbaltv.com/article/woman-shot-in-laurel-woods-elementary-school-parking-lot/29609309 https://baltimore.cbslocal.com/2019/10/27/woman-shot-laurel-elementary-school-parking-lot/</v>
      </c>
      <c r="L785" s="5"/>
      <c r="M785" s="5"/>
      <c r="N785" s="5">
        <f ca="1">IFERROR(__xludf.DUMMYFUNCTION("""COMPUTED_VALUE"""),4)</f>
        <v>4</v>
      </c>
      <c r="O785" s="5" t="str">
        <f ca="1">IFERROR(__xludf.DUMMYFUNCTION("""COMPUTED_VALUE"""),"Fall")</f>
        <v>Fall</v>
      </c>
      <c r="P785" s="5" t="str">
        <f ca="1">IFERROR(__xludf.DUMMYFUNCTION("""COMPUTED_VALUE"""),"Laurel")</f>
        <v>Laurel</v>
      </c>
      <c r="Q785" s="5" t="str">
        <f ca="1">IFERROR(__xludf.DUMMYFUNCTION("""COMPUTED_VALUE"""),"MD")</f>
        <v>MD</v>
      </c>
      <c r="R785" s="5" t="str">
        <f ca="1">IFERROR(__xludf.DUMMYFUNCTION("""COMPUTED_VALUE"""),"Elementary")</f>
        <v>Elementary</v>
      </c>
      <c r="S785" s="5" t="str">
        <f ca="1">IFERROR(__xludf.DUMMYFUNCTION("""COMPUTED_VALUE"""),"Parking Lot")</f>
        <v>Parking Lot</v>
      </c>
      <c r="T785" s="5" t="str">
        <f ca="1">IFERROR(__xludf.DUMMYFUNCTION("""COMPUTED_VALUE"""),"Outside on School Property")</f>
        <v>Outside on School Property</v>
      </c>
      <c r="U785" s="5" t="str">
        <f ca="1">IFERROR(__xludf.DUMMYFUNCTION("""COMPUTED_VALUE"""),"No")</f>
        <v>No</v>
      </c>
      <c r="V785" s="5" t="str">
        <f ca="1">IFERROR(__xludf.DUMMYFUNCTION("""COMPUTED_VALUE"""),"Not a School Day")</f>
        <v>Not a School Day</v>
      </c>
      <c r="W785" s="10">
        <f ca="1">IFERROR(__xludf.DUMMYFUNCTION("""COMPUTED_VALUE"""),0.820833333333333)</f>
        <v>0.82083333333333297</v>
      </c>
      <c r="X785" s="5">
        <f ca="1">IFERROR(__xludf.DUMMYFUNCTION("""COMPUTED_VALUE"""),1)</f>
        <v>1</v>
      </c>
      <c r="Y785" s="5" t="str">
        <f ca="1">IFERROR(__xludf.DUMMYFUNCTION("""COMPUTED_VALUE"""),"Adult female shot in parking lot of school following memorial service unrelated to the school")</f>
        <v>Adult female shot in parking lot of school following memorial service unrelated to the school</v>
      </c>
      <c r="Z785" s="5" t="str">
        <f ca="1">IFERROR(__xludf.DUMMYFUNCTION("""COMPUTED_VALUE"""),"Adult female was shot in the school parking lot following a memorial service at the school (unrelated to the school). Motive unknown. 34YOM fled and was arrested the following day.")</f>
        <v>Adult female was shot in the school parking lot following a memorial service at the school (unrelated to the school). Motive unknown. 34YOM fled and was arrested the following day.</v>
      </c>
      <c r="AA785" s="5" t="str">
        <f ca="1">IFERROR(__xludf.DUMMYFUNCTION("""COMPUTED_VALUE"""),"Escalation of Dispute")</f>
        <v>Escalation of Dispute</v>
      </c>
      <c r="AB785" s="5" t="str">
        <f ca="1">IFERROR(__xludf.DUMMYFUNCTION("""COMPUTED_VALUE"""),"Both")</f>
        <v>Both</v>
      </c>
      <c r="AC785" s="5"/>
      <c r="AD785" s="5" t="str">
        <f ca="1">IFERROR(__xludf.DUMMYFUNCTION("""COMPUTED_VALUE"""),"No")</f>
        <v>No</v>
      </c>
      <c r="AE785" s="5" t="str">
        <f ca="1">IFERROR(__xludf.DUMMYFUNCTION("""COMPUTED_VALUE"""),"No")</f>
        <v>No</v>
      </c>
      <c r="AF785" s="5" t="str">
        <f ca="1">IFERROR(__xludf.DUMMYFUNCTION("""COMPUTED_VALUE"""),"No")</f>
        <v>No</v>
      </c>
      <c r="AG785" s="5" t="str">
        <f ca="1">IFERROR(__xludf.DUMMYFUNCTION("""COMPUTED_VALUE"""),"No")</f>
        <v>No</v>
      </c>
      <c r="AH785" s="5" t="str">
        <f ca="1">IFERROR(__xludf.DUMMYFUNCTION("""COMPUTED_VALUE"""),"No")</f>
        <v>No</v>
      </c>
      <c r="AI785" s="5"/>
      <c r="AJ785" s="5" t="str">
        <f ca="1">IFERROR(__xludf.DUMMYFUNCTION("""COMPUTED_VALUE"""),"No")</f>
        <v>No</v>
      </c>
    </row>
    <row r="786" spans="1:36" ht="13">
      <c r="A786" s="5" t="str">
        <f ca="1">IFERROR(__xludf.DUMMYFUNCTION("""COMPUTED_VALUE"""),"20191022NJBRB")</f>
        <v>20191022NJBRB</v>
      </c>
      <c r="B786" s="5">
        <f ca="1">IFERROR(__xludf.DUMMYFUNCTION("""COMPUTED_VALUE"""),10)</f>
        <v>10</v>
      </c>
      <c r="C786" s="5">
        <f ca="1">IFERROR(__xludf.DUMMYFUNCTION("""COMPUTED_VALUE"""),22)</f>
        <v>22</v>
      </c>
      <c r="D786" s="5">
        <f ca="1">IFERROR(__xludf.DUMMYFUNCTION("""COMPUTED_VALUE"""),2019)</f>
        <v>2019</v>
      </c>
      <c r="E786" s="8">
        <f ca="1">IFERROR(__xludf.DUMMYFUNCTION("""COMPUTED_VALUE"""),43760)</f>
        <v>43760</v>
      </c>
      <c r="F786" s="5" t="str">
        <f ca="1">IFERROR(__xludf.DUMMYFUNCTION("""COMPUTED_VALUE"""),"Brick Memorial High School")</f>
        <v>Brick Memorial High School</v>
      </c>
      <c r="G786" s="5">
        <f ca="1">IFERROR(__xludf.DUMMYFUNCTION("""COMPUTED_VALUE"""),0)</f>
        <v>0</v>
      </c>
      <c r="H786" s="5">
        <f ca="1">IFERROR(__xludf.DUMMYFUNCTION("""COMPUTED_VALUE"""),1)</f>
        <v>1</v>
      </c>
      <c r="I786" s="5">
        <f ca="1">IFERROR(__xludf.DUMMYFUNCTION("""COMPUTED_VALUE"""),1)</f>
        <v>1</v>
      </c>
      <c r="J786" s="5">
        <f ca="1">IFERROR(__xludf.DUMMYFUNCTION("""COMPUTED_VALUE"""),0)</f>
        <v>0</v>
      </c>
      <c r="K786" s="9" t="str">
        <f ca="1">IFERROR(__xludf.DUMMYFUNCTION("""COMPUTED_VALUE"""),"https://dailyvoice.com/new-jersey/ocean/police-fire/asbury-park-teen-idd-charged-with-shooting-near-brick-high-school/794032/")</f>
        <v>https://dailyvoice.com/new-jersey/ocean/police-fire/asbury-park-teen-idd-charged-with-shooting-near-brick-high-school/794032/</v>
      </c>
      <c r="L786" s="5">
        <f ca="1">IFERROR(__xludf.DUMMYFUNCTION("""COMPUTED_VALUE"""),2)</f>
        <v>2</v>
      </c>
      <c r="M786" s="5" t="str">
        <f ca="1">IFERROR(__xludf.DUMMYFUNCTION("""COMPUTED_VALUE"""),"Local")</f>
        <v>Local</v>
      </c>
      <c r="N786" s="5">
        <f ca="1">IFERROR(__xludf.DUMMYFUNCTION("""COMPUTED_VALUE"""),4)</f>
        <v>4</v>
      </c>
      <c r="O786" s="5" t="str">
        <f ca="1">IFERROR(__xludf.DUMMYFUNCTION("""COMPUTED_VALUE"""),"Fall")</f>
        <v>Fall</v>
      </c>
      <c r="P786" s="5" t="str">
        <f ca="1">IFERROR(__xludf.DUMMYFUNCTION("""COMPUTED_VALUE"""),"Brick Township")</f>
        <v>Brick Township</v>
      </c>
      <c r="Q786" s="5" t="str">
        <f ca="1">IFERROR(__xludf.DUMMYFUNCTION("""COMPUTED_VALUE"""),"NJ")</f>
        <v>NJ</v>
      </c>
      <c r="R786" s="5" t="str">
        <f ca="1">IFERROR(__xludf.DUMMYFUNCTION("""COMPUTED_VALUE"""),"High")</f>
        <v>High</v>
      </c>
      <c r="S786" s="5" t="str">
        <f ca="1">IFERROR(__xludf.DUMMYFUNCTION("""COMPUTED_VALUE"""),"Off School Property")</f>
        <v>Off School Property</v>
      </c>
      <c r="T786" s="5" t="str">
        <f ca="1">IFERROR(__xludf.DUMMYFUNCTION("""COMPUTED_VALUE"""),"Off School Property")</f>
        <v>Off School Property</v>
      </c>
      <c r="U786" s="5" t="str">
        <f ca="1">IFERROR(__xludf.DUMMYFUNCTION("""COMPUTED_VALUE"""),"Yes")</f>
        <v>Yes</v>
      </c>
      <c r="V786" s="5" t="str">
        <f ca="1">IFERROR(__xludf.DUMMYFUNCTION("""COMPUTED_VALUE"""),"Afternoon Classes")</f>
        <v>Afternoon Classes</v>
      </c>
      <c r="W786" s="10">
        <f ca="1">IFERROR(__xludf.DUMMYFUNCTION("""COMPUTED_VALUE"""),0.572916666666666)</f>
        <v>0.57291666666666596</v>
      </c>
      <c r="X786" s="5">
        <f ca="1">IFERROR(__xludf.DUMMYFUNCTION("""COMPUTED_VALUE"""),1)</f>
        <v>1</v>
      </c>
      <c r="Y786" s="5" t="str">
        <f ca="1">IFERROR(__xludf.DUMMYFUNCTION("""COMPUTED_VALUE"""),"Teen shot near school by another teen, ran back to school for help")</f>
        <v>Teen shot near school by another teen, ran back to school for help</v>
      </c>
      <c r="Z786" s="5" t="str">
        <f ca="1">IFERROR(__xludf.DUMMYFUNCTION("""COMPUTED_VALUE"""),"Teen student and three other teen students were walking home 1/4 mile from the school. The victim was shot by another teen and the victim ran back to the school for assistance. The school and neighboring schools were locked down. Video footage identified "&amp;"the suspect (17YOM) who was later arrested and charged as an adult. Second teen seen on video with the shooter was also charged.")</f>
        <v>Teen student and three other teen students were walking home 1/4 mile from the school. The victim was shot by another teen and the victim ran back to the school for assistance. The school and neighboring schools were locked down. Video footage identified the suspect (17YOM) who was later arrested and charged as an adult. Second teen seen on video with the shooter was also charged.</v>
      </c>
      <c r="AA786" s="5"/>
      <c r="AB786" s="5" t="str">
        <f ca="1">IFERROR(__xludf.DUMMYFUNCTION("""COMPUTED_VALUE"""),"Victims Targeted")</f>
        <v>Victims Targeted</v>
      </c>
      <c r="AC786" s="5" t="str">
        <f ca="1">IFERROR(__xludf.DUMMYFUNCTION("""COMPUTED_VALUE"""),"Yes")</f>
        <v>Yes</v>
      </c>
      <c r="AD786" s="5" t="str">
        <f ca="1">IFERROR(__xludf.DUMMYFUNCTION("""COMPUTED_VALUE"""),"No")</f>
        <v>No</v>
      </c>
      <c r="AE786" s="5" t="str">
        <f ca="1">IFERROR(__xludf.DUMMYFUNCTION("""COMPUTED_VALUE"""),"No")</f>
        <v>No</v>
      </c>
      <c r="AF786" s="5" t="str">
        <f ca="1">IFERROR(__xludf.DUMMYFUNCTION("""COMPUTED_VALUE"""),"No")</f>
        <v>No</v>
      </c>
      <c r="AG786" s="5"/>
      <c r="AH786" s="5" t="str">
        <f ca="1">IFERROR(__xludf.DUMMYFUNCTION("""COMPUTED_VALUE"""),"No")</f>
        <v>No</v>
      </c>
      <c r="AI786" s="5"/>
      <c r="AJ786" s="5" t="str">
        <f ca="1">IFERROR(__xludf.DUMMYFUNCTION("""COMPUTED_VALUE"""),"No")</f>
        <v>No</v>
      </c>
    </row>
    <row r="787" spans="1:36" ht="13">
      <c r="A787" s="5" t="str">
        <f ca="1">IFERROR(__xludf.DUMMYFUNCTION("""COMPUTED_VALUE"""),"20191022CARIS")</f>
        <v>20191022CARIS</v>
      </c>
      <c r="B787" s="5">
        <f ca="1">IFERROR(__xludf.DUMMYFUNCTION("""COMPUTED_VALUE"""),10)</f>
        <v>10</v>
      </c>
      <c r="C787" s="5">
        <f ca="1">IFERROR(__xludf.DUMMYFUNCTION("""COMPUTED_VALUE"""),22)</f>
        <v>22</v>
      </c>
      <c r="D787" s="5">
        <f ca="1">IFERROR(__xludf.DUMMYFUNCTION("""COMPUTED_VALUE"""),2019)</f>
        <v>2019</v>
      </c>
      <c r="E787" s="8">
        <f ca="1">IFERROR(__xludf.DUMMYFUNCTION("""COMPUTED_VALUE"""),43760)</f>
        <v>43760</v>
      </c>
      <c r="F787" s="5" t="str">
        <f ca="1">IFERROR(__xludf.DUMMYFUNCTION("""COMPUTED_VALUE"""),"Ridgway High School")</f>
        <v>Ridgway High School</v>
      </c>
      <c r="G787" s="5">
        <f ca="1">IFERROR(__xludf.DUMMYFUNCTION("""COMPUTED_VALUE"""),0)</f>
        <v>0</v>
      </c>
      <c r="H787" s="5">
        <f ca="1">IFERROR(__xludf.DUMMYFUNCTION("""COMPUTED_VALUE"""),1)</f>
        <v>1</v>
      </c>
      <c r="I787" s="5">
        <f ca="1">IFERROR(__xludf.DUMMYFUNCTION("""COMPUTED_VALUE"""),1)</f>
        <v>1</v>
      </c>
      <c r="J787" s="5">
        <f ca="1">IFERROR(__xludf.DUMMYFUNCTION("""COMPUTED_VALUE"""),0)</f>
        <v>0</v>
      </c>
      <c r="K787" s="5" t="str">
        <f ca="1">IFERROR(__xludf.DUMMYFUNCTION("""COMPUTED_VALUE"""),"https://www.pressdemocrat.com/article/news/ridgway-high-school-shooter-sentenced-to-2-years-in-sonoma-county-custody/?artslide=0 https://sanfrancisco.cbslocal.com/2019/10/22/campus-shooting-places-schools-on-lockdown-in-santa-rosa/ https://time.com/570743"&amp;"6/santa-rosa-ridgway-high-school-shooting/ https://www.cbsnews.com/news/school-shooting-california-santa-rosa-gunman-arrested-school-today-2019-10-22/")</f>
        <v>https://www.pressdemocrat.com/article/news/ridgway-high-school-shooter-sentenced-to-2-years-in-sonoma-county-custody/?artslide=0 https://sanfrancisco.cbslocal.com/2019/10/22/campus-shooting-places-schools-on-lockdown-in-santa-rosa/ https://time.com/5707436/santa-rosa-ridgway-high-school-shooting/ https://www.cbsnews.com/news/school-shooting-california-santa-rosa-gunman-arrested-school-today-2019-10-22/</v>
      </c>
      <c r="L787" s="5">
        <f ca="1">IFERROR(__xludf.DUMMYFUNCTION("""COMPUTED_VALUE"""),10)</f>
        <v>10</v>
      </c>
      <c r="M787" s="5" t="str">
        <f ca="1">IFERROR(__xludf.DUMMYFUNCTION("""COMPUTED_VALUE"""),"Local")</f>
        <v>Local</v>
      </c>
      <c r="N787" s="5">
        <f ca="1">IFERROR(__xludf.DUMMYFUNCTION("""COMPUTED_VALUE"""),4)</f>
        <v>4</v>
      </c>
      <c r="O787" s="5" t="str">
        <f ca="1">IFERROR(__xludf.DUMMYFUNCTION("""COMPUTED_VALUE"""),"Fall")</f>
        <v>Fall</v>
      </c>
      <c r="P787" s="5" t="str">
        <f ca="1">IFERROR(__xludf.DUMMYFUNCTION("""COMPUTED_VALUE"""),"Santa Rosa")</f>
        <v>Santa Rosa</v>
      </c>
      <c r="Q787" s="5" t="str">
        <f ca="1">IFERROR(__xludf.DUMMYFUNCTION("""COMPUTED_VALUE"""),"CA")</f>
        <v>CA</v>
      </c>
      <c r="R787" s="5" t="str">
        <f ca="1">IFERROR(__xludf.DUMMYFUNCTION("""COMPUTED_VALUE"""),"High")</f>
        <v>High</v>
      </c>
      <c r="S787" s="5" t="str">
        <f ca="1">IFERROR(__xludf.DUMMYFUNCTION("""COMPUTED_VALUE"""),"Beside Building")</f>
        <v>Beside Building</v>
      </c>
      <c r="T787" s="5" t="str">
        <f ca="1">IFERROR(__xludf.DUMMYFUNCTION("""COMPUTED_VALUE"""),"Outside on School Property")</f>
        <v>Outside on School Property</v>
      </c>
      <c r="U787" s="5" t="str">
        <f ca="1">IFERROR(__xludf.DUMMYFUNCTION("""COMPUTED_VALUE"""),"Yes")</f>
        <v>Yes</v>
      </c>
      <c r="V787" s="5" t="str">
        <f ca="1">IFERROR(__xludf.DUMMYFUNCTION("""COMPUTED_VALUE"""),"Morning Classes")</f>
        <v>Morning Classes</v>
      </c>
      <c r="W787" s="10">
        <f ca="1">IFERROR(__xludf.DUMMYFUNCTION("""COMPUTED_VALUE"""),0.372222222222222)</f>
        <v>0.37222222222222201</v>
      </c>
      <c r="X787" s="5">
        <f ca="1">IFERROR(__xludf.DUMMYFUNCTION("""COMPUTED_VALUE"""),1)</f>
        <v>1</v>
      </c>
      <c r="Y787" s="5" t="str">
        <f ca="1">IFERROR(__xludf.DUMMYFUNCTION("""COMPUTED_VALUE"""),"Student shot another student following argument outside of school building, gave gun to driver in a car, and then returned to class in the school building")</f>
        <v>Student shot another student following argument outside of school building, gave gun to driver in a car, and then returned to class in the school building</v>
      </c>
      <c r="Z787" s="5" t="str">
        <f ca="1">IFERROR(__xludf.DUMMYFUNCTION("""COMPUTED_VALUE"""),"Student shot another student following argument outside of school building, gave gun to driver in a car, and then returned to class in the school building")</f>
        <v>Student shot another student following argument outside of school building, gave gun to driver in a car, and then returned to class in the school building</v>
      </c>
      <c r="AA787" s="5" t="str">
        <f ca="1">IFERROR(__xludf.DUMMYFUNCTION("""COMPUTED_VALUE"""),"Escalation of Dispute")</f>
        <v>Escalation of Dispute</v>
      </c>
      <c r="AB787" s="5" t="str">
        <f ca="1">IFERROR(__xludf.DUMMYFUNCTION("""COMPUTED_VALUE"""),"Victims Targeted")</f>
        <v>Victims Targeted</v>
      </c>
      <c r="AC787" s="5" t="str">
        <f ca="1">IFERROR(__xludf.DUMMYFUNCTION("""COMPUTED_VALUE"""),"Yes")</f>
        <v>Yes</v>
      </c>
      <c r="AD787" s="5" t="str">
        <f ca="1">IFERROR(__xludf.DUMMYFUNCTION("""COMPUTED_VALUE"""),"No")</f>
        <v>No</v>
      </c>
      <c r="AE787" s="5" t="str">
        <f ca="1">IFERROR(__xludf.DUMMYFUNCTION("""COMPUTED_VALUE"""),"No")</f>
        <v>No</v>
      </c>
      <c r="AF787" s="5" t="str">
        <f ca="1">IFERROR(__xludf.DUMMYFUNCTION("""COMPUTED_VALUE"""),"No")</f>
        <v>No</v>
      </c>
      <c r="AG787" s="5" t="str">
        <f ca="1">IFERROR(__xludf.DUMMYFUNCTION("""COMPUTED_VALUE"""),"No")</f>
        <v>No</v>
      </c>
      <c r="AH787" s="5" t="str">
        <f ca="1">IFERROR(__xludf.DUMMYFUNCTION("""COMPUTED_VALUE"""),"No")</f>
        <v>No</v>
      </c>
      <c r="AI787" s="5" t="str">
        <f ca="1">IFERROR(__xludf.DUMMYFUNCTION("""COMPUTED_VALUE"""),"Yes")</f>
        <v>Yes</v>
      </c>
      <c r="AJ787" s="5" t="str">
        <f ca="1">IFERROR(__xludf.DUMMYFUNCTION("""COMPUTED_VALUE"""),"No")</f>
        <v>No</v>
      </c>
    </row>
    <row r="788" spans="1:36" ht="13">
      <c r="A788" s="5" t="str">
        <f ca="1">IFERROR(__xludf.DUMMYFUNCTION("""COMPUTED_VALUE"""),"20191018OHWOT")</f>
        <v>20191018OHWOT</v>
      </c>
      <c r="B788" s="5">
        <f ca="1">IFERROR(__xludf.DUMMYFUNCTION("""COMPUTED_VALUE"""),10)</f>
        <v>10</v>
      </c>
      <c r="C788" s="5">
        <f ca="1">IFERROR(__xludf.DUMMYFUNCTION("""COMPUTED_VALUE"""),18)</f>
        <v>18</v>
      </c>
      <c r="D788" s="5">
        <f ca="1">IFERROR(__xludf.DUMMYFUNCTION("""COMPUTED_VALUE"""),2019)</f>
        <v>2019</v>
      </c>
      <c r="E788" s="8">
        <f ca="1">IFERROR(__xludf.DUMMYFUNCTION("""COMPUTED_VALUE"""),43756)</f>
        <v>43756</v>
      </c>
      <c r="F788" s="5" t="str">
        <f ca="1">IFERROR(__xludf.DUMMYFUNCTION("""COMPUTED_VALUE"""),"Woodward High School")</f>
        <v>Woodward High School</v>
      </c>
      <c r="G788" s="5">
        <f ca="1">IFERROR(__xludf.DUMMYFUNCTION("""COMPUTED_VALUE"""),0)</f>
        <v>0</v>
      </c>
      <c r="H788" s="5">
        <f ca="1">IFERROR(__xludf.DUMMYFUNCTION("""COMPUTED_VALUE"""),0)</f>
        <v>0</v>
      </c>
      <c r="I788" s="5">
        <f ca="1">IFERROR(__xludf.DUMMYFUNCTION("""COMPUTED_VALUE"""),0)</f>
        <v>0</v>
      </c>
      <c r="J788" s="5">
        <f ca="1">IFERROR(__xludf.DUMMYFUNCTION("""COMPUTED_VALUE"""),0)</f>
        <v>0</v>
      </c>
      <c r="K788" s="9" t="str">
        <f ca="1">IFERROR(__xludf.DUMMYFUNCTION("""COMPUTED_VALUE"""),"https://www.13abc.com/content/news/Shots-fired-at-Woodward-High-School-football-game-against-Rogers-563419051.html")</f>
        <v>https://www.13abc.com/content/news/Shots-fired-at-Woodward-High-School-football-game-against-Rogers-563419051.html</v>
      </c>
      <c r="L788" s="5"/>
      <c r="M788" s="5"/>
      <c r="N788" s="5">
        <f ca="1">IFERROR(__xludf.DUMMYFUNCTION("""COMPUTED_VALUE"""),4)</f>
        <v>4</v>
      </c>
      <c r="O788" s="5" t="str">
        <f ca="1">IFERROR(__xludf.DUMMYFUNCTION("""COMPUTED_VALUE"""),"Fall")</f>
        <v>Fall</v>
      </c>
      <c r="P788" s="5" t="str">
        <f ca="1">IFERROR(__xludf.DUMMYFUNCTION("""COMPUTED_VALUE"""),"Toledo")</f>
        <v>Toledo</v>
      </c>
      <c r="Q788" s="5" t="str">
        <f ca="1">IFERROR(__xludf.DUMMYFUNCTION("""COMPUTED_VALUE"""),"OH")</f>
        <v>OH</v>
      </c>
      <c r="R788" s="5" t="str">
        <f ca="1">IFERROR(__xludf.DUMMYFUNCTION("""COMPUTED_VALUE"""),"High")</f>
        <v>High</v>
      </c>
      <c r="S788" s="5" t="str">
        <f ca="1">IFERROR(__xludf.DUMMYFUNCTION("""COMPUTED_VALUE"""),"Football Field/Track")</f>
        <v>Football Field/Track</v>
      </c>
      <c r="T788" s="5" t="str">
        <f ca="1">IFERROR(__xludf.DUMMYFUNCTION("""COMPUTED_VALUE"""),"Outside on School Property")</f>
        <v>Outside on School Property</v>
      </c>
      <c r="U788" s="5" t="str">
        <f ca="1">IFERROR(__xludf.DUMMYFUNCTION("""COMPUTED_VALUE"""),"No")</f>
        <v>No</v>
      </c>
      <c r="V788" s="5" t="str">
        <f ca="1">IFERROR(__xludf.DUMMYFUNCTION("""COMPUTED_VALUE"""),"Sport Event")</f>
        <v>Sport Event</v>
      </c>
      <c r="W788" s="10">
        <f ca="1">IFERROR(__xludf.DUMMYFUNCTION("""COMPUTED_VALUE"""),0.877777777777777)</f>
        <v>0.87777777777777699</v>
      </c>
      <c r="X788" s="5">
        <f ca="1">IFERROR(__xludf.DUMMYFUNCTION("""COMPUTED_VALUE"""),1)</f>
        <v>1</v>
      </c>
      <c r="Y788" s="5" t="str">
        <f ca="1">IFERROR(__xludf.DUMMYFUNCTION("""COMPUTED_VALUE"""),"Shots fired during football game, stadium evacuated")</f>
        <v>Shots fired during football game, stadium evacuated</v>
      </c>
      <c r="Z788" s="5" t="str">
        <f ca="1">IFERROR(__xludf.DUMMYFUNCTION("""COMPUTED_VALUE"""),"Shots fired during high school football game. Stadium was evacuated and fans sheltered inside school for 30 minutes. Police searched area and found evidence of shots fired on school property but did not identify a suspect. Police officers were assigned to"&amp;" the school during the game.")</f>
        <v>Shots fired during high school football game. Stadium was evacuated and fans sheltered inside school for 30 minutes. Police searched area and found evidence of shots fired on school property but did not identify a suspect. Police officers were assigned to the school during the game.</v>
      </c>
      <c r="AA788" s="5" t="str">
        <f ca="1">IFERROR(__xludf.DUMMYFUNCTION("""COMPUTED_VALUE"""),"Escalation of Dispute")</f>
        <v>Escalation of Dispute</v>
      </c>
      <c r="AB788" s="5"/>
      <c r="AC788" s="5"/>
      <c r="AD788" s="5" t="str">
        <f ca="1">IFERROR(__xludf.DUMMYFUNCTION("""COMPUTED_VALUE"""),"No")</f>
        <v>No</v>
      </c>
      <c r="AE788" s="5" t="str">
        <f ca="1">IFERROR(__xludf.DUMMYFUNCTION("""COMPUTED_VALUE"""),"No")</f>
        <v>No</v>
      </c>
      <c r="AF788" s="5" t="str">
        <f ca="1">IFERROR(__xludf.DUMMYFUNCTION("""COMPUTED_VALUE"""),"No")</f>
        <v>No</v>
      </c>
      <c r="AG788" s="5" t="str">
        <f ca="1">IFERROR(__xludf.DUMMYFUNCTION("""COMPUTED_VALUE"""),"No")</f>
        <v>No</v>
      </c>
      <c r="AH788" s="5" t="str">
        <f ca="1">IFERROR(__xludf.DUMMYFUNCTION("""COMPUTED_VALUE"""),"No")</f>
        <v>No</v>
      </c>
      <c r="AI788" s="5"/>
      <c r="AJ788" s="5" t="str">
        <f ca="1">IFERROR(__xludf.DUMMYFUNCTION("""COMPUTED_VALUE"""),"No")</f>
        <v>No</v>
      </c>
    </row>
    <row r="789" spans="1:36" ht="13">
      <c r="A789" s="5" t="str">
        <f ca="1">IFERROR(__xludf.DUMMYFUNCTION("""COMPUTED_VALUE"""),"20191018GACRS")</f>
        <v>20191018GACRS</v>
      </c>
      <c r="B789" s="5">
        <f ca="1">IFERROR(__xludf.DUMMYFUNCTION("""COMPUTED_VALUE"""),10)</f>
        <v>10</v>
      </c>
      <c r="C789" s="5">
        <f ca="1">IFERROR(__xludf.DUMMYFUNCTION("""COMPUTED_VALUE"""),18)</f>
        <v>18</v>
      </c>
      <c r="D789" s="5">
        <f ca="1">IFERROR(__xludf.DUMMYFUNCTION("""COMPUTED_VALUE"""),2019)</f>
        <v>2019</v>
      </c>
      <c r="E789" s="8">
        <f ca="1">IFERROR(__xludf.DUMMYFUNCTION("""COMPUTED_VALUE"""),43756)</f>
        <v>43756</v>
      </c>
      <c r="F789" s="5" t="str">
        <f ca="1">IFERROR(__xludf.DUMMYFUNCTION("""COMPUTED_VALUE"""),"Creekside High School")</f>
        <v>Creekside High School</v>
      </c>
      <c r="G789" s="5">
        <f ca="1">IFERROR(__xludf.DUMMYFUNCTION("""COMPUTED_VALUE"""),0)</f>
        <v>0</v>
      </c>
      <c r="H789" s="5">
        <f ca="1">IFERROR(__xludf.DUMMYFUNCTION("""COMPUTED_VALUE"""),1)</f>
        <v>1</v>
      </c>
      <c r="I789" s="5">
        <f ca="1">IFERROR(__xludf.DUMMYFUNCTION("""COMPUTED_VALUE"""),1)</f>
        <v>1</v>
      </c>
      <c r="J789" s="5">
        <f ca="1">IFERROR(__xludf.DUMMYFUNCTION("""COMPUTED_VALUE"""),0)</f>
        <v>0</v>
      </c>
      <c r="K789" s="5" t="str">
        <f ca="1">IFERROR(__xludf.DUMMYFUNCTION("""COMPUTED_VALUE"""),"https://www.cbs46.com/news/injured-during-shooting-at-creekside-high-school/article_1e550f90-f2af-11e9-9542-3fd4541e21fa.html https://www.11alive.com/article/news/crime/creekside-high-school-shooting-injures-1/85-b29235ce-b924-44f6-9fac-cc0374d99f22")</f>
        <v>https://www.cbs46.com/news/injured-during-shooting-at-creekside-high-school/article_1e550f90-f2af-11e9-9542-3fd4541e21fa.html https://www.11alive.com/article/news/crime/creekside-high-school-shooting-injures-1/85-b29235ce-b924-44f6-9fac-cc0374d99f22</v>
      </c>
      <c r="L789" s="5"/>
      <c r="M789" s="5"/>
      <c r="N789" s="5">
        <f ca="1">IFERROR(__xludf.DUMMYFUNCTION("""COMPUTED_VALUE"""),4)</f>
        <v>4</v>
      </c>
      <c r="O789" s="5" t="str">
        <f ca="1">IFERROR(__xludf.DUMMYFUNCTION("""COMPUTED_VALUE"""),"Fall")</f>
        <v>Fall</v>
      </c>
      <c r="P789" s="5" t="str">
        <f ca="1">IFERROR(__xludf.DUMMYFUNCTION("""COMPUTED_VALUE"""),"South Fulton")</f>
        <v>South Fulton</v>
      </c>
      <c r="Q789" s="5" t="str">
        <f ca="1">IFERROR(__xludf.DUMMYFUNCTION("""COMPUTED_VALUE"""),"GA")</f>
        <v>GA</v>
      </c>
      <c r="R789" s="5" t="str">
        <f ca="1">IFERROR(__xludf.DUMMYFUNCTION("""COMPUTED_VALUE"""),"High")</f>
        <v>High</v>
      </c>
      <c r="S789" s="5" t="str">
        <f ca="1">IFERROR(__xludf.DUMMYFUNCTION("""COMPUTED_VALUE"""),"Beside Building")</f>
        <v>Beside Building</v>
      </c>
      <c r="T789" s="5" t="str">
        <f ca="1">IFERROR(__xludf.DUMMYFUNCTION("""COMPUTED_VALUE"""),"Outside on School Property")</f>
        <v>Outside on School Property</v>
      </c>
      <c r="U789" s="5" t="str">
        <f ca="1">IFERROR(__xludf.DUMMYFUNCTION("""COMPUTED_VALUE"""),"No")</f>
        <v>No</v>
      </c>
      <c r="V789" s="5" t="str">
        <f ca="1">IFERROR(__xludf.DUMMYFUNCTION("""COMPUTED_VALUE"""),"Sport Event")</f>
        <v>Sport Event</v>
      </c>
      <c r="W789" s="10">
        <f ca="1">IFERROR(__xludf.DUMMYFUNCTION("""COMPUTED_VALUE"""),0.916666666666666)</f>
        <v>0.91666666666666596</v>
      </c>
      <c r="X789" s="5">
        <f ca="1">IFERROR(__xludf.DUMMYFUNCTION("""COMPUTED_VALUE"""),1)</f>
        <v>1</v>
      </c>
      <c r="Y789" s="5" t="str">
        <f ca="1">IFERROR(__xludf.DUMMYFUNCTION("""COMPUTED_VALUE"""),"Unidentified male shot behind school during football game")</f>
        <v>Unidentified male shot behind school during football game</v>
      </c>
      <c r="Z789" s="5" t="str">
        <f ca="1">IFERROR(__xludf.DUMMYFUNCTION("""COMPUTED_VALUE"""),"Unidentified man was shot behind the school during a football game. People in the stands heard multiple shots. Police did not identify the victim, suspect, or motive.")</f>
        <v>Unidentified man was shot behind the school during a football game. People in the stands heard multiple shots. Police did not identify the victim, suspect, or motive.</v>
      </c>
      <c r="AA789" s="5" t="str">
        <f ca="1">IFERROR(__xludf.DUMMYFUNCTION("""COMPUTED_VALUE"""),"Unknown")</f>
        <v>Unknown</v>
      </c>
      <c r="AB789" s="5"/>
      <c r="AC789" s="5"/>
      <c r="AD789" s="5" t="str">
        <f ca="1">IFERROR(__xludf.DUMMYFUNCTION("""COMPUTED_VALUE"""),"No")</f>
        <v>No</v>
      </c>
      <c r="AE789" s="5" t="str">
        <f ca="1">IFERROR(__xludf.DUMMYFUNCTION("""COMPUTED_VALUE"""),"No")</f>
        <v>No</v>
      </c>
      <c r="AF789" s="5" t="str">
        <f ca="1">IFERROR(__xludf.DUMMYFUNCTION("""COMPUTED_VALUE"""),"No")</f>
        <v>No</v>
      </c>
      <c r="AG789" s="5"/>
      <c r="AH789" s="5"/>
      <c r="AI789" s="5"/>
      <c r="AJ789" s="5" t="str">
        <f ca="1">IFERROR(__xludf.DUMMYFUNCTION("""COMPUTED_VALUE"""),"No")</f>
        <v>No</v>
      </c>
    </row>
    <row r="790" spans="1:36" ht="13">
      <c r="A790" s="5" t="str">
        <f ca="1">IFERROR(__xludf.DUMMYFUNCTION("""COMPUTED_VALUE"""),"20190918MNFOC")</f>
        <v>20190918MNFOC</v>
      </c>
      <c r="B790" s="5">
        <f ca="1">IFERROR(__xludf.DUMMYFUNCTION("""COMPUTED_VALUE"""),10)</f>
        <v>10</v>
      </c>
      <c r="C790" s="5">
        <f ca="1">IFERROR(__xludf.DUMMYFUNCTION("""COMPUTED_VALUE"""),18)</f>
        <v>18</v>
      </c>
      <c r="D790" s="5">
        <f ca="1">IFERROR(__xludf.DUMMYFUNCTION("""COMPUTED_VALUE"""),2019)</f>
        <v>2019</v>
      </c>
      <c r="E790" s="8">
        <f ca="1">IFERROR(__xludf.DUMMYFUNCTION("""COMPUTED_VALUE"""),43756)</f>
        <v>43756</v>
      </c>
      <c r="F790" s="5" t="str">
        <f ca="1">IFERROR(__xludf.DUMMYFUNCTION("""COMPUTED_VALUE"""),"Fond Du Lac Ojibwe High School")</f>
        <v>Fond Du Lac Ojibwe High School</v>
      </c>
      <c r="G790" s="5">
        <f ca="1">IFERROR(__xludf.DUMMYFUNCTION("""COMPUTED_VALUE"""),0)</f>
        <v>0</v>
      </c>
      <c r="H790" s="5">
        <f ca="1">IFERROR(__xludf.DUMMYFUNCTION("""COMPUTED_VALUE"""),1)</f>
        <v>1</v>
      </c>
      <c r="I790" s="5">
        <f ca="1">IFERROR(__xludf.DUMMYFUNCTION("""COMPUTED_VALUE"""),1)</f>
        <v>1</v>
      </c>
      <c r="J790" s="5">
        <f ca="1">IFERROR(__xludf.DUMMYFUNCTION("""COMPUTED_VALUE"""),0)</f>
        <v>0</v>
      </c>
      <c r="K790" s="5" t="str">
        <f ca="1">IFERROR(__xludf.DUMMYFUNCTION("""COMPUTED_VALUE"""),"https://kbjr6.com/2020/09/30/felon-pleads-guilty-to-2019-shooting-near-fond-du-lac-high-school/ https://www.fox21online.com/2019/10/18/one-man-shot-suspect-in-custody-after-fond-du-lac-shooting/ https://www.startribune.com/fond-du-lac-ojibwe-school-on-loc"&amp;"kdown/563380572/")</f>
        <v>https://kbjr6.com/2020/09/30/felon-pleads-guilty-to-2019-shooting-near-fond-du-lac-high-school/ https://www.fox21online.com/2019/10/18/one-man-shot-suspect-in-custody-after-fond-du-lac-shooting/ https://www.startribune.com/fond-du-lac-ojibwe-school-on-lockdown/563380572/</v>
      </c>
      <c r="L790" s="5">
        <f ca="1">IFERROR(__xludf.DUMMYFUNCTION("""COMPUTED_VALUE"""),3)</f>
        <v>3</v>
      </c>
      <c r="M790" s="5" t="str">
        <f ca="1">IFERROR(__xludf.DUMMYFUNCTION("""COMPUTED_VALUE"""),"Regional")</f>
        <v>Regional</v>
      </c>
      <c r="N790" s="5">
        <f ca="1">IFERROR(__xludf.DUMMYFUNCTION("""COMPUTED_VALUE"""),5)</f>
        <v>5</v>
      </c>
      <c r="O790" s="5" t="str">
        <f ca="1">IFERROR(__xludf.DUMMYFUNCTION("""COMPUTED_VALUE"""),"Fall")</f>
        <v>Fall</v>
      </c>
      <c r="P790" s="5" t="str">
        <f ca="1">IFERROR(__xludf.DUMMYFUNCTION("""COMPUTED_VALUE"""),"Cloquet")</f>
        <v>Cloquet</v>
      </c>
      <c r="Q790" s="5" t="str">
        <f ca="1">IFERROR(__xludf.DUMMYFUNCTION("""COMPUTED_VALUE"""),"MN")</f>
        <v>MN</v>
      </c>
      <c r="R790" s="5" t="str">
        <f ca="1">IFERROR(__xludf.DUMMYFUNCTION("""COMPUTED_VALUE"""),"High")</f>
        <v>High</v>
      </c>
      <c r="S790" s="5" t="str">
        <f ca="1">IFERROR(__xludf.DUMMYFUNCTION("""COMPUTED_VALUE"""),"Outside on School Property")</f>
        <v>Outside on School Property</v>
      </c>
      <c r="T790" s="5" t="str">
        <f ca="1">IFERROR(__xludf.DUMMYFUNCTION("""COMPUTED_VALUE"""),"Outside on School Property")</f>
        <v>Outside on School Property</v>
      </c>
      <c r="U790" s="5" t="str">
        <f ca="1">IFERROR(__xludf.DUMMYFUNCTION("""COMPUTED_VALUE"""),"Yes")</f>
        <v>Yes</v>
      </c>
      <c r="V790" s="5"/>
      <c r="W790" s="10">
        <f ca="1">IFERROR(__xludf.DUMMYFUNCTION("""COMPUTED_VALUE"""),0.416666666666666)</f>
        <v>0.41666666666666602</v>
      </c>
      <c r="X790" s="5">
        <f ca="1">IFERROR(__xludf.DUMMYFUNCTION("""COMPUTED_VALUE"""),1)</f>
        <v>1</v>
      </c>
      <c r="Y790" s="5" t="str">
        <f ca="1">IFERROR(__xludf.DUMMYFUNCTION("""COMPUTED_VALUE"""),"Man shot his sister's boyfriend in the head")</f>
        <v>Man shot his sister's boyfriend in the head</v>
      </c>
      <c r="Z790" s="5" t="str">
        <f ca="1">IFERROR(__xludf.DUMMYFUNCTION("""COMPUTED_VALUE"""),"Following a funeral being held in one of the school buildings, a 28 year-old male fired one shot at his sister's boyfriend striking him in the head. School was not in session due to an administrative break day but students were present for other activitie"&amp;"s on the campus. The school was locked down for 2 hours. The shooter was arrested at the scene.")</f>
        <v>Following a funeral being held in one of the school buildings, a 28 year-old male fired one shot at his sister's boyfriend striking him in the head. School was not in session due to an administrative break day but students were present for other activities on the campus. The school was locked down for 2 hours. The shooter was arrested at the scene.</v>
      </c>
      <c r="AA790" s="5" t="str">
        <f ca="1">IFERROR(__xludf.DUMMYFUNCTION("""COMPUTED_VALUE"""),"Domestic w/ Targeted Victim")</f>
        <v>Domestic w/ Targeted Victim</v>
      </c>
      <c r="AB790" s="5" t="str">
        <f ca="1">IFERROR(__xludf.DUMMYFUNCTION("""COMPUTED_VALUE"""),"Victims Targeted")</f>
        <v>Victims Targeted</v>
      </c>
      <c r="AC790" s="5" t="str">
        <f ca="1">IFERROR(__xludf.DUMMYFUNCTION("""COMPUTED_VALUE"""),"No")</f>
        <v>No</v>
      </c>
      <c r="AD790" s="5" t="str">
        <f ca="1">IFERROR(__xludf.DUMMYFUNCTION("""COMPUTED_VALUE"""),"No")</f>
        <v>No</v>
      </c>
      <c r="AE790" s="5" t="str">
        <f ca="1">IFERROR(__xludf.DUMMYFUNCTION("""COMPUTED_VALUE"""),"No")</f>
        <v>No</v>
      </c>
      <c r="AF790" s="5" t="str">
        <f ca="1">IFERROR(__xludf.DUMMYFUNCTION("""COMPUTED_VALUE"""),"No")</f>
        <v>No</v>
      </c>
      <c r="AG790" s="5" t="str">
        <f ca="1">IFERROR(__xludf.DUMMYFUNCTION("""COMPUTED_VALUE"""),"No")</f>
        <v>No</v>
      </c>
      <c r="AH790" s="5" t="str">
        <f ca="1">IFERROR(__xludf.DUMMYFUNCTION("""COMPUTED_VALUE"""),"Yes")</f>
        <v>Yes</v>
      </c>
      <c r="AI790" s="5" t="str">
        <f ca="1">IFERROR(__xludf.DUMMYFUNCTION("""COMPUTED_VALUE"""),"No")</f>
        <v>No</v>
      </c>
      <c r="AJ790" s="5" t="str">
        <f ca="1">IFERROR(__xludf.DUMMYFUNCTION("""COMPUTED_VALUE"""),"No")</f>
        <v>No</v>
      </c>
    </row>
    <row r="791" spans="1:36" ht="13">
      <c r="A791" s="5" t="str">
        <f ca="1">IFERROR(__xludf.DUMMYFUNCTION("""COMPUTED_VALUE"""),"20191015LAGEN")</f>
        <v>20191015LAGEN</v>
      </c>
      <c r="B791" s="5">
        <f ca="1">IFERROR(__xludf.DUMMYFUNCTION("""COMPUTED_VALUE"""),10)</f>
        <v>10</v>
      </c>
      <c r="C791" s="5">
        <f ca="1">IFERROR(__xludf.DUMMYFUNCTION("""COMPUTED_VALUE"""),15)</f>
        <v>15</v>
      </c>
      <c r="D791" s="5">
        <f ca="1">IFERROR(__xludf.DUMMYFUNCTION("""COMPUTED_VALUE"""),2019)</f>
        <v>2019</v>
      </c>
      <c r="E791" s="8">
        <f ca="1">IFERROR(__xludf.DUMMYFUNCTION("""COMPUTED_VALUE"""),43753)</f>
        <v>43753</v>
      </c>
      <c r="F791" s="5" t="str">
        <f ca="1">IFERROR(__xludf.DUMMYFUNCTION("""COMPUTED_VALUE"""),"George Washington Carver High School")</f>
        <v>George Washington Carver High School</v>
      </c>
      <c r="G791" s="5">
        <f ca="1">IFERROR(__xludf.DUMMYFUNCTION("""COMPUTED_VALUE"""),0)</f>
        <v>0</v>
      </c>
      <c r="H791" s="5">
        <f ca="1">IFERROR(__xludf.DUMMYFUNCTION("""COMPUTED_VALUE"""),1)</f>
        <v>1</v>
      </c>
      <c r="I791" s="5">
        <f ca="1">IFERROR(__xludf.DUMMYFUNCTION("""COMPUTED_VALUE"""),1)</f>
        <v>1</v>
      </c>
      <c r="J791" s="5">
        <f ca="1">IFERROR(__xludf.DUMMYFUNCTION("""COMPUTED_VALUE"""),0)</f>
        <v>0</v>
      </c>
      <c r="K791" s="5" t="str">
        <f ca="1">IFERROR(__xludf.DUMMYFUNCTION("""COMPUTED_VALUE"""),"https://www.wdsu.com/article/nopd-investigating-after-juvenile-shot-in-desire-area/29474117# https://wgno.com/2019/10/15/george-washington-carver-high-school-on-lockdown-after-shooting/ https://www.nola.com/news/crime_police/article_f35f77aa-ef5a-11e9-bc2"&amp;"1-4feb94436dd6.html")</f>
        <v>https://www.wdsu.com/article/nopd-investigating-after-juvenile-shot-in-desire-area/29474117# https://wgno.com/2019/10/15/george-washington-carver-high-school-on-lockdown-after-shooting/ https://www.nola.com/news/crime_police/article_f35f77aa-ef5a-11e9-bc21-4feb94436dd6.html</v>
      </c>
      <c r="L791" s="5"/>
      <c r="M791" s="5"/>
      <c r="N791" s="5">
        <f ca="1">IFERROR(__xludf.DUMMYFUNCTION("""COMPUTED_VALUE"""),4)</f>
        <v>4</v>
      </c>
      <c r="O791" s="5" t="str">
        <f ca="1">IFERROR(__xludf.DUMMYFUNCTION("""COMPUTED_VALUE"""),"Fall")</f>
        <v>Fall</v>
      </c>
      <c r="P791" s="5" t="str">
        <f ca="1">IFERROR(__xludf.DUMMYFUNCTION("""COMPUTED_VALUE"""),"New Orleans")</f>
        <v>New Orleans</v>
      </c>
      <c r="Q791" s="5" t="str">
        <f ca="1">IFERROR(__xludf.DUMMYFUNCTION("""COMPUTED_VALUE"""),"LA")</f>
        <v>LA</v>
      </c>
      <c r="R791" s="5" t="str">
        <f ca="1">IFERROR(__xludf.DUMMYFUNCTION("""COMPUTED_VALUE"""),"High")</f>
        <v>High</v>
      </c>
      <c r="S791" s="5" t="str">
        <f ca="1">IFERROR(__xludf.DUMMYFUNCTION("""COMPUTED_VALUE"""),"Off School Property")</f>
        <v>Off School Property</v>
      </c>
      <c r="T791" s="5" t="str">
        <f ca="1">IFERROR(__xludf.DUMMYFUNCTION("""COMPUTED_VALUE"""),"Off School Property")</f>
        <v>Off School Property</v>
      </c>
      <c r="U791" s="5" t="str">
        <f ca="1">IFERROR(__xludf.DUMMYFUNCTION("""COMPUTED_VALUE"""),"Yes")</f>
        <v>Yes</v>
      </c>
      <c r="V791" s="5" t="str">
        <f ca="1">IFERROR(__xludf.DUMMYFUNCTION("""COMPUTED_VALUE"""),"Morning Classes")</f>
        <v>Morning Classes</v>
      </c>
      <c r="W791" s="10">
        <f ca="1">IFERROR(__xludf.DUMMYFUNCTION("""COMPUTED_VALUE"""),0.402777777777777)</f>
        <v>0.40277777777777701</v>
      </c>
      <c r="X791" s="5">
        <f ca="1">IFERROR(__xludf.DUMMYFUNCTION("""COMPUTED_VALUE"""),1)</f>
        <v>1</v>
      </c>
      <c r="Y791" s="5" t="str">
        <f ca="1">IFERROR(__xludf.DUMMYFUNCTION("""COMPUTED_VALUE"""),"Student shot near school, ran inside school for assistance, school locked down then dismissed")</f>
        <v>Student shot near school, ran inside school for assistance, school locked down then dismissed</v>
      </c>
      <c r="Z791" s="5" t="str">
        <f ca="1">IFERROR(__xludf.DUMMYFUNCTION("""COMPUTED_VALUE"""),"17YOM student was shot near the school and ran back inside of the school for assistance. There was an initial report of an active shooter and the school was locked down. Police determined it was an isolated incident, student was transported to hospital, a"&amp;"nd school was dismissed. No motive released. 3 students at the school have been killed by gun violence in the neighborhood so far this school year.")</f>
        <v>17YOM student was shot near the school and ran back inside of the school for assistance. There was an initial report of an active shooter and the school was locked down. Police determined it was an isolated incident, student was transported to hospital, and school was dismissed. No motive released. 3 students at the school have been killed by gun violence in the neighborhood so far this school year.</v>
      </c>
      <c r="AA791" s="5" t="str">
        <f ca="1">IFERROR(__xludf.DUMMYFUNCTION("""COMPUTED_VALUE"""),"Escalation of Dispute")</f>
        <v>Escalation of Dispute</v>
      </c>
      <c r="AB791" s="5"/>
      <c r="AC791" s="5"/>
      <c r="AD791" s="5" t="str">
        <f ca="1">IFERROR(__xludf.DUMMYFUNCTION("""COMPUTED_VALUE"""),"No")</f>
        <v>No</v>
      </c>
      <c r="AE791" s="5" t="str">
        <f ca="1">IFERROR(__xludf.DUMMYFUNCTION("""COMPUTED_VALUE"""),"No")</f>
        <v>No</v>
      </c>
      <c r="AF791" s="5" t="str">
        <f ca="1">IFERROR(__xludf.DUMMYFUNCTION("""COMPUTED_VALUE"""),"No")</f>
        <v>No</v>
      </c>
      <c r="AG791" s="5" t="str">
        <f ca="1">IFERROR(__xludf.DUMMYFUNCTION("""COMPUTED_VALUE"""),"No")</f>
        <v>No</v>
      </c>
      <c r="AH791" s="5" t="str">
        <f ca="1">IFERROR(__xludf.DUMMYFUNCTION("""COMPUTED_VALUE"""),"No")</f>
        <v>No</v>
      </c>
      <c r="AI791" s="5"/>
      <c r="AJ791" s="5" t="str">
        <f ca="1">IFERROR(__xludf.DUMMYFUNCTION("""COMPUTED_VALUE"""),"No")</f>
        <v>No</v>
      </c>
    </row>
    <row r="792" spans="1:36" ht="13">
      <c r="A792" s="5" t="str">
        <f ca="1">IFERROR(__xludf.DUMMYFUNCTION("""COMPUTED_VALUE"""),"20191011LARAR")</f>
        <v>20191011LARAR</v>
      </c>
      <c r="B792" s="5">
        <f ca="1">IFERROR(__xludf.DUMMYFUNCTION("""COMPUTED_VALUE"""),10)</f>
        <v>10</v>
      </c>
      <c r="C792" s="5">
        <f ca="1">IFERROR(__xludf.DUMMYFUNCTION("""COMPUTED_VALUE"""),11)</f>
        <v>11</v>
      </c>
      <c r="D792" s="5">
        <f ca="1">IFERROR(__xludf.DUMMYFUNCTION("""COMPUTED_VALUE"""),2019)</f>
        <v>2019</v>
      </c>
      <c r="E792" s="8">
        <f ca="1">IFERROR(__xludf.DUMMYFUNCTION("""COMPUTED_VALUE"""),43749)</f>
        <v>43749</v>
      </c>
      <c r="F792" s="5" t="str">
        <f ca="1">IFERROR(__xludf.DUMMYFUNCTION("""COMPUTED_VALUE"""),"Rayne High School")</f>
        <v>Rayne High School</v>
      </c>
      <c r="G792" s="5">
        <f ca="1">IFERROR(__xludf.DUMMYFUNCTION("""COMPUTED_VALUE"""),0)</f>
        <v>0</v>
      </c>
      <c r="H792" s="5">
        <f ca="1">IFERROR(__xludf.DUMMYFUNCTION("""COMPUTED_VALUE"""),0)</f>
        <v>0</v>
      </c>
      <c r="I792" s="5">
        <f ca="1">IFERROR(__xludf.DUMMYFUNCTION("""COMPUTED_VALUE"""),0)</f>
        <v>0</v>
      </c>
      <c r="J792" s="5">
        <f ca="1">IFERROR(__xludf.DUMMYFUNCTION("""COMPUTED_VALUE"""),0)</f>
        <v>0</v>
      </c>
      <c r="K792" s="9" t="str">
        <f ca="1">IFERROR(__xludf.DUMMYFUNCTION("""COMPUTED_VALUE"""),"https://www.katc.com/news/acadia-parish/police-confirm-arrest-of-second-suspect-in-shooting-near-rayne-hs-stadium")</f>
        <v>https://www.katc.com/news/acadia-parish/police-confirm-arrest-of-second-suspect-in-shooting-near-rayne-hs-stadium</v>
      </c>
      <c r="L792" s="5"/>
      <c r="M792" s="5"/>
      <c r="N792" s="5">
        <f ca="1">IFERROR(__xludf.DUMMYFUNCTION("""COMPUTED_VALUE"""),4)</f>
        <v>4</v>
      </c>
      <c r="O792" s="5" t="str">
        <f ca="1">IFERROR(__xludf.DUMMYFUNCTION("""COMPUTED_VALUE"""),"Fall")</f>
        <v>Fall</v>
      </c>
      <c r="P792" s="5" t="str">
        <f ca="1">IFERROR(__xludf.DUMMYFUNCTION("""COMPUTED_VALUE"""),"Rayne")</f>
        <v>Rayne</v>
      </c>
      <c r="Q792" s="5" t="str">
        <f ca="1">IFERROR(__xludf.DUMMYFUNCTION("""COMPUTED_VALUE"""),"LA")</f>
        <v>LA</v>
      </c>
      <c r="R792" s="5" t="str">
        <f ca="1">IFERROR(__xludf.DUMMYFUNCTION("""COMPUTED_VALUE"""),"High")</f>
        <v>High</v>
      </c>
      <c r="S792" s="5" t="str">
        <f ca="1">IFERROR(__xludf.DUMMYFUNCTION("""COMPUTED_VALUE"""),"Parking Lot")</f>
        <v>Parking Lot</v>
      </c>
      <c r="T792" s="5" t="str">
        <f ca="1">IFERROR(__xludf.DUMMYFUNCTION("""COMPUTED_VALUE"""),"Outside on School Property")</f>
        <v>Outside on School Property</v>
      </c>
      <c r="U792" s="5" t="str">
        <f ca="1">IFERROR(__xludf.DUMMYFUNCTION("""COMPUTED_VALUE"""),"No")</f>
        <v>No</v>
      </c>
      <c r="V792" s="5" t="str">
        <f ca="1">IFERROR(__xludf.DUMMYFUNCTION("""COMPUTED_VALUE"""),"Sport Event")</f>
        <v>Sport Event</v>
      </c>
      <c r="W792" s="10">
        <f ca="1">IFERROR(__xludf.DUMMYFUNCTION("""COMPUTED_VALUE"""),0.875)</f>
        <v>0.875</v>
      </c>
      <c r="X792" s="5">
        <f ca="1">IFERROR(__xludf.DUMMYFUNCTION("""COMPUTED_VALUE"""),1)</f>
        <v>1</v>
      </c>
      <c r="Y792" s="5" t="str">
        <f ca="1">IFERROR(__xludf.DUMMYFUNCTION("""COMPUTED_VALUE"""),"20 shots fired in parking lot after football game")</f>
        <v>20 shots fired in parking lot after football game</v>
      </c>
      <c r="Z792" s="5" t="str">
        <f ca="1">IFERROR(__xludf.DUMMYFUNCTION("""COMPUTED_VALUE"""),"15YOM fired 20 shots in the school parking lot following a high school football game. Two other suspects arrested for involvement.")</f>
        <v>15YOM fired 20 shots in the school parking lot following a high school football game. Two other suspects arrested for involvement.</v>
      </c>
      <c r="AA792" s="5" t="str">
        <f ca="1">IFERROR(__xludf.DUMMYFUNCTION("""COMPUTED_VALUE"""),"Indiscriminate Shooting")</f>
        <v>Indiscriminate Shooting</v>
      </c>
      <c r="AB792" s="5" t="str">
        <f ca="1">IFERROR(__xludf.DUMMYFUNCTION("""COMPUTED_VALUE"""),"Victims Targeted")</f>
        <v>Victims Targeted</v>
      </c>
      <c r="AC792" s="5" t="str">
        <f ca="1">IFERROR(__xludf.DUMMYFUNCTION("""COMPUTED_VALUE"""),"Yes")</f>
        <v>Yes</v>
      </c>
      <c r="AD792" s="5" t="str">
        <f ca="1">IFERROR(__xludf.DUMMYFUNCTION("""COMPUTED_VALUE"""),"No")</f>
        <v>No</v>
      </c>
      <c r="AE792" s="5" t="str">
        <f ca="1">IFERROR(__xludf.DUMMYFUNCTION("""COMPUTED_VALUE"""),"No")</f>
        <v>No</v>
      </c>
      <c r="AF792" s="5" t="str">
        <f ca="1">IFERROR(__xludf.DUMMYFUNCTION("""COMPUTED_VALUE"""),"No")</f>
        <v>No</v>
      </c>
      <c r="AG792" s="5" t="str">
        <f ca="1">IFERROR(__xludf.DUMMYFUNCTION("""COMPUTED_VALUE"""),"No")</f>
        <v>No</v>
      </c>
      <c r="AH792" s="5" t="str">
        <f ca="1">IFERROR(__xludf.DUMMYFUNCTION("""COMPUTED_VALUE"""),"No")</f>
        <v>No</v>
      </c>
      <c r="AI792" s="5" t="str">
        <f ca="1">IFERROR(__xludf.DUMMYFUNCTION("""COMPUTED_VALUE"""),"No")</f>
        <v>No</v>
      </c>
      <c r="AJ792" s="5" t="str">
        <f ca="1">IFERROR(__xludf.DUMMYFUNCTION("""COMPUTED_VALUE"""),"No")</f>
        <v>No</v>
      </c>
    </row>
    <row r="793" spans="1:36" ht="13">
      <c r="A793" s="5" t="str">
        <f ca="1">IFERROR(__xludf.DUMMYFUNCTION("""COMPUTED_VALUE"""),"20191009MAGRL")</f>
        <v>20191009MAGRL</v>
      </c>
      <c r="B793" s="5">
        <f ca="1">IFERROR(__xludf.DUMMYFUNCTION("""COMPUTED_VALUE"""),10)</f>
        <v>10</v>
      </c>
      <c r="C793" s="5">
        <f ca="1">IFERROR(__xludf.DUMMYFUNCTION("""COMPUTED_VALUE"""),9)</f>
        <v>9</v>
      </c>
      <c r="D793" s="5">
        <f ca="1">IFERROR(__xludf.DUMMYFUNCTION("""COMPUTED_VALUE"""),2019)</f>
        <v>2019</v>
      </c>
      <c r="E793" s="8">
        <f ca="1">IFERROR(__xludf.DUMMYFUNCTION("""COMPUTED_VALUE"""),43747)</f>
        <v>43747</v>
      </c>
      <c r="F793" s="5" t="str">
        <f ca="1">IFERROR(__xludf.DUMMYFUNCTION("""COMPUTED_VALUE"""),"Greenhalge Elementary School")</f>
        <v>Greenhalge Elementary School</v>
      </c>
      <c r="G793" s="5">
        <f ca="1">IFERROR(__xludf.DUMMYFUNCTION("""COMPUTED_VALUE"""),0)</f>
        <v>0</v>
      </c>
      <c r="H793" s="5">
        <f ca="1">IFERROR(__xludf.DUMMYFUNCTION("""COMPUTED_VALUE"""),5)</f>
        <v>5</v>
      </c>
      <c r="I793" s="5">
        <f ca="1">IFERROR(__xludf.DUMMYFUNCTION("""COMPUTED_VALUE"""),5)</f>
        <v>5</v>
      </c>
      <c r="J793" s="5">
        <f ca="1">IFERROR(__xludf.DUMMYFUNCTION("""COMPUTED_VALUE"""),0)</f>
        <v>0</v>
      </c>
      <c r="K793" s="5" t="str">
        <f ca="1">IFERROR(__xludf.DUMMYFUNCTION("""COMPUTED_VALUE"""),"https://www.nbcboston.com/news/local/Police-ID-3-Kids-From-Lowell-School-Playground-BB-Gun-Shooting-562856251.html https://www.wcvb.com/article/students-shot-with-bb-guns-at-greenhalge-elementary-school-playground-lowell-police-say/29419440")</f>
        <v>https://www.nbcboston.com/news/local/Police-ID-3-Kids-From-Lowell-School-Playground-BB-Gun-Shooting-562856251.html https://www.wcvb.com/article/students-shot-with-bb-guns-at-greenhalge-elementary-school-playground-lowell-police-say/29419440</v>
      </c>
      <c r="L793" s="5"/>
      <c r="M793" s="5"/>
      <c r="N793" s="5">
        <f ca="1">IFERROR(__xludf.DUMMYFUNCTION("""COMPUTED_VALUE"""),4)</f>
        <v>4</v>
      </c>
      <c r="O793" s="5" t="str">
        <f ca="1">IFERROR(__xludf.DUMMYFUNCTION("""COMPUTED_VALUE"""),"Fall")</f>
        <v>Fall</v>
      </c>
      <c r="P793" s="5" t="str">
        <f ca="1">IFERROR(__xludf.DUMMYFUNCTION("""COMPUTED_VALUE"""),"Lowell")</f>
        <v>Lowell</v>
      </c>
      <c r="Q793" s="5" t="str">
        <f ca="1">IFERROR(__xludf.DUMMYFUNCTION("""COMPUTED_VALUE"""),"MA")</f>
        <v>MA</v>
      </c>
      <c r="R793" s="5" t="str">
        <f ca="1">IFERROR(__xludf.DUMMYFUNCTION("""COMPUTED_VALUE"""),"Elementary")</f>
        <v>Elementary</v>
      </c>
      <c r="S793" s="5" t="str">
        <f ca="1">IFERROR(__xludf.DUMMYFUNCTION("""COMPUTED_VALUE"""),"Playground")</f>
        <v>Playground</v>
      </c>
      <c r="T793" s="5" t="str">
        <f ca="1">IFERROR(__xludf.DUMMYFUNCTION("""COMPUTED_VALUE"""),"Outside on School Property")</f>
        <v>Outside on School Property</v>
      </c>
      <c r="U793" s="5" t="str">
        <f ca="1">IFERROR(__xludf.DUMMYFUNCTION("""COMPUTED_VALUE"""),"No")</f>
        <v>No</v>
      </c>
      <c r="V793" s="5" t="str">
        <f ca="1">IFERROR(__xludf.DUMMYFUNCTION("""COMPUTED_VALUE"""),"After School")</f>
        <v>After School</v>
      </c>
      <c r="W793" s="10">
        <f ca="1">IFERROR(__xludf.DUMMYFUNCTION("""COMPUTED_VALUE"""),0.565277777777777)</f>
        <v>0.56527777777777699</v>
      </c>
      <c r="X793" s="5"/>
      <c r="Y793" s="5" t="str">
        <f ca="1">IFERROR(__xludf.DUMMYFUNCTION("""COMPUTED_VALUE"""),"Three teens on bicycles fired bb guns at the students on the playground.")</f>
        <v>Three teens on bicycles fired bb guns at the students on the playground.</v>
      </c>
      <c r="Z793" s="5" t="str">
        <f ca="1">IFERROR(__xludf.DUMMYFUNCTION("""COMPUTED_VALUE"""),"12YOM and two 11YOM students on bicycles fired BB guns indiscriminately at the students on the school playground. 5 students were injured and 2 were taken by ambulance to the hospital. 12YOM was arrested, 11YOMs cannot be charged with a crime under state "&amp;"law. Details and motive of the shooting unknown.")</f>
        <v>12YOM and two 11YOM students on bicycles fired BB guns indiscriminately at the students on the school playground. 5 students were injured and 2 were taken by ambulance to the hospital. 12YOM was arrested, 11YOMs cannot be charged with a crime under state law. Details and motive of the shooting unknown.</v>
      </c>
      <c r="AA793" s="5" t="str">
        <f ca="1">IFERROR(__xludf.DUMMYFUNCTION("""COMPUTED_VALUE"""),"Indiscriminate Shooting")</f>
        <v>Indiscriminate Shooting</v>
      </c>
      <c r="AB793" s="5" t="str">
        <f ca="1">IFERROR(__xludf.DUMMYFUNCTION("""COMPUTED_VALUE"""),"Random Shooting")</f>
        <v>Random Shooting</v>
      </c>
      <c r="AC793" s="5" t="str">
        <f ca="1">IFERROR(__xludf.DUMMYFUNCTION("""COMPUTED_VALUE"""),"Yes")</f>
        <v>Yes</v>
      </c>
      <c r="AD793" s="5" t="str">
        <f ca="1">IFERROR(__xludf.DUMMYFUNCTION("""COMPUTED_VALUE"""),"No")</f>
        <v>No</v>
      </c>
      <c r="AE793" s="5" t="str">
        <f ca="1">IFERROR(__xludf.DUMMYFUNCTION("""COMPUTED_VALUE"""),"No")</f>
        <v>No</v>
      </c>
      <c r="AF793" s="5" t="str">
        <f ca="1">IFERROR(__xludf.DUMMYFUNCTION("""COMPUTED_VALUE"""),"No")</f>
        <v>No</v>
      </c>
      <c r="AG793" s="5"/>
      <c r="AH793" s="5" t="str">
        <f ca="1">IFERROR(__xludf.DUMMYFUNCTION("""COMPUTED_VALUE"""),"No")</f>
        <v>No</v>
      </c>
      <c r="AI793" s="5" t="str">
        <f ca="1">IFERROR(__xludf.DUMMYFUNCTION("""COMPUTED_VALUE"""),"No")</f>
        <v>No</v>
      </c>
      <c r="AJ793" s="5" t="str">
        <f ca="1">IFERROR(__xludf.DUMMYFUNCTION("""COMPUTED_VALUE"""),"No")</f>
        <v>No</v>
      </c>
    </row>
    <row r="794" spans="1:36" ht="13">
      <c r="A794" s="5" t="str">
        <f ca="1">IFERROR(__xludf.DUMMYFUNCTION("""COMPUTED_VALUE"""),"20191008TXWEH")</f>
        <v>20191008TXWEH</v>
      </c>
      <c r="B794" s="5">
        <f ca="1">IFERROR(__xludf.DUMMYFUNCTION("""COMPUTED_VALUE"""),10)</f>
        <v>10</v>
      </c>
      <c r="C794" s="5">
        <f ca="1">IFERROR(__xludf.DUMMYFUNCTION("""COMPUTED_VALUE"""),8)</f>
        <v>8</v>
      </c>
      <c r="D794" s="5">
        <f ca="1">IFERROR(__xludf.DUMMYFUNCTION("""COMPUTED_VALUE"""),2019)</f>
        <v>2019</v>
      </c>
      <c r="E794" s="8">
        <f ca="1">IFERROR(__xludf.DUMMYFUNCTION("""COMPUTED_VALUE"""),43746)</f>
        <v>43746</v>
      </c>
      <c r="F794" s="5" t="str">
        <f ca="1">IFERROR(__xludf.DUMMYFUNCTION("""COMPUTED_VALUE"""),"Westbury High School")</f>
        <v>Westbury High School</v>
      </c>
      <c r="G794" s="5">
        <f ca="1">IFERROR(__xludf.DUMMYFUNCTION("""COMPUTED_VALUE"""),0)</f>
        <v>0</v>
      </c>
      <c r="H794" s="5">
        <f ca="1">IFERROR(__xludf.DUMMYFUNCTION("""COMPUTED_VALUE"""),1)</f>
        <v>1</v>
      </c>
      <c r="I794" s="5">
        <f ca="1">IFERROR(__xludf.DUMMYFUNCTION("""COMPUTED_VALUE"""),1)</f>
        <v>1</v>
      </c>
      <c r="J794" s="5">
        <f ca="1">IFERROR(__xludf.DUMMYFUNCTION("""COMPUTED_VALUE"""),0)</f>
        <v>0</v>
      </c>
      <c r="K794" s="5" t="str">
        <f ca="1">IFERROR(__xludf.DUMMYFUNCTION("""COMPUTED_VALUE"""),"https://abc13.com/student-recovering-after-shooting-at-westbury-high-school/5608873/ https://www.chron.com/news/education/article/Westbury-High-student-injured-by-gunshot-on-campus-14506714.php")</f>
        <v>https://abc13.com/student-recovering-after-shooting-at-westbury-high-school/5608873/ https://www.chron.com/news/education/article/Westbury-High-student-injured-by-gunshot-on-campus-14506714.php</v>
      </c>
      <c r="L794" s="5"/>
      <c r="M794" s="5"/>
      <c r="N794" s="5">
        <f ca="1">IFERROR(__xludf.DUMMYFUNCTION("""COMPUTED_VALUE"""),4)</f>
        <v>4</v>
      </c>
      <c r="O794" s="5" t="str">
        <f ca="1">IFERROR(__xludf.DUMMYFUNCTION("""COMPUTED_VALUE"""),"Fall")</f>
        <v>Fall</v>
      </c>
      <c r="P794" s="5" t="str">
        <f ca="1">IFERROR(__xludf.DUMMYFUNCTION("""COMPUTED_VALUE"""),"Houston")</f>
        <v>Houston</v>
      </c>
      <c r="Q794" s="5" t="str">
        <f ca="1">IFERROR(__xludf.DUMMYFUNCTION("""COMPUTED_VALUE"""),"TX")</f>
        <v>TX</v>
      </c>
      <c r="R794" s="5" t="str">
        <f ca="1">IFERROR(__xludf.DUMMYFUNCTION("""COMPUTED_VALUE"""),"High")</f>
        <v>High</v>
      </c>
      <c r="S794" s="5" t="str">
        <f ca="1">IFERROR(__xludf.DUMMYFUNCTION("""COMPUTED_VALUE"""),"Beside Building")</f>
        <v>Beside Building</v>
      </c>
      <c r="T794" s="5"/>
      <c r="U794" s="5" t="str">
        <f ca="1">IFERROR(__xludf.DUMMYFUNCTION("""COMPUTED_VALUE"""),"No")</f>
        <v>No</v>
      </c>
      <c r="V794" s="5" t="str">
        <f ca="1">IFERROR(__xludf.DUMMYFUNCTION("""COMPUTED_VALUE"""),"After School")</f>
        <v>After School</v>
      </c>
      <c r="W794" s="5"/>
      <c r="X794" s="5"/>
      <c r="Y794" s="5" t="str">
        <f ca="1">IFERROR(__xludf.DUMMYFUNCTION("""COMPUTED_VALUE"""),"Student shot in school, no details released")</f>
        <v>Student shot in school, no details released</v>
      </c>
      <c r="Z794" s="5" t="str">
        <f ca="1">IFERROR(__xludf.DUMMYFUNCTION("""COMPUTED_VALUE"""),"Unidentified student shot after school dismissed. No other details released.")</f>
        <v>Unidentified student shot after school dismissed. No other details released.</v>
      </c>
      <c r="AA794" s="5" t="str">
        <f ca="1">IFERROR(__xludf.DUMMYFUNCTION("""COMPUTED_VALUE"""),"Unknown")</f>
        <v>Unknown</v>
      </c>
      <c r="AB794" s="5"/>
      <c r="AC794" s="5" t="str">
        <f ca="1">IFERROR(__xludf.DUMMYFUNCTION("""COMPUTED_VALUE"""),"No")</f>
        <v>No</v>
      </c>
      <c r="AD794" s="5" t="str">
        <f ca="1">IFERROR(__xludf.DUMMYFUNCTION("""COMPUTED_VALUE"""),"No")</f>
        <v>No</v>
      </c>
      <c r="AE794" s="5" t="str">
        <f ca="1">IFERROR(__xludf.DUMMYFUNCTION("""COMPUTED_VALUE"""),"No")</f>
        <v>No</v>
      </c>
      <c r="AF794" s="5" t="str">
        <f ca="1">IFERROR(__xludf.DUMMYFUNCTION("""COMPUTED_VALUE"""),"No")</f>
        <v>No</v>
      </c>
      <c r="AG794" s="5"/>
      <c r="AH794" s="5"/>
      <c r="AI794" s="5"/>
      <c r="AJ794" s="5" t="str">
        <f ca="1">IFERROR(__xludf.DUMMYFUNCTION("""COMPUTED_VALUE"""),"No")</f>
        <v>No</v>
      </c>
    </row>
    <row r="795" spans="1:36" ht="13">
      <c r="A795" s="5" t="str">
        <f ca="1">IFERROR(__xludf.DUMMYFUNCTION("""COMPUTED_VALUE"""),"20191008COSHS")</f>
        <v>20191008COSHS</v>
      </c>
      <c r="B795" s="5">
        <f ca="1">IFERROR(__xludf.DUMMYFUNCTION("""COMPUTED_VALUE"""),10)</f>
        <v>10</v>
      </c>
      <c r="C795" s="5">
        <f ca="1">IFERROR(__xludf.DUMMYFUNCTION("""COMPUTED_VALUE"""),8)</f>
        <v>8</v>
      </c>
      <c r="D795" s="5">
        <f ca="1">IFERROR(__xludf.DUMMYFUNCTION("""COMPUTED_VALUE"""),2019)</f>
        <v>2019</v>
      </c>
      <c r="E795" s="8">
        <f ca="1">IFERROR(__xludf.DUMMYFUNCTION("""COMPUTED_VALUE"""),43746)</f>
        <v>43746</v>
      </c>
      <c r="F795" s="5" t="str">
        <f ca="1">IFERROR(__xludf.DUMMYFUNCTION("""COMPUTED_VALUE"""),"Sheridan High School")</f>
        <v>Sheridan High School</v>
      </c>
      <c r="G795" s="5">
        <f ca="1">IFERROR(__xludf.DUMMYFUNCTION("""COMPUTED_VALUE"""),0)</f>
        <v>0</v>
      </c>
      <c r="H795" s="5">
        <f ca="1">IFERROR(__xludf.DUMMYFUNCTION("""COMPUTED_VALUE"""),1)</f>
        <v>1</v>
      </c>
      <c r="I795" s="5">
        <f ca="1">IFERROR(__xludf.DUMMYFUNCTION("""COMPUTED_VALUE"""),1)</f>
        <v>1</v>
      </c>
      <c r="J795" s="5">
        <f ca="1">IFERROR(__xludf.DUMMYFUNCTION("""COMPUTED_VALUE"""),0)</f>
        <v>0</v>
      </c>
      <c r="K795" s="5" t="str">
        <f ca="1">IFERROR(__xludf.DUMMYFUNCTION("""COMPUTED_VALUE"""),"https://www.westword.com/news/sheridan-high-school-shooting-update-11507354 https://denver.cbslocal.com/2019/10/08/teenager-shot-outside-sheridan-high-school/ https://kdvr.com/2019/10/10/teen-suspect-in-sheridan-high-school-shooting-surrenders/")</f>
        <v>https://www.westword.com/news/sheridan-high-school-shooting-update-11507354 https://denver.cbslocal.com/2019/10/08/teenager-shot-outside-sheridan-high-school/ https://kdvr.com/2019/10/10/teen-suspect-in-sheridan-high-school-shooting-surrenders/</v>
      </c>
      <c r="L795" s="5"/>
      <c r="M795" s="5"/>
      <c r="N795" s="5">
        <f ca="1">IFERROR(__xludf.DUMMYFUNCTION("""COMPUTED_VALUE"""),4)</f>
        <v>4</v>
      </c>
      <c r="O795" s="5" t="str">
        <f ca="1">IFERROR(__xludf.DUMMYFUNCTION("""COMPUTED_VALUE"""),"Fall")</f>
        <v>Fall</v>
      </c>
      <c r="P795" s="5" t="str">
        <f ca="1">IFERROR(__xludf.DUMMYFUNCTION("""COMPUTED_VALUE"""),"Sheridan")</f>
        <v>Sheridan</v>
      </c>
      <c r="Q795" s="5" t="str">
        <f ca="1">IFERROR(__xludf.DUMMYFUNCTION("""COMPUTED_VALUE"""),"CO")</f>
        <v>CO</v>
      </c>
      <c r="R795" s="5" t="str">
        <f ca="1">IFERROR(__xludf.DUMMYFUNCTION("""COMPUTED_VALUE"""),"High")</f>
        <v>High</v>
      </c>
      <c r="S795" s="5" t="str">
        <f ca="1">IFERROR(__xludf.DUMMYFUNCTION("""COMPUTED_VALUE"""),"Beside Building")</f>
        <v>Beside Building</v>
      </c>
      <c r="T795" s="5" t="str">
        <f ca="1">IFERROR(__xludf.DUMMYFUNCTION("""COMPUTED_VALUE"""),"Outside on School Property")</f>
        <v>Outside on School Property</v>
      </c>
      <c r="U795" s="5" t="str">
        <f ca="1">IFERROR(__xludf.DUMMYFUNCTION("""COMPUTED_VALUE"""),"No")</f>
        <v>No</v>
      </c>
      <c r="V795" s="5" t="str">
        <f ca="1">IFERROR(__xludf.DUMMYFUNCTION("""COMPUTED_VALUE"""),"Sport Event")</f>
        <v>Sport Event</v>
      </c>
      <c r="W795" s="10">
        <f ca="1">IFERROR(__xludf.DUMMYFUNCTION("""COMPUTED_VALUE"""),0.822916666666666)</f>
        <v>0.82291666666666596</v>
      </c>
      <c r="X795" s="5">
        <f ca="1">IFERROR(__xludf.DUMMYFUNCTION("""COMPUTED_VALUE"""),1)</f>
        <v>1</v>
      </c>
      <c r="Y795" s="5" t="str">
        <f ca="1">IFERROR(__xludf.DUMMYFUNCTION("""COMPUTED_VALUE"""),"Teen shot during fight outside of school during volleyball game")</f>
        <v>Teen shot during fight outside of school during volleyball game</v>
      </c>
      <c r="Z795" s="5" t="str">
        <f ca="1">IFERROR(__xludf.DUMMYFUNCTION("""COMPUTED_VALUE"""),"Teen (student from another school) was shot by another teen following a fight outside of the school during a evening volleyball game. School was locked down. Shooter fled the area. School systems closed the school the following day because shooter had not"&amp;" yet been arrested. No other students were injured.")</f>
        <v>Teen (student from another school) was shot by another teen following a fight outside of the school during a evening volleyball game. School was locked down. Shooter fled the area. School systems closed the school the following day because shooter had not yet been arrested. No other students were injured.</v>
      </c>
      <c r="AA795" s="5" t="str">
        <f ca="1">IFERROR(__xludf.DUMMYFUNCTION("""COMPUTED_VALUE"""),"Escalation of Dispute")</f>
        <v>Escalation of Dispute</v>
      </c>
      <c r="AB795" s="5" t="str">
        <f ca="1">IFERROR(__xludf.DUMMYFUNCTION("""COMPUTED_VALUE"""),"Victims Targeted")</f>
        <v>Victims Targeted</v>
      </c>
      <c r="AC795" s="5" t="str">
        <f ca="1">IFERROR(__xludf.DUMMYFUNCTION("""COMPUTED_VALUE"""),"No")</f>
        <v>No</v>
      </c>
      <c r="AD795" s="5" t="str">
        <f ca="1">IFERROR(__xludf.DUMMYFUNCTION("""COMPUTED_VALUE"""),"No")</f>
        <v>No</v>
      </c>
      <c r="AE795" s="5" t="str">
        <f ca="1">IFERROR(__xludf.DUMMYFUNCTION("""COMPUTED_VALUE"""),"No")</f>
        <v>No</v>
      </c>
      <c r="AF795" s="5" t="str">
        <f ca="1">IFERROR(__xludf.DUMMYFUNCTION("""COMPUTED_VALUE"""),"No")</f>
        <v>No</v>
      </c>
      <c r="AG795" s="5" t="str">
        <f ca="1">IFERROR(__xludf.DUMMYFUNCTION("""COMPUTED_VALUE"""),"No")</f>
        <v>No</v>
      </c>
      <c r="AH795" s="5" t="str">
        <f ca="1">IFERROR(__xludf.DUMMYFUNCTION("""COMPUTED_VALUE"""),"No")</f>
        <v>No</v>
      </c>
      <c r="AI795" s="5" t="str">
        <f ca="1">IFERROR(__xludf.DUMMYFUNCTION("""COMPUTED_VALUE"""),"No")</f>
        <v>No</v>
      </c>
      <c r="AJ795" s="5" t="str">
        <f ca="1">IFERROR(__xludf.DUMMYFUNCTION("""COMPUTED_VALUE"""),"No")</f>
        <v>No</v>
      </c>
    </row>
    <row r="796" spans="1:36" ht="13">
      <c r="A796" s="5" t="str">
        <f ca="1">IFERROR(__xludf.DUMMYFUNCTION("""COMPUTED_VALUE"""),"20191002GASOA")</f>
        <v>20191002GASOA</v>
      </c>
      <c r="B796" s="5">
        <f ca="1">IFERROR(__xludf.DUMMYFUNCTION("""COMPUTED_VALUE"""),10)</f>
        <v>10</v>
      </c>
      <c r="C796" s="5">
        <f ca="1">IFERROR(__xludf.DUMMYFUNCTION("""COMPUTED_VALUE"""),2)</f>
        <v>2</v>
      </c>
      <c r="D796" s="5">
        <f ca="1">IFERROR(__xludf.DUMMYFUNCTION("""COMPUTED_VALUE"""),2019)</f>
        <v>2019</v>
      </c>
      <c r="E796" s="8">
        <f ca="1">IFERROR(__xludf.DUMMYFUNCTION("""COMPUTED_VALUE"""),43740)</f>
        <v>43740</v>
      </c>
      <c r="F796" s="5" t="str">
        <f ca="1">IFERROR(__xludf.DUMMYFUNCTION("""COMPUTED_VALUE"""),"South Atlanta High School")</f>
        <v>South Atlanta High School</v>
      </c>
      <c r="G796" s="5">
        <f ca="1">IFERROR(__xludf.DUMMYFUNCTION("""COMPUTED_VALUE"""),0)</f>
        <v>0</v>
      </c>
      <c r="H796" s="5">
        <f ca="1">IFERROR(__xludf.DUMMYFUNCTION("""COMPUTED_VALUE"""),0)</f>
        <v>0</v>
      </c>
      <c r="I796" s="5">
        <f ca="1">IFERROR(__xludf.DUMMYFUNCTION("""COMPUTED_VALUE"""),0)</f>
        <v>0</v>
      </c>
      <c r="J796" s="5">
        <f ca="1">IFERROR(__xludf.DUMMYFUNCTION("""COMPUTED_VALUE"""),0)</f>
        <v>0</v>
      </c>
      <c r="K796" s="5" t="str">
        <f ca="1">IFERROR(__xludf.DUMMYFUNCTION("""COMPUTED_VALUE"""),"https://www.11alive.com/article/news/local/1-arrested-after-firing-shot-into-air-after-fight-at-south-atlanta-softball-game/85-1dd84976-3cfe-4cf1-9211-05bba5abe07e https://www.ajc.com/news/crime--law/watch-gunshot-fired-amid-chaotic-fight-after-atlanta-hi"&amp;"gh-school-softball-game/p0v8LBThp4rgAVBGn057BM/ https://www.wsbtv.com/news/local/atlanta/gunshot-fired-amid-chaotic-fight-after-atlanta-high-school-softball-game/993420513/ https://www.ajc.com/news/crime--law/watch-gunshot-fired-amid-chaotic-fight-after-a"&amp;"tlanta-high-school-softball-game/p0v8LBThp4rgAVBGn057BM/")</f>
        <v>https://www.11alive.com/article/news/local/1-arrested-after-firing-shot-into-air-after-fight-at-south-atlanta-softball-game/85-1dd84976-3cfe-4cf1-9211-05bba5abe07e https://www.ajc.com/news/crime--law/watch-gunshot-fired-amid-chaotic-fight-after-atlanta-high-school-softball-game/p0v8LBThp4rgAVBGn057BM/ https://www.wsbtv.com/news/local/atlanta/gunshot-fired-amid-chaotic-fight-after-atlanta-high-school-softball-game/993420513/ https://www.ajc.com/news/crime--law/watch-gunshot-fired-amid-chaotic-fight-after-atlanta-high-school-softball-game/p0v8LBThp4rgAVBGn057BM/</v>
      </c>
      <c r="L796" s="5"/>
      <c r="M796" s="5"/>
      <c r="N796" s="5">
        <f ca="1">IFERROR(__xludf.DUMMYFUNCTION("""COMPUTED_VALUE"""),4)</f>
        <v>4</v>
      </c>
      <c r="O796" s="5" t="str">
        <f ca="1">IFERROR(__xludf.DUMMYFUNCTION("""COMPUTED_VALUE"""),"Fall")</f>
        <v>Fall</v>
      </c>
      <c r="P796" s="5" t="str">
        <f ca="1">IFERROR(__xludf.DUMMYFUNCTION("""COMPUTED_VALUE"""),"Atlanta")</f>
        <v>Atlanta</v>
      </c>
      <c r="Q796" s="5" t="str">
        <f ca="1">IFERROR(__xludf.DUMMYFUNCTION("""COMPUTED_VALUE"""),"GA")</f>
        <v>GA</v>
      </c>
      <c r="R796" s="5" t="str">
        <f ca="1">IFERROR(__xludf.DUMMYFUNCTION("""COMPUTED_VALUE"""),"High")</f>
        <v>High</v>
      </c>
      <c r="S796" s="5" t="str">
        <f ca="1">IFERROR(__xludf.DUMMYFUNCTION("""COMPUTED_VALUE"""),"Field (General)")</f>
        <v>Field (General)</v>
      </c>
      <c r="T796" s="5" t="str">
        <f ca="1">IFERROR(__xludf.DUMMYFUNCTION("""COMPUTED_VALUE"""),"Outside on School Property")</f>
        <v>Outside on School Property</v>
      </c>
      <c r="U796" s="5" t="str">
        <f ca="1">IFERROR(__xludf.DUMMYFUNCTION("""COMPUTED_VALUE"""),"No")</f>
        <v>No</v>
      </c>
      <c r="V796" s="5" t="str">
        <f ca="1">IFERROR(__xludf.DUMMYFUNCTION("""COMPUTED_VALUE"""),"Sport Event")</f>
        <v>Sport Event</v>
      </c>
      <c r="W796" s="10">
        <f ca="1">IFERROR(__xludf.DUMMYFUNCTION("""COMPUTED_VALUE"""),0.854166666666666)</f>
        <v>0.85416666666666596</v>
      </c>
      <c r="X796" s="5">
        <f ca="1">IFERROR(__xludf.DUMMYFUNCTION("""COMPUTED_VALUE"""),1)</f>
        <v>1</v>
      </c>
      <c r="Y796" s="5" t="str">
        <f ca="1">IFERROR(__xludf.DUMMYFUNCTION("""COMPUTED_VALUE"""),"Adult fired shot into air during fight at high school softball game")</f>
        <v>Adult fired shot into air during fight at high school softball game</v>
      </c>
      <c r="Z796" s="5" t="str">
        <f ca="1">IFERROR(__xludf.DUMMYFUNCTION("""COMPUTED_VALUE"""),"Adult fired shot into the air during large fight involving 50+ parents and students at high school softball game. Police officer assigned to the school attempted to break up the fight and subdued the shooter.")</f>
        <v>Adult fired shot into the air during large fight involving 50+ parents and students at high school softball game. Police officer assigned to the school attempted to break up the fight and subdued the shooter.</v>
      </c>
      <c r="AA796" s="5" t="str">
        <f ca="1">IFERROR(__xludf.DUMMYFUNCTION("""COMPUTED_VALUE"""),"Escalation of Dispute")</f>
        <v>Escalation of Dispute</v>
      </c>
      <c r="AB796" s="5" t="str">
        <f ca="1">IFERROR(__xludf.DUMMYFUNCTION("""COMPUTED_VALUE"""),"Neither")</f>
        <v>Neither</v>
      </c>
      <c r="AC796" s="5" t="str">
        <f ca="1">IFERROR(__xludf.DUMMYFUNCTION("""COMPUTED_VALUE"""),"No")</f>
        <v>No</v>
      </c>
      <c r="AD796" s="5" t="str">
        <f ca="1">IFERROR(__xludf.DUMMYFUNCTION("""COMPUTED_VALUE"""),"No")</f>
        <v>No</v>
      </c>
      <c r="AE796" s="5" t="str">
        <f ca="1">IFERROR(__xludf.DUMMYFUNCTION("""COMPUTED_VALUE"""),"No")</f>
        <v>No</v>
      </c>
      <c r="AF796" s="5" t="str">
        <f ca="1">IFERROR(__xludf.DUMMYFUNCTION("""COMPUTED_VALUE"""),"No")</f>
        <v>No</v>
      </c>
      <c r="AG796" s="5" t="str">
        <f ca="1">IFERROR(__xludf.DUMMYFUNCTION("""COMPUTED_VALUE"""),"No")</f>
        <v>No</v>
      </c>
      <c r="AH796" s="5" t="str">
        <f ca="1">IFERROR(__xludf.DUMMYFUNCTION("""COMPUTED_VALUE"""),"No")</f>
        <v>No</v>
      </c>
      <c r="AI796" s="5" t="str">
        <f ca="1">IFERROR(__xludf.DUMMYFUNCTION("""COMPUTED_VALUE"""),"No")</f>
        <v>No</v>
      </c>
      <c r="AJ796" s="5" t="str">
        <f ca="1">IFERROR(__xludf.DUMMYFUNCTION("""COMPUTED_VALUE"""),"No")</f>
        <v>No</v>
      </c>
    </row>
    <row r="797" spans="1:36" ht="13">
      <c r="A797" s="5" t="str">
        <f ca="1">IFERROR(__xludf.DUMMYFUNCTION("""COMPUTED_VALUE"""),"20190927NCZEC")</f>
        <v>20190927NCZEC</v>
      </c>
      <c r="B797" s="5">
        <f ca="1">IFERROR(__xludf.DUMMYFUNCTION("""COMPUTED_VALUE"""),9)</f>
        <v>9</v>
      </c>
      <c r="C797" s="5">
        <f ca="1">IFERROR(__xludf.DUMMYFUNCTION("""COMPUTED_VALUE"""),27)</f>
        <v>27</v>
      </c>
      <c r="D797" s="5">
        <f ca="1">IFERROR(__xludf.DUMMYFUNCTION("""COMPUTED_VALUE"""),2019)</f>
        <v>2019</v>
      </c>
      <c r="E797" s="8">
        <f ca="1">IFERROR(__xludf.DUMMYFUNCTION("""COMPUTED_VALUE"""),43735)</f>
        <v>43735</v>
      </c>
      <c r="F797" s="5" t="str">
        <f ca="1">IFERROR(__xludf.DUMMYFUNCTION("""COMPUTED_VALUE"""),"Zebulon B. Vance High School")</f>
        <v>Zebulon B. Vance High School</v>
      </c>
      <c r="G797" s="5">
        <f ca="1">IFERROR(__xludf.DUMMYFUNCTION("""COMPUTED_VALUE"""),0)</f>
        <v>0</v>
      </c>
      <c r="H797" s="5">
        <f ca="1">IFERROR(__xludf.DUMMYFUNCTION("""COMPUTED_VALUE"""),0)</f>
        <v>0</v>
      </c>
      <c r="I797" s="5">
        <f ca="1">IFERROR(__xludf.DUMMYFUNCTION("""COMPUTED_VALUE"""),0)</f>
        <v>0</v>
      </c>
      <c r="J797" s="5">
        <f ca="1">IFERROR(__xludf.DUMMYFUNCTION("""COMPUTED_VALUE"""),0)</f>
        <v>0</v>
      </c>
      <c r="K797" s="9" t="str">
        <f ca="1">IFERROR(__xludf.DUMMYFUNCTION("""COMPUTED_VALUE"""),"https://www.wbtv.com/2019/09/28/arrested-after-multiple-fights-high-school-football-game-charlotte/")</f>
        <v>https://www.wbtv.com/2019/09/28/arrested-after-multiple-fights-high-school-football-game-charlotte/</v>
      </c>
      <c r="L797" s="5"/>
      <c r="M797" s="5"/>
      <c r="N797" s="5">
        <f ca="1">IFERROR(__xludf.DUMMYFUNCTION("""COMPUTED_VALUE"""),3)</f>
        <v>3</v>
      </c>
      <c r="O797" s="5" t="str">
        <f ca="1">IFERROR(__xludf.DUMMYFUNCTION("""COMPUTED_VALUE"""),"Fall")</f>
        <v>Fall</v>
      </c>
      <c r="P797" s="5" t="str">
        <f ca="1">IFERROR(__xludf.DUMMYFUNCTION("""COMPUTED_VALUE"""),"Charlotte")</f>
        <v>Charlotte</v>
      </c>
      <c r="Q797" s="5" t="str">
        <f ca="1">IFERROR(__xludf.DUMMYFUNCTION("""COMPUTED_VALUE"""),"NC")</f>
        <v>NC</v>
      </c>
      <c r="R797" s="5" t="str">
        <f ca="1">IFERROR(__xludf.DUMMYFUNCTION("""COMPUTED_VALUE"""),"High")</f>
        <v>High</v>
      </c>
      <c r="S797" s="5" t="str">
        <f ca="1">IFERROR(__xludf.DUMMYFUNCTION("""COMPUTED_VALUE"""),"Parking Lot")</f>
        <v>Parking Lot</v>
      </c>
      <c r="T797" s="5" t="str">
        <f ca="1">IFERROR(__xludf.DUMMYFUNCTION("""COMPUTED_VALUE"""),"Outside on School Property")</f>
        <v>Outside on School Property</v>
      </c>
      <c r="U797" s="5" t="str">
        <f ca="1">IFERROR(__xludf.DUMMYFUNCTION("""COMPUTED_VALUE"""),"No")</f>
        <v>No</v>
      </c>
      <c r="V797" s="5" t="str">
        <f ca="1">IFERROR(__xludf.DUMMYFUNCTION("""COMPUTED_VALUE"""),"Sport Event")</f>
        <v>Sport Event</v>
      </c>
      <c r="W797" s="10">
        <f ca="1">IFERROR(__xludf.DUMMYFUNCTION("""COMPUTED_VALUE"""),0.854166666666666)</f>
        <v>0.85416666666666596</v>
      </c>
      <c r="X797" s="5">
        <f ca="1">IFERROR(__xludf.DUMMYFUNCTION("""COMPUTED_VALUE"""),1)</f>
        <v>1</v>
      </c>
      <c r="Y797" s="5" t="str">
        <f ca="1">IFERROR(__xludf.DUMMYFUNCTION("""COMPUTED_VALUE"""),"Shots fired during fight in the parking lot during football game")</f>
        <v>Shots fired during fight in the parking lot during football game</v>
      </c>
      <c r="Z797" s="5" t="str">
        <f ca="1">IFERROR(__xludf.DUMMYFUNCTION("""COMPUTED_VALUE"""),"Shots fired in the school parking lot during a football game. Multiple fights occurred during the game. No injuries from the shooting. Shooter not identified and fled the scene. 3 arrested for fighting but not for the shooting.")</f>
        <v>Shots fired in the school parking lot during a football game. Multiple fights occurred during the game. No injuries from the shooting. Shooter not identified and fled the scene. 3 arrested for fighting but not for the shooting.</v>
      </c>
      <c r="AA797" s="5" t="str">
        <f ca="1">IFERROR(__xludf.DUMMYFUNCTION("""COMPUTED_VALUE"""),"Escalation of Dispute")</f>
        <v>Escalation of Dispute</v>
      </c>
      <c r="AB797" s="5"/>
      <c r="AC797" s="5"/>
      <c r="AD797" s="5" t="str">
        <f ca="1">IFERROR(__xludf.DUMMYFUNCTION("""COMPUTED_VALUE"""),"No")</f>
        <v>No</v>
      </c>
      <c r="AE797" s="5" t="str">
        <f ca="1">IFERROR(__xludf.DUMMYFUNCTION("""COMPUTED_VALUE"""),"No")</f>
        <v>No</v>
      </c>
      <c r="AF797" s="5" t="str">
        <f ca="1">IFERROR(__xludf.DUMMYFUNCTION("""COMPUTED_VALUE"""),"No")</f>
        <v>No</v>
      </c>
      <c r="AG797" s="5" t="str">
        <f ca="1">IFERROR(__xludf.DUMMYFUNCTION("""COMPUTED_VALUE"""),"No")</f>
        <v>No</v>
      </c>
      <c r="AH797" s="5" t="str">
        <f ca="1">IFERROR(__xludf.DUMMYFUNCTION("""COMPUTED_VALUE"""),"No")</f>
        <v>No</v>
      </c>
      <c r="AI797" s="5" t="str">
        <f ca="1">IFERROR(__xludf.DUMMYFUNCTION("""COMPUTED_VALUE"""),"No")</f>
        <v>No</v>
      </c>
      <c r="AJ797" s="5" t="str">
        <f ca="1">IFERROR(__xludf.DUMMYFUNCTION("""COMPUTED_VALUE"""),"No")</f>
        <v>No</v>
      </c>
    </row>
    <row r="798" spans="1:36" ht="13">
      <c r="A798" s="5" t="str">
        <f ca="1">IFERROR(__xludf.DUMMYFUNCTION("""COMPUTED_VALUE"""),"20190927CADER")</f>
        <v>20190927CADER</v>
      </c>
      <c r="B798" s="5">
        <f ca="1">IFERROR(__xludf.DUMMYFUNCTION("""COMPUTED_VALUE"""),9)</f>
        <v>9</v>
      </c>
      <c r="C798" s="5">
        <f ca="1">IFERROR(__xludf.DUMMYFUNCTION("""COMPUTED_VALUE"""),27)</f>
        <v>27</v>
      </c>
      <c r="D798" s="5">
        <f ca="1">IFERROR(__xludf.DUMMYFUNCTION("""COMPUTED_VALUE"""),2019)</f>
        <v>2019</v>
      </c>
      <c r="E798" s="8">
        <f ca="1">IFERROR(__xludf.DUMMYFUNCTION("""COMPUTED_VALUE"""),43735)</f>
        <v>43735</v>
      </c>
      <c r="F798" s="5" t="str">
        <f ca="1">IFERROR(__xludf.DUMMYFUNCTION("""COMPUTED_VALUE"""),"De Anza High School")</f>
        <v>De Anza High School</v>
      </c>
      <c r="G798" s="5">
        <f ca="1">IFERROR(__xludf.DUMMYFUNCTION("""COMPUTED_VALUE"""),0)</f>
        <v>0</v>
      </c>
      <c r="H798" s="5">
        <f ca="1">IFERROR(__xludf.DUMMYFUNCTION("""COMPUTED_VALUE"""),3)</f>
        <v>3</v>
      </c>
      <c r="I798" s="5">
        <f ca="1">IFERROR(__xludf.DUMMYFUNCTION("""COMPUTED_VALUE"""),3)</f>
        <v>3</v>
      </c>
      <c r="J798" s="5">
        <f ca="1">IFERROR(__xludf.DUMMYFUNCTION("""COMPUTED_VALUE"""),0)</f>
        <v>0</v>
      </c>
      <c r="K798" s="5" t="str">
        <f ca="1">IFERROR(__xludf.DUMMYFUNCTION("""COMPUTED_VALUE"""),"https://www.nbcbayarea.com/news/local/3-arrested-in-de-anza-high-school-shooting-in-richmond/1961620/ https://www.ktvu.com/news/1-year-later-richmond-teens-road-to-recovery-after-shooting-outside-high-school https://abc7news.com/de-anza-high-school-richmo"&amp;"nd-shooting-football-game/5574912/")</f>
        <v>https://www.nbcbayarea.com/news/local/3-arrested-in-de-anza-high-school-shooting-in-richmond/1961620/ https://www.ktvu.com/news/1-year-later-richmond-teens-road-to-recovery-after-shooting-outside-high-school https://abc7news.com/de-anza-high-school-richmond-shooting-football-game/5574912/</v>
      </c>
      <c r="L798" s="5">
        <f ca="1">IFERROR(__xludf.DUMMYFUNCTION("""COMPUTED_VALUE"""),3)</f>
        <v>3</v>
      </c>
      <c r="M798" s="5" t="str">
        <f ca="1">IFERROR(__xludf.DUMMYFUNCTION("""COMPUTED_VALUE"""),"Local")</f>
        <v>Local</v>
      </c>
      <c r="N798" s="5">
        <f ca="1">IFERROR(__xludf.DUMMYFUNCTION("""COMPUTED_VALUE"""),4)</f>
        <v>4</v>
      </c>
      <c r="O798" s="5" t="str">
        <f ca="1">IFERROR(__xludf.DUMMYFUNCTION("""COMPUTED_VALUE"""),"Fall")</f>
        <v>Fall</v>
      </c>
      <c r="P798" s="5" t="str">
        <f ca="1">IFERROR(__xludf.DUMMYFUNCTION("""COMPUTED_VALUE"""),"Richmond")</f>
        <v>Richmond</v>
      </c>
      <c r="Q798" s="5" t="str">
        <f ca="1">IFERROR(__xludf.DUMMYFUNCTION("""COMPUTED_VALUE"""),"CA")</f>
        <v>CA</v>
      </c>
      <c r="R798" s="5" t="str">
        <f ca="1">IFERROR(__xludf.DUMMYFUNCTION("""COMPUTED_VALUE"""),"High")</f>
        <v>High</v>
      </c>
      <c r="S798" s="5" t="str">
        <f ca="1">IFERROR(__xludf.DUMMYFUNCTION("""COMPUTED_VALUE"""),"Off School Property")</f>
        <v>Off School Property</v>
      </c>
      <c r="T798" s="5" t="str">
        <f ca="1">IFERROR(__xludf.DUMMYFUNCTION("""COMPUTED_VALUE"""),"Off School Property")</f>
        <v>Off School Property</v>
      </c>
      <c r="U798" s="5" t="str">
        <f ca="1">IFERROR(__xludf.DUMMYFUNCTION("""COMPUTED_VALUE"""),"No")</f>
        <v>No</v>
      </c>
      <c r="V798" s="5" t="str">
        <f ca="1">IFERROR(__xludf.DUMMYFUNCTION("""COMPUTED_VALUE"""),"Sport Event")</f>
        <v>Sport Event</v>
      </c>
      <c r="W798" s="10">
        <f ca="1">IFERROR(__xludf.DUMMYFUNCTION("""COMPUTED_VALUE"""),0.875)</f>
        <v>0.875</v>
      </c>
      <c r="X798" s="5">
        <f ca="1">IFERROR(__xludf.DUMMYFUNCTION("""COMPUTED_VALUE"""),1)</f>
        <v>1</v>
      </c>
      <c r="Y798" s="5" t="str">
        <f ca="1">IFERROR(__xludf.DUMMYFUNCTION("""COMPUTED_VALUE"""),"Three teen students shot leaving football game")</f>
        <v>Three teen students shot leaving football game</v>
      </c>
      <c r="Z798" s="5" t="str">
        <f ca="1">IFERROR(__xludf.DUMMYFUNCTION("""COMPUTED_VALUE"""),"A large fight occurred after the end of a rivalry football game at the high school. The fight started outside of the football field and continued on to Morningside Drive. Shots were fired during the fight striking three teens who were leaving the game. A "&amp;"16 year-old female student was struck in the spine and paralyzed. Three teens were arrested the following week after investigation lead by SROs.")</f>
        <v>A large fight occurred after the end of a rivalry football game at the high school. The fight started outside of the football field and continued on to Morningside Drive. Shots were fired during the fight striking three teens who were leaving the game. A 16 year-old female student was struck in the spine and paralyzed. Three teens were arrested the following week after investigation lead by SROs.</v>
      </c>
      <c r="AA798" s="5" t="str">
        <f ca="1">IFERROR(__xludf.DUMMYFUNCTION("""COMPUTED_VALUE"""),"Escalation of Dispute")</f>
        <v>Escalation of Dispute</v>
      </c>
      <c r="AB798" s="5" t="str">
        <f ca="1">IFERROR(__xludf.DUMMYFUNCTION("""COMPUTED_VALUE"""),"Both")</f>
        <v>Both</v>
      </c>
      <c r="AC798" s="5" t="str">
        <f ca="1">IFERROR(__xludf.DUMMYFUNCTION("""COMPUTED_VALUE"""),"Yes")</f>
        <v>Yes</v>
      </c>
      <c r="AD798" s="5" t="str">
        <f ca="1">IFERROR(__xludf.DUMMYFUNCTION("""COMPUTED_VALUE"""),"No")</f>
        <v>No</v>
      </c>
      <c r="AE798" s="5" t="str">
        <f ca="1">IFERROR(__xludf.DUMMYFUNCTION("""COMPUTED_VALUE"""),"No")</f>
        <v>No</v>
      </c>
      <c r="AF798" s="5" t="str">
        <f ca="1">IFERROR(__xludf.DUMMYFUNCTION("""COMPUTED_VALUE"""),"No")</f>
        <v>No</v>
      </c>
      <c r="AG798" s="5" t="str">
        <f ca="1">IFERROR(__xludf.DUMMYFUNCTION("""COMPUTED_VALUE"""),"No")</f>
        <v>No</v>
      </c>
      <c r="AH798" s="5" t="str">
        <f ca="1">IFERROR(__xludf.DUMMYFUNCTION("""COMPUTED_VALUE"""),"No")</f>
        <v>No</v>
      </c>
      <c r="AI798" s="5" t="str">
        <f ca="1">IFERROR(__xludf.DUMMYFUNCTION("""COMPUTED_VALUE"""),"Yes")</f>
        <v>Yes</v>
      </c>
      <c r="AJ798" s="5" t="str">
        <f ca="1">IFERROR(__xludf.DUMMYFUNCTION("""COMPUTED_VALUE"""),"No")</f>
        <v>No</v>
      </c>
    </row>
    <row r="799" spans="1:36" ht="13">
      <c r="A799" s="5" t="str">
        <f ca="1">IFERROR(__xludf.DUMMYFUNCTION("""COMPUTED_VALUE"""),"20190920PASIP")</f>
        <v>20190920PASIP</v>
      </c>
      <c r="B799" s="5">
        <f ca="1">IFERROR(__xludf.DUMMYFUNCTION("""COMPUTED_VALUE"""),9)</f>
        <v>9</v>
      </c>
      <c r="C799" s="5">
        <f ca="1">IFERROR(__xludf.DUMMYFUNCTION("""COMPUTED_VALUE"""),20)</f>
        <v>20</v>
      </c>
      <c r="D799" s="5">
        <f ca="1">IFERROR(__xludf.DUMMYFUNCTION("""COMPUTED_VALUE"""),2019)</f>
        <v>2019</v>
      </c>
      <c r="E799" s="8">
        <f ca="1">IFERROR(__xludf.DUMMYFUNCTION("""COMPUTED_VALUE"""),43728)</f>
        <v>43728</v>
      </c>
      <c r="F799" s="5" t="str">
        <f ca="1">IFERROR(__xludf.DUMMYFUNCTION("""COMPUTED_VALUE"""),"Simon Gratz High School Mastery Charter")</f>
        <v>Simon Gratz High School Mastery Charter</v>
      </c>
      <c r="G799" s="5">
        <f ca="1">IFERROR(__xludf.DUMMYFUNCTION("""COMPUTED_VALUE"""),0)</f>
        <v>0</v>
      </c>
      <c r="H799" s="5">
        <f ca="1">IFERROR(__xludf.DUMMYFUNCTION("""COMPUTED_VALUE"""),2)</f>
        <v>2</v>
      </c>
      <c r="I799" s="5">
        <f ca="1">IFERROR(__xludf.DUMMYFUNCTION("""COMPUTED_VALUE"""),2)</f>
        <v>2</v>
      </c>
      <c r="J799" s="5">
        <f ca="1">IFERROR(__xludf.DUMMYFUNCTION("""COMPUTED_VALUE"""),0)</f>
        <v>0</v>
      </c>
      <c r="K799" s="5" t="str">
        <f ca="1">IFERROR(__xludf.DUMMYFUNCTION("""COMPUTED_VALUE"""),"https://www.nbcphiladelphia.com/news/local/Gunfire-at-Philadelphia-High-School-Causes-Evacuation-of-Stadium-560927061.html https://philadelphia.cbslocal.com/2019/09/20/two-teenagers-injured-double-shooting-high-school-football-game-philadelphia/ https://w"&amp;"ww.phillyvoice.com/shooting-simon-gratz-high-school-philadelphia-nicetown-football-game-police/")</f>
        <v>https://www.nbcphiladelphia.com/news/local/Gunfire-at-Philadelphia-High-School-Causes-Evacuation-of-Stadium-560927061.html https://philadelphia.cbslocal.com/2019/09/20/two-teenagers-injured-double-shooting-high-school-football-game-philadelphia/ https://www.phillyvoice.com/shooting-simon-gratz-high-school-philadelphia-nicetown-football-game-police/</v>
      </c>
      <c r="L799" s="5"/>
      <c r="M799" s="5"/>
      <c r="N799" s="5">
        <f ca="1">IFERROR(__xludf.DUMMYFUNCTION("""COMPUTED_VALUE"""),4)</f>
        <v>4</v>
      </c>
      <c r="O799" s="5" t="str">
        <f ca="1">IFERROR(__xludf.DUMMYFUNCTION("""COMPUTED_VALUE"""),"Fall")</f>
        <v>Fall</v>
      </c>
      <c r="P799" s="5" t="str">
        <f ca="1">IFERROR(__xludf.DUMMYFUNCTION("""COMPUTED_VALUE"""),"Philadelphia")</f>
        <v>Philadelphia</v>
      </c>
      <c r="Q799" s="5" t="str">
        <f ca="1">IFERROR(__xludf.DUMMYFUNCTION("""COMPUTED_VALUE"""),"PA")</f>
        <v>PA</v>
      </c>
      <c r="R799" s="5" t="str">
        <f ca="1">IFERROR(__xludf.DUMMYFUNCTION("""COMPUTED_VALUE"""),"High")</f>
        <v>High</v>
      </c>
      <c r="S799" s="5" t="str">
        <f ca="1">IFERROR(__xludf.DUMMYFUNCTION("""COMPUTED_VALUE"""),"Football Field/Track")</f>
        <v>Football Field/Track</v>
      </c>
      <c r="T799" s="5" t="str">
        <f ca="1">IFERROR(__xludf.DUMMYFUNCTION("""COMPUTED_VALUE"""),"Outside on School Property")</f>
        <v>Outside on School Property</v>
      </c>
      <c r="U799" s="5" t="str">
        <f ca="1">IFERROR(__xludf.DUMMYFUNCTION("""COMPUTED_VALUE"""),"No")</f>
        <v>No</v>
      </c>
      <c r="V799" s="5" t="str">
        <f ca="1">IFERROR(__xludf.DUMMYFUNCTION("""COMPUTED_VALUE"""),"Sport Event")</f>
        <v>Sport Event</v>
      </c>
      <c r="W799" s="10">
        <f ca="1">IFERROR(__xludf.DUMMYFUNCTION("""COMPUTED_VALUE"""),0.8125)</f>
        <v>0.8125</v>
      </c>
      <c r="X799" s="5">
        <f ca="1">IFERROR(__xludf.DUMMYFUNCTION("""COMPUTED_VALUE"""),1)</f>
        <v>1</v>
      </c>
      <c r="Y799" s="5" t="str">
        <f ca="1">IFERROR(__xludf.DUMMYFUNCTION("""COMPUTED_VALUE"""),"Two teens shot at football game, stadium evacuated")</f>
        <v>Two teens shot at football game, stadium evacuated</v>
      </c>
      <c r="Z799" s="5" t="str">
        <f ca="1">IFERROR(__xludf.DUMMYFUNCTION("""COMPUTED_VALUE"""),"14YOM and 15YOM shot during high school football game. Shooter fled the area. Stadium was evacuated. Crowd in the bleachers ran across the football field when shots were heard. Motive and relation of victims/shooter to school unknown.")</f>
        <v>14YOM and 15YOM shot during high school football game. Shooter fled the area. Stadium was evacuated. Crowd in the bleachers ran across the football field when shots were heard. Motive and relation of victims/shooter to school unknown.</v>
      </c>
      <c r="AA799" s="5" t="str">
        <f ca="1">IFERROR(__xludf.DUMMYFUNCTION("""COMPUTED_VALUE"""),"Escalation of Dispute")</f>
        <v>Escalation of Dispute</v>
      </c>
      <c r="AB799" s="5"/>
      <c r="AC799" s="5"/>
      <c r="AD799" s="5" t="str">
        <f ca="1">IFERROR(__xludf.DUMMYFUNCTION("""COMPUTED_VALUE"""),"No")</f>
        <v>No</v>
      </c>
      <c r="AE799" s="5" t="str">
        <f ca="1">IFERROR(__xludf.DUMMYFUNCTION("""COMPUTED_VALUE"""),"No")</f>
        <v>No</v>
      </c>
      <c r="AF799" s="5" t="str">
        <f ca="1">IFERROR(__xludf.DUMMYFUNCTION("""COMPUTED_VALUE"""),"No")</f>
        <v>No</v>
      </c>
      <c r="AG799" s="5"/>
      <c r="AH799" s="5" t="str">
        <f ca="1">IFERROR(__xludf.DUMMYFUNCTION("""COMPUTED_VALUE"""),"No")</f>
        <v>No</v>
      </c>
      <c r="AI799" s="5"/>
      <c r="AJ799" s="5" t="str">
        <f ca="1">IFERROR(__xludf.DUMMYFUNCTION("""COMPUTED_VALUE"""),"No")</f>
        <v>No</v>
      </c>
    </row>
    <row r="800" spans="1:36" ht="13">
      <c r="A800" s="5" t="str">
        <f ca="1">IFERROR(__xludf.DUMMYFUNCTION("""COMPUTED_VALUE"""),"20190916ILILK")</f>
        <v>20190916ILILK</v>
      </c>
      <c r="B800" s="5">
        <f ca="1">IFERROR(__xludf.DUMMYFUNCTION("""COMPUTED_VALUE"""),9)</f>
        <v>9</v>
      </c>
      <c r="C800" s="5">
        <f ca="1">IFERROR(__xludf.DUMMYFUNCTION("""COMPUTED_VALUE"""),16)</f>
        <v>16</v>
      </c>
      <c r="D800" s="5">
        <f ca="1">IFERROR(__xludf.DUMMYFUNCTION("""COMPUTED_VALUE"""),2019)</f>
        <v>2019</v>
      </c>
      <c r="E800" s="8">
        <f ca="1">IFERROR(__xludf.DUMMYFUNCTION("""COMPUTED_VALUE"""),43724)</f>
        <v>43724</v>
      </c>
      <c r="F800" s="5" t="str">
        <f ca="1">IFERROR(__xludf.DUMMYFUNCTION("""COMPUTED_VALUE"""),"Illinois Central School Bus")</f>
        <v>Illinois Central School Bus</v>
      </c>
      <c r="G800" s="5">
        <f ca="1">IFERROR(__xludf.DUMMYFUNCTION("""COMPUTED_VALUE"""),0)</f>
        <v>0</v>
      </c>
      <c r="H800" s="5">
        <f ca="1">IFERROR(__xludf.DUMMYFUNCTION("""COMPUTED_VALUE"""),0)</f>
        <v>0</v>
      </c>
      <c r="I800" s="5">
        <f ca="1">IFERROR(__xludf.DUMMYFUNCTION("""COMPUTED_VALUE"""),0)</f>
        <v>0</v>
      </c>
      <c r="J800" s="5">
        <f ca="1">IFERROR(__xludf.DUMMYFUNCTION("""COMPUTED_VALUE"""),0)</f>
        <v>0</v>
      </c>
      <c r="K800" s="5" t="str">
        <f ca="1">IFERROR(__xludf.DUMMYFUNCTION("""COMPUTED_VALUE"""),"https://www.daily-journal.com/news/crime/shots-fired-near-gang-nuisance-house/article_5dd3a726-155f-11ea-bf55-0304bb4aed72.html https://www.daily-journal.com/news/crime/kankakee-police-investigate-apparent-drive-by-shooting-on-south-lincoln/article_db73fa"&amp;"f6-d8c8-11e9-8756-07c7cca6d2b5.html")</f>
        <v>https://www.daily-journal.com/news/crime/shots-fired-near-gang-nuisance-house/article_5dd3a726-155f-11ea-bf55-0304bb4aed72.html https://www.daily-journal.com/news/crime/kankakee-police-investigate-apparent-drive-by-shooting-on-south-lincoln/article_db73faf6-d8c8-11e9-8756-07c7cca6d2b5.html</v>
      </c>
      <c r="L800" s="5"/>
      <c r="M800" s="5"/>
      <c r="N800" s="5">
        <f ca="1">IFERROR(__xludf.DUMMYFUNCTION("""COMPUTED_VALUE"""),3)</f>
        <v>3</v>
      </c>
      <c r="O800" s="5" t="str">
        <f ca="1">IFERROR(__xludf.DUMMYFUNCTION("""COMPUTED_VALUE"""),"Fall")</f>
        <v>Fall</v>
      </c>
      <c r="P800" s="5" t="str">
        <f ca="1">IFERROR(__xludf.DUMMYFUNCTION("""COMPUTED_VALUE"""),"Kankakee")</f>
        <v>Kankakee</v>
      </c>
      <c r="Q800" s="5" t="str">
        <f ca="1">IFERROR(__xludf.DUMMYFUNCTION("""COMPUTED_VALUE"""),"IL")</f>
        <v>IL</v>
      </c>
      <c r="R800" s="5"/>
      <c r="S800" s="5" t="str">
        <f ca="1">IFERROR(__xludf.DUMMYFUNCTION("""COMPUTED_VALUE"""),"School Bus")</f>
        <v>School Bus</v>
      </c>
      <c r="T800" s="5" t="str">
        <f ca="1">IFERROR(__xludf.DUMMYFUNCTION("""COMPUTED_VALUE"""),"School Bus")</f>
        <v>School Bus</v>
      </c>
      <c r="U800" s="5" t="str">
        <f ca="1">IFERROR(__xludf.DUMMYFUNCTION("""COMPUTED_VALUE"""),"Yes")</f>
        <v>Yes</v>
      </c>
      <c r="V800" s="5" t="str">
        <f ca="1">IFERROR(__xludf.DUMMYFUNCTION("""COMPUTED_VALUE"""),"Dismissal")</f>
        <v>Dismissal</v>
      </c>
      <c r="W800" s="10">
        <f ca="1">IFERROR(__xludf.DUMMYFUNCTION("""COMPUTED_VALUE"""),0.638888888888888)</f>
        <v>0.63888888888888795</v>
      </c>
      <c r="X800" s="5">
        <f ca="1">IFERROR(__xludf.DUMMYFUNCTION("""COMPUTED_VALUE"""),1)</f>
        <v>1</v>
      </c>
      <c r="Y800" s="5" t="str">
        <f ca="1">IFERROR(__xludf.DUMMYFUNCTION("""COMPUTED_VALUE"""),"Occupied school bus struck by gunfire during gang fight")</f>
        <v>Occupied school bus struck by gunfire during gang fight</v>
      </c>
      <c r="Z800" s="5" t="str">
        <f ca="1">IFERROR(__xludf.DUMMYFUNCTION("""COMPUTED_VALUE"""),"School bus with students struck by bullet on neighborhood street. Area is known for gang activity. No injuries.")</f>
        <v>School bus with students struck by bullet on neighborhood street. Area is known for gang activity. No injuries.</v>
      </c>
      <c r="AA800" s="5" t="str">
        <f ca="1">IFERROR(__xludf.DUMMYFUNCTION("""COMPUTED_VALUE"""),"Unknown")</f>
        <v>Unknown</v>
      </c>
      <c r="AB800" s="5" t="str">
        <f ca="1">IFERROR(__xludf.DUMMYFUNCTION("""COMPUTED_VALUE"""),"Victims Targeted")</f>
        <v>Victims Targeted</v>
      </c>
      <c r="AC800" s="5"/>
      <c r="AD800" s="5" t="str">
        <f ca="1">IFERROR(__xludf.DUMMYFUNCTION("""COMPUTED_VALUE"""),"No")</f>
        <v>No</v>
      </c>
      <c r="AE800" s="5" t="str">
        <f ca="1">IFERROR(__xludf.DUMMYFUNCTION("""COMPUTED_VALUE"""),"No")</f>
        <v>No</v>
      </c>
      <c r="AF800" s="5" t="str">
        <f ca="1">IFERROR(__xludf.DUMMYFUNCTION("""COMPUTED_VALUE"""),"No")</f>
        <v>No</v>
      </c>
      <c r="AG800" s="5" t="str">
        <f ca="1">IFERROR(__xludf.DUMMYFUNCTION("""COMPUTED_VALUE"""),"No")</f>
        <v>No</v>
      </c>
      <c r="AH800" s="5" t="str">
        <f ca="1">IFERROR(__xludf.DUMMYFUNCTION("""COMPUTED_VALUE"""),"No")</f>
        <v>No</v>
      </c>
      <c r="AI800" s="5" t="str">
        <f ca="1">IFERROR(__xludf.DUMMYFUNCTION("""COMPUTED_VALUE"""),"Yes")</f>
        <v>Yes</v>
      </c>
      <c r="AJ800" s="5" t="str">
        <f ca="1">IFERROR(__xludf.DUMMYFUNCTION("""COMPUTED_VALUE"""),"No")</f>
        <v>No</v>
      </c>
    </row>
    <row r="801" spans="1:36" ht="13">
      <c r="A801" s="5" t="str">
        <f ca="1">IFERROR(__xludf.DUMMYFUNCTION("""COMPUTED_VALUE"""),"20190916VAPHH")</f>
        <v>20190916VAPHH</v>
      </c>
      <c r="B801" s="5">
        <f ca="1">IFERROR(__xludf.DUMMYFUNCTION("""COMPUTED_VALUE"""),9)</f>
        <v>9</v>
      </c>
      <c r="C801" s="5">
        <f ca="1">IFERROR(__xludf.DUMMYFUNCTION("""COMPUTED_VALUE"""),16)</f>
        <v>16</v>
      </c>
      <c r="D801" s="5">
        <f ca="1">IFERROR(__xludf.DUMMYFUNCTION("""COMPUTED_VALUE"""),2019)</f>
        <v>2019</v>
      </c>
      <c r="E801" s="8">
        <f ca="1">IFERROR(__xludf.DUMMYFUNCTION("""COMPUTED_VALUE"""),43724)</f>
        <v>43724</v>
      </c>
      <c r="F801" s="5" t="str">
        <f ca="1">IFERROR(__xludf.DUMMYFUNCTION("""COMPUTED_VALUE"""),"Phoebus High School")</f>
        <v>Phoebus High School</v>
      </c>
      <c r="G801" s="5">
        <f ca="1">IFERROR(__xludf.DUMMYFUNCTION("""COMPUTED_VALUE"""),1)</f>
        <v>1</v>
      </c>
      <c r="H801" s="5">
        <f ca="1">IFERROR(__xludf.DUMMYFUNCTION("""COMPUTED_VALUE"""),0)</f>
        <v>0</v>
      </c>
      <c r="I801" s="5">
        <f ca="1">IFERROR(__xludf.DUMMYFUNCTION("""COMPUTED_VALUE"""),1)</f>
        <v>1</v>
      </c>
      <c r="J801" s="5">
        <f ca="1">IFERROR(__xludf.DUMMYFUNCTION("""COMPUTED_VALUE"""),0)</f>
        <v>0</v>
      </c>
      <c r="K801" s="5" t="str">
        <f ca="1">IFERROR(__xludf.DUMMYFUNCTION("""COMPUTED_VALUE"""),"https://wtkr.com/2019/09/16/hampton-high-school-under-lockdown-after-nearby-shooting-injures-man/ https://www.dailypress.com/news/crime/dp-nw-phoebus-high-shooting-20190916-xrx5mcohbrd2vgdxondnmod4sm-story.html")</f>
        <v>https://wtkr.com/2019/09/16/hampton-high-school-under-lockdown-after-nearby-shooting-injures-man/ https://www.dailypress.com/news/crime/dp-nw-phoebus-high-shooting-20190916-xrx5mcohbrd2vgdxondnmod4sm-story.html</v>
      </c>
      <c r="L801" s="5"/>
      <c r="M801" s="5"/>
      <c r="N801" s="5">
        <f ca="1">IFERROR(__xludf.DUMMYFUNCTION("""COMPUTED_VALUE"""),4)</f>
        <v>4</v>
      </c>
      <c r="O801" s="5" t="str">
        <f ca="1">IFERROR(__xludf.DUMMYFUNCTION("""COMPUTED_VALUE"""),"Fall")</f>
        <v>Fall</v>
      </c>
      <c r="P801" s="5" t="str">
        <f ca="1">IFERROR(__xludf.DUMMYFUNCTION("""COMPUTED_VALUE"""),"Hampton")</f>
        <v>Hampton</v>
      </c>
      <c r="Q801" s="5" t="str">
        <f ca="1">IFERROR(__xludf.DUMMYFUNCTION("""COMPUTED_VALUE"""),"VA")</f>
        <v>VA</v>
      </c>
      <c r="R801" s="5" t="str">
        <f ca="1">IFERROR(__xludf.DUMMYFUNCTION("""COMPUTED_VALUE"""),"High")</f>
        <v>High</v>
      </c>
      <c r="S801" s="5" t="str">
        <f ca="1">IFERROR(__xludf.DUMMYFUNCTION("""COMPUTED_VALUE"""),"Parking Lot")</f>
        <v>Parking Lot</v>
      </c>
      <c r="T801" s="5" t="str">
        <f ca="1">IFERROR(__xludf.DUMMYFUNCTION("""COMPUTED_VALUE"""),"Off School Property")</f>
        <v>Off School Property</v>
      </c>
      <c r="U801" s="5" t="str">
        <f ca="1">IFERROR(__xludf.DUMMYFUNCTION("""COMPUTED_VALUE"""),"Yes")</f>
        <v>Yes</v>
      </c>
      <c r="V801" s="5" t="str">
        <f ca="1">IFERROR(__xludf.DUMMYFUNCTION("""COMPUTED_VALUE"""),"Morning Classes")</f>
        <v>Morning Classes</v>
      </c>
      <c r="W801" s="10">
        <f ca="1">IFERROR(__xludf.DUMMYFUNCTION("""COMPUTED_VALUE"""),0.496527777777777)</f>
        <v>0.49652777777777701</v>
      </c>
      <c r="X801" s="5">
        <f ca="1">IFERROR(__xludf.DUMMYFUNCTION("""COMPUTED_VALUE"""),1)</f>
        <v>1</v>
      </c>
      <c r="Y801" s="5" t="str">
        <f ca="1">IFERROR(__xludf.DUMMYFUNCTION("""COMPUTED_VALUE"""),"Man shot across the street from the school and died in school parking lot during classes")</f>
        <v>Man shot across the street from the school and died in school parking lot during classes</v>
      </c>
      <c r="Z801" s="5" t="str">
        <f ca="1">IFERROR(__xludf.DUMMYFUNCTION("""COMPUTED_VALUE"""),"38YOM shot by unidentified shooter (arrested) in vehicle across the street from the school. Victim walked across street after being shot and collapsed in school parking lot. Neighbors heard shots and attempted to assist shooting victim. Shooting occurred "&amp;"at noon and school was placed on lockdown until 3pm. After school activities were canceled.")</f>
        <v>38YOM shot by unidentified shooter (arrested) in vehicle across the street from the school. Victim walked across street after being shot and collapsed in school parking lot. Neighbors heard shots and attempted to assist shooting victim. Shooting occurred at noon and school was placed on lockdown until 3pm. After school activities were canceled.</v>
      </c>
      <c r="AA801" s="5" t="str">
        <f ca="1">IFERROR(__xludf.DUMMYFUNCTION("""COMPUTED_VALUE"""),"Unknown")</f>
        <v>Unknown</v>
      </c>
      <c r="AB801" s="5" t="str">
        <f ca="1">IFERROR(__xludf.DUMMYFUNCTION("""COMPUTED_VALUE"""),"Victims Targeted")</f>
        <v>Victims Targeted</v>
      </c>
      <c r="AC801" s="5" t="str">
        <f ca="1">IFERROR(__xludf.DUMMYFUNCTION("""COMPUTED_VALUE"""),"No")</f>
        <v>No</v>
      </c>
      <c r="AD801" s="5" t="str">
        <f ca="1">IFERROR(__xludf.DUMMYFUNCTION("""COMPUTED_VALUE"""),"No")</f>
        <v>No</v>
      </c>
      <c r="AE801" s="5" t="str">
        <f ca="1">IFERROR(__xludf.DUMMYFUNCTION("""COMPUTED_VALUE"""),"No")</f>
        <v>No</v>
      </c>
      <c r="AF801" s="5" t="str">
        <f ca="1">IFERROR(__xludf.DUMMYFUNCTION("""COMPUTED_VALUE"""),"No")</f>
        <v>No</v>
      </c>
      <c r="AG801" s="5" t="str">
        <f ca="1">IFERROR(__xludf.DUMMYFUNCTION("""COMPUTED_VALUE"""),"No")</f>
        <v>No</v>
      </c>
      <c r="AH801" s="5" t="str">
        <f ca="1">IFERROR(__xludf.DUMMYFUNCTION("""COMPUTED_VALUE"""),"No")</f>
        <v>No</v>
      </c>
      <c r="AI801" s="5"/>
      <c r="AJ801" s="5" t="str">
        <f ca="1">IFERROR(__xludf.DUMMYFUNCTION("""COMPUTED_VALUE"""),"No")</f>
        <v>No</v>
      </c>
    </row>
    <row r="802" spans="1:36" ht="13">
      <c r="A802" s="5" t="str">
        <f ca="1">IFERROR(__xludf.DUMMYFUNCTION("""COMPUTED_VALUE"""),"20190914TXEAF")</f>
        <v>20190914TXEAF</v>
      </c>
      <c r="B802" s="5">
        <f ca="1">IFERROR(__xludf.DUMMYFUNCTION("""COMPUTED_VALUE"""),9)</f>
        <v>9</v>
      </c>
      <c r="C802" s="5">
        <f ca="1">IFERROR(__xludf.DUMMYFUNCTION("""COMPUTED_VALUE"""),14)</f>
        <v>14</v>
      </c>
      <c r="D802" s="5">
        <f ca="1">IFERROR(__xludf.DUMMYFUNCTION("""COMPUTED_VALUE"""),2019)</f>
        <v>2019</v>
      </c>
      <c r="E802" s="8">
        <f ca="1">IFERROR(__xludf.DUMMYFUNCTION("""COMPUTED_VALUE"""),43722)</f>
        <v>43722</v>
      </c>
      <c r="F802" s="5" t="str">
        <f ca="1">IFERROR(__xludf.DUMMYFUNCTION("""COMPUTED_VALUE"""),"Eastern Hills High School")</f>
        <v>Eastern Hills High School</v>
      </c>
      <c r="G802" s="5">
        <f ca="1">IFERROR(__xludf.DUMMYFUNCTION("""COMPUTED_VALUE"""),0)</f>
        <v>0</v>
      </c>
      <c r="H802" s="5">
        <f ca="1">IFERROR(__xludf.DUMMYFUNCTION("""COMPUTED_VALUE"""),2)</f>
        <v>2</v>
      </c>
      <c r="I802" s="5">
        <f ca="1">IFERROR(__xludf.DUMMYFUNCTION("""COMPUTED_VALUE"""),2)</f>
        <v>2</v>
      </c>
      <c r="J802" s="5">
        <f ca="1">IFERROR(__xludf.DUMMYFUNCTION("""COMPUTED_VALUE"""),0)</f>
        <v>0</v>
      </c>
      <c r="K802" s="9" t="str">
        <f ca="1">IFERROR(__xludf.DUMMYFUNCTION("""COMPUTED_VALUE"""),"https://dfw.cbslocal.com/2019/09/14/dispute-pee-wee-football-game-shooting-2-injured-fort-worth/")</f>
        <v>https://dfw.cbslocal.com/2019/09/14/dispute-pee-wee-football-game-shooting-2-injured-fort-worth/</v>
      </c>
      <c r="L802" s="5"/>
      <c r="M802" s="5"/>
      <c r="N802" s="5">
        <f ca="1">IFERROR(__xludf.DUMMYFUNCTION("""COMPUTED_VALUE"""),4)</f>
        <v>4</v>
      </c>
      <c r="O802" s="5" t="str">
        <f ca="1">IFERROR(__xludf.DUMMYFUNCTION("""COMPUTED_VALUE"""),"Fall")</f>
        <v>Fall</v>
      </c>
      <c r="P802" s="5" t="str">
        <f ca="1">IFERROR(__xludf.DUMMYFUNCTION("""COMPUTED_VALUE"""),"Fort Worth")</f>
        <v>Fort Worth</v>
      </c>
      <c r="Q802" s="5" t="str">
        <f ca="1">IFERROR(__xludf.DUMMYFUNCTION("""COMPUTED_VALUE"""),"TX")</f>
        <v>TX</v>
      </c>
      <c r="R802" s="5" t="str">
        <f ca="1">IFERROR(__xludf.DUMMYFUNCTION("""COMPUTED_VALUE"""),"High")</f>
        <v>High</v>
      </c>
      <c r="S802" s="5" t="str">
        <f ca="1">IFERROR(__xludf.DUMMYFUNCTION("""COMPUTED_VALUE"""),"Football Field/Track")</f>
        <v>Football Field/Track</v>
      </c>
      <c r="T802" s="5" t="str">
        <f ca="1">IFERROR(__xludf.DUMMYFUNCTION("""COMPUTED_VALUE"""),"Outside on School Property")</f>
        <v>Outside on School Property</v>
      </c>
      <c r="U802" s="5" t="str">
        <f ca="1">IFERROR(__xludf.DUMMYFUNCTION("""COMPUTED_VALUE"""),"No")</f>
        <v>No</v>
      </c>
      <c r="V802" s="5" t="str">
        <f ca="1">IFERROR(__xludf.DUMMYFUNCTION("""COMPUTED_VALUE"""),"Sport Event")</f>
        <v>Sport Event</v>
      </c>
      <c r="W802" s="10">
        <f ca="1">IFERROR(__xludf.DUMMYFUNCTION("""COMPUTED_VALUE"""),0.65625)</f>
        <v>0.65625</v>
      </c>
      <c r="X802" s="5">
        <f ca="1">IFERROR(__xludf.DUMMYFUNCTION("""COMPUTED_VALUE"""),1)</f>
        <v>1</v>
      </c>
      <c r="Y802" s="5" t="str">
        <f ca="1">IFERROR(__xludf.DUMMYFUNCTION("""COMPUTED_VALUE"""),"Shots fired during fight between parents at youth football game")</f>
        <v>Shots fired during fight between parents at youth football game</v>
      </c>
      <c r="Z802" s="5" t="str">
        <f ca="1">IFERROR(__xludf.DUMMYFUNCTION("""COMPUTED_VALUE"""),"Shots fired following fight between parents at private youth league football game on the school property. Mother involved in the fight called son who arrived at football field and fired between 10-30 shots at the fans on the opposite sideline. Adult femal"&amp;"e was shot in the leg and 12YOF was injured (not GSW). Shooter fled the scene.")</f>
        <v>Shots fired following fight between parents at private youth league football game on the school property. Mother involved in the fight called son who arrived at football field and fired between 10-30 shots at the fans on the opposite sideline. Adult female was shot in the leg and 12YOF was injured (not GSW). Shooter fled the scene.</v>
      </c>
      <c r="AA802" s="5" t="str">
        <f ca="1">IFERROR(__xludf.DUMMYFUNCTION("""COMPUTED_VALUE"""),"Escalation of Dispute")</f>
        <v>Escalation of Dispute</v>
      </c>
      <c r="AB802" s="5" t="str">
        <f ca="1">IFERROR(__xludf.DUMMYFUNCTION("""COMPUTED_VALUE"""),"Both")</f>
        <v>Both</v>
      </c>
      <c r="AC802" s="5" t="str">
        <f ca="1">IFERROR(__xludf.DUMMYFUNCTION("""COMPUTED_VALUE"""),"Yes")</f>
        <v>Yes</v>
      </c>
      <c r="AD802" s="5" t="str">
        <f ca="1">IFERROR(__xludf.DUMMYFUNCTION("""COMPUTED_VALUE"""),"No")</f>
        <v>No</v>
      </c>
      <c r="AE802" s="5" t="str">
        <f ca="1">IFERROR(__xludf.DUMMYFUNCTION("""COMPUTED_VALUE"""),"No")</f>
        <v>No</v>
      </c>
      <c r="AF802" s="5" t="str">
        <f ca="1">IFERROR(__xludf.DUMMYFUNCTION("""COMPUTED_VALUE"""),"No")</f>
        <v>No</v>
      </c>
      <c r="AG802" s="5" t="str">
        <f ca="1">IFERROR(__xludf.DUMMYFUNCTION("""COMPUTED_VALUE"""),"No")</f>
        <v>No</v>
      </c>
      <c r="AH802" s="5" t="str">
        <f ca="1">IFERROR(__xludf.DUMMYFUNCTION("""COMPUTED_VALUE"""),"No")</f>
        <v>No</v>
      </c>
      <c r="AI802" s="5" t="str">
        <f ca="1">IFERROR(__xludf.DUMMYFUNCTION("""COMPUTED_VALUE"""),"No")</f>
        <v>No</v>
      </c>
      <c r="AJ802" s="5" t="str">
        <f ca="1">IFERROR(__xludf.DUMMYFUNCTION("""COMPUTED_VALUE"""),"No")</f>
        <v>No</v>
      </c>
    </row>
    <row r="803" spans="1:36" ht="13">
      <c r="A803" s="5" t="str">
        <f ca="1">IFERROR(__xludf.DUMMYFUNCTION("""COMPUTED_VALUE"""),"20190913VAETN")</f>
        <v>20190913VAETN</v>
      </c>
      <c r="B803" s="5">
        <f ca="1">IFERROR(__xludf.DUMMYFUNCTION("""COMPUTED_VALUE"""),9)</f>
        <v>9</v>
      </c>
      <c r="C803" s="5">
        <f ca="1">IFERROR(__xludf.DUMMYFUNCTION("""COMPUTED_VALUE"""),13)</f>
        <v>13</v>
      </c>
      <c r="D803" s="5">
        <f ca="1">IFERROR(__xludf.DUMMYFUNCTION("""COMPUTED_VALUE"""),2019)</f>
        <v>2019</v>
      </c>
      <c r="E803" s="8">
        <f ca="1">IFERROR(__xludf.DUMMYFUNCTION("""COMPUTED_VALUE"""),43721)</f>
        <v>43721</v>
      </c>
      <c r="F803" s="5" t="str">
        <f ca="1">IFERROR(__xludf.DUMMYFUNCTION("""COMPUTED_VALUE"""),"Ethel M. Gildersleeve Middle School")</f>
        <v>Ethel M. Gildersleeve Middle School</v>
      </c>
      <c r="G803" s="5">
        <f ca="1">IFERROR(__xludf.DUMMYFUNCTION("""COMPUTED_VALUE"""),0)</f>
        <v>0</v>
      </c>
      <c r="H803" s="5">
        <f ca="1">IFERROR(__xludf.DUMMYFUNCTION("""COMPUTED_VALUE"""),3)</f>
        <v>3</v>
      </c>
      <c r="I803" s="5">
        <f ca="1">IFERROR(__xludf.DUMMYFUNCTION("""COMPUTED_VALUE"""),3)</f>
        <v>3</v>
      </c>
      <c r="J803" s="5">
        <f ca="1">IFERROR(__xludf.DUMMYFUNCTION("""COMPUTED_VALUE"""),0)</f>
        <v>0</v>
      </c>
      <c r="K803" s="5" t="str">
        <f ca="1">IFERROR(__xludf.DUMMYFUNCTION("""COMPUTED_VALUE"""),"https://time.com/5677615/newport-news-virginia-shooting/ https://abcnews.go.com/US/wireStory/teens-shot-virginia-high-school-football-game-65610956")</f>
        <v>https://time.com/5677615/newport-news-virginia-shooting/ https://abcnews.go.com/US/wireStory/teens-shot-virginia-high-school-football-game-65610956</v>
      </c>
      <c r="L803" s="5"/>
      <c r="M803" s="5"/>
      <c r="N803" s="5">
        <f ca="1">IFERROR(__xludf.DUMMYFUNCTION("""COMPUTED_VALUE"""),4)</f>
        <v>4</v>
      </c>
      <c r="O803" s="5" t="str">
        <f ca="1">IFERROR(__xludf.DUMMYFUNCTION("""COMPUTED_VALUE"""),"Fall")</f>
        <v>Fall</v>
      </c>
      <c r="P803" s="5" t="str">
        <f ca="1">IFERROR(__xludf.DUMMYFUNCTION("""COMPUTED_VALUE"""),"Newport News")</f>
        <v>Newport News</v>
      </c>
      <c r="Q803" s="5" t="str">
        <f ca="1">IFERROR(__xludf.DUMMYFUNCTION("""COMPUTED_VALUE"""),"VA")</f>
        <v>VA</v>
      </c>
      <c r="R803" s="5" t="str">
        <f ca="1">IFERROR(__xludf.DUMMYFUNCTION("""COMPUTED_VALUE"""),"Middle")</f>
        <v>Middle</v>
      </c>
      <c r="S803" s="5" t="str">
        <f ca="1">IFERROR(__xludf.DUMMYFUNCTION("""COMPUTED_VALUE"""),"Football Field/Track")</f>
        <v>Football Field/Track</v>
      </c>
      <c r="T803" s="5" t="str">
        <f ca="1">IFERROR(__xludf.DUMMYFUNCTION("""COMPUTED_VALUE"""),"Outside on School Property")</f>
        <v>Outside on School Property</v>
      </c>
      <c r="U803" s="5" t="str">
        <f ca="1">IFERROR(__xludf.DUMMYFUNCTION("""COMPUTED_VALUE"""),"No")</f>
        <v>No</v>
      </c>
      <c r="V803" s="5" t="str">
        <f ca="1">IFERROR(__xludf.DUMMYFUNCTION("""COMPUTED_VALUE"""),"Sport Event")</f>
        <v>Sport Event</v>
      </c>
      <c r="W803" s="10">
        <f ca="1">IFERROR(__xludf.DUMMYFUNCTION("""COMPUTED_VALUE"""),0.898611111111111)</f>
        <v>0.89861111111111103</v>
      </c>
      <c r="X803" s="5">
        <f ca="1">IFERROR(__xludf.DUMMYFUNCTION("""COMPUTED_VALUE"""),1)</f>
        <v>1</v>
      </c>
      <c r="Y803" s="5" t="str">
        <f ca="1">IFERROR(__xludf.DUMMYFUNCTION("""COMPUTED_VALUE"""),"Shots fired in parking lot after football game")</f>
        <v>Shots fired in parking lot after football game</v>
      </c>
      <c r="Z803" s="5" t="str">
        <f ca="1">IFERROR(__xludf.DUMMYFUNCTION("""COMPUTED_VALUE"""),"3 injured after shots were fired in the crowded parking lot at the end of a high school football game.")</f>
        <v>3 injured after shots were fired in the crowded parking lot at the end of a high school football game.</v>
      </c>
      <c r="AA803" s="5" t="str">
        <f ca="1">IFERROR(__xludf.DUMMYFUNCTION("""COMPUTED_VALUE"""),"Escalation of Dispute")</f>
        <v>Escalation of Dispute</v>
      </c>
      <c r="AB803" s="5"/>
      <c r="AC803" s="5"/>
      <c r="AD803" s="5" t="str">
        <f ca="1">IFERROR(__xludf.DUMMYFUNCTION("""COMPUTED_VALUE"""),"No")</f>
        <v>No</v>
      </c>
      <c r="AE803" s="5" t="str">
        <f ca="1">IFERROR(__xludf.DUMMYFUNCTION("""COMPUTED_VALUE"""),"No")</f>
        <v>No</v>
      </c>
      <c r="AF803" s="5" t="str">
        <f ca="1">IFERROR(__xludf.DUMMYFUNCTION("""COMPUTED_VALUE"""),"No")</f>
        <v>No</v>
      </c>
      <c r="AG803" s="5" t="str">
        <f ca="1">IFERROR(__xludf.DUMMYFUNCTION("""COMPUTED_VALUE"""),"No")</f>
        <v>No</v>
      </c>
      <c r="AH803" s="5" t="str">
        <f ca="1">IFERROR(__xludf.DUMMYFUNCTION("""COMPUTED_VALUE"""),"No")</f>
        <v>No</v>
      </c>
      <c r="AI803" s="5"/>
      <c r="AJ803" s="5" t="str">
        <f ca="1">IFERROR(__xludf.DUMMYFUNCTION("""COMPUTED_VALUE"""),"No")</f>
        <v>No</v>
      </c>
    </row>
    <row r="804" spans="1:36" ht="13">
      <c r="A804" s="5" t="str">
        <f ca="1">IFERROR(__xludf.DUMMYFUNCTION("""COMPUTED_VALUE"""),"20190913UTGRW")</f>
        <v>20190913UTGRW</v>
      </c>
      <c r="B804" s="5">
        <f ca="1">IFERROR(__xludf.DUMMYFUNCTION("""COMPUTED_VALUE"""),9)</f>
        <v>9</v>
      </c>
      <c r="C804" s="5">
        <f ca="1">IFERROR(__xludf.DUMMYFUNCTION("""COMPUTED_VALUE"""),13)</f>
        <v>13</v>
      </c>
      <c r="D804" s="5">
        <f ca="1">IFERROR(__xludf.DUMMYFUNCTION("""COMPUTED_VALUE"""),2019)</f>
        <v>2019</v>
      </c>
      <c r="E804" s="8">
        <f ca="1">IFERROR(__xludf.DUMMYFUNCTION("""COMPUTED_VALUE"""),43721)</f>
        <v>43721</v>
      </c>
      <c r="F804" s="5" t="str">
        <f ca="1">IFERROR(__xludf.DUMMYFUNCTION("""COMPUTED_VALUE"""),"Granger High School")</f>
        <v>Granger High School</v>
      </c>
      <c r="G804" s="5">
        <f ca="1">IFERROR(__xludf.DUMMYFUNCTION("""COMPUTED_VALUE"""),0)</f>
        <v>0</v>
      </c>
      <c r="H804" s="5">
        <f ca="1">IFERROR(__xludf.DUMMYFUNCTION("""COMPUTED_VALUE"""),0)</f>
        <v>0</v>
      </c>
      <c r="I804" s="5">
        <f ca="1">IFERROR(__xludf.DUMMYFUNCTION("""COMPUTED_VALUE"""),0)</f>
        <v>0</v>
      </c>
      <c r="J804" s="5">
        <f ca="1">IFERROR(__xludf.DUMMYFUNCTION("""COMPUTED_VALUE"""),0)</f>
        <v>0</v>
      </c>
      <c r="K804" s="5" t="str">
        <f ca="1">IFERROR(__xludf.DUMMYFUNCTION("""COMPUTED_VALUE"""),"https://www.sltrib.com/news/2019/09/14/custody-after-shots/ https://fox13now.com/2019/09/13/eight-suspects-in-custody-after-shots-fired-during-high-school-football-game/")</f>
        <v>https://www.sltrib.com/news/2019/09/14/custody-after-shots/ https://fox13now.com/2019/09/13/eight-suspects-in-custody-after-shots-fired-during-high-school-football-game/</v>
      </c>
      <c r="L804" s="5"/>
      <c r="M804" s="5"/>
      <c r="N804" s="5">
        <f ca="1">IFERROR(__xludf.DUMMYFUNCTION("""COMPUTED_VALUE"""),4)</f>
        <v>4</v>
      </c>
      <c r="O804" s="5" t="str">
        <f ca="1">IFERROR(__xludf.DUMMYFUNCTION("""COMPUTED_VALUE"""),"Fall")</f>
        <v>Fall</v>
      </c>
      <c r="P804" s="5" t="str">
        <f ca="1">IFERROR(__xludf.DUMMYFUNCTION("""COMPUTED_VALUE"""),"West Valley City")</f>
        <v>West Valley City</v>
      </c>
      <c r="Q804" s="5" t="str">
        <f ca="1">IFERROR(__xludf.DUMMYFUNCTION("""COMPUTED_VALUE"""),"UT")</f>
        <v>UT</v>
      </c>
      <c r="R804" s="5" t="str">
        <f ca="1">IFERROR(__xludf.DUMMYFUNCTION("""COMPUTED_VALUE"""),"High")</f>
        <v>High</v>
      </c>
      <c r="S804" s="5" t="str">
        <f ca="1">IFERROR(__xludf.DUMMYFUNCTION("""COMPUTED_VALUE"""),"Football Field/Track")</f>
        <v>Football Field/Track</v>
      </c>
      <c r="T804" s="5" t="str">
        <f ca="1">IFERROR(__xludf.DUMMYFUNCTION("""COMPUTED_VALUE"""),"Outside on School Property")</f>
        <v>Outside on School Property</v>
      </c>
      <c r="U804" s="5" t="str">
        <f ca="1">IFERROR(__xludf.DUMMYFUNCTION("""COMPUTED_VALUE"""),"No")</f>
        <v>No</v>
      </c>
      <c r="V804" s="5" t="str">
        <f ca="1">IFERROR(__xludf.DUMMYFUNCTION("""COMPUTED_VALUE"""),"Sport Event")</f>
        <v>Sport Event</v>
      </c>
      <c r="W804" s="10">
        <f ca="1">IFERROR(__xludf.DUMMYFUNCTION("""COMPUTED_VALUE"""),0.854166666666666)</f>
        <v>0.85416666666666596</v>
      </c>
      <c r="X804" s="5">
        <f ca="1">IFERROR(__xludf.DUMMYFUNCTION("""COMPUTED_VALUE"""),1)</f>
        <v>1</v>
      </c>
      <c r="Y804" s="5" t="str">
        <f ca="1">IFERROR(__xludf.DUMMYFUNCTION("""COMPUTED_VALUE"""),"Shots fired into air during gang related altercation at football game")</f>
        <v>Shots fired into air during gang related altercation at football game</v>
      </c>
      <c r="Z804" s="5" t="str">
        <f ca="1">IFERROR(__xludf.DUMMYFUNCTION("""COMPUTED_VALUE"""),"2 shots were fired into the ground during a gang related fight outside of the football stadium during the homecoming game. Eight non-students arrested. Police said the people involved in the fight had no relationship with the school. 4 police officers wer"&amp;"e assigned to the school for the game and were 20 yards away when the shots were fired. Stadium was no locked down and attendees were not notified of the shooting.")</f>
        <v>2 shots were fired into the ground during a gang related fight outside of the football stadium during the homecoming game. Eight non-students arrested. Police said the people involved in the fight had no relationship with the school. 4 police officers were assigned to the school for the game and were 20 yards away when the shots were fired. Stadium was no locked down and attendees were not notified of the shooting.</v>
      </c>
      <c r="AA804" s="5" t="str">
        <f ca="1">IFERROR(__xludf.DUMMYFUNCTION("""COMPUTED_VALUE"""),"Escalation of Dispute")</f>
        <v>Escalation of Dispute</v>
      </c>
      <c r="AB804" s="5" t="str">
        <f ca="1">IFERROR(__xludf.DUMMYFUNCTION("""COMPUTED_VALUE"""),"Neither")</f>
        <v>Neither</v>
      </c>
      <c r="AC804" s="5" t="str">
        <f ca="1">IFERROR(__xludf.DUMMYFUNCTION("""COMPUTED_VALUE"""),"Yes")</f>
        <v>Yes</v>
      </c>
      <c r="AD804" s="5" t="str">
        <f ca="1">IFERROR(__xludf.DUMMYFUNCTION("""COMPUTED_VALUE"""),"No")</f>
        <v>No</v>
      </c>
      <c r="AE804" s="5" t="str">
        <f ca="1">IFERROR(__xludf.DUMMYFUNCTION("""COMPUTED_VALUE"""),"No")</f>
        <v>No</v>
      </c>
      <c r="AF804" s="5" t="str">
        <f ca="1">IFERROR(__xludf.DUMMYFUNCTION("""COMPUTED_VALUE"""),"No")</f>
        <v>No</v>
      </c>
      <c r="AG804" s="5" t="str">
        <f ca="1">IFERROR(__xludf.DUMMYFUNCTION("""COMPUTED_VALUE"""),"No")</f>
        <v>No</v>
      </c>
      <c r="AH804" s="5" t="str">
        <f ca="1">IFERROR(__xludf.DUMMYFUNCTION("""COMPUTED_VALUE"""),"No")</f>
        <v>No</v>
      </c>
      <c r="AI804" s="5" t="str">
        <f ca="1">IFERROR(__xludf.DUMMYFUNCTION("""COMPUTED_VALUE"""),"Yes")</f>
        <v>Yes</v>
      </c>
      <c r="AJ804" s="5" t="str">
        <f ca="1">IFERROR(__xludf.DUMMYFUNCTION("""COMPUTED_VALUE"""),"No")</f>
        <v>No</v>
      </c>
    </row>
    <row r="805" spans="1:36" ht="13">
      <c r="A805" s="5" t="str">
        <f ca="1">IFERROR(__xludf.DUMMYFUNCTION("""COMPUTED_VALUE"""),"20190912KSMAM")</f>
        <v>20190912KSMAM</v>
      </c>
      <c r="B805" s="5">
        <f ca="1">IFERROR(__xludf.DUMMYFUNCTION("""COMPUTED_VALUE"""),9)</f>
        <v>9</v>
      </c>
      <c r="C805" s="5">
        <f ca="1">IFERROR(__xludf.DUMMYFUNCTION("""COMPUTED_VALUE"""),12)</f>
        <v>12</v>
      </c>
      <c r="D805" s="5">
        <f ca="1">IFERROR(__xludf.DUMMYFUNCTION("""COMPUTED_VALUE"""),2019)</f>
        <v>2019</v>
      </c>
      <c r="E805" s="8">
        <f ca="1">IFERROR(__xludf.DUMMYFUNCTION("""COMPUTED_VALUE"""),43720)</f>
        <v>43720</v>
      </c>
      <c r="F805" s="5" t="str">
        <f ca="1">IFERROR(__xludf.DUMMYFUNCTION("""COMPUTED_VALUE"""),"Manhattan High School")</f>
        <v>Manhattan High School</v>
      </c>
      <c r="G805" s="5">
        <f ca="1">IFERROR(__xludf.DUMMYFUNCTION("""COMPUTED_VALUE"""),0)</f>
        <v>0</v>
      </c>
      <c r="H805" s="5">
        <f ca="1">IFERROR(__xludf.DUMMYFUNCTION("""COMPUTED_VALUE"""),0)</f>
        <v>0</v>
      </c>
      <c r="I805" s="5">
        <f ca="1">IFERROR(__xludf.DUMMYFUNCTION("""COMPUTED_VALUE"""),0)</f>
        <v>0</v>
      </c>
      <c r="J805" s="5">
        <f ca="1">IFERROR(__xludf.DUMMYFUNCTION("""COMPUTED_VALUE"""),0)</f>
        <v>0</v>
      </c>
      <c r="K805" s="5" t="str">
        <f ca="1">IFERROR(__xludf.DUMMYFUNCTION("""COMPUTED_VALUE"""),"https://www.wibw.com/content/news/RCPD-investigating-shooting-near-Poyntz-Ave-560194781.html https://www.ksnt.com/news/local-news/riley-co-police-investigating-shooting-near-manhattan-high-school/")</f>
        <v>https://www.wibw.com/content/news/RCPD-investigating-shooting-near-Poyntz-Ave-560194781.html https://www.ksnt.com/news/local-news/riley-co-police-investigating-shooting-near-manhattan-high-school/</v>
      </c>
      <c r="L805" s="5"/>
      <c r="M805" s="5"/>
      <c r="N805" s="5">
        <f ca="1">IFERROR(__xludf.DUMMYFUNCTION("""COMPUTED_VALUE"""),4)</f>
        <v>4</v>
      </c>
      <c r="O805" s="5" t="str">
        <f ca="1">IFERROR(__xludf.DUMMYFUNCTION("""COMPUTED_VALUE"""),"Fall")</f>
        <v>Fall</v>
      </c>
      <c r="P805" s="5" t="str">
        <f ca="1">IFERROR(__xludf.DUMMYFUNCTION("""COMPUTED_VALUE"""),"Manhattan")</f>
        <v>Manhattan</v>
      </c>
      <c r="Q805" s="5" t="str">
        <f ca="1">IFERROR(__xludf.DUMMYFUNCTION("""COMPUTED_VALUE"""),"KS")</f>
        <v>KS</v>
      </c>
      <c r="R805" s="5" t="str">
        <f ca="1">IFERROR(__xludf.DUMMYFUNCTION("""COMPUTED_VALUE"""),"High")</f>
        <v>High</v>
      </c>
      <c r="S805" s="5" t="str">
        <f ca="1">IFERROR(__xludf.DUMMYFUNCTION("""COMPUTED_VALUE"""),"Parking Lot")</f>
        <v>Parking Lot</v>
      </c>
      <c r="T805" s="5" t="str">
        <f ca="1">IFERROR(__xludf.DUMMYFUNCTION("""COMPUTED_VALUE"""),"Outside on School Property")</f>
        <v>Outside on School Property</v>
      </c>
      <c r="U805" s="5" t="str">
        <f ca="1">IFERROR(__xludf.DUMMYFUNCTION("""COMPUTED_VALUE"""),"No")</f>
        <v>No</v>
      </c>
      <c r="V805" s="5" t="str">
        <f ca="1">IFERROR(__xludf.DUMMYFUNCTION("""COMPUTED_VALUE"""),"Evening")</f>
        <v>Evening</v>
      </c>
      <c r="W805" s="10">
        <f ca="1">IFERROR(__xludf.DUMMYFUNCTION("""COMPUTED_VALUE"""),0.78125)</f>
        <v>0.78125</v>
      </c>
      <c r="X805" s="5">
        <f ca="1">IFERROR(__xludf.DUMMYFUNCTION("""COMPUTED_VALUE"""),1)</f>
        <v>1</v>
      </c>
      <c r="Y805" s="5" t="str">
        <f ca="1">IFERROR(__xludf.DUMMYFUNCTION("""COMPUTED_VALUE"""),"Shots fired in school parking lot.")</f>
        <v>Shots fired in school parking lot.</v>
      </c>
      <c r="Z805" s="5" t="str">
        <f ca="1">IFERROR(__xludf.DUMMYFUNCTION("""COMPUTED_VALUE"""),"Shots fired in school parking lot during meeting between people unrelated to the school in two different cars. Witnesses provided the license plate number to police and one vehicle was stopped after a police pursuit. Police said the individuals involved w"&amp;"ere not associated with the school. 4 shell casing were found in the school parking lot. No students were injured.")</f>
        <v>Shots fired in school parking lot during meeting between people unrelated to the school in two different cars. Witnesses provided the license plate number to police and one vehicle was stopped after a police pursuit. Police said the individuals involved were not associated with the school. 4 shell casing were found in the school parking lot. No students were injured.</v>
      </c>
      <c r="AA805" s="5" t="str">
        <f ca="1">IFERROR(__xludf.DUMMYFUNCTION("""COMPUTED_VALUE"""),"Illegal Activity")</f>
        <v>Illegal Activity</v>
      </c>
      <c r="AB805" s="5"/>
      <c r="AC805" s="5" t="str">
        <f ca="1">IFERROR(__xludf.DUMMYFUNCTION("""COMPUTED_VALUE"""),"No")</f>
        <v>No</v>
      </c>
      <c r="AD805" s="5" t="str">
        <f ca="1">IFERROR(__xludf.DUMMYFUNCTION("""COMPUTED_VALUE"""),"No")</f>
        <v>No</v>
      </c>
      <c r="AE805" s="5" t="str">
        <f ca="1">IFERROR(__xludf.DUMMYFUNCTION("""COMPUTED_VALUE"""),"No")</f>
        <v>No</v>
      </c>
      <c r="AF805" s="5" t="str">
        <f ca="1">IFERROR(__xludf.DUMMYFUNCTION("""COMPUTED_VALUE"""),"No")</f>
        <v>No</v>
      </c>
      <c r="AG805" s="5" t="str">
        <f ca="1">IFERROR(__xludf.DUMMYFUNCTION("""COMPUTED_VALUE"""),"No")</f>
        <v>No</v>
      </c>
      <c r="AH805" s="5" t="str">
        <f ca="1">IFERROR(__xludf.DUMMYFUNCTION("""COMPUTED_VALUE"""),"No")</f>
        <v>No</v>
      </c>
      <c r="AI805" s="5"/>
      <c r="AJ805" s="5" t="str">
        <f ca="1">IFERROR(__xludf.DUMMYFUNCTION("""COMPUTED_VALUE"""),"No")</f>
        <v>No</v>
      </c>
    </row>
    <row r="806" spans="1:36" ht="13">
      <c r="A806" s="5" t="str">
        <f ca="1">IFERROR(__xludf.DUMMYFUNCTION("""COMPUTED_VALUE"""),"20190910SCSOA")</f>
        <v>20190910SCSOA</v>
      </c>
      <c r="B806" s="5">
        <f ca="1">IFERROR(__xludf.DUMMYFUNCTION("""COMPUTED_VALUE"""),9)</f>
        <v>9</v>
      </c>
      <c r="C806" s="5">
        <f ca="1">IFERROR(__xludf.DUMMYFUNCTION("""COMPUTED_VALUE"""),10)</f>
        <v>10</v>
      </c>
      <c r="D806" s="5">
        <f ca="1">IFERROR(__xludf.DUMMYFUNCTION("""COMPUTED_VALUE"""),2019)</f>
        <v>2019</v>
      </c>
      <c r="E806" s="8">
        <f ca="1">IFERROR(__xludf.DUMMYFUNCTION("""COMPUTED_VALUE"""),43718)</f>
        <v>43718</v>
      </c>
      <c r="F806" s="5" t="str">
        <f ca="1">IFERROR(__xludf.DUMMYFUNCTION("""COMPUTED_VALUE"""),"South Aiken High School")</f>
        <v>South Aiken High School</v>
      </c>
      <c r="G806" s="5">
        <f ca="1">IFERROR(__xludf.DUMMYFUNCTION("""COMPUTED_VALUE"""),0)</f>
        <v>0</v>
      </c>
      <c r="H806" s="5">
        <f ca="1">IFERROR(__xludf.DUMMYFUNCTION("""COMPUTED_VALUE"""),0)</f>
        <v>0</v>
      </c>
      <c r="I806" s="5">
        <f ca="1">IFERROR(__xludf.DUMMYFUNCTION("""COMPUTED_VALUE"""),0)</f>
        <v>0</v>
      </c>
      <c r="J806" s="5">
        <f ca="1">IFERROR(__xludf.DUMMYFUNCTION("""COMPUTED_VALUE"""),0)</f>
        <v>0</v>
      </c>
      <c r="K806" s="5" t="str">
        <f ca="1">IFERROR(__xludf.DUMMYFUNCTION("""COMPUTED_VALUE"""),"https://www.aikenstandard.com/news/three-charged-in-south-aiken-high-parking-lot-shooting-police/article_990ffa44-d4c6-11e9-af05-4f47f4f80e3b.html https://www.aikenstandard.com/news/at-least-one-shot-fired-at-south-aiken-high-school/article_25bf2bd4-d406-"&amp;"11e9-911c-8fbdc4d354f2.html")</f>
        <v>https://www.aikenstandard.com/news/three-charged-in-south-aiken-high-parking-lot-shooting-police/article_990ffa44-d4c6-11e9-af05-4f47f4f80e3b.html https://www.aikenstandard.com/news/at-least-one-shot-fired-at-south-aiken-high-school/article_25bf2bd4-d406-11e9-911c-8fbdc4d354f2.html</v>
      </c>
      <c r="L806" s="5"/>
      <c r="M806" s="5"/>
      <c r="N806" s="5">
        <f ca="1">IFERROR(__xludf.DUMMYFUNCTION("""COMPUTED_VALUE"""),4)</f>
        <v>4</v>
      </c>
      <c r="O806" s="5" t="str">
        <f ca="1">IFERROR(__xludf.DUMMYFUNCTION("""COMPUTED_VALUE"""),"Fall")</f>
        <v>Fall</v>
      </c>
      <c r="P806" s="5" t="str">
        <f ca="1">IFERROR(__xludf.DUMMYFUNCTION("""COMPUTED_VALUE"""),"Aiken")</f>
        <v>Aiken</v>
      </c>
      <c r="Q806" s="5" t="str">
        <f ca="1">IFERROR(__xludf.DUMMYFUNCTION("""COMPUTED_VALUE"""),"SC")</f>
        <v>SC</v>
      </c>
      <c r="R806" s="5" t="str">
        <f ca="1">IFERROR(__xludf.DUMMYFUNCTION("""COMPUTED_VALUE"""),"High")</f>
        <v>High</v>
      </c>
      <c r="S806" s="5" t="str">
        <f ca="1">IFERROR(__xludf.DUMMYFUNCTION("""COMPUTED_VALUE"""),"Parking Lot")</f>
        <v>Parking Lot</v>
      </c>
      <c r="T806" s="5" t="str">
        <f ca="1">IFERROR(__xludf.DUMMYFUNCTION("""COMPUTED_VALUE"""),"Outside on School Property")</f>
        <v>Outside on School Property</v>
      </c>
      <c r="U806" s="5" t="str">
        <f ca="1">IFERROR(__xludf.DUMMYFUNCTION("""COMPUTED_VALUE"""),"No")</f>
        <v>No</v>
      </c>
      <c r="V806" s="5" t="str">
        <f ca="1">IFERROR(__xludf.DUMMYFUNCTION("""COMPUTED_VALUE"""),"Dismissal")</f>
        <v>Dismissal</v>
      </c>
      <c r="W806" s="10">
        <f ca="1">IFERROR(__xludf.DUMMYFUNCTION("""COMPUTED_VALUE"""),0.645833333333333)</f>
        <v>0.64583333333333304</v>
      </c>
      <c r="X806" s="5">
        <f ca="1">IFERROR(__xludf.DUMMYFUNCTION("""COMPUTED_VALUE"""),1)</f>
        <v>1</v>
      </c>
      <c r="Y806" s="5" t="str">
        <f ca="1">IFERROR(__xludf.DUMMYFUNCTION("""COMPUTED_VALUE"""),"Shot fired during altercation in school parking lot")</f>
        <v>Shot fired during altercation in school parking lot</v>
      </c>
      <c r="Z806" s="5" t="str">
        <f ca="1">IFERROR(__xludf.DUMMYFUNCTION("""COMPUTED_VALUE"""),"4 teens were involved with an altercation with a student at the store across from the school. The altercation continued into the school parking lot where one of the teens fired one shot that missed the targeted victim. Shooter and the 3 other teens fled t"&amp;"he area.")</f>
        <v>4 teens were involved with an altercation with a student at the store across from the school. The altercation continued into the school parking lot where one of the teens fired one shot that missed the targeted victim. Shooter and the 3 other teens fled the area.</v>
      </c>
      <c r="AA806" s="5" t="str">
        <f ca="1">IFERROR(__xludf.DUMMYFUNCTION("""COMPUTED_VALUE"""),"Escalation of Dispute")</f>
        <v>Escalation of Dispute</v>
      </c>
      <c r="AB806" s="5" t="str">
        <f ca="1">IFERROR(__xludf.DUMMYFUNCTION("""COMPUTED_VALUE"""),"Victims Targeted")</f>
        <v>Victims Targeted</v>
      </c>
      <c r="AC806" s="5" t="str">
        <f ca="1">IFERROR(__xludf.DUMMYFUNCTION("""COMPUTED_VALUE"""),"Yes")</f>
        <v>Yes</v>
      </c>
      <c r="AD806" s="5" t="str">
        <f ca="1">IFERROR(__xludf.DUMMYFUNCTION("""COMPUTED_VALUE"""),"No")</f>
        <v>No</v>
      </c>
      <c r="AE806" s="5" t="str">
        <f ca="1">IFERROR(__xludf.DUMMYFUNCTION("""COMPUTED_VALUE"""),"No")</f>
        <v>No</v>
      </c>
      <c r="AF806" s="5" t="str">
        <f ca="1">IFERROR(__xludf.DUMMYFUNCTION("""COMPUTED_VALUE"""),"No")</f>
        <v>No</v>
      </c>
      <c r="AG806" s="5" t="str">
        <f ca="1">IFERROR(__xludf.DUMMYFUNCTION("""COMPUTED_VALUE"""),"No")</f>
        <v>No</v>
      </c>
      <c r="AH806" s="5" t="str">
        <f ca="1">IFERROR(__xludf.DUMMYFUNCTION("""COMPUTED_VALUE"""),"No")</f>
        <v>No</v>
      </c>
      <c r="AI806" s="5" t="str">
        <f ca="1">IFERROR(__xludf.DUMMYFUNCTION("""COMPUTED_VALUE"""),"No")</f>
        <v>No</v>
      </c>
      <c r="AJ806" s="5" t="str">
        <f ca="1">IFERROR(__xludf.DUMMYFUNCTION("""COMPUTED_VALUE"""),"No")</f>
        <v>No</v>
      </c>
    </row>
    <row r="807" spans="1:36" ht="13">
      <c r="A807" s="5" t="str">
        <f ca="1">IFERROR(__xludf.DUMMYFUNCTION("""COMPUTED_VALUE"""),"20190906PAWEM")</f>
        <v>20190906PAWEM</v>
      </c>
      <c r="B807" s="5">
        <f ca="1">IFERROR(__xludf.DUMMYFUNCTION("""COMPUTED_VALUE"""),9)</f>
        <v>9</v>
      </c>
      <c r="C807" s="5">
        <f ca="1">IFERROR(__xludf.DUMMYFUNCTION("""COMPUTED_VALUE"""),6)</f>
        <v>6</v>
      </c>
      <c r="D807" s="5">
        <f ca="1">IFERROR(__xludf.DUMMYFUNCTION("""COMPUTED_VALUE"""),2019)</f>
        <v>2019</v>
      </c>
      <c r="E807" s="8">
        <f ca="1">IFERROR(__xludf.DUMMYFUNCTION("""COMPUTED_VALUE"""),43714)</f>
        <v>43714</v>
      </c>
      <c r="F807" s="5" t="str">
        <f ca="1">IFERROR(__xludf.DUMMYFUNCTION("""COMPUTED_VALUE"""),"West Palmer High School")</f>
        <v>West Palmer High School</v>
      </c>
      <c r="G807" s="5">
        <f ca="1">IFERROR(__xludf.DUMMYFUNCTION("""COMPUTED_VALUE"""),0)</f>
        <v>0</v>
      </c>
      <c r="H807" s="5">
        <f ca="1">IFERROR(__xludf.DUMMYFUNCTION("""COMPUTED_VALUE"""),1)</f>
        <v>1</v>
      </c>
      <c r="I807" s="5">
        <f ca="1">IFERROR(__xludf.DUMMYFUNCTION("""COMPUTED_VALUE"""),1)</f>
        <v>1</v>
      </c>
      <c r="J807" s="5">
        <f ca="1">IFERROR(__xludf.DUMMYFUNCTION("""COMPUTED_VALUE"""),0)</f>
        <v>0</v>
      </c>
      <c r="K807" s="5" t="str">
        <f ca="1">IFERROR(__xludf.DUMMYFUNCTION("""COMPUTED_VALUE"""),"https://www.buckscountycouriertimes.com/news/20190906/girl-injured-in-shooting-outside-morrisville-high-school https://6abc.com/shots-fired-after-football-game-at-morrisville-high-school/5521625/ https://www.phillyvoice.com/shooting-incident-bucks-county-"&amp;"high-school-football-game-leaves-one-injured/")</f>
        <v>https://www.buckscountycouriertimes.com/news/20190906/girl-injured-in-shooting-outside-morrisville-high-school https://6abc.com/shots-fired-after-football-game-at-morrisville-high-school/5521625/ https://www.phillyvoice.com/shooting-incident-bucks-county-high-school-football-game-leaves-one-injured/</v>
      </c>
      <c r="L807" s="5"/>
      <c r="M807" s="5"/>
      <c r="N807" s="5">
        <f ca="1">IFERROR(__xludf.DUMMYFUNCTION("""COMPUTED_VALUE"""),4)</f>
        <v>4</v>
      </c>
      <c r="O807" s="5" t="str">
        <f ca="1">IFERROR(__xludf.DUMMYFUNCTION("""COMPUTED_VALUE"""),"Fall")</f>
        <v>Fall</v>
      </c>
      <c r="P807" s="5" t="str">
        <f ca="1">IFERROR(__xludf.DUMMYFUNCTION("""COMPUTED_VALUE"""),"Morrisville")</f>
        <v>Morrisville</v>
      </c>
      <c r="Q807" s="5" t="str">
        <f ca="1">IFERROR(__xludf.DUMMYFUNCTION("""COMPUTED_VALUE"""),"PA")</f>
        <v>PA</v>
      </c>
      <c r="R807" s="5" t="str">
        <f ca="1">IFERROR(__xludf.DUMMYFUNCTION("""COMPUTED_VALUE"""),"High")</f>
        <v>High</v>
      </c>
      <c r="S807" s="5" t="str">
        <f ca="1">IFERROR(__xludf.DUMMYFUNCTION("""COMPUTED_VALUE"""),"Parking Lot")</f>
        <v>Parking Lot</v>
      </c>
      <c r="T807" s="5" t="str">
        <f ca="1">IFERROR(__xludf.DUMMYFUNCTION("""COMPUTED_VALUE"""),"Outside on School Property")</f>
        <v>Outside on School Property</v>
      </c>
      <c r="U807" s="5" t="str">
        <f ca="1">IFERROR(__xludf.DUMMYFUNCTION("""COMPUTED_VALUE"""),"No")</f>
        <v>No</v>
      </c>
      <c r="V807" s="5" t="str">
        <f ca="1">IFERROR(__xludf.DUMMYFUNCTION("""COMPUTED_VALUE"""),"Sport Event")</f>
        <v>Sport Event</v>
      </c>
      <c r="W807" s="10">
        <f ca="1">IFERROR(__xludf.DUMMYFUNCTION("""COMPUTED_VALUE"""),0.916666666666666)</f>
        <v>0.91666666666666596</v>
      </c>
      <c r="X807" s="5">
        <f ca="1">IFERROR(__xludf.DUMMYFUNCTION("""COMPUTED_VALUE"""),1)</f>
        <v>1</v>
      </c>
      <c r="Y807" s="5" t="str">
        <f ca="1">IFERROR(__xludf.DUMMYFUNCTION("""COMPUTED_VALUE"""),"Female student shot in school parking lot following football game")</f>
        <v>Female student shot in school parking lot following football game</v>
      </c>
      <c r="Z807" s="5" t="str">
        <f ca="1">IFERROR(__xludf.DUMMYFUNCTION("""COMPUTED_VALUE"""),"3 shots were fired at students walking in the school parking lot following a football game. Female student was stuck and sustained minor injuries. Unknown suspect fled.")</f>
        <v>3 shots were fired at students walking in the school parking lot following a football game. Female student was stuck and sustained minor injuries. Unknown suspect fled.</v>
      </c>
      <c r="AA807" s="5" t="str">
        <f ca="1">IFERROR(__xludf.DUMMYFUNCTION("""COMPUTED_VALUE"""),"Escalation of Dispute")</f>
        <v>Escalation of Dispute</v>
      </c>
      <c r="AB807" s="5"/>
      <c r="AC807" s="5"/>
      <c r="AD807" s="5" t="str">
        <f ca="1">IFERROR(__xludf.DUMMYFUNCTION("""COMPUTED_VALUE"""),"No")</f>
        <v>No</v>
      </c>
      <c r="AE807" s="5" t="str">
        <f ca="1">IFERROR(__xludf.DUMMYFUNCTION("""COMPUTED_VALUE"""),"No")</f>
        <v>No</v>
      </c>
      <c r="AF807" s="5" t="str">
        <f ca="1">IFERROR(__xludf.DUMMYFUNCTION("""COMPUTED_VALUE"""),"No")</f>
        <v>No</v>
      </c>
      <c r="AG807" s="5" t="str">
        <f ca="1">IFERROR(__xludf.DUMMYFUNCTION("""COMPUTED_VALUE"""),"No")</f>
        <v>No</v>
      </c>
      <c r="AH807" s="5" t="str">
        <f ca="1">IFERROR(__xludf.DUMMYFUNCTION("""COMPUTED_VALUE"""),"No")</f>
        <v>No</v>
      </c>
      <c r="AI807" s="5"/>
      <c r="AJ807" s="5" t="str">
        <f ca="1">IFERROR(__xludf.DUMMYFUNCTION("""COMPUTED_VALUE"""),"No")</f>
        <v>No</v>
      </c>
    </row>
    <row r="808" spans="1:36" ht="13">
      <c r="A808" s="5" t="str">
        <f ca="1">IFERROR(__xludf.DUMMYFUNCTION("""COMPUTED_VALUE"""),"20190906PAMCJ")</f>
        <v>20190906PAMCJ</v>
      </c>
      <c r="B808" s="5">
        <f ca="1">IFERROR(__xludf.DUMMYFUNCTION("""COMPUTED_VALUE"""),9)</f>
        <v>9</v>
      </c>
      <c r="C808" s="5">
        <f ca="1">IFERROR(__xludf.DUMMYFUNCTION("""COMPUTED_VALUE"""),6)</f>
        <v>6</v>
      </c>
      <c r="D808" s="5">
        <f ca="1">IFERROR(__xludf.DUMMYFUNCTION("""COMPUTED_VALUE"""),2019)</f>
        <v>2019</v>
      </c>
      <c r="E808" s="8">
        <f ca="1">IFERROR(__xludf.DUMMYFUNCTION("""COMPUTED_VALUE"""),43714)</f>
        <v>43714</v>
      </c>
      <c r="F808" s="5" t="str">
        <f ca="1">IFERROR(__xludf.DUMMYFUNCTION("""COMPUTED_VALUE"""),"McKee Middle School")</f>
        <v>McKee Middle School</v>
      </c>
      <c r="G808" s="5">
        <f ca="1">IFERROR(__xludf.DUMMYFUNCTION("""COMPUTED_VALUE"""),1)</f>
        <v>1</v>
      </c>
      <c r="H808" s="5">
        <f ca="1">IFERROR(__xludf.DUMMYFUNCTION("""COMPUTED_VALUE"""),0)</f>
        <v>0</v>
      </c>
      <c r="I808" s="5">
        <f ca="1">IFERROR(__xludf.DUMMYFUNCTION("""COMPUTED_VALUE"""),1)</f>
        <v>1</v>
      </c>
      <c r="J808" s="5">
        <f ca="1">IFERROR(__xludf.DUMMYFUNCTION("""COMPUTED_VALUE"""),0)</f>
        <v>0</v>
      </c>
      <c r="K808" s="9" t="str">
        <f ca="1">IFERROR(__xludf.DUMMYFUNCTION("""COMPUTED_VALUE"""),"https://triblive.com/local/westmoreland/jeannette-man-pleads-guilty-to-homicide-charge-in-2019-shooting-outside-mckee-stadium/ https://www.pennlive.com/news/2019/09/man-killed-outside-pa-stadium-during-high-school-football-game-prompting-evacuation.html h"&amp;"ttps://www.wpxi.com/news/top-stories/gunman-identified-after-deadly-shooting-outside-jeannette-high-school-football-game/983628537
https://triblive.com/local/westmoreland/jeannette-man-sentenced-for-2019-fatal-shooting-outside-of-high-school-football-game"&amp;"/")</f>
        <v>https://triblive.com/local/westmoreland/jeannette-man-pleads-guilty-to-homicide-charge-in-2019-shooting-outside-mckee-stadium/ https://www.pennlive.com/news/2019/09/man-killed-outside-pa-stadium-during-high-school-football-game-prompting-evacuation.html https://www.wpxi.com/news/top-stories/gunman-identified-after-deadly-shooting-outside-jeannette-high-school-football-game/983628537
https://triblive.com/local/westmoreland/jeannette-man-sentenced-for-2019-fatal-shooting-outside-of-high-school-football-game/</v>
      </c>
      <c r="L808" s="5"/>
      <c r="M808" s="5" t="str">
        <f ca="1">IFERROR(__xludf.DUMMYFUNCTION("""COMPUTED_VALUE"""),"Regional")</f>
        <v>Regional</v>
      </c>
      <c r="N808" s="5">
        <f ca="1">IFERROR(__xludf.DUMMYFUNCTION("""COMPUTED_VALUE"""),4)</f>
        <v>4</v>
      </c>
      <c r="O808" s="5" t="str">
        <f ca="1">IFERROR(__xludf.DUMMYFUNCTION("""COMPUTED_VALUE"""),"Fall")</f>
        <v>Fall</v>
      </c>
      <c r="P808" s="5" t="str">
        <f ca="1">IFERROR(__xludf.DUMMYFUNCTION("""COMPUTED_VALUE"""),"Jeannette")</f>
        <v>Jeannette</v>
      </c>
      <c r="Q808" s="5" t="str">
        <f ca="1">IFERROR(__xludf.DUMMYFUNCTION("""COMPUTED_VALUE"""),"PA")</f>
        <v>PA</v>
      </c>
      <c r="R808" s="5" t="str">
        <f ca="1">IFERROR(__xludf.DUMMYFUNCTION("""COMPUTED_VALUE"""),"Middle")</f>
        <v>Middle</v>
      </c>
      <c r="S808" s="5" t="str">
        <f ca="1">IFERROR(__xludf.DUMMYFUNCTION("""COMPUTED_VALUE"""),"Football Field/Track")</f>
        <v>Football Field/Track</v>
      </c>
      <c r="T808" s="5" t="str">
        <f ca="1">IFERROR(__xludf.DUMMYFUNCTION("""COMPUTED_VALUE"""),"Outside on School Property")</f>
        <v>Outside on School Property</v>
      </c>
      <c r="U808" s="5" t="str">
        <f ca="1">IFERROR(__xludf.DUMMYFUNCTION("""COMPUTED_VALUE"""),"No")</f>
        <v>No</v>
      </c>
      <c r="V808" s="5" t="str">
        <f ca="1">IFERROR(__xludf.DUMMYFUNCTION("""COMPUTED_VALUE"""),"Sport Event")</f>
        <v>Sport Event</v>
      </c>
      <c r="W808" s="10">
        <f ca="1">IFERROR(__xludf.DUMMYFUNCTION("""COMPUTED_VALUE"""),0.888888888888888)</f>
        <v>0.88888888888888795</v>
      </c>
      <c r="X808" s="5">
        <f ca="1">IFERROR(__xludf.DUMMYFUNCTION("""COMPUTED_VALUE"""),1)</f>
        <v>1</v>
      </c>
      <c r="Y808" s="5" t="str">
        <f ca="1">IFERROR(__xludf.DUMMYFUNCTION("""COMPUTED_VALUE"""),"Adult male shot/killed adult male at gate of football stadium during high school game")</f>
        <v>Adult male shot/killed adult male at gate of football stadium during high school game</v>
      </c>
      <c r="Z808" s="5" t="str">
        <f ca="1">IFERROR(__xludf.DUMMYFUNCTION("""COMPUTED_VALUE"""),"High school football game was being played in the stadium on the middle school campus. 40YOM shot and killed 48YOM at the gate of the stadium following a physical altercation. Police heard gunshots and stadium was locked down. Players were evacuated. Fans"&amp;" were moved from stadium section by section. Remaining 4:00 of game were cancelled. In May 2022, shooter plead guilty to 3rd degree homicide.")</f>
        <v>High school football game was being played in the stadium on the middle school campus. 40YOM shot and killed 48YOM at the gate of the stadium following a physical altercation. Police heard gunshots and stadium was locked down. Players were evacuated. Fans were moved from stadium section by section. Remaining 4:00 of game were cancelled. In May 2022, shooter plead guilty to 3rd degree homicide.</v>
      </c>
      <c r="AA808" s="5" t="str">
        <f ca="1">IFERROR(__xludf.DUMMYFUNCTION("""COMPUTED_VALUE"""),"Escalation of Dispute")</f>
        <v>Escalation of Dispute</v>
      </c>
      <c r="AB808" s="5" t="str">
        <f ca="1">IFERROR(__xludf.DUMMYFUNCTION("""COMPUTED_VALUE"""),"Victims Targeted")</f>
        <v>Victims Targeted</v>
      </c>
      <c r="AC808" s="5" t="str">
        <f ca="1">IFERROR(__xludf.DUMMYFUNCTION("""COMPUTED_VALUE"""),"No")</f>
        <v>No</v>
      </c>
      <c r="AD808" s="5" t="str">
        <f ca="1">IFERROR(__xludf.DUMMYFUNCTION("""COMPUTED_VALUE"""),"No")</f>
        <v>No</v>
      </c>
      <c r="AE808" s="5" t="str">
        <f ca="1">IFERROR(__xludf.DUMMYFUNCTION("""COMPUTED_VALUE"""),"No")</f>
        <v>No</v>
      </c>
      <c r="AF808" s="5" t="str">
        <f ca="1">IFERROR(__xludf.DUMMYFUNCTION("""COMPUTED_VALUE"""),"No")</f>
        <v>No</v>
      </c>
      <c r="AG808" s="5" t="str">
        <f ca="1">IFERROR(__xludf.DUMMYFUNCTION("""COMPUTED_VALUE"""),"No")</f>
        <v>No</v>
      </c>
      <c r="AH808" s="5" t="str">
        <f ca="1">IFERROR(__xludf.DUMMYFUNCTION("""COMPUTED_VALUE"""),"No")</f>
        <v>No</v>
      </c>
      <c r="AI808" s="5" t="str">
        <f ca="1">IFERROR(__xludf.DUMMYFUNCTION("""COMPUTED_VALUE"""),"No")</f>
        <v>No</v>
      </c>
      <c r="AJ808" s="5" t="str">
        <f ca="1">IFERROR(__xludf.DUMMYFUNCTION("""COMPUTED_VALUE"""),"No")</f>
        <v>No</v>
      </c>
    </row>
    <row r="809" spans="1:36" ht="13">
      <c r="A809" s="5" t="str">
        <f ca="1">IFERROR(__xludf.DUMMYFUNCTION("""COMPUTED_VALUE"""),"20190906ALCEC")</f>
        <v>20190906ALCEC</v>
      </c>
      <c r="B809" s="5">
        <f ca="1">IFERROR(__xludf.DUMMYFUNCTION("""COMPUTED_VALUE"""),9)</f>
        <v>9</v>
      </c>
      <c r="C809" s="5">
        <f ca="1">IFERROR(__xludf.DUMMYFUNCTION("""COMPUTED_VALUE"""),6)</f>
        <v>6</v>
      </c>
      <c r="D809" s="5">
        <f ca="1">IFERROR(__xludf.DUMMYFUNCTION("""COMPUTED_VALUE"""),2019)</f>
        <v>2019</v>
      </c>
      <c r="E809" s="8">
        <f ca="1">IFERROR(__xludf.DUMMYFUNCTION("""COMPUTED_VALUE"""),43714)</f>
        <v>43714</v>
      </c>
      <c r="F809" s="5" t="str">
        <f ca="1">IFERROR(__xludf.DUMMYFUNCTION("""COMPUTED_VALUE"""),"Center Point High School")</f>
        <v>Center Point High School</v>
      </c>
      <c r="G809" s="5">
        <f ca="1">IFERROR(__xludf.DUMMYFUNCTION("""COMPUTED_VALUE"""),0)</f>
        <v>0</v>
      </c>
      <c r="H809" s="5">
        <f ca="1">IFERROR(__xludf.DUMMYFUNCTION("""COMPUTED_VALUE"""),0)</f>
        <v>0</v>
      </c>
      <c r="I809" s="5">
        <f ca="1">IFERROR(__xludf.DUMMYFUNCTION("""COMPUTED_VALUE"""),0)</f>
        <v>0</v>
      </c>
      <c r="J809" s="5">
        <f ca="1">IFERROR(__xludf.DUMMYFUNCTION("""COMPUTED_VALUE"""),0)</f>
        <v>0</v>
      </c>
      <c r="K809" s="9" t="str">
        <f ca="1">IFERROR(__xludf.DUMMYFUNCTION("""COMPUTED_VALUE"""),"https://www.al.com/news/birmingham/2019/09/shots-fired-near-alabama-high-school-football-game-temporarily-stop-play-no-injures.html")</f>
        <v>https://www.al.com/news/birmingham/2019/09/shots-fired-near-alabama-high-school-football-game-temporarily-stop-play-no-injures.html</v>
      </c>
      <c r="L809" s="5"/>
      <c r="M809" s="5"/>
      <c r="N809" s="5">
        <f ca="1">IFERROR(__xludf.DUMMYFUNCTION("""COMPUTED_VALUE"""),3)</f>
        <v>3</v>
      </c>
      <c r="O809" s="5" t="str">
        <f ca="1">IFERROR(__xludf.DUMMYFUNCTION("""COMPUTED_VALUE"""),"Fall")</f>
        <v>Fall</v>
      </c>
      <c r="P809" s="5" t="str">
        <f ca="1">IFERROR(__xludf.DUMMYFUNCTION("""COMPUTED_VALUE"""),"Center Point")</f>
        <v>Center Point</v>
      </c>
      <c r="Q809" s="5" t="str">
        <f ca="1">IFERROR(__xludf.DUMMYFUNCTION("""COMPUTED_VALUE"""),"AL")</f>
        <v>AL</v>
      </c>
      <c r="R809" s="5" t="str">
        <f ca="1">IFERROR(__xludf.DUMMYFUNCTION("""COMPUTED_VALUE"""),"High")</f>
        <v>High</v>
      </c>
      <c r="S809" s="5" t="str">
        <f ca="1">IFERROR(__xludf.DUMMYFUNCTION("""COMPUTED_VALUE"""),"Football Field/Track")</f>
        <v>Football Field/Track</v>
      </c>
      <c r="T809" s="5" t="str">
        <f ca="1">IFERROR(__xludf.DUMMYFUNCTION("""COMPUTED_VALUE"""),"Outside on School Property")</f>
        <v>Outside on School Property</v>
      </c>
      <c r="U809" s="5" t="str">
        <f ca="1">IFERROR(__xludf.DUMMYFUNCTION("""COMPUTED_VALUE"""),"No")</f>
        <v>No</v>
      </c>
      <c r="V809" s="5" t="str">
        <f ca="1">IFERROR(__xludf.DUMMYFUNCTION("""COMPUTED_VALUE"""),"Sport Event")</f>
        <v>Sport Event</v>
      </c>
      <c r="W809" s="10">
        <f ca="1">IFERROR(__xludf.DUMMYFUNCTION("""COMPUTED_VALUE"""),0.875)</f>
        <v>0.875</v>
      </c>
      <c r="X809" s="5">
        <f ca="1">IFERROR(__xludf.DUMMYFUNCTION("""COMPUTED_VALUE"""),1)</f>
        <v>1</v>
      </c>
      <c r="Y809" s="5" t="str">
        <f ca="1">IFERROR(__xludf.DUMMYFUNCTION("""COMPUTED_VALUE"""),"8-9 shots fired from woods by football stadium during game")</f>
        <v>8-9 shots fired from woods by football stadium during game</v>
      </c>
      <c r="Z809" s="5" t="str">
        <f ca="1">IFERROR(__xludf.DUMMYFUNCTION("""COMPUTED_VALUE"""),"8-9 shots were fired from the woods near the high school football game with 5:00 minutes remaining in the game. Police at the stadium searched the area and the game was suspended for 40 minutes. PA announcer told players and fans to take cover. No shooter"&amp;" was located.")</f>
        <v>8-9 shots were fired from the woods near the high school football game with 5:00 minutes remaining in the game. Police at the stadium searched the area and the game was suspended for 40 minutes. PA announcer told players and fans to take cover. No shooter was located.</v>
      </c>
      <c r="AA809" s="5" t="str">
        <f ca="1">IFERROR(__xludf.DUMMYFUNCTION("""COMPUTED_VALUE"""),"Indiscriminate Shooting")</f>
        <v>Indiscriminate Shooting</v>
      </c>
      <c r="AB809" s="5"/>
      <c r="AC809" s="5"/>
      <c r="AD809" s="5" t="str">
        <f ca="1">IFERROR(__xludf.DUMMYFUNCTION("""COMPUTED_VALUE"""),"No")</f>
        <v>No</v>
      </c>
      <c r="AE809" s="5" t="str">
        <f ca="1">IFERROR(__xludf.DUMMYFUNCTION("""COMPUTED_VALUE"""),"No")</f>
        <v>No</v>
      </c>
      <c r="AF809" s="5" t="str">
        <f ca="1">IFERROR(__xludf.DUMMYFUNCTION("""COMPUTED_VALUE"""),"No")</f>
        <v>No</v>
      </c>
      <c r="AG809" s="5" t="str">
        <f ca="1">IFERROR(__xludf.DUMMYFUNCTION("""COMPUTED_VALUE"""),"No")</f>
        <v>No</v>
      </c>
      <c r="AH809" s="5" t="str">
        <f ca="1">IFERROR(__xludf.DUMMYFUNCTION("""COMPUTED_VALUE"""),"No")</f>
        <v>No</v>
      </c>
      <c r="AI809" s="5"/>
      <c r="AJ809" s="5" t="str">
        <f ca="1">IFERROR(__xludf.DUMMYFUNCTION("""COMPUTED_VALUE"""),"No")</f>
        <v>No</v>
      </c>
    </row>
    <row r="810" spans="1:36" ht="13">
      <c r="A810" s="5" t="str">
        <f ca="1">IFERROR(__xludf.DUMMYFUNCTION("""COMPUTED_VALUE"""),"20190902MDNOB")</f>
        <v>20190902MDNOB</v>
      </c>
      <c r="B810" s="5">
        <f ca="1">IFERROR(__xludf.DUMMYFUNCTION("""COMPUTED_VALUE"""),9)</f>
        <v>9</v>
      </c>
      <c r="C810" s="5">
        <f ca="1">IFERROR(__xludf.DUMMYFUNCTION("""COMPUTED_VALUE"""),2)</f>
        <v>2</v>
      </c>
      <c r="D810" s="5">
        <f ca="1">IFERROR(__xludf.DUMMYFUNCTION("""COMPUTED_VALUE"""),2019)</f>
        <v>2019</v>
      </c>
      <c r="E810" s="8">
        <f ca="1">IFERROR(__xludf.DUMMYFUNCTION("""COMPUTED_VALUE"""),43710)</f>
        <v>43710</v>
      </c>
      <c r="F810" s="5" t="str">
        <f ca="1">IFERROR(__xludf.DUMMYFUNCTION("""COMPUTED_VALUE"""),"Northwood Elementary School")</f>
        <v>Northwood Elementary School</v>
      </c>
      <c r="G810" s="5">
        <f ca="1">IFERROR(__xludf.DUMMYFUNCTION("""COMPUTED_VALUE"""),1)</f>
        <v>1</v>
      </c>
      <c r="H810" s="5">
        <f ca="1">IFERROR(__xludf.DUMMYFUNCTION("""COMPUTED_VALUE"""),2)</f>
        <v>2</v>
      </c>
      <c r="I810" s="5">
        <f ca="1">IFERROR(__xludf.DUMMYFUNCTION("""COMPUTED_VALUE"""),3)</f>
        <v>3</v>
      </c>
      <c r="J810" s="5">
        <f ca="1">IFERROR(__xludf.DUMMYFUNCTION("""COMPUTED_VALUE"""),0)</f>
        <v>0</v>
      </c>
      <c r="K810" s="9" t="str">
        <f ca="1">IFERROR(__xludf.DUMMYFUNCTION("""COMPUTED_VALUE"""),"https://www.wmar2news.com/news/crime-checker/baltimore-city-crime/triple-shooting-near-elementary-school-leaves-one-man-dead-on-monday")</f>
        <v>https://www.wmar2news.com/news/crime-checker/baltimore-city-crime/triple-shooting-near-elementary-school-leaves-one-man-dead-on-monday</v>
      </c>
      <c r="L810" s="5"/>
      <c r="M810" s="5"/>
      <c r="N810" s="5">
        <f ca="1">IFERROR(__xludf.DUMMYFUNCTION("""COMPUTED_VALUE"""),3)</f>
        <v>3</v>
      </c>
      <c r="O810" s="5" t="str">
        <f ca="1">IFERROR(__xludf.DUMMYFUNCTION("""COMPUTED_VALUE"""),"Fall")</f>
        <v>Fall</v>
      </c>
      <c r="P810" s="5" t="str">
        <f ca="1">IFERROR(__xludf.DUMMYFUNCTION("""COMPUTED_VALUE"""),"Baltimore")</f>
        <v>Baltimore</v>
      </c>
      <c r="Q810" s="5" t="str">
        <f ca="1">IFERROR(__xludf.DUMMYFUNCTION("""COMPUTED_VALUE"""),"MD")</f>
        <v>MD</v>
      </c>
      <c r="R810" s="5" t="str">
        <f ca="1">IFERROR(__xludf.DUMMYFUNCTION("""COMPUTED_VALUE"""),"Elementary")</f>
        <v>Elementary</v>
      </c>
      <c r="S810" s="5" t="str">
        <f ca="1">IFERROR(__xludf.DUMMYFUNCTION("""COMPUTED_VALUE"""),"Courtyard")</f>
        <v>Courtyard</v>
      </c>
      <c r="T810" s="5" t="str">
        <f ca="1">IFERROR(__xludf.DUMMYFUNCTION("""COMPUTED_VALUE"""),"Outside on School Property")</f>
        <v>Outside on School Property</v>
      </c>
      <c r="U810" s="5" t="str">
        <f ca="1">IFERROR(__xludf.DUMMYFUNCTION("""COMPUTED_VALUE"""),"No")</f>
        <v>No</v>
      </c>
      <c r="V810" s="5" t="str">
        <f ca="1">IFERROR(__xludf.DUMMYFUNCTION("""COMPUTED_VALUE"""),"Evening")</f>
        <v>Evening</v>
      </c>
      <c r="W810" s="10">
        <f ca="1">IFERROR(__xludf.DUMMYFUNCTION("""COMPUTED_VALUE"""),0.833333333333333)</f>
        <v>0.83333333333333304</v>
      </c>
      <c r="X810" s="5">
        <f ca="1">IFERROR(__xludf.DUMMYFUNCTION("""COMPUTED_VALUE"""),1)</f>
        <v>1</v>
      </c>
      <c r="Y810" s="5" t="str">
        <f ca="1">IFERROR(__xludf.DUMMYFUNCTION("""COMPUTED_VALUE"""),"Adult male killed and two other adult men injured by unknown shooter in school courtyard")</f>
        <v>Adult male killed and two other adult men injured by unknown shooter in school courtyard</v>
      </c>
      <c r="Z810" s="5" t="str">
        <f ca="1">IFERROR(__xludf.DUMMYFUNCTION("""COMPUTED_VALUE"""),"One adult male found unresponsive (killed by gunshot) and two adult males were shot in elementary school courtyard. No further information or motive known. Shooter fled the scene.")</f>
        <v>One adult male found unresponsive (killed by gunshot) and two adult males were shot in elementary school courtyard. No further information or motive known. Shooter fled the scene.</v>
      </c>
      <c r="AA810" s="5" t="str">
        <f ca="1">IFERROR(__xludf.DUMMYFUNCTION("""COMPUTED_VALUE"""),"Escalation of Dispute")</f>
        <v>Escalation of Dispute</v>
      </c>
      <c r="AB810" s="5"/>
      <c r="AC810" s="5"/>
      <c r="AD810" s="5" t="str">
        <f ca="1">IFERROR(__xludf.DUMMYFUNCTION("""COMPUTED_VALUE"""),"No")</f>
        <v>No</v>
      </c>
      <c r="AE810" s="5" t="str">
        <f ca="1">IFERROR(__xludf.DUMMYFUNCTION("""COMPUTED_VALUE"""),"No")</f>
        <v>No</v>
      </c>
      <c r="AF810" s="5" t="str">
        <f ca="1">IFERROR(__xludf.DUMMYFUNCTION("""COMPUTED_VALUE"""),"No")</f>
        <v>No</v>
      </c>
      <c r="AG810" s="5" t="str">
        <f ca="1">IFERROR(__xludf.DUMMYFUNCTION("""COMPUTED_VALUE"""),"No")</f>
        <v>No</v>
      </c>
      <c r="AH810" s="5" t="str">
        <f ca="1">IFERROR(__xludf.DUMMYFUNCTION("""COMPUTED_VALUE"""),"No")</f>
        <v>No</v>
      </c>
      <c r="AI810" s="5"/>
      <c r="AJ810" s="5" t="str">
        <f ca="1">IFERROR(__xludf.DUMMYFUNCTION("""COMPUTED_VALUE"""),"No")</f>
        <v>No</v>
      </c>
    </row>
    <row r="811" spans="1:36" ht="13">
      <c r="A811" s="5" t="str">
        <f ca="1">IFERROR(__xludf.DUMMYFUNCTION("""COMPUTED_VALUE"""),"20190830OHCET")</f>
        <v>20190830OHCET</v>
      </c>
      <c r="B811" s="5">
        <f ca="1">IFERROR(__xludf.DUMMYFUNCTION("""COMPUTED_VALUE"""),8)</f>
        <v>8</v>
      </c>
      <c r="C811" s="5">
        <f ca="1">IFERROR(__xludf.DUMMYFUNCTION("""COMPUTED_VALUE"""),30)</f>
        <v>30</v>
      </c>
      <c r="D811" s="5">
        <f ca="1">IFERROR(__xludf.DUMMYFUNCTION("""COMPUTED_VALUE"""),2019)</f>
        <v>2019</v>
      </c>
      <c r="E811" s="8">
        <f ca="1">IFERROR(__xludf.DUMMYFUNCTION("""COMPUTED_VALUE"""),43707)</f>
        <v>43707</v>
      </c>
      <c r="F811" s="5" t="str">
        <f ca="1">IFERROR(__xludf.DUMMYFUNCTION("""COMPUTED_VALUE"""),"Central Catholic High School")</f>
        <v>Central Catholic High School</v>
      </c>
      <c r="G811" s="5">
        <f ca="1">IFERROR(__xludf.DUMMYFUNCTION("""COMPUTED_VALUE"""),0)</f>
        <v>0</v>
      </c>
      <c r="H811" s="5">
        <f ca="1">IFERROR(__xludf.DUMMYFUNCTION("""COMPUTED_VALUE"""),1)</f>
        <v>1</v>
      </c>
      <c r="I811" s="5">
        <f ca="1">IFERROR(__xludf.DUMMYFUNCTION("""COMPUTED_VALUE"""),1)</f>
        <v>1</v>
      </c>
      <c r="J811" s="5">
        <f ca="1">IFERROR(__xludf.DUMMYFUNCTION("""COMPUTED_VALUE"""),0)</f>
        <v>0</v>
      </c>
      <c r="K811" s="9" t="str">
        <f ca="1">IFERROR(__xludf.DUMMYFUNCTION("""COMPUTED_VALUE"""),"https://www.13abc.com/content/news/Juvenile-shot-on-Central-Catholic-grounds-after-altercation-following-football-game-558889751.html")</f>
        <v>https://www.13abc.com/content/news/Juvenile-shot-on-Central-Catholic-grounds-after-altercation-following-football-game-558889751.html</v>
      </c>
      <c r="L811" s="5"/>
      <c r="M811" s="5"/>
      <c r="N811" s="5">
        <f ca="1">IFERROR(__xludf.DUMMYFUNCTION("""COMPUTED_VALUE"""),4)</f>
        <v>4</v>
      </c>
      <c r="O811" s="5" t="str">
        <f ca="1">IFERROR(__xludf.DUMMYFUNCTION("""COMPUTED_VALUE"""),"Summer")</f>
        <v>Summer</v>
      </c>
      <c r="P811" s="5" t="str">
        <f ca="1">IFERROR(__xludf.DUMMYFUNCTION("""COMPUTED_VALUE"""),"Toledo")</f>
        <v>Toledo</v>
      </c>
      <c r="Q811" s="5" t="str">
        <f ca="1">IFERROR(__xludf.DUMMYFUNCTION("""COMPUTED_VALUE"""),"OH")</f>
        <v>OH</v>
      </c>
      <c r="R811" s="5" t="str">
        <f ca="1">IFERROR(__xludf.DUMMYFUNCTION("""COMPUTED_VALUE"""),"High")</f>
        <v>High</v>
      </c>
      <c r="S811" s="5" t="str">
        <f ca="1">IFERROR(__xludf.DUMMYFUNCTION("""COMPUTED_VALUE"""),"Football Field/Track")</f>
        <v>Football Field/Track</v>
      </c>
      <c r="T811" s="5" t="str">
        <f ca="1">IFERROR(__xludf.DUMMYFUNCTION("""COMPUTED_VALUE"""),"Outside on School Property")</f>
        <v>Outside on School Property</v>
      </c>
      <c r="U811" s="5" t="str">
        <f ca="1">IFERROR(__xludf.DUMMYFUNCTION("""COMPUTED_VALUE"""),"No")</f>
        <v>No</v>
      </c>
      <c r="V811" s="5" t="str">
        <f ca="1">IFERROR(__xludf.DUMMYFUNCTION("""COMPUTED_VALUE"""),"Sport Event")</f>
        <v>Sport Event</v>
      </c>
      <c r="W811" s="10">
        <f ca="1">IFERROR(__xludf.DUMMYFUNCTION("""COMPUTED_VALUE"""),0.895833333333333)</f>
        <v>0.89583333333333304</v>
      </c>
      <c r="X811" s="5">
        <f ca="1">IFERROR(__xludf.DUMMYFUNCTION("""COMPUTED_VALUE"""),1)</f>
        <v>1</v>
      </c>
      <c r="Y811" s="5" t="str">
        <f ca="1">IFERROR(__xludf.DUMMYFUNCTION("""COMPUTED_VALUE"""),"16YOM non-student shot when crowd was exiting football game")</f>
        <v>16YOM non-student shot when crowd was exiting football game</v>
      </c>
      <c r="Z811" s="5" t="str">
        <f ca="1">IFERROR(__xludf.DUMMYFUNCTION("""COMPUTED_VALUE"""),"16YOM non-student was shot while crowd was exiting the football field by unknown shooter (police said shooter was not student). Police said the shooting was the result of a fight. Shooter fled the area in a vehicle. School security said that all bags will"&amp;" be searched and additional officers will be assigned to the school for future events. Non-students will not be allowed to enter the stadium after future games begin.")</f>
        <v>16YOM non-student was shot while crowd was exiting the football field by unknown shooter (police said shooter was not student). Police said the shooting was the result of a fight. Shooter fled the area in a vehicle. School security said that all bags will be searched and additional officers will be assigned to the school for future events. Non-students will not be allowed to enter the stadium after future games begin.</v>
      </c>
      <c r="AA811" s="5" t="str">
        <f ca="1">IFERROR(__xludf.DUMMYFUNCTION("""COMPUTED_VALUE"""),"Escalation of Dispute")</f>
        <v>Escalation of Dispute</v>
      </c>
      <c r="AB811" s="5" t="str">
        <f ca="1">IFERROR(__xludf.DUMMYFUNCTION("""COMPUTED_VALUE"""),"Random Shooting")</f>
        <v>Random Shooting</v>
      </c>
      <c r="AC811" s="5" t="str">
        <f ca="1">IFERROR(__xludf.DUMMYFUNCTION("""COMPUTED_VALUE"""),"No")</f>
        <v>No</v>
      </c>
      <c r="AD811" s="5" t="str">
        <f ca="1">IFERROR(__xludf.DUMMYFUNCTION("""COMPUTED_VALUE"""),"No")</f>
        <v>No</v>
      </c>
      <c r="AE811" s="5" t="str">
        <f ca="1">IFERROR(__xludf.DUMMYFUNCTION("""COMPUTED_VALUE"""),"No")</f>
        <v>No</v>
      </c>
      <c r="AF811" s="5" t="str">
        <f ca="1">IFERROR(__xludf.DUMMYFUNCTION("""COMPUTED_VALUE"""),"No")</f>
        <v>No</v>
      </c>
      <c r="AG811" s="5" t="str">
        <f ca="1">IFERROR(__xludf.DUMMYFUNCTION("""COMPUTED_VALUE"""),"No")</f>
        <v>No</v>
      </c>
      <c r="AH811" s="5" t="str">
        <f ca="1">IFERROR(__xludf.DUMMYFUNCTION("""COMPUTED_VALUE"""),"No")</f>
        <v>No</v>
      </c>
      <c r="AI811" s="5" t="str">
        <f ca="1">IFERROR(__xludf.DUMMYFUNCTION("""COMPUTED_VALUE"""),"No")</f>
        <v>No</v>
      </c>
      <c r="AJ811" s="5" t="str">
        <f ca="1">IFERROR(__xludf.DUMMYFUNCTION("""COMPUTED_VALUE"""),"No")</f>
        <v>No</v>
      </c>
    </row>
    <row r="812" spans="1:36" ht="13">
      <c r="A812" s="5" t="str">
        <f ca="1">IFERROR(__xludf.DUMMYFUNCTION("""COMPUTED_VALUE"""),"20190830NCKIK")</f>
        <v>20190830NCKIK</v>
      </c>
      <c r="B812" s="5">
        <f ca="1">IFERROR(__xludf.DUMMYFUNCTION("""COMPUTED_VALUE"""),8)</f>
        <v>8</v>
      </c>
      <c r="C812" s="5">
        <f ca="1">IFERROR(__xludf.DUMMYFUNCTION("""COMPUTED_VALUE"""),30)</f>
        <v>30</v>
      </c>
      <c r="D812" s="5">
        <f ca="1">IFERROR(__xludf.DUMMYFUNCTION("""COMPUTED_VALUE"""),2019)</f>
        <v>2019</v>
      </c>
      <c r="E812" s="8">
        <f ca="1">IFERROR(__xludf.DUMMYFUNCTION("""COMPUTED_VALUE"""),43707)</f>
        <v>43707</v>
      </c>
      <c r="F812" s="5" t="str">
        <f ca="1">IFERROR(__xludf.DUMMYFUNCTION("""COMPUTED_VALUE"""),"Kinston High School")</f>
        <v>Kinston High School</v>
      </c>
      <c r="G812" s="5">
        <f ca="1">IFERROR(__xludf.DUMMYFUNCTION("""COMPUTED_VALUE"""),0)</f>
        <v>0</v>
      </c>
      <c r="H812" s="5">
        <f ca="1">IFERROR(__xludf.DUMMYFUNCTION("""COMPUTED_VALUE"""),0)</f>
        <v>0</v>
      </c>
      <c r="I812" s="5">
        <f ca="1">IFERROR(__xludf.DUMMYFUNCTION("""COMPUTED_VALUE"""),0)</f>
        <v>0</v>
      </c>
      <c r="J812" s="5">
        <f ca="1">IFERROR(__xludf.DUMMYFUNCTION("""COMPUTED_VALUE"""),0)</f>
        <v>0</v>
      </c>
      <c r="K812" s="9" t="str">
        <f ca="1">IFERROR(__xludf.DUMMYFUNCTION("""COMPUTED_VALUE"""),"https://www.wnct.com/news/2-arrested-in-connection-to-a-shooting-at-a-kinston-football-game/")</f>
        <v>https://www.wnct.com/news/2-arrested-in-connection-to-a-shooting-at-a-kinston-football-game/</v>
      </c>
      <c r="L812" s="5"/>
      <c r="M812" s="5"/>
      <c r="N812" s="5">
        <f ca="1">IFERROR(__xludf.DUMMYFUNCTION("""COMPUTED_VALUE"""),4)</f>
        <v>4</v>
      </c>
      <c r="O812" s="5" t="str">
        <f ca="1">IFERROR(__xludf.DUMMYFUNCTION("""COMPUTED_VALUE"""),"Summer")</f>
        <v>Summer</v>
      </c>
      <c r="P812" s="5" t="str">
        <f ca="1">IFERROR(__xludf.DUMMYFUNCTION("""COMPUTED_VALUE"""),"Kingston")</f>
        <v>Kingston</v>
      </c>
      <c r="Q812" s="5" t="str">
        <f ca="1">IFERROR(__xludf.DUMMYFUNCTION("""COMPUTED_VALUE"""),"NC")</f>
        <v>NC</v>
      </c>
      <c r="R812" s="5" t="str">
        <f ca="1">IFERROR(__xludf.DUMMYFUNCTION("""COMPUTED_VALUE"""),"High")</f>
        <v>High</v>
      </c>
      <c r="S812" s="5" t="str">
        <f ca="1">IFERROR(__xludf.DUMMYFUNCTION("""COMPUTED_VALUE"""),"Parking Lot")</f>
        <v>Parking Lot</v>
      </c>
      <c r="T812" s="5" t="str">
        <f ca="1">IFERROR(__xludf.DUMMYFUNCTION("""COMPUTED_VALUE"""),"Outside on School Property")</f>
        <v>Outside on School Property</v>
      </c>
      <c r="U812" s="5" t="str">
        <f ca="1">IFERROR(__xludf.DUMMYFUNCTION("""COMPUTED_VALUE"""),"No")</f>
        <v>No</v>
      </c>
      <c r="V812" s="5" t="str">
        <f ca="1">IFERROR(__xludf.DUMMYFUNCTION("""COMPUTED_VALUE"""),"Sport Event")</f>
        <v>Sport Event</v>
      </c>
      <c r="W812" s="10">
        <f ca="1">IFERROR(__xludf.DUMMYFUNCTION("""COMPUTED_VALUE"""),0.916666666666666)</f>
        <v>0.91666666666666596</v>
      </c>
      <c r="X812" s="5">
        <f ca="1">IFERROR(__xludf.DUMMYFUNCTION("""COMPUTED_VALUE"""),1)</f>
        <v>1</v>
      </c>
      <c r="Y812" s="5" t="str">
        <f ca="1">IFERROR(__xludf.DUMMYFUNCTION("""COMPUTED_VALUE"""),"Shots fired into air the parking lot after football game")</f>
        <v>Shots fired into air the parking lot after football game</v>
      </c>
      <c r="Z812" s="5" t="str">
        <f ca="1">IFERROR(__xludf.DUMMYFUNCTION("""COMPUTED_VALUE"""),"Multiple shots were fired into the air in the parking lot following a high school football game. Police stopped a vehicle attempting to flee the area and arrested two teens (17YOM and 19YOM). Neither were students at the school.")</f>
        <v>Multiple shots were fired into the air in the parking lot following a high school football game. Police stopped a vehicle attempting to flee the area and arrested two teens (17YOM and 19YOM). Neither were students at the school.</v>
      </c>
      <c r="AA812" s="5" t="str">
        <f ca="1">IFERROR(__xludf.DUMMYFUNCTION("""COMPUTED_VALUE"""),"Escalation of Dispute")</f>
        <v>Escalation of Dispute</v>
      </c>
      <c r="AB812" s="5" t="str">
        <f ca="1">IFERROR(__xludf.DUMMYFUNCTION("""COMPUTED_VALUE"""),"Neither")</f>
        <v>Neither</v>
      </c>
      <c r="AC812" s="5" t="str">
        <f ca="1">IFERROR(__xludf.DUMMYFUNCTION("""COMPUTED_VALUE"""),"Yes")</f>
        <v>Yes</v>
      </c>
      <c r="AD812" s="5" t="str">
        <f ca="1">IFERROR(__xludf.DUMMYFUNCTION("""COMPUTED_VALUE"""),"No")</f>
        <v>No</v>
      </c>
      <c r="AE812" s="5" t="str">
        <f ca="1">IFERROR(__xludf.DUMMYFUNCTION("""COMPUTED_VALUE"""),"No")</f>
        <v>No</v>
      </c>
      <c r="AF812" s="5" t="str">
        <f ca="1">IFERROR(__xludf.DUMMYFUNCTION("""COMPUTED_VALUE"""),"No")</f>
        <v>No</v>
      </c>
      <c r="AG812" s="5" t="str">
        <f ca="1">IFERROR(__xludf.DUMMYFUNCTION("""COMPUTED_VALUE"""),"No")</f>
        <v>No</v>
      </c>
      <c r="AH812" s="5" t="str">
        <f ca="1">IFERROR(__xludf.DUMMYFUNCTION("""COMPUTED_VALUE"""),"No")</f>
        <v>No</v>
      </c>
      <c r="AI812" s="5"/>
      <c r="AJ812" s="5" t="str">
        <f ca="1">IFERROR(__xludf.DUMMYFUNCTION("""COMPUTED_VALUE"""),"No")</f>
        <v>No</v>
      </c>
    </row>
    <row r="813" spans="1:36" ht="13">
      <c r="A813" s="5" t="str">
        <f ca="1">IFERROR(__xludf.DUMMYFUNCTION("""COMPUTED_VALUE"""),"20190830ALLAM")</f>
        <v>20190830ALLAM</v>
      </c>
      <c r="B813" s="5">
        <f ca="1">IFERROR(__xludf.DUMMYFUNCTION("""COMPUTED_VALUE"""),8)</f>
        <v>8</v>
      </c>
      <c r="C813" s="5">
        <f ca="1">IFERROR(__xludf.DUMMYFUNCTION("""COMPUTED_VALUE"""),30)</f>
        <v>30</v>
      </c>
      <c r="D813" s="5">
        <f ca="1">IFERROR(__xludf.DUMMYFUNCTION("""COMPUTED_VALUE"""),2019)</f>
        <v>2019</v>
      </c>
      <c r="E813" s="8">
        <f ca="1">IFERROR(__xludf.DUMMYFUNCTION("""COMPUTED_VALUE"""),43707)</f>
        <v>43707</v>
      </c>
      <c r="F813" s="5" t="str">
        <f ca="1">IFERROR(__xludf.DUMMYFUNCTION("""COMPUTED_VALUE"""),"Ladd-Peebles Stadium")</f>
        <v>Ladd-Peebles Stadium</v>
      </c>
      <c r="G813" s="5">
        <f ca="1">IFERROR(__xludf.DUMMYFUNCTION("""COMPUTED_VALUE"""),0)</f>
        <v>0</v>
      </c>
      <c r="H813" s="5">
        <f ca="1">IFERROR(__xludf.DUMMYFUNCTION("""COMPUTED_VALUE"""),10)</f>
        <v>10</v>
      </c>
      <c r="I813" s="5">
        <f ca="1">IFERROR(__xludf.DUMMYFUNCTION("""COMPUTED_VALUE"""),10)</f>
        <v>10</v>
      </c>
      <c r="J813" s="5">
        <f ca="1">IFERROR(__xludf.DUMMYFUNCTION("""COMPUTED_VALUE"""),0)</f>
        <v>0</v>
      </c>
      <c r="K813" s="5" t="str">
        <f ca="1">IFERROR(__xludf.DUMMYFUNCTION("""COMPUTED_VALUE"""),"https://www.fox10tv.com/news/mobile_county/defendant-in-ladd-peebles-shooting-has-16-school-disciplinary-incidents-prosecutors-say/article_cf052f76-a3ae-11eb-b8f5-9ffcda8c0ce8.html?block_id=1002690 https://abcnews.go.com/US/10-teens-shot-high-school-footb"&amp;"all-game-alabama/story?id=65309106 https://abc11.com/10-teens-injured-in-shooting-at-high-school-football-game-in-alabama-/5504745/ https://www.cnn.com/2019/08/31/us/mobile-ladd-peebles-stadium-shooting/index.html https://www.abc15.com/national/6-teens-sh"&amp;"ot-at-end-of-high-school-football-game-in-alabama https://www.al.com/news/mobile/2019/09/police-football-stadium-shooter-started-as-bystander.html https://www.fox10tv.com/news/ladd-peebles-stadium-shooting-suspect-pleads-not-guilty/article_b0960ce2-cf23-1"&amp;"1e9-b843-6fbec1c7de48.html")</f>
        <v>https://www.fox10tv.com/news/mobile_county/defendant-in-ladd-peebles-shooting-has-16-school-disciplinary-incidents-prosecutors-say/article_cf052f76-a3ae-11eb-b8f5-9ffcda8c0ce8.html?block_id=1002690 https://abcnews.go.com/US/10-teens-shot-high-school-football-game-alabama/story?id=65309106 https://abc11.com/10-teens-injured-in-shooting-at-high-school-football-game-in-alabama-/5504745/ https://www.cnn.com/2019/08/31/us/mobile-ladd-peebles-stadium-shooting/index.html https://www.abc15.com/national/6-teens-shot-at-end-of-high-school-football-game-in-alabama https://www.al.com/news/mobile/2019/09/police-football-stadium-shooter-started-as-bystander.html https://www.fox10tv.com/news/ladd-peebles-stadium-shooting-suspect-pleads-not-guilty/article_b0960ce2-cf23-11e9-b843-6fbec1c7de48.html</v>
      </c>
      <c r="L813" s="5"/>
      <c r="M813" s="5"/>
      <c r="N813" s="5">
        <f ca="1">IFERROR(__xludf.DUMMYFUNCTION("""COMPUTED_VALUE"""),4)</f>
        <v>4</v>
      </c>
      <c r="O813" s="5" t="str">
        <f ca="1">IFERROR(__xludf.DUMMYFUNCTION("""COMPUTED_VALUE"""),"Summer")</f>
        <v>Summer</v>
      </c>
      <c r="P813" s="5" t="str">
        <f ca="1">IFERROR(__xludf.DUMMYFUNCTION("""COMPUTED_VALUE"""),"Mobile")</f>
        <v>Mobile</v>
      </c>
      <c r="Q813" s="5" t="str">
        <f ca="1">IFERROR(__xludf.DUMMYFUNCTION("""COMPUTED_VALUE"""),"AL")</f>
        <v>AL</v>
      </c>
      <c r="R813" s="5" t="str">
        <f ca="1">IFERROR(__xludf.DUMMYFUNCTION("""COMPUTED_VALUE"""),"High")</f>
        <v>High</v>
      </c>
      <c r="S813" s="5" t="str">
        <f ca="1">IFERROR(__xludf.DUMMYFUNCTION("""COMPUTED_VALUE"""),"Off School Property")</f>
        <v>Off School Property</v>
      </c>
      <c r="T813" s="5" t="str">
        <f ca="1">IFERROR(__xludf.DUMMYFUNCTION("""COMPUTED_VALUE"""),"Off School Property")</f>
        <v>Off School Property</v>
      </c>
      <c r="U813" s="5" t="str">
        <f ca="1">IFERROR(__xludf.DUMMYFUNCTION("""COMPUTED_VALUE"""),"No")</f>
        <v>No</v>
      </c>
      <c r="V813" s="5" t="str">
        <f ca="1">IFERROR(__xludf.DUMMYFUNCTION("""COMPUTED_VALUE"""),"Sport Event")</f>
        <v>Sport Event</v>
      </c>
      <c r="W813" s="10">
        <f ca="1">IFERROR(__xludf.DUMMYFUNCTION("""COMPUTED_VALUE"""),0.916666666666666)</f>
        <v>0.91666666666666596</v>
      </c>
      <c r="X813" s="5">
        <f ca="1">IFERROR(__xludf.DUMMYFUNCTION("""COMPUTED_VALUE"""),1)</f>
        <v>1</v>
      </c>
      <c r="Y813" s="5" t="str">
        <f ca="1">IFERROR(__xludf.DUMMYFUNCTION("""COMPUTED_VALUE"""),"10 teens shot after 17YO fired shots into crowd following dispute")</f>
        <v>10 teens shot after 17YO fired shots into crowd following dispute</v>
      </c>
      <c r="Z813" s="5" t="str">
        <f ca="1">IFERROR(__xludf.DUMMYFUNCTION("""COMPUTED_VALUE"""),"10 teens shot after 17YO fired shots into crowd following dispute")</f>
        <v>10 teens shot after 17YO fired shots into crowd following dispute</v>
      </c>
      <c r="AA813" s="5" t="str">
        <f ca="1">IFERROR(__xludf.DUMMYFUNCTION("""COMPUTED_VALUE"""),"Escalation of Dispute")</f>
        <v>Escalation of Dispute</v>
      </c>
      <c r="AB813" s="5" t="str">
        <f ca="1">IFERROR(__xludf.DUMMYFUNCTION("""COMPUTED_VALUE"""),"Both")</f>
        <v>Both</v>
      </c>
      <c r="AC813" s="5"/>
      <c r="AD813" s="5" t="str">
        <f ca="1">IFERROR(__xludf.DUMMYFUNCTION("""COMPUTED_VALUE"""),"No")</f>
        <v>No</v>
      </c>
      <c r="AE813" s="5" t="str">
        <f ca="1">IFERROR(__xludf.DUMMYFUNCTION("""COMPUTED_VALUE"""),"No")</f>
        <v>No</v>
      </c>
      <c r="AF813" s="5" t="str">
        <f ca="1">IFERROR(__xludf.DUMMYFUNCTION("""COMPUTED_VALUE"""),"No")</f>
        <v>No</v>
      </c>
      <c r="AG813" s="5" t="str">
        <f ca="1">IFERROR(__xludf.DUMMYFUNCTION("""COMPUTED_VALUE"""),"No")</f>
        <v>No</v>
      </c>
      <c r="AH813" s="5" t="str">
        <f ca="1">IFERROR(__xludf.DUMMYFUNCTION("""COMPUTED_VALUE"""),"No")</f>
        <v>No</v>
      </c>
      <c r="AI813" s="5" t="str">
        <f ca="1">IFERROR(__xludf.DUMMYFUNCTION("""COMPUTED_VALUE"""),"Yes")</f>
        <v>Yes</v>
      </c>
      <c r="AJ813" s="5" t="str">
        <f ca="1">IFERROR(__xludf.DUMMYFUNCTION("""COMPUTED_VALUE"""),"Yes")</f>
        <v>Yes</v>
      </c>
    </row>
    <row r="814" spans="1:36" ht="13">
      <c r="A814" s="5" t="str">
        <f ca="1">IFERROR(__xludf.DUMMYFUNCTION("""COMPUTED_VALUE"""),"20190827CAHOL")</f>
        <v>20190827CAHOL</v>
      </c>
      <c r="B814" s="5">
        <f ca="1">IFERROR(__xludf.DUMMYFUNCTION("""COMPUTED_VALUE"""),8)</f>
        <v>8</v>
      </c>
      <c r="C814" s="5">
        <f ca="1">IFERROR(__xludf.DUMMYFUNCTION("""COMPUTED_VALUE"""),27)</f>
        <v>27</v>
      </c>
      <c r="D814" s="5">
        <f ca="1">IFERROR(__xludf.DUMMYFUNCTION("""COMPUTED_VALUE"""),2019)</f>
        <v>2019</v>
      </c>
      <c r="E814" s="8">
        <f ca="1">IFERROR(__xludf.DUMMYFUNCTION("""COMPUTED_VALUE"""),43704)</f>
        <v>43704</v>
      </c>
      <c r="F814" s="5" t="str">
        <f ca="1">IFERROR(__xludf.DUMMYFUNCTION("""COMPUTED_VALUE"""),"Hollenbeck Middle School")</f>
        <v>Hollenbeck Middle School</v>
      </c>
      <c r="G814" s="5">
        <f ca="1">IFERROR(__xludf.DUMMYFUNCTION("""COMPUTED_VALUE"""),0)</f>
        <v>0</v>
      </c>
      <c r="H814" s="5">
        <f ca="1">IFERROR(__xludf.DUMMYFUNCTION("""COMPUTED_VALUE"""),1)</f>
        <v>1</v>
      </c>
      <c r="I814" s="5">
        <f ca="1">IFERROR(__xludf.DUMMYFUNCTION("""COMPUTED_VALUE"""),1)</f>
        <v>1</v>
      </c>
      <c r="J814" s="5">
        <f ca="1">IFERROR(__xludf.DUMMYFUNCTION("""COMPUTED_VALUE"""),0)</f>
        <v>0</v>
      </c>
      <c r="K814" s="5" t="str">
        <f ca="1">IFERROR(__xludf.DUMMYFUNCTION("""COMPUTED_VALUE"""),"https://losangeles.cbslocal.com/2019/09/11/boy-shot-in-jaw-on-boyle-heights-school-campus-last-month-lausd-confirms/ https://www.latimes.com/california/story/2019-09-11/hollenbeck-parents-and-students-react-to-shooting-that-injured-student-in-lunch-line")</f>
        <v>https://losangeles.cbslocal.com/2019/09/11/boy-shot-in-jaw-on-boyle-heights-school-campus-last-month-lausd-confirms/ https://www.latimes.com/california/story/2019-09-11/hollenbeck-parents-and-students-react-to-shooting-that-injured-student-in-lunch-line</v>
      </c>
      <c r="L814" s="5"/>
      <c r="M814" s="5"/>
      <c r="N814" s="5">
        <f ca="1">IFERROR(__xludf.DUMMYFUNCTION("""COMPUTED_VALUE"""),4)</f>
        <v>4</v>
      </c>
      <c r="O814" s="5" t="str">
        <f ca="1">IFERROR(__xludf.DUMMYFUNCTION("""COMPUTED_VALUE"""),"Summer")</f>
        <v>Summer</v>
      </c>
      <c r="P814" s="5" t="str">
        <f ca="1">IFERROR(__xludf.DUMMYFUNCTION("""COMPUTED_VALUE"""),"Los Angeles")</f>
        <v>Los Angeles</v>
      </c>
      <c r="Q814" s="5" t="str">
        <f ca="1">IFERROR(__xludf.DUMMYFUNCTION("""COMPUTED_VALUE"""),"CA")</f>
        <v>CA</v>
      </c>
      <c r="R814" s="5" t="str">
        <f ca="1">IFERROR(__xludf.DUMMYFUNCTION("""COMPUTED_VALUE"""),"High")</f>
        <v>High</v>
      </c>
      <c r="S814" s="5" t="str">
        <f ca="1">IFERROR(__xludf.DUMMYFUNCTION("""COMPUTED_VALUE"""),"Cafeteria")</f>
        <v>Cafeteria</v>
      </c>
      <c r="T814" s="5" t="str">
        <f ca="1">IFERROR(__xludf.DUMMYFUNCTION("""COMPUTED_VALUE"""),"Off School Property")</f>
        <v>Off School Property</v>
      </c>
      <c r="U814" s="5" t="str">
        <f ca="1">IFERROR(__xludf.DUMMYFUNCTION("""COMPUTED_VALUE"""),"Yes")</f>
        <v>Yes</v>
      </c>
      <c r="V814" s="5" t="str">
        <f ca="1">IFERROR(__xludf.DUMMYFUNCTION("""COMPUTED_VALUE"""),"Lunch")</f>
        <v>Lunch</v>
      </c>
      <c r="W814" s="10">
        <f ca="1">IFERROR(__xludf.DUMMYFUNCTION("""COMPUTED_VALUE"""),0.458333333333333)</f>
        <v>0.45833333333333298</v>
      </c>
      <c r="X814" s="5">
        <f ca="1">IFERROR(__xludf.DUMMYFUNCTION("""COMPUTED_VALUE"""),1)</f>
        <v>1</v>
      </c>
      <c r="Y814" s="5" t="str">
        <f ca="1">IFERROR(__xludf.DUMMYFUNCTION("""COMPUTED_VALUE"""),"Student hit by bullet in lunch line. Shot fired from off campus.")</f>
        <v>Student hit by bullet in lunch line. Shot fired from off campus.</v>
      </c>
      <c r="Z814" s="5" t="str">
        <f ca="1">IFERROR(__xludf.DUMMYFUNCTION("""COMPUTED_VALUE"""),"Student standing in lunch line felt sharp pain in jaw and went to nurses office. X-ray later showed bullet in students neck. Shot was fired from off campus. No other students were hurt. School did not report shooting to police until 3pm (occurred at 11 AM"&amp;"). Parents were not notified that student was shot until 9/12/2019. No suspect or motive.")</f>
        <v>Student standing in lunch line felt sharp pain in jaw and went to nurses office. X-ray later showed bullet in students neck. Shot was fired from off campus. No other students were hurt. School did not report shooting to police until 3pm (occurred at 11 AM). Parents were not notified that student was shot until 9/12/2019. No suspect or motive.</v>
      </c>
      <c r="AA814" s="5" t="str">
        <f ca="1">IFERROR(__xludf.DUMMYFUNCTION("""COMPUTED_VALUE"""),"Unknown")</f>
        <v>Unknown</v>
      </c>
      <c r="AB814" s="5"/>
      <c r="AC814" s="5"/>
      <c r="AD814" s="5" t="str">
        <f ca="1">IFERROR(__xludf.DUMMYFUNCTION("""COMPUTED_VALUE"""),"No")</f>
        <v>No</v>
      </c>
      <c r="AE814" s="5" t="str">
        <f ca="1">IFERROR(__xludf.DUMMYFUNCTION("""COMPUTED_VALUE"""),"No")</f>
        <v>No</v>
      </c>
      <c r="AF814" s="5" t="str">
        <f ca="1">IFERROR(__xludf.DUMMYFUNCTION("""COMPUTED_VALUE"""),"No")</f>
        <v>No</v>
      </c>
      <c r="AG814" s="5" t="str">
        <f ca="1">IFERROR(__xludf.DUMMYFUNCTION("""COMPUTED_VALUE"""),"No")</f>
        <v>No</v>
      </c>
      <c r="AH814" s="5" t="str">
        <f ca="1">IFERROR(__xludf.DUMMYFUNCTION("""COMPUTED_VALUE"""),"No")</f>
        <v>No</v>
      </c>
      <c r="AI814" s="5"/>
      <c r="AJ814" s="5" t="str">
        <f ca="1">IFERROR(__xludf.DUMMYFUNCTION("""COMPUTED_VALUE"""),"No")</f>
        <v>No</v>
      </c>
    </row>
    <row r="815" spans="1:36" ht="13">
      <c r="A815" s="5" t="str">
        <f ca="1">IFERROR(__xludf.DUMMYFUNCTION("""COMPUTED_VALUE"""),"20190827NYROR")</f>
        <v>20190827NYROR</v>
      </c>
      <c r="B815" s="5">
        <f ca="1">IFERROR(__xludf.DUMMYFUNCTION("""COMPUTED_VALUE"""),8)</f>
        <v>8</v>
      </c>
      <c r="C815" s="5">
        <f ca="1">IFERROR(__xludf.DUMMYFUNCTION("""COMPUTED_VALUE"""),27)</f>
        <v>27</v>
      </c>
      <c r="D815" s="5">
        <f ca="1">IFERROR(__xludf.DUMMYFUNCTION("""COMPUTED_VALUE"""),2019)</f>
        <v>2019</v>
      </c>
      <c r="E815" s="8">
        <f ca="1">IFERROR(__xludf.DUMMYFUNCTION("""COMPUTED_VALUE"""),43704)</f>
        <v>43704</v>
      </c>
      <c r="F815" s="5" t="str">
        <f ca="1">IFERROR(__xludf.DUMMYFUNCTION("""COMPUTED_VALUE"""),"Roosevelt High School")</f>
        <v>Roosevelt High School</v>
      </c>
      <c r="G815" s="5">
        <f ca="1">IFERROR(__xludf.DUMMYFUNCTION("""COMPUTED_VALUE"""),0)</f>
        <v>0</v>
      </c>
      <c r="H815" s="5">
        <f ca="1">IFERROR(__xludf.DUMMYFUNCTION("""COMPUTED_VALUE"""),0)</f>
        <v>0</v>
      </c>
      <c r="I815" s="5">
        <f ca="1">IFERROR(__xludf.DUMMYFUNCTION("""COMPUTED_VALUE"""),0)</f>
        <v>0</v>
      </c>
      <c r="J815" s="5">
        <f ca="1">IFERROR(__xludf.DUMMYFUNCTION("""COMPUTED_VALUE"""),0)</f>
        <v>0</v>
      </c>
      <c r="K815" s="9" t="str">
        <f ca="1">IFERROR(__xludf.DUMMYFUNCTION("""COMPUTED_VALUE"""),"https://patch.com/new-york/merrick/shooting-long-island-school-causes-lockdown")</f>
        <v>https://patch.com/new-york/merrick/shooting-long-island-school-causes-lockdown</v>
      </c>
      <c r="L815" s="5"/>
      <c r="M815" s="5"/>
      <c r="N815" s="5">
        <f ca="1">IFERROR(__xludf.DUMMYFUNCTION("""COMPUTED_VALUE"""),3)</f>
        <v>3</v>
      </c>
      <c r="O815" s="5" t="str">
        <f ca="1">IFERROR(__xludf.DUMMYFUNCTION("""COMPUTED_VALUE"""),"Summer")</f>
        <v>Summer</v>
      </c>
      <c r="P815" s="5" t="str">
        <f ca="1">IFERROR(__xludf.DUMMYFUNCTION("""COMPUTED_VALUE"""),"Roosevelt")</f>
        <v>Roosevelt</v>
      </c>
      <c r="Q815" s="5" t="str">
        <f ca="1">IFERROR(__xludf.DUMMYFUNCTION("""COMPUTED_VALUE"""),"NY")</f>
        <v>NY</v>
      </c>
      <c r="R815" s="5" t="str">
        <f ca="1">IFERROR(__xludf.DUMMYFUNCTION("""COMPUTED_VALUE"""),"High")</f>
        <v>High</v>
      </c>
      <c r="S815" s="5" t="str">
        <f ca="1">IFERROR(__xludf.DUMMYFUNCTION("""COMPUTED_VALUE"""),"Field (General)")</f>
        <v>Field (General)</v>
      </c>
      <c r="T815" s="5" t="str">
        <f ca="1">IFERROR(__xludf.DUMMYFUNCTION("""COMPUTED_VALUE"""),"Outside on School Property")</f>
        <v>Outside on School Property</v>
      </c>
      <c r="U815" s="5" t="str">
        <f ca="1">IFERROR(__xludf.DUMMYFUNCTION("""COMPUTED_VALUE"""),"No")</f>
        <v>No</v>
      </c>
      <c r="V815" s="5" t="str">
        <f ca="1">IFERROR(__xludf.DUMMYFUNCTION("""COMPUTED_VALUE"""),"Not a School Day")</f>
        <v>Not a School Day</v>
      </c>
      <c r="W815" s="10">
        <f ca="1">IFERROR(__xludf.DUMMYFUNCTION("""COMPUTED_VALUE"""),0.375)</f>
        <v>0.375</v>
      </c>
      <c r="X815" s="5">
        <f ca="1">IFERROR(__xludf.DUMMYFUNCTION("""COMPUTED_VALUE"""),1)</f>
        <v>1</v>
      </c>
      <c r="Y815" s="5" t="str">
        <f ca="1">IFERROR(__xludf.DUMMYFUNCTION("""COMPUTED_VALUE"""),"Man fired 3 shots into the ground during dispute the school staff about landscaping")</f>
        <v>Man fired 3 shots into the ground during dispute the school staff about landscaping</v>
      </c>
      <c r="Z815" s="5" t="str">
        <f ca="1">IFERROR(__xludf.DUMMYFUNCTION("""COMPUTED_VALUE"""),"Adult male fired 3 shots into the ground during dispute with school custodial staff about landscaping. Shooter then fled the scene to his nearby home where he was involved with a barricade situation until surrendering to law enforcement. School was not in"&amp;"-session but 100 students and 40 staff were inside the school at the time of the shooting for athletics. School was placed on lockdown following shooting and during barricade.")</f>
        <v>Adult male fired 3 shots into the ground during dispute with school custodial staff about landscaping. Shooter then fled the scene to his nearby home where he was involved with a barricade situation until surrendering to law enforcement. School was not in-session but 100 students and 40 staff were inside the school at the time of the shooting for athletics. School was placed on lockdown following shooting and during barricade.</v>
      </c>
      <c r="AA815" s="5" t="str">
        <f ca="1">IFERROR(__xludf.DUMMYFUNCTION("""COMPUTED_VALUE"""),"Escalation of Dispute")</f>
        <v>Escalation of Dispute</v>
      </c>
      <c r="AB815" s="5" t="str">
        <f ca="1">IFERROR(__xludf.DUMMYFUNCTION("""COMPUTED_VALUE"""),"Victims Targeted")</f>
        <v>Victims Targeted</v>
      </c>
      <c r="AC815" s="5" t="str">
        <f ca="1">IFERROR(__xludf.DUMMYFUNCTION("""COMPUTED_VALUE"""),"No")</f>
        <v>No</v>
      </c>
      <c r="AD815" s="5" t="str">
        <f ca="1">IFERROR(__xludf.DUMMYFUNCTION("""COMPUTED_VALUE"""),"No")</f>
        <v>No</v>
      </c>
      <c r="AE815" s="5" t="str">
        <f ca="1">IFERROR(__xludf.DUMMYFUNCTION("""COMPUTED_VALUE"""),"No")</f>
        <v>No</v>
      </c>
      <c r="AF815" s="5" t="str">
        <f ca="1">IFERROR(__xludf.DUMMYFUNCTION("""COMPUTED_VALUE"""),"No")</f>
        <v>No</v>
      </c>
      <c r="AG815" s="5" t="str">
        <f ca="1">IFERROR(__xludf.DUMMYFUNCTION("""COMPUTED_VALUE"""),"No")</f>
        <v>No</v>
      </c>
      <c r="AH815" s="5" t="str">
        <f ca="1">IFERROR(__xludf.DUMMYFUNCTION("""COMPUTED_VALUE"""),"No")</f>
        <v>No</v>
      </c>
      <c r="AI815" s="5" t="str">
        <f ca="1">IFERROR(__xludf.DUMMYFUNCTION("""COMPUTED_VALUE"""),"No")</f>
        <v>No</v>
      </c>
      <c r="AJ815" s="5" t="str">
        <f ca="1">IFERROR(__xludf.DUMMYFUNCTION("""COMPUTED_VALUE"""),"No")</f>
        <v>No</v>
      </c>
    </row>
    <row r="816" spans="1:36" ht="13">
      <c r="A816" s="5" t="str">
        <f ca="1">IFERROR(__xludf.DUMMYFUNCTION("""COMPUTED_VALUE"""),"20190824PAWIP")</f>
        <v>20190824PAWIP</v>
      </c>
      <c r="B816" s="5">
        <f ca="1">IFERROR(__xludf.DUMMYFUNCTION("""COMPUTED_VALUE"""),8)</f>
        <v>8</v>
      </c>
      <c r="C816" s="5">
        <f ca="1">IFERROR(__xludf.DUMMYFUNCTION("""COMPUTED_VALUE"""),24)</f>
        <v>24</v>
      </c>
      <c r="D816" s="5">
        <f ca="1">IFERROR(__xludf.DUMMYFUNCTION("""COMPUTED_VALUE"""),2019)</f>
        <v>2019</v>
      </c>
      <c r="E816" s="8">
        <f ca="1">IFERROR(__xludf.DUMMYFUNCTION("""COMPUTED_VALUE"""),43701)</f>
        <v>43701</v>
      </c>
      <c r="F816" s="5" t="str">
        <f ca="1">IFERROR(__xludf.DUMMYFUNCTION("""COMPUTED_VALUE"""),"William C. Longstreth Elementary School")</f>
        <v>William C. Longstreth Elementary School</v>
      </c>
      <c r="G816" s="5">
        <f ca="1">IFERROR(__xludf.DUMMYFUNCTION("""COMPUTED_VALUE"""),1)</f>
        <v>1</v>
      </c>
      <c r="H816" s="5">
        <f ca="1">IFERROR(__xludf.DUMMYFUNCTION("""COMPUTED_VALUE"""),0)</f>
        <v>0</v>
      </c>
      <c r="I816" s="5">
        <f ca="1">IFERROR(__xludf.DUMMYFUNCTION("""COMPUTED_VALUE"""),1)</f>
        <v>1</v>
      </c>
      <c r="J816" s="5">
        <f ca="1">IFERROR(__xludf.DUMMYFUNCTION("""COMPUTED_VALUE"""),0)</f>
        <v>0</v>
      </c>
      <c r="K816" s="5" t="str">
        <f ca="1">IFERROR(__xludf.DUMMYFUNCTION("""COMPUTED_VALUE"""),"https://philadelphia.cbslocal.com/2019/08/24/teen-fighting-for-life-after-being-shot-in-back-of-head-in-kingsessing-police-say/ https://philadelphia.cbslocal.com/2019/08/25/neighbors-want-suspect-teen-shooting-elementary-school-playground-southwest-philad"&amp;"elphia/")</f>
        <v>https://philadelphia.cbslocal.com/2019/08/24/teen-fighting-for-life-after-being-shot-in-back-of-head-in-kingsessing-police-say/ https://philadelphia.cbslocal.com/2019/08/25/neighbors-want-suspect-teen-shooting-elementary-school-playground-southwest-philadelphia/</v>
      </c>
      <c r="L816" s="5"/>
      <c r="M816" s="5"/>
      <c r="N816" s="5">
        <f ca="1">IFERROR(__xludf.DUMMYFUNCTION("""COMPUTED_VALUE"""),4)</f>
        <v>4</v>
      </c>
      <c r="O816" s="5" t="str">
        <f ca="1">IFERROR(__xludf.DUMMYFUNCTION("""COMPUTED_VALUE"""),"Summer")</f>
        <v>Summer</v>
      </c>
      <c r="P816" s="5" t="str">
        <f ca="1">IFERROR(__xludf.DUMMYFUNCTION("""COMPUTED_VALUE"""),"Philadelphia")</f>
        <v>Philadelphia</v>
      </c>
      <c r="Q816" s="5" t="str">
        <f ca="1">IFERROR(__xludf.DUMMYFUNCTION("""COMPUTED_VALUE"""),"PA")</f>
        <v>PA</v>
      </c>
      <c r="R816" s="5" t="str">
        <f ca="1">IFERROR(__xludf.DUMMYFUNCTION("""COMPUTED_VALUE"""),"Elementary")</f>
        <v>Elementary</v>
      </c>
      <c r="S816" s="5" t="str">
        <f ca="1">IFERROR(__xludf.DUMMYFUNCTION("""COMPUTED_VALUE"""),"Playground")</f>
        <v>Playground</v>
      </c>
      <c r="T816" s="5" t="str">
        <f ca="1">IFERROR(__xludf.DUMMYFUNCTION("""COMPUTED_VALUE"""),"Outside on School Property")</f>
        <v>Outside on School Property</v>
      </c>
      <c r="U816" s="5" t="str">
        <f ca="1">IFERROR(__xludf.DUMMYFUNCTION("""COMPUTED_VALUE"""),"No")</f>
        <v>No</v>
      </c>
      <c r="V816" s="5" t="str">
        <f ca="1">IFERROR(__xludf.DUMMYFUNCTION("""COMPUTED_VALUE"""),"Evening")</f>
        <v>Evening</v>
      </c>
      <c r="W816" s="10">
        <f ca="1">IFERROR(__xludf.DUMMYFUNCTION("""COMPUTED_VALUE"""),0.791666666666666)</f>
        <v>0.79166666666666596</v>
      </c>
      <c r="X816" s="5">
        <f ca="1">IFERROR(__xludf.DUMMYFUNCTION("""COMPUTED_VALUE"""),1)</f>
        <v>1</v>
      </c>
      <c r="Y816" s="5" t="str">
        <f ca="1">IFERROR(__xludf.DUMMYFUNCTION("""COMPUTED_VALUE"""),"14YOM shot and killed on school playground during argument")</f>
        <v>14YOM shot and killed on school playground during argument</v>
      </c>
      <c r="Z816" s="5" t="str">
        <f ca="1">IFERROR(__xludf.DUMMYFUNCTION("""COMPUTED_VALUE"""),"14YOM shot and killed and school playground. Body was carried out to the street where the victim was found and taken to the hospital. Shot twice, 6 shots fired. Police said the shooting occured after an argument. Not sure if the victim was the intended ta"&amp;"rget. Shooter fled the scene. School was not open during the shooting.")</f>
        <v>14YOM shot and killed and school playground. Body was carried out to the street where the victim was found and taken to the hospital. Shot twice, 6 shots fired. Police said the shooting occured after an argument. Not sure if the victim was the intended target. Shooter fled the scene. School was not open during the shooting.</v>
      </c>
      <c r="AA816" s="5" t="str">
        <f ca="1">IFERROR(__xludf.DUMMYFUNCTION("""COMPUTED_VALUE"""),"Escalation of Dispute")</f>
        <v>Escalation of Dispute</v>
      </c>
      <c r="AB816" s="5" t="str">
        <f ca="1">IFERROR(__xludf.DUMMYFUNCTION("""COMPUTED_VALUE"""),"Victims Targeted")</f>
        <v>Victims Targeted</v>
      </c>
      <c r="AC816" s="5"/>
      <c r="AD816" s="5" t="str">
        <f ca="1">IFERROR(__xludf.DUMMYFUNCTION("""COMPUTED_VALUE"""),"No")</f>
        <v>No</v>
      </c>
      <c r="AE816" s="5" t="str">
        <f ca="1">IFERROR(__xludf.DUMMYFUNCTION("""COMPUTED_VALUE"""),"No")</f>
        <v>No</v>
      </c>
      <c r="AF816" s="5" t="str">
        <f ca="1">IFERROR(__xludf.DUMMYFUNCTION("""COMPUTED_VALUE"""),"No")</f>
        <v>No</v>
      </c>
      <c r="AG816" s="5" t="str">
        <f ca="1">IFERROR(__xludf.DUMMYFUNCTION("""COMPUTED_VALUE"""),"No")</f>
        <v>No</v>
      </c>
      <c r="AH816" s="5" t="str">
        <f ca="1">IFERROR(__xludf.DUMMYFUNCTION("""COMPUTED_VALUE"""),"No")</f>
        <v>No</v>
      </c>
      <c r="AI816" s="5" t="str">
        <f ca="1">IFERROR(__xludf.DUMMYFUNCTION("""COMPUTED_VALUE"""),"No")</f>
        <v>No</v>
      </c>
      <c r="AJ816" s="5" t="str">
        <f ca="1">IFERROR(__xludf.DUMMYFUNCTION("""COMPUTED_VALUE"""),"No")</f>
        <v>No</v>
      </c>
    </row>
    <row r="817" spans="1:36" ht="13">
      <c r="A817" s="5" t="str">
        <f ca="1">IFERROR(__xludf.DUMMYFUNCTION("""COMPUTED_VALUE"""),"20190823GAPEC")</f>
        <v>20190823GAPEC</v>
      </c>
      <c r="B817" s="5">
        <f ca="1">IFERROR(__xludf.DUMMYFUNCTION("""COMPUTED_VALUE"""),8)</f>
        <v>8</v>
      </c>
      <c r="C817" s="5">
        <f ca="1">IFERROR(__xludf.DUMMYFUNCTION("""COMPUTED_VALUE"""),23)</f>
        <v>23</v>
      </c>
      <c r="D817" s="5">
        <f ca="1">IFERROR(__xludf.DUMMYFUNCTION("""COMPUTED_VALUE"""),2019)</f>
        <v>2019</v>
      </c>
      <c r="E817" s="8">
        <f ca="1">IFERROR(__xludf.DUMMYFUNCTION("""COMPUTED_VALUE"""),43700)</f>
        <v>43700</v>
      </c>
      <c r="F817" s="5" t="str">
        <f ca="1">IFERROR(__xludf.DUMMYFUNCTION("""COMPUTED_VALUE"""),"Peek's Chapel Elementary School")</f>
        <v>Peek's Chapel Elementary School</v>
      </c>
      <c r="G817" s="5">
        <f ca="1">IFERROR(__xludf.DUMMYFUNCTION("""COMPUTED_VALUE"""),0)</f>
        <v>0</v>
      </c>
      <c r="H817" s="5">
        <f ca="1">IFERROR(__xludf.DUMMYFUNCTION("""COMPUTED_VALUE"""),1)</f>
        <v>1</v>
      </c>
      <c r="I817" s="5">
        <f ca="1">IFERROR(__xludf.DUMMYFUNCTION("""COMPUTED_VALUE"""),1)</f>
        <v>1</v>
      </c>
      <c r="J817" s="5">
        <f ca="1">IFERROR(__xludf.DUMMYFUNCTION("""COMPUTED_VALUE"""),0)</f>
        <v>0</v>
      </c>
      <c r="K817" s="5" t="str">
        <f ca="1">IFERROR(__xludf.DUMMYFUNCTION("""COMPUTED_VALUE"""),"https://www.ntd.com/12-year-old-boy-shot-at-georgia-elementary-school_372890.html https://www.ajc.com/news/crime--law/boy-custody-after-year-old-found-shot-rockdale-elementary-school/UfGBojoDAe88fXlAHasriJ/")</f>
        <v>https://www.ntd.com/12-year-old-boy-shot-at-georgia-elementary-school_372890.html https://www.ajc.com/news/crime--law/boy-custody-after-year-old-found-shot-rockdale-elementary-school/UfGBojoDAe88fXlAHasriJ/</v>
      </c>
      <c r="L817" s="5"/>
      <c r="M817" s="5"/>
      <c r="N817" s="5">
        <f ca="1">IFERROR(__xludf.DUMMYFUNCTION("""COMPUTED_VALUE"""),3)</f>
        <v>3</v>
      </c>
      <c r="O817" s="5" t="str">
        <f ca="1">IFERROR(__xludf.DUMMYFUNCTION("""COMPUTED_VALUE"""),"Summer")</f>
        <v>Summer</v>
      </c>
      <c r="P817" s="5" t="str">
        <f ca="1">IFERROR(__xludf.DUMMYFUNCTION("""COMPUTED_VALUE"""),"Conyers")</f>
        <v>Conyers</v>
      </c>
      <c r="Q817" s="5" t="str">
        <f ca="1">IFERROR(__xludf.DUMMYFUNCTION("""COMPUTED_VALUE"""),"GA")</f>
        <v>GA</v>
      </c>
      <c r="R817" s="5" t="str">
        <f ca="1">IFERROR(__xludf.DUMMYFUNCTION("""COMPUTED_VALUE"""),"Elementary")</f>
        <v>Elementary</v>
      </c>
      <c r="S817" s="5" t="str">
        <f ca="1">IFERROR(__xludf.DUMMYFUNCTION("""COMPUTED_VALUE"""),"Outside on School Property")</f>
        <v>Outside on School Property</v>
      </c>
      <c r="T817" s="5" t="str">
        <f ca="1">IFERROR(__xludf.DUMMYFUNCTION("""COMPUTED_VALUE"""),"Outside on School Property")</f>
        <v>Outside on School Property</v>
      </c>
      <c r="U817" s="5" t="str">
        <f ca="1">IFERROR(__xludf.DUMMYFUNCTION("""COMPUTED_VALUE"""),"No")</f>
        <v>No</v>
      </c>
      <c r="V817" s="5" t="str">
        <f ca="1">IFERROR(__xludf.DUMMYFUNCTION("""COMPUTED_VALUE"""),"Evening")</f>
        <v>Evening</v>
      </c>
      <c r="W817" s="10">
        <f ca="1">IFERROR(__xludf.DUMMYFUNCTION("""COMPUTED_VALUE"""),0.774305555555555)</f>
        <v>0.77430555555555503</v>
      </c>
      <c r="X817" s="5">
        <f ca="1">IFERROR(__xludf.DUMMYFUNCTION("""COMPUTED_VALUE"""),1)</f>
        <v>1</v>
      </c>
      <c r="Y817" s="5" t="str">
        <f ca="1">IFERROR(__xludf.DUMMYFUNCTION("""COMPUTED_VALUE"""),"15YOM shot 12YOM outside of elementary school after hours")</f>
        <v>15YOM shot 12YOM outside of elementary school after hours</v>
      </c>
      <c r="Z817" s="5" t="str">
        <f ca="1">IFERROR(__xludf.DUMMYFUNCTION("""COMPUTED_VALUE"""),"15YOM shot 12YOM outside of elementary school after school operating hours. No motive or other information available.")</f>
        <v>15YOM shot 12YOM outside of elementary school after school operating hours. No motive or other information available.</v>
      </c>
      <c r="AA817" s="5" t="str">
        <f ca="1">IFERROR(__xludf.DUMMYFUNCTION("""COMPUTED_VALUE"""),"Unknown")</f>
        <v>Unknown</v>
      </c>
      <c r="AB817" s="5"/>
      <c r="AC817" s="5" t="str">
        <f ca="1">IFERROR(__xludf.DUMMYFUNCTION("""COMPUTED_VALUE"""),"No")</f>
        <v>No</v>
      </c>
      <c r="AD817" s="5" t="str">
        <f ca="1">IFERROR(__xludf.DUMMYFUNCTION("""COMPUTED_VALUE"""),"No")</f>
        <v>No</v>
      </c>
      <c r="AE817" s="5" t="str">
        <f ca="1">IFERROR(__xludf.DUMMYFUNCTION("""COMPUTED_VALUE"""),"No")</f>
        <v>No</v>
      </c>
      <c r="AF817" s="5" t="str">
        <f ca="1">IFERROR(__xludf.DUMMYFUNCTION("""COMPUTED_VALUE"""),"No")</f>
        <v>No</v>
      </c>
      <c r="AG817" s="5"/>
      <c r="AH817" s="5" t="str">
        <f ca="1">IFERROR(__xludf.DUMMYFUNCTION("""COMPUTED_VALUE"""),"No")</f>
        <v>No</v>
      </c>
      <c r="AI817" s="5"/>
      <c r="AJ817" s="5" t="str">
        <f ca="1">IFERROR(__xludf.DUMMYFUNCTION("""COMPUTED_VALUE"""),"No")</f>
        <v>No</v>
      </c>
    </row>
    <row r="818" spans="1:36" ht="13">
      <c r="A818" s="5" t="str">
        <f ca="1">IFERROR(__xludf.DUMMYFUNCTION("""COMPUTED_VALUE"""),"20190823MOROS")</f>
        <v>20190823MOROS</v>
      </c>
      <c r="B818" s="5">
        <f ca="1">IFERROR(__xludf.DUMMYFUNCTION("""COMPUTED_VALUE"""),8)</f>
        <v>8</v>
      </c>
      <c r="C818" s="5">
        <f ca="1">IFERROR(__xludf.DUMMYFUNCTION("""COMPUTED_VALUE"""),23)</f>
        <v>23</v>
      </c>
      <c r="D818" s="5">
        <f ca="1">IFERROR(__xludf.DUMMYFUNCTION("""COMPUTED_VALUE"""),2019)</f>
        <v>2019</v>
      </c>
      <c r="E818" s="8">
        <f ca="1">IFERROR(__xludf.DUMMYFUNCTION("""COMPUTED_VALUE"""),43700)</f>
        <v>43700</v>
      </c>
      <c r="F818" s="5" t="str">
        <f ca="1">IFERROR(__xludf.DUMMYFUNCTION("""COMPUTED_VALUE"""),"Roosevelt High School")</f>
        <v>Roosevelt High School</v>
      </c>
      <c r="G818" s="5">
        <f ca="1">IFERROR(__xludf.DUMMYFUNCTION("""COMPUTED_VALUE"""),1)</f>
        <v>1</v>
      </c>
      <c r="H818" s="5">
        <f ca="1">IFERROR(__xludf.DUMMYFUNCTION("""COMPUTED_VALUE"""),0)</f>
        <v>0</v>
      </c>
      <c r="I818" s="5">
        <f ca="1">IFERROR(__xludf.DUMMYFUNCTION("""COMPUTED_VALUE"""),1)</f>
        <v>1</v>
      </c>
      <c r="J818" s="5">
        <f ca="1">IFERROR(__xludf.DUMMYFUNCTION("""COMPUTED_VALUE"""),0)</f>
        <v>0</v>
      </c>
      <c r="K818" s="9" t="str">
        <f ca="1">IFERROR(__xludf.DUMMYFUNCTION("""COMPUTED_VALUE"""),"https://www.stltoday.com/news/kristina-curry-found-dead-with-gunshot-wounds-at-roosevelt-high/article_965e67bc-9a38-577b-8346-2cb10be3843a.html")</f>
        <v>https://www.stltoday.com/news/kristina-curry-found-dead-with-gunshot-wounds-at-roosevelt-high/article_965e67bc-9a38-577b-8346-2cb10be3843a.html</v>
      </c>
      <c r="L818" s="5"/>
      <c r="M818" s="5"/>
      <c r="N818" s="5">
        <f ca="1">IFERROR(__xludf.DUMMYFUNCTION("""COMPUTED_VALUE"""),3)</f>
        <v>3</v>
      </c>
      <c r="O818" s="5" t="str">
        <f ca="1">IFERROR(__xludf.DUMMYFUNCTION("""COMPUTED_VALUE"""),"Summer")</f>
        <v>Summer</v>
      </c>
      <c r="P818" s="5" t="str">
        <f ca="1">IFERROR(__xludf.DUMMYFUNCTION("""COMPUTED_VALUE"""),"St. Louis")</f>
        <v>St. Louis</v>
      </c>
      <c r="Q818" s="5" t="str">
        <f ca="1">IFERROR(__xludf.DUMMYFUNCTION("""COMPUTED_VALUE"""),"MO")</f>
        <v>MO</v>
      </c>
      <c r="R818" s="5" t="str">
        <f ca="1">IFERROR(__xludf.DUMMYFUNCTION("""COMPUTED_VALUE"""),"High")</f>
        <v>High</v>
      </c>
      <c r="S818" s="5" t="str">
        <f ca="1">IFERROR(__xludf.DUMMYFUNCTION("""COMPUTED_VALUE"""),"Parking Lot")</f>
        <v>Parking Lot</v>
      </c>
      <c r="T818" s="5" t="str">
        <f ca="1">IFERROR(__xludf.DUMMYFUNCTION("""COMPUTED_VALUE"""),"Outside on School Property")</f>
        <v>Outside on School Property</v>
      </c>
      <c r="U818" s="5" t="str">
        <f ca="1">IFERROR(__xludf.DUMMYFUNCTION("""COMPUTED_VALUE"""),"No")</f>
        <v>No</v>
      </c>
      <c r="V818" s="5" t="str">
        <f ca="1">IFERROR(__xludf.DUMMYFUNCTION("""COMPUTED_VALUE"""),"Night")</f>
        <v>Night</v>
      </c>
      <c r="W818" s="10">
        <f ca="1">IFERROR(__xludf.DUMMYFUNCTION("""COMPUTED_VALUE"""),0.208333333333333)</f>
        <v>0.20833333333333301</v>
      </c>
      <c r="X818" s="5">
        <f ca="1">IFERROR(__xludf.DUMMYFUNCTION("""COMPUTED_VALUE"""),1)</f>
        <v>1</v>
      </c>
      <c r="Y818" s="5" t="str">
        <f ca="1">IFERROR(__xludf.DUMMYFUNCTION("""COMPUTED_VALUE"""),"16YOF student found dead (multiple shots) behind school")</f>
        <v>16YOF student found dead (multiple shots) behind school</v>
      </c>
      <c r="Z818" s="5" t="str">
        <f ca="1">IFERROR(__xludf.DUMMYFUNCTION("""COMPUTED_VALUE"""),"16YOF found dead in a rear parking lot behind the high school from multiple gun shots. School was not in session. No further information available.")</f>
        <v>16YOF found dead in a rear parking lot behind the high school from multiple gun shots. School was not in session. No further information available.</v>
      </c>
      <c r="AA818" s="5" t="str">
        <f ca="1">IFERROR(__xludf.DUMMYFUNCTION("""COMPUTED_VALUE"""),"Unknown")</f>
        <v>Unknown</v>
      </c>
      <c r="AB818" s="5" t="str">
        <f ca="1">IFERROR(__xludf.DUMMYFUNCTION("""COMPUTED_VALUE"""),"Victims Targeted")</f>
        <v>Victims Targeted</v>
      </c>
      <c r="AC818" s="5"/>
      <c r="AD818" s="5" t="str">
        <f ca="1">IFERROR(__xludf.DUMMYFUNCTION("""COMPUTED_VALUE"""),"No")</f>
        <v>No</v>
      </c>
      <c r="AE818" s="5" t="str">
        <f ca="1">IFERROR(__xludf.DUMMYFUNCTION("""COMPUTED_VALUE"""),"No")</f>
        <v>No</v>
      </c>
      <c r="AF818" s="5" t="str">
        <f ca="1">IFERROR(__xludf.DUMMYFUNCTION("""COMPUTED_VALUE"""),"No")</f>
        <v>No</v>
      </c>
      <c r="AG818" s="5"/>
      <c r="AH818" s="5"/>
      <c r="AI818" s="5"/>
      <c r="AJ818" s="5" t="str">
        <f ca="1">IFERROR(__xludf.DUMMYFUNCTION("""COMPUTED_VALUE"""),"No")</f>
        <v>No</v>
      </c>
    </row>
    <row r="819" spans="1:36" ht="13">
      <c r="A819" s="5" t="str">
        <f ca="1">IFERROR(__xludf.DUMMYFUNCTION("""COMPUTED_VALUE"""),"20190823MOPAS")</f>
        <v>20190823MOPAS</v>
      </c>
      <c r="B819" s="5">
        <f ca="1">IFERROR(__xludf.DUMMYFUNCTION("""COMPUTED_VALUE"""),8)</f>
        <v>8</v>
      </c>
      <c r="C819" s="5">
        <f ca="1">IFERROR(__xludf.DUMMYFUNCTION("""COMPUTED_VALUE"""),23)</f>
        <v>23</v>
      </c>
      <c r="D819" s="5">
        <f ca="1">IFERROR(__xludf.DUMMYFUNCTION("""COMPUTED_VALUE"""),2019)</f>
        <v>2019</v>
      </c>
      <c r="E819" s="8">
        <f ca="1">IFERROR(__xludf.DUMMYFUNCTION("""COMPUTED_VALUE"""),43700)</f>
        <v>43700</v>
      </c>
      <c r="F819" s="5" t="str">
        <f ca="1">IFERROR(__xludf.DUMMYFUNCTION("""COMPUTED_VALUE"""),"Parkway North High School")</f>
        <v>Parkway North High School</v>
      </c>
      <c r="G819" s="5">
        <f ca="1">IFERROR(__xludf.DUMMYFUNCTION("""COMPUTED_VALUE"""),0)</f>
        <v>0</v>
      </c>
      <c r="H819" s="5">
        <f ca="1">IFERROR(__xludf.DUMMYFUNCTION("""COMPUTED_VALUE"""),0)</f>
        <v>0</v>
      </c>
      <c r="I819" s="5">
        <f ca="1">IFERROR(__xludf.DUMMYFUNCTION("""COMPUTED_VALUE"""),0)</f>
        <v>0</v>
      </c>
      <c r="J819" s="5">
        <f ca="1">IFERROR(__xludf.DUMMYFUNCTION("""COMPUTED_VALUE"""),0)</f>
        <v>0</v>
      </c>
      <c r="K819" s="5" t="str">
        <f ca="1">IFERROR(__xludf.DUMMYFUNCTION("""COMPUTED_VALUE"""),"https://www.kmov.com/news/gunshot-reported-during-multiple-fights-at-parkway-north-high-school/article_837181ce-c60e-11e9-800e-23706c271ea8.html https://fox2now.com/2019/08/23/witnesses-say-shots-fired-near-parkway-north-football-jamboree/")</f>
        <v>https://www.kmov.com/news/gunshot-reported-during-multiple-fights-at-parkway-north-high-school/article_837181ce-c60e-11e9-800e-23706c271ea8.html https://fox2now.com/2019/08/23/witnesses-say-shots-fired-near-parkway-north-football-jamboree/</v>
      </c>
      <c r="L819" s="5"/>
      <c r="M819" s="5"/>
      <c r="N819" s="5">
        <f ca="1">IFERROR(__xludf.DUMMYFUNCTION("""COMPUTED_VALUE"""),3)</f>
        <v>3</v>
      </c>
      <c r="O819" s="5" t="str">
        <f ca="1">IFERROR(__xludf.DUMMYFUNCTION("""COMPUTED_VALUE"""),"Summer")</f>
        <v>Summer</v>
      </c>
      <c r="P819" s="5" t="str">
        <f ca="1">IFERROR(__xludf.DUMMYFUNCTION("""COMPUTED_VALUE"""),"St. Louis")</f>
        <v>St. Louis</v>
      </c>
      <c r="Q819" s="5" t="str">
        <f ca="1">IFERROR(__xludf.DUMMYFUNCTION("""COMPUTED_VALUE"""),"MO")</f>
        <v>MO</v>
      </c>
      <c r="R819" s="5" t="str">
        <f ca="1">IFERROR(__xludf.DUMMYFUNCTION("""COMPUTED_VALUE"""),"High")</f>
        <v>High</v>
      </c>
      <c r="S819" s="5" t="str">
        <f ca="1">IFERROR(__xludf.DUMMYFUNCTION("""COMPUTED_VALUE"""),"Football Field/Track")</f>
        <v>Football Field/Track</v>
      </c>
      <c r="T819" s="5" t="str">
        <f ca="1">IFERROR(__xludf.DUMMYFUNCTION("""COMPUTED_VALUE"""),"Outside on School Property")</f>
        <v>Outside on School Property</v>
      </c>
      <c r="U819" s="5" t="str">
        <f ca="1">IFERROR(__xludf.DUMMYFUNCTION("""COMPUTED_VALUE"""),"No")</f>
        <v>No</v>
      </c>
      <c r="V819" s="5" t="str">
        <f ca="1">IFERROR(__xludf.DUMMYFUNCTION("""COMPUTED_VALUE"""),"Sport Event")</f>
        <v>Sport Event</v>
      </c>
      <c r="W819" s="10">
        <f ca="1">IFERROR(__xludf.DUMMYFUNCTION("""COMPUTED_VALUE"""),0.84375)</f>
        <v>0.84375</v>
      </c>
      <c r="X819" s="5">
        <f ca="1">IFERROR(__xludf.DUMMYFUNCTION("""COMPUTED_VALUE"""),1)</f>
        <v>1</v>
      </c>
      <c r="Y819" s="5" t="str">
        <f ca="1">IFERROR(__xludf.DUMMYFUNCTION("""COMPUTED_VALUE"""),"Shots fired during fight at football jamboree")</f>
        <v>Shots fired during fight at football jamboree</v>
      </c>
      <c r="Z819" s="5" t="str">
        <f ca="1">IFERROR(__xludf.DUMMYFUNCTION("""COMPUTED_VALUE"""),"Shots fired during one of multiple fights during the football jamboree. Witnesses reported gunshots and seeing a person with a gun but no one was shot and the shooter fled. The event was shut down following the reported shooting. 3,000 students were at th"&amp;"e event. Mass panic in the stadium as hundreds of people ran after hearing the shots. 12 police officers were assigned to the event.")</f>
        <v>Shots fired during one of multiple fights during the football jamboree. Witnesses reported gunshots and seeing a person with a gun but no one was shot and the shooter fled. The event was shut down following the reported shooting. 3,000 students were at the event. Mass panic in the stadium as hundreds of people ran after hearing the shots. 12 police officers were assigned to the event.</v>
      </c>
      <c r="AA819" s="5" t="str">
        <f ca="1">IFERROR(__xludf.DUMMYFUNCTION("""COMPUTED_VALUE"""),"Escalation of Dispute")</f>
        <v>Escalation of Dispute</v>
      </c>
      <c r="AB819" s="5"/>
      <c r="AC819" s="5" t="str">
        <f ca="1">IFERROR(__xludf.DUMMYFUNCTION("""COMPUTED_VALUE"""),"No")</f>
        <v>No</v>
      </c>
      <c r="AD819" s="5" t="str">
        <f ca="1">IFERROR(__xludf.DUMMYFUNCTION("""COMPUTED_VALUE"""),"No")</f>
        <v>No</v>
      </c>
      <c r="AE819" s="5" t="str">
        <f ca="1">IFERROR(__xludf.DUMMYFUNCTION("""COMPUTED_VALUE"""),"No")</f>
        <v>No</v>
      </c>
      <c r="AF819" s="5" t="str">
        <f ca="1">IFERROR(__xludf.DUMMYFUNCTION("""COMPUTED_VALUE"""),"No")</f>
        <v>No</v>
      </c>
      <c r="AG819" s="5" t="str">
        <f ca="1">IFERROR(__xludf.DUMMYFUNCTION("""COMPUTED_VALUE"""),"No")</f>
        <v>No</v>
      </c>
      <c r="AH819" s="5" t="str">
        <f ca="1">IFERROR(__xludf.DUMMYFUNCTION("""COMPUTED_VALUE"""),"No")</f>
        <v>No</v>
      </c>
      <c r="AI819" s="5" t="str">
        <f ca="1">IFERROR(__xludf.DUMMYFUNCTION("""COMPUTED_VALUE"""),"No")</f>
        <v>No</v>
      </c>
      <c r="AJ819" s="5" t="str">
        <f ca="1">IFERROR(__xludf.DUMMYFUNCTION("""COMPUTED_VALUE"""),"No")</f>
        <v>No</v>
      </c>
    </row>
    <row r="820" spans="1:36" ht="13">
      <c r="A820" s="5" t="str">
        <f ca="1">IFERROR(__xludf.DUMMYFUNCTION("""COMPUTED_VALUE"""),"20190820PASAC")</f>
        <v>20190820PASAC</v>
      </c>
      <c r="B820" s="5">
        <f ca="1">IFERROR(__xludf.DUMMYFUNCTION("""COMPUTED_VALUE"""),8)</f>
        <v>8</v>
      </c>
      <c r="C820" s="5">
        <f ca="1">IFERROR(__xludf.DUMMYFUNCTION("""COMPUTED_VALUE"""),20)</f>
        <v>20</v>
      </c>
      <c r="D820" s="5">
        <f ca="1">IFERROR(__xludf.DUMMYFUNCTION("""COMPUTED_VALUE"""),2019)</f>
        <v>2019</v>
      </c>
      <c r="E820" s="8">
        <f ca="1">IFERROR(__xludf.DUMMYFUNCTION("""COMPUTED_VALUE"""),43697)</f>
        <v>43697</v>
      </c>
      <c r="F820" s="5" t="str">
        <f ca="1">IFERROR(__xludf.DUMMYFUNCTION("""COMPUTED_VALUE"""),"Saint Patrick School")</f>
        <v>Saint Patrick School</v>
      </c>
      <c r="G820" s="5">
        <f ca="1">IFERROR(__xludf.DUMMYFUNCTION("""COMPUTED_VALUE"""),0)</f>
        <v>0</v>
      </c>
      <c r="H820" s="5">
        <f ca="1">IFERROR(__xludf.DUMMYFUNCTION("""COMPUTED_VALUE"""),0)</f>
        <v>0</v>
      </c>
      <c r="I820" s="5">
        <f ca="1">IFERROR(__xludf.DUMMYFUNCTION("""COMPUTED_VALUE"""),0)</f>
        <v>0</v>
      </c>
      <c r="J820" s="5">
        <f ca="1">IFERROR(__xludf.DUMMYFUNCTION("""COMPUTED_VALUE"""),0)</f>
        <v>0</v>
      </c>
      <c r="K820" s="9" t="str">
        <f ca="1">IFERROR(__xludf.DUMMYFUNCTION("""COMPUTED_VALUE"""),"https://cumberlink.com/news/local/crime-and-courts/school-saint-patrick-parent-accidentally-fires-gun-injures-self-in/article_d58b284e-fd55-5d1f-bf83-91de12e5302d.html")</f>
        <v>https://cumberlink.com/news/local/crime-and-courts/school-saint-patrick-parent-accidentally-fires-gun-injures-self-in/article_d58b284e-fd55-5d1f-bf83-91de12e5302d.html</v>
      </c>
      <c r="L820" s="5"/>
      <c r="M820" s="5"/>
      <c r="N820" s="5">
        <f ca="1">IFERROR(__xludf.DUMMYFUNCTION("""COMPUTED_VALUE"""),3)</f>
        <v>3</v>
      </c>
      <c r="O820" s="5" t="str">
        <f ca="1">IFERROR(__xludf.DUMMYFUNCTION("""COMPUTED_VALUE"""),"Summer")</f>
        <v>Summer</v>
      </c>
      <c r="P820" s="5" t="str">
        <f ca="1">IFERROR(__xludf.DUMMYFUNCTION("""COMPUTED_VALUE"""),"Carlisle")</f>
        <v>Carlisle</v>
      </c>
      <c r="Q820" s="5" t="str">
        <f ca="1">IFERROR(__xludf.DUMMYFUNCTION("""COMPUTED_VALUE"""),"PA")</f>
        <v>PA</v>
      </c>
      <c r="R820" s="5" t="str">
        <f ca="1">IFERROR(__xludf.DUMMYFUNCTION("""COMPUTED_VALUE"""),"High")</f>
        <v>High</v>
      </c>
      <c r="S820" s="5" t="str">
        <f ca="1">IFERROR(__xludf.DUMMYFUNCTION("""COMPUTED_VALUE"""),"Parking Lot")</f>
        <v>Parking Lot</v>
      </c>
      <c r="T820" s="5" t="str">
        <f ca="1">IFERROR(__xludf.DUMMYFUNCTION("""COMPUTED_VALUE"""),"Outside on School Property")</f>
        <v>Outside on School Property</v>
      </c>
      <c r="U820" s="5" t="str">
        <f ca="1">IFERROR(__xludf.DUMMYFUNCTION("""COMPUTED_VALUE"""),"No")</f>
        <v>No</v>
      </c>
      <c r="V820" s="5" t="str">
        <f ca="1">IFERROR(__xludf.DUMMYFUNCTION("""COMPUTED_VALUE"""),"School Event")</f>
        <v>School Event</v>
      </c>
      <c r="W820" s="10">
        <f ca="1">IFERROR(__xludf.DUMMYFUNCTION("""COMPUTED_VALUE"""),0.75)</f>
        <v>0.75</v>
      </c>
      <c r="X820" s="5">
        <f ca="1">IFERROR(__xludf.DUMMYFUNCTION("""COMPUTED_VALUE"""),1)</f>
        <v>1</v>
      </c>
      <c r="Y820" s="5" t="str">
        <f ca="1">IFERROR(__xludf.DUMMYFUNCTION("""COMPUTED_VALUE"""),"Parent accidentally discharged handgun shooting himself")</f>
        <v>Parent accidentally discharged handgun shooting himself</v>
      </c>
      <c r="Z820" s="5" t="str">
        <f ca="1">IFERROR(__xludf.DUMMYFUNCTION("""COMPUTED_VALUE"""),"Parent at back to school night accidentally discharged handgun striking himself. Parent was correctional officer and handgun was issued to him by prison. No other injuries or threat to students.")</f>
        <v>Parent at back to school night accidentally discharged handgun striking himself. Parent was correctional officer and handgun was issued to him by prison. No other injuries or threat to students.</v>
      </c>
      <c r="AA820" s="5" t="str">
        <f ca="1">IFERROR(__xludf.DUMMYFUNCTION("""COMPUTED_VALUE"""),"Accidental")</f>
        <v>Accidental</v>
      </c>
      <c r="AB820" s="5" t="str">
        <f ca="1">IFERROR(__xludf.DUMMYFUNCTION("""COMPUTED_VALUE"""),"Random Shooting")</f>
        <v>Random Shooting</v>
      </c>
      <c r="AC820" s="5" t="str">
        <f ca="1">IFERROR(__xludf.DUMMYFUNCTION("""COMPUTED_VALUE"""),"No")</f>
        <v>No</v>
      </c>
      <c r="AD820" s="5" t="str">
        <f ca="1">IFERROR(__xludf.DUMMYFUNCTION("""COMPUTED_VALUE"""),"No")</f>
        <v>No</v>
      </c>
      <c r="AE820" s="5" t="str">
        <f ca="1">IFERROR(__xludf.DUMMYFUNCTION("""COMPUTED_VALUE"""),"No")</f>
        <v>No</v>
      </c>
      <c r="AF820" s="5" t="str">
        <f ca="1">IFERROR(__xludf.DUMMYFUNCTION("""COMPUTED_VALUE"""),"No")</f>
        <v>No</v>
      </c>
      <c r="AG820" s="5" t="str">
        <f ca="1">IFERROR(__xludf.DUMMYFUNCTION("""COMPUTED_VALUE"""),"No")</f>
        <v>No</v>
      </c>
      <c r="AH820" s="5" t="str">
        <f ca="1">IFERROR(__xludf.DUMMYFUNCTION("""COMPUTED_VALUE"""),"No")</f>
        <v>No</v>
      </c>
      <c r="AI820" s="5" t="str">
        <f ca="1">IFERROR(__xludf.DUMMYFUNCTION("""COMPUTED_VALUE"""),"No")</f>
        <v>No</v>
      </c>
      <c r="AJ820" s="5" t="str">
        <f ca="1">IFERROR(__xludf.DUMMYFUNCTION("""COMPUTED_VALUE"""),"No")</f>
        <v>No</v>
      </c>
    </row>
    <row r="821" spans="1:36" ht="13">
      <c r="A821" s="5" t="str">
        <f ca="1">IFERROR(__xludf.DUMMYFUNCTION("""COMPUTED_VALUE"""),"20190817GALAA")</f>
        <v>20190817GALAA</v>
      </c>
      <c r="B821" s="5">
        <f ca="1">IFERROR(__xludf.DUMMYFUNCTION("""COMPUTED_VALUE"""),8)</f>
        <v>8</v>
      </c>
      <c r="C821" s="5">
        <f ca="1">IFERROR(__xludf.DUMMYFUNCTION("""COMPUTED_VALUE"""),17)</f>
        <v>17</v>
      </c>
      <c r="D821" s="5">
        <f ca="1">IFERROR(__xludf.DUMMYFUNCTION("""COMPUTED_VALUE"""),2019)</f>
        <v>2019</v>
      </c>
      <c r="E821" s="8">
        <f ca="1">IFERROR(__xludf.DUMMYFUNCTION("""COMPUTED_VALUE"""),43694)</f>
        <v>43694</v>
      </c>
      <c r="F821" s="5" t="str">
        <f ca="1">IFERROR(__xludf.DUMMYFUNCTION("""COMPUTED_VALUE"""),"Lakewood Stadium")</f>
        <v>Lakewood Stadium</v>
      </c>
      <c r="G821" s="5">
        <f ca="1">IFERROR(__xludf.DUMMYFUNCTION("""COMPUTED_VALUE"""),0)</f>
        <v>0</v>
      </c>
      <c r="H821" s="5">
        <f ca="1">IFERROR(__xludf.DUMMYFUNCTION("""COMPUTED_VALUE"""),2)</f>
        <v>2</v>
      </c>
      <c r="I821" s="5">
        <f ca="1">IFERROR(__xludf.DUMMYFUNCTION("""COMPUTED_VALUE"""),2)</f>
        <v>2</v>
      </c>
      <c r="J821" s="5">
        <f ca="1">IFERROR(__xludf.DUMMYFUNCTION("""COMPUTED_VALUE"""),0)</f>
        <v>0</v>
      </c>
      <c r="K821" s="5" t="str">
        <f ca="1">IFERROR(__xludf.DUMMYFUNCTION("""COMPUTED_VALUE"""),"https://www.wsbtv.com/news/local/atlanta/2-teens-shot-1-critical-after-fight-outside-high-school-football-game-police-say/976981343 https://www.ajc.com/news/crime--law/child-paralyzed-stadium-shooting-leaves-hospital-for-new-home-gifted-shaq/NKqLohiZL68e2"&amp;"b3LNDO1cN/# https://www.ajc.com/news/crime--law/believe-miracles-mom-child-paralyzed-stadium-shooting-details-his-recovery/HC5A2iF7tcoDoGX0E0JKjO/")</f>
        <v>https://www.wsbtv.com/news/local/atlanta/2-teens-shot-1-critical-after-fight-outside-high-school-football-game-police-say/976981343 https://www.ajc.com/news/crime--law/child-paralyzed-stadium-shooting-leaves-hospital-for-new-home-gifted-shaq/NKqLohiZL68e2b3LNDO1cN/# https://www.ajc.com/news/crime--law/believe-miracles-mom-child-paralyzed-stadium-shooting-details-his-recovery/HC5A2iF7tcoDoGX0E0JKjO/</v>
      </c>
      <c r="L821" s="5"/>
      <c r="M821" s="5"/>
      <c r="N821" s="5">
        <f ca="1">IFERROR(__xludf.DUMMYFUNCTION("""COMPUTED_VALUE"""),4)</f>
        <v>4</v>
      </c>
      <c r="O821" s="5" t="str">
        <f ca="1">IFERROR(__xludf.DUMMYFUNCTION("""COMPUTED_VALUE"""),"Summer")</f>
        <v>Summer</v>
      </c>
      <c r="P821" s="5" t="str">
        <f ca="1">IFERROR(__xludf.DUMMYFUNCTION("""COMPUTED_VALUE"""),"Atlanta")</f>
        <v>Atlanta</v>
      </c>
      <c r="Q821" s="5" t="str">
        <f ca="1">IFERROR(__xludf.DUMMYFUNCTION("""COMPUTED_VALUE"""),"GA")</f>
        <v>GA</v>
      </c>
      <c r="R821" s="5" t="str">
        <f ca="1">IFERROR(__xludf.DUMMYFUNCTION("""COMPUTED_VALUE"""),"High")</f>
        <v>High</v>
      </c>
      <c r="S821" s="5" t="str">
        <f ca="1">IFERROR(__xludf.DUMMYFUNCTION("""COMPUTED_VALUE"""),"Football Field/Track")</f>
        <v>Football Field/Track</v>
      </c>
      <c r="T821" s="5" t="str">
        <f ca="1">IFERROR(__xludf.DUMMYFUNCTION("""COMPUTED_VALUE"""),"Outside on School Property")</f>
        <v>Outside on School Property</v>
      </c>
      <c r="U821" s="5" t="str">
        <f ca="1">IFERROR(__xludf.DUMMYFUNCTION("""COMPUTED_VALUE"""),"No")</f>
        <v>No</v>
      </c>
      <c r="V821" s="5" t="str">
        <f ca="1">IFERROR(__xludf.DUMMYFUNCTION("""COMPUTED_VALUE"""),"Sport Event")</f>
        <v>Sport Event</v>
      </c>
      <c r="W821" s="10">
        <f ca="1">IFERROR(__xludf.DUMMYFUNCTION("""COMPUTED_VALUE"""),0.875)</f>
        <v>0.875</v>
      </c>
      <c r="X821" s="5">
        <f ca="1">IFERROR(__xludf.DUMMYFUNCTION("""COMPUTED_VALUE"""),1)</f>
        <v>1</v>
      </c>
      <c r="Y821" s="5" t="str">
        <f ca="1">IFERROR(__xludf.DUMMYFUNCTION("""COMPUTED_VALUE"""),"Shots fired during fight at football game")</f>
        <v>Shots fired during fight at football game</v>
      </c>
      <c r="Z821" s="5" t="str">
        <f ca="1">IFERROR(__xludf.DUMMYFUNCTION("""COMPUTED_VALUE"""),"Shots fired during rivalry game between Mays High School and Carver High School in Atlanta. 12YOM was shot and paralyzed. 16YOM student was shot (minor injury). Shooter fled the area. Multiple fights reported. Police were assigned to the stadium during th"&amp;"e game. 15YOM arrested. Neither victim was intended target.")</f>
        <v>Shots fired during rivalry game between Mays High School and Carver High School in Atlanta. 12YOM was shot and paralyzed. 16YOM student was shot (minor injury). Shooter fled the area. Multiple fights reported. Police were assigned to the stadium during the game. 15YOM arrested. Neither victim was intended target.</v>
      </c>
      <c r="AA821" s="5" t="str">
        <f ca="1">IFERROR(__xludf.DUMMYFUNCTION("""COMPUTED_VALUE"""),"Escalation of Dispute")</f>
        <v>Escalation of Dispute</v>
      </c>
      <c r="AB821" s="5" t="str">
        <f ca="1">IFERROR(__xludf.DUMMYFUNCTION("""COMPUTED_VALUE"""),"Both")</f>
        <v>Both</v>
      </c>
      <c r="AC821" s="5"/>
      <c r="AD821" s="5" t="str">
        <f ca="1">IFERROR(__xludf.DUMMYFUNCTION("""COMPUTED_VALUE"""),"No")</f>
        <v>No</v>
      </c>
      <c r="AE821" s="5" t="str">
        <f ca="1">IFERROR(__xludf.DUMMYFUNCTION("""COMPUTED_VALUE"""),"No")</f>
        <v>No</v>
      </c>
      <c r="AF821" s="5" t="str">
        <f ca="1">IFERROR(__xludf.DUMMYFUNCTION("""COMPUTED_VALUE"""),"No")</f>
        <v>No</v>
      </c>
      <c r="AG821" s="5" t="str">
        <f ca="1">IFERROR(__xludf.DUMMYFUNCTION("""COMPUTED_VALUE"""),"No")</f>
        <v>No</v>
      </c>
      <c r="AH821" s="5" t="str">
        <f ca="1">IFERROR(__xludf.DUMMYFUNCTION("""COMPUTED_VALUE"""),"No")</f>
        <v>No</v>
      </c>
      <c r="AI821" s="5" t="str">
        <f ca="1">IFERROR(__xludf.DUMMYFUNCTION("""COMPUTED_VALUE"""),"Yes")</f>
        <v>Yes</v>
      </c>
      <c r="AJ821" s="5" t="str">
        <f ca="1">IFERROR(__xludf.DUMMYFUNCTION("""COMPUTED_VALUE"""),"No")</f>
        <v>No</v>
      </c>
    </row>
    <row r="822" spans="1:36" ht="13">
      <c r="A822" s="5" t="str">
        <f ca="1">IFERROR(__xludf.DUMMYFUNCTION("""COMPUTED_VALUE"""),"20190815TNEAN")</f>
        <v>20190815TNEAN</v>
      </c>
      <c r="B822" s="5">
        <f ca="1">IFERROR(__xludf.DUMMYFUNCTION("""COMPUTED_VALUE"""),8)</f>
        <v>8</v>
      </c>
      <c r="C822" s="5">
        <f ca="1">IFERROR(__xludf.DUMMYFUNCTION("""COMPUTED_VALUE"""),15)</f>
        <v>15</v>
      </c>
      <c r="D822" s="5">
        <f ca="1">IFERROR(__xludf.DUMMYFUNCTION("""COMPUTED_VALUE"""),2019)</f>
        <v>2019</v>
      </c>
      <c r="E822" s="8">
        <f ca="1">IFERROR(__xludf.DUMMYFUNCTION("""COMPUTED_VALUE"""),43692)</f>
        <v>43692</v>
      </c>
      <c r="F822" s="5" t="str">
        <f ca="1">IFERROR(__xludf.DUMMYFUNCTION("""COMPUTED_VALUE"""),"East Magnet High School")</f>
        <v>East Magnet High School</v>
      </c>
      <c r="G822" s="5">
        <f ca="1">IFERROR(__xludf.DUMMYFUNCTION("""COMPUTED_VALUE"""),0)</f>
        <v>0</v>
      </c>
      <c r="H822" s="5">
        <f ca="1">IFERROR(__xludf.DUMMYFUNCTION("""COMPUTED_VALUE"""),0)</f>
        <v>0</v>
      </c>
      <c r="I822" s="5">
        <f ca="1">IFERROR(__xludf.DUMMYFUNCTION("""COMPUTED_VALUE"""),0)</f>
        <v>0</v>
      </c>
      <c r="J822" s="5">
        <f ca="1">IFERROR(__xludf.DUMMYFUNCTION("""COMPUTED_VALUE"""),0)</f>
        <v>0</v>
      </c>
      <c r="K822" s="9" t="str">
        <f ca="1">IFERROR(__xludf.DUMMYFUNCTION("""COMPUTED_VALUE"""),"https://www.wsmv.com/news/three-in-custody-after-shots-fired-at-east-high-school/article_9f788d58-bfcf-11e9-bdda-c788cc06a4b1.html")</f>
        <v>https://www.wsmv.com/news/three-in-custody-after-shots-fired-at-east-high-school/article_9f788d58-bfcf-11e9-bdda-c788cc06a4b1.html</v>
      </c>
      <c r="L822" s="5"/>
      <c r="M822" s="5"/>
      <c r="N822" s="5">
        <f ca="1">IFERROR(__xludf.DUMMYFUNCTION("""COMPUTED_VALUE"""),4)</f>
        <v>4</v>
      </c>
      <c r="O822" s="5" t="str">
        <f ca="1">IFERROR(__xludf.DUMMYFUNCTION("""COMPUTED_VALUE"""),"Summer")</f>
        <v>Summer</v>
      </c>
      <c r="P822" s="5" t="str">
        <f ca="1">IFERROR(__xludf.DUMMYFUNCTION("""COMPUTED_VALUE"""),"Nashville")</f>
        <v>Nashville</v>
      </c>
      <c r="Q822" s="5" t="str">
        <f ca="1">IFERROR(__xludf.DUMMYFUNCTION("""COMPUTED_VALUE"""),"TN")</f>
        <v>TN</v>
      </c>
      <c r="R822" s="5" t="str">
        <f ca="1">IFERROR(__xludf.DUMMYFUNCTION("""COMPUTED_VALUE"""),"High")</f>
        <v>High</v>
      </c>
      <c r="S822" s="5" t="str">
        <f ca="1">IFERROR(__xludf.DUMMYFUNCTION("""COMPUTED_VALUE"""),"Football Field/Track")</f>
        <v>Football Field/Track</v>
      </c>
      <c r="T822" s="5" t="str">
        <f ca="1">IFERROR(__xludf.DUMMYFUNCTION("""COMPUTED_VALUE"""),"Outside on School Property")</f>
        <v>Outside on School Property</v>
      </c>
      <c r="U822" s="5" t="str">
        <f ca="1">IFERROR(__xludf.DUMMYFUNCTION("""COMPUTED_VALUE"""),"No")</f>
        <v>No</v>
      </c>
      <c r="V822" s="5" t="str">
        <f ca="1">IFERROR(__xludf.DUMMYFUNCTION("""COMPUTED_VALUE"""),"Sport Event")</f>
        <v>Sport Event</v>
      </c>
      <c r="W822" s="5"/>
      <c r="X822" s="5">
        <f ca="1">IFERROR(__xludf.DUMMYFUNCTION("""COMPUTED_VALUE"""),1)</f>
        <v>1</v>
      </c>
      <c r="Y822" s="5" t="str">
        <f ca="1">IFERROR(__xludf.DUMMYFUNCTION("""COMPUTED_VALUE"""),"15YOM fired multiple shots during football jamboree")</f>
        <v>15YOM fired multiple shots during football jamboree</v>
      </c>
      <c r="Z822" s="5" t="str">
        <f ca="1">IFERROR(__xludf.DUMMYFUNCTION("""COMPUTED_VALUE"""),"15YOM fired multiple shots during football jamboree. No injuries. Police saw the suspect running from the area with a handgun and recovered the gun in the parking lot. Multiple other fights occurred during the event. Police plan to have metal detectors fo"&amp;"r future events. Police officials said 100 officers could be assigned to the event and it would not stop these incidents.")</f>
        <v>15YOM fired multiple shots during football jamboree. No injuries. Police saw the suspect running from the area with a handgun and recovered the gun in the parking lot. Multiple other fights occurred during the event. Police plan to have metal detectors for future events. Police officials said 100 officers could be assigned to the event and it would not stop these incidents.</v>
      </c>
      <c r="AA822" s="5" t="str">
        <f ca="1">IFERROR(__xludf.DUMMYFUNCTION("""COMPUTED_VALUE"""),"Escalation of Dispute")</f>
        <v>Escalation of Dispute</v>
      </c>
      <c r="AB822" s="5"/>
      <c r="AC822" s="5" t="str">
        <f ca="1">IFERROR(__xludf.DUMMYFUNCTION("""COMPUTED_VALUE"""),"Yes")</f>
        <v>Yes</v>
      </c>
      <c r="AD822" s="5" t="str">
        <f ca="1">IFERROR(__xludf.DUMMYFUNCTION("""COMPUTED_VALUE"""),"No")</f>
        <v>No</v>
      </c>
      <c r="AE822" s="5" t="str">
        <f ca="1">IFERROR(__xludf.DUMMYFUNCTION("""COMPUTED_VALUE"""),"No")</f>
        <v>No</v>
      </c>
      <c r="AF822" s="5" t="str">
        <f ca="1">IFERROR(__xludf.DUMMYFUNCTION("""COMPUTED_VALUE"""),"No")</f>
        <v>No</v>
      </c>
      <c r="AG822" s="5" t="str">
        <f ca="1">IFERROR(__xludf.DUMMYFUNCTION("""COMPUTED_VALUE"""),"No")</f>
        <v>No</v>
      </c>
      <c r="AH822" s="5" t="str">
        <f ca="1">IFERROR(__xludf.DUMMYFUNCTION("""COMPUTED_VALUE"""),"No")</f>
        <v>No</v>
      </c>
      <c r="AI822" s="5"/>
      <c r="AJ822" s="5" t="str">
        <f ca="1">IFERROR(__xludf.DUMMYFUNCTION("""COMPUTED_VALUE"""),"No")</f>
        <v>No</v>
      </c>
    </row>
    <row r="823" spans="1:36" ht="13">
      <c r="A823" s="5" t="str">
        <f ca="1">IFERROR(__xludf.DUMMYFUNCTION("""COMPUTED_VALUE"""),"20190809NJWEN")</f>
        <v>20190809NJWEN</v>
      </c>
      <c r="B823" s="5">
        <f ca="1">IFERROR(__xludf.DUMMYFUNCTION("""COMPUTED_VALUE"""),8)</f>
        <v>8</v>
      </c>
      <c r="C823" s="5">
        <f ca="1">IFERROR(__xludf.DUMMYFUNCTION("""COMPUTED_VALUE"""),9)</f>
        <v>9</v>
      </c>
      <c r="D823" s="5">
        <f ca="1">IFERROR(__xludf.DUMMYFUNCTION("""COMPUTED_VALUE"""),2019)</f>
        <v>2019</v>
      </c>
      <c r="E823" s="8">
        <f ca="1">IFERROR(__xludf.DUMMYFUNCTION("""COMPUTED_VALUE"""),43686)</f>
        <v>43686</v>
      </c>
      <c r="F823" s="5" t="str">
        <f ca="1">IFERROR(__xludf.DUMMYFUNCTION("""COMPUTED_VALUE"""),"West Side High School")</f>
        <v>West Side High School</v>
      </c>
      <c r="G823" s="5">
        <f ca="1">IFERROR(__xludf.DUMMYFUNCTION("""COMPUTED_VALUE"""),0)</f>
        <v>0</v>
      </c>
      <c r="H823" s="5">
        <f ca="1">IFERROR(__xludf.DUMMYFUNCTION("""COMPUTED_VALUE"""),2)</f>
        <v>2</v>
      </c>
      <c r="I823" s="5">
        <f ca="1">IFERROR(__xludf.DUMMYFUNCTION("""COMPUTED_VALUE"""),2)</f>
        <v>2</v>
      </c>
      <c r="J823" s="5">
        <f ca="1">IFERROR(__xludf.DUMMYFUNCTION("""COMPUTED_VALUE"""),0)</f>
        <v>0</v>
      </c>
      <c r="K823" s="5" t="str">
        <f ca="1">IFERROR(__xludf.DUMMYFUNCTION("""COMPUTED_VALUE"""),"https://www.nj.com/news/2019/08/16-year-old-arrested-for-shooting-2-teens-outside-newark-school-police-say.html https://www.rlsmedia.com/article/breaking-newark-nj-two-shot-outside-west-side-high-school")</f>
        <v>https://www.nj.com/news/2019/08/16-year-old-arrested-for-shooting-2-teens-outside-newark-school-police-say.html https://www.rlsmedia.com/article/breaking-newark-nj-two-shot-outside-west-side-high-school</v>
      </c>
      <c r="L823" s="5">
        <f ca="1">IFERROR(__xludf.DUMMYFUNCTION("""COMPUTED_VALUE"""),2)</f>
        <v>2</v>
      </c>
      <c r="M823" s="5" t="str">
        <f ca="1">IFERROR(__xludf.DUMMYFUNCTION("""COMPUTED_VALUE"""),"Local")</f>
        <v>Local</v>
      </c>
      <c r="N823" s="5">
        <f ca="1">IFERROR(__xludf.DUMMYFUNCTION("""COMPUTED_VALUE"""),4)</f>
        <v>4</v>
      </c>
      <c r="O823" s="5" t="str">
        <f ca="1">IFERROR(__xludf.DUMMYFUNCTION("""COMPUTED_VALUE"""),"Fall")</f>
        <v>Fall</v>
      </c>
      <c r="P823" s="5" t="str">
        <f ca="1">IFERROR(__xludf.DUMMYFUNCTION("""COMPUTED_VALUE"""),"Newark")</f>
        <v>Newark</v>
      </c>
      <c r="Q823" s="5" t="str">
        <f ca="1">IFERROR(__xludf.DUMMYFUNCTION("""COMPUTED_VALUE"""),"NJ")</f>
        <v>NJ</v>
      </c>
      <c r="R823" s="5" t="str">
        <f ca="1">IFERROR(__xludf.DUMMYFUNCTION("""COMPUTED_VALUE"""),"High")</f>
        <v>High</v>
      </c>
      <c r="S823" s="5" t="str">
        <f ca="1">IFERROR(__xludf.DUMMYFUNCTION("""COMPUTED_VALUE"""),"Front of School")</f>
        <v>Front of School</v>
      </c>
      <c r="T823" s="5" t="str">
        <f ca="1">IFERROR(__xludf.DUMMYFUNCTION("""COMPUTED_VALUE"""),"Outside on School Property")</f>
        <v>Outside on School Property</v>
      </c>
      <c r="U823" s="5" t="str">
        <f ca="1">IFERROR(__xludf.DUMMYFUNCTION("""COMPUTED_VALUE"""),"No")</f>
        <v>No</v>
      </c>
      <c r="V823" s="5" t="str">
        <f ca="1">IFERROR(__xludf.DUMMYFUNCTION("""COMPUTED_VALUE"""),"Night")</f>
        <v>Night</v>
      </c>
      <c r="W823" s="10">
        <f ca="1">IFERROR(__xludf.DUMMYFUNCTION("""COMPUTED_VALUE"""),0.890277777777777)</f>
        <v>0.89027777777777695</v>
      </c>
      <c r="X823" s="5">
        <f ca="1">IFERROR(__xludf.DUMMYFUNCTION("""COMPUTED_VALUE"""),1)</f>
        <v>1</v>
      </c>
      <c r="Y823" s="5" t="str">
        <f ca="1">IFERROR(__xludf.DUMMYFUNCTION("""COMPUTED_VALUE"""),"Two teens shot in front of the school")</f>
        <v>Two teens shot in front of the school</v>
      </c>
      <c r="Z823" s="5" t="str">
        <f ca="1">IFERROR(__xludf.DUMMYFUNCTION("""COMPUTED_VALUE"""),"A 13-year-old and 18-year-old were shot in front of the school. Shooter fled the scene. 16-year-old shooter was arrested on 8/17/2019 and charged. Shooter was visiting from Connecticut and not a student at the school.")</f>
        <v>A 13-year-old and 18-year-old were shot in front of the school. Shooter fled the scene. 16-year-old shooter was arrested on 8/17/2019 and charged. Shooter was visiting from Connecticut and not a student at the school.</v>
      </c>
      <c r="AA823" s="5"/>
      <c r="AB823" s="5"/>
      <c r="AC823" s="5" t="str">
        <f ca="1">IFERROR(__xludf.DUMMYFUNCTION("""COMPUTED_VALUE"""),"No")</f>
        <v>No</v>
      </c>
      <c r="AD823" s="5" t="str">
        <f ca="1">IFERROR(__xludf.DUMMYFUNCTION("""COMPUTED_VALUE"""),"No")</f>
        <v>No</v>
      </c>
      <c r="AE823" s="5" t="str">
        <f ca="1">IFERROR(__xludf.DUMMYFUNCTION("""COMPUTED_VALUE"""),"No")</f>
        <v>No</v>
      </c>
      <c r="AF823" s="5" t="str">
        <f ca="1">IFERROR(__xludf.DUMMYFUNCTION("""COMPUTED_VALUE"""),"No")</f>
        <v>No</v>
      </c>
      <c r="AG823" s="5" t="str">
        <f ca="1">IFERROR(__xludf.DUMMYFUNCTION("""COMPUTED_VALUE"""),"No")</f>
        <v>No</v>
      </c>
      <c r="AH823" s="5" t="str">
        <f ca="1">IFERROR(__xludf.DUMMYFUNCTION("""COMPUTED_VALUE"""),"No")</f>
        <v>No</v>
      </c>
      <c r="AI823" s="5"/>
      <c r="AJ823" s="5" t="str">
        <f ca="1">IFERROR(__xludf.DUMMYFUNCTION("""COMPUTED_VALUE"""),"No")</f>
        <v>No</v>
      </c>
    </row>
    <row r="824" spans="1:36" ht="13">
      <c r="A824" s="5" t="str">
        <f ca="1">IFERROR(__xludf.DUMMYFUNCTION("""COMPUTED_VALUE"""),"20190808ALBLM")</f>
        <v>20190808ALBLM</v>
      </c>
      <c r="B824" s="5">
        <f ca="1">IFERROR(__xludf.DUMMYFUNCTION("""COMPUTED_VALUE"""),8)</f>
        <v>8</v>
      </c>
      <c r="C824" s="5">
        <f ca="1">IFERROR(__xludf.DUMMYFUNCTION("""COMPUTED_VALUE"""),8)</f>
        <v>8</v>
      </c>
      <c r="D824" s="5">
        <f ca="1">IFERROR(__xludf.DUMMYFUNCTION("""COMPUTED_VALUE"""),2019)</f>
        <v>2019</v>
      </c>
      <c r="E824" s="8">
        <f ca="1">IFERROR(__xludf.DUMMYFUNCTION("""COMPUTED_VALUE"""),43685)</f>
        <v>43685</v>
      </c>
      <c r="F824" s="5" t="str">
        <f ca="1">IFERROR(__xludf.DUMMYFUNCTION("""COMPUTED_VALUE"""),"Blount Elementary School")</f>
        <v>Blount Elementary School</v>
      </c>
      <c r="G824" s="5">
        <f ca="1">IFERROR(__xludf.DUMMYFUNCTION("""COMPUTED_VALUE"""),0)</f>
        <v>0</v>
      </c>
      <c r="H824" s="5">
        <f ca="1">IFERROR(__xludf.DUMMYFUNCTION("""COMPUTED_VALUE"""),0)</f>
        <v>0</v>
      </c>
      <c r="I824" s="5">
        <f ca="1">IFERROR(__xludf.DUMMYFUNCTION("""COMPUTED_VALUE"""),0)</f>
        <v>0</v>
      </c>
      <c r="J824" s="5">
        <f ca="1">IFERROR(__xludf.DUMMYFUNCTION("""COMPUTED_VALUE"""),0)</f>
        <v>0</v>
      </c>
      <c r="K824" s="5" t="str">
        <f ca="1">IFERROR(__xludf.DUMMYFUNCTION("""COMPUTED_VALUE"""),"https://www.usnews.com/news/us/articles/2019-08-08/police-2-men-arrested-after-road-rage-shooting-at-school https://www.alabamanews.net/2019/08/08/two-men-in-custody-after-shooting-in-elementary-school-parking-lot/ https://www.wsfa.com/2019/08/26/montgome"&amp;"ry-school-shooting-suspect-charged-with-escape/")</f>
        <v>https://www.usnews.com/news/us/articles/2019-08-08/police-2-men-arrested-after-road-rage-shooting-at-school https://www.alabamanews.net/2019/08/08/two-men-in-custody-after-shooting-in-elementary-school-parking-lot/ https://www.wsfa.com/2019/08/26/montgomery-school-shooting-suspect-charged-with-escape/</v>
      </c>
      <c r="L824" s="5"/>
      <c r="M824" s="5"/>
      <c r="N824" s="5">
        <f ca="1">IFERROR(__xludf.DUMMYFUNCTION("""COMPUTED_VALUE"""),4)</f>
        <v>4</v>
      </c>
      <c r="O824" s="5" t="str">
        <f ca="1">IFERROR(__xludf.DUMMYFUNCTION("""COMPUTED_VALUE"""),"Summer")</f>
        <v>Summer</v>
      </c>
      <c r="P824" s="5" t="str">
        <f ca="1">IFERROR(__xludf.DUMMYFUNCTION("""COMPUTED_VALUE"""),"Montgomery")</f>
        <v>Montgomery</v>
      </c>
      <c r="Q824" s="5" t="str">
        <f ca="1">IFERROR(__xludf.DUMMYFUNCTION("""COMPUTED_VALUE"""),"AL")</f>
        <v>AL</v>
      </c>
      <c r="R824" s="5" t="str">
        <f ca="1">IFERROR(__xludf.DUMMYFUNCTION("""COMPUTED_VALUE"""),"Elementary")</f>
        <v>Elementary</v>
      </c>
      <c r="S824" s="5" t="str">
        <f ca="1">IFERROR(__xludf.DUMMYFUNCTION("""COMPUTED_VALUE"""),"Parking Lot")</f>
        <v>Parking Lot</v>
      </c>
      <c r="T824" s="5" t="str">
        <f ca="1">IFERROR(__xludf.DUMMYFUNCTION("""COMPUTED_VALUE"""),"Outside on School Property")</f>
        <v>Outside on School Property</v>
      </c>
      <c r="U824" s="5" t="str">
        <f ca="1">IFERROR(__xludf.DUMMYFUNCTION("""COMPUTED_VALUE"""),"Yes")</f>
        <v>Yes</v>
      </c>
      <c r="V824" s="5" t="str">
        <f ca="1">IFERROR(__xludf.DUMMYFUNCTION("""COMPUTED_VALUE"""),"School Start")</f>
        <v>School Start</v>
      </c>
      <c r="W824" s="10">
        <f ca="1">IFERROR(__xludf.DUMMYFUNCTION("""COMPUTED_VALUE"""),0.3125)</f>
        <v>0.3125</v>
      </c>
      <c r="X824" s="5">
        <f ca="1">IFERROR(__xludf.DUMMYFUNCTION("""COMPUTED_VALUE"""),1)</f>
        <v>1</v>
      </c>
      <c r="Y824" s="5" t="str">
        <f ca="1">IFERROR(__xludf.DUMMYFUNCTION("""COMPUTED_VALUE"""),"Adult male fired shots in school parking lot during road rage incident")</f>
        <v>Adult male fired shots in school parking lot during road rage incident</v>
      </c>
      <c r="Z824" s="5" t="str">
        <f ca="1">IFERROR(__xludf.DUMMYFUNCTION("""COMPUTED_VALUE"""),"38YOM fired shot at another adult male in a vehicle in the school parking lot during a dispute police described as a ""road rage"" incident. Shooter entered the school and surrendered the weapon to school staff members then waited for police to arrive. Sc"&amp;"hool was locked down. Court ordered shooter to attend mental health treatment following incident. Shooter held without bond after trying to escape from the mental health facility.")</f>
        <v>38YOM fired shot at another adult male in a vehicle in the school parking lot during a dispute police described as a "road rage" incident. Shooter entered the school and surrendered the weapon to school staff members then waited for police to arrive. School was locked down. Court ordered shooter to attend mental health treatment following incident. Shooter held without bond after trying to escape from the mental health facility.</v>
      </c>
      <c r="AA824" s="5" t="str">
        <f ca="1">IFERROR(__xludf.DUMMYFUNCTION("""COMPUTED_VALUE"""),"Escalation of Dispute")</f>
        <v>Escalation of Dispute</v>
      </c>
      <c r="AB824" s="5" t="str">
        <f ca="1">IFERROR(__xludf.DUMMYFUNCTION("""COMPUTED_VALUE"""),"Victims Targeted")</f>
        <v>Victims Targeted</v>
      </c>
      <c r="AC824" s="5" t="str">
        <f ca="1">IFERROR(__xludf.DUMMYFUNCTION("""COMPUTED_VALUE"""),"No")</f>
        <v>No</v>
      </c>
      <c r="AD824" s="5" t="str">
        <f ca="1">IFERROR(__xludf.DUMMYFUNCTION("""COMPUTED_VALUE"""),"No")</f>
        <v>No</v>
      </c>
      <c r="AE824" s="5" t="str">
        <f ca="1">IFERROR(__xludf.DUMMYFUNCTION("""COMPUTED_VALUE"""),"No")</f>
        <v>No</v>
      </c>
      <c r="AF824" s="5" t="str">
        <f ca="1">IFERROR(__xludf.DUMMYFUNCTION("""COMPUTED_VALUE"""),"No")</f>
        <v>No</v>
      </c>
      <c r="AG824" s="5" t="str">
        <f ca="1">IFERROR(__xludf.DUMMYFUNCTION("""COMPUTED_VALUE"""),"No")</f>
        <v>No</v>
      </c>
      <c r="AH824" s="5" t="str">
        <f ca="1">IFERROR(__xludf.DUMMYFUNCTION("""COMPUTED_VALUE"""),"No")</f>
        <v>No</v>
      </c>
      <c r="AI824" s="5" t="str">
        <f ca="1">IFERROR(__xludf.DUMMYFUNCTION("""COMPUTED_VALUE"""),"No")</f>
        <v>No</v>
      </c>
      <c r="AJ824" s="5" t="str">
        <f ca="1">IFERROR(__xludf.DUMMYFUNCTION("""COMPUTED_VALUE"""),"No")</f>
        <v>No</v>
      </c>
    </row>
    <row r="825" spans="1:36" ht="13">
      <c r="A825" s="5" t="str">
        <f ca="1">IFERROR(__xludf.DUMMYFUNCTION("""COMPUTED_VALUE"""),"20190719CAMOS")</f>
        <v>20190719CAMOS</v>
      </c>
      <c r="B825" s="5">
        <f ca="1">IFERROR(__xludf.DUMMYFUNCTION("""COMPUTED_VALUE"""),7)</f>
        <v>7</v>
      </c>
      <c r="C825" s="5">
        <f ca="1">IFERROR(__xludf.DUMMYFUNCTION("""COMPUTED_VALUE"""),19)</f>
        <v>19</v>
      </c>
      <c r="D825" s="5">
        <f ca="1">IFERROR(__xludf.DUMMYFUNCTION("""COMPUTED_VALUE"""),2019)</f>
        <v>2019</v>
      </c>
      <c r="E825" s="8">
        <f ca="1">IFERROR(__xludf.DUMMYFUNCTION("""COMPUTED_VALUE"""),43665)</f>
        <v>43665</v>
      </c>
      <c r="F825" s="5" t="str">
        <f ca="1">IFERROR(__xludf.DUMMYFUNCTION("""COMPUTED_VALUE"""),"Monroe Clark Middle School")</f>
        <v>Monroe Clark Middle School</v>
      </c>
      <c r="G825" s="5">
        <f ca="1">IFERROR(__xludf.DUMMYFUNCTION("""COMPUTED_VALUE"""),0)</f>
        <v>0</v>
      </c>
      <c r="H825" s="5">
        <f ca="1">IFERROR(__xludf.DUMMYFUNCTION("""COMPUTED_VALUE"""),0)</f>
        <v>0</v>
      </c>
      <c r="I825" s="5">
        <f ca="1">IFERROR(__xludf.DUMMYFUNCTION("""COMPUTED_VALUE"""),0)</f>
        <v>0</v>
      </c>
      <c r="J825" s="5">
        <f ca="1">IFERROR(__xludf.DUMMYFUNCTION("""COMPUTED_VALUE"""),0)</f>
        <v>0</v>
      </c>
      <c r="K825" s="9" t="str">
        <f ca="1">IFERROR(__xludf.DUMMYFUNCTION("""COMPUTED_VALUE"""),"https://fox5sandiego.com/2019/07/19/mid-city-school-locks-down-over-bb-gun-shooting/")</f>
        <v>https://fox5sandiego.com/2019/07/19/mid-city-school-locks-down-over-bb-gun-shooting/</v>
      </c>
      <c r="L825" s="5"/>
      <c r="M825" s="5"/>
      <c r="N825" s="5">
        <f ca="1">IFERROR(__xludf.DUMMYFUNCTION("""COMPUTED_VALUE"""),3)</f>
        <v>3</v>
      </c>
      <c r="O825" s="5" t="str">
        <f ca="1">IFERROR(__xludf.DUMMYFUNCTION("""COMPUTED_VALUE"""),"Summer")</f>
        <v>Summer</v>
      </c>
      <c r="P825" s="5" t="str">
        <f ca="1">IFERROR(__xludf.DUMMYFUNCTION("""COMPUTED_VALUE"""),"San Diego")</f>
        <v>San Diego</v>
      </c>
      <c r="Q825" s="5" t="str">
        <f ca="1">IFERROR(__xludf.DUMMYFUNCTION("""COMPUTED_VALUE"""),"CA")</f>
        <v>CA</v>
      </c>
      <c r="R825" s="5" t="str">
        <f ca="1">IFERROR(__xludf.DUMMYFUNCTION("""COMPUTED_VALUE"""),"Middle")</f>
        <v>Middle</v>
      </c>
      <c r="S825" s="5" t="str">
        <f ca="1">IFERROR(__xludf.DUMMYFUNCTION("""COMPUTED_VALUE"""),"Front of School")</f>
        <v>Front of School</v>
      </c>
      <c r="T825" s="5" t="str">
        <f ca="1">IFERROR(__xludf.DUMMYFUNCTION("""COMPUTED_VALUE"""),"Outside on School Property")</f>
        <v>Outside on School Property</v>
      </c>
      <c r="U825" s="5" t="str">
        <f ca="1">IFERROR(__xludf.DUMMYFUNCTION("""COMPUTED_VALUE"""),"Yes")</f>
        <v>Yes</v>
      </c>
      <c r="V825" s="5" t="str">
        <f ca="1">IFERROR(__xludf.DUMMYFUNCTION("""COMPUTED_VALUE"""),"Morning Classes")</f>
        <v>Morning Classes</v>
      </c>
      <c r="W825" s="10">
        <f ca="1">IFERROR(__xludf.DUMMYFUNCTION("""COMPUTED_VALUE"""),0.496527777777777)</f>
        <v>0.49652777777777701</v>
      </c>
      <c r="X825" s="5">
        <f ca="1">IFERROR(__xludf.DUMMYFUNCTION("""COMPUTED_VALUE"""),1)</f>
        <v>1</v>
      </c>
      <c r="Y825" s="5" t="str">
        <f ca="1">IFERROR(__xludf.DUMMYFUNCTION("""COMPUTED_VALUE"""),"Teen fired BB's at school building then fled")</f>
        <v>Teen fired BB's at school building then fled</v>
      </c>
      <c r="Z825" s="5" t="str">
        <f ca="1">IFERROR(__xludf.DUMMYFUNCTION("""COMPUTED_VALUE"""),"Teen in sweatshirt was seen firing BB's at the school building. School was locked down. Teen fled the area and police were unable to locate a suspect. School was locked down for 1 hour.")</f>
        <v>Teen in sweatshirt was seen firing BB's at the school building. School was locked down. Teen fled the area and police were unable to locate a suspect. School was locked down for 1 hour.</v>
      </c>
      <c r="AA825" s="5" t="str">
        <f ca="1">IFERROR(__xludf.DUMMYFUNCTION("""COMPUTED_VALUE"""),"Intentional Property Damage")</f>
        <v>Intentional Property Damage</v>
      </c>
      <c r="AB825" s="5" t="str">
        <f ca="1">IFERROR(__xludf.DUMMYFUNCTION("""COMPUTED_VALUE"""),"Neither")</f>
        <v>Neither</v>
      </c>
      <c r="AC825" s="5" t="str">
        <f ca="1">IFERROR(__xludf.DUMMYFUNCTION("""COMPUTED_VALUE"""),"No")</f>
        <v>No</v>
      </c>
      <c r="AD825" s="5" t="str">
        <f ca="1">IFERROR(__xludf.DUMMYFUNCTION("""COMPUTED_VALUE"""),"No")</f>
        <v>No</v>
      </c>
      <c r="AE825" s="5" t="str">
        <f ca="1">IFERROR(__xludf.DUMMYFUNCTION("""COMPUTED_VALUE"""),"No")</f>
        <v>No</v>
      </c>
      <c r="AF825" s="5" t="str">
        <f ca="1">IFERROR(__xludf.DUMMYFUNCTION("""COMPUTED_VALUE"""),"No")</f>
        <v>No</v>
      </c>
      <c r="AG825" s="5" t="str">
        <f ca="1">IFERROR(__xludf.DUMMYFUNCTION("""COMPUTED_VALUE"""),"No")</f>
        <v>No</v>
      </c>
      <c r="AH825" s="5" t="str">
        <f ca="1">IFERROR(__xludf.DUMMYFUNCTION("""COMPUTED_VALUE"""),"No")</f>
        <v>No</v>
      </c>
      <c r="AI825" s="5" t="str">
        <f ca="1">IFERROR(__xludf.DUMMYFUNCTION("""COMPUTED_VALUE"""),"No")</f>
        <v>No</v>
      </c>
      <c r="AJ825" s="5" t="str">
        <f ca="1">IFERROR(__xludf.DUMMYFUNCTION("""COMPUTED_VALUE"""),"No")</f>
        <v>No</v>
      </c>
    </row>
    <row r="826" spans="1:36" ht="13">
      <c r="A826" s="5" t="str">
        <f ca="1">IFERROR(__xludf.DUMMYFUNCTION("""COMPUTED_VALUE"""),"20190711CTBUH")</f>
        <v>20190711CTBUH</v>
      </c>
      <c r="B826" s="5">
        <f ca="1">IFERROR(__xludf.DUMMYFUNCTION("""COMPUTED_VALUE"""),7)</f>
        <v>7</v>
      </c>
      <c r="C826" s="5">
        <f ca="1">IFERROR(__xludf.DUMMYFUNCTION("""COMPUTED_VALUE"""),11)</f>
        <v>11</v>
      </c>
      <c r="D826" s="5">
        <f ca="1">IFERROR(__xludf.DUMMYFUNCTION("""COMPUTED_VALUE"""),2019)</f>
        <v>2019</v>
      </c>
      <c r="E826" s="8">
        <f ca="1">IFERROR(__xludf.DUMMYFUNCTION("""COMPUTED_VALUE"""),43657)</f>
        <v>43657</v>
      </c>
      <c r="F826" s="5" t="str">
        <f ca="1">IFERROR(__xludf.DUMMYFUNCTION("""COMPUTED_VALUE"""),"Bulkeley High School")</f>
        <v>Bulkeley High School</v>
      </c>
      <c r="G826" s="5">
        <f ca="1">IFERROR(__xludf.DUMMYFUNCTION("""COMPUTED_VALUE"""),1)</f>
        <v>1</v>
      </c>
      <c r="H826" s="5">
        <f ca="1">IFERROR(__xludf.DUMMYFUNCTION("""COMPUTED_VALUE"""),0)</f>
        <v>0</v>
      </c>
      <c r="I826" s="5">
        <f ca="1">IFERROR(__xludf.DUMMYFUNCTION("""COMPUTED_VALUE"""),1)</f>
        <v>1</v>
      </c>
      <c r="J826" s="5">
        <f ca="1">IFERROR(__xludf.DUMMYFUNCTION("""COMPUTED_VALUE"""),0)</f>
        <v>0</v>
      </c>
      <c r="K826" s="9" t="str">
        <f ca="1">IFERROR(__xludf.DUMMYFUNCTION("""COMPUTED_VALUE"""),"https://whdh.com/news/2-charged-in-fatal-shooting-of-man-found-behind-high-school/")</f>
        <v>https://whdh.com/news/2-charged-in-fatal-shooting-of-man-found-behind-high-school/</v>
      </c>
      <c r="L826" s="5">
        <f ca="1">IFERROR(__xludf.DUMMYFUNCTION("""COMPUTED_VALUE"""),1)</f>
        <v>1</v>
      </c>
      <c r="M826" s="5" t="str">
        <f ca="1">IFERROR(__xludf.DUMMYFUNCTION("""COMPUTED_VALUE"""),"Local")</f>
        <v>Local</v>
      </c>
      <c r="N826" s="5">
        <f ca="1">IFERROR(__xludf.DUMMYFUNCTION("""COMPUTED_VALUE"""),3)</f>
        <v>3</v>
      </c>
      <c r="O826" s="5" t="str">
        <f ca="1">IFERROR(__xludf.DUMMYFUNCTION("""COMPUTED_VALUE"""),"Summer")</f>
        <v>Summer</v>
      </c>
      <c r="P826" s="5" t="str">
        <f ca="1">IFERROR(__xludf.DUMMYFUNCTION("""COMPUTED_VALUE"""),"Hartford")</f>
        <v>Hartford</v>
      </c>
      <c r="Q826" s="5" t="str">
        <f ca="1">IFERROR(__xludf.DUMMYFUNCTION("""COMPUTED_VALUE"""),"CT")</f>
        <v>CT</v>
      </c>
      <c r="R826" s="5" t="str">
        <f ca="1">IFERROR(__xludf.DUMMYFUNCTION("""COMPUTED_VALUE"""),"High")</f>
        <v>High</v>
      </c>
      <c r="S826" s="5" t="str">
        <f ca="1">IFERROR(__xludf.DUMMYFUNCTION("""COMPUTED_VALUE"""),"Beside Building")</f>
        <v>Beside Building</v>
      </c>
      <c r="T826" s="5" t="str">
        <f ca="1">IFERROR(__xludf.DUMMYFUNCTION("""COMPUTED_VALUE"""),"Outside on School Property")</f>
        <v>Outside on School Property</v>
      </c>
      <c r="U826" s="5" t="str">
        <f ca="1">IFERROR(__xludf.DUMMYFUNCTION("""COMPUTED_VALUE"""),"No")</f>
        <v>No</v>
      </c>
      <c r="V826" s="5" t="str">
        <f ca="1">IFERROR(__xludf.DUMMYFUNCTION("""COMPUTED_VALUE"""),"Not a School Day")</f>
        <v>Not a School Day</v>
      </c>
      <c r="W826" s="10">
        <f ca="1">IFERROR(__xludf.DUMMYFUNCTION("""COMPUTED_VALUE"""),0.5)</f>
        <v>0.5</v>
      </c>
      <c r="X826" s="5">
        <f ca="1">IFERROR(__xludf.DUMMYFUNCTION("""COMPUTED_VALUE"""),1)</f>
        <v>1</v>
      </c>
      <c r="Y826" s="5" t="str">
        <f ca="1">IFERROR(__xludf.DUMMYFUNCTION("""COMPUTED_VALUE"""),"Two women in car chased victim onto school property then shot and killed him")</f>
        <v>Two women in car chased victim onto school property then shot and killed him</v>
      </c>
      <c r="Z826" s="5" t="str">
        <f ca="1">IFERROR(__xludf.DUMMYFUNCTION("""COMPUTED_VALUE"""),"Two adult females in vehicle chased victim on bicycle onto school property where they shot and killed him. Motive not released.")</f>
        <v>Two adult females in vehicle chased victim on bicycle onto school property where they shot and killed him. Motive not released.</v>
      </c>
      <c r="AA826" s="5" t="str">
        <f ca="1">IFERROR(__xludf.DUMMYFUNCTION("""COMPUTED_VALUE"""),"Drive-by Shooting")</f>
        <v>Drive-by Shooting</v>
      </c>
      <c r="AB826" s="5" t="str">
        <f ca="1">IFERROR(__xludf.DUMMYFUNCTION("""COMPUTED_VALUE"""),"Victims Targeted")</f>
        <v>Victims Targeted</v>
      </c>
      <c r="AC826" s="5" t="str">
        <f ca="1">IFERROR(__xludf.DUMMYFUNCTION("""COMPUTED_VALUE"""),"Yes")</f>
        <v>Yes</v>
      </c>
      <c r="AD826" s="5" t="str">
        <f ca="1">IFERROR(__xludf.DUMMYFUNCTION("""COMPUTED_VALUE"""),"No")</f>
        <v>No</v>
      </c>
      <c r="AE826" s="5" t="str">
        <f ca="1">IFERROR(__xludf.DUMMYFUNCTION("""COMPUTED_VALUE"""),"No")</f>
        <v>No</v>
      </c>
      <c r="AF826" s="5" t="str">
        <f ca="1">IFERROR(__xludf.DUMMYFUNCTION("""COMPUTED_VALUE"""),"No")</f>
        <v>No</v>
      </c>
      <c r="AG826" s="5" t="str">
        <f ca="1">IFERROR(__xludf.DUMMYFUNCTION("""COMPUTED_VALUE"""),"No")</f>
        <v>No</v>
      </c>
      <c r="AH826" s="5" t="str">
        <f ca="1">IFERROR(__xludf.DUMMYFUNCTION("""COMPUTED_VALUE"""),"No")</f>
        <v>No</v>
      </c>
      <c r="AI826" s="5"/>
      <c r="AJ826" s="5" t="str">
        <f ca="1">IFERROR(__xludf.DUMMYFUNCTION("""COMPUTED_VALUE"""),"No")</f>
        <v>No</v>
      </c>
    </row>
    <row r="827" spans="1:36" ht="13">
      <c r="A827" s="5" t="str">
        <f ca="1">IFERROR(__xludf.DUMMYFUNCTION("""COMPUTED_VALUE"""),"20190702AKWIA")</f>
        <v>20190702AKWIA</v>
      </c>
      <c r="B827" s="5">
        <f ca="1">IFERROR(__xludf.DUMMYFUNCTION("""COMPUTED_VALUE"""),7)</f>
        <v>7</v>
      </c>
      <c r="C827" s="5">
        <f ca="1">IFERROR(__xludf.DUMMYFUNCTION("""COMPUTED_VALUE"""),2)</f>
        <v>2</v>
      </c>
      <c r="D827" s="5">
        <f ca="1">IFERROR(__xludf.DUMMYFUNCTION("""COMPUTED_VALUE"""),2019)</f>
        <v>2019</v>
      </c>
      <c r="E827" s="8">
        <f ca="1">IFERROR(__xludf.DUMMYFUNCTION("""COMPUTED_VALUE"""),43648)</f>
        <v>43648</v>
      </c>
      <c r="F827" s="5" t="str">
        <f ca="1">IFERROR(__xludf.DUMMYFUNCTION("""COMPUTED_VALUE"""),"Williwaw Elementary School")</f>
        <v>Williwaw Elementary School</v>
      </c>
      <c r="G827" s="5">
        <f ca="1">IFERROR(__xludf.DUMMYFUNCTION("""COMPUTED_VALUE"""),0)</f>
        <v>0</v>
      </c>
      <c r="H827" s="5">
        <f ca="1">IFERROR(__xludf.DUMMYFUNCTION("""COMPUTED_VALUE"""),1)</f>
        <v>1</v>
      </c>
      <c r="I827" s="5">
        <f ca="1">IFERROR(__xludf.DUMMYFUNCTION("""COMPUTED_VALUE"""),1)</f>
        <v>1</v>
      </c>
      <c r="J827" s="5">
        <f ca="1">IFERROR(__xludf.DUMMYFUNCTION("""COMPUTED_VALUE"""),0)</f>
        <v>0</v>
      </c>
      <c r="K827" s="5" t="str">
        <f ca="1">IFERROR(__xludf.DUMMYFUNCTION("""COMPUTED_VALUE"""),"https://www.citynews1130.com/2019/07/03/teen-shot-wounded-at-anchorage-school-basketball-court/ https://www.ktuu.com/content/news/Teenager-shot-at-Williwaw-Elementary-has-life-threatening-injuries-512155392.html https://www.ktva.com/story/41203500/2-men-i"&amp;"ndicted-on-federal-charges-for-shooting-guns-on-school-grounds")</f>
        <v>https://www.citynews1130.com/2019/07/03/teen-shot-wounded-at-anchorage-school-basketball-court/ https://www.ktuu.com/content/news/Teenager-shot-at-Williwaw-Elementary-has-life-threatening-injuries-512155392.html https://www.ktva.com/story/41203500/2-men-indicted-on-federal-charges-for-shooting-guns-on-school-grounds</v>
      </c>
      <c r="L827" s="5"/>
      <c r="M827" s="5"/>
      <c r="N827" s="5">
        <f ca="1">IFERROR(__xludf.DUMMYFUNCTION("""COMPUTED_VALUE"""),4)</f>
        <v>4</v>
      </c>
      <c r="O827" s="5" t="str">
        <f ca="1">IFERROR(__xludf.DUMMYFUNCTION("""COMPUTED_VALUE"""),"Summer")</f>
        <v>Summer</v>
      </c>
      <c r="P827" s="5" t="str">
        <f ca="1">IFERROR(__xludf.DUMMYFUNCTION("""COMPUTED_VALUE"""),"Anchorage")</f>
        <v>Anchorage</v>
      </c>
      <c r="Q827" s="5" t="str">
        <f ca="1">IFERROR(__xludf.DUMMYFUNCTION("""COMPUTED_VALUE"""),"AK")</f>
        <v>AK</v>
      </c>
      <c r="R827" s="5" t="str">
        <f ca="1">IFERROR(__xludf.DUMMYFUNCTION("""COMPUTED_VALUE"""),"Elementary")</f>
        <v>Elementary</v>
      </c>
      <c r="S827" s="5" t="str">
        <f ca="1">IFERROR(__xludf.DUMMYFUNCTION("""COMPUTED_VALUE"""),"Basketball Court")</f>
        <v>Basketball Court</v>
      </c>
      <c r="T827" s="5" t="str">
        <f ca="1">IFERROR(__xludf.DUMMYFUNCTION("""COMPUTED_VALUE"""),"Outside on School Property")</f>
        <v>Outside on School Property</v>
      </c>
      <c r="U827" s="5" t="str">
        <f ca="1">IFERROR(__xludf.DUMMYFUNCTION("""COMPUTED_VALUE"""),"No")</f>
        <v>No</v>
      </c>
      <c r="V827" s="5" t="str">
        <f ca="1">IFERROR(__xludf.DUMMYFUNCTION("""COMPUTED_VALUE"""),"Evening")</f>
        <v>Evening</v>
      </c>
      <c r="W827" s="10">
        <f ca="1">IFERROR(__xludf.DUMMYFUNCTION("""COMPUTED_VALUE"""),0.782638888888888)</f>
        <v>0.782638888888888</v>
      </c>
      <c r="X827" s="5">
        <f ca="1">IFERROR(__xludf.DUMMYFUNCTION("""COMPUTED_VALUE"""),1)</f>
        <v>1</v>
      </c>
      <c r="Y827" s="5" t="str">
        <f ca="1">IFERROR(__xludf.DUMMYFUNCTION("""COMPUTED_VALUE"""),"Teen shot on basketball court after altercation")</f>
        <v>Teen shot on basketball court after altercation</v>
      </c>
      <c r="Z827" s="5" t="str">
        <f ca="1">IFERROR(__xludf.DUMMYFUNCTION("""COMPUTED_VALUE"""),"Unnamed teen was shot on basketball court of school after a dispute involving multiple people. Shooter fled the scene.")</f>
        <v>Unnamed teen was shot on basketball court of school after a dispute involving multiple people. Shooter fled the scene.</v>
      </c>
      <c r="AA827" s="5" t="str">
        <f ca="1">IFERROR(__xludf.DUMMYFUNCTION("""COMPUTED_VALUE"""),"Escalation of Dispute")</f>
        <v>Escalation of Dispute</v>
      </c>
      <c r="AB827" s="5"/>
      <c r="AC827" s="5"/>
      <c r="AD827" s="5" t="str">
        <f ca="1">IFERROR(__xludf.DUMMYFUNCTION("""COMPUTED_VALUE"""),"No")</f>
        <v>No</v>
      </c>
      <c r="AE827" s="5" t="str">
        <f ca="1">IFERROR(__xludf.DUMMYFUNCTION("""COMPUTED_VALUE"""),"No")</f>
        <v>No</v>
      </c>
      <c r="AF827" s="5" t="str">
        <f ca="1">IFERROR(__xludf.DUMMYFUNCTION("""COMPUTED_VALUE"""),"No")</f>
        <v>No</v>
      </c>
      <c r="AG827" s="5" t="str">
        <f ca="1">IFERROR(__xludf.DUMMYFUNCTION("""COMPUTED_VALUE"""),"No")</f>
        <v>No</v>
      </c>
      <c r="AH827" s="5" t="str">
        <f ca="1">IFERROR(__xludf.DUMMYFUNCTION("""COMPUTED_VALUE"""),"No")</f>
        <v>No</v>
      </c>
      <c r="AI827" s="5" t="str">
        <f ca="1">IFERROR(__xludf.DUMMYFUNCTION("""COMPUTED_VALUE"""),"No")</f>
        <v>No</v>
      </c>
      <c r="AJ827" s="5" t="str">
        <f ca="1">IFERROR(__xludf.DUMMYFUNCTION("""COMPUTED_VALUE"""),"No")</f>
        <v>No</v>
      </c>
    </row>
    <row r="828" spans="1:36" ht="13">
      <c r="A828" s="5" t="str">
        <f ca="1">IFERROR(__xludf.DUMMYFUNCTION("""COMPUTED_VALUE"""),"20190701NYSCN")</f>
        <v>20190701NYSCN</v>
      </c>
      <c r="B828" s="5">
        <f ca="1">IFERROR(__xludf.DUMMYFUNCTION("""COMPUTED_VALUE"""),7)</f>
        <v>7</v>
      </c>
      <c r="C828" s="5">
        <f ca="1">IFERROR(__xludf.DUMMYFUNCTION("""COMPUTED_VALUE"""),1)</f>
        <v>1</v>
      </c>
      <c r="D828" s="5">
        <f ca="1">IFERROR(__xludf.DUMMYFUNCTION("""COMPUTED_VALUE"""),2019)</f>
        <v>2019</v>
      </c>
      <c r="E828" s="8">
        <f ca="1">IFERROR(__xludf.DUMMYFUNCTION("""COMPUTED_VALUE"""),43647)</f>
        <v>43647</v>
      </c>
      <c r="F828" s="5" t="str">
        <f ca="1">IFERROR(__xludf.DUMMYFUNCTION("""COMPUTED_VALUE"""),"School of Science and Applied Learning")</f>
        <v>School of Science and Applied Learning</v>
      </c>
      <c r="G828" s="5">
        <f ca="1">IFERROR(__xludf.DUMMYFUNCTION("""COMPUTED_VALUE"""),0)</f>
        <v>0</v>
      </c>
      <c r="H828" s="5">
        <f ca="1">IFERROR(__xludf.DUMMYFUNCTION("""COMPUTED_VALUE"""),1)</f>
        <v>1</v>
      </c>
      <c r="I828" s="5">
        <f ca="1">IFERROR(__xludf.DUMMYFUNCTION("""COMPUTED_VALUE"""),1)</f>
        <v>1</v>
      </c>
      <c r="J828" s="5">
        <f ca="1">IFERROR(__xludf.DUMMYFUNCTION("""COMPUTED_VALUE"""),0)</f>
        <v>0</v>
      </c>
      <c r="K828" s="5" t="str">
        <f ca="1">IFERROR(__xludf.DUMMYFUNCTION("""COMPUTED_VALUE"""),"https://abc7ny.com/police-teen-shot-in-schoolyard-involved-in-cab-driver-robberies/5374508/ https://pix11.com/2019/07/02/teen-shot-in-chest-inside-bronx-schoolyard-police/")</f>
        <v>https://abc7ny.com/police-teen-shot-in-schoolyard-involved-in-cab-driver-robberies/5374508/ https://pix11.com/2019/07/02/teen-shot-in-chest-inside-bronx-schoolyard-police/</v>
      </c>
      <c r="L828" s="5"/>
      <c r="M828" s="5"/>
      <c r="N828" s="5">
        <f ca="1">IFERROR(__xludf.DUMMYFUNCTION("""COMPUTED_VALUE"""),4)</f>
        <v>4</v>
      </c>
      <c r="O828" s="5" t="str">
        <f ca="1">IFERROR(__xludf.DUMMYFUNCTION("""COMPUTED_VALUE"""),"Summer")</f>
        <v>Summer</v>
      </c>
      <c r="P828" s="5" t="str">
        <f ca="1">IFERROR(__xludf.DUMMYFUNCTION("""COMPUTED_VALUE"""),"New York")</f>
        <v>New York</v>
      </c>
      <c r="Q828" s="5" t="str">
        <f ca="1">IFERROR(__xludf.DUMMYFUNCTION("""COMPUTED_VALUE"""),"NY")</f>
        <v>NY</v>
      </c>
      <c r="R828" s="5" t="str">
        <f ca="1">IFERROR(__xludf.DUMMYFUNCTION("""COMPUTED_VALUE"""),"Elementary")</f>
        <v>Elementary</v>
      </c>
      <c r="S828" s="5" t="str">
        <f ca="1">IFERROR(__xludf.DUMMYFUNCTION("""COMPUTED_VALUE"""),"Playground")</f>
        <v>Playground</v>
      </c>
      <c r="T828" s="5" t="str">
        <f ca="1">IFERROR(__xludf.DUMMYFUNCTION("""COMPUTED_VALUE"""),"Outside on School Property")</f>
        <v>Outside on School Property</v>
      </c>
      <c r="U828" s="5" t="str">
        <f ca="1">IFERROR(__xludf.DUMMYFUNCTION("""COMPUTED_VALUE"""),"No")</f>
        <v>No</v>
      </c>
      <c r="V828" s="5" t="str">
        <f ca="1">IFERROR(__xludf.DUMMYFUNCTION("""COMPUTED_VALUE"""),"Night")</f>
        <v>Night</v>
      </c>
      <c r="W828" s="10">
        <f ca="1">IFERROR(__xludf.DUMMYFUNCTION("""COMPUTED_VALUE"""),0.930555555555555)</f>
        <v>0.93055555555555503</v>
      </c>
      <c r="X828" s="5">
        <f ca="1">IFERROR(__xludf.DUMMYFUNCTION("""COMPUTED_VALUE"""),1)</f>
        <v>1</v>
      </c>
      <c r="Y828" s="5" t="str">
        <f ca="1">IFERROR(__xludf.DUMMYFUNCTION("""COMPUTED_VALUE"""),"Cab driver shot 13YOM who had previously robbed him at the school playground")</f>
        <v>Cab driver shot 13YOM who had previously robbed him at the school playground</v>
      </c>
      <c r="Z828" s="5" t="str">
        <f ca="1">IFERROR(__xludf.DUMMYFUNCTION("""COMPUTED_VALUE"""),"Group of teens were involved in multiple robberies of cab driver. A cab driver who had been robbed previously shot at 13YOM involved with the robberies while he was on the school playground. Victim was shot in chest. Shooter fled the area. School had inst"&amp;"alled fences to keep teens from loitering on the school property after hours but the teens climbed over the fence.")</f>
        <v>Group of teens were involved in multiple robberies of cab driver. A cab driver who had been robbed previously shot at 13YOM involved with the robberies while he was on the school playground. Victim was shot in chest. Shooter fled the area. School had installed fences to keep teens from loitering on the school property after hours but the teens climbed over the fence.</v>
      </c>
      <c r="AA828" s="5" t="str">
        <f ca="1">IFERROR(__xludf.DUMMYFUNCTION("""COMPUTED_VALUE"""),"Illegal Activity")</f>
        <v>Illegal Activity</v>
      </c>
      <c r="AB828" s="5" t="str">
        <f ca="1">IFERROR(__xludf.DUMMYFUNCTION("""COMPUTED_VALUE"""),"Victims Targeted")</f>
        <v>Victims Targeted</v>
      </c>
      <c r="AC828" s="5" t="str">
        <f ca="1">IFERROR(__xludf.DUMMYFUNCTION("""COMPUTED_VALUE"""),"No")</f>
        <v>No</v>
      </c>
      <c r="AD828" s="5" t="str">
        <f ca="1">IFERROR(__xludf.DUMMYFUNCTION("""COMPUTED_VALUE"""),"No")</f>
        <v>No</v>
      </c>
      <c r="AE828" s="5" t="str">
        <f ca="1">IFERROR(__xludf.DUMMYFUNCTION("""COMPUTED_VALUE"""),"No")</f>
        <v>No</v>
      </c>
      <c r="AF828" s="5" t="str">
        <f ca="1">IFERROR(__xludf.DUMMYFUNCTION("""COMPUTED_VALUE"""),"No")</f>
        <v>No</v>
      </c>
      <c r="AG828" s="5" t="str">
        <f ca="1">IFERROR(__xludf.DUMMYFUNCTION("""COMPUTED_VALUE"""),"No")</f>
        <v>No</v>
      </c>
      <c r="AH828" s="5" t="str">
        <f ca="1">IFERROR(__xludf.DUMMYFUNCTION("""COMPUTED_VALUE"""),"No")</f>
        <v>No</v>
      </c>
      <c r="AI828" s="5" t="str">
        <f ca="1">IFERROR(__xludf.DUMMYFUNCTION("""COMPUTED_VALUE"""),"No")</f>
        <v>No</v>
      </c>
      <c r="AJ828" s="5" t="str">
        <f ca="1">IFERROR(__xludf.DUMMYFUNCTION("""COMPUTED_VALUE"""),"No")</f>
        <v>No</v>
      </c>
    </row>
    <row r="829" spans="1:36" ht="13">
      <c r="A829" s="5" t="str">
        <f ca="1">IFERROR(__xludf.DUMMYFUNCTION("""COMPUTED_VALUE"""),"20190629COJAC")</f>
        <v>20190629COJAC</v>
      </c>
      <c r="B829" s="5">
        <f ca="1">IFERROR(__xludf.DUMMYFUNCTION("""COMPUTED_VALUE"""),6)</f>
        <v>6</v>
      </c>
      <c r="C829" s="5">
        <f ca="1">IFERROR(__xludf.DUMMYFUNCTION("""COMPUTED_VALUE"""),29)</f>
        <v>29</v>
      </c>
      <c r="D829" s="5">
        <f ca="1">IFERROR(__xludf.DUMMYFUNCTION("""COMPUTED_VALUE"""),2019)</f>
        <v>2019</v>
      </c>
      <c r="E829" s="8">
        <f ca="1">IFERROR(__xludf.DUMMYFUNCTION("""COMPUTED_VALUE"""),43645)</f>
        <v>43645</v>
      </c>
      <c r="F829" s="5" t="str">
        <f ca="1">IFERROR(__xludf.DUMMYFUNCTION("""COMPUTED_VALUE"""),"Jack Swigert Aerospace Academy")</f>
        <v>Jack Swigert Aerospace Academy</v>
      </c>
      <c r="G829" s="5">
        <f ca="1">IFERROR(__xludf.DUMMYFUNCTION("""COMPUTED_VALUE"""),2)</f>
        <v>2</v>
      </c>
      <c r="H829" s="5">
        <f ca="1">IFERROR(__xludf.DUMMYFUNCTION("""COMPUTED_VALUE"""),0)</f>
        <v>0</v>
      </c>
      <c r="I829" s="5">
        <f ca="1">IFERROR(__xludf.DUMMYFUNCTION("""COMPUTED_VALUE"""),2)</f>
        <v>2</v>
      </c>
      <c r="J829" s="5">
        <f ca="1">IFERROR(__xludf.DUMMYFUNCTION("""COMPUTED_VALUE"""),0)</f>
        <v>0</v>
      </c>
      <c r="K829" s="9" t="str">
        <f ca="1">IFERROR(__xludf.DUMMYFUNCTION("""COMPUTED_VALUE"""),"https://www.denverpost.com/2019/07/04/colorado-springs-shooting-victims/")</f>
        <v>https://www.denverpost.com/2019/07/04/colorado-springs-shooting-victims/</v>
      </c>
      <c r="L829" s="5"/>
      <c r="M829" s="5"/>
      <c r="N829" s="5">
        <f ca="1">IFERROR(__xludf.DUMMYFUNCTION("""COMPUTED_VALUE"""),2)</f>
        <v>2</v>
      </c>
      <c r="O829" s="5" t="str">
        <f ca="1">IFERROR(__xludf.DUMMYFUNCTION("""COMPUTED_VALUE"""),"Summer")</f>
        <v>Summer</v>
      </c>
      <c r="P829" s="5" t="str">
        <f ca="1">IFERROR(__xludf.DUMMYFUNCTION("""COMPUTED_VALUE"""),"Colorado Springs")</f>
        <v>Colorado Springs</v>
      </c>
      <c r="Q829" s="5" t="str">
        <f ca="1">IFERROR(__xludf.DUMMYFUNCTION("""COMPUTED_VALUE"""),"CO")</f>
        <v>CO</v>
      </c>
      <c r="R829" s="5" t="str">
        <f ca="1">IFERROR(__xludf.DUMMYFUNCTION("""COMPUTED_VALUE"""),"Elementary")</f>
        <v>Elementary</v>
      </c>
      <c r="S829" s="5" t="str">
        <f ca="1">IFERROR(__xludf.DUMMYFUNCTION("""COMPUTED_VALUE"""),"Football Field/Track")</f>
        <v>Football Field/Track</v>
      </c>
      <c r="T829" s="5" t="str">
        <f ca="1">IFERROR(__xludf.DUMMYFUNCTION("""COMPUTED_VALUE"""),"Outside on School Property")</f>
        <v>Outside on School Property</v>
      </c>
      <c r="U829" s="5" t="str">
        <f ca="1">IFERROR(__xludf.DUMMYFUNCTION("""COMPUTED_VALUE"""),"No")</f>
        <v>No</v>
      </c>
      <c r="V829" s="5" t="str">
        <f ca="1">IFERROR(__xludf.DUMMYFUNCTION("""COMPUTED_VALUE"""),"Night")</f>
        <v>Night</v>
      </c>
      <c r="W829" s="10">
        <f ca="1">IFERROR(__xludf.DUMMYFUNCTION("""COMPUTED_VALUE"""),0.166666666666666)</f>
        <v>0.16666666666666599</v>
      </c>
      <c r="X829" s="5">
        <f ca="1">IFERROR(__xludf.DUMMYFUNCTION("""COMPUTED_VALUE"""),1)</f>
        <v>1</v>
      </c>
      <c r="Y829" s="5" t="str">
        <f ca="1">IFERROR(__xludf.DUMMYFUNCTION("""COMPUTED_VALUE"""),"Two men shot and killed during fight between two groups on school track")</f>
        <v>Two men shot and killed during fight between two groups on school track</v>
      </c>
      <c r="Z829" s="5" t="str">
        <f ca="1">IFERROR(__xludf.DUMMYFUNCTION("""COMPUTED_VALUE"""),"18YOM and 22 YOM shot and killed during altercation between two groups of males on the track of the school. Shooter and others involved fled the scene.")</f>
        <v>18YOM and 22 YOM shot and killed during altercation between two groups of males on the track of the school. Shooter and others involved fled the scene.</v>
      </c>
      <c r="AA829" s="5" t="str">
        <f ca="1">IFERROR(__xludf.DUMMYFUNCTION("""COMPUTED_VALUE"""),"Escalation of Dispute")</f>
        <v>Escalation of Dispute</v>
      </c>
      <c r="AB829" s="5" t="str">
        <f ca="1">IFERROR(__xludf.DUMMYFUNCTION("""COMPUTED_VALUE"""),"Victims Targeted")</f>
        <v>Victims Targeted</v>
      </c>
      <c r="AC829" s="5" t="str">
        <f ca="1">IFERROR(__xludf.DUMMYFUNCTION("""COMPUTED_VALUE"""),"Yes")</f>
        <v>Yes</v>
      </c>
      <c r="AD829" s="5" t="str">
        <f ca="1">IFERROR(__xludf.DUMMYFUNCTION("""COMPUTED_VALUE"""),"No")</f>
        <v>No</v>
      </c>
      <c r="AE829" s="5" t="str">
        <f ca="1">IFERROR(__xludf.DUMMYFUNCTION("""COMPUTED_VALUE"""),"No")</f>
        <v>No</v>
      </c>
      <c r="AF829" s="5" t="str">
        <f ca="1">IFERROR(__xludf.DUMMYFUNCTION("""COMPUTED_VALUE"""),"No")</f>
        <v>No</v>
      </c>
      <c r="AG829" s="5" t="str">
        <f ca="1">IFERROR(__xludf.DUMMYFUNCTION("""COMPUTED_VALUE"""),"No")</f>
        <v>No</v>
      </c>
      <c r="AH829" s="5" t="str">
        <f ca="1">IFERROR(__xludf.DUMMYFUNCTION("""COMPUTED_VALUE"""),"No")</f>
        <v>No</v>
      </c>
      <c r="AI829" s="5" t="str">
        <f ca="1">IFERROR(__xludf.DUMMYFUNCTION("""COMPUTED_VALUE"""),"No")</f>
        <v>No</v>
      </c>
      <c r="AJ829" s="5" t="str">
        <f ca="1">IFERROR(__xludf.DUMMYFUNCTION("""COMPUTED_VALUE"""),"No")</f>
        <v>No</v>
      </c>
    </row>
    <row r="830" spans="1:36" ht="13">
      <c r="A830" s="5" t="str">
        <f ca="1">IFERROR(__xludf.DUMMYFUNCTION("""COMPUTED_VALUE"""),"20190621MICAF")</f>
        <v>20190621MICAF</v>
      </c>
      <c r="B830" s="5">
        <f ca="1">IFERROR(__xludf.DUMMYFUNCTION("""COMPUTED_VALUE"""),6)</f>
        <v>6</v>
      </c>
      <c r="C830" s="5">
        <f ca="1">IFERROR(__xludf.DUMMYFUNCTION("""COMPUTED_VALUE"""),21)</f>
        <v>21</v>
      </c>
      <c r="D830" s="5">
        <f ca="1">IFERROR(__xludf.DUMMYFUNCTION("""COMPUTED_VALUE"""),2019)</f>
        <v>2019</v>
      </c>
      <c r="E830" s="8">
        <f ca="1">IFERROR(__xludf.DUMMYFUNCTION("""COMPUTED_VALUE"""),43637)</f>
        <v>43637</v>
      </c>
      <c r="F830" s="5" t="str">
        <f ca="1">IFERROR(__xludf.DUMMYFUNCTION("""COMPUTED_VALUE"""),"Carman-Ainsworth High School")</f>
        <v>Carman-Ainsworth High School</v>
      </c>
      <c r="G830" s="5">
        <f ca="1">IFERROR(__xludf.DUMMYFUNCTION("""COMPUTED_VALUE"""),0)</f>
        <v>0</v>
      </c>
      <c r="H830" s="5">
        <f ca="1">IFERROR(__xludf.DUMMYFUNCTION("""COMPUTED_VALUE"""),1)</f>
        <v>1</v>
      </c>
      <c r="I830" s="5">
        <f ca="1">IFERROR(__xludf.DUMMYFUNCTION("""COMPUTED_VALUE"""),1)</f>
        <v>1</v>
      </c>
      <c r="J830" s="5">
        <f ca="1">IFERROR(__xludf.DUMMYFUNCTION("""COMPUTED_VALUE"""),0)</f>
        <v>0</v>
      </c>
      <c r="K830" s="5" t="str">
        <f ca="1">IFERROR(__xludf.DUMMYFUNCTION("""COMPUTED_VALUE"""),"https://nbc25news.com/news/local/one-person-shot-during-baseball-game-at-carman-ainsworth-high-school https://www.abc12.com/content/news/At-least-One-Shot-Outside-Carman-Ainsworth-High-School-Basketball-Game-511657762.html")</f>
        <v>https://nbc25news.com/news/local/one-person-shot-during-baseball-game-at-carman-ainsworth-high-school https://www.abc12.com/content/news/At-least-One-Shot-Outside-Carman-Ainsworth-High-School-Basketball-Game-511657762.html</v>
      </c>
      <c r="L830" s="5"/>
      <c r="M830" s="5"/>
      <c r="N830" s="5">
        <f ca="1">IFERROR(__xludf.DUMMYFUNCTION("""COMPUTED_VALUE"""),4)</f>
        <v>4</v>
      </c>
      <c r="O830" s="5" t="str">
        <f ca="1">IFERROR(__xludf.DUMMYFUNCTION("""COMPUTED_VALUE"""),"Summer")</f>
        <v>Summer</v>
      </c>
      <c r="P830" s="5" t="str">
        <f ca="1">IFERROR(__xludf.DUMMYFUNCTION("""COMPUTED_VALUE"""),"Flint Township")</f>
        <v>Flint Township</v>
      </c>
      <c r="Q830" s="5" t="str">
        <f ca="1">IFERROR(__xludf.DUMMYFUNCTION("""COMPUTED_VALUE"""),"MI")</f>
        <v>MI</v>
      </c>
      <c r="R830" s="5" t="str">
        <f ca="1">IFERROR(__xludf.DUMMYFUNCTION("""COMPUTED_VALUE"""),"High")</f>
        <v>High</v>
      </c>
      <c r="S830" s="5" t="str">
        <f ca="1">IFERROR(__xludf.DUMMYFUNCTION("""COMPUTED_VALUE"""),"Beside Building")</f>
        <v>Beside Building</v>
      </c>
      <c r="T830" s="5" t="str">
        <f ca="1">IFERROR(__xludf.DUMMYFUNCTION("""COMPUTED_VALUE"""),"Outside on School Property")</f>
        <v>Outside on School Property</v>
      </c>
      <c r="U830" s="5" t="str">
        <f ca="1">IFERROR(__xludf.DUMMYFUNCTION("""COMPUTED_VALUE"""),"No")</f>
        <v>No</v>
      </c>
      <c r="V830" s="5" t="str">
        <f ca="1">IFERROR(__xludf.DUMMYFUNCTION("""COMPUTED_VALUE"""),"Sport Event")</f>
        <v>Sport Event</v>
      </c>
      <c r="W830" s="10">
        <f ca="1">IFERROR(__xludf.DUMMYFUNCTION("""COMPUTED_VALUE"""),0.814583333333333)</f>
        <v>0.81458333333333299</v>
      </c>
      <c r="X830" s="5">
        <f ca="1">IFERROR(__xludf.DUMMYFUNCTION("""COMPUTED_VALUE"""),1)</f>
        <v>1</v>
      </c>
      <c r="Y830" s="5" t="str">
        <f ca="1">IFERROR(__xludf.DUMMYFUNCTION("""COMPUTED_VALUE"""),"15YOM male shot during fight involving 50 people at basketball game")</f>
        <v>15YOM male shot during fight involving 50 people at basketball game</v>
      </c>
      <c r="Z830" s="5" t="str">
        <f ca="1">IFERROR(__xludf.DUMMYFUNCTION("""COMPUTED_VALUE"""),"Dispute following basketball game led to fight involving 50 people outside of the gym locker room. Fight continued into school parking lot where 15YOM was shot in the chest and critically injured. Teen who was shot did not appear to be targeted victim. A "&amp;"school play was being performed at the time of the shooting and the auditorium was placed on lockdown.")</f>
        <v>Dispute following basketball game led to fight involving 50 people outside of the gym locker room. Fight continued into school parking lot where 15YOM was shot in the chest and critically injured. Teen who was shot did not appear to be targeted victim. A school play was being performed at the time of the shooting and the auditorium was placed on lockdown.</v>
      </c>
      <c r="AA830" s="5" t="str">
        <f ca="1">IFERROR(__xludf.DUMMYFUNCTION("""COMPUTED_VALUE"""),"Escalation of Dispute")</f>
        <v>Escalation of Dispute</v>
      </c>
      <c r="AB830" s="5"/>
      <c r="AC830" s="5"/>
      <c r="AD830" s="5" t="str">
        <f ca="1">IFERROR(__xludf.DUMMYFUNCTION("""COMPUTED_VALUE"""),"No")</f>
        <v>No</v>
      </c>
      <c r="AE830" s="5" t="str">
        <f ca="1">IFERROR(__xludf.DUMMYFUNCTION("""COMPUTED_VALUE"""),"No")</f>
        <v>No</v>
      </c>
      <c r="AF830" s="5" t="str">
        <f ca="1">IFERROR(__xludf.DUMMYFUNCTION("""COMPUTED_VALUE"""),"No")</f>
        <v>No</v>
      </c>
      <c r="AG830" s="5" t="str">
        <f ca="1">IFERROR(__xludf.DUMMYFUNCTION("""COMPUTED_VALUE"""),"No")</f>
        <v>No</v>
      </c>
      <c r="AH830" s="5" t="str">
        <f ca="1">IFERROR(__xludf.DUMMYFUNCTION("""COMPUTED_VALUE"""),"No")</f>
        <v>No</v>
      </c>
      <c r="AI830" s="5" t="str">
        <f ca="1">IFERROR(__xludf.DUMMYFUNCTION("""COMPUTED_VALUE"""),"No")</f>
        <v>No</v>
      </c>
      <c r="AJ830" s="5" t="str">
        <f ca="1">IFERROR(__xludf.DUMMYFUNCTION("""COMPUTED_VALUE"""),"No")</f>
        <v>No</v>
      </c>
    </row>
    <row r="831" spans="1:36" ht="13">
      <c r="A831" s="5" t="str">
        <f ca="1">IFERROR(__xludf.DUMMYFUNCTION("""COMPUTED_VALUE"""),"20190613NJTAW")</f>
        <v>20190613NJTAW</v>
      </c>
      <c r="B831" s="5">
        <f ca="1">IFERROR(__xludf.DUMMYFUNCTION("""COMPUTED_VALUE"""),6)</f>
        <v>6</v>
      </c>
      <c r="C831" s="5">
        <f ca="1">IFERROR(__xludf.DUMMYFUNCTION("""COMPUTED_VALUE"""),13)</f>
        <v>13</v>
      </c>
      <c r="D831" s="5">
        <f ca="1">IFERROR(__xludf.DUMMYFUNCTION("""COMPUTED_VALUE"""),2019)</f>
        <v>2019</v>
      </c>
      <c r="E831" s="8">
        <f ca="1">IFERROR(__xludf.DUMMYFUNCTION("""COMPUTED_VALUE"""),43629)</f>
        <v>43629</v>
      </c>
      <c r="F831" s="5" t="str">
        <f ca="1">IFERROR(__xludf.DUMMYFUNCTION("""COMPUTED_VALUE"""),"Tamaques Elementary School")</f>
        <v>Tamaques Elementary School</v>
      </c>
      <c r="G831" s="5">
        <f ca="1">IFERROR(__xludf.DUMMYFUNCTION("""COMPUTED_VALUE"""),0)</f>
        <v>0</v>
      </c>
      <c r="H831" s="5">
        <f ca="1">IFERROR(__xludf.DUMMYFUNCTION("""COMPUTED_VALUE"""),0)</f>
        <v>0</v>
      </c>
      <c r="I831" s="5">
        <f ca="1">IFERROR(__xludf.DUMMYFUNCTION("""COMPUTED_VALUE"""),0)</f>
        <v>0</v>
      </c>
      <c r="J831" s="5">
        <f ca="1">IFERROR(__xludf.DUMMYFUNCTION("""COMPUTED_VALUE"""),0)</f>
        <v>0</v>
      </c>
      <c r="K831" s="9" t="str">
        <f ca="1">IFERROR(__xludf.DUMMYFUNCTION("""COMPUTED_VALUE"""),"https://6abc.com/police-del-man-found-holding-loaded-gun-outside-nj-elementary-school/5346847/")</f>
        <v>https://6abc.com/police-del-man-found-holding-loaded-gun-outside-nj-elementary-school/5346847/</v>
      </c>
      <c r="L831" s="5"/>
      <c r="M831" s="5"/>
      <c r="N831" s="5">
        <f ca="1">IFERROR(__xludf.DUMMYFUNCTION("""COMPUTED_VALUE"""),3)</f>
        <v>3</v>
      </c>
      <c r="O831" s="5" t="str">
        <f ca="1">IFERROR(__xludf.DUMMYFUNCTION("""COMPUTED_VALUE"""),"Summer")</f>
        <v>Summer</v>
      </c>
      <c r="P831" s="5" t="str">
        <f ca="1">IFERROR(__xludf.DUMMYFUNCTION("""COMPUTED_VALUE"""),"Westfield")</f>
        <v>Westfield</v>
      </c>
      <c r="Q831" s="5" t="str">
        <f ca="1">IFERROR(__xludf.DUMMYFUNCTION("""COMPUTED_VALUE"""),"NJ")</f>
        <v>NJ</v>
      </c>
      <c r="R831" s="5" t="str">
        <f ca="1">IFERROR(__xludf.DUMMYFUNCTION("""COMPUTED_VALUE"""),"Elementary")</f>
        <v>Elementary</v>
      </c>
      <c r="S831" s="5" t="str">
        <f ca="1">IFERROR(__xludf.DUMMYFUNCTION("""COMPUTED_VALUE"""),"Parking Lot")</f>
        <v>Parking Lot</v>
      </c>
      <c r="T831" s="5" t="str">
        <f ca="1">IFERROR(__xludf.DUMMYFUNCTION("""COMPUTED_VALUE"""),"Outside on School Property")</f>
        <v>Outside on School Property</v>
      </c>
      <c r="U831" s="5" t="str">
        <f ca="1">IFERROR(__xludf.DUMMYFUNCTION("""COMPUTED_VALUE"""),"No")</f>
        <v>No</v>
      </c>
      <c r="V831" s="5" t="str">
        <f ca="1">IFERROR(__xludf.DUMMYFUNCTION("""COMPUTED_VALUE"""),"After School")</f>
        <v>After School</v>
      </c>
      <c r="W831" s="10">
        <f ca="1">IFERROR(__xludf.DUMMYFUNCTION("""COMPUTED_VALUE"""),0.663194444444444)</f>
        <v>0.66319444444444398</v>
      </c>
      <c r="X831" s="5">
        <f ca="1">IFERROR(__xludf.DUMMYFUNCTION("""COMPUTED_VALUE"""),1)</f>
        <v>1</v>
      </c>
      <c r="Y831" s="5" t="str">
        <f ca="1">IFERROR(__xludf.DUMMYFUNCTION("""COMPUTED_VALUE"""),"Man arrested in school parking lot after tip holding pistol with 130 rounds of ammo")</f>
        <v>Man arrested in school parking lot after tip holding pistol with 130 rounds of ammo</v>
      </c>
      <c r="Z831" s="5" t="str">
        <f ca="1">IFERROR(__xludf.DUMMYFUNCTION("""COMPUTED_VALUE"""),"Police received a tip about a man headed to a school with a gun. Police found a 46YOM in the parking lot holding a handgun with 2 additional magazines and 130 rounds of ammo. The gunman surrendered to police without firing any shots. School had dismissed "&amp;"for day but was locked down. Motive unknown. Suspect lived +110 miles away from the school in Bear, DE. Connection to school unknown.")</f>
        <v>Police received a tip about a man headed to a school with a gun. Police found a 46YOM in the parking lot holding a handgun with 2 additional magazines and 130 rounds of ammo. The gunman surrendered to police without firing any shots. School had dismissed for day but was locked down. Motive unknown. Suspect lived +110 miles away from the school in Bear, DE. Connection to school unknown.</v>
      </c>
      <c r="AA831" s="5" t="str">
        <f ca="1">IFERROR(__xludf.DUMMYFUNCTION("""COMPUTED_VALUE"""),"Indiscriminate Shooting")</f>
        <v>Indiscriminate Shooting</v>
      </c>
      <c r="AB831" s="5"/>
      <c r="AC831" s="5" t="str">
        <f ca="1">IFERROR(__xludf.DUMMYFUNCTION("""COMPUTED_VALUE"""),"No")</f>
        <v>No</v>
      </c>
      <c r="AD831" s="5" t="str">
        <f ca="1">IFERROR(__xludf.DUMMYFUNCTION("""COMPUTED_VALUE"""),"No")</f>
        <v>No</v>
      </c>
      <c r="AE831" s="5" t="str">
        <f ca="1">IFERROR(__xludf.DUMMYFUNCTION("""COMPUTED_VALUE"""),"No")</f>
        <v>No</v>
      </c>
      <c r="AF831" s="5" t="str">
        <f ca="1">IFERROR(__xludf.DUMMYFUNCTION("""COMPUTED_VALUE"""),"No")</f>
        <v>No</v>
      </c>
      <c r="AG831" s="5" t="str">
        <f ca="1">IFERROR(__xludf.DUMMYFUNCTION("""COMPUTED_VALUE"""),"No")</f>
        <v>No</v>
      </c>
      <c r="AH831" s="5"/>
      <c r="AI831" s="5" t="str">
        <f ca="1">IFERROR(__xludf.DUMMYFUNCTION("""COMPUTED_VALUE"""),"No")</f>
        <v>No</v>
      </c>
      <c r="AJ831" s="5" t="str">
        <f ca="1">IFERROR(__xludf.DUMMYFUNCTION("""COMPUTED_VALUE"""),"No")</f>
        <v>No</v>
      </c>
    </row>
    <row r="832" spans="1:36" ht="13">
      <c r="A832" s="5" t="str">
        <f ca="1">IFERROR(__xludf.DUMMYFUNCTION("""COMPUTED_VALUE"""),"20190612PAJEE")</f>
        <v>20190612PAJEE</v>
      </c>
      <c r="B832" s="5">
        <f ca="1">IFERROR(__xludf.DUMMYFUNCTION("""COMPUTED_VALUE"""),6)</f>
        <v>6</v>
      </c>
      <c r="C832" s="5">
        <f ca="1">IFERROR(__xludf.DUMMYFUNCTION("""COMPUTED_VALUE"""),12)</f>
        <v>12</v>
      </c>
      <c r="D832" s="5">
        <f ca="1">IFERROR(__xludf.DUMMYFUNCTION("""COMPUTED_VALUE"""),2019)</f>
        <v>2019</v>
      </c>
      <c r="E832" s="8">
        <f ca="1">IFERROR(__xludf.DUMMYFUNCTION("""COMPUTED_VALUE"""),43628)</f>
        <v>43628</v>
      </c>
      <c r="F832" s="5" t="str">
        <f ca="1">IFERROR(__xludf.DUMMYFUNCTION("""COMPUTED_VALUE"""),"Jefferson Elementary School")</f>
        <v>Jefferson Elementary School</v>
      </c>
      <c r="G832" s="5">
        <f ca="1">IFERROR(__xludf.DUMMYFUNCTION("""COMPUTED_VALUE"""),0)</f>
        <v>0</v>
      </c>
      <c r="H832" s="5">
        <f ca="1">IFERROR(__xludf.DUMMYFUNCTION("""COMPUTED_VALUE"""),0)</f>
        <v>0</v>
      </c>
      <c r="I832" s="5">
        <f ca="1">IFERROR(__xludf.DUMMYFUNCTION("""COMPUTED_VALUE"""),0)</f>
        <v>0</v>
      </c>
      <c r="J832" s="5">
        <f ca="1">IFERROR(__xludf.DUMMYFUNCTION("""COMPUTED_VALUE"""),0)</f>
        <v>0</v>
      </c>
      <c r="K832" s="9" t="str">
        <f ca="1">IFERROR(__xludf.DUMMYFUNCTION("""COMPUTED_VALUE"""),"https://www.mcall.com/news/police/mc-nws-emmaus-shooting-conspiracy-prelim-20200110-2setspazpzapxmcnt7ljuyvfx4-story.html")</f>
        <v>https://www.mcall.com/news/police/mc-nws-emmaus-shooting-conspiracy-prelim-20200110-2setspazpzapxmcnt7ljuyvfx4-story.html</v>
      </c>
      <c r="L832" s="5"/>
      <c r="M832" s="5"/>
      <c r="N832" s="5">
        <f ca="1">IFERROR(__xludf.DUMMYFUNCTION("""COMPUTED_VALUE"""),4)</f>
        <v>4</v>
      </c>
      <c r="O832" s="5" t="str">
        <f ca="1">IFERROR(__xludf.DUMMYFUNCTION("""COMPUTED_VALUE"""),"Summer")</f>
        <v>Summer</v>
      </c>
      <c r="P832" s="5" t="str">
        <f ca="1">IFERROR(__xludf.DUMMYFUNCTION("""COMPUTED_VALUE"""),"Emmaus")</f>
        <v>Emmaus</v>
      </c>
      <c r="Q832" s="5" t="str">
        <f ca="1">IFERROR(__xludf.DUMMYFUNCTION("""COMPUTED_VALUE"""),"PA")</f>
        <v>PA</v>
      </c>
      <c r="R832" s="5" t="str">
        <f ca="1">IFERROR(__xludf.DUMMYFUNCTION("""COMPUTED_VALUE"""),"Elementary")</f>
        <v>Elementary</v>
      </c>
      <c r="S832" s="5" t="str">
        <f ca="1">IFERROR(__xludf.DUMMYFUNCTION("""COMPUTED_VALUE"""),"Parking Lot")</f>
        <v>Parking Lot</v>
      </c>
      <c r="T832" s="5" t="str">
        <f ca="1">IFERROR(__xludf.DUMMYFUNCTION("""COMPUTED_VALUE"""),"Outside on School Property")</f>
        <v>Outside on School Property</v>
      </c>
      <c r="U832" s="5" t="str">
        <f ca="1">IFERROR(__xludf.DUMMYFUNCTION("""COMPUTED_VALUE"""),"No")</f>
        <v>No</v>
      </c>
      <c r="V832" s="5" t="str">
        <f ca="1">IFERROR(__xludf.DUMMYFUNCTION("""COMPUTED_VALUE"""),"Night")</f>
        <v>Night</v>
      </c>
      <c r="W832" s="10">
        <f ca="1">IFERROR(__xludf.DUMMYFUNCTION("""COMPUTED_VALUE"""),0.95)</f>
        <v>0.95</v>
      </c>
      <c r="X832" s="5">
        <f ca="1">IFERROR(__xludf.DUMMYFUNCTION("""COMPUTED_VALUE"""),1)</f>
        <v>1</v>
      </c>
      <c r="Y832" s="5" t="str">
        <f ca="1">IFERROR(__xludf.DUMMYFUNCTION("""COMPUTED_VALUE"""),"Targeted domestic shooting in school parking lot")</f>
        <v>Targeted domestic shooting in school parking lot</v>
      </c>
      <c r="Z832" s="5" t="str">
        <f ca="1">IFERROR(__xludf.DUMMYFUNCTION("""COMPUTED_VALUE"""),"18YOF told ex-boyfriend (18YOM) to meet her in school parking lot. While waiting in the vehicle, a 16YOM shot him in a targeted shooting and fled. The intended victim and 2 other males were inside the vehicle but all of the shots missed them. 18YOF and 16"&amp;"YOM charged with murder and conspiracy.")</f>
        <v>18YOF told ex-boyfriend (18YOM) to meet her in school parking lot. While waiting in the vehicle, a 16YOM shot him in a targeted shooting and fled. The intended victim and 2 other males were inside the vehicle but all of the shots missed them. 18YOF and 16YOM charged with murder and conspiracy.</v>
      </c>
      <c r="AA832" s="5" t="str">
        <f ca="1">IFERROR(__xludf.DUMMYFUNCTION("""COMPUTED_VALUE"""),"Domestic w/ Targeted Victim")</f>
        <v>Domestic w/ Targeted Victim</v>
      </c>
      <c r="AB832" s="5" t="str">
        <f ca="1">IFERROR(__xludf.DUMMYFUNCTION("""COMPUTED_VALUE"""),"Victims Targeted")</f>
        <v>Victims Targeted</v>
      </c>
      <c r="AC832" s="5" t="str">
        <f ca="1">IFERROR(__xludf.DUMMYFUNCTION("""COMPUTED_VALUE"""),"Yes")</f>
        <v>Yes</v>
      </c>
      <c r="AD832" s="5" t="str">
        <f ca="1">IFERROR(__xludf.DUMMYFUNCTION("""COMPUTED_VALUE"""),"No")</f>
        <v>No</v>
      </c>
      <c r="AE832" s="5" t="str">
        <f ca="1">IFERROR(__xludf.DUMMYFUNCTION("""COMPUTED_VALUE"""),"No")</f>
        <v>No</v>
      </c>
      <c r="AF832" s="5" t="str">
        <f ca="1">IFERROR(__xludf.DUMMYFUNCTION("""COMPUTED_VALUE"""),"No")</f>
        <v>No</v>
      </c>
      <c r="AG832" s="5" t="str">
        <f ca="1">IFERROR(__xludf.DUMMYFUNCTION("""COMPUTED_VALUE"""),"No")</f>
        <v>No</v>
      </c>
      <c r="AH832" s="5" t="str">
        <f ca="1">IFERROR(__xludf.DUMMYFUNCTION("""COMPUTED_VALUE"""),"Yes")</f>
        <v>Yes</v>
      </c>
      <c r="AI832" s="5" t="str">
        <f ca="1">IFERROR(__xludf.DUMMYFUNCTION("""COMPUTED_VALUE"""),"No")</f>
        <v>No</v>
      </c>
      <c r="AJ832" s="5" t="str">
        <f ca="1">IFERROR(__xludf.DUMMYFUNCTION("""COMPUTED_VALUE"""),"No")</f>
        <v>No</v>
      </c>
    </row>
    <row r="833" spans="1:36" ht="13">
      <c r="A833" s="5" t="str">
        <f ca="1">IFERROR(__xludf.DUMMYFUNCTION("""COMPUTED_VALUE"""),"20190612DCHEW")</f>
        <v>20190612DCHEW</v>
      </c>
      <c r="B833" s="5">
        <f ca="1">IFERROR(__xludf.DUMMYFUNCTION("""COMPUTED_VALUE"""),6)</f>
        <v>6</v>
      </c>
      <c r="C833" s="5">
        <f ca="1">IFERROR(__xludf.DUMMYFUNCTION("""COMPUTED_VALUE"""),12)</f>
        <v>12</v>
      </c>
      <c r="D833" s="5">
        <f ca="1">IFERROR(__xludf.DUMMYFUNCTION("""COMPUTED_VALUE"""),2019)</f>
        <v>2019</v>
      </c>
      <c r="E833" s="8">
        <f ca="1">IFERROR(__xludf.DUMMYFUNCTION("""COMPUTED_VALUE"""),43628)</f>
        <v>43628</v>
      </c>
      <c r="F833" s="5" t="str">
        <f ca="1">IFERROR(__xludf.DUMMYFUNCTION("""COMPUTED_VALUE"""),"Hendley Elementary School")</f>
        <v>Hendley Elementary School</v>
      </c>
      <c r="G833" s="5">
        <f ca="1">IFERROR(__xludf.DUMMYFUNCTION("""COMPUTED_VALUE"""),0)</f>
        <v>0</v>
      </c>
      <c r="H833" s="5">
        <f ca="1">IFERROR(__xludf.DUMMYFUNCTION("""COMPUTED_VALUE"""),0)</f>
        <v>0</v>
      </c>
      <c r="I833" s="5">
        <f ca="1">IFERROR(__xludf.DUMMYFUNCTION("""COMPUTED_VALUE"""),0)</f>
        <v>0</v>
      </c>
      <c r="J833" s="5">
        <f ca="1">IFERROR(__xludf.DUMMYFUNCTION("""COMPUTED_VALUE"""),0)</f>
        <v>0</v>
      </c>
      <c r="K833" s="5" t="str">
        <f ca="1">IFERROR(__xludf.DUMMYFUNCTION("""COMPUTED_VALUE"""),"https://wjla.com/news/local/dc-elementary-school-shot-again https://www.wusa9.com/article/news/local/dc/second-shooting-in-2-weeks-puts-hendley-elementary-school-on-lockdown/65-8fb8eb51-57b8-498d-9853-09706af10dc2")</f>
        <v>https://wjla.com/news/local/dc-elementary-school-shot-again https://www.wusa9.com/article/news/local/dc/second-shooting-in-2-weeks-puts-hendley-elementary-school-on-lockdown/65-8fb8eb51-57b8-498d-9853-09706af10dc2</v>
      </c>
      <c r="L833" s="5"/>
      <c r="M833" s="5"/>
      <c r="N833" s="5">
        <f ca="1">IFERROR(__xludf.DUMMYFUNCTION("""COMPUTED_VALUE"""),3)</f>
        <v>3</v>
      </c>
      <c r="O833" s="5" t="str">
        <f ca="1">IFERROR(__xludf.DUMMYFUNCTION("""COMPUTED_VALUE"""),"Summer")</f>
        <v>Summer</v>
      </c>
      <c r="P833" s="5" t="str">
        <f ca="1">IFERROR(__xludf.DUMMYFUNCTION("""COMPUTED_VALUE"""),"Washington")</f>
        <v>Washington</v>
      </c>
      <c r="Q833" s="5" t="str">
        <f ca="1">IFERROR(__xludf.DUMMYFUNCTION("""COMPUTED_VALUE"""),"DC")</f>
        <v>DC</v>
      </c>
      <c r="R833" s="5" t="str">
        <f ca="1">IFERROR(__xludf.DUMMYFUNCTION("""COMPUTED_VALUE"""),"Elementary")</f>
        <v>Elementary</v>
      </c>
      <c r="S833" s="5" t="str">
        <f ca="1">IFERROR(__xludf.DUMMYFUNCTION("""COMPUTED_VALUE"""),"Front of School")</f>
        <v>Front of School</v>
      </c>
      <c r="T833" s="5" t="str">
        <f ca="1">IFERROR(__xludf.DUMMYFUNCTION("""COMPUTED_VALUE"""),"Off School Property")</f>
        <v>Off School Property</v>
      </c>
      <c r="U833" s="5" t="str">
        <f ca="1">IFERROR(__xludf.DUMMYFUNCTION("""COMPUTED_VALUE"""),"No")</f>
        <v>No</v>
      </c>
      <c r="V833" s="5" t="str">
        <f ca="1">IFERROR(__xludf.DUMMYFUNCTION("""COMPUTED_VALUE"""),"School Event")</f>
        <v>School Event</v>
      </c>
      <c r="W833" s="10">
        <f ca="1">IFERROR(__xludf.DUMMYFUNCTION("""COMPUTED_VALUE"""),0.680555555555555)</f>
        <v>0.68055555555555503</v>
      </c>
      <c r="X833" s="5">
        <f ca="1">IFERROR(__xludf.DUMMYFUNCTION("""COMPUTED_VALUE"""),1)</f>
        <v>1</v>
      </c>
      <c r="Y833" s="5" t="str">
        <f ca="1">IFERROR(__xludf.DUMMYFUNCTION("""COMPUTED_VALUE"""),"Gang related shooting outside of school. Shots struck occupied school building and broke windows. Students and staff locked down.")</f>
        <v>Gang related shooting outside of school. Shots struck occupied school building and broke windows. Students and staff locked down.</v>
      </c>
      <c r="Z833" s="5" t="str">
        <f ca="1">IFERROR(__xludf.DUMMYFUNCTION("""COMPUTED_VALUE"""),"Shots fired during a gang related incident outside of the school struck the school building and broke windows. Students and staff were at the school for movie night. School was locked down.")</f>
        <v>Shots fired during a gang related incident outside of the school struck the school building and broke windows. Students and staff were at the school for movie night. School was locked down.</v>
      </c>
      <c r="AA833" s="5" t="str">
        <f ca="1">IFERROR(__xludf.DUMMYFUNCTION("""COMPUTED_VALUE"""),"Escalation of Dispute")</f>
        <v>Escalation of Dispute</v>
      </c>
      <c r="AB833" s="5"/>
      <c r="AC833" s="5"/>
      <c r="AD833" s="5" t="str">
        <f ca="1">IFERROR(__xludf.DUMMYFUNCTION("""COMPUTED_VALUE"""),"No")</f>
        <v>No</v>
      </c>
      <c r="AE833" s="5" t="str">
        <f ca="1">IFERROR(__xludf.DUMMYFUNCTION("""COMPUTED_VALUE"""),"No")</f>
        <v>No</v>
      </c>
      <c r="AF833" s="5" t="str">
        <f ca="1">IFERROR(__xludf.DUMMYFUNCTION("""COMPUTED_VALUE"""),"No")</f>
        <v>No</v>
      </c>
      <c r="AG833" s="5" t="str">
        <f ca="1">IFERROR(__xludf.DUMMYFUNCTION("""COMPUTED_VALUE"""),"No")</f>
        <v>No</v>
      </c>
      <c r="AH833" s="5" t="str">
        <f ca="1">IFERROR(__xludf.DUMMYFUNCTION("""COMPUTED_VALUE"""),"No")</f>
        <v>No</v>
      </c>
      <c r="AI833" s="5" t="str">
        <f ca="1">IFERROR(__xludf.DUMMYFUNCTION("""COMPUTED_VALUE"""),"Yes")</f>
        <v>Yes</v>
      </c>
      <c r="AJ833" s="5" t="str">
        <f ca="1">IFERROR(__xludf.DUMMYFUNCTION("""COMPUTED_VALUE"""),"No")</f>
        <v>No</v>
      </c>
    </row>
    <row r="834" spans="1:36" ht="13">
      <c r="A834" s="5" t="str">
        <f ca="1">IFERROR(__xludf.DUMMYFUNCTION("""COMPUTED_VALUE"""),"20190610ILMEW")</f>
        <v>20190610ILMEW</v>
      </c>
      <c r="B834" s="5">
        <f ca="1">IFERROR(__xludf.DUMMYFUNCTION("""COMPUTED_VALUE"""),6)</f>
        <v>6</v>
      </c>
      <c r="C834" s="5">
        <f ca="1">IFERROR(__xludf.DUMMYFUNCTION("""COMPUTED_VALUE"""),10)</f>
        <v>10</v>
      </c>
      <c r="D834" s="5">
        <f ca="1">IFERROR(__xludf.DUMMYFUNCTION("""COMPUTED_VALUE"""),2019)</f>
        <v>2019</v>
      </c>
      <c r="E834" s="8">
        <f ca="1">IFERROR(__xludf.DUMMYFUNCTION("""COMPUTED_VALUE"""),43626)</f>
        <v>43626</v>
      </c>
      <c r="F834" s="5" t="str">
        <f ca="1">IFERROR(__xludf.DUMMYFUNCTION("""COMPUTED_VALUE"""),"Menta Academy North")</f>
        <v>Menta Academy North</v>
      </c>
      <c r="G834" s="5">
        <f ca="1">IFERROR(__xludf.DUMMYFUNCTION("""COMPUTED_VALUE"""),0)</f>
        <v>0</v>
      </c>
      <c r="H834" s="5">
        <f ca="1">IFERROR(__xludf.DUMMYFUNCTION("""COMPUTED_VALUE"""),1)</f>
        <v>1</v>
      </c>
      <c r="I834" s="5">
        <f ca="1">IFERROR(__xludf.DUMMYFUNCTION("""COMPUTED_VALUE"""),1)</f>
        <v>1</v>
      </c>
      <c r="J834" s="5">
        <f ca="1">IFERROR(__xludf.DUMMYFUNCTION("""COMPUTED_VALUE"""),0)</f>
        <v>0</v>
      </c>
      <c r="K834" s="9" t="str">
        <f ca="1">IFERROR(__xludf.DUMMYFUNCTION("""COMPUTED_VALUE"""),"https://www.chicagotribune.com/suburbs/lake-county-news-sun/news/ct-lns-waukegan-shooting-arrests-blotter-st-0612-story.html")</f>
        <v>https://www.chicagotribune.com/suburbs/lake-county-news-sun/news/ct-lns-waukegan-shooting-arrests-blotter-st-0612-story.html</v>
      </c>
      <c r="L834" s="5"/>
      <c r="M834" s="5"/>
      <c r="N834" s="5">
        <f ca="1">IFERROR(__xludf.DUMMYFUNCTION("""COMPUTED_VALUE"""),4)</f>
        <v>4</v>
      </c>
      <c r="O834" s="5" t="str">
        <f ca="1">IFERROR(__xludf.DUMMYFUNCTION("""COMPUTED_VALUE"""),"Summer")</f>
        <v>Summer</v>
      </c>
      <c r="P834" s="5" t="str">
        <f ca="1">IFERROR(__xludf.DUMMYFUNCTION("""COMPUTED_VALUE"""),"Waukegan")</f>
        <v>Waukegan</v>
      </c>
      <c r="Q834" s="5" t="str">
        <f ca="1">IFERROR(__xludf.DUMMYFUNCTION("""COMPUTED_VALUE"""),"IL")</f>
        <v>IL</v>
      </c>
      <c r="R834" s="5" t="str">
        <f ca="1">IFERROR(__xludf.DUMMYFUNCTION("""COMPUTED_VALUE"""),"Other")</f>
        <v>Other</v>
      </c>
      <c r="S834" s="5" t="str">
        <f ca="1">IFERROR(__xludf.DUMMYFUNCTION("""COMPUTED_VALUE"""),"Front of School")</f>
        <v>Front of School</v>
      </c>
      <c r="T834" s="5" t="str">
        <f ca="1">IFERROR(__xludf.DUMMYFUNCTION("""COMPUTED_VALUE"""),"Inside School Building")</f>
        <v>Inside School Building</v>
      </c>
      <c r="U834" s="5" t="str">
        <f ca="1">IFERROR(__xludf.DUMMYFUNCTION("""COMPUTED_VALUE"""),"Yes")</f>
        <v>Yes</v>
      </c>
      <c r="V834" s="5" t="str">
        <f ca="1">IFERROR(__xludf.DUMMYFUNCTION("""COMPUTED_VALUE"""),"Afternoon Classes")</f>
        <v>Afternoon Classes</v>
      </c>
      <c r="W834" s="10">
        <f ca="1">IFERROR(__xludf.DUMMYFUNCTION("""COMPUTED_VALUE"""),0.572916666666666)</f>
        <v>0.57291666666666596</v>
      </c>
      <c r="X834" s="5">
        <f ca="1">IFERROR(__xludf.DUMMYFUNCTION("""COMPUTED_VALUE"""),1)</f>
        <v>1</v>
      </c>
      <c r="Y834" s="5" t="str">
        <f ca="1">IFERROR(__xludf.DUMMYFUNCTION("""COMPUTED_VALUE"""),"Adult male and teen fired shots at each other outside of school following argument, bullets struck occupied school building")</f>
        <v>Adult male and teen fired shots at each other outside of school following argument, bullets struck occupied school building</v>
      </c>
      <c r="Z834" s="5" t="str">
        <f ca="1">IFERROR(__xludf.DUMMYFUNCTION("""COMPUTED_VALUE"""),"27 YOM and 15YOM male fired shots at each other following an argument outside of the school. Neither were associated with the school. Bullets struck the occupied school building. School was locked down. An off-duty police officer working security at the s"&amp;"chool assisted with the lockdown. 27YOM was injured by gunshot and arrested at the scene. 15YOM fled and was later arrested.")</f>
        <v>27 YOM and 15YOM male fired shots at each other following an argument outside of the school. Neither were associated with the school. Bullets struck the occupied school building. School was locked down. An off-duty police officer working security at the school assisted with the lockdown. 27YOM was injured by gunshot and arrested at the scene. 15YOM fled and was later arrested.</v>
      </c>
      <c r="AA834" s="5" t="str">
        <f ca="1">IFERROR(__xludf.DUMMYFUNCTION("""COMPUTED_VALUE"""),"Escalation of Dispute")</f>
        <v>Escalation of Dispute</v>
      </c>
      <c r="AB834" s="5" t="str">
        <f ca="1">IFERROR(__xludf.DUMMYFUNCTION("""COMPUTED_VALUE"""),"Victims Targeted")</f>
        <v>Victims Targeted</v>
      </c>
      <c r="AC834" s="5" t="str">
        <f ca="1">IFERROR(__xludf.DUMMYFUNCTION("""COMPUTED_VALUE"""),"No")</f>
        <v>No</v>
      </c>
      <c r="AD834" s="5" t="str">
        <f ca="1">IFERROR(__xludf.DUMMYFUNCTION("""COMPUTED_VALUE"""),"No")</f>
        <v>No</v>
      </c>
      <c r="AE834" s="5" t="str">
        <f ca="1">IFERROR(__xludf.DUMMYFUNCTION("""COMPUTED_VALUE"""),"No")</f>
        <v>No</v>
      </c>
      <c r="AF834" s="5" t="str">
        <f ca="1">IFERROR(__xludf.DUMMYFUNCTION("""COMPUTED_VALUE"""),"No")</f>
        <v>No</v>
      </c>
      <c r="AG834" s="5" t="str">
        <f ca="1">IFERROR(__xludf.DUMMYFUNCTION("""COMPUTED_VALUE"""),"No")</f>
        <v>No</v>
      </c>
      <c r="AH834" s="5" t="str">
        <f ca="1">IFERROR(__xludf.DUMMYFUNCTION("""COMPUTED_VALUE"""),"No")</f>
        <v>No</v>
      </c>
      <c r="AI834" s="5" t="str">
        <f ca="1">IFERROR(__xludf.DUMMYFUNCTION("""COMPUTED_VALUE"""),"No")</f>
        <v>No</v>
      </c>
      <c r="AJ834" s="5" t="str">
        <f ca="1">IFERROR(__xludf.DUMMYFUNCTION("""COMPUTED_VALUE"""),"No")</f>
        <v>No</v>
      </c>
    </row>
    <row r="835" spans="1:36" ht="13">
      <c r="A835" s="5" t="str">
        <f ca="1">IFERROR(__xludf.DUMMYFUNCTION("""COMPUTED_VALUE"""),"20190606ILGEC")</f>
        <v>20190606ILGEC</v>
      </c>
      <c r="B835" s="5">
        <f ca="1">IFERROR(__xludf.DUMMYFUNCTION("""COMPUTED_VALUE"""),6)</f>
        <v>6</v>
      </c>
      <c r="C835" s="5">
        <f ca="1">IFERROR(__xludf.DUMMYFUNCTION("""COMPUTED_VALUE"""),6)</f>
        <v>6</v>
      </c>
      <c r="D835" s="5">
        <f ca="1">IFERROR(__xludf.DUMMYFUNCTION("""COMPUTED_VALUE"""),2019)</f>
        <v>2019</v>
      </c>
      <c r="E835" s="8">
        <f ca="1">IFERROR(__xludf.DUMMYFUNCTION("""COMPUTED_VALUE"""),43622)</f>
        <v>43622</v>
      </c>
      <c r="F835" s="5" t="str">
        <f ca="1">IFERROR(__xludf.DUMMYFUNCTION("""COMPUTED_VALUE"""),"Genevieve Melody STEM Elementary School")</f>
        <v>Genevieve Melody STEM Elementary School</v>
      </c>
      <c r="G835" s="5">
        <f ca="1">IFERROR(__xludf.DUMMYFUNCTION("""COMPUTED_VALUE"""),0)</f>
        <v>0</v>
      </c>
      <c r="H835" s="5">
        <f ca="1">IFERROR(__xludf.DUMMYFUNCTION("""COMPUTED_VALUE"""),1)</f>
        <v>1</v>
      </c>
      <c r="I835" s="5">
        <f ca="1">IFERROR(__xludf.DUMMYFUNCTION("""COMPUTED_VALUE"""),1)</f>
        <v>1</v>
      </c>
      <c r="J835" s="5">
        <f ca="1">IFERROR(__xludf.DUMMYFUNCTION("""COMPUTED_VALUE"""),0)</f>
        <v>0</v>
      </c>
      <c r="K835" s="9" t="str">
        <f ca="1">IFERROR(__xludf.DUMMYFUNCTION("""COMPUTED_VALUE"""),"https://chicago.suntimes.com/crime/2019/6/6/18656020/genevieve-melody-school-court-shooting")</f>
        <v>https://chicago.suntimes.com/crime/2019/6/6/18656020/genevieve-melody-school-court-shooting</v>
      </c>
      <c r="L835" s="5"/>
      <c r="M835" s="5"/>
      <c r="N835" s="5">
        <f ca="1">IFERROR(__xludf.DUMMYFUNCTION("""COMPUTED_VALUE"""),3)</f>
        <v>3</v>
      </c>
      <c r="O835" s="5" t="str">
        <f ca="1">IFERROR(__xludf.DUMMYFUNCTION("""COMPUTED_VALUE"""),"Summer")</f>
        <v>Summer</v>
      </c>
      <c r="P835" s="5" t="str">
        <f ca="1">IFERROR(__xludf.DUMMYFUNCTION("""COMPUTED_VALUE"""),"Chicago")</f>
        <v>Chicago</v>
      </c>
      <c r="Q835" s="5" t="str">
        <f ca="1">IFERROR(__xludf.DUMMYFUNCTION("""COMPUTED_VALUE"""),"IL")</f>
        <v>IL</v>
      </c>
      <c r="R835" s="5" t="str">
        <f ca="1">IFERROR(__xludf.DUMMYFUNCTION("""COMPUTED_VALUE"""),"Elementary")</f>
        <v>Elementary</v>
      </c>
      <c r="S835" s="5" t="str">
        <f ca="1">IFERROR(__xludf.DUMMYFUNCTION("""COMPUTED_VALUE"""),"Basketball Court")</f>
        <v>Basketball Court</v>
      </c>
      <c r="T835" s="5" t="str">
        <f ca="1">IFERROR(__xludf.DUMMYFUNCTION("""COMPUTED_VALUE"""),"Outside on School Property")</f>
        <v>Outside on School Property</v>
      </c>
      <c r="U835" s="5" t="str">
        <f ca="1">IFERROR(__xludf.DUMMYFUNCTION("""COMPUTED_VALUE"""),"No")</f>
        <v>No</v>
      </c>
      <c r="V835" s="5" t="str">
        <f ca="1">IFERROR(__xludf.DUMMYFUNCTION("""COMPUTED_VALUE"""),"Evening")</f>
        <v>Evening</v>
      </c>
      <c r="W835" s="10">
        <f ca="1">IFERROR(__xludf.DUMMYFUNCTION("""COMPUTED_VALUE"""),0.822916666666666)</f>
        <v>0.82291666666666596</v>
      </c>
      <c r="X835" s="5">
        <f ca="1">IFERROR(__xludf.DUMMYFUNCTION("""COMPUTED_VALUE"""),1)</f>
        <v>1</v>
      </c>
      <c r="Y835" s="5" t="str">
        <f ca="1">IFERROR(__xludf.DUMMYFUNCTION("""COMPUTED_VALUE"""),"25YOM shot on school basketball court")</f>
        <v>25YOM shot on school basketball court</v>
      </c>
      <c r="Z835" s="5" t="str">
        <f ca="1">IFERROR(__xludf.DUMMYFUNCTION("""COMPUTED_VALUE"""),"25YOM shot on school basketball court. School was not open. Shooter fled the area. No further information")</f>
        <v>25YOM shot on school basketball court. School was not open. Shooter fled the area. No further information</v>
      </c>
      <c r="AA835" s="5" t="str">
        <f ca="1">IFERROR(__xludf.DUMMYFUNCTION("""COMPUTED_VALUE"""),"Escalation of Dispute")</f>
        <v>Escalation of Dispute</v>
      </c>
      <c r="AB835" s="5"/>
      <c r="AC835" s="5"/>
      <c r="AD835" s="5" t="str">
        <f ca="1">IFERROR(__xludf.DUMMYFUNCTION("""COMPUTED_VALUE"""),"No")</f>
        <v>No</v>
      </c>
      <c r="AE835" s="5" t="str">
        <f ca="1">IFERROR(__xludf.DUMMYFUNCTION("""COMPUTED_VALUE"""),"No")</f>
        <v>No</v>
      </c>
      <c r="AF835" s="5" t="str">
        <f ca="1">IFERROR(__xludf.DUMMYFUNCTION("""COMPUTED_VALUE"""),"No")</f>
        <v>No</v>
      </c>
      <c r="AG835" s="5" t="str">
        <f ca="1">IFERROR(__xludf.DUMMYFUNCTION("""COMPUTED_VALUE"""),"No")</f>
        <v>No</v>
      </c>
      <c r="AH835" s="5" t="str">
        <f ca="1">IFERROR(__xludf.DUMMYFUNCTION("""COMPUTED_VALUE"""),"No")</f>
        <v>No</v>
      </c>
      <c r="AI835" s="5"/>
      <c r="AJ835" s="5" t="str">
        <f ca="1">IFERROR(__xludf.DUMMYFUNCTION("""COMPUTED_VALUE"""),"No")</f>
        <v>No</v>
      </c>
    </row>
    <row r="836" spans="1:36" ht="13">
      <c r="A836" s="5" t="str">
        <f ca="1">IFERROR(__xludf.DUMMYFUNCTION("""COMPUTED_VALUE"""),"20190530DCHEW")</f>
        <v>20190530DCHEW</v>
      </c>
      <c r="B836" s="5">
        <f ca="1">IFERROR(__xludf.DUMMYFUNCTION("""COMPUTED_VALUE"""),5)</f>
        <v>5</v>
      </c>
      <c r="C836" s="5">
        <f ca="1">IFERROR(__xludf.DUMMYFUNCTION("""COMPUTED_VALUE"""),30)</f>
        <v>30</v>
      </c>
      <c r="D836" s="5">
        <f ca="1">IFERROR(__xludf.DUMMYFUNCTION("""COMPUTED_VALUE"""),2019)</f>
        <v>2019</v>
      </c>
      <c r="E836" s="8">
        <f ca="1">IFERROR(__xludf.DUMMYFUNCTION("""COMPUTED_VALUE"""),43615)</f>
        <v>43615</v>
      </c>
      <c r="F836" s="5" t="str">
        <f ca="1">IFERROR(__xludf.DUMMYFUNCTION("""COMPUTED_VALUE"""),"Hendley Elementary School")</f>
        <v>Hendley Elementary School</v>
      </c>
      <c r="G836" s="5">
        <f ca="1">IFERROR(__xludf.DUMMYFUNCTION("""COMPUTED_VALUE"""),0)</f>
        <v>0</v>
      </c>
      <c r="H836" s="5">
        <f ca="1">IFERROR(__xludf.DUMMYFUNCTION("""COMPUTED_VALUE"""),0)</f>
        <v>0</v>
      </c>
      <c r="I836" s="5">
        <f ca="1">IFERROR(__xludf.DUMMYFUNCTION("""COMPUTED_VALUE"""),0)</f>
        <v>0</v>
      </c>
      <c r="J836" s="5">
        <f ca="1">IFERROR(__xludf.DUMMYFUNCTION("""COMPUTED_VALUE"""),0)</f>
        <v>0</v>
      </c>
      <c r="K836" s="9" t="str">
        <f ca="1">IFERROR(__xludf.DUMMYFUNCTION("""COMPUTED_VALUE"""),"https://wjla.com/news/local/dc-elementary-school-shot-again")</f>
        <v>https://wjla.com/news/local/dc-elementary-school-shot-again</v>
      </c>
      <c r="L836" s="5"/>
      <c r="M836" s="5"/>
      <c r="N836" s="5">
        <f ca="1">IFERROR(__xludf.DUMMYFUNCTION("""COMPUTED_VALUE"""),3)</f>
        <v>3</v>
      </c>
      <c r="O836" s="5" t="str">
        <f ca="1">IFERROR(__xludf.DUMMYFUNCTION("""COMPUTED_VALUE"""),"Spring")</f>
        <v>Spring</v>
      </c>
      <c r="P836" s="5" t="str">
        <f ca="1">IFERROR(__xludf.DUMMYFUNCTION("""COMPUTED_VALUE"""),"Washington")</f>
        <v>Washington</v>
      </c>
      <c r="Q836" s="5" t="str">
        <f ca="1">IFERROR(__xludf.DUMMYFUNCTION("""COMPUTED_VALUE"""),"DC")</f>
        <v>DC</v>
      </c>
      <c r="R836" s="5" t="str">
        <f ca="1">IFERROR(__xludf.DUMMYFUNCTION("""COMPUTED_VALUE"""),"Elementary")</f>
        <v>Elementary</v>
      </c>
      <c r="S836" s="5" t="str">
        <f ca="1">IFERROR(__xludf.DUMMYFUNCTION("""COMPUTED_VALUE"""),"Front of School")</f>
        <v>Front of School</v>
      </c>
      <c r="T836" s="5" t="str">
        <f ca="1">IFERROR(__xludf.DUMMYFUNCTION("""COMPUTED_VALUE"""),"Off School Property")</f>
        <v>Off School Property</v>
      </c>
      <c r="U836" s="5" t="str">
        <f ca="1">IFERROR(__xludf.DUMMYFUNCTION("""COMPUTED_VALUE"""),"No")</f>
        <v>No</v>
      </c>
      <c r="V836" s="5" t="str">
        <f ca="1">IFERROR(__xludf.DUMMYFUNCTION("""COMPUTED_VALUE"""),"Night")</f>
        <v>Night</v>
      </c>
      <c r="W836" s="10">
        <f ca="1">IFERROR(__xludf.DUMMYFUNCTION("""COMPUTED_VALUE"""),0.944444444444444)</f>
        <v>0.94444444444444398</v>
      </c>
      <c r="X836" s="5">
        <f ca="1">IFERROR(__xludf.DUMMYFUNCTION("""COMPUTED_VALUE"""),1)</f>
        <v>1</v>
      </c>
      <c r="Y836" s="5" t="str">
        <f ca="1">IFERROR(__xludf.DUMMYFUNCTION("""COMPUTED_VALUE"""),"Gunshots from gang fight struck the school building and broke windows.")</f>
        <v>Gunshots from gang fight struck the school building and broke windows.</v>
      </c>
      <c r="Z836" s="5" t="str">
        <f ca="1">IFERROR(__xludf.DUMMYFUNCTION("""COMPUTED_VALUE"""),"Gang fight outside of school after hours. Bullets struck the school building and broke windows. No students were inside of the school at the time of the shooting.")</f>
        <v>Gang fight outside of school after hours. Bullets struck the school building and broke windows. No students were inside of the school at the time of the shooting.</v>
      </c>
      <c r="AA836" s="5" t="str">
        <f ca="1">IFERROR(__xludf.DUMMYFUNCTION("""COMPUTED_VALUE"""),"Escalation of Dispute")</f>
        <v>Escalation of Dispute</v>
      </c>
      <c r="AB836" s="5"/>
      <c r="AC836" s="5"/>
      <c r="AD836" s="5" t="str">
        <f ca="1">IFERROR(__xludf.DUMMYFUNCTION("""COMPUTED_VALUE"""),"No")</f>
        <v>No</v>
      </c>
      <c r="AE836" s="5" t="str">
        <f ca="1">IFERROR(__xludf.DUMMYFUNCTION("""COMPUTED_VALUE"""),"No")</f>
        <v>No</v>
      </c>
      <c r="AF836" s="5" t="str">
        <f ca="1">IFERROR(__xludf.DUMMYFUNCTION("""COMPUTED_VALUE"""),"No")</f>
        <v>No</v>
      </c>
      <c r="AG836" s="5" t="str">
        <f ca="1">IFERROR(__xludf.DUMMYFUNCTION("""COMPUTED_VALUE"""),"No")</f>
        <v>No</v>
      </c>
      <c r="AH836" s="5" t="str">
        <f ca="1">IFERROR(__xludf.DUMMYFUNCTION("""COMPUTED_VALUE"""),"No")</f>
        <v>No</v>
      </c>
      <c r="AI836" s="5" t="str">
        <f ca="1">IFERROR(__xludf.DUMMYFUNCTION("""COMPUTED_VALUE"""),"Yes")</f>
        <v>Yes</v>
      </c>
      <c r="AJ836" s="5" t="str">
        <f ca="1">IFERROR(__xludf.DUMMYFUNCTION("""COMPUTED_VALUE"""),"No")</f>
        <v>No</v>
      </c>
    </row>
    <row r="837" spans="1:36" ht="13">
      <c r="A837" s="5" t="str">
        <f ca="1">IFERROR(__xludf.DUMMYFUNCTION("""COMPUTED_VALUE"""),"20190522OHSAC")</f>
        <v>20190522OHSAC</v>
      </c>
      <c r="B837" s="5">
        <f ca="1">IFERROR(__xludf.DUMMYFUNCTION("""COMPUTED_VALUE"""),5)</f>
        <v>5</v>
      </c>
      <c r="C837" s="5">
        <f ca="1">IFERROR(__xludf.DUMMYFUNCTION("""COMPUTED_VALUE"""),22)</f>
        <v>22</v>
      </c>
      <c r="D837" s="5">
        <f ca="1">IFERROR(__xludf.DUMMYFUNCTION("""COMPUTED_VALUE"""),2019)</f>
        <v>2019</v>
      </c>
      <c r="E837" s="8">
        <f ca="1">IFERROR(__xludf.DUMMYFUNCTION("""COMPUTED_VALUE"""),43607)</f>
        <v>43607</v>
      </c>
      <c r="F837" s="5" t="str">
        <f ca="1">IFERROR(__xludf.DUMMYFUNCTION("""COMPUTED_VALUE"""),"Shady Lane Elementary School")</f>
        <v>Shady Lane Elementary School</v>
      </c>
      <c r="G837" s="5">
        <f ca="1">IFERROR(__xludf.DUMMYFUNCTION("""COMPUTED_VALUE"""),1)</f>
        <v>1</v>
      </c>
      <c r="H837" s="5">
        <f ca="1">IFERROR(__xludf.DUMMYFUNCTION("""COMPUTED_VALUE"""),1)</f>
        <v>1</v>
      </c>
      <c r="I837" s="5">
        <f ca="1">IFERROR(__xludf.DUMMYFUNCTION("""COMPUTED_VALUE"""),2)</f>
        <v>2</v>
      </c>
      <c r="J837" s="5">
        <f ca="1">IFERROR(__xludf.DUMMYFUNCTION("""COMPUTED_VALUE"""),0)</f>
        <v>0</v>
      </c>
      <c r="K837" s="5" t="str">
        <f ca="1">IFERROR(__xludf.DUMMYFUNCTION("""COMPUTED_VALUE"""),"https://abc6onyourside.com/news/local/2-teens-shot-1-killed-in-shooting-near-east-columbus-elementary-school https://www.dispatch.com/news/20190523/kids-killing-kids-leads-to-death-of-boy-active-in-school-community-programs https://www.wfmj.com/story/4253"&amp;"3325/2-teens-sent-to-youth-prison-in-fatal-shootings-in-2019")</f>
        <v>https://abc6onyourside.com/news/local/2-teens-shot-1-killed-in-shooting-near-east-columbus-elementary-school https://www.dispatch.com/news/20190523/kids-killing-kids-leads-to-death-of-boy-active-in-school-community-programs https://www.wfmj.com/story/42533325/2-teens-sent-to-youth-prison-in-fatal-shootings-in-2019</v>
      </c>
      <c r="L837" s="5">
        <f ca="1">IFERROR(__xludf.DUMMYFUNCTION("""COMPUTED_VALUE"""),5)</f>
        <v>5</v>
      </c>
      <c r="M837" s="5" t="str">
        <f ca="1">IFERROR(__xludf.DUMMYFUNCTION("""COMPUTED_VALUE"""),"Local")</f>
        <v>Local</v>
      </c>
      <c r="N837" s="5">
        <f ca="1">IFERROR(__xludf.DUMMYFUNCTION("""COMPUTED_VALUE"""),5)</f>
        <v>5</v>
      </c>
      <c r="O837" s="5" t="str">
        <f ca="1">IFERROR(__xludf.DUMMYFUNCTION("""COMPUTED_VALUE"""),"Spring")</f>
        <v>Spring</v>
      </c>
      <c r="P837" s="5" t="str">
        <f ca="1">IFERROR(__xludf.DUMMYFUNCTION("""COMPUTED_VALUE"""),"Columbus")</f>
        <v>Columbus</v>
      </c>
      <c r="Q837" s="5" t="str">
        <f ca="1">IFERROR(__xludf.DUMMYFUNCTION("""COMPUTED_VALUE"""),"OH")</f>
        <v>OH</v>
      </c>
      <c r="R837" s="5" t="str">
        <f ca="1">IFERROR(__xludf.DUMMYFUNCTION("""COMPUTED_VALUE"""),"Elementary")</f>
        <v>Elementary</v>
      </c>
      <c r="S837" s="5" t="str">
        <f ca="1">IFERROR(__xludf.DUMMYFUNCTION("""COMPUTED_VALUE"""),"Playground")</f>
        <v>Playground</v>
      </c>
      <c r="T837" s="5" t="str">
        <f ca="1">IFERROR(__xludf.DUMMYFUNCTION("""COMPUTED_VALUE"""),"Outside on School Property")</f>
        <v>Outside on School Property</v>
      </c>
      <c r="U837" s="5" t="str">
        <f ca="1">IFERROR(__xludf.DUMMYFUNCTION("""COMPUTED_VALUE"""),"No")</f>
        <v>No</v>
      </c>
      <c r="V837" s="5" t="str">
        <f ca="1">IFERROR(__xludf.DUMMYFUNCTION("""COMPUTED_VALUE"""),"Evening")</f>
        <v>Evening</v>
      </c>
      <c r="W837" s="10">
        <f ca="1">IFERROR(__xludf.DUMMYFUNCTION("""COMPUTED_VALUE"""),0.784722222222222)</f>
        <v>0.78472222222222199</v>
      </c>
      <c r="X837" s="5">
        <f ca="1">IFERROR(__xludf.DUMMYFUNCTION("""COMPUTED_VALUE"""),1)</f>
        <v>1</v>
      </c>
      <c r="Y837" s="5" t="str">
        <f ca="1">IFERROR(__xludf.DUMMYFUNCTION("""COMPUTED_VALUE"""),"13 year old shot two other teens during dispute over cell phone")</f>
        <v>13 year old shot two other teens during dispute over cell phone</v>
      </c>
      <c r="Z837" s="5" t="str">
        <f ca="1">IFERROR(__xludf.DUMMYFUNCTION("""COMPUTED_VALUE"""),"13 year-old male fatally shot a 14 year-old male and wounded a 14 year-old female on the school playground during a dispute over a cellphone.")</f>
        <v>13 year-old male fatally shot a 14 year-old male and wounded a 14 year-old female on the school playground during a dispute over a cellphone.</v>
      </c>
      <c r="AA837" s="5" t="str">
        <f ca="1">IFERROR(__xludf.DUMMYFUNCTION("""COMPUTED_VALUE"""),"Escalation of Dispute")</f>
        <v>Escalation of Dispute</v>
      </c>
      <c r="AB837" s="5" t="str">
        <f ca="1">IFERROR(__xludf.DUMMYFUNCTION("""COMPUTED_VALUE"""),"Both")</f>
        <v>Both</v>
      </c>
      <c r="AC837" s="5" t="str">
        <f ca="1">IFERROR(__xludf.DUMMYFUNCTION("""COMPUTED_VALUE"""),"Yes")</f>
        <v>Yes</v>
      </c>
      <c r="AD837" s="5" t="str">
        <f ca="1">IFERROR(__xludf.DUMMYFUNCTION("""COMPUTED_VALUE"""),"No")</f>
        <v>No</v>
      </c>
      <c r="AE837" s="5" t="str">
        <f ca="1">IFERROR(__xludf.DUMMYFUNCTION("""COMPUTED_VALUE"""),"No")</f>
        <v>No</v>
      </c>
      <c r="AF837" s="5" t="str">
        <f ca="1">IFERROR(__xludf.DUMMYFUNCTION("""COMPUTED_VALUE"""),"No")</f>
        <v>No</v>
      </c>
      <c r="AG837" s="5" t="str">
        <f ca="1">IFERROR(__xludf.DUMMYFUNCTION("""COMPUTED_VALUE"""),"No")</f>
        <v>No</v>
      </c>
      <c r="AH837" s="5" t="str">
        <f ca="1">IFERROR(__xludf.DUMMYFUNCTION("""COMPUTED_VALUE"""),"No")</f>
        <v>No</v>
      </c>
      <c r="AI837" s="5" t="str">
        <f ca="1">IFERROR(__xludf.DUMMYFUNCTION("""COMPUTED_VALUE"""),"No")</f>
        <v>No</v>
      </c>
      <c r="AJ837" s="5" t="str">
        <f ca="1">IFERROR(__xludf.DUMMYFUNCTION("""COMPUTED_VALUE"""),"No")</f>
        <v>No</v>
      </c>
    </row>
    <row r="838" spans="1:36" ht="13">
      <c r="A838" s="5" t="str">
        <f ca="1">IFERROR(__xludf.DUMMYFUNCTION("""COMPUTED_VALUE"""),"20190517ORPAP")</f>
        <v>20190517ORPAP</v>
      </c>
      <c r="B838" s="5">
        <f ca="1">IFERROR(__xludf.DUMMYFUNCTION("""COMPUTED_VALUE"""),5)</f>
        <v>5</v>
      </c>
      <c r="C838" s="5">
        <f ca="1">IFERROR(__xludf.DUMMYFUNCTION("""COMPUTED_VALUE"""),17)</f>
        <v>17</v>
      </c>
      <c r="D838" s="5">
        <f ca="1">IFERROR(__xludf.DUMMYFUNCTION("""COMPUTED_VALUE"""),2019)</f>
        <v>2019</v>
      </c>
      <c r="E838" s="8">
        <f ca="1">IFERROR(__xludf.DUMMYFUNCTION("""COMPUTED_VALUE"""),43602)</f>
        <v>43602</v>
      </c>
      <c r="F838" s="5" t="str">
        <f ca="1">IFERROR(__xludf.DUMMYFUNCTION("""COMPUTED_VALUE"""),"Parkrose High School")</f>
        <v>Parkrose High School</v>
      </c>
      <c r="G838" s="5">
        <f ca="1">IFERROR(__xludf.DUMMYFUNCTION("""COMPUTED_VALUE"""),0)</f>
        <v>0</v>
      </c>
      <c r="H838" s="5">
        <f ca="1">IFERROR(__xludf.DUMMYFUNCTION("""COMPUTED_VALUE"""),0)</f>
        <v>0</v>
      </c>
      <c r="I838" s="5">
        <f ca="1">IFERROR(__xludf.DUMMYFUNCTION("""COMPUTED_VALUE"""),0)</f>
        <v>0</v>
      </c>
      <c r="J838" s="5">
        <f ca="1">IFERROR(__xludf.DUMMYFUNCTION("""COMPUTED_VALUE"""),0)</f>
        <v>0</v>
      </c>
      <c r="K838" s="9" t="str">
        <f ca="1">IFERROR(__xludf.DUMMYFUNCTION("""COMPUTED_VALUE"""),"https://www.kgw.com/article/news/local/police-id-student-accused-of-bringing-shotgun-to-parkrose-high-school/283-6998e18d-8460-4ab4-87bd-aab49b4082a8")</f>
        <v>https://www.kgw.com/article/news/local/police-id-student-accused-of-bringing-shotgun-to-parkrose-high-school/283-6998e18d-8460-4ab4-87bd-aab49b4082a8</v>
      </c>
      <c r="L838" s="5"/>
      <c r="M838" s="5"/>
      <c r="N838" s="5">
        <f ca="1">IFERROR(__xludf.DUMMYFUNCTION("""COMPUTED_VALUE"""),4)</f>
        <v>4</v>
      </c>
      <c r="O838" s="5" t="str">
        <f ca="1">IFERROR(__xludf.DUMMYFUNCTION("""COMPUTED_VALUE"""),"Spring")</f>
        <v>Spring</v>
      </c>
      <c r="P838" s="5" t="str">
        <f ca="1">IFERROR(__xludf.DUMMYFUNCTION("""COMPUTED_VALUE"""),"Portland")</f>
        <v>Portland</v>
      </c>
      <c r="Q838" s="5" t="str">
        <f ca="1">IFERROR(__xludf.DUMMYFUNCTION("""COMPUTED_VALUE"""),"OR")</f>
        <v>OR</v>
      </c>
      <c r="R838" s="5" t="str">
        <f ca="1">IFERROR(__xludf.DUMMYFUNCTION("""COMPUTED_VALUE"""),"High")</f>
        <v>High</v>
      </c>
      <c r="S838" s="5" t="str">
        <f ca="1">IFERROR(__xludf.DUMMYFUNCTION("""COMPUTED_VALUE"""),"Classroom")</f>
        <v>Classroom</v>
      </c>
      <c r="T838" s="5" t="str">
        <f ca="1">IFERROR(__xludf.DUMMYFUNCTION("""COMPUTED_VALUE"""),"Inside School Building")</f>
        <v>Inside School Building</v>
      </c>
      <c r="U838" s="5" t="str">
        <f ca="1">IFERROR(__xludf.DUMMYFUNCTION("""COMPUTED_VALUE"""),"Yes")</f>
        <v>Yes</v>
      </c>
      <c r="V838" s="5" t="str">
        <f ca="1">IFERROR(__xludf.DUMMYFUNCTION("""COMPUTED_VALUE"""),"Morning Classes")</f>
        <v>Morning Classes</v>
      </c>
      <c r="W838" s="10">
        <f ca="1">IFERROR(__xludf.DUMMYFUNCTION("""COMPUTED_VALUE"""),0.491666666666666)</f>
        <v>0.49166666666666597</v>
      </c>
      <c r="X838" s="5">
        <f ca="1">IFERROR(__xludf.DUMMYFUNCTION("""COMPUTED_VALUE"""),1)</f>
        <v>1</v>
      </c>
      <c r="Y838" s="5" t="str">
        <f ca="1">IFERROR(__xludf.DUMMYFUNCTION("""COMPUTED_VALUE"""),"Student wearing a trench coat walked into classroom with a shotgun. Tackled by football coach.")</f>
        <v>Student wearing a trench coat walked into classroom with a shotgun. Tackled by football coach.</v>
      </c>
      <c r="Z838" s="5" t="str">
        <f ca="1">IFERROR(__xludf.DUMMYFUNCTION("""COMPUTED_VALUE"""),"Student wearing a trench coat walked into classroom with a shotgun. Tackled by football coach. No shots fired. Suspect arrested. School locked down and dismissed.")</f>
        <v>Student wearing a trench coat walked into classroom with a shotgun. Tackled by football coach. No shots fired. Suspect arrested. School locked down and dismissed.</v>
      </c>
      <c r="AA838" s="5" t="str">
        <f ca="1">IFERROR(__xludf.DUMMYFUNCTION("""COMPUTED_VALUE"""),"Suicide/Attempted")</f>
        <v>Suicide/Attempted</v>
      </c>
      <c r="AB838" s="5"/>
      <c r="AC838" s="5" t="str">
        <f ca="1">IFERROR(__xludf.DUMMYFUNCTION("""COMPUTED_VALUE"""),"No")</f>
        <v>No</v>
      </c>
      <c r="AD838" s="5" t="str">
        <f ca="1">IFERROR(__xludf.DUMMYFUNCTION("""COMPUTED_VALUE"""),"No")</f>
        <v>No</v>
      </c>
      <c r="AE838" s="5" t="str">
        <f ca="1">IFERROR(__xludf.DUMMYFUNCTION("""COMPUTED_VALUE"""),"No")</f>
        <v>No</v>
      </c>
      <c r="AF838" s="5" t="str">
        <f ca="1">IFERROR(__xludf.DUMMYFUNCTION("""COMPUTED_VALUE"""),"No")</f>
        <v>No</v>
      </c>
      <c r="AG838" s="5"/>
      <c r="AH838" s="5" t="str">
        <f ca="1">IFERROR(__xludf.DUMMYFUNCTION("""COMPUTED_VALUE"""),"No")</f>
        <v>No</v>
      </c>
      <c r="AI838" s="5" t="str">
        <f ca="1">IFERROR(__xludf.DUMMYFUNCTION("""COMPUTED_VALUE"""),"No")</f>
        <v>No</v>
      </c>
      <c r="AJ838" s="5" t="str">
        <f ca="1">IFERROR(__xludf.DUMMYFUNCTION("""COMPUTED_VALUE"""),"Yes")</f>
        <v>Yes</v>
      </c>
    </row>
    <row r="839" spans="1:36" ht="13">
      <c r="A839" s="5" t="str">
        <f ca="1">IFERROR(__xludf.DUMMYFUNCTION("""COMPUTED_VALUE"""),"20190517FLTEJ")</f>
        <v>20190517FLTEJ</v>
      </c>
      <c r="B839" s="5">
        <f ca="1">IFERROR(__xludf.DUMMYFUNCTION("""COMPUTED_VALUE"""),5)</f>
        <v>5</v>
      </c>
      <c r="C839" s="5">
        <f ca="1">IFERROR(__xludf.DUMMYFUNCTION("""COMPUTED_VALUE"""),17)</f>
        <v>17</v>
      </c>
      <c r="D839" s="5">
        <f ca="1">IFERROR(__xludf.DUMMYFUNCTION("""COMPUTED_VALUE"""),2019)</f>
        <v>2019</v>
      </c>
      <c r="E839" s="8">
        <f ca="1">IFERROR(__xludf.DUMMYFUNCTION("""COMPUTED_VALUE"""),43602)</f>
        <v>43602</v>
      </c>
      <c r="F839" s="5" t="str">
        <f ca="1">IFERROR(__xludf.DUMMYFUNCTION("""COMPUTED_VALUE"""),"Terry Parker High School")</f>
        <v>Terry Parker High School</v>
      </c>
      <c r="G839" s="5">
        <f ca="1">IFERROR(__xludf.DUMMYFUNCTION("""COMPUTED_VALUE"""),0)</f>
        <v>0</v>
      </c>
      <c r="H839" s="5">
        <f ca="1">IFERROR(__xludf.DUMMYFUNCTION("""COMPUTED_VALUE"""),1)</f>
        <v>1</v>
      </c>
      <c r="I839" s="5">
        <f ca="1">IFERROR(__xludf.DUMMYFUNCTION("""COMPUTED_VALUE"""),1)</f>
        <v>1</v>
      </c>
      <c r="J839" s="5">
        <f ca="1">IFERROR(__xludf.DUMMYFUNCTION("""COMPUTED_VALUE"""),0)</f>
        <v>0</v>
      </c>
      <c r="K839" s="5" t="str">
        <f ca="1">IFERROR(__xludf.DUMMYFUNCTION("""COMPUTED_VALUE"""),"https://www.actionnewsjax.com/news/local/jso-confirms-teen-shot-minutes-before-terry-parker-ribault-football-game-ended/950263312 https://www.actionnewsjax.com/news/local/jso-confirms-teen-shot-minutes-before-terry-parker-ribault-football-game-ended_/9517"&amp;"74054")</f>
        <v>https://www.actionnewsjax.com/news/local/jso-confirms-teen-shot-minutes-before-terry-parker-ribault-football-game-ended/950263312 https://www.actionnewsjax.com/news/local/jso-confirms-teen-shot-minutes-before-terry-parker-ribault-football-game-ended_/951774054</v>
      </c>
      <c r="L839" s="5"/>
      <c r="M839" s="5"/>
      <c r="N839" s="5">
        <f ca="1">IFERROR(__xludf.DUMMYFUNCTION("""COMPUTED_VALUE"""),4)</f>
        <v>4</v>
      </c>
      <c r="O839" s="5" t="str">
        <f ca="1">IFERROR(__xludf.DUMMYFUNCTION("""COMPUTED_VALUE"""),"Spring")</f>
        <v>Spring</v>
      </c>
      <c r="P839" s="5" t="str">
        <f ca="1">IFERROR(__xludf.DUMMYFUNCTION("""COMPUTED_VALUE"""),"Jacksonville")</f>
        <v>Jacksonville</v>
      </c>
      <c r="Q839" s="5" t="str">
        <f ca="1">IFERROR(__xludf.DUMMYFUNCTION("""COMPUTED_VALUE"""),"FL")</f>
        <v>FL</v>
      </c>
      <c r="R839" s="5" t="str">
        <f ca="1">IFERROR(__xludf.DUMMYFUNCTION("""COMPUTED_VALUE"""),"High")</f>
        <v>High</v>
      </c>
      <c r="S839" s="5" t="str">
        <f ca="1">IFERROR(__xludf.DUMMYFUNCTION("""COMPUTED_VALUE"""),"Parking Lot")</f>
        <v>Parking Lot</v>
      </c>
      <c r="T839" s="5" t="str">
        <f ca="1">IFERROR(__xludf.DUMMYFUNCTION("""COMPUTED_VALUE"""),"Outside on School Property")</f>
        <v>Outside on School Property</v>
      </c>
      <c r="U839" s="5" t="str">
        <f ca="1">IFERROR(__xludf.DUMMYFUNCTION("""COMPUTED_VALUE"""),"No")</f>
        <v>No</v>
      </c>
      <c r="V839" s="5" t="str">
        <f ca="1">IFERROR(__xludf.DUMMYFUNCTION("""COMPUTED_VALUE"""),"Sport Event")</f>
        <v>Sport Event</v>
      </c>
      <c r="W839" s="10">
        <f ca="1">IFERROR(__xludf.DUMMYFUNCTION("""COMPUTED_VALUE"""),0.859027777777777)</f>
        <v>0.85902777777777695</v>
      </c>
      <c r="X839" s="5">
        <f ca="1">IFERROR(__xludf.DUMMYFUNCTION("""COMPUTED_VALUE"""),1)</f>
        <v>1</v>
      </c>
      <c r="Y839" s="5" t="str">
        <f ca="1">IFERROR(__xludf.DUMMYFUNCTION("""COMPUTED_VALUE"""),"Student shot in parking lot after football game.")</f>
        <v>Student shot in parking lot after football game.</v>
      </c>
      <c r="Z839" s="5" t="str">
        <f ca="1">IFERROR(__xludf.DUMMYFUNCTION("""COMPUTED_VALUE"""),"16YOM student shot in the school parking lot following a football game (critical condition). Police said the shooting was targeted and gang involvement is possible. Shooter fled but police reported strong leads on suspects. 6 school resource officers were"&amp;" working during the time of the shooting.")</f>
        <v>16YOM student shot in the school parking lot following a football game (critical condition). Police said the shooting was targeted and gang involvement is possible. Shooter fled but police reported strong leads on suspects. 6 school resource officers were working during the time of the shooting.</v>
      </c>
      <c r="AA839" s="5" t="str">
        <f ca="1">IFERROR(__xludf.DUMMYFUNCTION("""COMPUTED_VALUE"""),"Escalation of Dispute")</f>
        <v>Escalation of Dispute</v>
      </c>
      <c r="AB839" s="5" t="str">
        <f ca="1">IFERROR(__xludf.DUMMYFUNCTION("""COMPUTED_VALUE"""),"Victims Targeted")</f>
        <v>Victims Targeted</v>
      </c>
      <c r="AC839" s="5" t="str">
        <f ca="1">IFERROR(__xludf.DUMMYFUNCTION("""COMPUTED_VALUE"""),"Yes")</f>
        <v>Yes</v>
      </c>
      <c r="AD839" s="5" t="str">
        <f ca="1">IFERROR(__xludf.DUMMYFUNCTION("""COMPUTED_VALUE"""),"No")</f>
        <v>No</v>
      </c>
      <c r="AE839" s="5" t="str">
        <f ca="1">IFERROR(__xludf.DUMMYFUNCTION("""COMPUTED_VALUE"""),"No")</f>
        <v>No</v>
      </c>
      <c r="AF839" s="5" t="str">
        <f ca="1">IFERROR(__xludf.DUMMYFUNCTION("""COMPUTED_VALUE"""),"No")</f>
        <v>No</v>
      </c>
      <c r="AG839" s="5" t="str">
        <f ca="1">IFERROR(__xludf.DUMMYFUNCTION("""COMPUTED_VALUE"""),"No")</f>
        <v>No</v>
      </c>
      <c r="AH839" s="5" t="str">
        <f ca="1">IFERROR(__xludf.DUMMYFUNCTION("""COMPUTED_VALUE"""),"No")</f>
        <v>No</v>
      </c>
      <c r="AI839" s="5" t="str">
        <f ca="1">IFERROR(__xludf.DUMMYFUNCTION("""COMPUTED_VALUE"""),"Yes")</f>
        <v>Yes</v>
      </c>
      <c r="AJ839" s="5" t="str">
        <f ca="1">IFERROR(__xludf.DUMMYFUNCTION("""COMPUTED_VALUE"""),"No")</f>
        <v>No</v>
      </c>
    </row>
    <row r="840" spans="1:36" ht="13">
      <c r="A840" s="5" t="str">
        <f ca="1">IFERROR(__xludf.DUMMYFUNCTION("""COMPUTED_VALUE"""),"20190508ILSEC")</f>
        <v>20190508ILSEC</v>
      </c>
      <c r="B840" s="5">
        <f ca="1">IFERROR(__xludf.DUMMYFUNCTION("""COMPUTED_VALUE"""),5)</f>
        <v>5</v>
      </c>
      <c r="C840" s="5">
        <f ca="1">IFERROR(__xludf.DUMMYFUNCTION("""COMPUTED_VALUE"""),8)</f>
        <v>8</v>
      </c>
      <c r="D840" s="5">
        <f ca="1">IFERROR(__xludf.DUMMYFUNCTION("""COMPUTED_VALUE"""),2019)</f>
        <v>2019</v>
      </c>
      <c r="E840" s="8">
        <f ca="1">IFERROR(__xludf.DUMMYFUNCTION("""COMPUTED_VALUE"""),43593)</f>
        <v>43593</v>
      </c>
      <c r="F840" s="5" t="str">
        <f ca="1">IFERROR(__xludf.DUMMYFUNCTION("""COMPUTED_VALUE"""),"Second Change High School")</f>
        <v>Second Change High School</v>
      </c>
      <c r="G840" s="5">
        <f ca="1">IFERROR(__xludf.DUMMYFUNCTION("""COMPUTED_VALUE"""),0)</f>
        <v>0</v>
      </c>
      <c r="H840" s="5">
        <f ca="1">IFERROR(__xludf.DUMMYFUNCTION("""COMPUTED_VALUE"""),1)</f>
        <v>1</v>
      </c>
      <c r="I840" s="5">
        <f ca="1">IFERROR(__xludf.DUMMYFUNCTION("""COMPUTED_VALUE"""),1)</f>
        <v>1</v>
      </c>
      <c r="J840" s="5">
        <f ca="1">IFERROR(__xludf.DUMMYFUNCTION("""COMPUTED_VALUE"""),0)</f>
        <v>0</v>
      </c>
      <c r="K840" s="5" t="str">
        <f ca="1">IFERROR(__xludf.DUMMYFUNCTION("""COMPUTED_VALUE"""),"https://chicago.suntimes.com/news/2019/5/11/18623582/man-charged-with-attempted-murder-in-shooting-outside-back-of-the-yards-school https://www.chicagotribune.com/news/breaking/ct-met-shooting-outside-alternative-hs-20190508-story.html")</f>
        <v>https://chicago.suntimes.com/news/2019/5/11/18623582/man-charged-with-attempted-murder-in-shooting-outside-back-of-the-yards-school https://www.chicagotribune.com/news/breaking/ct-met-shooting-outside-alternative-hs-20190508-story.html</v>
      </c>
      <c r="L840" s="5"/>
      <c r="M840" s="5"/>
      <c r="N840" s="5">
        <f ca="1">IFERROR(__xludf.DUMMYFUNCTION("""COMPUTED_VALUE"""),4)</f>
        <v>4</v>
      </c>
      <c r="O840" s="5" t="str">
        <f ca="1">IFERROR(__xludf.DUMMYFUNCTION("""COMPUTED_VALUE"""),"Spring")</f>
        <v>Spring</v>
      </c>
      <c r="P840" s="5" t="str">
        <f ca="1">IFERROR(__xludf.DUMMYFUNCTION("""COMPUTED_VALUE"""),"Chicago")</f>
        <v>Chicago</v>
      </c>
      <c r="Q840" s="5" t="str">
        <f ca="1">IFERROR(__xludf.DUMMYFUNCTION("""COMPUTED_VALUE"""),"IL")</f>
        <v>IL</v>
      </c>
      <c r="R840" s="5" t="str">
        <f ca="1">IFERROR(__xludf.DUMMYFUNCTION("""COMPUTED_VALUE"""),"High")</f>
        <v>High</v>
      </c>
      <c r="S840" s="5" t="str">
        <f ca="1">IFERROR(__xludf.DUMMYFUNCTION("""COMPUTED_VALUE"""),"Parking Lot")</f>
        <v>Parking Lot</v>
      </c>
      <c r="T840" s="5" t="str">
        <f ca="1">IFERROR(__xludf.DUMMYFUNCTION("""COMPUTED_VALUE"""),"Outside on School Property")</f>
        <v>Outside on School Property</v>
      </c>
      <c r="U840" s="5" t="str">
        <f ca="1">IFERROR(__xludf.DUMMYFUNCTION("""COMPUTED_VALUE"""),"Yes")</f>
        <v>Yes</v>
      </c>
      <c r="V840" s="5" t="str">
        <f ca="1">IFERROR(__xludf.DUMMYFUNCTION("""COMPUTED_VALUE"""),"Dismissal")</f>
        <v>Dismissal</v>
      </c>
      <c r="W840" s="10">
        <f ca="1">IFERROR(__xludf.DUMMYFUNCTION("""COMPUTED_VALUE"""),0.666666666666666)</f>
        <v>0.66666666666666596</v>
      </c>
      <c r="X840" s="5">
        <f ca="1">IFERROR(__xludf.DUMMYFUNCTION("""COMPUTED_VALUE"""),1)</f>
        <v>1</v>
      </c>
      <c r="Y840" s="5" t="str">
        <f ca="1">IFERROR(__xludf.DUMMYFUNCTION("""COMPUTED_VALUE"""),"19YOM student shot in school parking lot during targeted shooting")</f>
        <v>19YOM student shot in school parking lot during targeted shooting</v>
      </c>
      <c r="Z840" s="5" t="str">
        <f ca="1">IFERROR(__xludf.DUMMYFUNCTION("""COMPUTED_VALUE"""),"Vehicle circled high school parking lot while 19YOM was exiting school building. Single shot fired that struck him in the neck. Critically injured. Shooter fled in vehicle and was arrested the following day.")</f>
        <v>Vehicle circled high school parking lot while 19YOM was exiting school building. Single shot fired that struck him in the neck. Critically injured. Shooter fled in vehicle and was arrested the following day.</v>
      </c>
      <c r="AA840" s="5" t="str">
        <f ca="1">IFERROR(__xludf.DUMMYFUNCTION("""COMPUTED_VALUE"""),"Drive-by Shooting")</f>
        <v>Drive-by Shooting</v>
      </c>
      <c r="AB840" s="5" t="str">
        <f ca="1">IFERROR(__xludf.DUMMYFUNCTION("""COMPUTED_VALUE"""),"Victims Targeted")</f>
        <v>Victims Targeted</v>
      </c>
      <c r="AC840" s="5" t="str">
        <f ca="1">IFERROR(__xludf.DUMMYFUNCTION("""COMPUTED_VALUE"""),"No")</f>
        <v>No</v>
      </c>
      <c r="AD840" s="5" t="str">
        <f ca="1">IFERROR(__xludf.DUMMYFUNCTION("""COMPUTED_VALUE"""),"No")</f>
        <v>No</v>
      </c>
      <c r="AE840" s="5" t="str">
        <f ca="1">IFERROR(__xludf.DUMMYFUNCTION("""COMPUTED_VALUE"""),"No")</f>
        <v>No</v>
      </c>
      <c r="AF840" s="5" t="str">
        <f ca="1">IFERROR(__xludf.DUMMYFUNCTION("""COMPUTED_VALUE"""),"No")</f>
        <v>No</v>
      </c>
      <c r="AG840" s="5" t="str">
        <f ca="1">IFERROR(__xludf.DUMMYFUNCTION("""COMPUTED_VALUE"""),"No")</f>
        <v>No</v>
      </c>
      <c r="AH840" s="5" t="str">
        <f ca="1">IFERROR(__xludf.DUMMYFUNCTION("""COMPUTED_VALUE"""),"No")</f>
        <v>No</v>
      </c>
      <c r="AI840" s="5"/>
      <c r="AJ840" s="5" t="str">
        <f ca="1">IFERROR(__xludf.DUMMYFUNCTION("""COMPUTED_VALUE"""),"No")</f>
        <v>No</v>
      </c>
    </row>
    <row r="841" spans="1:36" ht="13">
      <c r="A841" s="5" t="str">
        <f ca="1">IFERROR(__xludf.DUMMYFUNCTION("""COMPUTED_VALUE"""),"20190507COSTH")</f>
        <v>20190507COSTH</v>
      </c>
      <c r="B841" s="5">
        <f ca="1">IFERROR(__xludf.DUMMYFUNCTION("""COMPUTED_VALUE"""),5)</f>
        <v>5</v>
      </c>
      <c r="C841" s="5">
        <f ca="1">IFERROR(__xludf.DUMMYFUNCTION("""COMPUTED_VALUE"""),7)</f>
        <v>7</v>
      </c>
      <c r="D841" s="5">
        <f ca="1">IFERROR(__xludf.DUMMYFUNCTION("""COMPUTED_VALUE"""),2019)</f>
        <v>2019</v>
      </c>
      <c r="E841" s="8">
        <f ca="1">IFERROR(__xludf.DUMMYFUNCTION("""COMPUTED_VALUE"""),43592)</f>
        <v>43592</v>
      </c>
      <c r="F841" s="5" t="str">
        <f ca="1">IFERROR(__xludf.DUMMYFUNCTION("""COMPUTED_VALUE"""),"STEM School Highlands Ranch")</f>
        <v>STEM School Highlands Ranch</v>
      </c>
      <c r="G841" s="5">
        <f ca="1">IFERROR(__xludf.DUMMYFUNCTION("""COMPUTED_VALUE"""),1)</f>
        <v>1</v>
      </c>
      <c r="H841" s="5">
        <f ca="1">IFERROR(__xludf.DUMMYFUNCTION("""COMPUTED_VALUE"""),8)</f>
        <v>8</v>
      </c>
      <c r="I841" s="5">
        <f ca="1">IFERROR(__xludf.DUMMYFUNCTION("""COMPUTED_VALUE"""),9)</f>
        <v>9</v>
      </c>
      <c r="J841" s="5">
        <f ca="1">IFERROR(__xludf.DUMMYFUNCTION("""COMPUTED_VALUE"""),0)</f>
        <v>0</v>
      </c>
      <c r="K841" s="5" t="str">
        <f ca="1">IFERROR(__xludf.DUMMYFUNCTION("""COMPUTED_VALUE"""),"https://www.cnn.com/2019/09/25/us/colorado-stem-school-shooting-hearing/index.html https://www.cnn.com/2019/05/07/us/colorado-denver-area-school-shooting/index.html https://time.com/5662764/guard-wounded-student-stem-school-shooting/ https://denver.cbsloc"&amp;"al.com/2019/11/20/alec-mckinney-morgan-mckinney-stem-school-shooting/ https://www.cpr.org/2019/12/04/alleged-stem-school-shooter-will-be-tried-as-an-adult/ https://www.foxnews.com/us/teen-pleads-guilty-to-murder-in-colorado-school-shooting https://www.the"&amp;"denverchannel.com/news/stem-school-shooting/prosecutors-wont-seek-death-penalty-against-stem-school-shooting-suspect")</f>
        <v>https://www.cnn.com/2019/09/25/us/colorado-stem-school-shooting-hearing/index.html https://www.cnn.com/2019/05/07/us/colorado-denver-area-school-shooting/index.html https://time.com/5662764/guard-wounded-student-stem-school-shooting/ https://denver.cbslocal.com/2019/11/20/alec-mckinney-morgan-mckinney-stem-school-shooting/ https://www.cpr.org/2019/12/04/alleged-stem-school-shooter-will-be-tried-as-an-adult/ https://www.foxnews.com/us/teen-pleads-guilty-to-murder-in-colorado-school-shooting https://www.thedenverchannel.com/news/stem-school-shooting/prosecutors-wont-seek-death-penalty-against-stem-school-shooting-suspect</v>
      </c>
      <c r="L841" s="5">
        <f ca="1">IFERROR(__xludf.DUMMYFUNCTION("""COMPUTED_VALUE"""),11)</f>
        <v>11</v>
      </c>
      <c r="M841" s="5" t="str">
        <f ca="1">IFERROR(__xludf.DUMMYFUNCTION("""COMPUTED_VALUE"""),"International")</f>
        <v>International</v>
      </c>
      <c r="N841" s="5">
        <f ca="1">IFERROR(__xludf.DUMMYFUNCTION("""COMPUTED_VALUE"""),5)</f>
        <v>5</v>
      </c>
      <c r="O841" s="5" t="str">
        <f ca="1">IFERROR(__xludf.DUMMYFUNCTION("""COMPUTED_VALUE"""),"Spring")</f>
        <v>Spring</v>
      </c>
      <c r="P841" s="5" t="str">
        <f ca="1">IFERROR(__xludf.DUMMYFUNCTION("""COMPUTED_VALUE"""),"Highlands Ranch")</f>
        <v>Highlands Ranch</v>
      </c>
      <c r="Q841" s="5" t="str">
        <f ca="1">IFERROR(__xludf.DUMMYFUNCTION("""COMPUTED_VALUE"""),"CO")</f>
        <v>CO</v>
      </c>
      <c r="R841" s="5" t="str">
        <f ca="1">IFERROR(__xludf.DUMMYFUNCTION("""COMPUTED_VALUE"""),"K-12")</f>
        <v>K-12</v>
      </c>
      <c r="S841" s="5" t="str">
        <f ca="1">IFERROR(__xludf.DUMMYFUNCTION("""COMPUTED_VALUE"""),"Classroom")</f>
        <v>Classroom</v>
      </c>
      <c r="T841" s="5" t="str">
        <f ca="1">IFERROR(__xludf.DUMMYFUNCTION("""COMPUTED_VALUE"""),"Inside School Building")</f>
        <v>Inside School Building</v>
      </c>
      <c r="U841" s="5" t="str">
        <f ca="1">IFERROR(__xludf.DUMMYFUNCTION("""COMPUTED_VALUE"""),"Yes")</f>
        <v>Yes</v>
      </c>
      <c r="V841" s="5" t="str">
        <f ca="1">IFERROR(__xludf.DUMMYFUNCTION("""COMPUTED_VALUE"""),"Afternoon Classes")</f>
        <v>Afternoon Classes</v>
      </c>
      <c r="W841" s="10">
        <f ca="1">IFERROR(__xludf.DUMMYFUNCTION("""COMPUTED_VALUE"""),0.583333333333333)</f>
        <v>0.58333333333333304</v>
      </c>
      <c r="X841" s="5">
        <f ca="1">IFERROR(__xludf.DUMMYFUNCTION("""COMPUTED_VALUE"""),2)</f>
        <v>2</v>
      </c>
      <c r="Y841" s="5" t="str">
        <f ca="1">IFERROR(__xludf.DUMMYFUNCTION("""COMPUTED_VALUE"""),"Two students planned attack on school, subdued by other students and law enforcement")</f>
        <v>Two students planned attack on school, subdued by other students and law enforcement</v>
      </c>
      <c r="Z841" s="5" t="str">
        <f ca="1">IFERROR(__xludf.DUMMYFUNCTION("""COMPUTED_VALUE"""),"Two suspects - current students - 18YOM and a 16YOTF, entered the school armed with handguns and engaged students at two separate locations. The male suspect reportedly shouted to students not to move, several students charged at the suspect, and one of t"&amp;"hem was shot/killed. Some students used the time to get away from the room. 8 people were injured*, 4 in critical condition. Male suspect reportedly took the gun out of a what looked like a guitar case and started shooting. The assigned armed guard at the"&amp;" school confronted the male suspect. After a struggle, both suspects were arrested by police who arrived within 2 minutes. People living nearby and other students helped the wounded victims. One of the students reported that the male suspect had talked ab"&amp;"out causing harm but was never taken seriously. Initial information does not show if female suspect fired her weapon.  Police inspected male suspect's home and vehicle.  The female suspect was allegedly bullied for transgender identity. *One student was i"&amp;"njured from shot from armed private security guard. Suspects allegedly used cocaine before the shooting and broke into male suspect's parents' gun safe with an axe. Male suspect later claimed he was forced to go through with the plan due to fear for his l"&amp;"ife and the female suspect was the one planning the shooting for weeks.
 Preliminary trial hearing: McKinney was abused as a child, witnessed physical abuse of mother, cut his arms, hospitalized 7 times in the year prior to the shooting.")</f>
        <v>Two suspects - current students - 18YOM and a 16YOTF, entered the school armed with handguns and engaged students at two separate locations. The male suspect reportedly shouted to students not to move, several students charged at the suspect, and one of them was shot/killed. Some students used the time to get away from the room. 8 people were injured*, 4 in critical condition. Male suspect reportedly took the gun out of a what looked like a guitar case and started shooting. The assigned armed guard at the school confronted the male suspect. After a struggle, both suspects were arrested by police who arrived within 2 minutes. People living nearby and other students helped the wounded victims. One of the students reported that the male suspect had talked about causing harm but was never taken seriously. Initial information does not show if female suspect fired her weapon.  Police inspected male suspect's home and vehicle.  The female suspect was allegedly bullied for transgender identity. *One student was injured from shot from armed private security guard. Suspects allegedly used cocaine before the shooting and broke into male suspect's parents' gun safe with an axe. Male suspect later claimed he was forced to go through with the plan due to fear for his life and the female suspect was the one planning the shooting for weeks.
 Preliminary trial hearing: McKinney was abused as a child, witnessed physical abuse of mother, cut his arms, hospitalized 7 times in the year prior to the shooting.</v>
      </c>
      <c r="AA841" s="5" t="str">
        <f ca="1">IFERROR(__xludf.DUMMYFUNCTION("""COMPUTED_VALUE"""),"Indiscriminate Shooting")</f>
        <v>Indiscriminate Shooting</v>
      </c>
      <c r="AB841" s="5"/>
      <c r="AC841" s="5" t="str">
        <f ca="1">IFERROR(__xludf.DUMMYFUNCTION("""COMPUTED_VALUE"""),"Yes")</f>
        <v>Yes</v>
      </c>
      <c r="AD841" s="5" t="str">
        <f ca="1">IFERROR(__xludf.DUMMYFUNCTION("""COMPUTED_VALUE"""),"No")</f>
        <v>No</v>
      </c>
      <c r="AE841" s="5" t="str">
        <f ca="1">IFERROR(__xludf.DUMMYFUNCTION("""COMPUTED_VALUE"""),"No")</f>
        <v>No</v>
      </c>
      <c r="AF841" s="5" t="str">
        <f ca="1">IFERROR(__xludf.DUMMYFUNCTION("""COMPUTED_VALUE"""),"No")</f>
        <v>No</v>
      </c>
      <c r="AG841" s="5" t="str">
        <f ca="1">IFERROR(__xludf.DUMMYFUNCTION("""COMPUTED_VALUE"""),"Yes")</f>
        <v>Yes</v>
      </c>
      <c r="AH841" s="5" t="str">
        <f ca="1">IFERROR(__xludf.DUMMYFUNCTION("""COMPUTED_VALUE"""),"No")</f>
        <v>No</v>
      </c>
      <c r="AI841" s="5" t="str">
        <f ca="1">IFERROR(__xludf.DUMMYFUNCTION("""COMPUTED_VALUE"""),"No")</f>
        <v>No</v>
      </c>
      <c r="AJ841" s="5" t="str">
        <f ca="1">IFERROR(__xludf.DUMMYFUNCTION("""COMPUTED_VALUE"""),"Yes")</f>
        <v>Yes</v>
      </c>
    </row>
    <row r="842" spans="1:36" ht="13">
      <c r="A842" s="5" t="str">
        <f ca="1">IFERROR(__xludf.DUMMYFUNCTION("""COMPUTED_VALUE"""),"20190430VACDW")</f>
        <v>20190430VACDW</v>
      </c>
      <c r="B842" s="5">
        <f ca="1">IFERROR(__xludf.DUMMYFUNCTION("""COMPUTED_VALUE"""),4)</f>
        <v>4</v>
      </c>
      <c r="C842" s="5">
        <f ca="1">IFERROR(__xludf.DUMMYFUNCTION("""COMPUTED_VALUE"""),30)</f>
        <v>30</v>
      </c>
      <c r="D842" s="5">
        <f ca="1">IFERROR(__xludf.DUMMYFUNCTION("""COMPUTED_VALUE"""),2019)</f>
        <v>2019</v>
      </c>
      <c r="E842" s="8">
        <f ca="1">IFERROR(__xludf.DUMMYFUNCTION("""COMPUTED_VALUE"""),43585)</f>
        <v>43585</v>
      </c>
      <c r="F842" s="5" t="str">
        <f ca="1">IFERROR(__xludf.DUMMYFUNCTION("""COMPUTED_VALUE"""),"C D Hylton High School")</f>
        <v>C D Hylton High School</v>
      </c>
      <c r="G842" s="5">
        <f ca="1">IFERROR(__xludf.DUMMYFUNCTION("""COMPUTED_VALUE"""),0)</f>
        <v>0</v>
      </c>
      <c r="H842" s="5">
        <f ca="1">IFERROR(__xludf.DUMMYFUNCTION("""COMPUTED_VALUE"""),0)</f>
        <v>0</v>
      </c>
      <c r="I842" s="5">
        <f ca="1">IFERROR(__xludf.DUMMYFUNCTION("""COMPUTED_VALUE"""),0)</f>
        <v>0</v>
      </c>
      <c r="J842" s="5">
        <f ca="1">IFERROR(__xludf.DUMMYFUNCTION("""COMPUTED_VALUE"""),0)</f>
        <v>0</v>
      </c>
      <c r="K842" s="5" t="str">
        <f ca="1">IFERROR(__xludf.DUMMYFUNCTION("""COMPUTED_VALUE"""),"https://wtop.com/prince-william-county/2019/04/gun-discharged-inside-prince-william-co-high-school-police-say/ https://www.nbcwashington.com/news/local/Report-of-Shot-Fired-at-Virginia-High-School-509275231.html")</f>
        <v>https://wtop.com/prince-william-county/2019/04/gun-discharged-inside-prince-william-co-high-school-police-say/ https://www.nbcwashington.com/news/local/Report-of-Shot-Fired-at-Virginia-High-School-509275231.html</v>
      </c>
      <c r="L842" s="5"/>
      <c r="M842" s="5"/>
      <c r="N842" s="5">
        <f ca="1">IFERROR(__xludf.DUMMYFUNCTION("""COMPUTED_VALUE"""),4)</f>
        <v>4</v>
      </c>
      <c r="O842" s="5" t="str">
        <f ca="1">IFERROR(__xludf.DUMMYFUNCTION("""COMPUTED_VALUE"""),"Spring")</f>
        <v>Spring</v>
      </c>
      <c r="P842" s="5" t="str">
        <f ca="1">IFERROR(__xludf.DUMMYFUNCTION("""COMPUTED_VALUE"""),"Woodbridge")</f>
        <v>Woodbridge</v>
      </c>
      <c r="Q842" s="5" t="str">
        <f ca="1">IFERROR(__xludf.DUMMYFUNCTION("""COMPUTED_VALUE"""),"VA")</f>
        <v>VA</v>
      </c>
      <c r="R842" s="5" t="str">
        <f ca="1">IFERROR(__xludf.DUMMYFUNCTION("""COMPUTED_VALUE"""),"High")</f>
        <v>High</v>
      </c>
      <c r="S842" s="5" t="str">
        <f ca="1">IFERROR(__xludf.DUMMYFUNCTION("""COMPUTED_VALUE"""),"Classroom")</f>
        <v>Classroom</v>
      </c>
      <c r="T842" s="5" t="str">
        <f ca="1">IFERROR(__xludf.DUMMYFUNCTION("""COMPUTED_VALUE"""),"Inside School Building")</f>
        <v>Inside School Building</v>
      </c>
      <c r="U842" s="5" t="str">
        <f ca="1">IFERROR(__xludf.DUMMYFUNCTION("""COMPUTED_VALUE"""),"Yes")</f>
        <v>Yes</v>
      </c>
      <c r="V842" s="5" t="str">
        <f ca="1">IFERROR(__xludf.DUMMYFUNCTION("""COMPUTED_VALUE"""),"Afternoon Classes")</f>
        <v>Afternoon Classes</v>
      </c>
      <c r="W842" s="10">
        <f ca="1">IFERROR(__xludf.DUMMYFUNCTION("""COMPUTED_VALUE"""),0.5)</f>
        <v>0.5</v>
      </c>
      <c r="X842" s="5">
        <f ca="1">IFERROR(__xludf.DUMMYFUNCTION("""COMPUTED_VALUE"""),1)</f>
        <v>1</v>
      </c>
      <c r="Y842" s="5" t="str">
        <f ca="1">IFERROR(__xludf.DUMMYFUNCTION("""COMPUTED_VALUE"""),"Student fired gun in classroom, fled classroom, hid gun, and was arrested by SRO")</f>
        <v>Student fired gun in classroom, fled classroom, hid gun, and was arrested by SRO</v>
      </c>
      <c r="Z842" s="5" t="str">
        <f ca="1">IFERROR(__xludf.DUMMYFUNCTION("""COMPUTED_VALUE"""),"Student fired gun in classroom. May have been showing gun to other students. Shooter fled classroom and hid the gun in another classroom. Shooter was detained by SRO. School locked down. No injuries.")</f>
        <v>Student fired gun in classroom. May have been showing gun to other students. Shooter fled classroom and hid the gun in another classroom. Shooter was detained by SRO. School locked down. No injuries.</v>
      </c>
      <c r="AA842" s="5" t="str">
        <f ca="1">IFERROR(__xludf.DUMMYFUNCTION("""COMPUTED_VALUE"""),"Accidental")</f>
        <v>Accidental</v>
      </c>
      <c r="AB842" s="5" t="str">
        <f ca="1">IFERROR(__xludf.DUMMYFUNCTION("""COMPUTED_VALUE"""),"Neither")</f>
        <v>Neither</v>
      </c>
      <c r="AC842" s="5" t="str">
        <f ca="1">IFERROR(__xludf.DUMMYFUNCTION("""COMPUTED_VALUE"""),"No")</f>
        <v>No</v>
      </c>
      <c r="AD842" s="5" t="str">
        <f ca="1">IFERROR(__xludf.DUMMYFUNCTION("""COMPUTED_VALUE"""),"No")</f>
        <v>No</v>
      </c>
      <c r="AE842" s="5" t="str">
        <f ca="1">IFERROR(__xludf.DUMMYFUNCTION("""COMPUTED_VALUE"""),"No")</f>
        <v>No</v>
      </c>
      <c r="AF842" s="5" t="str">
        <f ca="1">IFERROR(__xludf.DUMMYFUNCTION("""COMPUTED_VALUE"""),"No")</f>
        <v>No</v>
      </c>
      <c r="AG842" s="5" t="str">
        <f ca="1">IFERROR(__xludf.DUMMYFUNCTION("""COMPUTED_VALUE"""),"No")</f>
        <v>No</v>
      </c>
      <c r="AH842" s="5" t="str">
        <f ca="1">IFERROR(__xludf.DUMMYFUNCTION("""COMPUTED_VALUE"""),"No")</f>
        <v>No</v>
      </c>
      <c r="AI842" s="5" t="str">
        <f ca="1">IFERROR(__xludf.DUMMYFUNCTION("""COMPUTED_VALUE"""),"No")</f>
        <v>No</v>
      </c>
      <c r="AJ842" s="5" t="str">
        <f ca="1">IFERROR(__xludf.DUMMYFUNCTION("""COMPUTED_VALUE"""),"No")</f>
        <v>No</v>
      </c>
    </row>
    <row r="843" spans="1:36" ht="13">
      <c r="A843" s="5" t="str">
        <f ca="1">IFERROR(__xludf.DUMMYFUNCTION("""COMPUTED_VALUE"""),"20190430FLWEW")</f>
        <v>20190430FLWEW</v>
      </c>
      <c r="B843" s="5">
        <f ca="1">IFERROR(__xludf.DUMMYFUNCTION("""COMPUTED_VALUE"""),4)</f>
        <v>4</v>
      </c>
      <c r="C843" s="5">
        <f ca="1">IFERROR(__xludf.DUMMYFUNCTION("""COMPUTED_VALUE"""),30)</f>
        <v>30</v>
      </c>
      <c r="D843" s="5">
        <f ca="1">IFERROR(__xludf.DUMMYFUNCTION("""COMPUTED_VALUE"""),2019)</f>
        <v>2019</v>
      </c>
      <c r="E843" s="8">
        <f ca="1">IFERROR(__xludf.DUMMYFUNCTION("""COMPUTED_VALUE"""),43585)</f>
        <v>43585</v>
      </c>
      <c r="F843" s="5" t="str">
        <f ca="1">IFERROR(__xludf.DUMMYFUNCTION("""COMPUTED_VALUE"""),"Weightman Middle School")</f>
        <v>Weightman Middle School</v>
      </c>
      <c r="G843" s="5">
        <f ca="1">IFERROR(__xludf.DUMMYFUNCTION("""COMPUTED_VALUE"""),0)</f>
        <v>0</v>
      </c>
      <c r="H843" s="5">
        <f ca="1">IFERROR(__xludf.DUMMYFUNCTION("""COMPUTED_VALUE"""),0)</f>
        <v>0</v>
      </c>
      <c r="I843" s="5">
        <f ca="1">IFERROR(__xludf.DUMMYFUNCTION("""COMPUTED_VALUE"""),0)</f>
        <v>0</v>
      </c>
      <c r="J843" s="5">
        <f ca="1">IFERROR(__xludf.DUMMYFUNCTION("""COMPUTED_VALUE"""),0)</f>
        <v>0</v>
      </c>
      <c r="K843" s="9" t="str">
        <f ca="1">IFERROR(__xludf.DUMMYFUNCTION("""COMPUTED_VALUE"""),"https://www.wfla.com/news/pasco-county/deputies-pasco-school-officer-s-gun-discharges-in-cafeteria-no-one-injured/1966758072")</f>
        <v>https://www.wfla.com/news/pasco-county/deputies-pasco-school-officer-s-gun-discharges-in-cafeteria-no-one-injured/1966758072</v>
      </c>
      <c r="L843" s="5"/>
      <c r="M843" s="5"/>
      <c r="N843" s="5">
        <f ca="1">IFERROR(__xludf.DUMMYFUNCTION("""COMPUTED_VALUE"""),4)</f>
        <v>4</v>
      </c>
      <c r="O843" s="5" t="str">
        <f ca="1">IFERROR(__xludf.DUMMYFUNCTION("""COMPUTED_VALUE"""),"Spring")</f>
        <v>Spring</v>
      </c>
      <c r="P843" s="5" t="str">
        <f ca="1">IFERROR(__xludf.DUMMYFUNCTION("""COMPUTED_VALUE"""),"Wesley Chapel")</f>
        <v>Wesley Chapel</v>
      </c>
      <c r="Q843" s="5" t="str">
        <f ca="1">IFERROR(__xludf.DUMMYFUNCTION("""COMPUTED_VALUE"""),"FL")</f>
        <v>FL</v>
      </c>
      <c r="R843" s="5" t="str">
        <f ca="1">IFERROR(__xludf.DUMMYFUNCTION("""COMPUTED_VALUE"""),"Middle")</f>
        <v>Middle</v>
      </c>
      <c r="S843" s="5" t="str">
        <f ca="1">IFERROR(__xludf.DUMMYFUNCTION("""COMPUTED_VALUE"""),"Cafeteria")</f>
        <v>Cafeteria</v>
      </c>
      <c r="T843" s="5" t="str">
        <f ca="1">IFERROR(__xludf.DUMMYFUNCTION("""COMPUTED_VALUE"""),"Inside School Building")</f>
        <v>Inside School Building</v>
      </c>
      <c r="U843" s="5" t="str">
        <f ca="1">IFERROR(__xludf.DUMMYFUNCTION("""COMPUTED_VALUE"""),"Yes")</f>
        <v>Yes</v>
      </c>
      <c r="V843" s="5" t="str">
        <f ca="1">IFERROR(__xludf.DUMMYFUNCTION("""COMPUTED_VALUE"""),"Lunch")</f>
        <v>Lunch</v>
      </c>
      <c r="W843" s="10">
        <f ca="1">IFERROR(__xludf.DUMMYFUNCTION("""COMPUTED_VALUE"""),0.5)</f>
        <v>0.5</v>
      </c>
      <c r="X843" s="5">
        <f ca="1">IFERROR(__xludf.DUMMYFUNCTION("""COMPUTED_VALUE"""),1)</f>
        <v>1</v>
      </c>
      <c r="Y843" s="5" t="str">
        <f ca="1">IFERROR(__xludf.DUMMYFUNCTION("""COMPUTED_VALUE"""),"SRO's gun discharged in school cafeteria during the school day")</f>
        <v>SRO's gun discharged in school cafeteria during the school day</v>
      </c>
      <c r="Z843" s="5" t="str">
        <f ca="1">IFERROR(__xludf.DUMMYFUNCTION("""COMPUTED_VALUE"""),"Armed SRO was standing against wall near lunch line when duty weapon discharged striking wall. Multiple students were standing nearby in the lunch line. No injuries.")</f>
        <v>Armed SRO was standing against wall near lunch line when duty weapon discharged striking wall. Multiple students were standing nearby in the lunch line. No injuries.</v>
      </c>
      <c r="AA843" s="5" t="str">
        <f ca="1">IFERROR(__xludf.DUMMYFUNCTION("""COMPUTED_VALUE"""),"Accidental")</f>
        <v>Accidental</v>
      </c>
      <c r="AB843" s="5" t="str">
        <f ca="1">IFERROR(__xludf.DUMMYFUNCTION("""COMPUTED_VALUE"""),"Neither")</f>
        <v>Neither</v>
      </c>
      <c r="AC843" s="5" t="str">
        <f ca="1">IFERROR(__xludf.DUMMYFUNCTION("""COMPUTED_VALUE"""),"No")</f>
        <v>No</v>
      </c>
      <c r="AD843" s="5" t="str">
        <f ca="1">IFERROR(__xludf.DUMMYFUNCTION("""COMPUTED_VALUE"""),"No")</f>
        <v>No</v>
      </c>
      <c r="AE843" s="5" t="str">
        <f ca="1">IFERROR(__xludf.DUMMYFUNCTION("""COMPUTED_VALUE"""),"No")</f>
        <v>No</v>
      </c>
      <c r="AF843" s="5" t="str">
        <f ca="1">IFERROR(__xludf.DUMMYFUNCTION("""COMPUTED_VALUE"""),"Yes")</f>
        <v>Yes</v>
      </c>
      <c r="AG843" s="5" t="str">
        <f ca="1">IFERROR(__xludf.DUMMYFUNCTION("""COMPUTED_VALUE"""),"N/A")</f>
        <v>N/A</v>
      </c>
      <c r="AH843" s="5" t="str">
        <f ca="1">IFERROR(__xludf.DUMMYFUNCTION("""COMPUTED_VALUE"""),"N/A")</f>
        <v>N/A</v>
      </c>
      <c r="AI843" s="5" t="str">
        <f ca="1">IFERROR(__xludf.DUMMYFUNCTION("""COMPUTED_VALUE"""),"N/A")</f>
        <v>N/A</v>
      </c>
      <c r="AJ843" s="5" t="str">
        <f ca="1">IFERROR(__xludf.DUMMYFUNCTION("""COMPUTED_VALUE"""),"No")</f>
        <v>No</v>
      </c>
    </row>
    <row r="844" spans="1:36" ht="13">
      <c r="A844" s="5" t="str">
        <f ca="1">IFERROR(__xludf.DUMMYFUNCTION("""COMPUTED_VALUE"""),"20190426GACRF")</f>
        <v>20190426GACRF</v>
      </c>
      <c r="B844" s="5">
        <f ca="1">IFERROR(__xludf.DUMMYFUNCTION("""COMPUTED_VALUE"""),4)</f>
        <v>4</v>
      </c>
      <c r="C844" s="5">
        <f ca="1">IFERROR(__xludf.DUMMYFUNCTION("""COMPUTED_VALUE"""),26)</f>
        <v>26</v>
      </c>
      <c r="D844" s="5">
        <f ca="1">IFERROR(__xludf.DUMMYFUNCTION("""COMPUTED_VALUE"""),2019)</f>
        <v>2019</v>
      </c>
      <c r="E844" s="8">
        <f ca="1">IFERROR(__xludf.DUMMYFUNCTION("""COMPUTED_VALUE"""),43581)</f>
        <v>43581</v>
      </c>
      <c r="F844" s="5" t="str">
        <f ca="1">IFERROR(__xludf.DUMMYFUNCTION("""COMPUTED_VALUE"""),"Creekside High School")</f>
        <v>Creekside High School</v>
      </c>
      <c r="G844" s="5">
        <f ca="1">IFERROR(__xludf.DUMMYFUNCTION("""COMPUTED_VALUE"""),0)</f>
        <v>0</v>
      </c>
      <c r="H844" s="5">
        <f ca="1">IFERROR(__xludf.DUMMYFUNCTION("""COMPUTED_VALUE"""),0)</f>
        <v>0</v>
      </c>
      <c r="I844" s="5">
        <f ca="1">IFERROR(__xludf.DUMMYFUNCTION("""COMPUTED_VALUE"""),0)</f>
        <v>0</v>
      </c>
      <c r="J844" s="5">
        <f ca="1">IFERROR(__xludf.DUMMYFUNCTION("""COMPUTED_VALUE"""),0)</f>
        <v>0</v>
      </c>
      <c r="K844" s="9" t="str">
        <f ca="1">IFERROR(__xludf.DUMMYFUNCTION("""COMPUTED_VALUE"""),"http://www.fox5atlanta.com/news/police-release-vehicle-description-in-fulton-county-school-bus-shooting")</f>
        <v>http://www.fox5atlanta.com/news/police-release-vehicle-description-in-fulton-county-school-bus-shooting</v>
      </c>
      <c r="L844" s="5"/>
      <c r="M844" s="5"/>
      <c r="N844" s="5">
        <f ca="1">IFERROR(__xludf.DUMMYFUNCTION("""COMPUTED_VALUE"""),3)</f>
        <v>3</v>
      </c>
      <c r="O844" s="5" t="str">
        <f ca="1">IFERROR(__xludf.DUMMYFUNCTION("""COMPUTED_VALUE"""),"Spring")</f>
        <v>Spring</v>
      </c>
      <c r="P844" s="5" t="str">
        <f ca="1">IFERROR(__xludf.DUMMYFUNCTION("""COMPUTED_VALUE"""),"Fairburn")</f>
        <v>Fairburn</v>
      </c>
      <c r="Q844" s="5" t="str">
        <f ca="1">IFERROR(__xludf.DUMMYFUNCTION("""COMPUTED_VALUE"""),"GA")</f>
        <v>GA</v>
      </c>
      <c r="R844" s="5" t="str">
        <f ca="1">IFERROR(__xludf.DUMMYFUNCTION("""COMPUTED_VALUE"""),"High")</f>
        <v>High</v>
      </c>
      <c r="S844" s="5" t="str">
        <f ca="1">IFERROR(__xludf.DUMMYFUNCTION("""COMPUTED_VALUE"""),"School Bus")</f>
        <v>School Bus</v>
      </c>
      <c r="T844" s="5" t="str">
        <f ca="1">IFERROR(__xludf.DUMMYFUNCTION("""COMPUTED_VALUE"""),"School Bus")</f>
        <v>School Bus</v>
      </c>
      <c r="U844" s="5" t="str">
        <f ca="1">IFERROR(__xludf.DUMMYFUNCTION("""COMPUTED_VALUE"""),"No")</f>
        <v>No</v>
      </c>
      <c r="V844" s="5" t="str">
        <f ca="1">IFERROR(__xludf.DUMMYFUNCTION("""COMPUTED_VALUE"""),"Dismissal")</f>
        <v>Dismissal</v>
      </c>
      <c r="W844" s="10">
        <f ca="1">IFERROR(__xludf.DUMMYFUNCTION("""COMPUTED_VALUE"""),0.6875)</f>
        <v>0.6875</v>
      </c>
      <c r="X844" s="5">
        <f ca="1">IFERROR(__xludf.DUMMYFUNCTION("""COMPUTED_VALUE"""),1)</f>
        <v>1</v>
      </c>
      <c r="Y844" s="5" t="str">
        <f ca="1">IFERROR(__xludf.DUMMYFUNCTION("""COMPUTED_VALUE"""),"Parent fired at school bus after argument with bus driver")</f>
        <v>Parent fired at school bus after argument with bus driver</v>
      </c>
      <c r="Z844" s="5" t="str">
        <f ca="1">IFERROR(__xludf.DUMMYFUNCTION("""COMPUTED_VALUE"""),"Car pulled in front of school bus and parent started argument with the bus driver. The car then pulled along the side of the bus and the passenger fired multiple shots at the bus then drove off. Students or the bus driver were not injured.")</f>
        <v>Car pulled in front of school bus and parent started argument with the bus driver. The car then pulled along the side of the bus and the passenger fired multiple shots at the bus then drove off. Students or the bus driver were not injured.</v>
      </c>
      <c r="AA844" s="5" t="str">
        <f ca="1">IFERROR(__xludf.DUMMYFUNCTION("""COMPUTED_VALUE"""),"Escalation of Dispute")</f>
        <v>Escalation of Dispute</v>
      </c>
      <c r="AB844" s="5" t="str">
        <f ca="1">IFERROR(__xludf.DUMMYFUNCTION("""COMPUTED_VALUE"""),"Victims Targeted")</f>
        <v>Victims Targeted</v>
      </c>
      <c r="AC844" s="5" t="str">
        <f ca="1">IFERROR(__xludf.DUMMYFUNCTION("""COMPUTED_VALUE"""),"Yes")</f>
        <v>Yes</v>
      </c>
      <c r="AD844" s="5" t="str">
        <f ca="1">IFERROR(__xludf.DUMMYFUNCTION("""COMPUTED_VALUE"""),"No")</f>
        <v>No</v>
      </c>
      <c r="AE844" s="5" t="str">
        <f ca="1">IFERROR(__xludf.DUMMYFUNCTION("""COMPUTED_VALUE"""),"No")</f>
        <v>No</v>
      </c>
      <c r="AF844" s="5" t="str">
        <f ca="1">IFERROR(__xludf.DUMMYFUNCTION("""COMPUTED_VALUE"""),"No")</f>
        <v>No</v>
      </c>
      <c r="AG844" s="5" t="str">
        <f ca="1">IFERROR(__xludf.DUMMYFUNCTION("""COMPUTED_VALUE"""),"No")</f>
        <v>No</v>
      </c>
      <c r="AH844" s="5"/>
      <c r="AI844" s="5" t="str">
        <f ca="1">IFERROR(__xludf.DUMMYFUNCTION("""COMPUTED_VALUE"""),"No")</f>
        <v>No</v>
      </c>
      <c r="AJ844" s="5" t="str">
        <f ca="1">IFERROR(__xludf.DUMMYFUNCTION("""COMPUTED_VALUE"""),"No")</f>
        <v>No</v>
      </c>
    </row>
    <row r="845" spans="1:36" ht="13">
      <c r="A845" s="5" t="str">
        <f ca="1">IFERROR(__xludf.DUMMYFUNCTION("""COMPUTED_VALUE"""),"20190425GAWYS")</f>
        <v>20190425GAWYS</v>
      </c>
      <c r="B845" s="5">
        <f ca="1">IFERROR(__xludf.DUMMYFUNCTION("""COMPUTED_VALUE"""),4)</f>
        <v>4</v>
      </c>
      <c r="C845" s="5">
        <f ca="1">IFERROR(__xludf.DUMMYFUNCTION("""COMPUTED_VALUE"""),25)</f>
        <v>25</v>
      </c>
      <c r="D845" s="5">
        <f ca="1">IFERROR(__xludf.DUMMYFUNCTION("""COMPUTED_VALUE"""),2019)</f>
        <v>2019</v>
      </c>
      <c r="E845" s="8">
        <f ca="1">IFERROR(__xludf.DUMMYFUNCTION("""COMPUTED_VALUE"""),43580)</f>
        <v>43580</v>
      </c>
      <c r="F845" s="5" t="str">
        <f ca="1">IFERROR(__xludf.DUMMYFUNCTION("""COMPUTED_VALUE"""),"Wynbrooke Elementary Theme School")</f>
        <v>Wynbrooke Elementary Theme School</v>
      </c>
      <c r="G845" s="5">
        <f ca="1">IFERROR(__xludf.DUMMYFUNCTION("""COMPUTED_VALUE"""),0)</f>
        <v>0</v>
      </c>
      <c r="H845" s="5">
        <f ca="1">IFERROR(__xludf.DUMMYFUNCTION("""COMPUTED_VALUE"""),0)</f>
        <v>0</v>
      </c>
      <c r="I845" s="5">
        <f ca="1">IFERROR(__xludf.DUMMYFUNCTION("""COMPUTED_VALUE"""),0)</f>
        <v>0</v>
      </c>
      <c r="J845" s="5">
        <f ca="1">IFERROR(__xludf.DUMMYFUNCTION("""COMPUTED_VALUE"""),0)</f>
        <v>0</v>
      </c>
      <c r="K845" s="5" t="str">
        <f ca="1">IFERROR(__xludf.DUMMYFUNCTION("""COMPUTED_VALUE"""),"https://www.ntd.com/teen-charged-in-pellet-gun-shooting-at-elementary-school_323731.html http://www.wlox.com/2019/04/26/children-shot-with-bb-or-pellet-gun-elementary-school-playground-georgia/ https://www.wsbtv.com/news/local/dekalb-county/large-police-p"&amp;"resence-at-dekalb-county-elementary-school/943409297 https://www.foxnews.com/us/10-students-hit-bb-pellet-gun-georgia-school")</f>
        <v>https://www.ntd.com/teen-charged-in-pellet-gun-shooting-at-elementary-school_323731.html http://www.wlox.com/2019/04/26/children-shot-with-bb-or-pellet-gun-elementary-school-playground-georgia/ https://www.wsbtv.com/news/local/dekalb-county/large-police-presence-at-dekalb-county-elementary-school/943409297 https://www.foxnews.com/us/10-students-hit-bb-pellet-gun-georgia-school</v>
      </c>
      <c r="L845" s="5">
        <f ca="1">IFERROR(__xludf.DUMMYFUNCTION("""COMPUTED_VALUE"""),11)</f>
        <v>11</v>
      </c>
      <c r="M845" s="5" t="str">
        <f ca="1">IFERROR(__xludf.DUMMYFUNCTION("""COMPUTED_VALUE"""),"National")</f>
        <v>National</v>
      </c>
      <c r="N845" s="5">
        <f ca="1">IFERROR(__xludf.DUMMYFUNCTION("""COMPUTED_VALUE"""),3)</f>
        <v>3</v>
      </c>
      <c r="O845" s="5" t="str">
        <f ca="1">IFERROR(__xludf.DUMMYFUNCTION("""COMPUTED_VALUE"""),"Spring")</f>
        <v>Spring</v>
      </c>
      <c r="P845" s="5" t="str">
        <f ca="1">IFERROR(__xludf.DUMMYFUNCTION("""COMPUTED_VALUE"""),"Stone Mountain")</f>
        <v>Stone Mountain</v>
      </c>
      <c r="Q845" s="5" t="str">
        <f ca="1">IFERROR(__xludf.DUMMYFUNCTION("""COMPUTED_VALUE"""),"GA")</f>
        <v>GA</v>
      </c>
      <c r="R845" s="5" t="str">
        <f ca="1">IFERROR(__xludf.DUMMYFUNCTION("""COMPUTED_VALUE"""),"Elementary")</f>
        <v>Elementary</v>
      </c>
      <c r="S845" s="5" t="str">
        <f ca="1">IFERROR(__xludf.DUMMYFUNCTION("""COMPUTED_VALUE"""),"Playground")</f>
        <v>Playground</v>
      </c>
      <c r="T845" s="5" t="str">
        <f ca="1">IFERROR(__xludf.DUMMYFUNCTION("""COMPUTED_VALUE"""),"Outside on School Property")</f>
        <v>Outside on School Property</v>
      </c>
      <c r="U845" s="5" t="str">
        <f ca="1">IFERROR(__xludf.DUMMYFUNCTION("""COMPUTED_VALUE"""),"Yes")</f>
        <v>Yes</v>
      </c>
      <c r="V845" s="5" t="str">
        <f ca="1">IFERROR(__xludf.DUMMYFUNCTION("""COMPUTED_VALUE"""),"Lunch")</f>
        <v>Lunch</v>
      </c>
      <c r="W845" s="10">
        <f ca="1">IFERROR(__xludf.DUMMYFUNCTION("""COMPUTED_VALUE"""),0.541666666666666)</f>
        <v>0.54166666666666596</v>
      </c>
      <c r="X845" s="5">
        <f ca="1">IFERROR(__xludf.DUMMYFUNCTION("""COMPUTED_VALUE"""),1)</f>
        <v>1</v>
      </c>
      <c r="Y845" s="5" t="str">
        <f ca="1">IFERROR(__xludf.DUMMYFUNCTION("""COMPUTED_VALUE"""),"BB/pellet gun projectiles shot from outside of the school hit 10 students")</f>
        <v>BB/pellet gun projectiles shot from outside of the school hit 10 students</v>
      </c>
      <c r="Z845" s="5" t="str">
        <f ca="1">IFERROR(__xludf.DUMMYFUNCTION("""COMPUTED_VALUE"""),"Elementary school students were playing outside in the schoolyard and 10 were hit by BB/pellet gun projectiles, reportedly coming from a wooded area outside the school property. Victim suffered minor injuries and were taken to the hospital. The school dis"&amp;"trict claimed that no one attempted to enter the building and the other staff and other students were not at risk. A student who was in the cafeteria allegedly heard reports for an active shooter and a teacher asked the janitor to lock the doors and close"&amp;" the blinds.")</f>
        <v>Elementary school students were playing outside in the schoolyard and 10 were hit by BB/pellet gun projectiles, reportedly coming from a wooded area outside the school property. Victim suffered minor injuries and were taken to the hospital. The school district claimed that no one attempted to enter the building and the other staff and other students were not at risk. A student who was in the cafeteria allegedly heard reports for an active shooter and a teacher asked the janitor to lock the doors and close the blinds.</v>
      </c>
      <c r="AA845" s="5" t="str">
        <f ca="1">IFERROR(__xludf.DUMMYFUNCTION("""COMPUTED_VALUE"""),"Indiscriminate Shooting")</f>
        <v>Indiscriminate Shooting</v>
      </c>
      <c r="AB845" s="5" t="str">
        <f ca="1">IFERROR(__xludf.DUMMYFUNCTION("""COMPUTED_VALUE"""),"Random Shooting")</f>
        <v>Random Shooting</v>
      </c>
      <c r="AC845" s="5"/>
      <c r="AD845" s="5" t="str">
        <f ca="1">IFERROR(__xludf.DUMMYFUNCTION("""COMPUTED_VALUE"""),"No")</f>
        <v>No</v>
      </c>
      <c r="AE845" s="5" t="str">
        <f ca="1">IFERROR(__xludf.DUMMYFUNCTION("""COMPUTED_VALUE"""),"No")</f>
        <v>No</v>
      </c>
      <c r="AF845" s="5" t="str">
        <f ca="1">IFERROR(__xludf.DUMMYFUNCTION("""COMPUTED_VALUE"""),"No")</f>
        <v>No</v>
      </c>
      <c r="AG845" s="5"/>
      <c r="AH845" s="5" t="str">
        <f ca="1">IFERROR(__xludf.DUMMYFUNCTION("""COMPUTED_VALUE"""),"No")</f>
        <v>No</v>
      </c>
      <c r="AI845" s="5"/>
      <c r="AJ845" s="5" t="str">
        <f ca="1">IFERROR(__xludf.DUMMYFUNCTION("""COMPUTED_VALUE"""),"Yes")</f>
        <v>Yes</v>
      </c>
    </row>
    <row r="846" spans="1:36" ht="13">
      <c r="A846" s="5" t="str">
        <f ca="1">IFERROR(__xludf.DUMMYFUNCTION("""COMPUTED_VALUE"""),"20190424ARCOC")</f>
        <v>20190424ARCOC</v>
      </c>
      <c r="B846" s="5">
        <f ca="1">IFERROR(__xludf.DUMMYFUNCTION("""COMPUTED_VALUE"""),4)</f>
        <v>4</v>
      </c>
      <c r="C846" s="5">
        <f ca="1">IFERROR(__xludf.DUMMYFUNCTION("""COMPUTED_VALUE"""),24)</f>
        <v>24</v>
      </c>
      <c r="D846" s="5">
        <f ca="1">IFERROR(__xludf.DUMMYFUNCTION("""COMPUTED_VALUE"""),2019)</f>
        <v>2019</v>
      </c>
      <c r="E846" s="8">
        <f ca="1">IFERROR(__xludf.DUMMYFUNCTION("""COMPUTED_VALUE"""),43579)</f>
        <v>43579</v>
      </c>
      <c r="F846" s="5" t="str">
        <f ca="1">IFERROR(__xludf.DUMMYFUNCTION("""COMPUTED_VALUE"""),"Concord High School")</f>
        <v>Concord High School</v>
      </c>
      <c r="G846" s="5">
        <f ca="1">IFERROR(__xludf.DUMMYFUNCTION("""COMPUTED_VALUE"""),0)</f>
        <v>0</v>
      </c>
      <c r="H846" s="5">
        <f ca="1">IFERROR(__xludf.DUMMYFUNCTION("""COMPUTED_VALUE"""),0)</f>
        <v>0</v>
      </c>
      <c r="I846" s="5">
        <f ca="1">IFERROR(__xludf.DUMMYFUNCTION("""COMPUTED_VALUE"""),0)</f>
        <v>0</v>
      </c>
      <c r="J846" s="5">
        <f ca="1">IFERROR(__xludf.DUMMYFUNCTION("""COMPUTED_VALUE"""),1)</f>
        <v>1</v>
      </c>
      <c r="K846" s="5" t="str">
        <f ca="1">IFERROR(__xludf.DUMMYFUNCTION("""COMPUTED_VALUE"""),"https://www.arkansasonline.com/news/2019/apr/24/authorties-responding-reported-shooting-arkansas-s/ https://www.arktimes.com/ArkansasBlog/archives/2019/04/24/shooting-reported-at-concord-school-in-cleburne-county")</f>
        <v>https://www.arkansasonline.com/news/2019/apr/24/authorties-responding-reported-shooting-arkansas-s/ https://www.arktimes.com/ArkansasBlog/archives/2019/04/24/shooting-reported-at-concord-school-in-cleburne-county</v>
      </c>
      <c r="L846" s="5"/>
      <c r="M846" s="5"/>
      <c r="N846" s="5">
        <f ca="1">IFERROR(__xludf.DUMMYFUNCTION("""COMPUTED_VALUE"""),4)</f>
        <v>4</v>
      </c>
      <c r="O846" s="5" t="str">
        <f ca="1">IFERROR(__xludf.DUMMYFUNCTION("""COMPUTED_VALUE"""),"Spring")</f>
        <v>Spring</v>
      </c>
      <c r="P846" s="5" t="str">
        <f ca="1">IFERROR(__xludf.DUMMYFUNCTION("""COMPUTED_VALUE"""),"Concord")</f>
        <v>Concord</v>
      </c>
      <c r="Q846" s="5" t="str">
        <f ca="1">IFERROR(__xludf.DUMMYFUNCTION("""COMPUTED_VALUE"""),"AR")</f>
        <v>AR</v>
      </c>
      <c r="R846" s="5" t="str">
        <f ca="1">IFERROR(__xludf.DUMMYFUNCTION("""COMPUTED_VALUE"""),"High")</f>
        <v>High</v>
      </c>
      <c r="S846" s="5" t="str">
        <f ca="1">IFERROR(__xludf.DUMMYFUNCTION("""COMPUTED_VALUE"""),"Bathroom")</f>
        <v>Bathroom</v>
      </c>
      <c r="T846" s="5" t="str">
        <f ca="1">IFERROR(__xludf.DUMMYFUNCTION("""COMPUTED_VALUE"""),"Inside School Building")</f>
        <v>Inside School Building</v>
      </c>
      <c r="U846" s="5" t="str">
        <f ca="1">IFERROR(__xludf.DUMMYFUNCTION("""COMPUTED_VALUE"""),"Yes")</f>
        <v>Yes</v>
      </c>
      <c r="V846" s="5" t="str">
        <f ca="1">IFERROR(__xludf.DUMMYFUNCTION("""COMPUTED_VALUE"""),"Lunch")</f>
        <v>Lunch</v>
      </c>
      <c r="W846" s="10">
        <f ca="1">IFERROR(__xludf.DUMMYFUNCTION("""COMPUTED_VALUE"""),0.527777777777777)</f>
        <v>0.52777777777777701</v>
      </c>
      <c r="X846" s="5">
        <f ca="1">IFERROR(__xludf.DUMMYFUNCTION("""COMPUTED_VALUE"""),1)</f>
        <v>1</v>
      </c>
      <c r="Y846" s="5" t="str">
        <f ca="1">IFERROR(__xludf.DUMMYFUNCTION("""COMPUTED_VALUE"""),"Student shot himself in the school bathroom")</f>
        <v>Student shot himself in the school bathroom</v>
      </c>
      <c r="Z846" s="5" t="str">
        <f ca="1">IFERROR(__xludf.DUMMYFUNCTION("""COMPUTED_VALUE"""),"14YOM student shot himself in the school bathroom. No other students or staff injured. School shooting was reported by law enforcement. School locked down and then dismissed.")</f>
        <v>14YOM student shot himself in the school bathroom. No other students or staff injured. School shooting was reported by law enforcement. School locked down and then dismissed.</v>
      </c>
      <c r="AA846" s="5" t="str">
        <f ca="1">IFERROR(__xludf.DUMMYFUNCTION("""COMPUTED_VALUE"""),"Suicide/Attempted")</f>
        <v>Suicide/Attempted</v>
      </c>
      <c r="AB846" s="5" t="str">
        <f ca="1">IFERROR(__xludf.DUMMYFUNCTION("""COMPUTED_VALUE"""),"Victims Targeted")</f>
        <v>Victims Targeted</v>
      </c>
      <c r="AC846" s="5" t="str">
        <f ca="1">IFERROR(__xludf.DUMMYFUNCTION("""COMPUTED_VALUE"""),"No")</f>
        <v>No</v>
      </c>
      <c r="AD846" s="5" t="str">
        <f ca="1">IFERROR(__xludf.DUMMYFUNCTION("""COMPUTED_VALUE"""),"No")</f>
        <v>No</v>
      </c>
      <c r="AE846" s="5" t="str">
        <f ca="1">IFERROR(__xludf.DUMMYFUNCTION("""COMPUTED_VALUE"""),"No")</f>
        <v>No</v>
      </c>
      <c r="AF846" s="5" t="str">
        <f ca="1">IFERROR(__xludf.DUMMYFUNCTION("""COMPUTED_VALUE"""),"No")</f>
        <v>No</v>
      </c>
      <c r="AG846" s="5"/>
      <c r="AH846" s="5" t="str">
        <f ca="1">IFERROR(__xludf.DUMMYFUNCTION("""COMPUTED_VALUE"""),"No")</f>
        <v>No</v>
      </c>
      <c r="AI846" s="5" t="str">
        <f ca="1">IFERROR(__xludf.DUMMYFUNCTION("""COMPUTED_VALUE"""),"No")</f>
        <v>No</v>
      </c>
      <c r="AJ846" s="5" t="str">
        <f ca="1">IFERROR(__xludf.DUMMYFUNCTION("""COMPUTED_VALUE"""),"No")</f>
        <v>No</v>
      </c>
    </row>
    <row r="847" spans="1:36" ht="13">
      <c r="A847" s="5" t="str">
        <f ca="1">IFERROR(__xludf.DUMMYFUNCTION("""COMPUTED_VALUE"""),"20190417ILWAL")</f>
        <v>20190417ILWAL</v>
      </c>
      <c r="B847" s="5">
        <f ca="1">IFERROR(__xludf.DUMMYFUNCTION("""COMPUTED_VALUE"""),4)</f>
        <v>4</v>
      </c>
      <c r="C847" s="5">
        <f ca="1">IFERROR(__xludf.DUMMYFUNCTION("""COMPUTED_VALUE"""),17)</f>
        <v>17</v>
      </c>
      <c r="D847" s="5">
        <f ca="1">IFERROR(__xludf.DUMMYFUNCTION("""COMPUTED_VALUE"""),2019)</f>
        <v>2019</v>
      </c>
      <c r="E847" s="8">
        <f ca="1">IFERROR(__xludf.DUMMYFUNCTION("""COMPUTED_VALUE"""),43572)</f>
        <v>43572</v>
      </c>
      <c r="F847" s="5" t="str">
        <f ca="1">IFERROR(__xludf.DUMMYFUNCTION("""COMPUTED_VALUE"""),"Washington Middle School")</f>
        <v>Washington Middle School</v>
      </c>
      <c r="G847" s="5">
        <f ca="1">IFERROR(__xludf.DUMMYFUNCTION("""COMPUTED_VALUE"""),0)</f>
        <v>0</v>
      </c>
      <c r="H847" s="5">
        <f ca="1">IFERROR(__xludf.DUMMYFUNCTION("""COMPUTED_VALUE"""),0)</f>
        <v>0</v>
      </c>
      <c r="I847" s="5">
        <f ca="1">IFERROR(__xludf.DUMMYFUNCTION("""COMPUTED_VALUE"""),0)</f>
        <v>0</v>
      </c>
      <c r="J847" s="5">
        <f ca="1">IFERROR(__xludf.DUMMYFUNCTION("""COMPUTED_VALUE"""),1)</f>
        <v>1</v>
      </c>
      <c r="K847" s="5" t="str">
        <f ca="1">IFERROR(__xludf.DUMMYFUNCTION("""COMPUTED_VALUE"""),"https://patch.com/illinois/lagrange/student-dies-self-inflicted-gunshot-lyons-middle-school  https://chicago.cbslocal.com/2019/04/17/lyons-middle-school-student-dies-after-shooting-himself-on-campus/")</f>
        <v>https://patch.com/illinois/lagrange/student-dies-self-inflicted-gunshot-lyons-middle-school  https://chicago.cbslocal.com/2019/04/17/lyons-middle-school-student-dies-after-shooting-himself-on-campus/</v>
      </c>
      <c r="L847" s="5"/>
      <c r="M847" s="5"/>
      <c r="N847" s="5">
        <f ca="1">IFERROR(__xludf.DUMMYFUNCTION("""COMPUTED_VALUE"""),4)</f>
        <v>4</v>
      </c>
      <c r="O847" s="5" t="str">
        <f ca="1">IFERROR(__xludf.DUMMYFUNCTION("""COMPUTED_VALUE"""),"Spring")</f>
        <v>Spring</v>
      </c>
      <c r="P847" s="5" t="str">
        <f ca="1">IFERROR(__xludf.DUMMYFUNCTION("""COMPUTED_VALUE"""),"Lyons")</f>
        <v>Lyons</v>
      </c>
      <c r="Q847" s="5" t="str">
        <f ca="1">IFERROR(__xludf.DUMMYFUNCTION("""COMPUTED_VALUE"""),"IL")</f>
        <v>IL</v>
      </c>
      <c r="R847" s="5" t="str">
        <f ca="1">IFERROR(__xludf.DUMMYFUNCTION("""COMPUTED_VALUE"""),"Middle")</f>
        <v>Middle</v>
      </c>
      <c r="S847" s="5" t="str">
        <f ca="1">IFERROR(__xludf.DUMMYFUNCTION("""COMPUTED_VALUE"""),"Bathroom")</f>
        <v>Bathroom</v>
      </c>
      <c r="T847" s="5" t="str">
        <f ca="1">IFERROR(__xludf.DUMMYFUNCTION("""COMPUTED_VALUE"""),"Inside School Building")</f>
        <v>Inside School Building</v>
      </c>
      <c r="U847" s="5" t="str">
        <f ca="1">IFERROR(__xludf.DUMMYFUNCTION("""COMPUTED_VALUE"""),"Yes")</f>
        <v>Yes</v>
      </c>
      <c r="V847" s="5" t="str">
        <f ca="1">IFERROR(__xludf.DUMMYFUNCTION("""COMPUTED_VALUE"""),"Afternoon Classes")</f>
        <v>Afternoon Classes</v>
      </c>
      <c r="W847" s="10">
        <f ca="1">IFERROR(__xludf.DUMMYFUNCTION("""COMPUTED_VALUE"""),0.5625)</f>
        <v>0.5625</v>
      </c>
      <c r="X847" s="5">
        <f ca="1">IFERROR(__xludf.DUMMYFUNCTION("""COMPUTED_VALUE"""),1)</f>
        <v>1</v>
      </c>
      <c r="Y847" s="5" t="str">
        <f ca="1">IFERROR(__xludf.DUMMYFUNCTION("""COMPUTED_VALUE"""),"Student shot himself in the school bathroom")</f>
        <v>Student shot himself in the school bathroom</v>
      </c>
      <c r="Z847" s="5" t="str">
        <f ca="1">IFERROR(__xludf.DUMMYFUNCTION("""COMPUTED_VALUE"""),"7th grade student shot himself in the bathroom of the school. No other students or staff were injured. School was locked down for 1 hour and then dismissed.")</f>
        <v>7th grade student shot himself in the bathroom of the school. No other students or staff were injured. School was locked down for 1 hour and then dismissed.</v>
      </c>
      <c r="AA847" s="5" t="str">
        <f ca="1">IFERROR(__xludf.DUMMYFUNCTION("""COMPUTED_VALUE"""),"Suicide/Attempted")</f>
        <v>Suicide/Attempted</v>
      </c>
      <c r="AB847" s="5" t="str">
        <f ca="1">IFERROR(__xludf.DUMMYFUNCTION("""COMPUTED_VALUE"""),"Victims Targeted")</f>
        <v>Victims Targeted</v>
      </c>
      <c r="AC847" s="5" t="str">
        <f ca="1">IFERROR(__xludf.DUMMYFUNCTION("""COMPUTED_VALUE"""),"No")</f>
        <v>No</v>
      </c>
      <c r="AD847" s="5" t="str">
        <f ca="1">IFERROR(__xludf.DUMMYFUNCTION("""COMPUTED_VALUE"""),"No")</f>
        <v>No</v>
      </c>
      <c r="AE847" s="5" t="str">
        <f ca="1">IFERROR(__xludf.DUMMYFUNCTION("""COMPUTED_VALUE"""),"No")</f>
        <v>No</v>
      </c>
      <c r="AF847" s="5" t="str">
        <f ca="1">IFERROR(__xludf.DUMMYFUNCTION("""COMPUTED_VALUE"""),"No")</f>
        <v>No</v>
      </c>
      <c r="AG847" s="5"/>
      <c r="AH847" s="5" t="str">
        <f ca="1">IFERROR(__xludf.DUMMYFUNCTION("""COMPUTED_VALUE"""),"No")</f>
        <v>No</v>
      </c>
      <c r="AI847" s="5" t="str">
        <f ca="1">IFERROR(__xludf.DUMMYFUNCTION("""COMPUTED_VALUE"""),"No")</f>
        <v>No</v>
      </c>
      <c r="AJ847" s="5" t="str">
        <f ca="1">IFERROR(__xludf.DUMMYFUNCTION("""COMPUTED_VALUE"""),"No")</f>
        <v>No</v>
      </c>
    </row>
    <row r="848" spans="1:36" ht="13">
      <c r="A848" s="5" t="str">
        <f ca="1">IFERROR(__xludf.DUMMYFUNCTION("""COMPUTED_VALUE"""),"20190410TXROH")</f>
        <v>20190410TXROH</v>
      </c>
      <c r="B848" s="5">
        <f ca="1">IFERROR(__xludf.DUMMYFUNCTION("""COMPUTED_VALUE"""),4)</f>
        <v>4</v>
      </c>
      <c r="C848" s="5">
        <f ca="1">IFERROR(__xludf.DUMMYFUNCTION("""COMPUTED_VALUE"""),10)</f>
        <v>10</v>
      </c>
      <c r="D848" s="5">
        <f ca="1">IFERROR(__xludf.DUMMYFUNCTION("""COMPUTED_VALUE"""),2019)</f>
        <v>2019</v>
      </c>
      <c r="E848" s="8">
        <f ca="1">IFERROR(__xludf.DUMMYFUNCTION("""COMPUTED_VALUE"""),43565)</f>
        <v>43565</v>
      </c>
      <c r="F848" s="5" t="str">
        <f ca="1">IFERROR(__xludf.DUMMYFUNCTION("""COMPUTED_VALUE"""),"Ross Shaw Sterling Aviation High School")</f>
        <v>Ross Shaw Sterling Aviation High School</v>
      </c>
      <c r="G848" s="5">
        <f ca="1">IFERROR(__xludf.DUMMYFUNCTION("""COMPUTED_VALUE"""),0)</f>
        <v>0</v>
      </c>
      <c r="H848" s="5">
        <f ca="1">IFERROR(__xludf.DUMMYFUNCTION("""COMPUTED_VALUE"""),1)</f>
        <v>1</v>
      </c>
      <c r="I848" s="5">
        <f ca="1">IFERROR(__xludf.DUMMYFUNCTION("""COMPUTED_VALUE"""),1)</f>
        <v>1</v>
      </c>
      <c r="J848" s="5">
        <f ca="1">IFERROR(__xludf.DUMMYFUNCTION("""COMPUTED_VALUE"""),0)</f>
        <v>0</v>
      </c>
      <c r="K848" s="5" t="str">
        <f ca="1">IFERROR(__xludf.DUMMYFUNCTION("""COMPUTED_VALUE"""),"https://www.khou.com/article/news/local/sterling-high-school-student-shot-while-playing-basketball-on-campus/285-69c70584-81e2-4db1-b47d-2ce2e2f5377b https://abc13.com/15-year-old-hit-by-stray-bullet-while-playing-basketball/5242553/")</f>
        <v>https://www.khou.com/article/news/local/sterling-high-school-student-shot-while-playing-basketball-on-campus/285-69c70584-81e2-4db1-b47d-2ce2e2f5377b https://abc13.com/15-year-old-hit-by-stray-bullet-while-playing-basketball/5242553/</v>
      </c>
      <c r="L848" s="5"/>
      <c r="M848" s="5"/>
      <c r="N848" s="5">
        <f ca="1">IFERROR(__xludf.DUMMYFUNCTION("""COMPUTED_VALUE"""),4)</f>
        <v>4</v>
      </c>
      <c r="O848" s="5" t="str">
        <f ca="1">IFERROR(__xludf.DUMMYFUNCTION("""COMPUTED_VALUE"""),"Spring")</f>
        <v>Spring</v>
      </c>
      <c r="P848" s="5" t="str">
        <f ca="1">IFERROR(__xludf.DUMMYFUNCTION("""COMPUTED_VALUE"""),"Houston")</f>
        <v>Houston</v>
      </c>
      <c r="Q848" s="5" t="str">
        <f ca="1">IFERROR(__xludf.DUMMYFUNCTION("""COMPUTED_VALUE"""),"TX")</f>
        <v>TX</v>
      </c>
      <c r="R848" s="5" t="str">
        <f ca="1">IFERROR(__xludf.DUMMYFUNCTION("""COMPUTED_VALUE"""),"High")</f>
        <v>High</v>
      </c>
      <c r="S848" s="5" t="str">
        <f ca="1">IFERROR(__xludf.DUMMYFUNCTION("""COMPUTED_VALUE"""),"Basketball Court")</f>
        <v>Basketball Court</v>
      </c>
      <c r="T848" s="5" t="str">
        <f ca="1">IFERROR(__xludf.DUMMYFUNCTION("""COMPUTED_VALUE"""),"Outside on School Property")</f>
        <v>Outside on School Property</v>
      </c>
      <c r="U848" s="5" t="str">
        <f ca="1">IFERROR(__xludf.DUMMYFUNCTION("""COMPUTED_VALUE"""),"No")</f>
        <v>No</v>
      </c>
      <c r="V848" s="5" t="str">
        <f ca="1">IFERROR(__xludf.DUMMYFUNCTION("""COMPUTED_VALUE"""),"After School")</f>
        <v>After School</v>
      </c>
      <c r="W848" s="10">
        <f ca="1">IFERROR(__xludf.DUMMYFUNCTION("""COMPUTED_VALUE"""),0.666666666666666)</f>
        <v>0.66666666666666596</v>
      </c>
      <c r="X848" s="5">
        <f ca="1">IFERROR(__xludf.DUMMYFUNCTION("""COMPUTED_VALUE"""),1)</f>
        <v>1</v>
      </c>
      <c r="Y848" s="5" t="str">
        <f ca="1">IFERROR(__xludf.DUMMYFUNCTION("""COMPUTED_VALUE"""),"Bullet fired in gang shooting hit student 1/2 mile away on school basketball court")</f>
        <v>Bullet fired in gang shooting hit student 1/2 mile away on school basketball court</v>
      </c>
      <c r="Z848" s="5" t="str">
        <f ca="1">IFERROR(__xludf.DUMMYFUNCTION("""COMPUTED_VALUE"""),"Student playing basketball was struck by rifle round fired from 1/2 mile away. Suspects in vehicle fired pistol and rifle at rival gang members in apartment complex. 20 rounds fired. No suspects identified.")</f>
        <v>Student playing basketball was struck by rifle round fired from 1/2 mile away. Suspects in vehicle fired pistol and rifle at rival gang members in apartment complex. 20 rounds fired. No suspects identified.</v>
      </c>
      <c r="AA848" s="5" t="str">
        <f ca="1">IFERROR(__xludf.DUMMYFUNCTION("""COMPUTED_VALUE"""),"Drive-by Shooting")</f>
        <v>Drive-by Shooting</v>
      </c>
      <c r="AB848" s="5" t="str">
        <f ca="1">IFERROR(__xludf.DUMMYFUNCTION("""COMPUTED_VALUE"""),"Victims Targeted")</f>
        <v>Victims Targeted</v>
      </c>
      <c r="AC848" s="5" t="str">
        <f ca="1">IFERROR(__xludf.DUMMYFUNCTION("""COMPUTED_VALUE"""),"Yes")</f>
        <v>Yes</v>
      </c>
      <c r="AD848" s="5" t="str">
        <f ca="1">IFERROR(__xludf.DUMMYFUNCTION("""COMPUTED_VALUE"""),"No")</f>
        <v>No</v>
      </c>
      <c r="AE848" s="5" t="str">
        <f ca="1">IFERROR(__xludf.DUMMYFUNCTION("""COMPUTED_VALUE"""),"No")</f>
        <v>No</v>
      </c>
      <c r="AF848" s="5" t="str">
        <f ca="1">IFERROR(__xludf.DUMMYFUNCTION("""COMPUTED_VALUE"""),"No")</f>
        <v>No</v>
      </c>
      <c r="AG848" s="5" t="str">
        <f ca="1">IFERROR(__xludf.DUMMYFUNCTION("""COMPUTED_VALUE"""),"No")</f>
        <v>No</v>
      </c>
      <c r="AH848" s="5" t="str">
        <f ca="1">IFERROR(__xludf.DUMMYFUNCTION("""COMPUTED_VALUE"""),"No")</f>
        <v>No</v>
      </c>
      <c r="AI848" s="5" t="str">
        <f ca="1">IFERROR(__xludf.DUMMYFUNCTION("""COMPUTED_VALUE"""),"Yes")</f>
        <v>Yes</v>
      </c>
      <c r="AJ848" s="5" t="str">
        <f ca="1">IFERROR(__xludf.DUMMYFUNCTION("""COMPUTED_VALUE"""),"No")</f>
        <v>No</v>
      </c>
    </row>
    <row r="849" spans="1:36" ht="13">
      <c r="A849" s="5" t="str">
        <f ca="1">IFERROR(__xludf.DUMMYFUNCTION("""COMPUTED_VALUE"""),"20190407MAHOL")</f>
        <v>20190407MAHOL</v>
      </c>
      <c r="B849" s="5">
        <f ca="1">IFERROR(__xludf.DUMMYFUNCTION("""COMPUTED_VALUE"""),4)</f>
        <v>4</v>
      </c>
      <c r="C849" s="5">
        <f ca="1">IFERROR(__xludf.DUMMYFUNCTION("""COMPUTED_VALUE"""),7)</f>
        <v>7</v>
      </c>
      <c r="D849" s="5">
        <f ca="1">IFERROR(__xludf.DUMMYFUNCTION("""COMPUTED_VALUE"""),2019)</f>
        <v>2019</v>
      </c>
      <c r="E849" s="8">
        <f ca="1">IFERROR(__xludf.DUMMYFUNCTION("""COMPUTED_VALUE"""),43562)</f>
        <v>43562</v>
      </c>
      <c r="F849" s="5" t="str">
        <f ca="1">IFERROR(__xludf.DUMMYFUNCTION("""COMPUTED_VALUE"""),"Hood Elementary School")</f>
        <v>Hood Elementary School</v>
      </c>
      <c r="G849" s="5">
        <f ca="1">IFERROR(__xludf.DUMMYFUNCTION("""COMPUTED_VALUE"""),0)</f>
        <v>0</v>
      </c>
      <c r="H849" s="5">
        <f ca="1">IFERROR(__xludf.DUMMYFUNCTION("""COMPUTED_VALUE"""),0)</f>
        <v>0</v>
      </c>
      <c r="I849" s="5">
        <f ca="1">IFERROR(__xludf.DUMMYFUNCTION("""COMPUTED_VALUE"""),0)</f>
        <v>0</v>
      </c>
      <c r="J849" s="5">
        <f ca="1">IFERROR(__xludf.DUMMYFUNCTION("""COMPUTED_VALUE"""),0)</f>
        <v>0</v>
      </c>
      <c r="K849" s="9" t="str">
        <f ca="1">IFERROR(__xludf.DUMMYFUNCTION("""COMPUTED_VALUE"""),"https://www.kxro.com/montesano-police-arrest-student-after-school-shooting-statements/")</f>
        <v>https://www.kxro.com/montesano-police-arrest-student-after-school-shooting-statements/</v>
      </c>
      <c r="L849" s="5"/>
      <c r="M849" s="5"/>
      <c r="N849" s="5">
        <f ca="1">IFERROR(__xludf.DUMMYFUNCTION("""COMPUTED_VALUE"""),3)</f>
        <v>3</v>
      </c>
      <c r="O849" s="5" t="str">
        <f ca="1">IFERROR(__xludf.DUMMYFUNCTION("""COMPUTED_VALUE"""),"Spring")</f>
        <v>Spring</v>
      </c>
      <c r="P849" s="5" t="str">
        <f ca="1">IFERROR(__xludf.DUMMYFUNCTION("""COMPUTED_VALUE"""),"Lynn")</f>
        <v>Lynn</v>
      </c>
      <c r="Q849" s="5" t="str">
        <f ca="1">IFERROR(__xludf.DUMMYFUNCTION("""COMPUTED_VALUE"""),"MA")</f>
        <v>MA</v>
      </c>
      <c r="R849" s="5" t="str">
        <f ca="1">IFERROR(__xludf.DUMMYFUNCTION("""COMPUTED_VALUE"""),"Elementary")</f>
        <v>Elementary</v>
      </c>
      <c r="S849" s="5" t="str">
        <f ca="1">IFERROR(__xludf.DUMMYFUNCTION("""COMPUTED_VALUE"""),"Beside Building")</f>
        <v>Beside Building</v>
      </c>
      <c r="T849" s="5" t="str">
        <f ca="1">IFERROR(__xludf.DUMMYFUNCTION("""COMPUTED_VALUE"""),"Outside on School Property")</f>
        <v>Outside on School Property</v>
      </c>
      <c r="U849" s="5" t="str">
        <f ca="1">IFERROR(__xludf.DUMMYFUNCTION("""COMPUTED_VALUE"""),"No")</f>
        <v>No</v>
      </c>
      <c r="V849" s="5" t="str">
        <f ca="1">IFERROR(__xludf.DUMMYFUNCTION("""COMPUTED_VALUE"""),"Night")</f>
        <v>Night</v>
      </c>
      <c r="W849" s="5"/>
      <c r="X849" s="5"/>
      <c r="Y849" s="5" t="str">
        <f ca="1">IFERROR(__xludf.DUMMYFUNCTION("""COMPUTED_VALUE"""),"Shots fired at unoccupied school building")</f>
        <v>Shots fired at unoccupied school building</v>
      </c>
      <c r="Z849" s="5" t="str">
        <f ca="1">IFERROR(__xludf.DUMMYFUNCTION("""COMPUTED_VALUE"""),"Teacher on Monday morning found spent casings and bullet holes in a portable classroom at the start of the school day. Shooting had occurred over the weekend. Students were no in the classroom and were moved to another location for the remainder of the da"&amp;"y.")</f>
        <v>Teacher on Monday morning found spent casings and bullet holes in a portable classroom at the start of the school day. Shooting had occurred over the weekend. Students were no in the classroom and were moved to another location for the remainder of the day.</v>
      </c>
      <c r="AA849" s="5" t="str">
        <f ca="1">IFERROR(__xludf.DUMMYFUNCTION("""COMPUTED_VALUE"""),"Intentional Property Damage")</f>
        <v>Intentional Property Damage</v>
      </c>
      <c r="AB849" s="5"/>
      <c r="AC849" s="5"/>
      <c r="AD849" s="5" t="str">
        <f ca="1">IFERROR(__xludf.DUMMYFUNCTION("""COMPUTED_VALUE"""),"No")</f>
        <v>No</v>
      </c>
      <c r="AE849" s="5" t="str">
        <f ca="1">IFERROR(__xludf.DUMMYFUNCTION("""COMPUTED_VALUE"""),"No")</f>
        <v>No</v>
      </c>
      <c r="AF849" s="5" t="str">
        <f ca="1">IFERROR(__xludf.DUMMYFUNCTION("""COMPUTED_VALUE"""),"No")</f>
        <v>No</v>
      </c>
      <c r="AG849" s="5" t="str">
        <f ca="1">IFERROR(__xludf.DUMMYFUNCTION("""COMPUTED_VALUE"""),"No")</f>
        <v>No</v>
      </c>
      <c r="AH849" s="5" t="str">
        <f ca="1">IFERROR(__xludf.DUMMYFUNCTION("""COMPUTED_VALUE"""),"No")</f>
        <v>No</v>
      </c>
      <c r="AI849" s="5"/>
      <c r="AJ849" s="5" t="str">
        <f ca="1">IFERROR(__xludf.DUMMYFUNCTION("""COMPUTED_VALUE"""),"No")</f>
        <v>No</v>
      </c>
    </row>
    <row r="850" spans="1:36" ht="13">
      <c r="A850" s="5" t="str">
        <f ca="1">IFERROR(__xludf.DUMMYFUNCTION("""COMPUTED_VALUE"""),"20190405WISTM")</f>
        <v>20190405WISTM</v>
      </c>
      <c r="B850" s="5">
        <f ca="1">IFERROR(__xludf.DUMMYFUNCTION("""COMPUTED_VALUE"""),4)</f>
        <v>4</v>
      </c>
      <c r="C850" s="5">
        <f ca="1">IFERROR(__xludf.DUMMYFUNCTION("""COMPUTED_VALUE"""),5)</f>
        <v>5</v>
      </c>
      <c r="D850" s="5">
        <f ca="1">IFERROR(__xludf.DUMMYFUNCTION("""COMPUTED_VALUE"""),2019)</f>
        <v>2019</v>
      </c>
      <c r="E850" s="8">
        <f ca="1">IFERROR(__xludf.DUMMYFUNCTION("""COMPUTED_VALUE"""),43560)</f>
        <v>43560</v>
      </c>
      <c r="F850" s="5" t="str">
        <f ca="1">IFERROR(__xludf.DUMMYFUNCTION("""COMPUTED_VALUE"""),"St. Josaphat Parish School")</f>
        <v>St. Josaphat Parish School</v>
      </c>
      <c r="G850" s="5">
        <f ca="1">IFERROR(__xludf.DUMMYFUNCTION("""COMPUTED_VALUE"""),0)</f>
        <v>0</v>
      </c>
      <c r="H850" s="5">
        <f ca="1">IFERROR(__xludf.DUMMYFUNCTION("""COMPUTED_VALUE"""),1)</f>
        <v>1</v>
      </c>
      <c r="I850" s="5">
        <f ca="1">IFERROR(__xludf.DUMMYFUNCTION("""COMPUTED_VALUE"""),1)</f>
        <v>1</v>
      </c>
      <c r="J850" s="5">
        <f ca="1">IFERROR(__xludf.DUMMYFUNCTION("""COMPUTED_VALUE"""),0)</f>
        <v>0</v>
      </c>
      <c r="K850" s="5" t="str">
        <f ca="1">IFERROR(__xludf.DUMMYFUNCTION("""COMPUTED_VALUE"""),"https://www.cbs58.com/news/two-women-charged-in-connection-to-shooting-at-st-josaphat-parish-school
https://fox6now.com/2019/04/24/administrator-says-employee-immediately-terminated-after-gun-went-off-at-st-josaphat-school/ https://www.tmj4.com/news/local"&amp;"-news/st-josaphat-parish-school-employee-arrested-after-gun-goes-off-in-school https://waow.com/news/top-stories/2019/06/14/2-teachers-charged-after-10-year-old-injured-in-school-shooting/ http://www.startribune.com/former-janitor-sentenced-for-school-sho"&amp;"oting/560334252/")</f>
        <v>https://www.cbs58.com/news/two-women-charged-in-connection-to-shooting-at-st-josaphat-parish-school
https://fox6now.com/2019/04/24/administrator-says-employee-immediately-terminated-after-gun-went-off-at-st-josaphat-school/ https://www.tmj4.com/news/local-news/st-josaphat-parish-school-employee-arrested-after-gun-goes-off-in-school https://waow.com/news/top-stories/2019/06/14/2-teachers-charged-after-10-year-old-injured-in-school-shooting/ http://www.startribune.com/former-janitor-sentenced-for-school-shooting/560334252/</v>
      </c>
      <c r="L850" s="5"/>
      <c r="M850" s="5"/>
      <c r="N850" s="5">
        <f ca="1">IFERROR(__xludf.DUMMYFUNCTION("""COMPUTED_VALUE"""),4)</f>
        <v>4</v>
      </c>
      <c r="O850" s="5" t="str">
        <f ca="1">IFERROR(__xludf.DUMMYFUNCTION("""COMPUTED_VALUE"""),"Spring")</f>
        <v>Spring</v>
      </c>
      <c r="P850" s="5" t="str">
        <f ca="1">IFERROR(__xludf.DUMMYFUNCTION("""COMPUTED_VALUE"""),"Milwaukee")</f>
        <v>Milwaukee</v>
      </c>
      <c r="Q850" s="5" t="str">
        <f ca="1">IFERROR(__xludf.DUMMYFUNCTION("""COMPUTED_VALUE"""),"WI")</f>
        <v>WI</v>
      </c>
      <c r="R850" s="5" t="str">
        <f ca="1">IFERROR(__xludf.DUMMYFUNCTION("""COMPUTED_VALUE"""),"Other")</f>
        <v>Other</v>
      </c>
      <c r="S850" s="5" t="str">
        <f ca="1">IFERROR(__xludf.DUMMYFUNCTION("""COMPUTED_VALUE"""),"Hallway")</f>
        <v>Hallway</v>
      </c>
      <c r="T850" s="5" t="str">
        <f ca="1">IFERROR(__xludf.DUMMYFUNCTION("""COMPUTED_VALUE"""),"Inside School Building")</f>
        <v>Inside School Building</v>
      </c>
      <c r="U850" s="5" t="str">
        <f ca="1">IFERROR(__xludf.DUMMYFUNCTION("""COMPUTED_VALUE"""),"Yes")</f>
        <v>Yes</v>
      </c>
      <c r="V850" s="5" t="str">
        <f ca="1">IFERROR(__xludf.DUMMYFUNCTION("""COMPUTED_VALUE"""),"Morning Classes")</f>
        <v>Morning Classes</v>
      </c>
      <c r="W850" s="5"/>
      <c r="X850" s="5">
        <f ca="1">IFERROR(__xludf.DUMMYFUNCTION("""COMPUTED_VALUE"""),1)</f>
        <v>1</v>
      </c>
      <c r="Y850" s="5" t="str">
        <f ca="1">IFERROR(__xludf.DUMMYFUNCTION("""COMPUTED_VALUE"""),"Accidental discharge of school employees handgun grazed student.")</f>
        <v>Accidental discharge of school employees handgun grazed student.</v>
      </c>
      <c r="Z850" s="5" t="str">
        <f ca="1">IFERROR(__xludf.DUMMYFUNCTION("""COMPUTED_VALUE"""),"Janitors's handgun discharged injuring a 10YO student. Employee was not authorized to have the gun at the school. Shooting was not reported to police and school was not locked down. Police were notified of the incident 7 days later and the employee was te"&amp;"rminated. Two teachers charged with child neglect for not reporting the shooting.")</f>
        <v>Janitors's handgun discharged injuring a 10YO student. Employee was not authorized to have the gun at the school. Shooting was not reported to police and school was not locked down. Police were notified of the incident 7 days later and the employee was terminated. Two teachers charged with child neglect for not reporting the shooting.</v>
      </c>
      <c r="AA850" s="5" t="str">
        <f ca="1">IFERROR(__xludf.DUMMYFUNCTION("""COMPUTED_VALUE"""),"Accidental")</f>
        <v>Accidental</v>
      </c>
      <c r="AB850" s="5" t="str">
        <f ca="1">IFERROR(__xludf.DUMMYFUNCTION("""COMPUTED_VALUE"""),"Random Shooting")</f>
        <v>Random Shooting</v>
      </c>
      <c r="AC850" s="5" t="str">
        <f ca="1">IFERROR(__xludf.DUMMYFUNCTION("""COMPUTED_VALUE"""),"No")</f>
        <v>No</v>
      </c>
      <c r="AD850" s="5" t="str">
        <f ca="1">IFERROR(__xludf.DUMMYFUNCTION("""COMPUTED_VALUE"""),"No")</f>
        <v>No</v>
      </c>
      <c r="AE850" s="5" t="str">
        <f ca="1">IFERROR(__xludf.DUMMYFUNCTION("""COMPUTED_VALUE"""),"No")</f>
        <v>No</v>
      </c>
      <c r="AF850" s="5" t="str">
        <f ca="1">IFERROR(__xludf.DUMMYFUNCTION("""COMPUTED_VALUE"""),"No")</f>
        <v>No</v>
      </c>
      <c r="AG850" s="5" t="str">
        <f ca="1">IFERROR(__xludf.DUMMYFUNCTION("""COMPUTED_VALUE"""),"No")</f>
        <v>No</v>
      </c>
      <c r="AH850" s="5" t="str">
        <f ca="1">IFERROR(__xludf.DUMMYFUNCTION("""COMPUTED_VALUE"""),"No")</f>
        <v>No</v>
      </c>
      <c r="AI850" s="5" t="str">
        <f ca="1">IFERROR(__xludf.DUMMYFUNCTION("""COMPUTED_VALUE"""),"No")</f>
        <v>No</v>
      </c>
      <c r="AJ850" s="5" t="str">
        <f ca="1">IFERROR(__xludf.DUMMYFUNCTION("""COMPUTED_VALUE"""),"No")</f>
        <v>No</v>
      </c>
    </row>
    <row r="851" spans="1:36" ht="13">
      <c r="A851" s="5" t="str">
        <f ca="1">IFERROR(__xludf.DUMMYFUNCTION("""COMPUTED_VALUE"""),"20190403COAUA")</f>
        <v>20190403COAUA</v>
      </c>
      <c r="B851" s="5">
        <f ca="1">IFERROR(__xludf.DUMMYFUNCTION("""COMPUTED_VALUE"""),4)</f>
        <v>4</v>
      </c>
      <c r="C851" s="5">
        <f ca="1">IFERROR(__xludf.DUMMYFUNCTION("""COMPUTED_VALUE"""),3)</f>
        <v>3</v>
      </c>
      <c r="D851" s="5">
        <f ca="1">IFERROR(__xludf.DUMMYFUNCTION("""COMPUTED_VALUE"""),2019)</f>
        <v>2019</v>
      </c>
      <c r="E851" s="8">
        <f ca="1">IFERROR(__xludf.DUMMYFUNCTION("""COMPUTED_VALUE"""),43558)</f>
        <v>43558</v>
      </c>
      <c r="F851" s="5" t="str">
        <f ca="1">IFERROR(__xludf.DUMMYFUNCTION("""COMPUTED_VALUE"""),"Aurora West College Preparatory Academy")</f>
        <v>Aurora West College Preparatory Academy</v>
      </c>
      <c r="G851" s="5">
        <f ca="1">IFERROR(__xludf.DUMMYFUNCTION("""COMPUTED_VALUE"""),0)</f>
        <v>0</v>
      </c>
      <c r="H851" s="5">
        <f ca="1">IFERROR(__xludf.DUMMYFUNCTION("""COMPUTED_VALUE"""),0)</f>
        <v>0</v>
      </c>
      <c r="I851" s="5">
        <f ca="1">IFERROR(__xludf.DUMMYFUNCTION("""COMPUTED_VALUE"""),0)</f>
        <v>0</v>
      </c>
      <c r="J851" s="5">
        <f ca="1">IFERROR(__xludf.DUMMYFUNCTION("""COMPUTED_VALUE"""),0)</f>
        <v>0</v>
      </c>
      <c r="K851" s="9" t="str">
        <f ca="1">IFERROR(__xludf.DUMMYFUNCTION("""COMPUTED_VALUE"""),"https://www.sentinelcolorado.com/0trending/aurora-high-school-dean-accused-of-bringing-loaded-concealed-weapon-to-campus-making-threats/")</f>
        <v>https://www.sentinelcolorado.com/0trending/aurora-high-school-dean-accused-of-bringing-loaded-concealed-weapon-to-campus-making-threats/</v>
      </c>
      <c r="L851" s="5"/>
      <c r="M851" s="5"/>
      <c r="N851" s="5">
        <f ca="1">IFERROR(__xludf.DUMMYFUNCTION("""COMPUTED_VALUE"""),4)</f>
        <v>4</v>
      </c>
      <c r="O851" s="5" t="str">
        <f ca="1">IFERROR(__xludf.DUMMYFUNCTION("""COMPUTED_VALUE"""),"Spring")</f>
        <v>Spring</v>
      </c>
      <c r="P851" s="5" t="str">
        <f ca="1">IFERROR(__xludf.DUMMYFUNCTION("""COMPUTED_VALUE"""),"Aurora")</f>
        <v>Aurora</v>
      </c>
      <c r="Q851" s="5" t="str">
        <f ca="1">IFERROR(__xludf.DUMMYFUNCTION("""COMPUTED_VALUE"""),"CO")</f>
        <v>CO</v>
      </c>
      <c r="R851" s="5" t="str">
        <f ca="1">IFERROR(__xludf.DUMMYFUNCTION("""COMPUTED_VALUE"""),"Unknown")</f>
        <v>Unknown</v>
      </c>
      <c r="S851" s="5" t="str">
        <f ca="1">IFERROR(__xludf.DUMMYFUNCTION("""COMPUTED_VALUE"""),"Office")</f>
        <v>Office</v>
      </c>
      <c r="T851" s="5" t="str">
        <f ca="1">IFERROR(__xludf.DUMMYFUNCTION("""COMPUTED_VALUE"""),"Inside School Building")</f>
        <v>Inside School Building</v>
      </c>
      <c r="U851" s="5" t="str">
        <f ca="1">IFERROR(__xludf.DUMMYFUNCTION("""COMPUTED_VALUE"""),"No")</f>
        <v>No</v>
      </c>
      <c r="V851" s="5" t="str">
        <f ca="1">IFERROR(__xludf.DUMMYFUNCTION("""COMPUTED_VALUE"""),"After School")</f>
        <v>After School</v>
      </c>
      <c r="W851" s="5"/>
      <c r="X851" s="5"/>
      <c r="Y851" s="5" t="str">
        <f ca="1">IFERROR(__xludf.DUMMYFUNCTION("""COMPUTED_VALUE"""),"School administrator threatened two school employees with handgun in office then ran through school building with gun")</f>
        <v>School administrator threatened two school employees with handgun in office then ran through school building with gun</v>
      </c>
      <c r="Z851" s="5" t="str">
        <f ca="1">IFERROR(__xludf.DUMMYFUNCTION("""COMPUTED_VALUE"""),"30YOM school administrator pulled out handgun during disagreement with two other school employees over grading procedures after school dismissed. He threaten to shoot both of them and kill other school employees. Shooter then left office and walked throug"&amp;"h school building making violent threats. Later arrested by police after fleeing area. School was placed on lockdown and athletic events were cancelled.")</f>
        <v>30YOM school administrator pulled out handgun during disagreement with two other school employees over grading procedures after school dismissed. He threaten to shoot both of them and kill other school employees. Shooter then left office and walked through school building making violent threats. Later arrested by police after fleeing area. School was placed on lockdown and athletic events were cancelled.</v>
      </c>
      <c r="AA851" s="5" t="str">
        <f ca="1">IFERROR(__xludf.DUMMYFUNCTION("""COMPUTED_VALUE"""),"Escalation of Dispute")</f>
        <v>Escalation of Dispute</v>
      </c>
      <c r="AB851" s="5" t="str">
        <f ca="1">IFERROR(__xludf.DUMMYFUNCTION("""COMPUTED_VALUE"""),"Victims Targeted")</f>
        <v>Victims Targeted</v>
      </c>
      <c r="AC851" s="5" t="str">
        <f ca="1">IFERROR(__xludf.DUMMYFUNCTION("""COMPUTED_VALUE"""),"No")</f>
        <v>No</v>
      </c>
      <c r="AD851" s="5" t="str">
        <f ca="1">IFERROR(__xludf.DUMMYFUNCTION("""COMPUTED_VALUE"""),"No")</f>
        <v>No</v>
      </c>
      <c r="AE851" s="5" t="str">
        <f ca="1">IFERROR(__xludf.DUMMYFUNCTION("""COMPUTED_VALUE"""),"No")</f>
        <v>No</v>
      </c>
      <c r="AF851" s="5" t="str">
        <f ca="1">IFERROR(__xludf.DUMMYFUNCTION("""COMPUTED_VALUE"""),"No")</f>
        <v>No</v>
      </c>
      <c r="AG851" s="5" t="str">
        <f ca="1">IFERROR(__xludf.DUMMYFUNCTION("""COMPUTED_VALUE"""),"No")</f>
        <v>No</v>
      </c>
      <c r="AH851" s="5" t="str">
        <f ca="1">IFERROR(__xludf.DUMMYFUNCTION("""COMPUTED_VALUE"""),"No")</f>
        <v>No</v>
      </c>
      <c r="AI851" s="5" t="str">
        <f ca="1">IFERROR(__xludf.DUMMYFUNCTION("""COMPUTED_VALUE"""),"No")</f>
        <v>No</v>
      </c>
      <c r="AJ851" s="5" t="str">
        <f ca="1">IFERROR(__xludf.DUMMYFUNCTION("""COMPUTED_VALUE"""),"No")</f>
        <v>No</v>
      </c>
    </row>
    <row r="852" spans="1:36" ht="13">
      <c r="A852" s="5" t="str">
        <f ca="1">IFERROR(__xludf.DUMMYFUNCTION("""COMPUTED_VALUE"""),"20190403FLSAJ")</f>
        <v>20190403FLSAJ</v>
      </c>
      <c r="B852" s="5">
        <f ca="1">IFERROR(__xludf.DUMMYFUNCTION("""COMPUTED_VALUE"""),4)</f>
        <v>4</v>
      </c>
      <c r="C852" s="5">
        <f ca="1">IFERROR(__xludf.DUMMYFUNCTION("""COMPUTED_VALUE"""),3)</f>
        <v>3</v>
      </c>
      <c r="D852" s="5">
        <f ca="1">IFERROR(__xludf.DUMMYFUNCTION("""COMPUTED_VALUE"""),2019)</f>
        <v>2019</v>
      </c>
      <c r="E852" s="8">
        <f ca="1">IFERROR(__xludf.DUMMYFUNCTION("""COMPUTED_VALUE"""),43558)</f>
        <v>43558</v>
      </c>
      <c r="F852" s="5" t="str">
        <f ca="1">IFERROR(__xludf.DUMMYFUNCTION("""COMPUTED_VALUE"""),"Saint Clair Evans Academy")</f>
        <v>Saint Clair Evans Academy</v>
      </c>
      <c r="G852" s="5">
        <f ca="1">IFERROR(__xludf.DUMMYFUNCTION("""COMPUTED_VALUE"""),0)</f>
        <v>0</v>
      </c>
      <c r="H852" s="5">
        <f ca="1">IFERROR(__xludf.DUMMYFUNCTION("""COMPUTED_VALUE"""),0)</f>
        <v>0</v>
      </c>
      <c r="I852" s="5">
        <f ca="1">IFERROR(__xludf.DUMMYFUNCTION("""COMPUTED_VALUE"""),0)</f>
        <v>0</v>
      </c>
      <c r="J852" s="5">
        <f ca="1">IFERROR(__xludf.DUMMYFUNCTION("""COMPUTED_VALUE"""),0)</f>
        <v>0</v>
      </c>
      <c r="K852" s="5" t="str">
        <f ca="1">IFERROR(__xludf.DUMMYFUNCTION("""COMPUTED_VALUE"""),"https://www.wokv.com/news/local/elementary-school-hit-with-gunfire-during-apparent-shooting-northwest-jacksonville/91aVU77r4L6Ttjs1Hhh1DL/ https://www.jacksonville.com/news/20190403/bullet-pierces-jacksonville-school-window-as-police-investigate-nearby-sh"&amp;"ooting")</f>
        <v>https://www.wokv.com/news/local/elementary-school-hit-with-gunfire-during-apparent-shooting-northwest-jacksonville/91aVU77r4L6Ttjs1Hhh1DL/ https://www.jacksonville.com/news/20190403/bullet-pierces-jacksonville-school-window-as-police-investigate-nearby-shooting</v>
      </c>
      <c r="L852" s="5"/>
      <c r="M852" s="5"/>
      <c r="N852" s="5">
        <f ca="1">IFERROR(__xludf.DUMMYFUNCTION("""COMPUTED_VALUE"""),4)</f>
        <v>4</v>
      </c>
      <c r="O852" s="5" t="str">
        <f ca="1">IFERROR(__xludf.DUMMYFUNCTION("""COMPUTED_VALUE"""),"Spring")</f>
        <v>Spring</v>
      </c>
      <c r="P852" s="5" t="str">
        <f ca="1">IFERROR(__xludf.DUMMYFUNCTION("""COMPUTED_VALUE"""),"Jacksonville")</f>
        <v>Jacksonville</v>
      </c>
      <c r="Q852" s="5" t="str">
        <f ca="1">IFERROR(__xludf.DUMMYFUNCTION("""COMPUTED_VALUE"""),"FL")</f>
        <v>FL</v>
      </c>
      <c r="R852" s="5" t="str">
        <f ca="1">IFERROR(__xludf.DUMMYFUNCTION("""COMPUTED_VALUE"""),"Elementary")</f>
        <v>Elementary</v>
      </c>
      <c r="S852" s="5" t="str">
        <f ca="1">IFERROR(__xludf.DUMMYFUNCTION("""COMPUTED_VALUE"""),"Off School Property")</f>
        <v>Off School Property</v>
      </c>
      <c r="T852" s="5" t="str">
        <f ca="1">IFERROR(__xludf.DUMMYFUNCTION("""COMPUTED_VALUE"""),"Off School Property")</f>
        <v>Off School Property</v>
      </c>
      <c r="U852" s="5" t="str">
        <f ca="1">IFERROR(__xludf.DUMMYFUNCTION("""COMPUTED_VALUE"""),"Yes")</f>
        <v>Yes</v>
      </c>
      <c r="V852" s="5" t="str">
        <f ca="1">IFERROR(__xludf.DUMMYFUNCTION("""COMPUTED_VALUE"""),"Morning Classes")</f>
        <v>Morning Classes</v>
      </c>
      <c r="W852" s="10">
        <f ca="1">IFERROR(__xludf.DUMMYFUNCTION("""COMPUTED_VALUE"""),0.458333333333333)</f>
        <v>0.45833333333333298</v>
      </c>
      <c r="X852" s="5">
        <f ca="1">IFERROR(__xludf.DUMMYFUNCTION("""COMPUTED_VALUE"""),1)</f>
        <v>1</v>
      </c>
      <c r="Y852" s="5" t="str">
        <f ca="1">IFERROR(__xludf.DUMMYFUNCTION("""COMPUTED_VALUE"""),"Shots fired nearby struck the school and broke a classroom window")</f>
        <v>Shots fired nearby struck the school and broke a classroom window</v>
      </c>
      <c r="Z852" s="5" t="str">
        <f ca="1">IFERROR(__xludf.DUMMYFUNCTION("""COMPUTED_VALUE"""),"Several shots were fired at the intersection near the school. Several bullets struck the occupied school building and broke a classroom window. No students were injured. No suspect identified (several detained).")</f>
        <v>Several shots were fired at the intersection near the school. Several bullets struck the occupied school building and broke a classroom window. No students were injured. No suspect identified (several detained).</v>
      </c>
      <c r="AA852" s="5" t="str">
        <f ca="1">IFERROR(__xludf.DUMMYFUNCTION("""COMPUTED_VALUE"""),"Drive-by Shooting")</f>
        <v>Drive-by Shooting</v>
      </c>
      <c r="AB852" s="5" t="str">
        <f ca="1">IFERROR(__xludf.DUMMYFUNCTION("""COMPUTED_VALUE"""),"Victims Targeted")</f>
        <v>Victims Targeted</v>
      </c>
      <c r="AC852" s="5"/>
      <c r="AD852" s="5" t="str">
        <f ca="1">IFERROR(__xludf.DUMMYFUNCTION("""COMPUTED_VALUE"""),"No")</f>
        <v>No</v>
      </c>
      <c r="AE852" s="5" t="str">
        <f ca="1">IFERROR(__xludf.DUMMYFUNCTION("""COMPUTED_VALUE"""),"No")</f>
        <v>No</v>
      </c>
      <c r="AF852" s="5" t="str">
        <f ca="1">IFERROR(__xludf.DUMMYFUNCTION("""COMPUTED_VALUE"""),"No")</f>
        <v>No</v>
      </c>
      <c r="AG852" s="5" t="str">
        <f ca="1">IFERROR(__xludf.DUMMYFUNCTION("""COMPUTED_VALUE"""),"No")</f>
        <v>No</v>
      </c>
      <c r="AH852" s="5" t="str">
        <f ca="1">IFERROR(__xludf.DUMMYFUNCTION("""COMPUTED_VALUE"""),"No")</f>
        <v>No</v>
      </c>
      <c r="AI852" s="5"/>
      <c r="AJ852" s="5" t="str">
        <f ca="1">IFERROR(__xludf.DUMMYFUNCTION("""COMPUTED_VALUE"""),"No")</f>
        <v>No</v>
      </c>
    </row>
    <row r="853" spans="1:36" ht="13">
      <c r="A853" s="5" t="str">
        <f ca="1">IFERROR(__xludf.DUMMYFUNCTION("""COMPUTED_VALUE"""),"20190401ARPRP")</f>
        <v>20190401ARPRP</v>
      </c>
      <c r="B853" s="5">
        <f ca="1">IFERROR(__xludf.DUMMYFUNCTION("""COMPUTED_VALUE"""),4)</f>
        <v>4</v>
      </c>
      <c r="C853" s="5">
        <f ca="1">IFERROR(__xludf.DUMMYFUNCTION("""COMPUTED_VALUE"""),1)</f>
        <v>1</v>
      </c>
      <c r="D853" s="5">
        <f ca="1">IFERROR(__xludf.DUMMYFUNCTION("""COMPUTED_VALUE"""),2019)</f>
        <v>2019</v>
      </c>
      <c r="E853" s="8">
        <f ca="1">IFERROR(__xludf.DUMMYFUNCTION("""COMPUTED_VALUE"""),43556)</f>
        <v>43556</v>
      </c>
      <c r="F853" s="5" t="str">
        <f ca="1">IFERROR(__xludf.DUMMYFUNCTION("""COMPUTED_VALUE"""),"Prescott 
 High School")</f>
        <v>Prescott 
 High School</v>
      </c>
      <c r="G853" s="5">
        <f ca="1">IFERROR(__xludf.DUMMYFUNCTION("""COMPUTED_VALUE"""),0)</f>
        <v>0</v>
      </c>
      <c r="H853" s="5">
        <f ca="1">IFERROR(__xludf.DUMMYFUNCTION("""COMPUTED_VALUE"""),1)</f>
        <v>1</v>
      </c>
      <c r="I853" s="5">
        <f ca="1">IFERROR(__xludf.DUMMYFUNCTION("""COMPUTED_VALUE"""),1)</f>
        <v>1</v>
      </c>
      <c r="J853" s="5">
        <f ca="1">IFERROR(__xludf.DUMMYFUNCTION("""COMPUTED_VALUE"""),0)</f>
        <v>0</v>
      </c>
      <c r="K853" s="5" t="str">
        <f ca="1">IFERROR(__xludf.DUMMYFUNCTION("""COMPUTED_VALUE"""),"https://www.kark.com/news/state-news/student-describes-witnessing-prescott-high-school-shooting/1894047635 https://www.nbcnews.com/news/us-news/student-wounded-premeditated-arkansas-middle-school-shooting-n989616 https://katv.com/news/local/gunfire-report"&amp;"ed-at-school-in-prescott-state-police-say https://www.arkansasonline.com/news/2019/apr/02/prescott-school-shooting-injures-studen/?news")</f>
        <v>https://www.kark.com/news/state-news/student-describes-witnessing-prescott-high-school-shooting/1894047635 https://www.nbcnews.com/news/us-news/student-wounded-premeditated-arkansas-middle-school-shooting-n989616 https://katv.com/news/local/gunfire-reported-at-school-in-prescott-state-police-say https://www.arkansasonline.com/news/2019/apr/02/prescott-school-shooting-injures-studen/?news</v>
      </c>
      <c r="L853" s="5"/>
      <c r="M853" s="5"/>
      <c r="N853" s="5">
        <f ca="1">IFERROR(__xludf.DUMMYFUNCTION("""COMPUTED_VALUE"""),4)</f>
        <v>4</v>
      </c>
      <c r="O853" s="5" t="str">
        <f ca="1">IFERROR(__xludf.DUMMYFUNCTION("""COMPUTED_VALUE"""),"Spring")</f>
        <v>Spring</v>
      </c>
      <c r="P853" s="5" t="str">
        <f ca="1">IFERROR(__xludf.DUMMYFUNCTION("""COMPUTED_VALUE"""),"Prescott")</f>
        <v>Prescott</v>
      </c>
      <c r="Q853" s="5" t="str">
        <f ca="1">IFERROR(__xludf.DUMMYFUNCTION("""COMPUTED_VALUE"""),"AR")</f>
        <v>AR</v>
      </c>
      <c r="R853" s="5" t="str">
        <f ca="1">IFERROR(__xludf.DUMMYFUNCTION("""COMPUTED_VALUE"""),"High")</f>
        <v>High</v>
      </c>
      <c r="S853" s="5" t="str">
        <f ca="1">IFERROR(__xludf.DUMMYFUNCTION("""COMPUTED_VALUE"""),"Hallway")</f>
        <v>Hallway</v>
      </c>
      <c r="T853" s="5" t="str">
        <f ca="1">IFERROR(__xludf.DUMMYFUNCTION("""COMPUTED_VALUE"""),"Inside School Building")</f>
        <v>Inside School Building</v>
      </c>
      <c r="U853" s="5" t="str">
        <f ca="1">IFERROR(__xludf.DUMMYFUNCTION("""COMPUTED_VALUE"""),"Yes")</f>
        <v>Yes</v>
      </c>
      <c r="V853" s="5" t="str">
        <f ca="1">IFERROR(__xludf.DUMMYFUNCTION("""COMPUTED_VALUE"""),"Morning Classes")</f>
        <v>Morning Classes</v>
      </c>
      <c r="W853" s="10">
        <f ca="1">IFERROR(__xludf.DUMMYFUNCTION("""COMPUTED_VALUE"""),0.384722222222222)</f>
        <v>0.38472222222222202</v>
      </c>
      <c r="X853" s="5">
        <f ca="1">IFERROR(__xludf.DUMMYFUNCTION("""COMPUTED_VALUE"""),1)</f>
        <v>1</v>
      </c>
      <c r="Y853" s="5" t="str">
        <f ca="1">IFERROR(__xludf.DUMMYFUNCTION("""COMPUTED_VALUE"""),"Student brought a handgun to school and shot a targeted classmate")</f>
        <v>Student brought a handgun to school and shot a targeted classmate</v>
      </c>
      <c r="Z853" s="5" t="str">
        <f ca="1">IFERROR(__xludf.DUMMYFUNCTION("""COMPUTED_VALUE"""),"14YOM student brought a concealed handgun to school and shot  a male classmate he specific targeted following a dispute over the weekend. Suspect ditched the weapon in a bush on school property and fled. School went on lockdown and victim was taken to the"&amp;" hospital. Suspect was apprehended by SROs shortly after. A student-witness reported that suspect told victim that he was not going to shoot him but then he fired the gun.")</f>
        <v>14YOM student brought a concealed handgun to school and shot  a male classmate he specific targeted following a dispute over the weekend. Suspect ditched the weapon in a bush on school property and fled. School went on lockdown and victim was taken to the hospital. Suspect was apprehended by SROs shortly after. A student-witness reported that suspect told victim that he was not going to shoot him but then he fired the gun.</v>
      </c>
      <c r="AA853" s="5" t="str">
        <f ca="1">IFERROR(__xludf.DUMMYFUNCTION("""COMPUTED_VALUE"""),"Escalation of Dispute")</f>
        <v>Escalation of Dispute</v>
      </c>
      <c r="AB853" s="5" t="str">
        <f ca="1">IFERROR(__xludf.DUMMYFUNCTION("""COMPUTED_VALUE"""),"Victims Targeted")</f>
        <v>Victims Targeted</v>
      </c>
      <c r="AC853" s="5" t="str">
        <f ca="1">IFERROR(__xludf.DUMMYFUNCTION("""COMPUTED_VALUE"""),"No")</f>
        <v>No</v>
      </c>
      <c r="AD853" s="5" t="str">
        <f ca="1">IFERROR(__xludf.DUMMYFUNCTION("""COMPUTED_VALUE"""),"No")</f>
        <v>No</v>
      </c>
      <c r="AE853" s="5" t="str">
        <f ca="1">IFERROR(__xludf.DUMMYFUNCTION("""COMPUTED_VALUE"""),"No")</f>
        <v>No</v>
      </c>
      <c r="AF853" s="5" t="str">
        <f ca="1">IFERROR(__xludf.DUMMYFUNCTION("""COMPUTED_VALUE"""),"No")</f>
        <v>No</v>
      </c>
      <c r="AG853" s="5"/>
      <c r="AH853" s="5"/>
      <c r="AI853" s="5" t="str">
        <f ca="1">IFERROR(__xludf.DUMMYFUNCTION("""COMPUTED_VALUE"""),"No")</f>
        <v>No</v>
      </c>
      <c r="AJ853" s="5" t="str">
        <f ca="1">IFERROR(__xludf.DUMMYFUNCTION("""COMPUTED_VALUE"""),"No")</f>
        <v>No</v>
      </c>
    </row>
    <row r="854" spans="1:36" ht="13">
      <c r="A854" s="5" t="str">
        <f ca="1">IFERROR(__xludf.DUMMYFUNCTION("""COMPUTED_VALUE"""),"20190327FLMAJ")</f>
        <v>20190327FLMAJ</v>
      </c>
      <c r="B854" s="5">
        <f ca="1">IFERROR(__xludf.DUMMYFUNCTION("""COMPUTED_VALUE"""),3)</f>
        <v>3</v>
      </c>
      <c r="C854" s="5">
        <f ca="1">IFERROR(__xludf.DUMMYFUNCTION("""COMPUTED_VALUE"""),27)</f>
        <v>27</v>
      </c>
      <c r="D854" s="5">
        <f ca="1">IFERROR(__xludf.DUMMYFUNCTION("""COMPUTED_VALUE"""),2019)</f>
        <v>2019</v>
      </c>
      <c r="E854" s="8">
        <f ca="1">IFERROR(__xludf.DUMMYFUNCTION("""COMPUTED_VALUE"""),43551)</f>
        <v>43551</v>
      </c>
      <c r="F854" s="5" t="str">
        <f ca="1">IFERROR(__xludf.DUMMYFUNCTION("""COMPUTED_VALUE"""),"Mayport Coastal Sciences Middle School")</f>
        <v>Mayport Coastal Sciences Middle School</v>
      </c>
      <c r="G854" s="5">
        <f ca="1">IFERROR(__xludf.DUMMYFUNCTION("""COMPUTED_VALUE"""),0)</f>
        <v>0</v>
      </c>
      <c r="H854" s="5">
        <f ca="1">IFERROR(__xludf.DUMMYFUNCTION("""COMPUTED_VALUE"""),1)</f>
        <v>1</v>
      </c>
      <c r="I854" s="5">
        <f ca="1">IFERROR(__xludf.DUMMYFUNCTION("""COMPUTED_VALUE"""),1)</f>
        <v>1</v>
      </c>
      <c r="J854" s="5">
        <f ca="1">IFERROR(__xludf.DUMMYFUNCTION("""COMPUTED_VALUE"""),0)</f>
        <v>0</v>
      </c>
      <c r="K854" s="9" t="str">
        <f ca="1">IFERROR(__xludf.DUMMYFUNCTION("""COMPUTED_VALUE"""),"https://www.news4jax.com/news/2019/03/28/12-year-old-hurt-after-metal-projectile-hits-school-bus/")</f>
        <v>https://www.news4jax.com/news/2019/03/28/12-year-old-hurt-after-metal-projectile-hits-school-bus/</v>
      </c>
      <c r="L854" s="5">
        <f ca="1">IFERROR(__xludf.DUMMYFUNCTION("""COMPUTED_VALUE"""),1)</f>
        <v>1</v>
      </c>
      <c r="M854" s="5" t="str">
        <f ca="1">IFERROR(__xludf.DUMMYFUNCTION("""COMPUTED_VALUE"""),"Local")</f>
        <v>Local</v>
      </c>
      <c r="N854" s="5">
        <f ca="1">IFERROR(__xludf.DUMMYFUNCTION("""COMPUTED_VALUE"""),4)</f>
        <v>4</v>
      </c>
      <c r="O854" s="5" t="str">
        <f ca="1">IFERROR(__xludf.DUMMYFUNCTION("""COMPUTED_VALUE"""),"Spring")</f>
        <v>Spring</v>
      </c>
      <c r="P854" s="5" t="str">
        <f ca="1">IFERROR(__xludf.DUMMYFUNCTION("""COMPUTED_VALUE"""),"Jacksonville")</f>
        <v>Jacksonville</v>
      </c>
      <c r="Q854" s="5" t="str">
        <f ca="1">IFERROR(__xludf.DUMMYFUNCTION("""COMPUTED_VALUE"""),"FL")</f>
        <v>FL</v>
      </c>
      <c r="R854" s="5" t="str">
        <f ca="1">IFERROR(__xludf.DUMMYFUNCTION("""COMPUTED_VALUE"""),"Middle")</f>
        <v>Middle</v>
      </c>
      <c r="S854" s="5" t="str">
        <f ca="1">IFERROR(__xludf.DUMMYFUNCTION("""COMPUTED_VALUE"""),"School Bus")</f>
        <v>School Bus</v>
      </c>
      <c r="T854" s="5" t="str">
        <f ca="1">IFERROR(__xludf.DUMMYFUNCTION("""COMPUTED_VALUE"""),"School Bus")</f>
        <v>School Bus</v>
      </c>
      <c r="U854" s="5" t="str">
        <f ca="1">IFERROR(__xludf.DUMMYFUNCTION("""COMPUTED_VALUE"""),"Yes")</f>
        <v>Yes</v>
      </c>
      <c r="V854" s="5" t="str">
        <f ca="1">IFERROR(__xludf.DUMMYFUNCTION("""COMPUTED_VALUE"""),"After School")</f>
        <v>After School</v>
      </c>
      <c r="W854" s="10">
        <f ca="1">IFERROR(__xludf.DUMMYFUNCTION("""COMPUTED_VALUE"""),0.708333333333333)</f>
        <v>0.70833333333333304</v>
      </c>
      <c r="X854" s="5">
        <f ca="1">IFERROR(__xludf.DUMMYFUNCTION("""COMPUTED_VALUE"""),1)</f>
        <v>1</v>
      </c>
      <c r="Y854" s="5" t="str">
        <f ca="1">IFERROR(__xludf.DUMMYFUNCTION("""COMPUTED_VALUE"""),"Student riding on school bus shot by BB gun")</f>
        <v>Student riding on school bus shot by BB gun</v>
      </c>
      <c r="Z854" s="5" t="str">
        <f ca="1">IFERROR(__xludf.DUMMYFUNCTION("""COMPUTED_VALUE"""),"A student riding on the school bus was struck with a pellet from a BB gun fired from outside of the bus. The bus driver pulled over at a nearby elementary school and notified police.")</f>
        <v>A student riding on the school bus was struck with a pellet from a BB gun fired from outside of the bus. The bus driver pulled over at a nearby elementary school and notified police.</v>
      </c>
      <c r="AA854" s="5"/>
      <c r="AB854" s="5" t="str">
        <f ca="1">IFERROR(__xludf.DUMMYFUNCTION("""COMPUTED_VALUE"""),"Random Shooting")</f>
        <v>Random Shooting</v>
      </c>
      <c r="AC854" s="5" t="str">
        <f ca="1">IFERROR(__xludf.DUMMYFUNCTION("""COMPUTED_VALUE"""),"No")</f>
        <v>No</v>
      </c>
      <c r="AD854" s="5" t="str">
        <f ca="1">IFERROR(__xludf.DUMMYFUNCTION("""COMPUTED_VALUE"""),"No")</f>
        <v>No</v>
      </c>
      <c r="AE854" s="5" t="str">
        <f ca="1">IFERROR(__xludf.DUMMYFUNCTION("""COMPUTED_VALUE"""),"No")</f>
        <v>No</v>
      </c>
      <c r="AF854" s="5" t="str">
        <f ca="1">IFERROR(__xludf.DUMMYFUNCTION("""COMPUTED_VALUE"""),"No")</f>
        <v>No</v>
      </c>
      <c r="AG854" s="5" t="str">
        <f ca="1">IFERROR(__xludf.DUMMYFUNCTION("""COMPUTED_VALUE"""),"No")</f>
        <v>No</v>
      </c>
      <c r="AH854" s="5" t="str">
        <f ca="1">IFERROR(__xludf.DUMMYFUNCTION("""COMPUTED_VALUE"""),"No")</f>
        <v>No</v>
      </c>
      <c r="AI854" s="5" t="str">
        <f ca="1">IFERROR(__xludf.DUMMYFUNCTION("""COMPUTED_VALUE"""),"No")</f>
        <v>No</v>
      </c>
      <c r="AJ854" s="5" t="str">
        <f ca="1">IFERROR(__xludf.DUMMYFUNCTION("""COMPUTED_VALUE"""),"No")</f>
        <v>No</v>
      </c>
    </row>
    <row r="855" spans="1:36" ht="13">
      <c r="A855" s="5" t="str">
        <f ca="1">IFERROR(__xludf.DUMMYFUNCTION("""COMPUTED_VALUE"""),"20190327MSSVH")</f>
        <v>20190327MSSVH</v>
      </c>
      <c r="B855" s="5">
        <f ca="1">IFERROR(__xludf.DUMMYFUNCTION("""COMPUTED_VALUE"""),3)</f>
        <v>3</v>
      </c>
      <c r="C855" s="5">
        <f ca="1">IFERROR(__xludf.DUMMYFUNCTION("""COMPUTED_VALUE"""),27)</f>
        <v>27</v>
      </c>
      <c r="D855" s="5">
        <f ca="1">IFERROR(__xludf.DUMMYFUNCTION("""COMPUTED_VALUE"""),2019)</f>
        <v>2019</v>
      </c>
      <c r="E855" s="8">
        <f ca="1">IFERROR(__xludf.DUMMYFUNCTION("""COMPUTED_VALUE"""),43551)</f>
        <v>43551</v>
      </c>
      <c r="F855" s="5" t="str">
        <f ca="1">IFERROR(__xludf.DUMMYFUNCTION("""COMPUTED_VALUE"""),"S V Marshall Elementary")</f>
        <v>S V Marshall Elementary</v>
      </c>
      <c r="G855" s="5">
        <f ca="1">IFERROR(__xludf.DUMMYFUNCTION("""COMPUTED_VALUE"""),0)</f>
        <v>0</v>
      </c>
      <c r="H855" s="5">
        <f ca="1">IFERROR(__xludf.DUMMYFUNCTION("""COMPUTED_VALUE"""),1)</f>
        <v>1</v>
      </c>
      <c r="I855" s="5">
        <f ca="1">IFERROR(__xludf.DUMMYFUNCTION("""COMPUTED_VALUE"""),1)</f>
        <v>1</v>
      </c>
      <c r="J855" s="5">
        <f ca="1">IFERROR(__xludf.DUMMYFUNCTION("""COMPUTED_VALUE"""),0)</f>
        <v>0</v>
      </c>
      <c r="K855" s="5" t="str">
        <f ca="1">IFERROR(__xludf.DUMMYFUNCTION("""COMPUTED_VALUE"""),"https://www.wlox.com/2019/03/28/year-old-student-shot-hand-while-riding-holmes-county-school-bus/ https://www.wbtv.com/2019/03/29/fifth-grader-shot-school-bus-claims-another-student-did-it/")</f>
        <v>https://www.wlox.com/2019/03/28/year-old-student-shot-hand-while-riding-holmes-county-school-bus/ https://www.wbtv.com/2019/03/29/fifth-grader-shot-school-bus-claims-another-student-did-it/</v>
      </c>
      <c r="L855" s="5"/>
      <c r="M855" s="5"/>
      <c r="N855" s="5">
        <f ca="1">IFERROR(__xludf.DUMMYFUNCTION("""COMPUTED_VALUE"""),3)</f>
        <v>3</v>
      </c>
      <c r="O855" s="5" t="str">
        <f ca="1">IFERROR(__xludf.DUMMYFUNCTION("""COMPUTED_VALUE"""),"Spring")</f>
        <v>Spring</v>
      </c>
      <c r="P855" s="5" t="str">
        <f ca="1">IFERROR(__xludf.DUMMYFUNCTION("""COMPUTED_VALUE"""),"Holmes County")</f>
        <v>Holmes County</v>
      </c>
      <c r="Q855" s="5" t="str">
        <f ca="1">IFERROR(__xludf.DUMMYFUNCTION("""COMPUTED_VALUE"""),"MS")</f>
        <v>MS</v>
      </c>
      <c r="R855" s="5" t="str">
        <f ca="1">IFERROR(__xludf.DUMMYFUNCTION("""COMPUTED_VALUE"""),"Elementary")</f>
        <v>Elementary</v>
      </c>
      <c r="S855" s="5" t="str">
        <f ca="1">IFERROR(__xludf.DUMMYFUNCTION("""COMPUTED_VALUE"""),"School Bus")</f>
        <v>School Bus</v>
      </c>
      <c r="T855" s="5" t="str">
        <f ca="1">IFERROR(__xludf.DUMMYFUNCTION("""COMPUTED_VALUE"""),"School Bus")</f>
        <v>School Bus</v>
      </c>
      <c r="U855" s="5" t="str">
        <f ca="1">IFERROR(__xludf.DUMMYFUNCTION("""COMPUTED_VALUE"""),"Yes")</f>
        <v>Yes</v>
      </c>
      <c r="V855" s="5" t="str">
        <f ca="1">IFERROR(__xludf.DUMMYFUNCTION("""COMPUTED_VALUE"""),"Dismissal")</f>
        <v>Dismissal</v>
      </c>
      <c r="W855" s="10">
        <f ca="1">IFERROR(__xludf.DUMMYFUNCTION("""COMPUTED_VALUE"""),0.625)</f>
        <v>0.625</v>
      </c>
      <c r="X855" s="5">
        <f ca="1">IFERROR(__xludf.DUMMYFUNCTION("""COMPUTED_VALUE"""),1)</f>
        <v>1</v>
      </c>
      <c r="Y855" s="5" t="str">
        <f ca="1">IFERROR(__xludf.DUMMYFUNCTION("""COMPUTED_VALUE"""),"Student shot in hand while on school bus")</f>
        <v>Student shot in hand while on school bus</v>
      </c>
      <c r="Z855" s="5" t="str">
        <f ca="1">IFERROR(__xludf.DUMMYFUNCTION("""COMPUTED_VALUE"""),"10YOM student was shot in the hand while riding home on the school bus. The victim said a student in the back of the bus fired two shots. Police said the shooting was from a vehicle driving by the bus. No other information available.")</f>
        <v>10YOM student was shot in the hand while riding home on the school bus. The victim said a student in the back of the bus fired two shots. Police said the shooting was from a vehicle driving by the bus. No other information available.</v>
      </c>
      <c r="AA855" s="5" t="str">
        <f ca="1">IFERROR(__xludf.DUMMYFUNCTION("""COMPUTED_VALUE"""),"Unknown")</f>
        <v>Unknown</v>
      </c>
      <c r="AB855" s="5" t="str">
        <f ca="1">IFERROR(__xludf.DUMMYFUNCTION("""COMPUTED_VALUE"""),"Random Shooting")</f>
        <v>Random Shooting</v>
      </c>
      <c r="AC855" s="5" t="str">
        <f ca="1">IFERROR(__xludf.DUMMYFUNCTION("""COMPUTED_VALUE"""),"No")</f>
        <v>No</v>
      </c>
      <c r="AD855" s="5" t="str">
        <f ca="1">IFERROR(__xludf.DUMMYFUNCTION("""COMPUTED_VALUE"""),"No")</f>
        <v>No</v>
      </c>
      <c r="AE855" s="5" t="str">
        <f ca="1">IFERROR(__xludf.DUMMYFUNCTION("""COMPUTED_VALUE"""),"No")</f>
        <v>No</v>
      </c>
      <c r="AF855" s="5" t="str">
        <f ca="1">IFERROR(__xludf.DUMMYFUNCTION("""COMPUTED_VALUE"""),"No")</f>
        <v>No</v>
      </c>
      <c r="AG855" s="5" t="str">
        <f ca="1">IFERROR(__xludf.DUMMYFUNCTION("""COMPUTED_VALUE"""),"No")</f>
        <v>No</v>
      </c>
      <c r="AH855" s="5" t="str">
        <f ca="1">IFERROR(__xludf.DUMMYFUNCTION("""COMPUTED_VALUE"""),"No")</f>
        <v>No</v>
      </c>
      <c r="AI855" s="5" t="str">
        <f ca="1">IFERROR(__xludf.DUMMYFUNCTION("""COMPUTED_VALUE"""),"No")</f>
        <v>No</v>
      </c>
      <c r="AJ855" s="5" t="str">
        <f ca="1">IFERROR(__xludf.DUMMYFUNCTION("""COMPUTED_VALUE"""),"No")</f>
        <v>No</v>
      </c>
    </row>
    <row r="856" spans="1:36" ht="13">
      <c r="A856" s="5" t="str">
        <f ca="1">IFERROR(__xludf.DUMMYFUNCTION("""COMPUTED_VALUE"""),"20190322ALBLB")</f>
        <v>20190322ALBLB</v>
      </c>
      <c r="B856" s="5">
        <f ca="1">IFERROR(__xludf.DUMMYFUNCTION("""COMPUTED_VALUE"""),3)</f>
        <v>3</v>
      </c>
      <c r="C856" s="5">
        <f ca="1">IFERROR(__xludf.DUMMYFUNCTION("""COMPUTED_VALUE"""),22)</f>
        <v>22</v>
      </c>
      <c r="D856" s="5">
        <f ca="1">IFERROR(__xludf.DUMMYFUNCTION("""COMPUTED_VALUE"""),2019)</f>
        <v>2019</v>
      </c>
      <c r="E856" s="8">
        <f ca="1">IFERROR(__xludf.DUMMYFUNCTION("""COMPUTED_VALUE"""),43546)</f>
        <v>43546</v>
      </c>
      <c r="F856" s="5" t="str">
        <f ca="1">IFERROR(__xludf.DUMMYFUNCTION("""COMPUTED_VALUE"""),"Blountsville Elementary School")</f>
        <v>Blountsville Elementary School</v>
      </c>
      <c r="G856" s="5">
        <f ca="1">IFERROR(__xludf.DUMMYFUNCTION("""COMPUTED_VALUE"""),0)</f>
        <v>0</v>
      </c>
      <c r="H856" s="5">
        <f ca="1">IFERROR(__xludf.DUMMYFUNCTION("""COMPUTED_VALUE"""),0)</f>
        <v>0</v>
      </c>
      <c r="I856" s="5">
        <f ca="1">IFERROR(__xludf.DUMMYFUNCTION("""COMPUTED_VALUE"""),0)</f>
        <v>0</v>
      </c>
      <c r="J856" s="5">
        <f ca="1">IFERROR(__xludf.DUMMYFUNCTION("""COMPUTED_VALUE"""),0)</f>
        <v>0</v>
      </c>
      <c r="K856" s="5" t="str">
        <f ca="1">IFERROR(__xludf.DUMMYFUNCTION("""COMPUTED_VALUE"""),"http://www.wbrc.com/2019/03/22/bloutsville-elementary-substitute-teachers-gun-accidentally-goes-off-st-grade-classroom-no-one-injured/  https://www.al.com/news/birmingham/2019/03/gun-in-pocket-of-72-year-old-substitute-teacher-discharges-in-1st-grade-alab"&amp;"ama-classroom.html")</f>
        <v>http://www.wbrc.com/2019/03/22/bloutsville-elementary-substitute-teachers-gun-accidentally-goes-off-st-grade-classroom-no-one-injured/  https://www.al.com/news/birmingham/2019/03/gun-in-pocket-of-72-year-old-substitute-teacher-discharges-in-1st-grade-alabama-classroom.html</v>
      </c>
      <c r="L856" s="5"/>
      <c r="M856" s="5"/>
      <c r="N856" s="5">
        <f ca="1">IFERROR(__xludf.DUMMYFUNCTION("""COMPUTED_VALUE"""),4)</f>
        <v>4</v>
      </c>
      <c r="O856" s="5" t="str">
        <f ca="1">IFERROR(__xludf.DUMMYFUNCTION("""COMPUTED_VALUE"""),"Spring")</f>
        <v>Spring</v>
      </c>
      <c r="P856" s="5" t="str">
        <f ca="1">IFERROR(__xludf.DUMMYFUNCTION("""COMPUTED_VALUE"""),"Blountsville")</f>
        <v>Blountsville</v>
      </c>
      <c r="Q856" s="5" t="str">
        <f ca="1">IFERROR(__xludf.DUMMYFUNCTION("""COMPUTED_VALUE"""),"AL")</f>
        <v>AL</v>
      </c>
      <c r="R856" s="5" t="str">
        <f ca="1">IFERROR(__xludf.DUMMYFUNCTION("""COMPUTED_VALUE"""),"Elementary")</f>
        <v>Elementary</v>
      </c>
      <c r="S856" s="5" t="str">
        <f ca="1">IFERROR(__xludf.DUMMYFUNCTION("""COMPUTED_VALUE"""),"Classroom")</f>
        <v>Classroom</v>
      </c>
      <c r="T856" s="5" t="str">
        <f ca="1">IFERROR(__xludf.DUMMYFUNCTION("""COMPUTED_VALUE"""),"Inside School Building")</f>
        <v>Inside School Building</v>
      </c>
      <c r="U856" s="5" t="str">
        <f ca="1">IFERROR(__xludf.DUMMYFUNCTION("""COMPUTED_VALUE"""),"Yes")</f>
        <v>Yes</v>
      </c>
      <c r="V856" s="5" t="str">
        <f ca="1">IFERROR(__xludf.DUMMYFUNCTION("""COMPUTED_VALUE"""),"Morning Classes")</f>
        <v>Morning Classes</v>
      </c>
      <c r="W856" s="10">
        <f ca="1">IFERROR(__xludf.DUMMYFUNCTION("""COMPUTED_VALUE"""),0.479166666666666)</f>
        <v>0.47916666666666602</v>
      </c>
      <c r="X856" s="5">
        <f ca="1">IFERROR(__xludf.DUMMYFUNCTION("""COMPUTED_VALUE"""),1)</f>
        <v>1</v>
      </c>
      <c r="Y856" s="5" t="str">
        <f ca="1">IFERROR(__xludf.DUMMYFUNCTION("""COMPUTED_VALUE"""),"Gun discharged in teacher's pocket")</f>
        <v>Gun discharged in teacher's pocket</v>
      </c>
      <c r="Z856" s="5" t="str">
        <f ca="1">IFERROR(__xludf.DUMMYFUNCTION("""COMPUTED_VALUE"""),"Gun discharged in teachers pocket inside of classroom. Gun was illegally carried by 74YOM substitute teacher. One student had minor injury from bullet fragment. Teacher was arrested.")</f>
        <v>Gun discharged in teachers pocket inside of classroom. Gun was illegally carried by 74YOM substitute teacher. One student had minor injury from bullet fragment. Teacher was arrested.</v>
      </c>
      <c r="AA856" s="5" t="str">
        <f ca="1">IFERROR(__xludf.DUMMYFUNCTION("""COMPUTED_VALUE"""),"Accidental")</f>
        <v>Accidental</v>
      </c>
      <c r="AB856" s="5" t="str">
        <f ca="1">IFERROR(__xludf.DUMMYFUNCTION("""COMPUTED_VALUE"""),"Random Shooting")</f>
        <v>Random Shooting</v>
      </c>
      <c r="AC856" s="5" t="str">
        <f ca="1">IFERROR(__xludf.DUMMYFUNCTION("""COMPUTED_VALUE"""),"No")</f>
        <v>No</v>
      </c>
      <c r="AD856" s="5" t="str">
        <f ca="1">IFERROR(__xludf.DUMMYFUNCTION("""COMPUTED_VALUE"""),"No")</f>
        <v>No</v>
      </c>
      <c r="AE856" s="5" t="str">
        <f ca="1">IFERROR(__xludf.DUMMYFUNCTION("""COMPUTED_VALUE"""),"No")</f>
        <v>No</v>
      </c>
      <c r="AF856" s="5" t="str">
        <f ca="1">IFERROR(__xludf.DUMMYFUNCTION("""COMPUTED_VALUE"""),"No")</f>
        <v>No</v>
      </c>
      <c r="AG856" s="5" t="str">
        <f ca="1">IFERROR(__xludf.DUMMYFUNCTION("""COMPUTED_VALUE"""),"No")</f>
        <v>No</v>
      </c>
      <c r="AH856" s="5" t="str">
        <f ca="1">IFERROR(__xludf.DUMMYFUNCTION("""COMPUTED_VALUE"""),"No")</f>
        <v>No</v>
      </c>
      <c r="AI856" s="5" t="str">
        <f ca="1">IFERROR(__xludf.DUMMYFUNCTION("""COMPUTED_VALUE"""),"No")</f>
        <v>No</v>
      </c>
      <c r="AJ856" s="5" t="str">
        <f ca="1">IFERROR(__xludf.DUMMYFUNCTION("""COMPUTED_VALUE"""),"No")</f>
        <v>No</v>
      </c>
    </row>
    <row r="857" spans="1:36" ht="13">
      <c r="A857" s="5" t="str">
        <f ca="1">IFERROR(__xludf.DUMMYFUNCTION("""COMPUTED_VALUE"""),"20190313FLLAO")</f>
        <v>20190313FLLAO</v>
      </c>
      <c r="B857" s="5">
        <f ca="1">IFERROR(__xludf.DUMMYFUNCTION("""COMPUTED_VALUE"""),3)</f>
        <v>3</v>
      </c>
      <c r="C857" s="5">
        <f ca="1">IFERROR(__xludf.DUMMYFUNCTION("""COMPUTED_VALUE"""),13)</f>
        <v>13</v>
      </c>
      <c r="D857" s="5">
        <f ca="1">IFERROR(__xludf.DUMMYFUNCTION("""COMPUTED_VALUE"""),2019)</f>
        <v>2019</v>
      </c>
      <c r="E857" s="8">
        <f ca="1">IFERROR(__xludf.DUMMYFUNCTION("""COMPUTED_VALUE"""),43537)</f>
        <v>43537</v>
      </c>
      <c r="F857" s="5" t="str">
        <f ca="1">IFERROR(__xludf.DUMMYFUNCTION("""COMPUTED_VALUE"""),"Lake Mary High School")</f>
        <v>Lake Mary High School</v>
      </c>
      <c r="G857" s="5">
        <f ca="1">IFERROR(__xludf.DUMMYFUNCTION("""COMPUTED_VALUE"""),0)</f>
        <v>0</v>
      </c>
      <c r="H857" s="5">
        <f ca="1">IFERROR(__xludf.DUMMYFUNCTION("""COMPUTED_VALUE"""),0)</f>
        <v>0</v>
      </c>
      <c r="I857" s="5">
        <f ca="1">IFERROR(__xludf.DUMMYFUNCTION("""COMPUTED_VALUE"""),0)</f>
        <v>0</v>
      </c>
      <c r="J857" s="5">
        <f ca="1">IFERROR(__xludf.DUMMYFUNCTION("""COMPUTED_VALUE"""),1)</f>
        <v>1</v>
      </c>
      <c r="K857" s="9" t="str">
        <f ca="1">IFERROR(__xludf.DUMMYFUNCTION("""COMPUTED_VALUE"""),"https://www.orlandosentinel.com/news/breaking-news/os-ne-lake-mary-lockdown-code-red-20190313-story.html")</f>
        <v>https://www.orlandosentinel.com/news/breaking-news/os-ne-lake-mary-lockdown-code-red-20190313-story.html</v>
      </c>
      <c r="L857" s="5"/>
      <c r="M857" s="5"/>
      <c r="N857" s="5">
        <f ca="1">IFERROR(__xludf.DUMMYFUNCTION("""COMPUTED_VALUE"""),4)</f>
        <v>4</v>
      </c>
      <c r="O857" s="5" t="str">
        <f ca="1">IFERROR(__xludf.DUMMYFUNCTION("""COMPUTED_VALUE"""),"Spring")</f>
        <v>Spring</v>
      </c>
      <c r="P857" s="5" t="str">
        <f ca="1">IFERROR(__xludf.DUMMYFUNCTION("""COMPUTED_VALUE"""),"Orlando")</f>
        <v>Orlando</v>
      </c>
      <c r="Q857" s="5" t="str">
        <f ca="1">IFERROR(__xludf.DUMMYFUNCTION("""COMPUTED_VALUE"""),"FL")</f>
        <v>FL</v>
      </c>
      <c r="R857" s="5" t="str">
        <f ca="1">IFERROR(__xludf.DUMMYFUNCTION("""COMPUTED_VALUE"""),"High")</f>
        <v>High</v>
      </c>
      <c r="S857" s="5" t="str">
        <f ca="1">IFERROR(__xludf.DUMMYFUNCTION("""COMPUTED_VALUE"""),"Auditorium")</f>
        <v>Auditorium</v>
      </c>
      <c r="T857" s="5" t="str">
        <f ca="1">IFERROR(__xludf.DUMMYFUNCTION("""COMPUTED_VALUE"""),"Inside School Building")</f>
        <v>Inside School Building</v>
      </c>
      <c r="U857" s="5" t="str">
        <f ca="1">IFERROR(__xludf.DUMMYFUNCTION("""COMPUTED_VALUE"""),"Yes")</f>
        <v>Yes</v>
      </c>
      <c r="V857" s="5" t="str">
        <f ca="1">IFERROR(__xludf.DUMMYFUNCTION("""COMPUTED_VALUE"""),"Morning Classes")</f>
        <v>Morning Classes</v>
      </c>
      <c r="W857" s="10">
        <f ca="1">IFERROR(__xludf.DUMMYFUNCTION("""COMPUTED_VALUE"""),0.333333333333333)</f>
        <v>0.33333333333333298</v>
      </c>
      <c r="X857" s="5">
        <f ca="1">IFERROR(__xludf.DUMMYFUNCTION("""COMPUTED_VALUE"""),1)</f>
        <v>1</v>
      </c>
      <c r="Y857" s="5" t="str">
        <f ca="1">IFERROR(__xludf.DUMMYFUNCTION("""COMPUTED_VALUE"""),"Student asked to leave classroom and commit suicide in school auditorium")</f>
        <v>Student asked to leave classroom and commit suicide in school auditorium</v>
      </c>
      <c r="Z857" s="5" t="str">
        <f ca="1">IFERROR(__xludf.DUMMYFUNCTION("""COMPUTED_VALUE"""),"17YOF asked to go to the bathroom. About 10 minutes later, a gun shot was heard and her body was found by the school security officer and nurse in the school auditorium. School was locked down for 30 minutes then dismissed 2 hours later. Classes cancelled"&amp;" the following day.")</f>
        <v>17YOF asked to go to the bathroom. About 10 minutes later, a gun shot was heard and her body was found by the school security officer and nurse in the school auditorium. School was locked down for 30 minutes then dismissed 2 hours later. Classes cancelled the following day.</v>
      </c>
      <c r="AA857" s="5" t="str">
        <f ca="1">IFERROR(__xludf.DUMMYFUNCTION("""COMPUTED_VALUE"""),"Suicide/Attempted")</f>
        <v>Suicide/Attempted</v>
      </c>
      <c r="AB857" s="5" t="str">
        <f ca="1">IFERROR(__xludf.DUMMYFUNCTION("""COMPUTED_VALUE"""),"Victims Targeted")</f>
        <v>Victims Targeted</v>
      </c>
      <c r="AC857" s="5" t="str">
        <f ca="1">IFERROR(__xludf.DUMMYFUNCTION("""COMPUTED_VALUE"""),"No")</f>
        <v>No</v>
      </c>
      <c r="AD857" s="5" t="str">
        <f ca="1">IFERROR(__xludf.DUMMYFUNCTION("""COMPUTED_VALUE"""),"No")</f>
        <v>No</v>
      </c>
      <c r="AE857" s="5" t="str">
        <f ca="1">IFERROR(__xludf.DUMMYFUNCTION("""COMPUTED_VALUE"""),"No")</f>
        <v>No</v>
      </c>
      <c r="AF857" s="5" t="str">
        <f ca="1">IFERROR(__xludf.DUMMYFUNCTION("""COMPUTED_VALUE"""),"No")</f>
        <v>No</v>
      </c>
      <c r="AG857" s="5"/>
      <c r="AH857" s="5" t="str">
        <f ca="1">IFERROR(__xludf.DUMMYFUNCTION("""COMPUTED_VALUE"""),"No")</f>
        <v>No</v>
      </c>
      <c r="AI857" s="5" t="str">
        <f ca="1">IFERROR(__xludf.DUMMYFUNCTION("""COMPUTED_VALUE"""),"No")</f>
        <v>No</v>
      </c>
      <c r="AJ857" s="5" t="str">
        <f ca="1">IFERROR(__xludf.DUMMYFUNCTION("""COMPUTED_VALUE"""),"No")</f>
        <v>No</v>
      </c>
    </row>
    <row r="858" spans="1:36" ht="13">
      <c r="A858" s="5" t="str">
        <f ca="1">IFERROR(__xludf.DUMMYFUNCTION("""COMPUTED_VALUE"""),"20190301KSHIM")</f>
        <v>20190301KSHIM</v>
      </c>
      <c r="B858" s="5">
        <f ca="1">IFERROR(__xludf.DUMMYFUNCTION("""COMPUTED_VALUE"""),3)</f>
        <v>3</v>
      </c>
      <c r="C858" s="5">
        <f ca="1">IFERROR(__xludf.DUMMYFUNCTION("""COMPUTED_VALUE"""),1)</f>
        <v>1</v>
      </c>
      <c r="D858" s="5">
        <f ca="1">IFERROR(__xludf.DUMMYFUNCTION("""COMPUTED_VALUE"""),2019)</f>
        <v>2019</v>
      </c>
      <c r="E858" s="8">
        <f ca="1">IFERROR(__xludf.DUMMYFUNCTION("""COMPUTED_VALUE"""),43525)</f>
        <v>43525</v>
      </c>
      <c r="F858" s="5" t="str">
        <f ca="1">IFERROR(__xludf.DUMMYFUNCTION("""COMPUTED_VALUE"""),"Highlands Elementary School")</f>
        <v>Highlands Elementary School</v>
      </c>
      <c r="G858" s="5">
        <f ca="1">IFERROR(__xludf.DUMMYFUNCTION("""COMPUTED_VALUE"""),0)</f>
        <v>0</v>
      </c>
      <c r="H858" s="5">
        <f ca="1">IFERROR(__xludf.DUMMYFUNCTION("""COMPUTED_VALUE"""),0)</f>
        <v>0</v>
      </c>
      <c r="I858" s="5">
        <f ca="1">IFERROR(__xludf.DUMMYFUNCTION("""COMPUTED_VALUE"""),0)</f>
        <v>0</v>
      </c>
      <c r="J858" s="5">
        <f ca="1">IFERROR(__xludf.DUMMYFUNCTION("""COMPUTED_VALUE"""),0)</f>
        <v>0</v>
      </c>
      <c r="K858" s="5" t="str">
        <f ca="1">IFERROR(__xludf.DUMMYFUNCTION("""COMPUTED_VALUE"""),"https://fox4kc.com/news/man-who-fired-shots-at-mission-elementary-school-in-march-2019-pleads-guilty/ https://www.kctv5.com/news/suspect-in-custody-after-officer-involved-shooting-near-highlands-elementary/article_230a3aa6-3c61-11e9-b31c-77d5fea69401.html"&amp;" https://www.kansascity.com/news/local/crime/article227005564.html")</f>
        <v>https://fox4kc.com/news/man-who-fired-shots-at-mission-elementary-school-in-march-2019-pleads-guilty/ https://www.kctv5.com/news/suspect-in-custody-after-officer-involved-shooting-near-highlands-elementary/article_230a3aa6-3c61-11e9-b31c-77d5fea69401.html https://www.kansascity.com/news/local/crime/article227005564.html</v>
      </c>
      <c r="L858" s="5">
        <f ca="1">IFERROR(__xludf.DUMMYFUNCTION("""COMPUTED_VALUE"""),4)</f>
        <v>4</v>
      </c>
      <c r="M858" s="5" t="str">
        <f ca="1">IFERROR(__xludf.DUMMYFUNCTION("""COMPUTED_VALUE"""),"Local")</f>
        <v>Local</v>
      </c>
      <c r="N858" s="5">
        <f ca="1">IFERROR(__xludf.DUMMYFUNCTION("""COMPUTED_VALUE"""),4)</f>
        <v>4</v>
      </c>
      <c r="O858" s="5" t="str">
        <f ca="1">IFERROR(__xludf.DUMMYFUNCTION("""COMPUTED_VALUE"""),"Spring")</f>
        <v>Spring</v>
      </c>
      <c r="P858" s="5" t="str">
        <f ca="1">IFERROR(__xludf.DUMMYFUNCTION("""COMPUTED_VALUE"""),"Mission")</f>
        <v>Mission</v>
      </c>
      <c r="Q858" s="5" t="str">
        <f ca="1">IFERROR(__xludf.DUMMYFUNCTION("""COMPUTED_VALUE"""),"KS")</f>
        <v>KS</v>
      </c>
      <c r="R858" s="5" t="str">
        <f ca="1">IFERROR(__xludf.DUMMYFUNCTION("""COMPUTED_VALUE"""),"Elementary")</f>
        <v>Elementary</v>
      </c>
      <c r="S858" s="5" t="str">
        <f ca="1">IFERROR(__xludf.DUMMYFUNCTION("""COMPUTED_VALUE"""),"Off School Property")</f>
        <v>Off School Property</v>
      </c>
      <c r="T858" s="5" t="str">
        <f ca="1">IFERROR(__xludf.DUMMYFUNCTION("""COMPUTED_VALUE"""),"Off School Property")</f>
        <v>Off School Property</v>
      </c>
      <c r="U858" s="5" t="str">
        <f ca="1">IFERROR(__xludf.DUMMYFUNCTION("""COMPUTED_VALUE"""),"Yes")</f>
        <v>Yes</v>
      </c>
      <c r="V858" s="5" t="str">
        <f ca="1">IFERROR(__xludf.DUMMYFUNCTION("""COMPUTED_VALUE"""),"Afternoon Classes")</f>
        <v>Afternoon Classes</v>
      </c>
      <c r="W858" s="10">
        <f ca="1">IFERROR(__xludf.DUMMYFUNCTION("""COMPUTED_VALUE"""),0.5625)</f>
        <v>0.5625</v>
      </c>
      <c r="X858" s="5">
        <f ca="1">IFERROR(__xludf.DUMMYFUNCTION("""COMPUTED_VALUE"""),75)</f>
        <v>75</v>
      </c>
      <c r="Y858" s="5" t="str">
        <f ca="1">IFERROR(__xludf.DUMMYFUNCTION("""COMPUTED_VALUE"""),"Shooter fired 27 shots at the school from his bedroom during attempted suicide by cop")</f>
        <v>Shooter fired 27 shots at the school from his bedroom during attempted suicide by cop</v>
      </c>
      <c r="Z858" s="5" t="str">
        <f ca="1">IFERROR(__xludf.DUMMYFUNCTION("""COMPUTED_VALUE"""),"26YOM shooter lived directly across street from school. Police were called for reported shots fired at 1:30 PM at home between mother and shooter. School officials heard shots and locked down. At 3:15, shooter fired multiple shots at police and was then s"&amp;"hot by officers. Bullets hit vehicles in the school parking lot and the school building. School remained locked down until crime scene was cleared. Students were outside at the time of the shooting and heard gun shots before taking cover in the building. "&amp;"No students or school staff were injured. School window was broken and a bullet was found inside a classroom. Police determined the shooter had fired 27 shots through the wall of his bedroom in the direction of the school. There was drug paraphernalia in "&amp;"the room. mother later told police her son had been suicidal. Mother told police that her son had a drug addiction problem. She said he was too afraid to shoot himself, and he said he would shoot at the school to make someone else do it, court documents s"&amp;"ay.")</f>
        <v>26YOM shooter lived directly across street from school. Police were called for reported shots fired at 1:30 PM at home between mother and shooter. School officials heard shots and locked down. At 3:15, shooter fired multiple shots at police and was then shot by officers. Bullets hit vehicles in the school parking lot and the school building. School remained locked down until crime scene was cleared. Students were outside at the time of the shooting and heard gun shots before taking cover in the building. No students or school staff were injured. School window was broken and a bullet was found inside a classroom. Police determined the shooter had fired 27 shots through the wall of his bedroom in the direction of the school. There was drug paraphernalia in the room. mother later told police her son had been suicidal. Mother told police that her son had a drug addiction problem. She said he was too afraid to shoot himself, and he said he would shoot at the school to make someone else do it, court documents say.</v>
      </c>
      <c r="AA858" s="5" t="str">
        <f ca="1">IFERROR(__xludf.DUMMYFUNCTION("""COMPUTED_VALUE"""),"Suicide/Attempted")</f>
        <v>Suicide/Attempted</v>
      </c>
      <c r="AB858" s="5" t="str">
        <f ca="1">IFERROR(__xludf.DUMMYFUNCTION("""COMPUTED_VALUE"""),"Neither")</f>
        <v>Neither</v>
      </c>
      <c r="AC858" s="5" t="str">
        <f ca="1">IFERROR(__xludf.DUMMYFUNCTION("""COMPUTED_VALUE"""),"No")</f>
        <v>No</v>
      </c>
      <c r="AD858" s="5" t="str">
        <f ca="1">IFERROR(__xludf.DUMMYFUNCTION("""COMPUTED_VALUE"""),"No")</f>
        <v>No</v>
      </c>
      <c r="AE858" s="5" t="str">
        <f ca="1">IFERROR(__xludf.DUMMYFUNCTION("""COMPUTED_VALUE"""),"No")</f>
        <v>No</v>
      </c>
      <c r="AF858" s="5" t="str">
        <f ca="1">IFERROR(__xludf.DUMMYFUNCTION("""COMPUTED_VALUE"""),"No")</f>
        <v>No</v>
      </c>
      <c r="AG858" s="5" t="str">
        <f ca="1">IFERROR(__xludf.DUMMYFUNCTION("""COMPUTED_VALUE"""),"No")</f>
        <v>No</v>
      </c>
      <c r="AH858" s="5" t="str">
        <f ca="1">IFERROR(__xludf.DUMMYFUNCTION("""COMPUTED_VALUE"""),"No")</f>
        <v>No</v>
      </c>
      <c r="AI858" s="5" t="str">
        <f ca="1">IFERROR(__xludf.DUMMYFUNCTION("""COMPUTED_VALUE"""),"No")</f>
        <v>No</v>
      </c>
      <c r="AJ858" s="5" t="str">
        <f ca="1">IFERROR(__xludf.DUMMYFUNCTION("""COMPUTED_VALUE"""),"No")</f>
        <v>No</v>
      </c>
    </row>
    <row r="859" spans="1:36" ht="13">
      <c r="A859" s="5" t="str">
        <f ca="1">IFERROR(__xludf.DUMMYFUNCTION("""COMPUTED_VALUE"""),"20190226ALROM")</f>
        <v>20190226ALROM</v>
      </c>
      <c r="B859" s="5">
        <f ca="1">IFERROR(__xludf.DUMMYFUNCTION("""COMPUTED_VALUE"""),2)</f>
        <v>2</v>
      </c>
      <c r="C859" s="5">
        <f ca="1">IFERROR(__xludf.DUMMYFUNCTION("""COMPUTED_VALUE"""),26)</f>
        <v>26</v>
      </c>
      <c r="D859" s="5">
        <f ca="1">IFERROR(__xludf.DUMMYFUNCTION("""COMPUTED_VALUE"""),2019)</f>
        <v>2019</v>
      </c>
      <c r="E859" s="8">
        <f ca="1">IFERROR(__xludf.DUMMYFUNCTION("""COMPUTED_VALUE"""),43522)</f>
        <v>43522</v>
      </c>
      <c r="F859" s="5" t="str">
        <f ca="1">IFERROR(__xludf.DUMMYFUNCTION("""COMPUTED_VALUE"""),"Robert E. Lee High School")</f>
        <v>Robert E. Lee High School</v>
      </c>
      <c r="G859" s="5">
        <f ca="1">IFERROR(__xludf.DUMMYFUNCTION("""COMPUTED_VALUE"""),0)</f>
        <v>0</v>
      </c>
      <c r="H859" s="5">
        <f ca="1">IFERROR(__xludf.DUMMYFUNCTION("""COMPUTED_VALUE"""),1)</f>
        <v>1</v>
      </c>
      <c r="I859" s="5">
        <f ca="1">IFERROR(__xludf.DUMMYFUNCTION("""COMPUTED_VALUE"""),1)</f>
        <v>1</v>
      </c>
      <c r="J859" s="5">
        <f ca="1">IFERROR(__xludf.DUMMYFUNCTION("""COMPUTED_VALUE"""),0)</f>
        <v>0</v>
      </c>
      <c r="K859" s="5" t="str">
        <f ca="1">IFERROR(__xludf.DUMMYFUNCTION("""COMPUTED_VALUE"""),"https://www.wsfa.com/2020/01/22/splc-sues-after-montgomery-students-expelled-during-shooting-probe/ https://www.wsfa.com/2021/02/09/splc-mps-settle-lawsuits-over-expelled-students/ http://www.cleveland19.com/2019/02/26/student-shot-montgomerys-lee-high-sc"&amp;"hool/ https://www.montgomeryadvertiser.com/story/news/crime/2019/02/26/lee-high-school-shooting-montgomery-student-shot-schools-campus/2991274002/ https://www.wtok.com/content/news/4-teens-arrested-for-Alabama-school-shooting-506440221.html")</f>
        <v>https://www.wsfa.com/2020/01/22/splc-sues-after-montgomery-students-expelled-during-shooting-probe/ https://www.wsfa.com/2021/02/09/splc-mps-settle-lawsuits-over-expelled-students/ http://www.cleveland19.com/2019/02/26/student-shot-montgomerys-lee-high-school/ https://www.montgomeryadvertiser.com/story/news/crime/2019/02/26/lee-high-school-shooting-montgomery-student-shot-schools-campus/2991274002/ https://www.wtok.com/content/news/4-teens-arrested-for-Alabama-school-shooting-506440221.html</v>
      </c>
      <c r="L859" s="5"/>
      <c r="M859" s="5" t="str">
        <f ca="1">IFERROR(__xludf.DUMMYFUNCTION("""COMPUTED_VALUE"""),"Local")</f>
        <v>Local</v>
      </c>
      <c r="N859" s="5">
        <f ca="1">IFERROR(__xludf.DUMMYFUNCTION("""COMPUTED_VALUE"""),4)</f>
        <v>4</v>
      </c>
      <c r="O859" s="5" t="str">
        <f ca="1">IFERROR(__xludf.DUMMYFUNCTION("""COMPUTED_VALUE"""),"Winter")</f>
        <v>Winter</v>
      </c>
      <c r="P859" s="5" t="str">
        <f ca="1">IFERROR(__xludf.DUMMYFUNCTION("""COMPUTED_VALUE"""),"Montgomery")</f>
        <v>Montgomery</v>
      </c>
      <c r="Q859" s="5" t="str">
        <f ca="1">IFERROR(__xludf.DUMMYFUNCTION("""COMPUTED_VALUE"""),"AL")</f>
        <v>AL</v>
      </c>
      <c r="R859" s="5" t="str">
        <f ca="1">IFERROR(__xludf.DUMMYFUNCTION("""COMPUTED_VALUE"""),"High")</f>
        <v>High</v>
      </c>
      <c r="S859" s="5" t="str">
        <f ca="1">IFERROR(__xludf.DUMMYFUNCTION("""COMPUTED_VALUE"""),"Gym")</f>
        <v>Gym</v>
      </c>
      <c r="T859" s="5" t="str">
        <f ca="1">IFERROR(__xludf.DUMMYFUNCTION("""COMPUTED_VALUE"""),"Inside School Building")</f>
        <v>Inside School Building</v>
      </c>
      <c r="U859" s="5" t="str">
        <f ca="1">IFERROR(__xludf.DUMMYFUNCTION("""COMPUTED_VALUE"""),"Yes")</f>
        <v>Yes</v>
      </c>
      <c r="V859" s="5" t="str">
        <f ca="1">IFERROR(__xludf.DUMMYFUNCTION("""COMPUTED_VALUE"""),"Morning Classes")</f>
        <v>Morning Classes</v>
      </c>
      <c r="W859" s="10">
        <f ca="1">IFERROR(__xludf.DUMMYFUNCTION("""COMPUTED_VALUE"""),0.458333333333333)</f>
        <v>0.45833333333333298</v>
      </c>
      <c r="X859" s="5">
        <f ca="1">IFERROR(__xludf.DUMMYFUNCTION("""COMPUTED_VALUE"""),1)</f>
        <v>1</v>
      </c>
      <c r="Y859" s="5" t="str">
        <f ca="1">IFERROR(__xludf.DUMMYFUNCTION("""COMPUTED_VALUE"""),"Student shot by other student in the school gym. Police said shooting was targeted.")</f>
        <v>Student shot by other student in the school gym. Police said shooting was targeted.</v>
      </c>
      <c r="Z859" s="5" t="str">
        <f ca="1">IFERROR(__xludf.DUMMYFUNCTION("""COMPUTED_VALUE"""),"17YOM student shot by unidentified male student in the school gym. 30 other staff and students were in the gym during the time of the shooting. Suspect fled and was arrested off campus by police. Handgun was recovered. Active shooter plan at school was us"&amp;"ed and policed conducted room by room sweep. School has metal detectors at front door but does not ""pat down"" students entering.")</f>
        <v>17YOM student shot by unidentified male student in the school gym. 30 other staff and students were in the gym during the time of the shooting. Suspect fled and was arrested off campus by police. Handgun was recovered. Active shooter plan at school was used and policed conducted room by room sweep. School has metal detectors at front door but does not "pat down" students entering.</v>
      </c>
      <c r="AA859" s="5" t="str">
        <f ca="1">IFERROR(__xludf.DUMMYFUNCTION("""COMPUTED_VALUE"""),"Escalation of Dispute")</f>
        <v>Escalation of Dispute</v>
      </c>
      <c r="AB859" s="5" t="str">
        <f ca="1">IFERROR(__xludf.DUMMYFUNCTION("""COMPUTED_VALUE"""),"Victims Targeted")</f>
        <v>Victims Targeted</v>
      </c>
      <c r="AC859" s="5" t="str">
        <f ca="1">IFERROR(__xludf.DUMMYFUNCTION("""COMPUTED_VALUE"""),"Yes")</f>
        <v>Yes</v>
      </c>
      <c r="AD859" s="5" t="str">
        <f ca="1">IFERROR(__xludf.DUMMYFUNCTION("""COMPUTED_VALUE"""),"No")</f>
        <v>No</v>
      </c>
      <c r="AE859" s="5" t="str">
        <f ca="1">IFERROR(__xludf.DUMMYFUNCTION("""COMPUTED_VALUE"""),"No")</f>
        <v>No</v>
      </c>
      <c r="AF859" s="5" t="str">
        <f ca="1">IFERROR(__xludf.DUMMYFUNCTION("""COMPUTED_VALUE"""),"No")</f>
        <v>No</v>
      </c>
      <c r="AG859" s="5"/>
      <c r="AH859" s="5" t="str">
        <f ca="1">IFERROR(__xludf.DUMMYFUNCTION("""COMPUTED_VALUE"""),"No")</f>
        <v>No</v>
      </c>
      <c r="AI859" s="5"/>
      <c r="AJ859" s="5" t="str">
        <f ca="1">IFERROR(__xludf.DUMMYFUNCTION("""COMPUTED_VALUE"""),"No")</f>
        <v>No</v>
      </c>
    </row>
    <row r="860" spans="1:36" ht="13">
      <c r="A860" s="5" t="str">
        <f ca="1">IFERROR(__xludf.DUMMYFUNCTION("""COMPUTED_VALUE"""),"20190217COEAA")</f>
        <v>20190217COEAA</v>
      </c>
      <c r="B860" s="5">
        <f ca="1">IFERROR(__xludf.DUMMYFUNCTION("""COMPUTED_VALUE"""),2)</f>
        <v>2</v>
      </c>
      <c r="C860" s="5">
        <f ca="1">IFERROR(__xludf.DUMMYFUNCTION("""COMPUTED_VALUE"""),17)</f>
        <v>17</v>
      </c>
      <c r="D860" s="5">
        <f ca="1">IFERROR(__xludf.DUMMYFUNCTION("""COMPUTED_VALUE"""),2019)</f>
        <v>2019</v>
      </c>
      <c r="E860" s="8">
        <f ca="1">IFERROR(__xludf.DUMMYFUNCTION("""COMPUTED_VALUE"""),43513)</f>
        <v>43513</v>
      </c>
      <c r="F860" s="5" t="str">
        <f ca="1">IFERROR(__xludf.DUMMYFUNCTION("""COMPUTED_VALUE"""),"Eaglecrest High School")</f>
        <v>Eaglecrest High School</v>
      </c>
      <c r="G860" s="5">
        <f ca="1">IFERROR(__xludf.DUMMYFUNCTION("""COMPUTED_VALUE"""),1)</f>
        <v>1</v>
      </c>
      <c r="H860" s="5">
        <f ca="1">IFERROR(__xludf.DUMMYFUNCTION("""COMPUTED_VALUE"""),0)</f>
        <v>0</v>
      </c>
      <c r="I860" s="5">
        <f ca="1">IFERROR(__xludf.DUMMYFUNCTION("""COMPUTED_VALUE"""),1)</f>
        <v>1</v>
      </c>
      <c r="J860" s="5">
        <f ca="1">IFERROR(__xludf.DUMMYFUNCTION("""COMPUTED_VALUE"""),0)</f>
        <v>0</v>
      </c>
      <c r="K860" s="9" t="str">
        <f ca="1">IFERROR(__xludf.DUMMYFUNCTION("""COMPUTED_VALUE"""),"https://kdvr.com/2019/02/18/man-shot-in-neighbor-dispute-idd-as-former-cu-football-player-assistant-high-school-principal/")</f>
        <v>https://kdvr.com/2019/02/18/man-shot-in-neighbor-dispute-idd-as-former-cu-football-player-assistant-high-school-principal/</v>
      </c>
      <c r="L860" s="5"/>
      <c r="M860" s="5"/>
      <c r="N860" s="5">
        <f ca="1">IFERROR(__xludf.DUMMYFUNCTION("""COMPUTED_VALUE"""),4)</f>
        <v>4</v>
      </c>
      <c r="O860" s="5" t="str">
        <f ca="1">IFERROR(__xludf.DUMMYFUNCTION("""COMPUTED_VALUE"""),"Winter")</f>
        <v>Winter</v>
      </c>
      <c r="P860" s="5" t="str">
        <f ca="1">IFERROR(__xludf.DUMMYFUNCTION("""COMPUTED_VALUE"""),"Aurora")</f>
        <v>Aurora</v>
      </c>
      <c r="Q860" s="5" t="str">
        <f ca="1">IFERROR(__xludf.DUMMYFUNCTION("""COMPUTED_VALUE"""),"CO")</f>
        <v>CO</v>
      </c>
      <c r="R860" s="5" t="str">
        <f ca="1">IFERROR(__xludf.DUMMYFUNCTION("""COMPUTED_VALUE"""),"High")</f>
        <v>High</v>
      </c>
      <c r="S860" s="5" t="str">
        <f ca="1">IFERROR(__xludf.DUMMYFUNCTION("""COMPUTED_VALUE"""),"Field (General)")</f>
        <v>Field (General)</v>
      </c>
      <c r="T860" s="5" t="str">
        <f ca="1">IFERROR(__xludf.DUMMYFUNCTION("""COMPUTED_VALUE"""),"Outside on School Property")</f>
        <v>Outside on School Property</v>
      </c>
      <c r="U860" s="5" t="str">
        <f ca="1">IFERROR(__xludf.DUMMYFUNCTION("""COMPUTED_VALUE"""),"No")</f>
        <v>No</v>
      </c>
      <c r="V860" s="5" t="str">
        <f ca="1">IFERROR(__xludf.DUMMYFUNCTION("""COMPUTED_VALUE"""),"Not a School Day")</f>
        <v>Not a School Day</v>
      </c>
      <c r="W860" s="10">
        <f ca="1">IFERROR(__xludf.DUMMYFUNCTION("""COMPUTED_VALUE"""),0.458333333333333)</f>
        <v>0.45833333333333298</v>
      </c>
      <c r="X860" s="5">
        <f ca="1">IFERROR(__xludf.DUMMYFUNCTION("""COMPUTED_VALUE"""),1)</f>
        <v>1</v>
      </c>
      <c r="Y860" s="5" t="str">
        <f ca="1">IFERROR(__xludf.DUMMYFUNCTION("""COMPUTED_VALUE"""),"Neighbors met at school to talk about ongoing dispute over parking, argument lead to shooting")</f>
        <v>Neighbors met at school to talk about ongoing dispute over parking, argument lead to shooting</v>
      </c>
      <c r="Z860" s="5" t="str">
        <f ca="1">IFERROR(__xludf.DUMMYFUNCTION("""COMPUTED_VALUE"""),"31YOM shot and killed 46YOM (assistant principal at another Aurora school) during ongoing dispute about a parking space. Both men lived across the street from the school. Two men agreed to meet at the school to discuss the dispute and it escalated into a "&amp;"shooting. Shooting occurred on Sunday of holiday weekend. Classes at school were disrupted and students received counseling. Shooter called police and said he shot neighbor then surrendered to police following shooting.")</f>
        <v>31YOM shot and killed 46YOM (assistant principal at another Aurora school) during ongoing dispute about a parking space. Both men lived across the street from the school. Two men agreed to meet at the school to discuss the dispute and it escalated into a shooting. Shooting occurred on Sunday of holiday weekend. Classes at school were disrupted and students received counseling. Shooter called police and said he shot neighbor then surrendered to police following shooting.</v>
      </c>
      <c r="AA860" s="5" t="str">
        <f ca="1">IFERROR(__xludf.DUMMYFUNCTION("""COMPUTED_VALUE"""),"Escalation of Dispute")</f>
        <v>Escalation of Dispute</v>
      </c>
      <c r="AB860" s="5" t="str">
        <f ca="1">IFERROR(__xludf.DUMMYFUNCTION("""COMPUTED_VALUE"""),"Victims Targeted")</f>
        <v>Victims Targeted</v>
      </c>
      <c r="AC860" s="5" t="str">
        <f ca="1">IFERROR(__xludf.DUMMYFUNCTION("""COMPUTED_VALUE"""),"No")</f>
        <v>No</v>
      </c>
      <c r="AD860" s="5" t="str">
        <f ca="1">IFERROR(__xludf.DUMMYFUNCTION("""COMPUTED_VALUE"""),"No")</f>
        <v>No</v>
      </c>
      <c r="AE860" s="5" t="str">
        <f ca="1">IFERROR(__xludf.DUMMYFUNCTION("""COMPUTED_VALUE"""),"No")</f>
        <v>No</v>
      </c>
      <c r="AF860" s="5" t="str">
        <f ca="1">IFERROR(__xludf.DUMMYFUNCTION("""COMPUTED_VALUE"""),"No")</f>
        <v>No</v>
      </c>
      <c r="AG860" s="5" t="str">
        <f ca="1">IFERROR(__xludf.DUMMYFUNCTION("""COMPUTED_VALUE"""),"No")</f>
        <v>No</v>
      </c>
      <c r="AH860" s="5" t="str">
        <f ca="1">IFERROR(__xludf.DUMMYFUNCTION("""COMPUTED_VALUE"""),"No")</f>
        <v>No</v>
      </c>
      <c r="AI860" s="5" t="str">
        <f ca="1">IFERROR(__xludf.DUMMYFUNCTION("""COMPUTED_VALUE"""),"No")</f>
        <v>No</v>
      </c>
      <c r="AJ860" s="5" t="str">
        <f ca="1">IFERROR(__xludf.DUMMYFUNCTION("""COMPUTED_VALUE"""),"No")</f>
        <v>No</v>
      </c>
    </row>
    <row r="861" spans="1:36" ht="13">
      <c r="A861" s="5" t="str">
        <f ca="1">IFERROR(__xludf.DUMMYFUNCTION("""COMPUTED_VALUE"""),"20190214NMV.R")</f>
        <v>20190214NMV.R</v>
      </c>
      <c r="B861" s="5">
        <f ca="1">IFERROR(__xludf.DUMMYFUNCTION("""COMPUTED_VALUE"""),2)</f>
        <v>2</v>
      </c>
      <c r="C861" s="5">
        <f ca="1">IFERROR(__xludf.DUMMYFUNCTION("""COMPUTED_VALUE"""),14)</f>
        <v>14</v>
      </c>
      <c r="D861" s="5">
        <f ca="1">IFERROR(__xludf.DUMMYFUNCTION("""COMPUTED_VALUE"""),2019)</f>
        <v>2019</v>
      </c>
      <c r="E861" s="8">
        <f ca="1">IFERROR(__xludf.DUMMYFUNCTION("""COMPUTED_VALUE"""),43510)</f>
        <v>43510</v>
      </c>
      <c r="F861" s="5" t="str">
        <f ca="1">IFERROR(__xludf.DUMMYFUNCTION("""COMPUTED_VALUE"""),"V. Sue Cleveland High School")</f>
        <v>V. Sue Cleveland High School</v>
      </c>
      <c r="G861" s="5">
        <f ca="1">IFERROR(__xludf.DUMMYFUNCTION("""COMPUTED_VALUE"""),0)</f>
        <v>0</v>
      </c>
      <c r="H861" s="5">
        <f ca="1">IFERROR(__xludf.DUMMYFUNCTION("""COMPUTED_VALUE"""),0)</f>
        <v>0</v>
      </c>
      <c r="I861" s="5">
        <f ca="1">IFERROR(__xludf.DUMMYFUNCTION("""COMPUTED_VALUE"""),0)</f>
        <v>0</v>
      </c>
      <c r="J861" s="5">
        <f ca="1">IFERROR(__xludf.DUMMYFUNCTION("""COMPUTED_VALUE"""),0)</f>
        <v>0</v>
      </c>
      <c r="K861" s="5" t="str">
        <f ca="1">IFERROR(__xludf.DUMMYFUNCTION("""COMPUTED_VALUE"""),"https://www.ntd.com/shot-fired-at-suburban-albuquerque-high-school_289008.html https://www.koat.com/article/possible-shots-fired-at-v-sue-cleveland-high-school/26339839")</f>
        <v>https://www.ntd.com/shot-fired-at-suburban-albuquerque-high-school_289008.html https://www.koat.com/article/possible-shots-fired-at-v-sue-cleveland-high-school/26339839</v>
      </c>
      <c r="L861" s="5"/>
      <c r="M861" s="5"/>
      <c r="N861" s="5">
        <f ca="1">IFERROR(__xludf.DUMMYFUNCTION("""COMPUTED_VALUE"""),4)</f>
        <v>4</v>
      </c>
      <c r="O861" s="5" t="str">
        <f ca="1">IFERROR(__xludf.DUMMYFUNCTION("""COMPUTED_VALUE"""),"Winter")</f>
        <v>Winter</v>
      </c>
      <c r="P861" s="5" t="str">
        <f ca="1">IFERROR(__xludf.DUMMYFUNCTION("""COMPUTED_VALUE"""),"Rio Rancho")</f>
        <v>Rio Rancho</v>
      </c>
      <c r="Q861" s="5" t="str">
        <f ca="1">IFERROR(__xludf.DUMMYFUNCTION("""COMPUTED_VALUE"""),"NM")</f>
        <v>NM</v>
      </c>
      <c r="R861" s="5" t="str">
        <f ca="1">IFERROR(__xludf.DUMMYFUNCTION("""COMPUTED_VALUE"""),"High")</f>
        <v>High</v>
      </c>
      <c r="S861" s="5" t="str">
        <f ca="1">IFERROR(__xludf.DUMMYFUNCTION("""COMPUTED_VALUE"""),"Hallway")</f>
        <v>Hallway</v>
      </c>
      <c r="T861" s="5" t="str">
        <f ca="1">IFERROR(__xludf.DUMMYFUNCTION("""COMPUTED_VALUE"""),"Inside School Building")</f>
        <v>Inside School Building</v>
      </c>
      <c r="U861" s="5" t="str">
        <f ca="1">IFERROR(__xludf.DUMMYFUNCTION("""COMPUTED_VALUE"""),"Yes")</f>
        <v>Yes</v>
      </c>
      <c r="V861" s="5" t="str">
        <f ca="1">IFERROR(__xludf.DUMMYFUNCTION("""COMPUTED_VALUE"""),"School Start")</f>
        <v>School Start</v>
      </c>
      <c r="W861" s="10">
        <f ca="1">IFERROR(__xludf.DUMMYFUNCTION("""COMPUTED_VALUE"""),0.291666666666666)</f>
        <v>0.29166666666666602</v>
      </c>
      <c r="X861" s="5">
        <f ca="1">IFERROR(__xludf.DUMMYFUNCTION("""COMPUTED_VALUE"""),1)</f>
        <v>1</v>
      </c>
      <c r="Y861" s="5" t="str">
        <f ca="1">IFERROR(__xludf.DUMMYFUNCTION("""COMPUTED_VALUE"""),"Student fired shot as school opened then fled the scene. Reported attempt to kill ex girlfriend.")</f>
        <v>Student fired shot as school opened then fled the scene. Reported attempt to kill ex girlfriend.</v>
      </c>
      <c r="Z861" s="5" t="str">
        <f ca="1">IFERROR(__xludf.DUMMYFUNCTION("""COMPUTED_VALUE"""),"16YOM student fired a handgun (single shot) in the school hallway, dropped the weapon, then fled the school. Note in student's pocket said he intended to kill his ex girlfriend (Valentine's Day). Caught by law enforcement as he was running from the scene."&amp;" Police report shooter had been questioned 9 months ago when he said voices were telling him to commit a shooting at the school.")</f>
        <v>16YOM student fired a handgun (single shot) in the school hallway, dropped the weapon, then fled the school. Note in student's pocket said he intended to kill his ex girlfriend (Valentine's Day). Caught by law enforcement as he was running from the scene. Police report shooter had been questioned 9 months ago when he said voices were telling him to commit a shooting at the school.</v>
      </c>
      <c r="AA861" s="5" t="str">
        <f ca="1">IFERROR(__xludf.DUMMYFUNCTION("""COMPUTED_VALUE"""),"Domestic w/ Targeted Victim")</f>
        <v>Domestic w/ Targeted Victim</v>
      </c>
      <c r="AB861" s="5" t="str">
        <f ca="1">IFERROR(__xludf.DUMMYFUNCTION("""COMPUTED_VALUE"""),"Victims Targeted")</f>
        <v>Victims Targeted</v>
      </c>
      <c r="AC861" s="5" t="str">
        <f ca="1">IFERROR(__xludf.DUMMYFUNCTION("""COMPUTED_VALUE"""),"No")</f>
        <v>No</v>
      </c>
      <c r="AD861" s="5" t="str">
        <f ca="1">IFERROR(__xludf.DUMMYFUNCTION("""COMPUTED_VALUE"""),"No")</f>
        <v>No</v>
      </c>
      <c r="AE861" s="5" t="str">
        <f ca="1">IFERROR(__xludf.DUMMYFUNCTION("""COMPUTED_VALUE"""),"No")</f>
        <v>No</v>
      </c>
      <c r="AF861" s="5" t="str">
        <f ca="1">IFERROR(__xludf.DUMMYFUNCTION("""COMPUTED_VALUE"""),"No")</f>
        <v>No</v>
      </c>
      <c r="AG861" s="5"/>
      <c r="AH861" s="5" t="str">
        <f ca="1">IFERROR(__xludf.DUMMYFUNCTION("""COMPUTED_VALUE"""),"Yes")</f>
        <v>Yes</v>
      </c>
      <c r="AI861" s="5"/>
      <c r="AJ861" s="5" t="str">
        <f ca="1">IFERROR(__xludf.DUMMYFUNCTION("""COMPUTED_VALUE"""),"No")</f>
        <v>No</v>
      </c>
    </row>
    <row r="862" spans="1:36" ht="13">
      <c r="A862" s="5" t="str">
        <f ca="1">IFERROR(__xludf.DUMMYFUNCTION("""COMPUTED_VALUE"""),"20190212MOCEK")</f>
        <v>20190212MOCEK</v>
      </c>
      <c r="B862" s="5">
        <f ca="1">IFERROR(__xludf.DUMMYFUNCTION("""COMPUTED_VALUE"""),2)</f>
        <v>2</v>
      </c>
      <c r="C862" s="5">
        <f ca="1">IFERROR(__xludf.DUMMYFUNCTION("""COMPUTED_VALUE"""),12)</f>
        <v>12</v>
      </c>
      <c r="D862" s="5">
        <f ca="1">IFERROR(__xludf.DUMMYFUNCTION("""COMPUTED_VALUE"""),2019)</f>
        <v>2019</v>
      </c>
      <c r="E862" s="8">
        <f ca="1">IFERROR(__xludf.DUMMYFUNCTION("""COMPUTED_VALUE"""),43508)</f>
        <v>43508</v>
      </c>
      <c r="F862" s="5" t="str">
        <f ca="1">IFERROR(__xludf.DUMMYFUNCTION("""COMPUTED_VALUE"""),"Central Academy of Excellence")</f>
        <v>Central Academy of Excellence</v>
      </c>
      <c r="G862" s="5">
        <f ca="1">IFERROR(__xludf.DUMMYFUNCTION("""COMPUTED_VALUE"""),1)</f>
        <v>1</v>
      </c>
      <c r="H862" s="5">
        <f ca="1">IFERROR(__xludf.DUMMYFUNCTION("""COMPUTED_VALUE"""),0)</f>
        <v>0</v>
      </c>
      <c r="I862" s="5">
        <f ca="1">IFERROR(__xludf.DUMMYFUNCTION("""COMPUTED_VALUE"""),1)</f>
        <v>1</v>
      </c>
      <c r="J862" s="5">
        <f ca="1">IFERROR(__xludf.DUMMYFUNCTION("""COMPUTED_VALUE"""),0)</f>
        <v>0</v>
      </c>
      <c r="K862" s="5" t="str">
        <f ca="1">IFERROR(__xludf.DUMMYFUNCTION("""COMPUTED_VALUE"""),"https://www.kansascity.com/news/local/article250909479.html https://www.kmbc.com/article/charges-filed-against-2-women-in-fatal-shooting-of-15-year-old-outside-kc-school/26345522 https://www.kctv5.com/news/persons-of-interest-in-custody-in-killing-outside"&amp;"-kansas-city/article_33183ae4-2f3a-11e9-b63a-179a1df47621.html")</f>
        <v>https://www.kansascity.com/news/local/article250909479.html https://www.kmbc.com/article/charges-filed-against-2-women-in-fatal-shooting-of-15-year-old-outside-kc-school/26345522 https://www.kctv5.com/news/persons-of-interest-in-custody-in-killing-outside-kansas-city/article_33183ae4-2f3a-11e9-b63a-179a1df47621.html</v>
      </c>
      <c r="L862" s="5"/>
      <c r="M862" s="5" t="str">
        <f ca="1">IFERROR(__xludf.DUMMYFUNCTION("""COMPUTED_VALUE"""),"Local")</f>
        <v>Local</v>
      </c>
      <c r="N862" s="5">
        <f ca="1">IFERROR(__xludf.DUMMYFUNCTION("""COMPUTED_VALUE"""),5)</f>
        <v>5</v>
      </c>
      <c r="O862" s="5" t="str">
        <f ca="1">IFERROR(__xludf.DUMMYFUNCTION("""COMPUTED_VALUE"""),"Winter")</f>
        <v>Winter</v>
      </c>
      <c r="P862" s="5" t="str">
        <f ca="1">IFERROR(__xludf.DUMMYFUNCTION("""COMPUTED_VALUE"""),"Kansas City")</f>
        <v>Kansas City</v>
      </c>
      <c r="Q862" s="5" t="str">
        <f ca="1">IFERROR(__xludf.DUMMYFUNCTION("""COMPUTED_VALUE"""),"MO")</f>
        <v>MO</v>
      </c>
      <c r="R862" s="5" t="str">
        <f ca="1">IFERROR(__xludf.DUMMYFUNCTION("""COMPUTED_VALUE"""),"High")</f>
        <v>High</v>
      </c>
      <c r="S862" s="5" t="str">
        <f ca="1">IFERROR(__xludf.DUMMYFUNCTION("""COMPUTED_VALUE"""),"Beside Building")</f>
        <v>Beside Building</v>
      </c>
      <c r="T862" s="5" t="str">
        <f ca="1">IFERROR(__xludf.DUMMYFUNCTION("""COMPUTED_VALUE"""),"Outside on School Property")</f>
        <v>Outside on School Property</v>
      </c>
      <c r="U862" s="5" t="str">
        <f ca="1">IFERROR(__xludf.DUMMYFUNCTION("""COMPUTED_VALUE"""),"No")</f>
        <v>No</v>
      </c>
      <c r="V862" s="5" t="str">
        <f ca="1">IFERROR(__xludf.DUMMYFUNCTION("""COMPUTED_VALUE"""),"Sport Event")</f>
        <v>Sport Event</v>
      </c>
      <c r="W862" s="10">
        <f ca="1">IFERROR(__xludf.DUMMYFUNCTION("""COMPUTED_VALUE"""),0.84375)</f>
        <v>0.84375</v>
      </c>
      <c r="X862" s="5">
        <f ca="1">IFERROR(__xludf.DUMMYFUNCTION("""COMPUTED_VALUE"""),1)</f>
        <v>1</v>
      </c>
      <c r="Y862" s="5" t="str">
        <f ca="1">IFERROR(__xludf.DUMMYFUNCTION("""COMPUTED_VALUE"""),"Shooting outside school after fight inside during basketball game")</f>
        <v>Shooting outside school after fight inside during basketball game</v>
      </c>
      <c r="Z862" s="5" t="str">
        <f ca="1">IFERROR(__xludf.DUMMYFUNCTION("""COMPUTED_VALUE"""),"Fight between shooter (21YOF) and victim (15YOF) during basketball game. Shooter was escorted out of gym by security. When victim (15YOF) exited the school, she was shot and killed by the shooter. CCTV captured the full incident. Suspect and additional 18"&amp;"YOF were arrested the following day.")</f>
        <v>Fight between shooter (21YOF) and victim (15YOF) during basketball game. Shooter was escorted out of gym by security. When victim (15YOF) exited the school, she was shot and killed by the shooter. CCTV captured the full incident. Suspect and additional 18YOF were arrested the following day.</v>
      </c>
      <c r="AA862" s="5" t="str">
        <f ca="1">IFERROR(__xludf.DUMMYFUNCTION("""COMPUTED_VALUE"""),"Escalation of Dispute")</f>
        <v>Escalation of Dispute</v>
      </c>
      <c r="AB862" s="5" t="str">
        <f ca="1">IFERROR(__xludf.DUMMYFUNCTION("""COMPUTED_VALUE"""),"Victims Targeted")</f>
        <v>Victims Targeted</v>
      </c>
      <c r="AC862" s="5" t="str">
        <f ca="1">IFERROR(__xludf.DUMMYFUNCTION("""COMPUTED_VALUE"""),"Yes")</f>
        <v>Yes</v>
      </c>
      <c r="AD862" s="5" t="str">
        <f ca="1">IFERROR(__xludf.DUMMYFUNCTION("""COMPUTED_VALUE"""),"No")</f>
        <v>No</v>
      </c>
      <c r="AE862" s="5" t="str">
        <f ca="1">IFERROR(__xludf.DUMMYFUNCTION("""COMPUTED_VALUE"""),"No")</f>
        <v>No</v>
      </c>
      <c r="AF862" s="5" t="str">
        <f ca="1">IFERROR(__xludf.DUMMYFUNCTION("""COMPUTED_VALUE"""),"No")</f>
        <v>No</v>
      </c>
      <c r="AG862" s="5" t="str">
        <f ca="1">IFERROR(__xludf.DUMMYFUNCTION("""COMPUTED_VALUE"""),"No")</f>
        <v>No</v>
      </c>
      <c r="AH862" s="5" t="str">
        <f ca="1">IFERROR(__xludf.DUMMYFUNCTION("""COMPUTED_VALUE"""),"No")</f>
        <v>No</v>
      </c>
      <c r="AI862" s="5" t="str">
        <f ca="1">IFERROR(__xludf.DUMMYFUNCTION("""COMPUTED_VALUE"""),"No")</f>
        <v>No</v>
      </c>
      <c r="AJ862" s="5" t="str">
        <f ca="1">IFERROR(__xludf.DUMMYFUNCTION("""COMPUTED_VALUE"""),"No")</f>
        <v>No</v>
      </c>
    </row>
    <row r="863" spans="1:36" ht="13">
      <c r="A863" s="5" t="str">
        <f ca="1">IFERROR(__xludf.DUMMYFUNCTION("""COMPUTED_VALUE"""),"20190208MDFRB")</f>
        <v>20190208MDFRB</v>
      </c>
      <c r="B863" s="5">
        <f ca="1">IFERROR(__xludf.DUMMYFUNCTION("""COMPUTED_VALUE"""),2)</f>
        <v>2</v>
      </c>
      <c r="C863" s="5">
        <f ca="1">IFERROR(__xludf.DUMMYFUNCTION("""COMPUTED_VALUE"""),8)</f>
        <v>8</v>
      </c>
      <c r="D863" s="5">
        <f ca="1">IFERROR(__xludf.DUMMYFUNCTION("""COMPUTED_VALUE"""),2019)</f>
        <v>2019</v>
      </c>
      <c r="E863" s="8">
        <f ca="1">IFERROR(__xludf.DUMMYFUNCTION("""COMPUTED_VALUE"""),43504)</f>
        <v>43504</v>
      </c>
      <c r="F863" s="5" t="str">
        <f ca="1">IFERROR(__xludf.DUMMYFUNCTION("""COMPUTED_VALUE"""),"Frederick Douglass High School")</f>
        <v>Frederick Douglass High School</v>
      </c>
      <c r="G863" s="5">
        <f ca="1">IFERROR(__xludf.DUMMYFUNCTION("""COMPUTED_VALUE"""),0)</f>
        <v>0</v>
      </c>
      <c r="H863" s="5">
        <f ca="1">IFERROR(__xludf.DUMMYFUNCTION("""COMPUTED_VALUE"""),1)</f>
        <v>1</v>
      </c>
      <c r="I863" s="5">
        <f ca="1">IFERROR(__xludf.DUMMYFUNCTION("""COMPUTED_VALUE"""),1)</f>
        <v>1</v>
      </c>
      <c r="J863" s="5">
        <f ca="1">IFERROR(__xludf.DUMMYFUNCTION("""COMPUTED_VALUE"""),0)</f>
        <v>0</v>
      </c>
      <c r="K863" s="5" t="str">
        <f ca="1">IFERROR(__xludf.DUMMYFUNCTION("""COMPUTED_VALUE"""),"https://www.wbaltv.com/article/frederick-douglass-high-school-shooting/26253532 https://www.cbsnews.com/news/baltimore-school-shooting-frederick-douglass-high-school-today-2019-02-08-live-updates/ https://www.newschannel5.com/news/national/suspect-in-balt"&amp;"imore-school-shooting-also-charged-in-2018-murder")</f>
        <v>https://www.wbaltv.com/article/frederick-douglass-high-school-shooting/26253532 https://www.cbsnews.com/news/baltimore-school-shooting-frederick-douglass-high-school-today-2019-02-08-live-updates/ https://www.newschannel5.com/news/national/suspect-in-baltimore-school-shooting-also-charged-in-2018-murder</v>
      </c>
      <c r="L863" s="5"/>
      <c r="M863" s="5"/>
      <c r="N863" s="5">
        <f ca="1">IFERROR(__xludf.DUMMYFUNCTION("""COMPUTED_VALUE"""),4)</f>
        <v>4</v>
      </c>
      <c r="O863" s="5" t="str">
        <f ca="1">IFERROR(__xludf.DUMMYFUNCTION("""COMPUTED_VALUE"""),"Winter")</f>
        <v>Winter</v>
      </c>
      <c r="P863" s="5" t="str">
        <f ca="1">IFERROR(__xludf.DUMMYFUNCTION("""COMPUTED_VALUE"""),"Baltimore")</f>
        <v>Baltimore</v>
      </c>
      <c r="Q863" s="5" t="str">
        <f ca="1">IFERROR(__xludf.DUMMYFUNCTION("""COMPUTED_VALUE"""),"MD")</f>
        <v>MD</v>
      </c>
      <c r="R863" s="5" t="str">
        <f ca="1">IFERROR(__xludf.DUMMYFUNCTION("""COMPUTED_VALUE"""),"High")</f>
        <v>High</v>
      </c>
      <c r="S863" s="5" t="str">
        <f ca="1">IFERROR(__xludf.DUMMYFUNCTION("""COMPUTED_VALUE"""),"Entryway")</f>
        <v>Entryway</v>
      </c>
      <c r="T863" s="5" t="str">
        <f ca="1">IFERROR(__xludf.DUMMYFUNCTION("""COMPUTED_VALUE"""),"Inside School Building")</f>
        <v>Inside School Building</v>
      </c>
      <c r="U863" s="5" t="str">
        <f ca="1">IFERROR(__xludf.DUMMYFUNCTION("""COMPUTED_VALUE"""),"Yes")</f>
        <v>Yes</v>
      </c>
      <c r="V863" s="5" t="str">
        <f ca="1">IFERROR(__xludf.DUMMYFUNCTION("""COMPUTED_VALUE"""),"Afternoon Classes")</f>
        <v>Afternoon Classes</v>
      </c>
      <c r="W863" s="10">
        <f ca="1">IFERROR(__xludf.DUMMYFUNCTION("""COMPUTED_VALUE"""),0.552083333333333)</f>
        <v>0.55208333333333304</v>
      </c>
      <c r="X863" s="5">
        <f ca="1">IFERROR(__xludf.DUMMYFUNCTION("""COMPUTED_VALUE"""),1)</f>
        <v>1</v>
      </c>
      <c r="Y863" s="5" t="str">
        <f ca="1">IFERROR(__xludf.DUMMYFUNCTION("""COMPUTED_VALUE"""),"Hall monitor shot by armed intruder looking for specific student, arrested by police officer assigned at school meeting")</f>
        <v>Hall monitor shot by armed intruder looking for specific student, arrested by police officer assigned at school meeting</v>
      </c>
      <c r="Z863" s="5" t="str">
        <f ca="1">IFERROR(__xludf.DUMMYFUNCTION("""COMPUTED_VALUE"""),"25YOM attempted to enter school looking for student he had ongoing conflict with. Entry was blocked by 56YOM hall monitor. Hall monitor was shot by shooter at the front door. Police officer attending meeting at school heard the shots and arrested the shoo"&amp;"ter. School was locked down and then dismissed. Following arrest, police charged shooter with 1st degree murder for a seperate 2016 incident.")</f>
        <v>25YOM attempted to enter school looking for student he had ongoing conflict with. Entry was blocked by 56YOM hall monitor. Hall monitor was shot by shooter at the front door. Police officer attending meeting at school heard the shots and arrested the shooter. School was locked down and then dismissed. Following arrest, police charged shooter with 1st degree murder for a seperate 2016 incident.</v>
      </c>
      <c r="AA863" s="5" t="str">
        <f ca="1">IFERROR(__xludf.DUMMYFUNCTION("""COMPUTED_VALUE"""),"Escalation of Dispute")</f>
        <v>Escalation of Dispute</v>
      </c>
      <c r="AB863" s="5" t="str">
        <f ca="1">IFERROR(__xludf.DUMMYFUNCTION("""COMPUTED_VALUE"""),"Both")</f>
        <v>Both</v>
      </c>
      <c r="AC863" s="5" t="str">
        <f ca="1">IFERROR(__xludf.DUMMYFUNCTION("""COMPUTED_VALUE"""),"No")</f>
        <v>No</v>
      </c>
      <c r="AD863" s="5" t="str">
        <f ca="1">IFERROR(__xludf.DUMMYFUNCTION("""COMPUTED_VALUE"""),"No")</f>
        <v>No</v>
      </c>
      <c r="AE863" s="5" t="str">
        <f ca="1">IFERROR(__xludf.DUMMYFUNCTION("""COMPUTED_VALUE"""),"No")</f>
        <v>No</v>
      </c>
      <c r="AF863" s="5" t="str">
        <f ca="1">IFERROR(__xludf.DUMMYFUNCTION("""COMPUTED_VALUE"""),"No")</f>
        <v>No</v>
      </c>
      <c r="AG863" s="5" t="str">
        <f ca="1">IFERROR(__xludf.DUMMYFUNCTION("""COMPUTED_VALUE"""),"No")</f>
        <v>No</v>
      </c>
      <c r="AH863" s="5" t="str">
        <f ca="1">IFERROR(__xludf.DUMMYFUNCTION("""COMPUTED_VALUE"""),"No")</f>
        <v>No</v>
      </c>
      <c r="AI863" s="5" t="str">
        <f ca="1">IFERROR(__xludf.DUMMYFUNCTION("""COMPUTED_VALUE"""),"No")</f>
        <v>No</v>
      </c>
      <c r="AJ863" s="5" t="str">
        <f ca="1">IFERROR(__xludf.DUMMYFUNCTION("""COMPUTED_VALUE"""),"Yes")</f>
        <v>Yes</v>
      </c>
    </row>
    <row r="864" spans="1:36" ht="13">
      <c r="A864" s="5" t="str">
        <f ca="1">IFERROR(__xludf.DUMMYFUNCTION("""COMPUTED_VALUE"""),"20190205MNMIM")</f>
        <v>20190205MNMIM</v>
      </c>
      <c r="B864" s="5">
        <f ca="1">IFERROR(__xludf.DUMMYFUNCTION("""COMPUTED_VALUE"""),2)</f>
        <v>2</v>
      </c>
      <c r="C864" s="5">
        <f ca="1">IFERROR(__xludf.DUMMYFUNCTION("""COMPUTED_VALUE"""),5)</f>
        <v>5</v>
      </c>
      <c r="D864" s="5">
        <f ca="1">IFERROR(__xludf.DUMMYFUNCTION("""COMPUTED_VALUE"""),2019)</f>
        <v>2019</v>
      </c>
      <c r="E864" s="8">
        <f ca="1">IFERROR(__xludf.DUMMYFUNCTION("""COMPUTED_VALUE"""),43501)</f>
        <v>43501</v>
      </c>
      <c r="F864" s="5" t="str">
        <f ca="1">IFERROR(__xludf.DUMMYFUNCTION("""COMPUTED_VALUE"""),"Minneapolis School District Bus")</f>
        <v>Minneapolis School District Bus</v>
      </c>
      <c r="G864" s="5">
        <f ca="1">IFERROR(__xludf.DUMMYFUNCTION("""COMPUTED_VALUE"""),0)</f>
        <v>0</v>
      </c>
      <c r="H864" s="5">
        <f ca="1">IFERROR(__xludf.DUMMYFUNCTION("""COMPUTED_VALUE"""),1)</f>
        <v>1</v>
      </c>
      <c r="I864" s="5">
        <f ca="1">IFERROR(__xludf.DUMMYFUNCTION("""COMPUTED_VALUE"""),1)</f>
        <v>1</v>
      </c>
      <c r="J864" s="5">
        <f ca="1">IFERROR(__xludf.DUMMYFUNCTION("""COMPUTED_VALUE"""),0)</f>
        <v>0</v>
      </c>
      <c r="K864" s="5" t="str">
        <f ca="1">IFERROR(__xludf.DUMMYFUNCTION("""COMPUTED_VALUE"""),"https://www.mprnews.org/story/2019/02/05/school-bus-driver-shot-on-i35-in-minneapolis http://www.fox9.com/news/police-1-shot-after-crash-on-i-35w-in-minneapolis https://www.courant.com/sns-bc-us--school-bus-shooting-20191116-story.html")</f>
        <v>https://www.mprnews.org/story/2019/02/05/school-bus-driver-shot-on-i35-in-minneapolis http://www.fox9.com/news/police-1-shot-after-crash-on-i-35w-in-minneapolis https://www.courant.com/sns-bc-us--school-bus-shooting-20191116-story.html</v>
      </c>
      <c r="L864" s="5"/>
      <c r="M864" s="5"/>
      <c r="N864" s="5">
        <f ca="1">IFERROR(__xludf.DUMMYFUNCTION("""COMPUTED_VALUE"""),3)</f>
        <v>3</v>
      </c>
      <c r="O864" s="5" t="str">
        <f ca="1">IFERROR(__xludf.DUMMYFUNCTION("""COMPUTED_VALUE"""),"Winter")</f>
        <v>Winter</v>
      </c>
      <c r="P864" s="5" t="str">
        <f ca="1">IFERROR(__xludf.DUMMYFUNCTION("""COMPUTED_VALUE"""),"Minneapolis")</f>
        <v>Minneapolis</v>
      </c>
      <c r="Q864" s="5" t="str">
        <f ca="1">IFERROR(__xludf.DUMMYFUNCTION("""COMPUTED_VALUE"""),"MN")</f>
        <v>MN</v>
      </c>
      <c r="R864" s="5"/>
      <c r="S864" s="5" t="str">
        <f ca="1">IFERROR(__xludf.DUMMYFUNCTION("""COMPUTED_VALUE"""),"School Bus")</f>
        <v>School Bus</v>
      </c>
      <c r="T864" s="5" t="str">
        <f ca="1">IFERROR(__xludf.DUMMYFUNCTION("""COMPUTED_VALUE"""),"School Bus")</f>
        <v>School Bus</v>
      </c>
      <c r="U864" s="5" t="str">
        <f ca="1">IFERROR(__xludf.DUMMYFUNCTION("""COMPUTED_VALUE"""),"Yes")</f>
        <v>Yes</v>
      </c>
      <c r="V864" s="5" t="str">
        <f ca="1">IFERROR(__xludf.DUMMYFUNCTION("""COMPUTED_VALUE"""),"Dismissal")</f>
        <v>Dismissal</v>
      </c>
      <c r="W864" s="10">
        <f ca="1">IFERROR(__xludf.DUMMYFUNCTION("""COMPUTED_VALUE"""),0.597222222222222)</f>
        <v>0.59722222222222199</v>
      </c>
      <c r="X864" s="5">
        <f ca="1">IFERROR(__xludf.DUMMYFUNCTION("""COMPUTED_VALUE"""),1)</f>
        <v>1</v>
      </c>
      <c r="Y864" s="5" t="str">
        <f ca="1">IFERROR(__xludf.DUMMYFUNCTION("""COMPUTED_VALUE"""),"Bus driver shot on school bus during road rage incident")</f>
        <v>Bus driver shot on school bus during road rage incident</v>
      </c>
      <c r="Z864" s="5" t="str">
        <f ca="1">IFERROR(__xludf.DUMMYFUNCTION("""COMPUTED_VALUE"""),"School bus driver was shot on school bus by other driver involved in a crash. One student was on the bus. Police said it was a road rage incident. Shooter was arrested immediately after the shooting by a nearby police officer.")</f>
        <v>School bus driver was shot on school bus by other driver involved in a crash. One student was on the bus. Police said it was a road rage incident. Shooter was arrested immediately after the shooting by a nearby police officer.</v>
      </c>
      <c r="AA864" s="5" t="str">
        <f ca="1">IFERROR(__xludf.DUMMYFUNCTION("""COMPUTED_VALUE"""),"Escalation of Dispute")</f>
        <v>Escalation of Dispute</v>
      </c>
      <c r="AB864" s="5" t="str">
        <f ca="1">IFERROR(__xludf.DUMMYFUNCTION("""COMPUTED_VALUE"""),"Victims Targeted")</f>
        <v>Victims Targeted</v>
      </c>
      <c r="AC864" s="5" t="str">
        <f ca="1">IFERROR(__xludf.DUMMYFUNCTION("""COMPUTED_VALUE"""),"No")</f>
        <v>No</v>
      </c>
      <c r="AD864" s="5" t="str">
        <f ca="1">IFERROR(__xludf.DUMMYFUNCTION("""COMPUTED_VALUE"""),"No")</f>
        <v>No</v>
      </c>
      <c r="AE864" s="5" t="str">
        <f ca="1">IFERROR(__xludf.DUMMYFUNCTION("""COMPUTED_VALUE"""),"No")</f>
        <v>No</v>
      </c>
      <c r="AF864" s="5" t="str">
        <f ca="1">IFERROR(__xludf.DUMMYFUNCTION("""COMPUTED_VALUE"""),"No")</f>
        <v>No</v>
      </c>
      <c r="AG864" s="5" t="str">
        <f ca="1">IFERROR(__xludf.DUMMYFUNCTION("""COMPUTED_VALUE"""),"No")</f>
        <v>No</v>
      </c>
      <c r="AH864" s="5" t="str">
        <f ca="1">IFERROR(__xludf.DUMMYFUNCTION("""COMPUTED_VALUE"""),"No")</f>
        <v>No</v>
      </c>
      <c r="AI864" s="5" t="str">
        <f ca="1">IFERROR(__xludf.DUMMYFUNCTION("""COMPUTED_VALUE"""),"No")</f>
        <v>No</v>
      </c>
      <c r="AJ864" s="5" t="str">
        <f ca="1">IFERROR(__xludf.DUMMYFUNCTION("""COMPUTED_VALUE"""),"No")</f>
        <v>No</v>
      </c>
    </row>
    <row r="865" spans="1:36" ht="13">
      <c r="A865" s="5" t="str">
        <f ca="1">IFERROR(__xludf.DUMMYFUNCTION("""COMPUTED_VALUE"""),"20190131TXATA")</f>
        <v>20190131TXATA</v>
      </c>
      <c r="B865" s="5">
        <f ca="1">IFERROR(__xludf.DUMMYFUNCTION("""COMPUTED_VALUE"""),1)</f>
        <v>1</v>
      </c>
      <c r="C865" s="5">
        <f ca="1">IFERROR(__xludf.DUMMYFUNCTION("""COMPUTED_VALUE"""),31)</f>
        <v>31</v>
      </c>
      <c r="D865" s="5">
        <f ca="1">IFERROR(__xludf.DUMMYFUNCTION("""COMPUTED_VALUE"""),2019)</f>
        <v>2019</v>
      </c>
      <c r="E865" s="8">
        <f ca="1">IFERROR(__xludf.DUMMYFUNCTION("""COMPUTED_VALUE"""),43496)</f>
        <v>43496</v>
      </c>
      <c r="F865" s="5" t="str">
        <f ca="1">IFERROR(__xludf.DUMMYFUNCTION("""COMPUTED_VALUE"""),"Atascocita High School")</f>
        <v>Atascocita High School</v>
      </c>
      <c r="G865" s="5">
        <f ca="1">IFERROR(__xludf.DUMMYFUNCTION("""COMPUTED_VALUE"""),0)</f>
        <v>0</v>
      </c>
      <c r="H865" s="5">
        <f ca="1">IFERROR(__xludf.DUMMYFUNCTION("""COMPUTED_VALUE"""),1)</f>
        <v>1</v>
      </c>
      <c r="I865" s="5">
        <f ca="1">IFERROR(__xludf.DUMMYFUNCTION("""COMPUTED_VALUE"""),1)</f>
        <v>1</v>
      </c>
      <c r="J865" s="5">
        <f ca="1">IFERROR(__xludf.DUMMYFUNCTION("""COMPUTED_VALUE"""),0)</f>
        <v>0</v>
      </c>
      <c r="K865" s="5" t="str">
        <f ca="1">IFERROR(__xludf.DUMMYFUNCTION("""COMPUTED_VALUE"""),"https://abc13.com/student-wounded-after-shooting-at-atascocita-high-school/5115485/ https://communityimpact.com/houston/education/2019/02/01/sheriff-ed-gonzalez-atascocita-high-school-shooting-was-an-isolated-incident-student-has-been-arrested-charged/")</f>
        <v>https://abc13.com/student-wounded-after-shooting-at-atascocita-high-school/5115485/ https://communityimpact.com/houston/education/2019/02/01/sheriff-ed-gonzalez-atascocita-high-school-shooting-was-an-isolated-incident-student-has-been-arrested-charged/</v>
      </c>
      <c r="L865" s="5"/>
      <c r="M865" s="5"/>
      <c r="N865" s="5">
        <f ca="1">IFERROR(__xludf.DUMMYFUNCTION("""COMPUTED_VALUE"""),4)</f>
        <v>4</v>
      </c>
      <c r="O865" s="5" t="str">
        <f ca="1">IFERROR(__xludf.DUMMYFUNCTION("""COMPUTED_VALUE"""),"Winter")</f>
        <v>Winter</v>
      </c>
      <c r="P865" s="5" t="str">
        <f ca="1">IFERROR(__xludf.DUMMYFUNCTION("""COMPUTED_VALUE"""),"Atascocita")</f>
        <v>Atascocita</v>
      </c>
      <c r="Q865" s="5" t="str">
        <f ca="1">IFERROR(__xludf.DUMMYFUNCTION("""COMPUTED_VALUE"""),"TX")</f>
        <v>TX</v>
      </c>
      <c r="R865" s="5" t="str">
        <f ca="1">IFERROR(__xludf.DUMMYFUNCTION("""COMPUTED_VALUE"""),"High")</f>
        <v>High</v>
      </c>
      <c r="S865" s="5" t="str">
        <f ca="1">IFERROR(__xludf.DUMMYFUNCTION("""COMPUTED_VALUE"""),"Parking Lot")</f>
        <v>Parking Lot</v>
      </c>
      <c r="T865" s="5" t="str">
        <f ca="1">IFERROR(__xludf.DUMMYFUNCTION("""COMPUTED_VALUE"""),"Outside on School Property")</f>
        <v>Outside on School Property</v>
      </c>
      <c r="U865" s="5" t="str">
        <f ca="1">IFERROR(__xludf.DUMMYFUNCTION("""COMPUTED_VALUE"""),"No")</f>
        <v>No</v>
      </c>
      <c r="V865" s="5" t="str">
        <f ca="1">IFERROR(__xludf.DUMMYFUNCTION("""COMPUTED_VALUE"""),"Evening")</f>
        <v>Evening</v>
      </c>
      <c r="W865" s="10">
        <f ca="1">IFERROR(__xludf.DUMMYFUNCTION("""COMPUTED_VALUE"""),0.763888888888888)</f>
        <v>0.76388888888888795</v>
      </c>
      <c r="X865" s="5">
        <f ca="1">IFERROR(__xludf.DUMMYFUNCTION("""COMPUTED_VALUE"""),1)</f>
        <v>1</v>
      </c>
      <c r="Y865" s="5" t="str">
        <f ca="1">IFERROR(__xludf.DUMMYFUNCTION("""COMPUTED_VALUE"""),"Student shot by other student during drug deal behind school")</f>
        <v>Student shot by other student during drug deal behind school</v>
      </c>
      <c r="Z865" s="5" t="str">
        <f ca="1">IFERROR(__xludf.DUMMYFUNCTION("""COMPUTED_VALUE"""),"16YOM student shot 2 other students during a drug deal behind the school cafeteria. Two other students were involved and fled the scene. 80 students were at the school for after school activities at the time of the shooting. School was locked down.")</f>
        <v>16YOM student shot 2 other students during a drug deal behind the school cafeteria. Two other students were involved and fled the scene. 80 students were at the school for after school activities at the time of the shooting. School was locked down.</v>
      </c>
      <c r="AA865" s="5" t="str">
        <f ca="1">IFERROR(__xludf.DUMMYFUNCTION("""COMPUTED_VALUE"""),"Illegal Activity")</f>
        <v>Illegal Activity</v>
      </c>
      <c r="AB865" s="5" t="str">
        <f ca="1">IFERROR(__xludf.DUMMYFUNCTION("""COMPUTED_VALUE"""),"Victims Targeted")</f>
        <v>Victims Targeted</v>
      </c>
      <c r="AC865" s="5" t="str">
        <f ca="1">IFERROR(__xludf.DUMMYFUNCTION("""COMPUTED_VALUE"""),"Yes")</f>
        <v>Yes</v>
      </c>
      <c r="AD865" s="5" t="str">
        <f ca="1">IFERROR(__xludf.DUMMYFUNCTION("""COMPUTED_VALUE"""),"No")</f>
        <v>No</v>
      </c>
      <c r="AE865" s="5" t="str">
        <f ca="1">IFERROR(__xludf.DUMMYFUNCTION("""COMPUTED_VALUE"""),"No")</f>
        <v>No</v>
      </c>
      <c r="AF865" s="5" t="str">
        <f ca="1">IFERROR(__xludf.DUMMYFUNCTION("""COMPUTED_VALUE"""),"No")</f>
        <v>No</v>
      </c>
      <c r="AG865" s="5" t="str">
        <f ca="1">IFERROR(__xludf.DUMMYFUNCTION("""COMPUTED_VALUE"""),"No")</f>
        <v>No</v>
      </c>
      <c r="AH865" s="5" t="str">
        <f ca="1">IFERROR(__xludf.DUMMYFUNCTION("""COMPUTED_VALUE"""),"No")</f>
        <v>No</v>
      </c>
      <c r="AI865" s="5" t="str">
        <f ca="1">IFERROR(__xludf.DUMMYFUNCTION("""COMPUTED_VALUE"""),"No")</f>
        <v>No</v>
      </c>
      <c r="AJ865" s="5" t="str">
        <f ca="1">IFERROR(__xludf.DUMMYFUNCTION("""COMPUTED_VALUE"""),"No")</f>
        <v>No</v>
      </c>
    </row>
    <row r="866" spans="1:36" ht="13">
      <c r="A866" s="5" t="str">
        <f ca="1">IFERROR(__xludf.DUMMYFUNCTION("""COMPUTED_VALUE"""),"20190131TNMAM")</f>
        <v>20190131TNMAM</v>
      </c>
      <c r="B866" s="5">
        <f ca="1">IFERROR(__xludf.DUMMYFUNCTION("""COMPUTED_VALUE"""),1)</f>
        <v>1</v>
      </c>
      <c r="C866" s="5">
        <f ca="1">IFERROR(__xludf.DUMMYFUNCTION("""COMPUTED_VALUE"""),31)</f>
        <v>31</v>
      </c>
      <c r="D866" s="5">
        <f ca="1">IFERROR(__xludf.DUMMYFUNCTION("""COMPUTED_VALUE"""),2019)</f>
        <v>2019</v>
      </c>
      <c r="E866" s="8">
        <f ca="1">IFERROR(__xludf.DUMMYFUNCTION("""COMPUTED_VALUE"""),43496)</f>
        <v>43496</v>
      </c>
      <c r="F866" s="5" t="str">
        <f ca="1">IFERROR(__xludf.DUMMYFUNCTION("""COMPUTED_VALUE"""),"Manassas High School")</f>
        <v>Manassas High School</v>
      </c>
      <c r="G866" s="5">
        <f ca="1">IFERROR(__xludf.DUMMYFUNCTION("""COMPUTED_VALUE"""),0)</f>
        <v>0</v>
      </c>
      <c r="H866" s="5">
        <f ca="1">IFERROR(__xludf.DUMMYFUNCTION("""COMPUTED_VALUE"""),1)</f>
        <v>1</v>
      </c>
      <c r="I866" s="5">
        <f ca="1">IFERROR(__xludf.DUMMYFUNCTION("""COMPUTED_VALUE"""),1)</f>
        <v>1</v>
      </c>
      <c r="J866" s="5">
        <f ca="1">IFERROR(__xludf.DUMMYFUNCTION("""COMPUTED_VALUE"""),0)</f>
        <v>0</v>
      </c>
      <c r="K866" s="5" t="str">
        <f ca="1">IFERROR(__xludf.DUMMYFUNCTION("""COMPUTED_VALUE"""),"https://www.wmcactionnews5.com/2019/01/31/student-shot-with-pellet-gun-manassas-high-school/ https://wreg.com/2019/01/31/police-14-year-old-rotc-student-shot-with-pellet-gun-at-manassas-high/ https://www.fox13memphis.com/top-stories/14-year-old-hospitaliz"&amp;"ed-after-pellet-gun-shooting-during-rotc-drill-at-memphis-high-school/912749822")</f>
        <v>https://www.wmcactionnews5.com/2019/01/31/student-shot-with-pellet-gun-manassas-high-school/ https://wreg.com/2019/01/31/police-14-year-old-rotc-student-shot-with-pellet-gun-at-manassas-high/ https://www.fox13memphis.com/top-stories/14-year-old-hospitalized-after-pellet-gun-shooting-during-rotc-drill-at-memphis-high-school/912749822</v>
      </c>
      <c r="L866" s="5"/>
      <c r="M866" s="5"/>
      <c r="N866" s="5">
        <f ca="1">IFERROR(__xludf.DUMMYFUNCTION("""COMPUTED_VALUE"""),4)</f>
        <v>4</v>
      </c>
      <c r="O866" s="5" t="str">
        <f ca="1">IFERROR(__xludf.DUMMYFUNCTION("""COMPUTED_VALUE"""),"Winter")</f>
        <v>Winter</v>
      </c>
      <c r="P866" s="5" t="str">
        <f ca="1">IFERROR(__xludf.DUMMYFUNCTION("""COMPUTED_VALUE"""),"Memphis")</f>
        <v>Memphis</v>
      </c>
      <c r="Q866" s="5" t="str">
        <f ca="1">IFERROR(__xludf.DUMMYFUNCTION("""COMPUTED_VALUE"""),"TN")</f>
        <v>TN</v>
      </c>
      <c r="R866" s="5" t="str">
        <f ca="1">IFERROR(__xludf.DUMMYFUNCTION("""COMPUTED_VALUE"""),"High")</f>
        <v>High</v>
      </c>
      <c r="S866" s="5" t="str">
        <f ca="1">IFERROR(__xludf.DUMMYFUNCTION("""COMPUTED_VALUE"""),"Outside on School Property")</f>
        <v>Outside on School Property</v>
      </c>
      <c r="T866" s="5" t="str">
        <f ca="1">IFERROR(__xludf.DUMMYFUNCTION("""COMPUTED_VALUE"""),"Outside on School Property")</f>
        <v>Outside on School Property</v>
      </c>
      <c r="U866" s="5" t="str">
        <f ca="1">IFERROR(__xludf.DUMMYFUNCTION("""COMPUTED_VALUE"""),"No")</f>
        <v>No</v>
      </c>
      <c r="V866" s="5" t="str">
        <f ca="1">IFERROR(__xludf.DUMMYFUNCTION("""COMPUTED_VALUE"""),"School Event")</f>
        <v>School Event</v>
      </c>
      <c r="W866" s="10">
        <f ca="1">IFERROR(__xludf.DUMMYFUNCTION("""COMPUTED_VALUE"""),0.666666666666666)</f>
        <v>0.66666666666666596</v>
      </c>
      <c r="X866" s="5">
        <f ca="1">IFERROR(__xludf.DUMMYFUNCTION("""COMPUTED_VALUE"""),1)</f>
        <v>1</v>
      </c>
      <c r="Y866" s="5" t="str">
        <f ca="1">IFERROR(__xludf.DUMMYFUNCTION("""COMPUTED_VALUE"""),"14YOM student shot with pellet gun during ROTC practice")</f>
        <v>14YOM student shot with pellet gun during ROTC practice</v>
      </c>
      <c r="Z866" s="5" t="str">
        <f ca="1">IFERROR(__xludf.DUMMYFUNCTION("""COMPUTED_VALUE"""),"14YOM was shot with pellet gun during ROTC by unknown shooter. Police were unable to identify the shooter or who brought the pellet gun to the school. Injured student was taken to the hospital.")</f>
        <v>14YOM was shot with pellet gun during ROTC by unknown shooter. Police were unable to identify the shooter or who brought the pellet gun to the school. Injured student was taken to the hospital.</v>
      </c>
      <c r="AA866" s="5" t="str">
        <f ca="1">IFERROR(__xludf.DUMMYFUNCTION("""COMPUTED_VALUE"""),"Unknown")</f>
        <v>Unknown</v>
      </c>
      <c r="AB866" s="5"/>
      <c r="AC866" s="5"/>
      <c r="AD866" s="5" t="str">
        <f ca="1">IFERROR(__xludf.DUMMYFUNCTION("""COMPUTED_VALUE"""),"No")</f>
        <v>No</v>
      </c>
      <c r="AE866" s="5" t="str">
        <f ca="1">IFERROR(__xludf.DUMMYFUNCTION("""COMPUTED_VALUE"""),"No")</f>
        <v>No</v>
      </c>
      <c r="AF866" s="5" t="str">
        <f ca="1">IFERROR(__xludf.DUMMYFUNCTION("""COMPUTED_VALUE"""),"No")</f>
        <v>No</v>
      </c>
      <c r="AG866" s="5" t="str">
        <f ca="1">IFERROR(__xludf.DUMMYFUNCTION("""COMPUTED_VALUE"""),"No")</f>
        <v>No</v>
      </c>
      <c r="AH866" s="5" t="str">
        <f ca="1">IFERROR(__xludf.DUMMYFUNCTION("""COMPUTED_VALUE"""),"No")</f>
        <v>No</v>
      </c>
      <c r="AI866" s="5" t="str">
        <f ca="1">IFERROR(__xludf.DUMMYFUNCTION("""COMPUTED_VALUE"""),"No")</f>
        <v>No</v>
      </c>
      <c r="AJ866" s="5" t="str">
        <f ca="1">IFERROR(__xludf.DUMMYFUNCTION("""COMPUTED_VALUE"""),"No")</f>
        <v>No</v>
      </c>
    </row>
    <row r="867" spans="1:36" ht="13">
      <c r="A867" s="5" t="str">
        <f ca="1">IFERROR(__xludf.DUMMYFUNCTION("""COMPUTED_VALUE"""),"20190130GAMIL")</f>
        <v>20190130GAMIL</v>
      </c>
      <c r="B867" s="5">
        <f ca="1">IFERROR(__xludf.DUMMYFUNCTION("""COMPUTED_VALUE"""),1)</f>
        <v>1</v>
      </c>
      <c r="C867" s="5">
        <f ca="1">IFERROR(__xludf.DUMMYFUNCTION("""COMPUTED_VALUE"""),30)</f>
        <v>30</v>
      </c>
      <c r="D867" s="5">
        <f ca="1">IFERROR(__xludf.DUMMYFUNCTION("""COMPUTED_VALUE"""),2019)</f>
        <v>2019</v>
      </c>
      <c r="E867" s="8">
        <f ca="1">IFERROR(__xludf.DUMMYFUNCTION("""COMPUTED_VALUE"""),43495)</f>
        <v>43495</v>
      </c>
      <c r="F867" s="5" t="str">
        <f ca="1">IFERROR(__xludf.DUMMYFUNCTION("""COMPUTED_VALUE"""),"Miller Grove High School")</f>
        <v>Miller Grove High School</v>
      </c>
      <c r="G867" s="5">
        <f ca="1">IFERROR(__xludf.DUMMYFUNCTION("""COMPUTED_VALUE"""),0)</f>
        <v>0</v>
      </c>
      <c r="H867" s="5">
        <f ca="1">IFERROR(__xludf.DUMMYFUNCTION("""COMPUTED_VALUE"""),1)</f>
        <v>1</v>
      </c>
      <c r="I867" s="5">
        <f ca="1">IFERROR(__xludf.DUMMYFUNCTION("""COMPUTED_VALUE"""),1)</f>
        <v>1</v>
      </c>
      <c r="J867" s="5">
        <f ca="1">IFERROR(__xludf.DUMMYFUNCTION("""COMPUTED_VALUE"""),0)</f>
        <v>0</v>
      </c>
      <c r="K867" s="5" t="str">
        <f ca="1">IFERROR(__xludf.DUMMYFUNCTION("""COMPUTED_VALUE"""),"https://www.ajc.com/news/crime--law/man-shot-outside-dekalb-high-school-district-says/fk2d8P1PWGKbeiQhT9rqlL/ https://www.wsbtv.com/news/local/dekalb-county/police-searching-for-gunman-who-opened-fire-in-high-school-parking-lot/912736592")</f>
        <v>https://www.ajc.com/news/crime--law/man-shot-outside-dekalb-high-school-district-says/fk2d8P1PWGKbeiQhT9rqlL/ https://www.wsbtv.com/news/local/dekalb-county/police-searching-for-gunman-who-opened-fire-in-high-school-parking-lot/912736592</v>
      </c>
      <c r="L867" s="5"/>
      <c r="M867" s="5"/>
      <c r="N867" s="5">
        <f ca="1">IFERROR(__xludf.DUMMYFUNCTION("""COMPUTED_VALUE"""),3)</f>
        <v>3</v>
      </c>
      <c r="O867" s="5" t="str">
        <f ca="1">IFERROR(__xludf.DUMMYFUNCTION("""COMPUTED_VALUE"""),"Winter")</f>
        <v>Winter</v>
      </c>
      <c r="P867" s="5" t="str">
        <f ca="1">IFERROR(__xludf.DUMMYFUNCTION("""COMPUTED_VALUE"""),"Lithonia")</f>
        <v>Lithonia</v>
      </c>
      <c r="Q867" s="5" t="str">
        <f ca="1">IFERROR(__xludf.DUMMYFUNCTION("""COMPUTED_VALUE"""),"GA")</f>
        <v>GA</v>
      </c>
      <c r="R867" s="5" t="str">
        <f ca="1">IFERROR(__xludf.DUMMYFUNCTION("""COMPUTED_VALUE"""),"High")</f>
        <v>High</v>
      </c>
      <c r="S867" s="5" t="str">
        <f ca="1">IFERROR(__xludf.DUMMYFUNCTION("""COMPUTED_VALUE"""),"Parking Lot")</f>
        <v>Parking Lot</v>
      </c>
      <c r="T867" s="5" t="str">
        <f ca="1">IFERROR(__xludf.DUMMYFUNCTION("""COMPUTED_VALUE"""),"Outside on School Property")</f>
        <v>Outside on School Property</v>
      </c>
      <c r="U867" s="5" t="str">
        <f ca="1">IFERROR(__xludf.DUMMYFUNCTION("""COMPUTED_VALUE"""),"No")</f>
        <v>No</v>
      </c>
      <c r="V867" s="5" t="str">
        <f ca="1">IFERROR(__xludf.DUMMYFUNCTION("""COMPUTED_VALUE"""),"Evening")</f>
        <v>Evening</v>
      </c>
      <c r="W867" s="10">
        <f ca="1">IFERROR(__xludf.DUMMYFUNCTION("""COMPUTED_VALUE"""),0.8125)</f>
        <v>0.8125</v>
      </c>
      <c r="X867" s="5">
        <f ca="1">IFERROR(__xludf.DUMMYFUNCTION("""COMPUTED_VALUE"""),1)</f>
        <v>1</v>
      </c>
      <c r="Y867" s="5" t="str">
        <f ca="1">IFERROR(__xludf.DUMMYFUNCTION("""COMPUTED_VALUE"""),"Adult shot while trying to stop man from breaking into his car in school parking lot")</f>
        <v>Adult shot while trying to stop man from breaking into his car in school parking lot</v>
      </c>
      <c r="Z867" s="5" t="str">
        <f ca="1">IFERROR(__xludf.DUMMYFUNCTION("""COMPUTED_VALUE"""),"Adult male was running on the school track when he saw another man attempting to break into his car. When he attempted to stop the robbery, the man shot him and fled the scene. A basketball game was taking place in the school during the shooting.")</f>
        <v>Adult male was running on the school track when he saw another man attempting to break into his car. When he attempted to stop the robbery, the man shot him and fled the scene. A basketball game was taking place in the school during the shooting.</v>
      </c>
      <c r="AA867" s="5" t="str">
        <f ca="1">IFERROR(__xludf.DUMMYFUNCTION("""COMPUTED_VALUE"""),"Illegal Activity")</f>
        <v>Illegal Activity</v>
      </c>
      <c r="AB867" s="5" t="str">
        <f ca="1">IFERROR(__xludf.DUMMYFUNCTION("""COMPUTED_VALUE"""),"Victims Targeted")</f>
        <v>Victims Targeted</v>
      </c>
      <c r="AC867" s="5" t="str">
        <f ca="1">IFERROR(__xludf.DUMMYFUNCTION("""COMPUTED_VALUE"""),"No")</f>
        <v>No</v>
      </c>
      <c r="AD867" s="5" t="str">
        <f ca="1">IFERROR(__xludf.DUMMYFUNCTION("""COMPUTED_VALUE"""),"No")</f>
        <v>No</v>
      </c>
      <c r="AE867" s="5" t="str">
        <f ca="1">IFERROR(__xludf.DUMMYFUNCTION("""COMPUTED_VALUE"""),"No")</f>
        <v>No</v>
      </c>
      <c r="AF867" s="5" t="str">
        <f ca="1">IFERROR(__xludf.DUMMYFUNCTION("""COMPUTED_VALUE"""),"No")</f>
        <v>No</v>
      </c>
      <c r="AG867" s="5" t="str">
        <f ca="1">IFERROR(__xludf.DUMMYFUNCTION("""COMPUTED_VALUE"""),"No")</f>
        <v>No</v>
      </c>
      <c r="AH867" s="5" t="str">
        <f ca="1">IFERROR(__xludf.DUMMYFUNCTION("""COMPUTED_VALUE"""),"No")</f>
        <v>No</v>
      </c>
      <c r="AI867" s="5" t="str">
        <f ca="1">IFERROR(__xludf.DUMMYFUNCTION("""COMPUTED_VALUE"""),"No")</f>
        <v>No</v>
      </c>
      <c r="AJ867" s="5" t="str">
        <f ca="1">IFERROR(__xludf.DUMMYFUNCTION("""COMPUTED_VALUE"""),"No")</f>
        <v>No</v>
      </c>
    </row>
    <row r="868" spans="1:36" ht="13">
      <c r="A868" s="5" t="str">
        <f ca="1">IFERROR(__xludf.DUMMYFUNCTION("""COMPUTED_VALUE"""),"20190127NVRER")</f>
        <v>20190127NVRER</v>
      </c>
      <c r="B868" s="5">
        <f ca="1">IFERROR(__xludf.DUMMYFUNCTION("""COMPUTED_VALUE"""),1)</f>
        <v>1</v>
      </c>
      <c r="C868" s="5">
        <f ca="1">IFERROR(__xludf.DUMMYFUNCTION("""COMPUTED_VALUE"""),27)</f>
        <v>27</v>
      </c>
      <c r="D868" s="5">
        <f ca="1">IFERROR(__xludf.DUMMYFUNCTION("""COMPUTED_VALUE"""),2019)</f>
        <v>2019</v>
      </c>
      <c r="E868" s="8">
        <f ca="1">IFERROR(__xludf.DUMMYFUNCTION("""COMPUTED_VALUE"""),43492)</f>
        <v>43492</v>
      </c>
      <c r="F868" s="5" t="str">
        <f ca="1">IFERROR(__xludf.DUMMYFUNCTION("""COMPUTED_VALUE"""),"Reno High School")</f>
        <v>Reno High School</v>
      </c>
      <c r="G868" s="5">
        <f ca="1">IFERROR(__xludf.DUMMYFUNCTION("""COMPUTED_VALUE"""),0)</f>
        <v>0</v>
      </c>
      <c r="H868" s="5">
        <f ca="1">IFERROR(__xludf.DUMMYFUNCTION("""COMPUTED_VALUE"""),0)</f>
        <v>0</v>
      </c>
      <c r="I868" s="5">
        <f ca="1">IFERROR(__xludf.DUMMYFUNCTION("""COMPUTED_VALUE"""),0)</f>
        <v>0</v>
      </c>
      <c r="J868" s="5">
        <f ca="1">IFERROR(__xludf.DUMMYFUNCTION("""COMPUTED_VALUE"""),0)</f>
        <v>0</v>
      </c>
      <c r="K868" s="9" t="str">
        <f ca="1">IFERROR(__xludf.DUMMYFUNCTION("""COMPUTED_VALUE"""),"https://mynews4.com/news/local/2019-shooting-of-man-near-reno-high-school-by-reno-police-ruled-justified-by-washoe-da")</f>
        <v>https://mynews4.com/news/local/2019-shooting-of-man-near-reno-high-school-by-reno-police-ruled-justified-by-washoe-da</v>
      </c>
      <c r="L868" s="5">
        <f ca="1">IFERROR(__xludf.DUMMYFUNCTION("""COMPUTED_VALUE"""),1)</f>
        <v>1</v>
      </c>
      <c r="M868" s="5" t="str">
        <f ca="1">IFERROR(__xludf.DUMMYFUNCTION("""COMPUTED_VALUE"""),"Local")</f>
        <v>Local</v>
      </c>
      <c r="N868" s="5">
        <f ca="1">IFERROR(__xludf.DUMMYFUNCTION("""COMPUTED_VALUE"""),5)</f>
        <v>5</v>
      </c>
      <c r="O868" s="5" t="str">
        <f ca="1">IFERROR(__xludf.DUMMYFUNCTION("""COMPUTED_VALUE"""),"Winter")</f>
        <v>Winter</v>
      </c>
      <c r="P868" s="5" t="str">
        <f ca="1">IFERROR(__xludf.DUMMYFUNCTION("""COMPUTED_VALUE"""),"Reno")</f>
        <v>Reno</v>
      </c>
      <c r="Q868" s="5" t="str">
        <f ca="1">IFERROR(__xludf.DUMMYFUNCTION("""COMPUTED_VALUE"""),"NV")</f>
        <v>NV</v>
      </c>
      <c r="R868" s="5" t="str">
        <f ca="1">IFERROR(__xludf.DUMMYFUNCTION("""COMPUTED_VALUE"""),"High")</f>
        <v>High</v>
      </c>
      <c r="S868" s="5" t="str">
        <f ca="1">IFERROR(__xludf.DUMMYFUNCTION("""COMPUTED_VALUE"""),"Front of School")</f>
        <v>Front of School</v>
      </c>
      <c r="T868" s="5" t="str">
        <f ca="1">IFERROR(__xludf.DUMMYFUNCTION("""COMPUTED_VALUE"""),"Outside on School Property")</f>
        <v>Outside on School Property</v>
      </c>
      <c r="U868" s="5" t="str">
        <f ca="1">IFERROR(__xludf.DUMMYFUNCTION("""COMPUTED_VALUE"""),"No")</f>
        <v>No</v>
      </c>
      <c r="V868" s="5" t="str">
        <f ca="1">IFERROR(__xludf.DUMMYFUNCTION("""COMPUTED_VALUE"""),"Night")</f>
        <v>Night</v>
      </c>
      <c r="W868" s="10">
        <f ca="1">IFERROR(__xludf.DUMMYFUNCTION("""COMPUTED_VALUE"""),0.944444444444444)</f>
        <v>0.94444444444444398</v>
      </c>
      <c r="X868" s="5">
        <f ca="1">IFERROR(__xludf.DUMMYFUNCTION("""COMPUTED_VALUE"""),1)</f>
        <v>1</v>
      </c>
      <c r="Y868" s="5" t="str">
        <f ca="1">IFERROR(__xludf.DUMMYFUNCTION("""COMPUTED_VALUE"""),"After pursuit, man pointed gun at officers in front of the school and was shot by police")</f>
        <v>After pursuit, man pointed gun at officers in front of the school and was shot by police</v>
      </c>
      <c r="Z868" s="5" t="str">
        <f ca="1">IFERROR(__xludf.DUMMYFUNCTION("""COMPUTED_VALUE"""),"After a vehicle pursuit, a 35 year-old man crashed a stolen vehicle near the school, ran across the school parking lot, and fell in a grassy area in front of the school. When approached by a police officer, he pointed a handgun and was shot multiple by th"&amp;"e officer (justified shooting). The man had 9 prior felony convictions and said he didn't want to go back to jail when he pointed the gun at the officer. Charged and guilty of three new felonies.")</f>
        <v>After a vehicle pursuit, a 35 year-old man crashed a stolen vehicle near the school, ran across the school parking lot, and fell in a grassy area in front of the school. When approached by a police officer, he pointed a handgun and was shot multiple by the officer (justified shooting). The man had 9 prior felony convictions and said he didn't want to go back to jail when he pointed the gun at the officer. Charged and guilty of three new felonies.</v>
      </c>
      <c r="AA868" s="5" t="str">
        <f ca="1">IFERROR(__xludf.DUMMYFUNCTION("""COMPUTED_VALUE"""),"Illegal Activity")</f>
        <v>Illegal Activity</v>
      </c>
      <c r="AB868" s="5" t="str">
        <f ca="1">IFERROR(__xludf.DUMMYFUNCTION("""COMPUTED_VALUE"""),"Neither")</f>
        <v>Neither</v>
      </c>
      <c r="AC868" s="5" t="str">
        <f ca="1">IFERROR(__xludf.DUMMYFUNCTION("""COMPUTED_VALUE"""),"No")</f>
        <v>No</v>
      </c>
      <c r="AD868" s="5" t="str">
        <f ca="1">IFERROR(__xludf.DUMMYFUNCTION("""COMPUTED_VALUE"""),"No")</f>
        <v>No</v>
      </c>
      <c r="AE868" s="5" t="str">
        <f ca="1">IFERROR(__xludf.DUMMYFUNCTION("""COMPUTED_VALUE"""),"No")</f>
        <v>No</v>
      </c>
      <c r="AF868" s="5" t="str">
        <f ca="1">IFERROR(__xludf.DUMMYFUNCTION("""COMPUTED_VALUE"""),"Yes")</f>
        <v>Yes</v>
      </c>
      <c r="AG868" s="5" t="str">
        <f ca="1">IFERROR(__xludf.DUMMYFUNCTION("""COMPUTED_VALUE"""),"No")</f>
        <v>No</v>
      </c>
      <c r="AH868" s="5" t="str">
        <f ca="1">IFERROR(__xludf.DUMMYFUNCTION("""COMPUTED_VALUE"""),"No")</f>
        <v>No</v>
      </c>
      <c r="AI868" s="5" t="str">
        <f ca="1">IFERROR(__xludf.DUMMYFUNCTION("""COMPUTED_VALUE"""),"No")</f>
        <v>No</v>
      </c>
      <c r="AJ868" s="5" t="str">
        <f ca="1">IFERROR(__xludf.DUMMYFUNCTION("""COMPUTED_VALUE"""),"No")</f>
        <v>No</v>
      </c>
    </row>
    <row r="869" spans="1:36" ht="13">
      <c r="A869" s="5" t="str">
        <f ca="1">IFERROR(__xludf.DUMMYFUNCTION("""COMPUTED_VALUE"""),"20190125TNMAM")</f>
        <v>20190125TNMAM</v>
      </c>
      <c r="B869" s="5">
        <f ca="1">IFERROR(__xludf.DUMMYFUNCTION("""COMPUTED_VALUE"""),1)</f>
        <v>1</v>
      </c>
      <c r="C869" s="5">
        <f ca="1">IFERROR(__xludf.DUMMYFUNCTION("""COMPUTED_VALUE"""),25)</f>
        <v>25</v>
      </c>
      <c r="D869" s="5">
        <f ca="1">IFERROR(__xludf.DUMMYFUNCTION("""COMPUTED_VALUE"""),2019)</f>
        <v>2019</v>
      </c>
      <c r="E869" s="8">
        <f ca="1">IFERROR(__xludf.DUMMYFUNCTION("""COMPUTED_VALUE"""),43490)</f>
        <v>43490</v>
      </c>
      <c r="F869" s="5" t="str">
        <f ca="1">IFERROR(__xludf.DUMMYFUNCTION("""COMPUTED_VALUE"""),"Manassas High School")</f>
        <v>Manassas High School</v>
      </c>
      <c r="G869" s="5">
        <f ca="1">IFERROR(__xludf.DUMMYFUNCTION("""COMPUTED_VALUE"""),0)</f>
        <v>0</v>
      </c>
      <c r="H869" s="5">
        <f ca="1">IFERROR(__xludf.DUMMYFUNCTION("""COMPUTED_VALUE"""),0)</f>
        <v>0</v>
      </c>
      <c r="I869" s="5">
        <f ca="1">IFERROR(__xludf.DUMMYFUNCTION("""COMPUTED_VALUE"""),0)</f>
        <v>0</v>
      </c>
      <c r="J869" s="5">
        <f ca="1">IFERROR(__xludf.DUMMYFUNCTION("""COMPUTED_VALUE"""),0)</f>
        <v>0</v>
      </c>
      <c r="K869" s="5" t="str">
        <f ca="1">IFERROR(__xludf.DUMMYFUNCTION("""COMPUTED_VALUE"""),"http://www.wmcactionnews5.com/2019/01/26/teens-arrested-charged-major-crime-spree-involving-carjacking-high-school-bus-shooting/ http://www.wmcactionnews5.com/2019/01/25/shots-fired-front-manassas-high-school/")</f>
        <v>http://www.wmcactionnews5.com/2019/01/26/teens-arrested-charged-major-crime-spree-involving-carjacking-high-school-bus-shooting/ http://www.wmcactionnews5.com/2019/01/25/shots-fired-front-manassas-high-school/</v>
      </c>
      <c r="L869" s="5"/>
      <c r="M869" s="5"/>
      <c r="N869" s="5">
        <f ca="1">IFERROR(__xludf.DUMMYFUNCTION("""COMPUTED_VALUE"""),3)</f>
        <v>3</v>
      </c>
      <c r="O869" s="5" t="str">
        <f ca="1">IFERROR(__xludf.DUMMYFUNCTION("""COMPUTED_VALUE"""),"Winter")</f>
        <v>Winter</v>
      </c>
      <c r="P869" s="5" t="str">
        <f ca="1">IFERROR(__xludf.DUMMYFUNCTION("""COMPUTED_VALUE"""),"Memphis")</f>
        <v>Memphis</v>
      </c>
      <c r="Q869" s="5" t="str">
        <f ca="1">IFERROR(__xludf.DUMMYFUNCTION("""COMPUTED_VALUE"""),"TN")</f>
        <v>TN</v>
      </c>
      <c r="R869" s="5" t="str">
        <f ca="1">IFERROR(__xludf.DUMMYFUNCTION("""COMPUTED_VALUE"""),"High")</f>
        <v>High</v>
      </c>
      <c r="S869" s="5" t="str">
        <f ca="1">IFERROR(__xludf.DUMMYFUNCTION("""COMPUTED_VALUE"""),"Front of School")</f>
        <v>Front of School</v>
      </c>
      <c r="T869" s="5" t="str">
        <f ca="1">IFERROR(__xludf.DUMMYFUNCTION("""COMPUTED_VALUE"""),"Outside on School Property")</f>
        <v>Outside on School Property</v>
      </c>
      <c r="U869" s="5" t="str">
        <f ca="1">IFERROR(__xludf.DUMMYFUNCTION("""COMPUTED_VALUE"""),"Yes")</f>
        <v>Yes</v>
      </c>
      <c r="V869" s="5" t="str">
        <f ca="1">IFERROR(__xludf.DUMMYFUNCTION("""COMPUTED_VALUE"""),"School Start")</f>
        <v>School Start</v>
      </c>
      <c r="W869" s="10">
        <f ca="1">IFERROR(__xludf.DUMMYFUNCTION("""COMPUTED_VALUE"""),0.350694444444444)</f>
        <v>0.35069444444444398</v>
      </c>
      <c r="X869" s="5">
        <f ca="1">IFERROR(__xludf.DUMMYFUNCTION("""COMPUTED_VALUE"""),1)</f>
        <v>1</v>
      </c>
      <c r="Y869" s="5" t="str">
        <f ca="1">IFERROR(__xludf.DUMMYFUNCTION("""COMPUTED_VALUE"""),"Shots fired at bus in school parking lot by 5 teens in stolen car.")</f>
        <v>Shots fired at bus in school parking lot by 5 teens in stolen car.</v>
      </c>
      <c r="Z869" s="5" t="str">
        <f ca="1">IFERROR(__xludf.DUMMYFUNCTION("""COMPUTED_VALUE"""),"Shot were fired breaking windows of a school bus in the school parking lot at the start of the school day. School was locked down. Shot were fired by 5 teens in a stolen car. Teens were also involved in carjacking, fired at bystander, and firing at police"&amp;" officer. Two realistic BB guns were recovered from vehicle. Four teens were arrested, one was charged with prior homicide.")</f>
        <v>Shot were fired breaking windows of a school bus in the school parking lot at the start of the school day. School was locked down. Shot were fired by 5 teens in a stolen car. Teens were also involved in carjacking, fired at bystander, and firing at police officer. Two realistic BB guns were recovered from vehicle. Four teens were arrested, one was charged with prior homicide.</v>
      </c>
      <c r="AA869" s="5" t="str">
        <f ca="1">IFERROR(__xludf.DUMMYFUNCTION("""COMPUTED_VALUE"""),"Drive-by Shooting")</f>
        <v>Drive-by Shooting</v>
      </c>
      <c r="AB869" s="5"/>
      <c r="AC869" s="5" t="str">
        <f ca="1">IFERROR(__xludf.DUMMYFUNCTION("""COMPUTED_VALUE"""),"Yes")</f>
        <v>Yes</v>
      </c>
      <c r="AD869" s="5" t="str">
        <f ca="1">IFERROR(__xludf.DUMMYFUNCTION("""COMPUTED_VALUE"""),"No")</f>
        <v>No</v>
      </c>
      <c r="AE869" s="5" t="str">
        <f ca="1">IFERROR(__xludf.DUMMYFUNCTION("""COMPUTED_VALUE"""),"No")</f>
        <v>No</v>
      </c>
      <c r="AF869" s="5" t="str">
        <f ca="1">IFERROR(__xludf.DUMMYFUNCTION("""COMPUTED_VALUE"""),"No")</f>
        <v>No</v>
      </c>
      <c r="AG869" s="5" t="str">
        <f ca="1">IFERROR(__xludf.DUMMYFUNCTION("""COMPUTED_VALUE"""),"No")</f>
        <v>No</v>
      </c>
      <c r="AH869" s="5" t="str">
        <f ca="1">IFERROR(__xludf.DUMMYFUNCTION("""COMPUTED_VALUE"""),"No")</f>
        <v>No</v>
      </c>
      <c r="AI869" s="5"/>
      <c r="AJ869" s="5" t="str">
        <f ca="1">IFERROR(__xludf.DUMMYFUNCTION("""COMPUTED_VALUE"""),"No")</f>
        <v>No</v>
      </c>
    </row>
    <row r="870" spans="1:36" ht="13">
      <c r="A870" s="5" t="str">
        <f ca="1">IFERROR(__xludf.DUMMYFUNCTION("""COMPUTED_VALUE"""),"20190125ALDAM")</f>
        <v>20190125ALDAM</v>
      </c>
      <c r="B870" s="5">
        <f ca="1">IFERROR(__xludf.DUMMYFUNCTION("""COMPUTED_VALUE"""),1)</f>
        <v>1</v>
      </c>
      <c r="C870" s="5">
        <f ca="1">IFERROR(__xludf.DUMMYFUNCTION("""COMPUTED_VALUE"""),25)</f>
        <v>25</v>
      </c>
      <c r="D870" s="5">
        <f ca="1">IFERROR(__xludf.DUMMYFUNCTION("""COMPUTED_VALUE"""),2019)</f>
        <v>2019</v>
      </c>
      <c r="E870" s="8">
        <f ca="1">IFERROR(__xludf.DUMMYFUNCTION("""COMPUTED_VALUE"""),43490)</f>
        <v>43490</v>
      </c>
      <c r="F870" s="5" t="str">
        <f ca="1">IFERROR(__xludf.DUMMYFUNCTION("""COMPUTED_VALUE"""),"Davidson High School")</f>
        <v>Davidson High School</v>
      </c>
      <c r="G870" s="5">
        <f ca="1">IFERROR(__xludf.DUMMYFUNCTION("""COMPUTED_VALUE"""),0)</f>
        <v>0</v>
      </c>
      <c r="H870" s="5">
        <f ca="1">IFERROR(__xludf.DUMMYFUNCTION("""COMPUTED_VALUE"""),2)</f>
        <v>2</v>
      </c>
      <c r="I870" s="5">
        <f ca="1">IFERROR(__xludf.DUMMYFUNCTION("""COMPUTED_VALUE"""),2)</f>
        <v>2</v>
      </c>
      <c r="J870" s="5">
        <f ca="1">IFERROR(__xludf.DUMMYFUNCTION("""COMPUTED_VALUE"""),0)</f>
        <v>0</v>
      </c>
      <c r="K870" s="5" t="str">
        <f ca="1">IFERROR(__xludf.DUMMYFUNCTION("""COMPUTED_VALUE"""),"https://www.al.com/crime/2019/01/davidson-high-school-shooting-suspect-remains-at-large.html https://www.al.com/news/2019/01/2-shot-at-high-school-in-mobile.html")</f>
        <v>https://www.al.com/crime/2019/01/davidson-high-school-shooting-suspect-remains-at-large.html https://www.al.com/news/2019/01/2-shot-at-high-school-in-mobile.html</v>
      </c>
      <c r="L870" s="5"/>
      <c r="M870" s="5"/>
      <c r="N870" s="5">
        <f ca="1">IFERROR(__xludf.DUMMYFUNCTION("""COMPUTED_VALUE"""),3)</f>
        <v>3</v>
      </c>
      <c r="O870" s="5" t="str">
        <f ca="1">IFERROR(__xludf.DUMMYFUNCTION("""COMPUTED_VALUE"""),"Winter")</f>
        <v>Winter</v>
      </c>
      <c r="P870" s="5" t="str">
        <f ca="1">IFERROR(__xludf.DUMMYFUNCTION("""COMPUTED_VALUE"""),"Mobile")</f>
        <v>Mobile</v>
      </c>
      <c r="Q870" s="5" t="str">
        <f ca="1">IFERROR(__xludf.DUMMYFUNCTION("""COMPUTED_VALUE"""),"AL")</f>
        <v>AL</v>
      </c>
      <c r="R870" s="5" t="str">
        <f ca="1">IFERROR(__xludf.DUMMYFUNCTION("""COMPUTED_VALUE"""),"High")</f>
        <v>High</v>
      </c>
      <c r="S870" s="5" t="str">
        <f ca="1">IFERROR(__xludf.DUMMYFUNCTION("""COMPUTED_VALUE"""),"Parking Lot")</f>
        <v>Parking Lot</v>
      </c>
      <c r="T870" s="5" t="str">
        <f ca="1">IFERROR(__xludf.DUMMYFUNCTION("""COMPUTED_VALUE"""),"Outside on School Property")</f>
        <v>Outside on School Property</v>
      </c>
      <c r="U870" s="5" t="str">
        <f ca="1">IFERROR(__xludf.DUMMYFUNCTION("""COMPUTED_VALUE"""),"No")</f>
        <v>No</v>
      </c>
      <c r="V870" s="5" t="str">
        <f ca="1">IFERROR(__xludf.DUMMYFUNCTION("""COMPUTED_VALUE"""),"Sport Event")</f>
        <v>Sport Event</v>
      </c>
      <c r="W870" s="10">
        <f ca="1">IFERROR(__xludf.DUMMYFUNCTION("""COMPUTED_VALUE"""),0.875)</f>
        <v>0.875</v>
      </c>
      <c r="X870" s="5">
        <f ca="1">IFERROR(__xludf.DUMMYFUNCTION("""COMPUTED_VALUE"""),1)</f>
        <v>1</v>
      </c>
      <c r="Y870" s="5" t="str">
        <f ca="1">IFERROR(__xludf.DUMMYFUNCTION("""COMPUTED_VALUE"""),"2 shot during altercation outside of basketball game, shooter fled")</f>
        <v>2 shot during altercation outside of basketball game, shooter fled</v>
      </c>
      <c r="Z870" s="5" t="str">
        <f ca="1">IFERROR(__xludf.DUMMYFUNCTION("""COMPUTED_VALUE"""),"17YOM and 20YOM shot during dispute in the school parking lot during a basketball game. Police said one was not a student and did not identify the other victim. Shooter fled the scene.")</f>
        <v>17YOM and 20YOM shot during dispute in the school parking lot during a basketball game. Police said one was not a student and did not identify the other victim. Shooter fled the scene.</v>
      </c>
      <c r="AA870" s="5" t="str">
        <f ca="1">IFERROR(__xludf.DUMMYFUNCTION("""COMPUTED_VALUE"""),"Escalation of Dispute")</f>
        <v>Escalation of Dispute</v>
      </c>
      <c r="AB870" s="5"/>
      <c r="AC870" s="5" t="str">
        <f ca="1">IFERROR(__xludf.DUMMYFUNCTION("""COMPUTED_VALUE"""),"Yes")</f>
        <v>Yes</v>
      </c>
      <c r="AD870" s="5" t="str">
        <f ca="1">IFERROR(__xludf.DUMMYFUNCTION("""COMPUTED_VALUE"""),"No")</f>
        <v>No</v>
      </c>
      <c r="AE870" s="5" t="str">
        <f ca="1">IFERROR(__xludf.DUMMYFUNCTION("""COMPUTED_VALUE"""),"No")</f>
        <v>No</v>
      </c>
      <c r="AF870" s="5" t="str">
        <f ca="1">IFERROR(__xludf.DUMMYFUNCTION("""COMPUTED_VALUE"""),"No")</f>
        <v>No</v>
      </c>
      <c r="AG870" s="5" t="str">
        <f ca="1">IFERROR(__xludf.DUMMYFUNCTION("""COMPUTED_VALUE"""),"No")</f>
        <v>No</v>
      </c>
      <c r="AH870" s="5" t="str">
        <f ca="1">IFERROR(__xludf.DUMMYFUNCTION("""COMPUTED_VALUE"""),"No")</f>
        <v>No</v>
      </c>
      <c r="AI870" s="5" t="str">
        <f ca="1">IFERROR(__xludf.DUMMYFUNCTION("""COMPUTED_VALUE"""),"No")</f>
        <v>No</v>
      </c>
      <c r="AJ870" s="5" t="str">
        <f ca="1">IFERROR(__xludf.DUMMYFUNCTION("""COMPUTED_VALUE"""),"No")</f>
        <v>No</v>
      </c>
    </row>
    <row r="871" spans="1:36" ht="13">
      <c r="A871" s="5" t="str">
        <f ca="1">IFERROR(__xludf.DUMMYFUNCTION("""COMPUTED_VALUE"""),"20190123LASOS")</f>
        <v>20190123LASOS</v>
      </c>
      <c r="B871" s="5">
        <f ca="1">IFERROR(__xludf.DUMMYFUNCTION("""COMPUTED_VALUE"""),1)</f>
        <v>1</v>
      </c>
      <c r="C871" s="5">
        <f ca="1">IFERROR(__xludf.DUMMYFUNCTION("""COMPUTED_VALUE"""),23)</f>
        <v>23</v>
      </c>
      <c r="D871" s="5">
        <f ca="1">IFERROR(__xludf.DUMMYFUNCTION("""COMPUTED_VALUE"""),2019)</f>
        <v>2019</v>
      </c>
      <c r="E871" s="8">
        <f ca="1">IFERROR(__xludf.DUMMYFUNCTION("""COMPUTED_VALUE"""),43488)</f>
        <v>43488</v>
      </c>
      <c r="F871" s="5" t="str">
        <f ca="1">IFERROR(__xludf.DUMMYFUNCTION("""COMPUTED_VALUE"""),"Southern Hills Elementary School")</f>
        <v>Southern Hills Elementary School</v>
      </c>
      <c r="G871" s="5">
        <f ca="1">IFERROR(__xludf.DUMMYFUNCTION("""COMPUTED_VALUE"""),0)</f>
        <v>0</v>
      </c>
      <c r="H871" s="5">
        <f ca="1">IFERROR(__xludf.DUMMYFUNCTION("""COMPUTED_VALUE"""),1)</f>
        <v>1</v>
      </c>
      <c r="I871" s="5">
        <f ca="1">IFERROR(__xludf.DUMMYFUNCTION("""COMPUTED_VALUE"""),1)</f>
        <v>1</v>
      </c>
      <c r="J871" s="5">
        <f ca="1">IFERROR(__xludf.DUMMYFUNCTION("""COMPUTED_VALUE"""),0)</f>
        <v>0</v>
      </c>
      <c r="K871" s="5" t="str">
        <f ca="1">IFERROR(__xludf.DUMMYFUNCTION("""COMPUTED_VALUE"""),"http://www.ksla.com/2019/01/22/man-found-shot-inside-car-front-elementary-school/ https://www.ktbs.com/news/crime/school-on-lock-down-after-shooting/article_55c12680-1e8e-11e9-8dc2-e791aa111d2a.html")</f>
        <v>http://www.ksla.com/2019/01/22/man-found-shot-inside-car-front-elementary-school/ https://www.ktbs.com/news/crime/school-on-lock-down-after-shooting/article_55c12680-1e8e-11e9-8dc2-e791aa111d2a.html</v>
      </c>
      <c r="L871" s="5"/>
      <c r="M871" s="5"/>
      <c r="N871" s="5">
        <f ca="1">IFERROR(__xludf.DUMMYFUNCTION("""COMPUTED_VALUE"""),3)</f>
        <v>3</v>
      </c>
      <c r="O871" s="5" t="str">
        <f ca="1">IFERROR(__xludf.DUMMYFUNCTION("""COMPUTED_VALUE"""),"Winter")</f>
        <v>Winter</v>
      </c>
      <c r="P871" s="5" t="str">
        <f ca="1">IFERROR(__xludf.DUMMYFUNCTION("""COMPUTED_VALUE"""),"Shreveport")</f>
        <v>Shreveport</v>
      </c>
      <c r="Q871" s="5" t="str">
        <f ca="1">IFERROR(__xludf.DUMMYFUNCTION("""COMPUTED_VALUE"""),"LA")</f>
        <v>LA</v>
      </c>
      <c r="R871" s="5" t="str">
        <f ca="1">IFERROR(__xludf.DUMMYFUNCTION("""COMPUTED_VALUE"""),"Elementary")</f>
        <v>Elementary</v>
      </c>
      <c r="S871" s="5" t="str">
        <f ca="1">IFERROR(__xludf.DUMMYFUNCTION("""COMPUTED_VALUE"""),"Parking Lot")</f>
        <v>Parking Lot</v>
      </c>
      <c r="T871" s="5" t="str">
        <f ca="1">IFERROR(__xludf.DUMMYFUNCTION("""COMPUTED_VALUE"""),"Off School Property")</f>
        <v>Off School Property</v>
      </c>
      <c r="U871" s="5" t="str">
        <f ca="1">IFERROR(__xludf.DUMMYFUNCTION("""COMPUTED_VALUE"""),"Yes")</f>
        <v>Yes</v>
      </c>
      <c r="V871" s="5" t="str">
        <f ca="1">IFERROR(__xludf.DUMMYFUNCTION("""COMPUTED_VALUE"""),"Afternoon Classes")</f>
        <v>Afternoon Classes</v>
      </c>
      <c r="W871" s="10">
        <f ca="1">IFERROR(__xludf.DUMMYFUNCTION("""COMPUTED_VALUE"""),0.625)</f>
        <v>0.625</v>
      </c>
      <c r="X871" s="5">
        <f ca="1">IFERROR(__xludf.DUMMYFUNCTION("""COMPUTED_VALUE"""),1)</f>
        <v>1</v>
      </c>
      <c r="Y871" s="5" t="str">
        <f ca="1">IFERROR(__xludf.DUMMYFUNCTION("""COMPUTED_VALUE"""),"Adult male who was shot was found by SRO in the parking lot")</f>
        <v>Adult male who was shot was found by SRO in the parking lot</v>
      </c>
      <c r="Z871" s="5" t="str">
        <f ca="1">IFERROR(__xludf.DUMMYFUNCTION("""COMPUTED_VALUE"""),"Adult male who was shot was dropped off in the school parking lot by an adult female. SRO found the victim and rendered first aid. School was locked down while police investigated. Large police response to school. Police determined that the shooting did n"&amp;"ot occur on school property.")</f>
        <v>Adult male who was shot was dropped off in the school parking lot by an adult female. SRO found the victim and rendered first aid. School was locked down while police investigated. Large police response to school. Police determined that the shooting did not occur on school property.</v>
      </c>
      <c r="AA871" s="5" t="str">
        <f ca="1">IFERROR(__xludf.DUMMYFUNCTION("""COMPUTED_VALUE"""),"Unknown")</f>
        <v>Unknown</v>
      </c>
      <c r="AB871" s="5"/>
      <c r="AC871" s="5"/>
      <c r="AD871" s="5" t="str">
        <f ca="1">IFERROR(__xludf.DUMMYFUNCTION("""COMPUTED_VALUE"""),"No")</f>
        <v>No</v>
      </c>
      <c r="AE871" s="5" t="str">
        <f ca="1">IFERROR(__xludf.DUMMYFUNCTION("""COMPUTED_VALUE"""),"No")</f>
        <v>No</v>
      </c>
      <c r="AF871" s="5" t="str">
        <f ca="1">IFERROR(__xludf.DUMMYFUNCTION("""COMPUTED_VALUE"""),"No")</f>
        <v>No</v>
      </c>
      <c r="AG871" s="5" t="str">
        <f ca="1">IFERROR(__xludf.DUMMYFUNCTION("""COMPUTED_VALUE"""),"No")</f>
        <v>No</v>
      </c>
      <c r="AH871" s="5"/>
      <c r="AI871" s="5"/>
      <c r="AJ871" s="5" t="str">
        <f ca="1">IFERROR(__xludf.DUMMYFUNCTION("""COMPUTED_VALUE"""),"No")</f>
        <v>No</v>
      </c>
    </row>
    <row r="872" spans="1:36" ht="13">
      <c r="A872" s="5" t="str">
        <f ca="1">IFERROR(__xludf.DUMMYFUNCTION("""COMPUTED_VALUE"""),"20190119KSLAO")</f>
        <v>20190119KSLAO</v>
      </c>
      <c r="B872" s="5">
        <f ca="1">IFERROR(__xludf.DUMMYFUNCTION("""COMPUTED_VALUE"""),1)</f>
        <v>1</v>
      </c>
      <c r="C872" s="5">
        <f ca="1">IFERROR(__xludf.DUMMYFUNCTION("""COMPUTED_VALUE"""),19)</f>
        <v>19</v>
      </c>
      <c r="D872" s="5">
        <f ca="1">IFERROR(__xludf.DUMMYFUNCTION("""COMPUTED_VALUE"""),2019)</f>
        <v>2019</v>
      </c>
      <c r="E872" s="8">
        <f ca="1">IFERROR(__xludf.DUMMYFUNCTION("""COMPUTED_VALUE"""),43484)</f>
        <v>43484</v>
      </c>
      <c r="F872" s="5" t="str">
        <f ca="1">IFERROR(__xludf.DUMMYFUNCTION("""COMPUTED_VALUE"""),"Lakewood Middle School")</f>
        <v>Lakewood Middle School</v>
      </c>
      <c r="G872" s="5">
        <f ca="1">IFERROR(__xludf.DUMMYFUNCTION("""COMPUTED_VALUE"""),0)</f>
        <v>0</v>
      </c>
      <c r="H872" s="5">
        <f ca="1">IFERROR(__xludf.DUMMYFUNCTION("""COMPUTED_VALUE"""),2)</f>
        <v>2</v>
      </c>
      <c r="I872" s="5">
        <f ca="1">IFERROR(__xludf.DUMMYFUNCTION("""COMPUTED_VALUE"""),2)</f>
        <v>2</v>
      </c>
      <c r="J872" s="5">
        <f ca="1">IFERROR(__xludf.DUMMYFUNCTION("""COMPUTED_VALUE"""),0)</f>
        <v>0</v>
      </c>
      <c r="K872" s="5" t="str">
        <f ca="1">IFERROR(__xludf.DUMMYFUNCTION("""COMPUTED_VALUE"""),"https://www.kansascity.com/news/local/crime/article224828920.html https://www.timesnewspapers.com/webster-kirkwoodtimes/news/updates/second-kirkwood-teen-linked-to-killing-of-kirkwood-high-student/article_1dce3f7c-1da0-11e9-a1e5-b760df9fde0a.html")</f>
        <v>https://www.kansascity.com/news/local/crime/article224828920.html https://www.timesnewspapers.com/webster-kirkwoodtimes/news/updates/second-kirkwood-teen-linked-to-killing-of-kirkwood-high-student/article_1dce3f7c-1da0-11e9-a1e5-b760df9fde0a.html</v>
      </c>
      <c r="L872" s="5"/>
      <c r="M872" s="5"/>
      <c r="N872" s="5">
        <f ca="1">IFERROR(__xludf.DUMMYFUNCTION("""COMPUTED_VALUE"""),3)</f>
        <v>3</v>
      </c>
      <c r="O872" s="5" t="str">
        <f ca="1">IFERROR(__xludf.DUMMYFUNCTION("""COMPUTED_VALUE"""),"Winter")</f>
        <v>Winter</v>
      </c>
      <c r="P872" s="5" t="str">
        <f ca="1">IFERROR(__xludf.DUMMYFUNCTION("""COMPUTED_VALUE"""),"Overland Park")</f>
        <v>Overland Park</v>
      </c>
      <c r="Q872" s="5" t="str">
        <f ca="1">IFERROR(__xludf.DUMMYFUNCTION("""COMPUTED_VALUE"""),"KS")</f>
        <v>KS</v>
      </c>
      <c r="R872" s="5" t="str">
        <f ca="1">IFERROR(__xludf.DUMMYFUNCTION("""COMPUTED_VALUE"""),"Middle")</f>
        <v>Middle</v>
      </c>
      <c r="S872" s="5" t="str">
        <f ca="1">IFERROR(__xludf.DUMMYFUNCTION("""COMPUTED_VALUE"""),"Parking Lot")</f>
        <v>Parking Lot</v>
      </c>
      <c r="T872" s="5" t="str">
        <f ca="1">IFERROR(__xludf.DUMMYFUNCTION("""COMPUTED_VALUE"""),"Outside on School Property")</f>
        <v>Outside on School Property</v>
      </c>
      <c r="U872" s="5" t="str">
        <f ca="1">IFERROR(__xludf.DUMMYFUNCTION("""COMPUTED_VALUE"""),"No")</f>
        <v>No</v>
      </c>
      <c r="V872" s="5" t="str">
        <f ca="1">IFERROR(__xludf.DUMMYFUNCTION("""COMPUTED_VALUE"""),"Night")</f>
        <v>Night</v>
      </c>
      <c r="W872" s="10">
        <f ca="1">IFERROR(__xludf.DUMMYFUNCTION("""COMPUTED_VALUE"""),0.875)</f>
        <v>0.875</v>
      </c>
      <c r="X872" s="5">
        <f ca="1">IFERROR(__xludf.DUMMYFUNCTION("""COMPUTED_VALUE"""),1)</f>
        <v>1</v>
      </c>
      <c r="Y872" s="5" t="str">
        <f ca="1">IFERROR(__xludf.DUMMYFUNCTION("""COMPUTED_VALUE"""),"Two teens shot in parking lot during robbery")</f>
        <v>Two teens shot in parking lot during robbery</v>
      </c>
      <c r="Z872" s="5" t="str">
        <f ca="1">IFERROR(__xludf.DUMMYFUNCTION("""COMPUTED_VALUE"""),"16YOM and 15YOM shot in parking lot of the school during a robbery. School was closed at the time of the shooting. Unidentified suspect fled.")</f>
        <v>16YOM and 15YOM shot in parking lot of the school during a robbery. School was closed at the time of the shooting. Unidentified suspect fled.</v>
      </c>
      <c r="AA872" s="5" t="str">
        <f ca="1">IFERROR(__xludf.DUMMYFUNCTION("""COMPUTED_VALUE"""),"Illegal Activity")</f>
        <v>Illegal Activity</v>
      </c>
      <c r="AB872" s="5" t="str">
        <f ca="1">IFERROR(__xludf.DUMMYFUNCTION("""COMPUTED_VALUE"""),"Victims Targeted")</f>
        <v>Victims Targeted</v>
      </c>
      <c r="AC872" s="5"/>
      <c r="AD872" s="5" t="str">
        <f ca="1">IFERROR(__xludf.DUMMYFUNCTION("""COMPUTED_VALUE"""),"No")</f>
        <v>No</v>
      </c>
      <c r="AE872" s="5" t="str">
        <f ca="1">IFERROR(__xludf.DUMMYFUNCTION("""COMPUTED_VALUE"""),"No")</f>
        <v>No</v>
      </c>
      <c r="AF872" s="5" t="str">
        <f ca="1">IFERROR(__xludf.DUMMYFUNCTION("""COMPUTED_VALUE"""),"No")</f>
        <v>No</v>
      </c>
      <c r="AG872" s="5" t="str">
        <f ca="1">IFERROR(__xludf.DUMMYFUNCTION("""COMPUTED_VALUE"""),"No")</f>
        <v>No</v>
      </c>
      <c r="AH872" s="5" t="str">
        <f ca="1">IFERROR(__xludf.DUMMYFUNCTION("""COMPUTED_VALUE"""),"No")</f>
        <v>No</v>
      </c>
      <c r="AI872" s="5"/>
      <c r="AJ872" s="5" t="str">
        <f ca="1">IFERROR(__xludf.DUMMYFUNCTION("""COMPUTED_VALUE"""),"No")</f>
        <v>No</v>
      </c>
    </row>
    <row r="873" spans="1:36" ht="13">
      <c r="A873" s="5" t="str">
        <f ca="1">IFERROR(__xludf.DUMMYFUNCTION("""COMPUTED_VALUE"""),"20190118MOHAS")</f>
        <v>20190118MOHAS</v>
      </c>
      <c r="B873" s="5">
        <f ca="1">IFERROR(__xludf.DUMMYFUNCTION("""COMPUTED_VALUE"""),1)</f>
        <v>1</v>
      </c>
      <c r="C873" s="5">
        <f ca="1">IFERROR(__xludf.DUMMYFUNCTION("""COMPUTED_VALUE"""),18)</f>
        <v>18</v>
      </c>
      <c r="D873" s="5">
        <f ca="1">IFERROR(__xludf.DUMMYFUNCTION("""COMPUTED_VALUE"""),2019)</f>
        <v>2019</v>
      </c>
      <c r="E873" s="8">
        <f ca="1">IFERROR(__xludf.DUMMYFUNCTION("""COMPUTED_VALUE"""),43483)</f>
        <v>43483</v>
      </c>
      <c r="F873" s="5" t="str">
        <f ca="1">IFERROR(__xludf.DUMMYFUNCTION("""COMPUTED_VALUE"""),"Hazelwood East High School")</f>
        <v>Hazelwood East High School</v>
      </c>
      <c r="G873" s="5">
        <f ca="1">IFERROR(__xludf.DUMMYFUNCTION("""COMPUTED_VALUE"""),0)</f>
        <v>0</v>
      </c>
      <c r="H873" s="5">
        <f ca="1">IFERROR(__xludf.DUMMYFUNCTION("""COMPUTED_VALUE"""),0)</f>
        <v>0</v>
      </c>
      <c r="I873" s="5">
        <f ca="1">IFERROR(__xludf.DUMMYFUNCTION("""COMPUTED_VALUE"""),0)</f>
        <v>0</v>
      </c>
      <c r="J873" s="5">
        <f ca="1">IFERROR(__xludf.DUMMYFUNCTION("""COMPUTED_VALUE"""),0)</f>
        <v>0</v>
      </c>
      <c r="K873" s="9" t="str">
        <f ca="1">IFERROR(__xludf.DUMMYFUNCTION("""COMPUTED_VALUE"""),"https://fox2now.com/2019/01/18/gunfire-exchanged-in-hazelwood-east-parking-lot/")</f>
        <v>https://fox2now.com/2019/01/18/gunfire-exchanged-in-hazelwood-east-parking-lot/</v>
      </c>
      <c r="L873" s="5"/>
      <c r="M873" s="5"/>
      <c r="N873" s="5">
        <f ca="1">IFERROR(__xludf.DUMMYFUNCTION("""COMPUTED_VALUE"""),3)</f>
        <v>3</v>
      </c>
      <c r="O873" s="5" t="str">
        <f ca="1">IFERROR(__xludf.DUMMYFUNCTION("""COMPUTED_VALUE"""),"Winter")</f>
        <v>Winter</v>
      </c>
      <c r="P873" s="5" t="str">
        <f ca="1">IFERROR(__xludf.DUMMYFUNCTION("""COMPUTED_VALUE"""),"St. Louis")</f>
        <v>St. Louis</v>
      </c>
      <c r="Q873" s="5" t="str">
        <f ca="1">IFERROR(__xludf.DUMMYFUNCTION("""COMPUTED_VALUE"""),"MO")</f>
        <v>MO</v>
      </c>
      <c r="R873" s="5" t="str">
        <f ca="1">IFERROR(__xludf.DUMMYFUNCTION("""COMPUTED_VALUE"""),"High")</f>
        <v>High</v>
      </c>
      <c r="S873" s="5" t="str">
        <f ca="1">IFERROR(__xludf.DUMMYFUNCTION("""COMPUTED_VALUE"""),"Parking Lot")</f>
        <v>Parking Lot</v>
      </c>
      <c r="T873" s="5" t="str">
        <f ca="1">IFERROR(__xludf.DUMMYFUNCTION("""COMPUTED_VALUE"""),"Outside on School Property")</f>
        <v>Outside on School Property</v>
      </c>
      <c r="U873" s="5" t="str">
        <f ca="1">IFERROR(__xludf.DUMMYFUNCTION("""COMPUTED_VALUE"""),"Yes")</f>
        <v>Yes</v>
      </c>
      <c r="V873" s="5" t="str">
        <f ca="1">IFERROR(__xludf.DUMMYFUNCTION("""COMPUTED_VALUE"""),"Afternoon Classes")</f>
        <v>Afternoon Classes</v>
      </c>
      <c r="W873" s="10">
        <f ca="1">IFERROR(__xludf.DUMMYFUNCTION("""COMPUTED_VALUE"""),0.604166666666666)</f>
        <v>0.60416666666666596</v>
      </c>
      <c r="X873" s="5">
        <f ca="1">IFERROR(__xludf.DUMMYFUNCTION("""COMPUTED_VALUE"""),1)</f>
        <v>1</v>
      </c>
      <c r="Y873" s="5" t="str">
        <f ca="1">IFERROR(__xludf.DUMMYFUNCTION("""COMPUTED_VALUE"""),"Shots fired from vehicles in the school parking lot. No students injured.")</f>
        <v>Shots fired from vehicles in the school parking lot. No students injured.</v>
      </c>
      <c r="Z873" s="5" t="str">
        <f ca="1">IFERROR(__xludf.DUMMYFUNCTION("""COMPUTED_VALUE"""),"Shots fired from stolen vehicle at another vehicle in the school parking lot during the school day. Multiple shooters involved. No students were injured. Police said it was unknown if the occupants of the vehicle were students.")</f>
        <v>Shots fired from stolen vehicle at another vehicle in the school parking lot during the school day. Multiple shooters involved. No students were injured. Police said it was unknown if the occupants of the vehicle were students.</v>
      </c>
      <c r="AA873" s="5" t="str">
        <f ca="1">IFERROR(__xludf.DUMMYFUNCTION("""COMPUTED_VALUE"""),"Drive-by Shooting")</f>
        <v>Drive-by Shooting</v>
      </c>
      <c r="AB873" s="5" t="str">
        <f ca="1">IFERROR(__xludf.DUMMYFUNCTION("""COMPUTED_VALUE"""),"Victims Targeted")</f>
        <v>Victims Targeted</v>
      </c>
      <c r="AC873" s="5" t="str">
        <f ca="1">IFERROR(__xludf.DUMMYFUNCTION("""COMPUTED_VALUE"""),"Yes")</f>
        <v>Yes</v>
      </c>
      <c r="AD873" s="5" t="str">
        <f ca="1">IFERROR(__xludf.DUMMYFUNCTION("""COMPUTED_VALUE"""),"No")</f>
        <v>No</v>
      </c>
      <c r="AE873" s="5" t="str">
        <f ca="1">IFERROR(__xludf.DUMMYFUNCTION("""COMPUTED_VALUE"""),"No")</f>
        <v>No</v>
      </c>
      <c r="AF873" s="5" t="str">
        <f ca="1">IFERROR(__xludf.DUMMYFUNCTION("""COMPUTED_VALUE"""),"No")</f>
        <v>No</v>
      </c>
      <c r="AG873" s="5" t="str">
        <f ca="1">IFERROR(__xludf.DUMMYFUNCTION("""COMPUTED_VALUE"""),"No")</f>
        <v>No</v>
      </c>
      <c r="AH873" s="5" t="str">
        <f ca="1">IFERROR(__xludf.DUMMYFUNCTION("""COMPUTED_VALUE"""),"No")</f>
        <v>No</v>
      </c>
      <c r="AI873" s="5"/>
      <c r="AJ873" s="5" t="str">
        <f ca="1">IFERROR(__xludf.DUMMYFUNCTION("""COMPUTED_VALUE"""),"No")</f>
        <v>No</v>
      </c>
    </row>
    <row r="874" spans="1:36" ht="13">
      <c r="A874" s="5" t="str">
        <f ca="1">IFERROR(__xludf.DUMMYFUNCTION("""COMPUTED_VALUE"""),"20190118ALCET")</f>
        <v>20190118ALCET</v>
      </c>
      <c r="B874" s="5">
        <f ca="1">IFERROR(__xludf.DUMMYFUNCTION("""COMPUTED_VALUE"""),1)</f>
        <v>1</v>
      </c>
      <c r="C874" s="5">
        <f ca="1">IFERROR(__xludf.DUMMYFUNCTION("""COMPUTED_VALUE"""),18)</f>
        <v>18</v>
      </c>
      <c r="D874" s="5">
        <f ca="1">IFERROR(__xludf.DUMMYFUNCTION("""COMPUTED_VALUE"""),2019)</f>
        <v>2019</v>
      </c>
      <c r="E874" s="8">
        <f ca="1">IFERROR(__xludf.DUMMYFUNCTION("""COMPUTED_VALUE"""),43483)</f>
        <v>43483</v>
      </c>
      <c r="F874" s="5" t="str">
        <f ca="1">IFERROR(__xludf.DUMMYFUNCTION("""COMPUTED_VALUE"""),"Central High School")</f>
        <v>Central High School</v>
      </c>
      <c r="G874" s="5">
        <f ca="1">IFERROR(__xludf.DUMMYFUNCTION("""COMPUTED_VALUE"""),0)</f>
        <v>0</v>
      </c>
      <c r="H874" s="5">
        <f ca="1">IFERROR(__xludf.DUMMYFUNCTION("""COMPUTED_VALUE"""),0)</f>
        <v>0</v>
      </c>
      <c r="I874" s="5">
        <f ca="1">IFERROR(__xludf.DUMMYFUNCTION("""COMPUTED_VALUE"""),0)</f>
        <v>0</v>
      </c>
      <c r="J874" s="5">
        <f ca="1">IFERROR(__xludf.DUMMYFUNCTION("""COMPUTED_VALUE"""),0)</f>
        <v>0</v>
      </c>
      <c r="K874" s="5" t="str">
        <f ca="1">IFERROR(__xludf.DUMMYFUNCTION("""COMPUTED_VALUE"""),"http://www.wbrc.com/2019/01/18/no-students-involved-incident-central-hs/ https://abc3340.com/news/local/students-not-involved-in-incident-prompting-lockdown-at-central-high-school")</f>
        <v>http://www.wbrc.com/2019/01/18/no-students-involved-incident-central-hs/ https://abc3340.com/news/local/students-not-involved-in-incident-prompting-lockdown-at-central-high-school</v>
      </c>
      <c r="L874" s="5"/>
      <c r="M874" s="5"/>
      <c r="N874" s="5">
        <f ca="1">IFERROR(__xludf.DUMMYFUNCTION("""COMPUTED_VALUE"""),3)</f>
        <v>3</v>
      </c>
      <c r="O874" s="5" t="str">
        <f ca="1">IFERROR(__xludf.DUMMYFUNCTION("""COMPUTED_VALUE"""),"Winter")</f>
        <v>Winter</v>
      </c>
      <c r="P874" s="5" t="str">
        <f ca="1">IFERROR(__xludf.DUMMYFUNCTION("""COMPUTED_VALUE"""),"Tuscaloosa")</f>
        <v>Tuscaloosa</v>
      </c>
      <c r="Q874" s="5" t="str">
        <f ca="1">IFERROR(__xludf.DUMMYFUNCTION("""COMPUTED_VALUE"""),"AL")</f>
        <v>AL</v>
      </c>
      <c r="R874" s="5" t="str">
        <f ca="1">IFERROR(__xludf.DUMMYFUNCTION("""COMPUTED_VALUE"""),"High")</f>
        <v>High</v>
      </c>
      <c r="S874" s="5" t="str">
        <f ca="1">IFERROR(__xludf.DUMMYFUNCTION("""COMPUTED_VALUE"""),"Parking Lot")</f>
        <v>Parking Lot</v>
      </c>
      <c r="T874" s="5" t="str">
        <f ca="1">IFERROR(__xludf.DUMMYFUNCTION("""COMPUTED_VALUE"""),"Outside on School Property")</f>
        <v>Outside on School Property</v>
      </c>
      <c r="U874" s="5" t="str">
        <f ca="1">IFERROR(__xludf.DUMMYFUNCTION("""COMPUTED_VALUE"""),"Yes")</f>
        <v>Yes</v>
      </c>
      <c r="V874" s="5" t="str">
        <f ca="1">IFERROR(__xludf.DUMMYFUNCTION("""COMPUTED_VALUE"""),"Afternoon Classes")</f>
        <v>Afternoon Classes</v>
      </c>
      <c r="W874" s="10">
        <f ca="1">IFERROR(__xludf.DUMMYFUNCTION("""COMPUTED_VALUE"""),0.604166666666666)</f>
        <v>0.60416666666666596</v>
      </c>
      <c r="X874" s="5">
        <f ca="1">IFERROR(__xludf.DUMMYFUNCTION("""COMPUTED_VALUE"""),1)</f>
        <v>1</v>
      </c>
      <c r="Y874" s="5" t="str">
        <f ca="1">IFERROR(__xludf.DUMMYFUNCTION("""COMPUTED_VALUE"""),"Non-student shot at female in parking lot, school locked down")</f>
        <v>Non-student shot at female in parking lot, school locked down</v>
      </c>
      <c r="Z874" s="5" t="str">
        <f ca="1">IFERROR(__xludf.DUMMYFUNCTION("""COMPUTED_VALUE"""),"19YOM non-student fired shot at female inside a vehicle in the school parking lot during a domestic dispute. 3 children were inside the vehicle. Armed suspect fled. School was locked down.")</f>
        <v>19YOM non-student fired shot at female inside a vehicle in the school parking lot during a domestic dispute. 3 children were inside the vehicle. Armed suspect fled. School was locked down.</v>
      </c>
      <c r="AA874" s="5" t="str">
        <f ca="1">IFERROR(__xludf.DUMMYFUNCTION("""COMPUTED_VALUE"""),"Domestic w/ Targeted Victim")</f>
        <v>Domestic w/ Targeted Victim</v>
      </c>
      <c r="AB874" s="5" t="str">
        <f ca="1">IFERROR(__xludf.DUMMYFUNCTION("""COMPUTED_VALUE"""),"Victims Targeted")</f>
        <v>Victims Targeted</v>
      </c>
      <c r="AC874" s="5" t="str">
        <f ca="1">IFERROR(__xludf.DUMMYFUNCTION("""COMPUTED_VALUE"""),"No")</f>
        <v>No</v>
      </c>
      <c r="AD874" s="5" t="str">
        <f ca="1">IFERROR(__xludf.DUMMYFUNCTION("""COMPUTED_VALUE"""),"No")</f>
        <v>No</v>
      </c>
      <c r="AE874" s="5" t="str">
        <f ca="1">IFERROR(__xludf.DUMMYFUNCTION("""COMPUTED_VALUE"""),"No")</f>
        <v>No</v>
      </c>
      <c r="AF874" s="5" t="str">
        <f ca="1">IFERROR(__xludf.DUMMYFUNCTION("""COMPUTED_VALUE"""),"No")</f>
        <v>No</v>
      </c>
      <c r="AG874" s="5" t="str">
        <f ca="1">IFERROR(__xludf.DUMMYFUNCTION("""COMPUTED_VALUE"""),"No")</f>
        <v>No</v>
      </c>
      <c r="AH874" s="5" t="str">
        <f ca="1">IFERROR(__xludf.DUMMYFUNCTION("""COMPUTED_VALUE"""),"Yes")</f>
        <v>Yes</v>
      </c>
      <c r="AI874" s="5" t="str">
        <f ca="1">IFERROR(__xludf.DUMMYFUNCTION("""COMPUTED_VALUE"""),"No")</f>
        <v>No</v>
      </c>
      <c r="AJ874" s="5" t="str">
        <f ca="1">IFERROR(__xludf.DUMMYFUNCTION("""COMPUTED_VALUE"""),"No")</f>
        <v>No</v>
      </c>
    </row>
    <row r="875" spans="1:36" ht="13">
      <c r="A875" s="5" t="str">
        <f ca="1">IFERROR(__xludf.DUMMYFUNCTION("""COMPUTED_VALUE"""),"20190118NCSHD")</f>
        <v>20190118NCSHD</v>
      </c>
      <c r="B875" s="5">
        <f ca="1">IFERROR(__xludf.DUMMYFUNCTION("""COMPUTED_VALUE"""),1)</f>
        <v>1</v>
      </c>
      <c r="C875" s="5">
        <f ca="1">IFERROR(__xludf.DUMMYFUNCTION("""COMPUTED_VALUE"""),18)</f>
        <v>18</v>
      </c>
      <c r="D875" s="5">
        <f ca="1">IFERROR(__xludf.DUMMYFUNCTION("""COMPUTED_VALUE"""),2019)</f>
        <v>2019</v>
      </c>
      <c r="E875" s="8">
        <f ca="1">IFERROR(__xludf.DUMMYFUNCTION("""COMPUTED_VALUE"""),43483)</f>
        <v>43483</v>
      </c>
      <c r="F875" s="5" t="str">
        <f ca="1">IFERROR(__xludf.DUMMYFUNCTION("""COMPUTED_VALUE"""),"Sheppard Middle School")</f>
        <v>Sheppard Middle School</v>
      </c>
      <c r="G875" s="5">
        <f ca="1">IFERROR(__xludf.DUMMYFUNCTION("""COMPUTED_VALUE"""),0)</f>
        <v>0</v>
      </c>
      <c r="H875" s="5">
        <f ca="1">IFERROR(__xludf.DUMMYFUNCTION("""COMPUTED_VALUE"""),1)</f>
        <v>1</v>
      </c>
      <c r="I875" s="5">
        <f ca="1">IFERROR(__xludf.DUMMYFUNCTION("""COMPUTED_VALUE"""),1)</f>
        <v>1</v>
      </c>
      <c r="J875" s="5">
        <f ca="1">IFERROR(__xludf.DUMMYFUNCTION("""COMPUTED_VALUE"""),0)</f>
        <v>0</v>
      </c>
      <c r="K875" s="9" t="str">
        <f ca="1">IFERROR(__xludf.DUMMYFUNCTION("""COMPUTED_VALUE"""),"https://www.wral.com/durham-school-bus-hit-by-stray-bullet/18133535/")</f>
        <v>https://www.wral.com/durham-school-bus-hit-by-stray-bullet/18133535/</v>
      </c>
      <c r="L875" s="5"/>
      <c r="M875" s="5"/>
      <c r="N875" s="5">
        <f ca="1">IFERROR(__xludf.DUMMYFUNCTION("""COMPUTED_VALUE"""),3)</f>
        <v>3</v>
      </c>
      <c r="O875" s="5" t="str">
        <f ca="1">IFERROR(__xludf.DUMMYFUNCTION("""COMPUTED_VALUE"""),"Winter")</f>
        <v>Winter</v>
      </c>
      <c r="P875" s="5" t="str">
        <f ca="1">IFERROR(__xludf.DUMMYFUNCTION("""COMPUTED_VALUE"""),"Durham")</f>
        <v>Durham</v>
      </c>
      <c r="Q875" s="5" t="str">
        <f ca="1">IFERROR(__xludf.DUMMYFUNCTION("""COMPUTED_VALUE"""),"NC")</f>
        <v>NC</v>
      </c>
      <c r="R875" s="5" t="str">
        <f ca="1">IFERROR(__xludf.DUMMYFUNCTION("""COMPUTED_VALUE"""),"Middle")</f>
        <v>Middle</v>
      </c>
      <c r="S875" s="5" t="str">
        <f ca="1">IFERROR(__xludf.DUMMYFUNCTION("""COMPUTED_VALUE"""),"School Bus")</f>
        <v>School Bus</v>
      </c>
      <c r="T875" s="5" t="str">
        <f ca="1">IFERROR(__xludf.DUMMYFUNCTION("""COMPUTED_VALUE"""),"School Bus")</f>
        <v>School Bus</v>
      </c>
      <c r="U875" s="5" t="str">
        <f ca="1">IFERROR(__xludf.DUMMYFUNCTION("""COMPUTED_VALUE"""),"Yes")</f>
        <v>Yes</v>
      </c>
      <c r="V875" s="5" t="str">
        <f ca="1">IFERROR(__xludf.DUMMYFUNCTION("""COMPUTED_VALUE"""),"Dismissal")</f>
        <v>Dismissal</v>
      </c>
      <c r="W875" s="10">
        <f ca="1">IFERROR(__xludf.DUMMYFUNCTION("""COMPUTED_VALUE"""),0.645833333333333)</f>
        <v>0.64583333333333304</v>
      </c>
      <c r="X875" s="5">
        <f ca="1">IFERROR(__xludf.DUMMYFUNCTION("""COMPUTED_VALUE"""),1)</f>
        <v>1</v>
      </c>
      <c r="Y875" s="5" t="str">
        <f ca="1">IFERROR(__xludf.DUMMYFUNCTION("""COMPUTED_VALUE"""),"School bus hit by stray bullet injuring driver")</f>
        <v>School bus hit by stray bullet injuring driver</v>
      </c>
      <c r="Z875" s="5" t="str">
        <f ca="1">IFERROR(__xludf.DUMMYFUNCTION("""COMPUTED_VALUE"""),"School bus occupied by 15 students was struck by stray bullet injuring the bus driver. Occupants of two nearby cars were firing at each other when the bus was struck.")</f>
        <v>School bus occupied by 15 students was struck by stray bullet injuring the bus driver. Occupants of two nearby cars were firing at each other when the bus was struck.</v>
      </c>
      <c r="AA875" s="5" t="str">
        <f ca="1">IFERROR(__xludf.DUMMYFUNCTION("""COMPUTED_VALUE"""),"Drive-by Shooting")</f>
        <v>Drive-by Shooting</v>
      </c>
      <c r="AB875" s="5" t="str">
        <f ca="1">IFERROR(__xludf.DUMMYFUNCTION("""COMPUTED_VALUE"""),"Random Shooting")</f>
        <v>Random Shooting</v>
      </c>
      <c r="AC875" s="5" t="str">
        <f ca="1">IFERROR(__xludf.DUMMYFUNCTION("""COMPUTED_VALUE"""),"Yes")</f>
        <v>Yes</v>
      </c>
      <c r="AD875" s="5" t="str">
        <f ca="1">IFERROR(__xludf.DUMMYFUNCTION("""COMPUTED_VALUE"""),"No")</f>
        <v>No</v>
      </c>
      <c r="AE875" s="5" t="str">
        <f ca="1">IFERROR(__xludf.DUMMYFUNCTION("""COMPUTED_VALUE"""),"No")</f>
        <v>No</v>
      </c>
      <c r="AF875" s="5" t="str">
        <f ca="1">IFERROR(__xludf.DUMMYFUNCTION("""COMPUTED_VALUE"""),"No")</f>
        <v>No</v>
      </c>
      <c r="AG875" s="5" t="str">
        <f ca="1">IFERROR(__xludf.DUMMYFUNCTION("""COMPUTED_VALUE"""),"No")</f>
        <v>No</v>
      </c>
      <c r="AH875" s="5" t="str">
        <f ca="1">IFERROR(__xludf.DUMMYFUNCTION("""COMPUTED_VALUE"""),"No")</f>
        <v>No</v>
      </c>
      <c r="AI875" s="5"/>
      <c r="AJ875" s="5" t="str">
        <f ca="1">IFERROR(__xludf.DUMMYFUNCTION("""COMPUTED_VALUE"""),"No")</f>
        <v>No</v>
      </c>
    </row>
    <row r="876" spans="1:36" ht="13">
      <c r="A876" s="5" t="str">
        <f ca="1">IFERROR(__xludf.DUMMYFUNCTION("""COMPUTED_VALUE"""),"20190111ORCAE")</f>
        <v>20190111ORCAE</v>
      </c>
      <c r="B876" s="5">
        <f ca="1">IFERROR(__xludf.DUMMYFUNCTION("""COMPUTED_VALUE"""),1)</f>
        <v>1</v>
      </c>
      <c r="C876" s="5">
        <f ca="1">IFERROR(__xludf.DUMMYFUNCTION("""COMPUTED_VALUE"""),11)</f>
        <v>11</v>
      </c>
      <c r="D876" s="5">
        <f ca="1">IFERROR(__xludf.DUMMYFUNCTION("""COMPUTED_VALUE"""),2019)</f>
        <v>2019</v>
      </c>
      <c r="E876" s="8">
        <f ca="1">IFERROR(__xludf.DUMMYFUNCTION("""COMPUTED_VALUE"""),43476)</f>
        <v>43476</v>
      </c>
      <c r="F876" s="5" t="str">
        <f ca="1">IFERROR(__xludf.DUMMYFUNCTION("""COMPUTED_VALUE"""),"Cascade Middle School")</f>
        <v>Cascade Middle School</v>
      </c>
      <c r="G876" s="5">
        <f ca="1">IFERROR(__xludf.DUMMYFUNCTION("""COMPUTED_VALUE"""),1)</f>
        <v>1</v>
      </c>
      <c r="H876" s="5">
        <f ca="1">IFERROR(__xludf.DUMMYFUNCTION("""COMPUTED_VALUE"""),0)</f>
        <v>0</v>
      </c>
      <c r="I876" s="5">
        <f ca="1">IFERROR(__xludf.DUMMYFUNCTION("""COMPUTED_VALUE"""),1)</f>
        <v>1</v>
      </c>
      <c r="J876" s="5">
        <f ca="1">IFERROR(__xludf.DUMMYFUNCTION("""COMPUTED_VALUE"""),0)</f>
        <v>0</v>
      </c>
      <c r="K876" s="5" t="str">
        <f ca="1">IFERROR(__xludf.DUMMYFUNCTION("""COMPUTED_VALUE"""),"https://www.opb.org/news/article/cascade-middle-school-shooting-eugene/  https://www.registerguard.com/news/20190111/man-fatally-shot-by-eugene-police-at-cascade-middle-school")</f>
        <v>https://www.opb.org/news/article/cascade-middle-school-shooting-eugene/  https://www.registerguard.com/news/20190111/man-fatally-shot-by-eugene-police-at-cascade-middle-school</v>
      </c>
      <c r="L876" s="5"/>
      <c r="M876" s="5"/>
      <c r="N876" s="5">
        <f ca="1">IFERROR(__xludf.DUMMYFUNCTION("""COMPUTED_VALUE"""),3)</f>
        <v>3</v>
      </c>
      <c r="O876" s="5" t="str">
        <f ca="1">IFERROR(__xludf.DUMMYFUNCTION("""COMPUTED_VALUE"""),"Winter")</f>
        <v>Winter</v>
      </c>
      <c r="P876" s="5" t="str">
        <f ca="1">IFERROR(__xludf.DUMMYFUNCTION("""COMPUTED_VALUE"""),"Eugene")</f>
        <v>Eugene</v>
      </c>
      <c r="Q876" s="5" t="str">
        <f ca="1">IFERROR(__xludf.DUMMYFUNCTION("""COMPUTED_VALUE"""),"OR")</f>
        <v>OR</v>
      </c>
      <c r="R876" s="5" t="str">
        <f ca="1">IFERROR(__xludf.DUMMYFUNCTION("""COMPUTED_VALUE"""),"Middle")</f>
        <v>Middle</v>
      </c>
      <c r="S876" s="5" t="str">
        <f ca="1">IFERROR(__xludf.DUMMYFUNCTION("""COMPUTED_VALUE"""),"Front of School")</f>
        <v>Front of School</v>
      </c>
      <c r="T876" s="5" t="str">
        <f ca="1">IFERROR(__xludf.DUMMYFUNCTION("""COMPUTED_VALUE"""),"Outside on School Property")</f>
        <v>Outside on School Property</v>
      </c>
      <c r="U876" s="5" t="str">
        <f ca="1">IFERROR(__xludf.DUMMYFUNCTION("""COMPUTED_VALUE"""),"Yes")</f>
        <v>Yes</v>
      </c>
      <c r="V876" s="5" t="str">
        <f ca="1">IFERROR(__xludf.DUMMYFUNCTION("""COMPUTED_VALUE"""),"Morning Classes")</f>
        <v>Morning Classes</v>
      </c>
      <c r="W876" s="10">
        <f ca="1">IFERROR(__xludf.DUMMYFUNCTION("""COMPUTED_VALUE"""),0.435416666666666)</f>
        <v>0.43541666666666601</v>
      </c>
      <c r="X876" s="5">
        <f ca="1">IFERROR(__xludf.DUMMYFUNCTION("""COMPUTED_VALUE"""),1)</f>
        <v>1</v>
      </c>
      <c r="Y876" s="5" t="str">
        <f ca="1">IFERROR(__xludf.DUMMYFUNCTION("""COMPUTED_VALUE"""),"Parent with gun shot by police following custody dispute")</f>
        <v>Parent with gun shot by police following custody dispute</v>
      </c>
      <c r="Z876" s="5" t="str">
        <f ca="1">IFERROR(__xludf.DUMMYFUNCTION("""COMPUTED_VALUE"""),"Police responded to school for custody dispute involving an adult male. While escorting the parent from the school, he pulled a handgun and was fatally shot by police officers. School was locked down for 3 hours.")</f>
        <v>Police responded to school for custody dispute involving an adult male. While escorting the parent from the school, he pulled a handgun and was fatally shot by police officers. School was locked down for 3 hours.</v>
      </c>
      <c r="AA876" s="5" t="str">
        <f ca="1">IFERROR(__xludf.DUMMYFUNCTION("""COMPUTED_VALUE"""),"Domestic w/ Targeted Victim")</f>
        <v>Domestic w/ Targeted Victim</v>
      </c>
      <c r="AB876" s="5" t="str">
        <f ca="1">IFERROR(__xludf.DUMMYFUNCTION("""COMPUTED_VALUE"""),"Victims Targeted")</f>
        <v>Victims Targeted</v>
      </c>
      <c r="AC876" s="5" t="str">
        <f ca="1">IFERROR(__xludf.DUMMYFUNCTION("""COMPUTED_VALUE"""),"No")</f>
        <v>No</v>
      </c>
      <c r="AD876" s="5" t="str">
        <f ca="1">IFERROR(__xludf.DUMMYFUNCTION("""COMPUTED_VALUE"""),"No")</f>
        <v>No</v>
      </c>
      <c r="AE876" s="5" t="str">
        <f ca="1">IFERROR(__xludf.DUMMYFUNCTION("""COMPUTED_VALUE"""),"No")</f>
        <v>No</v>
      </c>
      <c r="AF876" s="5" t="str">
        <f ca="1">IFERROR(__xludf.DUMMYFUNCTION("""COMPUTED_VALUE"""),"No")</f>
        <v>No</v>
      </c>
      <c r="AG876" s="5" t="str">
        <f ca="1">IFERROR(__xludf.DUMMYFUNCTION("""COMPUTED_VALUE"""),"No")</f>
        <v>No</v>
      </c>
      <c r="AH876" s="5" t="str">
        <f ca="1">IFERROR(__xludf.DUMMYFUNCTION("""COMPUTED_VALUE"""),"No")</f>
        <v>No</v>
      </c>
      <c r="AI876" s="5" t="str">
        <f ca="1">IFERROR(__xludf.DUMMYFUNCTION("""COMPUTED_VALUE"""),"No")</f>
        <v>No</v>
      </c>
      <c r="AJ876" s="5" t="str">
        <f ca="1">IFERROR(__xludf.DUMMYFUNCTION("""COMPUTED_VALUE"""),"No")</f>
        <v>No</v>
      </c>
    </row>
    <row r="877" spans="1:36" ht="13">
      <c r="A877" s="5" t="str">
        <f ca="1">IFERROR(__xludf.DUMMYFUNCTION("""COMPUTED_VALUE"""),"20190107CACEB")</f>
        <v>20190107CACEB</v>
      </c>
      <c r="B877" s="5">
        <f ca="1">IFERROR(__xludf.DUMMYFUNCTION("""COMPUTED_VALUE"""),1)</f>
        <v>1</v>
      </c>
      <c r="C877" s="5">
        <f ca="1">IFERROR(__xludf.DUMMYFUNCTION("""COMPUTED_VALUE"""),7)</f>
        <v>7</v>
      </c>
      <c r="D877" s="5">
        <f ca="1">IFERROR(__xludf.DUMMYFUNCTION("""COMPUTED_VALUE"""),2019)</f>
        <v>2019</v>
      </c>
      <c r="E877" s="8">
        <f ca="1">IFERROR(__xludf.DUMMYFUNCTION("""COMPUTED_VALUE"""),43472)</f>
        <v>43472</v>
      </c>
      <c r="F877" s="5" t="str">
        <f ca="1">IFERROR(__xludf.DUMMYFUNCTION("""COMPUTED_VALUE"""),"Central Elementary School")</f>
        <v>Central Elementary School</v>
      </c>
      <c r="G877" s="5">
        <f ca="1">IFERROR(__xludf.DUMMYFUNCTION("""COMPUTED_VALUE"""),1)</f>
        <v>1</v>
      </c>
      <c r="H877" s="5">
        <f ca="1">IFERROR(__xludf.DUMMYFUNCTION("""COMPUTED_VALUE"""),0)</f>
        <v>0</v>
      </c>
      <c r="I877" s="5">
        <f ca="1">IFERROR(__xludf.DUMMYFUNCTION("""COMPUTED_VALUE"""),1)</f>
        <v>1</v>
      </c>
      <c r="J877" s="5">
        <f ca="1">IFERROR(__xludf.DUMMYFUNCTION("""COMPUTED_VALUE"""),0)</f>
        <v>0</v>
      </c>
      <c r="K877" s="5" t="str">
        <f ca="1">IFERROR(__xludf.DUMMYFUNCTION("""COMPUTED_VALUE"""),"https://abc7news.com/teen-dies-after-police-find-him-shot-in-belmont-school-parking-lot/5035536/  https://www.sfgate.com/crime/article/17-year-old-boy-shot-to-death-at-Belmont-13517127.php https://www.nbcbayarea.com/news/local/police-search-for-suspect-in"&amp;"-shooting-death-of-carlmont-high-student-in-belmont/2943/")</f>
        <v>https://abc7news.com/teen-dies-after-police-find-him-shot-in-belmont-school-parking-lot/5035536/  https://www.sfgate.com/crime/article/17-year-old-boy-shot-to-death-at-Belmont-13517127.php https://www.nbcbayarea.com/news/local/police-search-for-suspect-in-shooting-death-of-carlmont-high-student-in-belmont/2943/</v>
      </c>
      <c r="L877" s="5"/>
      <c r="M877" s="5"/>
      <c r="N877" s="5">
        <f ca="1">IFERROR(__xludf.DUMMYFUNCTION("""COMPUTED_VALUE"""),4)</f>
        <v>4</v>
      </c>
      <c r="O877" s="5" t="str">
        <f ca="1">IFERROR(__xludf.DUMMYFUNCTION("""COMPUTED_VALUE"""),"Winter")</f>
        <v>Winter</v>
      </c>
      <c r="P877" s="5" t="str">
        <f ca="1">IFERROR(__xludf.DUMMYFUNCTION("""COMPUTED_VALUE"""),"Belmont")</f>
        <v>Belmont</v>
      </c>
      <c r="Q877" s="5" t="str">
        <f ca="1">IFERROR(__xludf.DUMMYFUNCTION("""COMPUTED_VALUE"""),"CA")</f>
        <v>CA</v>
      </c>
      <c r="R877" s="5" t="str">
        <f ca="1">IFERROR(__xludf.DUMMYFUNCTION("""COMPUTED_VALUE"""),"Elementary")</f>
        <v>Elementary</v>
      </c>
      <c r="S877" s="5" t="str">
        <f ca="1">IFERROR(__xludf.DUMMYFUNCTION("""COMPUTED_VALUE"""),"Parking Lot")</f>
        <v>Parking Lot</v>
      </c>
      <c r="T877" s="5" t="str">
        <f ca="1">IFERROR(__xludf.DUMMYFUNCTION("""COMPUTED_VALUE"""),"Off School Property")</f>
        <v>Off School Property</v>
      </c>
      <c r="U877" s="5" t="str">
        <f ca="1">IFERROR(__xludf.DUMMYFUNCTION("""COMPUTED_VALUE"""),"No")</f>
        <v>No</v>
      </c>
      <c r="V877" s="5" t="str">
        <f ca="1">IFERROR(__xludf.DUMMYFUNCTION("""COMPUTED_VALUE"""),"Night")</f>
        <v>Night</v>
      </c>
      <c r="W877" s="10">
        <f ca="1">IFERROR(__xludf.DUMMYFUNCTION("""COMPUTED_VALUE"""),0.958333333333333)</f>
        <v>0.95833333333333304</v>
      </c>
      <c r="X877" s="5">
        <f ca="1">IFERROR(__xludf.DUMMYFUNCTION("""COMPUTED_VALUE"""),1)</f>
        <v>1</v>
      </c>
      <c r="Y877" s="5" t="str">
        <f ca="1">IFERROR(__xludf.DUMMYFUNCTION("""COMPUTED_VALUE"""),"17YOM high school student shot in elementary school parking lot")</f>
        <v>17YOM high school student shot in elementary school parking lot</v>
      </c>
      <c r="Z877" s="5" t="str">
        <f ca="1">IFERROR(__xludf.DUMMYFUNCTION("""COMPUTED_VALUE"""),"17YOM varsity athlete shot and killed in elementary school parking lot. Shooter fled the scene. Shooting occurred at night when the school was closed. School was closed following day while police searched for shooter in the neighborhood.")</f>
        <v>17YOM varsity athlete shot and killed in elementary school parking lot. Shooter fled the scene. Shooting occurred at night when the school was closed. School was closed following day while police searched for shooter in the neighborhood.</v>
      </c>
      <c r="AA877" s="5" t="str">
        <f ca="1">IFERROR(__xludf.DUMMYFUNCTION("""COMPUTED_VALUE"""),"Escalation of Dispute")</f>
        <v>Escalation of Dispute</v>
      </c>
      <c r="AB877" s="5" t="str">
        <f ca="1">IFERROR(__xludf.DUMMYFUNCTION("""COMPUTED_VALUE"""),"Victims Targeted")</f>
        <v>Victims Targeted</v>
      </c>
      <c r="AC877" s="5"/>
      <c r="AD877" s="5" t="str">
        <f ca="1">IFERROR(__xludf.DUMMYFUNCTION("""COMPUTED_VALUE"""),"No")</f>
        <v>No</v>
      </c>
      <c r="AE877" s="5" t="str">
        <f ca="1">IFERROR(__xludf.DUMMYFUNCTION("""COMPUTED_VALUE"""),"No")</f>
        <v>No</v>
      </c>
      <c r="AF877" s="5" t="str">
        <f ca="1">IFERROR(__xludf.DUMMYFUNCTION("""COMPUTED_VALUE"""),"No")</f>
        <v>No</v>
      </c>
      <c r="AG877" s="5" t="str">
        <f ca="1">IFERROR(__xludf.DUMMYFUNCTION("""COMPUTED_VALUE"""),"No")</f>
        <v>No</v>
      </c>
      <c r="AH877" s="5" t="str">
        <f ca="1">IFERROR(__xludf.DUMMYFUNCTION("""COMPUTED_VALUE"""),"No")</f>
        <v>No</v>
      </c>
      <c r="AI877" s="5" t="str">
        <f ca="1">IFERROR(__xludf.DUMMYFUNCTION("""COMPUTED_VALUE"""),"No")</f>
        <v>No</v>
      </c>
      <c r="AJ877" s="5" t="str">
        <f ca="1">IFERROR(__xludf.DUMMYFUNCTION("""COMPUTED_VALUE"""),"No")</f>
        <v>No</v>
      </c>
    </row>
    <row r="878" spans="1:36" ht="13">
      <c r="A878" s="5" t="str">
        <f ca="1">IFERROR(__xludf.DUMMYFUNCTION("""COMPUTED_VALUE"""),"20181218DEAIG")</f>
        <v>20181218DEAIG</v>
      </c>
      <c r="B878" s="5">
        <f ca="1">IFERROR(__xludf.DUMMYFUNCTION("""COMPUTED_VALUE"""),12)</f>
        <v>12</v>
      </c>
      <c r="C878" s="5">
        <f ca="1">IFERROR(__xludf.DUMMYFUNCTION("""COMPUTED_VALUE"""),18)</f>
        <v>18</v>
      </c>
      <c r="D878" s="5">
        <f ca="1">IFERROR(__xludf.DUMMYFUNCTION("""COMPUTED_VALUE"""),2018)</f>
        <v>2018</v>
      </c>
      <c r="E878" s="8">
        <f ca="1">IFERROR(__xludf.DUMMYFUNCTION("""COMPUTED_VALUE"""),43452)</f>
        <v>43452</v>
      </c>
      <c r="F878" s="5" t="str">
        <f ca="1">IFERROR(__xludf.DUMMYFUNCTION("""COMPUTED_VALUE"""),"A I du Pont High School")</f>
        <v>A I du Pont High School</v>
      </c>
      <c r="G878" s="5">
        <f ca="1">IFERROR(__xludf.DUMMYFUNCTION("""COMPUTED_VALUE"""),0)</f>
        <v>0</v>
      </c>
      <c r="H878" s="5">
        <f ca="1">IFERROR(__xludf.DUMMYFUNCTION("""COMPUTED_VALUE"""),0)</f>
        <v>0</v>
      </c>
      <c r="I878" s="5">
        <f ca="1">IFERROR(__xludf.DUMMYFUNCTION("""COMPUTED_VALUE"""),0)</f>
        <v>0</v>
      </c>
      <c r="J878" s="5">
        <f ca="1">IFERROR(__xludf.DUMMYFUNCTION("""COMPUTED_VALUE"""),0)</f>
        <v>0</v>
      </c>
      <c r="K878" s="9" t="str">
        <f ca="1">IFERROR(__xludf.DUMMYFUNCTION("""COMPUTED_VALUE"""),"https://www.delawareonline.com/story/news/crime/2018/12/18/shots-fired-ai-dupont-high-school/2358011002/")</f>
        <v>https://www.delawareonline.com/story/news/crime/2018/12/18/shots-fired-ai-dupont-high-school/2358011002/</v>
      </c>
      <c r="L878" s="5"/>
      <c r="M878" s="5"/>
      <c r="N878" s="5">
        <f ca="1">IFERROR(__xludf.DUMMYFUNCTION("""COMPUTED_VALUE"""),3)</f>
        <v>3</v>
      </c>
      <c r="O878" s="5" t="str">
        <f ca="1">IFERROR(__xludf.DUMMYFUNCTION("""COMPUTED_VALUE"""),"Winter")</f>
        <v>Winter</v>
      </c>
      <c r="P878" s="5" t="str">
        <f ca="1">IFERROR(__xludf.DUMMYFUNCTION("""COMPUTED_VALUE"""),"Greenville")</f>
        <v>Greenville</v>
      </c>
      <c r="Q878" s="5" t="str">
        <f ca="1">IFERROR(__xludf.DUMMYFUNCTION("""COMPUTED_VALUE"""),"DE")</f>
        <v>DE</v>
      </c>
      <c r="R878" s="5" t="str">
        <f ca="1">IFERROR(__xludf.DUMMYFUNCTION("""COMPUTED_VALUE"""),"High")</f>
        <v>High</v>
      </c>
      <c r="S878" s="5" t="str">
        <f ca="1">IFERROR(__xludf.DUMMYFUNCTION("""COMPUTED_VALUE"""),"Parking Lot")</f>
        <v>Parking Lot</v>
      </c>
      <c r="T878" s="5" t="str">
        <f ca="1">IFERROR(__xludf.DUMMYFUNCTION("""COMPUTED_VALUE"""),"Outside on School Property")</f>
        <v>Outside on School Property</v>
      </c>
      <c r="U878" s="5" t="str">
        <f ca="1">IFERROR(__xludf.DUMMYFUNCTION("""COMPUTED_VALUE"""),"No")</f>
        <v>No</v>
      </c>
      <c r="V878" s="5" t="str">
        <f ca="1">IFERROR(__xludf.DUMMYFUNCTION("""COMPUTED_VALUE"""),"Sport Event")</f>
        <v>Sport Event</v>
      </c>
      <c r="W878" s="10">
        <f ca="1">IFERROR(__xludf.DUMMYFUNCTION("""COMPUTED_VALUE"""),0.822916666666666)</f>
        <v>0.82291666666666596</v>
      </c>
      <c r="X878" s="5">
        <f ca="1">IFERROR(__xludf.DUMMYFUNCTION("""COMPUTED_VALUE"""),1)</f>
        <v>1</v>
      </c>
      <c r="Y878" s="5" t="str">
        <f ca="1">IFERROR(__xludf.DUMMYFUNCTION("""COMPUTED_VALUE"""),"Shots fired in parking lot after basketball game, vehicle struck")</f>
        <v>Shots fired in parking lot after basketball game, vehicle struck</v>
      </c>
      <c r="Z878" s="5" t="str">
        <f ca="1">IFERROR(__xludf.DUMMYFUNCTION("""COMPUTED_VALUE"""),"Shots fired in school parking lot following basketball game. Students inside the school for other activities were locked down. No injuries. No suspect identified. Two vehicles in parking lot were damaged by gunshots.")</f>
        <v>Shots fired in school parking lot following basketball game. Students inside the school for other activities were locked down. No injuries. No suspect identified. Two vehicles in parking lot were damaged by gunshots.</v>
      </c>
      <c r="AA878" s="5" t="str">
        <f ca="1">IFERROR(__xludf.DUMMYFUNCTION("""COMPUTED_VALUE"""),"Escalation of Dispute")</f>
        <v>Escalation of Dispute</v>
      </c>
      <c r="AB878" s="5"/>
      <c r="AC878" s="5"/>
      <c r="AD878" s="5" t="str">
        <f ca="1">IFERROR(__xludf.DUMMYFUNCTION("""COMPUTED_VALUE"""),"No")</f>
        <v>No</v>
      </c>
      <c r="AE878" s="5" t="str">
        <f ca="1">IFERROR(__xludf.DUMMYFUNCTION("""COMPUTED_VALUE"""),"No")</f>
        <v>No</v>
      </c>
      <c r="AF878" s="5" t="str">
        <f ca="1">IFERROR(__xludf.DUMMYFUNCTION("""COMPUTED_VALUE"""),"No")</f>
        <v>No</v>
      </c>
      <c r="AG878" s="5" t="str">
        <f ca="1">IFERROR(__xludf.DUMMYFUNCTION("""COMPUTED_VALUE"""),"No")</f>
        <v>No</v>
      </c>
      <c r="AH878" s="5" t="str">
        <f ca="1">IFERROR(__xludf.DUMMYFUNCTION("""COMPUTED_VALUE"""),"No")</f>
        <v>No</v>
      </c>
      <c r="AI878" s="5" t="str">
        <f ca="1">IFERROR(__xludf.DUMMYFUNCTION("""COMPUTED_VALUE"""),"No")</f>
        <v>No</v>
      </c>
      <c r="AJ878" s="5" t="str">
        <f ca="1">IFERROR(__xludf.DUMMYFUNCTION("""COMPUTED_VALUE"""),"No")</f>
        <v>No</v>
      </c>
    </row>
    <row r="879" spans="1:36" ht="13">
      <c r="A879" s="5" t="str">
        <f ca="1">IFERROR(__xludf.DUMMYFUNCTION("""COMPUTED_VALUE"""),"20181214MOWIK")</f>
        <v>20181214MOWIK</v>
      </c>
      <c r="B879" s="5">
        <f ca="1">IFERROR(__xludf.DUMMYFUNCTION("""COMPUTED_VALUE"""),12)</f>
        <v>12</v>
      </c>
      <c r="C879" s="5">
        <f ca="1">IFERROR(__xludf.DUMMYFUNCTION("""COMPUTED_VALUE"""),14)</f>
        <v>14</v>
      </c>
      <c r="D879" s="5">
        <f ca="1">IFERROR(__xludf.DUMMYFUNCTION("""COMPUTED_VALUE"""),2018)</f>
        <v>2018</v>
      </c>
      <c r="E879" s="8">
        <f ca="1">IFERROR(__xludf.DUMMYFUNCTION("""COMPUTED_VALUE"""),43448)</f>
        <v>43448</v>
      </c>
      <c r="F879" s="5" t="str">
        <f ca="1">IFERROR(__xludf.DUMMYFUNCTION("""COMPUTED_VALUE"""),"Winnetonka High School")</f>
        <v>Winnetonka High School</v>
      </c>
      <c r="G879" s="5">
        <f ca="1">IFERROR(__xludf.DUMMYFUNCTION("""COMPUTED_VALUE"""),0)</f>
        <v>0</v>
      </c>
      <c r="H879" s="5">
        <f ca="1">IFERROR(__xludf.DUMMYFUNCTION("""COMPUTED_VALUE"""),0)</f>
        <v>0</v>
      </c>
      <c r="I879" s="5">
        <f ca="1">IFERROR(__xludf.DUMMYFUNCTION("""COMPUTED_VALUE"""),0)</f>
        <v>0</v>
      </c>
      <c r="J879" s="5">
        <f ca="1">IFERROR(__xludf.DUMMYFUNCTION("""COMPUTED_VALUE"""),0)</f>
        <v>0</v>
      </c>
      <c r="K879" s="9" t="str">
        <f ca="1">IFERROR(__xludf.DUMMYFUNCTION("""COMPUTED_VALUE"""),"https://fox4kc.com/2018/12/14/police-investigating-reports-of-shot-fired-into-air-and-shooting-at-2-metro-high-schools/")</f>
        <v>https://fox4kc.com/2018/12/14/police-investigating-reports-of-shot-fired-into-air-and-shooting-at-2-metro-high-schools/</v>
      </c>
      <c r="L879" s="5"/>
      <c r="M879" s="5"/>
      <c r="N879" s="5">
        <f ca="1">IFERROR(__xludf.DUMMYFUNCTION("""COMPUTED_VALUE"""),3)</f>
        <v>3</v>
      </c>
      <c r="O879" s="5" t="str">
        <f ca="1">IFERROR(__xludf.DUMMYFUNCTION("""COMPUTED_VALUE"""),"Winter")</f>
        <v>Winter</v>
      </c>
      <c r="P879" s="5" t="str">
        <f ca="1">IFERROR(__xludf.DUMMYFUNCTION("""COMPUTED_VALUE"""),"Kansas City")</f>
        <v>Kansas City</v>
      </c>
      <c r="Q879" s="5" t="str">
        <f ca="1">IFERROR(__xludf.DUMMYFUNCTION("""COMPUTED_VALUE"""),"MO")</f>
        <v>MO</v>
      </c>
      <c r="R879" s="5" t="str">
        <f ca="1">IFERROR(__xludf.DUMMYFUNCTION("""COMPUTED_VALUE"""),"High")</f>
        <v>High</v>
      </c>
      <c r="S879" s="5" t="str">
        <f ca="1">IFERROR(__xludf.DUMMYFUNCTION("""COMPUTED_VALUE"""),"Parking Lot")</f>
        <v>Parking Lot</v>
      </c>
      <c r="T879" s="5" t="str">
        <f ca="1">IFERROR(__xludf.DUMMYFUNCTION("""COMPUTED_VALUE"""),"Outside on School Property")</f>
        <v>Outside on School Property</v>
      </c>
      <c r="U879" s="5" t="str">
        <f ca="1">IFERROR(__xludf.DUMMYFUNCTION("""COMPUTED_VALUE"""),"Yes")</f>
        <v>Yes</v>
      </c>
      <c r="V879" s="5" t="str">
        <f ca="1">IFERROR(__xludf.DUMMYFUNCTION("""COMPUTED_VALUE"""),"Dismissal")</f>
        <v>Dismissal</v>
      </c>
      <c r="W879" s="10">
        <f ca="1">IFERROR(__xludf.DUMMYFUNCTION("""COMPUTED_VALUE"""),0.625)</f>
        <v>0.625</v>
      </c>
      <c r="X879" s="5">
        <f ca="1">IFERROR(__xludf.DUMMYFUNCTION("""COMPUTED_VALUE"""),1)</f>
        <v>1</v>
      </c>
      <c r="Y879" s="5" t="str">
        <f ca="1">IFERROR(__xludf.DUMMYFUNCTION("""COMPUTED_VALUE"""),"Student fired gun into air in parking lot. School locked down.")</f>
        <v>Student fired gun into air in parking lot. School locked down.</v>
      </c>
      <c r="Z879" s="5" t="str">
        <f ca="1">IFERROR(__xludf.DUMMYFUNCTION("""COMPUTED_VALUE"""),"Student fired gun into the air in the school parking lot during dismissal. The students still in the school were locked down. Shooter fled the area. No injuries reported.")</f>
        <v>Student fired gun into the air in the school parking lot during dismissal. The students still in the school were locked down. Shooter fled the area. No injuries reported.</v>
      </c>
      <c r="AA879" s="5" t="str">
        <f ca="1">IFERROR(__xludf.DUMMYFUNCTION("""COMPUTED_VALUE"""),"Escalation of Dispute")</f>
        <v>Escalation of Dispute</v>
      </c>
      <c r="AB879" s="5" t="str">
        <f ca="1">IFERROR(__xludf.DUMMYFUNCTION("""COMPUTED_VALUE"""),"Neither")</f>
        <v>Neither</v>
      </c>
      <c r="AC879" s="5"/>
      <c r="AD879" s="5" t="str">
        <f ca="1">IFERROR(__xludf.DUMMYFUNCTION("""COMPUTED_VALUE"""),"No")</f>
        <v>No</v>
      </c>
      <c r="AE879" s="5" t="str">
        <f ca="1">IFERROR(__xludf.DUMMYFUNCTION("""COMPUTED_VALUE"""),"No")</f>
        <v>No</v>
      </c>
      <c r="AF879" s="5" t="str">
        <f ca="1">IFERROR(__xludf.DUMMYFUNCTION("""COMPUTED_VALUE"""),"No")</f>
        <v>No</v>
      </c>
      <c r="AG879" s="5"/>
      <c r="AH879" s="5"/>
      <c r="AI879" s="5"/>
      <c r="AJ879" s="5" t="str">
        <f ca="1">IFERROR(__xludf.DUMMYFUNCTION("""COMPUTED_VALUE"""),"No")</f>
        <v>No</v>
      </c>
    </row>
    <row r="880" spans="1:36" ht="13">
      <c r="A880" s="5" t="str">
        <f ca="1">IFERROR(__xludf.DUMMYFUNCTION("""COMPUTED_VALUE"""),"20181213INDER")</f>
        <v>20181213INDER</v>
      </c>
      <c r="B880" s="5">
        <f ca="1">IFERROR(__xludf.DUMMYFUNCTION("""COMPUTED_VALUE"""),12)</f>
        <v>12</v>
      </c>
      <c r="C880" s="5">
        <f ca="1">IFERROR(__xludf.DUMMYFUNCTION("""COMPUTED_VALUE"""),13)</f>
        <v>13</v>
      </c>
      <c r="D880" s="5">
        <f ca="1">IFERROR(__xludf.DUMMYFUNCTION("""COMPUTED_VALUE"""),2018)</f>
        <v>2018</v>
      </c>
      <c r="E880" s="8">
        <f ca="1">IFERROR(__xludf.DUMMYFUNCTION("""COMPUTED_VALUE"""),43447)</f>
        <v>43447</v>
      </c>
      <c r="F880" s="5" t="str">
        <f ca="1">IFERROR(__xludf.DUMMYFUNCTION("""COMPUTED_VALUE"""),"Dennis Intermediate School")</f>
        <v>Dennis Intermediate School</v>
      </c>
      <c r="G880" s="5">
        <f ca="1">IFERROR(__xludf.DUMMYFUNCTION("""COMPUTED_VALUE"""),0)</f>
        <v>0</v>
      </c>
      <c r="H880" s="5">
        <f ca="1">IFERROR(__xludf.DUMMYFUNCTION("""COMPUTED_VALUE"""),0)</f>
        <v>0</v>
      </c>
      <c r="I880" s="5">
        <f ca="1">IFERROR(__xludf.DUMMYFUNCTION("""COMPUTED_VALUE"""),0)</f>
        <v>0</v>
      </c>
      <c r="J880" s="5">
        <f ca="1">IFERROR(__xludf.DUMMYFUNCTION("""COMPUTED_VALUE"""),1)</f>
        <v>1</v>
      </c>
      <c r="K880" s="5" t="str">
        <f ca="1">IFERROR(__xludf.DUMMYFUNCTION("""COMPUTED_VALUE"""),"https://www.cnn.com/2018/12/13/us/richmond-indiana-active-shooter-school/index.html https://www.cbsnews.com/news/richmond-indiana-school-shooting-woman-says-suspect-threatened-father/ https://www.theindychannel.com/news/call-6-investigators/call-6-richmon"&amp;"d-school-shooter-had-rifle-handgun-explosives https://www.theindychannel.com/news/call-6-investigators/call-6-richmond-school-shooter-got-guns-from-gun-cabinet-in-his-home https://www.daytondailynews.com/news/local/investigation-into-shooting-richmond-int"&amp;"ermediate-complete/pzQi7yU9RiduA7lLfXQKSO/ https://www.wndu.com/content/news/Indiana-police-release-new-details-about-school-shooting-508072851.html https://www.pal-item.com/story/news/crime/2019/04/02/indiana-state-police-shed-new-light-dennis-school-sho"&amp;"oting-incident/3341861002/ https://cbs4indy.com/news/police-dennis-intermediate-shooter-had-plan-of-action-wanted-to-cause-maximum-damage/")</f>
        <v>https://www.cnn.com/2018/12/13/us/richmond-indiana-active-shooter-school/index.html https://www.cbsnews.com/news/richmond-indiana-school-shooting-woman-says-suspect-threatened-father/ https://www.theindychannel.com/news/call-6-investigators/call-6-richmond-school-shooter-had-rifle-handgun-explosives https://www.theindychannel.com/news/call-6-investigators/call-6-richmond-school-shooter-got-guns-from-gun-cabinet-in-his-home https://www.daytondailynews.com/news/local/investigation-into-shooting-richmond-intermediate-complete/pzQi7yU9RiduA7lLfXQKSO/ https://www.wndu.com/content/news/Indiana-police-release-new-details-about-school-shooting-508072851.html https://www.pal-item.com/story/news/crime/2019/04/02/indiana-state-police-shed-new-light-dennis-school-shooting-incident/3341861002/ https://cbs4indy.com/news/police-dennis-intermediate-shooter-had-plan-of-action-wanted-to-cause-maximum-damage/</v>
      </c>
      <c r="L880" s="5">
        <f ca="1">IFERROR(__xludf.DUMMYFUNCTION("""COMPUTED_VALUE"""),11)</f>
        <v>11</v>
      </c>
      <c r="M880" s="5" t="str">
        <f ca="1">IFERROR(__xludf.DUMMYFUNCTION("""COMPUTED_VALUE"""),"National")</f>
        <v>National</v>
      </c>
      <c r="N880" s="5">
        <f ca="1">IFERROR(__xludf.DUMMYFUNCTION("""COMPUTED_VALUE"""),4)</f>
        <v>4</v>
      </c>
      <c r="O880" s="5" t="str">
        <f ca="1">IFERROR(__xludf.DUMMYFUNCTION("""COMPUTED_VALUE"""),"Winter")</f>
        <v>Winter</v>
      </c>
      <c r="P880" s="5" t="str">
        <f ca="1">IFERROR(__xludf.DUMMYFUNCTION("""COMPUTED_VALUE"""),"Richmond")</f>
        <v>Richmond</v>
      </c>
      <c r="Q880" s="5" t="str">
        <f ca="1">IFERROR(__xludf.DUMMYFUNCTION("""COMPUTED_VALUE"""),"IN")</f>
        <v>IN</v>
      </c>
      <c r="R880" s="5" t="str">
        <f ca="1">IFERROR(__xludf.DUMMYFUNCTION("""COMPUTED_VALUE"""),"Middle")</f>
        <v>Middle</v>
      </c>
      <c r="S880" s="5" t="str">
        <f ca="1">IFERROR(__xludf.DUMMYFUNCTION("""COMPUTED_VALUE"""),"Hallway")</f>
        <v>Hallway</v>
      </c>
      <c r="T880" s="5" t="str">
        <f ca="1">IFERROR(__xludf.DUMMYFUNCTION("""COMPUTED_VALUE"""),"Inside School Building")</f>
        <v>Inside School Building</v>
      </c>
      <c r="U880" s="5" t="str">
        <f ca="1">IFERROR(__xludf.DUMMYFUNCTION("""COMPUTED_VALUE"""),"Yes")</f>
        <v>Yes</v>
      </c>
      <c r="V880" s="5" t="str">
        <f ca="1">IFERROR(__xludf.DUMMYFUNCTION("""COMPUTED_VALUE"""),"Morning Classes")</f>
        <v>Morning Classes</v>
      </c>
      <c r="W880" s="10">
        <f ca="1">IFERROR(__xludf.DUMMYFUNCTION("""COMPUTED_VALUE"""),0.333333333333333)</f>
        <v>0.33333333333333298</v>
      </c>
      <c r="X880" s="5"/>
      <c r="Y880" s="5" t="str">
        <f ca="1">IFERROR(__xludf.DUMMYFUNCTION("""COMPUTED_VALUE"""),"14YOM planned attack on the school but was confronted by police on-scene thanks to a tip")</f>
        <v>14YOM planned attack on the school but was confronted by police on-scene thanks to a tip</v>
      </c>
      <c r="Z880" s="5" t="str">
        <f ca="1">IFERROR(__xludf.DUMMYFUNCTION("""COMPUTED_VALUE"""),"14YOM, former student of a school in the district, planned to shoot up the school. Police were tipped off and schools in the area were put in lockdown before shooter and police arrived. Police went straight to the school and found suspect who allegedly sh"&amp;"ot out the glass of a locked entry door to the gain entry. Shooter shot fatally himself shortly after he was engaged by police. An Indiana State Police spokesman says a 14 year-old boy who exchanged gunfire with officers at an eastern Indiana middle schoo"&amp;"l before taking his own life. He was armed with a rifle, a semi-automatic pistol, and materials that could be used to make Molotov cocktails. Extensive planning documents found by police. Intended to kill as many students as possible.
 Mother is charged"&amp;" with 6 felonies. (https://www.aol.com/article/news/2019/10/21/mary-york-school-shooter-mom-dennis-intermediate-school-felony-14 year-old/23843900/)")</f>
        <v>14YOM, former student of a school in the district, planned to shoot up the school. Police were tipped off and schools in the area were put in lockdown before shooter and police arrived. Police went straight to the school and found suspect who allegedly shot out the glass of a locked entry door to the gain entry. Shooter shot fatally himself shortly after he was engaged by police. An Indiana State Police spokesman says a 14 year-old boy who exchanged gunfire with officers at an eastern Indiana middle school before taking his own life. He was armed with a rifle, a semi-automatic pistol, and materials that could be used to make Molotov cocktails. Extensive planning documents found by police. Intended to kill as many students as possible.
 Mother is charged with 6 felonies. (https://www.aol.com/article/news/2019/10/21/mary-york-school-shooter-mom-dennis-intermediate-school-felony-14 year-old/23843900/)</v>
      </c>
      <c r="AA880" s="5" t="str">
        <f ca="1">IFERROR(__xludf.DUMMYFUNCTION("""COMPUTED_VALUE"""),"Indiscriminate Shooting")</f>
        <v>Indiscriminate Shooting</v>
      </c>
      <c r="AB880" s="5"/>
      <c r="AC880" s="5" t="str">
        <f ca="1">IFERROR(__xludf.DUMMYFUNCTION("""COMPUTED_VALUE"""),"No")</f>
        <v>No</v>
      </c>
      <c r="AD880" s="5" t="str">
        <f ca="1">IFERROR(__xludf.DUMMYFUNCTION("""COMPUTED_VALUE"""),"No")</f>
        <v>No</v>
      </c>
      <c r="AE880" s="5" t="str">
        <f ca="1">IFERROR(__xludf.DUMMYFUNCTION("""COMPUTED_VALUE"""),"No")</f>
        <v>No</v>
      </c>
      <c r="AF880" s="5" t="str">
        <f ca="1">IFERROR(__xludf.DUMMYFUNCTION("""COMPUTED_VALUE"""),"No")</f>
        <v>No</v>
      </c>
      <c r="AG880" s="5" t="str">
        <f ca="1">IFERROR(__xludf.DUMMYFUNCTION("""COMPUTED_VALUE"""),"Yes")</f>
        <v>Yes</v>
      </c>
      <c r="AH880" s="5" t="str">
        <f ca="1">IFERROR(__xludf.DUMMYFUNCTION("""COMPUTED_VALUE"""),"No")</f>
        <v>No</v>
      </c>
      <c r="AI880" s="5" t="str">
        <f ca="1">IFERROR(__xludf.DUMMYFUNCTION("""COMPUTED_VALUE"""),"No")</f>
        <v>No</v>
      </c>
      <c r="AJ880" s="5" t="str">
        <f ca="1">IFERROR(__xludf.DUMMYFUNCTION("""COMPUTED_VALUE"""),"Yes")</f>
        <v>Yes</v>
      </c>
    </row>
    <row r="881" spans="1:36" ht="13">
      <c r="A881" s="5" t="str">
        <f ca="1">IFERROR(__xludf.DUMMYFUNCTION("""COMPUTED_VALUE"""),"20181211KYCAC")</f>
        <v>20181211KYCAC</v>
      </c>
      <c r="B881" s="5">
        <f ca="1">IFERROR(__xludf.DUMMYFUNCTION("""COMPUTED_VALUE"""),12)</f>
        <v>12</v>
      </c>
      <c r="C881" s="5">
        <f ca="1">IFERROR(__xludf.DUMMYFUNCTION("""COMPUTED_VALUE"""),11)</f>
        <v>11</v>
      </c>
      <c r="D881" s="5">
        <f ca="1">IFERROR(__xludf.DUMMYFUNCTION("""COMPUTED_VALUE"""),2018)</f>
        <v>2018</v>
      </c>
      <c r="E881" s="8">
        <f ca="1">IFERROR(__xludf.DUMMYFUNCTION("""COMPUTED_VALUE"""),43445)</f>
        <v>43445</v>
      </c>
      <c r="F881" s="5" t="str">
        <f ca="1">IFERROR(__xludf.DUMMYFUNCTION("""COMPUTED_VALUE"""),"Cawood Elementary School")</f>
        <v>Cawood Elementary School</v>
      </c>
      <c r="G881" s="5">
        <f ca="1">IFERROR(__xludf.DUMMYFUNCTION("""COMPUTED_VALUE"""),0)</f>
        <v>0</v>
      </c>
      <c r="H881" s="5">
        <f ca="1">IFERROR(__xludf.DUMMYFUNCTION("""COMPUTED_VALUE"""),2)</f>
        <v>2</v>
      </c>
      <c r="I881" s="5">
        <f ca="1">IFERROR(__xludf.DUMMYFUNCTION("""COMPUTED_VALUE"""),2)</f>
        <v>2</v>
      </c>
      <c r="J881" s="5">
        <f ca="1">IFERROR(__xludf.DUMMYFUNCTION("""COMPUTED_VALUE"""),0)</f>
        <v>0</v>
      </c>
      <c r="K881" s="5" t="str">
        <f ca="1">IFERROR(__xludf.DUMMYFUNCTION("""COMPUTED_VALUE"""),"https://www.wvlt.tv/content/news/Harlan-Co-school-shooting-leaves-two-injured-one-in-critical-condition-502593541.html https://www.wbir.com/article/news/crime/two-injured-in-ky-elementary-school-parking-lot-shooting-ksp-says/51-53b07dbf-18b1-4c83-8941-5a6"&amp;"f209a4975 https://www.wkyt.com/content/news/Fourth-arrest-made-in--503840151.html")</f>
        <v>https://www.wvlt.tv/content/news/Harlan-Co-school-shooting-leaves-two-injured-one-in-critical-condition-502593541.html https://www.wbir.com/article/news/crime/two-injured-in-ky-elementary-school-parking-lot-shooting-ksp-says/51-53b07dbf-18b1-4c83-8941-5a6f209a4975 https://www.wkyt.com/content/news/Fourth-arrest-made-in--503840151.html</v>
      </c>
      <c r="L881" s="5"/>
      <c r="M881" s="5"/>
      <c r="N881" s="5">
        <f ca="1">IFERROR(__xludf.DUMMYFUNCTION("""COMPUTED_VALUE"""),3)</f>
        <v>3</v>
      </c>
      <c r="O881" s="5" t="str">
        <f ca="1">IFERROR(__xludf.DUMMYFUNCTION("""COMPUTED_VALUE"""),"Winter")</f>
        <v>Winter</v>
      </c>
      <c r="P881" s="5" t="str">
        <f ca="1">IFERROR(__xludf.DUMMYFUNCTION("""COMPUTED_VALUE"""),"Cawood")</f>
        <v>Cawood</v>
      </c>
      <c r="Q881" s="5" t="str">
        <f ca="1">IFERROR(__xludf.DUMMYFUNCTION("""COMPUTED_VALUE"""),"KY")</f>
        <v>KY</v>
      </c>
      <c r="R881" s="5" t="str">
        <f ca="1">IFERROR(__xludf.DUMMYFUNCTION("""COMPUTED_VALUE"""),"Elementary")</f>
        <v>Elementary</v>
      </c>
      <c r="S881" s="5" t="str">
        <f ca="1">IFERROR(__xludf.DUMMYFUNCTION("""COMPUTED_VALUE"""),"Parking Lot")</f>
        <v>Parking Lot</v>
      </c>
      <c r="T881" s="5" t="str">
        <f ca="1">IFERROR(__xludf.DUMMYFUNCTION("""COMPUTED_VALUE"""),"Outside on School Property")</f>
        <v>Outside on School Property</v>
      </c>
      <c r="U881" s="5" t="str">
        <f ca="1">IFERROR(__xludf.DUMMYFUNCTION("""COMPUTED_VALUE"""),"No")</f>
        <v>No</v>
      </c>
      <c r="V881" s="5" t="str">
        <f ca="1">IFERROR(__xludf.DUMMYFUNCTION("""COMPUTED_VALUE"""),"Evening")</f>
        <v>Evening</v>
      </c>
      <c r="W881" s="10">
        <f ca="1">IFERROR(__xludf.DUMMYFUNCTION("""COMPUTED_VALUE"""),0.861805555555555)</f>
        <v>0.86180555555555505</v>
      </c>
      <c r="X881" s="5">
        <f ca="1">IFERROR(__xludf.DUMMYFUNCTION("""COMPUTED_VALUE"""),1)</f>
        <v>1</v>
      </c>
      <c r="Y881" s="5" t="str">
        <f ca="1">IFERROR(__xludf.DUMMYFUNCTION("""COMPUTED_VALUE"""),"20YOM and 15YOF shot with pellet gun in parking lot of school")</f>
        <v>20YOM and 15YOF shot with pellet gun in parking lot of school</v>
      </c>
      <c r="Z881" s="5" t="str">
        <f ca="1">IFERROR(__xludf.DUMMYFUNCTION("""COMPUTED_VALUE"""),"20YOM and 15YOF were shot by a pellet gun in the parking lot of the high school. Shooter and victims fled the area. 20YOM was shot in eye and transported to hospital. Building sustained property damage.")</f>
        <v>20YOM and 15YOF were shot by a pellet gun in the parking lot of the high school. Shooter and victims fled the area. 20YOM was shot in eye and transported to hospital. Building sustained property damage.</v>
      </c>
      <c r="AA881" s="5" t="str">
        <f ca="1">IFERROR(__xludf.DUMMYFUNCTION("""COMPUTED_VALUE"""),"Unknown")</f>
        <v>Unknown</v>
      </c>
      <c r="AB881" s="5"/>
      <c r="AC881" s="5" t="str">
        <f ca="1">IFERROR(__xludf.DUMMYFUNCTION("""COMPUTED_VALUE"""),"Yes")</f>
        <v>Yes</v>
      </c>
      <c r="AD881" s="5" t="str">
        <f ca="1">IFERROR(__xludf.DUMMYFUNCTION("""COMPUTED_VALUE"""),"No")</f>
        <v>No</v>
      </c>
      <c r="AE881" s="5" t="str">
        <f ca="1">IFERROR(__xludf.DUMMYFUNCTION("""COMPUTED_VALUE"""),"No")</f>
        <v>No</v>
      </c>
      <c r="AF881" s="5" t="str">
        <f ca="1">IFERROR(__xludf.DUMMYFUNCTION("""COMPUTED_VALUE"""),"No")</f>
        <v>No</v>
      </c>
      <c r="AG881" s="5" t="str">
        <f ca="1">IFERROR(__xludf.DUMMYFUNCTION("""COMPUTED_VALUE"""),"No")</f>
        <v>No</v>
      </c>
      <c r="AH881" s="5" t="str">
        <f ca="1">IFERROR(__xludf.DUMMYFUNCTION("""COMPUTED_VALUE"""),"No")</f>
        <v>No</v>
      </c>
      <c r="AI881" s="5" t="str">
        <f ca="1">IFERROR(__xludf.DUMMYFUNCTION("""COMPUTED_VALUE"""),"No")</f>
        <v>No</v>
      </c>
      <c r="AJ881" s="5" t="str">
        <f ca="1">IFERROR(__xludf.DUMMYFUNCTION("""COMPUTED_VALUE"""),"No")</f>
        <v>No</v>
      </c>
    </row>
    <row r="882" spans="1:36" ht="13">
      <c r="A882" s="5" t="str">
        <f ca="1">IFERROR(__xludf.DUMMYFUNCTION("""COMPUTED_VALUE"""),"20181210NYJEJ")</f>
        <v>20181210NYJEJ</v>
      </c>
      <c r="B882" s="5">
        <f ca="1">IFERROR(__xludf.DUMMYFUNCTION("""COMPUTED_VALUE"""),12)</f>
        <v>12</v>
      </c>
      <c r="C882" s="5">
        <f ca="1">IFERROR(__xludf.DUMMYFUNCTION("""COMPUTED_VALUE"""),10)</f>
        <v>10</v>
      </c>
      <c r="D882" s="5">
        <f ca="1">IFERROR(__xludf.DUMMYFUNCTION("""COMPUTED_VALUE"""),2018)</f>
        <v>2018</v>
      </c>
      <c r="E882" s="8">
        <f ca="1">IFERROR(__xludf.DUMMYFUNCTION("""COMPUTED_VALUE"""),43444)</f>
        <v>43444</v>
      </c>
      <c r="F882" s="5" t="str">
        <f ca="1">IFERROR(__xludf.DUMMYFUNCTION("""COMPUTED_VALUE"""),"Jefferson High School")</f>
        <v>Jefferson High School</v>
      </c>
      <c r="G882" s="5">
        <f ca="1">IFERROR(__xludf.DUMMYFUNCTION("""COMPUTED_VALUE"""),0)</f>
        <v>0</v>
      </c>
      <c r="H882" s="5">
        <f ca="1">IFERROR(__xludf.DUMMYFUNCTION("""COMPUTED_VALUE"""),0)</f>
        <v>0</v>
      </c>
      <c r="I882" s="5">
        <f ca="1">IFERROR(__xludf.DUMMYFUNCTION("""COMPUTED_VALUE"""),0)</f>
        <v>0</v>
      </c>
      <c r="J882" s="5">
        <f ca="1">IFERROR(__xludf.DUMMYFUNCTION("""COMPUTED_VALUE"""),1)</f>
        <v>1</v>
      </c>
      <c r="K882" s="9" t="str">
        <f ca="1">IFERROR(__xludf.DUMMYFUNCTION("""COMPUTED_VALUE"""),"https://democratherald.com/news/local/sheriff-death-of-teen-in-jefferson-apparently-suicide/article_3eb0d660-a01e-55d9-8d38-076025be56cb.html")</f>
        <v>https://democratherald.com/news/local/sheriff-death-of-teen-in-jefferson-apparently-suicide/article_3eb0d660-a01e-55d9-8d38-076025be56cb.html</v>
      </c>
      <c r="L882" s="5"/>
      <c r="M882" s="5"/>
      <c r="N882" s="5">
        <f ca="1">IFERROR(__xludf.DUMMYFUNCTION("""COMPUTED_VALUE"""),3)</f>
        <v>3</v>
      </c>
      <c r="O882" s="5" t="str">
        <f ca="1">IFERROR(__xludf.DUMMYFUNCTION("""COMPUTED_VALUE"""),"Winter")</f>
        <v>Winter</v>
      </c>
      <c r="P882" s="5" t="str">
        <f ca="1">IFERROR(__xludf.DUMMYFUNCTION("""COMPUTED_VALUE"""),"Jefferson")</f>
        <v>Jefferson</v>
      </c>
      <c r="Q882" s="5" t="str">
        <f ca="1">IFERROR(__xludf.DUMMYFUNCTION("""COMPUTED_VALUE"""),"NY")</f>
        <v>NY</v>
      </c>
      <c r="R882" s="5" t="str">
        <f ca="1">IFERROR(__xludf.DUMMYFUNCTION("""COMPUTED_VALUE"""),"High")</f>
        <v>High</v>
      </c>
      <c r="S882" s="5" t="str">
        <f ca="1">IFERROR(__xludf.DUMMYFUNCTION("""COMPUTED_VALUE"""),"Field (General)")</f>
        <v>Field (General)</v>
      </c>
      <c r="T882" s="5" t="str">
        <f ca="1">IFERROR(__xludf.DUMMYFUNCTION("""COMPUTED_VALUE"""),"Outside on School Property")</f>
        <v>Outside on School Property</v>
      </c>
      <c r="U882" s="5" t="str">
        <f ca="1">IFERROR(__xludf.DUMMYFUNCTION("""COMPUTED_VALUE"""),"Yes")</f>
        <v>Yes</v>
      </c>
      <c r="V882" s="5" t="str">
        <f ca="1">IFERROR(__xludf.DUMMYFUNCTION("""COMPUTED_VALUE"""),"Morning Classes")</f>
        <v>Morning Classes</v>
      </c>
      <c r="W882" s="10">
        <f ca="1">IFERROR(__xludf.DUMMYFUNCTION("""COMPUTED_VALUE"""),0.409027777777777)</f>
        <v>0.40902777777777699</v>
      </c>
      <c r="X882" s="5">
        <f ca="1">IFERROR(__xludf.DUMMYFUNCTION("""COMPUTED_VALUE"""),1)</f>
        <v>1</v>
      </c>
      <c r="Y882" s="5" t="str">
        <f ca="1">IFERROR(__xludf.DUMMYFUNCTION("""COMPUTED_VALUE"""),"Student commit suicide on baseball field")</f>
        <v>Student commit suicide on baseball field</v>
      </c>
      <c r="Z882" s="5" t="str">
        <f ca="1">IFERROR(__xludf.DUMMYFUNCTION("""COMPUTED_VALUE"""),"17YOM student commit suicide on the school baseball field during morning classes. School was locked down for 4 hours then dismissed.")</f>
        <v>17YOM student commit suicide on the school baseball field during morning classes. School was locked down for 4 hours then dismissed.</v>
      </c>
      <c r="AA882" s="5" t="str">
        <f ca="1">IFERROR(__xludf.DUMMYFUNCTION("""COMPUTED_VALUE"""),"Suicide/Attempted")</f>
        <v>Suicide/Attempted</v>
      </c>
      <c r="AB882" s="5" t="str">
        <f ca="1">IFERROR(__xludf.DUMMYFUNCTION("""COMPUTED_VALUE"""),"Victims Targeted")</f>
        <v>Victims Targeted</v>
      </c>
      <c r="AC882" s="5" t="str">
        <f ca="1">IFERROR(__xludf.DUMMYFUNCTION("""COMPUTED_VALUE"""),"No")</f>
        <v>No</v>
      </c>
      <c r="AD882" s="5" t="str">
        <f ca="1">IFERROR(__xludf.DUMMYFUNCTION("""COMPUTED_VALUE"""),"No")</f>
        <v>No</v>
      </c>
      <c r="AE882" s="5" t="str">
        <f ca="1">IFERROR(__xludf.DUMMYFUNCTION("""COMPUTED_VALUE"""),"No")</f>
        <v>No</v>
      </c>
      <c r="AF882" s="5" t="str">
        <f ca="1">IFERROR(__xludf.DUMMYFUNCTION("""COMPUTED_VALUE"""),"No")</f>
        <v>No</v>
      </c>
      <c r="AG882" s="5"/>
      <c r="AH882" s="5" t="str">
        <f ca="1">IFERROR(__xludf.DUMMYFUNCTION("""COMPUTED_VALUE"""),"No")</f>
        <v>No</v>
      </c>
      <c r="AI882" s="5" t="str">
        <f ca="1">IFERROR(__xludf.DUMMYFUNCTION("""COMPUTED_VALUE"""),"No")</f>
        <v>No</v>
      </c>
      <c r="AJ882" s="5" t="str">
        <f ca="1">IFERROR(__xludf.DUMMYFUNCTION("""COMPUTED_VALUE"""),"No")</f>
        <v>No</v>
      </c>
    </row>
    <row r="883" spans="1:36" ht="13">
      <c r="A883" s="5" t="str">
        <f ca="1">IFERROR(__xludf.DUMMYFUNCTION("""COMPUTED_VALUE"""),"20181128PASTP")</f>
        <v>20181128PASTP</v>
      </c>
      <c r="B883" s="5">
        <f ca="1">IFERROR(__xludf.DUMMYFUNCTION("""COMPUTED_VALUE"""),11)</f>
        <v>11</v>
      </c>
      <c r="C883" s="5">
        <f ca="1">IFERROR(__xludf.DUMMYFUNCTION("""COMPUTED_VALUE"""),28)</f>
        <v>28</v>
      </c>
      <c r="D883" s="5">
        <f ca="1">IFERROR(__xludf.DUMMYFUNCTION("""COMPUTED_VALUE"""),2018)</f>
        <v>2018</v>
      </c>
      <c r="E883" s="8">
        <f ca="1">IFERROR(__xludf.DUMMYFUNCTION("""COMPUTED_VALUE"""),43432)</f>
        <v>43432</v>
      </c>
      <c r="F883" s="5" t="str">
        <f ca="1">IFERROR(__xludf.DUMMYFUNCTION("""COMPUTED_VALUE"""),"Strawberry Mansion High School")</f>
        <v>Strawberry Mansion High School</v>
      </c>
      <c r="G883" s="5">
        <f ca="1">IFERROR(__xludf.DUMMYFUNCTION("""COMPUTED_VALUE"""),0)</f>
        <v>0</v>
      </c>
      <c r="H883" s="5">
        <f ca="1">IFERROR(__xludf.DUMMYFUNCTION("""COMPUTED_VALUE"""),0)</f>
        <v>0</v>
      </c>
      <c r="I883" s="5">
        <f ca="1">IFERROR(__xludf.DUMMYFUNCTION("""COMPUTED_VALUE"""),0)</f>
        <v>0</v>
      </c>
      <c r="J883" s="5">
        <f ca="1">IFERROR(__xludf.DUMMYFUNCTION("""COMPUTED_VALUE"""),0)</f>
        <v>0</v>
      </c>
      <c r="K883" s="9" t="str">
        <f ca="1">IFERROR(__xludf.DUMMYFUNCTION("""COMPUTED_VALUE"""),"https://www.nbcphiladelphia.com/news/local/Stray-Bullet-Strawberry-Mansion-High-School-Lockdown-Shooting--501474831.html")</f>
        <v>https://www.nbcphiladelphia.com/news/local/Stray-Bullet-Strawberry-Mansion-High-School-Lockdown-Shooting--501474831.html</v>
      </c>
      <c r="L883" s="5"/>
      <c r="M883" s="5"/>
      <c r="N883" s="5">
        <f ca="1">IFERROR(__xludf.DUMMYFUNCTION("""COMPUTED_VALUE"""),3)</f>
        <v>3</v>
      </c>
      <c r="O883" s="5" t="str">
        <f ca="1">IFERROR(__xludf.DUMMYFUNCTION("""COMPUTED_VALUE"""),"Fall")</f>
        <v>Fall</v>
      </c>
      <c r="P883" s="5" t="str">
        <f ca="1">IFERROR(__xludf.DUMMYFUNCTION("""COMPUTED_VALUE"""),"Philadelphia")</f>
        <v>Philadelphia</v>
      </c>
      <c r="Q883" s="5" t="str">
        <f ca="1">IFERROR(__xludf.DUMMYFUNCTION("""COMPUTED_VALUE"""),"PA")</f>
        <v>PA</v>
      </c>
      <c r="R883" s="5" t="str">
        <f ca="1">IFERROR(__xludf.DUMMYFUNCTION("""COMPUTED_VALUE"""),"High")</f>
        <v>High</v>
      </c>
      <c r="S883" s="5" t="str">
        <f ca="1">IFERROR(__xludf.DUMMYFUNCTION("""COMPUTED_VALUE"""),"Other")</f>
        <v>Other</v>
      </c>
      <c r="T883" s="5" t="str">
        <f ca="1">IFERROR(__xludf.DUMMYFUNCTION("""COMPUTED_VALUE"""),"Off School Property")</f>
        <v>Off School Property</v>
      </c>
      <c r="U883" s="5" t="str">
        <f ca="1">IFERROR(__xludf.DUMMYFUNCTION("""COMPUTED_VALUE"""),"No")</f>
        <v>No</v>
      </c>
      <c r="V883" s="5" t="str">
        <f ca="1">IFERROR(__xludf.DUMMYFUNCTION("""COMPUTED_VALUE"""),"After School")</f>
        <v>After School</v>
      </c>
      <c r="W883" s="10">
        <f ca="1">IFERROR(__xludf.DUMMYFUNCTION("""COMPUTED_VALUE"""),0.645833333333333)</f>
        <v>0.64583333333333304</v>
      </c>
      <c r="X883" s="5">
        <f ca="1">IFERROR(__xludf.DUMMYFUNCTION("""COMPUTED_VALUE"""),1)</f>
        <v>1</v>
      </c>
      <c r="Y883" s="5" t="str">
        <f ca="1">IFERROR(__xludf.DUMMYFUNCTION("""COMPUTED_VALUE"""),"Stray bullet broke window of school, school locked down")</f>
        <v>Stray bullet broke window of school, school locked down</v>
      </c>
      <c r="Z883" s="5" t="str">
        <f ca="1">IFERROR(__xludf.DUMMYFUNCTION("""COMPUTED_VALUE"""),"Bullet broke window of school. No injuries to students inside. School was locked down. Police do not believe the school was targeted (stray shot). Two other shootings were reported in the neighborhood near the school the same afternoon.")</f>
        <v>Bullet broke window of school. No injuries to students inside. School was locked down. Police do not believe the school was targeted (stray shot). Two other shootings were reported in the neighborhood near the school the same afternoon.</v>
      </c>
      <c r="AA883" s="5" t="str">
        <f ca="1">IFERROR(__xludf.DUMMYFUNCTION("""COMPUTED_VALUE"""),"Unknown")</f>
        <v>Unknown</v>
      </c>
      <c r="AB883" s="5" t="str">
        <f ca="1">IFERROR(__xludf.DUMMYFUNCTION("""COMPUTED_VALUE"""),"Neither")</f>
        <v>Neither</v>
      </c>
      <c r="AC883" s="5"/>
      <c r="AD883" s="5" t="str">
        <f ca="1">IFERROR(__xludf.DUMMYFUNCTION("""COMPUTED_VALUE"""),"No")</f>
        <v>No</v>
      </c>
      <c r="AE883" s="5" t="str">
        <f ca="1">IFERROR(__xludf.DUMMYFUNCTION("""COMPUTED_VALUE"""),"No")</f>
        <v>No</v>
      </c>
      <c r="AF883" s="5" t="str">
        <f ca="1">IFERROR(__xludf.DUMMYFUNCTION("""COMPUTED_VALUE"""),"No")</f>
        <v>No</v>
      </c>
      <c r="AG883" s="5" t="str">
        <f ca="1">IFERROR(__xludf.DUMMYFUNCTION("""COMPUTED_VALUE"""),"No")</f>
        <v>No</v>
      </c>
      <c r="AH883" s="5" t="str">
        <f ca="1">IFERROR(__xludf.DUMMYFUNCTION("""COMPUTED_VALUE"""),"No")</f>
        <v>No</v>
      </c>
      <c r="AI883" s="5"/>
      <c r="AJ883" s="5" t="str">
        <f ca="1">IFERROR(__xludf.DUMMYFUNCTION("""COMPUTED_VALUE"""),"No")</f>
        <v>No</v>
      </c>
    </row>
    <row r="884" spans="1:36" ht="13">
      <c r="A884" s="5" t="str">
        <f ca="1">IFERROR(__xludf.DUMMYFUNCTION("""COMPUTED_VALUE"""),"20181124OHAFC")</f>
        <v>20181124OHAFC</v>
      </c>
      <c r="B884" s="5">
        <f ca="1">IFERROR(__xludf.DUMMYFUNCTION("""COMPUTED_VALUE"""),11)</f>
        <v>11</v>
      </c>
      <c r="C884" s="5">
        <f ca="1">IFERROR(__xludf.DUMMYFUNCTION("""COMPUTED_VALUE"""),24)</f>
        <v>24</v>
      </c>
      <c r="D884" s="5">
        <f ca="1">IFERROR(__xludf.DUMMYFUNCTION("""COMPUTED_VALUE"""),2018)</f>
        <v>2018</v>
      </c>
      <c r="E884" s="8">
        <f ca="1">IFERROR(__xludf.DUMMYFUNCTION("""COMPUTED_VALUE"""),43428)</f>
        <v>43428</v>
      </c>
      <c r="F884" s="5" t="str">
        <f ca="1">IFERROR(__xludf.DUMMYFUNCTION("""COMPUTED_VALUE"""),"Africentric Early College High School")</f>
        <v>Africentric Early College High School</v>
      </c>
      <c r="G884" s="5">
        <f ca="1">IFERROR(__xludf.DUMMYFUNCTION("""COMPUTED_VALUE"""),0)</f>
        <v>0</v>
      </c>
      <c r="H884" s="5">
        <f ca="1">IFERROR(__xludf.DUMMYFUNCTION("""COMPUTED_VALUE"""),2)</f>
        <v>2</v>
      </c>
      <c r="I884" s="5">
        <f ca="1">IFERROR(__xludf.DUMMYFUNCTION("""COMPUTED_VALUE"""),2)</f>
        <v>2</v>
      </c>
      <c r="J884" s="5">
        <f ca="1">IFERROR(__xludf.DUMMYFUNCTION("""COMPUTED_VALUE"""),0)</f>
        <v>0</v>
      </c>
      <c r="K884" s="9" t="str">
        <f ca="1">IFERROR(__xludf.DUMMYFUNCTION("""COMPUTED_VALUE"""),"https://abc6onyourside.com/news/local/police-investigating-double-shooting-at-africentric-high-school")</f>
        <v>https://abc6onyourside.com/news/local/police-investigating-double-shooting-at-africentric-high-school</v>
      </c>
      <c r="L884" s="5"/>
      <c r="M884" s="5"/>
      <c r="N884" s="5">
        <f ca="1">IFERROR(__xludf.DUMMYFUNCTION("""COMPUTED_VALUE"""),3)</f>
        <v>3</v>
      </c>
      <c r="O884" s="5" t="str">
        <f ca="1">IFERROR(__xludf.DUMMYFUNCTION("""COMPUTED_VALUE"""),"Fall")</f>
        <v>Fall</v>
      </c>
      <c r="P884" s="5" t="str">
        <f ca="1">IFERROR(__xludf.DUMMYFUNCTION("""COMPUTED_VALUE"""),"Columbus")</f>
        <v>Columbus</v>
      </c>
      <c r="Q884" s="5" t="str">
        <f ca="1">IFERROR(__xludf.DUMMYFUNCTION("""COMPUTED_VALUE"""),"OH")</f>
        <v>OH</v>
      </c>
      <c r="R884" s="5" t="str">
        <f ca="1">IFERROR(__xludf.DUMMYFUNCTION("""COMPUTED_VALUE"""),"K-12")</f>
        <v>K-12</v>
      </c>
      <c r="S884" s="5" t="str">
        <f ca="1">IFERROR(__xludf.DUMMYFUNCTION("""COMPUTED_VALUE"""),"Outside on School Property")</f>
        <v>Outside on School Property</v>
      </c>
      <c r="T884" s="5" t="str">
        <f ca="1">IFERROR(__xludf.DUMMYFUNCTION("""COMPUTED_VALUE"""),"Outside on School Property")</f>
        <v>Outside on School Property</v>
      </c>
      <c r="U884" s="5" t="str">
        <f ca="1">IFERROR(__xludf.DUMMYFUNCTION("""COMPUTED_VALUE"""),"No")</f>
        <v>No</v>
      </c>
      <c r="V884" s="5" t="str">
        <f ca="1">IFERROR(__xludf.DUMMYFUNCTION("""COMPUTED_VALUE"""),"Not a School Day")</f>
        <v>Not a School Day</v>
      </c>
      <c r="W884" s="10">
        <f ca="1">IFERROR(__xludf.DUMMYFUNCTION("""COMPUTED_VALUE"""),0.75)</f>
        <v>0.75</v>
      </c>
      <c r="X884" s="5">
        <f ca="1">IFERROR(__xludf.DUMMYFUNCTION("""COMPUTED_VALUE"""),1)</f>
        <v>1</v>
      </c>
      <c r="Y884" s="5" t="str">
        <f ca="1">IFERROR(__xludf.DUMMYFUNCTION("""COMPUTED_VALUE"""),"Two adult men shot in fight outside of school during weekend night")</f>
        <v>Two adult men shot in fight outside of school during weekend night</v>
      </c>
      <c r="Z884" s="5" t="str">
        <f ca="1">IFERROR(__xludf.DUMMYFUNCTION("""COMPUTED_VALUE"""),"Two adult males were shot following large fight on the school property. School was not in session. Fight occurred on weekend night. Shooter fled.")</f>
        <v>Two adult males were shot following large fight on the school property. School was not in session. Fight occurred on weekend night. Shooter fled.</v>
      </c>
      <c r="AA884" s="5" t="str">
        <f ca="1">IFERROR(__xludf.DUMMYFUNCTION("""COMPUTED_VALUE"""),"Escalation of Dispute")</f>
        <v>Escalation of Dispute</v>
      </c>
      <c r="AB884" s="5" t="str">
        <f ca="1">IFERROR(__xludf.DUMMYFUNCTION("""COMPUTED_VALUE"""),"Victims Targeted")</f>
        <v>Victims Targeted</v>
      </c>
      <c r="AC884" s="5"/>
      <c r="AD884" s="5" t="str">
        <f ca="1">IFERROR(__xludf.DUMMYFUNCTION("""COMPUTED_VALUE"""),"No")</f>
        <v>No</v>
      </c>
      <c r="AE884" s="5" t="str">
        <f ca="1">IFERROR(__xludf.DUMMYFUNCTION("""COMPUTED_VALUE"""),"No")</f>
        <v>No</v>
      </c>
      <c r="AF884" s="5" t="str">
        <f ca="1">IFERROR(__xludf.DUMMYFUNCTION("""COMPUTED_VALUE"""),"No")</f>
        <v>No</v>
      </c>
      <c r="AG884" s="5" t="str">
        <f ca="1">IFERROR(__xludf.DUMMYFUNCTION("""COMPUTED_VALUE"""),"No")</f>
        <v>No</v>
      </c>
      <c r="AH884" s="5" t="str">
        <f ca="1">IFERROR(__xludf.DUMMYFUNCTION("""COMPUTED_VALUE"""),"No")</f>
        <v>No</v>
      </c>
      <c r="AI884" s="5" t="str">
        <f ca="1">IFERROR(__xludf.DUMMYFUNCTION("""COMPUTED_VALUE"""),"No")</f>
        <v>No</v>
      </c>
      <c r="AJ884" s="5" t="str">
        <f ca="1">IFERROR(__xludf.DUMMYFUNCTION("""COMPUTED_VALUE"""),"No")</f>
        <v>No</v>
      </c>
    </row>
    <row r="885" spans="1:36" ht="13">
      <c r="A885" s="5" t="str">
        <f ca="1">IFERROR(__xludf.DUMMYFUNCTION("""COMPUTED_VALUE"""),"20181122TXSKD")</f>
        <v>20181122TXSKD</v>
      </c>
      <c r="B885" s="5">
        <f ca="1">IFERROR(__xludf.DUMMYFUNCTION("""COMPUTED_VALUE"""),11)</f>
        <v>11</v>
      </c>
      <c r="C885" s="5">
        <f ca="1">IFERROR(__xludf.DUMMYFUNCTION("""COMPUTED_VALUE"""),22)</f>
        <v>22</v>
      </c>
      <c r="D885" s="5">
        <f ca="1">IFERROR(__xludf.DUMMYFUNCTION("""COMPUTED_VALUE"""),2018)</f>
        <v>2018</v>
      </c>
      <c r="E885" s="8">
        <f ca="1">IFERROR(__xludf.DUMMYFUNCTION("""COMPUTED_VALUE"""),43426)</f>
        <v>43426</v>
      </c>
      <c r="F885" s="5" t="str">
        <f ca="1">IFERROR(__xludf.DUMMYFUNCTION("""COMPUTED_VALUE"""),"Skyline High School")</f>
        <v>Skyline High School</v>
      </c>
      <c r="G885" s="5">
        <f ca="1">IFERROR(__xludf.DUMMYFUNCTION("""COMPUTED_VALUE"""),1)</f>
        <v>1</v>
      </c>
      <c r="H885" s="5">
        <f ca="1">IFERROR(__xludf.DUMMYFUNCTION("""COMPUTED_VALUE"""),0)</f>
        <v>0</v>
      </c>
      <c r="I885" s="5">
        <f ca="1">IFERROR(__xludf.DUMMYFUNCTION("""COMPUTED_VALUE"""),1)</f>
        <v>1</v>
      </c>
      <c r="J885" s="5">
        <f ca="1">IFERROR(__xludf.DUMMYFUNCTION("""COMPUTED_VALUE"""),0)</f>
        <v>0</v>
      </c>
      <c r="K885" s="5" t="str">
        <f ca="1">IFERROR(__xludf.DUMMYFUNCTION("""COMPUTED_VALUE"""),"https://www.dallasnews.com/news/crime/2018/11/22/17-year-old-shot-outside-skyline-high-school-3-suspects-large https://www.nbcdfw.com/news/local/Teen-Shot-to-Death-Near-High-School-on-Thanksgiving-Day-in-Dallas-501136842.html")</f>
        <v>https://www.dallasnews.com/news/crime/2018/11/22/17-year-old-shot-outside-skyline-high-school-3-suspects-large https://www.nbcdfw.com/news/local/Teen-Shot-to-Death-Near-High-School-on-Thanksgiving-Day-in-Dallas-501136842.html</v>
      </c>
      <c r="L885" s="5"/>
      <c r="M885" s="5"/>
      <c r="N885" s="5">
        <f ca="1">IFERROR(__xludf.DUMMYFUNCTION("""COMPUTED_VALUE"""),3)</f>
        <v>3</v>
      </c>
      <c r="O885" s="5" t="str">
        <f ca="1">IFERROR(__xludf.DUMMYFUNCTION("""COMPUTED_VALUE"""),"Fall")</f>
        <v>Fall</v>
      </c>
      <c r="P885" s="5" t="str">
        <f ca="1">IFERROR(__xludf.DUMMYFUNCTION("""COMPUTED_VALUE"""),"Dallas")</f>
        <v>Dallas</v>
      </c>
      <c r="Q885" s="5" t="str">
        <f ca="1">IFERROR(__xludf.DUMMYFUNCTION("""COMPUTED_VALUE"""),"TX")</f>
        <v>TX</v>
      </c>
      <c r="R885" s="5" t="str">
        <f ca="1">IFERROR(__xludf.DUMMYFUNCTION("""COMPUTED_VALUE"""),"High")</f>
        <v>High</v>
      </c>
      <c r="S885" s="5" t="str">
        <f ca="1">IFERROR(__xludf.DUMMYFUNCTION("""COMPUTED_VALUE"""),"Front of School")</f>
        <v>Front of School</v>
      </c>
      <c r="T885" s="5" t="str">
        <f ca="1">IFERROR(__xludf.DUMMYFUNCTION("""COMPUTED_VALUE"""),"Outside on School Property")</f>
        <v>Outside on School Property</v>
      </c>
      <c r="U885" s="5" t="str">
        <f ca="1">IFERROR(__xludf.DUMMYFUNCTION("""COMPUTED_VALUE"""),"No")</f>
        <v>No</v>
      </c>
      <c r="V885" s="5" t="str">
        <f ca="1">IFERROR(__xludf.DUMMYFUNCTION("""COMPUTED_VALUE"""),"Not a School Day")</f>
        <v>Not a School Day</v>
      </c>
      <c r="W885" s="10">
        <f ca="1">IFERROR(__xludf.DUMMYFUNCTION("""COMPUTED_VALUE"""),0.395833333333333)</f>
        <v>0.39583333333333298</v>
      </c>
      <c r="X885" s="5">
        <f ca="1">IFERROR(__xludf.DUMMYFUNCTION("""COMPUTED_VALUE"""),1)</f>
        <v>1</v>
      </c>
      <c r="Y885" s="5" t="str">
        <f ca="1">IFERROR(__xludf.DUMMYFUNCTION("""COMPUTED_VALUE"""),"17YOM shot outside of school building")</f>
        <v>17YOM shot outside of school building</v>
      </c>
      <c r="Z885" s="5" t="str">
        <f ca="1">IFERROR(__xludf.DUMMYFUNCTION("""COMPUTED_VALUE"""),"17YOM (Latino) shot outside of school building. School was not in session (Thanksgiving). Three young males (black) were seen running from the area following the shooting.")</f>
        <v>17YOM (Latino) shot outside of school building. School was not in session (Thanksgiving). Three young males (black) were seen running from the area following the shooting.</v>
      </c>
      <c r="AA885" s="5" t="str">
        <f ca="1">IFERROR(__xludf.DUMMYFUNCTION("""COMPUTED_VALUE"""),"Escalation of Dispute")</f>
        <v>Escalation of Dispute</v>
      </c>
      <c r="AB885" s="5" t="str">
        <f ca="1">IFERROR(__xludf.DUMMYFUNCTION("""COMPUTED_VALUE"""),"Victims Targeted")</f>
        <v>Victims Targeted</v>
      </c>
      <c r="AC885" s="5" t="str">
        <f ca="1">IFERROR(__xludf.DUMMYFUNCTION("""COMPUTED_VALUE"""),"Yes")</f>
        <v>Yes</v>
      </c>
      <c r="AD885" s="5" t="str">
        <f ca="1">IFERROR(__xludf.DUMMYFUNCTION("""COMPUTED_VALUE"""),"No")</f>
        <v>No</v>
      </c>
      <c r="AE885" s="5" t="str">
        <f ca="1">IFERROR(__xludf.DUMMYFUNCTION("""COMPUTED_VALUE"""),"No")</f>
        <v>No</v>
      </c>
      <c r="AF885" s="5" t="str">
        <f ca="1">IFERROR(__xludf.DUMMYFUNCTION("""COMPUTED_VALUE"""),"No")</f>
        <v>No</v>
      </c>
      <c r="AG885" s="5" t="str">
        <f ca="1">IFERROR(__xludf.DUMMYFUNCTION("""COMPUTED_VALUE"""),"No")</f>
        <v>No</v>
      </c>
      <c r="AH885" s="5" t="str">
        <f ca="1">IFERROR(__xludf.DUMMYFUNCTION("""COMPUTED_VALUE"""),"No")</f>
        <v>No</v>
      </c>
      <c r="AI885" s="5"/>
      <c r="AJ885" s="5" t="str">
        <f ca="1">IFERROR(__xludf.DUMMYFUNCTION("""COMPUTED_VALUE"""),"No")</f>
        <v>No</v>
      </c>
    </row>
    <row r="886" spans="1:36" ht="13">
      <c r="A886" s="5" t="str">
        <f ca="1">IFERROR(__xludf.DUMMYFUNCTION("""COMPUTED_VALUE"""),"20181122WAMOD")</f>
        <v>20181122WAMOD</v>
      </c>
      <c r="B886" s="5">
        <f ca="1">IFERROR(__xludf.DUMMYFUNCTION("""COMPUTED_VALUE"""),11)</f>
        <v>11</v>
      </c>
      <c r="C886" s="5">
        <f ca="1">IFERROR(__xludf.DUMMYFUNCTION("""COMPUTED_VALUE"""),22)</f>
        <v>22</v>
      </c>
      <c r="D886" s="5">
        <f ca="1">IFERROR(__xludf.DUMMYFUNCTION("""COMPUTED_VALUE"""),2018)</f>
        <v>2018</v>
      </c>
      <c r="E886" s="8">
        <f ca="1">IFERROR(__xludf.DUMMYFUNCTION("""COMPUTED_VALUE"""),43426)</f>
        <v>43426</v>
      </c>
      <c r="F886" s="5" t="str">
        <f ca="1">IFERROR(__xludf.DUMMYFUNCTION("""COMPUTED_VALUE"""),"Mount Rainier High School")</f>
        <v>Mount Rainier High School</v>
      </c>
      <c r="G886" s="5">
        <f ca="1">IFERROR(__xludf.DUMMYFUNCTION("""COMPUTED_VALUE"""),0)</f>
        <v>0</v>
      </c>
      <c r="H886" s="5">
        <f ca="1">IFERROR(__xludf.DUMMYFUNCTION("""COMPUTED_VALUE"""),1)</f>
        <v>1</v>
      </c>
      <c r="I886" s="5">
        <f ca="1">IFERROR(__xludf.DUMMYFUNCTION("""COMPUTED_VALUE"""),1)</f>
        <v>1</v>
      </c>
      <c r="J886" s="5">
        <f ca="1">IFERROR(__xludf.DUMMYFUNCTION("""COMPUTED_VALUE"""),0)</f>
        <v>0</v>
      </c>
      <c r="K886" s="5" t="str">
        <f ca="1">IFERROR(__xludf.DUMMYFUNCTION("""COMPUTED_VALUE"""),"https://komonews.com/news/local/football-game-ends-in-shooting-in-des-moines-man-critically-wounded https://q13fox.com/2018/11/22/man-in-critical-condition-after-shooting-at-mount-rainier-high-school-football-field/")</f>
        <v>https://komonews.com/news/local/football-game-ends-in-shooting-in-des-moines-man-critically-wounded https://q13fox.com/2018/11/22/man-in-critical-condition-after-shooting-at-mount-rainier-high-school-football-field/</v>
      </c>
      <c r="L886" s="5"/>
      <c r="M886" s="5"/>
      <c r="N886" s="5">
        <f ca="1">IFERROR(__xludf.DUMMYFUNCTION("""COMPUTED_VALUE"""),3)</f>
        <v>3</v>
      </c>
      <c r="O886" s="5" t="str">
        <f ca="1">IFERROR(__xludf.DUMMYFUNCTION("""COMPUTED_VALUE"""),"Fall")</f>
        <v>Fall</v>
      </c>
      <c r="P886" s="5" t="str">
        <f ca="1">IFERROR(__xludf.DUMMYFUNCTION("""COMPUTED_VALUE"""),"Des Moines")</f>
        <v>Des Moines</v>
      </c>
      <c r="Q886" s="5" t="str">
        <f ca="1">IFERROR(__xludf.DUMMYFUNCTION("""COMPUTED_VALUE"""),"WA")</f>
        <v>WA</v>
      </c>
      <c r="R886" s="5" t="str">
        <f ca="1">IFERROR(__xludf.DUMMYFUNCTION("""COMPUTED_VALUE"""),"High")</f>
        <v>High</v>
      </c>
      <c r="S886" s="5" t="str">
        <f ca="1">IFERROR(__xludf.DUMMYFUNCTION("""COMPUTED_VALUE"""),"Football Field/Track")</f>
        <v>Football Field/Track</v>
      </c>
      <c r="T886" s="5" t="str">
        <f ca="1">IFERROR(__xludf.DUMMYFUNCTION("""COMPUTED_VALUE"""),"Outside on School Property")</f>
        <v>Outside on School Property</v>
      </c>
      <c r="U886" s="5" t="str">
        <f ca="1">IFERROR(__xludf.DUMMYFUNCTION("""COMPUTED_VALUE"""),"No")</f>
        <v>No</v>
      </c>
      <c r="V886" s="5" t="str">
        <f ca="1">IFERROR(__xludf.DUMMYFUNCTION("""COMPUTED_VALUE"""),"Sport Event")</f>
        <v>Sport Event</v>
      </c>
      <c r="W886" s="10">
        <f ca="1">IFERROR(__xludf.DUMMYFUNCTION("""COMPUTED_VALUE"""),0.5)</f>
        <v>0.5</v>
      </c>
      <c r="X886" s="5">
        <f ca="1">IFERROR(__xludf.DUMMYFUNCTION("""COMPUTED_VALUE"""),1)</f>
        <v>1</v>
      </c>
      <c r="Y886" s="5" t="str">
        <f ca="1">IFERROR(__xludf.DUMMYFUNCTION("""COMPUTED_VALUE"""),"Man shot during argument following pick-up football game")</f>
        <v>Man shot during argument following pick-up football game</v>
      </c>
      <c r="Z886" s="5" t="str">
        <f ca="1">IFERROR(__xludf.DUMMYFUNCTION("""COMPUTED_VALUE"""),"21YOM was shot during argument following pick-up football game on the football field of the school. School was not in session (Thanksgiving). Gun was flashed during the game and the shooting occurred after the game had concluded. Shooter fled the area in "&amp;"vehicle before police arrived.")</f>
        <v>21YOM was shot during argument following pick-up football game on the football field of the school. School was not in session (Thanksgiving). Gun was flashed during the game and the shooting occurred after the game had concluded. Shooter fled the area in vehicle before police arrived.</v>
      </c>
      <c r="AA886" s="5" t="str">
        <f ca="1">IFERROR(__xludf.DUMMYFUNCTION("""COMPUTED_VALUE"""),"Escalation of Dispute")</f>
        <v>Escalation of Dispute</v>
      </c>
      <c r="AB886" s="5" t="str">
        <f ca="1">IFERROR(__xludf.DUMMYFUNCTION("""COMPUTED_VALUE"""),"Victims Targeted")</f>
        <v>Victims Targeted</v>
      </c>
      <c r="AC886" s="5" t="str">
        <f ca="1">IFERROR(__xludf.DUMMYFUNCTION("""COMPUTED_VALUE"""),"Yes")</f>
        <v>Yes</v>
      </c>
      <c r="AD886" s="5" t="str">
        <f ca="1">IFERROR(__xludf.DUMMYFUNCTION("""COMPUTED_VALUE"""),"No")</f>
        <v>No</v>
      </c>
      <c r="AE886" s="5" t="str">
        <f ca="1">IFERROR(__xludf.DUMMYFUNCTION("""COMPUTED_VALUE"""),"No")</f>
        <v>No</v>
      </c>
      <c r="AF886" s="5" t="str">
        <f ca="1">IFERROR(__xludf.DUMMYFUNCTION("""COMPUTED_VALUE"""),"No")</f>
        <v>No</v>
      </c>
      <c r="AG886" s="5" t="str">
        <f ca="1">IFERROR(__xludf.DUMMYFUNCTION("""COMPUTED_VALUE"""),"No")</f>
        <v>No</v>
      </c>
      <c r="AH886" s="5" t="str">
        <f ca="1">IFERROR(__xludf.DUMMYFUNCTION("""COMPUTED_VALUE"""),"No")</f>
        <v>No</v>
      </c>
      <c r="AI886" s="5" t="str">
        <f ca="1">IFERROR(__xludf.DUMMYFUNCTION("""COMPUTED_VALUE"""),"No")</f>
        <v>No</v>
      </c>
      <c r="AJ886" s="5" t="str">
        <f ca="1">IFERROR(__xludf.DUMMYFUNCTION("""COMPUTED_VALUE"""),"No")</f>
        <v>No</v>
      </c>
    </row>
    <row r="887" spans="1:36" ht="13">
      <c r="A887" s="5" t="str">
        <f ca="1">IFERROR(__xludf.DUMMYFUNCTION("""COMPUTED_VALUE"""),"20181121MIPEP")</f>
        <v>20181121MIPEP</v>
      </c>
      <c r="B887" s="5">
        <f ca="1">IFERROR(__xludf.DUMMYFUNCTION("""COMPUTED_VALUE"""),11)</f>
        <v>11</v>
      </c>
      <c r="C887" s="5">
        <f ca="1">IFERROR(__xludf.DUMMYFUNCTION("""COMPUTED_VALUE"""),21)</f>
        <v>21</v>
      </c>
      <c r="D887" s="5">
        <f ca="1">IFERROR(__xludf.DUMMYFUNCTION("""COMPUTED_VALUE"""),2018)</f>
        <v>2018</v>
      </c>
      <c r="E887" s="8">
        <f ca="1">IFERROR(__xludf.DUMMYFUNCTION("""COMPUTED_VALUE"""),43425)</f>
        <v>43425</v>
      </c>
      <c r="F887" s="5" t="str">
        <f ca="1">IFERROR(__xludf.DUMMYFUNCTION("""COMPUTED_VALUE"""),"Pentwater Public School")</f>
        <v>Pentwater Public School</v>
      </c>
      <c r="G887" s="5">
        <f ca="1">IFERROR(__xludf.DUMMYFUNCTION("""COMPUTED_VALUE"""),0)</f>
        <v>0</v>
      </c>
      <c r="H887" s="5">
        <f ca="1">IFERROR(__xludf.DUMMYFUNCTION("""COMPUTED_VALUE"""),0)</f>
        <v>0</v>
      </c>
      <c r="I887" s="5">
        <f ca="1">IFERROR(__xludf.DUMMYFUNCTION("""COMPUTED_VALUE"""),0)</f>
        <v>0</v>
      </c>
      <c r="J887" s="5">
        <f ca="1">IFERROR(__xludf.DUMMYFUNCTION("""COMPUTED_VALUE"""),0)</f>
        <v>0</v>
      </c>
      <c r="K887" s="9" t="str">
        <f ca="1">IFERROR(__xludf.DUMMYFUNCTION("""COMPUTED_VALUE"""),"https://www.mlive.com/news/muskegon/index.ssf/2018/11/man_suspected_of_shooting_out.html")</f>
        <v>https://www.mlive.com/news/muskegon/index.ssf/2018/11/man_suspected_of_shooting_out.html</v>
      </c>
      <c r="L887" s="5"/>
      <c r="M887" s="5"/>
      <c r="N887" s="5">
        <f ca="1">IFERROR(__xludf.DUMMYFUNCTION("""COMPUTED_VALUE"""),3)</f>
        <v>3</v>
      </c>
      <c r="O887" s="5" t="str">
        <f ca="1">IFERROR(__xludf.DUMMYFUNCTION("""COMPUTED_VALUE"""),"Fall")</f>
        <v>Fall</v>
      </c>
      <c r="P887" s="5" t="str">
        <f ca="1">IFERROR(__xludf.DUMMYFUNCTION("""COMPUTED_VALUE"""),"Pentwater")</f>
        <v>Pentwater</v>
      </c>
      <c r="Q887" s="5" t="str">
        <f ca="1">IFERROR(__xludf.DUMMYFUNCTION("""COMPUTED_VALUE"""),"MI")</f>
        <v>MI</v>
      </c>
      <c r="R887" s="5" t="str">
        <f ca="1">IFERROR(__xludf.DUMMYFUNCTION("""COMPUTED_VALUE"""),"K-8")</f>
        <v>K-8</v>
      </c>
      <c r="S887" s="5" t="str">
        <f ca="1">IFERROR(__xludf.DUMMYFUNCTION("""COMPUTED_VALUE"""),"Front of School")</f>
        <v>Front of School</v>
      </c>
      <c r="T887" s="5" t="str">
        <f ca="1">IFERROR(__xludf.DUMMYFUNCTION("""COMPUTED_VALUE"""),"Outside on School Property")</f>
        <v>Outside on School Property</v>
      </c>
      <c r="U887" s="5" t="str">
        <f ca="1">IFERROR(__xludf.DUMMYFUNCTION("""COMPUTED_VALUE"""),"No")</f>
        <v>No</v>
      </c>
      <c r="V887" s="5" t="str">
        <f ca="1">IFERROR(__xludf.DUMMYFUNCTION("""COMPUTED_VALUE"""),"Not a School Day")</f>
        <v>Not a School Day</v>
      </c>
      <c r="W887" s="10">
        <f ca="1">IFERROR(__xludf.DUMMYFUNCTION("""COMPUTED_VALUE"""),0.364583333333333)</f>
        <v>0.36458333333333298</v>
      </c>
      <c r="X887" s="5"/>
      <c r="Y887" s="5" t="str">
        <f ca="1">IFERROR(__xludf.DUMMYFUNCTION("""COMPUTED_VALUE"""),"Adult male fired BB gun and broke multiple windows at the school")</f>
        <v>Adult male fired BB gun and broke multiple windows at the school</v>
      </c>
      <c r="Z887" s="5" t="str">
        <f ca="1">IFERROR(__xludf.DUMMYFUNCTION("""COMPUTED_VALUE"""),"22YOM fired BB gun at multiple windows of the school causing $3,000 in property damage. Motive unknown. School was not in session for Thanksgiving break.")</f>
        <v>22YOM fired BB gun at multiple windows of the school causing $3,000 in property damage. Motive unknown. School was not in session for Thanksgiving break.</v>
      </c>
      <c r="AA887" s="5" t="str">
        <f ca="1">IFERROR(__xludf.DUMMYFUNCTION("""COMPUTED_VALUE"""),"Intentional Property Damage")</f>
        <v>Intentional Property Damage</v>
      </c>
      <c r="AB887" s="5" t="str">
        <f ca="1">IFERROR(__xludf.DUMMYFUNCTION("""COMPUTED_VALUE"""),"Neither")</f>
        <v>Neither</v>
      </c>
      <c r="AC887" s="5" t="str">
        <f ca="1">IFERROR(__xludf.DUMMYFUNCTION("""COMPUTED_VALUE"""),"No")</f>
        <v>No</v>
      </c>
      <c r="AD887" s="5" t="str">
        <f ca="1">IFERROR(__xludf.DUMMYFUNCTION("""COMPUTED_VALUE"""),"No")</f>
        <v>No</v>
      </c>
      <c r="AE887" s="5" t="str">
        <f ca="1">IFERROR(__xludf.DUMMYFUNCTION("""COMPUTED_VALUE"""),"No")</f>
        <v>No</v>
      </c>
      <c r="AF887" s="5" t="str">
        <f ca="1">IFERROR(__xludf.DUMMYFUNCTION("""COMPUTED_VALUE"""),"No")</f>
        <v>No</v>
      </c>
      <c r="AG887" s="5" t="str">
        <f ca="1">IFERROR(__xludf.DUMMYFUNCTION("""COMPUTED_VALUE"""),"No")</f>
        <v>No</v>
      </c>
      <c r="AH887" s="5" t="str">
        <f ca="1">IFERROR(__xludf.DUMMYFUNCTION("""COMPUTED_VALUE"""),"No")</f>
        <v>No</v>
      </c>
      <c r="AI887" s="5" t="str">
        <f ca="1">IFERROR(__xludf.DUMMYFUNCTION("""COMPUTED_VALUE"""),"No")</f>
        <v>No</v>
      </c>
      <c r="AJ887" s="5" t="str">
        <f ca="1">IFERROR(__xludf.DUMMYFUNCTION("""COMPUTED_VALUE"""),"No")</f>
        <v>No</v>
      </c>
    </row>
    <row r="888" spans="1:36" ht="13">
      <c r="A888" s="5" t="str">
        <f ca="1">IFERROR(__xludf.DUMMYFUNCTION("""COMPUTED_VALUE"""),"20181120VASIP")</f>
        <v>20181120VASIP</v>
      </c>
      <c r="B888" s="5">
        <f ca="1">IFERROR(__xludf.DUMMYFUNCTION("""COMPUTED_VALUE"""),11)</f>
        <v>11</v>
      </c>
      <c r="C888" s="5">
        <f ca="1">IFERROR(__xludf.DUMMYFUNCTION("""COMPUTED_VALUE"""),20)</f>
        <v>20</v>
      </c>
      <c r="D888" s="5">
        <f ca="1">IFERROR(__xludf.DUMMYFUNCTION("""COMPUTED_VALUE"""),2018)</f>
        <v>2018</v>
      </c>
      <c r="E888" s="8">
        <f ca="1">IFERROR(__xludf.DUMMYFUNCTION("""COMPUTED_VALUE"""),43424)</f>
        <v>43424</v>
      </c>
      <c r="F888" s="5" t="str">
        <f ca="1">IFERROR(__xludf.DUMMYFUNCTION("""COMPUTED_VALUE"""),"Simonsdale Elementary School")</f>
        <v>Simonsdale Elementary School</v>
      </c>
      <c r="G888" s="5">
        <f ca="1">IFERROR(__xludf.DUMMYFUNCTION("""COMPUTED_VALUE"""),0)</f>
        <v>0</v>
      </c>
      <c r="H888" s="5">
        <f ca="1">IFERROR(__xludf.DUMMYFUNCTION("""COMPUTED_VALUE"""),1)</f>
        <v>1</v>
      </c>
      <c r="I888" s="5">
        <f ca="1">IFERROR(__xludf.DUMMYFUNCTION("""COMPUTED_VALUE"""),1)</f>
        <v>1</v>
      </c>
      <c r="J888" s="5">
        <f ca="1">IFERROR(__xludf.DUMMYFUNCTION("""COMPUTED_VALUE"""),0)</f>
        <v>0</v>
      </c>
      <c r="K888" s="9" t="str">
        <f ca="1">IFERROR(__xludf.DUMMYFUNCTION("""COMPUTED_VALUE"""),"https://wtkr.com/2018/11/20/shot-fired-by-portsmouth-elementary-school-police-investigate/")</f>
        <v>https://wtkr.com/2018/11/20/shot-fired-by-portsmouth-elementary-school-police-investigate/</v>
      </c>
      <c r="L888" s="5"/>
      <c r="M888" s="5"/>
      <c r="N888" s="5">
        <f ca="1">IFERROR(__xludf.DUMMYFUNCTION("""COMPUTED_VALUE"""),3)</f>
        <v>3</v>
      </c>
      <c r="O888" s="5" t="str">
        <f ca="1">IFERROR(__xludf.DUMMYFUNCTION("""COMPUTED_VALUE"""),"Fall")</f>
        <v>Fall</v>
      </c>
      <c r="P888" s="5" t="str">
        <f ca="1">IFERROR(__xludf.DUMMYFUNCTION("""COMPUTED_VALUE"""),"Portsmouth")</f>
        <v>Portsmouth</v>
      </c>
      <c r="Q888" s="5" t="str">
        <f ca="1">IFERROR(__xludf.DUMMYFUNCTION("""COMPUTED_VALUE"""),"VA")</f>
        <v>VA</v>
      </c>
      <c r="R888" s="5" t="str">
        <f ca="1">IFERROR(__xludf.DUMMYFUNCTION("""COMPUTED_VALUE"""),"Elementary")</f>
        <v>Elementary</v>
      </c>
      <c r="S888" s="5" t="str">
        <f ca="1">IFERROR(__xludf.DUMMYFUNCTION("""COMPUTED_VALUE"""),"Hallway")</f>
        <v>Hallway</v>
      </c>
      <c r="T888" s="5" t="str">
        <f ca="1">IFERROR(__xludf.DUMMYFUNCTION("""COMPUTED_VALUE"""),"Inside School Building")</f>
        <v>Inside School Building</v>
      </c>
      <c r="U888" s="5" t="str">
        <f ca="1">IFERROR(__xludf.DUMMYFUNCTION("""COMPUTED_VALUE"""),"No")</f>
        <v>No</v>
      </c>
      <c r="V888" s="5" t="str">
        <f ca="1">IFERROR(__xludf.DUMMYFUNCTION("""COMPUTED_VALUE"""),"Dismissal")</f>
        <v>Dismissal</v>
      </c>
      <c r="W888" s="10">
        <f ca="1">IFERROR(__xludf.DUMMYFUNCTION("""COMPUTED_VALUE"""),0.666666666666666)</f>
        <v>0.66666666666666596</v>
      </c>
      <c r="X888" s="5">
        <f ca="1">IFERROR(__xludf.DUMMYFUNCTION("""COMPUTED_VALUE"""),1)</f>
        <v>1</v>
      </c>
      <c r="Y888" s="5" t="str">
        <f ca="1">IFERROR(__xludf.DUMMYFUNCTION("""COMPUTED_VALUE"""),"Parent's concealed weapon discharged striking other parent")</f>
        <v>Parent's concealed weapon discharged striking other parent</v>
      </c>
      <c r="Z888" s="5" t="str">
        <f ca="1">IFERROR(__xludf.DUMMYFUNCTION("""COMPUTED_VALUE"""),"29YOM parent had concealed handgun. Gun discharged and another parent was struck by ricochet. Shooter fled and was later arrested by police. Shooting occurred just prior to dismissal. Students were still in classrooms and school was locked down.")</f>
        <v>29YOM parent had concealed handgun. Gun discharged and another parent was struck by ricochet. Shooter fled and was later arrested by police. Shooting occurred just prior to dismissal. Students were still in classrooms and school was locked down.</v>
      </c>
      <c r="AA888" s="5" t="str">
        <f ca="1">IFERROR(__xludf.DUMMYFUNCTION("""COMPUTED_VALUE"""),"Accidental")</f>
        <v>Accidental</v>
      </c>
      <c r="AB888" s="5" t="str">
        <f ca="1">IFERROR(__xludf.DUMMYFUNCTION("""COMPUTED_VALUE"""),"Random Shooting")</f>
        <v>Random Shooting</v>
      </c>
      <c r="AC888" s="5" t="str">
        <f ca="1">IFERROR(__xludf.DUMMYFUNCTION("""COMPUTED_VALUE"""),"No")</f>
        <v>No</v>
      </c>
      <c r="AD888" s="5" t="str">
        <f ca="1">IFERROR(__xludf.DUMMYFUNCTION("""COMPUTED_VALUE"""),"No")</f>
        <v>No</v>
      </c>
      <c r="AE888" s="5" t="str">
        <f ca="1">IFERROR(__xludf.DUMMYFUNCTION("""COMPUTED_VALUE"""),"No")</f>
        <v>No</v>
      </c>
      <c r="AF888" s="5" t="str">
        <f ca="1">IFERROR(__xludf.DUMMYFUNCTION("""COMPUTED_VALUE"""),"No")</f>
        <v>No</v>
      </c>
      <c r="AG888" s="5" t="str">
        <f ca="1">IFERROR(__xludf.DUMMYFUNCTION("""COMPUTED_VALUE"""),"No")</f>
        <v>No</v>
      </c>
      <c r="AH888" s="5" t="str">
        <f ca="1">IFERROR(__xludf.DUMMYFUNCTION("""COMPUTED_VALUE"""),"No")</f>
        <v>No</v>
      </c>
      <c r="AI888" s="5" t="str">
        <f ca="1">IFERROR(__xludf.DUMMYFUNCTION("""COMPUTED_VALUE"""),"No")</f>
        <v>No</v>
      </c>
      <c r="AJ888" s="5" t="str">
        <f ca="1">IFERROR(__xludf.DUMMYFUNCTION("""COMPUTED_VALUE"""),"No")</f>
        <v>No</v>
      </c>
    </row>
    <row r="889" spans="1:36" ht="13">
      <c r="A889" s="5" t="str">
        <f ca="1">IFERROR(__xludf.DUMMYFUNCTION("""COMPUTED_VALUE"""),"20181112MDEAE")</f>
        <v>20181112MDEAE</v>
      </c>
      <c r="B889" s="5">
        <f ca="1">IFERROR(__xludf.DUMMYFUNCTION("""COMPUTED_VALUE"""),11)</f>
        <v>11</v>
      </c>
      <c r="C889" s="5">
        <f ca="1">IFERROR(__xludf.DUMMYFUNCTION("""COMPUTED_VALUE"""),12)</f>
        <v>12</v>
      </c>
      <c r="D889" s="5">
        <f ca="1">IFERROR(__xludf.DUMMYFUNCTION("""COMPUTED_VALUE"""),2018)</f>
        <v>2018</v>
      </c>
      <c r="E889" s="8">
        <f ca="1">IFERROR(__xludf.DUMMYFUNCTION("""COMPUTED_VALUE"""),43416)</f>
        <v>43416</v>
      </c>
      <c r="F889" s="5" t="str">
        <f ca="1">IFERROR(__xludf.DUMMYFUNCTION("""COMPUTED_VALUE"""),"Eastern Tech High School")</f>
        <v>Eastern Tech High School</v>
      </c>
      <c r="G889" s="5">
        <f ca="1">IFERROR(__xludf.DUMMYFUNCTION("""COMPUTED_VALUE"""),0)</f>
        <v>0</v>
      </c>
      <c r="H889" s="5">
        <f ca="1">IFERROR(__xludf.DUMMYFUNCTION("""COMPUTED_VALUE"""),0)</f>
        <v>0</v>
      </c>
      <c r="I889" s="5">
        <f ca="1">IFERROR(__xludf.DUMMYFUNCTION("""COMPUTED_VALUE"""),0)</f>
        <v>0</v>
      </c>
      <c r="J889" s="5">
        <f ca="1">IFERROR(__xludf.DUMMYFUNCTION("""COMPUTED_VALUE"""),1)</f>
        <v>1</v>
      </c>
      <c r="K889" s="9" t="str">
        <f ca="1">IFERROR(__xludf.DUMMYFUNCTION("""COMPUTED_VALUE"""),"https://baltimore.cbslocal.com/2018/11/12/school-resource-officer-suicide/")</f>
        <v>https://baltimore.cbslocal.com/2018/11/12/school-resource-officer-suicide/</v>
      </c>
      <c r="L889" s="5"/>
      <c r="M889" s="5"/>
      <c r="N889" s="5">
        <f ca="1">IFERROR(__xludf.DUMMYFUNCTION("""COMPUTED_VALUE"""),3)</f>
        <v>3</v>
      </c>
      <c r="O889" s="5" t="str">
        <f ca="1">IFERROR(__xludf.DUMMYFUNCTION("""COMPUTED_VALUE"""),"Fall")</f>
        <v>Fall</v>
      </c>
      <c r="P889" s="5" t="str">
        <f ca="1">IFERROR(__xludf.DUMMYFUNCTION("""COMPUTED_VALUE"""),"Essex")</f>
        <v>Essex</v>
      </c>
      <c r="Q889" s="5" t="str">
        <f ca="1">IFERROR(__xludf.DUMMYFUNCTION("""COMPUTED_VALUE"""),"MD")</f>
        <v>MD</v>
      </c>
      <c r="R889" s="5" t="str">
        <f ca="1">IFERROR(__xludf.DUMMYFUNCTION("""COMPUTED_VALUE"""),"High")</f>
        <v>High</v>
      </c>
      <c r="S889" s="5" t="str">
        <f ca="1">IFERROR(__xludf.DUMMYFUNCTION("""COMPUTED_VALUE"""),"Office")</f>
        <v>Office</v>
      </c>
      <c r="T889" s="5" t="str">
        <f ca="1">IFERROR(__xludf.DUMMYFUNCTION("""COMPUTED_VALUE"""),"Inside School Building")</f>
        <v>Inside School Building</v>
      </c>
      <c r="U889" s="5" t="str">
        <f ca="1">IFERROR(__xludf.DUMMYFUNCTION("""COMPUTED_VALUE"""),"Yes")</f>
        <v>Yes</v>
      </c>
      <c r="V889" s="5" t="str">
        <f ca="1">IFERROR(__xludf.DUMMYFUNCTION("""COMPUTED_VALUE"""),"Afternoon Classes")</f>
        <v>Afternoon Classes</v>
      </c>
      <c r="W889" s="10">
        <f ca="1">IFERROR(__xludf.DUMMYFUNCTION("""COMPUTED_VALUE"""),0.515972222222222)</f>
        <v>0.51597222222222205</v>
      </c>
      <c r="X889" s="5">
        <f ca="1">IFERROR(__xludf.DUMMYFUNCTION("""COMPUTED_VALUE"""),1)</f>
        <v>1</v>
      </c>
      <c r="Y889" s="5" t="str">
        <f ca="1">IFERROR(__xludf.DUMMYFUNCTION("""COMPUTED_VALUE"""),"SRO killed self in officer inside school")</f>
        <v>SRO killed self in officer inside school</v>
      </c>
      <c r="Z889" s="5" t="str">
        <f ca="1">IFERROR(__xludf.DUMMYFUNCTION("""COMPUTED_VALUE"""),"SRO commit suicide in school. Teachers heard shots and school was locked down then dismissed 2 hours later. SRO was well known and well liked by students and staff. Had been assigned to school for 4 years and worked for 21 years as officer.")</f>
        <v>SRO commit suicide in school. Teachers heard shots and school was locked down then dismissed 2 hours later. SRO was well known and well liked by students and staff. Had been assigned to school for 4 years and worked for 21 years as officer.</v>
      </c>
      <c r="AA889" s="5" t="str">
        <f ca="1">IFERROR(__xludf.DUMMYFUNCTION("""COMPUTED_VALUE"""),"Suicide/Attempted")</f>
        <v>Suicide/Attempted</v>
      </c>
      <c r="AB889" s="5" t="str">
        <f ca="1">IFERROR(__xludf.DUMMYFUNCTION("""COMPUTED_VALUE"""),"Victims Targeted")</f>
        <v>Victims Targeted</v>
      </c>
      <c r="AC889" s="5" t="str">
        <f ca="1">IFERROR(__xludf.DUMMYFUNCTION("""COMPUTED_VALUE"""),"No")</f>
        <v>No</v>
      </c>
      <c r="AD889" s="5" t="str">
        <f ca="1">IFERROR(__xludf.DUMMYFUNCTION("""COMPUTED_VALUE"""),"No")</f>
        <v>No</v>
      </c>
      <c r="AE889" s="5" t="str">
        <f ca="1">IFERROR(__xludf.DUMMYFUNCTION("""COMPUTED_VALUE"""),"No")</f>
        <v>No</v>
      </c>
      <c r="AF889" s="5" t="str">
        <f ca="1">IFERROR(__xludf.DUMMYFUNCTION("""COMPUTED_VALUE"""),"No")</f>
        <v>No</v>
      </c>
      <c r="AG889" s="5" t="str">
        <f ca="1">IFERROR(__xludf.DUMMYFUNCTION("""COMPUTED_VALUE"""),"No")</f>
        <v>No</v>
      </c>
      <c r="AH889" s="5" t="str">
        <f ca="1">IFERROR(__xludf.DUMMYFUNCTION("""COMPUTED_VALUE"""),"No")</f>
        <v>No</v>
      </c>
      <c r="AI889" s="5" t="str">
        <f ca="1">IFERROR(__xludf.DUMMYFUNCTION("""COMPUTED_VALUE"""),"No")</f>
        <v>No</v>
      </c>
      <c r="AJ889" s="5" t="str">
        <f ca="1">IFERROR(__xludf.DUMMYFUNCTION("""COMPUTED_VALUE"""),"No")</f>
        <v>No</v>
      </c>
    </row>
    <row r="890" spans="1:36" ht="13">
      <c r="A890" s="5" t="str">
        <f ca="1">IFERROR(__xludf.DUMMYFUNCTION("""COMPUTED_VALUE"""),"20181109GAGAM")</f>
        <v>20181109GAGAM</v>
      </c>
      <c r="B890" s="5">
        <f ca="1">IFERROR(__xludf.DUMMYFUNCTION("""COMPUTED_VALUE"""),11)</f>
        <v>11</v>
      </c>
      <c r="C890" s="5">
        <f ca="1">IFERROR(__xludf.DUMMYFUNCTION("""COMPUTED_VALUE"""),9)</f>
        <v>9</v>
      </c>
      <c r="D890" s="5">
        <f ca="1">IFERROR(__xludf.DUMMYFUNCTION("""COMPUTED_VALUE"""),2018)</f>
        <v>2018</v>
      </c>
      <c r="E890" s="8">
        <f ca="1">IFERROR(__xludf.DUMMYFUNCTION("""COMPUTED_VALUE"""),43413)</f>
        <v>43413</v>
      </c>
      <c r="F890" s="5" t="str">
        <f ca="1">IFERROR(__xludf.DUMMYFUNCTION("""COMPUTED_VALUE"""),"Garrett Middle School")</f>
        <v>Garrett Middle School</v>
      </c>
      <c r="G890" s="5">
        <f ca="1">IFERROR(__xludf.DUMMYFUNCTION("""COMPUTED_VALUE"""),0)</f>
        <v>0</v>
      </c>
      <c r="H890" s="5">
        <f ca="1">IFERROR(__xludf.DUMMYFUNCTION("""COMPUTED_VALUE"""),0)</f>
        <v>0</v>
      </c>
      <c r="I890" s="5">
        <f ca="1">IFERROR(__xludf.DUMMYFUNCTION("""COMPUTED_VALUE"""),0)</f>
        <v>0</v>
      </c>
      <c r="J890" s="5">
        <f ca="1">IFERROR(__xludf.DUMMYFUNCTION("""COMPUTED_VALUE"""),0)</f>
        <v>0</v>
      </c>
      <c r="K890" s="9" t="str">
        <f ca="1">IFERROR(__xludf.DUMMYFUNCTION("""COMPUTED_VALUE"""),"https://www.mdjonline.com/news/gun-fired-in-garrett-middle-school-bathroom-students-charged/article_3efeedb6-e481-11e8-b800-e38d6827d46f.html")</f>
        <v>https://www.mdjonline.com/news/gun-fired-in-garrett-middle-school-bathroom-students-charged/article_3efeedb6-e481-11e8-b800-e38d6827d46f.html</v>
      </c>
      <c r="L890" s="5"/>
      <c r="M890" s="5"/>
      <c r="N890" s="5">
        <f ca="1">IFERROR(__xludf.DUMMYFUNCTION("""COMPUTED_VALUE"""),3)</f>
        <v>3</v>
      </c>
      <c r="O890" s="5" t="str">
        <f ca="1">IFERROR(__xludf.DUMMYFUNCTION("""COMPUTED_VALUE"""),"Fall")</f>
        <v>Fall</v>
      </c>
      <c r="P890" s="5" t="str">
        <f ca="1">IFERROR(__xludf.DUMMYFUNCTION("""COMPUTED_VALUE"""),"Marietta")</f>
        <v>Marietta</v>
      </c>
      <c r="Q890" s="5" t="str">
        <f ca="1">IFERROR(__xludf.DUMMYFUNCTION("""COMPUTED_VALUE"""),"GA")</f>
        <v>GA</v>
      </c>
      <c r="R890" s="5" t="str">
        <f ca="1">IFERROR(__xludf.DUMMYFUNCTION("""COMPUTED_VALUE"""),"Middle")</f>
        <v>Middle</v>
      </c>
      <c r="S890" s="5" t="str">
        <f ca="1">IFERROR(__xludf.DUMMYFUNCTION("""COMPUTED_VALUE"""),"Bathroom")</f>
        <v>Bathroom</v>
      </c>
      <c r="T890" s="5" t="str">
        <f ca="1">IFERROR(__xludf.DUMMYFUNCTION("""COMPUTED_VALUE"""),"Inside School Building")</f>
        <v>Inside School Building</v>
      </c>
      <c r="U890" s="5" t="str">
        <f ca="1">IFERROR(__xludf.DUMMYFUNCTION("""COMPUTED_VALUE"""),"Yes")</f>
        <v>Yes</v>
      </c>
      <c r="V890" s="5"/>
      <c r="W890" s="5"/>
      <c r="X890" s="5">
        <f ca="1">IFERROR(__xludf.DUMMYFUNCTION("""COMPUTED_VALUE"""),1)</f>
        <v>1</v>
      </c>
      <c r="Y890" s="5" t="str">
        <f ca="1">IFERROR(__xludf.DUMMYFUNCTION("""COMPUTED_VALUE"""),"Student accidentally fired handgun showing it off in bathroom")</f>
        <v>Student accidentally fired handgun showing it off in bathroom</v>
      </c>
      <c r="Z890" s="5" t="str">
        <f ca="1">IFERROR(__xludf.DUMMYFUNCTION("""COMPUTED_VALUE"""),"Two students charged after accidental discharge of handgun in school bathroom. No injuries. Student was showing the gun off. Both students fled the scene. SRO heard the shots and investigated. Gun was recovered later that day at the student's home.")</f>
        <v>Two students charged after accidental discharge of handgun in school bathroom. No injuries. Student was showing the gun off. Both students fled the scene. SRO heard the shots and investigated. Gun was recovered later that day at the student's home.</v>
      </c>
      <c r="AA890" s="5" t="str">
        <f ca="1">IFERROR(__xludf.DUMMYFUNCTION("""COMPUTED_VALUE"""),"Accidental")</f>
        <v>Accidental</v>
      </c>
      <c r="AB890" s="5" t="str">
        <f ca="1">IFERROR(__xludf.DUMMYFUNCTION("""COMPUTED_VALUE"""),"Neither")</f>
        <v>Neither</v>
      </c>
      <c r="AC890" s="5" t="str">
        <f ca="1">IFERROR(__xludf.DUMMYFUNCTION("""COMPUTED_VALUE"""),"Yes")</f>
        <v>Yes</v>
      </c>
      <c r="AD890" s="5" t="str">
        <f ca="1">IFERROR(__xludf.DUMMYFUNCTION("""COMPUTED_VALUE"""),"No")</f>
        <v>No</v>
      </c>
      <c r="AE890" s="5" t="str">
        <f ca="1">IFERROR(__xludf.DUMMYFUNCTION("""COMPUTED_VALUE"""),"No")</f>
        <v>No</v>
      </c>
      <c r="AF890" s="5" t="str">
        <f ca="1">IFERROR(__xludf.DUMMYFUNCTION("""COMPUTED_VALUE"""),"No")</f>
        <v>No</v>
      </c>
      <c r="AG890" s="5" t="str">
        <f ca="1">IFERROR(__xludf.DUMMYFUNCTION("""COMPUTED_VALUE"""),"No")</f>
        <v>No</v>
      </c>
      <c r="AH890" s="5" t="str">
        <f ca="1">IFERROR(__xludf.DUMMYFUNCTION("""COMPUTED_VALUE"""),"No")</f>
        <v>No</v>
      </c>
      <c r="AI890" s="5" t="str">
        <f ca="1">IFERROR(__xludf.DUMMYFUNCTION("""COMPUTED_VALUE"""),"No")</f>
        <v>No</v>
      </c>
      <c r="AJ890" s="5" t="str">
        <f ca="1">IFERROR(__xludf.DUMMYFUNCTION("""COMPUTED_VALUE"""),"No")</f>
        <v>No</v>
      </c>
    </row>
    <row r="891" spans="1:36" ht="13">
      <c r="A891" s="5" t="str">
        <f ca="1">IFERROR(__xludf.DUMMYFUNCTION("""COMPUTED_VALUE"""),"20181108CACLS")</f>
        <v>20181108CACLS</v>
      </c>
      <c r="B891" s="5">
        <f ca="1">IFERROR(__xludf.DUMMYFUNCTION("""COMPUTED_VALUE"""),11)</f>
        <v>11</v>
      </c>
      <c r="C891" s="5">
        <f ca="1">IFERROR(__xludf.DUMMYFUNCTION("""COMPUTED_VALUE"""),8)</f>
        <v>8</v>
      </c>
      <c r="D891" s="5">
        <f ca="1">IFERROR(__xludf.DUMMYFUNCTION("""COMPUTED_VALUE"""),2018)</f>
        <v>2018</v>
      </c>
      <c r="E891" s="8">
        <f ca="1">IFERROR(__xludf.DUMMYFUNCTION("""COMPUTED_VALUE"""),43412)</f>
        <v>43412</v>
      </c>
      <c r="F891" s="5" t="str">
        <f ca="1">IFERROR(__xludf.DUMMYFUNCTION("""COMPUTED_VALUE"""),"Cleveland Elementary School")</f>
        <v>Cleveland Elementary School</v>
      </c>
      <c r="G891" s="5">
        <f ca="1">IFERROR(__xludf.DUMMYFUNCTION("""COMPUTED_VALUE"""),0)</f>
        <v>0</v>
      </c>
      <c r="H891" s="5">
        <f ca="1">IFERROR(__xludf.DUMMYFUNCTION("""COMPUTED_VALUE"""),1)</f>
        <v>1</v>
      </c>
      <c r="I891" s="5">
        <f ca="1">IFERROR(__xludf.DUMMYFUNCTION("""COMPUTED_VALUE"""),1)</f>
        <v>1</v>
      </c>
      <c r="J891" s="5">
        <f ca="1">IFERROR(__xludf.DUMMYFUNCTION("""COMPUTED_VALUE"""),0)</f>
        <v>0</v>
      </c>
      <c r="K891" s="9" t="str">
        <f ca="1">IFERROR(__xludf.DUMMYFUNCTION("""COMPUTED_VALUE"""),"https://ksby.com/news/2018/12/03/suspects-arrested-in-santa-barbara-elementary-school-shooting-linked-to-other-crimes")</f>
        <v>https://ksby.com/news/2018/12/03/suspects-arrested-in-santa-barbara-elementary-school-shooting-linked-to-other-crimes</v>
      </c>
      <c r="L891" s="5"/>
      <c r="M891" s="5"/>
      <c r="N891" s="5">
        <f ca="1">IFERROR(__xludf.DUMMYFUNCTION("""COMPUTED_VALUE"""),3)</f>
        <v>3</v>
      </c>
      <c r="O891" s="5" t="str">
        <f ca="1">IFERROR(__xludf.DUMMYFUNCTION("""COMPUTED_VALUE"""),"Fall")</f>
        <v>Fall</v>
      </c>
      <c r="P891" s="5" t="str">
        <f ca="1">IFERROR(__xludf.DUMMYFUNCTION("""COMPUTED_VALUE"""),"Santa Barbara")</f>
        <v>Santa Barbara</v>
      </c>
      <c r="Q891" s="5" t="str">
        <f ca="1">IFERROR(__xludf.DUMMYFUNCTION("""COMPUTED_VALUE"""),"CA")</f>
        <v>CA</v>
      </c>
      <c r="R891" s="5" t="str">
        <f ca="1">IFERROR(__xludf.DUMMYFUNCTION("""COMPUTED_VALUE"""),"Elementary")</f>
        <v>Elementary</v>
      </c>
      <c r="S891" s="5" t="str">
        <f ca="1">IFERROR(__xludf.DUMMYFUNCTION("""COMPUTED_VALUE"""),"Outside on School Property")</f>
        <v>Outside on School Property</v>
      </c>
      <c r="T891" s="5" t="str">
        <f ca="1">IFERROR(__xludf.DUMMYFUNCTION("""COMPUTED_VALUE"""),"Outside on School Property")</f>
        <v>Outside on School Property</v>
      </c>
      <c r="U891" s="5" t="str">
        <f ca="1">IFERROR(__xludf.DUMMYFUNCTION("""COMPUTED_VALUE"""),"No")</f>
        <v>No</v>
      </c>
      <c r="V891" s="5" t="str">
        <f ca="1">IFERROR(__xludf.DUMMYFUNCTION("""COMPUTED_VALUE"""),"Night")</f>
        <v>Night</v>
      </c>
      <c r="W891" s="10">
        <f ca="1">IFERROR(__xludf.DUMMYFUNCTION("""COMPUTED_VALUE"""),0.0833333333333333)</f>
        <v>8.3333333333333301E-2</v>
      </c>
      <c r="X891" s="5">
        <f ca="1">IFERROR(__xludf.DUMMYFUNCTION("""COMPUTED_VALUE"""),1)</f>
        <v>1</v>
      </c>
      <c r="Y891" s="5" t="str">
        <f ca="1">IFERROR(__xludf.DUMMYFUNCTION("""COMPUTED_VALUE"""),"Shot during robbery outside of school")</f>
        <v>Shot during robbery outside of school</v>
      </c>
      <c r="Z891" s="5" t="str">
        <f ca="1">IFERROR(__xludf.DUMMYFUNCTION("""COMPUTED_VALUE"""),"Two adult males shot an unidentified adult male during a robbery outside of the school after hours. Two adult male shooters were involved in multiple crimes in the area.")</f>
        <v>Two adult males shot an unidentified adult male during a robbery outside of the school after hours. Two adult male shooters were involved in multiple crimes in the area.</v>
      </c>
      <c r="AA891" s="5" t="str">
        <f ca="1">IFERROR(__xludf.DUMMYFUNCTION("""COMPUTED_VALUE"""),"Illegal Activity")</f>
        <v>Illegal Activity</v>
      </c>
      <c r="AB891" s="5" t="str">
        <f ca="1">IFERROR(__xludf.DUMMYFUNCTION("""COMPUTED_VALUE"""),"Victims Targeted")</f>
        <v>Victims Targeted</v>
      </c>
      <c r="AC891" s="5" t="str">
        <f ca="1">IFERROR(__xludf.DUMMYFUNCTION("""COMPUTED_VALUE"""),"Yes")</f>
        <v>Yes</v>
      </c>
      <c r="AD891" s="5" t="str">
        <f ca="1">IFERROR(__xludf.DUMMYFUNCTION("""COMPUTED_VALUE"""),"No")</f>
        <v>No</v>
      </c>
      <c r="AE891" s="5" t="str">
        <f ca="1">IFERROR(__xludf.DUMMYFUNCTION("""COMPUTED_VALUE"""),"No")</f>
        <v>No</v>
      </c>
      <c r="AF891" s="5" t="str">
        <f ca="1">IFERROR(__xludf.DUMMYFUNCTION("""COMPUTED_VALUE"""),"No")</f>
        <v>No</v>
      </c>
      <c r="AG891" s="5" t="str">
        <f ca="1">IFERROR(__xludf.DUMMYFUNCTION("""COMPUTED_VALUE"""),"No")</f>
        <v>No</v>
      </c>
      <c r="AH891" s="5" t="str">
        <f ca="1">IFERROR(__xludf.DUMMYFUNCTION("""COMPUTED_VALUE"""),"No")</f>
        <v>No</v>
      </c>
      <c r="AI891" s="5"/>
      <c r="AJ891" s="5" t="str">
        <f ca="1">IFERROR(__xludf.DUMMYFUNCTION("""COMPUTED_VALUE"""),"No")</f>
        <v>No</v>
      </c>
    </row>
    <row r="892" spans="1:36" ht="13">
      <c r="A892" s="5" t="str">
        <f ca="1">IFERROR(__xludf.DUMMYFUNCTION("""COMPUTED_VALUE"""),"20181105SCACC")</f>
        <v>20181105SCACC</v>
      </c>
      <c r="B892" s="5">
        <f ca="1">IFERROR(__xludf.DUMMYFUNCTION("""COMPUTED_VALUE"""),11)</f>
        <v>11</v>
      </c>
      <c r="C892" s="5">
        <f ca="1">IFERROR(__xludf.DUMMYFUNCTION("""COMPUTED_VALUE"""),5)</f>
        <v>5</v>
      </c>
      <c r="D892" s="5">
        <f ca="1">IFERROR(__xludf.DUMMYFUNCTION("""COMPUTED_VALUE"""),2018)</f>
        <v>2018</v>
      </c>
      <c r="E892" s="8">
        <f ca="1">IFERROR(__xludf.DUMMYFUNCTION("""COMPUTED_VALUE"""),43409)</f>
        <v>43409</v>
      </c>
      <c r="F892" s="5" t="str">
        <f ca="1">IFERROR(__xludf.DUMMYFUNCTION("""COMPUTED_VALUE"""),"Academy of Hope")</f>
        <v>Academy of Hope</v>
      </c>
      <c r="G892" s="5">
        <f ca="1">IFERROR(__xludf.DUMMYFUNCTION("""COMPUTED_VALUE"""),0)</f>
        <v>0</v>
      </c>
      <c r="H892" s="5">
        <f ca="1">IFERROR(__xludf.DUMMYFUNCTION("""COMPUTED_VALUE"""),0)</f>
        <v>0</v>
      </c>
      <c r="I892" s="5">
        <f ca="1">IFERROR(__xludf.DUMMYFUNCTION("""COMPUTED_VALUE"""),0)</f>
        <v>0</v>
      </c>
      <c r="J892" s="5">
        <f ca="1">IFERROR(__xludf.DUMMYFUNCTION("""COMPUTED_VALUE"""),0)</f>
        <v>0</v>
      </c>
      <c r="K892" s="9" t="str">
        <f ca="1">IFERROR(__xludf.DUMMYFUNCTION("""COMPUTED_VALUE"""),"https://www.wbtw.com/crime/grand-strand-crime/12-year-old-issued-summons-after-bringing-bb-gun-to-conway-school-shooting-13-year-old-report-says/1579188190")</f>
        <v>https://www.wbtw.com/crime/grand-strand-crime/12-year-old-issued-summons-after-bringing-bb-gun-to-conway-school-shooting-13-year-old-report-says/1579188190</v>
      </c>
      <c r="L892" s="5"/>
      <c r="M892" s="5"/>
      <c r="N892" s="5">
        <f ca="1">IFERROR(__xludf.DUMMYFUNCTION("""COMPUTED_VALUE"""),2)</f>
        <v>2</v>
      </c>
      <c r="O892" s="5" t="str">
        <f ca="1">IFERROR(__xludf.DUMMYFUNCTION("""COMPUTED_VALUE"""),"Fall")</f>
        <v>Fall</v>
      </c>
      <c r="P892" s="5" t="str">
        <f ca="1">IFERROR(__xludf.DUMMYFUNCTION("""COMPUTED_VALUE"""),"Conway")</f>
        <v>Conway</v>
      </c>
      <c r="Q892" s="5" t="str">
        <f ca="1">IFERROR(__xludf.DUMMYFUNCTION("""COMPUTED_VALUE"""),"SC")</f>
        <v>SC</v>
      </c>
      <c r="R892" s="5" t="str">
        <f ca="1">IFERROR(__xludf.DUMMYFUNCTION("""COMPUTED_VALUE"""),"K-8")</f>
        <v>K-8</v>
      </c>
      <c r="S892" s="5" t="str">
        <f ca="1">IFERROR(__xludf.DUMMYFUNCTION("""COMPUTED_VALUE"""),"Classroom")</f>
        <v>Classroom</v>
      </c>
      <c r="T892" s="5" t="str">
        <f ca="1">IFERROR(__xludf.DUMMYFUNCTION("""COMPUTED_VALUE"""),"Inside School Building")</f>
        <v>Inside School Building</v>
      </c>
      <c r="U892" s="5" t="str">
        <f ca="1">IFERROR(__xludf.DUMMYFUNCTION("""COMPUTED_VALUE"""),"Yes")</f>
        <v>Yes</v>
      </c>
      <c r="V892" s="5" t="str">
        <f ca="1">IFERROR(__xludf.DUMMYFUNCTION("""COMPUTED_VALUE"""),"Morning Classes")</f>
        <v>Morning Classes</v>
      </c>
      <c r="W892" s="10">
        <f ca="1">IFERROR(__xludf.DUMMYFUNCTION("""COMPUTED_VALUE"""),0.458333333333333)</f>
        <v>0.45833333333333298</v>
      </c>
      <c r="X892" s="5">
        <f ca="1">IFERROR(__xludf.DUMMYFUNCTION("""COMPUTED_VALUE"""),1)</f>
        <v>1</v>
      </c>
      <c r="Y892" s="5" t="str">
        <f ca="1">IFERROR(__xludf.DUMMYFUNCTION("""COMPUTED_VALUE"""),"Student fired bb gun at other student in classroom")</f>
        <v>Student fired bb gun at other student in classroom</v>
      </c>
      <c r="Z892" s="5" t="str">
        <f ca="1">IFERROR(__xludf.DUMMYFUNCTION("""COMPUTED_VALUE"""),"12YOM pulled out BB gun in classroom, pointed it at multiple students, and then fired at a 13YOM student. 13YOM student did not have injuries from the BB. Shooter was given juvenile summons and BB was taken by police.")</f>
        <v>12YOM pulled out BB gun in classroom, pointed it at multiple students, and then fired at a 13YOM student. 13YOM student did not have injuries from the BB. Shooter was given juvenile summons and BB was taken by police.</v>
      </c>
      <c r="AA892" s="5" t="str">
        <f ca="1">IFERROR(__xludf.DUMMYFUNCTION("""COMPUTED_VALUE"""),"Unknown")</f>
        <v>Unknown</v>
      </c>
      <c r="AB892" s="5"/>
      <c r="AC892" s="5" t="str">
        <f ca="1">IFERROR(__xludf.DUMMYFUNCTION("""COMPUTED_VALUE"""),"No")</f>
        <v>No</v>
      </c>
      <c r="AD892" s="5" t="str">
        <f ca="1">IFERROR(__xludf.DUMMYFUNCTION("""COMPUTED_VALUE"""),"No")</f>
        <v>No</v>
      </c>
      <c r="AE892" s="5" t="str">
        <f ca="1">IFERROR(__xludf.DUMMYFUNCTION("""COMPUTED_VALUE"""),"No")</f>
        <v>No</v>
      </c>
      <c r="AF892" s="5" t="str">
        <f ca="1">IFERROR(__xludf.DUMMYFUNCTION("""COMPUTED_VALUE"""),"No")</f>
        <v>No</v>
      </c>
      <c r="AG892" s="5"/>
      <c r="AH892" s="5" t="str">
        <f ca="1">IFERROR(__xludf.DUMMYFUNCTION("""COMPUTED_VALUE"""),"No")</f>
        <v>No</v>
      </c>
      <c r="AI892" s="5" t="str">
        <f ca="1">IFERROR(__xludf.DUMMYFUNCTION("""COMPUTED_VALUE"""),"No")</f>
        <v>No</v>
      </c>
      <c r="AJ892" s="5" t="str">
        <f ca="1">IFERROR(__xludf.DUMMYFUNCTION("""COMPUTED_VALUE"""),"No")</f>
        <v>No</v>
      </c>
    </row>
    <row r="893" spans="1:36" ht="13">
      <c r="A893" s="5" t="str">
        <f ca="1">IFERROR(__xludf.DUMMYFUNCTION("""COMPUTED_VALUE"""),"20181104KYCRL")</f>
        <v>20181104KYCRL</v>
      </c>
      <c r="B893" s="5">
        <f ca="1">IFERROR(__xludf.DUMMYFUNCTION("""COMPUTED_VALUE"""),11)</f>
        <v>11</v>
      </c>
      <c r="C893" s="5">
        <f ca="1">IFERROR(__xludf.DUMMYFUNCTION("""COMPUTED_VALUE"""),4)</f>
        <v>4</v>
      </c>
      <c r="D893" s="5">
        <f ca="1">IFERROR(__xludf.DUMMYFUNCTION("""COMPUTED_VALUE"""),2018)</f>
        <v>2018</v>
      </c>
      <c r="E893" s="8">
        <f ca="1">IFERROR(__xludf.DUMMYFUNCTION("""COMPUTED_VALUE"""),43408)</f>
        <v>43408</v>
      </c>
      <c r="F893" s="5" t="str">
        <f ca="1">IFERROR(__xludf.DUMMYFUNCTION("""COMPUTED_VALUE"""),"Crums Lane Elementary School")</f>
        <v>Crums Lane Elementary School</v>
      </c>
      <c r="G893" s="5">
        <f ca="1">IFERROR(__xludf.DUMMYFUNCTION("""COMPUTED_VALUE"""),1)</f>
        <v>1</v>
      </c>
      <c r="H893" s="5">
        <f ca="1">IFERROR(__xludf.DUMMYFUNCTION("""COMPUTED_VALUE"""),1)</f>
        <v>1</v>
      </c>
      <c r="I893" s="5">
        <f ca="1">IFERROR(__xludf.DUMMYFUNCTION("""COMPUTED_VALUE"""),2)</f>
        <v>2</v>
      </c>
      <c r="J893" s="5">
        <f ca="1">IFERROR(__xludf.DUMMYFUNCTION("""COMPUTED_VALUE"""),0)</f>
        <v>0</v>
      </c>
      <c r="K893" s="5" t="str">
        <f ca="1">IFERROR(__xludf.DUMMYFUNCTION("""COMPUTED_VALUE"""),"http://www.wave3.com/2018/11/04/police-shot-crums-lane-elementary-school/ https://lex18.com/news/covering-kentucky/2018/11/05/1-dead-1-injured-in-shooting-outside-louisville-school/")</f>
        <v>http://www.wave3.com/2018/11/04/police-shot-crums-lane-elementary-school/ https://lex18.com/news/covering-kentucky/2018/11/05/1-dead-1-injured-in-shooting-outside-louisville-school/</v>
      </c>
      <c r="L893" s="5"/>
      <c r="M893" s="5"/>
      <c r="N893" s="5">
        <f ca="1">IFERROR(__xludf.DUMMYFUNCTION("""COMPUTED_VALUE"""),3)</f>
        <v>3</v>
      </c>
      <c r="O893" s="5" t="str">
        <f ca="1">IFERROR(__xludf.DUMMYFUNCTION("""COMPUTED_VALUE"""),"Fall")</f>
        <v>Fall</v>
      </c>
      <c r="P893" s="5" t="str">
        <f ca="1">IFERROR(__xludf.DUMMYFUNCTION("""COMPUTED_VALUE"""),"Louisville")</f>
        <v>Louisville</v>
      </c>
      <c r="Q893" s="5" t="str">
        <f ca="1">IFERROR(__xludf.DUMMYFUNCTION("""COMPUTED_VALUE"""),"KY")</f>
        <v>KY</v>
      </c>
      <c r="R893" s="5" t="str">
        <f ca="1">IFERROR(__xludf.DUMMYFUNCTION("""COMPUTED_VALUE"""),"Elementary")</f>
        <v>Elementary</v>
      </c>
      <c r="S893" s="5" t="str">
        <f ca="1">IFERROR(__xludf.DUMMYFUNCTION("""COMPUTED_VALUE"""),"Beside Building")</f>
        <v>Beside Building</v>
      </c>
      <c r="T893" s="5" t="str">
        <f ca="1">IFERROR(__xludf.DUMMYFUNCTION("""COMPUTED_VALUE"""),"Outside on School Property")</f>
        <v>Outside on School Property</v>
      </c>
      <c r="U893" s="5" t="str">
        <f ca="1">IFERROR(__xludf.DUMMYFUNCTION("""COMPUTED_VALUE"""),"No")</f>
        <v>No</v>
      </c>
      <c r="V893" s="5" t="str">
        <f ca="1">IFERROR(__xludf.DUMMYFUNCTION("""COMPUTED_VALUE"""),"Evening")</f>
        <v>Evening</v>
      </c>
      <c r="W893" s="10">
        <f ca="1">IFERROR(__xludf.DUMMYFUNCTION("""COMPUTED_VALUE"""),0.747916666666666)</f>
        <v>0.74791666666666601</v>
      </c>
      <c r="X893" s="5">
        <f ca="1">IFERROR(__xludf.DUMMYFUNCTION("""COMPUTED_VALUE"""),1)</f>
        <v>1</v>
      </c>
      <c r="Y893" s="5" t="str">
        <f ca="1">IFERROR(__xludf.DUMMYFUNCTION("""COMPUTED_VALUE"""),"Two men in their 20s shot outside of school by unknown shooter")</f>
        <v>Two men in their 20s shot outside of school by unknown shooter</v>
      </c>
      <c r="Z893" s="5" t="str">
        <f ca="1">IFERROR(__xludf.DUMMYFUNCTION("""COMPUTED_VALUE"""),"Two men in their 20's were shot outside of the elementary school by an unknown gunman. Motive unknown.")</f>
        <v>Two men in their 20's were shot outside of the elementary school by an unknown gunman. Motive unknown.</v>
      </c>
      <c r="AA893" s="5" t="str">
        <f ca="1">IFERROR(__xludf.DUMMYFUNCTION("""COMPUTED_VALUE"""),"Escalation of Dispute")</f>
        <v>Escalation of Dispute</v>
      </c>
      <c r="AB893" s="5"/>
      <c r="AC893" s="5" t="str">
        <f ca="1">IFERROR(__xludf.DUMMYFUNCTION("""COMPUTED_VALUE"""),"No")</f>
        <v>No</v>
      </c>
      <c r="AD893" s="5" t="str">
        <f ca="1">IFERROR(__xludf.DUMMYFUNCTION("""COMPUTED_VALUE"""),"No")</f>
        <v>No</v>
      </c>
      <c r="AE893" s="5" t="str">
        <f ca="1">IFERROR(__xludf.DUMMYFUNCTION("""COMPUTED_VALUE"""),"No")</f>
        <v>No</v>
      </c>
      <c r="AF893" s="5" t="str">
        <f ca="1">IFERROR(__xludf.DUMMYFUNCTION("""COMPUTED_VALUE"""),"No")</f>
        <v>No</v>
      </c>
      <c r="AG893" s="5" t="str">
        <f ca="1">IFERROR(__xludf.DUMMYFUNCTION("""COMPUTED_VALUE"""),"No")</f>
        <v>No</v>
      </c>
      <c r="AH893" s="5" t="str">
        <f ca="1">IFERROR(__xludf.DUMMYFUNCTION("""COMPUTED_VALUE"""),"No")</f>
        <v>No</v>
      </c>
      <c r="AI893" s="5"/>
      <c r="AJ893" s="5" t="str">
        <f ca="1">IFERROR(__xludf.DUMMYFUNCTION("""COMPUTED_VALUE"""),"No")</f>
        <v>No</v>
      </c>
    </row>
    <row r="894" spans="1:36" ht="13">
      <c r="A894" s="5" t="str">
        <f ca="1">IFERROR(__xludf.DUMMYFUNCTION("""COMPUTED_VALUE"""),"20181029NCBUM")</f>
        <v>20181029NCBUM</v>
      </c>
      <c r="B894" s="5">
        <f ca="1">IFERROR(__xludf.DUMMYFUNCTION("""COMPUTED_VALUE"""),10)</f>
        <v>10</v>
      </c>
      <c r="C894" s="5">
        <f ca="1">IFERROR(__xludf.DUMMYFUNCTION("""COMPUTED_VALUE"""),29)</f>
        <v>29</v>
      </c>
      <c r="D894" s="5">
        <f ca="1">IFERROR(__xludf.DUMMYFUNCTION("""COMPUTED_VALUE"""),2018)</f>
        <v>2018</v>
      </c>
      <c r="E894" s="8">
        <f ca="1">IFERROR(__xludf.DUMMYFUNCTION("""COMPUTED_VALUE"""),43402)</f>
        <v>43402</v>
      </c>
      <c r="F894" s="5" t="str">
        <f ca="1">IFERROR(__xludf.DUMMYFUNCTION("""COMPUTED_VALUE"""),"Butler High School")</f>
        <v>Butler High School</v>
      </c>
      <c r="G894" s="5">
        <f ca="1">IFERROR(__xludf.DUMMYFUNCTION("""COMPUTED_VALUE"""),1)</f>
        <v>1</v>
      </c>
      <c r="H894" s="5">
        <f ca="1">IFERROR(__xludf.DUMMYFUNCTION("""COMPUTED_VALUE"""),0)</f>
        <v>0</v>
      </c>
      <c r="I894" s="5">
        <f ca="1">IFERROR(__xludf.DUMMYFUNCTION("""COMPUTED_VALUE"""),1)</f>
        <v>1</v>
      </c>
      <c r="J894" s="5">
        <f ca="1">IFERROR(__xludf.DUMMYFUNCTION("""COMPUTED_VALUE"""),0)</f>
        <v>0</v>
      </c>
      <c r="K894" s="5" t="str">
        <f ca="1">IFERROR(__xludf.DUMMYFUNCTION("""COMPUTED_VALUE"""),"https://www.wcnc.com/article/news/local/3-years-butler-high-school-shooting/275-396d668f-d916-401f-8098-1297d04c42c7 https://www.charlotteobserver.com/news/local/article220780475.html http://www.wbtv.com/2018/10/31/suspect-details-altercation-text-exchang"&amp;"e-ahead-deadly-school-shooting/ https://www.cnn.com/2018/10/29/cnn10/north-carolina-high-school-shooting/index.html https://www.cbsnews.com/news/butler-high-school-shooting-today-2018-10-29-live-stream-updates/ https://www.wbtv.com/2018/11/06/police-no-cl"&amp;"aims-bullying-butler-high-school-deadly-shooting/ https://www.wsoctv.com/news/local/charges-reduced-against-teen-accused-of-shooting-classmate-to-death-at-butler-hs/875437986 https://www.cbs17.com/news/nc-teen-charged-in-fatal-school-shooting-could-get-up"&amp;"-to-9-years-in-prison-after-plea-deal/")</f>
        <v>https://www.wcnc.com/article/news/local/3-years-butler-high-school-shooting/275-396d668f-d916-401f-8098-1297d04c42c7 https://www.charlotteobserver.com/news/local/article220780475.html http://www.wbtv.com/2018/10/31/suspect-details-altercation-text-exchange-ahead-deadly-school-shooting/ https://www.cnn.com/2018/10/29/cnn10/north-carolina-high-school-shooting/index.html https://www.cbsnews.com/news/butler-high-school-shooting-today-2018-10-29-live-stream-updates/ https://www.wbtv.com/2018/11/06/police-no-claims-bullying-butler-high-school-deadly-shooting/ https://www.wsoctv.com/news/local/charges-reduced-against-teen-accused-of-shooting-classmate-to-death-at-butler-hs/875437986 https://www.cbs17.com/news/nc-teen-charged-in-fatal-school-shooting-could-get-up-to-9-years-in-prison-after-plea-deal/</v>
      </c>
      <c r="L894" s="5">
        <f ca="1">IFERROR(__xludf.DUMMYFUNCTION("""COMPUTED_VALUE"""),11)</f>
        <v>11</v>
      </c>
      <c r="M894" s="5" t="str">
        <f ca="1">IFERROR(__xludf.DUMMYFUNCTION("""COMPUTED_VALUE"""),"National")</f>
        <v>National</v>
      </c>
      <c r="N894" s="5">
        <f ca="1">IFERROR(__xludf.DUMMYFUNCTION("""COMPUTED_VALUE"""),5)</f>
        <v>5</v>
      </c>
      <c r="O894" s="5" t="str">
        <f ca="1">IFERROR(__xludf.DUMMYFUNCTION("""COMPUTED_VALUE"""),"Fall")</f>
        <v>Fall</v>
      </c>
      <c r="P894" s="5" t="str">
        <f ca="1">IFERROR(__xludf.DUMMYFUNCTION("""COMPUTED_VALUE"""),"Matthews")</f>
        <v>Matthews</v>
      </c>
      <c r="Q894" s="5" t="str">
        <f ca="1">IFERROR(__xludf.DUMMYFUNCTION("""COMPUTED_VALUE"""),"NC")</f>
        <v>NC</v>
      </c>
      <c r="R894" s="5" t="str">
        <f ca="1">IFERROR(__xludf.DUMMYFUNCTION("""COMPUTED_VALUE"""),"High")</f>
        <v>High</v>
      </c>
      <c r="S894" s="5" t="str">
        <f ca="1">IFERROR(__xludf.DUMMYFUNCTION("""COMPUTED_VALUE"""),"Hallway")</f>
        <v>Hallway</v>
      </c>
      <c r="T894" s="5" t="str">
        <f ca="1">IFERROR(__xludf.DUMMYFUNCTION("""COMPUTED_VALUE"""),"Inside School Building")</f>
        <v>Inside School Building</v>
      </c>
      <c r="U894" s="5" t="str">
        <f ca="1">IFERROR(__xludf.DUMMYFUNCTION("""COMPUTED_VALUE"""),"Yes")</f>
        <v>Yes</v>
      </c>
      <c r="V894" s="5" t="str">
        <f ca="1">IFERROR(__xludf.DUMMYFUNCTION("""COMPUTED_VALUE"""),"Morning Classes")</f>
        <v>Morning Classes</v>
      </c>
      <c r="W894" s="10">
        <f ca="1">IFERROR(__xludf.DUMMYFUNCTION("""COMPUTED_VALUE"""),0.302083333333333)</f>
        <v>0.30208333333333298</v>
      </c>
      <c r="X894" s="5">
        <f ca="1">IFERROR(__xludf.DUMMYFUNCTION("""COMPUTED_VALUE"""),1)</f>
        <v>1</v>
      </c>
      <c r="Y894" s="5" t="str">
        <f ca="1">IFERROR(__xludf.DUMMYFUNCTION("""COMPUTED_VALUE"""),"Escalated fight the previous day involving multiple students")</f>
        <v>Escalated fight the previous day involving multiple students</v>
      </c>
      <c r="Z894" s="5" t="str">
        <f ca="1">IFERROR(__xludf.DUMMYFUNCTION("""COMPUTED_VALUE"""),"Two 16YOM students were fighting in front of the cafeteria in a crowded hallway and one of them pulled out a gun (stolen from a car) and shot the other. The victim died later at the hospital. An SRO was in the cafeteria, gave the victim first aid, apprehe"&amp;"nded the suspect, and seized the gun. The police had covered the scene in 10 minutes. Shooter and victim were involved in fight the day prior (multiple students, one had a knife). Police said bullying was not involved.")</f>
        <v>Two 16YOM students were fighting in front of the cafeteria in a crowded hallway and one of them pulled out a gun (stolen from a car) and shot the other. The victim died later at the hospital. An SRO was in the cafeteria, gave the victim first aid, apprehended the suspect, and seized the gun. The police had covered the scene in 10 minutes. Shooter and victim were involved in fight the day prior (multiple students, one had a knife). Police said bullying was not involved.</v>
      </c>
      <c r="AA894" s="5" t="str">
        <f ca="1">IFERROR(__xludf.DUMMYFUNCTION("""COMPUTED_VALUE"""),"Escalation of Dispute")</f>
        <v>Escalation of Dispute</v>
      </c>
      <c r="AB894" s="5" t="str">
        <f ca="1">IFERROR(__xludf.DUMMYFUNCTION("""COMPUTED_VALUE"""),"Victims Targeted")</f>
        <v>Victims Targeted</v>
      </c>
      <c r="AC894" s="5" t="str">
        <f ca="1">IFERROR(__xludf.DUMMYFUNCTION("""COMPUTED_VALUE"""),"No")</f>
        <v>No</v>
      </c>
      <c r="AD894" s="5" t="str">
        <f ca="1">IFERROR(__xludf.DUMMYFUNCTION("""COMPUTED_VALUE"""),"No")</f>
        <v>No</v>
      </c>
      <c r="AE894" s="5" t="str">
        <f ca="1">IFERROR(__xludf.DUMMYFUNCTION("""COMPUTED_VALUE"""),"No")</f>
        <v>No</v>
      </c>
      <c r="AF894" s="5" t="str">
        <f ca="1">IFERROR(__xludf.DUMMYFUNCTION("""COMPUTED_VALUE"""),"No")</f>
        <v>No</v>
      </c>
      <c r="AG894" s="5" t="str">
        <f ca="1">IFERROR(__xludf.DUMMYFUNCTION("""COMPUTED_VALUE"""),"Yes")</f>
        <v>Yes</v>
      </c>
      <c r="AH894" s="5" t="str">
        <f ca="1">IFERROR(__xludf.DUMMYFUNCTION("""COMPUTED_VALUE"""),"No")</f>
        <v>No</v>
      </c>
      <c r="AI894" s="5" t="str">
        <f ca="1">IFERROR(__xludf.DUMMYFUNCTION("""COMPUTED_VALUE"""),"No")</f>
        <v>No</v>
      </c>
      <c r="AJ894" s="5" t="str">
        <f ca="1">IFERROR(__xludf.DUMMYFUNCTION("""COMPUTED_VALUE"""),"No")</f>
        <v>No</v>
      </c>
    </row>
    <row r="895" spans="1:36" ht="13">
      <c r="A895" s="5" t="str">
        <f ca="1">IFERROR(__xludf.DUMMYFUNCTION("""COMPUTED_VALUE"""),"20181026FLSAO")</f>
        <v>20181026FLSAO</v>
      </c>
      <c r="B895" s="5">
        <f ca="1">IFERROR(__xludf.DUMMYFUNCTION("""COMPUTED_VALUE"""),10)</f>
        <v>10</v>
      </c>
      <c r="C895" s="5">
        <f ca="1">IFERROR(__xludf.DUMMYFUNCTION("""COMPUTED_VALUE"""),26)</f>
        <v>26</v>
      </c>
      <c r="D895" s="5">
        <f ca="1">IFERROR(__xludf.DUMMYFUNCTION("""COMPUTED_VALUE"""),2018)</f>
        <v>2018</v>
      </c>
      <c r="E895" s="8">
        <f ca="1">IFERROR(__xludf.DUMMYFUNCTION("""COMPUTED_VALUE"""),43399)</f>
        <v>43399</v>
      </c>
      <c r="F895" s="5" t="str">
        <f ca="1">IFERROR(__xludf.DUMMYFUNCTION("""COMPUTED_VALUE"""),"Saddlewood Elementary School")</f>
        <v>Saddlewood Elementary School</v>
      </c>
      <c r="G895" s="5">
        <f ca="1">IFERROR(__xludf.DUMMYFUNCTION("""COMPUTED_VALUE"""),1)</f>
        <v>1</v>
      </c>
      <c r="H895" s="5">
        <f ca="1">IFERROR(__xludf.DUMMYFUNCTION("""COMPUTED_VALUE"""),0)</f>
        <v>0</v>
      </c>
      <c r="I895" s="5">
        <f ca="1">IFERROR(__xludf.DUMMYFUNCTION("""COMPUTED_VALUE"""),1)</f>
        <v>1</v>
      </c>
      <c r="J895" s="5">
        <f ca="1">IFERROR(__xludf.DUMMYFUNCTION("""COMPUTED_VALUE"""),0)</f>
        <v>0</v>
      </c>
      <c r="K895" s="5" t="str">
        <f ca="1">IFERROR(__xludf.DUMMYFUNCTION("""COMPUTED_VALUE"""),"https://www.ocala.com/story/news/courts/2022/08/10/man-accused-2018-shooting-death-ocala-florida-stands-trial/10273066002/
https://www.ocala.com/story/news/crime/2018/10/30/third-teen-arrested-in-connection-to-fatal-shooting-in-ocala-on-friday/9415068007/"&amp;"
")</f>
        <v xml:space="preserve">https://www.ocala.com/story/news/courts/2022/08/10/man-accused-2018-shooting-death-ocala-florida-stands-trial/10273066002/
https://www.ocala.com/story/news/crime/2018/10/30/third-teen-arrested-in-connection-to-fatal-shooting-in-ocala-on-friday/9415068007/
</v>
      </c>
      <c r="L895" s="5">
        <f ca="1">IFERROR(__xludf.DUMMYFUNCTION("""COMPUTED_VALUE"""),10)</f>
        <v>10</v>
      </c>
      <c r="M895" s="5" t="str">
        <f ca="1">IFERROR(__xludf.DUMMYFUNCTION("""COMPUTED_VALUE"""),"Regional")</f>
        <v>Regional</v>
      </c>
      <c r="N895" s="5">
        <f ca="1">IFERROR(__xludf.DUMMYFUNCTION("""COMPUTED_VALUE"""),5)</f>
        <v>5</v>
      </c>
      <c r="O895" s="5" t="str">
        <f ca="1">IFERROR(__xludf.DUMMYFUNCTION("""COMPUTED_VALUE"""),"Fall")</f>
        <v>Fall</v>
      </c>
      <c r="P895" s="5" t="str">
        <f ca="1">IFERROR(__xludf.DUMMYFUNCTION("""COMPUTED_VALUE"""),"Ocala")</f>
        <v>Ocala</v>
      </c>
      <c r="Q895" s="5" t="str">
        <f ca="1">IFERROR(__xludf.DUMMYFUNCTION("""COMPUTED_VALUE"""),"FL")</f>
        <v>FL</v>
      </c>
      <c r="R895" s="5" t="str">
        <f ca="1">IFERROR(__xludf.DUMMYFUNCTION("""COMPUTED_VALUE"""),"Elementary")</f>
        <v>Elementary</v>
      </c>
      <c r="S895" s="5" t="str">
        <f ca="1">IFERROR(__xludf.DUMMYFUNCTION("""COMPUTED_VALUE"""),"Front of School")</f>
        <v>Front of School</v>
      </c>
      <c r="T895" s="5" t="str">
        <f ca="1">IFERROR(__xludf.DUMMYFUNCTION("""COMPUTED_VALUE"""),"Outside on School Property")</f>
        <v>Outside on School Property</v>
      </c>
      <c r="U895" s="5" t="str">
        <f ca="1">IFERROR(__xludf.DUMMYFUNCTION("""COMPUTED_VALUE"""),"No")</f>
        <v>No</v>
      </c>
      <c r="V895" s="5" t="str">
        <f ca="1">IFERROR(__xludf.DUMMYFUNCTION("""COMPUTED_VALUE"""),"School Event")</f>
        <v>School Event</v>
      </c>
      <c r="W895" s="10">
        <f ca="1">IFERROR(__xludf.DUMMYFUNCTION("""COMPUTED_VALUE"""),0.833333333333333)</f>
        <v>0.83333333333333304</v>
      </c>
      <c r="X895" s="5">
        <f ca="1">IFERROR(__xludf.DUMMYFUNCTION("""COMPUTED_VALUE"""),1)</f>
        <v>1</v>
      </c>
      <c r="Y895" s="5" t="str">
        <f ca="1">IFERROR(__xludf.DUMMYFUNCTION("""COMPUTED_VALUE"""),"Man shot during drug deal outside of school (Halloween party inside)")</f>
        <v>Man shot during drug deal outside of school (Halloween party inside)</v>
      </c>
      <c r="Z895" s="5" t="str">
        <f ca="1">IFERROR(__xludf.DUMMYFUNCTION("""COMPUTED_VALUE"""),"An 18-year-old man was fatally shot in the front of the school during a drug deal. 1,200 students, parents, and staff were inside the school for a Halloween party. School was locked down and students sheltered inside bathrooms. Shooter fled.")</f>
        <v>An 18-year-old man was fatally shot in the front of the school during a drug deal. 1,200 students, parents, and staff were inside the school for a Halloween party. School was locked down and students sheltered inside bathrooms. Shooter fled.</v>
      </c>
      <c r="AA895" s="5" t="str">
        <f ca="1">IFERROR(__xludf.DUMMYFUNCTION("""COMPUTED_VALUE"""),"Illegal Activity")</f>
        <v>Illegal Activity</v>
      </c>
      <c r="AB895" s="5" t="str">
        <f ca="1">IFERROR(__xludf.DUMMYFUNCTION("""COMPUTED_VALUE"""),"Victims Targeted")</f>
        <v>Victims Targeted</v>
      </c>
      <c r="AC895" s="5" t="str">
        <f ca="1">IFERROR(__xludf.DUMMYFUNCTION("""COMPUTED_VALUE"""),"Yes")</f>
        <v>Yes</v>
      </c>
      <c r="AD895" s="5" t="str">
        <f ca="1">IFERROR(__xludf.DUMMYFUNCTION("""COMPUTED_VALUE"""),"No")</f>
        <v>No</v>
      </c>
      <c r="AE895" s="5" t="str">
        <f ca="1">IFERROR(__xludf.DUMMYFUNCTION("""COMPUTED_VALUE"""),"No")</f>
        <v>No</v>
      </c>
      <c r="AF895" s="5" t="str">
        <f ca="1">IFERROR(__xludf.DUMMYFUNCTION("""COMPUTED_VALUE"""),"No")</f>
        <v>No</v>
      </c>
      <c r="AG895" s="5" t="str">
        <f ca="1">IFERROR(__xludf.DUMMYFUNCTION("""COMPUTED_VALUE"""),"No")</f>
        <v>No</v>
      </c>
      <c r="AH895" s="5" t="str">
        <f ca="1">IFERROR(__xludf.DUMMYFUNCTION("""COMPUTED_VALUE"""),"No")</f>
        <v>No</v>
      </c>
      <c r="AI895" s="5" t="str">
        <f ca="1">IFERROR(__xludf.DUMMYFUNCTION("""COMPUTED_VALUE"""),"No")</f>
        <v>No</v>
      </c>
      <c r="AJ895" s="5" t="str">
        <f ca="1">IFERROR(__xludf.DUMMYFUNCTION("""COMPUTED_VALUE"""),"No")</f>
        <v>No</v>
      </c>
    </row>
    <row r="896" spans="1:36" ht="13">
      <c r="A896" s="5" t="str">
        <f ca="1">IFERROR(__xludf.DUMMYFUNCTION("""COMPUTED_VALUE"""),"20181025MICOD")</f>
        <v>20181025MICOD</v>
      </c>
      <c r="B896" s="5">
        <f ca="1">IFERROR(__xludf.DUMMYFUNCTION("""COMPUTED_VALUE"""),10)</f>
        <v>10</v>
      </c>
      <c r="C896" s="5">
        <f ca="1">IFERROR(__xludf.DUMMYFUNCTION("""COMPUTED_VALUE"""),25)</f>
        <v>25</v>
      </c>
      <c r="D896" s="5">
        <f ca="1">IFERROR(__xludf.DUMMYFUNCTION("""COMPUTED_VALUE"""),2018)</f>
        <v>2018</v>
      </c>
      <c r="E896" s="8">
        <f ca="1">IFERROR(__xludf.DUMMYFUNCTION("""COMPUTED_VALUE"""),43398)</f>
        <v>43398</v>
      </c>
      <c r="F896" s="5" t="str">
        <f ca="1">IFERROR(__xludf.DUMMYFUNCTION("""COMPUTED_VALUE"""),"Cody High School")</f>
        <v>Cody High School</v>
      </c>
      <c r="G896" s="5">
        <f ca="1">IFERROR(__xludf.DUMMYFUNCTION("""COMPUTED_VALUE"""),0)</f>
        <v>0</v>
      </c>
      <c r="H896" s="5">
        <f ca="1">IFERROR(__xludf.DUMMYFUNCTION("""COMPUTED_VALUE"""),0)</f>
        <v>0</v>
      </c>
      <c r="I896" s="5">
        <f ca="1">IFERROR(__xludf.DUMMYFUNCTION("""COMPUTED_VALUE"""),0)</f>
        <v>0</v>
      </c>
      <c r="J896" s="5">
        <f ca="1">IFERROR(__xludf.DUMMYFUNCTION("""COMPUTED_VALUE"""),0)</f>
        <v>0</v>
      </c>
      <c r="K896" s="9" t="str">
        <f ca="1">IFERROR(__xludf.DUMMYFUNCTION("""COMPUTED_VALUE"""),"https://www.wxyz.com/news/detroit-police-confirm-shooting-on-cody-high-school-property")</f>
        <v>https://www.wxyz.com/news/detroit-police-confirm-shooting-on-cody-high-school-property</v>
      </c>
      <c r="L896" s="5"/>
      <c r="M896" s="5"/>
      <c r="N896" s="5">
        <f ca="1">IFERROR(__xludf.DUMMYFUNCTION("""COMPUTED_VALUE"""),2)</f>
        <v>2</v>
      </c>
      <c r="O896" s="5" t="str">
        <f ca="1">IFERROR(__xludf.DUMMYFUNCTION("""COMPUTED_VALUE"""),"Fall")</f>
        <v>Fall</v>
      </c>
      <c r="P896" s="5" t="str">
        <f ca="1">IFERROR(__xludf.DUMMYFUNCTION("""COMPUTED_VALUE"""),"Detroit")</f>
        <v>Detroit</v>
      </c>
      <c r="Q896" s="5" t="str">
        <f ca="1">IFERROR(__xludf.DUMMYFUNCTION("""COMPUTED_VALUE"""),"MI")</f>
        <v>MI</v>
      </c>
      <c r="R896" s="5" t="str">
        <f ca="1">IFERROR(__xludf.DUMMYFUNCTION("""COMPUTED_VALUE"""),"High")</f>
        <v>High</v>
      </c>
      <c r="S896" s="5" t="str">
        <f ca="1">IFERROR(__xludf.DUMMYFUNCTION("""COMPUTED_VALUE"""),"Outside on School Property")</f>
        <v>Outside on School Property</v>
      </c>
      <c r="T896" s="5" t="str">
        <f ca="1">IFERROR(__xludf.DUMMYFUNCTION("""COMPUTED_VALUE"""),"Outside on School Property")</f>
        <v>Outside on School Property</v>
      </c>
      <c r="U896" s="5"/>
      <c r="V896" s="5"/>
      <c r="W896" s="5"/>
      <c r="X896" s="5">
        <f ca="1">IFERROR(__xludf.DUMMYFUNCTION("""COMPUTED_VALUE"""),1)</f>
        <v>1</v>
      </c>
      <c r="Y896" s="5" t="str">
        <f ca="1">IFERROR(__xludf.DUMMYFUNCTION("""COMPUTED_VALUE"""),"Student shot at on school property, shots missed")</f>
        <v>Student shot at on school property, shots missed</v>
      </c>
      <c r="Z896" s="5" t="str">
        <f ca="1">IFERROR(__xludf.DUMMYFUNCTION("""COMPUTED_VALUE"""),"15YOM student was shot at on school property. All shots missed. The shooter fled. Police arrested 3 suspects in a vehicle related to the shooting.")</f>
        <v>15YOM student was shot at on school property. All shots missed. The shooter fled. Police arrested 3 suspects in a vehicle related to the shooting.</v>
      </c>
      <c r="AA896" s="5" t="str">
        <f ca="1">IFERROR(__xludf.DUMMYFUNCTION("""COMPUTED_VALUE"""),"Drive-by Shooting")</f>
        <v>Drive-by Shooting</v>
      </c>
      <c r="AB896" s="5" t="str">
        <f ca="1">IFERROR(__xludf.DUMMYFUNCTION("""COMPUTED_VALUE"""),"Victims Targeted")</f>
        <v>Victims Targeted</v>
      </c>
      <c r="AC896" s="5" t="str">
        <f ca="1">IFERROR(__xludf.DUMMYFUNCTION("""COMPUTED_VALUE"""),"Yes")</f>
        <v>Yes</v>
      </c>
      <c r="AD896" s="5" t="str">
        <f ca="1">IFERROR(__xludf.DUMMYFUNCTION("""COMPUTED_VALUE"""),"No")</f>
        <v>No</v>
      </c>
      <c r="AE896" s="5" t="str">
        <f ca="1">IFERROR(__xludf.DUMMYFUNCTION("""COMPUTED_VALUE"""),"No")</f>
        <v>No</v>
      </c>
      <c r="AF896" s="5" t="str">
        <f ca="1">IFERROR(__xludf.DUMMYFUNCTION("""COMPUTED_VALUE"""),"No")</f>
        <v>No</v>
      </c>
      <c r="AG896" s="5" t="str">
        <f ca="1">IFERROR(__xludf.DUMMYFUNCTION("""COMPUTED_VALUE"""),"No")</f>
        <v>No</v>
      </c>
      <c r="AH896" s="5" t="str">
        <f ca="1">IFERROR(__xludf.DUMMYFUNCTION("""COMPUTED_VALUE"""),"No")</f>
        <v>No</v>
      </c>
      <c r="AI896" s="5"/>
      <c r="AJ896" s="5" t="str">
        <f ca="1">IFERROR(__xludf.DUMMYFUNCTION("""COMPUTED_VALUE"""),"No")</f>
        <v>No</v>
      </c>
    </row>
    <row r="897" spans="1:36" ht="13">
      <c r="A897" s="5" t="str">
        <f ca="1">IFERROR(__xludf.DUMMYFUNCTION("""COMPUTED_VALUE"""),"20181023NHGOM")</f>
        <v>20181023NHGOM</v>
      </c>
      <c r="B897" s="5">
        <f ca="1">IFERROR(__xludf.DUMMYFUNCTION("""COMPUTED_VALUE"""),10)</f>
        <v>10</v>
      </c>
      <c r="C897" s="5">
        <f ca="1">IFERROR(__xludf.DUMMYFUNCTION("""COMPUTED_VALUE"""),23)</f>
        <v>23</v>
      </c>
      <c r="D897" s="5">
        <f ca="1">IFERROR(__xludf.DUMMYFUNCTION("""COMPUTED_VALUE"""),2018)</f>
        <v>2018</v>
      </c>
      <c r="E897" s="8">
        <f ca="1">IFERROR(__xludf.DUMMYFUNCTION("""COMPUTED_VALUE"""),43396)</f>
        <v>43396</v>
      </c>
      <c r="F897" s="5" t="str">
        <f ca="1">IFERROR(__xludf.DUMMYFUNCTION("""COMPUTED_VALUE"""),"Gossler Park Elementary School")</f>
        <v>Gossler Park Elementary School</v>
      </c>
      <c r="G897" s="5">
        <f ca="1">IFERROR(__xludf.DUMMYFUNCTION("""COMPUTED_VALUE"""),0)</f>
        <v>0</v>
      </c>
      <c r="H897" s="5">
        <f ca="1">IFERROR(__xludf.DUMMYFUNCTION("""COMPUTED_VALUE"""),1)</f>
        <v>1</v>
      </c>
      <c r="I897" s="5">
        <f ca="1">IFERROR(__xludf.DUMMYFUNCTION("""COMPUTED_VALUE"""),1)</f>
        <v>1</v>
      </c>
      <c r="J897" s="5">
        <f ca="1">IFERROR(__xludf.DUMMYFUNCTION("""COMPUTED_VALUE"""),0)</f>
        <v>0</v>
      </c>
      <c r="K897" s="9" t="str">
        <f ca="1">IFERROR(__xludf.DUMMYFUNCTION("""COMPUTED_VALUE"""),"https://www.wmur.com/amp/article/manchester-after-school-volunteer-shot-by-pellet-gun-at-elementary-school/24089076")</f>
        <v>https://www.wmur.com/amp/article/manchester-after-school-volunteer-shot-by-pellet-gun-at-elementary-school/24089076</v>
      </c>
      <c r="L897" s="5"/>
      <c r="M897" s="5"/>
      <c r="N897" s="5">
        <f ca="1">IFERROR(__xludf.DUMMYFUNCTION("""COMPUTED_VALUE"""),2)</f>
        <v>2</v>
      </c>
      <c r="O897" s="5" t="str">
        <f ca="1">IFERROR(__xludf.DUMMYFUNCTION("""COMPUTED_VALUE"""),"Fall")</f>
        <v>Fall</v>
      </c>
      <c r="P897" s="5" t="str">
        <f ca="1">IFERROR(__xludf.DUMMYFUNCTION("""COMPUTED_VALUE"""),"Manchester")</f>
        <v>Manchester</v>
      </c>
      <c r="Q897" s="5" t="str">
        <f ca="1">IFERROR(__xludf.DUMMYFUNCTION("""COMPUTED_VALUE"""),"NH")</f>
        <v>NH</v>
      </c>
      <c r="R897" s="5" t="str">
        <f ca="1">IFERROR(__xludf.DUMMYFUNCTION("""COMPUTED_VALUE"""),"Elementary")</f>
        <v>Elementary</v>
      </c>
      <c r="S897" s="5" t="str">
        <f ca="1">IFERROR(__xludf.DUMMYFUNCTION("""COMPUTED_VALUE"""),"Playground")</f>
        <v>Playground</v>
      </c>
      <c r="T897" s="5" t="str">
        <f ca="1">IFERROR(__xludf.DUMMYFUNCTION("""COMPUTED_VALUE"""),"Outside on School Property")</f>
        <v>Outside on School Property</v>
      </c>
      <c r="U897" s="5" t="str">
        <f ca="1">IFERROR(__xludf.DUMMYFUNCTION("""COMPUTED_VALUE"""),"Yes")</f>
        <v>Yes</v>
      </c>
      <c r="V897" s="5" t="str">
        <f ca="1">IFERROR(__xludf.DUMMYFUNCTION("""COMPUTED_VALUE"""),"Afternoon Classes")</f>
        <v>Afternoon Classes</v>
      </c>
      <c r="W897" s="5"/>
      <c r="X897" s="5">
        <f ca="1">IFERROR(__xludf.DUMMYFUNCTION("""COMPUTED_VALUE"""),1)</f>
        <v>1</v>
      </c>
      <c r="Y897" s="5" t="str">
        <f ca="1">IFERROR(__xludf.DUMMYFUNCTION("""COMPUTED_VALUE"""),"Unknown shooter fired pellet gun at students and teacher from the tree line near the school")</f>
        <v>Unknown shooter fired pellet gun at students and teacher from the tree line near the school</v>
      </c>
      <c r="Z897" s="5" t="str">
        <f ca="1">IFERROR(__xludf.DUMMYFUNCTION("""COMPUTED_VALUE"""),"Unknown shooter fired pellet gun at students on the playground from the tree line near the school. A teacher was struck and injured. Police responded but the unidentified shooter fled.")</f>
        <v>Unknown shooter fired pellet gun at students on the playground from the tree line near the school. A teacher was struck and injured. Police responded but the unidentified shooter fled.</v>
      </c>
      <c r="AA897" s="5" t="str">
        <f ca="1">IFERROR(__xludf.DUMMYFUNCTION("""COMPUTED_VALUE"""),"Indiscriminate Shooting")</f>
        <v>Indiscriminate Shooting</v>
      </c>
      <c r="AB897" s="5" t="str">
        <f ca="1">IFERROR(__xludf.DUMMYFUNCTION("""COMPUTED_VALUE"""),"Random Shooting")</f>
        <v>Random Shooting</v>
      </c>
      <c r="AC897" s="5" t="str">
        <f ca="1">IFERROR(__xludf.DUMMYFUNCTION("""COMPUTED_VALUE"""),"No")</f>
        <v>No</v>
      </c>
      <c r="AD897" s="5" t="str">
        <f ca="1">IFERROR(__xludf.DUMMYFUNCTION("""COMPUTED_VALUE"""),"No")</f>
        <v>No</v>
      </c>
      <c r="AE897" s="5" t="str">
        <f ca="1">IFERROR(__xludf.DUMMYFUNCTION("""COMPUTED_VALUE"""),"No")</f>
        <v>No</v>
      </c>
      <c r="AF897" s="5" t="str">
        <f ca="1">IFERROR(__xludf.DUMMYFUNCTION("""COMPUTED_VALUE"""),"No")</f>
        <v>No</v>
      </c>
      <c r="AG897" s="5"/>
      <c r="AH897" s="5" t="str">
        <f ca="1">IFERROR(__xludf.DUMMYFUNCTION("""COMPUTED_VALUE"""),"No")</f>
        <v>No</v>
      </c>
      <c r="AI897" s="5" t="str">
        <f ca="1">IFERROR(__xludf.DUMMYFUNCTION("""COMPUTED_VALUE"""),"No")</f>
        <v>No</v>
      </c>
      <c r="AJ897" s="5" t="str">
        <f ca="1">IFERROR(__xludf.DUMMYFUNCTION("""COMPUTED_VALUE"""),"No")</f>
        <v>No</v>
      </c>
    </row>
    <row r="898" spans="1:36" ht="13">
      <c r="A898" s="5" t="str">
        <f ca="1">IFERROR(__xludf.DUMMYFUNCTION("""COMPUTED_VALUE"""),"20181022CTDUB")</f>
        <v>20181022CTDUB</v>
      </c>
      <c r="B898" s="5">
        <f ca="1">IFERROR(__xludf.DUMMYFUNCTION("""COMPUTED_VALUE"""),10)</f>
        <v>10</v>
      </c>
      <c r="C898" s="5">
        <f ca="1">IFERROR(__xludf.DUMMYFUNCTION("""COMPUTED_VALUE"""),22)</f>
        <v>22</v>
      </c>
      <c r="D898" s="5">
        <f ca="1">IFERROR(__xludf.DUMMYFUNCTION("""COMPUTED_VALUE"""),2018)</f>
        <v>2018</v>
      </c>
      <c r="E898" s="8">
        <f ca="1">IFERROR(__xludf.DUMMYFUNCTION("""COMPUTED_VALUE"""),43395)</f>
        <v>43395</v>
      </c>
      <c r="F898" s="5" t="str">
        <f ca="1">IFERROR(__xludf.DUMMYFUNCTION("""COMPUTED_VALUE"""),"Dunbar Elementary School")</f>
        <v>Dunbar Elementary School</v>
      </c>
      <c r="G898" s="5">
        <f ca="1">IFERROR(__xludf.DUMMYFUNCTION("""COMPUTED_VALUE"""),0)</f>
        <v>0</v>
      </c>
      <c r="H898" s="5">
        <f ca="1">IFERROR(__xludf.DUMMYFUNCTION("""COMPUTED_VALUE"""),0)</f>
        <v>0</v>
      </c>
      <c r="I898" s="5">
        <f ca="1">IFERROR(__xludf.DUMMYFUNCTION("""COMPUTED_VALUE"""),0)</f>
        <v>0</v>
      </c>
      <c r="J898" s="5">
        <f ca="1">IFERROR(__xludf.DUMMYFUNCTION("""COMPUTED_VALUE"""),0)</f>
        <v>0</v>
      </c>
      <c r="K898" s="9" t="str">
        <f ca="1">IFERROR(__xludf.DUMMYFUNCTION("""COMPUTED_VALUE"""),"https://fox61.com/2018/10/22/shot-fired-through-window-in-bridgeport-school/")</f>
        <v>https://fox61.com/2018/10/22/shot-fired-through-window-in-bridgeport-school/</v>
      </c>
      <c r="L898" s="5"/>
      <c r="M898" s="5"/>
      <c r="N898" s="5">
        <f ca="1">IFERROR(__xludf.DUMMYFUNCTION("""COMPUTED_VALUE"""),3)</f>
        <v>3</v>
      </c>
      <c r="O898" s="5" t="str">
        <f ca="1">IFERROR(__xludf.DUMMYFUNCTION("""COMPUTED_VALUE"""),"Fall")</f>
        <v>Fall</v>
      </c>
      <c r="P898" s="5" t="str">
        <f ca="1">IFERROR(__xludf.DUMMYFUNCTION("""COMPUTED_VALUE"""),"Bridgeport")</f>
        <v>Bridgeport</v>
      </c>
      <c r="Q898" s="5" t="str">
        <f ca="1">IFERROR(__xludf.DUMMYFUNCTION("""COMPUTED_VALUE"""),"CT")</f>
        <v>CT</v>
      </c>
      <c r="R898" s="5" t="str">
        <f ca="1">IFERROR(__xludf.DUMMYFUNCTION("""COMPUTED_VALUE"""),"Elementary")</f>
        <v>Elementary</v>
      </c>
      <c r="S898" s="5" t="str">
        <f ca="1">IFERROR(__xludf.DUMMYFUNCTION("""COMPUTED_VALUE"""),"Off School Property")</f>
        <v>Off School Property</v>
      </c>
      <c r="T898" s="5" t="str">
        <f ca="1">IFERROR(__xludf.DUMMYFUNCTION("""COMPUTED_VALUE"""),"Off School Property")</f>
        <v>Off School Property</v>
      </c>
      <c r="U898" s="5" t="str">
        <f ca="1">IFERROR(__xludf.DUMMYFUNCTION("""COMPUTED_VALUE"""),"No")</f>
        <v>No</v>
      </c>
      <c r="V898" s="5" t="str">
        <f ca="1">IFERROR(__xludf.DUMMYFUNCTION("""COMPUTED_VALUE"""),"Before School")</f>
        <v>Before School</v>
      </c>
      <c r="W898" s="10">
        <f ca="1">IFERROR(__xludf.DUMMYFUNCTION("""COMPUTED_VALUE"""),0.333333333333333)</f>
        <v>0.33333333333333298</v>
      </c>
      <c r="X898" s="5">
        <f ca="1">IFERROR(__xludf.DUMMYFUNCTION("""COMPUTED_VALUE"""),1)</f>
        <v>1</v>
      </c>
      <c r="Y898" s="5" t="str">
        <f ca="1">IFERROR(__xludf.DUMMYFUNCTION("""COMPUTED_VALUE"""),"18YOM fired shot at mother's boyfriend, shot missed and struck school window")</f>
        <v>18YOM fired shot at mother's boyfriend, shot missed and struck school window</v>
      </c>
      <c r="Z898" s="5" t="str">
        <f ca="1">IFERROR(__xludf.DUMMYFUNCTION("""COMPUTED_VALUE"""),"18YOM fired shot at mother's boyfriend during dispute. The bullet missed and struck the window of the elementary school. No students were inside the building.")</f>
        <v>18YOM fired shot at mother's boyfriend during dispute. The bullet missed and struck the window of the elementary school. No students were inside the building.</v>
      </c>
      <c r="AA898" s="5" t="str">
        <f ca="1">IFERROR(__xludf.DUMMYFUNCTION("""COMPUTED_VALUE"""),"Escalation of Dispute")</f>
        <v>Escalation of Dispute</v>
      </c>
      <c r="AB898" s="5" t="str">
        <f ca="1">IFERROR(__xludf.DUMMYFUNCTION("""COMPUTED_VALUE"""),"Victims Targeted")</f>
        <v>Victims Targeted</v>
      </c>
      <c r="AC898" s="5" t="str">
        <f ca="1">IFERROR(__xludf.DUMMYFUNCTION("""COMPUTED_VALUE"""),"No")</f>
        <v>No</v>
      </c>
      <c r="AD898" s="5" t="str">
        <f ca="1">IFERROR(__xludf.DUMMYFUNCTION("""COMPUTED_VALUE"""),"No")</f>
        <v>No</v>
      </c>
      <c r="AE898" s="5" t="str">
        <f ca="1">IFERROR(__xludf.DUMMYFUNCTION("""COMPUTED_VALUE"""),"No")</f>
        <v>No</v>
      </c>
      <c r="AF898" s="5" t="str">
        <f ca="1">IFERROR(__xludf.DUMMYFUNCTION("""COMPUTED_VALUE"""),"No")</f>
        <v>No</v>
      </c>
      <c r="AG898" s="5" t="str">
        <f ca="1">IFERROR(__xludf.DUMMYFUNCTION("""COMPUTED_VALUE"""),"No")</f>
        <v>No</v>
      </c>
      <c r="AH898" s="5" t="str">
        <f ca="1">IFERROR(__xludf.DUMMYFUNCTION("""COMPUTED_VALUE"""),"Yes")</f>
        <v>Yes</v>
      </c>
      <c r="AI898" s="5" t="str">
        <f ca="1">IFERROR(__xludf.DUMMYFUNCTION("""COMPUTED_VALUE"""),"No")</f>
        <v>No</v>
      </c>
      <c r="AJ898" s="5" t="str">
        <f ca="1">IFERROR(__xludf.DUMMYFUNCTION("""COMPUTED_VALUE"""),"No")</f>
        <v>No</v>
      </c>
    </row>
    <row r="899" spans="1:36" ht="13">
      <c r="A899" s="5" t="str">
        <f ca="1">IFERROR(__xludf.DUMMYFUNCTION("""COMPUTED_VALUE"""),"20181020GASHS")</f>
        <v>20181020GASHS</v>
      </c>
      <c r="B899" s="5">
        <f ca="1">IFERROR(__xludf.DUMMYFUNCTION("""COMPUTED_VALUE"""),10)</f>
        <v>10</v>
      </c>
      <c r="C899" s="5">
        <f ca="1">IFERROR(__xludf.DUMMYFUNCTION("""COMPUTED_VALUE"""),20)</f>
        <v>20</v>
      </c>
      <c r="D899" s="5">
        <f ca="1">IFERROR(__xludf.DUMMYFUNCTION("""COMPUTED_VALUE"""),2018)</f>
        <v>2018</v>
      </c>
      <c r="E899" s="8">
        <f ca="1">IFERROR(__xludf.DUMMYFUNCTION("""COMPUTED_VALUE"""),43393)</f>
        <v>43393</v>
      </c>
      <c r="F899" s="5" t="str">
        <f ca="1">IFERROR(__xludf.DUMMYFUNCTION("""COMPUTED_VALUE"""),"Shiloh Middle School")</f>
        <v>Shiloh Middle School</v>
      </c>
      <c r="G899" s="5">
        <f ca="1">IFERROR(__xludf.DUMMYFUNCTION("""COMPUTED_VALUE"""),1)</f>
        <v>1</v>
      </c>
      <c r="H899" s="5">
        <f ca="1">IFERROR(__xludf.DUMMYFUNCTION("""COMPUTED_VALUE"""),0)</f>
        <v>0</v>
      </c>
      <c r="I899" s="5">
        <f ca="1">IFERROR(__xludf.DUMMYFUNCTION("""COMPUTED_VALUE"""),1)</f>
        <v>1</v>
      </c>
      <c r="J899" s="5">
        <f ca="1">IFERROR(__xludf.DUMMYFUNCTION("""COMPUTED_VALUE"""),0)</f>
        <v>0</v>
      </c>
      <c r="K899" s="5" t="str">
        <f ca="1">IFERROR(__xludf.DUMMYFUNCTION("""COMPUTED_VALUE"""),"https://www.gwinnettdailypost.com/local/grand-jury-indicts-suspect-in-gwinnett-officer-antwan-toney-s/article_48adda1a-908a-5565-a560-0e95f06d5c8e.html https://www.usatoday.com/story/news/nation-now/2018/10/20/police-officer-shot-and-killed-near-school-gw"&amp;"innett-county-georgia/1714728002/")</f>
        <v>https://www.gwinnettdailypost.com/local/grand-jury-indicts-suspect-in-gwinnett-officer-antwan-toney-s/article_48adda1a-908a-5565-a560-0e95f06d5c8e.html https://www.usatoday.com/story/news/nation-now/2018/10/20/police-officer-shot-and-killed-near-school-gwinnett-county-georgia/1714728002/</v>
      </c>
      <c r="L899" s="5"/>
      <c r="M899" s="5"/>
      <c r="N899" s="5">
        <f ca="1">IFERROR(__xludf.DUMMYFUNCTION("""COMPUTED_VALUE"""),4)</f>
        <v>4</v>
      </c>
      <c r="O899" s="5" t="str">
        <f ca="1">IFERROR(__xludf.DUMMYFUNCTION("""COMPUTED_VALUE"""),"Fall")</f>
        <v>Fall</v>
      </c>
      <c r="P899" s="5" t="str">
        <f ca="1">IFERROR(__xludf.DUMMYFUNCTION("""COMPUTED_VALUE"""),"Snellville")</f>
        <v>Snellville</v>
      </c>
      <c r="Q899" s="5" t="str">
        <f ca="1">IFERROR(__xludf.DUMMYFUNCTION("""COMPUTED_VALUE"""),"GA")</f>
        <v>GA</v>
      </c>
      <c r="R899" s="5" t="str">
        <f ca="1">IFERROR(__xludf.DUMMYFUNCTION("""COMPUTED_VALUE"""),"Middle")</f>
        <v>Middle</v>
      </c>
      <c r="S899" s="5" t="str">
        <f ca="1">IFERROR(__xludf.DUMMYFUNCTION("""COMPUTED_VALUE"""),"Beside Building")</f>
        <v>Beside Building</v>
      </c>
      <c r="T899" s="5" t="str">
        <f ca="1">IFERROR(__xludf.DUMMYFUNCTION("""COMPUTED_VALUE"""),"Outside on School Property")</f>
        <v>Outside on School Property</v>
      </c>
      <c r="U899" s="5" t="str">
        <f ca="1">IFERROR(__xludf.DUMMYFUNCTION("""COMPUTED_VALUE"""),"No")</f>
        <v>No</v>
      </c>
      <c r="V899" s="5" t="str">
        <f ca="1">IFERROR(__xludf.DUMMYFUNCTION("""COMPUTED_VALUE"""),"Not a School Day")</f>
        <v>Not a School Day</v>
      </c>
      <c r="W899" s="10">
        <f ca="1">IFERROR(__xludf.DUMMYFUNCTION("""COMPUTED_VALUE"""),0.625)</f>
        <v>0.625</v>
      </c>
      <c r="X899" s="5">
        <f ca="1">IFERROR(__xludf.DUMMYFUNCTION("""COMPUTED_VALUE"""),1)</f>
        <v>1</v>
      </c>
      <c r="Y899" s="5" t="str">
        <f ca="1">IFERROR(__xludf.DUMMYFUNCTION("""COMPUTED_VALUE"""),"Police officer shot and killed investigating car parked behind school")</f>
        <v>Police officer shot and killed investigating car parked behind school</v>
      </c>
      <c r="Z899" s="5" t="str">
        <f ca="1">IFERROR(__xludf.DUMMYFUNCTION("""COMPUTED_VALUE"""),"Police officer was shot and killed by 18YOM while investigating a suspicious vehicle parked behind the school. Suspect fled, crashed vehicle, and then ran from the area. Later arrested, charged, and convicted. 2 other people in the car during the shooting"&amp;" were also arrested and convicted.")</f>
        <v>Police officer was shot and killed by 18YOM while investigating a suspicious vehicle parked behind the school. Suspect fled, crashed vehicle, and then ran from the area. Later arrested, charged, and convicted. 2 other people in the car during the shooting were also arrested and convicted.</v>
      </c>
      <c r="AA899" s="5" t="str">
        <f ca="1">IFERROR(__xludf.DUMMYFUNCTION("""COMPUTED_VALUE"""),"Illegal Activity")</f>
        <v>Illegal Activity</v>
      </c>
      <c r="AB899" s="5" t="str">
        <f ca="1">IFERROR(__xludf.DUMMYFUNCTION("""COMPUTED_VALUE"""),"Victims Targeted")</f>
        <v>Victims Targeted</v>
      </c>
      <c r="AC899" s="5" t="str">
        <f ca="1">IFERROR(__xludf.DUMMYFUNCTION("""COMPUTED_VALUE"""),"Yes")</f>
        <v>Yes</v>
      </c>
      <c r="AD899" s="5" t="str">
        <f ca="1">IFERROR(__xludf.DUMMYFUNCTION("""COMPUTED_VALUE"""),"No")</f>
        <v>No</v>
      </c>
      <c r="AE899" s="5" t="str">
        <f ca="1">IFERROR(__xludf.DUMMYFUNCTION("""COMPUTED_VALUE"""),"No")</f>
        <v>No</v>
      </c>
      <c r="AF899" s="5" t="str">
        <f ca="1">IFERROR(__xludf.DUMMYFUNCTION("""COMPUTED_VALUE"""),"No")</f>
        <v>No</v>
      </c>
      <c r="AG899" s="5" t="str">
        <f ca="1">IFERROR(__xludf.DUMMYFUNCTION("""COMPUTED_VALUE"""),"No")</f>
        <v>No</v>
      </c>
      <c r="AH899" s="5" t="str">
        <f ca="1">IFERROR(__xludf.DUMMYFUNCTION("""COMPUTED_VALUE"""),"No")</f>
        <v>No</v>
      </c>
      <c r="AI899" s="5" t="str">
        <f ca="1">IFERROR(__xludf.DUMMYFUNCTION("""COMPUTED_VALUE"""),"Yes")</f>
        <v>Yes</v>
      </c>
      <c r="AJ899" s="5" t="str">
        <f ca="1">IFERROR(__xludf.DUMMYFUNCTION("""COMPUTED_VALUE"""),"No")</f>
        <v>No</v>
      </c>
    </row>
    <row r="900" spans="1:36" ht="13">
      <c r="A900" s="5" t="str">
        <f ca="1">IFERROR(__xludf.DUMMYFUNCTION("""COMPUTED_VALUE"""),"20181013TNMCN")</f>
        <v>20181013TNMCN</v>
      </c>
      <c r="B900" s="5">
        <f ca="1">IFERROR(__xludf.DUMMYFUNCTION("""COMPUTED_VALUE"""),10)</f>
        <v>10</v>
      </c>
      <c r="C900" s="5">
        <f ca="1">IFERROR(__xludf.DUMMYFUNCTION("""COMPUTED_VALUE"""),13)</f>
        <v>13</v>
      </c>
      <c r="D900" s="5">
        <f ca="1">IFERROR(__xludf.DUMMYFUNCTION("""COMPUTED_VALUE"""),2018)</f>
        <v>2018</v>
      </c>
      <c r="E900" s="8">
        <f ca="1">IFERROR(__xludf.DUMMYFUNCTION("""COMPUTED_VALUE"""),43386)</f>
        <v>43386</v>
      </c>
      <c r="F900" s="5" t="str">
        <f ca="1">IFERROR(__xludf.DUMMYFUNCTION("""COMPUTED_VALUE"""),"McGavock High School")</f>
        <v>McGavock High School</v>
      </c>
      <c r="G900" s="5">
        <f ca="1">IFERROR(__xludf.DUMMYFUNCTION("""COMPUTED_VALUE"""),1)</f>
        <v>1</v>
      </c>
      <c r="H900" s="5">
        <f ca="1">IFERROR(__xludf.DUMMYFUNCTION("""COMPUTED_VALUE"""),1)</f>
        <v>1</v>
      </c>
      <c r="I900" s="5">
        <f ca="1">IFERROR(__xludf.DUMMYFUNCTION("""COMPUTED_VALUE"""),2)</f>
        <v>2</v>
      </c>
      <c r="J900" s="5">
        <f ca="1">IFERROR(__xludf.DUMMYFUNCTION("""COMPUTED_VALUE"""),0)</f>
        <v>0</v>
      </c>
      <c r="K900" s="5" t="str">
        <f ca="1">IFERROR(__xludf.DUMMYFUNCTION("""COMPUTED_VALUE"""),"https://www.tennessean.com/story/news/2018/10/15/nashville-mcgavavock-high-school-shooting-kills-one-injures-another/1645749002/ https://www.wsmv.com/news/man-killed-in-shooting-near-macgavock-high-school/article_04699264-d04f-11e8-b54c-67b79fbe41ac.html "&amp;"https://www.wkrn.com/news/police-investigating-shooting-in-donelson/1524223293 https://www.wsmv.com/news/man-killed-in-shooting-near-mcgavock-high-school/article_04699264-d04f-11e8-b54c-67b79fbe41ac.html")</f>
        <v>https://www.tennessean.com/story/news/2018/10/15/nashville-mcgavavock-high-school-shooting-kills-one-injures-another/1645749002/ https://www.wsmv.com/news/man-killed-in-shooting-near-macgavock-high-school/article_04699264-d04f-11e8-b54c-67b79fbe41ac.html https://www.wkrn.com/news/police-investigating-shooting-in-donelson/1524223293 https://www.wsmv.com/news/man-killed-in-shooting-near-mcgavock-high-school/article_04699264-d04f-11e8-b54c-67b79fbe41ac.html</v>
      </c>
      <c r="L900" s="5"/>
      <c r="M900" s="5"/>
      <c r="N900" s="5">
        <f ca="1">IFERROR(__xludf.DUMMYFUNCTION("""COMPUTED_VALUE"""),3)</f>
        <v>3</v>
      </c>
      <c r="O900" s="5" t="str">
        <f ca="1">IFERROR(__xludf.DUMMYFUNCTION("""COMPUTED_VALUE"""),"Fall")</f>
        <v>Fall</v>
      </c>
      <c r="P900" s="5" t="str">
        <f ca="1">IFERROR(__xludf.DUMMYFUNCTION("""COMPUTED_VALUE"""),"Nashville")</f>
        <v>Nashville</v>
      </c>
      <c r="Q900" s="5" t="str">
        <f ca="1">IFERROR(__xludf.DUMMYFUNCTION("""COMPUTED_VALUE"""),"TN")</f>
        <v>TN</v>
      </c>
      <c r="R900" s="5" t="str">
        <f ca="1">IFERROR(__xludf.DUMMYFUNCTION("""COMPUTED_VALUE"""),"High")</f>
        <v>High</v>
      </c>
      <c r="S900" s="5" t="str">
        <f ca="1">IFERROR(__xludf.DUMMYFUNCTION("""COMPUTED_VALUE"""),"Parking Lot")</f>
        <v>Parking Lot</v>
      </c>
      <c r="T900" s="5" t="str">
        <f ca="1">IFERROR(__xludf.DUMMYFUNCTION("""COMPUTED_VALUE"""),"Outside on School Property")</f>
        <v>Outside on School Property</v>
      </c>
      <c r="U900" s="5" t="str">
        <f ca="1">IFERROR(__xludf.DUMMYFUNCTION("""COMPUTED_VALUE"""),"No")</f>
        <v>No</v>
      </c>
      <c r="V900" s="5" t="str">
        <f ca="1">IFERROR(__xludf.DUMMYFUNCTION("""COMPUTED_VALUE"""),"Evening")</f>
        <v>Evening</v>
      </c>
      <c r="W900" s="10">
        <f ca="1">IFERROR(__xludf.DUMMYFUNCTION("""COMPUTED_VALUE"""),0.877777777777777)</f>
        <v>0.87777777777777699</v>
      </c>
      <c r="X900" s="5">
        <f ca="1">IFERROR(__xludf.DUMMYFUNCTION("""COMPUTED_VALUE"""),1)</f>
        <v>1</v>
      </c>
      <c r="Y900" s="5" t="str">
        <f ca="1">IFERROR(__xludf.DUMMYFUNCTION("""COMPUTED_VALUE"""),"Drive-by shooting in school parking lot")</f>
        <v>Drive-by shooting in school parking lot</v>
      </c>
      <c r="Z900" s="5" t="str">
        <f ca="1">IFERROR(__xludf.DUMMYFUNCTION("""COMPUTED_VALUE"""),"Two men shot in the parking lot of the school (one fatal, one grazed, third person in car was uninjured and fled). Shots fired by an unknown suspect inside a vehicle with to occupants who fled the scene. School was not in session due to fall break.")</f>
        <v>Two men shot in the parking lot of the school (one fatal, one grazed, third person in car was uninjured and fled). Shots fired by an unknown suspect inside a vehicle with to occupants who fled the scene. School was not in session due to fall break.</v>
      </c>
      <c r="AA900" s="5" t="str">
        <f ca="1">IFERROR(__xludf.DUMMYFUNCTION("""COMPUTED_VALUE"""),"Drive-by Shooting")</f>
        <v>Drive-by Shooting</v>
      </c>
      <c r="AB900" s="5" t="str">
        <f ca="1">IFERROR(__xludf.DUMMYFUNCTION("""COMPUTED_VALUE"""),"Victims Targeted")</f>
        <v>Victims Targeted</v>
      </c>
      <c r="AC900" s="5" t="str">
        <f ca="1">IFERROR(__xludf.DUMMYFUNCTION("""COMPUTED_VALUE"""),"Yes")</f>
        <v>Yes</v>
      </c>
      <c r="AD900" s="5" t="str">
        <f ca="1">IFERROR(__xludf.DUMMYFUNCTION("""COMPUTED_VALUE"""),"No")</f>
        <v>No</v>
      </c>
      <c r="AE900" s="5" t="str">
        <f ca="1">IFERROR(__xludf.DUMMYFUNCTION("""COMPUTED_VALUE"""),"No")</f>
        <v>No</v>
      </c>
      <c r="AF900" s="5" t="str">
        <f ca="1">IFERROR(__xludf.DUMMYFUNCTION("""COMPUTED_VALUE"""),"No")</f>
        <v>No</v>
      </c>
      <c r="AG900" s="5" t="str">
        <f ca="1">IFERROR(__xludf.DUMMYFUNCTION("""COMPUTED_VALUE"""),"No")</f>
        <v>No</v>
      </c>
      <c r="AH900" s="5" t="str">
        <f ca="1">IFERROR(__xludf.DUMMYFUNCTION("""COMPUTED_VALUE"""),"No")</f>
        <v>No</v>
      </c>
      <c r="AI900" s="5"/>
      <c r="AJ900" s="5" t="str">
        <f ca="1">IFERROR(__xludf.DUMMYFUNCTION("""COMPUTED_VALUE"""),"No")</f>
        <v>No</v>
      </c>
    </row>
    <row r="901" spans="1:36" ht="13">
      <c r="A901" s="5" t="str">
        <f ca="1">IFERROR(__xludf.DUMMYFUNCTION("""COMPUTED_VALUE"""),"20181012MIBAB")</f>
        <v>20181012MIBAB</v>
      </c>
      <c r="B901" s="5">
        <f ca="1">IFERROR(__xludf.DUMMYFUNCTION("""COMPUTED_VALUE"""),10)</f>
        <v>10</v>
      </c>
      <c r="C901" s="5">
        <f ca="1">IFERROR(__xludf.DUMMYFUNCTION("""COMPUTED_VALUE"""),12)</f>
        <v>12</v>
      </c>
      <c r="D901" s="5">
        <f ca="1">IFERROR(__xludf.DUMMYFUNCTION("""COMPUTED_VALUE"""),2018)</f>
        <v>2018</v>
      </c>
      <c r="E901" s="8">
        <f ca="1">IFERROR(__xludf.DUMMYFUNCTION("""COMPUTED_VALUE"""),43385)</f>
        <v>43385</v>
      </c>
      <c r="F901" s="5" t="str">
        <f ca="1">IFERROR(__xludf.DUMMYFUNCTION("""COMPUTED_VALUE"""),"Battle Creek Academy")</f>
        <v>Battle Creek Academy</v>
      </c>
      <c r="G901" s="5">
        <f ca="1">IFERROR(__xludf.DUMMYFUNCTION("""COMPUTED_VALUE"""),0)</f>
        <v>0</v>
      </c>
      <c r="H901" s="5">
        <f ca="1">IFERROR(__xludf.DUMMYFUNCTION("""COMPUTED_VALUE"""),0)</f>
        <v>0</v>
      </c>
      <c r="I901" s="5">
        <f ca="1">IFERROR(__xludf.DUMMYFUNCTION("""COMPUTED_VALUE"""),0)</f>
        <v>0</v>
      </c>
      <c r="J901" s="5">
        <f ca="1">IFERROR(__xludf.DUMMYFUNCTION("""COMPUTED_VALUE"""),0)</f>
        <v>0</v>
      </c>
      <c r="K901" s="9" t="str">
        <f ca="1">IFERROR(__xludf.DUMMYFUNCTION("""COMPUTED_VALUE"""),"https://wwmt.com/news/local/battle-creek-academy-locked-down-after-building-shot")</f>
        <v>https://wwmt.com/news/local/battle-creek-academy-locked-down-after-building-shot</v>
      </c>
      <c r="L901" s="5"/>
      <c r="M901" s="5"/>
      <c r="N901" s="5">
        <f ca="1">IFERROR(__xludf.DUMMYFUNCTION("""COMPUTED_VALUE"""),3)</f>
        <v>3</v>
      </c>
      <c r="O901" s="5" t="str">
        <f ca="1">IFERROR(__xludf.DUMMYFUNCTION("""COMPUTED_VALUE"""),"Fall")</f>
        <v>Fall</v>
      </c>
      <c r="P901" s="5" t="str">
        <f ca="1">IFERROR(__xludf.DUMMYFUNCTION("""COMPUTED_VALUE"""),"Battle Creek")</f>
        <v>Battle Creek</v>
      </c>
      <c r="Q901" s="5" t="str">
        <f ca="1">IFERROR(__xludf.DUMMYFUNCTION("""COMPUTED_VALUE"""),"MI")</f>
        <v>MI</v>
      </c>
      <c r="R901" s="5" t="str">
        <f ca="1">IFERROR(__xludf.DUMMYFUNCTION("""COMPUTED_VALUE"""),"Elementary")</f>
        <v>Elementary</v>
      </c>
      <c r="S901" s="5" t="str">
        <f ca="1">IFERROR(__xludf.DUMMYFUNCTION("""COMPUTED_VALUE"""),"Off School Property")</f>
        <v>Off School Property</v>
      </c>
      <c r="T901" s="5" t="str">
        <f ca="1">IFERROR(__xludf.DUMMYFUNCTION("""COMPUTED_VALUE"""),"Off School Property")</f>
        <v>Off School Property</v>
      </c>
      <c r="U901" s="5" t="str">
        <f ca="1">IFERROR(__xludf.DUMMYFUNCTION("""COMPUTED_VALUE"""),"Yes")</f>
        <v>Yes</v>
      </c>
      <c r="V901" s="5" t="str">
        <f ca="1">IFERROR(__xludf.DUMMYFUNCTION("""COMPUTED_VALUE"""),"Afternoon Classes")</f>
        <v>Afternoon Classes</v>
      </c>
      <c r="W901" s="10">
        <f ca="1">IFERROR(__xludf.DUMMYFUNCTION("""COMPUTED_VALUE"""),0.541666666666666)</f>
        <v>0.54166666666666596</v>
      </c>
      <c r="X901" s="5">
        <f ca="1">IFERROR(__xludf.DUMMYFUNCTION("""COMPUTED_VALUE"""),1)</f>
        <v>1</v>
      </c>
      <c r="Y901" s="5" t="str">
        <f ca="1">IFERROR(__xludf.DUMMYFUNCTION("""COMPUTED_VALUE"""),"Bullet struck school building")</f>
        <v>Bullet struck school building</v>
      </c>
      <c r="Z901" s="5" t="str">
        <f ca="1">IFERROR(__xludf.DUMMYFUNCTION("""COMPUTED_VALUE"""),"Police responded to multiple calls for shots fired. School was placed on lockdown. One round was found in wall of school building. No shooter or motive was identified. Single shell found in the street south of the school.")</f>
        <v>Police responded to multiple calls for shots fired. School was placed on lockdown. One round was found in wall of school building. No shooter or motive was identified. Single shell found in the street south of the school.</v>
      </c>
      <c r="AA901" s="5" t="str">
        <f ca="1">IFERROR(__xludf.DUMMYFUNCTION("""COMPUTED_VALUE"""),"Unknown")</f>
        <v>Unknown</v>
      </c>
      <c r="AB901" s="5"/>
      <c r="AC901" s="5" t="str">
        <f ca="1">IFERROR(__xludf.DUMMYFUNCTION("""COMPUTED_VALUE"""),"No")</f>
        <v>No</v>
      </c>
      <c r="AD901" s="5" t="str">
        <f ca="1">IFERROR(__xludf.DUMMYFUNCTION("""COMPUTED_VALUE"""),"No")</f>
        <v>No</v>
      </c>
      <c r="AE901" s="5" t="str">
        <f ca="1">IFERROR(__xludf.DUMMYFUNCTION("""COMPUTED_VALUE"""),"No")</f>
        <v>No</v>
      </c>
      <c r="AF901" s="5" t="str">
        <f ca="1">IFERROR(__xludf.DUMMYFUNCTION("""COMPUTED_VALUE"""),"No")</f>
        <v>No</v>
      </c>
      <c r="AG901" s="5" t="str">
        <f ca="1">IFERROR(__xludf.DUMMYFUNCTION("""COMPUTED_VALUE"""),"No")</f>
        <v>No</v>
      </c>
      <c r="AH901" s="5" t="str">
        <f ca="1">IFERROR(__xludf.DUMMYFUNCTION("""COMPUTED_VALUE"""),"No")</f>
        <v>No</v>
      </c>
      <c r="AI901" s="5"/>
      <c r="AJ901" s="5" t="str">
        <f ca="1">IFERROR(__xludf.DUMMYFUNCTION("""COMPUTED_VALUE"""),"No")</f>
        <v>No</v>
      </c>
    </row>
    <row r="902" spans="1:36" ht="13">
      <c r="A902" s="5" t="str">
        <f ca="1">IFERROR(__xludf.DUMMYFUNCTION("""COMPUTED_VALUE"""),"20181007VAVAH")</f>
        <v>20181007VAVAH</v>
      </c>
      <c r="B902" s="5">
        <f ca="1">IFERROR(__xludf.DUMMYFUNCTION("""COMPUTED_VALUE"""),10)</f>
        <v>10</v>
      </c>
      <c r="C902" s="5">
        <f ca="1">IFERROR(__xludf.DUMMYFUNCTION("""COMPUTED_VALUE"""),7)</f>
        <v>7</v>
      </c>
      <c r="D902" s="5">
        <f ca="1">IFERROR(__xludf.DUMMYFUNCTION("""COMPUTED_VALUE"""),2018)</f>
        <v>2018</v>
      </c>
      <c r="E902" s="8">
        <f ca="1">IFERROR(__xludf.DUMMYFUNCTION("""COMPUTED_VALUE"""),43380)</f>
        <v>43380</v>
      </c>
      <c r="F902" s="5" t="str">
        <f ca="1">IFERROR(__xludf.DUMMYFUNCTION("""COMPUTED_VALUE"""),"Varina High School")</f>
        <v>Varina High School</v>
      </c>
      <c r="G902" s="5">
        <f ca="1">IFERROR(__xludf.DUMMYFUNCTION("""COMPUTED_VALUE"""),0)</f>
        <v>0</v>
      </c>
      <c r="H902" s="5">
        <f ca="1">IFERROR(__xludf.DUMMYFUNCTION("""COMPUTED_VALUE"""),1)</f>
        <v>1</v>
      </c>
      <c r="I902" s="5">
        <f ca="1">IFERROR(__xludf.DUMMYFUNCTION("""COMPUTED_VALUE"""),1)</f>
        <v>1</v>
      </c>
      <c r="J902" s="5">
        <f ca="1">IFERROR(__xludf.DUMMYFUNCTION("""COMPUTED_VALUE"""),0)</f>
        <v>0</v>
      </c>
      <c r="K902" s="5" t="str">
        <f ca="1">IFERROR(__xludf.DUMMYFUNCTION("""COMPUTED_VALUE"""),"https://usatodayhss.com/2018/virginia-hs-basketball-coach-shot-in-fight-on-campus-but-no-one-knows-why https://wtvr.com/2018/10/08/man-shot-during-fight-at-varina-high-school/")</f>
        <v>https://usatodayhss.com/2018/virginia-hs-basketball-coach-shot-in-fight-on-campus-but-no-one-knows-why https://wtvr.com/2018/10/08/man-shot-during-fight-at-varina-high-school/</v>
      </c>
      <c r="L902" s="5"/>
      <c r="M902" s="5"/>
      <c r="N902" s="5">
        <f ca="1">IFERROR(__xludf.DUMMYFUNCTION("""COMPUTED_VALUE"""),3)</f>
        <v>3</v>
      </c>
      <c r="O902" s="5" t="str">
        <f ca="1">IFERROR(__xludf.DUMMYFUNCTION("""COMPUTED_VALUE"""),"Fall")</f>
        <v>Fall</v>
      </c>
      <c r="P902" s="5" t="str">
        <f ca="1">IFERROR(__xludf.DUMMYFUNCTION("""COMPUTED_VALUE"""),"Henrico")</f>
        <v>Henrico</v>
      </c>
      <c r="Q902" s="5" t="str">
        <f ca="1">IFERROR(__xludf.DUMMYFUNCTION("""COMPUTED_VALUE"""),"VA")</f>
        <v>VA</v>
      </c>
      <c r="R902" s="5" t="str">
        <f ca="1">IFERROR(__xludf.DUMMYFUNCTION("""COMPUTED_VALUE"""),"High")</f>
        <v>High</v>
      </c>
      <c r="S902" s="5" t="str">
        <f ca="1">IFERROR(__xludf.DUMMYFUNCTION("""COMPUTED_VALUE"""),"Gym")</f>
        <v>Gym</v>
      </c>
      <c r="T902" s="5" t="str">
        <f ca="1">IFERROR(__xludf.DUMMYFUNCTION("""COMPUTED_VALUE"""),"Outside on School Property")</f>
        <v>Outside on School Property</v>
      </c>
      <c r="U902" s="5" t="str">
        <f ca="1">IFERROR(__xludf.DUMMYFUNCTION("""COMPUTED_VALUE"""),"No")</f>
        <v>No</v>
      </c>
      <c r="V902" s="5" t="str">
        <f ca="1">IFERROR(__xludf.DUMMYFUNCTION("""COMPUTED_VALUE"""),"Sport Event")</f>
        <v>Sport Event</v>
      </c>
      <c r="W902" s="10">
        <f ca="1">IFERROR(__xludf.DUMMYFUNCTION("""COMPUTED_VALUE"""),0.895833333333333)</f>
        <v>0.89583333333333304</v>
      </c>
      <c r="X902" s="5">
        <f ca="1">IFERROR(__xludf.DUMMYFUNCTION("""COMPUTED_VALUE"""),1)</f>
        <v>1</v>
      </c>
      <c r="Y902" s="5" t="str">
        <f ca="1">IFERROR(__xludf.DUMMYFUNCTION("""COMPUTED_VALUE"""),"Basketball coach shot during fight at weekend practice")</f>
        <v>Basketball coach shot during fight at weekend practice</v>
      </c>
      <c r="Z902" s="5" t="str">
        <f ca="1">IFERROR(__xludf.DUMMYFUNCTION("""COMPUTED_VALUE"""),"Basketball coach was shot during open practice session at the gym on Sunday night. Coach was shot during a fight. Suspect was not identified. Sustained minor injuries.")</f>
        <v>Basketball coach was shot during open practice session at the gym on Sunday night. Coach was shot during a fight. Suspect was not identified. Sustained minor injuries.</v>
      </c>
      <c r="AA902" s="5" t="str">
        <f ca="1">IFERROR(__xludf.DUMMYFUNCTION("""COMPUTED_VALUE"""),"Escalation of Dispute")</f>
        <v>Escalation of Dispute</v>
      </c>
      <c r="AB902" s="5" t="str">
        <f ca="1">IFERROR(__xludf.DUMMYFUNCTION("""COMPUTED_VALUE"""),"Both")</f>
        <v>Both</v>
      </c>
      <c r="AC902" s="5"/>
      <c r="AD902" s="5" t="str">
        <f ca="1">IFERROR(__xludf.DUMMYFUNCTION("""COMPUTED_VALUE"""),"No")</f>
        <v>No</v>
      </c>
      <c r="AE902" s="5" t="str">
        <f ca="1">IFERROR(__xludf.DUMMYFUNCTION("""COMPUTED_VALUE"""),"No")</f>
        <v>No</v>
      </c>
      <c r="AF902" s="5" t="str">
        <f ca="1">IFERROR(__xludf.DUMMYFUNCTION("""COMPUTED_VALUE"""),"No")</f>
        <v>No</v>
      </c>
      <c r="AG902" s="5" t="str">
        <f ca="1">IFERROR(__xludf.DUMMYFUNCTION("""COMPUTED_VALUE"""),"No")</f>
        <v>No</v>
      </c>
      <c r="AH902" s="5" t="str">
        <f ca="1">IFERROR(__xludf.DUMMYFUNCTION("""COMPUTED_VALUE"""),"No")</f>
        <v>No</v>
      </c>
      <c r="AI902" s="5" t="str">
        <f ca="1">IFERROR(__xludf.DUMMYFUNCTION("""COMPUTED_VALUE"""),"No")</f>
        <v>No</v>
      </c>
      <c r="AJ902" s="5" t="str">
        <f ca="1">IFERROR(__xludf.DUMMYFUNCTION("""COMPUTED_VALUE"""),"No")</f>
        <v>No</v>
      </c>
    </row>
    <row r="903" spans="1:36" ht="13">
      <c r="A903" s="5" t="str">
        <f ca="1">IFERROR(__xludf.DUMMYFUNCTION("""COMPUTED_VALUE"""),"20181005VALAN")</f>
        <v>20181005VALAN</v>
      </c>
      <c r="B903" s="5">
        <f ca="1">IFERROR(__xludf.DUMMYFUNCTION("""COMPUTED_VALUE"""),10)</f>
        <v>10</v>
      </c>
      <c r="C903" s="5">
        <f ca="1">IFERROR(__xludf.DUMMYFUNCTION("""COMPUTED_VALUE"""),5)</f>
        <v>5</v>
      </c>
      <c r="D903" s="5">
        <f ca="1">IFERROR(__xludf.DUMMYFUNCTION("""COMPUTED_VALUE"""),2018)</f>
        <v>2018</v>
      </c>
      <c r="E903" s="8">
        <f ca="1">IFERROR(__xludf.DUMMYFUNCTION("""COMPUTED_VALUE"""),43378)</f>
        <v>43378</v>
      </c>
      <c r="F903" s="5" t="str">
        <f ca="1">IFERROR(__xludf.DUMMYFUNCTION("""COMPUTED_VALUE"""),"Lake Taylor High School")</f>
        <v>Lake Taylor High School</v>
      </c>
      <c r="G903" s="5">
        <f ca="1">IFERROR(__xludf.DUMMYFUNCTION("""COMPUTED_VALUE"""),0)</f>
        <v>0</v>
      </c>
      <c r="H903" s="5">
        <f ca="1">IFERROR(__xludf.DUMMYFUNCTION("""COMPUTED_VALUE"""),1)</f>
        <v>1</v>
      </c>
      <c r="I903" s="5">
        <f ca="1">IFERROR(__xludf.DUMMYFUNCTION("""COMPUTED_VALUE"""),1)</f>
        <v>1</v>
      </c>
      <c r="J903" s="5">
        <f ca="1">IFERROR(__xludf.DUMMYFUNCTION("""COMPUTED_VALUE"""),0)</f>
        <v>0</v>
      </c>
      <c r="K903" s="9" t="str">
        <f ca="1">IFERROR(__xludf.DUMMYFUNCTION("""COMPUTED_VALUE"""),"https://www.wavy.com/news/local-news/norfolk/police-respond-to-shooting-after-football-game-at-lake-taylor-high-school/1501979731")</f>
        <v>https://www.wavy.com/news/local-news/norfolk/police-respond-to-shooting-after-football-game-at-lake-taylor-high-school/1501979731</v>
      </c>
      <c r="L903" s="5"/>
      <c r="M903" s="5"/>
      <c r="N903" s="5">
        <f ca="1">IFERROR(__xludf.DUMMYFUNCTION("""COMPUTED_VALUE"""),2)</f>
        <v>2</v>
      </c>
      <c r="O903" s="5" t="str">
        <f ca="1">IFERROR(__xludf.DUMMYFUNCTION("""COMPUTED_VALUE"""),"Fall")</f>
        <v>Fall</v>
      </c>
      <c r="P903" s="5" t="str">
        <f ca="1">IFERROR(__xludf.DUMMYFUNCTION("""COMPUTED_VALUE"""),"Norfolk")</f>
        <v>Norfolk</v>
      </c>
      <c r="Q903" s="5" t="str">
        <f ca="1">IFERROR(__xludf.DUMMYFUNCTION("""COMPUTED_VALUE"""),"VA")</f>
        <v>VA</v>
      </c>
      <c r="R903" s="5" t="str">
        <f ca="1">IFERROR(__xludf.DUMMYFUNCTION("""COMPUTED_VALUE"""),"High")</f>
        <v>High</v>
      </c>
      <c r="S903" s="5" t="str">
        <f ca="1">IFERROR(__xludf.DUMMYFUNCTION("""COMPUTED_VALUE"""),"Parking Lot")</f>
        <v>Parking Lot</v>
      </c>
      <c r="T903" s="5" t="str">
        <f ca="1">IFERROR(__xludf.DUMMYFUNCTION("""COMPUTED_VALUE"""),"Outside on School Property")</f>
        <v>Outside on School Property</v>
      </c>
      <c r="U903" s="5" t="str">
        <f ca="1">IFERROR(__xludf.DUMMYFUNCTION("""COMPUTED_VALUE"""),"No")</f>
        <v>No</v>
      </c>
      <c r="V903" s="5" t="str">
        <f ca="1">IFERROR(__xludf.DUMMYFUNCTION("""COMPUTED_VALUE"""),"Sport Event")</f>
        <v>Sport Event</v>
      </c>
      <c r="W903" s="10">
        <f ca="1">IFERROR(__xludf.DUMMYFUNCTION("""COMPUTED_VALUE"""),0.895833333333333)</f>
        <v>0.89583333333333304</v>
      </c>
      <c r="X903" s="5">
        <f ca="1">IFERROR(__xludf.DUMMYFUNCTION("""COMPUTED_VALUE"""),1)</f>
        <v>1</v>
      </c>
      <c r="Y903" s="5" t="str">
        <f ca="1">IFERROR(__xludf.DUMMYFUNCTION("""COMPUTED_VALUE"""),"Shots fired during fight after football game in school parking lot")</f>
        <v>Shots fired during fight after football game in school parking lot</v>
      </c>
      <c r="Z903" s="5" t="str">
        <f ca="1">IFERROR(__xludf.DUMMYFUNCTION("""COMPUTED_VALUE"""),"Shots fired by unknown shooter in parking lot of school following football game during a fight. Shooter fled the scene. Victim in a vehicle that was struck by shot was injured.")</f>
        <v>Shots fired by unknown shooter in parking lot of school following football game during a fight. Shooter fled the scene. Victim in a vehicle that was struck by shot was injured.</v>
      </c>
      <c r="AA903" s="5" t="str">
        <f ca="1">IFERROR(__xludf.DUMMYFUNCTION("""COMPUTED_VALUE"""),"Escalation of Dispute")</f>
        <v>Escalation of Dispute</v>
      </c>
      <c r="AB903" s="5"/>
      <c r="AC903" s="5"/>
      <c r="AD903" s="5" t="str">
        <f ca="1">IFERROR(__xludf.DUMMYFUNCTION("""COMPUTED_VALUE"""),"No")</f>
        <v>No</v>
      </c>
      <c r="AE903" s="5" t="str">
        <f ca="1">IFERROR(__xludf.DUMMYFUNCTION("""COMPUTED_VALUE"""),"No")</f>
        <v>No</v>
      </c>
      <c r="AF903" s="5" t="str">
        <f ca="1">IFERROR(__xludf.DUMMYFUNCTION("""COMPUTED_VALUE"""),"No")</f>
        <v>No</v>
      </c>
      <c r="AG903" s="5" t="str">
        <f ca="1">IFERROR(__xludf.DUMMYFUNCTION("""COMPUTED_VALUE"""),"No")</f>
        <v>No</v>
      </c>
      <c r="AH903" s="5" t="str">
        <f ca="1">IFERROR(__xludf.DUMMYFUNCTION("""COMPUTED_VALUE"""),"No")</f>
        <v>No</v>
      </c>
      <c r="AI903" s="5" t="str">
        <f ca="1">IFERROR(__xludf.DUMMYFUNCTION("""COMPUTED_VALUE"""),"No")</f>
        <v>No</v>
      </c>
      <c r="AJ903" s="5" t="str">
        <f ca="1">IFERROR(__xludf.DUMMYFUNCTION("""COMPUTED_VALUE"""),"No")</f>
        <v>No</v>
      </c>
    </row>
    <row r="904" spans="1:36" ht="13">
      <c r="A904" s="5" t="str">
        <f ca="1">IFERROR(__xludf.DUMMYFUNCTION("""COMPUTED_VALUE"""),"20181005TNHAB")</f>
        <v>20181005TNHAB</v>
      </c>
      <c r="B904" s="5">
        <f ca="1">IFERROR(__xludf.DUMMYFUNCTION("""COMPUTED_VALUE"""),10)</f>
        <v>10</v>
      </c>
      <c r="C904" s="5">
        <f ca="1">IFERROR(__xludf.DUMMYFUNCTION("""COMPUTED_VALUE"""),5)</f>
        <v>5</v>
      </c>
      <c r="D904" s="5">
        <f ca="1">IFERROR(__xludf.DUMMYFUNCTION("""COMPUTED_VALUE"""),2018)</f>
        <v>2018</v>
      </c>
      <c r="E904" s="8">
        <f ca="1">IFERROR(__xludf.DUMMYFUNCTION("""COMPUTED_VALUE"""),43378)</f>
        <v>43378</v>
      </c>
      <c r="F904" s="5" t="str">
        <f ca="1">IFERROR(__xludf.DUMMYFUNCTION("""COMPUTED_VALUE"""),"Haywood High School")</f>
        <v>Haywood High School</v>
      </c>
      <c r="G904" s="5">
        <f ca="1">IFERROR(__xludf.DUMMYFUNCTION("""COMPUTED_VALUE"""),0)</f>
        <v>0</v>
      </c>
      <c r="H904" s="5">
        <f ca="1">IFERROR(__xludf.DUMMYFUNCTION("""COMPUTED_VALUE"""),2)</f>
        <v>2</v>
      </c>
      <c r="I904" s="5">
        <f ca="1">IFERROR(__xludf.DUMMYFUNCTION("""COMPUTED_VALUE"""),2)</f>
        <v>2</v>
      </c>
      <c r="J904" s="5">
        <f ca="1">IFERROR(__xludf.DUMMYFUNCTION("""COMPUTED_VALUE"""),0)</f>
        <v>0</v>
      </c>
      <c r="K904" s="5" t="str">
        <f ca="1">IFERROR(__xludf.DUMMYFUNCTION("""COMPUTED_VALUE"""),"https://www.ajc.com/news/wounded-shooting-after-tennessee-high-school-football-game/CWwSSrOX0bjIxKFT8JzSNO/ https://www.wbbjtv.com/2018/10/05/breaking-2-injured-in-shooting-outside-haywood-co-football-game/ https://www.fox13memphis.com/top-stories/victims"&amp;"-identified-hero-recognized-after-shooting-following-high-school-football-gamein-tennessee/847623443 https://www.usatoday.com/story/news/nation-now/2018/10/06/army-veteran-patrick-shields-stops-shooter-haywood-football-game/1552410002/")</f>
        <v>https://www.ajc.com/news/wounded-shooting-after-tennessee-high-school-football-game/CWwSSrOX0bjIxKFT8JzSNO/ https://www.wbbjtv.com/2018/10/05/breaking-2-injured-in-shooting-outside-haywood-co-football-game/ https://www.fox13memphis.com/top-stories/victims-identified-hero-recognized-after-shooting-following-high-school-football-gamein-tennessee/847623443 https://www.usatoday.com/story/news/nation-now/2018/10/06/army-veteran-patrick-shields-stops-shooter-haywood-football-game/1552410002/</v>
      </c>
      <c r="L904" s="5"/>
      <c r="M904" s="5"/>
      <c r="N904" s="5">
        <f ca="1">IFERROR(__xludf.DUMMYFUNCTION("""COMPUTED_VALUE"""),3)</f>
        <v>3</v>
      </c>
      <c r="O904" s="5" t="str">
        <f ca="1">IFERROR(__xludf.DUMMYFUNCTION("""COMPUTED_VALUE"""),"Fall")</f>
        <v>Fall</v>
      </c>
      <c r="P904" s="5" t="str">
        <f ca="1">IFERROR(__xludf.DUMMYFUNCTION("""COMPUTED_VALUE"""),"Brownsville")</f>
        <v>Brownsville</v>
      </c>
      <c r="Q904" s="5" t="str">
        <f ca="1">IFERROR(__xludf.DUMMYFUNCTION("""COMPUTED_VALUE"""),"TN")</f>
        <v>TN</v>
      </c>
      <c r="R904" s="5" t="str">
        <f ca="1">IFERROR(__xludf.DUMMYFUNCTION("""COMPUTED_VALUE"""),"High")</f>
        <v>High</v>
      </c>
      <c r="S904" s="5" t="str">
        <f ca="1">IFERROR(__xludf.DUMMYFUNCTION("""COMPUTED_VALUE"""),"Parking Lot")</f>
        <v>Parking Lot</v>
      </c>
      <c r="T904" s="5" t="str">
        <f ca="1">IFERROR(__xludf.DUMMYFUNCTION("""COMPUTED_VALUE"""),"Outside on School Property")</f>
        <v>Outside on School Property</v>
      </c>
      <c r="U904" s="5" t="str">
        <f ca="1">IFERROR(__xludf.DUMMYFUNCTION("""COMPUTED_VALUE"""),"No")</f>
        <v>No</v>
      </c>
      <c r="V904" s="5" t="str">
        <f ca="1">IFERROR(__xludf.DUMMYFUNCTION("""COMPUTED_VALUE"""),"Sport Event")</f>
        <v>Sport Event</v>
      </c>
      <c r="W904" s="10">
        <f ca="1">IFERROR(__xludf.DUMMYFUNCTION("""COMPUTED_VALUE"""),0.895833333333333)</f>
        <v>0.89583333333333304</v>
      </c>
      <c r="X904" s="5">
        <f ca="1">IFERROR(__xludf.DUMMYFUNCTION("""COMPUTED_VALUE"""),1)</f>
        <v>1</v>
      </c>
      <c r="Y904" s="5" t="str">
        <f ca="1">IFERROR(__xludf.DUMMYFUNCTION("""COMPUTED_VALUE"""),"Two victims shot in school parking lot during football game")</f>
        <v>Two victims shot in school parking lot during football game</v>
      </c>
      <c r="Z904" s="5" t="str">
        <f ca="1">IFERROR(__xludf.DUMMYFUNCTION("""COMPUTED_VALUE"""),"16YOM shooter shot 2 victims in the parking lot of the school during the football game. One victim shot the in back (target) other shot in foot (random). Shooter subdued and disarmed by a bystander at the scene.")</f>
        <v>16YOM shooter shot 2 victims in the parking lot of the school during the football game. One victim shot the in back (target) other shot in foot (random). Shooter subdued and disarmed by a bystander at the scene.</v>
      </c>
      <c r="AA904" s="5" t="str">
        <f ca="1">IFERROR(__xludf.DUMMYFUNCTION("""COMPUTED_VALUE"""),"Escalation of Dispute")</f>
        <v>Escalation of Dispute</v>
      </c>
      <c r="AB904" s="5" t="str">
        <f ca="1">IFERROR(__xludf.DUMMYFUNCTION("""COMPUTED_VALUE"""),"Both")</f>
        <v>Both</v>
      </c>
      <c r="AC904" s="5" t="str">
        <f ca="1">IFERROR(__xludf.DUMMYFUNCTION("""COMPUTED_VALUE"""),"No")</f>
        <v>No</v>
      </c>
      <c r="AD904" s="5" t="str">
        <f ca="1">IFERROR(__xludf.DUMMYFUNCTION("""COMPUTED_VALUE"""),"No")</f>
        <v>No</v>
      </c>
      <c r="AE904" s="5" t="str">
        <f ca="1">IFERROR(__xludf.DUMMYFUNCTION("""COMPUTED_VALUE"""),"No")</f>
        <v>No</v>
      </c>
      <c r="AF904" s="5" t="str">
        <f ca="1">IFERROR(__xludf.DUMMYFUNCTION("""COMPUTED_VALUE"""),"No")</f>
        <v>No</v>
      </c>
      <c r="AG904" s="5" t="str">
        <f ca="1">IFERROR(__xludf.DUMMYFUNCTION("""COMPUTED_VALUE"""),"No")</f>
        <v>No</v>
      </c>
      <c r="AH904" s="5" t="str">
        <f ca="1">IFERROR(__xludf.DUMMYFUNCTION("""COMPUTED_VALUE"""),"No")</f>
        <v>No</v>
      </c>
      <c r="AI904" s="5" t="str">
        <f ca="1">IFERROR(__xludf.DUMMYFUNCTION("""COMPUTED_VALUE"""),"No")</f>
        <v>No</v>
      </c>
      <c r="AJ904" s="5" t="str">
        <f ca="1">IFERROR(__xludf.DUMMYFUNCTION("""COMPUTED_VALUE"""),"No")</f>
        <v>No</v>
      </c>
    </row>
    <row r="905" spans="1:36" ht="13">
      <c r="A905" s="5" t="str">
        <f ca="1">IFERROR(__xludf.DUMMYFUNCTION("""COMPUTED_VALUE"""),"20181004ORJAP")</f>
        <v>20181004ORJAP</v>
      </c>
      <c r="B905" s="5">
        <f ca="1">IFERROR(__xludf.DUMMYFUNCTION("""COMPUTED_VALUE"""),10)</f>
        <v>10</v>
      </c>
      <c r="C905" s="5">
        <f ca="1">IFERROR(__xludf.DUMMYFUNCTION("""COMPUTED_VALUE"""),4)</f>
        <v>4</v>
      </c>
      <c r="D905" s="5">
        <f ca="1">IFERROR(__xludf.DUMMYFUNCTION("""COMPUTED_VALUE"""),2018)</f>
        <v>2018</v>
      </c>
      <c r="E905" s="8">
        <f ca="1">IFERROR(__xludf.DUMMYFUNCTION("""COMPUTED_VALUE"""),43377)</f>
        <v>43377</v>
      </c>
      <c r="F905" s="5" t="str">
        <f ca="1">IFERROR(__xludf.DUMMYFUNCTION("""COMPUTED_VALUE"""),"Jason Lee Elementary School")</f>
        <v>Jason Lee Elementary School</v>
      </c>
      <c r="G905" s="5">
        <f ca="1">IFERROR(__xludf.DUMMYFUNCTION("""COMPUTED_VALUE"""),0)</f>
        <v>0</v>
      </c>
      <c r="H905" s="5">
        <f ca="1">IFERROR(__xludf.DUMMYFUNCTION("""COMPUTED_VALUE"""),0)</f>
        <v>0</v>
      </c>
      <c r="I905" s="5">
        <f ca="1">IFERROR(__xludf.DUMMYFUNCTION("""COMPUTED_VALUE"""),0)</f>
        <v>0</v>
      </c>
      <c r="J905" s="5">
        <f ca="1">IFERROR(__xludf.DUMMYFUNCTION("""COMPUTED_VALUE"""),0)</f>
        <v>0</v>
      </c>
      <c r="K905" s="5" t="str">
        <f ca="1">IFERROR(__xludf.DUMMYFUNCTION("""COMPUTED_VALUE"""),"https://www.oregonlive.com/portland/index.ssf/2018/10/portland_parent_arrested_after.html https://www.koin.com/news/local/multnomah-county/gun-goes-off-at-portland-elementary-school/1499061394")</f>
        <v>https://www.oregonlive.com/portland/index.ssf/2018/10/portland_parent_arrested_after.html https://www.koin.com/news/local/multnomah-county/gun-goes-off-at-portland-elementary-school/1499061394</v>
      </c>
      <c r="L905" s="5"/>
      <c r="M905" s="5"/>
      <c r="N905" s="5">
        <f ca="1">IFERROR(__xludf.DUMMYFUNCTION("""COMPUTED_VALUE"""),3)</f>
        <v>3</v>
      </c>
      <c r="O905" s="5" t="str">
        <f ca="1">IFERROR(__xludf.DUMMYFUNCTION("""COMPUTED_VALUE"""),"Fall")</f>
        <v>Fall</v>
      </c>
      <c r="P905" s="5" t="str">
        <f ca="1">IFERROR(__xludf.DUMMYFUNCTION("""COMPUTED_VALUE"""),"Portland")</f>
        <v>Portland</v>
      </c>
      <c r="Q905" s="5" t="str">
        <f ca="1">IFERROR(__xludf.DUMMYFUNCTION("""COMPUTED_VALUE"""),"OR")</f>
        <v>OR</v>
      </c>
      <c r="R905" s="5" t="str">
        <f ca="1">IFERROR(__xludf.DUMMYFUNCTION("""COMPUTED_VALUE"""),"Elementary")</f>
        <v>Elementary</v>
      </c>
      <c r="S905" s="5" t="str">
        <f ca="1">IFERROR(__xludf.DUMMYFUNCTION("""COMPUTED_VALUE"""),"Cafeteria")</f>
        <v>Cafeteria</v>
      </c>
      <c r="T905" s="5" t="str">
        <f ca="1">IFERROR(__xludf.DUMMYFUNCTION("""COMPUTED_VALUE"""),"Inside School Building")</f>
        <v>Inside School Building</v>
      </c>
      <c r="U905" s="5" t="str">
        <f ca="1">IFERROR(__xludf.DUMMYFUNCTION("""COMPUTED_VALUE"""),"Yes")</f>
        <v>Yes</v>
      </c>
      <c r="V905" s="5" t="str">
        <f ca="1">IFERROR(__xludf.DUMMYFUNCTION("""COMPUTED_VALUE"""),"After School")</f>
        <v>After School</v>
      </c>
      <c r="W905" s="10">
        <f ca="1">IFERROR(__xludf.DUMMYFUNCTION("""COMPUTED_VALUE"""),0.690972222222222)</f>
        <v>0.69097222222222199</v>
      </c>
      <c r="X905" s="5">
        <f ca="1">IFERROR(__xludf.DUMMYFUNCTION("""COMPUTED_VALUE"""),1)</f>
        <v>1</v>
      </c>
      <c r="Y905" s="5" t="str">
        <f ca="1">IFERROR(__xludf.DUMMYFUNCTION("""COMPUTED_VALUE"""),"Parent's gun discharged in cafeteria while picking up daughter")</f>
        <v>Parent's gun discharged in cafeteria while picking up daughter</v>
      </c>
      <c r="Z905" s="5" t="str">
        <f ca="1">IFERROR(__xludf.DUMMYFUNCTION("""COMPUTED_VALUE"""),"Unidentified female parent accidentally discharged a handgun in her bag in the school cafeteria while picking up her child. No injuries. Woman left before police arrived.")</f>
        <v>Unidentified female parent accidentally discharged a handgun in her bag in the school cafeteria while picking up her child. No injuries. Woman left before police arrived.</v>
      </c>
      <c r="AA905" s="5" t="str">
        <f ca="1">IFERROR(__xludf.DUMMYFUNCTION("""COMPUTED_VALUE"""),"Accidental")</f>
        <v>Accidental</v>
      </c>
      <c r="AB905" s="5" t="str">
        <f ca="1">IFERROR(__xludf.DUMMYFUNCTION("""COMPUTED_VALUE"""),"Neither")</f>
        <v>Neither</v>
      </c>
      <c r="AC905" s="5" t="str">
        <f ca="1">IFERROR(__xludf.DUMMYFUNCTION("""COMPUTED_VALUE"""),"No")</f>
        <v>No</v>
      </c>
      <c r="AD905" s="5" t="str">
        <f ca="1">IFERROR(__xludf.DUMMYFUNCTION("""COMPUTED_VALUE"""),"No")</f>
        <v>No</v>
      </c>
      <c r="AE905" s="5" t="str">
        <f ca="1">IFERROR(__xludf.DUMMYFUNCTION("""COMPUTED_VALUE"""),"No")</f>
        <v>No</v>
      </c>
      <c r="AF905" s="5" t="str">
        <f ca="1">IFERROR(__xludf.DUMMYFUNCTION("""COMPUTED_VALUE"""),"No")</f>
        <v>No</v>
      </c>
      <c r="AG905" s="5" t="str">
        <f ca="1">IFERROR(__xludf.DUMMYFUNCTION("""COMPUTED_VALUE"""),"No")</f>
        <v>No</v>
      </c>
      <c r="AH905" s="5" t="str">
        <f ca="1">IFERROR(__xludf.DUMMYFUNCTION("""COMPUTED_VALUE"""),"No")</f>
        <v>No</v>
      </c>
      <c r="AI905" s="5" t="str">
        <f ca="1">IFERROR(__xludf.DUMMYFUNCTION("""COMPUTED_VALUE"""),"No")</f>
        <v>No</v>
      </c>
      <c r="AJ905" s="5" t="str">
        <f ca="1">IFERROR(__xludf.DUMMYFUNCTION("""COMPUTED_VALUE"""),"No")</f>
        <v>No</v>
      </c>
    </row>
    <row r="906" spans="1:36" ht="13">
      <c r="A906" s="5" t="str">
        <f ca="1">IFERROR(__xludf.DUMMYFUNCTION("""COMPUTED_VALUE"""),"20181003AKDEA")</f>
        <v>20181003AKDEA</v>
      </c>
      <c r="B906" s="5">
        <f ca="1">IFERROR(__xludf.DUMMYFUNCTION("""COMPUTED_VALUE"""),10)</f>
        <v>10</v>
      </c>
      <c r="C906" s="5">
        <f ca="1">IFERROR(__xludf.DUMMYFUNCTION("""COMPUTED_VALUE"""),3)</f>
        <v>3</v>
      </c>
      <c r="D906" s="5">
        <f ca="1">IFERROR(__xludf.DUMMYFUNCTION("""COMPUTED_VALUE"""),2018)</f>
        <v>2018</v>
      </c>
      <c r="E906" s="8">
        <f ca="1">IFERROR(__xludf.DUMMYFUNCTION("""COMPUTED_VALUE"""),43376)</f>
        <v>43376</v>
      </c>
      <c r="F906" s="5" t="str">
        <f ca="1">IFERROR(__xludf.DUMMYFUNCTION("""COMPUTED_VALUE"""),"Denali Montessori Elementary School")</f>
        <v>Denali Montessori Elementary School</v>
      </c>
      <c r="G906" s="5">
        <f ca="1">IFERROR(__xludf.DUMMYFUNCTION("""COMPUTED_VALUE"""),0)</f>
        <v>0</v>
      </c>
      <c r="H906" s="5">
        <f ca="1">IFERROR(__xludf.DUMMYFUNCTION("""COMPUTED_VALUE"""),1)</f>
        <v>1</v>
      </c>
      <c r="I906" s="5">
        <f ca="1">IFERROR(__xludf.DUMMYFUNCTION("""COMPUTED_VALUE"""),1)</f>
        <v>1</v>
      </c>
      <c r="J906" s="5">
        <f ca="1">IFERROR(__xludf.DUMMYFUNCTION("""COMPUTED_VALUE"""),0)</f>
        <v>0</v>
      </c>
      <c r="K906" s="5" t="str">
        <f ca="1">IFERROR(__xludf.DUMMYFUNCTION("""COMPUTED_VALUE"""),"https://www.adn.com/alaska-news/crime-courts/2021/02/18/anchorage-man-sentenced-to-prison-on-federal-weapons-charge-tied-to-shooting-outside-elementary-school/ https://www.ktuu.com/content/news/Shooting-in-Denali-Elementary-School-parking-lot-1-injured-49"&amp;"5067091.html https://www.kfqd.com/police-shooting-suspect-took-student-to-school/ https://www.ktva.com/story/41203500/2-men-indicted-on-federal-charges-for-shooting-guns-on-school-grounds")</f>
        <v>https://www.adn.com/alaska-news/crime-courts/2021/02/18/anchorage-man-sentenced-to-prison-on-federal-weapons-charge-tied-to-shooting-outside-elementary-school/ https://www.ktuu.com/content/news/Shooting-in-Denali-Elementary-School-parking-lot-1-injured-495067091.html https://www.kfqd.com/police-shooting-suspect-took-student-to-school/ https://www.ktva.com/story/41203500/2-men-indicted-on-federal-charges-for-shooting-guns-on-school-grounds</v>
      </c>
      <c r="L906" s="5">
        <f ca="1">IFERROR(__xludf.DUMMYFUNCTION("""COMPUTED_VALUE"""),2)</f>
        <v>2</v>
      </c>
      <c r="M906" s="5" t="str">
        <f ca="1">IFERROR(__xludf.DUMMYFUNCTION("""COMPUTED_VALUE"""),"Local")</f>
        <v>Local</v>
      </c>
      <c r="N906" s="5">
        <f ca="1">IFERROR(__xludf.DUMMYFUNCTION("""COMPUTED_VALUE"""),4)</f>
        <v>4</v>
      </c>
      <c r="O906" s="5" t="str">
        <f ca="1">IFERROR(__xludf.DUMMYFUNCTION("""COMPUTED_VALUE"""),"Fall")</f>
        <v>Fall</v>
      </c>
      <c r="P906" s="5" t="str">
        <f ca="1">IFERROR(__xludf.DUMMYFUNCTION("""COMPUTED_VALUE"""),"Anchorage")</f>
        <v>Anchorage</v>
      </c>
      <c r="Q906" s="5" t="str">
        <f ca="1">IFERROR(__xludf.DUMMYFUNCTION("""COMPUTED_VALUE"""),"AK")</f>
        <v>AK</v>
      </c>
      <c r="R906" s="5" t="str">
        <f ca="1">IFERROR(__xludf.DUMMYFUNCTION("""COMPUTED_VALUE"""),"Elementary")</f>
        <v>Elementary</v>
      </c>
      <c r="S906" s="5" t="str">
        <f ca="1">IFERROR(__xludf.DUMMYFUNCTION("""COMPUTED_VALUE"""),"Front of School")</f>
        <v>Front of School</v>
      </c>
      <c r="T906" s="5" t="str">
        <f ca="1">IFERROR(__xludf.DUMMYFUNCTION("""COMPUTED_VALUE"""),"Outside on School Property")</f>
        <v>Outside on School Property</v>
      </c>
      <c r="U906" s="5" t="str">
        <f ca="1">IFERROR(__xludf.DUMMYFUNCTION("""COMPUTED_VALUE"""),"Yes")</f>
        <v>Yes</v>
      </c>
      <c r="V906" s="5" t="str">
        <f ca="1">IFERROR(__xludf.DUMMYFUNCTION("""COMPUTED_VALUE"""),"Morning Classes")</f>
        <v>Morning Classes</v>
      </c>
      <c r="W906" s="10">
        <f ca="1">IFERROR(__xludf.DUMMYFUNCTION("""COMPUTED_VALUE"""),0.416666666666666)</f>
        <v>0.41666666666666602</v>
      </c>
      <c r="X906" s="5">
        <f ca="1">IFERROR(__xludf.DUMMYFUNCTION("""COMPUTED_VALUE"""),1)</f>
        <v>1</v>
      </c>
      <c r="Y906" s="5" t="str">
        <f ca="1">IFERROR(__xludf.DUMMYFUNCTION("""COMPUTED_VALUE"""),"Adult male victim shot by another adult male in front of school during domestic dispute")</f>
        <v>Adult male victim shot by another adult male in front of school during domestic dispute</v>
      </c>
      <c r="Z906" s="5" t="str">
        <f ca="1">IFERROR(__xludf.DUMMYFUNCTION("""COMPUTED_VALUE"""),"26YOM shot adult male victim during domestic dispute outside of elementary while children were being dropped off. One shot was fired. Shooter fled the scene and was later arrested. Injured victim went into the school for assistance. School was locked down"&amp;".")</f>
        <v>26YOM shot adult male victim during domestic dispute outside of elementary while children were being dropped off. One shot was fired. Shooter fled the scene and was later arrested. Injured victim went into the school for assistance. School was locked down.</v>
      </c>
      <c r="AA906" s="5" t="str">
        <f ca="1">IFERROR(__xludf.DUMMYFUNCTION("""COMPUTED_VALUE"""),"Domestic w/ Targeted Victim")</f>
        <v>Domestic w/ Targeted Victim</v>
      </c>
      <c r="AB906" s="5" t="str">
        <f ca="1">IFERROR(__xludf.DUMMYFUNCTION("""COMPUTED_VALUE"""),"Victims Targeted")</f>
        <v>Victims Targeted</v>
      </c>
      <c r="AC906" s="5" t="str">
        <f ca="1">IFERROR(__xludf.DUMMYFUNCTION("""COMPUTED_VALUE"""),"No")</f>
        <v>No</v>
      </c>
      <c r="AD906" s="5" t="str">
        <f ca="1">IFERROR(__xludf.DUMMYFUNCTION("""COMPUTED_VALUE"""),"No")</f>
        <v>No</v>
      </c>
      <c r="AE906" s="5" t="str">
        <f ca="1">IFERROR(__xludf.DUMMYFUNCTION("""COMPUTED_VALUE"""),"No")</f>
        <v>No</v>
      </c>
      <c r="AF906" s="5" t="str">
        <f ca="1">IFERROR(__xludf.DUMMYFUNCTION("""COMPUTED_VALUE"""),"No")</f>
        <v>No</v>
      </c>
      <c r="AG906" s="5" t="str">
        <f ca="1">IFERROR(__xludf.DUMMYFUNCTION("""COMPUTED_VALUE"""),"No")</f>
        <v>No</v>
      </c>
      <c r="AH906" s="5" t="str">
        <f ca="1">IFERROR(__xludf.DUMMYFUNCTION("""COMPUTED_VALUE"""),"Yes")</f>
        <v>Yes</v>
      </c>
      <c r="AI906" s="5" t="str">
        <f ca="1">IFERROR(__xludf.DUMMYFUNCTION("""COMPUTED_VALUE"""),"No")</f>
        <v>No</v>
      </c>
      <c r="AJ906" s="5" t="str">
        <f ca="1">IFERROR(__xludf.DUMMYFUNCTION("""COMPUTED_VALUE"""),"No")</f>
        <v>No</v>
      </c>
    </row>
    <row r="907" spans="1:36" ht="13">
      <c r="A907" s="5" t="str">
        <f ca="1">IFERROR(__xludf.DUMMYFUNCTION("""COMPUTED_VALUE"""),"20181002ARCHL")</f>
        <v>20181002ARCHL</v>
      </c>
      <c r="B907" s="5">
        <f ca="1">IFERROR(__xludf.DUMMYFUNCTION("""COMPUTED_VALUE"""),10)</f>
        <v>10</v>
      </c>
      <c r="C907" s="5">
        <f ca="1">IFERROR(__xludf.DUMMYFUNCTION("""COMPUTED_VALUE"""),2)</f>
        <v>2</v>
      </c>
      <c r="D907" s="5">
        <f ca="1">IFERROR(__xludf.DUMMYFUNCTION("""COMPUTED_VALUE"""),2018)</f>
        <v>2018</v>
      </c>
      <c r="E907" s="8">
        <f ca="1">IFERROR(__xludf.DUMMYFUNCTION("""COMPUTED_VALUE"""),43375)</f>
        <v>43375</v>
      </c>
      <c r="F907" s="5" t="str">
        <f ca="1">IFERROR(__xludf.DUMMYFUNCTION("""COMPUTED_VALUE"""),"Chicot Elementary School")</f>
        <v>Chicot Elementary School</v>
      </c>
      <c r="G907" s="5">
        <f ca="1">IFERROR(__xludf.DUMMYFUNCTION("""COMPUTED_VALUE"""),0)</f>
        <v>0</v>
      </c>
      <c r="H907" s="5">
        <f ca="1">IFERROR(__xludf.DUMMYFUNCTION("""COMPUTED_VALUE"""),0)</f>
        <v>0</v>
      </c>
      <c r="I907" s="5">
        <f ca="1">IFERROR(__xludf.DUMMYFUNCTION("""COMPUTED_VALUE"""),0)</f>
        <v>0</v>
      </c>
      <c r="J907" s="5">
        <f ca="1">IFERROR(__xludf.DUMMYFUNCTION("""COMPUTED_VALUE"""),0)</f>
        <v>0</v>
      </c>
      <c r="K907" s="9" t="str">
        <f ca="1">IFERROR(__xludf.DUMMYFUNCTION("""COMPUTED_VALUE"""),"https://www.arkansasonline.com/news/2018/oct/02/shots-fired-near-little-rock-elementary-school-pol/")</f>
        <v>https://www.arkansasonline.com/news/2018/oct/02/shots-fired-near-little-rock-elementary-school-pol/</v>
      </c>
      <c r="L907" s="5"/>
      <c r="M907" s="5"/>
      <c r="N907" s="5">
        <f ca="1">IFERROR(__xludf.DUMMYFUNCTION("""COMPUTED_VALUE"""),3)</f>
        <v>3</v>
      </c>
      <c r="O907" s="5" t="str">
        <f ca="1">IFERROR(__xludf.DUMMYFUNCTION("""COMPUTED_VALUE"""),"Fall")</f>
        <v>Fall</v>
      </c>
      <c r="P907" s="5" t="str">
        <f ca="1">IFERROR(__xludf.DUMMYFUNCTION("""COMPUTED_VALUE"""),"Little Rock")</f>
        <v>Little Rock</v>
      </c>
      <c r="Q907" s="5" t="str">
        <f ca="1">IFERROR(__xludf.DUMMYFUNCTION("""COMPUTED_VALUE"""),"AR")</f>
        <v>AR</v>
      </c>
      <c r="R907" s="5" t="str">
        <f ca="1">IFERROR(__xludf.DUMMYFUNCTION("""COMPUTED_VALUE"""),"Elementary")</f>
        <v>Elementary</v>
      </c>
      <c r="S907" s="5" t="str">
        <f ca="1">IFERROR(__xludf.DUMMYFUNCTION("""COMPUTED_VALUE"""),"Other")</f>
        <v>Other</v>
      </c>
      <c r="T907" s="5" t="str">
        <f ca="1">IFERROR(__xludf.DUMMYFUNCTION("""COMPUTED_VALUE"""),"Outside on School Property")</f>
        <v>Outside on School Property</v>
      </c>
      <c r="U907" s="5" t="str">
        <f ca="1">IFERROR(__xludf.DUMMYFUNCTION("""COMPUTED_VALUE"""),"Yes")</f>
        <v>Yes</v>
      </c>
      <c r="V907" s="5" t="str">
        <f ca="1">IFERROR(__xludf.DUMMYFUNCTION("""COMPUTED_VALUE"""),"Morning Classes")</f>
        <v>Morning Classes</v>
      </c>
      <c r="W907" s="10">
        <f ca="1">IFERROR(__xludf.DUMMYFUNCTION("""COMPUTED_VALUE"""),0.416666666666666)</f>
        <v>0.41666666666666602</v>
      </c>
      <c r="X907" s="5">
        <f ca="1">IFERROR(__xludf.DUMMYFUNCTION("""COMPUTED_VALUE"""),1)</f>
        <v>1</v>
      </c>
      <c r="Y907" s="5" t="str">
        <f ca="1">IFERROR(__xludf.DUMMYFUNCTION("""COMPUTED_VALUE"""),"6 bullets stuck the school building, no injuries")</f>
        <v>6 bullets stuck the school building, no injuries</v>
      </c>
      <c r="Z907" s="5" t="str">
        <f ca="1">IFERROR(__xludf.DUMMYFUNCTION("""COMPUTED_VALUE"""),"6 bullets stuck the school building. No injuries. Police said the shooting was unrelated to the school. No suspect arrested.")</f>
        <v>6 bullets stuck the school building. No injuries. Police said the shooting was unrelated to the school. No suspect arrested.</v>
      </c>
      <c r="AA907" s="5" t="str">
        <f ca="1">IFERROR(__xludf.DUMMYFUNCTION("""COMPUTED_VALUE"""),"Unknown")</f>
        <v>Unknown</v>
      </c>
      <c r="AB907" s="5"/>
      <c r="AC907" s="5"/>
      <c r="AD907" s="5" t="str">
        <f ca="1">IFERROR(__xludf.DUMMYFUNCTION("""COMPUTED_VALUE"""),"No")</f>
        <v>No</v>
      </c>
      <c r="AE907" s="5" t="str">
        <f ca="1">IFERROR(__xludf.DUMMYFUNCTION("""COMPUTED_VALUE"""),"No")</f>
        <v>No</v>
      </c>
      <c r="AF907" s="5" t="str">
        <f ca="1">IFERROR(__xludf.DUMMYFUNCTION("""COMPUTED_VALUE"""),"No")</f>
        <v>No</v>
      </c>
      <c r="AG907" s="5" t="str">
        <f ca="1">IFERROR(__xludf.DUMMYFUNCTION("""COMPUTED_VALUE"""),"No")</f>
        <v>No</v>
      </c>
      <c r="AH907" s="5" t="str">
        <f ca="1">IFERROR(__xludf.DUMMYFUNCTION("""COMPUTED_VALUE"""),"No")</f>
        <v>No</v>
      </c>
      <c r="AI907" s="5"/>
      <c r="AJ907" s="5" t="str">
        <f ca="1">IFERROR(__xludf.DUMMYFUNCTION("""COMPUTED_VALUE"""),"No")</f>
        <v>No</v>
      </c>
    </row>
    <row r="908" spans="1:36" ht="13">
      <c r="A908" s="5" t="str">
        <f ca="1">IFERROR(__xludf.DUMMYFUNCTION("""COMPUTED_VALUE"""),"20180928SDCHC")</f>
        <v>20180928SDCHC</v>
      </c>
      <c r="B908" s="5">
        <f ca="1">IFERROR(__xludf.DUMMYFUNCTION("""COMPUTED_VALUE"""),9)</f>
        <v>9</v>
      </c>
      <c r="C908" s="5">
        <f ca="1">IFERROR(__xludf.DUMMYFUNCTION("""COMPUTED_VALUE"""),28)</f>
        <v>28</v>
      </c>
      <c r="D908" s="5">
        <f ca="1">IFERROR(__xludf.DUMMYFUNCTION("""COMPUTED_VALUE"""),2018)</f>
        <v>2018</v>
      </c>
      <c r="E908" s="8">
        <f ca="1">IFERROR(__xludf.DUMMYFUNCTION("""COMPUTED_VALUE"""),43371)</f>
        <v>43371</v>
      </c>
      <c r="F908" s="5" t="str">
        <f ca="1">IFERROR(__xludf.DUMMYFUNCTION("""COMPUTED_VALUE"""),"Chamberlain High School")</f>
        <v>Chamberlain High School</v>
      </c>
      <c r="G908" s="5">
        <f ca="1">IFERROR(__xludf.DUMMYFUNCTION("""COMPUTED_VALUE"""),0)</f>
        <v>0</v>
      </c>
      <c r="H908" s="5">
        <f ca="1">IFERROR(__xludf.DUMMYFUNCTION("""COMPUTED_VALUE"""),0)</f>
        <v>0</v>
      </c>
      <c r="I908" s="5">
        <f ca="1">IFERROR(__xludf.DUMMYFUNCTION("""COMPUTED_VALUE"""),0)</f>
        <v>0</v>
      </c>
      <c r="J908" s="5">
        <f ca="1">IFERROR(__xludf.DUMMYFUNCTION("""COMPUTED_VALUE"""),0)</f>
        <v>0</v>
      </c>
      <c r="K908" s="9" t="str">
        <f ca="1">IFERROR(__xludf.DUMMYFUNCTION("""COMPUTED_VALUE"""),"https://www.ksfy.com/content/news/High-school-football-game-evacuated-following-gunshot-494669791.html")</f>
        <v>https://www.ksfy.com/content/news/High-school-football-game-evacuated-following-gunshot-494669791.html</v>
      </c>
      <c r="L908" s="5"/>
      <c r="M908" s="5"/>
      <c r="N908" s="5">
        <f ca="1">IFERROR(__xludf.DUMMYFUNCTION("""COMPUTED_VALUE"""),4)</f>
        <v>4</v>
      </c>
      <c r="O908" s="5" t="str">
        <f ca="1">IFERROR(__xludf.DUMMYFUNCTION("""COMPUTED_VALUE"""),"Fall")</f>
        <v>Fall</v>
      </c>
      <c r="P908" s="5" t="str">
        <f ca="1">IFERROR(__xludf.DUMMYFUNCTION("""COMPUTED_VALUE"""),"Chamberlain")</f>
        <v>Chamberlain</v>
      </c>
      <c r="Q908" s="5" t="str">
        <f ca="1">IFERROR(__xludf.DUMMYFUNCTION("""COMPUTED_VALUE"""),"SD")</f>
        <v>SD</v>
      </c>
      <c r="R908" s="5" t="str">
        <f ca="1">IFERROR(__xludf.DUMMYFUNCTION("""COMPUTED_VALUE"""),"High")</f>
        <v>High</v>
      </c>
      <c r="S908" s="5" t="str">
        <f ca="1">IFERROR(__xludf.DUMMYFUNCTION("""COMPUTED_VALUE"""),"Field (General)")</f>
        <v>Field (General)</v>
      </c>
      <c r="T908" s="5" t="str">
        <f ca="1">IFERROR(__xludf.DUMMYFUNCTION("""COMPUTED_VALUE"""),"Outside on School Property")</f>
        <v>Outside on School Property</v>
      </c>
      <c r="U908" s="5" t="str">
        <f ca="1">IFERROR(__xludf.DUMMYFUNCTION("""COMPUTED_VALUE"""),"No")</f>
        <v>No</v>
      </c>
      <c r="V908" s="5" t="str">
        <f ca="1">IFERROR(__xludf.DUMMYFUNCTION("""COMPUTED_VALUE"""),"Sport Event")</f>
        <v>Sport Event</v>
      </c>
      <c r="W908" s="10">
        <f ca="1">IFERROR(__xludf.DUMMYFUNCTION("""COMPUTED_VALUE"""),0.645833333333333)</f>
        <v>0.64583333333333304</v>
      </c>
      <c r="X908" s="5">
        <f ca="1">IFERROR(__xludf.DUMMYFUNCTION("""COMPUTED_VALUE"""),1)</f>
        <v>1</v>
      </c>
      <c r="Y908" s="5" t="str">
        <f ca="1">IFERROR(__xludf.DUMMYFUNCTION("""COMPUTED_VALUE"""),"Man commit suicide on school field during game following police chase")</f>
        <v>Man commit suicide on school field during game following police chase</v>
      </c>
      <c r="Z908" s="5" t="str">
        <f ca="1">IFERROR(__xludf.DUMMYFUNCTION("""COMPUTED_VALUE"""),"During football game, 20YOM being chased by police ran onto football practice field and shot himself. Game was suspended and stadium was cleared as a precaution. Game resumed 30 minutes later.")</f>
        <v>During football game, 20YOM being chased by police ran onto football practice field and shot himself. Game was suspended and stadium was cleared as a precaution. Game resumed 30 minutes later.</v>
      </c>
      <c r="AA908" s="5" t="str">
        <f ca="1">IFERROR(__xludf.DUMMYFUNCTION("""COMPUTED_VALUE"""),"Suicide/Attempted")</f>
        <v>Suicide/Attempted</v>
      </c>
      <c r="AB908" s="5" t="str">
        <f ca="1">IFERROR(__xludf.DUMMYFUNCTION("""COMPUTED_VALUE"""),"Victims Targeted")</f>
        <v>Victims Targeted</v>
      </c>
      <c r="AC908" s="5" t="str">
        <f ca="1">IFERROR(__xludf.DUMMYFUNCTION("""COMPUTED_VALUE"""),"No")</f>
        <v>No</v>
      </c>
      <c r="AD908" s="5" t="str">
        <f ca="1">IFERROR(__xludf.DUMMYFUNCTION("""COMPUTED_VALUE"""),"No")</f>
        <v>No</v>
      </c>
      <c r="AE908" s="5" t="str">
        <f ca="1">IFERROR(__xludf.DUMMYFUNCTION("""COMPUTED_VALUE"""),"No")</f>
        <v>No</v>
      </c>
      <c r="AF908" s="5" t="str">
        <f ca="1">IFERROR(__xludf.DUMMYFUNCTION("""COMPUTED_VALUE"""),"No")</f>
        <v>No</v>
      </c>
      <c r="AG908" s="5" t="str">
        <f ca="1">IFERROR(__xludf.DUMMYFUNCTION("""COMPUTED_VALUE"""),"No")</f>
        <v>No</v>
      </c>
      <c r="AH908" s="5" t="str">
        <f ca="1">IFERROR(__xludf.DUMMYFUNCTION("""COMPUTED_VALUE"""),"No")</f>
        <v>No</v>
      </c>
      <c r="AI908" s="5" t="str">
        <f ca="1">IFERROR(__xludf.DUMMYFUNCTION("""COMPUTED_VALUE"""),"No")</f>
        <v>No</v>
      </c>
      <c r="AJ908" s="5" t="str">
        <f ca="1">IFERROR(__xludf.DUMMYFUNCTION("""COMPUTED_VALUE"""),"No")</f>
        <v>No</v>
      </c>
    </row>
    <row r="909" spans="1:36" ht="13">
      <c r="A909" s="5" t="str">
        <f ca="1">IFERROR(__xludf.DUMMYFUNCTION("""COMPUTED_VALUE"""),"20180927TXHEC")</f>
        <v>20180927TXHEC</v>
      </c>
      <c r="B909" s="5">
        <f ca="1">IFERROR(__xludf.DUMMYFUNCTION("""COMPUTED_VALUE"""),9)</f>
        <v>9</v>
      </c>
      <c r="C909" s="5">
        <f ca="1">IFERROR(__xludf.DUMMYFUNCTION("""COMPUTED_VALUE"""),27)</f>
        <v>27</v>
      </c>
      <c r="D909" s="5">
        <f ca="1">IFERROR(__xludf.DUMMYFUNCTION("""COMPUTED_VALUE"""),2018)</f>
        <v>2018</v>
      </c>
      <c r="E909" s="8">
        <f ca="1">IFERROR(__xludf.DUMMYFUNCTION("""COMPUTED_VALUE"""),43370)</f>
        <v>43370</v>
      </c>
      <c r="F909" s="5" t="str">
        <f ca="1">IFERROR(__xludf.DUMMYFUNCTION("""COMPUTED_VALUE"""),"Hebron High School")</f>
        <v>Hebron High School</v>
      </c>
      <c r="G909" s="5">
        <f ca="1">IFERROR(__xludf.DUMMYFUNCTION("""COMPUTED_VALUE"""),0)</f>
        <v>0</v>
      </c>
      <c r="H909" s="5">
        <f ca="1">IFERROR(__xludf.DUMMYFUNCTION("""COMPUTED_VALUE"""),1)</f>
        <v>1</v>
      </c>
      <c r="I909" s="5">
        <f ca="1">IFERROR(__xludf.DUMMYFUNCTION("""COMPUTED_VALUE"""),1)</f>
        <v>1</v>
      </c>
      <c r="J909" s="5">
        <f ca="1">IFERROR(__xludf.DUMMYFUNCTION("""COMPUTED_VALUE"""),0)</f>
        <v>0</v>
      </c>
      <c r="K909" s="5" t="str">
        <f ca="1">IFERROR(__xludf.DUMMYFUNCTION("""COMPUTED_VALUE"""),"https://www.dallasnews.com/news/crime/2018/09/27/1-shot-hebron-high-school-football-game https://www.nbcdfw.com/news/local/Shooting-Outside-Hebron-High-School-Football-Game-No-Students-Hurt-494570451.html http://www.fox4news.com/news/gunman-in-custody-aft"&amp;"er-shooting-at-carrollton-high-school-football-game")</f>
        <v>https://www.dallasnews.com/news/crime/2018/09/27/1-shot-hebron-high-school-football-game https://www.nbcdfw.com/news/local/Shooting-Outside-Hebron-High-School-Football-Game-No-Students-Hurt-494570451.html http://www.fox4news.com/news/gunman-in-custody-after-shooting-at-carrollton-high-school-football-game</v>
      </c>
      <c r="L909" s="5"/>
      <c r="M909" s="5"/>
      <c r="N909" s="5">
        <f ca="1">IFERROR(__xludf.DUMMYFUNCTION("""COMPUTED_VALUE"""),3)</f>
        <v>3</v>
      </c>
      <c r="O909" s="5" t="str">
        <f ca="1">IFERROR(__xludf.DUMMYFUNCTION("""COMPUTED_VALUE"""),"Fall")</f>
        <v>Fall</v>
      </c>
      <c r="P909" s="5" t="str">
        <f ca="1">IFERROR(__xludf.DUMMYFUNCTION("""COMPUTED_VALUE"""),"Carrollton")</f>
        <v>Carrollton</v>
      </c>
      <c r="Q909" s="5" t="str">
        <f ca="1">IFERROR(__xludf.DUMMYFUNCTION("""COMPUTED_VALUE"""),"TX")</f>
        <v>TX</v>
      </c>
      <c r="R909" s="5" t="str">
        <f ca="1">IFERROR(__xludf.DUMMYFUNCTION("""COMPUTED_VALUE"""),"High")</f>
        <v>High</v>
      </c>
      <c r="S909" s="5" t="str">
        <f ca="1">IFERROR(__xludf.DUMMYFUNCTION("""COMPUTED_VALUE"""),"Parking Lot")</f>
        <v>Parking Lot</v>
      </c>
      <c r="T909" s="5" t="str">
        <f ca="1">IFERROR(__xludf.DUMMYFUNCTION("""COMPUTED_VALUE"""),"Outside on School Property")</f>
        <v>Outside on School Property</v>
      </c>
      <c r="U909" s="5" t="str">
        <f ca="1">IFERROR(__xludf.DUMMYFUNCTION("""COMPUTED_VALUE"""),"No")</f>
        <v>No</v>
      </c>
      <c r="V909" s="5" t="str">
        <f ca="1">IFERROR(__xludf.DUMMYFUNCTION("""COMPUTED_VALUE"""),"Sport Event")</f>
        <v>Sport Event</v>
      </c>
      <c r="W909" s="10">
        <f ca="1">IFERROR(__xludf.DUMMYFUNCTION("""COMPUTED_VALUE"""),0.857638888888888)</f>
        <v>0.85763888888888795</v>
      </c>
      <c r="X909" s="5">
        <f ca="1">IFERROR(__xludf.DUMMYFUNCTION("""COMPUTED_VALUE"""),1)</f>
        <v>1</v>
      </c>
      <c r="Y909" s="5" t="str">
        <f ca="1">IFERROR(__xludf.DUMMYFUNCTION("""COMPUTED_VALUE"""),"Adult male shot in chest at football game during argument")</f>
        <v>Adult male shot in chest at football game during argument</v>
      </c>
      <c r="Z909" s="5" t="str">
        <f ca="1">IFERROR(__xludf.DUMMYFUNCTION("""COMPUTED_VALUE"""),"47YOM (shooter) fired in the parking lot following an argument with 31YOM (victim) in the stands during the JV football game. Shooter was arrested at the scene. Police determined the shooting to be self defense.")</f>
        <v>47YOM (shooter) fired in the parking lot following an argument with 31YOM (victim) in the stands during the JV football game. Shooter was arrested at the scene. Police determined the shooting to be self defense.</v>
      </c>
      <c r="AA909" s="5" t="str">
        <f ca="1">IFERROR(__xludf.DUMMYFUNCTION("""COMPUTED_VALUE"""),"Escalation of Dispute")</f>
        <v>Escalation of Dispute</v>
      </c>
      <c r="AB909" s="5" t="str">
        <f ca="1">IFERROR(__xludf.DUMMYFUNCTION("""COMPUTED_VALUE"""),"Victims Targeted")</f>
        <v>Victims Targeted</v>
      </c>
      <c r="AC909" s="5" t="str">
        <f ca="1">IFERROR(__xludf.DUMMYFUNCTION("""COMPUTED_VALUE"""),"No")</f>
        <v>No</v>
      </c>
      <c r="AD909" s="5" t="str">
        <f ca="1">IFERROR(__xludf.DUMMYFUNCTION("""COMPUTED_VALUE"""),"No")</f>
        <v>No</v>
      </c>
      <c r="AE909" s="5" t="str">
        <f ca="1">IFERROR(__xludf.DUMMYFUNCTION("""COMPUTED_VALUE"""),"No")</f>
        <v>No</v>
      </c>
      <c r="AF909" s="5" t="str">
        <f ca="1">IFERROR(__xludf.DUMMYFUNCTION("""COMPUTED_VALUE"""),"No")</f>
        <v>No</v>
      </c>
      <c r="AG909" s="5" t="str">
        <f ca="1">IFERROR(__xludf.DUMMYFUNCTION("""COMPUTED_VALUE"""),"No")</f>
        <v>No</v>
      </c>
      <c r="AH909" s="5" t="str">
        <f ca="1">IFERROR(__xludf.DUMMYFUNCTION("""COMPUTED_VALUE"""),"No")</f>
        <v>No</v>
      </c>
      <c r="AI909" s="5" t="str">
        <f ca="1">IFERROR(__xludf.DUMMYFUNCTION("""COMPUTED_VALUE"""),"No")</f>
        <v>No</v>
      </c>
      <c r="AJ909" s="5" t="str">
        <f ca="1">IFERROR(__xludf.DUMMYFUNCTION("""COMPUTED_VALUE"""),"No")</f>
        <v>No</v>
      </c>
    </row>
    <row r="910" spans="1:36" ht="13">
      <c r="A910" s="5" t="str">
        <f ca="1">IFERROR(__xludf.DUMMYFUNCTION("""COMPUTED_VALUE"""),"20180926MDMAB")</f>
        <v>20180926MDMAB</v>
      </c>
      <c r="B910" s="5">
        <f ca="1">IFERROR(__xludf.DUMMYFUNCTION("""COMPUTED_VALUE"""),9)</f>
        <v>9</v>
      </c>
      <c r="C910" s="5">
        <f ca="1">IFERROR(__xludf.DUMMYFUNCTION("""COMPUTED_VALUE"""),26)</f>
        <v>26</v>
      </c>
      <c r="D910" s="5">
        <f ca="1">IFERROR(__xludf.DUMMYFUNCTION("""COMPUTED_VALUE"""),2018)</f>
        <v>2018</v>
      </c>
      <c r="E910" s="8">
        <f ca="1">IFERROR(__xludf.DUMMYFUNCTION("""COMPUTED_VALUE"""),43369)</f>
        <v>43369</v>
      </c>
      <c r="F910" s="5" t="str">
        <f ca="1">IFERROR(__xludf.DUMMYFUNCTION("""COMPUTED_VALUE"""),"Maree Garnett Farring Elementary")</f>
        <v>Maree Garnett Farring Elementary</v>
      </c>
      <c r="G910" s="5">
        <f ca="1">IFERROR(__xludf.DUMMYFUNCTION("""COMPUTED_VALUE"""),0)</f>
        <v>0</v>
      </c>
      <c r="H910" s="5">
        <f ca="1">IFERROR(__xludf.DUMMYFUNCTION("""COMPUTED_VALUE"""),0)</f>
        <v>0</v>
      </c>
      <c r="I910" s="5">
        <f ca="1">IFERROR(__xludf.DUMMYFUNCTION("""COMPUTED_VALUE"""),0)</f>
        <v>0</v>
      </c>
      <c r="J910" s="5">
        <f ca="1">IFERROR(__xludf.DUMMYFUNCTION("""COMPUTED_VALUE"""),0)</f>
        <v>0</v>
      </c>
      <c r="K910" s="9" t="str">
        <f ca="1">IFERROR(__xludf.DUMMYFUNCTION("""COMPUTED_VALUE"""),"http://www.baltimoresun.com/news/maryland/crime/bs-md-ci-guns-fired-elementary-school-20180926-story.html")</f>
        <v>http://www.baltimoresun.com/news/maryland/crime/bs-md-ci-guns-fired-elementary-school-20180926-story.html</v>
      </c>
      <c r="L910" s="5"/>
      <c r="M910" s="5"/>
      <c r="N910" s="5">
        <f ca="1">IFERROR(__xludf.DUMMYFUNCTION("""COMPUTED_VALUE"""),2)</f>
        <v>2</v>
      </c>
      <c r="O910" s="5" t="str">
        <f ca="1">IFERROR(__xludf.DUMMYFUNCTION("""COMPUTED_VALUE"""),"Fall")</f>
        <v>Fall</v>
      </c>
      <c r="P910" s="5" t="str">
        <f ca="1">IFERROR(__xludf.DUMMYFUNCTION("""COMPUTED_VALUE"""),"Baltimore")</f>
        <v>Baltimore</v>
      </c>
      <c r="Q910" s="5" t="str">
        <f ca="1">IFERROR(__xludf.DUMMYFUNCTION("""COMPUTED_VALUE"""),"MD")</f>
        <v>MD</v>
      </c>
      <c r="R910" s="5" t="str">
        <f ca="1">IFERROR(__xludf.DUMMYFUNCTION("""COMPUTED_VALUE"""),"Elementary")</f>
        <v>Elementary</v>
      </c>
      <c r="S910" s="5" t="str">
        <f ca="1">IFERROR(__xludf.DUMMYFUNCTION("""COMPUTED_VALUE"""),"Bathroom")</f>
        <v>Bathroom</v>
      </c>
      <c r="T910" s="5" t="str">
        <f ca="1">IFERROR(__xludf.DUMMYFUNCTION("""COMPUTED_VALUE"""),"Outside on School Property")</f>
        <v>Outside on School Property</v>
      </c>
      <c r="U910" s="5" t="str">
        <f ca="1">IFERROR(__xludf.DUMMYFUNCTION("""COMPUTED_VALUE"""),"Yes")</f>
        <v>Yes</v>
      </c>
      <c r="V910" s="5" t="str">
        <f ca="1">IFERROR(__xludf.DUMMYFUNCTION("""COMPUTED_VALUE"""),"Morning Classes")</f>
        <v>Morning Classes</v>
      </c>
      <c r="W910" s="5"/>
      <c r="X910" s="5">
        <f ca="1">IFERROR(__xludf.DUMMYFUNCTION("""COMPUTED_VALUE"""),1)</f>
        <v>1</v>
      </c>
      <c r="Y910" s="5" t="str">
        <f ca="1">IFERROR(__xludf.DUMMYFUNCTION("""COMPUTED_VALUE"""),"Two students playing with gun in school bathroom.")</f>
        <v>Two students playing with gun in school bathroom.</v>
      </c>
      <c r="Z910" s="5" t="str">
        <f ca="1">IFERROR(__xludf.DUMMYFUNCTION("""COMPUTED_VALUE"""),"Two unnamed students fired a gun in the school bathroom. School was locked down for 4 hours then dismissed.")</f>
        <v>Two unnamed students fired a gun in the school bathroom. School was locked down for 4 hours then dismissed.</v>
      </c>
      <c r="AA910" s="5" t="str">
        <f ca="1">IFERROR(__xludf.DUMMYFUNCTION("""COMPUTED_VALUE"""),"Accidental")</f>
        <v>Accidental</v>
      </c>
      <c r="AB910" s="5" t="str">
        <f ca="1">IFERROR(__xludf.DUMMYFUNCTION("""COMPUTED_VALUE"""),"Neither")</f>
        <v>Neither</v>
      </c>
      <c r="AC910" s="5" t="str">
        <f ca="1">IFERROR(__xludf.DUMMYFUNCTION("""COMPUTED_VALUE"""),"Yes")</f>
        <v>Yes</v>
      </c>
      <c r="AD910" s="5" t="str">
        <f ca="1">IFERROR(__xludf.DUMMYFUNCTION("""COMPUTED_VALUE"""),"No")</f>
        <v>No</v>
      </c>
      <c r="AE910" s="5" t="str">
        <f ca="1">IFERROR(__xludf.DUMMYFUNCTION("""COMPUTED_VALUE"""),"No")</f>
        <v>No</v>
      </c>
      <c r="AF910" s="5" t="str">
        <f ca="1">IFERROR(__xludf.DUMMYFUNCTION("""COMPUTED_VALUE"""),"No")</f>
        <v>No</v>
      </c>
      <c r="AG910" s="5" t="str">
        <f ca="1">IFERROR(__xludf.DUMMYFUNCTION("""COMPUTED_VALUE"""),"No")</f>
        <v>No</v>
      </c>
      <c r="AH910" s="5" t="str">
        <f ca="1">IFERROR(__xludf.DUMMYFUNCTION("""COMPUTED_VALUE"""),"No")</f>
        <v>No</v>
      </c>
      <c r="AI910" s="5" t="str">
        <f ca="1">IFERROR(__xludf.DUMMYFUNCTION("""COMPUTED_VALUE"""),"No")</f>
        <v>No</v>
      </c>
      <c r="AJ910" s="5" t="str">
        <f ca="1">IFERROR(__xludf.DUMMYFUNCTION("""COMPUTED_VALUE"""),"No")</f>
        <v>No</v>
      </c>
    </row>
    <row r="911" spans="1:36" ht="13">
      <c r="A911" s="5" t="str">
        <f ca="1">IFERROR(__xludf.DUMMYFUNCTION("""COMPUTED_VALUE"""),"20180924GAAPB")</f>
        <v>20180924GAAPB</v>
      </c>
      <c r="B911" s="5">
        <f ca="1">IFERROR(__xludf.DUMMYFUNCTION("""COMPUTED_VALUE"""),9)</f>
        <v>9</v>
      </c>
      <c r="C911" s="5">
        <f ca="1">IFERROR(__xludf.DUMMYFUNCTION("""COMPUTED_VALUE"""),24)</f>
        <v>24</v>
      </c>
      <c r="D911" s="5">
        <f ca="1">IFERROR(__xludf.DUMMYFUNCTION("""COMPUTED_VALUE"""),2018)</f>
        <v>2018</v>
      </c>
      <c r="E911" s="8">
        <f ca="1">IFERROR(__xludf.DUMMYFUNCTION("""COMPUTED_VALUE"""),43367)</f>
        <v>43367</v>
      </c>
      <c r="F911" s="5" t="str">
        <f ca="1">IFERROR(__xludf.DUMMYFUNCTION("""COMPUTED_VALUE"""),"Appling County High School")</f>
        <v>Appling County High School</v>
      </c>
      <c r="G911" s="5">
        <f ca="1">IFERROR(__xludf.DUMMYFUNCTION("""COMPUTED_VALUE"""),0)</f>
        <v>0</v>
      </c>
      <c r="H911" s="5">
        <f ca="1">IFERROR(__xludf.DUMMYFUNCTION("""COMPUTED_VALUE"""),0)</f>
        <v>0</v>
      </c>
      <c r="I911" s="5">
        <f ca="1">IFERROR(__xludf.DUMMYFUNCTION("""COMPUTED_VALUE"""),0)</f>
        <v>0</v>
      </c>
      <c r="J911" s="5">
        <f ca="1">IFERROR(__xludf.DUMMYFUNCTION("""COMPUTED_VALUE"""),1)</f>
        <v>1</v>
      </c>
      <c r="K911" s="9" t="str">
        <f ca="1">IFERROR(__xludf.DUMMYFUNCTION("""COMPUTED_VALUE"""),"https://www.wsav.com/news/local-news/update-student-found-shot-at-appling-co-hs-declared-dead-coroner-says/")</f>
        <v>https://www.wsav.com/news/local-news/update-student-found-shot-at-appling-co-hs-declared-dead-coroner-says/</v>
      </c>
      <c r="L911" s="5"/>
      <c r="M911" s="5"/>
      <c r="N911" s="5">
        <f ca="1">IFERROR(__xludf.DUMMYFUNCTION("""COMPUTED_VALUE"""),4)</f>
        <v>4</v>
      </c>
      <c r="O911" s="5" t="str">
        <f ca="1">IFERROR(__xludf.DUMMYFUNCTION("""COMPUTED_VALUE"""),"Fall")</f>
        <v>Fall</v>
      </c>
      <c r="P911" s="5" t="str">
        <f ca="1">IFERROR(__xludf.DUMMYFUNCTION("""COMPUTED_VALUE"""),"Baxley")</f>
        <v>Baxley</v>
      </c>
      <c r="Q911" s="5" t="str">
        <f ca="1">IFERROR(__xludf.DUMMYFUNCTION("""COMPUTED_VALUE"""),"GA")</f>
        <v>GA</v>
      </c>
      <c r="R911" s="5" t="str">
        <f ca="1">IFERROR(__xludf.DUMMYFUNCTION("""COMPUTED_VALUE"""),"High")</f>
        <v>High</v>
      </c>
      <c r="S911" s="5" t="str">
        <f ca="1">IFERROR(__xludf.DUMMYFUNCTION("""COMPUTED_VALUE"""),"Bathroom")</f>
        <v>Bathroom</v>
      </c>
      <c r="T911" s="5" t="str">
        <f ca="1">IFERROR(__xludf.DUMMYFUNCTION("""COMPUTED_VALUE"""),"Inside School Building")</f>
        <v>Inside School Building</v>
      </c>
      <c r="U911" s="5" t="str">
        <f ca="1">IFERROR(__xludf.DUMMYFUNCTION("""COMPUTED_VALUE"""),"Yes")</f>
        <v>Yes</v>
      </c>
      <c r="V911" s="5" t="str">
        <f ca="1">IFERROR(__xludf.DUMMYFUNCTION("""COMPUTED_VALUE"""),"Morning Classes")</f>
        <v>Morning Classes</v>
      </c>
      <c r="W911" s="5"/>
      <c r="X911" s="5">
        <f ca="1">IFERROR(__xludf.DUMMYFUNCTION("""COMPUTED_VALUE"""),1)</f>
        <v>1</v>
      </c>
      <c r="Y911" s="5" t="str">
        <f ca="1">IFERROR(__xludf.DUMMYFUNCTION("""COMPUTED_VALUE"""),"Student commit suicide in bathroom")</f>
        <v>Student commit suicide in bathroom</v>
      </c>
      <c r="Z911" s="5" t="str">
        <f ca="1">IFERROR(__xludf.DUMMYFUNCTION("""COMPUTED_VALUE"""),"Student commit suicide in the school bathroom. Body was found later, nobody reported hearing the gunshot. School was locked down then dismissed.")</f>
        <v>Student commit suicide in the school bathroom. Body was found later, nobody reported hearing the gunshot. School was locked down then dismissed.</v>
      </c>
      <c r="AA911" s="5" t="str">
        <f ca="1">IFERROR(__xludf.DUMMYFUNCTION("""COMPUTED_VALUE"""),"Suicide/Attempted")</f>
        <v>Suicide/Attempted</v>
      </c>
      <c r="AB911" s="5" t="str">
        <f ca="1">IFERROR(__xludf.DUMMYFUNCTION("""COMPUTED_VALUE"""),"Victims Targeted")</f>
        <v>Victims Targeted</v>
      </c>
      <c r="AC911" s="5" t="str">
        <f ca="1">IFERROR(__xludf.DUMMYFUNCTION("""COMPUTED_VALUE"""),"No")</f>
        <v>No</v>
      </c>
      <c r="AD911" s="5" t="str">
        <f ca="1">IFERROR(__xludf.DUMMYFUNCTION("""COMPUTED_VALUE"""),"No")</f>
        <v>No</v>
      </c>
      <c r="AE911" s="5" t="str">
        <f ca="1">IFERROR(__xludf.DUMMYFUNCTION("""COMPUTED_VALUE"""),"No")</f>
        <v>No</v>
      </c>
      <c r="AF911" s="5" t="str">
        <f ca="1">IFERROR(__xludf.DUMMYFUNCTION("""COMPUTED_VALUE"""),"No")</f>
        <v>No</v>
      </c>
      <c r="AG911" s="5"/>
      <c r="AH911" s="5" t="str">
        <f ca="1">IFERROR(__xludf.DUMMYFUNCTION("""COMPUTED_VALUE"""),"No")</f>
        <v>No</v>
      </c>
      <c r="AI911" s="5" t="str">
        <f ca="1">IFERROR(__xludf.DUMMYFUNCTION("""COMPUTED_VALUE"""),"No")</f>
        <v>No</v>
      </c>
      <c r="AJ911" s="5" t="str">
        <f ca="1">IFERROR(__xludf.DUMMYFUNCTION("""COMPUTED_VALUE"""),"No")</f>
        <v>No</v>
      </c>
    </row>
    <row r="912" spans="1:36" ht="13">
      <c r="A912" s="5" t="str">
        <f ca="1">IFERROR(__xludf.DUMMYFUNCTION("""COMPUTED_VALUE"""),"20180924PACEP")</f>
        <v>20180924PACEP</v>
      </c>
      <c r="B912" s="5">
        <f ca="1">IFERROR(__xludf.DUMMYFUNCTION("""COMPUTED_VALUE"""),9)</f>
        <v>9</v>
      </c>
      <c r="C912" s="5">
        <f ca="1">IFERROR(__xludf.DUMMYFUNCTION("""COMPUTED_VALUE"""),24)</f>
        <v>24</v>
      </c>
      <c r="D912" s="5">
        <f ca="1">IFERROR(__xludf.DUMMYFUNCTION("""COMPUTED_VALUE"""),2018)</f>
        <v>2018</v>
      </c>
      <c r="E912" s="8">
        <f ca="1">IFERROR(__xludf.DUMMYFUNCTION("""COMPUTED_VALUE"""),43367)</f>
        <v>43367</v>
      </c>
      <c r="F912" s="5" t="str">
        <f ca="1">IFERROR(__xludf.DUMMYFUNCTION("""COMPUTED_VALUE"""),"Central High School")</f>
        <v>Central High School</v>
      </c>
      <c r="G912" s="5">
        <f ca="1">IFERROR(__xludf.DUMMYFUNCTION("""COMPUTED_VALUE"""),1)</f>
        <v>1</v>
      </c>
      <c r="H912" s="5">
        <f ca="1">IFERROR(__xludf.DUMMYFUNCTION("""COMPUTED_VALUE"""),0)</f>
        <v>0</v>
      </c>
      <c r="I912" s="5">
        <f ca="1">IFERROR(__xludf.DUMMYFUNCTION("""COMPUTED_VALUE"""),1)</f>
        <v>1</v>
      </c>
      <c r="J912" s="5">
        <f ca="1">IFERROR(__xludf.DUMMYFUNCTION("""COMPUTED_VALUE"""),0)</f>
        <v>0</v>
      </c>
      <c r="K912" s="5" t="str">
        <f ca="1">IFERROR(__xludf.DUMMYFUNCTION("""COMPUTED_VALUE"""),"https://6abc.com/teen-shot-outside-central-high-school/4326366/ https://philadelphia.cbslocal.com/2018/09/24/central-high-school-student-shot-walking-to-school-philadelphia-police-say/")</f>
        <v>https://6abc.com/teen-shot-outside-central-high-school/4326366/ https://philadelphia.cbslocal.com/2018/09/24/central-high-school-student-shot-walking-to-school-philadelphia-police-say/</v>
      </c>
      <c r="L912" s="5"/>
      <c r="M912" s="5"/>
      <c r="N912" s="5">
        <f ca="1">IFERROR(__xludf.DUMMYFUNCTION("""COMPUTED_VALUE"""),3)</f>
        <v>3</v>
      </c>
      <c r="O912" s="5" t="str">
        <f ca="1">IFERROR(__xludf.DUMMYFUNCTION("""COMPUTED_VALUE"""),"Fall")</f>
        <v>Fall</v>
      </c>
      <c r="P912" s="5" t="str">
        <f ca="1">IFERROR(__xludf.DUMMYFUNCTION("""COMPUTED_VALUE"""),"Philadelphia")</f>
        <v>Philadelphia</v>
      </c>
      <c r="Q912" s="5" t="str">
        <f ca="1">IFERROR(__xludf.DUMMYFUNCTION("""COMPUTED_VALUE"""),"PA")</f>
        <v>PA</v>
      </c>
      <c r="R912" s="5" t="str">
        <f ca="1">IFERROR(__xludf.DUMMYFUNCTION("""COMPUTED_VALUE"""),"High")</f>
        <v>High</v>
      </c>
      <c r="S912" s="5" t="str">
        <f ca="1">IFERROR(__xludf.DUMMYFUNCTION("""COMPUTED_VALUE"""),"Front of School")</f>
        <v>Front of School</v>
      </c>
      <c r="T912" s="5" t="str">
        <f ca="1">IFERROR(__xludf.DUMMYFUNCTION("""COMPUTED_VALUE"""),"Outside on School Property")</f>
        <v>Outside on School Property</v>
      </c>
      <c r="U912" s="5" t="str">
        <f ca="1">IFERROR(__xludf.DUMMYFUNCTION("""COMPUTED_VALUE"""),"Yes")</f>
        <v>Yes</v>
      </c>
      <c r="V912" s="5" t="str">
        <f ca="1">IFERROR(__xludf.DUMMYFUNCTION("""COMPUTED_VALUE"""),"School Start")</f>
        <v>School Start</v>
      </c>
      <c r="W912" s="10">
        <f ca="1">IFERROR(__xludf.DUMMYFUNCTION("""COMPUTED_VALUE"""),0.34375)</f>
        <v>0.34375</v>
      </c>
      <c r="X912" s="5">
        <f ca="1">IFERROR(__xludf.DUMMYFUNCTION("""COMPUTED_VALUE"""),1)</f>
        <v>1</v>
      </c>
      <c r="Y912" s="5" t="str">
        <f ca="1">IFERROR(__xludf.DUMMYFUNCTION("""COMPUTED_VALUE"""),"Student killed in cross fire of shooting outside of school")</f>
        <v>Student killed in cross fire of shooting outside of school</v>
      </c>
      <c r="Z912" s="5" t="str">
        <f ca="1">IFERROR(__xludf.DUMMYFUNCTION("""COMPUTED_VALUE"""),"17YOF student was shot (crossfire) outside of school during a shoot out between 2 unknown shooters. Two different caliber of rounds were found. Student was taken to nurses office. No suspects identified.")</f>
        <v>17YOF student was shot (crossfire) outside of school during a shoot out between 2 unknown shooters. Two different caliber of rounds were found. Student was taken to nurses office. No suspects identified.</v>
      </c>
      <c r="AA912" s="5" t="str">
        <f ca="1">IFERROR(__xludf.DUMMYFUNCTION("""COMPUTED_VALUE"""),"Escalation of Dispute")</f>
        <v>Escalation of Dispute</v>
      </c>
      <c r="AB912" s="5" t="str">
        <f ca="1">IFERROR(__xludf.DUMMYFUNCTION("""COMPUTED_VALUE"""),"Both")</f>
        <v>Both</v>
      </c>
      <c r="AC912" s="5" t="str">
        <f ca="1">IFERROR(__xludf.DUMMYFUNCTION("""COMPUTED_VALUE"""),"No")</f>
        <v>No</v>
      </c>
      <c r="AD912" s="5" t="str">
        <f ca="1">IFERROR(__xludf.DUMMYFUNCTION("""COMPUTED_VALUE"""),"No")</f>
        <v>No</v>
      </c>
      <c r="AE912" s="5" t="str">
        <f ca="1">IFERROR(__xludf.DUMMYFUNCTION("""COMPUTED_VALUE"""),"No")</f>
        <v>No</v>
      </c>
      <c r="AF912" s="5" t="str">
        <f ca="1">IFERROR(__xludf.DUMMYFUNCTION("""COMPUTED_VALUE"""),"No")</f>
        <v>No</v>
      </c>
      <c r="AG912" s="5" t="str">
        <f ca="1">IFERROR(__xludf.DUMMYFUNCTION("""COMPUTED_VALUE"""),"No")</f>
        <v>No</v>
      </c>
      <c r="AH912" s="5" t="str">
        <f ca="1">IFERROR(__xludf.DUMMYFUNCTION("""COMPUTED_VALUE"""),"No")</f>
        <v>No</v>
      </c>
      <c r="AI912" s="5"/>
      <c r="AJ912" s="5" t="str">
        <f ca="1">IFERROR(__xludf.DUMMYFUNCTION("""COMPUTED_VALUE"""),"No")</f>
        <v>No</v>
      </c>
    </row>
    <row r="913" spans="1:36" ht="13">
      <c r="A913" s="5" t="str">
        <f ca="1">IFERROR(__xludf.DUMMYFUNCTION("""COMPUTED_VALUE"""),"20180924NCLAC")</f>
        <v>20180924NCLAC</v>
      </c>
      <c r="B913" s="5">
        <f ca="1">IFERROR(__xludf.DUMMYFUNCTION("""COMPUTED_VALUE"""),9)</f>
        <v>9</v>
      </c>
      <c r="C913" s="5">
        <f ca="1">IFERROR(__xludf.DUMMYFUNCTION("""COMPUTED_VALUE"""),24)</f>
        <v>24</v>
      </c>
      <c r="D913" s="5">
        <f ca="1">IFERROR(__xludf.DUMMYFUNCTION("""COMPUTED_VALUE"""),2018)</f>
        <v>2018</v>
      </c>
      <c r="E913" s="8">
        <f ca="1">IFERROR(__xludf.DUMMYFUNCTION("""COMPUTED_VALUE"""),43367)</f>
        <v>43367</v>
      </c>
      <c r="F913" s="5" t="str">
        <f ca="1">IFERROR(__xludf.DUMMYFUNCTION("""COMPUTED_VALUE"""),"Lawrence Orr Elementary School")</f>
        <v>Lawrence Orr Elementary School</v>
      </c>
      <c r="G913" s="5">
        <f ca="1">IFERROR(__xludf.DUMMYFUNCTION("""COMPUTED_VALUE"""),0)</f>
        <v>0</v>
      </c>
      <c r="H913" s="5">
        <f ca="1">IFERROR(__xludf.DUMMYFUNCTION("""COMPUTED_VALUE"""),0)</f>
        <v>0</v>
      </c>
      <c r="I913" s="5">
        <f ca="1">IFERROR(__xludf.DUMMYFUNCTION("""COMPUTED_VALUE"""),0)</f>
        <v>0</v>
      </c>
      <c r="J913" s="5">
        <f ca="1">IFERROR(__xludf.DUMMYFUNCTION("""COMPUTED_VALUE"""),0)</f>
        <v>0</v>
      </c>
      <c r="K913" s="5" t="str">
        <f ca="1">IFERROR(__xludf.DUMMYFUNCTION("""COMPUTED_VALUE"""),"https://www.wsoctv.com/news/local/gunman-opens-fire-outside-charlotte-elementary-school-as-children-dropped-off/840461632 https://myfox8.com/2018/09/24/suspect-opens-fire-at-charlotte-elementary-school/")</f>
        <v>https://www.wsoctv.com/news/local/gunman-opens-fire-outside-charlotte-elementary-school-as-children-dropped-off/840461632 https://myfox8.com/2018/09/24/suspect-opens-fire-at-charlotte-elementary-school/</v>
      </c>
      <c r="L913" s="5"/>
      <c r="M913" s="5"/>
      <c r="N913" s="5">
        <f ca="1">IFERROR(__xludf.DUMMYFUNCTION("""COMPUTED_VALUE"""),3)</f>
        <v>3</v>
      </c>
      <c r="O913" s="5" t="str">
        <f ca="1">IFERROR(__xludf.DUMMYFUNCTION("""COMPUTED_VALUE"""),"Fall")</f>
        <v>Fall</v>
      </c>
      <c r="P913" s="5" t="str">
        <f ca="1">IFERROR(__xludf.DUMMYFUNCTION("""COMPUTED_VALUE"""),"Charlotte")</f>
        <v>Charlotte</v>
      </c>
      <c r="Q913" s="5" t="str">
        <f ca="1">IFERROR(__xludf.DUMMYFUNCTION("""COMPUTED_VALUE"""),"NC")</f>
        <v>NC</v>
      </c>
      <c r="R913" s="5" t="str">
        <f ca="1">IFERROR(__xludf.DUMMYFUNCTION("""COMPUTED_VALUE"""),"Elementary")</f>
        <v>Elementary</v>
      </c>
      <c r="S913" s="5" t="str">
        <f ca="1">IFERROR(__xludf.DUMMYFUNCTION("""COMPUTED_VALUE"""),"Parking Lot")</f>
        <v>Parking Lot</v>
      </c>
      <c r="T913" s="5" t="str">
        <f ca="1">IFERROR(__xludf.DUMMYFUNCTION("""COMPUTED_VALUE"""),"Outside on School Property")</f>
        <v>Outside on School Property</v>
      </c>
      <c r="U913" s="5" t="str">
        <f ca="1">IFERROR(__xludf.DUMMYFUNCTION("""COMPUTED_VALUE"""),"Yes")</f>
        <v>Yes</v>
      </c>
      <c r="V913" s="5" t="str">
        <f ca="1">IFERROR(__xludf.DUMMYFUNCTION("""COMPUTED_VALUE"""),"School Start")</f>
        <v>School Start</v>
      </c>
      <c r="W913" s="10">
        <f ca="1">IFERROR(__xludf.DUMMYFUNCTION("""COMPUTED_VALUE"""),0.375)</f>
        <v>0.375</v>
      </c>
      <c r="X913" s="5">
        <f ca="1">IFERROR(__xludf.DUMMYFUNCTION("""COMPUTED_VALUE"""),1)</f>
        <v>1</v>
      </c>
      <c r="Y913" s="5" t="str">
        <f ca="1">IFERROR(__xludf.DUMMYFUNCTION("""COMPUTED_VALUE"""),"Multiple shots fired at vehicle after child was dropped off")</f>
        <v>Multiple shots fired at vehicle after child was dropped off</v>
      </c>
      <c r="Z913" s="5" t="str">
        <f ca="1">IFERROR(__xludf.DUMMYFUNCTION("""COMPUTED_VALUE"""),"Unknown shooter fired multiple shots at vehicle in the school parking lot after child was dropped off. All of the shots missed. School was locked down. No injuries. Shooter fled. Police said the shooting was targeted.")</f>
        <v>Unknown shooter fired multiple shots at vehicle in the school parking lot after child was dropped off. All of the shots missed. School was locked down. No injuries. Shooter fled. Police said the shooting was targeted.</v>
      </c>
      <c r="AA913" s="5" t="str">
        <f ca="1">IFERROR(__xludf.DUMMYFUNCTION("""COMPUTED_VALUE"""),"Escalation of Dispute")</f>
        <v>Escalation of Dispute</v>
      </c>
      <c r="AB913" s="5" t="str">
        <f ca="1">IFERROR(__xludf.DUMMYFUNCTION("""COMPUTED_VALUE"""),"Victims Targeted")</f>
        <v>Victims Targeted</v>
      </c>
      <c r="AC913" s="5" t="str">
        <f ca="1">IFERROR(__xludf.DUMMYFUNCTION("""COMPUTED_VALUE"""),"No")</f>
        <v>No</v>
      </c>
      <c r="AD913" s="5" t="str">
        <f ca="1">IFERROR(__xludf.DUMMYFUNCTION("""COMPUTED_VALUE"""),"No")</f>
        <v>No</v>
      </c>
      <c r="AE913" s="5" t="str">
        <f ca="1">IFERROR(__xludf.DUMMYFUNCTION("""COMPUTED_VALUE"""),"No")</f>
        <v>No</v>
      </c>
      <c r="AF913" s="5" t="str">
        <f ca="1">IFERROR(__xludf.DUMMYFUNCTION("""COMPUTED_VALUE"""),"No")</f>
        <v>No</v>
      </c>
      <c r="AG913" s="5" t="str">
        <f ca="1">IFERROR(__xludf.DUMMYFUNCTION("""COMPUTED_VALUE"""),"No")</f>
        <v>No</v>
      </c>
      <c r="AH913" s="5"/>
      <c r="AI913" s="5"/>
      <c r="AJ913" s="5" t="str">
        <f ca="1">IFERROR(__xludf.DUMMYFUNCTION("""COMPUTED_VALUE"""),"No")</f>
        <v>No</v>
      </c>
    </row>
    <row r="914" spans="1:36" ht="13">
      <c r="A914" s="5" t="str">
        <f ca="1">IFERROR(__xludf.DUMMYFUNCTION("""COMPUTED_VALUE"""),"20180920CAPOP")</f>
        <v>20180920CAPOP</v>
      </c>
      <c r="B914" s="5">
        <f ca="1">IFERROR(__xludf.DUMMYFUNCTION("""COMPUTED_VALUE"""),9)</f>
        <v>9</v>
      </c>
      <c r="C914" s="5">
        <f ca="1">IFERROR(__xludf.DUMMYFUNCTION("""COMPUTED_VALUE"""),20)</f>
        <v>20</v>
      </c>
      <c r="D914" s="5">
        <f ca="1">IFERROR(__xludf.DUMMYFUNCTION("""COMPUTED_VALUE"""),2018)</f>
        <v>2018</v>
      </c>
      <c r="E914" s="8">
        <f ca="1">IFERROR(__xludf.DUMMYFUNCTION("""COMPUTED_VALUE"""),43363)</f>
        <v>43363</v>
      </c>
      <c r="F914" s="5" t="str">
        <f ca="1">IFERROR(__xludf.DUMMYFUNCTION("""COMPUTED_VALUE"""),"Pomona High School")</f>
        <v>Pomona High School</v>
      </c>
      <c r="G914" s="5">
        <f ca="1">IFERROR(__xludf.DUMMYFUNCTION("""COMPUTED_VALUE"""),0)</f>
        <v>0</v>
      </c>
      <c r="H914" s="5">
        <f ca="1">IFERROR(__xludf.DUMMYFUNCTION("""COMPUTED_VALUE"""),0)</f>
        <v>0</v>
      </c>
      <c r="I914" s="5">
        <f ca="1">IFERROR(__xludf.DUMMYFUNCTION("""COMPUTED_VALUE"""),0)</f>
        <v>0</v>
      </c>
      <c r="J914" s="5">
        <f ca="1">IFERROR(__xludf.DUMMYFUNCTION("""COMPUTED_VALUE"""),1)</f>
        <v>1</v>
      </c>
      <c r="K914" s="9" t="str">
        <f ca="1">IFERROR(__xludf.DUMMYFUNCTION("""COMPUTED_VALUE"""),"https://www.dailybulletin.com/2018/09/20/body-found-at-pomona-high-school/")</f>
        <v>https://www.dailybulletin.com/2018/09/20/body-found-at-pomona-high-school/</v>
      </c>
      <c r="L914" s="5"/>
      <c r="M914" s="5"/>
      <c r="N914" s="5">
        <f ca="1">IFERROR(__xludf.DUMMYFUNCTION("""COMPUTED_VALUE"""),4)</f>
        <v>4</v>
      </c>
      <c r="O914" s="5" t="str">
        <f ca="1">IFERROR(__xludf.DUMMYFUNCTION("""COMPUTED_VALUE"""),"Fall")</f>
        <v>Fall</v>
      </c>
      <c r="P914" s="5" t="str">
        <f ca="1">IFERROR(__xludf.DUMMYFUNCTION("""COMPUTED_VALUE"""),"Pomona")</f>
        <v>Pomona</v>
      </c>
      <c r="Q914" s="5" t="str">
        <f ca="1">IFERROR(__xludf.DUMMYFUNCTION("""COMPUTED_VALUE"""),"CA")</f>
        <v>CA</v>
      </c>
      <c r="R914" s="5" t="str">
        <f ca="1">IFERROR(__xludf.DUMMYFUNCTION("""COMPUTED_VALUE"""),"High")</f>
        <v>High</v>
      </c>
      <c r="S914" s="5" t="str">
        <f ca="1">IFERROR(__xludf.DUMMYFUNCTION("""COMPUTED_VALUE"""),"Football Field/Track")</f>
        <v>Football Field/Track</v>
      </c>
      <c r="T914" s="5" t="str">
        <f ca="1">IFERROR(__xludf.DUMMYFUNCTION("""COMPUTED_VALUE"""),"Outside on School Property")</f>
        <v>Outside on School Property</v>
      </c>
      <c r="U914" s="5" t="str">
        <f ca="1">IFERROR(__xludf.DUMMYFUNCTION("""COMPUTED_VALUE"""),"No")</f>
        <v>No</v>
      </c>
      <c r="V914" s="5" t="str">
        <f ca="1">IFERROR(__xludf.DUMMYFUNCTION("""COMPUTED_VALUE"""),"Before School")</f>
        <v>Before School</v>
      </c>
      <c r="W914" s="5"/>
      <c r="X914" s="5">
        <f ca="1">IFERROR(__xludf.DUMMYFUNCTION("""COMPUTED_VALUE"""),1)</f>
        <v>1</v>
      </c>
      <c r="Y914" s="5" t="str">
        <f ca="1">IFERROR(__xludf.DUMMYFUNCTION("""COMPUTED_VALUE"""),"Adult make commit suicide on the school campus before classes started")</f>
        <v>Adult make commit suicide on the school campus before classes started</v>
      </c>
      <c r="Z914" s="5" t="str">
        <f ca="1">IFERROR(__xludf.DUMMYFUNCTION("""COMPUTED_VALUE"""),"Adult male's body was found at 9AM near the bleachers on the campus. Police believe the suicide had occurred prior to classes starting that day.")</f>
        <v>Adult male's body was found at 9AM near the bleachers on the campus. Police believe the suicide had occurred prior to classes starting that day.</v>
      </c>
      <c r="AA914" s="5" t="str">
        <f ca="1">IFERROR(__xludf.DUMMYFUNCTION("""COMPUTED_VALUE"""),"Suicide/Attempted")</f>
        <v>Suicide/Attempted</v>
      </c>
      <c r="AB914" s="5" t="str">
        <f ca="1">IFERROR(__xludf.DUMMYFUNCTION("""COMPUTED_VALUE"""),"Victims Targeted")</f>
        <v>Victims Targeted</v>
      </c>
      <c r="AC914" s="5" t="str">
        <f ca="1">IFERROR(__xludf.DUMMYFUNCTION("""COMPUTED_VALUE"""),"No")</f>
        <v>No</v>
      </c>
      <c r="AD914" s="5" t="str">
        <f ca="1">IFERROR(__xludf.DUMMYFUNCTION("""COMPUTED_VALUE"""),"No")</f>
        <v>No</v>
      </c>
      <c r="AE914" s="5" t="str">
        <f ca="1">IFERROR(__xludf.DUMMYFUNCTION("""COMPUTED_VALUE"""),"No")</f>
        <v>No</v>
      </c>
      <c r="AF914" s="5" t="str">
        <f ca="1">IFERROR(__xludf.DUMMYFUNCTION("""COMPUTED_VALUE"""),"No")</f>
        <v>No</v>
      </c>
      <c r="AG914" s="5" t="str">
        <f ca="1">IFERROR(__xludf.DUMMYFUNCTION("""COMPUTED_VALUE"""),"No")</f>
        <v>No</v>
      </c>
      <c r="AH914" s="5" t="str">
        <f ca="1">IFERROR(__xludf.DUMMYFUNCTION("""COMPUTED_VALUE"""),"No")</f>
        <v>No</v>
      </c>
      <c r="AI914" s="5" t="str">
        <f ca="1">IFERROR(__xludf.DUMMYFUNCTION("""COMPUTED_VALUE"""),"No")</f>
        <v>No</v>
      </c>
      <c r="AJ914" s="5" t="str">
        <f ca="1">IFERROR(__xludf.DUMMYFUNCTION("""COMPUTED_VALUE"""),"No")</f>
        <v>No</v>
      </c>
    </row>
    <row r="915" spans="1:36" ht="13">
      <c r="A915" s="5" t="str">
        <f ca="1">IFERROR(__xludf.DUMMYFUNCTION("""COMPUTED_VALUE"""),"20180920CACHL")</f>
        <v>20180920CACHL</v>
      </c>
      <c r="B915" s="5">
        <f ca="1">IFERROR(__xludf.DUMMYFUNCTION("""COMPUTED_VALUE"""),9)</f>
        <v>9</v>
      </c>
      <c r="C915" s="5">
        <f ca="1">IFERROR(__xludf.DUMMYFUNCTION("""COMPUTED_VALUE"""),20)</f>
        <v>20</v>
      </c>
      <c r="D915" s="5">
        <f ca="1">IFERROR(__xludf.DUMMYFUNCTION("""COMPUTED_VALUE"""),2018)</f>
        <v>2018</v>
      </c>
      <c r="E915" s="8">
        <f ca="1">IFERROR(__xludf.DUMMYFUNCTION("""COMPUTED_VALUE"""),43363)</f>
        <v>43363</v>
      </c>
      <c r="F915" s="5" t="str">
        <f ca="1">IFERROR(__xludf.DUMMYFUNCTION("""COMPUTED_VALUE"""),"CHAMPS Charter High School")</f>
        <v>CHAMPS Charter High School</v>
      </c>
      <c r="G915" s="5">
        <f ca="1">IFERROR(__xludf.DUMMYFUNCTION("""COMPUTED_VALUE"""),0)</f>
        <v>0</v>
      </c>
      <c r="H915" s="5">
        <f ca="1">IFERROR(__xludf.DUMMYFUNCTION("""COMPUTED_VALUE"""),2)</f>
        <v>2</v>
      </c>
      <c r="I915" s="5">
        <f ca="1">IFERROR(__xludf.DUMMYFUNCTION("""COMPUTED_VALUE"""),2)</f>
        <v>2</v>
      </c>
      <c r="J915" s="5">
        <f ca="1">IFERROR(__xludf.DUMMYFUNCTION("""COMPUTED_VALUE"""),0)</f>
        <v>0</v>
      </c>
      <c r="K915" s="5" t="str">
        <f ca="1">IFERROR(__xludf.DUMMYFUNCTION("""COMPUTED_VALUE"""),"http://www.latimes.com/local/lanow/la-me-ln-van-nuys-shooting-20180920-story.html https://losangeles.cbslocal.com/2018/09/20/charter-school-shooting/ https://abc30.com/shooting-reported-near-socal-charter-school/4295763/")</f>
        <v>http://www.latimes.com/local/lanow/la-me-ln-van-nuys-shooting-20180920-story.html https://losangeles.cbslocal.com/2018/09/20/charter-school-shooting/ https://abc30.com/shooting-reported-near-socal-charter-school/4295763/</v>
      </c>
      <c r="L915" s="5"/>
      <c r="M915" s="5"/>
      <c r="N915" s="5">
        <f ca="1">IFERROR(__xludf.DUMMYFUNCTION("""COMPUTED_VALUE"""),3)</f>
        <v>3</v>
      </c>
      <c r="O915" s="5" t="str">
        <f ca="1">IFERROR(__xludf.DUMMYFUNCTION("""COMPUTED_VALUE"""),"Fall")</f>
        <v>Fall</v>
      </c>
      <c r="P915" s="5" t="str">
        <f ca="1">IFERROR(__xludf.DUMMYFUNCTION("""COMPUTED_VALUE"""),"Los Angeles")</f>
        <v>Los Angeles</v>
      </c>
      <c r="Q915" s="5" t="str">
        <f ca="1">IFERROR(__xludf.DUMMYFUNCTION("""COMPUTED_VALUE"""),"CA")</f>
        <v>CA</v>
      </c>
      <c r="R915" s="5" t="str">
        <f ca="1">IFERROR(__xludf.DUMMYFUNCTION("""COMPUTED_VALUE"""),"High")</f>
        <v>High</v>
      </c>
      <c r="S915" s="5" t="str">
        <f ca="1">IFERROR(__xludf.DUMMYFUNCTION("""COMPUTED_VALUE"""),"Off School Property")</f>
        <v>Off School Property</v>
      </c>
      <c r="T915" s="5" t="str">
        <f ca="1">IFERROR(__xludf.DUMMYFUNCTION("""COMPUTED_VALUE"""),"Off School Property")</f>
        <v>Off School Property</v>
      </c>
      <c r="U915" s="5" t="str">
        <f ca="1">IFERROR(__xludf.DUMMYFUNCTION("""COMPUTED_VALUE"""),"Yes")</f>
        <v>Yes</v>
      </c>
      <c r="V915" s="5" t="str">
        <f ca="1">IFERROR(__xludf.DUMMYFUNCTION("""COMPUTED_VALUE"""),"Lunch")</f>
        <v>Lunch</v>
      </c>
      <c r="W915" s="10">
        <f ca="1">IFERROR(__xludf.DUMMYFUNCTION("""COMPUTED_VALUE"""),0.506944444444444)</f>
        <v>0.50694444444444398</v>
      </c>
      <c r="X915" s="5">
        <f ca="1">IFERROR(__xludf.DUMMYFUNCTION("""COMPUTED_VALUE"""),1)</f>
        <v>1</v>
      </c>
      <c r="Y915" s="5" t="str">
        <f ca="1">IFERROR(__xludf.DUMMYFUNCTION("""COMPUTED_VALUE"""),"Shooting at fast food restaurant directly across from school, student and employee struck ran back to school")</f>
        <v>Shooting at fast food restaurant directly across from school, student and employee struck ran back to school</v>
      </c>
      <c r="Z915" s="5" t="str">
        <f ca="1">IFERROR(__xludf.DUMMYFUNCTION("""COMPUTED_VALUE"""),"School employee and a student were stuck when shots were fired in a large group outside a fast food restaurant across the street from the school. Victims returned to the school building where they were treated by first responders. School was locked down. "&amp;"Police later arrested 18YOM and 20YOM.")</f>
        <v>School employee and a student were stuck when shots were fired in a large group outside a fast food restaurant across the street from the school. Victims returned to the school building where they were treated by first responders. School was locked down. Police later arrested 18YOM and 20YOM.</v>
      </c>
      <c r="AA915" s="5" t="str">
        <f ca="1">IFERROR(__xludf.DUMMYFUNCTION("""COMPUTED_VALUE"""),"Escalation of Dispute")</f>
        <v>Escalation of Dispute</v>
      </c>
      <c r="AB915" s="5"/>
      <c r="AC915" s="5" t="str">
        <f ca="1">IFERROR(__xludf.DUMMYFUNCTION("""COMPUTED_VALUE"""),"Yes")</f>
        <v>Yes</v>
      </c>
      <c r="AD915" s="5" t="str">
        <f ca="1">IFERROR(__xludf.DUMMYFUNCTION("""COMPUTED_VALUE"""),"No")</f>
        <v>No</v>
      </c>
      <c r="AE915" s="5" t="str">
        <f ca="1">IFERROR(__xludf.DUMMYFUNCTION("""COMPUTED_VALUE"""),"No")</f>
        <v>No</v>
      </c>
      <c r="AF915" s="5" t="str">
        <f ca="1">IFERROR(__xludf.DUMMYFUNCTION("""COMPUTED_VALUE"""),"No")</f>
        <v>No</v>
      </c>
      <c r="AG915" s="5" t="str">
        <f ca="1">IFERROR(__xludf.DUMMYFUNCTION("""COMPUTED_VALUE"""),"No")</f>
        <v>No</v>
      </c>
      <c r="AH915" s="5" t="str">
        <f ca="1">IFERROR(__xludf.DUMMYFUNCTION("""COMPUTED_VALUE"""),"No")</f>
        <v>No</v>
      </c>
      <c r="AI915" s="5"/>
      <c r="AJ915" s="5" t="str">
        <f ca="1">IFERROR(__xludf.DUMMYFUNCTION("""COMPUTED_VALUE"""),"No")</f>
        <v>No</v>
      </c>
    </row>
    <row r="916" spans="1:36" ht="13">
      <c r="A916" s="5" t="str">
        <f ca="1">IFERROR(__xludf.DUMMYFUNCTION("""COMPUTED_VALUE"""),"20180917ALBLH")</f>
        <v>20180917ALBLH</v>
      </c>
      <c r="B916" s="5">
        <f ca="1">IFERROR(__xludf.DUMMYFUNCTION("""COMPUTED_VALUE"""),9)</f>
        <v>9</v>
      </c>
      <c r="C916" s="5">
        <f ca="1">IFERROR(__xludf.DUMMYFUNCTION("""COMPUTED_VALUE"""),17)</f>
        <v>17</v>
      </c>
      <c r="D916" s="5">
        <f ca="1">IFERROR(__xludf.DUMMYFUNCTION("""COMPUTED_VALUE"""),2018)</f>
        <v>2018</v>
      </c>
      <c r="E916" s="8">
        <f ca="1">IFERROR(__xludf.DUMMYFUNCTION("""COMPUTED_VALUE"""),43360)</f>
        <v>43360</v>
      </c>
      <c r="F916" s="5" t="str">
        <f ca="1">IFERROR(__xludf.DUMMYFUNCTION("""COMPUTED_VALUE"""),"Blossomwood Elementary School")</f>
        <v>Blossomwood Elementary School</v>
      </c>
      <c r="G916" s="5">
        <f ca="1">IFERROR(__xludf.DUMMYFUNCTION("""COMPUTED_VALUE"""),0)</f>
        <v>0</v>
      </c>
      <c r="H916" s="5">
        <f ca="1">IFERROR(__xludf.DUMMYFUNCTION("""COMPUTED_VALUE"""),1)</f>
        <v>1</v>
      </c>
      <c r="I916" s="5">
        <f ca="1">IFERROR(__xludf.DUMMYFUNCTION("""COMPUTED_VALUE"""),1)</f>
        <v>1</v>
      </c>
      <c r="J916" s="5">
        <f ca="1">IFERROR(__xludf.DUMMYFUNCTION("""COMPUTED_VALUE"""),0)</f>
        <v>0</v>
      </c>
      <c r="K916" s="5" t="str">
        <f ca="1">IFERROR(__xludf.DUMMYFUNCTION("""COMPUTED_VALUE"""),"https://www.al.com/news/huntsville/index.ssf/2018/09/police_investigating_shooting_2.html http://www.waaytv.com/content/news/Reported-shooting-at-Blossomwood-Elementary-493489481.html https://whnt.com/2018/09/17/police-investigating-incident-at-blossomwoo"&amp;"d-elementary-say-situation-is-safe/ http://www.therepublic.com/2018/09/17/us-accidental-school-shooting/")</f>
        <v>https://www.al.com/news/huntsville/index.ssf/2018/09/police_investigating_shooting_2.html http://www.waaytv.com/content/news/Reported-shooting-at-Blossomwood-Elementary-493489481.html https://whnt.com/2018/09/17/police-investigating-incident-at-blossomwood-elementary-say-situation-is-safe/ http://www.therepublic.com/2018/09/17/us-accidental-school-shooting/</v>
      </c>
      <c r="L916" s="5"/>
      <c r="M916" s="5"/>
      <c r="N916" s="5">
        <f ca="1">IFERROR(__xludf.DUMMYFUNCTION("""COMPUTED_VALUE"""),4)</f>
        <v>4</v>
      </c>
      <c r="O916" s="5" t="str">
        <f ca="1">IFERROR(__xludf.DUMMYFUNCTION("""COMPUTED_VALUE"""),"Fall")</f>
        <v>Fall</v>
      </c>
      <c r="P916" s="5" t="str">
        <f ca="1">IFERROR(__xludf.DUMMYFUNCTION("""COMPUTED_VALUE"""),"Huntsville")</f>
        <v>Huntsville</v>
      </c>
      <c r="Q916" s="5" t="str">
        <f ca="1">IFERROR(__xludf.DUMMYFUNCTION("""COMPUTED_VALUE"""),"AL")</f>
        <v>AL</v>
      </c>
      <c r="R916" s="5" t="str">
        <f ca="1">IFERROR(__xludf.DUMMYFUNCTION("""COMPUTED_VALUE"""),"Elementary")</f>
        <v>Elementary</v>
      </c>
      <c r="S916" s="5" t="str">
        <f ca="1">IFERROR(__xludf.DUMMYFUNCTION("""COMPUTED_VALUE"""),"Gym")</f>
        <v>Gym</v>
      </c>
      <c r="T916" s="5" t="str">
        <f ca="1">IFERROR(__xludf.DUMMYFUNCTION("""COMPUTED_VALUE"""),"Inside School Building")</f>
        <v>Inside School Building</v>
      </c>
      <c r="U916" s="5" t="str">
        <f ca="1">IFERROR(__xludf.DUMMYFUNCTION("""COMPUTED_VALUE"""),"Yes")</f>
        <v>Yes</v>
      </c>
      <c r="V916" s="5" t="str">
        <f ca="1">IFERROR(__xludf.DUMMYFUNCTION("""COMPUTED_VALUE"""),"Morning Classes")</f>
        <v>Morning Classes</v>
      </c>
      <c r="W916" s="10">
        <f ca="1">IFERROR(__xludf.DUMMYFUNCTION("""COMPUTED_VALUE"""),0.4375)</f>
        <v>0.4375</v>
      </c>
      <c r="X916" s="5">
        <f ca="1">IFERROR(__xludf.DUMMYFUNCTION("""COMPUTED_VALUE"""),1)</f>
        <v>1</v>
      </c>
      <c r="Y916" s="5" t="str">
        <f ca="1">IFERROR(__xludf.DUMMYFUNCTION("""COMPUTED_VALUE"""),"Student showing gun off in gym class, accidental discharge")</f>
        <v>Student showing gun off in gym class, accidental discharge</v>
      </c>
      <c r="Z916" s="5" t="str">
        <f ca="1">IFERROR(__xludf.DUMMYFUNCTION("""COMPUTED_VALUE"""),"2nd grade student was showing off a gun to another student during gym class. The gun accidentally discharged striking the student in the hand. The school was locked down and alerts were sent to parents. Police located the firearm within minutes. Parents r"&amp;"ushed to the school. Police chief said the shooting was an accident and no other students were in danger.")</f>
        <v>2nd grade student was showing off a gun to another student during gym class. The gun accidentally discharged striking the student in the hand. The school was locked down and alerts were sent to parents. Police located the firearm within minutes. Parents rushed to the school. Police chief said the shooting was an accident and no other students were in danger.</v>
      </c>
      <c r="AA916" s="5" t="str">
        <f ca="1">IFERROR(__xludf.DUMMYFUNCTION("""COMPUTED_VALUE"""),"Accidental")</f>
        <v>Accidental</v>
      </c>
      <c r="AB916" s="5" t="str">
        <f ca="1">IFERROR(__xludf.DUMMYFUNCTION("""COMPUTED_VALUE"""),"Neither")</f>
        <v>Neither</v>
      </c>
      <c r="AC916" s="5" t="str">
        <f ca="1">IFERROR(__xludf.DUMMYFUNCTION("""COMPUTED_VALUE"""),"No")</f>
        <v>No</v>
      </c>
      <c r="AD916" s="5" t="str">
        <f ca="1">IFERROR(__xludf.DUMMYFUNCTION("""COMPUTED_VALUE"""),"No")</f>
        <v>No</v>
      </c>
      <c r="AE916" s="5" t="str">
        <f ca="1">IFERROR(__xludf.DUMMYFUNCTION("""COMPUTED_VALUE"""),"No")</f>
        <v>No</v>
      </c>
      <c r="AF916" s="5" t="str">
        <f ca="1">IFERROR(__xludf.DUMMYFUNCTION("""COMPUTED_VALUE"""),"No")</f>
        <v>No</v>
      </c>
      <c r="AG916" s="5" t="str">
        <f ca="1">IFERROR(__xludf.DUMMYFUNCTION("""COMPUTED_VALUE"""),"No")</f>
        <v>No</v>
      </c>
      <c r="AH916" s="5" t="str">
        <f ca="1">IFERROR(__xludf.DUMMYFUNCTION("""COMPUTED_VALUE"""),"No")</f>
        <v>No</v>
      </c>
      <c r="AI916" s="5" t="str">
        <f ca="1">IFERROR(__xludf.DUMMYFUNCTION("""COMPUTED_VALUE"""),"No")</f>
        <v>No</v>
      </c>
      <c r="AJ916" s="5" t="str">
        <f ca="1">IFERROR(__xludf.DUMMYFUNCTION("""COMPUTED_VALUE"""),"No")</f>
        <v>No</v>
      </c>
    </row>
    <row r="917" spans="1:36" ht="13">
      <c r="A917" s="5" t="str">
        <f ca="1">IFERROR(__xludf.DUMMYFUNCTION("""COMPUTED_VALUE"""),"20180914FLBOB")</f>
        <v>20180914FLBOB</v>
      </c>
      <c r="B917" s="5">
        <f ca="1">IFERROR(__xludf.DUMMYFUNCTION("""COMPUTED_VALUE"""),9)</f>
        <v>9</v>
      </c>
      <c r="C917" s="5">
        <f ca="1">IFERROR(__xludf.DUMMYFUNCTION("""COMPUTED_VALUE"""),14)</f>
        <v>14</v>
      </c>
      <c r="D917" s="5">
        <f ca="1">IFERROR(__xludf.DUMMYFUNCTION("""COMPUTED_VALUE"""),2018)</f>
        <v>2018</v>
      </c>
      <c r="E917" s="8">
        <f ca="1">IFERROR(__xludf.DUMMYFUNCTION("""COMPUTED_VALUE"""),43357)</f>
        <v>43357</v>
      </c>
      <c r="F917" s="5" t="str">
        <f ca="1">IFERROR(__xludf.DUMMYFUNCTION("""COMPUTED_VALUE"""),"Boynton Beach High School")</f>
        <v>Boynton Beach High School</v>
      </c>
      <c r="G917" s="5">
        <f ca="1">IFERROR(__xludf.DUMMYFUNCTION("""COMPUTED_VALUE"""),0)</f>
        <v>0</v>
      </c>
      <c r="H917" s="5">
        <f ca="1">IFERROR(__xludf.DUMMYFUNCTION("""COMPUTED_VALUE"""),0)</f>
        <v>0</v>
      </c>
      <c r="I917" s="5">
        <f ca="1">IFERROR(__xludf.DUMMYFUNCTION("""COMPUTED_VALUE"""),0)</f>
        <v>0</v>
      </c>
      <c r="J917" s="5">
        <f ca="1">IFERROR(__xludf.DUMMYFUNCTION("""COMPUTED_VALUE"""),0)</f>
        <v>0</v>
      </c>
      <c r="K917" s="5" t="str">
        <f ca="1">IFERROR(__xludf.DUMMYFUNCTION("""COMPUTED_VALUE"""),"https://cbs12.com/news/local/student-found-with-handgun-at-boynton-beach-high-school https://www.mypalmbeachpost.com/news/local/breaking-boynton-beach-high-school-locked-down/G69wZqzxHXQ0SgmlvInXXP/")</f>
        <v>https://cbs12.com/news/local/student-found-with-handgun-at-boynton-beach-high-school https://www.mypalmbeachpost.com/news/local/breaking-boynton-beach-high-school-locked-down/G69wZqzxHXQ0SgmlvInXXP/</v>
      </c>
      <c r="L917" s="5"/>
      <c r="M917" s="5"/>
      <c r="N917" s="5">
        <f ca="1">IFERROR(__xludf.DUMMYFUNCTION("""COMPUTED_VALUE"""),3)</f>
        <v>3</v>
      </c>
      <c r="O917" s="5" t="str">
        <f ca="1">IFERROR(__xludf.DUMMYFUNCTION("""COMPUTED_VALUE"""),"Fall")</f>
        <v>Fall</v>
      </c>
      <c r="P917" s="5" t="str">
        <f ca="1">IFERROR(__xludf.DUMMYFUNCTION("""COMPUTED_VALUE"""),"Boynton Beach")</f>
        <v>Boynton Beach</v>
      </c>
      <c r="Q917" s="5" t="str">
        <f ca="1">IFERROR(__xludf.DUMMYFUNCTION("""COMPUTED_VALUE"""),"FL")</f>
        <v>FL</v>
      </c>
      <c r="R917" s="5" t="str">
        <f ca="1">IFERROR(__xludf.DUMMYFUNCTION("""COMPUTED_VALUE"""),"High")</f>
        <v>High</v>
      </c>
      <c r="S917" s="5" t="str">
        <f ca="1">IFERROR(__xludf.DUMMYFUNCTION("""COMPUTED_VALUE"""),"Off School Property")</f>
        <v>Off School Property</v>
      </c>
      <c r="T917" s="5" t="str">
        <f ca="1">IFERROR(__xludf.DUMMYFUNCTION("""COMPUTED_VALUE"""),"Off School Property")</f>
        <v>Off School Property</v>
      </c>
      <c r="U917" s="5" t="str">
        <f ca="1">IFERROR(__xludf.DUMMYFUNCTION("""COMPUTED_VALUE"""),"Yes")</f>
        <v>Yes</v>
      </c>
      <c r="V917" s="5" t="str">
        <f ca="1">IFERROR(__xludf.DUMMYFUNCTION("""COMPUTED_VALUE"""),"Before School")</f>
        <v>Before School</v>
      </c>
      <c r="W917" s="5"/>
      <c r="X917" s="5">
        <f ca="1">IFERROR(__xludf.DUMMYFUNCTION("""COMPUTED_VALUE"""),1)</f>
        <v>1</v>
      </c>
      <c r="Y917" s="5" t="str">
        <f ca="1">IFERROR(__xludf.DUMMYFUNCTION("""COMPUTED_VALUE"""),"Two students had gun at bus stop, one shot fired, went to school, school locked down until gun was located")</f>
        <v>Two students had gun at bus stop, one shot fired, went to school, school locked down until gun was located</v>
      </c>
      <c r="Z917" s="5" t="str">
        <f ca="1">IFERROR(__xludf.DUMMYFUNCTION("""COMPUTED_VALUE"""),"Two students had gun at bus stop. One shot was fired. No one was hit or injured. Student then took the gun to school. When school officials became aware of the gun on campus, the school was locked down until the shooter and the gun was located on the camp"&amp;"us. Lockdown alert was sent to parents who rushed to the school. No injuries.")</f>
        <v>Two students had gun at bus stop. One shot was fired. No one was hit or injured. Student then took the gun to school. When school officials became aware of the gun on campus, the school was locked down until the shooter and the gun was located on the campus. Lockdown alert was sent to parents who rushed to the school. No injuries.</v>
      </c>
      <c r="AA917" s="5" t="str">
        <f ca="1">IFERROR(__xludf.DUMMYFUNCTION("""COMPUTED_VALUE"""),"Accidental")</f>
        <v>Accidental</v>
      </c>
      <c r="AB917" s="5" t="str">
        <f ca="1">IFERROR(__xludf.DUMMYFUNCTION("""COMPUTED_VALUE"""),"Neither")</f>
        <v>Neither</v>
      </c>
      <c r="AC917" s="5" t="str">
        <f ca="1">IFERROR(__xludf.DUMMYFUNCTION("""COMPUTED_VALUE"""),"Yes")</f>
        <v>Yes</v>
      </c>
      <c r="AD917" s="5" t="str">
        <f ca="1">IFERROR(__xludf.DUMMYFUNCTION("""COMPUTED_VALUE"""),"No")</f>
        <v>No</v>
      </c>
      <c r="AE917" s="5" t="str">
        <f ca="1">IFERROR(__xludf.DUMMYFUNCTION("""COMPUTED_VALUE"""),"No")</f>
        <v>No</v>
      </c>
      <c r="AF917" s="5" t="str">
        <f ca="1">IFERROR(__xludf.DUMMYFUNCTION("""COMPUTED_VALUE"""),"No")</f>
        <v>No</v>
      </c>
      <c r="AG917" s="5" t="str">
        <f ca="1">IFERROR(__xludf.DUMMYFUNCTION("""COMPUTED_VALUE"""),"No")</f>
        <v>No</v>
      </c>
      <c r="AH917" s="5" t="str">
        <f ca="1">IFERROR(__xludf.DUMMYFUNCTION("""COMPUTED_VALUE"""),"No")</f>
        <v>No</v>
      </c>
      <c r="AI917" s="5" t="str">
        <f ca="1">IFERROR(__xludf.DUMMYFUNCTION("""COMPUTED_VALUE"""),"No")</f>
        <v>No</v>
      </c>
      <c r="AJ917" s="5" t="str">
        <f ca="1">IFERROR(__xludf.DUMMYFUNCTION("""COMPUTED_VALUE"""),"No")</f>
        <v>No</v>
      </c>
    </row>
    <row r="918" spans="1:36" ht="13">
      <c r="A918" s="5" t="str">
        <f ca="1">IFERROR(__xludf.DUMMYFUNCTION("""COMPUTED_VALUE"""),"20180914WAMAE")</f>
        <v>20180914WAMAE</v>
      </c>
      <c r="B918" s="5">
        <f ca="1">IFERROR(__xludf.DUMMYFUNCTION("""COMPUTED_VALUE"""),9)</f>
        <v>9</v>
      </c>
      <c r="C918" s="5">
        <f ca="1">IFERROR(__xludf.DUMMYFUNCTION("""COMPUTED_VALUE"""),14)</f>
        <v>14</v>
      </c>
      <c r="D918" s="5">
        <f ca="1">IFERROR(__xludf.DUMMYFUNCTION("""COMPUTED_VALUE"""),2018)</f>
        <v>2018</v>
      </c>
      <c r="E918" s="8">
        <f ca="1">IFERROR(__xludf.DUMMYFUNCTION("""COMPUTED_VALUE"""),43357)</f>
        <v>43357</v>
      </c>
      <c r="F918" s="5" t="str">
        <f ca="1">IFERROR(__xludf.DUMMYFUNCTION("""COMPUTED_VALUE"""),"Mariner High School")</f>
        <v>Mariner High School</v>
      </c>
      <c r="G918" s="5">
        <f ca="1">IFERROR(__xludf.DUMMYFUNCTION("""COMPUTED_VALUE"""),0)</f>
        <v>0</v>
      </c>
      <c r="H918" s="5">
        <f ca="1">IFERROR(__xludf.DUMMYFUNCTION("""COMPUTED_VALUE"""),0)</f>
        <v>0</v>
      </c>
      <c r="I918" s="5">
        <f ca="1">IFERROR(__xludf.DUMMYFUNCTION("""COMPUTED_VALUE"""),0)</f>
        <v>0</v>
      </c>
      <c r="J918" s="5">
        <f ca="1">IFERROR(__xludf.DUMMYFUNCTION("""COMPUTED_VALUE"""),0)</f>
        <v>0</v>
      </c>
      <c r="K918" s="9" t="str">
        <f ca="1">IFERROR(__xludf.DUMMYFUNCTION("""COMPUTED_VALUE"""),"https://q13fox.com/2018/09/14/reports-of-shots-fired-outside-mariner-high-school-football-stadium-evacuated/")</f>
        <v>https://q13fox.com/2018/09/14/reports-of-shots-fired-outside-mariner-high-school-football-stadium-evacuated/</v>
      </c>
      <c r="L918" s="5"/>
      <c r="M918" s="5"/>
      <c r="N918" s="5">
        <f ca="1">IFERROR(__xludf.DUMMYFUNCTION("""COMPUTED_VALUE"""),2)</f>
        <v>2</v>
      </c>
      <c r="O918" s="5" t="str">
        <f ca="1">IFERROR(__xludf.DUMMYFUNCTION("""COMPUTED_VALUE"""),"Fall")</f>
        <v>Fall</v>
      </c>
      <c r="P918" s="5" t="str">
        <f ca="1">IFERROR(__xludf.DUMMYFUNCTION("""COMPUTED_VALUE"""),"Everett")</f>
        <v>Everett</v>
      </c>
      <c r="Q918" s="5" t="str">
        <f ca="1">IFERROR(__xludf.DUMMYFUNCTION("""COMPUTED_VALUE"""),"WA")</f>
        <v>WA</v>
      </c>
      <c r="R918" s="5" t="str">
        <f ca="1">IFERROR(__xludf.DUMMYFUNCTION("""COMPUTED_VALUE"""),"High")</f>
        <v>High</v>
      </c>
      <c r="S918" s="5" t="str">
        <f ca="1">IFERROR(__xludf.DUMMYFUNCTION("""COMPUTED_VALUE"""),"Parking Lot")</f>
        <v>Parking Lot</v>
      </c>
      <c r="T918" s="5" t="str">
        <f ca="1">IFERROR(__xludf.DUMMYFUNCTION("""COMPUTED_VALUE"""),"Outside on School Property")</f>
        <v>Outside on School Property</v>
      </c>
      <c r="U918" s="5" t="str">
        <f ca="1">IFERROR(__xludf.DUMMYFUNCTION("""COMPUTED_VALUE"""),"No")</f>
        <v>No</v>
      </c>
      <c r="V918" s="5" t="str">
        <f ca="1">IFERROR(__xludf.DUMMYFUNCTION("""COMPUTED_VALUE"""),"Sport Event")</f>
        <v>Sport Event</v>
      </c>
      <c r="W918" s="10">
        <f ca="1">IFERROR(__xludf.DUMMYFUNCTION("""COMPUTED_VALUE"""),0.875)</f>
        <v>0.875</v>
      </c>
      <c r="X918" s="5">
        <f ca="1">IFERROR(__xludf.DUMMYFUNCTION("""COMPUTED_VALUE"""),1)</f>
        <v>1</v>
      </c>
      <c r="Y918" s="5" t="str">
        <f ca="1">IFERROR(__xludf.DUMMYFUNCTION("""COMPUTED_VALUE"""),"Shots fired in parking lot during football game, stadium evacuated")</f>
        <v>Shots fired in parking lot during football game, stadium evacuated</v>
      </c>
      <c r="Z918" s="5" t="str">
        <f ca="1">IFERROR(__xludf.DUMMYFUNCTION("""COMPUTED_VALUE"""),"5-6 shots were fired during a fight in the parking lot of the school during a football game with rival school. 200 people in the stadium heard the shots and evacuated. Authorities described chaotic scene. No injuries or shooter located.")</f>
        <v>5-6 shots were fired during a fight in the parking lot of the school during a football game with rival school. 200 people in the stadium heard the shots and evacuated. Authorities described chaotic scene. No injuries or shooter located.</v>
      </c>
      <c r="AA918" s="5" t="str">
        <f ca="1">IFERROR(__xludf.DUMMYFUNCTION("""COMPUTED_VALUE"""),"Escalation of Dispute")</f>
        <v>Escalation of Dispute</v>
      </c>
      <c r="AB918" s="5" t="str">
        <f ca="1">IFERROR(__xludf.DUMMYFUNCTION("""COMPUTED_VALUE"""),"Victims Targeted")</f>
        <v>Victims Targeted</v>
      </c>
      <c r="AC918" s="5"/>
      <c r="AD918" s="5" t="str">
        <f ca="1">IFERROR(__xludf.DUMMYFUNCTION("""COMPUTED_VALUE"""),"No")</f>
        <v>No</v>
      </c>
      <c r="AE918" s="5" t="str">
        <f ca="1">IFERROR(__xludf.DUMMYFUNCTION("""COMPUTED_VALUE"""),"No")</f>
        <v>No</v>
      </c>
      <c r="AF918" s="5" t="str">
        <f ca="1">IFERROR(__xludf.DUMMYFUNCTION("""COMPUTED_VALUE"""),"No")</f>
        <v>No</v>
      </c>
      <c r="AG918" s="5" t="str">
        <f ca="1">IFERROR(__xludf.DUMMYFUNCTION("""COMPUTED_VALUE"""),"No")</f>
        <v>No</v>
      </c>
      <c r="AH918" s="5" t="str">
        <f ca="1">IFERROR(__xludf.DUMMYFUNCTION("""COMPUTED_VALUE"""),"No")</f>
        <v>No</v>
      </c>
      <c r="AI918" s="5" t="str">
        <f ca="1">IFERROR(__xludf.DUMMYFUNCTION("""COMPUTED_VALUE"""),"Yes")</f>
        <v>Yes</v>
      </c>
      <c r="AJ918" s="5" t="str">
        <f ca="1">IFERROR(__xludf.DUMMYFUNCTION("""COMPUTED_VALUE"""),"No")</f>
        <v>No</v>
      </c>
    </row>
    <row r="919" spans="1:36" ht="13">
      <c r="A919" s="5" t="str">
        <f ca="1">IFERROR(__xludf.DUMMYFUNCTION("""COMPUTED_VALUE"""),"20180911NVCAL")</f>
        <v>20180911NVCAL</v>
      </c>
      <c r="B919" s="5">
        <f ca="1">IFERROR(__xludf.DUMMYFUNCTION("""COMPUTED_VALUE"""),9)</f>
        <v>9</v>
      </c>
      <c r="C919" s="5">
        <f ca="1">IFERROR(__xludf.DUMMYFUNCTION("""COMPUTED_VALUE"""),11)</f>
        <v>11</v>
      </c>
      <c r="D919" s="5">
        <f ca="1">IFERROR(__xludf.DUMMYFUNCTION("""COMPUTED_VALUE"""),2018)</f>
        <v>2018</v>
      </c>
      <c r="E919" s="8">
        <f ca="1">IFERROR(__xludf.DUMMYFUNCTION("""COMPUTED_VALUE"""),43354)</f>
        <v>43354</v>
      </c>
      <c r="F919" s="5" t="str">
        <f ca="1">IFERROR(__xludf.DUMMYFUNCTION("""COMPUTED_VALUE"""),"Canyon Springs High School")</f>
        <v>Canyon Springs High School</v>
      </c>
      <c r="G919" s="5">
        <f ca="1">IFERROR(__xludf.DUMMYFUNCTION("""COMPUTED_VALUE"""),1)</f>
        <v>1</v>
      </c>
      <c r="H919" s="5">
        <f ca="1">IFERROR(__xludf.DUMMYFUNCTION("""COMPUTED_VALUE"""),0)</f>
        <v>0</v>
      </c>
      <c r="I919" s="5">
        <f ca="1">IFERROR(__xludf.DUMMYFUNCTION("""COMPUTED_VALUE"""),1)</f>
        <v>1</v>
      </c>
      <c r="J919" s="5">
        <f ca="1">IFERROR(__xludf.DUMMYFUNCTION("""COMPUTED_VALUE"""),0)</f>
        <v>0</v>
      </c>
      <c r="K919" s="5" t="str">
        <f ca="1">IFERROR(__xludf.DUMMYFUNCTION("""COMPUTED_VALUE"""),"https://abc13.com/teen-killed-in-shooting-outside-north-las-vegas-high-school/4216158/ https://wtop.com/education/2018/09/the-latest-police-dont-have-suspect-in-school-shooting/ https://www.nbcnews.com/video/one-dead-in-las-vegas-school-shooting-131857619"&amp;"5587?v=raila&amp; https://www.lasvegasnow.com/news/local-news/police-north-las-vegas-school-shooting-victim-was-student/1437715165 https://www.lasvegasnow.com/news/police-arrest-teen-in-shooting-death-of-canyon-springs-student/1464555577 http://www.hastingstr"&amp;"ibune.com/teen-charged-as-adult-in-fatal-north-vegas-school-shooting/article_e0ba519a-9ced-5076-a3dd-d9df85462411.html")</f>
        <v>https://abc13.com/teen-killed-in-shooting-outside-north-las-vegas-high-school/4216158/ https://wtop.com/education/2018/09/the-latest-police-dont-have-suspect-in-school-shooting/ https://www.nbcnews.com/video/one-dead-in-las-vegas-school-shooting-1318576195587?v=raila&amp; https://www.lasvegasnow.com/news/local-news/police-north-las-vegas-school-shooting-victim-was-student/1437715165 https://www.lasvegasnow.com/news/police-arrest-teen-in-shooting-death-of-canyon-springs-student/1464555577 http://www.hastingstribune.com/teen-charged-as-adult-in-fatal-north-vegas-school-shooting/article_e0ba519a-9ced-5076-a3dd-d9df85462411.html</v>
      </c>
      <c r="L919" s="5"/>
      <c r="M919" s="5"/>
      <c r="N919" s="5">
        <f ca="1">IFERROR(__xludf.DUMMYFUNCTION("""COMPUTED_VALUE"""),4)</f>
        <v>4</v>
      </c>
      <c r="O919" s="5" t="str">
        <f ca="1">IFERROR(__xludf.DUMMYFUNCTION("""COMPUTED_VALUE"""),"Fall")</f>
        <v>Fall</v>
      </c>
      <c r="P919" s="5" t="str">
        <f ca="1">IFERROR(__xludf.DUMMYFUNCTION("""COMPUTED_VALUE"""),"Las Vegas")</f>
        <v>Las Vegas</v>
      </c>
      <c r="Q919" s="5" t="str">
        <f ca="1">IFERROR(__xludf.DUMMYFUNCTION("""COMPUTED_VALUE"""),"NV")</f>
        <v>NV</v>
      </c>
      <c r="R919" s="5" t="str">
        <f ca="1">IFERROR(__xludf.DUMMYFUNCTION("""COMPUTED_VALUE"""),"High")</f>
        <v>High</v>
      </c>
      <c r="S919" s="5" t="str">
        <f ca="1">IFERROR(__xludf.DUMMYFUNCTION("""COMPUTED_VALUE"""),"Field (General)")</f>
        <v>Field (General)</v>
      </c>
      <c r="T919" s="5" t="str">
        <f ca="1">IFERROR(__xludf.DUMMYFUNCTION("""COMPUTED_VALUE"""),"Outside on School Property")</f>
        <v>Outside on School Property</v>
      </c>
      <c r="U919" s="5" t="str">
        <f ca="1">IFERROR(__xludf.DUMMYFUNCTION("""COMPUTED_VALUE"""),"No")</f>
        <v>No</v>
      </c>
      <c r="V919" s="5" t="str">
        <f ca="1">IFERROR(__xludf.DUMMYFUNCTION("""COMPUTED_VALUE"""),"After School")</f>
        <v>After School</v>
      </c>
      <c r="W919" s="10">
        <f ca="1">IFERROR(__xludf.DUMMYFUNCTION("""COMPUTED_VALUE"""),0.611111111111111)</f>
        <v>0.61111111111111105</v>
      </c>
      <c r="X919" s="5">
        <f ca="1">IFERROR(__xludf.DUMMYFUNCTION("""COMPUTED_VALUE"""),1)</f>
        <v>1</v>
      </c>
      <c r="Y919" s="5" t="str">
        <f ca="1">IFERROR(__xludf.DUMMYFUNCTION("""COMPUTED_VALUE"""),"Student shot on baseball field during altercation")</f>
        <v>Student shot on baseball field during altercation</v>
      </c>
      <c r="Z919" s="5" t="str">
        <f ca="1">IFERROR(__xludf.DUMMYFUNCTION("""COMPUTED_VALUE"""),"18YOM (student) was shot and killed on the baseball field after school during an altercation with an unidentified shooter who he had an ongoing dispute with. School was locked down. Police said the shooting was targeted. 500 students were at the school at"&amp;" the time of the shooting. 30-40 were interviewed as witnesses.")</f>
        <v>18YOM (student) was shot and killed on the baseball field after school during an altercation with an unidentified shooter who he had an ongoing dispute with. School was locked down. Police said the shooting was targeted. 500 students were at the school at the time of the shooting. 30-40 were interviewed as witnesses.</v>
      </c>
      <c r="AA919" s="5" t="str">
        <f ca="1">IFERROR(__xludf.DUMMYFUNCTION("""COMPUTED_VALUE"""),"Escalation of Dispute")</f>
        <v>Escalation of Dispute</v>
      </c>
      <c r="AB919" s="5" t="str">
        <f ca="1">IFERROR(__xludf.DUMMYFUNCTION("""COMPUTED_VALUE"""),"Victims Targeted")</f>
        <v>Victims Targeted</v>
      </c>
      <c r="AC919" s="5" t="str">
        <f ca="1">IFERROR(__xludf.DUMMYFUNCTION("""COMPUTED_VALUE"""),"No")</f>
        <v>No</v>
      </c>
      <c r="AD919" s="5" t="str">
        <f ca="1">IFERROR(__xludf.DUMMYFUNCTION("""COMPUTED_VALUE"""),"No")</f>
        <v>No</v>
      </c>
      <c r="AE919" s="5" t="str">
        <f ca="1">IFERROR(__xludf.DUMMYFUNCTION("""COMPUTED_VALUE"""),"No")</f>
        <v>No</v>
      </c>
      <c r="AF919" s="5" t="str">
        <f ca="1">IFERROR(__xludf.DUMMYFUNCTION("""COMPUTED_VALUE"""),"No")</f>
        <v>No</v>
      </c>
      <c r="AG919" s="5" t="str">
        <f ca="1">IFERROR(__xludf.DUMMYFUNCTION("""COMPUTED_VALUE"""),"No")</f>
        <v>No</v>
      </c>
      <c r="AH919" s="5" t="str">
        <f ca="1">IFERROR(__xludf.DUMMYFUNCTION("""COMPUTED_VALUE"""),"No")</f>
        <v>No</v>
      </c>
      <c r="AI919" s="5" t="str">
        <f ca="1">IFERROR(__xludf.DUMMYFUNCTION("""COMPUTED_VALUE"""),"No")</f>
        <v>No</v>
      </c>
      <c r="AJ919" s="5" t="str">
        <f ca="1">IFERROR(__xludf.DUMMYFUNCTION("""COMPUTED_VALUE"""),"No")</f>
        <v>No</v>
      </c>
    </row>
    <row r="920" spans="1:36" ht="13">
      <c r="A920" s="5" t="str">
        <f ca="1">IFERROR(__xludf.DUMMYFUNCTION("""COMPUTED_VALUE"""),"20180910TNFAM")</f>
        <v>20180910TNFAM</v>
      </c>
      <c r="B920" s="5">
        <f ca="1">IFERROR(__xludf.DUMMYFUNCTION("""COMPUTED_VALUE"""),9)</f>
        <v>9</v>
      </c>
      <c r="C920" s="5">
        <f ca="1">IFERROR(__xludf.DUMMYFUNCTION("""COMPUTED_VALUE"""),10)</f>
        <v>10</v>
      </c>
      <c r="D920" s="5">
        <f ca="1">IFERROR(__xludf.DUMMYFUNCTION("""COMPUTED_VALUE"""),2018)</f>
        <v>2018</v>
      </c>
      <c r="E920" s="8">
        <f ca="1">IFERROR(__xludf.DUMMYFUNCTION("""COMPUTED_VALUE"""),43353)</f>
        <v>43353</v>
      </c>
      <c r="F920" s="5" t="str">
        <f ca="1">IFERROR(__xludf.DUMMYFUNCTION("""COMPUTED_VALUE"""),"Fairley High School")</f>
        <v>Fairley High School</v>
      </c>
      <c r="G920" s="5">
        <f ca="1">IFERROR(__xludf.DUMMYFUNCTION("""COMPUTED_VALUE"""),0)</f>
        <v>0</v>
      </c>
      <c r="H920" s="5">
        <f ca="1">IFERROR(__xludf.DUMMYFUNCTION("""COMPUTED_VALUE"""),1)</f>
        <v>1</v>
      </c>
      <c r="I920" s="5">
        <f ca="1">IFERROR(__xludf.DUMMYFUNCTION("""COMPUTED_VALUE"""),1)</f>
        <v>1</v>
      </c>
      <c r="J920" s="5">
        <f ca="1">IFERROR(__xludf.DUMMYFUNCTION("""COMPUTED_VALUE"""),0)</f>
        <v>0</v>
      </c>
      <c r="K920" s="5" t="str">
        <f ca="1">IFERROR(__xludf.DUMMYFUNCTION("""COMPUTED_VALUE"""),"https://wreg.com/2018/09/10/girl-injured-when-gunshot-fired-at-school-bus-in-whitehaven/ https://www.commercialappeal.com/story/news/crime/2018/09/10/whitehaven-shooting-school-bus/1260655002/ https://wreg.com/2018/09/17/suspect-in-school-bus-shooting-in-"&amp;"police-custody/")</f>
        <v>https://wreg.com/2018/09/10/girl-injured-when-gunshot-fired-at-school-bus-in-whitehaven/ https://www.commercialappeal.com/story/news/crime/2018/09/10/whitehaven-shooting-school-bus/1260655002/ https://wreg.com/2018/09/17/suspect-in-school-bus-shooting-in-police-custody/</v>
      </c>
      <c r="L920" s="5"/>
      <c r="M920" s="5"/>
      <c r="N920" s="5">
        <f ca="1">IFERROR(__xludf.DUMMYFUNCTION("""COMPUTED_VALUE"""),3)</f>
        <v>3</v>
      </c>
      <c r="O920" s="5" t="str">
        <f ca="1">IFERROR(__xludf.DUMMYFUNCTION("""COMPUTED_VALUE"""),"Fall")</f>
        <v>Fall</v>
      </c>
      <c r="P920" s="5" t="str">
        <f ca="1">IFERROR(__xludf.DUMMYFUNCTION("""COMPUTED_VALUE"""),"Memphis")</f>
        <v>Memphis</v>
      </c>
      <c r="Q920" s="5" t="str">
        <f ca="1">IFERROR(__xludf.DUMMYFUNCTION("""COMPUTED_VALUE"""),"TN")</f>
        <v>TN</v>
      </c>
      <c r="R920" s="5" t="str">
        <f ca="1">IFERROR(__xludf.DUMMYFUNCTION("""COMPUTED_VALUE"""),"High")</f>
        <v>High</v>
      </c>
      <c r="S920" s="5" t="str">
        <f ca="1">IFERROR(__xludf.DUMMYFUNCTION("""COMPUTED_VALUE"""),"School Bus")</f>
        <v>School Bus</v>
      </c>
      <c r="T920" s="5" t="str">
        <f ca="1">IFERROR(__xludf.DUMMYFUNCTION("""COMPUTED_VALUE"""),"School Bus")</f>
        <v>School Bus</v>
      </c>
      <c r="U920" s="5" t="str">
        <f ca="1">IFERROR(__xludf.DUMMYFUNCTION("""COMPUTED_VALUE"""),"Yes")</f>
        <v>Yes</v>
      </c>
      <c r="V920" s="5" t="str">
        <f ca="1">IFERROR(__xludf.DUMMYFUNCTION("""COMPUTED_VALUE"""),"After School")</f>
        <v>After School</v>
      </c>
      <c r="W920" s="10">
        <f ca="1">IFERROR(__xludf.DUMMYFUNCTION("""COMPUTED_VALUE"""),0.666666666666666)</f>
        <v>0.66666666666666596</v>
      </c>
      <c r="X920" s="5">
        <f ca="1">IFERROR(__xludf.DUMMYFUNCTION("""COMPUTED_VALUE"""),1)</f>
        <v>1</v>
      </c>
      <c r="Y920" s="5" t="str">
        <f ca="1">IFERROR(__xludf.DUMMYFUNCTION("""COMPUTED_VALUE"""),"Three shots were fired a school bus, 15YOF student injured")</f>
        <v>Three shots were fired a school bus, 15YOF student injured</v>
      </c>
      <c r="Z920" s="5" t="str">
        <f ca="1">IFERROR(__xludf.DUMMYFUNCTION("""COMPUTED_VALUE"""),"3 shots were fired at school bus by unknown shooter. 15YOF was injured. No suspect or motive.")</f>
        <v>3 shots were fired at school bus by unknown shooter. 15YOF was injured. No suspect or motive.</v>
      </c>
      <c r="AA920" s="5" t="str">
        <f ca="1">IFERROR(__xludf.DUMMYFUNCTION("""COMPUTED_VALUE"""),"Unknown")</f>
        <v>Unknown</v>
      </c>
      <c r="AB920" s="5"/>
      <c r="AC920" s="5" t="str">
        <f ca="1">IFERROR(__xludf.DUMMYFUNCTION("""COMPUTED_VALUE"""),"No")</f>
        <v>No</v>
      </c>
      <c r="AD920" s="5" t="str">
        <f ca="1">IFERROR(__xludf.DUMMYFUNCTION("""COMPUTED_VALUE"""),"No")</f>
        <v>No</v>
      </c>
      <c r="AE920" s="5" t="str">
        <f ca="1">IFERROR(__xludf.DUMMYFUNCTION("""COMPUTED_VALUE"""),"No")</f>
        <v>No</v>
      </c>
      <c r="AF920" s="5" t="str">
        <f ca="1">IFERROR(__xludf.DUMMYFUNCTION("""COMPUTED_VALUE"""),"No")</f>
        <v>No</v>
      </c>
      <c r="AG920" s="5" t="str">
        <f ca="1">IFERROR(__xludf.DUMMYFUNCTION("""COMPUTED_VALUE"""),"No")</f>
        <v>No</v>
      </c>
      <c r="AH920" s="5" t="str">
        <f ca="1">IFERROR(__xludf.DUMMYFUNCTION("""COMPUTED_VALUE"""),"No")</f>
        <v>No</v>
      </c>
      <c r="AI920" s="5"/>
      <c r="AJ920" s="5" t="str">
        <f ca="1">IFERROR(__xludf.DUMMYFUNCTION("""COMPUTED_VALUE"""),"No")</f>
        <v>No</v>
      </c>
    </row>
    <row r="921" spans="1:36" ht="13">
      <c r="A921" s="5" t="str">
        <f ca="1">IFERROR(__xludf.DUMMYFUNCTION("""COMPUTED_VALUE"""),"20180910ILCHC")</f>
        <v>20180910ILCHC</v>
      </c>
      <c r="B921" s="5">
        <f ca="1">IFERROR(__xludf.DUMMYFUNCTION("""COMPUTED_VALUE"""),9)</f>
        <v>9</v>
      </c>
      <c r="C921" s="5">
        <f ca="1">IFERROR(__xludf.DUMMYFUNCTION("""COMPUTED_VALUE"""),10)</f>
        <v>10</v>
      </c>
      <c r="D921" s="5">
        <f ca="1">IFERROR(__xludf.DUMMYFUNCTION("""COMPUTED_VALUE"""),2018)</f>
        <v>2018</v>
      </c>
      <c r="E921" s="8">
        <f ca="1">IFERROR(__xludf.DUMMYFUNCTION("""COMPUTED_VALUE"""),43353)</f>
        <v>43353</v>
      </c>
      <c r="F921" s="5" t="str">
        <f ca="1">IFERROR(__xludf.DUMMYFUNCTION("""COMPUTED_VALUE"""),"Chatham Academy High School")</f>
        <v>Chatham Academy High School</v>
      </c>
      <c r="G921" s="5">
        <f ca="1">IFERROR(__xludf.DUMMYFUNCTION("""COMPUTED_VALUE"""),0)</f>
        <v>0</v>
      </c>
      <c r="H921" s="5">
        <f ca="1">IFERROR(__xludf.DUMMYFUNCTION("""COMPUTED_VALUE"""),3)</f>
        <v>3</v>
      </c>
      <c r="I921" s="5">
        <f ca="1">IFERROR(__xludf.DUMMYFUNCTION("""COMPUTED_VALUE"""),3)</f>
        <v>3</v>
      </c>
      <c r="J921" s="5">
        <f ca="1">IFERROR(__xludf.DUMMYFUNCTION("""COMPUTED_VALUE"""),0)</f>
        <v>0</v>
      </c>
      <c r="K921" s="5" t="str">
        <f ca="1">IFERROR(__xludf.DUMMYFUNCTION("""COMPUTED_VALUE"""),"https://abc7chicago.com/police-3-shot-near-high-school-on-south-side/4204832/ http://www.chicagotribune.com/news/local/breaking/ct-met-monday-violence-20180910-story.html")</f>
        <v>https://abc7chicago.com/police-3-shot-near-high-school-on-south-side/4204832/ http://www.chicagotribune.com/news/local/breaking/ct-met-monday-violence-20180910-story.html</v>
      </c>
      <c r="L921" s="5"/>
      <c r="M921" s="5"/>
      <c r="N921" s="5">
        <f ca="1">IFERROR(__xludf.DUMMYFUNCTION("""COMPUTED_VALUE"""),3)</f>
        <v>3</v>
      </c>
      <c r="O921" s="5" t="str">
        <f ca="1">IFERROR(__xludf.DUMMYFUNCTION("""COMPUTED_VALUE"""),"Fall")</f>
        <v>Fall</v>
      </c>
      <c r="P921" s="5" t="str">
        <f ca="1">IFERROR(__xludf.DUMMYFUNCTION("""COMPUTED_VALUE"""),"Chicago")</f>
        <v>Chicago</v>
      </c>
      <c r="Q921" s="5" t="str">
        <f ca="1">IFERROR(__xludf.DUMMYFUNCTION("""COMPUTED_VALUE"""),"IL")</f>
        <v>IL</v>
      </c>
      <c r="R921" s="5" t="str">
        <f ca="1">IFERROR(__xludf.DUMMYFUNCTION("""COMPUTED_VALUE"""),"High")</f>
        <v>High</v>
      </c>
      <c r="S921" s="5" t="str">
        <f ca="1">IFERROR(__xludf.DUMMYFUNCTION("""COMPUTED_VALUE"""),"Beside Building")</f>
        <v>Beside Building</v>
      </c>
      <c r="T921" s="5" t="str">
        <f ca="1">IFERROR(__xludf.DUMMYFUNCTION("""COMPUTED_VALUE"""),"Outside on School Property")</f>
        <v>Outside on School Property</v>
      </c>
      <c r="U921" s="5" t="str">
        <f ca="1">IFERROR(__xludf.DUMMYFUNCTION("""COMPUTED_VALUE"""),"Yes")</f>
        <v>Yes</v>
      </c>
      <c r="V921" s="5" t="str">
        <f ca="1">IFERROR(__xludf.DUMMYFUNCTION("""COMPUTED_VALUE"""),"Dismissal")</f>
        <v>Dismissal</v>
      </c>
      <c r="W921" s="10">
        <f ca="1">IFERROR(__xludf.DUMMYFUNCTION("""COMPUTED_VALUE"""),0.666666666666666)</f>
        <v>0.66666666666666596</v>
      </c>
      <c r="X921" s="5">
        <f ca="1">IFERROR(__xludf.DUMMYFUNCTION("""COMPUTED_VALUE"""),1)</f>
        <v>1</v>
      </c>
      <c r="Y921" s="5" t="str">
        <f ca="1">IFERROR(__xludf.DUMMYFUNCTION("""COMPUTED_VALUE"""),"Shooter in ski mask got out of vehicle and fired multiple shots at three students leaving school")</f>
        <v>Shooter in ski mask got out of vehicle and fired multiple shots at three students leaving school</v>
      </c>
      <c r="Z921" s="5" t="str">
        <f ca="1">IFERROR(__xludf.DUMMYFUNCTION("""COMPUTED_VALUE"""),"Three students were shot in targeted shooting outside of school at dismissal. Shooter in ski mask got out of car and fired at the students then fled the area. Two of the injured students took refuge in the cafeteria. Police have two suspects in custody bu"&amp;"t not charges announced.")</f>
        <v>Three students were shot in targeted shooting outside of school at dismissal. Shooter in ski mask got out of car and fired at the students then fled the area. Two of the injured students took refuge in the cafeteria. Police have two suspects in custody but not charges announced.</v>
      </c>
      <c r="AA921" s="5" t="str">
        <f ca="1">IFERROR(__xludf.DUMMYFUNCTION("""COMPUTED_VALUE"""),"Escalation of Dispute")</f>
        <v>Escalation of Dispute</v>
      </c>
      <c r="AB921" s="5" t="str">
        <f ca="1">IFERROR(__xludf.DUMMYFUNCTION("""COMPUTED_VALUE"""),"Victims Targeted")</f>
        <v>Victims Targeted</v>
      </c>
      <c r="AC921" s="5" t="str">
        <f ca="1">IFERROR(__xludf.DUMMYFUNCTION("""COMPUTED_VALUE"""),"Yes")</f>
        <v>Yes</v>
      </c>
      <c r="AD921" s="5" t="str">
        <f ca="1">IFERROR(__xludf.DUMMYFUNCTION("""COMPUTED_VALUE"""),"No")</f>
        <v>No</v>
      </c>
      <c r="AE921" s="5" t="str">
        <f ca="1">IFERROR(__xludf.DUMMYFUNCTION("""COMPUTED_VALUE"""),"No")</f>
        <v>No</v>
      </c>
      <c r="AF921" s="5" t="str">
        <f ca="1">IFERROR(__xludf.DUMMYFUNCTION("""COMPUTED_VALUE"""),"No")</f>
        <v>No</v>
      </c>
      <c r="AG921" s="5" t="str">
        <f ca="1">IFERROR(__xludf.DUMMYFUNCTION("""COMPUTED_VALUE"""),"No")</f>
        <v>No</v>
      </c>
      <c r="AH921" s="5" t="str">
        <f ca="1">IFERROR(__xludf.DUMMYFUNCTION("""COMPUTED_VALUE"""),"No")</f>
        <v>No</v>
      </c>
      <c r="AI921" s="5" t="str">
        <f ca="1">IFERROR(__xludf.DUMMYFUNCTION("""COMPUTED_VALUE"""),"Yes")</f>
        <v>Yes</v>
      </c>
      <c r="AJ921" s="5" t="str">
        <f ca="1">IFERROR(__xludf.DUMMYFUNCTION("""COMPUTED_VALUE"""),"No")</f>
        <v>No</v>
      </c>
    </row>
    <row r="922" spans="1:36" ht="13">
      <c r="A922" s="5" t="str">
        <f ca="1">IFERROR(__xludf.DUMMYFUNCTION("""COMPUTED_VALUE"""),"20180909CAGIG")</f>
        <v>20180909CAGIG</v>
      </c>
      <c r="B922" s="5">
        <f ca="1">IFERROR(__xludf.DUMMYFUNCTION("""COMPUTED_VALUE"""),9)</f>
        <v>9</v>
      </c>
      <c r="C922" s="5">
        <f ca="1">IFERROR(__xludf.DUMMYFUNCTION("""COMPUTED_VALUE"""),9)</f>
        <v>9</v>
      </c>
      <c r="D922" s="5">
        <f ca="1">IFERROR(__xludf.DUMMYFUNCTION("""COMPUTED_VALUE"""),2018)</f>
        <v>2018</v>
      </c>
      <c r="E922" s="8">
        <f ca="1">IFERROR(__xludf.DUMMYFUNCTION("""COMPUTED_VALUE"""),43352)</f>
        <v>43352</v>
      </c>
      <c r="F922" s="5" t="str">
        <f ca="1">IFERROR(__xludf.DUMMYFUNCTION("""COMPUTED_VALUE"""),"Gilroy High School")</f>
        <v>Gilroy High School</v>
      </c>
      <c r="G922" s="5">
        <f ca="1">IFERROR(__xludf.DUMMYFUNCTION("""COMPUTED_VALUE"""),0)</f>
        <v>0</v>
      </c>
      <c r="H922" s="5">
        <f ca="1">IFERROR(__xludf.DUMMYFUNCTION("""COMPUTED_VALUE"""),0)</f>
        <v>0</v>
      </c>
      <c r="I922" s="5">
        <f ca="1">IFERROR(__xludf.DUMMYFUNCTION("""COMPUTED_VALUE"""),0)</f>
        <v>0</v>
      </c>
      <c r="J922" s="5">
        <f ca="1">IFERROR(__xludf.DUMMYFUNCTION("""COMPUTED_VALUE"""),0)</f>
        <v>0</v>
      </c>
      <c r="K922" s="9" t="str">
        <f ca="1">IFERROR(__xludf.DUMMYFUNCTION("""COMPUTED_VALUE"""),"https://www.nbcbayarea.com/news/local/Suspect-Arrested-After-Officer-Involved-Shooting-Chase-at-Gilroy-High-School--492815721.html")</f>
        <v>https://www.nbcbayarea.com/news/local/Suspect-Arrested-After-Officer-Involved-Shooting-Chase-at-Gilroy-High-School--492815721.html</v>
      </c>
      <c r="L922" s="5"/>
      <c r="M922" s="5"/>
      <c r="N922" s="5">
        <f ca="1">IFERROR(__xludf.DUMMYFUNCTION("""COMPUTED_VALUE"""),3)</f>
        <v>3</v>
      </c>
      <c r="O922" s="5" t="str">
        <f ca="1">IFERROR(__xludf.DUMMYFUNCTION("""COMPUTED_VALUE"""),"Fall")</f>
        <v>Fall</v>
      </c>
      <c r="P922" s="5" t="str">
        <f ca="1">IFERROR(__xludf.DUMMYFUNCTION("""COMPUTED_VALUE"""),"Gilroy")</f>
        <v>Gilroy</v>
      </c>
      <c r="Q922" s="5" t="str">
        <f ca="1">IFERROR(__xludf.DUMMYFUNCTION("""COMPUTED_VALUE"""),"CA")</f>
        <v>CA</v>
      </c>
      <c r="R922" s="5" t="str">
        <f ca="1">IFERROR(__xludf.DUMMYFUNCTION("""COMPUTED_VALUE"""),"High")</f>
        <v>High</v>
      </c>
      <c r="S922" s="5" t="str">
        <f ca="1">IFERROR(__xludf.DUMMYFUNCTION("""COMPUTED_VALUE"""),"Field (General)")</f>
        <v>Field (General)</v>
      </c>
      <c r="T922" s="5" t="str">
        <f ca="1">IFERROR(__xludf.DUMMYFUNCTION("""COMPUTED_VALUE"""),"Outside on School Property")</f>
        <v>Outside on School Property</v>
      </c>
      <c r="U922" s="5" t="str">
        <f ca="1">IFERROR(__xludf.DUMMYFUNCTION("""COMPUTED_VALUE"""),"No")</f>
        <v>No</v>
      </c>
      <c r="V922" s="5" t="str">
        <f ca="1">IFERROR(__xludf.DUMMYFUNCTION("""COMPUTED_VALUE"""),"Not a School Day")</f>
        <v>Not a School Day</v>
      </c>
      <c r="W922" s="10">
        <f ca="1">IFERROR(__xludf.DUMMYFUNCTION("""COMPUTED_VALUE"""),0.541666666666666)</f>
        <v>0.54166666666666596</v>
      </c>
      <c r="X922" s="5">
        <f ca="1">IFERROR(__xludf.DUMMYFUNCTION("""COMPUTED_VALUE"""),1)</f>
        <v>1</v>
      </c>
      <c r="Y922" s="5" t="str">
        <f ca="1">IFERROR(__xludf.DUMMYFUNCTION("""COMPUTED_VALUE"""),"Officer shot a vehicle driving recklessly on football field")</f>
        <v>Officer shot a vehicle driving recklessly on football field</v>
      </c>
      <c r="Z922" s="5" t="str">
        <f ca="1">IFERROR(__xludf.DUMMYFUNCTION("""COMPUTED_VALUE"""),"Officer fired at a vehicle driving recklessly around football field during youth football tournament. No injuries. Driver was a former police officer, had made 911 calls, and was allegedly involved in the kidnapping of a woman.  He was arrested, no known "&amp;"connection to the school.")</f>
        <v>Officer fired at a vehicle driving recklessly around football field during youth football tournament. No injuries. Driver was a former police officer, had made 911 calls, and was allegedly involved in the kidnapping of a woman.  He was arrested, no known connection to the school.</v>
      </c>
      <c r="AA922" s="5" t="str">
        <f ca="1">IFERROR(__xludf.DUMMYFUNCTION("""COMPUTED_VALUE"""),"Illegal Activity")</f>
        <v>Illegal Activity</v>
      </c>
      <c r="AB922" s="5" t="str">
        <f ca="1">IFERROR(__xludf.DUMMYFUNCTION("""COMPUTED_VALUE"""),"Neither")</f>
        <v>Neither</v>
      </c>
      <c r="AC922" s="5" t="str">
        <f ca="1">IFERROR(__xludf.DUMMYFUNCTION("""COMPUTED_VALUE"""),"No")</f>
        <v>No</v>
      </c>
      <c r="AD922" s="5" t="str">
        <f ca="1">IFERROR(__xludf.DUMMYFUNCTION("""COMPUTED_VALUE"""),"No")</f>
        <v>No</v>
      </c>
      <c r="AE922" s="5" t="str">
        <f ca="1">IFERROR(__xludf.DUMMYFUNCTION("""COMPUTED_VALUE"""),"No")</f>
        <v>No</v>
      </c>
      <c r="AF922" s="5" t="str">
        <f ca="1">IFERROR(__xludf.DUMMYFUNCTION("""COMPUTED_VALUE"""),"Yes")</f>
        <v>Yes</v>
      </c>
      <c r="AG922" s="5" t="str">
        <f ca="1">IFERROR(__xludf.DUMMYFUNCTION("""COMPUTED_VALUE"""),"N/A")</f>
        <v>N/A</v>
      </c>
      <c r="AH922" s="5" t="str">
        <f ca="1">IFERROR(__xludf.DUMMYFUNCTION("""COMPUTED_VALUE"""),"N/A")</f>
        <v>N/A</v>
      </c>
      <c r="AI922" s="5" t="str">
        <f ca="1">IFERROR(__xludf.DUMMYFUNCTION("""COMPUTED_VALUE"""),"N/A")</f>
        <v>N/A</v>
      </c>
      <c r="AJ922" s="5" t="str">
        <f ca="1">IFERROR(__xludf.DUMMYFUNCTION("""COMPUTED_VALUE"""),"No")</f>
        <v>No</v>
      </c>
    </row>
    <row r="923" spans="1:36" ht="13">
      <c r="A923" s="5" t="str">
        <f ca="1">IFERROR(__xludf.DUMMYFUNCTION("""COMPUTED_VALUE"""),"20180907IAHED")</f>
        <v>20180907IAHED</v>
      </c>
      <c r="B923" s="5">
        <f ca="1">IFERROR(__xludf.DUMMYFUNCTION("""COMPUTED_VALUE"""),9)</f>
        <v>9</v>
      </c>
      <c r="C923" s="5">
        <f ca="1">IFERROR(__xludf.DUMMYFUNCTION("""COMPUTED_VALUE"""),7)</f>
        <v>7</v>
      </c>
      <c r="D923" s="5">
        <f ca="1">IFERROR(__xludf.DUMMYFUNCTION("""COMPUTED_VALUE"""),2018)</f>
        <v>2018</v>
      </c>
      <c r="E923" s="8">
        <f ca="1">IFERROR(__xludf.DUMMYFUNCTION("""COMPUTED_VALUE"""),43350)</f>
        <v>43350</v>
      </c>
      <c r="F923" s="5" t="str">
        <f ca="1">IFERROR(__xludf.DUMMYFUNCTION("""COMPUTED_VALUE"""),"Herbert Hoover High School")</f>
        <v>Herbert Hoover High School</v>
      </c>
      <c r="G923" s="5">
        <f ca="1">IFERROR(__xludf.DUMMYFUNCTION("""COMPUTED_VALUE"""),0)</f>
        <v>0</v>
      </c>
      <c r="H923" s="5">
        <f ca="1">IFERROR(__xludf.DUMMYFUNCTION("""COMPUTED_VALUE"""),0)</f>
        <v>0</v>
      </c>
      <c r="I923" s="5">
        <f ca="1">IFERROR(__xludf.DUMMYFUNCTION("""COMPUTED_VALUE"""),0)</f>
        <v>0</v>
      </c>
      <c r="J923" s="5">
        <f ca="1">IFERROR(__xludf.DUMMYFUNCTION("""COMPUTED_VALUE"""),0)</f>
        <v>0</v>
      </c>
      <c r="K923" s="9" t="str">
        <f ca="1">IFERROR(__xludf.DUMMYFUNCTION("""COMPUTED_VALUE"""),"https://www.desmoinesregister.com/story/news/2018/09/07/des-moines-hoover-north-homecoming-game-shooting-football-des-moines-police-mcgrane-stadium/1234471002/")</f>
        <v>https://www.desmoinesregister.com/story/news/2018/09/07/des-moines-hoover-north-homecoming-game-shooting-football-des-moines-police-mcgrane-stadium/1234471002/</v>
      </c>
      <c r="L923" s="5"/>
      <c r="M923" s="5"/>
      <c r="N923" s="5">
        <f ca="1">IFERROR(__xludf.DUMMYFUNCTION("""COMPUTED_VALUE"""),3)</f>
        <v>3</v>
      </c>
      <c r="O923" s="5" t="str">
        <f ca="1">IFERROR(__xludf.DUMMYFUNCTION("""COMPUTED_VALUE"""),"Fall")</f>
        <v>Fall</v>
      </c>
      <c r="P923" s="5" t="str">
        <f ca="1">IFERROR(__xludf.DUMMYFUNCTION("""COMPUTED_VALUE"""),"Des Moines")</f>
        <v>Des Moines</v>
      </c>
      <c r="Q923" s="5" t="str">
        <f ca="1">IFERROR(__xludf.DUMMYFUNCTION("""COMPUTED_VALUE"""),"IA")</f>
        <v>IA</v>
      </c>
      <c r="R923" s="5" t="str">
        <f ca="1">IFERROR(__xludf.DUMMYFUNCTION("""COMPUTED_VALUE"""),"High")</f>
        <v>High</v>
      </c>
      <c r="S923" s="5" t="str">
        <f ca="1">IFERROR(__xludf.DUMMYFUNCTION("""COMPUTED_VALUE"""),"Parking Lot")</f>
        <v>Parking Lot</v>
      </c>
      <c r="T923" s="5" t="str">
        <f ca="1">IFERROR(__xludf.DUMMYFUNCTION("""COMPUTED_VALUE"""),"Outside on School Property")</f>
        <v>Outside on School Property</v>
      </c>
      <c r="U923" s="5" t="str">
        <f ca="1">IFERROR(__xludf.DUMMYFUNCTION("""COMPUTED_VALUE"""),"No")</f>
        <v>No</v>
      </c>
      <c r="V923" s="5" t="str">
        <f ca="1">IFERROR(__xludf.DUMMYFUNCTION("""COMPUTED_VALUE"""),"Sport Event")</f>
        <v>Sport Event</v>
      </c>
      <c r="W923" s="10">
        <f ca="1">IFERROR(__xludf.DUMMYFUNCTION("""COMPUTED_VALUE"""),0.875)</f>
        <v>0.875</v>
      </c>
      <c r="X923" s="5">
        <f ca="1">IFERROR(__xludf.DUMMYFUNCTION("""COMPUTED_VALUE"""),1)</f>
        <v>1</v>
      </c>
      <c r="Y923" s="5" t="str">
        <f ca="1">IFERROR(__xludf.DUMMYFUNCTION("""COMPUTED_VALUE"""),"Shots fired in parking lot during football game, game canceled")</f>
        <v>Shots fired in parking lot during football game, game canceled</v>
      </c>
      <c r="Z923" s="5" t="str">
        <f ca="1">IFERROR(__xludf.DUMMYFUNCTION("""COMPUTED_VALUE"""),"Shots fired in the parking lot during football game. Game was stopped and then canceled. Police recovered shell casings in the parking lot. Stadium was cleared. No injuries reported.")</f>
        <v>Shots fired in the parking lot during football game. Game was stopped and then canceled. Police recovered shell casings in the parking lot. Stadium was cleared. No injuries reported.</v>
      </c>
      <c r="AA923" s="5" t="str">
        <f ca="1">IFERROR(__xludf.DUMMYFUNCTION("""COMPUTED_VALUE"""),"Escalation of Dispute")</f>
        <v>Escalation of Dispute</v>
      </c>
      <c r="AB923" s="5"/>
      <c r="AC923" s="5"/>
      <c r="AD923" s="5" t="str">
        <f ca="1">IFERROR(__xludf.DUMMYFUNCTION("""COMPUTED_VALUE"""),"No")</f>
        <v>No</v>
      </c>
      <c r="AE923" s="5" t="str">
        <f ca="1">IFERROR(__xludf.DUMMYFUNCTION("""COMPUTED_VALUE"""),"No")</f>
        <v>No</v>
      </c>
      <c r="AF923" s="5" t="str">
        <f ca="1">IFERROR(__xludf.DUMMYFUNCTION("""COMPUTED_VALUE"""),"No")</f>
        <v>No</v>
      </c>
      <c r="AG923" s="5" t="str">
        <f ca="1">IFERROR(__xludf.DUMMYFUNCTION("""COMPUTED_VALUE"""),"No")</f>
        <v>No</v>
      </c>
      <c r="AH923" s="5" t="str">
        <f ca="1">IFERROR(__xludf.DUMMYFUNCTION("""COMPUTED_VALUE"""),"No")</f>
        <v>No</v>
      </c>
      <c r="AI923" s="5"/>
      <c r="AJ923" s="5" t="str">
        <f ca="1">IFERROR(__xludf.DUMMYFUNCTION("""COMPUTED_VALUE"""),"No")</f>
        <v>No</v>
      </c>
    </row>
    <row r="924" spans="1:36" ht="13">
      <c r="A924" s="5" t="str">
        <f ca="1">IFERROR(__xludf.DUMMYFUNCTION("""COMPUTED_VALUE"""),"20180905RIPRP")</f>
        <v>20180905RIPRP</v>
      </c>
      <c r="B924" s="5">
        <f ca="1">IFERROR(__xludf.DUMMYFUNCTION("""COMPUTED_VALUE"""),9)</f>
        <v>9</v>
      </c>
      <c r="C924" s="5">
        <f ca="1">IFERROR(__xludf.DUMMYFUNCTION("""COMPUTED_VALUE"""),5)</f>
        <v>5</v>
      </c>
      <c r="D924" s="5">
        <f ca="1">IFERROR(__xludf.DUMMYFUNCTION("""COMPUTED_VALUE"""),2018)</f>
        <v>2018</v>
      </c>
      <c r="E924" s="8">
        <f ca="1">IFERROR(__xludf.DUMMYFUNCTION("""COMPUTED_VALUE"""),43348)</f>
        <v>43348</v>
      </c>
      <c r="F924" s="5" t="str">
        <f ca="1">IFERROR(__xludf.DUMMYFUNCTION("""COMPUTED_VALUE"""),"Providence Career and Technical Academy")</f>
        <v>Providence Career and Technical Academy</v>
      </c>
      <c r="G924" s="5">
        <f ca="1">IFERROR(__xludf.DUMMYFUNCTION("""COMPUTED_VALUE"""),1)</f>
        <v>1</v>
      </c>
      <c r="H924" s="5">
        <f ca="1">IFERROR(__xludf.DUMMYFUNCTION("""COMPUTED_VALUE"""),0)</f>
        <v>0</v>
      </c>
      <c r="I924" s="5">
        <f ca="1">IFERROR(__xludf.DUMMYFUNCTION("""COMPUTED_VALUE"""),1)</f>
        <v>1</v>
      </c>
      <c r="J924" s="5">
        <f ca="1">IFERROR(__xludf.DUMMYFUNCTION("""COMPUTED_VALUE"""),0)</f>
        <v>0</v>
      </c>
      <c r="K924" s="5" t="str">
        <f ca="1">IFERROR(__xludf.DUMMYFUNCTION("""COMPUTED_VALUE"""),"https://turnto10.com/news/local/shots-fired-in-providence-near-technical-school http://www.providencejournal.com/news/20180912/16-year-old-providence-school-shooting-suspect-remains-in-custody-after-court-appearance https://turnto10.com/news/local/16-year"&amp;"-old-school-shooting-suspect-makes-court-appearance")</f>
        <v>https://turnto10.com/news/local/shots-fired-in-providence-near-technical-school http://www.providencejournal.com/news/20180912/16-year-old-providence-school-shooting-suspect-remains-in-custody-after-court-appearance https://turnto10.com/news/local/16-year-old-school-shooting-suspect-makes-court-appearance</v>
      </c>
      <c r="L924" s="5">
        <f ca="1">IFERROR(__xludf.DUMMYFUNCTION("""COMPUTED_VALUE"""),5)</f>
        <v>5</v>
      </c>
      <c r="M924" s="5" t="str">
        <f ca="1">IFERROR(__xludf.DUMMYFUNCTION("""COMPUTED_VALUE"""),"Local")</f>
        <v>Local</v>
      </c>
      <c r="N924" s="5">
        <f ca="1">IFERROR(__xludf.DUMMYFUNCTION("""COMPUTED_VALUE"""),4)</f>
        <v>4</v>
      </c>
      <c r="O924" s="5" t="str">
        <f ca="1">IFERROR(__xludf.DUMMYFUNCTION("""COMPUTED_VALUE"""),"Fall")</f>
        <v>Fall</v>
      </c>
      <c r="P924" s="5" t="str">
        <f ca="1">IFERROR(__xludf.DUMMYFUNCTION("""COMPUTED_VALUE"""),"Providence")</f>
        <v>Providence</v>
      </c>
      <c r="Q924" s="5" t="str">
        <f ca="1">IFERROR(__xludf.DUMMYFUNCTION("""COMPUTED_VALUE"""),"RI")</f>
        <v>RI</v>
      </c>
      <c r="R924" s="5" t="str">
        <f ca="1">IFERROR(__xludf.DUMMYFUNCTION("""COMPUTED_VALUE"""),"High")</f>
        <v>High</v>
      </c>
      <c r="S924" s="5" t="str">
        <f ca="1">IFERROR(__xludf.DUMMYFUNCTION("""COMPUTED_VALUE"""),"Front of School")</f>
        <v>Front of School</v>
      </c>
      <c r="T924" s="5" t="str">
        <f ca="1">IFERROR(__xludf.DUMMYFUNCTION("""COMPUTED_VALUE"""),"Outside on School Property")</f>
        <v>Outside on School Property</v>
      </c>
      <c r="U924" s="5" t="str">
        <f ca="1">IFERROR(__xludf.DUMMYFUNCTION("""COMPUTED_VALUE"""),"Yes")</f>
        <v>Yes</v>
      </c>
      <c r="V924" s="5" t="str">
        <f ca="1">IFERROR(__xludf.DUMMYFUNCTION("""COMPUTED_VALUE"""),"Dismissal")</f>
        <v>Dismissal</v>
      </c>
      <c r="W924" s="10">
        <f ca="1">IFERROR(__xludf.DUMMYFUNCTION("""COMPUTED_VALUE"""),0.583333333333333)</f>
        <v>0.58333333333333304</v>
      </c>
      <c r="X924" s="5">
        <f ca="1">IFERROR(__xludf.DUMMYFUNCTION("""COMPUTED_VALUE"""),1)</f>
        <v>1</v>
      </c>
      <c r="Y924" s="5" t="str">
        <f ca="1">IFERROR(__xludf.DUMMYFUNCTION("""COMPUTED_VALUE"""),"Shots during fight outside school")</f>
        <v>Shots during fight outside school</v>
      </c>
      <c r="Z924" s="5" t="str">
        <f ca="1">IFERROR(__xludf.DUMMYFUNCTION("""COMPUTED_VALUE"""),"Three juveniles were arguing in front of the school. One of them discharged a handgun and killed a juvenile bystander who was student of another school. Juveniles involved fled the scene. Shortly after, police responded to another crime scene, where the s"&amp;"hooter allegedly shot himself accidentally in the thigh, while fleeing the crime scene. Suspect claimed he was shot from a drive-by car but the nature of the wound did not corroborate the report. Police found a revolver nearby. He was arrested and charged"&amp;". Witnesses confirmed shooter's identity. Shooter was allegedly a member of the Hanover Boyz street gang and had been caught multiple times with weapons on school grounds, including a BB gun and a knife.")</f>
        <v>Three juveniles were arguing in front of the school. One of them discharged a handgun and killed a juvenile bystander who was student of another school. Juveniles involved fled the scene. Shortly after, police responded to another crime scene, where the shooter allegedly shot himself accidentally in the thigh, while fleeing the crime scene. Suspect claimed he was shot from a drive-by car but the nature of the wound did not corroborate the report. Police found a revolver nearby. He was arrested and charged. Witnesses confirmed shooter's identity. Shooter was allegedly a member of the Hanover Boyz street gang and had been caught multiple times with weapons on school grounds, including a BB gun and a knife.</v>
      </c>
      <c r="AA924" s="5" t="str">
        <f ca="1">IFERROR(__xludf.DUMMYFUNCTION("""COMPUTED_VALUE"""),"Escalation of Dispute")</f>
        <v>Escalation of Dispute</v>
      </c>
      <c r="AB924" s="5" t="str">
        <f ca="1">IFERROR(__xludf.DUMMYFUNCTION("""COMPUTED_VALUE"""),"Both")</f>
        <v>Both</v>
      </c>
      <c r="AC924" s="5" t="str">
        <f ca="1">IFERROR(__xludf.DUMMYFUNCTION("""COMPUTED_VALUE"""),"Yes")</f>
        <v>Yes</v>
      </c>
      <c r="AD924" s="5" t="str">
        <f ca="1">IFERROR(__xludf.DUMMYFUNCTION("""COMPUTED_VALUE"""),"No")</f>
        <v>No</v>
      </c>
      <c r="AE924" s="5" t="str">
        <f ca="1">IFERROR(__xludf.DUMMYFUNCTION("""COMPUTED_VALUE"""),"No")</f>
        <v>No</v>
      </c>
      <c r="AF924" s="5" t="str">
        <f ca="1">IFERROR(__xludf.DUMMYFUNCTION("""COMPUTED_VALUE"""),"No")</f>
        <v>No</v>
      </c>
      <c r="AG924" s="5" t="str">
        <f ca="1">IFERROR(__xludf.DUMMYFUNCTION("""COMPUTED_VALUE"""),"No")</f>
        <v>No</v>
      </c>
      <c r="AH924" s="5" t="str">
        <f ca="1">IFERROR(__xludf.DUMMYFUNCTION("""COMPUTED_VALUE"""),"No")</f>
        <v>No</v>
      </c>
      <c r="AI924" s="5" t="str">
        <f ca="1">IFERROR(__xludf.DUMMYFUNCTION("""COMPUTED_VALUE"""),"Yes")</f>
        <v>Yes</v>
      </c>
      <c r="AJ924" s="5" t="str">
        <f ca="1">IFERROR(__xludf.DUMMYFUNCTION("""COMPUTED_VALUE"""),"No")</f>
        <v>No</v>
      </c>
    </row>
    <row r="925" spans="1:36" ht="13">
      <c r="A925" s="5" t="str">
        <f ca="1">IFERROR(__xludf.DUMMYFUNCTION("""COMPUTED_VALUE"""),"20180903NYLUN")</f>
        <v>20180903NYLUN</v>
      </c>
      <c r="B925" s="5">
        <f ca="1">IFERROR(__xludf.DUMMYFUNCTION("""COMPUTED_VALUE"""),9)</f>
        <v>9</v>
      </c>
      <c r="C925" s="5">
        <f ca="1">IFERROR(__xludf.DUMMYFUNCTION("""COMPUTED_VALUE"""),3)</f>
        <v>3</v>
      </c>
      <c r="D925" s="5">
        <f ca="1">IFERROR(__xludf.DUMMYFUNCTION("""COMPUTED_VALUE"""),2018)</f>
        <v>2018</v>
      </c>
      <c r="E925" s="8">
        <f ca="1">IFERROR(__xludf.DUMMYFUNCTION("""COMPUTED_VALUE"""),43346)</f>
        <v>43346</v>
      </c>
      <c r="F925" s="5" t="str">
        <f ca="1">IFERROR(__xludf.DUMMYFUNCTION("""COMPUTED_VALUE"""),"Luisa Pineiro Fuentes School of Science and Discovery")</f>
        <v>Luisa Pineiro Fuentes School of Science and Discovery</v>
      </c>
      <c r="G925" s="5">
        <f ca="1">IFERROR(__xludf.DUMMYFUNCTION("""COMPUTED_VALUE"""),1)</f>
        <v>1</v>
      </c>
      <c r="H925" s="5">
        <f ca="1">IFERROR(__xludf.DUMMYFUNCTION("""COMPUTED_VALUE"""),0)</f>
        <v>0</v>
      </c>
      <c r="I925" s="5">
        <f ca="1">IFERROR(__xludf.DUMMYFUNCTION("""COMPUTED_VALUE"""),1)</f>
        <v>1</v>
      </c>
      <c r="J925" s="5">
        <f ca="1">IFERROR(__xludf.DUMMYFUNCTION("""COMPUTED_VALUE"""),0)</f>
        <v>0</v>
      </c>
      <c r="K925" s="9" t="str">
        <f ca="1">IFERROR(__xludf.DUMMYFUNCTION("""COMPUTED_VALUE"""),"http://www.nydailynews.com/new-york/nyc-crime/ny-metro-man-shot-outside-bronx-school-20180904-story.html")</f>
        <v>http://www.nydailynews.com/new-york/nyc-crime/ny-metro-man-shot-outside-bronx-school-20180904-story.html</v>
      </c>
      <c r="L925" s="5">
        <f ca="1">IFERROR(__xludf.DUMMYFUNCTION("""COMPUTED_VALUE"""),1)</f>
        <v>1</v>
      </c>
      <c r="M925" s="5" t="str">
        <f ca="1">IFERROR(__xludf.DUMMYFUNCTION("""COMPUTED_VALUE"""),"Local")</f>
        <v>Local</v>
      </c>
      <c r="N925" s="5">
        <f ca="1">IFERROR(__xludf.DUMMYFUNCTION("""COMPUTED_VALUE"""),3)</f>
        <v>3</v>
      </c>
      <c r="O925" s="5" t="str">
        <f ca="1">IFERROR(__xludf.DUMMYFUNCTION("""COMPUTED_VALUE"""),"Fall")</f>
        <v>Fall</v>
      </c>
      <c r="P925" s="5" t="str">
        <f ca="1">IFERROR(__xludf.DUMMYFUNCTION("""COMPUTED_VALUE"""),"New York")</f>
        <v>New York</v>
      </c>
      <c r="Q925" s="5" t="str">
        <f ca="1">IFERROR(__xludf.DUMMYFUNCTION("""COMPUTED_VALUE"""),"NY")</f>
        <v>NY</v>
      </c>
      <c r="R925" s="5" t="str">
        <f ca="1">IFERROR(__xludf.DUMMYFUNCTION("""COMPUTED_VALUE"""),"Elementary")</f>
        <v>Elementary</v>
      </c>
      <c r="S925" s="5" t="str">
        <f ca="1">IFERROR(__xludf.DUMMYFUNCTION("""COMPUTED_VALUE"""),"Field (General)")</f>
        <v>Field (General)</v>
      </c>
      <c r="T925" s="5" t="str">
        <f ca="1">IFERROR(__xludf.DUMMYFUNCTION("""COMPUTED_VALUE"""),"Outside on School Property")</f>
        <v>Outside on School Property</v>
      </c>
      <c r="U925" s="5" t="str">
        <f ca="1">IFERROR(__xludf.DUMMYFUNCTION("""COMPUTED_VALUE"""),"No")</f>
        <v>No</v>
      </c>
      <c r="V925" s="5" t="str">
        <f ca="1">IFERROR(__xludf.DUMMYFUNCTION("""COMPUTED_VALUE"""),"Evening")</f>
        <v>Evening</v>
      </c>
      <c r="W925" s="10">
        <f ca="1">IFERROR(__xludf.DUMMYFUNCTION("""COMPUTED_VALUE"""),0.888888888888888)</f>
        <v>0.88888888888888795</v>
      </c>
      <c r="X925" s="5">
        <f ca="1">IFERROR(__xludf.DUMMYFUNCTION("""COMPUTED_VALUE"""),1)</f>
        <v>1</v>
      </c>
      <c r="Y925" s="5" t="str">
        <f ca="1">IFERROR(__xludf.DUMMYFUNCTION("""COMPUTED_VALUE"""),"Non-student killed during argument outside of school (closed for holiday)")</f>
        <v>Non-student killed during argument outside of school (closed for holiday)</v>
      </c>
      <c r="Z925" s="5" t="str">
        <f ca="1">IFERROR(__xludf.DUMMYFUNCTION("""COMPUTED_VALUE"""),"34YOM was shot by unknown gunman during argument outside of school. School was closed for Labor Day and there was a cook-out block party being held on the campus.")</f>
        <v>34YOM was shot by unknown gunman during argument outside of school. School was closed for Labor Day and there was a cook-out block party being held on the campus.</v>
      </c>
      <c r="AA925" s="5" t="str">
        <f ca="1">IFERROR(__xludf.DUMMYFUNCTION("""COMPUTED_VALUE"""),"Escalation of Dispute")</f>
        <v>Escalation of Dispute</v>
      </c>
      <c r="AB925" s="5" t="str">
        <f ca="1">IFERROR(__xludf.DUMMYFUNCTION("""COMPUTED_VALUE"""),"Victims Targeted")</f>
        <v>Victims Targeted</v>
      </c>
      <c r="AC925" s="5" t="str">
        <f ca="1">IFERROR(__xludf.DUMMYFUNCTION("""COMPUTED_VALUE"""),"No")</f>
        <v>No</v>
      </c>
      <c r="AD925" s="5" t="str">
        <f ca="1">IFERROR(__xludf.DUMMYFUNCTION("""COMPUTED_VALUE"""),"No")</f>
        <v>No</v>
      </c>
      <c r="AE925" s="5" t="str">
        <f ca="1">IFERROR(__xludf.DUMMYFUNCTION("""COMPUTED_VALUE"""),"No")</f>
        <v>No</v>
      </c>
      <c r="AF925" s="5" t="str">
        <f ca="1">IFERROR(__xludf.DUMMYFUNCTION("""COMPUTED_VALUE"""),"No")</f>
        <v>No</v>
      </c>
      <c r="AG925" s="5" t="str">
        <f ca="1">IFERROR(__xludf.DUMMYFUNCTION("""COMPUTED_VALUE"""),"No")</f>
        <v>No</v>
      </c>
      <c r="AH925" s="5" t="str">
        <f ca="1">IFERROR(__xludf.DUMMYFUNCTION("""COMPUTED_VALUE"""),"No")</f>
        <v>No</v>
      </c>
      <c r="AI925" s="5" t="str">
        <f ca="1">IFERROR(__xludf.DUMMYFUNCTION("""COMPUTED_VALUE"""),"No")</f>
        <v>No</v>
      </c>
      <c r="AJ925" s="5" t="str">
        <f ca="1">IFERROR(__xludf.DUMMYFUNCTION("""COMPUTED_VALUE"""),"No")</f>
        <v>No</v>
      </c>
    </row>
    <row r="926" spans="1:36" ht="13">
      <c r="A926" s="5" t="str">
        <f ca="1">IFERROR(__xludf.DUMMYFUNCTION("""COMPUTED_VALUE"""),"20180831CABAS")</f>
        <v>20180831CABAS</v>
      </c>
      <c r="B926" s="5">
        <f ca="1">IFERROR(__xludf.DUMMYFUNCTION("""COMPUTED_VALUE"""),8)</f>
        <v>8</v>
      </c>
      <c r="C926" s="5">
        <f ca="1">IFERROR(__xludf.DUMMYFUNCTION("""COMPUTED_VALUE"""),31)</f>
        <v>31</v>
      </c>
      <c r="D926" s="5">
        <f ca="1">IFERROR(__xludf.DUMMYFUNCTION("""COMPUTED_VALUE"""),2018)</f>
        <v>2018</v>
      </c>
      <c r="E926" s="8">
        <f ca="1">IFERROR(__xludf.DUMMYFUNCTION("""COMPUTED_VALUE"""),43343)</f>
        <v>43343</v>
      </c>
      <c r="F926" s="5" t="str">
        <f ca="1">IFERROR(__xludf.DUMMYFUNCTION("""COMPUTED_VALUE"""),"Balboa High School")</f>
        <v>Balboa High School</v>
      </c>
      <c r="G926" s="5">
        <f ca="1">IFERROR(__xludf.DUMMYFUNCTION("""COMPUTED_VALUE"""),0)</f>
        <v>0</v>
      </c>
      <c r="H926" s="5">
        <f ca="1">IFERROR(__xludf.DUMMYFUNCTION("""COMPUTED_VALUE"""),0)</f>
        <v>0</v>
      </c>
      <c r="I926" s="5">
        <f ca="1">IFERROR(__xludf.DUMMYFUNCTION("""COMPUTED_VALUE"""),0)</f>
        <v>0</v>
      </c>
      <c r="J926" s="5">
        <f ca="1">IFERROR(__xludf.DUMMYFUNCTION("""COMPUTED_VALUE"""),0)</f>
        <v>0</v>
      </c>
      <c r="K926" s="9" t="str">
        <f ca="1">IFERROR(__xludf.DUMMYFUNCTION("""COMPUTED_VALUE"""),"https://abc7news.com/3-students-in-custody-1-hurt-after-police-find-gun-on-sf-campus/4100641/")</f>
        <v>https://abc7news.com/3-students-in-custody-1-hurt-after-police-find-gun-on-sf-campus/4100641/</v>
      </c>
      <c r="L926" s="5"/>
      <c r="M926" s="5" t="str">
        <f ca="1">IFERROR(__xludf.DUMMYFUNCTION("""COMPUTED_VALUE"""),"Local")</f>
        <v>Local</v>
      </c>
      <c r="N926" s="5">
        <f ca="1">IFERROR(__xludf.DUMMYFUNCTION("""COMPUTED_VALUE"""),4)</f>
        <v>4</v>
      </c>
      <c r="O926" s="5" t="str">
        <f ca="1">IFERROR(__xludf.DUMMYFUNCTION("""COMPUTED_VALUE"""),"Summer")</f>
        <v>Summer</v>
      </c>
      <c r="P926" s="5" t="str">
        <f ca="1">IFERROR(__xludf.DUMMYFUNCTION("""COMPUTED_VALUE"""),"San Francisco")</f>
        <v>San Francisco</v>
      </c>
      <c r="Q926" s="5" t="str">
        <f ca="1">IFERROR(__xludf.DUMMYFUNCTION("""COMPUTED_VALUE"""),"CA")</f>
        <v>CA</v>
      </c>
      <c r="R926" s="5" t="str">
        <f ca="1">IFERROR(__xludf.DUMMYFUNCTION("""COMPUTED_VALUE"""),"High")</f>
        <v>High</v>
      </c>
      <c r="S926" s="5" t="str">
        <f ca="1">IFERROR(__xludf.DUMMYFUNCTION("""COMPUTED_VALUE"""),"Classroom")</f>
        <v>Classroom</v>
      </c>
      <c r="T926" s="5" t="str">
        <f ca="1">IFERROR(__xludf.DUMMYFUNCTION("""COMPUTED_VALUE"""),"Inside School Building")</f>
        <v>Inside School Building</v>
      </c>
      <c r="U926" s="5" t="str">
        <f ca="1">IFERROR(__xludf.DUMMYFUNCTION("""COMPUTED_VALUE"""),"Yes")</f>
        <v>Yes</v>
      </c>
      <c r="V926" s="5" t="str">
        <f ca="1">IFERROR(__xludf.DUMMYFUNCTION("""COMPUTED_VALUE"""),"Afternoon Classes")</f>
        <v>Afternoon Classes</v>
      </c>
      <c r="W926" s="10">
        <f ca="1">IFERROR(__xludf.DUMMYFUNCTION("""COMPUTED_VALUE"""),0.632638888888888)</f>
        <v>0.63263888888888797</v>
      </c>
      <c r="X926" s="5">
        <f ca="1">IFERROR(__xludf.DUMMYFUNCTION("""COMPUTED_VALUE"""),1)</f>
        <v>1</v>
      </c>
      <c r="Y926" s="5" t="str">
        <f ca="1">IFERROR(__xludf.DUMMYFUNCTION("""COMPUTED_VALUE"""),"Accidental discharge in classroom, student with gun fled")</f>
        <v>Accidental discharge in classroom, student with gun fled</v>
      </c>
      <c r="Z926" s="5" t="str">
        <f ca="1">IFERROR(__xludf.DUMMYFUNCTION("""COMPUTED_VALUE"""),"Student brought gun to school in backpack. Discharged in classroom. Shooter dropped the gun, fled the school and was later arrested when his mother took him to the police station. 2 other students arrested and charged with being accessories. School went o"&amp;"n lockdown and police conducted room by room search. Nearby Elementary school and Middle school were also locked down.")</f>
        <v>Student brought gun to school in backpack. Discharged in classroom. Shooter dropped the gun, fled the school and was later arrested when his mother took him to the police station. 2 other students arrested and charged with being accessories. School went on lockdown and police conducted room by room search. Nearby Elementary school and Middle school were also locked down.</v>
      </c>
      <c r="AA926" s="5" t="str">
        <f ca="1">IFERROR(__xludf.DUMMYFUNCTION("""COMPUTED_VALUE"""),"Accidental")</f>
        <v>Accidental</v>
      </c>
      <c r="AB926" s="5" t="str">
        <f ca="1">IFERROR(__xludf.DUMMYFUNCTION("""COMPUTED_VALUE"""),"Neither")</f>
        <v>Neither</v>
      </c>
      <c r="AC926" s="5" t="str">
        <f ca="1">IFERROR(__xludf.DUMMYFUNCTION("""COMPUTED_VALUE"""),"Yes")</f>
        <v>Yes</v>
      </c>
      <c r="AD926" s="5" t="str">
        <f ca="1">IFERROR(__xludf.DUMMYFUNCTION("""COMPUTED_VALUE"""),"No")</f>
        <v>No</v>
      </c>
      <c r="AE926" s="5" t="str">
        <f ca="1">IFERROR(__xludf.DUMMYFUNCTION("""COMPUTED_VALUE"""),"No")</f>
        <v>No</v>
      </c>
      <c r="AF926" s="5" t="str">
        <f ca="1">IFERROR(__xludf.DUMMYFUNCTION("""COMPUTED_VALUE"""),"No")</f>
        <v>No</v>
      </c>
      <c r="AG926" s="5" t="str">
        <f ca="1">IFERROR(__xludf.DUMMYFUNCTION("""COMPUTED_VALUE"""),"No")</f>
        <v>No</v>
      </c>
      <c r="AH926" s="5" t="str">
        <f ca="1">IFERROR(__xludf.DUMMYFUNCTION("""COMPUTED_VALUE"""),"No")</f>
        <v>No</v>
      </c>
      <c r="AI926" s="5"/>
      <c r="AJ926" s="5" t="str">
        <f ca="1">IFERROR(__xludf.DUMMYFUNCTION("""COMPUTED_VALUE"""),"No")</f>
        <v>No</v>
      </c>
    </row>
    <row r="927" spans="1:36" ht="13">
      <c r="A927" s="5" t="str">
        <f ca="1">IFERROR(__xludf.DUMMYFUNCTION("""COMPUTED_VALUE"""),"20180831IANOE")</f>
        <v>20180831IANOE</v>
      </c>
      <c r="B927" s="5">
        <f ca="1">IFERROR(__xludf.DUMMYFUNCTION("""COMPUTED_VALUE"""),8)</f>
        <v>8</v>
      </c>
      <c r="C927" s="5">
        <f ca="1">IFERROR(__xludf.DUMMYFUNCTION("""COMPUTED_VALUE"""),31)</f>
        <v>31</v>
      </c>
      <c r="D927" s="5">
        <f ca="1">IFERROR(__xludf.DUMMYFUNCTION("""COMPUTED_VALUE"""),2018)</f>
        <v>2018</v>
      </c>
      <c r="E927" s="8">
        <f ca="1">IFERROR(__xludf.DUMMYFUNCTION("""COMPUTED_VALUE"""),43343)</f>
        <v>43343</v>
      </c>
      <c r="F927" s="5" t="str">
        <f ca="1">IFERROR(__xludf.DUMMYFUNCTION("""COMPUTED_VALUE"""),"North Scott Junior High School")</f>
        <v>North Scott Junior High School</v>
      </c>
      <c r="G927" s="5">
        <f ca="1">IFERROR(__xludf.DUMMYFUNCTION("""COMPUTED_VALUE"""),0)</f>
        <v>0</v>
      </c>
      <c r="H927" s="5">
        <f ca="1">IFERROR(__xludf.DUMMYFUNCTION("""COMPUTED_VALUE"""),0)</f>
        <v>0</v>
      </c>
      <c r="I927" s="5">
        <f ca="1">IFERROR(__xludf.DUMMYFUNCTION("""COMPUTED_VALUE"""),0)</f>
        <v>0</v>
      </c>
      <c r="J927" s="5">
        <f ca="1">IFERROR(__xludf.DUMMYFUNCTION("""COMPUTED_VALUE"""),0)</f>
        <v>0</v>
      </c>
      <c r="K927" s="5" t="str">
        <f ca="1">IFERROR(__xludf.DUMMYFUNCTION("""COMPUTED_VALUE"""),"https://qctimes.com/news/local/north-scott-junior-high-student-charged-with-attempted-murder-will/article_ee6eef7d-8662-5234-a75f-526699b9a3c0.html https://www.desmoinesregister.com/story/news/crime-and-courts/2019/07/05/iowa-school-shooting-luke-andrews-"&amp;"davenport-north-scott-eldridge-attempted-murder-trial-teacher/1635581001/")</f>
        <v>https://qctimes.com/news/local/north-scott-junior-high-student-charged-with-attempted-murder-will/article_ee6eef7d-8662-5234-a75f-526699b9a3c0.html https://www.desmoinesregister.com/story/news/crime-and-courts/2019/07/05/iowa-school-shooting-luke-andrews-davenport-north-scott-eldridge-attempted-murder-trial-teacher/1635581001/</v>
      </c>
      <c r="L927" s="5">
        <f ca="1">IFERROR(__xludf.DUMMYFUNCTION("""COMPUTED_VALUE"""),5)</f>
        <v>5</v>
      </c>
      <c r="M927" s="5" t="str">
        <f ca="1">IFERROR(__xludf.DUMMYFUNCTION("""COMPUTED_VALUE"""),"Local")</f>
        <v>Local</v>
      </c>
      <c r="N927" s="5">
        <f ca="1">IFERROR(__xludf.DUMMYFUNCTION("""COMPUTED_VALUE"""),3)</f>
        <v>3</v>
      </c>
      <c r="O927" s="5" t="str">
        <f ca="1">IFERROR(__xludf.DUMMYFUNCTION("""COMPUTED_VALUE"""),"Summer")</f>
        <v>Summer</v>
      </c>
      <c r="P927" s="5" t="str">
        <f ca="1">IFERROR(__xludf.DUMMYFUNCTION("""COMPUTED_VALUE"""),"Eldridge")</f>
        <v>Eldridge</v>
      </c>
      <c r="Q927" s="5" t="str">
        <f ca="1">IFERROR(__xludf.DUMMYFUNCTION("""COMPUTED_VALUE"""),"IA")</f>
        <v>IA</v>
      </c>
      <c r="R927" s="5" t="str">
        <f ca="1">IFERROR(__xludf.DUMMYFUNCTION("""COMPUTED_VALUE"""),"Junior High")</f>
        <v>Junior High</v>
      </c>
      <c r="S927" s="5" t="str">
        <f ca="1">IFERROR(__xludf.DUMMYFUNCTION("""COMPUTED_VALUE"""),"Classroom")</f>
        <v>Classroom</v>
      </c>
      <c r="T927" s="5" t="str">
        <f ca="1">IFERROR(__xludf.DUMMYFUNCTION("""COMPUTED_VALUE"""),"Inside School Building")</f>
        <v>Inside School Building</v>
      </c>
      <c r="U927" s="5" t="str">
        <f ca="1">IFERROR(__xludf.DUMMYFUNCTION("""COMPUTED_VALUE"""),"Yes")</f>
        <v>Yes</v>
      </c>
      <c r="V927" s="5" t="str">
        <f ca="1">IFERROR(__xludf.DUMMYFUNCTION("""COMPUTED_VALUE"""),"Morning Classes")</f>
        <v>Morning Classes</v>
      </c>
      <c r="W927" s="10">
        <f ca="1">IFERROR(__xludf.DUMMYFUNCTION("""COMPUTED_VALUE"""),0.354166666666666)</f>
        <v>0.35416666666666602</v>
      </c>
      <c r="X927" s="5">
        <f ca="1">IFERROR(__xludf.DUMMYFUNCTION("""COMPUTED_VALUE"""),1)</f>
        <v>1</v>
      </c>
      <c r="Y927" s="5" t="str">
        <f ca="1">IFERROR(__xludf.DUMMYFUNCTION("""COMPUTED_VALUE"""),"Shooter was a student who attempted to shoot the teacher in class")</f>
        <v>Shooter was a student who attempted to shoot the teacher in class</v>
      </c>
      <c r="Z927" s="5" t="str">
        <f ca="1">IFERROR(__xludf.DUMMYFUNCTION("""COMPUTED_VALUE"""),"A 12YOM student pointed a handgun gun at students in class and ordered everyone to get on the floor. Shooter then pointed the gun at the teacher and pulled the trigger but the safety was on and the weapon did not go off. The teacher disarmed the shooter a"&amp;"nd he was arrested. Gun was taken from shooter's home. Father was arrested for ""control of a firearm by a felon"". Father had 3 prior felony convictions and was not allowed to own firearms.
 Shooter charged a youthful offender in adult court.")</f>
        <v>A 12YOM student pointed a handgun gun at students in class and ordered everyone to get on the floor. Shooter then pointed the gun at the teacher and pulled the trigger but the safety was on and the weapon did not go off. The teacher disarmed the shooter and he was arrested. Gun was taken from shooter's home. Father was arrested for "control of a firearm by a felon". Father had 3 prior felony convictions and was not allowed to own firearms.
 Shooter charged a youthful offender in adult court.</v>
      </c>
      <c r="AA927" s="5" t="str">
        <f ca="1">IFERROR(__xludf.DUMMYFUNCTION("""COMPUTED_VALUE"""),"Hostage/Standoff")</f>
        <v>Hostage/Standoff</v>
      </c>
      <c r="AB927" s="5" t="str">
        <f ca="1">IFERROR(__xludf.DUMMYFUNCTION("""COMPUTED_VALUE"""),"Victims Targeted")</f>
        <v>Victims Targeted</v>
      </c>
      <c r="AC927" s="5" t="str">
        <f ca="1">IFERROR(__xludf.DUMMYFUNCTION("""COMPUTED_VALUE"""),"No")</f>
        <v>No</v>
      </c>
      <c r="AD927" s="5" t="str">
        <f ca="1">IFERROR(__xludf.DUMMYFUNCTION("""COMPUTED_VALUE"""),"No")</f>
        <v>No</v>
      </c>
      <c r="AE927" s="5" t="str">
        <f ca="1">IFERROR(__xludf.DUMMYFUNCTION("""COMPUTED_VALUE"""),"No")</f>
        <v>No</v>
      </c>
      <c r="AF927" s="5" t="str">
        <f ca="1">IFERROR(__xludf.DUMMYFUNCTION("""COMPUTED_VALUE"""),"No")</f>
        <v>No</v>
      </c>
      <c r="AG927" s="5"/>
      <c r="AH927" s="5"/>
      <c r="AI927" s="5" t="str">
        <f ca="1">IFERROR(__xludf.DUMMYFUNCTION("""COMPUTED_VALUE"""),"No")</f>
        <v>No</v>
      </c>
      <c r="AJ927" s="5" t="str">
        <f ca="1">IFERROR(__xludf.DUMMYFUNCTION("""COMPUTED_VALUE"""),"Yes")</f>
        <v>Yes</v>
      </c>
    </row>
    <row r="928" spans="1:36" ht="13">
      <c r="A928" s="5" t="str">
        <f ca="1">IFERROR(__xludf.DUMMYFUNCTION("""COMPUTED_VALUE"""),"20180830MIOTG")</f>
        <v>20180830MIOTG</v>
      </c>
      <c r="B928" s="5">
        <f ca="1">IFERROR(__xludf.DUMMYFUNCTION("""COMPUTED_VALUE"""),8)</f>
        <v>8</v>
      </c>
      <c r="C928" s="5">
        <f ca="1">IFERROR(__xludf.DUMMYFUNCTION("""COMPUTED_VALUE"""),30)</f>
        <v>30</v>
      </c>
      <c r="D928" s="5">
        <f ca="1">IFERROR(__xludf.DUMMYFUNCTION("""COMPUTED_VALUE"""),2018)</f>
        <v>2018</v>
      </c>
      <c r="E928" s="8">
        <f ca="1">IFERROR(__xludf.DUMMYFUNCTION("""COMPUTED_VALUE"""),43342)</f>
        <v>43342</v>
      </c>
      <c r="F928" s="5" t="str">
        <f ca="1">IFERROR(__xludf.DUMMYFUNCTION("""COMPUTED_VALUE"""),"Ottawa Hills High School")</f>
        <v>Ottawa Hills High School</v>
      </c>
      <c r="G928" s="5">
        <f ca="1">IFERROR(__xludf.DUMMYFUNCTION("""COMPUTED_VALUE"""),0)</f>
        <v>0</v>
      </c>
      <c r="H928" s="5">
        <f ca="1">IFERROR(__xludf.DUMMYFUNCTION("""COMPUTED_VALUE"""),1)</f>
        <v>1</v>
      </c>
      <c r="I928" s="5">
        <f ca="1">IFERROR(__xludf.DUMMYFUNCTION("""COMPUTED_VALUE"""),1)</f>
        <v>1</v>
      </c>
      <c r="J928" s="5">
        <f ca="1">IFERROR(__xludf.DUMMYFUNCTION("""COMPUTED_VALUE"""),0)</f>
        <v>0</v>
      </c>
      <c r="K928" s="9" t="str">
        <f ca="1">IFERROR(__xludf.DUMMYFUNCTION("""COMPUTED_VALUE"""),"https://www.woodtv.com/news/grand-rapids/shooting-outside-ottawa-hills-hs-leads-to-lockdowns/1406788527")</f>
        <v>https://www.woodtv.com/news/grand-rapids/shooting-outside-ottawa-hills-hs-leads-to-lockdowns/1406788527</v>
      </c>
      <c r="L928" s="5">
        <f ca="1">IFERROR(__xludf.DUMMYFUNCTION("""COMPUTED_VALUE"""),5)</f>
        <v>5</v>
      </c>
      <c r="M928" s="5" t="str">
        <f ca="1">IFERROR(__xludf.DUMMYFUNCTION("""COMPUTED_VALUE"""),"Local")</f>
        <v>Local</v>
      </c>
      <c r="N928" s="5">
        <f ca="1">IFERROR(__xludf.DUMMYFUNCTION("""COMPUTED_VALUE"""),3)</f>
        <v>3</v>
      </c>
      <c r="O928" s="5" t="str">
        <f ca="1">IFERROR(__xludf.DUMMYFUNCTION("""COMPUTED_VALUE"""),"Summer")</f>
        <v>Summer</v>
      </c>
      <c r="P928" s="5" t="str">
        <f ca="1">IFERROR(__xludf.DUMMYFUNCTION("""COMPUTED_VALUE"""),"Grand Rapids")</f>
        <v>Grand Rapids</v>
      </c>
      <c r="Q928" s="5" t="str">
        <f ca="1">IFERROR(__xludf.DUMMYFUNCTION("""COMPUTED_VALUE"""),"MI")</f>
        <v>MI</v>
      </c>
      <c r="R928" s="5" t="str">
        <f ca="1">IFERROR(__xludf.DUMMYFUNCTION("""COMPUTED_VALUE"""),"High")</f>
        <v>High</v>
      </c>
      <c r="S928" s="5" t="str">
        <f ca="1">IFERROR(__xludf.DUMMYFUNCTION("""COMPUTED_VALUE"""),"Other")</f>
        <v>Other</v>
      </c>
      <c r="T928" s="5" t="str">
        <f ca="1">IFERROR(__xludf.DUMMYFUNCTION("""COMPUTED_VALUE"""),"Outside on School Property")</f>
        <v>Outside on School Property</v>
      </c>
      <c r="U928" s="5" t="str">
        <f ca="1">IFERROR(__xludf.DUMMYFUNCTION("""COMPUTED_VALUE"""),"Yes")</f>
        <v>Yes</v>
      </c>
      <c r="V928" s="5" t="str">
        <f ca="1">IFERROR(__xludf.DUMMYFUNCTION("""COMPUTED_VALUE"""),"Morning Classes")</f>
        <v>Morning Classes</v>
      </c>
      <c r="W928" s="10">
        <f ca="1">IFERROR(__xludf.DUMMYFUNCTION("""COMPUTED_VALUE"""),0.4375)</f>
        <v>0.4375</v>
      </c>
      <c r="X928" s="5">
        <f ca="1">IFERROR(__xludf.DUMMYFUNCTION("""COMPUTED_VALUE"""),1)</f>
        <v>1</v>
      </c>
      <c r="Y928" s="5" t="str">
        <f ca="1">IFERROR(__xludf.DUMMYFUNCTION("""COMPUTED_VALUE"""),"Two non-student teens shot at during drive-by outside of school")</f>
        <v>Two non-student teens shot at during drive-by outside of school</v>
      </c>
      <c r="Z928" s="5" t="str">
        <f ca="1">IFERROR(__xludf.DUMMYFUNCTION("""COMPUTED_VALUE"""),"Two 17YOM non-students were shot at by an unknown shooter in a vehicle outside of the school. One teen was injured. Both ran into the school to take shelter. Police received reports of an active shooter at the school and the school was locked down. Parent"&amp;"s rushed to the school when a school shooting was reported. No description of suspect.")</f>
        <v>Two 17YOM non-students were shot at by an unknown shooter in a vehicle outside of the school. One teen was injured. Both ran into the school to take shelter. Police received reports of an active shooter at the school and the school was locked down. Parents rushed to the school when a school shooting was reported. No description of suspect.</v>
      </c>
      <c r="AA928" s="5" t="str">
        <f ca="1">IFERROR(__xludf.DUMMYFUNCTION("""COMPUTED_VALUE"""),"Drive-by Shooting")</f>
        <v>Drive-by Shooting</v>
      </c>
      <c r="AB928" s="5" t="str">
        <f ca="1">IFERROR(__xludf.DUMMYFUNCTION("""COMPUTED_VALUE"""),"Victims Targeted")</f>
        <v>Victims Targeted</v>
      </c>
      <c r="AC928" s="5"/>
      <c r="AD928" s="5" t="str">
        <f ca="1">IFERROR(__xludf.DUMMYFUNCTION("""COMPUTED_VALUE"""),"No")</f>
        <v>No</v>
      </c>
      <c r="AE928" s="5" t="str">
        <f ca="1">IFERROR(__xludf.DUMMYFUNCTION("""COMPUTED_VALUE"""),"No")</f>
        <v>No</v>
      </c>
      <c r="AF928" s="5" t="str">
        <f ca="1">IFERROR(__xludf.DUMMYFUNCTION("""COMPUTED_VALUE"""),"No")</f>
        <v>No</v>
      </c>
      <c r="AG928" s="5" t="str">
        <f ca="1">IFERROR(__xludf.DUMMYFUNCTION("""COMPUTED_VALUE"""),"No")</f>
        <v>No</v>
      </c>
      <c r="AH928" s="5" t="str">
        <f ca="1">IFERROR(__xludf.DUMMYFUNCTION("""COMPUTED_VALUE"""),"No")</f>
        <v>No</v>
      </c>
      <c r="AI928" s="5" t="str">
        <f ca="1">IFERROR(__xludf.DUMMYFUNCTION("""COMPUTED_VALUE"""),"Yes")</f>
        <v>Yes</v>
      </c>
      <c r="AJ928" s="5" t="str">
        <f ca="1">IFERROR(__xludf.DUMMYFUNCTION("""COMPUTED_VALUE"""),"No")</f>
        <v>No</v>
      </c>
    </row>
    <row r="929" spans="1:36" ht="13">
      <c r="A929" s="5" t="str">
        <f ca="1">IFERROR(__xludf.DUMMYFUNCTION("""COMPUTED_VALUE"""),"20180830NCVIC")</f>
        <v>20180830NCVIC</v>
      </c>
      <c r="B929" s="5">
        <f ca="1">IFERROR(__xludf.DUMMYFUNCTION("""COMPUTED_VALUE"""),8)</f>
        <v>8</v>
      </c>
      <c r="C929" s="5">
        <f ca="1">IFERROR(__xludf.DUMMYFUNCTION("""COMPUTED_VALUE"""),30)</f>
        <v>30</v>
      </c>
      <c r="D929" s="5">
        <f ca="1">IFERROR(__xludf.DUMMYFUNCTION("""COMPUTED_VALUE"""),2018)</f>
        <v>2018</v>
      </c>
      <c r="E929" s="8">
        <f ca="1">IFERROR(__xludf.DUMMYFUNCTION("""COMPUTED_VALUE"""),43342)</f>
        <v>43342</v>
      </c>
      <c r="F929" s="5" t="str">
        <f ca="1">IFERROR(__xludf.DUMMYFUNCTION("""COMPUTED_VALUE"""),"Villa Heights Elementary School")</f>
        <v>Villa Heights Elementary School</v>
      </c>
      <c r="G929" s="5">
        <f ca="1">IFERROR(__xludf.DUMMYFUNCTION("""COMPUTED_VALUE"""),0)</f>
        <v>0</v>
      </c>
      <c r="H929" s="5">
        <f ca="1">IFERROR(__xludf.DUMMYFUNCTION("""COMPUTED_VALUE"""),0)</f>
        <v>0</v>
      </c>
      <c r="I929" s="5">
        <f ca="1">IFERROR(__xludf.DUMMYFUNCTION("""COMPUTED_VALUE"""),0)</f>
        <v>0</v>
      </c>
      <c r="J929" s="5">
        <f ca="1">IFERROR(__xludf.DUMMYFUNCTION("""COMPUTED_VALUE"""),0)</f>
        <v>0</v>
      </c>
      <c r="K929" s="5" t="str">
        <f ca="1">IFERROR(__xludf.DUMMYFUNCTION("""COMPUTED_VALUE"""),"https://www.wsoctv.com/news/local/north-charlotte-elementary-school-on-lockdown-after-shots-fired-in-parking-lot/823693517 https://www.wbtv.com/2020/07/21/man-gets-years-prison-shooting-mom-child-near-charlotte-elementary-school/")</f>
        <v>https://www.wsoctv.com/news/local/north-charlotte-elementary-school-on-lockdown-after-shots-fired-in-parking-lot/823693517 https://www.wbtv.com/2020/07/21/man-gets-years-prison-shooting-mom-child-near-charlotte-elementary-school/</v>
      </c>
      <c r="L929" s="5">
        <f ca="1">IFERROR(__xludf.DUMMYFUNCTION("""COMPUTED_VALUE"""),5)</f>
        <v>5</v>
      </c>
      <c r="M929" s="5" t="str">
        <f ca="1">IFERROR(__xludf.DUMMYFUNCTION("""COMPUTED_VALUE"""),"Local")</f>
        <v>Local</v>
      </c>
      <c r="N929" s="5">
        <f ca="1">IFERROR(__xludf.DUMMYFUNCTION("""COMPUTED_VALUE"""),4)</f>
        <v>4</v>
      </c>
      <c r="O929" s="5" t="str">
        <f ca="1">IFERROR(__xludf.DUMMYFUNCTION("""COMPUTED_VALUE"""),"Summer")</f>
        <v>Summer</v>
      </c>
      <c r="P929" s="5" t="str">
        <f ca="1">IFERROR(__xludf.DUMMYFUNCTION("""COMPUTED_VALUE"""),"Charlotte")</f>
        <v>Charlotte</v>
      </c>
      <c r="Q929" s="5" t="str">
        <f ca="1">IFERROR(__xludf.DUMMYFUNCTION("""COMPUTED_VALUE"""),"NC")</f>
        <v>NC</v>
      </c>
      <c r="R929" s="5" t="str">
        <f ca="1">IFERROR(__xludf.DUMMYFUNCTION("""COMPUTED_VALUE"""),"Elementary")</f>
        <v>Elementary</v>
      </c>
      <c r="S929" s="5" t="str">
        <f ca="1">IFERROR(__xludf.DUMMYFUNCTION("""COMPUTED_VALUE"""),"Parking Lot")</f>
        <v>Parking Lot</v>
      </c>
      <c r="T929" s="5" t="str">
        <f ca="1">IFERROR(__xludf.DUMMYFUNCTION("""COMPUTED_VALUE"""),"Outside on School Property")</f>
        <v>Outside on School Property</v>
      </c>
      <c r="U929" s="5" t="str">
        <f ca="1">IFERROR(__xludf.DUMMYFUNCTION("""COMPUTED_VALUE"""),"Yes")</f>
        <v>Yes</v>
      </c>
      <c r="V929" s="5" t="str">
        <f ca="1">IFERROR(__xludf.DUMMYFUNCTION("""COMPUTED_VALUE"""),"School Start")</f>
        <v>School Start</v>
      </c>
      <c r="W929" s="10">
        <f ca="1">IFERROR(__xludf.DUMMYFUNCTION("""COMPUTED_VALUE"""),0.354166666666666)</f>
        <v>0.35416666666666602</v>
      </c>
      <c r="X929" s="5">
        <f ca="1">IFERROR(__xludf.DUMMYFUNCTION("""COMPUTED_VALUE"""),1)</f>
        <v>1</v>
      </c>
      <c r="Y929" s="5" t="str">
        <f ca="1">IFERROR(__xludf.DUMMYFUNCTION("""COMPUTED_VALUE"""),"Woman shot at in parking lot by ex-boyfriend while dropping off child")</f>
        <v>Woman shot at in parking lot by ex-boyfriend while dropping off child</v>
      </c>
      <c r="Z929" s="5" t="str">
        <f ca="1">IFERROR(__xludf.DUMMYFUNCTION("""COMPUTED_VALUE"""),"34YOM fired multiple shots at ex-girlfriend while she was dropping off child at school and was in her car. School was locked down. All shots missed the target and no one was injured. One of the shots hit a nearby residence. Shooter fled the scene and was "&amp;"arrested later that day after a standoff at a private residence. Had previous felony charges against him and possible federal weapons charges.")</f>
        <v>34YOM fired multiple shots at ex-girlfriend while she was dropping off child at school and was in her car. School was locked down. All shots missed the target and no one was injured. One of the shots hit a nearby residence. Shooter fled the scene and was arrested later that day after a standoff at a private residence. Had previous felony charges against him and possible federal weapons charges.</v>
      </c>
      <c r="AA929" s="5" t="str">
        <f ca="1">IFERROR(__xludf.DUMMYFUNCTION("""COMPUTED_VALUE"""),"Domestic w/ Targeted Victim")</f>
        <v>Domestic w/ Targeted Victim</v>
      </c>
      <c r="AB929" s="5" t="str">
        <f ca="1">IFERROR(__xludf.DUMMYFUNCTION("""COMPUTED_VALUE"""),"Victims Targeted")</f>
        <v>Victims Targeted</v>
      </c>
      <c r="AC929" s="5" t="str">
        <f ca="1">IFERROR(__xludf.DUMMYFUNCTION("""COMPUTED_VALUE"""),"No")</f>
        <v>No</v>
      </c>
      <c r="AD929" s="5" t="str">
        <f ca="1">IFERROR(__xludf.DUMMYFUNCTION("""COMPUTED_VALUE"""),"No")</f>
        <v>No</v>
      </c>
      <c r="AE929" s="5" t="str">
        <f ca="1">IFERROR(__xludf.DUMMYFUNCTION("""COMPUTED_VALUE"""),"No")</f>
        <v>No</v>
      </c>
      <c r="AF929" s="5" t="str">
        <f ca="1">IFERROR(__xludf.DUMMYFUNCTION("""COMPUTED_VALUE"""),"No")</f>
        <v>No</v>
      </c>
      <c r="AG929" s="5" t="str">
        <f ca="1">IFERROR(__xludf.DUMMYFUNCTION("""COMPUTED_VALUE"""),"No")</f>
        <v>No</v>
      </c>
      <c r="AH929" s="5" t="str">
        <f ca="1">IFERROR(__xludf.DUMMYFUNCTION("""COMPUTED_VALUE"""),"Yes")</f>
        <v>Yes</v>
      </c>
      <c r="AI929" s="5" t="str">
        <f ca="1">IFERROR(__xludf.DUMMYFUNCTION("""COMPUTED_VALUE"""),"No")</f>
        <v>No</v>
      </c>
      <c r="AJ929" s="5" t="str">
        <f ca="1">IFERROR(__xludf.DUMMYFUNCTION("""COMPUTED_VALUE"""),"No")</f>
        <v>No</v>
      </c>
    </row>
    <row r="930" spans="1:36" ht="13">
      <c r="A930" s="5" t="str">
        <f ca="1">IFERROR(__xludf.DUMMYFUNCTION("""COMPUTED_VALUE"""),"20180829DETOD")</f>
        <v>20180829DETOD</v>
      </c>
      <c r="B930" s="5">
        <f ca="1">IFERROR(__xludf.DUMMYFUNCTION("""COMPUTED_VALUE"""),8)</f>
        <v>8</v>
      </c>
      <c r="C930" s="5">
        <f ca="1">IFERROR(__xludf.DUMMYFUNCTION("""COMPUTED_VALUE"""),29)</f>
        <v>29</v>
      </c>
      <c r="D930" s="5">
        <f ca="1">IFERROR(__xludf.DUMMYFUNCTION("""COMPUTED_VALUE"""),2018)</f>
        <v>2018</v>
      </c>
      <c r="E930" s="8">
        <f ca="1">IFERROR(__xludf.DUMMYFUNCTION("""COMPUTED_VALUE"""),43341)</f>
        <v>43341</v>
      </c>
      <c r="F930" s="5" t="str">
        <f ca="1">IFERROR(__xludf.DUMMYFUNCTION("""COMPUTED_VALUE"""),"Towne Point Elementary School")</f>
        <v>Towne Point Elementary School</v>
      </c>
      <c r="G930" s="5">
        <f ca="1">IFERROR(__xludf.DUMMYFUNCTION("""COMPUTED_VALUE"""),1)</f>
        <v>1</v>
      </c>
      <c r="H930" s="5">
        <f ca="1">IFERROR(__xludf.DUMMYFUNCTION("""COMPUTED_VALUE"""),0)</f>
        <v>0</v>
      </c>
      <c r="I930" s="5">
        <f ca="1">IFERROR(__xludf.DUMMYFUNCTION("""COMPUTED_VALUE"""),1)</f>
        <v>1</v>
      </c>
      <c r="J930" s="5">
        <f ca="1">IFERROR(__xludf.DUMMYFUNCTION("""COMPUTED_VALUE"""),0)</f>
        <v>0</v>
      </c>
      <c r="K930" s="9" t="str">
        <f ca="1">IFERROR(__xludf.DUMMYFUNCTION("""COMPUTED_VALUE"""),"https://www.nbcphiladelphia.com/news/local/Towne-Point-Elementary-School-Dover-Deadly-Shooting-491979251.html")</f>
        <v>https://www.nbcphiladelphia.com/news/local/Towne-Point-Elementary-School-Dover-Deadly-Shooting-491979251.html</v>
      </c>
      <c r="L930" s="5">
        <f ca="1">IFERROR(__xludf.DUMMYFUNCTION("""COMPUTED_VALUE"""),11)</f>
        <v>11</v>
      </c>
      <c r="M930" s="5" t="str">
        <f ca="1">IFERROR(__xludf.DUMMYFUNCTION("""COMPUTED_VALUE"""),"Local")</f>
        <v>Local</v>
      </c>
      <c r="N930" s="5">
        <f ca="1">IFERROR(__xludf.DUMMYFUNCTION("""COMPUTED_VALUE"""),3)</f>
        <v>3</v>
      </c>
      <c r="O930" s="5" t="str">
        <f ca="1">IFERROR(__xludf.DUMMYFUNCTION("""COMPUTED_VALUE"""),"Summer")</f>
        <v>Summer</v>
      </c>
      <c r="P930" s="5" t="str">
        <f ca="1">IFERROR(__xludf.DUMMYFUNCTION("""COMPUTED_VALUE"""),"Dover")</f>
        <v>Dover</v>
      </c>
      <c r="Q930" s="5" t="str">
        <f ca="1">IFERROR(__xludf.DUMMYFUNCTION("""COMPUTED_VALUE"""),"DE")</f>
        <v>DE</v>
      </c>
      <c r="R930" s="5" t="str">
        <f ca="1">IFERROR(__xludf.DUMMYFUNCTION("""COMPUTED_VALUE"""),"Elementary")</f>
        <v>Elementary</v>
      </c>
      <c r="S930" s="5" t="str">
        <f ca="1">IFERROR(__xludf.DUMMYFUNCTION("""COMPUTED_VALUE"""),"Parking Lot")</f>
        <v>Parking Lot</v>
      </c>
      <c r="T930" s="5" t="str">
        <f ca="1">IFERROR(__xludf.DUMMYFUNCTION("""COMPUTED_VALUE"""),"Outside on School Property")</f>
        <v>Outside on School Property</v>
      </c>
      <c r="U930" s="5" t="str">
        <f ca="1">IFERROR(__xludf.DUMMYFUNCTION("""COMPUTED_VALUE"""),"No")</f>
        <v>No</v>
      </c>
      <c r="V930" s="5" t="str">
        <f ca="1">IFERROR(__xludf.DUMMYFUNCTION("""COMPUTED_VALUE"""),"Evening")</f>
        <v>Evening</v>
      </c>
      <c r="W930" s="10">
        <f ca="1">IFERROR(__xludf.DUMMYFUNCTION("""COMPUTED_VALUE"""),0.916666666666666)</f>
        <v>0.91666666666666596</v>
      </c>
      <c r="X930" s="5">
        <f ca="1">IFERROR(__xludf.DUMMYFUNCTION("""COMPUTED_VALUE"""),1)</f>
        <v>1</v>
      </c>
      <c r="Y930" s="5" t="str">
        <f ca="1">IFERROR(__xludf.DUMMYFUNCTION("""COMPUTED_VALUE"""),"Adult male found shot dead outside of school, killed by school janitor")</f>
        <v>Adult male found shot dead outside of school, killed by school janitor</v>
      </c>
      <c r="Z930" s="5" t="str">
        <f ca="1">IFERROR(__xludf.DUMMYFUNCTION("""COMPUTED_VALUE"""),"Adult male shot to death at 10pm during domestic dispute. School was closed the next day out of caution. Police said the shooting was targeted and they had identified a suspect. School janitor arrested in another state on 8/30/18 and charged with murder.")</f>
        <v>Adult male shot to death at 10pm during domestic dispute. School was closed the next day out of caution. Police said the shooting was targeted and they had identified a suspect. School janitor arrested in another state on 8/30/18 and charged with murder.</v>
      </c>
      <c r="AA930" s="5" t="str">
        <f ca="1">IFERROR(__xludf.DUMMYFUNCTION("""COMPUTED_VALUE"""),"Domestic w/ Targeted Victim")</f>
        <v>Domestic w/ Targeted Victim</v>
      </c>
      <c r="AB930" s="5" t="str">
        <f ca="1">IFERROR(__xludf.DUMMYFUNCTION("""COMPUTED_VALUE"""),"Victims Targeted")</f>
        <v>Victims Targeted</v>
      </c>
      <c r="AC930" s="5" t="str">
        <f ca="1">IFERROR(__xludf.DUMMYFUNCTION("""COMPUTED_VALUE"""),"No")</f>
        <v>No</v>
      </c>
      <c r="AD930" s="5" t="str">
        <f ca="1">IFERROR(__xludf.DUMMYFUNCTION("""COMPUTED_VALUE"""),"No")</f>
        <v>No</v>
      </c>
      <c r="AE930" s="5" t="str">
        <f ca="1">IFERROR(__xludf.DUMMYFUNCTION("""COMPUTED_VALUE"""),"No")</f>
        <v>No</v>
      </c>
      <c r="AF930" s="5" t="str">
        <f ca="1">IFERROR(__xludf.DUMMYFUNCTION("""COMPUTED_VALUE"""),"No")</f>
        <v>No</v>
      </c>
      <c r="AG930" s="5" t="str">
        <f ca="1">IFERROR(__xludf.DUMMYFUNCTION("""COMPUTED_VALUE"""),"No")</f>
        <v>No</v>
      </c>
      <c r="AH930" s="5" t="str">
        <f ca="1">IFERROR(__xludf.DUMMYFUNCTION("""COMPUTED_VALUE"""),"Yes")</f>
        <v>Yes</v>
      </c>
      <c r="AI930" s="5" t="str">
        <f ca="1">IFERROR(__xludf.DUMMYFUNCTION("""COMPUTED_VALUE"""),"No")</f>
        <v>No</v>
      </c>
      <c r="AJ930" s="5" t="str">
        <f ca="1">IFERROR(__xludf.DUMMYFUNCTION("""COMPUTED_VALUE"""),"No")</f>
        <v>No</v>
      </c>
    </row>
    <row r="931" spans="1:36" ht="13">
      <c r="A931" s="5" t="str">
        <f ca="1">IFERROR(__xludf.DUMMYFUNCTION("""COMPUTED_VALUE"""),"20180828COCOD")</f>
        <v>20180828COCOD</v>
      </c>
      <c r="B931" s="5">
        <f ca="1">IFERROR(__xludf.DUMMYFUNCTION("""COMPUTED_VALUE"""),8)</f>
        <v>8</v>
      </c>
      <c r="C931" s="5">
        <f ca="1">IFERROR(__xludf.DUMMYFUNCTION("""COMPUTED_VALUE"""),28)</f>
        <v>28</v>
      </c>
      <c r="D931" s="5">
        <f ca="1">IFERROR(__xludf.DUMMYFUNCTION("""COMPUTED_VALUE"""),2018)</f>
        <v>2018</v>
      </c>
      <c r="E931" s="8">
        <f ca="1">IFERROR(__xludf.DUMMYFUNCTION("""COMPUTED_VALUE"""),43340)</f>
        <v>43340</v>
      </c>
      <c r="F931" s="5" t="str">
        <f ca="1">IFERROR(__xludf.DUMMYFUNCTION("""COMPUTED_VALUE"""),"Cole Middle School")</f>
        <v>Cole Middle School</v>
      </c>
      <c r="G931" s="5">
        <f ca="1">IFERROR(__xludf.DUMMYFUNCTION("""COMPUTED_VALUE"""),0)</f>
        <v>0</v>
      </c>
      <c r="H931" s="5">
        <f ca="1">IFERROR(__xludf.DUMMYFUNCTION("""COMPUTED_VALUE"""),1)</f>
        <v>1</v>
      </c>
      <c r="I931" s="5">
        <f ca="1">IFERROR(__xludf.DUMMYFUNCTION("""COMPUTED_VALUE"""),1)</f>
        <v>1</v>
      </c>
      <c r="J931" s="5">
        <f ca="1">IFERROR(__xludf.DUMMYFUNCTION("""COMPUTED_VALUE"""),0)</f>
        <v>0</v>
      </c>
      <c r="K931" s="5" t="str">
        <f ca="1">IFERROR(__xludf.DUMMYFUNCTION("""COMPUTED_VALUE"""),"https://denver.cbslocal.com/2018/08/28/shooting-denver-cole-school-dsst/ https://denver.cbslocal.com/2018/09/05/teen-attempted-murder-cole-middle-school-shooting/")</f>
        <v>https://denver.cbslocal.com/2018/08/28/shooting-denver-cole-school-dsst/ https://denver.cbslocal.com/2018/09/05/teen-attempted-murder-cole-middle-school-shooting/</v>
      </c>
      <c r="L931" s="5"/>
      <c r="M931" s="5"/>
      <c r="N931" s="5">
        <f ca="1">IFERROR(__xludf.DUMMYFUNCTION("""COMPUTED_VALUE"""),3)</f>
        <v>3</v>
      </c>
      <c r="O931" s="5" t="str">
        <f ca="1">IFERROR(__xludf.DUMMYFUNCTION("""COMPUTED_VALUE"""),"Summer")</f>
        <v>Summer</v>
      </c>
      <c r="P931" s="5" t="str">
        <f ca="1">IFERROR(__xludf.DUMMYFUNCTION("""COMPUTED_VALUE"""),"Denver")</f>
        <v>Denver</v>
      </c>
      <c r="Q931" s="5" t="str">
        <f ca="1">IFERROR(__xludf.DUMMYFUNCTION("""COMPUTED_VALUE"""),"CO")</f>
        <v>CO</v>
      </c>
      <c r="R931" s="5" t="str">
        <f ca="1">IFERROR(__xludf.DUMMYFUNCTION("""COMPUTED_VALUE"""),"Middle")</f>
        <v>Middle</v>
      </c>
      <c r="S931" s="5" t="str">
        <f ca="1">IFERROR(__xludf.DUMMYFUNCTION("""COMPUTED_VALUE"""),"Outside on School Property")</f>
        <v>Outside on School Property</v>
      </c>
      <c r="T931" s="5" t="str">
        <f ca="1">IFERROR(__xludf.DUMMYFUNCTION("""COMPUTED_VALUE"""),"Outside on School Property")</f>
        <v>Outside on School Property</v>
      </c>
      <c r="U931" s="5" t="str">
        <f ca="1">IFERROR(__xludf.DUMMYFUNCTION("""COMPUTED_VALUE"""),"Yes")</f>
        <v>Yes</v>
      </c>
      <c r="V931" s="5" t="str">
        <f ca="1">IFERROR(__xludf.DUMMYFUNCTION("""COMPUTED_VALUE"""),"Afternoon Classes")</f>
        <v>Afternoon Classes</v>
      </c>
      <c r="W931" s="10">
        <f ca="1">IFERROR(__xludf.DUMMYFUNCTION("""COMPUTED_VALUE"""),0.583333333333333)</f>
        <v>0.58333333333333304</v>
      </c>
      <c r="X931" s="5">
        <f ca="1">IFERROR(__xludf.DUMMYFUNCTION("""COMPUTED_VALUE"""),1)</f>
        <v>1</v>
      </c>
      <c r="Y931" s="5" t="str">
        <f ca="1">IFERROR(__xludf.DUMMYFUNCTION("""COMPUTED_VALUE"""),"Shooting outside of school, school locked down")</f>
        <v>Shooting outside of school, school locked down</v>
      </c>
      <c r="Z931" s="5" t="str">
        <f ca="1">IFERROR(__xludf.DUMMYFUNCTION("""COMPUTED_VALUE"""),"7 shots fired during gang related shooting outside of middle school. School was locked down and students were released 90 minutes later in batches. Gunman fled. Victim was critically injured and not identified (teen, unclear if student).")</f>
        <v>7 shots fired during gang related shooting outside of middle school. School was locked down and students were released 90 minutes later in batches. Gunman fled. Victim was critically injured and not identified (teen, unclear if student).</v>
      </c>
      <c r="AA931" s="5" t="str">
        <f ca="1">IFERROR(__xludf.DUMMYFUNCTION("""COMPUTED_VALUE"""),"Escalation of Dispute")</f>
        <v>Escalation of Dispute</v>
      </c>
      <c r="AB931" s="5"/>
      <c r="AC931" s="5" t="str">
        <f ca="1">IFERROR(__xludf.DUMMYFUNCTION("""COMPUTED_VALUE"""),"No")</f>
        <v>No</v>
      </c>
      <c r="AD931" s="5" t="str">
        <f ca="1">IFERROR(__xludf.DUMMYFUNCTION("""COMPUTED_VALUE"""),"No")</f>
        <v>No</v>
      </c>
      <c r="AE931" s="5" t="str">
        <f ca="1">IFERROR(__xludf.DUMMYFUNCTION("""COMPUTED_VALUE"""),"No")</f>
        <v>No</v>
      </c>
      <c r="AF931" s="5" t="str">
        <f ca="1">IFERROR(__xludf.DUMMYFUNCTION("""COMPUTED_VALUE"""),"No")</f>
        <v>No</v>
      </c>
      <c r="AG931" s="5" t="str">
        <f ca="1">IFERROR(__xludf.DUMMYFUNCTION("""COMPUTED_VALUE"""),"No")</f>
        <v>No</v>
      </c>
      <c r="AH931" s="5" t="str">
        <f ca="1">IFERROR(__xludf.DUMMYFUNCTION("""COMPUTED_VALUE"""),"No")</f>
        <v>No</v>
      </c>
      <c r="AI931" s="5" t="str">
        <f ca="1">IFERROR(__xludf.DUMMYFUNCTION("""COMPUTED_VALUE"""),"Yes")</f>
        <v>Yes</v>
      </c>
      <c r="AJ931" s="5" t="str">
        <f ca="1">IFERROR(__xludf.DUMMYFUNCTION("""COMPUTED_VALUE"""),"No")</f>
        <v>No</v>
      </c>
    </row>
    <row r="932" spans="1:36" ht="13">
      <c r="A932" s="5" t="str">
        <f ca="1">IFERROR(__xludf.DUMMYFUNCTION("""COMPUTED_VALUE"""),"20180824ILMEC")</f>
        <v>20180824ILMEC</v>
      </c>
      <c r="B932" s="5">
        <f ca="1">IFERROR(__xludf.DUMMYFUNCTION("""COMPUTED_VALUE"""),8)</f>
        <v>8</v>
      </c>
      <c r="C932" s="5">
        <f ca="1">IFERROR(__xludf.DUMMYFUNCTION("""COMPUTED_VALUE"""),24)</f>
        <v>24</v>
      </c>
      <c r="D932" s="5">
        <f ca="1">IFERROR(__xludf.DUMMYFUNCTION("""COMPUTED_VALUE"""),2018)</f>
        <v>2018</v>
      </c>
      <c r="E932" s="8">
        <f ca="1">IFERROR(__xludf.DUMMYFUNCTION("""COMPUTED_VALUE"""),43336)</f>
        <v>43336</v>
      </c>
      <c r="F932" s="5" t="str">
        <f ca="1">IFERROR(__xludf.DUMMYFUNCTION("""COMPUTED_VALUE"""),"Metro East Lutheran High School")</f>
        <v>Metro East Lutheran High School</v>
      </c>
      <c r="G932" s="5">
        <f ca="1">IFERROR(__xludf.DUMMYFUNCTION("""COMPUTED_VALUE"""),0)</f>
        <v>0</v>
      </c>
      <c r="H932" s="5">
        <f ca="1">IFERROR(__xludf.DUMMYFUNCTION("""COMPUTED_VALUE"""),3)</f>
        <v>3</v>
      </c>
      <c r="I932" s="5">
        <f ca="1">IFERROR(__xludf.DUMMYFUNCTION("""COMPUTED_VALUE"""),3)</f>
        <v>3</v>
      </c>
      <c r="J932" s="5">
        <f ca="1">IFERROR(__xludf.DUMMYFUNCTION("""COMPUTED_VALUE"""),0)</f>
        <v>0</v>
      </c>
      <c r="K932" s="9" t="str">
        <f ca="1">IFERROR(__xludf.DUMMYFUNCTION("""COMPUTED_VALUE"""),"https://www.ksdk.com/article/news/local/metro-east-football-team-forced-to-cancel-game-after-shooting-in-chicago/63-587675552")</f>
        <v>https://www.ksdk.com/article/news/local/metro-east-football-team-forced-to-cancel-game-after-shooting-in-chicago/63-587675552</v>
      </c>
      <c r="L932" s="5"/>
      <c r="M932" s="5"/>
      <c r="N932" s="5">
        <f ca="1">IFERROR(__xludf.DUMMYFUNCTION("""COMPUTED_VALUE"""),2)</f>
        <v>2</v>
      </c>
      <c r="O932" s="5" t="str">
        <f ca="1">IFERROR(__xludf.DUMMYFUNCTION("""COMPUTED_VALUE"""),"Summer")</f>
        <v>Summer</v>
      </c>
      <c r="P932" s="5" t="str">
        <f ca="1">IFERROR(__xludf.DUMMYFUNCTION("""COMPUTED_VALUE"""),"Chicago")</f>
        <v>Chicago</v>
      </c>
      <c r="Q932" s="5" t="str">
        <f ca="1">IFERROR(__xludf.DUMMYFUNCTION("""COMPUTED_VALUE"""),"IL")</f>
        <v>IL</v>
      </c>
      <c r="R932" s="5" t="str">
        <f ca="1">IFERROR(__xludf.DUMMYFUNCTION("""COMPUTED_VALUE"""),"High")</f>
        <v>High</v>
      </c>
      <c r="S932" s="5" t="str">
        <f ca="1">IFERROR(__xludf.DUMMYFUNCTION("""COMPUTED_VALUE"""),"Football Field/Track")</f>
        <v>Football Field/Track</v>
      </c>
      <c r="T932" s="5" t="str">
        <f ca="1">IFERROR(__xludf.DUMMYFUNCTION("""COMPUTED_VALUE"""),"Outside on School Property")</f>
        <v>Outside on School Property</v>
      </c>
      <c r="U932" s="5" t="str">
        <f ca="1">IFERROR(__xludf.DUMMYFUNCTION("""COMPUTED_VALUE"""),"No")</f>
        <v>No</v>
      </c>
      <c r="V932" s="5" t="str">
        <f ca="1">IFERROR(__xludf.DUMMYFUNCTION("""COMPUTED_VALUE"""),"Sport Event")</f>
        <v>Sport Event</v>
      </c>
      <c r="W932" s="5"/>
      <c r="X932" s="5">
        <f ca="1">IFERROR(__xludf.DUMMYFUNCTION("""COMPUTED_VALUE"""),1)</f>
        <v>1</v>
      </c>
      <c r="Y932" s="5" t="str">
        <f ca="1">IFERROR(__xludf.DUMMYFUNCTION("""COMPUTED_VALUE"""),"Gang related shooting outside stadium gate prior to football game, 30-50 shots fired, game cancelled")</f>
        <v>Gang related shooting outside stadium gate prior to football game, 30-50 shots fired, game cancelled</v>
      </c>
      <c r="Z932" s="5" t="str">
        <f ca="1">IFERROR(__xludf.DUMMYFUNCTION("""COMPUTED_VALUE"""),"30-50 shots were fired between gang members outside of the stadium gate prior to the football game. The game was cancelled.")</f>
        <v>30-50 shots were fired between gang members outside of the stadium gate prior to the football game. The game was cancelled.</v>
      </c>
      <c r="AA932" s="5" t="str">
        <f ca="1">IFERROR(__xludf.DUMMYFUNCTION("""COMPUTED_VALUE"""),"Escalation of Dispute")</f>
        <v>Escalation of Dispute</v>
      </c>
      <c r="AB932" s="5" t="str">
        <f ca="1">IFERROR(__xludf.DUMMYFUNCTION("""COMPUTED_VALUE"""),"Victims Targeted")</f>
        <v>Victims Targeted</v>
      </c>
      <c r="AC932" s="5" t="str">
        <f ca="1">IFERROR(__xludf.DUMMYFUNCTION("""COMPUTED_VALUE"""),"Yes")</f>
        <v>Yes</v>
      </c>
      <c r="AD932" s="5" t="str">
        <f ca="1">IFERROR(__xludf.DUMMYFUNCTION("""COMPUTED_VALUE"""),"No")</f>
        <v>No</v>
      </c>
      <c r="AE932" s="5" t="str">
        <f ca="1">IFERROR(__xludf.DUMMYFUNCTION("""COMPUTED_VALUE"""),"No")</f>
        <v>No</v>
      </c>
      <c r="AF932" s="5" t="str">
        <f ca="1">IFERROR(__xludf.DUMMYFUNCTION("""COMPUTED_VALUE"""),"No")</f>
        <v>No</v>
      </c>
      <c r="AG932" s="5" t="str">
        <f ca="1">IFERROR(__xludf.DUMMYFUNCTION("""COMPUTED_VALUE"""),"No")</f>
        <v>No</v>
      </c>
      <c r="AH932" s="5" t="str">
        <f ca="1">IFERROR(__xludf.DUMMYFUNCTION("""COMPUTED_VALUE"""),"No")</f>
        <v>No</v>
      </c>
      <c r="AI932" s="5" t="str">
        <f ca="1">IFERROR(__xludf.DUMMYFUNCTION("""COMPUTED_VALUE"""),"Yes")</f>
        <v>Yes</v>
      </c>
      <c r="AJ932" s="5" t="str">
        <f ca="1">IFERROR(__xludf.DUMMYFUNCTION("""COMPUTED_VALUE"""),"No")</f>
        <v>No</v>
      </c>
    </row>
    <row r="933" spans="1:36" ht="13">
      <c r="A933" s="5" t="str">
        <f ca="1">IFERROR(__xludf.DUMMYFUNCTION("""COMPUTED_VALUE"""),"20180824FLRAJ")</f>
        <v>20180824FLRAJ</v>
      </c>
      <c r="B933" s="5">
        <f ca="1">IFERROR(__xludf.DUMMYFUNCTION("""COMPUTED_VALUE"""),8)</f>
        <v>8</v>
      </c>
      <c r="C933" s="5">
        <f ca="1">IFERROR(__xludf.DUMMYFUNCTION("""COMPUTED_VALUE"""),24)</f>
        <v>24</v>
      </c>
      <c r="D933" s="5">
        <f ca="1">IFERROR(__xludf.DUMMYFUNCTION("""COMPUTED_VALUE"""),2018)</f>
        <v>2018</v>
      </c>
      <c r="E933" s="8">
        <f ca="1">IFERROR(__xludf.DUMMYFUNCTION("""COMPUTED_VALUE"""),43336)</f>
        <v>43336</v>
      </c>
      <c r="F933" s="5" t="str">
        <f ca="1">IFERROR(__xludf.DUMMYFUNCTION("""COMPUTED_VALUE"""),"Raines High School")</f>
        <v>Raines High School</v>
      </c>
      <c r="G933" s="5">
        <f ca="1">IFERROR(__xludf.DUMMYFUNCTION("""COMPUTED_VALUE"""),1)</f>
        <v>1</v>
      </c>
      <c r="H933" s="5">
        <f ca="1">IFERROR(__xludf.DUMMYFUNCTION("""COMPUTED_VALUE"""),2)</f>
        <v>2</v>
      </c>
      <c r="I933" s="5">
        <f ca="1">IFERROR(__xludf.DUMMYFUNCTION("""COMPUTED_VALUE"""),3)</f>
        <v>3</v>
      </c>
      <c r="J933" s="5">
        <f ca="1">IFERROR(__xludf.DUMMYFUNCTION("""COMPUTED_VALUE"""),0)</f>
        <v>0</v>
      </c>
      <c r="K933" s="9" t="str">
        <f ca="1">IFERROR(__xludf.DUMMYFUNCTION("""COMPUTED_VALUE"""),"https://www.news4jax.com/news/2018/08/25/police-gang-shooting-after-raines-high-school-football-game-kills-1-injures-2/")</f>
        <v>https://www.news4jax.com/news/2018/08/25/police-gang-shooting-after-raines-high-school-football-game-kills-1-injures-2/</v>
      </c>
      <c r="L933" s="5"/>
      <c r="M933" s="5"/>
      <c r="N933" s="5">
        <f ca="1">IFERROR(__xludf.DUMMYFUNCTION("""COMPUTED_VALUE"""),4)</f>
        <v>4</v>
      </c>
      <c r="O933" s="5" t="str">
        <f ca="1">IFERROR(__xludf.DUMMYFUNCTION("""COMPUTED_VALUE"""),"Summer")</f>
        <v>Summer</v>
      </c>
      <c r="P933" s="5" t="str">
        <f ca="1">IFERROR(__xludf.DUMMYFUNCTION("""COMPUTED_VALUE"""),"Jacksonville")</f>
        <v>Jacksonville</v>
      </c>
      <c r="Q933" s="5" t="str">
        <f ca="1">IFERROR(__xludf.DUMMYFUNCTION("""COMPUTED_VALUE"""),"FL")</f>
        <v>FL</v>
      </c>
      <c r="R933" s="5" t="str">
        <f ca="1">IFERROR(__xludf.DUMMYFUNCTION("""COMPUTED_VALUE"""),"High")</f>
        <v>High</v>
      </c>
      <c r="S933" s="5" t="str">
        <f ca="1">IFERROR(__xludf.DUMMYFUNCTION("""COMPUTED_VALUE"""),"Football Field/Track")</f>
        <v>Football Field/Track</v>
      </c>
      <c r="T933" s="5" t="str">
        <f ca="1">IFERROR(__xludf.DUMMYFUNCTION("""COMPUTED_VALUE"""),"Outside on School Property")</f>
        <v>Outside on School Property</v>
      </c>
      <c r="U933" s="5" t="str">
        <f ca="1">IFERROR(__xludf.DUMMYFUNCTION("""COMPUTED_VALUE"""),"No")</f>
        <v>No</v>
      </c>
      <c r="V933" s="5" t="str">
        <f ca="1">IFERROR(__xludf.DUMMYFUNCTION("""COMPUTED_VALUE"""),"Sport Event")</f>
        <v>Sport Event</v>
      </c>
      <c r="W933" s="10">
        <f ca="1">IFERROR(__xludf.DUMMYFUNCTION("""COMPUTED_VALUE"""),0.916666666666666)</f>
        <v>0.91666666666666596</v>
      </c>
      <c r="X933" s="5">
        <f ca="1">IFERROR(__xludf.DUMMYFUNCTION("""COMPUTED_VALUE"""),1)</f>
        <v>1</v>
      </c>
      <c r="Y933" s="5" t="str">
        <f ca="1">IFERROR(__xludf.DUMMYFUNCTION("""COMPUTED_VALUE"""),"Two students from rival school and former student shot after football game")</f>
        <v>Two students from rival school and former student shot after football game</v>
      </c>
      <c r="Z933" s="5" t="str">
        <f ca="1">IFERROR(__xludf.DUMMYFUNCTION("""COMPUTED_VALUE"""),"Two students from the rival high school and a former student of the school where the shooting occurred where shot by an unknown gunman outside of the football stadium after the game. Metal detectors were used for screening all fan and 50 police officers w"&amp;"ere assigned to the game. Police reported the shooting occurred after a prior fight between the shooter and victims.")</f>
        <v>Two students from the rival high school and a former student of the school where the shooting occurred where shot by an unknown gunman outside of the football stadium after the game. Metal detectors were used for screening all fan and 50 police officers were assigned to the game. Police reported the shooting occurred after a prior fight between the shooter and victims.</v>
      </c>
      <c r="AA933" s="5" t="str">
        <f ca="1">IFERROR(__xludf.DUMMYFUNCTION("""COMPUTED_VALUE"""),"Escalation of Dispute")</f>
        <v>Escalation of Dispute</v>
      </c>
      <c r="AB933" s="5" t="str">
        <f ca="1">IFERROR(__xludf.DUMMYFUNCTION("""COMPUTED_VALUE"""),"Both")</f>
        <v>Both</v>
      </c>
      <c r="AC933" s="5"/>
      <c r="AD933" s="5" t="str">
        <f ca="1">IFERROR(__xludf.DUMMYFUNCTION("""COMPUTED_VALUE"""),"No")</f>
        <v>No</v>
      </c>
      <c r="AE933" s="5" t="str">
        <f ca="1">IFERROR(__xludf.DUMMYFUNCTION("""COMPUTED_VALUE"""),"No")</f>
        <v>No</v>
      </c>
      <c r="AF933" s="5" t="str">
        <f ca="1">IFERROR(__xludf.DUMMYFUNCTION("""COMPUTED_VALUE"""),"No")</f>
        <v>No</v>
      </c>
      <c r="AG933" s="5" t="str">
        <f ca="1">IFERROR(__xludf.DUMMYFUNCTION("""COMPUTED_VALUE"""),"No")</f>
        <v>No</v>
      </c>
      <c r="AH933" s="5" t="str">
        <f ca="1">IFERROR(__xludf.DUMMYFUNCTION("""COMPUTED_VALUE"""),"No")</f>
        <v>No</v>
      </c>
      <c r="AI933" s="5" t="str">
        <f ca="1">IFERROR(__xludf.DUMMYFUNCTION("""COMPUTED_VALUE"""),"Yes")</f>
        <v>Yes</v>
      </c>
      <c r="AJ933" s="5" t="str">
        <f ca="1">IFERROR(__xludf.DUMMYFUNCTION("""COMPUTED_VALUE"""),"No")</f>
        <v>No</v>
      </c>
    </row>
    <row r="934" spans="1:36" ht="13">
      <c r="A934" s="5" t="str">
        <f ca="1">IFERROR(__xludf.DUMMYFUNCTION("""COMPUTED_VALUE"""),"20180823ALALM")</f>
        <v>20180823ALALM</v>
      </c>
      <c r="B934" s="5">
        <f ca="1">IFERROR(__xludf.DUMMYFUNCTION("""COMPUTED_VALUE"""),8)</f>
        <v>8</v>
      </c>
      <c r="C934" s="5">
        <f ca="1">IFERROR(__xludf.DUMMYFUNCTION("""COMPUTED_VALUE"""),23)</f>
        <v>23</v>
      </c>
      <c r="D934" s="5">
        <f ca="1">IFERROR(__xludf.DUMMYFUNCTION("""COMPUTED_VALUE"""),2018)</f>
        <v>2018</v>
      </c>
      <c r="E934" s="8">
        <f ca="1">IFERROR(__xludf.DUMMYFUNCTION("""COMPUTED_VALUE"""),43335)</f>
        <v>43335</v>
      </c>
      <c r="F934" s="5" t="str">
        <f ca="1">IFERROR(__xludf.DUMMYFUNCTION("""COMPUTED_VALUE"""),"Alabama State University Stadium (high school game)")</f>
        <v>Alabama State University Stadium (high school game)</v>
      </c>
      <c r="G934" s="5">
        <f ca="1">IFERROR(__xludf.DUMMYFUNCTION("""COMPUTED_VALUE"""),0)</f>
        <v>0</v>
      </c>
      <c r="H934" s="5">
        <f ca="1">IFERROR(__xludf.DUMMYFUNCTION("""COMPUTED_VALUE"""),0)</f>
        <v>0</v>
      </c>
      <c r="I934" s="5">
        <f ca="1">IFERROR(__xludf.DUMMYFUNCTION("""COMPUTED_VALUE"""),0)</f>
        <v>0</v>
      </c>
      <c r="J934" s="5">
        <f ca="1">IFERROR(__xludf.DUMMYFUNCTION("""COMPUTED_VALUE"""),0)</f>
        <v>0</v>
      </c>
      <c r="K934" s="9" t="str">
        <f ca="1">IFERROR(__xludf.DUMMYFUNCTION("""COMPUTED_VALUE"""),"https://www.montgomeryadvertiser.com/story/sports/high-school/football/2018/08/23/shooting-outside-asu-stadium-brings-halt-g-w-carver-jeff-davis-game/1081209002/")</f>
        <v>https://www.montgomeryadvertiser.com/story/sports/high-school/football/2018/08/23/shooting-outside-asu-stadium-brings-halt-g-w-carver-jeff-davis-game/1081209002/</v>
      </c>
      <c r="L934" s="5"/>
      <c r="M934" s="5"/>
      <c r="N934" s="5">
        <f ca="1">IFERROR(__xludf.DUMMYFUNCTION("""COMPUTED_VALUE"""),4)</f>
        <v>4</v>
      </c>
      <c r="O934" s="5" t="str">
        <f ca="1">IFERROR(__xludf.DUMMYFUNCTION("""COMPUTED_VALUE"""),"Summer")</f>
        <v>Summer</v>
      </c>
      <c r="P934" s="5" t="str">
        <f ca="1">IFERROR(__xludf.DUMMYFUNCTION("""COMPUTED_VALUE"""),"Montgomery")</f>
        <v>Montgomery</v>
      </c>
      <c r="Q934" s="5" t="str">
        <f ca="1">IFERROR(__xludf.DUMMYFUNCTION("""COMPUTED_VALUE"""),"AL")</f>
        <v>AL</v>
      </c>
      <c r="R934" s="5" t="str">
        <f ca="1">IFERROR(__xludf.DUMMYFUNCTION("""COMPUTED_VALUE"""),"High")</f>
        <v>High</v>
      </c>
      <c r="S934" s="5" t="str">
        <f ca="1">IFERROR(__xludf.DUMMYFUNCTION("""COMPUTED_VALUE"""),"Football Field/Track")</f>
        <v>Football Field/Track</v>
      </c>
      <c r="T934" s="5" t="str">
        <f ca="1">IFERROR(__xludf.DUMMYFUNCTION("""COMPUTED_VALUE"""),"Outside on School Property")</f>
        <v>Outside on School Property</v>
      </c>
      <c r="U934" s="5" t="str">
        <f ca="1">IFERROR(__xludf.DUMMYFUNCTION("""COMPUTED_VALUE"""),"No")</f>
        <v>No</v>
      </c>
      <c r="V934" s="5" t="str">
        <f ca="1">IFERROR(__xludf.DUMMYFUNCTION("""COMPUTED_VALUE"""),"Sport Event")</f>
        <v>Sport Event</v>
      </c>
      <c r="W934" s="10">
        <f ca="1">IFERROR(__xludf.DUMMYFUNCTION("""COMPUTED_VALUE"""),0.895833333333333)</f>
        <v>0.89583333333333304</v>
      </c>
      <c r="X934" s="5">
        <f ca="1">IFERROR(__xludf.DUMMYFUNCTION("""COMPUTED_VALUE"""),1)</f>
        <v>1</v>
      </c>
      <c r="Y934" s="5" t="str">
        <f ca="1">IFERROR(__xludf.DUMMYFUNCTION("""COMPUTED_VALUE"""),"Shots fired in walkway of stadium during high school football game")</f>
        <v>Shots fired in walkway of stadium during high school football game</v>
      </c>
      <c r="Z934" s="5" t="str">
        <f ca="1">IFERROR(__xludf.DUMMYFUNCTION("""COMPUTED_VALUE"""),"Shots fired in stadium walkway during high school football game. Teams ran off the field and the remainder of the game was canceled. Police were assigned to the stadium for the game. Unknown shooter fled the area. No injuries.")</f>
        <v>Shots fired in stadium walkway during high school football game. Teams ran off the field and the remainder of the game was canceled. Police were assigned to the stadium for the game. Unknown shooter fled the area. No injuries.</v>
      </c>
      <c r="AA934" s="5" t="str">
        <f ca="1">IFERROR(__xludf.DUMMYFUNCTION("""COMPUTED_VALUE"""),"Escalation of Dispute")</f>
        <v>Escalation of Dispute</v>
      </c>
      <c r="AB934" s="5"/>
      <c r="AC934" s="5"/>
      <c r="AD934" s="5" t="str">
        <f ca="1">IFERROR(__xludf.DUMMYFUNCTION("""COMPUTED_VALUE"""),"No")</f>
        <v>No</v>
      </c>
      <c r="AE934" s="5" t="str">
        <f ca="1">IFERROR(__xludf.DUMMYFUNCTION("""COMPUTED_VALUE"""),"No")</f>
        <v>No</v>
      </c>
      <c r="AF934" s="5" t="str">
        <f ca="1">IFERROR(__xludf.DUMMYFUNCTION("""COMPUTED_VALUE"""),"No")</f>
        <v>No</v>
      </c>
      <c r="AG934" s="5" t="str">
        <f ca="1">IFERROR(__xludf.DUMMYFUNCTION("""COMPUTED_VALUE"""),"No")</f>
        <v>No</v>
      </c>
      <c r="AH934" s="5" t="str">
        <f ca="1">IFERROR(__xludf.DUMMYFUNCTION("""COMPUTED_VALUE"""),"No")</f>
        <v>No</v>
      </c>
      <c r="AI934" s="5"/>
      <c r="AJ934" s="5" t="str">
        <f ca="1">IFERROR(__xludf.DUMMYFUNCTION("""COMPUTED_VALUE"""),"No")</f>
        <v>No</v>
      </c>
    </row>
    <row r="935" spans="1:36" ht="13">
      <c r="A935" s="5" t="str">
        <f ca="1">IFERROR(__xludf.DUMMYFUNCTION("""COMPUTED_VALUE"""),"20180817FLPAW")</f>
        <v>20180817FLPAW</v>
      </c>
      <c r="B935" s="5">
        <f ca="1">IFERROR(__xludf.DUMMYFUNCTION("""COMPUTED_VALUE"""),8)</f>
        <v>8</v>
      </c>
      <c r="C935" s="5">
        <f ca="1">IFERROR(__xludf.DUMMYFUNCTION("""COMPUTED_VALUE"""),17)</f>
        <v>17</v>
      </c>
      <c r="D935" s="5">
        <f ca="1">IFERROR(__xludf.DUMMYFUNCTION("""COMPUTED_VALUE"""),2018)</f>
        <v>2018</v>
      </c>
      <c r="E935" s="8">
        <f ca="1">IFERROR(__xludf.DUMMYFUNCTION("""COMPUTED_VALUE"""),43329)</f>
        <v>43329</v>
      </c>
      <c r="F935" s="5" t="str">
        <f ca="1">IFERROR(__xludf.DUMMYFUNCTION("""COMPUTED_VALUE"""),"Palm Beach Central High School")</f>
        <v>Palm Beach Central High School</v>
      </c>
      <c r="G935" s="5">
        <f ca="1">IFERROR(__xludf.DUMMYFUNCTION("""COMPUTED_VALUE"""),0)</f>
        <v>0</v>
      </c>
      <c r="H935" s="5">
        <f ca="1">IFERROR(__xludf.DUMMYFUNCTION("""COMPUTED_VALUE"""),2)</f>
        <v>2</v>
      </c>
      <c r="I935" s="5">
        <f ca="1">IFERROR(__xludf.DUMMYFUNCTION("""COMPUTED_VALUE"""),2)</f>
        <v>2</v>
      </c>
      <c r="J935" s="5">
        <f ca="1">IFERROR(__xludf.DUMMYFUNCTION("""COMPUTED_VALUE"""),0)</f>
        <v>0</v>
      </c>
      <c r="K935" s="5" t="str">
        <f ca="1">IFERROR(__xludf.DUMMYFUNCTION("""COMPUTED_VALUE"""),"https://www.cbsnews.com/news/palm-beach-central-high-school-shooting-at-football-game-tonight-2018-08-17/ https://cbs12.com/news/local/investigators-id-victims-of-shooting-at-high-school-football-game")</f>
        <v>https://www.cbsnews.com/news/palm-beach-central-high-school-shooting-at-football-game-tonight-2018-08-17/ https://cbs12.com/news/local/investigators-id-victims-of-shooting-at-high-school-football-game</v>
      </c>
      <c r="L935" s="5">
        <f ca="1">IFERROR(__xludf.DUMMYFUNCTION("""COMPUTED_VALUE"""),11)</f>
        <v>11</v>
      </c>
      <c r="M935" s="5" t="str">
        <f ca="1">IFERROR(__xludf.DUMMYFUNCTION("""COMPUTED_VALUE"""),"National")</f>
        <v>National</v>
      </c>
      <c r="N935" s="5">
        <f ca="1">IFERROR(__xludf.DUMMYFUNCTION("""COMPUTED_VALUE"""),3)</f>
        <v>3</v>
      </c>
      <c r="O935" s="5" t="str">
        <f ca="1">IFERROR(__xludf.DUMMYFUNCTION("""COMPUTED_VALUE"""),"Summer")</f>
        <v>Summer</v>
      </c>
      <c r="P935" s="5" t="str">
        <f ca="1">IFERROR(__xludf.DUMMYFUNCTION("""COMPUTED_VALUE"""),"Wellington")</f>
        <v>Wellington</v>
      </c>
      <c r="Q935" s="5" t="str">
        <f ca="1">IFERROR(__xludf.DUMMYFUNCTION("""COMPUTED_VALUE"""),"FL")</f>
        <v>FL</v>
      </c>
      <c r="R935" s="5" t="str">
        <f ca="1">IFERROR(__xludf.DUMMYFUNCTION("""COMPUTED_VALUE"""),"High")</f>
        <v>High</v>
      </c>
      <c r="S935" s="5" t="str">
        <f ca="1">IFERROR(__xludf.DUMMYFUNCTION("""COMPUTED_VALUE"""),"Football Field/Track")</f>
        <v>Football Field/Track</v>
      </c>
      <c r="T935" s="5" t="str">
        <f ca="1">IFERROR(__xludf.DUMMYFUNCTION("""COMPUTED_VALUE"""),"Outside on School Property")</f>
        <v>Outside on School Property</v>
      </c>
      <c r="U935" s="5" t="str">
        <f ca="1">IFERROR(__xludf.DUMMYFUNCTION("""COMPUTED_VALUE"""),"No")</f>
        <v>No</v>
      </c>
      <c r="V935" s="5" t="str">
        <f ca="1">IFERROR(__xludf.DUMMYFUNCTION("""COMPUTED_VALUE"""),"Sport Event")</f>
        <v>Sport Event</v>
      </c>
      <c r="W935" s="10">
        <f ca="1">IFERROR(__xludf.DUMMYFUNCTION("""COMPUTED_VALUE"""),0.90625)</f>
        <v>0.90625</v>
      </c>
      <c r="X935" s="5">
        <f ca="1">IFERROR(__xludf.DUMMYFUNCTION("""COMPUTED_VALUE"""),1)</f>
        <v>1</v>
      </c>
      <c r="Y935" s="5" t="str">
        <f ca="1">IFERROR(__xludf.DUMMYFUNCTION("""COMPUTED_VALUE"""),"4 shots fired during fight at football game under bleachers")</f>
        <v>4 shots fired during fight at football game under bleachers</v>
      </c>
      <c r="Z935" s="5" t="str">
        <f ca="1">IFERROR(__xludf.DUMMYFUNCTION("""COMPUTED_VALUE"""),"2 adult males shot during fight between a group of males under the bleachers during the football game. Students fled the stadium and game was stopped. Suspect and motive unknown.")</f>
        <v>2 adult males shot during fight between a group of males under the bleachers during the football game. Students fled the stadium and game was stopped. Suspect and motive unknown.</v>
      </c>
      <c r="AA935" s="5" t="str">
        <f ca="1">IFERROR(__xludf.DUMMYFUNCTION("""COMPUTED_VALUE"""),"Escalation of Dispute")</f>
        <v>Escalation of Dispute</v>
      </c>
      <c r="AB935" s="5" t="str">
        <f ca="1">IFERROR(__xludf.DUMMYFUNCTION("""COMPUTED_VALUE"""),"Victims Targeted")</f>
        <v>Victims Targeted</v>
      </c>
      <c r="AC935" s="5"/>
      <c r="AD935" s="5" t="str">
        <f ca="1">IFERROR(__xludf.DUMMYFUNCTION("""COMPUTED_VALUE"""),"No")</f>
        <v>No</v>
      </c>
      <c r="AE935" s="5" t="str">
        <f ca="1">IFERROR(__xludf.DUMMYFUNCTION("""COMPUTED_VALUE"""),"No")</f>
        <v>No</v>
      </c>
      <c r="AF935" s="5" t="str">
        <f ca="1">IFERROR(__xludf.DUMMYFUNCTION("""COMPUTED_VALUE"""),"No")</f>
        <v>No</v>
      </c>
      <c r="AG935" s="5" t="str">
        <f ca="1">IFERROR(__xludf.DUMMYFUNCTION("""COMPUTED_VALUE"""),"No")</f>
        <v>No</v>
      </c>
      <c r="AH935" s="5" t="str">
        <f ca="1">IFERROR(__xludf.DUMMYFUNCTION("""COMPUTED_VALUE"""),"No")</f>
        <v>No</v>
      </c>
      <c r="AI935" s="5" t="str">
        <f ca="1">IFERROR(__xludf.DUMMYFUNCTION("""COMPUTED_VALUE"""),"No")</f>
        <v>No</v>
      </c>
      <c r="AJ935" s="5" t="str">
        <f ca="1">IFERROR(__xludf.DUMMYFUNCTION("""COMPUTED_VALUE"""),"No")</f>
        <v>No</v>
      </c>
    </row>
    <row r="936" spans="1:36" ht="13">
      <c r="A936" s="5" t="str">
        <f ca="1">IFERROR(__xludf.DUMMYFUNCTION("""COMPUTED_VALUE"""),"20180811TNANN")</f>
        <v>20180811TNANN</v>
      </c>
      <c r="B936" s="5">
        <f ca="1">IFERROR(__xludf.DUMMYFUNCTION("""COMPUTED_VALUE"""),8)</f>
        <v>8</v>
      </c>
      <c r="C936" s="5">
        <f ca="1">IFERROR(__xludf.DUMMYFUNCTION("""COMPUTED_VALUE"""),11)</f>
        <v>11</v>
      </c>
      <c r="D936" s="5">
        <f ca="1">IFERROR(__xludf.DUMMYFUNCTION("""COMPUTED_VALUE"""),2018)</f>
        <v>2018</v>
      </c>
      <c r="E936" s="8">
        <f ca="1">IFERROR(__xludf.DUMMYFUNCTION("""COMPUTED_VALUE"""),43323)</f>
        <v>43323</v>
      </c>
      <c r="F936" s="5" t="str">
        <f ca="1">IFERROR(__xludf.DUMMYFUNCTION("""COMPUTED_VALUE"""),"Antioch High School")</f>
        <v>Antioch High School</v>
      </c>
      <c r="G936" s="5">
        <f ca="1">IFERROR(__xludf.DUMMYFUNCTION("""COMPUTED_VALUE"""),0)</f>
        <v>0</v>
      </c>
      <c r="H936" s="5">
        <f ca="1">IFERROR(__xludf.DUMMYFUNCTION("""COMPUTED_VALUE"""),1)</f>
        <v>1</v>
      </c>
      <c r="I936" s="5">
        <f ca="1">IFERROR(__xludf.DUMMYFUNCTION("""COMPUTED_VALUE"""),1)</f>
        <v>1</v>
      </c>
      <c r="J936" s="5">
        <f ca="1">IFERROR(__xludf.DUMMYFUNCTION("""COMPUTED_VALUE"""),0)</f>
        <v>0</v>
      </c>
      <c r="K936" s="9" t="str">
        <f ca="1">IFERROR(__xludf.DUMMYFUNCTION("""COMPUTED_VALUE"""),"https://www.wsmv.com/news/police-identify-man-accused-of-shooting-youth-football-coach-on/article_f8653b71-1014-5896-bc31-37c289db30f9.html")</f>
        <v>https://www.wsmv.com/news/police-identify-man-accused-of-shooting-youth-football-coach-on/article_f8653b71-1014-5896-bc31-37c289db30f9.html</v>
      </c>
      <c r="L936" s="5"/>
      <c r="M936" s="5"/>
      <c r="N936" s="5">
        <f ca="1">IFERROR(__xludf.DUMMYFUNCTION("""COMPUTED_VALUE"""),4)</f>
        <v>4</v>
      </c>
      <c r="O936" s="5" t="str">
        <f ca="1">IFERROR(__xludf.DUMMYFUNCTION("""COMPUTED_VALUE"""),"Summer")</f>
        <v>Summer</v>
      </c>
      <c r="P936" s="5" t="str">
        <f ca="1">IFERROR(__xludf.DUMMYFUNCTION("""COMPUTED_VALUE"""),"Nashville")</f>
        <v>Nashville</v>
      </c>
      <c r="Q936" s="5" t="str">
        <f ca="1">IFERROR(__xludf.DUMMYFUNCTION("""COMPUTED_VALUE"""),"TN")</f>
        <v>TN</v>
      </c>
      <c r="R936" s="5" t="str">
        <f ca="1">IFERROR(__xludf.DUMMYFUNCTION("""COMPUTED_VALUE"""),"High")</f>
        <v>High</v>
      </c>
      <c r="S936" s="5" t="str">
        <f ca="1">IFERROR(__xludf.DUMMYFUNCTION("""COMPUTED_VALUE"""),"Football Field/Track")</f>
        <v>Football Field/Track</v>
      </c>
      <c r="T936" s="5" t="str">
        <f ca="1">IFERROR(__xludf.DUMMYFUNCTION("""COMPUTED_VALUE"""),"Outside on School Property")</f>
        <v>Outside on School Property</v>
      </c>
      <c r="U936" s="5" t="str">
        <f ca="1">IFERROR(__xludf.DUMMYFUNCTION("""COMPUTED_VALUE"""),"No")</f>
        <v>No</v>
      </c>
      <c r="V936" s="5" t="str">
        <f ca="1">IFERROR(__xludf.DUMMYFUNCTION("""COMPUTED_VALUE"""),"Sport Event")</f>
        <v>Sport Event</v>
      </c>
      <c r="W936" s="10">
        <f ca="1">IFERROR(__xludf.DUMMYFUNCTION("""COMPUTED_VALUE"""),0.75)</f>
        <v>0.75</v>
      </c>
      <c r="X936" s="5">
        <f ca="1">IFERROR(__xludf.DUMMYFUNCTION("""COMPUTED_VALUE"""),1)</f>
        <v>1</v>
      </c>
      <c r="Y936" s="5" t="str">
        <f ca="1">IFERROR(__xludf.DUMMYFUNCTION("""COMPUTED_VALUE"""),"Parent shot football coach during fight with other parent")</f>
        <v>Parent shot football coach during fight with other parent</v>
      </c>
      <c r="Z936" s="5" t="str">
        <f ca="1">IFERROR(__xludf.DUMMYFUNCTION("""COMPUTED_VALUE"""),"Two parents got involved in fight between two juveniles during youth football jamboree. During the fight, one parent pulled a pistol and fired multiple shots striking the football coach (not intended target). Shooter fled the scene.")</f>
        <v>Two parents got involved in fight between two juveniles during youth football jamboree. During the fight, one parent pulled a pistol and fired multiple shots striking the football coach (not intended target). Shooter fled the scene.</v>
      </c>
      <c r="AA936" s="5" t="str">
        <f ca="1">IFERROR(__xludf.DUMMYFUNCTION("""COMPUTED_VALUE"""),"Escalation of Dispute")</f>
        <v>Escalation of Dispute</v>
      </c>
      <c r="AB936" s="5" t="str">
        <f ca="1">IFERROR(__xludf.DUMMYFUNCTION("""COMPUTED_VALUE"""),"Both")</f>
        <v>Both</v>
      </c>
      <c r="AC936" s="5" t="str">
        <f ca="1">IFERROR(__xludf.DUMMYFUNCTION("""COMPUTED_VALUE"""),"No")</f>
        <v>No</v>
      </c>
      <c r="AD936" s="5" t="str">
        <f ca="1">IFERROR(__xludf.DUMMYFUNCTION("""COMPUTED_VALUE"""),"No")</f>
        <v>No</v>
      </c>
      <c r="AE936" s="5" t="str">
        <f ca="1">IFERROR(__xludf.DUMMYFUNCTION("""COMPUTED_VALUE"""),"No")</f>
        <v>No</v>
      </c>
      <c r="AF936" s="5" t="str">
        <f ca="1">IFERROR(__xludf.DUMMYFUNCTION("""COMPUTED_VALUE"""),"No")</f>
        <v>No</v>
      </c>
      <c r="AG936" s="5" t="str">
        <f ca="1">IFERROR(__xludf.DUMMYFUNCTION("""COMPUTED_VALUE"""),"No")</f>
        <v>No</v>
      </c>
      <c r="AH936" s="5" t="str">
        <f ca="1">IFERROR(__xludf.DUMMYFUNCTION("""COMPUTED_VALUE"""),"No")</f>
        <v>No</v>
      </c>
      <c r="AI936" s="5" t="str">
        <f ca="1">IFERROR(__xludf.DUMMYFUNCTION("""COMPUTED_VALUE"""),"No")</f>
        <v>No</v>
      </c>
      <c r="AJ936" s="5" t="str">
        <f ca="1">IFERROR(__xludf.DUMMYFUNCTION("""COMPUTED_VALUE"""),"No")</f>
        <v>No</v>
      </c>
    </row>
    <row r="937" spans="1:36" ht="13">
      <c r="A937" s="5" t="str">
        <f ca="1">IFERROR(__xludf.DUMMYFUNCTION("""COMPUTED_VALUE"""),"20180809NJLAM")</f>
        <v>20180809NJLAM</v>
      </c>
      <c r="B937" s="5">
        <f ca="1">IFERROR(__xludf.DUMMYFUNCTION("""COMPUTED_VALUE"""),8)</f>
        <v>8</v>
      </c>
      <c r="C937" s="5">
        <f ca="1">IFERROR(__xludf.DUMMYFUNCTION("""COMPUTED_VALUE"""),9)</f>
        <v>9</v>
      </c>
      <c r="D937" s="5">
        <f ca="1">IFERROR(__xludf.DUMMYFUNCTION("""COMPUTED_VALUE"""),2018)</f>
        <v>2018</v>
      </c>
      <c r="E937" s="8">
        <f ca="1">IFERROR(__xludf.DUMMYFUNCTION("""COMPUTED_VALUE"""),43321)</f>
        <v>43321</v>
      </c>
      <c r="F937" s="5" t="str">
        <f ca="1">IFERROR(__xludf.DUMMYFUNCTION("""COMPUTED_VALUE"""),"Lakeside Middle School")</f>
        <v>Lakeside Middle School</v>
      </c>
      <c r="G937" s="5">
        <f ca="1">IFERROR(__xludf.DUMMYFUNCTION("""COMPUTED_VALUE"""),1)</f>
        <v>1</v>
      </c>
      <c r="H937" s="5">
        <f ca="1">IFERROR(__xludf.DUMMYFUNCTION("""COMPUTED_VALUE"""),0)</f>
        <v>0</v>
      </c>
      <c r="I937" s="5">
        <f ca="1">IFERROR(__xludf.DUMMYFUNCTION("""COMPUTED_VALUE"""),1)</f>
        <v>1</v>
      </c>
      <c r="J937" s="5">
        <f ca="1">IFERROR(__xludf.DUMMYFUNCTION("""COMPUTED_VALUE"""),0)</f>
        <v>0</v>
      </c>
      <c r="K937" s="9" t="str">
        <f ca="1">IFERROR(__xludf.DUMMYFUNCTION("""COMPUTED_VALUE"""),"https://www.thedailyjournal.com/story/news/crime/2018/08/09/man-critically-wounded-shooting-school-parking-lot-millville/953855002/")</f>
        <v>https://www.thedailyjournal.com/story/news/crime/2018/08/09/man-critically-wounded-shooting-school-parking-lot-millville/953855002/</v>
      </c>
      <c r="L937" s="5"/>
      <c r="M937" s="5"/>
      <c r="N937" s="5">
        <f ca="1">IFERROR(__xludf.DUMMYFUNCTION("""COMPUTED_VALUE"""),4)</f>
        <v>4</v>
      </c>
      <c r="O937" s="5" t="str">
        <f ca="1">IFERROR(__xludf.DUMMYFUNCTION("""COMPUTED_VALUE"""),"Summer")</f>
        <v>Summer</v>
      </c>
      <c r="P937" s="5" t="str">
        <f ca="1">IFERROR(__xludf.DUMMYFUNCTION("""COMPUTED_VALUE"""),"Millville")</f>
        <v>Millville</v>
      </c>
      <c r="Q937" s="5" t="str">
        <f ca="1">IFERROR(__xludf.DUMMYFUNCTION("""COMPUTED_VALUE"""),"NJ")</f>
        <v>NJ</v>
      </c>
      <c r="R937" s="5" t="str">
        <f ca="1">IFERROR(__xludf.DUMMYFUNCTION("""COMPUTED_VALUE"""),"Middle")</f>
        <v>Middle</v>
      </c>
      <c r="S937" s="5" t="str">
        <f ca="1">IFERROR(__xludf.DUMMYFUNCTION("""COMPUTED_VALUE"""),"Parking Lot")</f>
        <v>Parking Lot</v>
      </c>
      <c r="T937" s="5" t="str">
        <f ca="1">IFERROR(__xludf.DUMMYFUNCTION("""COMPUTED_VALUE"""),"Outside on School Property")</f>
        <v>Outside on School Property</v>
      </c>
      <c r="U937" s="5" t="str">
        <f ca="1">IFERROR(__xludf.DUMMYFUNCTION("""COMPUTED_VALUE"""),"No")</f>
        <v>No</v>
      </c>
      <c r="V937" s="5" t="str">
        <f ca="1">IFERROR(__xludf.DUMMYFUNCTION("""COMPUTED_VALUE"""),"Sport Event")</f>
        <v>Sport Event</v>
      </c>
      <c r="W937" s="10">
        <f ca="1">IFERROR(__xludf.DUMMYFUNCTION("""COMPUTED_VALUE"""),0.84375)</f>
        <v>0.84375</v>
      </c>
      <c r="X937" s="5">
        <f ca="1">IFERROR(__xludf.DUMMYFUNCTION("""COMPUTED_VALUE"""),1)</f>
        <v>1</v>
      </c>
      <c r="Y937" s="5" t="str">
        <f ca="1">IFERROR(__xludf.DUMMYFUNCTION("""COMPUTED_VALUE"""),"Masked gunman shot football coach in school parking lot")</f>
        <v>Masked gunman shot football coach in school parking lot</v>
      </c>
      <c r="Z937" s="5" t="str">
        <f ca="1">IFERROR(__xludf.DUMMYFUNCTION("""COMPUTED_VALUE"""),"Unknown masked gunman shot and killed midget football coach in the school parking lot during practice. School was not in session at the time of the shooting. Shooter fled in a vehicle. Shooter later fired at police officer from the vehicle.")</f>
        <v>Unknown masked gunman shot and killed midget football coach in the school parking lot during practice. School was not in session at the time of the shooting. Shooter fled in a vehicle. Shooter later fired at police officer from the vehicle.</v>
      </c>
      <c r="AA937" s="5" t="str">
        <f ca="1">IFERROR(__xludf.DUMMYFUNCTION("""COMPUTED_VALUE"""),"Unknown")</f>
        <v>Unknown</v>
      </c>
      <c r="AB937" s="5" t="str">
        <f ca="1">IFERROR(__xludf.DUMMYFUNCTION("""COMPUTED_VALUE"""),"Victims Targeted")</f>
        <v>Victims Targeted</v>
      </c>
      <c r="AC937" s="5"/>
      <c r="AD937" s="5" t="str">
        <f ca="1">IFERROR(__xludf.DUMMYFUNCTION("""COMPUTED_VALUE"""),"No")</f>
        <v>No</v>
      </c>
      <c r="AE937" s="5" t="str">
        <f ca="1">IFERROR(__xludf.DUMMYFUNCTION("""COMPUTED_VALUE"""),"No")</f>
        <v>No</v>
      </c>
      <c r="AF937" s="5" t="str">
        <f ca="1">IFERROR(__xludf.DUMMYFUNCTION("""COMPUTED_VALUE"""),"No")</f>
        <v>No</v>
      </c>
      <c r="AG937" s="5" t="str">
        <f ca="1">IFERROR(__xludf.DUMMYFUNCTION("""COMPUTED_VALUE"""),"No")</f>
        <v>No</v>
      </c>
      <c r="AH937" s="5" t="str">
        <f ca="1">IFERROR(__xludf.DUMMYFUNCTION("""COMPUTED_VALUE"""),"No")</f>
        <v>No</v>
      </c>
      <c r="AI937" s="5"/>
      <c r="AJ937" s="5" t="str">
        <f ca="1">IFERROR(__xludf.DUMMYFUNCTION("""COMPUTED_VALUE"""),"No")</f>
        <v>No</v>
      </c>
    </row>
    <row r="938" spans="1:36" ht="13">
      <c r="A938" s="5" t="str">
        <f ca="1">IFERROR(__xludf.DUMMYFUNCTION("""COMPUTED_VALUE"""),"20180804MDEDE")</f>
        <v>20180804MDEDE</v>
      </c>
      <c r="B938" s="5">
        <f ca="1">IFERROR(__xludf.DUMMYFUNCTION("""COMPUTED_VALUE"""),8)</f>
        <v>8</v>
      </c>
      <c r="C938" s="5">
        <f ca="1">IFERROR(__xludf.DUMMYFUNCTION("""COMPUTED_VALUE"""),4)</f>
        <v>4</v>
      </c>
      <c r="D938" s="5">
        <f ca="1">IFERROR(__xludf.DUMMYFUNCTION("""COMPUTED_VALUE"""),2018)</f>
        <v>2018</v>
      </c>
      <c r="E938" s="8">
        <f ca="1">IFERROR(__xludf.DUMMYFUNCTION("""COMPUTED_VALUE"""),43316)</f>
        <v>43316</v>
      </c>
      <c r="F938" s="5" t="str">
        <f ca="1">IFERROR(__xludf.DUMMYFUNCTION("""COMPUTED_VALUE"""),"Edgewood High School")</f>
        <v>Edgewood High School</v>
      </c>
      <c r="G938" s="5">
        <f ca="1">IFERROR(__xludf.DUMMYFUNCTION("""COMPUTED_VALUE"""),1)</f>
        <v>1</v>
      </c>
      <c r="H938" s="5">
        <f ca="1">IFERROR(__xludf.DUMMYFUNCTION("""COMPUTED_VALUE"""),0)</f>
        <v>0</v>
      </c>
      <c r="I938" s="5">
        <f ca="1">IFERROR(__xludf.DUMMYFUNCTION("""COMPUTED_VALUE"""),1)</f>
        <v>1</v>
      </c>
      <c r="J938" s="5">
        <f ca="1">IFERROR(__xludf.DUMMYFUNCTION("""COMPUTED_VALUE"""),0)</f>
        <v>0</v>
      </c>
      <c r="K938" s="9" t="str">
        <f ca="1">IFERROR(__xludf.DUMMYFUNCTION("""COMPUTED_VALUE"""),"https://foxbaltimore.com/news/local/teen-fatally-shot-in-edgewood-high-school-parking-lot")</f>
        <v>https://foxbaltimore.com/news/local/teen-fatally-shot-in-edgewood-high-school-parking-lot</v>
      </c>
      <c r="L938" s="5"/>
      <c r="M938" s="5"/>
      <c r="N938" s="5">
        <f ca="1">IFERROR(__xludf.DUMMYFUNCTION("""COMPUTED_VALUE"""),2)</f>
        <v>2</v>
      </c>
      <c r="O938" s="5" t="str">
        <f ca="1">IFERROR(__xludf.DUMMYFUNCTION("""COMPUTED_VALUE"""),"Summer")</f>
        <v>Summer</v>
      </c>
      <c r="P938" s="5" t="str">
        <f ca="1">IFERROR(__xludf.DUMMYFUNCTION("""COMPUTED_VALUE"""),"Edgewood")</f>
        <v>Edgewood</v>
      </c>
      <c r="Q938" s="5" t="str">
        <f ca="1">IFERROR(__xludf.DUMMYFUNCTION("""COMPUTED_VALUE"""),"MD")</f>
        <v>MD</v>
      </c>
      <c r="R938" s="5" t="str">
        <f ca="1">IFERROR(__xludf.DUMMYFUNCTION("""COMPUTED_VALUE"""),"High")</f>
        <v>High</v>
      </c>
      <c r="S938" s="5" t="str">
        <f ca="1">IFERROR(__xludf.DUMMYFUNCTION("""COMPUTED_VALUE"""),"Parking Lot")</f>
        <v>Parking Lot</v>
      </c>
      <c r="T938" s="5" t="str">
        <f ca="1">IFERROR(__xludf.DUMMYFUNCTION("""COMPUTED_VALUE"""),"Outside on School Property")</f>
        <v>Outside on School Property</v>
      </c>
      <c r="U938" s="5" t="str">
        <f ca="1">IFERROR(__xludf.DUMMYFUNCTION("""COMPUTED_VALUE"""),"No")</f>
        <v>No</v>
      </c>
      <c r="V938" s="5" t="str">
        <f ca="1">IFERROR(__xludf.DUMMYFUNCTION("""COMPUTED_VALUE"""),"Not a School Day")</f>
        <v>Not a School Day</v>
      </c>
      <c r="W938" s="10">
        <f ca="1">IFERROR(__xludf.DUMMYFUNCTION("""COMPUTED_VALUE"""),0.888194444444444)</f>
        <v>0.88819444444444395</v>
      </c>
      <c r="X938" s="5">
        <f ca="1">IFERROR(__xludf.DUMMYFUNCTION("""COMPUTED_VALUE"""),1)</f>
        <v>1</v>
      </c>
      <c r="Y938" s="5" t="str">
        <f ca="1">IFERROR(__xludf.DUMMYFUNCTION("""COMPUTED_VALUE"""),"Man found dead in vehicle in school parking lot (GSW)")</f>
        <v>Man found dead in vehicle in school parking lot (GSW)</v>
      </c>
      <c r="Z938" s="5" t="str">
        <f ca="1">IFERROR(__xludf.DUMMYFUNCTION("""COMPUTED_VALUE"""),"19YOM was found shot in a car in the school parking lot.")</f>
        <v>19YOM was found shot in a car in the school parking lot.</v>
      </c>
      <c r="AA938" s="5" t="str">
        <f ca="1">IFERROR(__xludf.DUMMYFUNCTION("""COMPUTED_VALUE"""),"Unknown")</f>
        <v>Unknown</v>
      </c>
      <c r="AB938" s="5"/>
      <c r="AC938" s="5"/>
      <c r="AD938" s="5" t="str">
        <f ca="1">IFERROR(__xludf.DUMMYFUNCTION("""COMPUTED_VALUE"""),"No")</f>
        <v>No</v>
      </c>
      <c r="AE938" s="5" t="str">
        <f ca="1">IFERROR(__xludf.DUMMYFUNCTION("""COMPUTED_VALUE"""),"No")</f>
        <v>No</v>
      </c>
      <c r="AF938" s="5" t="str">
        <f ca="1">IFERROR(__xludf.DUMMYFUNCTION("""COMPUTED_VALUE"""),"No")</f>
        <v>No</v>
      </c>
      <c r="AG938" s="5"/>
      <c r="AH938" s="5"/>
      <c r="AI938" s="5"/>
      <c r="AJ938" s="5" t="str">
        <f ca="1">IFERROR(__xludf.DUMMYFUNCTION("""COMPUTED_VALUE"""),"No")</f>
        <v>No</v>
      </c>
    </row>
    <row r="939" spans="1:36" ht="13">
      <c r="A939" s="5" t="str">
        <f ca="1">IFERROR(__xludf.DUMMYFUNCTION("""COMPUTED_VALUE"""),"20180803IALIO")</f>
        <v>20180803IALIO</v>
      </c>
      <c r="B939" s="5">
        <f ca="1">IFERROR(__xludf.DUMMYFUNCTION("""COMPUTED_VALUE"""),8)</f>
        <v>8</v>
      </c>
      <c r="C939" s="5">
        <f ca="1">IFERROR(__xludf.DUMMYFUNCTION("""COMPUTED_VALUE"""),3)</f>
        <v>3</v>
      </c>
      <c r="D939" s="5">
        <f ca="1">IFERROR(__xludf.DUMMYFUNCTION("""COMPUTED_VALUE"""),2018)</f>
        <v>2018</v>
      </c>
      <c r="E939" s="8">
        <f ca="1">IFERROR(__xludf.DUMMYFUNCTION("""COMPUTED_VALUE"""),43315)</f>
        <v>43315</v>
      </c>
      <c r="F939" s="5" t="str">
        <f ca="1">IFERROR(__xludf.DUMMYFUNCTION("""COMPUTED_VALUE"""),"Liberty Elementary School")</f>
        <v>Liberty Elementary School</v>
      </c>
      <c r="G939" s="5">
        <f ca="1">IFERROR(__xludf.DUMMYFUNCTION("""COMPUTED_VALUE"""),0)</f>
        <v>0</v>
      </c>
      <c r="H939" s="5">
        <f ca="1">IFERROR(__xludf.DUMMYFUNCTION("""COMPUTED_VALUE"""),0)</f>
        <v>0</v>
      </c>
      <c r="I939" s="5">
        <f ca="1">IFERROR(__xludf.DUMMYFUNCTION("""COMPUTED_VALUE"""),0)</f>
        <v>0</v>
      </c>
      <c r="J939" s="5">
        <f ca="1">IFERROR(__xludf.DUMMYFUNCTION("""COMPUTED_VALUE"""),1)</f>
        <v>1</v>
      </c>
      <c r="K939" s="5" t="str">
        <f ca="1">IFERROR(__xludf.DUMMYFUNCTION("""COMPUTED_VALUE"""),"https://www.desmoinesregister.com/story/news/crime-and-courts/2018/08/06/shootout-involving-iowa-police-leads-attempted-murder-charges-2/916505002/ https://www.ottumwacourier.com/news/police-recount-controlled-chaos-at-shootout/article_f924728e-8d9d-11eb-"&amp;"ba7c-6f46921c1677.html")</f>
        <v>https://www.desmoinesregister.com/story/news/crime-and-courts/2018/08/06/shootout-involving-iowa-police-leads-attempted-murder-charges-2/916505002/ https://www.ottumwacourier.com/news/police-recount-controlled-chaos-at-shootout/article_f924728e-8d9d-11eb-ba7c-6f46921c1677.html</v>
      </c>
      <c r="L939" s="5">
        <f ca="1">IFERROR(__xludf.DUMMYFUNCTION("""COMPUTED_VALUE"""),2)</f>
        <v>2</v>
      </c>
      <c r="M939" s="5" t="str">
        <f ca="1">IFERROR(__xludf.DUMMYFUNCTION("""COMPUTED_VALUE"""),"Local")</f>
        <v>Local</v>
      </c>
      <c r="N939" s="5">
        <f ca="1">IFERROR(__xludf.DUMMYFUNCTION("""COMPUTED_VALUE"""),3)</f>
        <v>3</v>
      </c>
      <c r="O939" s="5" t="str">
        <f ca="1">IFERROR(__xludf.DUMMYFUNCTION("""COMPUTED_VALUE"""),"Summer")</f>
        <v>Summer</v>
      </c>
      <c r="P939" s="5" t="str">
        <f ca="1">IFERROR(__xludf.DUMMYFUNCTION("""COMPUTED_VALUE"""),"Ottumwa")</f>
        <v>Ottumwa</v>
      </c>
      <c r="Q939" s="5" t="str">
        <f ca="1">IFERROR(__xludf.DUMMYFUNCTION("""COMPUTED_VALUE"""),"IA")</f>
        <v>IA</v>
      </c>
      <c r="R939" s="5" t="str">
        <f ca="1">IFERROR(__xludf.DUMMYFUNCTION("""COMPUTED_VALUE"""),"Elementary")</f>
        <v>Elementary</v>
      </c>
      <c r="S939" s="5" t="str">
        <f ca="1">IFERROR(__xludf.DUMMYFUNCTION("""COMPUTED_VALUE"""),"Parking Lot")</f>
        <v>Parking Lot</v>
      </c>
      <c r="T939" s="5" t="str">
        <f ca="1">IFERROR(__xludf.DUMMYFUNCTION("""COMPUTED_VALUE"""),"Off School Property")</f>
        <v>Off School Property</v>
      </c>
      <c r="U939" s="5" t="str">
        <f ca="1">IFERROR(__xludf.DUMMYFUNCTION("""COMPUTED_VALUE"""),"No")</f>
        <v>No</v>
      </c>
      <c r="V939" s="5" t="str">
        <f ca="1">IFERROR(__xludf.DUMMYFUNCTION("""COMPUTED_VALUE"""),"Afternoon Classes")</f>
        <v>Afternoon Classes</v>
      </c>
      <c r="W939" s="10">
        <f ca="1">IFERROR(__xludf.DUMMYFUNCTION("""COMPUTED_VALUE"""),0.583333333333333)</f>
        <v>0.58333333333333304</v>
      </c>
      <c r="X939" s="5">
        <f ca="1">IFERROR(__xludf.DUMMYFUNCTION("""COMPUTED_VALUE"""),15)</f>
        <v>15</v>
      </c>
      <c r="Y939" s="5" t="str">
        <f ca="1">IFERROR(__xludf.DUMMYFUNCTION("""COMPUTED_VALUE"""),"3 men involved with robbery fired shot at police in the school parking lot while class was in session")</f>
        <v>3 men involved with robbery fired shot at police in the school parking lot while class was in session</v>
      </c>
      <c r="Z939" s="5" t="str">
        <f ca="1">IFERROR(__xludf.DUMMYFUNCTION("""COMPUTED_VALUE"""),"Three men were involved in an armed robbery that resulted in a man being shot and seriously injured. The police pursuit end in the parking lot of an elementary school when one of the men fired a rifle breaking the windows of a police cruiser. Police retur"&amp;"ned fire. The shooting occurred 100 feet from the occupied school building. Teachers heard the shots and went on lockdown. Suspects fled on foot into a field behind the school leading to a 3.5 hour manhunt before they were apprehended. Each were charged w"&amp;"ith 10 counts of attempted murder and other charges.")</f>
        <v>Three men were involved in an armed robbery that resulted in a man being shot and seriously injured. The police pursuit end in the parking lot of an elementary school when one of the men fired a rifle breaking the windows of a police cruiser. Police returned fire. The shooting occurred 100 feet from the occupied school building. Teachers heard the shots and went on lockdown. Suspects fled on foot into a field behind the school leading to a 3.5 hour manhunt before they were apprehended. Each were charged with 10 counts of attempted murder and other charges.</v>
      </c>
      <c r="AA939" s="5" t="str">
        <f ca="1">IFERROR(__xludf.DUMMYFUNCTION("""COMPUTED_VALUE"""),"Illegal Activity")</f>
        <v>Illegal Activity</v>
      </c>
      <c r="AB939" s="5" t="str">
        <f ca="1">IFERROR(__xludf.DUMMYFUNCTION("""COMPUTED_VALUE"""),"Random Shooting")</f>
        <v>Random Shooting</v>
      </c>
      <c r="AC939" s="5" t="str">
        <f ca="1">IFERROR(__xludf.DUMMYFUNCTION("""COMPUTED_VALUE"""),"Yes")</f>
        <v>Yes</v>
      </c>
      <c r="AD939" s="5" t="str">
        <f ca="1">IFERROR(__xludf.DUMMYFUNCTION("""COMPUTED_VALUE"""),"No")</f>
        <v>No</v>
      </c>
      <c r="AE939" s="5" t="str">
        <f ca="1">IFERROR(__xludf.DUMMYFUNCTION("""COMPUTED_VALUE"""),"No")</f>
        <v>No</v>
      </c>
      <c r="AF939" s="5" t="str">
        <f ca="1">IFERROR(__xludf.DUMMYFUNCTION("""COMPUTED_VALUE"""),"No")</f>
        <v>No</v>
      </c>
      <c r="AG939" s="5" t="str">
        <f ca="1">IFERROR(__xludf.DUMMYFUNCTION("""COMPUTED_VALUE"""),"No")</f>
        <v>No</v>
      </c>
      <c r="AH939" s="5" t="str">
        <f ca="1">IFERROR(__xludf.DUMMYFUNCTION("""COMPUTED_VALUE"""),"No")</f>
        <v>No</v>
      </c>
      <c r="AI939" s="5" t="str">
        <f ca="1">IFERROR(__xludf.DUMMYFUNCTION("""COMPUTED_VALUE"""),"No")</f>
        <v>No</v>
      </c>
      <c r="AJ939" s="5" t="str">
        <f ca="1">IFERROR(__xludf.DUMMYFUNCTION("""COMPUTED_VALUE"""),"No")</f>
        <v>No</v>
      </c>
    </row>
    <row r="940" spans="1:36" ht="13">
      <c r="A940" s="5" t="str">
        <f ca="1">IFERROR(__xludf.DUMMYFUNCTION("""COMPUTED_VALUE"""),"20180719WAWEY")</f>
        <v>20180719WAWEY</v>
      </c>
      <c r="B940" s="5">
        <f ca="1">IFERROR(__xludf.DUMMYFUNCTION("""COMPUTED_VALUE"""),7)</f>
        <v>7</v>
      </c>
      <c r="C940" s="5">
        <f ca="1">IFERROR(__xludf.DUMMYFUNCTION("""COMPUTED_VALUE"""),19)</f>
        <v>19</v>
      </c>
      <c r="D940" s="5">
        <f ca="1">IFERROR(__xludf.DUMMYFUNCTION("""COMPUTED_VALUE"""),2018)</f>
        <v>2018</v>
      </c>
      <c r="E940" s="8">
        <f ca="1">IFERROR(__xludf.DUMMYFUNCTION("""COMPUTED_VALUE"""),43300)</f>
        <v>43300</v>
      </c>
      <c r="F940" s="5" t="str">
        <f ca="1">IFERROR(__xludf.DUMMYFUNCTION("""COMPUTED_VALUE"""),"West Valley Middle School")</f>
        <v>West Valley Middle School</v>
      </c>
      <c r="G940" s="5">
        <f ca="1">IFERROR(__xludf.DUMMYFUNCTION("""COMPUTED_VALUE"""),1)</f>
        <v>1</v>
      </c>
      <c r="H940" s="5">
        <f ca="1">IFERROR(__xludf.DUMMYFUNCTION("""COMPUTED_VALUE"""),0)</f>
        <v>0</v>
      </c>
      <c r="I940" s="5">
        <f ca="1">IFERROR(__xludf.DUMMYFUNCTION("""COMPUTED_VALUE"""),1)</f>
        <v>1</v>
      </c>
      <c r="J940" s="5">
        <f ca="1">IFERROR(__xludf.DUMMYFUNCTION("""COMPUTED_VALUE"""),0)</f>
        <v>0</v>
      </c>
      <c r="K940" s="9" t="str">
        <f ca="1">IFERROR(__xludf.DUMMYFUNCTION("""COMPUTED_VALUE"""),"https://www.yakimaherald.com/news/crime_and_courts/shooting-victim-found-near-west-valley-school-identified/article_486a9ff4-8c56-11e8-886e-3bb30443843b.html")</f>
        <v>https://www.yakimaherald.com/news/crime_and_courts/shooting-victim-found-near-west-valley-school-identified/article_486a9ff4-8c56-11e8-886e-3bb30443843b.html</v>
      </c>
      <c r="L940" s="5"/>
      <c r="M940" s="5"/>
      <c r="N940" s="5">
        <f ca="1">IFERROR(__xludf.DUMMYFUNCTION("""COMPUTED_VALUE"""),2)</f>
        <v>2</v>
      </c>
      <c r="O940" s="5" t="str">
        <f ca="1">IFERROR(__xludf.DUMMYFUNCTION("""COMPUTED_VALUE"""),"Summer")</f>
        <v>Summer</v>
      </c>
      <c r="P940" s="5" t="str">
        <f ca="1">IFERROR(__xludf.DUMMYFUNCTION("""COMPUTED_VALUE"""),"Yakima")</f>
        <v>Yakima</v>
      </c>
      <c r="Q940" s="5" t="str">
        <f ca="1">IFERROR(__xludf.DUMMYFUNCTION("""COMPUTED_VALUE"""),"WA")</f>
        <v>WA</v>
      </c>
      <c r="R940" s="5" t="str">
        <f ca="1">IFERROR(__xludf.DUMMYFUNCTION("""COMPUTED_VALUE"""),"Middle")</f>
        <v>Middle</v>
      </c>
      <c r="S940" s="5" t="str">
        <f ca="1">IFERROR(__xludf.DUMMYFUNCTION("""COMPUTED_VALUE"""),"Beside Building")</f>
        <v>Beside Building</v>
      </c>
      <c r="T940" s="5" t="str">
        <f ca="1">IFERROR(__xludf.DUMMYFUNCTION("""COMPUTED_VALUE"""),"Outside on School Property")</f>
        <v>Outside on School Property</v>
      </c>
      <c r="U940" s="5" t="str">
        <f ca="1">IFERROR(__xludf.DUMMYFUNCTION("""COMPUTED_VALUE"""),"No")</f>
        <v>No</v>
      </c>
      <c r="V940" s="5" t="str">
        <f ca="1">IFERROR(__xludf.DUMMYFUNCTION("""COMPUTED_VALUE"""),"Evening")</f>
        <v>Evening</v>
      </c>
      <c r="W940" s="10">
        <f ca="1">IFERROR(__xludf.DUMMYFUNCTION("""COMPUTED_VALUE"""),0.71875)</f>
        <v>0.71875</v>
      </c>
      <c r="X940" s="5">
        <f ca="1">IFERROR(__xludf.DUMMYFUNCTION("""COMPUTED_VALUE"""),1)</f>
        <v>1</v>
      </c>
      <c r="Y940" s="5" t="str">
        <f ca="1">IFERROR(__xludf.DUMMYFUNCTION("""COMPUTED_VALUE"""),"Man found dead from GSW in vehicle outside of school")</f>
        <v>Man found dead from GSW in vehicle outside of school</v>
      </c>
      <c r="Z940" s="5" t="str">
        <f ca="1">IFERROR(__xludf.DUMMYFUNCTION("""COMPUTED_VALUE"""),"18YOM found dead from a gunshot wound in a crashed vehicle outside of the school.")</f>
        <v>18YOM found dead from a gunshot wound in a crashed vehicle outside of the school.</v>
      </c>
      <c r="AA940" s="5" t="str">
        <f ca="1">IFERROR(__xludf.DUMMYFUNCTION("""COMPUTED_VALUE"""),"Unknown")</f>
        <v>Unknown</v>
      </c>
      <c r="AB940" s="5"/>
      <c r="AC940" s="5"/>
      <c r="AD940" s="5" t="str">
        <f ca="1">IFERROR(__xludf.DUMMYFUNCTION("""COMPUTED_VALUE"""),"No")</f>
        <v>No</v>
      </c>
      <c r="AE940" s="5" t="str">
        <f ca="1">IFERROR(__xludf.DUMMYFUNCTION("""COMPUTED_VALUE"""),"No")</f>
        <v>No</v>
      </c>
      <c r="AF940" s="5" t="str">
        <f ca="1">IFERROR(__xludf.DUMMYFUNCTION("""COMPUTED_VALUE"""),"No")</f>
        <v>No</v>
      </c>
      <c r="AG940" s="5"/>
      <c r="AH940" s="5"/>
      <c r="AI940" s="5"/>
      <c r="AJ940" s="5" t="str">
        <f ca="1">IFERROR(__xludf.DUMMYFUNCTION("""COMPUTED_VALUE"""),"No")</f>
        <v>No</v>
      </c>
    </row>
    <row r="941" spans="1:36" ht="13">
      <c r="A941" s="5" t="str">
        <f ca="1">IFERROR(__xludf.DUMMYFUNCTION("""COMPUTED_VALUE"""),"20180717WVHUH")</f>
        <v>20180717WVHUH</v>
      </c>
      <c r="B941" s="5">
        <f ca="1">IFERROR(__xludf.DUMMYFUNCTION("""COMPUTED_VALUE"""),7)</f>
        <v>7</v>
      </c>
      <c r="C941" s="5">
        <f ca="1">IFERROR(__xludf.DUMMYFUNCTION("""COMPUTED_VALUE"""),17)</f>
        <v>17</v>
      </c>
      <c r="D941" s="5">
        <f ca="1">IFERROR(__xludf.DUMMYFUNCTION("""COMPUTED_VALUE"""),2018)</f>
        <v>2018</v>
      </c>
      <c r="E941" s="8">
        <f ca="1">IFERROR(__xludf.DUMMYFUNCTION("""COMPUTED_VALUE"""),43298)</f>
        <v>43298</v>
      </c>
      <c r="F941" s="5" t="str">
        <f ca="1">IFERROR(__xludf.DUMMYFUNCTION("""COMPUTED_VALUE"""),"Hurricane High School")</f>
        <v>Hurricane High School</v>
      </c>
      <c r="G941" s="5">
        <f ca="1">IFERROR(__xludf.DUMMYFUNCTION("""COMPUTED_VALUE"""),0)</f>
        <v>0</v>
      </c>
      <c r="H941" s="5">
        <f ca="1">IFERROR(__xludf.DUMMYFUNCTION("""COMPUTED_VALUE"""),0)</f>
        <v>0</v>
      </c>
      <c r="I941" s="5">
        <f ca="1">IFERROR(__xludf.DUMMYFUNCTION("""COMPUTED_VALUE"""),0)</f>
        <v>0</v>
      </c>
      <c r="J941" s="5">
        <f ca="1">IFERROR(__xludf.DUMMYFUNCTION("""COMPUTED_VALUE"""),0)</f>
        <v>0</v>
      </c>
      <c r="K941" s="9" t="str">
        <f ca="1">IFERROR(__xludf.DUMMYFUNCTION("""COMPUTED_VALUE"""),"https://wchstv.com/news/local/man-accused-of-firing-gun-at-hurricane-high-school-during-agrument")</f>
        <v>https://wchstv.com/news/local/man-accused-of-firing-gun-at-hurricane-high-school-during-agrument</v>
      </c>
      <c r="L941" s="5"/>
      <c r="M941" s="5"/>
      <c r="N941" s="5">
        <f ca="1">IFERROR(__xludf.DUMMYFUNCTION("""COMPUTED_VALUE"""),2)</f>
        <v>2</v>
      </c>
      <c r="O941" s="5" t="str">
        <f ca="1">IFERROR(__xludf.DUMMYFUNCTION("""COMPUTED_VALUE"""),"Summer")</f>
        <v>Summer</v>
      </c>
      <c r="P941" s="5" t="str">
        <f ca="1">IFERROR(__xludf.DUMMYFUNCTION("""COMPUTED_VALUE"""),"Hurricane")</f>
        <v>Hurricane</v>
      </c>
      <c r="Q941" s="5" t="str">
        <f ca="1">IFERROR(__xludf.DUMMYFUNCTION("""COMPUTED_VALUE"""),"WV")</f>
        <v>WV</v>
      </c>
      <c r="R941" s="5" t="str">
        <f ca="1">IFERROR(__xludf.DUMMYFUNCTION("""COMPUTED_VALUE"""),"High")</f>
        <v>High</v>
      </c>
      <c r="S941" s="5" t="str">
        <f ca="1">IFERROR(__xludf.DUMMYFUNCTION("""COMPUTED_VALUE"""),"Parking Lot")</f>
        <v>Parking Lot</v>
      </c>
      <c r="T941" s="5" t="str">
        <f ca="1">IFERROR(__xludf.DUMMYFUNCTION("""COMPUTED_VALUE"""),"Outside on School Property")</f>
        <v>Outside on School Property</v>
      </c>
      <c r="U941" s="5" t="str">
        <f ca="1">IFERROR(__xludf.DUMMYFUNCTION("""COMPUTED_VALUE"""),"No")</f>
        <v>No</v>
      </c>
      <c r="V941" s="5" t="str">
        <f ca="1">IFERROR(__xludf.DUMMYFUNCTION("""COMPUTED_VALUE"""),"After School")</f>
        <v>After School</v>
      </c>
      <c r="W941" s="10">
        <f ca="1">IFERROR(__xludf.DUMMYFUNCTION("""COMPUTED_VALUE"""),0.75)</f>
        <v>0.75</v>
      </c>
      <c r="X941" s="5">
        <f ca="1">IFERROR(__xludf.DUMMYFUNCTION("""COMPUTED_VALUE"""),1)</f>
        <v>1</v>
      </c>
      <c r="Y941" s="5" t="str">
        <f ca="1">IFERROR(__xludf.DUMMYFUNCTION("""COMPUTED_VALUE"""),"Shot fired during argument behind the school")</f>
        <v>Shot fired during argument behind the school</v>
      </c>
      <c r="Z941" s="5" t="str">
        <f ca="1">IFERROR(__xludf.DUMMYFUNCTION("""COMPUTED_VALUE"""),"Shooter was arguing with another adult male in the school parking lot behind the high school when he fired a round from his handgun into the ground to scare the other man. Thompson was arrested and charged with wanton endangerment.")</f>
        <v>Shooter was arguing with another adult male in the school parking lot behind the high school when he fired a round from his handgun into the ground to scare the other man. Thompson was arrested and charged with wanton endangerment.</v>
      </c>
      <c r="AA941" s="5" t="str">
        <f ca="1">IFERROR(__xludf.DUMMYFUNCTION("""COMPUTED_VALUE"""),"Escalation of Dispute")</f>
        <v>Escalation of Dispute</v>
      </c>
      <c r="AB941" s="5" t="str">
        <f ca="1">IFERROR(__xludf.DUMMYFUNCTION("""COMPUTED_VALUE"""),"NA")</f>
        <v>NA</v>
      </c>
      <c r="AC941" s="5" t="str">
        <f ca="1">IFERROR(__xludf.DUMMYFUNCTION("""COMPUTED_VALUE"""),"No")</f>
        <v>No</v>
      </c>
      <c r="AD941" s="5" t="str">
        <f ca="1">IFERROR(__xludf.DUMMYFUNCTION("""COMPUTED_VALUE"""),"No")</f>
        <v>No</v>
      </c>
      <c r="AE941" s="5" t="str">
        <f ca="1">IFERROR(__xludf.DUMMYFUNCTION("""COMPUTED_VALUE"""),"No")</f>
        <v>No</v>
      </c>
      <c r="AF941" s="5" t="str">
        <f ca="1">IFERROR(__xludf.DUMMYFUNCTION("""COMPUTED_VALUE"""),"No")</f>
        <v>No</v>
      </c>
      <c r="AG941" s="5" t="str">
        <f ca="1">IFERROR(__xludf.DUMMYFUNCTION("""COMPUTED_VALUE"""),"No")</f>
        <v>No</v>
      </c>
      <c r="AH941" s="5" t="str">
        <f ca="1">IFERROR(__xludf.DUMMYFUNCTION("""COMPUTED_VALUE"""),"No")</f>
        <v>No</v>
      </c>
      <c r="AI941" s="5" t="str">
        <f ca="1">IFERROR(__xludf.DUMMYFUNCTION("""COMPUTED_VALUE"""),"No")</f>
        <v>No</v>
      </c>
      <c r="AJ941" s="5" t="str">
        <f ca="1">IFERROR(__xludf.DUMMYFUNCTION("""COMPUTED_VALUE"""),"No")</f>
        <v>No</v>
      </c>
    </row>
    <row r="942" spans="1:36" ht="13">
      <c r="A942" s="5" t="str">
        <f ca="1">IFERROR(__xludf.DUMMYFUNCTION("""COMPUTED_VALUE"""),"20180711OHMIM")</f>
        <v>20180711OHMIM</v>
      </c>
      <c r="B942" s="5">
        <f ca="1">IFERROR(__xludf.DUMMYFUNCTION("""COMPUTED_VALUE"""),7)</f>
        <v>7</v>
      </c>
      <c r="C942" s="5">
        <f ca="1">IFERROR(__xludf.DUMMYFUNCTION("""COMPUTED_VALUE"""),11)</f>
        <v>11</v>
      </c>
      <c r="D942" s="5">
        <f ca="1">IFERROR(__xludf.DUMMYFUNCTION("""COMPUTED_VALUE"""),2018)</f>
        <v>2018</v>
      </c>
      <c r="E942" s="8">
        <f ca="1">IFERROR(__xludf.DUMMYFUNCTION("""COMPUTED_VALUE"""),43292)</f>
        <v>43292</v>
      </c>
      <c r="F942" s="5" t="str">
        <f ca="1">IFERROR(__xludf.DUMMYFUNCTION("""COMPUTED_VALUE"""),"Milkovich Middle School")</f>
        <v>Milkovich Middle School</v>
      </c>
      <c r="G942" s="5">
        <f ca="1">IFERROR(__xludf.DUMMYFUNCTION("""COMPUTED_VALUE"""),1)</f>
        <v>1</v>
      </c>
      <c r="H942" s="5">
        <f ca="1">IFERROR(__xludf.DUMMYFUNCTION("""COMPUTED_VALUE"""),0)</f>
        <v>0</v>
      </c>
      <c r="I942" s="5">
        <f ca="1">IFERROR(__xludf.DUMMYFUNCTION("""COMPUTED_VALUE"""),1)</f>
        <v>1</v>
      </c>
      <c r="J942" s="5">
        <f ca="1">IFERROR(__xludf.DUMMYFUNCTION("""COMPUTED_VALUE"""),0)</f>
        <v>0</v>
      </c>
      <c r="K942" s="5" t="str">
        <f ca="1">IFERROR(__xludf.DUMMYFUNCTION("""COMPUTED_VALUE"""),"http://www.cleveland19.com/story/38630966/maple-heights-man-shot-and-killed-found-on-drive-of-a-middle-school  http://gunmemorial.org/2018/07/11/darnez-canion")</f>
        <v>http://www.cleveland19.com/story/38630966/maple-heights-man-shot-and-killed-found-on-drive-of-a-middle-school  http://gunmemorial.org/2018/07/11/darnez-canion</v>
      </c>
      <c r="L942" s="5"/>
      <c r="M942" s="5"/>
      <c r="N942" s="5">
        <f ca="1">IFERROR(__xludf.DUMMYFUNCTION("""COMPUTED_VALUE"""),3)</f>
        <v>3</v>
      </c>
      <c r="O942" s="5" t="str">
        <f ca="1">IFERROR(__xludf.DUMMYFUNCTION("""COMPUTED_VALUE"""),"Summer")</f>
        <v>Summer</v>
      </c>
      <c r="P942" s="5" t="str">
        <f ca="1">IFERROR(__xludf.DUMMYFUNCTION("""COMPUTED_VALUE"""),"Maple Heights")</f>
        <v>Maple Heights</v>
      </c>
      <c r="Q942" s="5" t="str">
        <f ca="1">IFERROR(__xludf.DUMMYFUNCTION("""COMPUTED_VALUE"""),"OH")</f>
        <v>OH</v>
      </c>
      <c r="R942" s="5" t="str">
        <f ca="1">IFERROR(__xludf.DUMMYFUNCTION("""COMPUTED_VALUE"""),"Middle")</f>
        <v>Middle</v>
      </c>
      <c r="S942" s="5" t="str">
        <f ca="1">IFERROR(__xludf.DUMMYFUNCTION("""COMPUTED_VALUE"""),"Parking Lot")</f>
        <v>Parking Lot</v>
      </c>
      <c r="T942" s="5" t="str">
        <f ca="1">IFERROR(__xludf.DUMMYFUNCTION("""COMPUTED_VALUE"""),"Outside on School Property")</f>
        <v>Outside on School Property</v>
      </c>
      <c r="U942" s="5" t="str">
        <f ca="1">IFERROR(__xludf.DUMMYFUNCTION("""COMPUTED_VALUE"""),"No")</f>
        <v>No</v>
      </c>
      <c r="V942" s="5" t="str">
        <f ca="1">IFERROR(__xludf.DUMMYFUNCTION("""COMPUTED_VALUE"""),"Not a School Day")</f>
        <v>Not a School Day</v>
      </c>
      <c r="W942" s="10">
        <f ca="1">IFERROR(__xludf.DUMMYFUNCTION("""COMPUTED_VALUE"""),0.854166666666666)</f>
        <v>0.85416666666666596</v>
      </c>
      <c r="X942" s="5">
        <f ca="1">IFERROR(__xludf.DUMMYFUNCTION("""COMPUTED_VALUE"""),1)</f>
        <v>1</v>
      </c>
      <c r="Y942" s="5" t="str">
        <f ca="1">IFERROR(__xludf.DUMMYFUNCTION("""COMPUTED_VALUE"""),"Shots fired during large fight between teens")</f>
        <v>Shots fired during large fight between teens</v>
      </c>
      <c r="Z942" s="5" t="str">
        <f ca="1">IFERROR(__xludf.DUMMYFUNCTION("""COMPUTED_VALUE"""),"Police were called to the area for a large fight between teens. Upon arrival, they found the victim lying in the school parking lot suffering from a gunshot wound. Police performed CPR until paramedics arrived - victim was later pronounced dead at the hos"&amp;"pital. two suspects arrested - information not available via media reports.")</f>
        <v>Police were called to the area for a large fight between teens. Upon arrival, they found the victim lying in the school parking lot suffering from a gunshot wound. Police performed CPR until paramedics arrived - victim was later pronounced dead at the hospital. two suspects arrested - information not available via media reports.</v>
      </c>
      <c r="AA942" s="5" t="str">
        <f ca="1">IFERROR(__xludf.DUMMYFUNCTION("""COMPUTED_VALUE"""),"Escalation of Dispute")</f>
        <v>Escalation of Dispute</v>
      </c>
      <c r="AB942" s="5"/>
      <c r="AC942" s="5"/>
      <c r="AD942" s="5" t="str">
        <f ca="1">IFERROR(__xludf.DUMMYFUNCTION("""COMPUTED_VALUE"""),"No")</f>
        <v>No</v>
      </c>
      <c r="AE942" s="5" t="str">
        <f ca="1">IFERROR(__xludf.DUMMYFUNCTION("""COMPUTED_VALUE"""),"No")</f>
        <v>No</v>
      </c>
      <c r="AF942" s="5" t="str">
        <f ca="1">IFERROR(__xludf.DUMMYFUNCTION("""COMPUTED_VALUE"""),"No")</f>
        <v>No</v>
      </c>
      <c r="AG942" s="5"/>
      <c r="AH942" s="5"/>
      <c r="AI942" s="5" t="str">
        <f ca="1">IFERROR(__xludf.DUMMYFUNCTION("""COMPUTED_VALUE"""),"No")</f>
        <v>No</v>
      </c>
      <c r="AJ942" s="5" t="str">
        <f ca="1">IFERROR(__xludf.DUMMYFUNCTION("""COMPUTED_VALUE"""),"No")</f>
        <v>No</v>
      </c>
    </row>
    <row r="943" spans="1:36" ht="13">
      <c r="A943" s="5" t="str">
        <f ca="1">IFERROR(__xludf.DUMMYFUNCTION("""COMPUTED_VALUE"""),"20180703KSSUO")</f>
        <v>20180703KSSUO</v>
      </c>
      <c r="B943" s="5">
        <f ca="1">IFERROR(__xludf.DUMMYFUNCTION("""COMPUTED_VALUE"""),7)</f>
        <v>7</v>
      </c>
      <c r="C943" s="5">
        <f ca="1">IFERROR(__xludf.DUMMYFUNCTION("""COMPUTED_VALUE"""),3)</f>
        <v>3</v>
      </c>
      <c r="D943" s="5">
        <f ca="1">IFERROR(__xludf.DUMMYFUNCTION("""COMPUTED_VALUE"""),2018)</f>
        <v>2018</v>
      </c>
      <c r="E943" s="8">
        <f ca="1">IFERROR(__xludf.DUMMYFUNCTION("""COMPUTED_VALUE"""),43284)</f>
        <v>43284</v>
      </c>
      <c r="F943" s="5" t="str">
        <f ca="1">IFERROR(__xludf.DUMMYFUNCTION("""COMPUTED_VALUE"""),"Sunrise Point Elementary School")</f>
        <v>Sunrise Point Elementary School</v>
      </c>
      <c r="G943" s="5">
        <f ca="1">IFERROR(__xludf.DUMMYFUNCTION("""COMPUTED_VALUE"""),1)</f>
        <v>1</v>
      </c>
      <c r="H943" s="5">
        <f ca="1">IFERROR(__xludf.DUMMYFUNCTION("""COMPUTED_VALUE"""),1)</f>
        <v>1</v>
      </c>
      <c r="I943" s="5">
        <f ca="1">IFERROR(__xludf.DUMMYFUNCTION("""COMPUTED_VALUE"""),2)</f>
        <v>2</v>
      </c>
      <c r="J943" s="5">
        <f ca="1">IFERROR(__xludf.DUMMYFUNCTION("""COMPUTED_VALUE"""),0)</f>
        <v>0</v>
      </c>
      <c r="K943" s="9" t="str">
        <f ca="1">IFERROR(__xludf.DUMMYFUNCTION("""COMPUTED_VALUE"""),"https://abcnews.go.com/US/critical-condition-shooting-kansas-elementary-school-police/story?id=56340440")</f>
        <v>https://abcnews.go.com/US/critical-condition-shooting-kansas-elementary-school-police/story?id=56340440</v>
      </c>
      <c r="L943" s="5">
        <f ca="1">IFERROR(__xludf.DUMMYFUNCTION("""COMPUTED_VALUE"""),5)</f>
        <v>5</v>
      </c>
      <c r="M943" s="5" t="str">
        <f ca="1">IFERROR(__xludf.DUMMYFUNCTION("""COMPUTED_VALUE"""),"Local")</f>
        <v>Local</v>
      </c>
      <c r="N943" s="5">
        <f ca="1">IFERROR(__xludf.DUMMYFUNCTION("""COMPUTED_VALUE"""),2)</f>
        <v>2</v>
      </c>
      <c r="O943" s="5" t="str">
        <f ca="1">IFERROR(__xludf.DUMMYFUNCTION("""COMPUTED_VALUE"""),"Summer")</f>
        <v>Summer</v>
      </c>
      <c r="P943" s="5" t="str">
        <f ca="1">IFERROR(__xludf.DUMMYFUNCTION("""COMPUTED_VALUE"""),"Overland")</f>
        <v>Overland</v>
      </c>
      <c r="Q943" s="5" t="str">
        <f ca="1">IFERROR(__xludf.DUMMYFUNCTION("""COMPUTED_VALUE"""),"KS")</f>
        <v>KS</v>
      </c>
      <c r="R943" s="5" t="str">
        <f ca="1">IFERROR(__xludf.DUMMYFUNCTION("""COMPUTED_VALUE"""),"Elementary")</f>
        <v>Elementary</v>
      </c>
      <c r="S943" s="5" t="str">
        <f ca="1">IFERROR(__xludf.DUMMYFUNCTION("""COMPUTED_VALUE"""),"Beside Building")</f>
        <v>Beside Building</v>
      </c>
      <c r="T943" s="5" t="str">
        <f ca="1">IFERROR(__xludf.DUMMYFUNCTION("""COMPUTED_VALUE"""),"Outside on School Property")</f>
        <v>Outside on School Property</v>
      </c>
      <c r="U943" s="5" t="str">
        <f ca="1">IFERROR(__xludf.DUMMYFUNCTION("""COMPUTED_VALUE"""),"No")</f>
        <v>No</v>
      </c>
      <c r="V943" s="5" t="str">
        <f ca="1">IFERROR(__xludf.DUMMYFUNCTION("""COMPUTED_VALUE"""),"Not a School Day")</f>
        <v>Not a School Day</v>
      </c>
      <c r="W943" s="10">
        <f ca="1">IFERROR(__xludf.DUMMYFUNCTION("""COMPUTED_VALUE"""),0.375)</f>
        <v>0.375</v>
      </c>
      <c r="X943" s="5">
        <f ca="1">IFERROR(__xludf.DUMMYFUNCTION("""COMPUTED_VALUE"""),1)</f>
        <v>1</v>
      </c>
      <c r="Y943" s="5" t="str">
        <f ca="1">IFERROR(__xludf.DUMMYFUNCTION("""COMPUTED_VALUE"""),"Two construction contractors shot by coworker during argument at school")</f>
        <v>Two construction contractors shot by coworker during argument at school</v>
      </c>
      <c r="Z943" s="5" t="str">
        <f ca="1">IFERROR(__xludf.DUMMYFUNCTION("""COMPUTED_VALUE"""),"Two construction contractors were shot on the school grounds by a coworker during argument that escalated into shooting. Shooter fled, attempted a carjacking at a nearby car wash, fired shots without striking anyone, fled the area, and carjacked another v"&amp;"ehicle at gunpoint. Abandoned vehicle and was at large until arrested in front of a house (somehow connected to shooter). No kids at school or on school grounds at the time.")</f>
        <v>Two construction contractors were shot on the school grounds by a coworker during argument that escalated into shooting. Shooter fled, attempted a carjacking at a nearby car wash, fired shots without striking anyone, fled the area, and carjacked another vehicle at gunpoint. Abandoned vehicle and was at large until arrested in front of a house (somehow connected to shooter). No kids at school or on school grounds at the time.</v>
      </c>
      <c r="AA943" s="5" t="str">
        <f ca="1">IFERROR(__xludf.DUMMYFUNCTION("""COMPUTED_VALUE"""),"Escalation of Dispute")</f>
        <v>Escalation of Dispute</v>
      </c>
      <c r="AB943" s="5" t="str">
        <f ca="1">IFERROR(__xludf.DUMMYFUNCTION("""COMPUTED_VALUE"""),"Victims Targeted")</f>
        <v>Victims Targeted</v>
      </c>
      <c r="AC943" s="5"/>
      <c r="AD943" s="5" t="str">
        <f ca="1">IFERROR(__xludf.DUMMYFUNCTION("""COMPUTED_VALUE"""),"No")</f>
        <v>No</v>
      </c>
      <c r="AE943" s="5" t="str">
        <f ca="1">IFERROR(__xludf.DUMMYFUNCTION("""COMPUTED_VALUE"""),"No")</f>
        <v>No</v>
      </c>
      <c r="AF943" s="5" t="str">
        <f ca="1">IFERROR(__xludf.DUMMYFUNCTION("""COMPUTED_VALUE"""),"No")</f>
        <v>No</v>
      </c>
      <c r="AG943" s="5" t="str">
        <f ca="1">IFERROR(__xludf.DUMMYFUNCTION("""COMPUTED_VALUE"""),"No")</f>
        <v>No</v>
      </c>
      <c r="AH943" s="5" t="str">
        <f ca="1">IFERROR(__xludf.DUMMYFUNCTION("""COMPUTED_VALUE"""),"No")</f>
        <v>No</v>
      </c>
      <c r="AI943" s="5" t="str">
        <f ca="1">IFERROR(__xludf.DUMMYFUNCTION("""COMPUTED_VALUE"""),"No")</f>
        <v>No</v>
      </c>
      <c r="AJ943" s="5" t="str">
        <f ca="1">IFERROR(__xludf.DUMMYFUNCTION("""COMPUTED_VALUE"""),"No")</f>
        <v>No</v>
      </c>
    </row>
    <row r="944" spans="1:36" ht="13">
      <c r="A944" s="5" t="str">
        <f ca="1">IFERROR(__xludf.DUMMYFUNCTION("""COMPUTED_VALUE"""),"20180701TNRAM")</f>
        <v>20180701TNRAM</v>
      </c>
      <c r="B944" s="5">
        <f ca="1">IFERROR(__xludf.DUMMYFUNCTION("""COMPUTED_VALUE"""),7)</f>
        <v>7</v>
      </c>
      <c r="C944" s="5">
        <f ca="1">IFERROR(__xludf.DUMMYFUNCTION("""COMPUTED_VALUE"""),1)</f>
        <v>1</v>
      </c>
      <c r="D944" s="5">
        <f ca="1">IFERROR(__xludf.DUMMYFUNCTION("""COMPUTED_VALUE"""),2018)</f>
        <v>2018</v>
      </c>
      <c r="E944" s="8">
        <f ca="1">IFERROR(__xludf.DUMMYFUNCTION("""COMPUTED_VALUE"""),43282)</f>
        <v>43282</v>
      </c>
      <c r="F944" s="5" t="str">
        <f ca="1">IFERROR(__xludf.DUMMYFUNCTION("""COMPUTED_VALUE"""),"Raineshaven Elementary School")</f>
        <v>Raineshaven Elementary School</v>
      </c>
      <c r="G944" s="5">
        <f ca="1">IFERROR(__xludf.DUMMYFUNCTION("""COMPUTED_VALUE"""),1)</f>
        <v>1</v>
      </c>
      <c r="H944" s="5">
        <f ca="1">IFERROR(__xludf.DUMMYFUNCTION("""COMPUTED_VALUE"""),0)</f>
        <v>0</v>
      </c>
      <c r="I944" s="5">
        <f ca="1">IFERROR(__xludf.DUMMYFUNCTION("""COMPUTED_VALUE"""),1)</f>
        <v>1</v>
      </c>
      <c r="J944" s="5">
        <f ca="1">IFERROR(__xludf.DUMMYFUNCTION("""COMPUTED_VALUE"""),0)</f>
        <v>0</v>
      </c>
      <c r="K944" s="9" t="str">
        <f ca="1">IFERROR(__xludf.DUMMYFUNCTION("""COMPUTED_VALUE"""),"https://wreg.com/2018/07/02/man-slams-car-into-boarded-up-school-building-after-being-shot/")</f>
        <v>https://wreg.com/2018/07/02/man-slams-car-into-boarded-up-school-building-after-being-shot/</v>
      </c>
      <c r="L944" s="5">
        <f ca="1">IFERROR(__xludf.DUMMYFUNCTION("""COMPUTED_VALUE"""),5)</f>
        <v>5</v>
      </c>
      <c r="M944" s="5" t="str">
        <f ca="1">IFERROR(__xludf.DUMMYFUNCTION("""COMPUTED_VALUE"""),"Local")</f>
        <v>Local</v>
      </c>
      <c r="N944" s="5">
        <f ca="1">IFERROR(__xludf.DUMMYFUNCTION("""COMPUTED_VALUE"""),2)</f>
        <v>2</v>
      </c>
      <c r="O944" s="5" t="str">
        <f ca="1">IFERROR(__xludf.DUMMYFUNCTION("""COMPUTED_VALUE"""),"Summer")</f>
        <v>Summer</v>
      </c>
      <c r="P944" s="5" t="str">
        <f ca="1">IFERROR(__xludf.DUMMYFUNCTION("""COMPUTED_VALUE"""),"Memphis")</f>
        <v>Memphis</v>
      </c>
      <c r="Q944" s="5" t="str">
        <f ca="1">IFERROR(__xludf.DUMMYFUNCTION("""COMPUTED_VALUE"""),"TN")</f>
        <v>TN</v>
      </c>
      <c r="R944" s="5" t="str">
        <f ca="1">IFERROR(__xludf.DUMMYFUNCTION("""COMPUTED_VALUE"""),"Elementary")</f>
        <v>Elementary</v>
      </c>
      <c r="S944" s="5" t="str">
        <f ca="1">IFERROR(__xludf.DUMMYFUNCTION("""COMPUTED_VALUE"""),"Beside Building")</f>
        <v>Beside Building</v>
      </c>
      <c r="T944" s="5" t="str">
        <f ca="1">IFERROR(__xludf.DUMMYFUNCTION("""COMPUTED_VALUE"""),"Outside on School Property")</f>
        <v>Outside on School Property</v>
      </c>
      <c r="U944" s="5" t="str">
        <f ca="1">IFERROR(__xludf.DUMMYFUNCTION("""COMPUTED_VALUE"""),"No")</f>
        <v>No</v>
      </c>
      <c r="V944" s="5" t="str">
        <f ca="1">IFERROR(__xludf.DUMMYFUNCTION("""COMPUTED_VALUE"""),"Night")</f>
        <v>Night</v>
      </c>
      <c r="W944" s="10">
        <f ca="1">IFERROR(__xludf.DUMMYFUNCTION("""COMPUTED_VALUE"""),0.875)</f>
        <v>0.875</v>
      </c>
      <c r="X944" s="5">
        <f ca="1">IFERROR(__xludf.DUMMYFUNCTION("""COMPUTED_VALUE"""),1)</f>
        <v>1</v>
      </c>
      <c r="Y944" s="5" t="str">
        <f ca="1">IFERROR(__xludf.DUMMYFUNCTION("""COMPUTED_VALUE"""),"Victim shot in vehicle and crashed into school building")</f>
        <v>Victim shot in vehicle and crashed into school building</v>
      </c>
      <c r="Z944" s="5" t="str">
        <f ca="1">IFERROR(__xludf.DUMMYFUNCTION("""COMPUTED_VALUE"""),"Victim was shot in vehicle and then crashed into the school building.")</f>
        <v>Victim was shot in vehicle and then crashed into the school building.</v>
      </c>
      <c r="AA944" s="5" t="str">
        <f ca="1">IFERROR(__xludf.DUMMYFUNCTION("""COMPUTED_VALUE"""),"Unknown")</f>
        <v>Unknown</v>
      </c>
      <c r="AB944" s="5"/>
      <c r="AC944" s="5"/>
      <c r="AD944" s="5" t="str">
        <f ca="1">IFERROR(__xludf.DUMMYFUNCTION("""COMPUTED_VALUE"""),"No")</f>
        <v>No</v>
      </c>
      <c r="AE944" s="5" t="str">
        <f ca="1">IFERROR(__xludf.DUMMYFUNCTION("""COMPUTED_VALUE"""),"No")</f>
        <v>No</v>
      </c>
      <c r="AF944" s="5" t="str">
        <f ca="1">IFERROR(__xludf.DUMMYFUNCTION("""COMPUTED_VALUE"""),"No")</f>
        <v>No</v>
      </c>
      <c r="AG944" s="5" t="str">
        <f ca="1">IFERROR(__xludf.DUMMYFUNCTION("""COMPUTED_VALUE"""),"No")</f>
        <v>No</v>
      </c>
      <c r="AH944" s="5"/>
      <c r="AI944" s="5"/>
      <c r="AJ944" s="5" t="str">
        <f ca="1">IFERROR(__xludf.DUMMYFUNCTION("""COMPUTED_VALUE"""),"No")</f>
        <v>No</v>
      </c>
    </row>
    <row r="945" spans="1:36" ht="13">
      <c r="A945" s="5" t="str">
        <f ca="1">IFERROR(__xludf.DUMMYFUNCTION("""COMPUTED_VALUE"""),"20180625OHFUS")</f>
        <v>20180625OHFUS</v>
      </c>
      <c r="B945" s="5">
        <f ca="1">IFERROR(__xludf.DUMMYFUNCTION("""COMPUTED_VALUE"""),6)</f>
        <v>6</v>
      </c>
      <c r="C945" s="5">
        <f ca="1">IFERROR(__xludf.DUMMYFUNCTION("""COMPUTED_VALUE"""),25)</f>
        <v>25</v>
      </c>
      <c r="D945" s="5">
        <f ca="1">IFERROR(__xludf.DUMMYFUNCTION("""COMPUTED_VALUE"""),2018)</f>
        <v>2018</v>
      </c>
      <c r="E945" s="8">
        <f ca="1">IFERROR(__xludf.DUMMYFUNCTION("""COMPUTED_VALUE"""),43276)</f>
        <v>43276</v>
      </c>
      <c r="F945" s="5" t="str">
        <f ca="1">IFERROR(__xludf.DUMMYFUNCTION("""COMPUTED_VALUE"""),"Fulton Elementary School")</f>
        <v>Fulton Elementary School</v>
      </c>
      <c r="G945" s="5">
        <f ca="1">IFERROR(__xludf.DUMMYFUNCTION("""COMPUTED_VALUE"""),0)</f>
        <v>0</v>
      </c>
      <c r="H945" s="5">
        <f ca="1">IFERROR(__xludf.DUMMYFUNCTION("""COMPUTED_VALUE"""),1)</f>
        <v>1</v>
      </c>
      <c r="I945" s="5">
        <f ca="1">IFERROR(__xludf.DUMMYFUNCTION("""COMPUTED_VALUE"""),1)</f>
        <v>1</v>
      </c>
      <c r="J945" s="5">
        <f ca="1">IFERROR(__xludf.DUMMYFUNCTION("""COMPUTED_VALUE"""),0)</f>
        <v>0</v>
      </c>
      <c r="K945" s="9" t="str">
        <f ca="1">IFERROR(__xludf.DUMMYFUNCTION("""COMPUTED_VALUE"""),"https://www.springfieldnewssun.com/news/crime--law/update-teens-arrested-after-alleged-attempted-shooting-truck-strike-outside-springfield-school/Kv3diPzfq35me2wa7OrdBI/")</f>
        <v>https://www.springfieldnewssun.com/news/crime--law/update-teens-arrested-after-alleged-attempted-shooting-truck-strike-outside-springfield-school/Kv3diPzfq35me2wa7OrdBI/</v>
      </c>
      <c r="L945" s="5">
        <f ca="1">IFERROR(__xludf.DUMMYFUNCTION("""COMPUTED_VALUE"""),1)</f>
        <v>1</v>
      </c>
      <c r="M945" s="5" t="str">
        <f ca="1">IFERROR(__xludf.DUMMYFUNCTION("""COMPUTED_VALUE"""),"Local")</f>
        <v>Local</v>
      </c>
      <c r="N945" s="5">
        <f ca="1">IFERROR(__xludf.DUMMYFUNCTION("""COMPUTED_VALUE"""),2)</f>
        <v>2</v>
      </c>
      <c r="O945" s="5" t="str">
        <f ca="1">IFERROR(__xludf.DUMMYFUNCTION("""COMPUTED_VALUE"""),"Summer")</f>
        <v>Summer</v>
      </c>
      <c r="P945" s="5" t="str">
        <f ca="1">IFERROR(__xludf.DUMMYFUNCTION("""COMPUTED_VALUE"""),"Springfield")</f>
        <v>Springfield</v>
      </c>
      <c r="Q945" s="5" t="str">
        <f ca="1">IFERROR(__xludf.DUMMYFUNCTION("""COMPUTED_VALUE"""),"OH")</f>
        <v>OH</v>
      </c>
      <c r="R945" s="5" t="str">
        <f ca="1">IFERROR(__xludf.DUMMYFUNCTION("""COMPUTED_VALUE"""),"Elementary")</f>
        <v>Elementary</v>
      </c>
      <c r="S945" s="5" t="str">
        <f ca="1">IFERROR(__xludf.DUMMYFUNCTION("""COMPUTED_VALUE"""),"Parking Lot")</f>
        <v>Parking Lot</v>
      </c>
      <c r="T945" s="5" t="str">
        <f ca="1">IFERROR(__xludf.DUMMYFUNCTION("""COMPUTED_VALUE"""),"Outside on School Property")</f>
        <v>Outside on School Property</v>
      </c>
      <c r="U945" s="5" t="str">
        <f ca="1">IFERROR(__xludf.DUMMYFUNCTION("""COMPUTED_VALUE"""),"No")</f>
        <v>No</v>
      </c>
      <c r="V945" s="5" t="str">
        <f ca="1">IFERROR(__xludf.DUMMYFUNCTION("""COMPUTED_VALUE"""),"After School")</f>
        <v>After School</v>
      </c>
      <c r="W945" s="10">
        <f ca="1">IFERROR(__xludf.DUMMYFUNCTION("""COMPUTED_VALUE"""),0.625)</f>
        <v>0.625</v>
      </c>
      <c r="X945" s="5">
        <f ca="1">IFERROR(__xludf.DUMMYFUNCTION("""COMPUTED_VALUE"""),1)</f>
        <v>1</v>
      </c>
      <c r="Y945" s="5" t="str">
        <f ca="1">IFERROR(__xludf.DUMMYFUNCTION("""COMPUTED_VALUE"""),"Attempted robbery in school parking lot, gun jammed when shooter fired, victim ran over shooter with car")</f>
        <v>Attempted robbery in school parking lot, gun jammed when shooter fired, victim ran over shooter with car</v>
      </c>
      <c r="Z945" s="5" t="str">
        <f ca="1">IFERROR(__xludf.DUMMYFUNCTION("""COMPUTED_VALUE"""),"2 minors attempted to rob the victim in the parking lot. Minors were selling a cellphone and robbed the suspect. Shooter had a gun during the robbery and pulled the trigger but the gun jammed. The shooter tried to flee, the victim ran over the shooter whi"&amp;"le trying to catch up to him. The victim got out of the car and kicked the gun out of the shooter's hand. Police came and found drugs on the shooter. The second minor surrendered and refused that he knew the shooter brought a gun.")</f>
        <v>2 minors attempted to rob the victim in the parking lot. Minors were selling a cellphone and robbed the suspect. Shooter had a gun during the robbery and pulled the trigger but the gun jammed. The shooter tried to flee, the victim ran over the shooter while trying to catch up to him. The victim got out of the car and kicked the gun out of the shooter's hand. Police came and found drugs on the shooter. The second minor surrendered and refused that he knew the shooter brought a gun.</v>
      </c>
      <c r="AA945" s="5" t="str">
        <f ca="1">IFERROR(__xludf.DUMMYFUNCTION("""COMPUTED_VALUE"""),"Illegal Activity")</f>
        <v>Illegal Activity</v>
      </c>
      <c r="AB945" s="5" t="str">
        <f ca="1">IFERROR(__xludf.DUMMYFUNCTION("""COMPUTED_VALUE"""),"Victims Targeted")</f>
        <v>Victims Targeted</v>
      </c>
      <c r="AC945" s="5"/>
      <c r="AD945" s="5" t="str">
        <f ca="1">IFERROR(__xludf.DUMMYFUNCTION("""COMPUTED_VALUE"""),"No")</f>
        <v>No</v>
      </c>
      <c r="AE945" s="5" t="str">
        <f ca="1">IFERROR(__xludf.DUMMYFUNCTION("""COMPUTED_VALUE"""),"No")</f>
        <v>No</v>
      </c>
      <c r="AF945" s="5" t="str">
        <f ca="1">IFERROR(__xludf.DUMMYFUNCTION("""COMPUTED_VALUE"""),"No")</f>
        <v>No</v>
      </c>
      <c r="AG945" s="5" t="str">
        <f ca="1">IFERROR(__xludf.DUMMYFUNCTION("""COMPUTED_VALUE"""),"No")</f>
        <v>No</v>
      </c>
      <c r="AH945" s="5" t="str">
        <f ca="1">IFERROR(__xludf.DUMMYFUNCTION("""COMPUTED_VALUE"""),"No")</f>
        <v>No</v>
      </c>
      <c r="AI945" s="5" t="str">
        <f ca="1">IFERROR(__xludf.DUMMYFUNCTION("""COMPUTED_VALUE"""),"No")</f>
        <v>No</v>
      </c>
      <c r="AJ945" s="5" t="str">
        <f ca="1">IFERROR(__xludf.DUMMYFUNCTION("""COMPUTED_VALUE"""),"No")</f>
        <v>No</v>
      </c>
    </row>
    <row r="946" spans="1:36" ht="13">
      <c r="A946" s="5" t="str">
        <f ca="1">IFERROR(__xludf.DUMMYFUNCTION("""COMPUTED_VALUE"""),"20180624MTSEM")</f>
        <v>20180624MTSEM</v>
      </c>
      <c r="B946" s="5">
        <f ca="1">IFERROR(__xludf.DUMMYFUNCTION("""COMPUTED_VALUE"""),6)</f>
        <v>6</v>
      </c>
      <c r="C946" s="5">
        <f ca="1">IFERROR(__xludf.DUMMYFUNCTION("""COMPUTED_VALUE"""),24)</f>
        <v>24</v>
      </c>
      <c r="D946" s="5">
        <f ca="1">IFERROR(__xludf.DUMMYFUNCTION("""COMPUTED_VALUE"""),2018)</f>
        <v>2018</v>
      </c>
      <c r="E946" s="8">
        <f ca="1">IFERROR(__xludf.DUMMYFUNCTION("""COMPUTED_VALUE"""),43275)</f>
        <v>43275</v>
      </c>
      <c r="F946" s="5" t="str">
        <f ca="1">IFERROR(__xludf.DUMMYFUNCTION("""COMPUTED_VALUE"""),"Sentinel High School")</f>
        <v>Sentinel High School</v>
      </c>
      <c r="G946" s="5">
        <f ca="1">IFERROR(__xludf.DUMMYFUNCTION("""COMPUTED_VALUE"""),0)</f>
        <v>0</v>
      </c>
      <c r="H946" s="5">
        <f ca="1">IFERROR(__xludf.DUMMYFUNCTION("""COMPUTED_VALUE"""),2)</f>
        <v>2</v>
      </c>
      <c r="I946" s="5">
        <f ca="1">IFERROR(__xludf.DUMMYFUNCTION("""COMPUTED_VALUE"""),2)</f>
        <v>2</v>
      </c>
      <c r="J946" s="5">
        <f ca="1">IFERROR(__xludf.DUMMYFUNCTION("""COMPUTED_VALUE"""),0)</f>
        <v>0</v>
      </c>
      <c r="K946" s="5" t="str">
        <f ca="1">IFERROR(__xludf.DUMMYFUNCTION("""COMPUTED_VALUE"""),"http://nbcmontana.com/news/local/police-respond-to-possible-missoula-shooting https://missoulian.com/news/crime/sentinel-high-school-shooting-suspect-claims-self-defense-in-drug/article_40c69ff3-5b11-5f8c-9dad-b1a6ae9d5b3d.html https://missoulian.com/news"&amp;"/crime/sentinel-high-school-shooting-suspect-to-be-tried-as-an/article_86126049-1fb0-5731-9fb4-053270dd6ac9.html")</f>
        <v>http://nbcmontana.com/news/local/police-respond-to-possible-missoula-shooting https://missoulian.com/news/crime/sentinel-high-school-shooting-suspect-claims-self-defense-in-drug/article_40c69ff3-5b11-5f8c-9dad-b1a6ae9d5b3d.html https://missoulian.com/news/crime/sentinel-high-school-shooting-suspect-to-be-tried-as-an/article_86126049-1fb0-5731-9fb4-053270dd6ac9.html</v>
      </c>
      <c r="L946" s="5">
        <f ca="1">IFERROR(__xludf.DUMMYFUNCTION("""COMPUTED_VALUE"""),1)</f>
        <v>1</v>
      </c>
      <c r="M946" s="5" t="str">
        <f ca="1">IFERROR(__xludf.DUMMYFUNCTION("""COMPUTED_VALUE"""),"Local")</f>
        <v>Local</v>
      </c>
      <c r="N946" s="5">
        <f ca="1">IFERROR(__xludf.DUMMYFUNCTION("""COMPUTED_VALUE"""),3)</f>
        <v>3</v>
      </c>
      <c r="O946" s="5" t="str">
        <f ca="1">IFERROR(__xludf.DUMMYFUNCTION("""COMPUTED_VALUE"""),"Summer")</f>
        <v>Summer</v>
      </c>
      <c r="P946" s="5" t="str">
        <f ca="1">IFERROR(__xludf.DUMMYFUNCTION("""COMPUTED_VALUE"""),"Missoula")</f>
        <v>Missoula</v>
      </c>
      <c r="Q946" s="5" t="str">
        <f ca="1">IFERROR(__xludf.DUMMYFUNCTION("""COMPUTED_VALUE"""),"MT")</f>
        <v>MT</v>
      </c>
      <c r="R946" s="5" t="str">
        <f ca="1">IFERROR(__xludf.DUMMYFUNCTION("""COMPUTED_VALUE"""),"High")</f>
        <v>High</v>
      </c>
      <c r="S946" s="5" t="str">
        <f ca="1">IFERROR(__xludf.DUMMYFUNCTION("""COMPUTED_VALUE"""),"Field (General)")</f>
        <v>Field (General)</v>
      </c>
      <c r="T946" s="5" t="str">
        <f ca="1">IFERROR(__xludf.DUMMYFUNCTION("""COMPUTED_VALUE"""),"Outside on School Property")</f>
        <v>Outside on School Property</v>
      </c>
      <c r="U946" s="5" t="str">
        <f ca="1">IFERROR(__xludf.DUMMYFUNCTION("""COMPUTED_VALUE"""),"No")</f>
        <v>No</v>
      </c>
      <c r="V946" s="5" t="str">
        <f ca="1">IFERROR(__xludf.DUMMYFUNCTION("""COMPUTED_VALUE"""),"Sport Event")</f>
        <v>Sport Event</v>
      </c>
      <c r="W946" s="10">
        <f ca="1">IFERROR(__xludf.DUMMYFUNCTION("""COMPUTED_VALUE"""),0.770833333333333)</f>
        <v>0.77083333333333304</v>
      </c>
      <c r="X946" s="5">
        <f ca="1">IFERROR(__xludf.DUMMYFUNCTION("""COMPUTED_VALUE"""),1)</f>
        <v>1</v>
      </c>
      <c r="Y946" s="5" t="str">
        <f ca="1">IFERROR(__xludf.DUMMYFUNCTION("""COMPUTED_VALUE"""),"Two teens shot outside gym during open basketball practice; shooter fled; shooter and suspects had planned meeting just prior to shooting")</f>
        <v>Two teens shot outside gym during open basketball practice; shooter fled; shooter and suspects had planned meeting just prior to shooting</v>
      </c>
      <c r="Z946" s="5" t="str">
        <f ca="1">IFERROR(__xludf.DUMMYFUNCTION("""COMPUTED_VALUE"""),"17YOM shot 2 teens outside of school gym during weekend open basketball practice during illegal drug deal. Shooter fled and was later arrested. Two injured victims met the shooter in a secluded area near the gym before the shooting. Appeared targeted. The"&amp;" boy shot in the chest told an officer that the shooter “tried robbing us” and “took our money,” according to court records. Shooter had researched online how to rob drug dealers and was charged in two other related cases.")</f>
        <v>17YOM shot 2 teens outside of school gym during weekend open basketball practice during illegal drug deal. Shooter fled and was later arrested. Two injured victims met the shooter in a secluded area near the gym before the shooting. Appeared targeted. The boy shot in the chest told an officer that the shooter “tried robbing us” and “took our money,” according to court records. Shooter had researched online how to rob drug dealers and was charged in two other related cases.</v>
      </c>
      <c r="AA946" s="5" t="str">
        <f ca="1">IFERROR(__xludf.DUMMYFUNCTION("""COMPUTED_VALUE"""),"Illegal Activity")</f>
        <v>Illegal Activity</v>
      </c>
      <c r="AB946" s="5" t="str">
        <f ca="1">IFERROR(__xludf.DUMMYFUNCTION("""COMPUTED_VALUE"""),"Victims Targeted")</f>
        <v>Victims Targeted</v>
      </c>
      <c r="AC946" s="5" t="str">
        <f ca="1">IFERROR(__xludf.DUMMYFUNCTION("""COMPUTED_VALUE"""),"No")</f>
        <v>No</v>
      </c>
      <c r="AD946" s="5" t="str">
        <f ca="1">IFERROR(__xludf.DUMMYFUNCTION("""COMPUTED_VALUE"""),"No")</f>
        <v>No</v>
      </c>
      <c r="AE946" s="5" t="str">
        <f ca="1">IFERROR(__xludf.DUMMYFUNCTION("""COMPUTED_VALUE"""),"No")</f>
        <v>No</v>
      </c>
      <c r="AF946" s="5" t="str">
        <f ca="1">IFERROR(__xludf.DUMMYFUNCTION("""COMPUTED_VALUE"""),"No")</f>
        <v>No</v>
      </c>
      <c r="AG946" s="5" t="str">
        <f ca="1">IFERROR(__xludf.DUMMYFUNCTION("""COMPUTED_VALUE"""),"No")</f>
        <v>No</v>
      </c>
      <c r="AH946" s="5" t="str">
        <f ca="1">IFERROR(__xludf.DUMMYFUNCTION("""COMPUTED_VALUE"""),"No")</f>
        <v>No</v>
      </c>
      <c r="AI946" s="5" t="str">
        <f ca="1">IFERROR(__xludf.DUMMYFUNCTION("""COMPUTED_VALUE"""),"No")</f>
        <v>No</v>
      </c>
      <c r="AJ946" s="5" t="str">
        <f ca="1">IFERROR(__xludf.DUMMYFUNCTION("""COMPUTED_VALUE"""),"No")</f>
        <v>No</v>
      </c>
    </row>
    <row r="947" spans="1:36" ht="13">
      <c r="A947" s="5" t="str">
        <f ca="1">IFERROR(__xludf.DUMMYFUNCTION("""COMPUTED_VALUE"""),"20180621TXSKD")</f>
        <v>20180621TXSKD</v>
      </c>
      <c r="B947" s="5">
        <f ca="1">IFERROR(__xludf.DUMMYFUNCTION("""COMPUTED_VALUE"""),6)</f>
        <v>6</v>
      </c>
      <c r="C947" s="5">
        <f ca="1">IFERROR(__xludf.DUMMYFUNCTION("""COMPUTED_VALUE"""),21)</f>
        <v>21</v>
      </c>
      <c r="D947" s="5">
        <f ca="1">IFERROR(__xludf.DUMMYFUNCTION("""COMPUTED_VALUE"""),2018)</f>
        <v>2018</v>
      </c>
      <c r="E947" s="8">
        <f ca="1">IFERROR(__xludf.DUMMYFUNCTION("""COMPUTED_VALUE"""),43272)</f>
        <v>43272</v>
      </c>
      <c r="F947" s="5" t="str">
        <f ca="1">IFERROR(__xludf.DUMMYFUNCTION("""COMPUTED_VALUE"""),"Skyline High School")</f>
        <v>Skyline High School</v>
      </c>
      <c r="G947" s="5">
        <f ca="1">IFERROR(__xludf.DUMMYFUNCTION("""COMPUTED_VALUE"""),0)</f>
        <v>0</v>
      </c>
      <c r="H947" s="5">
        <f ca="1">IFERROR(__xludf.DUMMYFUNCTION("""COMPUTED_VALUE"""),1)</f>
        <v>1</v>
      </c>
      <c r="I947" s="5">
        <f ca="1">IFERROR(__xludf.DUMMYFUNCTION("""COMPUTED_VALUE"""),1)</f>
        <v>1</v>
      </c>
      <c r="J947" s="5">
        <f ca="1">IFERROR(__xludf.DUMMYFUNCTION("""COMPUTED_VALUE"""),0)</f>
        <v>0</v>
      </c>
      <c r="K947" s="9" t="str">
        <f ca="1">IFERROR(__xludf.DUMMYFUNCTION("""COMPUTED_VALUE"""),"https://krld.radio.com/articles/suspect-arrested-after-16-yr-old-found-shot-near-skyline-high-school")</f>
        <v>https://krld.radio.com/articles/suspect-arrested-after-16-yr-old-found-shot-near-skyline-high-school</v>
      </c>
      <c r="L947" s="5">
        <f ca="1">IFERROR(__xludf.DUMMYFUNCTION("""COMPUTED_VALUE"""),1)</f>
        <v>1</v>
      </c>
      <c r="M947" s="5" t="str">
        <f ca="1">IFERROR(__xludf.DUMMYFUNCTION("""COMPUTED_VALUE"""),"Local")</f>
        <v>Local</v>
      </c>
      <c r="N947" s="5">
        <f ca="1">IFERROR(__xludf.DUMMYFUNCTION("""COMPUTED_VALUE"""),2)</f>
        <v>2</v>
      </c>
      <c r="O947" s="5" t="str">
        <f ca="1">IFERROR(__xludf.DUMMYFUNCTION("""COMPUTED_VALUE"""),"Summer")</f>
        <v>Summer</v>
      </c>
      <c r="P947" s="5" t="str">
        <f ca="1">IFERROR(__xludf.DUMMYFUNCTION("""COMPUTED_VALUE"""),"Dallas")</f>
        <v>Dallas</v>
      </c>
      <c r="Q947" s="5" t="str">
        <f ca="1">IFERROR(__xludf.DUMMYFUNCTION("""COMPUTED_VALUE"""),"TX")</f>
        <v>TX</v>
      </c>
      <c r="R947" s="5" t="str">
        <f ca="1">IFERROR(__xludf.DUMMYFUNCTION("""COMPUTED_VALUE"""),"High")</f>
        <v>High</v>
      </c>
      <c r="S947" s="5" t="str">
        <f ca="1">IFERROR(__xludf.DUMMYFUNCTION("""COMPUTED_VALUE"""),"Football Field/Track")</f>
        <v>Football Field/Track</v>
      </c>
      <c r="T947" s="5" t="str">
        <f ca="1">IFERROR(__xludf.DUMMYFUNCTION("""COMPUTED_VALUE"""),"Outside on School Property")</f>
        <v>Outside on School Property</v>
      </c>
      <c r="U947" s="5" t="str">
        <f ca="1">IFERROR(__xludf.DUMMYFUNCTION("""COMPUTED_VALUE"""),"No")</f>
        <v>No</v>
      </c>
      <c r="V947" s="5" t="str">
        <f ca="1">IFERROR(__xludf.DUMMYFUNCTION("""COMPUTED_VALUE"""),"Before School")</f>
        <v>Before School</v>
      </c>
      <c r="W947" s="10">
        <f ca="1">IFERROR(__xludf.DUMMYFUNCTION("""COMPUTED_VALUE"""),0.208333333333333)</f>
        <v>0.20833333333333301</v>
      </c>
      <c r="X947" s="5">
        <f ca="1">IFERROR(__xludf.DUMMYFUNCTION("""COMPUTED_VALUE"""),1)</f>
        <v>1</v>
      </c>
      <c r="Y947" s="5" t="str">
        <f ca="1">IFERROR(__xludf.DUMMYFUNCTION("""COMPUTED_VALUE"""),"Victim shot while walking around track at school football field")</f>
        <v>Victim shot while walking around track at school football field</v>
      </c>
      <c r="Z947" s="5" t="str">
        <f ca="1">IFERROR(__xludf.DUMMYFUNCTION("""COMPUTED_VALUE"""),"16YOF shot in the ankle while walking around the track at the school football field at 5:00 AM. Suspect fired multiple shots and then fled the scene. The suspect did not know the shooter. Unidentified suspect in custody.")</f>
        <v>16YOF shot in the ankle while walking around the track at the school football field at 5:00 AM. Suspect fired multiple shots and then fled the scene. The suspect did not know the shooter. Unidentified suspect in custody.</v>
      </c>
      <c r="AA947" s="5" t="str">
        <f ca="1">IFERROR(__xludf.DUMMYFUNCTION("""COMPUTED_VALUE"""),"Unknown")</f>
        <v>Unknown</v>
      </c>
      <c r="AB947" s="5"/>
      <c r="AC947" s="5"/>
      <c r="AD947" s="5" t="str">
        <f ca="1">IFERROR(__xludf.DUMMYFUNCTION("""COMPUTED_VALUE"""),"No")</f>
        <v>No</v>
      </c>
      <c r="AE947" s="5" t="str">
        <f ca="1">IFERROR(__xludf.DUMMYFUNCTION("""COMPUTED_VALUE"""),"No")</f>
        <v>No</v>
      </c>
      <c r="AF947" s="5" t="str">
        <f ca="1">IFERROR(__xludf.DUMMYFUNCTION("""COMPUTED_VALUE"""),"No")</f>
        <v>No</v>
      </c>
      <c r="AG947" s="5" t="str">
        <f ca="1">IFERROR(__xludf.DUMMYFUNCTION("""COMPUTED_VALUE"""),"No")</f>
        <v>No</v>
      </c>
      <c r="AH947" s="5" t="str">
        <f ca="1">IFERROR(__xludf.DUMMYFUNCTION("""COMPUTED_VALUE"""),"No")</f>
        <v>No</v>
      </c>
      <c r="AI947" s="5"/>
      <c r="AJ947" s="5" t="str">
        <f ca="1">IFERROR(__xludf.DUMMYFUNCTION("""COMPUTED_VALUE"""),"No")</f>
        <v>No</v>
      </c>
    </row>
    <row r="948" spans="1:36" ht="13">
      <c r="A948" s="5" t="str">
        <f ca="1">IFERROR(__xludf.DUMMYFUNCTION("""COMPUTED_VALUE"""),"20180617ORGRP")</f>
        <v>20180617ORGRP</v>
      </c>
      <c r="B948" s="5">
        <f ca="1">IFERROR(__xludf.DUMMYFUNCTION("""COMPUTED_VALUE"""),6)</f>
        <v>6</v>
      </c>
      <c r="C948" s="5">
        <f ca="1">IFERROR(__xludf.DUMMYFUNCTION("""COMPUTED_VALUE"""),17)</f>
        <v>17</v>
      </c>
      <c r="D948" s="5">
        <f ca="1">IFERROR(__xludf.DUMMYFUNCTION("""COMPUTED_VALUE"""),2018)</f>
        <v>2018</v>
      </c>
      <c r="E948" s="8">
        <f ca="1">IFERROR(__xludf.DUMMYFUNCTION("""COMPUTED_VALUE"""),43268)</f>
        <v>43268</v>
      </c>
      <c r="F948" s="5" t="str">
        <f ca="1">IFERROR(__xludf.DUMMYFUNCTION("""COMPUTED_VALUE"""),"Grant High School")</f>
        <v>Grant High School</v>
      </c>
      <c r="G948" s="5">
        <f ca="1">IFERROR(__xludf.DUMMYFUNCTION("""COMPUTED_VALUE"""),1)</f>
        <v>1</v>
      </c>
      <c r="H948" s="5">
        <f ca="1">IFERROR(__xludf.DUMMYFUNCTION("""COMPUTED_VALUE"""),0)</f>
        <v>0</v>
      </c>
      <c r="I948" s="5">
        <f ca="1">IFERROR(__xludf.DUMMYFUNCTION("""COMPUTED_VALUE"""),1)</f>
        <v>1</v>
      </c>
      <c r="J948" s="5">
        <f ca="1">IFERROR(__xludf.DUMMYFUNCTION("""COMPUTED_VALUE"""),0)</f>
        <v>0</v>
      </c>
      <c r="K948" s="9" t="str">
        <f ca="1">IFERROR(__xludf.DUMMYFUNCTION("""COMPUTED_VALUE"""),"http://katu.com/news/local/police-man-found-shot-killed-on-se-portland-grant-high-school-track")</f>
        <v>http://katu.com/news/local/police-man-found-shot-killed-on-se-portland-grant-high-school-track</v>
      </c>
      <c r="L948" s="5"/>
      <c r="M948" s="5"/>
      <c r="N948" s="5">
        <f ca="1">IFERROR(__xludf.DUMMYFUNCTION("""COMPUTED_VALUE"""),2)</f>
        <v>2</v>
      </c>
      <c r="O948" s="5" t="str">
        <f ca="1">IFERROR(__xludf.DUMMYFUNCTION("""COMPUTED_VALUE"""),"Summer")</f>
        <v>Summer</v>
      </c>
      <c r="P948" s="5" t="str">
        <f ca="1">IFERROR(__xludf.DUMMYFUNCTION("""COMPUTED_VALUE"""),"Portland")</f>
        <v>Portland</v>
      </c>
      <c r="Q948" s="5" t="str">
        <f ca="1">IFERROR(__xludf.DUMMYFUNCTION("""COMPUTED_VALUE"""),"OR")</f>
        <v>OR</v>
      </c>
      <c r="R948" s="5" t="str">
        <f ca="1">IFERROR(__xludf.DUMMYFUNCTION("""COMPUTED_VALUE"""),"High")</f>
        <v>High</v>
      </c>
      <c r="S948" s="5" t="str">
        <f ca="1">IFERROR(__xludf.DUMMYFUNCTION("""COMPUTED_VALUE"""),"Football Field/Track")</f>
        <v>Football Field/Track</v>
      </c>
      <c r="T948" s="5" t="str">
        <f ca="1">IFERROR(__xludf.DUMMYFUNCTION("""COMPUTED_VALUE"""),"Outside on School Property")</f>
        <v>Outside on School Property</v>
      </c>
      <c r="U948" s="5" t="str">
        <f ca="1">IFERROR(__xludf.DUMMYFUNCTION("""COMPUTED_VALUE"""),"No")</f>
        <v>No</v>
      </c>
      <c r="V948" s="5" t="str">
        <f ca="1">IFERROR(__xludf.DUMMYFUNCTION("""COMPUTED_VALUE"""),"Night")</f>
        <v>Night</v>
      </c>
      <c r="W948" s="10">
        <f ca="1">IFERROR(__xludf.DUMMYFUNCTION("""COMPUTED_VALUE"""),0.197916666666666)</f>
        <v>0.19791666666666599</v>
      </c>
      <c r="X948" s="5">
        <f ca="1">IFERROR(__xludf.DUMMYFUNCTION("""COMPUTED_VALUE"""),1)</f>
        <v>1</v>
      </c>
      <c r="Y948" s="5" t="str">
        <f ca="1">IFERROR(__xludf.DUMMYFUNCTION("""COMPUTED_VALUE"""),"Man found dead from GSW on the outdoor track")</f>
        <v>Man found dead from GSW on the outdoor track</v>
      </c>
      <c r="Z948" s="5" t="str">
        <f ca="1">IFERROR(__xludf.DUMMYFUNCTION("""COMPUTED_VALUE"""),"Portland police say a man was found shot to death on a high school track.")</f>
        <v>Portland police say a man was found shot to death on a high school track.</v>
      </c>
      <c r="AA948" s="5" t="str">
        <f ca="1">IFERROR(__xludf.DUMMYFUNCTION("""COMPUTED_VALUE"""),"Unknown")</f>
        <v>Unknown</v>
      </c>
      <c r="AB948" s="5"/>
      <c r="AC948" s="5"/>
      <c r="AD948" s="5" t="str">
        <f ca="1">IFERROR(__xludf.DUMMYFUNCTION("""COMPUTED_VALUE"""),"No")</f>
        <v>No</v>
      </c>
      <c r="AE948" s="5" t="str">
        <f ca="1">IFERROR(__xludf.DUMMYFUNCTION("""COMPUTED_VALUE"""),"No")</f>
        <v>No</v>
      </c>
      <c r="AF948" s="5" t="str">
        <f ca="1">IFERROR(__xludf.DUMMYFUNCTION("""COMPUTED_VALUE"""),"No")</f>
        <v>No</v>
      </c>
      <c r="AG948" s="5" t="str">
        <f ca="1">IFERROR(__xludf.DUMMYFUNCTION("""COMPUTED_VALUE"""),"No")</f>
        <v>No</v>
      </c>
      <c r="AH948" s="5" t="str">
        <f ca="1">IFERROR(__xludf.DUMMYFUNCTION("""COMPUTED_VALUE"""),"No")</f>
        <v>No</v>
      </c>
      <c r="AI948" s="5"/>
      <c r="AJ948" s="5" t="str">
        <f ca="1">IFERROR(__xludf.DUMMYFUNCTION("""COMPUTED_VALUE"""),"No")</f>
        <v>No</v>
      </c>
    </row>
    <row r="949" spans="1:36" ht="13">
      <c r="A949" s="5" t="str">
        <f ca="1">IFERROR(__xludf.DUMMYFUNCTION("""COMPUTED_VALUE"""),"20180615OHVAB")</f>
        <v>20180615OHVAB</v>
      </c>
      <c r="B949" s="5">
        <f ca="1">IFERROR(__xludf.DUMMYFUNCTION("""COMPUTED_VALUE"""),6)</f>
        <v>6</v>
      </c>
      <c r="C949" s="5">
        <f ca="1">IFERROR(__xludf.DUMMYFUNCTION("""COMPUTED_VALUE"""),15)</f>
        <v>15</v>
      </c>
      <c r="D949" s="5">
        <f ca="1">IFERROR(__xludf.DUMMYFUNCTION("""COMPUTED_VALUE"""),2018)</f>
        <v>2018</v>
      </c>
      <c r="E949" s="8">
        <f ca="1">IFERROR(__xludf.DUMMYFUNCTION("""COMPUTED_VALUE"""),43266)</f>
        <v>43266</v>
      </c>
      <c r="F949" s="5" t="str">
        <f ca="1">IFERROR(__xludf.DUMMYFUNCTION("""COMPUTED_VALUE"""),"Valley Elementary School")</f>
        <v>Valley Elementary School</v>
      </c>
      <c r="G949" s="5">
        <f ca="1">IFERROR(__xludf.DUMMYFUNCTION("""COMPUTED_VALUE"""),0)</f>
        <v>0</v>
      </c>
      <c r="H949" s="5">
        <f ca="1">IFERROR(__xludf.DUMMYFUNCTION("""COMPUTED_VALUE"""),0)</f>
        <v>0</v>
      </c>
      <c r="I949" s="5">
        <f ca="1">IFERROR(__xludf.DUMMYFUNCTION("""COMPUTED_VALUE"""),0)</f>
        <v>0</v>
      </c>
      <c r="J949" s="5">
        <f ca="1">IFERROR(__xludf.DUMMYFUNCTION("""COMPUTED_VALUE"""),0)</f>
        <v>0</v>
      </c>
      <c r="K949" s="9" t="str">
        <f ca="1">IFERROR(__xludf.DUMMYFUNCTION("""COMPUTED_VALUE"""),"https://www.whio.com/news/local/report-shot-possibly-fired-during-altercation-basketball-court-beavercreek-school/pik2z70Vnp3YXYCS9M5YKN/")</f>
        <v>https://www.whio.com/news/local/report-shot-possibly-fired-during-altercation-basketball-court-beavercreek-school/pik2z70Vnp3YXYCS9M5YKN/</v>
      </c>
      <c r="L949" s="5"/>
      <c r="M949" s="5"/>
      <c r="N949" s="5">
        <f ca="1">IFERROR(__xludf.DUMMYFUNCTION("""COMPUTED_VALUE"""),2)</f>
        <v>2</v>
      </c>
      <c r="O949" s="5" t="str">
        <f ca="1">IFERROR(__xludf.DUMMYFUNCTION("""COMPUTED_VALUE"""),"Summer")</f>
        <v>Summer</v>
      </c>
      <c r="P949" s="5" t="str">
        <f ca="1">IFERROR(__xludf.DUMMYFUNCTION("""COMPUTED_VALUE"""),"Beaver Creek")</f>
        <v>Beaver Creek</v>
      </c>
      <c r="Q949" s="5" t="str">
        <f ca="1">IFERROR(__xludf.DUMMYFUNCTION("""COMPUTED_VALUE"""),"OH")</f>
        <v>OH</v>
      </c>
      <c r="R949" s="5" t="str">
        <f ca="1">IFERROR(__xludf.DUMMYFUNCTION("""COMPUTED_VALUE"""),"Elementary")</f>
        <v>Elementary</v>
      </c>
      <c r="S949" s="5" t="str">
        <f ca="1">IFERROR(__xludf.DUMMYFUNCTION("""COMPUTED_VALUE"""),"Basketball Court")</f>
        <v>Basketball Court</v>
      </c>
      <c r="T949" s="5" t="str">
        <f ca="1">IFERROR(__xludf.DUMMYFUNCTION("""COMPUTED_VALUE"""),"Outside on School Property")</f>
        <v>Outside on School Property</v>
      </c>
      <c r="U949" s="5" t="str">
        <f ca="1">IFERROR(__xludf.DUMMYFUNCTION("""COMPUTED_VALUE"""),"No")</f>
        <v>No</v>
      </c>
      <c r="V949" s="5" t="str">
        <f ca="1">IFERROR(__xludf.DUMMYFUNCTION("""COMPUTED_VALUE"""),"Night")</f>
        <v>Night</v>
      </c>
      <c r="W949" s="10">
        <f ca="1">IFERROR(__xludf.DUMMYFUNCTION("""COMPUTED_VALUE"""),0.166666666666666)</f>
        <v>0.16666666666666599</v>
      </c>
      <c r="X949" s="5">
        <f ca="1">IFERROR(__xludf.DUMMYFUNCTION("""COMPUTED_VALUE"""),1)</f>
        <v>1</v>
      </c>
      <c r="Y949" s="5" t="str">
        <f ca="1">IFERROR(__xludf.DUMMYFUNCTION("""COMPUTED_VALUE"""),"Shot fired during domestic dispute on basketball court")</f>
        <v>Shot fired during domestic dispute on basketball court</v>
      </c>
      <c r="Z949" s="5" t="str">
        <f ca="1">IFERROR(__xludf.DUMMYFUNCTION("""COMPUTED_VALUE"""),"17YOM fired shot at female during a domestic dispute on the basketball court of the elementary school at 4:00 AM. Shell casing was found but all parties involved were gone when police arrived. Shooter was arrested later.")</f>
        <v>17YOM fired shot at female during a domestic dispute on the basketball court of the elementary school at 4:00 AM. Shell casing was found but all parties involved were gone when police arrived. Shooter was arrested later.</v>
      </c>
      <c r="AA949" s="5" t="str">
        <f ca="1">IFERROR(__xludf.DUMMYFUNCTION("""COMPUTED_VALUE"""),"Domestic w/ Targeted Victim")</f>
        <v>Domestic w/ Targeted Victim</v>
      </c>
      <c r="AB949" s="5" t="str">
        <f ca="1">IFERROR(__xludf.DUMMYFUNCTION("""COMPUTED_VALUE"""),"Victims Targeted")</f>
        <v>Victims Targeted</v>
      </c>
      <c r="AC949" s="5"/>
      <c r="AD949" s="5" t="str">
        <f ca="1">IFERROR(__xludf.DUMMYFUNCTION("""COMPUTED_VALUE"""),"No")</f>
        <v>No</v>
      </c>
      <c r="AE949" s="5" t="str">
        <f ca="1">IFERROR(__xludf.DUMMYFUNCTION("""COMPUTED_VALUE"""),"No")</f>
        <v>No</v>
      </c>
      <c r="AF949" s="5" t="str">
        <f ca="1">IFERROR(__xludf.DUMMYFUNCTION("""COMPUTED_VALUE"""),"No")</f>
        <v>No</v>
      </c>
      <c r="AG949" s="5" t="str">
        <f ca="1">IFERROR(__xludf.DUMMYFUNCTION("""COMPUTED_VALUE"""),"No")</f>
        <v>No</v>
      </c>
      <c r="AH949" s="5" t="str">
        <f ca="1">IFERROR(__xludf.DUMMYFUNCTION("""COMPUTED_VALUE"""),"Yes")</f>
        <v>Yes</v>
      </c>
      <c r="AI949" s="5" t="str">
        <f ca="1">IFERROR(__xludf.DUMMYFUNCTION("""COMPUTED_VALUE"""),"No")</f>
        <v>No</v>
      </c>
      <c r="AJ949" s="5" t="str">
        <f ca="1">IFERROR(__xludf.DUMMYFUNCTION("""COMPUTED_VALUE"""),"No")</f>
        <v>No</v>
      </c>
    </row>
    <row r="950" spans="1:36" ht="13">
      <c r="A950" s="5" t="str">
        <f ca="1">IFERROR(__xludf.DUMMYFUNCTION("""COMPUTED_VALUE"""),"20180601TXMCM")</f>
        <v>20180601TXMCM</v>
      </c>
      <c r="B950" s="5">
        <f ca="1">IFERROR(__xludf.DUMMYFUNCTION("""COMPUTED_VALUE"""),6)</f>
        <v>6</v>
      </c>
      <c r="C950" s="5">
        <f ca="1">IFERROR(__xludf.DUMMYFUNCTION("""COMPUTED_VALUE"""),1)</f>
        <v>1</v>
      </c>
      <c r="D950" s="5">
        <f ca="1">IFERROR(__xludf.DUMMYFUNCTION("""COMPUTED_VALUE"""),2018)</f>
        <v>2018</v>
      </c>
      <c r="E950" s="8">
        <f ca="1">IFERROR(__xludf.DUMMYFUNCTION("""COMPUTED_VALUE"""),43252)</f>
        <v>43252</v>
      </c>
      <c r="F950" s="5" t="str">
        <f ca="1">IFERROR(__xludf.DUMMYFUNCTION("""COMPUTED_VALUE"""),"McKinney North High School")</f>
        <v>McKinney North High School</v>
      </c>
      <c r="G950" s="5">
        <f ca="1">IFERROR(__xludf.DUMMYFUNCTION("""COMPUTED_VALUE"""),0)</f>
        <v>0</v>
      </c>
      <c r="H950" s="5">
        <f ca="1">IFERROR(__xludf.DUMMYFUNCTION("""COMPUTED_VALUE"""),0)</f>
        <v>0</v>
      </c>
      <c r="I950" s="5">
        <f ca="1">IFERROR(__xludf.DUMMYFUNCTION("""COMPUTED_VALUE"""),0)</f>
        <v>0</v>
      </c>
      <c r="J950" s="5">
        <f ca="1">IFERROR(__xludf.DUMMYFUNCTION("""COMPUTED_VALUE"""),1)</f>
        <v>1</v>
      </c>
      <c r="K950" s="5" t="str">
        <f ca="1">IFERROR(__xludf.DUMMYFUNCTION("""COMPUTED_VALUE"""),"http://www.fox4news.com/news/police-shots-fired-a-mckinney-north-high-school-were-self-inflicted
https://www.fox4news.com/news/student-commits-suicide-at-mckinney-north-high-school")</f>
        <v>http://www.fox4news.com/news/police-shots-fired-a-mckinney-north-high-school-were-self-inflicted
https://www.fox4news.com/news/student-commits-suicide-at-mckinney-north-high-school</v>
      </c>
      <c r="L950" s="5"/>
      <c r="M950" s="5" t="str">
        <f ca="1">IFERROR(__xludf.DUMMYFUNCTION("""COMPUTED_VALUE"""),"Local")</f>
        <v>Local</v>
      </c>
      <c r="N950" s="5">
        <f ca="1">IFERROR(__xludf.DUMMYFUNCTION("""COMPUTED_VALUE"""),4)</f>
        <v>4</v>
      </c>
      <c r="O950" s="5" t="str">
        <f ca="1">IFERROR(__xludf.DUMMYFUNCTION("""COMPUTED_VALUE"""),"Summer")</f>
        <v>Summer</v>
      </c>
      <c r="P950" s="5" t="str">
        <f ca="1">IFERROR(__xludf.DUMMYFUNCTION("""COMPUTED_VALUE"""),"McKinney")</f>
        <v>McKinney</v>
      </c>
      <c r="Q950" s="5" t="str">
        <f ca="1">IFERROR(__xludf.DUMMYFUNCTION("""COMPUTED_VALUE"""),"TX")</f>
        <v>TX</v>
      </c>
      <c r="R950" s="5" t="str">
        <f ca="1">IFERROR(__xludf.DUMMYFUNCTION("""COMPUTED_VALUE"""),"High")</f>
        <v>High</v>
      </c>
      <c r="S950" s="5" t="str">
        <f ca="1">IFERROR(__xludf.DUMMYFUNCTION("""COMPUTED_VALUE"""),"Classroom")</f>
        <v>Classroom</v>
      </c>
      <c r="T950" s="5" t="str">
        <f ca="1">IFERROR(__xludf.DUMMYFUNCTION("""COMPUTED_VALUE"""),"Inside School Building")</f>
        <v>Inside School Building</v>
      </c>
      <c r="U950" s="5" t="str">
        <f ca="1">IFERROR(__xludf.DUMMYFUNCTION("""COMPUTED_VALUE"""),"Yes")</f>
        <v>Yes</v>
      </c>
      <c r="V950" s="5" t="str">
        <f ca="1">IFERROR(__xludf.DUMMYFUNCTION("""COMPUTED_VALUE"""),"Morning Classes")</f>
        <v>Morning Classes</v>
      </c>
      <c r="W950" s="5"/>
      <c r="X950" s="5">
        <f ca="1">IFERROR(__xludf.DUMMYFUNCTION("""COMPUTED_VALUE"""),1)</f>
        <v>1</v>
      </c>
      <c r="Y950" s="5" t="str">
        <f ca="1">IFERROR(__xludf.DUMMYFUNCTION("""COMPUTED_VALUE"""),"Student commit suicide in classroom")</f>
        <v>Student commit suicide in classroom</v>
      </c>
      <c r="Z950" s="5" t="str">
        <f ca="1">IFERROR(__xludf.DUMMYFUNCTION("""COMPUTED_VALUE"""),"Student commit suicide in classroom. Found by teacher and student. School locked down following single gunshot.")</f>
        <v>Student commit suicide in classroom. Found by teacher and student. School locked down following single gunshot.</v>
      </c>
      <c r="AA950" s="5" t="str">
        <f ca="1">IFERROR(__xludf.DUMMYFUNCTION("""COMPUTED_VALUE"""),"Suicide/Attempted")</f>
        <v>Suicide/Attempted</v>
      </c>
      <c r="AB950" s="5" t="str">
        <f ca="1">IFERROR(__xludf.DUMMYFUNCTION("""COMPUTED_VALUE"""),"Victims Targeted")</f>
        <v>Victims Targeted</v>
      </c>
      <c r="AC950" s="5" t="str">
        <f ca="1">IFERROR(__xludf.DUMMYFUNCTION("""COMPUTED_VALUE"""),"No")</f>
        <v>No</v>
      </c>
      <c r="AD950" s="5" t="str">
        <f ca="1">IFERROR(__xludf.DUMMYFUNCTION("""COMPUTED_VALUE"""),"No")</f>
        <v>No</v>
      </c>
      <c r="AE950" s="5" t="str">
        <f ca="1">IFERROR(__xludf.DUMMYFUNCTION("""COMPUTED_VALUE"""),"No")</f>
        <v>No</v>
      </c>
      <c r="AF950" s="5" t="str">
        <f ca="1">IFERROR(__xludf.DUMMYFUNCTION("""COMPUTED_VALUE"""),"No")</f>
        <v>No</v>
      </c>
      <c r="AG950" s="5" t="str">
        <f ca="1">IFERROR(__xludf.DUMMYFUNCTION("""COMPUTED_VALUE"""),"No")</f>
        <v>No</v>
      </c>
      <c r="AH950" s="5" t="str">
        <f ca="1">IFERROR(__xludf.DUMMYFUNCTION("""COMPUTED_VALUE"""),"No")</f>
        <v>No</v>
      </c>
      <c r="AI950" s="5" t="str">
        <f ca="1">IFERROR(__xludf.DUMMYFUNCTION("""COMPUTED_VALUE"""),"No")</f>
        <v>No</v>
      </c>
      <c r="AJ950" s="5" t="str">
        <f ca="1">IFERROR(__xludf.DUMMYFUNCTION("""COMPUTED_VALUE"""),"No")</f>
        <v>No</v>
      </c>
    </row>
    <row r="951" spans="1:36" ht="13">
      <c r="A951" s="5" t="str">
        <f ca="1">IFERROR(__xludf.DUMMYFUNCTION("""COMPUTED_VALUE"""),"20180525INNON")</f>
        <v>20180525INNON</v>
      </c>
      <c r="B951" s="5">
        <f ca="1">IFERROR(__xludf.DUMMYFUNCTION("""COMPUTED_VALUE"""),5)</f>
        <v>5</v>
      </c>
      <c r="C951" s="5">
        <f ca="1">IFERROR(__xludf.DUMMYFUNCTION("""COMPUTED_VALUE"""),25)</f>
        <v>25</v>
      </c>
      <c r="D951" s="5">
        <f ca="1">IFERROR(__xludf.DUMMYFUNCTION("""COMPUTED_VALUE"""),2018)</f>
        <v>2018</v>
      </c>
      <c r="E951" s="8">
        <f ca="1">IFERROR(__xludf.DUMMYFUNCTION("""COMPUTED_VALUE"""),43245)</f>
        <v>43245</v>
      </c>
      <c r="F951" s="5" t="str">
        <f ca="1">IFERROR(__xludf.DUMMYFUNCTION("""COMPUTED_VALUE"""),"Noblesville West Middle School")</f>
        <v>Noblesville West Middle School</v>
      </c>
      <c r="G951" s="5">
        <f ca="1">IFERROR(__xludf.DUMMYFUNCTION("""COMPUTED_VALUE"""),0)</f>
        <v>0</v>
      </c>
      <c r="H951" s="5">
        <f ca="1">IFERROR(__xludf.DUMMYFUNCTION("""COMPUTED_VALUE"""),2)</f>
        <v>2</v>
      </c>
      <c r="I951" s="5">
        <f ca="1">IFERROR(__xludf.DUMMYFUNCTION("""COMPUTED_VALUE"""),2)</f>
        <v>2</v>
      </c>
      <c r="J951" s="5">
        <f ca="1">IFERROR(__xludf.DUMMYFUNCTION("""COMPUTED_VALUE"""),0)</f>
        <v>0</v>
      </c>
      <c r="K951" s="9" t="str">
        <f ca="1">IFERROR(__xludf.DUMMYFUNCTION("""COMPUTED_VALUE"""),"https://www.indystar.com/story/news/crime/2018/05/29/noblesville-indiana-middle-school-shooting-unanswered-questions-shooter-weapons-victims/650866002/")</f>
        <v>https://www.indystar.com/story/news/crime/2018/05/29/noblesville-indiana-middle-school-shooting-unanswered-questions-shooter-weapons-victims/650866002/</v>
      </c>
      <c r="L951" s="5">
        <f ca="1">IFERROR(__xludf.DUMMYFUNCTION("""COMPUTED_VALUE"""),100)</f>
        <v>100</v>
      </c>
      <c r="M951" s="5" t="str">
        <f ca="1">IFERROR(__xludf.DUMMYFUNCTION("""COMPUTED_VALUE"""),"National")</f>
        <v>National</v>
      </c>
      <c r="N951" s="5">
        <f ca="1">IFERROR(__xludf.DUMMYFUNCTION("""COMPUTED_VALUE"""),4)</f>
        <v>4</v>
      </c>
      <c r="O951" s="5" t="str">
        <f ca="1">IFERROR(__xludf.DUMMYFUNCTION("""COMPUTED_VALUE"""),"Spring")</f>
        <v>Spring</v>
      </c>
      <c r="P951" s="5" t="str">
        <f ca="1">IFERROR(__xludf.DUMMYFUNCTION("""COMPUTED_VALUE"""),"Noblesville")</f>
        <v>Noblesville</v>
      </c>
      <c r="Q951" s="5" t="str">
        <f ca="1">IFERROR(__xludf.DUMMYFUNCTION("""COMPUTED_VALUE"""),"IN")</f>
        <v>IN</v>
      </c>
      <c r="R951" s="5" t="str">
        <f ca="1">IFERROR(__xludf.DUMMYFUNCTION("""COMPUTED_VALUE"""),"Middle")</f>
        <v>Middle</v>
      </c>
      <c r="S951" s="5" t="str">
        <f ca="1">IFERROR(__xludf.DUMMYFUNCTION("""COMPUTED_VALUE"""),"Classroom")</f>
        <v>Classroom</v>
      </c>
      <c r="T951" s="5" t="str">
        <f ca="1">IFERROR(__xludf.DUMMYFUNCTION("""COMPUTED_VALUE"""),"Inside School Building")</f>
        <v>Inside School Building</v>
      </c>
      <c r="U951" s="5" t="str">
        <f ca="1">IFERROR(__xludf.DUMMYFUNCTION("""COMPUTED_VALUE"""),"Yes")</f>
        <v>Yes</v>
      </c>
      <c r="V951" s="5" t="str">
        <f ca="1">IFERROR(__xludf.DUMMYFUNCTION("""COMPUTED_VALUE"""),"Morning Classes")</f>
        <v>Morning Classes</v>
      </c>
      <c r="W951" s="10">
        <f ca="1">IFERROR(__xludf.DUMMYFUNCTION("""COMPUTED_VALUE"""),0.375)</f>
        <v>0.375</v>
      </c>
      <c r="X951" s="5">
        <f ca="1">IFERROR(__xludf.DUMMYFUNCTION("""COMPUTED_VALUE"""),1)</f>
        <v>1</v>
      </c>
      <c r="Y951" s="5" t="str">
        <f ca="1">IFERROR(__xludf.DUMMYFUNCTION("""COMPUTED_VALUE"""),"Planned attack by student, stopped by teacher")</f>
        <v>Planned attack by student, stopped by teacher</v>
      </c>
      <c r="Z951" s="5" t="str">
        <f ca="1">IFERROR(__xludf.DUMMYFUNCTION("""COMPUTED_VALUE"""),"Shooter (male student) asked to be excused, walked back into classroom and pulled two handguns from his pockets. Shooter fired and wounded a female student. Teacher was holding a basketball and threw it at the shooter then tackled him. Teacher was shot 3 "&amp;"times while charging at the shooter. Teacher was able to hold the student down until police arrived. Shooter was reported as a ""nice funny guy"". Weapons: .22 and .45")</f>
        <v>Shooter (male student) asked to be excused, walked back into classroom and pulled two handguns from his pockets. Shooter fired and wounded a female student. Teacher was holding a basketball and threw it at the shooter then tackled him. Teacher was shot 3 times while charging at the shooter. Teacher was able to hold the student down until police arrived. Shooter was reported as a "nice funny guy". Weapons: .22 and .45</v>
      </c>
      <c r="AA951" s="5" t="str">
        <f ca="1">IFERROR(__xludf.DUMMYFUNCTION("""COMPUTED_VALUE"""),"Indiscriminate Shooting")</f>
        <v>Indiscriminate Shooting</v>
      </c>
      <c r="AB951" s="5" t="str">
        <f ca="1">IFERROR(__xludf.DUMMYFUNCTION("""COMPUTED_VALUE"""),"Victims Targeted")</f>
        <v>Victims Targeted</v>
      </c>
      <c r="AC951" s="5" t="str">
        <f ca="1">IFERROR(__xludf.DUMMYFUNCTION("""COMPUTED_VALUE"""),"No")</f>
        <v>No</v>
      </c>
      <c r="AD951" s="5" t="str">
        <f ca="1">IFERROR(__xludf.DUMMYFUNCTION("""COMPUTED_VALUE"""),"No")</f>
        <v>No</v>
      </c>
      <c r="AE951" s="5" t="str">
        <f ca="1">IFERROR(__xludf.DUMMYFUNCTION("""COMPUTED_VALUE"""),"No")</f>
        <v>No</v>
      </c>
      <c r="AF951" s="5" t="str">
        <f ca="1">IFERROR(__xludf.DUMMYFUNCTION("""COMPUTED_VALUE"""),"No")</f>
        <v>No</v>
      </c>
      <c r="AG951" s="5" t="str">
        <f ca="1">IFERROR(__xludf.DUMMYFUNCTION("""COMPUTED_VALUE"""),"No")</f>
        <v>No</v>
      </c>
      <c r="AH951" s="5" t="str">
        <f ca="1">IFERROR(__xludf.DUMMYFUNCTION("""COMPUTED_VALUE"""),"No")</f>
        <v>No</v>
      </c>
      <c r="AI951" s="5" t="str">
        <f ca="1">IFERROR(__xludf.DUMMYFUNCTION("""COMPUTED_VALUE"""),"No")</f>
        <v>No</v>
      </c>
      <c r="AJ951" s="5" t="str">
        <f ca="1">IFERROR(__xludf.DUMMYFUNCTION("""COMPUTED_VALUE"""),"Yes")</f>
        <v>Yes</v>
      </c>
    </row>
    <row r="952" spans="1:36" ht="13">
      <c r="A952" s="5" t="str">
        <f ca="1">IFERROR(__xludf.DUMMYFUNCTION("""COMPUTED_VALUE"""),"20180521GABEG")</f>
        <v>20180521GABEG</v>
      </c>
      <c r="B952" s="5">
        <f ca="1">IFERROR(__xludf.DUMMYFUNCTION("""COMPUTED_VALUE"""),5)</f>
        <v>5</v>
      </c>
      <c r="C952" s="5">
        <f ca="1">IFERROR(__xludf.DUMMYFUNCTION("""COMPUTED_VALUE"""),21)</f>
        <v>21</v>
      </c>
      <c r="D952" s="5">
        <f ca="1">IFERROR(__xludf.DUMMYFUNCTION("""COMPUTED_VALUE"""),2018)</f>
        <v>2018</v>
      </c>
      <c r="E952" s="8">
        <f ca="1">IFERROR(__xludf.DUMMYFUNCTION("""COMPUTED_VALUE"""),43241)</f>
        <v>43241</v>
      </c>
      <c r="F952" s="5" t="str">
        <f ca="1">IFERROR(__xludf.DUMMYFUNCTION("""COMPUTED_VALUE"""),"Beaverbrook Elementary School")</f>
        <v>Beaverbrook Elementary School</v>
      </c>
      <c r="G952" s="5">
        <f ca="1">IFERROR(__xludf.DUMMYFUNCTION("""COMPUTED_VALUE"""),0)</f>
        <v>0</v>
      </c>
      <c r="H952" s="5">
        <f ca="1">IFERROR(__xludf.DUMMYFUNCTION("""COMPUTED_VALUE"""),1)</f>
        <v>1</v>
      </c>
      <c r="I952" s="5">
        <f ca="1">IFERROR(__xludf.DUMMYFUNCTION("""COMPUTED_VALUE"""),1)</f>
        <v>1</v>
      </c>
      <c r="J952" s="5">
        <f ca="1">IFERROR(__xludf.DUMMYFUNCTION("""COMPUTED_VALUE"""),0)</f>
        <v>0</v>
      </c>
      <c r="K952" s="9" t="str">
        <f ca="1">IFERROR(__xludf.DUMMYFUNCTION("""COMPUTED_VALUE"""),"https://www.wsbtv.com/news/local/breaking-personshot-in-elementary-school-parking-lot/753941792")</f>
        <v>https://www.wsbtv.com/news/local/breaking-personshot-in-elementary-school-parking-lot/753941792</v>
      </c>
      <c r="L952" s="5"/>
      <c r="M952" s="5"/>
      <c r="N952" s="5">
        <f ca="1">IFERROR(__xludf.DUMMYFUNCTION("""COMPUTED_VALUE"""),2)</f>
        <v>2</v>
      </c>
      <c r="O952" s="5" t="str">
        <f ca="1">IFERROR(__xludf.DUMMYFUNCTION("""COMPUTED_VALUE"""),"Spring")</f>
        <v>Spring</v>
      </c>
      <c r="P952" s="5" t="str">
        <f ca="1">IFERROR(__xludf.DUMMYFUNCTION("""COMPUTED_VALUE"""),"Griffin")</f>
        <v>Griffin</v>
      </c>
      <c r="Q952" s="5" t="str">
        <f ca="1">IFERROR(__xludf.DUMMYFUNCTION("""COMPUTED_VALUE"""),"GA")</f>
        <v>GA</v>
      </c>
      <c r="R952" s="5" t="str">
        <f ca="1">IFERROR(__xludf.DUMMYFUNCTION("""COMPUTED_VALUE"""),"High")</f>
        <v>High</v>
      </c>
      <c r="S952" s="5" t="str">
        <f ca="1">IFERROR(__xludf.DUMMYFUNCTION("""COMPUTED_VALUE"""),"Parking Lot")</f>
        <v>Parking Lot</v>
      </c>
      <c r="T952" s="5" t="str">
        <f ca="1">IFERROR(__xludf.DUMMYFUNCTION("""COMPUTED_VALUE"""),"Outside on School Property")</f>
        <v>Outside on School Property</v>
      </c>
      <c r="U952" s="5" t="str">
        <f ca="1">IFERROR(__xludf.DUMMYFUNCTION("""COMPUTED_VALUE"""),"Yes")</f>
        <v>Yes</v>
      </c>
      <c r="V952" s="5" t="str">
        <f ca="1">IFERROR(__xludf.DUMMYFUNCTION("""COMPUTED_VALUE"""),"Afternoon Classes")</f>
        <v>Afternoon Classes</v>
      </c>
      <c r="W952" s="5"/>
      <c r="X952" s="5">
        <f ca="1">IFERROR(__xludf.DUMMYFUNCTION("""COMPUTED_VALUE"""),1)</f>
        <v>1</v>
      </c>
      <c r="Y952" s="5" t="str">
        <f ca="1">IFERROR(__xludf.DUMMYFUNCTION("""COMPUTED_VALUE"""),"Woman shot in school parking lot")</f>
        <v>Woman shot in school parking lot</v>
      </c>
      <c r="Z952" s="5" t="str">
        <f ca="1">IFERROR(__xludf.DUMMYFUNCTION("""COMPUTED_VALUE"""),"Woman shot in the parking lot. Police said the shooting was unrelated to the school and students were not in danger. No suspect or motive identified. Unclear if shooting was intentional or targeted.")</f>
        <v>Woman shot in the parking lot. Police said the shooting was unrelated to the school and students were not in danger. No suspect or motive identified. Unclear if shooting was intentional or targeted.</v>
      </c>
      <c r="AA952" s="5" t="str">
        <f ca="1">IFERROR(__xludf.DUMMYFUNCTION("""COMPUTED_VALUE"""),"Unknown")</f>
        <v>Unknown</v>
      </c>
      <c r="AB952" s="5" t="str">
        <f ca="1">IFERROR(__xludf.DUMMYFUNCTION("""COMPUTED_VALUE"""),"Random Shooting")</f>
        <v>Random Shooting</v>
      </c>
      <c r="AC952" s="5"/>
      <c r="AD952" s="5" t="str">
        <f ca="1">IFERROR(__xludf.DUMMYFUNCTION("""COMPUTED_VALUE"""),"No")</f>
        <v>No</v>
      </c>
      <c r="AE952" s="5" t="str">
        <f ca="1">IFERROR(__xludf.DUMMYFUNCTION("""COMPUTED_VALUE"""),"No")</f>
        <v>No</v>
      </c>
      <c r="AF952" s="5" t="str">
        <f ca="1">IFERROR(__xludf.DUMMYFUNCTION("""COMPUTED_VALUE"""),"No")</f>
        <v>No</v>
      </c>
      <c r="AG952" s="5" t="str">
        <f ca="1">IFERROR(__xludf.DUMMYFUNCTION("""COMPUTED_VALUE"""),"No")</f>
        <v>No</v>
      </c>
      <c r="AH952" s="5" t="str">
        <f ca="1">IFERROR(__xludf.DUMMYFUNCTION("""COMPUTED_VALUE"""),"No")</f>
        <v>No</v>
      </c>
      <c r="AI952" s="5" t="str">
        <f ca="1">IFERROR(__xludf.DUMMYFUNCTION("""COMPUTED_VALUE"""),"No")</f>
        <v>No</v>
      </c>
      <c r="AJ952" s="5" t="str">
        <f ca="1">IFERROR(__xludf.DUMMYFUNCTION("""COMPUTED_VALUE"""),"No")</f>
        <v>No</v>
      </c>
    </row>
    <row r="953" spans="1:36" ht="13">
      <c r="A953" s="5" t="str">
        <f ca="1">IFERROR(__xludf.DUMMYFUNCTION("""COMPUTED_VALUE"""),"20180518TXSAS")</f>
        <v>20180518TXSAS</v>
      </c>
      <c r="B953" s="5">
        <f ca="1">IFERROR(__xludf.DUMMYFUNCTION("""COMPUTED_VALUE"""),5)</f>
        <v>5</v>
      </c>
      <c r="C953" s="5">
        <f ca="1">IFERROR(__xludf.DUMMYFUNCTION("""COMPUTED_VALUE"""),18)</f>
        <v>18</v>
      </c>
      <c r="D953" s="5">
        <f ca="1">IFERROR(__xludf.DUMMYFUNCTION("""COMPUTED_VALUE"""),2018)</f>
        <v>2018</v>
      </c>
      <c r="E953" s="8">
        <f ca="1">IFERROR(__xludf.DUMMYFUNCTION("""COMPUTED_VALUE"""),43238)</f>
        <v>43238</v>
      </c>
      <c r="F953" s="5" t="str">
        <f ca="1">IFERROR(__xludf.DUMMYFUNCTION("""COMPUTED_VALUE"""),"Santa Fe High School")</f>
        <v>Santa Fe High School</v>
      </c>
      <c r="G953" s="5">
        <f ca="1">IFERROR(__xludf.DUMMYFUNCTION("""COMPUTED_VALUE"""),10)</f>
        <v>10</v>
      </c>
      <c r="H953" s="5">
        <f ca="1">IFERROR(__xludf.DUMMYFUNCTION("""COMPUTED_VALUE"""),13)</f>
        <v>13</v>
      </c>
      <c r="I953" s="5">
        <f ca="1">IFERROR(__xludf.DUMMYFUNCTION("""COMPUTED_VALUE"""),23)</f>
        <v>23</v>
      </c>
      <c r="J953" s="5">
        <f ca="1">IFERROR(__xludf.DUMMYFUNCTION("""COMPUTED_VALUE"""),0)</f>
        <v>0</v>
      </c>
      <c r="K953" s="5" t="str">
        <f ca="1">IFERROR(__xludf.DUMMYFUNCTION("""COMPUTED_VALUE"""),"https://www.wsj.com/articles/dont-scream-how-the-texas-school-shooting-unfolded-1526843867 https://www.cnn.com/2019/11/04/us/santa-fe-school-shooter-incompetent-for-trial/index.html https://www.usatoday.com/story/news/nation/2018/05/19/texas-shooter-no-de"&amp;"ath-penalty/626609002/")</f>
        <v>https://www.wsj.com/articles/dont-scream-how-the-texas-school-shooting-unfolded-1526843867 https://www.cnn.com/2019/11/04/us/santa-fe-school-shooter-incompetent-for-trial/index.html https://www.usatoday.com/story/news/nation/2018/05/19/texas-shooter-no-death-penalty/626609002/</v>
      </c>
      <c r="L953" s="5"/>
      <c r="M953" s="5" t="str">
        <f ca="1">IFERROR(__xludf.DUMMYFUNCTION("""COMPUTED_VALUE"""),"National")</f>
        <v>National</v>
      </c>
      <c r="N953" s="5">
        <f ca="1">IFERROR(__xludf.DUMMYFUNCTION("""COMPUTED_VALUE"""),5)</f>
        <v>5</v>
      </c>
      <c r="O953" s="5" t="str">
        <f ca="1">IFERROR(__xludf.DUMMYFUNCTION("""COMPUTED_VALUE"""),"Spring")</f>
        <v>Spring</v>
      </c>
      <c r="P953" s="5" t="str">
        <f ca="1">IFERROR(__xludf.DUMMYFUNCTION("""COMPUTED_VALUE"""),"Santa Fe")</f>
        <v>Santa Fe</v>
      </c>
      <c r="Q953" s="5" t="str">
        <f ca="1">IFERROR(__xludf.DUMMYFUNCTION("""COMPUTED_VALUE"""),"TX")</f>
        <v>TX</v>
      </c>
      <c r="R953" s="5" t="str">
        <f ca="1">IFERROR(__xludf.DUMMYFUNCTION("""COMPUTED_VALUE"""),"High")</f>
        <v>High</v>
      </c>
      <c r="S953" s="5" t="str">
        <f ca="1">IFERROR(__xludf.DUMMYFUNCTION("""COMPUTED_VALUE"""),"Classroom")</f>
        <v>Classroom</v>
      </c>
      <c r="T953" s="5" t="str">
        <f ca="1">IFERROR(__xludf.DUMMYFUNCTION("""COMPUTED_VALUE"""),"Inside School Building")</f>
        <v>Inside School Building</v>
      </c>
      <c r="U953" s="5" t="str">
        <f ca="1">IFERROR(__xludf.DUMMYFUNCTION("""COMPUTED_VALUE"""),"Yes")</f>
        <v>Yes</v>
      </c>
      <c r="V953" s="5" t="str">
        <f ca="1">IFERROR(__xludf.DUMMYFUNCTION("""COMPUTED_VALUE"""),"Morning Classes")</f>
        <v>Morning Classes</v>
      </c>
      <c r="W953" s="10">
        <f ca="1">IFERROR(__xludf.DUMMYFUNCTION("""COMPUTED_VALUE"""),0.322916666666666)</f>
        <v>0.32291666666666602</v>
      </c>
      <c r="X953" s="5">
        <f ca="1">IFERROR(__xludf.DUMMYFUNCTION("""COMPUTED_VALUE"""),32)</f>
        <v>32</v>
      </c>
      <c r="Y953" s="5" t="str">
        <f ca="1">IFERROR(__xludf.DUMMYFUNCTION("""COMPUTED_VALUE"""),"Planned attack after bullying, 30 minute standoff with police before surrendering")</f>
        <v>Planned attack after bullying, 30 minute standoff with police before surrendering</v>
      </c>
      <c r="Z953" s="5" t="str">
        <f ca="1">IFERROR(__xludf.DUMMYFUNCTION("""COMPUTED_VALUE"""),"Shooter wore a black trench coat and walked into art classroom. Shot multiple teachers and students. Did not shoot students he liked so they could tell the story. Engaged by a SRO and shooter fired striking the SRO. Shooter was barricaded in classroom for"&amp;" approximately 30 minutes before surrendering to police. Shooter had extensive planning documents. IEDs were found at school and at shooter's home. Online postings about being ""born to kill"" and photos of extremist paraphernalia. Extensive bullying.")</f>
        <v>Shooter wore a black trench coat and walked into art classroom. Shot multiple teachers and students. Did not shoot students he liked so they could tell the story. Engaged by a SRO and shooter fired striking the SRO. Shooter was barricaded in classroom for approximately 30 minutes before surrendering to police. Shooter had extensive planning documents. IEDs were found at school and at shooter's home. Online postings about being "born to kill" and photos of extremist paraphernalia. Extensive bullying.</v>
      </c>
      <c r="AA953" s="5" t="str">
        <f ca="1">IFERROR(__xludf.DUMMYFUNCTION("""COMPUTED_VALUE"""),"Indiscriminate Shooting")</f>
        <v>Indiscriminate Shooting</v>
      </c>
      <c r="AB953" s="5" t="str">
        <f ca="1">IFERROR(__xludf.DUMMYFUNCTION("""COMPUTED_VALUE"""),"Both")</f>
        <v>Both</v>
      </c>
      <c r="AC953" s="5" t="str">
        <f ca="1">IFERROR(__xludf.DUMMYFUNCTION("""COMPUTED_VALUE"""),"No")</f>
        <v>No</v>
      </c>
      <c r="AD953" s="5" t="str">
        <f ca="1">IFERROR(__xludf.DUMMYFUNCTION("""COMPUTED_VALUE"""),"No")</f>
        <v>No</v>
      </c>
      <c r="AE953" s="5" t="str">
        <f ca="1">IFERROR(__xludf.DUMMYFUNCTION("""COMPUTED_VALUE"""),"Yes")</f>
        <v>Yes</v>
      </c>
      <c r="AF953" s="5" t="str">
        <f ca="1">IFERROR(__xludf.DUMMYFUNCTION("""COMPUTED_VALUE"""),"No")</f>
        <v>No</v>
      </c>
      <c r="AG953" s="5" t="str">
        <f ca="1">IFERROR(__xludf.DUMMYFUNCTION("""COMPUTED_VALUE"""),"Yes")</f>
        <v>Yes</v>
      </c>
      <c r="AH953" s="5" t="str">
        <f ca="1">IFERROR(__xludf.DUMMYFUNCTION("""COMPUTED_VALUE"""),"No")</f>
        <v>No</v>
      </c>
      <c r="AI953" s="5" t="str">
        <f ca="1">IFERROR(__xludf.DUMMYFUNCTION("""COMPUTED_VALUE"""),"No")</f>
        <v>No</v>
      </c>
      <c r="AJ953" s="5" t="str">
        <f ca="1">IFERROR(__xludf.DUMMYFUNCTION("""COMPUTED_VALUE"""),"Yes")</f>
        <v>Yes</v>
      </c>
    </row>
    <row r="954" spans="1:36" ht="13">
      <c r="A954" s="5" t="str">
        <f ca="1">IFERROR(__xludf.DUMMYFUNCTION("""COMPUTED_VALUE"""),"20180518GAMOA")</f>
        <v>20180518GAMOA</v>
      </c>
      <c r="B954" s="5">
        <f ca="1">IFERROR(__xludf.DUMMYFUNCTION("""COMPUTED_VALUE"""),5)</f>
        <v>5</v>
      </c>
      <c r="C954" s="5">
        <f ca="1">IFERROR(__xludf.DUMMYFUNCTION("""COMPUTED_VALUE"""),18)</f>
        <v>18</v>
      </c>
      <c r="D954" s="5">
        <f ca="1">IFERROR(__xludf.DUMMYFUNCTION("""COMPUTED_VALUE"""),2018)</f>
        <v>2018</v>
      </c>
      <c r="E954" s="8">
        <f ca="1">IFERROR(__xludf.DUMMYFUNCTION("""COMPUTED_VALUE"""),43238)</f>
        <v>43238</v>
      </c>
      <c r="F954" s="5" t="str">
        <f ca="1">IFERROR(__xludf.DUMMYFUNCTION("""COMPUTED_VALUE"""),"Mount Zion High School")</f>
        <v>Mount Zion High School</v>
      </c>
      <c r="G954" s="5">
        <f ca="1">IFERROR(__xludf.DUMMYFUNCTION("""COMPUTED_VALUE"""),1)</f>
        <v>1</v>
      </c>
      <c r="H954" s="5">
        <f ca="1">IFERROR(__xludf.DUMMYFUNCTION("""COMPUTED_VALUE"""),2)</f>
        <v>2</v>
      </c>
      <c r="I954" s="5">
        <f ca="1">IFERROR(__xludf.DUMMYFUNCTION("""COMPUTED_VALUE"""),3)</f>
        <v>3</v>
      </c>
      <c r="J954" s="5">
        <f ca="1">IFERROR(__xludf.DUMMYFUNCTION("""COMPUTED_VALUE"""),0)</f>
        <v>0</v>
      </c>
      <c r="K954" s="5" t="str">
        <f ca="1">IFERROR(__xludf.DUMMYFUNCTION("""COMPUTED_VALUE"""),"https://www.usatoday.com/story/news/nation/2018/05/18/georgia-school-shooting-graduation/625528002/ . https://www.washingtonpost.com/news/post-nation/wp/2018/05/18/one-killed-two-injured-in-shooting-after-georgia-high-school-graduation-report-says/?noredi"&amp;"rect=on&amp;utm_term=.08de19a04109")</f>
        <v>https://www.usatoday.com/story/news/nation/2018/05/18/georgia-school-shooting-graduation/625528002/ . https://www.washingtonpost.com/news/post-nation/wp/2018/05/18/one-killed-two-injured-in-shooting-after-georgia-high-school-graduation-report-says/?noredirect=on&amp;utm_term=.08de19a04109</v>
      </c>
      <c r="L954" s="5"/>
      <c r="M954" s="5"/>
      <c r="N954" s="5">
        <f ca="1">IFERROR(__xludf.DUMMYFUNCTION("""COMPUTED_VALUE"""),2)</f>
        <v>2</v>
      </c>
      <c r="O954" s="5" t="str">
        <f ca="1">IFERROR(__xludf.DUMMYFUNCTION("""COMPUTED_VALUE"""),"Spring")</f>
        <v>Spring</v>
      </c>
      <c r="P954" s="5" t="str">
        <f ca="1">IFERROR(__xludf.DUMMYFUNCTION("""COMPUTED_VALUE"""),"Atlanta")</f>
        <v>Atlanta</v>
      </c>
      <c r="Q954" s="5" t="str">
        <f ca="1">IFERROR(__xludf.DUMMYFUNCTION("""COMPUTED_VALUE"""),"GA")</f>
        <v>GA</v>
      </c>
      <c r="R954" s="5" t="str">
        <f ca="1">IFERROR(__xludf.DUMMYFUNCTION("""COMPUTED_VALUE"""),"High")</f>
        <v>High</v>
      </c>
      <c r="S954" s="5" t="str">
        <f ca="1">IFERROR(__xludf.DUMMYFUNCTION("""COMPUTED_VALUE"""),"Parking Lot")</f>
        <v>Parking Lot</v>
      </c>
      <c r="T954" s="5" t="str">
        <f ca="1">IFERROR(__xludf.DUMMYFUNCTION("""COMPUTED_VALUE"""),"Outside on School Property")</f>
        <v>Outside on School Property</v>
      </c>
      <c r="U954" s="5" t="str">
        <f ca="1">IFERROR(__xludf.DUMMYFUNCTION("""COMPUTED_VALUE"""),"No")</f>
        <v>No</v>
      </c>
      <c r="V954" s="5" t="str">
        <f ca="1">IFERROR(__xludf.DUMMYFUNCTION("""COMPUTED_VALUE"""),"School Event")</f>
        <v>School Event</v>
      </c>
      <c r="W954" s="5"/>
      <c r="X954" s="5">
        <f ca="1">IFERROR(__xludf.DUMMYFUNCTION("""COMPUTED_VALUE"""),1)</f>
        <v>1</v>
      </c>
      <c r="Y954" s="5" t="str">
        <f ca="1">IFERROR(__xludf.DUMMYFUNCTION("""COMPUTED_VALUE"""),"Shots fired during argument in school parking lot")</f>
        <v>Shots fired during argument in school parking lot</v>
      </c>
      <c r="Z954" s="5" t="str">
        <f ca="1">IFERROR(__xludf.DUMMYFUNCTION("""COMPUTED_VALUE"""),"Shots fired during an argument in the parking lot of the school following graduation. Woman in her 40's was shot multiple times and killed. Two other bystanders were hit by shots. Shooter was not identified and fled the scene.")</f>
        <v>Shots fired during an argument in the parking lot of the school following graduation. Woman in her 40's was shot multiple times and killed. Two other bystanders were hit by shots. Shooter was not identified and fled the scene.</v>
      </c>
      <c r="AA954" s="5" t="str">
        <f ca="1">IFERROR(__xludf.DUMMYFUNCTION("""COMPUTED_VALUE"""),"Escalation of Dispute")</f>
        <v>Escalation of Dispute</v>
      </c>
      <c r="AB954" s="5" t="str">
        <f ca="1">IFERROR(__xludf.DUMMYFUNCTION("""COMPUTED_VALUE"""),"Both")</f>
        <v>Both</v>
      </c>
      <c r="AC954" s="5"/>
      <c r="AD954" s="5" t="str">
        <f ca="1">IFERROR(__xludf.DUMMYFUNCTION("""COMPUTED_VALUE"""),"No")</f>
        <v>No</v>
      </c>
      <c r="AE954" s="5" t="str">
        <f ca="1">IFERROR(__xludf.DUMMYFUNCTION("""COMPUTED_VALUE"""),"No")</f>
        <v>No</v>
      </c>
      <c r="AF954" s="5" t="str">
        <f ca="1">IFERROR(__xludf.DUMMYFUNCTION("""COMPUTED_VALUE"""),"No")</f>
        <v>No</v>
      </c>
      <c r="AG954" s="5" t="str">
        <f ca="1">IFERROR(__xludf.DUMMYFUNCTION("""COMPUTED_VALUE"""),"No")</f>
        <v>No</v>
      </c>
      <c r="AH954" s="5" t="str">
        <f ca="1">IFERROR(__xludf.DUMMYFUNCTION("""COMPUTED_VALUE"""),"No")</f>
        <v>No</v>
      </c>
      <c r="AI954" s="5" t="str">
        <f ca="1">IFERROR(__xludf.DUMMYFUNCTION("""COMPUTED_VALUE"""),"No")</f>
        <v>No</v>
      </c>
      <c r="AJ954" s="5" t="str">
        <f ca="1">IFERROR(__xludf.DUMMYFUNCTION("""COMPUTED_VALUE"""),"No")</f>
        <v>No</v>
      </c>
    </row>
    <row r="955" spans="1:36" ht="13">
      <c r="A955" s="5" t="str">
        <f ca="1">IFERROR(__xludf.DUMMYFUNCTION("""COMPUTED_VALUE"""),"20180517MOCEK")</f>
        <v>20180517MOCEK</v>
      </c>
      <c r="B955" s="5">
        <f ca="1">IFERROR(__xludf.DUMMYFUNCTION("""COMPUTED_VALUE"""),5)</f>
        <v>5</v>
      </c>
      <c r="C955" s="5">
        <f ca="1">IFERROR(__xludf.DUMMYFUNCTION("""COMPUTED_VALUE"""),17)</f>
        <v>17</v>
      </c>
      <c r="D955" s="5">
        <f ca="1">IFERROR(__xludf.DUMMYFUNCTION("""COMPUTED_VALUE"""),2018)</f>
        <v>2018</v>
      </c>
      <c r="E955" s="8">
        <f ca="1">IFERROR(__xludf.DUMMYFUNCTION("""COMPUTED_VALUE"""),43237)</f>
        <v>43237</v>
      </c>
      <c r="F955" s="5" t="str">
        <f ca="1">IFERROR(__xludf.DUMMYFUNCTION("""COMPUTED_VALUE"""),"Central High School")</f>
        <v>Central High School</v>
      </c>
      <c r="G955" s="5">
        <f ca="1">IFERROR(__xludf.DUMMYFUNCTION("""COMPUTED_VALUE"""),0)</f>
        <v>0</v>
      </c>
      <c r="H955" s="5">
        <f ca="1">IFERROR(__xludf.DUMMYFUNCTION("""COMPUTED_VALUE"""),2)</f>
        <v>2</v>
      </c>
      <c r="I955" s="5">
        <f ca="1">IFERROR(__xludf.DUMMYFUNCTION("""COMPUTED_VALUE"""),2)</f>
        <v>2</v>
      </c>
      <c r="J955" s="5">
        <f ca="1">IFERROR(__xludf.DUMMYFUNCTION("""COMPUTED_VALUE"""),0)</f>
        <v>0</v>
      </c>
      <c r="K955" s="9" t="str">
        <f ca="1">IFERROR(__xludf.DUMMYFUNCTION("""COMPUTED_VALUE"""),"https://www.kshb.com/news/crime/man-charged-in-shooting-at-center-high-school-graduation")</f>
        <v>https://www.kshb.com/news/crime/man-charged-in-shooting-at-center-high-school-graduation</v>
      </c>
      <c r="L955" s="5"/>
      <c r="M955" s="5"/>
      <c r="N955" s="5">
        <f ca="1">IFERROR(__xludf.DUMMYFUNCTION("""COMPUTED_VALUE"""),2)</f>
        <v>2</v>
      </c>
      <c r="O955" s="5" t="str">
        <f ca="1">IFERROR(__xludf.DUMMYFUNCTION("""COMPUTED_VALUE"""),"Spring")</f>
        <v>Spring</v>
      </c>
      <c r="P955" s="5" t="str">
        <f ca="1">IFERROR(__xludf.DUMMYFUNCTION("""COMPUTED_VALUE"""),"Kansas City")</f>
        <v>Kansas City</v>
      </c>
      <c r="Q955" s="5" t="str">
        <f ca="1">IFERROR(__xludf.DUMMYFUNCTION("""COMPUTED_VALUE"""),"MO")</f>
        <v>MO</v>
      </c>
      <c r="R955" s="5" t="str">
        <f ca="1">IFERROR(__xludf.DUMMYFUNCTION("""COMPUTED_VALUE"""),"High")</f>
        <v>High</v>
      </c>
      <c r="S955" s="5" t="str">
        <f ca="1">IFERROR(__xludf.DUMMYFUNCTION("""COMPUTED_VALUE"""),"Off School Property")</f>
        <v>Off School Property</v>
      </c>
      <c r="T955" s="5" t="str">
        <f ca="1">IFERROR(__xludf.DUMMYFUNCTION("""COMPUTED_VALUE"""),"Off School Property")</f>
        <v>Off School Property</v>
      </c>
      <c r="U955" s="5" t="str">
        <f ca="1">IFERROR(__xludf.DUMMYFUNCTION("""COMPUTED_VALUE"""),"No")</f>
        <v>No</v>
      </c>
      <c r="V955" s="5" t="str">
        <f ca="1">IFERROR(__xludf.DUMMYFUNCTION("""COMPUTED_VALUE"""),"School Event")</f>
        <v>School Event</v>
      </c>
      <c r="W955" s="10">
        <f ca="1">IFERROR(__xludf.DUMMYFUNCTION("""COMPUTED_VALUE"""),0.854166666666666)</f>
        <v>0.85416666666666596</v>
      </c>
      <c r="X955" s="5">
        <f ca="1">IFERROR(__xludf.DUMMYFUNCTION("""COMPUTED_VALUE"""),1)</f>
        <v>1</v>
      </c>
      <c r="Y955" s="5" t="str">
        <f ca="1">IFERROR(__xludf.DUMMYFUNCTION("""COMPUTED_VALUE"""),"Shooting during fight at school graduation")</f>
        <v>Shooting during fight at school graduation</v>
      </c>
      <c r="Z955" s="5" t="str">
        <f ca="1">IFERROR(__xludf.DUMMYFUNCTION("""COMPUTED_VALUE"""),"Shots fired during fight between 8 people outside of the high school graduation (held off-site at a church). One of the injured was a student. 6 police officers were assigned to the event. Suspect fled and was later arrested.")</f>
        <v>Shots fired during fight between 8 people outside of the high school graduation (held off-site at a church). One of the injured was a student. 6 police officers were assigned to the event. Suspect fled and was later arrested.</v>
      </c>
      <c r="AA955" s="5" t="str">
        <f ca="1">IFERROR(__xludf.DUMMYFUNCTION("""COMPUTED_VALUE"""),"Escalation of Dispute")</f>
        <v>Escalation of Dispute</v>
      </c>
      <c r="AB955" s="5"/>
      <c r="AC955" s="5" t="str">
        <f ca="1">IFERROR(__xludf.DUMMYFUNCTION("""COMPUTED_VALUE"""),"Yes")</f>
        <v>Yes</v>
      </c>
      <c r="AD955" s="5" t="str">
        <f ca="1">IFERROR(__xludf.DUMMYFUNCTION("""COMPUTED_VALUE"""),"No")</f>
        <v>No</v>
      </c>
      <c r="AE955" s="5" t="str">
        <f ca="1">IFERROR(__xludf.DUMMYFUNCTION("""COMPUTED_VALUE"""),"No")</f>
        <v>No</v>
      </c>
      <c r="AF955" s="5" t="str">
        <f ca="1">IFERROR(__xludf.DUMMYFUNCTION("""COMPUTED_VALUE"""),"No")</f>
        <v>No</v>
      </c>
      <c r="AG955" s="5" t="str">
        <f ca="1">IFERROR(__xludf.DUMMYFUNCTION("""COMPUTED_VALUE"""),"No")</f>
        <v>No</v>
      </c>
      <c r="AH955" s="5" t="str">
        <f ca="1">IFERROR(__xludf.DUMMYFUNCTION("""COMPUTED_VALUE"""),"No")</f>
        <v>No</v>
      </c>
      <c r="AI955" s="5" t="str">
        <f ca="1">IFERROR(__xludf.DUMMYFUNCTION("""COMPUTED_VALUE"""),"No")</f>
        <v>No</v>
      </c>
      <c r="AJ955" s="5" t="str">
        <f ca="1">IFERROR(__xludf.DUMMYFUNCTION("""COMPUTED_VALUE"""),"No")</f>
        <v>No</v>
      </c>
    </row>
    <row r="956" spans="1:36" ht="13">
      <c r="A956" s="5" t="str">
        <f ca="1">IFERROR(__xludf.DUMMYFUNCTION("""COMPUTED_VALUE"""),"20180516ILDID")</f>
        <v>20180516ILDID</v>
      </c>
      <c r="B956" s="5">
        <f ca="1">IFERROR(__xludf.DUMMYFUNCTION("""COMPUTED_VALUE"""),5)</f>
        <v>5</v>
      </c>
      <c r="C956" s="5">
        <f ca="1">IFERROR(__xludf.DUMMYFUNCTION("""COMPUTED_VALUE"""),16)</f>
        <v>16</v>
      </c>
      <c r="D956" s="5">
        <f ca="1">IFERROR(__xludf.DUMMYFUNCTION("""COMPUTED_VALUE"""),2018)</f>
        <v>2018</v>
      </c>
      <c r="E956" s="8">
        <f ca="1">IFERROR(__xludf.DUMMYFUNCTION("""COMPUTED_VALUE"""),43236)</f>
        <v>43236</v>
      </c>
      <c r="F956" s="5" t="str">
        <f ca="1">IFERROR(__xludf.DUMMYFUNCTION("""COMPUTED_VALUE"""),"Dixon High School")</f>
        <v>Dixon High School</v>
      </c>
      <c r="G956" s="5">
        <f ca="1">IFERROR(__xludf.DUMMYFUNCTION("""COMPUTED_VALUE"""),0)</f>
        <v>0</v>
      </c>
      <c r="H956" s="5">
        <f ca="1">IFERROR(__xludf.DUMMYFUNCTION("""COMPUTED_VALUE"""),1)</f>
        <v>1</v>
      </c>
      <c r="I956" s="5">
        <f ca="1">IFERROR(__xludf.DUMMYFUNCTION("""COMPUTED_VALUE"""),1)</f>
        <v>1</v>
      </c>
      <c r="J956" s="5">
        <f ca="1">IFERROR(__xludf.DUMMYFUNCTION("""COMPUTED_VALUE"""),0)</f>
        <v>0</v>
      </c>
      <c r="K956" s="5" t="str">
        <f ca="1">IFERROR(__xludf.DUMMYFUNCTION("""COMPUTED_VALUE"""),"http://wqad.com/2018/05/16/student-with-gun-shot-by-officer-at-dixon-high-school/ http://www.chicagotribune.com/news/local/breaking/ct-met-dixon-school-shooting-update-20180517-story.html https://www.mywebtimes.com/2020/01/28/judge-dixon-school-shooter-un"&amp;"fit-to-stand-trial/aq9msxk/")</f>
        <v>http://wqad.com/2018/05/16/student-with-gun-shot-by-officer-at-dixon-high-school/ http://www.chicagotribune.com/news/local/breaking/ct-met-dixon-school-shooting-update-20180517-story.html https://www.mywebtimes.com/2020/01/28/judge-dixon-school-shooter-unfit-to-stand-trial/aq9msxk/</v>
      </c>
      <c r="L956" s="5"/>
      <c r="M956" s="5"/>
      <c r="N956" s="5">
        <f ca="1">IFERROR(__xludf.DUMMYFUNCTION("""COMPUTED_VALUE"""),5)</f>
        <v>5</v>
      </c>
      <c r="O956" s="5" t="str">
        <f ca="1">IFERROR(__xludf.DUMMYFUNCTION("""COMPUTED_VALUE"""),"Spring")</f>
        <v>Spring</v>
      </c>
      <c r="P956" s="5" t="str">
        <f ca="1">IFERROR(__xludf.DUMMYFUNCTION("""COMPUTED_VALUE"""),"Dixon")</f>
        <v>Dixon</v>
      </c>
      <c r="Q956" s="5" t="str">
        <f ca="1">IFERROR(__xludf.DUMMYFUNCTION("""COMPUTED_VALUE"""),"IL")</f>
        <v>IL</v>
      </c>
      <c r="R956" s="5" t="str">
        <f ca="1">IFERROR(__xludf.DUMMYFUNCTION("""COMPUTED_VALUE"""),"High")</f>
        <v>High</v>
      </c>
      <c r="S956" s="5" t="str">
        <f ca="1">IFERROR(__xludf.DUMMYFUNCTION("""COMPUTED_VALUE"""),"Gym")</f>
        <v>Gym</v>
      </c>
      <c r="T956" s="5" t="str">
        <f ca="1">IFERROR(__xludf.DUMMYFUNCTION("""COMPUTED_VALUE"""),"Inside School Building")</f>
        <v>Inside School Building</v>
      </c>
      <c r="U956" s="5" t="str">
        <f ca="1">IFERROR(__xludf.DUMMYFUNCTION("""COMPUTED_VALUE"""),"Yes")</f>
        <v>Yes</v>
      </c>
      <c r="V956" s="5" t="str">
        <f ca="1">IFERROR(__xludf.DUMMYFUNCTION("""COMPUTED_VALUE"""),"Morning Classes")</f>
        <v>Morning Classes</v>
      </c>
      <c r="W956" s="10">
        <f ca="1">IFERROR(__xludf.DUMMYFUNCTION("""COMPUTED_VALUE"""),0.333333333333333)</f>
        <v>0.33333333333333298</v>
      </c>
      <c r="X956" s="5">
        <f ca="1">IFERROR(__xludf.DUMMYFUNCTION("""COMPUTED_VALUE"""),2)</f>
        <v>2</v>
      </c>
      <c r="Y956" s="5" t="str">
        <f ca="1">IFERROR(__xludf.DUMMYFUNCTION("""COMPUTED_VALUE"""),"Shots fired during graduation rehearsal by shooter who was bullied")</f>
        <v>Shots fired during graduation rehearsal by shooter who was bullied</v>
      </c>
      <c r="Z956" s="5" t="str">
        <f ca="1">IFERROR(__xludf.DUMMYFUNCTION("""COMPUTED_VALUE"""),"Shooter fired several shots near the gym, where seniors were engaged in a graduation walk-through. Shooter ran out and was confronted by the SRO. They exchanged shots, Shooter received non-lethal wounds and was apprehended. Mother said he was bullied and "&amp;"beaten up in October by a 25 year-old, other kids just watched. Kicked-off from football team for smoking marijuana. Suspect was not expelled but had not been attending school for months. Students said he had been normal in the past but had become angry a"&amp;"nd high all the time.
 Investigators say Milby, then a DHS senior, took a 9mm semi-automatic rifle to graduation practice in the Lancaster Gym the morning of May 16, fired at gym teacher Andrew McKay, whom he encountered in a hallway, and fled seconds lat"&amp;"er when confronted and pursued by Dixon Police school resource officer Mark Dallas. Milby fired at Dallas outside the gym; Dallas returned fire, hitting Milby in the upper shoulder and hip. Milby was arrested near his car in Page Park. No one else was inj"&amp;"ured.
 Shooter found to be mentally unfit to stand trial and sent to psychiatric facility for treatment.")</f>
        <v>Shooter fired several shots near the gym, where seniors were engaged in a graduation walk-through. Shooter ran out and was confronted by the SRO. They exchanged shots, Shooter received non-lethal wounds and was apprehended. Mother said he was bullied and beaten up in October by a 25 year-old, other kids just watched. Kicked-off from football team for smoking marijuana. Suspect was not expelled but had not been attending school for months. Students said he had been normal in the past but had become angry and high all the time.
 Investigators say Milby, then a DHS senior, took a 9mm semi-automatic rifle to graduation practice in the Lancaster Gym the morning of May 16, fired at gym teacher Andrew McKay, whom he encountered in a hallway, and fled seconds later when confronted and pursued by Dixon Police school resource officer Mark Dallas. Milby fired at Dallas outside the gym; Dallas returned fire, hitting Milby in the upper shoulder and hip. Milby was arrested near his car in Page Park. No one else was injured.
 Shooter found to be mentally unfit to stand trial and sent to psychiatric facility for treatment.</v>
      </c>
      <c r="AA956" s="5" t="str">
        <f ca="1">IFERROR(__xludf.DUMMYFUNCTION("""COMPUTED_VALUE"""),"Indiscriminate Shooting")</f>
        <v>Indiscriminate Shooting</v>
      </c>
      <c r="AB956" s="5" t="str">
        <f ca="1">IFERROR(__xludf.DUMMYFUNCTION("""COMPUTED_VALUE"""),"Random Shooting")</f>
        <v>Random Shooting</v>
      </c>
      <c r="AC956" s="5" t="str">
        <f ca="1">IFERROR(__xludf.DUMMYFUNCTION("""COMPUTED_VALUE"""),"No")</f>
        <v>No</v>
      </c>
      <c r="AD956" s="5" t="str">
        <f ca="1">IFERROR(__xludf.DUMMYFUNCTION("""COMPUTED_VALUE"""),"No")</f>
        <v>No</v>
      </c>
      <c r="AE956" s="5" t="str">
        <f ca="1">IFERROR(__xludf.DUMMYFUNCTION("""COMPUTED_VALUE"""),"No")</f>
        <v>No</v>
      </c>
      <c r="AF956" s="5" t="str">
        <f ca="1">IFERROR(__xludf.DUMMYFUNCTION("""COMPUTED_VALUE"""),"No")</f>
        <v>No</v>
      </c>
      <c r="AG956" s="5" t="str">
        <f ca="1">IFERROR(__xludf.DUMMYFUNCTION("""COMPUTED_VALUE"""),"Yes")</f>
        <v>Yes</v>
      </c>
      <c r="AH956" s="5" t="str">
        <f ca="1">IFERROR(__xludf.DUMMYFUNCTION("""COMPUTED_VALUE"""),"No")</f>
        <v>No</v>
      </c>
      <c r="AI956" s="5" t="str">
        <f ca="1">IFERROR(__xludf.DUMMYFUNCTION("""COMPUTED_VALUE"""),"No")</f>
        <v>No</v>
      </c>
      <c r="AJ956" s="5" t="str">
        <f ca="1">IFERROR(__xludf.DUMMYFUNCTION("""COMPUTED_VALUE"""),"Yes")</f>
        <v>Yes</v>
      </c>
    </row>
    <row r="957" spans="1:36" ht="13">
      <c r="A957" s="5" t="str">
        <f ca="1">IFERROR(__xludf.DUMMYFUNCTION("""COMPUTED_VALUE"""),"20180511CAHIP")</f>
        <v>20180511CAHIP</v>
      </c>
      <c r="B957" s="5">
        <f ca="1">IFERROR(__xludf.DUMMYFUNCTION("""COMPUTED_VALUE"""),5)</f>
        <v>5</v>
      </c>
      <c r="C957" s="5">
        <f ca="1">IFERROR(__xludf.DUMMYFUNCTION("""COMPUTED_VALUE"""),11)</f>
        <v>11</v>
      </c>
      <c r="D957" s="5">
        <f ca="1">IFERROR(__xludf.DUMMYFUNCTION("""COMPUTED_VALUE"""),2018)</f>
        <v>2018</v>
      </c>
      <c r="E957" s="8">
        <f ca="1">IFERROR(__xludf.DUMMYFUNCTION("""COMPUTED_VALUE"""),43231)</f>
        <v>43231</v>
      </c>
      <c r="F957" s="5" t="str">
        <f ca="1">IFERROR(__xludf.DUMMYFUNCTION("""COMPUTED_VALUE"""),"Highland High School")</f>
        <v>Highland High School</v>
      </c>
      <c r="G957" s="5">
        <f ca="1">IFERROR(__xludf.DUMMYFUNCTION("""COMPUTED_VALUE"""),0)</f>
        <v>0</v>
      </c>
      <c r="H957" s="5">
        <f ca="1">IFERROR(__xludf.DUMMYFUNCTION("""COMPUTED_VALUE"""),1)</f>
        <v>1</v>
      </c>
      <c r="I957" s="5">
        <f ca="1">IFERROR(__xludf.DUMMYFUNCTION("""COMPUTED_VALUE"""),1)</f>
        <v>1</v>
      </c>
      <c r="J957" s="5">
        <f ca="1">IFERROR(__xludf.DUMMYFUNCTION("""COMPUTED_VALUE"""),0)</f>
        <v>0</v>
      </c>
      <c r="K957" s="5" t="str">
        <f ca="1">IFERROR(__xludf.DUMMYFUNCTION("""COMPUTED_VALUE"""),"https://www.cbsnews.com/news/police-responding-reports-shooting-highland-high-school-palmdale-california-today-live-updates/
https://abc7.com/highland-high-school-palmdale-los-angeles-county-sheriff-lockdown/3459983/")</f>
        <v>https://www.cbsnews.com/news/police-responding-reports-shooting-highland-high-school-palmdale-california-today-live-updates/
https://abc7.com/highland-high-school-palmdale-los-angeles-county-sheriff-lockdown/3459983/</v>
      </c>
      <c r="L957" s="5"/>
      <c r="M957" s="5"/>
      <c r="N957" s="5">
        <f ca="1">IFERROR(__xludf.DUMMYFUNCTION("""COMPUTED_VALUE"""),4)</f>
        <v>4</v>
      </c>
      <c r="O957" s="5" t="str">
        <f ca="1">IFERROR(__xludf.DUMMYFUNCTION("""COMPUTED_VALUE"""),"Spring")</f>
        <v>Spring</v>
      </c>
      <c r="P957" s="5" t="str">
        <f ca="1">IFERROR(__xludf.DUMMYFUNCTION("""COMPUTED_VALUE"""),"Palmdale")</f>
        <v>Palmdale</v>
      </c>
      <c r="Q957" s="5" t="str">
        <f ca="1">IFERROR(__xludf.DUMMYFUNCTION("""COMPUTED_VALUE"""),"CA")</f>
        <v>CA</v>
      </c>
      <c r="R957" s="5" t="str">
        <f ca="1">IFERROR(__xludf.DUMMYFUNCTION("""COMPUTED_VALUE"""),"High")</f>
        <v>High</v>
      </c>
      <c r="S957" s="5" t="str">
        <f ca="1">IFERROR(__xludf.DUMMYFUNCTION("""COMPUTED_VALUE"""),"Bathroom")</f>
        <v>Bathroom</v>
      </c>
      <c r="T957" s="5" t="str">
        <f ca="1">IFERROR(__xludf.DUMMYFUNCTION("""COMPUTED_VALUE"""),"Inside School Building")</f>
        <v>Inside School Building</v>
      </c>
      <c r="U957" s="5" t="str">
        <f ca="1">IFERROR(__xludf.DUMMYFUNCTION("""COMPUTED_VALUE"""),"No")</f>
        <v>No</v>
      </c>
      <c r="V957" s="5" t="str">
        <f ca="1">IFERROR(__xludf.DUMMYFUNCTION("""COMPUTED_VALUE"""),"Before School")</f>
        <v>Before School</v>
      </c>
      <c r="W957" s="10">
        <f ca="1">IFERROR(__xludf.DUMMYFUNCTION("""COMPUTED_VALUE"""),0.295138888888888)</f>
        <v>0.29513888888888801</v>
      </c>
      <c r="X957" s="5">
        <f ca="1">IFERROR(__xludf.DUMMYFUNCTION("""COMPUTED_VALUE"""),1)</f>
        <v>1</v>
      </c>
      <c r="Y957" s="5" t="str">
        <f ca="1">IFERROR(__xludf.DUMMYFUNCTION("""COMPUTED_VALUE"""),"Former student fired 10 shots, striking one student, then pointed rifle at random students before walking out of school")</f>
        <v>Former student fired 10 shots, striking one student, then pointed rifle at random students before walking out of school</v>
      </c>
      <c r="Z957" s="5" t="str">
        <f ca="1">IFERROR(__xludf.DUMMYFUNCTION("""COMPUTED_VALUE"""),"Prior to the school day starting (before the SRO's shift started), the shooter (former student) fired 10 shots from the bathroom window striking one student in the shoulder. Shooter called his father immediately after the shooting to say he fired his gun "&amp;"into the air. Father called a friend who is a police officer and directed him to the shooter's location. The shooter fled the area and was apprehended at a nearby grocery store. The weapon was found near the school. A Highland High School student told rep"&amp;"orters he saw the suspect emerge from a bathroom with a rifle-type weapon, which he randomly pointed at people. The student said the suspect looked at him and told him to run, which he did, shouting at other students to do the same. 911 call for an active"&amp;" shooter at an elementary school at the same time, shooter may have called in false report as diversion. Shooter had transfered from the school 1 month prior. Earlier that morning, the suspect's mother also called the officer, saying they were having trou"&amp;"ble with her son and that he had ran away from home.")</f>
        <v>Prior to the school day starting (before the SRO's shift started), the shooter (former student) fired 10 shots from the bathroom window striking one student in the shoulder. Shooter called his father immediately after the shooting to say he fired his gun into the air. Father called a friend who is a police officer and directed him to the shooter's location. The shooter fled the area and was apprehended at a nearby grocery store. The weapon was found near the school. A Highland High School student told reporters he saw the suspect emerge from a bathroom with a rifle-type weapon, which he randomly pointed at people. The student said the suspect looked at him and told him to run, which he did, shouting at other students to do the same. 911 call for an active shooter at an elementary school at the same time, shooter may have called in false report as diversion. Shooter had transfered from the school 1 month prior. Earlier that morning, the suspect's mother also called the officer, saying they were having trouble with her son and that he had ran away from home.</v>
      </c>
      <c r="AA957" s="5" t="str">
        <f ca="1">IFERROR(__xludf.DUMMYFUNCTION("""COMPUTED_VALUE"""),"Indiscriminate Shooting")</f>
        <v>Indiscriminate Shooting</v>
      </c>
      <c r="AB957" s="5" t="str">
        <f ca="1">IFERROR(__xludf.DUMMYFUNCTION("""COMPUTED_VALUE"""),"Random Shooting")</f>
        <v>Random Shooting</v>
      </c>
      <c r="AC957" s="5" t="str">
        <f ca="1">IFERROR(__xludf.DUMMYFUNCTION("""COMPUTED_VALUE"""),"No")</f>
        <v>No</v>
      </c>
      <c r="AD957" s="5" t="str">
        <f ca="1">IFERROR(__xludf.DUMMYFUNCTION("""COMPUTED_VALUE"""),"No")</f>
        <v>No</v>
      </c>
      <c r="AE957" s="5" t="str">
        <f ca="1">IFERROR(__xludf.DUMMYFUNCTION("""COMPUTED_VALUE"""),"No")</f>
        <v>No</v>
      </c>
      <c r="AF957" s="5" t="str">
        <f ca="1">IFERROR(__xludf.DUMMYFUNCTION("""COMPUTED_VALUE"""),"No")</f>
        <v>No</v>
      </c>
      <c r="AG957" s="5"/>
      <c r="AH957" s="5" t="str">
        <f ca="1">IFERROR(__xludf.DUMMYFUNCTION("""COMPUTED_VALUE"""),"No")</f>
        <v>No</v>
      </c>
      <c r="AI957" s="5" t="str">
        <f ca="1">IFERROR(__xludf.DUMMYFUNCTION("""COMPUTED_VALUE"""),"No")</f>
        <v>No</v>
      </c>
      <c r="AJ957" s="5" t="str">
        <f ca="1">IFERROR(__xludf.DUMMYFUNCTION("""COMPUTED_VALUE"""),"Yes")</f>
        <v>Yes</v>
      </c>
    </row>
    <row r="958" spans="1:36" ht="13">
      <c r="A958" s="5" t="str">
        <f ca="1">IFERROR(__xludf.DUMMYFUNCTION("""COMPUTED_VALUE"""),"20180505MIFOF")</f>
        <v>20180505MIFOF</v>
      </c>
      <c r="B958" s="5">
        <f ca="1">IFERROR(__xludf.DUMMYFUNCTION("""COMPUTED_VALUE"""),5)</f>
        <v>5</v>
      </c>
      <c r="C958" s="5">
        <f ca="1">IFERROR(__xludf.DUMMYFUNCTION("""COMPUTED_VALUE"""),5)</f>
        <v>5</v>
      </c>
      <c r="D958" s="5">
        <f ca="1">IFERROR(__xludf.DUMMYFUNCTION("""COMPUTED_VALUE"""),2018)</f>
        <v>2018</v>
      </c>
      <c r="E958" s="8">
        <f ca="1">IFERROR(__xludf.DUMMYFUNCTION("""COMPUTED_VALUE"""),43225)</f>
        <v>43225</v>
      </c>
      <c r="F958" s="5" t="str">
        <f ca="1">IFERROR(__xludf.DUMMYFUNCTION("""COMPUTED_VALUE"""),"Fowlerville High School")</f>
        <v>Fowlerville High School</v>
      </c>
      <c r="G958" s="5">
        <f ca="1">IFERROR(__xludf.DUMMYFUNCTION("""COMPUTED_VALUE"""),0)</f>
        <v>0</v>
      </c>
      <c r="H958" s="5">
        <f ca="1">IFERROR(__xludf.DUMMYFUNCTION("""COMPUTED_VALUE"""),0)</f>
        <v>0</v>
      </c>
      <c r="I958" s="5">
        <f ca="1">IFERROR(__xludf.DUMMYFUNCTION("""COMPUTED_VALUE"""),0)</f>
        <v>0</v>
      </c>
      <c r="J958" s="5">
        <f ca="1">IFERROR(__xludf.DUMMYFUNCTION("""COMPUTED_VALUE"""),0)</f>
        <v>0</v>
      </c>
      <c r="K958" s="9" t="str">
        <f ca="1">IFERROR(__xludf.DUMMYFUNCTION("""COMPUTED_VALUE"""),"https://www.wxyz.com/news/off-duty-officer-accidentally-discharges-gun-during-wrestling-meet-at-michigan-high-school")</f>
        <v>https://www.wxyz.com/news/off-duty-officer-accidentally-discharges-gun-during-wrestling-meet-at-michigan-high-school</v>
      </c>
      <c r="L958" s="5"/>
      <c r="M958" s="5"/>
      <c r="N958" s="5">
        <f ca="1">IFERROR(__xludf.DUMMYFUNCTION("""COMPUTED_VALUE"""),3)</f>
        <v>3</v>
      </c>
      <c r="O958" s="5" t="str">
        <f ca="1">IFERROR(__xludf.DUMMYFUNCTION("""COMPUTED_VALUE"""),"Spring")</f>
        <v>Spring</v>
      </c>
      <c r="P958" s="5" t="str">
        <f ca="1">IFERROR(__xludf.DUMMYFUNCTION("""COMPUTED_VALUE"""),"Fowlerville")</f>
        <v>Fowlerville</v>
      </c>
      <c r="Q958" s="5" t="str">
        <f ca="1">IFERROR(__xludf.DUMMYFUNCTION("""COMPUTED_VALUE"""),"MI")</f>
        <v>MI</v>
      </c>
      <c r="R958" s="5" t="str">
        <f ca="1">IFERROR(__xludf.DUMMYFUNCTION("""COMPUTED_VALUE"""),"High")</f>
        <v>High</v>
      </c>
      <c r="S958" s="5" t="str">
        <f ca="1">IFERROR(__xludf.DUMMYFUNCTION("""COMPUTED_VALUE"""),"Gym")</f>
        <v>Gym</v>
      </c>
      <c r="T958" s="5" t="str">
        <f ca="1">IFERROR(__xludf.DUMMYFUNCTION("""COMPUTED_VALUE"""),"Inside School Building")</f>
        <v>Inside School Building</v>
      </c>
      <c r="U958" s="5" t="str">
        <f ca="1">IFERROR(__xludf.DUMMYFUNCTION("""COMPUTED_VALUE"""),"No")</f>
        <v>No</v>
      </c>
      <c r="V958" s="5" t="str">
        <f ca="1">IFERROR(__xludf.DUMMYFUNCTION("""COMPUTED_VALUE"""),"Sport Event")</f>
        <v>Sport Event</v>
      </c>
      <c r="W958" s="10">
        <f ca="1">IFERROR(__xludf.DUMMYFUNCTION("""COMPUTED_VALUE"""),0.625)</f>
        <v>0.625</v>
      </c>
      <c r="X958" s="5">
        <f ca="1">IFERROR(__xludf.DUMMYFUNCTION("""COMPUTED_VALUE"""),1)</f>
        <v>1</v>
      </c>
      <c r="Y958" s="5" t="str">
        <f ca="1">IFERROR(__xludf.DUMMYFUNCTION("""COMPUTED_VALUE"""),"Off duty officers gun discharged at wrestling meet in school gym")</f>
        <v>Off duty officers gun discharged at wrestling meet in school gym</v>
      </c>
      <c r="Z958" s="5" t="str">
        <f ca="1">IFERROR(__xludf.DUMMYFUNCTION("""COMPUTED_VALUE"""),"Off duty police officers firearm discharged striking gym floor during a wrestling meet. No injuries.")</f>
        <v>Off duty police officers firearm discharged striking gym floor during a wrestling meet. No injuries.</v>
      </c>
      <c r="AA958" s="5" t="str">
        <f ca="1">IFERROR(__xludf.DUMMYFUNCTION("""COMPUTED_VALUE"""),"Accidental")</f>
        <v>Accidental</v>
      </c>
      <c r="AB958" s="5" t="str">
        <f ca="1">IFERROR(__xludf.DUMMYFUNCTION("""COMPUTED_VALUE"""),"Neither")</f>
        <v>Neither</v>
      </c>
      <c r="AC958" s="5" t="str">
        <f ca="1">IFERROR(__xludf.DUMMYFUNCTION("""COMPUTED_VALUE"""),"No")</f>
        <v>No</v>
      </c>
      <c r="AD958" s="5" t="str">
        <f ca="1">IFERROR(__xludf.DUMMYFUNCTION("""COMPUTED_VALUE"""),"No")</f>
        <v>No</v>
      </c>
      <c r="AE958" s="5" t="str">
        <f ca="1">IFERROR(__xludf.DUMMYFUNCTION("""COMPUTED_VALUE"""),"No")</f>
        <v>No</v>
      </c>
      <c r="AF958" s="5" t="str">
        <f ca="1">IFERROR(__xludf.DUMMYFUNCTION("""COMPUTED_VALUE"""),"Yes")</f>
        <v>Yes</v>
      </c>
      <c r="AG958" s="5" t="str">
        <f ca="1">IFERROR(__xludf.DUMMYFUNCTION("""COMPUTED_VALUE"""),"N/A")</f>
        <v>N/A</v>
      </c>
      <c r="AH958" s="5" t="str">
        <f ca="1">IFERROR(__xludf.DUMMYFUNCTION("""COMPUTED_VALUE"""),"N/A")</f>
        <v>N/A</v>
      </c>
      <c r="AI958" s="5" t="str">
        <f ca="1">IFERROR(__xludf.DUMMYFUNCTION("""COMPUTED_VALUE"""),"N/A")</f>
        <v>N/A</v>
      </c>
      <c r="AJ958" s="5" t="str">
        <f ca="1">IFERROR(__xludf.DUMMYFUNCTION("""COMPUTED_VALUE"""),"N/A")</f>
        <v>N/A</v>
      </c>
    </row>
    <row r="959" spans="1:36" ht="13">
      <c r="A959" s="5" t="str">
        <f ca="1">IFERROR(__xludf.DUMMYFUNCTION("""COMPUTED_VALUE"""),"20180503SDENW")</f>
        <v>20180503SDENW</v>
      </c>
      <c r="B959" s="5">
        <f ca="1">IFERROR(__xludf.DUMMYFUNCTION("""COMPUTED_VALUE"""),5)</f>
        <v>5</v>
      </c>
      <c r="C959" s="5">
        <f ca="1">IFERROR(__xludf.DUMMYFUNCTION("""COMPUTED_VALUE"""),3)</f>
        <v>3</v>
      </c>
      <c r="D959" s="5">
        <f ca="1">IFERROR(__xludf.DUMMYFUNCTION("""COMPUTED_VALUE"""),2018)</f>
        <v>2018</v>
      </c>
      <c r="E959" s="8">
        <f ca="1">IFERROR(__xludf.DUMMYFUNCTION("""COMPUTED_VALUE"""),43223)</f>
        <v>43223</v>
      </c>
      <c r="F959" s="5" t="str">
        <f ca="1">IFERROR(__xludf.DUMMYFUNCTION("""COMPUTED_VALUE"""),"Enemy Swim Day School")</f>
        <v>Enemy Swim Day School</v>
      </c>
      <c r="G959" s="5">
        <f ca="1">IFERROR(__xludf.DUMMYFUNCTION("""COMPUTED_VALUE"""),0)</f>
        <v>0</v>
      </c>
      <c r="H959" s="5">
        <f ca="1">IFERROR(__xludf.DUMMYFUNCTION("""COMPUTED_VALUE"""),1)</f>
        <v>1</v>
      </c>
      <c r="I959" s="5">
        <f ca="1">IFERROR(__xludf.DUMMYFUNCTION("""COMPUTED_VALUE"""),1)</f>
        <v>1</v>
      </c>
      <c r="J959" s="5">
        <f ca="1">IFERROR(__xludf.DUMMYFUNCTION("""COMPUTED_VALUE"""),0)</f>
        <v>0</v>
      </c>
      <c r="K959" s="5" t="str">
        <f ca="1">IFERROR(__xludf.DUMMYFUNCTION("""COMPUTED_VALUE"""),"http://www.ksfy.com/content/news/Suspect-arrested-in-shooting-of-Enemy-Swim-Day-School-custodian-482327311.html  http://www.hubcityradio.com/2018/05/10/arrest-made-in-shooting-at-enemy-swim-day-school/")</f>
        <v>http://www.ksfy.com/content/news/Suspect-arrested-in-shooting-of-Enemy-Swim-Day-School-custodian-482327311.html  http://www.hubcityradio.com/2018/05/10/arrest-made-in-shooting-at-enemy-swim-day-school/</v>
      </c>
      <c r="L959" s="5"/>
      <c r="M959" s="5"/>
      <c r="N959" s="5">
        <f ca="1">IFERROR(__xludf.DUMMYFUNCTION("""COMPUTED_VALUE"""),3)</f>
        <v>3</v>
      </c>
      <c r="O959" s="5" t="str">
        <f ca="1">IFERROR(__xludf.DUMMYFUNCTION("""COMPUTED_VALUE"""),"Spring")</f>
        <v>Spring</v>
      </c>
      <c r="P959" s="5" t="str">
        <f ca="1">IFERROR(__xludf.DUMMYFUNCTION("""COMPUTED_VALUE"""),"Waubay")</f>
        <v>Waubay</v>
      </c>
      <c r="Q959" s="5" t="str">
        <f ca="1">IFERROR(__xludf.DUMMYFUNCTION("""COMPUTED_VALUE"""),"SD")</f>
        <v>SD</v>
      </c>
      <c r="R959" s="5" t="str">
        <f ca="1">IFERROR(__xludf.DUMMYFUNCTION("""COMPUTED_VALUE"""),"K-8")</f>
        <v>K-8</v>
      </c>
      <c r="S959" s="5" t="str">
        <f ca="1">IFERROR(__xludf.DUMMYFUNCTION("""COMPUTED_VALUE"""),"Field (General)")</f>
        <v>Field (General)</v>
      </c>
      <c r="T959" s="5" t="str">
        <f ca="1">IFERROR(__xludf.DUMMYFUNCTION("""COMPUTED_VALUE"""),"Outside on School Property")</f>
        <v>Outside on School Property</v>
      </c>
      <c r="U959" s="5" t="str">
        <f ca="1">IFERROR(__xludf.DUMMYFUNCTION("""COMPUTED_VALUE"""),"No")</f>
        <v>No</v>
      </c>
      <c r="V959" s="5" t="str">
        <f ca="1">IFERROR(__xludf.DUMMYFUNCTION("""COMPUTED_VALUE"""),"Evening")</f>
        <v>Evening</v>
      </c>
      <c r="W959" s="10">
        <f ca="1">IFERROR(__xludf.DUMMYFUNCTION("""COMPUTED_VALUE"""),0.913194444444444)</f>
        <v>0.91319444444444398</v>
      </c>
      <c r="X959" s="5">
        <f ca="1">IFERROR(__xludf.DUMMYFUNCTION("""COMPUTED_VALUE"""),1)</f>
        <v>1</v>
      </c>
      <c r="Y959" s="5" t="str">
        <f ca="1">IFERROR(__xludf.DUMMYFUNCTION("""COMPUTED_VALUE"""),"School employee shot while walking around property, motive unknown")</f>
        <v>School employee shot while walking around property, motive unknown</v>
      </c>
      <c r="Z959" s="5" t="str">
        <f ca="1">IFERROR(__xludf.DUMMYFUNCTION("""COMPUTED_VALUE"""),"19 year old custodian was checking on the perimeter of the school when he was shot in the chest. Victim was taken to hospital, treated, and released. Suspect was later arrested. No additional information available related to the shooting. Occurred on trib"&amp;"al land.")</f>
        <v>19 year old custodian was checking on the perimeter of the school when he was shot in the chest. Victim was taken to hospital, treated, and released. Suspect was later arrested. No additional information available related to the shooting. Occurred on tribal land.</v>
      </c>
      <c r="AA959" s="5" t="str">
        <f ca="1">IFERROR(__xludf.DUMMYFUNCTION("""COMPUTED_VALUE"""),"Unknown")</f>
        <v>Unknown</v>
      </c>
      <c r="AB959" s="5"/>
      <c r="AC959" s="5"/>
      <c r="AD959" s="5" t="str">
        <f ca="1">IFERROR(__xludf.DUMMYFUNCTION("""COMPUTED_VALUE"""),"No")</f>
        <v>No</v>
      </c>
      <c r="AE959" s="5" t="str">
        <f ca="1">IFERROR(__xludf.DUMMYFUNCTION("""COMPUTED_VALUE"""),"No")</f>
        <v>No</v>
      </c>
      <c r="AF959" s="5" t="str">
        <f ca="1">IFERROR(__xludf.DUMMYFUNCTION("""COMPUTED_VALUE"""),"No")</f>
        <v>No</v>
      </c>
      <c r="AG959" s="5"/>
      <c r="AH959" s="5"/>
      <c r="AI959" s="5" t="str">
        <f ca="1">IFERROR(__xludf.DUMMYFUNCTION("""COMPUTED_VALUE"""),"No")</f>
        <v>No</v>
      </c>
      <c r="AJ959" s="5" t="str">
        <f ca="1">IFERROR(__xludf.DUMMYFUNCTION("""COMPUTED_VALUE"""),"No")</f>
        <v>No</v>
      </c>
    </row>
    <row r="960" spans="1:36" ht="13">
      <c r="A960" s="5" t="str">
        <f ca="1">IFERROR(__xludf.DUMMYFUNCTION("""COMPUTED_VALUE"""),"20180503TNWAW")</f>
        <v>20180503TNWAW</v>
      </c>
      <c r="B960" s="5">
        <f ca="1">IFERROR(__xludf.DUMMYFUNCTION("""COMPUTED_VALUE"""),5)</f>
        <v>5</v>
      </c>
      <c r="C960" s="5">
        <f ca="1">IFERROR(__xludf.DUMMYFUNCTION("""COMPUTED_VALUE"""),3)</f>
        <v>3</v>
      </c>
      <c r="D960" s="5">
        <f ca="1">IFERROR(__xludf.DUMMYFUNCTION("""COMPUTED_VALUE"""),2018)</f>
        <v>2018</v>
      </c>
      <c r="E960" s="8">
        <f ca="1">IFERROR(__xludf.DUMMYFUNCTION("""COMPUTED_VALUE"""),43223)</f>
        <v>43223</v>
      </c>
      <c r="F960" s="5" t="str">
        <f ca="1">IFERROR(__xludf.DUMMYFUNCTION("""COMPUTED_VALUE"""),"Waynesboro Elementary School")</f>
        <v>Waynesboro Elementary School</v>
      </c>
      <c r="G960" s="5">
        <f ca="1">IFERROR(__xludf.DUMMYFUNCTION("""COMPUTED_VALUE"""),0)</f>
        <v>0</v>
      </c>
      <c r="H960" s="5">
        <f ca="1">IFERROR(__xludf.DUMMYFUNCTION("""COMPUTED_VALUE"""),0)</f>
        <v>0</v>
      </c>
      <c r="I960" s="5">
        <f ca="1">IFERROR(__xludf.DUMMYFUNCTION("""COMPUTED_VALUE"""),0)</f>
        <v>0</v>
      </c>
      <c r="J960" s="5">
        <f ca="1">IFERROR(__xludf.DUMMYFUNCTION("""COMPUTED_VALUE"""),0)</f>
        <v>0</v>
      </c>
      <c r="K960" s="9" t="str">
        <f ca="1">IFERROR(__xludf.DUMMYFUNCTION("""COMPUTED_VALUE"""),"https://www.mlive.com/news/jackson/index.ssf/2018/04/no_arrests_made_yet_after_jack.html")</f>
        <v>https://www.mlive.com/news/jackson/index.ssf/2018/04/no_arrests_made_yet_after_jack.html</v>
      </c>
      <c r="L960" s="5"/>
      <c r="M960" s="5"/>
      <c r="N960" s="5">
        <f ca="1">IFERROR(__xludf.DUMMYFUNCTION("""COMPUTED_VALUE"""),2)</f>
        <v>2</v>
      </c>
      <c r="O960" s="5" t="str">
        <f ca="1">IFERROR(__xludf.DUMMYFUNCTION("""COMPUTED_VALUE"""),"Spring")</f>
        <v>Spring</v>
      </c>
      <c r="P960" s="5" t="str">
        <f ca="1">IFERROR(__xludf.DUMMYFUNCTION("""COMPUTED_VALUE"""),"Waynesboro")</f>
        <v>Waynesboro</v>
      </c>
      <c r="Q960" s="5" t="str">
        <f ca="1">IFERROR(__xludf.DUMMYFUNCTION("""COMPUTED_VALUE"""),"TN")</f>
        <v>TN</v>
      </c>
      <c r="R960" s="5" t="str">
        <f ca="1">IFERROR(__xludf.DUMMYFUNCTION("""COMPUTED_VALUE"""),"High")</f>
        <v>High</v>
      </c>
      <c r="S960" s="5" t="str">
        <f ca="1">IFERROR(__xludf.DUMMYFUNCTION("""COMPUTED_VALUE"""),"Bathroom")</f>
        <v>Bathroom</v>
      </c>
      <c r="T960" s="5" t="str">
        <f ca="1">IFERROR(__xludf.DUMMYFUNCTION("""COMPUTED_VALUE"""),"Inside School Building")</f>
        <v>Inside School Building</v>
      </c>
      <c r="U960" s="5" t="str">
        <f ca="1">IFERROR(__xludf.DUMMYFUNCTION("""COMPUTED_VALUE"""),"Yes")</f>
        <v>Yes</v>
      </c>
      <c r="V960" s="5" t="str">
        <f ca="1">IFERROR(__xludf.DUMMYFUNCTION("""COMPUTED_VALUE"""),"Morning Classes")</f>
        <v>Morning Classes</v>
      </c>
      <c r="W960" s="5"/>
      <c r="X960" s="5">
        <f ca="1">IFERROR(__xludf.DUMMYFUNCTION("""COMPUTED_VALUE"""),1)</f>
        <v>1</v>
      </c>
      <c r="Y960" s="5" t="str">
        <f ca="1">IFERROR(__xludf.DUMMYFUNCTION("""COMPUTED_VALUE"""),"Gun accidentally fired in the bathroom")</f>
        <v>Gun accidentally fired in the bathroom</v>
      </c>
      <c r="Z960" s="5" t="str">
        <f ca="1">IFERROR(__xludf.DUMMYFUNCTION("""COMPUTED_VALUE"""),"Student fired a single shot in the bathroom. No injuries. School was locked down.")</f>
        <v>Student fired a single shot in the bathroom. No injuries. School was locked down.</v>
      </c>
      <c r="AA960" s="5" t="str">
        <f ca="1">IFERROR(__xludf.DUMMYFUNCTION("""COMPUTED_VALUE"""),"Accidental")</f>
        <v>Accidental</v>
      </c>
      <c r="AB960" s="5" t="str">
        <f ca="1">IFERROR(__xludf.DUMMYFUNCTION("""COMPUTED_VALUE"""),"Neither")</f>
        <v>Neither</v>
      </c>
      <c r="AC960" s="5" t="str">
        <f ca="1">IFERROR(__xludf.DUMMYFUNCTION("""COMPUTED_VALUE"""),"No")</f>
        <v>No</v>
      </c>
      <c r="AD960" s="5" t="str">
        <f ca="1">IFERROR(__xludf.DUMMYFUNCTION("""COMPUTED_VALUE"""),"No")</f>
        <v>No</v>
      </c>
      <c r="AE960" s="5" t="str">
        <f ca="1">IFERROR(__xludf.DUMMYFUNCTION("""COMPUTED_VALUE"""),"No")</f>
        <v>No</v>
      </c>
      <c r="AF960" s="5" t="str">
        <f ca="1">IFERROR(__xludf.DUMMYFUNCTION("""COMPUTED_VALUE"""),"No")</f>
        <v>No</v>
      </c>
      <c r="AG960" s="5" t="str">
        <f ca="1">IFERROR(__xludf.DUMMYFUNCTION("""COMPUTED_VALUE"""),"No")</f>
        <v>No</v>
      </c>
      <c r="AH960" s="5" t="str">
        <f ca="1">IFERROR(__xludf.DUMMYFUNCTION("""COMPUTED_VALUE"""),"No")</f>
        <v>No</v>
      </c>
      <c r="AI960" s="5" t="str">
        <f ca="1">IFERROR(__xludf.DUMMYFUNCTION("""COMPUTED_VALUE"""),"No")</f>
        <v>No</v>
      </c>
      <c r="AJ960" s="5" t="str">
        <f ca="1">IFERROR(__xludf.DUMMYFUNCTION("""COMPUTED_VALUE"""),"No")</f>
        <v>No</v>
      </c>
    </row>
    <row r="961" spans="1:36" ht="13">
      <c r="A961" s="5" t="str">
        <f ca="1">IFERROR(__xludf.DUMMYFUNCTION("""COMPUTED_VALUE"""),"20180425NMHIA")</f>
        <v>20180425NMHIA</v>
      </c>
      <c r="B961" s="5">
        <f ca="1">IFERROR(__xludf.DUMMYFUNCTION("""COMPUTED_VALUE"""),4)</f>
        <v>4</v>
      </c>
      <c r="C961" s="5">
        <f ca="1">IFERROR(__xludf.DUMMYFUNCTION("""COMPUTED_VALUE"""),25)</f>
        <v>25</v>
      </c>
      <c r="D961" s="5">
        <f ca="1">IFERROR(__xludf.DUMMYFUNCTION("""COMPUTED_VALUE"""),2018)</f>
        <v>2018</v>
      </c>
      <c r="E961" s="8">
        <f ca="1">IFERROR(__xludf.DUMMYFUNCTION("""COMPUTED_VALUE"""),43215)</f>
        <v>43215</v>
      </c>
      <c r="F961" s="5" t="str">
        <f ca="1">IFERROR(__xludf.DUMMYFUNCTION("""COMPUTED_VALUE"""),"Highland High School")</f>
        <v>Highland High School</v>
      </c>
      <c r="G961" s="5">
        <f ca="1">IFERROR(__xludf.DUMMYFUNCTION("""COMPUTED_VALUE"""),0)</f>
        <v>0</v>
      </c>
      <c r="H961" s="5">
        <f ca="1">IFERROR(__xludf.DUMMYFUNCTION("""COMPUTED_VALUE"""),1)</f>
        <v>1</v>
      </c>
      <c r="I961" s="5">
        <f ca="1">IFERROR(__xludf.DUMMYFUNCTION("""COMPUTED_VALUE"""),1)</f>
        <v>1</v>
      </c>
      <c r="J961" s="5">
        <f ca="1">IFERROR(__xludf.DUMMYFUNCTION("""COMPUTED_VALUE"""),0)</f>
        <v>0</v>
      </c>
      <c r="K961" s="5" t="str">
        <f ca="1">IFERROR(__xludf.DUMMYFUNCTION("""COMPUTED_VALUE"""),"https://www.krqe.com/news/crime/father-of-middle-school-murder-suspect-has-history-of-shooting-near-a-school/ https://www.krqe.com/news/dads-involved-in-highland-high-shooting-get-restraining-orders/?ipid=related-recir https://www.krqe.com/news/police-see"&amp;"k-to-charge-both-parents-in-highland-high-fight-shooting/")</f>
        <v>https://www.krqe.com/news/crime/father-of-middle-school-murder-suspect-has-history-of-shooting-near-a-school/ https://www.krqe.com/news/dads-involved-in-highland-high-shooting-get-restraining-orders/?ipid=related-recir https://www.krqe.com/news/police-seek-to-charge-both-parents-in-highland-high-fight-shooting/</v>
      </c>
      <c r="L961" s="5">
        <f ca="1">IFERROR(__xludf.DUMMYFUNCTION("""COMPUTED_VALUE"""),3)</f>
        <v>3</v>
      </c>
      <c r="M961" s="5" t="str">
        <f ca="1">IFERROR(__xludf.DUMMYFUNCTION("""COMPUTED_VALUE"""),"Local")</f>
        <v>Local</v>
      </c>
      <c r="N961" s="5">
        <f ca="1">IFERROR(__xludf.DUMMYFUNCTION("""COMPUTED_VALUE"""),4)</f>
        <v>4</v>
      </c>
      <c r="O961" s="5" t="str">
        <f ca="1">IFERROR(__xludf.DUMMYFUNCTION("""COMPUTED_VALUE"""),"Spring")</f>
        <v>Spring</v>
      </c>
      <c r="P961" s="5" t="str">
        <f ca="1">IFERROR(__xludf.DUMMYFUNCTION("""COMPUTED_VALUE"""),"Albuquerque")</f>
        <v>Albuquerque</v>
      </c>
      <c r="Q961" s="5" t="str">
        <f ca="1">IFERROR(__xludf.DUMMYFUNCTION("""COMPUTED_VALUE"""),"NM")</f>
        <v>NM</v>
      </c>
      <c r="R961" s="5" t="str">
        <f ca="1">IFERROR(__xludf.DUMMYFUNCTION("""COMPUTED_VALUE"""),"High")</f>
        <v>High</v>
      </c>
      <c r="S961" s="5" t="str">
        <f ca="1">IFERROR(__xludf.DUMMYFUNCTION("""COMPUTED_VALUE"""),"Front of School")</f>
        <v>Front of School</v>
      </c>
      <c r="T961" s="5" t="str">
        <f ca="1">IFERROR(__xludf.DUMMYFUNCTION("""COMPUTED_VALUE"""),"Outside on School Property")</f>
        <v>Outside on School Property</v>
      </c>
      <c r="U961" s="5" t="str">
        <f ca="1">IFERROR(__xludf.DUMMYFUNCTION("""COMPUTED_VALUE"""),"Yes")</f>
        <v>Yes</v>
      </c>
      <c r="V961" s="5" t="str">
        <f ca="1">IFERROR(__xludf.DUMMYFUNCTION("""COMPUTED_VALUE"""),"Dismissal")</f>
        <v>Dismissal</v>
      </c>
      <c r="W961" s="10">
        <f ca="1">IFERROR(__xludf.DUMMYFUNCTION("""COMPUTED_VALUE"""),0.604166666666666)</f>
        <v>0.60416666666666596</v>
      </c>
      <c r="X961" s="5">
        <f ca="1">IFERROR(__xludf.DUMMYFUNCTION("""COMPUTED_VALUE"""),1)</f>
        <v>1</v>
      </c>
      <c r="Y961" s="5" t="str">
        <f ca="1">IFERROR(__xludf.DUMMYFUNCTION("""COMPUTED_VALUE"""),"Parent shot another parent during argument in pick-up line")</f>
        <v>Parent shot another parent during argument in pick-up line</v>
      </c>
      <c r="Z961" s="5" t="str">
        <f ca="1">IFERROR(__xludf.DUMMYFUNCTION("""COMPUTED_VALUE"""),"An adult parent shot another parent multiple times during an argument in the pick-up line of the school. Criminal charges were dropped. Both parents were barred from the campus. On 8/13/2021, the shooter's son shot and killed a student at his school using"&amp;" a weapon owned by the father/shooter.")</f>
        <v>An adult parent shot another parent multiple times during an argument in the pick-up line of the school. Criminal charges were dropped. Both parents were barred from the campus. On 8/13/2021, the shooter's son shot and killed a student at his school using a weapon owned by the father/shooter.</v>
      </c>
      <c r="AA961" s="5" t="str">
        <f ca="1">IFERROR(__xludf.DUMMYFUNCTION("""COMPUTED_VALUE"""),"Escalation of Dispute")</f>
        <v>Escalation of Dispute</v>
      </c>
      <c r="AB961" s="5" t="str">
        <f ca="1">IFERROR(__xludf.DUMMYFUNCTION("""COMPUTED_VALUE"""),"Victims Targeted")</f>
        <v>Victims Targeted</v>
      </c>
      <c r="AC961" s="5" t="str">
        <f ca="1">IFERROR(__xludf.DUMMYFUNCTION("""COMPUTED_VALUE"""),"No")</f>
        <v>No</v>
      </c>
      <c r="AD961" s="5" t="str">
        <f ca="1">IFERROR(__xludf.DUMMYFUNCTION("""COMPUTED_VALUE"""),"No")</f>
        <v>No</v>
      </c>
      <c r="AE961" s="5" t="str">
        <f ca="1">IFERROR(__xludf.DUMMYFUNCTION("""COMPUTED_VALUE"""),"No")</f>
        <v>No</v>
      </c>
      <c r="AF961" s="5" t="str">
        <f ca="1">IFERROR(__xludf.DUMMYFUNCTION("""COMPUTED_VALUE"""),"No")</f>
        <v>No</v>
      </c>
      <c r="AG961" s="5" t="str">
        <f ca="1">IFERROR(__xludf.DUMMYFUNCTION("""COMPUTED_VALUE"""),"No")</f>
        <v>No</v>
      </c>
      <c r="AH961" s="5" t="str">
        <f ca="1">IFERROR(__xludf.DUMMYFUNCTION("""COMPUTED_VALUE"""),"No")</f>
        <v>No</v>
      </c>
      <c r="AI961" s="5" t="str">
        <f ca="1">IFERROR(__xludf.DUMMYFUNCTION("""COMPUTED_VALUE"""),"No")</f>
        <v>No</v>
      </c>
      <c r="AJ961" s="5" t="str">
        <f ca="1">IFERROR(__xludf.DUMMYFUNCTION("""COMPUTED_VALUE"""),"No")</f>
        <v>No</v>
      </c>
    </row>
    <row r="962" spans="1:36" ht="13">
      <c r="A962" s="5" t="str">
        <f ca="1">IFERROR(__xludf.DUMMYFUNCTION("""COMPUTED_VALUE"""),"20180423GABEA")</f>
        <v>20180423GABEA</v>
      </c>
      <c r="B962" s="5">
        <f ca="1">IFERROR(__xludf.DUMMYFUNCTION("""COMPUTED_VALUE"""),4)</f>
        <v>4</v>
      </c>
      <c r="C962" s="5">
        <f ca="1">IFERROR(__xludf.DUMMYFUNCTION("""COMPUTED_VALUE"""),23)</f>
        <v>23</v>
      </c>
      <c r="D962" s="5">
        <f ca="1">IFERROR(__xludf.DUMMYFUNCTION("""COMPUTED_VALUE"""),2018)</f>
        <v>2018</v>
      </c>
      <c r="E962" s="8">
        <f ca="1">IFERROR(__xludf.DUMMYFUNCTION("""COMPUTED_VALUE"""),43213)</f>
        <v>43213</v>
      </c>
      <c r="F962" s="5" t="str">
        <f ca="1">IFERROR(__xludf.DUMMYFUNCTION("""COMPUTED_VALUE"""),"Benjamin E. Mays High School")</f>
        <v>Benjamin E. Mays High School</v>
      </c>
      <c r="G962" s="5">
        <f ca="1">IFERROR(__xludf.DUMMYFUNCTION("""COMPUTED_VALUE"""),0)</f>
        <v>0</v>
      </c>
      <c r="H962" s="5">
        <f ca="1">IFERROR(__xludf.DUMMYFUNCTION("""COMPUTED_VALUE"""),0)</f>
        <v>0</v>
      </c>
      <c r="I962" s="5">
        <f ca="1">IFERROR(__xludf.DUMMYFUNCTION("""COMPUTED_VALUE"""),0)</f>
        <v>0</v>
      </c>
      <c r="J962" s="5">
        <f ca="1">IFERROR(__xludf.DUMMYFUNCTION("""COMPUTED_VALUE"""),0)</f>
        <v>0</v>
      </c>
      <c r="K962" s="9" t="str">
        <f ca="1">IFERROR(__xludf.DUMMYFUNCTION("""COMPUTED_VALUE"""),"http://www.cbs46.com/story/38020869/us-marshals-suspect-involved-in-mays-high-school-shooting-apprehended")</f>
        <v>http://www.cbs46.com/story/38020869/us-marshals-suspect-involved-in-mays-high-school-shooting-apprehended</v>
      </c>
      <c r="L962" s="5">
        <f ca="1">IFERROR(__xludf.DUMMYFUNCTION("""COMPUTED_VALUE"""),1)</f>
        <v>1</v>
      </c>
      <c r="M962" s="5" t="str">
        <f ca="1">IFERROR(__xludf.DUMMYFUNCTION("""COMPUTED_VALUE"""),"Local")</f>
        <v>Local</v>
      </c>
      <c r="N962" s="5">
        <f ca="1">IFERROR(__xludf.DUMMYFUNCTION("""COMPUTED_VALUE"""),2)</f>
        <v>2</v>
      </c>
      <c r="O962" s="5" t="str">
        <f ca="1">IFERROR(__xludf.DUMMYFUNCTION("""COMPUTED_VALUE"""),"Spring")</f>
        <v>Spring</v>
      </c>
      <c r="P962" s="5" t="str">
        <f ca="1">IFERROR(__xludf.DUMMYFUNCTION("""COMPUTED_VALUE"""),"Atlanta")</f>
        <v>Atlanta</v>
      </c>
      <c r="Q962" s="5" t="str">
        <f ca="1">IFERROR(__xludf.DUMMYFUNCTION("""COMPUTED_VALUE"""),"GA")</f>
        <v>GA</v>
      </c>
      <c r="R962" s="5" t="str">
        <f ca="1">IFERROR(__xludf.DUMMYFUNCTION("""COMPUTED_VALUE"""),"High")</f>
        <v>High</v>
      </c>
      <c r="S962" s="5" t="str">
        <f ca="1">IFERROR(__xludf.DUMMYFUNCTION("""COMPUTED_VALUE"""),"Parking Lot")</f>
        <v>Parking Lot</v>
      </c>
      <c r="T962" s="5" t="str">
        <f ca="1">IFERROR(__xludf.DUMMYFUNCTION("""COMPUTED_VALUE"""),"Outside on School Property")</f>
        <v>Outside on School Property</v>
      </c>
      <c r="U962" s="5" t="str">
        <f ca="1">IFERROR(__xludf.DUMMYFUNCTION("""COMPUTED_VALUE"""),"Yes")</f>
        <v>Yes</v>
      </c>
      <c r="V962" s="5" t="str">
        <f ca="1">IFERROR(__xludf.DUMMYFUNCTION("""COMPUTED_VALUE"""),"Lunch")</f>
        <v>Lunch</v>
      </c>
      <c r="W962" s="10">
        <f ca="1">IFERROR(__xludf.DUMMYFUNCTION("""COMPUTED_VALUE"""),0.541666666666666)</f>
        <v>0.54166666666666596</v>
      </c>
      <c r="X962" s="5">
        <f ca="1">IFERROR(__xludf.DUMMYFUNCTION("""COMPUTED_VALUE"""),1)</f>
        <v>1</v>
      </c>
      <c r="Y962" s="5" t="str">
        <f ca="1">IFERROR(__xludf.DUMMYFUNCTION("""COMPUTED_VALUE"""),"Shot fired into air during a verbal argument between male and female students")</f>
        <v>Shot fired into air during a verbal argument between male and female students</v>
      </c>
      <c r="Z962" s="5" t="str">
        <f ca="1">IFERROR(__xludf.DUMMYFUNCTION("""COMPUTED_VALUE"""),"Shot fired into the air after a verbal altercation between a female student and an acquaintance male who was not a student. Shot broke car glass and the female was hurt. Male shooter fired in the air while fleeing the scene in a car.")</f>
        <v>Shot fired into the air after a verbal altercation between a female student and an acquaintance male who was not a student. Shot broke car glass and the female was hurt. Male shooter fired in the air while fleeing the scene in a car.</v>
      </c>
      <c r="AA962" s="5" t="str">
        <f ca="1">IFERROR(__xludf.DUMMYFUNCTION("""COMPUTED_VALUE"""),"Escalation of Dispute")</f>
        <v>Escalation of Dispute</v>
      </c>
      <c r="AB962" s="5" t="str">
        <f ca="1">IFERROR(__xludf.DUMMYFUNCTION("""COMPUTED_VALUE"""),"Victims Targeted")</f>
        <v>Victims Targeted</v>
      </c>
      <c r="AC962" s="5"/>
      <c r="AD962" s="5" t="str">
        <f ca="1">IFERROR(__xludf.DUMMYFUNCTION("""COMPUTED_VALUE"""),"No")</f>
        <v>No</v>
      </c>
      <c r="AE962" s="5" t="str">
        <f ca="1">IFERROR(__xludf.DUMMYFUNCTION("""COMPUTED_VALUE"""),"No")</f>
        <v>No</v>
      </c>
      <c r="AF962" s="5" t="str">
        <f ca="1">IFERROR(__xludf.DUMMYFUNCTION("""COMPUTED_VALUE"""),"No")</f>
        <v>No</v>
      </c>
      <c r="AG962" s="5" t="str">
        <f ca="1">IFERROR(__xludf.DUMMYFUNCTION("""COMPUTED_VALUE"""),"No")</f>
        <v>No</v>
      </c>
      <c r="AH962" s="5" t="str">
        <f ca="1">IFERROR(__xludf.DUMMYFUNCTION("""COMPUTED_VALUE"""),"Yes")</f>
        <v>Yes</v>
      </c>
      <c r="AI962" s="5" t="str">
        <f ca="1">IFERROR(__xludf.DUMMYFUNCTION("""COMPUTED_VALUE"""),"No")</f>
        <v>No</v>
      </c>
      <c r="AJ962" s="5" t="str">
        <f ca="1">IFERROR(__xludf.DUMMYFUNCTION("""COMPUTED_VALUE"""),"No")</f>
        <v>No</v>
      </c>
    </row>
    <row r="963" spans="1:36" ht="13">
      <c r="A963" s="5" t="str">
        <f ca="1">IFERROR(__xludf.DUMMYFUNCTION("""COMPUTED_VALUE"""),"20180420FLFOO")</f>
        <v>20180420FLFOO</v>
      </c>
      <c r="B963" s="5">
        <f ca="1">IFERROR(__xludf.DUMMYFUNCTION("""COMPUTED_VALUE"""),4)</f>
        <v>4</v>
      </c>
      <c r="C963" s="5">
        <f ca="1">IFERROR(__xludf.DUMMYFUNCTION("""COMPUTED_VALUE"""),20)</f>
        <v>20</v>
      </c>
      <c r="D963" s="5">
        <f ca="1">IFERROR(__xludf.DUMMYFUNCTION("""COMPUTED_VALUE"""),2018)</f>
        <v>2018</v>
      </c>
      <c r="E963" s="8">
        <f ca="1">IFERROR(__xludf.DUMMYFUNCTION("""COMPUTED_VALUE"""),43210)</f>
        <v>43210</v>
      </c>
      <c r="F963" s="5" t="str">
        <f ca="1">IFERROR(__xludf.DUMMYFUNCTION("""COMPUTED_VALUE"""),"Forest High School")</f>
        <v>Forest High School</v>
      </c>
      <c r="G963" s="5">
        <f ca="1">IFERROR(__xludf.DUMMYFUNCTION("""COMPUTED_VALUE"""),0)</f>
        <v>0</v>
      </c>
      <c r="H963" s="5">
        <f ca="1">IFERROR(__xludf.DUMMYFUNCTION("""COMPUTED_VALUE"""),1)</f>
        <v>1</v>
      </c>
      <c r="I963" s="5">
        <f ca="1">IFERROR(__xludf.DUMMYFUNCTION("""COMPUTED_VALUE"""),1)</f>
        <v>1</v>
      </c>
      <c r="J963" s="5">
        <f ca="1">IFERROR(__xludf.DUMMYFUNCTION("""COMPUTED_VALUE"""),0)</f>
        <v>0</v>
      </c>
      <c r="K963" s="5" t="str">
        <f ca="1">IFERROR(__xludf.DUMMYFUNCTION("""COMPUTED_VALUE"""),"https://mycbs4.com/news/local/school-shooter-sentenced-to-30-years-in-prison-for-2018-shooting-at-ocala-high-school http://www.ocala.com/news/20180521/ocala-school-shooter-charged-could-face-life")</f>
        <v>https://mycbs4.com/news/local/school-shooter-sentenced-to-30-years-in-prison-for-2018-shooting-at-ocala-high-school http://www.ocala.com/news/20180521/ocala-school-shooter-charged-could-face-life</v>
      </c>
      <c r="L963" s="5">
        <f ca="1">IFERROR(__xludf.DUMMYFUNCTION("""COMPUTED_VALUE"""),999)</f>
        <v>999</v>
      </c>
      <c r="M963" s="5" t="str">
        <f ca="1">IFERROR(__xludf.DUMMYFUNCTION("""COMPUTED_VALUE"""),"National")</f>
        <v>National</v>
      </c>
      <c r="N963" s="5">
        <f ca="1">IFERROR(__xludf.DUMMYFUNCTION("""COMPUTED_VALUE"""),5)</f>
        <v>5</v>
      </c>
      <c r="O963" s="5" t="str">
        <f ca="1">IFERROR(__xludf.DUMMYFUNCTION("""COMPUTED_VALUE"""),"Spring")</f>
        <v>Spring</v>
      </c>
      <c r="P963" s="5" t="str">
        <f ca="1">IFERROR(__xludf.DUMMYFUNCTION("""COMPUTED_VALUE"""),"Ocala")</f>
        <v>Ocala</v>
      </c>
      <c r="Q963" s="5" t="str">
        <f ca="1">IFERROR(__xludf.DUMMYFUNCTION("""COMPUTED_VALUE"""),"FL")</f>
        <v>FL</v>
      </c>
      <c r="R963" s="5" t="str">
        <f ca="1">IFERROR(__xludf.DUMMYFUNCTION("""COMPUTED_VALUE"""),"High")</f>
        <v>High</v>
      </c>
      <c r="S963" s="5" t="str">
        <f ca="1">IFERROR(__xludf.DUMMYFUNCTION("""COMPUTED_VALUE"""),"Classroom")</f>
        <v>Classroom</v>
      </c>
      <c r="T963" s="5" t="str">
        <f ca="1">IFERROR(__xludf.DUMMYFUNCTION("""COMPUTED_VALUE"""),"Inside School Building")</f>
        <v>Inside School Building</v>
      </c>
      <c r="U963" s="5" t="str">
        <f ca="1">IFERROR(__xludf.DUMMYFUNCTION("""COMPUTED_VALUE"""),"Yes")</f>
        <v>Yes</v>
      </c>
      <c r="V963" s="5" t="str">
        <f ca="1">IFERROR(__xludf.DUMMYFUNCTION("""COMPUTED_VALUE"""),"Morning Classes")</f>
        <v>Morning Classes</v>
      </c>
      <c r="W963" s="10">
        <f ca="1">IFERROR(__xludf.DUMMYFUNCTION("""COMPUTED_VALUE"""),0.360416666666666)</f>
        <v>0.360416666666666</v>
      </c>
      <c r="X963" s="5">
        <f ca="1">IFERROR(__xludf.DUMMYFUNCTION("""COMPUTED_VALUE"""),1)</f>
        <v>1</v>
      </c>
      <c r="Y963" s="5" t="str">
        <f ca="1">IFERROR(__xludf.DUMMYFUNCTION("""COMPUTED_VALUE"""),"Planned attack on school by heavily armed shooter")</f>
        <v>Planned attack on school by heavily armed shooter</v>
      </c>
      <c r="Z963" s="5" t="str">
        <f ca="1">IFERROR(__xludf.DUMMYFUNCTION("""COMPUTED_VALUE"""),"Shooter walked into Forest High School carrying a guitar case, according to the Marion County Sheriff's Office. Inside of the case was a sawed-off shotgun.Shooter fired the shotgun through a door, injuring a student, according to the sheriff's office. Aft"&amp;"er injuring the student, he stopped shooting and was taken into custody.")</f>
        <v>Shooter walked into Forest High School carrying a guitar case, according to the Marion County Sheriff's Office. Inside of the case was a sawed-off shotgun.Shooter fired the shotgun through a door, injuring a student, according to the sheriff's office. After injuring the student, he stopped shooting and was taken into custody.</v>
      </c>
      <c r="AA963" s="5" t="str">
        <f ca="1">IFERROR(__xludf.DUMMYFUNCTION("""COMPUTED_VALUE"""),"Indiscriminate Shooting")</f>
        <v>Indiscriminate Shooting</v>
      </c>
      <c r="AB963" s="5" t="str">
        <f ca="1">IFERROR(__xludf.DUMMYFUNCTION("""COMPUTED_VALUE"""),"Random Shooting")</f>
        <v>Random Shooting</v>
      </c>
      <c r="AC963" s="5" t="str">
        <f ca="1">IFERROR(__xludf.DUMMYFUNCTION("""COMPUTED_VALUE"""),"No")</f>
        <v>No</v>
      </c>
      <c r="AD963" s="5" t="str">
        <f ca="1">IFERROR(__xludf.DUMMYFUNCTION("""COMPUTED_VALUE"""),"No")</f>
        <v>No</v>
      </c>
      <c r="AE963" s="5" t="str">
        <f ca="1">IFERROR(__xludf.DUMMYFUNCTION("""COMPUTED_VALUE"""),"No")</f>
        <v>No</v>
      </c>
      <c r="AF963" s="5" t="str">
        <f ca="1">IFERROR(__xludf.DUMMYFUNCTION("""COMPUTED_VALUE"""),"No")</f>
        <v>No</v>
      </c>
      <c r="AG963" s="5" t="str">
        <f ca="1">IFERROR(__xludf.DUMMYFUNCTION("""COMPUTED_VALUE"""),"No")</f>
        <v>No</v>
      </c>
      <c r="AH963" s="5" t="str">
        <f ca="1">IFERROR(__xludf.DUMMYFUNCTION("""COMPUTED_VALUE"""),"No")</f>
        <v>No</v>
      </c>
      <c r="AI963" s="5" t="str">
        <f ca="1">IFERROR(__xludf.DUMMYFUNCTION("""COMPUTED_VALUE"""),"No")</f>
        <v>No</v>
      </c>
      <c r="AJ963" s="5" t="str">
        <f ca="1">IFERROR(__xludf.DUMMYFUNCTION("""COMPUTED_VALUE"""),"Yes")</f>
        <v>Yes</v>
      </c>
    </row>
    <row r="964" spans="1:36" ht="13">
      <c r="A964" s="5" t="str">
        <f ca="1">IFERROR(__xludf.DUMMYFUNCTION("""COMPUTED_VALUE"""),"20180419MIJAJ")</f>
        <v>20180419MIJAJ</v>
      </c>
      <c r="B964" s="5">
        <f ca="1">IFERROR(__xludf.DUMMYFUNCTION("""COMPUTED_VALUE"""),4)</f>
        <v>4</v>
      </c>
      <c r="C964" s="5">
        <f ca="1">IFERROR(__xludf.DUMMYFUNCTION("""COMPUTED_VALUE"""),19)</f>
        <v>19</v>
      </c>
      <c r="D964" s="5">
        <f ca="1">IFERROR(__xludf.DUMMYFUNCTION("""COMPUTED_VALUE"""),2018)</f>
        <v>2018</v>
      </c>
      <c r="E964" s="8">
        <f ca="1">IFERROR(__xludf.DUMMYFUNCTION("""COMPUTED_VALUE"""),43209)</f>
        <v>43209</v>
      </c>
      <c r="F964" s="5" t="str">
        <f ca="1">IFERROR(__xludf.DUMMYFUNCTION("""COMPUTED_VALUE"""),"Jackson High School")</f>
        <v>Jackson High School</v>
      </c>
      <c r="G964" s="5">
        <f ca="1">IFERROR(__xludf.DUMMYFUNCTION("""COMPUTED_VALUE"""),0)</f>
        <v>0</v>
      </c>
      <c r="H964" s="5">
        <f ca="1">IFERROR(__xludf.DUMMYFUNCTION("""COMPUTED_VALUE"""),0)</f>
        <v>0</v>
      </c>
      <c r="I964" s="5">
        <f ca="1">IFERROR(__xludf.DUMMYFUNCTION("""COMPUTED_VALUE"""),0)</f>
        <v>0</v>
      </c>
      <c r="J964" s="5">
        <f ca="1">IFERROR(__xludf.DUMMYFUNCTION("""COMPUTED_VALUE"""),0)</f>
        <v>0</v>
      </c>
      <c r="K964" s="9" t="str">
        <f ca="1">IFERROR(__xludf.DUMMYFUNCTION("""COMPUTED_VALUE"""),"https://www.mlive.com/news/jackson/index.ssf/2018/04/no_arrests_made_yet_after_jack.html")</f>
        <v>https://www.mlive.com/news/jackson/index.ssf/2018/04/no_arrests_made_yet_after_jack.html</v>
      </c>
      <c r="L964" s="5"/>
      <c r="M964" s="5"/>
      <c r="N964" s="5">
        <f ca="1">IFERROR(__xludf.DUMMYFUNCTION("""COMPUTED_VALUE"""),2)</f>
        <v>2</v>
      </c>
      <c r="O964" s="5" t="str">
        <f ca="1">IFERROR(__xludf.DUMMYFUNCTION("""COMPUTED_VALUE"""),"Spring")</f>
        <v>Spring</v>
      </c>
      <c r="P964" s="5" t="str">
        <f ca="1">IFERROR(__xludf.DUMMYFUNCTION("""COMPUTED_VALUE"""),"Jackson")</f>
        <v>Jackson</v>
      </c>
      <c r="Q964" s="5" t="str">
        <f ca="1">IFERROR(__xludf.DUMMYFUNCTION("""COMPUTED_VALUE"""),"MI")</f>
        <v>MI</v>
      </c>
      <c r="R964" s="5" t="str">
        <f ca="1">IFERROR(__xludf.DUMMYFUNCTION("""COMPUTED_VALUE"""),"High")</f>
        <v>High</v>
      </c>
      <c r="S964" s="5" t="str">
        <f ca="1">IFERROR(__xludf.DUMMYFUNCTION("""COMPUTED_VALUE"""),"Off School Property")</f>
        <v>Off School Property</v>
      </c>
      <c r="T964" s="5" t="str">
        <f ca="1">IFERROR(__xludf.DUMMYFUNCTION("""COMPUTED_VALUE"""),"Off School Property")</f>
        <v>Off School Property</v>
      </c>
      <c r="U964" s="5" t="str">
        <f ca="1">IFERROR(__xludf.DUMMYFUNCTION("""COMPUTED_VALUE"""),"Yes")</f>
        <v>Yes</v>
      </c>
      <c r="V964" s="5" t="str">
        <f ca="1">IFERROR(__xludf.DUMMYFUNCTION("""COMPUTED_VALUE"""),"Afternoon Classes")</f>
        <v>Afternoon Classes</v>
      </c>
      <c r="W964" s="10">
        <f ca="1">IFERROR(__xludf.DUMMYFUNCTION("""COMPUTED_VALUE"""),0.572222222222222)</f>
        <v>0.57222222222222197</v>
      </c>
      <c r="X964" s="5">
        <f ca="1">IFERROR(__xludf.DUMMYFUNCTION("""COMPUTED_VALUE"""),1)</f>
        <v>1</v>
      </c>
      <c r="Y964" s="5" t="str">
        <f ca="1">IFERROR(__xludf.DUMMYFUNCTION("""COMPUTED_VALUE"""),"Two shots struck windows of occupied classroom")</f>
        <v>Two shots struck windows of occupied classroom</v>
      </c>
      <c r="Z964" s="5" t="str">
        <f ca="1">IFERROR(__xludf.DUMMYFUNCTION("""COMPUTED_VALUE"""),"Two shots broke windows of occupied classroom. No injuries. Police believed the shots were from a handgun fired at the apartment complex across the street. No motive or suspect. Did not appear school was target.")</f>
        <v>Two shots broke windows of occupied classroom. No injuries. Police believed the shots were from a handgun fired at the apartment complex across the street. No motive or suspect. Did not appear school was target.</v>
      </c>
      <c r="AA964" s="5" t="str">
        <f ca="1">IFERROR(__xludf.DUMMYFUNCTION("""COMPUTED_VALUE"""),"Unknown")</f>
        <v>Unknown</v>
      </c>
      <c r="AB964" s="5" t="str">
        <f ca="1">IFERROR(__xludf.DUMMYFUNCTION("""COMPUTED_VALUE"""),"Neither")</f>
        <v>Neither</v>
      </c>
      <c r="AC964" s="5" t="str">
        <f ca="1">IFERROR(__xludf.DUMMYFUNCTION("""COMPUTED_VALUE"""),"Unknown")</f>
        <v>Unknown</v>
      </c>
      <c r="AD964" s="5" t="str">
        <f ca="1">IFERROR(__xludf.DUMMYFUNCTION("""COMPUTED_VALUE"""),"No")</f>
        <v>No</v>
      </c>
      <c r="AE964" s="5" t="str">
        <f ca="1">IFERROR(__xludf.DUMMYFUNCTION("""COMPUTED_VALUE"""),"No")</f>
        <v>No</v>
      </c>
      <c r="AF964" s="5" t="str">
        <f ca="1">IFERROR(__xludf.DUMMYFUNCTION("""COMPUTED_VALUE"""),"No")</f>
        <v>No</v>
      </c>
      <c r="AG964" s="5" t="str">
        <f ca="1">IFERROR(__xludf.DUMMYFUNCTION("""COMPUTED_VALUE"""),"No")</f>
        <v>No</v>
      </c>
      <c r="AH964" s="5" t="str">
        <f ca="1">IFERROR(__xludf.DUMMYFUNCTION("""COMPUTED_VALUE"""),"No")</f>
        <v>No</v>
      </c>
      <c r="AI964" s="5"/>
      <c r="AJ964" s="5" t="str">
        <f ca="1">IFERROR(__xludf.DUMMYFUNCTION("""COMPUTED_VALUE"""),"No")</f>
        <v>No</v>
      </c>
    </row>
    <row r="965" spans="1:36" ht="13">
      <c r="A965" s="5" t="str">
        <f ca="1">IFERROR(__xludf.DUMMYFUNCTION("""COMPUTED_VALUE"""),"20180412MORAR")</f>
        <v>20180412MORAR</v>
      </c>
      <c r="B965" s="5">
        <f ca="1">IFERROR(__xludf.DUMMYFUNCTION("""COMPUTED_VALUE"""),4)</f>
        <v>4</v>
      </c>
      <c r="C965" s="5">
        <f ca="1">IFERROR(__xludf.DUMMYFUNCTION("""COMPUTED_VALUE"""),12)</f>
        <v>12</v>
      </c>
      <c r="D965" s="5">
        <f ca="1">IFERROR(__xludf.DUMMYFUNCTION("""COMPUTED_VALUE"""),2018)</f>
        <v>2018</v>
      </c>
      <c r="E965" s="8">
        <f ca="1">IFERROR(__xludf.DUMMYFUNCTION("""COMPUTED_VALUE"""),43202)</f>
        <v>43202</v>
      </c>
      <c r="F965" s="5" t="str">
        <f ca="1">IFERROR(__xludf.DUMMYFUNCTION("""COMPUTED_VALUE"""),"Rayton South Middle School")</f>
        <v>Rayton South Middle School</v>
      </c>
      <c r="G965" s="5">
        <f ca="1">IFERROR(__xludf.DUMMYFUNCTION("""COMPUTED_VALUE"""),0)</f>
        <v>0</v>
      </c>
      <c r="H965" s="5">
        <f ca="1">IFERROR(__xludf.DUMMYFUNCTION("""COMPUTED_VALUE"""),1)</f>
        <v>1</v>
      </c>
      <c r="I965" s="5">
        <f ca="1">IFERROR(__xludf.DUMMYFUNCTION("""COMPUTED_VALUE"""),1)</f>
        <v>1</v>
      </c>
      <c r="J965" s="5">
        <f ca="1">IFERROR(__xludf.DUMMYFUNCTION("""COMPUTED_VALUE"""),0)</f>
        <v>0</v>
      </c>
      <c r="K965" s="9" t="str">
        <f ca="1">IFERROR(__xludf.DUMMYFUNCTION("""COMPUTED_VALUE"""),"http://www.kansascity.com/news/local/crime/article208770464.html")</f>
        <v>http://www.kansascity.com/news/local/crime/article208770464.html</v>
      </c>
      <c r="L965" s="5"/>
      <c r="M965" s="5"/>
      <c r="N965" s="5">
        <f ca="1">IFERROR(__xludf.DUMMYFUNCTION("""COMPUTED_VALUE"""),2)</f>
        <v>2</v>
      </c>
      <c r="O965" s="5" t="str">
        <f ca="1">IFERROR(__xludf.DUMMYFUNCTION("""COMPUTED_VALUE"""),"Spring")</f>
        <v>Spring</v>
      </c>
      <c r="P965" s="5" t="str">
        <f ca="1">IFERROR(__xludf.DUMMYFUNCTION("""COMPUTED_VALUE"""),"Rayton")</f>
        <v>Rayton</v>
      </c>
      <c r="Q965" s="5" t="str">
        <f ca="1">IFERROR(__xludf.DUMMYFUNCTION("""COMPUTED_VALUE"""),"MO")</f>
        <v>MO</v>
      </c>
      <c r="R965" s="5" t="str">
        <f ca="1">IFERROR(__xludf.DUMMYFUNCTION("""COMPUTED_VALUE"""),"Middle")</f>
        <v>Middle</v>
      </c>
      <c r="S965" s="5" t="str">
        <f ca="1">IFERROR(__xludf.DUMMYFUNCTION("""COMPUTED_VALUE"""),"Parking Lot")</f>
        <v>Parking Lot</v>
      </c>
      <c r="T965" s="5" t="str">
        <f ca="1">IFERROR(__xludf.DUMMYFUNCTION("""COMPUTED_VALUE"""),"Outside on School Property")</f>
        <v>Outside on School Property</v>
      </c>
      <c r="U965" s="5" t="str">
        <f ca="1">IFERROR(__xludf.DUMMYFUNCTION("""COMPUTED_VALUE"""),"No")</f>
        <v>No</v>
      </c>
      <c r="V965" s="5" t="str">
        <f ca="1">IFERROR(__xludf.DUMMYFUNCTION("""COMPUTED_VALUE"""),"Sport Event")</f>
        <v>Sport Event</v>
      </c>
      <c r="W965" s="10">
        <f ca="1">IFERROR(__xludf.DUMMYFUNCTION("""COMPUTED_VALUE"""),0.729166666666666)</f>
        <v>0.72916666666666596</v>
      </c>
      <c r="X965" s="5">
        <f ca="1">IFERROR(__xludf.DUMMYFUNCTION("""COMPUTED_VALUE"""),1)</f>
        <v>1</v>
      </c>
      <c r="Y965" s="5" t="str">
        <f ca="1">IFERROR(__xludf.DUMMYFUNCTION("""COMPUTED_VALUE"""),"Parent shot in parking lot")</f>
        <v>Parent shot in parking lot</v>
      </c>
      <c r="Z965" s="5" t="str">
        <f ca="1">IFERROR(__xludf.DUMMYFUNCTION("""COMPUTED_VALUE"""),"37 year old victim was shot in the parking lot of the school during a multiple school track meet. The unidentified shooter fled the scene in a car. No details about motive.")</f>
        <v>37 year old victim was shot in the parking lot of the school during a multiple school track meet. The unidentified shooter fled the scene in a car. No details about motive.</v>
      </c>
      <c r="AA965" s="5" t="str">
        <f ca="1">IFERROR(__xludf.DUMMYFUNCTION("""COMPUTED_VALUE"""),"Escalation of Dispute")</f>
        <v>Escalation of Dispute</v>
      </c>
      <c r="AB965" s="5" t="str">
        <f ca="1">IFERROR(__xludf.DUMMYFUNCTION("""COMPUTED_VALUE"""),"Victims Targeted")</f>
        <v>Victims Targeted</v>
      </c>
      <c r="AC965" s="5"/>
      <c r="AD965" s="5" t="str">
        <f ca="1">IFERROR(__xludf.DUMMYFUNCTION("""COMPUTED_VALUE"""),"No")</f>
        <v>No</v>
      </c>
      <c r="AE965" s="5" t="str">
        <f ca="1">IFERROR(__xludf.DUMMYFUNCTION("""COMPUTED_VALUE"""),"No")</f>
        <v>No</v>
      </c>
      <c r="AF965" s="5" t="str">
        <f ca="1">IFERROR(__xludf.DUMMYFUNCTION("""COMPUTED_VALUE"""),"No")</f>
        <v>No</v>
      </c>
      <c r="AG965" s="5" t="str">
        <f ca="1">IFERROR(__xludf.DUMMYFUNCTION("""COMPUTED_VALUE"""),"No")</f>
        <v>No</v>
      </c>
      <c r="AH965" s="5" t="str">
        <f ca="1">IFERROR(__xludf.DUMMYFUNCTION("""COMPUTED_VALUE"""),"No")</f>
        <v>No</v>
      </c>
      <c r="AI965" s="5" t="str">
        <f ca="1">IFERROR(__xludf.DUMMYFUNCTION("""COMPUTED_VALUE"""),"No")</f>
        <v>No</v>
      </c>
      <c r="AJ965" s="5" t="str">
        <f ca="1">IFERROR(__xludf.DUMMYFUNCTION("""COMPUTED_VALUE"""),"No")</f>
        <v>No</v>
      </c>
    </row>
    <row r="966" spans="1:36" ht="13">
      <c r="A966" s="5" t="str">
        <f ca="1">IFERROR(__xludf.DUMMYFUNCTION("""COMPUTED_VALUE"""),"20180409NYGLG")</f>
        <v>20180409NYGLG</v>
      </c>
      <c r="B966" s="5">
        <f ca="1">IFERROR(__xludf.DUMMYFUNCTION("""COMPUTED_VALUE"""),4)</f>
        <v>4</v>
      </c>
      <c r="C966" s="5">
        <f ca="1">IFERROR(__xludf.DUMMYFUNCTION("""COMPUTED_VALUE"""),9)</f>
        <v>9</v>
      </c>
      <c r="D966" s="5">
        <f ca="1">IFERROR(__xludf.DUMMYFUNCTION("""COMPUTED_VALUE"""),2018)</f>
        <v>2018</v>
      </c>
      <c r="E966" s="8">
        <f ca="1">IFERROR(__xludf.DUMMYFUNCTION("""COMPUTED_VALUE"""),43199)</f>
        <v>43199</v>
      </c>
      <c r="F966" s="5" t="str">
        <f ca="1">IFERROR(__xludf.DUMMYFUNCTION("""COMPUTED_VALUE"""),"Gloversville Middle School")</f>
        <v>Gloversville Middle School</v>
      </c>
      <c r="G966" s="5">
        <f ca="1">IFERROR(__xludf.DUMMYFUNCTION("""COMPUTED_VALUE"""),0)</f>
        <v>0</v>
      </c>
      <c r="H966" s="5">
        <f ca="1">IFERROR(__xludf.DUMMYFUNCTION("""COMPUTED_VALUE"""),1)</f>
        <v>1</v>
      </c>
      <c r="I966" s="5">
        <f ca="1">IFERROR(__xludf.DUMMYFUNCTION("""COMPUTED_VALUE"""),1)</f>
        <v>1</v>
      </c>
      <c r="J966" s="5">
        <f ca="1">IFERROR(__xludf.DUMMYFUNCTION("""COMPUTED_VALUE"""),0)</f>
        <v>0</v>
      </c>
      <c r="K966" s="9" t="str">
        <f ca="1">IFERROR(__xludf.DUMMYFUNCTION("""COMPUTED_VALUE"""),"http://www.leaderherald.com/news/local-news/2018/04/student-shot-with-bb-gun-at-school/")</f>
        <v>http://www.leaderherald.com/news/local-news/2018/04/student-shot-with-bb-gun-at-school/</v>
      </c>
      <c r="L966" s="5"/>
      <c r="M966" s="5" t="str">
        <f ca="1">IFERROR(__xludf.DUMMYFUNCTION("""COMPUTED_VALUE"""),"Local")</f>
        <v>Local</v>
      </c>
      <c r="N966" s="5">
        <f ca="1">IFERROR(__xludf.DUMMYFUNCTION("""COMPUTED_VALUE"""),2)</f>
        <v>2</v>
      </c>
      <c r="O966" s="5" t="str">
        <f ca="1">IFERROR(__xludf.DUMMYFUNCTION("""COMPUTED_VALUE"""),"Spring")</f>
        <v>Spring</v>
      </c>
      <c r="P966" s="5" t="str">
        <f ca="1">IFERROR(__xludf.DUMMYFUNCTION("""COMPUTED_VALUE"""),"Gloversville")</f>
        <v>Gloversville</v>
      </c>
      <c r="Q966" s="5" t="str">
        <f ca="1">IFERROR(__xludf.DUMMYFUNCTION("""COMPUTED_VALUE"""),"NY")</f>
        <v>NY</v>
      </c>
      <c r="R966" s="5" t="str">
        <f ca="1">IFERROR(__xludf.DUMMYFUNCTION("""COMPUTED_VALUE"""),"Middle")</f>
        <v>Middle</v>
      </c>
      <c r="S966" s="5" t="str">
        <f ca="1">IFERROR(__xludf.DUMMYFUNCTION("""COMPUTED_VALUE"""),"Hallway")</f>
        <v>Hallway</v>
      </c>
      <c r="T966" s="5" t="str">
        <f ca="1">IFERROR(__xludf.DUMMYFUNCTION("""COMPUTED_VALUE"""),"Inside School Building")</f>
        <v>Inside School Building</v>
      </c>
      <c r="U966" s="5" t="str">
        <f ca="1">IFERROR(__xludf.DUMMYFUNCTION("""COMPUTED_VALUE"""),"Yes")</f>
        <v>Yes</v>
      </c>
      <c r="V966" s="5" t="str">
        <f ca="1">IFERROR(__xludf.DUMMYFUNCTION("""COMPUTED_VALUE"""),"Morning Classes")</f>
        <v>Morning Classes</v>
      </c>
      <c r="W966" s="10">
        <f ca="1">IFERROR(__xludf.DUMMYFUNCTION("""COMPUTED_VALUE"""),0.458333333333333)</f>
        <v>0.45833333333333298</v>
      </c>
      <c r="X966" s="5"/>
      <c r="Y966" s="5" t="str">
        <f ca="1">IFERROR(__xludf.DUMMYFUNCTION("""COMPUTED_VALUE"""),"Shooter chased victim around school with BB gun")</f>
        <v>Shooter chased victim around school with BB gun</v>
      </c>
      <c r="Z966" s="5" t="str">
        <f ca="1">IFERROR(__xludf.DUMMYFUNCTION("""COMPUTED_VALUE"""),"Shooter allegedly chased the victim in the basement level of the school and fired a BB pistol multiple times at him causing minor injuries. The victim reported this to school officials and police officers later arrested the shooter and retrieved the gun f"&amp;"rom his home. Victim and Shooter provided conflicting accounts.")</f>
        <v>Shooter allegedly chased the victim in the basement level of the school and fired a BB pistol multiple times at him causing minor injuries. The victim reported this to school officials and police officers later arrested the shooter and retrieved the gun from his home. Victim and Shooter provided conflicting accounts.</v>
      </c>
      <c r="AA966" s="5" t="str">
        <f ca="1">IFERROR(__xludf.DUMMYFUNCTION("""COMPUTED_VALUE"""),"Escalation of Dispute")</f>
        <v>Escalation of Dispute</v>
      </c>
      <c r="AB966" s="5" t="str">
        <f ca="1">IFERROR(__xludf.DUMMYFUNCTION("""COMPUTED_VALUE"""),"Victims Targeted")</f>
        <v>Victims Targeted</v>
      </c>
      <c r="AC966" s="5"/>
      <c r="AD966" s="5" t="str">
        <f ca="1">IFERROR(__xludf.DUMMYFUNCTION("""COMPUTED_VALUE"""),"No")</f>
        <v>No</v>
      </c>
      <c r="AE966" s="5" t="str">
        <f ca="1">IFERROR(__xludf.DUMMYFUNCTION("""COMPUTED_VALUE"""),"No")</f>
        <v>No</v>
      </c>
      <c r="AF966" s="5" t="str">
        <f ca="1">IFERROR(__xludf.DUMMYFUNCTION("""COMPUTED_VALUE"""),"No")</f>
        <v>No</v>
      </c>
      <c r="AG966" s="5" t="str">
        <f ca="1">IFERROR(__xludf.DUMMYFUNCTION("""COMPUTED_VALUE"""),"No")</f>
        <v>No</v>
      </c>
      <c r="AH966" s="5" t="str">
        <f ca="1">IFERROR(__xludf.DUMMYFUNCTION("""COMPUTED_VALUE"""),"No")</f>
        <v>No</v>
      </c>
      <c r="AI966" s="5" t="str">
        <f ca="1">IFERROR(__xludf.DUMMYFUNCTION("""COMPUTED_VALUE"""),"No")</f>
        <v>No</v>
      </c>
      <c r="AJ966" s="5" t="str">
        <f ca="1">IFERROR(__xludf.DUMMYFUNCTION("""COMPUTED_VALUE"""),"No")</f>
        <v>No</v>
      </c>
    </row>
    <row r="967" spans="1:36" ht="13">
      <c r="A967" s="5" t="str">
        <f ca="1">IFERROR(__xludf.DUMMYFUNCTION("""COMPUTED_VALUE"""),"20180329KYJOE")</f>
        <v>20180329KYJOE</v>
      </c>
      <c r="B967" s="5">
        <f ca="1">IFERROR(__xludf.DUMMYFUNCTION("""COMPUTED_VALUE"""),3)</f>
        <v>3</v>
      </c>
      <c r="C967" s="5">
        <f ca="1">IFERROR(__xludf.DUMMYFUNCTION("""COMPUTED_VALUE"""),29)</f>
        <v>29</v>
      </c>
      <c r="D967" s="5">
        <f ca="1">IFERROR(__xludf.DUMMYFUNCTION("""COMPUTED_VALUE"""),2018)</f>
        <v>2018</v>
      </c>
      <c r="E967" s="8">
        <f ca="1">IFERROR(__xludf.DUMMYFUNCTION("""COMPUTED_VALUE"""),43188)</f>
        <v>43188</v>
      </c>
      <c r="F967" s="5" t="str">
        <f ca="1">IFERROR(__xludf.DUMMYFUNCTION("""COMPUTED_VALUE"""),"John Hardin High School")</f>
        <v>John Hardin High School</v>
      </c>
      <c r="G967" s="5">
        <f ca="1">IFERROR(__xludf.DUMMYFUNCTION("""COMPUTED_VALUE"""),0)</f>
        <v>0</v>
      </c>
      <c r="H967" s="5">
        <f ca="1">IFERROR(__xludf.DUMMYFUNCTION("""COMPUTED_VALUE"""),0)</f>
        <v>0</v>
      </c>
      <c r="I967" s="5">
        <f ca="1">IFERROR(__xludf.DUMMYFUNCTION("""COMPUTED_VALUE"""),0)</f>
        <v>0</v>
      </c>
      <c r="J967" s="5">
        <f ca="1">IFERROR(__xludf.DUMMYFUNCTION("""COMPUTED_VALUE"""),1)</f>
        <v>1</v>
      </c>
      <c r="K967" s="9" t="str">
        <f ca="1">IFERROR(__xludf.DUMMYFUNCTION("""COMPUTED_VALUE"""),"https://www.cbsnews.com/news/kentucky-police-suspect-in-wifes-death-shot-behind-school/")</f>
        <v>https://www.cbsnews.com/news/kentucky-police-suspect-in-wifes-death-shot-behind-school/</v>
      </c>
      <c r="L967" s="5"/>
      <c r="M967" s="5"/>
      <c r="N967" s="5">
        <f ca="1">IFERROR(__xludf.DUMMYFUNCTION("""COMPUTED_VALUE"""),4)</f>
        <v>4</v>
      </c>
      <c r="O967" s="5" t="str">
        <f ca="1">IFERROR(__xludf.DUMMYFUNCTION("""COMPUTED_VALUE"""),"Spring")</f>
        <v>Spring</v>
      </c>
      <c r="P967" s="5" t="str">
        <f ca="1">IFERROR(__xludf.DUMMYFUNCTION("""COMPUTED_VALUE"""),"Elizabethtown")</f>
        <v>Elizabethtown</v>
      </c>
      <c r="Q967" s="5" t="str">
        <f ca="1">IFERROR(__xludf.DUMMYFUNCTION("""COMPUTED_VALUE"""),"KY")</f>
        <v>KY</v>
      </c>
      <c r="R967" s="5" t="str">
        <f ca="1">IFERROR(__xludf.DUMMYFUNCTION("""COMPUTED_VALUE"""),"High")</f>
        <v>High</v>
      </c>
      <c r="S967" s="5" t="str">
        <f ca="1">IFERROR(__xludf.DUMMYFUNCTION("""COMPUTED_VALUE"""),"Beside Building")</f>
        <v>Beside Building</v>
      </c>
      <c r="T967" s="5" t="str">
        <f ca="1">IFERROR(__xludf.DUMMYFUNCTION("""COMPUTED_VALUE"""),"Outside on School Property")</f>
        <v>Outside on School Property</v>
      </c>
      <c r="U967" s="5" t="str">
        <f ca="1">IFERROR(__xludf.DUMMYFUNCTION("""COMPUTED_VALUE"""),"Yes")</f>
        <v>Yes</v>
      </c>
      <c r="V967" s="5" t="str">
        <f ca="1">IFERROR(__xludf.DUMMYFUNCTION("""COMPUTED_VALUE"""),"Afternoon Classes")</f>
        <v>Afternoon Classes</v>
      </c>
      <c r="W967" s="10">
        <f ca="1">IFERROR(__xludf.DUMMYFUNCTION("""COMPUTED_VALUE"""),0.541666666666666)</f>
        <v>0.54166666666666596</v>
      </c>
      <c r="X967" s="5">
        <f ca="1">IFERROR(__xludf.DUMMYFUNCTION("""COMPUTED_VALUE"""),1)</f>
        <v>1</v>
      </c>
      <c r="Y967" s="5" t="str">
        <f ca="1">IFERROR(__xludf.DUMMYFUNCTION("""COMPUTED_VALUE"""),"Father of student killed mother at home, attempted to enter school and take child, shot and killed by officers")</f>
        <v>Father of student killed mother at home, attempted to enter school and take child, shot and killed by officers</v>
      </c>
      <c r="Z967" s="5" t="str">
        <f ca="1">IFERROR(__xludf.DUMMYFUNCTION("""COMPUTED_VALUE"""),"51YOM killed his wife at their home near the school. Police officers found her body and learned that he was headed to the school. 7 officers approached the suspect as he attempted to enter the school building. Suspect was shot and killed.")</f>
        <v>51YOM killed his wife at their home near the school. Police officers found her body and learned that he was headed to the school. 7 officers approached the suspect as he attempted to enter the school building. Suspect was shot and killed.</v>
      </c>
      <c r="AA967" s="5" t="str">
        <f ca="1">IFERROR(__xludf.DUMMYFUNCTION("""COMPUTED_VALUE"""),"Domestic w/ Targeted Victim")</f>
        <v>Domestic w/ Targeted Victim</v>
      </c>
      <c r="AB967" s="5"/>
      <c r="AC967" s="5" t="str">
        <f ca="1">IFERROR(__xludf.DUMMYFUNCTION("""COMPUTED_VALUE"""),"No")</f>
        <v>No</v>
      </c>
      <c r="AD967" s="5" t="str">
        <f ca="1">IFERROR(__xludf.DUMMYFUNCTION("""COMPUTED_VALUE"""),"No")</f>
        <v>No</v>
      </c>
      <c r="AE967" s="5" t="str">
        <f ca="1">IFERROR(__xludf.DUMMYFUNCTION("""COMPUTED_VALUE"""),"No")</f>
        <v>No</v>
      </c>
      <c r="AF967" s="5" t="str">
        <f ca="1">IFERROR(__xludf.DUMMYFUNCTION("""COMPUTED_VALUE"""),"No")</f>
        <v>No</v>
      </c>
      <c r="AG967" s="5" t="str">
        <f ca="1">IFERROR(__xludf.DUMMYFUNCTION("""COMPUTED_VALUE"""),"No")</f>
        <v>No</v>
      </c>
      <c r="AH967" s="5" t="str">
        <f ca="1">IFERROR(__xludf.DUMMYFUNCTION("""COMPUTED_VALUE"""),"Yes")</f>
        <v>Yes</v>
      </c>
      <c r="AI967" s="5" t="str">
        <f ca="1">IFERROR(__xludf.DUMMYFUNCTION("""COMPUTED_VALUE"""),"No")</f>
        <v>No</v>
      </c>
      <c r="AJ967" s="5" t="str">
        <f ca="1">IFERROR(__xludf.DUMMYFUNCTION("""COMPUTED_VALUE"""),"No")</f>
        <v>No</v>
      </c>
    </row>
    <row r="968" spans="1:36" ht="13">
      <c r="A968" s="5" t="str">
        <f ca="1">IFERROR(__xludf.DUMMYFUNCTION("""COMPUTED_VALUE"""),"20180328MSEUE")</f>
        <v>20180328MSEUE</v>
      </c>
      <c r="B968" s="5">
        <f ca="1">IFERROR(__xludf.DUMMYFUNCTION("""COMPUTED_VALUE"""),3)</f>
        <v>3</v>
      </c>
      <c r="C968" s="5">
        <f ca="1">IFERROR(__xludf.DUMMYFUNCTION("""COMPUTED_VALUE"""),28)</f>
        <v>28</v>
      </c>
      <c r="D968" s="5">
        <f ca="1">IFERROR(__xludf.DUMMYFUNCTION("""COMPUTED_VALUE"""),2018)</f>
        <v>2018</v>
      </c>
      <c r="E968" s="8">
        <f ca="1">IFERROR(__xludf.DUMMYFUNCTION("""COMPUTED_VALUE"""),43187)</f>
        <v>43187</v>
      </c>
      <c r="F968" s="5" t="str">
        <f ca="1">IFERROR(__xludf.DUMMYFUNCTION("""COMPUTED_VALUE"""),"Eupora High School")</f>
        <v>Eupora High School</v>
      </c>
      <c r="G968" s="5">
        <f ca="1">IFERROR(__xludf.DUMMYFUNCTION("""COMPUTED_VALUE"""),0)</f>
        <v>0</v>
      </c>
      <c r="H968" s="5">
        <f ca="1">IFERROR(__xludf.DUMMYFUNCTION("""COMPUTED_VALUE"""),0)</f>
        <v>0</v>
      </c>
      <c r="I968" s="5">
        <f ca="1">IFERROR(__xludf.DUMMYFUNCTION("""COMPUTED_VALUE"""),0)</f>
        <v>0</v>
      </c>
      <c r="J968" s="5">
        <f ca="1">IFERROR(__xludf.DUMMYFUNCTION("""COMPUTED_VALUE"""),0)</f>
        <v>0</v>
      </c>
      <c r="K968" s="9" t="str">
        <f ca="1">IFERROR(__xludf.DUMMYFUNCTION("""COMPUTED_VALUE"""),"https://www.clarionledger.com/story/news/local/2018/05/31/school-shooting-suspect-detained-trial-authorities-advise-educators/628988002/")</f>
        <v>https://www.clarionledger.com/story/news/local/2018/05/31/school-shooting-suspect-detained-trial-authorities-advise-educators/628988002/</v>
      </c>
      <c r="L968" s="5">
        <f ca="1">IFERROR(__xludf.DUMMYFUNCTION("""COMPUTED_VALUE"""),2)</f>
        <v>2</v>
      </c>
      <c r="M968" s="5" t="str">
        <f ca="1">IFERROR(__xludf.DUMMYFUNCTION("""COMPUTED_VALUE"""),"Local")</f>
        <v>Local</v>
      </c>
      <c r="N968" s="5">
        <f ca="1">IFERROR(__xludf.DUMMYFUNCTION("""COMPUTED_VALUE"""),2)</f>
        <v>2</v>
      </c>
      <c r="O968" s="5" t="str">
        <f ca="1">IFERROR(__xludf.DUMMYFUNCTION("""COMPUTED_VALUE"""),"Spring")</f>
        <v>Spring</v>
      </c>
      <c r="P968" s="5" t="str">
        <f ca="1">IFERROR(__xludf.DUMMYFUNCTION("""COMPUTED_VALUE"""),"Eupora")</f>
        <v>Eupora</v>
      </c>
      <c r="Q968" s="5" t="str">
        <f ca="1">IFERROR(__xludf.DUMMYFUNCTION("""COMPUTED_VALUE"""),"MS")</f>
        <v>MS</v>
      </c>
      <c r="R968" s="5" t="str">
        <f ca="1">IFERROR(__xludf.DUMMYFUNCTION("""COMPUTED_VALUE"""),"High")</f>
        <v>High</v>
      </c>
      <c r="S968" s="5" t="str">
        <f ca="1">IFERROR(__xludf.DUMMYFUNCTION("""COMPUTED_VALUE"""),"Field (General)")</f>
        <v>Field (General)</v>
      </c>
      <c r="T968" s="5" t="str">
        <f ca="1">IFERROR(__xludf.DUMMYFUNCTION("""COMPUTED_VALUE"""),"Outside on School Property")</f>
        <v>Outside on School Property</v>
      </c>
      <c r="U968" s="5" t="str">
        <f ca="1">IFERROR(__xludf.DUMMYFUNCTION("""COMPUTED_VALUE"""),"No")</f>
        <v>No</v>
      </c>
      <c r="V968" s="5" t="str">
        <f ca="1">IFERROR(__xludf.DUMMYFUNCTION("""COMPUTED_VALUE"""),"After School")</f>
        <v>After School</v>
      </c>
      <c r="W968" s="10">
        <f ca="1">IFERROR(__xludf.DUMMYFUNCTION("""COMPUTED_VALUE"""),0.604166666666666)</f>
        <v>0.60416666666666596</v>
      </c>
      <c r="X968" s="5"/>
      <c r="Y968" s="5" t="str">
        <f ca="1">IFERROR(__xludf.DUMMYFUNCTION("""COMPUTED_VALUE"""),"Fired shots from dirt bike at high school building")</f>
        <v>Fired shots from dirt bike at high school building</v>
      </c>
      <c r="Z968" s="5" t="str">
        <f ca="1">IFERROR(__xludf.DUMMYFUNCTION("""COMPUTED_VALUE"""),"Shooter was high on meth, rode a dirt bike to the school, and fired multiple shots at the school building from the dirt bike. Shooter fled the scene, threw the gun in a creek, and was found by law enforcement hiding in a bush at a nearby house. Shooter wa"&amp;"s former student. Shooter used illegal drugs daily. Possessed unregistered allegedly stolen firearms found at his home, the handgun was not recovered.")</f>
        <v>Shooter was high on meth, rode a dirt bike to the school, and fired multiple shots at the school building from the dirt bike. Shooter fled the scene, threw the gun in a creek, and was found by law enforcement hiding in a bush at a nearby house. Shooter was former student. Shooter used illegal drugs daily. Possessed unregistered allegedly stolen firearms found at his home, the handgun was not recovered.</v>
      </c>
      <c r="AA968" s="5" t="str">
        <f ca="1">IFERROR(__xludf.DUMMYFUNCTION("""COMPUTED_VALUE"""),"Illegal Activity")</f>
        <v>Illegal Activity</v>
      </c>
      <c r="AB968" s="5" t="str">
        <f ca="1">IFERROR(__xludf.DUMMYFUNCTION("""COMPUTED_VALUE"""),"Neither")</f>
        <v>Neither</v>
      </c>
      <c r="AC968" s="5"/>
      <c r="AD968" s="5" t="str">
        <f ca="1">IFERROR(__xludf.DUMMYFUNCTION("""COMPUTED_VALUE"""),"No")</f>
        <v>No</v>
      </c>
      <c r="AE968" s="5" t="str">
        <f ca="1">IFERROR(__xludf.DUMMYFUNCTION("""COMPUTED_VALUE"""),"No")</f>
        <v>No</v>
      </c>
      <c r="AF968" s="5" t="str">
        <f ca="1">IFERROR(__xludf.DUMMYFUNCTION("""COMPUTED_VALUE"""),"No")</f>
        <v>No</v>
      </c>
      <c r="AG968" s="5"/>
      <c r="AH968" s="5" t="str">
        <f ca="1">IFERROR(__xludf.DUMMYFUNCTION("""COMPUTED_VALUE"""),"No")</f>
        <v>No</v>
      </c>
      <c r="AI968" s="5" t="str">
        <f ca="1">IFERROR(__xludf.DUMMYFUNCTION("""COMPUTED_VALUE"""),"No")</f>
        <v>No</v>
      </c>
      <c r="AJ968" s="5" t="str">
        <f ca="1">IFERROR(__xludf.DUMMYFUNCTION("""COMPUTED_VALUE"""),"No")</f>
        <v>No</v>
      </c>
    </row>
    <row r="969" spans="1:36" ht="13">
      <c r="A969" s="5" t="str">
        <f ca="1">IFERROR(__xludf.DUMMYFUNCTION("""COMPUTED_VALUE"""),"20180320MDGRG")</f>
        <v>20180320MDGRG</v>
      </c>
      <c r="B969" s="5">
        <f ca="1">IFERROR(__xludf.DUMMYFUNCTION("""COMPUTED_VALUE"""),3)</f>
        <v>3</v>
      </c>
      <c r="C969" s="5">
        <f ca="1">IFERROR(__xludf.DUMMYFUNCTION("""COMPUTED_VALUE"""),20)</f>
        <v>20</v>
      </c>
      <c r="D969" s="5">
        <f ca="1">IFERROR(__xludf.DUMMYFUNCTION("""COMPUTED_VALUE"""),2018)</f>
        <v>2018</v>
      </c>
      <c r="E969" s="8">
        <f ca="1">IFERROR(__xludf.DUMMYFUNCTION("""COMPUTED_VALUE"""),43179)</f>
        <v>43179</v>
      </c>
      <c r="F969" s="5" t="str">
        <f ca="1">IFERROR(__xludf.DUMMYFUNCTION("""COMPUTED_VALUE"""),"Great Mills High School")</f>
        <v>Great Mills High School</v>
      </c>
      <c r="G969" s="5">
        <f ca="1">IFERROR(__xludf.DUMMYFUNCTION("""COMPUTED_VALUE"""),1)</f>
        <v>1</v>
      </c>
      <c r="H969" s="5">
        <f ca="1">IFERROR(__xludf.DUMMYFUNCTION("""COMPUTED_VALUE"""),1)</f>
        <v>1</v>
      </c>
      <c r="I969" s="5">
        <f ca="1">IFERROR(__xludf.DUMMYFUNCTION("""COMPUTED_VALUE"""),2)</f>
        <v>2</v>
      </c>
      <c r="J969" s="5">
        <f ca="1">IFERROR(__xludf.DUMMYFUNCTION("""COMPUTED_VALUE"""),1)</f>
        <v>1</v>
      </c>
      <c r="K969" s="5" t="str">
        <f ca="1">IFERROR(__xludf.DUMMYFUNCTION("""COMPUTED_VALUE"""),"http://www.baltimoresun.com/news/maryland/crime/bs-md-great-mills-shooting-update-20180326-story.html https://www.baltimoresun.com/education/bs-md-great-mills-shooting-lawsuit-20200121-a6gvgddsorgzxd3oalpbyporke-story.html")</f>
        <v>http://www.baltimoresun.com/news/maryland/crime/bs-md-great-mills-shooting-update-20180326-story.html https://www.baltimoresun.com/education/bs-md-great-mills-shooting-lawsuit-20200121-a6gvgddsorgzxd3oalpbyporke-story.html</v>
      </c>
      <c r="L969" s="5">
        <f ca="1">IFERROR(__xludf.DUMMYFUNCTION("""COMPUTED_VALUE"""),100)</f>
        <v>100</v>
      </c>
      <c r="M969" s="5" t="str">
        <f ca="1">IFERROR(__xludf.DUMMYFUNCTION("""COMPUTED_VALUE"""),"National")</f>
        <v>National</v>
      </c>
      <c r="N969" s="5">
        <f ca="1">IFERROR(__xludf.DUMMYFUNCTION("""COMPUTED_VALUE"""),4)</f>
        <v>4</v>
      </c>
      <c r="O969" s="5" t="str">
        <f ca="1">IFERROR(__xludf.DUMMYFUNCTION("""COMPUTED_VALUE"""),"Spring")</f>
        <v>Spring</v>
      </c>
      <c r="P969" s="5" t="str">
        <f ca="1">IFERROR(__xludf.DUMMYFUNCTION("""COMPUTED_VALUE"""),"Great Mills")</f>
        <v>Great Mills</v>
      </c>
      <c r="Q969" s="5" t="str">
        <f ca="1">IFERROR(__xludf.DUMMYFUNCTION("""COMPUTED_VALUE"""),"MD")</f>
        <v>MD</v>
      </c>
      <c r="R969" s="5" t="str">
        <f ca="1">IFERROR(__xludf.DUMMYFUNCTION("""COMPUTED_VALUE"""),"High")</f>
        <v>High</v>
      </c>
      <c r="S969" s="5" t="str">
        <f ca="1">IFERROR(__xludf.DUMMYFUNCTION("""COMPUTED_VALUE"""),"Hallway")</f>
        <v>Hallway</v>
      </c>
      <c r="T969" s="5" t="str">
        <f ca="1">IFERROR(__xludf.DUMMYFUNCTION("""COMPUTED_VALUE"""),"Inside School Building")</f>
        <v>Inside School Building</v>
      </c>
      <c r="U969" s="5" t="str">
        <f ca="1">IFERROR(__xludf.DUMMYFUNCTION("""COMPUTED_VALUE"""),"Yes")</f>
        <v>Yes</v>
      </c>
      <c r="V969" s="5" t="str">
        <f ca="1">IFERROR(__xludf.DUMMYFUNCTION("""COMPUTED_VALUE"""),"School Start")</f>
        <v>School Start</v>
      </c>
      <c r="W969" s="10">
        <f ca="1">IFERROR(__xludf.DUMMYFUNCTION("""COMPUTED_VALUE"""),0.329861111111111)</f>
        <v>0.32986111111111099</v>
      </c>
      <c r="X969" s="5">
        <f ca="1">IFERROR(__xludf.DUMMYFUNCTION("""COMPUTED_VALUE"""),1)</f>
        <v>1</v>
      </c>
      <c r="Y969" s="5" t="str">
        <f ca="1">IFERROR(__xludf.DUMMYFUNCTION("""COMPUTED_VALUE"""),"Shot girlfriend then self in school hallway after recent break-up")</f>
        <v>Shot girlfriend then self in school hallway after recent break-up</v>
      </c>
      <c r="Z969" s="5" t="str">
        <f ca="1">IFERROR(__xludf.DUMMYFUNCTION("""COMPUTED_VALUE"""),"Ex-girlfriend fatally shot with single round, other student accidently hit by single shot. Commit suicide immediately after when confronted by school resource officer. No social media posts or prior indications about plans for the shooting. No history of "&amp;"mental health issues. Straight A student. Father is active duty air force officer. Parents of victim claim in lawsuit that the shooter had physically attacked victim prior to the incident and the parents had reported fears of further violence to school of"&amp;"ficials.")</f>
        <v>Ex-girlfriend fatally shot with single round, other student accidently hit by single shot. Commit suicide immediately after when confronted by school resource officer. No social media posts or prior indications about plans for the shooting. No history of mental health issues. Straight A student. Father is active duty air force officer. Parents of victim claim in lawsuit that the shooter had physically attacked victim prior to the incident and the parents had reported fears of further violence to school officials.</v>
      </c>
      <c r="AA969" s="5" t="str">
        <f ca="1">IFERROR(__xludf.DUMMYFUNCTION("""COMPUTED_VALUE"""),"Murder/Suicide")</f>
        <v>Murder/Suicide</v>
      </c>
      <c r="AB969" s="5" t="str">
        <f ca="1">IFERROR(__xludf.DUMMYFUNCTION("""COMPUTED_VALUE"""),"Both")</f>
        <v>Both</v>
      </c>
      <c r="AC969" s="5" t="str">
        <f ca="1">IFERROR(__xludf.DUMMYFUNCTION("""COMPUTED_VALUE"""),"No")</f>
        <v>No</v>
      </c>
      <c r="AD969" s="5" t="str">
        <f ca="1">IFERROR(__xludf.DUMMYFUNCTION("""COMPUTED_VALUE"""),"No")</f>
        <v>No</v>
      </c>
      <c r="AE969" s="5" t="str">
        <f ca="1">IFERROR(__xludf.DUMMYFUNCTION("""COMPUTED_VALUE"""),"No")</f>
        <v>No</v>
      </c>
      <c r="AF969" s="5" t="str">
        <f ca="1">IFERROR(__xludf.DUMMYFUNCTION("""COMPUTED_VALUE"""),"No")</f>
        <v>No</v>
      </c>
      <c r="AG969" s="5" t="str">
        <f ca="1">IFERROR(__xludf.DUMMYFUNCTION("""COMPUTED_VALUE"""),"No")</f>
        <v>No</v>
      </c>
      <c r="AH969" s="5" t="str">
        <f ca="1">IFERROR(__xludf.DUMMYFUNCTION("""COMPUTED_VALUE"""),"Yes")</f>
        <v>Yes</v>
      </c>
      <c r="AI969" s="5" t="str">
        <f ca="1">IFERROR(__xludf.DUMMYFUNCTION("""COMPUTED_VALUE"""),"No")</f>
        <v>No</v>
      </c>
      <c r="AJ969" s="5" t="str">
        <f ca="1">IFERROR(__xludf.DUMMYFUNCTION("""COMPUTED_VALUE"""),"No")</f>
        <v>No</v>
      </c>
    </row>
    <row r="970" spans="1:36" ht="13">
      <c r="A970" s="5" t="str">
        <f ca="1">IFERROR(__xludf.DUMMYFUNCTION("""COMPUTED_VALUE"""),"20180319VADOP")</f>
        <v>20180319VADOP</v>
      </c>
      <c r="B970" s="5">
        <f ca="1">IFERROR(__xludf.DUMMYFUNCTION("""COMPUTED_VALUE"""),3)</f>
        <v>3</v>
      </c>
      <c r="C970" s="5">
        <f ca="1">IFERROR(__xludf.DUMMYFUNCTION("""COMPUTED_VALUE"""),19)</f>
        <v>19</v>
      </c>
      <c r="D970" s="5">
        <f ca="1">IFERROR(__xludf.DUMMYFUNCTION("""COMPUTED_VALUE"""),2018)</f>
        <v>2018</v>
      </c>
      <c r="E970" s="8">
        <f ca="1">IFERROR(__xludf.DUMMYFUNCTION("""COMPUTED_VALUE"""),43178)</f>
        <v>43178</v>
      </c>
      <c r="F970" s="5" t="str">
        <f ca="1">IFERROR(__xludf.DUMMYFUNCTION("""COMPUTED_VALUE"""),"Douglass Park Elementary School")</f>
        <v>Douglass Park Elementary School</v>
      </c>
      <c r="G970" s="5">
        <f ca="1">IFERROR(__xludf.DUMMYFUNCTION("""COMPUTED_VALUE"""),0)</f>
        <v>0</v>
      </c>
      <c r="H970" s="5">
        <f ca="1">IFERROR(__xludf.DUMMYFUNCTION("""COMPUTED_VALUE"""),1)</f>
        <v>1</v>
      </c>
      <c r="I970" s="5">
        <f ca="1">IFERROR(__xludf.DUMMYFUNCTION("""COMPUTED_VALUE"""),1)</f>
        <v>1</v>
      </c>
      <c r="J970" s="5">
        <f ca="1">IFERROR(__xludf.DUMMYFUNCTION("""COMPUTED_VALUE"""),0)</f>
        <v>0</v>
      </c>
      <c r="K970" s="9" t="str">
        <f ca="1">IFERROR(__xludf.DUMMYFUNCTION("""COMPUTED_VALUE"""),"https://pilotonline.com/news/local/crime/article_32543292-2bcc-11e8-a262-877b86c9daad.html")</f>
        <v>https://pilotonline.com/news/local/crime/article_32543292-2bcc-11e8-a262-877b86c9daad.html</v>
      </c>
      <c r="L970" s="5"/>
      <c r="M970" s="5"/>
      <c r="N970" s="5">
        <f ca="1">IFERROR(__xludf.DUMMYFUNCTION("""COMPUTED_VALUE"""),2)</f>
        <v>2</v>
      </c>
      <c r="O970" s="5" t="str">
        <f ca="1">IFERROR(__xludf.DUMMYFUNCTION("""COMPUTED_VALUE"""),"Spring")</f>
        <v>Spring</v>
      </c>
      <c r="P970" s="5" t="str">
        <f ca="1">IFERROR(__xludf.DUMMYFUNCTION("""COMPUTED_VALUE"""),"Portsmouth")</f>
        <v>Portsmouth</v>
      </c>
      <c r="Q970" s="5" t="str">
        <f ca="1">IFERROR(__xludf.DUMMYFUNCTION("""COMPUTED_VALUE"""),"VA")</f>
        <v>VA</v>
      </c>
      <c r="R970" s="5" t="str">
        <f ca="1">IFERROR(__xludf.DUMMYFUNCTION("""COMPUTED_VALUE"""),"Elementary")</f>
        <v>Elementary</v>
      </c>
      <c r="S970" s="5" t="str">
        <f ca="1">IFERROR(__xludf.DUMMYFUNCTION("""COMPUTED_VALUE"""),"Parking Lot")</f>
        <v>Parking Lot</v>
      </c>
      <c r="T970" s="5" t="str">
        <f ca="1">IFERROR(__xludf.DUMMYFUNCTION("""COMPUTED_VALUE"""),"Off School Property")</f>
        <v>Off School Property</v>
      </c>
      <c r="U970" s="5" t="str">
        <f ca="1">IFERROR(__xludf.DUMMYFUNCTION("""COMPUTED_VALUE"""),"No")</f>
        <v>No</v>
      </c>
      <c r="V970" s="5" t="str">
        <f ca="1">IFERROR(__xludf.DUMMYFUNCTION("""COMPUTED_VALUE"""),"After School")</f>
        <v>After School</v>
      </c>
      <c r="W970" s="10">
        <f ca="1">IFERROR(__xludf.DUMMYFUNCTION("""COMPUTED_VALUE"""),0.682638888888888)</f>
        <v>0.68263888888888802</v>
      </c>
      <c r="X970" s="5">
        <f ca="1">IFERROR(__xludf.DUMMYFUNCTION("""COMPUTED_VALUE"""),1)</f>
        <v>1</v>
      </c>
      <c r="Y970" s="5" t="str">
        <f ca="1">IFERROR(__xludf.DUMMYFUNCTION("""COMPUTED_VALUE"""),"Adult shot outside of school picking up student")</f>
        <v>Adult shot outside of school picking up student</v>
      </c>
      <c r="Z970" s="5" t="str">
        <f ca="1">IFERROR(__xludf.DUMMYFUNCTION("""COMPUTED_VALUE"""),"Victim was struck in the leg by a bullet while picking up her daughter from school. The victim was on a sidewalk adjacent to the school. Police did not believe she was the target or the shooting was intentional. No suspect was identified. School went on l"&amp;"ockdown.")</f>
        <v>Victim was struck in the leg by a bullet while picking up her daughter from school. The victim was on a sidewalk adjacent to the school. Police did not believe she was the target or the shooting was intentional. No suspect was identified. School went on lockdown.</v>
      </c>
      <c r="AA970" s="5" t="str">
        <f ca="1">IFERROR(__xludf.DUMMYFUNCTION("""COMPUTED_VALUE"""),"Accidental")</f>
        <v>Accidental</v>
      </c>
      <c r="AB970" s="5" t="str">
        <f ca="1">IFERROR(__xludf.DUMMYFUNCTION("""COMPUTED_VALUE"""),"Random Shooting")</f>
        <v>Random Shooting</v>
      </c>
      <c r="AC970" s="5"/>
      <c r="AD970" s="5" t="str">
        <f ca="1">IFERROR(__xludf.DUMMYFUNCTION("""COMPUTED_VALUE"""),"No")</f>
        <v>No</v>
      </c>
      <c r="AE970" s="5" t="str">
        <f ca="1">IFERROR(__xludf.DUMMYFUNCTION("""COMPUTED_VALUE"""),"No")</f>
        <v>No</v>
      </c>
      <c r="AF970" s="5" t="str">
        <f ca="1">IFERROR(__xludf.DUMMYFUNCTION("""COMPUTED_VALUE"""),"No")</f>
        <v>No</v>
      </c>
      <c r="AG970" s="5" t="str">
        <f ca="1">IFERROR(__xludf.DUMMYFUNCTION("""COMPUTED_VALUE"""),"No")</f>
        <v>No</v>
      </c>
      <c r="AH970" s="5" t="str">
        <f ca="1">IFERROR(__xludf.DUMMYFUNCTION("""COMPUTED_VALUE"""),"No")</f>
        <v>No</v>
      </c>
      <c r="AI970" s="5" t="str">
        <f ca="1">IFERROR(__xludf.DUMMYFUNCTION("""COMPUTED_VALUE"""),"No")</f>
        <v>No</v>
      </c>
      <c r="AJ970" s="5" t="str">
        <f ca="1">IFERROR(__xludf.DUMMYFUNCTION("""COMPUTED_VALUE"""),"No")</f>
        <v>No</v>
      </c>
    </row>
    <row r="971" spans="1:36" ht="13">
      <c r="A971" s="5" t="str">
        <f ca="1">IFERROR(__xludf.DUMMYFUNCTION("""COMPUTED_VALUE"""),"20180316MTBIM")</f>
        <v>20180316MTBIM</v>
      </c>
      <c r="B971" s="5">
        <f ca="1">IFERROR(__xludf.DUMMYFUNCTION("""COMPUTED_VALUE"""),3)</f>
        <v>3</v>
      </c>
      <c r="C971" s="5">
        <f ca="1">IFERROR(__xludf.DUMMYFUNCTION("""COMPUTED_VALUE"""),16)</f>
        <v>16</v>
      </c>
      <c r="D971" s="5">
        <f ca="1">IFERROR(__xludf.DUMMYFUNCTION("""COMPUTED_VALUE"""),2018)</f>
        <v>2018</v>
      </c>
      <c r="E971" s="8">
        <f ca="1">IFERROR(__xludf.DUMMYFUNCTION("""COMPUTED_VALUE"""),43175)</f>
        <v>43175</v>
      </c>
      <c r="F971" s="5" t="str">
        <f ca="1">IFERROR(__xludf.DUMMYFUNCTION("""COMPUTED_VALUE"""),"Big Sky High School")</f>
        <v>Big Sky High School</v>
      </c>
      <c r="G971" s="5">
        <f ca="1">IFERROR(__xludf.DUMMYFUNCTION("""COMPUTED_VALUE"""),0)</f>
        <v>0</v>
      </c>
      <c r="H971" s="5">
        <f ca="1">IFERROR(__xludf.DUMMYFUNCTION("""COMPUTED_VALUE"""),0)</f>
        <v>0</v>
      </c>
      <c r="I971" s="5">
        <f ca="1">IFERROR(__xludf.DUMMYFUNCTION("""COMPUTED_VALUE"""),0)</f>
        <v>0</v>
      </c>
      <c r="J971" s="5">
        <f ca="1">IFERROR(__xludf.DUMMYFUNCTION("""COMPUTED_VALUE"""),0)</f>
        <v>0</v>
      </c>
      <c r="K971" s="9" t="str">
        <f ca="1">IFERROR(__xludf.DUMMYFUNCTION("""COMPUTED_VALUE"""),"http://missoulian.com/news/local/report-gunshots-at-missoula-s-big-sky-high-fired-by/article_f14cb7f4-ee52-58e2-abda-afb0f8f33421.html")</f>
        <v>http://missoulian.com/news/local/report-gunshots-at-missoula-s-big-sky-high-fired-by/article_f14cb7f4-ee52-58e2-abda-afb0f8f33421.html</v>
      </c>
      <c r="L971" s="5">
        <f ca="1">IFERROR(__xludf.DUMMYFUNCTION("""COMPUTED_VALUE"""),5)</f>
        <v>5</v>
      </c>
      <c r="M971" s="5" t="str">
        <f ca="1">IFERROR(__xludf.DUMMYFUNCTION("""COMPUTED_VALUE"""),"Local")</f>
        <v>Local</v>
      </c>
      <c r="N971" s="5">
        <f ca="1">IFERROR(__xludf.DUMMYFUNCTION("""COMPUTED_VALUE"""),2)</f>
        <v>2</v>
      </c>
      <c r="O971" s="5" t="str">
        <f ca="1">IFERROR(__xludf.DUMMYFUNCTION("""COMPUTED_VALUE"""),"Spring")</f>
        <v>Spring</v>
      </c>
      <c r="P971" s="5" t="str">
        <f ca="1">IFERROR(__xludf.DUMMYFUNCTION("""COMPUTED_VALUE"""),"Missoula")</f>
        <v>Missoula</v>
      </c>
      <c r="Q971" s="5" t="str">
        <f ca="1">IFERROR(__xludf.DUMMYFUNCTION("""COMPUTED_VALUE"""),"MT")</f>
        <v>MT</v>
      </c>
      <c r="R971" s="5" t="str">
        <f ca="1">IFERROR(__xludf.DUMMYFUNCTION("""COMPUTED_VALUE"""),"High")</f>
        <v>High</v>
      </c>
      <c r="S971" s="5" t="str">
        <f ca="1">IFERROR(__xludf.DUMMYFUNCTION("""COMPUTED_VALUE"""),"Parking Lot")</f>
        <v>Parking Lot</v>
      </c>
      <c r="T971" s="5" t="str">
        <f ca="1">IFERROR(__xludf.DUMMYFUNCTION("""COMPUTED_VALUE"""),"Outside on School Property")</f>
        <v>Outside on School Property</v>
      </c>
      <c r="U971" s="5" t="str">
        <f ca="1">IFERROR(__xludf.DUMMYFUNCTION("""COMPUTED_VALUE"""),"Yes")</f>
        <v>Yes</v>
      </c>
      <c r="V971" s="5" t="str">
        <f ca="1">IFERROR(__xludf.DUMMYFUNCTION("""COMPUTED_VALUE"""),"Lunch")</f>
        <v>Lunch</v>
      </c>
      <c r="W971" s="10">
        <f ca="1">IFERROR(__xludf.DUMMYFUNCTION("""COMPUTED_VALUE"""),0.53125)</f>
        <v>0.53125</v>
      </c>
      <c r="X971" s="5">
        <f ca="1">IFERROR(__xludf.DUMMYFUNCTION("""COMPUTED_VALUE"""),1)</f>
        <v>1</v>
      </c>
      <c r="Y971" s="5" t="str">
        <f ca="1">IFERROR(__xludf.DUMMYFUNCTION("""COMPUTED_VALUE"""),"SRO firing at student in vehicle in the parking lot")</f>
        <v>SRO firing at student in vehicle in the parking lot</v>
      </c>
      <c r="Z971" s="5" t="str">
        <f ca="1">IFERROR(__xludf.DUMMYFUNCTION("""COMPUTED_VALUE"""),"SRO fired weapon at a student in a vehicle who had attempted to run him over in the parking lot. Incident was reported as an active shooter at the school and it was not clear until hours later that it was the SRO who had fired the shots. The incident happ"&amp;"ened after an altercation between the student and staff related to a call from a parole officer concerning a gun. His bag was searched but he made it to his car before the officials. The student fled, his gun was recovered outside of school property as he"&amp;" ditched it. The student was on parole for previous charges (theft, criminal possession of drug paraphernalia and disorderly conduct).")</f>
        <v>SRO fired weapon at a student in a vehicle who had attempted to run him over in the parking lot. Incident was reported as an active shooter at the school and it was not clear until hours later that it was the SRO who had fired the shots. The incident happened after an altercation between the student and staff related to a call from a parole officer concerning a gun. His bag was searched but he made it to his car before the officials. The student fled, his gun was recovered outside of school property as he ditched it. The student was on parole for previous charges (theft, criminal possession of drug paraphernalia and disorderly conduct).</v>
      </c>
      <c r="AA971" s="5" t="str">
        <f ca="1">IFERROR(__xludf.DUMMYFUNCTION("""COMPUTED_VALUE"""),"Self-defense")</f>
        <v>Self-defense</v>
      </c>
      <c r="AB971" s="5" t="str">
        <f ca="1">IFERROR(__xludf.DUMMYFUNCTION("""COMPUTED_VALUE"""),"Victims Targeted")</f>
        <v>Victims Targeted</v>
      </c>
      <c r="AC971" s="5" t="str">
        <f ca="1">IFERROR(__xludf.DUMMYFUNCTION("""COMPUTED_VALUE"""),"No")</f>
        <v>No</v>
      </c>
      <c r="AD971" s="5" t="str">
        <f ca="1">IFERROR(__xludf.DUMMYFUNCTION("""COMPUTED_VALUE"""),"No")</f>
        <v>No</v>
      </c>
      <c r="AE971" s="5" t="str">
        <f ca="1">IFERROR(__xludf.DUMMYFUNCTION("""COMPUTED_VALUE"""),"No")</f>
        <v>No</v>
      </c>
      <c r="AF971" s="5" t="str">
        <f ca="1">IFERROR(__xludf.DUMMYFUNCTION("""COMPUTED_VALUE"""),"Yes")</f>
        <v>Yes</v>
      </c>
      <c r="AG971" s="5" t="str">
        <f ca="1">IFERROR(__xludf.DUMMYFUNCTION("""COMPUTED_VALUE"""),"N/A")</f>
        <v>N/A</v>
      </c>
      <c r="AH971" s="5" t="str">
        <f ca="1">IFERROR(__xludf.DUMMYFUNCTION("""COMPUTED_VALUE"""),"N/A")</f>
        <v>N/A</v>
      </c>
      <c r="AI971" s="5" t="str">
        <f ca="1">IFERROR(__xludf.DUMMYFUNCTION("""COMPUTED_VALUE"""),"N/A")</f>
        <v>N/A</v>
      </c>
      <c r="AJ971" s="5" t="str">
        <f ca="1">IFERROR(__xludf.DUMMYFUNCTION("""COMPUTED_VALUE"""),"N/A")</f>
        <v>N/A</v>
      </c>
    </row>
    <row r="972" spans="1:36" ht="13">
      <c r="A972" s="5" t="str">
        <f ca="1">IFERROR(__xludf.DUMMYFUNCTION("""COMPUTED_VALUE"""),"20180313VAGEA")</f>
        <v>20180313VAGEA</v>
      </c>
      <c r="B972" s="5">
        <f ca="1">IFERROR(__xludf.DUMMYFUNCTION("""COMPUTED_VALUE"""),3)</f>
        <v>3</v>
      </c>
      <c r="C972" s="5">
        <f ca="1">IFERROR(__xludf.DUMMYFUNCTION("""COMPUTED_VALUE"""),13)</f>
        <v>13</v>
      </c>
      <c r="D972" s="5">
        <f ca="1">IFERROR(__xludf.DUMMYFUNCTION("""COMPUTED_VALUE"""),2018)</f>
        <v>2018</v>
      </c>
      <c r="E972" s="8">
        <f ca="1">IFERROR(__xludf.DUMMYFUNCTION("""COMPUTED_VALUE"""),43172)</f>
        <v>43172</v>
      </c>
      <c r="F972" s="5" t="str">
        <f ca="1">IFERROR(__xludf.DUMMYFUNCTION("""COMPUTED_VALUE"""),"George Washington Middle School")</f>
        <v>George Washington Middle School</v>
      </c>
      <c r="G972" s="5">
        <f ca="1">IFERROR(__xludf.DUMMYFUNCTION("""COMPUTED_VALUE"""),0)</f>
        <v>0</v>
      </c>
      <c r="H972" s="5">
        <f ca="1">IFERROR(__xludf.DUMMYFUNCTION("""COMPUTED_VALUE"""),0)</f>
        <v>0</v>
      </c>
      <c r="I972" s="5">
        <f ca="1">IFERROR(__xludf.DUMMYFUNCTION("""COMPUTED_VALUE"""),0)</f>
        <v>0</v>
      </c>
      <c r="J972" s="5">
        <f ca="1">IFERROR(__xludf.DUMMYFUNCTION("""COMPUTED_VALUE"""),0)</f>
        <v>0</v>
      </c>
      <c r="K972" s="9" t="str">
        <f ca="1">IFERROR(__xludf.DUMMYFUNCTION("""COMPUTED_VALUE"""),"http://www.alexandrianews.org/2018/05/gw-school-resource-officer-charged-after-discharge-of-weapon/")</f>
        <v>http://www.alexandrianews.org/2018/05/gw-school-resource-officer-charged-after-discharge-of-weapon/</v>
      </c>
      <c r="L972" s="5"/>
      <c r="M972" s="5" t="str">
        <f ca="1">IFERROR(__xludf.DUMMYFUNCTION("""COMPUTED_VALUE"""),"Regional")</f>
        <v>Regional</v>
      </c>
      <c r="N972" s="5">
        <f ca="1">IFERROR(__xludf.DUMMYFUNCTION("""COMPUTED_VALUE"""),2)</f>
        <v>2</v>
      </c>
      <c r="O972" s="5" t="str">
        <f ca="1">IFERROR(__xludf.DUMMYFUNCTION("""COMPUTED_VALUE"""),"Spring")</f>
        <v>Spring</v>
      </c>
      <c r="P972" s="5" t="str">
        <f ca="1">IFERROR(__xludf.DUMMYFUNCTION("""COMPUTED_VALUE"""),"Alexandria")</f>
        <v>Alexandria</v>
      </c>
      <c r="Q972" s="5" t="str">
        <f ca="1">IFERROR(__xludf.DUMMYFUNCTION("""COMPUTED_VALUE"""),"VA")</f>
        <v>VA</v>
      </c>
      <c r="R972" s="5" t="str">
        <f ca="1">IFERROR(__xludf.DUMMYFUNCTION("""COMPUTED_VALUE"""),"Middle")</f>
        <v>Middle</v>
      </c>
      <c r="S972" s="5" t="str">
        <f ca="1">IFERROR(__xludf.DUMMYFUNCTION("""COMPUTED_VALUE"""),"Office")</f>
        <v>Office</v>
      </c>
      <c r="T972" s="5" t="str">
        <f ca="1">IFERROR(__xludf.DUMMYFUNCTION("""COMPUTED_VALUE"""),"Inside School Building")</f>
        <v>Inside School Building</v>
      </c>
      <c r="U972" s="5" t="str">
        <f ca="1">IFERROR(__xludf.DUMMYFUNCTION("""COMPUTED_VALUE"""),"Yes")</f>
        <v>Yes</v>
      </c>
      <c r="V972" s="5" t="str">
        <f ca="1">IFERROR(__xludf.DUMMYFUNCTION("""COMPUTED_VALUE"""),"Morning Classes")</f>
        <v>Morning Classes</v>
      </c>
      <c r="W972" s="10">
        <f ca="1">IFERROR(__xludf.DUMMYFUNCTION("""COMPUTED_VALUE"""),0.381944444444444)</f>
        <v>0.38194444444444398</v>
      </c>
      <c r="X972" s="5">
        <f ca="1">IFERROR(__xludf.DUMMYFUNCTION("""COMPUTED_VALUE"""),1)</f>
        <v>1</v>
      </c>
      <c r="Y972" s="5" t="str">
        <f ca="1">IFERROR(__xludf.DUMMYFUNCTION("""COMPUTED_VALUE"""),"Accidental discharge while SRO was cleaning weapon")</f>
        <v>Accidental discharge while SRO was cleaning weapon</v>
      </c>
      <c r="Z972" s="5" t="str">
        <f ca="1">IFERROR(__xludf.DUMMYFUNCTION("""COMPUTED_VALUE"""),"SRO accidental discharged service weapon inside the school. Turned himself in to police. Charged with reckless handling of a firearm.")</f>
        <v>SRO accidental discharged service weapon inside the school. Turned himself in to police. Charged with reckless handling of a firearm.</v>
      </c>
      <c r="AA972" s="5" t="str">
        <f ca="1">IFERROR(__xludf.DUMMYFUNCTION("""COMPUTED_VALUE"""),"Accidental")</f>
        <v>Accidental</v>
      </c>
      <c r="AB972" s="5" t="str">
        <f ca="1">IFERROR(__xludf.DUMMYFUNCTION("""COMPUTED_VALUE"""),"Neither")</f>
        <v>Neither</v>
      </c>
      <c r="AC972" s="5" t="str">
        <f ca="1">IFERROR(__xludf.DUMMYFUNCTION("""COMPUTED_VALUE"""),"No")</f>
        <v>No</v>
      </c>
      <c r="AD972" s="5" t="str">
        <f ca="1">IFERROR(__xludf.DUMMYFUNCTION("""COMPUTED_VALUE"""),"No")</f>
        <v>No</v>
      </c>
      <c r="AE972" s="5" t="str">
        <f ca="1">IFERROR(__xludf.DUMMYFUNCTION("""COMPUTED_VALUE"""),"No")</f>
        <v>No</v>
      </c>
      <c r="AF972" s="5" t="str">
        <f ca="1">IFERROR(__xludf.DUMMYFUNCTION("""COMPUTED_VALUE"""),"No")</f>
        <v>No</v>
      </c>
      <c r="AG972" s="5" t="str">
        <f ca="1">IFERROR(__xludf.DUMMYFUNCTION("""COMPUTED_VALUE"""),"No")</f>
        <v>No</v>
      </c>
      <c r="AH972" s="5" t="str">
        <f ca="1">IFERROR(__xludf.DUMMYFUNCTION("""COMPUTED_VALUE"""),"No")</f>
        <v>No</v>
      </c>
      <c r="AI972" s="5" t="str">
        <f ca="1">IFERROR(__xludf.DUMMYFUNCTION("""COMPUTED_VALUE"""),"No")</f>
        <v>No</v>
      </c>
      <c r="AJ972" s="5" t="str">
        <f ca="1">IFERROR(__xludf.DUMMYFUNCTION("""COMPUTED_VALUE"""),"No")</f>
        <v>No</v>
      </c>
    </row>
    <row r="973" spans="1:36" ht="13">
      <c r="A973" s="5" t="str">
        <f ca="1">IFERROR(__xludf.DUMMYFUNCTION("""COMPUTED_VALUE"""),"20180313CASES")</f>
        <v>20180313CASES</v>
      </c>
      <c r="B973" s="5">
        <f ca="1">IFERROR(__xludf.DUMMYFUNCTION("""COMPUTED_VALUE"""),3)</f>
        <v>3</v>
      </c>
      <c r="C973" s="5">
        <f ca="1">IFERROR(__xludf.DUMMYFUNCTION("""COMPUTED_VALUE"""),13)</f>
        <v>13</v>
      </c>
      <c r="D973" s="5">
        <f ca="1">IFERROR(__xludf.DUMMYFUNCTION("""COMPUTED_VALUE"""),2018)</f>
        <v>2018</v>
      </c>
      <c r="E973" s="8">
        <f ca="1">IFERROR(__xludf.DUMMYFUNCTION("""COMPUTED_VALUE"""),43172)</f>
        <v>43172</v>
      </c>
      <c r="F973" s="5" t="str">
        <f ca="1">IFERROR(__xludf.DUMMYFUNCTION("""COMPUTED_VALUE"""),"Seaside High School")</f>
        <v>Seaside High School</v>
      </c>
      <c r="G973" s="5">
        <f ca="1">IFERROR(__xludf.DUMMYFUNCTION("""COMPUTED_VALUE"""),0)</f>
        <v>0</v>
      </c>
      <c r="H973" s="5">
        <f ca="1">IFERROR(__xludf.DUMMYFUNCTION("""COMPUTED_VALUE"""),0)</f>
        <v>0</v>
      </c>
      <c r="I973" s="5">
        <f ca="1">IFERROR(__xludf.DUMMYFUNCTION("""COMPUTED_VALUE"""),0)</f>
        <v>0</v>
      </c>
      <c r="J973" s="5">
        <f ca="1">IFERROR(__xludf.DUMMYFUNCTION("""COMPUTED_VALUE"""),0)</f>
        <v>0</v>
      </c>
      <c r="K973" s="9" t="str">
        <f ca="1">IFERROR(__xludf.DUMMYFUNCTION("""COMPUTED_VALUE"""),"http://www.ksbw.com/article/seaside-high-teacher-accidentally-fires-gun-in-class/19426017")</f>
        <v>http://www.ksbw.com/article/seaside-high-teacher-accidentally-fires-gun-in-class/19426017</v>
      </c>
      <c r="L973" s="5"/>
      <c r="M973" s="5"/>
      <c r="N973" s="5">
        <f ca="1">IFERROR(__xludf.DUMMYFUNCTION("""COMPUTED_VALUE"""),2)</f>
        <v>2</v>
      </c>
      <c r="O973" s="5" t="str">
        <f ca="1">IFERROR(__xludf.DUMMYFUNCTION("""COMPUTED_VALUE"""),"Spring")</f>
        <v>Spring</v>
      </c>
      <c r="P973" s="5" t="str">
        <f ca="1">IFERROR(__xludf.DUMMYFUNCTION("""COMPUTED_VALUE"""),"Seaside")</f>
        <v>Seaside</v>
      </c>
      <c r="Q973" s="5" t="str">
        <f ca="1">IFERROR(__xludf.DUMMYFUNCTION("""COMPUTED_VALUE"""),"CA")</f>
        <v>CA</v>
      </c>
      <c r="R973" s="5" t="str">
        <f ca="1">IFERROR(__xludf.DUMMYFUNCTION("""COMPUTED_VALUE"""),"High")</f>
        <v>High</v>
      </c>
      <c r="S973" s="5" t="str">
        <f ca="1">IFERROR(__xludf.DUMMYFUNCTION("""COMPUTED_VALUE"""),"Classroom")</f>
        <v>Classroom</v>
      </c>
      <c r="T973" s="5" t="str">
        <f ca="1">IFERROR(__xludf.DUMMYFUNCTION("""COMPUTED_VALUE"""),"Inside School Building")</f>
        <v>Inside School Building</v>
      </c>
      <c r="U973" s="5" t="str">
        <f ca="1">IFERROR(__xludf.DUMMYFUNCTION("""COMPUTED_VALUE"""),"Yes")</f>
        <v>Yes</v>
      </c>
      <c r="V973" s="5" t="str">
        <f ca="1">IFERROR(__xludf.DUMMYFUNCTION("""COMPUTED_VALUE"""),"Morning Classes")</f>
        <v>Morning Classes</v>
      </c>
      <c r="W973" s="10">
        <f ca="1">IFERROR(__xludf.DUMMYFUNCTION("""COMPUTED_VALUE"""),0.555555555555555)</f>
        <v>0.55555555555555503</v>
      </c>
      <c r="X973" s="5">
        <f ca="1">IFERROR(__xludf.DUMMYFUNCTION("""COMPUTED_VALUE"""),1)</f>
        <v>1</v>
      </c>
      <c r="Y973" s="5" t="str">
        <f ca="1">IFERROR(__xludf.DUMMYFUNCTION("""COMPUTED_VALUE"""),"Accidental discharge during teacher's gun safety demonstration")</f>
        <v>Accidental discharge during teacher's gun safety demonstration</v>
      </c>
      <c r="Z973" s="5" t="str">
        <f ca="1">IFERROR(__xludf.DUMMYFUNCTION("""COMPUTED_VALUE"""),"Teacher (reserve police officer) was showing gun as part of demonstration and firearm discharged in the ceiling. Bullet fragments struck 1 student, ceiling debris hurt 2 students, all have minor injuries. Guns not allowed on school premises in CA.")</f>
        <v>Teacher (reserve police officer) was showing gun as part of demonstration and firearm discharged in the ceiling. Bullet fragments struck 1 student, ceiling debris hurt 2 students, all have minor injuries. Guns not allowed on school premises in CA.</v>
      </c>
      <c r="AA973" s="5" t="str">
        <f ca="1">IFERROR(__xludf.DUMMYFUNCTION("""COMPUTED_VALUE"""),"Accidental")</f>
        <v>Accidental</v>
      </c>
      <c r="AB973" s="5" t="str">
        <f ca="1">IFERROR(__xludf.DUMMYFUNCTION("""COMPUTED_VALUE"""),"Random Shooting")</f>
        <v>Random Shooting</v>
      </c>
      <c r="AC973" s="5" t="str">
        <f ca="1">IFERROR(__xludf.DUMMYFUNCTION("""COMPUTED_VALUE"""),"No")</f>
        <v>No</v>
      </c>
      <c r="AD973" s="5" t="str">
        <f ca="1">IFERROR(__xludf.DUMMYFUNCTION("""COMPUTED_VALUE"""),"No")</f>
        <v>No</v>
      </c>
      <c r="AE973" s="5" t="str">
        <f ca="1">IFERROR(__xludf.DUMMYFUNCTION("""COMPUTED_VALUE"""),"No")</f>
        <v>No</v>
      </c>
      <c r="AF973" s="5" t="str">
        <f ca="1">IFERROR(__xludf.DUMMYFUNCTION("""COMPUTED_VALUE"""),"No")</f>
        <v>No</v>
      </c>
      <c r="AG973" s="5" t="str">
        <f ca="1">IFERROR(__xludf.DUMMYFUNCTION("""COMPUTED_VALUE"""),"No")</f>
        <v>No</v>
      </c>
      <c r="AH973" s="5" t="str">
        <f ca="1">IFERROR(__xludf.DUMMYFUNCTION("""COMPUTED_VALUE"""),"No")</f>
        <v>No</v>
      </c>
      <c r="AI973" s="5" t="str">
        <f ca="1">IFERROR(__xludf.DUMMYFUNCTION("""COMPUTED_VALUE"""),"No")</f>
        <v>No</v>
      </c>
      <c r="AJ973" s="5" t="str">
        <f ca="1">IFERROR(__xludf.DUMMYFUNCTION("""COMPUTED_VALUE"""),"No")</f>
        <v>No</v>
      </c>
    </row>
    <row r="974" spans="1:36" ht="13">
      <c r="A974" s="5" t="str">
        <f ca="1">IFERROR(__xludf.DUMMYFUNCTION("""COMPUTED_VALUE"""),"20180309KYFRL")</f>
        <v>20180309KYFRL</v>
      </c>
      <c r="B974" s="5">
        <f ca="1">IFERROR(__xludf.DUMMYFUNCTION("""COMPUTED_VALUE"""),3)</f>
        <v>3</v>
      </c>
      <c r="C974" s="5">
        <f ca="1">IFERROR(__xludf.DUMMYFUNCTION("""COMPUTED_VALUE"""),9)</f>
        <v>9</v>
      </c>
      <c r="D974" s="5">
        <f ca="1">IFERROR(__xludf.DUMMYFUNCTION("""COMPUTED_VALUE"""),2018)</f>
        <v>2018</v>
      </c>
      <c r="E974" s="8">
        <f ca="1">IFERROR(__xludf.DUMMYFUNCTION("""COMPUTED_VALUE"""),43168)</f>
        <v>43168</v>
      </c>
      <c r="F974" s="5" t="str">
        <f ca="1">IFERROR(__xludf.DUMMYFUNCTION("""COMPUTED_VALUE"""),"Frederick Douglass High School")</f>
        <v>Frederick Douglass High School</v>
      </c>
      <c r="G974" s="5">
        <f ca="1">IFERROR(__xludf.DUMMYFUNCTION("""COMPUTED_VALUE"""),0)</f>
        <v>0</v>
      </c>
      <c r="H974" s="5">
        <f ca="1">IFERROR(__xludf.DUMMYFUNCTION("""COMPUTED_VALUE"""),0)</f>
        <v>0</v>
      </c>
      <c r="I974" s="5">
        <f ca="1">IFERROR(__xludf.DUMMYFUNCTION("""COMPUTED_VALUE"""),0)</f>
        <v>0</v>
      </c>
      <c r="J974" s="5">
        <f ca="1">IFERROR(__xludf.DUMMYFUNCTION("""COMPUTED_VALUE"""),0)</f>
        <v>0</v>
      </c>
      <c r="K974" s="9" t="str">
        <f ca="1">IFERROR(__xludf.DUMMYFUNCTION("""COMPUTED_VALUE"""),"http://www.wsaz.com/content/news/Reported-gunfire-at-Frederick-Douglas-High-School-in-Lexington-476375083.html")</f>
        <v>http://www.wsaz.com/content/news/Reported-gunfire-at-Frederick-Douglas-High-School-in-Lexington-476375083.html</v>
      </c>
      <c r="L974" s="5"/>
      <c r="M974" s="5"/>
      <c r="N974" s="5">
        <f ca="1">IFERROR(__xludf.DUMMYFUNCTION("""COMPUTED_VALUE"""),2)</f>
        <v>2</v>
      </c>
      <c r="O974" s="5" t="str">
        <f ca="1">IFERROR(__xludf.DUMMYFUNCTION("""COMPUTED_VALUE"""),"Spring")</f>
        <v>Spring</v>
      </c>
      <c r="P974" s="5" t="str">
        <f ca="1">IFERROR(__xludf.DUMMYFUNCTION("""COMPUTED_VALUE"""),"Lexington")</f>
        <v>Lexington</v>
      </c>
      <c r="Q974" s="5" t="str">
        <f ca="1">IFERROR(__xludf.DUMMYFUNCTION("""COMPUTED_VALUE"""),"KY")</f>
        <v>KY</v>
      </c>
      <c r="R974" s="5" t="str">
        <f ca="1">IFERROR(__xludf.DUMMYFUNCTION("""COMPUTED_VALUE"""),"High")</f>
        <v>High</v>
      </c>
      <c r="S974" s="5" t="str">
        <f ca="1">IFERROR(__xludf.DUMMYFUNCTION("""COMPUTED_VALUE"""),"Classroom")</f>
        <v>Classroom</v>
      </c>
      <c r="T974" s="5" t="str">
        <f ca="1">IFERROR(__xludf.DUMMYFUNCTION("""COMPUTED_VALUE"""),"Inside School Building")</f>
        <v>Inside School Building</v>
      </c>
      <c r="U974" s="5" t="str">
        <f ca="1">IFERROR(__xludf.DUMMYFUNCTION("""COMPUTED_VALUE"""),"Yes")</f>
        <v>Yes</v>
      </c>
      <c r="V974" s="5" t="str">
        <f ca="1">IFERROR(__xludf.DUMMYFUNCTION("""COMPUTED_VALUE"""),"Morning Classes")</f>
        <v>Morning Classes</v>
      </c>
      <c r="W974" s="5"/>
      <c r="X974" s="5">
        <f ca="1">IFERROR(__xludf.DUMMYFUNCTION("""COMPUTED_VALUE"""),1)</f>
        <v>1</v>
      </c>
      <c r="Y974" s="5" t="str">
        <f ca="1">IFERROR(__xludf.DUMMYFUNCTION("""COMPUTED_VALUE"""),"Student shot self in hand with firearm in classroom")</f>
        <v>Student shot self in hand with firearm in classroom</v>
      </c>
      <c r="Z974" s="5" t="str">
        <f ca="1">IFERROR(__xludf.DUMMYFUNCTION("""COMPUTED_VALUE"""),"Student was playing with a gun in the classroom and fired striking his hand. No other injuries. Student was detained and school was not locked down.")</f>
        <v>Student was playing with a gun in the classroom and fired striking his hand. No other injuries. Student was detained and school was not locked down.</v>
      </c>
      <c r="AA974" s="5" t="str">
        <f ca="1">IFERROR(__xludf.DUMMYFUNCTION("""COMPUTED_VALUE"""),"Accidental")</f>
        <v>Accidental</v>
      </c>
      <c r="AB974" s="5" t="str">
        <f ca="1">IFERROR(__xludf.DUMMYFUNCTION("""COMPUTED_VALUE"""),"Random Shooting")</f>
        <v>Random Shooting</v>
      </c>
      <c r="AC974" s="5" t="str">
        <f ca="1">IFERROR(__xludf.DUMMYFUNCTION("""COMPUTED_VALUE"""),"No")</f>
        <v>No</v>
      </c>
      <c r="AD974" s="5" t="str">
        <f ca="1">IFERROR(__xludf.DUMMYFUNCTION("""COMPUTED_VALUE"""),"No")</f>
        <v>No</v>
      </c>
      <c r="AE974" s="5" t="str">
        <f ca="1">IFERROR(__xludf.DUMMYFUNCTION("""COMPUTED_VALUE"""),"No")</f>
        <v>No</v>
      </c>
      <c r="AF974" s="5" t="str">
        <f ca="1">IFERROR(__xludf.DUMMYFUNCTION("""COMPUTED_VALUE"""),"No")</f>
        <v>No</v>
      </c>
      <c r="AG974" s="5" t="str">
        <f ca="1">IFERROR(__xludf.DUMMYFUNCTION("""COMPUTED_VALUE"""),"No")</f>
        <v>No</v>
      </c>
      <c r="AH974" s="5" t="str">
        <f ca="1">IFERROR(__xludf.DUMMYFUNCTION("""COMPUTED_VALUE"""),"No")</f>
        <v>No</v>
      </c>
      <c r="AI974" s="5" t="str">
        <f ca="1">IFERROR(__xludf.DUMMYFUNCTION("""COMPUTED_VALUE"""),"No")</f>
        <v>No</v>
      </c>
      <c r="AJ974" s="5" t="str">
        <f ca="1">IFERROR(__xludf.DUMMYFUNCTION("""COMPUTED_VALUE"""),"No")</f>
        <v>No</v>
      </c>
    </row>
    <row r="975" spans="1:36" ht="13">
      <c r="A975" s="5" t="str">
        <f ca="1">IFERROR(__xludf.DUMMYFUNCTION("""COMPUTED_VALUE"""),"20180307ALHUB")</f>
        <v>20180307ALHUB</v>
      </c>
      <c r="B975" s="5">
        <f ca="1">IFERROR(__xludf.DUMMYFUNCTION("""COMPUTED_VALUE"""),3)</f>
        <v>3</v>
      </c>
      <c r="C975" s="5">
        <f ca="1">IFERROR(__xludf.DUMMYFUNCTION("""COMPUTED_VALUE"""),7)</f>
        <v>7</v>
      </c>
      <c r="D975" s="5">
        <f ca="1">IFERROR(__xludf.DUMMYFUNCTION("""COMPUTED_VALUE"""),2018)</f>
        <v>2018</v>
      </c>
      <c r="E975" s="8">
        <f ca="1">IFERROR(__xludf.DUMMYFUNCTION("""COMPUTED_VALUE"""),43166)</f>
        <v>43166</v>
      </c>
      <c r="F975" s="5" t="str">
        <f ca="1">IFERROR(__xludf.DUMMYFUNCTION("""COMPUTED_VALUE"""),"Huffman High School")</f>
        <v>Huffman High School</v>
      </c>
      <c r="G975" s="5">
        <f ca="1">IFERROR(__xludf.DUMMYFUNCTION("""COMPUTED_VALUE"""),1)</f>
        <v>1</v>
      </c>
      <c r="H975" s="5">
        <f ca="1">IFERROR(__xludf.DUMMYFUNCTION("""COMPUTED_VALUE"""),0)</f>
        <v>0</v>
      </c>
      <c r="I975" s="5">
        <f ca="1">IFERROR(__xludf.DUMMYFUNCTION("""COMPUTED_VALUE"""),1)</f>
        <v>1</v>
      </c>
      <c r="J975" s="5">
        <f ca="1">IFERROR(__xludf.DUMMYFUNCTION("""COMPUTED_VALUE"""),0)</f>
        <v>0</v>
      </c>
      <c r="K975" s="5" t="str">
        <f ca="1">IFERROR(__xludf.DUMMYFUNCTION("""COMPUTED_VALUE"""),"http://abc3340.com/news/local/17-year-old-charged-in-fatal-huffman-hs-shooting https://www.wsfa.com/2019/08/09/teen-gets-year-sentence-fatal-school-shooting/")</f>
        <v>http://abc3340.com/news/local/17-year-old-charged-in-fatal-huffman-hs-shooting https://www.wsfa.com/2019/08/09/teen-gets-year-sentence-fatal-school-shooting/</v>
      </c>
      <c r="L975" s="5"/>
      <c r="M975" s="5"/>
      <c r="N975" s="5">
        <f ca="1">IFERROR(__xludf.DUMMYFUNCTION("""COMPUTED_VALUE"""),4)</f>
        <v>4</v>
      </c>
      <c r="O975" s="5" t="str">
        <f ca="1">IFERROR(__xludf.DUMMYFUNCTION("""COMPUTED_VALUE"""),"Spring")</f>
        <v>Spring</v>
      </c>
      <c r="P975" s="5" t="str">
        <f ca="1">IFERROR(__xludf.DUMMYFUNCTION("""COMPUTED_VALUE"""),"Birmingham")</f>
        <v>Birmingham</v>
      </c>
      <c r="Q975" s="5" t="str">
        <f ca="1">IFERROR(__xludf.DUMMYFUNCTION("""COMPUTED_VALUE"""),"AL")</f>
        <v>AL</v>
      </c>
      <c r="R975" s="5" t="str">
        <f ca="1">IFERROR(__xludf.DUMMYFUNCTION("""COMPUTED_VALUE"""),"High")</f>
        <v>High</v>
      </c>
      <c r="S975" s="5" t="str">
        <f ca="1">IFERROR(__xludf.DUMMYFUNCTION("""COMPUTED_VALUE"""),"Inside School Building")</f>
        <v>Inside School Building</v>
      </c>
      <c r="T975" s="5" t="str">
        <f ca="1">IFERROR(__xludf.DUMMYFUNCTION("""COMPUTED_VALUE"""),"Inside School Building")</f>
        <v>Inside School Building</v>
      </c>
      <c r="U975" s="5" t="str">
        <f ca="1">IFERROR(__xludf.DUMMYFUNCTION("""COMPUTED_VALUE"""),"Yes")</f>
        <v>Yes</v>
      </c>
      <c r="V975" s="5" t="str">
        <f ca="1">IFERROR(__xludf.DUMMYFUNCTION("""COMPUTED_VALUE"""),"After School")</f>
        <v>After School</v>
      </c>
      <c r="W975" s="10">
        <f ca="1">IFERROR(__xludf.DUMMYFUNCTION("""COMPUTED_VALUE"""),0.65625)</f>
        <v>0.65625</v>
      </c>
      <c r="X975" s="5">
        <f ca="1">IFERROR(__xludf.DUMMYFUNCTION("""COMPUTED_VALUE"""),1)</f>
        <v>1</v>
      </c>
      <c r="Y975" s="5" t="str">
        <f ca="1">IFERROR(__xludf.DUMMYFUNCTION("""COMPUTED_VALUE"""),"Accidental discharge while showing off gun")</f>
        <v>Accidental discharge while showing off gun</v>
      </c>
      <c r="Z975" s="5" t="str">
        <f ca="1">IFERROR(__xludf.DUMMYFUNCTION("""COMPUTED_VALUE"""),"Accidental shooting, manslaughter charge, showing gun to other student and it accidentally discharged striking a female student. The shooter then accidently shot himself in the leg trying to put the gun away. Gun was found in a trash can behind the school"&amp;".")</f>
        <v>Accidental shooting, manslaughter charge, showing gun to other student and it accidentally discharged striking a female student. The shooter then accidently shot himself in the leg trying to put the gun away. Gun was found in a trash can behind the school.</v>
      </c>
      <c r="AA975" s="5" t="str">
        <f ca="1">IFERROR(__xludf.DUMMYFUNCTION("""COMPUTED_VALUE"""),"Accidental")</f>
        <v>Accidental</v>
      </c>
      <c r="AB975" s="5" t="str">
        <f ca="1">IFERROR(__xludf.DUMMYFUNCTION("""COMPUTED_VALUE"""),"Random Shooting")</f>
        <v>Random Shooting</v>
      </c>
      <c r="AC975" s="5"/>
      <c r="AD975" s="5" t="str">
        <f ca="1">IFERROR(__xludf.DUMMYFUNCTION("""COMPUTED_VALUE"""),"No")</f>
        <v>No</v>
      </c>
      <c r="AE975" s="5" t="str">
        <f ca="1">IFERROR(__xludf.DUMMYFUNCTION("""COMPUTED_VALUE"""),"No")</f>
        <v>No</v>
      </c>
      <c r="AF975" s="5" t="str">
        <f ca="1">IFERROR(__xludf.DUMMYFUNCTION("""COMPUTED_VALUE"""),"No")</f>
        <v>No</v>
      </c>
      <c r="AG975" s="5" t="str">
        <f ca="1">IFERROR(__xludf.DUMMYFUNCTION("""COMPUTED_VALUE"""),"No")</f>
        <v>No</v>
      </c>
      <c r="AH975" s="5" t="str">
        <f ca="1">IFERROR(__xludf.DUMMYFUNCTION("""COMPUTED_VALUE"""),"No")</f>
        <v>No</v>
      </c>
      <c r="AI975" s="5" t="str">
        <f ca="1">IFERROR(__xludf.DUMMYFUNCTION("""COMPUTED_VALUE"""),"No")</f>
        <v>No</v>
      </c>
      <c r="AJ975" s="5" t="str">
        <f ca="1">IFERROR(__xludf.DUMMYFUNCTION("""COMPUTED_VALUE"""),"No")</f>
        <v>No</v>
      </c>
    </row>
    <row r="976" spans="1:36" ht="13">
      <c r="A976" s="5" t="str">
        <f ca="1">IFERROR(__xludf.DUMMYFUNCTION("""COMPUTED_VALUE"""),"20180305MOKIC")</f>
        <v>20180305MOKIC</v>
      </c>
      <c r="B976" s="5">
        <f ca="1">IFERROR(__xludf.DUMMYFUNCTION("""COMPUTED_VALUE"""),3)</f>
        <v>3</v>
      </c>
      <c r="C976" s="5">
        <f ca="1">IFERROR(__xludf.DUMMYFUNCTION("""COMPUTED_VALUE"""),5)</f>
        <v>5</v>
      </c>
      <c r="D976" s="5">
        <f ca="1">IFERROR(__xludf.DUMMYFUNCTION("""COMPUTED_VALUE"""),2018)</f>
        <v>2018</v>
      </c>
      <c r="E976" s="8">
        <f ca="1">IFERROR(__xludf.DUMMYFUNCTION("""COMPUTED_VALUE"""),43164)</f>
        <v>43164</v>
      </c>
      <c r="F976" s="5" t="str">
        <f ca="1">IFERROR(__xludf.DUMMYFUNCTION("""COMPUTED_VALUE"""),"Kingston High School")</f>
        <v>Kingston High School</v>
      </c>
      <c r="G976" s="5">
        <f ca="1">IFERROR(__xludf.DUMMYFUNCTION("""COMPUTED_VALUE"""),0)</f>
        <v>0</v>
      </c>
      <c r="H976" s="5">
        <f ca="1">IFERROR(__xludf.DUMMYFUNCTION("""COMPUTED_VALUE"""),0)</f>
        <v>0</v>
      </c>
      <c r="I976" s="5">
        <f ca="1">IFERROR(__xludf.DUMMYFUNCTION("""COMPUTED_VALUE"""),0)</f>
        <v>0</v>
      </c>
      <c r="J976" s="5">
        <f ca="1">IFERROR(__xludf.DUMMYFUNCTION("""COMPUTED_VALUE"""),1)</f>
        <v>1</v>
      </c>
      <c r="K976" s="9" t="str">
        <f ca="1">IFERROR(__xludf.DUMMYFUNCTION("""COMPUTED_VALUE"""),"https://fox2now.com/2018/03/05/students-sent-home-after-suicide-at-washington-county-school/")</f>
        <v>https://fox2now.com/2018/03/05/students-sent-home-after-suicide-at-washington-county-school/</v>
      </c>
      <c r="L976" s="5"/>
      <c r="M976" s="5"/>
      <c r="N976" s="5">
        <f ca="1">IFERROR(__xludf.DUMMYFUNCTION("""COMPUTED_VALUE"""),2)</f>
        <v>2</v>
      </c>
      <c r="O976" s="5" t="str">
        <f ca="1">IFERROR(__xludf.DUMMYFUNCTION("""COMPUTED_VALUE"""),"Spring")</f>
        <v>Spring</v>
      </c>
      <c r="P976" s="5" t="str">
        <f ca="1">IFERROR(__xludf.DUMMYFUNCTION("""COMPUTED_VALUE"""),"Cadet")</f>
        <v>Cadet</v>
      </c>
      <c r="Q976" s="5" t="str">
        <f ca="1">IFERROR(__xludf.DUMMYFUNCTION("""COMPUTED_VALUE"""),"MO")</f>
        <v>MO</v>
      </c>
      <c r="R976" s="5" t="str">
        <f ca="1">IFERROR(__xludf.DUMMYFUNCTION("""COMPUTED_VALUE"""),"K-12")</f>
        <v>K-12</v>
      </c>
      <c r="S976" s="5" t="str">
        <f ca="1">IFERROR(__xludf.DUMMYFUNCTION("""COMPUTED_VALUE"""),"Classroom")</f>
        <v>Classroom</v>
      </c>
      <c r="T976" s="5" t="str">
        <f ca="1">IFERROR(__xludf.DUMMYFUNCTION("""COMPUTED_VALUE"""),"Inside School Building")</f>
        <v>Inside School Building</v>
      </c>
      <c r="U976" s="5" t="str">
        <f ca="1">IFERROR(__xludf.DUMMYFUNCTION("""COMPUTED_VALUE"""),"Yes")</f>
        <v>Yes</v>
      </c>
      <c r="V976" s="5" t="str">
        <f ca="1">IFERROR(__xludf.DUMMYFUNCTION("""COMPUTED_VALUE"""),"School Start")</f>
        <v>School Start</v>
      </c>
      <c r="W976" s="10">
        <f ca="1">IFERROR(__xludf.DUMMYFUNCTION("""COMPUTED_VALUE"""),0.319444444444444)</f>
        <v>0.31944444444444398</v>
      </c>
      <c r="X976" s="5">
        <f ca="1">IFERROR(__xludf.DUMMYFUNCTION("""COMPUTED_VALUE"""),1)</f>
        <v>1</v>
      </c>
      <c r="Y976" s="5" t="str">
        <f ca="1">IFERROR(__xludf.DUMMYFUNCTION("""COMPUTED_VALUE"""),"Student shot self in bathroom")</f>
        <v>Student shot self in bathroom</v>
      </c>
      <c r="Z976" s="5" t="str">
        <f ca="1">IFERROR(__xludf.DUMMYFUNCTION("""COMPUTED_VALUE"""),"17YOM shot himself in the school bathroom at the start of the school day. Shooter had prior mental health issues and treatment.")</f>
        <v>17YOM shot himself in the school bathroom at the start of the school day. Shooter had prior mental health issues and treatment.</v>
      </c>
      <c r="AA976" s="5" t="str">
        <f ca="1">IFERROR(__xludf.DUMMYFUNCTION("""COMPUTED_VALUE"""),"Suicide/Attempted")</f>
        <v>Suicide/Attempted</v>
      </c>
      <c r="AB976" s="5" t="str">
        <f ca="1">IFERROR(__xludf.DUMMYFUNCTION("""COMPUTED_VALUE"""),"Victims Targeted")</f>
        <v>Victims Targeted</v>
      </c>
      <c r="AC976" s="5" t="str">
        <f ca="1">IFERROR(__xludf.DUMMYFUNCTION("""COMPUTED_VALUE"""),"No")</f>
        <v>No</v>
      </c>
      <c r="AD976" s="5" t="str">
        <f ca="1">IFERROR(__xludf.DUMMYFUNCTION("""COMPUTED_VALUE"""),"No")</f>
        <v>No</v>
      </c>
      <c r="AE976" s="5" t="str">
        <f ca="1">IFERROR(__xludf.DUMMYFUNCTION("""COMPUTED_VALUE"""),"No")</f>
        <v>No</v>
      </c>
      <c r="AF976" s="5" t="str">
        <f ca="1">IFERROR(__xludf.DUMMYFUNCTION("""COMPUTED_VALUE"""),"No")</f>
        <v>No</v>
      </c>
      <c r="AG976" s="5" t="str">
        <f ca="1">IFERROR(__xludf.DUMMYFUNCTION("""COMPUTED_VALUE"""),"No")</f>
        <v>No</v>
      </c>
      <c r="AH976" s="5" t="str">
        <f ca="1">IFERROR(__xludf.DUMMYFUNCTION("""COMPUTED_VALUE"""),"No")</f>
        <v>No</v>
      </c>
      <c r="AI976" s="5" t="str">
        <f ca="1">IFERROR(__xludf.DUMMYFUNCTION("""COMPUTED_VALUE"""),"No")</f>
        <v>No</v>
      </c>
      <c r="AJ976" s="5" t="str">
        <f ca="1">IFERROR(__xludf.DUMMYFUNCTION("""COMPUTED_VALUE"""),"No")</f>
        <v>No</v>
      </c>
    </row>
    <row r="977" spans="1:36" ht="13">
      <c r="A977" s="5" t="str">
        <f ca="1">IFERROR(__xludf.DUMMYFUNCTION("""COMPUTED_VALUE"""),"20180228GADAD")</f>
        <v>20180228GADAD</v>
      </c>
      <c r="B977" s="5">
        <f ca="1">IFERROR(__xludf.DUMMYFUNCTION("""COMPUTED_VALUE"""),2)</f>
        <v>2</v>
      </c>
      <c r="C977" s="5">
        <f ca="1">IFERROR(__xludf.DUMMYFUNCTION("""COMPUTED_VALUE"""),28)</f>
        <v>28</v>
      </c>
      <c r="D977" s="5">
        <f ca="1">IFERROR(__xludf.DUMMYFUNCTION("""COMPUTED_VALUE"""),2018)</f>
        <v>2018</v>
      </c>
      <c r="E977" s="8">
        <f ca="1">IFERROR(__xludf.DUMMYFUNCTION("""COMPUTED_VALUE"""),43159)</f>
        <v>43159</v>
      </c>
      <c r="F977" s="5" t="str">
        <f ca="1">IFERROR(__xludf.DUMMYFUNCTION("""COMPUTED_VALUE"""),"Dalton High School")</f>
        <v>Dalton High School</v>
      </c>
      <c r="G977" s="5">
        <f ca="1">IFERROR(__xludf.DUMMYFUNCTION("""COMPUTED_VALUE"""),0)</f>
        <v>0</v>
      </c>
      <c r="H977" s="5">
        <f ca="1">IFERROR(__xludf.DUMMYFUNCTION("""COMPUTED_VALUE"""),0)</f>
        <v>0</v>
      </c>
      <c r="I977" s="5">
        <f ca="1">IFERROR(__xludf.DUMMYFUNCTION("""COMPUTED_VALUE"""),0)</f>
        <v>0</v>
      </c>
      <c r="J977" s="5">
        <f ca="1">IFERROR(__xludf.DUMMYFUNCTION("""COMPUTED_VALUE"""),0)</f>
        <v>0</v>
      </c>
      <c r="K977" s="5" t="str">
        <f ca="1">IFERROR(__xludf.DUMMYFUNCTION("""COMPUTED_VALUE"""),"https://www.cbsnews.com/news/dalton-high-school-georgia-teacher-shooting-suspect-jesse-randal-davidson-previously-torched-car-in-rifle-incident/
https://www.npr.org/2018/07/18/630240007/ex-teacher-sentenced-to-prison-after-firing-gun-in-georgia-high-schoo"&amp;"l")</f>
        <v>https://www.cbsnews.com/news/dalton-high-school-georgia-teacher-shooting-suspect-jesse-randal-davidson-previously-torched-car-in-rifle-incident/
https://www.npr.org/2018/07/18/630240007/ex-teacher-sentenced-to-prison-after-firing-gun-in-georgia-high-school</v>
      </c>
      <c r="L977" s="5"/>
      <c r="M977" s="5" t="str">
        <f ca="1">IFERROR(__xludf.DUMMYFUNCTION("""COMPUTED_VALUE"""),"National")</f>
        <v>National</v>
      </c>
      <c r="N977" s="5">
        <f ca="1">IFERROR(__xludf.DUMMYFUNCTION("""COMPUTED_VALUE"""),4)</f>
        <v>4</v>
      </c>
      <c r="O977" s="5" t="str">
        <f ca="1">IFERROR(__xludf.DUMMYFUNCTION("""COMPUTED_VALUE"""),"Winter")</f>
        <v>Winter</v>
      </c>
      <c r="P977" s="5" t="str">
        <f ca="1">IFERROR(__xludf.DUMMYFUNCTION("""COMPUTED_VALUE"""),"Dalton")</f>
        <v>Dalton</v>
      </c>
      <c r="Q977" s="5" t="str">
        <f ca="1">IFERROR(__xludf.DUMMYFUNCTION("""COMPUTED_VALUE"""),"GA")</f>
        <v>GA</v>
      </c>
      <c r="R977" s="5" t="str">
        <f ca="1">IFERROR(__xludf.DUMMYFUNCTION("""COMPUTED_VALUE"""),"High")</f>
        <v>High</v>
      </c>
      <c r="S977" s="5" t="str">
        <f ca="1">IFERROR(__xludf.DUMMYFUNCTION("""COMPUTED_VALUE"""),"Classroom")</f>
        <v>Classroom</v>
      </c>
      <c r="T977" s="5" t="str">
        <f ca="1">IFERROR(__xludf.DUMMYFUNCTION("""COMPUTED_VALUE"""),"Inside School Building")</f>
        <v>Inside School Building</v>
      </c>
      <c r="U977" s="5" t="str">
        <f ca="1">IFERROR(__xludf.DUMMYFUNCTION("""COMPUTED_VALUE"""),"Yes")</f>
        <v>Yes</v>
      </c>
      <c r="V977" s="5" t="str">
        <f ca="1">IFERROR(__xludf.DUMMYFUNCTION("""COMPUTED_VALUE"""),"Morning Classes")</f>
        <v>Morning Classes</v>
      </c>
      <c r="W977" s="10">
        <f ca="1">IFERROR(__xludf.DUMMYFUNCTION("""COMPUTED_VALUE"""),0.479166666666666)</f>
        <v>0.47916666666666602</v>
      </c>
      <c r="X977" s="5"/>
      <c r="Y977" s="5" t="str">
        <f ca="1">IFERROR(__xludf.DUMMYFUNCTION("""COMPUTED_VALUE"""),"Teacher with gun barricaded in classroom, surrendered to SRO after being talked down")</f>
        <v>Teacher with gun barricaded in classroom, surrendered to SRO after being talked down</v>
      </c>
      <c r="Z977" s="5" t="str">
        <f ca="1">IFERROR(__xludf.DUMMYFUNCTION("""COMPUTED_VALUE"""),"Shooter was a teacher at the school. He barricaded himself in his classroom and did not let students in. When the principal tried to unlock the door, the shooter told him he had a gun and shot out of the window. No one was shot. The SRO engaged the shoote"&amp;"r and convinced him to turn himself in. The shooter had a history of mental health issues and previous encounter with the police. In 2016, the police reported to the shooter's address where he had just set his car on fire and was in possession of an unloa"&amp;"ded rifle. His wife, son,and daughter reported that he was not himself and acted very upset. The son convinced him to drop the rifle. The shooter was taken for a mental health evaluation and all the guns from the house were confiscated but since no charge"&amp;"s were pressed, 2 of them were returned to the wife. Several months prior, the shooter reported to the police that he got someone killed. He allegedly had an online affair with a woman and mentioned 2 friends of his who may have killed her. The shooter re"&amp;"fused to name the friends and the police could not confirm the identity of such a woman; no charges were pressed. Another time, the shooter left school under the pretext he did not feel well, his son, co-workers, and police were looking for him; when they"&amp;" found him, he was on school grounds and non-responsive. The shooter was described as a good teacher and 2 weeks before the shooting, he allegedly told the students he was against arming teachers.")</f>
        <v>Shooter was a teacher at the school. He barricaded himself in his classroom and did not let students in. When the principal tried to unlock the door, the shooter told him he had a gun and shot out of the window. No one was shot. The SRO engaged the shooter and convinced him to turn himself in. The shooter had a history of mental health issues and previous encounter with the police. In 2016, the police reported to the shooter's address where he had just set his car on fire and was in possession of an unloaded rifle. His wife, son,and daughter reported that he was not himself and acted very upset. The son convinced him to drop the rifle. The shooter was taken for a mental health evaluation and all the guns from the house were confiscated but since no charges were pressed, 2 of them were returned to the wife. Several months prior, the shooter reported to the police that he got someone killed. He allegedly had an online affair with a woman and mentioned 2 friends of his who may have killed her. The shooter refused to name the friends and the police could not confirm the identity of such a woman; no charges were pressed. Another time, the shooter left school under the pretext he did not feel well, his son, co-workers, and police were looking for him; when they found him, he was on school grounds and non-responsive. The shooter was described as a good teacher and 2 weeks before the shooting, he allegedly told the students he was against arming teachers.</v>
      </c>
      <c r="AA977" s="5" t="str">
        <f ca="1">IFERROR(__xludf.DUMMYFUNCTION("""COMPUTED_VALUE"""),"Psychosis")</f>
        <v>Psychosis</v>
      </c>
      <c r="AB977" s="5" t="str">
        <f ca="1">IFERROR(__xludf.DUMMYFUNCTION("""COMPUTED_VALUE"""),"Neither")</f>
        <v>Neither</v>
      </c>
      <c r="AC977" s="5" t="str">
        <f ca="1">IFERROR(__xludf.DUMMYFUNCTION("""COMPUTED_VALUE"""),"No")</f>
        <v>No</v>
      </c>
      <c r="AD977" s="5" t="str">
        <f ca="1">IFERROR(__xludf.DUMMYFUNCTION("""COMPUTED_VALUE"""),"No")</f>
        <v>No</v>
      </c>
      <c r="AE977" s="5" t="str">
        <f ca="1">IFERROR(__xludf.DUMMYFUNCTION("""COMPUTED_VALUE"""),"Yes")</f>
        <v>Yes</v>
      </c>
      <c r="AF977" s="5" t="str">
        <f ca="1">IFERROR(__xludf.DUMMYFUNCTION("""COMPUTED_VALUE"""),"No")</f>
        <v>No</v>
      </c>
      <c r="AG977" s="5" t="str">
        <f ca="1">IFERROR(__xludf.DUMMYFUNCTION("""COMPUTED_VALUE"""),"No")</f>
        <v>No</v>
      </c>
      <c r="AH977" s="5" t="str">
        <f ca="1">IFERROR(__xludf.DUMMYFUNCTION("""COMPUTED_VALUE"""),"No")</f>
        <v>No</v>
      </c>
      <c r="AI977" s="5" t="str">
        <f ca="1">IFERROR(__xludf.DUMMYFUNCTION("""COMPUTED_VALUE"""),"No")</f>
        <v>No</v>
      </c>
      <c r="AJ977" s="5" t="str">
        <f ca="1">IFERROR(__xludf.DUMMYFUNCTION("""COMPUTED_VALUE"""),"Yes")</f>
        <v>Yes</v>
      </c>
    </row>
    <row r="978" spans="1:36" ht="13">
      <c r="A978" s="5" t="str">
        <f ca="1">IFERROR(__xludf.DUMMYFUNCTION("""COMPUTED_VALUE"""),"20180226WAOAT")</f>
        <v>20180226WAOAT</v>
      </c>
      <c r="B978" s="5">
        <f ca="1">IFERROR(__xludf.DUMMYFUNCTION("""COMPUTED_VALUE"""),2)</f>
        <v>2</v>
      </c>
      <c r="C978" s="5">
        <f ca="1">IFERROR(__xludf.DUMMYFUNCTION("""COMPUTED_VALUE"""),26)</f>
        <v>26</v>
      </c>
      <c r="D978" s="5">
        <f ca="1">IFERROR(__xludf.DUMMYFUNCTION("""COMPUTED_VALUE"""),2018)</f>
        <v>2018</v>
      </c>
      <c r="E978" s="8">
        <f ca="1">IFERROR(__xludf.DUMMYFUNCTION("""COMPUTED_VALUE"""),43157)</f>
        <v>43157</v>
      </c>
      <c r="F978" s="5" t="str">
        <f ca="1">IFERROR(__xludf.DUMMYFUNCTION("""COMPUTED_VALUE"""),"Oakland High School")</f>
        <v>Oakland High School</v>
      </c>
      <c r="G978" s="5">
        <f ca="1">IFERROR(__xludf.DUMMYFUNCTION("""COMPUTED_VALUE"""),0)</f>
        <v>0</v>
      </c>
      <c r="H978" s="5">
        <f ca="1">IFERROR(__xludf.DUMMYFUNCTION("""COMPUTED_VALUE"""),0)</f>
        <v>0</v>
      </c>
      <c r="I978" s="5">
        <f ca="1">IFERROR(__xludf.DUMMYFUNCTION("""COMPUTED_VALUE"""),0)</f>
        <v>0</v>
      </c>
      <c r="J978" s="5">
        <f ca="1">IFERROR(__xludf.DUMMYFUNCTION("""COMPUTED_VALUE"""),0)</f>
        <v>0</v>
      </c>
      <c r="K978" s="9" t="str">
        <f ca="1">IFERROR(__xludf.DUMMYFUNCTION("""COMPUTED_VALUE"""),"https://www.thenewstribune.com/news/local/crime/article202366859.html")</f>
        <v>https://www.thenewstribune.com/news/local/crime/article202366859.html</v>
      </c>
      <c r="L978" s="5"/>
      <c r="M978" s="5"/>
      <c r="N978" s="5">
        <f ca="1">IFERROR(__xludf.DUMMYFUNCTION("""COMPUTED_VALUE"""),2)</f>
        <v>2</v>
      </c>
      <c r="O978" s="5" t="str">
        <f ca="1">IFERROR(__xludf.DUMMYFUNCTION("""COMPUTED_VALUE"""),"Winter")</f>
        <v>Winter</v>
      </c>
      <c r="P978" s="5" t="str">
        <f ca="1">IFERROR(__xludf.DUMMYFUNCTION("""COMPUTED_VALUE"""),"Tacoma")</f>
        <v>Tacoma</v>
      </c>
      <c r="Q978" s="5" t="str">
        <f ca="1">IFERROR(__xludf.DUMMYFUNCTION("""COMPUTED_VALUE"""),"WA")</f>
        <v>WA</v>
      </c>
      <c r="R978" s="5" t="str">
        <f ca="1">IFERROR(__xludf.DUMMYFUNCTION("""COMPUTED_VALUE"""),"High")</f>
        <v>High</v>
      </c>
      <c r="S978" s="5" t="str">
        <f ca="1">IFERROR(__xludf.DUMMYFUNCTION("""COMPUTED_VALUE"""),"Bathroom")</f>
        <v>Bathroom</v>
      </c>
      <c r="T978" s="5" t="str">
        <f ca="1">IFERROR(__xludf.DUMMYFUNCTION("""COMPUTED_VALUE"""),"Inside School Building")</f>
        <v>Inside School Building</v>
      </c>
      <c r="U978" s="5" t="str">
        <f ca="1">IFERROR(__xludf.DUMMYFUNCTION("""COMPUTED_VALUE"""),"Yes")</f>
        <v>Yes</v>
      </c>
      <c r="V978" s="5" t="str">
        <f ca="1">IFERROR(__xludf.DUMMYFUNCTION("""COMPUTED_VALUE"""),"Lunch")</f>
        <v>Lunch</v>
      </c>
      <c r="W978" s="5"/>
      <c r="X978" s="5">
        <f ca="1">IFERROR(__xludf.DUMMYFUNCTION("""COMPUTED_VALUE"""),1)</f>
        <v>1</v>
      </c>
      <c r="Y978" s="5" t="str">
        <f ca="1">IFERROR(__xludf.DUMMYFUNCTION("""COMPUTED_VALUE"""),"Gun discharged in bathroom striking floor, students fled")</f>
        <v>Gun discharged in bathroom striking floor, students fled</v>
      </c>
      <c r="Z978" s="5" t="str">
        <f ca="1">IFERROR(__xludf.DUMMYFUNCTION("""COMPUTED_VALUE"""),"Two students were inside the school bathroom. A gun discharged hitting the floor and both fled. Suspects were identified by CCTV footage. No injuries.")</f>
        <v>Two students were inside the school bathroom. A gun discharged hitting the floor and both fled. Suspects were identified by CCTV footage. No injuries.</v>
      </c>
      <c r="AA978" s="5" t="str">
        <f ca="1">IFERROR(__xludf.DUMMYFUNCTION("""COMPUTED_VALUE"""),"Accidental")</f>
        <v>Accidental</v>
      </c>
      <c r="AB978" s="5" t="str">
        <f ca="1">IFERROR(__xludf.DUMMYFUNCTION("""COMPUTED_VALUE"""),"Neither")</f>
        <v>Neither</v>
      </c>
      <c r="AC978" s="5" t="str">
        <f ca="1">IFERROR(__xludf.DUMMYFUNCTION("""COMPUTED_VALUE"""),"Yes")</f>
        <v>Yes</v>
      </c>
      <c r="AD978" s="5" t="str">
        <f ca="1">IFERROR(__xludf.DUMMYFUNCTION("""COMPUTED_VALUE"""),"No")</f>
        <v>No</v>
      </c>
      <c r="AE978" s="5" t="str">
        <f ca="1">IFERROR(__xludf.DUMMYFUNCTION("""COMPUTED_VALUE"""),"No")</f>
        <v>No</v>
      </c>
      <c r="AF978" s="5" t="str">
        <f ca="1">IFERROR(__xludf.DUMMYFUNCTION("""COMPUTED_VALUE"""),"No")</f>
        <v>No</v>
      </c>
      <c r="AG978" s="5" t="str">
        <f ca="1">IFERROR(__xludf.DUMMYFUNCTION("""COMPUTED_VALUE"""),"No")</f>
        <v>No</v>
      </c>
      <c r="AH978" s="5" t="str">
        <f ca="1">IFERROR(__xludf.DUMMYFUNCTION("""COMPUTED_VALUE"""),"No")</f>
        <v>No</v>
      </c>
      <c r="AI978" s="5" t="str">
        <f ca="1">IFERROR(__xludf.DUMMYFUNCTION("""COMPUTED_VALUE"""),"No")</f>
        <v>No</v>
      </c>
      <c r="AJ978" s="5" t="str">
        <f ca="1">IFERROR(__xludf.DUMMYFUNCTION("""COMPUTED_VALUE"""),"No")</f>
        <v>No</v>
      </c>
    </row>
    <row r="979" spans="1:36" ht="13">
      <c r="A979" s="5" t="str">
        <f ca="1">IFERROR(__xludf.DUMMYFUNCTION("""COMPUTED_VALUE"""),"20180220OHJAM")</f>
        <v>20180220OHJAM</v>
      </c>
      <c r="B979" s="5">
        <f ca="1">IFERROR(__xludf.DUMMYFUNCTION("""COMPUTED_VALUE"""),2)</f>
        <v>2</v>
      </c>
      <c r="C979" s="5">
        <f ca="1">IFERROR(__xludf.DUMMYFUNCTION("""COMPUTED_VALUE"""),20)</f>
        <v>20</v>
      </c>
      <c r="D979" s="5">
        <f ca="1">IFERROR(__xludf.DUMMYFUNCTION("""COMPUTED_VALUE"""),2018)</f>
        <v>2018</v>
      </c>
      <c r="E979" s="8">
        <f ca="1">IFERROR(__xludf.DUMMYFUNCTION("""COMPUTED_VALUE"""),43151)</f>
        <v>43151</v>
      </c>
      <c r="F979" s="5" t="str">
        <f ca="1">IFERROR(__xludf.DUMMYFUNCTION("""COMPUTED_VALUE"""),"Jackson Memorial Middle School")</f>
        <v>Jackson Memorial Middle School</v>
      </c>
      <c r="G979" s="5">
        <f ca="1">IFERROR(__xludf.DUMMYFUNCTION("""COMPUTED_VALUE"""),0)</f>
        <v>0</v>
      </c>
      <c r="H979" s="5">
        <f ca="1">IFERROR(__xludf.DUMMYFUNCTION("""COMPUTED_VALUE"""),0)</f>
        <v>0</v>
      </c>
      <c r="I979" s="5">
        <f ca="1">IFERROR(__xludf.DUMMYFUNCTION("""COMPUTED_VALUE"""),0)</f>
        <v>0</v>
      </c>
      <c r="J979" s="5">
        <f ca="1">IFERROR(__xludf.DUMMYFUNCTION("""COMPUTED_VALUE"""),1)</f>
        <v>1</v>
      </c>
      <c r="K979" s="5" t="str">
        <f ca="1">IFERROR(__xludf.DUMMYFUNCTION("""COMPUTED_VALUE"""),"https://www.yahoo.com/news/police-boy-shot-himself-planned-attack-school-211429422.html https://pittsburgh.cbslocal.com/2018/03/01/suicide-victim-planned-school-attack/ https://www.cantonrep.com/news/20181106/final-police-report-jackson-school-shooter-act"&amp;"ed-alone")</f>
        <v>https://www.yahoo.com/news/police-boy-shot-himself-planned-attack-school-211429422.html https://pittsburgh.cbslocal.com/2018/03/01/suicide-victim-planned-school-attack/ https://www.cantonrep.com/news/20181106/final-police-report-jackson-school-shooter-acted-alone</v>
      </c>
      <c r="L979" s="5"/>
      <c r="M979" s="5"/>
      <c r="N979" s="5">
        <f ca="1">IFERROR(__xludf.DUMMYFUNCTION("""COMPUTED_VALUE"""),4)</f>
        <v>4</v>
      </c>
      <c r="O979" s="5" t="str">
        <f ca="1">IFERROR(__xludf.DUMMYFUNCTION("""COMPUTED_VALUE"""),"Winter")</f>
        <v>Winter</v>
      </c>
      <c r="P979" s="5" t="str">
        <f ca="1">IFERROR(__xludf.DUMMYFUNCTION("""COMPUTED_VALUE"""),"Massillon")</f>
        <v>Massillon</v>
      </c>
      <c r="Q979" s="5" t="str">
        <f ca="1">IFERROR(__xludf.DUMMYFUNCTION("""COMPUTED_VALUE"""),"OH")</f>
        <v>OH</v>
      </c>
      <c r="R979" s="5" t="str">
        <f ca="1">IFERROR(__xludf.DUMMYFUNCTION("""COMPUTED_VALUE"""),"Middle")</f>
        <v>Middle</v>
      </c>
      <c r="S979" s="5" t="str">
        <f ca="1">IFERROR(__xludf.DUMMYFUNCTION("""COMPUTED_VALUE"""),"Bathroom")</f>
        <v>Bathroom</v>
      </c>
      <c r="T979" s="5" t="str">
        <f ca="1">IFERROR(__xludf.DUMMYFUNCTION("""COMPUTED_VALUE"""),"Inside School Building")</f>
        <v>Inside School Building</v>
      </c>
      <c r="U979" s="5" t="str">
        <f ca="1">IFERROR(__xludf.DUMMYFUNCTION("""COMPUTED_VALUE"""),"Yes")</f>
        <v>Yes</v>
      </c>
      <c r="V979" s="5" t="str">
        <f ca="1">IFERROR(__xludf.DUMMYFUNCTION("""COMPUTED_VALUE"""),"School Start")</f>
        <v>School Start</v>
      </c>
      <c r="W979" s="5"/>
      <c r="X979" s="5">
        <f ca="1">IFERROR(__xludf.DUMMYFUNCTION("""COMPUTED_VALUE"""),1)</f>
        <v>1</v>
      </c>
      <c r="Y979" s="5" t="str">
        <f ca="1">IFERROR(__xludf.DUMMYFUNCTION("""COMPUTED_VALUE"""),"Planned attack, walked out of bathroom then immediately back in, shot himself in head")</f>
        <v>Planned attack, walked out of bathroom then immediately back in, shot himself in head</v>
      </c>
      <c r="Z979" s="5" t="str">
        <f ca="1">IFERROR(__xludf.DUMMYFUNCTION("""COMPUTED_VALUE"""),"13YOM planned attack on school. Went into school bathroom, got out rifle, walked out of bathroom, and then immediately walked back into the bathroom and shot himself in the head. Messages on his phone made reference to Marjory Stoneman and Columbine attac"&amp;"ks. Said he wanted to destroy something bigger but the school was an easy target and he wanted to leave a lasting impression on the world. Cellphone had 8 step attack plan. Backpack had bottle rockets and batteries. Investigation by police found that he d"&amp;"id not tell any other students about the plan ahead of time.")</f>
        <v>13YOM planned attack on school. Went into school bathroom, got out rifle, walked out of bathroom, and then immediately walked back into the bathroom and shot himself in the head. Messages on his phone made reference to Marjory Stoneman and Columbine attacks. Said he wanted to destroy something bigger but the school was an easy target and he wanted to leave a lasting impression on the world. Cellphone had 8 step attack plan. Backpack had bottle rockets and batteries. Investigation by police found that he did not tell any other students about the plan ahead of time.</v>
      </c>
      <c r="AA979" s="5" t="str">
        <f ca="1">IFERROR(__xludf.DUMMYFUNCTION("""COMPUTED_VALUE"""),"Indiscriminate Shooting")</f>
        <v>Indiscriminate Shooting</v>
      </c>
      <c r="AB979" s="5" t="str">
        <f ca="1">IFERROR(__xludf.DUMMYFUNCTION("""COMPUTED_VALUE"""),"Victims Targeted")</f>
        <v>Victims Targeted</v>
      </c>
      <c r="AC979" s="5" t="str">
        <f ca="1">IFERROR(__xludf.DUMMYFUNCTION("""COMPUTED_VALUE"""),"No")</f>
        <v>No</v>
      </c>
      <c r="AD979" s="5" t="str">
        <f ca="1">IFERROR(__xludf.DUMMYFUNCTION("""COMPUTED_VALUE"""),"No")</f>
        <v>No</v>
      </c>
      <c r="AE979" s="5" t="str">
        <f ca="1">IFERROR(__xludf.DUMMYFUNCTION("""COMPUTED_VALUE"""),"No")</f>
        <v>No</v>
      </c>
      <c r="AF979" s="5" t="str">
        <f ca="1">IFERROR(__xludf.DUMMYFUNCTION("""COMPUTED_VALUE"""),"No")</f>
        <v>No</v>
      </c>
      <c r="AG979" s="5"/>
      <c r="AH979" s="5" t="str">
        <f ca="1">IFERROR(__xludf.DUMMYFUNCTION("""COMPUTED_VALUE"""),"No")</f>
        <v>No</v>
      </c>
      <c r="AI979" s="5" t="str">
        <f ca="1">IFERROR(__xludf.DUMMYFUNCTION("""COMPUTED_VALUE"""),"No")</f>
        <v>No</v>
      </c>
      <c r="AJ979" s="5" t="str">
        <f ca="1">IFERROR(__xludf.DUMMYFUNCTION("""COMPUTED_VALUE"""),"No")</f>
        <v>No</v>
      </c>
    </row>
    <row r="980" spans="1:36" ht="13">
      <c r="A980" s="5" t="str">
        <f ca="1">IFERROR(__xludf.DUMMYFUNCTION("""COMPUTED_VALUE"""),"20180215FLNOC")</f>
        <v>20180215FLNOC</v>
      </c>
      <c r="B980" s="5">
        <f ca="1">IFERROR(__xludf.DUMMYFUNCTION("""COMPUTED_VALUE"""),2)</f>
        <v>2</v>
      </c>
      <c r="C980" s="5">
        <f ca="1">IFERROR(__xludf.DUMMYFUNCTION("""COMPUTED_VALUE"""),15)</f>
        <v>15</v>
      </c>
      <c r="D980" s="5">
        <f ca="1">IFERROR(__xludf.DUMMYFUNCTION("""COMPUTED_VALUE"""),2018)</f>
        <v>2018</v>
      </c>
      <c r="E980" s="8">
        <f ca="1">IFERROR(__xludf.DUMMYFUNCTION("""COMPUTED_VALUE"""),43146)</f>
        <v>43146</v>
      </c>
      <c r="F980" s="5" t="str">
        <f ca="1">IFERROR(__xludf.DUMMYFUNCTION("""COMPUTED_VALUE"""),"North Broward Preparatory School")</f>
        <v>North Broward Preparatory School</v>
      </c>
      <c r="G980" s="5">
        <f ca="1">IFERROR(__xludf.DUMMYFUNCTION("""COMPUTED_VALUE"""),0)</f>
        <v>0</v>
      </c>
      <c r="H980" s="5">
        <f ca="1">IFERROR(__xludf.DUMMYFUNCTION("""COMPUTED_VALUE"""),0)</f>
        <v>0</v>
      </c>
      <c r="I980" s="5">
        <f ca="1">IFERROR(__xludf.DUMMYFUNCTION("""COMPUTED_VALUE"""),0)</f>
        <v>0</v>
      </c>
      <c r="J980" s="5">
        <f ca="1">IFERROR(__xludf.DUMMYFUNCTION("""COMPUTED_VALUE"""),0)</f>
        <v>0</v>
      </c>
      <c r="K980" s="5" t="str">
        <f ca="1">IFERROR(__xludf.DUMMYFUNCTION("""COMPUTED_VALUE"""),"https://www.local10.com/news/florida/coconut-creek/bso-deputy-accidentally-shoots-himself-while-responding-to-north-broward-preparatory-school- https://www.local10.com/news/2018/02/15/bso-deputy-accidentally-shoots-himself-while-responding-to-north-browar"&amp;"d-preparatory-school/")</f>
        <v>https://www.local10.com/news/florida/coconut-creek/bso-deputy-accidentally-shoots-himself-while-responding-to-north-broward-preparatory-school- https://www.local10.com/news/2018/02/15/bso-deputy-accidentally-shoots-himself-while-responding-to-north-broward-preparatory-school/</v>
      </c>
      <c r="L980" s="5"/>
      <c r="M980" s="5"/>
      <c r="N980" s="5">
        <f ca="1">IFERROR(__xludf.DUMMYFUNCTION("""COMPUTED_VALUE"""),3)</f>
        <v>3</v>
      </c>
      <c r="O980" s="5" t="str">
        <f ca="1">IFERROR(__xludf.DUMMYFUNCTION("""COMPUTED_VALUE"""),"Winter")</f>
        <v>Winter</v>
      </c>
      <c r="P980" s="5" t="str">
        <f ca="1">IFERROR(__xludf.DUMMYFUNCTION("""COMPUTED_VALUE"""),"Coconut Creek")</f>
        <v>Coconut Creek</v>
      </c>
      <c r="Q980" s="5" t="str">
        <f ca="1">IFERROR(__xludf.DUMMYFUNCTION("""COMPUTED_VALUE"""),"FL")</f>
        <v>FL</v>
      </c>
      <c r="R980" s="5" t="str">
        <f ca="1">IFERROR(__xludf.DUMMYFUNCTION("""COMPUTED_VALUE"""),"K-12")</f>
        <v>K-12</v>
      </c>
      <c r="S980" s="5" t="str">
        <f ca="1">IFERROR(__xludf.DUMMYFUNCTION("""COMPUTED_VALUE"""),"Hallway")</f>
        <v>Hallway</v>
      </c>
      <c r="T980" s="5" t="str">
        <f ca="1">IFERROR(__xludf.DUMMYFUNCTION("""COMPUTED_VALUE"""),"Inside School Building")</f>
        <v>Inside School Building</v>
      </c>
      <c r="U980" s="5" t="str">
        <f ca="1">IFERROR(__xludf.DUMMYFUNCTION("""COMPUTED_VALUE"""),"Yes")</f>
        <v>Yes</v>
      </c>
      <c r="V980" s="5" t="str">
        <f ca="1">IFERROR(__xludf.DUMMYFUNCTION("""COMPUTED_VALUE"""),"Morning Classes")</f>
        <v>Morning Classes</v>
      </c>
      <c r="W980" s="10">
        <f ca="1">IFERROR(__xludf.DUMMYFUNCTION("""COMPUTED_VALUE"""),0.395833333333333)</f>
        <v>0.39583333333333298</v>
      </c>
      <c r="X980" s="5">
        <f ca="1">IFERROR(__xludf.DUMMYFUNCTION("""COMPUTED_VALUE"""),1)</f>
        <v>1</v>
      </c>
      <c r="Y980" s="5" t="str">
        <f ca="1">IFERROR(__xludf.DUMMYFUNCTION("""COMPUTED_VALUE"""),"Officer accidentally fired while responding to a call at the school")</f>
        <v>Officer accidentally fired while responding to a call at the school</v>
      </c>
      <c r="Z980" s="5" t="str">
        <f ca="1">IFERROR(__xludf.DUMMYFUNCTION("""COMPUTED_VALUE"""),"Police officer responding to reported shots fired at the school accidentally shot himself in the leg while inside the school. The shots fired called turned out to be false and the only shot fired was by the police officer injuring himself. School was lock"&amp;"ed down for an extended period of time and then dismissed.")</f>
        <v>Police officer responding to reported shots fired at the school accidentally shot himself in the leg while inside the school. The shots fired called turned out to be false and the only shot fired was by the police officer injuring himself. School was locked down for an extended period of time and then dismissed.</v>
      </c>
      <c r="AA980" s="5" t="str">
        <f ca="1">IFERROR(__xludf.DUMMYFUNCTION("""COMPUTED_VALUE"""),"Accidental")</f>
        <v>Accidental</v>
      </c>
      <c r="AB980" s="5" t="str">
        <f ca="1">IFERROR(__xludf.DUMMYFUNCTION("""COMPUTED_VALUE"""),"Random Shooting")</f>
        <v>Random Shooting</v>
      </c>
      <c r="AC980" s="5" t="str">
        <f ca="1">IFERROR(__xludf.DUMMYFUNCTION("""COMPUTED_VALUE"""),"No")</f>
        <v>No</v>
      </c>
      <c r="AD980" s="5" t="str">
        <f ca="1">IFERROR(__xludf.DUMMYFUNCTION("""COMPUTED_VALUE"""),"No")</f>
        <v>No</v>
      </c>
      <c r="AE980" s="5" t="str">
        <f ca="1">IFERROR(__xludf.DUMMYFUNCTION("""COMPUTED_VALUE"""),"No")</f>
        <v>No</v>
      </c>
      <c r="AF980" s="5" t="str">
        <f ca="1">IFERROR(__xludf.DUMMYFUNCTION("""COMPUTED_VALUE"""),"Yes")</f>
        <v>Yes</v>
      </c>
      <c r="AG980" s="5" t="str">
        <f ca="1">IFERROR(__xludf.DUMMYFUNCTION("""COMPUTED_VALUE"""),"N/A")</f>
        <v>N/A</v>
      </c>
      <c r="AH980" s="5" t="str">
        <f ca="1">IFERROR(__xludf.DUMMYFUNCTION("""COMPUTED_VALUE"""),"N/A")</f>
        <v>N/A</v>
      </c>
      <c r="AI980" s="5" t="str">
        <f ca="1">IFERROR(__xludf.DUMMYFUNCTION("""COMPUTED_VALUE"""),"N/A")</f>
        <v>N/A</v>
      </c>
      <c r="AJ980" s="5" t="str">
        <f ca="1">IFERROR(__xludf.DUMMYFUNCTION("""COMPUTED_VALUE"""),"No")</f>
        <v>No</v>
      </c>
    </row>
    <row r="981" spans="1:36" ht="13">
      <c r="A981" s="5" t="str">
        <f ca="1">IFERROR(__xludf.DUMMYFUNCTION("""COMPUTED_VALUE"""),"20180214FLMAP")</f>
        <v>20180214FLMAP</v>
      </c>
      <c r="B981" s="5">
        <f ca="1">IFERROR(__xludf.DUMMYFUNCTION("""COMPUTED_VALUE"""),2)</f>
        <v>2</v>
      </c>
      <c r="C981" s="5">
        <f ca="1">IFERROR(__xludf.DUMMYFUNCTION("""COMPUTED_VALUE"""),14)</f>
        <v>14</v>
      </c>
      <c r="D981" s="5">
        <f ca="1">IFERROR(__xludf.DUMMYFUNCTION("""COMPUTED_VALUE"""),2018)</f>
        <v>2018</v>
      </c>
      <c r="E981" s="8">
        <f ca="1">IFERROR(__xludf.DUMMYFUNCTION("""COMPUTED_VALUE"""),43145)</f>
        <v>43145</v>
      </c>
      <c r="F981" s="5" t="str">
        <f ca="1">IFERROR(__xludf.DUMMYFUNCTION("""COMPUTED_VALUE"""),"Marjory Stoneman Douglas High School")</f>
        <v>Marjory Stoneman Douglas High School</v>
      </c>
      <c r="G981" s="5">
        <f ca="1">IFERROR(__xludf.DUMMYFUNCTION("""COMPUTED_VALUE"""),17)</f>
        <v>17</v>
      </c>
      <c r="H981" s="5">
        <f ca="1">IFERROR(__xludf.DUMMYFUNCTION("""COMPUTED_VALUE"""),17)</f>
        <v>17</v>
      </c>
      <c r="I981" s="5">
        <f ca="1">IFERROR(__xludf.DUMMYFUNCTION("""COMPUTED_VALUE"""),34)</f>
        <v>34</v>
      </c>
      <c r="J981" s="5">
        <f ca="1">IFERROR(__xludf.DUMMYFUNCTION("""COMPUTED_VALUE"""),0)</f>
        <v>0</v>
      </c>
      <c r="K981" s="9" t="str">
        <f ca="1">IFERROR(__xludf.DUMMYFUNCTION("""COMPUTED_VALUE"""),"https://www.cnn.com/2018/02/19/us/florida-school-shooting/index.html http://nymag.com/selectall/2018/04/cruzers-are-fans-of-school-shooter-nikolas-cruz.html https://www.washingtonpost.com/graphics/2018/national/timeline-parkland-shooter-nikolas-cruz/?utm_"&amp;"term=.555096de1337
https://www.cnn.com/2022/07/18/us/nikolas-cruz-parkland-shooter-penalty-phase/index.html")</f>
        <v>https://www.cnn.com/2018/02/19/us/florida-school-shooting/index.html http://nymag.com/selectall/2018/04/cruzers-are-fans-of-school-shooter-nikolas-cruz.html https://www.washingtonpost.com/graphics/2018/national/timeline-parkland-shooter-nikolas-cruz/?utm_term=.555096de1337
https://www.cnn.com/2022/07/18/us/nikolas-cruz-parkland-shooter-penalty-phase/index.html</v>
      </c>
      <c r="L981" s="5">
        <f ca="1">IFERROR(__xludf.DUMMYFUNCTION("""COMPUTED_VALUE"""),999)</f>
        <v>999</v>
      </c>
      <c r="M981" s="5" t="str">
        <f ca="1">IFERROR(__xludf.DUMMYFUNCTION("""COMPUTED_VALUE"""),"International")</f>
        <v>International</v>
      </c>
      <c r="N981" s="5">
        <f ca="1">IFERROR(__xludf.DUMMYFUNCTION("""COMPUTED_VALUE"""),4)</f>
        <v>4</v>
      </c>
      <c r="O981" s="5" t="str">
        <f ca="1">IFERROR(__xludf.DUMMYFUNCTION("""COMPUTED_VALUE"""),"Winter")</f>
        <v>Winter</v>
      </c>
      <c r="P981" s="5" t="str">
        <f ca="1">IFERROR(__xludf.DUMMYFUNCTION("""COMPUTED_VALUE"""),"Parkland")</f>
        <v>Parkland</v>
      </c>
      <c r="Q981" s="5" t="str">
        <f ca="1">IFERROR(__xludf.DUMMYFUNCTION("""COMPUTED_VALUE"""),"FL")</f>
        <v>FL</v>
      </c>
      <c r="R981" s="5" t="str">
        <f ca="1">IFERROR(__xludf.DUMMYFUNCTION("""COMPUTED_VALUE"""),"High")</f>
        <v>High</v>
      </c>
      <c r="S981" s="5" t="str">
        <f ca="1">IFERROR(__xludf.DUMMYFUNCTION("""COMPUTED_VALUE"""),"Hallway")</f>
        <v>Hallway</v>
      </c>
      <c r="T981" s="5" t="str">
        <f ca="1">IFERROR(__xludf.DUMMYFUNCTION("""COMPUTED_VALUE"""),"Inside School Building")</f>
        <v>Inside School Building</v>
      </c>
      <c r="U981" s="5" t="str">
        <f ca="1">IFERROR(__xludf.DUMMYFUNCTION("""COMPUTED_VALUE"""),"Yes")</f>
        <v>Yes</v>
      </c>
      <c r="V981" s="5" t="str">
        <f ca="1">IFERROR(__xludf.DUMMYFUNCTION("""COMPUTED_VALUE"""),"Afternoon Classes")</f>
        <v>Afternoon Classes</v>
      </c>
      <c r="W981" s="10">
        <f ca="1">IFERROR(__xludf.DUMMYFUNCTION("""COMPUTED_VALUE"""),0.597916666666666)</f>
        <v>0.59791666666666599</v>
      </c>
      <c r="X981" s="5">
        <f ca="1">IFERROR(__xludf.DUMMYFUNCTION("""COMPUTED_VALUE"""),7)</f>
        <v>7</v>
      </c>
      <c r="Y981" s="5" t="str">
        <f ca="1">IFERROR(__xludf.DUMMYFUNCTION("""COMPUTED_VALUE"""),"Planned attack by former student")</f>
        <v>Planned attack by former student</v>
      </c>
      <c r="Z981" s="5" t="str">
        <f ca="1">IFERROR(__xludf.DUMMYFUNCTION("""COMPUTED_VALUE"""),"Former student. Planned attack. Pulled firearm to get students out of the classroom. Fired with AR15. Had extra ammunition. Dropped rifle inside the school and walked out with the other students. Later apprehended by law enforcement. History of mental hea"&amp;"lth issues including attempted suicide and depression (ingested gasoline and cut his wrists during live stream on the internet). Shooter did not post on social media about the plan for the shooting. Shooter had interest in other school shootings and poste"&amp;"d online about them. Investigated by FBI for online postings about school shootings.")</f>
        <v>Former student. Planned attack. Pulled firearm to get students out of the classroom. Fired with AR15. Had extra ammunition. Dropped rifle inside the school and walked out with the other students. Later apprehended by law enforcement. History of mental health issues including attempted suicide and depression (ingested gasoline and cut his wrists during live stream on the internet). Shooter did not post on social media about the plan for the shooting. Shooter had interest in other school shootings and posted online about them. Investigated by FBI for online postings about school shootings.</v>
      </c>
      <c r="AA981" s="5" t="str">
        <f ca="1">IFERROR(__xludf.DUMMYFUNCTION("""COMPUTED_VALUE"""),"Indiscriminate Shooting")</f>
        <v>Indiscriminate Shooting</v>
      </c>
      <c r="AB981" s="5" t="str">
        <f ca="1">IFERROR(__xludf.DUMMYFUNCTION("""COMPUTED_VALUE"""),"Random Shooting")</f>
        <v>Random Shooting</v>
      </c>
      <c r="AC981" s="5" t="str">
        <f ca="1">IFERROR(__xludf.DUMMYFUNCTION("""COMPUTED_VALUE"""),"No")</f>
        <v>No</v>
      </c>
      <c r="AD981" s="5" t="str">
        <f ca="1">IFERROR(__xludf.DUMMYFUNCTION("""COMPUTED_VALUE"""),"No")</f>
        <v>No</v>
      </c>
      <c r="AE981" s="5" t="str">
        <f ca="1">IFERROR(__xludf.DUMMYFUNCTION("""COMPUTED_VALUE"""),"No")</f>
        <v>No</v>
      </c>
      <c r="AF981" s="5" t="str">
        <f ca="1">IFERROR(__xludf.DUMMYFUNCTION("""COMPUTED_VALUE"""),"No")</f>
        <v>No</v>
      </c>
      <c r="AG981" s="5" t="str">
        <f ca="1">IFERROR(__xludf.DUMMYFUNCTION("""COMPUTED_VALUE"""),"No")</f>
        <v>No</v>
      </c>
      <c r="AH981" s="5" t="str">
        <f ca="1">IFERROR(__xludf.DUMMYFUNCTION("""COMPUTED_VALUE"""),"No")</f>
        <v>No</v>
      </c>
      <c r="AI981" s="5" t="str">
        <f ca="1">IFERROR(__xludf.DUMMYFUNCTION("""COMPUTED_VALUE"""),"No")</f>
        <v>No</v>
      </c>
      <c r="AJ981" s="5" t="str">
        <f ca="1">IFERROR(__xludf.DUMMYFUNCTION("""COMPUTED_VALUE"""),"Yes")</f>
        <v>Yes</v>
      </c>
    </row>
    <row r="982" spans="1:36" ht="13">
      <c r="A982" s="5" t="str">
        <f ca="1">IFERROR(__xludf.DUMMYFUNCTION("""COMPUTED_VALUE"""),"20180209TNPEN")</f>
        <v>20180209TNPEN</v>
      </c>
      <c r="B982" s="5">
        <f ca="1">IFERROR(__xludf.DUMMYFUNCTION("""COMPUTED_VALUE"""),2)</f>
        <v>2</v>
      </c>
      <c r="C982" s="5">
        <f ca="1">IFERROR(__xludf.DUMMYFUNCTION("""COMPUTED_VALUE"""),9)</f>
        <v>9</v>
      </c>
      <c r="D982" s="5">
        <f ca="1">IFERROR(__xludf.DUMMYFUNCTION("""COMPUTED_VALUE"""),2018)</f>
        <v>2018</v>
      </c>
      <c r="E982" s="8">
        <f ca="1">IFERROR(__xludf.DUMMYFUNCTION("""COMPUTED_VALUE"""),43140)</f>
        <v>43140</v>
      </c>
      <c r="F982" s="5" t="str">
        <f ca="1">IFERROR(__xludf.DUMMYFUNCTION("""COMPUTED_VALUE"""),"Peal-Cohn High School")</f>
        <v>Peal-Cohn High School</v>
      </c>
      <c r="G982" s="5">
        <f ca="1">IFERROR(__xludf.DUMMYFUNCTION("""COMPUTED_VALUE"""),0)</f>
        <v>0</v>
      </c>
      <c r="H982" s="5">
        <f ca="1">IFERROR(__xludf.DUMMYFUNCTION("""COMPUTED_VALUE"""),1)</f>
        <v>1</v>
      </c>
      <c r="I982" s="5">
        <f ca="1">IFERROR(__xludf.DUMMYFUNCTION("""COMPUTED_VALUE"""),1)</f>
        <v>1</v>
      </c>
      <c r="J982" s="5">
        <f ca="1">IFERROR(__xludf.DUMMYFUNCTION("""COMPUTED_VALUE"""),0)</f>
        <v>0</v>
      </c>
      <c r="K982" s="9" t="str">
        <f ca="1">IFERROR(__xludf.DUMMYFUNCTION("""COMPUTED_VALUE"""),"http://www.wsmv.com/story/37500077/14-year-old-suspect-wanted-in-shooting-outside-pearl-cohn-high-school")</f>
        <v>http://www.wsmv.com/story/37500077/14-year-old-suspect-wanted-in-shooting-outside-pearl-cohn-high-school</v>
      </c>
      <c r="L982" s="5">
        <f ca="1">IFERROR(__xludf.DUMMYFUNCTION("""COMPUTED_VALUE"""),5)</f>
        <v>5</v>
      </c>
      <c r="M982" s="5" t="str">
        <f ca="1">IFERROR(__xludf.DUMMYFUNCTION("""COMPUTED_VALUE"""),"Regional")</f>
        <v>Regional</v>
      </c>
      <c r="N982" s="5">
        <f ca="1">IFERROR(__xludf.DUMMYFUNCTION("""COMPUTED_VALUE"""),2)</f>
        <v>2</v>
      </c>
      <c r="O982" s="5" t="str">
        <f ca="1">IFERROR(__xludf.DUMMYFUNCTION("""COMPUTED_VALUE"""),"Winter")</f>
        <v>Winter</v>
      </c>
      <c r="P982" s="5" t="str">
        <f ca="1">IFERROR(__xludf.DUMMYFUNCTION("""COMPUTED_VALUE"""),"Nashville")</f>
        <v>Nashville</v>
      </c>
      <c r="Q982" s="5" t="str">
        <f ca="1">IFERROR(__xludf.DUMMYFUNCTION("""COMPUTED_VALUE"""),"TN")</f>
        <v>TN</v>
      </c>
      <c r="R982" s="5" t="str">
        <f ca="1">IFERROR(__xludf.DUMMYFUNCTION("""COMPUTED_VALUE"""),"High")</f>
        <v>High</v>
      </c>
      <c r="S982" s="5" t="str">
        <f ca="1">IFERROR(__xludf.DUMMYFUNCTION("""COMPUTED_VALUE"""),"Parking Lot")</f>
        <v>Parking Lot</v>
      </c>
      <c r="T982" s="5" t="str">
        <f ca="1">IFERROR(__xludf.DUMMYFUNCTION("""COMPUTED_VALUE"""),"Outside on School Property")</f>
        <v>Outside on School Property</v>
      </c>
      <c r="U982" s="5" t="str">
        <f ca="1">IFERROR(__xludf.DUMMYFUNCTION("""COMPUTED_VALUE"""),"No")</f>
        <v>No</v>
      </c>
      <c r="V982" s="5" t="str">
        <f ca="1">IFERROR(__xludf.DUMMYFUNCTION("""COMPUTED_VALUE"""),"Dismissal")</f>
        <v>Dismissal</v>
      </c>
      <c r="W982" s="5"/>
      <c r="X982" s="5">
        <f ca="1">IFERROR(__xludf.DUMMYFUNCTION("""COMPUTED_VALUE"""),1)</f>
        <v>1</v>
      </c>
      <c r="Y982" s="5" t="str">
        <f ca="1">IFERROR(__xludf.DUMMYFUNCTION("""COMPUTED_VALUE"""),"Gang related shooting in parking lot")</f>
        <v>Gang related shooting in parking lot</v>
      </c>
      <c r="Z982" s="5" t="str">
        <f ca="1">IFERROR(__xludf.DUMMYFUNCTION("""COMPUTED_VALUE"""),"Shooter fired 5 shots at the victim in the parking lot at the end of the school day and fled the scene by getting into a stolen vehicle. The motive remains unknown. The school has a frequent gang-related violence.")</f>
        <v>Shooter fired 5 shots at the victim in the parking lot at the end of the school day and fled the scene by getting into a stolen vehicle. The motive remains unknown. The school has a frequent gang-related violence.</v>
      </c>
      <c r="AA982" s="5" t="str">
        <f ca="1">IFERROR(__xludf.DUMMYFUNCTION("""COMPUTED_VALUE"""),"Escalation of Dispute")</f>
        <v>Escalation of Dispute</v>
      </c>
      <c r="AB982" s="5" t="str">
        <f ca="1">IFERROR(__xludf.DUMMYFUNCTION("""COMPUTED_VALUE"""),"Victims Targeted")</f>
        <v>Victims Targeted</v>
      </c>
      <c r="AC982" s="5"/>
      <c r="AD982" s="5" t="str">
        <f ca="1">IFERROR(__xludf.DUMMYFUNCTION("""COMPUTED_VALUE"""),"No")</f>
        <v>No</v>
      </c>
      <c r="AE982" s="5" t="str">
        <f ca="1">IFERROR(__xludf.DUMMYFUNCTION("""COMPUTED_VALUE"""),"No")</f>
        <v>No</v>
      </c>
      <c r="AF982" s="5" t="str">
        <f ca="1">IFERROR(__xludf.DUMMYFUNCTION("""COMPUTED_VALUE"""),"No")</f>
        <v>No</v>
      </c>
      <c r="AG982" s="5"/>
      <c r="AH982" s="5" t="str">
        <f ca="1">IFERROR(__xludf.DUMMYFUNCTION("""COMPUTED_VALUE"""),"No")</f>
        <v>No</v>
      </c>
      <c r="AI982" s="5" t="str">
        <f ca="1">IFERROR(__xludf.DUMMYFUNCTION("""COMPUTED_VALUE"""),"Yes")</f>
        <v>Yes</v>
      </c>
      <c r="AJ982" s="5" t="str">
        <f ca="1">IFERROR(__xludf.DUMMYFUNCTION("""COMPUTED_VALUE"""),"No")</f>
        <v>No</v>
      </c>
    </row>
    <row r="983" spans="1:36" ht="13">
      <c r="A983" s="5" t="str">
        <f ca="1">IFERROR(__xludf.DUMMYFUNCTION("""COMPUTED_VALUE"""),"20180208NYTHN")</f>
        <v>20180208NYTHN</v>
      </c>
      <c r="B983" s="5">
        <f ca="1">IFERROR(__xludf.DUMMYFUNCTION("""COMPUTED_VALUE"""),2)</f>
        <v>2</v>
      </c>
      <c r="C983" s="5">
        <f ca="1">IFERROR(__xludf.DUMMYFUNCTION("""COMPUTED_VALUE"""),8)</f>
        <v>8</v>
      </c>
      <c r="D983" s="5">
        <f ca="1">IFERROR(__xludf.DUMMYFUNCTION("""COMPUTED_VALUE"""),2018)</f>
        <v>2018</v>
      </c>
      <c r="E983" s="8">
        <f ca="1">IFERROR(__xludf.DUMMYFUNCTION("""COMPUTED_VALUE"""),43139)</f>
        <v>43139</v>
      </c>
      <c r="F983" s="5" t="str">
        <f ca="1">IFERROR(__xludf.DUMMYFUNCTION("""COMPUTED_VALUE"""),"The Metropolitan High School")</f>
        <v>The Metropolitan High School</v>
      </c>
      <c r="G983" s="5">
        <f ca="1">IFERROR(__xludf.DUMMYFUNCTION("""COMPUTED_VALUE"""),0)</f>
        <v>0</v>
      </c>
      <c r="H983" s="5">
        <f ca="1">IFERROR(__xludf.DUMMYFUNCTION("""COMPUTED_VALUE"""),0)</f>
        <v>0</v>
      </c>
      <c r="I983" s="5">
        <f ca="1">IFERROR(__xludf.DUMMYFUNCTION("""COMPUTED_VALUE"""),0)</f>
        <v>0</v>
      </c>
      <c r="J983" s="5">
        <f ca="1">IFERROR(__xludf.DUMMYFUNCTION("""COMPUTED_VALUE"""),0)</f>
        <v>0</v>
      </c>
      <c r="K983" s="9" t="str">
        <f ca="1">IFERROR(__xludf.DUMMYFUNCTION("""COMPUTED_VALUE"""),"https://abc7ny.com/teen-in-custody-after-shot-fired-inside-bronx-high-school/3054112/")</f>
        <v>https://abc7ny.com/teen-in-custody-after-shot-fired-inside-bronx-high-school/3054112/</v>
      </c>
      <c r="L983" s="5"/>
      <c r="M983" s="5"/>
      <c r="N983" s="5">
        <f ca="1">IFERROR(__xludf.DUMMYFUNCTION("""COMPUTED_VALUE"""),2)</f>
        <v>2</v>
      </c>
      <c r="O983" s="5" t="str">
        <f ca="1">IFERROR(__xludf.DUMMYFUNCTION("""COMPUTED_VALUE"""),"Winter")</f>
        <v>Winter</v>
      </c>
      <c r="P983" s="5" t="str">
        <f ca="1">IFERROR(__xludf.DUMMYFUNCTION("""COMPUTED_VALUE"""),"New York")</f>
        <v>New York</v>
      </c>
      <c r="Q983" s="5" t="str">
        <f ca="1">IFERROR(__xludf.DUMMYFUNCTION("""COMPUTED_VALUE"""),"NY")</f>
        <v>NY</v>
      </c>
      <c r="R983" s="5" t="str">
        <f ca="1">IFERROR(__xludf.DUMMYFUNCTION("""COMPUTED_VALUE"""),"High")</f>
        <v>High</v>
      </c>
      <c r="S983" s="5" t="str">
        <f ca="1">IFERROR(__xludf.DUMMYFUNCTION("""COMPUTED_VALUE"""),"Classroom")</f>
        <v>Classroom</v>
      </c>
      <c r="T983" s="5" t="str">
        <f ca="1">IFERROR(__xludf.DUMMYFUNCTION("""COMPUTED_VALUE"""),"Inside School Building")</f>
        <v>Inside School Building</v>
      </c>
      <c r="U983" s="5" t="str">
        <f ca="1">IFERROR(__xludf.DUMMYFUNCTION("""COMPUTED_VALUE"""),"Yes")</f>
        <v>Yes</v>
      </c>
      <c r="V983" s="5" t="str">
        <f ca="1">IFERROR(__xludf.DUMMYFUNCTION("""COMPUTED_VALUE"""),"Afternoon Classes")</f>
        <v>Afternoon Classes</v>
      </c>
      <c r="W983" s="10">
        <f ca="1">IFERROR(__xludf.DUMMYFUNCTION("""COMPUTED_VALUE"""),0.638888888888888)</f>
        <v>0.63888888888888795</v>
      </c>
      <c r="X983" s="5">
        <f ca="1">IFERROR(__xludf.DUMMYFUNCTION("""COMPUTED_VALUE"""),1)</f>
        <v>1</v>
      </c>
      <c r="Y983" s="5" t="str">
        <f ca="1">IFERROR(__xludf.DUMMYFUNCTION("""COMPUTED_VALUE"""),"Single gun shot struck floor of classroom, student arrested")</f>
        <v>Single gun shot struck floor of classroom, student arrested</v>
      </c>
      <c r="Z983" s="5" t="str">
        <f ca="1">IFERROR(__xludf.DUMMYFUNCTION("""COMPUTED_VALUE"""),"Single gunshot struck floor of classroom. No injuries. 17YOM student arrested. Circumstances unknown.")</f>
        <v>Single gunshot struck floor of classroom. No injuries. 17YOM student arrested. Circumstances unknown.</v>
      </c>
      <c r="AA983" s="5" t="str">
        <f ca="1">IFERROR(__xludf.DUMMYFUNCTION("""COMPUTED_VALUE"""),"Accidental")</f>
        <v>Accidental</v>
      </c>
      <c r="AB983" s="5"/>
      <c r="AC983" s="5" t="str">
        <f ca="1">IFERROR(__xludf.DUMMYFUNCTION("""COMPUTED_VALUE"""),"No")</f>
        <v>No</v>
      </c>
      <c r="AD983" s="5" t="str">
        <f ca="1">IFERROR(__xludf.DUMMYFUNCTION("""COMPUTED_VALUE"""),"No")</f>
        <v>No</v>
      </c>
      <c r="AE983" s="5" t="str">
        <f ca="1">IFERROR(__xludf.DUMMYFUNCTION("""COMPUTED_VALUE"""),"No")</f>
        <v>No</v>
      </c>
      <c r="AF983" s="5" t="str">
        <f ca="1">IFERROR(__xludf.DUMMYFUNCTION("""COMPUTED_VALUE"""),"No")</f>
        <v>No</v>
      </c>
      <c r="AG983" s="5"/>
      <c r="AH983" s="5"/>
      <c r="AI983" s="5"/>
      <c r="AJ983" s="5" t="str">
        <f ca="1">IFERROR(__xludf.DUMMYFUNCTION("""COMPUTED_VALUE"""),"No")</f>
        <v>No</v>
      </c>
    </row>
    <row r="984" spans="1:36" ht="13">
      <c r="A984" s="5" t="str">
        <f ca="1">IFERROR(__xludf.DUMMYFUNCTION("""COMPUTED_VALUE"""),"20180205MNHAM")</f>
        <v>20180205MNHAM</v>
      </c>
      <c r="B984" s="5">
        <f ca="1">IFERROR(__xludf.DUMMYFUNCTION("""COMPUTED_VALUE"""),2)</f>
        <v>2</v>
      </c>
      <c r="C984" s="5">
        <f ca="1">IFERROR(__xludf.DUMMYFUNCTION("""COMPUTED_VALUE"""),5)</f>
        <v>5</v>
      </c>
      <c r="D984" s="5">
        <f ca="1">IFERROR(__xludf.DUMMYFUNCTION("""COMPUTED_VALUE"""),2018)</f>
        <v>2018</v>
      </c>
      <c r="E984" s="8">
        <f ca="1">IFERROR(__xludf.DUMMYFUNCTION("""COMPUTED_VALUE"""),43136)</f>
        <v>43136</v>
      </c>
      <c r="F984" s="5" t="str">
        <f ca="1">IFERROR(__xludf.DUMMYFUNCTION("""COMPUTED_VALUE"""),"Harmony Learning Center")</f>
        <v>Harmony Learning Center</v>
      </c>
      <c r="G984" s="5">
        <f ca="1">IFERROR(__xludf.DUMMYFUNCTION("""COMPUTED_VALUE"""),0)</f>
        <v>0</v>
      </c>
      <c r="H984" s="5">
        <f ca="1">IFERROR(__xludf.DUMMYFUNCTION("""COMPUTED_VALUE"""),0)</f>
        <v>0</v>
      </c>
      <c r="I984" s="5">
        <f ca="1">IFERROR(__xludf.DUMMYFUNCTION("""COMPUTED_VALUE"""),0)</f>
        <v>0</v>
      </c>
      <c r="J984" s="5">
        <f ca="1">IFERROR(__xludf.DUMMYFUNCTION("""COMPUTED_VALUE"""),0)</f>
        <v>0</v>
      </c>
      <c r="K984" s="9" t="str">
        <f ca="1">IFERROR(__xludf.DUMMYFUNCTION("""COMPUTED_VALUE"""),"https://www.twincities.com/2018/02/05/maplewood-police-officers-gun-fires-at-school-no-injuries-reported/")</f>
        <v>https://www.twincities.com/2018/02/05/maplewood-police-officers-gun-fires-at-school-no-injuries-reported/</v>
      </c>
      <c r="L984" s="5"/>
      <c r="M984" s="5"/>
      <c r="N984" s="5">
        <f ca="1">IFERROR(__xludf.DUMMYFUNCTION("""COMPUTED_VALUE"""),2)</f>
        <v>2</v>
      </c>
      <c r="O984" s="5" t="str">
        <f ca="1">IFERROR(__xludf.DUMMYFUNCTION("""COMPUTED_VALUE"""),"Winter")</f>
        <v>Winter</v>
      </c>
      <c r="P984" s="5" t="str">
        <f ca="1">IFERROR(__xludf.DUMMYFUNCTION("""COMPUTED_VALUE"""),"Maplewood")</f>
        <v>Maplewood</v>
      </c>
      <c r="Q984" s="5" t="str">
        <f ca="1">IFERROR(__xludf.DUMMYFUNCTION("""COMPUTED_VALUE"""),"MN")</f>
        <v>MN</v>
      </c>
      <c r="R984" s="5" t="str">
        <f ca="1">IFERROR(__xludf.DUMMYFUNCTION("""COMPUTED_VALUE"""),"Elementary")</f>
        <v>Elementary</v>
      </c>
      <c r="S984" s="5" t="str">
        <f ca="1">IFERROR(__xludf.DUMMYFUNCTION("""COMPUTED_VALUE"""),"Front of School")</f>
        <v>Front of School</v>
      </c>
      <c r="T984" s="5" t="str">
        <f ca="1">IFERROR(__xludf.DUMMYFUNCTION("""COMPUTED_VALUE"""),"Outside on School Property")</f>
        <v>Outside on School Property</v>
      </c>
      <c r="U984" s="5" t="str">
        <f ca="1">IFERROR(__xludf.DUMMYFUNCTION("""COMPUTED_VALUE"""),"Yes")</f>
        <v>Yes</v>
      </c>
      <c r="V984" s="5" t="str">
        <f ca="1">IFERROR(__xludf.DUMMYFUNCTION("""COMPUTED_VALUE"""),"Afternoon Classes")</f>
        <v>Afternoon Classes</v>
      </c>
      <c r="W984" s="10">
        <f ca="1">IFERROR(__xludf.DUMMYFUNCTION("""COMPUTED_VALUE"""),0.572916666666666)</f>
        <v>0.57291666666666596</v>
      </c>
      <c r="X984" s="5">
        <f ca="1">IFERROR(__xludf.DUMMYFUNCTION("""COMPUTED_VALUE"""),1)</f>
        <v>1</v>
      </c>
      <c r="Y984" s="5" t="str">
        <f ca="1">IFERROR(__xludf.DUMMYFUNCTION("""COMPUTED_VALUE"""),"Student pulled trigger on gun in officer's holster")</f>
        <v>Student pulled trigger on gun in officer's holster</v>
      </c>
      <c r="Z984" s="5" t="str">
        <f ca="1">IFERROR(__xludf.DUMMYFUNCTION("""COMPUTED_VALUE"""),"3rd grade student pulled the trigger of a handgun in the officers holster and fired a shot into the ground. The officer was sitting on a bench and didn't realize the child was touching the gun. No injuries.")</f>
        <v>3rd grade student pulled the trigger of a handgun in the officers holster and fired a shot into the ground. The officer was sitting on a bench and didn't realize the child was touching the gun. No injuries.</v>
      </c>
      <c r="AA984" s="5" t="str">
        <f ca="1">IFERROR(__xludf.DUMMYFUNCTION("""COMPUTED_VALUE"""),"Accidental")</f>
        <v>Accidental</v>
      </c>
      <c r="AB984" s="5" t="str">
        <f ca="1">IFERROR(__xludf.DUMMYFUNCTION("""COMPUTED_VALUE"""),"Neither")</f>
        <v>Neither</v>
      </c>
      <c r="AC984" s="5" t="str">
        <f ca="1">IFERROR(__xludf.DUMMYFUNCTION("""COMPUTED_VALUE"""),"No")</f>
        <v>No</v>
      </c>
      <c r="AD984" s="5" t="str">
        <f ca="1">IFERROR(__xludf.DUMMYFUNCTION("""COMPUTED_VALUE"""),"No")</f>
        <v>No</v>
      </c>
      <c r="AE984" s="5" t="str">
        <f ca="1">IFERROR(__xludf.DUMMYFUNCTION("""COMPUTED_VALUE"""),"No")</f>
        <v>No</v>
      </c>
      <c r="AF984" s="5" t="str">
        <f ca="1">IFERROR(__xludf.DUMMYFUNCTION("""COMPUTED_VALUE"""),"No")</f>
        <v>No</v>
      </c>
      <c r="AG984" s="5" t="str">
        <f ca="1">IFERROR(__xludf.DUMMYFUNCTION("""COMPUTED_VALUE"""),"No")</f>
        <v>No</v>
      </c>
      <c r="AH984" s="5" t="str">
        <f ca="1">IFERROR(__xludf.DUMMYFUNCTION("""COMPUTED_VALUE"""),"No")</f>
        <v>No</v>
      </c>
      <c r="AI984" s="5" t="str">
        <f ca="1">IFERROR(__xludf.DUMMYFUNCTION("""COMPUTED_VALUE"""),"No")</f>
        <v>No</v>
      </c>
      <c r="AJ984" s="5" t="str">
        <f ca="1">IFERROR(__xludf.DUMMYFUNCTION("""COMPUTED_VALUE"""),"No")</f>
        <v>No</v>
      </c>
    </row>
    <row r="985" spans="1:36" ht="13">
      <c r="A985" s="5" t="str">
        <f ca="1">IFERROR(__xludf.DUMMYFUNCTION("""COMPUTED_VALUE"""),"20180205MDOXO")</f>
        <v>20180205MDOXO</v>
      </c>
      <c r="B985" s="5">
        <f ca="1">IFERROR(__xludf.DUMMYFUNCTION("""COMPUTED_VALUE"""),2)</f>
        <v>2</v>
      </c>
      <c r="C985" s="5">
        <f ca="1">IFERROR(__xludf.DUMMYFUNCTION("""COMPUTED_VALUE"""),5)</f>
        <v>5</v>
      </c>
      <c r="D985" s="5">
        <f ca="1">IFERROR(__xludf.DUMMYFUNCTION("""COMPUTED_VALUE"""),2018)</f>
        <v>2018</v>
      </c>
      <c r="E985" s="8">
        <f ca="1">IFERROR(__xludf.DUMMYFUNCTION("""COMPUTED_VALUE"""),43136)</f>
        <v>43136</v>
      </c>
      <c r="F985" s="5" t="str">
        <f ca="1">IFERROR(__xludf.DUMMYFUNCTION("""COMPUTED_VALUE"""),"Oxon Hill High School")</f>
        <v>Oxon Hill High School</v>
      </c>
      <c r="G985" s="5">
        <f ca="1">IFERROR(__xludf.DUMMYFUNCTION("""COMPUTED_VALUE"""),0)</f>
        <v>0</v>
      </c>
      <c r="H985" s="5">
        <f ca="1">IFERROR(__xludf.DUMMYFUNCTION("""COMPUTED_VALUE"""),1)</f>
        <v>1</v>
      </c>
      <c r="I985" s="5">
        <f ca="1">IFERROR(__xludf.DUMMYFUNCTION("""COMPUTED_VALUE"""),1)</f>
        <v>1</v>
      </c>
      <c r="J985" s="5">
        <f ca="1">IFERROR(__xludf.DUMMYFUNCTION("""COMPUTED_VALUE"""),0)</f>
        <v>0</v>
      </c>
      <c r="K985" s="9" t="str">
        <f ca="1">IFERROR(__xludf.DUMMYFUNCTION("""COMPUTED_VALUE"""),"http://pgpolice.blogspot.ca/2018/02/two-teenage-suspects-in-custody-for-non.html")</f>
        <v>http://pgpolice.blogspot.ca/2018/02/two-teenage-suspects-in-custody-for-non.html</v>
      </c>
      <c r="L985" s="5">
        <f ca="1">IFERROR(__xludf.DUMMYFUNCTION("""COMPUTED_VALUE"""),5)</f>
        <v>5</v>
      </c>
      <c r="M985" s="5" t="str">
        <f ca="1">IFERROR(__xludf.DUMMYFUNCTION("""COMPUTED_VALUE"""),"International")</f>
        <v>International</v>
      </c>
      <c r="N985" s="5">
        <f ca="1">IFERROR(__xludf.DUMMYFUNCTION("""COMPUTED_VALUE"""),4)</f>
        <v>4</v>
      </c>
      <c r="O985" s="5" t="str">
        <f ca="1">IFERROR(__xludf.DUMMYFUNCTION("""COMPUTED_VALUE"""),"Winter")</f>
        <v>Winter</v>
      </c>
      <c r="P985" s="5" t="str">
        <f ca="1">IFERROR(__xludf.DUMMYFUNCTION("""COMPUTED_VALUE"""),"Oxon Hill")</f>
        <v>Oxon Hill</v>
      </c>
      <c r="Q985" s="5" t="str">
        <f ca="1">IFERROR(__xludf.DUMMYFUNCTION("""COMPUTED_VALUE"""),"MD")</f>
        <v>MD</v>
      </c>
      <c r="R985" s="5" t="str">
        <f ca="1">IFERROR(__xludf.DUMMYFUNCTION("""COMPUTED_VALUE"""),"High")</f>
        <v>High</v>
      </c>
      <c r="S985" s="5" t="str">
        <f ca="1">IFERROR(__xludf.DUMMYFUNCTION("""COMPUTED_VALUE"""),"Parking Lot")</f>
        <v>Parking Lot</v>
      </c>
      <c r="T985" s="5" t="str">
        <f ca="1">IFERROR(__xludf.DUMMYFUNCTION("""COMPUTED_VALUE"""),"Outside on School Property")</f>
        <v>Outside on School Property</v>
      </c>
      <c r="U985" s="5" t="str">
        <f ca="1">IFERROR(__xludf.DUMMYFUNCTION("""COMPUTED_VALUE"""),"No")</f>
        <v>No</v>
      </c>
      <c r="V985" s="5" t="str">
        <f ca="1">IFERROR(__xludf.DUMMYFUNCTION("""COMPUTED_VALUE"""),"Evening")</f>
        <v>Evening</v>
      </c>
      <c r="W985" s="5"/>
      <c r="X985" s="5">
        <f ca="1">IFERROR(__xludf.DUMMYFUNCTION("""COMPUTED_VALUE"""),1)</f>
        <v>1</v>
      </c>
      <c r="Y985" s="5" t="str">
        <f ca="1">IFERROR(__xludf.DUMMYFUNCTION("""COMPUTED_VALUE"""),"Robbery in school parking lot")</f>
        <v>Robbery in school parking lot</v>
      </c>
      <c r="Z985" s="5" t="str">
        <f ca="1">IFERROR(__xludf.DUMMYFUNCTION("""COMPUTED_VALUE"""),"Three suspects attempted to rob the victim by luring him into a car parked on the school's parking lot. The victim was shot and ran to the school for help. The driver, who was the victim's ex-girlfriend, was later arrested along with one of the males.")</f>
        <v>Three suspects attempted to rob the victim by luring him into a car parked on the school's parking lot. The victim was shot and ran to the school for help. The driver, who was the victim's ex-girlfriend, was later arrested along with one of the males.</v>
      </c>
      <c r="AA985" s="5" t="str">
        <f ca="1">IFERROR(__xludf.DUMMYFUNCTION("""COMPUTED_VALUE"""),"Illegal Activity")</f>
        <v>Illegal Activity</v>
      </c>
      <c r="AB985" s="5" t="str">
        <f ca="1">IFERROR(__xludf.DUMMYFUNCTION("""COMPUTED_VALUE"""),"Victims Targeted")</f>
        <v>Victims Targeted</v>
      </c>
      <c r="AC985" s="5"/>
      <c r="AD985" s="5" t="str">
        <f ca="1">IFERROR(__xludf.DUMMYFUNCTION("""COMPUTED_VALUE"""),"No")</f>
        <v>No</v>
      </c>
      <c r="AE985" s="5" t="str">
        <f ca="1">IFERROR(__xludf.DUMMYFUNCTION("""COMPUTED_VALUE"""),"No")</f>
        <v>No</v>
      </c>
      <c r="AF985" s="5" t="str">
        <f ca="1">IFERROR(__xludf.DUMMYFUNCTION("""COMPUTED_VALUE"""),"No")</f>
        <v>No</v>
      </c>
      <c r="AG985" s="5"/>
      <c r="AH985" s="5" t="str">
        <f ca="1">IFERROR(__xludf.DUMMYFUNCTION("""COMPUTED_VALUE"""),"No")</f>
        <v>No</v>
      </c>
      <c r="AI985" s="5" t="str">
        <f ca="1">IFERROR(__xludf.DUMMYFUNCTION("""COMPUTED_VALUE"""),"No")</f>
        <v>No</v>
      </c>
      <c r="AJ985" s="5" t="str">
        <f ca="1">IFERROR(__xludf.DUMMYFUNCTION("""COMPUTED_VALUE"""),"No")</f>
        <v>No</v>
      </c>
    </row>
    <row r="986" spans="1:36" ht="13">
      <c r="A986" s="5" t="str">
        <f ca="1">IFERROR(__xludf.DUMMYFUNCTION("""COMPUTED_VALUE"""),"20180201CASAL")</f>
        <v>20180201CASAL</v>
      </c>
      <c r="B986" s="5">
        <f ca="1">IFERROR(__xludf.DUMMYFUNCTION("""COMPUTED_VALUE"""),2)</f>
        <v>2</v>
      </c>
      <c r="C986" s="5">
        <f ca="1">IFERROR(__xludf.DUMMYFUNCTION("""COMPUTED_VALUE"""),1)</f>
        <v>1</v>
      </c>
      <c r="D986" s="5">
        <f ca="1">IFERROR(__xludf.DUMMYFUNCTION("""COMPUTED_VALUE"""),2018)</f>
        <v>2018</v>
      </c>
      <c r="E986" s="8">
        <f ca="1">IFERROR(__xludf.DUMMYFUNCTION("""COMPUTED_VALUE"""),43132)</f>
        <v>43132</v>
      </c>
      <c r="F986" s="5" t="str">
        <f ca="1">IFERROR(__xludf.DUMMYFUNCTION("""COMPUTED_VALUE"""),"Salvador B. Castro Middle School")</f>
        <v>Salvador B. Castro Middle School</v>
      </c>
      <c r="G986" s="5">
        <f ca="1">IFERROR(__xludf.DUMMYFUNCTION("""COMPUTED_VALUE"""),0)</f>
        <v>0</v>
      </c>
      <c r="H986" s="5">
        <f ca="1">IFERROR(__xludf.DUMMYFUNCTION("""COMPUTED_VALUE"""),2)</f>
        <v>2</v>
      </c>
      <c r="I986" s="5">
        <f ca="1">IFERROR(__xludf.DUMMYFUNCTION("""COMPUTED_VALUE"""),2)</f>
        <v>2</v>
      </c>
      <c r="J986" s="5">
        <f ca="1">IFERROR(__xludf.DUMMYFUNCTION("""COMPUTED_VALUE"""),0)</f>
        <v>0</v>
      </c>
      <c r="K986" s="9" t="str">
        <f ca="1">IFERROR(__xludf.DUMMYFUNCTION("""COMPUTED_VALUE"""),"http://abc7.com/charges-filed-against-12-year-old-girl-in-westlake-school-shooting/3023846/")</f>
        <v>http://abc7.com/charges-filed-against-12-year-old-girl-in-westlake-school-shooting/3023846/</v>
      </c>
      <c r="L986" s="5">
        <f ca="1">IFERROR(__xludf.DUMMYFUNCTION("""COMPUTED_VALUE"""),11)</f>
        <v>11</v>
      </c>
      <c r="M986" s="5" t="str">
        <f ca="1">IFERROR(__xludf.DUMMYFUNCTION("""COMPUTED_VALUE"""),"Regional")</f>
        <v>Regional</v>
      </c>
      <c r="N986" s="5">
        <f ca="1">IFERROR(__xludf.DUMMYFUNCTION("""COMPUTED_VALUE"""),2)</f>
        <v>2</v>
      </c>
      <c r="O986" s="5" t="str">
        <f ca="1">IFERROR(__xludf.DUMMYFUNCTION("""COMPUTED_VALUE"""),"Winter")</f>
        <v>Winter</v>
      </c>
      <c r="P986" s="5" t="str">
        <f ca="1">IFERROR(__xludf.DUMMYFUNCTION("""COMPUTED_VALUE"""),"Los Angeles")</f>
        <v>Los Angeles</v>
      </c>
      <c r="Q986" s="5" t="str">
        <f ca="1">IFERROR(__xludf.DUMMYFUNCTION("""COMPUTED_VALUE"""),"CA")</f>
        <v>CA</v>
      </c>
      <c r="R986" s="5" t="str">
        <f ca="1">IFERROR(__xludf.DUMMYFUNCTION("""COMPUTED_VALUE"""),"Middle")</f>
        <v>Middle</v>
      </c>
      <c r="S986" s="5" t="str">
        <f ca="1">IFERROR(__xludf.DUMMYFUNCTION("""COMPUTED_VALUE"""),"Classroom")</f>
        <v>Classroom</v>
      </c>
      <c r="T986" s="5" t="str">
        <f ca="1">IFERROR(__xludf.DUMMYFUNCTION("""COMPUTED_VALUE"""),"Inside School Building")</f>
        <v>Inside School Building</v>
      </c>
      <c r="U986" s="5" t="str">
        <f ca="1">IFERROR(__xludf.DUMMYFUNCTION("""COMPUTED_VALUE"""),"Yes")</f>
        <v>Yes</v>
      </c>
      <c r="V986" s="5" t="str">
        <f ca="1">IFERROR(__xludf.DUMMYFUNCTION("""COMPUTED_VALUE"""),"Morning Classes")</f>
        <v>Morning Classes</v>
      </c>
      <c r="W986" s="10">
        <f ca="1">IFERROR(__xludf.DUMMYFUNCTION("""COMPUTED_VALUE"""),0.371527777777777)</f>
        <v>0.37152777777777701</v>
      </c>
      <c r="X986" s="5">
        <f ca="1">IFERROR(__xludf.DUMMYFUNCTION("""COMPUTED_VALUE"""),1)</f>
        <v>1</v>
      </c>
      <c r="Y986" s="5" t="str">
        <f ca="1">IFERROR(__xludf.DUMMYFUNCTION("""COMPUTED_VALUE"""),"Accidental Discharge Inside of Backpack; possible bullying")</f>
        <v>Accidental Discharge Inside of Backpack; possible bullying</v>
      </c>
      <c r="Z986" s="5" t="str">
        <f ca="1">IFERROR(__xludf.DUMMYFUNCTION("""COMPUTED_VALUE"""),"Gun inside 12-year-old female student's backpack discharged inside the classroom striking two students. Two other students and a teacher suffered minor abrasions. Shooter may have been bullied and showed the gun off to other students that day.")</f>
        <v>Gun inside 12-year-old female student's backpack discharged inside the classroom striking two students. Two other students and a teacher suffered minor abrasions. Shooter may have been bullied and showed the gun off to other students that day.</v>
      </c>
      <c r="AA986" s="5" t="str">
        <f ca="1">IFERROR(__xludf.DUMMYFUNCTION("""COMPUTED_VALUE"""),"Accidental")</f>
        <v>Accidental</v>
      </c>
      <c r="AB986" s="5" t="str">
        <f ca="1">IFERROR(__xludf.DUMMYFUNCTION("""COMPUTED_VALUE"""),"Random Shooting")</f>
        <v>Random Shooting</v>
      </c>
      <c r="AC986" s="5" t="str">
        <f ca="1">IFERROR(__xludf.DUMMYFUNCTION("""COMPUTED_VALUE"""),"No")</f>
        <v>No</v>
      </c>
      <c r="AD986" s="5" t="str">
        <f ca="1">IFERROR(__xludf.DUMMYFUNCTION("""COMPUTED_VALUE"""),"No")</f>
        <v>No</v>
      </c>
      <c r="AE986" s="5" t="str">
        <f ca="1">IFERROR(__xludf.DUMMYFUNCTION("""COMPUTED_VALUE"""),"No")</f>
        <v>No</v>
      </c>
      <c r="AF986" s="5" t="str">
        <f ca="1">IFERROR(__xludf.DUMMYFUNCTION("""COMPUTED_VALUE"""),"No")</f>
        <v>No</v>
      </c>
      <c r="AG986" s="5" t="str">
        <f ca="1">IFERROR(__xludf.DUMMYFUNCTION("""COMPUTED_VALUE"""),"Yes")</f>
        <v>Yes</v>
      </c>
      <c r="AH986" s="5" t="str">
        <f ca="1">IFERROR(__xludf.DUMMYFUNCTION("""COMPUTED_VALUE"""),"No")</f>
        <v>No</v>
      </c>
      <c r="AI986" s="5" t="str">
        <f ca="1">IFERROR(__xludf.DUMMYFUNCTION("""COMPUTED_VALUE"""),"No")</f>
        <v>No</v>
      </c>
      <c r="AJ986" s="5" t="str">
        <f ca="1">IFERROR(__xludf.DUMMYFUNCTION("""COMPUTED_VALUE"""),"No")</f>
        <v>No</v>
      </c>
    </row>
    <row r="987" spans="1:36" ht="13">
      <c r="A987" s="5" t="str">
        <f ca="1">IFERROR(__xludf.DUMMYFUNCTION("""COMPUTED_VALUE"""),"20180131PALIP")</f>
        <v>20180131PALIP</v>
      </c>
      <c r="B987" s="5">
        <f ca="1">IFERROR(__xludf.DUMMYFUNCTION("""COMPUTED_VALUE"""),1)</f>
        <v>1</v>
      </c>
      <c r="C987" s="5">
        <f ca="1">IFERROR(__xludf.DUMMYFUNCTION("""COMPUTED_VALUE"""),31)</f>
        <v>31</v>
      </c>
      <c r="D987" s="5">
        <f ca="1">IFERROR(__xludf.DUMMYFUNCTION("""COMPUTED_VALUE"""),2018)</f>
        <v>2018</v>
      </c>
      <c r="E987" s="8">
        <f ca="1">IFERROR(__xludf.DUMMYFUNCTION("""COMPUTED_VALUE"""),43131)</f>
        <v>43131</v>
      </c>
      <c r="F987" s="5" t="str">
        <f ca="1">IFERROR(__xludf.DUMMYFUNCTION("""COMPUTED_VALUE"""),"Lincoln High School")</f>
        <v>Lincoln High School</v>
      </c>
      <c r="G987" s="5">
        <f ca="1">IFERROR(__xludf.DUMMYFUNCTION("""COMPUTED_VALUE"""),1)</f>
        <v>1</v>
      </c>
      <c r="H987" s="5">
        <f ca="1">IFERROR(__xludf.DUMMYFUNCTION("""COMPUTED_VALUE"""),0)</f>
        <v>0</v>
      </c>
      <c r="I987" s="5">
        <f ca="1">IFERROR(__xludf.DUMMYFUNCTION("""COMPUTED_VALUE"""),1)</f>
        <v>1</v>
      </c>
      <c r="J987" s="5">
        <f ca="1">IFERROR(__xludf.DUMMYFUNCTION("""COMPUTED_VALUE"""),0)</f>
        <v>0</v>
      </c>
      <c r="K987" s="9" t="str">
        <f ca="1">IFERROR(__xludf.DUMMYFUNCTION("""COMPUTED_VALUE"""),"http://6abc.com/man-32-killed-outside-lincoln-high-school-in-mayfair-idd/3013312/")</f>
        <v>http://6abc.com/man-32-killed-outside-lincoln-high-school-in-mayfair-idd/3013312/</v>
      </c>
      <c r="L987" s="5">
        <f ca="1">IFERROR(__xludf.DUMMYFUNCTION("""COMPUTED_VALUE"""),5)</f>
        <v>5</v>
      </c>
      <c r="M987" s="5" t="str">
        <f ca="1">IFERROR(__xludf.DUMMYFUNCTION("""COMPUTED_VALUE"""),"Local")</f>
        <v>Local</v>
      </c>
      <c r="N987" s="5">
        <f ca="1">IFERROR(__xludf.DUMMYFUNCTION("""COMPUTED_VALUE"""),2)</f>
        <v>2</v>
      </c>
      <c r="O987" s="5" t="str">
        <f ca="1">IFERROR(__xludf.DUMMYFUNCTION("""COMPUTED_VALUE"""),"Winter")</f>
        <v>Winter</v>
      </c>
      <c r="P987" s="5" t="str">
        <f ca="1">IFERROR(__xludf.DUMMYFUNCTION("""COMPUTED_VALUE"""),"Philadelphia")</f>
        <v>Philadelphia</v>
      </c>
      <c r="Q987" s="5" t="str">
        <f ca="1">IFERROR(__xludf.DUMMYFUNCTION("""COMPUTED_VALUE"""),"PA")</f>
        <v>PA</v>
      </c>
      <c r="R987" s="5" t="str">
        <f ca="1">IFERROR(__xludf.DUMMYFUNCTION("""COMPUTED_VALUE"""),"High")</f>
        <v>High</v>
      </c>
      <c r="S987" s="5" t="str">
        <f ca="1">IFERROR(__xludf.DUMMYFUNCTION("""COMPUTED_VALUE"""),"Parking Lot")</f>
        <v>Parking Lot</v>
      </c>
      <c r="T987" s="5" t="str">
        <f ca="1">IFERROR(__xludf.DUMMYFUNCTION("""COMPUTED_VALUE"""),"Outside on School Property")</f>
        <v>Outside on School Property</v>
      </c>
      <c r="U987" s="5" t="str">
        <f ca="1">IFERROR(__xludf.DUMMYFUNCTION("""COMPUTED_VALUE"""),"No")</f>
        <v>No</v>
      </c>
      <c r="V987" s="5" t="str">
        <f ca="1">IFERROR(__xludf.DUMMYFUNCTION("""COMPUTED_VALUE"""),"Sport Event")</f>
        <v>Sport Event</v>
      </c>
      <c r="W987" s="10">
        <f ca="1">IFERROR(__xludf.DUMMYFUNCTION("""COMPUTED_VALUE"""),0.660416666666666)</f>
        <v>0.66041666666666599</v>
      </c>
      <c r="X987" s="5">
        <f ca="1">IFERROR(__xludf.DUMMYFUNCTION("""COMPUTED_VALUE"""),1)</f>
        <v>1</v>
      </c>
      <c r="Y987" s="5" t="str">
        <f ca="1">IFERROR(__xludf.DUMMYFUNCTION("""COMPUTED_VALUE"""),"Fight in parking lot after basketball game")</f>
        <v>Fight in parking lot after basketball game</v>
      </c>
      <c r="Z987" s="5" t="str">
        <f ca="1">IFERROR(__xludf.DUMMYFUNCTION("""COMPUTED_VALUE"""),"Large fight in parking lot following basketball game between rival schools. Shots were fired from at least 3 different weapons. 32 year old male not involved in the fights was struck and killed. No suspects identified.")</f>
        <v>Large fight in parking lot following basketball game between rival schools. Shots were fired from at least 3 different weapons. 32 year old male not involved in the fights was struck and killed. No suspects identified.</v>
      </c>
      <c r="AA987" s="5" t="str">
        <f ca="1">IFERROR(__xludf.DUMMYFUNCTION("""COMPUTED_VALUE"""),"Escalation of Dispute")</f>
        <v>Escalation of Dispute</v>
      </c>
      <c r="AB987" s="5" t="str">
        <f ca="1">IFERROR(__xludf.DUMMYFUNCTION("""COMPUTED_VALUE"""),"Random Shooting")</f>
        <v>Random Shooting</v>
      </c>
      <c r="AC987" s="5"/>
      <c r="AD987" s="5" t="str">
        <f ca="1">IFERROR(__xludf.DUMMYFUNCTION("""COMPUTED_VALUE"""),"No")</f>
        <v>No</v>
      </c>
      <c r="AE987" s="5" t="str">
        <f ca="1">IFERROR(__xludf.DUMMYFUNCTION("""COMPUTED_VALUE"""),"No")</f>
        <v>No</v>
      </c>
      <c r="AF987" s="5" t="str">
        <f ca="1">IFERROR(__xludf.DUMMYFUNCTION("""COMPUTED_VALUE"""),"No")</f>
        <v>No</v>
      </c>
      <c r="AG987" s="5"/>
      <c r="AH987" s="5" t="str">
        <f ca="1">IFERROR(__xludf.DUMMYFUNCTION("""COMPUTED_VALUE"""),"No")</f>
        <v>No</v>
      </c>
      <c r="AI987" s="5" t="str">
        <f ca="1">IFERROR(__xludf.DUMMYFUNCTION("""COMPUTED_VALUE"""),"Yes")</f>
        <v>Yes</v>
      </c>
      <c r="AJ987" s="5" t="str">
        <f ca="1">IFERROR(__xludf.DUMMYFUNCTION("""COMPUTED_VALUE"""),"No")</f>
        <v>No</v>
      </c>
    </row>
    <row r="988" spans="1:36" ht="13">
      <c r="A988" s="5" t="str">
        <f ca="1">IFERROR(__xludf.DUMMYFUNCTION("""COMPUTED_VALUE"""),"20180126MIDED")</f>
        <v>20180126MIDED</v>
      </c>
      <c r="B988" s="5">
        <f ca="1">IFERROR(__xludf.DUMMYFUNCTION("""COMPUTED_VALUE"""),1)</f>
        <v>1</v>
      </c>
      <c r="C988" s="5">
        <f ca="1">IFERROR(__xludf.DUMMYFUNCTION("""COMPUTED_VALUE"""),26)</f>
        <v>26</v>
      </c>
      <c r="D988" s="5">
        <f ca="1">IFERROR(__xludf.DUMMYFUNCTION("""COMPUTED_VALUE"""),2018)</f>
        <v>2018</v>
      </c>
      <c r="E988" s="8">
        <f ca="1">IFERROR(__xludf.DUMMYFUNCTION("""COMPUTED_VALUE"""),43126)</f>
        <v>43126</v>
      </c>
      <c r="F988" s="5" t="str">
        <f ca="1">IFERROR(__xludf.DUMMYFUNCTION("""COMPUTED_VALUE"""),"Dearborn High School")</f>
        <v>Dearborn High School</v>
      </c>
      <c r="G988" s="5">
        <f ca="1">IFERROR(__xludf.DUMMYFUNCTION("""COMPUTED_VALUE"""),0)</f>
        <v>0</v>
      </c>
      <c r="H988" s="5">
        <f ca="1">IFERROR(__xludf.DUMMYFUNCTION("""COMPUTED_VALUE"""),0)</f>
        <v>0</v>
      </c>
      <c r="I988" s="5">
        <f ca="1">IFERROR(__xludf.DUMMYFUNCTION("""COMPUTED_VALUE"""),0)</f>
        <v>0</v>
      </c>
      <c r="J988" s="5">
        <f ca="1">IFERROR(__xludf.DUMMYFUNCTION("""COMPUTED_VALUE"""),0)</f>
        <v>0</v>
      </c>
      <c r="K988" s="9" t="str">
        <f ca="1">IFERROR(__xludf.DUMMYFUNCTION("""COMPUTED_VALUE"""),"https://www.freep.com/story/news/local/michigan/wayne/2018/01/27/dearborn-high-school-shooting/1071836001/")</f>
        <v>https://www.freep.com/story/news/local/michigan/wayne/2018/01/27/dearborn-high-school-shooting/1071836001/</v>
      </c>
      <c r="L988" s="5"/>
      <c r="M988" s="5"/>
      <c r="N988" s="5">
        <f ca="1">IFERROR(__xludf.DUMMYFUNCTION("""COMPUTED_VALUE"""),2)</f>
        <v>2</v>
      </c>
      <c r="O988" s="5" t="str">
        <f ca="1">IFERROR(__xludf.DUMMYFUNCTION("""COMPUTED_VALUE"""),"Winter")</f>
        <v>Winter</v>
      </c>
      <c r="P988" s="5" t="str">
        <f ca="1">IFERROR(__xludf.DUMMYFUNCTION("""COMPUTED_VALUE"""),"Dearborn")</f>
        <v>Dearborn</v>
      </c>
      <c r="Q988" s="5" t="str">
        <f ca="1">IFERROR(__xludf.DUMMYFUNCTION("""COMPUTED_VALUE"""),"MI")</f>
        <v>MI</v>
      </c>
      <c r="R988" s="5" t="str">
        <f ca="1">IFERROR(__xludf.DUMMYFUNCTION("""COMPUTED_VALUE"""),"High")</f>
        <v>High</v>
      </c>
      <c r="S988" s="5" t="str">
        <f ca="1">IFERROR(__xludf.DUMMYFUNCTION("""COMPUTED_VALUE"""),"Parking Lot")</f>
        <v>Parking Lot</v>
      </c>
      <c r="T988" s="5" t="str">
        <f ca="1">IFERROR(__xludf.DUMMYFUNCTION("""COMPUTED_VALUE"""),"Outside on School Property")</f>
        <v>Outside on School Property</v>
      </c>
      <c r="U988" s="5" t="str">
        <f ca="1">IFERROR(__xludf.DUMMYFUNCTION("""COMPUTED_VALUE"""),"No")</f>
        <v>No</v>
      </c>
      <c r="V988" s="5" t="str">
        <f ca="1">IFERROR(__xludf.DUMMYFUNCTION("""COMPUTED_VALUE"""),"Sport Event")</f>
        <v>Sport Event</v>
      </c>
      <c r="W988" s="10">
        <f ca="1">IFERROR(__xludf.DUMMYFUNCTION("""COMPUTED_VALUE"""),0.833333333333333)</f>
        <v>0.83333333333333304</v>
      </c>
      <c r="X988" s="5">
        <f ca="1">IFERROR(__xludf.DUMMYFUNCTION("""COMPUTED_VALUE"""),1)</f>
        <v>1</v>
      </c>
      <c r="Y988" s="5" t="str">
        <f ca="1">IFERROR(__xludf.DUMMYFUNCTION("""COMPUTED_VALUE"""),"Fight in the hallway between students resulted in shooting in the parking lot")</f>
        <v>Fight in the hallway between students resulted in shooting in the parking lot</v>
      </c>
      <c r="Z988" s="5" t="str">
        <f ca="1">IFERROR(__xludf.DUMMYFUNCTION("""COMPUTED_VALUE"""),"Fight in the hallway of the school during a basketball game. Fight involved students from two different schools. Shots were fired later in the parking lot but no one was injured. Unknown suspect.")</f>
        <v>Fight in the hallway of the school during a basketball game. Fight involved students from two different schools. Shots were fired later in the parking lot but no one was injured. Unknown suspect.</v>
      </c>
      <c r="AA988" s="5" t="str">
        <f ca="1">IFERROR(__xludf.DUMMYFUNCTION("""COMPUTED_VALUE"""),"Escalation of Dispute")</f>
        <v>Escalation of Dispute</v>
      </c>
      <c r="AB988" s="5"/>
      <c r="AC988" s="5" t="str">
        <f ca="1">IFERROR(__xludf.DUMMYFUNCTION("""COMPUTED_VALUE"""),"Yes")</f>
        <v>Yes</v>
      </c>
      <c r="AD988" s="5" t="str">
        <f ca="1">IFERROR(__xludf.DUMMYFUNCTION("""COMPUTED_VALUE"""),"No")</f>
        <v>No</v>
      </c>
      <c r="AE988" s="5" t="str">
        <f ca="1">IFERROR(__xludf.DUMMYFUNCTION("""COMPUTED_VALUE"""),"No")</f>
        <v>No</v>
      </c>
      <c r="AF988" s="5" t="str">
        <f ca="1">IFERROR(__xludf.DUMMYFUNCTION("""COMPUTED_VALUE"""),"No")</f>
        <v>No</v>
      </c>
      <c r="AG988" s="5" t="str">
        <f ca="1">IFERROR(__xludf.DUMMYFUNCTION("""COMPUTED_VALUE"""),"No")</f>
        <v>No</v>
      </c>
      <c r="AH988" s="5" t="str">
        <f ca="1">IFERROR(__xludf.DUMMYFUNCTION("""COMPUTED_VALUE"""),"No")</f>
        <v>No</v>
      </c>
      <c r="AI988" s="5" t="str">
        <f ca="1">IFERROR(__xludf.DUMMYFUNCTION("""COMPUTED_VALUE"""),"Yes")</f>
        <v>Yes</v>
      </c>
      <c r="AJ988" s="5" t="str">
        <f ca="1">IFERROR(__xludf.DUMMYFUNCTION("""COMPUTED_VALUE"""),"No")</f>
        <v>No</v>
      </c>
    </row>
    <row r="989" spans="1:36" ht="13">
      <c r="A989" s="5" t="str">
        <f ca="1">IFERROR(__xludf.DUMMYFUNCTION("""COMPUTED_VALUE"""),"20180125ALMUM")</f>
        <v>20180125ALMUM</v>
      </c>
      <c r="B989" s="5">
        <f ca="1">IFERROR(__xludf.DUMMYFUNCTION("""COMPUTED_VALUE"""),1)</f>
        <v>1</v>
      </c>
      <c r="C989" s="5">
        <f ca="1">IFERROR(__xludf.DUMMYFUNCTION("""COMPUTED_VALUE"""),25)</f>
        <v>25</v>
      </c>
      <c r="D989" s="5">
        <f ca="1">IFERROR(__xludf.DUMMYFUNCTION("""COMPUTED_VALUE"""),2018)</f>
        <v>2018</v>
      </c>
      <c r="E989" s="8">
        <f ca="1">IFERROR(__xludf.DUMMYFUNCTION("""COMPUTED_VALUE"""),43125)</f>
        <v>43125</v>
      </c>
      <c r="F989" s="5" t="str">
        <f ca="1">IFERROR(__xludf.DUMMYFUNCTION("""COMPUTED_VALUE"""),"Murphy High School")</f>
        <v>Murphy High School</v>
      </c>
      <c r="G989" s="5">
        <f ca="1">IFERROR(__xludf.DUMMYFUNCTION("""COMPUTED_VALUE"""),0)</f>
        <v>0</v>
      </c>
      <c r="H989" s="5">
        <f ca="1">IFERROR(__xludf.DUMMYFUNCTION("""COMPUTED_VALUE"""),0)</f>
        <v>0</v>
      </c>
      <c r="I989" s="5">
        <f ca="1">IFERROR(__xludf.DUMMYFUNCTION("""COMPUTED_VALUE"""),0)</f>
        <v>0</v>
      </c>
      <c r="J989" s="5">
        <f ca="1">IFERROR(__xludf.DUMMYFUNCTION("""COMPUTED_VALUE"""),0)</f>
        <v>0</v>
      </c>
      <c r="K989" s="9" t="str">
        <f ca="1">IFERROR(__xludf.DUMMYFUNCTION("""COMPUTED_VALUE"""),"https://lagniappemobile.com/police-student-fired-weapon-indiscriminately-campus/")</f>
        <v>https://lagniappemobile.com/police-student-fired-weapon-indiscriminately-campus/</v>
      </c>
      <c r="L989" s="5">
        <f ca="1">IFERROR(__xludf.DUMMYFUNCTION("""COMPUTED_VALUE"""),5)</f>
        <v>5</v>
      </c>
      <c r="M989" s="5" t="str">
        <f ca="1">IFERROR(__xludf.DUMMYFUNCTION("""COMPUTED_VALUE"""),"Local")</f>
        <v>Local</v>
      </c>
      <c r="N989" s="5">
        <f ca="1">IFERROR(__xludf.DUMMYFUNCTION("""COMPUTED_VALUE"""),2)</f>
        <v>2</v>
      </c>
      <c r="O989" s="5" t="str">
        <f ca="1">IFERROR(__xludf.DUMMYFUNCTION("""COMPUTED_VALUE"""),"Winter")</f>
        <v>Winter</v>
      </c>
      <c r="P989" s="5" t="str">
        <f ca="1">IFERROR(__xludf.DUMMYFUNCTION("""COMPUTED_VALUE"""),"Mobile")</f>
        <v>Mobile</v>
      </c>
      <c r="Q989" s="5" t="str">
        <f ca="1">IFERROR(__xludf.DUMMYFUNCTION("""COMPUTED_VALUE"""),"AL")</f>
        <v>AL</v>
      </c>
      <c r="R989" s="5" t="str">
        <f ca="1">IFERROR(__xludf.DUMMYFUNCTION("""COMPUTED_VALUE"""),"High")</f>
        <v>High</v>
      </c>
      <c r="S989" s="5" t="str">
        <f ca="1">IFERROR(__xludf.DUMMYFUNCTION("""COMPUTED_VALUE"""),"Beside Building")</f>
        <v>Beside Building</v>
      </c>
      <c r="T989" s="5" t="str">
        <f ca="1">IFERROR(__xludf.DUMMYFUNCTION("""COMPUTED_VALUE"""),"Outside on School Property")</f>
        <v>Outside on School Property</v>
      </c>
      <c r="U989" s="5" t="str">
        <f ca="1">IFERROR(__xludf.DUMMYFUNCTION("""COMPUTED_VALUE"""),"Yes")</f>
        <v>Yes</v>
      </c>
      <c r="V989" s="5" t="str">
        <f ca="1">IFERROR(__xludf.DUMMYFUNCTION("""COMPUTED_VALUE"""),"Morning Classes")</f>
        <v>Morning Classes</v>
      </c>
      <c r="W989" s="10">
        <f ca="1">IFERROR(__xludf.DUMMYFUNCTION("""COMPUTED_VALUE"""),0.472222222222222)</f>
        <v>0.47222222222222199</v>
      </c>
      <c r="X989" s="5">
        <f ca="1">IFERROR(__xludf.DUMMYFUNCTION("""COMPUTED_VALUE"""),1)</f>
        <v>1</v>
      </c>
      <c r="Y989" s="5" t="str">
        <f ca="1">IFERROR(__xludf.DUMMYFUNCTION("""COMPUTED_VALUE"""),"Argument escalated")</f>
        <v>Argument escalated</v>
      </c>
      <c r="Z989" s="5" t="str">
        <f ca="1">IFERROR(__xludf.DUMMYFUNCTION("""COMPUTED_VALUE"""),"An altercation between 2 students escalated, shooter pulled a gun and pointed it at the other student and members of the staff, who were trying to calm him down. Shooter went outside and shot several shots in the air. School principal also engaged the sho"&amp;"oter, who was arrested shortly after. School went on lockdown immediately after the shots were fired. No one was hurt.")</f>
        <v>An altercation between 2 students escalated, shooter pulled a gun and pointed it at the other student and members of the staff, who were trying to calm him down. Shooter went outside and shot several shots in the air. School principal also engaged the shooter, who was arrested shortly after. School went on lockdown immediately after the shots were fired. No one was hurt.</v>
      </c>
      <c r="AA989" s="5" t="str">
        <f ca="1">IFERROR(__xludf.DUMMYFUNCTION("""COMPUTED_VALUE"""),"Escalation of Dispute")</f>
        <v>Escalation of Dispute</v>
      </c>
      <c r="AB989" s="5" t="str">
        <f ca="1">IFERROR(__xludf.DUMMYFUNCTION("""COMPUTED_VALUE"""),"Victims Targeted")</f>
        <v>Victims Targeted</v>
      </c>
      <c r="AC989" s="5" t="str">
        <f ca="1">IFERROR(__xludf.DUMMYFUNCTION("""COMPUTED_VALUE"""),"No")</f>
        <v>No</v>
      </c>
      <c r="AD989" s="5" t="str">
        <f ca="1">IFERROR(__xludf.DUMMYFUNCTION("""COMPUTED_VALUE"""),"No")</f>
        <v>No</v>
      </c>
      <c r="AE989" s="5" t="str">
        <f ca="1">IFERROR(__xludf.DUMMYFUNCTION("""COMPUTED_VALUE"""),"No")</f>
        <v>No</v>
      </c>
      <c r="AF989" s="5" t="str">
        <f ca="1">IFERROR(__xludf.DUMMYFUNCTION("""COMPUTED_VALUE"""),"No")</f>
        <v>No</v>
      </c>
      <c r="AG989" s="5"/>
      <c r="AH989" s="5" t="str">
        <f ca="1">IFERROR(__xludf.DUMMYFUNCTION("""COMPUTED_VALUE"""),"No")</f>
        <v>No</v>
      </c>
      <c r="AI989" s="5" t="str">
        <f ca="1">IFERROR(__xludf.DUMMYFUNCTION("""COMPUTED_VALUE"""),"No")</f>
        <v>No</v>
      </c>
      <c r="AJ989" s="5" t="str">
        <f ca="1">IFERROR(__xludf.DUMMYFUNCTION("""COMPUTED_VALUE"""),"No")</f>
        <v>No</v>
      </c>
    </row>
    <row r="990" spans="1:36" ht="13">
      <c r="A990" s="5" t="str">
        <f ca="1">IFERROR(__xludf.DUMMYFUNCTION("""COMPUTED_VALUE"""),"20180123KYMAB")</f>
        <v>20180123KYMAB</v>
      </c>
      <c r="B990" s="5">
        <f ca="1">IFERROR(__xludf.DUMMYFUNCTION("""COMPUTED_VALUE"""),1)</f>
        <v>1</v>
      </c>
      <c r="C990" s="5">
        <f ca="1">IFERROR(__xludf.DUMMYFUNCTION("""COMPUTED_VALUE"""),23)</f>
        <v>23</v>
      </c>
      <c r="D990" s="5">
        <f ca="1">IFERROR(__xludf.DUMMYFUNCTION("""COMPUTED_VALUE"""),2018)</f>
        <v>2018</v>
      </c>
      <c r="E990" s="8">
        <f ca="1">IFERROR(__xludf.DUMMYFUNCTION("""COMPUTED_VALUE"""),43123)</f>
        <v>43123</v>
      </c>
      <c r="F990" s="5" t="str">
        <f ca="1">IFERROR(__xludf.DUMMYFUNCTION("""COMPUTED_VALUE"""),"Marshall County High School")</f>
        <v>Marshall County High School</v>
      </c>
      <c r="G990" s="5">
        <f ca="1">IFERROR(__xludf.DUMMYFUNCTION("""COMPUTED_VALUE"""),2)</f>
        <v>2</v>
      </c>
      <c r="H990" s="5">
        <f ca="1">IFERROR(__xludf.DUMMYFUNCTION("""COMPUTED_VALUE"""),18)</f>
        <v>18</v>
      </c>
      <c r="I990" s="5">
        <f ca="1">IFERROR(__xludf.DUMMYFUNCTION("""COMPUTED_VALUE"""),20)</f>
        <v>20</v>
      </c>
      <c r="J990" s="5">
        <f ca="1">IFERROR(__xludf.DUMMYFUNCTION("""COMPUTED_VALUE"""),0)</f>
        <v>0</v>
      </c>
      <c r="K990" s="5" t="str">
        <f ca="1">IFERROR(__xludf.DUMMYFUNCTION("""COMPUTED_VALUE"""),"https://www.courier-journal.com/story/news/local/2018/03/07/marshall-county-school-shooting-gabe-parker-experiment-motive/403035002/ http://wkms.org/post/search-warrants-reveal-details-about-accused-marshall-co-high-school-shooter https://www.courier-jour"&amp;"nal.com/story/news/crime/2019/07/18/marshall-county-school-shooting-suspects-statements-to-police-could-be-thrown-out/1767777001/ https://www.messenger-inquirer.com/news/marshall-county-superintendent-recounts-high-school-shooting/article_57101679-76c8-53"&amp;"e8-90a1-83ce8cd9d1a2.html https://www.wpsdlocal6.com/marshall-county-high-school-shooter-pleads-guilty/article_4b63a58e-8a01-11ea-ae85-fb3abffe24b7.html")</f>
        <v>https://www.courier-journal.com/story/news/local/2018/03/07/marshall-county-school-shooting-gabe-parker-experiment-motive/403035002/ http://wkms.org/post/search-warrants-reveal-details-about-accused-marshall-co-high-school-shooter https://www.courier-journal.com/story/news/crime/2019/07/18/marshall-county-school-shooting-suspects-statements-to-police-could-be-thrown-out/1767777001/ https://www.messenger-inquirer.com/news/marshall-county-superintendent-recounts-high-school-shooting/article_57101679-76c8-53e8-90a1-83ce8cd9d1a2.html https://www.wpsdlocal6.com/marshall-county-high-school-shooter-pleads-guilty/article_4b63a58e-8a01-11ea-ae85-fb3abffe24b7.html</v>
      </c>
      <c r="L990" s="5">
        <f ca="1">IFERROR(__xludf.DUMMYFUNCTION("""COMPUTED_VALUE"""),11)</f>
        <v>11</v>
      </c>
      <c r="M990" s="5" t="str">
        <f ca="1">IFERROR(__xludf.DUMMYFUNCTION("""COMPUTED_VALUE"""),"National")</f>
        <v>National</v>
      </c>
      <c r="N990" s="5">
        <f ca="1">IFERROR(__xludf.DUMMYFUNCTION("""COMPUTED_VALUE"""),4)</f>
        <v>4</v>
      </c>
      <c r="O990" s="5" t="str">
        <f ca="1">IFERROR(__xludf.DUMMYFUNCTION("""COMPUTED_VALUE"""),"Winter")</f>
        <v>Winter</v>
      </c>
      <c r="P990" s="5" t="str">
        <f ca="1">IFERROR(__xludf.DUMMYFUNCTION("""COMPUTED_VALUE"""),"Benton")</f>
        <v>Benton</v>
      </c>
      <c r="Q990" s="5" t="str">
        <f ca="1">IFERROR(__xludf.DUMMYFUNCTION("""COMPUTED_VALUE"""),"KY")</f>
        <v>KY</v>
      </c>
      <c r="R990" s="5" t="str">
        <f ca="1">IFERROR(__xludf.DUMMYFUNCTION("""COMPUTED_VALUE"""),"High")</f>
        <v>High</v>
      </c>
      <c r="S990" s="5" t="str">
        <f ca="1">IFERROR(__xludf.DUMMYFUNCTION("""COMPUTED_VALUE"""),"Hallway")</f>
        <v>Hallway</v>
      </c>
      <c r="T990" s="5" t="str">
        <f ca="1">IFERROR(__xludf.DUMMYFUNCTION("""COMPUTED_VALUE"""),"Inside School Building")</f>
        <v>Inside School Building</v>
      </c>
      <c r="U990" s="5" t="str">
        <f ca="1">IFERROR(__xludf.DUMMYFUNCTION("""COMPUTED_VALUE"""),"Yes")</f>
        <v>Yes</v>
      </c>
      <c r="V990" s="5" t="str">
        <f ca="1">IFERROR(__xludf.DUMMYFUNCTION("""COMPUTED_VALUE"""),"Morning Classes")</f>
        <v>Morning Classes</v>
      </c>
      <c r="W990" s="10">
        <f ca="1">IFERROR(__xludf.DUMMYFUNCTION("""COMPUTED_VALUE"""),0.33125)</f>
        <v>0.33124999999999999</v>
      </c>
      <c r="X990" s="5">
        <f ca="1">IFERROR(__xludf.DUMMYFUNCTION("""COMPUTED_VALUE"""),3)</f>
        <v>3</v>
      </c>
      <c r="Y990" s="5" t="str">
        <f ca="1">IFERROR(__xludf.DUMMYFUNCTION("""COMPUTED_VALUE"""),"Planned attack. Shooting was science experiment to see how people reacted; belief human life has no purpose.")</f>
        <v>Planned attack. Shooting was science experiment to see how people reacted; belief human life has no purpose.</v>
      </c>
      <c r="Z990" s="5" t="str">
        <f ca="1">IFERROR(__xludf.DUMMYFUNCTION("""COMPUTED_VALUE"""),"Shooter brought a gun, 2 mags, and a hunting knife to school to defend self from students after he ran out of bullets. Started shooting inside the building.Told police he had been thinking about shooting for week. After he stopped shooting, heevacuated wi"&amp;"th the other students then surrendered without fighting. Thought about suicide but didn't want additional trauma to his family. Played games related to WW2. Interested in science and thought of the shooting as an experiment to test reactions, and was curi"&amp;"ous about prison life. Step-sister claims he was bullied.")</f>
        <v>Shooter brought a gun, 2 mags, and a hunting knife to school to defend self from students after he ran out of bullets. Started shooting inside the building.Told police he had been thinking about shooting for week. After he stopped shooting, heevacuated with the other students then surrendered without fighting. Thought about suicide but didn't want additional trauma to his family. Played games related to WW2. Interested in science and thought of the shooting as an experiment to test reactions, and was curious about prison life. Step-sister claims he was bullied.</v>
      </c>
      <c r="AA990" s="5" t="str">
        <f ca="1">IFERROR(__xludf.DUMMYFUNCTION("""COMPUTED_VALUE"""),"Indiscriminate Shooting")</f>
        <v>Indiscriminate Shooting</v>
      </c>
      <c r="AB990" s="5" t="str">
        <f ca="1">IFERROR(__xludf.DUMMYFUNCTION("""COMPUTED_VALUE"""),"Random Shooting")</f>
        <v>Random Shooting</v>
      </c>
      <c r="AC990" s="5" t="str">
        <f ca="1">IFERROR(__xludf.DUMMYFUNCTION("""COMPUTED_VALUE"""),"No")</f>
        <v>No</v>
      </c>
      <c r="AD990" s="5" t="str">
        <f ca="1">IFERROR(__xludf.DUMMYFUNCTION("""COMPUTED_VALUE"""),"No")</f>
        <v>No</v>
      </c>
      <c r="AE990" s="5" t="str">
        <f ca="1">IFERROR(__xludf.DUMMYFUNCTION("""COMPUTED_VALUE"""),"No")</f>
        <v>No</v>
      </c>
      <c r="AF990" s="5" t="str">
        <f ca="1">IFERROR(__xludf.DUMMYFUNCTION("""COMPUTED_VALUE"""),"No")</f>
        <v>No</v>
      </c>
      <c r="AG990" s="5"/>
      <c r="AH990" s="5" t="str">
        <f ca="1">IFERROR(__xludf.DUMMYFUNCTION("""COMPUTED_VALUE"""),"No")</f>
        <v>No</v>
      </c>
      <c r="AI990" s="5" t="str">
        <f ca="1">IFERROR(__xludf.DUMMYFUNCTION("""COMPUTED_VALUE"""),"No")</f>
        <v>No</v>
      </c>
      <c r="AJ990" s="5" t="str">
        <f ca="1">IFERROR(__xludf.DUMMYFUNCTION("""COMPUTED_VALUE"""),"Yes")</f>
        <v>Yes</v>
      </c>
    </row>
    <row r="991" spans="1:36" ht="13">
      <c r="A991" s="5" t="str">
        <f ca="1">IFERROR(__xludf.DUMMYFUNCTION("""COMPUTED_VALUE"""),"20180122LANEN")</f>
        <v>20180122LANEN</v>
      </c>
      <c r="B991" s="5">
        <f ca="1">IFERROR(__xludf.DUMMYFUNCTION("""COMPUTED_VALUE"""),1)</f>
        <v>1</v>
      </c>
      <c r="C991" s="5">
        <f ca="1">IFERROR(__xludf.DUMMYFUNCTION("""COMPUTED_VALUE"""),22)</f>
        <v>22</v>
      </c>
      <c r="D991" s="5">
        <f ca="1">IFERROR(__xludf.DUMMYFUNCTION("""COMPUTED_VALUE"""),2018)</f>
        <v>2018</v>
      </c>
      <c r="E991" s="8">
        <f ca="1">IFERROR(__xludf.DUMMYFUNCTION("""COMPUTED_VALUE"""),43122)</f>
        <v>43122</v>
      </c>
      <c r="F991" s="5" t="str">
        <f ca="1">IFERROR(__xludf.DUMMYFUNCTION("""COMPUTED_VALUE"""),"NET Charter High School")</f>
        <v>NET Charter High School</v>
      </c>
      <c r="G991" s="5">
        <f ca="1">IFERROR(__xludf.DUMMYFUNCTION("""COMPUTED_VALUE"""),0)</f>
        <v>0</v>
      </c>
      <c r="H991" s="5">
        <f ca="1">IFERROR(__xludf.DUMMYFUNCTION("""COMPUTED_VALUE"""),0)</f>
        <v>0</v>
      </c>
      <c r="I991" s="5">
        <f ca="1">IFERROR(__xludf.DUMMYFUNCTION("""COMPUTED_VALUE"""),0)</f>
        <v>0</v>
      </c>
      <c r="J991" s="5">
        <f ca="1">IFERROR(__xludf.DUMMYFUNCTION("""COMPUTED_VALUE"""),0)</f>
        <v>0</v>
      </c>
      <c r="K991" s="9" t="str">
        <f ca="1">IFERROR(__xludf.DUMMYFUNCTION("""COMPUTED_VALUE"""),"http://www.nola.com/crime/index.ssf/2018/02/how_many_school_shootings_2018.html")</f>
        <v>http://www.nola.com/crime/index.ssf/2018/02/how_many_school_shootings_2018.html</v>
      </c>
      <c r="L991" s="5">
        <f ca="1">IFERROR(__xludf.DUMMYFUNCTION("""COMPUTED_VALUE"""),5)</f>
        <v>5</v>
      </c>
      <c r="M991" s="5" t="str">
        <f ca="1">IFERROR(__xludf.DUMMYFUNCTION("""COMPUTED_VALUE"""),"Local")</f>
        <v>Local</v>
      </c>
      <c r="N991" s="5">
        <f ca="1">IFERROR(__xludf.DUMMYFUNCTION("""COMPUTED_VALUE"""),2)</f>
        <v>2</v>
      </c>
      <c r="O991" s="5" t="str">
        <f ca="1">IFERROR(__xludf.DUMMYFUNCTION("""COMPUTED_VALUE"""),"Winter")</f>
        <v>Winter</v>
      </c>
      <c r="P991" s="5" t="str">
        <f ca="1">IFERROR(__xludf.DUMMYFUNCTION("""COMPUTED_VALUE"""),"New Orleans")</f>
        <v>New Orleans</v>
      </c>
      <c r="Q991" s="5" t="str">
        <f ca="1">IFERROR(__xludf.DUMMYFUNCTION("""COMPUTED_VALUE"""),"LA")</f>
        <v>LA</v>
      </c>
      <c r="R991" s="5" t="str">
        <f ca="1">IFERROR(__xludf.DUMMYFUNCTION("""COMPUTED_VALUE"""),"High")</f>
        <v>High</v>
      </c>
      <c r="S991" s="5" t="str">
        <f ca="1">IFERROR(__xludf.DUMMYFUNCTION("""COMPUTED_VALUE"""),"Front of School")</f>
        <v>Front of School</v>
      </c>
      <c r="T991" s="5" t="str">
        <f ca="1">IFERROR(__xludf.DUMMYFUNCTION("""COMPUTED_VALUE"""),"Outside on School Property")</f>
        <v>Outside on School Property</v>
      </c>
      <c r="U991" s="5" t="str">
        <f ca="1">IFERROR(__xludf.DUMMYFUNCTION("""COMPUTED_VALUE"""),"Yes")</f>
        <v>Yes</v>
      </c>
      <c r="V991" s="5" t="str">
        <f ca="1">IFERROR(__xludf.DUMMYFUNCTION("""COMPUTED_VALUE"""),"Afternoon Classes")</f>
        <v>Afternoon Classes</v>
      </c>
      <c r="W991" s="10">
        <f ca="1">IFERROR(__xludf.DUMMYFUNCTION("""COMPUTED_VALUE"""),0.5625)</f>
        <v>0.5625</v>
      </c>
      <c r="X991" s="5">
        <f ca="1">IFERROR(__xludf.DUMMYFUNCTION("""COMPUTED_VALUE"""),1)</f>
        <v>1</v>
      </c>
      <c r="Y991" s="5" t="str">
        <f ca="1">IFERROR(__xludf.DUMMYFUNCTION("""COMPUTED_VALUE"""),"Drive-by shooting in front of school")</f>
        <v>Drive-by shooting in front of school</v>
      </c>
      <c r="Z991" s="5" t="str">
        <f ca="1">IFERROR(__xludf.DUMMYFUNCTION("""COMPUTED_VALUE"""),"Drive-by shooting. Occupant of a pickup truck fired at a group of students outside the school. None were injured from the shooting, one student had superficial abrasions. Police reported it was likely gang related. One student tested positive for gunpowde"&amp;"r residue but his involvement was not confirmed; another student had ammo and was arrested.")</f>
        <v>Drive-by shooting. Occupant of a pickup truck fired at a group of students outside the school. None were injured from the shooting, one student had superficial abrasions. Police reported it was likely gang related. One student tested positive for gunpowder residue but his involvement was not confirmed; another student had ammo and was arrested.</v>
      </c>
      <c r="AA991" s="5" t="str">
        <f ca="1">IFERROR(__xludf.DUMMYFUNCTION("""COMPUTED_VALUE"""),"Drive-by Shooting")</f>
        <v>Drive-by Shooting</v>
      </c>
      <c r="AB991" s="5" t="str">
        <f ca="1">IFERROR(__xludf.DUMMYFUNCTION("""COMPUTED_VALUE"""),"Victims Targeted")</f>
        <v>Victims Targeted</v>
      </c>
      <c r="AC991" s="5"/>
      <c r="AD991" s="5" t="str">
        <f ca="1">IFERROR(__xludf.DUMMYFUNCTION("""COMPUTED_VALUE"""),"No")</f>
        <v>No</v>
      </c>
      <c r="AE991" s="5" t="str">
        <f ca="1">IFERROR(__xludf.DUMMYFUNCTION("""COMPUTED_VALUE"""),"No")</f>
        <v>No</v>
      </c>
      <c r="AF991" s="5" t="str">
        <f ca="1">IFERROR(__xludf.DUMMYFUNCTION("""COMPUTED_VALUE"""),"No")</f>
        <v>No</v>
      </c>
      <c r="AG991" s="5" t="str">
        <f ca="1">IFERROR(__xludf.DUMMYFUNCTION("""COMPUTED_VALUE"""),"No")</f>
        <v>No</v>
      </c>
      <c r="AH991" s="5" t="str">
        <f ca="1">IFERROR(__xludf.DUMMYFUNCTION("""COMPUTED_VALUE"""),"No")</f>
        <v>No</v>
      </c>
      <c r="AI991" s="5" t="str">
        <f ca="1">IFERROR(__xludf.DUMMYFUNCTION("""COMPUTED_VALUE"""),"Yes")</f>
        <v>Yes</v>
      </c>
      <c r="AJ991" s="5" t="str">
        <f ca="1">IFERROR(__xludf.DUMMYFUNCTION("""COMPUTED_VALUE"""),"No")</f>
        <v>No</v>
      </c>
    </row>
    <row r="992" spans="1:36" ht="13">
      <c r="A992" s="5" t="str">
        <f ca="1">IFERROR(__xludf.DUMMYFUNCTION("""COMPUTED_VALUE"""),"20180122TXITI")</f>
        <v>20180122TXITI</v>
      </c>
      <c r="B992" s="5">
        <f ca="1">IFERROR(__xludf.DUMMYFUNCTION("""COMPUTED_VALUE"""),1)</f>
        <v>1</v>
      </c>
      <c r="C992" s="5">
        <f ca="1">IFERROR(__xludf.DUMMYFUNCTION("""COMPUTED_VALUE"""),22)</f>
        <v>22</v>
      </c>
      <c r="D992" s="5">
        <f ca="1">IFERROR(__xludf.DUMMYFUNCTION("""COMPUTED_VALUE"""),2018)</f>
        <v>2018</v>
      </c>
      <c r="E992" s="8">
        <f ca="1">IFERROR(__xludf.DUMMYFUNCTION("""COMPUTED_VALUE"""),43122)</f>
        <v>43122</v>
      </c>
      <c r="F992" s="5" t="str">
        <f ca="1">IFERROR(__xludf.DUMMYFUNCTION("""COMPUTED_VALUE"""),"Italy High School")</f>
        <v>Italy High School</v>
      </c>
      <c r="G992" s="5">
        <f ca="1">IFERROR(__xludf.DUMMYFUNCTION("""COMPUTED_VALUE"""),0)</f>
        <v>0</v>
      </c>
      <c r="H992" s="5">
        <f ca="1">IFERROR(__xludf.DUMMYFUNCTION("""COMPUTED_VALUE"""),1)</f>
        <v>1</v>
      </c>
      <c r="I992" s="5">
        <f ca="1">IFERROR(__xludf.DUMMYFUNCTION("""COMPUTED_VALUE"""),1)</f>
        <v>1</v>
      </c>
      <c r="J992" s="5">
        <f ca="1">IFERROR(__xludf.DUMMYFUNCTION("""COMPUTED_VALUE"""),0)</f>
        <v>0</v>
      </c>
      <c r="K992" s="5" t="str">
        <f ca="1">IFERROR(__xludf.DUMMYFUNCTION("""COMPUTED_VALUE"""),"https://www.nbcnews.com/news/us-news/texas-teen-charged-assault-italy-high-school-shooting-n840301 https://www.kxan.com/news/texas/texas-teen-sentenced-for-school-shooting-that-wounded-girl/ https://dfw.cbslocal.com/2019/06/24/italy-high-school-shooting-v"&amp;"ictim-to-chad-padilla-i-see-you-everywhere-i-see-you-killing-me/ https://www.wfaa.com/article/news/crime/italy-school-shooting-town-talks-of-trouble-in-suspects-past/287-510451160")</f>
        <v>https://www.nbcnews.com/news/us-news/texas-teen-charged-assault-italy-high-school-shooting-n840301 https://www.kxan.com/news/texas/texas-teen-sentenced-for-school-shooting-that-wounded-girl/ https://dfw.cbslocal.com/2019/06/24/italy-high-school-shooting-victim-to-chad-padilla-i-see-you-everywhere-i-see-you-killing-me/ https://www.wfaa.com/article/news/crime/italy-school-shooting-town-talks-of-trouble-in-suspects-past/287-510451160</v>
      </c>
      <c r="L992" s="5">
        <f ca="1">IFERROR(__xludf.DUMMYFUNCTION("""COMPUTED_VALUE"""),11)</f>
        <v>11</v>
      </c>
      <c r="M992" s="5" t="str">
        <f ca="1">IFERROR(__xludf.DUMMYFUNCTION("""COMPUTED_VALUE"""),"National")</f>
        <v>National</v>
      </c>
      <c r="N992" s="5">
        <f ca="1">IFERROR(__xludf.DUMMYFUNCTION("""COMPUTED_VALUE"""),4)</f>
        <v>4</v>
      </c>
      <c r="O992" s="5" t="str">
        <f ca="1">IFERROR(__xludf.DUMMYFUNCTION("""COMPUTED_VALUE"""),"Winter")</f>
        <v>Winter</v>
      </c>
      <c r="P992" s="5" t="str">
        <f ca="1">IFERROR(__xludf.DUMMYFUNCTION("""COMPUTED_VALUE"""),"Italy")</f>
        <v>Italy</v>
      </c>
      <c r="Q992" s="5" t="str">
        <f ca="1">IFERROR(__xludf.DUMMYFUNCTION("""COMPUTED_VALUE"""),"TX")</f>
        <v>TX</v>
      </c>
      <c r="R992" s="5" t="str">
        <f ca="1">IFERROR(__xludf.DUMMYFUNCTION("""COMPUTED_VALUE"""),"High")</f>
        <v>High</v>
      </c>
      <c r="S992" s="5" t="str">
        <f ca="1">IFERROR(__xludf.DUMMYFUNCTION("""COMPUTED_VALUE"""),"Cafeteria")</f>
        <v>Cafeteria</v>
      </c>
      <c r="T992" s="5" t="str">
        <f ca="1">IFERROR(__xludf.DUMMYFUNCTION("""COMPUTED_VALUE"""),"Inside School Building")</f>
        <v>Inside School Building</v>
      </c>
      <c r="U992" s="5" t="str">
        <f ca="1">IFERROR(__xludf.DUMMYFUNCTION("""COMPUTED_VALUE"""),"Yes")</f>
        <v>Yes</v>
      </c>
      <c r="V992" s="5" t="str">
        <f ca="1">IFERROR(__xludf.DUMMYFUNCTION("""COMPUTED_VALUE"""),"Before School")</f>
        <v>Before School</v>
      </c>
      <c r="W992" s="10">
        <f ca="1">IFERROR(__xludf.DUMMYFUNCTION("""COMPUTED_VALUE"""),0.328472222222222)</f>
        <v>0.328472222222222</v>
      </c>
      <c r="X992" s="5">
        <f ca="1">IFERROR(__xludf.DUMMYFUNCTION("""COMPUTED_VALUE"""),1)</f>
        <v>1</v>
      </c>
      <c r="Y992" s="5" t="str">
        <f ca="1">IFERROR(__xludf.DUMMYFUNCTION("""COMPUTED_VALUE"""),"Shot ex-girlfriend after break-up")</f>
        <v>Shot ex-girlfriend after break-up</v>
      </c>
      <c r="Z992" s="5" t="str">
        <f ca="1">IFERROR(__xludf.DUMMYFUNCTION("""COMPUTED_VALUE"""),"Shooter wore a black trench coat and fired multiple shots at the victim in the cafeteria. Shooter was confronted by a school employee and fled. Had violent past episodes in school and other students described the shooter as violent. Victims parents notifi"&amp;"ed the school that the shooter had attempted to attack the victim with scissors. Shooter had previously written a hit list that was found by school officials. Break-up likely contributed to the shooting.  In court, the victim said she had hugged the shoot"&amp;"er, asked him to sit and told him he appeared angry. She said that’s when he drew back, told her, “Sorry it had to end this way,” and shot her repeatedly. Students said they had reported problems with the shooter to school officials before the shooting.")</f>
        <v>Shooter wore a black trench coat and fired multiple shots at the victim in the cafeteria. Shooter was confronted by a school employee and fled. Had violent past episodes in school and other students described the shooter as violent. Victims parents notified the school that the shooter had attempted to attack the victim with scissors. Shooter had previously written a hit list that was found by school officials. Break-up likely contributed to the shooting.  In court, the victim said she had hugged the shooter, asked him to sit and told him he appeared angry. She said that’s when he drew back, told her, “Sorry it had to end this way,” and shot her repeatedly. Students said they had reported problems with the shooter to school officials before the shooting.</v>
      </c>
      <c r="AA992" s="5" t="str">
        <f ca="1">IFERROR(__xludf.DUMMYFUNCTION("""COMPUTED_VALUE"""),"Domestic w/ Targeted Victim")</f>
        <v>Domestic w/ Targeted Victim</v>
      </c>
      <c r="AB992" s="5" t="str">
        <f ca="1">IFERROR(__xludf.DUMMYFUNCTION("""COMPUTED_VALUE"""),"Victims Targeted")</f>
        <v>Victims Targeted</v>
      </c>
      <c r="AC992" s="5"/>
      <c r="AD992" s="5" t="str">
        <f ca="1">IFERROR(__xludf.DUMMYFUNCTION("""COMPUTED_VALUE"""),"No")</f>
        <v>No</v>
      </c>
      <c r="AE992" s="5" t="str">
        <f ca="1">IFERROR(__xludf.DUMMYFUNCTION("""COMPUTED_VALUE"""),"No")</f>
        <v>No</v>
      </c>
      <c r="AF992" s="5" t="str">
        <f ca="1">IFERROR(__xludf.DUMMYFUNCTION("""COMPUTED_VALUE"""),"No")</f>
        <v>No</v>
      </c>
      <c r="AG992" s="5" t="str">
        <f ca="1">IFERROR(__xludf.DUMMYFUNCTION("""COMPUTED_VALUE"""),"No")</f>
        <v>No</v>
      </c>
      <c r="AH992" s="5" t="str">
        <f ca="1">IFERROR(__xludf.DUMMYFUNCTION("""COMPUTED_VALUE"""),"Yes")</f>
        <v>Yes</v>
      </c>
      <c r="AI992" s="5" t="str">
        <f ca="1">IFERROR(__xludf.DUMMYFUNCTION("""COMPUTED_VALUE"""),"No")</f>
        <v>No</v>
      </c>
      <c r="AJ992" s="5" t="str">
        <f ca="1">IFERROR(__xludf.DUMMYFUNCTION("""COMPUTED_VALUE"""),"Yes")</f>
        <v>Yes</v>
      </c>
    </row>
    <row r="993" spans="1:36" ht="13">
      <c r="A993" s="5" t="str">
        <f ca="1">IFERROR(__xludf.DUMMYFUNCTION("""COMPUTED_VALUE"""),"20180116VTMOM")</f>
        <v>20180116VTMOM</v>
      </c>
      <c r="B993" s="5">
        <f ca="1">IFERROR(__xludf.DUMMYFUNCTION("""COMPUTED_VALUE"""),1)</f>
        <v>1</v>
      </c>
      <c r="C993" s="5">
        <f ca="1">IFERROR(__xludf.DUMMYFUNCTION("""COMPUTED_VALUE"""),16)</f>
        <v>16</v>
      </c>
      <c r="D993" s="5">
        <f ca="1">IFERROR(__xludf.DUMMYFUNCTION("""COMPUTED_VALUE"""),2018)</f>
        <v>2018</v>
      </c>
      <c r="E993" s="8">
        <f ca="1">IFERROR(__xludf.DUMMYFUNCTION("""COMPUTED_VALUE"""),43116)</f>
        <v>43116</v>
      </c>
      <c r="F993" s="5" t="str">
        <f ca="1">IFERROR(__xludf.DUMMYFUNCTION("""COMPUTED_VALUE"""),"Montpelier High School")</f>
        <v>Montpelier High School</v>
      </c>
      <c r="G993" s="5">
        <f ca="1">IFERROR(__xludf.DUMMYFUNCTION("""COMPUTED_VALUE"""),0)</f>
        <v>0</v>
      </c>
      <c r="H993" s="5">
        <f ca="1">IFERROR(__xludf.DUMMYFUNCTION("""COMPUTED_VALUE"""),0)</f>
        <v>0</v>
      </c>
      <c r="I993" s="5">
        <f ca="1">IFERROR(__xludf.DUMMYFUNCTION("""COMPUTED_VALUE"""),0)</f>
        <v>0</v>
      </c>
      <c r="J993" s="5">
        <f ca="1">IFERROR(__xludf.DUMMYFUNCTION("""COMPUTED_VALUE"""),1)</f>
        <v>1</v>
      </c>
      <c r="K993" s="5" t="str">
        <f ca="1">IFERROR(__xludf.DUMMYFUNCTION("""COMPUTED_VALUE"""),"https://www.burlingtonfreepress.com/videos/news/2018/04/18/new-video-montpelier-fatal-police-shooting/530435002/ https://vtdigger.org/2018/01/16/armed-robbery-vermont-state-employees-credit-union-ends-standoff-montpelier-high-school/")</f>
        <v>https://www.burlingtonfreepress.com/videos/news/2018/04/18/new-video-montpelier-fatal-police-shooting/530435002/ https://vtdigger.org/2018/01/16/armed-robbery-vermont-state-employees-credit-union-ends-standoff-montpelier-high-school/</v>
      </c>
      <c r="L993" s="5"/>
      <c r="M993" s="5"/>
      <c r="N993" s="5">
        <f ca="1">IFERROR(__xludf.DUMMYFUNCTION("""COMPUTED_VALUE"""),4)</f>
        <v>4</v>
      </c>
      <c r="O993" s="5" t="str">
        <f ca="1">IFERROR(__xludf.DUMMYFUNCTION("""COMPUTED_VALUE"""),"Winter")</f>
        <v>Winter</v>
      </c>
      <c r="P993" s="5" t="str">
        <f ca="1">IFERROR(__xludf.DUMMYFUNCTION("""COMPUTED_VALUE"""),"Montpelier")</f>
        <v>Montpelier</v>
      </c>
      <c r="Q993" s="5" t="str">
        <f ca="1">IFERROR(__xludf.DUMMYFUNCTION("""COMPUTED_VALUE"""),"VT")</f>
        <v>VT</v>
      </c>
      <c r="R993" s="5" t="str">
        <f ca="1">IFERROR(__xludf.DUMMYFUNCTION("""COMPUTED_VALUE"""),"High")</f>
        <v>High</v>
      </c>
      <c r="S993" s="5" t="str">
        <f ca="1">IFERROR(__xludf.DUMMYFUNCTION("""COMPUTED_VALUE"""),"Outside on School Property")</f>
        <v>Outside on School Property</v>
      </c>
      <c r="T993" s="5" t="str">
        <f ca="1">IFERROR(__xludf.DUMMYFUNCTION("""COMPUTED_VALUE"""),"Outside on School Property")</f>
        <v>Outside on School Property</v>
      </c>
      <c r="U993" s="5" t="str">
        <f ca="1">IFERROR(__xludf.DUMMYFUNCTION("""COMPUTED_VALUE"""),"Yes")</f>
        <v>Yes</v>
      </c>
      <c r="V993" s="5" t="str">
        <f ca="1">IFERROR(__xludf.DUMMYFUNCTION("""COMPUTED_VALUE"""),"Morning Classes")</f>
        <v>Morning Classes</v>
      </c>
      <c r="W993" s="10">
        <f ca="1">IFERROR(__xludf.DUMMYFUNCTION("""COMPUTED_VALUE"""),0.395833333333333)</f>
        <v>0.39583333333333298</v>
      </c>
      <c r="X993" s="5">
        <f ca="1">IFERROR(__xludf.DUMMYFUNCTION("""COMPUTED_VALUE"""),4)</f>
        <v>4</v>
      </c>
      <c r="Y993" s="5" t="str">
        <f ca="1">IFERROR(__xludf.DUMMYFUNCTION("""COMPUTED_VALUE"""),"Armed bank robber shot by officers outside of school")</f>
        <v>Armed bank robber shot by officers outside of school</v>
      </c>
      <c r="Z993" s="5" t="str">
        <f ca="1">IFERROR(__xludf.DUMMYFUNCTION("""COMPUTED_VALUE"""),"Suspect robbed bank and ran onto school property. Police caught up to him and ordered him to drop weapon. When he refused and raised the gun toward the officers, they shot him.")</f>
        <v>Suspect robbed bank and ran onto school property. Police caught up to him and ordered him to drop weapon. When he refused and raised the gun toward the officers, they shot him.</v>
      </c>
      <c r="AA993" s="5" t="str">
        <f ca="1">IFERROR(__xludf.DUMMYFUNCTION("""COMPUTED_VALUE"""),"Illegal Activity")</f>
        <v>Illegal Activity</v>
      </c>
      <c r="AB993" s="5" t="str">
        <f ca="1">IFERROR(__xludf.DUMMYFUNCTION("""COMPUTED_VALUE"""),"Victims Targeted")</f>
        <v>Victims Targeted</v>
      </c>
      <c r="AC993" s="5" t="str">
        <f ca="1">IFERROR(__xludf.DUMMYFUNCTION("""COMPUTED_VALUE"""),"No")</f>
        <v>No</v>
      </c>
      <c r="AD993" s="5" t="str">
        <f ca="1">IFERROR(__xludf.DUMMYFUNCTION("""COMPUTED_VALUE"""),"No")</f>
        <v>No</v>
      </c>
      <c r="AE993" s="5" t="str">
        <f ca="1">IFERROR(__xludf.DUMMYFUNCTION("""COMPUTED_VALUE"""),"No")</f>
        <v>No</v>
      </c>
      <c r="AF993" s="5" t="str">
        <f ca="1">IFERROR(__xludf.DUMMYFUNCTION("""COMPUTED_VALUE"""),"Yes")</f>
        <v>Yes</v>
      </c>
      <c r="AG993" s="5" t="str">
        <f ca="1">IFERROR(__xludf.DUMMYFUNCTION("""COMPUTED_VALUE"""),"N/A")</f>
        <v>N/A</v>
      </c>
      <c r="AH993" s="5" t="str">
        <f ca="1">IFERROR(__xludf.DUMMYFUNCTION("""COMPUTED_VALUE"""),"N/A")</f>
        <v>N/A</v>
      </c>
      <c r="AI993" s="5" t="str">
        <f ca="1">IFERROR(__xludf.DUMMYFUNCTION("""COMPUTED_VALUE"""),"N/A")</f>
        <v>N/A</v>
      </c>
      <c r="AJ993" s="5" t="str">
        <f ca="1">IFERROR(__xludf.DUMMYFUNCTION("""COMPUTED_VALUE"""),"No")</f>
        <v>No</v>
      </c>
    </row>
    <row r="994" spans="1:36" ht="13">
      <c r="A994" s="5" t="str">
        <f ca="1">IFERROR(__xludf.DUMMYFUNCTION("""COMPUTED_VALUE"""),"20180109AZCOS")</f>
        <v>20180109AZCOS</v>
      </c>
      <c r="B994" s="5">
        <f ca="1">IFERROR(__xludf.DUMMYFUNCTION("""COMPUTED_VALUE"""),1)</f>
        <v>1</v>
      </c>
      <c r="C994" s="5">
        <f ca="1">IFERROR(__xludf.DUMMYFUNCTION("""COMPUTED_VALUE"""),9)</f>
        <v>9</v>
      </c>
      <c r="D994" s="5">
        <f ca="1">IFERROR(__xludf.DUMMYFUNCTION("""COMPUTED_VALUE"""),2018)</f>
        <v>2018</v>
      </c>
      <c r="E994" s="8">
        <f ca="1">IFERROR(__xludf.DUMMYFUNCTION("""COMPUTED_VALUE"""),43109)</f>
        <v>43109</v>
      </c>
      <c r="F994" s="5" t="str">
        <f ca="1">IFERROR(__xludf.DUMMYFUNCTION("""COMPUTED_VALUE"""),"Coronado Elementary School")</f>
        <v>Coronado Elementary School</v>
      </c>
      <c r="G994" s="5">
        <f ca="1">IFERROR(__xludf.DUMMYFUNCTION("""COMPUTED_VALUE"""),0)</f>
        <v>0</v>
      </c>
      <c r="H994" s="5">
        <f ca="1">IFERROR(__xludf.DUMMYFUNCTION("""COMPUTED_VALUE"""),0)</f>
        <v>0</v>
      </c>
      <c r="I994" s="5">
        <f ca="1">IFERROR(__xludf.DUMMYFUNCTION("""COMPUTED_VALUE"""),0)</f>
        <v>0</v>
      </c>
      <c r="J994" s="5">
        <f ca="1">IFERROR(__xludf.DUMMYFUNCTION("""COMPUTED_VALUE"""),1)</f>
        <v>1</v>
      </c>
      <c r="K994" s="9" t="str">
        <f ca="1">IFERROR(__xludf.DUMMYFUNCTION("""COMPUTED_VALUE"""),"http://www.tucsonnewsnow.com/story/37226015/school-shooting-cochise-county-coronado-elementary-lockdown-suicide-sierra-vista")</f>
        <v>http://www.tucsonnewsnow.com/story/37226015/school-shooting-cochise-county-coronado-elementary-lockdown-suicide-sierra-vista</v>
      </c>
      <c r="L994" s="5">
        <f ca="1">IFERROR(__xludf.DUMMYFUNCTION("""COMPUTED_VALUE"""),3)</f>
        <v>3</v>
      </c>
      <c r="M994" s="5" t="str">
        <f ca="1">IFERROR(__xludf.DUMMYFUNCTION("""COMPUTED_VALUE"""),"Local")</f>
        <v>Local</v>
      </c>
      <c r="N994" s="5">
        <f ca="1">IFERROR(__xludf.DUMMYFUNCTION("""COMPUTED_VALUE"""),2)</f>
        <v>2</v>
      </c>
      <c r="O994" s="5" t="str">
        <f ca="1">IFERROR(__xludf.DUMMYFUNCTION("""COMPUTED_VALUE"""),"Winter")</f>
        <v>Winter</v>
      </c>
      <c r="P994" s="5" t="str">
        <f ca="1">IFERROR(__xludf.DUMMYFUNCTION("""COMPUTED_VALUE"""),"Sierra Vista")</f>
        <v>Sierra Vista</v>
      </c>
      <c r="Q994" s="5" t="str">
        <f ca="1">IFERROR(__xludf.DUMMYFUNCTION("""COMPUTED_VALUE"""),"AZ")</f>
        <v>AZ</v>
      </c>
      <c r="R994" s="5" t="str">
        <f ca="1">IFERROR(__xludf.DUMMYFUNCTION("""COMPUTED_VALUE"""),"Elementary")</f>
        <v>Elementary</v>
      </c>
      <c r="S994" s="5" t="str">
        <f ca="1">IFERROR(__xludf.DUMMYFUNCTION("""COMPUTED_VALUE"""),"Inside School Building")</f>
        <v>Inside School Building</v>
      </c>
      <c r="T994" s="5" t="str">
        <f ca="1">IFERROR(__xludf.DUMMYFUNCTION("""COMPUTED_VALUE"""),"Inside School Building")</f>
        <v>Inside School Building</v>
      </c>
      <c r="U994" s="5" t="str">
        <f ca="1">IFERROR(__xludf.DUMMYFUNCTION("""COMPUTED_VALUE"""),"Yes")</f>
        <v>Yes</v>
      </c>
      <c r="V994" s="5" t="str">
        <f ca="1">IFERROR(__xludf.DUMMYFUNCTION("""COMPUTED_VALUE"""),"Morning Classes")</f>
        <v>Morning Classes</v>
      </c>
      <c r="W994" s="10">
        <f ca="1">IFERROR(__xludf.DUMMYFUNCTION("""COMPUTED_VALUE"""),0.388888888888888)</f>
        <v>0.38888888888888801</v>
      </c>
      <c r="X994" s="5">
        <f ca="1">IFERROR(__xludf.DUMMYFUNCTION("""COMPUTED_VALUE"""),1)</f>
        <v>1</v>
      </c>
      <c r="Y994" s="5" t="str">
        <f ca="1">IFERROR(__xludf.DUMMYFUNCTION("""COMPUTED_VALUE"""),"Suicide inside of school")</f>
        <v>Suicide inside of school</v>
      </c>
      <c r="Z994" s="5" t="str">
        <f ca="1">IFERROR(__xludf.DUMMYFUNCTION("""COMPUTED_VALUE"""),"Shooter fired single self-inflicted gunshot wound inside the school. School was locked down. No other students were injured. Gun belonged to a family member")</f>
        <v>Shooter fired single self-inflicted gunshot wound inside the school. School was locked down. No other students were injured. Gun belonged to a family member</v>
      </c>
      <c r="AA994" s="5" t="str">
        <f ca="1">IFERROR(__xludf.DUMMYFUNCTION("""COMPUTED_VALUE"""),"Suicide/Attempted")</f>
        <v>Suicide/Attempted</v>
      </c>
      <c r="AB994" s="5" t="str">
        <f ca="1">IFERROR(__xludf.DUMMYFUNCTION("""COMPUTED_VALUE"""),"Victims Targeted")</f>
        <v>Victims Targeted</v>
      </c>
      <c r="AC994" s="5" t="str">
        <f ca="1">IFERROR(__xludf.DUMMYFUNCTION("""COMPUTED_VALUE"""),"No")</f>
        <v>No</v>
      </c>
      <c r="AD994" s="5" t="str">
        <f ca="1">IFERROR(__xludf.DUMMYFUNCTION("""COMPUTED_VALUE"""),"No")</f>
        <v>No</v>
      </c>
      <c r="AE994" s="5" t="str">
        <f ca="1">IFERROR(__xludf.DUMMYFUNCTION("""COMPUTED_VALUE"""),"No")</f>
        <v>No</v>
      </c>
      <c r="AF994" s="5" t="str">
        <f ca="1">IFERROR(__xludf.DUMMYFUNCTION("""COMPUTED_VALUE"""),"No")</f>
        <v>No</v>
      </c>
      <c r="AG994" s="5"/>
      <c r="AH994" s="5" t="str">
        <f ca="1">IFERROR(__xludf.DUMMYFUNCTION("""COMPUTED_VALUE"""),"No")</f>
        <v>No</v>
      </c>
      <c r="AI994" s="5" t="str">
        <f ca="1">IFERROR(__xludf.DUMMYFUNCTION("""COMPUTED_VALUE"""),"No")</f>
        <v>No</v>
      </c>
      <c r="AJ994" s="5" t="str">
        <f ca="1">IFERROR(__xludf.DUMMYFUNCTION("""COMPUTED_VALUE"""),"No")</f>
        <v>No</v>
      </c>
    </row>
    <row r="995" spans="1:36" ht="13">
      <c r="A995" s="5" t="str">
        <f ca="1">IFERROR(__xludf.DUMMYFUNCTION("""COMPUTED_VALUE"""),"20180105IAFOF")</f>
        <v>20180105IAFOF</v>
      </c>
      <c r="B995" s="5">
        <f ca="1">IFERROR(__xludf.DUMMYFUNCTION("""COMPUTED_VALUE"""),1)</f>
        <v>1</v>
      </c>
      <c r="C995" s="5">
        <f ca="1">IFERROR(__xludf.DUMMYFUNCTION("""COMPUTED_VALUE"""),5)</f>
        <v>5</v>
      </c>
      <c r="D995" s="5">
        <f ca="1">IFERROR(__xludf.DUMMYFUNCTION("""COMPUTED_VALUE"""),2018)</f>
        <v>2018</v>
      </c>
      <c r="E995" s="8">
        <f ca="1">IFERROR(__xludf.DUMMYFUNCTION("""COMPUTED_VALUE"""),43105)</f>
        <v>43105</v>
      </c>
      <c r="F995" s="5" t="str">
        <f ca="1">IFERROR(__xludf.DUMMYFUNCTION("""COMPUTED_VALUE"""),"Forest City School Bus")</f>
        <v>Forest City School Bus</v>
      </c>
      <c r="G995" s="5">
        <f ca="1">IFERROR(__xludf.DUMMYFUNCTION("""COMPUTED_VALUE"""),0)</f>
        <v>0</v>
      </c>
      <c r="H995" s="5">
        <f ca="1">IFERROR(__xludf.DUMMYFUNCTION("""COMPUTED_VALUE"""),0)</f>
        <v>0</v>
      </c>
      <c r="I995" s="5">
        <f ca="1">IFERROR(__xludf.DUMMYFUNCTION("""COMPUTED_VALUE"""),0)</f>
        <v>0</v>
      </c>
      <c r="J995" s="5">
        <f ca="1">IFERROR(__xludf.DUMMYFUNCTION("""COMPUTED_VALUE"""),0)</f>
        <v>0</v>
      </c>
      <c r="K995" s="5" t="str">
        <f ca="1">IFERROR(__xludf.DUMMYFUNCTION("""COMPUTED_VALUE"""),"https://globegazette.com/news/local/crime-and-courts/forest-city-man-charged-with-shooting-out-school-bus-window/article_50912f6a-5e04-5025-a60b-d49a7ca3be86.html https://www.kimt.com/content/news/Probation-for-shooting-at-a-school-bus-504625251.html")</f>
        <v>https://globegazette.com/news/local/crime-and-courts/forest-city-man-charged-with-shooting-out-school-bus-window/article_50912f6a-5e04-5025-a60b-d49a7ca3be86.html https://www.kimt.com/content/news/Probation-for-shooting-at-a-school-bus-504625251.html</v>
      </c>
      <c r="L995" s="5"/>
      <c r="M995" s="5"/>
      <c r="N995" s="5">
        <f ca="1">IFERROR(__xludf.DUMMYFUNCTION("""COMPUTED_VALUE"""),4)</f>
        <v>4</v>
      </c>
      <c r="O995" s="5" t="str">
        <f ca="1">IFERROR(__xludf.DUMMYFUNCTION("""COMPUTED_VALUE"""),"Winter")</f>
        <v>Winter</v>
      </c>
      <c r="P995" s="5" t="str">
        <f ca="1">IFERROR(__xludf.DUMMYFUNCTION("""COMPUTED_VALUE"""),"Forest City")</f>
        <v>Forest City</v>
      </c>
      <c r="Q995" s="5" t="str">
        <f ca="1">IFERROR(__xludf.DUMMYFUNCTION("""COMPUTED_VALUE"""),"IA")</f>
        <v>IA</v>
      </c>
      <c r="R995" s="5"/>
      <c r="S995" s="5" t="str">
        <f ca="1">IFERROR(__xludf.DUMMYFUNCTION("""COMPUTED_VALUE"""),"School Bus")</f>
        <v>School Bus</v>
      </c>
      <c r="T995" s="5" t="str">
        <f ca="1">IFERROR(__xludf.DUMMYFUNCTION("""COMPUTED_VALUE"""),"School Bus")</f>
        <v>School Bus</v>
      </c>
      <c r="U995" s="5" t="str">
        <f ca="1">IFERROR(__xludf.DUMMYFUNCTION("""COMPUTED_VALUE"""),"Yes")</f>
        <v>Yes</v>
      </c>
      <c r="V995" s="5" t="str">
        <f ca="1">IFERROR(__xludf.DUMMYFUNCTION("""COMPUTED_VALUE"""),"Before School")</f>
        <v>Before School</v>
      </c>
      <c r="W995" s="5"/>
      <c r="X995" s="5">
        <f ca="1">IFERROR(__xludf.DUMMYFUNCTION("""COMPUTED_VALUE"""),1)</f>
        <v>1</v>
      </c>
      <c r="Y995" s="5" t="str">
        <f ca="1">IFERROR(__xludf.DUMMYFUNCTION("""COMPUTED_VALUE"""),"Shot occupied school bus with high-powered air rifle breaking window")</f>
        <v>Shot occupied school bus with high-powered air rifle breaking window</v>
      </c>
      <c r="Z995" s="5" t="str">
        <f ca="1">IFERROR(__xludf.DUMMYFUNCTION("""COMPUTED_VALUE"""),"33YOM fired high powered air-rifle at occupied school bus breaking a window. No injuries.")</f>
        <v>33YOM fired high powered air-rifle at occupied school bus breaking a window. No injuries.</v>
      </c>
      <c r="AA995" s="5" t="str">
        <f ca="1">IFERROR(__xludf.DUMMYFUNCTION("""COMPUTED_VALUE"""),"Intentional Property Damage")</f>
        <v>Intentional Property Damage</v>
      </c>
      <c r="AB995" s="5" t="str">
        <f ca="1">IFERROR(__xludf.DUMMYFUNCTION("""COMPUTED_VALUE"""),"Neither")</f>
        <v>Neither</v>
      </c>
      <c r="AC995" s="5" t="str">
        <f ca="1">IFERROR(__xludf.DUMMYFUNCTION("""COMPUTED_VALUE"""),"No")</f>
        <v>No</v>
      </c>
      <c r="AD995" s="5" t="str">
        <f ca="1">IFERROR(__xludf.DUMMYFUNCTION("""COMPUTED_VALUE"""),"No")</f>
        <v>No</v>
      </c>
      <c r="AE995" s="5" t="str">
        <f ca="1">IFERROR(__xludf.DUMMYFUNCTION("""COMPUTED_VALUE"""),"No")</f>
        <v>No</v>
      </c>
      <c r="AF995" s="5" t="str">
        <f ca="1">IFERROR(__xludf.DUMMYFUNCTION("""COMPUTED_VALUE"""),"No")</f>
        <v>No</v>
      </c>
      <c r="AG995" s="5" t="str">
        <f ca="1">IFERROR(__xludf.DUMMYFUNCTION("""COMPUTED_VALUE"""),"No")</f>
        <v>No</v>
      </c>
      <c r="AH995" s="5" t="str">
        <f ca="1">IFERROR(__xludf.DUMMYFUNCTION("""COMPUTED_VALUE"""),"No")</f>
        <v>No</v>
      </c>
      <c r="AI995" s="5" t="str">
        <f ca="1">IFERROR(__xludf.DUMMYFUNCTION("""COMPUTED_VALUE"""),"No")</f>
        <v>No</v>
      </c>
      <c r="AJ995" s="5" t="str">
        <f ca="1">IFERROR(__xludf.DUMMYFUNCTION("""COMPUTED_VALUE"""),"No")</f>
        <v>No</v>
      </c>
    </row>
    <row r="996" spans="1:36" ht="13">
      <c r="A996" s="5" t="str">
        <f ca="1">IFERROR(__xludf.DUMMYFUNCTION("""COMPUTED_VALUE"""),"20180104WANES")</f>
        <v>20180104WANES</v>
      </c>
      <c r="B996" s="5">
        <f ca="1">IFERROR(__xludf.DUMMYFUNCTION("""COMPUTED_VALUE"""),1)</f>
        <v>1</v>
      </c>
      <c r="C996" s="5">
        <f ca="1">IFERROR(__xludf.DUMMYFUNCTION("""COMPUTED_VALUE"""),4)</f>
        <v>4</v>
      </c>
      <c r="D996" s="5">
        <f ca="1">IFERROR(__xludf.DUMMYFUNCTION("""COMPUTED_VALUE"""),2018)</f>
        <v>2018</v>
      </c>
      <c r="E996" s="8">
        <f ca="1">IFERROR(__xludf.DUMMYFUNCTION("""COMPUTED_VALUE"""),43104)</f>
        <v>43104</v>
      </c>
      <c r="F996" s="5" t="str">
        <f ca="1">IFERROR(__xludf.DUMMYFUNCTION("""COMPUTED_VALUE"""),"New Start High School")</f>
        <v>New Start High School</v>
      </c>
      <c r="G996" s="5">
        <f ca="1">IFERROR(__xludf.DUMMYFUNCTION("""COMPUTED_VALUE"""),0)</f>
        <v>0</v>
      </c>
      <c r="H996" s="5">
        <f ca="1">IFERROR(__xludf.DUMMYFUNCTION("""COMPUTED_VALUE"""),0)</f>
        <v>0</v>
      </c>
      <c r="I996" s="5">
        <f ca="1">IFERROR(__xludf.DUMMYFUNCTION("""COMPUTED_VALUE"""),0)</f>
        <v>0</v>
      </c>
      <c r="J996" s="5">
        <f ca="1">IFERROR(__xludf.DUMMYFUNCTION("""COMPUTED_VALUE"""),0)</f>
        <v>0</v>
      </c>
      <c r="K996" s="9" t="str">
        <f ca="1">IFERROR(__xludf.DUMMYFUNCTION("""COMPUTED_VALUE"""),"https://q13fox.com/2018/01/04/bullet-fired-into-window-at-highlines-new-start-high-school-but-no-injuries/")</f>
        <v>https://q13fox.com/2018/01/04/bullet-fired-into-window-at-highlines-new-start-high-school-but-no-injuries/</v>
      </c>
      <c r="L996" s="5"/>
      <c r="M996" s="5"/>
      <c r="N996" s="5">
        <f ca="1">IFERROR(__xludf.DUMMYFUNCTION("""COMPUTED_VALUE"""),2)</f>
        <v>2</v>
      </c>
      <c r="O996" s="5" t="str">
        <f ca="1">IFERROR(__xludf.DUMMYFUNCTION("""COMPUTED_VALUE"""),"Winter")</f>
        <v>Winter</v>
      </c>
      <c r="P996" s="5" t="str">
        <f ca="1">IFERROR(__xludf.DUMMYFUNCTION("""COMPUTED_VALUE"""),"Seattle")</f>
        <v>Seattle</v>
      </c>
      <c r="Q996" s="5" t="str">
        <f ca="1">IFERROR(__xludf.DUMMYFUNCTION("""COMPUTED_VALUE"""),"WA")</f>
        <v>WA</v>
      </c>
      <c r="R996" s="5" t="str">
        <f ca="1">IFERROR(__xludf.DUMMYFUNCTION("""COMPUTED_VALUE"""),"High")</f>
        <v>High</v>
      </c>
      <c r="S996" s="5" t="str">
        <f ca="1">IFERROR(__xludf.DUMMYFUNCTION("""COMPUTED_VALUE"""),"Front of School")</f>
        <v>Front of School</v>
      </c>
      <c r="T996" s="5" t="str">
        <f ca="1">IFERROR(__xludf.DUMMYFUNCTION("""COMPUTED_VALUE"""),"Outside on School Property")</f>
        <v>Outside on School Property</v>
      </c>
      <c r="U996" s="5" t="str">
        <f ca="1">IFERROR(__xludf.DUMMYFUNCTION("""COMPUTED_VALUE"""),"Yes")</f>
        <v>Yes</v>
      </c>
      <c r="V996" s="5" t="str">
        <f ca="1">IFERROR(__xludf.DUMMYFUNCTION("""COMPUTED_VALUE"""),"Afternoon Classes")</f>
        <v>Afternoon Classes</v>
      </c>
      <c r="W996" s="10">
        <f ca="1">IFERROR(__xludf.DUMMYFUNCTION("""COMPUTED_VALUE"""),0.5625)</f>
        <v>0.5625</v>
      </c>
      <c r="X996" s="5">
        <f ca="1">IFERROR(__xludf.DUMMYFUNCTION("""COMPUTED_VALUE"""),1)</f>
        <v>1</v>
      </c>
      <c r="Y996" s="5" t="str">
        <f ca="1">IFERROR(__xludf.DUMMYFUNCTION("""COMPUTED_VALUE"""),"Damage to school property")</f>
        <v>Damage to school property</v>
      </c>
      <c r="Z996" s="5" t="str">
        <f ca="1">IFERROR(__xludf.DUMMYFUNCTION("""COMPUTED_VALUE"""),"Shots fired outside high school during the school day. One round struck the school's admin office.")</f>
        <v>Shots fired outside high school during the school day. One round struck the school's admin office.</v>
      </c>
      <c r="AA996" s="5" t="str">
        <f ca="1">IFERROR(__xludf.DUMMYFUNCTION("""COMPUTED_VALUE"""),"Intentional Property Damage")</f>
        <v>Intentional Property Damage</v>
      </c>
      <c r="AB996" s="5" t="str">
        <f ca="1">IFERROR(__xludf.DUMMYFUNCTION("""COMPUTED_VALUE"""),"NA")</f>
        <v>NA</v>
      </c>
      <c r="AC996" s="5"/>
      <c r="AD996" s="5" t="str">
        <f ca="1">IFERROR(__xludf.DUMMYFUNCTION("""COMPUTED_VALUE"""),"No")</f>
        <v>No</v>
      </c>
      <c r="AE996" s="5" t="str">
        <f ca="1">IFERROR(__xludf.DUMMYFUNCTION("""COMPUTED_VALUE"""),"No")</f>
        <v>No</v>
      </c>
      <c r="AF996" s="5" t="str">
        <f ca="1">IFERROR(__xludf.DUMMYFUNCTION("""COMPUTED_VALUE"""),"No")</f>
        <v>No</v>
      </c>
      <c r="AG996" s="5" t="str">
        <f ca="1">IFERROR(__xludf.DUMMYFUNCTION("""COMPUTED_VALUE"""),"N/A")</f>
        <v>N/A</v>
      </c>
      <c r="AH996" s="5" t="str">
        <f ca="1">IFERROR(__xludf.DUMMYFUNCTION("""COMPUTED_VALUE"""),"N/A")</f>
        <v>N/A</v>
      </c>
      <c r="AI996" s="5"/>
      <c r="AJ996" s="5" t="str">
        <f ca="1">IFERROR(__xludf.DUMMYFUNCTION("""COMPUTED_VALUE"""),"No")</f>
        <v>No</v>
      </c>
    </row>
    <row r="997" spans="1:36" ht="13">
      <c r="A997" s="5" t="str">
        <f ca="1">IFERROR(__xludf.DUMMYFUNCTION("""COMPUTED_VALUE"""),"20171231WAPIM")</f>
        <v>20171231WAPIM</v>
      </c>
      <c r="B997" s="5">
        <f ca="1">IFERROR(__xludf.DUMMYFUNCTION("""COMPUTED_VALUE"""),12)</f>
        <v>12</v>
      </c>
      <c r="C997" s="5">
        <f ca="1">IFERROR(__xludf.DUMMYFUNCTION("""COMPUTED_VALUE"""),31)</f>
        <v>31</v>
      </c>
      <c r="D997" s="5">
        <f ca="1">IFERROR(__xludf.DUMMYFUNCTION("""COMPUTED_VALUE"""),2017)</f>
        <v>2017</v>
      </c>
      <c r="E997" s="8">
        <f ca="1">IFERROR(__xludf.DUMMYFUNCTION("""COMPUTED_VALUE"""),43100)</f>
        <v>43100</v>
      </c>
      <c r="F997" s="5" t="str">
        <f ca="1">IFERROR(__xludf.DUMMYFUNCTION("""COMPUTED_VALUE"""),"Pinewood Elementary School")</f>
        <v>Pinewood Elementary School</v>
      </c>
      <c r="G997" s="5">
        <f ca="1">IFERROR(__xludf.DUMMYFUNCTION("""COMPUTED_VALUE"""),0)</f>
        <v>0</v>
      </c>
      <c r="H997" s="5">
        <f ca="1">IFERROR(__xludf.DUMMYFUNCTION("""COMPUTED_VALUE"""),0)</f>
        <v>0</v>
      </c>
      <c r="I997" s="5">
        <f ca="1">IFERROR(__xludf.DUMMYFUNCTION("""COMPUTED_VALUE"""),0)</f>
        <v>0</v>
      </c>
      <c r="J997" s="5">
        <f ca="1">IFERROR(__xludf.DUMMYFUNCTION("""COMPUTED_VALUE"""),0)</f>
        <v>0</v>
      </c>
      <c r="K997" s="9" t="str">
        <f ca="1">IFERROR(__xludf.DUMMYFUNCTION("""COMPUTED_VALUE"""),"https://www.heraldnet.com/news/police-say-they-shot-up-the-school-then-bragged-about-it/")</f>
        <v>https://www.heraldnet.com/news/police-say-they-shot-up-the-school-then-bragged-about-it/</v>
      </c>
      <c r="L997" s="5"/>
      <c r="M997" s="5"/>
      <c r="N997" s="5">
        <f ca="1">IFERROR(__xludf.DUMMYFUNCTION("""COMPUTED_VALUE"""),2)</f>
        <v>2</v>
      </c>
      <c r="O997" s="5" t="str">
        <f ca="1">IFERROR(__xludf.DUMMYFUNCTION("""COMPUTED_VALUE"""),"Winter")</f>
        <v>Winter</v>
      </c>
      <c r="P997" s="5" t="str">
        <f ca="1">IFERROR(__xludf.DUMMYFUNCTION("""COMPUTED_VALUE"""),"Marysville")</f>
        <v>Marysville</v>
      </c>
      <c r="Q997" s="5" t="str">
        <f ca="1">IFERROR(__xludf.DUMMYFUNCTION("""COMPUTED_VALUE"""),"WA")</f>
        <v>WA</v>
      </c>
      <c r="R997" s="5" t="str">
        <f ca="1">IFERROR(__xludf.DUMMYFUNCTION("""COMPUTED_VALUE"""),"Elementary")</f>
        <v>Elementary</v>
      </c>
      <c r="S997" s="5" t="str">
        <f ca="1">IFERROR(__xludf.DUMMYFUNCTION("""COMPUTED_VALUE"""),"Beside Building")</f>
        <v>Beside Building</v>
      </c>
      <c r="T997" s="5" t="str">
        <f ca="1">IFERROR(__xludf.DUMMYFUNCTION("""COMPUTED_VALUE"""),"Outside on School Property")</f>
        <v>Outside on School Property</v>
      </c>
      <c r="U997" s="5" t="str">
        <f ca="1">IFERROR(__xludf.DUMMYFUNCTION("""COMPUTED_VALUE"""),"No")</f>
        <v>No</v>
      </c>
      <c r="V997" s="5" t="str">
        <f ca="1">IFERROR(__xludf.DUMMYFUNCTION("""COMPUTED_VALUE"""),"Not a School Day")</f>
        <v>Not a School Day</v>
      </c>
      <c r="W997" s="10">
        <f ca="1">IFERROR(__xludf.DUMMYFUNCTION("""COMPUTED_VALUE"""),0.996527777777777)</f>
        <v>0.99652777777777701</v>
      </c>
      <c r="X997" s="5"/>
      <c r="Y997" s="5" t="str">
        <f ca="1">IFERROR(__xludf.DUMMYFUNCTION("""COMPUTED_VALUE"""),"Two teens fired shots at school breaking windows")</f>
        <v>Two teens fired shots at school breaking windows</v>
      </c>
      <c r="Z997" s="5" t="str">
        <f ca="1">IFERROR(__xludf.DUMMYFUNCTION("""COMPUTED_VALUE"""),"19YOM and 18YOM fired 60 shots at elementary school building on New Years Eve causing extensive property damage. Bragged to others about shooting and were arrested.")</f>
        <v>19YOM and 18YOM fired 60 shots at elementary school building on New Years Eve causing extensive property damage. Bragged to others about shooting and were arrested.</v>
      </c>
      <c r="AA997" s="5" t="str">
        <f ca="1">IFERROR(__xludf.DUMMYFUNCTION("""COMPUTED_VALUE"""),"Intentional Property Damage")</f>
        <v>Intentional Property Damage</v>
      </c>
      <c r="AB997" s="5" t="str">
        <f ca="1">IFERROR(__xludf.DUMMYFUNCTION("""COMPUTED_VALUE"""),"Neither")</f>
        <v>Neither</v>
      </c>
      <c r="AC997" s="5" t="str">
        <f ca="1">IFERROR(__xludf.DUMMYFUNCTION("""COMPUTED_VALUE"""),"Yes")</f>
        <v>Yes</v>
      </c>
      <c r="AD997" s="5" t="str">
        <f ca="1">IFERROR(__xludf.DUMMYFUNCTION("""COMPUTED_VALUE"""),"No")</f>
        <v>No</v>
      </c>
      <c r="AE997" s="5" t="str">
        <f ca="1">IFERROR(__xludf.DUMMYFUNCTION("""COMPUTED_VALUE"""),"No")</f>
        <v>No</v>
      </c>
      <c r="AF997" s="5" t="str">
        <f ca="1">IFERROR(__xludf.DUMMYFUNCTION("""COMPUTED_VALUE"""),"No")</f>
        <v>No</v>
      </c>
      <c r="AG997" s="5" t="str">
        <f ca="1">IFERROR(__xludf.DUMMYFUNCTION("""COMPUTED_VALUE"""),"No")</f>
        <v>No</v>
      </c>
      <c r="AH997" s="5" t="str">
        <f ca="1">IFERROR(__xludf.DUMMYFUNCTION("""COMPUTED_VALUE"""),"No")</f>
        <v>No</v>
      </c>
      <c r="AI997" s="5" t="str">
        <f ca="1">IFERROR(__xludf.DUMMYFUNCTION("""COMPUTED_VALUE"""),"No")</f>
        <v>No</v>
      </c>
      <c r="AJ997" s="5" t="str">
        <f ca="1">IFERROR(__xludf.DUMMYFUNCTION("""COMPUTED_VALUE"""),"No")</f>
        <v>No</v>
      </c>
    </row>
    <row r="998" spans="1:36" ht="13">
      <c r="A998" s="5" t="str">
        <f ca="1">IFERROR(__xludf.DUMMYFUNCTION("""COMPUTED_VALUE"""),"20171231LAEDA")</f>
        <v>20171231LAEDA</v>
      </c>
      <c r="B998" s="5">
        <f ca="1">IFERROR(__xludf.DUMMYFUNCTION("""COMPUTED_VALUE"""),12)</f>
        <v>12</v>
      </c>
      <c r="C998" s="5">
        <f ca="1">IFERROR(__xludf.DUMMYFUNCTION("""COMPUTED_VALUE"""),31)</f>
        <v>31</v>
      </c>
      <c r="D998" s="5">
        <f ca="1">IFERROR(__xludf.DUMMYFUNCTION("""COMPUTED_VALUE"""),2017)</f>
        <v>2017</v>
      </c>
      <c r="E998" s="8">
        <f ca="1">IFERROR(__xludf.DUMMYFUNCTION("""COMPUTED_VALUE"""),43100)</f>
        <v>43100</v>
      </c>
      <c r="F998" s="5" t="str">
        <f ca="1">IFERROR(__xludf.DUMMYFUNCTION("""COMPUTED_VALUE"""),"Edna Karr High School")</f>
        <v>Edna Karr High School</v>
      </c>
      <c r="G998" s="5">
        <f ca="1">IFERROR(__xludf.DUMMYFUNCTION("""COMPUTED_VALUE"""),2)</f>
        <v>2</v>
      </c>
      <c r="H998" s="5">
        <f ca="1">IFERROR(__xludf.DUMMYFUNCTION("""COMPUTED_VALUE"""),0)</f>
        <v>0</v>
      </c>
      <c r="I998" s="5">
        <f ca="1">IFERROR(__xludf.DUMMYFUNCTION("""COMPUTED_VALUE"""),2)</f>
        <v>2</v>
      </c>
      <c r="J998" s="5">
        <f ca="1">IFERROR(__xludf.DUMMYFUNCTION("""COMPUTED_VALUE"""),0)</f>
        <v>0</v>
      </c>
      <c r="K998" s="9" t="str">
        <f ca="1">IFERROR(__xludf.DUMMYFUNCTION("""COMPUTED_VALUE"""),"https://www.nola.com/crime/index.ssf/2017/01/algiers_double_shooting.html")</f>
        <v>https://www.nola.com/crime/index.ssf/2017/01/algiers_double_shooting.html</v>
      </c>
      <c r="L998" s="5"/>
      <c r="M998" s="5"/>
      <c r="N998" s="5">
        <f ca="1">IFERROR(__xludf.DUMMYFUNCTION("""COMPUTED_VALUE"""),2)</f>
        <v>2</v>
      </c>
      <c r="O998" s="5" t="str">
        <f ca="1">IFERROR(__xludf.DUMMYFUNCTION("""COMPUTED_VALUE"""),"Winter")</f>
        <v>Winter</v>
      </c>
      <c r="P998" s="5" t="str">
        <f ca="1">IFERROR(__xludf.DUMMYFUNCTION("""COMPUTED_VALUE"""),"Algiers")</f>
        <v>Algiers</v>
      </c>
      <c r="Q998" s="5" t="str">
        <f ca="1">IFERROR(__xludf.DUMMYFUNCTION("""COMPUTED_VALUE"""),"LA")</f>
        <v>LA</v>
      </c>
      <c r="R998" s="5" t="str">
        <f ca="1">IFERROR(__xludf.DUMMYFUNCTION("""COMPUTED_VALUE"""),"High")</f>
        <v>High</v>
      </c>
      <c r="S998" s="5" t="str">
        <f ca="1">IFERROR(__xludf.DUMMYFUNCTION("""COMPUTED_VALUE"""),"Parking Lot")</f>
        <v>Parking Lot</v>
      </c>
      <c r="T998" s="5" t="str">
        <f ca="1">IFERROR(__xludf.DUMMYFUNCTION("""COMPUTED_VALUE"""),"Outside on School Property")</f>
        <v>Outside on School Property</v>
      </c>
      <c r="U998" s="5" t="str">
        <f ca="1">IFERROR(__xludf.DUMMYFUNCTION("""COMPUTED_VALUE"""),"No")</f>
        <v>No</v>
      </c>
      <c r="V998" s="5" t="str">
        <f ca="1">IFERROR(__xludf.DUMMYFUNCTION("""COMPUTED_VALUE"""),"Sport Event")</f>
        <v>Sport Event</v>
      </c>
      <c r="W998" s="10">
        <f ca="1">IFERROR(__xludf.DUMMYFUNCTION("""COMPUTED_VALUE"""),0.833333333333333)</f>
        <v>0.83333333333333304</v>
      </c>
      <c r="X998" s="5">
        <f ca="1">IFERROR(__xludf.DUMMYFUNCTION("""COMPUTED_VALUE"""),1)</f>
        <v>1</v>
      </c>
      <c r="Y998" s="5" t="str">
        <f ca="1">IFERROR(__xludf.DUMMYFUNCTION("""COMPUTED_VALUE"""),"Drive-by in parking lot outside of school during basketball game")</f>
        <v>Drive-by in parking lot outside of school during basketball game</v>
      </c>
      <c r="Z998" s="5" t="str">
        <f ca="1">IFERROR(__xludf.DUMMYFUNCTION("""COMPUTED_VALUE"""),"2 non-students were denied entry to a high school basketball game. While sitting in their car in the parking lot, a car pulled up next to them and fired multiple times killing both of them.")</f>
        <v>2 non-students were denied entry to a high school basketball game. While sitting in their car in the parking lot, a car pulled up next to them and fired multiple times killing both of them.</v>
      </c>
      <c r="AA998" s="5" t="str">
        <f ca="1">IFERROR(__xludf.DUMMYFUNCTION("""COMPUTED_VALUE"""),"Drive-by Shooting")</f>
        <v>Drive-by Shooting</v>
      </c>
      <c r="AB998" s="5" t="str">
        <f ca="1">IFERROR(__xludf.DUMMYFUNCTION("""COMPUTED_VALUE"""),"Victims Targeted")</f>
        <v>Victims Targeted</v>
      </c>
      <c r="AC998" s="5" t="str">
        <f ca="1">IFERROR(__xludf.DUMMYFUNCTION("""COMPUTED_VALUE"""),"Yes")</f>
        <v>Yes</v>
      </c>
      <c r="AD998" s="5" t="str">
        <f ca="1">IFERROR(__xludf.DUMMYFUNCTION("""COMPUTED_VALUE"""),"No")</f>
        <v>No</v>
      </c>
      <c r="AE998" s="5" t="str">
        <f ca="1">IFERROR(__xludf.DUMMYFUNCTION("""COMPUTED_VALUE"""),"No")</f>
        <v>No</v>
      </c>
      <c r="AF998" s="5" t="str">
        <f ca="1">IFERROR(__xludf.DUMMYFUNCTION("""COMPUTED_VALUE"""),"No")</f>
        <v>No</v>
      </c>
      <c r="AG998" s="5" t="str">
        <f ca="1">IFERROR(__xludf.DUMMYFUNCTION("""COMPUTED_VALUE"""),"No")</f>
        <v>No</v>
      </c>
      <c r="AH998" s="5" t="str">
        <f ca="1">IFERROR(__xludf.DUMMYFUNCTION("""COMPUTED_VALUE"""),"No")</f>
        <v>No</v>
      </c>
      <c r="AI998" s="5" t="str">
        <f ca="1">IFERROR(__xludf.DUMMYFUNCTION("""COMPUTED_VALUE"""),"No")</f>
        <v>No</v>
      </c>
      <c r="AJ998" s="5" t="str">
        <f ca="1">IFERROR(__xludf.DUMMYFUNCTION("""COMPUTED_VALUE"""),"No")</f>
        <v>No</v>
      </c>
    </row>
    <row r="999" spans="1:36" ht="13">
      <c r="A999" s="5" t="str">
        <f ca="1">IFERROR(__xludf.DUMMYFUNCTION("""COMPUTED_VALUE"""),"20171227CALIL")</f>
        <v>20171227CALIL</v>
      </c>
      <c r="B999" s="5">
        <f ca="1">IFERROR(__xludf.DUMMYFUNCTION("""COMPUTED_VALUE"""),12)</f>
        <v>12</v>
      </c>
      <c r="C999" s="5">
        <f ca="1">IFERROR(__xludf.DUMMYFUNCTION("""COMPUTED_VALUE"""),27)</f>
        <v>27</v>
      </c>
      <c r="D999" s="5">
        <f ca="1">IFERROR(__xludf.DUMMYFUNCTION("""COMPUTED_VALUE"""),2017)</f>
        <v>2017</v>
      </c>
      <c r="E999" s="8">
        <f ca="1">IFERROR(__xludf.DUMMYFUNCTION("""COMPUTED_VALUE"""),43096)</f>
        <v>43096</v>
      </c>
      <c r="F999" s="5" t="str">
        <f ca="1">IFERROR(__xludf.DUMMYFUNCTION("""COMPUTED_VALUE"""),"Lincoln Elementary School")</f>
        <v>Lincoln Elementary School</v>
      </c>
      <c r="G999" s="5">
        <f ca="1">IFERROR(__xludf.DUMMYFUNCTION("""COMPUTED_VALUE"""),0)</f>
        <v>0</v>
      </c>
      <c r="H999" s="5">
        <f ca="1">IFERROR(__xludf.DUMMYFUNCTION("""COMPUTED_VALUE"""),1)</f>
        <v>1</v>
      </c>
      <c r="I999" s="5">
        <f ca="1">IFERROR(__xludf.DUMMYFUNCTION("""COMPUTED_VALUE"""),1)</f>
        <v>1</v>
      </c>
      <c r="J999" s="5">
        <f ca="1">IFERROR(__xludf.DUMMYFUNCTION("""COMPUTED_VALUE"""),0)</f>
        <v>0</v>
      </c>
      <c r="K999" s="9" t="str">
        <f ca="1">IFERROR(__xludf.DUMMYFUNCTION("""COMPUTED_VALUE"""),"https://www.dailynews.com/2017/12/28/man-arguing-with-girlfriend-in-lancaster-school-parking-lot-is-shot-by-another-man/")</f>
        <v>https://www.dailynews.com/2017/12/28/man-arguing-with-girlfriend-in-lancaster-school-parking-lot-is-shot-by-another-man/</v>
      </c>
      <c r="L999" s="5"/>
      <c r="M999" s="5"/>
      <c r="N999" s="5">
        <f ca="1">IFERROR(__xludf.DUMMYFUNCTION("""COMPUTED_VALUE"""),2)</f>
        <v>2</v>
      </c>
      <c r="O999" s="5" t="str">
        <f ca="1">IFERROR(__xludf.DUMMYFUNCTION("""COMPUTED_VALUE"""),"Winter")</f>
        <v>Winter</v>
      </c>
      <c r="P999" s="5" t="str">
        <f ca="1">IFERROR(__xludf.DUMMYFUNCTION("""COMPUTED_VALUE"""),"Lancaster")</f>
        <v>Lancaster</v>
      </c>
      <c r="Q999" s="5" t="str">
        <f ca="1">IFERROR(__xludf.DUMMYFUNCTION("""COMPUTED_VALUE"""),"CA")</f>
        <v>CA</v>
      </c>
      <c r="R999" s="5" t="str">
        <f ca="1">IFERROR(__xludf.DUMMYFUNCTION("""COMPUTED_VALUE"""),"Elementary")</f>
        <v>Elementary</v>
      </c>
      <c r="S999" s="5" t="str">
        <f ca="1">IFERROR(__xludf.DUMMYFUNCTION("""COMPUTED_VALUE"""),"Parking Lot")</f>
        <v>Parking Lot</v>
      </c>
      <c r="T999" s="5" t="str">
        <f ca="1">IFERROR(__xludf.DUMMYFUNCTION("""COMPUTED_VALUE"""),"Outside on School Property")</f>
        <v>Outside on School Property</v>
      </c>
      <c r="U999" s="5" t="str">
        <f ca="1">IFERROR(__xludf.DUMMYFUNCTION("""COMPUTED_VALUE"""),"No")</f>
        <v>No</v>
      </c>
      <c r="V999" s="5" t="str">
        <f ca="1">IFERROR(__xludf.DUMMYFUNCTION("""COMPUTED_VALUE"""),"Evening")</f>
        <v>Evening</v>
      </c>
      <c r="W999" s="10">
        <f ca="1">IFERROR(__xludf.DUMMYFUNCTION("""COMPUTED_VALUE"""),0.944444444444444)</f>
        <v>0.94444444444444398</v>
      </c>
      <c r="X999" s="5">
        <f ca="1">IFERROR(__xludf.DUMMYFUNCTION("""COMPUTED_VALUE"""),1)</f>
        <v>1</v>
      </c>
      <c r="Y999" s="5" t="str">
        <f ca="1">IFERROR(__xludf.DUMMYFUNCTION("""COMPUTED_VALUE"""),"Attempted to stop domestic then fled scene")</f>
        <v>Attempted to stop domestic then fled scene</v>
      </c>
      <c r="Z999" s="5" t="str">
        <f ca="1">IFERROR(__xludf.DUMMYFUNCTION("""COMPUTED_VALUE"""),"A victim and his girlfriend were involved in an argument. They pulled into school parking lot to continue argument when unknown male approached and intervened. Unknown male (shooter) shot male twice then fled. Victim was taken to hospital and treated.")</f>
        <v>A victim and his girlfriend were involved in an argument. They pulled into school parking lot to continue argument when unknown male approached and intervened. Unknown male (shooter) shot male twice then fled. Victim was taken to hospital and treated.</v>
      </c>
      <c r="AA999" s="5" t="str">
        <f ca="1">IFERROR(__xludf.DUMMYFUNCTION("""COMPUTED_VALUE"""),"Domestic w/ Targeted Victim")</f>
        <v>Domestic w/ Targeted Victim</v>
      </c>
      <c r="AB999" s="5" t="str">
        <f ca="1">IFERROR(__xludf.DUMMYFUNCTION("""COMPUTED_VALUE"""),"Victims Targeted")</f>
        <v>Victims Targeted</v>
      </c>
      <c r="AC999" s="5"/>
      <c r="AD999" s="5" t="str">
        <f ca="1">IFERROR(__xludf.DUMMYFUNCTION("""COMPUTED_VALUE"""),"No")</f>
        <v>No</v>
      </c>
      <c r="AE999" s="5" t="str">
        <f ca="1">IFERROR(__xludf.DUMMYFUNCTION("""COMPUTED_VALUE"""),"No")</f>
        <v>No</v>
      </c>
      <c r="AF999" s="5" t="str">
        <f ca="1">IFERROR(__xludf.DUMMYFUNCTION("""COMPUTED_VALUE"""),"No")</f>
        <v>No</v>
      </c>
      <c r="AG999" s="5" t="str">
        <f ca="1">IFERROR(__xludf.DUMMYFUNCTION("""COMPUTED_VALUE"""),"No")</f>
        <v>No</v>
      </c>
      <c r="AH999" s="5" t="str">
        <f ca="1">IFERROR(__xludf.DUMMYFUNCTION("""COMPUTED_VALUE"""),"No")</f>
        <v>No</v>
      </c>
      <c r="AI999" s="5" t="str">
        <f ca="1">IFERROR(__xludf.DUMMYFUNCTION("""COMPUTED_VALUE"""),"No")</f>
        <v>No</v>
      </c>
      <c r="AJ999" s="5" t="str">
        <f ca="1">IFERROR(__xludf.DUMMYFUNCTION("""COMPUTED_VALUE"""),"No")</f>
        <v>No</v>
      </c>
    </row>
    <row r="1000" spans="1:36" ht="13">
      <c r="A1000" s="5" t="str">
        <f ca="1">IFERROR(__xludf.DUMMYFUNCTION("""COMPUTED_VALUE"""),"20171219MIBEB")</f>
        <v>20171219MIBEB</v>
      </c>
      <c r="B1000" s="5">
        <f ca="1">IFERROR(__xludf.DUMMYFUNCTION("""COMPUTED_VALUE"""),12)</f>
        <v>12</v>
      </c>
      <c r="C1000" s="5">
        <f ca="1">IFERROR(__xludf.DUMMYFUNCTION("""COMPUTED_VALUE"""),19)</f>
        <v>19</v>
      </c>
      <c r="D1000" s="5">
        <f ca="1">IFERROR(__xludf.DUMMYFUNCTION("""COMPUTED_VALUE"""),2017)</f>
        <v>2017</v>
      </c>
      <c r="E1000" s="8">
        <f ca="1">IFERROR(__xludf.DUMMYFUNCTION("""COMPUTED_VALUE"""),43088)</f>
        <v>43088</v>
      </c>
      <c r="F1000" s="5" t="str">
        <f ca="1">IFERROR(__xludf.DUMMYFUNCTION("""COMPUTED_VALUE"""),"Beecher High School")</f>
        <v>Beecher High School</v>
      </c>
      <c r="G1000" s="5">
        <f ca="1">IFERROR(__xludf.DUMMYFUNCTION("""COMPUTED_VALUE"""),0)</f>
        <v>0</v>
      </c>
      <c r="H1000" s="5">
        <f ca="1">IFERROR(__xludf.DUMMYFUNCTION("""COMPUTED_VALUE"""),1)</f>
        <v>1</v>
      </c>
      <c r="I1000" s="5">
        <f ca="1">IFERROR(__xludf.DUMMYFUNCTION("""COMPUTED_VALUE"""),1)</f>
        <v>1</v>
      </c>
      <c r="J1000" s="5">
        <f ca="1">IFERROR(__xludf.DUMMYFUNCTION("""COMPUTED_VALUE"""),0)</f>
        <v>0</v>
      </c>
      <c r="K1000" s="9" t="str">
        <f ca="1">IFERROR(__xludf.DUMMYFUNCTION("""COMPUTED_VALUE"""),"http://www.wnem.com/story/37105109/breaking-police-investigate-shooting-at-beecher-high-school")</f>
        <v>http://www.wnem.com/story/37105109/breaking-police-investigate-shooting-at-beecher-high-school</v>
      </c>
      <c r="L1000" s="5"/>
      <c r="M1000" s="5"/>
      <c r="N1000" s="5">
        <f ca="1">IFERROR(__xludf.DUMMYFUNCTION("""COMPUTED_VALUE"""),2)</f>
        <v>2</v>
      </c>
      <c r="O1000" s="5" t="str">
        <f ca="1">IFERROR(__xludf.DUMMYFUNCTION("""COMPUTED_VALUE"""),"Winter")</f>
        <v>Winter</v>
      </c>
      <c r="P1000" s="5" t="str">
        <f ca="1">IFERROR(__xludf.DUMMYFUNCTION("""COMPUTED_VALUE"""),"Beecher")</f>
        <v>Beecher</v>
      </c>
      <c r="Q1000" s="5" t="str">
        <f ca="1">IFERROR(__xludf.DUMMYFUNCTION("""COMPUTED_VALUE"""),"MI")</f>
        <v>MI</v>
      </c>
      <c r="R1000" s="5" t="str">
        <f ca="1">IFERROR(__xludf.DUMMYFUNCTION("""COMPUTED_VALUE"""),"High")</f>
        <v>High</v>
      </c>
      <c r="S1000" s="5" t="str">
        <f ca="1">IFERROR(__xludf.DUMMYFUNCTION("""COMPUTED_VALUE"""),"Parking Lot")</f>
        <v>Parking Lot</v>
      </c>
      <c r="T1000" s="5" t="str">
        <f ca="1">IFERROR(__xludf.DUMMYFUNCTION("""COMPUTED_VALUE"""),"Outside on School Property")</f>
        <v>Outside on School Property</v>
      </c>
      <c r="U1000" s="5" t="str">
        <f ca="1">IFERROR(__xludf.DUMMYFUNCTION("""COMPUTED_VALUE"""),"No")</f>
        <v>No</v>
      </c>
      <c r="V1000" s="5" t="str">
        <f ca="1">IFERROR(__xludf.DUMMYFUNCTION("""COMPUTED_VALUE"""),"Sport Event")</f>
        <v>Sport Event</v>
      </c>
      <c r="W1000" s="5"/>
      <c r="X1000" s="5">
        <f ca="1">IFERROR(__xludf.DUMMYFUNCTION("""COMPUTED_VALUE"""),1)</f>
        <v>1</v>
      </c>
      <c r="Y1000" s="5" t="str">
        <f ca="1">IFERROR(__xludf.DUMMYFUNCTION("""COMPUTED_VALUE"""),"Student shot in parking lot after basketball game")</f>
        <v>Student shot in parking lot after basketball game</v>
      </c>
      <c r="Z1000" s="5" t="str">
        <f ca="1">IFERROR(__xludf.DUMMYFUNCTION("""COMPUTED_VALUE"""),"Student shot in parking lot during a fight after basketball game with rival school. Unknown who fired the shot. Students involved in fight fled.")</f>
        <v>Student shot in parking lot during a fight after basketball game with rival school. Unknown who fired the shot. Students involved in fight fled.</v>
      </c>
      <c r="AA1000" s="5" t="str">
        <f ca="1">IFERROR(__xludf.DUMMYFUNCTION("""COMPUTED_VALUE"""),"Escalation of Dispute")</f>
        <v>Escalation of Dispute</v>
      </c>
      <c r="AB1000" s="5" t="str">
        <f ca="1">IFERROR(__xludf.DUMMYFUNCTION("""COMPUTED_VALUE"""),"Victims Targeted")</f>
        <v>Victims Targeted</v>
      </c>
      <c r="AC1000" s="5" t="str">
        <f ca="1">IFERROR(__xludf.DUMMYFUNCTION("""COMPUTED_VALUE"""),"Yes")</f>
        <v>Yes</v>
      </c>
      <c r="AD1000" s="5" t="str">
        <f ca="1">IFERROR(__xludf.DUMMYFUNCTION("""COMPUTED_VALUE"""),"No")</f>
        <v>No</v>
      </c>
      <c r="AE1000" s="5" t="str">
        <f ca="1">IFERROR(__xludf.DUMMYFUNCTION("""COMPUTED_VALUE"""),"No")</f>
        <v>No</v>
      </c>
      <c r="AF1000" s="5" t="str">
        <f ca="1">IFERROR(__xludf.DUMMYFUNCTION("""COMPUTED_VALUE"""),"No")</f>
        <v>No</v>
      </c>
      <c r="AG1000" s="5" t="str">
        <f ca="1">IFERROR(__xludf.DUMMYFUNCTION("""COMPUTED_VALUE"""),"No")</f>
        <v>No</v>
      </c>
      <c r="AH1000" s="5" t="str">
        <f ca="1">IFERROR(__xludf.DUMMYFUNCTION("""COMPUTED_VALUE"""),"No")</f>
        <v>No</v>
      </c>
      <c r="AI1000" s="5" t="str">
        <f ca="1">IFERROR(__xludf.DUMMYFUNCTION("""COMPUTED_VALUE"""),"No")</f>
        <v>No</v>
      </c>
      <c r="AJ1000" s="5" t="str">
        <f ca="1">IFERROR(__xludf.DUMMYFUNCTION("""COMPUTED_VALUE"""),"No")</f>
        <v>No</v>
      </c>
    </row>
    <row r="1001" spans="1:36" ht="13">
      <c r="A1001" s="5" t="str">
        <f ca="1">IFERROR(__xludf.DUMMYFUNCTION("""COMPUTED_VALUE"""),"20171214TXELD")</f>
        <v>20171214TXELD</v>
      </c>
      <c r="B1001" s="5">
        <f ca="1">IFERROR(__xludf.DUMMYFUNCTION("""COMPUTED_VALUE"""),12)</f>
        <v>12</v>
      </c>
      <c r="C1001" s="5">
        <f ca="1">IFERROR(__xludf.DUMMYFUNCTION("""COMPUTED_VALUE"""),14)</f>
        <v>14</v>
      </c>
      <c r="D1001" s="5">
        <f ca="1">IFERROR(__xludf.DUMMYFUNCTION("""COMPUTED_VALUE"""),2017)</f>
        <v>2017</v>
      </c>
      <c r="E1001" s="8">
        <f ca="1">IFERROR(__xludf.DUMMYFUNCTION("""COMPUTED_VALUE"""),43083)</f>
        <v>43083</v>
      </c>
      <c r="F1001" s="5" t="str">
        <f ca="1">IFERROR(__xludf.DUMMYFUNCTION("""COMPUTED_VALUE"""),"Elisha M. Pease Elementary School")</f>
        <v>Elisha M. Pease Elementary School</v>
      </c>
      <c r="G1001" s="5">
        <f ca="1">IFERROR(__xludf.DUMMYFUNCTION("""COMPUTED_VALUE"""),0)</f>
        <v>0</v>
      </c>
      <c r="H1001" s="5">
        <f ca="1">IFERROR(__xludf.DUMMYFUNCTION("""COMPUTED_VALUE"""),0)</f>
        <v>0</v>
      </c>
      <c r="I1001" s="5">
        <f ca="1">IFERROR(__xludf.DUMMYFUNCTION("""COMPUTED_VALUE"""),0)</f>
        <v>0</v>
      </c>
      <c r="J1001" s="5">
        <f ca="1">IFERROR(__xludf.DUMMYFUNCTION("""COMPUTED_VALUE"""),0)</f>
        <v>0</v>
      </c>
      <c r="K1001" s="9" t="str">
        <f ca="1">IFERROR(__xludf.DUMMYFUNCTION("""COMPUTED_VALUE"""),"https://www.nbcdfw.com/news/local/Dallas-ISD-Gun-Accidentally-Goes-Off-in-3rd-Grade-Classroom-464473823.html")</f>
        <v>https://www.nbcdfw.com/news/local/Dallas-ISD-Gun-Accidentally-Goes-Off-in-3rd-Grade-Classroom-464473823.html</v>
      </c>
      <c r="L1001" s="5"/>
      <c r="M1001" s="5"/>
      <c r="N1001" s="5">
        <f ca="1">IFERROR(__xludf.DUMMYFUNCTION("""COMPUTED_VALUE"""),2)</f>
        <v>2</v>
      </c>
      <c r="O1001" s="5" t="str">
        <f ca="1">IFERROR(__xludf.DUMMYFUNCTION("""COMPUTED_VALUE"""),"Winter")</f>
        <v>Winter</v>
      </c>
      <c r="P1001" s="5" t="str">
        <f ca="1">IFERROR(__xludf.DUMMYFUNCTION("""COMPUTED_VALUE"""),"Dallas")</f>
        <v>Dallas</v>
      </c>
      <c r="Q1001" s="5" t="str">
        <f ca="1">IFERROR(__xludf.DUMMYFUNCTION("""COMPUTED_VALUE"""),"TX")</f>
        <v>TX</v>
      </c>
      <c r="R1001" s="5" t="str">
        <f ca="1">IFERROR(__xludf.DUMMYFUNCTION("""COMPUTED_VALUE"""),"Elementary")</f>
        <v>Elementary</v>
      </c>
      <c r="S1001" s="5" t="str">
        <f ca="1">IFERROR(__xludf.DUMMYFUNCTION("""COMPUTED_VALUE"""),"Classroom")</f>
        <v>Classroom</v>
      </c>
      <c r="T1001" s="5" t="str">
        <f ca="1">IFERROR(__xludf.DUMMYFUNCTION("""COMPUTED_VALUE"""),"Inside School Building")</f>
        <v>Inside School Building</v>
      </c>
      <c r="U1001" s="5" t="str">
        <f ca="1">IFERROR(__xludf.DUMMYFUNCTION("""COMPUTED_VALUE"""),"Yes")</f>
        <v>Yes</v>
      </c>
      <c r="V1001" s="5" t="str">
        <f ca="1">IFERROR(__xludf.DUMMYFUNCTION("""COMPUTED_VALUE"""),"Dismissal")</f>
        <v>Dismissal</v>
      </c>
      <c r="W1001" s="5"/>
      <c r="X1001" s="5">
        <f ca="1">IFERROR(__xludf.DUMMYFUNCTION("""COMPUTED_VALUE"""),1)</f>
        <v>1</v>
      </c>
      <c r="Y1001" s="5" t="str">
        <f ca="1">IFERROR(__xludf.DUMMYFUNCTION("""COMPUTED_VALUE"""),"Gun in backpack of 3rd grader discharged")</f>
        <v>Gun in backpack of 3rd grader discharged</v>
      </c>
      <c r="Z1001" s="5" t="str">
        <f ca="1">IFERROR(__xludf.DUMMYFUNCTION("""COMPUTED_VALUE"""),"Gun in backpack of 3rd grader discharged in classroom. No injuries.")</f>
        <v>Gun in backpack of 3rd grader discharged in classroom. No injuries.</v>
      </c>
      <c r="AA1001" s="5" t="str">
        <f ca="1">IFERROR(__xludf.DUMMYFUNCTION("""COMPUTED_VALUE"""),"Accidental")</f>
        <v>Accidental</v>
      </c>
      <c r="AB1001" s="5" t="str">
        <f ca="1">IFERROR(__xludf.DUMMYFUNCTION("""COMPUTED_VALUE"""),"Neither")</f>
        <v>Neither</v>
      </c>
      <c r="AC1001" s="5" t="str">
        <f ca="1">IFERROR(__xludf.DUMMYFUNCTION("""COMPUTED_VALUE"""),"No")</f>
        <v>No</v>
      </c>
      <c r="AD1001" s="5" t="str">
        <f ca="1">IFERROR(__xludf.DUMMYFUNCTION("""COMPUTED_VALUE"""),"No")</f>
        <v>No</v>
      </c>
      <c r="AE1001" s="5" t="str">
        <f ca="1">IFERROR(__xludf.DUMMYFUNCTION("""COMPUTED_VALUE"""),"No")</f>
        <v>No</v>
      </c>
      <c r="AF1001" s="5" t="str">
        <f ca="1">IFERROR(__xludf.DUMMYFUNCTION("""COMPUTED_VALUE"""),"No")</f>
        <v>No</v>
      </c>
      <c r="AG1001" s="5" t="str">
        <f ca="1">IFERROR(__xludf.DUMMYFUNCTION("""COMPUTED_VALUE"""),"No")</f>
        <v>No</v>
      </c>
      <c r="AH1001" s="5" t="str">
        <f ca="1">IFERROR(__xludf.DUMMYFUNCTION("""COMPUTED_VALUE"""),"No")</f>
        <v>No</v>
      </c>
      <c r="AI1001" s="5" t="str">
        <f ca="1">IFERROR(__xludf.DUMMYFUNCTION("""COMPUTED_VALUE"""),"No")</f>
        <v>No</v>
      </c>
      <c r="AJ1001" s="5" t="str">
        <f ca="1">IFERROR(__xludf.DUMMYFUNCTION("""COMPUTED_VALUE"""),"No")</f>
        <v>No</v>
      </c>
    </row>
    <row r="1002" spans="1:36" ht="13">
      <c r="A1002" s="5" t="str">
        <f ca="1">IFERROR(__xludf.DUMMYFUNCTION("""COMPUTED_VALUE"""),"20171212TXSAP")</f>
        <v>20171212TXSAP</v>
      </c>
      <c r="B1002" s="5">
        <f ca="1">IFERROR(__xludf.DUMMYFUNCTION("""COMPUTED_VALUE"""),12)</f>
        <v>12</v>
      </c>
      <c r="C1002" s="5">
        <f ca="1">IFERROR(__xludf.DUMMYFUNCTION("""COMPUTED_VALUE"""),12)</f>
        <v>12</v>
      </c>
      <c r="D1002" s="5">
        <f ca="1">IFERROR(__xludf.DUMMYFUNCTION("""COMPUTED_VALUE"""),2017)</f>
        <v>2017</v>
      </c>
      <c r="E1002" s="8">
        <f ca="1">IFERROR(__xludf.DUMMYFUNCTION("""COMPUTED_VALUE"""),43081)</f>
        <v>43081</v>
      </c>
      <c r="F1002" s="5" t="str">
        <f ca="1">IFERROR(__xludf.DUMMYFUNCTION("""COMPUTED_VALUE"""),"Sam Rayburn High School")</f>
        <v>Sam Rayburn High School</v>
      </c>
      <c r="G1002" s="5">
        <f ca="1">IFERROR(__xludf.DUMMYFUNCTION("""COMPUTED_VALUE"""),0)</f>
        <v>0</v>
      </c>
      <c r="H1002" s="5">
        <f ca="1">IFERROR(__xludf.DUMMYFUNCTION("""COMPUTED_VALUE"""),2)</f>
        <v>2</v>
      </c>
      <c r="I1002" s="5">
        <f ca="1">IFERROR(__xludf.DUMMYFUNCTION("""COMPUTED_VALUE"""),2)</f>
        <v>2</v>
      </c>
      <c r="J1002" s="5">
        <f ca="1">IFERROR(__xludf.DUMMYFUNCTION("""COMPUTED_VALUE"""),0)</f>
        <v>0</v>
      </c>
      <c r="K1002" s="9" t="str">
        <f ca="1">IFERROR(__xludf.DUMMYFUNCTION("""COMPUTED_VALUE"""),"https://abc13.com/2-wounded-when-gun-goes-off-in-car-at-sam-rayburn-hs/2774679/")</f>
        <v>https://abc13.com/2-wounded-when-gun-goes-off-in-car-at-sam-rayburn-hs/2774679/</v>
      </c>
      <c r="L1002" s="5"/>
      <c r="M1002" s="5"/>
      <c r="N1002" s="5">
        <f ca="1">IFERROR(__xludf.DUMMYFUNCTION("""COMPUTED_VALUE"""),2)</f>
        <v>2</v>
      </c>
      <c r="O1002" s="5" t="str">
        <f ca="1">IFERROR(__xludf.DUMMYFUNCTION("""COMPUTED_VALUE"""),"Winter")</f>
        <v>Winter</v>
      </c>
      <c r="P1002" s="5" t="str">
        <f ca="1">IFERROR(__xludf.DUMMYFUNCTION("""COMPUTED_VALUE"""),"Pasadena")</f>
        <v>Pasadena</v>
      </c>
      <c r="Q1002" s="5" t="str">
        <f ca="1">IFERROR(__xludf.DUMMYFUNCTION("""COMPUTED_VALUE"""),"TX")</f>
        <v>TX</v>
      </c>
      <c r="R1002" s="5" t="str">
        <f ca="1">IFERROR(__xludf.DUMMYFUNCTION("""COMPUTED_VALUE"""),"High")</f>
        <v>High</v>
      </c>
      <c r="S1002" s="5" t="str">
        <f ca="1">IFERROR(__xludf.DUMMYFUNCTION("""COMPUTED_VALUE"""),"Parking Lot")</f>
        <v>Parking Lot</v>
      </c>
      <c r="T1002" s="5" t="str">
        <f ca="1">IFERROR(__xludf.DUMMYFUNCTION("""COMPUTED_VALUE"""),"Outside on School Property")</f>
        <v>Outside on School Property</v>
      </c>
      <c r="U1002" s="5" t="str">
        <f ca="1">IFERROR(__xludf.DUMMYFUNCTION("""COMPUTED_VALUE"""),"No")</f>
        <v>No</v>
      </c>
      <c r="V1002" s="5" t="str">
        <f ca="1">IFERROR(__xludf.DUMMYFUNCTION("""COMPUTED_VALUE"""),"School Event")</f>
        <v>School Event</v>
      </c>
      <c r="W1002" s="10">
        <f ca="1">IFERROR(__xludf.DUMMYFUNCTION("""COMPUTED_VALUE"""),0.75)</f>
        <v>0.75</v>
      </c>
      <c r="X1002" s="5">
        <f ca="1">IFERROR(__xludf.DUMMYFUNCTION("""COMPUTED_VALUE"""),1)</f>
        <v>1</v>
      </c>
      <c r="Y1002" s="5" t="str">
        <f ca="1">IFERROR(__xludf.DUMMYFUNCTION("""COMPUTED_VALUE"""),"Accidental discharge in car striking both occupants")</f>
        <v>Accidental discharge in car striking both occupants</v>
      </c>
      <c r="Z1002" s="5" t="str">
        <f ca="1">IFERROR(__xludf.DUMMYFUNCTION("""COMPUTED_VALUE"""),"Two relatives (21YOM and 20YOM) were dropping off supplies for choir concert at the school when gun in car discharged striking both of them.")</f>
        <v>Two relatives (21YOM and 20YOM) were dropping off supplies for choir concert at the school when gun in car discharged striking both of them.</v>
      </c>
      <c r="AA1002" s="5" t="str">
        <f ca="1">IFERROR(__xludf.DUMMYFUNCTION("""COMPUTED_VALUE"""),"Accidental")</f>
        <v>Accidental</v>
      </c>
      <c r="AB1002" s="5" t="str">
        <f ca="1">IFERROR(__xludf.DUMMYFUNCTION("""COMPUTED_VALUE"""),"Random Shooting")</f>
        <v>Random Shooting</v>
      </c>
      <c r="AC1002" s="5" t="str">
        <f ca="1">IFERROR(__xludf.DUMMYFUNCTION("""COMPUTED_VALUE"""),"Yes")</f>
        <v>Yes</v>
      </c>
      <c r="AD1002" s="5" t="str">
        <f ca="1">IFERROR(__xludf.DUMMYFUNCTION("""COMPUTED_VALUE"""),"No")</f>
        <v>No</v>
      </c>
      <c r="AE1002" s="5" t="str">
        <f ca="1">IFERROR(__xludf.DUMMYFUNCTION("""COMPUTED_VALUE"""),"No")</f>
        <v>No</v>
      </c>
      <c r="AF1002" s="5" t="str">
        <f ca="1">IFERROR(__xludf.DUMMYFUNCTION("""COMPUTED_VALUE"""),"No")</f>
        <v>No</v>
      </c>
      <c r="AG1002" s="5" t="str">
        <f ca="1">IFERROR(__xludf.DUMMYFUNCTION("""COMPUTED_VALUE"""),"No")</f>
        <v>No</v>
      </c>
      <c r="AH1002" s="5" t="str">
        <f ca="1">IFERROR(__xludf.DUMMYFUNCTION("""COMPUTED_VALUE"""),"No")</f>
        <v>No</v>
      </c>
      <c r="AI1002" s="5" t="str">
        <f ca="1">IFERROR(__xludf.DUMMYFUNCTION("""COMPUTED_VALUE"""),"No")</f>
        <v>No</v>
      </c>
      <c r="AJ1002" s="5" t="str">
        <f ca="1">IFERROR(__xludf.DUMMYFUNCTION("""COMPUTED_VALUE"""),"No")</f>
        <v>No</v>
      </c>
    </row>
    <row r="1003" spans="1:36" ht="13">
      <c r="A1003" s="5" t="str">
        <f ca="1">IFERROR(__xludf.DUMMYFUNCTION("""COMPUTED_VALUE"""),"20171211NCHIH")</f>
        <v>20171211NCHIH</v>
      </c>
      <c r="B1003" s="5">
        <f ca="1">IFERROR(__xludf.DUMMYFUNCTION("""COMPUTED_VALUE"""),12)</f>
        <v>12</v>
      </c>
      <c r="C1003" s="5">
        <f ca="1">IFERROR(__xludf.DUMMYFUNCTION("""COMPUTED_VALUE"""),11)</f>
        <v>11</v>
      </c>
      <c r="D1003" s="5">
        <f ca="1">IFERROR(__xludf.DUMMYFUNCTION("""COMPUTED_VALUE"""),2017)</f>
        <v>2017</v>
      </c>
      <c r="E1003" s="8">
        <f ca="1">IFERROR(__xludf.DUMMYFUNCTION("""COMPUTED_VALUE"""),43080)</f>
        <v>43080</v>
      </c>
      <c r="F1003" s="5" t="str">
        <f ca="1">IFERROR(__xludf.DUMMYFUNCTION("""COMPUTED_VALUE"""),"High Point Central High School")</f>
        <v>High Point Central High School</v>
      </c>
      <c r="G1003" s="5">
        <f ca="1">IFERROR(__xludf.DUMMYFUNCTION("""COMPUTED_VALUE"""),0)</f>
        <v>0</v>
      </c>
      <c r="H1003" s="5">
        <f ca="1">IFERROR(__xludf.DUMMYFUNCTION("""COMPUTED_VALUE"""),0)</f>
        <v>0</v>
      </c>
      <c r="I1003" s="5">
        <f ca="1">IFERROR(__xludf.DUMMYFUNCTION("""COMPUTED_VALUE"""),0)</f>
        <v>0</v>
      </c>
      <c r="J1003" s="5">
        <f ca="1">IFERROR(__xludf.DUMMYFUNCTION("""COMPUTED_VALUE"""),0)</f>
        <v>0</v>
      </c>
      <c r="K1003" s="9" t="str">
        <f ca="1">IFERROR(__xludf.DUMMYFUNCTION("""COMPUTED_VALUE"""),"http://www.hpenews.com/free/shot-fired-at-central-high-school-no-one-injured/article_574ce5ba-dea8-11e7-b849-5ffd746bf19a.html")</f>
        <v>http://www.hpenews.com/free/shot-fired-at-central-high-school-no-one-injured/article_574ce5ba-dea8-11e7-b849-5ffd746bf19a.html</v>
      </c>
      <c r="L1003" s="5">
        <f ca="1">IFERROR(__xludf.DUMMYFUNCTION("""COMPUTED_VALUE"""),5)</f>
        <v>5</v>
      </c>
      <c r="M1003" s="5" t="str">
        <f ca="1">IFERROR(__xludf.DUMMYFUNCTION("""COMPUTED_VALUE"""),"Regional")</f>
        <v>Regional</v>
      </c>
      <c r="N1003" s="5">
        <f ca="1">IFERROR(__xludf.DUMMYFUNCTION("""COMPUTED_VALUE"""),2)</f>
        <v>2</v>
      </c>
      <c r="O1003" s="5" t="str">
        <f ca="1">IFERROR(__xludf.DUMMYFUNCTION("""COMPUTED_VALUE"""),"Winter")</f>
        <v>Winter</v>
      </c>
      <c r="P1003" s="5" t="str">
        <f ca="1">IFERROR(__xludf.DUMMYFUNCTION("""COMPUTED_VALUE"""),"High Point")</f>
        <v>High Point</v>
      </c>
      <c r="Q1003" s="5" t="str">
        <f ca="1">IFERROR(__xludf.DUMMYFUNCTION("""COMPUTED_VALUE"""),"NC")</f>
        <v>NC</v>
      </c>
      <c r="R1003" s="5" t="str">
        <f ca="1">IFERROR(__xludf.DUMMYFUNCTION("""COMPUTED_VALUE"""),"High")</f>
        <v>High</v>
      </c>
      <c r="S1003" s="5" t="str">
        <f ca="1">IFERROR(__xludf.DUMMYFUNCTION("""COMPUTED_VALUE"""),"Cafeteria")</f>
        <v>Cafeteria</v>
      </c>
      <c r="T1003" s="5" t="str">
        <f ca="1">IFERROR(__xludf.DUMMYFUNCTION("""COMPUTED_VALUE"""),"Inside School Building")</f>
        <v>Inside School Building</v>
      </c>
      <c r="U1003" s="5" t="str">
        <f ca="1">IFERROR(__xludf.DUMMYFUNCTION("""COMPUTED_VALUE"""),"Yes")</f>
        <v>Yes</v>
      </c>
      <c r="V1003" s="5" t="str">
        <f ca="1">IFERROR(__xludf.DUMMYFUNCTION("""COMPUTED_VALUE"""),"Afternoon Classes")</f>
        <v>Afternoon Classes</v>
      </c>
      <c r="W1003" s="10">
        <f ca="1">IFERROR(__xludf.DUMMYFUNCTION("""COMPUTED_VALUE"""),0.588888888888888)</f>
        <v>0.58888888888888802</v>
      </c>
      <c r="X1003" s="5">
        <f ca="1">IFERROR(__xludf.DUMMYFUNCTION("""COMPUTED_VALUE"""),1)</f>
        <v>1</v>
      </c>
      <c r="Y1003" s="5" t="str">
        <f ca="1">IFERROR(__xludf.DUMMYFUNCTION("""COMPUTED_VALUE"""),"Gang-related shooting near cafeteria")</f>
        <v>Gang-related shooting near cafeteria</v>
      </c>
      <c r="Z1003" s="5" t="str">
        <f ca="1">IFERROR(__xludf.DUMMYFUNCTION("""COMPUTED_VALUE"""),"A shot was fired near the cafeteria. No one was hurt, school went on lockdown. The suspect fled but was arrested. A second juvenile, current but suspended student, was also arrested in relation to the shooting. Gang-related.")</f>
        <v>A shot was fired near the cafeteria. No one was hurt, school went on lockdown. The suspect fled but was arrested. A second juvenile, current but suspended student, was also arrested in relation to the shooting. Gang-related.</v>
      </c>
      <c r="AA1003" s="5" t="str">
        <f ca="1">IFERROR(__xludf.DUMMYFUNCTION("""COMPUTED_VALUE"""),"Escalation of Dispute")</f>
        <v>Escalation of Dispute</v>
      </c>
      <c r="AB1003" s="5" t="str">
        <f ca="1">IFERROR(__xludf.DUMMYFUNCTION("""COMPUTED_VALUE"""),"Victims Targeted")</f>
        <v>Victims Targeted</v>
      </c>
      <c r="AC1003" s="5"/>
      <c r="AD1003" s="5" t="str">
        <f ca="1">IFERROR(__xludf.DUMMYFUNCTION("""COMPUTED_VALUE"""),"No")</f>
        <v>No</v>
      </c>
      <c r="AE1003" s="5" t="str">
        <f ca="1">IFERROR(__xludf.DUMMYFUNCTION("""COMPUTED_VALUE"""),"No")</f>
        <v>No</v>
      </c>
      <c r="AF1003" s="5" t="str">
        <f ca="1">IFERROR(__xludf.DUMMYFUNCTION("""COMPUTED_VALUE"""),"No")</f>
        <v>No</v>
      </c>
      <c r="AG1003" s="5" t="str">
        <f ca="1">IFERROR(__xludf.DUMMYFUNCTION("""COMPUTED_VALUE"""),"No")</f>
        <v>No</v>
      </c>
      <c r="AH1003" s="5" t="str">
        <f ca="1">IFERROR(__xludf.DUMMYFUNCTION("""COMPUTED_VALUE"""),"No")</f>
        <v>No</v>
      </c>
      <c r="AI1003" s="5" t="str">
        <f ca="1">IFERROR(__xludf.DUMMYFUNCTION("""COMPUTED_VALUE"""),"Yes")</f>
        <v>Yes</v>
      </c>
      <c r="AJ1003" s="5" t="str">
        <f ca="1">IFERROR(__xludf.DUMMYFUNCTION("""COMPUTED_VALUE"""),"No")</f>
        <v>No</v>
      </c>
    </row>
    <row r="1004" spans="1:36" ht="13">
      <c r="A1004" s="5" t="str">
        <f ca="1">IFERROR(__xludf.DUMMYFUNCTION("""COMPUTED_VALUE"""),"20171209ILCHC")</f>
        <v>20171209ILCHC</v>
      </c>
      <c r="B1004" s="5">
        <f ca="1">IFERROR(__xludf.DUMMYFUNCTION("""COMPUTED_VALUE"""),12)</f>
        <v>12</v>
      </c>
      <c r="C1004" s="5">
        <f ca="1">IFERROR(__xludf.DUMMYFUNCTION("""COMPUTED_VALUE"""),9)</f>
        <v>9</v>
      </c>
      <c r="D1004" s="5">
        <f ca="1">IFERROR(__xludf.DUMMYFUNCTION("""COMPUTED_VALUE"""),2017)</f>
        <v>2017</v>
      </c>
      <c r="E1004" s="8">
        <f ca="1">IFERROR(__xludf.DUMMYFUNCTION("""COMPUTED_VALUE"""),43078)</f>
        <v>43078</v>
      </c>
      <c r="F1004" s="5" t="str">
        <f ca="1">IFERROR(__xludf.DUMMYFUNCTION("""COMPUTED_VALUE"""),"Champaign Central High School")</f>
        <v>Champaign Central High School</v>
      </c>
      <c r="G1004" s="5">
        <f ca="1">IFERROR(__xludf.DUMMYFUNCTION("""COMPUTED_VALUE"""),0)</f>
        <v>0</v>
      </c>
      <c r="H1004" s="5">
        <f ca="1">IFERROR(__xludf.DUMMYFUNCTION("""COMPUTED_VALUE"""),3)</f>
        <v>3</v>
      </c>
      <c r="I1004" s="5">
        <f ca="1">IFERROR(__xludf.DUMMYFUNCTION("""COMPUTED_VALUE"""),3)</f>
        <v>3</v>
      </c>
      <c r="J1004" s="5">
        <f ca="1">IFERROR(__xludf.DUMMYFUNCTION("""COMPUTED_VALUE"""),0)</f>
        <v>0</v>
      </c>
      <c r="K1004" s="9" t="str">
        <f ca="1">IFERROR(__xludf.DUMMYFUNCTION("""COMPUTED_VALUE"""),"https://www.news-gazette.com/news/update-potential-fight-might-have-sparked-gunfire/article_644ff6c6-f9f5-5327-b078-630facba2e9b.html")</f>
        <v>https://www.news-gazette.com/news/update-potential-fight-might-have-sparked-gunfire/article_644ff6c6-f9f5-5327-b078-630facba2e9b.html</v>
      </c>
      <c r="L1004" s="5"/>
      <c r="M1004" s="5"/>
      <c r="N1004" s="5">
        <f ca="1">IFERROR(__xludf.DUMMYFUNCTION("""COMPUTED_VALUE"""),4)</f>
        <v>4</v>
      </c>
      <c r="O1004" s="5" t="str">
        <f ca="1">IFERROR(__xludf.DUMMYFUNCTION("""COMPUTED_VALUE"""),"Winter")</f>
        <v>Winter</v>
      </c>
      <c r="P1004" s="5" t="str">
        <f ca="1">IFERROR(__xludf.DUMMYFUNCTION("""COMPUTED_VALUE"""),"Champaign")</f>
        <v>Champaign</v>
      </c>
      <c r="Q1004" s="5" t="str">
        <f ca="1">IFERROR(__xludf.DUMMYFUNCTION("""COMPUTED_VALUE"""),"IL")</f>
        <v>IL</v>
      </c>
      <c r="R1004" s="5" t="str">
        <f ca="1">IFERROR(__xludf.DUMMYFUNCTION("""COMPUTED_VALUE"""),"High")</f>
        <v>High</v>
      </c>
      <c r="S1004" s="5" t="str">
        <f ca="1">IFERROR(__xludf.DUMMYFUNCTION("""COMPUTED_VALUE"""),"Parking Lot")</f>
        <v>Parking Lot</v>
      </c>
      <c r="T1004" s="5" t="str">
        <f ca="1">IFERROR(__xludf.DUMMYFUNCTION("""COMPUTED_VALUE"""),"Outside on School Property")</f>
        <v>Outside on School Property</v>
      </c>
      <c r="U1004" s="5" t="str">
        <f ca="1">IFERROR(__xludf.DUMMYFUNCTION("""COMPUTED_VALUE"""),"No")</f>
        <v>No</v>
      </c>
      <c r="V1004" s="5" t="str">
        <f ca="1">IFERROR(__xludf.DUMMYFUNCTION("""COMPUTED_VALUE"""),"Sport Event")</f>
        <v>Sport Event</v>
      </c>
      <c r="W1004" s="10">
        <f ca="1">IFERROR(__xludf.DUMMYFUNCTION("""COMPUTED_VALUE"""),0.888888888888888)</f>
        <v>0.88888888888888795</v>
      </c>
      <c r="X1004" s="5">
        <f ca="1">IFERROR(__xludf.DUMMYFUNCTION("""COMPUTED_VALUE"""),1)</f>
        <v>1</v>
      </c>
      <c r="Y1004" s="5" t="str">
        <f ca="1">IFERROR(__xludf.DUMMYFUNCTION("""COMPUTED_VALUE"""),"Shots fired during fight after basketball game")</f>
        <v>Shots fired during fight after basketball game</v>
      </c>
      <c r="Z1004" s="5" t="str">
        <f ca="1">IFERROR(__xludf.DUMMYFUNCTION("""COMPUTED_VALUE"""),"15YOF, 17YOF, and 18YOF were shot during fight outside of high school basketball game. Unknown shooter fled the scene.")</f>
        <v>15YOF, 17YOF, and 18YOF were shot during fight outside of high school basketball game. Unknown shooter fled the scene.</v>
      </c>
      <c r="AA1004" s="5" t="str">
        <f ca="1">IFERROR(__xludf.DUMMYFUNCTION("""COMPUTED_VALUE"""),"Escalation of Dispute")</f>
        <v>Escalation of Dispute</v>
      </c>
      <c r="AB1004" s="5" t="str">
        <f ca="1">IFERROR(__xludf.DUMMYFUNCTION("""COMPUTED_VALUE"""),"Both")</f>
        <v>Both</v>
      </c>
      <c r="AC1004" s="5"/>
      <c r="AD1004" s="5" t="str">
        <f ca="1">IFERROR(__xludf.DUMMYFUNCTION("""COMPUTED_VALUE"""),"No")</f>
        <v>No</v>
      </c>
      <c r="AE1004" s="5" t="str">
        <f ca="1">IFERROR(__xludf.DUMMYFUNCTION("""COMPUTED_VALUE"""),"No")</f>
        <v>No</v>
      </c>
      <c r="AF1004" s="5" t="str">
        <f ca="1">IFERROR(__xludf.DUMMYFUNCTION("""COMPUTED_VALUE"""),"No")</f>
        <v>No</v>
      </c>
      <c r="AG1004" s="5" t="str">
        <f ca="1">IFERROR(__xludf.DUMMYFUNCTION("""COMPUTED_VALUE"""),"No")</f>
        <v>No</v>
      </c>
      <c r="AH1004" s="5" t="str">
        <f ca="1">IFERROR(__xludf.DUMMYFUNCTION("""COMPUTED_VALUE"""),"No")</f>
        <v>No</v>
      </c>
      <c r="AI1004" s="5" t="str">
        <f ca="1">IFERROR(__xludf.DUMMYFUNCTION("""COMPUTED_VALUE"""),"No")</f>
        <v>No</v>
      </c>
      <c r="AJ1004" s="5" t="str">
        <f ca="1">IFERROR(__xludf.DUMMYFUNCTION("""COMPUTED_VALUE"""),"No")</f>
        <v>No</v>
      </c>
    </row>
    <row r="1005" spans="1:36" ht="13">
      <c r="A1005" s="5" t="str">
        <f ca="1">IFERROR(__xludf.DUMMYFUNCTION("""COMPUTED_VALUE"""),"20171207NMAZA")</f>
        <v>20171207NMAZA</v>
      </c>
      <c r="B1005" s="5">
        <f ca="1">IFERROR(__xludf.DUMMYFUNCTION("""COMPUTED_VALUE"""),12)</f>
        <v>12</v>
      </c>
      <c r="C1005" s="5">
        <f ca="1">IFERROR(__xludf.DUMMYFUNCTION("""COMPUTED_VALUE"""),7)</f>
        <v>7</v>
      </c>
      <c r="D1005" s="5">
        <f ca="1">IFERROR(__xludf.DUMMYFUNCTION("""COMPUTED_VALUE"""),2017)</f>
        <v>2017</v>
      </c>
      <c r="E1005" s="8">
        <f ca="1">IFERROR(__xludf.DUMMYFUNCTION("""COMPUTED_VALUE"""),43076)</f>
        <v>43076</v>
      </c>
      <c r="F1005" s="5" t="str">
        <f ca="1">IFERROR(__xludf.DUMMYFUNCTION("""COMPUTED_VALUE"""),"Aztec High School")</f>
        <v>Aztec High School</v>
      </c>
      <c r="G1005" s="5">
        <f ca="1">IFERROR(__xludf.DUMMYFUNCTION("""COMPUTED_VALUE"""),2)</f>
        <v>2</v>
      </c>
      <c r="H1005" s="5">
        <f ca="1">IFERROR(__xludf.DUMMYFUNCTION("""COMPUTED_VALUE"""),0)</f>
        <v>0</v>
      </c>
      <c r="I1005" s="5">
        <f ca="1">IFERROR(__xludf.DUMMYFUNCTION("""COMPUTED_VALUE"""),2)</f>
        <v>2</v>
      </c>
      <c r="J1005" s="5">
        <f ca="1">IFERROR(__xludf.DUMMYFUNCTION("""COMPUTED_VALUE"""),1)</f>
        <v>1</v>
      </c>
      <c r="K1005" s="5" t="str">
        <f ca="1">IFERROR(__xludf.DUMMYFUNCTION("""COMPUTED_VALUE"""),"https://lasvegassun.com/news/2021/apr/23/2017-campus-shooting-las-vegas-school-safety-event/ https://www.cnn.com/2017/12/08/us/aztec-high-school-shooting-william-atchison/index.html https://www.fbi.gov/file-repository/active-shooter-incidents-2000-2017.pd"&amp;"f")</f>
        <v>https://lasvegassun.com/news/2021/apr/23/2017-campus-shooting-las-vegas-school-safety-event/ https://www.cnn.com/2017/12/08/us/aztec-high-school-shooting-william-atchison/index.html https://www.fbi.gov/file-repository/active-shooter-incidents-2000-2017.pdf</v>
      </c>
      <c r="L1005" s="5">
        <f ca="1">IFERROR(__xludf.DUMMYFUNCTION("""COMPUTED_VALUE"""),100)</f>
        <v>100</v>
      </c>
      <c r="M1005" s="5" t="str">
        <f ca="1">IFERROR(__xludf.DUMMYFUNCTION("""COMPUTED_VALUE"""),"National")</f>
        <v>National</v>
      </c>
      <c r="N1005" s="5">
        <f ca="1">IFERROR(__xludf.DUMMYFUNCTION("""COMPUTED_VALUE"""),5)</f>
        <v>5</v>
      </c>
      <c r="O1005" s="5" t="str">
        <f ca="1">IFERROR(__xludf.DUMMYFUNCTION("""COMPUTED_VALUE"""),"Winter")</f>
        <v>Winter</v>
      </c>
      <c r="P1005" s="5" t="str">
        <f ca="1">IFERROR(__xludf.DUMMYFUNCTION("""COMPUTED_VALUE"""),"Aztec")</f>
        <v>Aztec</v>
      </c>
      <c r="Q1005" s="5" t="str">
        <f ca="1">IFERROR(__xludf.DUMMYFUNCTION("""COMPUTED_VALUE"""),"NM")</f>
        <v>NM</v>
      </c>
      <c r="R1005" s="5" t="str">
        <f ca="1">IFERROR(__xludf.DUMMYFUNCTION("""COMPUTED_VALUE"""),"High")</f>
        <v>High</v>
      </c>
      <c r="S1005" s="5" t="str">
        <f ca="1">IFERROR(__xludf.DUMMYFUNCTION("""COMPUTED_VALUE"""),"Classroom")</f>
        <v>Classroom</v>
      </c>
      <c r="T1005" s="5" t="str">
        <f ca="1">IFERROR(__xludf.DUMMYFUNCTION("""COMPUTED_VALUE"""),"Inside School Building")</f>
        <v>Inside School Building</v>
      </c>
      <c r="U1005" s="5" t="str">
        <f ca="1">IFERROR(__xludf.DUMMYFUNCTION("""COMPUTED_VALUE"""),"Yes")</f>
        <v>Yes</v>
      </c>
      <c r="V1005" s="5" t="str">
        <f ca="1">IFERROR(__xludf.DUMMYFUNCTION("""COMPUTED_VALUE"""),"Morning Classes")</f>
        <v>Morning Classes</v>
      </c>
      <c r="W1005" s="10">
        <f ca="1">IFERROR(__xludf.DUMMYFUNCTION("""COMPUTED_VALUE"""),0.336111111111111)</f>
        <v>0.33611111111111103</v>
      </c>
      <c r="X1005" s="5">
        <f ca="1">IFERROR(__xludf.DUMMYFUNCTION("""COMPUTED_VALUE"""),6)</f>
        <v>6</v>
      </c>
      <c r="Y1005" s="5" t="str">
        <f ca="1">IFERROR(__xludf.DUMMYFUNCTION("""COMPUTED_VALUE"""),"Planned mass shooting attack by former student")</f>
        <v>Planned mass shooting attack by former student</v>
      </c>
      <c r="Z1005" s="5" t="str">
        <f ca="1">IFERROR(__xludf.DUMMYFUNCTION("""COMPUTED_VALUE"""),"21-year-old former student pretended to be a student to gain entry into the building. School employees saw him with a handgun and called for a lockdown. Shooter fatally shot two students, then fired shots through the wall of the school office before fatal"&amp;"ly shooting himself. Shooter was investigated by the FBI and made extensive online posts and searches about school shootings. Shooter had attempted to buy a semi-automatic rifle. Shooter had created an video game map of the school that he used to practice"&amp;" prior to the attack and discussed the shooting online with other mass shooters.")</f>
        <v>21-year-old former student pretended to be a student to gain entry into the building. School employees saw him with a handgun and called for a lockdown. Shooter fatally shot two students, then fired shots through the wall of the school office before fatally shooting himself. Shooter was investigated by the FBI and made extensive online posts and searches about school shootings. Shooter had attempted to buy a semi-automatic rifle. Shooter had created an video game map of the school that he used to practice prior to the attack and discussed the shooting online with other mass shooters.</v>
      </c>
      <c r="AA1005" s="5" t="str">
        <f ca="1">IFERROR(__xludf.DUMMYFUNCTION("""COMPUTED_VALUE"""),"Indiscriminate Shooting")</f>
        <v>Indiscriminate Shooting</v>
      </c>
      <c r="AB1005" s="5" t="str">
        <f ca="1">IFERROR(__xludf.DUMMYFUNCTION("""COMPUTED_VALUE"""),"Random Shooting")</f>
        <v>Random Shooting</v>
      </c>
      <c r="AC1005" s="5" t="str">
        <f ca="1">IFERROR(__xludf.DUMMYFUNCTION("""COMPUTED_VALUE"""),"No")</f>
        <v>No</v>
      </c>
      <c r="AD1005" s="5" t="str">
        <f ca="1">IFERROR(__xludf.DUMMYFUNCTION("""COMPUTED_VALUE"""),"No")</f>
        <v>No</v>
      </c>
      <c r="AE1005" s="5" t="str">
        <f ca="1">IFERROR(__xludf.DUMMYFUNCTION("""COMPUTED_VALUE"""),"No")</f>
        <v>No</v>
      </c>
      <c r="AF1005" s="5" t="str">
        <f ca="1">IFERROR(__xludf.DUMMYFUNCTION("""COMPUTED_VALUE"""),"No")</f>
        <v>No</v>
      </c>
      <c r="AG1005" s="5" t="str">
        <f ca="1">IFERROR(__xludf.DUMMYFUNCTION("""COMPUTED_VALUE"""),"Yes")</f>
        <v>Yes</v>
      </c>
      <c r="AH1005" s="5" t="str">
        <f ca="1">IFERROR(__xludf.DUMMYFUNCTION("""COMPUTED_VALUE"""),"No")</f>
        <v>No</v>
      </c>
      <c r="AI1005" s="5" t="str">
        <f ca="1">IFERROR(__xludf.DUMMYFUNCTION("""COMPUTED_VALUE"""),"No")</f>
        <v>No</v>
      </c>
      <c r="AJ1005" s="5" t="str">
        <f ca="1">IFERROR(__xludf.DUMMYFUNCTION("""COMPUTED_VALUE"""),"Yes")</f>
        <v>Yes</v>
      </c>
    </row>
    <row r="1006" spans="1:36" ht="13">
      <c r="A1006" s="5" t="str">
        <f ca="1">IFERROR(__xludf.DUMMYFUNCTION("""COMPUTED_VALUE"""),"20171130VASAV")</f>
        <v>20171130VASAV</v>
      </c>
      <c r="B1006" s="5">
        <f ca="1">IFERROR(__xludf.DUMMYFUNCTION("""COMPUTED_VALUE"""),11)</f>
        <v>11</v>
      </c>
      <c r="C1006" s="5">
        <f ca="1">IFERROR(__xludf.DUMMYFUNCTION("""COMPUTED_VALUE"""),30)</f>
        <v>30</v>
      </c>
      <c r="D1006" s="5">
        <f ca="1">IFERROR(__xludf.DUMMYFUNCTION("""COMPUTED_VALUE"""),2017)</f>
        <v>2017</v>
      </c>
      <c r="E1006" s="8">
        <f ca="1">IFERROR(__xludf.DUMMYFUNCTION("""COMPUTED_VALUE"""),43069)</f>
        <v>43069</v>
      </c>
      <c r="F1006" s="5" t="str">
        <f ca="1">IFERROR(__xludf.DUMMYFUNCTION("""COMPUTED_VALUE"""),"Salem High School")</f>
        <v>Salem High School</v>
      </c>
      <c r="G1006" s="5">
        <f ca="1">IFERROR(__xludf.DUMMYFUNCTION("""COMPUTED_VALUE"""),0)</f>
        <v>0</v>
      </c>
      <c r="H1006" s="5">
        <f ca="1">IFERROR(__xludf.DUMMYFUNCTION("""COMPUTED_VALUE"""),0)</f>
        <v>0</v>
      </c>
      <c r="I1006" s="5">
        <f ca="1">IFERROR(__xludf.DUMMYFUNCTION("""COMPUTED_VALUE"""),0)</f>
        <v>0</v>
      </c>
      <c r="J1006" s="5">
        <f ca="1">IFERROR(__xludf.DUMMYFUNCTION("""COMPUTED_VALUE"""),1)</f>
        <v>1</v>
      </c>
      <c r="K1006" s="5" t="str">
        <f ca="1">IFERROR(__xludf.DUMMYFUNCTION("""COMPUTED_VALUE"""),"https://wtkr.com/2017/12/01/police-salem-hs-student-died-from-self-inflicted-gunshot-wound/ .  https://wtkr.com/2017/12/01/school-mourns-after-teen-shot-himself-in-school-bathroom/ https://www.wavy.com/news/salem-high-school-on-lockdown-due-to-student-wit"&amp;"h-medical-emergency/1078260255")</f>
        <v>https://wtkr.com/2017/12/01/police-salem-hs-student-died-from-self-inflicted-gunshot-wound/ .  https://wtkr.com/2017/12/01/school-mourns-after-teen-shot-himself-in-school-bathroom/ https://www.wavy.com/news/salem-high-school-on-lockdown-due-to-student-with-medical-emergency/1078260255</v>
      </c>
      <c r="L1006" s="5"/>
      <c r="M1006" s="5"/>
      <c r="N1006" s="5">
        <f ca="1">IFERROR(__xludf.DUMMYFUNCTION("""COMPUTED_VALUE"""),3)</f>
        <v>3</v>
      </c>
      <c r="O1006" s="5" t="str">
        <f ca="1">IFERROR(__xludf.DUMMYFUNCTION("""COMPUTED_VALUE"""),"Fall")</f>
        <v>Fall</v>
      </c>
      <c r="P1006" s="5" t="str">
        <f ca="1">IFERROR(__xludf.DUMMYFUNCTION("""COMPUTED_VALUE"""),"Virginia Beach")</f>
        <v>Virginia Beach</v>
      </c>
      <c r="Q1006" s="5" t="str">
        <f ca="1">IFERROR(__xludf.DUMMYFUNCTION("""COMPUTED_VALUE"""),"VA")</f>
        <v>VA</v>
      </c>
      <c r="R1006" s="5" t="str">
        <f ca="1">IFERROR(__xludf.DUMMYFUNCTION("""COMPUTED_VALUE"""),"High")</f>
        <v>High</v>
      </c>
      <c r="S1006" s="5" t="str">
        <f ca="1">IFERROR(__xludf.DUMMYFUNCTION("""COMPUTED_VALUE"""),"Inside School Building")</f>
        <v>Inside School Building</v>
      </c>
      <c r="T1006" s="5" t="str">
        <f ca="1">IFERROR(__xludf.DUMMYFUNCTION("""COMPUTED_VALUE"""),"Inside School Building")</f>
        <v>Inside School Building</v>
      </c>
      <c r="U1006" s="5" t="str">
        <f ca="1">IFERROR(__xludf.DUMMYFUNCTION("""COMPUTED_VALUE"""),"Yes")</f>
        <v>Yes</v>
      </c>
      <c r="V1006" s="5" t="str">
        <f ca="1">IFERROR(__xludf.DUMMYFUNCTION("""COMPUTED_VALUE"""),"School Start")</f>
        <v>School Start</v>
      </c>
      <c r="W1006" s="10">
        <f ca="1">IFERROR(__xludf.DUMMYFUNCTION("""COMPUTED_VALUE"""),0.340277777777777)</f>
        <v>0.34027777777777701</v>
      </c>
      <c r="X1006" s="5">
        <f ca="1">IFERROR(__xludf.DUMMYFUNCTION("""COMPUTED_VALUE"""),1)</f>
        <v>1</v>
      </c>
      <c r="Y1006" s="5" t="str">
        <f ca="1">IFERROR(__xludf.DUMMYFUNCTION("""COMPUTED_VALUE"""),"Student commit suicide in school")</f>
        <v>Student commit suicide in school</v>
      </c>
      <c r="Z1006" s="5" t="str">
        <f ca="1">IFERROR(__xludf.DUMMYFUNCTION("""COMPUTED_VALUE"""),"Student commit suicide inside school. Details unknown.")</f>
        <v>Student commit suicide inside school. Details unknown.</v>
      </c>
      <c r="AA1006" s="5" t="str">
        <f ca="1">IFERROR(__xludf.DUMMYFUNCTION("""COMPUTED_VALUE"""),"Suicide/Attempted")</f>
        <v>Suicide/Attempted</v>
      </c>
      <c r="AB1006" s="5" t="str">
        <f ca="1">IFERROR(__xludf.DUMMYFUNCTION("""COMPUTED_VALUE"""),"Victims Targeted")</f>
        <v>Victims Targeted</v>
      </c>
      <c r="AC1006" s="5" t="str">
        <f ca="1">IFERROR(__xludf.DUMMYFUNCTION("""COMPUTED_VALUE"""),"No")</f>
        <v>No</v>
      </c>
      <c r="AD1006" s="5" t="str">
        <f ca="1">IFERROR(__xludf.DUMMYFUNCTION("""COMPUTED_VALUE"""),"No")</f>
        <v>No</v>
      </c>
      <c r="AE1006" s="5" t="str">
        <f ca="1">IFERROR(__xludf.DUMMYFUNCTION("""COMPUTED_VALUE"""),"No")</f>
        <v>No</v>
      </c>
      <c r="AF1006" s="5" t="str">
        <f ca="1">IFERROR(__xludf.DUMMYFUNCTION("""COMPUTED_VALUE"""),"No")</f>
        <v>No</v>
      </c>
      <c r="AG1006" s="5" t="str">
        <f ca="1">IFERROR(__xludf.DUMMYFUNCTION("""COMPUTED_VALUE"""),"No")</f>
        <v>No</v>
      </c>
      <c r="AH1006" s="5" t="str">
        <f ca="1">IFERROR(__xludf.DUMMYFUNCTION("""COMPUTED_VALUE"""),"No")</f>
        <v>No</v>
      </c>
      <c r="AI1006" s="5" t="str">
        <f ca="1">IFERROR(__xludf.DUMMYFUNCTION("""COMPUTED_VALUE"""),"No")</f>
        <v>No</v>
      </c>
      <c r="AJ1006" s="5" t="str">
        <f ca="1">IFERROR(__xludf.DUMMYFUNCTION("""COMPUTED_VALUE"""),"No")</f>
        <v>No</v>
      </c>
    </row>
    <row r="1007" spans="1:36" ht="13">
      <c r="A1007" s="5" t="str">
        <f ca="1">IFERROR(__xludf.DUMMYFUNCTION("""COMPUTED_VALUE"""),"20171129OHBAL")</f>
        <v>20171129OHBAL</v>
      </c>
      <c r="B1007" s="5">
        <f ca="1">IFERROR(__xludf.DUMMYFUNCTION("""COMPUTED_VALUE"""),11)</f>
        <v>11</v>
      </c>
      <c r="C1007" s="5">
        <f ca="1">IFERROR(__xludf.DUMMYFUNCTION("""COMPUTED_VALUE"""),29)</f>
        <v>29</v>
      </c>
      <c r="D1007" s="5">
        <f ca="1">IFERROR(__xludf.DUMMYFUNCTION("""COMPUTED_VALUE"""),2017)</f>
        <v>2017</v>
      </c>
      <c r="E1007" s="8">
        <f ca="1">IFERROR(__xludf.DUMMYFUNCTION("""COMPUTED_VALUE"""),43068)</f>
        <v>43068</v>
      </c>
      <c r="F1007" s="5" t="str">
        <f ca="1">IFERROR(__xludf.DUMMYFUNCTION("""COMPUTED_VALUE"""),"Bath High School")</f>
        <v>Bath High School</v>
      </c>
      <c r="G1007" s="5">
        <f ca="1">IFERROR(__xludf.DUMMYFUNCTION("""COMPUTED_VALUE"""),0)</f>
        <v>0</v>
      </c>
      <c r="H1007" s="5">
        <f ca="1">IFERROR(__xludf.DUMMYFUNCTION("""COMPUTED_VALUE"""),0)</f>
        <v>0</v>
      </c>
      <c r="I1007" s="5">
        <f ca="1">IFERROR(__xludf.DUMMYFUNCTION("""COMPUTED_VALUE"""),0)</f>
        <v>0</v>
      </c>
      <c r="J1007" s="5">
        <f ca="1">IFERROR(__xludf.DUMMYFUNCTION("""COMPUTED_VALUE"""),0)</f>
        <v>0</v>
      </c>
      <c r="K1007" s="9" t="str">
        <f ca="1">IFERROR(__xludf.DUMMYFUNCTION("""COMPUTED_VALUE"""),"https://www.limaohio.com/news/273390/lima-man-arrested-after-gun-goes-off-accidentally-at-bath-high-school")</f>
        <v>https://www.limaohio.com/news/273390/lima-man-arrested-after-gun-goes-off-accidentally-at-bath-high-school</v>
      </c>
      <c r="L1007" s="5"/>
      <c r="M1007" s="5"/>
      <c r="N1007" s="5">
        <f ca="1">IFERROR(__xludf.DUMMYFUNCTION("""COMPUTED_VALUE"""),2)</f>
        <v>2</v>
      </c>
      <c r="O1007" s="5" t="str">
        <f ca="1">IFERROR(__xludf.DUMMYFUNCTION("""COMPUTED_VALUE"""),"Fall")</f>
        <v>Fall</v>
      </c>
      <c r="P1007" s="5" t="str">
        <f ca="1">IFERROR(__xludf.DUMMYFUNCTION("""COMPUTED_VALUE"""),"Lima")</f>
        <v>Lima</v>
      </c>
      <c r="Q1007" s="5" t="str">
        <f ca="1">IFERROR(__xludf.DUMMYFUNCTION("""COMPUTED_VALUE"""),"OH")</f>
        <v>OH</v>
      </c>
      <c r="R1007" s="5" t="str">
        <f ca="1">IFERROR(__xludf.DUMMYFUNCTION("""COMPUTED_VALUE"""),"High")</f>
        <v>High</v>
      </c>
      <c r="S1007" s="5" t="str">
        <f ca="1">IFERROR(__xludf.DUMMYFUNCTION("""COMPUTED_VALUE"""),"Gym")</f>
        <v>Gym</v>
      </c>
      <c r="T1007" s="5" t="str">
        <f ca="1">IFERROR(__xludf.DUMMYFUNCTION("""COMPUTED_VALUE"""),"Inside School Building")</f>
        <v>Inside School Building</v>
      </c>
      <c r="U1007" s="5" t="str">
        <f ca="1">IFERROR(__xludf.DUMMYFUNCTION("""COMPUTED_VALUE"""),"No")</f>
        <v>No</v>
      </c>
      <c r="V1007" s="5" t="str">
        <f ca="1">IFERROR(__xludf.DUMMYFUNCTION("""COMPUTED_VALUE"""),"Evening")</f>
        <v>Evening</v>
      </c>
      <c r="W1007" s="10">
        <f ca="1">IFERROR(__xludf.DUMMYFUNCTION("""COMPUTED_VALUE"""),0.791666666666666)</f>
        <v>0.79166666666666596</v>
      </c>
      <c r="X1007" s="5">
        <f ca="1">IFERROR(__xludf.DUMMYFUNCTION("""COMPUTED_VALUE"""),1)</f>
        <v>1</v>
      </c>
      <c r="Y1007" s="5" t="str">
        <f ca="1">IFERROR(__xludf.DUMMYFUNCTION("""COMPUTED_VALUE"""),"Gun discharged in man's pocket while at basketball referees' meeting")</f>
        <v>Gun discharged in man's pocket while at basketball referees' meeting</v>
      </c>
      <c r="Z1007" s="5" t="str">
        <f ca="1">IFERROR(__xludf.DUMMYFUNCTION("""COMPUTED_VALUE"""),"Gun discharged in 49YOM pocket while attending basketball referees meeting. No injuries. Arrested and charged with possession of firearm at school.")</f>
        <v>Gun discharged in 49YOM pocket while attending basketball referees meeting. No injuries. Arrested and charged with possession of firearm at school.</v>
      </c>
      <c r="AA1007" s="5" t="str">
        <f ca="1">IFERROR(__xludf.DUMMYFUNCTION("""COMPUTED_VALUE"""),"Accidental")</f>
        <v>Accidental</v>
      </c>
      <c r="AB1007" s="5" t="str">
        <f ca="1">IFERROR(__xludf.DUMMYFUNCTION("""COMPUTED_VALUE"""),"Neither")</f>
        <v>Neither</v>
      </c>
      <c r="AC1007" s="5" t="str">
        <f ca="1">IFERROR(__xludf.DUMMYFUNCTION("""COMPUTED_VALUE"""),"No")</f>
        <v>No</v>
      </c>
      <c r="AD1007" s="5" t="str">
        <f ca="1">IFERROR(__xludf.DUMMYFUNCTION("""COMPUTED_VALUE"""),"No")</f>
        <v>No</v>
      </c>
      <c r="AE1007" s="5" t="str">
        <f ca="1">IFERROR(__xludf.DUMMYFUNCTION("""COMPUTED_VALUE"""),"No")</f>
        <v>No</v>
      </c>
      <c r="AF1007" s="5" t="str">
        <f ca="1">IFERROR(__xludf.DUMMYFUNCTION("""COMPUTED_VALUE"""),"No")</f>
        <v>No</v>
      </c>
      <c r="AG1007" s="5" t="str">
        <f ca="1">IFERROR(__xludf.DUMMYFUNCTION("""COMPUTED_VALUE"""),"No")</f>
        <v>No</v>
      </c>
      <c r="AH1007" s="5" t="str">
        <f ca="1">IFERROR(__xludf.DUMMYFUNCTION("""COMPUTED_VALUE"""),"No")</f>
        <v>No</v>
      </c>
      <c r="AI1007" s="5" t="str">
        <f ca="1">IFERROR(__xludf.DUMMYFUNCTION("""COMPUTED_VALUE"""),"No")</f>
        <v>No</v>
      </c>
      <c r="AJ1007" s="5" t="str">
        <f ca="1">IFERROR(__xludf.DUMMYFUNCTION("""COMPUTED_VALUE"""),"No")</f>
        <v>No</v>
      </c>
    </row>
    <row r="1008" spans="1:36" ht="13">
      <c r="A1008" s="5" t="str">
        <f ca="1">IFERROR(__xludf.DUMMYFUNCTION("""COMPUTED_VALUE"""),"20171128CABOS")</f>
        <v>20171128CABOS</v>
      </c>
      <c r="B1008" s="5">
        <f ca="1">IFERROR(__xludf.DUMMYFUNCTION("""COMPUTED_VALUE"""),11)</f>
        <v>11</v>
      </c>
      <c r="C1008" s="5">
        <f ca="1">IFERROR(__xludf.DUMMYFUNCTION("""COMPUTED_VALUE"""),28)</f>
        <v>28</v>
      </c>
      <c r="D1008" s="5">
        <f ca="1">IFERROR(__xludf.DUMMYFUNCTION("""COMPUTED_VALUE"""),2017)</f>
        <v>2017</v>
      </c>
      <c r="E1008" s="8">
        <f ca="1">IFERROR(__xludf.DUMMYFUNCTION("""COMPUTED_VALUE"""),43067)</f>
        <v>43067</v>
      </c>
      <c r="F1008" s="5" t="str">
        <f ca="1">IFERROR(__xludf.DUMMYFUNCTION("""COMPUTED_VALUE"""),"Booksin Elementary School")</f>
        <v>Booksin Elementary School</v>
      </c>
      <c r="G1008" s="5">
        <f ca="1">IFERROR(__xludf.DUMMYFUNCTION("""COMPUTED_VALUE"""),0)</f>
        <v>0</v>
      </c>
      <c r="H1008" s="5">
        <f ca="1">IFERROR(__xludf.DUMMYFUNCTION("""COMPUTED_VALUE"""),0)</f>
        <v>0</v>
      </c>
      <c r="I1008" s="5">
        <f ca="1">IFERROR(__xludf.DUMMYFUNCTION("""COMPUTED_VALUE"""),0)</f>
        <v>0</v>
      </c>
      <c r="J1008" s="5">
        <f ca="1">IFERROR(__xludf.DUMMYFUNCTION("""COMPUTED_VALUE"""),0)</f>
        <v>0</v>
      </c>
      <c r="K1008" s="5" t="str">
        <f ca="1">IFERROR(__xludf.DUMMYFUNCTION("""COMPUTED_VALUE"""),"http://www.ktvu.com/news/suspect-arrested-after-bullets-fired-at-booksin-elementary-in-san-jose  https://www.nbcbayarea.com/news/local/Arrest-Shooting-Booksin-Elementary-School-San-Jose-Police-460768833.html")</f>
        <v>http://www.ktvu.com/news/suspect-arrested-after-bullets-fired-at-booksin-elementary-in-san-jose  https://www.nbcbayarea.com/news/local/Arrest-Shooting-Booksin-Elementary-School-San-Jose-Police-460768833.html</v>
      </c>
      <c r="L1008" s="5"/>
      <c r="M1008" s="5"/>
      <c r="N1008" s="5">
        <f ca="1">IFERROR(__xludf.DUMMYFUNCTION("""COMPUTED_VALUE"""),3)</f>
        <v>3</v>
      </c>
      <c r="O1008" s="5" t="str">
        <f ca="1">IFERROR(__xludf.DUMMYFUNCTION("""COMPUTED_VALUE"""),"Fall")</f>
        <v>Fall</v>
      </c>
      <c r="P1008" s="5" t="str">
        <f ca="1">IFERROR(__xludf.DUMMYFUNCTION("""COMPUTED_VALUE"""),"San Jose")</f>
        <v>San Jose</v>
      </c>
      <c r="Q1008" s="5" t="str">
        <f ca="1">IFERROR(__xludf.DUMMYFUNCTION("""COMPUTED_VALUE"""),"CA")</f>
        <v>CA</v>
      </c>
      <c r="R1008" s="5" t="str">
        <f ca="1">IFERROR(__xludf.DUMMYFUNCTION("""COMPUTED_VALUE"""),"Elementary")</f>
        <v>Elementary</v>
      </c>
      <c r="S1008" s="5" t="str">
        <f ca="1">IFERROR(__xludf.DUMMYFUNCTION("""COMPUTED_VALUE"""),"Beside Building")</f>
        <v>Beside Building</v>
      </c>
      <c r="T1008" s="5" t="str">
        <f ca="1">IFERROR(__xludf.DUMMYFUNCTION("""COMPUTED_VALUE"""),"Outside on School Property")</f>
        <v>Outside on School Property</v>
      </c>
      <c r="U1008" s="5" t="str">
        <f ca="1">IFERROR(__xludf.DUMMYFUNCTION("""COMPUTED_VALUE"""),"No")</f>
        <v>No</v>
      </c>
      <c r="V1008" s="5" t="str">
        <f ca="1">IFERROR(__xludf.DUMMYFUNCTION("""COMPUTED_VALUE"""),"Night")</f>
        <v>Night</v>
      </c>
      <c r="W1008" s="10">
        <f ca="1">IFERROR(__xludf.DUMMYFUNCTION("""COMPUTED_VALUE"""),0.166666666666666)</f>
        <v>0.16666666666666599</v>
      </c>
      <c r="X1008" s="5">
        <f ca="1">IFERROR(__xludf.DUMMYFUNCTION("""COMPUTED_VALUE"""),1)</f>
        <v>1</v>
      </c>
      <c r="Y1008" s="5" t="str">
        <f ca="1">IFERROR(__xludf.DUMMYFUNCTION("""COMPUTED_VALUE"""),"Shot school security cameras")</f>
        <v>Shot school security cameras</v>
      </c>
      <c r="Z1008" s="5" t="str">
        <f ca="1">IFERROR(__xludf.DUMMYFUNCTION("""COMPUTED_VALUE"""),"Shooter shot two school security cameras. Later arrested at his home. Unknown motive.")</f>
        <v>Shooter shot two school security cameras. Later arrested at his home. Unknown motive.</v>
      </c>
      <c r="AA1008" s="5" t="str">
        <f ca="1">IFERROR(__xludf.DUMMYFUNCTION("""COMPUTED_VALUE"""),"Intentional Property Damage")</f>
        <v>Intentional Property Damage</v>
      </c>
      <c r="AB1008" s="5" t="str">
        <f ca="1">IFERROR(__xludf.DUMMYFUNCTION("""COMPUTED_VALUE"""),"NA")</f>
        <v>NA</v>
      </c>
      <c r="AC1008" s="5"/>
      <c r="AD1008" s="5" t="str">
        <f ca="1">IFERROR(__xludf.DUMMYFUNCTION("""COMPUTED_VALUE"""),"No")</f>
        <v>No</v>
      </c>
      <c r="AE1008" s="5" t="str">
        <f ca="1">IFERROR(__xludf.DUMMYFUNCTION("""COMPUTED_VALUE"""),"No")</f>
        <v>No</v>
      </c>
      <c r="AF1008" s="5" t="str">
        <f ca="1">IFERROR(__xludf.DUMMYFUNCTION("""COMPUTED_VALUE"""),"No")</f>
        <v>No</v>
      </c>
      <c r="AG1008" s="5" t="str">
        <f ca="1">IFERROR(__xludf.DUMMYFUNCTION("""COMPUTED_VALUE"""),"N/A")</f>
        <v>N/A</v>
      </c>
      <c r="AH1008" s="5" t="str">
        <f ca="1">IFERROR(__xludf.DUMMYFUNCTION("""COMPUTED_VALUE"""),"N/A")</f>
        <v>N/A</v>
      </c>
      <c r="AI1008" s="5" t="str">
        <f ca="1">IFERROR(__xludf.DUMMYFUNCTION("""COMPUTED_VALUE"""),"No")</f>
        <v>No</v>
      </c>
      <c r="AJ1008" s="5" t="str">
        <f ca="1">IFERROR(__xludf.DUMMYFUNCTION("""COMPUTED_VALUE"""),"No")</f>
        <v>No</v>
      </c>
    </row>
    <row r="1009" spans="1:36" ht="13">
      <c r="A1009" s="5" t="str">
        <f ca="1">IFERROR(__xludf.DUMMYFUNCTION("""COMPUTED_VALUE"""),"20171123COMAD")</f>
        <v>20171123COMAD</v>
      </c>
      <c r="B1009" s="5">
        <f ca="1">IFERROR(__xludf.DUMMYFUNCTION("""COMPUTED_VALUE"""),11)</f>
        <v>11</v>
      </c>
      <c r="C1009" s="5">
        <f ca="1">IFERROR(__xludf.DUMMYFUNCTION("""COMPUTED_VALUE"""),23)</f>
        <v>23</v>
      </c>
      <c r="D1009" s="5">
        <f ca="1">IFERROR(__xludf.DUMMYFUNCTION("""COMPUTED_VALUE"""),2017)</f>
        <v>2017</v>
      </c>
      <c r="E1009" s="8">
        <f ca="1">IFERROR(__xludf.DUMMYFUNCTION("""COMPUTED_VALUE"""),43062)</f>
        <v>43062</v>
      </c>
      <c r="F1009" s="5" t="str">
        <f ca="1">IFERROR(__xludf.DUMMYFUNCTION("""COMPUTED_VALUE"""),"Manual High School")</f>
        <v>Manual High School</v>
      </c>
      <c r="G1009" s="5">
        <f ca="1">IFERROR(__xludf.DUMMYFUNCTION("""COMPUTED_VALUE"""),0)</f>
        <v>0</v>
      </c>
      <c r="H1009" s="5">
        <f ca="1">IFERROR(__xludf.DUMMYFUNCTION("""COMPUTED_VALUE"""),3)</f>
        <v>3</v>
      </c>
      <c r="I1009" s="5">
        <f ca="1">IFERROR(__xludf.DUMMYFUNCTION("""COMPUTED_VALUE"""),3)</f>
        <v>3</v>
      </c>
      <c r="J1009" s="5">
        <f ca="1">IFERROR(__xludf.DUMMYFUNCTION("""COMPUTED_VALUE"""),0)</f>
        <v>0</v>
      </c>
      <c r="K1009" s="9" t="str">
        <f ca="1">IFERROR(__xludf.DUMMYFUNCTION("""COMPUTED_VALUE"""),"https://www.denverpost.com/2017/11/23/shooting-near-manual-high-school-denver/")</f>
        <v>https://www.denverpost.com/2017/11/23/shooting-near-manual-high-school-denver/</v>
      </c>
      <c r="L1009" s="5"/>
      <c r="M1009" s="5"/>
      <c r="N1009" s="5">
        <f ca="1">IFERROR(__xludf.DUMMYFUNCTION("""COMPUTED_VALUE"""),2)</f>
        <v>2</v>
      </c>
      <c r="O1009" s="5" t="str">
        <f ca="1">IFERROR(__xludf.DUMMYFUNCTION("""COMPUTED_VALUE"""),"Fall")</f>
        <v>Fall</v>
      </c>
      <c r="P1009" s="5" t="str">
        <f ca="1">IFERROR(__xludf.DUMMYFUNCTION("""COMPUTED_VALUE"""),"Denver")</f>
        <v>Denver</v>
      </c>
      <c r="Q1009" s="5" t="str">
        <f ca="1">IFERROR(__xludf.DUMMYFUNCTION("""COMPUTED_VALUE"""),"CO")</f>
        <v>CO</v>
      </c>
      <c r="R1009" s="5" t="str">
        <f ca="1">IFERROR(__xludf.DUMMYFUNCTION("""COMPUTED_VALUE"""),"High")</f>
        <v>High</v>
      </c>
      <c r="S1009" s="5" t="str">
        <f ca="1">IFERROR(__xludf.DUMMYFUNCTION("""COMPUTED_VALUE"""),"Parking Lot")</f>
        <v>Parking Lot</v>
      </c>
      <c r="T1009" s="5" t="str">
        <f ca="1">IFERROR(__xludf.DUMMYFUNCTION("""COMPUTED_VALUE"""),"Outside on School Property")</f>
        <v>Outside on School Property</v>
      </c>
      <c r="U1009" s="5" t="str">
        <f ca="1">IFERROR(__xludf.DUMMYFUNCTION("""COMPUTED_VALUE"""),"No")</f>
        <v>No</v>
      </c>
      <c r="V1009" s="5" t="str">
        <f ca="1">IFERROR(__xludf.DUMMYFUNCTION("""COMPUTED_VALUE"""),"Not a School Day")</f>
        <v>Not a School Day</v>
      </c>
      <c r="W1009" s="10">
        <f ca="1">IFERROR(__xludf.DUMMYFUNCTION("""COMPUTED_VALUE"""),0.504166666666666)</f>
        <v>0.50416666666666599</v>
      </c>
      <c r="X1009" s="5">
        <f ca="1">IFERROR(__xludf.DUMMYFUNCTION("""COMPUTED_VALUE"""),1)</f>
        <v>1</v>
      </c>
      <c r="Y1009" s="5" t="str">
        <f ca="1">IFERROR(__xludf.DUMMYFUNCTION("""COMPUTED_VALUE"""),"Three gunman fired multiple shots at 3 victims inside of car in school parking lot")</f>
        <v>Three gunman fired multiple shots at 3 victims inside of car in school parking lot</v>
      </c>
      <c r="Z1009" s="5" t="str">
        <f ca="1">IFERROR(__xludf.DUMMYFUNCTION("""COMPUTED_VALUE"""),"Three unknown gunman fired multiple shots at 3 victims (woman and two boys) inside of a car parked in the school parking lot. Unknown suspects. Police said shooting was gang related.
 *Thanksgiving day and school was not in session")</f>
        <v>Three unknown gunman fired multiple shots at 3 victims (woman and two boys) inside of a car parked in the school parking lot. Unknown suspects. Police said shooting was gang related.
 *Thanksgiving day and school was not in session</v>
      </c>
      <c r="AA1009" s="5" t="str">
        <f ca="1">IFERROR(__xludf.DUMMYFUNCTION("""COMPUTED_VALUE"""),"Escalation of Dispute")</f>
        <v>Escalation of Dispute</v>
      </c>
      <c r="AB1009" s="5"/>
      <c r="AC1009" s="5" t="str">
        <f ca="1">IFERROR(__xludf.DUMMYFUNCTION("""COMPUTED_VALUE"""),"Yes")</f>
        <v>Yes</v>
      </c>
      <c r="AD1009" s="5" t="str">
        <f ca="1">IFERROR(__xludf.DUMMYFUNCTION("""COMPUTED_VALUE"""),"No")</f>
        <v>No</v>
      </c>
      <c r="AE1009" s="5" t="str">
        <f ca="1">IFERROR(__xludf.DUMMYFUNCTION("""COMPUTED_VALUE"""),"No")</f>
        <v>No</v>
      </c>
      <c r="AF1009" s="5" t="str">
        <f ca="1">IFERROR(__xludf.DUMMYFUNCTION("""COMPUTED_VALUE"""),"No")</f>
        <v>No</v>
      </c>
      <c r="AG1009" s="5" t="str">
        <f ca="1">IFERROR(__xludf.DUMMYFUNCTION("""COMPUTED_VALUE"""),"No")</f>
        <v>No</v>
      </c>
      <c r="AH1009" s="5" t="str">
        <f ca="1">IFERROR(__xludf.DUMMYFUNCTION("""COMPUTED_VALUE"""),"No")</f>
        <v>No</v>
      </c>
      <c r="AI1009" s="5" t="str">
        <f ca="1">IFERROR(__xludf.DUMMYFUNCTION("""COMPUTED_VALUE"""),"Yes")</f>
        <v>Yes</v>
      </c>
      <c r="AJ1009" s="5" t="str">
        <f ca="1">IFERROR(__xludf.DUMMYFUNCTION("""COMPUTED_VALUE"""),"No")</f>
        <v>No</v>
      </c>
    </row>
    <row r="1010" spans="1:36" ht="13">
      <c r="A1010" s="5" t="str">
        <f ca="1">IFERROR(__xludf.DUMMYFUNCTION("""COMPUTED_VALUE"""),"20171117TNNOJ")</f>
        <v>20171117TNNOJ</v>
      </c>
      <c r="B1010" s="5">
        <f ca="1">IFERROR(__xludf.DUMMYFUNCTION("""COMPUTED_VALUE"""),11)</f>
        <v>11</v>
      </c>
      <c r="C1010" s="5">
        <f ca="1">IFERROR(__xludf.DUMMYFUNCTION("""COMPUTED_VALUE"""),17)</f>
        <v>17</v>
      </c>
      <c r="D1010" s="5">
        <f ca="1">IFERROR(__xludf.DUMMYFUNCTION("""COMPUTED_VALUE"""),2017)</f>
        <v>2017</v>
      </c>
      <c r="E1010" s="8">
        <f ca="1">IFERROR(__xludf.DUMMYFUNCTION("""COMPUTED_VALUE"""),43056)</f>
        <v>43056</v>
      </c>
      <c r="F1010" s="5" t="str">
        <f ca="1">IFERROR(__xludf.DUMMYFUNCTION("""COMPUTED_VALUE"""),"North Side High School")</f>
        <v>North Side High School</v>
      </c>
      <c r="G1010" s="5">
        <f ca="1">IFERROR(__xludf.DUMMYFUNCTION("""COMPUTED_VALUE"""),0)</f>
        <v>0</v>
      </c>
      <c r="H1010" s="5">
        <f ca="1">IFERROR(__xludf.DUMMYFUNCTION("""COMPUTED_VALUE"""),0)</f>
        <v>0</v>
      </c>
      <c r="I1010" s="5">
        <f ca="1">IFERROR(__xludf.DUMMYFUNCTION("""COMPUTED_VALUE"""),0)</f>
        <v>0</v>
      </c>
      <c r="J1010" s="5">
        <f ca="1">IFERROR(__xludf.DUMMYFUNCTION("""COMPUTED_VALUE"""),0)</f>
        <v>0</v>
      </c>
      <c r="K1010" s="9" t="str">
        <f ca="1">IFERROR(__xludf.DUMMYFUNCTION("""COMPUTED_VALUE"""),"https://www.wbbjtv.com/2017/11/18/shots-fired-north-side-high-school-school-placed-brief-lockdown/")</f>
        <v>https://www.wbbjtv.com/2017/11/18/shots-fired-north-side-high-school-school-placed-brief-lockdown/</v>
      </c>
      <c r="L1010" s="5"/>
      <c r="M1010" s="5"/>
      <c r="N1010" s="5">
        <f ca="1">IFERROR(__xludf.DUMMYFUNCTION("""COMPUTED_VALUE"""),2)</f>
        <v>2</v>
      </c>
      <c r="O1010" s="5" t="str">
        <f ca="1">IFERROR(__xludf.DUMMYFUNCTION("""COMPUTED_VALUE"""),"Fall")</f>
        <v>Fall</v>
      </c>
      <c r="P1010" s="5" t="str">
        <f ca="1">IFERROR(__xludf.DUMMYFUNCTION("""COMPUTED_VALUE"""),"Jackson")</f>
        <v>Jackson</v>
      </c>
      <c r="Q1010" s="5" t="str">
        <f ca="1">IFERROR(__xludf.DUMMYFUNCTION("""COMPUTED_VALUE"""),"TN")</f>
        <v>TN</v>
      </c>
      <c r="R1010" s="5" t="str">
        <f ca="1">IFERROR(__xludf.DUMMYFUNCTION("""COMPUTED_VALUE"""),"High")</f>
        <v>High</v>
      </c>
      <c r="S1010" s="5" t="str">
        <f ca="1">IFERROR(__xludf.DUMMYFUNCTION("""COMPUTED_VALUE"""),"Parking Lot")</f>
        <v>Parking Lot</v>
      </c>
      <c r="T1010" s="5" t="str">
        <f ca="1">IFERROR(__xludf.DUMMYFUNCTION("""COMPUTED_VALUE"""),"Outside on School Property")</f>
        <v>Outside on School Property</v>
      </c>
      <c r="U1010" s="5" t="str">
        <f ca="1">IFERROR(__xludf.DUMMYFUNCTION("""COMPUTED_VALUE"""),"No")</f>
        <v>No</v>
      </c>
      <c r="V1010" s="5" t="str">
        <f ca="1">IFERROR(__xludf.DUMMYFUNCTION("""COMPUTED_VALUE"""),"Evening")</f>
        <v>Evening</v>
      </c>
      <c r="W1010" s="10">
        <f ca="1">IFERROR(__xludf.DUMMYFUNCTION("""COMPUTED_VALUE"""),0.895833333333333)</f>
        <v>0.89583333333333304</v>
      </c>
      <c r="X1010" s="5">
        <f ca="1">IFERROR(__xludf.DUMMYFUNCTION("""COMPUTED_VALUE"""),1)</f>
        <v>1</v>
      </c>
      <c r="Y1010" s="5" t="str">
        <f ca="1">IFERROR(__xludf.DUMMYFUNCTION("""COMPUTED_VALUE"""),"Shots fired in parking lot of school, school locked down, no injuries or suspect")</f>
        <v>Shots fired in parking lot of school, school locked down, no injuries or suspect</v>
      </c>
      <c r="Z1010" s="5" t="str">
        <f ca="1">IFERROR(__xludf.DUMMYFUNCTION("""COMPUTED_VALUE"""),"Multiple shots were fired in the parking lot of the school by an unknown gunman. No injuries or suspects.")</f>
        <v>Multiple shots were fired in the parking lot of the school by an unknown gunman. No injuries or suspects.</v>
      </c>
      <c r="AA1010" s="5" t="str">
        <f ca="1">IFERROR(__xludf.DUMMYFUNCTION("""COMPUTED_VALUE"""),"Escalation of Dispute")</f>
        <v>Escalation of Dispute</v>
      </c>
      <c r="AB1010" s="5"/>
      <c r="AC1010" s="5" t="str">
        <f ca="1">IFERROR(__xludf.DUMMYFUNCTION("""COMPUTED_VALUE"""),"Unknown")</f>
        <v>Unknown</v>
      </c>
      <c r="AD1010" s="5" t="str">
        <f ca="1">IFERROR(__xludf.DUMMYFUNCTION("""COMPUTED_VALUE"""),"No")</f>
        <v>No</v>
      </c>
      <c r="AE1010" s="5" t="str">
        <f ca="1">IFERROR(__xludf.DUMMYFUNCTION("""COMPUTED_VALUE"""),"No")</f>
        <v>No</v>
      </c>
      <c r="AF1010" s="5" t="str">
        <f ca="1">IFERROR(__xludf.DUMMYFUNCTION("""COMPUTED_VALUE"""),"No")</f>
        <v>No</v>
      </c>
      <c r="AG1010" s="5" t="str">
        <f ca="1">IFERROR(__xludf.DUMMYFUNCTION("""COMPUTED_VALUE"""),"No")</f>
        <v>No</v>
      </c>
      <c r="AH1010" s="5" t="str">
        <f ca="1">IFERROR(__xludf.DUMMYFUNCTION("""COMPUTED_VALUE"""),"No")</f>
        <v>No</v>
      </c>
      <c r="AI1010" s="5"/>
      <c r="AJ1010" s="5" t="str">
        <f ca="1">IFERROR(__xludf.DUMMYFUNCTION("""COMPUTED_VALUE"""),"No")</f>
        <v>No</v>
      </c>
    </row>
    <row r="1011" spans="1:36" ht="13">
      <c r="A1011" s="5" t="str">
        <f ca="1">IFERROR(__xludf.DUMMYFUNCTION("""COMPUTED_VALUE"""),"20171114FLLAM")</f>
        <v>20171114FLLAM</v>
      </c>
      <c r="B1011" s="5">
        <f ca="1">IFERROR(__xludf.DUMMYFUNCTION("""COMPUTED_VALUE"""),11)</f>
        <v>11</v>
      </c>
      <c r="C1011" s="5">
        <f ca="1">IFERROR(__xludf.DUMMYFUNCTION("""COMPUTED_VALUE"""),14)</f>
        <v>14</v>
      </c>
      <c r="D1011" s="5">
        <f ca="1">IFERROR(__xludf.DUMMYFUNCTION("""COMPUTED_VALUE"""),2017)</f>
        <v>2017</v>
      </c>
      <c r="E1011" s="8">
        <f ca="1">IFERROR(__xludf.DUMMYFUNCTION("""COMPUTED_VALUE"""),43053)</f>
        <v>43053</v>
      </c>
      <c r="F1011" s="5" t="str">
        <f ca="1">IFERROR(__xludf.DUMMYFUNCTION("""COMPUTED_VALUE"""),"Lake Minneola High School")</f>
        <v>Lake Minneola High School</v>
      </c>
      <c r="G1011" s="5">
        <f ca="1">IFERROR(__xludf.DUMMYFUNCTION("""COMPUTED_VALUE"""),0)</f>
        <v>0</v>
      </c>
      <c r="H1011" s="5">
        <f ca="1">IFERROR(__xludf.DUMMYFUNCTION("""COMPUTED_VALUE"""),0)</f>
        <v>0</v>
      </c>
      <c r="I1011" s="5">
        <f ca="1">IFERROR(__xludf.DUMMYFUNCTION("""COMPUTED_VALUE"""),0)</f>
        <v>0</v>
      </c>
      <c r="J1011" s="5">
        <f ca="1">IFERROR(__xludf.DUMMYFUNCTION("""COMPUTED_VALUE"""),1)</f>
        <v>1</v>
      </c>
      <c r="K1011" s="5" t="str">
        <f ca="1">IFERROR(__xludf.DUMMYFUNCTION("""COMPUTED_VALUE"""),"https://www.wftv.com/news/local/deputies-student-shoots-himself-at-lake-minneola-high-school-no-active-shooter/647283326  http://www.orlandosentinel.com/news/breaking-news/os-lake-minneola-student-shoots-self-20171114-story.html  http://www.orlandosentine"&amp;"l.com/news/lake/os-lake-minneola-suicide-seth-sutherland-note-20171116-story.html")</f>
        <v>https://www.wftv.com/news/local/deputies-student-shoots-himself-at-lake-minneola-high-school-no-active-shooter/647283326  http://www.orlandosentinel.com/news/breaking-news/os-lake-minneola-student-shoots-self-20171114-story.html  http://www.orlandosentinel.com/news/lake/os-lake-minneola-suicide-seth-sutherland-note-20171116-story.html</v>
      </c>
      <c r="L1011" s="5"/>
      <c r="M1011" s="5"/>
      <c r="N1011" s="5">
        <f ca="1">IFERROR(__xludf.DUMMYFUNCTION("""COMPUTED_VALUE"""),3)</f>
        <v>3</v>
      </c>
      <c r="O1011" s="5" t="str">
        <f ca="1">IFERROR(__xludf.DUMMYFUNCTION("""COMPUTED_VALUE"""),"Fall")</f>
        <v>Fall</v>
      </c>
      <c r="P1011" s="5" t="str">
        <f ca="1">IFERROR(__xludf.DUMMYFUNCTION("""COMPUTED_VALUE"""),"Minneola")</f>
        <v>Minneola</v>
      </c>
      <c r="Q1011" s="5" t="str">
        <f ca="1">IFERROR(__xludf.DUMMYFUNCTION("""COMPUTED_VALUE"""),"FL")</f>
        <v>FL</v>
      </c>
      <c r="R1011" s="5" t="str">
        <f ca="1">IFERROR(__xludf.DUMMYFUNCTION("""COMPUTED_VALUE"""),"High")</f>
        <v>High</v>
      </c>
      <c r="S1011" s="5" t="str">
        <f ca="1">IFERROR(__xludf.DUMMYFUNCTION("""COMPUTED_VALUE"""),"Parking Lot")</f>
        <v>Parking Lot</v>
      </c>
      <c r="T1011" s="5" t="str">
        <f ca="1">IFERROR(__xludf.DUMMYFUNCTION("""COMPUTED_VALUE"""),"Outside on School Property")</f>
        <v>Outside on School Property</v>
      </c>
      <c r="U1011" s="5" t="str">
        <f ca="1">IFERROR(__xludf.DUMMYFUNCTION("""COMPUTED_VALUE"""),"Yes")</f>
        <v>Yes</v>
      </c>
      <c r="V1011" s="5" t="str">
        <f ca="1">IFERROR(__xludf.DUMMYFUNCTION("""COMPUTED_VALUE"""),"Morning Classes")</f>
        <v>Morning Classes</v>
      </c>
      <c r="W1011" s="5"/>
      <c r="X1011" s="5">
        <f ca="1">IFERROR(__xludf.DUMMYFUNCTION("""COMPUTED_VALUE"""),1)</f>
        <v>1</v>
      </c>
      <c r="Y1011" s="5" t="str">
        <f ca="1">IFERROR(__xludf.DUMMYFUNCTION("""COMPUTED_VALUE"""),"Suicide outside of school building")</f>
        <v>Suicide outside of school building</v>
      </c>
      <c r="Z1011" s="5" t="str">
        <f ca="1">IFERROR(__xludf.DUMMYFUNCTION("""COMPUTED_VALUE"""),"17 year old student shot/killed himself outside on school property near the bus loop during planned school fire drill. Student left note that he was depressed. Also left message on SnapChat ""Rest in peace [expletive] all of you who contributed to this."""&amp;" Was know to suffer from depression for past 4 years - came to a breaking point. left a two-page suicide note at home before going to school.")</f>
        <v>17 year old student shot/killed himself outside on school property near the bus loop during planned school fire drill. Student left note that he was depressed. Also left message on SnapChat "Rest in peace [expletive] all of you who contributed to this." Was know to suffer from depression for past 4 years - came to a breaking point. left a two-page suicide note at home before going to school.</v>
      </c>
      <c r="AA1011" s="5" t="str">
        <f ca="1">IFERROR(__xludf.DUMMYFUNCTION("""COMPUTED_VALUE"""),"Suicide/Attempted")</f>
        <v>Suicide/Attempted</v>
      </c>
      <c r="AB1011" s="5" t="str">
        <f ca="1">IFERROR(__xludf.DUMMYFUNCTION("""COMPUTED_VALUE"""),"Victims Targeted")</f>
        <v>Victims Targeted</v>
      </c>
      <c r="AC1011" s="5" t="str">
        <f ca="1">IFERROR(__xludf.DUMMYFUNCTION("""COMPUTED_VALUE"""),"No")</f>
        <v>No</v>
      </c>
      <c r="AD1011" s="5" t="str">
        <f ca="1">IFERROR(__xludf.DUMMYFUNCTION("""COMPUTED_VALUE"""),"No")</f>
        <v>No</v>
      </c>
      <c r="AE1011" s="5" t="str">
        <f ca="1">IFERROR(__xludf.DUMMYFUNCTION("""COMPUTED_VALUE"""),"No")</f>
        <v>No</v>
      </c>
      <c r="AF1011" s="5" t="str">
        <f ca="1">IFERROR(__xludf.DUMMYFUNCTION("""COMPUTED_VALUE"""),"No")</f>
        <v>No</v>
      </c>
      <c r="AG1011" s="5" t="str">
        <f ca="1">IFERROR(__xludf.DUMMYFUNCTION("""COMPUTED_VALUE"""),"No")</f>
        <v>No</v>
      </c>
      <c r="AH1011" s="5" t="str">
        <f ca="1">IFERROR(__xludf.DUMMYFUNCTION("""COMPUTED_VALUE"""),"No")</f>
        <v>No</v>
      </c>
      <c r="AI1011" s="5" t="str">
        <f ca="1">IFERROR(__xludf.DUMMYFUNCTION("""COMPUTED_VALUE"""),"No")</f>
        <v>No</v>
      </c>
      <c r="AJ1011" s="5" t="str">
        <f ca="1">IFERROR(__xludf.DUMMYFUNCTION("""COMPUTED_VALUE"""),"No")</f>
        <v>No</v>
      </c>
    </row>
    <row r="1012" spans="1:36" ht="13">
      <c r="A1012" s="5" t="str">
        <f ca="1">IFERROR(__xludf.DUMMYFUNCTION("""COMPUTED_VALUE"""),"20171114CARAR")</f>
        <v>20171114CARAR</v>
      </c>
      <c r="B1012" s="5">
        <f ca="1">IFERROR(__xludf.DUMMYFUNCTION("""COMPUTED_VALUE"""),11)</f>
        <v>11</v>
      </c>
      <c r="C1012" s="5">
        <f ca="1">IFERROR(__xludf.DUMMYFUNCTION("""COMPUTED_VALUE"""),14)</f>
        <v>14</v>
      </c>
      <c r="D1012" s="5">
        <f ca="1">IFERROR(__xludf.DUMMYFUNCTION("""COMPUTED_VALUE"""),2017)</f>
        <v>2017</v>
      </c>
      <c r="E1012" s="8">
        <f ca="1">IFERROR(__xludf.DUMMYFUNCTION("""COMPUTED_VALUE"""),43053)</f>
        <v>43053</v>
      </c>
      <c r="F1012" s="5" t="str">
        <f ca="1">IFERROR(__xludf.DUMMYFUNCTION("""COMPUTED_VALUE"""),"Rancho Tehama Elementary School")</f>
        <v>Rancho Tehama Elementary School</v>
      </c>
      <c r="G1012" s="5">
        <f ca="1">IFERROR(__xludf.DUMMYFUNCTION("""COMPUTED_VALUE"""),0)</f>
        <v>0</v>
      </c>
      <c r="H1012" s="5">
        <f ca="1">IFERROR(__xludf.DUMMYFUNCTION("""COMPUTED_VALUE"""),18)</f>
        <v>18</v>
      </c>
      <c r="I1012" s="5">
        <f ca="1">IFERROR(__xludf.DUMMYFUNCTION("""COMPUTED_VALUE"""),18)</f>
        <v>18</v>
      </c>
      <c r="J1012" s="5">
        <f ca="1">IFERROR(__xludf.DUMMYFUNCTION("""COMPUTED_VALUE"""),1)</f>
        <v>1</v>
      </c>
      <c r="K1012" s="5" t="str">
        <f ca="1">IFERROR(__xludf.DUMMYFUNCTION("""COMPUTED_VALUE"""),"https://www.cbsnews.com/news/california-shooting-gunman-kevin-janson-neal-threatened-victim-son-neighbor/ https://www.fbi.gov/file-repository/active-shooter-incidents-2000-2017.pdf.  https://www.usatoday.com/story/news/nation-now/2017/11/14/rancho-tehama-"&amp;"california-mass-killing/863246001/")</f>
        <v>https://www.cbsnews.com/news/california-shooting-gunman-kevin-janson-neal-threatened-victim-son-neighbor/ https://www.fbi.gov/file-repository/active-shooter-incidents-2000-2017.pdf.  https://www.usatoday.com/story/news/nation-now/2017/11/14/rancho-tehama-california-mass-killing/863246001/</v>
      </c>
      <c r="L1012" s="5">
        <f ca="1">IFERROR(__xludf.DUMMYFUNCTION("""COMPUTED_VALUE"""),100)</f>
        <v>100</v>
      </c>
      <c r="M1012" s="5" t="str">
        <f ca="1">IFERROR(__xludf.DUMMYFUNCTION("""COMPUTED_VALUE"""),"National")</f>
        <v>National</v>
      </c>
      <c r="N1012" s="5">
        <f ca="1">IFERROR(__xludf.DUMMYFUNCTION("""COMPUTED_VALUE"""),5)</f>
        <v>5</v>
      </c>
      <c r="O1012" s="5" t="str">
        <f ca="1">IFERROR(__xludf.DUMMYFUNCTION("""COMPUTED_VALUE"""),"Fall")</f>
        <v>Fall</v>
      </c>
      <c r="P1012" s="5" t="str">
        <f ca="1">IFERROR(__xludf.DUMMYFUNCTION("""COMPUTED_VALUE"""),"Rancho Tehama Reserve")</f>
        <v>Rancho Tehama Reserve</v>
      </c>
      <c r="Q1012" s="5" t="str">
        <f ca="1">IFERROR(__xludf.DUMMYFUNCTION("""COMPUTED_VALUE"""),"CA")</f>
        <v>CA</v>
      </c>
      <c r="R1012" s="5" t="str">
        <f ca="1">IFERROR(__xludf.DUMMYFUNCTION("""COMPUTED_VALUE"""),"Elementary")</f>
        <v>Elementary</v>
      </c>
      <c r="S1012" s="5" t="str">
        <f ca="1">IFERROR(__xludf.DUMMYFUNCTION("""COMPUTED_VALUE"""),"Beside Building")</f>
        <v>Beside Building</v>
      </c>
      <c r="T1012" s="5" t="str">
        <f ca="1">IFERROR(__xludf.DUMMYFUNCTION("""COMPUTED_VALUE"""),"Outside on School Property")</f>
        <v>Outside on School Property</v>
      </c>
      <c r="U1012" s="5" t="str">
        <f ca="1">IFERROR(__xludf.DUMMYFUNCTION("""COMPUTED_VALUE"""),"Yes")</f>
        <v>Yes</v>
      </c>
      <c r="V1012" s="5" t="str">
        <f ca="1">IFERROR(__xludf.DUMMYFUNCTION("""COMPUTED_VALUE"""),"Morning Classes")</f>
        <v>Morning Classes</v>
      </c>
      <c r="W1012" s="10">
        <f ca="1">IFERROR(__xludf.DUMMYFUNCTION("""COMPUTED_VALUE"""),0.326388888888888)</f>
        <v>0.32638888888888801</v>
      </c>
      <c r="X1012" s="5"/>
      <c r="Y1012" s="5" t="str">
        <f ca="1">IFERROR(__xludf.DUMMYFUNCTION("""COMPUTED_VALUE"""),"Man on methamphetamine was denied entry to school and fired shots at the building wounding 5 students")</f>
        <v>Man on methamphetamine was denied entry to school and fired shots at the building wounding 5 students</v>
      </c>
      <c r="Z1012" s="5" t="str">
        <f ca="1">IFERROR(__xludf.DUMMYFUNCTION("""COMPUTED_VALUE"""),"Owned several firearms, showed declining mental health prior to shooting spree across 8 different crime scenes. Went on random shooting spree after killing neighbors who he was in a dispute with over methamphetamine. Went to school because he knew neighbo"&amp;"r's grandson went there - wasn't able to gain access to school due to it being on lockdown. Crashed vehicle through school fence and fired rounds at the buildings. Shooter eventually killed himself. FBI Study: On November 14, 2017, at 7:53 a.m., Kevin Jan"&amp;"son Neal, 44, armed with a rifle and two handguns, began shooting at his neighbors, the first in a series of shootings occurring in Rancho Tehama Reserve, Tehama County, California. After killing three neighbors, he stole a car and began firing randomly a"&amp;"t vehicles and pedestrians as he drove around the community. After deliberately bumping into another car, the shooter fired into the car and wounded the driver and three passengers. The shooter then drove into the gate of a nearby elementary school. He wa"&amp;"s prevented from entering the school due to a lockdown, so he fired at the windows and doors of the building, wounding five children. Upon fleeing the school, the shooter continued to shoot at people as he drove around Rancho Tehama Reserve. Law enforceme"&amp;"nt pursued the shooter; they rammed his vehicle, forced him off the road, and exchanged gunfire. The shooter’s wife’s body was later discovered at the shooter’s home; the shooter apparently had shot and killed her the previous day. In total, five people w"&amp;"ere killed; 14 were wounded, eight from gunshot injuries (including one student) and six from shrapnel injuries (including four students). He shooter committed suicide after being shot and wounded by law enforcement during the pursuit.")</f>
        <v>Owned several firearms, showed declining mental health prior to shooting spree across 8 different crime scenes. Went on random shooting spree after killing neighbors who he was in a dispute with over methamphetamine. Went to school because he knew neighbor's grandson went there - wasn't able to gain access to school due to it being on lockdown. Crashed vehicle through school fence and fired rounds at the buildings. Shooter eventually killed himself. FBI Study: On November 14, 2017, at 7:53 a.m., Kevin Janson Neal, 44, armed with a rifle and two handguns, began shooting at his neighbors, the first in a series of shootings occurring in Rancho Tehama Reserve, Tehama County, California. After killing three neighbors, he stole a car and began firing randomly at vehicles and pedestrians as he drove around the community. After deliberately bumping into another car, the shooter fired into the car and wounded the driver and three passengers. The shooter then drove into the gate of a nearby elementary school. He was prevented from entering the school due to a lockdown, so he fired at the windows and doors of the building, wounding five children. Upon fleeing the school, the shooter continued to shoot at people as he drove around Rancho Tehama Reserve. Law enforcement pursued the shooter; they rammed his vehicle, forced him off the road, and exchanged gunfire. The shooter’s wife’s body was later discovered at the shooter’s home; the shooter apparently had shot and killed her the previous day. In total, five people were killed; 14 were wounded, eight from gunshot injuries (including one student) and six from shrapnel injuries (including four students). He shooter committed suicide after being shot and wounded by law enforcement during the pursuit.</v>
      </c>
      <c r="AA1012" s="5" t="str">
        <f ca="1">IFERROR(__xludf.DUMMYFUNCTION("""COMPUTED_VALUE"""),"Indiscriminate Shooting")</f>
        <v>Indiscriminate Shooting</v>
      </c>
      <c r="AB1012" s="5" t="str">
        <f ca="1">IFERROR(__xludf.DUMMYFUNCTION("""COMPUTED_VALUE"""),"Random Shooting")</f>
        <v>Random Shooting</v>
      </c>
      <c r="AC1012" s="5" t="str">
        <f ca="1">IFERROR(__xludf.DUMMYFUNCTION("""COMPUTED_VALUE"""),"No")</f>
        <v>No</v>
      </c>
      <c r="AD1012" s="5" t="str">
        <f ca="1">IFERROR(__xludf.DUMMYFUNCTION("""COMPUTED_VALUE"""),"No")</f>
        <v>No</v>
      </c>
      <c r="AE1012" s="5" t="str">
        <f ca="1">IFERROR(__xludf.DUMMYFUNCTION("""COMPUTED_VALUE"""),"No")</f>
        <v>No</v>
      </c>
      <c r="AF1012" s="5" t="str">
        <f ca="1">IFERROR(__xludf.DUMMYFUNCTION("""COMPUTED_VALUE"""),"No")</f>
        <v>No</v>
      </c>
      <c r="AG1012" s="5" t="str">
        <f ca="1">IFERROR(__xludf.DUMMYFUNCTION("""COMPUTED_VALUE"""),"No")</f>
        <v>No</v>
      </c>
      <c r="AH1012" s="5" t="str">
        <f ca="1">IFERROR(__xludf.DUMMYFUNCTION("""COMPUTED_VALUE"""),"No")</f>
        <v>No</v>
      </c>
      <c r="AI1012" s="5" t="str">
        <f ca="1">IFERROR(__xludf.DUMMYFUNCTION("""COMPUTED_VALUE"""),"No")</f>
        <v>No</v>
      </c>
      <c r="AJ1012" s="5" t="str">
        <f ca="1">IFERROR(__xludf.DUMMYFUNCTION("""COMPUTED_VALUE"""),"Yes")</f>
        <v>Yes</v>
      </c>
    </row>
    <row r="1013" spans="1:36" ht="13">
      <c r="A1013" s="5" t="str">
        <f ca="1">IFERROR(__xludf.DUMMYFUNCTION("""COMPUTED_VALUE"""),"20171110GALAM")</f>
        <v>20171110GALAM</v>
      </c>
      <c r="B1013" s="5">
        <f ca="1">IFERROR(__xludf.DUMMYFUNCTION("""COMPUTED_VALUE"""),11)</f>
        <v>11</v>
      </c>
      <c r="C1013" s="5">
        <f ca="1">IFERROR(__xludf.DUMMYFUNCTION("""COMPUTED_VALUE"""),10)</f>
        <v>10</v>
      </c>
      <c r="D1013" s="5">
        <f ca="1">IFERROR(__xludf.DUMMYFUNCTION("""COMPUTED_VALUE"""),2017)</f>
        <v>2017</v>
      </c>
      <c r="E1013" s="8">
        <f ca="1">IFERROR(__xludf.DUMMYFUNCTION("""COMPUTED_VALUE"""),43049)</f>
        <v>43049</v>
      </c>
      <c r="F1013" s="5" t="str">
        <f ca="1">IFERROR(__xludf.DUMMYFUNCTION("""COMPUTED_VALUE"""),"Lakeview Academy")</f>
        <v>Lakeview Academy</v>
      </c>
      <c r="G1013" s="5">
        <f ca="1">IFERROR(__xludf.DUMMYFUNCTION("""COMPUTED_VALUE"""),0)</f>
        <v>0</v>
      </c>
      <c r="H1013" s="5">
        <f ca="1">IFERROR(__xludf.DUMMYFUNCTION("""COMPUTED_VALUE"""),0)</f>
        <v>0</v>
      </c>
      <c r="I1013" s="5">
        <f ca="1">IFERROR(__xludf.DUMMYFUNCTION("""COMPUTED_VALUE"""),0)</f>
        <v>0</v>
      </c>
      <c r="J1013" s="5">
        <f ca="1">IFERROR(__xludf.DUMMYFUNCTION("""COMPUTED_VALUE"""),0)</f>
        <v>0</v>
      </c>
      <c r="K1013" s="9" t="str">
        <f ca="1">IFERROR(__xludf.DUMMYFUNCTION("""COMPUTED_VALUE"""),"http://www.unionrecorder.com/news/update-gun-discharges-in-third-grader-s-book-bag/article_12323ddc-c65b-11e7-a275-f77a9d106f20.html")</f>
        <v>http://www.unionrecorder.com/news/update-gun-discharges-in-third-grader-s-book-bag/article_12323ddc-c65b-11e7-a275-f77a9d106f20.html</v>
      </c>
      <c r="L1013" s="5"/>
      <c r="M1013" s="5"/>
      <c r="N1013" s="5">
        <f ca="1">IFERROR(__xludf.DUMMYFUNCTION("""COMPUTED_VALUE"""),2)</f>
        <v>2</v>
      </c>
      <c r="O1013" s="5" t="str">
        <f ca="1">IFERROR(__xludf.DUMMYFUNCTION("""COMPUTED_VALUE"""),"Fall")</f>
        <v>Fall</v>
      </c>
      <c r="P1013" s="5" t="str">
        <f ca="1">IFERROR(__xludf.DUMMYFUNCTION("""COMPUTED_VALUE"""),"Milledgeville")</f>
        <v>Milledgeville</v>
      </c>
      <c r="Q1013" s="5" t="str">
        <f ca="1">IFERROR(__xludf.DUMMYFUNCTION("""COMPUTED_VALUE"""),"GA")</f>
        <v>GA</v>
      </c>
      <c r="R1013" s="5" t="str">
        <f ca="1">IFERROR(__xludf.DUMMYFUNCTION("""COMPUTED_VALUE"""),"Elementary")</f>
        <v>Elementary</v>
      </c>
      <c r="S1013" s="5" t="str">
        <f ca="1">IFERROR(__xludf.DUMMYFUNCTION("""COMPUTED_VALUE"""),"Classroom")</f>
        <v>Classroom</v>
      </c>
      <c r="T1013" s="5" t="str">
        <f ca="1">IFERROR(__xludf.DUMMYFUNCTION("""COMPUTED_VALUE"""),"Inside School Building")</f>
        <v>Inside School Building</v>
      </c>
      <c r="U1013" s="5" t="str">
        <f ca="1">IFERROR(__xludf.DUMMYFUNCTION("""COMPUTED_VALUE"""),"Yes")</f>
        <v>Yes</v>
      </c>
      <c r="V1013" s="5" t="str">
        <f ca="1">IFERROR(__xludf.DUMMYFUNCTION("""COMPUTED_VALUE"""),"Morning Classes")</f>
        <v>Morning Classes</v>
      </c>
      <c r="W1013" s="10">
        <f ca="1">IFERROR(__xludf.DUMMYFUNCTION("""COMPUTED_VALUE"""),0.354166666666666)</f>
        <v>0.35416666666666602</v>
      </c>
      <c r="X1013" s="5">
        <f ca="1">IFERROR(__xludf.DUMMYFUNCTION("""COMPUTED_VALUE"""),1)</f>
        <v>1</v>
      </c>
      <c r="Y1013" s="5" t="str">
        <f ca="1">IFERROR(__xludf.DUMMYFUNCTION("""COMPUTED_VALUE"""),"Gun in backpack discharged when student got book out")</f>
        <v>Gun in backpack discharged when student got book out</v>
      </c>
      <c r="Z1013" s="5" t="str">
        <f ca="1">IFERROR(__xludf.DUMMYFUNCTION("""COMPUTED_VALUE"""),"Gun in backpack of 8YOM student discharged striking wall when he got a book out. Gun was stolen in a residential burglary. Both parents and student denied any knowledge that the gun was in the backpack. No injuries.")</f>
        <v>Gun in backpack of 8YOM student discharged striking wall when he got a book out. Gun was stolen in a residential burglary. Both parents and student denied any knowledge that the gun was in the backpack. No injuries.</v>
      </c>
      <c r="AA1013" s="5" t="str">
        <f ca="1">IFERROR(__xludf.DUMMYFUNCTION("""COMPUTED_VALUE"""),"Accidental")</f>
        <v>Accidental</v>
      </c>
      <c r="AB1013" s="5" t="str">
        <f ca="1">IFERROR(__xludf.DUMMYFUNCTION("""COMPUTED_VALUE"""),"Neither")</f>
        <v>Neither</v>
      </c>
      <c r="AC1013" s="5" t="str">
        <f ca="1">IFERROR(__xludf.DUMMYFUNCTION("""COMPUTED_VALUE"""),"No")</f>
        <v>No</v>
      </c>
      <c r="AD1013" s="5" t="str">
        <f ca="1">IFERROR(__xludf.DUMMYFUNCTION("""COMPUTED_VALUE"""),"No")</f>
        <v>No</v>
      </c>
      <c r="AE1013" s="5" t="str">
        <f ca="1">IFERROR(__xludf.DUMMYFUNCTION("""COMPUTED_VALUE"""),"No")</f>
        <v>No</v>
      </c>
      <c r="AF1013" s="5" t="str">
        <f ca="1">IFERROR(__xludf.DUMMYFUNCTION("""COMPUTED_VALUE"""),"No")</f>
        <v>No</v>
      </c>
      <c r="AG1013" s="5" t="str">
        <f ca="1">IFERROR(__xludf.DUMMYFUNCTION("""COMPUTED_VALUE"""),"No")</f>
        <v>No</v>
      </c>
      <c r="AH1013" s="5" t="str">
        <f ca="1">IFERROR(__xludf.DUMMYFUNCTION("""COMPUTED_VALUE"""),"No")</f>
        <v>No</v>
      </c>
      <c r="AI1013" s="5" t="str">
        <f ca="1">IFERROR(__xludf.DUMMYFUNCTION("""COMPUTED_VALUE"""),"No")</f>
        <v>No</v>
      </c>
      <c r="AJ1013" s="5" t="str">
        <f ca="1">IFERROR(__xludf.DUMMYFUNCTION("""COMPUTED_VALUE"""),"No")</f>
        <v>No</v>
      </c>
    </row>
    <row r="1014" spans="1:36" ht="13">
      <c r="A1014" s="5" t="str">
        <f ca="1">IFERROR(__xludf.DUMMYFUNCTION("""COMPUTED_VALUE"""),"20171109GABEC")</f>
        <v>20171109GABEC</v>
      </c>
      <c r="B1014" s="5">
        <f ca="1">IFERROR(__xludf.DUMMYFUNCTION("""COMPUTED_VALUE"""),11)</f>
        <v>11</v>
      </c>
      <c r="C1014" s="5">
        <f ca="1">IFERROR(__xludf.DUMMYFUNCTION("""COMPUTED_VALUE"""),9)</f>
        <v>9</v>
      </c>
      <c r="D1014" s="5">
        <f ca="1">IFERROR(__xludf.DUMMYFUNCTION("""COMPUTED_VALUE"""),2017)</f>
        <v>2017</v>
      </c>
      <c r="E1014" s="8">
        <f ca="1">IFERROR(__xludf.DUMMYFUNCTION("""COMPUTED_VALUE"""),43048)</f>
        <v>43048</v>
      </c>
      <c r="F1014" s="5" t="str">
        <f ca="1">IFERROR(__xludf.DUMMYFUNCTION("""COMPUTED_VALUE"""),"Benjamin Banneker High School")</f>
        <v>Benjamin Banneker High School</v>
      </c>
      <c r="G1014" s="5">
        <f ca="1">IFERROR(__xludf.DUMMYFUNCTION("""COMPUTED_VALUE"""),0)</f>
        <v>0</v>
      </c>
      <c r="H1014" s="5">
        <f ca="1">IFERROR(__xludf.DUMMYFUNCTION("""COMPUTED_VALUE"""),2)</f>
        <v>2</v>
      </c>
      <c r="I1014" s="5">
        <f ca="1">IFERROR(__xludf.DUMMYFUNCTION("""COMPUTED_VALUE"""),2)</f>
        <v>2</v>
      </c>
      <c r="J1014" s="5">
        <f ca="1">IFERROR(__xludf.DUMMYFUNCTION("""COMPUTED_VALUE"""),0)</f>
        <v>0</v>
      </c>
      <c r="K1014" s="9" t="str">
        <f ca="1">IFERROR(__xludf.DUMMYFUNCTION("""COMPUTED_VALUE"""),"http://www.fox5atlanta.com/news/two-students-accidentally-shot-at-banneker-high-school-according-to-principal#/")</f>
        <v>http://www.fox5atlanta.com/news/two-students-accidentally-shot-at-banneker-high-school-according-to-principal#/</v>
      </c>
      <c r="L1014" s="5">
        <f ca="1">IFERROR(__xludf.DUMMYFUNCTION("""COMPUTED_VALUE"""),11)</f>
        <v>11</v>
      </c>
      <c r="M1014" s="5" t="str">
        <f ca="1">IFERROR(__xludf.DUMMYFUNCTION("""COMPUTED_VALUE"""),"National")</f>
        <v>National</v>
      </c>
      <c r="N1014" s="5">
        <f ca="1">IFERROR(__xludf.DUMMYFUNCTION("""COMPUTED_VALUE"""),2)</f>
        <v>2</v>
      </c>
      <c r="O1014" s="5" t="str">
        <f ca="1">IFERROR(__xludf.DUMMYFUNCTION("""COMPUTED_VALUE"""),"Fall")</f>
        <v>Fall</v>
      </c>
      <c r="P1014" s="5" t="str">
        <f ca="1">IFERROR(__xludf.DUMMYFUNCTION("""COMPUTED_VALUE"""),"College Park")</f>
        <v>College Park</v>
      </c>
      <c r="Q1014" s="5" t="str">
        <f ca="1">IFERROR(__xludf.DUMMYFUNCTION("""COMPUTED_VALUE"""),"GA")</f>
        <v>GA</v>
      </c>
      <c r="R1014" s="5" t="str">
        <f ca="1">IFERROR(__xludf.DUMMYFUNCTION("""COMPUTED_VALUE"""),"High")</f>
        <v>High</v>
      </c>
      <c r="S1014" s="5" t="str">
        <f ca="1">IFERROR(__xludf.DUMMYFUNCTION("""COMPUTED_VALUE"""),"Classroom")</f>
        <v>Classroom</v>
      </c>
      <c r="T1014" s="5" t="str">
        <f ca="1">IFERROR(__xludf.DUMMYFUNCTION("""COMPUTED_VALUE"""),"Inside School Building")</f>
        <v>Inside School Building</v>
      </c>
      <c r="U1014" s="5" t="str">
        <f ca="1">IFERROR(__xludf.DUMMYFUNCTION("""COMPUTED_VALUE"""),"Yes")</f>
        <v>Yes</v>
      </c>
      <c r="V1014" s="5" t="str">
        <f ca="1">IFERROR(__xludf.DUMMYFUNCTION("""COMPUTED_VALUE"""),"Afternoon Classes")</f>
        <v>Afternoon Classes</v>
      </c>
      <c r="W1014" s="10">
        <f ca="1">IFERROR(__xludf.DUMMYFUNCTION("""COMPUTED_VALUE"""),0.642361111111111)</f>
        <v>0.64236111111111105</v>
      </c>
      <c r="X1014" s="5">
        <f ca="1">IFERROR(__xludf.DUMMYFUNCTION("""COMPUTED_VALUE"""),1)</f>
        <v>1</v>
      </c>
      <c r="Y1014" s="5" t="str">
        <f ca="1">IFERROR(__xludf.DUMMYFUNCTION("""COMPUTED_VALUE"""),"Accidental discharge while showing off gun in classroom")</f>
        <v>Accidental discharge while showing off gun in classroom</v>
      </c>
      <c r="Z1014" s="5" t="str">
        <f ca="1">IFERROR(__xludf.DUMMYFUNCTION("""COMPUTED_VALUE"""),"A small caliber hand gun accidentally discharged in a 10th grade classroom. The gun was found in a box in a student's bag. One female student was shot in the ankle and the same bullet grazed another student. One student is to be charged with one count of "&amp;"possession of a weapon and one count of a weapon on campus. Two others are to be charged with reckless conduct because of their contact with the weapon.")</f>
        <v>A small caliber hand gun accidentally discharged in a 10th grade classroom. The gun was found in a box in a student's bag. One female student was shot in the ankle and the same bullet grazed another student. One student is to be charged with one count of possession of a weapon and one count of a weapon on campus. Two others are to be charged with reckless conduct because of their contact with the weapon.</v>
      </c>
      <c r="AA1014" s="5" t="str">
        <f ca="1">IFERROR(__xludf.DUMMYFUNCTION("""COMPUTED_VALUE"""),"Accidental")</f>
        <v>Accidental</v>
      </c>
      <c r="AB1014" s="5" t="str">
        <f ca="1">IFERROR(__xludf.DUMMYFUNCTION("""COMPUTED_VALUE"""),"Neither")</f>
        <v>Neither</v>
      </c>
      <c r="AC1014" s="5" t="str">
        <f ca="1">IFERROR(__xludf.DUMMYFUNCTION("""COMPUTED_VALUE"""),"No")</f>
        <v>No</v>
      </c>
      <c r="AD1014" s="5" t="str">
        <f ca="1">IFERROR(__xludf.DUMMYFUNCTION("""COMPUTED_VALUE"""),"No")</f>
        <v>No</v>
      </c>
      <c r="AE1014" s="5" t="str">
        <f ca="1">IFERROR(__xludf.DUMMYFUNCTION("""COMPUTED_VALUE"""),"No")</f>
        <v>No</v>
      </c>
      <c r="AF1014" s="5" t="str">
        <f ca="1">IFERROR(__xludf.DUMMYFUNCTION("""COMPUTED_VALUE"""),"No")</f>
        <v>No</v>
      </c>
      <c r="AG1014" s="5" t="str">
        <f ca="1">IFERROR(__xludf.DUMMYFUNCTION("""COMPUTED_VALUE"""),"No")</f>
        <v>No</v>
      </c>
      <c r="AH1014" s="5" t="str">
        <f ca="1">IFERROR(__xludf.DUMMYFUNCTION("""COMPUTED_VALUE"""),"No")</f>
        <v>No</v>
      </c>
      <c r="AI1014" s="5" t="str">
        <f ca="1">IFERROR(__xludf.DUMMYFUNCTION("""COMPUTED_VALUE"""),"No")</f>
        <v>No</v>
      </c>
      <c r="AJ1014" s="5" t="str">
        <f ca="1">IFERROR(__xludf.DUMMYFUNCTION("""COMPUTED_VALUE"""),"No")</f>
        <v>No</v>
      </c>
    </row>
    <row r="1015" spans="1:36" ht="13">
      <c r="A1015" s="5" t="str">
        <f ca="1">IFERROR(__xludf.DUMMYFUNCTION("""COMPUTED_VALUE"""),"20171103MIPAL")</f>
        <v>20171103MIPAL</v>
      </c>
      <c r="B1015" s="5">
        <f ca="1">IFERROR(__xludf.DUMMYFUNCTION("""COMPUTED_VALUE"""),11)</f>
        <v>11</v>
      </c>
      <c r="C1015" s="5">
        <f ca="1">IFERROR(__xludf.DUMMYFUNCTION("""COMPUTED_VALUE"""),3)</f>
        <v>3</v>
      </c>
      <c r="D1015" s="5">
        <f ca="1">IFERROR(__xludf.DUMMYFUNCTION("""COMPUTED_VALUE"""),2017)</f>
        <v>2017</v>
      </c>
      <c r="E1015" s="8">
        <f ca="1">IFERROR(__xludf.DUMMYFUNCTION("""COMPUTED_VALUE"""),43042)</f>
        <v>43042</v>
      </c>
      <c r="F1015" s="5" t="str">
        <f ca="1">IFERROR(__xludf.DUMMYFUNCTION("""COMPUTED_VALUE"""),"Pattengill Academy")</f>
        <v>Pattengill Academy</v>
      </c>
      <c r="G1015" s="5">
        <f ca="1">IFERROR(__xludf.DUMMYFUNCTION("""COMPUTED_VALUE"""),0)</f>
        <v>0</v>
      </c>
      <c r="H1015" s="5">
        <f ca="1">IFERROR(__xludf.DUMMYFUNCTION("""COMPUTED_VALUE"""),1)</f>
        <v>1</v>
      </c>
      <c r="I1015" s="5">
        <f ca="1">IFERROR(__xludf.DUMMYFUNCTION("""COMPUTED_VALUE"""),1)</f>
        <v>1</v>
      </c>
      <c r="J1015" s="5">
        <f ca="1">IFERROR(__xludf.DUMMYFUNCTION("""COMPUTED_VALUE"""),0)</f>
        <v>0</v>
      </c>
      <c r="K1015" s="9" t="str">
        <f ca="1">IFERROR(__xludf.DUMMYFUNCTION("""COMPUTED_VALUE"""),"https://rumble.com/v3x6k9-documents-reveal-what-police-think-happened-outside-pattengill-academy.html")</f>
        <v>https://rumble.com/v3x6k9-documents-reveal-what-police-think-happened-outside-pattengill-academy.html</v>
      </c>
      <c r="L1015" s="5">
        <f ca="1">IFERROR(__xludf.DUMMYFUNCTION("""COMPUTED_VALUE"""),5)</f>
        <v>5</v>
      </c>
      <c r="M1015" s="5" t="str">
        <f ca="1">IFERROR(__xludf.DUMMYFUNCTION("""COMPUTED_VALUE"""),"Regional")</f>
        <v>Regional</v>
      </c>
      <c r="N1015" s="5">
        <f ca="1">IFERROR(__xludf.DUMMYFUNCTION("""COMPUTED_VALUE"""),2)</f>
        <v>2</v>
      </c>
      <c r="O1015" s="5" t="str">
        <f ca="1">IFERROR(__xludf.DUMMYFUNCTION("""COMPUTED_VALUE"""),"Fall")</f>
        <v>Fall</v>
      </c>
      <c r="P1015" s="5" t="str">
        <f ca="1">IFERROR(__xludf.DUMMYFUNCTION("""COMPUTED_VALUE"""),"Lansing")</f>
        <v>Lansing</v>
      </c>
      <c r="Q1015" s="5" t="str">
        <f ca="1">IFERROR(__xludf.DUMMYFUNCTION("""COMPUTED_VALUE"""),"MI")</f>
        <v>MI</v>
      </c>
      <c r="R1015" s="5" t="str">
        <f ca="1">IFERROR(__xludf.DUMMYFUNCTION("""COMPUTED_VALUE"""),"Middle")</f>
        <v>Middle</v>
      </c>
      <c r="S1015" s="5" t="str">
        <f ca="1">IFERROR(__xludf.DUMMYFUNCTION("""COMPUTED_VALUE"""),"Parking Lot")</f>
        <v>Parking Lot</v>
      </c>
      <c r="T1015" s="5" t="str">
        <f ca="1">IFERROR(__xludf.DUMMYFUNCTION("""COMPUTED_VALUE"""),"Outside on School Property")</f>
        <v>Outside on School Property</v>
      </c>
      <c r="U1015" s="5" t="str">
        <f ca="1">IFERROR(__xludf.DUMMYFUNCTION("""COMPUTED_VALUE"""),"Yes")</f>
        <v>Yes</v>
      </c>
      <c r="V1015" s="5" t="str">
        <f ca="1">IFERROR(__xludf.DUMMYFUNCTION("""COMPUTED_VALUE"""),"Dismissal")</f>
        <v>Dismissal</v>
      </c>
      <c r="W1015" s="10">
        <f ca="1">IFERROR(__xludf.DUMMYFUNCTION("""COMPUTED_VALUE"""),0.6875)</f>
        <v>0.6875</v>
      </c>
      <c r="X1015" s="5">
        <f ca="1">IFERROR(__xludf.DUMMYFUNCTION("""COMPUTED_VALUE"""),1)</f>
        <v>1</v>
      </c>
      <c r="Y1015" s="5" t="str">
        <f ca="1">IFERROR(__xludf.DUMMYFUNCTION("""COMPUTED_VALUE"""),"Accidental discharge handling gun in school parking lot")</f>
        <v>Accidental discharge handling gun in school parking lot</v>
      </c>
      <c r="Z1015" s="5" t="str">
        <f ca="1">IFERROR(__xludf.DUMMYFUNCTION("""COMPUTED_VALUE"""),"The victim was sitting in a parked black SUV in front of the school, along with the shooter who was the driver, waiting for another student.The shooter reached to pick up the gun, which he had allegedly bought the day before, from under his seat in order "&amp;"to put it away to safety but accidentally shot the girl in the face, non-lethally. He drove her to the hospital and his car was found there. Police released an alert about him and the shooter turned himself in on the following Sunday.")</f>
        <v>The victim was sitting in a parked black SUV in front of the school, along with the shooter who was the driver, waiting for another student.The shooter reached to pick up the gun, which he had allegedly bought the day before, from under his seat in order to put it away to safety but accidentally shot the girl in the face, non-lethally. He drove her to the hospital and his car was found there. Police released an alert about him and the shooter turned himself in on the following Sunday.</v>
      </c>
      <c r="AA1015" s="5" t="str">
        <f ca="1">IFERROR(__xludf.DUMMYFUNCTION("""COMPUTED_VALUE"""),"Accidental")</f>
        <v>Accidental</v>
      </c>
      <c r="AB1015" s="5" t="str">
        <f ca="1">IFERROR(__xludf.DUMMYFUNCTION("""COMPUTED_VALUE"""),"Neither")</f>
        <v>Neither</v>
      </c>
      <c r="AC1015" s="5"/>
      <c r="AD1015" s="5" t="str">
        <f ca="1">IFERROR(__xludf.DUMMYFUNCTION("""COMPUTED_VALUE"""),"No")</f>
        <v>No</v>
      </c>
      <c r="AE1015" s="5" t="str">
        <f ca="1">IFERROR(__xludf.DUMMYFUNCTION("""COMPUTED_VALUE"""),"No")</f>
        <v>No</v>
      </c>
      <c r="AF1015" s="5" t="str">
        <f ca="1">IFERROR(__xludf.DUMMYFUNCTION("""COMPUTED_VALUE"""),"No")</f>
        <v>No</v>
      </c>
      <c r="AG1015" s="5" t="str">
        <f ca="1">IFERROR(__xludf.DUMMYFUNCTION("""COMPUTED_VALUE"""),"No")</f>
        <v>No</v>
      </c>
      <c r="AH1015" s="5" t="str">
        <f ca="1">IFERROR(__xludf.DUMMYFUNCTION("""COMPUTED_VALUE"""),"No")</f>
        <v>No</v>
      </c>
      <c r="AI1015" s="5"/>
      <c r="AJ1015" s="5" t="str">
        <f ca="1">IFERROR(__xludf.DUMMYFUNCTION("""COMPUTED_VALUE"""),"No")</f>
        <v>No</v>
      </c>
    </row>
    <row r="1016" spans="1:36" ht="13">
      <c r="A1016" s="5" t="str">
        <f ca="1">IFERROR(__xludf.DUMMYFUNCTION("""COMPUTED_VALUE"""),"20171027NYPRU")</f>
        <v>20171027NYPRU</v>
      </c>
      <c r="B1016" s="5">
        <f ca="1">IFERROR(__xludf.DUMMYFUNCTION("""COMPUTED_VALUE"""),10)</f>
        <v>10</v>
      </c>
      <c r="C1016" s="5">
        <f ca="1">IFERROR(__xludf.DUMMYFUNCTION("""COMPUTED_VALUE"""),27)</f>
        <v>27</v>
      </c>
      <c r="D1016" s="5">
        <f ca="1">IFERROR(__xludf.DUMMYFUNCTION("""COMPUTED_VALUE"""),2017)</f>
        <v>2017</v>
      </c>
      <c r="E1016" s="8">
        <f ca="1">IFERROR(__xludf.DUMMYFUNCTION("""COMPUTED_VALUE"""),43035)</f>
        <v>43035</v>
      </c>
      <c r="F1016" s="5" t="str">
        <f ca="1">IFERROR(__xludf.DUMMYFUNCTION("""COMPUTED_VALUE"""),"Proctor High School")</f>
        <v>Proctor High School</v>
      </c>
      <c r="G1016" s="5">
        <f ca="1">IFERROR(__xludf.DUMMYFUNCTION("""COMPUTED_VALUE"""),0)</f>
        <v>0</v>
      </c>
      <c r="H1016" s="5">
        <f ca="1">IFERROR(__xludf.DUMMYFUNCTION("""COMPUTED_VALUE"""),0)</f>
        <v>0</v>
      </c>
      <c r="I1016" s="5">
        <f ca="1">IFERROR(__xludf.DUMMYFUNCTION("""COMPUTED_VALUE"""),0)</f>
        <v>0</v>
      </c>
      <c r="J1016" s="5">
        <f ca="1">IFERROR(__xludf.DUMMYFUNCTION("""COMPUTED_VALUE"""),0)</f>
        <v>0</v>
      </c>
      <c r="K1016" s="9" t="str">
        <f ca="1">IFERROR(__xludf.DUMMYFUNCTION("""COMPUTED_VALUE"""),"https://www.wktv.com/content/news/453482573.html")</f>
        <v>https://www.wktv.com/content/news/453482573.html</v>
      </c>
      <c r="L1016" s="5"/>
      <c r="M1016" s="5"/>
      <c r="N1016" s="5">
        <f ca="1">IFERROR(__xludf.DUMMYFUNCTION("""COMPUTED_VALUE"""),4)</f>
        <v>4</v>
      </c>
      <c r="O1016" s="5" t="str">
        <f ca="1">IFERROR(__xludf.DUMMYFUNCTION("""COMPUTED_VALUE"""),"Fall")</f>
        <v>Fall</v>
      </c>
      <c r="P1016" s="5" t="str">
        <f ca="1">IFERROR(__xludf.DUMMYFUNCTION("""COMPUTED_VALUE"""),"Utica")</f>
        <v>Utica</v>
      </c>
      <c r="Q1016" s="5" t="str">
        <f ca="1">IFERROR(__xludf.DUMMYFUNCTION("""COMPUTED_VALUE"""),"NY")</f>
        <v>NY</v>
      </c>
      <c r="R1016" s="5" t="str">
        <f ca="1">IFERROR(__xludf.DUMMYFUNCTION("""COMPUTED_VALUE"""),"High")</f>
        <v>High</v>
      </c>
      <c r="S1016" s="5" t="str">
        <f ca="1">IFERROR(__xludf.DUMMYFUNCTION("""COMPUTED_VALUE"""),"Parking Lot (Bus)")</f>
        <v>Parking Lot (Bus)</v>
      </c>
      <c r="T1016" s="5" t="str">
        <f ca="1">IFERROR(__xludf.DUMMYFUNCTION("""COMPUTED_VALUE"""),"Outside on School Property")</f>
        <v>Outside on School Property</v>
      </c>
      <c r="U1016" s="5" t="str">
        <f ca="1">IFERROR(__xludf.DUMMYFUNCTION("""COMPUTED_VALUE"""),"Yes")</f>
        <v>Yes</v>
      </c>
      <c r="V1016" s="5" t="str">
        <f ca="1">IFERROR(__xludf.DUMMYFUNCTION("""COMPUTED_VALUE"""),"Dismissal")</f>
        <v>Dismissal</v>
      </c>
      <c r="W1016" s="10">
        <f ca="1">IFERROR(__xludf.DUMMYFUNCTION("""COMPUTED_VALUE"""),0.604166666666666)</f>
        <v>0.60416666666666596</v>
      </c>
      <c r="X1016" s="5">
        <f ca="1">IFERROR(__xludf.DUMMYFUNCTION("""COMPUTED_VALUE"""),1)</f>
        <v>1</v>
      </c>
      <c r="Y1016" s="5" t="str">
        <f ca="1">IFERROR(__xludf.DUMMYFUNCTION("""COMPUTED_VALUE"""),"Shots fired a person in school parking lot, missed and struck occupied school bus")</f>
        <v>Shots fired a person in school parking lot, missed and struck occupied school bus</v>
      </c>
      <c r="Z1016" s="5" t="str">
        <f ca="1">IFERROR(__xludf.DUMMYFUNCTION("""COMPUTED_VALUE"""),"Multiple shots fired from street next to the school at an individual in the school parking lot. Shots missed and struck a school bus with 20 students inside. Police were on the scene for a seperate fight. School was not locked down during the incident. Sh"&amp;"ooter in vehicle fled.")</f>
        <v>Multiple shots fired from street next to the school at an individual in the school parking lot. Shots missed and struck a school bus with 20 students inside. Police were on the scene for a seperate fight. School was not locked down during the incident. Shooter in vehicle fled.</v>
      </c>
      <c r="AA1016" s="5" t="str">
        <f ca="1">IFERROR(__xludf.DUMMYFUNCTION("""COMPUTED_VALUE"""),"Drive-by Shooting")</f>
        <v>Drive-by Shooting</v>
      </c>
      <c r="AB1016" s="5" t="str">
        <f ca="1">IFERROR(__xludf.DUMMYFUNCTION("""COMPUTED_VALUE"""),"Victims Targeted")</f>
        <v>Victims Targeted</v>
      </c>
      <c r="AC1016" s="5"/>
      <c r="AD1016" s="5" t="str">
        <f ca="1">IFERROR(__xludf.DUMMYFUNCTION("""COMPUTED_VALUE"""),"No")</f>
        <v>No</v>
      </c>
      <c r="AE1016" s="5" t="str">
        <f ca="1">IFERROR(__xludf.DUMMYFUNCTION("""COMPUTED_VALUE"""),"No")</f>
        <v>No</v>
      </c>
      <c r="AF1016" s="5" t="str">
        <f ca="1">IFERROR(__xludf.DUMMYFUNCTION("""COMPUTED_VALUE"""),"No")</f>
        <v>No</v>
      </c>
      <c r="AG1016" s="5" t="str">
        <f ca="1">IFERROR(__xludf.DUMMYFUNCTION("""COMPUTED_VALUE"""),"No")</f>
        <v>No</v>
      </c>
      <c r="AH1016" s="5" t="str">
        <f ca="1">IFERROR(__xludf.DUMMYFUNCTION("""COMPUTED_VALUE"""),"No")</f>
        <v>No</v>
      </c>
      <c r="AI1016" s="5" t="str">
        <f ca="1">IFERROR(__xludf.DUMMYFUNCTION("""COMPUTED_VALUE"""),"No")</f>
        <v>No</v>
      </c>
      <c r="AJ1016" s="5" t="str">
        <f ca="1">IFERROR(__xludf.DUMMYFUNCTION("""COMPUTED_VALUE"""),"No")</f>
        <v>No</v>
      </c>
    </row>
    <row r="1017" spans="1:36" ht="13">
      <c r="A1017" s="5" t="str">
        <f ca="1">IFERROR(__xludf.DUMMYFUNCTION("""COMPUTED_VALUE"""),"20171020OHSTT")</f>
        <v>20171020OHSTT</v>
      </c>
      <c r="B1017" s="5">
        <f ca="1">IFERROR(__xludf.DUMMYFUNCTION("""COMPUTED_VALUE"""),10)</f>
        <v>10</v>
      </c>
      <c r="C1017" s="5">
        <f ca="1">IFERROR(__xludf.DUMMYFUNCTION("""COMPUTED_VALUE"""),20)</f>
        <v>20</v>
      </c>
      <c r="D1017" s="5">
        <f ca="1">IFERROR(__xludf.DUMMYFUNCTION("""COMPUTED_VALUE"""),2017)</f>
        <v>2017</v>
      </c>
      <c r="E1017" s="8">
        <f ca="1">IFERROR(__xludf.DUMMYFUNCTION("""COMPUTED_VALUE"""),43028)</f>
        <v>43028</v>
      </c>
      <c r="F1017" s="5" t="str">
        <f ca="1">IFERROR(__xludf.DUMMYFUNCTION("""COMPUTED_VALUE"""),"Start High School")</f>
        <v>Start High School</v>
      </c>
      <c r="G1017" s="5">
        <f ca="1">IFERROR(__xludf.DUMMYFUNCTION("""COMPUTED_VALUE"""),0)</f>
        <v>0</v>
      </c>
      <c r="H1017" s="5">
        <f ca="1">IFERROR(__xludf.DUMMYFUNCTION("""COMPUTED_VALUE"""),0)</f>
        <v>0</v>
      </c>
      <c r="I1017" s="5">
        <f ca="1">IFERROR(__xludf.DUMMYFUNCTION("""COMPUTED_VALUE"""),0)</f>
        <v>0</v>
      </c>
      <c r="J1017" s="5">
        <f ca="1">IFERROR(__xludf.DUMMYFUNCTION("""COMPUTED_VALUE"""),0)</f>
        <v>0</v>
      </c>
      <c r="K1017" s="9" t="str">
        <f ca="1">IFERROR(__xludf.DUMMYFUNCTION("""COMPUTED_VALUE"""),"https://www.wtol.com/article/text/news/police-shots-fired-in-parking-lot-area-of-start-high-school/512-4f7360d6-2e3f-434a-a6e6-0067351b41f4")</f>
        <v>https://www.wtol.com/article/text/news/police-shots-fired-in-parking-lot-area-of-start-high-school/512-4f7360d6-2e3f-434a-a6e6-0067351b41f4</v>
      </c>
      <c r="L1017" s="5"/>
      <c r="M1017" s="5"/>
      <c r="N1017" s="5">
        <f ca="1">IFERROR(__xludf.DUMMYFUNCTION("""COMPUTED_VALUE"""),3)</f>
        <v>3</v>
      </c>
      <c r="O1017" s="5" t="str">
        <f ca="1">IFERROR(__xludf.DUMMYFUNCTION("""COMPUTED_VALUE"""),"Fall")</f>
        <v>Fall</v>
      </c>
      <c r="P1017" s="5" t="str">
        <f ca="1">IFERROR(__xludf.DUMMYFUNCTION("""COMPUTED_VALUE"""),"Toledo")</f>
        <v>Toledo</v>
      </c>
      <c r="Q1017" s="5" t="str">
        <f ca="1">IFERROR(__xludf.DUMMYFUNCTION("""COMPUTED_VALUE"""),"OH")</f>
        <v>OH</v>
      </c>
      <c r="R1017" s="5" t="str">
        <f ca="1">IFERROR(__xludf.DUMMYFUNCTION("""COMPUTED_VALUE"""),"High")</f>
        <v>High</v>
      </c>
      <c r="S1017" s="5" t="str">
        <f ca="1">IFERROR(__xludf.DUMMYFUNCTION("""COMPUTED_VALUE"""),"Parking Lot")</f>
        <v>Parking Lot</v>
      </c>
      <c r="T1017" s="5" t="str">
        <f ca="1">IFERROR(__xludf.DUMMYFUNCTION("""COMPUTED_VALUE"""),"Outside on School Property")</f>
        <v>Outside on School Property</v>
      </c>
      <c r="U1017" s="5" t="str">
        <f ca="1">IFERROR(__xludf.DUMMYFUNCTION("""COMPUTED_VALUE"""),"No")</f>
        <v>No</v>
      </c>
      <c r="V1017" s="5" t="str">
        <f ca="1">IFERROR(__xludf.DUMMYFUNCTION("""COMPUTED_VALUE"""),"Sport Event")</f>
        <v>Sport Event</v>
      </c>
      <c r="W1017" s="10">
        <f ca="1">IFERROR(__xludf.DUMMYFUNCTION("""COMPUTED_VALUE"""),0.895833333333333)</f>
        <v>0.89583333333333304</v>
      </c>
      <c r="X1017" s="5">
        <f ca="1">IFERROR(__xludf.DUMMYFUNCTION("""COMPUTED_VALUE"""),1)</f>
        <v>1</v>
      </c>
      <c r="Y1017" s="5" t="str">
        <f ca="1">IFERROR(__xludf.DUMMYFUNCTION("""COMPUTED_VALUE"""),"Shots fired in parking lot during football game")</f>
        <v>Shots fired in parking lot during football game</v>
      </c>
      <c r="Z1017" s="5" t="str">
        <f ca="1">IFERROR(__xludf.DUMMYFUNCTION("""COMPUTED_VALUE"""),"Police officer heard shots fired in the parking lot of the high school during a football game. Officer observed a suspect riding away on a bicycle. No victims. No arrest made.")</f>
        <v>Police officer heard shots fired in the parking lot of the high school during a football game. Officer observed a suspect riding away on a bicycle. No victims. No arrest made.</v>
      </c>
      <c r="AA1017" s="5" t="str">
        <f ca="1">IFERROR(__xludf.DUMMYFUNCTION("""COMPUTED_VALUE"""),"Escalation of Dispute")</f>
        <v>Escalation of Dispute</v>
      </c>
      <c r="AB1017" s="5"/>
      <c r="AC1017" s="5" t="str">
        <f ca="1">IFERROR(__xludf.DUMMYFUNCTION("""COMPUTED_VALUE"""),"No")</f>
        <v>No</v>
      </c>
      <c r="AD1017" s="5" t="str">
        <f ca="1">IFERROR(__xludf.DUMMYFUNCTION("""COMPUTED_VALUE"""),"No")</f>
        <v>No</v>
      </c>
      <c r="AE1017" s="5" t="str">
        <f ca="1">IFERROR(__xludf.DUMMYFUNCTION("""COMPUTED_VALUE"""),"No")</f>
        <v>No</v>
      </c>
      <c r="AF1017" s="5" t="str">
        <f ca="1">IFERROR(__xludf.DUMMYFUNCTION("""COMPUTED_VALUE"""),"No")</f>
        <v>No</v>
      </c>
      <c r="AG1017" s="5" t="str">
        <f ca="1">IFERROR(__xludf.DUMMYFUNCTION("""COMPUTED_VALUE"""),"No")</f>
        <v>No</v>
      </c>
      <c r="AH1017" s="5" t="str">
        <f ca="1">IFERROR(__xludf.DUMMYFUNCTION("""COMPUTED_VALUE"""),"No")</f>
        <v>No</v>
      </c>
      <c r="AI1017" s="5"/>
      <c r="AJ1017" s="5" t="str">
        <f ca="1">IFERROR(__xludf.DUMMYFUNCTION("""COMPUTED_VALUE"""),"No")</f>
        <v>No</v>
      </c>
    </row>
    <row r="1018" spans="1:36" ht="13">
      <c r="A1018" s="5" t="str">
        <f ca="1">IFERROR(__xludf.DUMMYFUNCTION("""COMPUTED_VALUE"""),"20171014NCKEK")</f>
        <v>20171014NCKEK</v>
      </c>
      <c r="B1018" s="5">
        <f ca="1">IFERROR(__xludf.DUMMYFUNCTION("""COMPUTED_VALUE"""),10)</f>
        <v>10</v>
      </c>
      <c r="C1018" s="5">
        <f ca="1">IFERROR(__xludf.DUMMYFUNCTION("""COMPUTED_VALUE"""),14)</f>
        <v>14</v>
      </c>
      <c r="D1018" s="5">
        <f ca="1">IFERROR(__xludf.DUMMYFUNCTION("""COMPUTED_VALUE"""),2017)</f>
        <v>2017</v>
      </c>
      <c r="E1018" s="8">
        <f ca="1">IFERROR(__xludf.DUMMYFUNCTION("""COMPUTED_VALUE"""),43022)</f>
        <v>43022</v>
      </c>
      <c r="F1018" s="5" t="str">
        <f ca="1">IFERROR(__xludf.DUMMYFUNCTION("""COMPUTED_VALUE"""),"Kernersville Elementary School")</f>
        <v>Kernersville Elementary School</v>
      </c>
      <c r="G1018" s="5">
        <f ca="1">IFERROR(__xludf.DUMMYFUNCTION("""COMPUTED_VALUE"""),0)</f>
        <v>0</v>
      </c>
      <c r="H1018" s="5">
        <f ca="1">IFERROR(__xludf.DUMMYFUNCTION("""COMPUTED_VALUE"""),0)</f>
        <v>0</v>
      </c>
      <c r="I1018" s="5">
        <f ca="1">IFERROR(__xludf.DUMMYFUNCTION("""COMPUTED_VALUE"""),0)</f>
        <v>0</v>
      </c>
      <c r="J1018" s="5">
        <f ca="1">IFERROR(__xludf.DUMMYFUNCTION("""COMPUTED_VALUE"""),0)</f>
        <v>0</v>
      </c>
      <c r="K1018" s="9" t="str">
        <f ca="1">IFERROR(__xludf.DUMMYFUNCTION("""COMPUTED_VALUE"""),"https://www.journalnow.com/news/crime/man-charged-after-gun-fired-at-kernersville-youth-football-game/article_18fb0bef-80e1-530a-bc1f-b6b61ce4d8fd.html")</f>
        <v>https://www.journalnow.com/news/crime/man-charged-after-gun-fired-at-kernersville-youth-football-game/article_18fb0bef-80e1-530a-bc1f-b6b61ce4d8fd.html</v>
      </c>
      <c r="L1018" s="5"/>
      <c r="M1018" s="5"/>
      <c r="N1018" s="5">
        <f ca="1">IFERROR(__xludf.DUMMYFUNCTION("""COMPUTED_VALUE"""),3)</f>
        <v>3</v>
      </c>
      <c r="O1018" s="5" t="str">
        <f ca="1">IFERROR(__xludf.DUMMYFUNCTION("""COMPUTED_VALUE"""),"Fall")</f>
        <v>Fall</v>
      </c>
      <c r="P1018" s="5" t="str">
        <f ca="1">IFERROR(__xludf.DUMMYFUNCTION("""COMPUTED_VALUE"""),"Kernersville")</f>
        <v>Kernersville</v>
      </c>
      <c r="Q1018" s="5" t="str">
        <f ca="1">IFERROR(__xludf.DUMMYFUNCTION("""COMPUTED_VALUE"""),"NC")</f>
        <v>NC</v>
      </c>
      <c r="R1018" s="5" t="str">
        <f ca="1">IFERROR(__xludf.DUMMYFUNCTION("""COMPUTED_VALUE"""),"Elementary")</f>
        <v>Elementary</v>
      </c>
      <c r="S1018" s="5" t="str">
        <f ca="1">IFERROR(__xludf.DUMMYFUNCTION("""COMPUTED_VALUE"""),"Football Field/Track")</f>
        <v>Football Field/Track</v>
      </c>
      <c r="T1018" s="5" t="str">
        <f ca="1">IFERROR(__xludf.DUMMYFUNCTION("""COMPUTED_VALUE"""),"Outside on School Property")</f>
        <v>Outside on School Property</v>
      </c>
      <c r="U1018" s="5" t="str">
        <f ca="1">IFERROR(__xludf.DUMMYFUNCTION("""COMPUTED_VALUE"""),"No")</f>
        <v>No</v>
      </c>
      <c r="V1018" s="5" t="str">
        <f ca="1">IFERROR(__xludf.DUMMYFUNCTION("""COMPUTED_VALUE"""),"Sport Event")</f>
        <v>Sport Event</v>
      </c>
      <c r="W1018" s="10">
        <f ca="1">IFERROR(__xludf.DUMMYFUNCTION("""COMPUTED_VALUE"""),0.458333333333333)</f>
        <v>0.45833333333333298</v>
      </c>
      <c r="X1018" s="5">
        <f ca="1">IFERROR(__xludf.DUMMYFUNCTION("""COMPUTED_VALUE"""),1)</f>
        <v>1</v>
      </c>
      <c r="Y1018" s="5" t="str">
        <f ca="1">IFERROR(__xludf.DUMMYFUNCTION("""COMPUTED_VALUE"""),"Shot fired by parent during struggle with police officer during youth football game")</f>
        <v>Shot fired by parent during struggle with police officer during youth football game</v>
      </c>
      <c r="Z1018" s="5" t="str">
        <f ca="1">IFERROR(__xludf.DUMMYFUNCTION("""COMPUTED_VALUE"""),"Police were called for an irate parent at a youth football game. Parent (22YOM) pulled a gun and fired during the struggle with a police officer. Arrested and charged with multiple felonies. No injuries.")</f>
        <v>Police were called for an irate parent at a youth football game. Parent (22YOM) pulled a gun and fired during the struggle with a police officer. Arrested and charged with multiple felonies. No injuries.</v>
      </c>
      <c r="AA1018" s="5" t="str">
        <f ca="1">IFERROR(__xludf.DUMMYFUNCTION("""COMPUTED_VALUE"""),"Escalation of Dispute")</f>
        <v>Escalation of Dispute</v>
      </c>
      <c r="AB1018" s="5" t="str">
        <f ca="1">IFERROR(__xludf.DUMMYFUNCTION("""COMPUTED_VALUE"""),"Victims Targeted")</f>
        <v>Victims Targeted</v>
      </c>
      <c r="AC1018" s="5" t="str">
        <f ca="1">IFERROR(__xludf.DUMMYFUNCTION("""COMPUTED_VALUE"""),"No")</f>
        <v>No</v>
      </c>
      <c r="AD1018" s="5" t="str">
        <f ca="1">IFERROR(__xludf.DUMMYFUNCTION("""COMPUTED_VALUE"""),"No")</f>
        <v>No</v>
      </c>
      <c r="AE1018" s="5" t="str">
        <f ca="1">IFERROR(__xludf.DUMMYFUNCTION("""COMPUTED_VALUE"""),"No")</f>
        <v>No</v>
      </c>
      <c r="AF1018" s="5" t="str">
        <f ca="1">IFERROR(__xludf.DUMMYFUNCTION("""COMPUTED_VALUE"""),"No")</f>
        <v>No</v>
      </c>
      <c r="AG1018" s="5" t="str">
        <f ca="1">IFERROR(__xludf.DUMMYFUNCTION("""COMPUTED_VALUE"""),"No")</f>
        <v>No</v>
      </c>
      <c r="AH1018" s="5" t="str">
        <f ca="1">IFERROR(__xludf.DUMMYFUNCTION("""COMPUTED_VALUE"""),"No")</f>
        <v>No</v>
      </c>
      <c r="AI1018" s="5" t="str">
        <f ca="1">IFERROR(__xludf.DUMMYFUNCTION("""COMPUTED_VALUE"""),"No")</f>
        <v>No</v>
      </c>
      <c r="AJ1018" s="5" t="str">
        <f ca="1">IFERROR(__xludf.DUMMYFUNCTION("""COMPUTED_VALUE"""),"No")</f>
        <v>No</v>
      </c>
    </row>
    <row r="1019" spans="1:36" ht="13">
      <c r="A1019" s="5" t="str">
        <f ca="1">IFERROR(__xludf.DUMMYFUNCTION("""COMPUTED_VALUE"""),"20171012NCCHC")</f>
        <v>20171012NCCHC</v>
      </c>
      <c r="B1019" s="5">
        <f ca="1">IFERROR(__xludf.DUMMYFUNCTION("""COMPUTED_VALUE"""),10)</f>
        <v>10</v>
      </c>
      <c r="C1019" s="5">
        <f ca="1">IFERROR(__xludf.DUMMYFUNCTION("""COMPUTED_VALUE"""),12)</f>
        <v>12</v>
      </c>
      <c r="D1019" s="5">
        <f ca="1">IFERROR(__xludf.DUMMYFUNCTION("""COMPUTED_VALUE"""),2017)</f>
        <v>2017</v>
      </c>
      <c r="E1019" s="8">
        <f ca="1">IFERROR(__xludf.DUMMYFUNCTION("""COMPUTED_VALUE"""),43020)</f>
        <v>43020</v>
      </c>
      <c r="F1019" s="5" t="str">
        <f ca="1">IFERROR(__xludf.DUMMYFUNCTION("""COMPUTED_VALUE"""),"Charlotte School Bus")</f>
        <v>Charlotte School Bus</v>
      </c>
      <c r="G1019" s="5">
        <f ca="1">IFERROR(__xludf.DUMMYFUNCTION("""COMPUTED_VALUE"""),0)</f>
        <v>0</v>
      </c>
      <c r="H1019" s="5">
        <f ca="1">IFERROR(__xludf.DUMMYFUNCTION("""COMPUTED_VALUE"""),0)</f>
        <v>0</v>
      </c>
      <c r="I1019" s="5">
        <f ca="1">IFERROR(__xludf.DUMMYFUNCTION("""COMPUTED_VALUE"""),0)</f>
        <v>0</v>
      </c>
      <c r="J1019" s="5">
        <f ca="1">IFERROR(__xludf.DUMMYFUNCTION("""COMPUTED_VALUE"""),0)</f>
        <v>0</v>
      </c>
      <c r="K1019" s="9" t="str">
        <f ca="1">IFERROR(__xludf.DUMMYFUNCTION("""COMPUTED_VALUE"""),"https://newsmaven.io/charlottealerts/news/video-drug-dispute-erupts-into-shootout-at-gas-station-school-bus-gets-hit-ffkja5HUBEKh-yZn1VMiVQ")</f>
        <v>https://newsmaven.io/charlottealerts/news/video-drug-dispute-erupts-into-shootout-at-gas-station-school-bus-gets-hit-ffkja5HUBEKh-yZn1VMiVQ</v>
      </c>
      <c r="L1019" s="5"/>
      <c r="M1019" s="5"/>
      <c r="N1019" s="5">
        <f ca="1">IFERROR(__xludf.DUMMYFUNCTION("""COMPUTED_VALUE"""),5)</f>
        <v>5</v>
      </c>
      <c r="O1019" s="5" t="str">
        <f ca="1">IFERROR(__xludf.DUMMYFUNCTION("""COMPUTED_VALUE"""),"Fall")</f>
        <v>Fall</v>
      </c>
      <c r="P1019" s="5" t="str">
        <f ca="1">IFERROR(__xludf.DUMMYFUNCTION("""COMPUTED_VALUE"""),"Charlotte")</f>
        <v>Charlotte</v>
      </c>
      <c r="Q1019" s="5" t="str">
        <f ca="1">IFERROR(__xludf.DUMMYFUNCTION("""COMPUTED_VALUE"""),"NC")</f>
        <v>NC</v>
      </c>
      <c r="R1019" s="5"/>
      <c r="S1019" s="5" t="str">
        <f ca="1">IFERROR(__xludf.DUMMYFUNCTION("""COMPUTED_VALUE"""),"School Bus")</f>
        <v>School Bus</v>
      </c>
      <c r="T1019" s="5" t="str">
        <f ca="1">IFERROR(__xludf.DUMMYFUNCTION("""COMPUTED_VALUE"""),"School Bus")</f>
        <v>School Bus</v>
      </c>
      <c r="U1019" s="5" t="str">
        <f ca="1">IFERROR(__xludf.DUMMYFUNCTION("""COMPUTED_VALUE"""),"Yes")</f>
        <v>Yes</v>
      </c>
      <c r="V1019" s="5" t="str">
        <f ca="1">IFERROR(__xludf.DUMMYFUNCTION("""COMPUTED_VALUE"""),"School Start")</f>
        <v>School Start</v>
      </c>
      <c r="W1019" s="10">
        <f ca="1">IFERROR(__xludf.DUMMYFUNCTION("""COMPUTED_VALUE"""),0.3125)</f>
        <v>0.3125</v>
      </c>
      <c r="X1019" s="5">
        <f ca="1">IFERROR(__xludf.DUMMYFUNCTION("""COMPUTED_VALUE"""),1)</f>
        <v>1</v>
      </c>
      <c r="Y1019" s="5" t="str">
        <f ca="1">IFERROR(__xludf.DUMMYFUNCTION("""COMPUTED_VALUE"""),"Bus with students struck by shots fired during drug dispute")</f>
        <v>Bus with students struck by shots fired during drug dispute</v>
      </c>
      <c r="Z1019" s="5" t="str">
        <f ca="1">IFERROR(__xludf.DUMMYFUNCTION("""COMPUTED_VALUE"""),"Bus with 19 students was struck by bullet fired during dispute between two adult men at a gas station. 30YOM and 37YOM each fired shots at each other.")</f>
        <v>Bus with 19 students was struck by bullet fired during dispute between two adult men at a gas station. 30YOM and 37YOM each fired shots at each other.</v>
      </c>
      <c r="AA1019" s="5" t="str">
        <f ca="1">IFERROR(__xludf.DUMMYFUNCTION("""COMPUTED_VALUE"""),"Escalation of Dispute")</f>
        <v>Escalation of Dispute</v>
      </c>
      <c r="AB1019" s="5" t="str">
        <f ca="1">IFERROR(__xludf.DUMMYFUNCTION("""COMPUTED_VALUE"""),"Random Shooting")</f>
        <v>Random Shooting</v>
      </c>
      <c r="AC1019" s="5" t="str">
        <f ca="1">IFERROR(__xludf.DUMMYFUNCTION("""COMPUTED_VALUE"""),"No")</f>
        <v>No</v>
      </c>
      <c r="AD1019" s="5" t="str">
        <f ca="1">IFERROR(__xludf.DUMMYFUNCTION("""COMPUTED_VALUE"""),"No")</f>
        <v>No</v>
      </c>
      <c r="AE1019" s="5" t="str">
        <f ca="1">IFERROR(__xludf.DUMMYFUNCTION("""COMPUTED_VALUE"""),"No")</f>
        <v>No</v>
      </c>
      <c r="AF1019" s="5" t="str">
        <f ca="1">IFERROR(__xludf.DUMMYFUNCTION("""COMPUTED_VALUE"""),"No")</f>
        <v>No</v>
      </c>
      <c r="AG1019" s="5" t="str">
        <f ca="1">IFERROR(__xludf.DUMMYFUNCTION("""COMPUTED_VALUE"""),"No")</f>
        <v>No</v>
      </c>
      <c r="AH1019" s="5" t="str">
        <f ca="1">IFERROR(__xludf.DUMMYFUNCTION("""COMPUTED_VALUE"""),"No")</f>
        <v>No</v>
      </c>
      <c r="AI1019" s="5" t="str">
        <f ca="1">IFERROR(__xludf.DUMMYFUNCTION("""COMPUTED_VALUE"""),"No")</f>
        <v>No</v>
      </c>
      <c r="AJ1019" s="5" t="str">
        <f ca="1">IFERROR(__xludf.DUMMYFUNCTION("""COMPUTED_VALUE"""),"No")</f>
        <v>No</v>
      </c>
    </row>
    <row r="1020" spans="1:36" ht="13">
      <c r="A1020" s="5" t="str">
        <f ca="1">IFERROR(__xludf.DUMMYFUNCTION("""COMPUTED_VALUE"""),"20170930PAPUC")</f>
        <v>20170930PAPUC</v>
      </c>
      <c r="B1020" s="5">
        <f ca="1">IFERROR(__xludf.DUMMYFUNCTION("""COMPUTED_VALUE"""),9)</f>
        <v>9</v>
      </c>
      <c r="C1020" s="5">
        <f ca="1">IFERROR(__xludf.DUMMYFUNCTION("""COMPUTED_VALUE"""),30)</f>
        <v>30</v>
      </c>
      <c r="D1020" s="5">
        <f ca="1">IFERROR(__xludf.DUMMYFUNCTION("""COMPUTED_VALUE"""),2017)</f>
        <v>2017</v>
      </c>
      <c r="E1020" s="8">
        <f ca="1">IFERROR(__xludf.DUMMYFUNCTION("""COMPUTED_VALUE"""),43008)</f>
        <v>43008</v>
      </c>
      <c r="F1020" s="5" t="str">
        <f ca="1">IFERROR(__xludf.DUMMYFUNCTION("""COMPUTED_VALUE"""),"Purchase Line Elementary School")</f>
        <v>Purchase Line Elementary School</v>
      </c>
      <c r="G1020" s="5">
        <f ca="1">IFERROR(__xludf.DUMMYFUNCTION("""COMPUTED_VALUE"""),0)</f>
        <v>0</v>
      </c>
      <c r="H1020" s="5">
        <f ca="1">IFERROR(__xludf.DUMMYFUNCTION("""COMPUTED_VALUE"""),1)</f>
        <v>1</v>
      </c>
      <c r="I1020" s="5">
        <f ca="1">IFERROR(__xludf.DUMMYFUNCTION("""COMPUTED_VALUE"""),1)</f>
        <v>1</v>
      </c>
      <c r="J1020" s="5">
        <f ca="1">IFERROR(__xludf.DUMMYFUNCTION("""COMPUTED_VALUE"""),0)</f>
        <v>0</v>
      </c>
      <c r="K1020" s="9" t="str">
        <f ca="1">IFERROR(__xludf.DUMMYFUNCTION("""COMPUTED_VALUE"""),"https://triblive.com/local/regional/12794212-74/woman-shoots-boyfriend-in-indiana-county-school-parking-lot")</f>
        <v>https://triblive.com/local/regional/12794212-74/woman-shoots-boyfriend-in-indiana-county-school-parking-lot</v>
      </c>
      <c r="L1020" s="5"/>
      <c r="M1020" s="5"/>
      <c r="N1020" s="5">
        <f ca="1">IFERROR(__xludf.DUMMYFUNCTION("""COMPUTED_VALUE"""),2)</f>
        <v>2</v>
      </c>
      <c r="O1020" s="5" t="str">
        <f ca="1">IFERROR(__xludf.DUMMYFUNCTION("""COMPUTED_VALUE"""),"Fall")</f>
        <v>Fall</v>
      </c>
      <c r="P1020" s="5" t="str">
        <f ca="1">IFERROR(__xludf.DUMMYFUNCTION("""COMPUTED_VALUE"""),"Commodore")</f>
        <v>Commodore</v>
      </c>
      <c r="Q1020" s="5" t="str">
        <f ca="1">IFERROR(__xludf.DUMMYFUNCTION("""COMPUTED_VALUE"""),"PA")</f>
        <v>PA</v>
      </c>
      <c r="R1020" s="5" t="str">
        <f ca="1">IFERROR(__xludf.DUMMYFUNCTION("""COMPUTED_VALUE"""),"Elementary")</f>
        <v>Elementary</v>
      </c>
      <c r="S1020" s="5" t="str">
        <f ca="1">IFERROR(__xludf.DUMMYFUNCTION("""COMPUTED_VALUE"""),"Parking Lot")</f>
        <v>Parking Lot</v>
      </c>
      <c r="T1020" s="5" t="str">
        <f ca="1">IFERROR(__xludf.DUMMYFUNCTION("""COMPUTED_VALUE"""),"Outside on School Property")</f>
        <v>Outside on School Property</v>
      </c>
      <c r="U1020" s="5" t="str">
        <f ca="1">IFERROR(__xludf.DUMMYFUNCTION("""COMPUTED_VALUE"""),"No")</f>
        <v>No</v>
      </c>
      <c r="V1020" s="5" t="str">
        <f ca="1">IFERROR(__xludf.DUMMYFUNCTION("""COMPUTED_VALUE"""),"Night")</f>
        <v>Night</v>
      </c>
      <c r="W1020" s="10">
        <f ca="1">IFERROR(__xludf.DUMMYFUNCTION("""COMPUTED_VALUE"""),0.958333333333333)</f>
        <v>0.95833333333333304</v>
      </c>
      <c r="X1020" s="5">
        <f ca="1">IFERROR(__xludf.DUMMYFUNCTION("""COMPUTED_VALUE"""),1)</f>
        <v>1</v>
      </c>
      <c r="Y1020" s="5" t="str">
        <f ca="1">IFERROR(__xludf.DUMMYFUNCTION("""COMPUTED_VALUE"""),"Domestic, shot boyfriend in parking lot - claimed it was accidental")</f>
        <v>Domestic, shot boyfriend in parking lot - claimed it was accidental</v>
      </c>
      <c r="Z1020" s="5" t="str">
        <f ca="1">IFERROR(__xludf.DUMMYFUNCTION("""COMPUTED_VALUE"""),"Shooter and victim were driving at night when they became involved in an argument. After they pulled over and into school parking lot, shooter (female) got out of vehicle, pulled out .380 from her pocket and shot into the car striking her boyfriend (victi"&amp;"m) in the leg - shooter was later arrested at her house, which she shared with victim. Shooter later claimed it was accidental.")</f>
        <v>Shooter and victim were driving at night when they became involved in an argument. After they pulled over and into school parking lot, shooter (female) got out of vehicle, pulled out .380 from her pocket and shot into the car striking her boyfriend (victim) in the leg - shooter was later arrested at her house, which she shared with victim. Shooter later claimed it was accidental.</v>
      </c>
      <c r="AA1020" s="5" t="str">
        <f ca="1">IFERROR(__xludf.DUMMYFUNCTION("""COMPUTED_VALUE"""),"Domestic w/ Targeted Victim")</f>
        <v>Domestic w/ Targeted Victim</v>
      </c>
      <c r="AB1020" s="5" t="str">
        <f ca="1">IFERROR(__xludf.DUMMYFUNCTION("""COMPUTED_VALUE"""),"Victims Targeted")</f>
        <v>Victims Targeted</v>
      </c>
      <c r="AC1020" s="5" t="str">
        <f ca="1">IFERROR(__xludf.DUMMYFUNCTION("""COMPUTED_VALUE"""),"No")</f>
        <v>No</v>
      </c>
      <c r="AD1020" s="5" t="str">
        <f ca="1">IFERROR(__xludf.DUMMYFUNCTION("""COMPUTED_VALUE"""),"No")</f>
        <v>No</v>
      </c>
      <c r="AE1020" s="5" t="str">
        <f ca="1">IFERROR(__xludf.DUMMYFUNCTION("""COMPUTED_VALUE"""),"No")</f>
        <v>No</v>
      </c>
      <c r="AF1020" s="5" t="str">
        <f ca="1">IFERROR(__xludf.DUMMYFUNCTION("""COMPUTED_VALUE"""),"No")</f>
        <v>No</v>
      </c>
      <c r="AG1020" s="5" t="str">
        <f ca="1">IFERROR(__xludf.DUMMYFUNCTION("""COMPUTED_VALUE"""),"No")</f>
        <v>No</v>
      </c>
      <c r="AH1020" s="5" t="str">
        <f ca="1">IFERROR(__xludf.DUMMYFUNCTION("""COMPUTED_VALUE"""),"Yes")</f>
        <v>Yes</v>
      </c>
      <c r="AI1020" s="5" t="str">
        <f ca="1">IFERROR(__xludf.DUMMYFUNCTION("""COMPUTED_VALUE"""),"No")</f>
        <v>No</v>
      </c>
      <c r="AJ1020" s="5" t="str">
        <f ca="1">IFERROR(__xludf.DUMMYFUNCTION("""COMPUTED_VALUE"""),"No")</f>
        <v>No</v>
      </c>
    </row>
    <row r="1021" spans="1:36" ht="13">
      <c r="A1021" s="5" t="str">
        <f ca="1">IFERROR(__xludf.DUMMYFUNCTION("""COMPUTED_VALUE"""),"20170929CASUL")</f>
        <v>20170929CASUL</v>
      </c>
      <c r="B1021" s="5">
        <f ca="1">IFERROR(__xludf.DUMMYFUNCTION("""COMPUTED_VALUE"""),9)</f>
        <v>9</v>
      </c>
      <c r="C1021" s="5">
        <f ca="1">IFERROR(__xludf.DUMMYFUNCTION("""COMPUTED_VALUE"""),29)</f>
        <v>29</v>
      </c>
      <c r="D1021" s="5">
        <f ca="1">IFERROR(__xludf.DUMMYFUNCTION("""COMPUTED_VALUE"""),2017)</f>
        <v>2017</v>
      </c>
      <c r="E1021" s="8">
        <f ca="1">IFERROR(__xludf.DUMMYFUNCTION("""COMPUTED_VALUE"""),43007)</f>
        <v>43007</v>
      </c>
      <c r="F1021" s="5" t="str">
        <f ca="1">IFERROR(__xludf.DUMMYFUNCTION("""COMPUTED_VALUE"""),"Sun Valley High School")</f>
        <v>Sun Valley High School</v>
      </c>
      <c r="G1021" s="5">
        <f ca="1">IFERROR(__xludf.DUMMYFUNCTION("""COMPUTED_VALUE"""),0)</f>
        <v>0</v>
      </c>
      <c r="H1021" s="5">
        <f ca="1">IFERROR(__xludf.DUMMYFUNCTION("""COMPUTED_VALUE"""),5)</f>
        <v>5</v>
      </c>
      <c r="I1021" s="5">
        <f ca="1">IFERROR(__xludf.DUMMYFUNCTION("""COMPUTED_VALUE"""),5)</f>
        <v>5</v>
      </c>
      <c r="J1021" s="5">
        <f ca="1">IFERROR(__xludf.DUMMYFUNCTION("""COMPUTED_VALUE"""),0)</f>
        <v>0</v>
      </c>
      <c r="K1021" s="9" t="str">
        <f ca="1">IFERROR(__xludf.DUMMYFUNCTION("""COMPUTED_VALUE"""),"http://abc7.com/5-injured-in-bb-gun-shooting-at-sun-valley-high-school/2469755/")</f>
        <v>http://abc7.com/5-injured-in-bb-gun-shooting-at-sun-valley-high-school/2469755/</v>
      </c>
      <c r="L1021" s="5"/>
      <c r="M1021" s="5"/>
      <c r="N1021" s="5">
        <f ca="1">IFERROR(__xludf.DUMMYFUNCTION("""COMPUTED_VALUE"""),2)</f>
        <v>2</v>
      </c>
      <c r="O1021" s="5" t="str">
        <f ca="1">IFERROR(__xludf.DUMMYFUNCTION("""COMPUTED_VALUE"""),"Fall")</f>
        <v>Fall</v>
      </c>
      <c r="P1021" s="5" t="str">
        <f ca="1">IFERROR(__xludf.DUMMYFUNCTION("""COMPUTED_VALUE"""),"Los Angeles")</f>
        <v>Los Angeles</v>
      </c>
      <c r="Q1021" s="5" t="str">
        <f ca="1">IFERROR(__xludf.DUMMYFUNCTION("""COMPUTED_VALUE"""),"CA")</f>
        <v>CA</v>
      </c>
      <c r="R1021" s="5" t="str">
        <f ca="1">IFERROR(__xludf.DUMMYFUNCTION("""COMPUTED_VALUE"""),"High")</f>
        <v>High</v>
      </c>
      <c r="S1021" s="5" t="str">
        <f ca="1">IFERROR(__xludf.DUMMYFUNCTION("""COMPUTED_VALUE"""),"Off School Property")</f>
        <v>Off School Property</v>
      </c>
      <c r="T1021" s="5" t="str">
        <f ca="1">IFERROR(__xludf.DUMMYFUNCTION("""COMPUTED_VALUE"""),"Off School Property")</f>
        <v>Off School Property</v>
      </c>
      <c r="U1021" s="5" t="str">
        <f ca="1">IFERROR(__xludf.DUMMYFUNCTION("""COMPUTED_VALUE"""),"Yes")</f>
        <v>Yes</v>
      </c>
      <c r="V1021" s="5" t="str">
        <f ca="1">IFERROR(__xludf.DUMMYFUNCTION("""COMPUTED_VALUE"""),"Dismissal")</f>
        <v>Dismissal</v>
      </c>
      <c r="W1021" s="10">
        <f ca="1">IFERROR(__xludf.DUMMYFUNCTION("""COMPUTED_VALUE"""),0.645138888888888)</f>
        <v>0.64513888888888804</v>
      </c>
      <c r="X1021" s="5"/>
      <c r="Y1021" s="5" t="str">
        <f ca="1">IFERROR(__xludf.DUMMYFUNCTION("""COMPUTED_VALUE"""),"5 shot outside of school by BB fired from apartment building across the street")</f>
        <v>5 shot outside of school by BB fired from apartment building across the street</v>
      </c>
      <c r="Z1021" s="5" t="str">
        <f ca="1">IFERROR(__xludf.DUMMYFUNCTION("""COMPUTED_VALUE"""),"3 students and 2 adults were transported to the hospital after being shot by BBs fired from an apartment across the street. No shooter identified.")</f>
        <v>3 students and 2 adults were transported to the hospital after being shot by BBs fired from an apartment across the street. No shooter identified.</v>
      </c>
      <c r="AA1021" s="5" t="str">
        <f ca="1">IFERROR(__xludf.DUMMYFUNCTION("""COMPUTED_VALUE"""),"Unknown")</f>
        <v>Unknown</v>
      </c>
      <c r="AB1021" s="5"/>
      <c r="AC1021" s="5"/>
      <c r="AD1021" s="5" t="str">
        <f ca="1">IFERROR(__xludf.DUMMYFUNCTION("""COMPUTED_VALUE"""),"No")</f>
        <v>No</v>
      </c>
      <c r="AE1021" s="5" t="str">
        <f ca="1">IFERROR(__xludf.DUMMYFUNCTION("""COMPUTED_VALUE"""),"No")</f>
        <v>No</v>
      </c>
      <c r="AF1021" s="5" t="str">
        <f ca="1">IFERROR(__xludf.DUMMYFUNCTION("""COMPUTED_VALUE"""),"No")</f>
        <v>No</v>
      </c>
      <c r="AG1021" s="5" t="str">
        <f ca="1">IFERROR(__xludf.DUMMYFUNCTION("""COMPUTED_VALUE"""),"No")</f>
        <v>No</v>
      </c>
      <c r="AH1021" s="5" t="str">
        <f ca="1">IFERROR(__xludf.DUMMYFUNCTION("""COMPUTED_VALUE"""),"No")</f>
        <v>No</v>
      </c>
      <c r="AI1021" s="5" t="str">
        <f ca="1">IFERROR(__xludf.DUMMYFUNCTION("""COMPUTED_VALUE"""),"No")</f>
        <v>No</v>
      </c>
      <c r="AJ1021" s="5" t="str">
        <f ca="1">IFERROR(__xludf.DUMMYFUNCTION("""COMPUTED_VALUE"""),"No")</f>
        <v>No</v>
      </c>
    </row>
    <row r="1022" spans="1:36" ht="13">
      <c r="A1022" s="5" t="str">
        <f ca="1">IFERROR(__xludf.DUMMYFUNCTION("""COMPUTED_VALUE"""),"20170929MOLEL")</f>
        <v>20170929MOLEL</v>
      </c>
      <c r="B1022" s="5">
        <f ca="1">IFERROR(__xludf.DUMMYFUNCTION("""COMPUTED_VALUE"""),9)</f>
        <v>9</v>
      </c>
      <c r="C1022" s="5">
        <f ca="1">IFERROR(__xludf.DUMMYFUNCTION("""COMPUTED_VALUE"""),29)</f>
        <v>29</v>
      </c>
      <c r="D1022" s="5">
        <f ca="1">IFERROR(__xludf.DUMMYFUNCTION("""COMPUTED_VALUE"""),2017)</f>
        <v>2017</v>
      </c>
      <c r="E1022" s="8">
        <f ca="1">IFERROR(__xludf.DUMMYFUNCTION("""COMPUTED_VALUE"""),43007)</f>
        <v>43007</v>
      </c>
      <c r="F1022" s="5" t="str">
        <f ca="1">IFERROR(__xludf.DUMMYFUNCTION("""COMPUTED_VALUE"""),"Lees Summit North High School")</f>
        <v>Lees Summit North High School</v>
      </c>
      <c r="G1022" s="5">
        <f ca="1">IFERROR(__xludf.DUMMYFUNCTION("""COMPUTED_VALUE"""),0)</f>
        <v>0</v>
      </c>
      <c r="H1022" s="5">
        <f ca="1">IFERROR(__xludf.DUMMYFUNCTION("""COMPUTED_VALUE"""),0)</f>
        <v>0</v>
      </c>
      <c r="I1022" s="5">
        <f ca="1">IFERROR(__xludf.DUMMYFUNCTION("""COMPUTED_VALUE"""),0)</f>
        <v>0</v>
      </c>
      <c r="J1022" s="5">
        <f ca="1">IFERROR(__xludf.DUMMYFUNCTION("""COMPUTED_VALUE"""),1)</f>
        <v>1</v>
      </c>
      <c r="K1022" s="9" t="str">
        <f ca="1">IFERROR(__xludf.DUMMYFUNCTION("""COMPUTED_VALUE"""),"https://fox4kc.com/2017/09/29/lees-summit-north-high-school-dismissing-students-early-due-to-an-incident/")</f>
        <v>https://fox4kc.com/2017/09/29/lees-summit-north-high-school-dismissing-students-early-due-to-an-incident/</v>
      </c>
      <c r="L1022" s="5"/>
      <c r="M1022" s="5"/>
      <c r="N1022" s="5">
        <f ca="1">IFERROR(__xludf.DUMMYFUNCTION("""COMPUTED_VALUE"""),2)</f>
        <v>2</v>
      </c>
      <c r="O1022" s="5" t="str">
        <f ca="1">IFERROR(__xludf.DUMMYFUNCTION("""COMPUTED_VALUE"""),"Fall")</f>
        <v>Fall</v>
      </c>
      <c r="P1022" s="5" t="str">
        <f ca="1">IFERROR(__xludf.DUMMYFUNCTION("""COMPUTED_VALUE"""),"Lees Summit")</f>
        <v>Lees Summit</v>
      </c>
      <c r="Q1022" s="5" t="str">
        <f ca="1">IFERROR(__xludf.DUMMYFUNCTION("""COMPUTED_VALUE"""),"MO")</f>
        <v>MO</v>
      </c>
      <c r="R1022" s="5" t="str">
        <f ca="1">IFERROR(__xludf.DUMMYFUNCTION("""COMPUTED_VALUE"""),"High")</f>
        <v>High</v>
      </c>
      <c r="S1022" s="5" t="str">
        <f ca="1">IFERROR(__xludf.DUMMYFUNCTION("""COMPUTED_VALUE"""),"Inside School Building")</f>
        <v>Inside School Building</v>
      </c>
      <c r="T1022" s="5" t="str">
        <f ca="1">IFERROR(__xludf.DUMMYFUNCTION("""COMPUTED_VALUE"""),"Inside School Building")</f>
        <v>Inside School Building</v>
      </c>
      <c r="U1022" s="5" t="str">
        <f ca="1">IFERROR(__xludf.DUMMYFUNCTION("""COMPUTED_VALUE"""),"Yes")</f>
        <v>Yes</v>
      </c>
      <c r="V1022" s="5" t="str">
        <f ca="1">IFERROR(__xludf.DUMMYFUNCTION("""COMPUTED_VALUE"""),"Morning Classes")</f>
        <v>Morning Classes</v>
      </c>
      <c r="W1022" s="10">
        <f ca="1">IFERROR(__xludf.DUMMYFUNCTION("""COMPUTED_VALUE"""),0.364583333333333)</f>
        <v>0.36458333333333298</v>
      </c>
      <c r="X1022" s="5">
        <f ca="1">IFERROR(__xludf.DUMMYFUNCTION("""COMPUTED_VALUE"""),1)</f>
        <v>1</v>
      </c>
      <c r="Y1022" s="5" t="str">
        <f ca="1">IFERROR(__xludf.DUMMYFUNCTION("""COMPUTED_VALUE"""),"Female student shot herself inside the school")</f>
        <v>Female student shot herself inside the school</v>
      </c>
      <c r="Z1022" s="5" t="str">
        <f ca="1">IFERROR(__xludf.DUMMYFUNCTION("""COMPUTED_VALUE"""),"Teenage female student fired one shot killing herself on the second floor of the high school. School was locked down and then dismissed.")</f>
        <v>Teenage female student fired one shot killing herself on the second floor of the high school. School was locked down and then dismissed.</v>
      </c>
      <c r="AA1022" s="5" t="str">
        <f ca="1">IFERROR(__xludf.DUMMYFUNCTION("""COMPUTED_VALUE"""),"Suicide/Attempted")</f>
        <v>Suicide/Attempted</v>
      </c>
      <c r="AB1022" s="5" t="str">
        <f ca="1">IFERROR(__xludf.DUMMYFUNCTION("""COMPUTED_VALUE"""),"Victims Targeted")</f>
        <v>Victims Targeted</v>
      </c>
      <c r="AC1022" s="5" t="str">
        <f ca="1">IFERROR(__xludf.DUMMYFUNCTION("""COMPUTED_VALUE"""),"No")</f>
        <v>No</v>
      </c>
      <c r="AD1022" s="5" t="str">
        <f ca="1">IFERROR(__xludf.DUMMYFUNCTION("""COMPUTED_VALUE"""),"No")</f>
        <v>No</v>
      </c>
      <c r="AE1022" s="5" t="str">
        <f ca="1">IFERROR(__xludf.DUMMYFUNCTION("""COMPUTED_VALUE"""),"No")</f>
        <v>No</v>
      </c>
      <c r="AF1022" s="5" t="str">
        <f ca="1">IFERROR(__xludf.DUMMYFUNCTION("""COMPUTED_VALUE"""),"No")</f>
        <v>No</v>
      </c>
      <c r="AG1022" s="5" t="str">
        <f ca="1">IFERROR(__xludf.DUMMYFUNCTION("""COMPUTED_VALUE"""),"No")</f>
        <v>No</v>
      </c>
      <c r="AH1022" s="5" t="str">
        <f ca="1">IFERROR(__xludf.DUMMYFUNCTION("""COMPUTED_VALUE"""),"No")</f>
        <v>No</v>
      </c>
      <c r="AI1022" s="5" t="str">
        <f ca="1">IFERROR(__xludf.DUMMYFUNCTION("""COMPUTED_VALUE"""),"No")</f>
        <v>No</v>
      </c>
      <c r="AJ1022" s="5" t="str">
        <f ca="1">IFERROR(__xludf.DUMMYFUNCTION("""COMPUTED_VALUE"""),"No")</f>
        <v>No</v>
      </c>
    </row>
    <row r="1023" spans="1:36" ht="13">
      <c r="A1023" s="5" t="str">
        <f ca="1">IFERROR(__xludf.DUMMYFUNCTION("""COMPUTED_VALUE"""),"20170928KYSOL")</f>
        <v>20170928KYSOL</v>
      </c>
      <c r="B1023" s="5">
        <f ca="1">IFERROR(__xludf.DUMMYFUNCTION("""COMPUTED_VALUE"""),9)</f>
        <v>9</v>
      </c>
      <c r="C1023" s="5">
        <f ca="1">IFERROR(__xludf.DUMMYFUNCTION("""COMPUTED_VALUE"""),28)</f>
        <v>28</v>
      </c>
      <c r="D1023" s="5">
        <f ca="1">IFERROR(__xludf.DUMMYFUNCTION("""COMPUTED_VALUE"""),2017)</f>
        <v>2017</v>
      </c>
      <c r="E1023" s="8">
        <f ca="1">IFERROR(__xludf.DUMMYFUNCTION("""COMPUTED_VALUE"""),43006)</f>
        <v>43006</v>
      </c>
      <c r="F1023" s="5" t="str">
        <f ca="1">IFERROR(__xludf.DUMMYFUNCTION("""COMPUTED_VALUE"""),"Southern Middle School")</f>
        <v>Southern Middle School</v>
      </c>
      <c r="G1023" s="5">
        <f ca="1">IFERROR(__xludf.DUMMYFUNCTION("""COMPUTED_VALUE"""),0)</f>
        <v>0</v>
      </c>
      <c r="H1023" s="5">
        <f ca="1">IFERROR(__xludf.DUMMYFUNCTION("""COMPUTED_VALUE"""),0)</f>
        <v>0</v>
      </c>
      <c r="I1023" s="5">
        <f ca="1">IFERROR(__xludf.DUMMYFUNCTION("""COMPUTED_VALUE"""),0)</f>
        <v>0</v>
      </c>
      <c r="J1023" s="5">
        <f ca="1">IFERROR(__xludf.DUMMYFUNCTION("""COMPUTED_VALUE"""),0)</f>
        <v>0</v>
      </c>
      <c r="K1023" s="5" t="str">
        <f ca="1">IFERROR(__xludf.DUMMYFUNCTION("""COMPUTED_VALUE"""),"https://www.lexingtonky.gov/news/10-26-2017/two-men-wanted-connection-shooting-outside-middle-school; https://www.wkyt.com/content/news/Lexington-Police-respond-to-shooting-at-Southern-Middle-School--448589843.html")</f>
        <v>https://www.lexingtonky.gov/news/10-26-2017/two-men-wanted-connection-shooting-outside-middle-school; https://www.wkyt.com/content/news/Lexington-Police-respond-to-shooting-at-Southern-Middle-School--448589843.html</v>
      </c>
      <c r="L1023" s="5"/>
      <c r="M1023" s="5"/>
      <c r="N1023" s="5">
        <f ca="1">IFERROR(__xludf.DUMMYFUNCTION("""COMPUTED_VALUE"""),4)</f>
        <v>4</v>
      </c>
      <c r="O1023" s="5" t="str">
        <f ca="1">IFERROR(__xludf.DUMMYFUNCTION("""COMPUTED_VALUE"""),"Fall")</f>
        <v>Fall</v>
      </c>
      <c r="P1023" s="5" t="str">
        <f ca="1">IFERROR(__xludf.DUMMYFUNCTION("""COMPUTED_VALUE"""),"Lexington")</f>
        <v>Lexington</v>
      </c>
      <c r="Q1023" s="5" t="str">
        <f ca="1">IFERROR(__xludf.DUMMYFUNCTION("""COMPUTED_VALUE"""),"KY")</f>
        <v>KY</v>
      </c>
      <c r="R1023" s="5" t="str">
        <f ca="1">IFERROR(__xludf.DUMMYFUNCTION("""COMPUTED_VALUE"""),"Middle")</f>
        <v>Middle</v>
      </c>
      <c r="S1023" s="5" t="str">
        <f ca="1">IFERROR(__xludf.DUMMYFUNCTION("""COMPUTED_VALUE"""),"Football Field/Track")</f>
        <v>Football Field/Track</v>
      </c>
      <c r="T1023" s="5" t="str">
        <f ca="1">IFERROR(__xludf.DUMMYFUNCTION("""COMPUTED_VALUE"""),"Outside on School Property")</f>
        <v>Outside on School Property</v>
      </c>
      <c r="U1023" s="5" t="str">
        <f ca="1">IFERROR(__xludf.DUMMYFUNCTION("""COMPUTED_VALUE"""),"No")</f>
        <v>No</v>
      </c>
      <c r="V1023" s="5" t="str">
        <f ca="1">IFERROR(__xludf.DUMMYFUNCTION("""COMPUTED_VALUE"""),"Sport Event")</f>
        <v>Sport Event</v>
      </c>
      <c r="W1023" s="10">
        <f ca="1">IFERROR(__xludf.DUMMYFUNCTION("""COMPUTED_VALUE"""),0.8125)</f>
        <v>0.8125</v>
      </c>
      <c r="X1023" s="5">
        <f ca="1">IFERROR(__xludf.DUMMYFUNCTION("""COMPUTED_VALUE"""),1)</f>
        <v>1</v>
      </c>
      <c r="Y1023" s="5" t="str">
        <f ca="1">IFERROR(__xludf.DUMMYFUNCTION("""COMPUTED_VALUE"""),"Escalation of ongoing feud")</f>
        <v>Escalation of ongoing feud</v>
      </c>
      <c r="Z1023" s="5" t="str">
        <f ca="1">IFERROR(__xludf.DUMMYFUNCTION("""COMPUTED_VALUE"""),"Two men kidnapped a women and forced her to set up a meeting with a mutual acquaintance at the middle school. Upon arrival, a gun battle ensued in which one of the kidnappers was shot in the leg. The victim later sought medical attention at the local hosp"&amp;"ital and was detained by police for questioning. Although the shooting was not related to the sporting event, the students at the game were brought inside the school building and the school was placed on lockdown.")</f>
        <v>Two men kidnapped a women and forced her to set up a meeting with a mutual acquaintance at the middle school. Upon arrival, a gun battle ensued in which one of the kidnappers was shot in the leg. The victim later sought medical attention at the local hospital and was detained by police for questioning. Although the shooting was not related to the sporting event, the students at the game were brought inside the school building and the school was placed on lockdown.</v>
      </c>
      <c r="AA1023" s="5" t="str">
        <f ca="1">IFERROR(__xludf.DUMMYFUNCTION("""COMPUTED_VALUE"""),"Escalation of Dispute")</f>
        <v>Escalation of Dispute</v>
      </c>
      <c r="AB1023" s="5"/>
      <c r="AC1023" s="5"/>
      <c r="AD1023" s="5" t="str">
        <f ca="1">IFERROR(__xludf.DUMMYFUNCTION("""COMPUTED_VALUE"""),"No")</f>
        <v>No</v>
      </c>
      <c r="AE1023" s="5" t="str">
        <f ca="1">IFERROR(__xludf.DUMMYFUNCTION("""COMPUTED_VALUE"""),"No")</f>
        <v>No</v>
      </c>
      <c r="AF1023" s="5" t="str">
        <f ca="1">IFERROR(__xludf.DUMMYFUNCTION("""COMPUTED_VALUE"""),"No")</f>
        <v>No</v>
      </c>
      <c r="AG1023" s="5" t="str">
        <f ca="1">IFERROR(__xludf.DUMMYFUNCTION("""COMPUTED_VALUE"""),"No")</f>
        <v>No</v>
      </c>
      <c r="AH1023" s="5" t="str">
        <f ca="1">IFERROR(__xludf.DUMMYFUNCTION("""COMPUTED_VALUE"""),"No")</f>
        <v>No</v>
      </c>
      <c r="AI1023" s="5" t="str">
        <f ca="1">IFERROR(__xludf.DUMMYFUNCTION("""COMPUTED_VALUE"""),"No")</f>
        <v>No</v>
      </c>
      <c r="AJ1023" s="5" t="str">
        <f ca="1">IFERROR(__xludf.DUMMYFUNCTION("""COMPUTED_VALUE"""),"No")</f>
        <v>No</v>
      </c>
    </row>
    <row r="1024" spans="1:36" ht="13">
      <c r="A1024" s="5" t="str">
        <f ca="1">IFERROR(__xludf.DUMMYFUNCTION("""COMPUTED_VALUE"""),"20170920ILMAM")</f>
        <v>20170920ILMAM</v>
      </c>
      <c r="B1024" s="5">
        <f ca="1">IFERROR(__xludf.DUMMYFUNCTION("""COMPUTED_VALUE"""),9)</f>
        <v>9</v>
      </c>
      <c r="C1024" s="5">
        <f ca="1">IFERROR(__xludf.DUMMYFUNCTION("""COMPUTED_VALUE"""),20)</f>
        <v>20</v>
      </c>
      <c r="D1024" s="5">
        <f ca="1">IFERROR(__xludf.DUMMYFUNCTION("""COMPUTED_VALUE"""),2017)</f>
        <v>2017</v>
      </c>
      <c r="E1024" s="8">
        <f ca="1">IFERROR(__xludf.DUMMYFUNCTION("""COMPUTED_VALUE"""),42998)</f>
        <v>42998</v>
      </c>
      <c r="F1024" s="5" t="str">
        <f ca="1">IFERROR(__xludf.DUMMYFUNCTION("""COMPUTED_VALUE"""),"Mattoon High School")</f>
        <v>Mattoon High School</v>
      </c>
      <c r="G1024" s="5">
        <f ca="1">IFERROR(__xludf.DUMMYFUNCTION("""COMPUTED_VALUE"""),0)</f>
        <v>0</v>
      </c>
      <c r="H1024" s="5">
        <f ca="1">IFERROR(__xludf.DUMMYFUNCTION("""COMPUTED_VALUE"""),1)</f>
        <v>1</v>
      </c>
      <c r="I1024" s="5">
        <f ca="1">IFERROR(__xludf.DUMMYFUNCTION("""COMPUTED_VALUE"""),1)</f>
        <v>1</v>
      </c>
      <c r="J1024" s="5">
        <f ca="1">IFERROR(__xludf.DUMMYFUNCTION("""COMPUTED_VALUE"""),0)</f>
        <v>0</v>
      </c>
      <c r="K1024" s="5" t="str">
        <f ca="1">IFERROR(__xludf.DUMMYFUNCTION("""COMPUTED_VALUE"""),"https://www.dailyeasternnews.com/2020/09/21/community-still-dealing-with-mattoon-high-school-shooting-3-years-later/ http://www.chicagotribune.com/news/local/breaking/ct-teen-evaluation-mattoon-school-shooting-20180216-story.html https://foxillinois.com/n"&amp;"ews/local/1-year-since-matton-high-school-shooting https://wrex.com/category/2018/10/11/high-school-shooting-suspect-sentence-to-juvenile-prison/")</f>
        <v>https://www.dailyeasternnews.com/2020/09/21/community-still-dealing-with-mattoon-high-school-shooting-3-years-later/ http://www.chicagotribune.com/news/local/breaking/ct-teen-evaluation-mattoon-school-shooting-20180216-story.html https://foxillinois.com/news/local/1-year-since-matton-high-school-shooting https://wrex.com/category/2018/10/11/high-school-shooting-suspect-sentence-to-juvenile-prison/</v>
      </c>
      <c r="L1024" s="5">
        <f ca="1">IFERROR(__xludf.DUMMYFUNCTION("""COMPUTED_VALUE"""),11)</f>
        <v>11</v>
      </c>
      <c r="M1024" s="5" t="str">
        <f ca="1">IFERROR(__xludf.DUMMYFUNCTION("""COMPUTED_VALUE"""),"Regional")</f>
        <v>Regional</v>
      </c>
      <c r="N1024" s="5">
        <f ca="1">IFERROR(__xludf.DUMMYFUNCTION("""COMPUTED_VALUE"""),4)</f>
        <v>4</v>
      </c>
      <c r="O1024" s="5" t="str">
        <f ca="1">IFERROR(__xludf.DUMMYFUNCTION("""COMPUTED_VALUE"""),"Fall")</f>
        <v>Fall</v>
      </c>
      <c r="P1024" s="5" t="str">
        <f ca="1">IFERROR(__xludf.DUMMYFUNCTION("""COMPUTED_VALUE"""),"Mattoon")</f>
        <v>Mattoon</v>
      </c>
      <c r="Q1024" s="5" t="str">
        <f ca="1">IFERROR(__xludf.DUMMYFUNCTION("""COMPUTED_VALUE"""),"IL")</f>
        <v>IL</v>
      </c>
      <c r="R1024" s="5" t="str">
        <f ca="1">IFERROR(__xludf.DUMMYFUNCTION("""COMPUTED_VALUE"""),"High")</f>
        <v>High</v>
      </c>
      <c r="S1024" s="5" t="str">
        <f ca="1">IFERROR(__xludf.DUMMYFUNCTION("""COMPUTED_VALUE"""),"Cafeteria")</f>
        <v>Cafeteria</v>
      </c>
      <c r="T1024" s="5" t="str">
        <f ca="1">IFERROR(__xludf.DUMMYFUNCTION("""COMPUTED_VALUE"""),"Inside School Building")</f>
        <v>Inside School Building</v>
      </c>
      <c r="U1024" s="5" t="str">
        <f ca="1">IFERROR(__xludf.DUMMYFUNCTION("""COMPUTED_VALUE"""),"Yes")</f>
        <v>Yes</v>
      </c>
      <c r="V1024" s="5" t="str">
        <f ca="1">IFERROR(__xludf.DUMMYFUNCTION("""COMPUTED_VALUE"""),"Lunch")</f>
        <v>Lunch</v>
      </c>
      <c r="W1024" s="10">
        <f ca="1">IFERROR(__xludf.DUMMYFUNCTION("""COMPUTED_VALUE"""),0.479166666666666)</f>
        <v>0.47916666666666602</v>
      </c>
      <c r="X1024" s="5">
        <f ca="1">IFERROR(__xludf.DUMMYFUNCTION("""COMPUTED_VALUE"""),1)</f>
        <v>1</v>
      </c>
      <c r="Y1024" s="5" t="str">
        <f ca="1">IFERROR(__xludf.DUMMYFUNCTION("""COMPUTED_VALUE"""),"Shooting in school cafeteria")</f>
        <v>Shooting in school cafeteria</v>
      </c>
      <c r="Z1024" s="5" t="str">
        <f ca="1">IFERROR(__xludf.DUMMYFUNCTION("""COMPUTED_VALUE"""),"Shooter drew weapon and attempted to fire at a girl in the cafeteria. Teacher grabbed his arm as he fired and the bullet struck another male student near her. Victim was random. Shooter was suspended in the past for getting in a fight with another girl wh"&amp;"o he claimed bullied him; Shooter planned to shoot that girl but she didn't show up so he decided to shoot at another. Parents made prior reports to school regarding son being bullied. Defense considering insanity plea. Shooter is in intensive mental heal"&amp;"th treatment program while awaiting trial, may be tried as an adult. No murder charge due to victim not being targeted.")</f>
        <v>Shooter drew weapon and attempted to fire at a girl in the cafeteria. Teacher grabbed his arm as he fired and the bullet struck another male student near her. Victim was random. Shooter was suspended in the past for getting in a fight with another girl who he claimed bullied him; Shooter planned to shoot that girl but she didn't show up so he decided to shoot at another. Parents made prior reports to school regarding son being bullied. Defense considering insanity plea. Shooter is in intensive mental health treatment program while awaiting trial, may be tried as an adult. No murder charge due to victim not being targeted.</v>
      </c>
      <c r="AA1024" s="5" t="str">
        <f ca="1">IFERROR(__xludf.DUMMYFUNCTION("""COMPUTED_VALUE"""),"Bullying")</f>
        <v>Bullying</v>
      </c>
      <c r="AB1024" s="5" t="str">
        <f ca="1">IFERROR(__xludf.DUMMYFUNCTION("""COMPUTED_VALUE"""),"Both")</f>
        <v>Both</v>
      </c>
      <c r="AC1024" s="5" t="str">
        <f ca="1">IFERROR(__xludf.DUMMYFUNCTION("""COMPUTED_VALUE"""),"No")</f>
        <v>No</v>
      </c>
      <c r="AD1024" s="5" t="str">
        <f ca="1">IFERROR(__xludf.DUMMYFUNCTION("""COMPUTED_VALUE"""),"No")</f>
        <v>No</v>
      </c>
      <c r="AE1024" s="5" t="str">
        <f ca="1">IFERROR(__xludf.DUMMYFUNCTION("""COMPUTED_VALUE"""),"No")</f>
        <v>No</v>
      </c>
      <c r="AF1024" s="5" t="str">
        <f ca="1">IFERROR(__xludf.DUMMYFUNCTION("""COMPUTED_VALUE"""),"No")</f>
        <v>No</v>
      </c>
      <c r="AG1024" s="5" t="str">
        <f ca="1">IFERROR(__xludf.DUMMYFUNCTION("""COMPUTED_VALUE"""),"Yes")</f>
        <v>Yes</v>
      </c>
      <c r="AH1024" s="5" t="str">
        <f ca="1">IFERROR(__xludf.DUMMYFUNCTION("""COMPUTED_VALUE"""),"Yes")</f>
        <v>Yes</v>
      </c>
      <c r="AI1024" s="5" t="str">
        <f ca="1">IFERROR(__xludf.DUMMYFUNCTION("""COMPUTED_VALUE"""),"No")</f>
        <v>No</v>
      </c>
      <c r="AJ1024" s="5" t="str">
        <f ca="1">IFERROR(__xludf.DUMMYFUNCTION("""COMPUTED_VALUE"""),"Yes")</f>
        <v>Yes</v>
      </c>
    </row>
    <row r="1025" spans="1:36" ht="13">
      <c r="A1025" s="5" t="str">
        <f ca="1">IFERROR(__xludf.DUMMYFUNCTION("""COMPUTED_VALUE"""),"20170913WAFRR")</f>
        <v>20170913WAFRR</v>
      </c>
      <c r="B1025" s="5">
        <f ca="1">IFERROR(__xludf.DUMMYFUNCTION("""COMPUTED_VALUE"""),9)</f>
        <v>9</v>
      </c>
      <c r="C1025" s="5">
        <f ca="1">IFERROR(__xludf.DUMMYFUNCTION("""COMPUTED_VALUE"""),13)</f>
        <v>13</v>
      </c>
      <c r="D1025" s="5">
        <f ca="1">IFERROR(__xludf.DUMMYFUNCTION("""COMPUTED_VALUE"""),2017)</f>
        <v>2017</v>
      </c>
      <c r="E1025" s="8">
        <f ca="1">IFERROR(__xludf.DUMMYFUNCTION("""COMPUTED_VALUE"""),42991)</f>
        <v>42991</v>
      </c>
      <c r="F1025" s="5" t="str">
        <f ca="1">IFERROR(__xludf.DUMMYFUNCTION("""COMPUTED_VALUE"""),"Freeman High School")</f>
        <v>Freeman High School</v>
      </c>
      <c r="G1025" s="5">
        <f ca="1">IFERROR(__xludf.DUMMYFUNCTION("""COMPUTED_VALUE"""),1)</f>
        <v>1</v>
      </c>
      <c r="H1025" s="5">
        <f ca="1">IFERROR(__xludf.DUMMYFUNCTION("""COMPUTED_VALUE"""),3)</f>
        <v>3</v>
      </c>
      <c r="I1025" s="5">
        <f ca="1">IFERROR(__xludf.DUMMYFUNCTION("""COMPUTED_VALUE"""),4)</f>
        <v>4</v>
      </c>
      <c r="J1025" s="5">
        <f ca="1">IFERROR(__xludf.DUMMYFUNCTION("""COMPUTED_VALUE"""),0)</f>
        <v>0</v>
      </c>
      <c r="K1025" s="9" t="str">
        <f ca="1">IFERROR(__xludf.DUMMYFUNCTION("""COMPUTED_VALUE"""),"https://www.spokesman.com/stories/2022/aug/19/the-true-cost-of-evil-freeman-high-school-shooter-/
https://www.spokesman.com/stories/2021/mar/31/trial-for-accused-freeman-school-shooter-moved-to-/ https://www.cbsnews.com/news/freeman-high-school-shooting-s"&amp;"uspect-said-he-was-bullied-police-documents-say/ http://www.spokesman.com/stories/2017/sep/18/search-warrant-shows-accused-killer-caleb-sharpe-m/ https://www.wpxi.com/news/judge-school-shooting-suspect-comments-are-admissible/753945642 https://www.fbi.gov"&amp;"/file-repository/active-shooter-incidents-2000-2017.pdf https://www.kxly.com/news/defense-issues-at-birth-may-have-led-to-brain-damage-in-freeman-school-shooter/1095763943 https://madison.com/news/national/judge-teen-charged-in-school-shooting-to-be-tried"&amp;"-as/article_907de2bb-92ad-59e0-a197-974630b40933.html https://komonews.com/news/local/teen-pleads-not-guilty-to-washington-school-shootings")</f>
        <v>https://www.spokesman.com/stories/2022/aug/19/the-true-cost-of-evil-freeman-high-school-shooter-/
https://www.spokesman.com/stories/2021/mar/31/trial-for-accused-freeman-school-shooter-moved-to-/ https://www.cbsnews.com/news/freeman-high-school-shooting-suspect-said-he-was-bullied-police-documents-say/ http://www.spokesman.com/stories/2017/sep/18/search-warrant-shows-accused-killer-caleb-sharpe-m/ https://www.wpxi.com/news/judge-school-shooting-suspect-comments-are-admissible/753945642 https://www.fbi.gov/file-repository/active-shooter-incidents-2000-2017.pdf https://www.kxly.com/news/defense-issues-at-birth-may-have-led-to-brain-damage-in-freeman-school-shooter/1095763943 https://madison.com/news/national/judge-teen-charged-in-school-shooting-to-be-tried-as/article_907de2bb-92ad-59e0-a197-974630b40933.html https://komonews.com/news/local/teen-pleads-not-guilty-to-washington-school-shootings</v>
      </c>
      <c r="L1025" s="5">
        <f ca="1">IFERROR(__xludf.DUMMYFUNCTION("""COMPUTED_VALUE"""),100)</f>
        <v>100</v>
      </c>
      <c r="M1025" s="5" t="str">
        <f ca="1">IFERROR(__xludf.DUMMYFUNCTION("""COMPUTED_VALUE"""),"National")</f>
        <v>National</v>
      </c>
      <c r="N1025" s="5">
        <f ca="1">IFERROR(__xludf.DUMMYFUNCTION("""COMPUTED_VALUE"""),5)</f>
        <v>5</v>
      </c>
      <c r="O1025" s="5" t="str">
        <f ca="1">IFERROR(__xludf.DUMMYFUNCTION("""COMPUTED_VALUE"""),"Fall")</f>
        <v>Fall</v>
      </c>
      <c r="P1025" s="5" t="str">
        <f ca="1">IFERROR(__xludf.DUMMYFUNCTION("""COMPUTED_VALUE"""),"Rockford")</f>
        <v>Rockford</v>
      </c>
      <c r="Q1025" s="5" t="str">
        <f ca="1">IFERROR(__xludf.DUMMYFUNCTION("""COMPUTED_VALUE"""),"WA")</f>
        <v>WA</v>
      </c>
      <c r="R1025" s="5" t="str">
        <f ca="1">IFERROR(__xludf.DUMMYFUNCTION("""COMPUTED_VALUE"""),"High")</f>
        <v>High</v>
      </c>
      <c r="S1025" s="5" t="str">
        <f ca="1">IFERROR(__xludf.DUMMYFUNCTION("""COMPUTED_VALUE"""),"Hallway")</f>
        <v>Hallway</v>
      </c>
      <c r="T1025" s="5" t="str">
        <f ca="1">IFERROR(__xludf.DUMMYFUNCTION("""COMPUTED_VALUE"""),"Inside School Building")</f>
        <v>Inside School Building</v>
      </c>
      <c r="U1025" s="5" t="str">
        <f ca="1">IFERROR(__xludf.DUMMYFUNCTION("""COMPUTED_VALUE"""),"Yes")</f>
        <v>Yes</v>
      </c>
      <c r="V1025" s="5" t="str">
        <f ca="1">IFERROR(__xludf.DUMMYFUNCTION("""COMPUTED_VALUE"""),"Morning Classes")</f>
        <v>Morning Classes</v>
      </c>
      <c r="W1025" s="10">
        <f ca="1">IFERROR(__xludf.DUMMYFUNCTION("""COMPUTED_VALUE"""),0.416666666666666)</f>
        <v>0.41666666666666602</v>
      </c>
      <c r="X1025" s="5">
        <f ca="1">IFERROR(__xludf.DUMMYFUNCTION("""COMPUTED_VALUE"""),1)</f>
        <v>1</v>
      </c>
      <c r="Y1025" s="5" t="str">
        <f ca="1">IFERROR(__xludf.DUMMYFUNCTION("""COMPUTED_VALUE"""),"Bullied at school")</f>
        <v>Bullied at school</v>
      </c>
      <c r="Z1025" s="5" t="str">
        <f ca="1">IFERROR(__xludf.DUMMYFUNCTION("""COMPUTED_VALUE"""),"""Killed student who bullied him, fired 3 random shots down hallway that wounded other students, shooter stopped when he was confronted by janitor; told police he wanted to teach classmates a lesson; targeted classmate told him """"I knew you were going t"&amp;"o shoot up the school when he pulled out the rifle, AR15 jammed and fired only with handgun, obsessed with school shooting, made multiple youtube videos about school shootings. Drew X's over the faces of his targets in the yearbook. Had written a plan abo"&amp;"ut the shooting that was found by another student and turned over to school officials - shooter was suspended as a result but allowed to return to the school. brought notes earlier in the school year, saying he was going to do """"something stupid"""" and"&amp;" might get killed or jailed"""". After his arrest, he told investigators that he was fascinated with school shootings and that he flipped a coin over whether or not to bring a gun to school and open fire. Investigators found evidence of possible pre-plann"&amp;"ing, though, including a diagram of the second floor of the school. FBI Study: On September 13, 2017, at 10:00 a.m., Caleb Sharpe, 15, armed with a rifle and a pistol, allegedly began shooting at Freeman High School in Rockford, Washington, where he was a"&amp;" student. One student was killed; three students were wounded. A school employee confronted the shooter, ordered him to the ground, and held him there until law enforcement arrived and took him into custody. ""
")</f>
        <v xml:space="preserve">"Killed student who bullied him, fired 3 random shots down hallway that wounded other students, shooter stopped when he was confronted by janitor; told police he wanted to teach classmates a lesson; targeted classmate told him ""I knew you were going to shoot up the school when he pulled out the rifle, AR15 jammed and fired only with handgun, obsessed with school shooting, made multiple youtube videos about school shootings. Drew X's over the faces of his targets in the yearbook. Had written a plan about the shooting that was found by another student and turned over to school officials - shooter was suspended as a result but allowed to return to the school. brought notes earlier in the school year, saying he was going to do ""something stupid"" and might get killed or jailed"". After his arrest, he told investigators that he was fascinated with school shootings and that he flipped a coin over whether or not to bring a gun to school and open fire. Investigators found evidence of possible pre-planning, though, including a diagram of the second floor of the school. FBI Study: On September 13, 2017, at 10:00 a.m., Caleb Sharpe, 15, armed with a rifle and a pistol, allegedly began shooting at Freeman High School in Rockford, Washington, where he was a student. One student was killed; three students were wounded. A school employee confronted the shooter, ordered him to the ground, and held him there until law enforcement arrived and took him into custody. "
</v>
      </c>
      <c r="AA1025" s="5" t="str">
        <f ca="1">IFERROR(__xludf.DUMMYFUNCTION("""COMPUTED_VALUE"""),"Indiscriminate Shooting")</f>
        <v>Indiscriminate Shooting</v>
      </c>
      <c r="AB1025" s="5" t="str">
        <f ca="1">IFERROR(__xludf.DUMMYFUNCTION("""COMPUTED_VALUE"""),"Both")</f>
        <v>Both</v>
      </c>
      <c r="AC1025" s="5" t="str">
        <f ca="1">IFERROR(__xludf.DUMMYFUNCTION("""COMPUTED_VALUE"""),"No")</f>
        <v>No</v>
      </c>
      <c r="AD1025" s="5" t="str">
        <f ca="1">IFERROR(__xludf.DUMMYFUNCTION("""COMPUTED_VALUE"""),"No")</f>
        <v>No</v>
      </c>
      <c r="AE1025" s="5" t="str">
        <f ca="1">IFERROR(__xludf.DUMMYFUNCTION("""COMPUTED_VALUE"""),"No")</f>
        <v>No</v>
      </c>
      <c r="AF1025" s="5" t="str">
        <f ca="1">IFERROR(__xludf.DUMMYFUNCTION("""COMPUTED_VALUE"""),"No")</f>
        <v>No</v>
      </c>
      <c r="AG1025" s="5" t="str">
        <f ca="1">IFERROR(__xludf.DUMMYFUNCTION("""COMPUTED_VALUE"""),"Yes")</f>
        <v>Yes</v>
      </c>
      <c r="AH1025" s="5" t="str">
        <f ca="1">IFERROR(__xludf.DUMMYFUNCTION("""COMPUTED_VALUE"""),"No")</f>
        <v>No</v>
      </c>
      <c r="AI1025" s="5" t="str">
        <f ca="1">IFERROR(__xludf.DUMMYFUNCTION("""COMPUTED_VALUE"""),"No")</f>
        <v>No</v>
      </c>
      <c r="AJ1025" s="5" t="str">
        <f ca="1">IFERROR(__xludf.DUMMYFUNCTION("""COMPUTED_VALUE"""),"Yes")</f>
        <v>Yes</v>
      </c>
    </row>
    <row r="1026" spans="1:36" ht="13">
      <c r="A1026" s="5" t="str">
        <f ca="1">IFERROR(__xludf.DUMMYFUNCTION("""COMPUTED_VALUE"""),"20170908OHCOC")</f>
        <v>20170908OHCOC</v>
      </c>
      <c r="B1026" s="5">
        <f ca="1">IFERROR(__xludf.DUMMYFUNCTION("""COMPUTED_VALUE"""),9)</f>
        <v>9</v>
      </c>
      <c r="C1026" s="5">
        <f ca="1">IFERROR(__xludf.DUMMYFUNCTION("""COMPUTED_VALUE"""),8)</f>
        <v>8</v>
      </c>
      <c r="D1026" s="5">
        <f ca="1">IFERROR(__xludf.DUMMYFUNCTION("""COMPUTED_VALUE"""),2017)</f>
        <v>2017</v>
      </c>
      <c r="E1026" s="8">
        <f ca="1">IFERROR(__xludf.DUMMYFUNCTION("""COMPUTED_VALUE"""),42986)</f>
        <v>42986</v>
      </c>
      <c r="F1026" s="5" t="str">
        <f ca="1">IFERROR(__xludf.DUMMYFUNCTION("""COMPUTED_VALUE"""),"Columbus Scioto 6-12")</f>
        <v>Columbus Scioto 6-12</v>
      </c>
      <c r="G1026" s="5">
        <f ca="1">IFERROR(__xludf.DUMMYFUNCTION("""COMPUTED_VALUE"""),0)</f>
        <v>0</v>
      </c>
      <c r="H1026" s="5">
        <f ca="1">IFERROR(__xludf.DUMMYFUNCTION("""COMPUTED_VALUE"""),0)</f>
        <v>0</v>
      </c>
      <c r="I1026" s="5">
        <f ca="1">IFERROR(__xludf.DUMMYFUNCTION("""COMPUTED_VALUE"""),0)</f>
        <v>0</v>
      </c>
      <c r="J1026" s="5">
        <f ca="1">IFERROR(__xludf.DUMMYFUNCTION("""COMPUTED_VALUE"""),0)</f>
        <v>0</v>
      </c>
      <c r="K1026" s="9" t="str">
        <f ca="1">IFERROR(__xludf.DUMMYFUNCTION("""COMPUTED_VALUE"""),"http://www.dispatch.com/news/20170912/counselor-describes-how-he-defused-columbus-scioto-school-shooter")</f>
        <v>http://www.dispatch.com/news/20170912/counselor-describes-how-he-defused-columbus-scioto-school-shooter</v>
      </c>
      <c r="L1026" s="5">
        <f ca="1">IFERROR(__xludf.DUMMYFUNCTION("""COMPUTED_VALUE"""),11)</f>
        <v>11</v>
      </c>
      <c r="M1026" s="5" t="str">
        <f ca="1">IFERROR(__xludf.DUMMYFUNCTION("""COMPUTED_VALUE"""),"National")</f>
        <v>National</v>
      </c>
      <c r="N1026" s="5">
        <f ca="1">IFERROR(__xludf.DUMMYFUNCTION("""COMPUTED_VALUE"""),2)</f>
        <v>2</v>
      </c>
      <c r="O1026" s="5" t="str">
        <f ca="1">IFERROR(__xludf.DUMMYFUNCTION("""COMPUTED_VALUE"""),"Fall")</f>
        <v>Fall</v>
      </c>
      <c r="P1026" s="5" t="str">
        <f ca="1">IFERROR(__xludf.DUMMYFUNCTION("""COMPUTED_VALUE"""),"Columbus")</f>
        <v>Columbus</v>
      </c>
      <c r="Q1026" s="5" t="str">
        <f ca="1">IFERROR(__xludf.DUMMYFUNCTION("""COMPUTED_VALUE"""),"OH")</f>
        <v>OH</v>
      </c>
      <c r="R1026" s="11">
        <f ca="1">IFERROR(__xludf.DUMMYFUNCTION("""COMPUTED_VALUE"""),44724)</f>
        <v>44724</v>
      </c>
      <c r="S1026" s="5" t="str">
        <f ca="1">IFERROR(__xludf.DUMMYFUNCTION("""COMPUTED_VALUE"""),"Hallway")</f>
        <v>Hallway</v>
      </c>
      <c r="T1026" s="5" t="str">
        <f ca="1">IFERROR(__xludf.DUMMYFUNCTION("""COMPUTED_VALUE"""),"Inside School Building")</f>
        <v>Inside School Building</v>
      </c>
      <c r="U1026" s="5" t="str">
        <f ca="1">IFERROR(__xludf.DUMMYFUNCTION("""COMPUTED_VALUE"""),"Yes")</f>
        <v>Yes</v>
      </c>
      <c r="V1026" s="5" t="str">
        <f ca="1">IFERROR(__xludf.DUMMYFUNCTION("""COMPUTED_VALUE"""),"Morning Classes")</f>
        <v>Morning Classes</v>
      </c>
      <c r="W1026" s="10">
        <f ca="1">IFERROR(__xludf.DUMMYFUNCTION("""COMPUTED_VALUE"""),0.35625)</f>
        <v>0.35625000000000001</v>
      </c>
      <c r="X1026" s="5"/>
      <c r="Y1026" s="5" t="str">
        <f ca="1">IFERROR(__xludf.DUMMYFUNCTION("""COMPUTED_VALUE"""),"Shooting by emotionally disturbed student")</f>
        <v>Shooting by emotionally disturbed student</v>
      </c>
      <c r="Z1026" s="5" t="str">
        <f ca="1">IFERROR(__xludf.DUMMYFUNCTION("""COMPUTED_VALUE"""),"A student in a school for emotionally and behaviorally disturbed students opened fire in the school building, no one was hurt. The shooter was engaged by the school counselor, who managed to convince the shooter to surrender the gun. The two had met earli"&amp;"er that day to discuss the shooter's mood. The counselor came out with the shooter and told the police that the gun was in a cabinet. The school was for emotionally disturbed students.")</f>
        <v>A student in a school for emotionally and behaviorally disturbed students opened fire in the school building, no one was hurt. The shooter was engaged by the school counselor, who managed to convince the shooter to surrender the gun. The two had met earlier that day to discuss the shooter's mood. The counselor came out with the shooter and told the police that the gun was in a cabinet. The school was for emotionally disturbed students.</v>
      </c>
      <c r="AA1026" s="5" t="str">
        <f ca="1">IFERROR(__xludf.DUMMYFUNCTION("""COMPUTED_VALUE"""),"Psychosis")</f>
        <v>Psychosis</v>
      </c>
      <c r="AB1026" s="5" t="str">
        <f ca="1">IFERROR(__xludf.DUMMYFUNCTION("""COMPUTED_VALUE"""),"Neither")</f>
        <v>Neither</v>
      </c>
      <c r="AC1026" s="5" t="str">
        <f ca="1">IFERROR(__xludf.DUMMYFUNCTION("""COMPUTED_VALUE"""),"No")</f>
        <v>No</v>
      </c>
      <c r="AD1026" s="5" t="str">
        <f ca="1">IFERROR(__xludf.DUMMYFUNCTION("""COMPUTED_VALUE"""),"No")</f>
        <v>No</v>
      </c>
      <c r="AE1026" s="5" t="str">
        <f ca="1">IFERROR(__xludf.DUMMYFUNCTION("""COMPUTED_VALUE"""),"No")</f>
        <v>No</v>
      </c>
      <c r="AF1026" s="5" t="str">
        <f ca="1">IFERROR(__xludf.DUMMYFUNCTION("""COMPUTED_VALUE"""),"No")</f>
        <v>No</v>
      </c>
      <c r="AG1026" s="5"/>
      <c r="AH1026" s="5"/>
      <c r="AI1026" s="5" t="str">
        <f ca="1">IFERROR(__xludf.DUMMYFUNCTION("""COMPUTED_VALUE"""),"No")</f>
        <v>No</v>
      </c>
      <c r="AJ1026" s="5" t="str">
        <f ca="1">IFERROR(__xludf.DUMMYFUNCTION("""COMPUTED_VALUE"""),"Yes")</f>
        <v>Yes</v>
      </c>
    </row>
    <row r="1027" spans="1:36" ht="13">
      <c r="A1027" s="5" t="str">
        <f ca="1">IFERROR(__xludf.DUMMYFUNCTION("""COMPUTED_VALUE"""),"20170908ARNON")</f>
        <v>20170908ARNON</v>
      </c>
      <c r="B1027" s="5">
        <f ca="1">IFERROR(__xludf.DUMMYFUNCTION("""COMPUTED_VALUE"""),9)</f>
        <v>9</v>
      </c>
      <c r="C1027" s="5">
        <f ca="1">IFERROR(__xludf.DUMMYFUNCTION("""COMPUTED_VALUE"""),8)</f>
        <v>8</v>
      </c>
      <c r="D1027" s="5">
        <f ca="1">IFERROR(__xludf.DUMMYFUNCTION("""COMPUTED_VALUE"""),2017)</f>
        <v>2017</v>
      </c>
      <c r="E1027" s="8">
        <f ca="1">IFERROR(__xludf.DUMMYFUNCTION("""COMPUTED_VALUE"""),42986)</f>
        <v>42986</v>
      </c>
      <c r="F1027" s="5" t="str">
        <f ca="1">IFERROR(__xludf.DUMMYFUNCTION("""COMPUTED_VALUE"""),"North Little Rock High School")</f>
        <v>North Little Rock High School</v>
      </c>
      <c r="G1027" s="5">
        <f ca="1">IFERROR(__xludf.DUMMYFUNCTION("""COMPUTED_VALUE"""),0)</f>
        <v>0</v>
      </c>
      <c r="H1027" s="5">
        <f ca="1">IFERROR(__xludf.DUMMYFUNCTION("""COMPUTED_VALUE"""),1)</f>
        <v>1</v>
      </c>
      <c r="I1027" s="5">
        <f ca="1">IFERROR(__xludf.DUMMYFUNCTION("""COMPUTED_VALUE"""),1)</f>
        <v>1</v>
      </c>
      <c r="J1027" s="5">
        <f ca="1">IFERROR(__xludf.DUMMYFUNCTION("""COMPUTED_VALUE"""),0)</f>
        <v>0</v>
      </c>
      <c r="K1027" s="9" t="str">
        <f ca="1">IFERROR(__xludf.DUMMYFUNCTION("""COMPUTED_VALUE"""),"https://www.thv11.com/article/news/local/after-shooting-north-little-rock-high-to-increase-security-at-football-games/473815136")</f>
        <v>https://www.thv11.com/article/news/local/after-shooting-north-little-rock-high-to-increase-security-at-football-games/473815136</v>
      </c>
      <c r="L1027" s="5"/>
      <c r="M1027" s="5"/>
      <c r="N1027" s="5">
        <f ca="1">IFERROR(__xludf.DUMMYFUNCTION("""COMPUTED_VALUE"""),2)</f>
        <v>2</v>
      </c>
      <c r="O1027" s="5" t="str">
        <f ca="1">IFERROR(__xludf.DUMMYFUNCTION("""COMPUTED_VALUE"""),"Fall")</f>
        <v>Fall</v>
      </c>
      <c r="P1027" s="5" t="str">
        <f ca="1">IFERROR(__xludf.DUMMYFUNCTION("""COMPUTED_VALUE"""),"North Little Rock")</f>
        <v>North Little Rock</v>
      </c>
      <c r="Q1027" s="5" t="str">
        <f ca="1">IFERROR(__xludf.DUMMYFUNCTION("""COMPUTED_VALUE"""),"AR")</f>
        <v>AR</v>
      </c>
      <c r="R1027" s="5" t="str">
        <f ca="1">IFERROR(__xludf.DUMMYFUNCTION("""COMPUTED_VALUE"""),"High")</f>
        <v>High</v>
      </c>
      <c r="S1027" s="5" t="str">
        <f ca="1">IFERROR(__xludf.DUMMYFUNCTION("""COMPUTED_VALUE"""),"Parking Lot")</f>
        <v>Parking Lot</v>
      </c>
      <c r="T1027" s="5" t="str">
        <f ca="1">IFERROR(__xludf.DUMMYFUNCTION("""COMPUTED_VALUE"""),"Outside on School Property")</f>
        <v>Outside on School Property</v>
      </c>
      <c r="U1027" s="5" t="str">
        <f ca="1">IFERROR(__xludf.DUMMYFUNCTION("""COMPUTED_VALUE"""),"No")</f>
        <v>No</v>
      </c>
      <c r="V1027" s="5" t="str">
        <f ca="1">IFERROR(__xludf.DUMMYFUNCTION("""COMPUTED_VALUE"""),"Sport Event")</f>
        <v>Sport Event</v>
      </c>
      <c r="W1027" s="5"/>
      <c r="X1027" s="5">
        <f ca="1">IFERROR(__xludf.DUMMYFUNCTION("""COMPUTED_VALUE"""),1)</f>
        <v>1</v>
      </c>
      <c r="Y1027" s="5" t="str">
        <f ca="1">IFERROR(__xludf.DUMMYFUNCTION("""COMPUTED_VALUE"""),"Teen shot in parking lot during football game")</f>
        <v>Teen shot in parking lot during football game</v>
      </c>
      <c r="Z1027" s="5" t="str">
        <f ca="1">IFERROR(__xludf.DUMMYFUNCTION("""COMPUTED_VALUE"""),"Teen non-student shot in the parking lot of the school during a football game. Multiple rounds were fired. Suspect unknown. Motive unknown.")</f>
        <v>Teen non-student shot in the parking lot of the school during a football game. Multiple rounds were fired. Suspect unknown. Motive unknown.</v>
      </c>
      <c r="AA1027" s="5" t="str">
        <f ca="1">IFERROR(__xludf.DUMMYFUNCTION("""COMPUTED_VALUE"""),"Escalation of Dispute")</f>
        <v>Escalation of Dispute</v>
      </c>
      <c r="AB1027" s="5" t="str">
        <f ca="1">IFERROR(__xludf.DUMMYFUNCTION("""COMPUTED_VALUE"""),"Victims Targeted")</f>
        <v>Victims Targeted</v>
      </c>
      <c r="AC1027" s="5" t="str">
        <f ca="1">IFERROR(__xludf.DUMMYFUNCTION("""COMPUTED_VALUE"""),"Unknown")</f>
        <v>Unknown</v>
      </c>
      <c r="AD1027" s="5" t="str">
        <f ca="1">IFERROR(__xludf.DUMMYFUNCTION("""COMPUTED_VALUE"""),"No")</f>
        <v>No</v>
      </c>
      <c r="AE1027" s="5" t="str">
        <f ca="1">IFERROR(__xludf.DUMMYFUNCTION("""COMPUTED_VALUE"""),"No")</f>
        <v>No</v>
      </c>
      <c r="AF1027" s="5" t="str">
        <f ca="1">IFERROR(__xludf.DUMMYFUNCTION("""COMPUTED_VALUE"""),"No")</f>
        <v>No</v>
      </c>
      <c r="AG1027" s="5" t="str">
        <f ca="1">IFERROR(__xludf.DUMMYFUNCTION("""COMPUTED_VALUE"""),"No")</f>
        <v>No</v>
      </c>
      <c r="AH1027" s="5" t="str">
        <f ca="1">IFERROR(__xludf.DUMMYFUNCTION("""COMPUTED_VALUE"""),"No")</f>
        <v>No</v>
      </c>
      <c r="AI1027" s="5"/>
      <c r="AJ1027" s="5" t="str">
        <f ca="1">IFERROR(__xludf.DUMMYFUNCTION("""COMPUTED_VALUE"""),"No")</f>
        <v>No</v>
      </c>
    </row>
    <row r="1028" spans="1:36" ht="13">
      <c r="A1028" s="5" t="str">
        <f ca="1">IFERROR(__xludf.DUMMYFUNCTION("""COMPUTED_VALUE"""),"20170831CAARS")</f>
        <v>20170831CAARS</v>
      </c>
      <c r="B1028" s="5">
        <f ca="1">IFERROR(__xludf.DUMMYFUNCTION("""COMPUTED_VALUE"""),8)</f>
        <v>8</v>
      </c>
      <c r="C1028" s="5">
        <f ca="1">IFERROR(__xludf.DUMMYFUNCTION("""COMPUTED_VALUE"""),31)</f>
        <v>31</v>
      </c>
      <c r="D1028" s="5">
        <f ca="1">IFERROR(__xludf.DUMMYFUNCTION("""COMPUTED_VALUE"""),2017)</f>
        <v>2017</v>
      </c>
      <c r="E1028" s="8">
        <f ca="1">IFERROR(__xludf.DUMMYFUNCTION("""COMPUTED_VALUE"""),42978)</f>
        <v>42978</v>
      </c>
      <c r="F1028" s="5" t="str">
        <f ca="1">IFERROR(__xludf.DUMMYFUNCTION("""COMPUTED_VALUE"""),"Arroyo Valley High School")</f>
        <v>Arroyo Valley High School</v>
      </c>
      <c r="G1028" s="5">
        <f ca="1">IFERROR(__xludf.DUMMYFUNCTION("""COMPUTED_VALUE"""),0)</f>
        <v>0</v>
      </c>
      <c r="H1028" s="5">
        <f ca="1">IFERROR(__xludf.DUMMYFUNCTION("""COMPUTED_VALUE"""),0)</f>
        <v>0</v>
      </c>
      <c r="I1028" s="5">
        <f ca="1">IFERROR(__xludf.DUMMYFUNCTION("""COMPUTED_VALUE"""),0)</f>
        <v>0</v>
      </c>
      <c r="J1028" s="5">
        <f ca="1">IFERROR(__xludf.DUMMYFUNCTION("""COMPUTED_VALUE"""),0)</f>
        <v>0</v>
      </c>
      <c r="K1028" s="9" t="str">
        <f ca="1">IFERROR(__xludf.DUMMYFUNCTION("""COMPUTED_VALUE"""),"https://www.sbsun.com/2017/09/01/shooting-cuts-arroyo-valley-high-school-football-game-short/")</f>
        <v>https://www.sbsun.com/2017/09/01/shooting-cuts-arroyo-valley-high-school-football-game-short/</v>
      </c>
      <c r="L1028" s="5"/>
      <c r="M1028" s="5"/>
      <c r="N1028" s="5">
        <f ca="1">IFERROR(__xludf.DUMMYFUNCTION("""COMPUTED_VALUE"""),3)</f>
        <v>3</v>
      </c>
      <c r="O1028" s="5" t="str">
        <f ca="1">IFERROR(__xludf.DUMMYFUNCTION("""COMPUTED_VALUE"""),"Summer")</f>
        <v>Summer</v>
      </c>
      <c r="P1028" s="5" t="str">
        <f ca="1">IFERROR(__xludf.DUMMYFUNCTION("""COMPUTED_VALUE"""),"San Bernardino")</f>
        <v>San Bernardino</v>
      </c>
      <c r="Q1028" s="5" t="str">
        <f ca="1">IFERROR(__xludf.DUMMYFUNCTION("""COMPUTED_VALUE"""),"CA")</f>
        <v>CA</v>
      </c>
      <c r="R1028" s="5" t="str">
        <f ca="1">IFERROR(__xludf.DUMMYFUNCTION("""COMPUTED_VALUE"""),"High")</f>
        <v>High</v>
      </c>
      <c r="S1028" s="5" t="str">
        <f ca="1">IFERROR(__xludf.DUMMYFUNCTION("""COMPUTED_VALUE"""),"Football Field/Track")</f>
        <v>Football Field/Track</v>
      </c>
      <c r="T1028" s="5" t="str">
        <f ca="1">IFERROR(__xludf.DUMMYFUNCTION("""COMPUTED_VALUE"""),"Outside on School Property")</f>
        <v>Outside on School Property</v>
      </c>
      <c r="U1028" s="5" t="str">
        <f ca="1">IFERROR(__xludf.DUMMYFUNCTION("""COMPUTED_VALUE"""),"No")</f>
        <v>No</v>
      </c>
      <c r="V1028" s="5" t="str">
        <f ca="1">IFERROR(__xludf.DUMMYFUNCTION("""COMPUTED_VALUE"""),"Sport Event")</f>
        <v>Sport Event</v>
      </c>
      <c r="W1028" s="10">
        <f ca="1">IFERROR(__xludf.DUMMYFUNCTION("""COMPUTED_VALUE"""),0.875)</f>
        <v>0.875</v>
      </c>
      <c r="X1028" s="5">
        <f ca="1">IFERROR(__xludf.DUMMYFUNCTION("""COMPUTED_VALUE"""),1)</f>
        <v>1</v>
      </c>
      <c r="Y1028" s="5" t="str">
        <f ca="1">IFERROR(__xludf.DUMMYFUNCTION("""COMPUTED_VALUE"""),"Shooting at football stadium following a fight inside")</f>
        <v>Shooting at football stadium following a fight inside</v>
      </c>
      <c r="Z1028" s="5" t="str">
        <f ca="1">IFERROR(__xludf.DUMMYFUNCTION("""COMPUTED_VALUE"""),"Group of young men were escorted out of the stadium after a fight inside. Once outside, 12 shots were fired from the fenceline of the stadium. Shooter fled in a vehicle. Remainder of game was suspended.")</f>
        <v>Group of young men were escorted out of the stadium after a fight inside. Once outside, 12 shots were fired from the fenceline of the stadium. Shooter fled in a vehicle. Remainder of game was suspended.</v>
      </c>
      <c r="AA1028" s="5" t="str">
        <f ca="1">IFERROR(__xludf.DUMMYFUNCTION("""COMPUTED_VALUE"""),"Escalation of Dispute")</f>
        <v>Escalation of Dispute</v>
      </c>
      <c r="AB1028" s="5" t="str">
        <f ca="1">IFERROR(__xludf.DUMMYFUNCTION("""COMPUTED_VALUE"""),"Victims Targeted")</f>
        <v>Victims Targeted</v>
      </c>
      <c r="AC1028" s="5" t="str">
        <f ca="1">IFERROR(__xludf.DUMMYFUNCTION("""COMPUTED_VALUE"""),"Yes")</f>
        <v>Yes</v>
      </c>
      <c r="AD1028" s="5" t="str">
        <f ca="1">IFERROR(__xludf.DUMMYFUNCTION("""COMPUTED_VALUE"""),"No")</f>
        <v>No</v>
      </c>
      <c r="AE1028" s="5" t="str">
        <f ca="1">IFERROR(__xludf.DUMMYFUNCTION("""COMPUTED_VALUE"""),"No")</f>
        <v>No</v>
      </c>
      <c r="AF1028" s="5" t="str">
        <f ca="1">IFERROR(__xludf.DUMMYFUNCTION("""COMPUTED_VALUE"""),"No")</f>
        <v>No</v>
      </c>
      <c r="AG1028" s="5" t="str">
        <f ca="1">IFERROR(__xludf.DUMMYFUNCTION("""COMPUTED_VALUE"""),"No")</f>
        <v>No</v>
      </c>
      <c r="AH1028" s="5" t="str">
        <f ca="1">IFERROR(__xludf.DUMMYFUNCTION("""COMPUTED_VALUE"""),"No")</f>
        <v>No</v>
      </c>
      <c r="AI1028" s="5" t="str">
        <f ca="1">IFERROR(__xludf.DUMMYFUNCTION("""COMPUTED_VALUE"""),"No")</f>
        <v>No</v>
      </c>
      <c r="AJ1028" s="5" t="str">
        <f ca="1">IFERROR(__xludf.DUMMYFUNCTION("""COMPUTED_VALUE"""),"No")</f>
        <v>No</v>
      </c>
    </row>
    <row r="1029" spans="1:36" ht="13">
      <c r="A1029" s="5" t="str">
        <f ca="1">IFERROR(__xludf.DUMMYFUNCTION("""COMPUTED_VALUE"""),"20170817GALIL")</f>
        <v>20170817GALIL</v>
      </c>
      <c r="B1029" s="5">
        <f ca="1">IFERROR(__xludf.DUMMYFUNCTION("""COMPUTED_VALUE"""),8)</f>
        <v>8</v>
      </c>
      <c r="C1029" s="5">
        <f ca="1">IFERROR(__xludf.DUMMYFUNCTION("""COMPUTED_VALUE"""),17)</f>
        <v>17</v>
      </c>
      <c r="D1029" s="5">
        <f ca="1">IFERROR(__xludf.DUMMYFUNCTION("""COMPUTED_VALUE"""),2017)</f>
        <v>2017</v>
      </c>
      <c r="E1029" s="8">
        <f ca="1">IFERROR(__xludf.DUMMYFUNCTION("""COMPUTED_VALUE"""),42964)</f>
        <v>42964</v>
      </c>
      <c r="F1029" s="5" t="str">
        <f ca="1">IFERROR(__xludf.DUMMYFUNCTION("""COMPUTED_VALUE"""),"Lithia Spring High")</f>
        <v>Lithia Spring High</v>
      </c>
      <c r="G1029" s="5">
        <f ca="1">IFERROR(__xludf.DUMMYFUNCTION("""COMPUTED_VALUE"""),0)</f>
        <v>0</v>
      </c>
      <c r="H1029" s="5">
        <f ca="1">IFERROR(__xludf.DUMMYFUNCTION("""COMPUTED_VALUE"""),0)</f>
        <v>0</v>
      </c>
      <c r="I1029" s="5">
        <f ca="1">IFERROR(__xludf.DUMMYFUNCTION("""COMPUTED_VALUE"""),0)</f>
        <v>0</v>
      </c>
      <c r="J1029" s="5">
        <f ca="1">IFERROR(__xludf.DUMMYFUNCTION("""COMPUTED_VALUE"""),0)</f>
        <v>0</v>
      </c>
      <c r="K1029" s="9" t="str">
        <f ca="1">IFERROR(__xludf.DUMMYFUNCTION("""COMPUTED_VALUE"""),"https://www.ajc.com/news/crime--law/veteran-lithia-springs-high-teacher-shoots-self-school-classes-canceled/ySkZFldVAcQEqaXTYrihbK/")</f>
        <v>https://www.ajc.com/news/crime--law/veteran-lithia-springs-high-teacher-shoots-self-school-classes-canceled/ySkZFldVAcQEqaXTYrihbK/</v>
      </c>
      <c r="L1029" s="5"/>
      <c r="M1029" s="5"/>
      <c r="N1029" s="5">
        <f ca="1">IFERROR(__xludf.DUMMYFUNCTION("""COMPUTED_VALUE"""),2)</f>
        <v>2</v>
      </c>
      <c r="O1029" s="5" t="str">
        <f ca="1">IFERROR(__xludf.DUMMYFUNCTION("""COMPUTED_VALUE"""),"Summer")</f>
        <v>Summer</v>
      </c>
      <c r="P1029" s="5" t="str">
        <f ca="1">IFERROR(__xludf.DUMMYFUNCTION("""COMPUTED_VALUE"""),"Lithia Springs")</f>
        <v>Lithia Springs</v>
      </c>
      <c r="Q1029" s="5" t="str">
        <f ca="1">IFERROR(__xludf.DUMMYFUNCTION("""COMPUTED_VALUE"""),"GA")</f>
        <v>GA</v>
      </c>
      <c r="R1029" s="5" t="str">
        <f ca="1">IFERROR(__xludf.DUMMYFUNCTION("""COMPUTED_VALUE"""),"High")</f>
        <v>High</v>
      </c>
      <c r="S1029" s="5" t="str">
        <f ca="1">IFERROR(__xludf.DUMMYFUNCTION("""COMPUTED_VALUE"""),"Classroom")</f>
        <v>Classroom</v>
      </c>
      <c r="T1029" s="5" t="str">
        <f ca="1">IFERROR(__xludf.DUMMYFUNCTION("""COMPUTED_VALUE"""),"Inside School Building")</f>
        <v>Inside School Building</v>
      </c>
      <c r="U1029" s="5" t="str">
        <f ca="1">IFERROR(__xludf.DUMMYFUNCTION("""COMPUTED_VALUE"""),"Yes")</f>
        <v>Yes</v>
      </c>
      <c r="V1029" s="5" t="str">
        <f ca="1">IFERROR(__xludf.DUMMYFUNCTION("""COMPUTED_VALUE"""),"School Start")</f>
        <v>School Start</v>
      </c>
      <c r="W1029" s="10">
        <f ca="1">IFERROR(__xludf.DUMMYFUNCTION("""COMPUTED_VALUE"""),0.302083333333333)</f>
        <v>0.30208333333333298</v>
      </c>
      <c r="X1029" s="5">
        <f ca="1">IFERROR(__xludf.DUMMYFUNCTION("""COMPUTED_VALUE"""),1)</f>
        <v>1</v>
      </c>
      <c r="Y1029" s="5" t="str">
        <f ca="1">IFERROR(__xludf.DUMMYFUNCTION("""COMPUTED_VALUE"""),"Teacher attempted suicide inside school during school day")</f>
        <v>Teacher attempted suicide inside school during school day</v>
      </c>
      <c r="Z1029" s="5" t="str">
        <f ca="1">IFERROR(__xludf.DUMMYFUNCTION("""COMPUTED_VALUE"""),"Teacher attempted suicide when school opened but before classes started. Students were not present during the shooting.")</f>
        <v>Teacher attempted suicide when school opened but before classes started. Students were not present during the shooting.</v>
      </c>
      <c r="AA1029" s="5" t="str">
        <f ca="1">IFERROR(__xludf.DUMMYFUNCTION("""COMPUTED_VALUE"""),"Suicide/Attempted")</f>
        <v>Suicide/Attempted</v>
      </c>
      <c r="AB1029" s="5" t="str">
        <f ca="1">IFERROR(__xludf.DUMMYFUNCTION("""COMPUTED_VALUE"""),"Victims Targeted")</f>
        <v>Victims Targeted</v>
      </c>
      <c r="AC1029" s="5" t="str">
        <f ca="1">IFERROR(__xludf.DUMMYFUNCTION("""COMPUTED_VALUE"""),"No")</f>
        <v>No</v>
      </c>
      <c r="AD1029" s="5" t="str">
        <f ca="1">IFERROR(__xludf.DUMMYFUNCTION("""COMPUTED_VALUE"""),"No")</f>
        <v>No</v>
      </c>
      <c r="AE1029" s="5" t="str">
        <f ca="1">IFERROR(__xludf.DUMMYFUNCTION("""COMPUTED_VALUE"""),"No")</f>
        <v>No</v>
      </c>
      <c r="AF1029" s="5" t="str">
        <f ca="1">IFERROR(__xludf.DUMMYFUNCTION("""COMPUTED_VALUE"""),"No")</f>
        <v>No</v>
      </c>
      <c r="AG1029" s="5" t="str">
        <f ca="1">IFERROR(__xludf.DUMMYFUNCTION("""COMPUTED_VALUE"""),"No")</f>
        <v>No</v>
      </c>
      <c r="AH1029" s="5" t="str">
        <f ca="1">IFERROR(__xludf.DUMMYFUNCTION("""COMPUTED_VALUE"""),"No")</f>
        <v>No</v>
      </c>
      <c r="AI1029" s="5" t="str">
        <f ca="1">IFERROR(__xludf.DUMMYFUNCTION("""COMPUTED_VALUE"""),"No")</f>
        <v>No</v>
      </c>
      <c r="AJ1029" s="5" t="str">
        <f ca="1">IFERROR(__xludf.DUMMYFUNCTION("""COMPUTED_VALUE"""),"No")</f>
        <v>No</v>
      </c>
    </row>
    <row r="1030" spans="1:36" ht="13">
      <c r="A1030" s="5" t="str">
        <f ca="1">IFERROR(__xludf.DUMMYFUNCTION("""COMPUTED_VALUE"""),"20170813NYHUH")</f>
        <v>20170813NYHUH</v>
      </c>
      <c r="B1030" s="5">
        <f ca="1">IFERROR(__xludf.DUMMYFUNCTION("""COMPUTED_VALUE"""),8)</f>
        <v>8</v>
      </c>
      <c r="C1030" s="5">
        <f ca="1">IFERROR(__xludf.DUMMYFUNCTION("""COMPUTED_VALUE"""),13)</f>
        <v>13</v>
      </c>
      <c r="D1030" s="5">
        <f ca="1">IFERROR(__xludf.DUMMYFUNCTION("""COMPUTED_VALUE"""),2017)</f>
        <v>2017</v>
      </c>
      <c r="E1030" s="8">
        <f ca="1">IFERROR(__xludf.DUMMYFUNCTION("""COMPUTED_VALUE"""),42960)</f>
        <v>42960</v>
      </c>
      <c r="F1030" s="5" t="str">
        <f ca="1">IFERROR(__xludf.DUMMYFUNCTION("""COMPUTED_VALUE"""),"Hudson County School Bus")</f>
        <v>Hudson County School Bus</v>
      </c>
      <c r="G1030" s="5">
        <f ca="1">IFERROR(__xludf.DUMMYFUNCTION("""COMPUTED_VALUE"""),0)</f>
        <v>0</v>
      </c>
      <c r="H1030" s="5">
        <f ca="1">IFERROR(__xludf.DUMMYFUNCTION("""COMPUTED_VALUE"""),2)</f>
        <v>2</v>
      </c>
      <c r="I1030" s="5">
        <f ca="1">IFERROR(__xludf.DUMMYFUNCTION("""COMPUTED_VALUE"""),2)</f>
        <v>2</v>
      </c>
      <c r="J1030" s="5">
        <f ca="1">IFERROR(__xludf.DUMMYFUNCTION("""COMPUTED_VALUE"""),0)</f>
        <v>0</v>
      </c>
      <c r="K1030" s="5" t="str">
        <f ca="1">IFERROR(__xludf.DUMMYFUNCTION("""COMPUTED_VALUE"""),"https://www.news10.com/news/hudson-man-indicted-in-a-four-year-police-investigation-of-shooting/ https://wnyt.com/columbia-county-ny-news/kevrone-lee-accused-of-shooting-at-school-bus-in-2017-columbia-county/6216222/")</f>
        <v>https://www.news10.com/news/hudson-man-indicted-in-a-four-year-police-investigation-of-shooting/ https://wnyt.com/columbia-county-ny-news/kevrone-lee-accused-of-shooting-at-school-bus-in-2017-columbia-county/6216222/</v>
      </c>
      <c r="L1030" s="5">
        <f ca="1">IFERROR(__xludf.DUMMYFUNCTION("""COMPUTED_VALUE"""),2)</f>
        <v>2</v>
      </c>
      <c r="M1030" s="5" t="str">
        <f ca="1">IFERROR(__xludf.DUMMYFUNCTION("""COMPUTED_VALUE"""),"Local")</f>
        <v>Local</v>
      </c>
      <c r="N1030" s="5">
        <f ca="1">IFERROR(__xludf.DUMMYFUNCTION("""COMPUTED_VALUE"""),4)</f>
        <v>4</v>
      </c>
      <c r="O1030" s="5" t="str">
        <f ca="1">IFERROR(__xludf.DUMMYFUNCTION("""COMPUTED_VALUE"""),"Summer")</f>
        <v>Summer</v>
      </c>
      <c r="P1030" s="5" t="str">
        <f ca="1">IFERROR(__xludf.DUMMYFUNCTION("""COMPUTED_VALUE"""),"Hudson")</f>
        <v>Hudson</v>
      </c>
      <c r="Q1030" s="5" t="str">
        <f ca="1">IFERROR(__xludf.DUMMYFUNCTION("""COMPUTED_VALUE"""),"NY")</f>
        <v>NY</v>
      </c>
      <c r="R1030" s="5"/>
      <c r="S1030" s="5" t="str">
        <f ca="1">IFERROR(__xludf.DUMMYFUNCTION("""COMPUTED_VALUE"""),"School Bus")</f>
        <v>School Bus</v>
      </c>
      <c r="T1030" s="5" t="str">
        <f ca="1">IFERROR(__xludf.DUMMYFUNCTION("""COMPUTED_VALUE"""),"School Bus")</f>
        <v>School Bus</v>
      </c>
      <c r="U1030" s="5"/>
      <c r="V1030" s="5"/>
      <c r="W1030" s="5"/>
      <c r="X1030" s="5">
        <f ca="1">IFERROR(__xludf.DUMMYFUNCTION("""COMPUTED_VALUE"""),1)</f>
        <v>1</v>
      </c>
      <c r="Y1030" s="5" t="str">
        <f ca="1">IFERROR(__xludf.DUMMYFUNCTION("""COMPUTED_VALUE"""),"2 children shot on school bus")</f>
        <v>2 children shot on school bus</v>
      </c>
      <c r="Z1030" s="5" t="str">
        <f ca="1">IFERROR(__xludf.DUMMYFUNCTION("""COMPUTED_VALUE"""),"Adult male fired multiple shots on the street striking two children on a school bus and another adult. Arrested 4 years later and charged with 6 counts of attempted murder.")</f>
        <v>Adult male fired multiple shots on the street striking two children on a school bus and another adult. Arrested 4 years later and charged with 6 counts of attempted murder.</v>
      </c>
      <c r="AA1030" s="5"/>
      <c r="AB1030" s="5" t="str">
        <f ca="1">IFERROR(__xludf.DUMMYFUNCTION("""COMPUTED_VALUE"""),"Both")</f>
        <v>Both</v>
      </c>
      <c r="AC1030" s="5" t="str">
        <f ca="1">IFERROR(__xludf.DUMMYFUNCTION("""COMPUTED_VALUE"""),"No")</f>
        <v>No</v>
      </c>
      <c r="AD1030" s="5" t="str">
        <f ca="1">IFERROR(__xludf.DUMMYFUNCTION("""COMPUTED_VALUE"""),"No")</f>
        <v>No</v>
      </c>
      <c r="AE1030" s="5" t="str">
        <f ca="1">IFERROR(__xludf.DUMMYFUNCTION("""COMPUTED_VALUE"""),"No")</f>
        <v>No</v>
      </c>
      <c r="AF1030" s="5" t="str">
        <f ca="1">IFERROR(__xludf.DUMMYFUNCTION("""COMPUTED_VALUE"""),"No")</f>
        <v>No</v>
      </c>
      <c r="AG1030" s="5" t="str">
        <f ca="1">IFERROR(__xludf.DUMMYFUNCTION("""COMPUTED_VALUE"""),"No")</f>
        <v>No</v>
      </c>
      <c r="AH1030" s="5" t="str">
        <f ca="1">IFERROR(__xludf.DUMMYFUNCTION("""COMPUTED_VALUE"""),"No")</f>
        <v>No</v>
      </c>
      <c r="AI1030" s="5"/>
      <c r="AJ1030" s="5" t="str">
        <f ca="1">IFERROR(__xludf.DUMMYFUNCTION("""COMPUTED_VALUE"""),"No")</f>
        <v>No</v>
      </c>
    </row>
    <row r="1031" spans="1:36" ht="13">
      <c r="A1031" s="5" t="str">
        <f ca="1">IFERROR(__xludf.DUMMYFUNCTION("""COMPUTED_VALUE"""),"20170801GABAV")</f>
        <v>20170801GABAV</v>
      </c>
      <c r="B1031" s="5">
        <f ca="1">IFERROR(__xludf.DUMMYFUNCTION("""COMPUTED_VALUE"""),8)</f>
        <v>8</v>
      </c>
      <c r="C1031" s="5">
        <f ca="1">IFERROR(__xludf.DUMMYFUNCTION("""COMPUTED_VALUE"""),1)</f>
        <v>1</v>
      </c>
      <c r="D1031" s="5">
        <f ca="1">IFERROR(__xludf.DUMMYFUNCTION("""COMPUTED_VALUE"""),2017)</f>
        <v>2017</v>
      </c>
      <c r="E1031" s="8">
        <f ca="1">IFERROR(__xludf.DUMMYFUNCTION("""COMPUTED_VALUE"""),42948)</f>
        <v>42948</v>
      </c>
      <c r="F1031" s="5" t="str">
        <f ca="1">IFERROR(__xludf.DUMMYFUNCTION("""COMPUTED_VALUE"""),"Bazemore-Hyder Stadium (Valdosta High School)")</f>
        <v>Bazemore-Hyder Stadium (Valdosta High School)</v>
      </c>
      <c r="G1031" s="5">
        <f ca="1">IFERROR(__xludf.DUMMYFUNCTION("""COMPUTED_VALUE"""),0)</f>
        <v>0</v>
      </c>
      <c r="H1031" s="5">
        <f ca="1">IFERROR(__xludf.DUMMYFUNCTION("""COMPUTED_VALUE"""),1)</f>
        <v>1</v>
      </c>
      <c r="I1031" s="5">
        <f ca="1">IFERROR(__xludf.DUMMYFUNCTION("""COMPUTED_VALUE"""),1)</f>
        <v>1</v>
      </c>
      <c r="J1031" s="5">
        <f ca="1">IFERROR(__xludf.DUMMYFUNCTION("""COMPUTED_VALUE"""),0)</f>
        <v>0</v>
      </c>
      <c r="K1031" s="9" t="str">
        <f ca="1">IFERROR(__xludf.DUMMYFUNCTION("""COMPUTED_VALUE"""),"https://www.wctv.tv/content/news/Shots-fired-during-Valdosta-Highs-Midnight-Madness-practice-437798503.html")</f>
        <v>https://www.wctv.tv/content/news/Shots-fired-during-Valdosta-Highs-Midnight-Madness-practice-437798503.html</v>
      </c>
      <c r="L1031" s="5"/>
      <c r="M1031" s="5"/>
      <c r="N1031" s="5">
        <f ca="1">IFERROR(__xludf.DUMMYFUNCTION("""COMPUTED_VALUE"""),3)</f>
        <v>3</v>
      </c>
      <c r="O1031" s="5" t="str">
        <f ca="1">IFERROR(__xludf.DUMMYFUNCTION("""COMPUTED_VALUE"""),"Summer")</f>
        <v>Summer</v>
      </c>
      <c r="P1031" s="5" t="str">
        <f ca="1">IFERROR(__xludf.DUMMYFUNCTION("""COMPUTED_VALUE"""),"Valdosta")</f>
        <v>Valdosta</v>
      </c>
      <c r="Q1031" s="5" t="str">
        <f ca="1">IFERROR(__xludf.DUMMYFUNCTION("""COMPUTED_VALUE"""),"GA")</f>
        <v>GA</v>
      </c>
      <c r="R1031" s="5" t="str">
        <f ca="1">IFERROR(__xludf.DUMMYFUNCTION("""COMPUTED_VALUE"""),"High")</f>
        <v>High</v>
      </c>
      <c r="S1031" s="5" t="str">
        <f ca="1">IFERROR(__xludf.DUMMYFUNCTION("""COMPUTED_VALUE"""),"Football Field/Track")</f>
        <v>Football Field/Track</v>
      </c>
      <c r="T1031" s="5" t="str">
        <f ca="1">IFERROR(__xludf.DUMMYFUNCTION("""COMPUTED_VALUE"""),"Outside on School Property")</f>
        <v>Outside on School Property</v>
      </c>
      <c r="U1031" s="5" t="str">
        <f ca="1">IFERROR(__xludf.DUMMYFUNCTION("""COMPUTED_VALUE"""),"No")</f>
        <v>No</v>
      </c>
      <c r="V1031" s="5" t="str">
        <f ca="1">IFERROR(__xludf.DUMMYFUNCTION("""COMPUTED_VALUE"""),"Sport Event")</f>
        <v>Sport Event</v>
      </c>
      <c r="W1031" s="10">
        <f ca="1">IFERROR(__xludf.DUMMYFUNCTION("""COMPUTED_VALUE"""),0.03125)</f>
        <v>3.125E-2</v>
      </c>
      <c r="X1031" s="5">
        <f ca="1">IFERROR(__xludf.DUMMYFUNCTION("""COMPUTED_VALUE"""),1)</f>
        <v>1</v>
      </c>
      <c r="Y1031" s="5" t="str">
        <f ca="1">IFERROR(__xludf.DUMMYFUNCTION("""COMPUTED_VALUE"""),"Female students shot during high school football practice")</f>
        <v>Female students shot during high school football practice</v>
      </c>
      <c r="Z1031" s="5" t="str">
        <f ca="1">IFERROR(__xludf.DUMMYFUNCTION("""COMPUTED_VALUE"""),"Female student was shot in the neck when shots were fired during a dispute outside of the ""Midnight Madness"" first football practice for Valdosta High School. 5 shell casings were recovered outside the stadium. Additional evidence was found in the stree"&amp;"t. After the shooting, the remainder of the practice was canceled.")</f>
        <v>Female student was shot in the neck when shots were fired during a dispute outside of the "Midnight Madness" first football practice for Valdosta High School. 5 shell casings were recovered outside the stadium. Additional evidence was found in the street. After the shooting, the remainder of the practice was canceled.</v>
      </c>
      <c r="AA1031" s="5" t="str">
        <f ca="1">IFERROR(__xludf.DUMMYFUNCTION("""COMPUTED_VALUE"""),"Escalation of Dispute")</f>
        <v>Escalation of Dispute</v>
      </c>
      <c r="AB1031" s="5" t="str">
        <f ca="1">IFERROR(__xludf.DUMMYFUNCTION("""COMPUTED_VALUE"""),"Both")</f>
        <v>Both</v>
      </c>
      <c r="AC1031" s="5"/>
      <c r="AD1031" s="5" t="str">
        <f ca="1">IFERROR(__xludf.DUMMYFUNCTION("""COMPUTED_VALUE"""),"No")</f>
        <v>No</v>
      </c>
      <c r="AE1031" s="5" t="str">
        <f ca="1">IFERROR(__xludf.DUMMYFUNCTION("""COMPUTED_VALUE"""),"No")</f>
        <v>No</v>
      </c>
      <c r="AF1031" s="5" t="str">
        <f ca="1">IFERROR(__xludf.DUMMYFUNCTION("""COMPUTED_VALUE"""),"No")</f>
        <v>No</v>
      </c>
      <c r="AG1031" s="5" t="str">
        <f ca="1">IFERROR(__xludf.DUMMYFUNCTION("""COMPUTED_VALUE"""),"No")</f>
        <v>No</v>
      </c>
      <c r="AH1031" s="5" t="str">
        <f ca="1">IFERROR(__xludf.DUMMYFUNCTION("""COMPUTED_VALUE"""),"No")</f>
        <v>No</v>
      </c>
      <c r="AI1031" s="5" t="str">
        <f ca="1">IFERROR(__xludf.DUMMYFUNCTION("""COMPUTED_VALUE"""),"No")</f>
        <v>No</v>
      </c>
      <c r="AJ1031" s="5" t="str">
        <f ca="1">IFERROR(__xludf.DUMMYFUNCTION("""COMPUTED_VALUE"""),"No")</f>
        <v>No</v>
      </c>
    </row>
    <row r="1032" spans="1:36" ht="13">
      <c r="A1032" s="5" t="str">
        <f ca="1">IFERROR(__xludf.DUMMYFUNCTION("""COMPUTED_VALUE"""),"20170721UTSPS")</f>
        <v>20170721UTSPS</v>
      </c>
      <c r="B1032" s="5">
        <f ca="1">IFERROR(__xludf.DUMMYFUNCTION("""COMPUTED_VALUE"""),7)</f>
        <v>7</v>
      </c>
      <c r="C1032" s="5">
        <f ca="1">IFERROR(__xludf.DUMMYFUNCTION("""COMPUTED_VALUE"""),21)</f>
        <v>21</v>
      </c>
      <c r="D1032" s="5">
        <f ca="1">IFERROR(__xludf.DUMMYFUNCTION("""COMPUTED_VALUE"""),2017)</f>
        <v>2017</v>
      </c>
      <c r="E1032" s="8">
        <f ca="1">IFERROR(__xludf.DUMMYFUNCTION("""COMPUTED_VALUE"""),42937)</f>
        <v>42937</v>
      </c>
      <c r="F1032" s="5" t="str">
        <f ca="1">IFERROR(__xludf.DUMMYFUNCTION("""COMPUTED_VALUE"""),"Spanish Fork High School")</f>
        <v>Spanish Fork High School</v>
      </c>
      <c r="G1032" s="5">
        <f ca="1">IFERROR(__xludf.DUMMYFUNCTION("""COMPUTED_VALUE"""),0)</f>
        <v>0</v>
      </c>
      <c r="H1032" s="5">
        <f ca="1">IFERROR(__xludf.DUMMYFUNCTION("""COMPUTED_VALUE"""),1)</f>
        <v>1</v>
      </c>
      <c r="I1032" s="5">
        <f ca="1">IFERROR(__xludf.DUMMYFUNCTION("""COMPUTED_VALUE"""),1)</f>
        <v>1</v>
      </c>
      <c r="J1032" s="5">
        <f ca="1">IFERROR(__xludf.DUMMYFUNCTION("""COMPUTED_VALUE"""),1)</f>
        <v>1</v>
      </c>
      <c r="K1032" s="9" t="str">
        <f ca="1">IFERROR(__xludf.DUMMYFUNCTION("""COMPUTED_VALUE"""),"https://fox13now.com/2017/07/21/19-year-old-shoots-teen-at-spanish-fork-high-before-taking-own-life/")</f>
        <v>https://fox13now.com/2017/07/21/19-year-old-shoots-teen-at-spanish-fork-high-before-taking-own-life/</v>
      </c>
      <c r="L1032" s="5"/>
      <c r="M1032" s="5"/>
      <c r="N1032" s="5">
        <f ca="1">IFERROR(__xludf.DUMMYFUNCTION("""COMPUTED_VALUE"""),2)</f>
        <v>2</v>
      </c>
      <c r="O1032" s="5" t="str">
        <f ca="1">IFERROR(__xludf.DUMMYFUNCTION("""COMPUTED_VALUE"""),"Summer")</f>
        <v>Summer</v>
      </c>
      <c r="P1032" s="5" t="str">
        <f ca="1">IFERROR(__xludf.DUMMYFUNCTION("""COMPUTED_VALUE"""),"Spanish Fork")</f>
        <v>Spanish Fork</v>
      </c>
      <c r="Q1032" s="5" t="str">
        <f ca="1">IFERROR(__xludf.DUMMYFUNCTION("""COMPUTED_VALUE"""),"UT")</f>
        <v>UT</v>
      </c>
      <c r="R1032" s="5" t="str">
        <f ca="1">IFERROR(__xludf.DUMMYFUNCTION("""COMPUTED_VALUE"""),"High")</f>
        <v>High</v>
      </c>
      <c r="S1032" s="5" t="str">
        <f ca="1">IFERROR(__xludf.DUMMYFUNCTION("""COMPUTED_VALUE"""),"Parking Lot")</f>
        <v>Parking Lot</v>
      </c>
      <c r="T1032" s="5" t="str">
        <f ca="1">IFERROR(__xludf.DUMMYFUNCTION("""COMPUTED_VALUE"""),"Outside on School Property")</f>
        <v>Outside on School Property</v>
      </c>
      <c r="U1032" s="5" t="str">
        <f ca="1">IFERROR(__xludf.DUMMYFUNCTION("""COMPUTED_VALUE"""),"No")</f>
        <v>No</v>
      </c>
      <c r="V1032" s="5" t="str">
        <f ca="1">IFERROR(__xludf.DUMMYFUNCTION("""COMPUTED_VALUE"""),"Night")</f>
        <v>Night</v>
      </c>
      <c r="W1032" s="10">
        <f ca="1">IFERROR(__xludf.DUMMYFUNCTION("""COMPUTED_VALUE"""),0.104166666666666)</f>
        <v>0.10416666666666601</v>
      </c>
      <c r="X1032" s="5">
        <f ca="1">IFERROR(__xludf.DUMMYFUNCTION("""COMPUTED_VALUE"""),1)</f>
        <v>1</v>
      </c>
      <c r="Y1032" s="5" t="str">
        <f ca="1">IFERROR(__xludf.DUMMYFUNCTION("""COMPUTED_VALUE"""),"Shots fired during shooting in school parking lot, killed himself when confronted by police")</f>
        <v>Shots fired during shooting in school parking lot, killed himself when confronted by police</v>
      </c>
      <c r="Z1032" s="5" t="str">
        <f ca="1">IFERROR(__xludf.DUMMYFUNCTION("""COMPUTED_VALUE"""),"Shooter and victim meet in school parking lot to fight. While still inside the car, shooter pulled a gun on the victim. During a struggle for the gun, victim was shot in the arm. Victim and witnesses then fled. Shooter fired at them several times before f"&amp;"leeing the scene. Police later found and stopped the vehicle with shooter inside. The shooter then killed himself.")</f>
        <v>Shooter and victim meet in school parking lot to fight. While still inside the car, shooter pulled a gun on the victim. During a struggle for the gun, victim was shot in the arm. Victim and witnesses then fled. Shooter fired at them several times before fleeing the scene. Police later found and stopped the vehicle with shooter inside. The shooter then killed himself.</v>
      </c>
      <c r="AA1032" s="5" t="str">
        <f ca="1">IFERROR(__xludf.DUMMYFUNCTION("""COMPUTED_VALUE"""),"Escalation of Dispute")</f>
        <v>Escalation of Dispute</v>
      </c>
      <c r="AB1032" s="5" t="str">
        <f ca="1">IFERROR(__xludf.DUMMYFUNCTION("""COMPUTED_VALUE"""),"Victims Targeted")</f>
        <v>Victims Targeted</v>
      </c>
      <c r="AC1032" s="5" t="str">
        <f ca="1">IFERROR(__xludf.DUMMYFUNCTION("""COMPUTED_VALUE"""),"Yes")</f>
        <v>Yes</v>
      </c>
      <c r="AD1032" s="5" t="str">
        <f ca="1">IFERROR(__xludf.DUMMYFUNCTION("""COMPUTED_VALUE"""),"No")</f>
        <v>No</v>
      </c>
      <c r="AE1032" s="5" t="str">
        <f ca="1">IFERROR(__xludf.DUMMYFUNCTION("""COMPUTED_VALUE"""),"No")</f>
        <v>No</v>
      </c>
      <c r="AF1032" s="5" t="str">
        <f ca="1">IFERROR(__xludf.DUMMYFUNCTION("""COMPUTED_VALUE"""),"No")</f>
        <v>No</v>
      </c>
      <c r="AG1032" s="5" t="str">
        <f ca="1">IFERROR(__xludf.DUMMYFUNCTION("""COMPUTED_VALUE"""),"No")</f>
        <v>No</v>
      </c>
      <c r="AH1032" s="5" t="str">
        <f ca="1">IFERROR(__xludf.DUMMYFUNCTION("""COMPUTED_VALUE"""),"No")</f>
        <v>No</v>
      </c>
      <c r="AI1032" s="5" t="str">
        <f ca="1">IFERROR(__xludf.DUMMYFUNCTION("""COMPUTED_VALUE"""),"No")</f>
        <v>No</v>
      </c>
      <c r="AJ1032" s="5" t="str">
        <f ca="1">IFERROR(__xludf.DUMMYFUNCTION("""COMPUTED_VALUE"""),"No")</f>
        <v>No</v>
      </c>
    </row>
    <row r="1033" spans="1:36" ht="13">
      <c r="A1033" s="5" t="str">
        <f ca="1">IFERROR(__xludf.DUMMYFUNCTION("""COMPUTED_VALUE"""),"20170719WIHIM")</f>
        <v>20170719WIHIM</v>
      </c>
      <c r="B1033" s="5">
        <f ca="1">IFERROR(__xludf.DUMMYFUNCTION("""COMPUTED_VALUE"""),7)</f>
        <v>7</v>
      </c>
      <c r="C1033" s="5">
        <f ca="1">IFERROR(__xludf.DUMMYFUNCTION("""COMPUTED_VALUE"""),19)</f>
        <v>19</v>
      </c>
      <c r="D1033" s="5">
        <f ca="1">IFERROR(__xludf.DUMMYFUNCTION("""COMPUTED_VALUE"""),2017)</f>
        <v>2017</v>
      </c>
      <c r="E1033" s="8">
        <f ca="1">IFERROR(__xludf.DUMMYFUNCTION("""COMPUTED_VALUE"""),42935)</f>
        <v>42935</v>
      </c>
      <c r="F1033" s="5" t="str">
        <f ca="1">IFERROR(__xludf.DUMMYFUNCTION("""COMPUTED_VALUE"""),"Hickman Academy Preparatory School")</f>
        <v>Hickman Academy Preparatory School</v>
      </c>
      <c r="G1033" s="5">
        <f ca="1">IFERROR(__xludf.DUMMYFUNCTION("""COMPUTED_VALUE"""),0)</f>
        <v>0</v>
      </c>
      <c r="H1033" s="5">
        <f ca="1">IFERROR(__xludf.DUMMYFUNCTION("""COMPUTED_VALUE"""),1)</f>
        <v>1</v>
      </c>
      <c r="I1033" s="5">
        <f ca="1">IFERROR(__xludf.DUMMYFUNCTION("""COMPUTED_VALUE"""),1)</f>
        <v>1</v>
      </c>
      <c r="J1033" s="5">
        <f ca="1">IFERROR(__xludf.DUMMYFUNCTION("""COMPUTED_VALUE"""),0)</f>
        <v>0</v>
      </c>
      <c r="K1033" s="9" t="str">
        <f ca="1">IFERROR(__xludf.DUMMYFUNCTION("""COMPUTED_VALUE"""),"https://fox6now.com/2017/07/19/police-32-year-old-shot-multiple-times-inside-school-gym-in-milwaukee-during-basketball-game/")</f>
        <v>https://fox6now.com/2017/07/19/police-32-year-old-shot-multiple-times-inside-school-gym-in-milwaukee-during-basketball-game/</v>
      </c>
      <c r="L1033" s="5"/>
      <c r="M1033" s="5"/>
      <c r="N1033" s="5">
        <f ca="1">IFERROR(__xludf.DUMMYFUNCTION("""COMPUTED_VALUE"""),2)</f>
        <v>2</v>
      </c>
      <c r="O1033" s="5" t="str">
        <f ca="1">IFERROR(__xludf.DUMMYFUNCTION("""COMPUTED_VALUE"""),"Summer")</f>
        <v>Summer</v>
      </c>
      <c r="P1033" s="5" t="str">
        <f ca="1">IFERROR(__xludf.DUMMYFUNCTION("""COMPUTED_VALUE"""),"Milwaukee")</f>
        <v>Milwaukee</v>
      </c>
      <c r="Q1033" s="5" t="str">
        <f ca="1">IFERROR(__xludf.DUMMYFUNCTION("""COMPUTED_VALUE"""),"WI")</f>
        <v>WI</v>
      </c>
      <c r="R1033" s="5" t="str">
        <f ca="1">IFERROR(__xludf.DUMMYFUNCTION("""COMPUTED_VALUE"""),"High")</f>
        <v>High</v>
      </c>
      <c r="S1033" s="5" t="str">
        <f ca="1">IFERROR(__xludf.DUMMYFUNCTION("""COMPUTED_VALUE"""),"Gym")</f>
        <v>Gym</v>
      </c>
      <c r="T1033" s="5" t="str">
        <f ca="1">IFERROR(__xludf.DUMMYFUNCTION("""COMPUTED_VALUE"""),"Inside School Building")</f>
        <v>Inside School Building</v>
      </c>
      <c r="U1033" s="5" t="str">
        <f ca="1">IFERROR(__xludf.DUMMYFUNCTION("""COMPUTED_VALUE"""),"No")</f>
        <v>No</v>
      </c>
      <c r="V1033" s="5" t="str">
        <f ca="1">IFERROR(__xludf.DUMMYFUNCTION("""COMPUTED_VALUE"""),"Sport Event")</f>
        <v>Sport Event</v>
      </c>
      <c r="W1033" s="10">
        <f ca="1">IFERROR(__xludf.DUMMYFUNCTION("""COMPUTED_VALUE"""),0.875)</f>
        <v>0.875</v>
      </c>
      <c r="X1033" s="5">
        <f ca="1">IFERROR(__xludf.DUMMYFUNCTION("""COMPUTED_VALUE"""),1)</f>
        <v>1</v>
      </c>
      <c r="Y1033" s="5" t="str">
        <f ca="1">IFERROR(__xludf.DUMMYFUNCTION("""COMPUTED_VALUE"""),"Shot multiple times inside the school gym during basketball game")</f>
        <v>Shot multiple times inside the school gym during basketball game</v>
      </c>
      <c r="Z1033" s="5" t="str">
        <f ca="1">IFERROR(__xludf.DUMMYFUNCTION("""COMPUTED_VALUE"""),"Fight between two men. One left and came back with a handgun. 32YOM was shot multiple times inside the school gym during a basketball game by an unknown shooter who fled the scene.")</f>
        <v>Fight between two men. One left and came back with a handgun. 32YOM was shot multiple times inside the school gym during a basketball game by an unknown shooter who fled the scene.</v>
      </c>
      <c r="AA1033" s="5" t="str">
        <f ca="1">IFERROR(__xludf.DUMMYFUNCTION("""COMPUTED_VALUE"""),"Escalation of Dispute")</f>
        <v>Escalation of Dispute</v>
      </c>
      <c r="AB1033" s="5" t="str">
        <f ca="1">IFERROR(__xludf.DUMMYFUNCTION("""COMPUTED_VALUE"""),"Victims Targeted")</f>
        <v>Victims Targeted</v>
      </c>
      <c r="AC1033" s="5"/>
      <c r="AD1033" s="5" t="str">
        <f ca="1">IFERROR(__xludf.DUMMYFUNCTION("""COMPUTED_VALUE"""),"No")</f>
        <v>No</v>
      </c>
      <c r="AE1033" s="5" t="str">
        <f ca="1">IFERROR(__xludf.DUMMYFUNCTION("""COMPUTED_VALUE"""),"No")</f>
        <v>No</v>
      </c>
      <c r="AF1033" s="5" t="str">
        <f ca="1">IFERROR(__xludf.DUMMYFUNCTION("""COMPUTED_VALUE"""),"No")</f>
        <v>No</v>
      </c>
      <c r="AG1033" s="5" t="str">
        <f ca="1">IFERROR(__xludf.DUMMYFUNCTION("""COMPUTED_VALUE"""),"No")</f>
        <v>No</v>
      </c>
      <c r="AH1033" s="5" t="str">
        <f ca="1">IFERROR(__xludf.DUMMYFUNCTION("""COMPUTED_VALUE"""),"No")</f>
        <v>No</v>
      </c>
      <c r="AI1033" s="5" t="str">
        <f ca="1">IFERROR(__xludf.DUMMYFUNCTION("""COMPUTED_VALUE"""),"No")</f>
        <v>No</v>
      </c>
      <c r="AJ1033" s="5" t="str">
        <f ca="1">IFERROR(__xludf.DUMMYFUNCTION("""COMPUTED_VALUE"""),"No")</f>
        <v>No</v>
      </c>
    </row>
    <row r="1034" spans="1:36" ht="13">
      <c r="A1034" s="5" t="str">
        <f ca="1">IFERROR(__xludf.DUMMYFUNCTION("""COMPUTED_VALUE"""),"20170622SCWIF")</f>
        <v>20170622SCWIF</v>
      </c>
      <c r="B1034" s="5">
        <f ca="1">IFERROR(__xludf.DUMMYFUNCTION("""COMPUTED_VALUE"""),6)</f>
        <v>6</v>
      </c>
      <c r="C1034" s="5">
        <f ca="1">IFERROR(__xludf.DUMMYFUNCTION("""COMPUTED_VALUE"""),22)</f>
        <v>22</v>
      </c>
      <c r="D1034" s="5">
        <f ca="1">IFERROR(__xludf.DUMMYFUNCTION("""COMPUTED_VALUE"""),2017)</f>
        <v>2017</v>
      </c>
      <c r="E1034" s="8">
        <f ca="1">IFERROR(__xludf.DUMMYFUNCTION("""COMPUTED_VALUE"""),42908)</f>
        <v>42908</v>
      </c>
      <c r="F1034" s="5" t="str">
        <f ca="1">IFERROR(__xludf.DUMMYFUNCTION("""COMPUTED_VALUE"""),"Wilson High School")</f>
        <v>Wilson High School</v>
      </c>
      <c r="G1034" s="5">
        <f ca="1">IFERROR(__xludf.DUMMYFUNCTION("""COMPUTED_VALUE"""),0)</f>
        <v>0</v>
      </c>
      <c r="H1034" s="5">
        <f ca="1">IFERROR(__xludf.DUMMYFUNCTION("""COMPUTED_VALUE"""),0)</f>
        <v>0</v>
      </c>
      <c r="I1034" s="5">
        <f ca="1">IFERROR(__xludf.DUMMYFUNCTION("""COMPUTED_VALUE"""),0)</f>
        <v>0</v>
      </c>
      <c r="J1034" s="5">
        <f ca="1">IFERROR(__xludf.DUMMYFUNCTION("""COMPUTED_VALUE"""),0)</f>
        <v>0</v>
      </c>
      <c r="K1034" s="9" t="str">
        <f ca="1">IFERROR(__xludf.DUMMYFUNCTION("""COMPUTED_VALUE"""),"https://www.wbtw.com/news/1-arrested-hospitalized-after-accidental-shooting-at-wilson-high-school/868539676")</f>
        <v>https://www.wbtw.com/news/1-arrested-hospitalized-after-accidental-shooting-at-wilson-high-school/868539676</v>
      </c>
      <c r="L1034" s="5"/>
      <c r="M1034" s="5"/>
      <c r="N1034" s="5">
        <f ca="1">IFERROR(__xludf.DUMMYFUNCTION("""COMPUTED_VALUE"""),2)</f>
        <v>2</v>
      </c>
      <c r="O1034" s="5" t="str">
        <f ca="1">IFERROR(__xludf.DUMMYFUNCTION("""COMPUTED_VALUE"""),"Summer")</f>
        <v>Summer</v>
      </c>
      <c r="P1034" s="5" t="str">
        <f ca="1">IFERROR(__xludf.DUMMYFUNCTION("""COMPUTED_VALUE"""),"Florence")</f>
        <v>Florence</v>
      </c>
      <c r="Q1034" s="5" t="str">
        <f ca="1">IFERROR(__xludf.DUMMYFUNCTION("""COMPUTED_VALUE"""),"SC")</f>
        <v>SC</v>
      </c>
      <c r="R1034" s="5" t="str">
        <f ca="1">IFERROR(__xludf.DUMMYFUNCTION("""COMPUTED_VALUE"""),"High")</f>
        <v>High</v>
      </c>
      <c r="S1034" s="5" t="str">
        <f ca="1">IFERROR(__xludf.DUMMYFUNCTION("""COMPUTED_VALUE"""),"Parking Lot")</f>
        <v>Parking Lot</v>
      </c>
      <c r="T1034" s="5" t="str">
        <f ca="1">IFERROR(__xludf.DUMMYFUNCTION("""COMPUTED_VALUE"""),"Outside on School Property")</f>
        <v>Outside on School Property</v>
      </c>
      <c r="U1034" s="5" t="str">
        <f ca="1">IFERROR(__xludf.DUMMYFUNCTION("""COMPUTED_VALUE"""),"Yes")</f>
        <v>Yes</v>
      </c>
      <c r="V1034" s="5" t="str">
        <f ca="1">IFERROR(__xludf.DUMMYFUNCTION("""COMPUTED_VALUE"""),"School Start")</f>
        <v>School Start</v>
      </c>
      <c r="W1034" s="10">
        <f ca="1">IFERROR(__xludf.DUMMYFUNCTION("""COMPUTED_VALUE"""),0.333333333333333)</f>
        <v>0.33333333333333298</v>
      </c>
      <c r="X1034" s="5">
        <f ca="1">IFERROR(__xludf.DUMMYFUNCTION("""COMPUTED_VALUE"""),1)</f>
        <v>1</v>
      </c>
      <c r="Y1034" s="5" t="str">
        <f ca="1">IFERROR(__xludf.DUMMYFUNCTION("""COMPUTED_VALUE"""),"Shot self in foot in car in parking lot")</f>
        <v>Shot self in foot in car in parking lot</v>
      </c>
      <c r="Z1034" s="5" t="str">
        <f ca="1">IFERROR(__xludf.DUMMYFUNCTION("""COMPUTED_VALUE"""),"Group of students were inside a vehicle in the parking lot. One accidentally fired a handgun striking himself in the foot.")</f>
        <v>Group of students were inside a vehicle in the parking lot. One accidentally fired a handgun striking himself in the foot.</v>
      </c>
      <c r="AA1034" s="5" t="str">
        <f ca="1">IFERROR(__xludf.DUMMYFUNCTION("""COMPUTED_VALUE"""),"Accidental")</f>
        <v>Accidental</v>
      </c>
      <c r="AB1034" s="5" t="str">
        <f ca="1">IFERROR(__xludf.DUMMYFUNCTION("""COMPUTED_VALUE"""),"Neither")</f>
        <v>Neither</v>
      </c>
      <c r="AC1034" s="5" t="str">
        <f ca="1">IFERROR(__xludf.DUMMYFUNCTION("""COMPUTED_VALUE"""),"Yes")</f>
        <v>Yes</v>
      </c>
      <c r="AD1034" s="5" t="str">
        <f ca="1">IFERROR(__xludf.DUMMYFUNCTION("""COMPUTED_VALUE"""),"No")</f>
        <v>No</v>
      </c>
      <c r="AE1034" s="5" t="str">
        <f ca="1">IFERROR(__xludf.DUMMYFUNCTION("""COMPUTED_VALUE"""),"No")</f>
        <v>No</v>
      </c>
      <c r="AF1034" s="5" t="str">
        <f ca="1">IFERROR(__xludf.DUMMYFUNCTION("""COMPUTED_VALUE"""),"No")</f>
        <v>No</v>
      </c>
      <c r="AG1034" s="5" t="str">
        <f ca="1">IFERROR(__xludf.DUMMYFUNCTION("""COMPUTED_VALUE"""),"No")</f>
        <v>No</v>
      </c>
      <c r="AH1034" s="5" t="str">
        <f ca="1">IFERROR(__xludf.DUMMYFUNCTION("""COMPUTED_VALUE"""),"No")</f>
        <v>No</v>
      </c>
      <c r="AI1034" s="5" t="str">
        <f ca="1">IFERROR(__xludf.DUMMYFUNCTION("""COMPUTED_VALUE"""),"No")</f>
        <v>No</v>
      </c>
      <c r="AJ1034" s="5" t="str">
        <f ca="1">IFERROR(__xludf.DUMMYFUNCTION("""COMPUTED_VALUE"""),"No")</f>
        <v>No</v>
      </c>
    </row>
    <row r="1035" spans="1:36" ht="13">
      <c r="A1035" s="5" t="str">
        <f ca="1">IFERROR(__xludf.DUMMYFUNCTION("""COMPUTED_VALUE"""),"20170616ILWAC")</f>
        <v>20170616ILWAC</v>
      </c>
      <c r="B1035" s="5">
        <f ca="1">IFERROR(__xludf.DUMMYFUNCTION("""COMPUTED_VALUE"""),6)</f>
        <v>6</v>
      </c>
      <c r="C1035" s="5">
        <f ca="1">IFERROR(__xludf.DUMMYFUNCTION("""COMPUTED_VALUE"""),16)</f>
        <v>16</v>
      </c>
      <c r="D1035" s="5">
        <f ca="1">IFERROR(__xludf.DUMMYFUNCTION("""COMPUTED_VALUE"""),2017)</f>
        <v>2017</v>
      </c>
      <c r="E1035" s="8">
        <f ca="1">IFERROR(__xludf.DUMMYFUNCTION("""COMPUTED_VALUE"""),42902)</f>
        <v>42902</v>
      </c>
      <c r="F1035" s="5" t="str">
        <f ca="1">IFERROR(__xludf.DUMMYFUNCTION("""COMPUTED_VALUE"""),"Warren Elementary School")</f>
        <v>Warren Elementary School</v>
      </c>
      <c r="G1035" s="5">
        <f ca="1">IFERROR(__xludf.DUMMYFUNCTION("""COMPUTED_VALUE"""),0)</f>
        <v>0</v>
      </c>
      <c r="H1035" s="5">
        <f ca="1">IFERROR(__xludf.DUMMYFUNCTION("""COMPUTED_VALUE"""),2)</f>
        <v>2</v>
      </c>
      <c r="I1035" s="5">
        <f ca="1">IFERROR(__xludf.DUMMYFUNCTION("""COMPUTED_VALUE"""),2)</f>
        <v>2</v>
      </c>
      <c r="J1035" s="5">
        <f ca="1">IFERROR(__xludf.DUMMYFUNCTION("""COMPUTED_VALUE"""),0)</f>
        <v>0</v>
      </c>
      <c r="K1035" s="9" t="str">
        <f ca="1">IFERROR(__xludf.DUMMYFUNCTION("""COMPUTED_VALUE"""),"https://chicago.suntimes.com/crime/2-boys-man-charged-with-warren-elementary-school-shooting/")</f>
        <v>https://chicago.suntimes.com/crime/2-boys-man-charged-with-warren-elementary-school-shooting/</v>
      </c>
      <c r="L1035" s="5">
        <f ca="1">IFERROR(__xludf.DUMMYFUNCTION("""COMPUTED_VALUE"""),11)</f>
        <v>11</v>
      </c>
      <c r="M1035" s="5" t="str">
        <f ca="1">IFERROR(__xludf.DUMMYFUNCTION("""COMPUTED_VALUE"""),"National")</f>
        <v>National</v>
      </c>
      <c r="N1035" s="5">
        <f ca="1">IFERROR(__xludf.DUMMYFUNCTION("""COMPUTED_VALUE"""),2)</f>
        <v>2</v>
      </c>
      <c r="O1035" s="5" t="str">
        <f ca="1">IFERROR(__xludf.DUMMYFUNCTION("""COMPUTED_VALUE"""),"Summer")</f>
        <v>Summer</v>
      </c>
      <c r="P1035" s="5" t="str">
        <f ca="1">IFERROR(__xludf.DUMMYFUNCTION("""COMPUTED_VALUE"""),"Chicago")</f>
        <v>Chicago</v>
      </c>
      <c r="Q1035" s="5" t="str">
        <f ca="1">IFERROR(__xludf.DUMMYFUNCTION("""COMPUTED_VALUE"""),"IL")</f>
        <v>IL</v>
      </c>
      <c r="R1035" s="5" t="str">
        <f ca="1">IFERROR(__xludf.DUMMYFUNCTION("""COMPUTED_VALUE"""),"Elementary")</f>
        <v>Elementary</v>
      </c>
      <c r="S1035" s="5" t="str">
        <f ca="1">IFERROR(__xludf.DUMMYFUNCTION("""COMPUTED_VALUE"""),"Field (General)")</f>
        <v>Field (General)</v>
      </c>
      <c r="T1035" s="5" t="str">
        <f ca="1">IFERROR(__xludf.DUMMYFUNCTION("""COMPUTED_VALUE"""),"Outside on School Property")</f>
        <v>Outside on School Property</v>
      </c>
      <c r="U1035" s="5" t="str">
        <f ca="1">IFERROR(__xludf.DUMMYFUNCTION("""COMPUTED_VALUE"""),"Yes")</f>
        <v>Yes</v>
      </c>
      <c r="V1035" s="5" t="str">
        <f ca="1">IFERROR(__xludf.DUMMYFUNCTION("""COMPUTED_VALUE"""),"After School")</f>
        <v>After School</v>
      </c>
      <c r="W1035" s="10">
        <f ca="1">IFERROR(__xludf.DUMMYFUNCTION("""COMPUTED_VALUE"""),0.577083333333333)</f>
        <v>0.57708333333333295</v>
      </c>
      <c r="X1035" s="5">
        <f ca="1">IFERROR(__xludf.DUMMYFUNCTION("""COMPUTED_VALUE"""),1)</f>
        <v>1</v>
      </c>
      <c r="Y1035" s="5" t="str">
        <f ca="1">IFERROR(__xludf.DUMMYFUNCTION("""COMPUTED_VALUE"""),"Suspected gang attack on 2 former students; Victims were not the targets")</f>
        <v>Suspected gang attack on 2 former students; Victims were not the targets</v>
      </c>
      <c r="Z1035" s="5" t="str">
        <f ca="1">IFERROR(__xludf.DUMMYFUNCTION("""COMPUTED_VALUE"""),"2 former students tried to get into the end-of-the-year picnic next to the school. They were recognized and stopped by security guards. A black Jeep approached and shots were fired at the former students who ran toward the picnic and drew the gunfire to t"&amp;"he students. 2 girls were accidentally shot and wounded. Police pulled over the stolen vehicle 10 minutes later and arrested the suspects.")</f>
        <v>2 former students tried to get into the end-of-the-year picnic next to the school. They were recognized and stopped by security guards. A black Jeep approached and shots were fired at the former students who ran toward the picnic and drew the gunfire to the students. 2 girls were accidentally shot and wounded. Police pulled over the stolen vehicle 10 minutes later and arrested the suspects.</v>
      </c>
      <c r="AA1035" s="5" t="str">
        <f ca="1">IFERROR(__xludf.DUMMYFUNCTION("""COMPUTED_VALUE"""),"Drive-by Shooting")</f>
        <v>Drive-by Shooting</v>
      </c>
      <c r="AB1035" s="5" t="str">
        <f ca="1">IFERROR(__xludf.DUMMYFUNCTION("""COMPUTED_VALUE"""),"Both")</f>
        <v>Both</v>
      </c>
      <c r="AC1035" s="5"/>
      <c r="AD1035" s="5" t="str">
        <f ca="1">IFERROR(__xludf.DUMMYFUNCTION("""COMPUTED_VALUE"""),"No")</f>
        <v>No</v>
      </c>
      <c r="AE1035" s="5" t="str">
        <f ca="1">IFERROR(__xludf.DUMMYFUNCTION("""COMPUTED_VALUE"""),"No")</f>
        <v>No</v>
      </c>
      <c r="AF1035" s="5" t="str">
        <f ca="1">IFERROR(__xludf.DUMMYFUNCTION("""COMPUTED_VALUE"""),"No")</f>
        <v>No</v>
      </c>
      <c r="AG1035" s="5" t="str">
        <f ca="1">IFERROR(__xludf.DUMMYFUNCTION("""COMPUTED_VALUE"""),"No")</f>
        <v>No</v>
      </c>
      <c r="AH1035" s="5" t="str">
        <f ca="1">IFERROR(__xludf.DUMMYFUNCTION("""COMPUTED_VALUE"""),"No")</f>
        <v>No</v>
      </c>
      <c r="AI1035" s="5" t="str">
        <f ca="1">IFERROR(__xludf.DUMMYFUNCTION("""COMPUTED_VALUE"""),"Yes")</f>
        <v>Yes</v>
      </c>
      <c r="AJ1035" s="5" t="str">
        <f ca="1">IFERROR(__xludf.DUMMYFUNCTION("""COMPUTED_VALUE"""),"No")</f>
        <v>No</v>
      </c>
    </row>
    <row r="1036" spans="1:36" ht="13">
      <c r="A1036" s="5" t="str">
        <f ca="1">IFERROR(__xludf.DUMMYFUNCTION("""COMPUTED_VALUE"""),"20170526OKMCT")</f>
        <v>20170526OKMCT</v>
      </c>
      <c r="B1036" s="5">
        <f ca="1">IFERROR(__xludf.DUMMYFUNCTION("""COMPUTED_VALUE"""),5)</f>
        <v>5</v>
      </c>
      <c r="C1036" s="5">
        <f ca="1">IFERROR(__xludf.DUMMYFUNCTION("""COMPUTED_VALUE"""),26)</f>
        <v>26</v>
      </c>
      <c r="D1036" s="5">
        <f ca="1">IFERROR(__xludf.DUMMYFUNCTION("""COMPUTED_VALUE"""),2017)</f>
        <v>2017</v>
      </c>
      <c r="E1036" s="8">
        <f ca="1">IFERROR(__xludf.DUMMYFUNCTION("""COMPUTED_VALUE"""),42881)</f>
        <v>42881</v>
      </c>
      <c r="F1036" s="5" t="str">
        <f ca="1">IFERROR(__xludf.DUMMYFUNCTION("""COMPUTED_VALUE"""),"McLain High School")</f>
        <v>McLain High School</v>
      </c>
      <c r="G1036" s="5">
        <f ca="1">IFERROR(__xludf.DUMMYFUNCTION("""COMPUTED_VALUE"""),0)</f>
        <v>0</v>
      </c>
      <c r="H1036" s="5">
        <f ca="1">IFERROR(__xludf.DUMMYFUNCTION("""COMPUTED_VALUE"""),1)</f>
        <v>1</v>
      </c>
      <c r="I1036" s="5">
        <f ca="1">IFERROR(__xludf.DUMMYFUNCTION("""COMPUTED_VALUE"""),1)</f>
        <v>1</v>
      </c>
      <c r="J1036" s="5">
        <f ca="1">IFERROR(__xludf.DUMMYFUNCTION("""COMPUTED_VALUE"""),0)</f>
        <v>0</v>
      </c>
      <c r="K1036" s="9" t="str">
        <f ca="1">IFERROR(__xludf.DUMMYFUNCTION("""COMPUTED_VALUE"""),"https://www.fox23.com/news/tulsa-police-respond-to-reports-of-shots-fired-at-mcclain-high-school/436311154")</f>
        <v>https://www.fox23.com/news/tulsa-police-respond-to-reports-of-shots-fired-at-mcclain-high-school/436311154</v>
      </c>
      <c r="L1036" s="5"/>
      <c r="M1036" s="5"/>
      <c r="N1036" s="5">
        <f ca="1">IFERROR(__xludf.DUMMYFUNCTION("""COMPUTED_VALUE"""),3)</f>
        <v>3</v>
      </c>
      <c r="O1036" s="5" t="str">
        <f ca="1">IFERROR(__xludf.DUMMYFUNCTION("""COMPUTED_VALUE"""),"Spring")</f>
        <v>Spring</v>
      </c>
      <c r="P1036" s="5" t="str">
        <f ca="1">IFERROR(__xludf.DUMMYFUNCTION("""COMPUTED_VALUE"""),"Tulsa")</f>
        <v>Tulsa</v>
      </c>
      <c r="Q1036" s="5" t="str">
        <f ca="1">IFERROR(__xludf.DUMMYFUNCTION("""COMPUTED_VALUE"""),"OK")</f>
        <v>OK</v>
      </c>
      <c r="R1036" s="5" t="str">
        <f ca="1">IFERROR(__xludf.DUMMYFUNCTION("""COMPUTED_VALUE"""),"High")</f>
        <v>High</v>
      </c>
      <c r="S1036" s="5" t="str">
        <f ca="1">IFERROR(__xludf.DUMMYFUNCTION("""COMPUTED_VALUE"""),"Football Field/Track")</f>
        <v>Football Field/Track</v>
      </c>
      <c r="T1036" s="5" t="str">
        <f ca="1">IFERROR(__xludf.DUMMYFUNCTION("""COMPUTED_VALUE"""),"Outside on School Property")</f>
        <v>Outside on School Property</v>
      </c>
      <c r="U1036" s="5" t="str">
        <f ca="1">IFERROR(__xludf.DUMMYFUNCTION("""COMPUTED_VALUE"""),"No")</f>
        <v>No</v>
      </c>
      <c r="V1036" s="5" t="str">
        <f ca="1">IFERROR(__xludf.DUMMYFUNCTION("""COMPUTED_VALUE"""),"Sport Event")</f>
        <v>Sport Event</v>
      </c>
      <c r="W1036" s="5"/>
      <c r="X1036" s="5">
        <f ca="1">IFERROR(__xludf.DUMMYFUNCTION("""COMPUTED_VALUE"""),1)</f>
        <v>1</v>
      </c>
      <c r="Y1036" s="5" t="str">
        <f ca="1">IFERROR(__xludf.DUMMYFUNCTION("""COMPUTED_VALUE"""),"Student shot another student during a football game inside the stadium")</f>
        <v>Student shot another student during a football game inside the stadium</v>
      </c>
      <c r="Z1036" s="5" t="str">
        <f ca="1">IFERROR(__xludf.DUMMYFUNCTION("""COMPUTED_VALUE"""),"Student shot another student in the head during a football game. 6 campus police officers and 2 Tulsa PD officers were assigned to the game. Shooter was arrested after an extensive search.")</f>
        <v>Student shot another student in the head during a football game. 6 campus police officers and 2 Tulsa PD officers were assigned to the game. Shooter was arrested after an extensive search.</v>
      </c>
      <c r="AA1036" s="5" t="str">
        <f ca="1">IFERROR(__xludf.DUMMYFUNCTION("""COMPUTED_VALUE"""),"Escalation of Dispute")</f>
        <v>Escalation of Dispute</v>
      </c>
      <c r="AB1036" s="5" t="str">
        <f ca="1">IFERROR(__xludf.DUMMYFUNCTION("""COMPUTED_VALUE"""),"Victims Targeted")</f>
        <v>Victims Targeted</v>
      </c>
      <c r="AC1036" s="5" t="str">
        <f ca="1">IFERROR(__xludf.DUMMYFUNCTION("""COMPUTED_VALUE"""),"No")</f>
        <v>No</v>
      </c>
      <c r="AD1036" s="5" t="str">
        <f ca="1">IFERROR(__xludf.DUMMYFUNCTION("""COMPUTED_VALUE"""),"No")</f>
        <v>No</v>
      </c>
      <c r="AE1036" s="5" t="str">
        <f ca="1">IFERROR(__xludf.DUMMYFUNCTION("""COMPUTED_VALUE"""),"No")</f>
        <v>No</v>
      </c>
      <c r="AF1036" s="5" t="str">
        <f ca="1">IFERROR(__xludf.DUMMYFUNCTION("""COMPUTED_VALUE"""),"No")</f>
        <v>No</v>
      </c>
      <c r="AG1036" s="5"/>
      <c r="AH1036" s="5" t="str">
        <f ca="1">IFERROR(__xludf.DUMMYFUNCTION("""COMPUTED_VALUE"""),"No")</f>
        <v>No</v>
      </c>
      <c r="AI1036" s="5"/>
      <c r="AJ1036" s="5" t="str">
        <f ca="1">IFERROR(__xludf.DUMMYFUNCTION("""COMPUTED_VALUE"""),"No")</f>
        <v>No</v>
      </c>
    </row>
    <row r="1037" spans="1:36" ht="13">
      <c r="A1037" s="5" t="str">
        <f ca="1">IFERROR(__xludf.DUMMYFUNCTION("""COMPUTED_VALUE"""),"20170524NEMCO")</f>
        <v>20170524NEMCO</v>
      </c>
      <c r="B1037" s="5">
        <f ca="1">IFERROR(__xludf.DUMMYFUNCTION("""COMPUTED_VALUE"""),5)</f>
        <v>5</v>
      </c>
      <c r="C1037" s="5">
        <f ca="1">IFERROR(__xludf.DUMMYFUNCTION("""COMPUTED_VALUE"""),24)</f>
        <v>24</v>
      </c>
      <c r="D1037" s="5">
        <f ca="1">IFERROR(__xludf.DUMMYFUNCTION("""COMPUTED_VALUE"""),2017)</f>
        <v>2017</v>
      </c>
      <c r="E1037" s="8">
        <f ca="1">IFERROR(__xludf.DUMMYFUNCTION("""COMPUTED_VALUE"""),42879)</f>
        <v>42879</v>
      </c>
      <c r="F1037" s="5" t="str">
        <f ca="1">IFERROR(__xludf.DUMMYFUNCTION("""COMPUTED_VALUE"""),"McMillan Middle School")</f>
        <v>McMillan Middle School</v>
      </c>
      <c r="G1037" s="5">
        <f ca="1">IFERROR(__xludf.DUMMYFUNCTION("""COMPUTED_VALUE"""),1)</f>
        <v>1</v>
      </c>
      <c r="H1037" s="5">
        <f ca="1">IFERROR(__xludf.DUMMYFUNCTION("""COMPUTED_VALUE"""),0)</f>
        <v>0</v>
      </c>
      <c r="I1037" s="5">
        <f ca="1">IFERROR(__xludf.DUMMYFUNCTION("""COMPUTED_VALUE"""),1)</f>
        <v>1</v>
      </c>
      <c r="J1037" s="5">
        <f ca="1">IFERROR(__xludf.DUMMYFUNCTION("""COMPUTED_VALUE"""),0)</f>
        <v>0</v>
      </c>
      <c r="K1037" s="5" t="str">
        <f ca="1">IFERROR(__xludf.DUMMYFUNCTION("""COMPUTED_VALUE"""),"https://www.3newsnow.com/news/local-news/one-man-injured-in-north-omaha-shooting https://www.msn.com/en-us/news/crime/omaha-man-sentenced-in-2017-shooting-death-outside-school/ar-AAzRQTw")</f>
        <v>https://www.3newsnow.com/news/local-news/one-man-injured-in-north-omaha-shooting https://www.msn.com/en-us/news/crime/omaha-man-sentenced-in-2017-shooting-death-outside-school/ar-AAzRQTw</v>
      </c>
      <c r="L1037" s="5"/>
      <c r="M1037" s="5"/>
      <c r="N1037" s="5">
        <f ca="1">IFERROR(__xludf.DUMMYFUNCTION("""COMPUTED_VALUE"""),3)</f>
        <v>3</v>
      </c>
      <c r="O1037" s="5" t="str">
        <f ca="1">IFERROR(__xludf.DUMMYFUNCTION("""COMPUTED_VALUE"""),"Spring")</f>
        <v>Spring</v>
      </c>
      <c r="P1037" s="5" t="str">
        <f ca="1">IFERROR(__xludf.DUMMYFUNCTION("""COMPUTED_VALUE"""),"Omaha")</f>
        <v>Omaha</v>
      </c>
      <c r="Q1037" s="5" t="str">
        <f ca="1">IFERROR(__xludf.DUMMYFUNCTION("""COMPUTED_VALUE"""),"NE")</f>
        <v>NE</v>
      </c>
      <c r="R1037" s="5" t="str">
        <f ca="1">IFERROR(__xludf.DUMMYFUNCTION("""COMPUTED_VALUE"""),"Middle")</f>
        <v>Middle</v>
      </c>
      <c r="S1037" s="5" t="str">
        <f ca="1">IFERROR(__xludf.DUMMYFUNCTION("""COMPUTED_VALUE"""),"Parking Lot")</f>
        <v>Parking Lot</v>
      </c>
      <c r="T1037" s="5" t="str">
        <f ca="1">IFERROR(__xludf.DUMMYFUNCTION("""COMPUTED_VALUE"""),"Outside on School Property")</f>
        <v>Outside on School Property</v>
      </c>
      <c r="U1037" s="5" t="str">
        <f ca="1">IFERROR(__xludf.DUMMYFUNCTION("""COMPUTED_VALUE"""),"No")</f>
        <v>No</v>
      </c>
      <c r="V1037" s="5" t="str">
        <f ca="1">IFERROR(__xludf.DUMMYFUNCTION("""COMPUTED_VALUE"""),"Evening")</f>
        <v>Evening</v>
      </c>
      <c r="W1037" s="10">
        <f ca="1">IFERROR(__xludf.DUMMYFUNCTION("""COMPUTED_VALUE"""),0.833333333333333)</f>
        <v>0.83333333333333304</v>
      </c>
      <c r="X1037" s="5">
        <f ca="1">IFERROR(__xludf.DUMMYFUNCTION("""COMPUTED_VALUE"""),1)</f>
        <v>1</v>
      </c>
      <c r="Y1037" s="5" t="str">
        <f ca="1">IFERROR(__xludf.DUMMYFUNCTION("""COMPUTED_VALUE"""),"Shot in chest in school parking lot during robbery")</f>
        <v>Shot in chest in school parking lot during robbery</v>
      </c>
      <c r="Z1037" s="5" t="str">
        <f ca="1">IFERROR(__xludf.DUMMYFUNCTION("""COMPUTED_VALUE"""),"21YOM shot in the parking lot during a robbery by a 51 YOM")</f>
        <v>21YOM shot in the parking lot during a robbery by a 51 YOM</v>
      </c>
      <c r="AA1037" s="5" t="str">
        <f ca="1">IFERROR(__xludf.DUMMYFUNCTION("""COMPUTED_VALUE"""),"Illegal Activity")</f>
        <v>Illegal Activity</v>
      </c>
      <c r="AB1037" s="5" t="str">
        <f ca="1">IFERROR(__xludf.DUMMYFUNCTION("""COMPUTED_VALUE"""),"Victims Targeted")</f>
        <v>Victims Targeted</v>
      </c>
      <c r="AC1037" s="5"/>
      <c r="AD1037" s="5" t="str">
        <f ca="1">IFERROR(__xludf.DUMMYFUNCTION("""COMPUTED_VALUE"""),"No")</f>
        <v>No</v>
      </c>
      <c r="AE1037" s="5" t="str">
        <f ca="1">IFERROR(__xludf.DUMMYFUNCTION("""COMPUTED_VALUE"""),"No")</f>
        <v>No</v>
      </c>
      <c r="AF1037" s="5" t="str">
        <f ca="1">IFERROR(__xludf.DUMMYFUNCTION("""COMPUTED_VALUE"""),"No")</f>
        <v>No</v>
      </c>
      <c r="AG1037" s="5" t="str">
        <f ca="1">IFERROR(__xludf.DUMMYFUNCTION("""COMPUTED_VALUE"""),"No")</f>
        <v>No</v>
      </c>
      <c r="AH1037" s="5" t="str">
        <f ca="1">IFERROR(__xludf.DUMMYFUNCTION("""COMPUTED_VALUE"""),"No")</f>
        <v>No</v>
      </c>
      <c r="AI1037" s="5" t="str">
        <f ca="1">IFERROR(__xludf.DUMMYFUNCTION("""COMPUTED_VALUE"""),"No")</f>
        <v>No</v>
      </c>
      <c r="AJ1037" s="5" t="str">
        <f ca="1">IFERROR(__xludf.DUMMYFUNCTION("""COMPUTED_VALUE"""),"No")</f>
        <v>No</v>
      </c>
    </row>
    <row r="1038" spans="1:36" ht="13">
      <c r="A1038" s="5" t="str">
        <f ca="1">IFERROR(__xludf.DUMMYFUNCTION("""COMPUTED_VALUE"""),"20170524ALGRG")</f>
        <v>20170524ALGRG</v>
      </c>
      <c r="B1038" s="5">
        <f ca="1">IFERROR(__xludf.DUMMYFUNCTION("""COMPUTED_VALUE"""),5)</f>
        <v>5</v>
      </c>
      <c r="C1038" s="5">
        <f ca="1">IFERROR(__xludf.DUMMYFUNCTION("""COMPUTED_VALUE"""),24)</f>
        <v>24</v>
      </c>
      <c r="D1038" s="5">
        <f ca="1">IFERROR(__xludf.DUMMYFUNCTION("""COMPUTED_VALUE"""),2017)</f>
        <v>2017</v>
      </c>
      <c r="E1038" s="8">
        <f ca="1">IFERROR(__xludf.DUMMYFUNCTION("""COMPUTED_VALUE"""),42879)</f>
        <v>42879</v>
      </c>
      <c r="F1038" s="5" t="str">
        <f ca="1">IFERROR(__xludf.DUMMYFUNCTION("""COMPUTED_VALUE"""),"Greensboro High School")</f>
        <v>Greensboro High School</v>
      </c>
      <c r="G1038" s="5">
        <f ca="1">IFERROR(__xludf.DUMMYFUNCTION("""COMPUTED_VALUE"""),0)</f>
        <v>0</v>
      </c>
      <c r="H1038" s="5">
        <f ca="1">IFERROR(__xludf.DUMMYFUNCTION("""COMPUTED_VALUE"""),0)</f>
        <v>0</v>
      </c>
      <c r="I1038" s="5">
        <f ca="1">IFERROR(__xludf.DUMMYFUNCTION("""COMPUTED_VALUE"""),0)</f>
        <v>0</v>
      </c>
      <c r="J1038" s="5">
        <f ca="1">IFERROR(__xludf.DUMMYFUNCTION("""COMPUTED_VALUE"""),0)</f>
        <v>0</v>
      </c>
      <c r="K1038" s="9" t="str">
        <f ca="1">IFERROR(__xludf.DUMMYFUNCTION("""COMPUTED_VALUE"""),"http://abc3340.com/news/local/greensboro-hs-student-in-police-custody-after-shooting-at-another-student")</f>
        <v>http://abc3340.com/news/local/greensboro-hs-student-in-police-custody-after-shooting-at-another-student</v>
      </c>
      <c r="L1038" s="5">
        <f ca="1">IFERROR(__xludf.DUMMYFUNCTION("""COMPUTED_VALUE"""),5)</f>
        <v>5</v>
      </c>
      <c r="M1038" s="5" t="str">
        <f ca="1">IFERROR(__xludf.DUMMYFUNCTION("""COMPUTED_VALUE"""),"Local")</f>
        <v>Local</v>
      </c>
      <c r="N1038" s="5">
        <f ca="1">IFERROR(__xludf.DUMMYFUNCTION("""COMPUTED_VALUE"""),2)</f>
        <v>2</v>
      </c>
      <c r="O1038" s="5" t="str">
        <f ca="1">IFERROR(__xludf.DUMMYFUNCTION("""COMPUTED_VALUE"""),"Spring")</f>
        <v>Spring</v>
      </c>
      <c r="P1038" s="5" t="str">
        <f ca="1">IFERROR(__xludf.DUMMYFUNCTION("""COMPUTED_VALUE"""),"Greensboro")</f>
        <v>Greensboro</v>
      </c>
      <c r="Q1038" s="5" t="str">
        <f ca="1">IFERROR(__xludf.DUMMYFUNCTION("""COMPUTED_VALUE"""),"AL")</f>
        <v>AL</v>
      </c>
      <c r="R1038" s="5" t="str">
        <f ca="1">IFERROR(__xludf.DUMMYFUNCTION("""COMPUTED_VALUE"""),"High")</f>
        <v>High</v>
      </c>
      <c r="S1038" s="5" t="str">
        <f ca="1">IFERROR(__xludf.DUMMYFUNCTION("""COMPUTED_VALUE"""),"Front of School")</f>
        <v>Front of School</v>
      </c>
      <c r="T1038" s="5" t="str">
        <f ca="1">IFERROR(__xludf.DUMMYFUNCTION("""COMPUTED_VALUE"""),"Outside on School Property")</f>
        <v>Outside on School Property</v>
      </c>
      <c r="U1038" s="5" t="str">
        <f ca="1">IFERROR(__xludf.DUMMYFUNCTION("""COMPUTED_VALUE"""),"Yes")</f>
        <v>Yes</v>
      </c>
      <c r="V1038" s="5" t="str">
        <f ca="1">IFERROR(__xludf.DUMMYFUNCTION("""COMPUTED_VALUE"""),"Morning Classes")</f>
        <v>Morning Classes</v>
      </c>
      <c r="W1038" s="10">
        <f ca="1">IFERROR(__xludf.DUMMYFUNCTION("""COMPUTED_VALUE"""),0.479166666666666)</f>
        <v>0.47916666666666602</v>
      </c>
      <c r="X1038" s="5">
        <f ca="1">IFERROR(__xludf.DUMMYFUNCTION("""COMPUTED_VALUE"""),1)</f>
        <v>1</v>
      </c>
      <c r="Y1038" s="5" t="str">
        <f ca="1">IFERROR(__xludf.DUMMYFUNCTION("""COMPUTED_VALUE"""),"Shot fired during argument outside of school")</f>
        <v>Shot fired during argument outside of school</v>
      </c>
      <c r="Z1038" s="5" t="str">
        <f ca="1">IFERROR(__xludf.DUMMYFUNCTION("""COMPUTED_VALUE"""),"2 students (both minors) were arguing at the school bus stop in front of the school. One of them fired the gun at the other student but missed. A 3rd student tackled the shooter and a teacher helped retrieve the gun. No one was hurt, the shooter was arres"&amp;"ted.")</f>
        <v>2 students (both minors) were arguing at the school bus stop in front of the school. One of them fired the gun at the other student but missed. A 3rd student tackled the shooter and a teacher helped retrieve the gun. No one was hurt, the shooter was arrested.</v>
      </c>
      <c r="AA1038" s="5" t="str">
        <f ca="1">IFERROR(__xludf.DUMMYFUNCTION("""COMPUTED_VALUE"""),"Escalation of Dispute")</f>
        <v>Escalation of Dispute</v>
      </c>
      <c r="AB1038" s="5" t="str">
        <f ca="1">IFERROR(__xludf.DUMMYFUNCTION("""COMPUTED_VALUE"""),"Victims Targeted")</f>
        <v>Victims Targeted</v>
      </c>
      <c r="AC1038" s="5" t="str">
        <f ca="1">IFERROR(__xludf.DUMMYFUNCTION("""COMPUTED_VALUE"""),"No")</f>
        <v>No</v>
      </c>
      <c r="AD1038" s="5" t="str">
        <f ca="1">IFERROR(__xludf.DUMMYFUNCTION("""COMPUTED_VALUE"""),"No")</f>
        <v>No</v>
      </c>
      <c r="AE1038" s="5" t="str">
        <f ca="1">IFERROR(__xludf.DUMMYFUNCTION("""COMPUTED_VALUE"""),"No")</f>
        <v>No</v>
      </c>
      <c r="AF1038" s="5" t="str">
        <f ca="1">IFERROR(__xludf.DUMMYFUNCTION("""COMPUTED_VALUE"""),"No")</f>
        <v>No</v>
      </c>
      <c r="AG1038" s="5"/>
      <c r="AH1038" s="5"/>
      <c r="AI1038" s="5" t="str">
        <f ca="1">IFERROR(__xludf.DUMMYFUNCTION("""COMPUTED_VALUE"""),"No")</f>
        <v>No</v>
      </c>
      <c r="AJ1038" s="5" t="str">
        <f ca="1">IFERROR(__xludf.DUMMYFUNCTION("""COMPUTED_VALUE"""),"No")</f>
        <v>No</v>
      </c>
    </row>
    <row r="1039" spans="1:36" ht="13">
      <c r="A1039" s="5" t="str">
        <f ca="1">IFERROR(__xludf.DUMMYFUNCTION("""COMPUTED_VALUE"""),"20170523TXKEK")</f>
        <v>20170523TXKEK</v>
      </c>
      <c r="B1039" s="5">
        <f ca="1">IFERROR(__xludf.DUMMYFUNCTION("""COMPUTED_VALUE"""),5)</f>
        <v>5</v>
      </c>
      <c r="C1039" s="5">
        <f ca="1">IFERROR(__xludf.DUMMYFUNCTION("""COMPUTED_VALUE"""),23)</f>
        <v>23</v>
      </c>
      <c r="D1039" s="5">
        <f ca="1">IFERROR(__xludf.DUMMYFUNCTION("""COMPUTED_VALUE"""),2017)</f>
        <v>2017</v>
      </c>
      <c r="E1039" s="8">
        <f ca="1">IFERROR(__xludf.DUMMYFUNCTION("""COMPUTED_VALUE"""),42878)</f>
        <v>42878</v>
      </c>
      <c r="F1039" s="5" t="str">
        <f ca="1">IFERROR(__xludf.DUMMYFUNCTION("""COMPUTED_VALUE"""),"Kirbyville High School")</f>
        <v>Kirbyville High School</v>
      </c>
      <c r="G1039" s="5">
        <f ca="1">IFERROR(__xludf.DUMMYFUNCTION("""COMPUTED_VALUE"""),0)</f>
        <v>0</v>
      </c>
      <c r="H1039" s="5">
        <f ca="1">IFERROR(__xludf.DUMMYFUNCTION("""COMPUTED_VALUE"""),0)</f>
        <v>0</v>
      </c>
      <c r="I1039" s="5">
        <f ca="1">IFERROR(__xludf.DUMMYFUNCTION("""COMPUTED_VALUE"""),0)</f>
        <v>0</v>
      </c>
      <c r="J1039" s="5">
        <f ca="1">IFERROR(__xludf.DUMMYFUNCTION("""COMPUTED_VALUE"""),1)</f>
        <v>1</v>
      </c>
      <c r="K1039" s="9" t="str">
        <f ca="1">IFERROR(__xludf.DUMMYFUNCTION("""COMPUTED_VALUE"""),"http://www.ktre.com/story/35506610/kirbyville-high-school-principal-resigns-then-shoots-kills-self-in-parking-lot")</f>
        <v>http://www.ktre.com/story/35506610/kirbyville-high-school-principal-resigns-then-shoots-kills-self-in-parking-lot</v>
      </c>
      <c r="L1039" s="5"/>
      <c r="M1039" s="5"/>
      <c r="N1039" s="5">
        <f ca="1">IFERROR(__xludf.DUMMYFUNCTION("""COMPUTED_VALUE"""),4)</f>
        <v>4</v>
      </c>
      <c r="O1039" s="5" t="str">
        <f ca="1">IFERROR(__xludf.DUMMYFUNCTION("""COMPUTED_VALUE"""),"Spring")</f>
        <v>Spring</v>
      </c>
      <c r="P1039" s="5" t="str">
        <f ca="1">IFERROR(__xludf.DUMMYFUNCTION("""COMPUTED_VALUE"""),"Kirbyville")</f>
        <v>Kirbyville</v>
      </c>
      <c r="Q1039" s="5" t="str">
        <f ca="1">IFERROR(__xludf.DUMMYFUNCTION("""COMPUTED_VALUE"""),"TX")</f>
        <v>TX</v>
      </c>
      <c r="R1039" s="5" t="str">
        <f ca="1">IFERROR(__xludf.DUMMYFUNCTION("""COMPUTED_VALUE"""),"High")</f>
        <v>High</v>
      </c>
      <c r="S1039" s="5" t="str">
        <f ca="1">IFERROR(__xludf.DUMMYFUNCTION("""COMPUTED_VALUE"""),"Parking Lot")</f>
        <v>Parking Lot</v>
      </c>
      <c r="T1039" s="5" t="str">
        <f ca="1">IFERROR(__xludf.DUMMYFUNCTION("""COMPUTED_VALUE"""),"Outside on School Property")</f>
        <v>Outside on School Property</v>
      </c>
      <c r="U1039" s="5" t="str">
        <f ca="1">IFERROR(__xludf.DUMMYFUNCTION("""COMPUTED_VALUE"""),"No")</f>
        <v>No</v>
      </c>
      <c r="V1039" s="5" t="str">
        <f ca="1">IFERROR(__xludf.DUMMYFUNCTION("""COMPUTED_VALUE"""),"After School")</f>
        <v>After School</v>
      </c>
      <c r="W1039" s="10">
        <f ca="1">IFERROR(__xludf.DUMMYFUNCTION("""COMPUTED_VALUE"""),0.666666666666666)</f>
        <v>0.66666666666666596</v>
      </c>
      <c r="X1039" s="5">
        <f ca="1">IFERROR(__xludf.DUMMYFUNCTION("""COMPUTED_VALUE"""),1)</f>
        <v>1</v>
      </c>
      <c r="Y1039" s="5" t="str">
        <f ca="1">IFERROR(__xludf.DUMMYFUNCTION("""COMPUTED_VALUE"""),"Principal resigned and shot self in parking lot")</f>
        <v>Principal resigned and shot self in parking lot</v>
      </c>
      <c r="Z1039" s="5" t="str">
        <f ca="1">IFERROR(__xludf.DUMMYFUNCTION("""COMPUTED_VALUE"""),"Principal resigned, walked out to parking lot, and shot self in vehicle.")</f>
        <v>Principal resigned, walked out to parking lot, and shot self in vehicle.</v>
      </c>
      <c r="AA1039" s="5" t="str">
        <f ca="1">IFERROR(__xludf.DUMMYFUNCTION("""COMPUTED_VALUE"""),"Suicide/Attempted")</f>
        <v>Suicide/Attempted</v>
      </c>
      <c r="AB1039" s="5" t="str">
        <f ca="1">IFERROR(__xludf.DUMMYFUNCTION("""COMPUTED_VALUE"""),"Victims Targeted")</f>
        <v>Victims Targeted</v>
      </c>
      <c r="AC1039" s="5" t="str">
        <f ca="1">IFERROR(__xludf.DUMMYFUNCTION("""COMPUTED_VALUE"""),"No")</f>
        <v>No</v>
      </c>
      <c r="AD1039" s="5" t="str">
        <f ca="1">IFERROR(__xludf.DUMMYFUNCTION("""COMPUTED_VALUE"""),"No")</f>
        <v>No</v>
      </c>
      <c r="AE1039" s="5" t="str">
        <f ca="1">IFERROR(__xludf.DUMMYFUNCTION("""COMPUTED_VALUE"""),"No")</f>
        <v>No</v>
      </c>
      <c r="AF1039" s="5" t="str">
        <f ca="1">IFERROR(__xludf.DUMMYFUNCTION("""COMPUTED_VALUE"""),"No")</f>
        <v>No</v>
      </c>
      <c r="AG1039" s="5" t="str">
        <f ca="1">IFERROR(__xludf.DUMMYFUNCTION("""COMPUTED_VALUE"""),"No")</f>
        <v>No</v>
      </c>
      <c r="AH1039" s="5" t="str">
        <f ca="1">IFERROR(__xludf.DUMMYFUNCTION("""COMPUTED_VALUE"""),"No")</f>
        <v>No</v>
      </c>
      <c r="AI1039" s="5" t="str">
        <f ca="1">IFERROR(__xludf.DUMMYFUNCTION("""COMPUTED_VALUE"""),"No")</f>
        <v>No</v>
      </c>
      <c r="AJ1039" s="5" t="str">
        <f ca="1">IFERROR(__xludf.DUMMYFUNCTION("""COMPUTED_VALUE"""),"No")</f>
        <v>No</v>
      </c>
    </row>
    <row r="1040" spans="1:36" ht="13">
      <c r="A1040" s="5" t="str">
        <f ca="1">IFERROR(__xludf.DUMMYFUNCTION("""COMPUTED_VALUE"""),"20170515LAMOL")</f>
        <v>20170515LAMOL</v>
      </c>
      <c r="B1040" s="5">
        <f ca="1">IFERROR(__xludf.DUMMYFUNCTION("""COMPUTED_VALUE"""),5)</f>
        <v>5</v>
      </c>
      <c r="C1040" s="5">
        <f ca="1">IFERROR(__xludf.DUMMYFUNCTION("""COMPUTED_VALUE"""),15)</f>
        <v>15</v>
      </c>
      <c r="D1040" s="5">
        <f ca="1">IFERROR(__xludf.DUMMYFUNCTION("""COMPUTED_VALUE"""),2017)</f>
        <v>2017</v>
      </c>
      <c r="E1040" s="8">
        <f ca="1">IFERROR(__xludf.DUMMYFUNCTION("""COMPUTED_VALUE"""),42870)</f>
        <v>42870</v>
      </c>
      <c r="F1040" s="5" t="str">
        <f ca="1">IFERROR(__xludf.DUMMYFUNCTION("""COMPUTED_VALUE"""),"Moss Bluff Elementary School")</f>
        <v>Moss Bluff Elementary School</v>
      </c>
      <c r="G1040" s="5">
        <f ca="1">IFERROR(__xludf.DUMMYFUNCTION("""COMPUTED_VALUE"""),0)</f>
        <v>0</v>
      </c>
      <c r="H1040" s="5">
        <f ca="1">IFERROR(__xludf.DUMMYFUNCTION("""COMPUTED_VALUE"""),1)</f>
        <v>1</v>
      </c>
      <c r="I1040" s="5">
        <f ca="1">IFERROR(__xludf.DUMMYFUNCTION("""COMPUTED_VALUE"""),1)</f>
        <v>1</v>
      </c>
      <c r="J1040" s="5">
        <f ca="1">IFERROR(__xludf.DUMMYFUNCTION("""COMPUTED_VALUE"""),0)</f>
        <v>0</v>
      </c>
      <c r="K1040" s="9" t="str">
        <f ca="1">IFERROR(__xludf.DUMMYFUNCTION("""COMPUTED_VALUE"""),"http://www.americanpress.com/news/local/year-old-shot-at-moss-bluff-school/article_bf746d62-ee60-11e7-ad5c-7b6da485d0a4.html")</f>
        <v>http://www.americanpress.com/news/local/year-old-shot-at-moss-bluff-school/article_bf746d62-ee60-11e7-ad5c-7b6da485d0a4.html</v>
      </c>
      <c r="L1040" s="5">
        <f ca="1">IFERROR(__xludf.DUMMYFUNCTION("""COMPUTED_VALUE"""),5)</f>
        <v>5</v>
      </c>
      <c r="M1040" s="5" t="str">
        <f ca="1">IFERROR(__xludf.DUMMYFUNCTION("""COMPUTED_VALUE"""),"Local")</f>
        <v>Local</v>
      </c>
      <c r="N1040" s="5">
        <f ca="1">IFERROR(__xludf.DUMMYFUNCTION("""COMPUTED_VALUE"""),2)</f>
        <v>2</v>
      </c>
      <c r="O1040" s="5" t="str">
        <f ca="1">IFERROR(__xludf.DUMMYFUNCTION("""COMPUTED_VALUE"""),"Spring")</f>
        <v>Spring</v>
      </c>
      <c r="P1040" s="5" t="str">
        <f ca="1">IFERROR(__xludf.DUMMYFUNCTION("""COMPUTED_VALUE"""),"Lake Charles")</f>
        <v>Lake Charles</v>
      </c>
      <c r="Q1040" s="5" t="str">
        <f ca="1">IFERROR(__xludf.DUMMYFUNCTION("""COMPUTED_VALUE"""),"LA")</f>
        <v>LA</v>
      </c>
      <c r="R1040" s="5" t="str">
        <f ca="1">IFERROR(__xludf.DUMMYFUNCTION("""COMPUTED_VALUE"""),"Elementary")</f>
        <v>Elementary</v>
      </c>
      <c r="S1040" s="5" t="str">
        <f ca="1">IFERROR(__xludf.DUMMYFUNCTION("""COMPUTED_VALUE"""),"Inside School Building")</f>
        <v>Inside School Building</v>
      </c>
      <c r="T1040" s="5" t="str">
        <f ca="1">IFERROR(__xludf.DUMMYFUNCTION("""COMPUTED_VALUE"""),"Inside School Building")</f>
        <v>Inside School Building</v>
      </c>
      <c r="U1040" s="5" t="str">
        <f ca="1">IFERROR(__xludf.DUMMYFUNCTION("""COMPUTED_VALUE"""),"Yes")</f>
        <v>Yes</v>
      </c>
      <c r="V1040" s="5" t="str">
        <f ca="1">IFERROR(__xludf.DUMMYFUNCTION("""COMPUTED_VALUE"""),"Morning Classes")</f>
        <v>Morning Classes</v>
      </c>
      <c r="W1040" s="10">
        <f ca="1">IFERROR(__xludf.DUMMYFUNCTION("""COMPUTED_VALUE"""),0.326388888888888)</f>
        <v>0.32638888888888801</v>
      </c>
      <c r="X1040" s="5">
        <f ca="1">IFERROR(__xludf.DUMMYFUNCTION("""COMPUTED_VALUE"""),1)</f>
        <v>1</v>
      </c>
      <c r="Y1040" s="5" t="str">
        <f ca="1">IFERROR(__xludf.DUMMYFUNCTION("""COMPUTED_VALUE"""),"Accidental discharge when gun fell out of backpack")</f>
        <v>Accidental discharge when gun fell out of backpack</v>
      </c>
      <c r="Z1040" s="5" t="str">
        <f ca="1">IFERROR(__xludf.DUMMYFUNCTION("""COMPUTED_VALUE"""),"A student brought the gun in a backpack. The gun fell out and another student picked it up. The gun was accidentally discharged and hit a 3rd student in the stomach. The father and brother of the child who brought the gun were charged with negligence.")</f>
        <v>A student brought the gun in a backpack. The gun fell out and another student picked it up. The gun was accidentally discharged and hit a 3rd student in the stomach. The father and brother of the child who brought the gun were charged with negligence.</v>
      </c>
      <c r="AA1040" s="5" t="str">
        <f ca="1">IFERROR(__xludf.DUMMYFUNCTION("""COMPUTED_VALUE"""),"Accidental")</f>
        <v>Accidental</v>
      </c>
      <c r="AB1040" s="5" t="str">
        <f ca="1">IFERROR(__xludf.DUMMYFUNCTION("""COMPUTED_VALUE"""),"Neither")</f>
        <v>Neither</v>
      </c>
      <c r="AC1040" s="5" t="str">
        <f ca="1">IFERROR(__xludf.DUMMYFUNCTION("""COMPUTED_VALUE"""),"No")</f>
        <v>No</v>
      </c>
      <c r="AD1040" s="5" t="str">
        <f ca="1">IFERROR(__xludf.DUMMYFUNCTION("""COMPUTED_VALUE"""),"No")</f>
        <v>No</v>
      </c>
      <c r="AE1040" s="5" t="str">
        <f ca="1">IFERROR(__xludf.DUMMYFUNCTION("""COMPUTED_VALUE"""),"No")</f>
        <v>No</v>
      </c>
      <c r="AF1040" s="5" t="str">
        <f ca="1">IFERROR(__xludf.DUMMYFUNCTION("""COMPUTED_VALUE"""),"No")</f>
        <v>No</v>
      </c>
      <c r="AG1040" s="5" t="str">
        <f ca="1">IFERROR(__xludf.DUMMYFUNCTION("""COMPUTED_VALUE"""),"No")</f>
        <v>No</v>
      </c>
      <c r="AH1040" s="5" t="str">
        <f ca="1">IFERROR(__xludf.DUMMYFUNCTION("""COMPUTED_VALUE"""),"No")</f>
        <v>No</v>
      </c>
      <c r="AI1040" s="5" t="str">
        <f ca="1">IFERROR(__xludf.DUMMYFUNCTION("""COMPUTED_VALUE"""),"No")</f>
        <v>No</v>
      </c>
      <c r="AJ1040" s="5" t="str">
        <f ca="1">IFERROR(__xludf.DUMMYFUNCTION("""COMPUTED_VALUE"""),"No")</f>
        <v>No</v>
      </c>
    </row>
    <row r="1041" spans="1:36" ht="13">
      <c r="A1041" s="5" t="str">
        <f ca="1">IFERROR(__xludf.DUMMYFUNCTION("""COMPUTED_VALUE"""),"20170415ORMEP")</f>
        <v>20170415ORMEP</v>
      </c>
      <c r="B1041" s="5">
        <f ca="1">IFERROR(__xludf.DUMMYFUNCTION("""COMPUTED_VALUE"""),4)</f>
        <v>4</v>
      </c>
      <c r="C1041" s="5">
        <f ca="1">IFERROR(__xludf.DUMMYFUNCTION("""COMPUTED_VALUE"""),15)</f>
        <v>15</v>
      </c>
      <c r="D1041" s="5">
        <f ca="1">IFERROR(__xludf.DUMMYFUNCTION("""COMPUTED_VALUE"""),2017)</f>
        <v>2017</v>
      </c>
      <c r="E1041" s="8">
        <f ca="1">IFERROR(__xludf.DUMMYFUNCTION("""COMPUTED_VALUE"""),42840)</f>
        <v>42840</v>
      </c>
      <c r="F1041" s="5" t="str">
        <f ca="1">IFERROR(__xludf.DUMMYFUNCTION("""COMPUTED_VALUE"""),"Menlo Park Elementary School")</f>
        <v>Menlo Park Elementary School</v>
      </c>
      <c r="G1041" s="5">
        <f ca="1">IFERROR(__xludf.DUMMYFUNCTION("""COMPUTED_VALUE"""),1)</f>
        <v>1</v>
      </c>
      <c r="H1041" s="5">
        <f ca="1">IFERROR(__xludf.DUMMYFUNCTION("""COMPUTED_VALUE"""),0)</f>
        <v>0</v>
      </c>
      <c r="I1041" s="5">
        <f ca="1">IFERROR(__xludf.DUMMYFUNCTION("""COMPUTED_VALUE"""),1)</f>
        <v>1</v>
      </c>
      <c r="J1041" s="5">
        <f ca="1">IFERROR(__xludf.DUMMYFUNCTION("""COMPUTED_VALUE"""),0)</f>
        <v>0</v>
      </c>
      <c r="K1041" s="9" t="str">
        <f ca="1">IFERROR(__xludf.DUMMYFUNCTION("""COMPUTED_VALUE"""),"https://www.kptv.com/news/crime-stoppers-2017-deadly-shooting-near-menlo-park-elementary-school-remains-unsolved/article_c6c7f520-9dfd-11eb-90de-33d857869811.html")</f>
        <v>https://www.kptv.com/news/crime-stoppers-2017-deadly-shooting-near-menlo-park-elementary-school-remains-unsolved/article_c6c7f520-9dfd-11eb-90de-33d857869811.html</v>
      </c>
      <c r="L1041" s="5">
        <f ca="1">IFERROR(__xludf.DUMMYFUNCTION("""COMPUTED_VALUE"""),1)</f>
        <v>1</v>
      </c>
      <c r="M1041" s="5" t="str">
        <f ca="1">IFERROR(__xludf.DUMMYFUNCTION("""COMPUTED_VALUE"""),"Local")</f>
        <v>Local</v>
      </c>
      <c r="N1041" s="5">
        <f ca="1">IFERROR(__xludf.DUMMYFUNCTION("""COMPUTED_VALUE"""),3)</f>
        <v>3</v>
      </c>
      <c r="O1041" s="5" t="str">
        <f ca="1">IFERROR(__xludf.DUMMYFUNCTION("""COMPUTED_VALUE"""),"Spring")</f>
        <v>Spring</v>
      </c>
      <c r="P1041" s="5" t="str">
        <f ca="1">IFERROR(__xludf.DUMMYFUNCTION("""COMPUTED_VALUE"""),"Portland")</f>
        <v>Portland</v>
      </c>
      <c r="Q1041" s="5" t="str">
        <f ca="1">IFERROR(__xludf.DUMMYFUNCTION("""COMPUTED_VALUE"""),"OR")</f>
        <v>OR</v>
      </c>
      <c r="R1041" s="5" t="str">
        <f ca="1">IFERROR(__xludf.DUMMYFUNCTION("""COMPUTED_VALUE"""),"Elementary")</f>
        <v>Elementary</v>
      </c>
      <c r="S1041" s="5" t="str">
        <f ca="1">IFERROR(__xludf.DUMMYFUNCTION("""COMPUTED_VALUE"""),"Field (General)")</f>
        <v>Field (General)</v>
      </c>
      <c r="T1041" s="5" t="str">
        <f ca="1">IFERROR(__xludf.DUMMYFUNCTION("""COMPUTED_VALUE"""),"Outside on School Property")</f>
        <v>Outside on School Property</v>
      </c>
      <c r="U1041" s="5" t="str">
        <f ca="1">IFERROR(__xludf.DUMMYFUNCTION("""COMPUTED_VALUE"""),"No")</f>
        <v>No</v>
      </c>
      <c r="V1041" s="5" t="str">
        <f ca="1">IFERROR(__xludf.DUMMYFUNCTION("""COMPUTED_VALUE"""),"Not a School Day")</f>
        <v>Not a School Day</v>
      </c>
      <c r="W1041" s="10">
        <f ca="1">IFERROR(__xludf.DUMMYFUNCTION("""COMPUTED_VALUE"""),0.529166666666666)</f>
        <v>0.52916666666666601</v>
      </c>
      <c r="X1041" s="5">
        <f ca="1">IFERROR(__xludf.DUMMYFUNCTION("""COMPUTED_VALUE"""),1)</f>
        <v>1</v>
      </c>
      <c r="Y1041" s="5" t="str">
        <f ca="1">IFERROR(__xludf.DUMMYFUNCTION("""COMPUTED_VALUE"""),"Man shot and killed on the recreation field of the school")</f>
        <v>Man shot and killed on the recreation field of the school</v>
      </c>
      <c r="Z1041" s="5" t="str">
        <f ca="1">IFERROR(__xludf.DUMMYFUNCTION("""COMPUTED_VALUE"""),"A 38-year-old man was shot and killed at the entrance to the recreational field at the elementary school. 3 suspects fled the scene. Identify of the suspects is unknown. No arrests made. Motive unknown.")</f>
        <v>A 38-year-old man was shot and killed at the entrance to the recreational field at the elementary school. 3 suspects fled the scene. Identify of the suspects is unknown. No arrests made. Motive unknown.</v>
      </c>
      <c r="AA1041" s="5"/>
      <c r="AB1041" s="5" t="str">
        <f ca="1">IFERROR(__xludf.DUMMYFUNCTION("""COMPUTED_VALUE"""),"Victims Targeted")</f>
        <v>Victims Targeted</v>
      </c>
      <c r="AC1041" s="5" t="str">
        <f ca="1">IFERROR(__xludf.DUMMYFUNCTION("""COMPUTED_VALUE"""),"Yes")</f>
        <v>Yes</v>
      </c>
      <c r="AD1041" s="5" t="str">
        <f ca="1">IFERROR(__xludf.DUMMYFUNCTION("""COMPUTED_VALUE"""),"No")</f>
        <v>No</v>
      </c>
      <c r="AE1041" s="5" t="str">
        <f ca="1">IFERROR(__xludf.DUMMYFUNCTION("""COMPUTED_VALUE"""),"No")</f>
        <v>No</v>
      </c>
      <c r="AF1041" s="5" t="str">
        <f ca="1">IFERROR(__xludf.DUMMYFUNCTION("""COMPUTED_VALUE"""),"No")</f>
        <v>No</v>
      </c>
      <c r="AG1041" s="5" t="str">
        <f ca="1">IFERROR(__xludf.DUMMYFUNCTION("""COMPUTED_VALUE"""),"No")</f>
        <v>No</v>
      </c>
      <c r="AH1041" s="5" t="str">
        <f ca="1">IFERROR(__xludf.DUMMYFUNCTION("""COMPUTED_VALUE"""),"No")</f>
        <v>No</v>
      </c>
      <c r="AI1041" s="5"/>
      <c r="AJ1041" s="5" t="str">
        <f ca="1">IFERROR(__xludf.DUMMYFUNCTION("""COMPUTED_VALUE"""),"No")</f>
        <v>No</v>
      </c>
    </row>
    <row r="1042" spans="1:36" ht="13">
      <c r="A1042" s="5" t="str">
        <f ca="1">IFERROR(__xludf.DUMMYFUNCTION("""COMPUTED_VALUE"""),"20170415OKBOT")</f>
        <v>20170415OKBOT</v>
      </c>
      <c r="B1042" s="5">
        <f ca="1">IFERROR(__xludf.DUMMYFUNCTION("""COMPUTED_VALUE"""),4)</f>
        <v>4</v>
      </c>
      <c r="C1042" s="5">
        <f ca="1">IFERROR(__xludf.DUMMYFUNCTION("""COMPUTED_VALUE"""),15)</f>
        <v>15</v>
      </c>
      <c r="D1042" s="5">
        <f ca="1">IFERROR(__xludf.DUMMYFUNCTION("""COMPUTED_VALUE"""),2017)</f>
        <v>2017</v>
      </c>
      <c r="E1042" s="8">
        <f ca="1">IFERROR(__xludf.DUMMYFUNCTION("""COMPUTED_VALUE"""),42840)</f>
        <v>42840</v>
      </c>
      <c r="F1042" s="5" t="str">
        <f ca="1">IFERROR(__xludf.DUMMYFUNCTION("""COMPUTED_VALUE"""),"Booker T. Washington High School")</f>
        <v>Booker T. Washington High School</v>
      </c>
      <c r="G1042" s="5">
        <f ca="1">IFERROR(__xludf.DUMMYFUNCTION("""COMPUTED_VALUE"""),0)</f>
        <v>0</v>
      </c>
      <c r="H1042" s="5">
        <f ca="1">IFERROR(__xludf.DUMMYFUNCTION("""COMPUTED_VALUE"""),1)</f>
        <v>1</v>
      </c>
      <c r="I1042" s="5">
        <f ca="1">IFERROR(__xludf.DUMMYFUNCTION("""COMPUTED_VALUE"""),1)</f>
        <v>1</v>
      </c>
      <c r="J1042" s="5">
        <f ca="1">IFERROR(__xludf.DUMMYFUNCTION("""COMPUTED_VALUE"""),0)</f>
        <v>0</v>
      </c>
      <c r="K1042" s="9" t="str">
        <f ca="1">IFERROR(__xludf.DUMMYFUNCTION("""COMPUTED_VALUE"""),"https://www.tulsaworld.com/homepagelatest/man-shot-in-chest-at-booker-t-washington-high-school/article_f6b588e9-926b-5c04-a9c5-aee4dc5c7ee8.html")</f>
        <v>https://www.tulsaworld.com/homepagelatest/man-shot-in-chest-at-booker-t-washington-high-school/article_f6b588e9-926b-5c04-a9c5-aee4dc5c7ee8.html</v>
      </c>
      <c r="L1042" s="5"/>
      <c r="M1042" s="5"/>
      <c r="N1042" s="5">
        <f ca="1">IFERROR(__xludf.DUMMYFUNCTION("""COMPUTED_VALUE"""),2)</f>
        <v>2</v>
      </c>
      <c r="O1042" s="5" t="str">
        <f ca="1">IFERROR(__xludf.DUMMYFUNCTION("""COMPUTED_VALUE"""),"Spring")</f>
        <v>Spring</v>
      </c>
      <c r="P1042" s="5" t="str">
        <f ca="1">IFERROR(__xludf.DUMMYFUNCTION("""COMPUTED_VALUE"""),"Tulsa")</f>
        <v>Tulsa</v>
      </c>
      <c r="Q1042" s="5" t="str">
        <f ca="1">IFERROR(__xludf.DUMMYFUNCTION("""COMPUTED_VALUE"""),"OK")</f>
        <v>OK</v>
      </c>
      <c r="R1042" s="5" t="str">
        <f ca="1">IFERROR(__xludf.DUMMYFUNCTION("""COMPUTED_VALUE"""),"High")</f>
        <v>High</v>
      </c>
      <c r="S1042" s="5" t="str">
        <f ca="1">IFERROR(__xludf.DUMMYFUNCTION("""COMPUTED_VALUE"""),"Parking Lot")</f>
        <v>Parking Lot</v>
      </c>
      <c r="T1042" s="5" t="str">
        <f ca="1">IFERROR(__xludf.DUMMYFUNCTION("""COMPUTED_VALUE"""),"Outside on School Property")</f>
        <v>Outside on School Property</v>
      </c>
      <c r="U1042" s="5" t="str">
        <f ca="1">IFERROR(__xludf.DUMMYFUNCTION("""COMPUTED_VALUE"""),"No")</f>
        <v>No</v>
      </c>
      <c r="V1042" s="5" t="str">
        <f ca="1">IFERROR(__xludf.DUMMYFUNCTION("""COMPUTED_VALUE"""),"Not a School Day")</f>
        <v>Not a School Day</v>
      </c>
      <c r="W1042" s="10">
        <f ca="1">IFERROR(__xludf.DUMMYFUNCTION("""COMPUTED_VALUE"""),0.878472222222222)</f>
        <v>0.87847222222222199</v>
      </c>
      <c r="X1042" s="5">
        <f ca="1">IFERROR(__xludf.DUMMYFUNCTION("""COMPUTED_VALUE"""),1)</f>
        <v>1</v>
      </c>
      <c r="Y1042" s="5" t="str">
        <f ca="1">IFERROR(__xludf.DUMMYFUNCTION("""COMPUTED_VALUE"""),"Man shot in parking lot following basketball game for unknown reason")</f>
        <v>Man shot in parking lot following basketball game for unknown reason</v>
      </c>
      <c r="Z1042" s="5" t="str">
        <f ca="1">IFERROR(__xludf.DUMMYFUNCTION("""COMPUTED_VALUE"""),"52YOM shot and killed in parking lot of school following alumni basketball game. No shooter or motive known.")</f>
        <v>52YOM shot and killed in parking lot of school following alumni basketball game. No shooter or motive known.</v>
      </c>
      <c r="AA1042" s="5" t="str">
        <f ca="1">IFERROR(__xludf.DUMMYFUNCTION("""COMPUTED_VALUE"""),"Escalation of Dispute")</f>
        <v>Escalation of Dispute</v>
      </c>
      <c r="AB1042" s="5"/>
      <c r="AC1042" s="5" t="str">
        <f ca="1">IFERROR(__xludf.DUMMYFUNCTION("""COMPUTED_VALUE"""),"Unknown")</f>
        <v>Unknown</v>
      </c>
      <c r="AD1042" s="5" t="str">
        <f ca="1">IFERROR(__xludf.DUMMYFUNCTION("""COMPUTED_VALUE"""),"No")</f>
        <v>No</v>
      </c>
      <c r="AE1042" s="5" t="str">
        <f ca="1">IFERROR(__xludf.DUMMYFUNCTION("""COMPUTED_VALUE"""),"No")</f>
        <v>No</v>
      </c>
      <c r="AF1042" s="5" t="str">
        <f ca="1">IFERROR(__xludf.DUMMYFUNCTION("""COMPUTED_VALUE"""),"No")</f>
        <v>No</v>
      </c>
      <c r="AG1042" s="5" t="str">
        <f ca="1">IFERROR(__xludf.DUMMYFUNCTION("""COMPUTED_VALUE"""),"No")</f>
        <v>No</v>
      </c>
      <c r="AH1042" s="5" t="str">
        <f ca="1">IFERROR(__xludf.DUMMYFUNCTION("""COMPUTED_VALUE"""),"No")</f>
        <v>No</v>
      </c>
      <c r="AI1042" s="5"/>
      <c r="AJ1042" s="5" t="str">
        <f ca="1">IFERROR(__xludf.DUMMYFUNCTION("""COMPUTED_VALUE"""),"No")</f>
        <v>No</v>
      </c>
    </row>
    <row r="1043" spans="1:36" ht="13">
      <c r="A1043" s="5" t="str">
        <f ca="1">IFERROR(__xludf.DUMMYFUNCTION("""COMPUTED_VALUE"""),"20170410CANOS")</f>
        <v>20170410CANOS</v>
      </c>
      <c r="B1043" s="5">
        <f ca="1">IFERROR(__xludf.DUMMYFUNCTION("""COMPUTED_VALUE"""),4)</f>
        <v>4</v>
      </c>
      <c r="C1043" s="5">
        <f ca="1">IFERROR(__xludf.DUMMYFUNCTION("""COMPUTED_VALUE"""),10)</f>
        <v>10</v>
      </c>
      <c r="D1043" s="5">
        <f ca="1">IFERROR(__xludf.DUMMYFUNCTION("""COMPUTED_VALUE"""),2017)</f>
        <v>2017</v>
      </c>
      <c r="E1043" s="8">
        <f ca="1">IFERROR(__xludf.DUMMYFUNCTION("""COMPUTED_VALUE"""),42835)</f>
        <v>42835</v>
      </c>
      <c r="F1043" s="5" t="str">
        <f ca="1">IFERROR(__xludf.DUMMYFUNCTION("""COMPUTED_VALUE"""),"North Park Elementary School")</f>
        <v>North Park Elementary School</v>
      </c>
      <c r="G1043" s="5">
        <f ca="1">IFERROR(__xludf.DUMMYFUNCTION("""COMPUTED_VALUE"""),1)</f>
        <v>1</v>
      </c>
      <c r="H1043" s="5">
        <f ca="1">IFERROR(__xludf.DUMMYFUNCTION("""COMPUTED_VALUE"""),2)</f>
        <v>2</v>
      </c>
      <c r="I1043" s="5">
        <f ca="1">IFERROR(__xludf.DUMMYFUNCTION("""COMPUTED_VALUE"""),3)</f>
        <v>3</v>
      </c>
      <c r="J1043" s="5">
        <f ca="1">IFERROR(__xludf.DUMMYFUNCTION("""COMPUTED_VALUE"""),1)</f>
        <v>1</v>
      </c>
      <c r="K1043" s="9" t="str">
        <f ca="1">IFERROR(__xludf.DUMMYFUNCTION("""COMPUTED_VALUE"""),"https://www.cnn.com/2017/04/10/us/san-bernardino-school-shooting/index.html")</f>
        <v>https://www.cnn.com/2017/04/10/us/san-bernardino-school-shooting/index.html</v>
      </c>
      <c r="L1043" s="5">
        <f ca="1">IFERROR(__xludf.DUMMYFUNCTION("""COMPUTED_VALUE"""),11)</f>
        <v>11</v>
      </c>
      <c r="M1043" s="5" t="str">
        <f ca="1">IFERROR(__xludf.DUMMYFUNCTION("""COMPUTED_VALUE"""),"National")</f>
        <v>National</v>
      </c>
      <c r="N1043" s="5">
        <f ca="1">IFERROR(__xludf.DUMMYFUNCTION("""COMPUTED_VALUE"""),2)</f>
        <v>2</v>
      </c>
      <c r="O1043" s="5" t="str">
        <f ca="1">IFERROR(__xludf.DUMMYFUNCTION("""COMPUTED_VALUE"""),"Spring")</f>
        <v>Spring</v>
      </c>
      <c r="P1043" s="5" t="str">
        <f ca="1">IFERROR(__xludf.DUMMYFUNCTION("""COMPUTED_VALUE"""),"San Bernardino")</f>
        <v>San Bernardino</v>
      </c>
      <c r="Q1043" s="5" t="str">
        <f ca="1">IFERROR(__xludf.DUMMYFUNCTION("""COMPUTED_VALUE"""),"CA")</f>
        <v>CA</v>
      </c>
      <c r="R1043" s="5" t="str">
        <f ca="1">IFERROR(__xludf.DUMMYFUNCTION("""COMPUTED_VALUE"""),"Elementary")</f>
        <v>Elementary</v>
      </c>
      <c r="S1043" s="5" t="str">
        <f ca="1">IFERROR(__xludf.DUMMYFUNCTION("""COMPUTED_VALUE"""),"Classroom")</f>
        <v>Classroom</v>
      </c>
      <c r="T1043" s="5" t="str">
        <f ca="1">IFERROR(__xludf.DUMMYFUNCTION("""COMPUTED_VALUE"""),"Inside School Building")</f>
        <v>Inside School Building</v>
      </c>
      <c r="U1043" s="5" t="str">
        <f ca="1">IFERROR(__xludf.DUMMYFUNCTION("""COMPUTED_VALUE"""),"Yes")</f>
        <v>Yes</v>
      </c>
      <c r="V1043" s="5" t="str">
        <f ca="1">IFERROR(__xludf.DUMMYFUNCTION("""COMPUTED_VALUE"""),"Morning Classes")</f>
        <v>Morning Classes</v>
      </c>
      <c r="W1043" s="10">
        <f ca="1">IFERROR(__xludf.DUMMYFUNCTION("""COMPUTED_VALUE"""),0.4375)</f>
        <v>0.4375</v>
      </c>
      <c r="X1043" s="5">
        <f ca="1">IFERROR(__xludf.DUMMYFUNCTION("""COMPUTED_VALUE"""),1)</f>
        <v>1</v>
      </c>
      <c r="Y1043" s="5" t="str">
        <f ca="1">IFERROR(__xludf.DUMMYFUNCTION("""COMPUTED_VALUE"""),"Killed teacher (estranged wife) and then shot self in school classroom, two student struck")</f>
        <v>Killed teacher (estranged wife) and then shot self in school classroom, two student struck</v>
      </c>
      <c r="Z1043" s="5" t="str">
        <f ca="1">IFERROR(__xludf.DUMMYFUNCTION("""COMPUTED_VALUE"""),"Murder-suicide of estranged wife who was teacher. Shooter walked into the classroom armed with a large caliber revolver and opened fire without saying anything, two students hit by rounds who were behind the teacher; previous dropped charge for brandishin"&amp;"g a firearm, assault, and 2 restraining orders from other women. Wife talked to her family about her concerns about his behavior; relationship problems and a short marriage.")</f>
        <v>Murder-suicide of estranged wife who was teacher. Shooter walked into the classroom armed with a large caliber revolver and opened fire without saying anything, two students hit by rounds who were behind the teacher; previous dropped charge for brandishing a firearm, assault, and 2 restraining orders from other women. Wife talked to her family about her concerns about his behavior; relationship problems and a short marriage.</v>
      </c>
      <c r="AA1043" s="5" t="str">
        <f ca="1">IFERROR(__xludf.DUMMYFUNCTION("""COMPUTED_VALUE"""),"Murder/Suicide")</f>
        <v>Murder/Suicide</v>
      </c>
      <c r="AB1043" s="5" t="str">
        <f ca="1">IFERROR(__xludf.DUMMYFUNCTION("""COMPUTED_VALUE"""),"Both")</f>
        <v>Both</v>
      </c>
      <c r="AC1043" s="5" t="str">
        <f ca="1">IFERROR(__xludf.DUMMYFUNCTION("""COMPUTED_VALUE"""),"No")</f>
        <v>No</v>
      </c>
      <c r="AD1043" s="5" t="str">
        <f ca="1">IFERROR(__xludf.DUMMYFUNCTION("""COMPUTED_VALUE"""),"No")</f>
        <v>No</v>
      </c>
      <c r="AE1043" s="5" t="str">
        <f ca="1">IFERROR(__xludf.DUMMYFUNCTION("""COMPUTED_VALUE"""),"No")</f>
        <v>No</v>
      </c>
      <c r="AF1043" s="5" t="str">
        <f ca="1">IFERROR(__xludf.DUMMYFUNCTION("""COMPUTED_VALUE"""),"No")</f>
        <v>No</v>
      </c>
      <c r="AG1043" s="5" t="str">
        <f ca="1">IFERROR(__xludf.DUMMYFUNCTION("""COMPUTED_VALUE"""),"No")</f>
        <v>No</v>
      </c>
      <c r="AH1043" s="5" t="str">
        <f ca="1">IFERROR(__xludf.DUMMYFUNCTION("""COMPUTED_VALUE"""),"Yes")</f>
        <v>Yes</v>
      </c>
      <c r="AI1043" s="5" t="str">
        <f ca="1">IFERROR(__xludf.DUMMYFUNCTION("""COMPUTED_VALUE"""),"No")</f>
        <v>No</v>
      </c>
      <c r="AJ1043" s="5" t="str">
        <f ca="1">IFERROR(__xludf.DUMMYFUNCTION("""COMPUTED_VALUE"""),"No")</f>
        <v>No</v>
      </c>
    </row>
    <row r="1044" spans="1:36" ht="13">
      <c r="A1044" s="5" t="str">
        <f ca="1">IFERROR(__xludf.DUMMYFUNCTION("""COMPUTED_VALUE"""),"20170328PALIP")</f>
        <v>20170328PALIP</v>
      </c>
      <c r="B1044" s="5">
        <f ca="1">IFERROR(__xludf.DUMMYFUNCTION("""COMPUTED_VALUE"""),3)</f>
        <v>3</v>
      </c>
      <c r="C1044" s="5">
        <f ca="1">IFERROR(__xludf.DUMMYFUNCTION("""COMPUTED_VALUE"""),28)</f>
        <v>28</v>
      </c>
      <c r="D1044" s="5">
        <f ca="1">IFERROR(__xludf.DUMMYFUNCTION("""COMPUTED_VALUE"""),2017)</f>
        <v>2017</v>
      </c>
      <c r="E1044" s="8">
        <f ca="1">IFERROR(__xludf.DUMMYFUNCTION("""COMPUTED_VALUE"""),42822)</f>
        <v>42822</v>
      </c>
      <c r="F1044" s="5" t="str">
        <f ca="1">IFERROR(__xludf.DUMMYFUNCTION("""COMPUTED_VALUE"""),"Linton Middle School")</f>
        <v>Linton Middle School</v>
      </c>
      <c r="G1044" s="5">
        <f ca="1">IFERROR(__xludf.DUMMYFUNCTION("""COMPUTED_VALUE"""),0)</f>
        <v>0</v>
      </c>
      <c r="H1044" s="5">
        <f ca="1">IFERROR(__xludf.DUMMYFUNCTION("""COMPUTED_VALUE"""),1)</f>
        <v>1</v>
      </c>
      <c r="I1044" s="5">
        <f ca="1">IFERROR(__xludf.DUMMYFUNCTION("""COMPUTED_VALUE"""),1)</f>
        <v>1</v>
      </c>
      <c r="J1044" s="5">
        <f ca="1">IFERROR(__xludf.DUMMYFUNCTION("""COMPUTED_VALUE"""),1)</f>
        <v>1</v>
      </c>
      <c r="K1044" s="5" t="str">
        <f ca="1">IFERROR(__xludf.DUMMYFUNCTION("""COMPUTED_VALUE"""),"http://www.post-gazette.com/local/east/2017/03/28/Linton-Middle-School-shooting-Penn-Hills/stories/201703280186  http://www.post-gazette.com/local/east/2017/11/01/Details-fatal-shooting-Deven-Holloway-NIcholas-Knight-Penn-Hills-Linton-Middle-School/storie"&amp;"s/201711010188  https://triblive.com/local/pennhills/12896996-74/district-attorney-says-deven-holloways-shooting-death-outside-penn-hills-school-was")</f>
        <v>http://www.post-gazette.com/local/east/2017/03/28/Linton-Middle-School-shooting-Penn-Hills/stories/201703280186  http://www.post-gazette.com/local/east/2017/11/01/Details-fatal-shooting-Deven-Holloway-NIcholas-Knight-Penn-Hills-Linton-Middle-School/stories/201711010188  https://triblive.com/local/pennhills/12896996-74/district-attorney-says-deven-holloways-shooting-death-outside-penn-hills-school-was</v>
      </c>
      <c r="L1044" s="5"/>
      <c r="M1044" s="5"/>
      <c r="N1044" s="5">
        <f ca="1">IFERROR(__xludf.DUMMYFUNCTION("""COMPUTED_VALUE"""),3)</f>
        <v>3</v>
      </c>
      <c r="O1044" s="5" t="str">
        <f ca="1">IFERROR(__xludf.DUMMYFUNCTION("""COMPUTED_VALUE"""),"Spring")</f>
        <v>Spring</v>
      </c>
      <c r="P1044" s="5" t="str">
        <f ca="1">IFERROR(__xludf.DUMMYFUNCTION("""COMPUTED_VALUE"""),"Penn Hills")</f>
        <v>Penn Hills</v>
      </c>
      <c r="Q1044" s="5" t="str">
        <f ca="1">IFERROR(__xludf.DUMMYFUNCTION("""COMPUTED_VALUE"""),"PA")</f>
        <v>PA</v>
      </c>
      <c r="R1044" s="5" t="str">
        <f ca="1">IFERROR(__xludf.DUMMYFUNCTION("""COMPUTED_VALUE"""),"Middle")</f>
        <v>Middle</v>
      </c>
      <c r="S1044" s="5" t="str">
        <f ca="1">IFERROR(__xludf.DUMMYFUNCTION("""COMPUTED_VALUE"""),"Parking Lot")</f>
        <v>Parking Lot</v>
      </c>
      <c r="T1044" s="5" t="str">
        <f ca="1">IFERROR(__xludf.DUMMYFUNCTION("""COMPUTED_VALUE"""),"Outside on School Property")</f>
        <v>Outside on School Property</v>
      </c>
      <c r="U1044" s="5" t="str">
        <f ca="1">IFERROR(__xludf.DUMMYFUNCTION("""COMPUTED_VALUE"""),"No")</f>
        <v>No</v>
      </c>
      <c r="V1044" s="5" t="str">
        <f ca="1">IFERROR(__xludf.DUMMYFUNCTION("""COMPUTED_VALUE"""),"After School")</f>
        <v>After School</v>
      </c>
      <c r="W1044" s="10">
        <f ca="1">IFERROR(__xludf.DUMMYFUNCTION("""COMPUTED_VALUE"""),0.6875)</f>
        <v>0.6875</v>
      </c>
      <c r="X1044" s="5">
        <f ca="1">IFERROR(__xludf.DUMMYFUNCTION("""COMPUTED_VALUE"""),1)</f>
        <v>1</v>
      </c>
      <c r="Y1044" s="5" t="str">
        <f ca="1">IFERROR(__xludf.DUMMYFUNCTION("""COMPUTED_VALUE"""),"Attempted robbery gone wrong")</f>
        <v>Attempted robbery gone wrong</v>
      </c>
      <c r="Z1044" s="5" t="str">
        <f ca="1">IFERROR(__xludf.DUMMYFUNCTION("""COMPUTED_VALUE"""),"16 year old pulled gun on 22 year old after male and three friends parked at the school to play basketball. The back seat passenger got out at which time the 16 year old robber jumped in, pulled gun, and demanded money from everyone. When they tried to re"&amp;"ason with him, the robber hit driver in the head with the gun. The robber then got out of car and shot into it. The 22 year old driver then pulled his own gun and shot/killed robber then left scene. 22YOM was later arrested but not charged.")</f>
        <v>16 year old pulled gun on 22 year old after male and three friends parked at the school to play basketball. The back seat passenger got out at which time the 16 year old robber jumped in, pulled gun, and demanded money from everyone. When they tried to reason with him, the robber hit driver in the head with the gun. The robber then got out of car and shot into it. The 22 year old driver then pulled his own gun and shot/killed robber then left scene. 22YOM was later arrested but not charged.</v>
      </c>
      <c r="AA1044" s="5" t="str">
        <f ca="1">IFERROR(__xludf.DUMMYFUNCTION("""COMPUTED_VALUE"""),"Self-defense")</f>
        <v>Self-defense</v>
      </c>
      <c r="AB1044" s="5" t="str">
        <f ca="1">IFERROR(__xludf.DUMMYFUNCTION("""COMPUTED_VALUE"""),"Victims Targeted")</f>
        <v>Victims Targeted</v>
      </c>
      <c r="AC1044" s="5" t="str">
        <f ca="1">IFERROR(__xludf.DUMMYFUNCTION("""COMPUTED_VALUE"""),"Yes")</f>
        <v>Yes</v>
      </c>
      <c r="AD1044" s="5" t="str">
        <f ca="1">IFERROR(__xludf.DUMMYFUNCTION("""COMPUTED_VALUE"""),"No")</f>
        <v>No</v>
      </c>
      <c r="AE1044" s="5" t="str">
        <f ca="1">IFERROR(__xludf.DUMMYFUNCTION("""COMPUTED_VALUE"""),"No")</f>
        <v>No</v>
      </c>
      <c r="AF1044" s="5" t="str">
        <f ca="1">IFERROR(__xludf.DUMMYFUNCTION("""COMPUTED_VALUE"""),"No")</f>
        <v>No</v>
      </c>
      <c r="AG1044" s="5" t="str">
        <f ca="1">IFERROR(__xludf.DUMMYFUNCTION("""COMPUTED_VALUE"""),"No")</f>
        <v>No</v>
      </c>
      <c r="AH1044" s="5" t="str">
        <f ca="1">IFERROR(__xludf.DUMMYFUNCTION("""COMPUTED_VALUE"""),"No")</f>
        <v>No</v>
      </c>
      <c r="AI1044" s="5" t="str">
        <f ca="1">IFERROR(__xludf.DUMMYFUNCTION("""COMPUTED_VALUE"""),"No")</f>
        <v>No</v>
      </c>
      <c r="AJ1044" s="5" t="str">
        <f ca="1">IFERROR(__xludf.DUMMYFUNCTION("""COMPUTED_VALUE"""),"No")</f>
        <v>No</v>
      </c>
    </row>
    <row r="1045" spans="1:36" ht="13">
      <c r="A1045" s="5" t="str">
        <f ca="1">IFERROR(__xludf.DUMMYFUNCTION("""COMPUTED_VALUE"""),"20170321CAKIK")</f>
        <v>20170321CAKIK</v>
      </c>
      <c r="B1045" s="5">
        <f ca="1">IFERROR(__xludf.DUMMYFUNCTION("""COMPUTED_VALUE"""),3)</f>
        <v>3</v>
      </c>
      <c r="C1045" s="5">
        <f ca="1">IFERROR(__xludf.DUMMYFUNCTION("""COMPUTED_VALUE"""),21)</f>
        <v>21</v>
      </c>
      <c r="D1045" s="5">
        <f ca="1">IFERROR(__xludf.DUMMYFUNCTION("""COMPUTED_VALUE"""),2017)</f>
        <v>2017</v>
      </c>
      <c r="E1045" s="8">
        <f ca="1">IFERROR(__xludf.DUMMYFUNCTION("""COMPUTED_VALUE"""),42815)</f>
        <v>42815</v>
      </c>
      <c r="F1045" s="5" t="str">
        <f ca="1">IFERROR(__xludf.DUMMYFUNCTION("""COMPUTED_VALUE"""),"King City High School")</f>
        <v>King City High School</v>
      </c>
      <c r="G1045" s="5">
        <f ca="1">IFERROR(__xludf.DUMMYFUNCTION("""COMPUTED_VALUE"""),0)</f>
        <v>0</v>
      </c>
      <c r="H1045" s="5">
        <f ca="1">IFERROR(__xludf.DUMMYFUNCTION("""COMPUTED_VALUE"""),1)</f>
        <v>1</v>
      </c>
      <c r="I1045" s="5">
        <f ca="1">IFERROR(__xludf.DUMMYFUNCTION("""COMPUTED_VALUE"""),1)</f>
        <v>1</v>
      </c>
      <c r="J1045" s="5">
        <f ca="1">IFERROR(__xludf.DUMMYFUNCTION("""COMPUTED_VALUE"""),0)</f>
        <v>0</v>
      </c>
      <c r="K1045" s="9" t="str">
        <f ca="1">IFERROR(__xludf.DUMMYFUNCTION("""COMPUTED_VALUE"""),"https://www.thecalifornian.com/story/news/my-safety/2017/03/21/authorities-hunt-king-city-school-shooting-suspect/99464446/")</f>
        <v>https://www.thecalifornian.com/story/news/my-safety/2017/03/21/authorities-hunt-king-city-school-shooting-suspect/99464446/</v>
      </c>
      <c r="L1045" s="5">
        <f ca="1">IFERROR(__xludf.DUMMYFUNCTION("""COMPUTED_VALUE"""),11)</f>
        <v>11</v>
      </c>
      <c r="M1045" s="5" t="str">
        <f ca="1">IFERROR(__xludf.DUMMYFUNCTION("""COMPUTED_VALUE"""),"Regional")</f>
        <v>Regional</v>
      </c>
      <c r="N1045" s="5">
        <f ca="1">IFERROR(__xludf.DUMMYFUNCTION("""COMPUTED_VALUE"""),3)</f>
        <v>3</v>
      </c>
      <c r="O1045" s="5" t="str">
        <f ca="1">IFERROR(__xludf.DUMMYFUNCTION("""COMPUTED_VALUE"""),"Spring")</f>
        <v>Spring</v>
      </c>
      <c r="P1045" s="5" t="str">
        <f ca="1">IFERROR(__xludf.DUMMYFUNCTION("""COMPUTED_VALUE"""),"King City")</f>
        <v>King City</v>
      </c>
      <c r="Q1045" s="5" t="str">
        <f ca="1">IFERROR(__xludf.DUMMYFUNCTION("""COMPUTED_VALUE"""),"CA")</f>
        <v>CA</v>
      </c>
      <c r="R1045" s="5" t="str">
        <f ca="1">IFERROR(__xludf.DUMMYFUNCTION("""COMPUTED_VALUE"""),"High")</f>
        <v>High</v>
      </c>
      <c r="S1045" s="5" t="str">
        <f ca="1">IFERROR(__xludf.DUMMYFUNCTION("""COMPUTED_VALUE"""),"Parking Lot")</f>
        <v>Parking Lot</v>
      </c>
      <c r="T1045" s="5" t="str">
        <f ca="1">IFERROR(__xludf.DUMMYFUNCTION("""COMPUTED_VALUE"""),"Outside on School Property")</f>
        <v>Outside on School Property</v>
      </c>
      <c r="U1045" s="5" t="str">
        <f ca="1">IFERROR(__xludf.DUMMYFUNCTION("""COMPUTED_VALUE"""),"Yes")</f>
        <v>Yes</v>
      </c>
      <c r="V1045" s="5" t="str">
        <f ca="1">IFERROR(__xludf.DUMMYFUNCTION("""COMPUTED_VALUE"""),"Morning Classes")</f>
        <v>Morning Classes</v>
      </c>
      <c r="W1045" s="10">
        <f ca="1">IFERROR(__xludf.DUMMYFUNCTION("""COMPUTED_VALUE"""),0.458333333333333)</f>
        <v>0.45833333333333298</v>
      </c>
      <c r="X1045" s="5">
        <f ca="1">IFERROR(__xludf.DUMMYFUNCTION("""COMPUTED_VALUE"""),1)</f>
        <v>1</v>
      </c>
      <c r="Y1045" s="5" t="str">
        <f ca="1">IFERROR(__xludf.DUMMYFUNCTION("""COMPUTED_VALUE"""),"Drive-by outside of school")</f>
        <v>Drive-by outside of school</v>
      </c>
      <c r="Z1045" s="5" t="str">
        <f ca="1">IFERROR(__xludf.DUMMYFUNCTION("""COMPUTED_VALUE"""),"Victim was in his car when 2 males approached and started shooting. Shooters fled and victim (student) drove himself home before he went to the hospital. Likely gang-related.")</f>
        <v>Victim was in his car when 2 males approached and started shooting. Shooters fled and victim (student) drove himself home before he went to the hospital. Likely gang-related.</v>
      </c>
      <c r="AA1045" s="5" t="str">
        <f ca="1">IFERROR(__xludf.DUMMYFUNCTION("""COMPUTED_VALUE"""),"Drive-by Shooting")</f>
        <v>Drive-by Shooting</v>
      </c>
      <c r="AB1045" s="5" t="str">
        <f ca="1">IFERROR(__xludf.DUMMYFUNCTION("""COMPUTED_VALUE"""),"Victims Targeted")</f>
        <v>Victims Targeted</v>
      </c>
      <c r="AC1045" s="5" t="str">
        <f ca="1">IFERROR(__xludf.DUMMYFUNCTION("""COMPUTED_VALUE"""),"Yes")</f>
        <v>Yes</v>
      </c>
      <c r="AD1045" s="5" t="str">
        <f ca="1">IFERROR(__xludf.DUMMYFUNCTION("""COMPUTED_VALUE"""),"No")</f>
        <v>No</v>
      </c>
      <c r="AE1045" s="5" t="str">
        <f ca="1">IFERROR(__xludf.DUMMYFUNCTION("""COMPUTED_VALUE"""),"No")</f>
        <v>No</v>
      </c>
      <c r="AF1045" s="5" t="str">
        <f ca="1">IFERROR(__xludf.DUMMYFUNCTION("""COMPUTED_VALUE"""),"No")</f>
        <v>No</v>
      </c>
      <c r="AG1045" s="5" t="str">
        <f ca="1">IFERROR(__xludf.DUMMYFUNCTION("""COMPUTED_VALUE"""),"No")</f>
        <v>No</v>
      </c>
      <c r="AH1045" s="5" t="str">
        <f ca="1">IFERROR(__xludf.DUMMYFUNCTION("""COMPUTED_VALUE"""),"No")</f>
        <v>No</v>
      </c>
      <c r="AI1045" s="5" t="str">
        <f ca="1">IFERROR(__xludf.DUMMYFUNCTION("""COMPUTED_VALUE"""),"Yes")</f>
        <v>Yes</v>
      </c>
      <c r="AJ1045" s="5" t="str">
        <f ca="1">IFERROR(__xludf.DUMMYFUNCTION("""COMPUTED_VALUE"""),"No")</f>
        <v>No</v>
      </c>
    </row>
    <row r="1046" spans="1:36" ht="13">
      <c r="A1046" s="5" t="str">
        <f ca="1">IFERROR(__xludf.DUMMYFUNCTION("""COMPUTED_VALUE"""),"20170316ALROM")</f>
        <v>20170316ALROM</v>
      </c>
      <c r="B1046" s="5">
        <f ca="1">IFERROR(__xludf.DUMMYFUNCTION("""COMPUTED_VALUE"""),3)</f>
        <v>3</v>
      </c>
      <c r="C1046" s="5">
        <f ca="1">IFERROR(__xludf.DUMMYFUNCTION("""COMPUTED_VALUE"""),16)</f>
        <v>16</v>
      </c>
      <c r="D1046" s="5">
        <f ca="1">IFERROR(__xludf.DUMMYFUNCTION("""COMPUTED_VALUE"""),2017)</f>
        <v>2017</v>
      </c>
      <c r="E1046" s="8">
        <f ca="1">IFERROR(__xludf.DUMMYFUNCTION("""COMPUTED_VALUE"""),42810)</f>
        <v>42810</v>
      </c>
      <c r="F1046" s="5" t="str">
        <f ca="1">IFERROR(__xludf.DUMMYFUNCTION("""COMPUTED_VALUE"""),"Robert E. Lee High School")</f>
        <v>Robert E. Lee High School</v>
      </c>
      <c r="G1046" s="5">
        <f ca="1">IFERROR(__xludf.DUMMYFUNCTION("""COMPUTED_VALUE"""),0)</f>
        <v>0</v>
      </c>
      <c r="H1046" s="5">
        <f ca="1">IFERROR(__xludf.DUMMYFUNCTION("""COMPUTED_VALUE"""),1)</f>
        <v>1</v>
      </c>
      <c r="I1046" s="5">
        <f ca="1">IFERROR(__xludf.DUMMYFUNCTION("""COMPUTED_VALUE"""),1)</f>
        <v>1</v>
      </c>
      <c r="J1046" s="5">
        <f ca="1">IFERROR(__xludf.DUMMYFUNCTION("""COMPUTED_VALUE"""),0)</f>
        <v>0</v>
      </c>
      <c r="K1046" s="5" t="str">
        <f ca="1">IFERROR(__xludf.DUMMYFUNCTION("""COMPUTED_VALUE"""),"https://www.wsfa.com/story/34932957/16-year-old-charged-in-shooting-that-injured-lee-high-school-student/ https://www.montgomeryadvertiser.com/story/news/2017/03/16/one-injured-shooting-near-robert-e-lee-high-school/99271332/")</f>
        <v>https://www.wsfa.com/story/34932957/16-year-old-charged-in-shooting-that-injured-lee-high-school-student/ https://www.montgomeryadvertiser.com/story/news/2017/03/16/one-injured-shooting-near-robert-e-lee-high-school/99271332/</v>
      </c>
      <c r="L1046" s="5"/>
      <c r="M1046" s="5" t="str">
        <f ca="1">IFERROR(__xludf.DUMMYFUNCTION("""COMPUTED_VALUE"""),"Local")</f>
        <v>Local</v>
      </c>
      <c r="N1046" s="5">
        <f ca="1">IFERROR(__xludf.DUMMYFUNCTION("""COMPUTED_VALUE"""),4)</f>
        <v>4</v>
      </c>
      <c r="O1046" s="5" t="str">
        <f ca="1">IFERROR(__xludf.DUMMYFUNCTION("""COMPUTED_VALUE"""),"Spring")</f>
        <v>Spring</v>
      </c>
      <c r="P1046" s="5" t="str">
        <f ca="1">IFERROR(__xludf.DUMMYFUNCTION("""COMPUTED_VALUE"""),"Montgomery")</f>
        <v>Montgomery</v>
      </c>
      <c r="Q1046" s="5" t="str">
        <f ca="1">IFERROR(__xludf.DUMMYFUNCTION("""COMPUTED_VALUE"""),"AL")</f>
        <v>AL</v>
      </c>
      <c r="R1046" s="5" t="str">
        <f ca="1">IFERROR(__xludf.DUMMYFUNCTION("""COMPUTED_VALUE"""),"High")</f>
        <v>High</v>
      </c>
      <c r="S1046" s="5" t="str">
        <f ca="1">IFERROR(__xludf.DUMMYFUNCTION("""COMPUTED_VALUE"""),"Parking Lot")</f>
        <v>Parking Lot</v>
      </c>
      <c r="T1046" s="5" t="str">
        <f ca="1">IFERROR(__xludf.DUMMYFUNCTION("""COMPUTED_VALUE"""),"Outside on School Property")</f>
        <v>Outside on School Property</v>
      </c>
      <c r="U1046" s="5" t="str">
        <f ca="1">IFERROR(__xludf.DUMMYFUNCTION("""COMPUTED_VALUE"""),"Yes")</f>
        <v>Yes</v>
      </c>
      <c r="V1046" s="5" t="str">
        <f ca="1">IFERROR(__xludf.DUMMYFUNCTION("""COMPUTED_VALUE"""),"Dismissal")</f>
        <v>Dismissal</v>
      </c>
      <c r="W1046" s="10">
        <f ca="1">IFERROR(__xludf.DUMMYFUNCTION("""COMPUTED_VALUE"""),0.625)</f>
        <v>0.625</v>
      </c>
      <c r="X1046" s="5">
        <f ca="1">IFERROR(__xludf.DUMMYFUNCTION("""COMPUTED_VALUE"""),1)</f>
        <v>1</v>
      </c>
      <c r="Y1046" s="5" t="str">
        <f ca="1">IFERROR(__xludf.DUMMYFUNCTION("""COMPUTED_VALUE"""),"Student fired shot at targeted student leaving school, missed and struck female student")</f>
        <v>Student fired shot at targeted student leaving school, missed and struck female student</v>
      </c>
      <c r="Z1046" s="5" t="str">
        <f ca="1">IFERROR(__xludf.DUMMYFUNCTION("""COMPUTED_VALUE"""),"16YOM student left school to get gun and returned at dismissal. He fired a specific student he targeted while he was leaving the school with a group of students. Shot missed and struck female student. Target fled area and shooter fired shots at him leavin"&amp;"g the area in a vehicle.")</f>
        <v>16YOM student left school to get gun and returned at dismissal. He fired a specific student he targeted while he was leaving the school with a group of students. Shot missed and struck female student. Target fled area and shooter fired shots at him leaving the area in a vehicle.</v>
      </c>
      <c r="AA1046" s="5" t="str">
        <f ca="1">IFERROR(__xludf.DUMMYFUNCTION("""COMPUTED_VALUE"""),"Escalation of Dispute")</f>
        <v>Escalation of Dispute</v>
      </c>
      <c r="AB1046" s="5" t="str">
        <f ca="1">IFERROR(__xludf.DUMMYFUNCTION("""COMPUTED_VALUE"""),"Both")</f>
        <v>Both</v>
      </c>
      <c r="AC1046" s="5" t="str">
        <f ca="1">IFERROR(__xludf.DUMMYFUNCTION("""COMPUTED_VALUE"""),"No")</f>
        <v>No</v>
      </c>
      <c r="AD1046" s="5" t="str">
        <f ca="1">IFERROR(__xludf.DUMMYFUNCTION("""COMPUTED_VALUE"""),"No")</f>
        <v>No</v>
      </c>
      <c r="AE1046" s="5" t="str">
        <f ca="1">IFERROR(__xludf.DUMMYFUNCTION("""COMPUTED_VALUE"""),"No")</f>
        <v>No</v>
      </c>
      <c r="AF1046" s="5" t="str">
        <f ca="1">IFERROR(__xludf.DUMMYFUNCTION("""COMPUTED_VALUE"""),"No")</f>
        <v>No</v>
      </c>
      <c r="AG1046" s="5"/>
      <c r="AH1046" s="5" t="str">
        <f ca="1">IFERROR(__xludf.DUMMYFUNCTION("""COMPUTED_VALUE"""),"No")</f>
        <v>No</v>
      </c>
      <c r="AI1046" s="5" t="str">
        <f ca="1">IFERROR(__xludf.DUMMYFUNCTION("""COMPUTED_VALUE"""),"No")</f>
        <v>No</v>
      </c>
      <c r="AJ1046" s="5" t="str">
        <f ca="1">IFERROR(__xludf.DUMMYFUNCTION("""COMPUTED_VALUE"""),"No")</f>
        <v>No</v>
      </c>
    </row>
    <row r="1047" spans="1:36" ht="13">
      <c r="A1047" s="5" t="str">
        <f ca="1">IFERROR(__xludf.DUMMYFUNCTION("""COMPUTED_VALUE"""),"20170218MNMAM")</f>
        <v>20170218MNMAM</v>
      </c>
      <c r="B1047" s="5">
        <f ca="1">IFERROR(__xludf.DUMMYFUNCTION("""COMPUTED_VALUE"""),2)</f>
        <v>2</v>
      </c>
      <c r="C1047" s="5">
        <f ca="1">IFERROR(__xludf.DUMMYFUNCTION("""COMPUTED_VALUE"""),18)</f>
        <v>18</v>
      </c>
      <c r="D1047" s="5">
        <f ca="1">IFERROR(__xludf.DUMMYFUNCTION("""COMPUTED_VALUE"""),2017)</f>
        <v>2017</v>
      </c>
      <c r="E1047" s="8">
        <f ca="1">IFERROR(__xludf.DUMMYFUNCTION("""COMPUTED_VALUE"""),42784)</f>
        <v>42784</v>
      </c>
      <c r="F1047" s="5" t="str">
        <f ca="1">IFERROR(__xludf.DUMMYFUNCTION("""COMPUTED_VALUE"""),"Maplewood Middle School")</f>
        <v>Maplewood Middle School</v>
      </c>
      <c r="G1047" s="5">
        <f ca="1">IFERROR(__xludf.DUMMYFUNCTION("""COMPUTED_VALUE"""),0)</f>
        <v>0</v>
      </c>
      <c r="H1047" s="5">
        <f ca="1">IFERROR(__xludf.DUMMYFUNCTION("""COMPUTED_VALUE"""),0)</f>
        <v>0</v>
      </c>
      <c r="I1047" s="5">
        <f ca="1">IFERROR(__xludf.DUMMYFUNCTION("""COMPUTED_VALUE"""),0)</f>
        <v>0</v>
      </c>
      <c r="J1047" s="5">
        <f ca="1">IFERROR(__xludf.DUMMYFUNCTION("""COMPUTED_VALUE"""),1)</f>
        <v>1</v>
      </c>
      <c r="K1047" s="9" t="str">
        <f ca="1">IFERROR(__xludf.DUMMYFUNCTION("""COMPUTED_VALUE"""),"https://www.twincities.com/2017/02/18/man-kidnaps-ex-fiancee-kills-himself-in-middle-school-parking-lot/")</f>
        <v>https://www.twincities.com/2017/02/18/man-kidnaps-ex-fiancee-kills-himself-in-middle-school-parking-lot/</v>
      </c>
      <c r="L1047" s="5">
        <f ca="1">IFERROR(__xludf.DUMMYFUNCTION("""COMPUTED_VALUE"""),1)</f>
        <v>1</v>
      </c>
      <c r="M1047" s="5" t="str">
        <f ca="1">IFERROR(__xludf.DUMMYFUNCTION("""COMPUTED_VALUE"""),"Local")</f>
        <v>Local</v>
      </c>
      <c r="N1047" s="5">
        <f ca="1">IFERROR(__xludf.DUMMYFUNCTION("""COMPUTED_VALUE"""),2)</f>
        <v>2</v>
      </c>
      <c r="O1047" s="5" t="str">
        <f ca="1">IFERROR(__xludf.DUMMYFUNCTION("""COMPUTED_VALUE"""),"Winter")</f>
        <v>Winter</v>
      </c>
      <c r="P1047" s="5" t="str">
        <f ca="1">IFERROR(__xludf.DUMMYFUNCTION("""COMPUTED_VALUE"""),"Maplewood")</f>
        <v>Maplewood</v>
      </c>
      <c r="Q1047" s="5" t="str">
        <f ca="1">IFERROR(__xludf.DUMMYFUNCTION("""COMPUTED_VALUE"""),"MN")</f>
        <v>MN</v>
      </c>
      <c r="R1047" s="5" t="str">
        <f ca="1">IFERROR(__xludf.DUMMYFUNCTION("""COMPUTED_VALUE"""),"Middle")</f>
        <v>Middle</v>
      </c>
      <c r="S1047" s="5" t="str">
        <f ca="1">IFERROR(__xludf.DUMMYFUNCTION("""COMPUTED_VALUE"""),"Parking Lot")</f>
        <v>Parking Lot</v>
      </c>
      <c r="T1047" s="5" t="str">
        <f ca="1">IFERROR(__xludf.DUMMYFUNCTION("""COMPUTED_VALUE"""),"Outside on School Property")</f>
        <v>Outside on School Property</v>
      </c>
      <c r="U1047" s="5" t="str">
        <f ca="1">IFERROR(__xludf.DUMMYFUNCTION("""COMPUTED_VALUE"""),"No")</f>
        <v>No</v>
      </c>
      <c r="V1047" s="5" t="str">
        <f ca="1">IFERROR(__xludf.DUMMYFUNCTION("""COMPUTED_VALUE"""),"Not a School Day")</f>
        <v>Not a School Day</v>
      </c>
      <c r="W1047" s="10">
        <f ca="1">IFERROR(__xludf.DUMMYFUNCTION("""COMPUTED_VALUE"""),0.25)</f>
        <v>0.25</v>
      </c>
      <c r="X1047" s="5"/>
      <c r="Y1047" s="5" t="str">
        <f ca="1">IFERROR(__xludf.DUMMYFUNCTION("""COMPUTED_VALUE"""),"Estranged fiance kidnaps the mother of his child (victim), kills himself at the school's parking lot, no relation to school")</f>
        <v>Estranged fiance kidnaps the mother of his child (victim), kills himself at the school's parking lot, no relation to school</v>
      </c>
      <c r="Z1047" s="5" t="str">
        <f ca="1">IFERROR(__xludf.DUMMYFUNCTION("""COMPUTED_VALUE"""),"Victim was being dropped off at her brother's house by a third party. Shooter was her estranged fiance who she had a child with. Shooter pointed a gun at them and kidnapped victim, drove her to the school's parking lot where she escaped, and and then shoo"&amp;"ter shot himself.")</f>
        <v>Victim was being dropped off at her brother's house by a third party. Shooter was her estranged fiance who she had a child with. Shooter pointed a gun at them and kidnapped victim, drove her to the school's parking lot where she escaped, and and then shooter shot himself.</v>
      </c>
      <c r="AA1047" s="5" t="str">
        <f ca="1">IFERROR(__xludf.DUMMYFUNCTION("""COMPUTED_VALUE"""),"Suicide/Attempted")</f>
        <v>Suicide/Attempted</v>
      </c>
      <c r="AB1047" s="5" t="str">
        <f ca="1">IFERROR(__xludf.DUMMYFUNCTION("""COMPUTED_VALUE"""),"Victims Targeted")</f>
        <v>Victims Targeted</v>
      </c>
      <c r="AC1047" s="5" t="str">
        <f ca="1">IFERROR(__xludf.DUMMYFUNCTION("""COMPUTED_VALUE"""),"No")</f>
        <v>No</v>
      </c>
      <c r="AD1047" s="5" t="str">
        <f ca="1">IFERROR(__xludf.DUMMYFUNCTION("""COMPUTED_VALUE"""),"Yes")</f>
        <v>Yes</v>
      </c>
      <c r="AE1047" s="5" t="str">
        <f ca="1">IFERROR(__xludf.DUMMYFUNCTION("""COMPUTED_VALUE"""),"No")</f>
        <v>No</v>
      </c>
      <c r="AF1047" s="5" t="str">
        <f ca="1">IFERROR(__xludf.DUMMYFUNCTION("""COMPUTED_VALUE"""),"No")</f>
        <v>No</v>
      </c>
      <c r="AG1047" s="5" t="str">
        <f ca="1">IFERROR(__xludf.DUMMYFUNCTION("""COMPUTED_VALUE"""),"N/A")</f>
        <v>N/A</v>
      </c>
      <c r="AH1047" s="5"/>
      <c r="AI1047" s="5" t="str">
        <f ca="1">IFERROR(__xludf.DUMMYFUNCTION("""COMPUTED_VALUE"""),"No")</f>
        <v>No</v>
      </c>
      <c r="AJ1047" s="5" t="str">
        <f ca="1">IFERROR(__xludf.DUMMYFUNCTION("""COMPUTED_VALUE"""),"No")</f>
        <v>No</v>
      </c>
    </row>
    <row r="1048" spans="1:36" ht="13">
      <c r="A1048" s="5" t="str">
        <f ca="1">IFERROR(__xludf.DUMMYFUNCTION("""COMPUTED_VALUE"""),"20170206LASCB")</f>
        <v>20170206LASCB</v>
      </c>
      <c r="B1048" s="5">
        <f ca="1">IFERROR(__xludf.DUMMYFUNCTION("""COMPUTED_VALUE"""),2)</f>
        <v>2</v>
      </c>
      <c r="C1048" s="5">
        <f ca="1">IFERROR(__xludf.DUMMYFUNCTION("""COMPUTED_VALUE"""),6)</f>
        <v>6</v>
      </c>
      <c r="D1048" s="5">
        <f ca="1">IFERROR(__xludf.DUMMYFUNCTION("""COMPUTED_VALUE"""),2017)</f>
        <v>2017</v>
      </c>
      <c r="E1048" s="8">
        <f ca="1">IFERROR(__xludf.DUMMYFUNCTION("""COMPUTED_VALUE"""),42772)</f>
        <v>42772</v>
      </c>
      <c r="F1048" s="5" t="str">
        <f ca="1">IFERROR(__xludf.DUMMYFUNCTION("""COMPUTED_VALUE"""),"Scotlandville Magnet High School")</f>
        <v>Scotlandville Magnet High School</v>
      </c>
      <c r="G1048" s="5">
        <f ca="1">IFERROR(__xludf.DUMMYFUNCTION("""COMPUTED_VALUE"""),0)</f>
        <v>0</v>
      </c>
      <c r="H1048" s="5">
        <f ca="1">IFERROR(__xludf.DUMMYFUNCTION("""COMPUTED_VALUE"""),0)</f>
        <v>0</v>
      </c>
      <c r="I1048" s="5">
        <f ca="1">IFERROR(__xludf.DUMMYFUNCTION("""COMPUTED_VALUE"""),0)</f>
        <v>0</v>
      </c>
      <c r="J1048" s="5">
        <f ca="1">IFERROR(__xludf.DUMMYFUNCTION("""COMPUTED_VALUE"""),0)</f>
        <v>0</v>
      </c>
      <c r="K1048" s="9" t="str">
        <f ca="1">IFERROR(__xludf.DUMMYFUNCTION("""COMPUTED_VALUE"""),"http://www.theadvocate.com/baton_rouge/news/crime_police/article_c0f86974-ed92-11e6-98ec-1fec7cb6253b.html")</f>
        <v>http://www.theadvocate.com/baton_rouge/news/crime_police/article_c0f86974-ed92-11e6-98ec-1fec7cb6253b.html</v>
      </c>
      <c r="L1048" s="5"/>
      <c r="M1048" s="5"/>
      <c r="N1048" s="5">
        <f ca="1">IFERROR(__xludf.DUMMYFUNCTION("""COMPUTED_VALUE"""),2)</f>
        <v>2</v>
      </c>
      <c r="O1048" s="5" t="str">
        <f ca="1">IFERROR(__xludf.DUMMYFUNCTION("""COMPUTED_VALUE"""),"Winter")</f>
        <v>Winter</v>
      </c>
      <c r="P1048" s="5" t="str">
        <f ca="1">IFERROR(__xludf.DUMMYFUNCTION("""COMPUTED_VALUE"""),"Baton Rouge")</f>
        <v>Baton Rouge</v>
      </c>
      <c r="Q1048" s="5" t="str">
        <f ca="1">IFERROR(__xludf.DUMMYFUNCTION("""COMPUTED_VALUE"""),"LA")</f>
        <v>LA</v>
      </c>
      <c r="R1048" s="5" t="str">
        <f ca="1">IFERROR(__xludf.DUMMYFUNCTION("""COMPUTED_VALUE"""),"High")</f>
        <v>High</v>
      </c>
      <c r="S1048" s="5" t="str">
        <f ca="1">IFERROR(__xludf.DUMMYFUNCTION("""COMPUTED_VALUE"""),"Outside on School Property")</f>
        <v>Outside on School Property</v>
      </c>
      <c r="T1048" s="5" t="str">
        <f ca="1">IFERROR(__xludf.DUMMYFUNCTION("""COMPUTED_VALUE"""),"Outside on School Property")</f>
        <v>Outside on School Property</v>
      </c>
      <c r="U1048" s="5" t="str">
        <f ca="1">IFERROR(__xludf.DUMMYFUNCTION("""COMPUTED_VALUE"""),"Yes")</f>
        <v>Yes</v>
      </c>
      <c r="V1048" s="5" t="str">
        <f ca="1">IFERROR(__xludf.DUMMYFUNCTION("""COMPUTED_VALUE"""),"Lunch")</f>
        <v>Lunch</v>
      </c>
      <c r="W1048" s="10">
        <f ca="1">IFERROR(__xludf.DUMMYFUNCTION("""COMPUTED_VALUE"""),0.5)</f>
        <v>0.5</v>
      </c>
      <c r="X1048" s="5">
        <f ca="1">IFERROR(__xludf.DUMMYFUNCTION("""COMPUTED_VALUE"""),1)</f>
        <v>1</v>
      </c>
      <c r="Y1048" s="5" t="str">
        <f ca="1">IFERROR(__xludf.DUMMYFUNCTION("""COMPUTED_VALUE"""),"Shots fired (all missed) during argument")</f>
        <v>Shots fired (all missed) during argument</v>
      </c>
      <c r="Z1048" s="5" t="str">
        <f ca="1">IFERROR(__xludf.DUMMYFUNCTION("""COMPUTED_VALUE"""),"The shooter was about to get into a fight with 2 other students (with whom he had an online argument) on campus when he took out a gun and fired 3 times. No one was hurt. The shooter fled the area but was arrested by an officer later. School was put on lo"&amp;"ckdown.")</f>
        <v>The shooter was about to get into a fight with 2 other students (with whom he had an online argument) on campus when he took out a gun and fired 3 times. No one was hurt. The shooter fled the area but was arrested by an officer later. School was put on lockdown.</v>
      </c>
      <c r="AA1048" s="5" t="str">
        <f ca="1">IFERROR(__xludf.DUMMYFUNCTION("""COMPUTED_VALUE"""),"Escalation of Dispute")</f>
        <v>Escalation of Dispute</v>
      </c>
      <c r="AB1048" s="5" t="str">
        <f ca="1">IFERROR(__xludf.DUMMYFUNCTION("""COMPUTED_VALUE"""),"Neither")</f>
        <v>Neither</v>
      </c>
      <c r="AC1048" s="5"/>
      <c r="AD1048" s="5" t="str">
        <f ca="1">IFERROR(__xludf.DUMMYFUNCTION("""COMPUTED_VALUE"""),"No")</f>
        <v>No</v>
      </c>
      <c r="AE1048" s="5" t="str">
        <f ca="1">IFERROR(__xludf.DUMMYFUNCTION("""COMPUTED_VALUE"""),"No")</f>
        <v>No</v>
      </c>
      <c r="AF1048" s="5" t="str">
        <f ca="1">IFERROR(__xludf.DUMMYFUNCTION("""COMPUTED_VALUE"""),"No")</f>
        <v>No</v>
      </c>
      <c r="AG1048" s="5"/>
      <c r="AH1048" s="5"/>
      <c r="AI1048" s="5" t="str">
        <f ca="1">IFERROR(__xludf.DUMMYFUNCTION("""COMPUTED_VALUE"""),"No")</f>
        <v>No</v>
      </c>
      <c r="AJ1048" s="5" t="str">
        <f ca="1">IFERROR(__xludf.DUMMYFUNCTION("""COMPUTED_VALUE"""),"No")</f>
        <v>No</v>
      </c>
    </row>
    <row r="1049" spans="1:36" ht="13">
      <c r="A1049" s="5" t="str">
        <f ca="1">IFERROR(__xludf.DUMMYFUNCTION("""COMPUTED_VALUE"""),"20170127ILSCN")</f>
        <v>20170127ILSCN</v>
      </c>
      <c r="B1049" s="5">
        <f ca="1">IFERROR(__xludf.DUMMYFUNCTION("""COMPUTED_VALUE"""),1)</f>
        <v>1</v>
      </c>
      <c r="C1049" s="5">
        <f ca="1">IFERROR(__xludf.DUMMYFUNCTION("""COMPUTED_VALUE"""),27)</f>
        <v>27</v>
      </c>
      <c r="D1049" s="5">
        <f ca="1">IFERROR(__xludf.DUMMYFUNCTION("""COMPUTED_VALUE"""),2017)</f>
        <v>2017</v>
      </c>
      <c r="E1049" s="8">
        <f ca="1">IFERROR(__xludf.DUMMYFUNCTION("""COMPUTED_VALUE"""),42762)</f>
        <v>42762</v>
      </c>
      <c r="F1049" s="5" t="str">
        <f ca="1">IFERROR(__xludf.DUMMYFUNCTION("""COMPUTED_VALUE"""),"Thomas G Scullen Middle School")</f>
        <v>Thomas G Scullen Middle School</v>
      </c>
      <c r="G1049" s="5">
        <f ca="1">IFERROR(__xludf.DUMMYFUNCTION("""COMPUTED_VALUE"""),1)</f>
        <v>1</v>
      </c>
      <c r="H1049" s="5">
        <f ca="1">IFERROR(__xludf.DUMMYFUNCTION("""COMPUTED_VALUE"""),0)</f>
        <v>0</v>
      </c>
      <c r="I1049" s="5">
        <f ca="1">IFERROR(__xludf.DUMMYFUNCTION("""COMPUTED_VALUE"""),1)</f>
        <v>1</v>
      </c>
      <c r="J1049" s="5">
        <f ca="1">IFERROR(__xludf.DUMMYFUNCTION("""COMPUTED_VALUE"""),0)</f>
        <v>0</v>
      </c>
      <c r="K1049" s="5" t="str">
        <f ca="1">IFERROR(__xludf.DUMMYFUNCTION("""COMPUTED_VALUE"""),"https://chicago.cbslocal.com/2017/01/30/naperville-police-college-professor-may-have-been-targeted-in-fatal-shooting/ https://www.chicagotribune.com/suburbs/aurora-beacon-news/opinion/ct-abn-crosby-lange-murder-st-0116-20220114-dg4dzjn2fvfotmq6do6bgs6rbi-"&amp;"story.html https://www.cbsnews.com/news/naperville-shooting-of-professor-matthew-lange-in-car-may-have-been-targeted-act-cops-say/")</f>
        <v>https://chicago.cbslocal.com/2017/01/30/naperville-police-college-professor-may-have-been-targeted-in-fatal-shooting/ https://www.chicagotribune.com/suburbs/aurora-beacon-news/opinion/ct-abn-crosby-lange-murder-st-0116-20220114-dg4dzjn2fvfotmq6do6bgs6rbi-story.html https://www.cbsnews.com/news/naperville-shooting-of-professor-matthew-lange-in-car-may-have-been-targeted-act-cops-say/</v>
      </c>
      <c r="L1049" s="5">
        <f ca="1">IFERROR(__xludf.DUMMYFUNCTION("""COMPUTED_VALUE"""),10)</f>
        <v>10</v>
      </c>
      <c r="M1049" s="5" t="str">
        <f ca="1">IFERROR(__xludf.DUMMYFUNCTION("""COMPUTED_VALUE"""),"Regional")</f>
        <v>Regional</v>
      </c>
      <c r="N1049" s="5">
        <f ca="1">IFERROR(__xludf.DUMMYFUNCTION("""COMPUTED_VALUE"""),4)</f>
        <v>4</v>
      </c>
      <c r="O1049" s="5" t="str">
        <f ca="1">IFERROR(__xludf.DUMMYFUNCTION("""COMPUTED_VALUE"""),"Winter")</f>
        <v>Winter</v>
      </c>
      <c r="P1049" s="5" t="str">
        <f ca="1">IFERROR(__xludf.DUMMYFUNCTION("""COMPUTED_VALUE"""),"Naperville")</f>
        <v>Naperville</v>
      </c>
      <c r="Q1049" s="5" t="str">
        <f ca="1">IFERROR(__xludf.DUMMYFUNCTION("""COMPUTED_VALUE"""),"IL")</f>
        <v>IL</v>
      </c>
      <c r="R1049" s="5" t="str">
        <f ca="1">IFERROR(__xludf.DUMMYFUNCTION("""COMPUTED_VALUE"""),"Middle")</f>
        <v>Middle</v>
      </c>
      <c r="S1049" s="5" t="str">
        <f ca="1">IFERROR(__xludf.DUMMYFUNCTION("""COMPUTED_VALUE"""),"Parking Lot")</f>
        <v>Parking Lot</v>
      </c>
      <c r="T1049" s="5" t="str">
        <f ca="1">IFERROR(__xludf.DUMMYFUNCTION("""COMPUTED_VALUE"""),"Outside on School Property")</f>
        <v>Outside on School Property</v>
      </c>
      <c r="U1049" s="5" t="str">
        <f ca="1">IFERROR(__xludf.DUMMYFUNCTION("""COMPUTED_VALUE"""),"No")</f>
        <v>No</v>
      </c>
      <c r="V1049" s="5" t="str">
        <f ca="1">IFERROR(__xludf.DUMMYFUNCTION("""COMPUTED_VALUE"""),"Evening")</f>
        <v>Evening</v>
      </c>
      <c r="W1049" s="10">
        <f ca="1">IFERROR(__xludf.DUMMYFUNCTION("""COMPUTED_VALUE"""),0.833333333333333)</f>
        <v>0.83333333333333304</v>
      </c>
      <c r="X1049" s="5">
        <f ca="1">IFERROR(__xludf.DUMMYFUNCTION("""COMPUTED_VALUE"""),1)</f>
        <v>1</v>
      </c>
      <c r="Y1049" s="5" t="str">
        <f ca="1">IFERROR(__xludf.DUMMYFUNCTION("""COMPUTED_VALUE"""),"Adult male fatally shot in the parking lot while picking up child")</f>
        <v>Adult male fatally shot in the parking lot while picking up child</v>
      </c>
      <c r="Z1049" s="5" t="str">
        <f ca="1">IFERROR(__xludf.DUMMYFUNCTION("""COMPUTED_VALUE"""),"A 37-year-old male college professor was fatally shot while picking up his 4-year-old son from an evening program at the middle school. He was inside his vehicle and shot through a closed window. Police determined it was a targeted shooting and not a robb"&amp;"ery. Motive unknown. Suspect fled and was not identified.")</f>
        <v>A 37-year-old male college professor was fatally shot while picking up his 4-year-old son from an evening program at the middle school. He was inside his vehicle and shot through a closed window. Police determined it was a targeted shooting and not a robbery. Motive unknown. Suspect fled and was not identified.</v>
      </c>
      <c r="AA1049" s="5" t="str">
        <f ca="1">IFERROR(__xludf.DUMMYFUNCTION("""COMPUTED_VALUE"""),"Unknown")</f>
        <v>Unknown</v>
      </c>
      <c r="AB1049" s="5" t="str">
        <f ca="1">IFERROR(__xludf.DUMMYFUNCTION("""COMPUTED_VALUE"""),"Victims Targeted")</f>
        <v>Victims Targeted</v>
      </c>
      <c r="AC1049" s="5" t="str">
        <f ca="1">IFERROR(__xludf.DUMMYFUNCTION("""COMPUTED_VALUE"""),"No")</f>
        <v>No</v>
      </c>
      <c r="AD1049" s="5" t="str">
        <f ca="1">IFERROR(__xludf.DUMMYFUNCTION("""COMPUTED_VALUE"""),"No")</f>
        <v>No</v>
      </c>
      <c r="AE1049" s="5" t="str">
        <f ca="1">IFERROR(__xludf.DUMMYFUNCTION("""COMPUTED_VALUE"""),"No")</f>
        <v>No</v>
      </c>
      <c r="AF1049" s="5" t="str">
        <f ca="1">IFERROR(__xludf.DUMMYFUNCTION("""COMPUTED_VALUE"""),"No")</f>
        <v>No</v>
      </c>
      <c r="AG1049" s="5" t="str">
        <f ca="1">IFERROR(__xludf.DUMMYFUNCTION("""COMPUTED_VALUE"""),"No")</f>
        <v>No</v>
      </c>
      <c r="AH1049" s="5" t="str">
        <f ca="1">IFERROR(__xludf.DUMMYFUNCTION("""COMPUTED_VALUE"""),"No")</f>
        <v>No</v>
      </c>
      <c r="AI1049" s="5" t="str">
        <f ca="1">IFERROR(__xludf.DUMMYFUNCTION("""COMPUTED_VALUE"""),"No")</f>
        <v>No</v>
      </c>
      <c r="AJ1049" s="5" t="str">
        <f ca="1">IFERROR(__xludf.DUMMYFUNCTION("""COMPUTED_VALUE"""),"No")</f>
        <v>No</v>
      </c>
    </row>
    <row r="1050" spans="1:36" ht="13">
      <c r="A1050" s="5" t="str">
        <f ca="1">IFERROR(__xludf.DUMMYFUNCTION("""COMPUTED_VALUE"""),"20170127SCSOA")</f>
        <v>20170127SCSOA</v>
      </c>
      <c r="B1050" s="5">
        <f ca="1">IFERROR(__xludf.DUMMYFUNCTION("""COMPUTED_VALUE"""),1)</f>
        <v>1</v>
      </c>
      <c r="C1050" s="5">
        <f ca="1">IFERROR(__xludf.DUMMYFUNCTION("""COMPUTED_VALUE"""),27)</f>
        <v>27</v>
      </c>
      <c r="D1050" s="5">
        <f ca="1">IFERROR(__xludf.DUMMYFUNCTION("""COMPUTED_VALUE"""),2017)</f>
        <v>2017</v>
      </c>
      <c r="E1050" s="8">
        <f ca="1">IFERROR(__xludf.DUMMYFUNCTION("""COMPUTED_VALUE"""),42762)</f>
        <v>42762</v>
      </c>
      <c r="F1050" s="5" t="str">
        <f ca="1">IFERROR(__xludf.DUMMYFUNCTION("""COMPUTED_VALUE"""),"South Aiken High School")</f>
        <v>South Aiken High School</v>
      </c>
      <c r="G1050" s="5">
        <f ca="1">IFERROR(__xludf.DUMMYFUNCTION("""COMPUTED_VALUE"""),0)</f>
        <v>0</v>
      </c>
      <c r="H1050" s="5">
        <f ca="1">IFERROR(__xludf.DUMMYFUNCTION("""COMPUTED_VALUE"""),3)</f>
        <v>3</v>
      </c>
      <c r="I1050" s="5">
        <f ca="1">IFERROR(__xludf.DUMMYFUNCTION("""COMPUTED_VALUE"""),3)</f>
        <v>3</v>
      </c>
      <c r="J1050" s="5">
        <f ca="1">IFERROR(__xludf.DUMMYFUNCTION("""COMPUTED_VALUE"""),0)</f>
        <v>0</v>
      </c>
      <c r="K1050" s="5" t="str">
        <f ca="1">IFERROR(__xludf.DUMMYFUNCTION("""COMPUTED_VALUE"""),"https://www.postandcourier.com/aikenstandard/news/suspect-in-2017-shooting-at-south-aiken-high-school-pleads-guilty/article_3297d982-721b-11eb-8b66-63e7255c0916.html https://www.aikenstandard.com/news/two-charged-in-connection-with-south-aiken-high-school"&amp;"-shooting/article_b4e9779c-e97b-11e6-aa68-974774435f6b.html")</f>
        <v>https://www.postandcourier.com/aikenstandard/news/suspect-in-2017-shooting-at-south-aiken-high-school-pleads-guilty/article_3297d982-721b-11eb-8b66-63e7255c0916.html https://www.aikenstandard.com/news/two-charged-in-connection-with-south-aiken-high-school-shooting/article_b4e9779c-e97b-11e6-aa68-974774435f6b.html</v>
      </c>
      <c r="L1050" s="5">
        <f ca="1">IFERROR(__xludf.DUMMYFUNCTION("""COMPUTED_VALUE"""),2)</f>
        <v>2</v>
      </c>
      <c r="M1050" s="5" t="str">
        <f ca="1">IFERROR(__xludf.DUMMYFUNCTION("""COMPUTED_VALUE"""),"Local")</f>
        <v>Local</v>
      </c>
      <c r="N1050" s="5">
        <f ca="1">IFERROR(__xludf.DUMMYFUNCTION("""COMPUTED_VALUE"""),5)</f>
        <v>5</v>
      </c>
      <c r="O1050" s="5" t="str">
        <f ca="1">IFERROR(__xludf.DUMMYFUNCTION("""COMPUTED_VALUE"""),"Winter")</f>
        <v>Winter</v>
      </c>
      <c r="P1050" s="5" t="str">
        <f ca="1">IFERROR(__xludf.DUMMYFUNCTION("""COMPUTED_VALUE"""),"Aiken")</f>
        <v>Aiken</v>
      </c>
      <c r="Q1050" s="5" t="str">
        <f ca="1">IFERROR(__xludf.DUMMYFUNCTION("""COMPUTED_VALUE"""),"SC")</f>
        <v>SC</v>
      </c>
      <c r="R1050" s="5" t="str">
        <f ca="1">IFERROR(__xludf.DUMMYFUNCTION("""COMPUTED_VALUE"""),"High")</f>
        <v>High</v>
      </c>
      <c r="S1050" s="5" t="str">
        <f ca="1">IFERROR(__xludf.DUMMYFUNCTION("""COMPUTED_VALUE"""),"Beside Building")</f>
        <v>Beside Building</v>
      </c>
      <c r="T1050" s="5" t="str">
        <f ca="1">IFERROR(__xludf.DUMMYFUNCTION("""COMPUTED_VALUE"""),"Outside on School Property")</f>
        <v>Outside on School Property</v>
      </c>
      <c r="U1050" s="5" t="str">
        <f ca="1">IFERROR(__xludf.DUMMYFUNCTION("""COMPUTED_VALUE"""),"No")</f>
        <v>No</v>
      </c>
      <c r="V1050" s="5" t="str">
        <f ca="1">IFERROR(__xludf.DUMMYFUNCTION("""COMPUTED_VALUE"""),"Sport Event")</f>
        <v>Sport Event</v>
      </c>
      <c r="W1050" s="10">
        <f ca="1">IFERROR(__xludf.DUMMYFUNCTION("""COMPUTED_VALUE"""),0.875)</f>
        <v>0.875</v>
      </c>
      <c r="X1050" s="5">
        <f ca="1">IFERROR(__xludf.DUMMYFUNCTION("""COMPUTED_VALUE"""),1)</f>
        <v>1</v>
      </c>
      <c r="Y1050" s="5" t="str">
        <f ca="1">IFERROR(__xludf.DUMMYFUNCTION("""COMPUTED_VALUE"""),"Fight outside basketball game (rival schools)")</f>
        <v>Fight outside basketball game (rival schools)</v>
      </c>
      <c r="Z1050" s="5" t="str">
        <f ca="1">IFERROR(__xludf.DUMMYFUNCTION("""COMPUTED_VALUE"""),"Large fight outside of basketball game attended by 1000 people. Two men flashed guns at each other prior to the fight. Multiple shots were fired striking 3 people (15-year-old female student, 14-year-old female student, and adult male). 18-year-old male a"&amp;"nd 19-year-old male were charged with carrying weapons on school property. 19-year-old male plead guilty in 2021 assault and battery of a high and aggravated nature, possession of a weapon on school property, breaking and entering into an automobile, crim"&amp;"inal conspiracy and attempted escape.")</f>
        <v>Large fight outside of basketball game attended by 1000 people. Two men flashed guns at each other prior to the fight. Multiple shots were fired striking 3 people (15-year-old female student, 14-year-old female student, and adult male). 18-year-old male and 19-year-old male were charged with carrying weapons on school property. 19-year-old male plead guilty in 2021 assault and battery of a high and aggravated nature, possession of a weapon on school property, breaking and entering into an automobile, criminal conspiracy and attempted escape.</v>
      </c>
      <c r="AA1050" s="5" t="str">
        <f ca="1">IFERROR(__xludf.DUMMYFUNCTION("""COMPUTED_VALUE"""),"Escalation of Dispute")</f>
        <v>Escalation of Dispute</v>
      </c>
      <c r="AB1050" s="5" t="str">
        <f ca="1">IFERROR(__xludf.DUMMYFUNCTION("""COMPUTED_VALUE"""),"Both")</f>
        <v>Both</v>
      </c>
      <c r="AC1050" s="5" t="str">
        <f ca="1">IFERROR(__xludf.DUMMYFUNCTION("""COMPUTED_VALUE"""),"Yes")</f>
        <v>Yes</v>
      </c>
      <c r="AD1050" s="5" t="str">
        <f ca="1">IFERROR(__xludf.DUMMYFUNCTION("""COMPUTED_VALUE"""),"No")</f>
        <v>No</v>
      </c>
      <c r="AE1050" s="5" t="str">
        <f ca="1">IFERROR(__xludf.DUMMYFUNCTION("""COMPUTED_VALUE"""),"No")</f>
        <v>No</v>
      </c>
      <c r="AF1050" s="5" t="str">
        <f ca="1">IFERROR(__xludf.DUMMYFUNCTION("""COMPUTED_VALUE"""),"No")</f>
        <v>No</v>
      </c>
      <c r="AG1050" s="5" t="str">
        <f ca="1">IFERROR(__xludf.DUMMYFUNCTION("""COMPUTED_VALUE"""),"No")</f>
        <v>No</v>
      </c>
      <c r="AH1050" s="5" t="str">
        <f ca="1">IFERROR(__xludf.DUMMYFUNCTION("""COMPUTED_VALUE"""),"No")</f>
        <v>No</v>
      </c>
      <c r="AI1050" s="5" t="str">
        <f ca="1">IFERROR(__xludf.DUMMYFUNCTION("""COMPUTED_VALUE"""),"Yes")</f>
        <v>Yes</v>
      </c>
      <c r="AJ1050" s="5" t="str">
        <f ca="1">IFERROR(__xludf.DUMMYFUNCTION("""COMPUTED_VALUE"""),"No")</f>
        <v>No</v>
      </c>
    </row>
    <row r="1051" spans="1:36" ht="13">
      <c r="A1051" s="5" t="str">
        <f ca="1">IFERROR(__xludf.DUMMYFUNCTION("""COMPUTED_VALUE"""),"20170120OHWEW")</f>
        <v>20170120OHWEW</v>
      </c>
      <c r="B1051" s="5">
        <f ca="1">IFERROR(__xludf.DUMMYFUNCTION("""COMPUTED_VALUE"""),1)</f>
        <v>1</v>
      </c>
      <c r="C1051" s="5">
        <f ca="1">IFERROR(__xludf.DUMMYFUNCTION("""COMPUTED_VALUE"""),20)</f>
        <v>20</v>
      </c>
      <c r="D1051" s="5">
        <f ca="1">IFERROR(__xludf.DUMMYFUNCTION("""COMPUTED_VALUE"""),2017)</f>
        <v>2017</v>
      </c>
      <c r="E1051" s="8">
        <f ca="1">IFERROR(__xludf.DUMMYFUNCTION("""COMPUTED_VALUE"""),42755)</f>
        <v>42755</v>
      </c>
      <c r="F1051" s="5" t="str">
        <f ca="1">IFERROR(__xludf.DUMMYFUNCTION("""COMPUTED_VALUE"""),"West Liberty-Salem High School")</f>
        <v>West Liberty-Salem High School</v>
      </c>
      <c r="G1051" s="5">
        <f ca="1">IFERROR(__xludf.DUMMYFUNCTION("""COMPUTED_VALUE"""),0)</f>
        <v>0</v>
      </c>
      <c r="H1051" s="5">
        <f ca="1">IFERROR(__xludf.DUMMYFUNCTION("""COMPUTED_VALUE"""),1)</f>
        <v>1</v>
      </c>
      <c r="I1051" s="5">
        <f ca="1">IFERROR(__xludf.DUMMYFUNCTION("""COMPUTED_VALUE"""),1)</f>
        <v>1</v>
      </c>
      <c r="J1051" s="5">
        <f ca="1">IFERROR(__xludf.DUMMYFUNCTION("""COMPUTED_VALUE"""),0)</f>
        <v>0</v>
      </c>
      <c r="K1051" s="5" t="str">
        <f ca="1">IFERROR(__xludf.DUMMYFUNCTION("""COMPUTED_VALUE"""),"https://www.campussafetymagazine.com/safety/west-liberty-salem-high-school-shooting/ https://www.whio.com/news/local/school-shooting-victim-graduates-cedarville-university-reflects-forgiving-shooter/WD3Q3LLQQ5EJ3NFGZORVXUMFYA/ https://www.springfieldnewss"&amp;"un.com/news/local-education/west-liberty-still-healing-year-after-school-shooting/XCffIKOYjkCzCGsQ5BzCGO/ https://www.mydaytondailynews.com/news/crime--law/west-liberty-salem-school-shooting-case-pushed-back-2018/NGROrKc1aatoWx7i76vwuK/ http://fox45now.co"&amp;"m/news/local/west-liberty-salem-shooting-suspect-allegedly-asked-victim-to-shoot-him-in-bathroom https://www.fbi.gov/file-repository/active-shooter-incidents-2000-2017.pdf https://www.whio.com/news/local/prosecutor-opposes-school-shooter-appeal-ohio-high-"&amp;"court/mFdMS0ZHweTNdy0nEDwV2I/")</f>
        <v>https://www.campussafetymagazine.com/safety/west-liberty-salem-high-school-shooting/ https://www.whio.com/news/local/school-shooting-victim-graduates-cedarville-university-reflects-forgiving-shooter/WD3Q3LLQQ5EJ3NFGZORVXUMFYA/ https://www.springfieldnewssun.com/news/local-education/west-liberty-still-healing-year-after-school-shooting/XCffIKOYjkCzCGsQ5BzCGO/ https://www.mydaytondailynews.com/news/crime--law/west-liberty-salem-school-shooting-case-pushed-back-2018/NGROrKc1aatoWx7i76vwuK/ http://fox45now.com/news/local/west-liberty-salem-shooting-suspect-allegedly-asked-victim-to-shoot-him-in-bathroom https://www.fbi.gov/file-repository/active-shooter-incidents-2000-2017.pdf https://www.whio.com/news/local/prosecutor-opposes-school-shooter-appeal-ohio-high-court/mFdMS0ZHweTNdy0nEDwV2I/</v>
      </c>
      <c r="L1051" s="5">
        <f ca="1">IFERROR(__xludf.DUMMYFUNCTION("""COMPUTED_VALUE"""),100)</f>
        <v>100</v>
      </c>
      <c r="M1051" s="5" t="str">
        <f ca="1">IFERROR(__xludf.DUMMYFUNCTION("""COMPUTED_VALUE"""),"National")</f>
        <v>National</v>
      </c>
      <c r="N1051" s="5">
        <f ca="1">IFERROR(__xludf.DUMMYFUNCTION("""COMPUTED_VALUE"""),5)</f>
        <v>5</v>
      </c>
      <c r="O1051" s="5" t="str">
        <f ca="1">IFERROR(__xludf.DUMMYFUNCTION("""COMPUTED_VALUE"""),"Winter")</f>
        <v>Winter</v>
      </c>
      <c r="P1051" s="5" t="str">
        <f ca="1">IFERROR(__xludf.DUMMYFUNCTION("""COMPUTED_VALUE"""),"West Liberty")</f>
        <v>West Liberty</v>
      </c>
      <c r="Q1051" s="5" t="str">
        <f ca="1">IFERROR(__xludf.DUMMYFUNCTION("""COMPUTED_VALUE"""),"OH")</f>
        <v>OH</v>
      </c>
      <c r="R1051" s="5" t="str">
        <f ca="1">IFERROR(__xludf.DUMMYFUNCTION("""COMPUTED_VALUE"""),"High")</f>
        <v>High</v>
      </c>
      <c r="S1051" s="5" t="str">
        <f ca="1">IFERROR(__xludf.DUMMYFUNCTION("""COMPUTED_VALUE"""),"Bathroom")</f>
        <v>Bathroom</v>
      </c>
      <c r="T1051" s="5" t="str">
        <f ca="1">IFERROR(__xludf.DUMMYFUNCTION("""COMPUTED_VALUE"""),"Inside School Building")</f>
        <v>Inside School Building</v>
      </c>
      <c r="U1051" s="5" t="str">
        <f ca="1">IFERROR(__xludf.DUMMYFUNCTION("""COMPUTED_VALUE"""),"Yes")</f>
        <v>Yes</v>
      </c>
      <c r="V1051" s="5" t="str">
        <f ca="1">IFERROR(__xludf.DUMMYFUNCTION("""COMPUTED_VALUE"""),"Morning Classes")</f>
        <v>Morning Classes</v>
      </c>
      <c r="W1051" s="10">
        <f ca="1">IFERROR(__xludf.DUMMYFUNCTION("""COMPUTED_VALUE"""),0.316666666666666)</f>
        <v>0.31666666666666599</v>
      </c>
      <c r="X1051" s="5"/>
      <c r="Y1051" s="5" t="str">
        <f ca="1">IFERROR(__xludf.DUMMYFUNCTION("""COMPUTED_VALUE"""),"Student snuck shotgun into school, prepared in bathroom, shot student who surprised him, then fired into two classrooms")</f>
        <v>Student snuck shotgun into school, prepared in bathroom, shot student who surprised him, then fired into two classrooms</v>
      </c>
      <c r="Z1051" s="5" t="str">
        <f ca="1">IFERROR(__xludf.DUMMYFUNCTION("""COMPUTED_VALUE"""),"Student was preparing for planned school shooting in the bathroom when another student walked in to check his hair before leaving for a debate team trip. The shooter shot him in the chest with a shotgun. Victim told shooter that nobody died yet, don't hur"&amp;"t anyone else, and go get help. Shooter went into hallway, fired at students who were running and then fired into 2 classroom before being tackled by a staff member.")</f>
        <v>Student was preparing for planned school shooting in the bathroom when another student walked in to check his hair before leaving for a debate team trip. The shooter shot him in the chest with a shotgun. Victim told shooter that nobody died yet, don't hurt anyone else, and go get help. Shooter went into hallway, fired at students who were running and then fired into 2 classroom before being tackled by a staff member.</v>
      </c>
      <c r="AA1051" s="5" t="str">
        <f ca="1">IFERROR(__xludf.DUMMYFUNCTION("""COMPUTED_VALUE"""),"Indiscriminate Shooting")</f>
        <v>Indiscriminate Shooting</v>
      </c>
      <c r="AB1051" s="5" t="str">
        <f ca="1">IFERROR(__xludf.DUMMYFUNCTION("""COMPUTED_VALUE"""),"Random Shooting")</f>
        <v>Random Shooting</v>
      </c>
      <c r="AC1051" s="5" t="str">
        <f ca="1">IFERROR(__xludf.DUMMYFUNCTION("""COMPUTED_VALUE"""),"No")</f>
        <v>No</v>
      </c>
      <c r="AD1051" s="5" t="str">
        <f ca="1">IFERROR(__xludf.DUMMYFUNCTION("""COMPUTED_VALUE"""),"No")</f>
        <v>No</v>
      </c>
      <c r="AE1051" s="5" t="str">
        <f ca="1">IFERROR(__xludf.DUMMYFUNCTION("""COMPUTED_VALUE"""),"No")</f>
        <v>No</v>
      </c>
      <c r="AF1051" s="5" t="str">
        <f ca="1">IFERROR(__xludf.DUMMYFUNCTION("""COMPUTED_VALUE"""),"No")</f>
        <v>No</v>
      </c>
      <c r="AG1051" s="5" t="str">
        <f ca="1">IFERROR(__xludf.DUMMYFUNCTION("""COMPUTED_VALUE"""),"No")</f>
        <v>No</v>
      </c>
      <c r="AH1051" s="5" t="str">
        <f ca="1">IFERROR(__xludf.DUMMYFUNCTION("""COMPUTED_VALUE"""),"No")</f>
        <v>No</v>
      </c>
      <c r="AI1051" s="5" t="str">
        <f ca="1">IFERROR(__xludf.DUMMYFUNCTION("""COMPUTED_VALUE"""),"No")</f>
        <v>No</v>
      </c>
      <c r="AJ1051" s="5" t="str">
        <f ca="1">IFERROR(__xludf.DUMMYFUNCTION("""COMPUTED_VALUE"""),"Yes")</f>
        <v>Yes</v>
      </c>
    </row>
    <row r="1052" spans="1:36" ht="13">
      <c r="A1052" s="5" t="str">
        <f ca="1">IFERROR(__xludf.DUMMYFUNCTION("""COMPUTED_VALUE"""),"20170117FLFRE")</f>
        <v>20170117FLFRE</v>
      </c>
      <c r="B1052" s="5">
        <f ca="1">IFERROR(__xludf.DUMMYFUNCTION("""COMPUTED_VALUE"""),1)</f>
        <v>1</v>
      </c>
      <c r="C1052" s="5">
        <f ca="1">IFERROR(__xludf.DUMMYFUNCTION("""COMPUTED_VALUE"""),17)</f>
        <v>17</v>
      </c>
      <c r="D1052" s="5">
        <f ca="1">IFERROR(__xludf.DUMMYFUNCTION("""COMPUTED_VALUE"""),2017)</f>
        <v>2017</v>
      </c>
      <c r="E1052" s="8">
        <f ca="1">IFERROR(__xludf.DUMMYFUNCTION("""COMPUTED_VALUE"""),42752)</f>
        <v>42752</v>
      </c>
      <c r="F1052" s="5" t="str">
        <f ca="1">IFERROR(__xludf.DUMMYFUNCTION("""COMPUTED_VALUE"""),"Franklin County Elementary School")</f>
        <v>Franklin County Elementary School</v>
      </c>
      <c r="G1052" s="5">
        <f ca="1">IFERROR(__xludf.DUMMYFUNCTION("""COMPUTED_VALUE"""),0)</f>
        <v>0</v>
      </c>
      <c r="H1052" s="5">
        <f ca="1">IFERROR(__xludf.DUMMYFUNCTION("""COMPUTED_VALUE"""),0)</f>
        <v>0</v>
      </c>
      <c r="I1052" s="5">
        <f ca="1">IFERROR(__xludf.DUMMYFUNCTION("""COMPUTED_VALUE"""),0)</f>
        <v>0</v>
      </c>
      <c r="J1052" s="5">
        <f ca="1">IFERROR(__xludf.DUMMYFUNCTION("""COMPUTED_VALUE"""),0)</f>
        <v>0</v>
      </c>
      <c r="K1052" s="9" t="str">
        <f ca="1">IFERROR(__xludf.DUMMYFUNCTION("""COMPUTED_VALUE"""),"http://www.wtxl.com/news/gun-goes-off-at-franklin-county-school/article_5f86d63a-ddb1-11e6-b2c8-b722f449d29e.html")</f>
        <v>http://www.wtxl.com/news/gun-goes-off-at-franklin-county-school/article_5f86d63a-ddb1-11e6-b2c8-b722f449d29e.html</v>
      </c>
      <c r="L1052" s="5"/>
      <c r="M1052" s="5"/>
      <c r="N1052" s="5">
        <f ca="1">IFERROR(__xludf.DUMMYFUNCTION("""COMPUTED_VALUE"""),2)</f>
        <v>2</v>
      </c>
      <c r="O1052" s="5" t="str">
        <f ca="1">IFERROR(__xludf.DUMMYFUNCTION("""COMPUTED_VALUE"""),"Winter")</f>
        <v>Winter</v>
      </c>
      <c r="P1052" s="5" t="str">
        <f ca="1">IFERROR(__xludf.DUMMYFUNCTION("""COMPUTED_VALUE"""),"Eastpoint")</f>
        <v>Eastpoint</v>
      </c>
      <c r="Q1052" s="5" t="str">
        <f ca="1">IFERROR(__xludf.DUMMYFUNCTION("""COMPUTED_VALUE"""),"FL")</f>
        <v>FL</v>
      </c>
      <c r="R1052" s="5" t="str">
        <f ca="1">IFERROR(__xludf.DUMMYFUNCTION("""COMPUTED_VALUE"""),"Elementary")</f>
        <v>Elementary</v>
      </c>
      <c r="S1052" s="5" t="str">
        <f ca="1">IFERROR(__xludf.DUMMYFUNCTION("""COMPUTED_VALUE"""),"Parking Lot")</f>
        <v>Parking Lot</v>
      </c>
      <c r="T1052" s="5" t="str">
        <f ca="1">IFERROR(__xludf.DUMMYFUNCTION("""COMPUTED_VALUE"""),"Outside on School Property")</f>
        <v>Outside on School Property</v>
      </c>
      <c r="U1052" s="5" t="str">
        <f ca="1">IFERROR(__xludf.DUMMYFUNCTION("""COMPUTED_VALUE"""),"Yes")</f>
        <v>Yes</v>
      </c>
      <c r="V1052" s="5" t="str">
        <f ca="1">IFERROR(__xludf.DUMMYFUNCTION("""COMPUTED_VALUE"""),"Dismissal")</f>
        <v>Dismissal</v>
      </c>
      <c r="W1052" s="5"/>
      <c r="X1052" s="5">
        <f ca="1">IFERROR(__xludf.DUMMYFUNCTION("""COMPUTED_VALUE"""),1)</f>
        <v>1</v>
      </c>
      <c r="Y1052" s="5" t="str">
        <f ca="1">IFERROR(__xludf.DUMMYFUNCTION("""COMPUTED_VALUE"""),"Gun discharged in car while parent was picking child up")</f>
        <v>Gun discharged in car while parent was picking child up</v>
      </c>
      <c r="Z1052" s="5" t="str">
        <f ca="1">IFERROR(__xludf.DUMMYFUNCTION("""COMPUTED_VALUE"""),"Gun accidentally discharged in car while parent was picking child up. No injuries.")</f>
        <v>Gun accidentally discharged in car while parent was picking child up. No injuries.</v>
      </c>
      <c r="AA1052" s="5" t="str">
        <f ca="1">IFERROR(__xludf.DUMMYFUNCTION("""COMPUTED_VALUE"""),"Accidental")</f>
        <v>Accidental</v>
      </c>
      <c r="AB1052" s="5" t="str">
        <f ca="1">IFERROR(__xludf.DUMMYFUNCTION("""COMPUTED_VALUE"""),"Neither")</f>
        <v>Neither</v>
      </c>
      <c r="AC1052" s="5" t="str">
        <f ca="1">IFERROR(__xludf.DUMMYFUNCTION("""COMPUTED_VALUE"""),"No")</f>
        <v>No</v>
      </c>
      <c r="AD1052" s="5" t="str">
        <f ca="1">IFERROR(__xludf.DUMMYFUNCTION("""COMPUTED_VALUE"""),"No")</f>
        <v>No</v>
      </c>
      <c r="AE1052" s="5" t="str">
        <f ca="1">IFERROR(__xludf.DUMMYFUNCTION("""COMPUTED_VALUE"""),"No")</f>
        <v>No</v>
      </c>
      <c r="AF1052" s="5" t="str">
        <f ca="1">IFERROR(__xludf.DUMMYFUNCTION("""COMPUTED_VALUE"""),"No")</f>
        <v>No</v>
      </c>
      <c r="AG1052" s="5" t="str">
        <f ca="1">IFERROR(__xludf.DUMMYFUNCTION("""COMPUTED_VALUE"""),"No")</f>
        <v>No</v>
      </c>
      <c r="AH1052" s="5" t="str">
        <f ca="1">IFERROR(__xludf.DUMMYFUNCTION("""COMPUTED_VALUE"""),"No")</f>
        <v>No</v>
      </c>
      <c r="AI1052" s="5" t="str">
        <f ca="1">IFERROR(__xludf.DUMMYFUNCTION("""COMPUTED_VALUE"""),"No")</f>
        <v>No</v>
      </c>
      <c r="AJ1052" s="5" t="str">
        <f ca="1">IFERROR(__xludf.DUMMYFUNCTION("""COMPUTED_VALUE"""),"No")</f>
        <v>No</v>
      </c>
    </row>
    <row r="1053" spans="1:36" ht="13">
      <c r="A1053" s="5" t="str">
        <f ca="1">IFERROR(__xludf.DUMMYFUNCTION("""COMPUTED_VALUE"""),"20170110ALALA")</f>
        <v>20170110ALALA</v>
      </c>
      <c r="B1053" s="5">
        <f ca="1">IFERROR(__xludf.DUMMYFUNCTION("""COMPUTED_VALUE"""),1)</f>
        <v>1</v>
      </c>
      <c r="C1053" s="5">
        <f ca="1">IFERROR(__xludf.DUMMYFUNCTION("""COMPUTED_VALUE"""),10)</f>
        <v>10</v>
      </c>
      <c r="D1053" s="5">
        <f ca="1">IFERROR(__xludf.DUMMYFUNCTION("""COMPUTED_VALUE"""),2017)</f>
        <v>2017</v>
      </c>
      <c r="E1053" s="8">
        <f ca="1">IFERROR(__xludf.DUMMYFUNCTION("""COMPUTED_VALUE"""),42745)</f>
        <v>42745</v>
      </c>
      <c r="F1053" s="5" t="str">
        <f ca="1">IFERROR(__xludf.DUMMYFUNCTION("""COMPUTED_VALUE"""),"Alexander City Middle School")</f>
        <v>Alexander City Middle School</v>
      </c>
      <c r="G1053" s="5">
        <f ca="1">IFERROR(__xludf.DUMMYFUNCTION("""COMPUTED_VALUE"""),0)</f>
        <v>0</v>
      </c>
      <c r="H1053" s="5">
        <f ca="1">IFERROR(__xludf.DUMMYFUNCTION("""COMPUTED_VALUE"""),0)</f>
        <v>0</v>
      </c>
      <c r="I1053" s="5">
        <f ca="1">IFERROR(__xludf.DUMMYFUNCTION("""COMPUTED_VALUE"""),0)</f>
        <v>0</v>
      </c>
      <c r="J1053" s="5">
        <f ca="1">IFERROR(__xludf.DUMMYFUNCTION("""COMPUTED_VALUE"""),0)</f>
        <v>0</v>
      </c>
      <c r="K1053" s="9" t="str">
        <f ca="1">IFERROR(__xludf.DUMMYFUNCTION("""COMPUTED_VALUE"""),"http://www.alexcityoutlook.com/2017/01/09/two-students-taken-into-custody-after-gun-goes-off-at-middle-school/")</f>
        <v>http://www.alexcityoutlook.com/2017/01/09/two-students-taken-into-custody-after-gun-goes-off-at-middle-school/</v>
      </c>
      <c r="L1053" s="5"/>
      <c r="M1053" s="5"/>
      <c r="N1053" s="5">
        <f ca="1">IFERROR(__xludf.DUMMYFUNCTION("""COMPUTED_VALUE"""),2)</f>
        <v>2</v>
      </c>
      <c r="O1053" s="5" t="str">
        <f ca="1">IFERROR(__xludf.DUMMYFUNCTION("""COMPUTED_VALUE"""),"Winter")</f>
        <v>Winter</v>
      </c>
      <c r="P1053" s="5" t="str">
        <f ca="1">IFERROR(__xludf.DUMMYFUNCTION("""COMPUTED_VALUE"""),"Alexander City")</f>
        <v>Alexander City</v>
      </c>
      <c r="Q1053" s="5" t="str">
        <f ca="1">IFERROR(__xludf.DUMMYFUNCTION("""COMPUTED_VALUE"""),"AL")</f>
        <v>AL</v>
      </c>
      <c r="R1053" s="5" t="str">
        <f ca="1">IFERROR(__xludf.DUMMYFUNCTION("""COMPUTED_VALUE"""),"Middle")</f>
        <v>Middle</v>
      </c>
      <c r="S1053" s="5" t="str">
        <f ca="1">IFERROR(__xludf.DUMMYFUNCTION("""COMPUTED_VALUE"""),"Inside School Building")</f>
        <v>Inside School Building</v>
      </c>
      <c r="T1053" s="5" t="str">
        <f ca="1">IFERROR(__xludf.DUMMYFUNCTION("""COMPUTED_VALUE"""),"Inside School Building")</f>
        <v>Inside School Building</v>
      </c>
      <c r="U1053" s="5" t="str">
        <f ca="1">IFERROR(__xludf.DUMMYFUNCTION("""COMPUTED_VALUE"""),"Yes")</f>
        <v>Yes</v>
      </c>
      <c r="V1053" s="5" t="str">
        <f ca="1">IFERROR(__xludf.DUMMYFUNCTION("""COMPUTED_VALUE"""),"Afternoon Classes")</f>
        <v>Afternoon Classes</v>
      </c>
      <c r="W1053" s="10">
        <f ca="1">IFERROR(__xludf.DUMMYFUNCTION("""COMPUTED_VALUE"""),0.541666666666666)</f>
        <v>0.54166666666666596</v>
      </c>
      <c r="X1053" s="5">
        <f ca="1">IFERROR(__xludf.DUMMYFUNCTION("""COMPUTED_VALUE"""),1)</f>
        <v>1</v>
      </c>
      <c r="Y1053" s="5" t="str">
        <f ca="1">IFERROR(__xludf.DUMMYFUNCTION("""COMPUTED_VALUE"""),"Student showing off gun, accidentally discharged")</f>
        <v>Student showing off gun, accidentally discharged</v>
      </c>
      <c r="Z1053" s="5" t="str">
        <f ca="1">IFERROR(__xludf.DUMMYFUNCTION("""COMPUTED_VALUE"""),"Gun fired while student was showing it off two other student. SRO was in the area and took custody of the weapon then detained both students. No injuries.")</f>
        <v>Gun fired while student was showing it off two other student. SRO was in the area and took custody of the weapon then detained both students. No injuries.</v>
      </c>
      <c r="AA1053" s="5" t="str">
        <f ca="1">IFERROR(__xludf.DUMMYFUNCTION("""COMPUTED_VALUE"""),"Accidental")</f>
        <v>Accidental</v>
      </c>
      <c r="AB1053" s="5" t="str">
        <f ca="1">IFERROR(__xludf.DUMMYFUNCTION("""COMPUTED_VALUE"""),"Neither")</f>
        <v>Neither</v>
      </c>
      <c r="AC1053" s="5" t="str">
        <f ca="1">IFERROR(__xludf.DUMMYFUNCTION("""COMPUTED_VALUE"""),"No")</f>
        <v>No</v>
      </c>
      <c r="AD1053" s="5" t="str">
        <f ca="1">IFERROR(__xludf.DUMMYFUNCTION("""COMPUTED_VALUE"""),"No")</f>
        <v>No</v>
      </c>
      <c r="AE1053" s="5" t="str">
        <f ca="1">IFERROR(__xludf.DUMMYFUNCTION("""COMPUTED_VALUE"""),"No")</f>
        <v>No</v>
      </c>
      <c r="AF1053" s="5" t="str">
        <f ca="1">IFERROR(__xludf.DUMMYFUNCTION("""COMPUTED_VALUE"""),"No")</f>
        <v>No</v>
      </c>
      <c r="AG1053" s="5" t="str">
        <f ca="1">IFERROR(__xludf.DUMMYFUNCTION("""COMPUTED_VALUE"""),"No")</f>
        <v>No</v>
      </c>
      <c r="AH1053" s="5" t="str">
        <f ca="1">IFERROR(__xludf.DUMMYFUNCTION("""COMPUTED_VALUE"""),"No")</f>
        <v>No</v>
      </c>
      <c r="AI1053" s="5" t="str">
        <f ca="1">IFERROR(__xludf.DUMMYFUNCTION("""COMPUTED_VALUE"""),"No")</f>
        <v>No</v>
      </c>
      <c r="AJ1053" s="5" t="str">
        <f ca="1">IFERROR(__xludf.DUMMYFUNCTION("""COMPUTED_VALUE"""),"No")</f>
        <v>No</v>
      </c>
    </row>
    <row r="1054" spans="1:36" ht="13">
      <c r="A1054" s="5" t="str">
        <f ca="1">IFERROR(__xludf.DUMMYFUNCTION("""COMPUTED_VALUE"""),"20170101DELAH")</f>
        <v>20170101DELAH</v>
      </c>
      <c r="B1054" s="5">
        <f ca="1">IFERROR(__xludf.DUMMYFUNCTION("""COMPUTED_VALUE"""),1)</f>
        <v>1</v>
      </c>
      <c r="C1054" s="5">
        <f ca="1">IFERROR(__xludf.DUMMYFUNCTION("""COMPUTED_VALUE"""),1)</f>
        <v>1</v>
      </c>
      <c r="D1054" s="5">
        <f ca="1">IFERROR(__xludf.DUMMYFUNCTION("""COMPUTED_VALUE"""),2017)</f>
        <v>2017</v>
      </c>
      <c r="E1054" s="8">
        <f ca="1">IFERROR(__xludf.DUMMYFUNCTION("""COMPUTED_VALUE"""),42736)</f>
        <v>42736</v>
      </c>
      <c r="F1054" s="5" t="str">
        <f ca="1">IFERROR(__xludf.DUMMYFUNCTION("""COMPUTED_VALUE"""),"Lake Forest South Elementary School")</f>
        <v>Lake Forest South Elementary School</v>
      </c>
      <c r="G1054" s="5">
        <f ca="1">IFERROR(__xludf.DUMMYFUNCTION("""COMPUTED_VALUE"""),0)</f>
        <v>0</v>
      </c>
      <c r="H1054" s="5">
        <f ca="1">IFERROR(__xludf.DUMMYFUNCTION("""COMPUTED_VALUE"""),1)</f>
        <v>1</v>
      </c>
      <c r="I1054" s="5">
        <f ca="1">IFERROR(__xludf.DUMMYFUNCTION("""COMPUTED_VALUE"""),1)</f>
        <v>1</v>
      </c>
      <c r="J1054" s="5">
        <f ca="1">IFERROR(__xludf.DUMMYFUNCTION("""COMPUTED_VALUE"""),0)</f>
        <v>0</v>
      </c>
      <c r="K1054" s="5" t="str">
        <f ca="1">IFERROR(__xludf.DUMMYFUNCTION("""COMPUTED_VALUE"""),"https://www.newspapers.com/image/255982409/?terms=shot%2Bin%2Bschool%2Bparking%2Blot; http://www.wboc.com/story/34181932/dover-man-arrested-for-harrington-shooting")</f>
        <v>https://www.newspapers.com/image/255982409/?terms=shot%2Bin%2Bschool%2Bparking%2Blot; http://www.wboc.com/story/34181932/dover-man-arrested-for-harrington-shooting</v>
      </c>
      <c r="L1054" s="5"/>
      <c r="M1054" s="5"/>
      <c r="N1054" s="5">
        <f ca="1">IFERROR(__xludf.DUMMYFUNCTION("""COMPUTED_VALUE"""),2)</f>
        <v>2</v>
      </c>
      <c r="O1054" s="5" t="str">
        <f ca="1">IFERROR(__xludf.DUMMYFUNCTION("""COMPUTED_VALUE"""),"Winter")</f>
        <v>Winter</v>
      </c>
      <c r="P1054" s="5" t="str">
        <f ca="1">IFERROR(__xludf.DUMMYFUNCTION("""COMPUTED_VALUE"""),"Harrington")</f>
        <v>Harrington</v>
      </c>
      <c r="Q1054" s="5" t="str">
        <f ca="1">IFERROR(__xludf.DUMMYFUNCTION("""COMPUTED_VALUE"""),"DE")</f>
        <v>DE</v>
      </c>
      <c r="R1054" s="5" t="str">
        <f ca="1">IFERROR(__xludf.DUMMYFUNCTION("""COMPUTED_VALUE"""),"Elementary")</f>
        <v>Elementary</v>
      </c>
      <c r="S1054" s="5" t="str">
        <f ca="1">IFERROR(__xludf.DUMMYFUNCTION("""COMPUTED_VALUE"""),"Field (General)")</f>
        <v>Field (General)</v>
      </c>
      <c r="T1054" s="5" t="str">
        <f ca="1">IFERROR(__xludf.DUMMYFUNCTION("""COMPUTED_VALUE"""),"Outside on School Property")</f>
        <v>Outside on School Property</v>
      </c>
      <c r="U1054" s="5" t="str">
        <f ca="1">IFERROR(__xludf.DUMMYFUNCTION("""COMPUTED_VALUE"""),"No")</f>
        <v>No</v>
      </c>
      <c r="V1054" s="5" t="str">
        <f ca="1">IFERROR(__xludf.DUMMYFUNCTION("""COMPUTED_VALUE"""),"Not a School Day")</f>
        <v>Not a School Day</v>
      </c>
      <c r="W1054" s="10">
        <f ca="1">IFERROR(__xludf.DUMMYFUNCTION("""COMPUTED_VALUE"""),0.666666666666666)</f>
        <v>0.66666666666666596</v>
      </c>
      <c r="X1054" s="5">
        <f ca="1">IFERROR(__xludf.DUMMYFUNCTION("""COMPUTED_VALUE"""),1)</f>
        <v>1</v>
      </c>
      <c r="Y1054" s="5" t="str">
        <f ca="1">IFERROR(__xludf.DUMMYFUNCTION("""COMPUTED_VALUE"""),"Fight broke out among teens playing football on school grounds")</f>
        <v>Fight broke out among teens playing football on school grounds</v>
      </c>
      <c r="Z1054" s="5" t="str">
        <f ca="1">IFERROR(__xludf.DUMMYFUNCTION("""COMPUTED_VALUE"""),"A group of teens were playing football on school grounds when they got into a fight with another group of teens. Someone pulled a handgun and fired into the crowd, striking the victim in both legs. The shooter then gave the gun to another mn to get rid of"&amp;". Both shooter and accomplice were located, arrested, and charged.")</f>
        <v>A group of teens were playing football on school grounds when they got into a fight with another group of teens. Someone pulled a handgun and fired into the crowd, striking the victim in both legs. The shooter then gave the gun to another mn to get rid of. Both shooter and accomplice were located, arrested, and charged.</v>
      </c>
      <c r="AA1054" s="5" t="str">
        <f ca="1">IFERROR(__xludf.DUMMYFUNCTION("""COMPUTED_VALUE"""),"Escalation of Dispute")</f>
        <v>Escalation of Dispute</v>
      </c>
      <c r="AB1054" s="5"/>
      <c r="AC1054" s="5" t="str">
        <f ca="1">IFERROR(__xludf.DUMMYFUNCTION("""COMPUTED_VALUE"""),"Yes")</f>
        <v>Yes</v>
      </c>
      <c r="AD1054" s="5" t="str">
        <f ca="1">IFERROR(__xludf.DUMMYFUNCTION("""COMPUTED_VALUE"""),"No")</f>
        <v>No</v>
      </c>
      <c r="AE1054" s="5" t="str">
        <f ca="1">IFERROR(__xludf.DUMMYFUNCTION("""COMPUTED_VALUE"""),"No")</f>
        <v>No</v>
      </c>
      <c r="AF1054" s="5" t="str">
        <f ca="1">IFERROR(__xludf.DUMMYFUNCTION("""COMPUTED_VALUE"""),"No")</f>
        <v>No</v>
      </c>
      <c r="AG1054" s="5" t="str">
        <f ca="1">IFERROR(__xludf.DUMMYFUNCTION("""COMPUTED_VALUE"""),"No")</f>
        <v>No</v>
      </c>
      <c r="AH1054" s="5" t="str">
        <f ca="1">IFERROR(__xludf.DUMMYFUNCTION("""COMPUTED_VALUE"""),"No")</f>
        <v>No</v>
      </c>
      <c r="AI1054" s="5" t="str">
        <f ca="1">IFERROR(__xludf.DUMMYFUNCTION("""COMPUTED_VALUE"""),"No")</f>
        <v>No</v>
      </c>
      <c r="AJ1054" s="5" t="str">
        <f ca="1">IFERROR(__xludf.DUMMYFUNCTION("""COMPUTED_VALUE"""),"No")</f>
        <v>No</v>
      </c>
    </row>
    <row r="1055" spans="1:36" ht="13">
      <c r="A1055" s="5" t="str">
        <f ca="1">IFERROR(__xludf.DUMMYFUNCTION("""COMPUTED_VALUE"""),"20161216FLSAJ")</f>
        <v>20161216FLSAJ</v>
      </c>
      <c r="B1055" s="5">
        <f ca="1">IFERROR(__xludf.DUMMYFUNCTION("""COMPUTED_VALUE"""),12)</f>
        <v>12</v>
      </c>
      <c r="C1055" s="5">
        <f ca="1">IFERROR(__xludf.DUMMYFUNCTION("""COMPUTED_VALUE"""),16)</f>
        <v>16</v>
      </c>
      <c r="D1055" s="5">
        <f ca="1">IFERROR(__xludf.DUMMYFUNCTION("""COMPUTED_VALUE"""),2016)</f>
        <v>2016</v>
      </c>
      <c r="E1055" s="8">
        <f ca="1">IFERROR(__xludf.DUMMYFUNCTION("""COMPUTED_VALUE"""),42720)</f>
        <v>42720</v>
      </c>
      <c r="F1055" s="5" t="str">
        <f ca="1">IFERROR(__xludf.DUMMYFUNCTION("""COMPUTED_VALUE"""),"Samuel W. Wolfson High School")</f>
        <v>Samuel W. Wolfson High School</v>
      </c>
      <c r="G1055" s="5">
        <f ca="1">IFERROR(__xludf.DUMMYFUNCTION("""COMPUTED_VALUE"""),0)</f>
        <v>0</v>
      </c>
      <c r="H1055" s="5">
        <f ca="1">IFERROR(__xludf.DUMMYFUNCTION("""COMPUTED_VALUE"""),0)</f>
        <v>0</v>
      </c>
      <c r="I1055" s="5">
        <f ca="1">IFERROR(__xludf.DUMMYFUNCTION("""COMPUTED_VALUE"""),0)</f>
        <v>0</v>
      </c>
      <c r="J1055" s="5">
        <f ca="1">IFERROR(__xludf.DUMMYFUNCTION("""COMPUTED_VALUE"""),0)</f>
        <v>0</v>
      </c>
      <c r="K1055" s="5" t="str">
        <f ca="1">IFERROR(__xludf.DUMMYFUNCTION("""COMPUTED_VALUE"""),"https://www.actionnewsjax.com/news/local/police-shots-fired-into-a-jacksonville-school-bus/476620032/ https://www.news4jax.com/news/2016/12/18/police-17-year-old-arrested-in-school-bus-shooting/")</f>
        <v>https://www.actionnewsjax.com/news/local/police-shots-fired-into-a-jacksonville-school-bus/476620032/ https://www.news4jax.com/news/2016/12/18/police-17-year-old-arrested-in-school-bus-shooting/</v>
      </c>
      <c r="L1055" s="5">
        <f ca="1">IFERROR(__xludf.DUMMYFUNCTION("""COMPUTED_VALUE"""),2)</f>
        <v>2</v>
      </c>
      <c r="M1055" s="5" t="str">
        <f ca="1">IFERROR(__xludf.DUMMYFUNCTION("""COMPUTED_VALUE"""),"Local")</f>
        <v>Local</v>
      </c>
      <c r="N1055" s="5">
        <f ca="1">IFERROR(__xludf.DUMMYFUNCTION("""COMPUTED_VALUE"""),4)</f>
        <v>4</v>
      </c>
      <c r="O1055" s="5" t="str">
        <f ca="1">IFERROR(__xludf.DUMMYFUNCTION("""COMPUTED_VALUE"""),"Winter")</f>
        <v>Winter</v>
      </c>
      <c r="P1055" s="5" t="str">
        <f ca="1">IFERROR(__xludf.DUMMYFUNCTION("""COMPUTED_VALUE"""),"Jacksonville")</f>
        <v>Jacksonville</v>
      </c>
      <c r="Q1055" s="5" t="str">
        <f ca="1">IFERROR(__xludf.DUMMYFUNCTION("""COMPUTED_VALUE"""),"FL")</f>
        <v>FL</v>
      </c>
      <c r="R1055" s="5" t="str">
        <f ca="1">IFERROR(__xludf.DUMMYFUNCTION("""COMPUTED_VALUE"""),"High")</f>
        <v>High</v>
      </c>
      <c r="S1055" s="5" t="str">
        <f ca="1">IFERROR(__xludf.DUMMYFUNCTION("""COMPUTED_VALUE"""),"School Bus")</f>
        <v>School Bus</v>
      </c>
      <c r="T1055" s="5" t="str">
        <f ca="1">IFERROR(__xludf.DUMMYFUNCTION("""COMPUTED_VALUE"""),"School Bus")</f>
        <v>School Bus</v>
      </c>
      <c r="U1055" s="5" t="str">
        <f ca="1">IFERROR(__xludf.DUMMYFUNCTION("""COMPUTED_VALUE"""),"Yes")</f>
        <v>Yes</v>
      </c>
      <c r="V1055" s="5" t="str">
        <f ca="1">IFERROR(__xludf.DUMMYFUNCTION("""COMPUTED_VALUE"""),"Dismissal")</f>
        <v>Dismissal</v>
      </c>
      <c r="W1055" s="10">
        <f ca="1">IFERROR(__xludf.DUMMYFUNCTION("""COMPUTED_VALUE"""),0.618055555555555)</f>
        <v>0.61805555555555503</v>
      </c>
      <c r="X1055" s="5">
        <f ca="1">IFERROR(__xludf.DUMMYFUNCTION("""COMPUTED_VALUE"""),1)</f>
        <v>1</v>
      </c>
      <c r="Y1055" s="5" t="str">
        <f ca="1">IFERROR(__xludf.DUMMYFUNCTION("""COMPUTED_VALUE"""),"Teen shot BB gun at bus breaking window and injuring student inside")</f>
        <v>Teen shot BB gun at bus breaking window and injuring student inside</v>
      </c>
      <c r="Z1055" s="5" t="str">
        <f ca="1">IFERROR(__xludf.DUMMYFUNCTION("""COMPUTED_VALUE"""),"A 17 year-old male student fired a BB gun at the school bus which broke a window and injured a student inside. Teen was arrested and charged with a felony.")</f>
        <v>A 17 year-old male student fired a BB gun at the school bus which broke a window and injured a student inside. Teen was arrested and charged with a felony.</v>
      </c>
      <c r="AA1055" s="5" t="str">
        <f ca="1">IFERROR(__xludf.DUMMYFUNCTION("""COMPUTED_VALUE"""),"Intentional Property Damage")</f>
        <v>Intentional Property Damage</v>
      </c>
      <c r="AB1055" s="5" t="str">
        <f ca="1">IFERROR(__xludf.DUMMYFUNCTION("""COMPUTED_VALUE"""),"Random Shooting")</f>
        <v>Random Shooting</v>
      </c>
      <c r="AC1055" s="5" t="str">
        <f ca="1">IFERROR(__xludf.DUMMYFUNCTION("""COMPUTED_VALUE"""),"No")</f>
        <v>No</v>
      </c>
      <c r="AD1055" s="5" t="str">
        <f ca="1">IFERROR(__xludf.DUMMYFUNCTION("""COMPUTED_VALUE"""),"No")</f>
        <v>No</v>
      </c>
      <c r="AE1055" s="5" t="str">
        <f ca="1">IFERROR(__xludf.DUMMYFUNCTION("""COMPUTED_VALUE"""),"No")</f>
        <v>No</v>
      </c>
      <c r="AF1055" s="5" t="str">
        <f ca="1">IFERROR(__xludf.DUMMYFUNCTION("""COMPUTED_VALUE"""),"No")</f>
        <v>No</v>
      </c>
      <c r="AG1055" s="5" t="str">
        <f ca="1">IFERROR(__xludf.DUMMYFUNCTION("""COMPUTED_VALUE"""),"No")</f>
        <v>No</v>
      </c>
      <c r="AH1055" s="5" t="str">
        <f ca="1">IFERROR(__xludf.DUMMYFUNCTION("""COMPUTED_VALUE"""),"No")</f>
        <v>No</v>
      </c>
      <c r="AI1055" s="5" t="str">
        <f ca="1">IFERROR(__xludf.DUMMYFUNCTION("""COMPUTED_VALUE"""),"No")</f>
        <v>No</v>
      </c>
      <c r="AJ1055" s="5" t="str">
        <f ca="1">IFERROR(__xludf.DUMMYFUNCTION("""COMPUTED_VALUE"""),"No")</f>
        <v>No</v>
      </c>
    </row>
    <row r="1056" spans="1:36" ht="13">
      <c r="A1056" s="5" t="str">
        <f ca="1">IFERROR(__xludf.DUMMYFUNCTION("""COMPUTED_VALUE"""),"20161209NVHUR")</f>
        <v>20161209NVHUR</v>
      </c>
      <c r="B1056" s="5">
        <f ca="1">IFERROR(__xludf.DUMMYFUNCTION("""COMPUTED_VALUE"""),12)</f>
        <v>12</v>
      </c>
      <c r="C1056" s="5">
        <f ca="1">IFERROR(__xludf.DUMMYFUNCTION("""COMPUTED_VALUE"""),9)</f>
        <v>9</v>
      </c>
      <c r="D1056" s="5">
        <f ca="1">IFERROR(__xludf.DUMMYFUNCTION("""COMPUTED_VALUE"""),2016)</f>
        <v>2016</v>
      </c>
      <c r="E1056" s="8">
        <f ca="1">IFERROR(__xludf.DUMMYFUNCTION("""COMPUTED_VALUE"""),42713)</f>
        <v>42713</v>
      </c>
      <c r="F1056" s="5" t="str">
        <f ca="1">IFERROR(__xludf.DUMMYFUNCTION("""COMPUTED_VALUE"""),"Hug High School")</f>
        <v>Hug High School</v>
      </c>
      <c r="G1056" s="5">
        <f ca="1">IFERROR(__xludf.DUMMYFUNCTION("""COMPUTED_VALUE"""),0)</f>
        <v>0</v>
      </c>
      <c r="H1056" s="5">
        <f ca="1">IFERROR(__xludf.DUMMYFUNCTION("""COMPUTED_VALUE"""),1)</f>
        <v>1</v>
      </c>
      <c r="I1056" s="5">
        <f ca="1">IFERROR(__xludf.DUMMYFUNCTION("""COMPUTED_VALUE"""),1)</f>
        <v>1</v>
      </c>
      <c r="J1056" s="5">
        <f ca="1">IFERROR(__xludf.DUMMYFUNCTION("""COMPUTED_VALUE"""),0)</f>
        <v>0</v>
      </c>
      <c r="K1056" s="5" t="str">
        <f ca="1">IFERROR(__xludf.DUMMYFUNCTION("""COMPUTED_VALUE"""),"https://www.rgj.com/story/news/education/2018/04/10/judge-orders-hug-high-student-who-shot-police-texas-treatment-center/505063002/   https://www.cbsnews.com/news/nevada-teen-shot-by-school-police-logan-clark-speaks-out/   https://www.newspapers.com/image"&amp;"/250043890/?terms=logan%2Bclark")</f>
        <v>https://www.rgj.com/story/news/education/2018/04/10/judge-orders-hug-high-student-who-shot-police-texas-treatment-center/505063002/   https://www.cbsnews.com/news/nevada-teen-shot-by-school-police-logan-clark-speaks-out/   https://www.newspapers.com/image/250043890/?terms=logan%2Bclark</v>
      </c>
      <c r="L1056" s="5"/>
      <c r="M1056" s="5"/>
      <c r="N1056" s="5">
        <f ca="1">IFERROR(__xludf.DUMMYFUNCTION("""COMPUTED_VALUE"""),3)</f>
        <v>3</v>
      </c>
      <c r="O1056" s="5" t="str">
        <f ca="1">IFERROR(__xludf.DUMMYFUNCTION("""COMPUTED_VALUE"""),"Winter")</f>
        <v>Winter</v>
      </c>
      <c r="P1056" s="5" t="str">
        <f ca="1">IFERROR(__xludf.DUMMYFUNCTION("""COMPUTED_VALUE"""),"Reno")</f>
        <v>Reno</v>
      </c>
      <c r="Q1056" s="5" t="str">
        <f ca="1">IFERROR(__xludf.DUMMYFUNCTION("""COMPUTED_VALUE"""),"NV")</f>
        <v>NV</v>
      </c>
      <c r="R1056" s="5" t="str">
        <f ca="1">IFERROR(__xludf.DUMMYFUNCTION("""COMPUTED_VALUE"""),"High")</f>
        <v>High</v>
      </c>
      <c r="S1056" s="5" t="str">
        <f ca="1">IFERROR(__xludf.DUMMYFUNCTION("""COMPUTED_VALUE"""),"Outside on School Property")</f>
        <v>Outside on School Property</v>
      </c>
      <c r="T1056" s="5" t="str">
        <f ca="1">IFERROR(__xludf.DUMMYFUNCTION("""COMPUTED_VALUE"""),"Outside on School Property")</f>
        <v>Outside on School Property</v>
      </c>
      <c r="U1056" s="5" t="str">
        <f ca="1">IFERROR(__xludf.DUMMYFUNCTION("""COMPUTED_VALUE"""),"Yes")</f>
        <v>Yes</v>
      </c>
      <c r="V1056" s="5" t="str">
        <f ca="1">IFERROR(__xludf.DUMMYFUNCTION("""COMPUTED_VALUE"""),"Morning Classes")</f>
        <v>Morning Classes</v>
      </c>
      <c r="W1056" s="10">
        <f ca="1">IFERROR(__xludf.DUMMYFUNCTION("""COMPUTED_VALUE"""),0.475694444444444)</f>
        <v>0.47569444444444398</v>
      </c>
      <c r="X1056" s="5">
        <f ca="1">IFERROR(__xludf.DUMMYFUNCTION("""COMPUTED_VALUE"""),1)</f>
        <v>1</v>
      </c>
      <c r="Y1056" s="5" t="str">
        <f ca="1">IFERROR(__xludf.DUMMYFUNCTION("""COMPUTED_VALUE"""),"Officer shot student holding knife")</f>
        <v>Officer shot student holding knife</v>
      </c>
      <c r="Z1056" s="5" t="str">
        <f ca="1">IFERROR(__xludf.DUMMYFUNCTION("""COMPUTED_VALUE"""),"Police officer shot a 14 year old student who was threatening other students with knives. Victim said he took knives to school after repeated bullying.")</f>
        <v>Police officer shot a 14 year old student who was threatening other students with knives. Victim said he took knives to school after repeated bullying.</v>
      </c>
      <c r="AA1056" s="5" t="str">
        <f ca="1">IFERROR(__xludf.DUMMYFUNCTION("""COMPUTED_VALUE"""),"Self-defense")</f>
        <v>Self-defense</v>
      </c>
      <c r="AB1056" s="5" t="str">
        <f ca="1">IFERROR(__xludf.DUMMYFUNCTION("""COMPUTED_VALUE"""),"Victims Targeted")</f>
        <v>Victims Targeted</v>
      </c>
      <c r="AC1056" s="5" t="str">
        <f ca="1">IFERROR(__xludf.DUMMYFUNCTION("""COMPUTED_VALUE"""),"No")</f>
        <v>No</v>
      </c>
      <c r="AD1056" s="5" t="str">
        <f ca="1">IFERROR(__xludf.DUMMYFUNCTION("""COMPUTED_VALUE"""),"No")</f>
        <v>No</v>
      </c>
      <c r="AE1056" s="5" t="str">
        <f ca="1">IFERROR(__xludf.DUMMYFUNCTION("""COMPUTED_VALUE"""),"No")</f>
        <v>No</v>
      </c>
      <c r="AF1056" s="5" t="str">
        <f ca="1">IFERROR(__xludf.DUMMYFUNCTION("""COMPUTED_VALUE"""),"Yes")</f>
        <v>Yes</v>
      </c>
      <c r="AG1056" s="5"/>
      <c r="AH1056" s="5"/>
      <c r="AI1056" s="5"/>
      <c r="AJ1056" s="5" t="str">
        <f ca="1">IFERROR(__xludf.DUMMYFUNCTION("""COMPUTED_VALUE"""),"No")</f>
        <v>No</v>
      </c>
    </row>
    <row r="1057" spans="1:36" ht="13">
      <c r="A1057" s="5" t="str">
        <f ca="1">IFERROR(__xludf.DUMMYFUNCTION("""COMPUTED_VALUE"""),"20161209MOBAS")</f>
        <v>20161209MOBAS</v>
      </c>
      <c r="B1057" s="5">
        <f ca="1">IFERROR(__xludf.DUMMYFUNCTION("""COMPUTED_VALUE"""),12)</f>
        <v>12</v>
      </c>
      <c r="C1057" s="5">
        <f ca="1">IFERROR(__xludf.DUMMYFUNCTION("""COMPUTED_VALUE"""),9)</f>
        <v>9</v>
      </c>
      <c r="D1057" s="5">
        <f ca="1">IFERROR(__xludf.DUMMYFUNCTION("""COMPUTED_VALUE"""),2016)</f>
        <v>2016</v>
      </c>
      <c r="E1057" s="8">
        <f ca="1">IFERROR(__xludf.DUMMYFUNCTION("""COMPUTED_VALUE"""),42713)</f>
        <v>42713</v>
      </c>
      <c r="F1057" s="5" t="str">
        <f ca="1">IFERROR(__xludf.DUMMYFUNCTION("""COMPUTED_VALUE"""),"Bayless High School")</f>
        <v>Bayless High School</v>
      </c>
      <c r="G1057" s="5">
        <f ca="1">IFERROR(__xludf.DUMMYFUNCTION("""COMPUTED_VALUE"""),0)</f>
        <v>0</v>
      </c>
      <c r="H1057" s="5">
        <f ca="1">IFERROR(__xludf.DUMMYFUNCTION("""COMPUTED_VALUE"""),1)</f>
        <v>1</v>
      </c>
      <c r="I1057" s="5">
        <f ca="1">IFERROR(__xludf.DUMMYFUNCTION("""COMPUTED_VALUE"""),1)</f>
        <v>1</v>
      </c>
      <c r="J1057" s="5">
        <f ca="1">IFERROR(__xludf.DUMMYFUNCTION("""COMPUTED_VALUE"""),0)</f>
        <v>0</v>
      </c>
      <c r="K1057" s="5" t="str">
        <f ca="1">IFERROR(__xludf.DUMMYFUNCTION("""COMPUTED_VALUE"""),"https://fox2now.com/2016/12/09/person-shot-on-bayless-high-school-campus-basketball-game-cancelled/ .   https://www.ksdk.com/article/news/local/high-school-shooting-linked-to-5-debt/63-367748785")</f>
        <v>https://fox2now.com/2016/12/09/person-shot-on-bayless-high-school-campus-basketball-game-cancelled/ .   https://www.ksdk.com/article/news/local/high-school-shooting-linked-to-5-debt/63-367748785</v>
      </c>
      <c r="L1057" s="5"/>
      <c r="M1057" s="5"/>
      <c r="N1057" s="5">
        <f ca="1">IFERROR(__xludf.DUMMYFUNCTION("""COMPUTED_VALUE"""),5)</f>
        <v>5</v>
      </c>
      <c r="O1057" s="5" t="str">
        <f ca="1">IFERROR(__xludf.DUMMYFUNCTION("""COMPUTED_VALUE"""),"Winter")</f>
        <v>Winter</v>
      </c>
      <c r="P1057" s="5" t="str">
        <f ca="1">IFERROR(__xludf.DUMMYFUNCTION("""COMPUTED_VALUE"""),"St. Louis")</f>
        <v>St. Louis</v>
      </c>
      <c r="Q1057" s="5" t="str">
        <f ca="1">IFERROR(__xludf.DUMMYFUNCTION("""COMPUTED_VALUE"""),"MO")</f>
        <v>MO</v>
      </c>
      <c r="R1057" s="5" t="str">
        <f ca="1">IFERROR(__xludf.DUMMYFUNCTION("""COMPUTED_VALUE"""),"High")</f>
        <v>High</v>
      </c>
      <c r="S1057" s="5" t="str">
        <f ca="1">IFERROR(__xludf.DUMMYFUNCTION("""COMPUTED_VALUE"""),"Gym")</f>
        <v>Gym</v>
      </c>
      <c r="T1057" s="5" t="str">
        <f ca="1">IFERROR(__xludf.DUMMYFUNCTION("""COMPUTED_VALUE"""),"Inside School Building")</f>
        <v>Inside School Building</v>
      </c>
      <c r="U1057" s="5" t="str">
        <f ca="1">IFERROR(__xludf.DUMMYFUNCTION("""COMPUTED_VALUE"""),"No")</f>
        <v>No</v>
      </c>
      <c r="V1057" s="5" t="str">
        <f ca="1">IFERROR(__xludf.DUMMYFUNCTION("""COMPUTED_VALUE"""),"Sport Event")</f>
        <v>Sport Event</v>
      </c>
      <c r="W1057" s="10">
        <f ca="1">IFERROR(__xludf.DUMMYFUNCTION("""COMPUTED_VALUE"""),0.802083333333333)</f>
        <v>0.80208333333333304</v>
      </c>
      <c r="X1057" s="5">
        <f ca="1">IFERROR(__xludf.DUMMYFUNCTION("""COMPUTED_VALUE"""),1)</f>
        <v>1</v>
      </c>
      <c r="Y1057" s="5" t="str">
        <f ca="1">IFERROR(__xludf.DUMMYFUNCTION("""COMPUTED_VALUE"""),"Fight ensued over a $5 debt")</f>
        <v>Fight ensued over a $5 debt</v>
      </c>
      <c r="Z1057" s="5" t="str">
        <f ca="1">IFERROR(__xludf.DUMMYFUNCTION("""COMPUTED_VALUE"""),"Three men entered the gym during a basketball game, confronted the victim about a $5 debt, shot him once, and fled the area. No suspect identified.")</f>
        <v>Three men entered the gym during a basketball game, confronted the victim about a $5 debt, shot him once, and fled the area. No suspect identified.</v>
      </c>
      <c r="AA1057" s="5" t="str">
        <f ca="1">IFERROR(__xludf.DUMMYFUNCTION("""COMPUTED_VALUE"""),"Escalation of Dispute")</f>
        <v>Escalation of Dispute</v>
      </c>
      <c r="AB1057" s="5" t="str">
        <f ca="1">IFERROR(__xludf.DUMMYFUNCTION("""COMPUTED_VALUE"""),"Victims Targeted")</f>
        <v>Victims Targeted</v>
      </c>
      <c r="AC1057" s="5" t="str">
        <f ca="1">IFERROR(__xludf.DUMMYFUNCTION("""COMPUTED_VALUE"""),"Yes")</f>
        <v>Yes</v>
      </c>
      <c r="AD1057" s="5" t="str">
        <f ca="1">IFERROR(__xludf.DUMMYFUNCTION("""COMPUTED_VALUE"""),"No")</f>
        <v>No</v>
      </c>
      <c r="AE1057" s="5" t="str">
        <f ca="1">IFERROR(__xludf.DUMMYFUNCTION("""COMPUTED_VALUE"""),"No")</f>
        <v>No</v>
      </c>
      <c r="AF1057" s="5" t="str">
        <f ca="1">IFERROR(__xludf.DUMMYFUNCTION("""COMPUTED_VALUE"""),"No")</f>
        <v>No</v>
      </c>
      <c r="AG1057" s="5" t="str">
        <f ca="1">IFERROR(__xludf.DUMMYFUNCTION("""COMPUTED_VALUE"""),"No")</f>
        <v>No</v>
      </c>
      <c r="AH1057" s="5" t="str">
        <f ca="1">IFERROR(__xludf.DUMMYFUNCTION("""COMPUTED_VALUE"""),"No")</f>
        <v>No</v>
      </c>
      <c r="AI1057" s="5" t="str">
        <f ca="1">IFERROR(__xludf.DUMMYFUNCTION("""COMPUTED_VALUE"""),"No")</f>
        <v>No</v>
      </c>
      <c r="AJ1057" s="5" t="str">
        <f ca="1">IFERROR(__xludf.DUMMYFUNCTION("""COMPUTED_VALUE"""),"No")</f>
        <v>No</v>
      </c>
    </row>
    <row r="1058" spans="1:36" ht="13">
      <c r="A1058" s="5" t="str">
        <f ca="1">IFERROR(__xludf.DUMMYFUNCTION("""COMPUTED_VALUE"""),"20161201UTMUB")</f>
        <v>20161201UTMUB</v>
      </c>
      <c r="B1058" s="5">
        <f ca="1">IFERROR(__xludf.DUMMYFUNCTION("""COMPUTED_VALUE"""),12)</f>
        <v>12</v>
      </c>
      <c r="C1058" s="5">
        <f ca="1">IFERROR(__xludf.DUMMYFUNCTION("""COMPUTED_VALUE"""),1)</f>
        <v>1</v>
      </c>
      <c r="D1058" s="5">
        <f ca="1">IFERROR(__xludf.DUMMYFUNCTION("""COMPUTED_VALUE"""),2016)</f>
        <v>2016</v>
      </c>
      <c r="E1058" s="8">
        <f ca="1">IFERROR(__xludf.DUMMYFUNCTION("""COMPUTED_VALUE"""),42705)</f>
        <v>42705</v>
      </c>
      <c r="F1058" s="5" t="str">
        <f ca="1">IFERROR(__xludf.DUMMYFUNCTION("""COMPUTED_VALUE"""),"Mueller Park Junior High School")</f>
        <v>Mueller Park Junior High School</v>
      </c>
      <c r="G1058" s="5">
        <f ca="1">IFERROR(__xludf.DUMMYFUNCTION("""COMPUTED_VALUE"""),0)</f>
        <v>0</v>
      </c>
      <c r="H1058" s="5">
        <f ca="1">IFERROR(__xludf.DUMMYFUNCTION("""COMPUTED_VALUE"""),0)</f>
        <v>0</v>
      </c>
      <c r="I1058" s="5">
        <f ca="1">IFERROR(__xludf.DUMMYFUNCTION("""COMPUTED_VALUE"""),0)</f>
        <v>0</v>
      </c>
      <c r="J1058" s="5">
        <f ca="1">IFERROR(__xludf.DUMMYFUNCTION("""COMPUTED_VALUE"""),0)</f>
        <v>0</v>
      </c>
      <c r="K1058" s="9" t="str">
        <f ca="1">IFERROR(__xludf.DUMMYFUNCTION("""COMPUTED_VALUE"""),"http://www.standard.net/Police-Fire/2017/02/13/Teen-accused-of-shooting-gun-in-Mueller-Park-Jr-High-pleads-guilty")</f>
        <v>http://www.standard.net/Police-Fire/2017/02/13/Teen-accused-of-shooting-gun-in-Mueller-Park-Jr-High-pleads-guilty</v>
      </c>
      <c r="L1058" s="5">
        <f ca="1">IFERROR(__xludf.DUMMYFUNCTION("""COMPUTED_VALUE"""),11)</f>
        <v>11</v>
      </c>
      <c r="M1058" s="5" t="str">
        <f ca="1">IFERROR(__xludf.DUMMYFUNCTION("""COMPUTED_VALUE"""),"National")</f>
        <v>National</v>
      </c>
      <c r="N1058" s="5">
        <f ca="1">IFERROR(__xludf.DUMMYFUNCTION("""COMPUTED_VALUE"""),2)</f>
        <v>2</v>
      </c>
      <c r="O1058" s="5" t="str">
        <f ca="1">IFERROR(__xludf.DUMMYFUNCTION("""COMPUTED_VALUE"""),"Winter")</f>
        <v>Winter</v>
      </c>
      <c r="P1058" s="5" t="str">
        <f ca="1">IFERROR(__xludf.DUMMYFUNCTION("""COMPUTED_VALUE"""),"Bountiful")</f>
        <v>Bountiful</v>
      </c>
      <c r="Q1058" s="5" t="str">
        <f ca="1">IFERROR(__xludf.DUMMYFUNCTION("""COMPUTED_VALUE"""),"UT")</f>
        <v>UT</v>
      </c>
      <c r="R1058" s="5" t="str">
        <f ca="1">IFERROR(__xludf.DUMMYFUNCTION("""COMPUTED_VALUE"""),"Junior High")</f>
        <v>Junior High</v>
      </c>
      <c r="S1058" s="5" t="str">
        <f ca="1">IFERROR(__xludf.DUMMYFUNCTION("""COMPUTED_VALUE"""),"Classroom")</f>
        <v>Classroom</v>
      </c>
      <c r="T1058" s="5" t="str">
        <f ca="1">IFERROR(__xludf.DUMMYFUNCTION("""COMPUTED_VALUE"""),"Inside School Building")</f>
        <v>Inside School Building</v>
      </c>
      <c r="U1058" s="5" t="str">
        <f ca="1">IFERROR(__xludf.DUMMYFUNCTION("""COMPUTED_VALUE"""),"No")</f>
        <v>No</v>
      </c>
      <c r="V1058" s="5" t="str">
        <f ca="1">IFERROR(__xludf.DUMMYFUNCTION("""COMPUTED_VALUE"""),"Morning Classes")</f>
        <v>Morning Classes</v>
      </c>
      <c r="W1058" s="10">
        <f ca="1">IFERROR(__xludf.DUMMYFUNCTION("""COMPUTED_VALUE"""),0.342361111111111)</f>
        <v>0.34236111111111101</v>
      </c>
      <c r="X1058" s="5"/>
      <c r="Y1058" s="5" t="str">
        <f ca="1">IFERROR(__xludf.DUMMYFUNCTION("""COMPUTED_VALUE"""),"Fired shotgun into classroom ceiling and threatened to kill self, surrendered to parents")</f>
        <v>Fired shotgun into classroom ceiling and threatened to kill self, surrendered to parents</v>
      </c>
      <c r="Z1058" s="5" t="str">
        <f ca="1">IFERROR(__xludf.DUMMYFUNCTION("""COMPUTED_VALUE"""),"Shooter stole a fully-loaded shotgun, a handgun, and 2 boxes of ammo from his parents. Shooter entered the school, concealing the guns under a long coat; entered classroom and fired shotgun into ceiling, then pointed the shotgun at himself. Teachers engag"&amp;"ed him, no one was hurt. Parents noticed their son's different behavior and that 2 guns were missing then went to school and told him to surrender.")</f>
        <v>Shooter stole a fully-loaded shotgun, a handgun, and 2 boxes of ammo from his parents. Shooter entered the school, concealing the guns under a long coat; entered classroom and fired shotgun into ceiling, then pointed the shotgun at himself. Teachers engaged him, no one was hurt. Parents noticed their son's different behavior and that 2 guns were missing then went to school and told him to surrender.</v>
      </c>
      <c r="AA1058" s="5" t="str">
        <f ca="1">IFERROR(__xludf.DUMMYFUNCTION("""COMPUTED_VALUE"""),"Indiscriminate Shooting")</f>
        <v>Indiscriminate Shooting</v>
      </c>
      <c r="AB1058" s="5" t="str">
        <f ca="1">IFERROR(__xludf.DUMMYFUNCTION("""COMPUTED_VALUE"""),"Random Shooting")</f>
        <v>Random Shooting</v>
      </c>
      <c r="AC1058" s="5" t="str">
        <f ca="1">IFERROR(__xludf.DUMMYFUNCTION("""COMPUTED_VALUE"""),"No")</f>
        <v>No</v>
      </c>
      <c r="AD1058" s="5" t="str">
        <f ca="1">IFERROR(__xludf.DUMMYFUNCTION("""COMPUTED_VALUE"""),"No")</f>
        <v>No</v>
      </c>
      <c r="AE1058" s="5" t="str">
        <f ca="1">IFERROR(__xludf.DUMMYFUNCTION("""COMPUTED_VALUE"""),"No")</f>
        <v>No</v>
      </c>
      <c r="AF1058" s="5" t="str">
        <f ca="1">IFERROR(__xludf.DUMMYFUNCTION("""COMPUTED_VALUE"""),"No")</f>
        <v>No</v>
      </c>
      <c r="AG1058" s="5" t="str">
        <f ca="1">IFERROR(__xludf.DUMMYFUNCTION("""COMPUTED_VALUE"""),"Yes")</f>
        <v>Yes</v>
      </c>
      <c r="AH1058" s="5" t="str">
        <f ca="1">IFERROR(__xludf.DUMMYFUNCTION("""COMPUTED_VALUE"""),"No")</f>
        <v>No</v>
      </c>
      <c r="AI1058" s="5" t="str">
        <f ca="1">IFERROR(__xludf.DUMMYFUNCTION("""COMPUTED_VALUE"""),"No")</f>
        <v>No</v>
      </c>
      <c r="AJ1058" s="5" t="str">
        <f ca="1">IFERROR(__xludf.DUMMYFUNCTION("""COMPUTED_VALUE"""),"Yes")</f>
        <v>Yes</v>
      </c>
    </row>
    <row r="1059" spans="1:36" ht="13">
      <c r="A1059" s="5" t="str">
        <f ca="1">IFERROR(__xludf.DUMMYFUNCTION("""COMPUTED_VALUE"""),"20161117MNCRS")</f>
        <v>20161117MNCRS</v>
      </c>
      <c r="B1059" s="5">
        <f ca="1">IFERROR(__xludf.DUMMYFUNCTION("""COMPUTED_VALUE"""),11)</f>
        <v>11</v>
      </c>
      <c r="C1059" s="5">
        <f ca="1">IFERROR(__xludf.DUMMYFUNCTION("""COMPUTED_VALUE"""),17)</f>
        <v>17</v>
      </c>
      <c r="D1059" s="5">
        <f ca="1">IFERROR(__xludf.DUMMYFUNCTION("""COMPUTED_VALUE"""),2016)</f>
        <v>2016</v>
      </c>
      <c r="E1059" s="8">
        <f ca="1">IFERROR(__xludf.DUMMYFUNCTION("""COMPUTED_VALUE"""),42691)</f>
        <v>42691</v>
      </c>
      <c r="F1059" s="5" t="str">
        <f ca="1">IFERROR(__xludf.DUMMYFUNCTION("""COMPUTED_VALUE"""),"Crossroads Elementary School")</f>
        <v>Crossroads Elementary School</v>
      </c>
      <c r="G1059" s="5">
        <f ca="1">IFERROR(__xludf.DUMMYFUNCTION("""COMPUTED_VALUE"""),0)</f>
        <v>0</v>
      </c>
      <c r="H1059" s="5">
        <f ca="1">IFERROR(__xludf.DUMMYFUNCTION("""COMPUTED_VALUE"""),0)</f>
        <v>0</v>
      </c>
      <c r="I1059" s="5">
        <f ca="1">IFERROR(__xludf.DUMMYFUNCTION("""COMPUTED_VALUE"""),0)</f>
        <v>0</v>
      </c>
      <c r="J1059" s="5">
        <f ca="1">IFERROR(__xludf.DUMMYFUNCTION("""COMPUTED_VALUE"""),0)</f>
        <v>0</v>
      </c>
      <c r="K1059" s="5" t="str">
        <f ca="1">IFERROR(__xludf.DUMMYFUNCTION("""COMPUTED_VALUE"""),"http://www.startribune.com/gun-brought-by-student-goes-off-at-st-paul-elementary-school/401719485/  http://www.startribune.com/st-paul-first-grader-who-brought-gun-to-school-found-it-in-family-home/401926945/")</f>
        <v>http://www.startribune.com/gun-brought-by-student-goes-off-at-st-paul-elementary-school/401719485/  http://www.startribune.com/st-paul-first-grader-who-brought-gun-to-school-found-it-in-family-home/401926945/</v>
      </c>
      <c r="L1059" s="5"/>
      <c r="M1059" s="5"/>
      <c r="N1059" s="5">
        <f ca="1">IFERROR(__xludf.DUMMYFUNCTION("""COMPUTED_VALUE"""),3)</f>
        <v>3</v>
      </c>
      <c r="O1059" s="5" t="str">
        <f ca="1">IFERROR(__xludf.DUMMYFUNCTION("""COMPUTED_VALUE"""),"Fall")</f>
        <v>Fall</v>
      </c>
      <c r="P1059" s="5" t="str">
        <f ca="1">IFERROR(__xludf.DUMMYFUNCTION("""COMPUTED_VALUE"""),"St. Paul")</f>
        <v>St. Paul</v>
      </c>
      <c r="Q1059" s="5" t="str">
        <f ca="1">IFERROR(__xludf.DUMMYFUNCTION("""COMPUTED_VALUE"""),"MN")</f>
        <v>MN</v>
      </c>
      <c r="R1059" s="5" t="str">
        <f ca="1">IFERROR(__xludf.DUMMYFUNCTION("""COMPUTED_VALUE"""),"Elementary")</f>
        <v>Elementary</v>
      </c>
      <c r="S1059" s="5" t="str">
        <f ca="1">IFERROR(__xludf.DUMMYFUNCTION("""COMPUTED_VALUE"""),"Inside School Building")</f>
        <v>Inside School Building</v>
      </c>
      <c r="T1059" s="5" t="str">
        <f ca="1">IFERROR(__xludf.DUMMYFUNCTION("""COMPUTED_VALUE"""),"Inside School Building")</f>
        <v>Inside School Building</v>
      </c>
      <c r="U1059" s="5" t="str">
        <f ca="1">IFERROR(__xludf.DUMMYFUNCTION("""COMPUTED_VALUE"""),"Yes")</f>
        <v>Yes</v>
      </c>
      <c r="V1059" s="5" t="str">
        <f ca="1">IFERROR(__xludf.DUMMYFUNCTION("""COMPUTED_VALUE"""),"Morning Classes")</f>
        <v>Morning Classes</v>
      </c>
      <c r="W1059" s="10">
        <f ca="1">IFERROR(__xludf.DUMMYFUNCTION("""COMPUTED_VALUE"""),0.361111111111111)</f>
        <v>0.36111111111111099</v>
      </c>
      <c r="X1059" s="5">
        <f ca="1">IFERROR(__xludf.DUMMYFUNCTION("""COMPUTED_VALUE"""),1)</f>
        <v>1</v>
      </c>
      <c r="Y1059" s="5" t="str">
        <f ca="1">IFERROR(__xludf.DUMMYFUNCTION("""COMPUTED_VALUE"""),"Accidental discharge while showing off gun")</f>
        <v>Accidental discharge while showing off gun</v>
      </c>
      <c r="Z1059" s="5" t="str">
        <f ca="1">IFERROR(__xludf.DUMMYFUNCTION("""COMPUTED_VALUE"""),"7 year old brought a.38 caliber handgun to school. While showing to friends, an 8 year old student accidentally shot it. No injuries.")</f>
        <v>7 year old brought a.38 caliber handgun to school. While showing to friends, an 8 year old student accidentally shot it. No injuries.</v>
      </c>
      <c r="AA1059" s="5" t="str">
        <f ca="1">IFERROR(__xludf.DUMMYFUNCTION("""COMPUTED_VALUE"""),"Accidental")</f>
        <v>Accidental</v>
      </c>
      <c r="AB1059" s="5" t="str">
        <f ca="1">IFERROR(__xludf.DUMMYFUNCTION("""COMPUTED_VALUE"""),"Neither")</f>
        <v>Neither</v>
      </c>
      <c r="AC1059" s="5" t="str">
        <f ca="1">IFERROR(__xludf.DUMMYFUNCTION("""COMPUTED_VALUE"""),"No")</f>
        <v>No</v>
      </c>
      <c r="AD1059" s="5" t="str">
        <f ca="1">IFERROR(__xludf.DUMMYFUNCTION("""COMPUTED_VALUE"""),"No")</f>
        <v>No</v>
      </c>
      <c r="AE1059" s="5" t="str">
        <f ca="1">IFERROR(__xludf.DUMMYFUNCTION("""COMPUTED_VALUE"""),"No")</f>
        <v>No</v>
      </c>
      <c r="AF1059" s="5" t="str">
        <f ca="1">IFERROR(__xludf.DUMMYFUNCTION("""COMPUTED_VALUE"""),"No")</f>
        <v>No</v>
      </c>
      <c r="AG1059" s="5" t="str">
        <f ca="1">IFERROR(__xludf.DUMMYFUNCTION("""COMPUTED_VALUE"""),"No")</f>
        <v>No</v>
      </c>
      <c r="AH1059" s="5" t="str">
        <f ca="1">IFERROR(__xludf.DUMMYFUNCTION("""COMPUTED_VALUE"""),"No")</f>
        <v>No</v>
      </c>
      <c r="AI1059" s="5" t="str">
        <f ca="1">IFERROR(__xludf.DUMMYFUNCTION("""COMPUTED_VALUE"""),"No")</f>
        <v>No</v>
      </c>
      <c r="AJ1059" s="5" t="str">
        <f ca="1">IFERROR(__xludf.DUMMYFUNCTION("""COMPUTED_VALUE"""),"No")</f>
        <v>No</v>
      </c>
    </row>
    <row r="1060" spans="1:36" ht="13">
      <c r="A1060" s="5" t="str">
        <f ca="1">IFERROR(__xludf.DUMMYFUNCTION("""COMPUTED_VALUE"""),"20161111MIBAA")</f>
        <v>20161111MIBAA</v>
      </c>
      <c r="B1060" s="5">
        <f ca="1">IFERROR(__xludf.DUMMYFUNCTION("""COMPUTED_VALUE"""),11)</f>
        <v>11</v>
      </c>
      <c r="C1060" s="5">
        <f ca="1">IFERROR(__xludf.DUMMYFUNCTION("""COMPUTED_VALUE"""),11)</f>
        <v>11</v>
      </c>
      <c r="D1060" s="5">
        <f ca="1">IFERROR(__xludf.DUMMYFUNCTION("""COMPUTED_VALUE"""),2016)</f>
        <v>2016</v>
      </c>
      <c r="E1060" s="8">
        <f ca="1">IFERROR(__xludf.DUMMYFUNCTION("""COMPUTED_VALUE"""),42685)</f>
        <v>42685</v>
      </c>
      <c r="F1060" s="5" t="str">
        <f ca="1">IFERROR(__xludf.DUMMYFUNCTION("""COMPUTED_VALUE"""),"Bay City Western High School")</f>
        <v>Bay City Western High School</v>
      </c>
      <c r="G1060" s="5">
        <f ca="1">IFERROR(__xludf.DUMMYFUNCTION("""COMPUTED_VALUE"""),0)</f>
        <v>0</v>
      </c>
      <c r="H1060" s="5">
        <f ca="1">IFERROR(__xludf.DUMMYFUNCTION("""COMPUTED_VALUE"""),1)</f>
        <v>1</v>
      </c>
      <c r="I1060" s="5">
        <f ca="1">IFERROR(__xludf.DUMMYFUNCTION("""COMPUTED_VALUE"""),1)</f>
        <v>1</v>
      </c>
      <c r="J1060" s="5">
        <f ca="1">IFERROR(__xludf.DUMMYFUNCTION("""COMPUTED_VALUE"""),0)</f>
        <v>0</v>
      </c>
      <c r="K1060" s="9" t="str">
        <f ca="1">IFERROR(__xludf.DUMMYFUNCTION("""COMPUTED_VALUE"""),"http://www.mlive.com/news/bay-city/index.ssf/2016/12/deputy_who_fired_gun_in_school.html")</f>
        <v>http://www.mlive.com/news/bay-city/index.ssf/2016/12/deputy_who_fired_gun_in_school.html</v>
      </c>
      <c r="L1060" s="5">
        <f ca="1">IFERROR(__xludf.DUMMYFUNCTION("""COMPUTED_VALUE"""),5)</f>
        <v>5</v>
      </c>
      <c r="M1060" s="5" t="str">
        <f ca="1">IFERROR(__xludf.DUMMYFUNCTION("""COMPUTED_VALUE"""),"Local")</f>
        <v>Local</v>
      </c>
      <c r="N1060" s="5">
        <f ca="1">IFERROR(__xludf.DUMMYFUNCTION("""COMPUTED_VALUE"""),2)</f>
        <v>2</v>
      </c>
      <c r="O1060" s="5" t="str">
        <f ca="1">IFERROR(__xludf.DUMMYFUNCTION("""COMPUTED_VALUE"""),"Fall")</f>
        <v>Fall</v>
      </c>
      <c r="P1060" s="5" t="str">
        <f ca="1">IFERROR(__xludf.DUMMYFUNCTION("""COMPUTED_VALUE"""),"Auburn")</f>
        <v>Auburn</v>
      </c>
      <c r="Q1060" s="5" t="str">
        <f ca="1">IFERROR(__xludf.DUMMYFUNCTION("""COMPUTED_VALUE"""),"MI")</f>
        <v>MI</v>
      </c>
      <c r="R1060" s="5" t="str">
        <f ca="1">IFERROR(__xludf.DUMMYFUNCTION("""COMPUTED_VALUE"""),"High")</f>
        <v>High</v>
      </c>
      <c r="S1060" s="5" t="str">
        <f ca="1">IFERROR(__xludf.DUMMYFUNCTION("""COMPUTED_VALUE"""),"Office")</f>
        <v>Office</v>
      </c>
      <c r="T1060" s="5" t="str">
        <f ca="1">IFERROR(__xludf.DUMMYFUNCTION("""COMPUTED_VALUE"""),"Inside School Building")</f>
        <v>Inside School Building</v>
      </c>
      <c r="U1060" s="5" t="str">
        <f ca="1">IFERROR(__xludf.DUMMYFUNCTION("""COMPUTED_VALUE"""),"Yes")</f>
        <v>Yes</v>
      </c>
      <c r="V1060" s="5" t="str">
        <f ca="1">IFERROR(__xludf.DUMMYFUNCTION("""COMPUTED_VALUE"""),"Lunch")</f>
        <v>Lunch</v>
      </c>
      <c r="W1060" s="10">
        <f ca="1">IFERROR(__xludf.DUMMYFUNCTION("""COMPUTED_VALUE"""),0.520833333333333)</f>
        <v>0.52083333333333304</v>
      </c>
      <c r="X1060" s="5">
        <f ca="1">IFERROR(__xludf.DUMMYFUNCTION("""COMPUTED_VALUE"""),1)</f>
        <v>1</v>
      </c>
      <c r="Y1060" s="5" t="str">
        <f ca="1">IFERROR(__xludf.DUMMYFUNCTION("""COMPUTED_VALUE"""),"Accidental discharge by SRO. Attempted to cover-up discharge and was arrested.")</f>
        <v>Accidental discharge by SRO. Attempted to cover-up discharge and was arrested.</v>
      </c>
      <c r="Z1060" s="5" t="str">
        <f ca="1">IFERROR(__xludf.DUMMYFUNCTION("""COMPUTED_VALUE"""),"The shooter (the SRO) was testing the trigger pull force of his gun, which accidentally discharged. The bullet went through 2 walls, and after a ricochet, it scratched a teacher's neck. The victim picked up the bullet from the ground after it cooled down "&amp;"and gave it to the shooter to keep as evidence (since he was the SRO). The shooter did not admit he shot the gun. The shooter tried to dispose of the evidence by discarding it in the yard and left his gun in the car. The bullet was later found by a K9 off"&amp;"icer. The gun was recovered and the SRO was arrested. The shooter was a respected officer with long service.")</f>
        <v>The shooter (the SRO) was testing the trigger pull force of his gun, which accidentally discharged. The bullet went through 2 walls, and after a ricochet, it scratched a teacher's neck. The victim picked up the bullet from the ground after it cooled down and gave it to the shooter to keep as evidence (since he was the SRO). The shooter did not admit he shot the gun. The shooter tried to dispose of the evidence by discarding it in the yard and left his gun in the car. The bullet was later found by a K9 officer. The gun was recovered and the SRO was arrested. The shooter was a respected officer with long service.</v>
      </c>
      <c r="AA1060" s="5" t="str">
        <f ca="1">IFERROR(__xludf.DUMMYFUNCTION("""COMPUTED_VALUE"""),"Accidental")</f>
        <v>Accidental</v>
      </c>
      <c r="AB1060" s="5" t="str">
        <f ca="1">IFERROR(__xludf.DUMMYFUNCTION("""COMPUTED_VALUE"""),"Neither")</f>
        <v>Neither</v>
      </c>
      <c r="AC1060" s="5"/>
      <c r="AD1060" s="5" t="str">
        <f ca="1">IFERROR(__xludf.DUMMYFUNCTION("""COMPUTED_VALUE"""),"No")</f>
        <v>No</v>
      </c>
      <c r="AE1060" s="5" t="str">
        <f ca="1">IFERROR(__xludf.DUMMYFUNCTION("""COMPUTED_VALUE"""),"No")</f>
        <v>No</v>
      </c>
      <c r="AF1060" s="5" t="str">
        <f ca="1">IFERROR(__xludf.DUMMYFUNCTION("""COMPUTED_VALUE"""),"No")</f>
        <v>No</v>
      </c>
      <c r="AG1060" s="5" t="str">
        <f ca="1">IFERROR(__xludf.DUMMYFUNCTION("""COMPUTED_VALUE"""),"No")</f>
        <v>No</v>
      </c>
      <c r="AH1060" s="5" t="str">
        <f ca="1">IFERROR(__xludf.DUMMYFUNCTION("""COMPUTED_VALUE"""),"No")</f>
        <v>No</v>
      </c>
      <c r="AI1060" s="5" t="str">
        <f ca="1">IFERROR(__xludf.DUMMYFUNCTION("""COMPUTED_VALUE"""),"No")</f>
        <v>No</v>
      </c>
      <c r="AJ1060" s="5" t="str">
        <f ca="1">IFERROR(__xludf.DUMMYFUNCTION("""COMPUTED_VALUE"""),"No")</f>
        <v>No</v>
      </c>
    </row>
    <row r="1061" spans="1:36" ht="13">
      <c r="A1061" s="5" t="str">
        <f ca="1">IFERROR(__xludf.DUMMYFUNCTION("""COMPUTED_VALUE"""),"20161103COBEB")</f>
        <v>20161103COBEB</v>
      </c>
      <c r="B1061" s="5">
        <f ca="1">IFERROR(__xludf.DUMMYFUNCTION("""COMPUTED_VALUE"""),11)</f>
        <v>11</v>
      </c>
      <c r="C1061" s="5">
        <f ca="1">IFERROR(__xludf.DUMMYFUNCTION("""COMPUTED_VALUE"""),3)</f>
        <v>3</v>
      </c>
      <c r="D1061" s="5">
        <f ca="1">IFERROR(__xludf.DUMMYFUNCTION("""COMPUTED_VALUE"""),2016)</f>
        <v>2016</v>
      </c>
      <c r="E1061" s="8">
        <f ca="1">IFERROR(__xludf.DUMMYFUNCTION("""COMPUTED_VALUE"""),42677)</f>
        <v>42677</v>
      </c>
      <c r="F1061" s="5" t="str">
        <f ca="1">IFERROR(__xludf.DUMMYFUNCTION("""COMPUTED_VALUE"""),"Berthoud High School")</f>
        <v>Berthoud High School</v>
      </c>
      <c r="G1061" s="5">
        <f ca="1">IFERROR(__xludf.DUMMYFUNCTION("""COMPUTED_VALUE"""),0)</f>
        <v>0</v>
      </c>
      <c r="H1061" s="5">
        <f ca="1">IFERROR(__xludf.DUMMYFUNCTION("""COMPUTED_VALUE"""),0)</f>
        <v>0</v>
      </c>
      <c r="I1061" s="5">
        <f ca="1">IFERROR(__xludf.DUMMYFUNCTION("""COMPUTED_VALUE"""),0)</f>
        <v>0</v>
      </c>
      <c r="J1061" s="5">
        <f ca="1">IFERROR(__xludf.DUMMYFUNCTION("""COMPUTED_VALUE"""),1)</f>
        <v>1</v>
      </c>
      <c r="K1061" s="9" t="str">
        <f ca="1">IFERROR(__xludf.DUMMYFUNCTION("""COMPUTED_VALUE"""),"https://www.denverpost.com/2016/11/04/authorities-id-joshua-francis-berthoud-high-school-suicide/")</f>
        <v>https://www.denverpost.com/2016/11/04/authorities-id-joshua-francis-berthoud-high-school-suicide/</v>
      </c>
      <c r="L1061" s="5"/>
      <c r="M1061" s="5"/>
      <c r="N1061" s="5">
        <f ca="1">IFERROR(__xludf.DUMMYFUNCTION("""COMPUTED_VALUE"""),2)</f>
        <v>2</v>
      </c>
      <c r="O1061" s="5" t="str">
        <f ca="1">IFERROR(__xludf.DUMMYFUNCTION("""COMPUTED_VALUE"""),"Fall")</f>
        <v>Fall</v>
      </c>
      <c r="P1061" s="5" t="str">
        <f ca="1">IFERROR(__xludf.DUMMYFUNCTION("""COMPUTED_VALUE"""),"Berthoud")</f>
        <v>Berthoud</v>
      </c>
      <c r="Q1061" s="5" t="str">
        <f ca="1">IFERROR(__xludf.DUMMYFUNCTION("""COMPUTED_VALUE"""),"CO")</f>
        <v>CO</v>
      </c>
      <c r="R1061" s="5" t="str">
        <f ca="1">IFERROR(__xludf.DUMMYFUNCTION("""COMPUTED_VALUE"""),"High")</f>
        <v>High</v>
      </c>
      <c r="S1061" s="5" t="str">
        <f ca="1">IFERROR(__xludf.DUMMYFUNCTION("""COMPUTED_VALUE"""),"Inside School Building")</f>
        <v>Inside School Building</v>
      </c>
      <c r="T1061" s="5" t="str">
        <f ca="1">IFERROR(__xludf.DUMMYFUNCTION("""COMPUTED_VALUE"""),"Inside School Building")</f>
        <v>Inside School Building</v>
      </c>
      <c r="U1061" s="5" t="str">
        <f ca="1">IFERROR(__xludf.DUMMYFUNCTION("""COMPUTED_VALUE"""),"No")</f>
        <v>No</v>
      </c>
      <c r="V1061" s="5" t="str">
        <f ca="1">IFERROR(__xludf.DUMMYFUNCTION("""COMPUTED_VALUE"""),"Before School")</f>
        <v>Before School</v>
      </c>
      <c r="W1061" s="5"/>
      <c r="X1061" s="5">
        <f ca="1">IFERROR(__xludf.DUMMYFUNCTION("""COMPUTED_VALUE"""),1)</f>
        <v>1</v>
      </c>
      <c r="Y1061" s="5" t="str">
        <f ca="1">IFERROR(__xludf.DUMMYFUNCTION("""COMPUTED_VALUE"""),"Shot self inside the school")</f>
        <v>Shot self inside the school</v>
      </c>
      <c r="Z1061" s="5" t="str">
        <f ca="1">IFERROR(__xludf.DUMMYFUNCTION("""COMPUTED_VALUE"""),"15YOM killed himself inside the high school.")</f>
        <v>15YOM killed himself inside the high school.</v>
      </c>
      <c r="AA1061" s="5" t="str">
        <f ca="1">IFERROR(__xludf.DUMMYFUNCTION("""COMPUTED_VALUE"""),"Suicide/Attempted")</f>
        <v>Suicide/Attempted</v>
      </c>
      <c r="AB1061" s="5" t="str">
        <f ca="1">IFERROR(__xludf.DUMMYFUNCTION("""COMPUTED_VALUE"""),"Victims Targeted")</f>
        <v>Victims Targeted</v>
      </c>
      <c r="AC1061" s="5" t="str">
        <f ca="1">IFERROR(__xludf.DUMMYFUNCTION("""COMPUTED_VALUE"""),"No")</f>
        <v>No</v>
      </c>
      <c r="AD1061" s="5" t="str">
        <f ca="1">IFERROR(__xludf.DUMMYFUNCTION("""COMPUTED_VALUE"""),"No")</f>
        <v>No</v>
      </c>
      <c r="AE1061" s="5" t="str">
        <f ca="1">IFERROR(__xludf.DUMMYFUNCTION("""COMPUTED_VALUE"""),"No")</f>
        <v>No</v>
      </c>
      <c r="AF1061" s="5" t="str">
        <f ca="1">IFERROR(__xludf.DUMMYFUNCTION("""COMPUTED_VALUE"""),"No")</f>
        <v>No</v>
      </c>
      <c r="AG1061" s="5" t="str">
        <f ca="1">IFERROR(__xludf.DUMMYFUNCTION("""COMPUTED_VALUE"""),"No")</f>
        <v>No</v>
      </c>
      <c r="AH1061" s="5" t="str">
        <f ca="1">IFERROR(__xludf.DUMMYFUNCTION("""COMPUTED_VALUE"""),"No")</f>
        <v>No</v>
      </c>
      <c r="AI1061" s="5" t="str">
        <f ca="1">IFERROR(__xludf.DUMMYFUNCTION("""COMPUTED_VALUE"""),"No")</f>
        <v>No</v>
      </c>
      <c r="AJ1061" s="5" t="str">
        <f ca="1">IFERROR(__xludf.DUMMYFUNCTION("""COMPUTED_VALUE"""),"No")</f>
        <v>No</v>
      </c>
    </row>
    <row r="1062" spans="1:36" ht="13">
      <c r="A1062" s="5" t="str">
        <f ca="1">IFERROR(__xludf.DUMMYFUNCTION("""COMPUTED_VALUE"""),"20161102COGRG")</f>
        <v>20161102COGRG</v>
      </c>
      <c r="B1062" s="5">
        <f ca="1">IFERROR(__xludf.DUMMYFUNCTION("""COMPUTED_VALUE"""),11)</f>
        <v>11</v>
      </c>
      <c r="C1062" s="5">
        <f ca="1">IFERROR(__xludf.DUMMYFUNCTION("""COMPUTED_VALUE"""),2)</f>
        <v>2</v>
      </c>
      <c r="D1062" s="5">
        <f ca="1">IFERROR(__xludf.DUMMYFUNCTION("""COMPUTED_VALUE"""),2016)</f>
        <v>2016</v>
      </c>
      <c r="E1062" s="8">
        <f ca="1">IFERROR(__xludf.DUMMYFUNCTION("""COMPUTED_VALUE"""),42676)</f>
        <v>42676</v>
      </c>
      <c r="F1062" s="5" t="str">
        <f ca="1">IFERROR(__xludf.DUMMYFUNCTION("""COMPUTED_VALUE"""),"Grand Junction High School")</f>
        <v>Grand Junction High School</v>
      </c>
      <c r="G1062" s="5">
        <f ca="1">IFERROR(__xludf.DUMMYFUNCTION("""COMPUTED_VALUE"""),0)</f>
        <v>0</v>
      </c>
      <c r="H1062" s="5">
        <f ca="1">IFERROR(__xludf.DUMMYFUNCTION("""COMPUTED_VALUE"""),0)</f>
        <v>0</v>
      </c>
      <c r="I1062" s="5">
        <f ca="1">IFERROR(__xludf.DUMMYFUNCTION("""COMPUTED_VALUE"""),0)</f>
        <v>0</v>
      </c>
      <c r="J1062" s="5">
        <f ca="1">IFERROR(__xludf.DUMMYFUNCTION("""COMPUTED_VALUE"""),1)</f>
        <v>1</v>
      </c>
      <c r="K1062" s="5" t="str">
        <f ca="1">IFERROR(__xludf.DUMMYFUNCTION("""COMPUTED_VALUE"""),"http://www.nydailynews.com/news/national/person-shoots-colorado-high-school-article-1.2855787  http://www.nbc11news.com/content/news/399726091.html")</f>
        <v>http://www.nydailynews.com/news/national/person-shoots-colorado-high-school-article-1.2855787  http://www.nbc11news.com/content/news/399726091.html</v>
      </c>
      <c r="L1062" s="5"/>
      <c r="M1062" s="5"/>
      <c r="N1062" s="5">
        <f ca="1">IFERROR(__xludf.DUMMYFUNCTION("""COMPUTED_VALUE"""),3)</f>
        <v>3</v>
      </c>
      <c r="O1062" s="5" t="str">
        <f ca="1">IFERROR(__xludf.DUMMYFUNCTION("""COMPUTED_VALUE"""),"Fall")</f>
        <v>Fall</v>
      </c>
      <c r="P1062" s="5" t="str">
        <f ca="1">IFERROR(__xludf.DUMMYFUNCTION("""COMPUTED_VALUE"""),"Grand Junction")</f>
        <v>Grand Junction</v>
      </c>
      <c r="Q1062" s="5" t="str">
        <f ca="1">IFERROR(__xludf.DUMMYFUNCTION("""COMPUTED_VALUE"""),"CO")</f>
        <v>CO</v>
      </c>
      <c r="R1062" s="5" t="str">
        <f ca="1">IFERROR(__xludf.DUMMYFUNCTION("""COMPUTED_VALUE"""),"High")</f>
        <v>High</v>
      </c>
      <c r="S1062" s="5" t="str">
        <f ca="1">IFERROR(__xludf.DUMMYFUNCTION("""COMPUTED_VALUE"""),"Parking Lot")</f>
        <v>Parking Lot</v>
      </c>
      <c r="T1062" s="5" t="str">
        <f ca="1">IFERROR(__xludf.DUMMYFUNCTION("""COMPUTED_VALUE"""),"Outside on School Property")</f>
        <v>Outside on School Property</v>
      </c>
      <c r="U1062" s="5" t="str">
        <f ca="1">IFERROR(__xludf.DUMMYFUNCTION("""COMPUTED_VALUE"""),"Yes")</f>
        <v>Yes</v>
      </c>
      <c r="V1062" s="5" t="str">
        <f ca="1">IFERROR(__xludf.DUMMYFUNCTION("""COMPUTED_VALUE"""),"After School")</f>
        <v>After School</v>
      </c>
      <c r="W1062" s="10">
        <f ca="1">IFERROR(__xludf.DUMMYFUNCTION("""COMPUTED_VALUE"""),0.625)</f>
        <v>0.625</v>
      </c>
      <c r="X1062" s="5">
        <f ca="1">IFERROR(__xludf.DUMMYFUNCTION("""COMPUTED_VALUE"""),1)</f>
        <v>1</v>
      </c>
      <c r="Y1062" s="5" t="str">
        <f ca="1">IFERROR(__xludf.DUMMYFUNCTION("""COMPUTED_VALUE"""),"Shot self in parking lot")</f>
        <v>Shot self in parking lot</v>
      </c>
      <c r="Z1062" s="5" t="str">
        <f ca="1">IFERROR(__xludf.DUMMYFUNCTION("""COMPUTED_VALUE"""),"Student killed himself sitting in his car in the parking lot.")</f>
        <v>Student killed himself sitting in his car in the parking lot.</v>
      </c>
      <c r="AA1062" s="5" t="str">
        <f ca="1">IFERROR(__xludf.DUMMYFUNCTION("""COMPUTED_VALUE"""),"Suicide/Attempted")</f>
        <v>Suicide/Attempted</v>
      </c>
      <c r="AB1062" s="5" t="str">
        <f ca="1">IFERROR(__xludf.DUMMYFUNCTION("""COMPUTED_VALUE"""),"Victims Targeted")</f>
        <v>Victims Targeted</v>
      </c>
      <c r="AC1062" s="5" t="str">
        <f ca="1">IFERROR(__xludf.DUMMYFUNCTION("""COMPUTED_VALUE"""),"No")</f>
        <v>No</v>
      </c>
      <c r="AD1062" s="5" t="str">
        <f ca="1">IFERROR(__xludf.DUMMYFUNCTION("""COMPUTED_VALUE"""),"No")</f>
        <v>No</v>
      </c>
      <c r="AE1062" s="5" t="str">
        <f ca="1">IFERROR(__xludf.DUMMYFUNCTION("""COMPUTED_VALUE"""),"No")</f>
        <v>No</v>
      </c>
      <c r="AF1062" s="5" t="str">
        <f ca="1">IFERROR(__xludf.DUMMYFUNCTION("""COMPUTED_VALUE"""),"No")</f>
        <v>No</v>
      </c>
      <c r="AG1062" s="5"/>
      <c r="AH1062" s="5"/>
      <c r="AI1062" s="5" t="str">
        <f ca="1">IFERROR(__xludf.DUMMYFUNCTION("""COMPUTED_VALUE"""),"No")</f>
        <v>No</v>
      </c>
      <c r="AJ1062" s="5" t="str">
        <f ca="1">IFERROR(__xludf.DUMMYFUNCTION("""COMPUTED_VALUE"""),"No")</f>
        <v>No</v>
      </c>
    </row>
    <row r="1063" spans="1:36" ht="13">
      <c r="A1063" s="5" t="str">
        <f ca="1">IFERROR(__xludf.DUMMYFUNCTION("""COMPUTED_VALUE"""),"20161025UTUNS")</f>
        <v>20161025UTUNS</v>
      </c>
      <c r="B1063" s="5">
        <f ca="1">IFERROR(__xludf.DUMMYFUNCTION("""COMPUTED_VALUE"""),10)</f>
        <v>10</v>
      </c>
      <c r="C1063" s="5">
        <f ca="1">IFERROR(__xludf.DUMMYFUNCTION("""COMPUTED_VALUE"""),25)</f>
        <v>25</v>
      </c>
      <c r="D1063" s="5">
        <f ca="1">IFERROR(__xludf.DUMMYFUNCTION("""COMPUTED_VALUE"""),2016)</f>
        <v>2016</v>
      </c>
      <c r="E1063" s="8">
        <f ca="1">IFERROR(__xludf.DUMMYFUNCTION("""COMPUTED_VALUE"""),42668)</f>
        <v>42668</v>
      </c>
      <c r="F1063" s="5" t="str">
        <f ca="1">IFERROR(__xludf.DUMMYFUNCTION("""COMPUTED_VALUE"""),"Union Middle School")</f>
        <v>Union Middle School</v>
      </c>
      <c r="G1063" s="5">
        <f ca="1">IFERROR(__xludf.DUMMYFUNCTION("""COMPUTED_VALUE"""),0)</f>
        <v>0</v>
      </c>
      <c r="H1063" s="5">
        <f ca="1">IFERROR(__xludf.DUMMYFUNCTION("""COMPUTED_VALUE"""),1)</f>
        <v>1</v>
      </c>
      <c r="I1063" s="5">
        <f ca="1">IFERROR(__xludf.DUMMYFUNCTION("""COMPUTED_VALUE"""),1)</f>
        <v>1</v>
      </c>
      <c r="J1063" s="5">
        <f ca="1">IFERROR(__xludf.DUMMYFUNCTION("""COMPUTED_VALUE"""),0)</f>
        <v>0</v>
      </c>
      <c r="K1063" s="9" t="str">
        <f ca="1">IFERROR(__xludf.DUMMYFUNCTION("""COMPUTED_VALUE"""),"https://www.ksl.com/?sid=42051617&amp;nid=148&amp;title=14-year-old-charged-with-attempted-murder-in-union-middle-school-shooting")</f>
        <v>https://www.ksl.com/?sid=42051617&amp;nid=148&amp;title=14-year-old-charged-with-attempted-murder-in-union-middle-school-shooting</v>
      </c>
      <c r="L1063" s="5">
        <f ca="1">IFERROR(__xludf.DUMMYFUNCTION("""COMPUTED_VALUE"""),5)</f>
        <v>5</v>
      </c>
      <c r="M1063" s="5" t="str">
        <f ca="1">IFERROR(__xludf.DUMMYFUNCTION("""COMPUTED_VALUE"""),"Regional")</f>
        <v>Regional</v>
      </c>
      <c r="N1063" s="5">
        <f ca="1">IFERROR(__xludf.DUMMYFUNCTION("""COMPUTED_VALUE"""),2)</f>
        <v>2</v>
      </c>
      <c r="O1063" s="5" t="str">
        <f ca="1">IFERROR(__xludf.DUMMYFUNCTION("""COMPUTED_VALUE"""),"Fall")</f>
        <v>Fall</v>
      </c>
      <c r="P1063" s="5" t="str">
        <f ca="1">IFERROR(__xludf.DUMMYFUNCTION("""COMPUTED_VALUE"""),"Sandy")</f>
        <v>Sandy</v>
      </c>
      <c r="Q1063" s="5" t="str">
        <f ca="1">IFERROR(__xludf.DUMMYFUNCTION("""COMPUTED_VALUE"""),"UT")</f>
        <v>UT</v>
      </c>
      <c r="R1063" s="5" t="str">
        <f ca="1">IFERROR(__xludf.DUMMYFUNCTION("""COMPUTED_VALUE"""),"Middle")</f>
        <v>Middle</v>
      </c>
      <c r="S1063" s="5" t="str">
        <f ca="1">IFERROR(__xludf.DUMMYFUNCTION("""COMPUTED_VALUE"""),"Beside Building")</f>
        <v>Beside Building</v>
      </c>
      <c r="T1063" s="5" t="str">
        <f ca="1">IFERROR(__xludf.DUMMYFUNCTION("""COMPUTED_VALUE"""),"Outside on School Property")</f>
        <v>Outside on School Property</v>
      </c>
      <c r="U1063" s="5" t="str">
        <f ca="1">IFERROR(__xludf.DUMMYFUNCTION("""COMPUTED_VALUE"""),"Yes")</f>
        <v>Yes</v>
      </c>
      <c r="V1063" s="5" t="str">
        <f ca="1">IFERROR(__xludf.DUMMYFUNCTION("""COMPUTED_VALUE"""),"Dismissal")</f>
        <v>Dismissal</v>
      </c>
      <c r="W1063" s="10">
        <f ca="1">IFERROR(__xludf.DUMMYFUNCTION("""COMPUTED_VALUE"""),0.625)</f>
        <v>0.625</v>
      </c>
      <c r="X1063" s="5">
        <f ca="1">IFERROR(__xludf.DUMMYFUNCTION("""COMPUTED_VALUE"""),1)</f>
        <v>1</v>
      </c>
      <c r="Y1063" s="5" t="str">
        <f ca="1">IFERROR(__xludf.DUMMYFUNCTION("""COMPUTED_VALUE"""),"Planned fight after school")</f>
        <v>Planned fight after school</v>
      </c>
      <c r="Z1063" s="5" t="str">
        <f ca="1">IFERROR(__xludf.DUMMYFUNCTION("""COMPUTED_VALUE"""),"Planned fight after school, ongoing conflict between shooter and 16 YO victim regarding the shooter's girlfriend, who previously dated the victim. Prior to the shooting, the two exchanged threatening messages on Facebook. Shooter showed other students the"&amp;" gun before the fight. Allegedly told another student not to go to school that day.")</f>
        <v>Planned fight after school, ongoing conflict between shooter and 16 YO victim regarding the shooter's girlfriend, who previously dated the victim. Prior to the shooting, the two exchanged threatening messages on Facebook. Shooter showed other students the gun before the fight. Allegedly told another student not to go to school that day.</v>
      </c>
      <c r="AA1063" s="5" t="str">
        <f ca="1">IFERROR(__xludf.DUMMYFUNCTION("""COMPUTED_VALUE"""),"Escalation of Dispute")</f>
        <v>Escalation of Dispute</v>
      </c>
      <c r="AB1063" s="5" t="str">
        <f ca="1">IFERROR(__xludf.DUMMYFUNCTION("""COMPUTED_VALUE"""),"Victims Targeted")</f>
        <v>Victims Targeted</v>
      </c>
      <c r="AC1063" s="5" t="str">
        <f ca="1">IFERROR(__xludf.DUMMYFUNCTION("""COMPUTED_VALUE"""),"No")</f>
        <v>No</v>
      </c>
      <c r="AD1063" s="5" t="str">
        <f ca="1">IFERROR(__xludf.DUMMYFUNCTION("""COMPUTED_VALUE"""),"No")</f>
        <v>No</v>
      </c>
      <c r="AE1063" s="5" t="str">
        <f ca="1">IFERROR(__xludf.DUMMYFUNCTION("""COMPUTED_VALUE"""),"No")</f>
        <v>No</v>
      </c>
      <c r="AF1063" s="5" t="str">
        <f ca="1">IFERROR(__xludf.DUMMYFUNCTION("""COMPUTED_VALUE"""),"No")</f>
        <v>No</v>
      </c>
      <c r="AG1063" s="5" t="str">
        <f ca="1">IFERROR(__xludf.DUMMYFUNCTION("""COMPUTED_VALUE"""),"No")</f>
        <v>No</v>
      </c>
      <c r="AH1063" s="5" t="str">
        <f ca="1">IFERROR(__xludf.DUMMYFUNCTION("""COMPUTED_VALUE"""),"No")</f>
        <v>No</v>
      </c>
      <c r="AI1063" s="5" t="str">
        <f ca="1">IFERROR(__xludf.DUMMYFUNCTION("""COMPUTED_VALUE"""),"No")</f>
        <v>No</v>
      </c>
      <c r="AJ1063" s="5" t="str">
        <f ca="1">IFERROR(__xludf.DUMMYFUNCTION("""COMPUTED_VALUE"""),"No")</f>
        <v>No</v>
      </c>
    </row>
    <row r="1064" spans="1:36" ht="13">
      <c r="A1064" s="5" t="str">
        <f ca="1">IFERROR(__xludf.DUMMYFUNCTION("""COMPUTED_VALUE"""),"20161018CAJUS")</f>
        <v>20161018CAJUS</v>
      </c>
      <c r="B1064" s="5">
        <f ca="1">IFERROR(__xludf.DUMMYFUNCTION("""COMPUTED_VALUE"""),10)</f>
        <v>10</v>
      </c>
      <c r="C1064" s="5">
        <f ca="1">IFERROR(__xludf.DUMMYFUNCTION("""COMPUTED_VALUE"""),18)</f>
        <v>18</v>
      </c>
      <c r="D1064" s="5">
        <f ca="1">IFERROR(__xludf.DUMMYFUNCTION("""COMPUTED_VALUE"""),2016)</f>
        <v>2016</v>
      </c>
      <c r="E1064" s="8">
        <f ca="1">IFERROR(__xludf.DUMMYFUNCTION("""COMPUTED_VALUE"""),42661)</f>
        <v>42661</v>
      </c>
      <c r="F1064" s="5" t="str">
        <f ca="1">IFERROR(__xludf.DUMMYFUNCTION("""COMPUTED_VALUE"""),"June Jordan High School for Equity")</f>
        <v>June Jordan High School for Equity</v>
      </c>
      <c r="G1064" s="5">
        <f ca="1">IFERROR(__xludf.DUMMYFUNCTION("""COMPUTED_VALUE"""),0)</f>
        <v>0</v>
      </c>
      <c r="H1064" s="5">
        <f ca="1">IFERROR(__xludf.DUMMYFUNCTION("""COMPUTED_VALUE"""),4)</f>
        <v>4</v>
      </c>
      <c r="I1064" s="5">
        <f ca="1">IFERROR(__xludf.DUMMYFUNCTION("""COMPUTED_VALUE"""),4)</f>
        <v>4</v>
      </c>
      <c r="J1064" s="5">
        <f ca="1">IFERROR(__xludf.DUMMYFUNCTION("""COMPUTED_VALUE"""),0)</f>
        <v>0</v>
      </c>
      <c r="K1064" s="9" t="str">
        <f ca="1">IFERROR(__xludf.DUMMYFUNCTION("""COMPUTED_VALUE"""),"https://www.sfgate.com/crime/article/Two-arrested-in-SF-school-shooting-that-injured-4-10005290.php")</f>
        <v>https://www.sfgate.com/crime/article/Two-arrested-in-SF-school-shooting-that-injured-4-10005290.php</v>
      </c>
      <c r="L1064" s="5">
        <f ca="1">IFERROR(__xludf.DUMMYFUNCTION("""COMPUTED_VALUE"""),5)</f>
        <v>5</v>
      </c>
      <c r="M1064" s="5" t="str">
        <f ca="1">IFERROR(__xludf.DUMMYFUNCTION("""COMPUTED_VALUE"""),"Regional")</f>
        <v>Regional</v>
      </c>
      <c r="N1064" s="5">
        <f ca="1">IFERROR(__xludf.DUMMYFUNCTION("""COMPUTED_VALUE"""),2)</f>
        <v>2</v>
      </c>
      <c r="O1064" s="5" t="str">
        <f ca="1">IFERROR(__xludf.DUMMYFUNCTION("""COMPUTED_VALUE"""),"Fall")</f>
        <v>Fall</v>
      </c>
      <c r="P1064" s="5" t="str">
        <f ca="1">IFERROR(__xludf.DUMMYFUNCTION("""COMPUTED_VALUE"""),"San Francisco")</f>
        <v>San Francisco</v>
      </c>
      <c r="Q1064" s="5" t="str">
        <f ca="1">IFERROR(__xludf.DUMMYFUNCTION("""COMPUTED_VALUE"""),"CA")</f>
        <v>CA</v>
      </c>
      <c r="R1064" s="5" t="str">
        <f ca="1">IFERROR(__xludf.DUMMYFUNCTION("""COMPUTED_VALUE"""),"High")</f>
        <v>High</v>
      </c>
      <c r="S1064" s="5" t="str">
        <f ca="1">IFERROR(__xludf.DUMMYFUNCTION("""COMPUTED_VALUE"""),"Parking Lot")</f>
        <v>Parking Lot</v>
      </c>
      <c r="T1064" s="5" t="str">
        <f ca="1">IFERROR(__xludf.DUMMYFUNCTION("""COMPUTED_VALUE"""),"Outside on School Property")</f>
        <v>Outside on School Property</v>
      </c>
      <c r="U1064" s="5" t="str">
        <f ca="1">IFERROR(__xludf.DUMMYFUNCTION("""COMPUTED_VALUE"""),"No")</f>
        <v>No</v>
      </c>
      <c r="V1064" s="5" t="str">
        <f ca="1">IFERROR(__xludf.DUMMYFUNCTION("""COMPUTED_VALUE"""),"After School")</f>
        <v>After School</v>
      </c>
      <c r="W1064" s="10">
        <f ca="1">IFERROR(__xludf.DUMMYFUNCTION("""COMPUTED_VALUE"""),0.638888888888888)</f>
        <v>0.63888888888888795</v>
      </c>
      <c r="X1064" s="5">
        <f ca="1">IFERROR(__xludf.DUMMYFUNCTION("""COMPUTED_VALUE"""),1)</f>
        <v>1</v>
      </c>
      <c r="Y1064" s="5" t="str">
        <f ca="1">IFERROR(__xludf.DUMMYFUNCTION("""COMPUTED_VALUE"""),"Shooting in parking lot")</f>
        <v>Shooting in parking lot</v>
      </c>
      <c r="Z1064" s="5" t="str">
        <f ca="1">IFERROR(__xludf.DUMMYFUNCTION("""COMPUTED_VALUE"""),"4 shooters (all minors/not students at that school) fired in the parking lot at the end of the school day. 15 YOF was seriously injured (target). 3 other male students have minor injuries. 4 more students may have been struck by BB guns. Police thought th"&amp;"e suspects may have still been inside because 3 of the victims walked inside the school and it seemed like the shooting happened there. Shooters fled the scene, 2 of them were later arrested 1 of them charged.")</f>
        <v>4 shooters (all minors/not students at that school) fired in the parking lot at the end of the school day. 15 YOF was seriously injured (target). 3 other male students have minor injuries. 4 more students may have been struck by BB guns. Police thought the suspects may have still been inside because 3 of the victims walked inside the school and it seemed like the shooting happened there. Shooters fled the scene, 2 of them were later arrested 1 of them charged.</v>
      </c>
      <c r="AA1064" s="5" t="str">
        <f ca="1">IFERROR(__xludf.DUMMYFUNCTION("""COMPUTED_VALUE"""),"Escalation of Dispute")</f>
        <v>Escalation of Dispute</v>
      </c>
      <c r="AB1064" s="5" t="str">
        <f ca="1">IFERROR(__xludf.DUMMYFUNCTION("""COMPUTED_VALUE"""),"Both")</f>
        <v>Both</v>
      </c>
      <c r="AC1064" s="5" t="str">
        <f ca="1">IFERROR(__xludf.DUMMYFUNCTION("""COMPUTED_VALUE"""),"Yes")</f>
        <v>Yes</v>
      </c>
      <c r="AD1064" s="5" t="str">
        <f ca="1">IFERROR(__xludf.DUMMYFUNCTION("""COMPUTED_VALUE"""),"No")</f>
        <v>No</v>
      </c>
      <c r="AE1064" s="5" t="str">
        <f ca="1">IFERROR(__xludf.DUMMYFUNCTION("""COMPUTED_VALUE"""),"No")</f>
        <v>No</v>
      </c>
      <c r="AF1064" s="5" t="str">
        <f ca="1">IFERROR(__xludf.DUMMYFUNCTION("""COMPUTED_VALUE"""),"No")</f>
        <v>No</v>
      </c>
      <c r="AG1064" s="5" t="str">
        <f ca="1">IFERROR(__xludf.DUMMYFUNCTION("""COMPUTED_VALUE"""),"No")</f>
        <v>No</v>
      </c>
      <c r="AH1064" s="5" t="str">
        <f ca="1">IFERROR(__xludf.DUMMYFUNCTION("""COMPUTED_VALUE"""),"No")</f>
        <v>No</v>
      </c>
      <c r="AI1064" s="5"/>
      <c r="AJ1064" s="5" t="str">
        <f ca="1">IFERROR(__xludf.DUMMYFUNCTION("""COMPUTED_VALUE"""),"No")</f>
        <v>No</v>
      </c>
    </row>
    <row r="1065" spans="1:36" ht="13">
      <c r="A1065" s="5" t="str">
        <f ca="1">IFERROR(__xludf.DUMMYFUNCTION("""COMPUTED_VALUE"""),"20161015GABEA")</f>
        <v>20161015GABEA</v>
      </c>
      <c r="B1065" s="5">
        <f ca="1">IFERROR(__xludf.DUMMYFUNCTION("""COMPUTED_VALUE"""),10)</f>
        <v>10</v>
      </c>
      <c r="C1065" s="5">
        <f ca="1">IFERROR(__xludf.DUMMYFUNCTION("""COMPUTED_VALUE"""),15)</f>
        <v>15</v>
      </c>
      <c r="D1065" s="5">
        <f ca="1">IFERROR(__xludf.DUMMYFUNCTION("""COMPUTED_VALUE"""),2016)</f>
        <v>2016</v>
      </c>
      <c r="E1065" s="8">
        <f ca="1">IFERROR(__xludf.DUMMYFUNCTION("""COMPUTED_VALUE"""),42658)</f>
        <v>42658</v>
      </c>
      <c r="F1065" s="5" t="str">
        <f ca="1">IFERROR(__xludf.DUMMYFUNCTION("""COMPUTED_VALUE"""),"Benjamin E. Mays High School")</f>
        <v>Benjamin E. Mays High School</v>
      </c>
      <c r="G1065" s="5">
        <f ca="1">IFERROR(__xludf.DUMMYFUNCTION("""COMPUTED_VALUE"""),0)</f>
        <v>0</v>
      </c>
      <c r="H1065" s="5">
        <f ca="1">IFERROR(__xludf.DUMMYFUNCTION("""COMPUTED_VALUE"""),1)</f>
        <v>1</v>
      </c>
      <c r="I1065" s="5">
        <f ca="1">IFERROR(__xludf.DUMMYFUNCTION("""COMPUTED_VALUE"""),1)</f>
        <v>1</v>
      </c>
      <c r="J1065" s="5">
        <f ca="1">IFERROR(__xludf.DUMMYFUNCTION("""COMPUTED_VALUE"""),0)</f>
        <v>0</v>
      </c>
      <c r="K1065" s="9" t="str">
        <f ca="1">IFERROR(__xludf.DUMMYFUNCTION("""COMPUTED_VALUE"""),"http://usatodayhss.com/2016/student-shot-outside-atlanta-high-school-after-football-game")</f>
        <v>http://usatodayhss.com/2016/student-shot-outside-atlanta-high-school-after-football-game</v>
      </c>
      <c r="L1065" s="5">
        <f ca="1">IFERROR(__xludf.DUMMYFUNCTION("""COMPUTED_VALUE"""),1)</f>
        <v>1</v>
      </c>
      <c r="M1065" s="5" t="str">
        <f ca="1">IFERROR(__xludf.DUMMYFUNCTION("""COMPUTED_VALUE"""),"Local")</f>
        <v>Local</v>
      </c>
      <c r="N1065" s="5">
        <f ca="1">IFERROR(__xludf.DUMMYFUNCTION("""COMPUTED_VALUE"""),2)</f>
        <v>2</v>
      </c>
      <c r="O1065" s="5" t="str">
        <f ca="1">IFERROR(__xludf.DUMMYFUNCTION("""COMPUTED_VALUE"""),"Fall")</f>
        <v>Fall</v>
      </c>
      <c r="P1065" s="5" t="str">
        <f ca="1">IFERROR(__xludf.DUMMYFUNCTION("""COMPUTED_VALUE"""),"Atlanta")</f>
        <v>Atlanta</v>
      </c>
      <c r="Q1065" s="5" t="str">
        <f ca="1">IFERROR(__xludf.DUMMYFUNCTION("""COMPUTED_VALUE"""),"GA")</f>
        <v>GA</v>
      </c>
      <c r="R1065" s="5" t="str">
        <f ca="1">IFERROR(__xludf.DUMMYFUNCTION("""COMPUTED_VALUE"""),"High")</f>
        <v>High</v>
      </c>
      <c r="S1065" s="5" t="str">
        <f ca="1">IFERROR(__xludf.DUMMYFUNCTION("""COMPUTED_VALUE"""),"Parking Lot")</f>
        <v>Parking Lot</v>
      </c>
      <c r="T1065" s="5" t="str">
        <f ca="1">IFERROR(__xludf.DUMMYFUNCTION("""COMPUTED_VALUE"""),"Outside on School Property")</f>
        <v>Outside on School Property</v>
      </c>
      <c r="U1065" s="5" t="str">
        <f ca="1">IFERROR(__xludf.DUMMYFUNCTION("""COMPUTED_VALUE"""),"No")</f>
        <v>No</v>
      </c>
      <c r="V1065" s="5" t="str">
        <f ca="1">IFERROR(__xludf.DUMMYFUNCTION("""COMPUTED_VALUE"""),"Sport Event")</f>
        <v>Sport Event</v>
      </c>
      <c r="W1065" s="5"/>
      <c r="X1065" s="5">
        <f ca="1">IFERROR(__xludf.DUMMYFUNCTION("""COMPUTED_VALUE"""),1)</f>
        <v>1</v>
      </c>
      <c r="Y1065" s="5" t="str">
        <f ca="1">IFERROR(__xludf.DUMMYFUNCTION("""COMPUTED_VALUE"""),"Shots fired from a car in the parking lot after an evening football game")</f>
        <v>Shots fired from a car in the parking lot after an evening football game</v>
      </c>
      <c r="Z1065" s="5" t="str">
        <f ca="1">IFERROR(__xludf.DUMMYFUNCTION("""COMPUTED_VALUE"""),"Shot fired from car in parking lot after football game. One student injured. Unclear if victim was the intended target. Shooter fled in the vehicle.")</f>
        <v>Shot fired from car in parking lot after football game. One student injured. Unclear if victim was the intended target. Shooter fled in the vehicle.</v>
      </c>
      <c r="AA1065" s="5" t="str">
        <f ca="1">IFERROR(__xludf.DUMMYFUNCTION("""COMPUTED_VALUE"""),"Drive-by Shooting")</f>
        <v>Drive-by Shooting</v>
      </c>
      <c r="AB1065" s="5"/>
      <c r="AC1065" s="5"/>
      <c r="AD1065" s="5" t="str">
        <f ca="1">IFERROR(__xludf.DUMMYFUNCTION("""COMPUTED_VALUE"""),"No")</f>
        <v>No</v>
      </c>
      <c r="AE1065" s="5" t="str">
        <f ca="1">IFERROR(__xludf.DUMMYFUNCTION("""COMPUTED_VALUE"""),"No")</f>
        <v>No</v>
      </c>
      <c r="AF1065" s="5" t="str">
        <f ca="1">IFERROR(__xludf.DUMMYFUNCTION("""COMPUTED_VALUE"""),"No")</f>
        <v>No</v>
      </c>
      <c r="AG1065" s="5" t="str">
        <f ca="1">IFERROR(__xludf.DUMMYFUNCTION("""COMPUTED_VALUE"""),"No")</f>
        <v>No</v>
      </c>
      <c r="AH1065" s="5" t="str">
        <f ca="1">IFERROR(__xludf.DUMMYFUNCTION("""COMPUTED_VALUE"""),"No")</f>
        <v>No</v>
      </c>
      <c r="AI1065" s="5" t="str">
        <f ca="1">IFERROR(__xludf.DUMMYFUNCTION("""COMPUTED_VALUE"""),"Yes")</f>
        <v>Yes</v>
      </c>
      <c r="AJ1065" s="5" t="str">
        <f ca="1">IFERROR(__xludf.DUMMYFUNCTION("""COMPUTED_VALUE"""),"No")</f>
        <v>No</v>
      </c>
    </row>
    <row r="1066" spans="1:36" ht="13">
      <c r="A1066" s="5" t="str">
        <f ca="1">IFERROR(__xludf.DUMMYFUNCTION("""COMPUTED_VALUE"""),"20161013OHLIC")</f>
        <v>20161013OHLIC</v>
      </c>
      <c r="B1066" s="5">
        <f ca="1">IFERROR(__xludf.DUMMYFUNCTION("""COMPUTED_VALUE"""),10)</f>
        <v>10</v>
      </c>
      <c r="C1066" s="5">
        <f ca="1">IFERROR(__xludf.DUMMYFUNCTION("""COMPUTED_VALUE"""),13)</f>
        <v>13</v>
      </c>
      <c r="D1066" s="5">
        <f ca="1">IFERROR(__xludf.DUMMYFUNCTION("""COMPUTED_VALUE"""),2016)</f>
        <v>2016</v>
      </c>
      <c r="E1066" s="8">
        <f ca="1">IFERROR(__xludf.DUMMYFUNCTION("""COMPUTED_VALUE"""),42656)</f>
        <v>42656</v>
      </c>
      <c r="F1066" s="5" t="str">
        <f ca="1">IFERROR(__xludf.DUMMYFUNCTION("""COMPUTED_VALUE"""),"Linden McKinley STEM Academy")</f>
        <v>Linden McKinley STEM Academy</v>
      </c>
      <c r="G1066" s="5">
        <f ca="1">IFERROR(__xludf.DUMMYFUNCTION("""COMPUTED_VALUE"""),0)</f>
        <v>0</v>
      </c>
      <c r="H1066" s="5">
        <f ca="1">IFERROR(__xludf.DUMMYFUNCTION("""COMPUTED_VALUE"""),2)</f>
        <v>2</v>
      </c>
      <c r="I1066" s="5">
        <f ca="1">IFERROR(__xludf.DUMMYFUNCTION("""COMPUTED_VALUE"""),2)</f>
        <v>2</v>
      </c>
      <c r="J1066" s="5">
        <f ca="1">IFERROR(__xludf.DUMMYFUNCTION("""COMPUTED_VALUE"""),0)</f>
        <v>0</v>
      </c>
      <c r="K1066" s="9" t="str">
        <f ca="1">IFERROR(__xludf.DUMMYFUNCTION("""COMPUTED_VALUE"""),"http://www.dispatch.com/content/stories/local/2016/10/20/Two-charged-in-Linden-McKinley-shooting.html")</f>
        <v>http://www.dispatch.com/content/stories/local/2016/10/20/Two-charged-in-Linden-McKinley-shooting.html</v>
      </c>
      <c r="L1066" s="5">
        <f ca="1">IFERROR(__xludf.DUMMYFUNCTION("""COMPUTED_VALUE"""),1)</f>
        <v>1</v>
      </c>
      <c r="M1066" s="5" t="str">
        <f ca="1">IFERROR(__xludf.DUMMYFUNCTION("""COMPUTED_VALUE"""),"Local")</f>
        <v>Local</v>
      </c>
      <c r="N1066" s="5">
        <f ca="1">IFERROR(__xludf.DUMMYFUNCTION("""COMPUTED_VALUE"""),2)</f>
        <v>2</v>
      </c>
      <c r="O1066" s="5" t="str">
        <f ca="1">IFERROR(__xludf.DUMMYFUNCTION("""COMPUTED_VALUE"""),"Fall")</f>
        <v>Fall</v>
      </c>
      <c r="P1066" s="5" t="str">
        <f ca="1">IFERROR(__xludf.DUMMYFUNCTION("""COMPUTED_VALUE"""),"Columbus")</f>
        <v>Columbus</v>
      </c>
      <c r="Q1066" s="5" t="str">
        <f ca="1">IFERROR(__xludf.DUMMYFUNCTION("""COMPUTED_VALUE"""),"OH")</f>
        <v>OH</v>
      </c>
      <c r="R1066" s="5" t="str">
        <f ca="1">IFERROR(__xludf.DUMMYFUNCTION("""COMPUTED_VALUE"""),"High")</f>
        <v>High</v>
      </c>
      <c r="S1066" s="5" t="str">
        <f ca="1">IFERROR(__xludf.DUMMYFUNCTION("""COMPUTED_VALUE"""),"Front of School")</f>
        <v>Front of School</v>
      </c>
      <c r="T1066" s="5" t="str">
        <f ca="1">IFERROR(__xludf.DUMMYFUNCTION("""COMPUTED_VALUE"""),"Outside on School Property")</f>
        <v>Outside on School Property</v>
      </c>
      <c r="U1066" s="5" t="str">
        <f ca="1">IFERROR(__xludf.DUMMYFUNCTION("""COMPUTED_VALUE"""),"No")</f>
        <v>No</v>
      </c>
      <c r="V1066" s="5" t="str">
        <f ca="1">IFERROR(__xludf.DUMMYFUNCTION("""COMPUTED_VALUE"""),"Dismissal")</f>
        <v>Dismissal</v>
      </c>
      <c r="W1066" s="10">
        <f ca="1">IFERROR(__xludf.DUMMYFUNCTION("""COMPUTED_VALUE"""),0.611111111111111)</f>
        <v>0.61111111111111105</v>
      </c>
      <c r="X1066" s="5">
        <f ca="1">IFERROR(__xludf.DUMMYFUNCTION("""COMPUTED_VALUE"""),1)</f>
        <v>1</v>
      </c>
      <c r="Y1066" s="5" t="str">
        <f ca="1">IFERROR(__xludf.DUMMYFUNCTION("""COMPUTED_VALUE"""),"Drive-by involving gang members outside of school")</f>
        <v>Drive-by involving gang members outside of school</v>
      </c>
      <c r="Z1066" s="5" t="str">
        <f ca="1">IFERROR(__xludf.DUMMYFUNCTION("""COMPUTED_VALUE"""),"Drive-by shooting outside of school, location of frequent shootings in high crime neighborhood. A witness reported that someone yelled a curse at the four people in the car (East Side residents) and then the group of students was shot at.")</f>
        <v>Drive-by shooting outside of school, location of frequent shootings in high crime neighborhood. A witness reported that someone yelled a curse at the four people in the car (East Side residents) and then the group of students was shot at.</v>
      </c>
      <c r="AA1066" s="5" t="str">
        <f ca="1">IFERROR(__xludf.DUMMYFUNCTION("""COMPUTED_VALUE"""),"Drive-by Shooting")</f>
        <v>Drive-by Shooting</v>
      </c>
      <c r="AB1066" s="5" t="str">
        <f ca="1">IFERROR(__xludf.DUMMYFUNCTION("""COMPUTED_VALUE"""),"Victims Targeted")</f>
        <v>Victims Targeted</v>
      </c>
      <c r="AC1066" s="5"/>
      <c r="AD1066" s="5" t="str">
        <f ca="1">IFERROR(__xludf.DUMMYFUNCTION("""COMPUTED_VALUE"""),"No")</f>
        <v>No</v>
      </c>
      <c r="AE1066" s="5" t="str">
        <f ca="1">IFERROR(__xludf.DUMMYFUNCTION("""COMPUTED_VALUE"""),"No")</f>
        <v>No</v>
      </c>
      <c r="AF1066" s="5" t="str">
        <f ca="1">IFERROR(__xludf.DUMMYFUNCTION("""COMPUTED_VALUE"""),"No")</f>
        <v>No</v>
      </c>
      <c r="AG1066" s="5" t="str">
        <f ca="1">IFERROR(__xludf.DUMMYFUNCTION("""COMPUTED_VALUE"""),"No")</f>
        <v>No</v>
      </c>
      <c r="AH1066" s="5" t="str">
        <f ca="1">IFERROR(__xludf.DUMMYFUNCTION("""COMPUTED_VALUE"""),"No")</f>
        <v>No</v>
      </c>
      <c r="AI1066" s="5" t="str">
        <f ca="1">IFERROR(__xludf.DUMMYFUNCTION("""COMPUTED_VALUE"""),"Yes")</f>
        <v>Yes</v>
      </c>
      <c r="AJ1066" s="5" t="str">
        <f ca="1">IFERROR(__xludf.DUMMYFUNCTION("""COMPUTED_VALUE"""),"No")</f>
        <v>No</v>
      </c>
    </row>
    <row r="1067" spans="1:36" ht="13">
      <c r="A1067" s="5" t="str">
        <f ca="1">IFERROR(__xludf.DUMMYFUNCTION("""COMPUTED_VALUE"""),"20161011ALVIM")</f>
        <v>20161011ALVIM</v>
      </c>
      <c r="B1067" s="5">
        <f ca="1">IFERROR(__xludf.DUMMYFUNCTION("""COMPUTED_VALUE"""),10)</f>
        <v>10</v>
      </c>
      <c r="C1067" s="5">
        <f ca="1">IFERROR(__xludf.DUMMYFUNCTION("""COMPUTED_VALUE"""),11)</f>
        <v>11</v>
      </c>
      <c r="D1067" s="5">
        <f ca="1">IFERROR(__xludf.DUMMYFUNCTION("""COMPUTED_VALUE"""),2016)</f>
        <v>2016</v>
      </c>
      <c r="E1067" s="8">
        <f ca="1">IFERROR(__xludf.DUMMYFUNCTION("""COMPUTED_VALUE"""),42654)</f>
        <v>42654</v>
      </c>
      <c r="F1067" s="5" t="str">
        <f ca="1">IFERROR(__xludf.DUMMYFUNCTION("""COMPUTED_VALUE"""),"Vigor High School")</f>
        <v>Vigor High School</v>
      </c>
      <c r="G1067" s="5">
        <f ca="1">IFERROR(__xludf.DUMMYFUNCTION("""COMPUTED_VALUE"""),0)</f>
        <v>0</v>
      </c>
      <c r="H1067" s="5">
        <f ca="1">IFERROR(__xludf.DUMMYFUNCTION("""COMPUTED_VALUE"""),1)</f>
        <v>1</v>
      </c>
      <c r="I1067" s="5">
        <f ca="1">IFERROR(__xludf.DUMMYFUNCTION("""COMPUTED_VALUE"""),1)</f>
        <v>1</v>
      </c>
      <c r="J1067" s="5">
        <f ca="1">IFERROR(__xludf.DUMMYFUNCTION("""COMPUTED_VALUE"""),0)</f>
        <v>0</v>
      </c>
      <c r="K1067" s="9" t="str">
        <f ca="1">IFERROR(__xludf.DUMMYFUNCTION("""COMPUTED_VALUE"""),"https://www.al.com/news/mobile/index.ssf/2016/10/teen_injured_in_high_school_sh.html")</f>
        <v>https://www.al.com/news/mobile/index.ssf/2016/10/teen_injured_in_high_school_sh.html</v>
      </c>
      <c r="L1067" s="5">
        <f ca="1">IFERROR(__xludf.DUMMYFUNCTION("""COMPUTED_VALUE"""),1)</f>
        <v>1</v>
      </c>
      <c r="M1067" s="5" t="str">
        <f ca="1">IFERROR(__xludf.DUMMYFUNCTION("""COMPUTED_VALUE"""),"Local")</f>
        <v>Local</v>
      </c>
      <c r="N1067" s="5">
        <f ca="1">IFERROR(__xludf.DUMMYFUNCTION("""COMPUTED_VALUE"""),2)</f>
        <v>2</v>
      </c>
      <c r="O1067" s="5" t="str">
        <f ca="1">IFERROR(__xludf.DUMMYFUNCTION("""COMPUTED_VALUE"""),"Fall")</f>
        <v>Fall</v>
      </c>
      <c r="P1067" s="5" t="str">
        <f ca="1">IFERROR(__xludf.DUMMYFUNCTION("""COMPUTED_VALUE"""),"Mobile")</f>
        <v>Mobile</v>
      </c>
      <c r="Q1067" s="5" t="str">
        <f ca="1">IFERROR(__xludf.DUMMYFUNCTION("""COMPUTED_VALUE"""),"AL")</f>
        <v>AL</v>
      </c>
      <c r="R1067" s="5" t="str">
        <f ca="1">IFERROR(__xludf.DUMMYFUNCTION("""COMPUTED_VALUE"""),"High")</f>
        <v>High</v>
      </c>
      <c r="S1067" s="5" t="str">
        <f ca="1">IFERROR(__xludf.DUMMYFUNCTION("""COMPUTED_VALUE"""),"Outside on School Property")</f>
        <v>Outside on School Property</v>
      </c>
      <c r="T1067" s="5" t="str">
        <f ca="1">IFERROR(__xludf.DUMMYFUNCTION("""COMPUTED_VALUE"""),"Outside on School Property")</f>
        <v>Outside on School Property</v>
      </c>
      <c r="U1067" s="5" t="str">
        <f ca="1">IFERROR(__xludf.DUMMYFUNCTION("""COMPUTED_VALUE"""),"No")</f>
        <v>No</v>
      </c>
      <c r="V1067" s="5" t="str">
        <f ca="1">IFERROR(__xludf.DUMMYFUNCTION("""COMPUTED_VALUE"""),"After School")</f>
        <v>After School</v>
      </c>
      <c r="W1067" s="10">
        <f ca="1">IFERROR(__xludf.DUMMYFUNCTION("""COMPUTED_VALUE"""),0.65625)</f>
        <v>0.65625</v>
      </c>
      <c r="X1067" s="5">
        <f ca="1">IFERROR(__xludf.DUMMYFUNCTION("""COMPUTED_VALUE"""),1)</f>
        <v>1</v>
      </c>
      <c r="Y1067" s="5" t="str">
        <f ca="1">IFERROR(__xludf.DUMMYFUNCTION("""COMPUTED_VALUE"""),"Escalated argument, allegedly about money")</f>
        <v>Escalated argument, allegedly about money</v>
      </c>
      <c r="Z1067" s="5" t="str">
        <f ca="1">IFERROR(__xludf.DUMMYFUNCTION("""COMPUTED_VALUE"""),"Shot another student in the abdomen during a confrontation after school. The shooter and victim knew each other. Allegedly argued about money. Shooter turned himself in but did not disclose details.")</f>
        <v>Shot another student in the abdomen during a confrontation after school. The shooter and victim knew each other. Allegedly argued about money. Shooter turned himself in but did not disclose details.</v>
      </c>
      <c r="AA1067" s="5" t="str">
        <f ca="1">IFERROR(__xludf.DUMMYFUNCTION("""COMPUTED_VALUE"""),"Escalation of Dispute")</f>
        <v>Escalation of Dispute</v>
      </c>
      <c r="AB1067" s="5" t="str">
        <f ca="1">IFERROR(__xludf.DUMMYFUNCTION("""COMPUTED_VALUE"""),"Victims Targeted")</f>
        <v>Victims Targeted</v>
      </c>
      <c r="AC1067" s="5" t="str">
        <f ca="1">IFERROR(__xludf.DUMMYFUNCTION("""COMPUTED_VALUE"""),"No")</f>
        <v>No</v>
      </c>
      <c r="AD1067" s="5" t="str">
        <f ca="1">IFERROR(__xludf.DUMMYFUNCTION("""COMPUTED_VALUE"""),"No")</f>
        <v>No</v>
      </c>
      <c r="AE1067" s="5" t="str">
        <f ca="1">IFERROR(__xludf.DUMMYFUNCTION("""COMPUTED_VALUE"""),"No")</f>
        <v>No</v>
      </c>
      <c r="AF1067" s="5" t="str">
        <f ca="1">IFERROR(__xludf.DUMMYFUNCTION("""COMPUTED_VALUE"""),"No")</f>
        <v>No</v>
      </c>
      <c r="AG1067" s="5" t="str">
        <f ca="1">IFERROR(__xludf.DUMMYFUNCTION("""COMPUTED_VALUE"""),"No")</f>
        <v>No</v>
      </c>
      <c r="AH1067" s="5" t="str">
        <f ca="1">IFERROR(__xludf.DUMMYFUNCTION("""COMPUTED_VALUE"""),"No")</f>
        <v>No</v>
      </c>
      <c r="AI1067" s="5" t="str">
        <f ca="1">IFERROR(__xludf.DUMMYFUNCTION("""COMPUTED_VALUE"""),"No")</f>
        <v>No</v>
      </c>
      <c r="AJ1067" s="5" t="str">
        <f ca="1">IFERROR(__xludf.DUMMYFUNCTION("""COMPUTED_VALUE"""),"No")</f>
        <v>No</v>
      </c>
    </row>
    <row r="1068" spans="1:36" ht="13">
      <c r="A1068" s="5" t="str">
        <f ca="1">IFERROR(__xludf.DUMMYFUNCTION("""COMPUTED_VALUE"""),"20161006TXDUF")</f>
        <v>20161006TXDUF</v>
      </c>
      <c r="B1068" s="5">
        <f ca="1">IFERROR(__xludf.DUMMYFUNCTION("""COMPUTED_VALUE"""),10)</f>
        <v>10</v>
      </c>
      <c r="C1068" s="5">
        <f ca="1">IFERROR(__xludf.DUMMYFUNCTION("""COMPUTED_VALUE"""),6)</f>
        <v>6</v>
      </c>
      <c r="D1068" s="5">
        <f ca="1">IFERROR(__xludf.DUMMYFUNCTION("""COMPUTED_VALUE"""),2016)</f>
        <v>2016</v>
      </c>
      <c r="E1068" s="8">
        <f ca="1">IFERROR(__xludf.DUMMYFUNCTION("""COMPUTED_VALUE"""),42649)</f>
        <v>42649</v>
      </c>
      <c r="F1068" s="5" t="str">
        <f ca="1">IFERROR(__xludf.DUMMYFUNCTION("""COMPUTED_VALUE"""),"Dunbar HIgh School")</f>
        <v>Dunbar HIgh School</v>
      </c>
      <c r="G1068" s="5">
        <f ca="1">IFERROR(__xludf.DUMMYFUNCTION("""COMPUTED_VALUE"""),0)</f>
        <v>0</v>
      </c>
      <c r="H1068" s="5">
        <f ca="1">IFERROR(__xludf.DUMMYFUNCTION("""COMPUTED_VALUE"""),1)</f>
        <v>1</v>
      </c>
      <c r="I1068" s="5">
        <f ca="1">IFERROR(__xludf.DUMMYFUNCTION("""COMPUTED_VALUE"""),1)</f>
        <v>1</v>
      </c>
      <c r="J1068" s="5">
        <f ca="1">IFERROR(__xludf.DUMMYFUNCTION("""COMPUTED_VALUE"""),0)</f>
        <v>0</v>
      </c>
      <c r="K1068" s="5" t="str">
        <f ca="1">IFERROR(__xludf.DUMMYFUNCTION("""COMPUTED_VALUE"""),"https://www.star-telegram.com/news/local/community/fort-worth/article106591812.html  http://www.fox4news.com/news/person-shot-at-fort-worth-high-school-football-game")</f>
        <v>https://www.star-telegram.com/news/local/community/fort-worth/article106591812.html  http://www.fox4news.com/news/person-shot-at-fort-worth-high-school-football-game</v>
      </c>
      <c r="L1068" s="5"/>
      <c r="M1068" s="5"/>
      <c r="N1068" s="5">
        <f ca="1">IFERROR(__xludf.DUMMYFUNCTION("""COMPUTED_VALUE"""),3)</f>
        <v>3</v>
      </c>
      <c r="O1068" s="5" t="str">
        <f ca="1">IFERROR(__xludf.DUMMYFUNCTION("""COMPUTED_VALUE"""),"Fall")</f>
        <v>Fall</v>
      </c>
      <c r="P1068" s="5" t="str">
        <f ca="1">IFERROR(__xludf.DUMMYFUNCTION("""COMPUTED_VALUE"""),"Fort Worth")</f>
        <v>Fort Worth</v>
      </c>
      <c r="Q1068" s="5" t="str">
        <f ca="1">IFERROR(__xludf.DUMMYFUNCTION("""COMPUTED_VALUE"""),"TX")</f>
        <v>TX</v>
      </c>
      <c r="R1068" s="5" t="str">
        <f ca="1">IFERROR(__xludf.DUMMYFUNCTION("""COMPUTED_VALUE"""),"High")</f>
        <v>High</v>
      </c>
      <c r="S1068" s="5" t="str">
        <f ca="1">IFERROR(__xludf.DUMMYFUNCTION("""COMPUTED_VALUE"""),"Football Field/Track")</f>
        <v>Football Field/Track</v>
      </c>
      <c r="T1068" s="5" t="str">
        <f ca="1">IFERROR(__xludf.DUMMYFUNCTION("""COMPUTED_VALUE"""),"Outside on School Property")</f>
        <v>Outside on School Property</v>
      </c>
      <c r="U1068" s="5" t="str">
        <f ca="1">IFERROR(__xludf.DUMMYFUNCTION("""COMPUTED_VALUE"""),"No")</f>
        <v>No</v>
      </c>
      <c r="V1068" s="5" t="str">
        <f ca="1">IFERROR(__xludf.DUMMYFUNCTION("""COMPUTED_VALUE"""),"Sport Event")</f>
        <v>Sport Event</v>
      </c>
      <c r="W1068" s="10">
        <f ca="1">IFERROR(__xludf.DUMMYFUNCTION("""COMPUTED_VALUE"""),0.8125)</f>
        <v>0.8125</v>
      </c>
      <c r="X1068" s="5">
        <f ca="1">IFERROR(__xludf.DUMMYFUNCTION("""COMPUTED_VALUE"""),3)</f>
        <v>3</v>
      </c>
      <c r="Y1068" s="5" t="str">
        <f ca="1">IFERROR(__xludf.DUMMYFUNCTION("""COMPUTED_VALUE"""),"Shooting by gang members at football game")</f>
        <v>Shooting by gang members at football game</v>
      </c>
      <c r="Z1068" s="5" t="str">
        <f ca="1">IFERROR(__xludf.DUMMYFUNCTION("""COMPUTED_VALUE"""),"During a JV football game a white car pulled into school parking lot and shot 10-15 rounds - 18 year old male was struck in hip - non life threatening injury - no news reports of further info or names associated - police believe it was gang related.")</f>
        <v>During a JV football game a white car pulled into school parking lot and shot 10-15 rounds - 18 year old male was struck in hip - non life threatening injury - no news reports of further info or names associated - police believe it was gang related.</v>
      </c>
      <c r="AA1068" s="5" t="str">
        <f ca="1">IFERROR(__xludf.DUMMYFUNCTION("""COMPUTED_VALUE"""),"Drive-by Shooting")</f>
        <v>Drive-by Shooting</v>
      </c>
      <c r="AB1068" s="5"/>
      <c r="AC1068" s="5"/>
      <c r="AD1068" s="5" t="str">
        <f ca="1">IFERROR(__xludf.DUMMYFUNCTION("""COMPUTED_VALUE"""),"No")</f>
        <v>No</v>
      </c>
      <c r="AE1068" s="5" t="str">
        <f ca="1">IFERROR(__xludf.DUMMYFUNCTION("""COMPUTED_VALUE"""),"No")</f>
        <v>No</v>
      </c>
      <c r="AF1068" s="5" t="str">
        <f ca="1">IFERROR(__xludf.DUMMYFUNCTION("""COMPUTED_VALUE"""),"No")</f>
        <v>No</v>
      </c>
      <c r="AG1068" s="5"/>
      <c r="AH1068" s="5"/>
      <c r="AI1068" s="5" t="str">
        <f ca="1">IFERROR(__xludf.DUMMYFUNCTION("""COMPUTED_VALUE"""),"Yes")</f>
        <v>Yes</v>
      </c>
      <c r="AJ1068" s="5" t="str">
        <f ca="1">IFERROR(__xludf.DUMMYFUNCTION("""COMPUTED_VALUE"""),"No")</f>
        <v>No</v>
      </c>
    </row>
    <row r="1069" spans="1:36" ht="13">
      <c r="A1069" s="5" t="str">
        <f ca="1">IFERROR(__xludf.DUMMYFUNCTION("""COMPUTED_VALUE"""),"20160930ILCHC")</f>
        <v>20160930ILCHC</v>
      </c>
      <c r="B1069" s="5">
        <f ca="1">IFERROR(__xludf.DUMMYFUNCTION("""COMPUTED_VALUE"""),9)</f>
        <v>9</v>
      </c>
      <c r="C1069" s="5">
        <f ca="1">IFERROR(__xludf.DUMMYFUNCTION("""COMPUTED_VALUE"""),30)</f>
        <v>30</v>
      </c>
      <c r="D1069" s="5">
        <f ca="1">IFERROR(__xludf.DUMMYFUNCTION("""COMPUTED_VALUE"""),2016)</f>
        <v>2016</v>
      </c>
      <c r="E1069" s="8">
        <f ca="1">IFERROR(__xludf.DUMMYFUNCTION("""COMPUTED_VALUE"""),42643)</f>
        <v>42643</v>
      </c>
      <c r="F1069" s="5" t="str">
        <f ca="1">IFERROR(__xludf.DUMMYFUNCTION("""COMPUTED_VALUE"""),"Christ of King Jesuit College Prep (bus)")</f>
        <v>Christ of King Jesuit College Prep (bus)</v>
      </c>
      <c r="G1069" s="5">
        <f ca="1">IFERROR(__xludf.DUMMYFUNCTION("""COMPUTED_VALUE"""),0)</f>
        <v>0</v>
      </c>
      <c r="H1069" s="5">
        <f ca="1">IFERROR(__xludf.DUMMYFUNCTION("""COMPUTED_VALUE"""),1)</f>
        <v>1</v>
      </c>
      <c r="I1069" s="5">
        <f ca="1">IFERROR(__xludf.DUMMYFUNCTION("""COMPUTED_VALUE"""),1)</f>
        <v>1</v>
      </c>
      <c r="J1069" s="5">
        <f ca="1">IFERROR(__xludf.DUMMYFUNCTION("""COMPUTED_VALUE"""),0)</f>
        <v>0</v>
      </c>
      <c r="K1069" s="9" t="str">
        <f ca="1">IFERROR(__xludf.DUMMYFUNCTION("""COMPUTED_VALUE"""),"https://www.nbcchicago.com/news/local/chicago-school-bus-driver-shot-395469231.html")</f>
        <v>https://www.nbcchicago.com/news/local/chicago-school-bus-driver-shot-395469231.html</v>
      </c>
      <c r="L1069" s="5">
        <f ca="1">IFERROR(__xludf.DUMMYFUNCTION("""COMPUTED_VALUE"""),1)</f>
        <v>1</v>
      </c>
      <c r="M1069" s="5" t="str">
        <f ca="1">IFERROR(__xludf.DUMMYFUNCTION("""COMPUTED_VALUE"""),"Local")</f>
        <v>Local</v>
      </c>
      <c r="N1069" s="5">
        <f ca="1">IFERROR(__xludf.DUMMYFUNCTION("""COMPUTED_VALUE"""),2)</f>
        <v>2</v>
      </c>
      <c r="O1069" s="5" t="str">
        <f ca="1">IFERROR(__xludf.DUMMYFUNCTION("""COMPUTED_VALUE"""),"Fall")</f>
        <v>Fall</v>
      </c>
      <c r="P1069" s="5" t="str">
        <f ca="1">IFERROR(__xludf.DUMMYFUNCTION("""COMPUTED_VALUE"""),"Chicago")</f>
        <v>Chicago</v>
      </c>
      <c r="Q1069" s="5" t="str">
        <f ca="1">IFERROR(__xludf.DUMMYFUNCTION("""COMPUTED_VALUE"""),"IL")</f>
        <v>IL</v>
      </c>
      <c r="R1069" s="5" t="str">
        <f ca="1">IFERROR(__xludf.DUMMYFUNCTION("""COMPUTED_VALUE"""),"High")</f>
        <v>High</v>
      </c>
      <c r="S1069" s="5" t="str">
        <f ca="1">IFERROR(__xludf.DUMMYFUNCTION("""COMPUTED_VALUE"""),"School Bus")</f>
        <v>School Bus</v>
      </c>
      <c r="T1069" s="5" t="str">
        <f ca="1">IFERROR(__xludf.DUMMYFUNCTION("""COMPUTED_VALUE"""),"School Bus")</f>
        <v>School Bus</v>
      </c>
      <c r="U1069" s="5" t="str">
        <f ca="1">IFERROR(__xludf.DUMMYFUNCTION("""COMPUTED_VALUE"""),"Yes")</f>
        <v>Yes</v>
      </c>
      <c r="V1069" s="5" t="str">
        <f ca="1">IFERROR(__xludf.DUMMYFUNCTION("""COMPUTED_VALUE"""),"After School")</f>
        <v>After School</v>
      </c>
      <c r="W1069" s="10">
        <f ca="1">IFERROR(__xludf.DUMMYFUNCTION("""COMPUTED_VALUE"""),0.729166666666666)</f>
        <v>0.72916666666666596</v>
      </c>
      <c r="X1069" s="5">
        <f ca="1">IFERROR(__xludf.DUMMYFUNCTION("""COMPUTED_VALUE"""),1)</f>
        <v>1</v>
      </c>
      <c r="Y1069" s="5" t="str">
        <f ca="1">IFERROR(__xludf.DUMMYFUNCTION("""COMPUTED_VALUE"""),"Shots fired at bus")</f>
        <v>Shots fired at bus</v>
      </c>
      <c r="Z1069" s="5" t="str">
        <f ca="1">IFERROR(__xludf.DUMMYFUNCTION("""COMPUTED_VALUE"""),"Bus driver shot while driving bus full of students")</f>
        <v>Bus driver shot while driving bus full of students</v>
      </c>
      <c r="AA1069" s="5" t="str">
        <f ca="1">IFERROR(__xludf.DUMMYFUNCTION("""COMPUTED_VALUE"""),"Unknown")</f>
        <v>Unknown</v>
      </c>
      <c r="AB1069" s="5"/>
      <c r="AC1069" s="5"/>
      <c r="AD1069" s="5" t="str">
        <f ca="1">IFERROR(__xludf.DUMMYFUNCTION("""COMPUTED_VALUE"""),"No")</f>
        <v>No</v>
      </c>
      <c r="AE1069" s="5" t="str">
        <f ca="1">IFERROR(__xludf.DUMMYFUNCTION("""COMPUTED_VALUE"""),"No")</f>
        <v>No</v>
      </c>
      <c r="AF1069" s="5" t="str">
        <f ca="1">IFERROR(__xludf.DUMMYFUNCTION("""COMPUTED_VALUE"""),"No")</f>
        <v>No</v>
      </c>
      <c r="AG1069" s="5"/>
      <c r="AH1069" s="5" t="str">
        <f ca="1">IFERROR(__xludf.DUMMYFUNCTION("""COMPUTED_VALUE"""),"No")</f>
        <v>No</v>
      </c>
      <c r="AI1069" s="5"/>
      <c r="AJ1069" s="5" t="str">
        <f ca="1">IFERROR(__xludf.DUMMYFUNCTION("""COMPUTED_VALUE"""),"No")</f>
        <v>No</v>
      </c>
    </row>
    <row r="1070" spans="1:36" ht="13">
      <c r="A1070" s="5" t="str">
        <f ca="1">IFERROR(__xludf.DUMMYFUNCTION("""COMPUTED_VALUE"""),"20160928SCTOT")</f>
        <v>20160928SCTOT</v>
      </c>
      <c r="B1070" s="5">
        <f ca="1">IFERROR(__xludf.DUMMYFUNCTION("""COMPUTED_VALUE"""),9)</f>
        <v>9</v>
      </c>
      <c r="C1070" s="5">
        <f ca="1">IFERROR(__xludf.DUMMYFUNCTION("""COMPUTED_VALUE"""),28)</f>
        <v>28</v>
      </c>
      <c r="D1070" s="5">
        <f ca="1">IFERROR(__xludf.DUMMYFUNCTION("""COMPUTED_VALUE"""),2016)</f>
        <v>2016</v>
      </c>
      <c r="E1070" s="8">
        <f ca="1">IFERROR(__xludf.DUMMYFUNCTION("""COMPUTED_VALUE"""),42641)</f>
        <v>42641</v>
      </c>
      <c r="F1070" s="5" t="str">
        <f ca="1">IFERROR(__xludf.DUMMYFUNCTION("""COMPUTED_VALUE"""),"Townville Elementary School")</f>
        <v>Townville Elementary School</v>
      </c>
      <c r="G1070" s="5">
        <f ca="1">IFERROR(__xludf.DUMMYFUNCTION("""COMPUTED_VALUE"""),1)</f>
        <v>1</v>
      </c>
      <c r="H1070" s="5">
        <f ca="1">IFERROR(__xludf.DUMMYFUNCTION("""COMPUTED_VALUE"""),3)</f>
        <v>3</v>
      </c>
      <c r="I1070" s="5">
        <f ca="1">IFERROR(__xludf.DUMMYFUNCTION("""COMPUTED_VALUE"""),4)</f>
        <v>4</v>
      </c>
      <c r="J1070" s="5">
        <f ca="1">IFERROR(__xludf.DUMMYFUNCTION("""COMPUTED_VALUE"""),0)</f>
        <v>0</v>
      </c>
      <c r="K1070" s="5" t="str">
        <f ca="1">IFERROR(__xludf.DUMMYFUNCTION("""COMPUTED_VALUE"""),"https://www.wyff4.com/article/day-3-of-townville-school-shooter-jesse-osbornes-sentencing-trial-gets-underway-at-9-am/29796172 https://www.usatoday.com/story/news/nation-now/2018/02/19/accused-south-carolina-school-shooter/351199002/ https://www.fbi.gov/f"&amp;"ile-repository/active-shooter-incidents-2000-2017.pdf https://abcnews.go.com/US/wireStory/teen-charged-carolina-school-shooting-pleads-guilty-57650643 https://www.newsobserver.com/news/state/south-carolina/article222984205.html https://www.usatoday.com/st"&amp;"ory/news/nation/2019/11/12/townville-school-shooter-jesse-osborne-sentence-anderson-county-sc/2576845001/ https://www.greenvilleonline.com/story/news/local/south-carolina/2019/11/12/townville-school-shooting-jesse-osborne-court-sentencing-hearing-anderson"&amp;"-county-sc/2522008001/")</f>
        <v>https://www.wyff4.com/article/day-3-of-townville-school-shooter-jesse-osbornes-sentencing-trial-gets-underway-at-9-am/29796172 https://www.usatoday.com/story/news/nation-now/2018/02/19/accused-south-carolina-school-shooter/351199002/ https://www.fbi.gov/file-repository/active-shooter-incidents-2000-2017.pdf https://abcnews.go.com/US/wireStory/teen-charged-carolina-school-shooting-pleads-guilty-57650643 https://www.newsobserver.com/news/state/south-carolina/article222984205.html https://www.usatoday.com/story/news/nation/2019/11/12/townville-school-shooter-jesse-osborne-sentence-anderson-county-sc/2576845001/ https://www.greenvilleonline.com/story/news/local/south-carolina/2019/11/12/townville-school-shooting-jesse-osborne-court-sentencing-hearing-anderson-county-sc/2522008001/</v>
      </c>
      <c r="L1070" s="5">
        <f ca="1">IFERROR(__xludf.DUMMYFUNCTION("""COMPUTED_VALUE"""),100)</f>
        <v>100</v>
      </c>
      <c r="M1070" s="5" t="str">
        <f ca="1">IFERROR(__xludf.DUMMYFUNCTION("""COMPUTED_VALUE"""),"National")</f>
        <v>National</v>
      </c>
      <c r="N1070" s="5">
        <f ca="1">IFERROR(__xludf.DUMMYFUNCTION("""COMPUTED_VALUE"""),5)</f>
        <v>5</v>
      </c>
      <c r="O1070" s="5" t="str">
        <f ca="1">IFERROR(__xludf.DUMMYFUNCTION("""COMPUTED_VALUE"""),"Fall")</f>
        <v>Fall</v>
      </c>
      <c r="P1070" s="5" t="str">
        <f ca="1">IFERROR(__xludf.DUMMYFUNCTION("""COMPUTED_VALUE"""),"Townville")</f>
        <v>Townville</v>
      </c>
      <c r="Q1070" s="5" t="str">
        <f ca="1">IFERROR(__xludf.DUMMYFUNCTION("""COMPUTED_VALUE"""),"SC")</f>
        <v>SC</v>
      </c>
      <c r="R1070" s="5" t="str">
        <f ca="1">IFERROR(__xludf.DUMMYFUNCTION("""COMPUTED_VALUE"""),"Elementary")</f>
        <v>Elementary</v>
      </c>
      <c r="S1070" s="5" t="str">
        <f ca="1">IFERROR(__xludf.DUMMYFUNCTION("""COMPUTED_VALUE"""),"Playground")</f>
        <v>Playground</v>
      </c>
      <c r="T1070" s="5" t="str">
        <f ca="1">IFERROR(__xludf.DUMMYFUNCTION("""COMPUTED_VALUE"""),"Outside on School Property")</f>
        <v>Outside on School Property</v>
      </c>
      <c r="U1070" s="5" t="str">
        <f ca="1">IFERROR(__xludf.DUMMYFUNCTION("""COMPUTED_VALUE"""),"Yes")</f>
        <v>Yes</v>
      </c>
      <c r="V1070" s="5" t="str">
        <f ca="1">IFERROR(__xludf.DUMMYFUNCTION("""COMPUTED_VALUE"""),"Afternoon Classes")</f>
        <v>Afternoon Classes</v>
      </c>
      <c r="W1070" s="10">
        <f ca="1">IFERROR(__xludf.DUMMYFUNCTION("""COMPUTED_VALUE"""),0.572916666666666)</f>
        <v>0.57291666666666596</v>
      </c>
      <c r="X1070" s="5"/>
      <c r="Y1070" s="5" t="str">
        <f ca="1">IFERROR(__xludf.DUMMYFUNCTION("""COMPUTED_VALUE"""),"Planned attack, wanted to be the youngest mass shooter and to outdo previous shootings")</f>
        <v>Planned attack, wanted to be the youngest mass shooter and to outdo previous shootings</v>
      </c>
      <c r="Z1070" s="5" t="str">
        <f ca="1">IFERROR(__xludf.DUMMYFUNCTION("""COMPUTED_VALUE"""),"Killed father and then fired at elementary school playground where he went to school as a child; previously charged and expelled for bringing machete to school to kill bullies, homeschooling after; made social media threats prior to shooting; studied othe"&amp;"r school shootings; planned to kill more but gun jammed - tackled by an off duty firefighter, did not struggle. Records and testimony in the waiver hearing showed that Jesse Osborne had plotted the school shooting for months and had refined his plan in th"&amp;"e days prior. Instagram messages from an account attributed to Jesse Osborne show he had studied law-enforcement response times and that he told those he was messaging he would drive to a school ""four minutes away"" from his home. Shooter wanted another "&amp;"gun locked in his father's gun safe: the Ruger Mini-14, a semiautomatic rifle, but he could not get the combination. Shooter called his grandfather to tell him he had killed his (shooter's) father, sounded like he was crying and upset, grandfather found c"&amp;"orpse. Reported parents abused alcohol and shooter was bullied at school.
 Trail (11/12/2019): FBI Presented digital evidence that shooter planned to kill more than 50 students. Attempted suicide by jumping off of bridge 2 weeks prior to attack. Extensi"&amp;"ve online searches and postings about desire to be a school shooter. Fascination with Sandy Hook, Columbine, and Pulse Nightclub. Social media posting prior to shooting. Live on Skype during attack. Abused by father. Expelled from prior school for bringin"&amp;"g a knife to attack a bully. No friends his age, communicated only with people online. Psych evaluation found depression, suicidal thoughts, anger/rage, and early signs of personality disorder (cannot be diagnosed less than 18 years old).  
 FBI Study: "&amp;"On September 28, 2016, at 1:45 p.m., Jesse Dewitt Osborne, 14, armed with a handgun, allegedly began shooting at the Townville Elementary School playground in Townville, South Carolina. Prior to the shooting, the shooter, a former student, killed his fath"&amp;"er at their home. Two people were killed, including one student; three were wounded, one teacher and two students. A volunteer firefighter, who possessed a valid firearms permit, restrained the shooter until law enforcement officers arrived and apprehende"&amp;"d him.")</f>
        <v>Killed father and then fired at elementary school playground where he went to school as a child; previously charged and expelled for bringing machete to school to kill bullies, homeschooling after; made social media threats prior to shooting; studied other school shootings; planned to kill more but gun jammed - tackled by an off duty firefighter, did not struggle. Records and testimony in the waiver hearing showed that Jesse Osborne had plotted the school shooting for months and had refined his plan in the days prior. Instagram messages from an account attributed to Jesse Osborne show he had studied law-enforcement response times and that he told those he was messaging he would drive to a school "four minutes away" from his home. Shooter wanted another gun locked in his father's gun safe: the Ruger Mini-14, a semiautomatic rifle, but he could not get the combination. Shooter called his grandfather to tell him he had killed his (shooter's) father, sounded like he was crying and upset, grandfather found corpse. Reported parents abused alcohol and shooter was bullied at school.
 Trail (11/12/2019): FBI Presented digital evidence that shooter planned to kill more than 50 students. Attempted suicide by jumping off of bridge 2 weeks prior to attack. Extensive online searches and postings about desire to be a school shooter. Fascination with Sandy Hook, Columbine, and Pulse Nightclub. Social media posting prior to shooting. Live on Skype during attack. Abused by father. Expelled from prior school for bringing a knife to attack a bully. No friends his age, communicated only with people online. Psych evaluation found depression, suicidal thoughts, anger/rage, and early signs of personality disorder (cannot be diagnosed less than 18 years old).  
 FBI Study: On September 28, 2016, at 1:45 p.m., Jesse Dewitt Osborne, 14, armed with a handgun, allegedly began shooting at the Townville Elementary School playground in Townville, South Carolina. Prior to the shooting, the shooter, a former student, killed his father at their home. Two people were killed, including one student; three were wounded, one teacher and two students. A volunteer firefighter, who possessed a valid firearms permit, restrained the shooter until law enforcement officers arrived and apprehended him.</v>
      </c>
      <c r="AA1070" s="5" t="str">
        <f ca="1">IFERROR(__xludf.DUMMYFUNCTION("""COMPUTED_VALUE"""),"Indiscriminate Shooting")</f>
        <v>Indiscriminate Shooting</v>
      </c>
      <c r="AB1070" s="5" t="str">
        <f ca="1">IFERROR(__xludf.DUMMYFUNCTION("""COMPUTED_VALUE"""),"Random Shooting")</f>
        <v>Random Shooting</v>
      </c>
      <c r="AC1070" s="5" t="str">
        <f ca="1">IFERROR(__xludf.DUMMYFUNCTION("""COMPUTED_VALUE"""),"No")</f>
        <v>No</v>
      </c>
      <c r="AD1070" s="5" t="str">
        <f ca="1">IFERROR(__xludf.DUMMYFUNCTION("""COMPUTED_VALUE"""),"No")</f>
        <v>No</v>
      </c>
      <c r="AE1070" s="5" t="str">
        <f ca="1">IFERROR(__xludf.DUMMYFUNCTION("""COMPUTED_VALUE"""),"No")</f>
        <v>No</v>
      </c>
      <c r="AF1070" s="5" t="str">
        <f ca="1">IFERROR(__xludf.DUMMYFUNCTION("""COMPUTED_VALUE"""),"No")</f>
        <v>No</v>
      </c>
      <c r="AG1070" s="5" t="str">
        <f ca="1">IFERROR(__xludf.DUMMYFUNCTION("""COMPUTED_VALUE"""),"Yes")</f>
        <v>Yes</v>
      </c>
      <c r="AH1070" s="5" t="str">
        <f ca="1">IFERROR(__xludf.DUMMYFUNCTION("""COMPUTED_VALUE"""),"No")</f>
        <v>No</v>
      </c>
      <c r="AI1070" s="5" t="str">
        <f ca="1">IFERROR(__xludf.DUMMYFUNCTION("""COMPUTED_VALUE"""),"No")</f>
        <v>No</v>
      </c>
      <c r="AJ1070" s="5" t="str">
        <f ca="1">IFERROR(__xludf.DUMMYFUNCTION("""COMPUTED_VALUE"""),"Yes")</f>
        <v>Yes</v>
      </c>
    </row>
    <row r="1071" spans="1:36" ht="13">
      <c r="A1071" s="5" t="str">
        <f ca="1">IFERROR(__xludf.DUMMYFUNCTION("""COMPUTED_VALUE"""),"20160928TNSYP")</f>
        <v>20160928TNSYP</v>
      </c>
      <c r="B1071" s="5">
        <f ca="1">IFERROR(__xludf.DUMMYFUNCTION("""COMPUTED_VALUE"""),9)</f>
        <v>9</v>
      </c>
      <c r="C1071" s="5">
        <f ca="1">IFERROR(__xludf.DUMMYFUNCTION("""COMPUTED_VALUE"""),28)</f>
        <v>28</v>
      </c>
      <c r="D1071" s="5">
        <f ca="1">IFERROR(__xludf.DUMMYFUNCTION("""COMPUTED_VALUE"""),2016)</f>
        <v>2016</v>
      </c>
      <c r="E1071" s="8">
        <f ca="1">IFERROR(__xludf.DUMMYFUNCTION("""COMPUTED_VALUE"""),42641)</f>
        <v>42641</v>
      </c>
      <c r="F1071" s="5" t="str">
        <f ca="1">IFERROR(__xludf.DUMMYFUNCTION("""COMPUTED_VALUE"""),"Sycamore Middle School")</f>
        <v>Sycamore Middle School</v>
      </c>
      <c r="G1071" s="5">
        <f ca="1">IFERROR(__xludf.DUMMYFUNCTION("""COMPUTED_VALUE"""),0)</f>
        <v>0</v>
      </c>
      <c r="H1071" s="5">
        <f ca="1">IFERROR(__xludf.DUMMYFUNCTION("""COMPUTED_VALUE"""),0)</f>
        <v>0</v>
      </c>
      <c r="I1071" s="5">
        <f ca="1">IFERROR(__xludf.DUMMYFUNCTION("""COMPUTED_VALUE"""),0)</f>
        <v>0</v>
      </c>
      <c r="J1071" s="5">
        <f ca="1">IFERROR(__xludf.DUMMYFUNCTION("""COMPUTED_VALUE"""),0)</f>
        <v>0</v>
      </c>
      <c r="K1071" s="5" t="str">
        <f ca="1">IFERROR(__xludf.DUMMYFUNCTION("""COMPUTED_VALUE"""),"https://www.scadvocate.com/2016/10/11/armed-student-at-sycamore-middle-school-cheatham-county-september-28-2016/ https://www.wkrn.com/news/saving-sycamore-the-school-shooting-that-never-happened-four-years-later/ https://www.washingtonpost.com/news/mornin"&amp;"g-mix/wp/2016/09/30/a-teen-brought-a-gun-to-his-middle-school-this-counselor-talked-him-out-of-killing-teachers-and-a-cop/")</f>
        <v>https://www.scadvocate.com/2016/10/11/armed-student-at-sycamore-middle-school-cheatham-county-september-28-2016/ https://www.wkrn.com/news/saving-sycamore-the-school-shooting-that-never-happened-four-years-later/ https://www.washingtonpost.com/news/morning-mix/wp/2016/09/30/a-teen-brought-a-gun-to-his-middle-school-this-counselor-talked-him-out-of-killing-teachers-and-a-cop/</v>
      </c>
      <c r="L1071" s="5"/>
      <c r="M1071" s="5" t="str">
        <f ca="1">IFERROR(__xludf.DUMMYFUNCTION("""COMPUTED_VALUE"""),"National")</f>
        <v>National</v>
      </c>
      <c r="N1071" s="5">
        <f ca="1">IFERROR(__xludf.DUMMYFUNCTION("""COMPUTED_VALUE"""),5)</f>
        <v>5</v>
      </c>
      <c r="O1071" s="5" t="str">
        <f ca="1">IFERROR(__xludf.DUMMYFUNCTION("""COMPUTED_VALUE"""),"Fall")</f>
        <v>Fall</v>
      </c>
      <c r="P1071" s="5" t="str">
        <f ca="1">IFERROR(__xludf.DUMMYFUNCTION("""COMPUTED_VALUE"""),"Pleasant View")</f>
        <v>Pleasant View</v>
      </c>
      <c r="Q1071" s="5" t="str">
        <f ca="1">IFERROR(__xludf.DUMMYFUNCTION("""COMPUTED_VALUE"""),"TN")</f>
        <v>TN</v>
      </c>
      <c r="R1071" s="5" t="str">
        <f ca="1">IFERROR(__xludf.DUMMYFUNCTION("""COMPUTED_VALUE"""),"Middle")</f>
        <v>Middle</v>
      </c>
      <c r="S1071" s="5" t="str">
        <f ca="1">IFERROR(__xludf.DUMMYFUNCTION("""COMPUTED_VALUE"""),"Office")</f>
        <v>Office</v>
      </c>
      <c r="T1071" s="5" t="str">
        <f ca="1">IFERROR(__xludf.DUMMYFUNCTION("""COMPUTED_VALUE"""),"Inside School Building")</f>
        <v>Inside School Building</v>
      </c>
      <c r="U1071" s="5" t="str">
        <f ca="1">IFERROR(__xludf.DUMMYFUNCTION("""COMPUTED_VALUE"""),"Yes")</f>
        <v>Yes</v>
      </c>
      <c r="V1071" s="5" t="str">
        <f ca="1">IFERROR(__xludf.DUMMYFUNCTION("""COMPUTED_VALUE"""),"Morning Classes")</f>
        <v>Morning Classes</v>
      </c>
      <c r="W1071" s="10">
        <f ca="1">IFERROR(__xludf.DUMMYFUNCTION("""COMPUTED_VALUE"""),0.416666666666666)</f>
        <v>0.41666666666666602</v>
      </c>
      <c r="X1071" s="5">
        <f ca="1">IFERROR(__xludf.DUMMYFUNCTION("""COMPUTED_VALUE"""),90)</f>
        <v>90</v>
      </c>
      <c r="Y1071" s="5" t="str">
        <f ca="1">IFERROR(__xludf.DUMMYFUNCTION("""COMPUTED_VALUE"""),"Student told school counselor he planned to kill students and teachers, showed her gun, she talked him down")</f>
        <v>Student told school counselor he planned to kill students and teachers, showed her gun, she talked him down</v>
      </c>
      <c r="Z1071" s="5" t="str">
        <f ca="1">IFERROR(__xludf.DUMMYFUNCTION("""COMPUTED_VALUE"""),"A 14 year-old 8th grade student came to the school counselor's office after 1st period classes. He told her that he planned to kill other students and teachers then showed her a handgun. The counselor talked to the student for 90 minutes until he surrende"&amp;"red the handgun to her. She attempted to text school security but did not have cellphone service in her office. No shots were fired. Due to the student's age, his name was never released.")</f>
        <v>A 14 year-old 8th grade student came to the school counselor's office after 1st period classes. He told her that he planned to kill other students and teachers then showed her a handgun. The counselor talked to the student for 90 minutes until he surrendered the handgun to her. She attempted to text school security but did not have cellphone service in her office. No shots were fired. Due to the student's age, his name was never released.</v>
      </c>
      <c r="AA1071" s="5" t="str">
        <f ca="1">IFERROR(__xludf.DUMMYFUNCTION("""COMPUTED_VALUE"""),"Hostage/Standoff")</f>
        <v>Hostage/Standoff</v>
      </c>
      <c r="AB1071" s="5" t="str">
        <f ca="1">IFERROR(__xludf.DUMMYFUNCTION("""COMPUTED_VALUE"""),"Victims Targeted")</f>
        <v>Victims Targeted</v>
      </c>
      <c r="AC1071" s="5" t="str">
        <f ca="1">IFERROR(__xludf.DUMMYFUNCTION("""COMPUTED_VALUE"""),"No")</f>
        <v>No</v>
      </c>
      <c r="AD1071" s="5" t="str">
        <f ca="1">IFERROR(__xludf.DUMMYFUNCTION("""COMPUTED_VALUE"""),"No")</f>
        <v>No</v>
      </c>
      <c r="AE1071" s="5" t="str">
        <f ca="1">IFERROR(__xludf.DUMMYFUNCTION("""COMPUTED_VALUE"""),"No")</f>
        <v>No</v>
      </c>
      <c r="AF1071" s="5" t="str">
        <f ca="1">IFERROR(__xludf.DUMMYFUNCTION("""COMPUTED_VALUE"""),"No")</f>
        <v>No</v>
      </c>
      <c r="AG1071" s="5"/>
      <c r="AH1071" s="5" t="str">
        <f ca="1">IFERROR(__xludf.DUMMYFUNCTION("""COMPUTED_VALUE"""),"No")</f>
        <v>No</v>
      </c>
      <c r="AI1071" s="5" t="str">
        <f ca="1">IFERROR(__xludf.DUMMYFUNCTION("""COMPUTED_VALUE"""),"No")</f>
        <v>No</v>
      </c>
      <c r="AJ1071" s="5" t="str">
        <f ca="1">IFERROR(__xludf.DUMMYFUNCTION("""COMPUTED_VALUE"""),"No")</f>
        <v>No</v>
      </c>
    </row>
    <row r="1072" spans="1:36" ht="13">
      <c r="A1072" s="5" t="str">
        <f ca="1">IFERROR(__xludf.DUMMYFUNCTION("""COMPUTED_VALUE"""),"20160927OHELC")</f>
        <v>20160927OHELC</v>
      </c>
      <c r="B1072" s="5">
        <f ca="1">IFERROR(__xludf.DUMMYFUNCTION("""COMPUTED_VALUE"""),9)</f>
        <v>9</v>
      </c>
      <c r="C1072" s="5">
        <f ca="1">IFERROR(__xludf.DUMMYFUNCTION("""COMPUTED_VALUE"""),27)</f>
        <v>27</v>
      </c>
      <c r="D1072" s="5">
        <f ca="1">IFERROR(__xludf.DUMMYFUNCTION("""COMPUTED_VALUE"""),2016)</f>
        <v>2016</v>
      </c>
      <c r="E1072" s="8">
        <f ca="1">IFERROR(__xludf.DUMMYFUNCTION("""COMPUTED_VALUE"""),42640)</f>
        <v>42640</v>
      </c>
      <c r="F1072" s="5" t="str">
        <f ca="1">IFERROR(__xludf.DUMMYFUNCTION("""COMPUTED_VALUE"""),"Elder High School")</f>
        <v>Elder High School</v>
      </c>
      <c r="G1072" s="5">
        <f ca="1">IFERROR(__xludf.DUMMYFUNCTION("""COMPUTED_VALUE"""),0)</f>
        <v>0</v>
      </c>
      <c r="H1072" s="5">
        <f ca="1">IFERROR(__xludf.DUMMYFUNCTION("""COMPUTED_VALUE"""),3)</f>
        <v>3</v>
      </c>
      <c r="I1072" s="5">
        <f ca="1">IFERROR(__xludf.DUMMYFUNCTION("""COMPUTED_VALUE"""),3)</f>
        <v>3</v>
      </c>
      <c r="J1072" s="5">
        <f ca="1">IFERROR(__xludf.DUMMYFUNCTION("""COMPUTED_VALUE"""),0)</f>
        <v>0</v>
      </c>
      <c r="K1072" s="9" t="str">
        <f ca="1">IFERROR(__xludf.DUMMYFUNCTION("""COMPUTED_VALUE"""),"https://www.wcpo.com/news/local-news/hamilton-county/cincinnati/three-people-shot-after-elder-high-soccer-game")</f>
        <v>https://www.wcpo.com/news/local-news/hamilton-county/cincinnati/three-people-shot-after-elder-high-soccer-game</v>
      </c>
      <c r="L1072" s="5"/>
      <c r="M1072" s="5"/>
      <c r="N1072" s="5">
        <f ca="1">IFERROR(__xludf.DUMMYFUNCTION("""COMPUTED_VALUE"""),3)</f>
        <v>3</v>
      </c>
      <c r="O1072" s="5" t="str">
        <f ca="1">IFERROR(__xludf.DUMMYFUNCTION("""COMPUTED_VALUE"""),"Fall")</f>
        <v>Fall</v>
      </c>
      <c r="P1072" s="5" t="str">
        <f ca="1">IFERROR(__xludf.DUMMYFUNCTION("""COMPUTED_VALUE"""),"Cincinnati")</f>
        <v>Cincinnati</v>
      </c>
      <c r="Q1072" s="5" t="str">
        <f ca="1">IFERROR(__xludf.DUMMYFUNCTION("""COMPUTED_VALUE"""),"OH")</f>
        <v>OH</v>
      </c>
      <c r="R1072" s="5" t="str">
        <f ca="1">IFERROR(__xludf.DUMMYFUNCTION("""COMPUTED_VALUE"""),"High")</f>
        <v>High</v>
      </c>
      <c r="S1072" s="5" t="str">
        <f ca="1">IFERROR(__xludf.DUMMYFUNCTION("""COMPUTED_VALUE"""),"Football Field/Track")</f>
        <v>Football Field/Track</v>
      </c>
      <c r="T1072" s="5" t="str">
        <f ca="1">IFERROR(__xludf.DUMMYFUNCTION("""COMPUTED_VALUE"""),"Outside on School Property")</f>
        <v>Outside on School Property</v>
      </c>
      <c r="U1072" s="5" t="str">
        <f ca="1">IFERROR(__xludf.DUMMYFUNCTION("""COMPUTED_VALUE"""),"No")</f>
        <v>No</v>
      </c>
      <c r="V1072" s="5" t="str">
        <f ca="1">IFERROR(__xludf.DUMMYFUNCTION("""COMPUTED_VALUE"""),"Sport Event")</f>
        <v>Sport Event</v>
      </c>
      <c r="W1072" s="10">
        <f ca="1">IFERROR(__xludf.DUMMYFUNCTION("""COMPUTED_VALUE"""),0.895833333333333)</f>
        <v>0.89583333333333304</v>
      </c>
      <c r="X1072" s="5">
        <f ca="1">IFERROR(__xludf.DUMMYFUNCTION("""COMPUTED_VALUE"""),1)</f>
        <v>1</v>
      </c>
      <c r="Y1072" s="5" t="str">
        <f ca="1">IFERROR(__xludf.DUMMYFUNCTION("""COMPUTED_VALUE"""),"3 shot after soccer game concluded")</f>
        <v>3 shot after soccer game concluded</v>
      </c>
      <c r="Z1072" s="5" t="str">
        <f ca="1">IFERROR(__xludf.DUMMYFUNCTION("""COMPUTED_VALUE"""),"Soccer coach was shot in the leg following a high school soccer game (unknown shooter from a distance). A retired police officer and his 20YOM son watching the game were struck by fragments. Police estimate the shot was fired from the treeline 100 yards a"&amp;"way. No suspect identified.")</f>
        <v>Soccer coach was shot in the leg following a high school soccer game (unknown shooter from a distance). A retired police officer and his 20YOM son watching the game were struck by fragments. Police estimate the shot was fired from the treeline 100 yards away. No suspect identified.</v>
      </c>
      <c r="AA1072" s="5" t="str">
        <f ca="1">IFERROR(__xludf.DUMMYFUNCTION("""COMPUTED_VALUE"""),"Indiscriminate Shooting")</f>
        <v>Indiscriminate Shooting</v>
      </c>
      <c r="AB1072" s="5"/>
      <c r="AC1072" s="5"/>
      <c r="AD1072" s="5" t="str">
        <f ca="1">IFERROR(__xludf.DUMMYFUNCTION("""COMPUTED_VALUE"""),"No")</f>
        <v>No</v>
      </c>
      <c r="AE1072" s="5" t="str">
        <f ca="1">IFERROR(__xludf.DUMMYFUNCTION("""COMPUTED_VALUE"""),"No")</f>
        <v>No</v>
      </c>
      <c r="AF1072" s="5" t="str">
        <f ca="1">IFERROR(__xludf.DUMMYFUNCTION("""COMPUTED_VALUE"""),"No")</f>
        <v>No</v>
      </c>
      <c r="AG1072" s="5" t="str">
        <f ca="1">IFERROR(__xludf.DUMMYFUNCTION("""COMPUTED_VALUE"""),"No")</f>
        <v>No</v>
      </c>
      <c r="AH1072" s="5" t="str">
        <f ca="1">IFERROR(__xludf.DUMMYFUNCTION("""COMPUTED_VALUE"""),"No")</f>
        <v>No</v>
      </c>
      <c r="AI1072" s="5"/>
      <c r="AJ1072" s="5" t="str">
        <f ca="1">IFERROR(__xludf.DUMMYFUNCTION("""COMPUTED_VALUE"""),"No")</f>
        <v>No</v>
      </c>
    </row>
    <row r="1073" spans="1:36" ht="13">
      <c r="A1073" s="5" t="str">
        <f ca="1">IFERROR(__xludf.DUMMYFUNCTION("""COMPUTED_VALUE"""),"20160926MSTAJ")</f>
        <v>20160926MSTAJ</v>
      </c>
      <c r="B1073" s="5">
        <f ca="1">IFERROR(__xludf.DUMMYFUNCTION("""COMPUTED_VALUE"""),9)</f>
        <v>9</v>
      </c>
      <c r="C1073" s="5">
        <f ca="1">IFERROR(__xludf.DUMMYFUNCTION("""COMPUTED_VALUE"""),26)</f>
        <v>26</v>
      </c>
      <c r="D1073" s="5">
        <f ca="1">IFERROR(__xludf.DUMMYFUNCTION("""COMPUTED_VALUE"""),2016)</f>
        <v>2016</v>
      </c>
      <c r="E1073" s="8">
        <f ca="1">IFERROR(__xludf.DUMMYFUNCTION("""COMPUTED_VALUE"""),42639)</f>
        <v>42639</v>
      </c>
      <c r="F1073" s="5" t="str">
        <f ca="1">IFERROR(__xludf.DUMMYFUNCTION("""COMPUTED_VALUE"""),"T A Wilson Academy (bus)")</f>
        <v>T A Wilson Academy (bus)</v>
      </c>
      <c r="G1073" s="5">
        <f ca="1">IFERROR(__xludf.DUMMYFUNCTION("""COMPUTED_VALUE"""),0)</f>
        <v>0</v>
      </c>
      <c r="H1073" s="5">
        <f ca="1">IFERROR(__xludf.DUMMYFUNCTION("""COMPUTED_VALUE"""),1)</f>
        <v>1</v>
      </c>
      <c r="I1073" s="5">
        <f ca="1">IFERROR(__xludf.DUMMYFUNCTION("""COMPUTED_VALUE"""),1)</f>
        <v>1</v>
      </c>
      <c r="J1073" s="5">
        <f ca="1">IFERROR(__xludf.DUMMYFUNCTION("""COMPUTED_VALUE"""),0)</f>
        <v>0</v>
      </c>
      <c r="K1073" s="9" t="str">
        <f ca="1">IFERROR(__xludf.DUMMYFUNCTION("""COMPUTED_VALUE"""),"http://www.mlive.com/news/jackson/index.ssf/2016/09/student_shot_on_school_bus_out.html")</f>
        <v>http://www.mlive.com/news/jackson/index.ssf/2016/09/student_shot_on_school_bus_out.html</v>
      </c>
      <c r="L1073" s="5">
        <f ca="1">IFERROR(__xludf.DUMMYFUNCTION("""COMPUTED_VALUE"""),5)</f>
        <v>5</v>
      </c>
      <c r="M1073" s="5" t="str">
        <f ca="1">IFERROR(__xludf.DUMMYFUNCTION("""COMPUTED_VALUE"""),"Local")</f>
        <v>Local</v>
      </c>
      <c r="N1073" s="5">
        <f ca="1">IFERROR(__xludf.DUMMYFUNCTION("""COMPUTED_VALUE"""),2)</f>
        <v>2</v>
      </c>
      <c r="O1073" s="5" t="str">
        <f ca="1">IFERROR(__xludf.DUMMYFUNCTION("""COMPUTED_VALUE"""),"Fall")</f>
        <v>Fall</v>
      </c>
      <c r="P1073" s="5" t="str">
        <f ca="1">IFERROR(__xludf.DUMMYFUNCTION("""COMPUTED_VALUE"""),"Jackson")</f>
        <v>Jackson</v>
      </c>
      <c r="Q1073" s="5" t="str">
        <f ca="1">IFERROR(__xludf.DUMMYFUNCTION("""COMPUTED_VALUE"""),"MS")</f>
        <v>MS</v>
      </c>
      <c r="R1073" s="5" t="str">
        <f ca="1">IFERROR(__xludf.DUMMYFUNCTION("""COMPUTED_VALUE"""),"High")</f>
        <v>High</v>
      </c>
      <c r="S1073" s="5" t="str">
        <f ca="1">IFERROR(__xludf.DUMMYFUNCTION("""COMPUTED_VALUE"""),"Front of School (Bus)")</f>
        <v>Front of School (Bus)</v>
      </c>
      <c r="T1073" s="5" t="str">
        <f ca="1">IFERROR(__xludf.DUMMYFUNCTION("""COMPUTED_VALUE"""),"Outside on School Property")</f>
        <v>Outside on School Property</v>
      </c>
      <c r="U1073" s="5" t="str">
        <f ca="1">IFERROR(__xludf.DUMMYFUNCTION("""COMPUTED_VALUE"""),"Yes")</f>
        <v>Yes</v>
      </c>
      <c r="V1073" s="5" t="str">
        <f ca="1">IFERROR(__xludf.DUMMYFUNCTION("""COMPUTED_VALUE"""),"Dismissal")</f>
        <v>Dismissal</v>
      </c>
      <c r="W1073" s="10">
        <f ca="1">IFERROR(__xludf.DUMMYFUNCTION("""COMPUTED_VALUE"""),0.604166666666666)</f>
        <v>0.60416666666666596</v>
      </c>
      <c r="X1073" s="5">
        <f ca="1">IFERROR(__xludf.DUMMYFUNCTION("""COMPUTED_VALUE"""),1)</f>
        <v>1</v>
      </c>
      <c r="Y1073" s="5" t="str">
        <f ca="1">IFERROR(__xludf.DUMMYFUNCTION("""COMPUTED_VALUE"""),"Shots fired during fight while getting onto school bus")</f>
        <v>Shots fired during fight while getting onto school bus</v>
      </c>
      <c r="Z1073" s="5" t="str">
        <f ca="1">IFERROR(__xludf.DUMMYFUNCTION("""COMPUTED_VALUE"""),"The victim was a student boarding the school bus. The shooter approached him from the back, called his name and fired a few shots and ran away. The victim was shot in the arm. Police said the victim was not cooperative he most likely knew the shooter from"&amp;" previous fights. The Shooter was never identified and charged but a suspect charged for another shooting was believed to be responsible. Victim was later summoned in court for violating probation (gun and marijuana possession).")</f>
        <v>The victim was a student boarding the school bus. The shooter approached him from the back, called his name and fired a few shots and ran away. The victim was shot in the arm. Police said the victim was not cooperative he most likely knew the shooter from previous fights. The Shooter was never identified and charged but a suspect charged for another shooting was believed to be responsible. Victim was later summoned in court for violating probation (gun and marijuana possession).</v>
      </c>
      <c r="AA1073" s="5" t="str">
        <f ca="1">IFERROR(__xludf.DUMMYFUNCTION("""COMPUTED_VALUE"""),"Escalation of Dispute")</f>
        <v>Escalation of Dispute</v>
      </c>
      <c r="AB1073" s="5" t="str">
        <f ca="1">IFERROR(__xludf.DUMMYFUNCTION("""COMPUTED_VALUE"""),"Victims Targeted")</f>
        <v>Victims Targeted</v>
      </c>
      <c r="AC1073" s="5"/>
      <c r="AD1073" s="5" t="str">
        <f ca="1">IFERROR(__xludf.DUMMYFUNCTION("""COMPUTED_VALUE"""),"No")</f>
        <v>No</v>
      </c>
      <c r="AE1073" s="5" t="str">
        <f ca="1">IFERROR(__xludf.DUMMYFUNCTION("""COMPUTED_VALUE"""),"No")</f>
        <v>No</v>
      </c>
      <c r="AF1073" s="5" t="str">
        <f ca="1">IFERROR(__xludf.DUMMYFUNCTION("""COMPUTED_VALUE"""),"No")</f>
        <v>No</v>
      </c>
      <c r="AG1073" s="5" t="str">
        <f ca="1">IFERROR(__xludf.DUMMYFUNCTION("""COMPUTED_VALUE"""),"No")</f>
        <v>No</v>
      </c>
      <c r="AH1073" s="5"/>
      <c r="AI1073" s="5" t="str">
        <f ca="1">IFERROR(__xludf.DUMMYFUNCTION("""COMPUTED_VALUE"""),"No")</f>
        <v>No</v>
      </c>
      <c r="AJ1073" s="5" t="str">
        <f ca="1">IFERROR(__xludf.DUMMYFUNCTION("""COMPUTED_VALUE"""),"No")</f>
        <v>No</v>
      </c>
    </row>
    <row r="1074" spans="1:36" ht="13">
      <c r="A1074" s="5" t="str">
        <f ca="1">IFERROR(__xludf.DUMMYFUNCTION("""COMPUTED_VALUE"""),"20160909IACEC")</f>
        <v>20160909IACEC</v>
      </c>
      <c r="B1074" s="5">
        <f ca="1">IFERROR(__xludf.DUMMYFUNCTION("""COMPUTED_VALUE"""),9)</f>
        <v>9</v>
      </c>
      <c r="C1074" s="5">
        <f ca="1">IFERROR(__xludf.DUMMYFUNCTION("""COMPUTED_VALUE"""),9)</f>
        <v>9</v>
      </c>
      <c r="D1074" s="5">
        <f ca="1">IFERROR(__xludf.DUMMYFUNCTION("""COMPUTED_VALUE"""),2016)</f>
        <v>2016</v>
      </c>
      <c r="E1074" s="8">
        <f ca="1">IFERROR(__xludf.DUMMYFUNCTION("""COMPUTED_VALUE"""),42622)</f>
        <v>42622</v>
      </c>
      <c r="F1074" s="5" t="str">
        <f ca="1">IFERROR(__xludf.DUMMYFUNCTION("""COMPUTED_VALUE"""),"Cedar Rapids Jefferson High School")</f>
        <v>Cedar Rapids Jefferson High School</v>
      </c>
      <c r="G1074" s="5">
        <f ca="1">IFERROR(__xludf.DUMMYFUNCTION("""COMPUTED_VALUE"""),0)</f>
        <v>0</v>
      </c>
      <c r="H1074" s="5">
        <f ca="1">IFERROR(__xludf.DUMMYFUNCTION("""COMPUTED_VALUE"""),0)</f>
        <v>0</v>
      </c>
      <c r="I1074" s="5">
        <f ca="1">IFERROR(__xludf.DUMMYFUNCTION("""COMPUTED_VALUE"""),0)</f>
        <v>0</v>
      </c>
      <c r="J1074" s="5">
        <f ca="1">IFERROR(__xludf.DUMMYFUNCTION("""COMPUTED_VALUE"""),1)</f>
        <v>1</v>
      </c>
      <c r="K1074" s="5" t="str">
        <f ca="1">IFERROR(__xludf.DUMMYFUNCTION("""COMPUTED_VALUE"""),"https://www.thegazette.com/subject/news/public-safety/jefferson-student-who-shot-himself-has-died-20160912  https://www.desmoinesregister.com/story/news/2016/09/09/cedar-rapids-high-school-lockdown/90115882/")</f>
        <v>https://www.thegazette.com/subject/news/public-safety/jefferson-student-who-shot-himself-has-died-20160912  https://www.desmoinesregister.com/story/news/2016/09/09/cedar-rapids-high-school-lockdown/90115882/</v>
      </c>
      <c r="L1074" s="5"/>
      <c r="M1074" s="5"/>
      <c r="N1074" s="5">
        <f ca="1">IFERROR(__xludf.DUMMYFUNCTION("""COMPUTED_VALUE"""),3)</f>
        <v>3</v>
      </c>
      <c r="O1074" s="5" t="str">
        <f ca="1">IFERROR(__xludf.DUMMYFUNCTION("""COMPUTED_VALUE"""),"Fall")</f>
        <v>Fall</v>
      </c>
      <c r="P1074" s="5" t="str">
        <f ca="1">IFERROR(__xludf.DUMMYFUNCTION("""COMPUTED_VALUE"""),"Cedar Rapids")</f>
        <v>Cedar Rapids</v>
      </c>
      <c r="Q1074" s="5" t="str">
        <f ca="1">IFERROR(__xludf.DUMMYFUNCTION("""COMPUTED_VALUE"""),"IA")</f>
        <v>IA</v>
      </c>
      <c r="R1074" s="5" t="str">
        <f ca="1">IFERROR(__xludf.DUMMYFUNCTION("""COMPUTED_VALUE"""),"High")</f>
        <v>High</v>
      </c>
      <c r="S1074" s="5" t="str">
        <f ca="1">IFERROR(__xludf.DUMMYFUNCTION("""COMPUTED_VALUE"""),"Beside Building")</f>
        <v>Beside Building</v>
      </c>
      <c r="T1074" s="5" t="str">
        <f ca="1">IFERROR(__xludf.DUMMYFUNCTION("""COMPUTED_VALUE"""),"Outside on School Property")</f>
        <v>Outside on School Property</v>
      </c>
      <c r="U1074" s="5" t="str">
        <f ca="1">IFERROR(__xludf.DUMMYFUNCTION("""COMPUTED_VALUE"""),"Yes")</f>
        <v>Yes</v>
      </c>
      <c r="V1074" s="5" t="str">
        <f ca="1">IFERROR(__xludf.DUMMYFUNCTION("""COMPUTED_VALUE"""),"Morning Classes")</f>
        <v>Morning Classes</v>
      </c>
      <c r="W1074" s="10">
        <f ca="1">IFERROR(__xludf.DUMMYFUNCTION("""COMPUTED_VALUE"""),0.329861111111111)</f>
        <v>0.32986111111111099</v>
      </c>
      <c r="X1074" s="5">
        <f ca="1">IFERROR(__xludf.DUMMYFUNCTION("""COMPUTED_VALUE"""),1)</f>
        <v>1</v>
      </c>
      <c r="Y1074" s="5" t="str">
        <f ca="1">IFERROR(__xludf.DUMMYFUNCTION("""COMPUTED_VALUE"""),"Suicide in school auditorium")</f>
        <v>Suicide in school auditorium</v>
      </c>
      <c r="Z1074" s="5" t="str">
        <f ca="1">IFERROR(__xludf.DUMMYFUNCTION("""COMPUTED_VALUE"""),"15 year old boy shot/killed himself behind school auditorium. Online reports he was planning a school attack but nothing confirmed.")</f>
        <v>15 year old boy shot/killed himself behind school auditorium. Online reports he was planning a school attack but nothing confirmed.</v>
      </c>
      <c r="AA1074" s="5" t="str">
        <f ca="1">IFERROR(__xludf.DUMMYFUNCTION("""COMPUTED_VALUE"""),"Suicide/Attempted")</f>
        <v>Suicide/Attempted</v>
      </c>
      <c r="AB1074" s="5" t="str">
        <f ca="1">IFERROR(__xludf.DUMMYFUNCTION("""COMPUTED_VALUE"""),"Victims Targeted")</f>
        <v>Victims Targeted</v>
      </c>
      <c r="AC1074" s="5" t="str">
        <f ca="1">IFERROR(__xludf.DUMMYFUNCTION("""COMPUTED_VALUE"""),"No")</f>
        <v>No</v>
      </c>
      <c r="AD1074" s="5" t="str">
        <f ca="1">IFERROR(__xludf.DUMMYFUNCTION("""COMPUTED_VALUE"""),"No")</f>
        <v>No</v>
      </c>
      <c r="AE1074" s="5" t="str">
        <f ca="1">IFERROR(__xludf.DUMMYFUNCTION("""COMPUTED_VALUE"""),"No")</f>
        <v>No</v>
      </c>
      <c r="AF1074" s="5" t="str">
        <f ca="1">IFERROR(__xludf.DUMMYFUNCTION("""COMPUTED_VALUE"""),"No")</f>
        <v>No</v>
      </c>
      <c r="AG1074" s="5"/>
      <c r="AH1074" s="5"/>
      <c r="AI1074" s="5" t="str">
        <f ca="1">IFERROR(__xludf.DUMMYFUNCTION("""COMPUTED_VALUE"""),"No")</f>
        <v>No</v>
      </c>
      <c r="AJ1074" s="5" t="str">
        <f ca="1">IFERROR(__xludf.DUMMYFUNCTION("""COMPUTED_VALUE"""),"No")</f>
        <v>No</v>
      </c>
    </row>
    <row r="1075" spans="1:36" ht="13">
      <c r="A1075" s="5" t="str">
        <f ca="1">IFERROR(__xludf.DUMMYFUNCTION("""COMPUTED_VALUE"""),"20160909PASMY")</f>
        <v>20160909PASMY</v>
      </c>
      <c r="B1075" s="5">
        <f ca="1">IFERROR(__xludf.DUMMYFUNCTION("""COMPUTED_VALUE"""),9)</f>
        <v>9</v>
      </c>
      <c r="C1075" s="5">
        <f ca="1">IFERROR(__xludf.DUMMYFUNCTION("""COMPUTED_VALUE"""),9)</f>
        <v>9</v>
      </c>
      <c r="D1075" s="5">
        <f ca="1">IFERROR(__xludf.DUMMYFUNCTION("""COMPUTED_VALUE"""),2016)</f>
        <v>2016</v>
      </c>
      <c r="E1075" s="8">
        <f ca="1">IFERROR(__xludf.DUMMYFUNCTION("""COMPUTED_VALUE"""),42622)</f>
        <v>42622</v>
      </c>
      <c r="F1075" s="5" t="str">
        <f ca="1">IFERROR(__xludf.DUMMYFUNCTION("""COMPUTED_VALUE"""),"Small Athletic Field (William Penn Senior High School game)")</f>
        <v>Small Athletic Field (William Penn Senior High School game)</v>
      </c>
      <c r="G1075" s="5">
        <f ca="1">IFERROR(__xludf.DUMMYFUNCTION("""COMPUTED_VALUE"""),0)</f>
        <v>0</v>
      </c>
      <c r="H1075" s="5">
        <f ca="1">IFERROR(__xludf.DUMMYFUNCTION("""COMPUTED_VALUE"""),2)</f>
        <v>2</v>
      </c>
      <c r="I1075" s="5">
        <f ca="1">IFERROR(__xludf.DUMMYFUNCTION("""COMPUTED_VALUE"""),2)</f>
        <v>2</v>
      </c>
      <c r="J1075" s="5">
        <f ca="1">IFERROR(__xludf.DUMMYFUNCTION("""COMPUTED_VALUE"""),0)</f>
        <v>0</v>
      </c>
      <c r="K1075" s="9" t="str">
        <f ca="1">IFERROR(__xludf.DUMMYFUNCTION("""COMPUTED_VALUE"""),"https://www.ydr.com/story/news/2016/09/09/shooting-reported-small-athletic-field-911-says/90154006/")</f>
        <v>https://www.ydr.com/story/news/2016/09/09/shooting-reported-small-athletic-field-911-says/90154006/</v>
      </c>
      <c r="L1075" s="5"/>
      <c r="M1075" s="5"/>
      <c r="N1075" s="5">
        <f ca="1">IFERROR(__xludf.DUMMYFUNCTION("""COMPUTED_VALUE"""),3)</f>
        <v>3</v>
      </c>
      <c r="O1075" s="5" t="str">
        <f ca="1">IFERROR(__xludf.DUMMYFUNCTION("""COMPUTED_VALUE"""),"Fall")</f>
        <v>Fall</v>
      </c>
      <c r="P1075" s="5" t="str">
        <f ca="1">IFERROR(__xludf.DUMMYFUNCTION("""COMPUTED_VALUE"""),"York")</f>
        <v>York</v>
      </c>
      <c r="Q1075" s="5" t="str">
        <f ca="1">IFERROR(__xludf.DUMMYFUNCTION("""COMPUTED_VALUE"""),"PA")</f>
        <v>PA</v>
      </c>
      <c r="R1075" s="5" t="str">
        <f ca="1">IFERROR(__xludf.DUMMYFUNCTION("""COMPUTED_VALUE"""),"High")</f>
        <v>High</v>
      </c>
      <c r="S1075" s="5" t="str">
        <f ca="1">IFERROR(__xludf.DUMMYFUNCTION("""COMPUTED_VALUE"""),"Parking Lot")</f>
        <v>Parking Lot</v>
      </c>
      <c r="T1075" s="5" t="str">
        <f ca="1">IFERROR(__xludf.DUMMYFUNCTION("""COMPUTED_VALUE"""),"Outside on School Property")</f>
        <v>Outside on School Property</v>
      </c>
      <c r="U1075" s="5" t="str">
        <f ca="1">IFERROR(__xludf.DUMMYFUNCTION("""COMPUTED_VALUE"""),"No")</f>
        <v>No</v>
      </c>
      <c r="V1075" s="5" t="str">
        <f ca="1">IFERROR(__xludf.DUMMYFUNCTION("""COMPUTED_VALUE"""),"Sport Event")</f>
        <v>Sport Event</v>
      </c>
      <c r="W1075" s="10">
        <f ca="1">IFERROR(__xludf.DUMMYFUNCTION("""COMPUTED_VALUE"""),0.895833333333333)</f>
        <v>0.89583333333333304</v>
      </c>
      <c r="X1075" s="5">
        <f ca="1">IFERROR(__xludf.DUMMYFUNCTION("""COMPUTED_VALUE"""),1)</f>
        <v>1</v>
      </c>
      <c r="Y1075" s="5" t="str">
        <f ca="1">IFERROR(__xludf.DUMMYFUNCTION("""COMPUTED_VALUE"""),"Shooting in parking lot after argument during the game")</f>
        <v>Shooting in parking lot after argument during the game</v>
      </c>
      <c r="Z1075" s="5" t="str">
        <f ca="1">IFERROR(__xludf.DUMMYFUNCTION("""COMPUTED_VALUE"""),"23YOM and 20YOM were shot in the stadium parking lot after an argument during the high school football game. Stadium was placed on lockdown when the shooting occured. Metal detectors were set up at the gates to the stadium and all fans were screened prior"&amp;" to entering. Bullets also struck a vehicle in the parking lot.")</f>
        <v>23YOM and 20YOM were shot in the stadium parking lot after an argument during the high school football game. Stadium was placed on lockdown when the shooting occured. Metal detectors were set up at the gates to the stadium and all fans were screened prior to entering. Bullets also struck a vehicle in the parking lot.</v>
      </c>
      <c r="AA1075" s="5" t="str">
        <f ca="1">IFERROR(__xludf.DUMMYFUNCTION("""COMPUTED_VALUE"""),"Escalation of Dispute")</f>
        <v>Escalation of Dispute</v>
      </c>
      <c r="AB1075" s="5" t="str">
        <f ca="1">IFERROR(__xludf.DUMMYFUNCTION("""COMPUTED_VALUE"""),"Victims Targeted")</f>
        <v>Victims Targeted</v>
      </c>
      <c r="AC1075" s="5"/>
      <c r="AD1075" s="5" t="str">
        <f ca="1">IFERROR(__xludf.DUMMYFUNCTION("""COMPUTED_VALUE"""),"No")</f>
        <v>No</v>
      </c>
      <c r="AE1075" s="5" t="str">
        <f ca="1">IFERROR(__xludf.DUMMYFUNCTION("""COMPUTED_VALUE"""),"No")</f>
        <v>No</v>
      </c>
      <c r="AF1075" s="5" t="str">
        <f ca="1">IFERROR(__xludf.DUMMYFUNCTION("""COMPUTED_VALUE"""),"No")</f>
        <v>No</v>
      </c>
      <c r="AG1075" s="5" t="str">
        <f ca="1">IFERROR(__xludf.DUMMYFUNCTION("""COMPUTED_VALUE"""),"No")</f>
        <v>No</v>
      </c>
      <c r="AH1075" s="5" t="str">
        <f ca="1">IFERROR(__xludf.DUMMYFUNCTION("""COMPUTED_VALUE"""),"No")</f>
        <v>No</v>
      </c>
      <c r="AI1075" s="5" t="str">
        <f ca="1">IFERROR(__xludf.DUMMYFUNCTION("""COMPUTED_VALUE"""),"No")</f>
        <v>No</v>
      </c>
      <c r="AJ1075" s="5" t="str">
        <f ca="1">IFERROR(__xludf.DUMMYFUNCTION("""COMPUTED_VALUE"""),"No")</f>
        <v>No</v>
      </c>
    </row>
    <row r="1076" spans="1:36" ht="13">
      <c r="A1076" s="5" t="str">
        <f ca="1">IFERROR(__xludf.DUMMYFUNCTION("""COMPUTED_VALUE"""),"20160908TXALA")</f>
        <v>20160908TXALA</v>
      </c>
      <c r="B1076" s="5">
        <f ca="1">IFERROR(__xludf.DUMMYFUNCTION("""COMPUTED_VALUE"""),9)</f>
        <v>9</v>
      </c>
      <c r="C1076" s="5">
        <f ca="1">IFERROR(__xludf.DUMMYFUNCTION("""COMPUTED_VALUE"""),8)</f>
        <v>8</v>
      </c>
      <c r="D1076" s="5">
        <f ca="1">IFERROR(__xludf.DUMMYFUNCTION("""COMPUTED_VALUE"""),2016)</f>
        <v>2016</v>
      </c>
      <c r="E1076" s="8">
        <f ca="1">IFERROR(__xludf.DUMMYFUNCTION("""COMPUTED_VALUE"""),42621)</f>
        <v>42621</v>
      </c>
      <c r="F1076" s="5" t="str">
        <f ca="1">IFERROR(__xludf.DUMMYFUNCTION("""COMPUTED_VALUE"""),"Alpine High School")</f>
        <v>Alpine High School</v>
      </c>
      <c r="G1076" s="5">
        <f ca="1">IFERROR(__xludf.DUMMYFUNCTION("""COMPUTED_VALUE"""),0)</f>
        <v>0</v>
      </c>
      <c r="H1076" s="5">
        <f ca="1">IFERROR(__xludf.DUMMYFUNCTION("""COMPUTED_VALUE"""),2)</f>
        <v>2</v>
      </c>
      <c r="I1076" s="5">
        <f ca="1">IFERROR(__xludf.DUMMYFUNCTION("""COMPUTED_VALUE"""),2)</f>
        <v>2</v>
      </c>
      <c r="J1076" s="5">
        <f ca="1">IFERROR(__xludf.DUMMYFUNCTION("""COMPUTED_VALUE"""),1)</f>
        <v>1</v>
      </c>
      <c r="K1076" s="5" t="str">
        <f ca="1">IFERROR(__xludf.DUMMYFUNCTION("""COMPUTED_VALUE"""),"https://www.cnn.com/2016/09/08/us/texas-high-school-shooting/index.html https://apnews.com/2cfba6696074f0913e09e2ed5adcc593")</f>
        <v>https://www.cnn.com/2016/09/08/us/texas-high-school-shooting/index.html https://apnews.com/2cfba6696074f0913e09e2ed5adcc593</v>
      </c>
      <c r="L1076" s="5">
        <f ca="1">IFERROR(__xludf.DUMMYFUNCTION("""COMPUTED_VALUE"""),11)</f>
        <v>11</v>
      </c>
      <c r="M1076" s="5" t="str">
        <f ca="1">IFERROR(__xludf.DUMMYFUNCTION("""COMPUTED_VALUE"""),"Regional")</f>
        <v>Regional</v>
      </c>
      <c r="N1076" s="5">
        <f ca="1">IFERROR(__xludf.DUMMYFUNCTION("""COMPUTED_VALUE"""),3)</f>
        <v>3</v>
      </c>
      <c r="O1076" s="5" t="str">
        <f ca="1">IFERROR(__xludf.DUMMYFUNCTION("""COMPUTED_VALUE"""),"Fall")</f>
        <v>Fall</v>
      </c>
      <c r="P1076" s="5" t="str">
        <f ca="1">IFERROR(__xludf.DUMMYFUNCTION("""COMPUTED_VALUE"""),"Alpine")</f>
        <v>Alpine</v>
      </c>
      <c r="Q1076" s="5" t="str">
        <f ca="1">IFERROR(__xludf.DUMMYFUNCTION("""COMPUTED_VALUE"""),"TX")</f>
        <v>TX</v>
      </c>
      <c r="R1076" s="5" t="str">
        <f ca="1">IFERROR(__xludf.DUMMYFUNCTION("""COMPUTED_VALUE"""),"High")</f>
        <v>High</v>
      </c>
      <c r="S1076" s="5" t="str">
        <f ca="1">IFERROR(__xludf.DUMMYFUNCTION("""COMPUTED_VALUE"""),"Bathroom")</f>
        <v>Bathroom</v>
      </c>
      <c r="T1076" s="5" t="str">
        <f ca="1">IFERROR(__xludf.DUMMYFUNCTION("""COMPUTED_VALUE"""),"Inside School Building")</f>
        <v>Inside School Building</v>
      </c>
      <c r="U1076" s="5" t="str">
        <f ca="1">IFERROR(__xludf.DUMMYFUNCTION("""COMPUTED_VALUE"""),"Yes")</f>
        <v>Yes</v>
      </c>
      <c r="V1076" s="5" t="str">
        <f ca="1">IFERROR(__xludf.DUMMYFUNCTION("""COMPUTED_VALUE"""),"Morning Classes")</f>
        <v>Morning Classes</v>
      </c>
      <c r="W1076" s="10">
        <f ca="1">IFERROR(__xludf.DUMMYFUNCTION("""COMPUTED_VALUE"""),0.375)</f>
        <v>0.375</v>
      </c>
      <c r="X1076" s="5">
        <f ca="1">IFERROR(__xludf.DUMMYFUNCTION("""COMPUTED_VALUE"""),1)</f>
        <v>1</v>
      </c>
      <c r="Y1076" s="5" t="str">
        <f ca="1">IFERROR(__xludf.DUMMYFUNCTION("""COMPUTED_VALUE"""),"Attempted murder-suicide in school bathroom")</f>
        <v>Attempted murder-suicide in school bathroom</v>
      </c>
      <c r="Z1076" s="5" t="str">
        <f ca="1">IFERROR(__xludf.DUMMYFUNCTION("""COMPUTED_VALUE"""),"Female student intended to kill stepbrother but shot another female student who walked into the bathroom while she was loading the gun. She then killed herself. ""Very good student without behavior problems"". Police officer injured by accidental discharg"&amp;"e in the school during the response.")</f>
        <v>Female student intended to kill stepbrother but shot another female student who walked into the bathroom while she was loading the gun. She then killed herself. "Very good student without behavior problems". Police officer injured by accidental discharge in the school during the response.</v>
      </c>
      <c r="AA1076" s="5" t="str">
        <f ca="1">IFERROR(__xludf.DUMMYFUNCTION("""COMPUTED_VALUE"""),"Domestic w/ Targeted Victim")</f>
        <v>Domestic w/ Targeted Victim</v>
      </c>
      <c r="AB1076" s="5" t="str">
        <f ca="1">IFERROR(__xludf.DUMMYFUNCTION("""COMPUTED_VALUE"""),"Both")</f>
        <v>Both</v>
      </c>
      <c r="AC1076" s="5" t="str">
        <f ca="1">IFERROR(__xludf.DUMMYFUNCTION("""COMPUTED_VALUE"""),"No")</f>
        <v>No</v>
      </c>
      <c r="AD1076" s="5" t="str">
        <f ca="1">IFERROR(__xludf.DUMMYFUNCTION("""COMPUTED_VALUE"""),"No")</f>
        <v>No</v>
      </c>
      <c r="AE1076" s="5" t="str">
        <f ca="1">IFERROR(__xludf.DUMMYFUNCTION("""COMPUTED_VALUE"""),"No")</f>
        <v>No</v>
      </c>
      <c r="AF1076" s="5" t="str">
        <f ca="1">IFERROR(__xludf.DUMMYFUNCTION("""COMPUTED_VALUE"""),"No")</f>
        <v>No</v>
      </c>
      <c r="AG1076" s="5" t="str">
        <f ca="1">IFERROR(__xludf.DUMMYFUNCTION("""COMPUTED_VALUE"""),"No")</f>
        <v>No</v>
      </c>
      <c r="AH1076" s="5" t="str">
        <f ca="1">IFERROR(__xludf.DUMMYFUNCTION("""COMPUTED_VALUE"""),"Yes")</f>
        <v>Yes</v>
      </c>
      <c r="AI1076" s="5" t="str">
        <f ca="1">IFERROR(__xludf.DUMMYFUNCTION("""COMPUTED_VALUE"""),"No")</f>
        <v>No</v>
      </c>
      <c r="AJ1076" s="5" t="str">
        <f ca="1">IFERROR(__xludf.DUMMYFUNCTION("""COMPUTED_VALUE"""),"No")</f>
        <v>No</v>
      </c>
    </row>
    <row r="1077" spans="1:36" ht="13">
      <c r="A1077" s="5" t="str">
        <f ca="1">IFERROR(__xludf.DUMMYFUNCTION("""COMPUTED_VALUE"""),"20160907MIDED")</f>
        <v>20160907MIDED</v>
      </c>
      <c r="B1077" s="5">
        <f ca="1">IFERROR(__xludf.DUMMYFUNCTION("""COMPUTED_VALUE"""),9)</f>
        <v>9</v>
      </c>
      <c r="C1077" s="5">
        <f ca="1">IFERROR(__xludf.DUMMYFUNCTION("""COMPUTED_VALUE"""),7)</f>
        <v>7</v>
      </c>
      <c r="D1077" s="5">
        <f ca="1">IFERROR(__xludf.DUMMYFUNCTION("""COMPUTED_VALUE"""),2016)</f>
        <v>2016</v>
      </c>
      <c r="E1077" s="8">
        <f ca="1">IFERROR(__xludf.DUMMYFUNCTION("""COMPUTED_VALUE"""),42620)</f>
        <v>42620</v>
      </c>
      <c r="F1077" s="5" t="str">
        <f ca="1">IFERROR(__xludf.DUMMYFUNCTION("""COMPUTED_VALUE"""),"Detroit Collegiate Preparatory High School")</f>
        <v>Detroit Collegiate Preparatory High School</v>
      </c>
      <c r="G1077" s="5">
        <f ca="1">IFERROR(__xludf.DUMMYFUNCTION("""COMPUTED_VALUE"""),0)</f>
        <v>0</v>
      </c>
      <c r="H1077" s="5">
        <f ca="1">IFERROR(__xludf.DUMMYFUNCTION("""COMPUTED_VALUE"""),0)</f>
        <v>0</v>
      </c>
      <c r="I1077" s="5">
        <f ca="1">IFERROR(__xludf.DUMMYFUNCTION("""COMPUTED_VALUE"""),0)</f>
        <v>0</v>
      </c>
      <c r="J1077" s="5">
        <f ca="1">IFERROR(__xludf.DUMMYFUNCTION("""COMPUTED_VALUE"""),0)</f>
        <v>0</v>
      </c>
      <c r="K1077" s="9" t="str">
        <f ca="1">IFERROR(__xludf.DUMMYFUNCTION("""COMPUTED_VALUE"""),"http://detroit.cbslocal.com/2016/09/07/detroit-principals-vehicle-reportedly-shot-up-in-parking-lot-on-second-day-of-school/")</f>
        <v>http://detroit.cbslocal.com/2016/09/07/detroit-principals-vehicle-reportedly-shot-up-in-parking-lot-on-second-day-of-school/</v>
      </c>
      <c r="L1077" s="5"/>
      <c r="M1077" s="5"/>
      <c r="N1077" s="5">
        <f ca="1">IFERROR(__xludf.DUMMYFUNCTION("""COMPUTED_VALUE"""),2)</f>
        <v>2</v>
      </c>
      <c r="O1077" s="5" t="str">
        <f ca="1">IFERROR(__xludf.DUMMYFUNCTION("""COMPUTED_VALUE"""),"Fall")</f>
        <v>Fall</v>
      </c>
      <c r="P1077" s="5" t="str">
        <f ca="1">IFERROR(__xludf.DUMMYFUNCTION("""COMPUTED_VALUE"""),"Detroit")</f>
        <v>Detroit</v>
      </c>
      <c r="Q1077" s="5" t="str">
        <f ca="1">IFERROR(__xludf.DUMMYFUNCTION("""COMPUTED_VALUE"""),"MI")</f>
        <v>MI</v>
      </c>
      <c r="R1077" s="5" t="str">
        <f ca="1">IFERROR(__xludf.DUMMYFUNCTION("""COMPUTED_VALUE"""),"High")</f>
        <v>High</v>
      </c>
      <c r="S1077" s="5" t="str">
        <f ca="1">IFERROR(__xludf.DUMMYFUNCTION("""COMPUTED_VALUE"""),"Parking Lot")</f>
        <v>Parking Lot</v>
      </c>
      <c r="T1077" s="5" t="str">
        <f ca="1">IFERROR(__xludf.DUMMYFUNCTION("""COMPUTED_VALUE"""),"Outside on School Property")</f>
        <v>Outside on School Property</v>
      </c>
      <c r="U1077" s="5" t="str">
        <f ca="1">IFERROR(__xludf.DUMMYFUNCTION("""COMPUTED_VALUE"""),"Yes")</f>
        <v>Yes</v>
      </c>
      <c r="V1077" s="5" t="str">
        <f ca="1">IFERROR(__xludf.DUMMYFUNCTION("""COMPUTED_VALUE"""),"Before School")</f>
        <v>Before School</v>
      </c>
      <c r="W1077" s="10">
        <f ca="1">IFERROR(__xludf.DUMMYFUNCTION("""COMPUTED_VALUE"""),0.291666666666666)</f>
        <v>0.29166666666666602</v>
      </c>
      <c r="X1077" s="5"/>
      <c r="Y1077" s="5" t="str">
        <f ca="1">IFERROR(__xludf.DUMMYFUNCTION("""COMPUTED_VALUE"""),"Shots fired at principal's car")</f>
        <v>Shots fired at principal's car</v>
      </c>
      <c r="Z1077" s="5" t="str">
        <f ca="1">IFERROR(__xludf.DUMMYFUNCTION("""COMPUTED_VALUE"""),"The school principal was exiting the vehicle at the school parking lot when a shot hit the vehicle. He ran to the building and 2 more shots were fired at the vehicle. The shooter was hiding behind trees near the fence and fled right away. K9 officers lost"&amp;" tracks not far from the school and the shooter was not captured. The police wanted to interview a former student who was asked by the principal to leave the building the day before. No one was hurt.")</f>
        <v>The school principal was exiting the vehicle at the school parking lot when a shot hit the vehicle. He ran to the building and 2 more shots were fired at the vehicle. The shooter was hiding behind trees near the fence and fled right away. K9 officers lost tracks not far from the school and the shooter was not captured. The police wanted to interview a former student who was asked by the principal to leave the building the day before. No one was hurt.</v>
      </c>
      <c r="AA1077" s="5" t="str">
        <f ca="1">IFERROR(__xludf.DUMMYFUNCTION("""COMPUTED_VALUE"""),"Unknown")</f>
        <v>Unknown</v>
      </c>
      <c r="AB1077" s="5" t="str">
        <f ca="1">IFERROR(__xludf.DUMMYFUNCTION("""COMPUTED_VALUE"""),"Victims Targeted")</f>
        <v>Victims Targeted</v>
      </c>
      <c r="AC1077" s="5"/>
      <c r="AD1077" s="5" t="str">
        <f ca="1">IFERROR(__xludf.DUMMYFUNCTION("""COMPUTED_VALUE"""),"No")</f>
        <v>No</v>
      </c>
      <c r="AE1077" s="5" t="str">
        <f ca="1">IFERROR(__xludf.DUMMYFUNCTION("""COMPUTED_VALUE"""),"No")</f>
        <v>No</v>
      </c>
      <c r="AF1077" s="5" t="str">
        <f ca="1">IFERROR(__xludf.DUMMYFUNCTION("""COMPUTED_VALUE"""),"No")</f>
        <v>No</v>
      </c>
      <c r="AG1077" s="5"/>
      <c r="AH1077" s="5"/>
      <c r="AI1077" s="5"/>
      <c r="AJ1077" s="5" t="str">
        <f ca="1">IFERROR(__xludf.DUMMYFUNCTION("""COMPUTED_VALUE"""),"No")</f>
        <v>No</v>
      </c>
    </row>
    <row r="1078" spans="1:36" ht="13">
      <c r="A1078" s="5" t="str">
        <f ca="1">IFERROR(__xludf.DUMMYFUNCTION("""COMPUTED_VALUE"""),"20160902OKMCT")</f>
        <v>20160902OKMCT</v>
      </c>
      <c r="B1078" s="5">
        <f ca="1">IFERROR(__xludf.DUMMYFUNCTION("""COMPUTED_VALUE"""),9)</f>
        <v>9</v>
      </c>
      <c r="C1078" s="5">
        <f ca="1">IFERROR(__xludf.DUMMYFUNCTION("""COMPUTED_VALUE"""),2)</f>
        <v>2</v>
      </c>
      <c r="D1078" s="5">
        <f ca="1">IFERROR(__xludf.DUMMYFUNCTION("""COMPUTED_VALUE"""),2016)</f>
        <v>2016</v>
      </c>
      <c r="E1078" s="8">
        <f ca="1">IFERROR(__xludf.DUMMYFUNCTION("""COMPUTED_VALUE"""),42615)</f>
        <v>42615</v>
      </c>
      <c r="F1078" s="5" t="str">
        <f ca="1">IFERROR(__xludf.DUMMYFUNCTION("""COMPUTED_VALUE"""),"McClain High School")</f>
        <v>McClain High School</v>
      </c>
      <c r="G1078" s="5">
        <f ca="1">IFERROR(__xludf.DUMMYFUNCTION("""COMPUTED_VALUE"""),0)</f>
        <v>0</v>
      </c>
      <c r="H1078" s="5">
        <f ca="1">IFERROR(__xludf.DUMMYFUNCTION("""COMPUTED_VALUE"""),1)</f>
        <v>1</v>
      </c>
      <c r="I1078" s="5">
        <f ca="1">IFERROR(__xludf.DUMMYFUNCTION("""COMPUTED_VALUE"""),1)</f>
        <v>1</v>
      </c>
      <c r="J1078" s="5">
        <f ca="1">IFERROR(__xludf.DUMMYFUNCTION("""COMPUTED_VALUE"""),0)</f>
        <v>0</v>
      </c>
      <c r="K1078" s="5" t="str">
        <f ca="1">IFERROR(__xludf.DUMMYFUNCTION("""COMPUTED_VALUE"""),"http://www.nydailynews.com/news/national/okla-teen-shot-head-high-school-football-game-article-1.2776565 https://www.tulsaworld.com/news/local/crime-and-courts/student-pleads-guilty-to-shooting-during-mclain-football-game/article_bdffedaf-cd38-5d17-a5f2-f"&amp;"2c2c29924be.html")</f>
        <v>http://www.nydailynews.com/news/national/okla-teen-shot-head-high-school-football-game-article-1.2776565 https://www.tulsaworld.com/news/local/crime-and-courts/student-pleads-guilty-to-shooting-during-mclain-football-game/article_bdffedaf-cd38-5d17-a5f2-f2c2c29924be.html</v>
      </c>
      <c r="L1078" s="5">
        <f ca="1">IFERROR(__xludf.DUMMYFUNCTION("""COMPUTED_VALUE"""),5)</f>
        <v>5</v>
      </c>
      <c r="M1078" s="5" t="str">
        <f ca="1">IFERROR(__xludf.DUMMYFUNCTION("""COMPUTED_VALUE"""),"Local")</f>
        <v>Local</v>
      </c>
      <c r="N1078" s="5">
        <f ca="1">IFERROR(__xludf.DUMMYFUNCTION("""COMPUTED_VALUE"""),3)</f>
        <v>3</v>
      </c>
      <c r="O1078" s="5" t="str">
        <f ca="1">IFERROR(__xludf.DUMMYFUNCTION("""COMPUTED_VALUE"""),"Fall")</f>
        <v>Fall</v>
      </c>
      <c r="P1078" s="5" t="str">
        <f ca="1">IFERROR(__xludf.DUMMYFUNCTION("""COMPUTED_VALUE"""),"Tulsa")</f>
        <v>Tulsa</v>
      </c>
      <c r="Q1078" s="5" t="str">
        <f ca="1">IFERROR(__xludf.DUMMYFUNCTION("""COMPUTED_VALUE"""),"OK")</f>
        <v>OK</v>
      </c>
      <c r="R1078" s="5" t="str">
        <f ca="1">IFERROR(__xludf.DUMMYFUNCTION("""COMPUTED_VALUE"""),"High")</f>
        <v>High</v>
      </c>
      <c r="S1078" s="5" t="str">
        <f ca="1">IFERROR(__xludf.DUMMYFUNCTION("""COMPUTED_VALUE"""),"Football Field/Track")</f>
        <v>Football Field/Track</v>
      </c>
      <c r="T1078" s="5" t="str">
        <f ca="1">IFERROR(__xludf.DUMMYFUNCTION("""COMPUTED_VALUE"""),"Outside on School Property")</f>
        <v>Outside on School Property</v>
      </c>
      <c r="U1078" s="5" t="str">
        <f ca="1">IFERROR(__xludf.DUMMYFUNCTION("""COMPUTED_VALUE"""),"No")</f>
        <v>No</v>
      </c>
      <c r="V1078" s="5" t="str">
        <f ca="1">IFERROR(__xludf.DUMMYFUNCTION("""COMPUTED_VALUE"""),"Sport Event")</f>
        <v>Sport Event</v>
      </c>
      <c r="W1078" s="10">
        <f ca="1">IFERROR(__xludf.DUMMYFUNCTION("""COMPUTED_VALUE"""),0.885416666666666)</f>
        <v>0.88541666666666596</v>
      </c>
      <c r="X1078" s="5">
        <f ca="1">IFERROR(__xludf.DUMMYFUNCTION("""COMPUTED_VALUE"""),1)</f>
        <v>1</v>
      </c>
      <c r="Y1078" s="5" t="str">
        <f ca="1">IFERROR(__xludf.DUMMYFUNCTION("""COMPUTED_VALUE"""),"Gang-related altercation just before the shots were fired")</f>
        <v>Gang-related altercation just before the shots were fired</v>
      </c>
      <c r="Z1078" s="5" t="str">
        <f ca="1">IFERROR(__xludf.DUMMYFUNCTION("""COMPUTED_VALUE"""),"The shooter and the victim allegedly had an altercation at the end of a high school football game. The victim and his party allegedly showed the shooter gang signs. The shooter shot twice and hit the victim in the temple. The victim was taken to the hospi"&amp;"tal. The shooter fled right away but was apprehended outside the stadium.")</f>
        <v>The shooter and the victim allegedly had an altercation at the end of a high school football game. The victim and his party allegedly showed the shooter gang signs. The shooter shot twice and hit the victim in the temple. The victim was taken to the hospital. The shooter fled right away but was apprehended outside the stadium.</v>
      </c>
      <c r="AA1078" s="5" t="str">
        <f ca="1">IFERROR(__xludf.DUMMYFUNCTION("""COMPUTED_VALUE"""),"Escalation of Dispute")</f>
        <v>Escalation of Dispute</v>
      </c>
      <c r="AB1078" s="5" t="str">
        <f ca="1">IFERROR(__xludf.DUMMYFUNCTION("""COMPUTED_VALUE"""),"Victims Targeted")</f>
        <v>Victims Targeted</v>
      </c>
      <c r="AC1078" s="5"/>
      <c r="AD1078" s="5" t="str">
        <f ca="1">IFERROR(__xludf.DUMMYFUNCTION("""COMPUTED_VALUE"""),"No")</f>
        <v>No</v>
      </c>
      <c r="AE1078" s="5" t="str">
        <f ca="1">IFERROR(__xludf.DUMMYFUNCTION("""COMPUTED_VALUE"""),"No")</f>
        <v>No</v>
      </c>
      <c r="AF1078" s="5" t="str">
        <f ca="1">IFERROR(__xludf.DUMMYFUNCTION("""COMPUTED_VALUE"""),"No")</f>
        <v>No</v>
      </c>
      <c r="AG1078" s="5" t="str">
        <f ca="1">IFERROR(__xludf.DUMMYFUNCTION("""COMPUTED_VALUE"""),"No")</f>
        <v>No</v>
      </c>
      <c r="AH1078" s="5" t="str">
        <f ca="1">IFERROR(__xludf.DUMMYFUNCTION("""COMPUTED_VALUE"""),"No")</f>
        <v>No</v>
      </c>
      <c r="AI1078" s="5" t="str">
        <f ca="1">IFERROR(__xludf.DUMMYFUNCTION("""COMPUTED_VALUE"""),"Yes")</f>
        <v>Yes</v>
      </c>
      <c r="AJ1078" s="5" t="str">
        <f ca="1">IFERROR(__xludf.DUMMYFUNCTION("""COMPUTED_VALUE"""),"No")</f>
        <v>No</v>
      </c>
    </row>
    <row r="1079" spans="1:36" ht="13">
      <c r="A1079" s="5" t="str">
        <f ca="1">IFERROR(__xludf.DUMMYFUNCTION("""COMPUTED_VALUE"""),"20160819FLSOM")</f>
        <v>20160819FLSOM</v>
      </c>
      <c r="B1079" s="5">
        <f ca="1">IFERROR(__xludf.DUMMYFUNCTION("""COMPUTED_VALUE"""),8)</f>
        <v>8</v>
      </c>
      <c r="C1079" s="5">
        <f ca="1">IFERROR(__xludf.DUMMYFUNCTION("""COMPUTED_VALUE"""),19)</f>
        <v>19</v>
      </c>
      <c r="D1079" s="5">
        <f ca="1">IFERROR(__xludf.DUMMYFUNCTION("""COMPUTED_VALUE"""),2016)</f>
        <v>2016</v>
      </c>
      <c r="E1079" s="8">
        <f ca="1">IFERROR(__xludf.DUMMYFUNCTION("""COMPUTED_VALUE"""),42601)</f>
        <v>42601</v>
      </c>
      <c r="F1079" s="5" t="str">
        <f ca="1">IFERROR(__xludf.DUMMYFUNCTION("""COMPUTED_VALUE"""),"Southridge High School")</f>
        <v>Southridge High School</v>
      </c>
      <c r="G1079" s="5">
        <f ca="1">IFERROR(__xludf.DUMMYFUNCTION("""COMPUTED_VALUE"""),0)</f>
        <v>0</v>
      </c>
      <c r="H1079" s="5">
        <f ca="1">IFERROR(__xludf.DUMMYFUNCTION("""COMPUTED_VALUE"""),0)</f>
        <v>0</v>
      </c>
      <c r="I1079" s="5">
        <f ca="1">IFERROR(__xludf.DUMMYFUNCTION("""COMPUTED_VALUE"""),0)</f>
        <v>0</v>
      </c>
      <c r="J1079" s="5">
        <f ca="1">IFERROR(__xludf.DUMMYFUNCTION("""COMPUTED_VALUE"""),0)</f>
        <v>0</v>
      </c>
      <c r="K1079" s="9" t="str">
        <f ca="1">IFERROR(__xludf.DUMMYFUNCTION("""COMPUTED_VALUE"""),"https://www.local10.com/news/2016/08/20/shots-fired-at-southridge-vs-south-plantation-football-game-police-say/")</f>
        <v>https://www.local10.com/news/2016/08/20/shots-fired-at-southridge-vs-south-plantation-football-game-police-say/</v>
      </c>
      <c r="L1079" s="5"/>
      <c r="M1079" s="5"/>
      <c r="N1079" s="5">
        <f ca="1">IFERROR(__xludf.DUMMYFUNCTION("""COMPUTED_VALUE"""),3)</f>
        <v>3</v>
      </c>
      <c r="O1079" s="5" t="str">
        <f ca="1">IFERROR(__xludf.DUMMYFUNCTION("""COMPUTED_VALUE"""),"Summer")</f>
        <v>Summer</v>
      </c>
      <c r="P1079" s="5" t="str">
        <f ca="1">IFERROR(__xludf.DUMMYFUNCTION("""COMPUTED_VALUE"""),"Miami")</f>
        <v>Miami</v>
      </c>
      <c r="Q1079" s="5" t="str">
        <f ca="1">IFERROR(__xludf.DUMMYFUNCTION("""COMPUTED_VALUE"""),"FL")</f>
        <v>FL</v>
      </c>
      <c r="R1079" s="5" t="str">
        <f ca="1">IFERROR(__xludf.DUMMYFUNCTION("""COMPUTED_VALUE"""),"High")</f>
        <v>High</v>
      </c>
      <c r="S1079" s="5" t="str">
        <f ca="1">IFERROR(__xludf.DUMMYFUNCTION("""COMPUTED_VALUE"""),"Parking Lot")</f>
        <v>Parking Lot</v>
      </c>
      <c r="T1079" s="5" t="str">
        <f ca="1">IFERROR(__xludf.DUMMYFUNCTION("""COMPUTED_VALUE"""),"Outside on School Property")</f>
        <v>Outside on School Property</v>
      </c>
      <c r="U1079" s="5" t="str">
        <f ca="1">IFERROR(__xludf.DUMMYFUNCTION("""COMPUTED_VALUE"""),"No")</f>
        <v>No</v>
      </c>
      <c r="V1079" s="5" t="str">
        <f ca="1">IFERROR(__xludf.DUMMYFUNCTION("""COMPUTED_VALUE"""),"Sport Event")</f>
        <v>Sport Event</v>
      </c>
      <c r="W1079" s="10">
        <f ca="1">IFERROR(__xludf.DUMMYFUNCTION("""COMPUTED_VALUE"""),0.902777777777777)</f>
        <v>0.90277777777777701</v>
      </c>
      <c r="X1079" s="5">
        <f ca="1">IFERROR(__xludf.DUMMYFUNCTION("""COMPUTED_VALUE"""),1)</f>
        <v>1</v>
      </c>
      <c r="Y1079" s="5" t="str">
        <f ca="1">IFERROR(__xludf.DUMMYFUNCTION("""COMPUTED_VALUE"""),"Shots fired in parking lot during football game")</f>
        <v>Shots fired in parking lot during football game</v>
      </c>
      <c r="Z1079" s="5" t="str">
        <f ca="1">IFERROR(__xludf.DUMMYFUNCTION("""COMPUTED_VALUE"""),"Shots fired in parking lot during high school football game. Vehicle in the parking lot was struck. No injuries. Police arrested a man who was not a student at either school.")</f>
        <v>Shots fired in parking lot during high school football game. Vehicle in the parking lot was struck. No injuries. Police arrested a man who was not a student at either school.</v>
      </c>
      <c r="AA1079" s="5" t="str">
        <f ca="1">IFERROR(__xludf.DUMMYFUNCTION("""COMPUTED_VALUE"""),"Escalation of Dispute")</f>
        <v>Escalation of Dispute</v>
      </c>
      <c r="AB1079" s="5"/>
      <c r="AC1079" s="5" t="str">
        <f ca="1">IFERROR(__xludf.DUMMYFUNCTION("""COMPUTED_VALUE"""),"No")</f>
        <v>No</v>
      </c>
      <c r="AD1079" s="5" t="str">
        <f ca="1">IFERROR(__xludf.DUMMYFUNCTION("""COMPUTED_VALUE"""),"No")</f>
        <v>No</v>
      </c>
      <c r="AE1079" s="5" t="str">
        <f ca="1">IFERROR(__xludf.DUMMYFUNCTION("""COMPUTED_VALUE"""),"No")</f>
        <v>No</v>
      </c>
      <c r="AF1079" s="5" t="str">
        <f ca="1">IFERROR(__xludf.DUMMYFUNCTION("""COMPUTED_VALUE"""),"No")</f>
        <v>No</v>
      </c>
      <c r="AG1079" s="5" t="str">
        <f ca="1">IFERROR(__xludf.DUMMYFUNCTION("""COMPUTED_VALUE"""),"No")</f>
        <v>No</v>
      </c>
      <c r="AH1079" s="5" t="str">
        <f ca="1">IFERROR(__xludf.DUMMYFUNCTION("""COMPUTED_VALUE"""),"No")</f>
        <v>No</v>
      </c>
      <c r="AI1079" s="5"/>
      <c r="AJ1079" s="5" t="str">
        <f ca="1">IFERROR(__xludf.DUMMYFUNCTION("""COMPUTED_VALUE"""),"No")</f>
        <v>No</v>
      </c>
    </row>
    <row r="1080" spans="1:36" ht="13">
      <c r="A1080" s="5" t="str">
        <f ca="1">IFERROR(__xludf.DUMMYFUNCTION("""COMPUTED_VALUE"""),"20160817OHWEC")</f>
        <v>20160817OHWEC</v>
      </c>
      <c r="B1080" s="5">
        <f ca="1">IFERROR(__xludf.DUMMYFUNCTION("""COMPUTED_VALUE"""),8)</f>
        <v>8</v>
      </c>
      <c r="C1080" s="5">
        <f ca="1">IFERROR(__xludf.DUMMYFUNCTION("""COMPUTED_VALUE"""),17)</f>
        <v>17</v>
      </c>
      <c r="D1080" s="5">
        <f ca="1">IFERROR(__xludf.DUMMYFUNCTION("""COMPUTED_VALUE"""),2016)</f>
        <v>2016</v>
      </c>
      <c r="E1080" s="8">
        <f ca="1">IFERROR(__xludf.DUMMYFUNCTION("""COMPUTED_VALUE"""),42599)</f>
        <v>42599</v>
      </c>
      <c r="F1080" s="5" t="str">
        <f ca="1">IFERROR(__xludf.DUMMYFUNCTION("""COMPUTED_VALUE"""),"Wedgewood Middle School")</f>
        <v>Wedgewood Middle School</v>
      </c>
      <c r="G1080" s="5">
        <f ca="1">IFERROR(__xludf.DUMMYFUNCTION("""COMPUTED_VALUE"""),0)</f>
        <v>0</v>
      </c>
      <c r="H1080" s="5">
        <f ca="1">IFERROR(__xludf.DUMMYFUNCTION("""COMPUTED_VALUE"""),2)</f>
        <v>2</v>
      </c>
      <c r="I1080" s="5">
        <f ca="1">IFERROR(__xludf.DUMMYFUNCTION("""COMPUTED_VALUE"""),2)</f>
        <v>2</v>
      </c>
      <c r="J1080" s="5">
        <f ca="1">IFERROR(__xludf.DUMMYFUNCTION("""COMPUTED_VALUE"""),0)</f>
        <v>0</v>
      </c>
      <c r="K1080" s="9" t="str">
        <f ca="1">IFERROR(__xludf.DUMMYFUNCTION("""COMPUTED_VALUE"""),"http://www.nbc4i.com/news/one-shot-at-west-side-middle-school-police-looking-for-group-of-males-as-suspects/1114333465")</f>
        <v>http://www.nbc4i.com/news/one-shot-at-west-side-middle-school-police-looking-for-group-of-males-as-suspects/1114333465</v>
      </c>
      <c r="L1080" s="5">
        <f ca="1">IFERROR(__xludf.DUMMYFUNCTION("""COMPUTED_VALUE"""),1)</f>
        <v>1</v>
      </c>
      <c r="M1080" s="5" t="str">
        <f ca="1">IFERROR(__xludf.DUMMYFUNCTION("""COMPUTED_VALUE"""),"Local")</f>
        <v>Local</v>
      </c>
      <c r="N1080" s="5">
        <f ca="1">IFERROR(__xludf.DUMMYFUNCTION("""COMPUTED_VALUE"""),2)</f>
        <v>2</v>
      </c>
      <c r="O1080" s="5" t="str">
        <f ca="1">IFERROR(__xludf.DUMMYFUNCTION("""COMPUTED_VALUE"""),"Summer")</f>
        <v>Summer</v>
      </c>
      <c r="P1080" s="5" t="str">
        <f ca="1">IFERROR(__xludf.DUMMYFUNCTION("""COMPUTED_VALUE"""),"Columbus")</f>
        <v>Columbus</v>
      </c>
      <c r="Q1080" s="5" t="str">
        <f ca="1">IFERROR(__xludf.DUMMYFUNCTION("""COMPUTED_VALUE"""),"OH")</f>
        <v>OH</v>
      </c>
      <c r="R1080" s="5" t="str">
        <f ca="1">IFERROR(__xludf.DUMMYFUNCTION("""COMPUTED_VALUE"""),"Middle")</f>
        <v>Middle</v>
      </c>
      <c r="S1080" s="5" t="str">
        <f ca="1">IFERROR(__xludf.DUMMYFUNCTION("""COMPUTED_VALUE"""),"Parking Lot")</f>
        <v>Parking Lot</v>
      </c>
      <c r="T1080" s="5" t="str">
        <f ca="1">IFERROR(__xludf.DUMMYFUNCTION("""COMPUTED_VALUE"""),"Outside on School Property")</f>
        <v>Outside on School Property</v>
      </c>
      <c r="U1080" s="5" t="str">
        <f ca="1">IFERROR(__xludf.DUMMYFUNCTION("""COMPUTED_VALUE"""),"No")</f>
        <v>No</v>
      </c>
      <c r="V1080" s="5" t="str">
        <f ca="1">IFERROR(__xludf.DUMMYFUNCTION("""COMPUTED_VALUE"""),"Evening")</f>
        <v>Evening</v>
      </c>
      <c r="W1080" s="10">
        <f ca="1">IFERROR(__xludf.DUMMYFUNCTION("""COMPUTED_VALUE"""),0.840277777777777)</f>
        <v>0.84027777777777701</v>
      </c>
      <c r="X1080" s="5">
        <f ca="1">IFERROR(__xludf.DUMMYFUNCTION("""COMPUTED_VALUE"""),1)</f>
        <v>1</v>
      </c>
      <c r="Y1080" s="5" t="str">
        <f ca="1">IFERROR(__xludf.DUMMYFUNCTION("""COMPUTED_VALUE"""),"2 people shot in a car; shooter was in another car")</f>
        <v>2 people shot in a car; shooter was in another car</v>
      </c>
      <c r="Z1080" s="5" t="str">
        <f ca="1">IFERROR(__xludf.DUMMYFUNCTION("""COMPUTED_VALUE"""),"Victims were sitting in a car when a man pulled up in a black SUV and told them, ""Don't move."" The unidentified man then pulled out a gun and started shooting at the car, hitting Shariff in the leg and Mohamed in the back. No further information on the "&amp;"investigation or motives.")</f>
        <v>Victims were sitting in a car when a man pulled up in a black SUV and told them, "Don't move." The unidentified man then pulled out a gun and started shooting at the car, hitting Shariff in the leg and Mohamed in the back. No further information on the investigation or motives.</v>
      </c>
      <c r="AA1080" s="5" t="str">
        <f ca="1">IFERROR(__xludf.DUMMYFUNCTION("""COMPUTED_VALUE"""),"Unknown")</f>
        <v>Unknown</v>
      </c>
      <c r="AB1080" s="5"/>
      <c r="AC1080" s="5"/>
      <c r="AD1080" s="5" t="str">
        <f ca="1">IFERROR(__xludf.DUMMYFUNCTION("""COMPUTED_VALUE"""),"No")</f>
        <v>No</v>
      </c>
      <c r="AE1080" s="5" t="str">
        <f ca="1">IFERROR(__xludf.DUMMYFUNCTION("""COMPUTED_VALUE"""),"No")</f>
        <v>No</v>
      </c>
      <c r="AF1080" s="5" t="str">
        <f ca="1">IFERROR(__xludf.DUMMYFUNCTION("""COMPUTED_VALUE"""),"No")</f>
        <v>No</v>
      </c>
      <c r="AG1080" s="5"/>
      <c r="AH1080" s="5" t="str">
        <f ca="1">IFERROR(__xludf.DUMMYFUNCTION("""COMPUTED_VALUE"""),"No")</f>
        <v>No</v>
      </c>
      <c r="AI1080" s="5"/>
      <c r="AJ1080" s="5" t="str">
        <f ca="1">IFERROR(__xludf.DUMMYFUNCTION("""COMPUTED_VALUE"""),"No")</f>
        <v>No</v>
      </c>
    </row>
    <row r="1081" spans="1:36" ht="13">
      <c r="A1081" s="5" t="str">
        <f ca="1">IFERROR(__xludf.DUMMYFUNCTION("""COMPUTED_VALUE"""),"20160725MOAVA")</f>
        <v>20160725MOAVA</v>
      </c>
      <c r="B1081" s="5">
        <f ca="1">IFERROR(__xludf.DUMMYFUNCTION("""COMPUTED_VALUE"""),7)</f>
        <v>7</v>
      </c>
      <c r="C1081" s="5">
        <f ca="1">IFERROR(__xludf.DUMMYFUNCTION("""COMPUTED_VALUE"""),25)</f>
        <v>25</v>
      </c>
      <c r="D1081" s="5">
        <f ca="1">IFERROR(__xludf.DUMMYFUNCTION("""COMPUTED_VALUE"""),2016)</f>
        <v>2016</v>
      </c>
      <c r="E1081" s="8">
        <f ca="1">IFERROR(__xludf.DUMMYFUNCTION("""COMPUTED_VALUE"""),42576)</f>
        <v>42576</v>
      </c>
      <c r="F1081" s="5" t="str">
        <f ca="1">IFERROR(__xludf.DUMMYFUNCTION("""COMPUTED_VALUE"""),"Ava High School")</f>
        <v>Ava High School</v>
      </c>
      <c r="G1081" s="5">
        <f ca="1">IFERROR(__xludf.DUMMYFUNCTION("""COMPUTED_VALUE"""),0)</f>
        <v>0</v>
      </c>
      <c r="H1081" s="5">
        <f ca="1">IFERROR(__xludf.DUMMYFUNCTION("""COMPUTED_VALUE"""),1)</f>
        <v>1</v>
      </c>
      <c r="I1081" s="5">
        <f ca="1">IFERROR(__xludf.DUMMYFUNCTION("""COMPUTED_VALUE"""),1)</f>
        <v>1</v>
      </c>
      <c r="J1081" s="5">
        <f ca="1">IFERROR(__xludf.DUMMYFUNCTION("""COMPUTED_VALUE"""),1)</f>
        <v>1</v>
      </c>
      <c r="K1081" s="5" t="str">
        <f ca="1">IFERROR(__xludf.DUMMYFUNCTION("""COMPUTED_VALUE"""),"https://www.news-leader.com/story/news/crime/2016/07/25/1-dead-1-injured-shooting-ava-school-parking-lot-police-say/87519312/  https://douglascountyherald.com/2016/07/late-night-shooting-at-ava-school-parking-lot/")</f>
        <v>https://www.news-leader.com/story/news/crime/2016/07/25/1-dead-1-injured-shooting-ava-school-parking-lot-police-say/87519312/  https://douglascountyherald.com/2016/07/late-night-shooting-at-ava-school-parking-lot/</v>
      </c>
      <c r="L1081" s="5"/>
      <c r="M1081" s="5"/>
      <c r="N1081" s="5">
        <f ca="1">IFERROR(__xludf.DUMMYFUNCTION("""COMPUTED_VALUE"""),3)</f>
        <v>3</v>
      </c>
      <c r="O1081" s="5" t="str">
        <f ca="1">IFERROR(__xludf.DUMMYFUNCTION("""COMPUTED_VALUE"""),"Summer")</f>
        <v>Summer</v>
      </c>
      <c r="P1081" s="5" t="str">
        <f ca="1">IFERROR(__xludf.DUMMYFUNCTION("""COMPUTED_VALUE"""),"Ava")</f>
        <v>Ava</v>
      </c>
      <c r="Q1081" s="5" t="str">
        <f ca="1">IFERROR(__xludf.DUMMYFUNCTION("""COMPUTED_VALUE"""),"MO")</f>
        <v>MO</v>
      </c>
      <c r="R1081" s="5" t="str">
        <f ca="1">IFERROR(__xludf.DUMMYFUNCTION("""COMPUTED_VALUE"""),"High")</f>
        <v>High</v>
      </c>
      <c r="S1081" s="5" t="str">
        <f ca="1">IFERROR(__xludf.DUMMYFUNCTION("""COMPUTED_VALUE"""),"Parking Lot")</f>
        <v>Parking Lot</v>
      </c>
      <c r="T1081" s="5" t="str">
        <f ca="1">IFERROR(__xludf.DUMMYFUNCTION("""COMPUTED_VALUE"""),"Outside on School Property")</f>
        <v>Outside on School Property</v>
      </c>
      <c r="U1081" s="5" t="str">
        <f ca="1">IFERROR(__xludf.DUMMYFUNCTION("""COMPUTED_VALUE"""),"No")</f>
        <v>No</v>
      </c>
      <c r="V1081" s="5" t="str">
        <f ca="1">IFERROR(__xludf.DUMMYFUNCTION("""COMPUTED_VALUE"""),"Night")</f>
        <v>Night</v>
      </c>
      <c r="W1081" s="10">
        <f ca="1">IFERROR(__xludf.DUMMYFUNCTION("""COMPUTED_VALUE"""),0.0729166666666666)</f>
        <v>7.2916666666666602E-2</v>
      </c>
      <c r="X1081" s="5">
        <f ca="1">IFERROR(__xludf.DUMMYFUNCTION("""COMPUTED_VALUE"""),2)</f>
        <v>2</v>
      </c>
      <c r="Y1081" s="5" t="str">
        <f ca="1">IFERROR(__xludf.DUMMYFUNCTION("""COMPUTED_VALUE"""),"Planned fight in school parking lot")</f>
        <v>Planned fight in school parking lot</v>
      </c>
      <c r="Z1081" s="5" t="str">
        <f ca="1">IFERROR(__xludf.DUMMYFUNCTION("""COMPUTED_VALUE"""),"Shooter and victim met at school parking lot to fight. 10 to 15 other people were there to watch. Shooter approached victim, pulled gun from pants, and shot him. Victim ran behind a vehicle and was then shot twice more by shooter. Shooter then turned gun "&amp;"on himself. Shooter died and the victim recovered.")</f>
        <v>Shooter and victim met at school parking lot to fight. 10 to 15 other people were there to watch. Shooter approached victim, pulled gun from pants, and shot him. Victim ran behind a vehicle and was then shot twice more by shooter. Shooter then turned gun on himself. Shooter died and the victim recovered.</v>
      </c>
      <c r="AA1081" s="5" t="str">
        <f ca="1">IFERROR(__xludf.DUMMYFUNCTION("""COMPUTED_VALUE"""),"Escalation of Dispute")</f>
        <v>Escalation of Dispute</v>
      </c>
      <c r="AB1081" s="5" t="str">
        <f ca="1">IFERROR(__xludf.DUMMYFUNCTION("""COMPUTED_VALUE"""),"Victims Targeted")</f>
        <v>Victims Targeted</v>
      </c>
      <c r="AC1081" s="5" t="str">
        <f ca="1">IFERROR(__xludf.DUMMYFUNCTION("""COMPUTED_VALUE"""),"No")</f>
        <v>No</v>
      </c>
      <c r="AD1081" s="5" t="str">
        <f ca="1">IFERROR(__xludf.DUMMYFUNCTION("""COMPUTED_VALUE"""),"No")</f>
        <v>No</v>
      </c>
      <c r="AE1081" s="5" t="str">
        <f ca="1">IFERROR(__xludf.DUMMYFUNCTION("""COMPUTED_VALUE"""),"No")</f>
        <v>No</v>
      </c>
      <c r="AF1081" s="5" t="str">
        <f ca="1">IFERROR(__xludf.DUMMYFUNCTION("""COMPUTED_VALUE"""),"No")</f>
        <v>No</v>
      </c>
      <c r="AG1081" s="5" t="str">
        <f ca="1">IFERROR(__xludf.DUMMYFUNCTION("""COMPUTED_VALUE"""),"No")</f>
        <v>No</v>
      </c>
      <c r="AH1081" s="5" t="str">
        <f ca="1">IFERROR(__xludf.DUMMYFUNCTION("""COMPUTED_VALUE"""),"No")</f>
        <v>No</v>
      </c>
      <c r="AI1081" s="5" t="str">
        <f ca="1">IFERROR(__xludf.DUMMYFUNCTION("""COMPUTED_VALUE"""),"No")</f>
        <v>No</v>
      </c>
      <c r="AJ1081" s="5" t="str">
        <f ca="1">IFERROR(__xludf.DUMMYFUNCTION("""COMPUTED_VALUE"""),"No")</f>
        <v>No</v>
      </c>
    </row>
    <row r="1082" spans="1:36" ht="13">
      <c r="A1082" s="5" t="str">
        <f ca="1">IFERROR(__xludf.DUMMYFUNCTION("""COMPUTED_VALUE"""),"20160630CAWOH")</f>
        <v>20160630CAWOH</v>
      </c>
      <c r="B1082" s="5">
        <f ca="1">IFERROR(__xludf.DUMMYFUNCTION("""COMPUTED_VALUE"""),6)</f>
        <v>6</v>
      </c>
      <c r="C1082" s="5">
        <f ca="1">IFERROR(__xludf.DUMMYFUNCTION("""COMPUTED_VALUE"""),30)</f>
        <v>30</v>
      </c>
      <c r="D1082" s="5">
        <f ca="1">IFERROR(__xludf.DUMMYFUNCTION("""COMPUTED_VALUE"""),2016)</f>
        <v>2016</v>
      </c>
      <c r="E1082" s="8">
        <f ca="1">IFERROR(__xludf.DUMMYFUNCTION("""COMPUTED_VALUE"""),42551)</f>
        <v>42551</v>
      </c>
      <c r="F1082" s="5" t="str">
        <f ca="1">IFERROR(__xludf.DUMMYFUNCTION("""COMPUTED_VALUE"""),"Woodrow Wilson Junior High School")</f>
        <v>Woodrow Wilson Junior High School</v>
      </c>
      <c r="G1082" s="5">
        <f ca="1">IFERROR(__xludf.DUMMYFUNCTION("""COMPUTED_VALUE"""),0)</f>
        <v>0</v>
      </c>
      <c r="H1082" s="5">
        <f ca="1">IFERROR(__xludf.DUMMYFUNCTION("""COMPUTED_VALUE"""),1)</f>
        <v>1</v>
      </c>
      <c r="I1082" s="5">
        <f ca="1">IFERROR(__xludf.DUMMYFUNCTION("""COMPUTED_VALUE"""),1)</f>
        <v>1</v>
      </c>
      <c r="J1082" s="5">
        <f ca="1">IFERROR(__xludf.DUMMYFUNCTION("""COMPUTED_VALUE"""),0)</f>
        <v>0</v>
      </c>
      <c r="K1082" s="9" t="str">
        <f ca="1">IFERROR(__xludf.DUMMYFUNCTION("""COMPUTED_VALUE"""),"https://hanfordsentinel.com/news/local/crime/police-woman-shot-at-hanford-junior-high-school/article_e202ea04-65e0-5150-ad82-cea69301fb51.html")</f>
        <v>https://hanfordsentinel.com/news/local/crime/police-woman-shot-at-hanford-junior-high-school/article_e202ea04-65e0-5150-ad82-cea69301fb51.html</v>
      </c>
      <c r="L1082" s="5">
        <f ca="1">IFERROR(__xludf.DUMMYFUNCTION("""COMPUTED_VALUE"""),1)</f>
        <v>1</v>
      </c>
      <c r="M1082" s="5" t="str">
        <f ca="1">IFERROR(__xludf.DUMMYFUNCTION("""COMPUTED_VALUE"""),"Local")</f>
        <v>Local</v>
      </c>
      <c r="N1082" s="5">
        <f ca="1">IFERROR(__xludf.DUMMYFUNCTION("""COMPUTED_VALUE"""),2)</f>
        <v>2</v>
      </c>
      <c r="O1082" s="5" t="str">
        <f ca="1">IFERROR(__xludf.DUMMYFUNCTION("""COMPUTED_VALUE"""),"Summer")</f>
        <v>Summer</v>
      </c>
      <c r="P1082" s="5" t="str">
        <f ca="1">IFERROR(__xludf.DUMMYFUNCTION("""COMPUTED_VALUE"""),"Hanford")</f>
        <v>Hanford</v>
      </c>
      <c r="Q1082" s="5" t="str">
        <f ca="1">IFERROR(__xludf.DUMMYFUNCTION("""COMPUTED_VALUE"""),"CA")</f>
        <v>CA</v>
      </c>
      <c r="R1082" s="5" t="str">
        <f ca="1">IFERROR(__xludf.DUMMYFUNCTION("""COMPUTED_VALUE"""),"Junior High")</f>
        <v>Junior High</v>
      </c>
      <c r="S1082" s="5" t="str">
        <f ca="1">IFERROR(__xludf.DUMMYFUNCTION("""COMPUTED_VALUE"""),"Outside on School Property")</f>
        <v>Outside on School Property</v>
      </c>
      <c r="T1082" s="5" t="str">
        <f ca="1">IFERROR(__xludf.DUMMYFUNCTION("""COMPUTED_VALUE"""),"Outside on School Property")</f>
        <v>Outside on School Property</v>
      </c>
      <c r="U1082" s="5" t="str">
        <f ca="1">IFERROR(__xludf.DUMMYFUNCTION("""COMPUTED_VALUE"""),"No")</f>
        <v>No</v>
      </c>
      <c r="V1082" s="5" t="str">
        <f ca="1">IFERROR(__xludf.DUMMYFUNCTION("""COMPUTED_VALUE"""),"Evening")</f>
        <v>Evening</v>
      </c>
      <c r="W1082" s="10">
        <f ca="1">IFERROR(__xludf.DUMMYFUNCTION("""COMPUTED_VALUE"""),0.815972222222222)</f>
        <v>0.81597222222222199</v>
      </c>
      <c r="X1082" s="5">
        <f ca="1">IFERROR(__xludf.DUMMYFUNCTION("""COMPUTED_VALUE"""),1)</f>
        <v>1</v>
      </c>
      <c r="Y1082" s="5" t="str">
        <f ca="1">IFERROR(__xludf.DUMMYFUNCTION("""COMPUTED_VALUE"""),"Motive unknown, gang task force investigated, no evident gang affiliation of the victim")</f>
        <v>Motive unknown, gang task force investigated, no evident gang affiliation of the victim</v>
      </c>
      <c r="Z1082" s="5" t="str">
        <f ca="1">IFERROR(__xludf.DUMMYFUNCTION("""COMPUTED_VALUE"""),"A woman was shot in the leg. Police found shell casings. No motive identified.")</f>
        <v>A woman was shot in the leg. Police found shell casings. No motive identified.</v>
      </c>
      <c r="AA1082" s="5" t="str">
        <f ca="1">IFERROR(__xludf.DUMMYFUNCTION("""COMPUTED_VALUE"""),"Unknown")</f>
        <v>Unknown</v>
      </c>
      <c r="AB1082" s="5"/>
      <c r="AC1082" s="5"/>
      <c r="AD1082" s="5" t="str">
        <f ca="1">IFERROR(__xludf.DUMMYFUNCTION("""COMPUTED_VALUE"""),"No")</f>
        <v>No</v>
      </c>
      <c r="AE1082" s="5" t="str">
        <f ca="1">IFERROR(__xludf.DUMMYFUNCTION("""COMPUTED_VALUE"""),"No")</f>
        <v>No</v>
      </c>
      <c r="AF1082" s="5" t="str">
        <f ca="1">IFERROR(__xludf.DUMMYFUNCTION("""COMPUTED_VALUE"""),"No")</f>
        <v>No</v>
      </c>
      <c r="AG1082" s="5"/>
      <c r="AH1082" s="5" t="str">
        <f ca="1">IFERROR(__xludf.DUMMYFUNCTION("""COMPUTED_VALUE"""),"No")</f>
        <v>No</v>
      </c>
      <c r="AI1082" s="5" t="str">
        <f ca="1">IFERROR(__xludf.DUMMYFUNCTION("""COMPUTED_VALUE"""),"No")</f>
        <v>No</v>
      </c>
      <c r="AJ1082" s="5" t="str">
        <f ca="1">IFERROR(__xludf.DUMMYFUNCTION("""COMPUTED_VALUE"""),"No")</f>
        <v>No</v>
      </c>
    </row>
    <row r="1083" spans="1:36" ht="13">
      <c r="A1083" s="5" t="str">
        <f ca="1">IFERROR(__xludf.DUMMYFUNCTION("""COMPUTED_VALUE"""),"20160616ILMCC")</f>
        <v>20160616ILMCC</v>
      </c>
      <c r="B1083" s="5">
        <f ca="1">IFERROR(__xludf.DUMMYFUNCTION("""COMPUTED_VALUE"""),6)</f>
        <v>6</v>
      </c>
      <c r="C1083" s="5">
        <f ca="1">IFERROR(__xludf.DUMMYFUNCTION("""COMPUTED_VALUE"""),16)</f>
        <v>16</v>
      </c>
      <c r="D1083" s="5">
        <f ca="1">IFERROR(__xludf.DUMMYFUNCTION("""COMPUTED_VALUE"""),2016)</f>
        <v>2016</v>
      </c>
      <c r="E1083" s="8">
        <f ca="1">IFERROR(__xludf.DUMMYFUNCTION("""COMPUTED_VALUE"""),42537)</f>
        <v>42537</v>
      </c>
      <c r="F1083" s="5" t="str">
        <f ca="1">IFERROR(__xludf.DUMMYFUNCTION("""COMPUTED_VALUE"""),"Mcnair Elementary School")</f>
        <v>Mcnair Elementary School</v>
      </c>
      <c r="G1083" s="5">
        <f ca="1">IFERROR(__xludf.DUMMYFUNCTION("""COMPUTED_VALUE"""),1)</f>
        <v>1</v>
      </c>
      <c r="H1083" s="5">
        <f ca="1">IFERROR(__xludf.DUMMYFUNCTION("""COMPUTED_VALUE"""),0)</f>
        <v>0</v>
      </c>
      <c r="I1083" s="5">
        <f ca="1">IFERROR(__xludf.DUMMYFUNCTION("""COMPUTED_VALUE"""),1)</f>
        <v>1</v>
      </c>
      <c r="J1083" s="5">
        <f ca="1">IFERROR(__xludf.DUMMYFUNCTION("""COMPUTED_VALUE"""),0)</f>
        <v>0</v>
      </c>
      <c r="K1083" s="9" t="str">
        <f ca="1">IFERROR(__xludf.DUMMYFUNCTION("""COMPUTED_VALUE"""),"http://abc7chicago.com/news/cps-employee-fatally-shot-outside-mcnair-elementary-school/1388692/")</f>
        <v>http://abc7chicago.com/news/cps-employee-fatally-shot-outside-mcnair-elementary-school/1388692/</v>
      </c>
      <c r="L1083" s="5">
        <f ca="1">IFERROR(__xludf.DUMMYFUNCTION("""COMPUTED_VALUE"""),1)</f>
        <v>1</v>
      </c>
      <c r="M1083" s="5" t="str">
        <f ca="1">IFERROR(__xludf.DUMMYFUNCTION("""COMPUTED_VALUE"""),"Local")</f>
        <v>Local</v>
      </c>
      <c r="N1083" s="5">
        <f ca="1">IFERROR(__xludf.DUMMYFUNCTION("""COMPUTED_VALUE"""),2)</f>
        <v>2</v>
      </c>
      <c r="O1083" s="5" t="str">
        <f ca="1">IFERROR(__xludf.DUMMYFUNCTION("""COMPUTED_VALUE"""),"Summer")</f>
        <v>Summer</v>
      </c>
      <c r="P1083" s="5" t="str">
        <f ca="1">IFERROR(__xludf.DUMMYFUNCTION("""COMPUTED_VALUE"""),"Chicago")</f>
        <v>Chicago</v>
      </c>
      <c r="Q1083" s="5" t="str">
        <f ca="1">IFERROR(__xludf.DUMMYFUNCTION("""COMPUTED_VALUE"""),"IL")</f>
        <v>IL</v>
      </c>
      <c r="R1083" s="5" t="str">
        <f ca="1">IFERROR(__xludf.DUMMYFUNCTION("""COMPUTED_VALUE"""),"Elementary")</f>
        <v>Elementary</v>
      </c>
      <c r="S1083" s="5" t="str">
        <f ca="1">IFERROR(__xludf.DUMMYFUNCTION("""COMPUTED_VALUE"""),"Parking Lot")</f>
        <v>Parking Lot</v>
      </c>
      <c r="T1083" s="5" t="str">
        <f ca="1">IFERROR(__xludf.DUMMYFUNCTION("""COMPUTED_VALUE"""),"Outside on School Property")</f>
        <v>Outside on School Property</v>
      </c>
      <c r="U1083" s="5" t="str">
        <f ca="1">IFERROR(__xludf.DUMMYFUNCTION("""COMPUTED_VALUE"""),"Yes")</f>
        <v>Yes</v>
      </c>
      <c r="V1083" s="5" t="str">
        <f ca="1">IFERROR(__xludf.DUMMYFUNCTION("""COMPUTED_VALUE"""),"Lunch")</f>
        <v>Lunch</v>
      </c>
      <c r="W1083" s="10">
        <f ca="1">IFERROR(__xludf.DUMMYFUNCTION("""COMPUTED_VALUE"""),0.520833333333333)</f>
        <v>0.52083333333333304</v>
      </c>
      <c r="X1083" s="5">
        <f ca="1">IFERROR(__xludf.DUMMYFUNCTION("""COMPUTED_VALUE"""),1)</f>
        <v>1</v>
      </c>
      <c r="Y1083" s="5" t="str">
        <f ca="1">IFERROR(__xludf.DUMMYFUNCTION("""COMPUTED_VALUE"""),"School employee shot in the head outside of the school")</f>
        <v>School employee shot in the head outside of the school</v>
      </c>
      <c r="Z1083" s="5" t="str">
        <f ca="1">IFERROR(__xludf.DUMMYFUNCTION("""COMPUTED_VALUE"""),"School employee was shot once in the head outside of the school by an unknown shooter, as the victim was getting in his car. Shooter approached on foot but fled in a vehicle. School was locked down. Shooter was not identified.")</f>
        <v>School employee was shot once in the head outside of the school by an unknown shooter, as the victim was getting in his car. Shooter approached on foot but fled in a vehicle. School was locked down. Shooter was not identified.</v>
      </c>
      <c r="AA1083" s="5" t="str">
        <f ca="1">IFERROR(__xludf.DUMMYFUNCTION("""COMPUTED_VALUE"""),"Unknown")</f>
        <v>Unknown</v>
      </c>
      <c r="AB1083" s="5" t="str">
        <f ca="1">IFERROR(__xludf.DUMMYFUNCTION("""COMPUTED_VALUE"""),"Victims Targeted")</f>
        <v>Victims Targeted</v>
      </c>
      <c r="AC1083" s="5"/>
      <c r="AD1083" s="5" t="str">
        <f ca="1">IFERROR(__xludf.DUMMYFUNCTION("""COMPUTED_VALUE"""),"No")</f>
        <v>No</v>
      </c>
      <c r="AE1083" s="5" t="str">
        <f ca="1">IFERROR(__xludf.DUMMYFUNCTION("""COMPUTED_VALUE"""),"No")</f>
        <v>No</v>
      </c>
      <c r="AF1083" s="5" t="str">
        <f ca="1">IFERROR(__xludf.DUMMYFUNCTION("""COMPUTED_VALUE"""),"No")</f>
        <v>No</v>
      </c>
      <c r="AG1083" s="5"/>
      <c r="AH1083" s="5" t="str">
        <f ca="1">IFERROR(__xludf.DUMMYFUNCTION("""COMPUTED_VALUE"""),"No")</f>
        <v>No</v>
      </c>
      <c r="AI1083" s="5" t="str">
        <f ca="1">IFERROR(__xludf.DUMMYFUNCTION("""COMPUTED_VALUE"""),"No")</f>
        <v>No</v>
      </c>
      <c r="AJ1083" s="5" t="str">
        <f ca="1">IFERROR(__xludf.DUMMYFUNCTION("""COMPUTED_VALUE"""),"No")</f>
        <v>No</v>
      </c>
    </row>
    <row r="1084" spans="1:36" ht="13">
      <c r="A1084" s="5" t="str">
        <f ca="1">IFERROR(__xludf.DUMMYFUNCTION("""COMPUTED_VALUE"""),"20160608MAJED")</f>
        <v>20160608MAJED</v>
      </c>
      <c r="B1084" s="5">
        <f ca="1">IFERROR(__xludf.DUMMYFUNCTION("""COMPUTED_VALUE"""),6)</f>
        <v>6</v>
      </c>
      <c r="C1084" s="5">
        <f ca="1">IFERROR(__xludf.DUMMYFUNCTION("""COMPUTED_VALUE"""),8)</f>
        <v>8</v>
      </c>
      <c r="D1084" s="5">
        <f ca="1">IFERROR(__xludf.DUMMYFUNCTION("""COMPUTED_VALUE"""),2016)</f>
        <v>2016</v>
      </c>
      <c r="E1084" s="8">
        <f ca="1">IFERROR(__xludf.DUMMYFUNCTION("""COMPUTED_VALUE"""),42529)</f>
        <v>42529</v>
      </c>
      <c r="F1084" s="5" t="str">
        <f ca="1">IFERROR(__xludf.DUMMYFUNCTION("""COMPUTED_VALUE"""),"Jeremiah Burke High School")</f>
        <v>Jeremiah Burke High School</v>
      </c>
      <c r="G1084" s="5">
        <f ca="1">IFERROR(__xludf.DUMMYFUNCTION("""COMPUTED_VALUE"""),1)</f>
        <v>1</v>
      </c>
      <c r="H1084" s="5">
        <f ca="1">IFERROR(__xludf.DUMMYFUNCTION("""COMPUTED_VALUE"""),3)</f>
        <v>3</v>
      </c>
      <c r="I1084" s="5">
        <f ca="1">IFERROR(__xludf.DUMMYFUNCTION("""COMPUTED_VALUE"""),4)</f>
        <v>4</v>
      </c>
      <c r="J1084" s="5">
        <f ca="1">IFERROR(__xludf.DUMMYFUNCTION("""COMPUTED_VALUE"""),0)</f>
        <v>0</v>
      </c>
      <c r="K1084" s="9" t="str">
        <f ca="1">IFERROR(__xludf.DUMMYFUNCTION("""COMPUTED_VALUE"""),"http://boston.cbslocal.com/2016/06/22/raekwon-brown-murder-arrests-jeremiah-burke-high-school-shooting-boston-police/")</f>
        <v>http://boston.cbslocal.com/2016/06/22/raekwon-brown-murder-arrests-jeremiah-burke-high-school-shooting-boston-police/</v>
      </c>
      <c r="L1084" s="5">
        <f ca="1">IFERROR(__xludf.DUMMYFUNCTION("""COMPUTED_VALUE"""),11)</f>
        <v>11</v>
      </c>
      <c r="M1084" s="5" t="str">
        <f ca="1">IFERROR(__xludf.DUMMYFUNCTION("""COMPUTED_VALUE"""),"Regional")</f>
        <v>Regional</v>
      </c>
      <c r="N1084" s="5">
        <f ca="1">IFERROR(__xludf.DUMMYFUNCTION("""COMPUTED_VALUE"""),2)</f>
        <v>2</v>
      </c>
      <c r="O1084" s="5" t="str">
        <f ca="1">IFERROR(__xludf.DUMMYFUNCTION("""COMPUTED_VALUE"""),"Summer")</f>
        <v>Summer</v>
      </c>
      <c r="P1084" s="5" t="str">
        <f ca="1">IFERROR(__xludf.DUMMYFUNCTION("""COMPUTED_VALUE"""),"Dorchester")</f>
        <v>Dorchester</v>
      </c>
      <c r="Q1084" s="5" t="str">
        <f ca="1">IFERROR(__xludf.DUMMYFUNCTION("""COMPUTED_VALUE"""),"MA")</f>
        <v>MA</v>
      </c>
      <c r="R1084" s="5" t="str">
        <f ca="1">IFERROR(__xludf.DUMMYFUNCTION("""COMPUTED_VALUE"""),"High")</f>
        <v>High</v>
      </c>
      <c r="S1084" s="5" t="str">
        <f ca="1">IFERROR(__xludf.DUMMYFUNCTION("""COMPUTED_VALUE"""),"Front of School")</f>
        <v>Front of School</v>
      </c>
      <c r="T1084" s="5" t="str">
        <f ca="1">IFERROR(__xludf.DUMMYFUNCTION("""COMPUTED_VALUE"""),"Outside on School Property")</f>
        <v>Outside on School Property</v>
      </c>
      <c r="U1084" s="5" t="str">
        <f ca="1">IFERROR(__xludf.DUMMYFUNCTION("""COMPUTED_VALUE"""),"Yes")</f>
        <v>Yes</v>
      </c>
      <c r="V1084" s="5" t="str">
        <f ca="1">IFERROR(__xludf.DUMMYFUNCTION("""COMPUTED_VALUE"""),"Afternoon Classes")</f>
        <v>Afternoon Classes</v>
      </c>
      <c r="W1084" s="10">
        <f ca="1">IFERROR(__xludf.DUMMYFUNCTION("""COMPUTED_VALUE"""),0.541666666666666)</f>
        <v>0.54166666666666596</v>
      </c>
      <c r="X1084" s="5">
        <f ca="1">IFERROR(__xludf.DUMMYFUNCTION("""COMPUTED_VALUE"""),1)</f>
        <v>1</v>
      </c>
      <c r="Y1084" s="5" t="str">
        <f ca="1">IFERROR(__xludf.DUMMYFUNCTION("""COMPUTED_VALUE"""),"Drive-by, victim targeted, shooters have extended criminal history")</f>
        <v>Drive-by, victim targeted, shooters have extended criminal history</v>
      </c>
      <c r="Z1084" s="5" t="str">
        <f ca="1">IFERROR(__xludf.DUMMYFUNCTION("""COMPUTED_VALUE"""),"Two shooters in a vehicle fired at the victim outside of the school at the end of the day; other injuries were grazed")</f>
        <v>Two shooters in a vehicle fired at the victim outside of the school at the end of the day; other injuries were grazed</v>
      </c>
      <c r="AA1084" s="5" t="str">
        <f ca="1">IFERROR(__xludf.DUMMYFUNCTION("""COMPUTED_VALUE"""),"Drive-by Shooting")</f>
        <v>Drive-by Shooting</v>
      </c>
      <c r="AB1084" s="5" t="str">
        <f ca="1">IFERROR(__xludf.DUMMYFUNCTION("""COMPUTED_VALUE"""),"Both")</f>
        <v>Both</v>
      </c>
      <c r="AC1084" s="5"/>
      <c r="AD1084" s="5" t="str">
        <f ca="1">IFERROR(__xludf.DUMMYFUNCTION("""COMPUTED_VALUE"""),"No")</f>
        <v>No</v>
      </c>
      <c r="AE1084" s="5" t="str">
        <f ca="1">IFERROR(__xludf.DUMMYFUNCTION("""COMPUTED_VALUE"""),"No")</f>
        <v>No</v>
      </c>
      <c r="AF1084" s="5" t="str">
        <f ca="1">IFERROR(__xludf.DUMMYFUNCTION("""COMPUTED_VALUE"""),"No")</f>
        <v>No</v>
      </c>
      <c r="AG1084" s="5" t="str">
        <f ca="1">IFERROR(__xludf.DUMMYFUNCTION("""COMPUTED_VALUE"""),"No")</f>
        <v>No</v>
      </c>
      <c r="AH1084" s="5" t="str">
        <f ca="1">IFERROR(__xludf.DUMMYFUNCTION("""COMPUTED_VALUE"""),"No")</f>
        <v>No</v>
      </c>
      <c r="AI1084" s="5" t="str">
        <f ca="1">IFERROR(__xludf.DUMMYFUNCTION("""COMPUTED_VALUE"""),"Yes")</f>
        <v>Yes</v>
      </c>
      <c r="AJ1084" s="5" t="str">
        <f ca="1">IFERROR(__xludf.DUMMYFUNCTION("""COMPUTED_VALUE"""),"No")</f>
        <v>No</v>
      </c>
    </row>
    <row r="1085" spans="1:36" ht="13">
      <c r="A1085" s="5" t="str">
        <f ca="1">IFERROR(__xludf.DUMMYFUNCTION("""COMPUTED_VALUE"""),"20160515KSAUA")</f>
        <v>20160515KSAUA</v>
      </c>
      <c r="B1085" s="5">
        <f ca="1">IFERROR(__xludf.DUMMYFUNCTION("""COMPUTED_VALUE"""),5)</f>
        <v>5</v>
      </c>
      <c r="C1085" s="5">
        <f ca="1">IFERROR(__xludf.DUMMYFUNCTION("""COMPUTED_VALUE"""),15)</f>
        <v>15</v>
      </c>
      <c r="D1085" s="5">
        <f ca="1">IFERROR(__xludf.DUMMYFUNCTION("""COMPUTED_VALUE"""),2016)</f>
        <v>2016</v>
      </c>
      <c r="E1085" s="8">
        <f ca="1">IFERROR(__xludf.DUMMYFUNCTION("""COMPUTED_VALUE"""),42505)</f>
        <v>42505</v>
      </c>
      <c r="F1085" s="5" t="str">
        <f ca="1">IFERROR(__xludf.DUMMYFUNCTION("""COMPUTED_VALUE"""),"Augusta High School")</f>
        <v>Augusta High School</v>
      </c>
      <c r="G1085" s="5">
        <f ca="1">IFERROR(__xludf.DUMMYFUNCTION("""COMPUTED_VALUE"""),0)</f>
        <v>0</v>
      </c>
      <c r="H1085" s="5">
        <f ca="1">IFERROR(__xludf.DUMMYFUNCTION("""COMPUTED_VALUE"""),1)</f>
        <v>1</v>
      </c>
      <c r="I1085" s="5">
        <f ca="1">IFERROR(__xludf.DUMMYFUNCTION("""COMPUTED_VALUE"""),1)</f>
        <v>1</v>
      </c>
      <c r="J1085" s="5">
        <f ca="1">IFERROR(__xludf.DUMMYFUNCTION("""COMPUTED_VALUE"""),0)</f>
        <v>0</v>
      </c>
      <c r="K1085" s="9" t="str">
        <f ca="1">IFERROR(__xludf.DUMMYFUNCTION("""COMPUTED_VALUE"""),"http://www.kwch.com/content/news/One-seriously-hurt-at-possible-shooting-at-Augusta-high-school-379583611.html  https://www.kansas.com/news/local/article77782117.html")</f>
        <v>http://www.kwch.com/content/news/One-seriously-hurt-at-possible-shooting-at-Augusta-high-school-379583611.html  https://www.kansas.com/news/local/article77782117.html</v>
      </c>
      <c r="L1085" s="5"/>
      <c r="M1085" s="5" t="str">
        <f ca="1">IFERROR(__xludf.DUMMYFUNCTION("""COMPUTED_VALUE"""),"Local")</f>
        <v>Local</v>
      </c>
      <c r="N1085" s="5">
        <f ca="1">IFERROR(__xludf.DUMMYFUNCTION("""COMPUTED_VALUE"""),3)</f>
        <v>3</v>
      </c>
      <c r="O1085" s="5" t="str">
        <f ca="1">IFERROR(__xludf.DUMMYFUNCTION("""COMPUTED_VALUE"""),"Spring")</f>
        <v>Spring</v>
      </c>
      <c r="P1085" s="5" t="str">
        <f ca="1">IFERROR(__xludf.DUMMYFUNCTION("""COMPUTED_VALUE"""),"Augusta")</f>
        <v>Augusta</v>
      </c>
      <c r="Q1085" s="5" t="str">
        <f ca="1">IFERROR(__xludf.DUMMYFUNCTION("""COMPUTED_VALUE"""),"KS")</f>
        <v>KS</v>
      </c>
      <c r="R1085" s="5" t="str">
        <f ca="1">IFERROR(__xludf.DUMMYFUNCTION("""COMPUTED_VALUE"""),"High")</f>
        <v>High</v>
      </c>
      <c r="S1085" s="5" t="str">
        <f ca="1">IFERROR(__xludf.DUMMYFUNCTION("""COMPUTED_VALUE"""),"Football Field/Track")</f>
        <v>Football Field/Track</v>
      </c>
      <c r="T1085" s="5" t="str">
        <f ca="1">IFERROR(__xludf.DUMMYFUNCTION("""COMPUTED_VALUE"""),"Outside on School Property")</f>
        <v>Outside on School Property</v>
      </c>
      <c r="U1085" s="5" t="str">
        <f ca="1">IFERROR(__xludf.DUMMYFUNCTION("""COMPUTED_VALUE"""),"No")</f>
        <v>No</v>
      </c>
      <c r="V1085" s="5" t="str">
        <f ca="1">IFERROR(__xludf.DUMMYFUNCTION("""COMPUTED_VALUE"""),"School Event")</f>
        <v>School Event</v>
      </c>
      <c r="W1085" s="10">
        <f ca="1">IFERROR(__xludf.DUMMYFUNCTION("""COMPUTED_VALUE"""),0.579861111111111)</f>
        <v>0.57986111111111105</v>
      </c>
      <c r="X1085" s="5">
        <f ca="1">IFERROR(__xludf.DUMMYFUNCTION("""COMPUTED_VALUE"""),1)</f>
        <v>1</v>
      </c>
      <c r="Y1085" s="5" t="str">
        <f ca="1">IFERROR(__xludf.DUMMYFUNCTION("""COMPUTED_VALUE"""),"Accidental discharge adjusting gun during graduation")</f>
        <v>Accidental discharge adjusting gun during graduation</v>
      </c>
      <c r="Z1085" s="5" t="str">
        <f ca="1">IFERROR(__xludf.DUMMYFUNCTION("""COMPUTED_VALUE"""),"Shooter was attending a high school graduation - he was wearing a legally owned and concealed handgun on his ankle, when it became uncomfortable, he attempted to readjust it at which time it went off striking him in the foot and another woman in the calf.")</f>
        <v>Shooter was attending a high school graduation - he was wearing a legally owned and concealed handgun on his ankle, when it became uncomfortable, he attempted to readjust it at which time it went off striking him in the foot and another woman in the calf.</v>
      </c>
      <c r="AA1085" s="5" t="str">
        <f ca="1">IFERROR(__xludf.DUMMYFUNCTION("""COMPUTED_VALUE"""),"Accidental")</f>
        <v>Accidental</v>
      </c>
      <c r="AB1085" s="5" t="str">
        <f ca="1">IFERROR(__xludf.DUMMYFUNCTION("""COMPUTED_VALUE"""),"Random Shooting")</f>
        <v>Random Shooting</v>
      </c>
      <c r="AC1085" s="5" t="str">
        <f ca="1">IFERROR(__xludf.DUMMYFUNCTION("""COMPUTED_VALUE"""),"No")</f>
        <v>No</v>
      </c>
      <c r="AD1085" s="5" t="str">
        <f ca="1">IFERROR(__xludf.DUMMYFUNCTION("""COMPUTED_VALUE"""),"No")</f>
        <v>No</v>
      </c>
      <c r="AE1085" s="5" t="str">
        <f ca="1">IFERROR(__xludf.DUMMYFUNCTION("""COMPUTED_VALUE"""),"No")</f>
        <v>No</v>
      </c>
      <c r="AF1085" s="5" t="str">
        <f ca="1">IFERROR(__xludf.DUMMYFUNCTION("""COMPUTED_VALUE"""),"No")</f>
        <v>No</v>
      </c>
      <c r="AG1085" s="5" t="str">
        <f ca="1">IFERROR(__xludf.DUMMYFUNCTION("""COMPUTED_VALUE"""),"No")</f>
        <v>No</v>
      </c>
      <c r="AH1085" s="5" t="str">
        <f ca="1">IFERROR(__xludf.DUMMYFUNCTION("""COMPUTED_VALUE"""),"No")</f>
        <v>No</v>
      </c>
      <c r="AI1085" s="5" t="str">
        <f ca="1">IFERROR(__xludf.DUMMYFUNCTION("""COMPUTED_VALUE"""),"No")</f>
        <v>No</v>
      </c>
      <c r="AJ1085" s="5" t="str">
        <f ca="1">IFERROR(__xludf.DUMMYFUNCTION("""COMPUTED_VALUE"""),"No")</f>
        <v>No</v>
      </c>
    </row>
    <row r="1086" spans="1:36" ht="13">
      <c r="A1086" s="5" t="str">
        <f ca="1">IFERROR(__xludf.DUMMYFUNCTION("""COMPUTED_VALUE"""),"20160513SCSOG")</f>
        <v>20160513SCSOG</v>
      </c>
      <c r="B1086" s="5">
        <f ca="1">IFERROR(__xludf.DUMMYFUNCTION("""COMPUTED_VALUE"""),5)</f>
        <v>5</v>
      </c>
      <c r="C1086" s="5">
        <f ca="1">IFERROR(__xludf.DUMMYFUNCTION("""COMPUTED_VALUE"""),13)</f>
        <v>13</v>
      </c>
      <c r="D1086" s="5">
        <f ca="1">IFERROR(__xludf.DUMMYFUNCTION("""COMPUTED_VALUE"""),2016)</f>
        <v>2016</v>
      </c>
      <c r="E1086" s="8">
        <f ca="1">IFERROR(__xludf.DUMMYFUNCTION("""COMPUTED_VALUE"""),42503)</f>
        <v>42503</v>
      </c>
      <c r="F1086" s="5" t="str">
        <f ca="1">IFERROR(__xludf.DUMMYFUNCTION("""COMPUTED_VALUE"""),"Southside High School")</f>
        <v>Southside High School</v>
      </c>
      <c r="G1086" s="5">
        <f ca="1">IFERROR(__xludf.DUMMYFUNCTION("""COMPUTED_VALUE"""),0)</f>
        <v>0</v>
      </c>
      <c r="H1086" s="5">
        <f ca="1">IFERROR(__xludf.DUMMYFUNCTION("""COMPUTED_VALUE"""),0)</f>
        <v>0</v>
      </c>
      <c r="I1086" s="5">
        <f ca="1">IFERROR(__xludf.DUMMYFUNCTION("""COMPUTED_VALUE"""),0)</f>
        <v>0</v>
      </c>
      <c r="J1086" s="5">
        <f ca="1">IFERROR(__xludf.DUMMYFUNCTION("""COMPUTED_VALUE"""),0)</f>
        <v>0</v>
      </c>
      <c r="K1086" s="9" t="str">
        <f ca="1">IFERROR(__xludf.DUMMYFUNCTION("""COMPUTED_VALUE"""),"http://www.wyff4.com/article/2-more-teens-charged-shooting-at-southside-high-school/7022388")</f>
        <v>http://www.wyff4.com/article/2-more-teens-charged-shooting-at-southside-high-school/7022388</v>
      </c>
      <c r="L1086" s="5">
        <f ca="1">IFERROR(__xludf.DUMMYFUNCTION("""COMPUTED_VALUE"""),5)</f>
        <v>5</v>
      </c>
      <c r="M1086" s="5" t="str">
        <f ca="1">IFERROR(__xludf.DUMMYFUNCTION("""COMPUTED_VALUE"""),"Local")</f>
        <v>Local</v>
      </c>
      <c r="N1086" s="5">
        <f ca="1">IFERROR(__xludf.DUMMYFUNCTION("""COMPUTED_VALUE"""),2)</f>
        <v>2</v>
      </c>
      <c r="O1086" s="5" t="str">
        <f ca="1">IFERROR(__xludf.DUMMYFUNCTION("""COMPUTED_VALUE"""),"Spring")</f>
        <v>Spring</v>
      </c>
      <c r="P1086" s="5" t="str">
        <f ca="1">IFERROR(__xludf.DUMMYFUNCTION("""COMPUTED_VALUE"""),"Greenville")</f>
        <v>Greenville</v>
      </c>
      <c r="Q1086" s="5" t="str">
        <f ca="1">IFERROR(__xludf.DUMMYFUNCTION("""COMPUTED_VALUE"""),"SC")</f>
        <v>SC</v>
      </c>
      <c r="R1086" s="5" t="str">
        <f ca="1">IFERROR(__xludf.DUMMYFUNCTION("""COMPUTED_VALUE"""),"High")</f>
        <v>High</v>
      </c>
      <c r="S1086" s="5" t="str">
        <f ca="1">IFERROR(__xludf.DUMMYFUNCTION("""COMPUTED_VALUE"""),"Cafeteria")</f>
        <v>Cafeteria</v>
      </c>
      <c r="T1086" s="5" t="str">
        <f ca="1">IFERROR(__xludf.DUMMYFUNCTION("""COMPUTED_VALUE"""),"Inside School Building")</f>
        <v>Inside School Building</v>
      </c>
      <c r="U1086" s="5" t="str">
        <f ca="1">IFERROR(__xludf.DUMMYFUNCTION("""COMPUTED_VALUE"""),"Yes")</f>
        <v>Yes</v>
      </c>
      <c r="V1086" s="5" t="str">
        <f ca="1">IFERROR(__xludf.DUMMYFUNCTION("""COMPUTED_VALUE"""),"School Start")</f>
        <v>School Start</v>
      </c>
      <c r="W1086" s="10">
        <f ca="1">IFERROR(__xludf.DUMMYFUNCTION("""COMPUTED_VALUE"""),0.354166666666666)</f>
        <v>0.35416666666666602</v>
      </c>
      <c r="X1086" s="5">
        <f ca="1">IFERROR(__xludf.DUMMYFUNCTION("""COMPUTED_VALUE"""),1)</f>
        <v>1</v>
      </c>
      <c r="Y1086" s="5" t="str">
        <f ca="1">IFERROR(__xludf.DUMMYFUNCTION("""COMPUTED_VALUE"""),"Accidental discharge of gun in backpack")</f>
        <v>Accidental discharge of gun in backpack</v>
      </c>
      <c r="Z1086" s="5" t="str">
        <f ca="1">IFERROR(__xludf.DUMMYFUNCTION("""COMPUTED_VALUE"""),"Shooter accidentally discharged a firearm from a backpack, striking himself in the stomach, while in the cafeteria. Shooter surrendered the weapon to law enforcement while the school was being evacuated. Second teen was charged with bringing the gun to sc"&amp;"hool and giving it to the shooter. No indication of a planned shooting.")</f>
        <v>Shooter accidentally discharged a firearm from a backpack, striking himself in the stomach, while in the cafeteria. Shooter surrendered the weapon to law enforcement while the school was being evacuated. Second teen was charged with bringing the gun to school and giving it to the shooter. No indication of a planned shooting.</v>
      </c>
      <c r="AA1086" s="5" t="str">
        <f ca="1">IFERROR(__xludf.DUMMYFUNCTION("""COMPUTED_VALUE"""),"Accidental")</f>
        <v>Accidental</v>
      </c>
      <c r="AB1086" s="5" t="str">
        <f ca="1">IFERROR(__xludf.DUMMYFUNCTION("""COMPUTED_VALUE"""),"Neither")</f>
        <v>Neither</v>
      </c>
      <c r="AC1086" s="5" t="str">
        <f ca="1">IFERROR(__xludf.DUMMYFUNCTION("""COMPUTED_VALUE"""),"No")</f>
        <v>No</v>
      </c>
      <c r="AD1086" s="5" t="str">
        <f ca="1">IFERROR(__xludf.DUMMYFUNCTION("""COMPUTED_VALUE"""),"No")</f>
        <v>No</v>
      </c>
      <c r="AE1086" s="5" t="str">
        <f ca="1">IFERROR(__xludf.DUMMYFUNCTION("""COMPUTED_VALUE"""),"No")</f>
        <v>No</v>
      </c>
      <c r="AF1086" s="5" t="str">
        <f ca="1">IFERROR(__xludf.DUMMYFUNCTION("""COMPUTED_VALUE"""),"No")</f>
        <v>No</v>
      </c>
      <c r="AG1086" s="5" t="str">
        <f ca="1">IFERROR(__xludf.DUMMYFUNCTION("""COMPUTED_VALUE"""),"No")</f>
        <v>No</v>
      </c>
      <c r="AH1086" s="5" t="str">
        <f ca="1">IFERROR(__xludf.DUMMYFUNCTION("""COMPUTED_VALUE"""),"No")</f>
        <v>No</v>
      </c>
      <c r="AI1086" s="5" t="str">
        <f ca="1">IFERROR(__xludf.DUMMYFUNCTION("""COMPUTED_VALUE"""),"No")</f>
        <v>No</v>
      </c>
      <c r="AJ1086" s="5" t="str">
        <f ca="1">IFERROR(__xludf.DUMMYFUNCTION("""COMPUTED_VALUE"""),"No")</f>
        <v>No</v>
      </c>
    </row>
    <row r="1087" spans="1:36" ht="13">
      <c r="A1087" s="5" t="str">
        <f ca="1">IFERROR(__xludf.DUMMYFUNCTION("""COMPUTED_VALUE"""),"20160506IDROT")</f>
        <v>20160506IDROT</v>
      </c>
      <c r="B1087" s="5">
        <f ca="1">IFERROR(__xludf.DUMMYFUNCTION("""COMPUTED_VALUE"""),5)</f>
        <v>5</v>
      </c>
      <c r="C1087" s="5">
        <f ca="1">IFERROR(__xludf.DUMMYFUNCTION("""COMPUTED_VALUE"""),6)</f>
        <v>6</v>
      </c>
      <c r="D1087" s="5">
        <f ca="1">IFERROR(__xludf.DUMMYFUNCTION("""COMPUTED_VALUE"""),2016)</f>
        <v>2016</v>
      </c>
      <c r="E1087" s="8">
        <f ca="1">IFERROR(__xludf.DUMMYFUNCTION("""COMPUTED_VALUE"""),42496)</f>
        <v>42496</v>
      </c>
      <c r="F1087" s="5" t="str">
        <f ca="1">IFERROR(__xludf.DUMMYFUNCTION("""COMPUTED_VALUE"""),"Robert Stuart Middle School")</f>
        <v>Robert Stuart Middle School</v>
      </c>
      <c r="G1087" s="5">
        <f ca="1">IFERROR(__xludf.DUMMYFUNCTION("""COMPUTED_VALUE"""),0)</f>
        <v>0</v>
      </c>
      <c r="H1087" s="5">
        <f ca="1">IFERROR(__xludf.DUMMYFUNCTION("""COMPUTED_VALUE"""),0)</f>
        <v>0</v>
      </c>
      <c r="I1087" s="5">
        <f ca="1">IFERROR(__xludf.DUMMYFUNCTION("""COMPUTED_VALUE"""),0)</f>
        <v>0</v>
      </c>
      <c r="J1087" s="5">
        <f ca="1">IFERROR(__xludf.DUMMYFUNCTION("""COMPUTED_VALUE"""),0)</f>
        <v>0</v>
      </c>
      <c r="K1087" s="9" t="str">
        <f ca="1">IFERROR(__xludf.DUMMYFUNCTION("""COMPUTED_VALUE"""),"https://magicvalley.com/news/local/education/update-school-district-students-in-custody-after-gun-fired-at/article_f23be68f-936b-51ce-847a-f0a02e99f3a0.html")</f>
        <v>https://magicvalley.com/news/local/education/update-school-district-students-in-custody-after-gun-fired-at/article_f23be68f-936b-51ce-847a-f0a02e99f3a0.html</v>
      </c>
      <c r="L1087" s="5"/>
      <c r="M1087" s="5"/>
      <c r="N1087" s="5">
        <f ca="1">IFERROR(__xludf.DUMMYFUNCTION("""COMPUTED_VALUE"""),2)</f>
        <v>2</v>
      </c>
      <c r="O1087" s="5" t="str">
        <f ca="1">IFERROR(__xludf.DUMMYFUNCTION("""COMPUTED_VALUE"""),"Spring")</f>
        <v>Spring</v>
      </c>
      <c r="P1087" s="5" t="str">
        <f ca="1">IFERROR(__xludf.DUMMYFUNCTION("""COMPUTED_VALUE"""),"Twin Falls")</f>
        <v>Twin Falls</v>
      </c>
      <c r="Q1087" s="5" t="str">
        <f ca="1">IFERROR(__xludf.DUMMYFUNCTION("""COMPUTED_VALUE"""),"ID")</f>
        <v>ID</v>
      </c>
      <c r="R1087" s="5" t="str">
        <f ca="1">IFERROR(__xludf.DUMMYFUNCTION("""COMPUTED_VALUE"""),"Middle")</f>
        <v>Middle</v>
      </c>
      <c r="S1087" s="5" t="str">
        <f ca="1">IFERROR(__xludf.DUMMYFUNCTION("""COMPUTED_VALUE"""),"Classroom")</f>
        <v>Classroom</v>
      </c>
      <c r="T1087" s="5" t="str">
        <f ca="1">IFERROR(__xludf.DUMMYFUNCTION("""COMPUTED_VALUE"""),"Inside School Building")</f>
        <v>Inside School Building</v>
      </c>
      <c r="U1087" s="5" t="str">
        <f ca="1">IFERROR(__xludf.DUMMYFUNCTION("""COMPUTED_VALUE"""),"Yes")</f>
        <v>Yes</v>
      </c>
      <c r="V1087" s="5" t="str">
        <f ca="1">IFERROR(__xludf.DUMMYFUNCTION("""COMPUTED_VALUE"""),"Afternoon Classes")</f>
        <v>Afternoon Classes</v>
      </c>
      <c r="W1087" s="10">
        <f ca="1">IFERROR(__xludf.DUMMYFUNCTION("""COMPUTED_VALUE"""),0.53125)</f>
        <v>0.53125</v>
      </c>
      <c r="X1087" s="5">
        <f ca="1">IFERROR(__xludf.DUMMYFUNCTION("""COMPUTED_VALUE"""),1)</f>
        <v>1</v>
      </c>
      <c r="Y1087" s="5" t="str">
        <f ca="1">IFERROR(__xludf.DUMMYFUNCTION("""COMPUTED_VALUE"""),"Accidental discharge of gun in backpack")</f>
        <v>Accidental discharge of gun in backpack</v>
      </c>
      <c r="Z1087" s="5" t="str">
        <f ca="1">IFERROR(__xludf.DUMMYFUNCTION("""COMPUTED_VALUE"""),"14 year old shooter brought two guns to school - one was stolen and the other had the serial number altered. During class one of the guns was accidentally fired into a desk leg")</f>
        <v>14 year old shooter brought two guns to school - one was stolen and the other had the serial number altered. During class one of the guns was accidentally fired into a desk leg</v>
      </c>
      <c r="AA1087" s="5" t="str">
        <f ca="1">IFERROR(__xludf.DUMMYFUNCTION("""COMPUTED_VALUE"""),"Accidental")</f>
        <v>Accidental</v>
      </c>
      <c r="AB1087" s="5" t="str">
        <f ca="1">IFERROR(__xludf.DUMMYFUNCTION("""COMPUTED_VALUE"""),"Neither")</f>
        <v>Neither</v>
      </c>
      <c r="AC1087" s="5" t="str">
        <f ca="1">IFERROR(__xludf.DUMMYFUNCTION("""COMPUTED_VALUE"""),"Yes")</f>
        <v>Yes</v>
      </c>
      <c r="AD1087" s="5" t="str">
        <f ca="1">IFERROR(__xludf.DUMMYFUNCTION("""COMPUTED_VALUE"""),"No")</f>
        <v>No</v>
      </c>
      <c r="AE1087" s="5" t="str">
        <f ca="1">IFERROR(__xludf.DUMMYFUNCTION("""COMPUTED_VALUE"""),"No")</f>
        <v>No</v>
      </c>
      <c r="AF1087" s="5" t="str">
        <f ca="1">IFERROR(__xludf.DUMMYFUNCTION("""COMPUTED_VALUE"""),"No")</f>
        <v>No</v>
      </c>
      <c r="AG1087" s="5" t="str">
        <f ca="1">IFERROR(__xludf.DUMMYFUNCTION("""COMPUTED_VALUE"""),"N/A")</f>
        <v>N/A</v>
      </c>
      <c r="AH1087" s="5" t="str">
        <f ca="1">IFERROR(__xludf.DUMMYFUNCTION("""COMPUTED_VALUE"""),"N/A")</f>
        <v>N/A</v>
      </c>
      <c r="AI1087" s="5" t="str">
        <f ca="1">IFERROR(__xludf.DUMMYFUNCTION("""COMPUTED_VALUE"""),"No")</f>
        <v>No</v>
      </c>
      <c r="AJ1087" s="5" t="str">
        <f ca="1">IFERROR(__xludf.DUMMYFUNCTION("""COMPUTED_VALUE"""),"No")</f>
        <v>No</v>
      </c>
    </row>
    <row r="1088" spans="1:36" ht="13">
      <c r="A1088" s="5" t="str">
        <f ca="1">IFERROR(__xludf.DUMMYFUNCTION("""COMPUTED_VALUE"""),"20160506FLOSP")</f>
        <v>20160506FLOSP</v>
      </c>
      <c r="B1088" s="5">
        <f ca="1">IFERROR(__xludf.DUMMYFUNCTION("""COMPUTED_VALUE"""),5)</f>
        <v>5</v>
      </c>
      <c r="C1088" s="5">
        <f ca="1">IFERROR(__xludf.DUMMYFUNCTION("""COMPUTED_VALUE"""),6)</f>
        <v>6</v>
      </c>
      <c r="D1088" s="5">
        <f ca="1">IFERROR(__xludf.DUMMYFUNCTION("""COMPUTED_VALUE"""),2016)</f>
        <v>2016</v>
      </c>
      <c r="E1088" s="8">
        <f ca="1">IFERROR(__xludf.DUMMYFUNCTION("""COMPUTED_VALUE"""),42496)</f>
        <v>42496</v>
      </c>
      <c r="F1088" s="5" t="str">
        <f ca="1">IFERROR(__xludf.DUMMYFUNCTION("""COMPUTED_VALUE"""),"Oscar Patterson Elementary School")</f>
        <v>Oscar Patterson Elementary School</v>
      </c>
      <c r="G1088" s="5">
        <f ca="1">IFERROR(__xludf.DUMMYFUNCTION("""COMPUTED_VALUE"""),0)</f>
        <v>0</v>
      </c>
      <c r="H1088" s="5">
        <f ca="1">IFERROR(__xludf.DUMMYFUNCTION("""COMPUTED_VALUE"""),0)</f>
        <v>0</v>
      </c>
      <c r="I1088" s="5">
        <f ca="1">IFERROR(__xludf.DUMMYFUNCTION("""COMPUTED_VALUE"""),0)</f>
        <v>0</v>
      </c>
      <c r="J1088" s="5">
        <f ca="1">IFERROR(__xludf.DUMMYFUNCTION("""COMPUTED_VALUE"""),0)</f>
        <v>0</v>
      </c>
      <c r="K1088" s="9" t="str">
        <f ca="1">IFERROR(__xludf.DUMMYFUNCTION("""COMPUTED_VALUE"""),"http://www.newsherald.com/news/20160509/probe-into-detention-officers-accidental-shooting-near-oscar-patterson-underway")</f>
        <v>http://www.newsherald.com/news/20160509/probe-into-detention-officers-accidental-shooting-near-oscar-patterson-underway</v>
      </c>
      <c r="L1088" s="5"/>
      <c r="M1088" s="5"/>
      <c r="N1088" s="5">
        <f ca="1">IFERROR(__xludf.DUMMYFUNCTION("""COMPUTED_VALUE"""),2)</f>
        <v>2</v>
      </c>
      <c r="O1088" s="5" t="str">
        <f ca="1">IFERROR(__xludf.DUMMYFUNCTION("""COMPUTED_VALUE"""),"Spring")</f>
        <v>Spring</v>
      </c>
      <c r="P1088" s="5" t="str">
        <f ca="1">IFERROR(__xludf.DUMMYFUNCTION("""COMPUTED_VALUE"""),"Panama City")</f>
        <v>Panama City</v>
      </c>
      <c r="Q1088" s="5" t="str">
        <f ca="1">IFERROR(__xludf.DUMMYFUNCTION("""COMPUTED_VALUE"""),"FL")</f>
        <v>FL</v>
      </c>
      <c r="R1088" s="5" t="str">
        <f ca="1">IFERROR(__xludf.DUMMYFUNCTION("""COMPUTED_VALUE"""),"Elementary")</f>
        <v>Elementary</v>
      </c>
      <c r="S1088" s="5" t="str">
        <f ca="1">IFERROR(__xludf.DUMMYFUNCTION("""COMPUTED_VALUE"""),"Office")</f>
        <v>Office</v>
      </c>
      <c r="T1088" s="5" t="str">
        <f ca="1">IFERROR(__xludf.DUMMYFUNCTION("""COMPUTED_VALUE"""),"Inside School Building")</f>
        <v>Inside School Building</v>
      </c>
      <c r="U1088" s="5" t="str">
        <f ca="1">IFERROR(__xludf.DUMMYFUNCTION("""COMPUTED_VALUE"""),"Yes")</f>
        <v>Yes</v>
      </c>
      <c r="V1088" s="5"/>
      <c r="W1088" s="5"/>
      <c r="X1088" s="5">
        <f ca="1">IFERROR(__xludf.DUMMYFUNCTION("""COMPUTED_VALUE"""),1)</f>
        <v>1</v>
      </c>
      <c r="Y1088" s="5" t="str">
        <f ca="1">IFERROR(__xludf.DUMMYFUNCTION("""COMPUTED_VALUE"""),"Accidental discharge during interview of school employee")</f>
        <v>Accidental discharge during interview of school employee</v>
      </c>
      <c r="Z1088" s="5" t="str">
        <f ca="1">IFERROR(__xludf.DUMMYFUNCTION("""COMPUTED_VALUE"""),"Shooter was a part-time jailer who was at school for a job interview when he accidentally shot himself in the knee.")</f>
        <v>Shooter was a part-time jailer who was at school for a job interview when he accidentally shot himself in the knee.</v>
      </c>
      <c r="AA1088" s="5" t="str">
        <f ca="1">IFERROR(__xludf.DUMMYFUNCTION("""COMPUTED_VALUE"""),"Accidental")</f>
        <v>Accidental</v>
      </c>
      <c r="AB1088" s="5" t="str">
        <f ca="1">IFERROR(__xludf.DUMMYFUNCTION("""COMPUTED_VALUE"""),"Random Shooting")</f>
        <v>Random Shooting</v>
      </c>
      <c r="AC1088" s="5" t="str">
        <f ca="1">IFERROR(__xludf.DUMMYFUNCTION("""COMPUTED_VALUE"""),"No")</f>
        <v>No</v>
      </c>
      <c r="AD1088" s="5" t="str">
        <f ca="1">IFERROR(__xludf.DUMMYFUNCTION("""COMPUTED_VALUE"""),"No")</f>
        <v>No</v>
      </c>
      <c r="AE1088" s="5" t="str">
        <f ca="1">IFERROR(__xludf.DUMMYFUNCTION("""COMPUTED_VALUE"""),"No")</f>
        <v>No</v>
      </c>
      <c r="AF1088" s="5" t="str">
        <f ca="1">IFERROR(__xludf.DUMMYFUNCTION("""COMPUTED_VALUE"""),"No")</f>
        <v>No</v>
      </c>
      <c r="AG1088" s="5" t="str">
        <f ca="1">IFERROR(__xludf.DUMMYFUNCTION("""COMPUTED_VALUE"""),"No")</f>
        <v>No</v>
      </c>
      <c r="AH1088" s="5" t="str">
        <f ca="1">IFERROR(__xludf.DUMMYFUNCTION("""COMPUTED_VALUE"""),"No")</f>
        <v>No</v>
      </c>
      <c r="AI1088" s="5" t="str">
        <f ca="1">IFERROR(__xludf.DUMMYFUNCTION("""COMPUTED_VALUE"""),"No")</f>
        <v>No</v>
      </c>
      <c r="AJ1088" s="5" t="str">
        <f ca="1">IFERROR(__xludf.DUMMYFUNCTION("""COMPUTED_VALUE"""),"No")</f>
        <v>No</v>
      </c>
    </row>
    <row r="1089" spans="1:36" ht="13">
      <c r="A1089" s="5" t="str">
        <f ca="1">IFERROR(__xludf.DUMMYFUNCTION("""COMPUTED_VALUE"""),"20160505MDHIB")</f>
        <v>20160505MDHIB</v>
      </c>
      <c r="B1089" s="5">
        <f ca="1">IFERROR(__xludf.DUMMYFUNCTION("""COMPUTED_VALUE"""),5)</f>
        <v>5</v>
      </c>
      <c r="C1089" s="5">
        <f ca="1">IFERROR(__xludf.DUMMYFUNCTION("""COMPUTED_VALUE"""),5)</f>
        <v>5</v>
      </c>
      <c r="D1089" s="5">
        <f ca="1">IFERROR(__xludf.DUMMYFUNCTION("""COMPUTED_VALUE"""),2016)</f>
        <v>2016</v>
      </c>
      <c r="E1089" s="8">
        <f ca="1">IFERROR(__xludf.DUMMYFUNCTION("""COMPUTED_VALUE"""),42495)</f>
        <v>42495</v>
      </c>
      <c r="F1089" s="5" t="str">
        <f ca="1">IFERROR(__xludf.DUMMYFUNCTION("""COMPUTED_VALUE"""),"High Point High School")</f>
        <v>High Point High School</v>
      </c>
      <c r="G1089" s="5">
        <f ca="1">IFERROR(__xludf.DUMMYFUNCTION("""COMPUTED_VALUE"""),1)</f>
        <v>1</v>
      </c>
      <c r="H1089" s="5">
        <f ca="1">IFERROR(__xludf.DUMMYFUNCTION("""COMPUTED_VALUE"""),1)</f>
        <v>1</v>
      </c>
      <c r="I1089" s="5">
        <f ca="1">IFERROR(__xludf.DUMMYFUNCTION("""COMPUTED_VALUE"""),2)</f>
        <v>2</v>
      </c>
      <c r="J1089" s="5">
        <f ca="1">IFERROR(__xludf.DUMMYFUNCTION("""COMPUTED_VALUE"""),0)</f>
        <v>0</v>
      </c>
      <c r="K1089" s="9" t="str">
        <f ca="1">IFERROR(__xludf.DUMMYFUNCTION("""COMPUTED_VALUE"""),"https://www.nbcwashington.com/news/local/Shooting-High-Point-High-School-378322341.html")</f>
        <v>https://www.nbcwashington.com/news/local/Shooting-High-Point-High-School-378322341.html</v>
      </c>
      <c r="L1089" s="5">
        <f ca="1">IFERROR(__xludf.DUMMYFUNCTION("""COMPUTED_VALUE"""),5)</f>
        <v>5</v>
      </c>
      <c r="M1089" s="5" t="str">
        <f ca="1">IFERROR(__xludf.DUMMYFUNCTION("""COMPUTED_VALUE"""),"Regional")</f>
        <v>Regional</v>
      </c>
      <c r="N1089" s="5">
        <f ca="1">IFERROR(__xludf.DUMMYFUNCTION("""COMPUTED_VALUE"""),2)</f>
        <v>2</v>
      </c>
      <c r="O1089" s="5" t="str">
        <f ca="1">IFERROR(__xludf.DUMMYFUNCTION("""COMPUTED_VALUE"""),"Spring")</f>
        <v>Spring</v>
      </c>
      <c r="P1089" s="5" t="str">
        <f ca="1">IFERROR(__xludf.DUMMYFUNCTION("""COMPUTED_VALUE"""),"Beltsville")</f>
        <v>Beltsville</v>
      </c>
      <c r="Q1089" s="5" t="str">
        <f ca="1">IFERROR(__xludf.DUMMYFUNCTION("""COMPUTED_VALUE"""),"MD")</f>
        <v>MD</v>
      </c>
      <c r="R1089" s="5" t="str">
        <f ca="1">IFERROR(__xludf.DUMMYFUNCTION("""COMPUTED_VALUE"""),"High")</f>
        <v>High</v>
      </c>
      <c r="S1089" s="5" t="str">
        <f ca="1">IFERROR(__xludf.DUMMYFUNCTION("""COMPUTED_VALUE"""),"Parking Lot")</f>
        <v>Parking Lot</v>
      </c>
      <c r="T1089" s="5" t="str">
        <f ca="1">IFERROR(__xludf.DUMMYFUNCTION("""COMPUTED_VALUE"""),"Outside on School Property")</f>
        <v>Outside on School Property</v>
      </c>
      <c r="U1089" s="5" t="str">
        <f ca="1">IFERROR(__xludf.DUMMYFUNCTION("""COMPUTED_VALUE"""),"No")</f>
        <v>No</v>
      </c>
      <c r="V1089" s="5" t="str">
        <f ca="1">IFERROR(__xludf.DUMMYFUNCTION("""COMPUTED_VALUE"""),"After School")</f>
        <v>After School</v>
      </c>
      <c r="W1089" s="10">
        <f ca="1">IFERROR(__xludf.DUMMYFUNCTION("""COMPUTED_VALUE"""),0.694444444444444)</f>
        <v>0.69444444444444398</v>
      </c>
      <c r="X1089" s="5">
        <f ca="1">IFERROR(__xludf.DUMMYFUNCTION("""COMPUTED_VALUE"""),1)</f>
        <v>1</v>
      </c>
      <c r="Y1089" s="5" t="str">
        <f ca="1">IFERROR(__xludf.DUMMYFUNCTION("""COMPUTED_VALUE"""),"Domestic, killed ex-wife in parking lot")</f>
        <v>Domestic, killed ex-wife in parking lot</v>
      </c>
      <c r="Z1089" s="5" t="str">
        <f ca="1">IFERROR(__xludf.DUMMYFUNCTION("""COMPUTED_VALUE"""),"Shooter killed estranged wife in the parking lot while she was waiting to pick up their child, following an altercation between the two. Bystander tried to intervene and was shot in the arm. Shooter fled the scene and was arrested later. Victim had a rest"&amp;"raining order against the shooter.")</f>
        <v>Shooter killed estranged wife in the parking lot while she was waiting to pick up their child, following an altercation between the two. Bystander tried to intervene and was shot in the arm. Shooter fled the scene and was arrested later. Victim had a restraining order against the shooter.</v>
      </c>
      <c r="AA1089" s="5" t="str">
        <f ca="1">IFERROR(__xludf.DUMMYFUNCTION("""COMPUTED_VALUE"""),"Domestic w/ Targeted Victim")</f>
        <v>Domestic w/ Targeted Victim</v>
      </c>
      <c r="AB1089" s="5" t="str">
        <f ca="1">IFERROR(__xludf.DUMMYFUNCTION("""COMPUTED_VALUE"""),"Both")</f>
        <v>Both</v>
      </c>
      <c r="AC1089" s="5"/>
      <c r="AD1089" s="5" t="str">
        <f ca="1">IFERROR(__xludf.DUMMYFUNCTION("""COMPUTED_VALUE"""),"No")</f>
        <v>No</v>
      </c>
      <c r="AE1089" s="5" t="str">
        <f ca="1">IFERROR(__xludf.DUMMYFUNCTION("""COMPUTED_VALUE"""),"No")</f>
        <v>No</v>
      </c>
      <c r="AF1089" s="5" t="str">
        <f ca="1">IFERROR(__xludf.DUMMYFUNCTION("""COMPUTED_VALUE"""),"No")</f>
        <v>No</v>
      </c>
      <c r="AG1089" s="5"/>
      <c r="AH1089" s="5" t="str">
        <f ca="1">IFERROR(__xludf.DUMMYFUNCTION("""COMPUTED_VALUE"""),"Yes")</f>
        <v>Yes</v>
      </c>
      <c r="AI1089" s="5" t="str">
        <f ca="1">IFERROR(__xludf.DUMMYFUNCTION("""COMPUTED_VALUE"""),"No")</f>
        <v>No</v>
      </c>
      <c r="AJ1089" s="5" t="str">
        <f ca="1">IFERROR(__xludf.DUMMYFUNCTION("""COMPUTED_VALUE"""),"No")</f>
        <v>No</v>
      </c>
    </row>
    <row r="1090" spans="1:36" ht="13">
      <c r="A1090" s="5" t="str">
        <f ca="1">IFERROR(__xludf.DUMMYFUNCTION("""COMPUTED_VALUE"""),"20160504COEAP")</f>
        <v>20160504COEAP</v>
      </c>
      <c r="B1090" s="5">
        <f ca="1">IFERROR(__xludf.DUMMYFUNCTION("""COMPUTED_VALUE"""),5)</f>
        <v>5</v>
      </c>
      <c r="C1090" s="5">
        <f ca="1">IFERROR(__xludf.DUMMYFUNCTION("""COMPUTED_VALUE"""),4)</f>
        <v>4</v>
      </c>
      <c r="D1090" s="5">
        <f ca="1">IFERROR(__xludf.DUMMYFUNCTION("""COMPUTED_VALUE"""),2016)</f>
        <v>2016</v>
      </c>
      <c r="E1090" s="8">
        <f ca="1">IFERROR(__xludf.DUMMYFUNCTION("""COMPUTED_VALUE"""),42494)</f>
        <v>42494</v>
      </c>
      <c r="F1090" s="5" t="str">
        <f ca="1">IFERROR(__xludf.DUMMYFUNCTION("""COMPUTED_VALUE"""),"East High School")</f>
        <v>East High School</v>
      </c>
      <c r="G1090" s="5">
        <f ca="1">IFERROR(__xludf.DUMMYFUNCTION("""COMPUTED_VALUE"""),0)</f>
        <v>0</v>
      </c>
      <c r="H1090" s="5">
        <f ca="1">IFERROR(__xludf.DUMMYFUNCTION("""COMPUTED_VALUE"""),1)</f>
        <v>1</v>
      </c>
      <c r="I1090" s="5">
        <f ca="1">IFERROR(__xludf.DUMMYFUNCTION("""COMPUTED_VALUE"""),1)</f>
        <v>1</v>
      </c>
      <c r="J1090" s="5">
        <f ca="1">IFERROR(__xludf.DUMMYFUNCTION("""COMPUTED_VALUE"""),1)</f>
        <v>1</v>
      </c>
      <c r="K1090" s="9" t="str">
        <f ca="1">IFERROR(__xludf.DUMMYFUNCTION("""COMPUTED_VALUE"""),"http://www.kktv.com/home/headlines/PD-East-High-School-Staff-Hurt-In-Drive-By-Shooting-Near-School-378173411.html")</f>
        <v>http://www.kktv.com/home/headlines/PD-East-High-School-Staff-Hurt-In-Drive-By-Shooting-Near-School-378173411.html</v>
      </c>
      <c r="L1090" s="5">
        <f ca="1">IFERROR(__xludf.DUMMYFUNCTION("""COMPUTED_VALUE"""),5)</f>
        <v>5</v>
      </c>
      <c r="M1090" s="5" t="str">
        <f ca="1">IFERROR(__xludf.DUMMYFUNCTION("""COMPUTED_VALUE"""),"Local")</f>
        <v>Local</v>
      </c>
      <c r="N1090" s="5">
        <f ca="1">IFERROR(__xludf.DUMMYFUNCTION("""COMPUTED_VALUE"""),2)</f>
        <v>2</v>
      </c>
      <c r="O1090" s="5" t="str">
        <f ca="1">IFERROR(__xludf.DUMMYFUNCTION("""COMPUTED_VALUE"""),"Spring")</f>
        <v>Spring</v>
      </c>
      <c r="P1090" s="5" t="str">
        <f ca="1">IFERROR(__xludf.DUMMYFUNCTION("""COMPUTED_VALUE"""),"Pueblo")</f>
        <v>Pueblo</v>
      </c>
      <c r="Q1090" s="5" t="str">
        <f ca="1">IFERROR(__xludf.DUMMYFUNCTION("""COMPUTED_VALUE"""),"CO")</f>
        <v>CO</v>
      </c>
      <c r="R1090" s="5" t="str">
        <f ca="1">IFERROR(__xludf.DUMMYFUNCTION("""COMPUTED_VALUE"""),"High")</f>
        <v>High</v>
      </c>
      <c r="S1090" s="5" t="str">
        <f ca="1">IFERROR(__xludf.DUMMYFUNCTION("""COMPUTED_VALUE"""),"Parking Lot")</f>
        <v>Parking Lot</v>
      </c>
      <c r="T1090" s="5" t="str">
        <f ca="1">IFERROR(__xludf.DUMMYFUNCTION("""COMPUTED_VALUE"""),"Outside on School Property")</f>
        <v>Outside on School Property</v>
      </c>
      <c r="U1090" s="5" t="str">
        <f ca="1">IFERROR(__xludf.DUMMYFUNCTION("""COMPUTED_VALUE"""),"No")</f>
        <v>No</v>
      </c>
      <c r="V1090" s="5" t="str">
        <f ca="1">IFERROR(__xludf.DUMMYFUNCTION("""COMPUTED_VALUE"""),"After School")</f>
        <v>After School</v>
      </c>
      <c r="W1090" s="10">
        <f ca="1">IFERROR(__xludf.DUMMYFUNCTION("""COMPUTED_VALUE"""),0.625)</f>
        <v>0.625</v>
      </c>
      <c r="X1090" s="5">
        <f ca="1">IFERROR(__xludf.DUMMYFUNCTION("""COMPUTED_VALUE"""),1)</f>
        <v>1</v>
      </c>
      <c r="Y1090" s="5" t="str">
        <f ca="1">IFERROR(__xludf.DUMMYFUNCTION("""COMPUTED_VALUE"""),"Drive-by, teacher injured, most likely targeted, murder-suicide")</f>
        <v>Drive-by, teacher injured, most likely targeted, murder-suicide</v>
      </c>
      <c r="Z1090" s="5" t="str">
        <f ca="1">IFERROR(__xludf.DUMMYFUNCTION("""COMPUTED_VALUE"""),"Shooter fired 3 shots from a van while driving through the parking lot of the school. An unidentified teacher was struck. The driver of the van was later found dead from a self-inflicted gunshot wound in an area away from the school. Most likely targeted.")</f>
        <v>Shooter fired 3 shots from a van while driving through the parking lot of the school. An unidentified teacher was struck. The driver of the van was later found dead from a self-inflicted gunshot wound in an area away from the school. Most likely targeted.</v>
      </c>
      <c r="AA1090" s="5" t="str">
        <f ca="1">IFERROR(__xludf.DUMMYFUNCTION("""COMPUTED_VALUE"""),"Drive-by Shooting")</f>
        <v>Drive-by Shooting</v>
      </c>
      <c r="AB1090" s="5" t="str">
        <f ca="1">IFERROR(__xludf.DUMMYFUNCTION("""COMPUTED_VALUE"""),"Victims Targeted")</f>
        <v>Victims Targeted</v>
      </c>
      <c r="AC1090" s="5" t="str">
        <f ca="1">IFERROR(__xludf.DUMMYFUNCTION("""COMPUTED_VALUE"""),"No")</f>
        <v>No</v>
      </c>
      <c r="AD1090" s="5" t="str">
        <f ca="1">IFERROR(__xludf.DUMMYFUNCTION("""COMPUTED_VALUE"""),"No")</f>
        <v>No</v>
      </c>
      <c r="AE1090" s="5" t="str">
        <f ca="1">IFERROR(__xludf.DUMMYFUNCTION("""COMPUTED_VALUE"""),"No")</f>
        <v>No</v>
      </c>
      <c r="AF1090" s="5" t="str">
        <f ca="1">IFERROR(__xludf.DUMMYFUNCTION("""COMPUTED_VALUE"""),"No")</f>
        <v>No</v>
      </c>
      <c r="AG1090" s="5"/>
      <c r="AH1090" s="5" t="str">
        <f ca="1">IFERROR(__xludf.DUMMYFUNCTION("""COMPUTED_VALUE"""),"No")</f>
        <v>No</v>
      </c>
      <c r="AI1090" s="5" t="str">
        <f ca="1">IFERROR(__xludf.DUMMYFUNCTION("""COMPUTED_VALUE"""),"No")</f>
        <v>No</v>
      </c>
      <c r="AJ1090" s="5" t="str">
        <f ca="1">IFERROR(__xludf.DUMMYFUNCTION("""COMPUTED_VALUE"""),"No")</f>
        <v>No</v>
      </c>
    </row>
    <row r="1091" spans="1:36" ht="13">
      <c r="A1091" s="5" t="str">
        <f ca="1">IFERROR(__xludf.DUMMYFUNCTION("""COMPUTED_VALUE"""),"20160502TXKID")</f>
        <v>20160502TXKID</v>
      </c>
      <c r="B1091" s="5">
        <f ca="1">IFERROR(__xludf.DUMMYFUNCTION("""COMPUTED_VALUE"""),5)</f>
        <v>5</v>
      </c>
      <c r="C1091" s="5">
        <f ca="1">IFERROR(__xludf.DUMMYFUNCTION("""COMPUTED_VALUE"""),2)</f>
        <v>2</v>
      </c>
      <c r="D1091" s="5">
        <f ca="1">IFERROR(__xludf.DUMMYFUNCTION("""COMPUTED_VALUE"""),2016)</f>
        <v>2016</v>
      </c>
      <c r="E1091" s="8">
        <f ca="1">IFERROR(__xludf.DUMMYFUNCTION("""COMPUTED_VALUE"""),42492)</f>
        <v>42492</v>
      </c>
      <c r="F1091" s="5" t="str">
        <f ca="1">IFERROR(__xludf.DUMMYFUNCTION("""COMPUTED_VALUE"""),"Kimball High School")</f>
        <v>Kimball High School</v>
      </c>
      <c r="G1091" s="5">
        <f ca="1">IFERROR(__xludf.DUMMYFUNCTION("""COMPUTED_VALUE"""),0)</f>
        <v>0</v>
      </c>
      <c r="H1091" s="5">
        <f ca="1">IFERROR(__xludf.DUMMYFUNCTION("""COMPUTED_VALUE"""),0)</f>
        <v>0</v>
      </c>
      <c r="I1091" s="5">
        <f ca="1">IFERROR(__xludf.DUMMYFUNCTION("""COMPUTED_VALUE"""),0)</f>
        <v>0</v>
      </c>
      <c r="J1091" s="5">
        <f ca="1">IFERROR(__xludf.DUMMYFUNCTION("""COMPUTED_VALUE"""),0)</f>
        <v>0</v>
      </c>
      <c r="K1091" s="5" t="str">
        <f ca="1">IFERROR(__xludf.DUMMYFUNCTION("""COMPUTED_VALUE"""),"https://www.dallasnews.com/news/news/2016/05/02/student-wounded-in-shooting-at-kimball-high-dallas-isd-spokesman-says . http://www.fox4news.com/news/mom-explains-why-student-brought-gun-to-kimball-high-school")</f>
        <v>https://www.dallasnews.com/news/news/2016/05/02/student-wounded-in-shooting-at-kimball-high-dallas-isd-spokesman-says . http://www.fox4news.com/news/mom-explains-why-student-brought-gun-to-kimball-high-school</v>
      </c>
      <c r="L1091" s="5"/>
      <c r="M1091" s="5"/>
      <c r="N1091" s="5">
        <f ca="1">IFERROR(__xludf.DUMMYFUNCTION("""COMPUTED_VALUE"""),3)</f>
        <v>3</v>
      </c>
      <c r="O1091" s="5" t="str">
        <f ca="1">IFERROR(__xludf.DUMMYFUNCTION("""COMPUTED_VALUE"""),"Spring")</f>
        <v>Spring</v>
      </c>
      <c r="P1091" s="5" t="str">
        <f ca="1">IFERROR(__xludf.DUMMYFUNCTION("""COMPUTED_VALUE"""),"Dallas")</f>
        <v>Dallas</v>
      </c>
      <c r="Q1091" s="5" t="str">
        <f ca="1">IFERROR(__xludf.DUMMYFUNCTION("""COMPUTED_VALUE"""),"TX")</f>
        <v>TX</v>
      </c>
      <c r="R1091" s="5" t="str">
        <f ca="1">IFERROR(__xludf.DUMMYFUNCTION("""COMPUTED_VALUE"""),"High")</f>
        <v>High</v>
      </c>
      <c r="S1091" s="5" t="str">
        <f ca="1">IFERROR(__xludf.DUMMYFUNCTION("""COMPUTED_VALUE"""),"Classroom")</f>
        <v>Classroom</v>
      </c>
      <c r="T1091" s="5" t="str">
        <f ca="1">IFERROR(__xludf.DUMMYFUNCTION("""COMPUTED_VALUE"""),"Inside School Building")</f>
        <v>Inside School Building</v>
      </c>
      <c r="U1091" s="5" t="str">
        <f ca="1">IFERROR(__xludf.DUMMYFUNCTION("""COMPUTED_VALUE"""),"Yes")</f>
        <v>Yes</v>
      </c>
      <c r="V1091" s="5" t="str">
        <f ca="1">IFERROR(__xludf.DUMMYFUNCTION("""COMPUTED_VALUE"""),"Morning Classes")</f>
        <v>Morning Classes</v>
      </c>
      <c r="W1091" s="10">
        <f ca="1">IFERROR(__xludf.DUMMYFUNCTION("""COMPUTED_VALUE"""),0.333333333333333)</f>
        <v>0.33333333333333298</v>
      </c>
      <c r="X1091" s="5">
        <f ca="1">IFERROR(__xludf.DUMMYFUNCTION("""COMPUTED_VALUE"""),1)</f>
        <v>1</v>
      </c>
      <c r="Y1091" s="5" t="str">
        <f ca="1">IFERROR(__xludf.DUMMYFUNCTION("""COMPUTED_VALUE"""),"Accidental discharge showing off gun")</f>
        <v>Accidental discharge showing off gun</v>
      </c>
      <c r="Z1091" s="5" t="str">
        <f ca="1">IFERROR(__xludf.DUMMYFUNCTION("""COMPUTED_VALUE"""),"Shooter brought .22 caliber gun to school - after showing it to a friend it accidentally discharged when he was putting it back in pocket - according to subsequent interview with mother, her son brought gun to school to commit suicide as a result of being"&amp;" chronically bullied.")</f>
        <v>Shooter brought .22 caliber gun to school - after showing it to a friend it accidentally discharged when he was putting it back in pocket - according to subsequent interview with mother, her son brought gun to school to commit suicide as a result of being chronically bullied.</v>
      </c>
      <c r="AA1091" s="5" t="str">
        <f ca="1">IFERROR(__xludf.DUMMYFUNCTION("""COMPUTED_VALUE"""),"Accidental")</f>
        <v>Accidental</v>
      </c>
      <c r="AB1091" s="5" t="str">
        <f ca="1">IFERROR(__xludf.DUMMYFUNCTION("""COMPUTED_VALUE"""),"Random Shooting")</f>
        <v>Random Shooting</v>
      </c>
      <c r="AC1091" s="5" t="str">
        <f ca="1">IFERROR(__xludf.DUMMYFUNCTION("""COMPUTED_VALUE"""),"No")</f>
        <v>No</v>
      </c>
      <c r="AD1091" s="5" t="str">
        <f ca="1">IFERROR(__xludf.DUMMYFUNCTION("""COMPUTED_VALUE"""),"No")</f>
        <v>No</v>
      </c>
      <c r="AE1091" s="5" t="str">
        <f ca="1">IFERROR(__xludf.DUMMYFUNCTION("""COMPUTED_VALUE"""),"No")</f>
        <v>No</v>
      </c>
      <c r="AF1091" s="5" t="str">
        <f ca="1">IFERROR(__xludf.DUMMYFUNCTION("""COMPUTED_VALUE"""),"No")</f>
        <v>No</v>
      </c>
      <c r="AG1091" s="5" t="str">
        <f ca="1">IFERROR(__xludf.DUMMYFUNCTION("""COMPUTED_VALUE"""),"Yes")</f>
        <v>Yes</v>
      </c>
      <c r="AH1091" s="5" t="str">
        <f ca="1">IFERROR(__xludf.DUMMYFUNCTION("""COMPUTED_VALUE"""),"No")</f>
        <v>No</v>
      </c>
      <c r="AI1091" s="5" t="str">
        <f ca="1">IFERROR(__xludf.DUMMYFUNCTION("""COMPUTED_VALUE"""),"No")</f>
        <v>No</v>
      </c>
      <c r="AJ1091" s="5" t="str">
        <f ca="1">IFERROR(__xludf.DUMMYFUNCTION("""COMPUTED_VALUE"""),"No")</f>
        <v>No</v>
      </c>
    </row>
    <row r="1092" spans="1:36" ht="13">
      <c r="A1092" s="5" t="str">
        <f ca="1">IFERROR(__xludf.DUMMYFUNCTION("""COMPUTED_VALUE"""),"20160423WIANA")</f>
        <v>20160423WIANA</v>
      </c>
      <c r="B1092" s="5">
        <f ca="1">IFERROR(__xludf.DUMMYFUNCTION("""COMPUTED_VALUE"""),4)</f>
        <v>4</v>
      </c>
      <c r="C1092" s="5">
        <f ca="1">IFERROR(__xludf.DUMMYFUNCTION("""COMPUTED_VALUE"""),23)</f>
        <v>23</v>
      </c>
      <c r="D1092" s="5">
        <f ca="1">IFERROR(__xludf.DUMMYFUNCTION("""COMPUTED_VALUE"""),2016)</f>
        <v>2016</v>
      </c>
      <c r="E1092" s="8">
        <f ca="1">IFERROR(__xludf.DUMMYFUNCTION("""COMPUTED_VALUE"""),42483)</f>
        <v>42483</v>
      </c>
      <c r="F1092" s="5" t="str">
        <f ca="1">IFERROR(__xludf.DUMMYFUNCTION("""COMPUTED_VALUE"""),"Antigo High School")</f>
        <v>Antigo High School</v>
      </c>
      <c r="G1092" s="5">
        <f ca="1">IFERROR(__xludf.DUMMYFUNCTION("""COMPUTED_VALUE"""),0)</f>
        <v>0</v>
      </c>
      <c r="H1092" s="5">
        <f ca="1">IFERROR(__xludf.DUMMYFUNCTION("""COMPUTED_VALUE"""),2)</f>
        <v>2</v>
      </c>
      <c r="I1092" s="5">
        <f ca="1">IFERROR(__xludf.DUMMYFUNCTION("""COMPUTED_VALUE"""),2)</f>
        <v>2</v>
      </c>
      <c r="J1092" s="5">
        <f ca="1">IFERROR(__xludf.DUMMYFUNCTION("""COMPUTED_VALUE"""),1)</f>
        <v>1</v>
      </c>
      <c r="K1092" s="5" t="str">
        <f ca="1">IFERROR(__xludf.DUMMYFUNCTION("""COMPUTED_VALUE"""),"https://www.wausaudailyherald.com/story/news/crime/2016/07/14/prom-officer-cleared-wrongdoing/87086168/ https://www.fbi.gov/file-repository/active-shooter-incidents-2000-2017.pdf https://www.wausaudailyherald.com/story/news/crime/2016/07/14/prom-officer-c"&amp;"leared-wrongdoing/87086168/")</f>
        <v>https://www.wausaudailyherald.com/story/news/crime/2016/07/14/prom-officer-cleared-wrongdoing/87086168/ https://www.fbi.gov/file-repository/active-shooter-incidents-2000-2017.pdf https://www.wausaudailyherald.com/story/news/crime/2016/07/14/prom-officer-cleared-wrongdoing/87086168/</v>
      </c>
      <c r="L1092" s="5">
        <f ca="1">IFERROR(__xludf.DUMMYFUNCTION("""COMPUTED_VALUE"""),11)</f>
        <v>11</v>
      </c>
      <c r="M1092" s="5" t="str">
        <f ca="1">IFERROR(__xludf.DUMMYFUNCTION("""COMPUTED_VALUE"""),"International")</f>
        <v>International</v>
      </c>
      <c r="N1092" s="5">
        <f ca="1">IFERROR(__xludf.DUMMYFUNCTION("""COMPUTED_VALUE"""),5)</f>
        <v>5</v>
      </c>
      <c r="O1092" s="5" t="str">
        <f ca="1">IFERROR(__xludf.DUMMYFUNCTION("""COMPUTED_VALUE"""),"Spring")</f>
        <v>Spring</v>
      </c>
      <c r="P1092" s="5" t="str">
        <f ca="1">IFERROR(__xludf.DUMMYFUNCTION("""COMPUTED_VALUE"""),"Antigo")</f>
        <v>Antigo</v>
      </c>
      <c r="Q1092" s="5" t="str">
        <f ca="1">IFERROR(__xludf.DUMMYFUNCTION("""COMPUTED_VALUE"""),"WI")</f>
        <v>WI</v>
      </c>
      <c r="R1092" s="5" t="str">
        <f ca="1">IFERROR(__xludf.DUMMYFUNCTION("""COMPUTED_VALUE"""),"High")</f>
        <v>High</v>
      </c>
      <c r="S1092" s="5" t="str">
        <f ca="1">IFERROR(__xludf.DUMMYFUNCTION("""COMPUTED_VALUE"""),"Parking Lot")</f>
        <v>Parking Lot</v>
      </c>
      <c r="T1092" s="5" t="str">
        <f ca="1">IFERROR(__xludf.DUMMYFUNCTION("""COMPUTED_VALUE"""),"Outside on School Property")</f>
        <v>Outside on School Property</v>
      </c>
      <c r="U1092" s="5" t="str">
        <f ca="1">IFERROR(__xludf.DUMMYFUNCTION("""COMPUTED_VALUE"""),"No")</f>
        <v>No</v>
      </c>
      <c r="V1092" s="5" t="str">
        <f ca="1">IFERROR(__xludf.DUMMYFUNCTION("""COMPUTED_VALUE"""),"School Event")</f>
        <v>School Event</v>
      </c>
      <c r="W1092" s="10">
        <f ca="1">IFERROR(__xludf.DUMMYFUNCTION("""COMPUTED_VALUE"""),0.958333333333333)</f>
        <v>0.95833333333333304</v>
      </c>
      <c r="X1092" s="5">
        <f ca="1">IFERROR(__xludf.DUMMYFUNCTION("""COMPUTED_VALUE"""),1)</f>
        <v>1</v>
      </c>
      <c r="Y1092" s="5" t="str">
        <f ca="1">IFERROR(__xludf.DUMMYFUNCTION("""COMPUTED_VALUE"""),"Shot ex-girlfriend after break-up")</f>
        <v>Shot ex-girlfriend after break-up</v>
      </c>
      <c r="Z1092" s="5" t="str">
        <f ca="1">IFERROR(__xludf.DUMMYFUNCTION("""COMPUTED_VALUE"""),"Victim had recently broken up with the shooter (they were each other's first girl/boyfriend) and he attempted suicide immediately after. Victim reported he was too clingy and she ended it. He later asked her if she would commit suicide with him, she refus"&amp;"ed and cut contact. Shooter bought rifle 2 weeks prior from a gun show, was proud and posted photos (no threats). A friend gave shooter a ride the day before to buy ammo (he bought all the store had in stock). Shooter shot ex-girlfriend and prom date and "&amp;"then was killed by a police officer in the parking lot. Fired 10/45 rounds. Gun jammed. Friends of the shooter said he was normal and social. Shooter was an assistant teacher nearby, possibly picked location because of ex-girlfriend. Bullied for years. Bu"&amp;"llying was so severe that victim was pulled from 8th grade for a semester by parents.
 FBI Study: On April 23, 2016, at 11:02 p.m., Jakob Edward Wagner, 18, armed with a rifle, began shooting outside a prom being held at his former school, Antigo High S"&amp;"chool in Antigo, Wisconsin. Two law enforcement officers, who were on the premises, heard the shots and responded immediately. No one was killed; two students were wounded. The shooter was wounded in an exchange of gunfire with law enforcement officers an"&amp;"d later died at the hospital.")</f>
        <v>Victim had recently broken up with the shooter (they were each other's first girl/boyfriend) and he attempted suicide immediately after. Victim reported he was too clingy and she ended it. He later asked her if she would commit suicide with him, she refused and cut contact. Shooter bought rifle 2 weeks prior from a gun show, was proud and posted photos (no threats). A friend gave shooter a ride the day before to buy ammo (he bought all the store had in stock). Shooter shot ex-girlfriend and prom date and then was killed by a police officer in the parking lot. Fired 10/45 rounds. Gun jammed. Friends of the shooter said he was normal and social. Shooter was an assistant teacher nearby, possibly picked location because of ex-girlfriend. Bullied for years. Bullying was so severe that victim was pulled from 8th grade for a semester by parents.
 FBI Study: On April 23, 2016, at 11:02 p.m., Jakob Edward Wagner, 18, armed with a rifle, began shooting outside a prom being held at his former school, Antigo High School in Antigo, Wisconsin. Two law enforcement officers, who were on the premises, heard the shots and responded immediately. No one was killed; two students were wounded. The shooter was wounded in an exchange of gunfire with law enforcement officers and later died at the hospital.</v>
      </c>
      <c r="AA1092" s="5" t="str">
        <f ca="1">IFERROR(__xludf.DUMMYFUNCTION("""COMPUTED_VALUE"""),"Domestic w/ Targeted Victim")</f>
        <v>Domestic w/ Targeted Victim</v>
      </c>
      <c r="AB1092" s="5" t="str">
        <f ca="1">IFERROR(__xludf.DUMMYFUNCTION("""COMPUTED_VALUE"""),"Victims Targeted")</f>
        <v>Victims Targeted</v>
      </c>
      <c r="AC1092" s="5" t="str">
        <f ca="1">IFERROR(__xludf.DUMMYFUNCTION("""COMPUTED_VALUE"""),"No")</f>
        <v>No</v>
      </c>
      <c r="AD1092" s="5" t="str">
        <f ca="1">IFERROR(__xludf.DUMMYFUNCTION("""COMPUTED_VALUE"""),"No")</f>
        <v>No</v>
      </c>
      <c r="AE1092" s="5" t="str">
        <f ca="1">IFERROR(__xludf.DUMMYFUNCTION("""COMPUTED_VALUE"""),"No")</f>
        <v>No</v>
      </c>
      <c r="AF1092" s="5" t="str">
        <f ca="1">IFERROR(__xludf.DUMMYFUNCTION("""COMPUTED_VALUE"""),"No")</f>
        <v>No</v>
      </c>
      <c r="AG1092" s="5" t="str">
        <f ca="1">IFERROR(__xludf.DUMMYFUNCTION("""COMPUTED_VALUE"""),"Yes")</f>
        <v>Yes</v>
      </c>
      <c r="AH1092" s="5" t="str">
        <f ca="1">IFERROR(__xludf.DUMMYFUNCTION("""COMPUTED_VALUE"""),"Yes")</f>
        <v>Yes</v>
      </c>
      <c r="AI1092" s="5" t="str">
        <f ca="1">IFERROR(__xludf.DUMMYFUNCTION("""COMPUTED_VALUE"""),"No")</f>
        <v>No</v>
      </c>
      <c r="AJ1092" s="5" t="str">
        <f ca="1">IFERROR(__xludf.DUMMYFUNCTION("""COMPUTED_VALUE"""),"Yes")</f>
        <v>Yes</v>
      </c>
    </row>
    <row r="1093" spans="1:36" ht="13">
      <c r="A1093" s="5" t="str">
        <f ca="1">IFERROR(__xludf.DUMMYFUNCTION("""COMPUTED_VALUE"""),"20160315ALHUB")</f>
        <v>20160315ALHUB</v>
      </c>
      <c r="B1093" s="5">
        <f ca="1">IFERROR(__xludf.DUMMYFUNCTION("""COMPUTED_VALUE"""),3)</f>
        <v>3</v>
      </c>
      <c r="C1093" s="5">
        <f ca="1">IFERROR(__xludf.DUMMYFUNCTION("""COMPUTED_VALUE"""),15)</f>
        <v>15</v>
      </c>
      <c r="D1093" s="5">
        <f ca="1">IFERROR(__xludf.DUMMYFUNCTION("""COMPUTED_VALUE"""),2016)</f>
        <v>2016</v>
      </c>
      <c r="E1093" s="8">
        <f ca="1">IFERROR(__xludf.DUMMYFUNCTION("""COMPUTED_VALUE"""),42444)</f>
        <v>42444</v>
      </c>
      <c r="F1093" s="5" t="str">
        <f ca="1">IFERROR(__xludf.DUMMYFUNCTION("""COMPUTED_VALUE"""),"Huffman High School")</f>
        <v>Huffman High School</v>
      </c>
      <c r="G1093" s="5">
        <f ca="1">IFERROR(__xludf.DUMMYFUNCTION("""COMPUTED_VALUE"""),0)</f>
        <v>0</v>
      </c>
      <c r="H1093" s="5">
        <f ca="1">IFERROR(__xludf.DUMMYFUNCTION("""COMPUTED_VALUE"""),1)</f>
        <v>1</v>
      </c>
      <c r="I1093" s="5">
        <f ca="1">IFERROR(__xludf.DUMMYFUNCTION("""COMPUTED_VALUE"""),1)</f>
        <v>1</v>
      </c>
      <c r="J1093" s="5">
        <f ca="1">IFERROR(__xludf.DUMMYFUNCTION("""COMPUTED_VALUE"""),0)</f>
        <v>0</v>
      </c>
      <c r="K1093" s="9" t="str">
        <f ca="1">IFERROR(__xludf.DUMMYFUNCTION("""COMPUTED_VALUE"""),"http://www.wbrc.com/story/31487356/birmingham-police-identify-suspect-arrested-charged-in-huffman-high-school-shooting")</f>
        <v>http://www.wbrc.com/story/31487356/birmingham-police-identify-suspect-arrested-charged-in-huffman-high-school-shooting</v>
      </c>
      <c r="L1093" s="5">
        <f ca="1">IFERROR(__xludf.DUMMYFUNCTION("""COMPUTED_VALUE"""),5)</f>
        <v>5</v>
      </c>
      <c r="M1093" s="5" t="str">
        <f ca="1">IFERROR(__xludf.DUMMYFUNCTION("""COMPUTED_VALUE"""),"Local")</f>
        <v>Local</v>
      </c>
      <c r="N1093" s="5">
        <f ca="1">IFERROR(__xludf.DUMMYFUNCTION("""COMPUTED_VALUE"""),2)</f>
        <v>2</v>
      </c>
      <c r="O1093" s="5" t="str">
        <f ca="1">IFERROR(__xludf.DUMMYFUNCTION("""COMPUTED_VALUE"""),"Spring")</f>
        <v>Spring</v>
      </c>
      <c r="P1093" s="5" t="str">
        <f ca="1">IFERROR(__xludf.DUMMYFUNCTION("""COMPUTED_VALUE"""),"Birmingham")</f>
        <v>Birmingham</v>
      </c>
      <c r="Q1093" s="5" t="str">
        <f ca="1">IFERROR(__xludf.DUMMYFUNCTION("""COMPUTED_VALUE"""),"AL")</f>
        <v>AL</v>
      </c>
      <c r="R1093" s="5" t="str">
        <f ca="1">IFERROR(__xludf.DUMMYFUNCTION("""COMPUTED_VALUE"""),"High")</f>
        <v>High</v>
      </c>
      <c r="S1093" s="5" t="str">
        <f ca="1">IFERROR(__xludf.DUMMYFUNCTION("""COMPUTED_VALUE"""),"Parking Lot")</f>
        <v>Parking Lot</v>
      </c>
      <c r="T1093" s="5" t="str">
        <f ca="1">IFERROR(__xludf.DUMMYFUNCTION("""COMPUTED_VALUE"""),"Outside on School Property")</f>
        <v>Outside on School Property</v>
      </c>
      <c r="U1093" s="5" t="str">
        <f ca="1">IFERROR(__xludf.DUMMYFUNCTION("""COMPUTED_VALUE"""),"Yes")</f>
        <v>Yes</v>
      </c>
      <c r="V1093" s="5" t="str">
        <f ca="1">IFERROR(__xludf.DUMMYFUNCTION("""COMPUTED_VALUE"""),"Dismissal")</f>
        <v>Dismissal</v>
      </c>
      <c r="W1093" s="10">
        <f ca="1">IFERROR(__xludf.DUMMYFUNCTION("""COMPUTED_VALUE"""),0.604166666666666)</f>
        <v>0.60416666666666596</v>
      </c>
      <c r="X1093" s="5">
        <f ca="1">IFERROR(__xludf.DUMMYFUNCTION("""COMPUTED_VALUE"""),1)</f>
        <v>1</v>
      </c>
      <c r="Y1093" s="5" t="str">
        <f ca="1">IFERROR(__xludf.DUMMYFUNCTION("""COMPUTED_VALUE"""),"Shots fired during fight")</f>
        <v>Shots fired during fight</v>
      </c>
      <c r="Z1093" s="5" t="str">
        <f ca="1">IFERROR(__xludf.DUMMYFUNCTION("""COMPUTED_VALUE"""),"A few students got in a fight, one of them called his brother (the shooter), who was not a student. He arrived in a car, got out, and opened fire, the targeted student started running but got a minor arm injury. The SROs engaged the shooter right away and"&amp;" he was arrested. The school went on lockdown when the shots went out.")</f>
        <v>A few students got in a fight, one of them called his brother (the shooter), who was not a student. He arrived in a car, got out, and opened fire, the targeted student started running but got a minor arm injury. The SROs engaged the shooter right away and he was arrested. The school went on lockdown when the shots went out.</v>
      </c>
      <c r="AA1093" s="5" t="str">
        <f ca="1">IFERROR(__xludf.DUMMYFUNCTION("""COMPUTED_VALUE"""),"Escalation of Dispute")</f>
        <v>Escalation of Dispute</v>
      </c>
      <c r="AB1093" s="5" t="str">
        <f ca="1">IFERROR(__xludf.DUMMYFUNCTION("""COMPUTED_VALUE"""),"Victims Targeted")</f>
        <v>Victims Targeted</v>
      </c>
      <c r="AC1093" s="5" t="str">
        <f ca="1">IFERROR(__xludf.DUMMYFUNCTION("""COMPUTED_VALUE"""),"No")</f>
        <v>No</v>
      </c>
      <c r="AD1093" s="5" t="str">
        <f ca="1">IFERROR(__xludf.DUMMYFUNCTION("""COMPUTED_VALUE"""),"No")</f>
        <v>No</v>
      </c>
      <c r="AE1093" s="5" t="str">
        <f ca="1">IFERROR(__xludf.DUMMYFUNCTION("""COMPUTED_VALUE"""),"No")</f>
        <v>No</v>
      </c>
      <c r="AF1093" s="5" t="str">
        <f ca="1">IFERROR(__xludf.DUMMYFUNCTION("""COMPUTED_VALUE"""),"No")</f>
        <v>No</v>
      </c>
      <c r="AG1093" s="5" t="str">
        <f ca="1">IFERROR(__xludf.DUMMYFUNCTION("""COMPUTED_VALUE"""),"No")</f>
        <v>No</v>
      </c>
      <c r="AH1093" s="5" t="str">
        <f ca="1">IFERROR(__xludf.DUMMYFUNCTION("""COMPUTED_VALUE"""),"No")</f>
        <v>No</v>
      </c>
      <c r="AI1093" s="5" t="str">
        <f ca="1">IFERROR(__xludf.DUMMYFUNCTION("""COMPUTED_VALUE"""),"No")</f>
        <v>No</v>
      </c>
      <c r="AJ1093" s="5" t="str">
        <f ca="1">IFERROR(__xludf.DUMMYFUNCTION("""COMPUTED_VALUE"""),"No")</f>
        <v>No</v>
      </c>
    </row>
    <row r="1094" spans="1:36" ht="13">
      <c r="A1094" s="5" t="str">
        <f ca="1">IFERROR(__xludf.DUMMYFUNCTION("""COMPUTED_VALUE"""),"20160229OHMAM")</f>
        <v>20160229OHMAM</v>
      </c>
      <c r="B1094" s="5">
        <f ca="1">IFERROR(__xludf.DUMMYFUNCTION("""COMPUTED_VALUE"""),2)</f>
        <v>2</v>
      </c>
      <c r="C1094" s="5">
        <f ca="1">IFERROR(__xludf.DUMMYFUNCTION("""COMPUTED_VALUE"""),29)</f>
        <v>29</v>
      </c>
      <c r="D1094" s="5">
        <f ca="1">IFERROR(__xludf.DUMMYFUNCTION("""COMPUTED_VALUE"""),2016)</f>
        <v>2016</v>
      </c>
      <c r="E1094" s="8">
        <f ca="1">IFERROR(__xludf.DUMMYFUNCTION("""COMPUTED_VALUE"""),42429)</f>
        <v>42429</v>
      </c>
      <c r="F1094" s="5" t="str">
        <f ca="1">IFERROR(__xludf.DUMMYFUNCTION("""COMPUTED_VALUE"""),"Madison High School")</f>
        <v>Madison High School</v>
      </c>
      <c r="G1094" s="5">
        <f ca="1">IFERROR(__xludf.DUMMYFUNCTION("""COMPUTED_VALUE"""),0)</f>
        <v>0</v>
      </c>
      <c r="H1094" s="5">
        <f ca="1">IFERROR(__xludf.DUMMYFUNCTION("""COMPUTED_VALUE"""),4)</f>
        <v>4</v>
      </c>
      <c r="I1094" s="5">
        <f ca="1">IFERROR(__xludf.DUMMYFUNCTION("""COMPUTED_VALUE"""),4)</f>
        <v>4</v>
      </c>
      <c r="J1094" s="5">
        <f ca="1">IFERROR(__xludf.DUMMYFUNCTION("""COMPUTED_VALUE"""),0)</f>
        <v>0</v>
      </c>
      <c r="K1094" s="5" t="str">
        <f ca="1">IFERROR(__xludf.DUMMYFUNCTION("""COMPUTED_VALUE"""),"https://www.cincinnati.com/story/news/2018/02/23/school-shooter-his-own-words-wasnt-wanted-anyone/360102002/ https://www.fbi.gov/file-repository/active-shooter-incidents-2000-2017.pdf")</f>
        <v>https://www.cincinnati.com/story/news/2018/02/23/school-shooter-his-own-words-wasnt-wanted-anyone/360102002/ https://www.fbi.gov/file-repository/active-shooter-incidents-2000-2017.pdf</v>
      </c>
      <c r="L1094" s="5">
        <f ca="1">IFERROR(__xludf.DUMMYFUNCTION("""COMPUTED_VALUE"""),11)</f>
        <v>11</v>
      </c>
      <c r="M1094" s="5" t="str">
        <f ca="1">IFERROR(__xludf.DUMMYFUNCTION("""COMPUTED_VALUE"""),"National")</f>
        <v>National</v>
      </c>
      <c r="N1094" s="5">
        <f ca="1">IFERROR(__xludf.DUMMYFUNCTION("""COMPUTED_VALUE"""),5)</f>
        <v>5</v>
      </c>
      <c r="O1094" s="5" t="str">
        <f ca="1">IFERROR(__xludf.DUMMYFUNCTION("""COMPUTED_VALUE"""),"Winter")</f>
        <v>Winter</v>
      </c>
      <c r="P1094" s="5" t="str">
        <f ca="1">IFERROR(__xludf.DUMMYFUNCTION("""COMPUTED_VALUE"""),"Middletown")</f>
        <v>Middletown</v>
      </c>
      <c r="Q1094" s="5" t="str">
        <f ca="1">IFERROR(__xludf.DUMMYFUNCTION("""COMPUTED_VALUE"""),"OH")</f>
        <v>OH</v>
      </c>
      <c r="R1094" s="5" t="str">
        <f ca="1">IFERROR(__xludf.DUMMYFUNCTION("""COMPUTED_VALUE"""),"High")</f>
        <v>High</v>
      </c>
      <c r="S1094" s="5" t="str">
        <f ca="1">IFERROR(__xludf.DUMMYFUNCTION("""COMPUTED_VALUE"""),"Cafeteria")</f>
        <v>Cafeteria</v>
      </c>
      <c r="T1094" s="5" t="str">
        <f ca="1">IFERROR(__xludf.DUMMYFUNCTION("""COMPUTED_VALUE"""),"Inside School Building")</f>
        <v>Inside School Building</v>
      </c>
      <c r="U1094" s="5" t="str">
        <f ca="1">IFERROR(__xludf.DUMMYFUNCTION("""COMPUTED_VALUE"""),"Yes")</f>
        <v>Yes</v>
      </c>
      <c r="V1094" s="5" t="str">
        <f ca="1">IFERROR(__xludf.DUMMYFUNCTION("""COMPUTED_VALUE"""),"Lunch")</f>
        <v>Lunch</v>
      </c>
      <c r="W1094" s="10">
        <f ca="1">IFERROR(__xludf.DUMMYFUNCTION("""COMPUTED_VALUE"""),0.46875)</f>
        <v>0.46875</v>
      </c>
      <c r="X1094" s="5"/>
      <c r="Y1094" s="5" t="str">
        <f ca="1">IFERROR(__xludf.DUMMYFUNCTION("""COMPUTED_VALUE"""),"Fired multiple shots in school cafeteria")</f>
        <v>Fired multiple shots in school cafeteria</v>
      </c>
      <c r="Z1094" s="5" t="str">
        <f ca="1">IFERROR(__xludf.DUMMYFUNCTION("""COMPUTED_VALUE"""),"Shooter reported he felt neglected by both his parents, did not get enough attention because all his other siblings. Parents separated when he was little, father got custody, lived with step-mom and -siblings. Shooter had been taking ADHD medications sinc"&amp;"e he was 6, he started abusing Adderall since he was 13. Reportedly, the medication was making him angry and emotional but he was saving up pills and taking several at a time. Shooter felt somewhat close to his grandmother, whom he visited the weekend pri"&amp;"or to brag about his BB gun his mother bought him, grandmother showed him her handgun. Shooter stayed at his grandmother's and stole her handgun that night. Shooter was hesitating if he should have taken it but was scared to admit it and get in trouble. R"&amp;"eportedly, he only took it to show off and did not mean to shoot people. When shooter brought the gun to school in his backpack, he felt anxious the whole time. At first, he put the clip in one pocket and the gun in the other but the clip was slipping so "&amp;"he put it in the gun. Shooter had told 2 other students about the gun and they got scared he would do something because of the way he had been feeling so one of them warned another student and she panicked. Shooter had taken a large dose of Adderall the n"&amp;"ight before and the anxiety kept building up, he panicked and blacked out, that is when the shooting happened. 2 students shot, 2 injured by either fragments or other. Shooter was on the wrestling team, both students shot were also on the wrestling team. "&amp;"Shooter had no previous behavioral issues. Rejected from the track team because of poor grades, when he was eligible, parents did not let him join. 
 FBI Study: On February 29, 2016, at 11:30 a.m., James Austin Hancock, 14, armed with a handgun, alleged"&amp;"ly began shooting in the cafeteria of Madison Junior/Senior High School in Middletown, Ohio. He shot two students before fleeing the building. No one was killed; four students were wounded (two from shrapnel). The shooter was apprehended near the school b"&amp;"y law enforcement officers.")</f>
        <v>Shooter reported he felt neglected by both his parents, did not get enough attention because all his other siblings. Parents separated when he was little, father got custody, lived with step-mom and -siblings. Shooter had been taking ADHD medications since he was 6, he started abusing Adderall since he was 13. Reportedly, the medication was making him angry and emotional but he was saving up pills and taking several at a time. Shooter felt somewhat close to his grandmother, whom he visited the weekend prior to brag about his BB gun his mother bought him, grandmother showed him her handgun. Shooter stayed at his grandmother's and stole her handgun that night. Shooter was hesitating if he should have taken it but was scared to admit it and get in trouble. Reportedly, he only took it to show off and did not mean to shoot people. When shooter brought the gun to school in his backpack, he felt anxious the whole time. At first, he put the clip in one pocket and the gun in the other but the clip was slipping so he put it in the gun. Shooter had told 2 other students about the gun and they got scared he would do something because of the way he had been feeling so one of them warned another student and she panicked. Shooter had taken a large dose of Adderall the night before and the anxiety kept building up, he panicked and blacked out, that is when the shooting happened. 2 students shot, 2 injured by either fragments or other. Shooter was on the wrestling team, both students shot were also on the wrestling team. Shooter had no previous behavioral issues. Rejected from the track team because of poor grades, when he was eligible, parents did not let him join. 
 FBI Study: On February 29, 2016, at 11:30 a.m., James Austin Hancock, 14, armed with a handgun, allegedly began shooting in the cafeteria of Madison Junior/Senior High School in Middletown, Ohio. He shot two students before fleeing the building. No one was killed; four students were wounded (two from shrapnel). The shooter was apprehended near the school by law enforcement officers.</v>
      </c>
      <c r="AA1094" s="5" t="str">
        <f ca="1">IFERROR(__xludf.DUMMYFUNCTION("""COMPUTED_VALUE"""),"Indiscriminate Shooting")</f>
        <v>Indiscriminate Shooting</v>
      </c>
      <c r="AB1094" s="5" t="str">
        <f ca="1">IFERROR(__xludf.DUMMYFUNCTION("""COMPUTED_VALUE"""),"Random Shooting")</f>
        <v>Random Shooting</v>
      </c>
      <c r="AC1094" s="5"/>
      <c r="AD1094" s="5" t="str">
        <f ca="1">IFERROR(__xludf.DUMMYFUNCTION("""COMPUTED_VALUE"""),"No")</f>
        <v>No</v>
      </c>
      <c r="AE1094" s="5" t="str">
        <f ca="1">IFERROR(__xludf.DUMMYFUNCTION("""COMPUTED_VALUE"""),"No")</f>
        <v>No</v>
      </c>
      <c r="AF1094" s="5" t="str">
        <f ca="1">IFERROR(__xludf.DUMMYFUNCTION("""COMPUTED_VALUE"""),"No")</f>
        <v>No</v>
      </c>
      <c r="AG1094" s="5" t="str">
        <f ca="1">IFERROR(__xludf.DUMMYFUNCTION("""COMPUTED_VALUE"""),"No")</f>
        <v>No</v>
      </c>
      <c r="AH1094" s="5" t="str">
        <f ca="1">IFERROR(__xludf.DUMMYFUNCTION("""COMPUTED_VALUE"""),"No")</f>
        <v>No</v>
      </c>
      <c r="AI1094" s="5" t="str">
        <f ca="1">IFERROR(__xludf.DUMMYFUNCTION("""COMPUTED_VALUE"""),"No")</f>
        <v>No</v>
      </c>
      <c r="AJ1094" s="5" t="str">
        <f ca="1">IFERROR(__xludf.DUMMYFUNCTION("""COMPUTED_VALUE"""),"Yes")</f>
        <v>Yes</v>
      </c>
    </row>
    <row r="1095" spans="1:36" ht="13">
      <c r="A1095" s="5" t="str">
        <f ca="1">IFERROR(__xludf.DUMMYFUNCTION("""COMPUTED_VALUE"""),"20160226TXPAP")</f>
        <v>20160226TXPAP</v>
      </c>
      <c r="B1095" s="5">
        <f ca="1">IFERROR(__xludf.DUMMYFUNCTION("""COMPUTED_VALUE"""),2)</f>
        <v>2</v>
      </c>
      <c r="C1095" s="5">
        <f ca="1">IFERROR(__xludf.DUMMYFUNCTION("""COMPUTED_VALUE"""),26)</f>
        <v>26</v>
      </c>
      <c r="D1095" s="5">
        <f ca="1">IFERROR(__xludf.DUMMYFUNCTION("""COMPUTED_VALUE"""),2016)</f>
        <v>2016</v>
      </c>
      <c r="E1095" s="8">
        <f ca="1">IFERROR(__xludf.DUMMYFUNCTION("""COMPUTED_VALUE"""),42426)</f>
        <v>42426</v>
      </c>
      <c r="F1095" s="5" t="str">
        <f ca="1">IFERROR(__xludf.DUMMYFUNCTION("""COMPUTED_VALUE"""),"Palestine High School")</f>
        <v>Palestine High School</v>
      </c>
      <c r="G1095" s="5">
        <f ca="1">IFERROR(__xludf.DUMMYFUNCTION("""COMPUTED_VALUE"""),0)</f>
        <v>0</v>
      </c>
      <c r="H1095" s="5">
        <f ca="1">IFERROR(__xludf.DUMMYFUNCTION("""COMPUTED_VALUE"""),2)</f>
        <v>2</v>
      </c>
      <c r="I1095" s="5">
        <f ca="1">IFERROR(__xludf.DUMMYFUNCTION("""COMPUTED_VALUE"""),2)</f>
        <v>2</v>
      </c>
      <c r="J1095" s="5">
        <f ca="1">IFERROR(__xludf.DUMMYFUNCTION("""COMPUTED_VALUE"""),0)</f>
        <v>0</v>
      </c>
      <c r="K1095" s="5" t="str">
        <f ca="1">IFERROR(__xludf.DUMMYFUNCTION("""COMPUTED_VALUE"""),"http://www.palestineherald.com/news/shooter-information-discovered-in-palestine-high-school-shooting/article_9c5b35bc-dd1f-11e5-8308-db3a1319177b.html . http://www.kltv.com/story/34391367/man-sentenced-to-20-years-for-shooting-at-palestine-high-school")</f>
        <v>http://www.palestineherald.com/news/shooter-information-discovered-in-palestine-high-school-shooting/article_9c5b35bc-dd1f-11e5-8308-db3a1319177b.html . http://www.kltv.com/story/34391367/man-sentenced-to-20-years-for-shooting-at-palestine-high-school</v>
      </c>
      <c r="L1095" s="5"/>
      <c r="M1095" s="5"/>
      <c r="N1095" s="5">
        <f ca="1">IFERROR(__xludf.DUMMYFUNCTION("""COMPUTED_VALUE"""),3)</f>
        <v>3</v>
      </c>
      <c r="O1095" s="5" t="str">
        <f ca="1">IFERROR(__xludf.DUMMYFUNCTION("""COMPUTED_VALUE"""),"Winter")</f>
        <v>Winter</v>
      </c>
      <c r="P1095" s="5" t="str">
        <f ca="1">IFERROR(__xludf.DUMMYFUNCTION("""COMPUTED_VALUE"""),"Palestine")</f>
        <v>Palestine</v>
      </c>
      <c r="Q1095" s="5" t="str">
        <f ca="1">IFERROR(__xludf.DUMMYFUNCTION("""COMPUTED_VALUE"""),"TX")</f>
        <v>TX</v>
      </c>
      <c r="R1095" s="5" t="str">
        <f ca="1">IFERROR(__xludf.DUMMYFUNCTION("""COMPUTED_VALUE"""),"High")</f>
        <v>High</v>
      </c>
      <c r="S1095" s="5" t="str">
        <f ca="1">IFERROR(__xludf.DUMMYFUNCTION("""COMPUTED_VALUE"""),"Parking Lot")</f>
        <v>Parking Lot</v>
      </c>
      <c r="T1095" s="5" t="str">
        <f ca="1">IFERROR(__xludf.DUMMYFUNCTION("""COMPUTED_VALUE"""),"Outside on School Property")</f>
        <v>Outside on School Property</v>
      </c>
      <c r="U1095" s="5" t="str">
        <f ca="1">IFERROR(__xludf.DUMMYFUNCTION("""COMPUTED_VALUE"""),"No")</f>
        <v>No</v>
      </c>
      <c r="V1095" s="5" t="str">
        <f ca="1">IFERROR(__xludf.DUMMYFUNCTION("""COMPUTED_VALUE"""),"Sport Event")</f>
        <v>Sport Event</v>
      </c>
      <c r="W1095" s="10">
        <f ca="1">IFERROR(__xludf.DUMMYFUNCTION("""COMPUTED_VALUE"""),0.747222222222222)</f>
        <v>0.74722222222222201</v>
      </c>
      <c r="X1095" s="5">
        <f ca="1">IFERROR(__xludf.DUMMYFUNCTION("""COMPUTED_VALUE"""),4)</f>
        <v>4</v>
      </c>
      <c r="Y1095" s="5" t="str">
        <f ca="1">IFERROR(__xludf.DUMMYFUNCTION("""COMPUTED_VALUE"""),"Ex-husband shoots ex-wife and her boyfriend")</f>
        <v>Ex-husband shoots ex-wife and her boyfriend</v>
      </c>
      <c r="Z1095" s="5" t="str">
        <f ca="1">IFERROR(__xludf.DUMMYFUNCTION("""COMPUTED_VALUE"""),"Shooter was father of son playing in basketball game at HS. When shooter arrived to school he saw his ex-wife and her boyfriend in parking lot. Shooter grabs gun and shoots male - he tried to shoot female but gun jammed so he pistol whipped her. Shooter c"&amp;"aught, charged, and sentenced to 20 years.")</f>
        <v>Shooter was father of son playing in basketball game at HS. When shooter arrived to school he saw his ex-wife and her boyfriend in parking lot. Shooter grabs gun and shoots male - he tried to shoot female but gun jammed so he pistol whipped her. Shooter caught, charged, and sentenced to 20 years.</v>
      </c>
      <c r="AA1095" s="5" t="str">
        <f ca="1">IFERROR(__xludf.DUMMYFUNCTION("""COMPUTED_VALUE"""),"Domestic w/ Targeted Victim")</f>
        <v>Domestic w/ Targeted Victim</v>
      </c>
      <c r="AB1095" s="5" t="str">
        <f ca="1">IFERROR(__xludf.DUMMYFUNCTION("""COMPUTED_VALUE"""),"Victims Targeted")</f>
        <v>Victims Targeted</v>
      </c>
      <c r="AC1095" s="5" t="str">
        <f ca="1">IFERROR(__xludf.DUMMYFUNCTION("""COMPUTED_VALUE"""),"No")</f>
        <v>No</v>
      </c>
      <c r="AD1095" s="5" t="str">
        <f ca="1">IFERROR(__xludf.DUMMYFUNCTION("""COMPUTED_VALUE"""),"No")</f>
        <v>No</v>
      </c>
      <c r="AE1095" s="5" t="str">
        <f ca="1">IFERROR(__xludf.DUMMYFUNCTION("""COMPUTED_VALUE"""),"No")</f>
        <v>No</v>
      </c>
      <c r="AF1095" s="5" t="str">
        <f ca="1">IFERROR(__xludf.DUMMYFUNCTION("""COMPUTED_VALUE"""),"No")</f>
        <v>No</v>
      </c>
      <c r="AG1095" s="5" t="str">
        <f ca="1">IFERROR(__xludf.DUMMYFUNCTION("""COMPUTED_VALUE"""),"No")</f>
        <v>No</v>
      </c>
      <c r="AH1095" s="5" t="str">
        <f ca="1">IFERROR(__xludf.DUMMYFUNCTION("""COMPUTED_VALUE"""),"Yes")</f>
        <v>Yes</v>
      </c>
      <c r="AI1095" s="5" t="str">
        <f ca="1">IFERROR(__xludf.DUMMYFUNCTION("""COMPUTED_VALUE"""),"No")</f>
        <v>No</v>
      </c>
      <c r="AJ1095" s="5" t="str">
        <f ca="1">IFERROR(__xludf.DUMMYFUNCTION("""COMPUTED_VALUE"""),"No")</f>
        <v>No</v>
      </c>
    </row>
    <row r="1096" spans="1:36" ht="13">
      <c r="A1096" s="5" t="str">
        <f ca="1">IFERROR(__xludf.DUMMYFUNCTION("""COMPUTED_VALUE"""),"20160217PACHC")</f>
        <v>20160217PACHC</v>
      </c>
      <c r="B1096" s="5">
        <f ca="1">IFERROR(__xludf.DUMMYFUNCTION("""COMPUTED_VALUE"""),2)</f>
        <v>2</v>
      </c>
      <c r="C1096" s="5">
        <f ca="1">IFERROR(__xludf.DUMMYFUNCTION("""COMPUTED_VALUE"""),17)</f>
        <v>17</v>
      </c>
      <c r="D1096" s="5">
        <f ca="1">IFERROR(__xludf.DUMMYFUNCTION("""COMPUTED_VALUE"""),2016)</f>
        <v>2016</v>
      </c>
      <c r="E1096" s="8">
        <f ca="1">IFERROR(__xludf.DUMMYFUNCTION("""COMPUTED_VALUE"""),42417)</f>
        <v>42417</v>
      </c>
      <c r="F1096" s="5" t="str">
        <f ca="1">IFERROR(__xludf.DUMMYFUNCTION("""COMPUTED_VALUE"""),"Chester High School (bus)")</f>
        <v>Chester High School (bus)</v>
      </c>
      <c r="G1096" s="5">
        <f ca="1">IFERROR(__xludf.DUMMYFUNCTION("""COMPUTED_VALUE"""),0)</f>
        <v>0</v>
      </c>
      <c r="H1096" s="5">
        <f ca="1">IFERROR(__xludf.DUMMYFUNCTION("""COMPUTED_VALUE"""),1)</f>
        <v>1</v>
      </c>
      <c r="I1096" s="5">
        <f ca="1">IFERROR(__xludf.DUMMYFUNCTION("""COMPUTED_VALUE"""),1)</f>
        <v>1</v>
      </c>
      <c r="J1096" s="5">
        <f ca="1">IFERROR(__xludf.DUMMYFUNCTION("""COMPUTED_VALUE"""),0)</f>
        <v>0</v>
      </c>
      <c r="K1096" s="9" t="str">
        <f ca="1">IFERROR(__xludf.DUMMYFUNCTION("""COMPUTED_VALUE"""),"http://www.delcotimes.com/general-news/20160222/cops-chester-probes-source-of-gun-teen-used-in-shooting")</f>
        <v>http://www.delcotimes.com/general-news/20160222/cops-chester-probes-source-of-gun-teen-used-in-shooting</v>
      </c>
      <c r="L1096" s="5">
        <f ca="1">IFERROR(__xludf.DUMMYFUNCTION("""COMPUTED_VALUE"""),1)</f>
        <v>1</v>
      </c>
      <c r="M1096" s="5" t="str">
        <f ca="1">IFERROR(__xludf.DUMMYFUNCTION("""COMPUTED_VALUE"""),"Local")</f>
        <v>Local</v>
      </c>
      <c r="N1096" s="5">
        <f ca="1">IFERROR(__xludf.DUMMYFUNCTION("""COMPUTED_VALUE"""),2)</f>
        <v>2</v>
      </c>
      <c r="O1096" s="5" t="str">
        <f ca="1">IFERROR(__xludf.DUMMYFUNCTION("""COMPUTED_VALUE"""),"Winter")</f>
        <v>Winter</v>
      </c>
      <c r="P1096" s="5" t="str">
        <f ca="1">IFERROR(__xludf.DUMMYFUNCTION("""COMPUTED_VALUE"""),"Chester")</f>
        <v>Chester</v>
      </c>
      <c r="Q1096" s="5" t="str">
        <f ca="1">IFERROR(__xludf.DUMMYFUNCTION("""COMPUTED_VALUE"""),"PA")</f>
        <v>PA</v>
      </c>
      <c r="R1096" s="5" t="str">
        <f ca="1">IFERROR(__xludf.DUMMYFUNCTION("""COMPUTED_VALUE"""),"High")</f>
        <v>High</v>
      </c>
      <c r="S1096" s="5" t="str">
        <f ca="1">IFERROR(__xludf.DUMMYFUNCTION("""COMPUTED_VALUE"""),"School Bus")</f>
        <v>School Bus</v>
      </c>
      <c r="T1096" s="5" t="str">
        <f ca="1">IFERROR(__xludf.DUMMYFUNCTION("""COMPUTED_VALUE"""),"School Bus")</f>
        <v>School Bus</v>
      </c>
      <c r="U1096" s="5" t="str">
        <f ca="1">IFERROR(__xludf.DUMMYFUNCTION("""COMPUTED_VALUE"""),"Yes")</f>
        <v>Yes</v>
      </c>
      <c r="V1096" s="5" t="str">
        <f ca="1">IFERROR(__xludf.DUMMYFUNCTION("""COMPUTED_VALUE"""),"Lunch")</f>
        <v>Lunch</v>
      </c>
      <c r="W1096" s="10">
        <f ca="1">IFERROR(__xludf.DUMMYFUNCTION("""COMPUTED_VALUE"""),0.458333333333333)</f>
        <v>0.45833333333333298</v>
      </c>
      <c r="X1096" s="5">
        <f ca="1">IFERROR(__xludf.DUMMYFUNCTION("""COMPUTED_VALUE"""),1)</f>
        <v>1</v>
      </c>
      <c r="Y1096" s="5" t="str">
        <f ca="1">IFERROR(__xludf.DUMMYFUNCTION("""COMPUTED_VALUE"""),"Gang related; Shot another student while exiting school bus")</f>
        <v>Gang related; Shot another student while exiting school bus</v>
      </c>
      <c r="Z1096" s="5" t="str">
        <f ca="1">IFERROR(__xludf.DUMMYFUNCTION("""COMPUTED_VALUE"""),"Shooter fired 4 shots striking another student once while exiting school bus. Shooting is believed to be gang related.")</f>
        <v>Shooter fired 4 shots striking another student once while exiting school bus. Shooting is believed to be gang related.</v>
      </c>
      <c r="AA1096" s="5" t="str">
        <f ca="1">IFERROR(__xludf.DUMMYFUNCTION("""COMPUTED_VALUE"""),"Escalation of Dispute")</f>
        <v>Escalation of Dispute</v>
      </c>
      <c r="AB1096" s="5" t="str">
        <f ca="1">IFERROR(__xludf.DUMMYFUNCTION("""COMPUTED_VALUE"""),"Victims Targeted")</f>
        <v>Victims Targeted</v>
      </c>
      <c r="AC1096" s="5"/>
      <c r="AD1096" s="5" t="str">
        <f ca="1">IFERROR(__xludf.DUMMYFUNCTION("""COMPUTED_VALUE"""),"No")</f>
        <v>No</v>
      </c>
      <c r="AE1096" s="5" t="str">
        <f ca="1">IFERROR(__xludf.DUMMYFUNCTION("""COMPUTED_VALUE"""),"No")</f>
        <v>No</v>
      </c>
      <c r="AF1096" s="5" t="str">
        <f ca="1">IFERROR(__xludf.DUMMYFUNCTION("""COMPUTED_VALUE"""),"No")</f>
        <v>No</v>
      </c>
      <c r="AG1096" s="5"/>
      <c r="AH1096" s="5" t="str">
        <f ca="1">IFERROR(__xludf.DUMMYFUNCTION("""COMPUTED_VALUE"""),"No")</f>
        <v>No</v>
      </c>
      <c r="AI1096" s="5" t="str">
        <f ca="1">IFERROR(__xludf.DUMMYFUNCTION("""COMPUTED_VALUE"""),"Yes")</f>
        <v>Yes</v>
      </c>
      <c r="AJ1096" s="5" t="str">
        <f ca="1">IFERROR(__xludf.DUMMYFUNCTION("""COMPUTED_VALUE"""),"No")</f>
        <v>No</v>
      </c>
    </row>
    <row r="1097" spans="1:36" ht="13">
      <c r="A1097" s="5" t="str">
        <f ca="1">IFERROR(__xludf.DUMMYFUNCTION("""COMPUTED_VALUE"""),"20160217FLROH")</f>
        <v>20160217FLROH</v>
      </c>
      <c r="B1097" s="5">
        <f ca="1">IFERROR(__xludf.DUMMYFUNCTION("""COMPUTED_VALUE"""),2)</f>
        <v>2</v>
      </c>
      <c r="C1097" s="5">
        <f ca="1">IFERROR(__xludf.DUMMYFUNCTION("""COMPUTED_VALUE"""),17)</f>
        <v>17</v>
      </c>
      <c r="D1097" s="5">
        <f ca="1">IFERROR(__xludf.DUMMYFUNCTION("""COMPUTED_VALUE"""),2016)</f>
        <v>2016</v>
      </c>
      <c r="E1097" s="8">
        <f ca="1">IFERROR(__xludf.DUMMYFUNCTION("""COMPUTED_VALUE"""),42417)</f>
        <v>42417</v>
      </c>
      <c r="F1097" s="5" t="str">
        <f ca="1">IFERROR(__xludf.DUMMYFUNCTION("""COMPUTED_VALUE"""),"Rock Crusher Elementary School")</f>
        <v>Rock Crusher Elementary School</v>
      </c>
      <c r="G1097" s="5">
        <f ca="1">IFERROR(__xludf.DUMMYFUNCTION("""COMPUTED_VALUE"""),0)</f>
        <v>0</v>
      </c>
      <c r="H1097" s="5">
        <f ca="1">IFERROR(__xludf.DUMMYFUNCTION("""COMPUTED_VALUE"""),0)</f>
        <v>0</v>
      </c>
      <c r="I1097" s="5">
        <f ca="1">IFERROR(__xludf.DUMMYFUNCTION("""COMPUTED_VALUE"""),0)</f>
        <v>0</v>
      </c>
      <c r="J1097" s="5">
        <f ca="1">IFERROR(__xludf.DUMMYFUNCTION("""COMPUTED_VALUE"""),0)</f>
        <v>0</v>
      </c>
      <c r="K1097" s="9" t="str">
        <f ca="1">IFERROR(__xludf.DUMMYFUNCTION("""COMPUTED_VALUE"""),"https://www.wfla.com/news/local-news/loaded-gun-discharges-at-citrus-co-elementary-school/1051971907")</f>
        <v>https://www.wfla.com/news/local-news/loaded-gun-discharges-at-citrus-co-elementary-school/1051971907</v>
      </c>
      <c r="L1097" s="5"/>
      <c r="M1097" s="5"/>
      <c r="N1097" s="5">
        <f ca="1">IFERROR(__xludf.DUMMYFUNCTION("""COMPUTED_VALUE"""),2)</f>
        <v>2</v>
      </c>
      <c r="O1097" s="5" t="str">
        <f ca="1">IFERROR(__xludf.DUMMYFUNCTION("""COMPUTED_VALUE"""),"Winter")</f>
        <v>Winter</v>
      </c>
      <c r="P1097" s="5" t="str">
        <f ca="1">IFERROR(__xludf.DUMMYFUNCTION("""COMPUTED_VALUE"""),"Homosassa")</f>
        <v>Homosassa</v>
      </c>
      <c r="Q1097" s="5" t="str">
        <f ca="1">IFERROR(__xludf.DUMMYFUNCTION("""COMPUTED_VALUE"""),"FL")</f>
        <v>FL</v>
      </c>
      <c r="R1097" s="5" t="str">
        <f ca="1">IFERROR(__xludf.DUMMYFUNCTION("""COMPUTED_VALUE"""),"Elementary")</f>
        <v>Elementary</v>
      </c>
      <c r="S1097" s="5" t="str">
        <f ca="1">IFERROR(__xludf.DUMMYFUNCTION("""COMPUTED_VALUE"""),"Beside Building")</f>
        <v>Beside Building</v>
      </c>
      <c r="T1097" s="5" t="str">
        <f ca="1">IFERROR(__xludf.DUMMYFUNCTION("""COMPUTED_VALUE"""),"Outside on School Property")</f>
        <v>Outside on School Property</v>
      </c>
      <c r="U1097" s="5" t="str">
        <f ca="1">IFERROR(__xludf.DUMMYFUNCTION("""COMPUTED_VALUE"""),"Yes")</f>
        <v>Yes</v>
      </c>
      <c r="V1097" s="5" t="str">
        <f ca="1">IFERROR(__xludf.DUMMYFUNCTION("""COMPUTED_VALUE"""),"School Start")</f>
        <v>School Start</v>
      </c>
      <c r="W1097" s="10">
        <f ca="1">IFERROR(__xludf.DUMMYFUNCTION("""COMPUTED_VALUE"""),0.333333333333333)</f>
        <v>0.33333333333333298</v>
      </c>
      <c r="X1097" s="5">
        <f ca="1">IFERROR(__xludf.DUMMYFUNCTION("""COMPUTED_VALUE"""),1)</f>
        <v>1</v>
      </c>
      <c r="Y1097" s="5" t="str">
        <f ca="1">IFERROR(__xludf.DUMMYFUNCTION("""COMPUTED_VALUE"""),"Parent dropped gun, parent told janitor who picked it up and accidentally fired")</f>
        <v>Parent dropped gun, parent told janitor who picked it up and accidentally fired</v>
      </c>
      <c r="Z1097" s="5" t="str">
        <f ca="1">IFERROR(__xludf.DUMMYFUNCTION("""COMPUTED_VALUE"""),"Parent dropping off a child accidentally dropped a gun outside of the school. A different parent saw the gun and notified school officials. When the janitor picked it up, he accidentally fired it thinking it was a fake gun.")</f>
        <v>Parent dropping off a child accidentally dropped a gun outside of the school. A different parent saw the gun and notified school officials. When the janitor picked it up, he accidentally fired it thinking it was a fake gun.</v>
      </c>
      <c r="AA1097" s="5" t="str">
        <f ca="1">IFERROR(__xludf.DUMMYFUNCTION("""COMPUTED_VALUE"""),"Accidental")</f>
        <v>Accidental</v>
      </c>
      <c r="AB1097" s="5" t="str">
        <f ca="1">IFERROR(__xludf.DUMMYFUNCTION("""COMPUTED_VALUE"""),"NA")</f>
        <v>NA</v>
      </c>
      <c r="AC1097" s="5" t="str">
        <f ca="1">IFERROR(__xludf.DUMMYFUNCTION("""COMPUTED_VALUE"""),"No")</f>
        <v>No</v>
      </c>
      <c r="AD1097" s="5" t="str">
        <f ca="1">IFERROR(__xludf.DUMMYFUNCTION("""COMPUTED_VALUE"""),"No")</f>
        <v>No</v>
      </c>
      <c r="AE1097" s="5" t="str">
        <f ca="1">IFERROR(__xludf.DUMMYFUNCTION("""COMPUTED_VALUE"""),"N/A")</f>
        <v>N/A</v>
      </c>
      <c r="AF1097" s="5" t="str">
        <f ca="1">IFERROR(__xludf.DUMMYFUNCTION("""COMPUTED_VALUE"""),"No")</f>
        <v>No</v>
      </c>
      <c r="AG1097" s="5" t="str">
        <f ca="1">IFERROR(__xludf.DUMMYFUNCTION("""COMPUTED_VALUE"""),"N/A")</f>
        <v>N/A</v>
      </c>
      <c r="AH1097" s="5" t="str">
        <f ca="1">IFERROR(__xludf.DUMMYFUNCTION("""COMPUTED_VALUE"""),"N/A")</f>
        <v>N/A</v>
      </c>
      <c r="AI1097" s="5" t="str">
        <f ca="1">IFERROR(__xludf.DUMMYFUNCTION("""COMPUTED_VALUE"""),"N/A")</f>
        <v>N/A</v>
      </c>
      <c r="AJ1097" s="5" t="str">
        <f ca="1">IFERROR(__xludf.DUMMYFUNCTION("""COMPUTED_VALUE"""),"No")</f>
        <v>No</v>
      </c>
    </row>
    <row r="1098" spans="1:36" ht="13">
      <c r="A1098" s="5" t="str">
        <f ca="1">IFERROR(__xludf.DUMMYFUNCTION("""COMPUTED_VALUE"""),"20160212AZING")</f>
        <v>20160212AZING</v>
      </c>
      <c r="B1098" s="5">
        <f ca="1">IFERROR(__xludf.DUMMYFUNCTION("""COMPUTED_VALUE"""),2)</f>
        <v>2</v>
      </c>
      <c r="C1098" s="5">
        <f ca="1">IFERROR(__xludf.DUMMYFUNCTION("""COMPUTED_VALUE"""),12)</f>
        <v>12</v>
      </c>
      <c r="D1098" s="5">
        <f ca="1">IFERROR(__xludf.DUMMYFUNCTION("""COMPUTED_VALUE"""),2016)</f>
        <v>2016</v>
      </c>
      <c r="E1098" s="8">
        <f ca="1">IFERROR(__xludf.DUMMYFUNCTION("""COMPUTED_VALUE"""),42412)</f>
        <v>42412</v>
      </c>
      <c r="F1098" s="5" t="str">
        <f ca="1">IFERROR(__xludf.DUMMYFUNCTION("""COMPUTED_VALUE"""),"Independence High School")</f>
        <v>Independence High School</v>
      </c>
      <c r="G1098" s="5">
        <f ca="1">IFERROR(__xludf.DUMMYFUNCTION("""COMPUTED_VALUE"""),1)</f>
        <v>1</v>
      </c>
      <c r="H1098" s="5">
        <f ca="1">IFERROR(__xludf.DUMMYFUNCTION("""COMPUTED_VALUE"""),0)</f>
        <v>0</v>
      </c>
      <c r="I1098" s="5">
        <f ca="1">IFERROR(__xludf.DUMMYFUNCTION("""COMPUTED_VALUE"""),1)</f>
        <v>1</v>
      </c>
      <c r="J1098" s="5">
        <f ca="1">IFERROR(__xludf.DUMMYFUNCTION("""COMPUTED_VALUE"""),1)</f>
        <v>1</v>
      </c>
      <c r="K1098" s="5" t="str">
        <f ca="1">IFERROR(__xludf.DUMMYFUNCTION("""COMPUTED_VALUE"""),"https://www.azcentral.com/story/news/local/glendale/breaking/2016/02/12/glendale-independence-high-school-shooting/80282174/
 Details verified by Glendale AZ PD on 11/1/2018")</f>
        <v>https://www.azcentral.com/story/news/local/glendale/breaking/2016/02/12/glendale-independence-high-school-shooting/80282174/
 Details verified by Glendale AZ PD on 11/1/2018</v>
      </c>
      <c r="L1098" s="5">
        <f ca="1">IFERROR(__xludf.DUMMYFUNCTION("""COMPUTED_VALUE"""),11)</f>
        <v>11</v>
      </c>
      <c r="M1098" s="5" t="str">
        <f ca="1">IFERROR(__xludf.DUMMYFUNCTION("""COMPUTED_VALUE"""),"National")</f>
        <v>National</v>
      </c>
      <c r="N1098" s="5">
        <f ca="1">IFERROR(__xludf.DUMMYFUNCTION("""COMPUTED_VALUE"""),5)</f>
        <v>5</v>
      </c>
      <c r="O1098" s="5" t="str">
        <f ca="1">IFERROR(__xludf.DUMMYFUNCTION("""COMPUTED_VALUE"""),"Winter")</f>
        <v>Winter</v>
      </c>
      <c r="P1098" s="5" t="str">
        <f ca="1">IFERROR(__xludf.DUMMYFUNCTION("""COMPUTED_VALUE"""),"Glendale")</f>
        <v>Glendale</v>
      </c>
      <c r="Q1098" s="5" t="str">
        <f ca="1">IFERROR(__xludf.DUMMYFUNCTION("""COMPUTED_VALUE"""),"AZ")</f>
        <v>AZ</v>
      </c>
      <c r="R1098" s="5" t="str">
        <f ca="1">IFERROR(__xludf.DUMMYFUNCTION("""COMPUTED_VALUE"""),"High")</f>
        <v>High</v>
      </c>
      <c r="S1098" s="5" t="str">
        <f ca="1">IFERROR(__xludf.DUMMYFUNCTION("""COMPUTED_VALUE"""),"Courtyard")</f>
        <v>Courtyard</v>
      </c>
      <c r="T1098" s="5" t="str">
        <f ca="1">IFERROR(__xludf.DUMMYFUNCTION("""COMPUTED_VALUE"""),"Outside on School Property")</f>
        <v>Outside on School Property</v>
      </c>
      <c r="U1098" s="5" t="str">
        <f ca="1">IFERROR(__xludf.DUMMYFUNCTION("""COMPUTED_VALUE"""),"Yes")</f>
        <v>Yes</v>
      </c>
      <c r="V1098" s="5" t="str">
        <f ca="1">IFERROR(__xludf.DUMMYFUNCTION("""COMPUTED_VALUE"""),"Before School")</f>
        <v>Before School</v>
      </c>
      <c r="W1098" s="10">
        <f ca="1">IFERROR(__xludf.DUMMYFUNCTION("""COMPUTED_VALUE"""),0.328472222222222)</f>
        <v>0.328472222222222</v>
      </c>
      <c r="X1098" s="5">
        <f ca="1">IFERROR(__xludf.DUMMYFUNCTION("""COMPUTED_VALUE"""),1)</f>
        <v>1</v>
      </c>
      <c r="Y1098" s="5" t="str">
        <f ca="1">IFERROR(__xludf.DUMMYFUNCTION("""COMPUTED_VALUE"""),"Murder-suicide between 2 female students")</f>
        <v>Murder-suicide between 2 female students</v>
      </c>
      <c r="Z1098" s="5" t="str">
        <f ca="1">IFERROR(__xludf.DUMMYFUNCTION("""COMPUTED_VALUE"""),"Two female students had been in relationship. Shooter killed other female and then killed herself. A detailed suicide note was left - apologetic and with details about the gun and family to help first responders. The gun was given to the shooter by anothe"&amp;"r 15YOM student. Shooter tried to relief him from blame, stating she lied she needed it for self-defense. Girls had a relationship crisis, victim agreed to stay together but shooter did not feel loved and had to end it. Bodies found next to school buildin"&amp;"g.")</f>
        <v>Two female students had been in relationship. Shooter killed other female and then killed herself. A detailed suicide note was left - apologetic and with details about the gun and family to help first responders. The gun was given to the shooter by another 15YOM student. Shooter tried to relief him from blame, stating she lied she needed it for self-defense. Girls had a relationship crisis, victim agreed to stay together but shooter did not feel loved and had to end it. Bodies found next to school building.</v>
      </c>
      <c r="AA1098" s="5" t="str">
        <f ca="1">IFERROR(__xludf.DUMMYFUNCTION("""COMPUTED_VALUE"""),"Domestic w/ Targeted Victim")</f>
        <v>Domestic w/ Targeted Victim</v>
      </c>
      <c r="AB1098" s="5" t="str">
        <f ca="1">IFERROR(__xludf.DUMMYFUNCTION("""COMPUTED_VALUE"""),"Victims Targeted")</f>
        <v>Victims Targeted</v>
      </c>
      <c r="AC1098" s="5" t="str">
        <f ca="1">IFERROR(__xludf.DUMMYFUNCTION("""COMPUTED_VALUE"""),"No")</f>
        <v>No</v>
      </c>
      <c r="AD1098" s="5" t="str">
        <f ca="1">IFERROR(__xludf.DUMMYFUNCTION("""COMPUTED_VALUE"""),"No")</f>
        <v>No</v>
      </c>
      <c r="AE1098" s="5" t="str">
        <f ca="1">IFERROR(__xludf.DUMMYFUNCTION("""COMPUTED_VALUE"""),"No")</f>
        <v>No</v>
      </c>
      <c r="AF1098" s="5" t="str">
        <f ca="1">IFERROR(__xludf.DUMMYFUNCTION("""COMPUTED_VALUE"""),"No")</f>
        <v>No</v>
      </c>
      <c r="AG1098" s="5" t="str">
        <f ca="1">IFERROR(__xludf.DUMMYFUNCTION("""COMPUTED_VALUE"""),"No")</f>
        <v>No</v>
      </c>
      <c r="AH1098" s="5" t="str">
        <f ca="1">IFERROR(__xludf.DUMMYFUNCTION("""COMPUTED_VALUE"""),"Yes")</f>
        <v>Yes</v>
      </c>
      <c r="AI1098" s="5" t="str">
        <f ca="1">IFERROR(__xludf.DUMMYFUNCTION("""COMPUTED_VALUE"""),"No")</f>
        <v>No</v>
      </c>
      <c r="AJ1098" s="5" t="str">
        <f ca="1">IFERROR(__xludf.DUMMYFUNCTION("""COMPUTED_VALUE"""),"No")</f>
        <v>No</v>
      </c>
    </row>
    <row r="1099" spans="1:36" ht="13">
      <c r="A1099" s="5" t="str">
        <f ca="1">IFERROR(__xludf.DUMMYFUNCTION("""COMPUTED_VALUE"""),"20160209MIMUM")</f>
        <v>20160209MIMUM</v>
      </c>
      <c r="B1099" s="5">
        <f ca="1">IFERROR(__xludf.DUMMYFUNCTION("""COMPUTED_VALUE"""),2)</f>
        <v>2</v>
      </c>
      <c r="C1099" s="5">
        <f ca="1">IFERROR(__xludf.DUMMYFUNCTION("""COMPUTED_VALUE"""),9)</f>
        <v>9</v>
      </c>
      <c r="D1099" s="5">
        <f ca="1">IFERROR(__xludf.DUMMYFUNCTION("""COMPUTED_VALUE"""),2016)</f>
        <v>2016</v>
      </c>
      <c r="E1099" s="8">
        <f ca="1">IFERROR(__xludf.DUMMYFUNCTION("""COMPUTED_VALUE"""),42409)</f>
        <v>42409</v>
      </c>
      <c r="F1099" s="5" t="str">
        <f ca="1">IFERROR(__xludf.DUMMYFUNCTION("""COMPUTED_VALUE"""),"Muskegon Heights High School")</f>
        <v>Muskegon Heights High School</v>
      </c>
      <c r="G1099" s="5">
        <f ca="1">IFERROR(__xludf.DUMMYFUNCTION("""COMPUTED_VALUE"""),0)</f>
        <v>0</v>
      </c>
      <c r="H1099" s="5">
        <f ca="1">IFERROR(__xludf.DUMMYFUNCTION("""COMPUTED_VALUE"""),3)</f>
        <v>3</v>
      </c>
      <c r="I1099" s="5">
        <f ca="1">IFERROR(__xludf.DUMMYFUNCTION("""COMPUTED_VALUE"""),3)</f>
        <v>3</v>
      </c>
      <c r="J1099" s="5">
        <f ca="1">IFERROR(__xludf.DUMMYFUNCTION("""COMPUTED_VALUE"""),0)</f>
        <v>0</v>
      </c>
      <c r="K1099" s="5" t="str">
        <f ca="1">IFERROR(__xludf.DUMMYFUNCTION("""COMPUTED_VALUE"""),"http://www.mlive.com/news/muskegon/index.ssf/2017/04/man_who_shot_3_outside_school.html    https://www.woodtv.com/news/muskegon-county/suspect-in-musk-hts-hs-shooting-to-be-charged/1085276652")</f>
        <v>http://www.mlive.com/news/muskegon/index.ssf/2017/04/man_who_shot_3_outside_school.html    https://www.woodtv.com/news/muskegon-county/suspect-in-musk-hts-hs-shooting-to-be-charged/1085276652</v>
      </c>
      <c r="L1099" s="5">
        <f ca="1">IFERROR(__xludf.DUMMYFUNCTION("""COMPUTED_VALUE"""),1)</f>
        <v>1</v>
      </c>
      <c r="M1099" s="5" t="str">
        <f ca="1">IFERROR(__xludf.DUMMYFUNCTION("""COMPUTED_VALUE"""),"Local")</f>
        <v>Local</v>
      </c>
      <c r="N1099" s="5">
        <f ca="1">IFERROR(__xludf.DUMMYFUNCTION("""COMPUTED_VALUE"""),3)</f>
        <v>3</v>
      </c>
      <c r="O1099" s="5" t="str">
        <f ca="1">IFERROR(__xludf.DUMMYFUNCTION("""COMPUTED_VALUE"""),"Winter")</f>
        <v>Winter</v>
      </c>
      <c r="P1099" s="5" t="str">
        <f ca="1">IFERROR(__xludf.DUMMYFUNCTION("""COMPUTED_VALUE"""),"Muskegon Heights")</f>
        <v>Muskegon Heights</v>
      </c>
      <c r="Q1099" s="5" t="str">
        <f ca="1">IFERROR(__xludf.DUMMYFUNCTION("""COMPUTED_VALUE"""),"MI")</f>
        <v>MI</v>
      </c>
      <c r="R1099" s="5" t="str">
        <f ca="1">IFERROR(__xludf.DUMMYFUNCTION("""COMPUTED_VALUE"""),"High")</f>
        <v>High</v>
      </c>
      <c r="S1099" s="5" t="str">
        <f ca="1">IFERROR(__xludf.DUMMYFUNCTION("""COMPUTED_VALUE"""),"Parking Lot")</f>
        <v>Parking Lot</v>
      </c>
      <c r="T1099" s="5" t="str">
        <f ca="1">IFERROR(__xludf.DUMMYFUNCTION("""COMPUTED_VALUE"""),"Outside on School Property")</f>
        <v>Outside on School Property</v>
      </c>
      <c r="U1099" s="5" t="str">
        <f ca="1">IFERROR(__xludf.DUMMYFUNCTION("""COMPUTED_VALUE"""),"No")</f>
        <v>No</v>
      </c>
      <c r="V1099" s="5" t="str">
        <f ca="1">IFERROR(__xludf.DUMMYFUNCTION("""COMPUTED_VALUE"""),"Sport Event")</f>
        <v>Sport Event</v>
      </c>
      <c r="W1099" s="5"/>
      <c r="X1099" s="5">
        <f ca="1">IFERROR(__xludf.DUMMYFUNCTION("""COMPUTED_VALUE"""),1)</f>
        <v>1</v>
      </c>
      <c r="Y1099" s="5" t="str">
        <f ca="1">IFERROR(__xludf.DUMMYFUNCTION("""COMPUTED_VALUE"""),"Gang related shooting after basketball game")</f>
        <v>Gang related shooting after basketball game</v>
      </c>
      <c r="Z1099" s="5" t="str">
        <f ca="1">IFERROR(__xludf.DUMMYFUNCTION("""COMPUTED_VALUE"""),"Fired at group of students at the school's parking lot after a basketball game. Shooter and the group he was with were not let in the game. Shooter was shot 3 times by a nearby Deputy when he refused to drop the weapon.")</f>
        <v>Fired at group of students at the school's parking lot after a basketball game. Shooter and the group he was with were not let in the game. Shooter was shot 3 times by a nearby Deputy when he refused to drop the weapon.</v>
      </c>
      <c r="AA1099" s="5" t="str">
        <f ca="1">IFERROR(__xludf.DUMMYFUNCTION("""COMPUTED_VALUE"""),"Escalation of Dispute")</f>
        <v>Escalation of Dispute</v>
      </c>
      <c r="AB1099" s="5" t="str">
        <f ca="1">IFERROR(__xludf.DUMMYFUNCTION("""COMPUTED_VALUE"""),"Both")</f>
        <v>Both</v>
      </c>
      <c r="AC1099" s="5" t="str">
        <f ca="1">IFERROR(__xludf.DUMMYFUNCTION("""COMPUTED_VALUE"""),"No")</f>
        <v>No</v>
      </c>
      <c r="AD1099" s="5" t="str">
        <f ca="1">IFERROR(__xludf.DUMMYFUNCTION("""COMPUTED_VALUE"""),"No")</f>
        <v>No</v>
      </c>
      <c r="AE1099" s="5" t="str">
        <f ca="1">IFERROR(__xludf.DUMMYFUNCTION("""COMPUTED_VALUE"""),"No")</f>
        <v>No</v>
      </c>
      <c r="AF1099" s="5" t="str">
        <f ca="1">IFERROR(__xludf.DUMMYFUNCTION("""COMPUTED_VALUE"""),"No")</f>
        <v>No</v>
      </c>
      <c r="AG1099" s="5" t="str">
        <f ca="1">IFERROR(__xludf.DUMMYFUNCTION("""COMPUTED_VALUE"""),"No")</f>
        <v>No</v>
      </c>
      <c r="AH1099" s="5" t="str">
        <f ca="1">IFERROR(__xludf.DUMMYFUNCTION("""COMPUTED_VALUE"""),"No")</f>
        <v>No</v>
      </c>
      <c r="AI1099" s="5" t="str">
        <f ca="1">IFERROR(__xludf.DUMMYFUNCTION("""COMPUTED_VALUE"""),"Yes")</f>
        <v>Yes</v>
      </c>
      <c r="AJ1099" s="5" t="str">
        <f ca="1">IFERROR(__xludf.DUMMYFUNCTION("""COMPUTED_VALUE"""),"No")</f>
        <v>No</v>
      </c>
    </row>
    <row r="1100" spans="1:36" ht="13">
      <c r="A1100" s="5" t="str">
        <f ca="1">IFERROR(__xludf.DUMMYFUNCTION("""COMPUTED_VALUE"""),"20160129PABEP")</f>
        <v>20160129PABEP</v>
      </c>
      <c r="B1100" s="5">
        <f ca="1">IFERROR(__xludf.DUMMYFUNCTION("""COMPUTED_VALUE"""),1)</f>
        <v>1</v>
      </c>
      <c r="C1100" s="5">
        <f ca="1">IFERROR(__xludf.DUMMYFUNCTION("""COMPUTED_VALUE"""),29)</f>
        <v>29</v>
      </c>
      <c r="D1100" s="5">
        <f ca="1">IFERROR(__xludf.DUMMYFUNCTION("""COMPUTED_VALUE"""),2016)</f>
        <v>2016</v>
      </c>
      <c r="E1100" s="8">
        <f ca="1">IFERROR(__xludf.DUMMYFUNCTION("""COMPUTED_VALUE"""),42398)</f>
        <v>42398</v>
      </c>
      <c r="F1100" s="5" t="str">
        <f ca="1">IFERROR(__xludf.DUMMYFUNCTION("""COMPUTED_VALUE"""),"Benjamin Franklin High School")</f>
        <v>Benjamin Franklin High School</v>
      </c>
      <c r="G1100" s="5">
        <f ca="1">IFERROR(__xludf.DUMMYFUNCTION("""COMPUTED_VALUE"""),0)</f>
        <v>0</v>
      </c>
      <c r="H1100" s="5">
        <f ca="1">IFERROR(__xludf.DUMMYFUNCTION("""COMPUTED_VALUE"""),0)</f>
        <v>0</v>
      </c>
      <c r="I1100" s="5">
        <f ca="1">IFERROR(__xludf.DUMMYFUNCTION("""COMPUTED_VALUE"""),0)</f>
        <v>0</v>
      </c>
      <c r="J1100" s="5">
        <f ca="1">IFERROR(__xludf.DUMMYFUNCTION("""COMPUTED_VALUE"""),0)</f>
        <v>0</v>
      </c>
      <c r="K1100" s="9" t="str">
        <f ca="1">IFERROR(__xludf.DUMMYFUNCTION("""COMPUTED_VALUE"""),"https://www.nbcphiladelphia.com/news/local/BREAKING-Benjamin-Franklin-High-School-on-Lockdown-After-Shell-Casing-Found-in-Stairwell--366996461.html")</f>
        <v>https://www.nbcphiladelphia.com/news/local/BREAKING-Benjamin-Franklin-High-School-on-Lockdown-After-Shell-Casing-Found-in-Stairwell--366996461.html</v>
      </c>
      <c r="L1100" s="5">
        <f ca="1">IFERROR(__xludf.DUMMYFUNCTION("""COMPUTED_VALUE"""),5)</f>
        <v>5</v>
      </c>
      <c r="M1100" s="5" t="str">
        <f ca="1">IFERROR(__xludf.DUMMYFUNCTION("""COMPUTED_VALUE"""),"Local")</f>
        <v>Local</v>
      </c>
      <c r="N1100" s="5">
        <f ca="1">IFERROR(__xludf.DUMMYFUNCTION("""COMPUTED_VALUE"""),2)</f>
        <v>2</v>
      </c>
      <c r="O1100" s="5" t="str">
        <f ca="1">IFERROR(__xludf.DUMMYFUNCTION("""COMPUTED_VALUE"""),"Winter")</f>
        <v>Winter</v>
      </c>
      <c r="P1100" s="5" t="str">
        <f ca="1">IFERROR(__xludf.DUMMYFUNCTION("""COMPUTED_VALUE"""),"Philadelphia")</f>
        <v>Philadelphia</v>
      </c>
      <c r="Q1100" s="5" t="str">
        <f ca="1">IFERROR(__xludf.DUMMYFUNCTION("""COMPUTED_VALUE"""),"PA")</f>
        <v>PA</v>
      </c>
      <c r="R1100" s="5" t="str">
        <f ca="1">IFERROR(__xludf.DUMMYFUNCTION("""COMPUTED_VALUE"""),"High")</f>
        <v>High</v>
      </c>
      <c r="S1100" s="5" t="str">
        <f ca="1">IFERROR(__xludf.DUMMYFUNCTION("""COMPUTED_VALUE"""),"Hallway")</f>
        <v>Hallway</v>
      </c>
      <c r="T1100" s="5" t="str">
        <f ca="1">IFERROR(__xludf.DUMMYFUNCTION("""COMPUTED_VALUE"""),"Inside School Building")</f>
        <v>Inside School Building</v>
      </c>
      <c r="U1100" s="5" t="str">
        <f ca="1">IFERROR(__xludf.DUMMYFUNCTION("""COMPUTED_VALUE"""),"Yes")</f>
        <v>Yes</v>
      </c>
      <c r="V1100" s="5" t="str">
        <f ca="1">IFERROR(__xludf.DUMMYFUNCTION("""COMPUTED_VALUE"""),"Lunch")</f>
        <v>Lunch</v>
      </c>
      <c r="W1100" s="10">
        <f ca="1">IFERROR(__xludf.DUMMYFUNCTION("""COMPUTED_VALUE"""),0.5)</f>
        <v>0.5</v>
      </c>
      <c r="X1100" s="5">
        <f ca="1">IFERROR(__xludf.DUMMYFUNCTION("""COMPUTED_VALUE"""),1)</f>
        <v>1</v>
      </c>
      <c r="Y1100" s="5" t="str">
        <f ca="1">IFERROR(__xludf.DUMMYFUNCTION("""COMPUTED_VALUE"""),"Shots fired during fight in school hallway")</f>
        <v>Shots fired during fight in school hallway</v>
      </c>
      <c r="Z1100" s="5" t="str">
        <f ca="1">IFERROR(__xludf.DUMMYFUNCTION("""COMPUTED_VALUE"""),"Shooter brought a gun to school to settle a score after his friend had been involved in a fight, several students were involved in a physical altercation in the hallway. Shooter shot at the targeted person but no one was hurt. Assigned guards on all floor"&amp;"s and metal detectors at entrances.")</f>
        <v>Shooter brought a gun to school to settle a score after his friend had been involved in a fight, several students were involved in a physical altercation in the hallway. Shooter shot at the targeted person but no one was hurt. Assigned guards on all floors and metal detectors at entrances.</v>
      </c>
      <c r="AA1100" s="5" t="str">
        <f ca="1">IFERROR(__xludf.DUMMYFUNCTION("""COMPUTED_VALUE"""),"Escalation of Dispute")</f>
        <v>Escalation of Dispute</v>
      </c>
      <c r="AB1100" s="5" t="str">
        <f ca="1">IFERROR(__xludf.DUMMYFUNCTION("""COMPUTED_VALUE"""),"Victims Targeted")</f>
        <v>Victims Targeted</v>
      </c>
      <c r="AC1100" s="5" t="str">
        <f ca="1">IFERROR(__xludf.DUMMYFUNCTION("""COMPUTED_VALUE"""),"No")</f>
        <v>No</v>
      </c>
      <c r="AD1100" s="5" t="str">
        <f ca="1">IFERROR(__xludf.DUMMYFUNCTION("""COMPUTED_VALUE"""),"No")</f>
        <v>No</v>
      </c>
      <c r="AE1100" s="5" t="str">
        <f ca="1">IFERROR(__xludf.DUMMYFUNCTION("""COMPUTED_VALUE"""),"No")</f>
        <v>No</v>
      </c>
      <c r="AF1100" s="5" t="str">
        <f ca="1">IFERROR(__xludf.DUMMYFUNCTION("""COMPUTED_VALUE"""),"No")</f>
        <v>No</v>
      </c>
      <c r="AG1100" s="5" t="str">
        <f ca="1">IFERROR(__xludf.DUMMYFUNCTION("""COMPUTED_VALUE"""),"No")</f>
        <v>No</v>
      </c>
      <c r="AH1100" s="5" t="str">
        <f ca="1">IFERROR(__xludf.DUMMYFUNCTION("""COMPUTED_VALUE"""),"No")</f>
        <v>No</v>
      </c>
      <c r="AI1100" s="5" t="str">
        <f ca="1">IFERROR(__xludf.DUMMYFUNCTION("""COMPUTED_VALUE"""),"No")</f>
        <v>No</v>
      </c>
      <c r="AJ1100" s="5" t="str">
        <f ca="1">IFERROR(__xludf.DUMMYFUNCTION("""COMPUTED_VALUE"""),"No")</f>
        <v>No</v>
      </c>
    </row>
    <row r="1101" spans="1:36" ht="13">
      <c r="A1101" s="5" t="str">
        <f ca="1">IFERROR(__xludf.DUMMYFUNCTION("""COMPUTED_VALUE"""),"20160122INLAI")</f>
        <v>20160122INLAI</v>
      </c>
      <c r="B1101" s="5">
        <f ca="1">IFERROR(__xludf.DUMMYFUNCTION("""COMPUTED_VALUE"""),1)</f>
        <v>1</v>
      </c>
      <c r="C1101" s="5">
        <f ca="1">IFERROR(__xludf.DUMMYFUNCTION("""COMPUTED_VALUE"""),22)</f>
        <v>22</v>
      </c>
      <c r="D1101" s="5">
        <f ca="1">IFERROR(__xludf.DUMMYFUNCTION("""COMPUTED_VALUE"""),2016)</f>
        <v>2016</v>
      </c>
      <c r="E1101" s="8">
        <f ca="1">IFERROR(__xludf.DUMMYFUNCTION("""COMPUTED_VALUE"""),42391)</f>
        <v>42391</v>
      </c>
      <c r="F1101" s="5" t="str">
        <f ca="1">IFERROR(__xludf.DUMMYFUNCTION("""COMPUTED_VALUE"""),"Lawrence Central High School")</f>
        <v>Lawrence Central High School</v>
      </c>
      <c r="G1101" s="5">
        <f ca="1">IFERROR(__xludf.DUMMYFUNCTION("""COMPUTED_VALUE"""),0)</f>
        <v>0</v>
      </c>
      <c r="H1101" s="5">
        <f ca="1">IFERROR(__xludf.DUMMYFUNCTION("""COMPUTED_VALUE"""),1)</f>
        <v>1</v>
      </c>
      <c r="I1101" s="5">
        <f ca="1">IFERROR(__xludf.DUMMYFUNCTION("""COMPUTED_VALUE"""),1)</f>
        <v>1</v>
      </c>
      <c r="J1101" s="5">
        <f ca="1">IFERROR(__xludf.DUMMYFUNCTION("""COMPUTED_VALUE"""),0)</f>
        <v>0</v>
      </c>
      <c r="K1101" s="9" t="str">
        <f ca="1">IFERROR(__xludf.DUMMYFUNCTION("""COMPUTED_VALUE"""),"https://www.indystar.com/story/news/crime/2016/01/25/teen-charged-shooting-lawrence-central-high-school/79319130/")</f>
        <v>https://www.indystar.com/story/news/crime/2016/01/25/teen-charged-shooting-lawrence-central-high-school/79319130/</v>
      </c>
      <c r="L1101" s="5">
        <f ca="1">IFERROR(__xludf.DUMMYFUNCTION("""COMPUTED_VALUE"""),5)</f>
        <v>5</v>
      </c>
      <c r="M1101" s="5" t="str">
        <f ca="1">IFERROR(__xludf.DUMMYFUNCTION("""COMPUTED_VALUE"""),"Local")</f>
        <v>Local</v>
      </c>
      <c r="N1101" s="5">
        <f ca="1">IFERROR(__xludf.DUMMYFUNCTION("""COMPUTED_VALUE"""),2)</f>
        <v>2</v>
      </c>
      <c r="O1101" s="5" t="str">
        <f ca="1">IFERROR(__xludf.DUMMYFUNCTION("""COMPUTED_VALUE"""),"Winter")</f>
        <v>Winter</v>
      </c>
      <c r="P1101" s="5" t="str">
        <f ca="1">IFERROR(__xludf.DUMMYFUNCTION("""COMPUTED_VALUE"""),"Indianapolis")</f>
        <v>Indianapolis</v>
      </c>
      <c r="Q1101" s="5" t="str">
        <f ca="1">IFERROR(__xludf.DUMMYFUNCTION("""COMPUTED_VALUE"""),"IN")</f>
        <v>IN</v>
      </c>
      <c r="R1101" s="5" t="str">
        <f ca="1">IFERROR(__xludf.DUMMYFUNCTION("""COMPUTED_VALUE"""),"High")</f>
        <v>High</v>
      </c>
      <c r="S1101" s="5" t="str">
        <f ca="1">IFERROR(__xludf.DUMMYFUNCTION("""COMPUTED_VALUE"""),"Beside Building")</f>
        <v>Beside Building</v>
      </c>
      <c r="T1101" s="5" t="str">
        <f ca="1">IFERROR(__xludf.DUMMYFUNCTION("""COMPUTED_VALUE"""),"Outside on School Property")</f>
        <v>Outside on School Property</v>
      </c>
      <c r="U1101" s="5" t="str">
        <f ca="1">IFERROR(__xludf.DUMMYFUNCTION("""COMPUTED_VALUE"""),"No")</f>
        <v>No</v>
      </c>
      <c r="V1101" s="5" t="str">
        <f ca="1">IFERROR(__xludf.DUMMYFUNCTION("""COMPUTED_VALUE"""),"Sport Event")</f>
        <v>Sport Event</v>
      </c>
      <c r="W1101" s="10">
        <f ca="1">IFERROR(__xludf.DUMMYFUNCTION("""COMPUTED_VALUE"""),0.895833333333333)</f>
        <v>0.89583333333333304</v>
      </c>
      <c r="X1101" s="5">
        <f ca="1">IFERROR(__xludf.DUMMYFUNCTION("""COMPUTED_VALUE"""),1)</f>
        <v>1</v>
      </c>
      <c r="Y1101" s="5" t="str">
        <f ca="1">IFERROR(__xludf.DUMMYFUNCTION("""COMPUTED_VALUE"""),"Shots during fight at basketball game")</f>
        <v>Shots during fight at basketball game</v>
      </c>
      <c r="Z1101" s="5" t="str">
        <f ca="1">IFERROR(__xludf.DUMMYFUNCTION("""COMPUTED_VALUE"""),"Shooter shot fellow student in the leg during a dispute following a basketball game. There had been an ongoing dispute between the shooter and victim for more than a year. The shooter fled but was brought to the police department by a parent to confess.")</f>
        <v>Shooter shot fellow student in the leg during a dispute following a basketball game. There had been an ongoing dispute between the shooter and victim for more than a year. The shooter fled but was brought to the police department by a parent to confess.</v>
      </c>
      <c r="AA1101" s="5" t="str">
        <f ca="1">IFERROR(__xludf.DUMMYFUNCTION("""COMPUTED_VALUE"""),"Escalation of Dispute")</f>
        <v>Escalation of Dispute</v>
      </c>
      <c r="AB1101" s="5" t="str">
        <f ca="1">IFERROR(__xludf.DUMMYFUNCTION("""COMPUTED_VALUE"""),"Victims Targeted")</f>
        <v>Victims Targeted</v>
      </c>
      <c r="AC1101" s="5"/>
      <c r="AD1101" s="5" t="str">
        <f ca="1">IFERROR(__xludf.DUMMYFUNCTION("""COMPUTED_VALUE"""),"No")</f>
        <v>No</v>
      </c>
      <c r="AE1101" s="5" t="str">
        <f ca="1">IFERROR(__xludf.DUMMYFUNCTION("""COMPUTED_VALUE"""),"No")</f>
        <v>No</v>
      </c>
      <c r="AF1101" s="5" t="str">
        <f ca="1">IFERROR(__xludf.DUMMYFUNCTION("""COMPUTED_VALUE"""),"No")</f>
        <v>No</v>
      </c>
      <c r="AG1101" s="5" t="str">
        <f ca="1">IFERROR(__xludf.DUMMYFUNCTION("""COMPUTED_VALUE"""),"No")</f>
        <v>No</v>
      </c>
      <c r="AH1101" s="5" t="str">
        <f ca="1">IFERROR(__xludf.DUMMYFUNCTION("""COMPUTED_VALUE"""),"No")</f>
        <v>No</v>
      </c>
      <c r="AI1101" s="5" t="str">
        <f ca="1">IFERROR(__xludf.DUMMYFUNCTION("""COMPUTED_VALUE"""),"No")</f>
        <v>No</v>
      </c>
      <c r="AJ1101" s="5" t="str">
        <f ca="1">IFERROR(__xludf.DUMMYFUNCTION("""COMPUTED_VALUE"""),"No")</f>
        <v>No</v>
      </c>
    </row>
    <row r="1102" spans="1:36" ht="13">
      <c r="A1102" s="5" t="str">
        <f ca="1">IFERROR(__xludf.DUMMYFUNCTION("""COMPUTED_VALUE"""),"20160120INNOI")</f>
        <v>20160120INNOI</v>
      </c>
      <c r="B1102" s="5">
        <f ca="1">IFERROR(__xludf.DUMMYFUNCTION("""COMPUTED_VALUE"""),1)</f>
        <v>1</v>
      </c>
      <c r="C1102" s="5">
        <f ca="1">IFERROR(__xludf.DUMMYFUNCTION("""COMPUTED_VALUE"""),20)</f>
        <v>20</v>
      </c>
      <c r="D1102" s="5">
        <f ca="1">IFERROR(__xludf.DUMMYFUNCTION("""COMPUTED_VALUE"""),2016)</f>
        <v>2016</v>
      </c>
      <c r="E1102" s="8">
        <f ca="1">IFERROR(__xludf.DUMMYFUNCTION("""COMPUTED_VALUE"""),42389)</f>
        <v>42389</v>
      </c>
      <c r="F1102" s="5" t="str">
        <f ca="1">IFERROR(__xludf.DUMMYFUNCTION("""COMPUTED_VALUE"""),"Northwestern Community High School")</f>
        <v>Northwestern Community High School</v>
      </c>
      <c r="G1102" s="5">
        <f ca="1">IFERROR(__xludf.DUMMYFUNCTION("""COMPUTED_VALUE"""),0)</f>
        <v>0</v>
      </c>
      <c r="H1102" s="5">
        <f ca="1">IFERROR(__xludf.DUMMYFUNCTION("""COMPUTED_VALUE"""),0)</f>
        <v>0</v>
      </c>
      <c r="I1102" s="5">
        <f ca="1">IFERROR(__xludf.DUMMYFUNCTION("""COMPUTED_VALUE"""),0)</f>
        <v>0</v>
      </c>
      <c r="J1102" s="5">
        <f ca="1">IFERROR(__xludf.DUMMYFUNCTION("""COMPUTED_VALUE"""),0)</f>
        <v>0</v>
      </c>
      <c r="K1102" s="9" t="str">
        <f ca="1">IFERROR(__xludf.DUMMYFUNCTION("""COMPUTED_VALUE"""),"https://www.theindychannel.com/news/local-news/gun-goes-off-outside-northwest-community-hs")</f>
        <v>https://www.theindychannel.com/news/local-news/gun-goes-off-outside-northwest-community-hs</v>
      </c>
      <c r="L1102" s="5"/>
      <c r="M1102" s="5"/>
      <c r="N1102" s="5">
        <f ca="1">IFERROR(__xludf.DUMMYFUNCTION("""COMPUTED_VALUE"""),2)</f>
        <v>2</v>
      </c>
      <c r="O1102" s="5" t="str">
        <f ca="1">IFERROR(__xludf.DUMMYFUNCTION("""COMPUTED_VALUE"""),"Winter")</f>
        <v>Winter</v>
      </c>
      <c r="P1102" s="5" t="str">
        <f ca="1">IFERROR(__xludf.DUMMYFUNCTION("""COMPUTED_VALUE"""),"Indianapolis")</f>
        <v>Indianapolis</v>
      </c>
      <c r="Q1102" s="5" t="str">
        <f ca="1">IFERROR(__xludf.DUMMYFUNCTION("""COMPUTED_VALUE"""),"IN")</f>
        <v>IN</v>
      </c>
      <c r="R1102" s="5" t="str">
        <f ca="1">IFERROR(__xludf.DUMMYFUNCTION("""COMPUTED_VALUE"""),"High")</f>
        <v>High</v>
      </c>
      <c r="S1102" s="5" t="str">
        <f ca="1">IFERROR(__xludf.DUMMYFUNCTION("""COMPUTED_VALUE"""),"Parking Lot")</f>
        <v>Parking Lot</v>
      </c>
      <c r="T1102" s="5" t="str">
        <f ca="1">IFERROR(__xludf.DUMMYFUNCTION("""COMPUTED_VALUE"""),"Outside on School Property")</f>
        <v>Outside on School Property</v>
      </c>
      <c r="U1102" s="5" t="str">
        <f ca="1">IFERROR(__xludf.DUMMYFUNCTION("""COMPUTED_VALUE"""),"Yes")</f>
        <v>Yes</v>
      </c>
      <c r="V1102" s="5" t="str">
        <f ca="1">IFERROR(__xludf.DUMMYFUNCTION("""COMPUTED_VALUE"""),"Before School")</f>
        <v>Before School</v>
      </c>
      <c r="W1102" s="5"/>
      <c r="X1102" s="5">
        <f ca="1">IFERROR(__xludf.DUMMYFUNCTION("""COMPUTED_VALUE"""),1)</f>
        <v>1</v>
      </c>
      <c r="Y1102" s="5" t="str">
        <f ca="1">IFERROR(__xludf.DUMMYFUNCTION("""COMPUTED_VALUE"""),"Accidental discharge of gun in car")</f>
        <v>Accidental discharge of gun in car</v>
      </c>
      <c r="Z1102" s="5" t="str">
        <f ca="1">IFERROR(__xludf.DUMMYFUNCTION("""COMPUTED_VALUE"""),"Man accidentally discharged his firearm while putting it into the glovebox of his vehicle before school - no further media reports aside from single source listed.")</f>
        <v>Man accidentally discharged his firearm while putting it into the glovebox of his vehicle before school - no further media reports aside from single source listed.</v>
      </c>
      <c r="AA1102" s="5" t="str">
        <f ca="1">IFERROR(__xludf.DUMMYFUNCTION("""COMPUTED_VALUE"""),"Accidental")</f>
        <v>Accidental</v>
      </c>
      <c r="AB1102" s="5" t="str">
        <f ca="1">IFERROR(__xludf.DUMMYFUNCTION("""COMPUTED_VALUE"""),"NA")</f>
        <v>NA</v>
      </c>
      <c r="AC1102" s="5" t="str">
        <f ca="1">IFERROR(__xludf.DUMMYFUNCTION("""COMPUTED_VALUE"""),"No")</f>
        <v>No</v>
      </c>
      <c r="AD1102" s="5" t="str">
        <f ca="1">IFERROR(__xludf.DUMMYFUNCTION("""COMPUTED_VALUE"""),"No")</f>
        <v>No</v>
      </c>
      <c r="AE1102" s="5" t="str">
        <f ca="1">IFERROR(__xludf.DUMMYFUNCTION("""COMPUTED_VALUE"""),"No")</f>
        <v>No</v>
      </c>
      <c r="AF1102" s="5" t="str">
        <f ca="1">IFERROR(__xludf.DUMMYFUNCTION("""COMPUTED_VALUE"""),"No")</f>
        <v>No</v>
      </c>
      <c r="AG1102" s="5" t="str">
        <f ca="1">IFERROR(__xludf.DUMMYFUNCTION("""COMPUTED_VALUE"""),"N/A")</f>
        <v>N/A</v>
      </c>
      <c r="AH1102" s="5" t="str">
        <f ca="1">IFERROR(__xludf.DUMMYFUNCTION("""COMPUTED_VALUE"""),"N/A")</f>
        <v>N/A</v>
      </c>
      <c r="AI1102" s="5" t="str">
        <f ca="1">IFERROR(__xludf.DUMMYFUNCTION("""COMPUTED_VALUE"""),"No")</f>
        <v>No</v>
      </c>
      <c r="AJ1102" s="5" t="str">
        <f ca="1">IFERROR(__xludf.DUMMYFUNCTION("""COMPUTED_VALUE"""),"No")</f>
        <v>No</v>
      </c>
    </row>
    <row r="1103" spans="1:36" ht="13">
      <c r="A1103" s="5" t="str">
        <f ca="1">IFERROR(__xludf.DUMMYFUNCTION("""COMPUTED_VALUE"""),"20160113ARHAB")</f>
        <v>20160113ARHAB</v>
      </c>
      <c r="B1103" s="5">
        <f ca="1">IFERROR(__xludf.DUMMYFUNCTION("""COMPUTED_VALUE"""),1)</f>
        <v>1</v>
      </c>
      <c r="C1103" s="5">
        <f ca="1">IFERROR(__xludf.DUMMYFUNCTION("""COMPUTED_VALUE"""),13)</f>
        <v>13</v>
      </c>
      <c r="D1103" s="5">
        <f ca="1">IFERROR(__xludf.DUMMYFUNCTION("""COMPUTED_VALUE"""),2016)</f>
        <v>2016</v>
      </c>
      <c r="E1103" s="8">
        <f ca="1">IFERROR(__xludf.DUMMYFUNCTION("""COMPUTED_VALUE"""),42382)</f>
        <v>42382</v>
      </c>
      <c r="F1103" s="5" t="str">
        <f ca="1">IFERROR(__xludf.DUMMYFUNCTION("""COMPUTED_VALUE"""),"Harmony Grove High School")</f>
        <v>Harmony Grove High School</v>
      </c>
      <c r="G1103" s="5">
        <f ca="1">IFERROR(__xludf.DUMMYFUNCTION("""COMPUTED_VALUE"""),0)</f>
        <v>0</v>
      </c>
      <c r="H1103" s="5">
        <f ca="1">IFERROR(__xludf.DUMMYFUNCTION("""COMPUTED_VALUE"""),1)</f>
        <v>1</v>
      </c>
      <c r="I1103" s="5">
        <f ca="1">IFERROR(__xludf.DUMMYFUNCTION("""COMPUTED_VALUE"""),1)</f>
        <v>1</v>
      </c>
      <c r="J1103" s="5">
        <f ca="1">IFERROR(__xludf.DUMMYFUNCTION("""COMPUTED_VALUE"""),0)</f>
        <v>0</v>
      </c>
      <c r="K1103" s="9" t="str">
        <f ca="1">IFERROR(__xludf.DUMMYFUNCTION("""COMPUTED_VALUE"""),"http://www.arkansasonline.com/news/2016/jan/14/student-accidentally-shot-outside-high-school-ouac/")</f>
        <v>http://www.arkansasonline.com/news/2016/jan/14/student-accidentally-shot-outside-high-school-ouac/</v>
      </c>
      <c r="L1103" s="5">
        <f ca="1">IFERROR(__xludf.DUMMYFUNCTION("""COMPUTED_VALUE"""),1)</f>
        <v>1</v>
      </c>
      <c r="M1103" s="5" t="str">
        <f ca="1">IFERROR(__xludf.DUMMYFUNCTION("""COMPUTED_VALUE"""),"Local")</f>
        <v>Local</v>
      </c>
      <c r="N1103" s="5">
        <f ca="1">IFERROR(__xludf.DUMMYFUNCTION("""COMPUTED_VALUE"""),2)</f>
        <v>2</v>
      </c>
      <c r="O1103" s="5" t="str">
        <f ca="1">IFERROR(__xludf.DUMMYFUNCTION("""COMPUTED_VALUE"""),"Winter")</f>
        <v>Winter</v>
      </c>
      <c r="P1103" s="5" t="str">
        <f ca="1">IFERROR(__xludf.DUMMYFUNCTION("""COMPUTED_VALUE"""),"Benton")</f>
        <v>Benton</v>
      </c>
      <c r="Q1103" s="5" t="str">
        <f ca="1">IFERROR(__xludf.DUMMYFUNCTION("""COMPUTED_VALUE"""),"AR")</f>
        <v>AR</v>
      </c>
      <c r="R1103" s="5" t="str">
        <f ca="1">IFERROR(__xludf.DUMMYFUNCTION("""COMPUTED_VALUE"""),"High")</f>
        <v>High</v>
      </c>
      <c r="S1103" s="5" t="str">
        <f ca="1">IFERROR(__xludf.DUMMYFUNCTION("""COMPUTED_VALUE"""),"Parking Lot")</f>
        <v>Parking Lot</v>
      </c>
      <c r="T1103" s="5" t="str">
        <f ca="1">IFERROR(__xludf.DUMMYFUNCTION("""COMPUTED_VALUE"""),"Outside on School Property")</f>
        <v>Outside on School Property</v>
      </c>
      <c r="U1103" s="5" t="str">
        <f ca="1">IFERROR(__xludf.DUMMYFUNCTION("""COMPUTED_VALUE"""),"No")</f>
        <v>No</v>
      </c>
      <c r="V1103" s="5" t="str">
        <f ca="1">IFERROR(__xludf.DUMMYFUNCTION("""COMPUTED_VALUE"""),"After School")</f>
        <v>After School</v>
      </c>
      <c r="W1103" s="10">
        <f ca="1">IFERROR(__xludf.DUMMYFUNCTION("""COMPUTED_VALUE"""),0.625)</f>
        <v>0.625</v>
      </c>
      <c r="X1103" s="5">
        <f ca="1">IFERROR(__xludf.DUMMYFUNCTION("""COMPUTED_VALUE"""),1)</f>
        <v>1</v>
      </c>
      <c r="Y1103" s="5" t="str">
        <f ca="1">IFERROR(__xludf.DUMMYFUNCTION("""COMPUTED_VALUE"""),"Accidental discharge in parking lot")</f>
        <v>Accidental discharge in parking lot</v>
      </c>
      <c r="Z1103" s="5" t="str">
        <f ca="1">IFERROR(__xludf.DUMMYFUNCTION("""COMPUTED_VALUE"""),"Three students were sitting in a car in the parking lot after school. The 17YOM shooter found the gun in the car and accidentally fired it causing a minor injury to the back seat passenger. The gun was owned by the 18YOM student who may also face charges.")</f>
        <v>Three students were sitting in a car in the parking lot after school. The 17YOM shooter found the gun in the car and accidentally fired it causing a minor injury to the back seat passenger. The gun was owned by the 18YOM student who may also face charges.</v>
      </c>
      <c r="AA1103" s="5" t="str">
        <f ca="1">IFERROR(__xludf.DUMMYFUNCTION("""COMPUTED_VALUE"""),"Accidental")</f>
        <v>Accidental</v>
      </c>
      <c r="AB1103" s="5" t="str">
        <f ca="1">IFERROR(__xludf.DUMMYFUNCTION("""COMPUTED_VALUE"""),"Random Shooting")</f>
        <v>Random Shooting</v>
      </c>
      <c r="AC1103" s="5" t="str">
        <f ca="1">IFERROR(__xludf.DUMMYFUNCTION("""COMPUTED_VALUE"""),"No")</f>
        <v>No</v>
      </c>
      <c r="AD1103" s="5" t="str">
        <f ca="1">IFERROR(__xludf.DUMMYFUNCTION("""COMPUTED_VALUE"""),"No")</f>
        <v>No</v>
      </c>
      <c r="AE1103" s="5" t="str">
        <f ca="1">IFERROR(__xludf.DUMMYFUNCTION("""COMPUTED_VALUE"""),"No")</f>
        <v>No</v>
      </c>
      <c r="AF1103" s="5" t="str">
        <f ca="1">IFERROR(__xludf.DUMMYFUNCTION("""COMPUTED_VALUE"""),"No")</f>
        <v>No</v>
      </c>
      <c r="AG1103" s="5" t="str">
        <f ca="1">IFERROR(__xludf.DUMMYFUNCTION("""COMPUTED_VALUE"""),"No")</f>
        <v>No</v>
      </c>
      <c r="AH1103" s="5" t="str">
        <f ca="1">IFERROR(__xludf.DUMMYFUNCTION("""COMPUTED_VALUE"""),"No")</f>
        <v>No</v>
      </c>
      <c r="AI1103" s="5" t="str">
        <f ca="1">IFERROR(__xludf.DUMMYFUNCTION("""COMPUTED_VALUE"""),"No")</f>
        <v>No</v>
      </c>
      <c r="AJ1103" s="5" t="str">
        <f ca="1">IFERROR(__xludf.DUMMYFUNCTION("""COMPUTED_VALUE"""),"No")</f>
        <v>No</v>
      </c>
    </row>
    <row r="1104" spans="1:36" ht="13">
      <c r="A1104" s="5" t="str">
        <f ca="1">IFERROR(__xludf.DUMMYFUNCTION("""COMPUTED_VALUE"""),"20160112DECED")</f>
        <v>20160112DECED</v>
      </c>
      <c r="B1104" s="5">
        <f ca="1">IFERROR(__xludf.DUMMYFUNCTION("""COMPUTED_VALUE"""),1)</f>
        <v>1</v>
      </c>
      <c r="C1104" s="5">
        <f ca="1">IFERROR(__xludf.DUMMYFUNCTION("""COMPUTED_VALUE"""),12)</f>
        <v>12</v>
      </c>
      <c r="D1104" s="5">
        <f ca="1">IFERROR(__xludf.DUMMYFUNCTION("""COMPUTED_VALUE"""),2016)</f>
        <v>2016</v>
      </c>
      <c r="E1104" s="8">
        <f ca="1">IFERROR(__xludf.DUMMYFUNCTION("""COMPUTED_VALUE"""),42381)</f>
        <v>42381</v>
      </c>
      <c r="F1104" s="5" t="str">
        <f ca="1">IFERROR(__xludf.DUMMYFUNCTION("""COMPUTED_VALUE"""),"Central Middle School")</f>
        <v>Central Middle School</v>
      </c>
      <c r="G1104" s="5">
        <f ca="1">IFERROR(__xludf.DUMMYFUNCTION("""COMPUTED_VALUE"""),0)</f>
        <v>0</v>
      </c>
      <c r="H1104" s="5">
        <f ca="1">IFERROR(__xludf.DUMMYFUNCTION("""COMPUTED_VALUE"""),0)</f>
        <v>0</v>
      </c>
      <c r="I1104" s="5">
        <f ca="1">IFERROR(__xludf.DUMMYFUNCTION("""COMPUTED_VALUE"""),0)</f>
        <v>0</v>
      </c>
      <c r="J1104" s="5">
        <f ca="1">IFERROR(__xludf.DUMMYFUNCTION("""COMPUTED_VALUE"""),0)</f>
        <v>0</v>
      </c>
      <c r="K1104" s="9" t="str">
        <f ca="1">IFERROR(__xludf.DUMMYFUNCTION("""COMPUTED_VALUE"""),"http://www.doverpost.com/news/20160112/update-students-arrested-after-shot-fired-at-central-middle-school")</f>
        <v>http://www.doverpost.com/news/20160112/update-students-arrested-after-shot-fired-at-central-middle-school</v>
      </c>
      <c r="L1104" s="5">
        <f ca="1">IFERROR(__xludf.DUMMYFUNCTION("""COMPUTED_VALUE"""),1)</f>
        <v>1</v>
      </c>
      <c r="M1104" s="5" t="str">
        <f ca="1">IFERROR(__xludf.DUMMYFUNCTION("""COMPUTED_VALUE"""),"Local")</f>
        <v>Local</v>
      </c>
      <c r="N1104" s="5">
        <f ca="1">IFERROR(__xludf.DUMMYFUNCTION("""COMPUTED_VALUE"""),2)</f>
        <v>2</v>
      </c>
      <c r="O1104" s="5" t="str">
        <f ca="1">IFERROR(__xludf.DUMMYFUNCTION("""COMPUTED_VALUE"""),"Winter")</f>
        <v>Winter</v>
      </c>
      <c r="P1104" s="5" t="str">
        <f ca="1">IFERROR(__xludf.DUMMYFUNCTION("""COMPUTED_VALUE"""),"Dover")</f>
        <v>Dover</v>
      </c>
      <c r="Q1104" s="5" t="str">
        <f ca="1">IFERROR(__xludf.DUMMYFUNCTION("""COMPUTED_VALUE"""),"DE")</f>
        <v>DE</v>
      </c>
      <c r="R1104" s="5" t="str">
        <f ca="1">IFERROR(__xludf.DUMMYFUNCTION("""COMPUTED_VALUE"""),"Middle")</f>
        <v>Middle</v>
      </c>
      <c r="S1104" s="5" t="str">
        <f ca="1">IFERROR(__xludf.DUMMYFUNCTION("""COMPUTED_VALUE"""),"Bathroom")</f>
        <v>Bathroom</v>
      </c>
      <c r="T1104" s="5" t="str">
        <f ca="1">IFERROR(__xludf.DUMMYFUNCTION("""COMPUTED_VALUE"""),"Inside School Building")</f>
        <v>Inside School Building</v>
      </c>
      <c r="U1104" s="5" t="str">
        <f ca="1">IFERROR(__xludf.DUMMYFUNCTION("""COMPUTED_VALUE"""),"Yes")</f>
        <v>Yes</v>
      </c>
      <c r="V1104" s="5" t="str">
        <f ca="1">IFERROR(__xludf.DUMMYFUNCTION("""COMPUTED_VALUE"""),"Lunch")</f>
        <v>Lunch</v>
      </c>
      <c r="W1104" s="10">
        <f ca="1">IFERROR(__xludf.DUMMYFUNCTION("""COMPUTED_VALUE"""),0.510416666666666)</f>
        <v>0.51041666666666596</v>
      </c>
      <c r="X1104" s="5">
        <f ca="1">IFERROR(__xludf.DUMMYFUNCTION("""COMPUTED_VALUE"""),1)</f>
        <v>1</v>
      </c>
      <c r="Y1104" s="5" t="str">
        <f ca="1">IFERROR(__xludf.DUMMYFUNCTION("""COMPUTED_VALUE"""),"Accidental discharge in bathroom")</f>
        <v>Accidental discharge in bathroom</v>
      </c>
      <c r="Z1104" s="5" t="str">
        <f ca="1">IFERROR(__xludf.DUMMYFUNCTION("""COMPUTED_VALUE"""),"Another student stole a handgun and gave it to the shooter in the bathroom of the school. A single shot was fired. Believed to be an accidental discharge. Toilet was damaged and shooter fled the scene. No injuries. Shooter was discovered after reviewing v"&amp;"ideo footage and arrested.")</f>
        <v>Another student stole a handgun and gave it to the shooter in the bathroom of the school. A single shot was fired. Believed to be an accidental discharge. Toilet was damaged and shooter fled the scene. No injuries. Shooter was discovered after reviewing video footage and arrested.</v>
      </c>
      <c r="AA1104" s="5" t="str">
        <f ca="1">IFERROR(__xludf.DUMMYFUNCTION("""COMPUTED_VALUE"""),"Accidental")</f>
        <v>Accidental</v>
      </c>
      <c r="AB1104" s="5" t="str">
        <f ca="1">IFERROR(__xludf.DUMMYFUNCTION("""COMPUTED_VALUE"""),"Neither")</f>
        <v>Neither</v>
      </c>
      <c r="AC1104" s="5"/>
      <c r="AD1104" s="5" t="str">
        <f ca="1">IFERROR(__xludf.DUMMYFUNCTION("""COMPUTED_VALUE"""),"No")</f>
        <v>No</v>
      </c>
      <c r="AE1104" s="5" t="str">
        <f ca="1">IFERROR(__xludf.DUMMYFUNCTION("""COMPUTED_VALUE"""),"No")</f>
        <v>No</v>
      </c>
      <c r="AF1104" s="5" t="str">
        <f ca="1">IFERROR(__xludf.DUMMYFUNCTION("""COMPUTED_VALUE"""),"No")</f>
        <v>No</v>
      </c>
      <c r="AG1104" s="5" t="str">
        <f ca="1">IFERROR(__xludf.DUMMYFUNCTION("""COMPUTED_VALUE"""),"No")</f>
        <v>No</v>
      </c>
      <c r="AH1104" s="5" t="str">
        <f ca="1">IFERROR(__xludf.DUMMYFUNCTION("""COMPUTED_VALUE"""),"No")</f>
        <v>No</v>
      </c>
      <c r="AI1104" s="5" t="str">
        <f ca="1">IFERROR(__xludf.DUMMYFUNCTION("""COMPUTED_VALUE"""),"No")</f>
        <v>No</v>
      </c>
      <c r="AJ1104" s="5" t="str">
        <f ca="1">IFERROR(__xludf.DUMMYFUNCTION("""COMPUTED_VALUE"""),"No")</f>
        <v>No</v>
      </c>
    </row>
    <row r="1105" spans="1:36" ht="13">
      <c r="A1105" s="5" t="str">
        <f ca="1">IFERROR(__xludf.DUMMYFUNCTION("""COMPUTED_VALUE"""),"20151204KSWEW")</f>
        <v>20151204KSWEW</v>
      </c>
      <c r="B1105" s="5">
        <f ca="1">IFERROR(__xludf.DUMMYFUNCTION("""COMPUTED_VALUE"""),12)</f>
        <v>12</v>
      </c>
      <c r="C1105" s="5">
        <f ca="1">IFERROR(__xludf.DUMMYFUNCTION("""COMPUTED_VALUE"""),4)</f>
        <v>4</v>
      </c>
      <c r="D1105" s="5">
        <f ca="1">IFERROR(__xludf.DUMMYFUNCTION("""COMPUTED_VALUE"""),2015)</f>
        <v>2015</v>
      </c>
      <c r="E1105" s="8">
        <f ca="1">IFERROR(__xludf.DUMMYFUNCTION("""COMPUTED_VALUE"""),42342)</f>
        <v>42342</v>
      </c>
      <c r="F1105" s="5" t="str">
        <f ca="1">IFERROR(__xludf.DUMMYFUNCTION("""COMPUTED_VALUE"""),"West High School")</f>
        <v>West High School</v>
      </c>
      <c r="G1105" s="5">
        <f ca="1">IFERROR(__xludf.DUMMYFUNCTION("""COMPUTED_VALUE"""),0)</f>
        <v>0</v>
      </c>
      <c r="H1105" s="5">
        <f ca="1">IFERROR(__xludf.DUMMYFUNCTION("""COMPUTED_VALUE"""),1)</f>
        <v>1</v>
      </c>
      <c r="I1105" s="5">
        <f ca="1">IFERROR(__xludf.DUMMYFUNCTION("""COMPUTED_VALUE"""),1)</f>
        <v>1</v>
      </c>
      <c r="J1105" s="5">
        <f ca="1">IFERROR(__xludf.DUMMYFUNCTION("""COMPUTED_VALUE"""),0)</f>
        <v>0</v>
      </c>
      <c r="K1105" s="5" t="str">
        <f ca="1">IFERROR(__xludf.DUMMYFUNCTION("""COMPUTED_VALUE"""),"https://www-1.kansas.com/news/local/crime/article48180155.html https://www.cbsnews.com/news/armed-teenager-running-toward-school-shot-by-wichita-police-officer/")</f>
        <v>https://www-1.kansas.com/news/local/crime/article48180155.html https://www.cbsnews.com/news/armed-teenager-running-toward-school-shot-by-wichita-police-officer/</v>
      </c>
      <c r="L1105" s="5"/>
      <c r="M1105" s="5"/>
      <c r="N1105" s="5">
        <f ca="1">IFERROR(__xludf.DUMMYFUNCTION("""COMPUTED_VALUE"""),4)</f>
        <v>4</v>
      </c>
      <c r="O1105" s="5" t="str">
        <f ca="1">IFERROR(__xludf.DUMMYFUNCTION("""COMPUTED_VALUE"""),"Winter")</f>
        <v>Winter</v>
      </c>
      <c r="P1105" s="5" t="str">
        <f ca="1">IFERROR(__xludf.DUMMYFUNCTION("""COMPUTED_VALUE"""),"Wichita")</f>
        <v>Wichita</v>
      </c>
      <c r="Q1105" s="5" t="str">
        <f ca="1">IFERROR(__xludf.DUMMYFUNCTION("""COMPUTED_VALUE"""),"KS")</f>
        <v>KS</v>
      </c>
      <c r="R1105" s="5" t="str">
        <f ca="1">IFERROR(__xludf.DUMMYFUNCTION("""COMPUTED_VALUE"""),"High")</f>
        <v>High</v>
      </c>
      <c r="S1105" s="5" t="str">
        <f ca="1">IFERROR(__xludf.DUMMYFUNCTION("""COMPUTED_VALUE"""),"Beside Building")</f>
        <v>Beside Building</v>
      </c>
      <c r="T1105" s="5" t="str">
        <f ca="1">IFERROR(__xludf.DUMMYFUNCTION("""COMPUTED_VALUE"""),"Outside on School Property")</f>
        <v>Outside on School Property</v>
      </c>
      <c r="U1105" s="5" t="str">
        <f ca="1">IFERROR(__xludf.DUMMYFUNCTION("""COMPUTED_VALUE"""),"No")</f>
        <v>No</v>
      </c>
      <c r="V1105" s="5" t="str">
        <f ca="1">IFERROR(__xludf.DUMMYFUNCTION("""COMPUTED_VALUE"""),"Sport Event")</f>
        <v>Sport Event</v>
      </c>
      <c r="W1105" s="10">
        <f ca="1">IFERROR(__xludf.DUMMYFUNCTION("""COMPUTED_VALUE"""),0.770833333333333)</f>
        <v>0.77083333333333304</v>
      </c>
      <c r="X1105" s="5">
        <f ca="1">IFERROR(__xludf.DUMMYFUNCTION("""COMPUTED_VALUE"""),1)</f>
        <v>1</v>
      </c>
      <c r="Y1105" s="5" t="str">
        <f ca="1">IFERROR(__xludf.DUMMYFUNCTION("""COMPUTED_VALUE"""),"17YOM student with gun attempted to flee into school was shot by police")</f>
        <v>17YOM student with gun attempted to flee into school was shot by police</v>
      </c>
      <c r="Z1105" s="5" t="str">
        <f ca="1">IFERROR(__xludf.DUMMYFUNCTION("""COMPUTED_VALUE"""),"As part of an investigation of a double murder earlier in the week, police attempted a traffic stop near the tennis courts of the school. A 17YOM student fled the vehicle and was chased by officers toward the school building. 10 feet from the door to the "&amp;"school, the 17YOM pointed a handgun at officers and was shot. A basketball game was taking place in the school during the shooting with 300 attendees. School was locked down for 30 minutes.")</f>
        <v>As part of an investigation of a double murder earlier in the week, police attempted a traffic stop near the tennis courts of the school. A 17YOM student fled the vehicle and was chased by officers toward the school building. 10 feet from the door to the school, the 17YOM pointed a handgun at officers and was shot. A basketball game was taking place in the school during the shooting with 300 attendees. School was locked down for 30 minutes.</v>
      </c>
      <c r="AA1105" s="5" t="str">
        <f ca="1">IFERROR(__xludf.DUMMYFUNCTION("""COMPUTED_VALUE"""),"Illegal Activity")</f>
        <v>Illegal Activity</v>
      </c>
      <c r="AB1105" s="5"/>
      <c r="AC1105" s="5" t="str">
        <f ca="1">IFERROR(__xludf.DUMMYFUNCTION("""COMPUTED_VALUE"""),"No")</f>
        <v>No</v>
      </c>
      <c r="AD1105" s="5" t="str">
        <f ca="1">IFERROR(__xludf.DUMMYFUNCTION("""COMPUTED_VALUE"""),"No")</f>
        <v>No</v>
      </c>
      <c r="AE1105" s="5" t="str">
        <f ca="1">IFERROR(__xludf.DUMMYFUNCTION("""COMPUTED_VALUE"""),"No")</f>
        <v>No</v>
      </c>
      <c r="AF1105" s="5" t="str">
        <f ca="1">IFERROR(__xludf.DUMMYFUNCTION("""COMPUTED_VALUE"""),"Yes")</f>
        <v>Yes</v>
      </c>
      <c r="AG1105" s="5" t="str">
        <f ca="1">IFERROR(__xludf.DUMMYFUNCTION("""COMPUTED_VALUE"""),"No")</f>
        <v>No</v>
      </c>
      <c r="AH1105" s="5" t="str">
        <f ca="1">IFERROR(__xludf.DUMMYFUNCTION("""COMPUTED_VALUE"""),"No")</f>
        <v>No</v>
      </c>
      <c r="AI1105" s="5"/>
      <c r="AJ1105" s="5" t="str">
        <f ca="1">IFERROR(__xludf.DUMMYFUNCTION("""COMPUTED_VALUE"""),"No")</f>
        <v>No</v>
      </c>
    </row>
    <row r="1106" spans="1:36" ht="13">
      <c r="A1106" s="5" t="str">
        <f ca="1">IFERROR(__xludf.DUMMYFUNCTION("""COMPUTED_VALUE"""),"20151120FLNAM")</f>
        <v>20151120FLNAM</v>
      </c>
      <c r="B1106" s="5">
        <f ca="1">IFERROR(__xludf.DUMMYFUNCTION("""COMPUTED_VALUE"""),11)</f>
        <v>11</v>
      </c>
      <c r="C1106" s="5">
        <f ca="1">IFERROR(__xludf.DUMMYFUNCTION("""COMPUTED_VALUE"""),20)</f>
        <v>20</v>
      </c>
      <c r="D1106" s="5">
        <f ca="1">IFERROR(__xludf.DUMMYFUNCTION("""COMPUTED_VALUE"""),2015)</f>
        <v>2015</v>
      </c>
      <c r="E1106" s="8">
        <f ca="1">IFERROR(__xludf.DUMMYFUNCTION("""COMPUTED_VALUE"""),42328)</f>
        <v>42328</v>
      </c>
      <c r="F1106" s="5" t="str">
        <f ca="1">IFERROR(__xludf.DUMMYFUNCTION("""COMPUTED_VALUE"""),"Nathaniel “Traz” Powell Stadium (high school game)")</f>
        <v>Nathaniel “Traz” Powell Stadium (high school game)</v>
      </c>
      <c r="G1106" s="5">
        <f ca="1">IFERROR(__xludf.DUMMYFUNCTION("""COMPUTED_VALUE"""),0)</f>
        <v>0</v>
      </c>
      <c r="H1106" s="5">
        <f ca="1">IFERROR(__xludf.DUMMYFUNCTION("""COMPUTED_VALUE"""),0)</f>
        <v>0</v>
      </c>
      <c r="I1106" s="5">
        <f ca="1">IFERROR(__xludf.DUMMYFUNCTION("""COMPUTED_VALUE"""),0)</f>
        <v>0</v>
      </c>
      <c r="J1106" s="5">
        <f ca="1">IFERROR(__xludf.DUMMYFUNCTION("""COMPUTED_VALUE"""),0)</f>
        <v>0</v>
      </c>
      <c r="K1106" s="9" t="str">
        <f ca="1">IFERROR(__xludf.DUMMYFUNCTION("""COMPUTED_VALUE"""),"https://www.miamiherald.com/news/local/community/miami-dade/article45747750.html")</f>
        <v>https://www.miamiherald.com/news/local/community/miami-dade/article45747750.html</v>
      </c>
      <c r="L1106" s="5"/>
      <c r="M1106" s="5"/>
      <c r="N1106" s="5">
        <f ca="1">IFERROR(__xludf.DUMMYFUNCTION("""COMPUTED_VALUE"""),3)</f>
        <v>3</v>
      </c>
      <c r="O1106" s="5" t="str">
        <f ca="1">IFERROR(__xludf.DUMMYFUNCTION("""COMPUTED_VALUE"""),"Fall")</f>
        <v>Fall</v>
      </c>
      <c r="P1106" s="5" t="str">
        <f ca="1">IFERROR(__xludf.DUMMYFUNCTION("""COMPUTED_VALUE"""),"Miami")</f>
        <v>Miami</v>
      </c>
      <c r="Q1106" s="5" t="str">
        <f ca="1">IFERROR(__xludf.DUMMYFUNCTION("""COMPUTED_VALUE"""),"FL")</f>
        <v>FL</v>
      </c>
      <c r="R1106" s="5" t="str">
        <f ca="1">IFERROR(__xludf.DUMMYFUNCTION("""COMPUTED_VALUE"""),"High")</f>
        <v>High</v>
      </c>
      <c r="S1106" s="5" t="str">
        <f ca="1">IFERROR(__xludf.DUMMYFUNCTION("""COMPUTED_VALUE"""),"Football Field/Track")</f>
        <v>Football Field/Track</v>
      </c>
      <c r="T1106" s="5" t="str">
        <f ca="1">IFERROR(__xludf.DUMMYFUNCTION("""COMPUTED_VALUE"""),"Outside on School Property")</f>
        <v>Outside on School Property</v>
      </c>
      <c r="U1106" s="5" t="str">
        <f ca="1">IFERROR(__xludf.DUMMYFUNCTION("""COMPUTED_VALUE"""),"No")</f>
        <v>No</v>
      </c>
      <c r="V1106" s="5" t="str">
        <f ca="1">IFERROR(__xludf.DUMMYFUNCTION("""COMPUTED_VALUE"""),"Sport Event")</f>
        <v>Sport Event</v>
      </c>
      <c r="W1106" s="10">
        <f ca="1">IFERROR(__xludf.DUMMYFUNCTION("""COMPUTED_VALUE"""),0.885416666666666)</f>
        <v>0.88541666666666596</v>
      </c>
      <c r="X1106" s="5">
        <f ca="1">IFERROR(__xludf.DUMMYFUNCTION("""COMPUTED_VALUE"""),1)</f>
        <v>1</v>
      </c>
      <c r="Y1106" s="5" t="str">
        <f ca="1">IFERROR(__xludf.DUMMYFUNCTION("""COMPUTED_VALUE"""),"Shots fired in stands at end of football game")</f>
        <v>Shots fired in stands at end of football game</v>
      </c>
      <c r="Z1106" s="5" t="str">
        <f ca="1">IFERROR(__xludf.DUMMYFUNCTION("""COMPUTED_VALUE"""),"Shots fired during high school football playoff game in the stands with 5 minutes remaining. Stadium was evacuated. 3 teens arrested. No injuries")</f>
        <v>Shots fired during high school football playoff game in the stands with 5 minutes remaining. Stadium was evacuated. 3 teens arrested. No injuries</v>
      </c>
      <c r="AA1106" s="5" t="str">
        <f ca="1">IFERROR(__xludf.DUMMYFUNCTION("""COMPUTED_VALUE"""),"Escalation of Dispute")</f>
        <v>Escalation of Dispute</v>
      </c>
      <c r="AB1106" s="5"/>
      <c r="AC1106" s="5" t="str">
        <f ca="1">IFERROR(__xludf.DUMMYFUNCTION("""COMPUTED_VALUE"""),"Yes")</f>
        <v>Yes</v>
      </c>
      <c r="AD1106" s="5" t="str">
        <f ca="1">IFERROR(__xludf.DUMMYFUNCTION("""COMPUTED_VALUE"""),"No")</f>
        <v>No</v>
      </c>
      <c r="AE1106" s="5" t="str">
        <f ca="1">IFERROR(__xludf.DUMMYFUNCTION("""COMPUTED_VALUE"""),"No")</f>
        <v>No</v>
      </c>
      <c r="AF1106" s="5" t="str">
        <f ca="1">IFERROR(__xludf.DUMMYFUNCTION("""COMPUTED_VALUE"""),"No")</f>
        <v>No</v>
      </c>
      <c r="AG1106" s="5" t="str">
        <f ca="1">IFERROR(__xludf.DUMMYFUNCTION("""COMPUTED_VALUE"""),"No")</f>
        <v>No</v>
      </c>
      <c r="AH1106" s="5" t="str">
        <f ca="1">IFERROR(__xludf.DUMMYFUNCTION("""COMPUTED_VALUE"""),"No")</f>
        <v>No</v>
      </c>
      <c r="AI1106" s="5"/>
      <c r="AJ1106" s="5" t="str">
        <f ca="1">IFERROR(__xludf.DUMMYFUNCTION("""COMPUTED_VALUE"""),"No")</f>
        <v>No</v>
      </c>
    </row>
    <row r="1107" spans="1:36" ht="13">
      <c r="A1107" s="5" t="str">
        <f ca="1">IFERROR(__xludf.DUMMYFUNCTION("""COMPUTED_VALUE"""),"20151111ARSUS")</f>
        <v>20151111ARSUS</v>
      </c>
      <c r="B1107" s="5">
        <f ca="1">IFERROR(__xludf.DUMMYFUNCTION("""COMPUTED_VALUE"""),11)</f>
        <v>11</v>
      </c>
      <c r="C1107" s="5">
        <f ca="1">IFERROR(__xludf.DUMMYFUNCTION("""COMPUTED_VALUE"""),11)</f>
        <v>11</v>
      </c>
      <c r="D1107" s="5">
        <f ca="1">IFERROR(__xludf.DUMMYFUNCTION("""COMPUTED_VALUE"""),2015)</f>
        <v>2015</v>
      </c>
      <c r="E1107" s="8">
        <f ca="1">IFERROR(__xludf.DUMMYFUNCTION("""COMPUTED_VALUE"""),42319)</f>
        <v>42319</v>
      </c>
      <c r="F1107" s="5" t="str">
        <f ca="1">IFERROR(__xludf.DUMMYFUNCTION("""COMPUTED_VALUE"""),"Sulphur Rock Magnet School")</f>
        <v>Sulphur Rock Magnet School</v>
      </c>
      <c r="G1107" s="5">
        <f ca="1">IFERROR(__xludf.DUMMYFUNCTION("""COMPUTED_VALUE"""),0)</f>
        <v>0</v>
      </c>
      <c r="H1107" s="5">
        <f ca="1">IFERROR(__xludf.DUMMYFUNCTION("""COMPUTED_VALUE"""),1)</f>
        <v>1</v>
      </c>
      <c r="I1107" s="5">
        <f ca="1">IFERROR(__xludf.DUMMYFUNCTION("""COMPUTED_VALUE"""),1)</f>
        <v>1</v>
      </c>
      <c r="J1107" s="5">
        <f ca="1">IFERROR(__xludf.DUMMYFUNCTION("""COMPUTED_VALUE"""),0)</f>
        <v>0</v>
      </c>
      <c r="K1107" s="9" t="str">
        <f ca="1">IFERROR(__xludf.DUMMYFUNCTION("""COMPUTED_VALUE"""),"https://www.kait8.com/story/30492261/gun-goes-off-in-school-parking-lot-hitting-junior-high-student/")</f>
        <v>https://www.kait8.com/story/30492261/gun-goes-off-in-school-parking-lot-hitting-junior-high-student/</v>
      </c>
      <c r="L1107" s="5"/>
      <c r="M1107" s="5"/>
      <c r="N1107" s="5">
        <f ca="1">IFERROR(__xludf.DUMMYFUNCTION("""COMPUTED_VALUE"""),4)</f>
        <v>4</v>
      </c>
      <c r="O1107" s="5" t="str">
        <f ca="1">IFERROR(__xludf.DUMMYFUNCTION("""COMPUTED_VALUE"""),"Fall")</f>
        <v>Fall</v>
      </c>
      <c r="P1107" s="5" t="str">
        <f ca="1">IFERROR(__xludf.DUMMYFUNCTION("""COMPUTED_VALUE"""),"Sulphur Rock")</f>
        <v>Sulphur Rock</v>
      </c>
      <c r="Q1107" s="5" t="str">
        <f ca="1">IFERROR(__xludf.DUMMYFUNCTION("""COMPUTED_VALUE"""),"AR")</f>
        <v>AR</v>
      </c>
      <c r="R1107" s="5" t="str">
        <f ca="1">IFERROR(__xludf.DUMMYFUNCTION("""COMPUTED_VALUE"""),"Unknown")</f>
        <v>Unknown</v>
      </c>
      <c r="S1107" s="5" t="str">
        <f ca="1">IFERROR(__xludf.DUMMYFUNCTION("""COMPUTED_VALUE"""),"Parking Lot")</f>
        <v>Parking Lot</v>
      </c>
      <c r="T1107" s="5" t="str">
        <f ca="1">IFERROR(__xludf.DUMMYFUNCTION("""COMPUTED_VALUE"""),"Outside on School Property")</f>
        <v>Outside on School Property</v>
      </c>
      <c r="U1107" s="5" t="str">
        <f ca="1">IFERROR(__xludf.DUMMYFUNCTION("""COMPUTED_VALUE"""),"Yes")</f>
        <v>Yes</v>
      </c>
      <c r="V1107" s="5" t="str">
        <f ca="1">IFERROR(__xludf.DUMMYFUNCTION("""COMPUTED_VALUE"""),"Dismissal")</f>
        <v>Dismissal</v>
      </c>
      <c r="W1107" s="10">
        <f ca="1">IFERROR(__xludf.DUMMYFUNCTION("""COMPUTED_VALUE"""),0.645833333333333)</f>
        <v>0.64583333333333304</v>
      </c>
      <c r="X1107" s="5">
        <f ca="1">IFERROR(__xludf.DUMMYFUNCTION("""COMPUTED_VALUE"""),1)</f>
        <v>1</v>
      </c>
      <c r="Y1107" s="5" t="str">
        <f ca="1">IFERROR(__xludf.DUMMYFUNCTION("""COMPUTED_VALUE"""),"Accidental discharge showing gun to other student in the parking lot")</f>
        <v>Accidental discharge showing gun to other student in the parking lot</v>
      </c>
      <c r="Z1107" s="5" t="str">
        <f ca="1">IFERROR(__xludf.DUMMYFUNCTION("""COMPUTED_VALUE"""),"Student was showing off gun in the school parking lot while waiting for the bus. Gun discharged and struck another student in the leg. Police determined the shooting was an accident.")</f>
        <v>Student was showing off gun in the school parking lot while waiting for the bus. Gun discharged and struck another student in the leg. Police determined the shooting was an accident.</v>
      </c>
      <c r="AA1107" s="5" t="str">
        <f ca="1">IFERROR(__xludf.DUMMYFUNCTION("""COMPUTED_VALUE"""),"Accidental")</f>
        <v>Accidental</v>
      </c>
      <c r="AB1107" s="5" t="str">
        <f ca="1">IFERROR(__xludf.DUMMYFUNCTION("""COMPUTED_VALUE"""),"Random Shooting")</f>
        <v>Random Shooting</v>
      </c>
      <c r="AC1107" s="5" t="str">
        <f ca="1">IFERROR(__xludf.DUMMYFUNCTION("""COMPUTED_VALUE"""),"Yes")</f>
        <v>Yes</v>
      </c>
      <c r="AD1107" s="5" t="str">
        <f ca="1">IFERROR(__xludf.DUMMYFUNCTION("""COMPUTED_VALUE"""),"No")</f>
        <v>No</v>
      </c>
      <c r="AE1107" s="5" t="str">
        <f ca="1">IFERROR(__xludf.DUMMYFUNCTION("""COMPUTED_VALUE"""),"No")</f>
        <v>No</v>
      </c>
      <c r="AF1107" s="5" t="str">
        <f ca="1">IFERROR(__xludf.DUMMYFUNCTION("""COMPUTED_VALUE"""),"No")</f>
        <v>No</v>
      </c>
      <c r="AG1107" s="5" t="str">
        <f ca="1">IFERROR(__xludf.DUMMYFUNCTION("""COMPUTED_VALUE"""),"No")</f>
        <v>No</v>
      </c>
      <c r="AH1107" s="5" t="str">
        <f ca="1">IFERROR(__xludf.DUMMYFUNCTION("""COMPUTED_VALUE"""),"No")</f>
        <v>No</v>
      </c>
      <c r="AI1107" s="5" t="str">
        <f ca="1">IFERROR(__xludf.DUMMYFUNCTION("""COMPUTED_VALUE"""),"No")</f>
        <v>No</v>
      </c>
      <c r="AJ1107" s="5" t="str">
        <f ca="1">IFERROR(__xludf.DUMMYFUNCTION("""COMPUTED_VALUE"""),"No")</f>
        <v>No</v>
      </c>
    </row>
    <row r="1108" spans="1:36" ht="13">
      <c r="A1108" s="5" t="str">
        <f ca="1">IFERROR(__xludf.DUMMYFUNCTION("""COMPUTED_VALUE"""),"20151105GAVEM")</f>
        <v>20151105GAVEM</v>
      </c>
      <c r="B1108" s="5">
        <f ca="1">IFERROR(__xludf.DUMMYFUNCTION("""COMPUTED_VALUE"""),11)</f>
        <v>11</v>
      </c>
      <c r="C1108" s="5">
        <f ca="1">IFERROR(__xludf.DUMMYFUNCTION("""COMPUTED_VALUE"""),5)</f>
        <v>5</v>
      </c>
      <c r="D1108" s="5">
        <f ca="1">IFERROR(__xludf.DUMMYFUNCTION("""COMPUTED_VALUE"""),2015)</f>
        <v>2015</v>
      </c>
      <c r="E1108" s="8">
        <f ca="1">IFERROR(__xludf.DUMMYFUNCTION("""COMPUTED_VALUE"""),42313)</f>
        <v>42313</v>
      </c>
      <c r="F1108" s="5" t="str">
        <f ca="1">IFERROR(__xludf.DUMMYFUNCTION("""COMPUTED_VALUE"""),"Vereen School")</f>
        <v>Vereen School</v>
      </c>
      <c r="G1108" s="5">
        <f ca="1">IFERROR(__xludf.DUMMYFUNCTION("""COMPUTED_VALUE"""),0)</f>
        <v>0</v>
      </c>
      <c r="H1108" s="5">
        <f ca="1">IFERROR(__xludf.DUMMYFUNCTION("""COMPUTED_VALUE"""),0)</f>
        <v>0</v>
      </c>
      <c r="I1108" s="5">
        <f ca="1">IFERROR(__xludf.DUMMYFUNCTION("""COMPUTED_VALUE"""),0)</f>
        <v>0</v>
      </c>
      <c r="J1108" s="5">
        <f ca="1">IFERROR(__xludf.DUMMYFUNCTION("""COMPUTED_VALUE"""),0)</f>
        <v>0</v>
      </c>
      <c r="K1108" s="9" t="str">
        <f ca="1">IFERROR(__xludf.DUMMYFUNCTION("""COMPUTED_VALUE"""),"http://www.moultrieobserver.com/news/local_news/student-fires-gun-during-struggle/article_149e02cc-84db-11e5-8369-ef294cd8fd87.html")</f>
        <v>http://www.moultrieobserver.com/news/local_news/student-fires-gun-during-struggle/article_149e02cc-84db-11e5-8369-ef294cd8fd87.html</v>
      </c>
      <c r="L1108" s="5">
        <f ca="1">IFERROR(__xludf.DUMMYFUNCTION("""COMPUTED_VALUE"""),1)</f>
        <v>1</v>
      </c>
      <c r="M1108" s="5" t="str">
        <f ca="1">IFERROR(__xludf.DUMMYFUNCTION("""COMPUTED_VALUE"""),"Local")</f>
        <v>Local</v>
      </c>
      <c r="N1108" s="5">
        <f ca="1">IFERROR(__xludf.DUMMYFUNCTION("""COMPUTED_VALUE"""),2)</f>
        <v>2</v>
      </c>
      <c r="O1108" s="5" t="str">
        <f ca="1">IFERROR(__xludf.DUMMYFUNCTION("""COMPUTED_VALUE"""),"Fall")</f>
        <v>Fall</v>
      </c>
      <c r="P1108" s="5" t="str">
        <f ca="1">IFERROR(__xludf.DUMMYFUNCTION("""COMPUTED_VALUE"""),"Moultrie")</f>
        <v>Moultrie</v>
      </c>
      <c r="Q1108" s="5" t="str">
        <f ca="1">IFERROR(__xludf.DUMMYFUNCTION("""COMPUTED_VALUE"""),"GA")</f>
        <v>GA</v>
      </c>
      <c r="R1108" s="5" t="str">
        <f ca="1">IFERROR(__xludf.DUMMYFUNCTION("""COMPUTED_VALUE"""),"Other")</f>
        <v>Other</v>
      </c>
      <c r="S1108" s="5" t="str">
        <f ca="1">IFERROR(__xludf.DUMMYFUNCTION("""COMPUTED_VALUE"""),"Classroom")</f>
        <v>Classroom</v>
      </c>
      <c r="T1108" s="5" t="str">
        <f ca="1">IFERROR(__xludf.DUMMYFUNCTION("""COMPUTED_VALUE"""),"Inside School Building")</f>
        <v>Inside School Building</v>
      </c>
      <c r="U1108" s="5" t="str">
        <f ca="1">IFERROR(__xludf.DUMMYFUNCTION("""COMPUTED_VALUE"""),"Yes")</f>
        <v>Yes</v>
      </c>
      <c r="V1108" s="5"/>
      <c r="W1108" s="5"/>
      <c r="X1108" s="5"/>
      <c r="Y1108" s="5" t="str">
        <f ca="1">IFERROR(__xludf.DUMMYFUNCTION("""COMPUTED_VALUE"""),"Student fired gun in SRO holster during physical confrontation")</f>
        <v>Student fired gun in SRO holster during physical confrontation</v>
      </c>
      <c r="Z1108" s="5" t="str">
        <f ca="1">IFERROR(__xludf.DUMMYFUNCTION("""COMPUTED_VALUE"""),"9YOM student was throwing chairs and acting violent in the classroom. SRO responded to take the student to the time out room. While being escorted out, the student grabbed the SRO's gun and fired a shot inside the holster. No one was injured, the bullet w"&amp;"ent in the floor. The student said he intended to fire the gun. School is for emotionally and mentally challenged students.")</f>
        <v>9YOM student was throwing chairs and acting violent in the classroom. SRO responded to take the student to the time out room. While being escorted out, the student grabbed the SRO's gun and fired a shot inside the holster. No one was injured, the bullet went in the floor. The student said he intended to fire the gun. School is for emotionally and mentally challenged students.</v>
      </c>
      <c r="AA1108" s="5" t="str">
        <f ca="1">IFERROR(__xludf.DUMMYFUNCTION("""COMPUTED_VALUE"""),"Psychosis")</f>
        <v>Psychosis</v>
      </c>
      <c r="AB1108" s="5" t="str">
        <f ca="1">IFERROR(__xludf.DUMMYFUNCTION("""COMPUTED_VALUE"""),"Neither")</f>
        <v>Neither</v>
      </c>
      <c r="AC1108" s="5" t="str">
        <f ca="1">IFERROR(__xludf.DUMMYFUNCTION("""COMPUTED_VALUE"""),"No")</f>
        <v>No</v>
      </c>
      <c r="AD1108" s="5" t="str">
        <f ca="1">IFERROR(__xludf.DUMMYFUNCTION("""COMPUTED_VALUE"""),"No")</f>
        <v>No</v>
      </c>
      <c r="AE1108" s="5" t="str">
        <f ca="1">IFERROR(__xludf.DUMMYFUNCTION("""COMPUTED_VALUE"""),"No")</f>
        <v>No</v>
      </c>
      <c r="AF1108" s="5" t="str">
        <f ca="1">IFERROR(__xludf.DUMMYFUNCTION("""COMPUTED_VALUE"""),"No")</f>
        <v>No</v>
      </c>
      <c r="AG1108" s="5" t="str">
        <f ca="1">IFERROR(__xludf.DUMMYFUNCTION("""COMPUTED_VALUE"""),"No")</f>
        <v>No</v>
      </c>
      <c r="AH1108" s="5" t="str">
        <f ca="1">IFERROR(__xludf.DUMMYFUNCTION("""COMPUTED_VALUE"""),"No")</f>
        <v>No</v>
      </c>
      <c r="AI1108" s="5" t="str">
        <f ca="1">IFERROR(__xludf.DUMMYFUNCTION("""COMPUTED_VALUE"""),"No")</f>
        <v>No</v>
      </c>
      <c r="AJ1108" s="5" t="str">
        <f ca="1">IFERROR(__xludf.DUMMYFUNCTION("""COMPUTED_VALUE"""),"No")</f>
        <v>No</v>
      </c>
    </row>
    <row r="1109" spans="1:36" ht="13">
      <c r="A1109" s="5" t="str">
        <f ca="1">IFERROR(__xludf.DUMMYFUNCTION("""COMPUTED_VALUE"""),"20151024TXEDS")</f>
        <v>20151024TXEDS</v>
      </c>
      <c r="B1109" s="5">
        <f ca="1">IFERROR(__xludf.DUMMYFUNCTION("""COMPUTED_VALUE"""),10)</f>
        <v>10</v>
      </c>
      <c r="C1109" s="5">
        <f ca="1">IFERROR(__xludf.DUMMYFUNCTION("""COMPUTED_VALUE"""),24)</f>
        <v>24</v>
      </c>
      <c r="D1109" s="5">
        <f ca="1">IFERROR(__xludf.DUMMYFUNCTION("""COMPUTED_VALUE"""),2015)</f>
        <v>2015</v>
      </c>
      <c r="E1109" s="8">
        <f ca="1">IFERROR(__xludf.DUMMYFUNCTION("""COMPUTED_VALUE"""),42301)</f>
        <v>42301</v>
      </c>
      <c r="F1109" s="5" t="str">
        <f ca="1">IFERROR(__xludf.DUMMYFUNCTION("""COMPUTED_VALUE"""),"Ed White Middle School")</f>
        <v>Ed White Middle School</v>
      </c>
      <c r="G1109" s="5">
        <f ca="1">IFERROR(__xludf.DUMMYFUNCTION("""COMPUTED_VALUE"""),1)</f>
        <v>1</v>
      </c>
      <c r="H1109" s="5">
        <f ca="1">IFERROR(__xludf.DUMMYFUNCTION("""COMPUTED_VALUE"""),0)</f>
        <v>0</v>
      </c>
      <c r="I1109" s="5">
        <f ca="1">IFERROR(__xludf.DUMMYFUNCTION("""COMPUTED_VALUE"""),1)</f>
        <v>1</v>
      </c>
      <c r="J1109" s="5">
        <f ca="1">IFERROR(__xludf.DUMMYFUNCTION("""COMPUTED_VALUE"""),0)</f>
        <v>0</v>
      </c>
      <c r="K1109" s="9" t="str">
        <f ca="1">IFERROR(__xludf.DUMMYFUNCTION("""COMPUTED_VALUE"""),"https://www.mysanantonio.com/news/local/article/Man-fatally-shot-in-middle-school-parking-lot-6588994.php")</f>
        <v>https://www.mysanantonio.com/news/local/article/Man-fatally-shot-in-middle-school-parking-lot-6588994.php</v>
      </c>
      <c r="L1109" s="5"/>
      <c r="M1109" s="5"/>
      <c r="N1109" s="5">
        <f ca="1">IFERROR(__xludf.DUMMYFUNCTION("""COMPUTED_VALUE"""),4)</f>
        <v>4</v>
      </c>
      <c r="O1109" s="5" t="str">
        <f ca="1">IFERROR(__xludf.DUMMYFUNCTION("""COMPUTED_VALUE"""),"Fall")</f>
        <v>Fall</v>
      </c>
      <c r="P1109" s="5" t="str">
        <f ca="1">IFERROR(__xludf.DUMMYFUNCTION("""COMPUTED_VALUE"""),"San Antonio")</f>
        <v>San Antonio</v>
      </c>
      <c r="Q1109" s="5" t="str">
        <f ca="1">IFERROR(__xludf.DUMMYFUNCTION("""COMPUTED_VALUE"""),"TX")</f>
        <v>TX</v>
      </c>
      <c r="R1109" s="5" t="str">
        <f ca="1">IFERROR(__xludf.DUMMYFUNCTION("""COMPUTED_VALUE"""),"Middle")</f>
        <v>Middle</v>
      </c>
      <c r="S1109" s="5" t="str">
        <f ca="1">IFERROR(__xludf.DUMMYFUNCTION("""COMPUTED_VALUE"""),"Parking Lot")</f>
        <v>Parking Lot</v>
      </c>
      <c r="T1109" s="5" t="str">
        <f ca="1">IFERROR(__xludf.DUMMYFUNCTION("""COMPUTED_VALUE"""),"Outside on School Property")</f>
        <v>Outside on School Property</v>
      </c>
      <c r="U1109" s="5" t="str">
        <f ca="1">IFERROR(__xludf.DUMMYFUNCTION("""COMPUTED_VALUE"""),"No")</f>
        <v>No</v>
      </c>
      <c r="V1109" s="5" t="str">
        <f ca="1">IFERROR(__xludf.DUMMYFUNCTION("""COMPUTED_VALUE"""),"Night")</f>
        <v>Night</v>
      </c>
      <c r="W1109" s="10">
        <f ca="1">IFERROR(__xludf.DUMMYFUNCTION("""COMPUTED_VALUE"""),0.125)</f>
        <v>0.125</v>
      </c>
      <c r="X1109" s="5">
        <f ca="1">IFERROR(__xludf.DUMMYFUNCTION("""COMPUTED_VALUE"""),1)</f>
        <v>1</v>
      </c>
      <c r="Y1109" s="5" t="str">
        <f ca="1">IFERROR(__xludf.DUMMYFUNCTION("""COMPUTED_VALUE"""),"Adult male killed in school parking lot late at night")</f>
        <v>Adult male killed in school parking lot late at night</v>
      </c>
      <c r="Z1109" s="5" t="str">
        <f ca="1">IFERROR(__xludf.DUMMYFUNCTION("""COMPUTED_VALUE"""),"25YOM was killed in school parking lot by unknown shooter who fled the scene in a white SUV. Unknown motive or circumstances.")</f>
        <v>25YOM was killed in school parking lot by unknown shooter who fled the scene in a white SUV. Unknown motive or circumstances.</v>
      </c>
      <c r="AA1109" s="5" t="str">
        <f ca="1">IFERROR(__xludf.DUMMYFUNCTION("""COMPUTED_VALUE"""),"Escalation of Dispute")</f>
        <v>Escalation of Dispute</v>
      </c>
      <c r="AB1109" s="5" t="str">
        <f ca="1">IFERROR(__xludf.DUMMYFUNCTION("""COMPUTED_VALUE"""),"Victims Targeted")</f>
        <v>Victims Targeted</v>
      </c>
      <c r="AC1109" s="5"/>
      <c r="AD1109" s="5" t="str">
        <f ca="1">IFERROR(__xludf.DUMMYFUNCTION("""COMPUTED_VALUE"""),"No")</f>
        <v>No</v>
      </c>
      <c r="AE1109" s="5" t="str">
        <f ca="1">IFERROR(__xludf.DUMMYFUNCTION("""COMPUTED_VALUE"""),"No")</f>
        <v>No</v>
      </c>
      <c r="AF1109" s="5" t="str">
        <f ca="1">IFERROR(__xludf.DUMMYFUNCTION("""COMPUTED_VALUE"""),"No")</f>
        <v>No</v>
      </c>
      <c r="AG1109" s="5" t="str">
        <f ca="1">IFERROR(__xludf.DUMMYFUNCTION("""COMPUTED_VALUE"""),"No")</f>
        <v>No</v>
      </c>
      <c r="AH1109" s="5" t="str">
        <f ca="1">IFERROR(__xludf.DUMMYFUNCTION("""COMPUTED_VALUE"""),"No")</f>
        <v>No</v>
      </c>
      <c r="AI1109" s="5"/>
      <c r="AJ1109" s="5" t="str">
        <f ca="1">IFERROR(__xludf.DUMMYFUNCTION("""COMPUTED_VALUE"""),"No")</f>
        <v>No</v>
      </c>
    </row>
    <row r="1110" spans="1:36" ht="13">
      <c r="A1110" s="5" t="str">
        <f ca="1">IFERROR(__xludf.DUMMYFUNCTION("""COMPUTED_VALUE"""),"20151015TXKAS")</f>
        <v>20151015TXKAS</v>
      </c>
      <c r="B1110" s="5">
        <f ca="1">IFERROR(__xludf.DUMMYFUNCTION("""COMPUTED_VALUE"""),10)</f>
        <v>10</v>
      </c>
      <c r="C1110" s="5">
        <f ca="1">IFERROR(__xludf.DUMMYFUNCTION("""COMPUTED_VALUE"""),15)</f>
        <v>15</v>
      </c>
      <c r="D1110" s="5">
        <f ca="1">IFERROR(__xludf.DUMMYFUNCTION("""COMPUTED_VALUE"""),2015)</f>
        <v>2015</v>
      </c>
      <c r="E1110" s="8">
        <f ca="1">IFERROR(__xludf.DUMMYFUNCTION("""COMPUTED_VALUE"""),42292)</f>
        <v>42292</v>
      </c>
      <c r="F1110" s="5" t="str">
        <f ca="1">IFERROR(__xludf.DUMMYFUNCTION("""COMPUTED_VALUE"""),"Karen Wagner High School")</f>
        <v>Karen Wagner High School</v>
      </c>
      <c r="G1110" s="5">
        <f ca="1">IFERROR(__xludf.DUMMYFUNCTION("""COMPUTED_VALUE"""),0)</f>
        <v>0</v>
      </c>
      <c r="H1110" s="5">
        <f ca="1">IFERROR(__xludf.DUMMYFUNCTION("""COMPUTED_VALUE"""),0)</f>
        <v>0</v>
      </c>
      <c r="I1110" s="5">
        <f ca="1">IFERROR(__xludf.DUMMYFUNCTION("""COMPUTED_VALUE"""),0)</f>
        <v>0</v>
      </c>
      <c r="J1110" s="5">
        <f ca="1">IFERROR(__xludf.DUMMYFUNCTION("""COMPUTED_VALUE"""),0)</f>
        <v>0</v>
      </c>
      <c r="K1110" s="9" t="str">
        <f ca="1">IFERROR(__xludf.DUMMYFUNCTION("""COMPUTED_VALUE"""),"http://news4sanantonio.com/news/local/deputies-arrest-wagner-high-school-shooting-suspect")</f>
        <v>http://news4sanantonio.com/news/local/deputies-arrest-wagner-high-school-shooting-suspect</v>
      </c>
      <c r="L1110" s="5">
        <f ca="1">IFERROR(__xludf.DUMMYFUNCTION("""COMPUTED_VALUE"""),1)</f>
        <v>1</v>
      </c>
      <c r="M1110" s="5" t="str">
        <f ca="1">IFERROR(__xludf.DUMMYFUNCTION("""COMPUTED_VALUE"""),"Local")</f>
        <v>Local</v>
      </c>
      <c r="N1110" s="5">
        <f ca="1">IFERROR(__xludf.DUMMYFUNCTION("""COMPUTED_VALUE"""),2)</f>
        <v>2</v>
      </c>
      <c r="O1110" s="5" t="str">
        <f ca="1">IFERROR(__xludf.DUMMYFUNCTION("""COMPUTED_VALUE"""),"Fall")</f>
        <v>Fall</v>
      </c>
      <c r="P1110" s="5" t="str">
        <f ca="1">IFERROR(__xludf.DUMMYFUNCTION("""COMPUTED_VALUE"""),"San Antonio")</f>
        <v>San Antonio</v>
      </c>
      <c r="Q1110" s="5" t="str">
        <f ca="1">IFERROR(__xludf.DUMMYFUNCTION("""COMPUTED_VALUE"""),"TX")</f>
        <v>TX</v>
      </c>
      <c r="R1110" s="5" t="str">
        <f ca="1">IFERROR(__xludf.DUMMYFUNCTION("""COMPUTED_VALUE"""),"High")</f>
        <v>High</v>
      </c>
      <c r="S1110" s="5" t="str">
        <f ca="1">IFERROR(__xludf.DUMMYFUNCTION("""COMPUTED_VALUE"""),"Parking Lot")</f>
        <v>Parking Lot</v>
      </c>
      <c r="T1110" s="5" t="str">
        <f ca="1">IFERROR(__xludf.DUMMYFUNCTION("""COMPUTED_VALUE"""),"Outside on School Property")</f>
        <v>Outside on School Property</v>
      </c>
      <c r="U1110" s="5" t="str">
        <f ca="1">IFERROR(__xludf.DUMMYFUNCTION("""COMPUTED_VALUE"""),"Yes")</f>
        <v>Yes</v>
      </c>
      <c r="V1110" s="5" t="str">
        <f ca="1">IFERROR(__xludf.DUMMYFUNCTION("""COMPUTED_VALUE"""),"Morning Classes")</f>
        <v>Morning Classes</v>
      </c>
      <c r="W1110" s="10">
        <f ca="1">IFERROR(__xludf.DUMMYFUNCTION("""COMPUTED_VALUE"""),0.375)</f>
        <v>0.375</v>
      </c>
      <c r="X1110" s="5">
        <f ca="1">IFERROR(__xludf.DUMMYFUNCTION("""COMPUTED_VALUE"""),1)</f>
        <v>1</v>
      </c>
      <c r="Y1110" s="5" t="str">
        <f ca="1">IFERROR(__xludf.DUMMYFUNCTION("""COMPUTED_VALUE"""),"Fired shots at principals car after friend reprimanded")</f>
        <v>Fired shots at principals car after friend reprimanded</v>
      </c>
      <c r="Z1110" s="5" t="str">
        <f ca="1">IFERROR(__xludf.DUMMYFUNCTION("""COMPUTED_VALUE"""),"22YOF shooter was angry because the principal had reprimanded her friend. She struck the principal's vehicle with a baseball bat multiple times then fired a gun at it breaking the windows. Shooter left the scene and was arrested at her place of employment"&amp;". A gun was found at shooter's home, not clear if it's the weapon used. No injuries.")</f>
        <v>22YOF shooter was angry because the principal had reprimanded her friend. She struck the principal's vehicle with a baseball bat multiple times then fired a gun at it breaking the windows. Shooter left the scene and was arrested at her place of employment. A gun was found at shooter's home, not clear if it's the weapon used. No injuries.</v>
      </c>
      <c r="AA1110" s="5" t="str">
        <f ca="1">IFERROR(__xludf.DUMMYFUNCTION("""COMPUTED_VALUE"""),"Anger Over Grade/Suspension/Discipline")</f>
        <v>Anger Over Grade/Suspension/Discipline</v>
      </c>
      <c r="AB1110" s="5" t="str">
        <f ca="1">IFERROR(__xludf.DUMMYFUNCTION("""COMPUTED_VALUE"""),"Victims Targeted")</f>
        <v>Victims Targeted</v>
      </c>
      <c r="AC1110" s="5" t="str">
        <f ca="1">IFERROR(__xludf.DUMMYFUNCTION("""COMPUTED_VALUE"""),"No")</f>
        <v>No</v>
      </c>
      <c r="AD1110" s="5" t="str">
        <f ca="1">IFERROR(__xludf.DUMMYFUNCTION("""COMPUTED_VALUE"""),"No")</f>
        <v>No</v>
      </c>
      <c r="AE1110" s="5" t="str">
        <f ca="1">IFERROR(__xludf.DUMMYFUNCTION("""COMPUTED_VALUE"""),"No")</f>
        <v>No</v>
      </c>
      <c r="AF1110" s="5" t="str">
        <f ca="1">IFERROR(__xludf.DUMMYFUNCTION("""COMPUTED_VALUE"""),"No")</f>
        <v>No</v>
      </c>
      <c r="AG1110" s="5" t="str">
        <f ca="1">IFERROR(__xludf.DUMMYFUNCTION("""COMPUTED_VALUE"""),"No")</f>
        <v>No</v>
      </c>
      <c r="AH1110" s="5" t="str">
        <f ca="1">IFERROR(__xludf.DUMMYFUNCTION("""COMPUTED_VALUE"""),"No")</f>
        <v>No</v>
      </c>
      <c r="AI1110" s="5" t="str">
        <f ca="1">IFERROR(__xludf.DUMMYFUNCTION("""COMPUTED_VALUE"""),"No")</f>
        <v>No</v>
      </c>
      <c r="AJ1110" s="5" t="str">
        <f ca="1">IFERROR(__xludf.DUMMYFUNCTION("""COMPUTED_VALUE"""),"No")</f>
        <v>No</v>
      </c>
    </row>
    <row r="1111" spans="1:36" ht="13">
      <c r="A1111" s="5" t="str">
        <f ca="1">IFERROR(__xludf.DUMMYFUNCTION("""COMPUTED_VALUE"""),"20150930SDHAH")</f>
        <v>20150930SDHAH</v>
      </c>
      <c r="B1111" s="5">
        <f ca="1">IFERROR(__xludf.DUMMYFUNCTION("""COMPUTED_VALUE"""),9)</f>
        <v>9</v>
      </c>
      <c r="C1111" s="5">
        <f ca="1">IFERROR(__xludf.DUMMYFUNCTION("""COMPUTED_VALUE"""),30)</f>
        <v>30</v>
      </c>
      <c r="D1111" s="5">
        <f ca="1">IFERROR(__xludf.DUMMYFUNCTION("""COMPUTED_VALUE"""),2015)</f>
        <v>2015</v>
      </c>
      <c r="E1111" s="8">
        <f ca="1">IFERROR(__xludf.DUMMYFUNCTION("""COMPUTED_VALUE"""),42277)</f>
        <v>42277</v>
      </c>
      <c r="F1111" s="5" t="str">
        <f ca="1">IFERROR(__xludf.DUMMYFUNCTION("""COMPUTED_VALUE"""),"Harrisburg High School")</f>
        <v>Harrisburg High School</v>
      </c>
      <c r="G1111" s="5">
        <f ca="1">IFERROR(__xludf.DUMMYFUNCTION("""COMPUTED_VALUE"""),0)</f>
        <v>0</v>
      </c>
      <c r="H1111" s="5">
        <f ca="1">IFERROR(__xludf.DUMMYFUNCTION("""COMPUTED_VALUE"""),1)</f>
        <v>1</v>
      </c>
      <c r="I1111" s="5">
        <f ca="1">IFERROR(__xludf.DUMMYFUNCTION("""COMPUTED_VALUE"""),1)</f>
        <v>1</v>
      </c>
      <c r="J1111" s="5">
        <f ca="1">IFERROR(__xludf.DUMMYFUNCTION("""COMPUTED_VALUE"""),0)</f>
        <v>0</v>
      </c>
      <c r="K1111" s="5" t="str">
        <f ca="1">IFERROR(__xludf.DUMMYFUNCTION("""COMPUTED_VALUE"""),"https://www.keloland.com/news/local-news/harrisburg-school-shooter-faces-rape-charge/ https://www.argusleader.com/story/news/2017/08/09/suspect-harrisburg-school-shooting-appear-court-today/552939001/")</f>
        <v>https://www.keloland.com/news/local-news/harrisburg-school-shooter-faces-rape-charge/ https://www.argusleader.com/story/news/2017/08/09/suspect-harrisburg-school-shooting-appear-court-today/552939001/</v>
      </c>
      <c r="L1111" s="5">
        <f ca="1">IFERROR(__xludf.DUMMYFUNCTION("""COMPUTED_VALUE"""),2)</f>
        <v>2</v>
      </c>
      <c r="M1111" s="5" t="str">
        <f ca="1">IFERROR(__xludf.DUMMYFUNCTION("""COMPUTED_VALUE"""),"Local")</f>
        <v>Local</v>
      </c>
      <c r="N1111" s="5">
        <f ca="1">IFERROR(__xludf.DUMMYFUNCTION("""COMPUTED_VALUE"""),4)</f>
        <v>4</v>
      </c>
      <c r="O1111" s="5" t="str">
        <f ca="1">IFERROR(__xludf.DUMMYFUNCTION("""COMPUTED_VALUE"""),"Fall")</f>
        <v>Fall</v>
      </c>
      <c r="P1111" s="5" t="str">
        <f ca="1">IFERROR(__xludf.DUMMYFUNCTION("""COMPUTED_VALUE"""),"Harrisburg")</f>
        <v>Harrisburg</v>
      </c>
      <c r="Q1111" s="5" t="str">
        <f ca="1">IFERROR(__xludf.DUMMYFUNCTION("""COMPUTED_VALUE"""),"SD")</f>
        <v>SD</v>
      </c>
      <c r="R1111" s="5" t="str">
        <f ca="1">IFERROR(__xludf.DUMMYFUNCTION("""COMPUTED_VALUE"""),"High")</f>
        <v>High</v>
      </c>
      <c r="S1111" s="5" t="str">
        <f ca="1">IFERROR(__xludf.DUMMYFUNCTION("""COMPUTED_VALUE"""),"Office")</f>
        <v>Office</v>
      </c>
      <c r="T1111" s="5" t="str">
        <f ca="1">IFERROR(__xludf.DUMMYFUNCTION("""COMPUTED_VALUE"""),"Inside School Building")</f>
        <v>Inside School Building</v>
      </c>
      <c r="U1111" s="5" t="str">
        <f ca="1">IFERROR(__xludf.DUMMYFUNCTION("""COMPUTED_VALUE"""),"Yes")</f>
        <v>Yes</v>
      </c>
      <c r="V1111" s="5" t="str">
        <f ca="1">IFERROR(__xludf.DUMMYFUNCTION("""COMPUTED_VALUE"""),"Morning Classes")</f>
        <v>Morning Classes</v>
      </c>
      <c r="W1111" s="10">
        <f ca="1">IFERROR(__xludf.DUMMYFUNCTION("""COMPUTED_VALUE"""),0.416666666666666)</f>
        <v>0.41666666666666602</v>
      </c>
      <c r="X1111" s="5">
        <f ca="1">IFERROR(__xludf.DUMMYFUNCTION("""COMPUTED_VALUE"""),1)</f>
        <v>1</v>
      </c>
      <c r="Y1111" s="5" t="str">
        <f ca="1">IFERROR(__xludf.DUMMYFUNCTION("""COMPUTED_VALUE"""),"Suspected mental illness and inability to adjust to the new school")</f>
        <v>Suspected mental illness and inability to adjust to the new school</v>
      </c>
      <c r="Z1111" s="5" t="str">
        <f ca="1">IFERROR(__xludf.DUMMYFUNCTION("""COMPUTED_VALUE"""),"Shooter walked into principal's office and fired single shot (had 50 rounds). Gun jammed and two other staff members tackled him. School officials said the student needed help and they failed him. Shooter had no history of violence and showed remorse in c"&amp;"ourt. Transferred to the school from out-of-state and had trouble adjusting to the new school. Sentenced to mental health treatment and did not get jail time.")</f>
        <v>Shooter walked into principal's office and fired single shot (had 50 rounds). Gun jammed and two other staff members tackled him. School officials said the student needed help and they failed him. Shooter had no history of violence and showed remorse in court. Transferred to the school from out-of-state and had trouble adjusting to the new school. Sentenced to mental health treatment and did not get jail time.</v>
      </c>
      <c r="AA1111" s="5" t="str">
        <f ca="1">IFERROR(__xludf.DUMMYFUNCTION("""COMPUTED_VALUE"""),"Psychosis")</f>
        <v>Psychosis</v>
      </c>
      <c r="AB1111" s="5" t="str">
        <f ca="1">IFERROR(__xludf.DUMMYFUNCTION("""COMPUTED_VALUE"""),"Victims Targeted")</f>
        <v>Victims Targeted</v>
      </c>
      <c r="AC1111" s="5" t="str">
        <f ca="1">IFERROR(__xludf.DUMMYFUNCTION("""COMPUTED_VALUE"""),"No")</f>
        <v>No</v>
      </c>
      <c r="AD1111" s="5" t="str">
        <f ca="1">IFERROR(__xludf.DUMMYFUNCTION("""COMPUTED_VALUE"""),"No")</f>
        <v>No</v>
      </c>
      <c r="AE1111" s="5" t="str">
        <f ca="1">IFERROR(__xludf.DUMMYFUNCTION("""COMPUTED_VALUE"""),"No")</f>
        <v>No</v>
      </c>
      <c r="AF1111" s="5" t="str">
        <f ca="1">IFERROR(__xludf.DUMMYFUNCTION("""COMPUTED_VALUE"""),"No")</f>
        <v>No</v>
      </c>
      <c r="AG1111" s="5" t="str">
        <f ca="1">IFERROR(__xludf.DUMMYFUNCTION("""COMPUTED_VALUE"""),"No")</f>
        <v>No</v>
      </c>
      <c r="AH1111" s="5" t="str">
        <f ca="1">IFERROR(__xludf.DUMMYFUNCTION("""COMPUTED_VALUE"""),"No")</f>
        <v>No</v>
      </c>
      <c r="AI1111" s="5" t="str">
        <f ca="1">IFERROR(__xludf.DUMMYFUNCTION("""COMPUTED_VALUE"""),"No")</f>
        <v>No</v>
      </c>
      <c r="AJ1111" s="5" t="str">
        <f ca="1">IFERROR(__xludf.DUMMYFUNCTION("""COMPUTED_VALUE"""),"Yes")</f>
        <v>Yes</v>
      </c>
    </row>
    <row r="1112" spans="1:36" ht="13">
      <c r="A1112" s="5" t="str">
        <f ca="1">IFERROR(__xludf.DUMMYFUNCTION("""COMPUTED_VALUE"""),"20150922NCCES")</f>
        <v>20150922NCCES</v>
      </c>
      <c r="B1112" s="5">
        <f ca="1">IFERROR(__xludf.DUMMYFUNCTION("""COMPUTED_VALUE"""),9)</f>
        <v>9</v>
      </c>
      <c r="C1112" s="5">
        <f ca="1">IFERROR(__xludf.DUMMYFUNCTION("""COMPUTED_VALUE"""),22)</f>
        <v>22</v>
      </c>
      <c r="D1112" s="5">
        <f ca="1">IFERROR(__xludf.DUMMYFUNCTION("""COMPUTED_VALUE"""),2015)</f>
        <v>2015</v>
      </c>
      <c r="E1112" s="8">
        <f ca="1">IFERROR(__xludf.DUMMYFUNCTION("""COMPUTED_VALUE"""),42269)</f>
        <v>42269</v>
      </c>
      <c r="F1112" s="5" t="str">
        <f ca="1">IFERROR(__xludf.DUMMYFUNCTION("""COMPUTED_VALUE"""),"Central Elementary School")</f>
        <v>Central Elementary School</v>
      </c>
      <c r="G1112" s="5">
        <f ca="1">IFERROR(__xludf.DUMMYFUNCTION("""COMPUTED_VALUE"""),0)</f>
        <v>0</v>
      </c>
      <c r="H1112" s="5">
        <f ca="1">IFERROR(__xludf.DUMMYFUNCTION("""COMPUTED_VALUE"""),1)</f>
        <v>1</v>
      </c>
      <c r="I1112" s="5">
        <f ca="1">IFERROR(__xludf.DUMMYFUNCTION("""COMPUTED_VALUE"""),1)</f>
        <v>1</v>
      </c>
      <c r="J1112" s="5">
        <f ca="1">IFERROR(__xludf.DUMMYFUNCTION("""COMPUTED_VALUE"""),0)</f>
        <v>0</v>
      </c>
      <c r="K1112" s="5" t="str">
        <f ca="1">IFERROR(__xludf.DUMMYFUNCTION("""COMPUTED_VALUE"""),"https://www.cbsnews.com/news/one-injured-in-shooting-at-north-carolina-elementary-school/ . http://raycomgroup.worldnow.com/story/30090650/sheriff-husband-shot-by-wife-at-elementary-school-in-critical-condition-no-arrest-yet . https://www.statesville.com/"&amp;"news/statesville-woman-who-shot-husband-in-refuses-plea-offer/article_2aab8258-2239-11e8-a5b7-1b403b35d306.html . https://www.charlotteobserver.com/news/local/crime/article89833462.html")</f>
        <v>https://www.cbsnews.com/news/one-injured-in-shooting-at-north-carolina-elementary-school/ . http://raycomgroup.worldnow.com/story/30090650/sheriff-husband-shot-by-wife-at-elementary-school-in-critical-condition-no-arrest-yet . https://www.statesville.com/news/statesville-woman-who-shot-husband-in-refuses-plea-offer/article_2aab8258-2239-11e8-a5b7-1b403b35d306.html . https://www.charlotteobserver.com/news/local/crime/article89833462.html</v>
      </c>
      <c r="L1112" s="5"/>
      <c r="M1112" s="5"/>
      <c r="N1112" s="5">
        <f ca="1">IFERROR(__xludf.DUMMYFUNCTION("""COMPUTED_VALUE"""),3)</f>
        <v>3</v>
      </c>
      <c r="O1112" s="5" t="str">
        <f ca="1">IFERROR(__xludf.DUMMYFUNCTION("""COMPUTED_VALUE"""),"Fall")</f>
        <v>Fall</v>
      </c>
      <c r="P1112" s="5" t="str">
        <f ca="1">IFERROR(__xludf.DUMMYFUNCTION("""COMPUTED_VALUE"""),"Stateville")</f>
        <v>Stateville</v>
      </c>
      <c r="Q1112" s="5" t="str">
        <f ca="1">IFERROR(__xludf.DUMMYFUNCTION("""COMPUTED_VALUE"""),"NC")</f>
        <v>NC</v>
      </c>
      <c r="R1112" s="5" t="str">
        <f ca="1">IFERROR(__xludf.DUMMYFUNCTION("""COMPUTED_VALUE"""),"Elementary")</f>
        <v>Elementary</v>
      </c>
      <c r="S1112" s="5" t="str">
        <f ca="1">IFERROR(__xludf.DUMMYFUNCTION("""COMPUTED_VALUE"""),"Parking Lot")</f>
        <v>Parking Lot</v>
      </c>
      <c r="T1112" s="5" t="str">
        <f ca="1">IFERROR(__xludf.DUMMYFUNCTION("""COMPUTED_VALUE"""),"Outside on School Property")</f>
        <v>Outside on School Property</v>
      </c>
      <c r="U1112" s="5" t="str">
        <f ca="1">IFERROR(__xludf.DUMMYFUNCTION("""COMPUTED_VALUE"""),"Yes")</f>
        <v>Yes</v>
      </c>
      <c r="V1112" s="5" t="str">
        <f ca="1">IFERROR(__xludf.DUMMYFUNCTION("""COMPUTED_VALUE"""),"Dismissal")</f>
        <v>Dismissal</v>
      </c>
      <c r="W1112" s="10">
        <f ca="1">IFERROR(__xludf.DUMMYFUNCTION("""COMPUTED_VALUE"""),0.625)</f>
        <v>0.625</v>
      </c>
      <c r="X1112" s="5">
        <f ca="1">IFERROR(__xludf.DUMMYFUNCTION("""COMPUTED_VALUE"""),1)</f>
        <v>1</v>
      </c>
      <c r="Y1112" s="5" t="str">
        <f ca="1">IFERROR(__xludf.DUMMYFUNCTION("""COMPUTED_VALUE"""),"Wife shot estranged husband in school parking lot")</f>
        <v>Wife shot estranged husband in school parking lot</v>
      </c>
      <c r="Z1112" s="5" t="str">
        <f ca="1">IFERROR(__xludf.DUMMYFUNCTION("""COMPUTED_VALUE"""),"Husband and estranged wife drove to school to pick up their oldest of two children. Wife pulled gun on husband and shot him twice. Wife then walked into school with gun and surrendered. Wife later stated husband was abusive and she was protecting herself")</f>
        <v>Husband and estranged wife drove to school to pick up their oldest of two children. Wife pulled gun on husband and shot him twice. Wife then walked into school with gun and surrendered. Wife later stated husband was abusive and she was protecting herself</v>
      </c>
      <c r="AA1112" s="5" t="str">
        <f ca="1">IFERROR(__xludf.DUMMYFUNCTION("""COMPUTED_VALUE"""),"Domestic w/ Targeted Victim")</f>
        <v>Domestic w/ Targeted Victim</v>
      </c>
      <c r="AB1112" s="5" t="str">
        <f ca="1">IFERROR(__xludf.DUMMYFUNCTION("""COMPUTED_VALUE"""),"Victims Targeted")</f>
        <v>Victims Targeted</v>
      </c>
      <c r="AC1112" s="5" t="str">
        <f ca="1">IFERROR(__xludf.DUMMYFUNCTION("""COMPUTED_VALUE"""),"No")</f>
        <v>No</v>
      </c>
      <c r="AD1112" s="5" t="str">
        <f ca="1">IFERROR(__xludf.DUMMYFUNCTION("""COMPUTED_VALUE"""),"No")</f>
        <v>No</v>
      </c>
      <c r="AE1112" s="5" t="str">
        <f ca="1">IFERROR(__xludf.DUMMYFUNCTION("""COMPUTED_VALUE"""),"No")</f>
        <v>No</v>
      </c>
      <c r="AF1112" s="5" t="str">
        <f ca="1">IFERROR(__xludf.DUMMYFUNCTION("""COMPUTED_VALUE"""),"No")</f>
        <v>No</v>
      </c>
      <c r="AG1112" s="5" t="str">
        <f ca="1">IFERROR(__xludf.DUMMYFUNCTION("""COMPUTED_VALUE"""),"No")</f>
        <v>No</v>
      </c>
      <c r="AH1112" s="5" t="str">
        <f ca="1">IFERROR(__xludf.DUMMYFUNCTION("""COMPUTED_VALUE"""),"Yes")</f>
        <v>Yes</v>
      </c>
      <c r="AI1112" s="5" t="str">
        <f ca="1">IFERROR(__xludf.DUMMYFUNCTION("""COMPUTED_VALUE"""),"No")</f>
        <v>No</v>
      </c>
      <c r="AJ1112" s="5" t="str">
        <f ca="1">IFERROR(__xludf.DUMMYFUNCTION("""COMPUTED_VALUE"""),"No")</f>
        <v>No</v>
      </c>
    </row>
    <row r="1113" spans="1:36" ht="13">
      <c r="A1113" s="5" t="str">
        <f ca="1">IFERROR(__xludf.DUMMYFUNCTION("""COMPUTED_VALUE"""),"20150911LANOL")</f>
        <v>20150911LANOL</v>
      </c>
      <c r="B1113" s="5">
        <f ca="1">IFERROR(__xludf.DUMMYFUNCTION("""COMPUTED_VALUE"""),9)</f>
        <v>9</v>
      </c>
      <c r="C1113" s="5">
        <f ca="1">IFERROR(__xludf.DUMMYFUNCTION("""COMPUTED_VALUE"""),11)</f>
        <v>11</v>
      </c>
      <c r="D1113" s="5">
        <f ca="1">IFERROR(__xludf.DUMMYFUNCTION("""COMPUTED_VALUE"""),2015)</f>
        <v>2015</v>
      </c>
      <c r="E1113" s="8">
        <f ca="1">IFERROR(__xludf.DUMMYFUNCTION("""COMPUTED_VALUE"""),42258)</f>
        <v>42258</v>
      </c>
      <c r="F1113" s="5" t="str">
        <f ca="1">IFERROR(__xludf.DUMMYFUNCTION("""COMPUTED_VALUE"""),"Northside High School")</f>
        <v>Northside High School</v>
      </c>
      <c r="G1113" s="5">
        <f ca="1">IFERROR(__xludf.DUMMYFUNCTION("""COMPUTED_VALUE"""),0)</f>
        <v>0</v>
      </c>
      <c r="H1113" s="5">
        <f ca="1">IFERROR(__xludf.DUMMYFUNCTION("""COMPUTED_VALUE"""),1)</f>
        <v>1</v>
      </c>
      <c r="I1113" s="5">
        <f ca="1">IFERROR(__xludf.DUMMYFUNCTION("""COMPUTED_VALUE"""),1)</f>
        <v>1</v>
      </c>
      <c r="J1113" s="5">
        <f ca="1">IFERROR(__xludf.DUMMYFUNCTION("""COMPUTED_VALUE"""),0)</f>
        <v>0</v>
      </c>
      <c r="K1113" s="5" t="str">
        <f ca="1">IFERROR(__xludf.DUMMYFUNCTION("""COMPUTED_VALUE"""),"https://www.theadvocate.com/acadiana/news/article_7a1fecc3-9963-53f3-a359-661957c087b9.html . http://www.katc.com/story/30015486/girl-shot-in-northside-highs-parking-lot-friday-night")</f>
        <v>https://www.theadvocate.com/acadiana/news/article_7a1fecc3-9963-53f3-a359-661957c087b9.html . http://www.katc.com/story/30015486/girl-shot-in-northside-highs-parking-lot-friday-night</v>
      </c>
      <c r="L1113" s="5"/>
      <c r="M1113" s="5"/>
      <c r="N1113" s="5">
        <f ca="1">IFERROR(__xludf.DUMMYFUNCTION("""COMPUTED_VALUE"""),3)</f>
        <v>3</v>
      </c>
      <c r="O1113" s="5" t="str">
        <f ca="1">IFERROR(__xludf.DUMMYFUNCTION("""COMPUTED_VALUE"""),"Fall")</f>
        <v>Fall</v>
      </c>
      <c r="P1113" s="5" t="str">
        <f ca="1">IFERROR(__xludf.DUMMYFUNCTION("""COMPUTED_VALUE"""),"Lafayette")</f>
        <v>Lafayette</v>
      </c>
      <c r="Q1113" s="5" t="str">
        <f ca="1">IFERROR(__xludf.DUMMYFUNCTION("""COMPUTED_VALUE"""),"LA")</f>
        <v>LA</v>
      </c>
      <c r="R1113" s="5" t="str">
        <f ca="1">IFERROR(__xludf.DUMMYFUNCTION("""COMPUTED_VALUE"""),"High")</f>
        <v>High</v>
      </c>
      <c r="S1113" s="5" t="str">
        <f ca="1">IFERROR(__xludf.DUMMYFUNCTION("""COMPUTED_VALUE"""),"Front of School")</f>
        <v>Front of School</v>
      </c>
      <c r="T1113" s="5" t="str">
        <f ca="1">IFERROR(__xludf.DUMMYFUNCTION("""COMPUTED_VALUE"""),"Outside on School Property")</f>
        <v>Outside on School Property</v>
      </c>
      <c r="U1113" s="5" t="str">
        <f ca="1">IFERROR(__xludf.DUMMYFUNCTION("""COMPUTED_VALUE"""),"No")</f>
        <v>No</v>
      </c>
      <c r="V1113" s="5" t="str">
        <f ca="1">IFERROR(__xludf.DUMMYFUNCTION("""COMPUTED_VALUE"""),"Sport Event")</f>
        <v>Sport Event</v>
      </c>
      <c r="W1113" s="10">
        <f ca="1">IFERROR(__xludf.DUMMYFUNCTION("""COMPUTED_VALUE"""),0.913194444444444)</f>
        <v>0.91319444444444398</v>
      </c>
      <c r="X1113" s="5">
        <f ca="1">IFERROR(__xludf.DUMMYFUNCTION("""COMPUTED_VALUE"""),1)</f>
        <v>1</v>
      </c>
      <c r="Y1113" s="5" t="str">
        <f ca="1">IFERROR(__xludf.DUMMYFUNCTION("""COMPUTED_VALUE"""),"Bystander shot during drive-by")</f>
        <v>Bystander shot during drive-by</v>
      </c>
      <c r="Z1113" s="5" t="str">
        <f ca="1">IFERROR(__xludf.DUMMYFUNCTION("""COMPUTED_VALUE"""),"17 year old victim was walking from football game to front of school when several shots were fired in the area. Victim was shot in the arm. An SUV in the parking lot was also shot several times. Suspects were described as two black males.")</f>
        <v>17 year old victim was walking from football game to front of school when several shots were fired in the area. Victim was shot in the arm. An SUV in the parking lot was also shot several times. Suspects were described as two black males.</v>
      </c>
      <c r="AA1113" s="5" t="str">
        <f ca="1">IFERROR(__xludf.DUMMYFUNCTION("""COMPUTED_VALUE"""),"Drive-by Shooting")</f>
        <v>Drive-by Shooting</v>
      </c>
      <c r="AB1113" s="5" t="str">
        <f ca="1">IFERROR(__xludf.DUMMYFUNCTION("""COMPUTED_VALUE"""),"Random Shooting")</f>
        <v>Random Shooting</v>
      </c>
      <c r="AC1113" s="5"/>
      <c r="AD1113" s="5" t="str">
        <f ca="1">IFERROR(__xludf.DUMMYFUNCTION("""COMPUTED_VALUE"""),"No")</f>
        <v>No</v>
      </c>
      <c r="AE1113" s="5" t="str">
        <f ca="1">IFERROR(__xludf.DUMMYFUNCTION("""COMPUTED_VALUE"""),"No")</f>
        <v>No</v>
      </c>
      <c r="AF1113" s="5" t="str">
        <f ca="1">IFERROR(__xludf.DUMMYFUNCTION("""COMPUTED_VALUE"""),"No")</f>
        <v>No</v>
      </c>
      <c r="AG1113" s="5" t="str">
        <f ca="1">IFERROR(__xludf.DUMMYFUNCTION("""COMPUTED_VALUE"""),"No")</f>
        <v>No</v>
      </c>
      <c r="AH1113" s="5" t="str">
        <f ca="1">IFERROR(__xludf.DUMMYFUNCTION("""COMPUTED_VALUE"""),"No")</f>
        <v>No</v>
      </c>
      <c r="AI1113" s="5"/>
      <c r="AJ1113" s="5" t="str">
        <f ca="1">IFERROR(__xludf.DUMMYFUNCTION("""COMPUTED_VALUE"""),"No")</f>
        <v>No</v>
      </c>
    </row>
    <row r="1114" spans="1:36" ht="13">
      <c r="A1114" s="5" t="str">
        <f ca="1">IFERROR(__xludf.DUMMYFUNCTION("""COMPUTED_VALUE"""),"20150903ORNEN")</f>
        <v>20150903ORNEN</v>
      </c>
      <c r="B1114" s="5">
        <f ca="1">IFERROR(__xludf.DUMMYFUNCTION("""COMPUTED_VALUE"""),9)</f>
        <v>9</v>
      </c>
      <c r="C1114" s="5">
        <f ca="1">IFERROR(__xludf.DUMMYFUNCTION("""COMPUTED_VALUE"""),3)</f>
        <v>3</v>
      </c>
      <c r="D1114" s="5">
        <f ca="1">IFERROR(__xludf.DUMMYFUNCTION("""COMPUTED_VALUE"""),2015)</f>
        <v>2015</v>
      </c>
      <c r="E1114" s="8">
        <f ca="1">IFERROR(__xludf.DUMMYFUNCTION("""COMPUTED_VALUE"""),42250)</f>
        <v>42250</v>
      </c>
      <c r="F1114" s="5" t="str">
        <f ca="1">IFERROR(__xludf.DUMMYFUNCTION("""COMPUTED_VALUE"""),"Newberg High School")</f>
        <v>Newberg High School</v>
      </c>
      <c r="G1114" s="5">
        <f ca="1">IFERROR(__xludf.DUMMYFUNCTION("""COMPUTED_VALUE"""),0)</f>
        <v>0</v>
      </c>
      <c r="H1114" s="5">
        <f ca="1">IFERROR(__xludf.DUMMYFUNCTION("""COMPUTED_VALUE"""),0)</f>
        <v>0</v>
      </c>
      <c r="I1114" s="5">
        <f ca="1">IFERROR(__xludf.DUMMYFUNCTION("""COMPUTED_VALUE"""),0)</f>
        <v>0</v>
      </c>
      <c r="J1114" s="5">
        <f ca="1">IFERROR(__xludf.DUMMYFUNCTION("""COMPUTED_VALUE"""),0)</f>
        <v>0</v>
      </c>
      <c r="K1114" s="9" t="str">
        <f ca="1">IFERROR(__xludf.DUMMYFUNCTION("""COMPUTED_VALUE"""),"https://www.statesmanjournal.com/story/news/2015/09/04/man-arrested-after-shots-fired-near-newberg-high-school/71699392/")</f>
        <v>https://www.statesmanjournal.com/story/news/2015/09/04/man-arrested-after-shots-fired-near-newberg-high-school/71699392/</v>
      </c>
      <c r="L1114" s="5"/>
      <c r="M1114" s="5"/>
      <c r="N1114" s="5">
        <f ca="1">IFERROR(__xludf.DUMMYFUNCTION("""COMPUTED_VALUE"""),3)</f>
        <v>3</v>
      </c>
      <c r="O1114" s="5" t="str">
        <f ca="1">IFERROR(__xludf.DUMMYFUNCTION("""COMPUTED_VALUE"""),"Fall")</f>
        <v>Fall</v>
      </c>
      <c r="P1114" s="5" t="str">
        <f ca="1">IFERROR(__xludf.DUMMYFUNCTION("""COMPUTED_VALUE"""),"Newberg")</f>
        <v>Newberg</v>
      </c>
      <c r="Q1114" s="5" t="str">
        <f ca="1">IFERROR(__xludf.DUMMYFUNCTION("""COMPUTED_VALUE"""),"OR")</f>
        <v>OR</v>
      </c>
      <c r="R1114" s="5" t="str">
        <f ca="1">IFERROR(__xludf.DUMMYFUNCTION("""COMPUTED_VALUE"""),"High")</f>
        <v>High</v>
      </c>
      <c r="S1114" s="5" t="str">
        <f ca="1">IFERROR(__xludf.DUMMYFUNCTION("""COMPUTED_VALUE"""),"Football Field/Track")</f>
        <v>Football Field/Track</v>
      </c>
      <c r="T1114" s="5" t="str">
        <f ca="1">IFERROR(__xludf.DUMMYFUNCTION("""COMPUTED_VALUE"""),"Outside on School Property")</f>
        <v>Outside on School Property</v>
      </c>
      <c r="U1114" s="5" t="str">
        <f ca="1">IFERROR(__xludf.DUMMYFUNCTION("""COMPUTED_VALUE"""),"No")</f>
        <v>No</v>
      </c>
      <c r="V1114" s="5" t="str">
        <f ca="1">IFERROR(__xludf.DUMMYFUNCTION("""COMPUTED_VALUE"""),"Sport Event")</f>
        <v>Sport Event</v>
      </c>
      <c r="W1114" s="10">
        <f ca="1">IFERROR(__xludf.DUMMYFUNCTION("""COMPUTED_VALUE"""),0.854166666666666)</f>
        <v>0.85416666666666596</v>
      </c>
      <c r="X1114" s="5">
        <f ca="1">IFERROR(__xludf.DUMMYFUNCTION("""COMPUTED_VALUE"""),1)</f>
        <v>1</v>
      </c>
      <c r="Y1114" s="5" t="str">
        <f ca="1">IFERROR(__xludf.DUMMYFUNCTION("""COMPUTED_VALUE"""),"Shots fired off the school campus struck the beachers during a sporting event")</f>
        <v>Shots fired off the school campus struck the beachers during a sporting event</v>
      </c>
      <c r="Z1114" s="5" t="str">
        <f ca="1">IFERROR(__xludf.DUMMYFUNCTION("""COMPUTED_VALUE"""),"53YOM fired multiple shots near the school during an evening athletic event. Shots struck the bleachers. 150 people were in the stadium and evacuated to the gym. Police found bullets on the track near the metal bleachers.")</f>
        <v>53YOM fired multiple shots near the school during an evening athletic event. Shots struck the bleachers. 150 people were in the stadium and evacuated to the gym. Police found bullets on the track near the metal bleachers.</v>
      </c>
      <c r="AA1114" s="5" t="str">
        <f ca="1">IFERROR(__xludf.DUMMYFUNCTION("""COMPUTED_VALUE"""),"Escalation of Dispute")</f>
        <v>Escalation of Dispute</v>
      </c>
      <c r="AB1114" s="5"/>
      <c r="AC1114" s="5" t="str">
        <f ca="1">IFERROR(__xludf.DUMMYFUNCTION("""COMPUTED_VALUE"""),"No")</f>
        <v>No</v>
      </c>
      <c r="AD1114" s="5" t="str">
        <f ca="1">IFERROR(__xludf.DUMMYFUNCTION("""COMPUTED_VALUE"""),"No")</f>
        <v>No</v>
      </c>
      <c r="AE1114" s="5" t="str">
        <f ca="1">IFERROR(__xludf.DUMMYFUNCTION("""COMPUTED_VALUE"""),"No")</f>
        <v>No</v>
      </c>
      <c r="AF1114" s="5" t="str">
        <f ca="1">IFERROR(__xludf.DUMMYFUNCTION("""COMPUTED_VALUE"""),"No")</f>
        <v>No</v>
      </c>
      <c r="AG1114" s="5" t="str">
        <f ca="1">IFERROR(__xludf.DUMMYFUNCTION("""COMPUTED_VALUE"""),"No")</f>
        <v>No</v>
      </c>
      <c r="AH1114" s="5" t="str">
        <f ca="1">IFERROR(__xludf.DUMMYFUNCTION("""COMPUTED_VALUE"""),"No")</f>
        <v>No</v>
      </c>
      <c r="AI1114" s="5" t="str">
        <f ca="1">IFERROR(__xludf.DUMMYFUNCTION("""COMPUTED_VALUE"""),"No")</f>
        <v>No</v>
      </c>
      <c r="AJ1114" s="5" t="str">
        <f ca="1">IFERROR(__xludf.DUMMYFUNCTION("""COMPUTED_VALUE"""),"No")</f>
        <v>No</v>
      </c>
    </row>
    <row r="1115" spans="1:36" ht="13">
      <c r="A1115" s="5" t="str">
        <f ca="1">IFERROR(__xludf.DUMMYFUNCTION("""COMPUTED_VALUE"""),"20150825GAWSA")</f>
        <v>20150825GAWSA</v>
      </c>
      <c r="B1115" s="5">
        <f ca="1">IFERROR(__xludf.DUMMYFUNCTION("""COMPUTED_VALUE"""),8)</f>
        <v>8</v>
      </c>
      <c r="C1115" s="5">
        <f ca="1">IFERROR(__xludf.DUMMYFUNCTION("""COMPUTED_VALUE"""),25)</f>
        <v>25</v>
      </c>
      <c r="D1115" s="5">
        <f ca="1">IFERROR(__xludf.DUMMYFUNCTION("""COMPUTED_VALUE"""),2015)</f>
        <v>2015</v>
      </c>
      <c r="E1115" s="8">
        <f ca="1">IFERROR(__xludf.DUMMYFUNCTION("""COMPUTED_VALUE"""),42241)</f>
        <v>42241</v>
      </c>
      <c r="F1115" s="5" t="str">
        <f ca="1">IFERROR(__xludf.DUMMYFUNCTION("""COMPUTED_VALUE"""),"W S Hornsby Elementary School")</f>
        <v>W S Hornsby Elementary School</v>
      </c>
      <c r="G1115" s="5">
        <f ca="1">IFERROR(__xludf.DUMMYFUNCTION("""COMPUTED_VALUE"""),0)</f>
        <v>0</v>
      </c>
      <c r="H1115" s="5">
        <f ca="1">IFERROR(__xludf.DUMMYFUNCTION("""COMPUTED_VALUE"""),1)</f>
        <v>1</v>
      </c>
      <c r="I1115" s="5">
        <f ca="1">IFERROR(__xludf.DUMMYFUNCTION("""COMPUTED_VALUE"""),1)</f>
        <v>1</v>
      </c>
      <c r="J1115" s="5">
        <f ca="1">IFERROR(__xludf.DUMMYFUNCTION("""COMPUTED_VALUE"""),0)</f>
        <v>0</v>
      </c>
      <c r="K1115" s="9" t="str">
        <f ca="1">IFERROR(__xludf.DUMMYFUNCTION("""COMPUTED_VALUE"""),"http://www.wrdw.com/home/headlines/BREAKING-Student-at-Hornsby-School-shot-and-taken-to-hospital-322826461.html")</f>
        <v>http://www.wrdw.com/home/headlines/BREAKING-Student-at-Hornsby-School-shot-and-taken-to-hospital-322826461.html</v>
      </c>
      <c r="L1115" s="5">
        <f ca="1">IFERROR(__xludf.DUMMYFUNCTION("""COMPUTED_VALUE"""),1)</f>
        <v>1</v>
      </c>
      <c r="M1115" s="5" t="str">
        <f ca="1">IFERROR(__xludf.DUMMYFUNCTION("""COMPUTED_VALUE"""),"Local")</f>
        <v>Local</v>
      </c>
      <c r="N1115" s="5">
        <f ca="1">IFERROR(__xludf.DUMMYFUNCTION("""COMPUTED_VALUE"""),2)</f>
        <v>2</v>
      </c>
      <c r="O1115" s="5" t="str">
        <f ca="1">IFERROR(__xludf.DUMMYFUNCTION("""COMPUTED_VALUE"""),"Summer")</f>
        <v>Summer</v>
      </c>
      <c r="P1115" s="5" t="str">
        <f ca="1">IFERROR(__xludf.DUMMYFUNCTION("""COMPUTED_VALUE"""),"Augusta")</f>
        <v>Augusta</v>
      </c>
      <c r="Q1115" s="5" t="str">
        <f ca="1">IFERROR(__xludf.DUMMYFUNCTION("""COMPUTED_VALUE"""),"GA")</f>
        <v>GA</v>
      </c>
      <c r="R1115" s="5" t="str">
        <f ca="1">IFERROR(__xludf.DUMMYFUNCTION("""COMPUTED_VALUE"""),"Elementary")</f>
        <v>Elementary</v>
      </c>
      <c r="S1115" s="5" t="str">
        <f ca="1">IFERROR(__xludf.DUMMYFUNCTION("""COMPUTED_VALUE"""),"Classroom")</f>
        <v>Classroom</v>
      </c>
      <c r="T1115" s="5" t="str">
        <f ca="1">IFERROR(__xludf.DUMMYFUNCTION("""COMPUTED_VALUE"""),"Inside School Building")</f>
        <v>Inside School Building</v>
      </c>
      <c r="U1115" s="5" t="str">
        <f ca="1">IFERROR(__xludf.DUMMYFUNCTION("""COMPUTED_VALUE"""),"Yes")</f>
        <v>Yes</v>
      </c>
      <c r="V1115" s="5" t="str">
        <f ca="1">IFERROR(__xludf.DUMMYFUNCTION("""COMPUTED_VALUE"""),"Morning Classes")</f>
        <v>Morning Classes</v>
      </c>
      <c r="W1115" s="10">
        <f ca="1">IFERROR(__xludf.DUMMYFUNCTION("""COMPUTED_VALUE"""),0.447916666666666)</f>
        <v>0.44791666666666602</v>
      </c>
      <c r="X1115" s="5">
        <f ca="1">IFERROR(__xludf.DUMMYFUNCTION("""COMPUTED_VALUE"""),1)</f>
        <v>1</v>
      </c>
      <c r="Y1115" s="5" t="str">
        <f ca="1">IFERROR(__xludf.DUMMYFUNCTION("""COMPUTED_VALUE"""),"Accidental discharge playing with gun in classroom")</f>
        <v>Accidental discharge playing with gun in classroom</v>
      </c>
      <c r="Z1115" s="5" t="str">
        <f ca="1">IFERROR(__xludf.DUMMYFUNCTION("""COMPUTED_VALUE"""),"Shooter (3rd grade student) stole his grandmother's boyfriend's gun and brought it to school. Shooter was playing with the gun under his desk when it accidentally discharged and wounded a female student. The adult who owned the gun turned himself in and w"&amp;"as charged.")</f>
        <v>Shooter (3rd grade student) stole his grandmother's boyfriend's gun and brought it to school. Shooter was playing with the gun under his desk when it accidentally discharged and wounded a female student. The adult who owned the gun turned himself in and was charged.</v>
      </c>
      <c r="AA1115" s="5" t="str">
        <f ca="1">IFERROR(__xludf.DUMMYFUNCTION("""COMPUTED_VALUE"""),"Accidental")</f>
        <v>Accidental</v>
      </c>
      <c r="AB1115" s="5" t="str">
        <f ca="1">IFERROR(__xludf.DUMMYFUNCTION("""COMPUTED_VALUE"""),"Neither")</f>
        <v>Neither</v>
      </c>
      <c r="AC1115" s="5" t="str">
        <f ca="1">IFERROR(__xludf.DUMMYFUNCTION("""COMPUTED_VALUE"""),"No")</f>
        <v>No</v>
      </c>
      <c r="AD1115" s="5" t="str">
        <f ca="1">IFERROR(__xludf.DUMMYFUNCTION("""COMPUTED_VALUE"""),"No")</f>
        <v>No</v>
      </c>
      <c r="AE1115" s="5" t="str">
        <f ca="1">IFERROR(__xludf.DUMMYFUNCTION("""COMPUTED_VALUE"""),"No")</f>
        <v>No</v>
      </c>
      <c r="AF1115" s="5" t="str">
        <f ca="1">IFERROR(__xludf.DUMMYFUNCTION("""COMPUTED_VALUE"""),"No")</f>
        <v>No</v>
      </c>
      <c r="AG1115" s="5" t="str">
        <f ca="1">IFERROR(__xludf.DUMMYFUNCTION("""COMPUTED_VALUE"""),"No")</f>
        <v>No</v>
      </c>
      <c r="AH1115" s="5" t="str">
        <f ca="1">IFERROR(__xludf.DUMMYFUNCTION("""COMPUTED_VALUE"""),"No")</f>
        <v>No</v>
      </c>
      <c r="AI1115" s="5" t="str">
        <f ca="1">IFERROR(__xludf.DUMMYFUNCTION("""COMPUTED_VALUE"""),"No")</f>
        <v>No</v>
      </c>
      <c r="AJ1115" s="5" t="str">
        <f ca="1">IFERROR(__xludf.DUMMYFUNCTION("""COMPUTED_VALUE"""),"No")</f>
        <v>No</v>
      </c>
    </row>
    <row r="1116" spans="1:36" ht="13">
      <c r="A1116" s="5" t="str">
        <f ca="1">IFERROR(__xludf.DUMMYFUNCTION("""COMPUTED_VALUE"""),"20150823TXWIR")</f>
        <v>20150823TXWIR</v>
      </c>
      <c r="B1116" s="5">
        <f ca="1">IFERROR(__xludf.DUMMYFUNCTION("""COMPUTED_VALUE"""),8)</f>
        <v>8</v>
      </c>
      <c r="C1116" s="5">
        <f ca="1">IFERROR(__xludf.DUMMYFUNCTION("""COMPUTED_VALUE"""),23)</f>
        <v>23</v>
      </c>
      <c r="D1116" s="5">
        <f ca="1">IFERROR(__xludf.DUMMYFUNCTION("""COMPUTED_VALUE"""),2015)</f>
        <v>2015</v>
      </c>
      <c r="E1116" s="8">
        <f ca="1">IFERROR(__xludf.DUMMYFUNCTION("""COMPUTED_VALUE"""),42239)</f>
        <v>42239</v>
      </c>
      <c r="F1116" s="5" t="str">
        <f ca="1">IFERROR(__xludf.DUMMYFUNCTION("""COMPUTED_VALUE"""),"William Velasquez Elementary School")</f>
        <v>William Velasquez Elementary School</v>
      </c>
      <c r="G1116" s="5">
        <f ca="1">IFERROR(__xludf.DUMMYFUNCTION("""COMPUTED_VALUE"""),0)</f>
        <v>0</v>
      </c>
      <c r="H1116" s="5">
        <f ca="1">IFERROR(__xludf.DUMMYFUNCTION("""COMPUTED_VALUE"""),0)</f>
        <v>0</v>
      </c>
      <c r="I1116" s="5">
        <f ca="1">IFERROR(__xludf.DUMMYFUNCTION("""COMPUTED_VALUE"""),0)</f>
        <v>0</v>
      </c>
      <c r="J1116" s="5">
        <f ca="1">IFERROR(__xludf.DUMMYFUNCTION("""COMPUTED_VALUE"""),0)</f>
        <v>0</v>
      </c>
      <c r="K1116" s="5" t="str">
        <f ca="1">IFERROR(__xludf.DUMMYFUNCTION("""COMPUTED_VALUE"""),"http://abc13.com/news/20-year-old-arrested-after-bizarre-alleged-shooting-bagpipes-incident-at-school/953170/ . https://www.chron.com/neighborhood/fortbend/news/article/Men-with-guns-trespass-at-Richmond-elementary-6460655.php")</f>
        <v>http://abc13.com/news/20-year-old-arrested-after-bizarre-alleged-shooting-bagpipes-incident-at-school/953170/ . https://www.chron.com/neighborhood/fortbend/news/article/Men-with-guns-trespass-at-Richmond-elementary-6460655.php</v>
      </c>
      <c r="L1116" s="5"/>
      <c r="M1116" s="5"/>
      <c r="N1116" s="5">
        <f ca="1">IFERROR(__xludf.DUMMYFUNCTION("""COMPUTED_VALUE"""),3)</f>
        <v>3</v>
      </c>
      <c r="O1116" s="5" t="str">
        <f ca="1">IFERROR(__xludf.DUMMYFUNCTION("""COMPUTED_VALUE"""),"Summer")</f>
        <v>Summer</v>
      </c>
      <c r="P1116" s="5" t="str">
        <f ca="1">IFERROR(__xludf.DUMMYFUNCTION("""COMPUTED_VALUE"""),"Richmond")</f>
        <v>Richmond</v>
      </c>
      <c r="Q1116" s="5" t="str">
        <f ca="1">IFERROR(__xludf.DUMMYFUNCTION("""COMPUTED_VALUE"""),"TX")</f>
        <v>TX</v>
      </c>
      <c r="R1116" s="5" t="str">
        <f ca="1">IFERROR(__xludf.DUMMYFUNCTION("""COMPUTED_VALUE"""),"Elementary")</f>
        <v>Elementary</v>
      </c>
      <c r="S1116" s="5" t="str">
        <f ca="1">IFERROR(__xludf.DUMMYFUNCTION("""COMPUTED_VALUE"""),"Other")</f>
        <v>Other</v>
      </c>
      <c r="T1116" s="5" t="str">
        <f ca="1">IFERROR(__xludf.DUMMYFUNCTION("""COMPUTED_VALUE"""),"Outside on School Property")</f>
        <v>Outside on School Property</v>
      </c>
      <c r="U1116" s="5" t="str">
        <f ca="1">IFERROR(__xludf.DUMMYFUNCTION("""COMPUTED_VALUE"""),"No")</f>
        <v>No</v>
      </c>
      <c r="V1116" s="5" t="str">
        <f ca="1">IFERROR(__xludf.DUMMYFUNCTION("""COMPUTED_VALUE"""),"Not a School Day")</f>
        <v>Not a School Day</v>
      </c>
      <c r="W1116" s="10">
        <f ca="1">IFERROR(__xludf.DUMMYFUNCTION("""COMPUTED_VALUE"""),0.333333333333333)</f>
        <v>0.33333333333333298</v>
      </c>
      <c r="X1116" s="5"/>
      <c r="Y1116" s="5" t="str">
        <f ca="1">IFERROR(__xludf.DUMMYFUNCTION("""COMPUTED_VALUE"""),"Fired at random victims from the roof of the school")</f>
        <v>Fired at random victims from the roof of the school</v>
      </c>
      <c r="Z1116" s="5" t="str">
        <f ca="1">IFERROR(__xludf.DUMMYFUNCTION("""COMPUTED_VALUE"""),"Shooter was on the roof of the school randomly shooting - was arrested and charged - no one was injured or threatened during the incident. Shooter stated he was going through personal problems - gun came back stolen.")</f>
        <v>Shooter was on the roof of the school randomly shooting - was arrested and charged - no one was injured or threatened during the incident. Shooter stated he was going through personal problems - gun came back stolen.</v>
      </c>
      <c r="AA1116" s="5" t="str">
        <f ca="1">IFERROR(__xludf.DUMMYFUNCTION("""COMPUTED_VALUE"""),"Indiscriminate Shooting")</f>
        <v>Indiscriminate Shooting</v>
      </c>
      <c r="AB1116" s="5" t="str">
        <f ca="1">IFERROR(__xludf.DUMMYFUNCTION("""COMPUTED_VALUE"""),"Neither")</f>
        <v>Neither</v>
      </c>
      <c r="AC1116" s="5" t="str">
        <f ca="1">IFERROR(__xludf.DUMMYFUNCTION("""COMPUTED_VALUE"""),"No")</f>
        <v>No</v>
      </c>
      <c r="AD1116" s="5" t="str">
        <f ca="1">IFERROR(__xludf.DUMMYFUNCTION("""COMPUTED_VALUE"""),"No")</f>
        <v>No</v>
      </c>
      <c r="AE1116" s="5" t="str">
        <f ca="1">IFERROR(__xludf.DUMMYFUNCTION("""COMPUTED_VALUE"""),"No")</f>
        <v>No</v>
      </c>
      <c r="AF1116" s="5" t="str">
        <f ca="1">IFERROR(__xludf.DUMMYFUNCTION("""COMPUTED_VALUE"""),"No")</f>
        <v>No</v>
      </c>
      <c r="AG1116" s="5" t="str">
        <f ca="1">IFERROR(__xludf.DUMMYFUNCTION("""COMPUTED_VALUE"""),"No")</f>
        <v>No</v>
      </c>
      <c r="AH1116" s="5" t="str">
        <f ca="1">IFERROR(__xludf.DUMMYFUNCTION("""COMPUTED_VALUE"""),"No")</f>
        <v>No</v>
      </c>
      <c r="AI1116" s="5" t="str">
        <f ca="1">IFERROR(__xludf.DUMMYFUNCTION("""COMPUTED_VALUE"""),"No")</f>
        <v>No</v>
      </c>
      <c r="AJ1116" s="5" t="str">
        <f ca="1">IFERROR(__xludf.DUMMYFUNCTION("""COMPUTED_VALUE"""),"Yes")</f>
        <v>Yes</v>
      </c>
    </row>
    <row r="1117" spans="1:36" ht="13">
      <c r="A1117" s="5" t="str">
        <f ca="1">IFERROR(__xludf.DUMMYFUNCTION("""COMPUTED_VALUE"""),"20150808TXPAP")</f>
        <v>20150808TXPAP</v>
      </c>
      <c r="B1117" s="5">
        <f ca="1">IFERROR(__xludf.DUMMYFUNCTION("""COMPUTED_VALUE"""),8)</f>
        <v>8</v>
      </c>
      <c r="C1117" s="5">
        <f ca="1">IFERROR(__xludf.DUMMYFUNCTION("""COMPUTED_VALUE"""),8)</f>
        <v>8</v>
      </c>
      <c r="D1117" s="5">
        <f ca="1">IFERROR(__xludf.DUMMYFUNCTION("""COMPUTED_VALUE"""),2015)</f>
        <v>2015</v>
      </c>
      <c r="E1117" s="8">
        <f ca="1">IFERROR(__xludf.DUMMYFUNCTION("""COMPUTED_VALUE"""),42224)</f>
        <v>42224</v>
      </c>
      <c r="F1117" s="5" t="str">
        <f ca="1">IFERROR(__xludf.DUMMYFUNCTION("""COMPUTED_VALUE"""),"Paradise High School")</f>
        <v>Paradise High School</v>
      </c>
      <c r="G1117" s="5">
        <f ca="1">IFERROR(__xludf.DUMMYFUNCTION("""COMPUTED_VALUE"""),0)</f>
        <v>0</v>
      </c>
      <c r="H1117" s="5">
        <f ca="1">IFERROR(__xludf.DUMMYFUNCTION("""COMPUTED_VALUE"""),0)</f>
        <v>0</v>
      </c>
      <c r="I1117" s="5">
        <f ca="1">IFERROR(__xludf.DUMMYFUNCTION("""COMPUTED_VALUE"""),0)</f>
        <v>0</v>
      </c>
      <c r="J1117" s="5">
        <f ca="1">IFERROR(__xludf.DUMMYFUNCTION("""COMPUTED_VALUE"""),0)</f>
        <v>0</v>
      </c>
      <c r="K1117" s="5" t="str">
        <f ca="1">IFERROR(__xludf.DUMMYFUNCTION("""COMPUTED_VALUE"""),"https://www.star-telegram.com/news/local/crime/article30493332.html . https://www.wcmessenger.com/2015/news/man-fires-shots-on-school-property/")</f>
        <v>https://www.star-telegram.com/news/local/crime/article30493332.html . https://www.wcmessenger.com/2015/news/man-fires-shots-on-school-property/</v>
      </c>
      <c r="L1117" s="5"/>
      <c r="M1117" s="5"/>
      <c r="N1117" s="5">
        <f ca="1">IFERROR(__xludf.DUMMYFUNCTION("""COMPUTED_VALUE"""),3)</f>
        <v>3</v>
      </c>
      <c r="O1117" s="5" t="str">
        <f ca="1">IFERROR(__xludf.DUMMYFUNCTION("""COMPUTED_VALUE"""),"Summer")</f>
        <v>Summer</v>
      </c>
      <c r="P1117" s="5" t="str">
        <f ca="1">IFERROR(__xludf.DUMMYFUNCTION("""COMPUTED_VALUE"""),"Paradise")</f>
        <v>Paradise</v>
      </c>
      <c r="Q1117" s="5" t="str">
        <f ca="1">IFERROR(__xludf.DUMMYFUNCTION("""COMPUTED_VALUE"""),"TX")</f>
        <v>TX</v>
      </c>
      <c r="R1117" s="5" t="str">
        <f ca="1">IFERROR(__xludf.DUMMYFUNCTION("""COMPUTED_VALUE"""),"High")</f>
        <v>High</v>
      </c>
      <c r="S1117" s="5" t="str">
        <f ca="1">IFERROR(__xludf.DUMMYFUNCTION("""COMPUTED_VALUE"""),"Parking Lot")</f>
        <v>Parking Lot</v>
      </c>
      <c r="T1117" s="5" t="str">
        <f ca="1">IFERROR(__xludf.DUMMYFUNCTION("""COMPUTED_VALUE"""),"Outside on School Property")</f>
        <v>Outside on School Property</v>
      </c>
      <c r="U1117" s="5" t="str">
        <f ca="1">IFERROR(__xludf.DUMMYFUNCTION("""COMPUTED_VALUE"""),"No")</f>
        <v>No</v>
      </c>
      <c r="V1117" s="5" t="str">
        <f ca="1">IFERROR(__xludf.DUMMYFUNCTION("""COMPUTED_VALUE"""),"Not a School Day")</f>
        <v>Not a School Day</v>
      </c>
      <c r="W1117" s="10">
        <f ca="1">IFERROR(__xludf.DUMMYFUNCTION("""COMPUTED_VALUE"""),0.302083333333333)</f>
        <v>0.30208333333333298</v>
      </c>
      <c r="X1117" s="5">
        <f ca="1">IFERROR(__xludf.DUMMYFUNCTION("""COMPUTED_VALUE"""),2)</f>
        <v>2</v>
      </c>
      <c r="Y1117" s="5" t="str">
        <f ca="1">IFERROR(__xludf.DUMMYFUNCTION("""COMPUTED_VALUE"""),"Random shooting on school property - not directed at anyone")</f>
        <v>Random shooting on school property - not directed at anyone</v>
      </c>
      <c r="Z1117" s="5" t="str">
        <f ca="1">IFERROR(__xludf.DUMMYFUNCTION("""COMPUTED_VALUE"""),"Shooter was driving erratically in his truck while firing two shots from his 9mm hand gun either while on school property or at school property - he was later arrested and charged with multiple crimes - no one was known to be threatened by shooting. Alcoh"&amp;"ol was believed to play a part is shooter's behavior.")</f>
        <v>Shooter was driving erratically in his truck while firing two shots from his 9mm hand gun either while on school property or at school property - he was later arrested and charged with multiple crimes - no one was known to be threatened by shooting. Alcohol was believed to play a part is shooter's behavior.</v>
      </c>
      <c r="AA1117" s="5" t="str">
        <f ca="1">IFERROR(__xludf.DUMMYFUNCTION("""COMPUTED_VALUE"""),"Intentional Property Damage")</f>
        <v>Intentional Property Damage</v>
      </c>
      <c r="AB1117" s="5" t="str">
        <f ca="1">IFERROR(__xludf.DUMMYFUNCTION("""COMPUTED_VALUE"""),"Neither")</f>
        <v>Neither</v>
      </c>
      <c r="AC1117" s="5" t="str">
        <f ca="1">IFERROR(__xludf.DUMMYFUNCTION("""COMPUTED_VALUE"""),"No")</f>
        <v>No</v>
      </c>
      <c r="AD1117" s="5" t="str">
        <f ca="1">IFERROR(__xludf.DUMMYFUNCTION("""COMPUTED_VALUE"""),"No")</f>
        <v>No</v>
      </c>
      <c r="AE1117" s="5" t="str">
        <f ca="1">IFERROR(__xludf.DUMMYFUNCTION("""COMPUTED_VALUE"""),"No")</f>
        <v>No</v>
      </c>
      <c r="AF1117" s="5" t="str">
        <f ca="1">IFERROR(__xludf.DUMMYFUNCTION("""COMPUTED_VALUE"""),"No")</f>
        <v>No</v>
      </c>
      <c r="AG1117" s="5" t="str">
        <f ca="1">IFERROR(__xludf.DUMMYFUNCTION("""COMPUTED_VALUE"""),"No")</f>
        <v>No</v>
      </c>
      <c r="AH1117" s="5" t="str">
        <f ca="1">IFERROR(__xludf.DUMMYFUNCTION("""COMPUTED_VALUE"""),"No")</f>
        <v>No</v>
      </c>
      <c r="AI1117" s="5" t="str">
        <f ca="1">IFERROR(__xludf.DUMMYFUNCTION("""COMPUTED_VALUE"""),"No")</f>
        <v>No</v>
      </c>
      <c r="AJ1117" s="5" t="str">
        <f ca="1">IFERROR(__xludf.DUMMYFUNCTION("""COMPUTED_VALUE"""),"No")</f>
        <v>No</v>
      </c>
    </row>
    <row r="1118" spans="1:36" ht="13">
      <c r="A1118" s="5" t="str">
        <f ca="1">IFERROR(__xludf.DUMMYFUNCTION("""COMPUTED_VALUE"""),"20150724TXELC")</f>
        <v>20150724TXELC</v>
      </c>
      <c r="B1118" s="5">
        <f ca="1">IFERROR(__xludf.DUMMYFUNCTION("""COMPUTED_VALUE"""),7)</f>
        <v>7</v>
      </c>
      <c r="C1118" s="5">
        <f ca="1">IFERROR(__xludf.DUMMYFUNCTION("""COMPUTED_VALUE"""),24)</f>
        <v>24</v>
      </c>
      <c r="D1118" s="5">
        <f ca="1">IFERROR(__xludf.DUMMYFUNCTION("""COMPUTED_VALUE"""),2015)</f>
        <v>2015</v>
      </c>
      <c r="E1118" s="8">
        <f ca="1">IFERROR(__xludf.DUMMYFUNCTION("""COMPUTED_VALUE"""),42209)</f>
        <v>42209</v>
      </c>
      <c r="F1118" s="5" t="str">
        <f ca="1">IFERROR(__xludf.DUMMYFUNCTION("""COMPUTED_VALUE"""),"Elolf Elementary School")</f>
        <v>Elolf Elementary School</v>
      </c>
      <c r="G1118" s="5">
        <f ca="1">IFERROR(__xludf.DUMMYFUNCTION("""COMPUTED_VALUE"""),1)</f>
        <v>1</v>
      </c>
      <c r="H1118" s="5">
        <f ca="1">IFERROR(__xludf.DUMMYFUNCTION("""COMPUTED_VALUE"""),0)</f>
        <v>0</v>
      </c>
      <c r="I1118" s="5">
        <f ca="1">IFERROR(__xludf.DUMMYFUNCTION("""COMPUTED_VALUE"""),1)</f>
        <v>1</v>
      </c>
      <c r="J1118" s="5">
        <f ca="1">IFERROR(__xludf.DUMMYFUNCTION("""COMPUTED_VALUE"""),0)</f>
        <v>0</v>
      </c>
      <c r="K1118" s="5" t="str">
        <f ca="1">IFERROR(__xludf.DUMMYFUNCTION("""COMPUTED_VALUE"""),"https://www.mysanantonio.com/news/local/article/Trial-starts-for-Converse-teen-accused-in-drug-9291119.php . https://www.ksat.com/news/teen-to-stand-trial-as-adult-in-capital-murder-case")</f>
        <v>https://www.mysanantonio.com/news/local/article/Trial-starts-for-Converse-teen-accused-in-drug-9291119.php . https://www.ksat.com/news/teen-to-stand-trial-as-adult-in-capital-murder-case</v>
      </c>
      <c r="L1118" s="5"/>
      <c r="M1118" s="5"/>
      <c r="N1118" s="5">
        <f ca="1">IFERROR(__xludf.DUMMYFUNCTION("""COMPUTED_VALUE"""),3)</f>
        <v>3</v>
      </c>
      <c r="O1118" s="5" t="str">
        <f ca="1">IFERROR(__xludf.DUMMYFUNCTION("""COMPUTED_VALUE"""),"Summer")</f>
        <v>Summer</v>
      </c>
      <c r="P1118" s="5" t="str">
        <f ca="1">IFERROR(__xludf.DUMMYFUNCTION("""COMPUTED_VALUE"""),"Converse")</f>
        <v>Converse</v>
      </c>
      <c r="Q1118" s="5" t="str">
        <f ca="1">IFERROR(__xludf.DUMMYFUNCTION("""COMPUTED_VALUE"""),"TX")</f>
        <v>TX</v>
      </c>
      <c r="R1118" s="5" t="str">
        <f ca="1">IFERROR(__xludf.DUMMYFUNCTION("""COMPUTED_VALUE"""),"Elementary")</f>
        <v>Elementary</v>
      </c>
      <c r="S1118" s="5" t="str">
        <f ca="1">IFERROR(__xludf.DUMMYFUNCTION("""COMPUTED_VALUE"""),"Parking Lot")</f>
        <v>Parking Lot</v>
      </c>
      <c r="T1118" s="5" t="str">
        <f ca="1">IFERROR(__xludf.DUMMYFUNCTION("""COMPUTED_VALUE"""),"Outside on School Property")</f>
        <v>Outside on School Property</v>
      </c>
      <c r="U1118" s="5" t="str">
        <f ca="1">IFERROR(__xludf.DUMMYFUNCTION("""COMPUTED_VALUE"""),"No")</f>
        <v>No</v>
      </c>
      <c r="V1118" s="5" t="str">
        <f ca="1">IFERROR(__xludf.DUMMYFUNCTION("""COMPUTED_VALUE"""),"Not a School Day")</f>
        <v>Not a School Day</v>
      </c>
      <c r="W1118" s="10">
        <f ca="1">IFERROR(__xludf.DUMMYFUNCTION("""COMPUTED_VALUE"""),0.541666666666666)</f>
        <v>0.54166666666666596</v>
      </c>
      <c r="X1118" s="5">
        <f ca="1">IFERROR(__xludf.DUMMYFUNCTION("""COMPUTED_VALUE"""),1)</f>
        <v>1</v>
      </c>
      <c r="Y1118" s="5" t="str">
        <f ca="1">IFERROR(__xludf.DUMMYFUNCTION("""COMPUTED_VALUE"""),"Drug deal/robbery gone bad")</f>
        <v>Drug deal/robbery gone bad</v>
      </c>
      <c r="Z1118" s="5" t="str">
        <f ca="1">IFERROR(__xludf.DUMMYFUNCTION("""COMPUTED_VALUE"""),"Shooter and victim knew each other and had exchanged ""bad"" looks earlier in the day - as a result, the shooter had a drug deal set up with victim so he could rob him. During the drug deal in the school parking lot, both the shooter and victim pulled gun"&amp;"s on each other and began shooting - both were hit - the victim died - shooter was caught and charged with capital murder.")</f>
        <v>Shooter and victim knew each other and had exchanged "bad" looks earlier in the day - as a result, the shooter had a drug deal set up with victim so he could rob him. During the drug deal in the school parking lot, both the shooter and victim pulled guns on each other and began shooting - both were hit - the victim died - shooter was caught and charged with capital murder.</v>
      </c>
      <c r="AA1118" s="5" t="str">
        <f ca="1">IFERROR(__xludf.DUMMYFUNCTION("""COMPUTED_VALUE"""),"Illegal Activity")</f>
        <v>Illegal Activity</v>
      </c>
      <c r="AB1118" s="5" t="str">
        <f ca="1">IFERROR(__xludf.DUMMYFUNCTION("""COMPUTED_VALUE"""),"Victims Targeted")</f>
        <v>Victims Targeted</v>
      </c>
      <c r="AC1118" s="5" t="str">
        <f ca="1">IFERROR(__xludf.DUMMYFUNCTION("""COMPUTED_VALUE"""),"Yes")</f>
        <v>Yes</v>
      </c>
      <c r="AD1118" s="5" t="str">
        <f ca="1">IFERROR(__xludf.DUMMYFUNCTION("""COMPUTED_VALUE"""),"No")</f>
        <v>No</v>
      </c>
      <c r="AE1118" s="5" t="str">
        <f ca="1">IFERROR(__xludf.DUMMYFUNCTION("""COMPUTED_VALUE"""),"No")</f>
        <v>No</v>
      </c>
      <c r="AF1118" s="5" t="str">
        <f ca="1">IFERROR(__xludf.DUMMYFUNCTION("""COMPUTED_VALUE"""),"No")</f>
        <v>No</v>
      </c>
      <c r="AG1118" s="5" t="str">
        <f ca="1">IFERROR(__xludf.DUMMYFUNCTION("""COMPUTED_VALUE"""),"No")</f>
        <v>No</v>
      </c>
      <c r="AH1118" s="5" t="str">
        <f ca="1">IFERROR(__xludf.DUMMYFUNCTION("""COMPUTED_VALUE"""),"No")</f>
        <v>No</v>
      </c>
      <c r="AI1118" s="5" t="str">
        <f ca="1">IFERROR(__xludf.DUMMYFUNCTION("""COMPUTED_VALUE"""),"No")</f>
        <v>No</v>
      </c>
      <c r="AJ1118" s="5" t="str">
        <f ca="1">IFERROR(__xludf.DUMMYFUNCTION("""COMPUTED_VALUE"""),"No")</f>
        <v>No</v>
      </c>
    </row>
    <row r="1119" spans="1:36" ht="13">
      <c r="A1119" s="5" t="str">
        <f ca="1">IFERROR(__xludf.DUMMYFUNCTION("""COMPUTED_VALUE"""),"20150705TXCOD")</f>
        <v>20150705TXCOD</v>
      </c>
      <c r="B1119" s="5">
        <f ca="1">IFERROR(__xludf.DUMMYFUNCTION("""COMPUTED_VALUE"""),7)</f>
        <v>7</v>
      </c>
      <c r="C1119" s="5">
        <f ca="1">IFERROR(__xludf.DUMMYFUNCTION("""COMPUTED_VALUE"""),5)</f>
        <v>5</v>
      </c>
      <c r="D1119" s="5">
        <f ca="1">IFERROR(__xludf.DUMMYFUNCTION("""COMPUTED_VALUE"""),2015)</f>
        <v>2015</v>
      </c>
      <c r="E1119" s="8">
        <f ca="1">IFERROR(__xludf.DUMMYFUNCTION("""COMPUTED_VALUE"""),42190)</f>
        <v>42190</v>
      </c>
      <c r="F1119" s="5" t="str">
        <f ca="1">IFERROR(__xludf.DUMMYFUNCTION("""COMPUTED_VALUE"""),"Coppell Middle School East")</f>
        <v>Coppell Middle School East</v>
      </c>
      <c r="G1119" s="5">
        <f ca="1">IFERROR(__xludf.DUMMYFUNCTION("""COMPUTED_VALUE"""),0)</f>
        <v>0</v>
      </c>
      <c r="H1119" s="5">
        <f ca="1">IFERROR(__xludf.DUMMYFUNCTION("""COMPUTED_VALUE"""),1)</f>
        <v>1</v>
      </c>
      <c r="I1119" s="5">
        <f ca="1">IFERROR(__xludf.DUMMYFUNCTION("""COMPUTED_VALUE"""),1)</f>
        <v>1</v>
      </c>
      <c r="J1119" s="5">
        <f ca="1">IFERROR(__xludf.DUMMYFUNCTION("""COMPUTED_VALUE"""),0)</f>
        <v>0</v>
      </c>
      <c r="K1119" s="5" t="str">
        <f ca="1">IFERROR(__xludf.DUMMYFUNCTION("""COMPUTED_VALUE"""),"https://www.star-telegram.com/sports/dfwvarsity/article26576590.html . http://www.fox4news.com/news/suspect-charged-in-shooting-that-injured-byu-football-signee")</f>
        <v>https://www.star-telegram.com/sports/dfwvarsity/article26576590.html . http://www.fox4news.com/news/suspect-charged-in-shooting-that-injured-byu-football-signee</v>
      </c>
      <c r="L1119" s="5"/>
      <c r="M1119" s="5"/>
      <c r="N1119" s="5">
        <f ca="1">IFERROR(__xludf.DUMMYFUNCTION("""COMPUTED_VALUE"""),3)</f>
        <v>3</v>
      </c>
      <c r="O1119" s="5" t="str">
        <f ca="1">IFERROR(__xludf.DUMMYFUNCTION("""COMPUTED_VALUE"""),"Summer")</f>
        <v>Summer</v>
      </c>
      <c r="P1119" s="5" t="str">
        <f ca="1">IFERROR(__xludf.DUMMYFUNCTION("""COMPUTED_VALUE"""),"Dallas")</f>
        <v>Dallas</v>
      </c>
      <c r="Q1119" s="5" t="str">
        <f ca="1">IFERROR(__xludf.DUMMYFUNCTION("""COMPUTED_VALUE"""),"TX")</f>
        <v>TX</v>
      </c>
      <c r="R1119" s="5" t="str">
        <f ca="1">IFERROR(__xludf.DUMMYFUNCTION("""COMPUTED_VALUE"""),"High")</f>
        <v>High</v>
      </c>
      <c r="S1119" s="5" t="str">
        <f ca="1">IFERROR(__xludf.DUMMYFUNCTION("""COMPUTED_VALUE"""),"Parking Lot")</f>
        <v>Parking Lot</v>
      </c>
      <c r="T1119" s="5" t="str">
        <f ca="1">IFERROR(__xludf.DUMMYFUNCTION("""COMPUTED_VALUE"""),"Outside on School Property")</f>
        <v>Outside on School Property</v>
      </c>
      <c r="U1119" s="5" t="str">
        <f ca="1">IFERROR(__xludf.DUMMYFUNCTION("""COMPUTED_VALUE"""),"No")</f>
        <v>No</v>
      </c>
      <c r="V1119" s="5" t="str">
        <f ca="1">IFERROR(__xludf.DUMMYFUNCTION("""COMPUTED_VALUE"""),"Not a School Day")</f>
        <v>Not a School Day</v>
      </c>
      <c r="W1119" s="10">
        <f ca="1">IFERROR(__xludf.DUMMYFUNCTION("""COMPUTED_VALUE"""),0.75)</f>
        <v>0.75</v>
      </c>
      <c r="X1119" s="5">
        <f ca="1">IFERROR(__xludf.DUMMYFUNCTION("""COMPUTED_VALUE"""),1)</f>
        <v>1</v>
      </c>
      <c r="Y1119" s="5" t="str">
        <f ca="1">IFERROR(__xludf.DUMMYFUNCTION("""COMPUTED_VALUE"""),"Shots fired during dispute over money at basketball game")</f>
        <v>Shots fired during dispute over money at basketball game</v>
      </c>
      <c r="Z1119" s="5" t="str">
        <f ca="1">IFERROR(__xludf.DUMMYFUNCTION("""COMPUTED_VALUE"""),"Victim was at school to play basketball - vehicle drove into parking lot and shooter got out and chased victim - shot at him several times, victim was struck in the arm. Suspect fled but was later arrested - stated the shooting was based on an earlier arg"&amp;"ument with victim over money.")</f>
        <v>Victim was at school to play basketball - vehicle drove into parking lot and shooter got out and chased victim - shot at him several times, victim was struck in the arm. Suspect fled but was later arrested - stated the shooting was based on an earlier argument with victim over money.</v>
      </c>
      <c r="AA1119" s="5" t="str">
        <f ca="1">IFERROR(__xludf.DUMMYFUNCTION("""COMPUTED_VALUE"""),"Escalation of Dispute")</f>
        <v>Escalation of Dispute</v>
      </c>
      <c r="AB1119" s="5" t="str">
        <f ca="1">IFERROR(__xludf.DUMMYFUNCTION("""COMPUTED_VALUE"""),"Victims Targeted")</f>
        <v>Victims Targeted</v>
      </c>
      <c r="AC1119" s="5"/>
      <c r="AD1119" s="5" t="str">
        <f ca="1">IFERROR(__xludf.DUMMYFUNCTION("""COMPUTED_VALUE"""),"No")</f>
        <v>No</v>
      </c>
      <c r="AE1119" s="5" t="str">
        <f ca="1">IFERROR(__xludf.DUMMYFUNCTION("""COMPUTED_VALUE"""),"No")</f>
        <v>No</v>
      </c>
      <c r="AF1119" s="5" t="str">
        <f ca="1">IFERROR(__xludf.DUMMYFUNCTION("""COMPUTED_VALUE"""),"No")</f>
        <v>No</v>
      </c>
      <c r="AG1119" s="5" t="str">
        <f ca="1">IFERROR(__xludf.DUMMYFUNCTION("""COMPUTED_VALUE"""),"No")</f>
        <v>No</v>
      </c>
      <c r="AH1119" s="5" t="str">
        <f ca="1">IFERROR(__xludf.DUMMYFUNCTION("""COMPUTED_VALUE"""),"No")</f>
        <v>No</v>
      </c>
      <c r="AI1119" s="5" t="str">
        <f ca="1">IFERROR(__xludf.DUMMYFUNCTION("""COMPUTED_VALUE"""),"No")</f>
        <v>No</v>
      </c>
      <c r="AJ1119" s="5" t="str">
        <f ca="1">IFERROR(__xludf.DUMMYFUNCTION("""COMPUTED_VALUE"""),"No")</f>
        <v>No</v>
      </c>
    </row>
    <row r="1120" spans="1:36" ht="13">
      <c r="A1120" s="5" t="str">
        <f ca="1">IFERROR(__xludf.DUMMYFUNCTION("""COMPUTED_VALUE"""),"20150629TXJOS")</f>
        <v>20150629TXJOS</v>
      </c>
      <c r="B1120" s="5">
        <f ca="1">IFERROR(__xludf.DUMMYFUNCTION("""COMPUTED_VALUE"""),6)</f>
        <v>6</v>
      </c>
      <c r="C1120" s="5">
        <f ca="1">IFERROR(__xludf.DUMMYFUNCTION("""COMPUTED_VALUE"""),29)</f>
        <v>29</v>
      </c>
      <c r="D1120" s="5">
        <f ca="1">IFERROR(__xludf.DUMMYFUNCTION("""COMPUTED_VALUE"""),2015)</f>
        <v>2015</v>
      </c>
      <c r="E1120" s="8">
        <f ca="1">IFERROR(__xludf.DUMMYFUNCTION("""COMPUTED_VALUE"""),42184)</f>
        <v>42184</v>
      </c>
      <c r="F1120" s="5" t="str">
        <f ca="1">IFERROR(__xludf.DUMMYFUNCTION("""COMPUTED_VALUE"""),"John Jay High School")</f>
        <v>John Jay High School</v>
      </c>
      <c r="G1120" s="5">
        <f ca="1">IFERROR(__xludf.DUMMYFUNCTION("""COMPUTED_VALUE"""),0)</f>
        <v>0</v>
      </c>
      <c r="H1120" s="5">
        <f ca="1">IFERROR(__xludf.DUMMYFUNCTION("""COMPUTED_VALUE"""),0)</f>
        <v>0</v>
      </c>
      <c r="I1120" s="5">
        <f ca="1">IFERROR(__xludf.DUMMYFUNCTION("""COMPUTED_VALUE"""),0)</f>
        <v>0</v>
      </c>
      <c r="J1120" s="5">
        <f ca="1">IFERROR(__xludf.DUMMYFUNCTION("""COMPUTED_VALUE"""),1)</f>
        <v>1</v>
      </c>
      <c r="K1120" s="9" t="str">
        <f ca="1">IFERROR(__xludf.DUMMYFUNCTION("""COMPUTED_VALUE"""),"https://www.mysanantonio.com/news/local/article/Suspect-killed-by-polcie-during-chase-identified-6355557.php")</f>
        <v>https://www.mysanantonio.com/news/local/article/Suspect-killed-by-polcie-during-chase-identified-6355557.php</v>
      </c>
      <c r="L1120" s="5"/>
      <c r="M1120" s="5"/>
      <c r="N1120" s="5">
        <f ca="1">IFERROR(__xludf.DUMMYFUNCTION("""COMPUTED_VALUE"""),2)</f>
        <v>2</v>
      </c>
      <c r="O1120" s="5" t="str">
        <f ca="1">IFERROR(__xludf.DUMMYFUNCTION("""COMPUTED_VALUE"""),"Summer")</f>
        <v>Summer</v>
      </c>
      <c r="P1120" s="5" t="str">
        <f ca="1">IFERROR(__xludf.DUMMYFUNCTION("""COMPUTED_VALUE"""),"San Antonio")</f>
        <v>San Antonio</v>
      </c>
      <c r="Q1120" s="5" t="str">
        <f ca="1">IFERROR(__xludf.DUMMYFUNCTION("""COMPUTED_VALUE"""),"TX")</f>
        <v>TX</v>
      </c>
      <c r="R1120" s="5" t="str">
        <f ca="1">IFERROR(__xludf.DUMMYFUNCTION("""COMPUTED_VALUE"""),"High")</f>
        <v>High</v>
      </c>
      <c r="S1120" s="5" t="str">
        <f ca="1">IFERROR(__xludf.DUMMYFUNCTION("""COMPUTED_VALUE"""),"Field (General)")</f>
        <v>Field (General)</v>
      </c>
      <c r="T1120" s="5" t="str">
        <f ca="1">IFERROR(__xludf.DUMMYFUNCTION("""COMPUTED_VALUE"""),"Outside on School Property")</f>
        <v>Outside on School Property</v>
      </c>
      <c r="U1120" s="5" t="str">
        <f ca="1">IFERROR(__xludf.DUMMYFUNCTION("""COMPUTED_VALUE"""),"Yes")</f>
        <v>Yes</v>
      </c>
      <c r="V1120" s="5" t="str">
        <f ca="1">IFERROR(__xludf.DUMMYFUNCTION("""COMPUTED_VALUE"""),"Afternoon Classes")</f>
        <v>Afternoon Classes</v>
      </c>
      <c r="W1120" s="10">
        <f ca="1">IFERROR(__xludf.DUMMYFUNCTION("""COMPUTED_VALUE"""),0.5625)</f>
        <v>0.5625</v>
      </c>
      <c r="X1120" s="5">
        <f ca="1">IFERROR(__xludf.DUMMYFUNCTION("""COMPUTED_VALUE"""),1)</f>
        <v>1</v>
      </c>
      <c r="Y1120" s="5" t="str">
        <f ca="1">IFERROR(__xludf.DUMMYFUNCTION("""COMPUTED_VALUE"""),"Police officer shot suspect after vehicle pursuit")</f>
        <v>Police officer shot suspect after vehicle pursuit</v>
      </c>
      <c r="Z1120" s="5" t="str">
        <f ca="1">IFERROR(__xludf.DUMMYFUNCTION("""COMPUTED_VALUE"""),"During routine traffic stop suspect flees scene and runs onto school campus. Suspect chased and caught by undercover officer. Suspect tries to jump fence, but guns falls from waistband - when suspect reaches for gun, officer shoots suspect three times kil"&amp;"ling him.")</f>
        <v>During routine traffic stop suspect flees scene and runs onto school campus. Suspect chased and caught by undercover officer. Suspect tries to jump fence, but guns falls from waistband - when suspect reaches for gun, officer shoots suspect three times killing him.</v>
      </c>
      <c r="AA1120" s="5" t="str">
        <f ca="1">IFERROR(__xludf.DUMMYFUNCTION("""COMPUTED_VALUE"""),"Illegal Activity")</f>
        <v>Illegal Activity</v>
      </c>
      <c r="AB1120" s="5" t="str">
        <f ca="1">IFERROR(__xludf.DUMMYFUNCTION("""COMPUTED_VALUE"""),"Victims Targeted")</f>
        <v>Victims Targeted</v>
      </c>
      <c r="AC1120" s="5" t="str">
        <f ca="1">IFERROR(__xludf.DUMMYFUNCTION("""COMPUTED_VALUE"""),"No")</f>
        <v>No</v>
      </c>
      <c r="AD1120" s="5" t="str">
        <f ca="1">IFERROR(__xludf.DUMMYFUNCTION("""COMPUTED_VALUE"""),"No")</f>
        <v>No</v>
      </c>
      <c r="AE1120" s="5" t="str">
        <f ca="1">IFERROR(__xludf.DUMMYFUNCTION("""COMPUTED_VALUE"""),"No")</f>
        <v>No</v>
      </c>
      <c r="AF1120" s="5" t="str">
        <f ca="1">IFERROR(__xludf.DUMMYFUNCTION("""COMPUTED_VALUE"""),"Yes")</f>
        <v>Yes</v>
      </c>
      <c r="AG1120" s="5" t="str">
        <f ca="1">IFERROR(__xludf.DUMMYFUNCTION("""COMPUTED_VALUE"""),"N/A")</f>
        <v>N/A</v>
      </c>
      <c r="AH1120" s="5" t="str">
        <f ca="1">IFERROR(__xludf.DUMMYFUNCTION("""COMPUTED_VALUE"""),"N/A")</f>
        <v>N/A</v>
      </c>
      <c r="AI1120" s="5" t="str">
        <f ca="1">IFERROR(__xludf.DUMMYFUNCTION("""COMPUTED_VALUE"""),"N/A")</f>
        <v>N/A</v>
      </c>
      <c r="AJ1120" s="5" t="str">
        <f ca="1">IFERROR(__xludf.DUMMYFUNCTION("""COMPUTED_VALUE"""),"No")</f>
        <v>No</v>
      </c>
    </row>
    <row r="1121" spans="1:36" ht="13">
      <c r="A1121" s="5" t="str">
        <f ca="1">IFERROR(__xludf.DUMMYFUNCTION("""COMPUTED_VALUE"""),"20150627CTSAH")</f>
        <v>20150627CTSAH</v>
      </c>
      <c r="B1121" s="5">
        <f ca="1">IFERROR(__xludf.DUMMYFUNCTION("""COMPUTED_VALUE"""),6)</f>
        <v>6</v>
      </c>
      <c r="C1121" s="5">
        <f ca="1">IFERROR(__xludf.DUMMYFUNCTION("""COMPUTED_VALUE"""),27)</f>
        <v>27</v>
      </c>
      <c r="D1121" s="5">
        <f ca="1">IFERROR(__xludf.DUMMYFUNCTION("""COMPUTED_VALUE"""),2015)</f>
        <v>2015</v>
      </c>
      <c r="E1121" s="8">
        <f ca="1">IFERROR(__xludf.DUMMYFUNCTION("""COMPUTED_VALUE"""),42182)</f>
        <v>42182</v>
      </c>
      <c r="F1121" s="5" t="str">
        <f ca="1">IFERROR(__xludf.DUMMYFUNCTION("""COMPUTED_VALUE"""),"Sarah J. Rawson Elementary School")</f>
        <v>Sarah J. Rawson Elementary School</v>
      </c>
      <c r="G1121" s="5">
        <f ca="1">IFERROR(__xludf.DUMMYFUNCTION("""COMPUTED_VALUE"""),1)</f>
        <v>1</v>
      </c>
      <c r="H1121" s="5">
        <f ca="1">IFERROR(__xludf.DUMMYFUNCTION("""COMPUTED_VALUE"""),3)</f>
        <v>3</v>
      </c>
      <c r="I1121" s="5">
        <f ca="1">IFERROR(__xludf.DUMMYFUNCTION("""COMPUTED_VALUE"""),4)</f>
        <v>4</v>
      </c>
      <c r="J1121" s="5">
        <f ca="1">IFERROR(__xludf.DUMMYFUNCTION("""COMPUTED_VALUE"""),0)</f>
        <v>0</v>
      </c>
      <c r="K1121" s="9" t="str">
        <f ca="1">IFERROR(__xludf.DUMMYFUNCTION("""COMPUTED_VALUE"""),"https://www.ibtimes.com/hartford-shooting-leaves-four-injured-rawson-elementary-school-basketball-tournament-1986922")</f>
        <v>https://www.ibtimes.com/hartford-shooting-leaves-four-injured-rawson-elementary-school-basketball-tournament-1986922</v>
      </c>
      <c r="L1121" s="5"/>
      <c r="M1121" s="5"/>
      <c r="N1121" s="5">
        <f ca="1">IFERROR(__xludf.DUMMYFUNCTION("""COMPUTED_VALUE"""),2)</f>
        <v>2</v>
      </c>
      <c r="O1121" s="5" t="str">
        <f ca="1">IFERROR(__xludf.DUMMYFUNCTION("""COMPUTED_VALUE"""),"Summer")</f>
        <v>Summer</v>
      </c>
      <c r="P1121" s="5" t="str">
        <f ca="1">IFERROR(__xludf.DUMMYFUNCTION("""COMPUTED_VALUE"""),"Hartford")</f>
        <v>Hartford</v>
      </c>
      <c r="Q1121" s="5" t="str">
        <f ca="1">IFERROR(__xludf.DUMMYFUNCTION("""COMPUTED_VALUE"""),"CT")</f>
        <v>CT</v>
      </c>
      <c r="R1121" s="5" t="str">
        <f ca="1">IFERROR(__xludf.DUMMYFUNCTION("""COMPUTED_VALUE"""),"Elementary")</f>
        <v>Elementary</v>
      </c>
      <c r="S1121" s="5" t="str">
        <f ca="1">IFERROR(__xludf.DUMMYFUNCTION("""COMPUTED_VALUE"""),"Gym")</f>
        <v>Gym</v>
      </c>
      <c r="T1121" s="5" t="str">
        <f ca="1">IFERROR(__xludf.DUMMYFUNCTION("""COMPUTED_VALUE"""),"Inside School Building")</f>
        <v>Inside School Building</v>
      </c>
      <c r="U1121" s="5" t="str">
        <f ca="1">IFERROR(__xludf.DUMMYFUNCTION("""COMPUTED_VALUE"""),"No")</f>
        <v>No</v>
      </c>
      <c r="V1121" s="5" t="str">
        <f ca="1">IFERROR(__xludf.DUMMYFUNCTION("""COMPUTED_VALUE"""),"Sport Event")</f>
        <v>Sport Event</v>
      </c>
      <c r="W1121" s="10">
        <f ca="1">IFERROR(__xludf.DUMMYFUNCTION("""COMPUTED_VALUE"""),0.770833333333333)</f>
        <v>0.77083333333333304</v>
      </c>
      <c r="X1121" s="5">
        <f ca="1">IFERROR(__xludf.DUMMYFUNCTION("""COMPUTED_VALUE"""),1)</f>
        <v>1</v>
      </c>
      <c r="Y1121" s="5" t="str">
        <f ca="1">IFERROR(__xludf.DUMMYFUNCTION("""COMPUTED_VALUE"""),"Four shot in school gym during basketball game")</f>
        <v>Four shot in school gym during basketball game</v>
      </c>
      <c r="Z1121" s="5" t="str">
        <f ca="1">IFERROR(__xludf.DUMMYFUNCTION("""COMPUTED_VALUE"""),"4 non-student teens were shot in the school gym during a basketball game. Police did not identify any suspects or how many shooters/shots fired there were.")</f>
        <v>4 non-student teens were shot in the school gym during a basketball game. Police did not identify any suspects or how many shooters/shots fired there were.</v>
      </c>
      <c r="AA1121" s="5" t="str">
        <f ca="1">IFERROR(__xludf.DUMMYFUNCTION("""COMPUTED_VALUE"""),"Escalation of Dispute")</f>
        <v>Escalation of Dispute</v>
      </c>
      <c r="AB1121" s="5"/>
      <c r="AC1121" s="5" t="str">
        <f ca="1">IFERROR(__xludf.DUMMYFUNCTION("""COMPUTED_VALUE"""),"Unknown")</f>
        <v>Unknown</v>
      </c>
      <c r="AD1121" s="5" t="str">
        <f ca="1">IFERROR(__xludf.DUMMYFUNCTION("""COMPUTED_VALUE"""),"No")</f>
        <v>No</v>
      </c>
      <c r="AE1121" s="5" t="str">
        <f ca="1">IFERROR(__xludf.DUMMYFUNCTION("""COMPUTED_VALUE"""),"No")</f>
        <v>No</v>
      </c>
      <c r="AF1121" s="5" t="str">
        <f ca="1">IFERROR(__xludf.DUMMYFUNCTION("""COMPUTED_VALUE"""),"No")</f>
        <v>No</v>
      </c>
      <c r="AG1121" s="5" t="str">
        <f ca="1">IFERROR(__xludf.DUMMYFUNCTION("""COMPUTED_VALUE"""),"No")</f>
        <v>No</v>
      </c>
      <c r="AH1121" s="5" t="str">
        <f ca="1">IFERROR(__xludf.DUMMYFUNCTION("""COMPUTED_VALUE"""),"No")</f>
        <v>No</v>
      </c>
      <c r="AI1121" s="5" t="str">
        <f ca="1">IFERROR(__xludf.DUMMYFUNCTION("""COMPUTED_VALUE"""),"No")</f>
        <v>No</v>
      </c>
      <c r="AJ1121" s="5" t="str">
        <f ca="1">IFERROR(__xludf.DUMMYFUNCTION("""COMPUTED_VALUE"""),"No")</f>
        <v>No</v>
      </c>
    </row>
    <row r="1122" spans="1:36" ht="13">
      <c r="A1122" s="5" t="str">
        <f ca="1">IFERROR(__xludf.DUMMYFUNCTION("""COMPUTED_VALUE"""),"20150623NEFOF")</f>
        <v>20150623NEFOF</v>
      </c>
      <c r="B1122" s="5">
        <f ca="1">IFERROR(__xludf.DUMMYFUNCTION("""COMPUTED_VALUE"""),6)</f>
        <v>6</v>
      </c>
      <c r="C1122" s="5">
        <f ca="1">IFERROR(__xludf.DUMMYFUNCTION("""COMPUTED_VALUE"""),23)</f>
        <v>23</v>
      </c>
      <c r="D1122" s="5">
        <f ca="1">IFERROR(__xludf.DUMMYFUNCTION("""COMPUTED_VALUE"""),2015)</f>
        <v>2015</v>
      </c>
      <c r="E1122" s="8">
        <f ca="1">IFERROR(__xludf.DUMMYFUNCTION("""COMPUTED_VALUE"""),42178)</f>
        <v>42178</v>
      </c>
      <c r="F1122" s="5" t="str">
        <f ca="1">IFERROR(__xludf.DUMMYFUNCTION("""COMPUTED_VALUE"""),"Fort Calhoun Elementary School")</f>
        <v>Fort Calhoun Elementary School</v>
      </c>
      <c r="G1122" s="5">
        <f ca="1">IFERROR(__xludf.DUMMYFUNCTION("""COMPUTED_VALUE"""),0)</f>
        <v>0</v>
      </c>
      <c r="H1122" s="5">
        <f ca="1">IFERROR(__xludf.DUMMYFUNCTION("""COMPUTED_VALUE"""),0)</f>
        <v>0</v>
      </c>
      <c r="I1122" s="5">
        <f ca="1">IFERROR(__xludf.DUMMYFUNCTION("""COMPUTED_VALUE"""),0)</f>
        <v>0</v>
      </c>
      <c r="J1122" s="5">
        <f ca="1">IFERROR(__xludf.DUMMYFUNCTION("""COMPUTED_VALUE"""),0)</f>
        <v>0</v>
      </c>
      <c r="K1122" s="5" t="str">
        <f ca="1">IFERROR(__xludf.DUMMYFUNCTION("""COMPUTED_VALUE"""),"http://www.enterprisepub.com/news/fort_calhoun/deputies-make-two-arrests-in-fort-calhoun-shooting/article_75cc1cce-1a22-11e5-b470-630fb310ca4d.html . http://www.fox4news.com/news/suspect-charged-in-shooting-that-injured-byu-football-signee")</f>
        <v>http://www.enterprisepub.com/news/fort_calhoun/deputies-make-two-arrests-in-fort-calhoun-shooting/article_75cc1cce-1a22-11e5-b470-630fb310ca4d.html . http://www.fox4news.com/news/suspect-charged-in-shooting-that-injured-byu-football-signee</v>
      </c>
      <c r="L1122" s="5"/>
      <c r="M1122" s="5"/>
      <c r="N1122" s="5">
        <f ca="1">IFERROR(__xludf.DUMMYFUNCTION("""COMPUTED_VALUE"""),3)</f>
        <v>3</v>
      </c>
      <c r="O1122" s="5" t="str">
        <f ca="1">IFERROR(__xludf.DUMMYFUNCTION("""COMPUTED_VALUE"""),"Summer")</f>
        <v>Summer</v>
      </c>
      <c r="P1122" s="5" t="str">
        <f ca="1">IFERROR(__xludf.DUMMYFUNCTION("""COMPUTED_VALUE"""),"Fort Calhoun")</f>
        <v>Fort Calhoun</v>
      </c>
      <c r="Q1122" s="5" t="str">
        <f ca="1">IFERROR(__xludf.DUMMYFUNCTION("""COMPUTED_VALUE"""),"NE")</f>
        <v>NE</v>
      </c>
      <c r="R1122" s="5" t="str">
        <f ca="1">IFERROR(__xludf.DUMMYFUNCTION("""COMPUTED_VALUE"""),"Elementary")</f>
        <v>Elementary</v>
      </c>
      <c r="S1122" s="5" t="str">
        <f ca="1">IFERROR(__xludf.DUMMYFUNCTION("""COMPUTED_VALUE"""),"Parking Lot")</f>
        <v>Parking Lot</v>
      </c>
      <c r="T1122" s="5" t="str">
        <f ca="1">IFERROR(__xludf.DUMMYFUNCTION("""COMPUTED_VALUE"""),"Outside on School Property")</f>
        <v>Outside on School Property</v>
      </c>
      <c r="U1122" s="5" t="str">
        <f ca="1">IFERROR(__xludf.DUMMYFUNCTION("""COMPUTED_VALUE"""),"No")</f>
        <v>No</v>
      </c>
      <c r="V1122" s="5" t="str">
        <f ca="1">IFERROR(__xludf.DUMMYFUNCTION("""COMPUTED_VALUE"""),"Evening")</f>
        <v>Evening</v>
      </c>
      <c r="W1122" s="10">
        <f ca="1">IFERROR(__xludf.DUMMYFUNCTION("""COMPUTED_VALUE"""),0.8125)</f>
        <v>0.8125</v>
      </c>
      <c r="X1122" s="5">
        <f ca="1">IFERROR(__xludf.DUMMYFUNCTION("""COMPUTED_VALUE"""),1)</f>
        <v>1</v>
      </c>
      <c r="Y1122" s="5" t="str">
        <f ca="1">IFERROR(__xludf.DUMMYFUNCTION("""COMPUTED_VALUE"""),"Meeting in parking lot between non-students turned violent")</f>
        <v>Meeting in parking lot between non-students turned violent</v>
      </c>
      <c r="Z1122" s="5" t="str">
        <f ca="1">IFERROR(__xludf.DUMMYFUNCTION("""COMPUTED_VALUE"""),"A meeting unrelated to the school took place on the school parking lot - it then turned violent and a subject fired several shots at others in the parking lot - main suspect charged with 4 counts with attempted first degree murder among other things.")</f>
        <v>A meeting unrelated to the school took place on the school parking lot - it then turned violent and a subject fired several shots at others in the parking lot - main suspect charged with 4 counts with attempted first degree murder among other things.</v>
      </c>
      <c r="AA1122" s="5" t="str">
        <f ca="1">IFERROR(__xludf.DUMMYFUNCTION("""COMPUTED_VALUE"""),"Escalation of Dispute")</f>
        <v>Escalation of Dispute</v>
      </c>
      <c r="AB1122" s="5" t="str">
        <f ca="1">IFERROR(__xludf.DUMMYFUNCTION("""COMPUTED_VALUE"""),"Victims Targeted")</f>
        <v>Victims Targeted</v>
      </c>
      <c r="AC1122" s="5" t="str">
        <f ca="1">IFERROR(__xludf.DUMMYFUNCTION("""COMPUTED_VALUE"""),"Yes")</f>
        <v>Yes</v>
      </c>
      <c r="AD1122" s="5" t="str">
        <f ca="1">IFERROR(__xludf.DUMMYFUNCTION("""COMPUTED_VALUE"""),"No")</f>
        <v>No</v>
      </c>
      <c r="AE1122" s="5" t="str">
        <f ca="1">IFERROR(__xludf.DUMMYFUNCTION("""COMPUTED_VALUE"""),"No")</f>
        <v>No</v>
      </c>
      <c r="AF1122" s="5" t="str">
        <f ca="1">IFERROR(__xludf.DUMMYFUNCTION("""COMPUTED_VALUE"""),"No")</f>
        <v>No</v>
      </c>
      <c r="AG1122" s="5" t="str">
        <f ca="1">IFERROR(__xludf.DUMMYFUNCTION("""COMPUTED_VALUE"""),"No")</f>
        <v>No</v>
      </c>
      <c r="AH1122" s="5" t="str">
        <f ca="1">IFERROR(__xludf.DUMMYFUNCTION("""COMPUTED_VALUE"""),"No")</f>
        <v>No</v>
      </c>
      <c r="AI1122" s="5" t="str">
        <f ca="1">IFERROR(__xludf.DUMMYFUNCTION("""COMPUTED_VALUE"""),"No")</f>
        <v>No</v>
      </c>
      <c r="AJ1122" s="5" t="str">
        <f ca="1">IFERROR(__xludf.DUMMYFUNCTION("""COMPUTED_VALUE"""),"No")</f>
        <v>No</v>
      </c>
    </row>
    <row r="1123" spans="1:36" ht="13">
      <c r="A1123" s="5" t="str">
        <f ca="1">IFERROR(__xludf.DUMMYFUNCTION("""COMPUTED_VALUE"""),"20150604NCSOF")</f>
        <v>20150604NCSOF</v>
      </c>
      <c r="B1123" s="5">
        <f ca="1">IFERROR(__xludf.DUMMYFUNCTION("""COMPUTED_VALUE"""),6)</f>
        <v>6</v>
      </c>
      <c r="C1123" s="5">
        <f ca="1">IFERROR(__xludf.DUMMYFUNCTION("""COMPUTED_VALUE"""),4)</f>
        <v>4</v>
      </c>
      <c r="D1123" s="5">
        <f ca="1">IFERROR(__xludf.DUMMYFUNCTION("""COMPUTED_VALUE"""),2015)</f>
        <v>2015</v>
      </c>
      <c r="E1123" s="8">
        <f ca="1">IFERROR(__xludf.DUMMYFUNCTION("""COMPUTED_VALUE"""),42159)</f>
        <v>42159</v>
      </c>
      <c r="F1123" s="5" t="str">
        <f ca="1">IFERROR(__xludf.DUMMYFUNCTION("""COMPUTED_VALUE"""),"South Macon Elementary School")</f>
        <v>South Macon Elementary School</v>
      </c>
      <c r="G1123" s="5">
        <f ca="1">IFERROR(__xludf.DUMMYFUNCTION("""COMPUTED_VALUE"""),0)</f>
        <v>0</v>
      </c>
      <c r="H1123" s="5">
        <f ca="1">IFERROR(__xludf.DUMMYFUNCTION("""COMPUTED_VALUE"""),0)</f>
        <v>0</v>
      </c>
      <c r="I1123" s="5">
        <f ca="1">IFERROR(__xludf.DUMMYFUNCTION("""COMPUTED_VALUE"""),0)</f>
        <v>0</v>
      </c>
      <c r="J1123" s="5">
        <f ca="1">IFERROR(__xludf.DUMMYFUNCTION("""COMPUTED_VALUE"""),0)</f>
        <v>0</v>
      </c>
      <c r="K1123" s="9" t="str">
        <f ca="1">IFERROR(__xludf.DUMMYFUNCTION("""COMPUTED_VALUE"""),"https://www.citizen-times.com/story/news/crime/2015/06/04/armed-suspects-found-macon-county-school-custody/28467377/")</f>
        <v>https://www.citizen-times.com/story/news/crime/2015/06/04/armed-suspects-found-macon-county-school-custody/28467377/</v>
      </c>
      <c r="L1123" s="5"/>
      <c r="M1123" s="5" t="str">
        <f ca="1">IFERROR(__xludf.DUMMYFUNCTION("""COMPUTED_VALUE"""),"Local")</f>
        <v>Local</v>
      </c>
      <c r="N1123" s="5">
        <f ca="1">IFERROR(__xludf.DUMMYFUNCTION("""COMPUTED_VALUE"""),3)</f>
        <v>3</v>
      </c>
      <c r="O1123" s="5" t="str">
        <f ca="1">IFERROR(__xludf.DUMMYFUNCTION("""COMPUTED_VALUE"""),"Summer")</f>
        <v>Summer</v>
      </c>
      <c r="P1123" s="5" t="str">
        <f ca="1">IFERROR(__xludf.DUMMYFUNCTION("""COMPUTED_VALUE"""),"Franklin")</f>
        <v>Franklin</v>
      </c>
      <c r="Q1123" s="5" t="str">
        <f ca="1">IFERROR(__xludf.DUMMYFUNCTION("""COMPUTED_VALUE"""),"NC")</f>
        <v>NC</v>
      </c>
      <c r="R1123" s="5" t="str">
        <f ca="1">IFERROR(__xludf.DUMMYFUNCTION("""COMPUTED_VALUE"""),"Elementary")</f>
        <v>Elementary</v>
      </c>
      <c r="S1123" s="5" t="str">
        <f ca="1">IFERROR(__xludf.DUMMYFUNCTION("""COMPUTED_VALUE"""),"Parking Lot")</f>
        <v>Parking Lot</v>
      </c>
      <c r="T1123" s="5" t="str">
        <f ca="1">IFERROR(__xludf.DUMMYFUNCTION("""COMPUTED_VALUE"""),"Outside on School Property")</f>
        <v>Outside on School Property</v>
      </c>
      <c r="U1123" s="5" t="str">
        <f ca="1">IFERROR(__xludf.DUMMYFUNCTION("""COMPUTED_VALUE"""),"Yes")</f>
        <v>Yes</v>
      </c>
      <c r="V1123" s="5" t="str">
        <f ca="1">IFERROR(__xludf.DUMMYFUNCTION("""COMPUTED_VALUE"""),"Before School")</f>
        <v>Before School</v>
      </c>
      <c r="W1123" s="10">
        <f ca="1">IFERROR(__xludf.DUMMYFUNCTION("""COMPUTED_VALUE"""),0.227083333333333)</f>
        <v>0.227083333333333</v>
      </c>
      <c r="X1123" s="5">
        <f ca="1">IFERROR(__xludf.DUMMYFUNCTION("""COMPUTED_VALUE"""),1)</f>
        <v>1</v>
      </c>
      <c r="Y1123" s="5" t="str">
        <f ca="1">IFERROR(__xludf.DUMMYFUNCTION("""COMPUTED_VALUE"""),"Male and female came to school with several guns, shot/killed a cat, had plan to kill children")</f>
        <v>Male and female came to school with several guns, shot/killed a cat, had plan to kill children</v>
      </c>
      <c r="Z1123" s="5" t="str">
        <f ca="1">IFERROR(__xludf.DUMMYFUNCTION("""COMPUTED_VALUE"""),"A male and female came to school with multiple guns - they were confronted in early morning hours by bus driver who called police. Police responded and the subjects refused to cooperate - subjects were tased and arrested. They advised if it was God's will"&amp;" to kill the children, they would have. They shot/killed cat on school property - charged with multiple crimes. Police believed subjects were on drugs")</f>
        <v>A male and female came to school with multiple guns - they were confronted in early morning hours by bus driver who called police. Police responded and the subjects refused to cooperate - subjects were tased and arrested. They advised if it was God's will to kill the children, they would have. They shot/killed cat on school property - charged with multiple crimes. Police believed subjects were on drugs</v>
      </c>
      <c r="AA1123" s="5" t="str">
        <f ca="1">IFERROR(__xludf.DUMMYFUNCTION("""COMPUTED_VALUE"""),"Indiscriminate Shooting")</f>
        <v>Indiscriminate Shooting</v>
      </c>
      <c r="AB1123" s="5" t="str">
        <f ca="1">IFERROR(__xludf.DUMMYFUNCTION("""COMPUTED_VALUE"""),"Random Shooting")</f>
        <v>Random Shooting</v>
      </c>
      <c r="AC1123" s="5" t="str">
        <f ca="1">IFERROR(__xludf.DUMMYFUNCTION("""COMPUTED_VALUE"""),"Yes")</f>
        <v>Yes</v>
      </c>
      <c r="AD1123" s="5" t="str">
        <f ca="1">IFERROR(__xludf.DUMMYFUNCTION("""COMPUTED_VALUE"""),"No")</f>
        <v>No</v>
      </c>
      <c r="AE1123" s="5" t="str">
        <f ca="1">IFERROR(__xludf.DUMMYFUNCTION("""COMPUTED_VALUE"""),"No")</f>
        <v>No</v>
      </c>
      <c r="AF1123" s="5" t="str">
        <f ca="1">IFERROR(__xludf.DUMMYFUNCTION("""COMPUTED_VALUE"""),"No")</f>
        <v>No</v>
      </c>
      <c r="AG1123" s="5" t="str">
        <f ca="1">IFERROR(__xludf.DUMMYFUNCTION("""COMPUTED_VALUE"""),"No")</f>
        <v>No</v>
      </c>
      <c r="AH1123" s="5" t="str">
        <f ca="1">IFERROR(__xludf.DUMMYFUNCTION("""COMPUTED_VALUE"""),"No")</f>
        <v>No</v>
      </c>
      <c r="AI1123" s="5" t="str">
        <f ca="1">IFERROR(__xludf.DUMMYFUNCTION("""COMPUTED_VALUE"""),"No")</f>
        <v>No</v>
      </c>
      <c r="AJ1123" s="5" t="str">
        <f ca="1">IFERROR(__xludf.DUMMYFUNCTION("""COMPUTED_VALUE"""),"Yes")</f>
        <v>Yes</v>
      </c>
    </row>
    <row r="1124" spans="1:36" ht="13">
      <c r="A1124" s="5" t="str">
        <f ca="1">IFERROR(__xludf.DUMMYFUNCTION("""COMPUTED_VALUE"""),"20150527FLEVE")</f>
        <v>20150527FLEVE</v>
      </c>
      <c r="B1124" s="5">
        <f ca="1">IFERROR(__xludf.DUMMYFUNCTION("""COMPUTED_VALUE"""),5)</f>
        <v>5</v>
      </c>
      <c r="C1124" s="5">
        <f ca="1">IFERROR(__xludf.DUMMYFUNCTION("""COMPUTED_VALUE"""),27)</f>
        <v>27</v>
      </c>
      <c r="D1124" s="5">
        <f ca="1">IFERROR(__xludf.DUMMYFUNCTION("""COMPUTED_VALUE"""),2015)</f>
        <v>2015</v>
      </c>
      <c r="E1124" s="8">
        <f ca="1">IFERROR(__xludf.DUMMYFUNCTION("""COMPUTED_VALUE"""),42151)</f>
        <v>42151</v>
      </c>
      <c r="F1124" s="5" t="str">
        <f ca="1">IFERROR(__xludf.DUMMYFUNCTION("""COMPUTED_VALUE"""),"Everglades City School")</f>
        <v>Everglades City School</v>
      </c>
      <c r="G1124" s="5">
        <f ca="1">IFERROR(__xludf.DUMMYFUNCTION("""COMPUTED_VALUE"""),0)</f>
        <v>0</v>
      </c>
      <c r="H1124" s="5">
        <f ca="1">IFERROR(__xludf.DUMMYFUNCTION("""COMPUTED_VALUE"""),1)</f>
        <v>1</v>
      </c>
      <c r="I1124" s="5">
        <f ca="1">IFERROR(__xludf.DUMMYFUNCTION("""COMPUTED_VALUE"""),1)</f>
        <v>1</v>
      </c>
      <c r="J1124" s="5">
        <f ca="1">IFERROR(__xludf.DUMMYFUNCTION("""COMPUTED_VALUE"""),0)</f>
        <v>0</v>
      </c>
      <c r="K1124" s="9" t="str">
        <f ca="1">IFERROR(__xludf.DUMMYFUNCTION("""COMPUTED_VALUE"""),"http://archive.naplesnews.com/news/crime/everglades-city-man-charged-in-shooting-ep-1109639680-337933051.html")</f>
        <v>http://archive.naplesnews.com/news/crime/everglades-city-man-charged-in-shooting-ep-1109639680-337933051.html</v>
      </c>
      <c r="L1124" s="5"/>
      <c r="M1124" s="5"/>
      <c r="N1124" s="5">
        <f ca="1">IFERROR(__xludf.DUMMYFUNCTION("""COMPUTED_VALUE"""),2)</f>
        <v>2</v>
      </c>
      <c r="O1124" s="5" t="str">
        <f ca="1">IFERROR(__xludf.DUMMYFUNCTION("""COMPUTED_VALUE"""),"Spring")</f>
        <v>Spring</v>
      </c>
      <c r="P1124" s="5" t="str">
        <f ca="1">IFERROR(__xludf.DUMMYFUNCTION("""COMPUTED_VALUE"""),"Everglades City")</f>
        <v>Everglades City</v>
      </c>
      <c r="Q1124" s="5" t="str">
        <f ca="1">IFERROR(__xludf.DUMMYFUNCTION("""COMPUTED_VALUE"""),"FL")</f>
        <v>FL</v>
      </c>
      <c r="R1124" s="5" t="str">
        <f ca="1">IFERROR(__xludf.DUMMYFUNCTION("""COMPUTED_VALUE"""),"K-12")</f>
        <v>K-12</v>
      </c>
      <c r="S1124" s="5" t="str">
        <f ca="1">IFERROR(__xludf.DUMMYFUNCTION("""COMPUTED_VALUE"""),"Beside Building")</f>
        <v>Beside Building</v>
      </c>
      <c r="T1124" s="5" t="str">
        <f ca="1">IFERROR(__xludf.DUMMYFUNCTION("""COMPUTED_VALUE"""),"Outside on School Property")</f>
        <v>Outside on School Property</v>
      </c>
      <c r="U1124" s="5" t="str">
        <f ca="1">IFERROR(__xludf.DUMMYFUNCTION("""COMPUTED_VALUE"""),"No")</f>
        <v>No</v>
      </c>
      <c r="V1124" s="5" t="str">
        <f ca="1">IFERROR(__xludf.DUMMYFUNCTION("""COMPUTED_VALUE"""),"Evening")</f>
        <v>Evening</v>
      </c>
      <c r="W1124" s="10">
        <f ca="1">IFERROR(__xludf.DUMMYFUNCTION("""COMPUTED_VALUE"""),0.84375)</f>
        <v>0.84375</v>
      </c>
      <c r="X1124" s="5">
        <f ca="1">IFERROR(__xludf.DUMMYFUNCTION("""COMPUTED_VALUE"""),1)</f>
        <v>1</v>
      </c>
      <c r="Y1124" s="5" t="str">
        <f ca="1">IFERROR(__xludf.DUMMYFUNCTION("""COMPUTED_VALUE"""),"Fight between men behind school, one fired shots at the other")</f>
        <v>Fight between men behind school, one fired shots at the other</v>
      </c>
      <c r="Z1124" s="5" t="str">
        <f ca="1">IFERROR(__xludf.DUMMYFUNCTION("""COMPUTED_VALUE"""),"Fight between 51YOM and 30YOM behind the school. 51YOM got a gun from vehicle and fired 4 shots striking the victim one in the hand. Drove away from the scene.")</f>
        <v>Fight between 51YOM and 30YOM behind the school. 51YOM got a gun from vehicle and fired 4 shots striking the victim one in the hand. Drove away from the scene.</v>
      </c>
      <c r="AA1124" s="5" t="str">
        <f ca="1">IFERROR(__xludf.DUMMYFUNCTION("""COMPUTED_VALUE"""),"Escalation of Dispute")</f>
        <v>Escalation of Dispute</v>
      </c>
      <c r="AB1124" s="5" t="str">
        <f ca="1">IFERROR(__xludf.DUMMYFUNCTION("""COMPUTED_VALUE"""),"Victims Targeted")</f>
        <v>Victims Targeted</v>
      </c>
      <c r="AC1124" s="5" t="str">
        <f ca="1">IFERROR(__xludf.DUMMYFUNCTION("""COMPUTED_VALUE"""),"No")</f>
        <v>No</v>
      </c>
      <c r="AD1124" s="5" t="str">
        <f ca="1">IFERROR(__xludf.DUMMYFUNCTION("""COMPUTED_VALUE"""),"No")</f>
        <v>No</v>
      </c>
      <c r="AE1124" s="5" t="str">
        <f ca="1">IFERROR(__xludf.DUMMYFUNCTION("""COMPUTED_VALUE"""),"No")</f>
        <v>No</v>
      </c>
      <c r="AF1124" s="5" t="str">
        <f ca="1">IFERROR(__xludf.DUMMYFUNCTION("""COMPUTED_VALUE"""),"No")</f>
        <v>No</v>
      </c>
      <c r="AG1124" s="5" t="str">
        <f ca="1">IFERROR(__xludf.DUMMYFUNCTION("""COMPUTED_VALUE"""),"No")</f>
        <v>No</v>
      </c>
      <c r="AH1124" s="5"/>
      <c r="AI1124" s="5" t="str">
        <f ca="1">IFERROR(__xludf.DUMMYFUNCTION("""COMPUTED_VALUE"""),"No")</f>
        <v>No</v>
      </c>
      <c r="AJ1124" s="5" t="str">
        <f ca="1">IFERROR(__xludf.DUMMYFUNCTION("""COMPUTED_VALUE"""),"No")</f>
        <v>No</v>
      </c>
    </row>
    <row r="1125" spans="1:36" ht="13">
      <c r="A1125" s="5" t="str">
        <f ca="1">IFERROR(__xludf.DUMMYFUNCTION("""COMPUTED_VALUE"""),"20150524MISOF")</f>
        <v>20150524MISOF</v>
      </c>
      <c r="B1125" s="5">
        <f ca="1">IFERROR(__xludf.DUMMYFUNCTION("""COMPUTED_VALUE"""),5)</f>
        <v>5</v>
      </c>
      <c r="C1125" s="5">
        <f ca="1">IFERROR(__xludf.DUMMYFUNCTION("""COMPUTED_VALUE"""),24)</f>
        <v>24</v>
      </c>
      <c r="D1125" s="5">
        <f ca="1">IFERROR(__xludf.DUMMYFUNCTION("""COMPUTED_VALUE"""),2015)</f>
        <v>2015</v>
      </c>
      <c r="E1125" s="8">
        <f ca="1">IFERROR(__xludf.DUMMYFUNCTION("""COMPUTED_VALUE"""),42148)</f>
        <v>42148</v>
      </c>
      <c r="F1125" s="5" t="str">
        <f ca="1">IFERROR(__xludf.DUMMYFUNCTION("""COMPUTED_VALUE"""),"Southwestern Classical Academy")</f>
        <v>Southwestern Classical Academy</v>
      </c>
      <c r="G1125" s="5">
        <f ca="1">IFERROR(__xludf.DUMMYFUNCTION("""COMPUTED_VALUE"""),0)</f>
        <v>0</v>
      </c>
      <c r="H1125" s="5">
        <f ca="1">IFERROR(__xludf.DUMMYFUNCTION("""COMPUTED_VALUE"""),7)</f>
        <v>7</v>
      </c>
      <c r="I1125" s="5">
        <f ca="1">IFERROR(__xludf.DUMMYFUNCTION("""COMPUTED_VALUE"""),7)</f>
        <v>7</v>
      </c>
      <c r="J1125" s="5">
        <f ca="1">IFERROR(__xludf.DUMMYFUNCTION("""COMPUTED_VALUE"""),0)</f>
        <v>0</v>
      </c>
      <c r="K1125" s="5" t="str">
        <f ca="1">IFERROR(__xludf.DUMMYFUNCTION("""COMPUTED_VALUE"""),"https://www.mlive.com/news/flint/index.ssf/2015/05/two_men_charged_in_shooting_at.html  https://www.mlive.com/news/flint/index.ssf/2017/02/dna_match_ties_former_high_sch.html")</f>
        <v>https://www.mlive.com/news/flint/index.ssf/2015/05/two_men_charged_in_shooting_at.html  https://www.mlive.com/news/flint/index.ssf/2017/02/dna_match_ties_former_high_sch.html</v>
      </c>
      <c r="L1125" s="5"/>
      <c r="M1125" s="5"/>
      <c r="N1125" s="5">
        <f ca="1">IFERROR(__xludf.DUMMYFUNCTION("""COMPUTED_VALUE"""),3)</f>
        <v>3</v>
      </c>
      <c r="O1125" s="5" t="str">
        <f ca="1">IFERROR(__xludf.DUMMYFUNCTION("""COMPUTED_VALUE"""),"Spring")</f>
        <v>Spring</v>
      </c>
      <c r="P1125" s="5" t="str">
        <f ca="1">IFERROR(__xludf.DUMMYFUNCTION("""COMPUTED_VALUE"""),"Flint")</f>
        <v>Flint</v>
      </c>
      <c r="Q1125" s="5" t="str">
        <f ca="1">IFERROR(__xludf.DUMMYFUNCTION("""COMPUTED_VALUE"""),"MI")</f>
        <v>MI</v>
      </c>
      <c r="R1125" s="5" t="str">
        <f ca="1">IFERROR(__xludf.DUMMYFUNCTION("""COMPUTED_VALUE"""),"Elementary")</f>
        <v>Elementary</v>
      </c>
      <c r="S1125" s="5" t="str">
        <f ca="1">IFERROR(__xludf.DUMMYFUNCTION("""COMPUTED_VALUE"""),"Parking Lot")</f>
        <v>Parking Lot</v>
      </c>
      <c r="T1125" s="5" t="str">
        <f ca="1">IFERROR(__xludf.DUMMYFUNCTION("""COMPUTED_VALUE"""),"Outside on School Property")</f>
        <v>Outside on School Property</v>
      </c>
      <c r="U1125" s="5" t="str">
        <f ca="1">IFERROR(__xludf.DUMMYFUNCTION("""COMPUTED_VALUE"""),"No")</f>
        <v>No</v>
      </c>
      <c r="V1125" s="5" t="str">
        <f ca="1">IFERROR(__xludf.DUMMYFUNCTION("""COMPUTED_VALUE"""),"Not a School Day")</f>
        <v>Not a School Day</v>
      </c>
      <c r="W1125" s="10">
        <f ca="1">IFERROR(__xludf.DUMMYFUNCTION("""COMPUTED_VALUE"""),0.0833333333333333)</f>
        <v>8.3333333333333301E-2</v>
      </c>
      <c r="X1125" s="5">
        <f ca="1">IFERROR(__xludf.DUMMYFUNCTION("""COMPUTED_VALUE"""),1)</f>
        <v>1</v>
      </c>
      <c r="Y1125" s="5" t="str">
        <f ca="1">IFERROR(__xludf.DUMMYFUNCTION("""COMPUTED_VALUE"""),"Shots fired during fight outside of school")</f>
        <v>Shots fired during fight outside of school</v>
      </c>
      <c r="Z1125" s="5" t="str">
        <f ca="1">IFERROR(__xludf.DUMMYFUNCTION("""COMPUTED_VALUE"""),"Shots fired during late night fight that occurred while large crowd of people were gathered outside of school.")</f>
        <v>Shots fired during late night fight that occurred while large crowd of people were gathered outside of school.</v>
      </c>
      <c r="AA1125" s="5" t="str">
        <f ca="1">IFERROR(__xludf.DUMMYFUNCTION("""COMPUTED_VALUE"""),"Escalation of Dispute")</f>
        <v>Escalation of Dispute</v>
      </c>
      <c r="AB1125" s="5"/>
      <c r="AC1125" s="5"/>
      <c r="AD1125" s="5" t="str">
        <f ca="1">IFERROR(__xludf.DUMMYFUNCTION("""COMPUTED_VALUE"""),"No")</f>
        <v>No</v>
      </c>
      <c r="AE1125" s="5" t="str">
        <f ca="1">IFERROR(__xludf.DUMMYFUNCTION("""COMPUTED_VALUE"""),"No")</f>
        <v>No</v>
      </c>
      <c r="AF1125" s="5" t="str">
        <f ca="1">IFERROR(__xludf.DUMMYFUNCTION("""COMPUTED_VALUE"""),"No")</f>
        <v>No</v>
      </c>
      <c r="AG1125" s="5"/>
      <c r="AH1125" s="5"/>
      <c r="AI1125" s="5" t="str">
        <f ca="1">IFERROR(__xludf.DUMMYFUNCTION("""COMPUTED_VALUE"""),"No")</f>
        <v>No</v>
      </c>
      <c r="AJ1125" s="5" t="str">
        <f ca="1">IFERROR(__xludf.DUMMYFUNCTION("""COMPUTED_VALUE"""),"No")</f>
        <v>No</v>
      </c>
    </row>
    <row r="1126" spans="1:36" ht="13">
      <c r="A1126" s="5" t="str">
        <f ca="1">IFERROR(__xludf.DUMMYFUNCTION("""COMPUTED_VALUE"""),"20150521FLDUJ")</f>
        <v>20150521FLDUJ</v>
      </c>
      <c r="B1126" s="5">
        <f ca="1">IFERROR(__xludf.DUMMYFUNCTION("""COMPUTED_VALUE"""),5)</f>
        <v>5</v>
      </c>
      <c r="C1126" s="5">
        <f ca="1">IFERROR(__xludf.DUMMYFUNCTION("""COMPUTED_VALUE"""),21)</f>
        <v>21</v>
      </c>
      <c r="D1126" s="5">
        <f ca="1">IFERROR(__xludf.DUMMYFUNCTION("""COMPUTED_VALUE"""),2015)</f>
        <v>2015</v>
      </c>
      <c r="E1126" s="8">
        <f ca="1">IFERROR(__xludf.DUMMYFUNCTION("""COMPUTED_VALUE"""),42145)</f>
        <v>42145</v>
      </c>
      <c r="F1126" s="5" t="str">
        <f ca="1">IFERROR(__xludf.DUMMYFUNCTION("""COMPUTED_VALUE"""),"Duval County School Bus")</f>
        <v>Duval County School Bus</v>
      </c>
      <c r="G1126" s="5">
        <f ca="1">IFERROR(__xludf.DUMMYFUNCTION("""COMPUTED_VALUE"""),0)</f>
        <v>0</v>
      </c>
      <c r="H1126" s="5">
        <f ca="1">IFERROR(__xludf.DUMMYFUNCTION("""COMPUTED_VALUE"""),2)</f>
        <v>2</v>
      </c>
      <c r="I1126" s="5">
        <f ca="1">IFERROR(__xludf.DUMMYFUNCTION("""COMPUTED_VALUE"""),2)</f>
        <v>2</v>
      </c>
      <c r="J1126" s="5">
        <f ca="1">IFERROR(__xludf.DUMMYFUNCTION("""COMPUTED_VALUE"""),0)</f>
        <v>0</v>
      </c>
      <c r="K1126" s="5" t="str">
        <f ca="1">IFERROR(__xludf.DUMMYFUNCTION("""COMPUTED_VALUE"""),"https://www.news4jax.com/news/2016/05/17/school-bus-shooter-pleads-guilty-sentenced/ https://www.actionnewsjax.com/news/local/school-bus-shooting-suspect-arrested-georgia/43406704/")</f>
        <v>https://www.news4jax.com/news/2016/05/17/school-bus-shooter-pleads-guilty-sentenced/ https://www.actionnewsjax.com/news/local/school-bus-shooting-suspect-arrested-georgia/43406704/</v>
      </c>
      <c r="L1126" s="5">
        <f ca="1">IFERROR(__xludf.DUMMYFUNCTION("""COMPUTED_VALUE"""),2)</f>
        <v>2</v>
      </c>
      <c r="M1126" s="5" t="str">
        <f ca="1">IFERROR(__xludf.DUMMYFUNCTION("""COMPUTED_VALUE"""),"Local")</f>
        <v>Local</v>
      </c>
      <c r="N1126" s="5">
        <f ca="1">IFERROR(__xludf.DUMMYFUNCTION("""COMPUTED_VALUE"""),5)</f>
        <v>5</v>
      </c>
      <c r="O1126" s="5" t="str">
        <f ca="1">IFERROR(__xludf.DUMMYFUNCTION("""COMPUTED_VALUE"""),"Spring")</f>
        <v>Spring</v>
      </c>
      <c r="P1126" s="5" t="str">
        <f ca="1">IFERROR(__xludf.DUMMYFUNCTION("""COMPUTED_VALUE"""),"Jacksonville")</f>
        <v>Jacksonville</v>
      </c>
      <c r="Q1126" s="5" t="str">
        <f ca="1">IFERROR(__xludf.DUMMYFUNCTION("""COMPUTED_VALUE"""),"FL")</f>
        <v>FL</v>
      </c>
      <c r="R1126" s="5" t="str">
        <f ca="1">IFERROR(__xludf.DUMMYFUNCTION("""COMPUTED_VALUE"""),"High")</f>
        <v>High</v>
      </c>
      <c r="S1126" s="5" t="str">
        <f ca="1">IFERROR(__xludf.DUMMYFUNCTION("""COMPUTED_VALUE"""),"School Bus")</f>
        <v>School Bus</v>
      </c>
      <c r="T1126" s="5" t="str">
        <f ca="1">IFERROR(__xludf.DUMMYFUNCTION("""COMPUTED_VALUE"""),"School Bus")</f>
        <v>School Bus</v>
      </c>
      <c r="U1126" s="5" t="str">
        <f ca="1">IFERROR(__xludf.DUMMYFUNCTION("""COMPUTED_VALUE"""),"Yes")</f>
        <v>Yes</v>
      </c>
      <c r="V1126" s="5" t="str">
        <f ca="1">IFERROR(__xludf.DUMMYFUNCTION("""COMPUTED_VALUE"""),"Dismissal")</f>
        <v>Dismissal</v>
      </c>
      <c r="W1126" s="5"/>
      <c r="X1126" s="5">
        <f ca="1">IFERROR(__xludf.DUMMYFUNCTION("""COMPUTED_VALUE"""),1)</f>
        <v>1</v>
      </c>
      <c r="Y1126" s="5" t="str">
        <f ca="1">IFERROR(__xludf.DUMMYFUNCTION("""COMPUTED_VALUE"""),"Teen fired 5 shots into school bus injuring 2 teen girls")</f>
        <v>Teen fired 5 shots into school bus injuring 2 teen girls</v>
      </c>
      <c r="Z1126" s="5" t="str">
        <f ca="1">IFERROR(__xludf.DUMMYFUNCTION("""COMPUTED_VALUE"""),"A 16 year-old male standing on street outside of school bus started yelling at teens inside the bus. As the bus driver pulled away, the teen fired 5 shots into the school bus striking two teen girls. Shooter fled the scene and was arrested a week later in"&amp;" Georgia. Teen shot himself during the attempt to arrest him and was treated.")</f>
        <v>A 16 year-old male standing on street outside of school bus started yelling at teens inside the bus. As the bus driver pulled away, the teen fired 5 shots into the school bus striking two teen girls. Shooter fled the scene and was arrested a week later in Georgia. Teen shot himself during the attempt to arrest him and was treated.</v>
      </c>
      <c r="AA1126" s="5" t="str">
        <f ca="1">IFERROR(__xludf.DUMMYFUNCTION("""COMPUTED_VALUE"""),"Escalation of Dispute")</f>
        <v>Escalation of Dispute</v>
      </c>
      <c r="AB1126" s="5" t="str">
        <f ca="1">IFERROR(__xludf.DUMMYFUNCTION("""COMPUTED_VALUE"""),"Both")</f>
        <v>Both</v>
      </c>
      <c r="AC1126" s="5" t="str">
        <f ca="1">IFERROR(__xludf.DUMMYFUNCTION("""COMPUTED_VALUE"""),"No")</f>
        <v>No</v>
      </c>
      <c r="AD1126" s="5" t="str">
        <f ca="1">IFERROR(__xludf.DUMMYFUNCTION("""COMPUTED_VALUE"""),"No")</f>
        <v>No</v>
      </c>
      <c r="AE1126" s="5" t="str">
        <f ca="1">IFERROR(__xludf.DUMMYFUNCTION("""COMPUTED_VALUE"""),"No")</f>
        <v>No</v>
      </c>
      <c r="AF1126" s="5" t="str">
        <f ca="1">IFERROR(__xludf.DUMMYFUNCTION("""COMPUTED_VALUE"""),"No")</f>
        <v>No</v>
      </c>
      <c r="AG1126" s="5" t="str">
        <f ca="1">IFERROR(__xludf.DUMMYFUNCTION("""COMPUTED_VALUE"""),"No")</f>
        <v>No</v>
      </c>
      <c r="AH1126" s="5" t="str">
        <f ca="1">IFERROR(__xludf.DUMMYFUNCTION("""COMPUTED_VALUE"""),"No")</f>
        <v>No</v>
      </c>
      <c r="AI1126" s="5"/>
      <c r="AJ1126" s="5" t="str">
        <f ca="1">IFERROR(__xludf.DUMMYFUNCTION("""COMPUTED_VALUE"""),"No")</f>
        <v>No</v>
      </c>
    </row>
    <row r="1127" spans="1:36" ht="13">
      <c r="A1127" s="5" t="str">
        <f ca="1">IFERROR(__xludf.DUMMYFUNCTION("""COMPUTED_VALUE"""),"20150520TXROR")</f>
        <v>20150520TXROR</v>
      </c>
      <c r="B1127" s="5">
        <f ca="1">IFERROR(__xludf.DUMMYFUNCTION("""COMPUTED_VALUE"""),5)</f>
        <v>5</v>
      </c>
      <c r="C1127" s="5">
        <f ca="1">IFERROR(__xludf.DUMMYFUNCTION("""COMPUTED_VALUE"""),20)</f>
        <v>20</v>
      </c>
      <c r="D1127" s="5">
        <f ca="1">IFERROR(__xludf.DUMMYFUNCTION("""COMPUTED_VALUE"""),2015)</f>
        <v>2015</v>
      </c>
      <c r="E1127" s="8">
        <f ca="1">IFERROR(__xludf.DUMMYFUNCTION("""COMPUTED_VALUE"""),42144)</f>
        <v>42144</v>
      </c>
      <c r="F1127" s="5" t="str">
        <f ca="1">IFERROR(__xludf.DUMMYFUNCTION("""COMPUTED_VALUE"""),"Robinson High School")</f>
        <v>Robinson High School</v>
      </c>
      <c r="G1127" s="5">
        <f ca="1">IFERROR(__xludf.DUMMYFUNCTION("""COMPUTED_VALUE"""),0)</f>
        <v>0</v>
      </c>
      <c r="H1127" s="5">
        <f ca="1">IFERROR(__xludf.DUMMYFUNCTION("""COMPUTED_VALUE"""),0)</f>
        <v>0</v>
      </c>
      <c r="I1127" s="5">
        <f ca="1">IFERROR(__xludf.DUMMYFUNCTION("""COMPUTED_VALUE"""),0)</f>
        <v>0</v>
      </c>
      <c r="J1127" s="5">
        <f ca="1">IFERROR(__xludf.DUMMYFUNCTION("""COMPUTED_VALUE"""),1)</f>
        <v>1</v>
      </c>
      <c r="K1127" s="5" t="str">
        <f ca="1">IFERROR(__xludf.DUMMYFUNCTION("""COMPUTED_VALUE"""),"https://www.wacotrib.com/news/education/robinson-high-school-senior-commits-suicide-at-school/article_b2551e6b-17d0-5985-821c-8f5871602d06.html  https://www.dailydot.com/irl/student-suicide-tweet-parking-lot/")</f>
        <v>https://www.wacotrib.com/news/education/robinson-high-school-senior-commits-suicide-at-school/article_b2551e6b-17d0-5985-821c-8f5871602d06.html  https://www.dailydot.com/irl/student-suicide-tweet-parking-lot/</v>
      </c>
      <c r="L1127" s="5"/>
      <c r="M1127" s="5"/>
      <c r="N1127" s="5">
        <f ca="1">IFERROR(__xludf.DUMMYFUNCTION("""COMPUTED_VALUE"""),3)</f>
        <v>3</v>
      </c>
      <c r="O1127" s="5" t="str">
        <f ca="1">IFERROR(__xludf.DUMMYFUNCTION("""COMPUTED_VALUE"""),"Spring")</f>
        <v>Spring</v>
      </c>
      <c r="P1127" s="5" t="str">
        <f ca="1">IFERROR(__xludf.DUMMYFUNCTION("""COMPUTED_VALUE"""),"Robinson")</f>
        <v>Robinson</v>
      </c>
      <c r="Q1127" s="5" t="str">
        <f ca="1">IFERROR(__xludf.DUMMYFUNCTION("""COMPUTED_VALUE"""),"TX")</f>
        <v>TX</v>
      </c>
      <c r="R1127" s="5" t="str">
        <f ca="1">IFERROR(__xludf.DUMMYFUNCTION("""COMPUTED_VALUE"""),"High")</f>
        <v>High</v>
      </c>
      <c r="S1127" s="5" t="str">
        <f ca="1">IFERROR(__xludf.DUMMYFUNCTION("""COMPUTED_VALUE"""),"Parking Lot")</f>
        <v>Parking Lot</v>
      </c>
      <c r="T1127" s="5" t="str">
        <f ca="1">IFERROR(__xludf.DUMMYFUNCTION("""COMPUTED_VALUE"""),"Outside on School Property")</f>
        <v>Outside on School Property</v>
      </c>
      <c r="U1127" s="5" t="str">
        <f ca="1">IFERROR(__xludf.DUMMYFUNCTION("""COMPUTED_VALUE"""),"Yes")</f>
        <v>Yes</v>
      </c>
      <c r="V1127" s="5" t="str">
        <f ca="1">IFERROR(__xludf.DUMMYFUNCTION("""COMPUTED_VALUE"""),"Morning Classes")</f>
        <v>Morning Classes</v>
      </c>
      <c r="W1127" s="10">
        <f ca="1">IFERROR(__xludf.DUMMYFUNCTION("""COMPUTED_VALUE"""),0.395833333333333)</f>
        <v>0.39583333333333298</v>
      </c>
      <c r="X1127" s="5">
        <f ca="1">IFERROR(__xludf.DUMMYFUNCTION("""COMPUTED_VALUE"""),1)</f>
        <v>1</v>
      </c>
      <c r="Y1127" s="5" t="str">
        <f ca="1">IFERROR(__xludf.DUMMYFUNCTION("""COMPUTED_VALUE"""),"Suicide in school")</f>
        <v>Suicide in school</v>
      </c>
      <c r="Z1127" s="5" t="str">
        <f ca="1">IFERROR(__xludf.DUMMYFUNCTION("""COMPUTED_VALUE"""),"Shooter committed suicide - prior to killing self he shot the gun three times and left Twitter note stating he loved everyone but this was coming for a long time.")</f>
        <v>Shooter committed suicide - prior to killing self he shot the gun three times and left Twitter note stating he loved everyone but this was coming for a long time.</v>
      </c>
      <c r="AA1127" s="5" t="str">
        <f ca="1">IFERROR(__xludf.DUMMYFUNCTION("""COMPUTED_VALUE"""),"Suicide/Attempted")</f>
        <v>Suicide/Attempted</v>
      </c>
      <c r="AB1127" s="5" t="str">
        <f ca="1">IFERROR(__xludf.DUMMYFUNCTION("""COMPUTED_VALUE"""),"Both")</f>
        <v>Both</v>
      </c>
      <c r="AC1127" s="5" t="str">
        <f ca="1">IFERROR(__xludf.DUMMYFUNCTION("""COMPUTED_VALUE"""),"No")</f>
        <v>No</v>
      </c>
      <c r="AD1127" s="5" t="str">
        <f ca="1">IFERROR(__xludf.DUMMYFUNCTION("""COMPUTED_VALUE"""),"No")</f>
        <v>No</v>
      </c>
      <c r="AE1127" s="5" t="str">
        <f ca="1">IFERROR(__xludf.DUMMYFUNCTION("""COMPUTED_VALUE"""),"No")</f>
        <v>No</v>
      </c>
      <c r="AF1127" s="5" t="str">
        <f ca="1">IFERROR(__xludf.DUMMYFUNCTION("""COMPUTED_VALUE"""),"No")</f>
        <v>No</v>
      </c>
      <c r="AG1127" s="5"/>
      <c r="AH1127" s="5"/>
      <c r="AI1127" s="5" t="str">
        <f ca="1">IFERROR(__xludf.DUMMYFUNCTION("""COMPUTED_VALUE"""),"No")</f>
        <v>No</v>
      </c>
      <c r="AJ1127" s="5" t="str">
        <f ca="1">IFERROR(__xludf.DUMMYFUNCTION("""COMPUTED_VALUE"""),"No")</f>
        <v>No</v>
      </c>
    </row>
    <row r="1128" spans="1:36" ht="13">
      <c r="A1128" s="5" t="str">
        <f ca="1">IFERROR(__xludf.DUMMYFUNCTION("""COMPUTED_VALUE"""),"20150512FLUNJ")</f>
        <v>20150512FLUNJ</v>
      </c>
      <c r="B1128" s="5">
        <f ca="1">IFERROR(__xludf.DUMMYFUNCTION("""COMPUTED_VALUE"""),5)</f>
        <v>5</v>
      </c>
      <c r="C1128" s="5">
        <f ca="1">IFERROR(__xludf.DUMMYFUNCTION("""COMPUTED_VALUE"""),12)</f>
        <v>12</v>
      </c>
      <c r="D1128" s="5">
        <f ca="1">IFERROR(__xludf.DUMMYFUNCTION("""COMPUTED_VALUE"""),2015)</f>
        <v>2015</v>
      </c>
      <c r="E1128" s="8">
        <f ca="1">IFERROR(__xludf.DUMMYFUNCTION("""COMPUTED_VALUE"""),42136)</f>
        <v>42136</v>
      </c>
      <c r="F1128" s="5" t="str">
        <f ca="1">IFERROR(__xludf.DUMMYFUNCTION("""COMPUTED_VALUE"""),"Unknown School (bus)")</f>
        <v>Unknown School (bus)</v>
      </c>
      <c r="G1128" s="5">
        <f ca="1">IFERROR(__xludf.DUMMYFUNCTION("""COMPUTED_VALUE"""),0)</f>
        <v>0</v>
      </c>
      <c r="H1128" s="5">
        <f ca="1">IFERROR(__xludf.DUMMYFUNCTION("""COMPUTED_VALUE"""),2)</f>
        <v>2</v>
      </c>
      <c r="I1128" s="5">
        <f ca="1">IFERROR(__xludf.DUMMYFUNCTION("""COMPUTED_VALUE"""),2)</f>
        <v>2</v>
      </c>
      <c r="J1128" s="5">
        <f ca="1">IFERROR(__xludf.DUMMYFUNCTION("""COMPUTED_VALUE"""),0)</f>
        <v>0</v>
      </c>
      <c r="K1128" s="9" t="str">
        <f ca="1">IFERROR(__xludf.DUMMYFUNCTION("""COMPUTED_VALUE"""),"http://www.jacksonville.com/breaking-news/2015-05-14/story/two-students-shot-school-bus-jacksonvilles-westside-police-searching")</f>
        <v>http://www.jacksonville.com/breaking-news/2015-05-14/story/two-students-shot-school-bus-jacksonvilles-westside-police-searching</v>
      </c>
      <c r="L1128" s="5">
        <f ca="1">IFERROR(__xludf.DUMMYFUNCTION("""COMPUTED_VALUE"""),1)</f>
        <v>1</v>
      </c>
      <c r="M1128" s="5" t="str">
        <f ca="1">IFERROR(__xludf.DUMMYFUNCTION("""COMPUTED_VALUE"""),"Local")</f>
        <v>Local</v>
      </c>
      <c r="N1128" s="5">
        <f ca="1">IFERROR(__xludf.DUMMYFUNCTION("""COMPUTED_VALUE"""),2)</f>
        <v>2</v>
      </c>
      <c r="O1128" s="5" t="str">
        <f ca="1">IFERROR(__xludf.DUMMYFUNCTION("""COMPUTED_VALUE"""),"Spring")</f>
        <v>Spring</v>
      </c>
      <c r="P1128" s="5" t="str">
        <f ca="1">IFERROR(__xludf.DUMMYFUNCTION("""COMPUTED_VALUE"""),"Jacksonville")</f>
        <v>Jacksonville</v>
      </c>
      <c r="Q1128" s="5" t="str">
        <f ca="1">IFERROR(__xludf.DUMMYFUNCTION("""COMPUTED_VALUE"""),"FL")</f>
        <v>FL</v>
      </c>
      <c r="R1128" s="5"/>
      <c r="S1128" s="5" t="str">
        <f ca="1">IFERROR(__xludf.DUMMYFUNCTION("""COMPUTED_VALUE"""),"School Bus")</f>
        <v>School Bus</v>
      </c>
      <c r="T1128" s="5" t="str">
        <f ca="1">IFERROR(__xludf.DUMMYFUNCTION("""COMPUTED_VALUE"""),"School Bus")</f>
        <v>School Bus</v>
      </c>
      <c r="U1128" s="5" t="str">
        <f ca="1">IFERROR(__xludf.DUMMYFUNCTION("""COMPUTED_VALUE"""),"No")</f>
        <v>No</v>
      </c>
      <c r="V1128" s="5" t="str">
        <f ca="1">IFERROR(__xludf.DUMMYFUNCTION("""COMPUTED_VALUE"""),"After School")</f>
        <v>After School</v>
      </c>
      <c r="W1128" s="10">
        <f ca="1">IFERROR(__xludf.DUMMYFUNCTION("""COMPUTED_VALUE"""),0.6875)</f>
        <v>0.6875</v>
      </c>
      <c r="X1128" s="5">
        <f ca="1">IFERROR(__xludf.DUMMYFUNCTION("""COMPUTED_VALUE"""),1)</f>
        <v>1</v>
      </c>
      <c r="Y1128" s="5" t="str">
        <f ca="1">IFERROR(__xludf.DUMMYFUNCTION("""COMPUTED_VALUE"""),"Shots struck school bus during gang related shooting")</f>
        <v>Shots struck school bus during gang related shooting</v>
      </c>
      <c r="Z1128" s="5" t="str">
        <f ca="1">IFERROR(__xludf.DUMMYFUNCTION("""COMPUTED_VALUE"""),"Two unknown males tried to board the school bus during an altercation with another group of male students on the bus (unknown school). The shooters were waiting at the bus stop, the fight was reportedly planned. The driver pressed on the gas and tried to "&amp;"escape. When they were unable to board, they fired shots at the bus striking two girls who were not involved. Not confirmed which school the victims go to but it is one of the following: James Weldon Johnson Academy (middle), Maddy Rutherford (alternative"&amp;"), or Grand Park (6-12).")</f>
        <v>Two unknown males tried to board the school bus during an altercation with another group of male students on the bus (unknown school). The shooters were waiting at the bus stop, the fight was reportedly planned. The driver pressed on the gas and tried to escape. When they were unable to board, they fired shots at the bus striking two girls who were not involved. Not confirmed which school the victims go to but it is one of the following: James Weldon Johnson Academy (middle), Maddy Rutherford (alternative), or Grand Park (6-12).</v>
      </c>
      <c r="AA1128" s="5" t="str">
        <f ca="1">IFERROR(__xludf.DUMMYFUNCTION("""COMPUTED_VALUE"""),"Escalation of Dispute")</f>
        <v>Escalation of Dispute</v>
      </c>
      <c r="AB1128" s="5" t="str">
        <f ca="1">IFERROR(__xludf.DUMMYFUNCTION("""COMPUTED_VALUE"""),"Both")</f>
        <v>Both</v>
      </c>
      <c r="AC1128" s="5" t="str">
        <f ca="1">IFERROR(__xludf.DUMMYFUNCTION("""COMPUTED_VALUE"""),"Yes")</f>
        <v>Yes</v>
      </c>
      <c r="AD1128" s="5" t="str">
        <f ca="1">IFERROR(__xludf.DUMMYFUNCTION("""COMPUTED_VALUE"""),"No")</f>
        <v>No</v>
      </c>
      <c r="AE1128" s="5" t="str">
        <f ca="1">IFERROR(__xludf.DUMMYFUNCTION("""COMPUTED_VALUE"""),"No")</f>
        <v>No</v>
      </c>
      <c r="AF1128" s="5" t="str">
        <f ca="1">IFERROR(__xludf.DUMMYFUNCTION("""COMPUTED_VALUE"""),"No")</f>
        <v>No</v>
      </c>
      <c r="AG1128" s="5" t="str">
        <f ca="1">IFERROR(__xludf.DUMMYFUNCTION("""COMPUTED_VALUE"""),"No")</f>
        <v>No</v>
      </c>
      <c r="AH1128" s="5" t="str">
        <f ca="1">IFERROR(__xludf.DUMMYFUNCTION("""COMPUTED_VALUE"""),"No")</f>
        <v>No</v>
      </c>
      <c r="AI1128" s="5" t="str">
        <f ca="1">IFERROR(__xludf.DUMMYFUNCTION("""COMPUTED_VALUE"""),"Yes")</f>
        <v>Yes</v>
      </c>
      <c r="AJ1128" s="5" t="str">
        <f ca="1">IFERROR(__xludf.DUMMYFUNCTION("""COMPUTED_VALUE"""),"No")</f>
        <v>No</v>
      </c>
    </row>
    <row r="1129" spans="1:36" ht="13">
      <c r="A1129" s="5" t="str">
        <f ca="1">IFERROR(__xludf.DUMMYFUNCTION("""COMPUTED_VALUE"""),"20150512AZCOT")</f>
        <v>20150512AZCOT</v>
      </c>
      <c r="B1129" s="5">
        <f ca="1">IFERROR(__xludf.DUMMYFUNCTION("""COMPUTED_VALUE"""),5)</f>
        <v>5</v>
      </c>
      <c r="C1129" s="5">
        <f ca="1">IFERROR(__xludf.DUMMYFUNCTION("""COMPUTED_VALUE"""),12)</f>
        <v>12</v>
      </c>
      <c r="D1129" s="5">
        <f ca="1">IFERROR(__xludf.DUMMYFUNCTION("""COMPUTED_VALUE"""),2015)</f>
        <v>2015</v>
      </c>
      <c r="E1129" s="8">
        <f ca="1">IFERROR(__xludf.DUMMYFUNCTION("""COMPUTED_VALUE"""),42136)</f>
        <v>42136</v>
      </c>
      <c r="F1129" s="5" t="str">
        <f ca="1">IFERROR(__xludf.DUMMYFUNCTION("""COMPUTED_VALUE"""),"Corona del Sol High School")</f>
        <v>Corona del Sol High School</v>
      </c>
      <c r="G1129" s="5">
        <f ca="1">IFERROR(__xludf.DUMMYFUNCTION("""COMPUTED_VALUE"""),0)</f>
        <v>0</v>
      </c>
      <c r="H1129" s="5">
        <f ca="1">IFERROR(__xludf.DUMMYFUNCTION("""COMPUTED_VALUE"""),0)</f>
        <v>0</v>
      </c>
      <c r="I1129" s="5">
        <f ca="1">IFERROR(__xludf.DUMMYFUNCTION("""COMPUTED_VALUE"""),0)</f>
        <v>0</v>
      </c>
      <c r="J1129" s="5">
        <f ca="1">IFERROR(__xludf.DUMMYFUNCTION("""COMPUTED_VALUE"""),1)</f>
        <v>1</v>
      </c>
      <c r="K1129" s="5" t="str">
        <f ca="1">IFERROR(__xludf.DUMMYFUNCTION("""COMPUTED_VALUE"""),"https://www.azcentral.com/story/news/local/tempe/2015/05/12/tempe-corona-lockdown-abrk/27175081/ . http://www.dailymail.co.uk/news/article-3078920/There-going-suicide-school-right-Chilling-tweet-popular-high-school-track-star-18-sent-moments-killed-campus"&amp;".html")</f>
        <v>https://www.azcentral.com/story/news/local/tempe/2015/05/12/tempe-corona-lockdown-abrk/27175081/ . http://www.dailymail.co.uk/news/article-3078920/There-going-suicide-school-right-Chilling-tweet-popular-high-school-track-star-18-sent-moments-killed-campus.html</v>
      </c>
      <c r="L1129" s="5"/>
      <c r="M1129" s="5"/>
      <c r="N1129" s="5">
        <f ca="1">IFERROR(__xludf.DUMMYFUNCTION("""COMPUTED_VALUE"""),3)</f>
        <v>3</v>
      </c>
      <c r="O1129" s="5" t="str">
        <f ca="1">IFERROR(__xludf.DUMMYFUNCTION("""COMPUTED_VALUE"""),"Spring")</f>
        <v>Spring</v>
      </c>
      <c r="P1129" s="5" t="str">
        <f ca="1">IFERROR(__xludf.DUMMYFUNCTION("""COMPUTED_VALUE"""),"Tempe")</f>
        <v>Tempe</v>
      </c>
      <c r="Q1129" s="5" t="str">
        <f ca="1">IFERROR(__xludf.DUMMYFUNCTION("""COMPUTED_VALUE"""),"AZ")</f>
        <v>AZ</v>
      </c>
      <c r="R1129" s="5" t="str">
        <f ca="1">IFERROR(__xludf.DUMMYFUNCTION("""COMPUTED_VALUE"""),"High")</f>
        <v>High</v>
      </c>
      <c r="S1129" s="5" t="str">
        <f ca="1">IFERROR(__xludf.DUMMYFUNCTION("""COMPUTED_VALUE"""),"Hallway")</f>
        <v>Hallway</v>
      </c>
      <c r="T1129" s="5" t="str">
        <f ca="1">IFERROR(__xludf.DUMMYFUNCTION("""COMPUTED_VALUE"""),"Outside on School Property")</f>
        <v>Outside on School Property</v>
      </c>
      <c r="U1129" s="5" t="str">
        <f ca="1">IFERROR(__xludf.DUMMYFUNCTION("""COMPUTED_VALUE"""),"Yes")</f>
        <v>Yes</v>
      </c>
      <c r="V1129" s="5" t="str">
        <f ca="1">IFERROR(__xludf.DUMMYFUNCTION("""COMPUTED_VALUE"""),"Morning Classes")</f>
        <v>Morning Classes</v>
      </c>
      <c r="W1129" s="10">
        <f ca="1">IFERROR(__xludf.DUMMYFUNCTION("""COMPUTED_VALUE"""),0.375)</f>
        <v>0.375</v>
      </c>
      <c r="X1129" s="5">
        <f ca="1">IFERROR(__xludf.DUMMYFUNCTION("""COMPUTED_VALUE"""),1)</f>
        <v>1</v>
      </c>
      <c r="Y1129" s="5" t="str">
        <f ca="1">IFERROR(__xludf.DUMMYFUNCTION("""COMPUTED_VALUE"""),"Suicide is school breezeway at start of school day")</f>
        <v>Suicide is school breezeway at start of school day</v>
      </c>
      <c r="Z1129" s="5" t="str">
        <f ca="1">IFERROR(__xludf.DUMMYFUNCTION("""COMPUTED_VALUE"""),"18 year old student athlete shot himself in school breezeway. SRO attempted to talk boy out of shooting. School lockdown was announced at 9:00 am continued until 10:15 am. No other students threatened or injured. Motive remained unknown. Posted his intent"&amp;" to commit suicide on Twitter prior to shooting.")</f>
        <v>18 year old student athlete shot himself in school breezeway. SRO attempted to talk boy out of shooting. School lockdown was announced at 9:00 am continued until 10:15 am. No other students threatened or injured. Motive remained unknown. Posted his intent to commit suicide on Twitter prior to shooting.</v>
      </c>
      <c r="AA1129" s="5" t="str">
        <f ca="1">IFERROR(__xludf.DUMMYFUNCTION("""COMPUTED_VALUE"""),"Suicide/Attempted")</f>
        <v>Suicide/Attempted</v>
      </c>
      <c r="AB1129" s="5" t="str">
        <f ca="1">IFERROR(__xludf.DUMMYFUNCTION("""COMPUTED_VALUE"""),"Victims Targeted")</f>
        <v>Victims Targeted</v>
      </c>
      <c r="AC1129" s="5" t="str">
        <f ca="1">IFERROR(__xludf.DUMMYFUNCTION("""COMPUTED_VALUE"""),"No")</f>
        <v>No</v>
      </c>
      <c r="AD1129" s="5" t="str">
        <f ca="1">IFERROR(__xludf.DUMMYFUNCTION("""COMPUTED_VALUE"""),"No")</f>
        <v>No</v>
      </c>
      <c r="AE1129" s="5" t="str">
        <f ca="1">IFERROR(__xludf.DUMMYFUNCTION("""COMPUTED_VALUE"""),"No")</f>
        <v>No</v>
      </c>
      <c r="AF1129" s="5" t="str">
        <f ca="1">IFERROR(__xludf.DUMMYFUNCTION("""COMPUTED_VALUE"""),"No")</f>
        <v>No</v>
      </c>
      <c r="AG1129" s="5"/>
      <c r="AH1129" s="5"/>
      <c r="AI1129" s="5" t="str">
        <f ca="1">IFERROR(__xludf.DUMMYFUNCTION("""COMPUTED_VALUE"""),"No")</f>
        <v>No</v>
      </c>
      <c r="AJ1129" s="5" t="str">
        <f ca="1">IFERROR(__xludf.DUMMYFUNCTION("""COMPUTED_VALUE"""),"No")</f>
        <v>No</v>
      </c>
    </row>
    <row r="1130" spans="1:36" ht="13">
      <c r="A1130" s="5" t="str">
        <f ca="1">IFERROR(__xludf.DUMMYFUNCTION("""COMPUTED_VALUE"""),"20150505GACOC")</f>
        <v>20150505GACOC</v>
      </c>
      <c r="B1130" s="5">
        <f ca="1">IFERROR(__xludf.DUMMYFUNCTION("""COMPUTED_VALUE"""),5)</f>
        <v>5</v>
      </c>
      <c r="C1130" s="5">
        <f ca="1">IFERROR(__xludf.DUMMYFUNCTION("""COMPUTED_VALUE"""),5)</f>
        <v>5</v>
      </c>
      <c r="D1130" s="5">
        <f ca="1">IFERROR(__xludf.DUMMYFUNCTION("""COMPUTED_VALUE"""),2015)</f>
        <v>2015</v>
      </c>
      <c r="E1130" s="8">
        <f ca="1">IFERROR(__xludf.DUMMYFUNCTION("""COMPUTED_VALUE"""),42129)</f>
        <v>42129</v>
      </c>
      <c r="F1130" s="5" t="str">
        <f ca="1">IFERROR(__xludf.DUMMYFUNCTION("""COMPUTED_VALUE"""),"Conyers Middle School")</f>
        <v>Conyers Middle School</v>
      </c>
      <c r="G1130" s="5">
        <f ca="1">IFERROR(__xludf.DUMMYFUNCTION("""COMPUTED_VALUE"""),0)</f>
        <v>0</v>
      </c>
      <c r="H1130" s="5">
        <f ca="1">IFERROR(__xludf.DUMMYFUNCTION("""COMPUTED_VALUE"""),0)</f>
        <v>0</v>
      </c>
      <c r="I1130" s="5">
        <f ca="1">IFERROR(__xludf.DUMMYFUNCTION("""COMPUTED_VALUE"""),0)</f>
        <v>0</v>
      </c>
      <c r="J1130" s="5">
        <f ca="1">IFERROR(__xludf.DUMMYFUNCTION("""COMPUTED_VALUE"""),0)</f>
        <v>0</v>
      </c>
      <c r="K1130" s="5" t="str">
        <f ca="1">IFERROR(__xludf.DUMMYFUNCTION("""COMPUTED_VALUE"""),"https://www.wsbtv.com/news/local/police-shot-fired-inside-conyers-middle-school/53886537 . http://www.cbs46.com/story/28983116/gun-fired-at-conyers-middle-school")</f>
        <v>https://www.wsbtv.com/news/local/police-shot-fired-inside-conyers-middle-school/53886537 . http://www.cbs46.com/story/28983116/gun-fired-at-conyers-middle-school</v>
      </c>
      <c r="L1130" s="5"/>
      <c r="M1130" s="5"/>
      <c r="N1130" s="5">
        <f ca="1">IFERROR(__xludf.DUMMYFUNCTION("""COMPUTED_VALUE"""),3)</f>
        <v>3</v>
      </c>
      <c r="O1130" s="5" t="str">
        <f ca="1">IFERROR(__xludf.DUMMYFUNCTION("""COMPUTED_VALUE"""),"Spring")</f>
        <v>Spring</v>
      </c>
      <c r="P1130" s="5" t="str">
        <f ca="1">IFERROR(__xludf.DUMMYFUNCTION("""COMPUTED_VALUE"""),"Conyers")</f>
        <v>Conyers</v>
      </c>
      <c r="Q1130" s="5" t="str">
        <f ca="1">IFERROR(__xludf.DUMMYFUNCTION("""COMPUTED_VALUE"""),"GA")</f>
        <v>GA</v>
      </c>
      <c r="R1130" s="5" t="str">
        <f ca="1">IFERROR(__xludf.DUMMYFUNCTION("""COMPUTED_VALUE"""),"Middle")</f>
        <v>Middle</v>
      </c>
      <c r="S1130" s="5" t="str">
        <f ca="1">IFERROR(__xludf.DUMMYFUNCTION("""COMPUTED_VALUE"""),"Bathroom")</f>
        <v>Bathroom</v>
      </c>
      <c r="T1130" s="5" t="str">
        <f ca="1">IFERROR(__xludf.DUMMYFUNCTION("""COMPUTED_VALUE"""),"Inside School Building")</f>
        <v>Inside School Building</v>
      </c>
      <c r="U1130" s="5" t="str">
        <f ca="1">IFERROR(__xludf.DUMMYFUNCTION("""COMPUTED_VALUE"""),"Yes")</f>
        <v>Yes</v>
      </c>
      <c r="V1130" s="5" t="str">
        <f ca="1">IFERROR(__xludf.DUMMYFUNCTION("""COMPUTED_VALUE"""),"Afternoon Classes")</f>
        <v>Afternoon Classes</v>
      </c>
      <c r="W1130" s="10">
        <f ca="1">IFERROR(__xludf.DUMMYFUNCTION("""COMPUTED_VALUE"""),0.541666666666666)</f>
        <v>0.54166666666666596</v>
      </c>
      <c r="X1130" s="5">
        <f ca="1">IFERROR(__xludf.DUMMYFUNCTION("""COMPUTED_VALUE"""),1)</f>
        <v>1</v>
      </c>
      <c r="Y1130" s="5" t="str">
        <f ca="1">IFERROR(__xludf.DUMMYFUNCTION("""COMPUTED_VALUE"""),"Accidental shooting in school bathroom")</f>
        <v>Accidental shooting in school bathroom</v>
      </c>
      <c r="Z1130" s="5" t="str">
        <f ca="1">IFERROR(__xludf.DUMMYFUNCTION("""COMPUTED_VALUE"""),"14 year old boy brought gun to school with one bullet. Took gun in bathroom and shot bullet. Shot was not fired at anyone and the boy was detained.")</f>
        <v>14 year old boy brought gun to school with one bullet. Took gun in bathroom and shot bullet. Shot was not fired at anyone and the boy was detained.</v>
      </c>
      <c r="AA1130" s="5" t="str">
        <f ca="1">IFERROR(__xludf.DUMMYFUNCTION("""COMPUTED_VALUE"""),"Accidental")</f>
        <v>Accidental</v>
      </c>
      <c r="AB1130" s="5" t="str">
        <f ca="1">IFERROR(__xludf.DUMMYFUNCTION("""COMPUTED_VALUE"""),"Neither")</f>
        <v>Neither</v>
      </c>
      <c r="AC1130" s="5" t="str">
        <f ca="1">IFERROR(__xludf.DUMMYFUNCTION("""COMPUTED_VALUE"""),"No")</f>
        <v>No</v>
      </c>
      <c r="AD1130" s="5" t="str">
        <f ca="1">IFERROR(__xludf.DUMMYFUNCTION("""COMPUTED_VALUE"""),"No")</f>
        <v>No</v>
      </c>
      <c r="AE1130" s="5" t="str">
        <f ca="1">IFERROR(__xludf.DUMMYFUNCTION("""COMPUTED_VALUE"""),"No")</f>
        <v>No</v>
      </c>
      <c r="AF1130" s="5" t="str">
        <f ca="1">IFERROR(__xludf.DUMMYFUNCTION("""COMPUTED_VALUE"""),"No")</f>
        <v>No</v>
      </c>
      <c r="AG1130" s="5"/>
      <c r="AH1130" s="5"/>
      <c r="AI1130" s="5"/>
      <c r="AJ1130" s="5" t="str">
        <f ca="1">IFERROR(__xludf.DUMMYFUNCTION("""COMPUTED_VALUE"""),"No")</f>
        <v>No</v>
      </c>
    </row>
    <row r="1131" spans="1:36" ht="13">
      <c r="A1131" s="5" t="str">
        <f ca="1">IFERROR(__xludf.DUMMYFUNCTION("""COMPUTED_VALUE"""),"20150504OHWIC")</f>
        <v>20150504OHWIC</v>
      </c>
      <c r="B1131" s="5">
        <f ca="1">IFERROR(__xludf.DUMMYFUNCTION("""COMPUTED_VALUE"""),5)</f>
        <v>5</v>
      </c>
      <c r="C1131" s="5">
        <f ca="1">IFERROR(__xludf.DUMMYFUNCTION("""COMPUTED_VALUE"""),4)</f>
        <v>4</v>
      </c>
      <c r="D1131" s="5">
        <f ca="1">IFERROR(__xludf.DUMMYFUNCTION("""COMPUTED_VALUE"""),2015)</f>
        <v>2015</v>
      </c>
      <c r="E1131" s="8">
        <f ca="1">IFERROR(__xludf.DUMMYFUNCTION("""COMPUTED_VALUE"""),42128)</f>
        <v>42128</v>
      </c>
      <c r="F1131" s="5" t="str">
        <f ca="1">IFERROR(__xludf.DUMMYFUNCTION("""COMPUTED_VALUE"""),"Willow Elementary School")</f>
        <v>Willow Elementary School</v>
      </c>
      <c r="G1131" s="5">
        <f ca="1">IFERROR(__xludf.DUMMYFUNCTION("""COMPUTED_VALUE"""),1)</f>
        <v>1</v>
      </c>
      <c r="H1131" s="5">
        <f ca="1">IFERROR(__xludf.DUMMYFUNCTION("""COMPUTED_VALUE"""),1)</f>
        <v>1</v>
      </c>
      <c r="I1131" s="5">
        <f ca="1">IFERROR(__xludf.DUMMYFUNCTION("""COMPUTED_VALUE"""),2)</f>
        <v>2</v>
      </c>
      <c r="J1131" s="5">
        <f ca="1">IFERROR(__xludf.DUMMYFUNCTION("""COMPUTED_VALUE"""),0)</f>
        <v>0</v>
      </c>
      <c r="K1131" s="5" t="str">
        <f ca="1">IFERROR(__xludf.DUMMYFUNCTION("""COMPUTED_VALUE"""),"https://www.cleveland.com/metro/index.ssf/2015/05/man_killed_in_double_shooting.html . https://www.facebook.com/TheC.O.R.P.216/photos/a.1028442057212927.1073741827.1028376723886127/1061545243902608/?type=1&amp;theater")</f>
        <v>https://www.cleveland.com/metro/index.ssf/2015/05/man_killed_in_double_shooting.html . https://www.facebook.com/TheC.O.R.P.216/photos/a.1028442057212927.1073741827.1028376723886127/1061545243902608/?type=1&amp;theater</v>
      </c>
      <c r="L1131" s="5"/>
      <c r="M1131" s="5"/>
      <c r="N1131" s="5">
        <f ca="1">IFERROR(__xludf.DUMMYFUNCTION("""COMPUTED_VALUE"""),3)</f>
        <v>3</v>
      </c>
      <c r="O1131" s="5" t="str">
        <f ca="1">IFERROR(__xludf.DUMMYFUNCTION("""COMPUTED_VALUE"""),"Spring")</f>
        <v>Spring</v>
      </c>
      <c r="P1131" s="5" t="str">
        <f ca="1">IFERROR(__xludf.DUMMYFUNCTION("""COMPUTED_VALUE"""),"Cleveland")</f>
        <v>Cleveland</v>
      </c>
      <c r="Q1131" s="5" t="str">
        <f ca="1">IFERROR(__xludf.DUMMYFUNCTION("""COMPUTED_VALUE"""),"OH")</f>
        <v>OH</v>
      </c>
      <c r="R1131" s="5" t="str">
        <f ca="1">IFERROR(__xludf.DUMMYFUNCTION("""COMPUTED_VALUE"""),"Elementary")</f>
        <v>Elementary</v>
      </c>
      <c r="S1131" s="5" t="str">
        <f ca="1">IFERROR(__xludf.DUMMYFUNCTION("""COMPUTED_VALUE"""),"Playground")</f>
        <v>Playground</v>
      </c>
      <c r="T1131" s="5" t="str">
        <f ca="1">IFERROR(__xludf.DUMMYFUNCTION("""COMPUTED_VALUE"""),"Outside on School Property")</f>
        <v>Outside on School Property</v>
      </c>
      <c r="U1131" s="5" t="str">
        <f ca="1">IFERROR(__xludf.DUMMYFUNCTION("""COMPUTED_VALUE"""),"No")</f>
        <v>No</v>
      </c>
      <c r="V1131" s="5" t="str">
        <f ca="1">IFERROR(__xludf.DUMMYFUNCTION("""COMPUTED_VALUE"""),"Night")</f>
        <v>Night</v>
      </c>
      <c r="W1131" s="10">
        <f ca="1">IFERROR(__xludf.DUMMYFUNCTION("""COMPUTED_VALUE"""),0.958333333333333)</f>
        <v>0.95833333333333304</v>
      </c>
      <c r="X1131" s="5"/>
      <c r="Y1131" s="5" t="str">
        <f ca="1">IFERROR(__xludf.DUMMYFUNCTION("""COMPUTED_VALUE"""),"Adult victims shot outside of school")</f>
        <v>Adult victims shot outside of school</v>
      </c>
      <c r="Z1131" s="5" t="str">
        <f ca="1">IFERROR(__xludf.DUMMYFUNCTION("""COMPUTED_VALUE"""),"Two victims were found shot, one killed, the other wounded on school playground. Motive and details of shooting unknown. Unknown relationship to school. Possible drive by shooting.")</f>
        <v>Two victims were found shot, one killed, the other wounded on school playground. Motive and details of shooting unknown. Unknown relationship to school. Possible drive by shooting.</v>
      </c>
      <c r="AA1131" s="5" t="str">
        <f ca="1">IFERROR(__xludf.DUMMYFUNCTION("""COMPUTED_VALUE"""),"Drive-by Shooting")</f>
        <v>Drive-by Shooting</v>
      </c>
      <c r="AB1131" s="5"/>
      <c r="AC1131" s="5"/>
      <c r="AD1131" s="5" t="str">
        <f ca="1">IFERROR(__xludf.DUMMYFUNCTION("""COMPUTED_VALUE"""),"No")</f>
        <v>No</v>
      </c>
      <c r="AE1131" s="5" t="str">
        <f ca="1">IFERROR(__xludf.DUMMYFUNCTION("""COMPUTED_VALUE"""),"No")</f>
        <v>No</v>
      </c>
      <c r="AF1131" s="5" t="str">
        <f ca="1">IFERROR(__xludf.DUMMYFUNCTION("""COMPUTED_VALUE"""),"No")</f>
        <v>No</v>
      </c>
      <c r="AG1131" s="5"/>
      <c r="AH1131" s="5"/>
      <c r="AI1131" s="5"/>
      <c r="AJ1131" s="5" t="str">
        <f ca="1">IFERROR(__xludf.DUMMYFUNCTION("""COMPUTED_VALUE"""),"No")</f>
        <v>No</v>
      </c>
    </row>
    <row r="1132" spans="1:36" ht="13">
      <c r="A1132" s="5" t="str">
        <f ca="1">IFERROR(__xludf.DUMMYFUNCTION("""COMPUTED_VALUE"""),"20150428MDDRW")</f>
        <v>20150428MDDRW</v>
      </c>
      <c r="B1132" s="5">
        <f ca="1">IFERROR(__xludf.DUMMYFUNCTION("""COMPUTED_VALUE"""),4)</f>
        <v>4</v>
      </c>
      <c r="C1132" s="5">
        <f ca="1">IFERROR(__xludf.DUMMYFUNCTION("""COMPUTED_VALUE"""),28)</f>
        <v>28</v>
      </c>
      <c r="D1132" s="5">
        <f ca="1">IFERROR(__xludf.DUMMYFUNCTION("""COMPUTED_VALUE"""),2015)</f>
        <v>2015</v>
      </c>
      <c r="E1132" s="8">
        <f ca="1">IFERROR(__xludf.DUMMYFUNCTION("""COMPUTED_VALUE"""),42122)</f>
        <v>42122</v>
      </c>
      <c r="F1132" s="5" t="str">
        <f ca="1">IFERROR(__xludf.DUMMYFUNCTION("""COMPUTED_VALUE"""),"Dr. Gustavus Brown Elementary School")</f>
        <v>Dr. Gustavus Brown Elementary School</v>
      </c>
      <c r="G1132" s="5">
        <f ca="1">IFERROR(__xludf.DUMMYFUNCTION("""COMPUTED_VALUE"""),0)</f>
        <v>0</v>
      </c>
      <c r="H1132" s="5">
        <f ca="1">IFERROR(__xludf.DUMMYFUNCTION("""COMPUTED_VALUE"""),1)</f>
        <v>1</v>
      </c>
      <c r="I1132" s="5">
        <f ca="1">IFERROR(__xludf.DUMMYFUNCTION("""COMPUTED_VALUE"""),1)</f>
        <v>1</v>
      </c>
      <c r="J1132" s="5">
        <f ca="1">IFERROR(__xludf.DUMMYFUNCTION("""COMPUTED_VALUE"""),0)</f>
        <v>0</v>
      </c>
      <c r="K1132" s="9" t="str">
        <f ca="1">IFERROR(__xludf.DUMMYFUNCTION("""COMPUTED_VALUE"""),"https://smnewsnet.com/archives/283458/man-shot-behind-school/")</f>
        <v>https://smnewsnet.com/archives/283458/man-shot-behind-school/</v>
      </c>
      <c r="L1132" s="5"/>
      <c r="M1132" s="5"/>
      <c r="N1132" s="5">
        <f ca="1">IFERROR(__xludf.DUMMYFUNCTION("""COMPUTED_VALUE"""),3)</f>
        <v>3</v>
      </c>
      <c r="O1132" s="5" t="str">
        <f ca="1">IFERROR(__xludf.DUMMYFUNCTION("""COMPUTED_VALUE"""),"Spring")</f>
        <v>Spring</v>
      </c>
      <c r="P1132" s="5" t="str">
        <f ca="1">IFERROR(__xludf.DUMMYFUNCTION("""COMPUTED_VALUE"""),"Waldorf")</f>
        <v>Waldorf</v>
      </c>
      <c r="Q1132" s="5" t="str">
        <f ca="1">IFERROR(__xludf.DUMMYFUNCTION("""COMPUTED_VALUE"""),"MD")</f>
        <v>MD</v>
      </c>
      <c r="R1132" s="5" t="str">
        <f ca="1">IFERROR(__xludf.DUMMYFUNCTION("""COMPUTED_VALUE"""),"Elementary")</f>
        <v>Elementary</v>
      </c>
      <c r="S1132" s="5" t="str">
        <f ca="1">IFERROR(__xludf.DUMMYFUNCTION("""COMPUTED_VALUE"""),"Basketball Court")</f>
        <v>Basketball Court</v>
      </c>
      <c r="T1132" s="5" t="str">
        <f ca="1">IFERROR(__xludf.DUMMYFUNCTION("""COMPUTED_VALUE"""),"Outside on School Property")</f>
        <v>Outside on School Property</v>
      </c>
      <c r="U1132" s="5" t="str">
        <f ca="1">IFERROR(__xludf.DUMMYFUNCTION("""COMPUTED_VALUE"""),"No")</f>
        <v>No</v>
      </c>
      <c r="V1132" s="5" t="str">
        <f ca="1">IFERROR(__xludf.DUMMYFUNCTION("""COMPUTED_VALUE"""),"Evening")</f>
        <v>Evening</v>
      </c>
      <c r="W1132" s="10">
        <f ca="1">IFERROR(__xludf.DUMMYFUNCTION("""COMPUTED_VALUE"""),0.765972222222222)</f>
        <v>0.76597222222222205</v>
      </c>
      <c r="X1132" s="5">
        <f ca="1">IFERROR(__xludf.DUMMYFUNCTION("""COMPUTED_VALUE"""),1)</f>
        <v>1</v>
      </c>
      <c r="Y1132" s="5" t="str">
        <f ca="1">IFERROR(__xludf.DUMMYFUNCTION("""COMPUTED_VALUE"""),"22YOM shot on school basketball court")</f>
        <v>22YOM shot on school basketball court</v>
      </c>
      <c r="Z1132" s="5" t="str">
        <f ca="1">IFERROR(__xludf.DUMMYFUNCTION("""COMPUTED_VALUE"""),"22YOM was shot on school basketball court. Shooter exited a car, fired at him, and fled the area. Police said the shooting was not random. No information about shooter.")</f>
        <v>22YOM was shot on school basketball court. Shooter exited a car, fired at him, and fled the area. Police said the shooting was not random. No information about shooter.</v>
      </c>
      <c r="AA1132" s="5" t="str">
        <f ca="1">IFERROR(__xludf.DUMMYFUNCTION("""COMPUTED_VALUE"""),"Escalation of Dispute")</f>
        <v>Escalation of Dispute</v>
      </c>
      <c r="AB1132" s="5" t="str">
        <f ca="1">IFERROR(__xludf.DUMMYFUNCTION("""COMPUTED_VALUE"""),"Victims Targeted")</f>
        <v>Victims Targeted</v>
      </c>
      <c r="AC1132" s="5" t="str">
        <f ca="1">IFERROR(__xludf.DUMMYFUNCTION("""COMPUTED_VALUE"""),"Yes")</f>
        <v>Yes</v>
      </c>
      <c r="AD1132" s="5" t="str">
        <f ca="1">IFERROR(__xludf.DUMMYFUNCTION("""COMPUTED_VALUE"""),"No")</f>
        <v>No</v>
      </c>
      <c r="AE1132" s="5" t="str">
        <f ca="1">IFERROR(__xludf.DUMMYFUNCTION("""COMPUTED_VALUE"""),"No")</f>
        <v>No</v>
      </c>
      <c r="AF1132" s="5" t="str">
        <f ca="1">IFERROR(__xludf.DUMMYFUNCTION("""COMPUTED_VALUE"""),"No")</f>
        <v>No</v>
      </c>
      <c r="AG1132" s="5" t="str">
        <f ca="1">IFERROR(__xludf.DUMMYFUNCTION("""COMPUTED_VALUE"""),"No")</f>
        <v>No</v>
      </c>
      <c r="AH1132" s="5" t="str">
        <f ca="1">IFERROR(__xludf.DUMMYFUNCTION("""COMPUTED_VALUE"""),"No")</f>
        <v>No</v>
      </c>
      <c r="AI1132" s="5"/>
      <c r="AJ1132" s="5" t="str">
        <f ca="1">IFERROR(__xludf.DUMMYFUNCTION("""COMPUTED_VALUE"""),"No")</f>
        <v>No</v>
      </c>
    </row>
    <row r="1133" spans="1:36" ht="13">
      <c r="A1133" s="5" t="str">
        <f ca="1">IFERROR(__xludf.DUMMYFUNCTION("""COMPUTED_VALUE"""),"20150427WANOL")</f>
        <v>20150427WANOL</v>
      </c>
      <c r="B1133" s="5">
        <f ca="1">IFERROR(__xludf.DUMMYFUNCTION("""COMPUTED_VALUE"""),4)</f>
        <v>4</v>
      </c>
      <c r="C1133" s="5">
        <f ca="1">IFERROR(__xludf.DUMMYFUNCTION("""COMPUTED_VALUE"""),27)</f>
        <v>27</v>
      </c>
      <c r="D1133" s="5">
        <f ca="1">IFERROR(__xludf.DUMMYFUNCTION("""COMPUTED_VALUE"""),2015)</f>
        <v>2015</v>
      </c>
      <c r="E1133" s="8">
        <f ca="1">IFERROR(__xludf.DUMMYFUNCTION("""COMPUTED_VALUE"""),42121)</f>
        <v>42121</v>
      </c>
      <c r="F1133" s="5" t="str">
        <f ca="1">IFERROR(__xludf.DUMMYFUNCTION("""COMPUTED_VALUE"""),"North Thurston High School")</f>
        <v>North Thurston High School</v>
      </c>
      <c r="G1133" s="5">
        <f ca="1">IFERROR(__xludf.DUMMYFUNCTION("""COMPUTED_VALUE"""),0)</f>
        <v>0</v>
      </c>
      <c r="H1133" s="5">
        <f ca="1">IFERROR(__xludf.DUMMYFUNCTION("""COMPUTED_VALUE"""),0)</f>
        <v>0</v>
      </c>
      <c r="I1133" s="5">
        <f ca="1">IFERROR(__xludf.DUMMYFUNCTION("""COMPUTED_VALUE"""),0)</f>
        <v>0</v>
      </c>
      <c r="J1133" s="5">
        <f ca="1">IFERROR(__xludf.DUMMYFUNCTION("""COMPUTED_VALUE"""),0)</f>
        <v>0</v>
      </c>
      <c r="K1133" s="5" t="str">
        <f ca="1">IFERROR(__xludf.DUMMYFUNCTION("""COMPUTED_VALUE"""),"https://www.theolympian.com/news/local/education/article74949547.html
https://www.lmtribune.com/northwest/charges-filed-against-teen-in-shooting/article_b756bf0b-3978-5de3-909e-16155b0d1aba.html")</f>
        <v>https://www.theolympian.com/news/local/education/article74949547.html
https://www.lmtribune.com/northwest/charges-filed-against-teen-in-shooting/article_b756bf0b-3978-5de3-909e-16155b0d1aba.html</v>
      </c>
      <c r="L1133" s="5">
        <f ca="1">IFERROR(__xludf.DUMMYFUNCTION("""COMPUTED_VALUE"""),5)</f>
        <v>5</v>
      </c>
      <c r="M1133" s="5" t="str">
        <f ca="1">IFERROR(__xludf.DUMMYFUNCTION("""COMPUTED_VALUE"""),"Local")</f>
        <v>Local</v>
      </c>
      <c r="N1133" s="5">
        <f ca="1">IFERROR(__xludf.DUMMYFUNCTION("""COMPUTED_VALUE"""),4)</f>
        <v>4</v>
      </c>
      <c r="O1133" s="5" t="str">
        <f ca="1">IFERROR(__xludf.DUMMYFUNCTION("""COMPUTED_VALUE"""),"Spring")</f>
        <v>Spring</v>
      </c>
      <c r="P1133" s="5" t="str">
        <f ca="1">IFERROR(__xludf.DUMMYFUNCTION("""COMPUTED_VALUE"""),"Lacey")</f>
        <v>Lacey</v>
      </c>
      <c r="Q1133" s="5" t="str">
        <f ca="1">IFERROR(__xludf.DUMMYFUNCTION("""COMPUTED_VALUE"""),"WA")</f>
        <v>WA</v>
      </c>
      <c r="R1133" s="5" t="str">
        <f ca="1">IFERROR(__xludf.DUMMYFUNCTION("""COMPUTED_VALUE"""),"High")</f>
        <v>High</v>
      </c>
      <c r="S1133" s="5" t="str">
        <f ca="1">IFERROR(__xludf.DUMMYFUNCTION("""COMPUTED_VALUE"""),"Hallway")</f>
        <v>Hallway</v>
      </c>
      <c r="T1133" s="5" t="str">
        <f ca="1">IFERROR(__xludf.DUMMYFUNCTION("""COMPUTED_VALUE"""),"Inside School Building")</f>
        <v>Inside School Building</v>
      </c>
      <c r="U1133" s="5" t="str">
        <f ca="1">IFERROR(__xludf.DUMMYFUNCTION("""COMPUTED_VALUE"""),"Yes")</f>
        <v>Yes</v>
      </c>
      <c r="V1133" s="5" t="str">
        <f ca="1">IFERROR(__xludf.DUMMYFUNCTION("""COMPUTED_VALUE"""),"Morning Classes")</f>
        <v>Morning Classes</v>
      </c>
      <c r="W1133" s="10">
        <f ca="1">IFERROR(__xludf.DUMMYFUNCTION("""COMPUTED_VALUE"""),0.308333333333333)</f>
        <v>0.30833333333333302</v>
      </c>
      <c r="X1133" s="5">
        <f ca="1">IFERROR(__xludf.DUMMYFUNCTION("""COMPUTED_VALUE"""),1)</f>
        <v>1</v>
      </c>
      <c r="Y1133" s="5" t="str">
        <f ca="1">IFERROR(__xludf.DUMMYFUNCTION("""COMPUTED_VALUE"""),"Fired two shots before being tackled by teacher")</f>
        <v>Fired two shots before being tackled by teacher</v>
      </c>
      <c r="Z1133" s="5" t="str">
        <f ca="1">IFERROR(__xludf.DUMMYFUNCTION("""COMPUTED_VALUE"""),"Shooter appeared near the cafeteria smoking and fired two shots into the ceiling of hallway/common area. Administrator hear shots and ordered lockdown/multiple calls to 911. Immediately tackled by the teacher while still holding the gun. No students were "&amp;"injured. Allegedly planned ""suicide by cop"". Had criminal history, still on probation when the moved to the new school. Only been attending school for 1 month prior the shootin. Allegedly he was bullied and called derogatory names in all schools. Previo"&amp;"usly suspended at least 10 times")</f>
        <v>Shooter appeared near the cafeteria smoking and fired two shots into the ceiling of hallway/common area. Administrator hear shots and ordered lockdown/multiple calls to 911. Immediately tackled by the teacher while still holding the gun. No students were injured. Allegedly planned "suicide by cop". Had criminal history, still on probation when the moved to the new school. Only been attending school for 1 month prior the shootin. Allegedly he was bullied and called derogatory names in all schools. Previously suspended at least 10 times</v>
      </c>
      <c r="AA1133" s="5" t="str">
        <f ca="1">IFERROR(__xludf.DUMMYFUNCTION("""COMPUTED_VALUE"""),"Indiscriminate Shooting")</f>
        <v>Indiscriminate Shooting</v>
      </c>
      <c r="AB1133" s="5" t="str">
        <f ca="1">IFERROR(__xludf.DUMMYFUNCTION("""COMPUTED_VALUE"""),"Neither")</f>
        <v>Neither</v>
      </c>
      <c r="AC1133" s="5" t="str">
        <f ca="1">IFERROR(__xludf.DUMMYFUNCTION("""COMPUTED_VALUE"""),"No")</f>
        <v>No</v>
      </c>
      <c r="AD1133" s="5" t="str">
        <f ca="1">IFERROR(__xludf.DUMMYFUNCTION("""COMPUTED_VALUE"""),"No")</f>
        <v>No</v>
      </c>
      <c r="AE1133" s="5" t="str">
        <f ca="1">IFERROR(__xludf.DUMMYFUNCTION("""COMPUTED_VALUE"""),"No")</f>
        <v>No</v>
      </c>
      <c r="AF1133" s="5" t="str">
        <f ca="1">IFERROR(__xludf.DUMMYFUNCTION("""COMPUTED_VALUE"""),"No")</f>
        <v>No</v>
      </c>
      <c r="AG1133" s="5" t="str">
        <f ca="1">IFERROR(__xludf.DUMMYFUNCTION("""COMPUTED_VALUE"""),"Yes")</f>
        <v>Yes</v>
      </c>
      <c r="AH1133" s="5" t="str">
        <f ca="1">IFERROR(__xludf.DUMMYFUNCTION("""COMPUTED_VALUE"""),"No")</f>
        <v>No</v>
      </c>
      <c r="AI1133" s="5" t="str">
        <f ca="1">IFERROR(__xludf.DUMMYFUNCTION("""COMPUTED_VALUE"""),"No")</f>
        <v>No</v>
      </c>
      <c r="AJ1133" s="5" t="str">
        <f ca="1">IFERROR(__xludf.DUMMYFUNCTION("""COMPUTED_VALUE"""),"Yes")</f>
        <v>Yes</v>
      </c>
    </row>
    <row r="1134" spans="1:36" ht="13">
      <c r="A1134" s="5" t="str">
        <f ca="1">IFERROR(__xludf.DUMMYFUNCTION("""COMPUTED_VALUE"""),"20150422NVRUL")</f>
        <v>20150422NVRUL</v>
      </c>
      <c r="B1134" s="5">
        <f ca="1">IFERROR(__xludf.DUMMYFUNCTION("""COMPUTED_VALUE"""),4)</f>
        <v>4</v>
      </c>
      <c r="C1134" s="5">
        <f ca="1">IFERROR(__xludf.DUMMYFUNCTION("""COMPUTED_VALUE"""),22)</f>
        <v>22</v>
      </c>
      <c r="D1134" s="5">
        <f ca="1">IFERROR(__xludf.DUMMYFUNCTION("""COMPUTED_VALUE"""),2015)</f>
        <v>2015</v>
      </c>
      <c r="E1134" s="8">
        <f ca="1">IFERROR(__xludf.DUMMYFUNCTION("""COMPUTED_VALUE"""),42116)</f>
        <v>42116</v>
      </c>
      <c r="F1134" s="5" t="str">
        <f ca="1">IFERROR(__xludf.DUMMYFUNCTION("""COMPUTED_VALUE"""),"Ruth Deskin Elementary School")</f>
        <v>Ruth Deskin Elementary School</v>
      </c>
      <c r="G1134" s="5">
        <f ca="1">IFERROR(__xludf.DUMMYFUNCTION("""COMPUTED_VALUE"""),0)</f>
        <v>0</v>
      </c>
      <c r="H1134" s="5">
        <f ca="1">IFERROR(__xludf.DUMMYFUNCTION("""COMPUTED_VALUE"""),0)</f>
        <v>0</v>
      </c>
      <c r="I1134" s="5">
        <f ca="1">IFERROR(__xludf.DUMMYFUNCTION("""COMPUTED_VALUE"""),0)</f>
        <v>0</v>
      </c>
      <c r="J1134" s="5">
        <f ca="1">IFERROR(__xludf.DUMMYFUNCTION("""COMPUTED_VALUE"""),0)</f>
        <v>0</v>
      </c>
      <c r="K1134" s="9" t="str">
        <f ca="1">IFERROR(__xludf.DUMMYFUNCTION("""COMPUTED_VALUE"""),"https://www.cbsnews.com/news/boy-11-arrested-after-accidentally-firing-handgun-at-school/")</f>
        <v>https://www.cbsnews.com/news/boy-11-arrested-after-accidentally-firing-handgun-at-school/</v>
      </c>
      <c r="L1134" s="5"/>
      <c r="M1134" s="5"/>
      <c r="N1134" s="5">
        <f ca="1">IFERROR(__xludf.DUMMYFUNCTION("""COMPUTED_VALUE"""),2)</f>
        <v>2</v>
      </c>
      <c r="O1134" s="5" t="str">
        <f ca="1">IFERROR(__xludf.DUMMYFUNCTION("""COMPUTED_VALUE"""),"Spring")</f>
        <v>Spring</v>
      </c>
      <c r="P1134" s="5" t="str">
        <f ca="1">IFERROR(__xludf.DUMMYFUNCTION("""COMPUTED_VALUE"""),"Las Vegas")</f>
        <v>Las Vegas</v>
      </c>
      <c r="Q1134" s="5" t="str">
        <f ca="1">IFERROR(__xludf.DUMMYFUNCTION("""COMPUTED_VALUE"""),"NV")</f>
        <v>NV</v>
      </c>
      <c r="R1134" s="5" t="str">
        <f ca="1">IFERROR(__xludf.DUMMYFUNCTION("""COMPUTED_VALUE"""),"Elementary")</f>
        <v>Elementary</v>
      </c>
      <c r="S1134" s="5" t="str">
        <f ca="1">IFERROR(__xludf.DUMMYFUNCTION("""COMPUTED_VALUE"""),"Classroom")</f>
        <v>Classroom</v>
      </c>
      <c r="T1134" s="5" t="str">
        <f ca="1">IFERROR(__xludf.DUMMYFUNCTION("""COMPUTED_VALUE"""),"Inside School Building")</f>
        <v>Inside School Building</v>
      </c>
      <c r="U1134" s="5" t="str">
        <f ca="1">IFERROR(__xludf.DUMMYFUNCTION("""COMPUTED_VALUE"""),"Yes")</f>
        <v>Yes</v>
      </c>
      <c r="V1134" s="5" t="str">
        <f ca="1">IFERROR(__xludf.DUMMYFUNCTION("""COMPUTED_VALUE"""),"Afternoon Classes")</f>
        <v>Afternoon Classes</v>
      </c>
      <c r="W1134" s="10">
        <f ca="1">IFERROR(__xludf.DUMMYFUNCTION("""COMPUTED_VALUE"""),0.638888888888888)</f>
        <v>0.63888888888888795</v>
      </c>
      <c r="X1134" s="5">
        <f ca="1">IFERROR(__xludf.DUMMYFUNCTION("""COMPUTED_VALUE"""),1)</f>
        <v>1</v>
      </c>
      <c r="Y1134" s="5" t="str">
        <f ca="1">IFERROR(__xludf.DUMMYFUNCTION("""COMPUTED_VALUE"""),"Accidental discharge of gun in backpack")</f>
        <v>Accidental discharge of gun in backpack</v>
      </c>
      <c r="Z1134" s="5" t="str">
        <f ca="1">IFERROR(__xludf.DUMMYFUNCTION("""COMPUTED_VALUE"""),"11YOM shooter had .45 caliber and BB gun in backpack. While waiting for bell to ring to finish the day, the boy reached into his backpack and gun accidentally fired. Discharged single bullet into desk. No injuries.")</f>
        <v>11YOM shooter had .45 caliber and BB gun in backpack. While waiting for bell to ring to finish the day, the boy reached into his backpack and gun accidentally fired. Discharged single bullet into desk. No injuries.</v>
      </c>
      <c r="AA1134" s="5" t="str">
        <f ca="1">IFERROR(__xludf.DUMMYFUNCTION("""COMPUTED_VALUE"""),"Accidental")</f>
        <v>Accidental</v>
      </c>
      <c r="AB1134" s="5" t="str">
        <f ca="1">IFERROR(__xludf.DUMMYFUNCTION("""COMPUTED_VALUE"""),"Neither")</f>
        <v>Neither</v>
      </c>
      <c r="AC1134" s="5" t="str">
        <f ca="1">IFERROR(__xludf.DUMMYFUNCTION("""COMPUTED_VALUE"""),"No")</f>
        <v>No</v>
      </c>
      <c r="AD1134" s="5" t="str">
        <f ca="1">IFERROR(__xludf.DUMMYFUNCTION("""COMPUTED_VALUE"""),"No")</f>
        <v>No</v>
      </c>
      <c r="AE1134" s="5" t="str">
        <f ca="1">IFERROR(__xludf.DUMMYFUNCTION("""COMPUTED_VALUE"""),"No")</f>
        <v>No</v>
      </c>
      <c r="AF1134" s="5" t="str">
        <f ca="1">IFERROR(__xludf.DUMMYFUNCTION("""COMPUTED_VALUE"""),"No")</f>
        <v>No</v>
      </c>
      <c r="AG1134" s="5" t="str">
        <f ca="1">IFERROR(__xludf.DUMMYFUNCTION("""COMPUTED_VALUE"""),"No")</f>
        <v>No</v>
      </c>
      <c r="AH1134" s="5" t="str">
        <f ca="1">IFERROR(__xludf.DUMMYFUNCTION("""COMPUTED_VALUE"""),"No")</f>
        <v>No</v>
      </c>
      <c r="AI1134" s="5" t="str">
        <f ca="1">IFERROR(__xludf.DUMMYFUNCTION("""COMPUTED_VALUE"""),"No")</f>
        <v>No</v>
      </c>
      <c r="AJ1134" s="5" t="str">
        <f ca="1">IFERROR(__xludf.DUMMYFUNCTION("""COMPUTED_VALUE"""),"No")</f>
        <v>No</v>
      </c>
    </row>
    <row r="1135" spans="1:36" ht="13">
      <c r="A1135" s="5" t="str">
        <f ca="1">IFERROR(__xludf.DUMMYFUNCTION("""COMPUTED_VALUE"""),"20150417TXSES")</f>
        <v>20150417TXSES</v>
      </c>
      <c r="B1135" s="5">
        <f ca="1">IFERROR(__xludf.DUMMYFUNCTION("""COMPUTED_VALUE"""),4)</f>
        <v>4</v>
      </c>
      <c r="C1135" s="5">
        <f ca="1">IFERROR(__xludf.DUMMYFUNCTION("""COMPUTED_VALUE"""),17)</f>
        <v>17</v>
      </c>
      <c r="D1135" s="5">
        <f ca="1">IFERROR(__xludf.DUMMYFUNCTION("""COMPUTED_VALUE"""),2015)</f>
        <v>2015</v>
      </c>
      <c r="E1135" s="8">
        <f ca="1">IFERROR(__xludf.DUMMYFUNCTION("""COMPUTED_VALUE"""),42111)</f>
        <v>42111</v>
      </c>
      <c r="F1135" s="5" t="str">
        <f ca="1">IFERROR(__xludf.DUMMYFUNCTION("""COMPUTED_VALUE"""),"Seguin High School")</f>
        <v>Seguin High School</v>
      </c>
      <c r="G1135" s="5">
        <f ca="1">IFERROR(__xludf.DUMMYFUNCTION("""COMPUTED_VALUE"""),0)</f>
        <v>0</v>
      </c>
      <c r="H1135" s="5">
        <f ca="1">IFERROR(__xludf.DUMMYFUNCTION("""COMPUTED_VALUE"""),0)</f>
        <v>0</v>
      </c>
      <c r="I1135" s="5">
        <f ca="1">IFERROR(__xludf.DUMMYFUNCTION("""COMPUTED_VALUE"""),0)</f>
        <v>0</v>
      </c>
      <c r="J1135" s="5">
        <f ca="1">IFERROR(__xludf.DUMMYFUNCTION("""COMPUTED_VALUE"""),1)</f>
        <v>1</v>
      </c>
      <c r="K1135" s="9" t="str">
        <f ca="1">IFERROR(__xludf.DUMMYFUNCTION("""COMPUTED_VALUE"""),"https://www.ksat.com/news/school-official-seguin-high-school-student-shoots-kills-self")</f>
        <v>https://www.ksat.com/news/school-official-seguin-high-school-student-shoots-kills-self</v>
      </c>
      <c r="L1135" s="5"/>
      <c r="M1135" s="5"/>
      <c r="N1135" s="5">
        <f ca="1">IFERROR(__xludf.DUMMYFUNCTION("""COMPUTED_VALUE"""),2)</f>
        <v>2</v>
      </c>
      <c r="O1135" s="5" t="str">
        <f ca="1">IFERROR(__xludf.DUMMYFUNCTION("""COMPUTED_VALUE"""),"Spring")</f>
        <v>Spring</v>
      </c>
      <c r="P1135" s="5" t="str">
        <f ca="1">IFERROR(__xludf.DUMMYFUNCTION("""COMPUTED_VALUE"""),"Seguin")</f>
        <v>Seguin</v>
      </c>
      <c r="Q1135" s="5" t="str">
        <f ca="1">IFERROR(__xludf.DUMMYFUNCTION("""COMPUTED_VALUE"""),"TX")</f>
        <v>TX</v>
      </c>
      <c r="R1135" s="5" t="str">
        <f ca="1">IFERROR(__xludf.DUMMYFUNCTION("""COMPUTED_VALUE"""),"High")</f>
        <v>High</v>
      </c>
      <c r="S1135" s="5" t="str">
        <f ca="1">IFERROR(__xludf.DUMMYFUNCTION("""COMPUTED_VALUE"""),"Beside Building")</f>
        <v>Beside Building</v>
      </c>
      <c r="T1135" s="5" t="str">
        <f ca="1">IFERROR(__xludf.DUMMYFUNCTION("""COMPUTED_VALUE"""),"Outside on School Property")</f>
        <v>Outside on School Property</v>
      </c>
      <c r="U1135" s="5" t="str">
        <f ca="1">IFERROR(__xludf.DUMMYFUNCTION("""COMPUTED_VALUE"""),"Yes")</f>
        <v>Yes</v>
      </c>
      <c r="V1135" s="5" t="str">
        <f ca="1">IFERROR(__xludf.DUMMYFUNCTION("""COMPUTED_VALUE"""),"Morning Classes")</f>
        <v>Morning Classes</v>
      </c>
      <c r="W1135" s="10">
        <f ca="1">IFERROR(__xludf.DUMMYFUNCTION("""COMPUTED_VALUE"""),0.395833333333333)</f>
        <v>0.39583333333333298</v>
      </c>
      <c r="X1135" s="5">
        <f ca="1">IFERROR(__xludf.DUMMYFUNCTION("""COMPUTED_VALUE"""),1)</f>
        <v>1</v>
      </c>
      <c r="Y1135" s="5" t="str">
        <f ca="1">IFERROR(__xludf.DUMMYFUNCTION("""COMPUTED_VALUE"""),"Suicide outside of school building")</f>
        <v>Suicide outside of school building</v>
      </c>
      <c r="Z1135" s="5" t="str">
        <f ca="1">IFERROR(__xludf.DUMMYFUNCTION("""COMPUTED_VALUE"""),"18 year old shooter. Son of a police officer. Shot himself outside of school on Friday. School placed on lockdown.")</f>
        <v>18 year old shooter. Son of a police officer. Shot himself outside of school on Friday. School placed on lockdown.</v>
      </c>
      <c r="AA1135" s="5" t="str">
        <f ca="1">IFERROR(__xludf.DUMMYFUNCTION("""COMPUTED_VALUE"""),"Suicide/Attempted")</f>
        <v>Suicide/Attempted</v>
      </c>
      <c r="AB1135" s="5" t="str">
        <f ca="1">IFERROR(__xludf.DUMMYFUNCTION("""COMPUTED_VALUE"""),"Victims Targeted")</f>
        <v>Victims Targeted</v>
      </c>
      <c r="AC1135" s="5" t="str">
        <f ca="1">IFERROR(__xludf.DUMMYFUNCTION("""COMPUTED_VALUE"""),"No")</f>
        <v>No</v>
      </c>
      <c r="AD1135" s="5" t="str">
        <f ca="1">IFERROR(__xludf.DUMMYFUNCTION("""COMPUTED_VALUE"""),"No")</f>
        <v>No</v>
      </c>
      <c r="AE1135" s="5" t="str">
        <f ca="1">IFERROR(__xludf.DUMMYFUNCTION("""COMPUTED_VALUE"""),"No")</f>
        <v>No</v>
      </c>
      <c r="AF1135" s="5" t="str">
        <f ca="1">IFERROR(__xludf.DUMMYFUNCTION("""COMPUTED_VALUE"""),"No")</f>
        <v>No</v>
      </c>
      <c r="AG1135" s="5"/>
      <c r="AH1135" s="5"/>
      <c r="AI1135" s="5" t="str">
        <f ca="1">IFERROR(__xludf.DUMMYFUNCTION("""COMPUTED_VALUE"""),"No")</f>
        <v>No</v>
      </c>
      <c r="AJ1135" s="5" t="str">
        <f ca="1">IFERROR(__xludf.DUMMYFUNCTION("""COMPUTED_VALUE"""),"No")</f>
        <v>No</v>
      </c>
    </row>
    <row r="1136" spans="1:36" ht="13">
      <c r="A1136" s="5" t="str">
        <f ca="1">IFERROR(__xludf.DUMMYFUNCTION("""COMPUTED_VALUE"""),"20150330MOPEU")</f>
        <v>20150330MOPEU</v>
      </c>
      <c r="B1136" s="5">
        <f ca="1">IFERROR(__xludf.DUMMYFUNCTION("""COMPUTED_VALUE"""),3)</f>
        <v>3</v>
      </c>
      <c r="C1136" s="5">
        <f ca="1">IFERROR(__xludf.DUMMYFUNCTION("""COMPUTED_VALUE"""),30)</f>
        <v>30</v>
      </c>
      <c r="D1136" s="5">
        <f ca="1">IFERROR(__xludf.DUMMYFUNCTION("""COMPUTED_VALUE"""),2015)</f>
        <v>2015</v>
      </c>
      <c r="E1136" s="8">
        <f ca="1">IFERROR(__xludf.DUMMYFUNCTION("""COMPUTED_VALUE"""),42093)</f>
        <v>42093</v>
      </c>
      <c r="F1136" s="5" t="str">
        <f ca="1">IFERROR(__xludf.DUMMYFUNCTION("""COMPUTED_VALUE"""),"Pershing Elementary School")</f>
        <v>Pershing Elementary School</v>
      </c>
      <c r="G1136" s="5">
        <f ca="1">IFERROR(__xludf.DUMMYFUNCTION("""COMPUTED_VALUE"""),0)</f>
        <v>0</v>
      </c>
      <c r="H1136" s="5">
        <f ca="1">IFERROR(__xludf.DUMMYFUNCTION("""COMPUTED_VALUE"""),1)</f>
        <v>1</v>
      </c>
      <c r="I1136" s="5">
        <f ca="1">IFERROR(__xludf.DUMMYFUNCTION("""COMPUTED_VALUE"""),1)</f>
        <v>1</v>
      </c>
      <c r="J1136" s="5">
        <f ca="1">IFERROR(__xludf.DUMMYFUNCTION("""COMPUTED_VALUE"""),0)</f>
        <v>0</v>
      </c>
      <c r="K1136" s="5" t="str">
        <f ca="1">IFERROR(__xludf.DUMMYFUNCTION("""COMPUTED_VALUE"""),"http://www.kmov.com/story/28697457/man-arrested-in-connection-with-shooting-at-university-city-school . http://www.kmov.com/story/28654494/large-police-presence-at-university-city-elementary-school")</f>
        <v>http://www.kmov.com/story/28697457/man-arrested-in-connection-with-shooting-at-university-city-school . http://www.kmov.com/story/28654494/large-police-presence-at-university-city-elementary-school</v>
      </c>
      <c r="L1136" s="5"/>
      <c r="M1136" s="5"/>
      <c r="N1136" s="5">
        <f ca="1">IFERROR(__xludf.DUMMYFUNCTION("""COMPUTED_VALUE"""),3)</f>
        <v>3</v>
      </c>
      <c r="O1136" s="5" t="str">
        <f ca="1">IFERROR(__xludf.DUMMYFUNCTION("""COMPUTED_VALUE"""),"Spring")</f>
        <v>Spring</v>
      </c>
      <c r="P1136" s="5" t="str">
        <f ca="1">IFERROR(__xludf.DUMMYFUNCTION("""COMPUTED_VALUE"""),"University City")</f>
        <v>University City</v>
      </c>
      <c r="Q1136" s="5" t="str">
        <f ca="1">IFERROR(__xludf.DUMMYFUNCTION("""COMPUTED_VALUE"""),"MO")</f>
        <v>MO</v>
      </c>
      <c r="R1136" s="5" t="str">
        <f ca="1">IFERROR(__xludf.DUMMYFUNCTION("""COMPUTED_VALUE"""),"Elementary")</f>
        <v>Elementary</v>
      </c>
      <c r="S1136" s="5" t="str">
        <f ca="1">IFERROR(__xludf.DUMMYFUNCTION("""COMPUTED_VALUE"""),"Outside on School Property")</f>
        <v>Outside on School Property</v>
      </c>
      <c r="T1136" s="5" t="str">
        <f ca="1">IFERROR(__xludf.DUMMYFUNCTION("""COMPUTED_VALUE"""),"Outside on School Property")</f>
        <v>Outside on School Property</v>
      </c>
      <c r="U1136" s="5" t="str">
        <f ca="1">IFERROR(__xludf.DUMMYFUNCTION("""COMPUTED_VALUE"""),"No")</f>
        <v>No</v>
      </c>
      <c r="V1136" s="5" t="str">
        <f ca="1">IFERROR(__xludf.DUMMYFUNCTION("""COMPUTED_VALUE"""),"Evening")</f>
        <v>Evening</v>
      </c>
      <c r="W1136" s="10">
        <f ca="1">IFERROR(__xludf.DUMMYFUNCTION("""COMPUTED_VALUE"""),0.729166666666666)</f>
        <v>0.72916666666666596</v>
      </c>
      <c r="X1136" s="5">
        <f ca="1">IFERROR(__xludf.DUMMYFUNCTION("""COMPUTED_VALUE"""),1)</f>
        <v>1</v>
      </c>
      <c r="Y1136" s="5" t="str">
        <f ca="1">IFERROR(__xludf.DUMMYFUNCTION("""COMPUTED_VALUE"""),"Dispute between victim and two other men")</f>
        <v>Dispute between victim and two other men</v>
      </c>
      <c r="Z1136" s="5" t="str">
        <f ca="1">IFERROR(__xludf.DUMMYFUNCTION("""COMPUTED_VALUE"""),"Argument between victim and two other men while on school property. No known relation to school. Victim shot in the buttocks")</f>
        <v>Argument between victim and two other men while on school property. No known relation to school. Victim shot in the buttocks</v>
      </c>
      <c r="AA1136" s="5" t="str">
        <f ca="1">IFERROR(__xludf.DUMMYFUNCTION("""COMPUTED_VALUE"""),"Escalation of Dispute")</f>
        <v>Escalation of Dispute</v>
      </c>
      <c r="AB1136" s="5"/>
      <c r="AC1136" s="5"/>
      <c r="AD1136" s="5" t="str">
        <f ca="1">IFERROR(__xludf.DUMMYFUNCTION("""COMPUTED_VALUE"""),"No")</f>
        <v>No</v>
      </c>
      <c r="AE1136" s="5" t="str">
        <f ca="1">IFERROR(__xludf.DUMMYFUNCTION("""COMPUTED_VALUE"""),"No")</f>
        <v>No</v>
      </c>
      <c r="AF1136" s="5" t="str">
        <f ca="1">IFERROR(__xludf.DUMMYFUNCTION("""COMPUTED_VALUE"""),"No")</f>
        <v>No</v>
      </c>
      <c r="AG1136" s="5" t="str">
        <f ca="1">IFERROR(__xludf.DUMMYFUNCTION("""COMPUTED_VALUE"""),"No")</f>
        <v>No</v>
      </c>
      <c r="AH1136" s="5" t="str">
        <f ca="1">IFERROR(__xludf.DUMMYFUNCTION("""COMPUTED_VALUE"""),"No")</f>
        <v>No</v>
      </c>
      <c r="AI1136" s="5" t="str">
        <f ca="1">IFERROR(__xludf.DUMMYFUNCTION("""COMPUTED_VALUE"""),"No")</f>
        <v>No</v>
      </c>
      <c r="AJ1136" s="5" t="str">
        <f ca="1">IFERROR(__xludf.DUMMYFUNCTION("""COMPUTED_VALUE"""),"No")</f>
        <v>No</v>
      </c>
    </row>
    <row r="1137" spans="1:36" ht="13">
      <c r="A1137" s="5" t="str">
        <f ca="1">IFERROR(__xludf.DUMMYFUNCTION("""COMPUTED_VALUE"""),"20150215CATEM")</f>
        <v>20150215CATEM</v>
      </c>
      <c r="B1137" s="5">
        <f ca="1">IFERROR(__xludf.DUMMYFUNCTION("""COMPUTED_VALUE"""),2)</f>
        <v>2</v>
      </c>
      <c r="C1137" s="5">
        <f ca="1">IFERROR(__xludf.DUMMYFUNCTION("""COMPUTED_VALUE"""),15)</f>
        <v>15</v>
      </c>
      <c r="D1137" s="5">
        <f ca="1">IFERROR(__xludf.DUMMYFUNCTION("""COMPUTED_VALUE"""),2015)</f>
        <v>2015</v>
      </c>
      <c r="E1137" s="8">
        <f ca="1">IFERROR(__xludf.DUMMYFUNCTION("""COMPUTED_VALUE"""),42050)</f>
        <v>42050</v>
      </c>
      <c r="F1137" s="5" t="str">
        <f ca="1">IFERROR(__xludf.DUMMYFUNCTION("""COMPUTED_VALUE"""),"Tenaya Middle School")</f>
        <v>Tenaya Middle School</v>
      </c>
      <c r="G1137" s="5">
        <f ca="1">IFERROR(__xludf.DUMMYFUNCTION("""COMPUTED_VALUE"""),1)</f>
        <v>1</v>
      </c>
      <c r="H1137" s="5">
        <f ca="1">IFERROR(__xludf.DUMMYFUNCTION("""COMPUTED_VALUE"""),0)</f>
        <v>0</v>
      </c>
      <c r="I1137" s="5">
        <f ca="1">IFERROR(__xludf.DUMMYFUNCTION("""COMPUTED_VALUE"""),1)</f>
        <v>1</v>
      </c>
      <c r="J1137" s="5">
        <f ca="1">IFERROR(__xludf.DUMMYFUNCTION("""COMPUTED_VALUE"""),0)</f>
        <v>0</v>
      </c>
      <c r="K1137" s="9" t="str">
        <f ca="1">IFERROR(__xludf.DUMMYFUNCTION("""COMPUTED_VALUE"""),"http://www.mercedsunstar.com/news/local/crime/article11963273.html")</f>
        <v>http://www.mercedsunstar.com/news/local/crime/article11963273.html</v>
      </c>
      <c r="L1137" s="5">
        <f ca="1">IFERROR(__xludf.DUMMYFUNCTION("""COMPUTED_VALUE"""),1)</f>
        <v>1</v>
      </c>
      <c r="M1137" s="5" t="str">
        <f ca="1">IFERROR(__xludf.DUMMYFUNCTION("""COMPUTED_VALUE"""),"Local")</f>
        <v>Local</v>
      </c>
      <c r="N1137" s="5">
        <f ca="1">IFERROR(__xludf.DUMMYFUNCTION("""COMPUTED_VALUE"""),2)</f>
        <v>2</v>
      </c>
      <c r="O1137" s="5" t="str">
        <f ca="1">IFERROR(__xludf.DUMMYFUNCTION("""COMPUTED_VALUE"""),"Winter")</f>
        <v>Winter</v>
      </c>
      <c r="P1137" s="5" t="str">
        <f ca="1">IFERROR(__xludf.DUMMYFUNCTION("""COMPUTED_VALUE"""),"Merced")</f>
        <v>Merced</v>
      </c>
      <c r="Q1137" s="5" t="str">
        <f ca="1">IFERROR(__xludf.DUMMYFUNCTION("""COMPUTED_VALUE"""),"CA")</f>
        <v>CA</v>
      </c>
      <c r="R1137" s="5" t="str">
        <f ca="1">IFERROR(__xludf.DUMMYFUNCTION("""COMPUTED_VALUE"""),"Middle")</f>
        <v>Middle</v>
      </c>
      <c r="S1137" s="5" t="str">
        <f ca="1">IFERROR(__xludf.DUMMYFUNCTION("""COMPUTED_VALUE"""),"Parking Lot")</f>
        <v>Parking Lot</v>
      </c>
      <c r="T1137" s="5" t="str">
        <f ca="1">IFERROR(__xludf.DUMMYFUNCTION("""COMPUTED_VALUE"""),"Outside on School Property")</f>
        <v>Outside on School Property</v>
      </c>
      <c r="U1137" s="5" t="str">
        <f ca="1">IFERROR(__xludf.DUMMYFUNCTION("""COMPUTED_VALUE"""),"No")</f>
        <v>No</v>
      </c>
      <c r="V1137" s="5" t="str">
        <f ca="1">IFERROR(__xludf.DUMMYFUNCTION("""COMPUTED_VALUE"""),"Not a School Day")</f>
        <v>Not a School Day</v>
      </c>
      <c r="W1137" s="10">
        <f ca="1">IFERROR(__xludf.DUMMYFUNCTION("""COMPUTED_VALUE"""),0.829861111111111)</f>
        <v>0.82986111111111105</v>
      </c>
      <c r="X1137" s="5">
        <f ca="1">IFERROR(__xludf.DUMMYFUNCTION("""COMPUTED_VALUE"""),1)</f>
        <v>1</v>
      </c>
      <c r="Y1137" s="5" t="str">
        <f ca="1">IFERROR(__xludf.DUMMYFUNCTION("""COMPUTED_VALUE"""),"Jealousy -victim dating ex girlfriend")</f>
        <v>Jealousy -victim dating ex girlfriend</v>
      </c>
      <c r="Z1137" s="5" t="str">
        <f ca="1">IFERROR(__xludf.DUMMYFUNCTION("""COMPUTED_VALUE"""),"Shooting occurred at 7pm in the parking lot. Unknown if victim was student at school.")</f>
        <v>Shooting occurred at 7pm in the parking lot. Unknown if victim was student at school.</v>
      </c>
      <c r="AA1137" s="5" t="str">
        <f ca="1">IFERROR(__xludf.DUMMYFUNCTION("""COMPUTED_VALUE"""),"Domestic w/ Targeted Victim")</f>
        <v>Domestic w/ Targeted Victim</v>
      </c>
      <c r="AB1137" s="5" t="str">
        <f ca="1">IFERROR(__xludf.DUMMYFUNCTION("""COMPUTED_VALUE"""),"Victims Targeted")</f>
        <v>Victims Targeted</v>
      </c>
      <c r="AC1137" s="5" t="str">
        <f ca="1">IFERROR(__xludf.DUMMYFUNCTION("""COMPUTED_VALUE"""),"Yes")</f>
        <v>Yes</v>
      </c>
      <c r="AD1137" s="5" t="str">
        <f ca="1">IFERROR(__xludf.DUMMYFUNCTION("""COMPUTED_VALUE"""),"No")</f>
        <v>No</v>
      </c>
      <c r="AE1137" s="5" t="str">
        <f ca="1">IFERROR(__xludf.DUMMYFUNCTION("""COMPUTED_VALUE"""),"No")</f>
        <v>No</v>
      </c>
      <c r="AF1137" s="5" t="str">
        <f ca="1">IFERROR(__xludf.DUMMYFUNCTION("""COMPUTED_VALUE"""),"No")</f>
        <v>No</v>
      </c>
      <c r="AG1137" s="5" t="str">
        <f ca="1">IFERROR(__xludf.DUMMYFUNCTION("""COMPUTED_VALUE"""),"No")</f>
        <v>No</v>
      </c>
      <c r="AH1137" s="5" t="str">
        <f ca="1">IFERROR(__xludf.DUMMYFUNCTION("""COMPUTED_VALUE"""),"No")</f>
        <v>No</v>
      </c>
      <c r="AI1137" s="5" t="str">
        <f ca="1">IFERROR(__xludf.DUMMYFUNCTION("""COMPUTED_VALUE"""),"No")</f>
        <v>No</v>
      </c>
      <c r="AJ1137" s="5" t="str">
        <f ca="1">IFERROR(__xludf.DUMMYFUNCTION("""COMPUTED_VALUE"""),"No")</f>
        <v>No</v>
      </c>
    </row>
    <row r="1138" spans="1:36" ht="13">
      <c r="A1138" s="5" t="str">
        <f ca="1">IFERROR(__xludf.DUMMYFUNCTION("""COMPUTED_VALUE"""),"20150215ARLAL")</f>
        <v>20150215ARLAL</v>
      </c>
      <c r="B1138" s="5">
        <f ca="1">IFERROR(__xludf.DUMMYFUNCTION("""COMPUTED_VALUE"""),2)</f>
        <v>2</v>
      </c>
      <c r="C1138" s="5">
        <f ca="1">IFERROR(__xludf.DUMMYFUNCTION("""COMPUTED_VALUE"""),15)</f>
        <v>15</v>
      </c>
      <c r="D1138" s="5">
        <f ca="1">IFERROR(__xludf.DUMMYFUNCTION("""COMPUTED_VALUE"""),2015)</f>
        <v>2015</v>
      </c>
      <c r="E1138" s="8">
        <f ca="1">IFERROR(__xludf.DUMMYFUNCTION("""COMPUTED_VALUE"""),42050)</f>
        <v>42050</v>
      </c>
      <c r="F1138" s="5" t="str">
        <f ca="1">IFERROR(__xludf.DUMMYFUNCTION("""COMPUTED_VALUE"""),"Lawson Elementary School")</f>
        <v>Lawson Elementary School</v>
      </c>
      <c r="G1138" s="5">
        <f ca="1">IFERROR(__xludf.DUMMYFUNCTION("""COMPUTED_VALUE"""),0)</f>
        <v>0</v>
      </c>
      <c r="H1138" s="5">
        <f ca="1">IFERROR(__xludf.DUMMYFUNCTION("""COMPUTED_VALUE"""),2)</f>
        <v>2</v>
      </c>
      <c r="I1138" s="5">
        <f ca="1">IFERROR(__xludf.DUMMYFUNCTION("""COMPUTED_VALUE"""),2)</f>
        <v>2</v>
      </c>
      <c r="J1138" s="5">
        <f ca="1">IFERROR(__xludf.DUMMYFUNCTION("""COMPUTED_VALUE"""),0)</f>
        <v>0</v>
      </c>
      <c r="K1138" s="5" t="str">
        <f ca="1">IFERROR(__xludf.DUMMYFUNCTION("""COMPUTED_VALUE"""),"https://www.kark.com/news/shooting-on-elementary-school-parking-lot-leaves-2-in-serious-condition/205094549  http://www.pressreader.com/usa/arkansas-democrat-gazette/20150216/281981786024357")</f>
        <v>https://www.kark.com/news/shooting-on-elementary-school-parking-lot-leaves-2-in-serious-condition/205094549  http://www.pressreader.com/usa/arkansas-democrat-gazette/20150216/281981786024357</v>
      </c>
      <c r="L1138" s="5"/>
      <c r="M1138" s="5"/>
      <c r="N1138" s="5">
        <f ca="1">IFERROR(__xludf.DUMMYFUNCTION("""COMPUTED_VALUE"""),3)</f>
        <v>3</v>
      </c>
      <c r="O1138" s="5" t="str">
        <f ca="1">IFERROR(__xludf.DUMMYFUNCTION("""COMPUTED_VALUE"""),"Winter")</f>
        <v>Winter</v>
      </c>
      <c r="P1138" s="5" t="str">
        <f ca="1">IFERROR(__xludf.DUMMYFUNCTION("""COMPUTED_VALUE"""),"Little Rock")</f>
        <v>Little Rock</v>
      </c>
      <c r="Q1138" s="5" t="str">
        <f ca="1">IFERROR(__xludf.DUMMYFUNCTION("""COMPUTED_VALUE"""),"AR")</f>
        <v>AR</v>
      </c>
      <c r="R1138" s="5" t="str">
        <f ca="1">IFERROR(__xludf.DUMMYFUNCTION("""COMPUTED_VALUE"""),"Elementary")</f>
        <v>Elementary</v>
      </c>
      <c r="S1138" s="5" t="str">
        <f ca="1">IFERROR(__xludf.DUMMYFUNCTION("""COMPUTED_VALUE"""),"Parking Lot")</f>
        <v>Parking Lot</v>
      </c>
      <c r="T1138" s="5" t="str">
        <f ca="1">IFERROR(__xludf.DUMMYFUNCTION("""COMPUTED_VALUE"""),"Outside on School Property")</f>
        <v>Outside on School Property</v>
      </c>
      <c r="U1138" s="5" t="str">
        <f ca="1">IFERROR(__xludf.DUMMYFUNCTION("""COMPUTED_VALUE"""),"No")</f>
        <v>No</v>
      </c>
      <c r="V1138" s="5" t="str">
        <f ca="1">IFERROR(__xludf.DUMMYFUNCTION("""COMPUTED_VALUE"""),"Not a School Day")</f>
        <v>Not a School Day</v>
      </c>
      <c r="W1138" s="10">
        <f ca="1">IFERROR(__xludf.DUMMYFUNCTION("""COMPUTED_VALUE"""),0.0833333333333333)</f>
        <v>8.3333333333333301E-2</v>
      </c>
      <c r="X1138" s="5">
        <f ca="1">IFERROR(__xludf.DUMMYFUNCTION("""COMPUTED_VALUE"""),1)</f>
        <v>1</v>
      </c>
      <c r="Y1138" s="5" t="str">
        <f ca="1">IFERROR(__xludf.DUMMYFUNCTION("""COMPUTED_VALUE"""),"Domestic dispute at the school")</f>
        <v>Domestic dispute at the school</v>
      </c>
      <c r="Z1138" s="5" t="str">
        <f ca="1">IFERROR(__xludf.DUMMYFUNCTION("""COMPUTED_VALUE"""),"Shooter was called to the school by his wife who said she was fighting with another person in the school parking lot. Shooter responded and shot both victims (relation to both victims). Shooter then left scene and was later arrested by police.")</f>
        <v>Shooter was called to the school by his wife who said she was fighting with another person in the school parking lot. Shooter responded and shot both victims (relation to both victims). Shooter then left scene and was later arrested by police.</v>
      </c>
      <c r="AA1138" s="5" t="str">
        <f ca="1">IFERROR(__xludf.DUMMYFUNCTION("""COMPUTED_VALUE"""),"Domestic w/ Targeted Victim")</f>
        <v>Domestic w/ Targeted Victim</v>
      </c>
      <c r="AB1138" s="5" t="str">
        <f ca="1">IFERROR(__xludf.DUMMYFUNCTION("""COMPUTED_VALUE"""),"Victims Targeted")</f>
        <v>Victims Targeted</v>
      </c>
      <c r="AC1138" s="5"/>
      <c r="AD1138" s="5" t="str">
        <f ca="1">IFERROR(__xludf.DUMMYFUNCTION("""COMPUTED_VALUE"""),"No")</f>
        <v>No</v>
      </c>
      <c r="AE1138" s="5" t="str">
        <f ca="1">IFERROR(__xludf.DUMMYFUNCTION("""COMPUTED_VALUE"""),"No")</f>
        <v>No</v>
      </c>
      <c r="AF1138" s="5" t="str">
        <f ca="1">IFERROR(__xludf.DUMMYFUNCTION("""COMPUTED_VALUE"""),"No")</f>
        <v>No</v>
      </c>
      <c r="AG1138" s="5" t="str">
        <f ca="1">IFERROR(__xludf.DUMMYFUNCTION("""COMPUTED_VALUE"""),"No")</f>
        <v>No</v>
      </c>
      <c r="AH1138" s="5" t="str">
        <f ca="1">IFERROR(__xludf.DUMMYFUNCTION("""COMPUTED_VALUE"""),"Yes")</f>
        <v>Yes</v>
      </c>
      <c r="AI1138" s="5" t="str">
        <f ca="1">IFERROR(__xludf.DUMMYFUNCTION("""COMPUTED_VALUE"""),"No")</f>
        <v>No</v>
      </c>
      <c r="AJ1138" s="5" t="str">
        <f ca="1">IFERROR(__xludf.DUMMYFUNCTION("""COMPUTED_VALUE"""),"No")</f>
        <v>No</v>
      </c>
    </row>
    <row r="1139" spans="1:36" ht="13">
      <c r="A1139" s="5" t="str">
        <f ca="1">IFERROR(__xludf.DUMMYFUNCTION("""COMPUTED_VALUE"""),"20150204MDFRF")</f>
        <v>20150204MDFRF</v>
      </c>
      <c r="B1139" s="5">
        <f ca="1">IFERROR(__xludf.DUMMYFUNCTION("""COMPUTED_VALUE"""),2)</f>
        <v>2</v>
      </c>
      <c r="C1139" s="5">
        <f ca="1">IFERROR(__xludf.DUMMYFUNCTION("""COMPUTED_VALUE"""),4)</f>
        <v>4</v>
      </c>
      <c r="D1139" s="5">
        <f ca="1">IFERROR(__xludf.DUMMYFUNCTION("""COMPUTED_VALUE"""),2015)</f>
        <v>2015</v>
      </c>
      <c r="E1139" s="8">
        <f ca="1">IFERROR(__xludf.DUMMYFUNCTION("""COMPUTED_VALUE"""),42039)</f>
        <v>42039</v>
      </c>
      <c r="F1139" s="5" t="str">
        <f ca="1">IFERROR(__xludf.DUMMYFUNCTION("""COMPUTED_VALUE"""),"Frederick High School")</f>
        <v>Frederick High School</v>
      </c>
      <c r="G1139" s="5">
        <f ca="1">IFERROR(__xludf.DUMMYFUNCTION("""COMPUTED_VALUE"""),0)</f>
        <v>0</v>
      </c>
      <c r="H1139" s="5">
        <f ca="1">IFERROR(__xludf.DUMMYFUNCTION("""COMPUTED_VALUE"""),2)</f>
        <v>2</v>
      </c>
      <c r="I1139" s="5">
        <f ca="1">IFERROR(__xludf.DUMMYFUNCTION("""COMPUTED_VALUE"""),2)</f>
        <v>2</v>
      </c>
      <c r="J1139" s="5">
        <f ca="1">IFERROR(__xludf.DUMMYFUNCTION("""COMPUTED_VALUE"""),0)</f>
        <v>0</v>
      </c>
      <c r="K1139" s="9" t="str">
        <f ca="1">IFERROR(__xludf.DUMMYFUNCTION("""COMPUTED_VALUE"""),"https://www.fredericknewspost.com/subjects/crime_and_justice/updated-two-students-wounded-in-frederick-high-school-shooting/article_153b667f-90c2-5c8c-b4ed-9c4ba869e442.html")</f>
        <v>https://www.fredericknewspost.com/subjects/crime_and_justice/updated-two-students-wounded-in-frederick-high-school-shooting/article_153b667f-90c2-5c8c-b4ed-9c4ba869e442.html</v>
      </c>
      <c r="L1139" s="5">
        <f ca="1">IFERROR(__xludf.DUMMYFUNCTION("""COMPUTED_VALUE"""),1)</f>
        <v>1</v>
      </c>
      <c r="M1139" s="5" t="str">
        <f ca="1">IFERROR(__xludf.DUMMYFUNCTION("""COMPUTED_VALUE"""),"Local")</f>
        <v>Local</v>
      </c>
      <c r="N1139" s="5">
        <f ca="1">IFERROR(__xludf.DUMMYFUNCTION("""COMPUTED_VALUE"""),2)</f>
        <v>2</v>
      </c>
      <c r="O1139" s="5" t="str">
        <f ca="1">IFERROR(__xludf.DUMMYFUNCTION("""COMPUTED_VALUE"""),"Winter")</f>
        <v>Winter</v>
      </c>
      <c r="P1139" s="5" t="str">
        <f ca="1">IFERROR(__xludf.DUMMYFUNCTION("""COMPUTED_VALUE"""),"Frederick")</f>
        <v>Frederick</v>
      </c>
      <c r="Q1139" s="5" t="str">
        <f ca="1">IFERROR(__xludf.DUMMYFUNCTION("""COMPUTED_VALUE"""),"MD")</f>
        <v>MD</v>
      </c>
      <c r="R1139" s="5" t="str">
        <f ca="1">IFERROR(__xludf.DUMMYFUNCTION("""COMPUTED_VALUE"""),"High")</f>
        <v>High</v>
      </c>
      <c r="S1139" s="5" t="str">
        <f ca="1">IFERROR(__xludf.DUMMYFUNCTION("""COMPUTED_VALUE"""),"Parking Lot")</f>
        <v>Parking Lot</v>
      </c>
      <c r="T1139" s="5" t="str">
        <f ca="1">IFERROR(__xludf.DUMMYFUNCTION("""COMPUTED_VALUE"""),"Outside on School Property")</f>
        <v>Outside on School Property</v>
      </c>
      <c r="U1139" s="5" t="str">
        <f ca="1">IFERROR(__xludf.DUMMYFUNCTION("""COMPUTED_VALUE"""),"No")</f>
        <v>No</v>
      </c>
      <c r="V1139" s="5" t="str">
        <f ca="1">IFERROR(__xludf.DUMMYFUNCTION("""COMPUTED_VALUE"""),"Sport Event")</f>
        <v>Sport Event</v>
      </c>
      <c r="W1139" s="10">
        <f ca="1">IFERROR(__xludf.DUMMYFUNCTION("""COMPUTED_VALUE"""),0.833333333333333)</f>
        <v>0.83333333333333304</v>
      </c>
      <c r="X1139" s="5">
        <f ca="1">IFERROR(__xludf.DUMMYFUNCTION("""COMPUTED_VALUE"""),1)</f>
        <v>1</v>
      </c>
      <c r="Y1139" s="5" t="str">
        <f ca="1">IFERROR(__xludf.DUMMYFUNCTION("""COMPUTED_VALUE"""),"Gang related shooting in front of school")</f>
        <v>Gang related shooting in front of school</v>
      </c>
      <c r="Z1139" s="5" t="str">
        <f ca="1">IFERROR(__xludf.DUMMYFUNCTION("""COMPUTED_VALUE"""),"Two teens (14 and 15) were shot in front of the school, one in the chest and one in the leg during a cross town rival basketball game in the gym. The 2 shooters fled; most likely gang-related.")</f>
        <v>Two teens (14 and 15) were shot in front of the school, one in the chest and one in the leg during a cross town rival basketball game in the gym. The 2 shooters fled; most likely gang-related.</v>
      </c>
      <c r="AA1139" s="5" t="str">
        <f ca="1">IFERROR(__xludf.DUMMYFUNCTION("""COMPUTED_VALUE"""),"Escalation of Dispute")</f>
        <v>Escalation of Dispute</v>
      </c>
      <c r="AB1139" s="5" t="str">
        <f ca="1">IFERROR(__xludf.DUMMYFUNCTION("""COMPUTED_VALUE"""),"Victims Targeted")</f>
        <v>Victims Targeted</v>
      </c>
      <c r="AC1139" s="5" t="str">
        <f ca="1">IFERROR(__xludf.DUMMYFUNCTION("""COMPUTED_VALUE"""),"Yes")</f>
        <v>Yes</v>
      </c>
      <c r="AD1139" s="5" t="str">
        <f ca="1">IFERROR(__xludf.DUMMYFUNCTION("""COMPUTED_VALUE"""),"No")</f>
        <v>No</v>
      </c>
      <c r="AE1139" s="5" t="str">
        <f ca="1">IFERROR(__xludf.DUMMYFUNCTION("""COMPUTED_VALUE"""),"No")</f>
        <v>No</v>
      </c>
      <c r="AF1139" s="5" t="str">
        <f ca="1">IFERROR(__xludf.DUMMYFUNCTION("""COMPUTED_VALUE"""),"No")</f>
        <v>No</v>
      </c>
      <c r="AG1139" s="5" t="str">
        <f ca="1">IFERROR(__xludf.DUMMYFUNCTION("""COMPUTED_VALUE"""),"No")</f>
        <v>No</v>
      </c>
      <c r="AH1139" s="5" t="str">
        <f ca="1">IFERROR(__xludf.DUMMYFUNCTION("""COMPUTED_VALUE"""),"No")</f>
        <v>No</v>
      </c>
      <c r="AI1139" s="5" t="str">
        <f ca="1">IFERROR(__xludf.DUMMYFUNCTION("""COMPUTED_VALUE"""),"Yes")</f>
        <v>Yes</v>
      </c>
      <c r="AJ1139" s="5" t="str">
        <f ca="1">IFERROR(__xludf.DUMMYFUNCTION("""COMPUTED_VALUE"""),"No")</f>
        <v>No</v>
      </c>
    </row>
    <row r="1140" spans="1:36" ht="13">
      <c r="A1140" s="5" t="str">
        <f ca="1">IFERROR(__xludf.DUMMYFUNCTION("""COMPUTED_VALUE"""),"20150126MNHAR")</f>
        <v>20150126MNHAR</v>
      </c>
      <c r="B1140" s="5">
        <f ca="1">IFERROR(__xludf.DUMMYFUNCTION("""COMPUTED_VALUE"""),1)</f>
        <v>1</v>
      </c>
      <c r="C1140" s="5">
        <f ca="1">IFERROR(__xludf.DUMMYFUNCTION("""COMPUTED_VALUE"""),26)</f>
        <v>26</v>
      </c>
      <c r="D1140" s="5">
        <f ca="1">IFERROR(__xludf.DUMMYFUNCTION("""COMPUTED_VALUE"""),2015)</f>
        <v>2015</v>
      </c>
      <c r="E1140" s="8">
        <f ca="1">IFERROR(__xludf.DUMMYFUNCTION("""COMPUTED_VALUE"""),42030)</f>
        <v>42030</v>
      </c>
      <c r="F1140" s="5" t="str">
        <f ca="1">IFERROR(__xludf.DUMMYFUNCTION("""COMPUTED_VALUE"""),"Hand in Hand Montessori")</f>
        <v>Hand in Hand Montessori</v>
      </c>
      <c r="G1140" s="5">
        <f ca="1">IFERROR(__xludf.DUMMYFUNCTION("""COMPUTED_VALUE"""),0)</f>
        <v>0</v>
      </c>
      <c r="H1140" s="5">
        <f ca="1">IFERROR(__xludf.DUMMYFUNCTION("""COMPUTED_VALUE"""),0)</f>
        <v>0</v>
      </c>
      <c r="I1140" s="5">
        <f ca="1">IFERROR(__xludf.DUMMYFUNCTION("""COMPUTED_VALUE"""),0)</f>
        <v>0</v>
      </c>
      <c r="J1140" s="5">
        <f ca="1">IFERROR(__xludf.DUMMYFUNCTION("""COMPUTED_VALUE"""),1)</f>
        <v>1</v>
      </c>
      <c r="K1140" s="9" t="str">
        <f ca="1">IFERROR(__xludf.DUMMYFUNCTION("""COMPUTED_VALUE"""),"https://minnesota.cbslocal.com/2015/01/26/police-man-fires-shot-at-school-before-shooting-himself/")</f>
        <v>https://minnesota.cbslocal.com/2015/01/26/police-man-fires-shot-at-school-before-shooting-himself/</v>
      </c>
      <c r="L1140" s="5">
        <f ca="1">IFERROR(__xludf.DUMMYFUNCTION("""COMPUTED_VALUE"""),1)</f>
        <v>1</v>
      </c>
      <c r="M1140" s="5" t="str">
        <f ca="1">IFERROR(__xludf.DUMMYFUNCTION("""COMPUTED_VALUE"""),"Local")</f>
        <v>Local</v>
      </c>
      <c r="N1140" s="5">
        <f ca="1">IFERROR(__xludf.DUMMYFUNCTION("""COMPUTED_VALUE"""),2)</f>
        <v>2</v>
      </c>
      <c r="O1140" s="5" t="str">
        <f ca="1">IFERROR(__xludf.DUMMYFUNCTION("""COMPUTED_VALUE"""),"Winter")</f>
        <v>Winter</v>
      </c>
      <c r="P1140" s="5" t="str">
        <f ca="1">IFERROR(__xludf.DUMMYFUNCTION("""COMPUTED_VALUE"""),"Roseville")</f>
        <v>Roseville</v>
      </c>
      <c r="Q1140" s="5" t="str">
        <f ca="1">IFERROR(__xludf.DUMMYFUNCTION("""COMPUTED_VALUE"""),"MN")</f>
        <v>MN</v>
      </c>
      <c r="R1140" s="5" t="str">
        <f ca="1">IFERROR(__xludf.DUMMYFUNCTION("""COMPUTED_VALUE"""),"Other")</f>
        <v>Other</v>
      </c>
      <c r="S1140" s="5" t="str">
        <f ca="1">IFERROR(__xludf.DUMMYFUNCTION("""COMPUTED_VALUE"""),"Cafeteria; Parking Lot")</f>
        <v>Cafeteria; Parking Lot</v>
      </c>
      <c r="T1140" s="5" t="str">
        <f ca="1">IFERROR(__xludf.DUMMYFUNCTION("""COMPUTED_VALUE"""),"Both Inside/Outside")</f>
        <v>Both Inside/Outside</v>
      </c>
      <c r="U1140" s="5" t="str">
        <f ca="1">IFERROR(__xludf.DUMMYFUNCTION("""COMPUTED_VALUE"""),"Yes")</f>
        <v>Yes</v>
      </c>
      <c r="V1140" s="5" t="str">
        <f ca="1">IFERROR(__xludf.DUMMYFUNCTION("""COMPUTED_VALUE"""),"Dismissal")</f>
        <v>Dismissal</v>
      </c>
      <c r="W1140" s="10">
        <f ca="1">IFERROR(__xludf.DUMMYFUNCTION("""COMPUTED_VALUE"""),0.629861111111111)</f>
        <v>0.62986111111111098</v>
      </c>
      <c r="X1140" s="5">
        <f ca="1">IFERROR(__xludf.DUMMYFUNCTION("""COMPUTED_VALUE"""),1)</f>
        <v>1</v>
      </c>
      <c r="Y1140" s="5" t="str">
        <f ca="1">IFERROR(__xludf.DUMMYFUNCTION("""COMPUTED_VALUE"""),"Shot at school windows then shot self in car")</f>
        <v>Shot at school windows then shot self in car</v>
      </c>
      <c r="Z1140" s="5" t="str">
        <f ca="1">IFERROR(__xludf.DUMMYFUNCTION("""COMPUTED_VALUE"""),"Shooter shot through the school cafeteria window and then shot himself in the car. Earlier the day shooter had shared suicidal thoughts with a friend who reported it. Police tried to check on welfare but found shooter in his car in front of the school. Mo"&amp;"tive and relation with school are unknown. Two school employees were in the kitchen when the bullet came through the window; neither was injured. No students were in the cafeteria at the time.")</f>
        <v>Shooter shot through the school cafeteria window and then shot himself in the car. Earlier the day shooter had shared suicidal thoughts with a friend who reported it. Police tried to check on welfare but found shooter in his car in front of the school. Motive and relation with school are unknown. Two school employees were in the kitchen when the bullet came through the window; neither was injured. No students were in the cafeteria at the time.</v>
      </c>
      <c r="AA1140" s="5" t="str">
        <f ca="1">IFERROR(__xludf.DUMMYFUNCTION("""COMPUTED_VALUE"""),"Suicide/Attempted")</f>
        <v>Suicide/Attempted</v>
      </c>
      <c r="AB1140" s="5" t="str">
        <f ca="1">IFERROR(__xludf.DUMMYFUNCTION("""COMPUTED_VALUE"""),"Neither")</f>
        <v>Neither</v>
      </c>
      <c r="AC1140" s="5" t="str">
        <f ca="1">IFERROR(__xludf.DUMMYFUNCTION("""COMPUTED_VALUE"""),"No")</f>
        <v>No</v>
      </c>
      <c r="AD1140" s="5" t="str">
        <f ca="1">IFERROR(__xludf.DUMMYFUNCTION("""COMPUTED_VALUE"""),"No")</f>
        <v>No</v>
      </c>
      <c r="AE1140" s="5" t="str">
        <f ca="1">IFERROR(__xludf.DUMMYFUNCTION("""COMPUTED_VALUE"""),"No")</f>
        <v>No</v>
      </c>
      <c r="AF1140" s="5" t="str">
        <f ca="1">IFERROR(__xludf.DUMMYFUNCTION("""COMPUTED_VALUE"""),"No")</f>
        <v>No</v>
      </c>
      <c r="AG1140" s="5" t="str">
        <f ca="1">IFERROR(__xludf.DUMMYFUNCTION("""COMPUTED_VALUE"""),"N/A")</f>
        <v>N/A</v>
      </c>
      <c r="AH1140" s="5"/>
      <c r="AI1140" s="5"/>
      <c r="AJ1140" s="5" t="str">
        <f ca="1">IFERROR(__xludf.DUMMYFUNCTION("""COMPUTED_VALUE"""),"No")</f>
        <v>No</v>
      </c>
    </row>
    <row r="1141" spans="1:36" ht="13">
      <c r="A1141" s="5" t="str">
        <f ca="1">IFERROR(__xludf.DUMMYFUNCTION("""COMPUTED_VALUE"""),"20150122SCROH")</f>
        <v>20150122SCROH</v>
      </c>
      <c r="B1141" s="5">
        <f ca="1">IFERROR(__xludf.DUMMYFUNCTION("""COMPUTED_VALUE"""),1)</f>
        <v>1</v>
      </c>
      <c r="C1141" s="5">
        <f ca="1">IFERROR(__xludf.DUMMYFUNCTION("""COMPUTED_VALUE"""),22)</f>
        <v>22</v>
      </c>
      <c r="D1141" s="5">
        <f ca="1">IFERROR(__xludf.DUMMYFUNCTION("""COMPUTED_VALUE"""),2015)</f>
        <v>2015</v>
      </c>
      <c r="E1141" s="8">
        <f ca="1">IFERROR(__xludf.DUMMYFUNCTION("""COMPUTED_VALUE"""),42026)</f>
        <v>42026</v>
      </c>
      <c r="F1141" s="5" t="str">
        <f ca="1">IFERROR(__xludf.DUMMYFUNCTION("""COMPUTED_VALUE"""),"Royal Live Oaks Academy")</f>
        <v>Royal Live Oaks Academy</v>
      </c>
      <c r="G1141" s="5">
        <f ca="1">IFERROR(__xludf.DUMMYFUNCTION("""COMPUTED_VALUE"""),0)</f>
        <v>0</v>
      </c>
      <c r="H1141" s="5">
        <f ca="1">IFERROR(__xludf.DUMMYFUNCTION("""COMPUTED_VALUE"""),0)</f>
        <v>0</v>
      </c>
      <c r="I1141" s="5">
        <f ca="1">IFERROR(__xludf.DUMMYFUNCTION("""COMPUTED_VALUE"""),0)</f>
        <v>0</v>
      </c>
      <c r="J1141" s="5">
        <f ca="1">IFERROR(__xludf.DUMMYFUNCTION("""COMPUTED_VALUE"""),0)</f>
        <v>0</v>
      </c>
      <c r="K1141" s="5" t="str">
        <f ca="1">IFERROR(__xludf.DUMMYFUNCTION("""COMPUTED_VALUE"""),"http://www.wsmv.com/story/27926526/2-men-student-arrested-after-shots-fired-reported-near-hardeeville-school  http://www.savannahnow.com/article/20150123/NEWS/301239822")</f>
        <v>http://www.wsmv.com/story/27926526/2-men-student-arrested-after-shots-fired-reported-near-hardeeville-school  http://www.savannahnow.com/article/20150123/NEWS/301239822</v>
      </c>
      <c r="L1141" s="5"/>
      <c r="M1141" s="5"/>
      <c r="N1141" s="5">
        <f ca="1">IFERROR(__xludf.DUMMYFUNCTION("""COMPUTED_VALUE"""),3)</f>
        <v>3</v>
      </c>
      <c r="O1141" s="5" t="str">
        <f ca="1">IFERROR(__xludf.DUMMYFUNCTION("""COMPUTED_VALUE"""),"Winter")</f>
        <v>Winter</v>
      </c>
      <c r="P1141" s="5" t="str">
        <f ca="1">IFERROR(__xludf.DUMMYFUNCTION("""COMPUTED_VALUE"""),"Hardeeville")</f>
        <v>Hardeeville</v>
      </c>
      <c r="Q1141" s="5" t="str">
        <f ca="1">IFERROR(__xludf.DUMMYFUNCTION("""COMPUTED_VALUE"""),"SC")</f>
        <v>SC</v>
      </c>
      <c r="R1141" s="5" t="str">
        <f ca="1">IFERROR(__xludf.DUMMYFUNCTION("""COMPUTED_VALUE"""),"K-12")</f>
        <v>K-12</v>
      </c>
      <c r="S1141" s="5" t="str">
        <f ca="1">IFERROR(__xludf.DUMMYFUNCTION("""COMPUTED_VALUE"""),"Field (General)")</f>
        <v>Field (General)</v>
      </c>
      <c r="T1141" s="5" t="str">
        <f ca="1">IFERROR(__xludf.DUMMYFUNCTION("""COMPUTED_VALUE"""),"Outside on School Property")</f>
        <v>Outside on School Property</v>
      </c>
      <c r="U1141" s="5" t="str">
        <f ca="1">IFERROR(__xludf.DUMMYFUNCTION("""COMPUTED_VALUE"""),"Yes")</f>
        <v>Yes</v>
      </c>
      <c r="V1141" s="5" t="str">
        <f ca="1">IFERROR(__xludf.DUMMYFUNCTION("""COMPUTED_VALUE"""),"School Event")</f>
        <v>School Event</v>
      </c>
      <c r="W1141" s="10">
        <f ca="1">IFERROR(__xludf.DUMMYFUNCTION("""COMPUTED_VALUE"""),0.708333333333333)</f>
        <v>0.70833333333333304</v>
      </c>
      <c r="X1141" s="5">
        <f ca="1">IFERROR(__xludf.DUMMYFUNCTION("""COMPUTED_VALUE"""),2)</f>
        <v>2</v>
      </c>
      <c r="Y1141" s="5" t="str">
        <f ca="1">IFERROR(__xludf.DUMMYFUNCTION("""COMPUTED_VALUE"""),"Possible escalation from fight the day prior")</f>
        <v>Possible escalation from fight the day prior</v>
      </c>
      <c r="Z1141" s="5" t="str">
        <f ca="1">IFERROR(__xludf.DUMMYFUNCTION("""COMPUTED_VALUE"""),"Fight occurred previous day. Next day a male who was associated with the fight brought friends to school with him for scare tactic. Shooter was a juvenile student at the school. Fired weapon into air while running into woods with two other males. All subj"&amp;"ects arrested. Shooting occurred during grand opening of new cafeteria.")</f>
        <v>Fight occurred previous day. Next day a male who was associated with the fight brought friends to school with him for scare tactic. Shooter was a juvenile student at the school. Fired weapon into air while running into woods with two other males. All subjects arrested. Shooting occurred during grand opening of new cafeteria.</v>
      </c>
      <c r="AA1141" s="5" t="str">
        <f ca="1">IFERROR(__xludf.DUMMYFUNCTION("""COMPUTED_VALUE"""),"Escalation of Dispute")</f>
        <v>Escalation of Dispute</v>
      </c>
      <c r="AB1141" s="5"/>
      <c r="AC1141" s="5" t="str">
        <f ca="1">IFERROR(__xludf.DUMMYFUNCTION("""COMPUTED_VALUE"""),"Yes")</f>
        <v>Yes</v>
      </c>
      <c r="AD1141" s="5" t="str">
        <f ca="1">IFERROR(__xludf.DUMMYFUNCTION("""COMPUTED_VALUE"""),"No")</f>
        <v>No</v>
      </c>
      <c r="AE1141" s="5" t="str">
        <f ca="1">IFERROR(__xludf.DUMMYFUNCTION("""COMPUTED_VALUE"""),"No")</f>
        <v>No</v>
      </c>
      <c r="AF1141" s="5" t="str">
        <f ca="1">IFERROR(__xludf.DUMMYFUNCTION("""COMPUTED_VALUE"""),"No")</f>
        <v>No</v>
      </c>
      <c r="AG1141" s="5" t="str">
        <f ca="1">IFERROR(__xludf.DUMMYFUNCTION("""COMPUTED_VALUE"""),"No")</f>
        <v>No</v>
      </c>
      <c r="AH1141" s="5" t="str">
        <f ca="1">IFERROR(__xludf.DUMMYFUNCTION("""COMPUTED_VALUE"""),"No")</f>
        <v>No</v>
      </c>
      <c r="AI1141" s="5" t="str">
        <f ca="1">IFERROR(__xludf.DUMMYFUNCTION("""COMPUTED_VALUE"""),"No")</f>
        <v>No</v>
      </c>
      <c r="AJ1141" s="5" t="str">
        <f ca="1">IFERROR(__xludf.DUMMYFUNCTION("""COMPUTED_VALUE"""),"No")</f>
        <v>No</v>
      </c>
    </row>
    <row r="1142" spans="1:36" ht="13">
      <c r="A1142" s="5" t="str">
        <f ca="1">IFERROR(__xludf.DUMMYFUNCTION("""COMPUTED_VALUE"""),"20150120ALWIM")</f>
        <v>20150120ALWIM</v>
      </c>
      <c r="B1142" s="5">
        <f ca="1">IFERROR(__xludf.DUMMYFUNCTION("""COMPUTED_VALUE"""),1)</f>
        <v>1</v>
      </c>
      <c r="C1142" s="5">
        <f ca="1">IFERROR(__xludf.DUMMYFUNCTION("""COMPUTED_VALUE"""),20)</f>
        <v>20</v>
      </c>
      <c r="D1142" s="5">
        <f ca="1">IFERROR(__xludf.DUMMYFUNCTION("""COMPUTED_VALUE"""),2015)</f>
        <v>2015</v>
      </c>
      <c r="E1142" s="8">
        <f ca="1">IFERROR(__xludf.DUMMYFUNCTION("""COMPUTED_VALUE"""),42024)</f>
        <v>42024</v>
      </c>
      <c r="F1142" s="5" t="str">
        <f ca="1">IFERROR(__xludf.DUMMYFUNCTION("""COMPUTED_VALUE"""),"Williamson High School")</f>
        <v>Williamson High School</v>
      </c>
      <c r="G1142" s="5">
        <f ca="1">IFERROR(__xludf.DUMMYFUNCTION("""COMPUTED_VALUE"""),0)</f>
        <v>0</v>
      </c>
      <c r="H1142" s="5">
        <f ca="1">IFERROR(__xludf.DUMMYFUNCTION("""COMPUTED_VALUE"""),1)</f>
        <v>1</v>
      </c>
      <c r="I1142" s="5">
        <f ca="1">IFERROR(__xludf.DUMMYFUNCTION("""COMPUTED_VALUE"""),1)</f>
        <v>1</v>
      </c>
      <c r="J1142" s="5">
        <f ca="1">IFERROR(__xludf.DUMMYFUNCTION("""COMPUTED_VALUE"""),0)</f>
        <v>0</v>
      </c>
      <c r="K1142" s="9" t="str">
        <f ca="1">IFERROR(__xludf.DUMMYFUNCTION("""COMPUTED_VALUE"""),"https://www.al.com/news/mobile/index.ssf/2015/01/one_shot_in_the_buttock_after.html")</f>
        <v>https://www.al.com/news/mobile/index.ssf/2015/01/one_shot_in_the_buttock_after.html</v>
      </c>
      <c r="L1142" s="5"/>
      <c r="M1142" s="5"/>
      <c r="N1142" s="5">
        <f ca="1">IFERROR(__xludf.DUMMYFUNCTION("""COMPUTED_VALUE"""),2)</f>
        <v>2</v>
      </c>
      <c r="O1142" s="5" t="str">
        <f ca="1">IFERROR(__xludf.DUMMYFUNCTION("""COMPUTED_VALUE"""),"Winter")</f>
        <v>Winter</v>
      </c>
      <c r="P1142" s="5" t="str">
        <f ca="1">IFERROR(__xludf.DUMMYFUNCTION("""COMPUTED_VALUE"""),"Mobile")</f>
        <v>Mobile</v>
      </c>
      <c r="Q1142" s="5" t="str">
        <f ca="1">IFERROR(__xludf.DUMMYFUNCTION("""COMPUTED_VALUE"""),"AL")</f>
        <v>AL</v>
      </c>
      <c r="R1142" s="5" t="str">
        <f ca="1">IFERROR(__xludf.DUMMYFUNCTION("""COMPUTED_VALUE"""),"High")</f>
        <v>High</v>
      </c>
      <c r="S1142" s="5" t="str">
        <f ca="1">IFERROR(__xludf.DUMMYFUNCTION("""COMPUTED_VALUE"""),"Beside Building")</f>
        <v>Beside Building</v>
      </c>
      <c r="T1142" s="5" t="str">
        <f ca="1">IFERROR(__xludf.DUMMYFUNCTION("""COMPUTED_VALUE"""),"Outside on School Property")</f>
        <v>Outside on School Property</v>
      </c>
      <c r="U1142" s="5" t="str">
        <f ca="1">IFERROR(__xludf.DUMMYFUNCTION("""COMPUTED_VALUE"""),"No")</f>
        <v>No</v>
      </c>
      <c r="V1142" s="5" t="str">
        <f ca="1">IFERROR(__xludf.DUMMYFUNCTION("""COMPUTED_VALUE"""),"Evening")</f>
        <v>Evening</v>
      </c>
      <c r="W1142" s="5"/>
      <c r="X1142" s="5">
        <f ca="1">IFERROR(__xludf.DUMMYFUNCTION("""COMPUTED_VALUE"""),1)</f>
        <v>1</v>
      </c>
      <c r="Y1142" s="5" t="str">
        <f ca="1">IFERROR(__xludf.DUMMYFUNCTION("""COMPUTED_VALUE"""),"Shooting outside school after basketball game, bystander hit")</f>
        <v>Shooting outside school after basketball game, bystander hit</v>
      </c>
      <c r="Z1142" s="5" t="str">
        <f ca="1">IFERROR(__xludf.DUMMYFUNCTION("""COMPUTED_VALUE"""),"Middle age man walking past school was struck by a shot. A group of teens were fighting when an unknown shooter fired. No suspect.")</f>
        <v>Middle age man walking past school was struck by a shot. A group of teens were fighting when an unknown shooter fired. No suspect.</v>
      </c>
      <c r="AA1142" s="5" t="str">
        <f ca="1">IFERROR(__xludf.DUMMYFUNCTION("""COMPUTED_VALUE"""),"Escalation of Dispute")</f>
        <v>Escalation of Dispute</v>
      </c>
      <c r="AB1142" s="5" t="str">
        <f ca="1">IFERROR(__xludf.DUMMYFUNCTION("""COMPUTED_VALUE"""),"Random Shooting")</f>
        <v>Random Shooting</v>
      </c>
      <c r="AC1142" s="5" t="str">
        <f ca="1">IFERROR(__xludf.DUMMYFUNCTION("""COMPUTED_VALUE"""),"Yes")</f>
        <v>Yes</v>
      </c>
      <c r="AD1142" s="5" t="str">
        <f ca="1">IFERROR(__xludf.DUMMYFUNCTION("""COMPUTED_VALUE"""),"No")</f>
        <v>No</v>
      </c>
      <c r="AE1142" s="5" t="str">
        <f ca="1">IFERROR(__xludf.DUMMYFUNCTION("""COMPUTED_VALUE"""),"No")</f>
        <v>No</v>
      </c>
      <c r="AF1142" s="5" t="str">
        <f ca="1">IFERROR(__xludf.DUMMYFUNCTION("""COMPUTED_VALUE"""),"No")</f>
        <v>No</v>
      </c>
      <c r="AG1142" s="5" t="str">
        <f ca="1">IFERROR(__xludf.DUMMYFUNCTION("""COMPUTED_VALUE"""),"No")</f>
        <v>No</v>
      </c>
      <c r="AH1142" s="5" t="str">
        <f ca="1">IFERROR(__xludf.DUMMYFUNCTION("""COMPUTED_VALUE"""),"No")</f>
        <v>No</v>
      </c>
      <c r="AI1142" s="5" t="str">
        <f ca="1">IFERROR(__xludf.DUMMYFUNCTION("""COMPUTED_VALUE"""),"No")</f>
        <v>No</v>
      </c>
      <c r="AJ1142" s="5" t="str">
        <f ca="1">IFERROR(__xludf.DUMMYFUNCTION("""COMPUTED_VALUE"""),"No")</f>
        <v>No</v>
      </c>
    </row>
    <row r="1143" spans="1:36" ht="13">
      <c r="A1143" s="5" t="str">
        <f ca="1">IFERROR(__xludf.DUMMYFUNCTION("""COMPUTED_VALUE"""),"20150116FLVAO")</f>
        <v>20150116FLVAO</v>
      </c>
      <c r="B1143" s="5">
        <f ca="1">IFERROR(__xludf.DUMMYFUNCTION("""COMPUTED_VALUE"""),1)</f>
        <v>1</v>
      </c>
      <c r="C1143" s="5">
        <f ca="1">IFERROR(__xludf.DUMMYFUNCTION("""COMPUTED_VALUE"""),16)</f>
        <v>16</v>
      </c>
      <c r="D1143" s="5">
        <f ca="1">IFERROR(__xludf.DUMMYFUNCTION("""COMPUTED_VALUE"""),2015)</f>
        <v>2015</v>
      </c>
      <c r="E1143" s="8">
        <f ca="1">IFERROR(__xludf.DUMMYFUNCTION("""COMPUTED_VALUE"""),42020)</f>
        <v>42020</v>
      </c>
      <c r="F1143" s="5" t="str">
        <f ca="1">IFERROR(__xludf.DUMMYFUNCTION("""COMPUTED_VALUE"""),"Vanguard High School")</f>
        <v>Vanguard High School</v>
      </c>
      <c r="G1143" s="5">
        <f ca="1">IFERROR(__xludf.DUMMYFUNCTION("""COMPUTED_VALUE"""),0)</f>
        <v>0</v>
      </c>
      <c r="H1143" s="5">
        <f ca="1">IFERROR(__xludf.DUMMYFUNCTION("""COMPUTED_VALUE"""),2)</f>
        <v>2</v>
      </c>
      <c r="I1143" s="5">
        <f ca="1">IFERROR(__xludf.DUMMYFUNCTION("""COMPUTED_VALUE"""),2)</f>
        <v>2</v>
      </c>
      <c r="J1143" s="5">
        <f ca="1">IFERROR(__xludf.DUMMYFUNCTION("""COMPUTED_VALUE"""),0)</f>
        <v>0</v>
      </c>
      <c r="K1143" s="9" t="str">
        <f ca="1">IFERROR(__xludf.DUMMYFUNCTION("""COMPUTED_VALUE"""),"http://www.ocalapost.com/shooting-at-vanguard-high-injured-2/")</f>
        <v>http://www.ocalapost.com/shooting-at-vanguard-high-injured-2/</v>
      </c>
      <c r="L1143" s="5">
        <f ca="1">IFERROR(__xludf.DUMMYFUNCTION("""COMPUTED_VALUE"""),1)</f>
        <v>1</v>
      </c>
      <c r="M1143" s="5" t="str">
        <f ca="1">IFERROR(__xludf.DUMMYFUNCTION("""COMPUTED_VALUE"""),"Local")</f>
        <v>Local</v>
      </c>
      <c r="N1143" s="5">
        <f ca="1">IFERROR(__xludf.DUMMYFUNCTION("""COMPUTED_VALUE"""),2)</f>
        <v>2</v>
      </c>
      <c r="O1143" s="5" t="str">
        <f ca="1">IFERROR(__xludf.DUMMYFUNCTION("""COMPUTED_VALUE"""),"Winter")</f>
        <v>Winter</v>
      </c>
      <c r="P1143" s="5" t="str">
        <f ca="1">IFERROR(__xludf.DUMMYFUNCTION("""COMPUTED_VALUE"""),"Ocala")</f>
        <v>Ocala</v>
      </c>
      <c r="Q1143" s="5" t="str">
        <f ca="1">IFERROR(__xludf.DUMMYFUNCTION("""COMPUTED_VALUE"""),"FL")</f>
        <v>FL</v>
      </c>
      <c r="R1143" s="5" t="str">
        <f ca="1">IFERROR(__xludf.DUMMYFUNCTION("""COMPUTED_VALUE"""),"High")</f>
        <v>High</v>
      </c>
      <c r="S1143" s="5" t="str">
        <f ca="1">IFERROR(__xludf.DUMMYFUNCTION("""COMPUTED_VALUE"""),"Parking Lot")</f>
        <v>Parking Lot</v>
      </c>
      <c r="T1143" s="5" t="str">
        <f ca="1">IFERROR(__xludf.DUMMYFUNCTION("""COMPUTED_VALUE"""),"Outside on School Property")</f>
        <v>Outside on School Property</v>
      </c>
      <c r="U1143" s="5" t="str">
        <f ca="1">IFERROR(__xludf.DUMMYFUNCTION("""COMPUTED_VALUE"""),"No")</f>
        <v>No</v>
      </c>
      <c r="V1143" s="5" t="str">
        <f ca="1">IFERROR(__xludf.DUMMYFUNCTION("""COMPUTED_VALUE"""),"Sport Event")</f>
        <v>Sport Event</v>
      </c>
      <c r="W1143" s="5"/>
      <c r="X1143" s="5">
        <f ca="1">IFERROR(__xludf.DUMMYFUNCTION("""COMPUTED_VALUE"""),1)</f>
        <v>1</v>
      </c>
      <c r="Y1143" s="5" t="str">
        <f ca="1">IFERROR(__xludf.DUMMYFUNCTION("""COMPUTED_VALUE"""),"Gang related shooting in parking lot")</f>
        <v>Gang related shooting in parking lot</v>
      </c>
      <c r="Z1143" s="5" t="str">
        <f ca="1">IFERROR(__xludf.DUMMYFUNCTION("""COMPUTED_VALUE"""),"A female student was walking through the parking lot when she was struck in the arm by a bullet. The older female was in her car backing out of the parking lot when bullets hit her windows, causing glass to hit her arm. About an hour and a half after the "&amp;"shooting, someone posted a message on Facebook alleging they were the shooter. The message even contained the hashtag “#imissed (sorry).” The Facebook post was deleted immediately after it was posted. Shooter was arrested months later and was uncooperativ"&amp;"e; police reported the victims were not the intended target.")</f>
        <v>A female student was walking through the parking lot when she was struck in the arm by a bullet. The older female was in her car backing out of the parking lot when bullets hit her windows, causing glass to hit her arm. About an hour and a half after the shooting, someone posted a message on Facebook alleging they were the shooter. The message even contained the hashtag “#imissed (sorry).” The Facebook post was deleted immediately after it was posted. Shooter was arrested months later and was uncooperative; police reported the victims were not the intended target.</v>
      </c>
      <c r="AA1143" s="5" t="str">
        <f ca="1">IFERROR(__xludf.DUMMYFUNCTION("""COMPUTED_VALUE"""),"Drive-by Shooting")</f>
        <v>Drive-by Shooting</v>
      </c>
      <c r="AB1143" s="5" t="str">
        <f ca="1">IFERROR(__xludf.DUMMYFUNCTION("""COMPUTED_VALUE"""),"Both")</f>
        <v>Both</v>
      </c>
      <c r="AC1143" s="5" t="str">
        <f ca="1">IFERROR(__xludf.DUMMYFUNCTION("""COMPUTED_VALUE"""),"No")</f>
        <v>No</v>
      </c>
      <c r="AD1143" s="5" t="str">
        <f ca="1">IFERROR(__xludf.DUMMYFUNCTION("""COMPUTED_VALUE"""),"No")</f>
        <v>No</v>
      </c>
      <c r="AE1143" s="5" t="str">
        <f ca="1">IFERROR(__xludf.DUMMYFUNCTION("""COMPUTED_VALUE"""),"No")</f>
        <v>No</v>
      </c>
      <c r="AF1143" s="5" t="str">
        <f ca="1">IFERROR(__xludf.DUMMYFUNCTION("""COMPUTED_VALUE"""),"No")</f>
        <v>No</v>
      </c>
      <c r="AG1143" s="5"/>
      <c r="AH1143" s="5" t="str">
        <f ca="1">IFERROR(__xludf.DUMMYFUNCTION("""COMPUTED_VALUE"""),"No")</f>
        <v>No</v>
      </c>
      <c r="AI1143" s="5" t="str">
        <f ca="1">IFERROR(__xludf.DUMMYFUNCTION("""COMPUTED_VALUE"""),"Yes")</f>
        <v>Yes</v>
      </c>
      <c r="AJ1143" s="5" t="str">
        <f ca="1">IFERROR(__xludf.DUMMYFUNCTION("""COMPUTED_VALUE"""),"No")</f>
        <v>No</v>
      </c>
    </row>
    <row r="1144" spans="1:36" ht="13">
      <c r="A1144" s="5" t="str">
        <f ca="1">IFERROR(__xludf.DUMMYFUNCTION("""COMPUTED_VALUE"""),"20150115WIWIM")</f>
        <v>20150115WIWIM</v>
      </c>
      <c r="B1144" s="5">
        <f ca="1">IFERROR(__xludf.DUMMYFUNCTION("""COMPUTED_VALUE"""),1)</f>
        <v>1</v>
      </c>
      <c r="C1144" s="5">
        <f ca="1">IFERROR(__xludf.DUMMYFUNCTION("""COMPUTED_VALUE"""),15)</f>
        <v>15</v>
      </c>
      <c r="D1144" s="5">
        <f ca="1">IFERROR(__xludf.DUMMYFUNCTION("""COMPUTED_VALUE"""),2015)</f>
        <v>2015</v>
      </c>
      <c r="E1144" s="8">
        <f ca="1">IFERROR(__xludf.DUMMYFUNCTION("""COMPUTED_VALUE"""),42019)</f>
        <v>42019</v>
      </c>
      <c r="F1144" s="5" t="str">
        <f ca="1">IFERROR(__xludf.DUMMYFUNCTION("""COMPUTED_VALUE"""),"Wisconsin Lutheran High School")</f>
        <v>Wisconsin Lutheran High School</v>
      </c>
      <c r="G1144" s="5">
        <f ca="1">IFERROR(__xludf.DUMMYFUNCTION("""COMPUTED_VALUE"""),0)</f>
        <v>0</v>
      </c>
      <c r="H1144" s="5">
        <f ca="1">IFERROR(__xludf.DUMMYFUNCTION("""COMPUTED_VALUE"""),3)</f>
        <v>3</v>
      </c>
      <c r="I1144" s="5">
        <f ca="1">IFERROR(__xludf.DUMMYFUNCTION("""COMPUTED_VALUE"""),3)</f>
        <v>3</v>
      </c>
      <c r="J1144" s="5">
        <f ca="1">IFERROR(__xludf.DUMMYFUNCTION("""COMPUTED_VALUE"""),0)</f>
        <v>0</v>
      </c>
      <c r="K1144" s="9" t="str">
        <f ca="1">IFERROR(__xludf.DUMMYFUNCTION("""COMPUTED_VALUE"""),"http://archive.jsonline.com/news/crime/milwaukee-man-charged-in-wisconsin-lutheran-high-school-shooting-b99431381z1-289512441.html/")</f>
        <v>http://archive.jsonline.com/news/crime/milwaukee-man-charged-in-wisconsin-lutheran-high-school-shooting-b99431381z1-289512441.html/</v>
      </c>
      <c r="L1144" s="5">
        <f ca="1">IFERROR(__xludf.DUMMYFUNCTION("""COMPUTED_VALUE"""),5)</f>
        <v>5</v>
      </c>
      <c r="M1144" s="5" t="str">
        <f ca="1">IFERROR(__xludf.DUMMYFUNCTION("""COMPUTED_VALUE"""),"Local")</f>
        <v>Local</v>
      </c>
      <c r="N1144" s="5">
        <f ca="1">IFERROR(__xludf.DUMMYFUNCTION("""COMPUTED_VALUE"""),2)</f>
        <v>2</v>
      </c>
      <c r="O1144" s="5" t="str">
        <f ca="1">IFERROR(__xludf.DUMMYFUNCTION("""COMPUTED_VALUE"""),"Winter")</f>
        <v>Winter</v>
      </c>
      <c r="P1144" s="5" t="str">
        <f ca="1">IFERROR(__xludf.DUMMYFUNCTION("""COMPUTED_VALUE"""),"Milwaukee")</f>
        <v>Milwaukee</v>
      </c>
      <c r="Q1144" s="5" t="str">
        <f ca="1">IFERROR(__xludf.DUMMYFUNCTION("""COMPUTED_VALUE"""),"WI")</f>
        <v>WI</v>
      </c>
      <c r="R1144" s="5" t="str">
        <f ca="1">IFERROR(__xludf.DUMMYFUNCTION("""COMPUTED_VALUE"""),"High")</f>
        <v>High</v>
      </c>
      <c r="S1144" s="5" t="str">
        <f ca="1">IFERROR(__xludf.DUMMYFUNCTION("""COMPUTED_VALUE"""),"Parking Lot")</f>
        <v>Parking Lot</v>
      </c>
      <c r="T1144" s="5" t="str">
        <f ca="1">IFERROR(__xludf.DUMMYFUNCTION("""COMPUTED_VALUE"""),"Outside on School Property")</f>
        <v>Outside on School Property</v>
      </c>
      <c r="U1144" s="5" t="str">
        <f ca="1">IFERROR(__xludf.DUMMYFUNCTION("""COMPUTED_VALUE"""),"No")</f>
        <v>No</v>
      </c>
      <c r="V1144" s="5" t="str">
        <f ca="1">IFERROR(__xludf.DUMMYFUNCTION("""COMPUTED_VALUE"""),"Sport Event")</f>
        <v>Sport Event</v>
      </c>
      <c r="W1144" s="5"/>
      <c r="X1144" s="5"/>
      <c r="Y1144" s="5" t="str">
        <f ca="1">IFERROR(__xludf.DUMMYFUNCTION("""COMPUTED_VALUE"""),"Shots fired by family members of rival teams during fight at basketball game")</f>
        <v>Shots fired by family members of rival teams during fight at basketball game</v>
      </c>
      <c r="Z1144" s="5" t="str">
        <f ca="1">IFERROR(__xludf.DUMMYFUNCTION("""COMPUTED_VALUE"""),"Escalated argument between two families of two female students who argued during a basketball game between rival schools. Shooter was one of the girls' fathers and fired at the other father striking him then striking unrelated parties (student and teacher"&amp;") in the leg and foot. Incident happened outside the school.")</f>
        <v>Escalated argument between two families of two female students who argued during a basketball game between rival schools. Shooter was one of the girls' fathers and fired at the other father striking him then striking unrelated parties (student and teacher) in the leg and foot. Incident happened outside the school.</v>
      </c>
      <c r="AA1144" s="5" t="str">
        <f ca="1">IFERROR(__xludf.DUMMYFUNCTION("""COMPUTED_VALUE"""),"Escalation of Dispute")</f>
        <v>Escalation of Dispute</v>
      </c>
      <c r="AB1144" s="5" t="str">
        <f ca="1">IFERROR(__xludf.DUMMYFUNCTION("""COMPUTED_VALUE"""),"Both")</f>
        <v>Both</v>
      </c>
      <c r="AC1144" s="5" t="str">
        <f ca="1">IFERROR(__xludf.DUMMYFUNCTION("""COMPUTED_VALUE"""),"No")</f>
        <v>No</v>
      </c>
      <c r="AD1144" s="5" t="str">
        <f ca="1">IFERROR(__xludf.DUMMYFUNCTION("""COMPUTED_VALUE"""),"No")</f>
        <v>No</v>
      </c>
      <c r="AE1144" s="5" t="str">
        <f ca="1">IFERROR(__xludf.DUMMYFUNCTION("""COMPUTED_VALUE"""),"No")</f>
        <v>No</v>
      </c>
      <c r="AF1144" s="5" t="str">
        <f ca="1">IFERROR(__xludf.DUMMYFUNCTION("""COMPUTED_VALUE"""),"No")</f>
        <v>No</v>
      </c>
      <c r="AG1144" s="5" t="str">
        <f ca="1">IFERROR(__xludf.DUMMYFUNCTION("""COMPUTED_VALUE"""),"N/A")</f>
        <v>N/A</v>
      </c>
      <c r="AH1144" s="5" t="str">
        <f ca="1">IFERROR(__xludf.DUMMYFUNCTION("""COMPUTED_VALUE"""),"No")</f>
        <v>No</v>
      </c>
      <c r="AI1144" s="5" t="str">
        <f ca="1">IFERROR(__xludf.DUMMYFUNCTION("""COMPUTED_VALUE"""),"Yes")</f>
        <v>Yes</v>
      </c>
      <c r="AJ1144" s="5" t="str">
        <f ca="1">IFERROR(__xludf.DUMMYFUNCTION("""COMPUTED_VALUE"""),"No")</f>
        <v>No</v>
      </c>
    </row>
    <row r="1145" spans="1:36" ht="13">
      <c r="A1145" s="5" t="str">
        <f ca="1">IFERROR(__xludf.DUMMYFUNCTION("""COMPUTED_VALUE"""),"20141217MEBEW")</f>
        <v>20141217MEBEW</v>
      </c>
      <c r="B1145" s="5">
        <f ca="1">IFERROR(__xludf.DUMMYFUNCTION("""COMPUTED_VALUE"""),12)</f>
        <v>12</v>
      </c>
      <c r="C1145" s="5">
        <f ca="1">IFERROR(__xludf.DUMMYFUNCTION("""COMPUTED_VALUE"""),17)</f>
        <v>17</v>
      </c>
      <c r="D1145" s="5">
        <f ca="1">IFERROR(__xludf.DUMMYFUNCTION("""COMPUTED_VALUE"""),2014)</f>
        <v>2014</v>
      </c>
      <c r="E1145" s="8">
        <f ca="1">IFERROR(__xludf.DUMMYFUNCTION("""COMPUTED_VALUE"""),41990)</f>
        <v>41990</v>
      </c>
      <c r="F1145" s="5" t="str">
        <f ca="1">IFERROR(__xludf.DUMMYFUNCTION("""COMPUTED_VALUE"""),"Benton Elementary School")</f>
        <v>Benton Elementary School</v>
      </c>
      <c r="G1145" s="5">
        <f ca="1">IFERROR(__xludf.DUMMYFUNCTION("""COMPUTED_VALUE"""),0)</f>
        <v>0</v>
      </c>
      <c r="H1145" s="5">
        <f ca="1">IFERROR(__xludf.DUMMYFUNCTION("""COMPUTED_VALUE"""),0)</f>
        <v>0</v>
      </c>
      <c r="I1145" s="5">
        <f ca="1">IFERROR(__xludf.DUMMYFUNCTION("""COMPUTED_VALUE"""),0)</f>
        <v>0</v>
      </c>
      <c r="J1145" s="5">
        <f ca="1">IFERROR(__xludf.DUMMYFUNCTION("""COMPUTED_VALUE"""),1)</f>
        <v>1</v>
      </c>
      <c r="K1145" s="9" t="str">
        <f ca="1">IFERROR(__xludf.DUMMYFUNCTION("""COMPUTED_VALUE"""),"https://www.centralmaine.com/2014/12/18/man-who-shot-himself-at-school-was-suspected-in-waterville-rape-police-say/")</f>
        <v>https://www.centralmaine.com/2014/12/18/man-who-shot-himself-at-school-was-suspected-in-waterville-rape-police-say/</v>
      </c>
      <c r="L1145" s="5">
        <f ca="1">IFERROR(__xludf.DUMMYFUNCTION("""COMPUTED_VALUE"""),5)</f>
        <v>5</v>
      </c>
      <c r="M1145" s="5" t="str">
        <f ca="1">IFERROR(__xludf.DUMMYFUNCTION("""COMPUTED_VALUE"""),"Local")</f>
        <v>Local</v>
      </c>
      <c r="N1145" s="5">
        <f ca="1">IFERROR(__xludf.DUMMYFUNCTION("""COMPUTED_VALUE"""),2)</f>
        <v>2</v>
      </c>
      <c r="O1145" s="5" t="str">
        <f ca="1">IFERROR(__xludf.DUMMYFUNCTION("""COMPUTED_VALUE"""),"Winter")</f>
        <v>Winter</v>
      </c>
      <c r="P1145" s="5" t="str">
        <f ca="1">IFERROR(__xludf.DUMMYFUNCTION("""COMPUTED_VALUE"""),"Waterville")</f>
        <v>Waterville</v>
      </c>
      <c r="Q1145" s="5" t="str">
        <f ca="1">IFERROR(__xludf.DUMMYFUNCTION("""COMPUTED_VALUE"""),"ME")</f>
        <v>ME</v>
      </c>
      <c r="R1145" s="5" t="str">
        <f ca="1">IFERROR(__xludf.DUMMYFUNCTION("""COMPUTED_VALUE"""),"Elementary")</f>
        <v>Elementary</v>
      </c>
      <c r="S1145" s="5" t="str">
        <f ca="1">IFERROR(__xludf.DUMMYFUNCTION("""COMPUTED_VALUE"""),"Beside Building")</f>
        <v>Beside Building</v>
      </c>
      <c r="T1145" s="5" t="str">
        <f ca="1">IFERROR(__xludf.DUMMYFUNCTION("""COMPUTED_VALUE"""),"Outside on School Property")</f>
        <v>Outside on School Property</v>
      </c>
      <c r="U1145" s="5" t="str">
        <f ca="1">IFERROR(__xludf.DUMMYFUNCTION("""COMPUTED_VALUE"""),"Yes")</f>
        <v>Yes</v>
      </c>
      <c r="V1145" s="5" t="str">
        <f ca="1">IFERROR(__xludf.DUMMYFUNCTION("""COMPUTED_VALUE"""),"Afternoon Classes")</f>
        <v>Afternoon Classes</v>
      </c>
      <c r="W1145" s="10">
        <f ca="1">IFERROR(__xludf.DUMMYFUNCTION("""COMPUTED_VALUE"""),0.604166666666666)</f>
        <v>0.60416666666666596</v>
      </c>
      <c r="X1145" s="5">
        <f ca="1">IFERROR(__xludf.DUMMYFUNCTION("""COMPUTED_VALUE"""),1)</f>
        <v>1</v>
      </c>
      <c r="Y1145" s="5" t="str">
        <f ca="1">IFERROR(__xludf.DUMMYFUNCTION("""COMPUTED_VALUE"""),"Suicide when police approached rapist in parking lot")</f>
        <v>Suicide when police approached rapist in parking lot</v>
      </c>
      <c r="Z1145" s="5" t="str">
        <f ca="1">IFERROR(__xludf.DUMMYFUNCTION("""COMPUTED_VALUE"""),"Shooter had kidnapped and raped a teenage girl earlier that day - he took her to a storage shed which he had made into a place to keep her locked up. He told her he had been considering suicide for a while and that if he was able to commit such a heinous "&amp;"crime like rape/kidnapping, he should be able to kill himself. After raping girl, he left, drove to middle school and shot himself as police approached - police also found several needles in car as well - possibly drug related. Someone posted a 4th grade "&amp;"photo, showing shooter attended the school back then.")</f>
        <v>Shooter had kidnapped and raped a teenage girl earlier that day - he took her to a storage shed which he had made into a place to keep her locked up. He told her he had been considering suicide for a while and that if he was able to commit such a heinous crime like rape/kidnapping, he should be able to kill himself. After raping girl, he left, drove to middle school and shot himself as police approached - police also found several needles in car as well - possibly drug related. Someone posted a 4th grade photo, showing shooter attended the school back then.</v>
      </c>
      <c r="AA1145" s="5" t="str">
        <f ca="1">IFERROR(__xludf.DUMMYFUNCTION("""COMPUTED_VALUE"""),"Suicide/Attempted")</f>
        <v>Suicide/Attempted</v>
      </c>
      <c r="AB1145" s="5" t="str">
        <f ca="1">IFERROR(__xludf.DUMMYFUNCTION("""COMPUTED_VALUE"""),"Victims Targeted")</f>
        <v>Victims Targeted</v>
      </c>
      <c r="AC1145" s="5" t="str">
        <f ca="1">IFERROR(__xludf.DUMMYFUNCTION("""COMPUTED_VALUE"""),"No")</f>
        <v>No</v>
      </c>
      <c r="AD1145" s="5" t="str">
        <f ca="1">IFERROR(__xludf.DUMMYFUNCTION("""COMPUTED_VALUE"""),"No")</f>
        <v>No</v>
      </c>
      <c r="AE1145" s="5" t="str">
        <f ca="1">IFERROR(__xludf.DUMMYFUNCTION("""COMPUTED_VALUE"""),"No")</f>
        <v>No</v>
      </c>
      <c r="AF1145" s="5" t="str">
        <f ca="1">IFERROR(__xludf.DUMMYFUNCTION("""COMPUTED_VALUE"""),"No")</f>
        <v>No</v>
      </c>
      <c r="AG1145" s="5" t="str">
        <f ca="1">IFERROR(__xludf.DUMMYFUNCTION("""COMPUTED_VALUE"""),"No")</f>
        <v>No</v>
      </c>
      <c r="AH1145" s="5" t="str">
        <f ca="1">IFERROR(__xludf.DUMMYFUNCTION("""COMPUTED_VALUE"""),"No")</f>
        <v>No</v>
      </c>
      <c r="AI1145" s="5" t="str">
        <f ca="1">IFERROR(__xludf.DUMMYFUNCTION("""COMPUTED_VALUE"""),"No")</f>
        <v>No</v>
      </c>
      <c r="AJ1145" s="5"/>
    </row>
    <row r="1146" spans="1:36" ht="13">
      <c r="A1146" s="5" t="str">
        <f ca="1">IFERROR(__xludf.DUMMYFUNCTION("""COMPUTED_VALUE"""),"20141217MIGOW")</f>
        <v>20141217MIGOW</v>
      </c>
      <c r="B1146" s="5">
        <f ca="1">IFERROR(__xludf.DUMMYFUNCTION("""COMPUTED_VALUE"""),12)</f>
        <v>12</v>
      </c>
      <c r="C1146" s="5">
        <f ca="1">IFERROR(__xludf.DUMMYFUNCTION("""COMPUTED_VALUE"""),17)</f>
        <v>17</v>
      </c>
      <c r="D1146" s="5">
        <f ca="1">IFERROR(__xludf.DUMMYFUNCTION("""COMPUTED_VALUE"""),2014)</f>
        <v>2014</v>
      </c>
      <c r="E1146" s="8">
        <f ca="1">IFERROR(__xludf.DUMMYFUNCTION("""COMPUTED_VALUE"""),41990)</f>
        <v>41990</v>
      </c>
      <c r="F1146" s="5" t="str">
        <f ca="1">IFERROR(__xludf.DUMMYFUNCTION("""COMPUTED_VALUE"""),"Godfrey Lee High School")</f>
        <v>Godfrey Lee High School</v>
      </c>
      <c r="G1146" s="5">
        <f ca="1">IFERROR(__xludf.DUMMYFUNCTION("""COMPUTED_VALUE"""),0)</f>
        <v>0</v>
      </c>
      <c r="H1146" s="5">
        <f ca="1">IFERROR(__xludf.DUMMYFUNCTION("""COMPUTED_VALUE"""),1)</f>
        <v>1</v>
      </c>
      <c r="I1146" s="5">
        <f ca="1">IFERROR(__xludf.DUMMYFUNCTION("""COMPUTED_VALUE"""),1)</f>
        <v>1</v>
      </c>
      <c r="J1146" s="5">
        <f ca="1">IFERROR(__xludf.DUMMYFUNCTION("""COMPUTED_VALUE"""),0)</f>
        <v>0</v>
      </c>
      <c r="K1146" s="9" t="str">
        <f ca="1">IFERROR(__xludf.DUMMYFUNCTION("""COMPUTED_VALUE"""),"https://fox17online.com/2014/12/17/basketball-player-shot-outside-godfrey-lee-high-school/")</f>
        <v>https://fox17online.com/2014/12/17/basketball-player-shot-outside-godfrey-lee-high-school/</v>
      </c>
      <c r="L1146" s="5"/>
      <c r="M1146" s="5"/>
      <c r="N1146" s="5">
        <f ca="1">IFERROR(__xludf.DUMMYFUNCTION("""COMPUTED_VALUE"""),4)</f>
        <v>4</v>
      </c>
      <c r="O1146" s="5" t="str">
        <f ca="1">IFERROR(__xludf.DUMMYFUNCTION("""COMPUTED_VALUE"""),"Winter")</f>
        <v>Winter</v>
      </c>
      <c r="P1146" s="5" t="str">
        <f ca="1">IFERROR(__xludf.DUMMYFUNCTION("""COMPUTED_VALUE"""),"Wyoming")</f>
        <v>Wyoming</v>
      </c>
      <c r="Q1146" s="5" t="str">
        <f ca="1">IFERROR(__xludf.DUMMYFUNCTION("""COMPUTED_VALUE"""),"MI")</f>
        <v>MI</v>
      </c>
      <c r="R1146" s="5" t="str">
        <f ca="1">IFERROR(__xludf.DUMMYFUNCTION("""COMPUTED_VALUE"""),"High")</f>
        <v>High</v>
      </c>
      <c r="S1146" s="5" t="str">
        <f ca="1">IFERROR(__xludf.DUMMYFUNCTION("""COMPUTED_VALUE"""),"Parking Lot")</f>
        <v>Parking Lot</v>
      </c>
      <c r="T1146" s="5" t="str">
        <f ca="1">IFERROR(__xludf.DUMMYFUNCTION("""COMPUTED_VALUE"""),"Outside on School Property")</f>
        <v>Outside on School Property</v>
      </c>
      <c r="U1146" s="5" t="str">
        <f ca="1">IFERROR(__xludf.DUMMYFUNCTION("""COMPUTED_VALUE"""),"No")</f>
        <v>No</v>
      </c>
      <c r="V1146" s="5" t="str">
        <f ca="1">IFERROR(__xludf.DUMMYFUNCTION("""COMPUTED_VALUE"""),"Sport Event")</f>
        <v>Sport Event</v>
      </c>
      <c r="W1146" s="10">
        <f ca="1">IFERROR(__xludf.DUMMYFUNCTION("""COMPUTED_VALUE"""),0.833333333333333)</f>
        <v>0.83333333333333304</v>
      </c>
      <c r="X1146" s="5">
        <f ca="1">IFERROR(__xludf.DUMMYFUNCTION("""COMPUTED_VALUE"""),1)</f>
        <v>1</v>
      </c>
      <c r="Y1146" s="5" t="str">
        <f ca="1">IFERROR(__xludf.DUMMYFUNCTION("""COMPUTED_VALUE"""),"Student shot leaving basketball practice, ran back to school")</f>
        <v>Student shot leaving basketball practice, ran back to school</v>
      </c>
      <c r="Z1146" s="5" t="str">
        <f ca="1">IFERROR(__xludf.DUMMYFUNCTION("""COMPUTED_VALUE"""),"14YOM student shot after leaving basketball practice with 3 other students. Victim was shot in the leg and ran back to the school for assistance. Police searched the area but were unable to identify a suspect. School opened the following day with increase"&amp;"d security.")</f>
        <v>14YOM student shot after leaving basketball practice with 3 other students. Victim was shot in the leg and ran back to the school for assistance. Police searched the area but were unable to identify a suspect. School opened the following day with increased security.</v>
      </c>
      <c r="AA1146" s="5" t="str">
        <f ca="1">IFERROR(__xludf.DUMMYFUNCTION("""COMPUTED_VALUE"""),"Unknown")</f>
        <v>Unknown</v>
      </c>
      <c r="AB1146" s="5" t="str">
        <f ca="1">IFERROR(__xludf.DUMMYFUNCTION("""COMPUTED_VALUE"""),"Victims Targeted")</f>
        <v>Victims Targeted</v>
      </c>
      <c r="AC1146" s="5"/>
      <c r="AD1146" s="5" t="str">
        <f ca="1">IFERROR(__xludf.DUMMYFUNCTION("""COMPUTED_VALUE"""),"No")</f>
        <v>No</v>
      </c>
      <c r="AE1146" s="5" t="str">
        <f ca="1">IFERROR(__xludf.DUMMYFUNCTION("""COMPUTED_VALUE"""),"No")</f>
        <v>No</v>
      </c>
      <c r="AF1146" s="5" t="str">
        <f ca="1">IFERROR(__xludf.DUMMYFUNCTION("""COMPUTED_VALUE"""),"No")</f>
        <v>No</v>
      </c>
      <c r="AG1146" s="5" t="str">
        <f ca="1">IFERROR(__xludf.DUMMYFUNCTION("""COMPUTED_VALUE"""),"No")</f>
        <v>No</v>
      </c>
      <c r="AH1146" s="5" t="str">
        <f ca="1">IFERROR(__xludf.DUMMYFUNCTION("""COMPUTED_VALUE"""),"No")</f>
        <v>No</v>
      </c>
      <c r="AI1146" s="5"/>
      <c r="AJ1146" s="5" t="str">
        <f ca="1">IFERROR(__xludf.DUMMYFUNCTION("""COMPUTED_VALUE"""),"No")</f>
        <v>No</v>
      </c>
    </row>
    <row r="1147" spans="1:36" ht="13">
      <c r="A1147" s="5" t="str">
        <f ca="1">IFERROR(__xludf.DUMMYFUNCTION("""COMPUTED_VALUE"""),"20141216PASUP")</f>
        <v>20141216PASUP</v>
      </c>
      <c r="B1147" s="5">
        <f ca="1">IFERROR(__xludf.DUMMYFUNCTION("""COMPUTED_VALUE"""),12)</f>
        <v>12</v>
      </c>
      <c r="C1147" s="5">
        <f ca="1">IFERROR(__xludf.DUMMYFUNCTION("""COMPUTED_VALUE"""),16)</f>
        <v>16</v>
      </c>
      <c r="D1147" s="5">
        <f ca="1">IFERROR(__xludf.DUMMYFUNCTION("""COMPUTED_VALUE"""),2014)</f>
        <v>2014</v>
      </c>
      <c r="E1147" s="8">
        <f ca="1">IFERROR(__xludf.DUMMYFUNCTION("""COMPUTED_VALUE"""),41989)</f>
        <v>41989</v>
      </c>
      <c r="F1147" s="5" t="str">
        <f ca="1">IFERROR(__xludf.DUMMYFUNCTION("""COMPUTED_VALUE"""),"Sunnyside Elementary School")</f>
        <v>Sunnyside Elementary School</v>
      </c>
      <c r="G1147" s="5">
        <f ca="1">IFERROR(__xludf.DUMMYFUNCTION("""COMPUTED_VALUE"""),1)</f>
        <v>1</v>
      </c>
      <c r="H1147" s="5">
        <f ca="1">IFERROR(__xludf.DUMMYFUNCTION("""COMPUTED_VALUE"""),0)</f>
        <v>0</v>
      </c>
      <c r="I1147" s="5">
        <f ca="1">IFERROR(__xludf.DUMMYFUNCTION("""COMPUTED_VALUE"""),1)</f>
        <v>1</v>
      </c>
      <c r="J1147" s="5">
        <f ca="1">IFERROR(__xludf.DUMMYFUNCTION("""COMPUTED_VALUE"""),0)</f>
        <v>0</v>
      </c>
      <c r="K1147" s="9" t="str">
        <f ca="1">IFERROR(__xludf.DUMMYFUNCTION("""COMPUTED_VALUE"""),"https://pittsburgh.cbslocal.com/2014/12/17/shooting-at-stanton-heights-elementary-school/")</f>
        <v>https://pittsburgh.cbslocal.com/2014/12/17/shooting-at-stanton-heights-elementary-school/</v>
      </c>
      <c r="L1147" s="5"/>
      <c r="M1147" s="5"/>
      <c r="N1147" s="5">
        <f ca="1">IFERROR(__xludf.DUMMYFUNCTION("""COMPUTED_VALUE"""),2)</f>
        <v>2</v>
      </c>
      <c r="O1147" s="5" t="str">
        <f ca="1">IFERROR(__xludf.DUMMYFUNCTION("""COMPUTED_VALUE"""),"Winter")</f>
        <v>Winter</v>
      </c>
      <c r="P1147" s="5" t="str">
        <f ca="1">IFERROR(__xludf.DUMMYFUNCTION("""COMPUTED_VALUE"""),"Pittsburgh")</f>
        <v>Pittsburgh</v>
      </c>
      <c r="Q1147" s="5" t="str">
        <f ca="1">IFERROR(__xludf.DUMMYFUNCTION("""COMPUTED_VALUE"""),"PA")</f>
        <v>PA</v>
      </c>
      <c r="R1147" s="5" t="str">
        <f ca="1">IFERROR(__xludf.DUMMYFUNCTION("""COMPUTED_VALUE"""),"Elementary")</f>
        <v>Elementary</v>
      </c>
      <c r="S1147" s="5" t="str">
        <f ca="1">IFERROR(__xludf.DUMMYFUNCTION("""COMPUTED_VALUE"""),"Parking Lot")</f>
        <v>Parking Lot</v>
      </c>
      <c r="T1147" s="5" t="str">
        <f ca="1">IFERROR(__xludf.DUMMYFUNCTION("""COMPUTED_VALUE"""),"Outside on School Property")</f>
        <v>Outside on School Property</v>
      </c>
      <c r="U1147" s="5" t="str">
        <f ca="1">IFERROR(__xludf.DUMMYFUNCTION("""COMPUTED_VALUE"""),"No")</f>
        <v>No</v>
      </c>
      <c r="V1147" s="5" t="str">
        <f ca="1">IFERROR(__xludf.DUMMYFUNCTION("""COMPUTED_VALUE"""),"Night")</f>
        <v>Night</v>
      </c>
      <c r="W1147" s="10">
        <f ca="1">IFERROR(__xludf.DUMMYFUNCTION("""COMPUTED_VALUE"""),0.958333333333333)</f>
        <v>0.95833333333333304</v>
      </c>
      <c r="X1147" s="5">
        <f ca="1">IFERROR(__xludf.DUMMYFUNCTION("""COMPUTED_VALUE"""),1)</f>
        <v>1</v>
      </c>
      <c r="Y1147" s="5" t="str">
        <f ca="1">IFERROR(__xludf.DUMMYFUNCTION("""COMPUTED_VALUE"""),"Victim was found shot to death in his car parked on school lot")</f>
        <v>Victim was found shot to death in his car parked on school lot</v>
      </c>
      <c r="Z1147" s="5" t="str">
        <f ca="1">IFERROR(__xludf.DUMMYFUNCTION("""COMPUTED_VALUE"""),"Victim was found shot to death in his car which was parked on the school lot. The vehicle's window was broken out. Police believed he was shot/killed the night before as neighbors reported hearing gunshots around 11pm,")</f>
        <v>Victim was found shot to death in his car which was parked on the school lot. The vehicle's window was broken out. Police believed he was shot/killed the night before as neighbors reported hearing gunshots around 11pm,</v>
      </c>
      <c r="AA1147" s="5" t="str">
        <f ca="1">IFERROR(__xludf.DUMMYFUNCTION("""COMPUTED_VALUE"""),"Unknown")</f>
        <v>Unknown</v>
      </c>
      <c r="AB1147" s="5"/>
      <c r="AC1147" s="5"/>
      <c r="AD1147" s="5" t="str">
        <f ca="1">IFERROR(__xludf.DUMMYFUNCTION("""COMPUTED_VALUE"""),"No")</f>
        <v>No</v>
      </c>
      <c r="AE1147" s="5" t="str">
        <f ca="1">IFERROR(__xludf.DUMMYFUNCTION("""COMPUTED_VALUE"""),"No")</f>
        <v>No</v>
      </c>
      <c r="AF1147" s="5" t="str">
        <f ca="1">IFERROR(__xludf.DUMMYFUNCTION("""COMPUTED_VALUE"""),"No")</f>
        <v>No</v>
      </c>
      <c r="AG1147" s="5"/>
      <c r="AH1147" s="5"/>
      <c r="AI1147" s="5"/>
      <c r="AJ1147" s="5"/>
    </row>
    <row r="1148" spans="1:36" ht="13">
      <c r="A1148" s="5" t="str">
        <f ca="1">IFERROR(__xludf.DUMMYFUNCTION("""COMPUTED_VALUE"""),"20141212ORROP")</f>
        <v>20141212ORROP</v>
      </c>
      <c r="B1148" s="5">
        <f ca="1">IFERROR(__xludf.DUMMYFUNCTION("""COMPUTED_VALUE"""),12)</f>
        <v>12</v>
      </c>
      <c r="C1148" s="5">
        <f ca="1">IFERROR(__xludf.DUMMYFUNCTION("""COMPUTED_VALUE"""),12)</f>
        <v>12</v>
      </c>
      <c r="D1148" s="5">
        <f ca="1">IFERROR(__xludf.DUMMYFUNCTION("""COMPUTED_VALUE"""),2014)</f>
        <v>2014</v>
      </c>
      <c r="E1148" s="8">
        <f ca="1">IFERROR(__xludf.DUMMYFUNCTION("""COMPUTED_VALUE"""),41985)</f>
        <v>41985</v>
      </c>
      <c r="F1148" s="5" t="str">
        <f ca="1">IFERROR(__xludf.DUMMYFUNCTION("""COMPUTED_VALUE"""),"Rosemary Anderson High School")</f>
        <v>Rosemary Anderson High School</v>
      </c>
      <c r="G1148" s="5">
        <f ca="1">IFERROR(__xludf.DUMMYFUNCTION("""COMPUTED_VALUE"""),0)</f>
        <v>0</v>
      </c>
      <c r="H1148" s="5">
        <f ca="1">IFERROR(__xludf.DUMMYFUNCTION("""COMPUTED_VALUE"""),4)</f>
        <v>4</v>
      </c>
      <c r="I1148" s="5">
        <f ca="1">IFERROR(__xludf.DUMMYFUNCTION("""COMPUTED_VALUE"""),4)</f>
        <v>4</v>
      </c>
      <c r="J1148" s="5">
        <f ca="1">IFERROR(__xludf.DUMMYFUNCTION("""COMPUTED_VALUE"""),0)</f>
        <v>0</v>
      </c>
      <c r="K1148" s="9" t="str">
        <f ca="1">IFERROR(__xludf.DUMMYFUNCTION("""COMPUTED_VALUE"""),"http://www.oregonlive.com/portland/index.ssf/2015/05/teen_who_shot_four_outside_ros.html")</f>
        <v>http://www.oregonlive.com/portland/index.ssf/2015/05/teen_who_shot_four_outside_ros.html</v>
      </c>
      <c r="L1148" s="5">
        <f ca="1">IFERROR(__xludf.DUMMYFUNCTION("""COMPUTED_VALUE"""),5)</f>
        <v>5</v>
      </c>
      <c r="M1148" s="5" t="str">
        <f ca="1">IFERROR(__xludf.DUMMYFUNCTION("""COMPUTED_VALUE"""),"Local")</f>
        <v>Local</v>
      </c>
      <c r="N1148" s="5">
        <f ca="1">IFERROR(__xludf.DUMMYFUNCTION("""COMPUTED_VALUE"""),2)</f>
        <v>2</v>
      </c>
      <c r="O1148" s="5" t="str">
        <f ca="1">IFERROR(__xludf.DUMMYFUNCTION("""COMPUTED_VALUE"""),"Winter")</f>
        <v>Winter</v>
      </c>
      <c r="P1148" s="5" t="str">
        <f ca="1">IFERROR(__xludf.DUMMYFUNCTION("""COMPUTED_VALUE"""),"Portland")</f>
        <v>Portland</v>
      </c>
      <c r="Q1148" s="5" t="str">
        <f ca="1">IFERROR(__xludf.DUMMYFUNCTION("""COMPUTED_VALUE"""),"OR")</f>
        <v>OR</v>
      </c>
      <c r="R1148" s="5" t="str">
        <f ca="1">IFERROR(__xludf.DUMMYFUNCTION("""COMPUTED_VALUE"""),"High")</f>
        <v>High</v>
      </c>
      <c r="S1148" s="5" t="str">
        <f ca="1">IFERROR(__xludf.DUMMYFUNCTION("""COMPUTED_VALUE"""),"Beside Building")</f>
        <v>Beside Building</v>
      </c>
      <c r="T1148" s="5" t="str">
        <f ca="1">IFERROR(__xludf.DUMMYFUNCTION("""COMPUTED_VALUE"""),"Outside on School Property")</f>
        <v>Outside on School Property</v>
      </c>
      <c r="U1148" s="5" t="str">
        <f ca="1">IFERROR(__xludf.DUMMYFUNCTION("""COMPUTED_VALUE"""),"Yes")</f>
        <v>Yes</v>
      </c>
      <c r="V1148" s="5" t="str">
        <f ca="1">IFERROR(__xludf.DUMMYFUNCTION("""COMPUTED_VALUE"""),"Lunch")</f>
        <v>Lunch</v>
      </c>
      <c r="W1148" s="5"/>
      <c r="X1148" s="5"/>
      <c r="Y1148" s="5" t="str">
        <f ca="1">IFERROR(__xludf.DUMMYFUNCTION("""COMPUTED_VALUE"""),"Gang related shooting outside of school during lunch")</f>
        <v>Gang related shooting outside of school during lunch</v>
      </c>
      <c r="Z1148" s="5" t="str">
        <f ca="1">IFERROR(__xludf.DUMMYFUNCTION("""COMPUTED_VALUE"""),"Gang-related shooting outside of school during lunch. Dispute between students and shooter fired at a group of students associated with rival gang, students injured. The school is a charter for troubled students. 1 shooter and 2 accomplices arrested.")</f>
        <v>Gang-related shooting outside of school during lunch. Dispute between students and shooter fired at a group of students associated with rival gang, students injured. The school is a charter for troubled students. 1 shooter and 2 accomplices arrested.</v>
      </c>
      <c r="AA1148" s="5" t="str">
        <f ca="1">IFERROR(__xludf.DUMMYFUNCTION("""COMPUTED_VALUE"""),"Escalation of Dispute")</f>
        <v>Escalation of Dispute</v>
      </c>
      <c r="AB1148" s="5" t="str">
        <f ca="1">IFERROR(__xludf.DUMMYFUNCTION("""COMPUTED_VALUE"""),"Victims Targeted")</f>
        <v>Victims Targeted</v>
      </c>
      <c r="AC1148" s="5" t="str">
        <f ca="1">IFERROR(__xludf.DUMMYFUNCTION("""COMPUTED_VALUE"""),"Yes")</f>
        <v>Yes</v>
      </c>
      <c r="AD1148" s="5" t="str">
        <f ca="1">IFERROR(__xludf.DUMMYFUNCTION("""COMPUTED_VALUE"""),"No")</f>
        <v>No</v>
      </c>
      <c r="AE1148" s="5" t="str">
        <f ca="1">IFERROR(__xludf.DUMMYFUNCTION("""COMPUTED_VALUE"""),"No")</f>
        <v>No</v>
      </c>
      <c r="AF1148" s="5" t="str">
        <f ca="1">IFERROR(__xludf.DUMMYFUNCTION("""COMPUTED_VALUE"""),"No")</f>
        <v>No</v>
      </c>
      <c r="AG1148" s="5" t="str">
        <f ca="1">IFERROR(__xludf.DUMMYFUNCTION("""COMPUTED_VALUE"""),"No")</f>
        <v>No</v>
      </c>
      <c r="AH1148" s="5" t="str">
        <f ca="1">IFERROR(__xludf.DUMMYFUNCTION("""COMPUTED_VALUE"""),"No")</f>
        <v>No</v>
      </c>
      <c r="AI1148" s="5" t="str">
        <f ca="1">IFERROR(__xludf.DUMMYFUNCTION("""COMPUTED_VALUE"""),"Yes")</f>
        <v>Yes</v>
      </c>
      <c r="AJ1148" s="5"/>
    </row>
    <row r="1149" spans="1:36" ht="13">
      <c r="A1149" s="5" t="str">
        <f ca="1">IFERROR(__xludf.DUMMYFUNCTION("""COMPUTED_VALUE"""),"20141120FLMIM")</f>
        <v>20141120FLMIM</v>
      </c>
      <c r="B1149" s="5">
        <f ca="1">IFERROR(__xludf.DUMMYFUNCTION("""COMPUTED_VALUE"""),11)</f>
        <v>11</v>
      </c>
      <c r="C1149" s="5">
        <f ca="1">IFERROR(__xludf.DUMMYFUNCTION("""COMPUTED_VALUE"""),20)</f>
        <v>20</v>
      </c>
      <c r="D1149" s="5">
        <f ca="1">IFERROR(__xludf.DUMMYFUNCTION("""COMPUTED_VALUE"""),2014)</f>
        <v>2014</v>
      </c>
      <c r="E1149" s="8">
        <f ca="1">IFERROR(__xludf.DUMMYFUNCTION("""COMPUTED_VALUE"""),41963)</f>
        <v>41963</v>
      </c>
      <c r="F1149" s="5" t="str">
        <f ca="1">IFERROR(__xludf.DUMMYFUNCTION("""COMPUTED_VALUE"""),"Miami Carol City High School")</f>
        <v>Miami Carol City High School</v>
      </c>
      <c r="G1149" s="5">
        <f ca="1">IFERROR(__xludf.DUMMYFUNCTION("""COMPUTED_VALUE"""),1)</f>
        <v>1</v>
      </c>
      <c r="H1149" s="5">
        <f ca="1">IFERROR(__xludf.DUMMYFUNCTION("""COMPUTED_VALUE"""),1)</f>
        <v>1</v>
      </c>
      <c r="I1149" s="5">
        <f ca="1">IFERROR(__xludf.DUMMYFUNCTION("""COMPUTED_VALUE"""),2)</f>
        <v>2</v>
      </c>
      <c r="J1149" s="5">
        <f ca="1">IFERROR(__xludf.DUMMYFUNCTION("""COMPUTED_VALUE"""),0)</f>
        <v>0</v>
      </c>
      <c r="K1149" s="9" t="str">
        <f ca="1">IFERROR(__xludf.DUMMYFUNCTION("""COMPUTED_VALUE"""),"https://www.miamiherald.com/news/local/crime/article4139118.html")</f>
        <v>https://www.miamiherald.com/news/local/crime/article4139118.html</v>
      </c>
      <c r="L1149" s="5">
        <f ca="1">IFERROR(__xludf.DUMMYFUNCTION("""COMPUTED_VALUE"""),1)</f>
        <v>1</v>
      </c>
      <c r="M1149" s="5" t="str">
        <f ca="1">IFERROR(__xludf.DUMMYFUNCTION("""COMPUTED_VALUE"""),"Local")</f>
        <v>Local</v>
      </c>
      <c r="N1149" s="5">
        <f ca="1">IFERROR(__xludf.DUMMYFUNCTION("""COMPUTED_VALUE"""),2)</f>
        <v>2</v>
      </c>
      <c r="O1149" s="5" t="str">
        <f ca="1">IFERROR(__xludf.DUMMYFUNCTION("""COMPUTED_VALUE"""),"Fall")</f>
        <v>Fall</v>
      </c>
      <c r="P1149" s="5" t="str">
        <f ca="1">IFERROR(__xludf.DUMMYFUNCTION("""COMPUTED_VALUE"""),"Miami")</f>
        <v>Miami</v>
      </c>
      <c r="Q1149" s="5" t="str">
        <f ca="1">IFERROR(__xludf.DUMMYFUNCTION("""COMPUTED_VALUE"""),"FL")</f>
        <v>FL</v>
      </c>
      <c r="R1149" s="5" t="str">
        <f ca="1">IFERROR(__xludf.DUMMYFUNCTION("""COMPUTED_VALUE"""),"High")</f>
        <v>High</v>
      </c>
      <c r="S1149" s="5" t="str">
        <f ca="1">IFERROR(__xludf.DUMMYFUNCTION("""COMPUTED_VALUE"""),"Basketball Court")</f>
        <v>Basketball Court</v>
      </c>
      <c r="T1149" s="5" t="str">
        <f ca="1">IFERROR(__xludf.DUMMYFUNCTION("""COMPUTED_VALUE"""),"Outside on School Property")</f>
        <v>Outside on School Property</v>
      </c>
      <c r="U1149" s="5" t="str">
        <f ca="1">IFERROR(__xludf.DUMMYFUNCTION("""COMPUTED_VALUE"""),"Yes")</f>
        <v>Yes</v>
      </c>
      <c r="V1149" s="5" t="str">
        <f ca="1">IFERROR(__xludf.DUMMYFUNCTION("""COMPUTED_VALUE"""),"After School")</f>
        <v>After School</v>
      </c>
      <c r="W1149" s="10">
        <f ca="1">IFERROR(__xludf.DUMMYFUNCTION("""COMPUTED_VALUE"""),0.645833333333333)</f>
        <v>0.64583333333333304</v>
      </c>
      <c r="X1149" s="5"/>
      <c r="Y1149" s="5" t="str">
        <f ca="1">IFERROR(__xludf.DUMMYFUNCTION("""COMPUTED_VALUE"""),"Shots fired during fight between rival groups")</f>
        <v>Shots fired during fight between rival groups</v>
      </c>
      <c r="Z1149" s="5" t="str">
        <f ca="1">IFERROR(__xludf.DUMMYFUNCTION("""COMPUTED_VALUE"""),"An ongoing feud between rival parties escalated into a fight after the school day, and 1 student died, 1 was injured (the injured sought help at the school). An eyewitness reported that the fight happened either on school property or near a basketball cou"&amp;"rt at a public park adjacent to the school. It was an hour after school had ended for the day. Neither the victims, nor the suspects were students at the school, the victims were teenagers, the suspects were 1 teenager (the shooter) and 1 adult, both were"&amp;" later arrested. You tube videos with fights the year prior match some of the names involved. A female who knows the people involved reported that the feud has been going on for years.")</f>
        <v>An ongoing feud between rival parties escalated into a fight after the school day, and 1 student died, 1 was injured (the injured sought help at the school). An eyewitness reported that the fight happened either on school property or near a basketball court at a public park adjacent to the school. It was an hour after school had ended for the day. Neither the victims, nor the suspects were students at the school, the victims were teenagers, the suspects were 1 teenager (the shooter) and 1 adult, both were later arrested. You tube videos with fights the year prior match some of the names involved. A female who knows the people involved reported that the feud has been going on for years.</v>
      </c>
      <c r="AA1149" s="5" t="str">
        <f ca="1">IFERROR(__xludf.DUMMYFUNCTION("""COMPUTED_VALUE"""),"Escalation of Dispute")</f>
        <v>Escalation of Dispute</v>
      </c>
      <c r="AB1149" s="5" t="str">
        <f ca="1">IFERROR(__xludf.DUMMYFUNCTION("""COMPUTED_VALUE"""),"Victims Targeted")</f>
        <v>Victims Targeted</v>
      </c>
      <c r="AC1149" s="5" t="str">
        <f ca="1">IFERROR(__xludf.DUMMYFUNCTION("""COMPUTED_VALUE"""),"Yes")</f>
        <v>Yes</v>
      </c>
      <c r="AD1149" s="5" t="str">
        <f ca="1">IFERROR(__xludf.DUMMYFUNCTION("""COMPUTED_VALUE"""),"No")</f>
        <v>No</v>
      </c>
      <c r="AE1149" s="5" t="str">
        <f ca="1">IFERROR(__xludf.DUMMYFUNCTION("""COMPUTED_VALUE"""),"No")</f>
        <v>No</v>
      </c>
      <c r="AF1149" s="5" t="str">
        <f ca="1">IFERROR(__xludf.DUMMYFUNCTION("""COMPUTED_VALUE"""),"No")</f>
        <v>No</v>
      </c>
      <c r="AG1149" s="5" t="str">
        <f ca="1">IFERROR(__xludf.DUMMYFUNCTION("""COMPUTED_VALUE"""),"No")</f>
        <v>No</v>
      </c>
      <c r="AH1149" s="5" t="str">
        <f ca="1">IFERROR(__xludf.DUMMYFUNCTION("""COMPUTED_VALUE"""),"No")</f>
        <v>No</v>
      </c>
      <c r="AI1149" s="5" t="str">
        <f ca="1">IFERROR(__xludf.DUMMYFUNCTION("""COMPUTED_VALUE"""),"Yes")</f>
        <v>Yes</v>
      </c>
      <c r="AJ1149" s="5"/>
    </row>
    <row r="1150" spans="1:36" ht="13">
      <c r="A1150" s="5" t="str">
        <f ca="1">IFERROR(__xludf.DUMMYFUNCTION("""COMPUTED_VALUE"""),"20141024WAMAM")</f>
        <v>20141024WAMAM</v>
      </c>
      <c r="B1150" s="5">
        <f ca="1">IFERROR(__xludf.DUMMYFUNCTION("""COMPUTED_VALUE"""),10)</f>
        <v>10</v>
      </c>
      <c r="C1150" s="5">
        <f ca="1">IFERROR(__xludf.DUMMYFUNCTION("""COMPUTED_VALUE"""),24)</f>
        <v>24</v>
      </c>
      <c r="D1150" s="5">
        <f ca="1">IFERROR(__xludf.DUMMYFUNCTION("""COMPUTED_VALUE"""),2014)</f>
        <v>2014</v>
      </c>
      <c r="E1150" s="8">
        <f ca="1">IFERROR(__xludf.DUMMYFUNCTION("""COMPUTED_VALUE"""),41936)</f>
        <v>41936</v>
      </c>
      <c r="F1150" s="5" t="str">
        <f ca="1">IFERROR(__xludf.DUMMYFUNCTION("""COMPUTED_VALUE"""),"Marysville Pilchuck High School")</f>
        <v>Marysville Pilchuck High School</v>
      </c>
      <c r="G1150" s="5">
        <f ca="1">IFERROR(__xludf.DUMMYFUNCTION("""COMPUTED_VALUE"""),4)</f>
        <v>4</v>
      </c>
      <c r="H1150" s="5">
        <f ca="1">IFERROR(__xludf.DUMMYFUNCTION("""COMPUTED_VALUE"""),3)</f>
        <v>3</v>
      </c>
      <c r="I1150" s="5">
        <f ca="1">IFERROR(__xludf.DUMMYFUNCTION("""COMPUTED_VALUE"""),7)</f>
        <v>7</v>
      </c>
      <c r="J1150" s="5">
        <f ca="1">IFERROR(__xludf.DUMMYFUNCTION("""COMPUTED_VALUE"""),1)</f>
        <v>1</v>
      </c>
      <c r="K1150" s="5" t="str">
        <f ca="1">IFERROR(__xludf.DUMMYFUNCTION("""COMPUTED_VALUE"""),"http://www.newsweek.com/2015/09/25/jaylen-ray-fryberg-marysville-pilchuck-high-school-shooting-372669.html https://www.fbi.gov/file-repository/active-shooter-incidents-2000-2017.pdf")</f>
        <v>http://www.newsweek.com/2015/09/25/jaylen-ray-fryberg-marysville-pilchuck-high-school-shooting-372669.html https://www.fbi.gov/file-repository/active-shooter-incidents-2000-2017.pdf</v>
      </c>
      <c r="L1150" s="5">
        <f ca="1">IFERROR(__xludf.DUMMYFUNCTION("""COMPUTED_VALUE"""),11)</f>
        <v>11</v>
      </c>
      <c r="M1150" s="5" t="str">
        <f ca="1">IFERROR(__xludf.DUMMYFUNCTION("""COMPUTED_VALUE"""),"National")</f>
        <v>National</v>
      </c>
      <c r="N1150" s="5">
        <f ca="1">IFERROR(__xludf.DUMMYFUNCTION("""COMPUTED_VALUE"""),5)</f>
        <v>5</v>
      </c>
      <c r="O1150" s="5" t="str">
        <f ca="1">IFERROR(__xludf.DUMMYFUNCTION("""COMPUTED_VALUE"""),"Fall")</f>
        <v>Fall</v>
      </c>
      <c r="P1150" s="5" t="str">
        <f ca="1">IFERROR(__xludf.DUMMYFUNCTION("""COMPUTED_VALUE"""),"Marysville")</f>
        <v>Marysville</v>
      </c>
      <c r="Q1150" s="5" t="str">
        <f ca="1">IFERROR(__xludf.DUMMYFUNCTION("""COMPUTED_VALUE"""),"WA")</f>
        <v>WA</v>
      </c>
      <c r="R1150" s="5" t="str">
        <f ca="1">IFERROR(__xludf.DUMMYFUNCTION("""COMPUTED_VALUE"""),"High")</f>
        <v>High</v>
      </c>
      <c r="S1150" s="5" t="str">
        <f ca="1">IFERROR(__xludf.DUMMYFUNCTION("""COMPUTED_VALUE"""),"Cafeteria")</f>
        <v>Cafeteria</v>
      </c>
      <c r="T1150" s="5" t="str">
        <f ca="1">IFERROR(__xludf.DUMMYFUNCTION("""COMPUTED_VALUE"""),"Inside School Building")</f>
        <v>Inside School Building</v>
      </c>
      <c r="U1150" s="5" t="str">
        <f ca="1">IFERROR(__xludf.DUMMYFUNCTION("""COMPUTED_VALUE"""),"Yes")</f>
        <v>Yes</v>
      </c>
      <c r="V1150" s="5" t="str">
        <f ca="1">IFERROR(__xludf.DUMMYFUNCTION("""COMPUTED_VALUE"""),"Lunch")</f>
        <v>Lunch</v>
      </c>
      <c r="W1150" s="10">
        <f ca="1">IFERROR(__xludf.DUMMYFUNCTION("""COMPUTED_VALUE"""),0.44375)</f>
        <v>0.44374999999999998</v>
      </c>
      <c r="X1150" s="5">
        <f ca="1">IFERROR(__xludf.DUMMYFUNCTION("""COMPUTED_VALUE"""),1)</f>
        <v>1</v>
      </c>
      <c r="Y1150" s="5" t="str">
        <f ca="1">IFERROR(__xludf.DUMMYFUNCTION("""COMPUTED_VALUE"""),"Shooting in cafeteria after break-up with girlfriend")</f>
        <v>Shooting in cafeteria after break-up with girlfriend</v>
      </c>
      <c r="Z1150" s="5" t="str">
        <f ca="1">IFERROR(__xludf.DUMMYFUNCTION("""COMPUTED_VALUE"""),"Bullied by other students for being Native American. Good student and very involved with tribe, played sports. Hunting was primary hobby, stole gun from father. Became upset following a breakup, posted online and messaged ex-girlfriend with warnings. Shoo"&amp;"ter sent suicide note to family members just before the shooting, and fired handgun at each of his friends seated at the cafeteria table during lunch then shot himself, wrote he needed ""his crew with him"". Allegedly, one of the female victims refused to"&amp;" date him.")</f>
        <v>Bullied by other students for being Native American. Good student and very involved with tribe, played sports. Hunting was primary hobby, stole gun from father. Became upset following a breakup, posted online and messaged ex-girlfriend with warnings. Shooter sent suicide note to family members just before the shooting, and fired handgun at each of his friends seated at the cafeteria table during lunch then shot himself, wrote he needed "his crew with him". Allegedly, one of the female victims refused to date him.</v>
      </c>
      <c r="AA1150" s="5" t="str">
        <f ca="1">IFERROR(__xludf.DUMMYFUNCTION("""COMPUTED_VALUE"""),"Indiscriminate Shooting")</f>
        <v>Indiscriminate Shooting</v>
      </c>
      <c r="AB1150" s="5" t="str">
        <f ca="1">IFERROR(__xludf.DUMMYFUNCTION("""COMPUTED_VALUE"""),"Victims Targeted")</f>
        <v>Victims Targeted</v>
      </c>
      <c r="AC1150" s="5" t="str">
        <f ca="1">IFERROR(__xludf.DUMMYFUNCTION("""COMPUTED_VALUE"""),"No")</f>
        <v>No</v>
      </c>
      <c r="AD1150" s="5" t="str">
        <f ca="1">IFERROR(__xludf.DUMMYFUNCTION("""COMPUTED_VALUE"""),"No")</f>
        <v>No</v>
      </c>
      <c r="AE1150" s="5" t="str">
        <f ca="1">IFERROR(__xludf.DUMMYFUNCTION("""COMPUTED_VALUE"""),"No")</f>
        <v>No</v>
      </c>
      <c r="AF1150" s="5" t="str">
        <f ca="1">IFERROR(__xludf.DUMMYFUNCTION("""COMPUTED_VALUE"""),"No")</f>
        <v>No</v>
      </c>
      <c r="AG1150" s="5" t="str">
        <f ca="1">IFERROR(__xludf.DUMMYFUNCTION("""COMPUTED_VALUE"""),"Yes")</f>
        <v>Yes</v>
      </c>
      <c r="AH1150" s="5" t="str">
        <f ca="1">IFERROR(__xludf.DUMMYFUNCTION("""COMPUTED_VALUE"""),"Yes")</f>
        <v>Yes</v>
      </c>
      <c r="AI1150" s="5" t="str">
        <f ca="1">IFERROR(__xludf.DUMMYFUNCTION("""COMPUTED_VALUE"""),"No")</f>
        <v>No</v>
      </c>
      <c r="AJ1150" s="5" t="str">
        <f ca="1">IFERROR(__xludf.DUMMYFUNCTION("""COMPUTED_VALUE"""),"Yes")</f>
        <v>Yes</v>
      </c>
    </row>
    <row r="1151" spans="1:36" ht="13">
      <c r="A1151" s="5" t="str">
        <f ca="1">IFERROR(__xludf.DUMMYFUNCTION("""COMPUTED_VALUE"""),"20141024GALAA")</f>
        <v>20141024GALAA</v>
      </c>
      <c r="B1151" s="5">
        <f ca="1">IFERROR(__xludf.DUMMYFUNCTION("""COMPUTED_VALUE"""),10)</f>
        <v>10</v>
      </c>
      <c r="C1151" s="5">
        <f ca="1">IFERROR(__xludf.DUMMYFUNCTION("""COMPUTED_VALUE"""),24)</f>
        <v>24</v>
      </c>
      <c r="D1151" s="5">
        <f ca="1">IFERROR(__xludf.DUMMYFUNCTION("""COMPUTED_VALUE"""),2014)</f>
        <v>2014</v>
      </c>
      <c r="E1151" s="8">
        <f ca="1">IFERROR(__xludf.DUMMYFUNCTION("""COMPUTED_VALUE"""),41936)</f>
        <v>41936</v>
      </c>
      <c r="F1151" s="5" t="str">
        <f ca="1">IFERROR(__xludf.DUMMYFUNCTION("""COMPUTED_VALUE"""),"Lakewood Stadium (Mays High School Game)")</f>
        <v>Lakewood Stadium (Mays High School Game)</v>
      </c>
      <c r="G1151" s="5">
        <f ca="1">IFERROR(__xludf.DUMMYFUNCTION("""COMPUTED_VALUE"""),0)</f>
        <v>0</v>
      </c>
      <c r="H1151" s="5">
        <f ca="1">IFERROR(__xludf.DUMMYFUNCTION("""COMPUTED_VALUE"""),1)</f>
        <v>1</v>
      </c>
      <c r="I1151" s="5">
        <f ca="1">IFERROR(__xludf.DUMMYFUNCTION("""COMPUTED_VALUE"""),1)</f>
        <v>1</v>
      </c>
      <c r="J1151" s="5">
        <f ca="1">IFERROR(__xludf.DUMMYFUNCTION("""COMPUTED_VALUE"""),0)</f>
        <v>0</v>
      </c>
      <c r="K1151" s="9" t="str">
        <f ca="1">IFERROR(__xludf.DUMMYFUNCTION("""COMPUTED_VALUE"""),"https://www.wsbtv.com/news/shots-fired-lakewood-stadium/137231817")</f>
        <v>https://www.wsbtv.com/news/shots-fired-lakewood-stadium/137231817</v>
      </c>
      <c r="L1151" s="5"/>
      <c r="M1151" s="5"/>
      <c r="N1151" s="5">
        <f ca="1">IFERROR(__xludf.DUMMYFUNCTION("""COMPUTED_VALUE"""),4)</f>
        <v>4</v>
      </c>
      <c r="O1151" s="5" t="str">
        <f ca="1">IFERROR(__xludf.DUMMYFUNCTION("""COMPUTED_VALUE"""),"Fall")</f>
        <v>Fall</v>
      </c>
      <c r="P1151" s="5" t="str">
        <f ca="1">IFERROR(__xludf.DUMMYFUNCTION("""COMPUTED_VALUE"""),"Atlanta")</f>
        <v>Atlanta</v>
      </c>
      <c r="Q1151" s="5" t="str">
        <f ca="1">IFERROR(__xludf.DUMMYFUNCTION("""COMPUTED_VALUE"""),"GA")</f>
        <v>GA</v>
      </c>
      <c r="R1151" s="5" t="str">
        <f ca="1">IFERROR(__xludf.DUMMYFUNCTION("""COMPUTED_VALUE"""),"High")</f>
        <v>High</v>
      </c>
      <c r="S1151" s="5" t="str">
        <f ca="1">IFERROR(__xludf.DUMMYFUNCTION("""COMPUTED_VALUE"""),"Parking Lot")</f>
        <v>Parking Lot</v>
      </c>
      <c r="T1151" s="5" t="str">
        <f ca="1">IFERROR(__xludf.DUMMYFUNCTION("""COMPUTED_VALUE"""),"Outside on School Property")</f>
        <v>Outside on School Property</v>
      </c>
      <c r="U1151" s="5" t="str">
        <f ca="1">IFERROR(__xludf.DUMMYFUNCTION("""COMPUTED_VALUE"""),"No")</f>
        <v>No</v>
      </c>
      <c r="V1151" s="5" t="str">
        <f ca="1">IFERROR(__xludf.DUMMYFUNCTION("""COMPUTED_VALUE"""),"Sport Event")</f>
        <v>Sport Event</v>
      </c>
      <c r="W1151" s="10">
        <f ca="1">IFERROR(__xludf.DUMMYFUNCTION("""COMPUTED_VALUE"""),0.958333333333333)</f>
        <v>0.95833333333333304</v>
      </c>
      <c r="X1151" s="5">
        <f ca="1">IFERROR(__xludf.DUMMYFUNCTION("""COMPUTED_VALUE"""),1)</f>
        <v>1</v>
      </c>
      <c r="Y1151" s="5" t="str">
        <f ca="1">IFERROR(__xludf.DUMMYFUNCTION("""COMPUTED_VALUE"""),"Shots fired in parking lot during football game")</f>
        <v>Shots fired in parking lot during football game</v>
      </c>
      <c r="Z1151" s="5" t="str">
        <f ca="1">IFERROR(__xludf.DUMMYFUNCTION("""COMPUTED_VALUE"""),"Shots fired in parking lot during high school football game. Police officers assigned to the game saw the shooting occur and one fired at the shooter (stuck in arm). Three other guns were recovered. Remainder of game and other games were cancelled.")</f>
        <v>Shots fired in parking lot during high school football game. Police officers assigned to the game saw the shooting occur and one fired at the shooter (stuck in arm). Three other guns were recovered. Remainder of game and other games were cancelled.</v>
      </c>
      <c r="AA1151" s="5" t="str">
        <f ca="1">IFERROR(__xludf.DUMMYFUNCTION("""COMPUTED_VALUE"""),"Escalation of Dispute")</f>
        <v>Escalation of Dispute</v>
      </c>
      <c r="AB1151" s="5" t="str">
        <f ca="1">IFERROR(__xludf.DUMMYFUNCTION("""COMPUTED_VALUE"""),"Victims Targeted")</f>
        <v>Victims Targeted</v>
      </c>
      <c r="AC1151" s="5" t="str">
        <f ca="1">IFERROR(__xludf.DUMMYFUNCTION("""COMPUTED_VALUE"""),"Yes")</f>
        <v>Yes</v>
      </c>
      <c r="AD1151" s="5" t="str">
        <f ca="1">IFERROR(__xludf.DUMMYFUNCTION("""COMPUTED_VALUE"""),"No")</f>
        <v>No</v>
      </c>
      <c r="AE1151" s="5" t="str">
        <f ca="1">IFERROR(__xludf.DUMMYFUNCTION("""COMPUTED_VALUE"""),"No")</f>
        <v>No</v>
      </c>
      <c r="AF1151" s="5" t="str">
        <f ca="1">IFERROR(__xludf.DUMMYFUNCTION("""COMPUTED_VALUE"""),"No")</f>
        <v>No</v>
      </c>
      <c r="AG1151" s="5" t="str">
        <f ca="1">IFERROR(__xludf.DUMMYFUNCTION("""COMPUTED_VALUE"""),"No")</f>
        <v>No</v>
      </c>
      <c r="AH1151" s="5" t="str">
        <f ca="1">IFERROR(__xludf.DUMMYFUNCTION("""COMPUTED_VALUE"""),"No")</f>
        <v>No</v>
      </c>
      <c r="AI1151" s="5"/>
      <c r="AJ1151" s="5" t="str">
        <f ca="1">IFERROR(__xludf.DUMMYFUNCTION("""COMPUTED_VALUE"""),"No")</f>
        <v>No</v>
      </c>
    </row>
    <row r="1152" spans="1:36" ht="13">
      <c r="A1152" s="5" t="str">
        <f ca="1">IFERROR(__xludf.DUMMYFUNCTION("""COMPUTED_VALUE"""),"20141021TNAMM")</f>
        <v>20141021TNAMM</v>
      </c>
      <c r="B1152" s="5">
        <f ca="1">IFERROR(__xludf.DUMMYFUNCTION("""COMPUTED_VALUE"""),10)</f>
        <v>10</v>
      </c>
      <c r="C1152" s="5">
        <f ca="1">IFERROR(__xludf.DUMMYFUNCTION("""COMPUTED_VALUE"""),21)</f>
        <v>21</v>
      </c>
      <c r="D1152" s="5">
        <f ca="1">IFERROR(__xludf.DUMMYFUNCTION("""COMPUTED_VALUE"""),2014)</f>
        <v>2014</v>
      </c>
      <c r="E1152" s="8">
        <f ca="1">IFERROR(__xludf.DUMMYFUNCTION("""COMPUTED_VALUE"""),41933)</f>
        <v>41933</v>
      </c>
      <c r="F1152" s="5" t="str">
        <f ca="1">IFERROR(__xludf.DUMMYFUNCTION("""COMPUTED_VALUE"""),"A Maceo Walker Middle School")</f>
        <v>A Maceo Walker Middle School</v>
      </c>
      <c r="G1152" s="5">
        <f ca="1">IFERROR(__xludf.DUMMYFUNCTION("""COMPUTED_VALUE"""),0)</f>
        <v>0</v>
      </c>
      <c r="H1152" s="5">
        <f ca="1">IFERROR(__xludf.DUMMYFUNCTION("""COMPUTED_VALUE"""),1)</f>
        <v>1</v>
      </c>
      <c r="I1152" s="5">
        <f ca="1">IFERROR(__xludf.DUMMYFUNCTION("""COMPUTED_VALUE"""),1)</f>
        <v>1</v>
      </c>
      <c r="J1152" s="5">
        <f ca="1">IFERROR(__xludf.DUMMYFUNCTION("""COMPUTED_VALUE"""),0)</f>
        <v>0</v>
      </c>
      <c r="K1152" s="9" t="str">
        <f ca="1">IFERROR(__xludf.DUMMYFUNCTION("""COMPUTED_VALUE"""),"http://archive.commercialappeal.com/news/crime/student-shoots-himself-in-leg-at-a-maceo-walker-middle-memphis-police-say-ep-692582895-324312081.html/")</f>
        <v>http://archive.commercialappeal.com/news/crime/student-shoots-himself-in-leg-at-a-maceo-walker-middle-memphis-police-say-ep-692582895-324312081.html/</v>
      </c>
      <c r="L1152" s="5">
        <f ca="1">IFERROR(__xludf.DUMMYFUNCTION("""COMPUTED_VALUE"""),1)</f>
        <v>1</v>
      </c>
      <c r="M1152" s="5" t="str">
        <f ca="1">IFERROR(__xludf.DUMMYFUNCTION("""COMPUTED_VALUE"""),"Local")</f>
        <v>Local</v>
      </c>
      <c r="N1152" s="5">
        <f ca="1">IFERROR(__xludf.DUMMYFUNCTION("""COMPUTED_VALUE"""),2)</f>
        <v>2</v>
      </c>
      <c r="O1152" s="5" t="str">
        <f ca="1">IFERROR(__xludf.DUMMYFUNCTION("""COMPUTED_VALUE"""),"Fall")</f>
        <v>Fall</v>
      </c>
      <c r="P1152" s="5" t="str">
        <f ca="1">IFERROR(__xludf.DUMMYFUNCTION("""COMPUTED_VALUE"""),"Memphis")</f>
        <v>Memphis</v>
      </c>
      <c r="Q1152" s="5" t="str">
        <f ca="1">IFERROR(__xludf.DUMMYFUNCTION("""COMPUTED_VALUE"""),"TN")</f>
        <v>TN</v>
      </c>
      <c r="R1152" s="5" t="str">
        <f ca="1">IFERROR(__xludf.DUMMYFUNCTION("""COMPUTED_VALUE"""),"Middle")</f>
        <v>Middle</v>
      </c>
      <c r="S1152" s="5" t="str">
        <f ca="1">IFERROR(__xludf.DUMMYFUNCTION("""COMPUTED_VALUE"""),"Hallway")</f>
        <v>Hallway</v>
      </c>
      <c r="T1152" s="5" t="str">
        <f ca="1">IFERROR(__xludf.DUMMYFUNCTION("""COMPUTED_VALUE"""),"Inside School Building")</f>
        <v>Inside School Building</v>
      </c>
      <c r="U1152" s="5" t="str">
        <f ca="1">IFERROR(__xludf.DUMMYFUNCTION("""COMPUTED_VALUE"""),"Yes")</f>
        <v>Yes</v>
      </c>
      <c r="V1152" s="5" t="str">
        <f ca="1">IFERROR(__xludf.DUMMYFUNCTION("""COMPUTED_VALUE"""),"Morning Classes")</f>
        <v>Morning Classes</v>
      </c>
      <c r="W1152" s="10">
        <f ca="1">IFERROR(__xludf.DUMMYFUNCTION("""COMPUTED_VALUE"""),0.322916666666666)</f>
        <v>0.32291666666666602</v>
      </c>
      <c r="X1152" s="5">
        <f ca="1">IFERROR(__xludf.DUMMYFUNCTION("""COMPUTED_VALUE"""),1)</f>
        <v>1</v>
      </c>
      <c r="Y1152" s="5" t="str">
        <f ca="1">IFERROR(__xludf.DUMMYFUNCTION("""COMPUTED_VALUE"""),"Accidental discharge of gun in bag in classroom")</f>
        <v>Accidental discharge of gun in bag in classroom</v>
      </c>
      <c r="Z1152" s="5" t="str">
        <f ca="1">IFERROR(__xludf.DUMMYFUNCTION("""COMPUTED_VALUE"""),"13 year old male brought gun to school - during class break he stopped to show it to his classmates when he dropped his bag and the gun fired striking the boy in his leg - boy was taken to hospital, treated and released.")</f>
        <v>13 year old male brought gun to school - during class break he stopped to show it to his classmates when he dropped his bag and the gun fired striking the boy in his leg - boy was taken to hospital, treated and released.</v>
      </c>
      <c r="AA1152" s="5" t="str">
        <f ca="1">IFERROR(__xludf.DUMMYFUNCTION("""COMPUTED_VALUE"""),"Accidental")</f>
        <v>Accidental</v>
      </c>
      <c r="AB1152" s="5" t="str">
        <f ca="1">IFERROR(__xludf.DUMMYFUNCTION("""COMPUTED_VALUE"""),"Random Shooting")</f>
        <v>Random Shooting</v>
      </c>
      <c r="AC1152" s="5" t="str">
        <f ca="1">IFERROR(__xludf.DUMMYFUNCTION("""COMPUTED_VALUE"""),"No")</f>
        <v>No</v>
      </c>
      <c r="AD1152" s="5" t="str">
        <f ca="1">IFERROR(__xludf.DUMMYFUNCTION("""COMPUTED_VALUE"""),"No")</f>
        <v>No</v>
      </c>
      <c r="AE1152" s="5" t="str">
        <f ca="1">IFERROR(__xludf.DUMMYFUNCTION("""COMPUTED_VALUE"""),"No")</f>
        <v>No</v>
      </c>
      <c r="AF1152" s="5" t="str">
        <f ca="1">IFERROR(__xludf.DUMMYFUNCTION("""COMPUTED_VALUE"""),"No")</f>
        <v>No</v>
      </c>
      <c r="AG1152" s="5" t="str">
        <f ca="1">IFERROR(__xludf.DUMMYFUNCTION("""COMPUTED_VALUE"""),"No")</f>
        <v>No</v>
      </c>
      <c r="AH1152" s="5" t="str">
        <f ca="1">IFERROR(__xludf.DUMMYFUNCTION("""COMPUTED_VALUE"""),"No")</f>
        <v>No</v>
      </c>
      <c r="AI1152" s="5" t="str">
        <f ca="1">IFERROR(__xludf.DUMMYFUNCTION("""COMPUTED_VALUE"""),"No")</f>
        <v>No</v>
      </c>
      <c r="AJ1152" s="5"/>
    </row>
    <row r="1153" spans="1:36" ht="13">
      <c r="A1153" s="5" t="str">
        <f ca="1">IFERROR(__xludf.DUMMYFUNCTION("""COMPUTED_VALUE"""),"20141003GALAF")</f>
        <v>20141003GALAF</v>
      </c>
      <c r="B1153" s="5">
        <f ca="1">IFERROR(__xludf.DUMMYFUNCTION("""COMPUTED_VALUE"""),10)</f>
        <v>10</v>
      </c>
      <c r="C1153" s="5">
        <f ca="1">IFERROR(__xludf.DUMMYFUNCTION("""COMPUTED_VALUE"""),3)</f>
        <v>3</v>
      </c>
      <c r="D1153" s="5">
        <f ca="1">IFERROR(__xludf.DUMMYFUNCTION("""COMPUTED_VALUE"""),2014)</f>
        <v>2014</v>
      </c>
      <c r="E1153" s="8">
        <f ca="1">IFERROR(__xludf.DUMMYFUNCTION("""COMPUTED_VALUE"""),41915)</f>
        <v>41915</v>
      </c>
      <c r="F1153" s="5" t="str">
        <f ca="1">IFERROR(__xludf.DUMMYFUNCTION("""COMPUTED_VALUE"""),"Langston Hughes High School")</f>
        <v>Langston Hughes High School</v>
      </c>
      <c r="G1153" s="5">
        <f ca="1">IFERROR(__xludf.DUMMYFUNCTION("""COMPUTED_VALUE"""),1)</f>
        <v>1</v>
      </c>
      <c r="H1153" s="5">
        <f ca="1">IFERROR(__xludf.DUMMYFUNCTION("""COMPUTED_VALUE"""),0)</f>
        <v>0</v>
      </c>
      <c r="I1153" s="5">
        <f ca="1">IFERROR(__xludf.DUMMYFUNCTION("""COMPUTED_VALUE"""),1)</f>
        <v>1</v>
      </c>
      <c r="J1153" s="5">
        <f ca="1">IFERROR(__xludf.DUMMYFUNCTION("""COMPUTED_VALUE"""),0)</f>
        <v>0</v>
      </c>
      <c r="K1153" s="9" t="str">
        <f ca="1">IFERROR(__xludf.DUMMYFUNCTION("""COMPUTED_VALUE"""),"https://www.wsbtv.com/news/17-year-old-shot-killed-after-high-school-football/137193168")</f>
        <v>https://www.wsbtv.com/news/17-year-old-shot-killed-after-high-school-football/137193168</v>
      </c>
      <c r="L1153" s="5">
        <f ca="1">IFERROR(__xludf.DUMMYFUNCTION("""COMPUTED_VALUE"""),5)</f>
        <v>5</v>
      </c>
      <c r="M1153" s="5" t="str">
        <f ca="1">IFERROR(__xludf.DUMMYFUNCTION("""COMPUTED_VALUE"""),"Local")</f>
        <v>Local</v>
      </c>
      <c r="N1153" s="5">
        <f ca="1">IFERROR(__xludf.DUMMYFUNCTION("""COMPUTED_VALUE"""),2)</f>
        <v>2</v>
      </c>
      <c r="O1153" s="5" t="str">
        <f ca="1">IFERROR(__xludf.DUMMYFUNCTION("""COMPUTED_VALUE"""),"Fall")</f>
        <v>Fall</v>
      </c>
      <c r="P1153" s="5" t="str">
        <f ca="1">IFERROR(__xludf.DUMMYFUNCTION("""COMPUTED_VALUE"""),"Fairburn")</f>
        <v>Fairburn</v>
      </c>
      <c r="Q1153" s="5" t="str">
        <f ca="1">IFERROR(__xludf.DUMMYFUNCTION("""COMPUTED_VALUE"""),"GA")</f>
        <v>GA</v>
      </c>
      <c r="R1153" s="5" t="str">
        <f ca="1">IFERROR(__xludf.DUMMYFUNCTION("""COMPUTED_VALUE"""),"High")</f>
        <v>High</v>
      </c>
      <c r="S1153" s="5" t="str">
        <f ca="1">IFERROR(__xludf.DUMMYFUNCTION("""COMPUTED_VALUE"""),"Football Field/Track")</f>
        <v>Football Field/Track</v>
      </c>
      <c r="T1153" s="5" t="str">
        <f ca="1">IFERROR(__xludf.DUMMYFUNCTION("""COMPUTED_VALUE"""),"Outside on School Property")</f>
        <v>Outside on School Property</v>
      </c>
      <c r="U1153" s="5" t="str">
        <f ca="1">IFERROR(__xludf.DUMMYFUNCTION("""COMPUTED_VALUE"""),"No")</f>
        <v>No</v>
      </c>
      <c r="V1153" s="5" t="str">
        <f ca="1">IFERROR(__xludf.DUMMYFUNCTION("""COMPUTED_VALUE"""),"Sport Event")</f>
        <v>Sport Event</v>
      </c>
      <c r="W1153" s="10">
        <f ca="1">IFERROR(__xludf.DUMMYFUNCTION("""COMPUTED_VALUE"""),0.916666666666666)</f>
        <v>0.91666666666666596</v>
      </c>
      <c r="X1153" s="5">
        <f ca="1">IFERROR(__xludf.DUMMYFUNCTION("""COMPUTED_VALUE"""),1)</f>
        <v>1</v>
      </c>
      <c r="Y1153" s="5" t="str">
        <f ca="1">IFERROR(__xludf.DUMMYFUNCTION("""COMPUTED_VALUE"""),"Altercation following football game; gang affiliation suspected but not confirmed")</f>
        <v>Altercation following football game; gang affiliation suspected but not confirmed</v>
      </c>
      <c r="Z1153" s="5" t="str">
        <f ca="1">IFERROR(__xludf.DUMMYFUNCTION("""COMPUTED_VALUE"""),"Fight between students following a football game escalated into shooting.")</f>
        <v>Fight between students following a football game escalated into shooting.</v>
      </c>
      <c r="AA1153" s="5" t="str">
        <f ca="1">IFERROR(__xludf.DUMMYFUNCTION("""COMPUTED_VALUE"""),"Escalation of Dispute")</f>
        <v>Escalation of Dispute</v>
      </c>
      <c r="AB1153" s="5" t="str">
        <f ca="1">IFERROR(__xludf.DUMMYFUNCTION("""COMPUTED_VALUE"""),"Victims Targeted")</f>
        <v>Victims Targeted</v>
      </c>
      <c r="AC1153" s="5" t="str">
        <f ca="1">IFERROR(__xludf.DUMMYFUNCTION("""COMPUTED_VALUE"""),"Yes")</f>
        <v>Yes</v>
      </c>
      <c r="AD1153" s="5" t="str">
        <f ca="1">IFERROR(__xludf.DUMMYFUNCTION("""COMPUTED_VALUE"""),"No")</f>
        <v>No</v>
      </c>
      <c r="AE1153" s="5" t="str">
        <f ca="1">IFERROR(__xludf.DUMMYFUNCTION("""COMPUTED_VALUE"""),"No")</f>
        <v>No</v>
      </c>
      <c r="AF1153" s="5" t="str">
        <f ca="1">IFERROR(__xludf.DUMMYFUNCTION("""COMPUTED_VALUE"""),"No")</f>
        <v>No</v>
      </c>
      <c r="AG1153" s="5" t="str">
        <f ca="1">IFERROR(__xludf.DUMMYFUNCTION("""COMPUTED_VALUE"""),"No")</f>
        <v>No</v>
      </c>
      <c r="AH1153" s="5" t="str">
        <f ca="1">IFERROR(__xludf.DUMMYFUNCTION("""COMPUTED_VALUE"""),"No")</f>
        <v>No</v>
      </c>
      <c r="AI1153" s="5" t="str">
        <f ca="1">IFERROR(__xludf.DUMMYFUNCTION("""COMPUTED_VALUE"""),"Yes")</f>
        <v>Yes</v>
      </c>
      <c r="AJ1153" s="5"/>
    </row>
    <row r="1154" spans="1:36" ht="13">
      <c r="A1154" s="5" t="str">
        <f ca="1">IFERROR(__xludf.DUMMYFUNCTION("""COMPUTED_VALUE"""),"20140930KYFEL")</f>
        <v>20140930KYFEL</v>
      </c>
      <c r="B1154" s="5">
        <f ca="1">IFERROR(__xludf.DUMMYFUNCTION("""COMPUTED_VALUE"""),9)</f>
        <v>9</v>
      </c>
      <c r="C1154" s="5">
        <f ca="1">IFERROR(__xludf.DUMMYFUNCTION("""COMPUTED_VALUE"""),30)</f>
        <v>30</v>
      </c>
      <c r="D1154" s="5">
        <f ca="1">IFERROR(__xludf.DUMMYFUNCTION("""COMPUTED_VALUE"""),2014)</f>
        <v>2014</v>
      </c>
      <c r="E1154" s="8">
        <f ca="1">IFERROR(__xludf.DUMMYFUNCTION("""COMPUTED_VALUE"""),41912)</f>
        <v>41912</v>
      </c>
      <c r="F1154" s="5" t="str">
        <f ca="1">IFERROR(__xludf.DUMMYFUNCTION("""COMPUTED_VALUE"""),"Fern Creek Traditional High School")</f>
        <v>Fern Creek Traditional High School</v>
      </c>
      <c r="G1154" s="5">
        <f ca="1">IFERROR(__xludf.DUMMYFUNCTION("""COMPUTED_VALUE"""),0)</f>
        <v>0</v>
      </c>
      <c r="H1154" s="5">
        <f ca="1">IFERROR(__xludf.DUMMYFUNCTION("""COMPUTED_VALUE"""),1)</f>
        <v>1</v>
      </c>
      <c r="I1154" s="5">
        <f ca="1">IFERROR(__xludf.DUMMYFUNCTION("""COMPUTED_VALUE"""),1)</f>
        <v>1</v>
      </c>
      <c r="J1154" s="5">
        <f ca="1">IFERROR(__xludf.DUMMYFUNCTION("""COMPUTED_VALUE"""),0)</f>
        <v>0</v>
      </c>
      <c r="K1154" s="9" t="str">
        <f ca="1">IFERROR(__xludf.DUMMYFUNCTION("""COMPUTED_VALUE"""),"http://www.wdrb.com/story/31888475/teen-sentenced-for-shooting-fern-creek-high-school-student-in-2014")</f>
        <v>http://www.wdrb.com/story/31888475/teen-sentenced-for-shooting-fern-creek-high-school-student-in-2014</v>
      </c>
      <c r="L1154" s="5">
        <f ca="1">IFERROR(__xludf.DUMMYFUNCTION("""COMPUTED_VALUE"""),5)</f>
        <v>5</v>
      </c>
      <c r="M1154" s="5" t="str">
        <f ca="1">IFERROR(__xludf.DUMMYFUNCTION("""COMPUTED_VALUE"""),"Local")</f>
        <v>Local</v>
      </c>
      <c r="N1154" s="5">
        <f ca="1">IFERROR(__xludf.DUMMYFUNCTION("""COMPUTED_VALUE"""),2)</f>
        <v>2</v>
      </c>
      <c r="O1154" s="5" t="str">
        <f ca="1">IFERROR(__xludf.DUMMYFUNCTION("""COMPUTED_VALUE"""),"Fall")</f>
        <v>Fall</v>
      </c>
      <c r="P1154" s="5" t="str">
        <f ca="1">IFERROR(__xludf.DUMMYFUNCTION("""COMPUTED_VALUE"""),"Louisville")</f>
        <v>Louisville</v>
      </c>
      <c r="Q1154" s="5" t="str">
        <f ca="1">IFERROR(__xludf.DUMMYFUNCTION("""COMPUTED_VALUE"""),"KY")</f>
        <v>KY</v>
      </c>
      <c r="R1154" s="5" t="str">
        <f ca="1">IFERROR(__xludf.DUMMYFUNCTION("""COMPUTED_VALUE"""),"High")</f>
        <v>High</v>
      </c>
      <c r="S1154" s="5" t="str">
        <f ca="1">IFERROR(__xludf.DUMMYFUNCTION("""COMPUTED_VALUE"""),"Hallway")</f>
        <v>Hallway</v>
      </c>
      <c r="T1154" s="5" t="str">
        <f ca="1">IFERROR(__xludf.DUMMYFUNCTION("""COMPUTED_VALUE"""),"Inside School Building")</f>
        <v>Inside School Building</v>
      </c>
      <c r="U1154" s="5" t="str">
        <f ca="1">IFERROR(__xludf.DUMMYFUNCTION("""COMPUTED_VALUE"""),"Yes")</f>
        <v>Yes</v>
      </c>
      <c r="V1154" s="5" t="str">
        <f ca="1">IFERROR(__xludf.DUMMYFUNCTION("""COMPUTED_VALUE"""),"Afternoon Classes")</f>
        <v>Afternoon Classes</v>
      </c>
      <c r="W1154" s="10">
        <f ca="1">IFERROR(__xludf.DUMMYFUNCTION("""COMPUTED_VALUE"""),0.541666666666666)</f>
        <v>0.54166666666666596</v>
      </c>
      <c r="X1154" s="5">
        <f ca="1">IFERROR(__xludf.DUMMYFUNCTION("""COMPUTED_VALUE"""),1)</f>
        <v>1</v>
      </c>
      <c r="Y1154" s="5" t="str">
        <f ca="1">IFERROR(__xludf.DUMMYFUNCTION("""COMPUTED_VALUE"""),"Shots during dispute over iPad/money")</f>
        <v>Shots during dispute over iPad/money</v>
      </c>
      <c r="Z1154" s="5" t="str">
        <f ca="1">IFERROR(__xludf.DUMMYFUNCTION("""COMPUTED_VALUE"""),"Allegedly shooter told police he ""got mad"" because he believed the other student had given him a counterfeit $100 bill in exchange for an iPad, shooter shot and injured the other student. Shooter fled the scene and was found at a nearby apartment comple"&amp;"x. Shooter had previous charge for possession of a handgun by a minor. After the shooting, shooter was put on probation, which he violated by possessing a gun, and will serve the sentence in jail.")</f>
        <v>Allegedly shooter told police he "got mad" because he believed the other student had given him a counterfeit $100 bill in exchange for an iPad, shooter shot and injured the other student. Shooter fled the scene and was found at a nearby apartment complex. Shooter had previous charge for possession of a handgun by a minor. After the shooting, shooter was put on probation, which he violated by possessing a gun, and will serve the sentence in jail.</v>
      </c>
      <c r="AA1154" s="5" t="str">
        <f ca="1">IFERROR(__xludf.DUMMYFUNCTION("""COMPUTED_VALUE"""),"Escalation of Dispute")</f>
        <v>Escalation of Dispute</v>
      </c>
      <c r="AB1154" s="5" t="str">
        <f ca="1">IFERROR(__xludf.DUMMYFUNCTION("""COMPUTED_VALUE"""),"Victims Targeted")</f>
        <v>Victims Targeted</v>
      </c>
      <c r="AC1154" s="5" t="str">
        <f ca="1">IFERROR(__xludf.DUMMYFUNCTION("""COMPUTED_VALUE"""),"No")</f>
        <v>No</v>
      </c>
      <c r="AD1154" s="5" t="str">
        <f ca="1">IFERROR(__xludf.DUMMYFUNCTION("""COMPUTED_VALUE"""),"No")</f>
        <v>No</v>
      </c>
      <c r="AE1154" s="5" t="str">
        <f ca="1">IFERROR(__xludf.DUMMYFUNCTION("""COMPUTED_VALUE"""),"No")</f>
        <v>No</v>
      </c>
      <c r="AF1154" s="5" t="str">
        <f ca="1">IFERROR(__xludf.DUMMYFUNCTION("""COMPUTED_VALUE"""),"No")</f>
        <v>No</v>
      </c>
      <c r="AG1154" s="5" t="str">
        <f ca="1">IFERROR(__xludf.DUMMYFUNCTION("""COMPUTED_VALUE"""),"No")</f>
        <v>No</v>
      </c>
      <c r="AH1154" s="5" t="str">
        <f ca="1">IFERROR(__xludf.DUMMYFUNCTION("""COMPUTED_VALUE"""),"No")</f>
        <v>No</v>
      </c>
      <c r="AI1154" s="5" t="str">
        <f ca="1">IFERROR(__xludf.DUMMYFUNCTION("""COMPUTED_VALUE"""),"No")</f>
        <v>No</v>
      </c>
      <c r="AJ1154" s="5"/>
    </row>
    <row r="1155" spans="1:36" ht="13">
      <c r="A1155" s="5" t="str">
        <f ca="1">IFERROR(__xludf.DUMMYFUNCTION("""COMPUTED_VALUE"""),"20140930NCALA")</f>
        <v>20140930NCALA</v>
      </c>
      <c r="B1155" s="5">
        <f ca="1">IFERROR(__xludf.DUMMYFUNCTION("""COMPUTED_VALUE"""),9)</f>
        <v>9</v>
      </c>
      <c r="C1155" s="5">
        <f ca="1">IFERROR(__xludf.DUMMYFUNCTION("""COMPUTED_VALUE"""),30)</f>
        <v>30</v>
      </c>
      <c r="D1155" s="5">
        <f ca="1">IFERROR(__xludf.DUMMYFUNCTION("""COMPUTED_VALUE"""),2014)</f>
        <v>2014</v>
      </c>
      <c r="E1155" s="8">
        <f ca="1">IFERROR(__xludf.DUMMYFUNCTION("""COMPUTED_VALUE"""),41912)</f>
        <v>41912</v>
      </c>
      <c r="F1155" s="5" t="str">
        <f ca="1">IFERROR(__xludf.DUMMYFUNCTION("""COMPUTED_VALUE"""),"Albemarle High School")</f>
        <v>Albemarle High School</v>
      </c>
      <c r="G1155" s="5">
        <f ca="1">IFERROR(__xludf.DUMMYFUNCTION("""COMPUTED_VALUE"""),0)</f>
        <v>0</v>
      </c>
      <c r="H1155" s="5">
        <f ca="1">IFERROR(__xludf.DUMMYFUNCTION("""COMPUTED_VALUE"""),1)</f>
        <v>1</v>
      </c>
      <c r="I1155" s="5">
        <f ca="1">IFERROR(__xludf.DUMMYFUNCTION("""COMPUTED_VALUE"""),1)</f>
        <v>1</v>
      </c>
      <c r="J1155" s="5">
        <f ca="1">IFERROR(__xludf.DUMMYFUNCTION("""COMPUTED_VALUE"""),0)</f>
        <v>0</v>
      </c>
      <c r="K1155" s="9" t="str">
        <f ca="1">IFERROR(__xludf.DUMMYFUNCTION("""COMPUTED_VALUE"""),"https://www.usatoday.com/story/news/2014/09/30/police-1-shot-at-albemarle-high-school-1-in-custody/16469203/")</f>
        <v>https://www.usatoday.com/story/news/2014/09/30/police-1-shot-at-albemarle-high-school-1-in-custody/16469203/</v>
      </c>
      <c r="L1155" s="5">
        <f ca="1">IFERROR(__xludf.DUMMYFUNCTION("""COMPUTED_VALUE"""),5)</f>
        <v>5</v>
      </c>
      <c r="M1155" s="5" t="str">
        <f ca="1">IFERROR(__xludf.DUMMYFUNCTION("""COMPUTED_VALUE"""),"Local")</f>
        <v>Local</v>
      </c>
      <c r="N1155" s="5">
        <f ca="1">IFERROR(__xludf.DUMMYFUNCTION("""COMPUTED_VALUE"""),2)</f>
        <v>2</v>
      </c>
      <c r="O1155" s="5" t="str">
        <f ca="1">IFERROR(__xludf.DUMMYFUNCTION("""COMPUTED_VALUE"""),"Fall")</f>
        <v>Fall</v>
      </c>
      <c r="P1155" s="5" t="str">
        <f ca="1">IFERROR(__xludf.DUMMYFUNCTION("""COMPUTED_VALUE"""),"Albemarle")</f>
        <v>Albemarle</v>
      </c>
      <c r="Q1155" s="5" t="str">
        <f ca="1">IFERROR(__xludf.DUMMYFUNCTION("""COMPUTED_VALUE"""),"NC")</f>
        <v>NC</v>
      </c>
      <c r="R1155" s="5" t="str">
        <f ca="1">IFERROR(__xludf.DUMMYFUNCTION("""COMPUTED_VALUE"""),"High")</f>
        <v>High</v>
      </c>
      <c r="S1155" s="5" t="str">
        <f ca="1">IFERROR(__xludf.DUMMYFUNCTION("""COMPUTED_VALUE"""),"Courtyard")</f>
        <v>Courtyard</v>
      </c>
      <c r="T1155" s="5" t="str">
        <f ca="1">IFERROR(__xludf.DUMMYFUNCTION("""COMPUTED_VALUE"""),"Outside on School Property")</f>
        <v>Outside on School Property</v>
      </c>
      <c r="U1155" s="5" t="str">
        <f ca="1">IFERROR(__xludf.DUMMYFUNCTION("""COMPUTED_VALUE"""),"Yes")</f>
        <v>Yes</v>
      </c>
      <c r="V1155" s="5" t="str">
        <f ca="1">IFERROR(__xludf.DUMMYFUNCTION("""COMPUTED_VALUE"""),"Before School")</f>
        <v>Before School</v>
      </c>
      <c r="W1155" s="10">
        <f ca="1">IFERROR(__xludf.DUMMYFUNCTION("""COMPUTED_VALUE"""),0.319444444444444)</f>
        <v>0.31944444444444398</v>
      </c>
      <c r="X1155" s="5"/>
      <c r="Y1155" s="5" t="str">
        <f ca="1">IFERROR(__xludf.DUMMYFUNCTION("""COMPUTED_VALUE"""),"Shooting during fight in school parking lot")</f>
        <v>Shooting during fight in school parking lot</v>
      </c>
      <c r="Z1155" s="5" t="str">
        <f ca="1">IFERROR(__xludf.DUMMYFUNCTION("""COMPUTED_VALUE"""),"Ongoing fight between two students lasted for at least few days and escalated into shooting in the courtyard before classes started. One of the students was shot in the leg, the shooter surrendered and dropped the gun.")</f>
        <v>Ongoing fight between two students lasted for at least few days and escalated into shooting in the courtyard before classes started. One of the students was shot in the leg, the shooter surrendered and dropped the gun.</v>
      </c>
      <c r="AA1155" s="5" t="str">
        <f ca="1">IFERROR(__xludf.DUMMYFUNCTION("""COMPUTED_VALUE"""),"Escalation of Dispute")</f>
        <v>Escalation of Dispute</v>
      </c>
      <c r="AB1155" s="5" t="str">
        <f ca="1">IFERROR(__xludf.DUMMYFUNCTION("""COMPUTED_VALUE"""),"Victims Targeted")</f>
        <v>Victims Targeted</v>
      </c>
      <c r="AC1155" s="5" t="str">
        <f ca="1">IFERROR(__xludf.DUMMYFUNCTION("""COMPUTED_VALUE"""),"No")</f>
        <v>No</v>
      </c>
      <c r="AD1155" s="5" t="str">
        <f ca="1">IFERROR(__xludf.DUMMYFUNCTION("""COMPUTED_VALUE"""),"No")</f>
        <v>No</v>
      </c>
      <c r="AE1155" s="5" t="str">
        <f ca="1">IFERROR(__xludf.DUMMYFUNCTION("""COMPUTED_VALUE"""),"No")</f>
        <v>No</v>
      </c>
      <c r="AF1155" s="5" t="str">
        <f ca="1">IFERROR(__xludf.DUMMYFUNCTION("""COMPUTED_VALUE"""),"No")</f>
        <v>No</v>
      </c>
      <c r="AG1155" s="5" t="str">
        <f ca="1">IFERROR(__xludf.DUMMYFUNCTION("""COMPUTED_VALUE"""),"No")</f>
        <v>No</v>
      </c>
      <c r="AH1155" s="5" t="str">
        <f ca="1">IFERROR(__xludf.DUMMYFUNCTION("""COMPUTED_VALUE"""),"No")</f>
        <v>No</v>
      </c>
      <c r="AI1155" s="5" t="str">
        <f ca="1">IFERROR(__xludf.DUMMYFUNCTION("""COMPUTED_VALUE"""),"No")</f>
        <v>No</v>
      </c>
      <c r="AJ1155" s="5"/>
    </row>
    <row r="1156" spans="1:36" ht="13">
      <c r="A1156" s="5" t="str">
        <f ca="1">IFERROR(__xludf.DUMMYFUNCTION("""COMPUTED_VALUE"""),"20140925NHWEM")</f>
        <v>20140925NHWEM</v>
      </c>
      <c r="B1156" s="5">
        <f ca="1">IFERROR(__xludf.DUMMYFUNCTION("""COMPUTED_VALUE"""),9)</f>
        <v>9</v>
      </c>
      <c r="C1156" s="5">
        <f ca="1">IFERROR(__xludf.DUMMYFUNCTION("""COMPUTED_VALUE"""),25)</f>
        <v>25</v>
      </c>
      <c r="D1156" s="5">
        <f ca="1">IFERROR(__xludf.DUMMYFUNCTION("""COMPUTED_VALUE"""),2014)</f>
        <v>2014</v>
      </c>
      <c r="E1156" s="8">
        <f ca="1">IFERROR(__xludf.DUMMYFUNCTION("""COMPUTED_VALUE"""),41907)</f>
        <v>41907</v>
      </c>
      <c r="F1156" s="5" t="str">
        <f ca="1">IFERROR(__xludf.DUMMYFUNCTION("""COMPUTED_VALUE"""),"West High School")</f>
        <v>West High School</v>
      </c>
      <c r="G1156" s="5">
        <f ca="1">IFERROR(__xludf.DUMMYFUNCTION("""COMPUTED_VALUE"""),0)</f>
        <v>0</v>
      </c>
      <c r="H1156" s="5">
        <f ca="1">IFERROR(__xludf.DUMMYFUNCTION("""COMPUTED_VALUE"""),0)</f>
        <v>0</v>
      </c>
      <c r="I1156" s="5">
        <f ca="1">IFERROR(__xludf.DUMMYFUNCTION("""COMPUTED_VALUE"""),0)</f>
        <v>0</v>
      </c>
      <c r="J1156" s="5">
        <f ca="1">IFERROR(__xludf.DUMMYFUNCTION("""COMPUTED_VALUE"""),0)</f>
        <v>0</v>
      </c>
      <c r="K1156" s="9" t="str">
        <f ca="1">IFERROR(__xludf.DUMMYFUNCTION("""COMPUTED_VALUE"""),"https://manchesterinklink.com/man-gun-knife-arrested-inside-west-hs-lockdown/")</f>
        <v>https://manchesterinklink.com/man-gun-knife-arrested-inside-west-hs-lockdown/</v>
      </c>
      <c r="L1156" s="5"/>
      <c r="M1156" s="5"/>
      <c r="N1156" s="5">
        <f ca="1">IFERROR(__xludf.DUMMYFUNCTION("""COMPUTED_VALUE"""),3)</f>
        <v>3</v>
      </c>
      <c r="O1156" s="5" t="str">
        <f ca="1">IFERROR(__xludf.DUMMYFUNCTION("""COMPUTED_VALUE"""),"Fall")</f>
        <v>Fall</v>
      </c>
      <c r="P1156" s="5" t="str">
        <f ca="1">IFERROR(__xludf.DUMMYFUNCTION("""COMPUTED_VALUE"""),"Manchester")</f>
        <v>Manchester</v>
      </c>
      <c r="Q1156" s="5" t="str">
        <f ca="1">IFERROR(__xludf.DUMMYFUNCTION("""COMPUTED_VALUE"""),"NH")</f>
        <v>NH</v>
      </c>
      <c r="R1156" s="5" t="str">
        <f ca="1">IFERROR(__xludf.DUMMYFUNCTION("""COMPUTED_VALUE"""),"High")</f>
        <v>High</v>
      </c>
      <c r="S1156" s="5" t="str">
        <f ca="1">IFERROR(__xludf.DUMMYFUNCTION("""COMPUTED_VALUE"""),"Cafeteria")</f>
        <v>Cafeteria</v>
      </c>
      <c r="T1156" s="5" t="str">
        <f ca="1">IFERROR(__xludf.DUMMYFUNCTION("""COMPUTED_VALUE"""),"Inside School Building")</f>
        <v>Inside School Building</v>
      </c>
      <c r="U1156" s="5" t="str">
        <f ca="1">IFERROR(__xludf.DUMMYFUNCTION("""COMPUTED_VALUE"""),"Yes")</f>
        <v>Yes</v>
      </c>
      <c r="V1156" s="5" t="str">
        <f ca="1">IFERROR(__xludf.DUMMYFUNCTION("""COMPUTED_VALUE"""),"School Start")</f>
        <v>School Start</v>
      </c>
      <c r="W1156" s="10">
        <f ca="1">IFERROR(__xludf.DUMMYFUNCTION("""COMPUTED_VALUE"""),0.322916666666666)</f>
        <v>0.32291666666666602</v>
      </c>
      <c r="X1156" s="5">
        <f ca="1">IFERROR(__xludf.DUMMYFUNCTION("""COMPUTED_VALUE"""),135)</f>
        <v>135</v>
      </c>
      <c r="Y1156" s="5" t="str">
        <f ca="1">IFERROR(__xludf.DUMMYFUNCTION("""COMPUTED_VALUE"""),"Former student walked into cafeteria with pellet gun and knife resulting in lockdown and active shooter response")</f>
        <v>Former student walked into cafeteria with pellet gun and knife resulting in lockdown and active shooter response</v>
      </c>
      <c r="Z1156" s="5" t="str">
        <f ca="1">IFERROR(__xludf.DUMMYFUNCTION("""COMPUTED_VALUE"""),"21YOM former student entered school with authentic looking pellet gun pistol and knife at the start of the school day. School went on lockdown and police responded to active shooter. Shooter was subdued in a classroom 1 hour and 45 minutes after entering "&amp;"school. No injuries.")</f>
        <v>21YOM former student entered school with authentic looking pellet gun pistol and knife at the start of the school day. School went on lockdown and police responded to active shooter. Shooter was subdued in a classroom 1 hour and 45 minutes after entering school. No injuries.</v>
      </c>
      <c r="AA1156" s="5" t="str">
        <f ca="1">IFERROR(__xludf.DUMMYFUNCTION("""COMPUTED_VALUE"""),"Hostage/Standoff")</f>
        <v>Hostage/Standoff</v>
      </c>
      <c r="AB1156" s="5" t="str">
        <f ca="1">IFERROR(__xludf.DUMMYFUNCTION("""COMPUTED_VALUE"""),"Neither")</f>
        <v>Neither</v>
      </c>
      <c r="AC1156" s="5" t="str">
        <f ca="1">IFERROR(__xludf.DUMMYFUNCTION("""COMPUTED_VALUE"""),"No")</f>
        <v>No</v>
      </c>
      <c r="AD1156" s="5" t="str">
        <f ca="1">IFERROR(__xludf.DUMMYFUNCTION("""COMPUTED_VALUE"""),"No")</f>
        <v>No</v>
      </c>
      <c r="AE1156" s="5" t="str">
        <f ca="1">IFERROR(__xludf.DUMMYFUNCTION("""COMPUTED_VALUE"""),"No")</f>
        <v>No</v>
      </c>
      <c r="AF1156" s="5" t="str">
        <f ca="1">IFERROR(__xludf.DUMMYFUNCTION("""COMPUTED_VALUE"""),"No")</f>
        <v>No</v>
      </c>
      <c r="AG1156" s="5"/>
      <c r="AH1156" s="5" t="str">
        <f ca="1">IFERROR(__xludf.DUMMYFUNCTION("""COMPUTED_VALUE"""),"No")</f>
        <v>No</v>
      </c>
      <c r="AI1156" s="5" t="str">
        <f ca="1">IFERROR(__xludf.DUMMYFUNCTION("""COMPUTED_VALUE"""),"No")</f>
        <v>No</v>
      </c>
      <c r="AJ1156" s="5" t="str">
        <f ca="1">IFERROR(__xludf.DUMMYFUNCTION("""COMPUTED_VALUE"""),"Yes")</f>
        <v>Yes</v>
      </c>
    </row>
    <row r="1157" spans="1:36" ht="13">
      <c r="A1157" s="5" t="str">
        <f ca="1">IFERROR(__xludf.DUMMYFUNCTION("""COMPUTED_VALUE"""),"20140919IANOD")</f>
        <v>20140919IANOD</v>
      </c>
      <c r="B1157" s="5">
        <f ca="1">IFERROR(__xludf.DUMMYFUNCTION("""COMPUTED_VALUE"""),9)</f>
        <v>9</v>
      </c>
      <c r="C1157" s="5">
        <f ca="1">IFERROR(__xludf.DUMMYFUNCTION("""COMPUTED_VALUE"""),19)</f>
        <v>19</v>
      </c>
      <c r="D1157" s="5">
        <f ca="1">IFERROR(__xludf.DUMMYFUNCTION("""COMPUTED_VALUE"""),2014)</f>
        <v>2014</v>
      </c>
      <c r="E1157" s="8">
        <f ca="1">IFERROR(__xludf.DUMMYFUNCTION("""COMPUTED_VALUE"""),41901)</f>
        <v>41901</v>
      </c>
      <c r="F1157" s="5" t="str">
        <f ca="1">IFERROR(__xludf.DUMMYFUNCTION("""COMPUTED_VALUE"""),"North High School")</f>
        <v>North High School</v>
      </c>
      <c r="G1157" s="5">
        <f ca="1">IFERROR(__xludf.DUMMYFUNCTION("""COMPUTED_VALUE"""),0)</f>
        <v>0</v>
      </c>
      <c r="H1157" s="5">
        <f ca="1">IFERROR(__xludf.DUMMYFUNCTION("""COMPUTED_VALUE"""),1)</f>
        <v>1</v>
      </c>
      <c r="I1157" s="5">
        <f ca="1">IFERROR(__xludf.DUMMYFUNCTION("""COMPUTED_VALUE"""),1)</f>
        <v>1</v>
      </c>
      <c r="J1157" s="5">
        <f ca="1">IFERROR(__xludf.DUMMYFUNCTION("""COMPUTED_VALUE"""),0)</f>
        <v>0</v>
      </c>
      <c r="K1157" s="9" t="str">
        <f ca="1">IFERROR(__xludf.DUMMYFUNCTION("""COMPUTED_VALUE"""),"https://www.desmoinesregister.com/story/news/crime-and-courts/2014/12/22/teen-arrested-shooting-north-high-school/20767421/")</f>
        <v>https://www.desmoinesregister.com/story/news/crime-and-courts/2014/12/22/teen-arrested-shooting-north-high-school/20767421/</v>
      </c>
      <c r="L1157" s="5">
        <f ca="1">IFERROR(__xludf.DUMMYFUNCTION("""COMPUTED_VALUE"""),1)</f>
        <v>1</v>
      </c>
      <c r="M1157" s="5" t="str">
        <f ca="1">IFERROR(__xludf.DUMMYFUNCTION("""COMPUTED_VALUE"""),"Local")</f>
        <v>Local</v>
      </c>
      <c r="N1157" s="5">
        <f ca="1">IFERROR(__xludf.DUMMYFUNCTION("""COMPUTED_VALUE"""),2)</f>
        <v>2</v>
      </c>
      <c r="O1157" s="5" t="str">
        <f ca="1">IFERROR(__xludf.DUMMYFUNCTION("""COMPUTED_VALUE"""),"Fall")</f>
        <v>Fall</v>
      </c>
      <c r="P1157" s="5" t="str">
        <f ca="1">IFERROR(__xludf.DUMMYFUNCTION("""COMPUTED_VALUE"""),"Des Moines")</f>
        <v>Des Moines</v>
      </c>
      <c r="Q1157" s="5" t="str">
        <f ca="1">IFERROR(__xludf.DUMMYFUNCTION("""COMPUTED_VALUE"""),"IA")</f>
        <v>IA</v>
      </c>
      <c r="R1157" s="5" t="str">
        <f ca="1">IFERROR(__xludf.DUMMYFUNCTION("""COMPUTED_VALUE"""),"High")</f>
        <v>High</v>
      </c>
      <c r="S1157" s="5" t="str">
        <f ca="1">IFERROR(__xludf.DUMMYFUNCTION("""COMPUTED_VALUE"""),"Front of School")</f>
        <v>Front of School</v>
      </c>
      <c r="T1157" s="5" t="str">
        <f ca="1">IFERROR(__xludf.DUMMYFUNCTION("""COMPUTED_VALUE"""),"Outside on School Property")</f>
        <v>Outside on School Property</v>
      </c>
      <c r="U1157" s="5" t="str">
        <f ca="1">IFERROR(__xludf.DUMMYFUNCTION("""COMPUTED_VALUE"""),"No")</f>
        <v>No</v>
      </c>
      <c r="V1157" s="5" t="str">
        <f ca="1">IFERROR(__xludf.DUMMYFUNCTION("""COMPUTED_VALUE"""),"Not a School Day")</f>
        <v>Not a School Day</v>
      </c>
      <c r="W1157" s="10">
        <f ca="1">IFERROR(__xludf.DUMMYFUNCTION("""COMPUTED_VALUE"""),0.916666666666666)</f>
        <v>0.91666666666666596</v>
      </c>
      <c r="X1157" s="5">
        <f ca="1">IFERROR(__xludf.DUMMYFUNCTION("""COMPUTED_VALUE"""),1)</f>
        <v>1</v>
      </c>
      <c r="Y1157" s="5" t="str">
        <f ca="1">IFERROR(__xludf.DUMMYFUNCTION("""COMPUTED_VALUE"""),"Drive-by shooting outside of school")</f>
        <v>Drive-by shooting outside of school</v>
      </c>
      <c r="Z1157" s="5" t="str">
        <f ca="1">IFERROR(__xludf.DUMMYFUNCTION("""COMPUTED_VALUE"""),"14YOM driving a car fired a single shotgun shell at a group of students waiting at the bus stop near the school. The victim was shot in the neck (non-lethally) but did not report it right away. Unknown if any of the people involved is a student at the sch"&amp;"ool.")</f>
        <v>14YOM driving a car fired a single shotgun shell at a group of students waiting at the bus stop near the school. The victim was shot in the neck (non-lethally) but did not report it right away. Unknown if any of the people involved is a student at the school.</v>
      </c>
      <c r="AA1157" s="5" t="str">
        <f ca="1">IFERROR(__xludf.DUMMYFUNCTION("""COMPUTED_VALUE"""),"Drive-by Shooting")</f>
        <v>Drive-by Shooting</v>
      </c>
      <c r="AB1157" s="5" t="str">
        <f ca="1">IFERROR(__xludf.DUMMYFUNCTION("""COMPUTED_VALUE"""),"Victims Targeted")</f>
        <v>Victims Targeted</v>
      </c>
      <c r="AC1157" s="5" t="str">
        <f ca="1">IFERROR(__xludf.DUMMYFUNCTION("""COMPUTED_VALUE"""),"No")</f>
        <v>No</v>
      </c>
      <c r="AD1157" s="5" t="str">
        <f ca="1">IFERROR(__xludf.DUMMYFUNCTION("""COMPUTED_VALUE"""),"No")</f>
        <v>No</v>
      </c>
      <c r="AE1157" s="5" t="str">
        <f ca="1">IFERROR(__xludf.DUMMYFUNCTION("""COMPUTED_VALUE"""),"No")</f>
        <v>No</v>
      </c>
      <c r="AF1157" s="5" t="str">
        <f ca="1">IFERROR(__xludf.DUMMYFUNCTION("""COMPUTED_VALUE"""),"No")</f>
        <v>No</v>
      </c>
      <c r="AG1157" s="5" t="str">
        <f ca="1">IFERROR(__xludf.DUMMYFUNCTION("""COMPUTED_VALUE"""),"No")</f>
        <v>No</v>
      </c>
      <c r="AH1157" s="5" t="str">
        <f ca="1">IFERROR(__xludf.DUMMYFUNCTION("""COMPUTED_VALUE"""),"No")</f>
        <v>No</v>
      </c>
      <c r="AI1157" s="5" t="str">
        <f ca="1">IFERROR(__xludf.DUMMYFUNCTION("""COMPUTED_VALUE"""),"Yes")</f>
        <v>Yes</v>
      </c>
      <c r="AJ1157" s="5"/>
    </row>
    <row r="1158" spans="1:36" ht="13">
      <c r="A1158" s="5" t="str">
        <f ca="1">IFERROR(__xludf.DUMMYFUNCTION("""COMPUTED_VALUE"""),"20140911UTWET")</f>
        <v>20140911UTWET</v>
      </c>
      <c r="B1158" s="5">
        <f ca="1">IFERROR(__xludf.DUMMYFUNCTION("""COMPUTED_VALUE"""),9)</f>
        <v>9</v>
      </c>
      <c r="C1158" s="5">
        <f ca="1">IFERROR(__xludf.DUMMYFUNCTION("""COMPUTED_VALUE"""),11)</f>
        <v>11</v>
      </c>
      <c r="D1158" s="5">
        <f ca="1">IFERROR(__xludf.DUMMYFUNCTION("""COMPUTED_VALUE"""),2014)</f>
        <v>2014</v>
      </c>
      <c r="E1158" s="8">
        <f ca="1">IFERROR(__xludf.DUMMYFUNCTION("""COMPUTED_VALUE"""),41893)</f>
        <v>41893</v>
      </c>
      <c r="F1158" s="5" t="str">
        <f ca="1">IFERROR(__xludf.DUMMYFUNCTION("""COMPUTED_VALUE"""),"Westbrook Elementary School")</f>
        <v>Westbrook Elementary School</v>
      </c>
      <c r="G1158" s="5">
        <f ca="1">IFERROR(__xludf.DUMMYFUNCTION("""COMPUTED_VALUE"""),0)</f>
        <v>0</v>
      </c>
      <c r="H1158" s="5">
        <f ca="1">IFERROR(__xludf.DUMMYFUNCTION("""COMPUTED_VALUE"""),0)</f>
        <v>0</v>
      </c>
      <c r="I1158" s="5">
        <f ca="1">IFERROR(__xludf.DUMMYFUNCTION("""COMPUTED_VALUE"""),0)</f>
        <v>0</v>
      </c>
      <c r="J1158" s="5">
        <f ca="1">IFERROR(__xludf.DUMMYFUNCTION("""COMPUTED_VALUE"""),0)</f>
        <v>0</v>
      </c>
      <c r="K1158" s="5" t="str">
        <f ca="1">IFERROR(__xludf.DUMMYFUNCTION("""COMPUTED_VALUE"""),"https://www.huffingtonpost.com/2014/09/11/teacher-accidentally-shoots-herself_n_5805080.html . http://www.msnbc.com/msnbc/utah-teacher-shoots-herself-the-leg-while-school . http://archive.sltrib.com/article.php?id=1787604&amp;itype=CMSID . https://www.deseret"&amp;"news.com/article/865612812/Teacher-charged-with-accidentally-shooting-gun-at-school-resigns.html")</f>
        <v>https://www.huffingtonpost.com/2014/09/11/teacher-accidentally-shoots-herself_n_5805080.html . http://www.msnbc.com/msnbc/utah-teacher-shoots-herself-the-leg-while-school . http://archive.sltrib.com/article.php?id=1787604&amp;itype=CMSID . https://www.deseretnews.com/article/865612812/Teacher-charged-with-accidentally-shooting-gun-at-school-resigns.html</v>
      </c>
      <c r="L1158" s="5"/>
      <c r="M1158" s="5"/>
      <c r="N1158" s="5">
        <f ca="1">IFERROR(__xludf.DUMMYFUNCTION("""COMPUTED_VALUE"""),3)</f>
        <v>3</v>
      </c>
      <c r="O1158" s="5" t="str">
        <f ca="1">IFERROR(__xludf.DUMMYFUNCTION("""COMPUTED_VALUE"""),"Fall")</f>
        <v>Fall</v>
      </c>
      <c r="P1158" s="5" t="str">
        <f ca="1">IFERROR(__xludf.DUMMYFUNCTION("""COMPUTED_VALUE"""),"Taylorsville")</f>
        <v>Taylorsville</v>
      </c>
      <c r="Q1158" s="5" t="str">
        <f ca="1">IFERROR(__xludf.DUMMYFUNCTION("""COMPUTED_VALUE"""),"UT")</f>
        <v>UT</v>
      </c>
      <c r="R1158" s="5" t="str">
        <f ca="1">IFERROR(__xludf.DUMMYFUNCTION("""COMPUTED_VALUE"""),"Elementary")</f>
        <v>Elementary</v>
      </c>
      <c r="S1158" s="5" t="str">
        <f ca="1">IFERROR(__xludf.DUMMYFUNCTION("""COMPUTED_VALUE"""),"Bathroom")</f>
        <v>Bathroom</v>
      </c>
      <c r="T1158" s="5" t="str">
        <f ca="1">IFERROR(__xludf.DUMMYFUNCTION("""COMPUTED_VALUE"""),"Inside School Building")</f>
        <v>Inside School Building</v>
      </c>
      <c r="U1158" s="5" t="str">
        <f ca="1">IFERROR(__xludf.DUMMYFUNCTION("""COMPUTED_VALUE"""),"Yes")</f>
        <v>Yes</v>
      </c>
      <c r="V1158" s="5" t="str">
        <f ca="1">IFERROR(__xludf.DUMMYFUNCTION("""COMPUTED_VALUE"""),"Before School")</f>
        <v>Before School</v>
      </c>
      <c r="W1158" s="10">
        <f ca="1">IFERROR(__xludf.DUMMYFUNCTION("""COMPUTED_VALUE"""),0.375)</f>
        <v>0.375</v>
      </c>
      <c r="X1158" s="5">
        <f ca="1">IFERROR(__xludf.DUMMYFUNCTION("""COMPUTED_VALUE"""),1)</f>
        <v>1</v>
      </c>
      <c r="Y1158" s="5" t="str">
        <f ca="1">IFERROR(__xludf.DUMMYFUNCTION("""COMPUTED_VALUE"""),"Accidental discharge of teacher's gun")</f>
        <v>Accidental discharge of teacher's gun</v>
      </c>
      <c r="Z1158" s="5" t="str">
        <f ca="1">IFERROR(__xludf.DUMMYFUNCTION("""COMPUTED_VALUE"""),"Teacher, who was authorized to carry weapon and had concealed firearm permit, accidentally shot herself in leg while in faculty bathroom. Teacher later charged with misdemeanor and resigns.")</f>
        <v>Teacher, who was authorized to carry weapon and had concealed firearm permit, accidentally shot herself in leg while in faculty bathroom. Teacher later charged with misdemeanor and resigns.</v>
      </c>
      <c r="AA1158" s="5" t="str">
        <f ca="1">IFERROR(__xludf.DUMMYFUNCTION("""COMPUTED_VALUE"""),"Accidental")</f>
        <v>Accidental</v>
      </c>
      <c r="AB1158" s="5" t="str">
        <f ca="1">IFERROR(__xludf.DUMMYFUNCTION("""COMPUTED_VALUE"""),"Random Shooting")</f>
        <v>Random Shooting</v>
      </c>
      <c r="AC1158" s="5" t="str">
        <f ca="1">IFERROR(__xludf.DUMMYFUNCTION("""COMPUTED_VALUE"""),"No")</f>
        <v>No</v>
      </c>
      <c r="AD1158" s="5" t="str">
        <f ca="1">IFERROR(__xludf.DUMMYFUNCTION("""COMPUTED_VALUE"""),"No")</f>
        <v>No</v>
      </c>
      <c r="AE1158" s="5" t="str">
        <f ca="1">IFERROR(__xludf.DUMMYFUNCTION("""COMPUTED_VALUE"""),"No")</f>
        <v>No</v>
      </c>
      <c r="AF1158" s="5" t="str">
        <f ca="1">IFERROR(__xludf.DUMMYFUNCTION("""COMPUTED_VALUE"""),"No")</f>
        <v>No</v>
      </c>
      <c r="AG1158" s="5" t="str">
        <f ca="1">IFERROR(__xludf.DUMMYFUNCTION("""COMPUTED_VALUE"""),"No")</f>
        <v>No</v>
      </c>
      <c r="AH1158" s="5" t="str">
        <f ca="1">IFERROR(__xludf.DUMMYFUNCTION("""COMPUTED_VALUE"""),"No")</f>
        <v>No</v>
      </c>
      <c r="AI1158" s="5" t="str">
        <f ca="1">IFERROR(__xludf.DUMMYFUNCTION("""COMPUTED_VALUE"""),"No")</f>
        <v>No</v>
      </c>
      <c r="AJ1158" s="5"/>
    </row>
    <row r="1159" spans="1:36" ht="13">
      <c r="A1159" s="5" t="str">
        <f ca="1">IFERROR(__xludf.DUMMYFUNCTION("""COMPUTED_VALUE"""),"20140910FLGRL")</f>
        <v>20140910FLGRL</v>
      </c>
      <c r="B1159" s="5">
        <f ca="1">IFERROR(__xludf.DUMMYFUNCTION("""COMPUTED_VALUE"""),9)</f>
        <v>9</v>
      </c>
      <c r="C1159" s="5">
        <f ca="1">IFERROR(__xludf.DUMMYFUNCTION("""COMPUTED_VALUE"""),10)</f>
        <v>10</v>
      </c>
      <c r="D1159" s="5">
        <f ca="1">IFERROR(__xludf.DUMMYFUNCTION("""COMPUTED_VALUE"""),2014)</f>
        <v>2014</v>
      </c>
      <c r="E1159" s="8">
        <f ca="1">IFERROR(__xludf.DUMMYFUNCTION("""COMPUTED_VALUE"""),41892)</f>
        <v>41892</v>
      </c>
      <c r="F1159" s="5" t="str">
        <f ca="1">IFERROR(__xludf.DUMMYFUNCTION("""COMPUTED_VALUE"""),"Greenwood Lakes Middle School")</f>
        <v>Greenwood Lakes Middle School</v>
      </c>
      <c r="G1159" s="5">
        <f ca="1">IFERROR(__xludf.DUMMYFUNCTION("""COMPUTED_VALUE"""),0)</f>
        <v>0</v>
      </c>
      <c r="H1159" s="5">
        <f ca="1">IFERROR(__xludf.DUMMYFUNCTION("""COMPUTED_VALUE"""),0)</f>
        <v>0</v>
      </c>
      <c r="I1159" s="5">
        <f ca="1">IFERROR(__xludf.DUMMYFUNCTION("""COMPUTED_VALUE"""),0)</f>
        <v>0</v>
      </c>
      <c r="J1159" s="5">
        <f ca="1">IFERROR(__xludf.DUMMYFUNCTION("""COMPUTED_VALUE"""),1)</f>
        <v>1</v>
      </c>
      <c r="K1159" s="5" t="str">
        <f ca="1">IFERROR(__xludf.DUMMYFUNCTION("""COMPUTED_VALUE"""),"http://www.orlandosentinel.com/features/education/os-gun-suicide-school-campus-seminole-20150225-story.html . http://www.orlandosentinel.com/news/breaking-news/os-greenwood-lakes-middle-suicide-20140911-story.html")</f>
        <v>http://www.orlandosentinel.com/features/education/os-gun-suicide-school-campus-seminole-20150225-story.html . http://www.orlandosentinel.com/news/breaking-news/os-greenwood-lakes-middle-suicide-20140911-story.html</v>
      </c>
      <c r="L1159" s="5"/>
      <c r="M1159" s="5"/>
      <c r="N1159" s="5">
        <f ca="1">IFERROR(__xludf.DUMMYFUNCTION("""COMPUTED_VALUE"""),3)</f>
        <v>3</v>
      </c>
      <c r="O1159" s="5" t="str">
        <f ca="1">IFERROR(__xludf.DUMMYFUNCTION("""COMPUTED_VALUE"""),"Fall")</f>
        <v>Fall</v>
      </c>
      <c r="P1159" s="5" t="str">
        <f ca="1">IFERROR(__xludf.DUMMYFUNCTION("""COMPUTED_VALUE"""),"Lake Mary")</f>
        <v>Lake Mary</v>
      </c>
      <c r="Q1159" s="5" t="str">
        <f ca="1">IFERROR(__xludf.DUMMYFUNCTION("""COMPUTED_VALUE"""),"FL")</f>
        <v>FL</v>
      </c>
      <c r="R1159" s="5" t="str">
        <f ca="1">IFERROR(__xludf.DUMMYFUNCTION("""COMPUTED_VALUE"""),"Middle")</f>
        <v>Middle</v>
      </c>
      <c r="S1159" s="5" t="str">
        <f ca="1">IFERROR(__xludf.DUMMYFUNCTION("""COMPUTED_VALUE"""),"Bathroom")</f>
        <v>Bathroom</v>
      </c>
      <c r="T1159" s="5" t="str">
        <f ca="1">IFERROR(__xludf.DUMMYFUNCTION("""COMPUTED_VALUE"""),"Inside School Building")</f>
        <v>Inside School Building</v>
      </c>
      <c r="U1159" s="5" t="str">
        <f ca="1">IFERROR(__xludf.DUMMYFUNCTION("""COMPUTED_VALUE"""),"Yes")</f>
        <v>Yes</v>
      </c>
      <c r="V1159" s="5" t="str">
        <f ca="1">IFERROR(__xludf.DUMMYFUNCTION("""COMPUTED_VALUE"""),"After School")</f>
        <v>After School</v>
      </c>
      <c r="W1159" s="10">
        <f ca="1">IFERROR(__xludf.DUMMYFUNCTION("""COMPUTED_VALUE"""),0.708333333333333)</f>
        <v>0.70833333333333304</v>
      </c>
      <c r="X1159" s="5">
        <f ca="1">IFERROR(__xludf.DUMMYFUNCTION("""COMPUTED_VALUE"""),1)</f>
        <v>1</v>
      </c>
      <c r="Y1159" s="5" t="str">
        <f ca="1">IFERROR(__xludf.DUMMYFUNCTION("""COMPUTED_VALUE"""),"Suicide in school bathroom")</f>
        <v>Suicide in school bathroom</v>
      </c>
      <c r="Z1159" s="5" t="str">
        <f ca="1">IFERROR(__xludf.DUMMYFUNCTION("""COMPUTED_VALUE"""),"Boy shot and killed himself in the bathroom of school using father's 40 caliber Smith and Wesson pistol, which had been locked up and secured in home. Boy was small for his age and was in a fight at school two days prior.")</f>
        <v>Boy shot and killed himself in the bathroom of school using father's 40 caliber Smith and Wesson pistol, which had been locked up and secured in home. Boy was small for his age and was in a fight at school two days prior.</v>
      </c>
      <c r="AA1159" s="5" t="str">
        <f ca="1">IFERROR(__xludf.DUMMYFUNCTION("""COMPUTED_VALUE"""),"Suicide/Attempted")</f>
        <v>Suicide/Attempted</v>
      </c>
      <c r="AB1159" s="5" t="str">
        <f ca="1">IFERROR(__xludf.DUMMYFUNCTION("""COMPUTED_VALUE"""),"Victims Targeted")</f>
        <v>Victims Targeted</v>
      </c>
      <c r="AC1159" s="5" t="str">
        <f ca="1">IFERROR(__xludf.DUMMYFUNCTION("""COMPUTED_VALUE"""),"No")</f>
        <v>No</v>
      </c>
      <c r="AD1159" s="5" t="str">
        <f ca="1">IFERROR(__xludf.DUMMYFUNCTION("""COMPUTED_VALUE"""),"No")</f>
        <v>No</v>
      </c>
      <c r="AE1159" s="5" t="str">
        <f ca="1">IFERROR(__xludf.DUMMYFUNCTION("""COMPUTED_VALUE"""),"No")</f>
        <v>No</v>
      </c>
      <c r="AF1159" s="5" t="str">
        <f ca="1">IFERROR(__xludf.DUMMYFUNCTION("""COMPUTED_VALUE"""),"No")</f>
        <v>No</v>
      </c>
      <c r="AG1159" s="5" t="str">
        <f ca="1">IFERROR(__xludf.DUMMYFUNCTION("""COMPUTED_VALUE"""),"Yes")</f>
        <v>Yes</v>
      </c>
      <c r="AH1159" s="5" t="str">
        <f ca="1">IFERROR(__xludf.DUMMYFUNCTION("""COMPUTED_VALUE"""),"No")</f>
        <v>No</v>
      </c>
      <c r="AI1159" s="5" t="str">
        <f ca="1">IFERROR(__xludf.DUMMYFUNCTION("""COMPUTED_VALUE"""),"No")</f>
        <v>No</v>
      </c>
      <c r="AJ1159" s="5"/>
    </row>
    <row r="1160" spans="1:36" ht="13">
      <c r="A1160" s="5" t="str">
        <f ca="1">IFERROR(__xludf.DUMMYFUNCTION("""COMPUTED_VALUE"""),"20140909FLSTM")</f>
        <v>20140909FLSTM</v>
      </c>
      <c r="B1160" s="5">
        <f ca="1">IFERROR(__xludf.DUMMYFUNCTION("""COMPUTED_VALUE"""),9)</f>
        <v>9</v>
      </c>
      <c r="C1160" s="5">
        <f ca="1">IFERROR(__xludf.DUMMYFUNCTION("""COMPUTED_VALUE"""),9)</f>
        <v>9</v>
      </c>
      <c r="D1160" s="5">
        <f ca="1">IFERROR(__xludf.DUMMYFUNCTION("""COMPUTED_VALUE"""),2014)</f>
        <v>2014</v>
      </c>
      <c r="E1160" s="8">
        <f ca="1">IFERROR(__xludf.DUMMYFUNCTION("""COMPUTED_VALUE"""),41891)</f>
        <v>41891</v>
      </c>
      <c r="F1160" s="5" t="str">
        <f ca="1">IFERROR(__xludf.DUMMYFUNCTION("""COMPUTED_VALUE"""),"Stellar Leadership Academy")</f>
        <v>Stellar Leadership Academy</v>
      </c>
      <c r="G1160" s="5">
        <f ca="1">IFERROR(__xludf.DUMMYFUNCTION("""COMPUTED_VALUE"""),0)</f>
        <v>0</v>
      </c>
      <c r="H1160" s="5">
        <f ca="1">IFERROR(__xludf.DUMMYFUNCTION("""COMPUTED_VALUE"""),1)</f>
        <v>1</v>
      </c>
      <c r="I1160" s="5">
        <f ca="1">IFERROR(__xludf.DUMMYFUNCTION("""COMPUTED_VALUE"""),1)</f>
        <v>1</v>
      </c>
      <c r="J1160" s="5">
        <f ca="1">IFERROR(__xludf.DUMMYFUNCTION("""COMPUTED_VALUE"""),0)</f>
        <v>0</v>
      </c>
      <c r="K1160" s="9" t="str">
        <f ca="1">IFERROR(__xludf.DUMMYFUNCTION("""COMPUTED_VALUE"""),"https://www.local10.com/news/florida/miami-dade/5-in-custody-after-shooting-outside-northwest-miami-dade-county-school")</f>
        <v>https://www.local10.com/news/florida/miami-dade/5-in-custody-after-shooting-outside-northwest-miami-dade-county-school</v>
      </c>
      <c r="L1160" s="5">
        <f ca="1">IFERROR(__xludf.DUMMYFUNCTION("""COMPUTED_VALUE"""),1)</f>
        <v>1</v>
      </c>
      <c r="M1160" s="5" t="str">
        <f ca="1">IFERROR(__xludf.DUMMYFUNCTION("""COMPUTED_VALUE"""),"Local")</f>
        <v>Local</v>
      </c>
      <c r="N1160" s="5">
        <f ca="1">IFERROR(__xludf.DUMMYFUNCTION("""COMPUTED_VALUE"""),2)</f>
        <v>2</v>
      </c>
      <c r="O1160" s="5" t="str">
        <f ca="1">IFERROR(__xludf.DUMMYFUNCTION("""COMPUTED_VALUE"""),"Fall")</f>
        <v>Fall</v>
      </c>
      <c r="P1160" s="5" t="str">
        <f ca="1">IFERROR(__xludf.DUMMYFUNCTION("""COMPUTED_VALUE"""),"Miami")</f>
        <v>Miami</v>
      </c>
      <c r="Q1160" s="5" t="str">
        <f ca="1">IFERROR(__xludf.DUMMYFUNCTION("""COMPUTED_VALUE"""),"FL")</f>
        <v>FL</v>
      </c>
      <c r="R1160" s="5" t="str">
        <f ca="1">IFERROR(__xludf.DUMMYFUNCTION("""COMPUTED_VALUE"""),"High")</f>
        <v>High</v>
      </c>
      <c r="S1160" s="5" t="str">
        <f ca="1">IFERROR(__xludf.DUMMYFUNCTION("""COMPUTED_VALUE"""),"Beside Building")</f>
        <v>Beside Building</v>
      </c>
      <c r="T1160" s="5" t="str">
        <f ca="1">IFERROR(__xludf.DUMMYFUNCTION("""COMPUTED_VALUE"""),"Outside on School Property")</f>
        <v>Outside on School Property</v>
      </c>
      <c r="U1160" s="5" t="str">
        <f ca="1">IFERROR(__xludf.DUMMYFUNCTION("""COMPUTED_VALUE"""),"Yes")</f>
        <v>Yes</v>
      </c>
      <c r="V1160" s="5" t="str">
        <f ca="1">IFERROR(__xludf.DUMMYFUNCTION("""COMPUTED_VALUE"""),"Afternoon Classes")</f>
        <v>Afternoon Classes</v>
      </c>
      <c r="W1160" s="5"/>
      <c r="X1160" s="5"/>
      <c r="Y1160" s="5" t="str">
        <f ca="1">IFERROR(__xludf.DUMMYFUNCTION("""COMPUTED_VALUE"""),"Fight in parking lot")</f>
        <v>Fight in parking lot</v>
      </c>
      <c r="Z1160" s="5" t="str">
        <f ca="1">IFERROR(__xludf.DUMMYFUNCTION("""COMPUTED_VALUE"""),"Fight outside a school for risk youth escalated into a shooting. All of the involved parties fled the scene following the shooting - 5 suspects fled in a vehicle, the victim entered the nearest store. Police followed the suspects who crashed their vehicle"&amp;" shortly after, and were all arrested. Not confirmed if any of the juveniles involved was a student.")</f>
        <v>Fight outside a school for risk youth escalated into a shooting. All of the involved parties fled the scene following the shooting - 5 suspects fled in a vehicle, the victim entered the nearest store. Police followed the suspects who crashed their vehicle shortly after, and were all arrested. Not confirmed if any of the juveniles involved was a student.</v>
      </c>
      <c r="AA1160" s="5" t="str">
        <f ca="1">IFERROR(__xludf.DUMMYFUNCTION("""COMPUTED_VALUE"""),"Escalation of Dispute")</f>
        <v>Escalation of Dispute</v>
      </c>
      <c r="AB1160" s="5" t="str">
        <f ca="1">IFERROR(__xludf.DUMMYFUNCTION("""COMPUTED_VALUE"""),"Victims Targeted")</f>
        <v>Victims Targeted</v>
      </c>
      <c r="AC1160" s="5" t="str">
        <f ca="1">IFERROR(__xludf.DUMMYFUNCTION("""COMPUTED_VALUE"""),"Yes")</f>
        <v>Yes</v>
      </c>
      <c r="AD1160" s="5" t="str">
        <f ca="1">IFERROR(__xludf.DUMMYFUNCTION("""COMPUTED_VALUE"""),"No")</f>
        <v>No</v>
      </c>
      <c r="AE1160" s="5" t="str">
        <f ca="1">IFERROR(__xludf.DUMMYFUNCTION("""COMPUTED_VALUE"""),"No")</f>
        <v>No</v>
      </c>
      <c r="AF1160" s="5" t="str">
        <f ca="1">IFERROR(__xludf.DUMMYFUNCTION("""COMPUTED_VALUE"""),"No")</f>
        <v>No</v>
      </c>
      <c r="AG1160" s="5" t="str">
        <f ca="1">IFERROR(__xludf.DUMMYFUNCTION("""COMPUTED_VALUE"""),"No")</f>
        <v>No</v>
      </c>
      <c r="AH1160" s="5" t="str">
        <f ca="1">IFERROR(__xludf.DUMMYFUNCTION("""COMPUTED_VALUE"""),"No")</f>
        <v>No</v>
      </c>
      <c r="AI1160" s="5" t="str">
        <f ca="1">IFERROR(__xludf.DUMMYFUNCTION("""COMPUTED_VALUE"""),"No")</f>
        <v>No</v>
      </c>
      <c r="AJ1160" s="5"/>
    </row>
    <row r="1161" spans="1:36" ht="13">
      <c r="A1161" s="5" t="str">
        <f ca="1">IFERROR(__xludf.DUMMYFUNCTION("""COMPUTED_VALUE"""),"20140814VASAN")</f>
        <v>20140814VASAN</v>
      </c>
      <c r="B1161" s="5">
        <f ca="1">IFERROR(__xludf.DUMMYFUNCTION("""COMPUTED_VALUE"""),8)</f>
        <v>8</v>
      </c>
      <c r="C1161" s="5">
        <f ca="1">IFERROR(__xludf.DUMMYFUNCTION("""COMPUTED_VALUE"""),14)</f>
        <v>14</v>
      </c>
      <c r="D1161" s="5">
        <f ca="1">IFERROR(__xludf.DUMMYFUNCTION("""COMPUTED_VALUE"""),2014)</f>
        <v>2014</v>
      </c>
      <c r="E1161" s="8">
        <f ca="1">IFERROR(__xludf.DUMMYFUNCTION("""COMPUTED_VALUE"""),41865)</f>
        <v>41865</v>
      </c>
      <c r="F1161" s="5" t="str">
        <f ca="1">IFERROR(__xludf.DUMMYFUNCTION("""COMPUTED_VALUE"""),"Saunders Elementary School")</f>
        <v>Saunders Elementary School</v>
      </c>
      <c r="G1161" s="5">
        <f ca="1">IFERROR(__xludf.DUMMYFUNCTION("""COMPUTED_VALUE"""),2)</f>
        <v>2</v>
      </c>
      <c r="H1161" s="5">
        <f ca="1">IFERROR(__xludf.DUMMYFUNCTION("""COMPUTED_VALUE"""),1)</f>
        <v>1</v>
      </c>
      <c r="I1161" s="5">
        <f ca="1">IFERROR(__xludf.DUMMYFUNCTION("""COMPUTED_VALUE"""),3)</f>
        <v>3</v>
      </c>
      <c r="J1161" s="5">
        <f ca="1">IFERROR(__xludf.DUMMYFUNCTION("""COMPUTED_VALUE"""),0)</f>
        <v>0</v>
      </c>
      <c r="K1161" s="5" t="str">
        <f ca="1">IFERROR(__xludf.DUMMYFUNCTION("""COMPUTED_VALUE"""),"http://www.dailypress.com/news/crime/dp-men-shot-dead-saunders-newport-news-story.html . https://wtkr.com/2014/08/15/only-on-3-police-say-teen-who-murdered-2-warwick-high-students-used-12-gauge-shotgun/ . http://www.dailypress.com/news/crime/dp-nws-double"&amp;"-murder-hearing-20150122-story.html")</f>
        <v>http://www.dailypress.com/news/crime/dp-men-shot-dead-saunders-newport-news-story.html . https://wtkr.com/2014/08/15/only-on-3-police-say-teen-who-murdered-2-warwick-high-students-used-12-gauge-shotgun/ . http://www.dailypress.com/news/crime/dp-nws-double-murder-hearing-20150122-story.html</v>
      </c>
      <c r="L1161" s="5"/>
      <c r="M1161" s="5"/>
      <c r="N1161" s="5">
        <f ca="1">IFERROR(__xludf.DUMMYFUNCTION("""COMPUTED_VALUE"""),3)</f>
        <v>3</v>
      </c>
      <c r="O1161" s="5" t="str">
        <f ca="1">IFERROR(__xludf.DUMMYFUNCTION("""COMPUTED_VALUE"""),"Summer")</f>
        <v>Summer</v>
      </c>
      <c r="P1161" s="5" t="str">
        <f ca="1">IFERROR(__xludf.DUMMYFUNCTION("""COMPUTED_VALUE"""),"Newport News")</f>
        <v>Newport News</v>
      </c>
      <c r="Q1161" s="5" t="str">
        <f ca="1">IFERROR(__xludf.DUMMYFUNCTION("""COMPUTED_VALUE"""),"VA")</f>
        <v>VA</v>
      </c>
      <c r="R1161" s="5" t="str">
        <f ca="1">IFERROR(__xludf.DUMMYFUNCTION("""COMPUTED_VALUE"""),"Elementary")</f>
        <v>Elementary</v>
      </c>
      <c r="S1161" s="5" t="str">
        <f ca="1">IFERROR(__xludf.DUMMYFUNCTION("""COMPUTED_VALUE"""),"Parking Lot")</f>
        <v>Parking Lot</v>
      </c>
      <c r="T1161" s="5" t="str">
        <f ca="1">IFERROR(__xludf.DUMMYFUNCTION("""COMPUTED_VALUE"""),"Outside on School Property")</f>
        <v>Outside on School Property</v>
      </c>
      <c r="U1161" s="5" t="str">
        <f ca="1">IFERROR(__xludf.DUMMYFUNCTION("""COMPUTED_VALUE"""),"No")</f>
        <v>No</v>
      </c>
      <c r="V1161" s="5" t="str">
        <f ca="1">IFERROR(__xludf.DUMMYFUNCTION("""COMPUTED_VALUE"""),"Not a School Day")</f>
        <v>Not a School Day</v>
      </c>
      <c r="W1161" s="10">
        <f ca="1">IFERROR(__xludf.DUMMYFUNCTION("""COMPUTED_VALUE"""),0.0625)</f>
        <v>6.25E-2</v>
      </c>
      <c r="X1161" s="5">
        <f ca="1">IFERROR(__xludf.DUMMYFUNCTION("""COMPUTED_VALUE"""),2)</f>
        <v>2</v>
      </c>
      <c r="Y1161" s="5" t="str">
        <f ca="1">IFERROR(__xludf.DUMMYFUNCTION("""COMPUTED_VALUE"""),"Dispute - ongoing feud - possible gang violence")</f>
        <v>Dispute - ongoing feud - possible gang violence</v>
      </c>
      <c r="Z1161" s="5" t="str">
        <f ca="1">IFERROR(__xludf.DUMMYFUNCTION("""COMPUTED_VALUE"""),"Teens were at school parking lot waiting to do drug deal, shooter advised they were dival gang members and he had been given permission to take care of the situation - shooter, who was passenger in vehicle had shotgun with him - when the car pulled onto t"&amp;"he school parking lot, shooter said he saw a gun and began shooting.")</f>
        <v>Teens were at school parking lot waiting to do drug deal, shooter advised they were dival gang members and he had been given permission to take care of the situation - shooter, who was passenger in vehicle had shotgun with him - when the car pulled onto the school parking lot, shooter said he saw a gun and began shooting.</v>
      </c>
      <c r="AA1161" s="5" t="str">
        <f ca="1">IFERROR(__xludf.DUMMYFUNCTION("""COMPUTED_VALUE"""),"Escalation of Dispute")</f>
        <v>Escalation of Dispute</v>
      </c>
      <c r="AB1161" s="5" t="str">
        <f ca="1">IFERROR(__xludf.DUMMYFUNCTION("""COMPUTED_VALUE"""),"Victims Targeted")</f>
        <v>Victims Targeted</v>
      </c>
      <c r="AC1161" s="5" t="str">
        <f ca="1">IFERROR(__xludf.DUMMYFUNCTION("""COMPUTED_VALUE"""),"Yes")</f>
        <v>Yes</v>
      </c>
      <c r="AD1161" s="5" t="str">
        <f ca="1">IFERROR(__xludf.DUMMYFUNCTION("""COMPUTED_VALUE"""),"No")</f>
        <v>No</v>
      </c>
      <c r="AE1161" s="5" t="str">
        <f ca="1">IFERROR(__xludf.DUMMYFUNCTION("""COMPUTED_VALUE"""),"No")</f>
        <v>No</v>
      </c>
      <c r="AF1161" s="5" t="str">
        <f ca="1">IFERROR(__xludf.DUMMYFUNCTION("""COMPUTED_VALUE"""),"No")</f>
        <v>No</v>
      </c>
      <c r="AG1161" s="5" t="str">
        <f ca="1">IFERROR(__xludf.DUMMYFUNCTION("""COMPUTED_VALUE"""),"No")</f>
        <v>No</v>
      </c>
      <c r="AH1161" s="5" t="str">
        <f ca="1">IFERROR(__xludf.DUMMYFUNCTION("""COMPUTED_VALUE"""),"No")</f>
        <v>No</v>
      </c>
      <c r="AI1161" s="5" t="str">
        <f ca="1">IFERROR(__xludf.DUMMYFUNCTION("""COMPUTED_VALUE"""),"Yes")</f>
        <v>Yes</v>
      </c>
      <c r="AJ1161" s="5"/>
    </row>
    <row r="1162" spans="1:36" ht="13">
      <c r="A1162" s="5" t="str">
        <f ca="1">IFERROR(__xludf.DUMMYFUNCTION("""COMPUTED_VALUE"""),"20140813MDHEF")</f>
        <v>20140813MDHEF</v>
      </c>
      <c r="B1162" s="5">
        <f ca="1">IFERROR(__xludf.DUMMYFUNCTION("""COMPUTED_VALUE"""),8)</f>
        <v>8</v>
      </c>
      <c r="C1162" s="5">
        <f ca="1">IFERROR(__xludf.DUMMYFUNCTION("""COMPUTED_VALUE"""),13)</f>
        <v>13</v>
      </c>
      <c r="D1162" s="5">
        <f ca="1">IFERROR(__xludf.DUMMYFUNCTION("""COMPUTED_VALUE"""),2014)</f>
        <v>2014</v>
      </c>
      <c r="E1162" s="8">
        <f ca="1">IFERROR(__xludf.DUMMYFUNCTION("""COMPUTED_VALUE"""),41864)</f>
        <v>41864</v>
      </c>
      <c r="F1162" s="5" t="str">
        <f ca="1">IFERROR(__xludf.DUMMYFUNCTION("""COMPUTED_VALUE"""),"Heather Ridge High School")</f>
        <v>Heather Ridge High School</v>
      </c>
      <c r="G1162" s="5">
        <f ca="1">IFERROR(__xludf.DUMMYFUNCTION("""COMPUTED_VALUE"""),0)</f>
        <v>0</v>
      </c>
      <c r="H1162" s="5">
        <f ca="1">IFERROR(__xludf.DUMMYFUNCTION("""COMPUTED_VALUE"""),0)</f>
        <v>0</v>
      </c>
      <c r="I1162" s="5">
        <f ca="1">IFERROR(__xludf.DUMMYFUNCTION("""COMPUTED_VALUE"""),0)</f>
        <v>0</v>
      </c>
      <c r="J1162" s="5">
        <f ca="1">IFERROR(__xludf.DUMMYFUNCTION("""COMPUTED_VALUE"""),0)</f>
        <v>0</v>
      </c>
      <c r="K1162" s="9" t="str">
        <f ca="1">IFERROR(__xludf.DUMMYFUNCTION("""COMPUTED_VALUE"""),"https://www.fredericknewspost.com/news/crime_and_justice/cops_and_crime/two-face-charges-in-wednesday-gunfire-at-heather-ridge-school/article_737ade83-ddbb-5d49-af29-7f18d962e3a3.html")</f>
        <v>https://www.fredericknewspost.com/news/crime_and_justice/cops_and_crime/two-face-charges-in-wednesday-gunfire-at-heather-ridge-school/article_737ade83-ddbb-5d49-af29-7f18d962e3a3.html</v>
      </c>
      <c r="L1162" s="5"/>
      <c r="M1162" s="5"/>
      <c r="N1162" s="5">
        <f ca="1">IFERROR(__xludf.DUMMYFUNCTION("""COMPUTED_VALUE"""),2)</f>
        <v>2</v>
      </c>
      <c r="O1162" s="5" t="str">
        <f ca="1">IFERROR(__xludf.DUMMYFUNCTION("""COMPUTED_VALUE"""),"Summer")</f>
        <v>Summer</v>
      </c>
      <c r="P1162" s="5" t="str">
        <f ca="1">IFERROR(__xludf.DUMMYFUNCTION("""COMPUTED_VALUE"""),"Fredrick")</f>
        <v>Fredrick</v>
      </c>
      <c r="Q1162" s="5" t="str">
        <f ca="1">IFERROR(__xludf.DUMMYFUNCTION("""COMPUTED_VALUE"""),"MD")</f>
        <v>MD</v>
      </c>
      <c r="R1162" s="5" t="str">
        <f ca="1">IFERROR(__xludf.DUMMYFUNCTION("""COMPUTED_VALUE"""),"High")</f>
        <v>High</v>
      </c>
      <c r="S1162" s="5" t="str">
        <f ca="1">IFERROR(__xludf.DUMMYFUNCTION("""COMPUTED_VALUE"""),"Beside Building")</f>
        <v>Beside Building</v>
      </c>
      <c r="T1162" s="5" t="str">
        <f ca="1">IFERROR(__xludf.DUMMYFUNCTION("""COMPUTED_VALUE"""),"Outside on School Property")</f>
        <v>Outside on School Property</v>
      </c>
      <c r="U1162" s="5" t="str">
        <f ca="1">IFERROR(__xludf.DUMMYFUNCTION("""COMPUTED_VALUE"""),"No")</f>
        <v>No</v>
      </c>
      <c r="V1162" s="5" t="str">
        <f ca="1">IFERROR(__xludf.DUMMYFUNCTION("""COMPUTED_VALUE"""),"Evening")</f>
        <v>Evening</v>
      </c>
      <c r="W1162" s="10">
        <f ca="1">IFERROR(__xludf.DUMMYFUNCTION("""COMPUTED_VALUE"""),0.78125)</f>
        <v>0.78125</v>
      </c>
      <c r="X1162" s="5">
        <f ca="1">IFERROR(__xludf.DUMMYFUNCTION("""COMPUTED_VALUE"""),1)</f>
        <v>1</v>
      </c>
      <c r="Y1162" s="5" t="str">
        <f ca="1">IFERROR(__xludf.DUMMYFUNCTION("""COMPUTED_VALUE"""),"Two men shot at each other - both missed")</f>
        <v>Two men shot at each other - both missed</v>
      </c>
      <c r="Z1162" s="5" t="str">
        <f ca="1">IFERROR(__xludf.DUMMYFUNCTION("""COMPUTED_VALUE"""),"Two teens involved in an altercation shot at each other but both missed - no injuries - both teens arrested and charged.")</f>
        <v>Two teens involved in an altercation shot at each other but both missed - no injuries - both teens arrested and charged.</v>
      </c>
      <c r="AA1162" s="5" t="str">
        <f ca="1">IFERROR(__xludf.DUMMYFUNCTION("""COMPUTED_VALUE"""),"Escalation of Dispute")</f>
        <v>Escalation of Dispute</v>
      </c>
      <c r="AB1162" s="5" t="str">
        <f ca="1">IFERROR(__xludf.DUMMYFUNCTION("""COMPUTED_VALUE"""),"Neither")</f>
        <v>Neither</v>
      </c>
      <c r="AC1162" s="5"/>
      <c r="AD1162" s="5" t="str">
        <f ca="1">IFERROR(__xludf.DUMMYFUNCTION("""COMPUTED_VALUE"""),"No")</f>
        <v>No</v>
      </c>
      <c r="AE1162" s="5" t="str">
        <f ca="1">IFERROR(__xludf.DUMMYFUNCTION("""COMPUTED_VALUE"""),"No")</f>
        <v>No</v>
      </c>
      <c r="AF1162" s="5" t="str">
        <f ca="1">IFERROR(__xludf.DUMMYFUNCTION("""COMPUTED_VALUE"""),"No")</f>
        <v>No</v>
      </c>
      <c r="AG1162" s="5" t="str">
        <f ca="1">IFERROR(__xludf.DUMMYFUNCTION("""COMPUTED_VALUE"""),"No")</f>
        <v>No</v>
      </c>
      <c r="AH1162" s="5" t="str">
        <f ca="1">IFERROR(__xludf.DUMMYFUNCTION("""COMPUTED_VALUE"""),"No")</f>
        <v>No</v>
      </c>
      <c r="AI1162" s="5" t="str">
        <f ca="1">IFERROR(__xludf.DUMMYFUNCTION("""COMPUTED_VALUE"""),"No")</f>
        <v>No</v>
      </c>
      <c r="AJ1162" s="5"/>
    </row>
    <row r="1163" spans="1:36" ht="13">
      <c r="A1163" s="5" t="str">
        <f ca="1">IFERROR(__xludf.DUMMYFUNCTION("""COMPUTED_VALUE"""),"20140623MOKEB")</f>
        <v>20140623MOKEB</v>
      </c>
      <c r="B1163" s="5">
        <f ca="1">IFERROR(__xludf.DUMMYFUNCTION("""COMPUTED_VALUE"""),6)</f>
        <v>6</v>
      </c>
      <c r="C1163" s="5">
        <f ca="1">IFERROR(__xludf.DUMMYFUNCTION("""COMPUTED_VALUE"""),23)</f>
        <v>23</v>
      </c>
      <c r="D1163" s="5">
        <f ca="1">IFERROR(__xludf.DUMMYFUNCTION("""COMPUTED_VALUE"""),2014)</f>
        <v>2014</v>
      </c>
      <c r="E1163" s="8">
        <f ca="1">IFERROR(__xludf.DUMMYFUNCTION("""COMPUTED_VALUE"""),41813)</f>
        <v>41813</v>
      </c>
      <c r="F1163" s="5" t="str">
        <f ca="1">IFERROR(__xludf.DUMMYFUNCTION("""COMPUTED_VALUE"""),"Kelly High School")</f>
        <v>Kelly High School</v>
      </c>
      <c r="G1163" s="5">
        <f ca="1">IFERROR(__xludf.DUMMYFUNCTION("""COMPUTED_VALUE"""),1)</f>
        <v>1</v>
      </c>
      <c r="H1163" s="5">
        <f ca="1">IFERROR(__xludf.DUMMYFUNCTION("""COMPUTED_VALUE"""),0)</f>
        <v>0</v>
      </c>
      <c r="I1163" s="5">
        <f ca="1">IFERROR(__xludf.DUMMYFUNCTION("""COMPUTED_VALUE"""),1)</f>
        <v>1</v>
      </c>
      <c r="J1163" s="5">
        <f ca="1">IFERROR(__xludf.DUMMYFUNCTION("""COMPUTED_VALUE"""),0)</f>
        <v>0</v>
      </c>
      <c r="K1163" s="5" t="str">
        <f ca="1">IFERROR(__xludf.DUMMYFUNCTION("""COMPUTED_VALUE"""),"https://www.semissourian.com/story/2104193.html . http://www.kfvs12.com/story/25851145/hundreds-gather-to-remember-teen-killed-in-accidental-shooting-at-school-parking-lot")</f>
        <v>https://www.semissourian.com/story/2104193.html . http://www.kfvs12.com/story/25851145/hundreds-gather-to-remember-teen-killed-in-accidental-shooting-at-school-parking-lot</v>
      </c>
      <c r="L1163" s="5"/>
      <c r="M1163" s="5"/>
      <c r="N1163" s="5">
        <f ca="1">IFERROR(__xludf.DUMMYFUNCTION("""COMPUTED_VALUE"""),3)</f>
        <v>3</v>
      </c>
      <c r="O1163" s="5" t="str">
        <f ca="1">IFERROR(__xludf.DUMMYFUNCTION("""COMPUTED_VALUE"""),"Summer")</f>
        <v>Summer</v>
      </c>
      <c r="P1163" s="5" t="str">
        <f ca="1">IFERROR(__xludf.DUMMYFUNCTION("""COMPUTED_VALUE"""),"Benton")</f>
        <v>Benton</v>
      </c>
      <c r="Q1163" s="5" t="str">
        <f ca="1">IFERROR(__xludf.DUMMYFUNCTION("""COMPUTED_VALUE"""),"MO")</f>
        <v>MO</v>
      </c>
      <c r="R1163" s="5" t="str">
        <f ca="1">IFERROR(__xludf.DUMMYFUNCTION("""COMPUTED_VALUE"""),"High")</f>
        <v>High</v>
      </c>
      <c r="S1163" s="5" t="str">
        <f ca="1">IFERROR(__xludf.DUMMYFUNCTION("""COMPUTED_VALUE"""),"Basketball Court")</f>
        <v>Basketball Court</v>
      </c>
      <c r="T1163" s="5" t="str">
        <f ca="1">IFERROR(__xludf.DUMMYFUNCTION("""COMPUTED_VALUE"""),"Outside on School Property")</f>
        <v>Outside on School Property</v>
      </c>
      <c r="U1163" s="5" t="str">
        <f ca="1">IFERROR(__xludf.DUMMYFUNCTION("""COMPUTED_VALUE"""),"No")</f>
        <v>No</v>
      </c>
      <c r="V1163" s="5" t="str">
        <f ca="1">IFERROR(__xludf.DUMMYFUNCTION("""COMPUTED_VALUE"""),"After School")</f>
        <v>After School</v>
      </c>
      <c r="W1163" s="10">
        <f ca="1">IFERROR(__xludf.DUMMYFUNCTION("""COMPUTED_VALUE"""),0.84375)</f>
        <v>0.84375</v>
      </c>
      <c r="X1163" s="5">
        <f ca="1">IFERROR(__xludf.DUMMYFUNCTION("""COMPUTED_VALUE"""),1)</f>
        <v>1</v>
      </c>
      <c r="Y1163" s="5" t="str">
        <f ca="1">IFERROR(__xludf.DUMMYFUNCTION("""COMPUTED_VALUE"""),"Accidental discharge in parking lot")</f>
        <v>Accidental discharge in parking lot</v>
      </c>
      <c r="Z1163" s="5" t="str">
        <f ca="1">IFERROR(__xludf.DUMMYFUNCTION("""COMPUTED_VALUE"""),"Four friends were leaving school after playing basketball - while inside one of the boy's trucks, a firearm was handed over at which time it was accidentally discharged, striking the victim in the head - killing him.")</f>
        <v>Four friends were leaving school after playing basketball - while inside one of the boy's trucks, a firearm was handed over at which time it was accidentally discharged, striking the victim in the head - killing him.</v>
      </c>
      <c r="AA1163" s="5" t="str">
        <f ca="1">IFERROR(__xludf.DUMMYFUNCTION("""COMPUTED_VALUE"""),"Accidental")</f>
        <v>Accidental</v>
      </c>
      <c r="AB1163" s="5" t="str">
        <f ca="1">IFERROR(__xludf.DUMMYFUNCTION("""COMPUTED_VALUE"""),"Random Shooting")</f>
        <v>Random Shooting</v>
      </c>
      <c r="AC1163" s="5" t="str">
        <f ca="1">IFERROR(__xludf.DUMMYFUNCTION("""COMPUTED_VALUE"""),"No")</f>
        <v>No</v>
      </c>
      <c r="AD1163" s="5" t="str">
        <f ca="1">IFERROR(__xludf.DUMMYFUNCTION("""COMPUTED_VALUE"""),"No")</f>
        <v>No</v>
      </c>
      <c r="AE1163" s="5" t="str">
        <f ca="1">IFERROR(__xludf.DUMMYFUNCTION("""COMPUTED_VALUE"""),"No")</f>
        <v>No</v>
      </c>
      <c r="AF1163" s="5" t="str">
        <f ca="1">IFERROR(__xludf.DUMMYFUNCTION("""COMPUTED_VALUE"""),"No")</f>
        <v>No</v>
      </c>
      <c r="AG1163" s="5" t="str">
        <f ca="1">IFERROR(__xludf.DUMMYFUNCTION("""COMPUTED_VALUE"""),"No")</f>
        <v>No</v>
      </c>
      <c r="AH1163" s="5" t="str">
        <f ca="1">IFERROR(__xludf.DUMMYFUNCTION("""COMPUTED_VALUE"""),"No")</f>
        <v>No</v>
      </c>
      <c r="AI1163" s="5" t="str">
        <f ca="1">IFERROR(__xludf.DUMMYFUNCTION("""COMPUTED_VALUE"""),"No")</f>
        <v>No</v>
      </c>
      <c r="AJ1163" s="5"/>
    </row>
    <row r="1164" spans="1:36" ht="13">
      <c r="A1164" s="5" t="str">
        <f ca="1">IFERROR(__xludf.DUMMYFUNCTION("""COMPUTED_VALUE"""),"20140610ORRET")</f>
        <v>20140610ORRET</v>
      </c>
      <c r="B1164" s="5">
        <f ca="1">IFERROR(__xludf.DUMMYFUNCTION("""COMPUTED_VALUE"""),6)</f>
        <v>6</v>
      </c>
      <c r="C1164" s="5">
        <f ca="1">IFERROR(__xludf.DUMMYFUNCTION("""COMPUTED_VALUE"""),10)</f>
        <v>10</v>
      </c>
      <c r="D1164" s="5">
        <f ca="1">IFERROR(__xludf.DUMMYFUNCTION("""COMPUTED_VALUE"""),2014)</f>
        <v>2014</v>
      </c>
      <c r="E1164" s="8">
        <f ca="1">IFERROR(__xludf.DUMMYFUNCTION("""COMPUTED_VALUE"""),41800)</f>
        <v>41800</v>
      </c>
      <c r="F1164" s="5" t="str">
        <f ca="1">IFERROR(__xludf.DUMMYFUNCTION("""COMPUTED_VALUE"""),"Reynolds High School")</f>
        <v>Reynolds High School</v>
      </c>
      <c r="G1164" s="5">
        <f ca="1">IFERROR(__xludf.DUMMYFUNCTION("""COMPUTED_VALUE"""),1)</f>
        <v>1</v>
      </c>
      <c r="H1164" s="5">
        <f ca="1">IFERROR(__xludf.DUMMYFUNCTION("""COMPUTED_VALUE"""),1)</f>
        <v>1</v>
      </c>
      <c r="I1164" s="5">
        <f ca="1">IFERROR(__xludf.DUMMYFUNCTION("""COMPUTED_VALUE"""),2)</f>
        <v>2</v>
      </c>
      <c r="J1164" s="5">
        <f ca="1">IFERROR(__xludf.DUMMYFUNCTION("""COMPUTED_VALUE"""),1)</f>
        <v>1</v>
      </c>
      <c r="K1164" s="5" t="str">
        <f ca="1">IFERROR(__xludf.DUMMYFUNCTION("""COMPUTED_VALUE"""),"https://www.usatoday.com/story/news/nation/2014/06/10/reynolds-high-school-shooting-portland/10279083/ http://www.oregonlive.com/portland/index.ssf/2015/04/troutdale_police_release_31_pa.html http://katu.com/news/local/police-15-year-old-reynolds-hs-shoot"&amp;"er-was-armed-with-assault-rifle https://www.fbi.gov/file-repository/active-shooter-incidents-2000-2017.pdf https://www.csmonitor.com/USA/USA-Update/2014/0612/Reynolds-High-School-shooter-quiet-kind-and-fascinated-by-guns https://www.kgw.com/article/news/j"&amp;"une-2014-student-killed-teacher-hurt-at-reynolds-high/283-71431805")</f>
        <v>https://www.usatoday.com/story/news/nation/2014/06/10/reynolds-high-school-shooting-portland/10279083/ http://www.oregonlive.com/portland/index.ssf/2015/04/troutdale_police_release_31_pa.html http://katu.com/news/local/police-15-year-old-reynolds-hs-shooter-was-armed-with-assault-rifle https://www.fbi.gov/file-repository/active-shooter-incidents-2000-2017.pdf https://www.csmonitor.com/USA/USA-Update/2014/0612/Reynolds-High-School-shooter-quiet-kind-and-fascinated-by-guns https://www.kgw.com/article/news/june-2014-student-killed-teacher-hurt-at-reynolds-high/283-71431805</v>
      </c>
      <c r="L1164" s="5">
        <f ca="1">IFERROR(__xludf.DUMMYFUNCTION("""COMPUTED_VALUE"""),11)</f>
        <v>11</v>
      </c>
      <c r="M1164" s="5" t="str">
        <f ca="1">IFERROR(__xludf.DUMMYFUNCTION("""COMPUTED_VALUE"""),"Local")</f>
        <v>Local</v>
      </c>
      <c r="N1164" s="5">
        <f ca="1">IFERROR(__xludf.DUMMYFUNCTION("""COMPUTED_VALUE"""),5)</f>
        <v>5</v>
      </c>
      <c r="O1164" s="5" t="str">
        <f ca="1">IFERROR(__xludf.DUMMYFUNCTION("""COMPUTED_VALUE"""),"Summer")</f>
        <v>Summer</v>
      </c>
      <c r="P1164" s="5" t="str">
        <f ca="1">IFERROR(__xludf.DUMMYFUNCTION("""COMPUTED_VALUE"""),"Troutdale")</f>
        <v>Troutdale</v>
      </c>
      <c r="Q1164" s="5" t="str">
        <f ca="1">IFERROR(__xludf.DUMMYFUNCTION("""COMPUTED_VALUE"""),"OR")</f>
        <v>OR</v>
      </c>
      <c r="R1164" s="5" t="str">
        <f ca="1">IFERROR(__xludf.DUMMYFUNCTION("""COMPUTED_VALUE"""),"High")</f>
        <v>High</v>
      </c>
      <c r="S1164" s="5" t="str">
        <f ca="1">IFERROR(__xludf.DUMMYFUNCTION("""COMPUTED_VALUE"""),"Gym")</f>
        <v>Gym</v>
      </c>
      <c r="T1164" s="5" t="str">
        <f ca="1">IFERROR(__xludf.DUMMYFUNCTION("""COMPUTED_VALUE"""),"Inside School Building")</f>
        <v>Inside School Building</v>
      </c>
      <c r="U1164" s="5" t="str">
        <f ca="1">IFERROR(__xludf.DUMMYFUNCTION("""COMPUTED_VALUE"""),"Yes")</f>
        <v>Yes</v>
      </c>
      <c r="V1164" s="5" t="str">
        <f ca="1">IFERROR(__xludf.DUMMYFUNCTION("""COMPUTED_VALUE"""),"Morning Classes")</f>
        <v>Morning Classes</v>
      </c>
      <c r="W1164" s="10">
        <f ca="1">IFERROR(__xludf.DUMMYFUNCTION("""COMPUTED_VALUE"""),0.338194444444444)</f>
        <v>0.33819444444444402</v>
      </c>
      <c r="X1164" s="5"/>
      <c r="Y1164" s="5" t="str">
        <f ca="1">IFERROR(__xludf.DUMMYFUNCTION("""COMPUTED_VALUE"""),"Planned attack on the school")</f>
        <v>Planned attack on the school</v>
      </c>
      <c r="Z1164" s="5" t="str">
        <f ca="1">IFERROR(__xludf.DUMMYFUNCTION("""COMPUTED_VALUE"""),"Shooter fired AR 15 at another student and gym teacher in boys locker room. Rifle was brought in a guitar case, Confronted by police and ran into bathroom stall and shot himself. Journal cited plan for school shooting because other students were sinners a"&amp;"nd smoked cigarettes. Shooter had experience shooting with his brother and father. Shooter has knowledge of where the keys to a locked gun closet and locked rifle case were stored in the house. Family members reported the shooter had acted normally the mo"&amp;"rning prior to the shooting and had told his family members ""love you, see you later"" when he left that morning. Involved with junior ROTC program. Students reported he talked about guns often and liked firearms pictures on social media. Plan documents "&amp;"found.")</f>
        <v>Shooter fired AR 15 at another student and gym teacher in boys locker room. Rifle was brought in a guitar case, Confronted by police and ran into bathroom stall and shot himself. Journal cited plan for school shooting because other students were sinners and smoked cigarettes. Shooter had experience shooting with his brother and father. Shooter has knowledge of where the keys to a locked gun closet and locked rifle case were stored in the house. Family members reported the shooter had acted normally the morning prior to the shooting and had told his family members "love you, see you later" when he left that morning. Involved with junior ROTC program. Students reported he talked about guns often and liked firearms pictures on social media. Plan documents found.</v>
      </c>
      <c r="AA1164" s="5" t="str">
        <f ca="1">IFERROR(__xludf.DUMMYFUNCTION("""COMPUTED_VALUE"""),"Indiscriminate Shooting")</f>
        <v>Indiscriminate Shooting</v>
      </c>
      <c r="AB1164" s="5" t="str">
        <f ca="1">IFERROR(__xludf.DUMMYFUNCTION("""COMPUTED_VALUE"""),"Both")</f>
        <v>Both</v>
      </c>
      <c r="AC1164" s="5" t="str">
        <f ca="1">IFERROR(__xludf.DUMMYFUNCTION("""COMPUTED_VALUE"""),"No")</f>
        <v>No</v>
      </c>
      <c r="AD1164" s="5" t="str">
        <f ca="1">IFERROR(__xludf.DUMMYFUNCTION("""COMPUTED_VALUE"""),"No")</f>
        <v>No</v>
      </c>
      <c r="AE1164" s="5" t="str">
        <f ca="1">IFERROR(__xludf.DUMMYFUNCTION("""COMPUTED_VALUE"""),"No")</f>
        <v>No</v>
      </c>
      <c r="AF1164" s="5" t="str">
        <f ca="1">IFERROR(__xludf.DUMMYFUNCTION("""COMPUTED_VALUE"""),"No")</f>
        <v>No</v>
      </c>
      <c r="AG1164" s="5" t="str">
        <f ca="1">IFERROR(__xludf.DUMMYFUNCTION("""COMPUTED_VALUE"""),"No")</f>
        <v>No</v>
      </c>
      <c r="AH1164" s="5"/>
      <c r="AI1164" s="5" t="str">
        <f ca="1">IFERROR(__xludf.DUMMYFUNCTION("""COMPUTED_VALUE"""),"No")</f>
        <v>No</v>
      </c>
      <c r="AJ1164" s="5" t="str">
        <f ca="1">IFERROR(__xludf.DUMMYFUNCTION("""COMPUTED_VALUE"""),"Yes")</f>
        <v>Yes</v>
      </c>
    </row>
    <row r="1165" spans="1:36" ht="13">
      <c r="A1165" s="5" t="str">
        <f ca="1">IFERROR(__xludf.DUMMYFUNCTION("""COMPUTED_VALUE"""),"20140521WICLM")</f>
        <v>20140521WICLM</v>
      </c>
      <c r="B1165" s="5">
        <f ca="1">IFERROR(__xludf.DUMMYFUNCTION("""COMPUTED_VALUE"""),5)</f>
        <v>5</v>
      </c>
      <c r="C1165" s="5">
        <f ca="1">IFERROR(__xludf.DUMMYFUNCTION("""COMPUTED_VALUE"""),21)</f>
        <v>21</v>
      </c>
      <c r="D1165" s="5">
        <f ca="1">IFERROR(__xludf.DUMMYFUNCTION("""COMPUTED_VALUE"""),2014)</f>
        <v>2014</v>
      </c>
      <c r="E1165" s="8">
        <f ca="1">IFERROR(__xludf.DUMMYFUNCTION("""COMPUTED_VALUE"""),41780)</f>
        <v>41780</v>
      </c>
      <c r="F1165" s="5" t="str">
        <f ca="1">IFERROR(__xludf.DUMMYFUNCTION("""COMPUTED_VALUE"""),"Clarke Street Elementary School")</f>
        <v>Clarke Street Elementary School</v>
      </c>
      <c r="G1165" s="5">
        <f ca="1">IFERROR(__xludf.DUMMYFUNCTION("""COMPUTED_VALUE"""),1)</f>
        <v>1</v>
      </c>
      <c r="H1165" s="5">
        <f ca="1">IFERROR(__xludf.DUMMYFUNCTION("""COMPUTED_VALUE"""),0)</f>
        <v>0</v>
      </c>
      <c r="I1165" s="5">
        <f ca="1">IFERROR(__xludf.DUMMYFUNCTION("""COMPUTED_VALUE"""),1)</f>
        <v>1</v>
      </c>
      <c r="J1165" s="5">
        <f ca="1">IFERROR(__xludf.DUMMYFUNCTION("""COMPUTED_VALUE"""),0)</f>
        <v>0</v>
      </c>
      <c r="K1165" s="5" t="str">
        <f ca="1">IFERROR(__xludf.DUMMYFUNCTION("""COMPUTED_VALUE"""),"http://archive.jsonline.com/news/crime/before-playground-tragedy-shots-were-fired-but-no-one-hurt-b99437655z1-291309961.html/  http://archive.jsonline.com/news/crime/man-18-charged-in-milwaukee-playground-shooting-b99279387z1-260962571.html/ . https://www"&amp;".newspapers.com/image/129890147/?terms=clarke%2Bstreet%2Belementary%2Bschool")</f>
        <v>http://archive.jsonline.com/news/crime/before-playground-tragedy-shots-were-fired-but-no-one-hurt-b99437655z1-291309961.html/  http://archive.jsonline.com/news/crime/man-18-charged-in-milwaukee-playground-shooting-b99279387z1-260962571.html/ . https://www.newspapers.com/image/129890147/?terms=clarke%2Bstreet%2Belementary%2Bschool</v>
      </c>
      <c r="L1165" s="5"/>
      <c r="M1165" s="5"/>
      <c r="N1165" s="5">
        <f ca="1">IFERROR(__xludf.DUMMYFUNCTION("""COMPUTED_VALUE"""),3)</f>
        <v>3</v>
      </c>
      <c r="O1165" s="5" t="str">
        <f ca="1">IFERROR(__xludf.DUMMYFUNCTION("""COMPUTED_VALUE"""),"Spring")</f>
        <v>Spring</v>
      </c>
      <c r="P1165" s="5" t="str">
        <f ca="1">IFERROR(__xludf.DUMMYFUNCTION("""COMPUTED_VALUE"""),"Milwaukee")</f>
        <v>Milwaukee</v>
      </c>
      <c r="Q1165" s="5" t="str">
        <f ca="1">IFERROR(__xludf.DUMMYFUNCTION("""COMPUTED_VALUE"""),"WI")</f>
        <v>WI</v>
      </c>
      <c r="R1165" s="5" t="str">
        <f ca="1">IFERROR(__xludf.DUMMYFUNCTION("""COMPUTED_VALUE"""),"Elementary")</f>
        <v>Elementary</v>
      </c>
      <c r="S1165" s="5" t="str">
        <f ca="1">IFERROR(__xludf.DUMMYFUNCTION("""COMPUTED_VALUE"""),"Front of School")</f>
        <v>Front of School</v>
      </c>
      <c r="T1165" s="5" t="str">
        <f ca="1">IFERROR(__xludf.DUMMYFUNCTION("""COMPUTED_VALUE"""),"Outside on School Property")</f>
        <v>Outside on School Property</v>
      </c>
      <c r="U1165" s="5" t="str">
        <f ca="1">IFERROR(__xludf.DUMMYFUNCTION("""COMPUTED_VALUE"""),"No")</f>
        <v>No</v>
      </c>
      <c r="V1165" s="5" t="str">
        <f ca="1">IFERROR(__xludf.DUMMYFUNCTION("""COMPUTED_VALUE"""),"Evening")</f>
        <v>Evening</v>
      </c>
      <c r="W1165" s="10">
        <f ca="1">IFERROR(__xludf.DUMMYFUNCTION("""COMPUTED_VALUE"""),0.791666666666666)</f>
        <v>0.79166666666666596</v>
      </c>
      <c r="X1165" s="5">
        <f ca="1">IFERROR(__xludf.DUMMYFUNCTION("""COMPUTED_VALUE"""),5)</f>
        <v>5</v>
      </c>
      <c r="Y1165" s="5" t="str">
        <f ca="1">IFERROR(__xludf.DUMMYFUNCTION("""COMPUTED_VALUE"""),"Dispute between men - bystander shot")</f>
        <v>Dispute between men - bystander shot</v>
      </c>
      <c r="Z1165" s="5" t="str">
        <f ca="1">IFERROR(__xludf.DUMMYFUNCTION("""COMPUTED_VALUE"""),"Two men became involved in a verbal argument. Shooter, who was on a bike advised police he was accused of stealing the bike belonging to another man. Shooter said other man began to pull a gun at which time, shooter pulled gun fired until it was empty - h"&amp;"e later sold gun for $250 - victim was hit in crossfire. Victim later died.")</f>
        <v>Two men became involved in a verbal argument. Shooter, who was on a bike advised police he was accused of stealing the bike belonging to another man. Shooter said other man began to pull a gun at which time, shooter pulled gun fired until it was empty - he later sold gun for $250 - victim was hit in crossfire. Victim later died.</v>
      </c>
      <c r="AA1165" s="5" t="str">
        <f ca="1">IFERROR(__xludf.DUMMYFUNCTION("""COMPUTED_VALUE"""),"Illegal Activity")</f>
        <v>Illegal Activity</v>
      </c>
      <c r="AB1165" s="5" t="str">
        <f ca="1">IFERROR(__xludf.DUMMYFUNCTION("""COMPUTED_VALUE"""),"Random Shooting")</f>
        <v>Random Shooting</v>
      </c>
      <c r="AC1165" s="5"/>
      <c r="AD1165" s="5" t="str">
        <f ca="1">IFERROR(__xludf.DUMMYFUNCTION("""COMPUTED_VALUE"""),"No")</f>
        <v>No</v>
      </c>
      <c r="AE1165" s="5" t="str">
        <f ca="1">IFERROR(__xludf.DUMMYFUNCTION("""COMPUTED_VALUE"""),"No")</f>
        <v>No</v>
      </c>
      <c r="AF1165" s="5" t="str">
        <f ca="1">IFERROR(__xludf.DUMMYFUNCTION("""COMPUTED_VALUE"""),"No")</f>
        <v>No</v>
      </c>
      <c r="AG1165" s="5" t="str">
        <f ca="1">IFERROR(__xludf.DUMMYFUNCTION("""COMPUTED_VALUE"""),"No")</f>
        <v>No</v>
      </c>
      <c r="AH1165" s="5" t="str">
        <f ca="1">IFERROR(__xludf.DUMMYFUNCTION("""COMPUTED_VALUE"""),"No")</f>
        <v>No</v>
      </c>
      <c r="AI1165" s="5" t="str">
        <f ca="1">IFERROR(__xludf.DUMMYFUNCTION("""COMPUTED_VALUE"""),"No")</f>
        <v>No</v>
      </c>
      <c r="AJ1165" s="5"/>
    </row>
    <row r="1166" spans="1:36" ht="13">
      <c r="A1166" s="5" t="str">
        <f ca="1">IFERROR(__xludf.DUMMYFUNCTION("""COMPUTED_VALUE"""),"20140514CAJOR")</f>
        <v>20140514CAJOR</v>
      </c>
      <c r="B1166" s="5">
        <f ca="1">IFERROR(__xludf.DUMMYFUNCTION("""COMPUTED_VALUE"""),5)</f>
        <v>5</v>
      </c>
      <c r="C1166" s="5">
        <f ca="1">IFERROR(__xludf.DUMMYFUNCTION("""COMPUTED_VALUE"""),14)</f>
        <v>14</v>
      </c>
      <c r="D1166" s="5">
        <f ca="1">IFERROR(__xludf.DUMMYFUNCTION("""COMPUTED_VALUE"""),2014)</f>
        <v>2014</v>
      </c>
      <c r="E1166" s="8">
        <f ca="1">IFERROR(__xludf.DUMMYFUNCTION("""COMPUTED_VALUE"""),41773)</f>
        <v>41773</v>
      </c>
      <c r="F1166" s="5" t="str">
        <f ca="1">IFERROR(__xludf.DUMMYFUNCTION("""COMPUTED_VALUE"""),"John F. Kennedy High School")</f>
        <v>John F. Kennedy High School</v>
      </c>
      <c r="G1166" s="5">
        <f ca="1">IFERROR(__xludf.DUMMYFUNCTION("""COMPUTED_VALUE"""),0)</f>
        <v>0</v>
      </c>
      <c r="H1166" s="5">
        <f ca="1">IFERROR(__xludf.DUMMYFUNCTION("""COMPUTED_VALUE"""),1)</f>
        <v>1</v>
      </c>
      <c r="I1166" s="5">
        <f ca="1">IFERROR(__xludf.DUMMYFUNCTION("""COMPUTED_VALUE"""),1)</f>
        <v>1</v>
      </c>
      <c r="J1166" s="5">
        <f ca="1">IFERROR(__xludf.DUMMYFUNCTION("""COMPUTED_VALUE"""),0)</f>
        <v>0</v>
      </c>
      <c r="K1166" s="9" t="str">
        <f ca="1">IFERROR(__xludf.DUMMYFUNCTION("""COMPUTED_VALUE"""),"https://www.nbcbayarea.com/news/local/Student-Shot-Kennedy-High-School-in-Richmond-on-Lockdown-259238751.html")</f>
        <v>https://www.nbcbayarea.com/news/local/Student-Shot-Kennedy-High-School-in-Richmond-on-Lockdown-259238751.html</v>
      </c>
      <c r="L1166" s="5">
        <f ca="1">IFERROR(__xludf.DUMMYFUNCTION("""COMPUTED_VALUE"""),1)</f>
        <v>1</v>
      </c>
      <c r="M1166" s="5" t="str">
        <f ca="1">IFERROR(__xludf.DUMMYFUNCTION("""COMPUTED_VALUE"""),"Local")</f>
        <v>Local</v>
      </c>
      <c r="N1166" s="5">
        <f ca="1">IFERROR(__xludf.DUMMYFUNCTION("""COMPUTED_VALUE"""),2)</f>
        <v>2</v>
      </c>
      <c r="O1166" s="5" t="str">
        <f ca="1">IFERROR(__xludf.DUMMYFUNCTION("""COMPUTED_VALUE"""),"Spring")</f>
        <v>Spring</v>
      </c>
      <c r="P1166" s="5" t="str">
        <f ca="1">IFERROR(__xludf.DUMMYFUNCTION("""COMPUTED_VALUE"""),"Richmond")</f>
        <v>Richmond</v>
      </c>
      <c r="Q1166" s="5" t="str">
        <f ca="1">IFERROR(__xludf.DUMMYFUNCTION("""COMPUTED_VALUE"""),"CA")</f>
        <v>CA</v>
      </c>
      <c r="R1166" s="5" t="str">
        <f ca="1">IFERROR(__xludf.DUMMYFUNCTION("""COMPUTED_VALUE"""),"High")</f>
        <v>High</v>
      </c>
      <c r="S1166" s="5" t="str">
        <f ca="1">IFERROR(__xludf.DUMMYFUNCTION("""COMPUTED_VALUE"""),"Off School Property")</f>
        <v>Off School Property</v>
      </c>
      <c r="T1166" s="5" t="str">
        <f ca="1">IFERROR(__xludf.DUMMYFUNCTION("""COMPUTED_VALUE"""),"Off School Property")</f>
        <v>Off School Property</v>
      </c>
      <c r="U1166" s="5" t="str">
        <f ca="1">IFERROR(__xludf.DUMMYFUNCTION("""COMPUTED_VALUE"""),"Yes")</f>
        <v>Yes</v>
      </c>
      <c r="V1166" s="5" t="str">
        <f ca="1">IFERROR(__xludf.DUMMYFUNCTION("""COMPUTED_VALUE"""),"Before School")</f>
        <v>Before School</v>
      </c>
      <c r="W1166" s="10">
        <f ca="1">IFERROR(__xludf.DUMMYFUNCTION("""COMPUTED_VALUE"""),0.375)</f>
        <v>0.375</v>
      </c>
      <c r="X1166" s="5"/>
      <c r="Y1166" s="5" t="str">
        <f ca="1">IFERROR(__xludf.DUMMYFUNCTION("""COMPUTED_VALUE"""),"Drive-by shooting after fight")</f>
        <v>Drive-by shooting after fight</v>
      </c>
      <c r="Z1166" s="5" t="str">
        <f ca="1">IFERROR(__xludf.DUMMYFUNCTION("""COMPUTED_VALUE"""),"Fight between rival gang members had occurred earlier at the park across from the school, which escalated into a shooting. Not known if the victim participated in the altercation. Victim got shot in the leg and made it to the school for help.")</f>
        <v>Fight between rival gang members had occurred earlier at the park across from the school, which escalated into a shooting. Not known if the victim participated in the altercation. Victim got shot in the leg and made it to the school for help.</v>
      </c>
      <c r="AA1166" s="5" t="str">
        <f ca="1">IFERROR(__xludf.DUMMYFUNCTION("""COMPUTED_VALUE"""),"Drive-by Shooting")</f>
        <v>Drive-by Shooting</v>
      </c>
      <c r="AB1166" s="5"/>
      <c r="AC1166" s="5"/>
      <c r="AD1166" s="5" t="str">
        <f ca="1">IFERROR(__xludf.DUMMYFUNCTION("""COMPUTED_VALUE"""),"No")</f>
        <v>No</v>
      </c>
      <c r="AE1166" s="5" t="str">
        <f ca="1">IFERROR(__xludf.DUMMYFUNCTION("""COMPUTED_VALUE"""),"No")</f>
        <v>No</v>
      </c>
      <c r="AF1166" s="5" t="str">
        <f ca="1">IFERROR(__xludf.DUMMYFUNCTION("""COMPUTED_VALUE"""),"No")</f>
        <v>No</v>
      </c>
      <c r="AG1166" s="5" t="str">
        <f ca="1">IFERROR(__xludf.DUMMYFUNCTION("""COMPUTED_VALUE"""),"No")</f>
        <v>No</v>
      </c>
      <c r="AH1166" s="5" t="str">
        <f ca="1">IFERROR(__xludf.DUMMYFUNCTION("""COMPUTED_VALUE"""),"No")</f>
        <v>No</v>
      </c>
      <c r="AI1166" s="5" t="str">
        <f ca="1">IFERROR(__xludf.DUMMYFUNCTION("""COMPUTED_VALUE"""),"Yes")</f>
        <v>Yes</v>
      </c>
      <c r="AJ1166" s="5"/>
    </row>
    <row r="1167" spans="1:36" ht="13">
      <c r="A1167" s="5" t="str">
        <f ca="1">IFERROR(__xludf.DUMMYFUNCTION("""COMPUTED_VALUE"""),"20140503WAHOE")</f>
        <v>20140503WAHOE</v>
      </c>
      <c r="B1167" s="5">
        <f ca="1">IFERROR(__xludf.DUMMYFUNCTION("""COMPUTED_VALUE"""),5)</f>
        <v>5</v>
      </c>
      <c r="C1167" s="5">
        <f ca="1">IFERROR(__xludf.DUMMYFUNCTION("""COMPUTED_VALUE"""),3)</f>
        <v>3</v>
      </c>
      <c r="D1167" s="5">
        <f ca="1">IFERROR(__xludf.DUMMYFUNCTION("""COMPUTED_VALUE"""),2014)</f>
        <v>2014</v>
      </c>
      <c r="E1167" s="8">
        <f ca="1">IFERROR(__xludf.DUMMYFUNCTION("""COMPUTED_VALUE"""),41762)</f>
        <v>41762</v>
      </c>
      <c r="F1167" s="5" t="str">
        <f ca="1">IFERROR(__xludf.DUMMYFUNCTION("""COMPUTED_VALUE"""),"Horizon Elementary School")</f>
        <v>Horizon Elementary School</v>
      </c>
      <c r="G1167" s="5">
        <f ca="1">IFERROR(__xludf.DUMMYFUNCTION("""COMPUTED_VALUE"""),0)</f>
        <v>0</v>
      </c>
      <c r="H1167" s="5">
        <f ca="1">IFERROR(__xludf.DUMMYFUNCTION("""COMPUTED_VALUE"""),1)</f>
        <v>1</v>
      </c>
      <c r="I1167" s="5">
        <f ca="1">IFERROR(__xludf.DUMMYFUNCTION("""COMPUTED_VALUE"""),1)</f>
        <v>1</v>
      </c>
      <c r="J1167" s="5">
        <f ca="1">IFERROR(__xludf.DUMMYFUNCTION("""COMPUTED_VALUE"""),0)</f>
        <v>0</v>
      </c>
      <c r="K1167" s="9" t="str">
        <f ca="1">IFERROR(__xludf.DUMMYFUNCTION("""COMPUTED_VALUE"""),"http://www.newsofmillcreek.com/content/weekend-shooting-horizon-elementary-school")</f>
        <v>http://www.newsofmillcreek.com/content/weekend-shooting-horizon-elementary-school</v>
      </c>
      <c r="L1167" s="5"/>
      <c r="M1167" s="5"/>
      <c r="N1167" s="5">
        <f ca="1">IFERROR(__xludf.DUMMYFUNCTION("""COMPUTED_VALUE"""),2)</f>
        <v>2</v>
      </c>
      <c r="O1167" s="5" t="str">
        <f ca="1">IFERROR(__xludf.DUMMYFUNCTION("""COMPUTED_VALUE"""),"Spring")</f>
        <v>Spring</v>
      </c>
      <c r="P1167" s="5" t="str">
        <f ca="1">IFERROR(__xludf.DUMMYFUNCTION("""COMPUTED_VALUE"""),"Everett")</f>
        <v>Everett</v>
      </c>
      <c r="Q1167" s="5" t="str">
        <f ca="1">IFERROR(__xludf.DUMMYFUNCTION("""COMPUTED_VALUE"""),"WA")</f>
        <v>WA</v>
      </c>
      <c r="R1167" s="5" t="str">
        <f ca="1">IFERROR(__xludf.DUMMYFUNCTION("""COMPUTED_VALUE"""),"Elementary")</f>
        <v>Elementary</v>
      </c>
      <c r="S1167" s="5" t="str">
        <f ca="1">IFERROR(__xludf.DUMMYFUNCTION("""COMPUTED_VALUE"""),"Basketball Court")</f>
        <v>Basketball Court</v>
      </c>
      <c r="T1167" s="5" t="str">
        <f ca="1">IFERROR(__xludf.DUMMYFUNCTION("""COMPUTED_VALUE"""),"Outside on School Property")</f>
        <v>Outside on School Property</v>
      </c>
      <c r="U1167" s="5" t="str">
        <f ca="1">IFERROR(__xludf.DUMMYFUNCTION("""COMPUTED_VALUE"""),"No")</f>
        <v>No</v>
      </c>
      <c r="V1167" s="5" t="str">
        <f ca="1">IFERROR(__xludf.DUMMYFUNCTION("""COMPUTED_VALUE"""),"Not a School Day")</f>
        <v>Not a School Day</v>
      </c>
      <c r="W1167" s="10">
        <f ca="1">IFERROR(__xludf.DUMMYFUNCTION("""COMPUTED_VALUE"""),0.770833333333333)</f>
        <v>0.77083333333333304</v>
      </c>
      <c r="X1167" s="5">
        <f ca="1">IFERROR(__xludf.DUMMYFUNCTION("""COMPUTED_VALUE"""),1)</f>
        <v>1</v>
      </c>
      <c r="Y1167" s="5" t="str">
        <f ca="1">IFERROR(__xludf.DUMMYFUNCTION("""COMPUTED_VALUE"""),"Dispute on basketball court")</f>
        <v>Dispute on basketball court</v>
      </c>
      <c r="Z1167" s="5" t="str">
        <f ca="1">IFERROR(__xludf.DUMMYFUNCTION("""COMPUTED_VALUE"""),"15YOM shot on basketball court during dispute. Police said the incident was gang related.")</f>
        <v>15YOM shot on basketball court during dispute. Police said the incident was gang related.</v>
      </c>
      <c r="AA1167" s="5" t="str">
        <f ca="1">IFERROR(__xludf.DUMMYFUNCTION("""COMPUTED_VALUE"""),"Escalation of Dispute")</f>
        <v>Escalation of Dispute</v>
      </c>
      <c r="AB1167" s="5"/>
      <c r="AC1167" s="5"/>
      <c r="AD1167" s="5" t="str">
        <f ca="1">IFERROR(__xludf.DUMMYFUNCTION("""COMPUTED_VALUE"""),"No")</f>
        <v>No</v>
      </c>
      <c r="AE1167" s="5" t="str">
        <f ca="1">IFERROR(__xludf.DUMMYFUNCTION("""COMPUTED_VALUE"""),"No")</f>
        <v>No</v>
      </c>
      <c r="AF1167" s="5" t="str">
        <f ca="1">IFERROR(__xludf.DUMMYFUNCTION("""COMPUTED_VALUE"""),"No")</f>
        <v>No</v>
      </c>
      <c r="AG1167" s="5"/>
      <c r="AH1167" s="5" t="str">
        <f ca="1">IFERROR(__xludf.DUMMYFUNCTION("""COMPUTED_VALUE"""),"No")</f>
        <v>No</v>
      </c>
      <c r="AI1167" s="5" t="str">
        <f ca="1">IFERROR(__xludf.DUMMYFUNCTION("""COMPUTED_VALUE"""),"Yes")</f>
        <v>Yes</v>
      </c>
      <c r="AJ1167" s="5"/>
    </row>
    <row r="1168" spans="1:36" ht="13">
      <c r="A1168" s="5" t="str">
        <f ca="1">IFERROR(__xludf.DUMMYFUNCTION("""COMPUTED_VALUE"""),"20140421INSTG")</f>
        <v>20140421INSTG</v>
      </c>
      <c r="B1168" s="5">
        <f ca="1">IFERROR(__xludf.DUMMYFUNCTION("""COMPUTED_VALUE"""),4)</f>
        <v>4</v>
      </c>
      <c r="C1168" s="5">
        <f ca="1">IFERROR(__xludf.DUMMYFUNCTION("""COMPUTED_VALUE"""),21)</f>
        <v>21</v>
      </c>
      <c r="D1168" s="5">
        <f ca="1">IFERROR(__xludf.DUMMYFUNCTION("""COMPUTED_VALUE"""),2014)</f>
        <v>2014</v>
      </c>
      <c r="E1168" s="8">
        <f ca="1">IFERROR(__xludf.DUMMYFUNCTION("""COMPUTED_VALUE"""),41750)</f>
        <v>41750</v>
      </c>
      <c r="F1168" s="5" t="str">
        <f ca="1">IFERROR(__xludf.DUMMYFUNCTION("""COMPUTED_VALUE"""),"St. Mary Catholic School")</f>
        <v>St. Mary Catholic School</v>
      </c>
      <c r="G1168" s="5">
        <f ca="1">IFERROR(__xludf.DUMMYFUNCTION("""COMPUTED_VALUE"""),1)</f>
        <v>1</v>
      </c>
      <c r="H1168" s="5">
        <f ca="1">IFERROR(__xludf.DUMMYFUNCTION("""COMPUTED_VALUE"""),0)</f>
        <v>0</v>
      </c>
      <c r="I1168" s="5">
        <f ca="1">IFERROR(__xludf.DUMMYFUNCTION("""COMPUTED_VALUE"""),1)</f>
        <v>1</v>
      </c>
      <c r="J1168" s="5">
        <f ca="1">IFERROR(__xludf.DUMMYFUNCTION("""COMPUTED_VALUE"""),1)</f>
        <v>1</v>
      </c>
      <c r="K1168" s="5" t="str">
        <f ca="1">IFERROR(__xludf.DUMMYFUNCTION("""COMPUTED_VALUE"""),"https://www.nbcchicago.com/news/local/Man-Shoots-Estranged-Wife-in-School-Parking-Lot-256119341.html   https://www.nwitimes.com/news/local/lake/griffith/fatal-shooting-at-church-parking-lot-in-griffith/article_94f13feb-244f-51f5-82c2-89075f963b59.html . h"&amp;"ttps://www.cbsnews.com/news/cops-man-killed-wife-outside-indiana-school-infront-of-kids/")</f>
        <v>https://www.nbcchicago.com/news/local/Man-Shoots-Estranged-Wife-in-School-Parking-Lot-256119341.html   https://www.nwitimes.com/news/local/lake/griffith/fatal-shooting-at-church-parking-lot-in-griffith/article_94f13feb-244f-51f5-82c2-89075f963b59.html . https://www.cbsnews.com/news/cops-man-killed-wife-outside-indiana-school-infront-of-kids/</v>
      </c>
      <c r="L1168" s="5"/>
      <c r="M1168" s="5"/>
      <c r="N1168" s="5">
        <f ca="1">IFERROR(__xludf.DUMMYFUNCTION("""COMPUTED_VALUE"""),3)</f>
        <v>3</v>
      </c>
      <c r="O1168" s="5" t="str">
        <f ca="1">IFERROR(__xludf.DUMMYFUNCTION("""COMPUTED_VALUE"""),"Spring")</f>
        <v>Spring</v>
      </c>
      <c r="P1168" s="5" t="str">
        <f ca="1">IFERROR(__xludf.DUMMYFUNCTION("""COMPUTED_VALUE"""),"Griffith")</f>
        <v>Griffith</v>
      </c>
      <c r="Q1168" s="5" t="str">
        <f ca="1">IFERROR(__xludf.DUMMYFUNCTION("""COMPUTED_VALUE"""),"IN")</f>
        <v>IN</v>
      </c>
      <c r="R1168" s="5" t="str">
        <f ca="1">IFERROR(__xludf.DUMMYFUNCTION("""COMPUTED_VALUE"""),"High")</f>
        <v>High</v>
      </c>
      <c r="S1168" s="5" t="str">
        <f ca="1">IFERROR(__xludf.DUMMYFUNCTION("""COMPUTED_VALUE"""),"Parking Lot")</f>
        <v>Parking Lot</v>
      </c>
      <c r="T1168" s="5" t="str">
        <f ca="1">IFERROR(__xludf.DUMMYFUNCTION("""COMPUTED_VALUE"""),"Outside on School Property")</f>
        <v>Outside on School Property</v>
      </c>
      <c r="U1168" s="5" t="str">
        <f ca="1">IFERROR(__xludf.DUMMYFUNCTION("""COMPUTED_VALUE"""),"Yes")</f>
        <v>Yes</v>
      </c>
      <c r="V1168" s="5" t="str">
        <f ca="1">IFERROR(__xludf.DUMMYFUNCTION("""COMPUTED_VALUE"""),"After School")</f>
        <v>After School</v>
      </c>
      <c r="W1168" s="10">
        <f ca="1">IFERROR(__xludf.DUMMYFUNCTION("""COMPUTED_VALUE"""),0.6875)</f>
        <v>0.6875</v>
      </c>
      <c r="X1168" s="5">
        <f ca="1">IFERROR(__xludf.DUMMYFUNCTION("""COMPUTED_VALUE"""),1)</f>
        <v>1</v>
      </c>
      <c r="Y1168" s="5" t="str">
        <f ca="1">IFERROR(__xludf.DUMMYFUNCTION("""COMPUTED_VALUE"""),"Husband killed wife on school property while she was dropping of children")</f>
        <v>Husband killed wife on school property while she was dropping of children</v>
      </c>
      <c r="Z1168" s="5" t="str">
        <f ca="1">IFERROR(__xludf.DUMMYFUNCTION("""COMPUTED_VALUE"""),"Husband kills wife on school property - she was there picking up their daughter after having already picked up their son - both children witnessed the event - husband leaves property goes home and kills himself after being confronted by police in his gara"&amp;"ge - known to have domestic issues.")</f>
        <v>Husband kills wife on school property - she was there picking up their daughter after having already picked up their son - both children witnessed the event - husband leaves property goes home and kills himself after being confronted by police in his garage - known to have domestic issues.</v>
      </c>
      <c r="AA1168" s="5" t="str">
        <f ca="1">IFERROR(__xludf.DUMMYFUNCTION("""COMPUTED_VALUE"""),"Murder/Suicide")</f>
        <v>Murder/Suicide</v>
      </c>
      <c r="AB1168" s="5" t="str">
        <f ca="1">IFERROR(__xludf.DUMMYFUNCTION("""COMPUTED_VALUE"""),"Victims Targeted")</f>
        <v>Victims Targeted</v>
      </c>
      <c r="AC1168" s="5" t="str">
        <f ca="1">IFERROR(__xludf.DUMMYFUNCTION("""COMPUTED_VALUE"""),"No")</f>
        <v>No</v>
      </c>
      <c r="AD1168" s="5" t="str">
        <f ca="1">IFERROR(__xludf.DUMMYFUNCTION("""COMPUTED_VALUE"""),"No")</f>
        <v>No</v>
      </c>
      <c r="AE1168" s="5" t="str">
        <f ca="1">IFERROR(__xludf.DUMMYFUNCTION("""COMPUTED_VALUE"""),"No")</f>
        <v>No</v>
      </c>
      <c r="AF1168" s="5" t="str">
        <f ca="1">IFERROR(__xludf.DUMMYFUNCTION("""COMPUTED_VALUE"""),"No")</f>
        <v>No</v>
      </c>
      <c r="AG1168" s="5" t="str">
        <f ca="1">IFERROR(__xludf.DUMMYFUNCTION("""COMPUTED_VALUE"""),"No")</f>
        <v>No</v>
      </c>
      <c r="AH1168" s="5" t="str">
        <f ca="1">IFERROR(__xludf.DUMMYFUNCTION("""COMPUTED_VALUE"""),"Yes")</f>
        <v>Yes</v>
      </c>
      <c r="AI1168" s="5" t="str">
        <f ca="1">IFERROR(__xludf.DUMMYFUNCTION("""COMPUTED_VALUE"""),"No")</f>
        <v>No</v>
      </c>
      <c r="AJ1168" s="5"/>
    </row>
    <row r="1169" spans="1:36" ht="13">
      <c r="A1169" s="5" t="str">
        <f ca="1">IFERROR(__xludf.DUMMYFUNCTION("""COMPUTED_VALUE"""),"20140421UTPRP")</f>
        <v>20140421UTPRP</v>
      </c>
      <c r="B1169" s="5">
        <f ca="1">IFERROR(__xludf.DUMMYFUNCTION("""COMPUTED_VALUE"""),4)</f>
        <v>4</v>
      </c>
      <c r="C1169" s="5">
        <f ca="1">IFERROR(__xludf.DUMMYFUNCTION("""COMPUTED_VALUE"""),21)</f>
        <v>21</v>
      </c>
      <c r="D1169" s="5">
        <f ca="1">IFERROR(__xludf.DUMMYFUNCTION("""COMPUTED_VALUE"""),2014)</f>
        <v>2014</v>
      </c>
      <c r="E1169" s="8">
        <f ca="1">IFERROR(__xludf.DUMMYFUNCTION("""COMPUTED_VALUE"""),41750)</f>
        <v>41750</v>
      </c>
      <c r="F1169" s="5" t="str">
        <f ca="1">IFERROR(__xludf.DUMMYFUNCTION("""COMPUTED_VALUE"""),"Provo High School")</f>
        <v>Provo High School</v>
      </c>
      <c r="G1169" s="5">
        <f ca="1">IFERROR(__xludf.DUMMYFUNCTION("""COMPUTED_VALUE"""),0)</f>
        <v>0</v>
      </c>
      <c r="H1169" s="5">
        <f ca="1">IFERROR(__xludf.DUMMYFUNCTION("""COMPUTED_VALUE"""),0)</f>
        <v>0</v>
      </c>
      <c r="I1169" s="5">
        <f ca="1">IFERROR(__xludf.DUMMYFUNCTION("""COMPUTED_VALUE"""),0)</f>
        <v>0</v>
      </c>
      <c r="J1169" s="5">
        <f ca="1">IFERROR(__xludf.DUMMYFUNCTION("""COMPUTED_VALUE"""),0)</f>
        <v>0</v>
      </c>
      <c r="K1169" s="5" t="str">
        <f ca="1">IFERROR(__xludf.DUMMYFUNCTION("""COMPUTED_VALUE"""),"https://www.heraldextra.com/news/local/central/provo/student-shoots-himself-at-provo-high-didn-t-target-others/article_928ce059-c44a-528b-a4de-d8e3dc895f42.html  http://archive.sltrib.com/article.php?id=57847514&amp;itype=CMSID . https://www.good4utah.com/new"&amp;"s/local-utah-state-news-/student-shoots-himself-at-provo-high/207007613")</f>
        <v>https://www.heraldextra.com/news/local/central/provo/student-shoots-himself-at-provo-high-didn-t-target-others/article_928ce059-c44a-528b-a4de-d8e3dc895f42.html  http://archive.sltrib.com/article.php?id=57847514&amp;itype=CMSID . https://www.good4utah.com/news/local-utah-state-news-/student-shoots-himself-at-provo-high/207007613</v>
      </c>
      <c r="L1169" s="5"/>
      <c r="M1169" s="5"/>
      <c r="N1169" s="5">
        <f ca="1">IFERROR(__xludf.DUMMYFUNCTION("""COMPUTED_VALUE"""),3)</f>
        <v>3</v>
      </c>
      <c r="O1169" s="5" t="str">
        <f ca="1">IFERROR(__xludf.DUMMYFUNCTION("""COMPUTED_VALUE"""),"Spring")</f>
        <v>Spring</v>
      </c>
      <c r="P1169" s="5" t="str">
        <f ca="1">IFERROR(__xludf.DUMMYFUNCTION("""COMPUTED_VALUE"""),"Provo")</f>
        <v>Provo</v>
      </c>
      <c r="Q1169" s="5" t="str">
        <f ca="1">IFERROR(__xludf.DUMMYFUNCTION("""COMPUTED_VALUE"""),"UT")</f>
        <v>UT</v>
      </c>
      <c r="R1169" s="5" t="str">
        <f ca="1">IFERROR(__xludf.DUMMYFUNCTION("""COMPUTED_VALUE"""),"High")</f>
        <v>High</v>
      </c>
      <c r="S1169" s="5" t="str">
        <f ca="1">IFERROR(__xludf.DUMMYFUNCTION("""COMPUTED_VALUE"""),"Beside Building")</f>
        <v>Beside Building</v>
      </c>
      <c r="T1169" s="5" t="str">
        <f ca="1">IFERROR(__xludf.DUMMYFUNCTION("""COMPUTED_VALUE"""),"Outside on School Property")</f>
        <v>Outside on School Property</v>
      </c>
      <c r="U1169" s="5" t="str">
        <f ca="1">IFERROR(__xludf.DUMMYFUNCTION("""COMPUTED_VALUE"""),"Yes")</f>
        <v>Yes</v>
      </c>
      <c r="V1169" s="5" t="str">
        <f ca="1">IFERROR(__xludf.DUMMYFUNCTION("""COMPUTED_VALUE"""),"Afternoon Classes")</f>
        <v>Afternoon Classes</v>
      </c>
      <c r="W1169" s="10">
        <f ca="1">IFERROR(__xludf.DUMMYFUNCTION("""COMPUTED_VALUE"""),0.604166666666666)</f>
        <v>0.60416666666666596</v>
      </c>
      <c r="X1169" s="5">
        <f ca="1">IFERROR(__xludf.DUMMYFUNCTION("""COMPUTED_VALUE"""),1)</f>
        <v>1</v>
      </c>
      <c r="Y1169" s="5" t="str">
        <f ca="1">IFERROR(__xludf.DUMMYFUNCTION("""COMPUTED_VALUE"""),"Suicide attempt, student shot self in face")</f>
        <v>Suicide attempt, student shot self in face</v>
      </c>
      <c r="Z1169" s="5" t="str">
        <f ca="1">IFERROR(__xludf.DUMMYFUNCTION("""COMPUTED_VALUE"""),"14 year old male brought .22 caliber gun to school in backpack - shortly before the dismissal bell, student went behind  a school building and shot himself in the face. The bullet went in one cheek and out the other chipping a tooth and causing no serious"&amp;" damage - after the shooting, the student went back inside and called 911")</f>
        <v>14 year old male brought .22 caliber gun to school in backpack - shortly before the dismissal bell, student went behind  a school building and shot himself in the face. The bullet went in one cheek and out the other chipping a tooth and causing no serious damage - after the shooting, the student went back inside and called 911</v>
      </c>
      <c r="AA1169" s="5" t="str">
        <f ca="1">IFERROR(__xludf.DUMMYFUNCTION("""COMPUTED_VALUE"""),"Suicide/Attempted")</f>
        <v>Suicide/Attempted</v>
      </c>
      <c r="AB1169" s="5" t="str">
        <f ca="1">IFERROR(__xludf.DUMMYFUNCTION("""COMPUTED_VALUE"""),"Victims Targeted")</f>
        <v>Victims Targeted</v>
      </c>
      <c r="AC1169" s="5" t="str">
        <f ca="1">IFERROR(__xludf.DUMMYFUNCTION("""COMPUTED_VALUE"""),"No")</f>
        <v>No</v>
      </c>
      <c r="AD1169" s="5" t="str">
        <f ca="1">IFERROR(__xludf.DUMMYFUNCTION("""COMPUTED_VALUE"""),"No")</f>
        <v>No</v>
      </c>
      <c r="AE1169" s="5" t="str">
        <f ca="1">IFERROR(__xludf.DUMMYFUNCTION("""COMPUTED_VALUE"""),"No")</f>
        <v>No</v>
      </c>
      <c r="AF1169" s="5" t="str">
        <f ca="1">IFERROR(__xludf.DUMMYFUNCTION("""COMPUTED_VALUE"""),"No")</f>
        <v>No</v>
      </c>
      <c r="AG1169" s="5"/>
      <c r="AH1169" s="5"/>
      <c r="AI1169" s="5" t="str">
        <f ca="1">IFERROR(__xludf.DUMMYFUNCTION("""COMPUTED_VALUE"""),"No")</f>
        <v>No</v>
      </c>
      <c r="AJ1169" s="5"/>
    </row>
    <row r="1170" spans="1:36" ht="13">
      <c r="A1170" s="5" t="str">
        <f ca="1">IFERROR(__xludf.DUMMYFUNCTION("""COMPUTED_VALUE"""),"20140411MIEAD")</f>
        <v>20140411MIEAD</v>
      </c>
      <c r="B1170" s="5">
        <f ca="1">IFERROR(__xludf.DUMMYFUNCTION("""COMPUTED_VALUE"""),4)</f>
        <v>4</v>
      </c>
      <c r="C1170" s="5">
        <f ca="1">IFERROR(__xludf.DUMMYFUNCTION("""COMPUTED_VALUE"""),11)</f>
        <v>11</v>
      </c>
      <c r="D1170" s="5">
        <f ca="1">IFERROR(__xludf.DUMMYFUNCTION("""COMPUTED_VALUE"""),2014)</f>
        <v>2014</v>
      </c>
      <c r="E1170" s="8">
        <f ca="1">IFERROR(__xludf.DUMMYFUNCTION("""COMPUTED_VALUE"""),41740)</f>
        <v>41740</v>
      </c>
      <c r="F1170" s="5" t="str">
        <f ca="1">IFERROR(__xludf.DUMMYFUNCTION("""COMPUTED_VALUE"""),"East English Village Preparatory Academy")</f>
        <v>East English Village Preparatory Academy</v>
      </c>
      <c r="G1170" s="5">
        <f ca="1">IFERROR(__xludf.DUMMYFUNCTION("""COMPUTED_VALUE"""),1)</f>
        <v>1</v>
      </c>
      <c r="H1170" s="5">
        <f ca="1">IFERROR(__xludf.DUMMYFUNCTION("""COMPUTED_VALUE"""),0)</f>
        <v>0</v>
      </c>
      <c r="I1170" s="5">
        <f ca="1">IFERROR(__xludf.DUMMYFUNCTION("""COMPUTED_VALUE"""),1)</f>
        <v>1</v>
      </c>
      <c r="J1170" s="5">
        <f ca="1">IFERROR(__xludf.DUMMYFUNCTION("""COMPUTED_VALUE"""),0)</f>
        <v>0</v>
      </c>
      <c r="K1170" s="9" t="str">
        <f ca="1">IFERROR(__xludf.DUMMYFUNCTION("""COMPUTED_VALUE"""),"https://www.cbsnews.com/news/cops-fatal-shooting-outside-detroit-high-school-gang-related/")</f>
        <v>https://www.cbsnews.com/news/cops-fatal-shooting-outside-detroit-high-school-gang-related/</v>
      </c>
      <c r="L1170" s="5">
        <f ca="1">IFERROR(__xludf.DUMMYFUNCTION("""COMPUTED_VALUE"""),1)</f>
        <v>1</v>
      </c>
      <c r="M1170" s="5" t="str">
        <f ca="1">IFERROR(__xludf.DUMMYFUNCTION("""COMPUTED_VALUE"""),"Local")</f>
        <v>Local</v>
      </c>
      <c r="N1170" s="5">
        <f ca="1">IFERROR(__xludf.DUMMYFUNCTION("""COMPUTED_VALUE"""),2)</f>
        <v>2</v>
      </c>
      <c r="O1170" s="5" t="str">
        <f ca="1">IFERROR(__xludf.DUMMYFUNCTION("""COMPUTED_VALUE"""),"Spring")</f>
        <v>Spring</v>
      </c>
      <c r="P1170" s="5" t="str">
        <f ca="1">IFERROR(__xludf.DUMMYFUNCTION("""COMPUTED_VALUE"""),"Detroit")</f>
        <v>Detroit</v>
      </c>
      <c r="Q1170" s="5" t="str">
        <f ca="1">IFERROR(__xludf.DUMMYFUNCTION("""COMPUTED_VALUE"""),"MI")</f>
        <v>MI</v>
      </c>
      <c r="R1170" s="5" t="str">
        <f ca="1">IFERROR(__xludf.DUMMYFUNCTION("""COMPUTED_VALUE"""),"Unknown")</f>
        <v>Unknown</v>
      </c>
      <c r="S1170" s="5" t="str">
        <f ca="1">IFERROR(__xludf.DUMMYFUNCTION("""COMPUTED_VALUE"""),"Parking Lot")</f>
        <v>Parking Lot</v>
      </c>
      <c r="T1170" s="5" t="str">
        <f ca="1">IFERROR(__xludf.DUMMYFUNCTION("""COMPUTED_VALUE"""),"Outside on School Property")</f>
        <v>Outside on School Property</v>
      </c>
      <c r="U1170" s="5" t="str">
        <f ca="1">IFERROR(__xludf.DUMMYFUNCTION("""COMPUTED_VALUE"""),"No")</f>
        <v>No</v>
      </c>
      <c r="V1170" s="5" t="str">
        <f ca="1">IFERROR(__xludf.DUMMYFUNCTION("""COMPUTED_VALUE"""),"School Event")</f>
        <v>School Event</v>
      </c>
      <c r="W1170" s="10">
        <f ca="1">IFERROR(__xludf.DUMMYFUNCTION("""COMPUTED_VALUE"""),0.895833333333333)</f>
        <v>0.89583333333333304</v>
      </c>
      <c r="X1170" s="5">
        <f ca="1">IFERROR(__xludf.DUMMYFUNCTION("""COMPUTED_VALUE"""),1)</f>
        <v>1</v>
      </c>
      <c r="Y1170" s="5" t="str">
        <f ca="1">IFERROR(__xludf.DUMMYFUNCTION("""COMPUTED_VALUE"""),"Drive-by shooting targeted crowd of students")</f>
        <v>Drive-by shooting targeted crowd of students</v>
      </c>
      <c r="Z1170" s="5" t="str">
        <f ca="1">IFERROR(__xludf.DUMMYFUNCTION("""COMPUTED_VALUE"""),"Car with multiple suspects fired into the crowd of students in the parking lot during a school ceremony in the evening. Police reported the shooting involved rival gang members. The victim was not a student, he was attending the ceremony because of his un"&amp;"cle. Victim was not a gang member himself.")</f>
        <v>Car with multiple suspects fired into the crowd of students in the parking lot during a school ceremony in the evening. Police reported the shooting involved rival gang members. The victim was not a student, he was attending the ceremony because of his uncle. Victim was not a gang member himself.</v>
      </c>
      <c r="AA1170" s="5" t="str">
        <f ca="1">IFERROR(__xludf.DUMMYFUNCTION("""COMPUTED_VALUE"""),"Drive-by Shooting")</f>
        <v>Drive-by Shooting</v>
      </c>
      <c r="AB1170" s="5" t="str">
        <f ca="1">IFERROR(__xludf.DUMMYFUNCTION("""COMPUTED_VALUE"""),"Both")</f>
        <v>Both</v>
      </c>
      <c r="AC1170" s="5" t="str">
        <f ca="1">IFERROR(__xludf.DUMMYFUNCTION("""COMPUTED_VALUE"""),"Yes")</f>
        <v>Yes</v>
      </c>
      <c r="AD1170" s="5" t="str">
        <f ca="1">IFERROR(__xludf.DUMMYFUNCTION("""COMPUTED_VALUE"""),"No")</f>
        <v>No</v>
      </c>
      <c r="AE1170" s="5" t="str">
        <f ca="1">IFERROR(__xludf.DUMMYFUNCTION("""COMPUTED_VALUE"""),"No")</f>
        <v>No</v>
      </c>
      <c r="AF1170" s="5" t="str">
        <f ca="1">IFERROR(__xludf.DUMMYFUNCTION("""COMPUTED_VALUE"""),"No")</f>
        <v>No</v>
      </c>
      <c r="AG1170" s="5" t="str">
        <f ca="1">IFERROR(__xludf.DUMMYFUNCTION("""COMPUTED_VALUE"""),"No")</f>
        <v>No</v>
      </c>
      <c r="AH1170" s="5" t="str">
        <f ca="1">IFERROR(__xludf.DUMMYFUNCTION("""COMPUTED_VALUE"""),"No")</f>
        <v>No</v>
      </c>
      <c r="AI1170" s="5" t="str">
        <f ca="1">IFERROR(__xludf.DUMMYFUNCTION("""COMPUTED_VALUE"""),"Yes")</f>
        <v>Yes</v>
      </c>
      <c r="AJ1170" s="5"/>
    </row>
    <row r="1171" spans="1:36" ht="13">
      <c r="A1171" s="5" t="str">
        <f ca="1">IFERROR(__xludf.DUMMYFUNCTION("""COMPUTED_VALUE"""),"20140410OHLIC")</f>
        <v>20140410OHLIC</v>
      </c>
      <c r="B1171" s="5">
        <f ca="1">IFERROR(__xludf.DUMMYFUNCTION("""COMPUTED_VALUE"""),4)</f>
        <v>4</v>
      </c>
      <c r="C1171" s="5">
        <f ca="1">IFERROR(__xludf.DUMMYFUNCTION("""COMPUTED_VALUE"""),10)</f>
        <v>10</v>
      </c>
      <c r="D1171" s="5">
        <f ca="1">IFERROR(__xludf.DUMMYFUNCTION("""COMPUTED_VALUE"""),2014)</f>
        <v>2014</v>
      </c>
      <c r="E1171" s="8">
        <f ca="1">IFERROR(__xludf.DUMMYFUNCTION("""COMPUTED_VALUE"""),41739)</f>
        <v>41739</v>
      </c>
      <c r="F1171" s="5" t="str">
        <f ca="1">IFERROR(__xludf.DUMMYFUNCTION("""COMPUTED_VALUE"""),"Liberty Elementary School")</f>
        <v>Liberty Elementary School</v>
      </c>
      <c r="G1171" s="5">
        <f ca="1">IFERROR(__xludf.DUMMYFUNCTION("""COMPUTED_VALUE"""),0)</f>
        <v>0</v>
      </c>
      <c r="H1171" s="5">
        <f ca="1">IFERROR(__xludf.DUMMYFUNCTION("""COMPUTED_VALUE"""),2)</f>
        <v>2</v>
      </c>
      <c r="I1171" s="5">
        <f ca="1">IFERROR(__xludf.DUMMYFUNCTION("""COMPUTED_VALUE"""),2)</f>
        <v>2</v>
      </c>
      <c r="J1171" s="5">
        <f ca="1">IFERROR(__xludf.DUMMYFUNCTION("""COMPUTED_VALUE"""),0)</f>
        <v>0</v>
      </c>
      <c r="K1171" s="5" t="str">
        <f ca="1">IFERROR(__xludf.DUMMYFUNCTION("""COMPUTED_VALUE"""),"https://www.cleveland.com/nation/index.ssf/2014/04/police_arrest_suspect_in_shoot.html 
 Book: Dool, Jonathan Ending School Shootings : School and District Tools for Prevention and Action http://www.wfmj.com/story/25218892/shooting-near-ohio-grade-school-"&amp;"leads-to-lockdown")</f>
        <v>https://www.cleveland.com/nation/index.ssf/2014/04/police_arrest_suspect_in_shoot.html 
 Book: Dool, Jonathan Ending School Shootings : School and District Tools for Prevention and Action http://www.wfmj.com/story/25218892/shooting-near-ohio-grade-school-leads-to-lockdown</v>
      </c>
      <c r="L1171" s="5"/>
      <c r="M1171" s="5"/>
      <c r="N1171" s="5">
        <f ca="1">IFERROR(__xludf.DUMMYFUNCTION("""COMPUTED_VALUE"""),3)</f>
        <v>3</v>
      </c>
      <c r="O1171" s="5" t="str">
        <f ca="1">IFERROR(__xludf.DUMMYFUNCTION("""COMPUTED_VALUE"""),"Spring")</f>
        <v>Spring</v>
      </c>
      <c r="P1171" s="5" t="str">
        <f ca="1">IFERROR(__xludf.DUMMYFUNCTION("""COMPUTED_VALUE"""),"Columbus")</f>
        <v>Columbus</v>
      </c>
      <c r="Q1171" s="5" t="str">
        <f ca="1">IFERROR(__xludf.DUMMYFUNCTION("""COMPUTED_VALUE"""),"OH")</f>
        <v>OH</v>
      </c>
      <c r="R1171" s="5" t="str">
        <f ca="1">IFERROR(__xludf.DUMMYFUNCTION("""COMPUTED_VALUE"""),"Elementary")</f>
        <v>Elementary</v>
      </c>
      <c r="S1171" s="5" t="str">
        <f ca="1">IFERROR(__xludf.DUMMYFUNCTION("""COMPUTED_VALUE"""),"Front of School")</f>
        <v>Front of School</v>
      </c>
      <c r="T1171" s="5" t="str">
        <f ca="1">IFERROR(__xludf.DUMMYFUNCTION("""COMPUTED_VALUE"""),"Outside on School Property")</f>
        <v>Outside on School Property</v>
      </c>
      <c r="U1171" s="5" t="str">
        <f ca="1">IFERROR(__xludf.DUMMYFUNCTION("""COMPUTED_VALUE"""),"Yes")</f>
        <v>Yes</v>
      </c>
      <c r="V1171" s="5" t="str">
        <f ca="1">IFERROR(__xludf.DUMMYFUNCTION("""COMPUTED_VALUE"""),"Dismissal")</f>
        <v>Dismissal</v>
      </c>
      <c r="W1171" s="10">
        <f ca="1">IFERROR(__xludf.DUMMYFUNCTION("""COMPUTED_VALUE"""),0.645833333333333)</f>
        <v>0.64583333333333304</v>
      </c>
      <c r="X1171" s="5">
        <f ca="1">IFERROR(__xludf.DUMMYFUNCTION("""COMPUTED_VALUE"""),1)</f>
        <v>1</v>
      </c>
      <c r="Y1171" s="5" t="str">
        <f ca="1">IFERROR(__xludf.DUMMYFUNCTION("""COMPUTED_VALUE"""),"Two non-student teens shot in front of school during argument over cell phone")</f>
        <v>Two non-student teens shot in front of school during argument over cell phone</v>
      </c>
      <c r="Z1171" s="5" t="str">
        <f ca="1">IFERROR(__xludf.DUMMYFUNCTION("""COMPUTED_VALUE"""),"Two people, including a 14 year-old boy, were hospitalized after a shooting in front of Liberty Elementary School. A 14 year-old boy was transported to Nationwide Children's Hospital in critical condition and a 20 year-old victim was transported to Grant "&amp;"Medical Center in stable condition. Both victims were shot in the legs. The elementary school and a nearby high school were put on lockdown.")</f>
        <v>Two people, including a 14 year-old boy, were hospitalized after a shooting in front of Liberty Elementary School. A 14 year-old boy was transported to Nationwide Children's Hospital in critical condition and a 20 year-old victim was transported to Grant Medical Center in stable condition. Both victims were shot in the legs. The elementary school and a nearby high school were put on lockdown.</v>
      </c>
      <c r="AA1171" s="5" t="str">
        <f ca="1">IFERROR(__xludf.DUMMYFUNCTION("""COMPUTED_VALUE"""),"Escalation of Dispute")</f>
        <v>Escalation of Dispute</v>
      </c>
      <c r="AB1171" s="5" t="str">
        <f ca="1">IFERROR(__xludf.DUMMYFUNCTION("""COMPUTED_VALUE"""),"Victims Targeted")</f>
        <v>Victims Targeted</v>
      </c>
      <c r="AC1171" s="5" t="str">
        <f ca="1">IFERROR(__xludf.DUMMYFUNCTION("""COMPUTED_VALUE"""),"No")</f>
        <v>No</v>
      </c>
      <c r="AD1171" s="5" t="str">
        <f ca="1">IFERROR(__xludf.DUMMYFUNCTION("""COMPUTED_VALUE"""),"No")</f>
        <v>No</v>
      </c>
      <c r="AE1171" s="5" t="str">
        <f ca="1">IFERROR(__xludf.DUMMYFUNCTION("""COMPUTED_VALUE"""),"No")</f>
        <v>No</v>
      </c>
      <c r="AF1171" s="5" t="str">
        <f ca="1">IFERROR(__xludf.DUMMYFUNCTION("""COMPUTED_VALUE"""),"No")</f>
        <v>No</v>
      </c>
      <c r="AG1171" s="5" t="str">
        <f ca="1">IFERROR(__xludf.DUMMYFUNCTION("""COMPUTED_VALUE"""),"No")</f>
        <v>No</v>
      </c>
      <c r="AH1171" s="5" t="str">
        <f ca="1">IFERROR(__xludf.DUMMYFUNCTION("""COMPUTED_VALUE"""),"No")</f>
        <v>No</v>
      </c>
      <c r="AI1171" s="5" t="str">
        <f ca="1">IFERROR(__xludf.DUMMYFUNCTION("""COMPUTED_VALUE"""),"No")</f>
        <v>No</v>
      </c>
      <c r="AJ1171" s="5"/>
    </row>
    <row r="1172" spans="1:36" ht="13">
      <c r="A1172" s="5" t="str">
        <f ca="1">IFERROR(__xludf.DUMMYFUNCTION("""COMPUTED_VALUE"""),"20140409NCDHG")</f>
        <v>20140409NCDHG</v>
      </c>
      <c r="B1172" s="5">
        <f ca="1">IFERROR(__xludf.DUMMYFUNCTION("""COMPUTED_VALUE"""),4)</f>
        <v>4</v>
      </c>
      <c r="C1172" s="5">
        <f ca="1">IFERROR(__xludf.DUMMYFUNCTION("""COMPUTED_VALUE"""),9)</f>
        <v>9</v>
      </c>
      <c r="D1172" s="5">
        <f ca="1">IFERROR(__xludf.DUMMYFUNCTION("""COMPUTED_VALUE"""),2014)</f>
        <v>2014</v>
      </c>
      <c r="E1172" s="8">
        <f ca="1">IFERROR(__xludf.DUMMYFUNCTION("""COMPUTED_VALUE"""),41738)</f>
        <v>41738</v>
      </c>
      <c r="F1172" s="5" t="str">
        <f ca="1">IFERROR(__xludf.DUMMYFUNCTION("""COMPUTED_VALUE"""),"D H Conley High School")</f>
        <v>D H Conley High School</v>
      </c>
      <c r="G1172" s="5">
        <f ca="1">IFERROR(__xludf.DUMMYFUNCTION("""COMPUTED_VALUE"""),0)</f>
        <v>0</v>
      </c>
      <c r="H1172" s="5">
        <f ca="1">IFERROR(__xludf.DUMMYFUNCTION("""COMPUTED_VALUE"""),0)</f>
        <v>0</v>
      </c>
      <c r="I1172" s="5">
        <f ca="1">IFERROR(__xludf.DUMMYFUNCTION("""COMPUTED_VALUE"""),0)</f>
        <v>0</v>
      </c>
      <c r="J1172" s="5">
        <f ca="1">IFERROR(__xludf.DUMMYFUNCTION("""COMPUTED_VALUE"""),0)</f>
        <v>0</v>
      </c>
      <c r="K1172" s="9" t="str">
        <f ca="1">IFERROR(__xludf.DUMMYFUNCTION("""COMPUTED_VALUE"""),"https://wcti12.com/archive/two-j-h-rose-students-arrested-for-shooting-near-d-h-conley-1")</f>
        <v>https://wcti12.com/archive/two-j-h-rose-students-arrested-for-shooting-near-d-h-conley-1</v>
      </c>
      <c r="L1172" s="5">
        <f ca="1">IFERROR(__xludf.DUMMYFUNCTION("""COMPUTED_VALUE"""),1)</f>
        <v>1</v>
      </c>
      <c r="M1172" s="5" t="str">
        <f ca="1">IFERROR(__xludf.DUMMYFUNCTION("""COMPUTED_VALUE"""),"Local")</f>
        <v>Local</v>
      </c>
      <c r="N1172" s="5">
        <f ca="1">IFERROR(__xludf.DUMMYFUNCTION("""COMPUTED_VALUE"""),2)</f>
        <v>2</v>
      </c>
      <c r="O1172" s="5" t="str">
        <f ca="1">IFERROR(__xludf.DUMMYFUNCTION("""COMPUTED_VALUE"""),"Spring")</f>
        <v>Spring</v>
      </c>
      <c r="P1172" s="5" t="str">
        <f ca="1">IFERROR(__xludf.DUMMYFUNCTION("""COMPUTED_VALUE"""),"Greenville")</f>
        <v>Greenville</v>
      </c>
      <c r="Q1172" s="5" t="str">
        <f ca="1">IFERROR(__xludf.DUMMYFUNCTION("""COMPUTED_VALUE"""),"NC")</f>
        <v>NC</v>
      </c>
      <c r="R1172" s="5" t="str">
        <f ca="1">IFERROR(__xludf.DUMMYFUNCTION("""COMPUTED_VALUE"""),"High")</f>
        <v>High</v>
      </c>
      <c r="S1172" s="5" t="str">
        <f ca="1">IFERROR(__xludf.DUMMYFUNCTION("""COMPUTED_VALUE"""),"Beside Building")</f>
        <v>Beside Building</v>
      </c>
      <c r="T1172" s="5" t="str">
        <f ca="1">IFERROR(__xludf.DUMMYFUNCTION("""COMPUTED_VALUE"""),"Outside on School Property")</f>
        <v>Outside on School Property</v>
      </c>
      <c r="U1172" s="5" t="str">
        <f ca="1">IFERROR(__xludf.DUMMYFUNCTION("""COMPUTED_VALUE"""),"Yes")</f>
        <v>Yes</v>
      </c>
      <c r="V1172" s="5" t="str">
        <f ca="1">IFERROR(__xludf.DUMMYFUNCTION("""COMPUTED_VALUE"""),"Afternoon Classes")</f>
        <v>Afternoon Classes</v>
      </c>
      <c r="W1172" s="10">
        <f ca="1">IFERROR(__xludf.DUMMYFUNCTION("""COMPUTED_VALUE"""),0.5625)</f>
        <v>0.5625</v>
      </c>
      <c r="X1172" s="5">
        <f ca="1">IFERROR(__xludf.DUMMYFUNCTION("""COMPUTED_VALUE"""),1)</f>
        <v>1</v>
      </c>
      <c r="Y1172" s="5" t="str">
        <f ca="1">IFERROR(__xludf.DUMMYFUNCTION("""COMPUTED_VALUE"""),"Shot at rival school building")</f>
        <v>Shot at rival school building</v>
      </c>
      <c r="Z1172" s="5" t="str">
        <f ca="1">IFERROR(__xludf.DUMMYFUNCTION("""COMPUTED_VALUE"""),"Two students from a rival high school fired at the school building. Nobody was injured.")</f>
        <v>Two students from a rival high school fired at the school building. Nobody was injured.</v>
      </c>
      <c r="AA1172" s="5" t="str">
        <f ca="1">IFERROR(__xludf.DUMMYFUNCTION("""COMPUTED_VALUE"""),"Intentional Property Damage")</f>
        <v>Intentional Property Damage</v>
      </c>
      <c r="AB1172" s="5" t="str">
        <f ca="1">IFERROR(__xludf.DUMMYFUNCTION("""COMPUTED_VALUE"""),"Neither")</f>
        <v>Neither</v>
      </c>
      <c r="AC1172" s="5" t="str">
        <f ca="1">IFERROR(__xludf.DUMMYFUNCTION("""COMPUTED_VALUE"""),"Yes")</f>
        <v>Yes</v>
      </c>
      <c r="AD1172" s="5" t="str">
        <f ca="1">IFERROR(__xludf.DUMMYFUNCTION("""COMPUTED_VALUE"""),"No")</f>
        <v>No</v>
      </c>
      <c r="AE1172" s="5" t="str">
        <f ca="1">IFERROR(__xludf.DUMMYFUNCTION("""COMPUTED_VALUE"""),"No")</f>
        <v>No</v>
      </c>
      <c r="AF1172" s="5" t="str">
        <f ca="1">IFERROR(__xludf.DUMMYFUNCTION("""COMPUTED_VALUE"""),"No")</f>
        <v>No</v>
      </c>
      <c r="AG1172" s="5" t="str">
        <f ca="1">IFERROR(__xludf.DUMMYFUNCTION("""COMPUTED_VALUE"""),"No")</f>
        <v>No</v>
      </c>
      <c r="AH1172" s="5" t="str">
        <f ca="1">IFERROR(__xludf.DUMMYFUNCTION("""COMPUTED_VALUE"""),"No")</f>
        <v>No</v>
      </c>
      <c r="AI1172" s="5" t="str">
        <f ca="1">IFERROR(__xludf.DUMMYFUNCTION("""COMPUTED_VALUE"""),"Yes")</f>
        <v>Yes</v>
      </c>
      <c r="AJ1172" s="5"/>
    </row>
    <row r="1173" spans="1:36" ht="13">
      <c r="A1173" s="5" t="str">
        <f ca="1">IFERROR(__xludf.DUMMYFUNCTION("""COMPUTED_VALUE"""),"20140403NJUNN")</f>
        <v>20140403NJUNN</v>
      </c>
      <c r="B1173" s="5">
        <f ca="1">IFERROR(__xludf.DUMMYFUNCTION("""COMPUTED_VALUE"""),4)</f>
        <v>4</v>
      </c>
      <c r="C1173" s="5">
        <f ca="1">IFERROR(__xludf.DUMMYFUNCTION("""COMPUTED_VALUE"""),3)</f>
        <v>3</v>
      </c>
      <c r="D1173" s="5">
        <f ca="1">IFERROR(__xludf.DUMMYFUNCTION("""COMPUTED_VALUE"""),2014)</f>
        <v>2014</v>
      </c>
      <c r="E1173" s="8">
        <f ca="1">IFERROR(__xludf.DUMMYFUNCTION("""COMPUTED_VALUE"""),41732)</f>
        <v>41732</v>
      </c>
      <c r="F1173" s="5" t="str">
        <f ca="1">IFERROR(__xludf.DUMMYFUNCTION("""COMPUTED_VALUE"""),"Unknown School (bus)")</f>
        <v>Unknown School (bus)</v>
      </c>
      <c r="G1173" s="5">
        <f ca="1">IFERROR(__xludf.DUMMYFUNCTION("""COMPUTED_VALUE"""),0)</f>
        <v>0</v>
      </c>
      <c r="H1173" s="5">
        <f ca="1">IFERROR(__xludf.DUMMYFUNCTION("""COMPUTED_VALUE"""),0)</f>
        <v>0</v>
      </c>
      <c r="I1173" s="5">
        <f ca="1">IFERROR(__xludf.DUMMYFUNCTION("""COMPUTED_VALUE"""),0)</f>
        <v>0</v>
      </c>
      <c r="J1173" s="5">
        <f ca="1">IFERROR(__xludf.DUMMYFUNCTION("""COMPUTED_VALUE"""),0)</f>
        <v>0</v>
      </c>
      <c r="K1173" s="9" t="str">
        <f ca="1">IFERROR(__xludf.DUMMYFUNCTION("""COMPUTED_VALUE"""),"https://www.nbcnewyork.com/news/local/Newark-Shooting-Man-Wounded-School-Bus-Bullet-Hole-253840881.html")</f>
        <v>https://www.nbcnewyork.com/news/local/Newark-Shooting-Man-Wounded-School-Bus-Bullet-Hole-253840881.html</v>
      </c>
      <c r="L1173" s="5"/>
      <c r="M1173" s="5"/>
      <c r="N1173" s="5">
        <f ca="1">IFERROR(__xludf.DUMMYFUNCTION("""COMPUTED_VALUE"""),3)</f>
        <v>3</v>
      </c>
      <c r="O1173" s="5" t="str">
        <f ca="1">IFERROR(__xludf.DUMMYFUNCTION("""COMPUTED_VALUE"""),"Spring")</f>
        <v>Spring</v>
      </c>
      <c r="P1173" s="5" t="str">
        <f ca="1">IFERROR(__xludf.DUMMYFUNCTION("""COMPUTED_VALUE"""),"Newark")</f>
        <v>Newark</v>
      </c>
      <c r="Q1173" s="5" t="str">
        <f ca="1">IFERROR(__xludf.DUMMYFUNCTION("""COMPUTED_VALUE"""),"NJ")</f>
        <v>NJ</v>
      </c>
      <c r="R1173" s="5"/>
      <c r="S1173" s="5" t="str">
        <f ca="1">IFERROR(__xludf.DUMMYFUNCTION("""COMPUTED_VALUE"""),"School Bus")</f>
        <v>School Bus</v>
      </c>
      <c r="T1173" s="5" t="str">
        <f ca="1">IFERROR(__xludf.DUMMYFUNCTION("""COMPUTED_VALUE"""),"School Bus")</f>
        <v>School Bus</v>
      </c>
      <c r="U1173" s="5" t="str">
        <f ca="1">IFERROR(__xludf.DUMMYFUNCTION("""COMPUTED_VALUE"""),"Yes")</f>
        <v>Yes</v>
      </c>
      <c r="V1173" s="5" t="str">
        <f ca="1">IFERROR(__xludf.DUMMYFUNCTION("""COMPUTED_VALUE"""),"Afternoon Classes")</f>
        <v>Afternoon Classes</v>
      </c>
      <c r="W1173" s="10">
        <f ca="1">IFERROR(__xludf.DUMMYFUNCTION("""COMPUTED_VALUE"""),0.552083333333333)</f>
        <v>0.55208333333333304</v>
      </c>
      <c r="X1173" s="5">
        <f ca="1">IFERROR(__xludf.DUMMYFUNCTION("""COMPUTED_VALUE"""),1)</f>
        <v>1</v>
      </c>
      <c r="Y1173" s="5" t="str">
        <f ca="1">IFERROR(__xludf.DUMMYFUNCTION("""COMPUTED_VALUE"""),"Shots fired struck school bus occupied by 6 students (all taken to hospital w/o injuries)")</f>
        <v>Shots fired struck school bus occupied by 6 students (all taken to hospital w/o injuries)</v>
      </c>
      <c r="Z1173" s="5" t="str">
        <f ca="1">IFERROR(__xludf.DUMMYFUNCTION("""COMPUTED_VALUE"""),"Bullet struck bus carrying 6 special education students and 2 school staff members. All 8 were taken to the hospital but no injuries were found. An adult male unrelated to the school was struck and injured. Multiple adult males fled the scene. The bus was"&amp;" not the intended target. Shooting happened after dispute. Four unknown males fled scene.")</f>
        <v>Bullet struck bus carrying 6 special education students and 2 school staff members. All 8 were taken to the hospital but no injuries were found. An adult male unrelated to the school was struck and injured. Multiple adult males fled the scene. The bus was not the intended target. Shooting happened after dispute. Four unknown males fled scene.</v>
      </c>
      <c r="AA1173" s="5" t="str">
        <f ca="1">IFERROR(__xludf.DUMMYFUNCTION("""COMPUTED_VALUE"""),"Escalation of Dispute")</f>
        <v>Escalation of Dispute</v>
      </c>
      <c r="AB1173" s="5" t="str">
        <f ca="1">IFERROR(__xludf.DUMMYFUNCTION("""COMPUTED_VALUE"""),"Victims Targeted")</f>
        <v>Victims Targeted</v>
      </c>
      <c r="AC1173" s="5" t="str">
        <f ca="1">IFERROR(__xludf.DUMMYFUNCTION("""COMPUTED_VALUE"""),"Yes")</f>
        <v>Yes</v>
      </c>
      <c r="AD1173" s="5" t="str">
        <f ca="1">IFERROR(__xludf.DUMMYFUNCTION("""COMPUTED_VALUE"""),"No")</f>
        <v>No</v>
      </c>
      <c r="AE1173" s="5" t="str">
        <f ca="1">IFERROR(__xludf.DUMMYFUNCTION("""COMPUTED_VALUE"""),"No")</f>
        <v>No</v>
      </c>
      <c r="AF1173" s="5" t="str">
        <f ca="1">IFERROR(__xludf.DUMMYFUNCTION("""COMPUTED_VALUE"""),"No")</f>
        <v>No</v>
      </c>
      <c r="AG1173" s="5" t="str">
        <f ca="1">IFERROR(__xludf.DUMMYFUNCTION("""COMPUTED_VALUE"""),"No")</f>
        <v>No</v>
      </c>
      <c r="AH1173" s="5" t="str">
        <f ca="1">IFERROR(__xludf.DUMMYFUNCTION("""COMPUTED_VALUE"""),"No")</f>
        <v>No</v>
      </c>
      <c r="AI1173" s="5" t="str">
        <f ca="1">IFERROR(__xludf.DUMMYFUNCTION("""COMPUTED_VALUE"""),"No")</f>
        <v>No</v>
      </c>
      <c r="AJ1173" s="5"/>
    </row>
    <row r="1174" spans="1:36" ht="13">
      <c r="A1174" s="5" t="str">
        <f ca="1">IFERROR(__xludf.DUMMYFUNCTION("""COMPUTED_VALUE"""),"20140325GABEC")</f>
        <v>20140325GABEC</v>
      </c>
      <c r="B1174" s="5">
        <f ca="1">IFERROR(__xludf.DUMMYFUNCTION("""COMPUTED_VALUE"""),3)</f>
        <v>3</v>
      </c>
      <c r="C1174" s="5">
        <f ca="1">IFERROR(__xludf.DUMMYFUNCTION("""COMPUTED_VALUE"""),25)</f>
        <v>25</v>
      </c>
      <c r="D1174" s="5">
        <f ca="1">IFERROR(__xludf.DUMMYFUNCTION("""COMPUTED_VALUE"""),2014)</f>
        <v>2014</v>
      </c>
      <c r="E1174" s="8">
        <f ca="1">IFERROR(__xludf.DUMMYFUNCTION("""COMPUTED_VALUE"""),41723)</f>
        <v>41723</v>
      </c>
      <c r="F1174" s="5" t="str">
        <f ca="1">IFERROR(__xludf.DUMMYFUNCTION("""COMPUTED_VALUE"""),"Benjamin Banneker High School")</f>
        <v>Benjamin Banneker High School</v>
      </c>
      <c r="G1174" s="5">
        <f ca="1">IFERROR(__xludf.DUMMYFUNCTION("""COMPUTED_VALUE"""),0)</f>
        <v>0</v>
      </c>
      <c r="H1174" s="5">
        <f ca="1">IFERROR(__xludf.DUMMYFUNCTION("""COMPUTED_VALUE"""),0)</f>
        <v>0</v>
      </c>
      <c r="I1174" s="5">
        <f ca="1">IFERROR(__xludf.DUMMYFUNCTION("""COMPUTED_VALUE"""),0)</f>
        <v>0</v>
      </c>
      <c r="J1174" s="5">
        <f ca="1">IFERROR(__xludf.DUMMYFUNCTION("""COMPUTED_VALUE"""),0)</f>
        <v>0</v>
      </c>
      <c r="K1174" s="9" t="str">
        <f ca="1">IFERROR(__xludf.DUMMYFUNCTION("""COMPUTED_VALUE"""),"https://www.ajc.com/news/local/fourth-person-arrested-after-shots-fired-outside-banneker-high-school/E7iAqMZysw5q4XheUNHn9K/")</f>
        <v>https://www.ajc.com/news/local/fourth-person-arrested-after-shots-fired-outside-banneker-high-school/E7iAqMZysw5q4XheUNHn9K/</v>
      </c>
      <c r="L1174" s="5">
        <f ca="1">IFERROR(__xludf.DUMMYFUNCTION("""COMPUTED_VALUE"""),1)</f>
        <v>1</v>
      </c>
      <c r="M1174" s="5" t="str">
        <f ca="1">IFERROR(__xludf.DUMMYFUNCTION("""COMPUTED_VALUE"""),"Local")</f>
        <v>Local</v>
      </c>
      <c r="N1174" s="5">
        <f ca="1">IFERROR(__xludf.DUMMYFUNCTION("""COMPUTED_VALUE"""),2)</f>
        <v>2</v>
      </c>
      <c r="O1174" s="5" t="str">
        <f ca="1">IFERROR(__xludf.DUMMYFUNCTION("""COMPUTED_VALUE"""),"Spring")</f>
        <v>Spring</v>
      </c>
      <c r="P1174" s="5" t="str">
        <f ca="1">IFERROR(__xludf.DUMMYFUNCTION("""COMPUTED_VALUE"""),"College Park")</f>
        <v>College Park</v>
      </c>
      <c r="Q1174" s="5" t="str">
        <f ca="1">IFERROR(__xludf.DUMMYFUNCTION("""COMPUTED_VALUE"""),"GA")</f>
        <v>GA</v>
      </c>
      <c r="R1174" s="5" t="str">
        <f ca="1">IFERROR(__xludf.DUMMYFUNCTION("""COMPUTED_VALUE"""),"High")</f>
        <v>High</v>
      </c>
      <c r="S1174" s="5" t="str">
        <f ca="1">IFERROR(__xludf.DUMMYFUNCTION("""COMPUTED_VALUE"""),"Parking Lot")</f>
        <v>Parking Lot</v>
      </c>
      <c r="T1174" s="5" t="str">
        <f ca="1">IFERROR(__xludf.DUMMYFUNCTION("""COMPUTED_VALUE"""),"Outside on School Property")</f>
        <v>Outside on School Property</v>
      </c>
      <c r="U1174" s="5" t="str">
        <f ca="1">IFERROR(__xludf.DUMMYFUNCTION("""COMPUTED_VALUE"""),"Yes")</f>
        <v>Yes</v>
      </c>
      <c r="V1174" s="5" t="str">
        <f ca="1">IFERROR(__xludf.DUMMYFUNCTION("""COMPUTED_VALUE"""),"Afternoon Classes")</f>
        <v>Afternoon Classes</v>
      </c>
      <c r="W1174" s="10">
        <f ca="1">IFERROR(__xludf.DUMMYFUNCTION("""COMPUTED_VALUE"""),0.541666666666666)</f>
        <v>0.54166666666666596</v>
      </c>
      <c r="X1174" s="5">
        <f ca="1">IFERROR(__xludf.DUMMYFUNCTION("""COMPUTED_VALUE"""),1)</f>
        <v>1</v>
      </c>
      <c r="Y1174" s="5" t="str">
        <f ca="1">IFERROR(__xludf.DUMMYFUNCTION("""COMPUTED_VALUE"""),"Shots during fight between 5 student")</f>
        <v>Shots during fight between 5 student</v>
      </c>
      <c r="Z1174" s="5" t="str">
        <f ca="1">IFERROR(__xludf.DUMMYFUNCTION("""COMPUTED_VALUE"""),"An argument between 4 or 5 students escalated, they went to the school parking lot and several shots were fired in the air. No one was hurt. Two juveniles have been charged with disorderly conduct and two young adults face reckless conduct and firearms-re"&amp;"lated charges.")</f>
        <v>An argument between 4 or 5 students escalated, they went to the school parking lot and several shots were fired in the air. No one was hurt. Two juveniles have been charged with disorderly conduct and two young adults face reckless conduct and firearms-related charges.</v>
      </c>
      <c r="AA1174" s="5" t="str">
        <f ca="1">IFERROR(__xludf.DUMMYFUNCTION("""COMPUTED_VALUE"""),"Escalation of Dispute")</f>
        <v>Escalation of Dispute</v>
      </c>
      <c r="AB1174" s="5" t="str">
        <f ca="1">IFERROR(__xludf.DUMMYFUNCTION("""COMPUTED_VALUE"""),"Victims Targeted")</f>
        <v>Victims Targeted</v>
      </c>
      <c r="AC1174" s="5" t="str">
        <f ca="1">IFERROR(__xludf.DUMMYFUNCTION("""COMPUTED_VALUE"""),"Yes")</f>
        <v>Yes</v>
      </c>
      <c r="AD1174" s="5" t="str">
        <f ca="1">IFERROR(__xludf.DUMMYFUNCTION("""COMPUTED_VALUE"""),"No")</f>
        <v>No</v>
      </c>
      <c r="AE1174" s="5" t="str">
        <f ca="1">IFERROR(__xludf.DUMMYFUNCTION("""COMPUTED_VALUE"""),"No")</f>
        <v>No</v>
      </c>
      <c r="AF1174" s="5" t="str">
        <f ca="1">IFERROR(__xludf.DUMMYFUNCTION("""COMPUTED_VALUE"""),"No")</f>
        <v>No</v>
      </c>
      <c r="AG1174" s="5" t="str">
        <f ca="1">IFERROR(__xludf.DUMMYFUNCTION("""COMPUTED_VALUE"""),"No")</f>
        <v>No</v>
      </c>
      <c r="AH1174" s="5" t="str">
        <f ca="1">IFERROR(__xludf.DUMMYFUNCTION("""COMPUTED_VALUE"""),"No")</f>
        <v>No</v>
      </c>
      <c r="AI1174" s="5" t="str">
        <f ca="1">IFERROR(__xludf.DUMMYFUNCTION("""COMPUTED_VALUE"""),"No")</f>
        <v>No</v>
      </c>
      <c r="AJ1174" s="5"/>
    </row>
    <row r="1175" spans="1:36" ht="13">
      <c r="A1175" s="5" t="str">
        <f ca="1">IFERROR(__xludf.DUMMYFUNCTION("""COMPUTED_VALUE"""),"20140312FLACM")</f>
        <v>20140312FLACM</v>
      </c>
      <c r="B1175" s="5">
        <f ca="1">IFERROR(__xludf.DUMMYFUNCTION("""COMPUTED_VALUE"""),3)</f>
        <v>3</v>
      </c>
      <c r="C1175" s="5">
        <f ca="1">IFERROR(__xludf.DUMMYFUNCTION("""COMPUTED_VALUE"""),12)</f>
        <v>12</v>
      </c>
      <c r="D1175" s="5">
        <f ca="1">IFERROR(__xludf.DUMMYFUNCTION("""COMPUTED_VALUE"""),2014)</f>
        <v>2014</v>
      </c>
      <c r="E1175" s="8">
        <f ca="1">IFERROR(__xludf.DUMMYFUNCTION("""COMPUTED_VALUE"""),41710)</f>
        <v>41710</v>
      </c>
      <c r="F1175" s="5" t="str">
        <f ca="1">IFERROR(__xludf.DUMMYFUNCTION("""COMPUTED_VALUE"""),"Academy of Knowledge Preschool")</f>
        <v>Academy of Knowledge Preschool</v>
      </c>
      <c r="G1175" s="5">
        <f ca="1">IFERROR(__xludf.DUMMYFUNCTION("""COMPUTED_VALUE"""),1)</f>
        <v>1</v>
      </c>
      <c r="H1175" s="5">
        <f ca="1">IFERROR(__xludf.DUMMYFUNCTION("""COMPUTED_VALUE"""),0)</f>
        <v>0</v>
      </c>
      <c r="I1175" s="5">
        <f ca="1">IFERROR(__xludf.DUMMYFUNCTION("""COMPUTED_VALUE"""),1)</f>
        <v>1</v>
      </c>
      <c r="J1175" s="5">
        <f ca="1">IFERROR(__xludf.DUMMYFUNCTION("""COMPUTED_VALUE"""),0)</f>
        <v>0</v>
      </c>
      <c r="K1175" s="9" t="str">
        <f ca="1">IFERROR(__xludf.DUMMYFUNCTION("""COMPUTED_VALUE"""),"http://miami.cbslocal.com/2014/03/14/man-accused-of-murdering-wife-near-miami-dade-preschool/")</f>
        <v>http://miami.cbslocal.com/2014/03/14/man-accused-of-murdering-wife-near-miami-dade-preschool/</v>
      </c>
      <c r="L1175" s="5">
        <f ca="1">IFERROR(__xludf.DUMMYFUNCTION("""COMPUTED_VALUE"""),1)</f>
        <v>1</v>
      </c>
      <c r="M1175" s="5" t="str">
        <f ca="1">IFERROR(__xludf.DUMMYFUNCTION("""COMPUTED_VALUE"""),"Local")</f>
        <v>Local</v>
      </c>
      <c r="N1175" s="5">
        <f ca="1">IFERROR(__xludf.DUMMYFUNCTION("""COMPUTED_VALUE"""),2)</f>
        <v>2</v>
      </c>
      <c r="O1175" s="5" t="str">
        <f ca="1">IFERROR(__xludf.DUMMYFUNCTION("""COMPUTED_VALUE"""),"Spring")</f>
        <v>Spring</v>
      </c>
      <c r="P1175" s="5" t="str">
        <f ca="1">IFERROR(__xludf.DUMMYFUNCTION("""COMPUTED_VALUE"""),"Miami")</f>
        <v>Miami</v>
      </c>
      <c r="Q1175" s="5" t="str">
        <f ca="1">IFERROR(__xludf.DUMMYFUNCTION("""COMPUTED_VALUE"""),"FL")</f>
        <v>FL</v>
      </c>
      <c r="R1175" s="5" t="str">
        <f ca="1">IFERROR(__xludf.DUMMYFUNCTION("""COMPUTED_VALUE"""),"Other")</f>
        <v>Other</v>
      </c>
      <c r="S1175" s="5" t="str">
        <f ca="1">IFERROR(__xludf.DUMMYFUNCTION("""COMPUTED_VALUE"""),"Parking Lot")</f>
        <v>Parking Lot</v>
      </c>
      <c r="T1175" s="5" t="str">
        <f ca="1">IFERROR(__xludf.DUMMYFUNCTION("""COMPUTED_VALUE"""),"Outside on School Property")</f>
        <v>Outside on School Property</v>
      </c>
      <c r="U1175" s="5" t="str">
        <f ca="1">IFERROR(__xludf.DUMMYFUNCTION("""COMPUTED_VALUE"""),"Yes")</f>
        <v>Yes</v>
      </c>
      <c r="V1175" s="5" t="str">
        <f ca="1">IFERROR(__xludf.DUMMYFUNCTION("""COMPUTED_VALUE"""),"Afternoon Classes")</f>
        <v>Afternoon Classes</v>
      </c>
      <c r="W1175" s="10">
        <f ca="1">IFERROR(__xludf.DUMMYFUNCTION("""COMPUTED_VALUE"""),0.5)</f>
        <v>0.5</v>
      </c>
      <c r="X1175" s="5">
        <f ca="1">IFERROR(__xludf.DUMMYFUNCTION("""COMPUTED_VALUE"""),1)</f>
        <v>1</v>
      </c>
      <c r="Y1175" s="5" t="str">
        <f ca="1">IFERROR(__xludf.DUMMYFUNCTION("""COMPUTED_VALUE"""),"Husband killed wife (teacher)")</f>
        <v>Husband killed wife (teacher)</v>
      </c>
      <c r="Z1175" s="5" t="str">
        <f ca="1">IFERROR(__xludf.DUMMYFUNCTION("""COMPUTED_VALUE"""),"Husband killed his wife (preschool teacher somewhere else) in the parking lot behind the school. No location connection. Argument started a few blocks away in their home, victim fled and shooter followed. Fight escalated, shooter shot victim dead and fled"&amp;" in his vehicle. School cameras captured him and he was later arrested. School went on lockdown and then dismissed.")</f>
        <v>Husband killed his wife (preschool teacher somewhere else) in the parking lot behind the school. No location connection. Argument started a few blocks away in their home, victim fled and shooter followed. Fight escalated, shooter shot victim dead and fled in his vehicle. School cameras captured him and he was later arrested. School went on lockdown and then dismissed.</v>
      </c>
      <c r="AA1175" s="5" t="str">
        <f ca="1">IFERROR(__xludf.DUMMYFUNCTION("""COMPUTED_VALUE"""),"Domestic w/ Targeted Victim")</f>
        <v>Domestic w/ Targeted Victim</v>
      </c>
      <c r="AB1175" s="5" t="str">
        <f ca="1">IFERROR(__xludf.DUMMYFUNCTION("""COMPUTED_VALUE"""),"Victims Targeted")</f>
        <v>Victims Targeted</v>
      </c>
      <c r="AC1175" s="5" t="str">
        <f ca="1">IFERROR(__xludf.DUMMYFUNCTION("""COMPUTED_VALUE"""),"No")</f>
        <v>No</v>
      </c>
      <c r="AD1175" s="5" t="str">
        <f ca="1">IFERROR(__xludf.DUMMYFUNCTION("""COMPUTED_VALUE"""),"No")</f>
        <v>No</v>
      </c>
      <c r="AE1175" s="5" t="str">
        <f ca="1">IFERROR(__xludf.DUMMYFUNCTION("""COMPUTED_VALUE"""),"No")</f>
        <v>No</v>
      </c>
      <c r="AF1175" s="5" t="str">
        <f ca="1">IFERROR(__xludf.DUMMYFUNCTION("""COMPUTED_VALUE"""),"No")</f>
        <v>No</v>
      </c>
      <c r="AG1175" s="5" t="str">
        <f ca="1">IFERROR(__xludf.DUMMYFUNCTION("""COMPUTED_VALUE"""),"No")</f>
        <v>No</v>
      </c>
      <c r="AH1175" s="5" t="str">
        <f ca="1">IFERROR(__xludf.DUMMYFUNCTION("""COMPUTED_VALUE"""),"Yes")</f>
        <v>Yes</v>
      </c>
      <c r="AI1175" s="5" t="str">
        <f ca="1">IFERROR(__xludf.DUMMYFUNCTION("""COMPUTED_VALUE"""),"No")</f>
        <v>No</v>
      </c>
      <c r="AJ1175" s="5" t="str">
        <f ca="1">IFERROR(__xludf.DUMMYFUNCTION("""COMPUTED_VALUE"""),"Yes")</f>
        <v>Yes</v>
      </c>
    </row>
    <row r="1176" spans="1:36" ht="13">
      <c r="A1176" s="5" t="str">
        <f ca="1">IFERROR(__xludf.DUMMYFUNCTION("""COMPUTED_VALUE"""),"20140307LAMAT")</f>
        <v>20140307LAMAT</v>
      </c>
      <c r="B1176" s="5">
        <f ca="1">IFERROR(__xludf.DUMMYFUNCTION("""COMPUTED_VALUE"""),3)</f>
        <v>3</v>
      </c>
      <c r="C1176" s="5">
        <f ca="1">IFERROR(__xludf.DUMMYFUNCTION("""COMPUTED_VALUE"""),7)</f>
        <v>7</v>
      </c>
      <c r="D1176" s="5">
        <f ca="1">IFERROR(__xludf.DUMMYFUNCTION("""COMPUTED_VALUE"""),2014)</f>
        <v>2014</v>
      </c>
      <c r="E1176" s="8">
        <f ca="1">IFERROR(__xludf.DUMMYFUNCTION("""COMPUTED_VALUE"""),41705)</f>
        <v>41705</v>
      </c>
      <c r="F1176" s="5" t="str">
        <f ca="1">IFERROR(__xludf.DUMMYFUNCTION("""COMPUTED_VALUE"""),"Madison Parish High School")</f>
        <v>Madison Parish High School</v>
      </c>
      <c r="G1176" s="5">
        <f ca="1">IFERROR(__xludf.DUMMYFUNCTION("""COMPUTED_VALUE"""),0)</f>
        <v>0</v>
      </c>
      <c r="H1176" s="5">
        <f ca="1">IFERROR(__xludf.DUMMYFUNCTION("""COMPUTED_VALUE"""),1)</f>
        <v>1</v>
      </c>
      <c r="I1176" s="5">
        <f ca="1">IFERROR(__xludf.DUMMYFUNCTION("""COMPUTED_VALUE"""),1)</f>
        <v>1</v>
      </c>
      <c r="J1176" s="5">
        <f ca="1">IFERROR(__xludf.DUMMYFUNCTION("""COMPUTED_VALUE"""),0)</f>
        <v>0</v>
      </c>
      <c r="K1176" s="9" t="str">
        <f ca="1">IFERROR(__xludf.DUMMYFUNCTION("""COMPUTED_VALUE"""),"https://www.myarklamiss.com/crime/update-17-year-old-arrested-in-connection-with-friday-nights-shooting-in-madison-parish/166472643")</f>
        <v>https://www.myarklamiss.com/crime/update-17-year-old-arrested-in-connection-with-friday-nights-shooting-in-madison-parish/166472643</v>
      </c>
      <c r="L1176" s="5"/>
      <c r="M1176" s="5"/>
      <c r="N1176" s="5">
        <f ca="1">IFERROR(__xludf.DUMMYFUNCTION("""COMPUTED_VALUE"""),2)</f>
        <v>2</v>
      </c>
      <c r="O1176" s="5" t="str">
        <f ca="1">IFERROR(__xludf.DUMMYFUNCTION("""COMPUTED_VALUE"""),"Spring")</f>
        <v>Spring</v>
      </c>
      <c r="P1176" s="5" t="str">
        <f ca="1">IFERROR(__xludf.DUMMYFUNCTION("""COMPUTED_VALUE"""),"Tallulah")</f>
        <v>Tallulah</v>
      </c>
      <c r="Q1176" s="5" t="str">
        <f ca="1">IFERROR(__xludf.DUMMYFUNCTION("""COMPUTED_VALUE"""),"LA")</f>
        <v>LA</v>
      </c>
      <c r="R1176" s="5" t="str">
        <f ca="1">IFERROR(__xludf.DUMMYFUNCTION("""COMPUTED_VALUE"""),"High")</f>
        <v>High</v>
      </c>
      <c r="S1176" s="5" t="str">
        <f ca="1">IFERROR(__xludf.DUMMYFUNCTION("""COMPUTED_VALUE"""),"Front of School")</f>
        <v>Front of School</v>
      </c>
      <c r="T1176" s="5" t="str">
        <f ca="1">IFERROR(__xludf.DUMMYFUNCTION("""COMPUTED_VALUE"""),"Outside on School Property")</f>
        <v>Outside on School Property</v>
      </c>
      <c r="U1176" s="5" t="str">
        <f ca="1">IFERROR(__xludf.DUMMYFUNCTION("""COMPUTED_VALUE"""),"No")</f>
        <v>No</v>
      </c>
      <c r="V1176" s="5" t="str">
        <f ca="1">IFERROR(__xludf.DUMMYFUNCTION("""COMPUTED_VALUE"""),"School Event")</f>
        <v>School Event</v>
      </c>
      <c r="W1176" s="5"/>
      <c r="X1176" s="5"/>
      <c r="Y1176" s="5" t="str">
        <f ca="1">IFERROR(__xludf.DUMMYFUNCTION("""COMPUTED_VALUE"""),"Shooting after fundraiser at high school")</f>
        <v>Shooting after fundraiser at high school</v>
      </c>
      <c r="Z1176" s="5" t="str">
        <f ca="1">IFERROR(__xludf.DUMMYFUNCTION("""COMPUTED_VALUE"""),"17 year old shooter shot 16 year old victim in arm during a fundraiser at the high school.")</f>
        <v>17 year old shooter shot 16 year old victim in arm during a fundraiser at the high school.</v>
      </c>
      <c r="AA1176" s="5" t="str">
        <f ca="1">IFERROR(__xludf.DUMMYFUNCTION("""COMPUTED_VALUE"""),"Unknown")</f>
        <v>Unknown</v>
      </c>
      <c r="AB1176" s="5"/>
      <c r="AC1176" s="5" t="str">
        <f ca="1">IFERROR(__xludf.DUMMYFUNCTION("""COMPUTED_VALUE"""),"No")</f>
        <v>No</v>
      </c>
      <c r="AD1176" s="5" t="str">
        <f ca="1">IFERROR(__xludf.DUMMYFUNCTION("""COMPUTED_VALUE"""),"No")</f>
        <v>No</v>
      </c>
      <c r="AE1176" s="5" t="str">
        <f ca="1">IFERROR(__xludf.DUMMYFUNCTION("""COMPUTED_VALUE"""),"No")</f>
        <v>No</v>
      </c>
      <c r="AF1176" s="5" t="str">
        <f ca="1">IFERROR(__xludf.DUMMYFUNCTION("""COMPUTED_VALUE"""),"No")</f>
        <v>No</v>
      </c>
      <c r="AG1176" s="5"/>
      <c r="AH1176" s="5"/>
      <c r="AI1176" s="5"/>
      <c r="AJ1176" s="5"/>
    </row>
    <row r="1177" spans="1:36" ht="13">
      <c r="A1177" s="5" t="str">
        <f ca="1">IFERROR(__xludf.DUMMYFUNCTION("""COMPUTED_VALUE"""),"20140220MIRAR")</f>
        <v>20140220MIRAR</v>
      </c>
      <c r="B1177" s="5">
        <f ca="1">IFERROR(__xludf.DUMMYFUNCTION("""COMPUTED_VALUE"""),2)</f>
        <v>2</v>
      </c>
      <c r="C1177" s="5">
        <f ca="1">IFERROR(__xludf.DUMMYFUNCTION("""COMPUTED_VALUE"""),20)</f>
        <v>20</v>
      </c>
      <c r="D1177" s="5">
        <f ca="1">IFERROR(__xludf.DUMMYFUNCTION("""COMPUTED_VALUE"""),2014)</f>
        <v>2014</v>
      </c>
      <c r="E1177" s="8">
        <f ca="1">IFERROR(__xludf.DUMMYFUNCTION("""COMPUTED_VALUE"""),41690)</f>
        <v>41690</v>
      </c>
      <c r="F1177" s="5" t="str">
        <f ca="1">IFERROR(__xludf.DUMMYFUNCTION("""COMPUTED_VALUE"""),"Raytown Success Academy")</f>
        <v>Raytown Success Academy</v>
      </c>
      <c r="G1177" s="5">
        <f ca="1">IFERROR(__xludf.DUMMYFUNCTION("""COMPUTED_VALUE"""),1)</f>
        <v>1</v>
      </c>
      <c r="H1177" s="5">
        <f ca="1">IFERROR(__xludf.DUMMYFUNCTION("""COMPUTED_VALUE"""),0)</f>
        <v>0</v>
      </c>
      <c r="I1177" s="5">
        <f ca="1">IFERROR(__xludf.DUMMYFUNCTION("""COMPUTED_VALUE"""),1)</f>
        <v>1</v>
      </c>
      <c r="J1177" s="5">
        <f ca="1">IFERROR(__xludf.DUMMYFUNCTION("""COMPUTED_VALUE"""),0)</f>
        <v>0</v>
      </c>
      <c r="K1177" s="9" t="str">
        <f ca="1">IFERROR(__xludf.DUMMYFUNCTION("""COMPUTED_VALUE"""),"http://www.kansascity.com/news/local/crime/article9772547.html")</f>
        <v>http://www.kansascity.com/news/local/crime/article9772547.html</v>
      </c>
      <c r="L1177" s="5">
        <f ca="1">IFERROR(__xludf.DUMMYFUNCTION("""COMPUTED_VALUE"""),5)</f>
        <v>5</v>
      </c>
      <c r="M1177" s="5" t="str">
        <f ca="1">IFERROR(__xludf.DUMMYFUNCTION("""COMPUTED_VALUE"""),"Local")</f>
        <v>Local</v>
      </c>
      <c r="N1177" s="5">
        <f ca="1">IFERROR(__xludf.DUMMYFUNCTION("""COMPUTED_VALUE"""),2)</f>
        <v>2</v>
      </c>
      <c r="O1177" s="5" t="str">
        <f ca="1">IFERROR(__xludf.DUMMYFUNCTION("""COMPUTED_VALUE"""),"Winter")</f>
        <v>Winter</v>
      </c>
      <c r="P1177" s="5" t="str">
        <f ca="1">IFERROR(__xludf.DUMMYFUNCTION("""COMPUTED_VALUE"""),"Raytown")</f>
        <v>Raytown</v>
      </c>
      <c r="Q1177" s="5" t="str">
        <f ca="1">IFERROR(__xludf.DUMMYFUNCTION("""COMPUTED_VALUE"""),"MI")</f>
        <v>MI</v>
      </c>
      <c r="R1177" s="5" t="str">
        <f ca="1">IFERROR(__xludf.DUMMYFUNCTION("""COMPUTED_VALUE"""),"High")</f>
        <v>High</v>
      </c>
      <c r="S1177" s="5" t="str">
        <f ca="1">IFERROR(__xludf.DUMMYFUNCTION("""COMPUTED_VALUE"""),"Parking Lot")</f>
        <v>Parking Lot</v>
      </c>
      <c r="T1177" s="5" t="str">
        <f ca="1">IFERROR(__xludf.DUMMYFUNCTION("""COMPUTED_VALUE"""),"Outside on School Property")</f>
        <v>Outside on School Property</v>
      </c>
      <c r="U1177" s="5" t="str">
        <f ca="1">IFERROR(__xludf.DUMMYFUNCTION("""COMPUTED_VALUE"""),"Yes")</f>
        <v>Yes</v>
      </c>
      <c r="V1177" s="5" t="str">
        <f ca="1">IFERROR(__xludf.DUMMYFUNCTION("""COMPUTED_VALUE"""),"Morning Classes")</f>
        <v>Morning Classes</v>
      </c>
      <c r="W1177" s="10">
        <f ca="1">IFERROR(__xludf.DUMMYFUNCTION("""COMPUTED_VALUE"""),0.4375)</f>
        <v>0.4375</v>
      </c>
      <c r="X1177" s="5">
        <f ca="1">IFERROR(__xludf.DUMMYFUNCTION("""COMPUTED_VALUE"""),1)</f>
        <v>1</v>
      </c>
      <c r="Y1177" s="5" t="str">
        <f ca="1">IFERROR(__xludf.DUMMYFUNCTION("""COMPUTED_VALUE"""),"Jealousy over victim dating suspect's ex-girlfriend")</f>
        <v>Jealousy over victim dating suspect's ex-girlfriend</v>
      </c>
      <c r="Z1177" s="5" t="str">
        <f ca="1">IFERROR(__xludf.DUMMYFUNCTION("""COMPUTED_VALUE"""),"Suspect waiting in school parking lot for over 20 min. for victim to arrive with suspect's ex-girlfriend and kids. Suspect argued with ex-girlfriend outside the car, then went back to the car, opened the driver's door and shot victim multiple times. Suspe"&amp;"ct was arrested on scene. Suspect was a security guard - had retrieved gun from pawn shop earlier that morning. Reportedly, suspect couldn't accept victim ""stealing his family"".")</f>
        <v>Suspect waiting in school parking lot for over 20 min. for victim to arrive with suspect's ex-girlfriend and kids. Suspect argued with ex-girlfriend outside the car, then went back to the car, opened the driver's door and shot victim multiple times. Suspect was arrested on scene. Suspect was a security guard - had retrieved gun from pawn shop earlier that morning. Reportedly, suspect couldn't accept victim "stealing his family".</v>
      </c>
      <c r="AA1177" s="5" t="str">
        <f ca="1">IFERROR(__xludf.DUMMYFUNCTION("""COMPUTED_VALUE"""),"Domestic w/ Targeted Victim")</f>
        <v>Domestic w/ Targeted Victim</v>
      </c>
      <c r="AB1177" s="5" t="str">
        <f ca="1">IFERROR(__xludf.DUMMYFUNCTION("""COMPUTED_VALUE"""),"Victims Targeted")</f>
        <v>Victims Targeted</v>
      </c>
      <c r="AC1177" s="5" t="str">
        <f ca="1">IFERROR(__xludf.DUMMYFUNCTION("""COMPUTED_VALUE"""),"No")</f>
        <v>No</v>
      </c>
      <c r="AD1177" s="5" t="str">
        <f ca="1">IFERROR(__xludf.DUMMYFUNCTION("""COMPUTED_VALUE"""),"No")</f>
        <v>No</v>
      </c>
      <c r="AE1177" s="5" t="str">
        <f ca="1">IFERROR(__xludf.DUMMYFUNCTION("""COMPUTED_VALUE"""),"No")</f>
        <v>No</v>
      </c>
      <c r="AF1177" s="5" t="str">
        <f ca="1">IFERROR(__xludf.DUMMYFUNCTION("""COMPUTED_VALUE"""),"No")</f>
        <v>No</v>
      </c>
      <c r="AG1177" s="5" t="str">
        <f ca="1">IFERROR(__xludf.DUMMYFUNCTION("""COMPUTED_VALUE"""),"N/A")</f>
        <v>N/A</v>
      </c>
      <c r="AH1177" s="5" t="str">
        <f ca="1">IFERROR(__xludf.DUMMYFUNCTION("""COMPUTED_VALUE"""),"No")</f>
        <v>No</v>
      </c>
      <c r="AI1177" s="5" t="str">
        <f ca="1">IFERROR(__xludf.DUMMYFUNCTION("""COMPUTED_VALUE"""),"No")</f>
        <v>No</v>
      </c>
      <c r="AJ1177" s="5"/>
    </row>
    <row r="1178" spans="1:36" ht="13">
      <c r="A1178" s="5" t="str">
        <f ca="1">IFERROR(__xludf.DUMMYFUNCTION("""COMPUTED_VALUE"""),"20140211OHCHL")</f>
        <v>20140211OHCHL</v>
      </c>
      <c r="B1178" s="5">
        <f ca="1">IFERROR(__xludf.DUMMYFUNCTION("""COMPUTED_VALUE"""),2)</f>
        <v>2</v>
      </c>
      <c r="C1178" s="5">
        <f ca="1">IFERROR(__xludf.DUMMYFUNCTION("""COMPUTED_VALUE"""),11)</f>
        <v>11</v>
      </c>
      <c r="D1178" s="5">
        <f ca="1">IFERROR(__xludf.DUMMYFUNCTION("""COMPUTED_VALUE"""),2014)</f>
        <v>2014</v>
      </c>
      <c r="E1178" s="8">
        <f ca="1">IFERROR(__xludf.DUMMYFUNCTION("""COMPUTED_VALUE"""),41681)</f>
        <v>41681</v>
      </c>
      <c r="F1178" s="5" t="str">
        <f ca="1">IFERROR(__xludf.DUMMYFUNCTION("""COMPUTED_VALUE"""),"Charles F. Brush High School")</f>
        <v>Charles F. Brush High School</v>
      </c>
      <c r="G1178" s="5">
        <f ca="1">IFERROR(__xludf.DUMMYFUNCTION("""COMPUTED_VALUE"""),0)</f>
        <v>0</v>
      </c>
      <c r="H1178" s="5">
        <f ca="1">IFERROR(__xludf.DUMMYFUNCTION("""COMPUTED_VALUE"""),0)</f>
        <v>0</v>
      </c>
      <c r="I1178" s="5">
        <f ca="1">IFERROR(__xludf.DUMMYFUNCTION("""COMPUTED_VALUE"""),0)</f>
        <v>0</v>
      </c>
      <c r="J1178" s="5">
        <f ca="1">IFERROR(__xludf.DUMMYFUNCTION("""COMPUTED_VALUE"""),0)</f>
        <v>0</v>
      </c>
      <c r="K1178" s="5" t="str">
        <f ca="1">IFERROR(__xludf.DUMMYFUNCTION("""COMPUTED_VALUE"""),"https://fox8.com/2014/02/11/2-arrests-after-shots-fired-in-brush-high-school-parking-lot/ https://www.cleveland.com/metro/index.ssf/2014/02/police_two_boys_charged_in_bru.html http://www.cleveland19.com/story/24698624/shots-fired-at-brush-high-school")</f>
        <v>https://fox8.com/2014/02/11/2-arrests-after-shots-fired-in-brush-high-school-parking-lot/ https://www.cleveland.com/metro/index.ssf/2014/02/police_two_boys_charged_in_bru.html http://www.cleveland19.com/story/24698624/shots-fired-at-brush-high-school</v>
      </c>
      <c r="L1178" s="5"/>
      <c r="M1178" s="5"/>
      <c r="N1178" s="5">
        <f ca="1">IFERROR(__xludf.DUMMYFUNCTION("""COMPUTED_VALUE"""),3)</f>
        <v>3</v>
      </c>
      <c r="O1178" s="5" t="str">
        <f ca="1">IFERROR(__xludf.DUMMYFUNCTION("""COMPUTED_VALUE"""),"Winter")</f>
        <v>Winter</v>
      </c>
      <c r="P1178" s="5" t="str">
        <f ca="1">IFERROR(__xludf.DUMMYFUNCTION("""COMPUTED_VALUE"""),"Lyndhurt")</f>
        <v>Lyndhurt</v>
      </c>
      <c r="Q1178" s="5" t="str">
        <f ca="1">IFERROR(__xludf.DUMMYFUNCTION("""COMPUTED_VALUE"""),"OH")</f>
        <v>OH</v>
      </c>
      <c r="R1178" s="5" t="str">
        <f ca="1">IFERROR(__xludf.DUMMYFUNCTION("""COMPUTED_VALUE"""),"High")</f>
        <v>High</v>
      </c>
      <c r="S1178" s="5" t="str">
        <f ca="1">IFERROR(__xludf.DUMMYFUNCTION("""COMPUTED_VALUE"""),"Parking Lot")</f>
        <v>Parking Lot</v>
      </c>
      <c r="T1178" s="5" t="str">
        <f ca="1">IFERROR(__xludf.DUMMYFUNCTION("""COMPUTED_VALUE"""),"Outside on School Property")</f>
        <v>Outside on School Property</v>
      </c>
      <c r="U1178" s="5" t="str">
        <f ca="1">IFERROR(__xludf.DUMMYFUNCTION("""COMPUTED_VALUE"""),"No")</f>
        <v>No</v>
      </c>
      <c r="V1178" s="5" t="str">
        <f ca="1">IFERROR(__xludf.DUMMYFUNCTION("""COMPUTED_VALUE"""),"Sport Event")</f>
        <v>Sport Event</v>
      </c>
      <c r="W1178" s="10">
        <f ca="1">IFERROR(__xludf.DUMMYFUNCTION("""COMPUTED_VALUE"""),0.854166666666666)</f>
        <v>0.85416666666666596</v>
      </c>
      <c r="X1178" s="5">
        <f ca="1">IFERROR(__xludf.DUMMYFUNCTION("""COMPUTED_VALUE"""),1)</f>
        <v>1</v>
      </c>
      <c r="Y1178" s="5" t="str">
        <f ca="1">IFERROR(__xludf.DUMMYFUNCTION("""COMPUTED_VALUE"""),"Shots fired during fight in parking lot during basketball game")</f>
        <v>Shots fired during fight in parking lot during basketball game</v>
      </c>
      <c r="Z1178" s="5" t="str">
        <f ca="1">IFERROR(__xludf.DUMMYFUNCTION("""COMPUTED_VALUE"""),"Two 17YOM were involved in dispute with 18YOM at basketball game over a girl. Fight occurred in the parking lot. 5 shots were fired and all missed. 5 shots were fired (all missed) during fight in the parking lot during a basketball game. Shooter fled the "&amp;"scene following the shooting. Weapon was recovered and a 17YOM was arrested.")</f>
        <v>Two 17YOM were involved in dispute with 18YOM at basketball game over a girl. Fight occurred in the parking lot. 5 shots were fired and all missed. 5 shots were fired (all missed) during fight in the parking lot during a basketball game. Shooter fled the scene following the shooting. Weapon was recovered and a 17YOM was arrested.</v>
      </c>
      <c r="AA1178" s="5" t="str">
        <f ca="1">IFERROR(__xludf.DUMMYFUNCTION("""COMPUTED_VALUE"""),"Escalation of Dispute")</f>
        <v>Escalation of Dispute</v>
      </c>
      <c r="AB1178" s="5" t="str">
        <f ca="1">IFERROR(__xludf.DUMMYFUNCTION("""COMPUTED_VALUE"""),"Victims Targeted")</f>
        <v>Victims Targeted</v>
      </c>
      <c r="AC1178" s="5" t="str">
        <f ca="1">IFERROR(__xludf.DUMMYFUNCTION("""COMPUTED_VALUE"""),"Yes")</f>
        <v>Yes</v>
      </c>
      <c r="AD1178" s="5" t="str">
        <f ca="1">IFERROR(__xludf.DUMMYFUNCTION("""COMPUTED_VALUE"""),"No")</f>
        <v>No</v>
      </c>
      <c r="AE1178" s="5" t="str">
        <f ca="1">IFERROR(__xludf.DUMMYFUNCTION("""COMPUTED_VALUE"""),"No")</f>
        <v>No</v>
      </c>
      <c r="AF1178" s="5" t="str">
        <f ca="1">IFERROR(__xludf.DUMMYFUNCTION("""COMPUTED_VALUE"""),"No")</f>
        <v>No</v>
      </c>
      <c r="AG1178" s="5" t="str">
        <f ca="1">IFERROR(__xludf.DUMMYFUNCTION("""COMPUTED_VALUE"""),"No")</f>
        <v>No</v>
      </c>
      <c r="AH1178" s="5" t="str">
        <f ca="1">IFERROR(__xludf.DUMMYFUNCTION("""COMPUTED_VALUE"""),"No")</f>
        <v>No</v>
      </c>
      <c r="AI1178" s="5" t="str">
        <f ca="1">IFERROR(__xludf.DUMMYFUNCTION("""COMPUTED_VALUE"""),"No")</f>
        <v>No</v>
      </c>
      <c r="AJ1178" s="5"/>
    </row>
    <row r="1179" spans="1:36" ht="13">
      <c r="A1179" s="5" t="str">
        <f ca="1">IFERROR(__xludf.DUMMYFUNCTION("""COMPUTED_VALUE"""),"20140210NCSAS")</f>
        <v>20140210NCSAS</v>
      </c>
      <c r="B1179" s="5">
        <f ca="1">IFERROR(__xludf.DUMMYFUNCTION("""COMPUTED_VALUE"""),2)</f>
        <v>2</v>
      </c>
      <c r="C1179" s="5">
        <f ca="1">IFERROR(__xludf.DUMMYFUNCTION("""COMPUTED_VALUE"""),10)</f>
        <v>10</v>
      </c>
      <c r="D1179" s="5">
        <f ca="1">IFERROR(__xludf.DUMMYFUNCTION("""COMPUTED_VALUE"""),2014)</f>
        <v>2014</v>
      </c>
      <c r="E1179" s="8">
        <f ca="1">IFERROR(__xludf.DUMMYFUNCTION("""COMPUTED_VALUE"""),41680)</f>
        <v>41680</v>
      </c>
      <c r="F1179" s="5" t="str">
        <f ca="1">IFERROR(__xludf.DUMMYFUNCTION("""COMPUTED_VALUE"""),"Salisbury High School")</f>
        <v>Salisbury High School</v>
      </c>
      <c r="G1179" s="5">
        <f ca="1">IFERROR(__xludf.DUMMYFUNCTION("""COMPUTED_VALUE"""),0)</f>
        <v>0</v>
      </c>
      <c r="H1179" s="5">
        <f ca="1">IFERROR(__xludf.DUMMYFUNCTION("""COMPUTED_VALUE"""),1)</f>
        <v>1</v>
      </c>
      <c r="I1179" s="5">
        <f ca="1">IFERROR(__xludf.DUMMYFUNCTION("""COMPUTED_VALUE"""),1)</f>
        <v>1</v>
      </c>
      <c r="J1179" s="5">
        <f ca="1">IFERROR(__xludf.DUMMYFUNCTION("""COMPUTED_VALUE"""),0)</f>
        <v>0</v>
      </c>
      <c r="K1179" s="9" t="str">
        <f ca="1">IFERROR(__xludf.DUMMYFUNCTION("""COMPUTED_VALUE"""),"http://www.wbtv.com/story/24683911/student-shot-at-salisbury-high-school")</f>
        <v>http://www.wbtv.com/story/24683911/student-shot-at-salisbury-high-school</v>
      </c>
      <c r="L1179" s="5">
        <f ca="1">IFERROR(__xludf.DUMMYFUNCTION("""COMPUTED_VALUE"""),5)</f>
        <v>5</v>
      </c>
      <c r="M1179" s="5" t="str">
        <f ca="1">IFERROR(__xludf.DUMMYFUNCTION("""COMPUTED_VALUE"""),"Local")</f>
        <v>Local</v>
      </c>
      <c r="N1179" s="5">
        <f ca="1">IFERROR(__xludf.DUMMYFUNCTION("""COMPUTED_VALUE"""),2)</f>
        <v>2</v>
      </c>
      <c r="O1179" s="5" t="str">
        <f ca="1">IFERROR(__xludf.DUMMYFUNCTION("""COMPUTED_VALUE"""),"Winter")</f>
        <v>Winter</v>
      </c>
      <c r="P1179" s="5" t="str">
        <f ca="1">IFERROR(__xludf.DUMMYFUNCTION("""COMPUTED_VALUE"""),"Salisbury")</f>
        <v>Salisbury</v>
      </c>
      <c r="Q1179" s="5" t="str">
        <f ca="1">IFERROR(__xludf.DUMMYFUNCTION("""COMPUTED_VALUE"""),"NC")</f>
        <v>NC</v>
      </c>
      <c r="R1179" s="5" t="str">
        <f ca="1">IFERROR(__xludf.DUMMYFUNCTION("""COMPUTED_VALUE"""),"High")</f>
        <v>High</v>
      </c>
      <c r="S1179" s="5" t="str">
        <f ca="1">IFERROR(__xludf.DUMMYFUNCTION("""COMPUTED_VALUE"""),"Beside Building")</f>
        <v>Beside Building</v>
      </c>
      <c r="T1179" s="5" t="str">
        <f ca="1">IFERROR(__xludf.DUMMYFUNCTION("""COMPUTED_VALUE"""),"Outside on School Property")</f>
        <v>Outside on School Property</v>
      </c>
      <c r="U1179" s="5" t="str">
        <f ca="1">IFERROR(__xludf.DUMMYFUNCTION("""COMPUTED_VALUE"""),"No")</f>
        <v>No</v>
      </c>
      <c r="V1179" s="5" t="str">
        <f ca="1">IFERROR(__xludf.DUMMYFUNCTION("""COMPUTED_VALUE"""),"Dismissal")</f>
        <v>Dismissal</v>
      </c>
      <c r="W1179" s="10">
        <f ca="1">IFERROR(__xludf.DUMMYFUNCTION("""COMPUTED_VALUE"""),0.5)</f>
        <v>0.5</v>
      </c>
      <c r="X1179" s="5">
        <f ca="1">IFERROR(__xludf.DUMMYFUNCTION("""COMPUTED_VALUE"""),1)</f>
        <v>1</v>
      </c>
      <c r="Y1179" s="5" t="str">
        <f ca="1">IFERROR(__xludf.DUMMYFUNCTION("""COMPUTED_VALUE"""),"Shots during fight in gym")</f>
        <v>Shots during fight in gym</v>
      </c>
      <c r="Z1179" s="5" t="str">
        <f ca="1">IFERROR(__xludf.DUMMYFUNCTION("""COMPUTED_VALUE"""),"A group of males (not students at the school) entered the gym and started causing trouble (allegedly, following an argument over the weekend); the situation escalated into a physical fight outside of the school. The shooter fired striking a 3rd party (stu"&amp;"dent) who was trying to break up the fight. All of the involved parties fled the scene after the shooting. Shooter was arrested at a family members house later that night.")</f>
        <v>A group of males (not students at the school) entered the gym and started causing trouble (allegedly, following an argument over the weekend); the situation escalated into a physical fight outside of the school. The shooter fired striking a 3rd party (student) who was trying to break up the fight. All of the involved parties fled the scene after the shooting. Shooter was arrested at a family members house later that night.</v>
      </c>
      <c r="AA1179" s="5" t="str">
        <f ca="1">IFERROR(__xludf.DUMMYFUNCTION("""COMPUTED_VALUE"""),"Escalation of Dispute")</f>
        <v>Escalation of Dispute</v>
      </c>
      <c r="AB1179" s="5" t="str">
        <f ca="1">IFERROR(__xludf.DUMMYFUNCTION("""COMPUTED_VALUE"""),"Both")</f>
        <v>Both</v>
      </c>
      <c r="AC1179" s="5" t="str">
        <f ca="1">IFERROR(__xludf.DUMMYFUNCTION("""COMPUTED_VALUE"""),"Yes")</f>
        <v>Yes</v>
      </c>
      <c r="AD1179" s="5" t="str">
        <f ca="1">IFERROR(__xludf.DUMMYFUNCTION("""COMPUTED_VALUE"""),"No")</f>
        <v>No</v>
      </c>
      <c r="AE1179" s="5" t="str">
        <f ca="1">IFERROR(__xludf.DUMMYFUNCTION("""COMPUTED_VALUE"""),"No")</f>
        <v>No</v>
      </c>
      <c r="AF1179" s="5" t="str">
        <f ca="1">IFERROR(__xludf.DUMMYFUNCTION("""COMPUTED_VALUE"""),"No")</f>
        <v>No</v>
      </c>
      <c r="AG1179" s="5" t="str">
        <f ca="1">IFERROR(__xludf.DUMMYFUNCTION("""COMPUTED_VALUE"""),"No")</f>
        <v>No</v>
      </c>
      <c r="AH1179" s="5" t="str">
        <f ca="1">IFERROR(__xludf.DUMMYFUNCTION("""COMPUTED_VALUE"""),"No")</f>
        <v>No</v>
      </c>
      <c r="AI1179" s="5" t="str">
        <f ca="1">IFERROR(__xludf.DUMMYFUNCTION("""COMPUTED_VALUE"""),"No")</f>
        <v>No</v>
      </c>
      <c r="AJ1179" s="5"/>
    </row>
    <row r="1180" spans="1:36" ht="13">
      <c r="A1180" s="5" t="str">
        <f ca="1">IFERROR(__xludf.DUMMYFUNCTION("""COMPUTED_VALUE"""),"20140207ORBEB")</f>
        <v>20140207ORBEB</v>
      </c>
      <c r="B1180" s="5">
        <f ca="1">IFERROR(__xludf.DUMMYFUNCTION("""COMPUTED_VALUE"""),2)</f>
        <v>2</v>
      </c>
      <c r="C1180" s="5">
        <f ca="1">IFERROR(__xludf.DUMMYFUNCTION("""COMPUTED_VALUE"""),7)</f>
        <v>7</v>
      </c>
      <c r="D1180" s="5">
        <f ca="1">IFERROR(__xludf.DUMMYFUNCTION("""COMPUTED_VALUE"""),2014)</f>
        <v>2014</v>
      </c>
      <c r="E1180" s="8">
        <f ca="1">IFERROR(__xludf.DUMMYFUNCTION("""COMPUTED_VALUE"""),41677)</f>
        <v>41677</v>
      </c>
      <c r="F1180" s="5" t="str">
        <f ca="1">IFERROR(__xludf.DUMMYFUNCTION("""COMPUTED_VALUE"""),"Bend High School")</f>
        <v>Bend High School</v>
      </c>
      <c r="G1180" s="5">
        <f ca="1">IFERROR(__xludf.DUMMYFUNCTION("""COMPUTED_VALUE"""),0)</f>
        <v>0</v>
      </c>
      <c r="H1180" s="5">
        <f ca="1">IFERROR(__xludf.DUMMYFUNCTION("""COMPUTED_VALUE"""),0)</f>
        <v>0</v>
      </c>
      <c r="I1180" s="5">
        <f ca="1">IFERROR(__xludf.DUMMYFUNCTION("""COMPUTED_VALUE"""),0)</f>
        <v>0</v>
      </c>
      <c r="J1180" s="5">
        <f ca="1">IFERROR(__xludf.DUMMYFUNCTION("""COMPUTED_VALUE"""),1)</f>
        <v>1</v>
      </c>
      <c r="K1180" s="9" t="str">
        <f ca="1">IFERROR(__xludf.DUMMYFUNCTION("""COMPUTED_VALUE"""),"https://www.bendbulletin.com/home/1790423-151/details-emerge-in-bend-high-suicide")</f>
        <v>https://www.bendbulletin.com/home/1790423-151/details-emerge-in-bend-high-suicide</v>
      </c>
      <c r="L1180" s="5">
        <f ca="1">IFERROR(__xludf.DUMMYFUNCTION("""COMPUTED_VALUE"""),1)</f>
        <v>1</v>
      </c>
      <c r="M1180" s="5" t="str">
        <f ca="1">IFERROR(__xludf.DUMMYFUNCTION("""COMPUTED_VALUE"""),"Local")</f>
        <v>Local</v>
      </c>
      <c r="N1180" s="5">
        <f ca="1">IFERROR(__xludf.DUMMYFUNCTION("""COMPUTED_VALUE"""),2)</f>
        <v>2</v>
      </c>
      <c r="O1180" s="5" t="str">
        <f ca="1">IFERROR(__xludf.DUMMYFUNCTION("""COMPUTED_VALUE"""),"Winter")</f>
        <v>Winter</v>
      </c>
      <c r="P1180" s="5" t="str">
        <f ca="1">IFERROR(__xludf.DUMMYFUNCTION("""COMPUTED_VALUE"""),"Bend")</f>
        <v>Bend</v>
      </c>
      <c r="Q1180" s="5" t="str">
        <f ca="1">IFERROR(__xludf.DUMMYFUNCTION("""COMPUTED_VALUE"""),"OR")</f>
        <v>OR</v>
      </c>
      <c r="R1180" s="5" t="str">
        <f ca="1">IFERROR(__xludf.DUMMYFUNCTION("""COMPUTED_VALUE"""),"High")</f>
        <v>High</v>
      </c>
      <c r="S1180" s="5" t="str">
        <f ca="1">IFERROR(__xludf.DUMMYFUNCTION("""COMPUTED_VALUE"""),"Classroom")</f>
        <v>Classroom</v>
      </c>
      <c r="T1180" s="5" t="str">
        <f ca="1">IFERROR(__xludf.DUMMYFUNCTION("""COMPUTED_VALUE"""),"Inside School Building")</f>
        <v>Inside School Building</v>
      </c>
      <c r="U1180" s="5" t="str">
        <f ca="1">IFERROR(__xludf.DUMMYFUNCTION("""COMPUTED_VALUE"""),"Yes")</f>
        <v>Yes</v>
      </c>
      <c r="V1180" s="5" t="str">
        <f ca="1">IFERROR(__xludf.DUMMYFUNCTION("""COMPUTED_VALUE"""),"Morning Classes")</f>
        <v>Morning Classes</v>
      </c>
      <c r="W1180" s="10">
        <f ca="1">IFERROR(__xludf.DUMMYFUNCTION("""COMPUTED_VALUE"""),0.5)</f>
        <v>0.5</v>
      </c>
      <c r="X1180" s="5">
        <f ca="1">IFERROR(__xludf.DUMMYFUNCTION("""COMPUTED_VALUE"""),1)</f>
        <v>1</v>
      </c>
      <c r="Y1180" s="5" t="str">
        <f ca="1">IFERROR(__xludf.DUMMYFUNCTION("""COMPUTED_VALUE"""),"Suicide in classroom")</f>
        <v>Suicide in classroom</v>
      </c>
      <c r="Z1180" s="5" t="str">
        <f ca="1">IFERROR(__xludf.DUMMYFUNCTION("""COMPUTED_VALUE"""),"A male student entered a modular classroom and fatally shot himself using his own hunting rifle. He did not seem to want to harm anyone else. He was a teaching assistant and reportedly in good terms with everyone.")</f>
        <v>A male student entered a modular classroom and fatally shot himself using his own hunting rifle. He did not seem to want to harm anyone else. He was a teaching assistant and reportedly in good terms with everyone.</v>
      </c>
      <c r="AA1180" s="5" t="str">
        <f ca="1">IFERROR(__xludf.DUMMYFUNCTION("""COMPUTED_VALUE"""),"Suicide/Attempted")</f>
        <v>Suicide/Attempted</v>
      </c>
      <c r="AB1180" s="5" t="str">
        <f ca="1">IFERROR(__xludf.DUMMYFUNCTION("""COMPUTED_VALUE"""),"Neither")</f>
        <v>Neither</v>
      </c>
      <c r="AC1180" s="5" t="str">
        <f ca="1">IFERROR(__xludf.DUMMYFUNCTION("""COMPUTED_VALUE"""),"No")</f>
        <v>No</v>
      </c>
      <c r="AD1180" s="5" t="str">
        <f ca="1">IFERROR(__xludf.DUMMYFUNCTION("""COMPUTED_VALUE"""),"No")</f>
        <v>No</v>
      </c>
      <c r="AE1180" s="5" t="str">
        <f ca="1">IFERROR(__xludf.DUMMYFUNCTION("""COMPUTED_VALUE"""),"No")</f>
        <v>No</v>
      </c>
      <c r="AF1180" s="5" t="str">
        <f ca="1">IFERROR(__xludf.DUMMYFUNCTION("""COMPUTED_VALUE"""),"No")</f>
        <v>No</v>
      </c>
      <c r="AG1180" s="5" t="str">
        <f ca="1">IFERROR(__xludf.DUMMYFUNCTION("""COMPUTED_VALUE"""),"No")</f>
        <v>No</v>
      </c>
      <c r="AH1180" s="5" t="str">
        <f ca="1">IFERROR(__xludf.DUMMYFUNCTION("""COMPUTED_VALUE"""),"No")</f>
        <v>No</v>
      </c>
      <c r="AI1180" s="5" t="str">
        <f ca="1">IFERROR(__xludf.DUMMYFUNCTION("""COMPUTED_VALUE"""),"No")</f>
        <v>No</v>
      </c>
      <c r="AJ1180" s="5"/>
    </row>
    <row r="1181" spans="1:36" ht="13">
      <c r="A1181" s="5" t="str">
        <f ca="1">IFERROR(__xludf.DUMMYFUNCTION("""COMPUTED_VALUE"""),"20140131IANOD")</f>
        <v>20140131IANOD</v>
      </c>
      <c r="B1181" s="5">
        <f ca="1">IFERROR(__xludf.DUMMYFUNCTION("""COMPUTED_VALUE"""),1)</f>
        <v>1</v>
      </c>
      <c r="C1181" s="5">
        <f ca="1">IFERROR(__xludf.DUMMYFUNCTION("""COMPUTED_VALUE"""),31)</f>
        <v>31</v>
      </c>
      <c r="D1181" s="5">
        <f ca="1">IFERROR(__xludf.DUMMYFUNCTION("""COMPUTED_VALUE"""),2014)</f>
        <v>2014</v>
      </c>
      <c r="E1181" s="8">
        <f ca="1">IFERROR(__xludf.DUMMYFUNCTION("""COMPUTED_VALUE"""),41670)</f>
        <v>41670</v>
      </c>
      <c r="F1181" s="5" t="str">
        <f ca="1">IFERROR(__xludf.DUMMYFUNCTION("""COMPUTED_VALUE"""),"North High School")</f>
        <v>North High School</v>
      </c>
      <c r="G1181" s="5">
        <f ca="1">IFERROR(__xludf.DUMMYFUNCTION("""COMPUTED_VALUE"""),0)</f>
        <v>0</v>
      </c>
      <c r="H1181" s="5">
        <f ca="1">IFERROR(__xludf.DUMMYFUNCTION("""COMPUTED_VALUE"""),1)</f>
        <v>1</v>
      </c>
      <c r="I1181" s="5">
        <f ca="1">IFERROR(__xludf.DUMMYFUNCTION("""COMPUTED_VALUE"""),1)</f>
        <v>1</v>
      </c>
      <c r="J1181" s="5">
        <f ca="1">IFERROR(__xludf.DUMMYFUNCTION("""COMPUTED_VALUE"""),0)</f>
        <v>0</v>
      </c>
      <c r="K1181" s="9" t="str">
        <f ca="1">IFERROR(__xludf.DUMMYFUNCTION("""COMPUTED_VALUE"""),"http://www.kcci.com/article/police-investigate-shooting-outside-north-high-school/6888652")</f>
        <v>http://www.kcci.com/article/police-investigate-shooting-outside-north-high-school/6888652</v>
      </c>
      <c r="L1181" s="5">
        <f ca="1">IFERROR(__xludf.DUMMYFUNCTION("""COMPUTED_VALUE"""),1)</f>
        <v>1</v>
      </c>
      <c r="M1181" s="5" t="str">
        <f ca="1">IFERROR(__xludf.DUMMYFUNCTION("""COMPUTED_VALUE"""),"Local")</f>
        <v>Local</v>
      </c>
      <c r="N1181" s="5">
        <f ca="1">IFERROR(__xludf.DUMMYFUNCTION("""COMPUTED_VALUE"""),2)</f>
        <v>2</v>
      </c>
      <c r="O1181" s="5" t="str">
        <f ca="1">IFERROR(__xludf.DUMMYFUNCTION("""COMPUTED_VALUE"""),"Winter")</f>
        <v>Winter</v>
      </c>
      <c r="P1181" s="5" t="str">
        <f ca="1">IFERROR(__xludf.DUMMYFUNCTION("""COMPUTED_VALUE"""),"Des Moines")</f>
        <v>Des Moines</v>
      </c>
      <c r="Q1181" s="5" t="str">
        <f ca="1">IFERROR(__xludf.DUMMYFUNCTION("""COMPUTED_VALUE"""),"IA")</f>
        <v>IA</v>
      </c>
      <c r="R1181" s="5" t="str">
        <f ca="1">IFERROR(__xludf.DUMMYFUNCTION("""COMPUTED_VALUE"""),"High")</f>
        <v>High</v>
      </c>
      <c r="S1181" s="5" t="str">
        <f ca="1">IFERROR(__xludf.DUMMYFUNCTION("""COMPUTED_VALUE"""),"Basketball Court")</f>
        <v>Basketball Court</v>
      </c>
      <c r="T1181" s="5" t="str">
        <f ca="1">IFERROR(__xludf.DUMMYFUNCTION("""COMPUTED_VALUE"""),"Outside on School Property")</f>
        <v>Outside on School Property</v>
      </c>
      <c r="U1181" s="5" t="str">
        <f ca="1">IFERROR(__xludf.DUMMYFUNCTION("""COMPUTED_VALUE"""),"No")</f>
        <v>No</v>
      </c>
      <c r="V1181" s="5" t="str">
        <f ca="1">IFERROR(__xludf.DUMMYFUNCTION("""COMPUTED_VALUE"""),"Sport Event")</f>
        <v>Sport Event</v>
      </c>
      <c r="W1181" s="5"/>
      <c r="X1181" s="5"/>
      <c r="Y1181" s="5" t="str">
        <f ca="1">IFERROR(__xludf.DUMMYFUNCTION("""COMPUTED_VALUE"""),"Fight after basketball game")</f>
        <v>Fight after basketball game</v>
      </c>
      <c r="Z1181" s="5" t="str">
        <f ca="1">IFERROR(__xludf.DUMMYFUNCTION("""COMPUTED_VALUE"""),"Reportedly, victim and her cousins were waiting for a ride after a basketball game. Six black males arrived in a car and started yelling, then fired shots, one of which hit the railing first, and then grabbed victims leg. Victim reported her cousins knew "&amp;"the shooters but no one involved was willing to cooperate further.")</f>
        <v>Reportedly, victim and her cousins were waiting for a ride after a basketball game. Six black males arrived in a car and started yelling, then fired shots, one of which hit the railing first, and then grabbed victims leg. Victim reported her cousins knew the shooters but no one involved was willing to cooperate further.</v>
      </c>
      <c r="AA1181" s="5" t="str">
        <f ca="1">IFERROR(__xludf.DUMMYFUNCTION("""COMPUTED_VALUE"""),"Drive-by Shooting")</f>
        <v>Drive-by Shooting</v>
      </c>
      <c r="AB1181" s="5" t="str">
        <f ca="1">IFERROR(__xludf.DUMMYFUNCTION("""COMPUTED_VALUE"""),"Random Shooting")</f>
        <v>Random Shooting</v>
      </c>
      <c r="AC1181" s="5" t="str">
        <f ca="1">IFERROR(__xludf.DUMMYFUNCTION("""COMPUTED_VALUE"""),"Yes")</f>
        <v>Yes</v>
      </c>
      <c r="AD1181" s="5" t="str">
        <f ca="1">IFERROR(__xludf.DUMMYFUNCTION("""COMPUTED_VALUE"""),"No")</f>
        <v>No</v>
      </c>
      <c r="AE1181" s="5" t="str">
        <f ca="1">IFERROR(__xludf.DUMMYFUNCTION("""COMPUTED_VALUE"""),"No")</f>
        <v>No</v>
      </c>
      <c r="AF1181" s="5" t="str">
        <f ca="1">IFERROR(__xludf.DUMMYFUNCTION("""COMPUTED_VALUE"""),"No")</f>
        <v>No</v>
      </c>
      <c r="AG1181" s="5" t="str">
        <f ca="1">IFERROR(__xludf.DUMMYFUNCTION("""COMPUTED_VALUE"""),"No")</f>
        <v>No</v>
      </c>
      <c r="AH1181" s="5" t="str">
        <f ca="1">IFERROR(__xludf.DUMMYFUNCTION("""COMPUTED_VALUE"""),"No")</f>
        <v>No</v>
      </c>
      <c r="AI1181" s="5" t="str">
        <f ca="1">IFERROR(__xludf.DUMMYFUNCTION("""COMPUTED_VALUE"""),"Yes")</f>
        <v>Yes</v>
      </c>
      <c r="AJ1181" s="5"/>
    </row>
    <row r="1182" spans="1:36" ht="13">
      <c r="A1182" s="5" t="str">
        <f ca="1">IFERROR(__xludf.DUMMYFUNCTION("""COMPUTED_VALUE"""),"20140131AZCEP")</f>
        <v>20140131AZCEP</v>
      </c>
      <c r="B1182" s="5">
        <f ca="1">IFERROR(__xludf.DUMMYFUNCTION("""COMPUTED_VALUE"""),1)</f>
        <v>1</v>
      </c>
      <c r="C1182" s="5">
        <f ca="1">IFERROR(__xludf.DUMMYFUNCTION("""COMPUTED_VALUE"""),31)</f>
        <v>31</v>
      </c>
      <c r="D1182" s="5">
        <f ca="1">IFERROR(__xludf.DUMMYFUNCTION("""COMPUTED_VALUE"""),2014)</f>
        <v>2014</v>
      </c>
      <c r="E1182" s="8">
        <f ca="1">IFERROR(__xludf.DUMMYFUNCTION("""COMPUTED_VALUE"""),41670)</f>
        <v>41670</v>
      </c>
      <c r="F1182" s="5" t="str">
        <f ca="1">IFERROR(__xludf.DUMMYFUNCTION("""COMPUTED_VALUE"""),"Cesar Chavez High School")</f>
        <v>Cesar Chavez High School</v>
      </c>
      <c r="G1182" s="5">
        <f ca="1">IFERROR(__xludf.DUMMYFUNCTION("""COMPUTED_VALUE"""),0)</f>
        <v>0</v>
      </c>
      <c r="H1182" s="5">
        <f ca="1">IFERROR(__xludf.DUMMYFUNCTION("""COMPUTED_VALUE"""),0)</f>
        <v>0</v>
      </c>
      <c r="I1182" s="5">
        <f ca="1">IFERROR(__xludf.DUMMYFUNCTION("""COMPUTED_VALUE"""),0)</f>
        <v>0</v>
      </c>
      <c r="J1182" s="5">
        <f ca="1">IFERROR(__xludf.DUMMYFUNCTION("""COMPUTED_VALUE"""),0)</f>
        <v>0</v>
      </c>
      <c r="K1182" s="9" t="str">
        <f ca="1">IFERROR(__xludf.DUMMYFUNCTION("""COMPUTED_VALUE"""),"https://www.azcentral.com/story/news/local/phoenix/2014/04/03/phoenix-police-make-arrests-chavez-high-school-shooting-abrk/7264833/")</f>
        <v>https://www.azcentral.com/story/news/local/phoenix/2014/04/03/phoenix-police-make-arrests-chavez-high-school-shooting-abrk/7264833/</v>
      </c>
      <c r="L1182" s="5">
        <f ca="1">IFERROR(__xludf.DUMMYFUNCTION("""COMPUTED_VALUE"""),5)</f>
        <v>5</v>
      </c>
      <c r="M1182" s="5" t="str">
        <f ca="1">IFERROR(__xludf.DUMMYFUNCTION("""COMPUTED_VALUE"""),"Local")</f>
        <v>Local</v>
      </c>
      <c r="N1182" s="5">
        <f ca="1">IFERROR(__xludf.DUMMYFUNCTION("""COMPUTED_VALUE"""),2)</f>
        <v>2</v>
      </c>
      <c r="O1182" s="5" t="str">
        <f ca="1">IFERROR(__xludf.DUMMYFUNCTION("""COMPUTED_VALUE"""),"Winter")</f>
        <v>Winter</v>
      </c>
      <c r="P1182" s="5" t="str">
        <f ca="1">IFERROR(__xludf.DUMMYFUNCTION("""COMPUTED_VALUE"""),"Phoenix")</f>
        <v>Phoenix</v>
      </c>
      <c r="Q1182" s="5" t="str">
        <f ca="1">IFERROR(__xludf.DUMMYFUNCTION("""COMPUTED_VALUE"""),"AZ")</f>
        <v>AZ</v>
      </c>
      <c r="R1182" s="5" t="str">
        <f ca="1">IFERROR(__xludf.DUMMYFUNCTION("""COMPUTED_VALUE"""),"High")</f>
        <v>High</v>
      </c>
      <c r="S1182" s="5" t="str">
        <f ca="1">IFERROR(__xludf.DUMMYFUNCTION("""COMPUTED_VALUE"""),"Basketball Court")</f>
        <v>Basketball Court</v>
      </c>
      <c r="T1182" s="5" t="str">
        <f ca="1">IFERROR(__xludf.DUMMYFUNCTION("""COMPUTED_VALUE"""),"Outside on School Property")</f>
        <v>Outside on School Property</v>
      </c>
      <c r="U1182" s="5" t="str">
        <f ca="1">IFERROR(__xludf.DUMMYFUNCTION("""COMPUTED_VALUE"""),"No")</f>
        <v>No</v>
      </c>
      <c r="V1182" s="5" t="str">
        <f ca="1">IFERROR(__xludf.DUMMYFUNCTION("""COMPUTED_VALUE"""),"Sport Event")</f>
        <v>Sport Event</v>
      </c>
      <c r="W1182" s="5"/>
      <c r="X1182" s="5"/>
      <c r="Y1182" s="5" t="str">
        <f ca="1">IFERROR(__xludf.DUMMYFUNCTION("""COMPUTED_VALUE"""),"Gang related following basketball game")</f>
        <v>Gang related following basketball game</v>
      </c>
      <c r="Z1182" s="5" t="str">
        <f ca="1">IFERROR(__xludf.DUMMYFUNCTION("""COMPUTED_VALUE"""),"15 shots were fired during fight between rival gang members during basketball game. Nobody was struck by any of the gun fire. 4 suspects were arrested (none were students). Students reported that there had been rumors about a planned fight between the gan"&amp;"gs.")</f>
        <v>15 shots were fired during fight between rival gang members during basketball game. Nobody was struck by any of the gun fire. 4 suspects were arrested (none were students). Students reported that there had been rumors about a planned fight between the gangs.</v>
      </c>
      <c r="AA1182" s="5" t="str">
        <f ca="1">IFERROR(__xludf.DUMMYFUNCTION("""COMPUTED_VALUE"""),"Escalation of Dispute")</f>
        <v>Escalation of Dispute</v>
      </c>
      <c r="AB1182" s="5" t="str">
        <f ca="1">IFERROR(__xludf.DUMMYFUNCTION("""COMPUTED_VALUE"""),"Neither")</f>
        <v>Neither</v>
      </c>
      <c r="AC1182" s="5" t="str">
        <f ca="1">IFERROR(__xludf.DUMMYFUNCTION("""COMPUTED_VALUE"""),"Yes")</f>
        <v>Yes</v>
      </c>
      <c r="AD1182" s="5" t="str">
        <f ca="1">IFERROR(__xludf.DUMMYFUNCTION("""COMPUTED_VALUE"""),"No")</f>
        <v>No</v>
      </c>
      <c r="AE1182" s="5" t="str">
        <f ca="1">IFERROR(__xludf.DUMMYFUNCTION("""COMPUTED_VALUE"""),"No")</f>
        <v>No</v>
      </c>
      <c r="AF1182" s="5" t="str">
        <f ca="1">IFERROR(__xludf.DUMMYFUNCTION("""COMPUTED_VALUE"""),"No")</f>
        <v>No</v>
      </c>
      <c r="AG1182" s="5" t="str">
        <f ca="1">IFERROR(__xludf.DUMMYFUNCTION("""COMPUTED_VALUE"""),"No")</f>
        <v>No</v>
      </c>
      <c r="AH1182" s="5" t="str">
        <f ca="1">IFERROR(__xludf.DUMMYFUNCTION("""COMPUTED_VALUE"""),"No")</f>
        <v>No</v>
      </c>
      <c r="AI1182" s="5" t="str">
        <f ca="1">IFERROR(__xludf.DUMMYFUNCTION("""COMPUTED_VALUE"""),"Yes")</f>
        <v>Yes</v>
      </c>
      <c r="AJ1182" s="5"/>
    </row>
    <row r="1183" spans="1:36" ht="13">
      <c r="A1183" s="5" t="str">
        <f ca="1">IFERROR(__xludf.DUMMYFUNCTION("""COMPUTED_VALUE"""),"20140128HIPRH")</f>
        <v>20140128HIPRH</v>
      </c>
      <c r="B1183" s="5">
        <f ca="1">IFERROR(__xludf.DUMMYFUNCTION("""COMPUTED_VALUE"""),1)</f>
        <v>1</v>
      </c>
      <c r="C1183" s="5">
        <f ca="1">IFERROR(__xludf.DUMMYFUNCTION("""COMPUTED_VALUE"""),28)</f>
        <v>28</v>
      </c>
      <c r="D1183" s="5">
        <f ca="1">IFERROR(__xludf.DUMMYFUNCTION("""COMPUTED_VALUE"""),2014)</f>
        <v>2014</v>
      </c>
      <c r="E1183" s="8">
        <f ca="1">IFERROR(__xludf.DUMMYFUNCTION("""COMPUTED_VALUE"""),41667)</f>
        <v>41667</v>
      </c>
      <c r="F1183" s="5" t="str">
        <f ca="1">IFERROR(__xludf.DUMMYFUNCTION("""COMPUTED_VALUE"""),"President Theodore Roosevelt High")</f>
        <v>President Theodore Roosevelt High</v>
      </c>
      <c r="G1183" s="5">
        <f ca="1">IFERROR(__xludf.DUMMYFUNCTION("""COMPUTED_VALUE"""),0)</f>
        <v>0</v>
      </c>
      <c r="H1183" s="5">
        <f ca="1">IFERROR(__xludf.DUMMYFUNCTION("""COMPUTED_VALUE"""),1)</f>
        <v>1</v>
      </c>
      <c r="I1183" s="5">
        <f ca="1">IFERROR(__xludf.DUMMYFUNCTION("""COMPUTED_VALUE"""),1)</f>
        <v>1</v>
      </c>
      <c r="J1183" s="5">
        <f ca="1">IFERROR(__xludf.DUMMYFUNCTION("""COMPUTED_VALUE"""),0)</f>
        <v>0</v>
      </c>
      <c r="K1183" s="9" t="str">
        <f ca="1">IFERROR(__xludf.DUMMYFUNCTION("""COMPUTED_VALUE"""),"http://articles.chicagotribune.com/keyword/roosevelt-high-school")</f>
        <v>http://articles.chicagotribune.com/keyword/roosevelt-high-school</v>
      </c>
      <c r="L1183" s="5"/>
      <c r="M1183" s="5"/>
      <c r="N1183" s="5">
        <f ca="1">IFERROR(__xludf.DUMMYFUNCTION("""COMPUTED_VALUE"""),2)</f>
        <v>2</v>
      </c>
      <c r="O1183" s="5" t="str">
        <f ca="1">IFERROR(__xludf.DUMMYFUNCTION("""COMPUTED_VALUE"""),"Winter")</f>
        <v>Winter</v>
      </c>
      <c r="P1183" s="5" t="str">
        <f ca="1">IFERROR(__xludf.DUMMYFUNCTION("""COMPUTED_VALUE"""),"Honolulu")</f>
        <v>Honolulu</v>
      </c>
      <c r="Q1183" s="5" t="str">
        <f ca="1">IFERROR(__xludf.DUMMYFUNCTION("""COMPUTED_VALUE"""),"HI")</f>
        <v>HI</v>
      </c>
      <c r="R1183" s="5" t="str">
        <f ca="1">IFERROR(__xludf.DUMMYFUNCTION("""COMPUTED_VALUE"""),"High")</f>
        <v>High</v>
      </c>
      <c r="S1183" s="5" t="str">
        <f ca="1">IFERROR(__xludf.DUMMYFUNCTION("""COMPUTED_VALUE"""),"Office")</f>
        <v>Office</v>
      </c>
      <c r="T1183" s="5" t="str">
        <f ca="1">IFERROR(__xludf.DUMMYFUNCTION("""COMPUTED_VALUE"""),"Inside School Building")</f>
        <v>Inside School Building</v>
      </c>
      <c r="U1183" s="5" t="str">
        <f ca="1">IFERROR(__xludf.DUMMYFUNCTION("""COMPUTED_VALUE"""),"No")</f>
        <v>No</v>
      </c>
      <c r="V1183" s="5" t="str">
        <f ca="1">IFERROR(__xludf.DUMMYFUNCTION("""COMPUTED_VALUE"""),"Not a School Day")</f>
        <v>Not a School Day</v>
      </c>
      <c r="W1183" s="10">
        <f ca="1">IFERROR(__xludf.DUMMYFUNCTION("""COMPUTED_VALUE"""),0.354166666666666)</f>
        <v>0.35416666666666602</v>
      </c>
      <c r="X1183" s="5">
        <f ca="1">IFERROR(__xludf.DUMMYFUNCTION("""COMPUTED_VALUE"""),1)</f>
        <v>1</v>
      </c>
      <c r="Y1183" s="5" t="str">
        <f ca="1">IFERROR(__xludf.DUMMYFUNCTION("""COMPUTED_VALUE"""),"Officers fired a disorderly student")</f>
        <v>Officers fired a disorderly student</v>
      </c>
      <c r="Z1183" s="5" t="str">
        <f ca="1">IFERROR(__xludf.DUMMYFUNCTION("""COMPUTED_VALUE"""),"School administrators called police because the student became disorderly while trying to register. 3 officers arrived on scene, suspect punched two of the officers and started slashing a third with a kitchen knife. One officer fired two shots, hitting th"&amp;"e teen in the arm. Suspect had a long juvenile record, mental illness, and had run away numerous times from home and institutions.")</f>
        <v>School administrators called police because the student became disorderly while trying to register. 3 officers arrived on scene, suspect punched two of the officers and started slashing a third with a kitchen knife. One officer fired two shots, hitting the teen in the arm. Suspect had a long juvenile record, mental illness, and had run away numerous times from home and institutions.</v>
      </c>
      <c r="AA1183" s="5" t="str">
        <f ca="1">IFERROR(__xludf.DUMMYFUNCTION("""COMPUTED_VALUE"""),"Illegal Activity")</f>
        <v>Illegal Activity</v>
      </c>
      <c r="AB1183" s="5" t="str">
        <f ca="1">IFERROR(__xludf.DUMMYFUNCTION("""COMPUTED_VALUE"""),"Victims Targeted")</f>
        <v>Victims Targeted</v>
      </c>
      <c r="AC1183" s="5" t="str">
        <f ca="1">IFERROR(__xludf.DUMMYFUNCTION("""COMPUTED_VALUE"""),"No")</f>
        <v>No</v>
      </c>
      <c r="AD1183" s="5" t="str">
        <f ca="1">IFERROR(__xludf.DUMMYFUNCTION("""COMPUTED_VALUE"""),"No")</f>
        <v>No</v>
      </c>
      <c r="AE1183" s="5" t="str">
        <f ca="1">IFERROR(__xludf.DUMMYFUNCTION("""COMPUTED_VALUE"""),"No")</f>
        <v>No</v>
      </c>
      <c r="AF1183" s="5" t="str">
        <f ca="1">IFERROR(__xludf.DUMMYFUNCTION("""COMPUTED_VALUE"""),"Yes")</f>
        <v>Yes</v>
      </c>
      <c r="AG1183" s="5" t="str">
        <f ca="1">IFERROR(__xludf.DUMMYFUNCTION("""COMPUTED_VALUE"""),"N/A")</f>
        <v>N/A</v>
      </c>
      <c r="AH1183" s="5" t="str">
        <f ca="1">IFERROR(__xludf.DUMMYFUNCTION("""COMPUTED_VALUE"""),"N/A")</f>
        <v>N/A</v>
      </c>
      <c r="AI1183" s="5" t="str">
        <f ca="1">IFERROR(__xludf.DUMMYFUNCTION("""COMPUTED_VALUE"""),"N/A")</f>
        <v>N/A</v>
      </c>
      <c r="AJ1183" s="5" t="str">
        <f ca="1">IFERROR(__xludf.DUMMYFUNCTION("""COMPUTED_VALUE"""),"N/A")</f>
        <v>N/A</v>
      </c>
    </row>
    <row r="1184" spans="1:36" ht="13">
      <c r="A1184" s="5" t="str">
        <f ca="1">IFERROR(__xludf.DUMMYFUNCTION("""COMPUTED_VALUE"""),"20140127ILREC")</f>
        <v>20140127ILREC</v>
      </c>
      <c r="B1184" s="5">
        <f ca="1">IFERROR(__xludf.DUMMYFUNCTION("""COMPUTED_VALUE"""),1)</f>
        <v>1</v>
      </c>
      <c r="C1184" s="5">
        <f ca="1">IFERROR(__xludf.DUMMYFUNCTION("""COMPUTED_VALUE"""),27)</f>
        <v>27</v>
      </c>
      <c r="D1184" s="5">
        <f ca="1">IFERROR(__xludf.DUMMYFUNCTION("""COMPUTED_VALUE"""),2014)</f>
        <v>2014</v>
      </c>
      <c r="E1184" s="8">
        <f ca="1">IFERROR(__xludf.DUMMYFUNCTION("""COMPUTED_VALUE"""),41666)</f>
        <v>41666</v>
      </c>
      <c r="F1184" s="5" t="str">
        <f ca="1">IFERROR(__xludf.DUMMYFUNCTION("""COMPUTED_VALUE"""),"Rebound High School")</f>
        <v>Rebound High School</v>
      </c>
      <c r="G1184" s="5">
        <f ca="1">IFERROR(__xludf.DUMMYFUNCTION("""COMPUTED_VALUE"""),0)</f>
        <v>0</v>
      </c>
      <c r="H1184" s="5">
        <f ca="1">IFERROR(__xludf.DUMMYFUNCTION("""COMPUTED_VALUE"""),1)</f>
        <v>1</v>
      </c>
      <c r="I1184" s="5">
        <f ca="1">IFERROR(__xludf.DUMMYFUNCTION("""COMPUTED_VALUE"""),1)</f>
        <v>1</v>
      </c>
      <c r="J1184" s="5">
        <f ca="1">IFERROR(__xludf.DUMMYFUNCTION("""COMPUTED_VALUE"""),0)</f>
        <v>0</v>
      </c>
      <c r="K1184" s="9" t="str">
        <f ca="1">IFERROR(__xludf.DUMMYFUNCTION("""COMPUTED_VALUE"""),"http://www.kfvs12.com/story/24557239/1-injured-in-shooting-on-carbondale-school-parking-lot")</f>
        <v>http://www.kfvs12.com/story/24557239/1-injured-in-shooting-on-carbondale-school-parking-lot</v>
      </c>
      <c r="L1184" s="5">
        <f ca="1">IFERROR(__xludf.DUMMYFUNCTION("""COMPUTED_VALUE"""),1)</f>
        <v>1</v>
      </c>
      <c r="M1184" s="5" t="str">
        <f ca="1">IFERROR(__xludf.DUMMYFUNCTION("""COMPUTED_VALUE"""),"Local")</f>
        <v>Local</v>
      </c>
      <c r="N1184" s="5">
        <f ca="1">IFERROR(__xludf.DUMMYFUNCTION("""COMPUTED_VALUE"""),2)</f>
        <v>2</v>
      </c>
      <c r="O1184" s="5" t="str">
        <f ca="1">IFERROR(__xludf.DUMMYFUNCTION("""COMPUTED_VALUE"""),"Winter")</f>
        <v>Winter</v>
      </c>
      <c r="P1184" s="5" t="str">
        <f ca="1">IFERROR(__xludf.DUMMYFUNCTION("""COMPUTED_VALUE"""),"Carbondale")</f>
        <v>Carbondale</v>
      </c>
      <c r="Q1184" s="5" t="str">
        <f ca="1">IFERROR(__xludf.DUMMYFUNCTION("""COMPUTED_VALUE"""),"IL")</f>
        <v>IL</v>
      </c>
      <c r="R1184" s="5" t="str">
        <f ca="1">IFERROR(__xludf.DUMMYFUNCTION("""COMPUTED_VALUE"""),"High")</f>
        <v>High</v>
      </c>
      <c r="S1184" s="5" t="str">
        <f ca="1">IFERROR(__xludf.DUMMYFUNCTION("""COMPUTED_VALUE"""),"Parking Lot")</f>
        <v>Parking Lot</v>
      </c>
      <c r="T1184" s="5" t="str">
        <f ca="1">IFERROR(__xludf.DUMMYFUNCTION("""COMPUTED_VALUE"""),"Outside on School Property")</f>
        <v>Outside on School Property</v>
      </c>
      <c r="U1184" s="5" t="str">
        <f ca="1">IFERROR(__xludf.DUMMYFUNCTION("""COMPUTED_VALUE"""),"Yes")</f>
        <v>Yes</v>
      </c>
      <c r="V1184" s="5" t="str">
        <f ca="1">IFERROR(__xludf.DUMMYFUNCTION("""COMPUTED_VALUE"""),"Lunch")</f>
        <v>Lunch</v>
      </c>
      <c r="W1184" s="10">
        <f ca="1">IFERROR(__xludf.DUMMYFUNCTION("""COMPUTED_VALUE"""),0.5)</f>
        <v>0.5</v>
      </c>
      <c r="X1184" s="5">
        <f ca="1">IFERROR(__xludf.DUMMYFUNCTION("""COMPUTED_VALUE"""),1)</f>
        <v>1</v>
      </c>
      <c r="Y1184" s="5" t="str">
        <f ca="1">IFERROR(__xludf.DUMMYFUNCTION("""COMPUTED_VALUE"""),"Argument at lunch in parking lot")</f>
        <v>Argument at lunch in parking lot</v>
      </c>
      <c r="Z1184" s="5" t="str">
        <f ca="1">IFERROR(__xludf.DUMMYFUNCTION("""COMPUTED_VALUE"""),"Argument occurred in the school parking lot during lunch. The shooter pulled a handgun and fired striking the father of another student. The high school is for students 16 or older who have dropped out of other schools to get a diploma or GED.")</f>
        <v>Argument occurred in the school parking lot during lunch. The shooter pulled a handgun and fired striking the father of another student. The high school is for students 16 or older who have dropped out of other schools to get a diploma or GED.</v>
      </c>
      <c r="AA1184" s="5" t="str">
        <f ca="1">IFERROR(__xludf.DUMMYFUNCTION("""COMPUTED_VALUE"""),"Escalation of Dispute")</f>
        <v>Escalation of Dispute</v>
      </c>
      <c r="AB1184" s="5" t="str">
        <f ca="1">IFERROR(__xludf.DUMMYFUNCTION("""COMPUTED_VALUE"""),"Victims Targeted")</f>
        <v>Victims Targeted</v>
      </c>
      <c r="AC1184" s="5" t="str">
        <f ca="1">IFERROR(__xludf.DUMMYFUNCTION("""COMPUTED_VALUE"""),"Yes")</f>
        <v>Yes</v>
      </c>
      <c r="AD1184" s="5" t="str">
        <f ca="1">IFERROR(__xludf.DUMMYFUNCTION("""COMPUTED_VALUE"""),"No")</f>
        <v>No</v>
      </c>
      <c r="AE1184" s="5" t="str">
        <f ca="1">IFERROR(__xludf.DUMMYFUNCTION("""COMPUTED_VALUE"""),"No")</f>
        <v>No</v>
      </c>
      <c r="AF1184" s="5" t="str">
        <f ca="1">IFERROR(__xludf.DUMMYFUNCTION("""COMPUTED_VALUE"""),"No")</f>
        <v>No</v>
      </c>
      <c r="AG1184" s="5"/>
      <c r="AH1184" s="5" t="str">
        <f ca="1">IFERROR(__xludf.DUMMYFUNCTION("""COMPUTED_VALUE"""),"No")</f>
        <v>No</v>
      </c>
      <c r="AI1184" s="5" t="str">
        <f ca="1">IFERROR(__xludf.DUMMYFUNCTION("""COMPUTED_VALUE"""),"No")</f>
        <v>No</v>
      </c>
      <c r="AJ1184" s="5"/>
    </row>
    <row r="1185" spans="1:36" ht="13">
      <c r="A1185" s="5" t="str">
        <f ca="1">IFERROR(__xludf.DUMMYFUNCTION("""COMPUTED_VALUE"""),"20140117PADEP")</f>
        <v>20140117PADEP</v>
      </c>
      <c r="B1185" s="5">
        <f ca="1">IFERROR(__xludf.DUMMYFUNCTION("""COMPUTED_VALUE"""),1)</f>
        <v>1</v>
      </c>
      <c r="C1185" s="5">
        <f ca="1">IFERROR(__xludf.DUMMYFUNCTION("""COMPUTED_VALUE"""),17)</f>
        <v>17</v>
      </c>
      <c r="D1185" s="5">
        <f ca="1">IFERROR(__xludf.DUMMYFUNCTION("""COMPUTED_VALUE"""),2014)</f>
        <v>2014</v>
      </c>
      <c r="E1185" s="8">
        <f ca="1">IFERROR(__xludf.DUMMYFUNCTION("""COMPUTED_VALUE"""),41656)</f>
        <v>41656</v>
      </c>
      <c r="F1185" s="5" t="str">
        <f ca="1">IFERROR(__xludf.DUMMYFUNCTION("""COMPUTED_VALUE"""),"Delaware Valley Charter School")</f>
        <v>Delaware Valley Charter School</v>
      </c>
      <c r="G1185" s="5">
        <f ca="1">IFERROR(__xludf.DUMMYFUNCTION("""COMPUTED_VALUE"""),0)</f>
        <v>0</v>
      </c>
      <c r="H1185" s="5">
        <f ca="1">IFERROR(__xludf.DUMMYFUNCTION("""COMPUTED_VALUE"""),2)</f>
        <v>2</v>
      </c>
      <c r="I1185" s="5">
        <f ca="1">IFERROR(__xludf.DUMMYFUNCTION("""COMPUTED_VALUE"""),2)</f>
        <v>2</v>
      </c>
      <c r="J1185" s="5">
        <f ca="1">IFERROR(__xludf.DUMMYFUNCTION("""COMPUTED_VALUE"""),0)</f>
        <v>0</v>
      </c>
      <c r="K1185" s="9" t="str">
        <f ca="1">IFERROR(__xludf.DUMMYFUNCTION("""COMPUTED_VALUE"""),"http://www.philly.com/philly/news/2nd_teen_charged_in_Delaware_Valley_Charter_High_School_shooting.html")</f>
        <v>http://www.philly.com/philly/news/2nd_teen_charged_in_Delaware_Valley_Charter_High_School_shooting.html</v>
      </c>
      <c r="L1185" s="5"/>
      <c r="M1185" s="5"/>
      <c r="N1185" s="5">
        <f ca="1">IFERROR(__xludf.DUMMYFUNCTION("""COMPUTED_VALUE"""),2)</f>
        <v>2</v>
      </c>
      <c r="O1185" s="5" t="str">
        <f ca="1">IFERROR(__xludf.DUMMYFUNCTION("""COMPUTED_VALUE"""),"Winter")</f>
        <v>Winter</v>
      </c>
      <c r="P1185" s="5" t="str">
        <f ca="1">IFERROR(__xludf.DUMMYFUNCTION("""COMPUTED_VALUE"""),"Philadelphia")</f>
        <v>Philadelphia</v>
      </c>
      <c r="Q1185" s="5" t="str">
        <f ca="1">IFERROR(__xludf.DUMMYFUNCTION("""COMPUTED_VALUE"""),"PA")</f>
        <v>PA</v>
      </c>
      <c r="R1185" s="5" t="str">
        <f ca="1">IFERROR(__xludf.DUMMYFUNCTION("""COMPUTED_VALUE"""),"High")</f>
        <v>High</v>
      </c>
      <c r="S1185" s="5" t="str">
        <f ca="1">IFERROR(__xludf.DUMMYFUNCTION("""COMPUTED_VALUE"""),"Gym")</f>
        <v>Gym</v>
      </c>
      <c r="T1185" s="5" t="str">
        <f ca="1">IFERROR(__xludf.DUMMYFUNCTION("""COMPUTED_VALUE"""),"Inside School Building")</f>
        <v>Inside School Building</v>
      </c>
      <c r="U1185" s="5" t="str">
        <f ca="1">IFERROR(__xludf.DUMMYFUNCTION("""COMPUTED_VALUE"""),"No")</f>
        <v>No</v>
      </c>
      <c r="V1185" s="5" t="str">
        <f ca="1">IFERROR(__xludf.DUMMYFUNCTION("""COMPUTED_VALUE"""),"Sport Event")</f>
        <v>Sport Event</v>
      </c>
      <c r="W1185" s="10">
        <f ca="1">IFERROR(__xludf.DUMMYFUNCTION("""COMPUTED_VALUE"""),0.645833333333333)</f>
        <v>0.64583333333333304</v>
      </c>
      <c r="X1185" s="5">
        <f ca="1">IFERROR(__xludf.DUMMYFUNCTION("""COMPUTED_VALUE"""),1)</f>
        <v>1</v>
      </c>
      <c r="Y1185" s="5" t="str">
        <f ca="1">IFERROR(__xludf.DUMMYFUNCTION("""COMPUTED_VALUE"""),"Fight during afternoon basketball game")</f>
        <v>Fight during afternoon basketball game</v>
      </c>
      <c r="Z1185" s="5" t="str">
        <f ca="1">IFERROR(__xludf.DUMMYFUNCTION("""COMPUTED_VALUE"""),"Fight broke out during an after school basketball game in the school gym. The shooter pulled a handgun and fired multiple shots causing minor injuries to 2 students. Shooter fled the scene after the shooting.")</f>
        <v>Fight broke out during an after school basketball game in the school gym. The shooter pulled a handgun and fired multiple shots causing minor injuries to 2 students. Shooter fled the scene after the shooting.</v>
      </c>
      <c r="AA1185" s="5" t="str">
        <f ca="1">IFERROR(__xludf.DUMMYFUNCTION("""COMPUTED_VALUE"""),"Escalation of Dispute")</f>
        <v>Escalation of Dispute</v>
      </c>
      <c r="AB1185" s="5" t="str">
        <f ca="1">IFERROR(__xludf.DUMMYFUNCTION("""COMPUTED_VALUE"""),"Both")</f>
        <v>Both</v>
      </c>
      <c r="AC1185" s="5" t="str">
        <f ca="1">IFERROR(__xludf.DUMMYFUNCTION("""COMPUTED_VALUE"""),"No")</f>
        <v>No</v>
      </c>
      <c r="AD1185" s="5" t="str">
        <f ca="1">IFERROR(__xludf.DUMMYFUNCTION("""COMPUTED_VALUE"""),"No")</f>
        <v>No</v>
      </c>
      <c r="AE1185" s="5" t="str">
        <f ca="1">IFERROR(__xludf.DUMMYFUNCTION("""COMPUTED_VALUE"""),"No")</f>
        <v>No</v>
      </c>
      <c r="AF1185" s="5" t="str">
        <f ca="1">IFERROR(__xludf.DUMMYFUNCTION("""COMPUTED_VALUE"""),"No")</f>
        <v>No</v>
      </c>
      <c r="AG1185" s="5" t="str">
        <f ca="1">IFERROR(__xludf.DUMMYFUNCTION("""COMPUTED_VALUE"""),"No")</f>
        <v>No</v>
      </c>
      <c r="AH1185" s="5" t="str">
        <f ca="1">IFERROR(__xludf.DUMMYFUNCTION("""COMPUTED_VALUE"""),"No")</f>
        <v>No</v>
      </c>
      <c r="AI1185" s="5" t="str">
        <f ca="1">IFERROR(__xludf.DUMMYFUNCTION("""COMPUTED_VALUE"""),"No")</f>
        <v>No</v>
      </c>
      <c r="AJ1185" s="5"/>
    </row>
    <row r="1186" spans="1:36" ht="13">
      <c r="A1186" s="5" t="str">
        <f ca="1">IFERROR(__xludf.DUMMYFUNCTION("""COMPUTED_VALUE"""),"20140114PAKIL")</f>
        <v>20140114PAKIL</v>
      </c>
      <c r="B1186" s="5">
        <f ca="1">IFERROR(__xludf.DUMMYFUNCTION("""COMPUTED_VALUE"""),1)</f>
        <v>1</v>
      </c>
      <c r="C1186" s="5">
        <f ca="1">IFERROR(__xludf.DUMMYFUNCTION("""COMPUTED_VALUE"""),14)</f>
        <v>14</v>
      </c>
      <c r="D1186" s="5">
        <f ca="1">IFERROR(__xludf.DUMMYFUNCTION("""COMPUTED_VALUE"""),2014)</f>
        <v>2014</v>
      </c>
      <c r="E1186" s="8">
        <f ca="1">IFERROR(__xludf.DUMMYFUNCTION("""COMPUTED_VALUE"""),41653)</f>
        <v>41653</v>
      </c>
      <c r="F1186" s="5" t="str">
        <f ca="1">IFERROR(__xludf.DUMMYFUNCTION("""COMPUTED_VALUE"""),"King Elementary School")</f>
        <v>King Elementary School</v>
      </c>
      <c r="G1186" s="5">
        <f ca="1">IFERROR(__xludf.DUMMYFUNCTION("""COMPUTED_VALUE"""),0)</f>
        <v>0</v>
      </c>
      <c r="H1186" s="5">
        <f ca="1">IFERROR(__xludf.DUMMYFUNCTION("""COMPUTED_VALUE"""),0)</f>
        <v>0</v>
      </c>
      <c r="I1186" s="5">
        <f ca="1">IFERROR(__xludf.DUMMYFUNCTION("""COMPUTED_VALUE"""),0)</f>
        <v>0</v>
      </c>
      <c r="J1186" s="5">
        <f ca="1">IFERROR(__xludf.DUMMYFUNCTION("""COMPUTED_VALUE"""),0)</f>
        <v>0</v>
      </c>
      <c r="K1186" s="9" t="str">
        <f ca="1">IFERROR(__xludf.DUMMYFUNCTION("""COMPUTED_VALUE"""),"https://www.wgal.com/article/police-shot-fired-at-elementary-school-playground/6229898")</f>
        <v>https://www.wgal.com/article/police-shot-fired-at-elementary-school-playground/6229898</v>
      </c>
      <c r="L1186" s="5">
        <f ca="1">IFERROR(__xludf.DUMMYFUNCTION("""COMPUTED_VALUE"""),1)</f>
        <v>1</v>
      </c>
      <c r="M1186" s="5" t="str">
        <f ca="1">IFERROR(__xludf.DUMMYFUNCTION("""COMPUTED_VALUE"""),"Local")</f>
        <v>Local</v>
      </c>
      <c r="N1186" s="5">
        <f ca="1">IFERROR(__xludf.DUMMYFUNCTION("""COMPUTED_VALUE"""),2)</f>
        <v>2</v>
      </c>
      <c r="O1186" s="5" t="str">
        <f ca="1">IFERROR(__xludf.DUMMYFUNCTION("""COMPUTED_VALUE"""),"Winter")</f>
        <v>Winter</v>
      </c>
      <c r="P1186" s="5" t="str">
        <f ca="1">IFERROR(__xludf.DUMMYFUNCTION("""COMPUTED_VALUE"""),"Lancaster")</f>
        <v>Lancaster</v>
      </c>
      <c r="Q1186" s="5" t="str">
        <f ca="1">IFERROR(__xludf.DUMMYFUNCTION("""COMPUTED_VALUE"""),"PA")</f>
        <v>PA</v>
      </c>
      <c r="R1186" s="5" t="str">
        <f ca="1">IFERROR(__xludf.DUMMYFUNCTION("""COMPUTED_VALUE"""),"Elementary")</f>
        <v>Elementary</v>
      </c>
      <c r="S1186" s="5" t="str">
        <f ca="1">IFERROR(__xludf.DUMMYFUNCTION("""COMPUTED_VALUE"""),"Playground")</f>
        <v>Playground</v>
      </c>
      <c r="T1186" s="5" t="str">
        <f ca="1">IFERROR(__xludf.DUMMYFUNCTION("""COMPUTED_VALUE"""),"Outside on School Property")</f>
        <v>Outside on School Property</v>
      </c>
      <c r="U1186" s="5" t="str">
        <f ca="1">IFERROR(__xludf.DUMMYFUNCTION("""COMPUTED_VALUE"""),"Yes")</f>
        <v>Yes</v>
      </c>
      <c r="V1186" s="5" t="str">
        <f ca="1">IFERROR(__xludf.DUMMYFUNCTION("""COMPUTED_VALUE"""),"Afternoon Classes")</f>
        <v>Afternoon Classes</v>
      </c>
      <c r="W1186" s="10">
        <f ca="1">IFERROR(__xludf.DUMMYFUNCTION("""COMPUTED_VALUE"""),0.616666666666666)</f>
        <v>0.61666666666666603</v>
      </c>
      <c r="X1186" s="5">
        <f ca="1">IFERROR(__xludf.DUMMYFUNCTION("""COMPUTED_VALUE"""),1)</f>
        <v>1</v>
      </c>
      <c r="Y1186" s="5" t="str">
        <f ca="1">IFERROR(__xludf.DUMMYFUNCTION("""COMPUTED_VALUE"""),"Shot fired on school playground")</f>
        <v>Shot fired on school playground</v>
      </c>
      <c r="Z1186" s="5" t="str">
        <f ca="1">IFERROR(__xludf.DUMMYFUNCTION("""COMPUTED_VALUE"""),"Two men fled the playground area of the school after one fired a single shot from a handgun. Police found 1 shell casing. No one was hurt and the property was not damaged.")</f>
        <v>Two men fled the playground area of the school after one fired a single shot from a handgun. Police found 1 shell casing. No one was hurt and the property was not damaged.</v>
      </c>
      <c r="AA1186" s="5" t="str">
        <f ca="1">IFERROR(__xludf.DUMMYFUNCTION("""COMPUTED_VALUE"""),"Unknown")</f>
        <v>Unknown</v>
      </c>
      <c r="AB1186" s="5"/>
      <c r="AC1186" s="5" t="str">
        <f ca="1">IFERROR(__xludf.DUMMYFUNCTION("""COMPUTED_VALUE"""),"No")</f>
        <v>No</v>
      </c>
      <c r="AD1186" s="5" t="str">
        <f ca="1">IFERROR(__xludf.DUMMYFUNCTION("""COMPUTED_VALUE"""),"No")</f>
        <v>No</v>
      </c>
      <c r="AE1186" s="5" t="str">
        <f ca="1">IFERROR(__xludf.DUMMYFUNCTION("""COMPUTED_VALUE"""),"No")</f>
        <v>No</v>
      </c>
      <c r="AF1186" s="5" t="str">
        <f ca="1">IFERROR(__xludf.DUMMYFUNCTION("""COMPUTED_VALUE"""),"No")</f>
        <v>No</v>
      </c>
      <c r="AG1186" s="5" t="str">
        <f ca="1">IFERROR(__xludf.DUMMYFUNCTION("""COMPUTED_VALUE"""),"N/A")</f>
        <v>N/A</v>
      </c>
      <c r="AH1186" s="5" t="str">
        <f ca="1">IFERROR(__xludf.DUMMYFUNCTION("""COMPUTED_VALUE"""),"No")</f>
        <v>No</v>
      </c>
      <c r="AI1186" s="5"/>
      <c r="AJ1186" s="5"/>
    </row>
    <row r="1187" spans="1:36" ht="13">
      <c r="A1187" s="5" t="str">
        <f ca="1">IFERROR(__xludf.DUMMYFUNCTION("""COMPUTED_VALUE"""),"20140114NMBER")</f>
        <v>20140114NMBER</v>
      </c>
      <c r="B1187" s="5">
        <f ca="1">IFERROR(__xludf.DUMMYFUNCTION("""COMPUTED_VALUE"""),1)</f>
        <v>1</v>
      </c>
      <c r="C1187" s="5">
        <f ca="1">IFERROR(__xludf.DUMMYFUNCTION("""COMPUTED_VALUE"""),14)</f>
        <v>14</v>
      </c>
      <c r="D1187" s="5">
        <f ca="1">IFERROR(__xludf.DUMMYFUNCTION("""COMPUTED_VALUE"""),2014)</f>
        <v>2014</v>
      </c>
      <c r="E1187" s="8">
        <f ca="1">IFERROR(__xludf.DUMMYFUNCTION("""COMPUTED_VALUE"""),41653)</f>
        <v>41653</v>
      </c>
      <c r="F1187" s="5" t="str">
        <f ca="1">IFERROR(__xludf.DUMMYFUNCTION("""COMPUTED_VALUE"""),"Berrendo Middle School")</f>
        <v>Berrendo Middle School</v>
      </c>
      <c r="G1187" s="5">
        <f ca="1">IFERROR(__xludf.DUMMYFUNCTION("""COMPUTED_VALUE"""),0)</f>
        <v>0</v>
      </c>
      <c r="H1187" s="5">
        <f ca="1">IFERROR(__xludf.DUMMYFUNCTION("""COMPUTED_VALUE"""),2)</f>
        <v>2</v>
      </c>
      <c r="I1187" s="5">
        <f ca="1">IFERROR(__xludf.DUMMYFUNCTION("""COMPUTED_VALUE"""),2)</f>
        <v>2</v>
      </c>
      <c r="J1187" s="5">
        <f ca="1">IFERROR(__xludf.DUMMYFUNCTION("""COMPUTED_VALUE"""),0)</f>
        <v>0</v>
      </c>
      <c r="K1187" s="5" t="str">
        <f ca="1">IFERROR(__xludf.DUMMYFUNCTION("""COMPUTED_VALUE"""),"https://www.kcbd.com/2021/10/15/survivor-roswell-school-shooting-urges-adults-teach-kids-gun-safety/ https://www.cnn.com/2014/01/15/justice/new-mexico-school-shooting/ https://www.fbi.gov/file-repository/active-shooter-incidents-2000-2017.pdf")</f>
        <v>https://www.kcbd.com/2021/10/15/survivor-roswell-school-shooting-urges-adults-teach-kids-gun-safety/ https://www.cnn.com/2014/01/15/justice/new-mexico-school-shooting/ https://www.fbi.gov/file-repository/active-shooter-incidents-2000-2017.pdf</v>
      </c>
      <c r="L1187" s="5">
        <f ca="1">IFERROR(__xludf.DUMMYFUNCTION("""COMPUTED_VALUE"""),11)</f>
        <v>11</v>
      </c>
      <c r="M1187" s="5" t="str">
        <f ca="1">IFERROR(__xludf.DUMMYFUNCTION("""COMPUTED_VALUE"""),"National")</f>
        <v>National</v>
      </c>
      <c r="N1187" s="5">
        <f ca="1">IFERROR(__xludf.DUMMYFUNCTION("""COMPUTED_VALUE"""),5)</f>
        <v>5</v>
      </c>
      <c r="O1187" s="5" t="str">
        <f ca="1">IFERROR(__xludf.DUMMYFUNCTION("""COMPUTED_VALUE"""),"Winter")</f>
        <v>Winter</v>
      </c>
      <c r="P1187" s="5" t="str">
        <f ca="1">IFERROR(__xludf.DUMMYFUNCTION("""COMPUTED_VALUE"""),"Roswell")</f>
        <v>Roswell</v>
      </c>
      <c r="Q1187" s="5" t="str">
        <f ca="1">IFERROR(__xludf.DUMMYFUNCTION("""COMPUTED_VALUE"""),"NM")</f>
        <v>NM</v>
      </c>
      <c r="R1187" s="5" t="str">
        <f ca="1">IFERROR(__xludf.DUMMYFUNCTION("""COMPUTED_VALUE"""),"Middle")</f>
        <v>Middle</v>
      </c>
      <c r="S1187" s="5" t="str">
        <f ca="1">IFERROR(__xludf.DUMMYFUNCTION("""COMPUTED_VALUE"""),"Gym")</f>
        <v>Gym</v>
      </c>
      <c r="T1187" s="5" t="str">
        <f ca="1">IFERROR(__xludf.DUMMYFUNCTION("""COMPUTED_VALUE"""),"Inside School Building")</f>
        <v>Inside School Building</v>
      </c>
      <c r="U1187" s="5" t="str">
        <f ca="1">IFERROR(__xludf.DUMMYFUNCTION("""COMPUTED_VALUE"""),"Yes")</f>
        <v>Yes</v>
      </c>
      <c r="V1187" s="5" t="str">
        <f ca="1">IFERROR(__xludf.DUMMYFUNCTION("""COMPUTED_VALUE"""),"Before School")</f>
        <v>Before School</v>
      </c>
      <c r="W1187" s="10">
        <f ca="1">IFERROR(__xludf.DUMMYFUNCTION("""COMPUTED_VALUE"""),0.3125)</f>
        <v>0.3125</v>
      </c>
      <c r="X1187" s="5">
        <f ca="1">IFERROR(__xludf.DUMMYFUNCTION("""COMPUTED_VALUE"""),1)</f>
        <v>1</v>
      </c>
      <c r="Y1187" s="5" t="str">
        <f ca="1">IFERROR(__xludf.DUMMYFUNCTION("""COMPUTED_VALUE"""),"Planned attack at school due to bullying")</f>
        <v>Planned attack at school due to bullying</v>
      </c>
      <c r="Z1187" s="5" t="str">
        <f ca="1">IFERROR(__xludf.DUMMYFUNCTION("""COMPUTED_VALUE"""),"Shooter sawed off shotgun barrel so it would fit in his backpack. Told furniture store owner he was going to be an advocate against bullying by shooting other students. Warned other students to stay away from the gym prior to the shooting. Wrote detailed "&amp;"journal entries about planning shooting including note to family, wanted revenge against a bully; considered using a handgun and a knife; expected to go to jail. There were 3 shells in the shotgun, shooter fired once at the ceiling, once at the floor, and"&amp;" once at the students. A teacher told him to put the gun down and shooter surrendered. An off-duty police officer who happened to be dropping his son off at school ran to help. Shotgun belonged to father.")</f>
        <v>Shooter sawed off shotgun barrel so it would fit in his backpack. Told furniture store owner he was going to be an advocate against bullying by shooting other students. Warned other students to stay away from the gym prior to the shooting. Wrote detailed journal entries about planning shooting including note to family, wanted revenge against a bully; considered using a handgun and a knife; expected to go to jail. There were 3 shells in the shotgun, shooter fired once at the ceiling, once at the floor, and once at the students. A teacher told him to put the gun down and shooter surrendered. An off-duty police officer who happened to be dropping his son off at school ran to help. Shotgun belonged to father.</v>
      </c>
      <c r="AA1187" s="5" t="str">
        <f ca="1">IFERROR(__xludf.DUMMYFUNCTION("""COMPUTED_VALUE"""),"Bullying")</f>
        <v>Bullying</v>
      </c>
      <c r="AB1187" s="5" t="str">
        <f ca="1">IFERROR(__xludf.DUMMYFUNCTION("""COMPUTED_VALUE"""),"Random Shooting")</f>
        <v>Random Shooting</v>
      </c>
      <c r="AC1187" s="5" t="str">
        <f ca="1">IFERROR(__xludf.DUMMYFUNCTION("""COMPUTED_VALUE"""),"No")</f>
        <v>No</v>
      </c>
      <c r="AD1187" s="5" t="str">
        <f ca="1">IFERROR(__xludf.DUMMYFUNCTION("""COMPUTED_VALUE"""),"No")</f>
        <v>No</v>
      </c>
      <c r="AE1187" s="5" t="str">
        <f ca="1">IFERROR(__xludf.DUMMYFUNCTION("""COMPUTED_VALUE"""),"No")</f>
        <v>No</v>
      </c>
      <c r="AF1187" s="5" t="str">
        <f ca="1">IFERROR(__xludf.DUMMYFUNCTION("""COMPUTED_VALUE"""),"No")</f>
        <v>No</v>
      </c>
      <c r="AG1187" s="5" t="str">
        <f ca="1">IFERROR(__xludf.DUMMYFUNCTION("""COMPUTED_VALUE"""),"Yes")</f>
        <v>Yes</v>
      </c>
      <c r="AH1187" s="5" t="str">
        <f ca="1">IFERROR(__xludf.DUMMYFUNCTION("""COMPUTED_VALUE"""),"No")</f>
        <v>No</v>
      </c>
      <c r="AI1187" s="5" t="str">
        <f ca="1">IFERROR(__xludf.DUMMYFUNCTION("""COMPUTED_VALUE"""),"No")</f>
        <v>No</v>
      </c>
      <c r="AJ1187" s="5" t="str">
        <f ca="1">IFERROR(__xludf.DUMMYFUNCTION("""COMPUTED_VALUE"""),"Yes")</f>
        <v>Yes</v>
      </c>
    </row>
    <row r="1188" spans="1:36" ht="13">
      <c r="A1188" s="5" t="str">
        <f ca="1">IFERROR(__xludf.DUMMYFUNCTION("""COMPUTED_VALUE"""),"20140114LASTB")</f>
        <v>20140114LASTB</v>
      </c>
      <c r="B1188" s="5">
        <f ca="1">IFERROR(__xludf.DUMMYFUNCTION("""COMPUTED_VALUE"""),1)</f>
        <v>1</v>
      </c>
      <c r="C1188" s="5">
        <f ca="1">IFERROR(__xludf.DUMMYFUNCTION("""COMPUTED_VALUE"""),14)</f>
        <v>14</v>
      </c>
      <c r="D1188" s="5">
        <f ca="1">IFERROR(__xludf.DUMMYFUNCTION("""COMPUTED_VALUE"""),2014)</f>
        <v>2014</v>
      </c>
      <c r="E1188" s="8">
        <f ca="1">IFERROR(__xludf.DUMMYFUNCTION("""COMPUTED_VALUE"""),41653)</f>
        <v>41653</v>
      </c>
      <c r="F1188" s="5" t="str">
        <f ca="1">IFERROR(__xludf.DUMMYFUNCTION("""COMPUTED_VALUE"""),"St. James High School")</f>
        <v>St. James High School</v>
      </c>
      <c r="G1188" s="5">
        <f ca="1">IFERROR(__xludf.DUMMYFUNCTION("""COMPUTED_VALUE"""),0)</f>
        <v>0</v>
      </c>
      <c r="H1188" s="5">
        <f ca="1">IFERROR(__xludf.DUMMYFUNCTION("""COMPUTED_VALUE"""),1)</f>
        <v>1</v>
      </c>
      <c r="I1188" s="5">
        <f ca="1">IFERROR(__xludf.DUMMYFUNCTION("""COMPUTED_VALUE"""),1)</f>
        <v>1</v>
      </c>
      <c r="J1188" s="5">
        <f ca="1">IFERROR(__xludf.DUMMYFUNCTION("""COMPUTED_VALUE"""),0)</f>
        <v>0</v>
      </c>
      <c r="K1188" s="9" t="str">
        <f ca="1">IFERROR(__xludf.DUMMYFUNCTION("""COMPUTED_VALUE"""),"https://www.wbrz.com/news/man-sentenced-to-15-years-for-2014-drive-by-shooting-outside-of-st-james-high-school/")</f>
        <v>https://www.wbrz.com/news/man-sentenced-to-15-years-for-2014-drive-by-shooting-outside-of-st-james-high-school/</v>
      </c>
      <c r="L1188" s="5"/>
      <c r="M1188" s="5"/>
      <c r="N1188" s="5">
        <f ca="1">IFERROR(__xludf.DUMMYFUNCTION("""COMPUTED_VALUE"""),4)</f>
        <v>4</v>
      </c>
      <c r="O1188" s="5" t="str">
        <f ca="1">IFERROR(__xludf.DUMMYFUNCTION("""COMPUTED_VALUE"""),"Winter")</f>
        <v>Winter</v>
      </c>
      <c r="P1188" s="5" t="str">
        <f ca="1">IFERROR(__xludf.DUMMYFUNCTION("""COMPUTED_VALUE"""),"Baton Rouge")</f>
        <v>Baton Rouge</v>
      </c>
      <c r="Q1188" s="5" t="str">
        <f ca="1">IFERROR(__xludf.DUMMYFUNCTION("""COMPUTED_VALUE"""),"LA")</f>
        <v>LA</v>
      </c>
      <c r="R1188" s="5" t="str">
        <f ca="1">IFERROR(__xludf.DUMMYFUNCTION("""COMPUTED_VALUE"""),"High")</f>
        <v>High</v>
      </c>
      <c r="S1188" s="5" t="str">
        <f ca="1">IFERROR(__xludf.DUMMYFUNCTION("""COMPUTED_VALUE"""),"Parking Lot")</f>
        <v>Parking Lot</v>
      </c>
      <c r="T1188" s="5" t="str">
        <f ca="1">IFERROR(__xludf.DUMMYFUNCTION("""COMPUTED_VALUE"""),"Outside on School Property")</f>
        <v>Outside on School Property</v>
      </c>
      <c r="U1188" s="5" t="str">
        <f ca="1">IFERROR(__xludf.DUMMYFUNCTION("""COMPUTED_VALUE"""),"No")</f>
        <v>No</v>
      </c>
      <c r="V1188" s="5" t="str">
        <f ca="1">IFERROR(__xludf.DUMMYFUNCTION("""COMPUTED_VALUE"""),"Sport Event")</f>
        <v>Sport Event</v>
      </c>
      <c r="W1188" s="5"/>
      <c r="X1188" s="5">
        <f ca="1">IFERROR(__xludf.DUMMYFUNCTION("""COMPUTED_VALUE"""),1)</f>
        <v>1</v>
      </c>
      <c r="Y1188" s="5" t="str">
        <f ca="1">IFERROR(__xludf.DUMMYFUNCTION("""COMPUTED_VALUE"""),"Drive by shooting after basketball game")</f>
        <v>Drive by shooting after basketball game</v>
      </c>
      <c r="Z1188" s="5" t="str">
        <f ca="1">IFERROR(__xludf.DUMMYFUNCTION("""COMPUTED_VALUE"""),"17YOM shot 19YOM in targeted drive by shooting outside of high school basketball game.")</f>
        <v>17YOM shot 19YOM in targeted drive by shooting outside of high school basketball game.</v>
      </c>
      <c r="AA1188" s="5" t="str">
        <f ca="1">IFERROR(__xludf.DUMMYFUNCTION("""COMPUTED_VALUE"""),"Drive-by Shooting")</f>
        <v>Drive-by Shooting</v>
      </c>
      <c r="AB1188" s="5" t="str">
        <f ca="1">IFERROR(__xludf.DUMMYFUNCTION("""COMPUTED_VALUE"""),"Victims Targeted")</f>
        <v>Victims Targeted</v>
      </c>
      <c r="AC1188" s="5" t="str">
        <f ca="1">IFERROR(__xludf.DUMMYFUNCTION("""COMPUTED_VALUE"""),"No")</f>
        <v>No</v>
      </c>
      <c r="AD1188" s="5" t="str">
        <f ca="1">IFERROR(__xludf.DUMMYFUNCTION("""COMPUTED_VALUE"""),"No")</f>
        <v>No</v>
      </c>
      <c r="AE1188" s="5" t="str">
        <f ca="1">IFERROR(__xludf.DUMMYFUNCTION("""COMPUTED_VALUE"""),"No")</f>
        <v>No</v>
      </c>
      <c r="AF1188" s="5" t="str">
        <f ca="1">IFERROR(__xludf.DUMMYFUNCTION("""COMPUTED_VALUE"""),"No")</f>
        <v>No</v>
      </c>
      <c r="AG1188" s="5" t="str">
        <f ca="1">IFERROR(__xludf.DUMMYFUNCTION("""COMPUTED_VALUE"""),"No")</f>
        <v>No</v>
      </c>
      <c r="AH1188" s="5" t="str">
        <f ca="1">IFERROR(__xludf.DUMMYFUNCTION("""COMPUTED_VALUE"""),"No")</f>
        <v>No</v>
      </c>
      <c r="AI1188" s="5" t="str">
        <f ca="1">IFERROR(__xludf.DUMMYFUNCTION("""COMPUTED_VALUE"""),"No")</f>
        <v>No</v>
      </c>
      <c r="AJ1188" s="5" t="str">
        <f ca="1">IFERROR(__xludf.DUMMYFUNCTION("""COMPUTED_VALUE"""),"No")</f>
        <v>No</v>
      </c>
    </row>
    <row r="1189" spans="1:36" ht="13">
      <c r="A1189" s="5" t="str">
        <f ca="1">IFERROR(__xludf.DUMMYFUNCTION("""COMPUTED_VALUE"""),"20140113CTHIN")</f>
        <v>20140113CTHIN</v>
      </c>
      <c r="B1189" s="5">
        <f ca="1">IFERROR(__xludf.DUMMYFUNCTION("""COMPUTED_VALUE"""),1)</f>
        <v>1</v>
      </c>
      <c r="C1189" s="5">
        <f ca="1">IFERROR(__xludf.DUMMYFUNCTION("""COMPUTED_VALUE"""),13)</f>
        <v>13</v>
      </c>
      <c r="D1189" s="5">
        <f ca="1">IFERROR(__xludf.DUMMYFUNCTION("""COMPUTED_VALUE"""),2014)</f>
        <v>2014</v>
      </c>
      <c r="E1189" s="8">
        <f ca="1">IFERROR(__xludf.DUMMYFUNCTION("""COMPUTED_VALUE"""),41652)</f>
        <v>41652</v>
      </c>
      <c r="F1189" s="5" t="str">
        <f ca="1">IFERROR(__xludf.DUMMYFUNCTION("""COMPUTED_VALUE"""),"Hillhouse High School")</f>
        <v>Hillhouse High School</v>
      </c>
      <c r="G1189" s="5">
        <f ca="1">IFERROR(__xludf.DUMMYFUNCTION("""COMPUTED_VALUE"""),0)</f>
        <v>0</v>
      </c>
      <c r="H1189" s="5">
        <f ca="1">IFERROR(__xludf.DUMMYFUNCTION("""COMPUTED_VALUE"""),1)</f>
        <v>1</v>
      </c>
      <c r="I1189" s="5">
        <f ca="1">IFERROR(__xludf.DUMMYFUNCTION("""COMPUTED_VALUE"""),1)</f>
        <v>1</v>
      </c>
      <c r="J1189" s="5">
        <f ca="1">IFERROR(__xludf.DUMMYFUNCTION("""COMPUTED_VALUE"""),0)</f>
        <v>0</v>
      </c>
      <c r="K1189" s="9" t="str">
        <f ca="1">IFERROR(__xludf.DUMMYFUNCTION("""COMPUTED_VALUE"""),"https://www.nhregister.com/connecticut/article/New-Haven-teen-to-serve-6-years-in-two-shooting-11351580.php")</f>
        <v>https://www.nhregister.com/connecticut/article/New-Haven-teen-to-serve-6-years-in-two-shooting-11351580.php</v>
      </c>
      <c r="L1189" s="5">
        <f ca="1">IFERROR(__xludf.DUMMYFUNCTION("""COMPUTED_VALUE"""),1)</f>
        <v>1</v>
      </c>
      <c r="M1189" s="5" t="str">
        <f ca="1">IFERROR(__xludf.DUMMYFUNCTION("""COMPUTED_VALUE"""),"Local")</f>
        <v>Local</v>
      </c>
      <c r="N1189" s="5">
        <f ca="1">IFERROR(__xludf.DUMMYFUNCTION("""COMPUTED_VALUE"""),2)</f>
        <v>2</v>
      </c>
      <c r="O1189" s="5" t="str">
        <f ca="1">IFERROR(__xludf.DUMMYFUNCTION("""COMPUTED_VALUE"""),"Winter")</f>
        <v>Winter</v>
      </c>
      <c r="P1189" s="5" t="str">
        <f ca="1">IFERROR(__xludf.DUMMYFUNCTION("""COMPUTED_VALUE"""),"New Haven")</f>
        <v>New Haven</v>
      </c>
      <c r="Q1189" s="5" t="str">
        <f ca="1">IFERROR(__xludf.DUMMYFUNCTION("""COMPUTED_VALUE"""),"CT")</f>
        <v>CT</v>
      </c>
      <c r="R1189" s="5" t="str">
        <f ca="1">IFERROR(__xludf.DUMMYFUNCTION("""COMPUTED_VALUE"""),"High")</f>
        <v>High</v>
      </c>
      <c r="S1189" s="5" t="str">
        <f ca="1">IFERROR(__xludf.DUMMYFUNCTION("""COMPUTED_VALUE"""),"Basketball Court")</f>
        <v>Basketball Court</v>
      </c>
      <c r="T1189" s="5" t="str">
        <f ca="1">IFERROR(__xludf.DUMMYFUNCTION("""COMPUTED_VALUE"""),"Outside on School Property")</f>
        <v>Outside on School Property</v>
      </c>
      <c r="U1189" s="5" t="str">
        <f ca="1">IFERROR(__xludf.DUMMYFUNCTION("""COMPUTED_VALUE"""),"No")</f>
        <v>No</v>
      </c>
      <c r="V1189" s="5" t="str">
        <f ca="1">IFERROR(__xludf.DUMMYFUNCTION("""COMPUTED_VALUE"""),"Sport Event")</f>
        <v>Sport Event</v>
      </c>
      <c r="W1189" s="10">
        <f ca="1">IFERROR(__xludf.DUMMYFUNCTION("""COMPUTED_VALUE"""),0.826388888888888)</f>
        <v>0.82638888888888795</v>
      </c>
      <c r="X1189" s="5">
        <f ca="1">IFERROR(__xludf.DUMMYFUNCTION("""COMPUTED_VALUE"""),1)</f>
        <v>1</v>
      </c>
      <c r="Y1189" s="5" t="str">
        <f ca="1">IFERROR(__xludf.DUMMYFUNCTION("""COMPUTED_VALUE"""),"Fight between rival basketball teams")</f>
        <v>Fight between rival basketball teams</v>
      </c>
      <c r="Z1189" s="5" t="str">
        <f ca="1">IFERROR(__xludf.DUMMYFUNCTION("""COMPUTED_VALUE"""),"Fight between students from rival high schools following a basketball game. The shooter fired into a group of people striking one of them in the hand and leg. Shooter fled the scene. A gun was found near the scene but it wan son connected to the shooting.")</f>
        <v>Fight between students from rival high schools following a basketball game. The shooter fired into a group of people striking one of them in the hand and leg. Shooter fled the scene. A gun was found near the scene but it wan son connected to the shooting.</v>
      </c>
      <c r="AA1189" s="5" t="str">
        <f ca="1">IFERROR(__xludf.DUMMYFUNCTION("""COMPUTED_VALUE"""),"Escalation of Dispute")</f>
        <v>Escalation of Dispute</v>
      </c>
      <c r="AB1189" s="5" t="str">
        <f ca="1">IFERROR(__xludf.DUMMYFUNCTION("""COMPUTED_VALUE"""),"Victims Targeted")</f>
        <v>Victims Targeted</v>
      </c>
      <c r="AC1189" s="5" t="str">
        <f ca="1">IFERROR(__xludf.DUMMYFUNCTION("""COMPUTED_VALUE"""),"No")</f>
        <v>No</v>
      </c>
      <c r="AD1189" s="5" t="str">
        <f ca="1">IFERROR(__xludf.DUMMYFUNCTION("""COMPUTED_VALUE"""),"No")</f>
        <v>No</v>
      </c>
      <c r="AE1189" s="5" t="str">
        <f ca="1">IFERROR(__xludf.DUMMYFUNCTION("""COMPUTED_VALUE"""),"No")</f>
        <v>No</v>
      </c>
      <c r="AF1189" s="5" t="str">
        <f ca="1">IFERROR(__xludf.DUMMYFUNCTION("""COMPUTED_VALUE"""),"No")</f>
        <v>No</v>
      </c>
      <c r="AG1189" s="5" t="str">
        <f ca="1">IFERROR(__xludf.DUMMYFUNCTION("""COMPUTED_VALUE"""),"No")</f>
        <v>No</v>
      </c>
      <c r="AH1189" s="5" t="str">
        <f ca="1">IFERROR(__xludf.DUMMYFUNCTION("""COMPUTED_VALUE"""),"No")</f>
        <v>No</v>
      </c>
      <c r="AI1189" s="5" t="str">
        <f ca="1">IFERROR(__xludf.DUMMYFUNCTION("""COMPUTED_VALUE"""),"Yes")</f>
        <v>Yes</v>
      </c>
      <c r="AJ1189" s="5"/>
    </row>
    <row r="1190" spans="1:36" ht="13">
      <c r="A1190" s="5" t="str">
        <f ca="1">IFERROR(__xludf.DUMMYFUNCTION("""COMPUTED_VALUE"""),"20140109TNLIJ")</f>
        <v>20140109TNLIJ</v>
      </c>
      <c r="B1190" s="5">
        <f ca="1">IFERROR(__xludf.DUMMYFUNCTION("""COMPUTED_VALUE"""),1)</f>
        <v>1</v>
      </c>
      <c r="C1190" s="5">
        <f ca="1">IFERROR(__xludf.DUMMYFUNCTION("""COMPUTED_VALUE"""),9)</f>
        <v>9</v>
      </c>
      <c r="D1190" s="5">
        <f ca="1">IFERROR(__xludf.DUMMYFUNCTION("""COMPUTED_VALUE"""),2014)</f>
        <v>2014</v>
      </c>
      <c r="E1190" s="8">
        <f ca="1">IFERROR(__xludf.DUMMYFUNCTION("""COMPUTED_VALUE"""),41648)</f>
        <v>41648</v>
      </c>
      <c r="F1190" s="5" t="str">
        <f ca="1">IFERROR(__xludf.DUMMYFUNCTION("""COMPUTED_VALUE"""),"Liberty Technology Magnet High School")</f>
        <v>Liberty Technology Magnet High School</v>
      </c>
      <c r="G1190" s="5">
        <f ca="1">IFERROR(__xludf.DUMMYFUNCTION("""COMPUTED_VALUE"""),0)</f>
        <v>0</v>
      </c>
      <c r="H1190" s="5">
        <f ca="1">IFERROR(__xludf.DUMMYFUNCTION("""COMPUTED_VALUE"""),1)</f>
        <v>1</v>
      </c>
      <c r="I1190" s="5">
        <f ca="1">IFERROR(__xludf.DUMMYFUNCTION("""COMPUTED_VALUE"""),1)</f>
        <v>1</v>
      </c>
      <c r="J1190" s="5">
        <f ca="1">IFERROR(__xludf.DUMMYFUNCTION("""COMPUTED_VALUE"""),0)</f>
        <v>0</v>
      </c>
      <c r="K1190" s="9" t="str">
        <f ca="1">IFERROR(__xludf.DUMMYFUNCTION("""COMPUTED_VALUE"""),"http://www.wbbjtv.com/2014/01/10/police-charge-suspect-in-liberty-tech-shooting/")</f>
        <v>http://www.wbbjtv.com/2014/01/10/police-charge-suspect-in-liberty-tech-shooting/</v>
      </c>
      <c r="L1190" s="5">
        <f ca="1">IFERROR(__xludf.DUMMYFUNCTION("""COMPUTED_VALUE"""),1)</f>
        <v>1</v>
      </c>
      <c r="M1190" s="5" t="str">
        <f ca="1">IFERROR(__xludf.DUMMYFUNCTION("""COMPUTED_VALUE"""),"Local")</f>
        <v>Local</v>
      </c>
      <c r="N1190" s="5">
        <f ca="1">IFERROR(__xludf.DUMMYFUNCTION("""COMPUTED_VALUE"""),2)</f>
        <v>2</v>
      </c>
      <c r="O1190" s="5" t="str">
        <f ca="1">IFERROR(__xludf.DUMMYFUNCTION("""COMPUTED_VALUE"""),"Winter")</f>
        <v>Winter</v>
      </c>
      <c r="P1190" s="5" t="str">
        <f ca="1">IFERROR(__xludf.DUMMYFUNCTION("""COMPUTED_VALUE"""),"Jackson")</f>
        <v>Jackson</v>
      </c>
      <c r="Q1190" s="5" t="str">
        <f ca="1">IFERROR(__xludf.DUMMYFUNCTION("""COMPUTED_VALUE"""),"TN")</f>
        <v>TN</v>
      </c>
      <c r="R1190" s="5" t="str">
        <f ca="1">IFERROR(__xludf.DUMMYFUNCTION("""COMPUTED_VALUE"""),"High")</f>
        <v>High</v>
      </c>
      <c r="S1190" s="5" t="str">
        <f ca="1">IFERROR(__xludf.DUMMYFUNCTION("""COMPUTED_VALUE"""),"Parking Lot")</f>
        <v>Parking Lot</v>
      </c>
      <c r="T1190" s="5" t="str">
        <f ca="1">IFERROR(__xludf.DUMMYFUNCTION("""COMPUTED_VALUE"""),"Outside on School Property")</f>
        <v>Outside on School Property</v>
      </c>
      <c r="U1190" s="5" t="str">
        <f ca="1">IFERROR(__xludf.DUMMYFUNCTION("""COMPUTED_VALUE"""),"No")</f>
        <v>No</v>
      </c>
      <c r="V1190" s="5" t="str">
        <f ca="1">IFERROR(__xludf.DUMMYFUNCTION("""COMPUTED_VALUE"""),"Dismissal")</f>
        <v>Dismissal</v>
      </c>
      <c r="W1190" s="10">
        <f ca="1">IFERROR(__xludf.DUMMYFUNCTION("""COMPUTED_VALUE"""),0.597916666666666)</f>
        <v>0.59791666666666599</v>
      </c>
      <c r="X1190" s="5">
        <f ca="1">IFERROR(__xludf.DUMMYFUNCTION("""COMPUTED_VALUE"""),1)</f>
        <v>1</v>
      </c>
      <c r="Y1190" s="5" t="str">
        <f ca="1">IFERROR(__xludf.DUMMYFUNCTION("""COMPUTED_VALUE"""),"Fight about a girl in parking lot")</f>
        <v>Fight about a girl in parking lot</v>
      </c>
      <c r="Z1190" s="5" t="str">
        <f ca="1">IFERROR(__xludf.DUMMYFUNCTION("""COMPUTED_VALUE"""),"Fight between two students in the parking lot after school, allegedly about a girl. The shooter fired a handgun at the other student causing a minor injury. Shooter fled the scene and was later arrested at his grandmother's house with the weapon. Gun was "&amp;"recovered near the house and its serial number was altered.")</f>
        <v>Fight between two students in the parking lot after school, allegedly about a girl. The shooter fired a handgun at the other student causing a minor injury. Shooter fled the scene and was later arrested at his grandmother's house with the weapon. Gun was recovered near the house and its serial number was altered.</v>
      </c>
      <c r="AA1190" s="5" t="str">
        <f ca="1">IFERROR(__xludf.DUMMYFUNCTION("""COMPUTED_VALUE"""),"Escalation of Dispute")</f>
        <v>Escalation of Dispute</v>
      </c>
      <c r="AB1190" s="5" t="str">
        <f ca="1">IFERROR(__xludf.DUMMYFUNCTION("""COMPUTED_VALUE"""),"Victims Targeted")</f>
        <v>Victims Targeted</v>
      </c>
      <c r="AC1190" s="5" t="str">
        <f ca="1">IFERROR(__xludf.DUMMYFUNCTION("""COMPUTED_VALUE"""),"No")</f>
        <v>No</v>
      </c>
      <c r="AD1190" s="5" t="str">
        <f ca="1">IFERROR(__xludf.DUMMYFUNCTION("""COMPUTED_VALUE"""),"No")</f>
        <v>No</v>
      </c>
      <c r="AE1190" s="5" t="str">
        <f ca="1">IFERROR(__xludf.DUMMYFUNCTION("""COMPUTED_VALUE"""),"No")</f>
        <v>No</v>
      </c>
      <c r="AF1190" s="5" t="str">
        <f ca="1">IFERROR(__xludf.DUMMYFUNCTION("""COMPUTED_VALUE"""),"No")</f>
        <v>No</v>
      </c>
      <c r="AG1190" s="5" t="str">
        <f ca="1">IFERROR(__xludf.DUMMYFUNCTION("""COMPUTED_VALUE"""),"No")</f>
        <v>No</v>
      </c>
      <c r="AH1190" s="5" t="str">
        <f ca="1">IFERROR(__xludf.DUMMYFUNCTION("""COMPUTED_VALUE"""),"No")</f>
        <v>No</v>
      </c>
      <c r="AI1190" s="5" t="str">
        <f ca="1">IFERROR(__xludf.DUMMYFUNCTION("""COMPUTED_VALUE"""),"No")</f>
        <v>No</v>
      </c>
      <c r="AJ1190" s="5"/>
    </row>
    <row r="1191" spans="1:36" ht="13">
      <c r="A1191" s="5" t="str">
        <f ca="1">IFERROR(__xludf.DUMMYFUNCTION("""COMPUTED_VALUE"""),"20131219CAEDF")</f>
        <v>20131219CAEDF</v>
      </c>
      <c r="B1191" s="5">
        <f ca="1">IFERROR(__xludf.DUMMYFUNCTION("""COMPUTED_VALUE"""),12)</f>
        <v>12</v>
      </c>
      <c r="C1191" s="5">
        <f ca="1">IFERROR(__xludf.DUMMYFUNCTION("""COMPUTED_VALUE"""),19)</f>
        <v>19</v>
      </c>
      <c r="D1191" s="5">
        <f ca="1">IFERROR(__xludf.DUMMYFUNCTION("""COMPUTED_VALUE"""),2013)</f>
        <v>2013</v>
      </c>
      <c r="E1191" s="8">
        <f ca="1">IFERROR(__xludf.DUMMYFUNCTION("""COMPUTED_VALUE"""),41627)</f>
        <v>41627</v>
      </c>
      <c r="F1191" s="5" t="str">
        <f ca="1">IFERROR(__xludf.DUMMYFUNCTION("""COMPUTED_VALUE"""),"Edison High School")</f>
        <v>Edison High School</v>
      </c>
      <c r="G1191" s="5">
        <f ca="1">IFERROR(__xludf.DUMMYFUNCTION("""COMPUTED_VALUE"""),0)</f>
        <v>0</v>
      </c>
      <c r="H1191" s="5">
        <f ca="1">IFERROR(__xludf.DUMMYFUNCTION("""COMPUTED_VALUE"""),1)</f>
        <v>1</v>
      </c>
      <c r="I1191" s="5">
        <f ca="1">IFERROR(__xludf.DUMMYFUNCTION("""COMPUTED_VALUE"""),1)</f>
        <v>1</v>
      </c>
      <c r="J1191" s="5">
        <f ca="1">IFERROR(__xludf.DUMMYFUNCTION("""COMPUTED_VALUE"""),0)</f>
        <v>0</v>
      </c>
      <c r="K1191" s="9" t="str">
        <f ca="1">IFERROR(__xludf.DUMMYFUNCTION("""COMPUTED_VALUE"""),"https://kmph.com/archive/fresno-police-arrest-four-teens-related-to-edison-high-school-shooting")</f>
        <v>https://kmph.com/archive/fresno-police-arrest-four-teens-related-to-edison-high-school-shooting</v>
      </c>
      <c r="L1191" s="5">
        <f ca="1">IFERROR(__xludf.DUMMYFUNCTION("""COMPUTED_VALUE"""),1)</f>
        <v>1</v>
      </c>
      <c r="M1191" s="5" t="str">
        <f ca="1">IFERROR(__xludf.DUMMYFUNCTION("""COMPUTED_VALUE"""),"Local")</f>
        <v>Local</v>
      </c>
      <c r="N1191" s="5">
        <f ca="1">IFERROR(__xludf.DUMMYFUNCTION("""COMPUTED_VALUE"""),2)</f>
        <v>2</v>
      </c>
      <c r="O1191" s="5" t="str">
        <f ca="1">IFERROR(__xludf.DUMMYFUNCTION("""COMPUTED_VALUE"""),"Winter")</f>
        <v>Winter</v>
      </c>
      <c r="P1191" s="5" t="str">
        <f ca="1">IFERROR(__xludf.DUMMYFUNCTION("""COMPUTED_VALUE"""),"Fresno")</f>
        <v>Fresno</v>
      </c>
      <c r="Q1191" s="5" t="str">
        <f ca="1">IFERROR(__xludf.DUMMYFUNCTION("""COMPUTED_VALUE"""),"CA")</f>
        <v>CA</v>
      </c>
      <c r="R1191" s="5" t="str">
        <f ca="1">IFERROR(__xludf.DUMMYFUNCTION("""COMPUTED_VALUE"""),"High")</f>
        <v>High</v>
      </c>
      <c r="S1191" s="5" t="str">
        <f ca="1">IFERROR(__xludf.DUMMYFUNCTION("""COMPUTED_VALUE"""),"Gym")</f>
        <v>Gym</v>
      </c>
      <c r="T1191" s="5" t="str">
        <f ca="1">IFERROR(__xludf.DUMMYFUNCTION("""COMPUTED_VALUE"""),"Inside School Building")</f>
        <v>Inside School Building</v>
      </c>
      <c r="U1191" s="5" t="str">
        <f ca="1">IFERROR(__xludf.DUMMYFUNCTION("""COMPUTED_VALUE"""),"No")</f>
        <v>No</v>
      </c>
      <c r="V1191" s="5" t="str">
        <f ca="1">IFERROR(__xludf.DUMMYFUNCTION("""COMPUTED_VALUE"""),"Evening")</f>
        <v>Evening</v>
      </c>
      <c r="W1191" s="10">
        <f ca="1">IFERROR(__xludf.DUMMYFUNCTION("""COMPUTED_VALUE"""),0.791666666666666)</f>
        <v>0.79166666666666596</v>
      </c>
      <c r="X1191" s="5">
        <f ca="1">IFERROR(__xludf.DUMMYFUNCTION("""COMPUTED_VALUE"""),1)</f>
        <v>1</v>
      </c>
      <c r="Y1191" s="5" t="str">
        <f ca="1">IFERROR(__xludf.DUMMYFUNCTION("""COMPUTED_VALUE"""),"Attempted robbery, victims random, spontaneous act")</f>
        <v>Attempted robbery, victims random, spontaneous act</v>
      </c>
      <c r="Z1191" s="5" t="str">
        <f ca="1">IFERROR(__xludf.DUMMYFUNCTION("""COMPUTED_VALUE"""),"4 juvenile males - gang members - attempted to rob the school's athletic trainer while he was inside the school building. There was a struggle and the athletic trainer was shot multiple times. The janitor hid in a different room. Shooter and other suspect"&amp;"s fled the area. Later caught - shooter confessed. Motive was robbery. Suspects had attacked an elderly woman before they went to the school. Suspects reported that the act was spontaneous.")</f>
        <v>4 juvenile males - gang members - attempted to rob the school's athletic trainer while he was inside the school building. There was a struggle and the athletic trainer was shot multiple times. The janitor hid in a different room. Shooter and other suspects fled the area. Later caught - shooter confessed. Motive was robbery. Suspects had attacked an elderly woman before they went to the school. Suspects reported that the act was spontaneous.</v>
      </c>
      <c r="AA1191" s="5" t="str">
        <f ca="1">IFERROR(__xludf.DUMMYFUNCTION("""COMPUTED_VALUE"""),"Illegal Activity")</f>
        <v>Illegal Activity</v>
      </c>
      <c r="AB1191" s="5" t="str">
        <f ca="1">IFERROR(__xludf.DUMMYFUNCTION("""COMPUTED_VALUE"""),"Random Shooting")</f>
        <v>Random Shooting</v>
      </c>
      <c r="AC1191" s="5" t="str">
        <f ca="1">IFERROR(__xludf.DUMMYFUNCTION("""COMPUTED_VALUE"""),"Yes")</f>
        <v>Yes</v>
      </c>
      <c r="AD1191" s="5" t="str">
        <f ca="1">IFERROR(__xludf.DUMMYFUNCTION("""COMPUTED_VALUE"""),"No")</f>
        <v>No</v>
      </c>
      <c r="AE1191" s="5" t="str">
        <f ca="1">IFERROR(__xludf.DUMMYFUNCTION("""COMPUTED_VALUE"""),"No")</f>
        <v>No</v>
      </c>
      <c r="AF1191" s="5" t="str">
        <f ca="1">IFERROR(__xludf.DUMMYFUNCTION("""COMPUTED_VALUE"""),"No")</f>
        <v>No</v>
      </c>
      <c r="AG1191" s="5" t="str">
        <f ca="1">IFERROR(__xludf.DUMMYFUNCTION("""COMPUTED_VALUE"""),"No")</f>
        <v>No</v>
      </c>
      <c r="AH1191" s="5" t="str">
        <f ca="1">IFERROR(__xludf.DUMMYFUNCTION("""COMPUTED_VALUE"""),"No")</f>
        <v>No</v>
      </c>
      <c r="AI1191" s="5" t="str">
        <f ca="1">IFERROR(__xludf.DUMMYFUNCTION("""COMPUTED_VALUE"""),"Yes")</f>
        <v>Yes</v>
      </c>
      <c r="AJ1191" s="5"/>
    </row>
    <row r="1192" spans="1:36" ht="13">
      <c r="A1192" s="5" t="str">
        <f ca="1">IFERROR(__xludf.DUMMYFUNCTION("""COMPUTED_VALUE"""),"20131213COARC")</f>
        <v>20131213COARC</v>
      </c>
      <c r="B1192" s="5">
        <f ca="1">IFERROR(__xludf.DUMMYFUNCTION("""COMPUTED_VALUE"""),12)</f>
        <v>12</v>
      </c>
      <c r="C1192" s="5">
        <f ca="1">IFERROR(__xludf.DUMMYFUNCTION("""COMPUTED_VALUE"""),13)</f>
        <v>13</v>
      </c>
      <c r="D1192" s="5">
        <f ca="1">IFERROR(__xludf.DUMMYFUNCTION("""COMPUTED_VALUE"""),2013)</f>
        <v>2013</v>
      </c>
      <c r="E1192" s="8">
        <f ca="1">IFERROR(__xludf.DUMMYFUNCTION("""COMPUTED_VALUE"""),41621)</f>
        <v>41621</v>
      </c>
      <c r="F1192" s="5" t="str">
        <f ca="1">IFERROR(__xludf.DUMMYFUNCTION("""COMPUTED_VALUE"""),"Arapahoe High School")</f>
        <v>Arapahoe High School</v>
      </c>
      <c r="G1192" s="5">
        <f ca="1">IFERROR(__xludf.DUMMYFUNCTION("""COMPUTED_VALUE"""),1)</f>
        <v>1</v>
      </c>
      <c r="H1192" s="5">
        <f ca="1">IFERROR(__xludf.DUMMYFUNCTION("""COMPUTED_VALUE"""),0)</f>
        <v>0</v>
      </c>
      <c r="I1192" s="5">
        <f ca="1">IFERROR(__xludf.DUMMYFUNCTION("""COMPUTED_VALUE"""),1)</f>
        <v>1</v>
      </c>
      <c r="J1192" s="5">
        <f ca="1">IFERROR(__xludf.DUMMYFUNCTION("""COMPUTED_VALUE"""),1)</f>
        <v>1</v>
      </c>
      <c r="K1192" s="5" t="str">
        <f ca="1">IFERROR(__xludf.DUMMYFUNCTION("""COMPUTED_VALUE"""),"https://www.denverpost.com/2013/12/13/shooting-at-arapahoe-high-school-1-girl-in-critical-condition-gunman-dead/ https://www.cnn.com/2013/12/14/us/colorado-school-shooting/index.html https://www.fbi.gov/file-repository/active-shooter-incidents-2000-2017.p"&amp;"df")</f>
        <v>https://www.denverpost.com/2013/12/13/shooting-at-arapahoe-high-school-1-girl-in-critical-condition-gunman-dead/ https://www.cnn.com/2013/12/14/us/colorado-school-shooting/index.html https://www.fbi.gov/file-repository/active-shooter-incidents-2000-2017.pdf</v>
      </c>
      <c r="L1192" s="5">
        <f ca="1">IFERROR(__xludf.DUMMYFUNCTION("""COMPUTED_VALUE"""),1)</f>
        <v>1</v>
      </c>
      <c r="M1192" s="5" t="str">
        <f ca="1">IFERROR(__xludf.DUMMYFUNCTION("""COMPUTED_VALUE"""),"National")</f>
        <v>National</v>
      </c>
      <c r="N1192" s="5">
        <f ca="1">IFERROR(__xludf.DUMMYFUNCTION("""COMPUTED_VALUE"""),5)</f>
        <v>5</v>
      </c>
      <c r="O1192" s="5" t="str">
        <f ca="1">IFERROR(__xludf.DUMMYFUNCTION("""COMPUTED_VALUE"""),"Winter")</f>
        <v>Winter</v>
      </c>
      <c r="P1192" s="5" t="str">
        <f ca="1">IFERROR(__xludf.DUMMYFUNCTION("""COMPUTED_VALUE"""),"Centennial")</f>
        <v>Centennial</v>
      </c>
      <c r="Q1192" s="5" t="str">
        <f ca="1">IFERROR(__xludf.DUMMYFUNCTION("""COMPUTED_VALUE"""),"CO")</f>
        <v>CO</v>
      </c>
      <c r="R1192" s="5" t="str">
        <f ca="1">IFERROR(__xludf.DUMMYFUNCTION("""COMPUTED_VALUE"""),"High")</f>
        <v>High</v>
      </c>
      <c r="S1192" s="5" t="str">
        <f ca="1">IFERROR(__xludf.DUMMYFUNCTION("""COMPUTED_VALUE"""),"Other")</f>
        <v>Other</v>
      </c>
      <c r="T1192" s="5" t="str">
        <f ca="1">IFERROR(__xludf.DUMMYFUNCTION("""COMPUTED_VALUE"""),"Inside School Building")</f>
        <v>Inside School Building</v>
      </c>
      <c r="U1192" s="5" t="str">
        <f ca="1">IFERROR(__xludf.DUMMYFUNCTION("""COMPUTED_VALUE"""),"Yes")</f>
        <v>Yes</v>
      </c>
      <c r="V1192" s="5" t="str">
        <f ca="1">IFERROR(__xludf.DUMMYFUNCTION("""COMPUTED_VALUE"""),"Lunch")</f>
        <v>Lunch</v>
      </c>
      <c r="W1192" s="10">
        <f ca="1">IFERROR(__xludf.DUMMYFUNCTION("""COMPUTED_VALUE"""),0)</f>
        <v>0</v>
      </c>
      <c r="X1192" s="5">
        <f ca="1">IFERROR(__xludf.DUMMYFUNCTION("""COMPUTED_VALUE"""),2)</f>
        <v>2</v>
      </c>
      <c r="Y1192" s="5" t="str">
        <f ca="1">IFERROR(__xludf.DUMMYFUNCTION("""COMPUTED_VALUE"""),"Planned attack, confronted by SRO and commit suicide")</f>
        <v>Planned attack, confronted by SRO and commit suicide</v>
      </c>
      <c r="Z1192" s="5" t="str">
        <f ca="1">IFERROR(__xludf.DUMMYFUNCTION("""COMPUTED_VALUE"""),"Shooter walked into school with shotgun, molotov cocktails, and ammunition. Fired 5 shots down hallways killing one student (no relation to shooter). Threw molotov cocktail into library. Confronted by SRO and commit suicide. Intended target appeared to be"&amp;" librarian who was in charge of the debate team he was a member of. Bullied by peers. One cross country and debate team. Good grades, very intelligent. Described as ""social misfit"". Eagle Scout. ""Last person you would expect to shoot up a high school"""&amp;" - fellow student. Shooting lasted 80 seconds.")</f>
        <v>Shooter walked into school with shotgun, molotov cocktails, and ammunition. Fired 5 shots down hallways killing one student (no relation to shooter). Threw molotov cocktail into library. Confronted by SRO and commit suicide. Intended target appeared to be librarian who was in charge of the debate team he was a member of. Bullied by peers. One cross country and debate team. Good grades, very intelligent. Described as "social misfit". Eagle Scout. "Last person you would expect to shoot up a high school" - fellow student. Shooting lasted 80 seconds.</v>
      </c>
      <c r="AA1192" s="5" t="str">
        <f ca="1">IFERROR(__xludf.DUMMYFUNCTION("""COMPUTED_VALUE"""),"Indiscriminate Shooting")</f>
        <v>Indiscriminate Shooting</v>
      </c>
      <c r="AB1192" s="5" t="str">
        <f ca="1">IFERROR(__xludf.DUMMYFUNCTION("""COMPUTED_VALUE"""),"Both")</f>
        <v>Both</v>
      </c>
      <c r="AC1192" s="5" t="str">
        <f ca="1">IFERROR(__xludf.DUMMYFUNCTION("""COMPUTED_VALUE"""),"No")</f>
        <v>No</v>
      </c>
      <c r="AD1192" s="5" t="str">
        <f ca="1">IFERROR(__xludf.DUMMYFUNCTION("""COMPUTED_VALUE"""),"No")</f>
        <v>No</v>
      </c>
      <c r="AE1192" s="5" t="str">
        <f ca="1">IFERROR(__xludf.DUMMYFUNCTION("""COMPUTED_VALUE"""),"No")</f>
        <v>No</v>
      </c>
      <c r="AF1192" s="5" t="str">
        <f ca="1">IFERROR(__xludf.DUMMYFUNCTION("""COMPUTED_VALUE"""),"No")</f>
        <v>No</v>
      </c>
      <c r="AG1192" s="5" t="str">
        <f ca="1">IFERROR(__xludf.DUMMYFUNCTION("""COMPUTED_VALUE"""),"Yes")</f>
        <v>Yes</v>
      </c>
      <c r="AH1192" s="5" t="str">
        <f ca="1">IFERROR(__xludf.DUMMYFUNCTION("""COMPUTED_VALUE"""),"No")</f>
        <v>No</v>
      </c>
      <c r="AI1192" s="5" t="str">
        <f ca="1">IFERROR(__xludf.DUMMYFUNCTION("""COMPUTED_VALUE"""),"No")</f>
        <v>No</v>
      </c>
      <c r="AJ1192" s="5" t="str">
        <f ca="1">IFERROR(__xludf.DUMMYFUNCTION("""COMPUTED_VALUE"""),"Yes")</f>
        <v>Yes</v>
      </c>
    </row>
    <row r="1193" spans="1:36" ht="13">
      <c r="A1193" s="5" t="str">
        <f ca="1">IFERROR(__xludf.DUMMYFUNCTION("""COMPUTED_VALUE"""),"20131204FLWEW")</f>
        <v>20131204FLWEW</v>
      </c>
      <c r="B1193" s="5">
        <f ca="1">IFERROR(__xludf.DUMMYFUNCTION("""COMPUTED_VALUE"""),12)</f>
        <v>12</v>
      </c>
      <c r="C1193" s="5">
        <f ca="1">IFERROR(__xludf.DUMMYFUNCTION("""COMPUTED_VALUE"""),4)</f>
        <v>4</v>
      </c>
      <c r="D1193" s="5">
        <f ca="1">IFERROR(__xludf.DUMMYFUNCTION("""COMPUTED_VALUE"""),2013)</f>
        <v>2013</v>
      </c>
      <c r="E1193" s="8">
        <f ca="1">IFERROR(__xludf.DUMMYFUNCTION("""COMPUTED_VALUE"""),41612)</f>
        <v>41612</v>
      </c>
      <c r="F1193" s="5" t="str">
        <f ca="1">IFERROR(__xludf.DUMMYFUNCTION("""COMPUTED_VALUE"""),"West Orange High School")</f>
        <v>West Orange High School</v>
      </c>
      <c r="G1193" s="5">
        <f ca="1">IFERROR(__xludf.DUMMYFUNCTION("""COMPUTED_VALUE"""),0)</f>
        <v>0</v>
      </c>
      <c r="H1193" s="5">
        <f ca="1">IFERROR(__xludf.DUMMYFUNCTION("""COMPUTED_VALUE"""),1)</f>
        <v>1</v>
      </c>
      <c r="I1193" s="5">
        <f ca="1">IFERROR(__xludf.DUMMYFUNCTION("""COMPUTED_VALUE"""),1)</f>
        <v>1</v>
      </c>
      <c r="J1193" s="5">
        <f ca="1">IFERROR(__xludf.DUMMYFUNCTION("""COMPUTED_VALUE"""),0)</f>
        <v>0</v>
      </c>
      <c r="K1193" s="9" t="str">
        <f ca="1">IFERROR(__xludf.DUMMYFUNCTION("""COMPUTED_VALUE"""),"https://www.clickorlando.com/news/student-shot-in-face-at-west-orange-high-school-_2015110710074418")</f>
        <v>https://www.clickorlando.com/news/student-shot-in-face-at-west-orange-high-school-_2015110710074418</v>
      </c>
      <c r="L1193" s="5">
        <f ca="1">IFERROR(__xludf.DUMMYFUNCTION("""COMPUTED_VALUE"""),5)</f>
        <v>5</v>
      </c>
      <c r="M1193" s="5" t="str">
        <f ca="1">IFERROR(__xludf.DUMMYFUNCTION("""COMPUTED_VALUE"""),"Local")</f>
        <v>Local</v>
      </c>
      <c r="N1193" s="5">
        <f ca="1">IFERROR(__xludf.DUMMYFUNCTION("""COMPUTED_VALUE"""),2)</f>
        <v>2</v>
      </c>
      <c r="O1193" s="5" t="str">
        <f ca="1">IFERROR(__xludf.DUMMYFUNCTION("""COMPUTED_VALUE"""),"Winter")</f>
        <v>Winter</v>
      </c>
      <c r="P1193" s="5" t="str">
        <f ca="1">IFERROR(__xludf.DUMMYFUNCTION("""COMPUTED_VALUE"""),"Winter Garden")</f>
        <v>Winter Garden</v>
      </c>
      <c r="Q1193" s="5" t="str">
        <f ca="1">IFERROR(__xludf.DUMMYFUNCTION("""COMPUTED_VALUE"""),"FL")</f>
        <v>FL</v>
      </c>
      <c r="R1193" s="5" t="str">
        <f ca="1">IFERROR(__xludf.DUMMYFUNCTION("""COMPUTED_VALUE"""),"High")</f>
        <v>High</v>
      </c>
      <c r="S1193" s="5" t="str">
        <f ca="1">IFERROR(__xludf.DUMMYFUNCTION("""COMPUTED_VALUE"""),"Beside Building")</f>
        <v>Beside Building</v>
      </c>
      <c r="T1193" s="5" t="str">
        <f ca="1">IFERROR(__xludf.DUMMYFUNCTION("""COMPUTED_VALUE"""),"Outside on School Property")</f>
        <v>Outside on School Property</v>
      </c>
      <c r="U1193" s="5" t="str">
        <f ca="1">IFERROR(__xludf.DUMMYFUNCTION("""COMPUTED_VALUE"""),"No")</f>
        <v>No</v>
      </c>
      <c r="V1193" s="5" t="str">
        <f ca="1">IFERROR(__xludf.DUMMYFUNCTION("""COMPUTED_VALUE"""),"Dismissal")</f>
        <v>Dismissal</v>
      </c>
      <c r="W1193" s="10">
        <f ca="1">IFERROR(__xludf.DUMMYFUNCTION("""COMPUTED_VALUE"""),0.552083333333333)</f>
        <v>0.55208333333333304</v>
      </c>
      <c r="X1193" s="5">
        <f ca="1">IFERROR(__xludf.DUMMYFUNCTION("""COMPUTED_VALUE"""),1)</f>
        <v>1</v>
      </c>
      <c r="Y1193" s="5" t="str">
        <f ca="1">IFERROR(__xludf.DUMMYFUNCTION("""COMPUTED_VALUE"""),"Shots fired during fight over cell phone")</f>
        <v>Shots fired during fight over cell phone</v>
      </c>
      <c r="Z1193" s="5" t="str">
        <f ca="1">IFERROR(__xludf.DUMMYFUNCTION("""COMPUTED_VALUE"""),"Fight between shooter and student after school that escalated into shooting. Victim was shot in face and abdomen. Victim allegedly threw Shooter's phone at a bus. Also, victim had previous warnings because of fights and officials had talked to him about b"&amp;"ehavioral problems. Shooter was a known gang member. School officials administered first aid. There were witnesses but they left to avoid trouble. Shooter was suspended from the school at the time of the shooting following a physical altercation with anot"&amp;"her student. Shooter fled the area immediately after the shooting.")</f>
        <v>Fight between shooter and student after school that escalated into shooting. Victim was shot in face and abdomen. Victim allegedly threw Shooter's phone at a bus. Also, victim had previous warnings because of fights and officials had talked to him about behavioral problems. Shooter was a known gang member. School officials administered first aid. There were witnesses but they left to avoid trouble. Shooter was suspended from the school at the time of the shooting following a physical altercation with another student. Shooter fled the area immediately after the shooting.</v>
      </c>
      <c r="AA1193" s="5" t="str">
        <f ca="1">IFERROR(__xludf.DUMMYFUNCTION("""COMPUTED_VALUE"""),"Escalation of Dispute")</f>
        <v>Escalation of Dispute</v>
      </c>
      <c r="AB1193" s="5" t="str">
        <f ca="1">IFERROR(__xludf.DUMMYFUNCTION("""COMPUTED_VALUE"""),"Victims Targeted")</f>
        <v>Victims Targeted</v>
      </c>
      <c r="AC1193" s="5" t="str">
        <f ca="1">IFERROR(__xludf.DUMMYFUNCTION("""COMPUTED_VALUE"""),"No")</f>
        <v>No</v>
      </c>
      <c r="AD1193" s="5" t="str">
        <f ca="1">IFERROR(__xludf.DUMMYFUNCTION("""COMPUTED_VALUE"""),"No")</f>
        <v>No</v>
      </c>
      <c r="AE1193" s="5" t="str">
        <f ca="1">IFERROR(__xludf.DUMMYFUNCTION("""COMPUTED_VALUE"""),"No")</f>
        <v>No</v>
      </c>
      <c r="AF1193" s="5" t="str">
        <f ca="1">IFERROR(__xludf.DUMMYFUNCTION("""COMPUTED_VALUE"""),"No")</f>
        <v>No</v>
      </c>
      <c r="AG1193" s="5" t="str">
        <f ca="1">IFERROR(__xludf.DUMMYFUNCTION("""COMPUTED_VALUE"""),"No")</f>
        <v>No</v>
      </c>
      <c r="AH1193" s="5" t="str">
        <f ca="1">IFERROR(__xludf.DUMMYFUNCTION("""COMPUTED_VALUE"""),"No")</f>
        <v>No</v>
      </c>
      <c r="AI1193" s="5" t="str">
        <f ca="1">IFERROR(__xludf.DUMMYFUNCTION("""COMPUTED_VALUE"""),"No")</f>
        <v>No</v>
      </c>
      <c r="AJ1193" s="5"/>
    </row>
    <row r="1194" spans="1:36" ht="13">
      <c r="A1194" s="5" t="str">
        <f ca="1">IFERROR(__xludf.DUMMYFUNCTION("""COMPUTED_VALUE"""),"20131113PABRP")</f>
        <v>20131113PABRP</v>
      </c>
      <c r="B1194" s="5">
        <f ca="1">IFERROR(__xludf.DUMMYFUNCTION("""COMPUTED_VALUE"""),11)</f>
        <v>11</v>
      </c>
      <c r="C1194" s="5">
        <f ca="1">IFERROR(__xludf.DUMMYFUNCTION("""COMPUTED_VALUE"""),13)</f>
        <v>13</v>
      </c>
      <c r="D1194" s="5">
        <f ca="1">IFERROR(__xludf.DUMMYFUNCTION("""COMPUTED_VALUE"""),2013)</f>
        <v>2013</v>
      </c>
      <c r="E1194" s="8">
        <f ca="1">IFERROR(__xludf.DUMMYFUNCTION("""COMPUTED_VALUE"""),41591)</f>
        <v>41591</v>
      </c>
      <c r="F1194" s="5" t="str">
        <f ca="1">IFERROR(__xludf.DUMMYFUNCTION("""COMPUTED_VALUE"""),"Brashear High School")</f>
        <v>Brashear High School</v>
      </c>
      <c r="G1194" s="5">
        <f ca="1">IFERROR(__xludf.DUMMYFUNCTION("""COMPUTED_VALUE"""),0)</f>
        <v>0</v>
      </c>
      <c r="H1194" s="5">
        <f ca="1">IFERROR(__xludf.DUMMYFUNCTION("""COMPUTED_VALUE"""),3)</f>
        <v>3</v>
      </c>
      <c r="I1194" s="5">
        <f ca="1">IFERROR(__xludf.DUMMYFUNCTION("""COMPUTED_VALUE"""),3)</f>
        <v>3</v>
      </c>
      <c r="J1194" s="5">
        <f ca="1">IFERROR(__xludf.DUMMYFUNCTION("""COMPUTED_VALUE"""),0)</f>
        <v>0</v>
      </c>
      <c r="K1194" s="5" t="str">
        <f ca="1">IFERROR(__xludf.DUMMYFUNCTION("""COMPUTED_VALUE"""),"https://www.palmbeachpost.com/news/local/arrest-made-shooting-near-brashear-high-school/NGHP1kh1t1kOrBfjCno91K/  https://www.newspapers.com/image/440186960/?terms=student%2Bshot")</f>
        <v>https://www.palmbeachpost.com/news/local/arrest-made-shooting-near-brashear-high-school/NGHP1kh1t1kOrBfjCno91K/  https://www.newspapers.com/image/440186960/?terms=student%2Bshot</v>
      </c>
      <c r="L1194" s="5">
        <f ca="1">IFERROR(__xludf.DUMMYFUNCTION("""COMPUTED_VALUE"""),1)</f>
        <v>1</v>
      </c>
      <c r="M1194" s="5" t="str">
        <f ca="1">IFERROR(__xludf.DUMMYFUNCTION("""COMPUTED_VALUE"""),"Local")</f>
        <v>Local</v>
      </c>
      <c r="N1194" s="5">
        <f ca="1">IFERROR(__xludf.DUMMYFUNCTION("""COMPUTED_VALUE"""),3)</f>
        <v>3</v>
      </c>
      <c r="O1194" s="5" t="str">
        <f ca="1">IFERROR(__xludf.DUMMYFUNCTION("""COMPUTED_VALUE"""),"Fall")</f>
        <v>Fall</v>
      </c>
      <c r="P1194" s="5" t="str">
        <f ca="1">IFERROR(__xludf.DUMMYFUNCTION("""COMPUTED_VALUE"""),"Pittsburgh")</f>
        <v>Pittsburgh</v>
      </c>
      <c r="Q1194" s="5" t="str">
        <f ca="1">IFERROR(__xludf.DUMMYFUNCTION("""COMPUTED_VALUE"""),"PA")</f>
        <v>PA</v>
      </c>
      <c r="R1194" s="5" t="str">
        <f ca="1">IFERROR(__xludf.DUMMYFUNCTION("""COMPUTED_VALUE"""),"High")</f>
        <v>High</v>
      </c>
      <c r="S1194" s="5" t="str">
        <f ca="1">IFERROR(__xludf.DUMMYFUNCTION("""COMPUTED_VALUE"""),"Off School Property")</f>
        <v>Off School Property</v>
      </c>
      <c r="T1194" s="5" t="str">
        <f ca="1">IFERROR(__xludf.DUMMYFUNCTION("""COMPUTED_VALUE"""),"Off School Property")</f>
        <v>Off School Property</v>
      </c>
      <c r="U1194" s="5" t="str">
        <f ca="1">IFERROR(__xludf.DUMMYFUNCTION("""COMPUTED_VALUE"""),"Yes")</f>
        <v>Yes</v>
      </c>
      <c r="V1194" s="5" t="str">
        <f ca="1">IFERROR(__xludf.DUMMYFUNCTION("""COMPUTED_VALUE"""),"After School")</f>
        <v>After School</v>
      </c>
      <c r="W1194" s="10">
        <f ca="1">IFERROR(__xludf.DUMMYFUNCTION("""COMPUTED_VALUE"""),0.625)</f>
        <v>0.625</v>
      </c>
      <c r="X1194" s="5">
        <f ca="1">IFERROR(__xludf.DUMMYFUNCTION("""COMPUTED_VALUE"""),1)</f>
        <v>1</v>
      </c>
      <c r="Y1194" s="5" t="str">
        <f ca="1">IFERROR(__xludf.DUMMYFUNCTION("""COMPUTED_VALUE"""),"Shooting was revenge for previous fight")</f>
        <v>Shooting was revenge for previous fight</v>
      </c>
      <c r="Z1194" s="5" t="str">
        <f ca="1">IFERROR(__xludf.DUMMYFUNCTION("""COMPUTED_VALUE"""),"Allegedly, shooter was assaulted and robbed by the victims the month prior, the case was investigated but shooter said he would take care of it himself. Shooter allegedly ambushed the victims from a wooded area outside of school property, and fired shots."&amp;" They were a group of 4, 3 got wounded and ran to the school for safety.")</f>
        <v>Allegedly, shooter was assaulted and robbed by the victims the month prior, the case was investigated but shooter said he would take care of it himself. Shooter allegedly ambushed the victims from a wooded area outside of school property, and fired shots. They were a group of 4, 3 got wounded and ran to the school for safety.</v>
      </c>
      <c r="AA1194" s="5" t="str">
        <f ca="1">IFERROR(__xludf.DUMMYFUNCTION("""COMPUTED_VALUE"""),"Escalation of Dispute")</f>
        <v>Escalation of Dispute</v>
      </c>
      <c r="AB1194" s="5" t="str">
        <f ca="1">IFERROR(__xludf.DUMMYFUNCTION("""COMPUTED_VALUE"""),"Victims Targeted")</f>
        <v>Victims Targeted</v>
      </c>
      <c r="AC1194" s="5" t="str">
        <f ca="1">IFERROR(__xludf.DUMMYFUNCTION("""COMPUTED_VALUE"""),"Yes")</f>
        <v>Yes</v>
      </c>
      <c r="AD1194" s="5" t="str">
        <f ca="1">IFERROR(__xludf.DUMMYFUNCTION("""COMPUTED_VALUE"""),"No")</f>
        <v>No</v>
      </c>
      <c r="AE1194" s="5" t="str">
        <f ca="1">IFERROR(__xludf.DUMMYFUNCTION("""COMPUTED_VALUE"""),"No")</f>
        <v>No</v>
      </c>
      <c r="AF1194" s="5" t="str">
        <f ca="1">IFERROR(__xludf.DUMMYFUNCTION("""COMPUTED_VALUE"""),"No")</f>
        <v>No</v>
      </c>
      <c r="AG1194" s="5" t="str">
        <f ca="1">IFERROR(__xludf.DUMMYFUNCTION("""COMPUTED_VALUE"""),"No")</f>
        <v>No</v>
      </c>
      <c r="AH1194" s="5" t="str">
        <f ca="1">IFERROR(__xludf.DUMMYFUNCTION("""COMPUTED_VALUE"""),"No")</f>
        <v>No</v>
      </c>
      <c r="AI1194" s="5" t="str">
        <f ca="1">IFERROR(__xludf.DUMMYFUNCTION("""COMPUTED_VALUE"""),"No")</f>
        <v>No</v>
      </c>
      <c r="AJ1194" s="5"/>
    </row>
    <row r="1195" spans="1:36" ht="13">
      <c r="A1195" s="5" t="str">
        <f ca="1">IFERROR(__xludf.DUMMYFUNCTION("""COMPUTED_VALUE"""),"20131103GASTL")</f>
        <v>20131103GASTL</v>
      </c>
      <c r="B1195" s="5">
        <f ca="1">IFERROR(__xludf.DUMMYFUNCTION("""COMPUTED_VALUE"""),11)</f>
        <v>11</v>
      </c>
      <c r="C1195" s="5">
        <f ca="1">IFERROR(__xludf.DUMMYFUNCTION("""COMPUTED_VALUE"""),3)</f>
        <v>3</v>
      </c>
      <c r="D1195" s="5">
        <f ca="1">IFERROR(__xludf.DUMMYFUNCTION("""COMPUTED_VALUE"""),2013)</f>
        <v>2013</v>
      </c>
      <c r="E1195" s="8">
        <f ca="1">IFERROR(__xludf.DUMMYFUNCTION("""COMPUTED_VALUE"""),41581)</f>
        <v>41581</v>
      </c>
      <c r="F1195" s="5" t="str">
        <f ca="1">IFERROR(__xludf.DUMMYFUNCTION("""COMPUTED_VALUE"""),"Stephenson High School")</f>
        <v>Stephenson High School</v>
      </c>
      <c r="G1195" s="5">
        <f ca="1">IFERROR(__xludf.DUMMYFUNCTION("""COMPUTED_VALUE"""),0)</f>
        <v>0</v>
      </c>
      <c r="H1195" s="5">
        <f ca="1">IFERROR(__xludf.DUMMYFUNCTION("""COMPUTED_VALUE"""),1)</f>
        <v>1</v>
      </c>
      <c r="I1195" s="5">
        <f ca="1">IFERROR(__xludf.DUMMYFUNCTION("""COMPUTED_VALUE"""),1)</f>
        <v>1</v>
      </c>
      <c r="J1195" s="5">
        <f ca="1">IFERROR(__xludf.DUMMYFUNCTION("""COMPUTED_VALUE"""),0)</f>
        <v>0</v>
      </c>
      <c r="K1195" s="9" t="str">
        <f ca="1">IFERROR(__xludf.DUMMYFUNCTION("""COMPUTED_VALUE"""),"https://patch.com/georgia/stonemountain/stephenson-high-student-shot-at-school")</f>
        <v>https://patch.com/georgia/stonemountain/stephenson-high-student-shot-at-school</v>
      </c>
      <c r="L1195" s="5">
        <f ca="1">IFERROR(__xludf.DUMMYFUNCTION("""COMPUTED_VALUE"""),1)</f>
        <v>1</v>
      </c>
      <c r="M1195" s="5" t="str">
        <f ca="1">IFERROR(__xludf.DUMMYFUNCTION("""COMPUTED_VALUE"""),"Local")</f>
        <v>Local</v>
      </c>
      <c r="N1195" s="5">
        <f ca="1">IFERROR(__xludf.DUMMYFUNCTION("""COMPUTED_VALUE"""),2)</f>
        <v>2</v>
      </c>
      <c r="O1195" s="5" t="str">
        <f ca="1">IFERROR(__xludf.DUMMYFUNCTION("""COMPUTED_VALUE"""),"Fall")</f>
        <v>Fall</v>
      </c>
      <c r="P1195" s="5" t="str">
        <f ca="1">IFERROR(__xludf.DUMMYFUNCTION("""COMPUTED_VALUE"""),"Lithonia")</f>
        <v>Lithonia</v>
      </c>
      <c r="Q1195" s="5" t="str">
        <f ca="1">IFERROR(__xludf.DUMMYFUNCTION("""COMPUTED_VALUE"""),"GA")</f>
        <v>GA</v>
      </c>
      <c r="R1195" s="5" t="str">
        <f ca="1">IFERROR(__xludf.DUMMYFUNCTION("""COMPUTED_VALUE"""),"High")</f>
        <v>High</v>
      </c>
      <c r="S1195" s="5" t="str">
        <f ca="1">IFERROR(__xludf.DUMMYFUNCTION("""COMPUTED_VALUE"""),"Parking Lot")</f>
        <v>Parking Lot</v>
      </c>
      <c r="T1195" s="5" t="str">
        <f ca="1">IFERROR(__xludf.DUMMYFUNCTION("""COMPUTED_VALUE"""),"Outside on School Property")</f>
        <v>Outside on School Property</v>
      </c>
      <c r="U1195" s="5" t="str">
        <f ca="1">IFERROR(__xludf.DUMMYFUNCTION("""COMPUTED_VALUE"""),"No")</f>
        <v>No</v>
      </c>
      <c r="V1195" s="5" t="str">
        <f ca="1">IFERROR(__xludf.DUMMYFUNCTION("""COMPUTED_VALUE"""),"Not a School Day")</f>
        <v>Not a School Day</v>
      </c>
      <c r="W1195" s="5"/>
      <c r="X1195" s="5">
        <f ca="1">IFERROR(__xludf.DUMMYFUNCTION("""COMPUTED_VALUE"""),1)</f>
        <v>1</v>
      </c>
      <c r="Y1195" s="5" t="str">
        <f ca="1">IFERROR(__xludf.DUMMYFUNCTION("""COMPUTED_VALUE"""),"Fight between rival football teams")</f>
        <v>Fight between rival football teams</v>
      </c>
      <c r="Z1195" s="5" t="str">
        <f ca="1">IFERROR(__xludf.DUMMYFUNCTION("""COMPUTED_VALUE"""),"The victim (a football player) was at the school for a team meeting to view video from Friday night’s game when a fight broke out in the parking lot with teenagers that are students of the school. The victim was shot in the abdomen. Allegedly, the victim "&amp;"was a bystander and did not participate in the fight. The suspects left in a car, some of them were later arrested.")</f>
        <v>The victim (a football player) was at the school for a team meeting to view video from Friday night’s game when a fight broke out in the parking lot with teenagers that are students of the school. The victim was shot in the abdomen. Allegedly, the victim was a bystander and did not participate in the fight. The suspects left in a car, some of them were later arrested.</v>
      </c>
      <c r="AA1195" s="5" t="str">
        <f ca="1">IFERROR(__xludf.DUMMYFUNCTION("""COMPUTED_VALUE"""),"Escalation of Dispute")</f>
        <v>Escalation of Dispute</v>
      </c>
      <c r="AB1195" s="5" t="str">
        <f ca="1">IFERROR(__xludf.DUMMYFUNCTION("""COMPUTED_VALUE"""),"Random Shooting")</f>
        <v>Random Shooting</v>
      </c>
      <c r="AC1195" s="5" t="str">
        <f ca="1">IFERROR(__xludf.DUMMYFUNCTION("""COMPUTED_VALUE"""),"Yes")</f>
        <v>Yes</v>
      </c>
      <c r="AD1195" s="5" t="str">
        <f ca="1">IFERROR(__xludf.DUMMYFUNCTION("""COMPUTED_VALUE"""),"No")</f>
        <v>No</v>
      </c>
      <c r="AE1195" s="5" t="str">
        <f ca="1">IFERROR(__xludf.DUMMYFUNCTION("""COMPUTED_VALUE"""),"No")</f>
        <v>No</v>
      </c>
      <c r="AF1195" s="5" t="str">
        <f ca="1">IFERROR(__xludf.DUMMYFUNCTION("""COMPUTED_VALUE"""),"No")</f>
        <v>No</v>
      </c>
      <c r="AG1195" s="5" t="str">
        <f ca="1">IFERROR(__xludf.DUMMYFUNCTION("""COMPUTED_VALUE"""),"No")</f>
        <v>No</v>
      </c>
      <c r="AH1195" s="5" t="str">
        <f ca="1">IFERROR(__xludf.DUMMYFUNCTION("""COMPUTED_VALUE"""),"No")</f>
        <v>No</v>
      </c>
      <c r="AI1195" s="5" t="str">
        <f ca="1">IFERROR(__xludf.DUMMYFUNCTION("""COMPUTED_VALUE"""),"No")</f>
        <v>No</v>
      </c>
      <c r="AJ1195" s="5"/>
    </row>
    <row r="1196" spans="1:36" ht="13">
      <c r="A1196" s="5" t="str">
        <f ca="1">IFERROR(__xludf.DUMMYFUNCTION("""COMPUTED_VALUE"""),"20131101IAALA")</f>
        <v>20131101IAALA</v>
      </c>
      <c r="B1196" s="5">
        <f ca="1">IFERROR(__xludf.DUMMYFUNCTION("""COMPUTED_VALUE"""),11)</f>
        <v>11</v>
      </c>
      <c r="C1196" s="5">
        <f ca="1">IFERROR(__xludf.DUMMYFUNCTION("""COMPUTED_VALUE"""),1)</f>
        <v>1</v>
      </c>
      <c r="D1196" s="5">
        <f ca="1">IFERROR(__xludf.DUMMYFUNCTION("""COMPUTED_VALUE"""),2013)</f>
        <v>2013</v>
      </c>
      <c r="E1196" s="8">
        <f ca="1">IFERROR(__xludf.DUMMYFUNCTION("""COMPUTED_VALUE"""),41579)</f>
        <v>41579</v>
      </c>
      <c r="F1196" s="5" t="str">
        <f ca="1">IFERROR(__xludf.DUMMYFUNCTION("""COMPUTED_VALUE"""),"Algona High School")</f>
        <v>Algona High School</v>
      </c>
      <c r="G1196" s="5">
        <f ca="1">IFERROR(__xludf.DUMMYFUNCTION("""COMPUTED_VALUE"""),0)</f>
        <v>0</v>
      </c>
      <c r="H1196" s="5">
        <f ca="1">IFERROR(__xludf.DUMMYFUNCTION("""COMPUTED_VALUE"""),0)</f>
        <v>0</v>
      </c>
      <c r="I1196" s="5">
        <f ca="1">IFERROR(__xludf.DUMMYFUNCTION("""COMPUTED_VALUE"""),0)</f>
        <v>0</v>
      </c>
      <c r="J1196" s="5">
        <f ca="1">IFERROR(__xludf.DUMMYFUNCTION("""COMPUTED_VALUE"""),1)</f>
        <v>1</v>
      </c>
      <c r="K1196" s="9" t="str">
        <f ca="1">IFERROR(__xludf.DUMMYFUNCTION("""COMPUTED_VALUE"""),"https://whotv.com/2013/11/01/schools-closed-body-found-at-algona-school/")</f>
        <v>https://whotv.com/2013/11/01/schools-closed-body-found-at-algona-school/</v>
      </c>
      <c r="L1196" s="5">
        <f ca="1">IFERROR(__xludf.DUMMYFUNCTION("""COMPUTED_VALUE"""),1)</f>
        <v>1</v>
      </c>
      <c r="M1196" s="5" t="str">
        <f ca="1">IFERROR(__xludf.DUMMYFUNCTION("""COMPUTED_VALUE"""),"Local")</f>
        <v>Local</v>
      </c>
      <c r="N1196" s="5">
        <f ca="1">IFERROR(__xludf.DUMMYFUNCTION("""COMPUTED_VALUE"""),2)</f>
        <v>2</v>
      </c>
      <c r="O1196" s="5" t="str">
        <f ca="1">IFERROR(__xludf.DUMMYFUNCTION("""COMPUTED_VALUE"""),"Fall")</f>
        <v>Fall</v>
      </c>
      <c r="P1196" s="5" t="str">
        <f ca="1">IFERROR(__xludf.DUMMYFUNCTION("""COMPUTED_VALUE"""),"Algona")</f>
        <v>Algona</v>
      </c>
      <c r="Q1196" s="5" t="str">
        <f ca="1">IFERROR(__xludf.DUMMYFUNCTION("""COMPUTED_VALUE"""),"IA")</f>
        <v>IA</v>
      </c>
      <c r="R1196" s="5" t="str">
        <f ca="1">IFERROR(__xludf.DUMMYFUNCTION("""COMPUTED_VALUE"""),"High")</f>
        <v>High</v>
      </c>
      <c r="S1196" s="5" t="str">
        <f ca="1">IFERROR(__xludf.DUMMYFUNCTION("""COMPUTED_VALUE"""),"Field (General)")</f>
        <v>Field (General)</v>
      </c>
      <c r="T1196" s="5" t="str">
        <f ca="1">IFERROR(__xludf.DUMMYFUNCTION("""COMPUTED_VALUE"""),"Outside on School Property")</f>
        <v>Outside on School Property</v>
      </c>
      <c r="U1196" s="5" t="str">
        <f ca="1">IFERROR(__xludf.DUMMYFUNCTION("""COMPUTED_VALUE"""),"No")</f>
        <v>No</v>
      </c>
      <c r="V1196" s="5" t="str">
        <f ca="1">IFERROR(__xludf.DUMMYFUNCTION("""COMPUTED_VALUE"""),"Night")</f>
        <v>Night</v>
      </c>
      <c r="W1196" s="10">
        <f ca="1">IFERROR(__xludf.DUMMYFUNCTION("""COMPUTED_VALUE"""),0.0555555555555555)</f>
        <v>5.5555555555555497E-2</v>
      </c>
      <c r="X1196" s="5">
        <f ca="1">IFERROR(__xludf.DUMMYFUNCTION("""COMPUTED_VALUE"""),1)</f>
        <v>1</v>
      </c>
      <c r="Y1196" s="5" t="str">
        <f ca="1">IFERROR(__xludf.DUMMYFUNCTION("""COMPUTED_VALUE"""),"Suicide on school property")</f>
        <v>Suicide on school property</v>
      </c>
      <c r="Z1196" s="5" t="str">
        <f ca="1">IFERROR(__xludf.DUMMYFUNCTION("""COMPUTED_VALUE"""),"Shooter died of a self inflicted gunshot wound - was former marine and former graduate of school where he shot himself.")</f>
        <v>Shooter died of a self inflicted gunshot wound - was former marine and former graduate of school where he shot himself.</v>
      </c>
      <c r="AA1196" s="5" t="str">
        <f ca="1">IFERROR(__xludf.DUMMYFUNCTION("""COMPUTED_VALUE"""),"Suicide/Attempted")</f>
        <v>Suicide/Attempted</v>
      </c>
      <c r="AB1196" s="5" t="str">
        <f ca="1">IFERROR(__xludf.DUMMYFUNCTION("""COMPUTED_VALUE"""),"Victims Targeted")</f>
        <v>Victims Targeted</v>
      </c>
      <c r="AC1196" s="5" t="str">
        <f ca="1">IFERROR(__xludf.DUMMYFUNCTION("""COMPUTED_VALUE"""),"No")</f>
        <v>No</v>
      </c>
      <c r="AD1196" s="5" t="str">
        <f ca="1">IFERROR(__xludf.DUMMYFUNCTION("""COMPUTED_VALUE"""),"No")</f>
        <v>No</v>
      </c>
      <c r="AE1196" s="5" t="str">
        <f ca="1">IFERROR(__xludf.DUMMYFUNCTION("""COMPUTED_VALUE"""),"No")</f>
        <v>No</v>
      </c>
      <c r="AF1196" s="5" t="str">
        <f ca="1">IFERROR(__xludf.DUMMYFUNCTION("""COMPUTED_VALUE"""),"No")</f>
        <v>No</v>
      </c>
      <c r="AG1196" s="5" t="str">
        <f ca="1">IFERROR(__xludf.DUMMYFUNCTION("""COMPUTED_VALUE"""),"No")</f>
        <v>No</v>
      </c>
      <c r="AH1196" s="5" t="str">
        <f ca="1">IFERROR(__xludf.DUMMYFUNCTION("""COMPUTED_VALUE"""),"No")</f>
        <v>No</v>
      </c>
      <c r="AI1196" s="5" t="str">
        <f ca="1">IFERROR(__xludf.DUMMYFUNCTION("""COMPUTED_VALUE"""),"No")</f>
        <v>No</v>
      </c>
      <c r="AJ1196" s="5"/>
    </row>
    <row r="1197" spans="1:36" ht="13">
      <c r="A1197" s="5" t="str">
        <f ca="1">IFERROR(__xludf.DUMMYFUNCTION("""COMPUTED_VALUE"""),"20131023CANEC")</f>
        <v>20131023CANEC</v>
      </c>
      <c r="B1197" s="5">
        <f ca="1">IFERROR(__xludf.DUMMYFUNCTION("""COMPUTED_VALUE"""),10)</f>
        <v>10</v>
      </c>
      <c r="C1197" s="5">
        <f ca="1">IFERROR(__xludf.DUMMYFUNCTION("""COMPUTED_VALUE"""),23)</f>
        <v>23</v>
      </c>
      <c r="D1197" s="5">
        <f ca="1">IFERROR(__xludf.DUMMYFUNCTION("""COMPUTED_VALUE"""),2013)</f>
        <v>2013</v>
      </c>
      <c r="E1197" s="8">
        <f ca="1">IFERROR(__xludf.DUMMYFUNCTION("""COMPUTED_VALUE"""),41570)</f>
        <v>41570</v>
      </c>
      <c r="F1197" s="5" t="str">
        <f ca="1">IFERROR(__xludf.DUMMYFUNCTION("""COMPUTED_VALUE"""),"Newman Elementary School")</f>
        <v>Newman Elementary School</v>
      </c>
      <c r="G1197" s="5">
        <f ca="1">IFERROR(__xludf.DUMMYFUNCTION("""COMPUTED_VALUE"""),0)</f>
        <v>0</v>
      </c>
      <c r="H1197" s="5">
        <f ca="1">IFERROR(__xludf.DUMMYFUNCTION("""COMPUTED_VALUE"""),3)</f>
        <v>3</v>
      </c>
      <c r="I1197" s="5">
        <f ca="1">IFERROR(__xludf.DUMMYFUNCTION("""COMPUTED_VALUE"""),3)</f>
        <v>3</v>
      </c>
      <c r="J1197" s="5">
        <f ca="1">IFERROR(__xludf.DUMMYFUNCTION("""COMPUTED_VALUE"""),0)</f>
        <v>0</v>
      </c>
      <c r="K1197" s="9" t="str">
        <f ca="1">IFERROR(__xludf.DUMMYFUNCTION("""COMPUTED_VALUE"""),"https://www.nbclosangeles.com/news/local/Chino-Newman-Elementary-School-Safety-Demonstration-Weapon-Gun-Misfires-Injures-228984301.html")</f>
        <v>https://www.nbclosangeles.com/news/local/Chino-Newman-Elementary-School-Safety-Demonstration-Weapon-Gun-Misfires-Injures-228984301.html</v>
      </c>
      <c r="L1197" s="5">
        <f ca="1">IFERROR(__xludf.DUMMYFUNCTION("""COMPUTED_VALUE"""),1)</f>
        <v>1</v>
      </c>
      <c r="M1197" s="5" t="str">
        <f ca="1">IFERROR(__xludf.DUMMYFUNCTION("""COMPUTED_VALUE"""),"Local")</f>
        <v>Local</v>
      </c>
      <c r="N1197" s="5">
        <f ca="1">IFERROR(__xludf.DUMMYFUNCTION("""COMPUTED_VALUE"""),2)</f>
        <v>2</v>
      </c>
      <c r="O1197" s="5" t="str">
        <f ca="1">IFERROR(__xludf.DUMMYFUNCTION("""COMPUTED_VALUE"""),"Fall")</f>
        <v>Fall</v>
      </c>
      <c r="P1197" s="5" t="str">
        <f ca="1">IFERROR(__xludf.DUMMYFUNCTION("""COMPUTED_VALUE"""),"Chino")</f>
        <v>Chino</v>
      </c>
      <c r="Q1197" s="5" t="str">
        <f ca="1">IFERROR(__xludf.DUMMYFUNCTION("""COMPUTED_VALUE"""),"CA")</f>
        <v>CA</v>
      </c>
      <c r="R1197" s="5" t="str">
        <f ca="1">IFERROR(__xludf.DUMMYFUNCTION("""COMPUTED_VALUE"""),"Elementary")</f>
        <v>Elementary</v>
      </c>
      <c r="S1197" s="5" t="str">
        <f ca="1">IFERROR(__xludf.DUMMYFUNCTION("""COMPUTED_VALUE"""),"Front of School")</f>
        <v>Front of School</v>
      </c>
      <c r="T1197" s="5" t="str">
        <f ca="1">IFERROR(__xludf.DUMMYFUNCTION("""COMPUTED_VALUE"""),"Outside on School Property")</f>
        <v>Outside on School Property</v>
      </c>
      <c r="U1197" s="5" t="str">
        <f ca="1">IFERROR(__xludf.DUMMYFUNCTION("""COMPUTED_VALUE"""),"Yes")</f>
        <v>Yes</v>
      </c>
      <c r="V1197" s="5" t="str">
        <f ca="1">IFERROR(__xludf.DUMMYFUNCTION("""COMPUTED_VALUE"""),"Morning Classes")</f>
        <v>Morning Classes</v>
      </c>
      <c r="W1197" s="10">
        <f ca="1">IFERROR(__xludf.DUMMYFUNCTION("""COMPUTED_VALUE"""),0.468055555555555)</f>
        <v>0.468055555555555</v>
      </c>
      <c r="X1197" s="5">
        <f ca="1">IFERROR(__xludf.DUMMYFUNCTION("""COMPUTED_VALUE"""),1)</f>
        <v>1</v>
      </c>
      <c r="Y1197" s="5" t="str">
        <f ca="1">IFERROR(__xludf.DUMMYFUNCTION("""COMPUTED_VALUE"""),"Accidental discharge during safety presentation")</f>
        <v>Accidental discharge during safety presentation</v>
      </c>
      <c r="Z1197" s="5" t="str">
        <f ca="1">IFERROR(__xludf.DUMMYFUNCTION("""COMPUTED_VALUE"""),"During a safety presentation, a child pulled the trigger on an AR-15 that was mounted on a police officer's motorcycle, the weapon was never removed. The officers were playing with the kids and were not attending to their weapons.Three students were injur"&amp;"ed by shrapnels.")</f>
        <v>During a safety presentation, a child pulled the trigger on an AR-15 that was mounted on a police officer's motorcycle, the weapon was never removed. The officers were playing with the kids and were not attending to their weapons.Three students were injured by shrapnels.</v>
      </c>
      <c r="AA1197" s="5" t="str">
        <f ca="1">IFERROR(__xludf.DUMMYFUNCTION("""COMPUTED_VALUE"""),"Accidental")</f>
        <v>Accidental</v>
      </c>
      <c r="AB1197" s="5" t="str">
        <f ca="1">IFERROR(__xludf.DUMMYFUNCTION("""COMPUTED_VALUE"""),"Random Shooting")</f>
        <v>Random Shooting</v>
      </c>
      <c r="AC1197" s="5" t="str">
        <f ca="1">IFERROR(__xludf.DUMMYFUNCTION("""COMPUTED_VALUE"""),"No")</f>
        <v>No</v>
      </c>
      <c r="AD1197" s="5" t="str">
        <f ca="1">IFERROR(__xludf.DUMMYFUNCTION("""COMPUTED_VALUE"""),"No")</f>
        <v>No</v>
      </c>
      <c r="AE1197" s="5" t="str">
        <f ca="1">IFERROR(__xludf.DUMMYFUNCTION("""COMPUTED_VALUE"""),"No")</f>
        <v>No</v>
      </c>
      <c r="AF1197" s="5" t="str">
        <f ca="1">IFERROR(__xludf.DUMMYFUNCTION("""COMPUTED_VALUE"""),"No")</f>
        <v>No</v>
      </c>
      <c r="AG1197" s="5" t="str">
        <f ca="1">IFERROR(__xludf.DUMMYFUNCTION("""COMPUTED_VALUE"""),"No")</f>
        <v>No</v>
      </c>
      <c r="AH1197" s="5" t="str">
        <f ca="1">IFERROR(__xludf.DUMMYFUNCTION("""COMPUTED_VALUE"""),"No")</f>
        <v>No</v>
      </c>
      <c r="AI1197" s="5" t="str">
        <f ca="1">IFERROR(__xludf.DUMMYFUNCTION("""COMPUTED_VALUE"""),"No")</f>
        <v>No</v>
      </c>
      <c r="AJ1197" s="5"/>
    </row>
    <row r="1198" spans="1:36" ht="13">
      <c r="A1198" s="5" t="str">
        <f ca="1">IFERROR(__xludf.DUMMYFUNCTION("""COMPUTED_VALUE"""),"20131021NVSPS")</f>
        <v>20131021NVSPS</v>
      </c>
      <c r="B1198" s="5">
        <f ca="1">IFERROR(__xludf.DUMMYFUNCTION("""COMPUTED_VALUE"""),10)</f>
        <v>10</v>
      </c>
      <c r="C1198" s="5">
        <f ca="1">IFERROR(__xludf.DUMMYFUNCTION("""COMPUTED_VALUE"""),21)</f>
        <v>21</v>
      </c>
      <c r="D1198" s="5">
        <f ca="1">IFERROR(__xludf.DUMMYFUNCTION("""COMPUTED_VALUE"""),2013)</f>
        <v>2013</v>
      </c>
      <c r="E1198" s="8">
        <f ca="1">IFERROR(__xludf.DUMMYFUNCTION("""COMPUTED_VALUE"""),41568)</f>
        <v>41568</v>
      </c>
      <c r="F1198" s="5" t="str">
        <f ca="1">IFERROR(__xludf.DUMMYFUNCTION("""COMPUTED_VALUE"""),"Sparks Middle School")</f>
        <v>Sparks Middle School</v>
      </c>
      <c r="G1198" s="5">
        <f ca="1">IFERROR(__xludf.DUMMYFUNCTION("""COMPUTED_VALUE"""),1)</f>
        <v>1</v>
      </c>
      <c r="H1198" s="5">
        <f ca="1">IFERROR(__xludf.DUMMYFUNCTION("""COMPUTED_VALUE"""),2)</f>
        <v>2</v>
      </c>
      <c r="I1198" s="5">
        <f ca="1">IFERROR(__xludf.DUMMYFUNCTION("""COMPUTED_VALUE"""),3)</f>
        <v>3</v>
      </c>
      <c r="J1198" s="5">
        <f ca="1">IFERROR(__xludf.DUMMYFUNCTION("""COMPUTED_VALUE"""),1)</f>
        <v>1</v>
      </c>
      <c r="K1198" s="5" t="str">
        <f ca="1">IFERROR(__xludf.DUMMYFUNCTION("""COMPUTED_VALUE"""),"https://www.rgj.com/story/news/crime/2014/05/13/sparks-middle-school-shooting-report/9050153/ https://www.fbi.gov/file-repository/active-shooter-incidents-2000-2017.pdf")</f>
        <v>https://www.rgj.com/story/news/crime/2014/05/13/sparks-middle-school-shooting-report/9050153/ https://www.fbi.gov/file-repository/active-shooter-incidents-2000-2017.pdf</v>
      </c>
      <c r="L1198" s="5">
        <f ca="1">IFERROR(__xludf.DUMMYFUNCTION("""COMPUTED_VALUE"""),11)</f>
        <v>11</v>
      </c>
      <c r="M1198" s="5" t="str">
        <f ca="1">IFERROR(__xludf.DUMMYFUNCTION("""COMPUTED_VALUE"""),"National")</f>
        <v>National</v>
      </c>
      <c r="N1198" s="5">
        <f ca="1">IFERROR(__xludf.DUMMYFUNCTION("""COMPUTED_VALUE"""),5)</f>
        <v>5</v>
      </c>
      <c r="O1198" s="5" t="str">
        <f ca="1">IFERROR(__xludf.DUMMYFUNCTION("""COMPUTED_VALUE"""),"Fall")</f>
        <v>Fall</v>
      </c>
      <c r="P1198" s="5" t="str">
        <f ca="1">IFERROR(__xludf.DUMMYFUNCTION("""COMPUTED_VALUE"""),"Sparks")</f>
        <v>Sparks</v>
      </c>
      <c r="Q1198" s="5" t="str">
        <f ca="1">IFERROR(__xludf.DUMMYFUNCTION("""COMPUTED_VALUE"""),"NV")</f>
        <v>NV</v>
      </c>
      <c r="R1198" s="5" t="str">
        <f ca="1">IFERROR(__xludf.DUMMYFUNCTION("""COMPUTED_VALUE"""),"Middle")</f>
        <v>Middle</v>
      </c>
      <c r="S1198" s="5" t="str">
        <f ca="1">IFERROR(__xludf.DUMMYFUNCTION("""COMPUTED_VALUE"""),"Beside Building")</f>
        <v>Beside Building</v>
      </c>
      <c r="T1198" s="5" t="str">
        <f ca="1">IFERROR(__xludf.DUMMYFUNCTION("""COMPUTED_VALUE"""),"Outside on School Property")</f>
        <v>Outside on School Property</v>
      </c>
      <c r="U1198" s="5" t="str">
        <f ca="1">IFERROR(__xludf.DUMMYFUNCTION("""COMPUTED_VALUE"""),"Yes")</f>
        <v>Yes</v>
      </c>
      <c r="V1198" s="5" t="str">
        <f ca="1">IFERROR(__xludf.DUMMYFUNCTION("""COMPUTED_VALUE"""),"Before School")</f>
        <v>Before School</v>
      </c>
      <c r="W1198" s="10">
        <f ca="1">IFERROR(__xludf.DUMMYFUNCTION("""COMPUTED_VALUE"""),0.302083333333333)</f>
        <v>0.30208333333333298</v>
      </c>
      <c r="X1198" s="5">
        <f ca="1">IFERROR(__xludf.DUMMYFUNCTION("""COMPUTED_VALUE"""),3)</f>
        <v>3</v>
      </c>
      <c r="Y1198" s="5" t="str">
        <f ca="1">IFERROR(__xludf.DUMMYFUNCTION("""COMPUTED_VALUE"""),"Planned attack following bullying")</f>
        <v>Planned attack following bullying</v>
      </c>
      <c r="Z1198" s="5" t="str">
        <f ca="1">IFERROR(__xludf.DUMMYFUNCTION("""COMPUTED_VALUE"""),"Shooter pulled handgun out of backpack outside of school before the doors opened. Fired at a friend who walked toward him. Killed a teacher who rushed at him. Fired striking one other student before committing suicide. Attempted to take his BB gun to scho"&amp;"ol the day of the shooting but parent would not let him. Student who was shot said they were friends. Shooter was made fun of for speech impediment and spilling water on his pants. Some reports of bullying. Shooter was revely put on medication, had differ"&amp;"ent mental issues and visited therapists; had unstable personality. While shooting, allegedly said they were ruining his life so he would ruin theirs. Shooter googled violence-related words and played violent games.")</f>
        <v>Shooter pulled handgun out of backpack outside of school before the doors opened. Fired at a friend who walked toward him. Killed a teacher who rushed at him. Fired striking one other student before committing suicide. Attempted to take his BB gun to school the day of the shooting but parent would not let him. Student who was shot said they were friends. Shooter was made fun of for speech impediment and spilling water on his pants. Some reports of bullying. Shooter was revely put on medication, had different mental issues and visited therapists; had unstable personality. While shooting, allegedly said they were ruining his life so he would ruin theirs. Shooter googled violence-related words and played violent games.</v>
      </c>
      <c r="AA1198" s="5" t="str">
        <f ca="1">IFERROR(__xludf.DUMMYFUNCTION("""COMPUTED_VALUE"""),"Indiscriminate Shooting")</f>
        <v>Indiscriminate Shooting</v>
      </c>
      <c r="AB1198" s="5" t="str">
        <f ca="1">IFERROR(__xludf.DUMMYFUNCTION("""COMPUTED_VALUE"""),"Both")</f>
        <v>Both</v>
      </c>
      <c r="AC1198" s="5" t="str">
        <f ca="1">IFERROR(__xludf.DUMMYFUNCTION("""COMPUTED_VALUE"""),"No")</f>
        <v>No</v>
      </c>
      <c r="AD1198" s="5" t="str">
        <f ca="1">IFERROR(__xludf.DUMMYFUNCTION("""COMPUTED_VALUE"""),"No")</f>
        <v>No</v>
      </c>
      <c r="AE1198" s="5" t="str">
        <f ca="1">IFERROR(__xludf.DUMMYFUNCTION("""COMPUTED_VALUE"""),"No")</f>
        <v>No</v>
      </c>
      <c r="AF1198" s="5" t="str">
        <f ca="1">IFERROR(__xludf.DUMMYFUNCTION("""COMPUTED_VALUE"""),"No")</f>
        <v>No</v>
      </c>
      <c r="AG1198" s="5" t="str">
        <f ca="1">IFERROR(__xludf.DUMMYFUNCTION("""COMPUTED_VALUE"""),"Yes")</f>
        <v>Yes</v>
      </c>
      <c r="AH1198" s="5" t="str">
        <f ca="1">IFERROR(__xludf.DUMMYFUNCTION("""COMPUTED_VALUE"""),"No")</f>
        <v>No</v>
      </c>
      <c r="AI1198" s="5" t="str">
        <f ca="1">IFERROR(__xludf.DUMMYFUNCTION("""COMPUTED_VALUE"""),"No")</f>
        <v>No</v>
      </c>
      <c r="AJ1198" s="5" t="str">
        <f ca="1">IFERROR(__xludf.DUMMYFUNCTION("""COMPUTED_VALUE"""),"Yes")</f>
        <v>Yes</v>
      </c>
    </row>
    <row r="1199" spans="1:36" ht="13">
      <c r="A1199" s="5" t="str">
        <f ca="1">IFERROR(__xludf.DUMMYFUNCTION("""COMPUTED_VALUE"""),"20131015TXLAA")</f>
        <v>20131015TXLAA</v>
      </c>
      <c r="B1199" s="5">
        <f ca="1">IFERROR(__xludf.DUMMYFUNCTION("""COMPUTED_VALUE"""),10)</f>
        <v>10</v>
      </c>
      <c r="C1199" s="5">
        <f ca="1">IFERROR(__xludf.DUMMYFUNCTION("""COMPUTED_VALUE"""),15)</f>
        <v>15</v>
      </c>
      <c r="D1199" s="5">
        <f ca="1">IFERROR(__xludf.DUMMYFUNCTION("""COMPUTED_VALUE"""),2013)</f>
        <v>2013</v>
      </c>
      <c r="E1199" s="8">
        <f ca="1">IFERROR(__xludf.DUMMYFUNCTION("""COMPUTED_VALUE"""),41562)</f>
        <v>41562</v>
      </c>
      <c r="F1199" s="5" t="str">
        <f ca="1">IFERROR(__xludf.DUMMYFUNCTION("""COMPUTED_VALUE"""),"Lanier High School")</f>
        <v>Lanier High School</v>
      </c>
      <c r="G1199" s="5">
        <f ca="1">IFERROR(__xludf.DUMMYFUNCTION("""COMPUTED_VALUE"""),0)</f>
        <v>0</v>
      </c>
      <c r="H1199" s="5">
        <f ca="1">IFERROR(__xludf.DUMMYFUNCTION("""COMPUTED_VALUE"""),0)</f>
        <v>0</v>
      </c>
      <c r="I1199" s="5">
        <f ca="1">IFERROR(__xludf.DUMMYFUNCTION("""COMPUTED_VALUE"""),0)</f>
        <v>0</v>
      </c>
      <c r="J1199" s="5">
        <f ca="1">IFERROR(__xludf.DUMMYFUNCTION("""COMPUTED_VALUE"""),1)</f>
        <v>1</v>
      </c>
      <c r="K1199" s="9" t="str">
        <f ca="1">IFERROR(__xludf.DUMMYFUNCTION("""COMPUTED_VALUE"""),"http://www.foxnews.com/world/2013/10/17/texas-student-kills-himself-in-front-high-school-classmates.html")</f>
        <v>http://www.foxnews.com/world/2013/10/17/texas-student-kills-himself-in-front-high-school-classmates.html</v>
      </c>
      <c r="L1199" s="5">
        <f ca="1">IFERROR(__xludf.DUMMYFUNCTION("""COMPUTED_VALUE"""),5)</f>
        <v>5</v>
      </c>
      <c r="M1199" s="5" t="str">
        <f ca="1">IFERROR(__xludf.DUMMYFUNCTION("""COMPUTED_VALUE"""),"National")</f>
        <v>National</v>
      </c>
      <c r="N1199" s="5">
        <f ca="1">IFERROR(__xludf.DUMMYFUNCTION("""COMPUTED_VALUE"""),2)</f>
        <v>2</v>
      </c>
      <c r="O1199" s="5" t="str">
        <f ca="1">IFERROR(__xludf.DUMMYFUNCTION("""COMPUTED_VALUE"""),"Fall")</f>
        <v>Fall</v>
      </c>
      <c r="P1199" s="5" t="str">
        <f ca="1">IFERROR(__xludf.DUMMYFUNCTION("""COMPUTED_VALUE"""),"Austin")</f>
        <v>Austin</v>
      </c>
      <c r="Q1199" s="5" t="str">
        <f ca="1">IFERROR(__xludf.DUMMYFUNCTION("""COMPUTED_VALUE"""),"TX")</f>
        <v>TX</v>
      </c>
      <c r="R1199" s="5" t="str">
        <f ca="1">IFERROR(__xludf.DUMMYFUNCTION("""COMPUTED_VALUE"""),"High")</f>
        <v>High</v>
      </c>
      <c r="S1199" s="5" t="str">
        <f ca="1">IFERROR(__xludf.DUMMYFUNCTION("""COMPUTED_VALUE"""),"Courtyard")</f>
        <v>Courtyard</v>
      </c>
      <c r="T1199" s="5" t="str">
        <f ca="1">IFERROR(__xludf.DUMMYFUNCTION("""COMPUTED_VALUE"""),"Outside on School Property")</f>
        <v>Outside on School Property</v>
      </c>
      <c r="U1199" s="5" t="str">
        <f ca="1">IFERROR(__xludf.DUMMYFUNCTION("""COMPUTED_VALUE"""),"Yes")</f>
        <v>Yes</v>
      </c>
      <c r="V1199" s="5" t="str">
        <f ca="1">IFERROR(__xludf.DUMMYFUNCTION("""COMPUTED_VALUE"""),"Lunch")</f>
        <v>Lunch</v>
      </c>
      <c r="W1199" s="10">
        <f ca="1">IFERROR(__xludf.DUMMYFUNCTION("""COMPUTED_VALUE"""),0.502777777777777)</f>
        <v>0.50277777777777699</v>
      </c>
      <c r="X1199" s="5">
        <f ca="1">IFERROR(__xludf.DUMMYFUNCTION("""COMPUTED_VALUE"""),1)</f>
        <v>1</v>
      </c>
      <c r="Y1199" s="5" t="str">
        <f ca="1">IFERROR(__xludf.DUMMYFUNCTION("""COMPUTED_VALUE"""),"Suicide in school courtyard")</f>
        <v>Suicide in school courtyard</v>
      </c>
      <c r="Z1199" s="5" t="str">
        <f ca="1">IFERROR(__xludf.DUMMYFUNCTION("""COMPUTED_VALUE"""),"Shooter was sitting alone in a courtyard outside the cafeteria when he pulled a handgun from his hoodie and shot himself. Shooter posted a suicide note on facebook prior to shooting and a photo with a gun.")</f>
        <v>Shooter was sitting alone in a courtyard outside the cafeteria when he pulled a handgun from his hoodie and shot himself. Shooter posted a suicide note on facebook prior to shooting and a photo with a gun.</v>
      </c>
      <c r="AA1199" s="5" t="str">
        <f ca="1">IFERROR(__xludf.DUMMYFUNCTION("""COMPUTED_VALUE"""),"Suicide/Attempted")</f>
        <v>Suicide/Attempted</v>
      </c>
      <c r="AB1199" s="5" t="str">
        <f ca="1">IFERROR(__xludf.DUMMYFUNCTION("""COMPUTED_VALUE"""),"Victims Targeted")</f>
        <v>Victims Targeted</v>
      </c>
      <c r="AC1199" s="5" t="str">
        <f ca="1">IFERROR(__xludf.DUMMYFUNCTION("""COMPUTED_VALUE"""),"No")</f>
        <v>No</v>
      </c>
      <c r="AD1199" s="5" t="str">
        <f ca="1">IFERROR(__xludf.DUMMYFUNCTION("""COMPUTED_VALUE"""),"No")</f>
        <v>No</v>
      </c>
      <c r="AE1199" s="5" t="str">
        <f ca="1">IFERROR(__xludf.DUMMYFUNCTION("""COMPUTED_VALUE"""),"No")</f>
        <v>No</v>
      </c>
      <c r="AF1199" s="5" t="str">
        <f ca="1">IFERROR(__xludf.DUMMYFUNCTION("""COMPUTED_VALUE"""),"No")</f>
        <v>No</v>
      </c>
      <c r="AG1199" s="5" t="str">
        <f ca="1">IFERROR(__xludf.DUMMYFUNCTION("""COMPUTED_VALUE"""),"No")</f>
        <v>No</v>
      </c>
      <c r="AH1199" s="5" t="str">
        <f ca="1">IFERROR(__xludf.DUMMYFUNCTION("""COMPUTED_VALUE"""),"No")</f>
        <v>No</v>
      </c>
      <c r="AI1199" s="5" t="str">
        <f ca="1">IFERROR(__xludf.DUMMYFUNCTION("""COMPUTED_VALUE"""),"No")</f>
        <v>No</v>
      </c>
      <c r="AJ1199" s="5"/>
    </row>
    <row r="1200" spans="1:36" ht="13">
      <c r="A1200" s="5" t="str">
        <f ca="1">IFERROR(__xludf.DUMMYFUNCTION("""COMPUTED_VALUE"""),"20131004FLAGP")</f>
        <v>20131004FLAGP</v>
      </c>
      <c r="B1200" s="5">
        <f ca="1">IFERROR(__xludf.DUMMYFUNCTION("""COMPUTED_VALUE"""),10)</f>
        <v>10</v>
      </c>
      <c r="C1200" s="5">
        <f ca="1">IFERROR(__xludf.DUMMYFUNCTION("""COMPUTED_VALUE"""),4)</f>
        <v>4</v>
      </c>
      <c r="D1200" s="5">
        <f ca="1">IFERROR(__xludf.DUMMYFUNCTION("""COMPUTED_VALUE"""),2013)</f>
        <v>2013</v>
      </c>
      <c r="E1200" s="8">
        <f ca="1">IFERROR(__xludf.DUMMYFUNCTION("""COMPUTED_VALUE"""),41551)</f>
        <v>41551</v>
      </c>
      <c r="F1200" s="5" t="str">
        <f ca="1">IFERROR(__xludf.DUMMYFUNCTION("""COMPUTED_VALUE"""),"Agape Christian Academy")</f>
        <v>Agape Christian Academy</v>
      </c>
      <c r="G1200" s="5">
        <f ca="1">IFERROR(__xludf.DUMMYFUNCTION("""COMPUTED_VALUE"""),0)</f>
        <v>0</v>
      </c>
      <c r="H1200" s="5">
        <f ca="1">IFERROR(__xludf.DUMMYFUNCTION("""COMPUTED_VALUE"""),2)</f>
        <v>2</v>
      </c>
      <c r="I1200" s="5">
        <f ca="1">IFERROR(__xludf.DUMMYFUNCTION("""COMPUTED_VALUE"""),2)</f>
        <v>2</v>
      </c>
      <c r="J1200" s="5">
        <f ca="1">IFERROR(__xludf.DUMMYFUNCTION("""COMPUTED_VALUE"""),0)</f>
        <v>0</v>
      </c>
      <c r="K1200" s="9" t="str">
        <f ca="1">IFERROR(__xludf.DUMMYFUNCTION("""COMPUTED_VALUE"""),"https://www.wftv.com/news/local/teen-shot-agape-christian-academy-pine-hills/270794978")</f>
        <v>https://www.wftv.com/news/local/teen-shot-agape-christian-academy-pine-hills/270794978</v>
      </c>
      <c r="L1200" s="5">
        <f ca="1">IFERROR(__xludf.DUMMYFUNCTION("""COMPUTED_VALUE"""),1)</f>
        <v>1</v>
      </c>
      <c r="M1200" s="5" t="str">
        <f ca="1">IFERROR(__xludf.DUMMYFUNCTION("""COMPUTED_VALUE"""),"Local")</f>
        <v>Local</v>
      </c>
      <c r="N1200" s="5">
        <f ca="1">IFERROR(__xludf.DUMMYFUNCTION("""COMPUTED_VALUE"""),2)</f>
        <v>2</v>
      </c>
      <c r="O1200" s="5" t="str">
        <f ca="1">IFERROR(__xludf.DUMMYFUNCTION("""COMPUTED_VALUE"""),"Fall")</f>
        <v>Fall</v>
      </c>
      <c r="P1200" s="5" t="str">
        <f ca="1">IFERROR(__xludf.DUMMYFUNCTION("""COMPUTED_VALUE"""),"Pine Hills")</f>
        <v>Pine Hills</v>
      </c>
      <c r="Q1200" s="5" t="str">
        <f ca="1">IFERROR(__xludf.DUMMYFUNCTION("""COMPUTED_VALUE"""),"FL")</f>
        <v>FL</v>
      </c>
      <c r="R1200" s="5" t="str">
        <f ca="1">IFERROR(__xludf.DUMMYFUNCTION("""COMPUTED_VALUE"""),"K-12")</f>
        <v>K-12</v>
      </c>
      <c r="S1200" s="5" t="str">
        <f ca="1">IFERROR(__xludf.DUMMYFUNCTION("""COMPUTED_VALUE"""),"Football Field/Track")</f>
        <v>Football Field/Track</v>
      </c>
      <c r="T1200" s="5" t="str">
        <f ca="1">IFERROR(__xludf.DUMMYFUNCTION("""COMPUTED_VALUE"""),"Outside on School Property")</f>
        <v>Outside on School Property</v>
      </c>
      <c r="U1200" s="5" t="str">
        <f ca="1">IFERROR(__xludf.DUMMYFUNCTION("""COMPUTED_VALUE"""),"No")</f>
        <v>No</v>
      </c>
      <c r="V1200" s="5" t="str">
        <f ca="1">IFERROR(__xludf.DUMMYFUNCTION("""COMPUTED_VALUE"""),"Dismissal")</f>
        <v>Dismissal</v>
      </c>
      <c r="W1200" s="10">
        <f ca="1">IFERROR(__xludf.DUMMYFUNCTION("""COMPUTED_VALUE"""),0.583333333333333)</f>
        <v>0.58333333333333304</v>
      </c>
      <c r="X1200" s="5">
        <f ca="1">IFERROR(__xludf.DUMMYFUNCTION("""COMPUTED_VALUE"""),1)</f>
        <v>1</v>
      </c>
      <c r="Y1200" s="5" t="str">
        <f ca="1">IFERROR(__xludf.DUMMYFUNCTION("""COMPUTED_VALUE"""),"Fight prior to football game, escalated Ongoing dispute")</f>
        <v>Fight prior to football game, escalated Ongoing dispute</v>
      </c>
      <c r="Z1200" s="5" t="str">
        <f ca="1">IFERROR(__xludf.DUMMYFUNCTION("""COMPUTED_VALUE"""),"Fight occurred between players on the football team and a person or persons not attending the school while preparing for the game. The shooter fired shots that grazed two students causing minor injuries. The shooter fled in a vehicle and was not identifie"&amp;"d. Police reported this was part of an ongoing dispute. 16 year old student shot was intended target, 17 year old was bystander.")</f>
        <v>Fight occurred between players on the football team and a person or persons not attending the school while preparing for the game. The shooter fired shots that grazed two students causing minor injuries. The shooter fled in a vehicle and was not identified. Police reported this was part of an ongoing dispute. 16 year old student shot was intended target, 17 year old was bystander.</v>
      </c>
      <c r="AA1200" s="5" t="str">
        <f ca="1">IFERROR(__xludf.DUMMYFUNCTION("""COMPUTED_VALUE"""),"Escalation of Dispute")</f>
        <v>Escalation of Dispute</v>
      </c>
      <c r="AB1200" s="5" t="str">
        <f ca="1">IFERROR(__xludf.DUMMYFUNCTION("""COMPUTED_VALUE"""),"Both")</f>
        <v>Both</v>
      </c>
      <c r="AC1200" s="5" t="str">
        <f ca="1">IFERROR(__xludf.DUMMYFUNCTION("""COMPUTED_VALUE"""),"Yes")</f>
        <v>Yes</v>
      </c>
      <c r="AD1200" s="5" t="str">
        <f ca="1">IFERROR(__xludf.DUMMYFUNCTION("""COMPUTED_VALUE"""),"No")</f>
        <v>No</v>
      </c>
      <c r="AE1200" s="5" t="str">
        <f ca="1">IFERROR(__xludf.DUMMYFUNCTION("""COMPUTED_VALUE"""),"No")</f>
        <v>No</v>
      </c>
      <c r="AF1200" s="5" t="str">
        <f ca="1">IFERROR(__xludf.DUMMYFUNCTION("""COMPUTED_VALUE"""),"No")</f>
        <v>No</v>
      </c>
      <c r="AG1200" s="5" t="str">
        <f ca="1">IFERROR(__xludf.DUMMYFUNCTION("""COMPUTED_VALUE"""),"No")</f>
        <v>No</v>
      </c>
      <c r="AH1200" s="5" t="str">
        <f ca="1">IFERROR(__xludf.DUMMYFUNCTION("""COMPUTED_VALUE"""),"No")</f>
        <v>No</v>
      </c>
      <c r="AI1200" s="5" t="str">
        <f ca="1">IFERROR(__xludf.DUMMYFUNCTION("""COMPUTED_VALUE"""),"Yes")</f>
        <v>Yes</v>
      </c>
      <c r="AJ1200" s="5"/>
    </row>
    <row r="1201" spans="1:36" ht="13">
      <c r="A1201" s="5" t="str">
        <f ca="1">IFERROR(__xludf.DUMMYFUNCTION("""COMPUTED_VALUE"""),"20131002NHWIS")</f>
        <v>20131002NHWIS</v>
      </c>
      <c r="B1201" s="5">
        <f ca="1">IFERROR(__xludf.DUMMYFUNCTION("""COMPUTED_VALUE"""),10)</f>
        <v>10</v>
      </c>
      <c r="C1201" s="5">
        <f ca="1">IFERROR(__xludf.DUMMYFUNCTION("""COMPUTED_VALUE"""),2)</f>
        <v>2</v>
      </c>
      <c r="D1201" s="5">
        <f ca="1">IFERROR(__xludf.DUMMYFUNCTION("""COMPUTED_VALUE"""),2013)</f>
        <v>2013</v>
      </c>
      <c r="E1201" s="8">
        <f ca="1">IFERROR(__xludf.DUMMYFUNCTION("""COMPUTED_VALUE"""),41549)</f>
        <v>41549</v>
      </c>
      <c r="F1201" s="5" t="str">
        <f ca="1">IFERROR(__xludf.DUMMYFUNCTION("""COMPUTED_VALUE"""),"Winnisquam Regional School District")</f>
        <v>Winnisquam Regional School District</v>
      </c>
      <c r="G1201" s="5">
        <f ca="1">IFERROR(__xludf.DUMMYFUNCTION("""COMPUTED_VALUE"""),0)</f>
        <v>0</v>
      </c>
      <c r="H1201" s="5">
        <f ca="1">IFERROR(__xludf.DUMMYFUNCTION("""COMPUTED_VALUE"""),0)</f>
        <v>0</v>
      </c>
      <c r="I1201" s="5">
        <f ca="1">IFERROR(__xludf.DUMMYFUNCTION("""COMPUTED_VALUE"""),0)</f>
        <v>0</v>
      </c>
      <c r="J1201" s="5">
        <f ca="1">IFERROR(__xludf.DUMMYFUNCTION("""COMPUTED_VALUE"""),0)</f>
        <v>0</v>
      </c>
      <c r="K1201" s="9" t="str">
        <f ca="1">IFERROR(__xludf.DUMMYFUNCTION("""COMPUTED_VALUE"""),"https://boston.cbslocal.com/2013/10/04/police-nh-man-fired-pellet-gun-at-school-bus-over-students-obscene-gesture/")</f>
        <v>https://boston.cbslocal.com/2013/10/04/police-nh-man-fired-pellet-gun-at-school-bus-over-students-obscene-gesture/</v>
      </c>
      <c r="L1201" s="5"/>
      <c r="M1201" s="5"/>
      <c r="N1201" s="5">
        <f ca="1">IFERROR(__xludf.DUMMYFUNCTION("""COMPUTED_VALUE"""),2)</f>
        <v>2</v>
      </c>
      <c r="O1201" s="5" t="str">
        <f ca="1">IFERROR(__xludf.DUMMYFUNCTION("""COMPUTED_VALUE"""),"Fall")</f>
        <v>Fall</v>
      </c>
      <c r="P1201" s="5" t="str">
        <f ca="1">IFERROR(__xludf.DUMMYFUNCTION("""COMPUTED_VALUE"""),"Sanbornton")</f>
        <v>Sanbornton</v>
      </c>
      <c r="Q1201" s="5" t="str">
        <f ca="1">IFERROR(__xludf.DUMMYFUNCTION("""COMPUTED_VALUE"""),"NH")</f>
        <v>NH</v>
      </c>
      <c r="R1201" s="5"/>
      <c r="S1201" s="5" t="str">
        <f ca="1">IFERROR(__xludf.DUMMYFUNCTION("""COMPUTED_VALUE"""),"School Bus")</f>
        <v>School Bus</v>
      </c>
      <c r="T1201" s="5" t="str">
        <f ca="1">IFERROR(__xludf.DUMMYFUNCTION("""COMPUTED_VALUE"""),"School Bus")</f>
        <v>School Bus</v>
      </c>
      <c r="U1201" s="5" t="str">
        <f ca="1">IFERROR(__xludf.DUMMYFUNCTION("""COMPUTED_VALUE"""),"Yes")</f>
        <v>Yes</v>
      </c>
      <c r="V1201" s="5" t="str">
        <f ca="1">IFERROR(__xludf.DUMMYFUNCTION("""COMPUTED_VALUE"""),"After School")</f>
        <v>After School</v>
      </c>
      <c r="W1201" s="5"/>
      <c r="X1201" s="5"/>
      <c r="Y1201" s="5" t="str">
        <f ca="1">IFERROR(__xludf.DUMMYFUNCTION("""COMPUTED_VALUE"""),"Adult male fired shots at school bus after students made obscene gestures at him")</f>
        <v>Adult male fired shots at school bus after students made obscene gestures at him</v>
      </c>
      <c r="Z1201" s="5" t="str">
        <f ca="1">IFERROR(__xludf.DUMMYFUNCTION("""COMPUTED_VALUE"""),"24YOM fired multiple shots from pellet gun at school bus after students made obscene gestures at him. No injuries. Shooter was arrested.")</f>
        <v>24YOM fired multiple shots from pellet gun at school bus after students made obscene gestures at him. No injuries. Shooter was arrested.</v>
      </c>
      <c r="AA1201" s="5" t="str">
        <f ca="1">IFERROR(__xludf.DUMMYFUNCTION("""COMPUTED_VALUE"""),"Escalation of Dispute")</f>
        <v>Escalation of Dispute</v>
      </c>
      <c r="AB1201" s="5" t="str">
        <f ca="1">IFERROR(__xludf.DUMMYFUNCTION("""COMPUTED_VALUE"""),"Random Shooting")</f>
        <v>Random Shooting</v>
      </c>
      <c r="AC1201" s="5" t="str">
        <f ca="1">IFERROR(__xludf.DUMMYFUNCTION("""COMPUTED_VALUE"""),"No")</f>
        <v>No</v>
      </c>
      <c r="AD1201" s="5" t="str">
        <f ca="1">IFERROR(__xludf.DUMMYFUNCTION("""COMPUTED_VALUE"""),"No")</f>
        <v>No</v>
      </c>
      <c r="AE1201" s="5" t="str">
        <f ca="1">IFERROR(__xludf.DUMMYFUNCTION("""COMPUTED_VALUE"""),"No")</f>
        <v>No</v>
      </c>
      <c r="AF1201" s="5" t="str">
        <f ca="1">IFERROR(__xludf.DUMMYFUNCTION("""COMPUTED_VALUE"""),"No")</f>
        <v>No</v>
      </c>
      <c r="AG1201" s="5" t="str">
        <f ca="1">IFERROR(__xludf.DUMMYFUNCTION("""COMPUTED_VALUE"""),"No")</f>
        <v>No</v>
      </c>
      <c r="AH1201" s="5" t="str">
        <f ca="1">IFERROR(__xludf.DUMMYFUNCTION("""COMPUTED_VALUE"""),"No")</f>
        <v>No</v>
      </c>
      <c r="AI1201" s="5" t="str">
        <f ca="1">IFERROR(__xludf.DUMMYFUNCTION("""COMPUTED_VALUE"""),"No")</f>
        <v>No</v>
      </c>
      <c r="AJ1201" s="5"/>
    </row>
    <row r="1202" spans="1:36" ht="13">
      <c r="A1202" s="5" t="str">
        <f ca="1">IFERROR(__xludf.DUMMYFUNCTION("""COMPUTED_VALUE"""),"20130928MENEG")</f>
        <v>20130928MENEG</v>
      </c>
      <c r="B1202" s="5">
        <f ca="1">IFERROR(__xludf.DUMMYFUNCTION("""COMPUTED_VALUE"""),9)</f>
        <v>9</v>
      </c>
      <c r="C1202" s="5">
        <f ca="1">IFERROR(__xludf.DUMMYFUNCTION("""COMPUTED_VALUE"""),28)</f>
        <v>28</v>
      </c>
      <c r="D1202" s="5">
        <f ca="1">IFERROR(__xludf.DUMMYFUNCTION("""COMPUTED_VALUE"""),2013)</f>
        <v>2013</v>
      </c>
      <c r="E1202" s="8">
        <f ca="1">IFERROR(__xludf.DUMMYFUNCTION("""COMPUTED_VALUE"""),41545)</f>
        <v>41545</v>
      </c>
      <c r="F1202" s="5" t="str">
        <f ca="1">IFERROR(__xludf.DUMMYFUNCTION("""COMPUTED_VALUE"""),"New Gloucester High School")</f>
        <v>New Gloucester High School</v>
      </c>
      <c r="G1202" s="5">
        <f ca="1">IFERROR(__xludf.DUMMYFUNCTION("""COMPUTED_VALUE"""),0)</f>
        <v>0</v>
      </c>
      <c r="H1202" s="5">
        <f ca="1">IFERROR(__xludf.DUMMYFUNCTION("""COMPUTED_VALUE"""),0)</f>
        <v>0</v>
      </c>
      <c r="I1202" s="5">
        <f ca="1">IFERROR(__xludf.DUMMYFUNCTION("""COMPUTED_VALUE"""),0)</f>
        <v>0</v>
      </c>
      <c r="J1202" s="5">
        <f ca="1">IFERROR(__xludf.DUMMYFUNCTION("""COMPUTED_VALUE"""),1)</f>
        <v>1</v>
      </c>
      <c r="K1202" s="9" t="str">
        <f ca="1">IFERROR(__xludf.DUMMYFUNCTION("""COMPUTED_VALUE"""),"https://www.pressherald.com/2013/09/28/19-year-old-kills-himself-at-gray-new-gloucester-high-school/")</f>
        <v>https://www.pressherald.com/2013/09/28/19-year-old-kills-himself-at-gray-new-gloucester-high-school/</v>
      </c>
      <c r="L1202" s="5">
        <f ca="1">IFERROR(__xludf.DUMMYFUNCTION("""COMPUTED_VALUE"""),1)</f>
        <v>1</v>
      </c>
      <c r="M1202" s="5" t="str">
        <f ca="1">IFERROR(__xludf.DUMMYFUNCTION("""COMPUTED_VALUE"""),"Local")</f>
        <v>Local</v>
      </c>
      <c r="N1202" s="5">
        <f ca="1">IFERROR(__xludf.DUMMYFUNCTION("""COMPUTED_VALUE"""),2)</f>
        <v>2</v>
      </c>
      <c r="O1202" s="5" t="str">
        <f ca="1">IFERROR(__xludf.DUMMYFUNCTION("""COMPUTED_VALUE"""),"Fall")</f>
        <v>Fall</v>
      </c>
      <c r="P1202" s="5" t="str">
        <f ca="1">IFERROR(__xludf.DUMMYFUNCTION("""COMPUTED_VALUE"""),"Gray")</f>
        <v>Gray</v>
      </c>
      <c r="Q1202" s="5" t="str">
        <f ca="1">IFERROR(__xludf.DUMMYFUNCTION("""COMPUTED_VALUE"""),"ME")</f>
        <v>ME</v>
      </c>
      <c r="R1202" s="5" t="str">
        <f ca="1">IFERROR(__xludf.DUMMYFUNCTION("""COMPUTED_VALUE"""),"High")</f>
        <v>High</v>
      </c>
      <c r="S1202" s="5" t="str">
        <f ca="1">IFERROR(__xludf.DUMMYFUNCTION("""COMPUTED_VALUE"""),"Parking Lot")</f>
        <v>Parking Lot</v>
      </c>
      <c r="T1202" s="5" t="str">
        <f ca="1">IFERROR(__xludf.DUMMYFUNCTION("""COMPUTED_VALUE"""),"Outside on School Property")</f>
        <v>Outside on School Property</v>
      </c>
      <c r="U1202" s="5" t="str">
        <f ca="1">IFERROR(__xludf.DUMMYFUNCTION("""COMPUTED_VALUE"""),"No")</f>
        <v>No</v>
      </c>
      <c r="V1202" s="5" t="str">
        <f ca="1">IFERROR(__xludf.DUMMYFUNCTION("""COMPUTED_VALUE"""),"Not a School Day")</f>
        <v>Not a School Day</v>
      </c>
      <c r="W1202" s="10">
        <f ca="1">IFERROR(__xludf.DUMMYFUNCTION("""COMPUTED_VALUE"""),0.534722222222222)</f>
        <v>0.53472222222222199</v>
      </c>
      <c r="X1202" s="5">
        <f ca="1">IFERROR(__xludf.DUMMYFUNCTION("""COMPUTED_VALUE"""),1)</f>
        <v>1</v>
      </c>
      <c r="Y1202" s="5" t="str">
        <f ca="1">IFERROR(__xludf.DUMMYFUNCTION("""COMPUTED_VALUE"""),"Suicide in school parking lot")</f>
        <v>Suicide in school parking lot</v>
      </c>
      <c r="Z1202" s="5" t="str">
        <f ca="1">IFERROR(__xludf.DUMMYFUNCTION("""COMPUTED_VALUE"""),"19 year old male - no relation to school - shot himself in parking lot")</f>
        <v>19 year old male - no relation to school - shot himself in parking lot</v>
      </c>
      <c r="AA1202" s="5" t="str">
        <f ca="1">IFERROR(__xludf.DUMMYFUNCTION("""COMPUTED_VALUE"""),"Suicide/Attempted")</f>
        <v>Suicide/Attempted</v>
      </c>
      <c r="AB1202" s="5" t="str">
        <f ca="1">IFERROR(__xludf.DUMMYFUNCTION("""COMPUTED_VALUE"""),"Victims Targeted")</f>
        <v>Victims Targeted</v>
      </c>
      <c r="AC1202" s="5" t="str">
        <f ca="1">IFERROR(__xludf.DUMMYFUNCTION("""COMPUTED_VALUE"""),"No")</f>
        <v>No</v>
      </c>
      <c r="AD1202" s="5" t="str">
        <f ca="1">IFERROR(__xludf.DUMMYFUNCTION("""COMPUTED_VALUE"""),"No")</f>
        <v>No</v>
      </c>
      <c r="AE1202" s="5" t="str">
        <f ca="1">IFERROR(__xludf.DUMMYFUNCTION("""COMPUTED_VALUE"""),"No")</f>
        <v>No</v>
      </c>
      <c r="AF1202" s="5" t="str">
        <f ca="1">IFERROR(__xludf.DUMMYFUNCTION("""COMPUTED_VALUE"""),"No")</f>
        <v>No</v>
      </c>
      <c r="AG1202" s="5"/>
      <c r="AH1202" s="5"/>
      <c r="AI1202" s="5" t="str">
        <f ca="1">IFERROR(__xludf.DUMMYFUNCTION("""COMPUTED_VALUE"""),"No")</f>
        <v>No</v>
      </c>
      <c r="AJ1202" s="5"/>
    </row>
    <row r="1203" spans="1:36" ht="13">
      <c r="A1203" s="5" t="str">
        <f ca="1">IFERROR(__xludf.DUMMYFUNCTION("""COMPUTED_VALUE"""),"20130927ILROC")</f>
        <v>20130927ILROC</v>
      </c>
      <c r="B1203" s="5">
        <f ca="1">IFERROR(__xludf.DUMMYFUNCTION("""COMPUTED_VALUE"""),9)</f>
        <v>9</v>
      </c>
      <c r="C1203" s="5">
        <f ca="1">IFERROR(__xludf.DUMMYFUNCTION("""COMPUTED_VALUE"""),27)</f>
        <v>27</v>
      </c>
      <c r="D1203" s="5">
        <f ca="1">IFERROR(__xludf.DUMMYFUNCTION("""COMPUTED_VALUE"""),2013)</f>
        <v>2013</v>
      </c>
      <c r="E1203" s="8">
        <f ca="1">IFERROR(__xludf.DUMMYFUNCTION("""COMPUTED_VALUE"""),41544)</f>
        <v>41544</v>
      </c>
      <c r="F1203" s="5" t="str">
        <f ca="1">IFERROR(__xludf.DUMMYFUNCTION("""COMPUTED_VALUE"""),"Roosevelt High School")</f>
        <v>Roosevelt High School</v>
      </c>
      <c r="G1203" s="5">
        <f ca="1">IFERROR(__xludf.DUMMYFUNCTION("""COMPUTED_VALUE"""),0)</f>
        <v>0</v>
      </c>
      <c r="H1203" s="5">
        <f ca="1">IFERROR(__xludf.DUMMYFUNCTION("""COMPUTED_VALUE"""),1)</f>
        <v>1</v>
      </c>
      <c r="I1203" s="5">
        <f ca="1">IFERROR(__xludf.DUMMYFUNCTION("""COMPUTED_VALUE"""),1)</f>
        <v>1</v>
      </c>
      <c r="J1203" s="5">
        <f ca="1">IFERROR(__xludf.DUMMYFUNCTION("""COMPUTED_VALUE"""),0)</f>
        <v>0</v>
      </c>
      <c r="K1203" s="9" t="str">
        <f ca="1">IFERROR(__xludf.DUMMYFUNCTION("""COMPUTED_VALUE"""),"https://www.dnainfo.com/chicago/20130927/albany-park/teen-arrested-for-shooting-student-near-roosevelt-high-school/slideshow/443194/#slide-1")</f>
        <v>https://www.dnainfo.com/chicago/20130927/albany-park/teen-arrested-for-shooting-student-near-roosevelt-high-school/slideshow/443194/#slide-1</v>
      </c>
      <c r="L1203" s="5">
        <f ca="1">IFERROR(__xludf.DUMMYFUNCTION("""COMPUTED_VALUE"""),1)</f>
        <v>1</v>
      </c>
      <c r="M1203" s="5" t="str">
        <f ca="1">IFERROR(__xludf.DUMMYFUNCTION("""COMPUTED_VALUE"""),"Local")</f>
        <v>Local</v>
      </c>
      <c r="N1203" s="5">
        <f ca="1">IFERROR(__xludf.DUMMYFUNCTION("""COMPUTED_VALUE"""),2)</f>
        <v>2</v>
      </c>
      <c r="O1203" s="5" t="str">
        <f ca="1">IFERROR(__xludf.DUMMYFUNCTION("""COMPUTED_VALUE"""),"Fall")</f>
        <v>Fall</v>
      </c>
      <c r="P1203" s="5" t="str">
        <f ca="1">IFERROR(__xludf.DUMMYFUNCTION("""COMPUTED_VALUE"""),"Chicago")</f>
        <v>Chicago</v>
      </c>
      <c r="Q1203" s="5" t="str">
        <f ca="1">IFERROR(__xludf.DUMMYFUNCTION("""COMPUTED_VALUE"""),"IL")</f>
        <v>IL</v>
      </c>
      <c r="R1203" s="5" t="str">
        <f ca="1">IFERROR(__xludf.DUMMYFUNCTION("""COMPUTED_VALUE"""),"High")</f>
        <v>High</v>
      </c>
      <c r="S1203" s="5" t="str">
        <f ca="1">IFERROR(__xludf.DUMMYFUNCTION("""COMPUTED_VALUE"""),"Beside Building")</f>
        <v>Beside Building</v>
      </c>
      <c r="T1203" s="5" t="str">
        <f ca="1">IFERROR(__xludf.DUMMYFUNCTION("""COMPUTED_VALUE"""),"Outside on School Property")</f>
        <v>Outside on School Property</v>
      </c>
      <c r="U1203" s="5" t="str">
        <f ca="1">IFERROR(__xludf.DUMMYFUNCTION("""COMPUTED_VALUE"""),"Yes")</f>
        <v>Yes</v>
      </c>
      <c r="V1203" s="5" t="str">
        <f ca="1">IFERROR(__xludf.DUMMYFUNCTION("""COMPUTED_VALUE"""),"Dismissal")</f>
        <v>Dismissal</v>
      </c>
      <c r="W1203" s="10">
        <f ca="1">IFERROR(__xludf.DUMMYFUNCTION("""COMPUTED_VALUE"""),0.600694444444444)</f>
        <v>0.60069444444444398</v>
      </c>
      <c r="X1203" s="5">
        <f ca="1">IFERROR(__xludf.DUMMYFUNCTION("""COMPUTED_VALUE"""),1)</f>
        <v>1</v>
      </c>
      <c r="Y1203" s="5" t="str">
        <f ca="1">IFERROR(__xludf.DUMMYFUNCTION("""COMPUTED_VALUE"""),"Robbery outside of school")</f>
        <v>Robbery outside of school</v>
      </c>
      <c r="Z1203" s="5" t="str">
        <f ca="1">IFERROR(__xludf.DUMMYFUNCTION("""COMPUTED_VALUE"""),"18YOM shot a 15YOM during an attempted robbery outside of the school. Another student pushed the shooter's hand down so victim was shot in the leg. The shooter then hid the gun in the backpack of a 9YOM and ran away. Shooting occurred at street intersecti"&amp;"on at school - across the street at the bus station - not on school property.")</f>
        <v>18YOM shot a 15YOM during an attempted robbery outside of the school. Another student pushed the shooter's hand down so victim was shot in the leg. The shooter then hid the gun in the backpack of a 9YOM and ran away. Shooting occurred at street intersection at school - across the street at the bus station - not on school property.</v>
      </c>
      <c r="AA1203" s="5" t="str">
        <f ca="1">IFERROR(__xludf.DUMMYFUNCTION("""COMPUTED_VALUE"""),"Illegal Activity")</f>
        <v>Illegal Activity</v>
      </c>
      <c r="AB1203" s="5" t="str">
        <f ca="1">IFERROR(__xludf.DUMMYFUNCTION("""COMPUTED_VALUE"""),"Victims Targeted")</f>
        <v>Victims Targeted</v>
      </c>
      <c r="AC1203" s="5" t="str">
        <f ca="1">IFERROR(__xludf.DUMMYFUNCTION("""COMPUTED_VALUE"""),"Yes")</f>
        <v>Yes</v>
      </c>
      <c r="AD1203" s="5" t="str">
        <f ca="1">IFERROR(__xludf.DUMMYFUNCTION("""COMPUTED_VALUE"""),"No")</f>
        <v>No</v>
      </c>
      <c r="AE1203" s="5" t="str">
        <f ca="1">IFERROR(__xludf.DUMMYFUNCTION("""COMPUTED_VALUE"""),"No")</f>
        <v>No</v>
      </c>
      <c r="AF1203" s="5" t="str">
        <f ca="1">IFERROR(__xludf.DUMMYFUNCTION("""COMPUTED_VALUE"""),"No")</f>
        <v>No</v>
      </c>
      <c r="AG1203" s="5" t="str">
        <f ca="1">IFERROR(__xludf.DUMMYFUNCTION("""COMPUTED_VALUE"""),"No")</f>
        <v>No</v>
      </c>
      <c r="AH1203" s="5" t="str">
        <f ca="1">IFERROR(__xludf.DUMMYFUNCTION("""COMPUTED_VALUE"""),"No")</f>
        <v>No</v>
      </c>
      <c r="AI1203" s="5" t="str">
        <f ca="1">IFERROR(__xludf.DUMMYFUNCTION("""COMPUTED_VALUE"""),"No")</f>
        <v>No</v>
      </c>
      <c r="AJ1203" s="5"/>
    </row>
    <row r="1204" spans="1:36" ht="13">
      <c r="A1204" s="5" t="str">
        <f ca="1">IFERROR(__xludf.DUMMYFUNCTION("""COMPUTED_VALUE"""),"20130830NCCAW")</f>
        <v>20130830NCCAW</v>
      </c>
      <c r="B1204" s="5">
        <f ca="1">IFERROR(__xludf.DUMMYFUNCTION("""COMPUTED_VALUE"""),8)</f>
        <v>8</v>
      </c>
      <c r="C1204" s="5">
        <f ca="1">IFERROR(__xludf.DUMMYFUNCTION("""COMPUTED_VALUE"""),30)</f>
        <v>30</v>
      </c>
      <c r="D1204" s="5">
        <f ca="1">IFERROR(__xludf.DUMMYFUNCTION("""COMPUTED_VALUE"""),2013)</f>
        <v>2013</v>
      </c>
      <c r="E1204" s="8">
        <f ca="1">IFERROR(__xludf.DUMMYFUNCTION("""COMPUTED_VALUE"""),41516)</f>
        <v>41516</v>
      </c>
      <c r="F1204" s="5" t="str">
        <f ca="1">IFERROR(__xludf.DUMMYFUNCTION("""COMPUTED_VALUE"""),"Carver High School")</f>
        <v>Carver High School</v>
      </c>
      <c r="G1204" s="5">
        <f ca="1">IFERROR(__xludf.DUMMYFUNCTION("""COMPUTED_VALUE"""),0)</f>
        <v>0</v>
      </c>
      <c r="H1204" s="5">
        <f ca="1">IFERROR(__xludf.DUMMYFUNCTION("""COMPUTED_VALUE"""),1)</f>
        <v>1</v>
      </c>
      <c r="I1204" s="5">
        <f ca="1">IFERROR(__xludf.DUMMYFUNCTION("""COMPUTED_VALUE"""),1)</f>
        <v>1</v>
      </c>
      <c r="J1204" s="5">
        <f ca="1">IFERROR(__xludf.DUMMYFUNCTION("""COMPUTED_VALUE"""),0)</f>
        <v>0</v>
      </c>
      <c r="K1204" s="9" t="str">
        <f ca="1">IFERROR(__xludf.DUMMYFUNCTION("""COMPUTED_VALUE"""),"https://www.journalnow.com/news/local/update--year-old-charged-in-shooting-at-carver/article_247ee7d0-11a4-11e3-b183-001a4bcf6878.html")</f>
        <v>https://www.journalnow.com/news/local/update--year-old-charged-in-shooting-at-carver/article_247ee7d0-11a4-11e3-b183-001a4bcf6878.html</v>
      </c>
      <c r="L1204" s="5">
        <f ca="1">IFERROR(__xludf.DUMMYFUNCTION("""COMPUTED_VALUE"""),5)</f>
        <v>5</v>
      </c>
      <c r="M1204" s="5" t="str">
        <f ca="1">IFERROR(__xludf.DUMMYFUNCTION("""COMPUTED_VALUE"""),"Local")</f>
        <v>Local</v>
      </c>
      <c r="N1204" s="5">
        <f ca="1">IFERROR(__xludf.DUMMYFUNCTION("""COMPUTED_VALUE"""),2)</f>
        <v>2</v>
      </c>
      <c r="O1204" s="5" t="str">
        <f ca="1">IFERROR(__xludf.DUMMYFUNCTION("""COMPUTED_VALUE"""),"Summer")</f>
        <v>Summer</v>
      </c>
      <c r="P1204" s="5" t="str">
        <f ca="1">IFERROR(__xludf.DUMMYFUNCTION("""COMPUTED_VALUE"""),"Winston-Salem")</f>
        <v>Winston-Salem</v>
      </c>
      <c r="Q1204" s="5" t="str">
        <f ca="1">IFERROR(__xludf.DUMMYFUNCTION("""COMPUTED_VALUE"""),"NC")</f>
        <v>NC</v>
      </c>
      <c r="R1204" s="5" t="str">
        <f ca="1">IFERROR(__xludf.DUMMYFUNCTION("""COMPUTED_VALUE"""),"High")</f>
        <v>High</v>
      </c>
      <c r="S1204" s="5" t="str">
        <f ca="1">IFERROR(__xludf.DUMMYFUNCTION("""COMPUTED_VALUE"""),"Beside Building")</f>
        <v>Beside Building</v>
      </c>
      <c r="T1204" s="5" t="str">
        <f ca="1">IFERROR(__xludf.DUMMYFUNCTION("""COMPUTED_VALUE"""),"Outside on School Property")</f>
        <v>Outside on School Property</v>
      </c>
      <c r="U1204" s="5" t="str">
        <f ca="1">IFERROR(__xludf.DUMMYFUNCTION("""COMPUTED_VALUE"""),"Yes")</f>
        <v>Yes</v>
      </c>
      <c r="V1204" s="5" t="str">
        <f ca="1">IFERROR(__xludf.DUMMYFUNCTION("""COMPUTED_VALUE"""),"Afternoon Classes")</f>
        <v>Afternoon Classes</v>
      </c>
      <c r="W1204" s="10">
        <f ca="1">IFERROR(__xludf.DUMMYFUNCTION("""COMPUTED_VALUE"""),0.600694444444444)</f>
        <v>0.60069444444444398</v>
      </c>
      <c r="X1204" s="5">
        <f ca="1">IFERROR(__xludf.DUMMYFUNCTION("""COMPUTED_VALUE"""),1)</f>
        <v>1</v>
      </c>
      <c r="Y1204" s="5" t="str">
        <f ca="1">IFERROR(__xludf.DUMMYFUNCTION("""COMPUTED_VALUE"""),"Shots fired during fight")</f>
        <v>Shots fired during fight</v>
      </c>
      <c r="Z1204" s="5" t="str">
        <f ca="1">IFERROR(__xludf.DUMMYFUNCTION("""COMPUTED_VALUE"""),"Ongoing dispute between two students escalated into fight, incident happened at the end of a fire drill. Shooter claimed it was a result of being bullied by victim. Shooter fired 4-5 shots. SRO was nearby and arrested the shooter. Victim had a criminal re"&amp;"cord.")</f>
        <v>Ongoing dispute between two students escalated into fight, incident happened at the end of a fire drill. Shooter claimed it was a result of being bullied by victim. Shooter fired 4-5 shots. SRO was nearby and arrested the shooter. Victim had a criminal record.</v>
      </c>
      <c r="AA1204" s="5" t="str">
        <f ca="1">IFERROR(__xludf.DUMMYFUNCTION("""COMPUTED_VALUE"""),"Escalation of Dispute")</f>
        <v>Escalation of Dispute</v>
      </c>
      <c r="AB1204" s="5" t="str">
        <f ca="1">IFERROR(__xludf.DUMMYFUNCTION("""COMPUTED_VALUE"""),"Victims Targeted")</f>
        <v>Victims Targeted</v>
      </c>
      <c r="AC1204" s="5" t="str">
        <f ca="1">IFERROR(__xludf.DUMMYFUNCTION("""COMPUTED_VALUE"""),"No")</f>
        <v>No</v>
      </c>
      <c r="AD1204" s="5" t="str">
        <f ca="1">IFERROR(__xludf.DUMMYFUNCTION("""COMPUTED_VALUE"""),"No")</f>
        <v>No</v>
      </c>
      <c r="AE1204" s="5" t="str">
        <f ca="1">IFERROR(__xludf.DUMMYFUNCTION("""COMPUTED_VALUE"""),"No")</f>
        <v>No</v>
      </c>
      <c r="AF1204" s="5" t="str">
        <f ca="1">IFERROR(__xludf.DUMMYFUNCTION("""COMPUTED_VALUE"""),"No")</f>
        <v>No</v>
      </c>
      <c r="AG1204" s="5" t="str">
        <f ca="1">IFERROR(__xludf.DUMMYFUNCTION("""COMPUTED_VALUE"""),"Yes")</f>
        <v>Yes</v>
      </c>
      <c r="AH1204" s="5" t="str">
        <f ca="1">IFERROR(__xludf.DUMMYFUNCTION("""COMPUTED_VALUE"""),"No")</f>
        <v>No</v>
      </c>
      <c r="AI1204" s="5" t="str">
        <f ca="1">IFERROR(__xludf.DUMMYFUNCTION("""COMPUTED_VALUE"""),"No")</f>
        <v>No</v>
      </c>
      <c r="AJ1204" s="5"/>
    </row>
    <row r="1205" spans="1:36" ht="13">
      <c r="A1205" s="5" t="str">
        <f ca="1">IFERROR(__xludf.DUMMYFUNCTION("""COMPUTED_VALUE"""),"20130823MSNOS")</f>
        <v>20130823MSNOS</v>
      </c>
      <c r="B1205" s="5">
        <f ca="1">IFERROR(__xludf.DUMMYFUNCTION("""COMPUTED_VALUE"""),8)</f>
        <v>8</v>
      </c>
      <c r="C1205" s="5">
        <f ca="1">IFERROR(__xludf.DUMMYFUNCTION("""COMPUTED_VALUE"""),23)</f>
        <v>23</v>
      </c>
      <c r="D1205" s="5">
        <f ca="1">IFERROR(__xludf.DUMMYFUNCTION("""COMPUTED_VALUE"""),2013)</f>
        <v>2013</v>
      </c>
      <c r="E1205" s="8">
        <f ca="1">IFERROR(__xludf.DUMMYFUNCTION("""COMPUTED_VALUE"""),41509)</f>
        <v>41509</v>
      </c>
      <c r="F1205" s="5" t="str">
        <f ca="1">IFERROR(__xludf.DUMMYFUNCTION("""COMPUTED_VALUE"""),"North Panola High School")</f>
        <v>North Panola High School</v>
      </c>
      <c r="G1205" s="5">
        <f ca="1">IFERROR(__xludf.DUMMYFUNCTION("""COMPUTED_VALUE"""),1)</f>
        <v>1</v>
      </c>
      <c r="H1205" s="5">
        <f ca="1">IFERROR(__xludf.DUMMYFUNCTION("""COMPUTED_VALUE"""),2)</f>
        <v>2</v>
      </c>
      <c r="I1205" s="5">
        <f ca="1">IFERROR(__xludf.DUMMYFUNCTION("""COMPUTED_VALUE"""),3)</f>
        <v>3</v>
      </c>
      <c r="J1205" s="5">
        <f ca="1">IFERROR(__xludf.DUMMYFUNCTION("""COMPUTED_VALUE"""),0)</f>
        <v>0</v>
      </c>
      <c r="K1205" s="9" t="str">
        <f ca="1">IFERROR(__xludf.DUMMYFUNCTION("""COMPUTED_VALUE"""),"http://blog.gulflive.com/mississippi-press-news/2013/08/3_gang_members_arrested_after.html")</f>
        <v>http://blog.gulflive.com/mississippi-press-news/2013/08/3_gang_members_arrested_after.html</v>
      </c>
      <c r="L1205" s="5">
        <f ca="1">IFERROR(__xludf.DUMMYFUNCTION("""COMPUTED_VALUE"""),5)</f>
        <v>5</v>
      </c>
      <c r="M1205" s="5" t="str">
        <f ca="1">IFERROR(__xludf.DUMMYFUNCTION("""COMPUTED_VALUE"""),"Local")</f>
        <v>Local</v>
      </c>
      <c r="N1205" s="5">
        <f ca="1">IFERROR(__xludf.DUMMYFUNCTION("""COMPUTED_VALUE"""),2)</f>
        <v>2</v>
      </c>
      <c r="O1205" s="5" t="str">
        <f ca="1">IFERROR(__xludf.DUMMYFUNCTION("""COMPUTED_VALUE"""),"Summer")</f>
        <v>Summer</v>
      </c>
      <c r="P1205" s="5" t="str">
        <f ca="1">IFERROR(__xludf.DUMMYFUNCTION("""COMPUTED_VALUE"""),"Sardis")</f>
        <v>Sardis</v>
      </c>
      <c r="Q1205" s="5" t="str">
        <f ca="1">IFERROR(__xludf.DUMMYFUNCTION("""COMPUTED_VALUE"""),"MS")</f>
        <v>MS</v>
      </c>
      <c r="R1205" s="5" t="str">
        <f ca="1">IFERROR(__xludf.DUMMYFUNCTION("""COMPUTED_VALUE"""),"High")</f>
        <v>High</v>
      </c>
      <c r="S1205" s="5" t="str">
        <f ca="1">IFERROR(__xludf.DUMMYFUNCTION("""COMPUTED_VALUE"""),"Football Field/Track")</f>
        <v>Football Field/Track</v>
      </c>
      <c r="T1205" s="5" t="str">
        <f ca="1">IFERROR(__xludf.DUMMYFUNCTION("""COMPUTED_VALUE"""),"Outside on School Property")</f>
        <v>Outside on School Property</v>
      </c>
      <c r="U1205" s="5" t="str">
        <f ca="1">IFERROR(__xludf.DUMMYFUNCTION("""COMPUTED_VALUE"""),"No")</f>
        <v>No</v>
      </c>
      <c r="V1205" s="5" t="str">
        <f ca="1">IFERROR(__xludf.DUMMYFUNCTION("""COMPUTED_VALUE"""),"Evening")</f>
        <v>Evening</v>
      </c>
      <c r="W1205" s="10">
        <f ca="1">IFERROR(__xludf.DUMMYFUNCTION("""COMPUTED_VALUE"""),0.9375)</f>
        <v>0.9375</v>
      </c>
      <c r="X1205" s="5">
        <f ca="1">IFERROR(__xludf.DUMMYFUNCTION("""COMPUTED_VALUE"""),5)</f>
        <v>5</v>
      </c>
      <c r="Y1205" s="5" t="str">
        <f ca="1">IFERROR(__xludf.DUMMYFUNCTION("""COMPUTED_VALUE"""),"Gang related shooting at football game")</f>
        <v>Gang related shooting at football game</v>
      </c>
      <c r="Z1205" s="5" t="str">
        <f ca="1">IFERROR(__xludf.DUMMYFUNCTION("""COMPUTED_VALUE"""),"Three men fired shots and killed a student who was affiliated with a rival gang. 2 other people were injured in the crossfire. Police reported the dispute was a continuation of an altercation at a nightclub the night before.")</f>
        <v>Three men fired shots and killed a student who was affiliated with a rival gang. 2 other people were injured in the crossfire. Police reported the dispute was a continuation of an altercation at a nightclub the night before.</v>
      </c>
      <c r="AA1205" s="5" t="str">
        <f ca="1">IFERROR(__xludf.DUMMYFUNCTION("""COMPUTED_VALUE"""),"Escalation of Dispute")</f>
        <v>Escalation of Dispute</v>
      </c>
      <c r="AB1205" s="5"/>
      <c r="AC1205" s="5" t="str">
        <f ca="1">IFERROR(__xludf.DUMMYFUNCTION("""COMPUTED_VALUE"""),"Yes")</f>
        <v>Yes</v>
      </c>
      <c r="AD1205" s="5" t="str">
        <f ca="1">IFERROR(__xludf.DUMMYFUNCTION("""COMPUTED_VALUE"""),"No")</f>
        <v>No</v>
      </c>
      <c r="AE1205" s="5" t="str">
        <f ca="1">IFERROR(__xludf.DUMMYFUNCTION("""COMPUTED_VALUE"""),"No")</f>
        <v>No</v>
      </c>
      <c r="AF1205" s="5" t="str">
        <f ca="1">IFERROR(__xludf.DUMMYFUNCTION("""COMPUTED_VALUE"""),"No")</f>
        <v>No</v>
      </c>
      <c r="AG1205" s="5" t="str">
        <f ca="1">IFERROR(__xludf.DUMMYFUNCTION("""COMPUTED_VALUE"""),"No")</f>
        <v>No</v>
      </c>
      <c r="AH1205" s="5" t="str">
        <f ca="1">IFERROR(__xludf.DUMMYFUNCTION("""COMPUTED_VALUE"""),"No")</f>
        <v>No</v>
      </c>
      <c r="AI1205" s="5" t="str">
        <f ca="1">IFERROR(__xludf.DUMMYFUNCTION("""COMPUTED_VALUE"""),"Yes")</f>
        <v>Yes</v>
      </c>
      <c r="AJ1205" s="5"/>
    </row>
    <row r="1206" spans="1:36" ht="13">
      <c r="A1206" s="5" t="str">
        <f ca="1">IFERROR(__xludf.DUMMYFUNCTION("""COMPUTED_VALUE"""),"20130822TNWEM")</f>
        <v>20130822TNWEM</v>
      </c>
      <c r="B1206" s="5">
        <f ca="1">IFERROR(__xludf.DUMMYFUNCTION("""COMPUTED_VALUE"""),8)</f>
        <v>8</v>
      </c>
      <c r="C1206" s="5">
        <f ca="1">IFERROR(__xludf.DUMMYFUNCTION("""COMPUTED_VALUE"""),22)</f>
        <v>22</v>
      </c>
      <c r="D1206" s="5">
        <f ca="1">IFERROR(__xludf.DUMMYFUNCTION("""COMPUTED_VALUE"""),2013)</f>
        <v>2013</v>
      </c>
      <c r="E1206" s="8">
        <f ca="1">IFERROR(__xludf.DUMMYFUNCTION("""COMPUTED_VALUE"""),41508)</f>
        <v>41508</v>
      </c>
      <c r="F1206" s="5" t="str">
        <f ca="1">IFERROR(__xludf.DUMMYFUNCTION("""COMPUTED_VALUE"""),"Westside Elementary School")</f>
        <v>Westside Elementary School</v>
      </c>
      <c r="G1206" s="5">
        <f ca="1">IFERROR(__xludf.DUMMYFUNCTION("""COMPUTED_VALUE"""),0)</f>
        <v>0</v>
      </c>
      <c r="H1206" s="5">
        <f ca="1">IFERROR(__xludf.DUMMYFUNCTION("""COMPUTED_VALUE"""),0)</f>
        <v>0</v>
      </c>
      <c r="I1206" s="5">
        <f ca="1">IFERROR(__xludf.DUMMYFUNCTION("""COMPUTED_VALUE"""),0)</f>
        <v>0</v>
      </c>
      <c r="J1206" s="5">
        <f ca="1">IFERROR(__xludf.DUMMYFUNCTION("""COMPUTED_VALUE"""),0)</f>
        <v>0</v>
      </c>
      <c r="K1206" s="9" t="str">
        <f ca="1">IFERROR(__xludf.DUMMYFUNCTION("""COMPUTED_VALUE"""),"http://www.wmcactionnews5.com/story/23229636/5-year-old-fires-gun-in-school-cafeteria")</f>
        <v>http://www.wmcactionnews5.com/story/23229636/5-year-old-fires-gun-in-school-cafeteria</v>
      </c>
      <c r="L1206" s="5">
        <f ca="1">IFERROR(__xludf.DUMMYFUNCTION("""COMPUTED_VALUE"""),1)</f>
        <v>1</v>
      </c>
      <c r="M1206" s="5" t="str">
        <f ca="1">IFERROR(__xludf.DUMMYFUNCTION("""COMPUTED_VALUE"""),"Local")</f>
        <v>Local</v>
      </c>
      <c r="N1206" s="5">
        <f ca="1">IFERROR(__xludf.DUMMYFUNCTION("""COMPUTED_VALUE"""),2)</f>
        <v>2</v>
      </c>
      <c r="O1206" s="5" t="str">
        <f ca="1">IFERROR(__xludf.DUMMYFUNCTION("""COMPUTED_VALUE"""),"Summer")</f>
        <v>Summer</v>
      </c>
      <c r="P1206" s="5" t="str">
        <f ca="1">IFERROR(__xludf.DUMMYFUNCTION("""COMPUTED_VALUE"""),"Memphis")</f>
        <v>Memphis</v>
      </c>
      <c r="Q1206" s="5" t="str">
        <f ca="1">IFERROR(__xludf.DUMMYFUNCTION("""COMPUTED_VALUE"""),"TN")</f>
        <v>TN</v>
      </c>
      <c r="R1206" s="5" t="str">
        <f ca="1">IFERROR(__xludf.DUMMYFUNCTION("""COMPUTED_VALUE"""),"Elementary")</f>
        <v>Elementary</v>
      </c>
      <c r="S1206" s="5" t="str">
        <f ca="1">IFERROR(__xludf.DUMMYFUNCTION("""COMPUTED_VALUE"""),"Cafeteria")</f>
        <v>Cafeteria</v>
      </c>
      <c r="T1206" s="5" t="str">
        <f ca="1">IFERROR(__xludf.DUMMYFUNCTION("""COMPUTED_VALUE"""),"Inside School Building")</f>
        <v>Inside School Building</v>
      </c>
      <c r="U1206" s="5" t="str">
        <f ca="1">IFERROR(__xludf.DUMMYFUNCTION("""COMPUTED_VALUE"""),"Yes")</f>
        <v>Yes</v>
      </c>
      <c r="V1206" s="5" t="str">
        <f ca="1">IFERROR(__xludf.DUMMYFUNCTION("""COMPUTED_VALUE"""),"School Start")</f>
        <v>School Start</v>
      </c>
      <c r="W1206" s="10">
        <f ca="1">IFERROR(__xludf.DUMMYFUNCTION("""COMPUTED_VALUE"""),0.333333333333333)</f>
        <v>0.33333333333333298</v>
      </c>
      <c r="X1206" s="5">
        <f ca="1">IFERROR(__xludf.DUMMYFUNCTION("""COMPUTED_VALUE"""),1)</f>
        <v>1</v>
      </c>
      <c r="Y1206" s="5" t="str">
        <f ca="1">IFERROR(__xludf.DUMMYFUNCTION("""COMPUTED_VALUE"""),"Accidental discharge in backpack")</f>
        <v>Accidental discharge in backpack</v>
      </c>
      <c r="Z1206" s="5" t="str">
        <f ca="1">IFERROR(__xludf.DUMMYFUNCTION("""COMPUTED_VALUE"""),"5 year old brought gun to school - accidentally went off while in backpack - children were in cafeteria waiting for first bell to ring to begin class - no injuries. School officials did not contact police right away. County security officer was called fir"&amp;"st and arrived on scene.")</f>
        <v>5 year old brought gun to school - accidentally went off while in backpack - children were in cafeteria waiting for first bell to ring to begin class - no injuries. School officials did not contact police right away. County security officer was called first and arrived on scene.</v>
      </c>
      <c r="AA1206" s="5" t="str">
        <f ca="1">IFERROR(__xludf.DUMMYFUNCTION("""COMPUTED_VALUE"""),"Accidental")</f>
        <v>Accidental</v>
      </c>
      <c r="AB1206" s="5" t="str">
        <f ca="1">IFERROR(__xludf.DUMMYFUNCTION("""COMPUTED_VALUE"""),"Neither")</f>
        <v>Neither</v>
      </c>
      <c r="AC1206" s="5" t="str">
        <f ca="1">IFERROR(__xludf.DUMMYFUNCTION("""COMPUTED_VALUE"""),"No")</f>
        <v>No</v>
      </c>
      <c r="AD1206" s="5" t="str">
        <f ca="1">IFERROR(__xludf.DUMMYFUNCTION("""COMPUTED_VALUE"""),"No")</f>
        <v>No</v>
      </c>
      <c r="AE1206" s="5" t="str">
        <f ca="1">IFERROR(__xludf.DUMMYFUNCTION("""COMPUTED_VALUE"""),"No")</f>
        <v>No</v>
      </c>
      <c r="AF1206" s="5" t="str">
        <f ca="1">IFERROR(__xludf.DUMMYFUNCTION("""COMPUTED_VALUE"""),"No")</f>
        <v>No</v>
      </c>
      <c r="AG1206" s="5" t="str">
        <f ca="1">IFERROR(__xludf.DUMMYFUNCTION("""COMPUTED_VALUE"""),"No")</f>
        <v>No</v>
      </c>
      <c r="AH1206" s="5" t="str">
        <f ca="1">IFERROR(__xludf.DUMMYFUNCTION("""COMPUTED_VALUE"""),"No")</f>
        <v>No</v>
      </c>
      <c r="AI1206" s="5" t="str">
        <f ca="1">IFERROR(__xludf.DUMMYFUNCTION("""COMPUTED_VALUE"""),"No")</f>
        <v>No</v>
      </c>
      <c r="AJ1206" s="5"/>
    </row>
    <row r="1207" spans="1:36" ht="13">
      <c r="A1207" s="5" t="str">
        <f ca="1">IFERROR(__xludf.DUMMYFUNCTION("""COMPUTED_VALUE"""),"20130820GAROD")</f>
        <v>20130820GAROD</v>
      </c>
      <c r="B1207" s="5">
        <f ca="1">IFERROR(__xludf.DUMMYFUNCTION("""COMPUTED_VALUE"""),8)</f>
        <v>8</v>
      </c>
      <c r="C1207" s="5">
        <f ca="1">IFERROR(__xludf.DUMMYFUNCTION("""COMPUTED_VALUE"""),20)</f>
        <v>20</v>
      </c>
      <c r="D1207" s="5">
        <f ca="1">IFERROR(__xludf.DUMMYFUNCTION("""COMPUTED_VALUE"""),2013)</f>
        <v>2013</v>
      </c>
      <c r="E1207" s="8">
        <f ca="1">IFERROR(__xludf.DUMMYFUNCTION("""COMPUTED_VALUE"""),41506)</f>
        <v>41506</v>
      </c>
      <c r="F1207" s="5" t="str">
        <f ca="1">IFERROR(__xludf.DUMMYFUNCTION("""COMPUTED_VALUE"""),"Ronald E. McNair Discovery Learning Academy")</f>
        <v>Ronald E. McNair Discovery Learning Academy</v>
      </c>
      <c r="G1207" s="5">
        <f ca="1">IFERROR(__xludf.DUMMYFUNCTION("""COMPUTED_VALUE"""),0)</f>
        <v>0</v>
      </c>
      <c r="H1207" s="5">
        <f ca="1">IFERROR(__xludf.DUMMYFUNCTION("""COMPUTED_VALUE"""),0)</f>
        <v>0</v>
      </c>
      <c r="I1207" s="5">
        <f ca="1">IFERROR(__xludf.DUMMYFUNCTION("""COMPUTED_VALUE"""),0)</f>
        <v>0</v>
      </c>
      <c r="J1207" s="5">
        <f ca="1">IFERROR(__xludf.DUMMYFUNCTION("""COMPUTED_VALUE"""),0)</f>
        <v>0</v>
      </c>
      <c r="K1207" s="5" t="str">
        <f ca="1">IFERROR(__xludf.DUMMYFUNCTION("""COMPUTED_VALUE"""),"https://www.nbcnews.com/news/us-news/authorities-georgia-shooting-suspect-had-nearly-500-rounds-ammunition-flna6C10968110 https://www.11alive.com/article/features/she-saved-a-school-from-a-mass-shooting-years-later-antoinette-tuff-continues-to-inspire-and"&amp;"-teach-tuff-tactics/85-165e5660-a34e-4b53-bc3e-d4289599417d")</f>
        <v>https://www.nbcnews.com/news/us-news/authorities-georgia-shooting-suspect-had-nearly-500-rounds-ammunition-flna6C10968110 https://www.11alive.com/article/features/she-saved-a-school-from-a-mass-shooting-years-later-antoinette-tuff-continues-to-inspire-and-teach-tuff-tactics/85-165e5660-a34e-4b53-bc3e-d4289599417d</v>
      </c>
      <c r="L1207" s="5">
        <f ca="1">IFERROR(__xludf.DUMMYFUNCTION("""COMPUTED_VALUE"""),11)</f>
        <v>11</v>
      </c>
      <c r="M1207" s="5" t="str">
        <f ca="1">IFERROR(__xludf.DUMMYFUNCTION("""COMPUTED_VALUE"""),"International")</f>
        <v>International</v>
      </c>
      <c r="N1207" s="5">
        <f ca="1">IFERROR(__xludf.DUMMYFUNCTION("""COMPUTED_VALUE"""),4)</f>
        <v>4</v>
      </c>
      <c r="O1207" s="5" t="str">
        <f ca="1">IFERROR(__xludf.DUMMYFUNCTION("""COMPUTED_VALUE"""),"Summer")</f>
        <v>Summer</v>
      </c>
      <c r="P1207" s="5" t="str">
        <f ca="1">IFERROR(__xludf.DUMMYFUNCTION("""COMPUTED_VALUE"""),"Decatur")</f>
        <v>Decatur</v>
      </c>
      <c r="Q1207" s="5" t="str">
        <f ca="1">IFERROR(__xludf.DUMMYFUNCTION("""COMPUTED_VALUE"""),"GA")</f>
        <v>GA</v>
      </c>
      <c r="R1207" s="5" t="str">
        <f ca="1">IFERROR(__xludf.DUMMYFUNCTION("""COMPUTED_VALUE"""),"Elementary")</f>
        <v>Elementary</v>
      </c>
      <c r="S1207" s="5" t="str">
        <f ca="1">IFERROR(__xludf.DUMMYFUNCTION("""COMPUTED_VALUE"""),"Office")</f>
        <v>Office</v>
      </c>
      <c r="T1207" s="5" t="str">
        <f ca="1">IFERROR(__xludf.DUMMYFUNCTION("""COMPUTED_VALUE"""),"Inside School Building")</f>
        <v>Inside School Building</v>
      </c>
      <c r="U1207" s="5" t="str">
        <f ca="1">IFERROR(__xludf.DUMMYFUNCTION("""COMPUTED_VALUE"""),"Yes")</f>
        <v>Yes</v>
      </c>
      <c r="V1207" s="5" t="str">
        <f ca="1">IFERROR(__xludf.DUMMYFUNCTION("""COMPUTED_VALUE"""),"Morning Classes")</f>
        <v>Morning Classes</v>
      </c>
      <c r="W1207" s="10">
        <f ca="1">IFERROR(__xludf.DUMMYFUNCTION("""COMPUTED_VALUE"""),0.535416666666666)</f>
        <v>0.53541666666666599</v>
      </c>
      <c r="X1207" s="5">
        <f ca="1">IFERROR(__xludf.DUMMYFUNCTION("""COMPUTED_VALUE"""),1)</f>
        <v>1</v>
      </c>
      <c r="Y1207" s="5" t="str">
        <f ca="1">IFERROR(__xludf.DUMMYFUNCTION("""COMPUTED_VALUE"""),"Bipolar, had assault rifle and multiple other weapons, exchanged fire with police outside of school")</f>
        <v>Bipolar, had assault rifle and multiple other weapons, exchanged fire with police outside of school</v>
      </c>
      <c r="Z1207" s="5" t="str">
        <f ca="1">IFERROR(__xludf.DUMMYFUNCTION("""COMPUTED_VALUE"""),"Shooter had bipolar disorder. Recently stopped taking medication. Walked into office of elementary school with an AK47 and held two employees hostage. Told employee to call a local TV station to film cops dying. Had 498 rounds with him. School employee ta"&amp;"lked him down and he eventually surrendered to police. Allegedly, shooter said he had nothing to live for and he was ready to die. Fired 6 rounds at police outside of school. Not clear if he had other weapons. Affiliation with school is unclear. Got rifle"&amp;" from someone else, took a selfie with the weapon prior to shooting, recovered from shooter's phone. The female housing him reported that he didn't seem to have any friends, that his birth mother was dead and that he didn't know his father; also shooter w"&amp;"as quiet and didn't show any violent tendencies. Brother reported shooter had threatened to shoot him in the past.")</f>
        <v>Shooter had bipolar disorder. Recently stopped taking medication. Walked into office of elementary school with an AK47 and held two employees hostage. Told employee to call a local TV station to film cops dying. Had 498 rounds with him. School employee talked him down and he eventually surrendered to police. Allegedly, shooter said he had nothing to live for and he was ready to die. Fired 6 rounds at police outside of school. Not clear if he had other weapons. Affiliation with school is unclear. Got rifle from someone else, took a selfie with the weapon prior to shooting, recovered from shooter's phone. The female housing him reported that he didn't seem to have any friends, that his birth mother was dead and that he didn't know his father; also shooter was quiet and didn't show any violent tendencies. Brother reported shooter had threatened to shoot him in the past.</v>
      </c>
      <c r="AA1207" s="5" t="str">
        <f ca="1">IFERROR(__xludf.DUMMYFUNCTION("""COMPUTED_VALUE"""),"Psychosis")</f>
        <v>Psychosis</v>
      </c>
      <c r="AB1207" s="5" t="str">
        <f ca="1">IFERROR(__xludf.DUMMYFUNCTION("""COMPUTED_VALUE"""),"Victims Targeted")</f>
        <v>Victims Targeted</v>
      </c>
      <c r="AC1207" s="5" t="str">
        <f ca="1">IFERROR(__xludf.DUMMYFUNCTION("""COMPUTED_VALUE"""),"No")</f>
        <v>No</v>
      </c>
      <c r="AD1207" s="5" t="str">
        <f ca="1">IFERROR(__xludf.DUMMYFUNCTION("""COMPUTED_VALUE"""),"Yes")</f>
        <v>Yes</v>
      </c>
      <c r="AE1207" s="5" t="str">
        <f ca="1">IFERROR(__xludf.DUMMYFUNCTION("""COMPUTED_VALUE"""),"No")</f>
        <v>No</v>
      </c>
      <c r="AF1207" s="5" t="str">
        <f ca="1">IFERROR(__xludf.DUMMYFUNCTION("""COMPUTED_VALUE"""),"No")</f>
        <v>No</v>
      </c>
      <c r="AG1207" s="5" t="str">
        <f ca="1">IFERROR(__xludf.DUMMYFUNCTION("""COMPUTED_VALUE"""),"No")</f>
        <v>No</v>
      </c>
      <c r="AH1207" s="5" t="str">
        <f ca="1">IFERROR(__xludf.DUMMYFUNCTION("""COMPUTED_VALUE"""),"No")</f>
        <v>No</v>
      </c>
      <c r="AI1207" s="5" t="str">
        <f ca="1">IFERROR(__xludf.DUMMYFUNCTION("""COMPUTED_VALUE"""),"No")</f>
        <v>No</v>
      </c>
      <c r="AJ1207" s="5" t="str">
        <f ca="1">IFERROR(__xludf.DUMMYFUNCTION("""COMPUTED_VALUE"""),"Yes")</f>
        <v>Yes</v>
      </c>
    </row>
    <row r="1208" spans="1:36" ht="13">
      <c r="A1208" s="5" t="str">
        <f ca="1">IFERROR(__xludf.DUMMYFUNCTION("""COMPUTED_VALUE"""),"20130815TNNOC")</f>
        <v>20130815TNNOC</v>
      </c>
      <c r="B1208" s="5">
        <f ca="1">IFERROR(__xludf.DUMMYFUNCTION("""COMPUTED_VALUE"""),8)</f>
        <v>8</v>
      </c>
      <c r="C1208" s="5">
        <f ca="1">IFERROR(__xludf.DUMMYFUNCTION("""COMPUTED_VALUE"""),15)</f>
        <v>15</v>
      </c>
      <c r="D1208" s="5">
        <f ca="1">IFERROR(__xludf.DUMMYFUNCTION("""COMPUTED_VALUE"""),2013)</f>
        <v>2013</v>
      </c>
      <c r="E1208" s="8">
        <f ca="1">IFERROR(__xludf.DUMMYFUNCTION("""COMPUTED_VALUE"""),41501)</f>
        <v>41501</v>
      </c>
      <c r="F1208" s="5" t="str">
        <f ca="1">IFERROR(__xludf.DUMMYFUNCTION("""COMPUTED_VALUE"""),"Northwest High School")</f>
        <v>Northwest High School</v>
      </c>
      <c r="G1208" s="5">
        <f ca="1">IFERROR(__xludf.DUMMYFUNCTION("""COMPUTED_VALUE"""),1)</f>
        <v>1</v>
      </c>
      <c r="H1208" s="5">
        <f ca="1">IFERROR(__xludf.DUMMYFUNCTION("""COMPUTED_VALUE"""),0)</f>
        <v>0</v>
      </c>
      <c r="I1208" s="5">
        <f ca="1">IFERROR(__xludf.DUMMYFUNCTION("""COMPUTED_VALUE"""),1)</f>
        <v>1</v>
      </c>
      <c r="J1208" s="5">
        <f ca="1">IFERROR(__xludf.DUMMYFUNCTION("""COMPUTED_VALUE"""),0)</f>
        <v>0</v>
      </c>
      <c r="K1208" s="9" t="str">
        <f ca="1">IFERROR(__xludf.DUMMYFUNCTION("""COMPUTED_VALUE"""),"https://www.theleafchronicle.com/story/news/2017/03/10/one-familys-emotional-trial-ends-without-answers/98871314/")</f>
        <v>https://www.theleafchronicle.com/story/news/2017/03/10/one-familys-emotional-trial-ends-without-answers/98871314/</v>
      </c>
      <c r="L1208" s="5">
        <f ca="1">IFERROR(__xludf.DUMMYFUNCTION("""COMPUTED_VALUE"""),5)</f>
        <v>5</v>
      </c>
      <c r="M1208" s="5" t="str">
        <f ca="1">IFERROR(__xludf.DUMMYFUNCTION("""COMPUTED_VALUE"""),"Local")</f>
        <v>Local</v>
      </c>
      <c r="N1208" s="5">
        <f ca="1">IFERROR(__xludf.DUMMYFUNCTION("""COMPUTED_VALUE"""),2)</f>
        <v>2</v>
      </c>
      <c r="O1208" s="5" t="str">
        <f ca="1">IFERROR(__xludf.DUMMYFUNCTION("""COMPUTED_VALUE"""),"Summer")</f>
        <v>Summer</v>
      </c>
      <c r="P1208" s="5" t="str">
        <f ca="1">IFERROR(__xludf.DUMMYFUNCTION("""COMPUTED_VALUE"""),"Clarksville")</f>
        <v>Clarksville</v>
      </c>
      <c r="Q1208" s="5" t="str">
        <f ca="1">IFERROR(__xludf.DUMMYFUNCTION("""COMPUTED_VALUE"""),"TN")</f>
        <v>TN</v>
      </c>
      <c r="R1208" s="5" t="str">
        <f ca="1">IFERROR(__xludf.DUMMYFUNCTION("""COMPUTED_VALUE"""),"Middle")</f>
        <v>Middle</v>
      </c>
      <c r="S1208" s="5" t="str">
        <f ca="1">IFERROR(__xludf.DUMMYFUNCTION("""COMPUTED_VALUE"""),"Parking Lot")</f>
        <v>Parking Lot</v>
      </c>
      <c r="T1208" s="5" t="str">
        <f ca="1">IFERROR(__xludf.DUMMYFUNCTION("""COMPUTED_VALUE"""),"Outside on School Property")</f>
        <v>Outside on School Property</v>
      </c>
      <c r="U1208" s="5" t="str">
        <f ca="1">IFERROR(__xludf.DUMMYFUNCTION("""COMPUTED_VALUE"""),"No")</f>
        <v>No</v>
      </c>
      <c r="V1208" s="5" t="str">
        <f ca="1">IFERROR(__xludf.DUMMYFUNCTION("""COMPUTED_VALUE"""),"Night")</f>
        <v>Night</v>
      </c>
      <c r="W1208" s="10">
        <f ca="1">IFERROR(__xludf.DUMMYFUNCTION("""COMPUTED_VALUE"""),0.0833333333333333)</f>
        <v>8.3333333333333301E-2</v>
      </c>
      <c r="X1208" s="5">
        <f ca="1">IFERROR(__xludf.DUMMYFUNCTION("""COMPUTED_VALUE"""),1)</f>
        <v>1</v>
      </c>
      <c r="Y1208" s="5" t="str">
        <f ca="1">IFERROR(__xludf.DUMMYFUNCTION("""COMPUTED_VALUE"""),"Fight between non-students in school parking lot")</f>
        <v>Fight between non-students in school parking lot</v>
      </c>
      <c r="Z1208" s="5" t="str">
        <f ca="1">IFERROR(__xludf.DUMMYFUNCTION("""COMPUTED_VALUE"""),"Victim, shooter, and accomplices met in local bar. One of the suspects' ex girlfriend reported the men had an argument. Shooter allegedly offered the victim a ride home, stopped at a crack house on the way, where shooter claims victim got a gun. Shooter s"&amp;"tated he pulled into school parking lot because victim was going to throw up. Shooter said victim pulled gun on him but it dropped to the floor - shooter said he picked up gun and it fired striking/killing victim. The other suspects were also there in ano"&amp;"ther car, the girlfriend was sleeping in the back. The video footage from the parking lot is from too far away. Allegedly, shooter tried to clean the blood stains and to get rid of the car. The case was declared a mistrial and no public reason was provide"&amp;"d.")</f>
        <v>Victim, shooter, and accomplices met in local bar. One of the suspects' ex girlfriend reported the men had an argument. Shooter allegedly offered the victim a ride home, stopped at a crack house on the way, where shooter claims victim got a gun. Shooter stated he pulled into school parking lot because victim was going to throw up. Shooter said victim pulled gun on him but it dropped to the floor - shooter said he picked up gun and it fired striking/killing victim. The other suspects were also there in another car, the girlfriend was sleeping in the back. The video footage from the parking lot is from too far away. Allegedly, shooter tried to clean the blood stains and to get rid of the car. The case was declared a mistrial and no public reason was provided.</v>
      </c>
      <c r="AA1208" s="5" t="str">
        <f ca="1">IFERROR(__xludf.DUMMYFUNCTION("""COMPUTED_VALUE"""),"Escalation of Dispute")</f>
        <v>Escalation of Dispute</v>
      </c>
      <c r="AB1208" s="5" t="str">
        <f ca="1">IFERROR(__xludf.DUMMYFUNCTION("""COMPUTED_VALUE"""),"Victims Targeted")</f>
        <v>Victims Targeted</v>
      </c>
      <c r="AC1208" s="5" t="str">
        <f ca="1">IFERROR(__xludf.DUMMYFUNCTION("""COMPUTED_VALUE"""),"Yes")</f>
        <v>Yes</v>
      </c>
      <c r="AD1208" s="5" t="str">
        <f ca="1">IFERROR(__xludf.DUMMYFUNCTION("""COMPUTED_VALUE"""),"No")</f>
        <v>No</v>
      </c>
      <c r="AE1208" s="5" t="str">
        <f ca="1">IFERROR(__xludf.DUMMYFUNCTION("""COMPUTED_VALUE"""),"No")</f>
        <v>No</v>
      </c>
      <c r="AF1208" s="5" t="str">
        <f ca="1">IFERROR(__xludf.DUMMYFUNCTION("""COMPUTED_VALUE"""),"No")</f>
        <v>No</v>
      </c>
      <c r="AG1208" s="5" t="str">
        <f ca="1">IFERROR(__xludf.DUMMYFUNCTION("""COMPUTED_VALUE"""),"No")</f>
        <v>No</v>
      </c>
      <c r="AH1208" s="5" t="str">
        <f ca="1">IFERROR(__xludf.DUMMYFUNCTION("""COMPUTED_VALUE"""),"No")</f>
        <v>No</v>
      </c>
      <c r="AI1208" s="5" t="str">
        <f ca="1">IFERROR(__xludf.DUMMYFUNCTION("""COMPUTED_VALUE"""),"No")</f>
        <v>No</v>
      </c>
      <c r="AJ1208" s="5"/>
    </row>
    <row r="1209" spans="1:36" ht="13">
      <c r="A1209" s="5" t="str">
        <f ca="1">IFERROR(__xludf.DUMMYFUNCTION("""COMPUTED_VALUE"""),"20130619FLALW")</f>
        <v>20130619FLALW</v>
      </c>
      <c r="B1209" s="5">
        <f ca="1">IFERROR(__xludf.DUMMYFUNCTION("""COMPUTED_VALUE"""),6)</f>
        <v>6</v>
      </c>
      <c r="C1209" s="5">
        <f ca="1">IFERROR(__xludf.DUMMYFUNCTION("""COMPUTED_VALUE"""),19)</f>
        <v>19</v>
      </c>
      <c r="D1209" s="5">
        <f ca="1">IFERROR(__xludf.DUMMYFUNCTION("""COMPUTED_VALUE"""),2013)</f>
        <v>2013</v>
      </c>
      <c r="E1209" s="8">
        <f ca="1">IFERROR(__xludf.DUMMYFUNCTION("""COMPUTED_VALUE"""),41444)</f>
        <v>41444</v>
      </c>
      <c r="F1209" s="5" t="str">
        <f ca="1">IFERROR(__xludf.DUMMYFUNCTION("""COMPUTED_VALUE"""),"Alexander W. Dreyfoos School of the Arts")</f>
        <v>Alexander W. Dreyfoos School of the Arts</v>
      </c>
      <c r="G1209" s="5">
        <f ca="1">IFERROR(__xludf.DUMMYFUNCTION("""COMPUTED_VALUE"""),2)</f>
        <v>2</v>
      </c>
      <c r="H1209" s="5">
        <f ca="1">IFERROR(__xludf.DUMMYFUNCTION("""COMPUTED_VALUE"""),0)</f>
        <v>0</v>
      </c>
      <c r="I1209" s="5">
        <f ca="1">IFERROR(__xludf.DUMMYFUNCTION("""COMPUTED_VALUE"""),2)</f>
        <v>2</v>
      </c>
      <c r="J1209" s="5">
        <f ca="1">IFERROR(__xludf.DUMMYFUNCTION("""COMPUTED_VALUE"""),0)</f>
        <v>0</v>
      </c>
      <c r="K1209" s="9" t="str">
        <f ca="1">IFERROR(__xludf.DUMMYFUNCTION("""COMPUTED_VALUE"""),"https://www.cbsnews.com/news/two-custodians-found-shot-to-death-at-fla-high-school-police-name-person-of-interest-report-says/")</f>
        <v>https://www.cbsnews.com/news/two-custodians-found-shot-to-death-at-fla-high-school-police-name-person-of-interest-report-says/</v>
      </c>
      <c r="L1209" s="5">
        <f ca="1">IFERROR(__xludf.DUMMYFUNCTION("""COMPUTED_VALUE"""),11)</f>
        <v>11</v>
      </c>
      <c r="M1209" s="5" t="str">
        <f ca="1">IFERROR(__xludf.DUMMYFUNCTION("""COMPUTED_VALUE"""),"International")</f>
        <v>International</v>
      </c>
      <c r="N1209" s="5">
        <f ca="1">IFERROR(__xludf.DUMMYFUNCTION("""COMPUTED_VALUE"""),4)</f>
        <v>4</v>
      </c>
      <c r="O1209" s="5" t="str">
        <f ca="1">IFERROR(__xludf.DUMMYFUNCTION("""COMPUTED_VALUE"""),"Summer")</f>
        <v>Summer</v>
      </c>
      <c r="P1209" s="5" t="str">
        <f ca="1">IFERROR(__xludf.DUMMYFUNCTION("""COMPUTED_VALUE"""),"West Palm Beach")</f>
        <v>West Palm Beach</v>
      </c>
      <c r="Q1209" s="5" t="str">
        <f ca="1">IFERROR(__xludf.DUMMYFUNCTION("""COMPUTED_VALUE"""),"FL")</f>
        <v>FL</v>
      </c>
      <c r="R1209" s="5" t="str">
        <f ca="1">IFERROR(__xludf.DUMMYFUNCTION("""COMPUTED_VALUE"""),"High")</f>
        <v>High</v>
      </c>
      <c r="S1209" s="5" t="str">
        <f ca="1">IFERROR(__xludf.DUMMYFUNCTION("""COMPUTED_VALUE"""),"Office")</f>
        <v>Office</v>
      </c>
      <c r="T1209" s="5" t="str">
        <f ca="1">IFERROR(__xludf.DUMMYFUNCTION("""COMPUTED_VALUE"""),"Inside School Building")</f>
        <v>Inside School Building</v>
      </c>
      <c r="U1209" s="5" t="str">
        <f ca="1">IFERROR(__xludf.DUMMYFUNCTION("""COMPUTED_VALUE"""),"No")</f>
        <v>No</v>
      </c>
      <c r="V1209" s="5" t="str">
        <f ca="1">IFERROR(__xludf.DUMMYFUNCTION("""COMPUTED_VALUE"""),"Not a School Day")</f>
        <v>Not a School Day</v>
      </c>
      <c r="W1209" s="10">
        <f ca="1">IFERROR(__xludf.DUMMYFUNCTION("""COMPUTED_VALUE"""),0.270833333333333)</f>
        <v>0.27083333333333298</v>
      </c>
      <c r="X1209" s="5">
        <f ca="1">IFERROR(__xludf.DUMMYFUNCTION("""COMPUTED_VALUE"""),1)</f>
        <v>1</v>
      </c>
      <c r="Y1209" s="5" t="str">
        <f ca="1">IFERROR(__xludf.DUMMYFUNCTION("""COMPUTED_VALUE"""),"School maintenance worker killed co-workers")</f>
        <v>School maintenance worker killed co-workers</v>
      </c>
      <c r="Z1209" s="5" t="str">
        <f ca="1">IFERROR(__xludf.DUMMYFUNCTION("""COMPUTED_VALUE"""),"Shooter was maintenance man at school - shot and killed two co-workers then fled to Columbia - In 2017 he turned himself in to local authorities and returned to US to face charges of first degree murder. Shooter had a history of violent behavior exhibited"&amp;" at the school in the past.")</f>
        <v>Shooter was maintenance man at school - shot and killed two co-workers then fled to Columbia - In 2017 he turned himself in to local authorities and returned to US to face charges of first degree murder. Shooter had a history of violent behavior exhibited at the school in the past.</v>
      </c>
      <c r="AA1209" s="5" t="str">
        <f ca="1">IFERROR(__xludf.DUMMYFUNCTION("""COMPUTED_VALUE"""),"Escalation of Dispute")</f>
        <v>Escalation of Dispute</v>
      </c>
      <c r="AB1209" s="5" t="str">
        <f ca="1">IFERROR(__xludf.DUMMYFUNCTION("""COMPUTED_VALUE"""),"Victims Targeted")</f>
        <v>Victims Targeted</v>
      </c>
      <c r="AC1209" s="5" t="str">
        <f ca="1">IFERROR(__xludf.DUMMYFUNCTION("""COMPUTED_VALUE"""),"No")</f>
        <v>No</v>
      </c>
      <c r="AD1209" s="5" t="str">
        <f ca="1">IFERROR(__xludf.DUMMYFUNCTION("""COMPUTED_VALUE"""),"No")</f>
        <v>No</v>
      </c>
      <c r="AE1209" s="5" t="str">
        <f ca="1">IFERROR(__xludf.DUMMYFUNCTION("""COMPUTED_VALUE"""),"No")</f>
        <v>No</v>
      </c>
      <c r="AF1209" s="5" t="str">
        <f ca="1">IFERROR(__xludf.DUMMYFUNCTION("""COMPUTED_VALUE"""),"No")</f>
        <v>No</v>
      </c>
      <c r="AG1209" s="5" t="str">
        <f ca="1">IFERROR(__xludf.DUMMYFUNCTION("""COMPUTED_VALUE"""),"No")</f>
        <v>No</v>
      </c>
      <c r="AH1209" s="5" t="str">
        <f ca="1">IFERROR(__xludf.DUMMYFUNCTION("""COMPUTED_VALUE"""),"No")</f>
        <v>No</v>
      </c>
      <c r="AI1209" s="5" t="str">
        <f ca="1">IFERROR(__xludf.DUMMYFUNCTION("""COMPUTED_VALUE"""),"No")</f>
        <v>No</v>
      </c>
      <c r="AJ1209" s="5"/>
    </row>
    <row r="1210" spans="1:36" ht="13">
      <c r="A1210" s="5" t="str">
        <f ca="1">IFERROR(__xludf.DUMMYFUNCTION("""COMPUTED_VALUE"""),"20130618NCHIC")</f>
        <v>20130618NCHIC</v>
      </c>
      <c r="B1210" s="5">
        <f ca="1">IFERROR(__xludf.DUMMYFUNCTION("""COMPUTED_VALUE"""),6)</f>
        <v>6</v>
      </c>
      <c r="C1210" s="5">
        <f ca="1">IFERROR(__xludf.DUMMYFUNCTION("""COMPUTED_VALUE"""),18)</f>
        <v>18</v>
      </c>
      <c r="D1210" s="5">
        <f ca="1">IFERROR(__xludf.DUMMYFUNCTION("""COMPUTED_VALUE"""),2013)</f>
        <v>2013</v>
      </c>
      <c r="E1210" s="8">
        <f ca="1">IFERROR(__xludf.DUMMYFUNCTION("""COMPUTED_VALUE"""),41443)</f>
        <v>41443</v>
      </c>
      <c r="F1210" s="5" t="str">
        <f ca="1">IFERROR(__xludf.DUMMYFUNCTION("""COMPUTED_VALUE"""),"Hidden Valley Elementary School")</f>
        <v>Hidden Valley Elementary School</v>
      </c>
      <c r="G1210" s="5">
        <f ca="1">IFERROR(__xludf.DUMMYFUNCTION("""COMPUTED_VALUE"""),0)</f>
        <v>0</v>
      </c>
      <c r="H1210" s="5">
        <f ca="1">IFERROR(__xludf.DUMMYFUNCTION("""COMPUTED_VALUE"""),1)</f>
        <v>1</v>
      </c>
      <c r="I1210" s="5">
        <f ca="1">IFERROR(__xludf.DUMMYFUNCTION("""COMPUTED_VALUE"""),1)</f>
        <v>1</v>
      </c>
      <c r="J1210" s="5">
        <f ca="1">IFERROR(__xludf.DUMMYFUNCTION("""COMPUTED_VALUE"""),1)</f>
        <v>1</v>
      </c>
      <c r="K1210" s="9" t="str">
        <f ca="1">IFERROR(__xludf.DUMMYFUNCTION("""COMPUTED_VALUE"""),"https://www.wsoctv.com/news/local/gunfire-school-campus-part-undercover-drug-operati/335014423")</f>
        <v>https://www.wsoctv.com/news/local/gunfire-school-campus-part-undercover-drug-operati/335014423</v>
      </c>
      <c r="L1210" s="5">
        <f ca="1">IFERROR(__xludf.DUMMYFUNCTION("""COMPUTED_VALUE"""),1)</f>
        <v>1</v>
      </c>
      <c r="M1210" s="5" t="str">
        <f ca="1">IFERROR(__xludf.DUMMYFUNCTION("""COMPUTED_VALUE"""),"Local")</f>
        <v>Local</v>
      </c>
      <c r="N1210" s="5">
        <f ca="1">IFERROR(__xludf.DUMMYFUNCTION("""COMPUTED_VALUE"""),2)</f>
        <v>2</v>
      </c>
      <c r="O1210" s="5" t="str">
        <f ca="1">IFERROR(__xludf.DUMMYFUNCTION("""COMPUTED_VALUE"""),"Summer")</f>
        <v>Summer</v>
      </c>
      <c r="P1210" s="5" t="str">
        <f ca="1">IFERROR(__xludf.DUMMYFUNCTION("""COMPUTED_VALUE"""),"Charlotte")</f>
        <v>Charlotte</v>
      </c>
      <c r="Q1210" s="5" t="str">
        <f ca="1">IFERROR(__xludf.DUMMYFUNCTION("""COMPUTED_VALUE"""),"NC")</f>
        <v>NC</v>
      </c>
      <c r="R1210" s="5" t="str">
        <f ca="1">IFERROR(__xludf.DUMMYFUNCTION("""COMPUTED_VALUE"""),"Elementary")</f>
        <v>Elementary</v>
      </c>
      <c r="S1210" s="5" t="str">
        <f ca="1">IFERROR(__xludf.DUMMYFUNCTION("""COMPUTED_VALUE"""),"Parking Lot")</f>
        <v>Parking Lot</v>
      </c>
      <c r="T1210" s="5" t="str">
        <f ca="1">IFERROR(__xludf.DUMMYFUNCTION("""COMPUTED_VALUE"""),"Outside on School Property")</f>
        <v>Outside on School Property</v>
      </c>
      <c r="U1210" s="5" t="str">
        <f ca="1">IFERROR(__xludf.DUMMYFUNCTION("""COMPUTED_VALUE"""),"No")</f>
        <v>No</v>
      </c>
      <c r="V1210" s="5" t="str">
        <f ca="1">IFERROR(__xludf.DUMMYFUNCTION("""COMPUTED_VALUE"""),"After School")</f>
        <v>After School</v>
      </c>
      <c r="W1210" s="10">
        <f ca="1">IFERROR(__xludf.DUMMYFUNCTION("""COMPUTED_VALUE"""),0.583333333333333)</f>
        <v>0.58333333333333304</v>
      </c>
      <c r="X1210" s="5">
        <f ca="1">IFERROR(__xludf.DUMMYFUNCTION("""COMPUTED_VALUE"""),1)</f>
        <v>1</v>
      </c>
      <c r="Y1210" s="5" t="str">
        <f ca="1">IFERROR(__xludf.DUMMYFUNCTION("""COMPUTED_VALUE"""),"Undercover officers were shot at by suspects during drug deal")</f>
        <v>Undercover officers were shot at by suspects during drug deal</v>
      </c>
      <c r="Z1210" s="5" t="str">
        <f ca="1">IFERROR(__xludf.DUMMYFUNCTION("""COMPUTED_VALUE"""),"Undercover operation took place on school parking lot - after undercover drug deal, the suspect tried to rob the undercover officers and they exchanged shots. The suspect was shot in the head and died later in the hospital, the informant was injured, the "&amp;"second suspect fled but was arrested the next day.")</f>
        <v>Undercover operation took place on school parking lot - after undercover drug deal, the suspect tried to rob the undercover officers and they exchanged shots. The suspect was shot in the head and died later in the hospital, the informant was injured, the second suspect fled but was arrested the next day.</v>
      </c>
      <c r="AA1210" s="5" t="str">
        <f ca="1">IFERROR(__xludf.DUMMYFUNCTION("""COMPUTED_VALUE"""),"Illegal Activity")</f>
        <v>Illegal Activity</v>
      </c>
      <c r="AB1210" s="5" t="str">
        <f ca="1">IFERROR(__xludf.DUMMYFUNCTION("""COMPUTED_VALUE"""),"Victims Targeted")</f>
        <v>Victims Targeted</v>
      </c>
      <c r="AC1210" s="5" t="str">
        <f ca="1">IFERROR(__xludf.DUMMYFUNCTION("""COMPUTED_VALUE"""),"Yes")</f>
        <v>Yes</v>
      </c>
      <c r="AD1210" s="5" t="str">
        <f ca="1">IFERROR(__xludf.DUMMYFUNCTION("""COMPUTED_VALUE"""),"No")</f>
        <v>No</v>
      </c>
      <c r="AE1210" s="5" t="str">
        <f ca="1">IFERROR(__xludf.DUMMYFUNCTION("""COMPUTED_VALUE"""),"No")</f>
        <v>No</v>
      </c>
      <c r="AF1210" s="5" t="str">
        <f ca="1">IFERROR(__xludf.DUMMYFUNCTION("""COMPUTED_VALUE"""),"Yes")</f>
        <v>Yes</v>
      </c>
      <c r="AG1210" s="5" t="str">
        <f ca="1">IFERROR(__xludf.DUMMYFUNCTION("""COMPUTED_VALUE"""),"No")</f>
        <v>No</v>
      </c>
      <c r="AH1210" s="5" t="str">
        <f ca="1">IFERROR(__xludf.DUMMYFUNCTION("""COMPUTED_VALUE"""),"No")</f>
        <v>No</v>
      </c>
      <c r="AI1210" s="5" t="str">
        <f ca="1">IFERROR(__xludf.DUMMYFUNCTION("""COMPUTED_VALUE"""),"No")</f>
        <v>No</v>
      </c>
      <c r="AJ1210" s="5"/>
    </row>
    <row r="1211" spans="1:36" ht="13">
      <c r="A1211" s="5" t="str">
        <f ca="1">IFERROR(__xludf.DUMMYFUNCTION("""COMPUTED_VALUE"""),"20130523FLREH")</f>
        <v>20130523FLREH</v>
      </c>
      <c r="B1211" s="5">
        <f ca="1">IFERROR(__xludf.DUMMYFUNCTION("""COMPUTED_VALUE"""),5)</f>
        <v>5</v>
      </c>
      <c r="C1211" s="5">
        <f ca="1">IFERROR(__xludf.DUMMYFUNCTION("""COMPUTED_VALUE"""),23)</f>
        <v>23</v>
      </c>
      <c r="D1211" s="5">
        <f ca="1">IFERROR(__xludf.DUMMYFUNCTION("""COMPUTED_VALUE"""),2013)</f>
        <v>2013</v>
      </c>
      <c r="E1211" s="8">
        <f ca="1">IFERROR(__xludf.DUMMYFUNCTION("""COMPUTED_VALUE"""),41417)</f>
        <v>41417</v>
      </c>
      <c r="F1211" s="5" t="str">
        <f ca="1">IFERROR(__xludf.DUMMYFUNCTION("""COMPUTED_VALUE"""),"Redland Middle School")</f>
        <v>Redland Middle School</v>
      </c>
      <c r="G1211" s="5">
        <f ca="1">IFERROR(__xludf.DUMMYFUNCTION("""COMPUTED_VALUE"""),0)</f>
        <v>0</v>
      </c>
      <c r="H1211" s="5">
        <f ca="1">IFERROR(__xludf.DUMMYFUNCTION("""COMPUTED_VALUE"""),1)</f>
        <v>1</v>
      </c>
      <c r="I1211" s="5">
        <f ca="1">IFERROR(__xludf.DUMMYFUNCTION("""COMPUTED_VALUE"""),1)</f>
        <v>1</v>
      </c>
      <c r="J1211" s="5">
        <f ca="1">IFERROR(__xludf.DUMMYFUNCTION("""COMPUTED_VALUE"""),0)</f>
        <v>0</v>
      </c>
      <c r="K1211" s="9" t="str">
        <f ca="1">IFERROR(__xludf.DUMMYFUNCTION("""COMPUTED_VALUE"""),"https://www.nbcmiami.com/news/local/Redland-Middle-School-Student-Injured-After-Bullet-Thrown-on-Floor-Exploded-Official-208862711.html")</f>
        <v>https://www.nbcmiami.com/news/local/Redland-Middle-School-Student-Injured-After-Bullet-Thrown-on-Floor-Exploded-Official-208862711.html</v>
      </c>
      <c r="L1211" s="5">
        <f ca="1">IFERROR(__xludf.DUMMYFUNCTION("""COMPUTED_VALUE"""),5)</f>
        <v>5</v>
      </c>
      <c r="M1211" s="5" t="str">
        <f ca="1">IFERROR(__xludf.DUMMYFUNCTION("""COMPUTED_VALUE"""),"Regional")</f>
        <v>Regional</v>
      </c>
      <c r="N1211" s="5">
        <f ca="1">IFERROR(__xludf.DUMMYFUNCTION("""COMPUTED_VALUE"""),2)</f>
        <v>2</v>
      </c>
      <c r="O1211" s="5" t="str">
        <f ca="1">IFERROR(__xludf.DUMMYFUNCTION("""COMPUTED_VALUE"""),"Spring")</f>
        <v>Spring</v>
      </c>
      <c r="P1211" s="5" t="str">
        <f ca="1">IFERROR(__xludf.DUMMYFUNCTION("""COMPUTED_VALUE"""),"Homestead")</f>
        <v>Homestead</v>
      </c>
      <c r="Q1211" s="5" t="str">
        <f ca="1">IFERROR(__xludf.DUMMYFUNCTION("""COMPUTED_VALUE"""),"FL")</f>
        <v>FL</v>
      </c>
      <c r="R1211" s="5" t="str">
        <f ca="1">IFERROR(__xludf.DUMMYFUNCTION("""COMPUTED_VALUE"""),"Middle")</f>
        <v>Middle</v>
      </c>
      <c r="S1211" s="5" t="str">
        <f ca="1">IFERROR(__xludf.DUMMYFUNCTION("""COMPUTED_VALUE"""),"Classroom")</f>
        <v>Classroom</v>
      </c>
      <c r="T1211" s="5" t="str">
        <f ca="1">IFERROR(__xludf.DUMMYFUNCTION("""COMPUTED_VALUE"""),"Inside School Building")</f>
        <v>Inside School Building</v>
      </c>
      <c r="U1211" s="5" t="str">
        <f ca="1">IFERROR(__xludf.DUMMYFUNCTION("""COMPUTED_VALUE"""),"Yes")</f>
        <v>Yes</v>
      </c>
      <c r="V1211" s="5" t="str">
        <f ca="1">IFERROR(__xludf.DUMMYFUNCTION("""COMPUTED_VALUE"""),"Afternoon Classes")</f>
        <v>Afternoon Classes</v>
      </c>
      <c r="W1211" s="10">
        <f ca="1">IFERROR(__xludf.DUMMYFUNCTION("""COMPUTED_VALUE"""),0.611111111111111)</f>
        <v>0.61111111111111105</v>
      </c>
      <c r="X1211" s="5">
        <f ca="1">IFERROR(__xludf.DUMMYFUNCTION("""COMPUTED_VALUE"""),1)</f>
        <v>1</v>
      </c>
      <c r="Y1211" s="5" t="str">
        <f ca="1">IFERROR(__xludf.DUMMYFUNCTION("""COMPUTED_VALUE"""),"Accidental; gun in backpack discharged in classroom")</f>
        <v>Accidental; gun in backpack discharged in classroom</v>
      </c>
      <c r="Z1211" s="5" t="str">
        <f ca="1">IFERROR(__xludf.DUMMYFUNCTION("""COMPUTED_VALUE"""),"11 year old boy put a gun in his backpack and brought it to school. When he dropped his backpack, the gun accidentally fired shooting another male classmate in the leg.")</f>
        <v>11 year old boy put a gun in his backpack and brought it to school. When he dropped his backpack, the gun accidentally fired shooting another male classmate in the leg.</v>
      </c>
      <c r="AA1211" s="5" t="str">
        <f ca="1">IFERROR(__xludf.DUMMYFUNCTION("""COMPUTED_VALUE"""),"Accidental")</f>
        <v>Accidental</v>
      </c>
      <c r="AB1211" s="5" t="str">
        <f ca="1">IFERROR(__xludf.DUMMYFUNCTION("""COMPUTED_VALUE"""),"Random Shooting")</f>
        <v>Random Shooting</v>
      </c>
      <c r="AC1211" s="5" t="str">
        <f ca="1">IFERROR(__xludf.DUMMYFUNCTION("""COMPUTED_VALUE"""),"No")</f>
        <v>No</v>
      </c>
      <c r="AD1211" s="5" t="str">
        <f ca="1">IFERROR(__xludf.DUMMYFUNCTION("""COMPUTED_VALUE"""),"No")</f>
        <v>No</v>
      </c>
      <c r="AE1211" s="5" t="str">
        <f ca="1">IFERROR(__xludf.DUMMYFUNCTION("""COMPUTED_VALUE"""),"No")</f>
        <v>No</v>
      </c>
      <c r="AF1211" s="5" t="str">
        <f ca="1">IFERROR(__xludf.DUMMYFUNCTION("""COMPUTED_VALUE"""),"No")</f>
        <v>No</v>
      </c>
      <c r="AG1211" s="5" t="str">
        <f ca="1">IFERROR(__xludf.DUMMYFUNCTION("""COMPUTED_VALUE"""),"No")</f>
        <v>No</v>
      </c>
      <c r="AH1211" s="5" t="str">
        <f ca="1">IFERROR(__xludf.DUMMYFUNCTION("""COMPUTED_VALUE"""),"No")</f>
        <v>No</v>
      </c>
      <c r="AI1211" s="5" t="str">
        <f ca="1">IFERROR(__xludf.DUMMYFUNCTION("""COMPUTED_VALUE"""),"No")</f>
        <v>No</v>
      </c>
      <c r="AJ1211" s="5"/>
    </row>
    <row r="1212" spans="1:36" ht="13">
      <c r="A1212" s="5" t="str">
        <f ca="1">IFERROR(__xludf.DUMMYFUNCTION("""COMPUTED_VALUE"""),"20130513ALOSB")</f>
        <v>20130513ALOSB</v>
      </c>
      <c r="B1212" s="5">
        <f ca="1">IFERROR(__xludf.DUMMYFUNCTION("""COMPUTED_VALUE"""),5)</f>
        <v>5</v>
      </c>
      <c r="C1212" s="5">
        <f ca="1">IFERROR(__xludf.DUMMYFUNCTION("""COMPUTED_VALUE"""),13)</f>
        <v>13</v>
      </c>
      <c r="D1212" s="5">
        <f ca="1">IFERROR(__xludf.DUMMYFUNCTION("""COMPUTED_VALUE"""),2013)</f>
        <v>2013</v>
      </c>
      <c r="E1212" s="8">
        <f ca="1">IFERROR(__xludf.DUMMYFUNCTION("""COMPUTED_VALUE"""),41407)</f>
        <v>41407</v>
      </c>
      <c r="F1212" s="5" t="str">
        <f ca="1">IFERROR(__xludf.DUMMYFUNCTION("""COMPUTED_VALUE"""),"Ossie Ware Mitchell Middle School")</f>
        <v>Ossie Ware Mitchell Middle School</v>
      </c>
      <c r="G1212" s="5">
        <f ca="1">IFERROR(__xludf.DUMMYFUNCTION("""COMPUTED_VALUE"""),0)</f>
        <v>0</v>
      </c>
      <c r="H1212" s="5">
        <f ca="1">IFERROR(__xludf.DUMMYFUNCTION("""COMPUTED_VALUE"""),0)</f>
        <v>0</v>
      </c>
      <c r="I1212" s="5">
        <f ca="1">IFERROR(__xludf.DUMMYFUNCTION("""COMPUTED_VALUE"""),0)</f>
        <v>0</v>
      </c>
      <c r="J1212" s="5">
        <f ca="1">IFERROR(__xludf.DUMMYFUNCTION("""COMPUTED_VALUE"""),0)</f>
        <v>0</v>
      </c>
      <c r="K1212" s="9" t="str">
        <f ca="1">IFERROR(__xludf.DUMMYFUNCTION("""COMPUTED_VALUE"""),"http://www.wbrc.com/story/22251179/parent-allegedly-fires-gun-when-daughters-fight-at-school")</f>
        <v>http://www.wbrc.com/story/22251179/parent-allegedly-fires-gun-when-daughters-fight-at-school</v>
      </c>
      <c r="L1212" s="5">
        <f ca="1">IFERROR(__xludf.DUMMYFUNCTION("""COMPUTED_VALUE"""),1)</f>
        <v>1</v>
      </c>
      <c r="M1212" s="5" t="str">
        <f ca="1">IFERROR(__xludf.DUMMYFUNCTION("""COMPUTED_VALUE"""),"Local")</f>
        <v>Local</v>
      </c>
      <c r="N1212" s="5">
        <f ca="1">IFERROR(__xludf.DUMMYFUNCTION("""COMPUTED_VALUE"""),2)</f>
        <v>2</v>
      </c>
      <c r="O1212" s="5" t="str">
        <f ca="1">IFERROR(__xludf.DUMMYFUNCTION("""COMPUTED_VALUE"""),"Spring")</f>
        <v>Spring</v>
      </c>
      <c r="P1212" s="5" t="str">
        <f ca="1">IFERROR(__xludf.DUMMYFUNCTION("""COMPUTED_VALUE"""),"Birmingham")</f>
        <v>Birmingham</v>
      </c>
      <c r="Q1212" s="5" t="str">
        <f ca="1">IFERROR(__xludf.DUMMYFUNCTION("""COMPUTED_VALUE"""),"AL")</f>
        <v>AL</v>
      </c>
      <c r="R1212" s="5" t="str">
        <f ca="1">IFERROR(__xludf.DUMMYFUNCTION("""COMPUTED_VALUE"""),"Middle")</f>
        <v>Middle</v>
      </c>
      <c r="S1212" s="5" t="str">
        <f ca="1">IFERROR(__xludf.DUMMYFUNCTION("""COMPUTED_VALUE"""),"Parking Lot")</f>
        <v>Parking Lot</v>
      </c>
      <c r="T1212" s="5" t="str">
        <f ca="1">IFERROR(__xludf.DUMMYFUNCTION("""COMPUTED_VALUE"""),"Outside on School Property")</f>
        <v>Outside on School Property</v>
      </c>
      <c r="U1212" s="5" t="str">
        <f ca="1">IFERROR(__xludf.DUMMYFUNCTION("""COMPUTED_VALUE"""),"Yes")</f>
        <v>Yes</v>
      </c>
      <c r="V1212" s="5" t="str">
        <f ca="1">IFERROR(__xludf.DUMMYFUNCTION("""COMPUTED_VALUE"""),"After School")</f>
        <v>After School</v>
      </c>
      <c r="W1212" s="5"/>
      <c r="X1212" s="5">
        <f ca="1">IFERROR(__xludf.DUMMYFUNCTION("""COMPUTED_VALUE"""),1)</f>
        <v>1</v>
      </c>
      <c r="Y1212" s="5" t="str">
        <f ca="1">IFERROR(__xludf.DUMMYFUNCTION("""COMPUTED_VALUE"""),"Mother of student fired shot during large fight")</f>
        <v>Mother of student fired shot during large fight</v>
      </c>
      <c r="Z1212" s="5" t="str">
        <f ca="1">IFERROR(__xludf.DUMMYFUNCTION("""COMPUTED_VALUE"""),"While fight was occuring between multiple female students, a mother of one of the student grabbed a gun from her car and allegedly fired one shot into the ground. During that time the father of the other 2 girls was trying to break up the fight and was to"&amp;"ld later that the shooter allegedly pointed the gun at him before she shot at the ground. No one was injured. Shooter was arrested and charged with reckless endangerment, as well as ""certain persons forbidden to possess firearms"", and possession of mari"&amp;"juana, which she had at the time of the shooting. Allegedly, shooter's daughter had beaten one of the other girls up before, parents filed a complaint and were told the accused girl would be moved to a different school but that did not happen. When the at"&amp;"tacked girl recovered, parents sent her back to school and the accused girl attacked her again, which started the conflict that ended in shooting.")</f>
        <v>While fight was occuring between multiple female students, a mother of one of the student grabbed a gun from her car and allegedly fired one shot into the ground. During that time the father of the other 2 girls was trying to break up the fight and was told later that the shooter allegedly pointed the gun at him before she shot at the ground. No one was injured. Shooter was arrested and charged with reckless endangerment, as well as "certain persons forbidden to possess firearms", and possession of marijuana, which she had at the time of the shooting. Allegedly, shooter's daughter had beaten one of the other girls up before, parents filed a complaint and were told the accused girl would be moved to a different school but that did not happen. When the attacked girl recovered, parents sent her back to school and the accused girl attacked her again, which started the conflict that ended in shooting.</v>
      </c>
      <c r="AA1212" s="5" t="str">
        <f ca="1">IFERROR(__xludf.DUMMYFUNCTION("""COMPUTED_VALUE"""),"Escalation of Dispute")</f>
        <v>Escalation of Dispute</v>
      </c>
      <c r="AB1212" s="5" t="str">
        <f ca="1">IFERROR(__xludf.DUMMYFUNCTION("""COMPUTED_VALUE"""),"NA")</f>
        <v>NA</v>
      </c>
      <c r="AC1212" s="5" t="str">
        <f ca="1">IFERROR(__xludf.DUMMYFUNCTION("""COMPUTED_VALUE"""),"No")</f>
        <v>No</v>
      </c>
      <c r="AD1212" s="5" t="str">
        <f ca="1">IFERROR(__xludf.DUMMYFUNCTION("""COMPUTED_VALUE"""),"No")</f>
        <v>No</v>
      </c>
      <c r="AE1212" s="5" t="str">
        <f ca="1">IFERROR(__xludf.DUMMYFUNCTION("""COMPUTED_VALUE"""),"No")</f>
        <v>No</v>
      </c>
      <c r="AF1212" s="5" t="str">
        <f ca="1">IFERROR(__xludf.DUMMYFUNCTION("""COMPUTED_VALUE"""),"No")</f>
        <v>No</v>
      </c>
      <c r="AG1212" s="5" t="str">
        <f ca="1">IFERROR(__xludf.DUMMYFUNCTION("""COMPUTED_VALUE"""),"No")</f>
        <v>No</v>
      </c>
      <c r="AH1212" s="5" t="str">
        <f ca="1">IFERROR(__xludf.DUMMYFUNCTION("""COMPUTED_VALUE"""),"No")</f>
        <v>No</v>
      </c>
      <c r="AI1212" s="5" t="str">
        <f ca="1">IFERROR(__xludf.DUMMYFUNCTION("""COMPUTED_VALUE"""),"No")</f>
        <v>No</v>
      </c>
      <c r="AJ1212" s="5"/>
    </row>
    <row r="1213" spans="1:36" ht="13">
      <c r="A1213" s="5" t="str">
        <f ca="1">IFERROR(__xludf.DUMMYFUNCTION("""COMPUTED_VALUE"""),"20130430NMTUT")</f>
        <v>20130430NMTUT</v>
      </c>
      <c r="B1213" s="5">
        <f ca="1">IFERROR(__xludf.DUMMYFUNCTION("""COMPUTED_VALUE"""),4)</f>
        <v>4</v>
      </c>
      <c r="C1213" s="5">
        <f ca="1">IFERROR(__xludf.DUMMYFUNCTION("""COMPUTED_VALUE"""),30)</f>
        <v>30</v>
      </c>
      <c r="D1213" s="5">
        <f ca="1">IFERROR(__xludf.DUMMYFUNCTION("""COMPUTED_VALUE"""),2013)</f>
        <v>2013</v>
      </c>
      <c r="E1213" s="8">
        <f ca="1">IFERROR(__xludf.DUMMYFUNCTION("""COMPUTED_VALUE"""),41394)</f>
        <v>41394</v>
      </c>
      <c r="F1213" s="5" t="str">
        <f ca="1">IFERROR(__xludf.DUMMYFUNCTION("""COMPUTED_VALUE"""),"Tularosa Elementary School")</f>
        <v>Tularosa Elementary School</v>
      </c>
      <c r="G1213" s="5">
        <f ca="1">IFERROR(__xludf.DUMMYFUNCTION("""COMPUTED_VALUE"""),0)</f>
        <v>0</v>
      </c>
      <c r="H1213" s="5">
        <f ca="1">IFERROR(__xludf.DUMMYFUNCTION("""COMPUTED_VALUE"""),0)</f>
        <v>0</v>
      </c>
      <c r="I1213" s="5">
        <f ca="1">IFERROR(__xludf.DUMMYFUNCTION("""COMPUTED_VALUE"""),0)</f>
        <v>0</v>
      </c>
      <c r="J1213" s="5">
        <f ca="1">IFERROR(__xludf.DUMMYFUNCTION("""COMPUTED_VALUE"""),1)</f>
        <v>1</v>
      </c>
      <c r="K1213" s="9" t="str">
        <f ca="1">IFERROR(__xludf.DUMMYFUNCTION("""COMPUTED_VALUE"""),"https://www.abqjournal.com/253495/grand-jury-shooting-outside-school-was-justified.html")</f>
        <v>https://www.abqjournal.com/253495/grand-jury-shooting-outside-school-was-justified.html</v>
      </c>
      <c r="L1213" s="5">
        <f ca="1">IFERROR(__xludf.DUMMYFUNCTION("""COMPUTED_VALUE"""),1)</f>
        <v>1</v>
      </c>
      <c r="M1213" s="5" t="str">
        <f ca="1">IFERROR(__xludf.DUMMYFUNCTION("""COMPUTED_VALUE"""),"Local")</f>
        <v>Local</v>
      </c>
      <c r="N1213" s="5">
        <f ca="1">IFERROR(__xludf.DUMMYFUNCTION("""COMPUTED_VALUE"""),2)</f>
        <v>2</v>
      </c>
      <c r="O1213" s="5" t="str">
        <f ca="1">IFERROR(__xludf.DUMMYFUNCTION("""COMPUTED_VALUE"""),"Spring")</f>
        <v>Spring</v>
      </c>
      <c r="P1213" s="5" t="str">
        <f ca="1">IFERROR(__xludf.DUMMYFUNCTION("""COMPUTED_VALUE"""),"Tularosa")</f>
        <v>Tularosa</v>
      </c>
      <c r="Q1213" s="5" t="str">
        <f ca="1">IFERROR(__xludf.DUMMYFUNCTION("""COMPUTED_VALUE"""),"NM")</f>
        <v>NM</v>
      </c>
      <c r="R1213" s="5" t="str">
        <f ca="1">IFERROR(__xludf.DUMMYFUNCTION("""COMPUTED_VALUE"""),"Elementary")</f>
        <v>Elementary</v>
      </c>
      <c r="S1213" s="5" t="str">
        <f ca="1">IFERROR(__xludf.DUMMYFUNCTION("""COMPUTED_VALUE"""),"Outside on School Property")</f>
        <v>Outside on School Property</v>
      </c>
      <c r="T1213" s="5" t="str">
        <f ca="1">IFERROR(__xludf.DUMMYFUNCTION("""COMPUTED_VALUE"""),"Outside on School Property")</f>
        <v>Outside on School Property</v>
      </c>
      <c r="U1213" s="5" t="str">
        <f ca="1">IFERROR(__xludf.DUMMYFUNCTION("""COMPUTED_VALUE"""),"No")</f>
        <v>No</v>
      </c>
      <c r="V1213" s="5" t="str">
        <f ca="1">IFERROR(__xludf.DUMMYFUNCTION("""COMPUTED_VALUE"""),"Night")</f>
        <v>Night</v>
      </c>
      <c r="W1213" s="5"/>
      <c r="X1213" s="5"/>
      <c r="Y1213" s="5" t="str">
        <f ca="1">IFERROR(__xludf.DUMMYFUNCTION("""COMPUTED_VALUE"""),"Suspect exchanged fire with officer and was shot dead on scene")</f>
        <v>Suspect exchanged fire with officer and was shot dead on scene</v>
      </c>
      <c r="Z1213" s="5" t="str">
        <f ca="1">IFERROR(__xludf.DUMMYFUNCTION("""COMPUTED_VALUE"""),"Officer involved shooting of 19 year old suspect who was shot / killed on school property. Officer was checking on a school when he spotted a male who had a warrant out for his arrest. The male (later - victim) pulled out a .22 rifle, exchanged shots with"&amp;" officer and sheriff's deputies, and was shot dead on scene.")</f>
        <v>Officer involved shooting of 19 year old suspect who was shot / killed on school property. Officer was checking on a school when he spotted a male who had a warrant out for his arrest. The male (later - victim) pulled out a .22 rifle, exchanged shots with officer and sheriff's deputies, and was shot dead on scene.</v>
      </c>
      <c r="AA1213" s="5" t="str">
        <f ca="1">IFERROR(__xludf.DUMMYFUNCTION("""COMPUTED_VALUE"""),"Illegal Activity")</f>
        <v>Illegal Activity</v>
      </c>
      <c r="AB1213" s="5" t="str">
        <f ca="1">IFERROR(__xludf.DUMMYFUNCTION("""COMPUTED_VALUE"""),"Victims Targeted")</f>
        <v>Victims Targeted</v>
      </c>
      <c r="AC1213" s="5" t="str">
        <f ca="1">IFERROR(__xludf.DUMMYFUNCTION("""COMPUTED_VALUE"""),"No")</f>
        <v>No</v>
      </c>
      <c r="AD1213" s="5" t="str">
        <f ca="1">IFERROR(__xludf.DUMMYFUNCTION("""COMPUTED_VALUE"""),"No")</f>
        <v>No</v>
      </c>
      <c r="AE1213" s="5" t="str">
        <f ca="1">IFERROR(__xludf.DUMMYFUNCTION("""COMPUTED_VALUE"""),"No")</f>
        <v>No</v>
      </c>
      <c r="AF1213" s="5" t="str">
        <f ca="1">IFERROR(__xludf.DUMMYFUNCTION("""COMPUTED_VALUE"""),"Yes")</f>
        <v>Yes</v>
      </c>
      <c r="AG1213" s="5" t="str">
        <f ca="1">IFERROR(__xludf.DUMMYFUNCTION("""COMPUTED_VALUE"""),"No")</f>
        <v>No</v>
      </c>
      <c r="AH1213" s="5" t="str">
        <f ca="1">IFERROR(__xludf.DUMMYFUNCTION("""COMPUTED_VALUE"""),"No")</f>
        <v>No</v>
      </c>
      <c r="AI1213" s="5" t="str">
        <f ca="1">IFERROR(__xludf.DUMMYFUNCTION("""COMPUTED_VALUE"""),"No")</f>
        <v>No</v>
      </c>
      <c r="AJ1213" s="5"/>
    </row>
    <row r="1214" spans="1:36" ht="13">
      <c r="A1214" s="5" t="str">
        <f ca="1">IFERROR(__xludf.DUMMYFUNCTION("""COMPUTED_VALUE"""),"20130429OHLAC")</f>
        <v>20130429OHLAC</v>
      </c>
      <c r="B1214" s="5">
        <f ca="1">IFERROR(__xludf.DUMMYFUNCTION("""COMPUTED_VALUE"""),4)</f>
        <v>4</v>
      </c>
      <c r="C1214" s="5">
        <f ca="1">IFERROR(__xludf.DUMMYFUNCTION("""COMPUTED_VALUE"""),29)</f>
        <v>29</v>
      </c>
      <c r="D1214" s="5">
        <f ca="1">IFERROR(__xludf.DUMMYFUNCTION("""COMPUTED_VALUE"""),2013)</f>
        <v>2013</v>
      </c>
      <c r="E1214" s="8">
        <f ca="1">IFERROR(__xludf.DUMMYFUNCTION("""COMPUTED_VALUE"""),41393)</f>
        <v>41393</v>
      </c>
      <c r="F1214" s="5" t="str">
        <f ca="1">IFERROR(__xludf.DUMMYFUNCTION("""COMPUTED_VALUE"""),"La Salle High School")</f>
        <v>La Salle High School</v>
      </c>
      <c r="G1214" s="5">
        <f ca="1">IFERROR(__xludf.DUMMYFUNCTION("""COMPUTED_VALUE"""),0)</f>
        <v>0</v>
      </c>
      <c r="H1214" s="5">
        <f ca="1">IFERROR(__xludf.DUMMYFUNCTION("""COMPUTED_VALUE"""),0)</f>
        <v>0</v>
      </c>
      <c r="I1214" s="5">
        <f ca="1">IFERROR(__xludf.DUMMYFUNCTION("""COMPUTED_VALUE"""),0)</f>
        <v>0</v>
      </c>
      <c r="J1214" s="5">
        <f ca="1">IFERROR(__xludf.DUMMYFUNCTION("""COMPUTED_VALUE"""),0)</f>
        <v>0</v>
      </c>
      <c r="K1214" s="9" t="str">
        <f ca="1">IFERROR(__xludf.DUMMYFUNCTION("""COMPUTED_VALUE"""),"https://www.cbsnews.com/news/la-salle-high-school-shooting-update-gun-used-in-ohio-classroom-came-from-home-police-say/")</f>
        <v>https://www.cbsnews.com/news/la-salle-high-school-shooting-update-gun-used-in-ohio-classroom-came-from-home-police-say/</v>
      </c>
      <c r="L1214" s="5">
        <f ca="1">IFERROR(__xludf.DUMMYFUNCTION("""COMPUTED_VALUE"""),1)</f>
        <v>1</v>
      </c>
      <c r="M1214" s="5" t="str">
        <f ca="1">IFERROR(__xludf.DUMMYFUNCTION("""COMPUTED_VALUE"""),"Local")</f>
        <v>Local</v>
      </c>
      <c r="N1214" s="5">
        <f ca="1">IFERROR(__xludf.DUMMYFUNCTION("""COMPUTED_VALUE"""),2)</f>
        <v>2</v>
      </c>
      <c r="O1214" s="5" t="str">
        <f ca="1">IFERROR(__xludf.DUMMYFUNCTION("""COMPUTED_VALUE"""),"Spring")</f>
        <v>Spring</v>
      </c>
      <c r="P1214" s="5" t="str">
        <f ca="1">IFERROR(__xludf.DUMMYFUNCTION("""COMPUTED_VALUE"""),"Cincinnati")</f>
        <v>Cincinnati</v>
      </c>
      <c r="Q1214" s="5" t="str">
        <f ca="1">IFERROR(__xludf.DUMMYFUNCTION("""COMPUTED_VALUE"""),"OH")</f>
        <v>OH</v>
      </c>
      <c r="R1214" s="5" t="str">
        <f ca="1">IFERROR(__xludf.DUMMYFUNCTION("""COMPUTED_VALUE"""),"High")</f>
        <v>High</v>
      </c>
      <c r="S1214" s="5" t="str">
        <f ca="1">IFERROR(__xludf.DUMMYFUNCTION("""COMPUTED_VALUE"""),"Classroom")</f>
        <v>Classroom</v>
      </c>
      <c r="T1214" s="5" t="str">
        <f ca="1">IFERROR(__xludf.DUMMYFUNCTION("""COMPUTED_VALUE"""),"Inside School Building")</f>
        <v>Inside School Building</v>
      </c>
      <c r="U1214" s="5" t="str">
        <f ca="1">IFERROR(__xludf.DUMMYFUNCTION("""COMPUTED_VALUE"""),"Yes")</f>
        <v>Yes</v>
      </c>
      <c r="V1214" s="5" t="str">
        <f ca="1">IFERROR(__xludf.DUMMYFUNCTION("""COMPUTED_VALUE"""),"Morning Classes")</f>
        <v>Morning Classes</v>
      </c>
      <c r="W1214" s="10">
        <f ca="1">IFERROR(__xludf.DUMMYFUNCTION("""COMPUTED_VALUE"""),0.333333333333333)</f>
        <v>0.33333333333333298</v>
      </c>
      <c r="X1214" s="5">
        <f ca="1">IFERROR(__xludf.DUMMYFUNCTION("""COMPUTED_VALUE"""),1)</f>
        <v>1</v>
      </c>
      <c r="Y1214" s="5" t="str">
        <f ca="1">IFERROR(__xludf.DUMMYFUNCTION("""COMPUTED_VALUE"""),"Suicide attempt during class in classroom")</f>
        <v>Suicide attempt during class in classroom</v>
      </c>
      <c r="Z1214" s="5" t="str">
        <f ca="1">IFERROR(__xludf.DUMMYFUNCTION("""COMPUTED_VALUE"""),"Shooter brough .45 caliber from home and while seated in the front row of his morning classes, pulled the gun out, chambered a round and shot himself - no motive was given. Shooter made the top honor roll on the most recent academic report and has been ac"&amp;"tive in Boy Scouts, had an extensive record of community service, and was ""highly involved"" in school life.")</f>
        <v>Shooter brough .45 caliber from home and while seated in the front row of his morning classes, pulled the gun out, chambered a round and shot himself - no motive was given. Shooter made the top honor roll on the most recent academic report and has been active in Boy Scouts, had an extensive record of community service, and was "highly involved" in school life.</v>
      </c>
      <c r="AA1214" s="5" t="str">
        <f ca="1">IFERROR(__xludf.DUMMYFUNCTION("""COMPUTED_VALUE"""),"Suicide/Attempted")</f>
        <v>Suicide/Attempted</v>
      </c>
      <c r="AB1214" s="5" t="str">
        <f ca="1">IFERROR(__xludf.DUMMYFUNCTION("""COMPUTED_VALUE"""),"Victims Targeted")</f>
        <v>Victims Targeted</v>
      </c>
      <c r="AC1214" s="5" t="str">
        <f ca="1">IFERROR(__xludf.DUMMYFUNCTION("""COMPUTED_VALUE"""),"No")</f>
        <v>No</v>
      </c>
      <c r="AD1214" s="5" t="str">
        <f ca="1">IFERROR(__xludf.DUMMYFUNCTION("""COMPUTED_VALUE"""),"No")</f>
        <v>No</v>
      </c>
      <c r="AE1214" s="5" t="str">
        <f ca="1">IFERROR(__xludf.DUMMYFUNCTION("""COMPUTED_VALUE"""),"No")</f>
        <v>No</v>
      </c>
      <c r="AF1214" s="5" t="str">
        <f ca="1">IFERROR(__xludf.DUMMYFUNCTION("""COMPUTED_VALUE"""),"No")</f>
        <v>No</v>
      </c>
      <c r="AG1214" s="5"/>
      <c r="AH1214" s="5" t="str">
        <f ca="1">IFERROR(__xludf.DUMMYFUNCTION("""COMPUTED_VALUE"""),"No")</f>
        <v>No</v>
      </c>
      <c r="AI1214" s="5" t="str">
        <f ca="1">IFERROR(__xludf.DUMMYFUNCTION("""COMPUTED_VALUE"""),"No")</f>
        <v>No</v>
      </c>
      <c r="AJ1214" s="5"/>
    </row>
    <row r="1215" spans="1:36" ht="13">
      <c r="A1215" s="5" t="str">
        <f ca="1">IFERROR(__xludf.DUMMYFUNCTION("""COMPUTED_VALUE"""),"20130416TXTET")</f>
        <v>20130416TXTET</v>
      </c>
      <c r="B1215" s="5">
        <f ca="1">IFERROR(__xludf.DUMMYFUNCTION("""COMPUTED_VALUE"""),4)</f>
        <v>4</v>
      </c>
      <c r="C1215" s="5">
        <f ca="1">IFERROR(__xludf.DUMMYFUNCTION("""COMPUTED_VALUE"""),16)</f>
        <v>16</v>
      </c>
      <c r="D1215" s="5">
        <f ca="1">IFERROR(__xludf.DUMMYFUNCTION("""COMPUTED_VALUE"""),2013)</f>
        <v>2013</v>
      </c>
      <c r="E1215" s="8">
        <f ca="1">IFERROR(__xludf.DUMMYFUNCTION("""COMPUTED_VALUE"""),41380)</f>
        <v>41380</v>
      </c>
      <c r="F1215" s="5" t="str">
        <f ca="1">IFERROR(__xludf.DUMMYFUNCTION("""COMPUTED_VALUE"""),"Temple High School")</f>
        <v>Temple High School</v>
      </c>
      <c r="G1215" s="5">
        <f ca="1">IFERROR(__xludf.DUMMYFUNCTION("""COMPUTED_VALUE"""),0)</f>
        <v>0</v>
      </c>
      <c r="H1215" s="5">
        <f ca="1">IFERROR(__xludf.DUMMYFUNCTION("""COMPUTED_VALUE"""),0)</f>
        <v>0</v>
      </c>
      <c r="I1215" s="5">
        <f ca="1">IFERROR(__xludf.DUMMYFUNCTION("""COMPUTED_VALUE"""),0)</f>
        <v>0</v>
      </c>
      <c r="J1215" s="5">
        <f ca="1">IFERROR(__xludf.DUMMYFUNCTION("""COMPUTED_VALUE"""),1)</f>
        <v>1</v>
      </c>
      <c r="K1215" s="9" t="str">
        <f ca="1">IFERROR(__xludf.DUMMYFUNCTION("""COMPUTED_VALUE"""),"http://ktemnews.com/student-who-shot-himself-at-temple-high-school-has-died/")</f>
        <v>http://ktemnews.com/student-who-shot-himself-at-temple-high-school-has-died/</v>
      </c>
      <c r="L1215" s="5"/>
      <c r="M1215" s="5"/>
      <c r="N1215" s="5">
        <f ca="1">IFERROR(__xludf.DUMMYFUNCTION("""COMPUTED_VALUE"""),2)</f>
        <v>2</v>
      </c>
      <c r="O1215" s="5" t="str">
        <f ca="1">IFERROR(__xludf.DUMMYFUNCTION("""COMPUTED_VALUE"""),"Spring")</f>
        <v>Spring</v>
      </c>
      <c r="P1215" s="5" t="str">
        <f ca="1">IFERROR(__xludf.DUMMYFUNCTION("""COMPUTED_VALUE"""),"Temple")</f>
        <v>Temple</v>
      </c>
      <c r="Q1215" s="5" t="str">
        <f ca="1">IFERROR(__xludf.DUMMYFUNCTION("""COMPUTED_VALUE"""),"TX")</f>
        <v>TX</v>
      </c>
      <c r="R1215" s="5" t="str">
        <f ca="1">IFERROR(__xludf.DUMMYFUNCTION("""COMPUTED_VALUE"""),"High")</f>
        <v>High</v>
      </c>
      <c r="S1215" s="5" t="str">
        <f ca="1">IFERROR(__xludf.DUMMYFUNCTION("""COMPUTED_VALUE"""),"Other")</f>
        <v>Other</v>
      </c>
      <c r="T1215" s="5" t="str">
        <f ca="1">IFERROR(__xludf.DUMMYFUNCTION("""COMPUTED_VALUE"""),"Outside on School Property")</f>
        <v>Outside on School Property</v>
      </c>
      <c r="U1215" s="5" t="str">
        <f ca="1">IFERROR(__xludf.DUMMYFUNCTION("""COMPUTED_VALUE"""),"Yes")</f>
        <v>Yes</v>
      </c>
      <c r="V1215" s="5" t="str">
        <f ca="1">IFERROR(__xludf.DUMMYFUNCTION("""COMPUTED_VALUE"""),"Morning Classes")</f>
        <v>Morning Classes</v>
      </c>
      <c r="W1215" s="5"/>
      <c r="X1215" s="5">
        <f ca="1">IFERROR(__xludf.DUMMYFUNCTION("""COMPUTED_VALUE"""),1)</f>
        <v>1</v>
      </c>
      <c r="Y1215" s="5" t="str">
        <f ca="1">IFERROR(__xludf.DUMMYFUNCTION("""COMPUTED_VALUE"""),"Student shot self on school tennis court during the school day")</f>
        <v>Student shot self on school tennis court during the school day</v>
      </c>
      <c r="Z1215" s="5" t="str">
        <f ca="1">IFERROR(__xludf.DUMMYFUNCTION("""COMPUTED_VALUE"""),"15YOM student shot himself in the head on the school tennis courts during morning classes.")</f>
        <v>15YOM student shot himself in the head on the school tennis courts during morning classes.</v>
      </c>
      <c r="AA1215" s="5" t="str">
        <f ca="1">IFERROR(__xludf.DUMMYFUNCTION("""COMPUTED_VALUE"""),"Suicide/Attempted")</f>
        <v>Suicide/Attempted</v>
      </c>
      <c r="AB1215" s="5" t="str">
        <f ca="1">IFERROR(__xludf.DUMMYFUNCTION("""COMPUTED_VALUE"""),"Victims Targeted")</f>
        <v>Victims Targeted</v>
      </c>
      <c r="AC1215" s="5" t="str">
        <f ca="1">IFERROR(__xludf.DUMMYFUNCTION("""COMPUTED_VALUE"""),"No")</f>
        <v>No</v>
      </c>
      <c r="AD1215" s="5" t="str">
        <f ca="1">IFERROR(__xludf.DUMMYFUNCTION("""COMPUTED_VALUE"""),"No")</f>
        <v>No</v>
      </c>
      <c r="AE1215" s="5" t="str">
        <f ca="1">IFERROR(__xludf.DUMMYFUNCTION("""COMPUTED_VALUE"""),"No")</f>
        <v>No</v>
      </c>
      <c r="AF1215" s="5" t="str">
        <f ca="1">IFERROR(__xludf.DUMMYFUNCTION("""COMPUTED_VALUE"""),"No")</f>
        <v>No</v>
      </c>
      <c r="AG1215" s="5" t="str">
        <f ca="1">IFERROR(__xludf.DUMMYFUNCTION("""COMPUTED_VALUE"""),"No")</f>
        <v>No</v>
      </c>
      <c r="AH1215" s="5" t="str">
        <f ca="1">IFERROR(__xludf.DUMMYFUNCTION("""COMPUTED_VALUE"""),"No")</f>
        <v>No</v>
      </c>
      <c r="AI1215" s="5" t="str">
        <f ca="1">IFERROR(__xludf.DUMMYFUNCTION("""COMPUTED_VALUE"""),"No")</f>
        <v>No</v>
      </c>
      <c r="AJ1215" s="5"/>
    </row>
    <row r="1216" spans="1:36" ht="13">
      <c r="A1216" s="5" t="str">
        <f ca="1">IFERROR(__xludf.DUMMYFUNCTION("""COMPUTED_VALUE"""),"20130321MIDAS")</f>
        <v>20130321MIDAS</v>
      </c>
      <c r="B1216" s="5">
        <f ca="1">IFERROR(__xludf.DUMMYFUNCTION("""COMPUTED_VALUE"""),3)</f>
        <v>3</v>
      </c>
      <c r="C1216" s="5">
        <f ca="1">IFERROR(__xludf.DUMMYFUNCTION("""COMPUTED_VALUE"""),21)</f>
        <v>21</v>
      </c>
      <c r="D1216" s="5">
        <f ca="1">IFERROR(__xludf.DUMMYFUNCTION("""COMPUTED_VALUE"""),2013)</f>
        <v>2013</v>
      </c>
      <c r="E1216" s="8">
        <f ca="1">IFERROR(__xludf.DUMMYFUNCTION("""COMPUTED_VALUE"""),41354)</f>
        <v>41354</v>
      </c>
      <c r="F1216" s="5" t="str">
        <f ca="1">IFERROR(__xludf.DUMMYFUNCTION("""COMPUTED_VALUE"""),"Davidson Middle School")</f>
        <v>Davidson Middle School</v>
      </c>
      <c r="G1216" s="5">
        <f ca="1">IFERROR(__xludf.DUMMYFUNCTION("""COMPUTED_VALUE"""),0)</f>
        <v>0</v>
      </c>
      <c r="H1216" s="5">
        <f ca="1">IFERROR(__xludf.DUMMYFUNCTION("""COMPUTED_VALUE"""),0)</f>
        <v>0</v>
      </c>
      <c r="I1216" s="5">
        <f ca="1">IFERROR(__xludf.DUMMYFUNCTION("""COMPUTED_VALUE"""),0)</f>
        <v>0</v>
      </c>
      <c r="J1216" s="5">
        <f ca="1">IFERROR(__xludf.DUMMYFUNCTION("""COMPUTED_VALUE"""),1)</f>
        <v>1</v>
      </c>
      <c r="K1216" s="9" t="str">
        <f ca="1">IFERROR(__xludf.DUMMYFUNCTION("""COMPUTED_VALUE"""),"https://www.usatoday.com/story/news/nation/2013/03/21/michigan-student-13-commits-suicide/2006643/")</f>
        <v>https://www.usatoday.com/story/news/nation/2013/03/21/michigan-student-13-commits-suicide/2006643/</v>
      </c>
      <c r="L1216" s="5">
        <f ca="1">IFERROR(__xludf.DUMMYFUNCTION("""COMPUTED_VALUE"""),5)</f>
        <v>5</v>
      </c>
      <c r="M1216" s="5" t="str">
        <f ca="1">IFERROR(__xludf.DUMMYFUNCTION("""COMPUTED_VALUE"""),"Regional")</f>
        <v>Regional</v>
      </c>
      <c r="N1216" s="5">
        <f ca="1">IFERROR(__xludf.DUMMYFUNCTION("""COMPUTED_VALUE"""),2)</f>
        <v>2</v>
      </c>
      <c r="O1216" s="5" t="str">
        <f ca="1">IFERROR(__xludf.DUMMYFUNCTION("""COMPUTED_VALUE"""),"Spring")</f>
        <v>Spring</v>
      </c>
      <c r="P1216" s="5" t="str">
        <f ca="1">IFERROR(__xludf.DUMMYFUNCTION("""COMPUTED_VALUE"""),"Southgate")</f>
        <v>Southgate</v>
      </c>
      <c r="Q1216" s="5" t="str">
        <f ca="1">IFERROR(__xludf.DUMMYFUNCTION("""COMPUTED_VALUE"""),"MI")</f>
        <v>MI</v>
      </c>
      <c r="R1216" s="5" t="str">
        <f ca="1">IFERROR(__xludf.DUMMYFUNCTION("""COMPUTED_VALUE"""),"Middle")</f>
        <v>Middle</v>
      </c>
      <c r="S1216" s="5" t="str">
        <f ca="1">IFERROR(__xludf.DUMMYFUNCTION("""COMPUTED_VALUE"""),"Bathroom")</f>
        <v>Bathroom</v>
      </c>
      <c r="T1216" s="5" t="str">
        <f ca="1">IFERROR(__xludf.DUMMYFUNCTION("""COMPUTED_VALUE"""),"Inside School Building")</f>
        <v>Inside School Building</v>
      </c>
      <c r="U1216" s="5" t="str">
        <f ca="1">IFERROR(__xludf.DUMMYFUNCTION("""COMPUTED_VALUE"""),"Yes")</f>
        <v>Yes</v>
      </c>
      <c r="V1216" s="5" t="str">
        <f ca="1">IFERROR(__xludf.DUMMYFUNCTION("""COMPUTED_VALUE"""),"Before School")</f>
        <v>Before School</v>
      </c>
      <c r="W1216" s="10">
        <f ca="1">IFERROR(__xludf.DUMMYFUNCTION("""COMPUTED_VALUE"""),0.333333333333333)</f>
        <v>0.33333333333333298</v>
      </c>
      <c r="X1216" s="5">
        <f ca="1">IFERROR(__xludf.DUMMYFUNCTION("""COMPUTED_VALUE"""),1)</f>
        <v>1</v>
      </c>
      <c r="Y1216" s="5" t="str">
        <f ca="1">IFERROR(__xludf.DUMMYFUNCTION("""COMPUTED_VALUE"""),"Suicide in school bathroom")</f>
        <v>Suicide in school bathroom</v>
      </c>
      <c r="Z1216" s="5" t="str">
        <f ca="1">IFERROR(__xludf.DUMMYFUNCTION("""COMPUTED_VALUE"""),"13 year old student shot himself in head with 40 Glock pistol in school bathroom before school began. Reports were contradictory: some students said that shooter was bullied - made fun of for his clothes and hygiene, and was depressed, but the majority sa"&amp;"id he was nice and funny and was friends with everyone. Shooter left suicide note that he was having a hard time dealing with life - was more of a goodbye letter - no mention of bullying, another student was mentioned in the letter but it sounded more lik"&amp;"e a goodbye. Gun belonged to family member and was accessible.")</f>
        <v>13 year old student shot himself in head with 40 Glock pistol in school bathroom before school began. Reports were contradictory: some students said that shooter was bullied - made fun of for his clothes and hygiene, and was depressed, but the majority said he was nice and funny and was friends with everyone. Shooter left suicide note that he was having a hard time dealing with life - was more of a goodbye letter - no mention of bullying, another student was mentioned in the letter but it sounded more like a goodbye. Gun belonged to family member and was accessible.</v>
      </c>
      <c r="AA1216" s="5" t="str">
        <f ca="1">IFERROR(__xludf.DUMMYFUNCTION("""COMPUTED_VALUE"""),"Suicide/Attempted")</f>
        <v>Suicide/Attempted</v>
      </c>
      <c r="AB1216" s="5" t="str">
        <f ca="1">IFERROR(__xludf.DUMMYFUNCTION("""COMPUTED_VALUE"""),"Victims Targeted")</f>
        <v>Victims Targeted</v>
      </c>
      <c r="AC1216" s="5" t="str">
        <f ca="1">IFERROR(__xludf.DUMMYFUNCTION("""COMPUTED_VALUE"""),"No")</f>
        <v>No</v>
      </c>
      <c r="AD1216" s="5" t="str">
        <f ca="1">IFERROR(__xludf.DUMMYFUNCTION("""COMPUTED_VALUE"""),"No")</f>
        <v>No</v>
      </c>
      <c r="AE1216" s="5" t="str">
        <f ca="1">IFERROR(__xludf.DUMMYFUNCTION("""COMPUTED_VALUE"""),"No")</f>
        <v>No</v>
      </c>
      <c r="AF1216" s="5" t="str">
        <f ca="1">IFERROR(__xludf.DUMMYFUNCTION("""COMPUTED_VALUE"""),"No")</f>
        <v>No</v>
      </c>
      <c r="AG1216" s="5" t="str">
        <f ca="1">IFERROR(__xludf.DUMMYFUNCTION("""COMPUTED_VALUE"""),"No")</f>
        <v>No</v>
      </c>
      <c r="AH1216" s="5" t="str">
        <f ca="1">IFERROR(__xludf.DUMMYFUNCTION("""COMPUTED_VALUE"""),"No")</f>
        <v>No</v>
      </c>
      <c r="AI1216" s="5" t="str">
        <f ca="1">IFERROR(__xludf.DUMMYFUNCTION("""COMPUTED_VALUE"""),"No")</f>
        <v>No</v>
      </c>
      <c r="AJ1216" s="5"/>
    </row>
    <row r="1217" spans="1:36" ht="13">
      <c r="A1217" s="5" t="str">
        <f ca="1">IFERROR(__xludf.DUMMYFUNCTION("""COMPUTED_VALUE"""),"20130227GAGRA")</f>
        <v>20130227GAGRA</v>
      </c>
      <c r="B1217" s="5">
        <f ca="1">IFERROR(__xludf.DUMMYFUNCTION("""COMPUTED_VALUE"""),2)</f>
        <v>2</v>
      </c>
      <c r="C1217" s="5">
        <f ca="1">IFERROR(__xludf.DUMMYFUNCTION("""COMPUTED_VALUE"""),27)</f>
        <v>27</v>
      </c>
      <c r="D1217" s="5">
        <f ca="1">IFERROR(__xludf.DUMMYFUNCTION("""COMPUTED_VALUE"""),2013)</f>
        <v>2013</v>
      </c>
      <c r="E1217" s="8">
        <f ca="1">IFERROR(__xludf.DUMMYFUNCTION("""COMPUTED_VALUE"""),41332)</f>
        <v>41332</v>
      </c>
      <c r="F1217" s="5" t="str">
        <f ca="1">IFERROR(__xludf.DUMMYFUNCTION("""COMPUTED_VALUE"""),"Grady High School")</f>
        <v>Grady High School</v>
      </c>
      <c r="G1217" s="5">
        <f ca="1">IFERROR(__xludf.DUMMYFUNCTION("""COMPUTED_VALUE"""),0)</f>
        <v>0</v>
      </c>
      <c r="H1217" s="5">
        <f ca="1">IFERROR(__xludf.DUMMYFUNCTION("""COMPUTED_VALUE"""),0)</f>
        <v>0</v>
      </c>
      <c r="I1217" s="5">
        <f ca="1">IFERROR(__xludf.DUMMYFUNCTION("""COMPUTED_VALUE"""),0)</f>
        <v>0</v>
      </c>
      <c r="J1217" s="5">
        <f ca="1">IFERROR(__xludf.DUMMYFUNCTION("""COMPUTED_VALUE"""),0)</f>
        <v>0</v>
      </c>
      <c r="K1217" s="9" t="str">
        <f ca="1">IFERROR(__xludf.DUMMYFUNCTION("""COMPUTED_VALUE"""),"https://www.ajc.com/news/local/student-who-shot-herself-grady-high-due-court/2tFBhv5vj4RC2VqPUjIIxH/?icmp=np_inform_variation-control")</f>
        <v>https://www.ajc.com/news/local/student-who-shot-herself-grady-high-due-court/2tFBhv5vj4RC2VqPUjIIxH/?icmp=np_inform_variation-control</v>
      </c>
      <c r="L1217" s="5">
        <f ca="1">IFERROR(__xludf.DUMMYFUNCTION("""COMPUTED_VALUE"""),5)</f>
        <v>5</v>
      </c>
      <c r="M1217" s="5" t="str">
        <f ca="1">IFERROR(__xludf.DUMMYFUNCTION("""COMPUTED_VALUE"""),"Regional")</f>
        <v>Regional</v>
      </c>
      <c r="N1217" s="5">
        <f ca="1">IFERROR(__xludf.DUMMYFUNCTION("""COMPUTED_VALUE"""),2)</f>
        <v>2</v>
      </c>
      <c r="O1217" s="5" t="str">
        <f ca="1">IFERROR(__xludf.DUMMYFUNCTION("""COMPUTED_VALUE"""),"Winter")</f>
        <v>Winter</v>
      </c>
      <c r="P1217" s="5" t="str">
        <f ca="1">IFERROR(__xludf.DUMMYFUNCTION("""COMPUTED_VALUE"""),"Atlanta")</f>
        <v>Atlanta</v>
      </c>
      <c r="Q1217" s="5" t="str">
        <f ca="1">IFERROR(__xludf.DUMMYFUNCTION("""COMPUTED_VALUE"""),"GA")</f>
        <v>GA</v>
      </c>
      <c r="R1217" s="5" t="str">
        <f ca="1">IFERROR(__xludf.DUMMYFUNCTION("""COMPUTED_VALUE"""),"High")</f>
        <v>High</v>
      </c>
      <c r="S1217" s="5" t="str">
        <f ca="1">IFERROR(__xludf.DUMMYFUNCTION("""COMPUTED_VALUE"""),"Courtyard")</f>
        <v>Courtyard</v>
      </c>
      <c r="T1217" s="5" t="str">
        <f ca="1">IFERROR(__xludf.DUMMYFUNCTION("""COMPUTED_VALUE"""),"Outside on School Property")</f>
        <v>Outside on School Property</v>
      </c>
      <c r="U1217" s="5" t="str">
        <f ca="1">IFERROR(__xludf.DUMMYFUNCTION("""COMPUTED_VALUE"""),"Yes")</f>
        <v>Yes</v>
      </c>
      <c r="V1217" s="5" t="str">
        <f ca="1">IFERROR(__xludf.DUMMYFUNCTION("""COMPUTED_VALUE"""),"Morning Classes")</f>
        <v>Morning Classes</v>
      </c>
      <c r="W1217" s="10">
        <f ca="1">IFERROR(__xludf.DUMMYFUNCTION("""COMPUTED_VALUE"""),0.395833333333333)</f>
        <v>0.39583333333333298</v>
      </c>
      <c r="X1217" s="5">
        <f ca="1">IFERROR(__xludf.DUMMYFUNCTION("""COMPUTED_VALUE"""),1)</f>
        <v>1</v>
      </c>
      <c r="Y1217" s="5" t="str">
        <f ca="1">IFERROR(__xludf.DUMMYFUNCTION("""COMPUTED_VALUE"""),"Accidental discharge in pocket while running to class")</f>
        <v>Accidental discharge in pocket while running to class</v>
      </c>
      <c r="Z1217" s="5" t="str">
        <f ca="1">IFERROR(__xludf.DUMMYFUNCTION("""COMPUTED_VALUE"""),"Shooter accidentally shot herself in thigh while walking through the courtyard. Although school was equipped with metal detectors, the shooter was running late for class so was able to bypass security by being let in through gymnasium doors. Gun later fou"&amp;"nd to be stolen.")</f>
        <v>Shooter accidentally shot herself in thigh while walking through the courtyard. Although school was equipped with metal detectors, the shooter was running late for class so was able to bypass security by being let in through gymnasium doors. Gun later found to be stolen.</v>
      </c>
      <c r="AA1217" s="5" t="str">
        <f ca="1">IFERROR(__xludf.DUMMYFUNCTION("""COMPUTED_VALUE"""),"Accidental")</f>
        <v>Accidental</v>
      </c>
      <c r="AB1217" s="5" t="str">
        <f ca="1">IFERROR(__xludf.DUMMYFUNCTION("""COMPUTED_VALUE"""),"Random Shooting")</f>
        <v>Random Shooting</v>
      </c>
      <c r="AC1217" s="5" t="str">
        <f ca="1">IFERROR(__xludf.DUMMYFUNCTION("""COMPUTED_VALUE"""),"No")</f>
        <v>No</v>
      </c>
      <c r="AD1217" s="5" t="str">
        <f ca="1">IFERROR(__xludf.DUMMYFUNCTION("""COMPUTED_VALUE"""),"No")</f>
        <v>No</v>
      </c>
      <c r="AE1217" s="5" t="str">
        <f ca="1">IFERROR(__xludf.DUMMYFUNCTION("""COMPUTED_VALUE"""),"No")</f>
        <v>No</v>
      </c>
      <c r="AF1217" s="5" t="str">
        <f ca="1">IFERROR(__xludf.DUMMYFUNCTION("""COMPUTED_VALUE"""),"No")</f>
        <v>No</v>
      </c>
      <c r="AG1217" s="5" t="str">
        <f ca="1">IFERROR(__xludf.DUMMYFUNCTION("""COMPUTED_VALUE"""),"No")</f>
        <v>No</v>
      </c>
      <c r="AH1217" s="5" t="str">
        <f ca="1">IFERROR(__xludf.DUMMYFUNCTION("""COMPUTED_VALUE"""),"No")</f>
        <v>No</v>
      </c>
      <c r="AI1217" s="5" t="str">
        <f ca="1">IFERROR(__xludf.DUMMYFUNCTION("""COMPUTED_VALUE"""),"No")</f>
        <v>No</v>
      </c>
      <c r="AJ1217" s="5"/>
    </row>
    <row r="1218" spans="1:36" ht="13">
      <c r="A1218" s="5" t="str">
        <f ca="1">IFERROR(__xludf.DUMMYFUNCTION("""COMPUTED_VALUE"""),"20130213CAHIS")</f>
        <v>20130213CAHIS</v>
      </c>
      <c r="B1218" s="5">
        <f ca="1">IFERROR(__xludf.DUMMYFUNCTION("""COMPUTED_VALUE"""),2)</f>
        <v>2</v>
      </c>
      <c r="C1218" s="5">
        <f ca="1">IFERROR(__xludf.DUMMYFUNCTION("""COMPUTED_VALUE"""),13)</f>
        <v>13</v>
      </c>
      <c r="D1218" s="5">
        <f ca="1">IFERROR(__xludf.DUMMYFUNCTION("""COMPUTED_VALUE"""),2013)</f>
        <v>2013</v>
      </c>
      <c r="E1218" s="8">
        <f ca="1">IFERROR(__xludf.DUMMYFUNCTION("""COMPUTED_VALUE"""),41318)</f>
        <v>41318</v>
      </c>
      <c r="F1218" s="5" t="str">
        <f ca="1">IFERROR(__xludf.DUMMYFUNCTION("""COMPUTED_VALUE"""),"Hillside Elementary School")</f>
        <v>Hillside Elementary School</v>
      </c>
      <c r="G1218" s="5">
        <f ca="1">IFERROR(__xludf.DUMMYFUNCTION("""COMPUTED_VALUE"""),1)</f>
        <v>1</v>
      </c>
      <c r="H1218" s="5">
        <f ca="1">IFERROR(__xludf.DUMMYFUNCTION("""COMPUTED_VALUE"""),0)</f>
        <v>0</v>
      </c>
      <c r="I1218" s="5">
        <f ca="1">IFERROR(__xludf.DUMMYFUNCTION("""COMPUTED_VALUE"""),1)</f>
        <v>1</v>
      </c>
      <c r="J1218" s="5">
        <f ca="1">IFERROR(__xludf.DUMMYFUNCTION("""COMPUTED_VALUE"""),0)</f>
        <v>0</v>
      </c>
      <c r="K1218" s="9" t="str">
        <f ca="1">IFERROR(__xludf.DUMMYFUNCTION("""COMPUTED_VALUE"""),"https://patch.com/california/sanleandro/man-sentenced-to-prison-for-fatal-2013-shooting-at-hillside-elementary")</f>
        <v>https://patch.com/california/sanleandro/man-sentenced-to-prison-for-fatal-2013-shooting-at-hillside-elementary</v>
      </c>
      <c r="L1218" s="5">
        <f ca="1">IFERROR(__xludf.DUMMYFUNCTION("""COMPUTED_VALUE"""),1)</f>
        <v>1</v>
      </c>
      <c r="M1218" s="5" t="str">
        <f ca="1">IFERROR(__xludf.DUMMYFUNCTION("""COMPUTED_VALUE"""),"Local")</f>
        <v>Local</v>
      </c>
      <c r="N1218" s="5">
        <f ca="1">IFERROR(__xludf.DUMMYFUNCTION("""COMPUTED_VALUE"""),2)</f>
        <v>2</v>
      </c>
      <c r="O1218" s="5" t="str">
        <f ca="1">IFERROR(__xludf.DUMMYFUNCTION("""COMPUTED_VALUE"""),"Winter")</f>
        <v>Winter</v>
      </c>
      <c r="P1218" s="5" t="str">
        <f ca="1">IFERROR(__xludf.DUMMYFUNCTION("""COMPUTED_VALUE"""),"San Leandro")</f>
        <v>San Leandro</v>
      </c>
      <c r="Q1218" s="5" t="str">
        <f ca="1">IFERROR(__xludf.DUMMYFUNCTION("""COMPUTED_VALUE"""),"CA")</f>
        <v>CA</v>
      </c>
      <c r="R1218" s="5" t="str">
        <f ca="1">IFERROR(__xludf.DUMMYFUNCTION("""COMPUTED_VALUE"""),"Elementary")</f>
        <v>Elementary</v>
      </c>
      <c r="S1218" s="5" t="str">
        <f ca="1">IFERROR(__xludf.DUMMYFUNCTION("""COMPUTED_VALUE"""),"Beside Building")</f>
        <v>Beside Building</v>
      </c>
      <c r="T1218" s="5" t="str">
        <f ca="1">IFERROR(__xludf.DUMMYFUNCTION("""COMPUTED_VALUE"""),"Outside on School Property")</f>
        <v>Outside on School Property</v>
      </c>
      <c r="U1218" s="5" t="str">
        <f ca="1">IFERROR(__xludf.DUMMYFUNCTION("""COMPUTED_VALUE"""),"No")</f>
        <v>No</v>
      </c>
      <c r="V1218" s="5" t="str">
        <f ca="1">IFERROR(__xludf.DUMMYFUNCTION("""COMPUTED_VALUE"""),"Evening")</f>
        <v>Evening</v>
      </c>
      <c r="W1218" s="10">
        <f ca="1">IFERROR(__xludf.DUMMYFUNCTION("""COMPUTED_VALUE"""),0.864583333333333)</f>
        <v>0.86458333333333304</v>
      </c>
      <c r="X1218" s="5">
        <f ca="1">IFERROR(__xludf.DUMMYFUNCTION("""COMPUTED_VALUE"""),1)</f>
        <v>1</v>
      </c>
      <c r="Y1218" s="5" t="str">
        <f ca="1">IFERROR(__xludf.DUMMYFUNCTION("""COMPUTED_VALUE"""),"Anger over victim refusing to pay $5 after losing dice game")</f>
        <v>Anger over victim refusing to pay $5 after losing dice game</v>
      </c>
      <c r="Z1218" s="5" t="str">
        <f ca="1">IFERROR(__xludf.DUMMYFUNCTION("""COMPUTED_VALUE"""),"20 year old shooter and 18 year old victim were playing dice on school grounds. Victim lost dice game and refused to pay shooter $5. Shooter went to a friend's house, got gun, and came back to school grounds where he shot and killed victim. Shooter was la"&amp;"ter caught and received 15 years in prison.")</f>
        <v>20 year old shooter and 18 year old victim were playing dice on school grounds. Victim lost dice game and refused to pay shooter $5. Shooter went to a friend's house, got gun, and came back to school grounds where he shot and killed victim. Shooter was later caught and received 15 years in prison.</v>
      </c>
      <c r="AA1218" s="5" t="str">
        <f ca="1">IFERROR(__xludf.DUMMYFUNCTION("""COMPUTED_VALUE"""),"Escalation of Dispute")</f>
        <v>Escalation of Dispute</v>
      </c>
      <c r="AB1218" s="5" t="str">
        <f ca="1">IFERROR(__xludf.DUMMYFUNCTION("""COMPUTED_VALUE"""),"Victims Targeted")</f>
        <v>Victims Targeted</v>
      </c>
      <c r="AC1218" s="5" t="str">
        <f ca="1">IFERROR(__xludf.DUMMYFUNCTION("""COMPUTED_VALUE"""),"Yes")</f>
        <v>Yes</v>
      </c>
      <c r="AD1218" s="5" t="str">
        <f ca="1">IFERROR(__xludf.DUMMYFUNCTION("""COMPUTED_VALUE"""),"No")</f>
        <v>No</v>
      </c>
      <c r="AE1218" s="5" t="str">
        <f ca="1">IFERROR(__xludf.DUMMYFUNCTION("""COMPUTED_VALUE"""),"No")</f>
        <v>No</v>
      </c>
      <c r="AF1218" s="5" t="str">
        <f ca="1">IFERROR(__xludf.DUMMYFUNCTION("""COMPUTED_VALUE"""),"No")</f>
        <v>No</v>
      </c>
      <c r="AG1218" s="5" t="str">
        <f ca="1">IFERROR(__xludf.DUMMYFUNCTION("""COMPUTED_VALUE"""),"No")</f>
        <v>No</v>
      </c>
      <c r="AH1218" s="5" t="str">
        <f ca="1">IFERROR(__xludf.DUMMYFUNCTION("""COMPUTED_VALUE"""),"No")</f>
        <v>No</v>
      </c>
      <c r="AI1218" s="5" t="str">
        <f ca="1">IFERROR(__xludf.DUMMYFUNCTION("""COMPUTED_VALUE"""),"No")</f>
        <v>No</v>
      </c>
      <c r="AJ1218" s="5"/>
    </row>
    <row r="1219" spans="1:36" ht="13">
      <c r="A1219" s="5" t="str">
        <f ca="1">IFERROR(__xludf.DUMMYFUNCTION("""COMPUTED_VALUE"""),"20130201MIMAD")</f>
        <v>20130201MIMAD</v>
      </c>
      <c r="B1219" s="5">
        <f ca="1">IFERROR(__xludf.DUMMYFUNCTION("""COMPUTED_VALUE"""),2)</f>
        <v>2</v>
      </c>
      <c r="C1219" s="5">
        <f ca="1">IFERROR(__xludf.DUMMYFUNCTION("""COMPUTED_VALUE"""),1)</f>
        <v>1</v>
      </c>
      <c r="D1219" s="5">
        <f ca="1">IFERROR(__xludf.DUMMYFUNCTION("""COMPUTED_VALUE"""),2013)</f>
        <v>2013</v>
      </c>
      <c r="E1219" s="8">
        <f ca="1">IFERROR(__xludf.DUMMYFUNCTION("""COMPUTED_VALUE"""),41306)</f>
        <v>41306</v>
      </c>
      <c r="F1219" s="5" t="str">
        <f ca="1">IFERROR(__xludf.DUMMYFUNCTION("""COMPUTED_VALUE"""),"Martin Luther King High School")</f>
        <v>Martin Luther King High School</v>
      </c>
      <c r="G1219" s="5">
        <f ca="1">IFERROR(__xludf.DUMMYFUNCTION("""COMPUTED_VALUE"""),1)</f>
        <v>1</v>
      </c>
      <c r="H1219" s="5">
        <f ca="1">IFERROR(__xludf.DUMMYFUNCTION("""COMPUTED_VALUE"""),1)</f>
        <v>1</v>
      </c>
      <c r="I1219" s="5">
        <f ca="1">IFERROR(__xludf.DUMMYFUNCTION("""COMPUTED_VALUE"""),2)</f>
        <v>2</v>
      </c>
      <c r="J1219" s="5">
        <f ca="1">IFERROR(__xludf.DUMMYFUNCTION("""COMPUTED_VALUE"""),1)</f>
        <v>1</v>
      </c>
      <c r="K1219" s="9" t="str">
        <f ca="1">IFERROR(__xludf.DUMMYFUNCTION("""COMPUTED_VALUE"""),"https://www.wxyz.com/news/man-shot-near-martin-luther-king-jr-high-school-in-detroit")</f>
        <v>https://www.wxyz.com/news/man-shot-near-martin-luther-king-jr-high-school-in-detroit</v>
      </c>
      <c r="L1219" s="5">
        <f ca="1">IFERROR(__xludf.DUMMYFUNCTION("""COMPUTED_VALUE"""),1)</f>
        <v>1</v>
      </c>
      <c r="M1219" s="5" t="str">
        <f ca="1">IFERROR(__xludf.DUMMYFUNCTION("""COMPUTED_VALUE"""),"Local")</f>
        <v>Local</v>
      </c>
      <c r="N1219" s="5">
        <f ca="1">IFERROR(__xludf.DUMMYFUNCTION("""COMPUTED_VALUE"""),2)</f>
        <v>2</v>
      </c>
      <c r="O1219" s="5" t="str">
        <f ca="1">IFERROR(__xludf.DUMMYFUNCTION("""COMPUTED_VALUE"""),"Winter")</f>
        <v>Winter</v>
      </c>
      <c r="P1219" s="5" t="str">
        <f ca="1">IFERROR(__xludf.DUMMYFUNCTION("""COMPUTED_VALUE"""),"Detroit")</f>
        <v>Detroit</v>
      </c>
      <c r="Q1219" s="5" t="str">
        <f ca="1">IFERROR(__xludf.DUMMYFUNCTION("""COMPUTED_VALUE"""),"MI")</f>
        <v>MI</v>
      </c>
      <c r="R1219" s="5" t="str">
        <f ca="1">IFERROR(__xludf.DUMMYFUNCTION("""COMPUTED_VALUE"""),"High")</f>
        <v>High</v>
      </c>
      <c r="S1219" s="5" t="str">
        <f ca="1">IFERROR(__xludf.DUMMYFUNCTION("""COMPUTED_VALUE"""),"Parking Lot")</f>
        <v>Parking Lot</v>
      </c>
      <c r="T1219" s="5" t="str">
        <f ca="1">IFERROR(__xludf.DUMMYFUNCTION("""COMPUTED_VALUE"""),"Outside on School Property")</f>
        <v>Outside on School Property</v>
      </c>
      <c r="U1219" s="5" t="str">
        <f ca="1">IFERROR(__xludf.DUMMYFUNCTION("""COMPUTED_VALUE"""),"No")</f>
        <v>No</v>
      </c>
      <c r="V1219" s="5" t="str">
        <f ca="1">IFERROR(__xludf.DUMMYFUNCTION("""COMPUTED_VALUE"""),"Evening")</f>
        <v>Evening</v>
      </c>
      <c r="W1219" s="10">
        <f ca="1">IFERROR(__xludf.DUMMYFUNCTION("""COMPUTED_VALUE"""),0.8125)</f>
        <v>0.8125</v>
      </c>
      <c r="X1219" s="5">
        <f ca="1">IFERROR(__xludf.DUMMYFUNCTION("""COMPUTED_VALUE"""),1)</f>
        <v>1</v>
      </c>
      <c r="Y1219" s="5" t="str">
        <f ca="1">IFERROR(__xludf.DUMMYFUNCTION("""COMPUTED_VALUE"""),"Teens attempted to rob basketball coach, shot both of them killing one (reserve police officer)")</f>
        <v>Teens attempted to rob basketball coach, shot both of them killing one (reserve police officer)</v>
      </c>
      <c r="Z1219" s="5" t="str">
        <f ca="1">IFERROR(__xludf.DUMMYFUNCTION("""COMPUTED_VALUE"""),"Two teens attempted to rob the basketball coach in the parking lot while he was leaving the school, escorting two female players to their cars. Suspects pulled out a gun but the coach was also armed and shot both of them, killing one. Coach was a reserve "&amp;"police officer. Called 911 and stayed on the scene until police arrived. Court ruled justified homicide.")</f>
        <v>Two teens attempted to rob the basketball coach in the parking lot while he was leaving the school, escorting two female players to their cars. Suspects pulled out a gun but the coach was also armed and shot both of them, killing one. Coach was a reserve police officer. Called 911 and stayed on the scene until police arrived. Court ruled justified homicide.</v>
      </c>
      <c r="AA1219" s="5" t="str">
        <f ca="1">IFERROR(__xludf.DUMMYFUNCTION("""COMPUTED_VALUE"""),"Illegal Activity")</f>
        <v>Illegal Activity</v>
      </c>
      <c r="AB1219" s="5" t="str">
        <f ca="1">IFERROR(__xludf.DUMMYFUNCTION("""COMPUTED_VALUE"""),"Neither")</f>
        <v>Neither</v>
      </c>
      <c r="AC1219" s="5" t="str">
        <f ca="1">IFERROR(__xludf.DUMMYFUNCTION("""COMPUTED_VALUE"""),"Yes")</f>
        <v>Yes</v>
      </c>
      <c r="AD1219" s="5" t="str">
        <f ca="1">IFERROR(__xludf.DUMMYFUNCTION("""COMPUTED_VALUE"""),"No")</f>
        <v>No</v>
      </c>
      <c r="AE1219" s="5" t="str">
        <f ca="1">IFERROR(__xludf.DUMMYFUNCTION("""COMPUTED_VALUE"""),"No")</f>
        <v>No</v>
      </c>
      <c r="AF1219" s="5" t="str">
        <f ca="1">IFERROR(__xludf.DUMMYFUNCTION("""COMPUTED_VALUE"""),"Yes")</f>
        <v>Yes</v>
      </c>
      <c r="AG1219" s="5" t="str">
        <f ca="1">IFERROR(__xludf.DUMMYFUNCTION("""COMPUTED_VALUE"""),"No")</f>
        <v>No</v>
      </c>
      <c r="AH1219" s="5" t="str">
        <f ca="1">IFERROR(__xludf.DUMMYFUNCTION("""COMPUTED_VALUE"""),"No")</f>
        <v>No</v>
      </c>
      <c r="AI1219" s="5" t="str">
        <f ca="1">IFERROR(__xludf.DUMMYFUNCTION("""COMPUTED_VALUE"""),"No")</f>
        <v>No</v>
      </c>
      <c r="AJ1219" s="5"/>
    </row>
    <row r="1220" spans="1:36" ht="13">
      <c r="A1220" s="5" t="str">
        <f ca="1">IFERROR(__xludf.DUMMYFUNCTION("""COMPUTED_VALUE"""),"20130131GAPRA")</f>
        <v>20130131GAPRA</v>
      </c>
      <c r="B1220" s="5">
        <f ca="1">IFERROR(__xludf.DUMMYFUNCTION("""COMPUTED_VALUE"""),1)</f>
        <v>1</v>
      </c>
      <c r="C1220" s="5">
        <f ca="1">IFERROR(__xludf.DUMMYFUNCTION("""COMPUTED_VALUE"""),31)</f>
        <v>31</v>
      </c>
      <c r="D1220" s="5">
        <f ca="1">IFERROR(__xludf.DUMMYFUNCTION("""COMPUTED_VALUE"""),2013)</f>
        <v>2013</v>
      </c>
      <c r="E1220" s="8">
        <f ca="1">IFERROR(__xludf.DUMMYFUNCTION("""COMPUTED_VALUE"""),41305)</f>
        <v>41305</v>
      </c>
      <c r="F1220" s="5" t="str">
        <f ca="1">IFERROR(__xludf.DUMMYFUNCTION("""COMPUTED_VALUE"""),"Price Middle School")</f>
        <v>Price Middle School</v>
      </c>
      <c r="G1220" s="5">
        <f ca="1">IFERROR(__xludf.DUMMYFUNCTION("""COMPUTED_VALUE"""),0)</f>
        <v>0</v>
      </c>
      <c r="H1220" s="5">
        <f ca="1">IFERROR(__xludf.DUMMYFUNCTION("""COMPUTED_VALUE"""),1)</f>
        <v>1</v>
      </c>
      <c r="I1220" s="5">
        <f ca="1">IFERROR(__xludf.DUMMYFUNCTION("""COMPUTED_VALUE"""),1)</f>
        <v>1</v>
      </c>
      <c r="J1220" s="5">
        <f ca="1">IFERROR(__xludf.DUMMYFUNCTION("""COMPUTED_VALUE"""),0)</f>
        <v>0</v>
      </c>
      <c r="K1220" s="9" t="str">
        <f ca="1">IFERROR(__xludf.DUMMYFUNCTION("""COMPUTED_VALUE"""),"https://www.cbsnews.com/news/police-teen-shot-by-fellow-student-at-ga-school/")</f>
        <v>https://www.cbsnews.com/news/police-teen-shot-by-fellow-student-at-ga-school/</v>
      </c>
      <c r="L1220" s="5">
        <f ca="1">IFERROR(__xludf.DUMMYFUNCTION("""COMPUTED_VALUE"""),5)</f>
        <v>5</v>
      </c>
      <c r="M1220" s="5" t="str">
        <f ca="1">IFERROR(__xludf.DUMMYFUNCTION("""COMPUTED_VALUE"""),"Local")</f>
        <v>Local</v>
      </c>
      <c r="N1220" s="5">
        <f ca="1">IFERROR(__xludf.DUMMYFUNCTION("""COMPUTED_VALUE"""),2)</f>
        <v>2</v>
      </c>
      <c r="O1220" s="5" t="str">
        <f ca="1">IFERROR(__xludf.DUMMYFUNCTION("""COMPUTED_VALUE"""),"Winter")</f>
        <v>Winter</v>
      </c>
      <c r="P1220" s="5" t="str">
        <f ca="1">IFERROR(__xludf.DUMMYFUNCTION("""COMPUTED_VALUE"""),"Atlanta")</f>
        <v>Atlanta</v>
      </c>
      <c r="Q1220" s="5" t="str">
        <f ca="1">IFERROR(__xludf.DUMMYFUNCTION("""COMPUTED_VALUE"""),"GA")</f>
        <v>GA</v>
      </c>
      <c r="R1220" s="5" t="str">
        <f ca="1">IFERROR(__xludf.DUMMYFUNCTION("""COMPUTED_VALUE"""),"Middle")</f>
        <v>Middle</v>
      </c>
      <c r="S1220" s="5" t="str">
        <f ca="1">IFERROR(__xludf.DUMMYFUNCTION("""COMPUTED_VALUE"""),"Hallway")</f>
        <v>Hallway</v>
      </c>
      <c r="T1220" s="5" t="str">
        <f ca="1">IFERROR(__xludf.DUMMYFUNCTION("""COMPUTED_VALUE"""),"Inside School Building")</f>
        <v>Inside School Building</v>
      </c>
      <c r="U1220" s="5" t="str">
        <f ca="1">IFERROR(__xludf.DUMMYFUNCTION("""COMPUTED_VALUE"""),"Yes")</f>
        <v>Yes</v>
      </c>
      <c r="V1220" s="5" t="str">
        <f ca="1">IFERROR(__xludf.DUMMYFUNCTION("""COMPUTED_VALUE"""),"Afternoon Classes")</f>
        <v>Afternoon Classes</v>
      </c>
      <c r="W1220" s="10">
        <f ca="1">IFERROR(__xludf.DUMMYFUNCTION("""COMPUTED_VALUE"""),0.576388888888888)</f>
        <v>0.57638888888888795</v>
      </c>
      <c r="X1220" s="5">
        <f ca="1">IFERROR(__xludf.DUMMYFUNCTION("""COMPUTED_VALUE"""),1)</f>
        <v>1</v>
      </c>
      <c r="Y1220" s="5" t="str">
        <f ca="1">IFERROR(__xludf.DUMMYFUNCTION("""COMPUTED_VALUE"""),"Fight between classes; possibly gang-related")</f>
        <v>Fight between classes; possibly gang-related</v>
      </c>
      <c r="Z1220" s="5" t="str">
        <f ca="1">IFERROR(__xludf.DUMMYFUNCTION("""COMPUTED_VALUE"""),"Incident occurred between two students between classes. Allegedly, the 2 students had an ongoing conflict. The victim reported that he encountered the shooter who pulled out a gun, the victim started running and was shot in the back. A nearby SRO was able"&amp;" to immediately disarm the shooter. Principle cited a serious problem with gun violence in the community around the school. Possible gang related.")</f>
        <v>Incident occurred between two students between classes. Allegedly, the 2 students had an ongoing conflict. The victim reported that he encountered the shooter who pulled out a gun, the victim started running and was shot in the back. A nearby SRO was able to immediately disarm the shooter. Principle cited a serious problem with gun violence in the community around the school. Possible gang related.</v>
      </c>
      <c r="AA1220" s="5" t="str">
        <f ca="1">IFERROR(__xludf.DUMMYFUNCTION("""COMPUTED_VALUE"""),"Escalation of Dispute")</f>
        <v>Escalation of Dispute</v>
      </c>
      <c r="AB1220" s="5" t="str">
        <f ca="1">IFERROR(__xludf.DUMMYFUNCTION("""COMPUTED_VALUE"""),"Victims Targeted")</f>
        <v>Victims Targeted</v>
      </c>
      <c r="AC1220" s="5" t="str">
        <f ca="1">IFERROR(__xludf.DUMMYFUNCTION("""COMPUTED_VALUE"""),"No")</f>
        <v>No</v>
      </c>
      <c r="AD1220" s="5" t="str">
        <f ca="1">IFERROR(__xludf.DUMMYFUNCTION("""COMPUTED_VALUE"""),"No")</f>
        <v>No</v>
      </c>
      <c r="AE1220" s="5" t="str">
        <f ca="1">IFERROR(__xludf.DUMMYFUNCTION("""COMPUTED_VALUE"""),"No")</f>
        <v>No</v>
      </c>
      <c r="AF1220" s="5" t="str">
        <f ca="1">IFERROR(__xludf.DUMMYFUNCTION("""COMPUTED_VALUE"""),"No")</f>
        <v>No</v>
      </c>
      <c r="AG1220" s="5" t="str">
        <f ca="1">IFERROR(__xludf.DUMMYFUNCTION("""COMPUTED_VALUE"""),"No")</f>
        <v>No</v>
      </c>
      <c r="AH1220" s="5" t="str">
        <f ca="1">IFERROR(__xludf.DUMMYFUNCTION("""COMPUTED_VALUE"""),"No")</f>
        <v>No</v>
      </c>
      <c r="AI1220" s="5" t="str">
        <f ca="1">IFERROR(__xludf.DUMMYFUNCTION("""COMPUTED_VALUE"""),"Yes")</f>
        <v>Yes</v>
      </c>
      <c r="AJ1220" s="5"/>
    </row>
    <row r="1221" spans="1:36" ht="13">
      <c r="A1221" s="5" t="str">
        <f ca="1">IFERROR(__xludf.DUMMYFUNCTION("""COMPUTED_VALUE"""),"20130129ALDAM")</f>
        <v>20130129ALDAM</v>
      </c>
      <c r="B1221" s="5">
        <f ca="1">IFERROR(__xludf.DUMMYFUNCTION("""COMPUTED_VALUE"""),1)</f>
        <v>1</v>
      </c>
      <c r="C1221" s="5">
        <f ca="1">IFERROR(__xludf.DUMMYFUNCTION("""COMPUTED_VALUE"""),29)</f>
        <v>29</v>
      </c>
      <c r="D1221" s="5">
        <f ca="1">IFERROR(__xludf.DUMMYFUNCTION("""COMPUTED_VALUE"""),2013)</f>
        <v>2013</v>
      </c>
      <c r="E1221" s="8">
        <f ca="1">IFERROR(__xludf.DUMMYFUNCTION("""COMPUTED_VALUE"""),41303)</f>
        <v>41303</v>
      </c>
      <c r="F1221" s="5" t="str">
        <f ca="1">IFERROR(__xludf.DUMMYFUNCTION("""COMPUTED_VALUE"""),"Dale County School Bus")</f>
        <v>Dale County School Bus</v>
      </c>
      <c r="G1221" s="5">
        <f ca="1">IFERROR(__xludf.DUMMYFUNCTION("""COMPUTED_VALUE"""),1)</f>
        <v>1</v>
      </c>
      <c r="H1221" s="5">
        <f ca="1">IFERROR(__xludf.DUMMYFUNCTION("""COMPUTED_VALUE"""),0)</f>
        <v>0</v>
      </c>
      <c r="I1221" s="5">
        <f ca="1">IFERROR(__xludf.DUMMYFUNCTION("""COMPUTED_VALUE"""),1)</f>
        <v>1</v>
      </c>
      <c r="J1221" s="5">
        <f ca="1">IFERROR(__xludf.DUMMYFUNCTION("""COMPUTED_VALUE"""),0)</f>
        <v>0</v>
      </c>
      <c r="K1221" s="5" t="str">
        <f ca="1">IFERROR(__xludf.DUMMYFUNCTION("""COMPUTED_VALUE"""),"https://www.al.com/montgomery/2013/02/jimmy_lee_dykes_paranoid_poor.html https://www.cbsnews.com/news/fbi-hostage-crisis-jimmy-dykes-kidnapping-hostage-ethan-gilman/")</f>
        <v>https://www.al.com/montgomery/2013/02/jimmy_lee_dykes_paranoid_poor.html https://www.cbsnews.com/news/fbi-hostage-crisis-jimmy-dykes-kidnapping-hostage-ethan-gilman/</v>
      </c>
      <c r="L1221" s="5"/>
      <c r="M1221" s="5" t="str">
        <f ca="1">IFERROR(__xludf.DUMMYFUNCTION("""COMPUTED_VALUE"""),"International")</f>
        <v>International</v>
      </c>
      <c r="N1221" s="5">
        <f ca="1">IFERROR(__xludf.DUMMYFUNCTION("""COMPUTED_VALUE"""),5)</f>
        <v>5</v>
      </c>
      <c r="O1221" s="5" t="str">
        <f ca="1">IFERROR(__xludf.DUMMYFUNCTION("""COMPUTED_VALUE"""),"Winter")</f>
        <v>Winter</v>
      </c>
      <c r="P1221" s="5" t="str">
        <f ca="1">IFERROR(__xludf.DUMMYFUNCTION("""COMPUTED_VALUE"""),"Midland City")</f>
        <v>Midland City</v>
      </c>
      <c r="Q1221" s="5" t="str">
        <f ca="1">IFERROR(__xludf.DUMMYFUNCTION("""COMPUTED_VALUE"""),"AL")</f>
        <v>AL</v>
      </c>
      <c r="R1221" s="5" t="str">
        <f ca="1">IFERROR(__xludf.DUMMYFUNCTION("""COMPUTED_VALUE"""),"Elementary")</f>
        <v>Elementary</v>
      </c>
      <c r="S1221" s="5" t="str">
        <f ca="1">IFERROR(__xludf.DUMMYFUNCTION("""COMPUTED_VALUE"""),"School Bus")</f>
        <v>School Bus</v>
      </c>
      <c r="T1221" s="5" t="str">
        <f ca="1">IFERROR(__xludf.DUMMYFUNCTION("""COMPUTED_VALUE"""),"School Bus")</f>
        <v>School Bus</v>
      </c>
      <c r="U1221" s="5" t="str">
        <f ca="1">IFERROR(__xludf.DUMMYFUNCTION("""COMPUTED_VALUE"""),"Yes")</f>
        <v>Yes</v>
      </c>
      <c r="V1221" s="5" t="str">
        <f ca="1">IFERROR(__xludf.DUMMYFUNCTION("""COMPUTED_VALUE"""),"Dismissal")</f>
        <v>Dismissal</v>
      </c>
      <c r="W1221" s="10">
        <f ca="1">IFERROR(__xludf.DUMMYFUNCTION("""COMPUTED_VALUE"""),0.645833333333333)</f>
        <v>0.64583333333333304</v>
      </c>
      <c r="X1221" s="5">
        <f ca="1">IFERROR(__xludf.DUMMYFUNCTION("""COMPUTED_VALUE"""),1)</f>
        <v>1</v>
      </c>
      <c r="Y1221" s="5" t="str">
        <f ca="1">IFERROR(__xludf.DUMMYFUNCTION("""COMPUTED_VALUE"""),"Man shot bus driver and abducted student from school bus")</f>
        <v>Man shot bus driver and abducted student from school bus</v>
      </c>
      <c r="Z1221" s="5" t="str">
        <f ca="1">IFERROR(__xludf.DUMMYFUNCTION("""COMPUTED_VALUE"""),"A 65 year-old man with anti-government grievances boarded a school bus full of students, shot the bus driver, and kidnapped a 5 year-old student. He took the student to an underground bunker and had a extended standoff with the FBI. He planned to use the "&amp;"child hostages to get media attention.")</f>
        <v>A 65 year-old man with anti-government grievances boarded a school bus full of students, shot the bus driver, and kidnapped a 5 year-old student. He took the student to an underground bunker and had a extended standoff with the FBI. He planned to use the child hostages to get media attention.</v>
      </c>
      <c r="AA1221" s="5" t="str">
        <f ca="1">IFERROR(__xludf.DUMMYFUNCTION("""COMPUTED_VALUE"""),"Hostage/Standoff")</f>
        <v>Hostage/Standoff</v>
      </c>
      <c r="AB1221" s="5" t="str">
        <f ca="1">IFERROR(__xludf.DUMMYFUNCTION("""COMPUTED_VALUE"""),"Random Shooting")</f>
        <v>Random Shooting</v>
      </c>
      <c r="AC1221" s="5" t="str">
        <f ca="1">IFERROR(__xludf.DUMMYFUNCTION("""COMPUTED_VALUE"""),"No")</f>
        <v>No</v>
      </c>
      <c r="AD1221" s="5" t="str">
        <f ca="1">IFERROR(__xludf.DUMMYFUNCTION("""COMPUTED_VALUE"""),"Yes")</f>
        <v>Yes</v>
      </c>
      <c r="AE1221" s="5" t="str">
        <f ca="1">IFERROR(__xludf.DUMMYFUNCTION("""COMPUTED_VALUE"""),"No")</f>
        <v>No</v>
      </c>
      <c r="AF1221" s="5" t="str">
        <f ca="1">IFERROR(__xludf.DUMMYFUNCTION("""COMPUTED_VALUE"""),"No")</f>
        <v>No</v>
      </c>
      <c r="AG1221" s="5" t="str">
        <f ca="1">IFERROR(__xludf.DUMMYFUNCTION("""COMPUTED_VALUE"""),"No")</f>
        <v>No</v>
      </c>
      <c r="AH1221" s="5" t="str">
        <f ca="1">IFERROR(__xludf.DUMMYFUNCTION("""COMPUTED_VALUE"""),"No")</f>
        <v>No</v>
      </c>
      <c r="AI1221" s="5" t="str">
        <f ca="1">IFERROR(__xludf.DUMMYFUNCTION("""COMPUTED_VALUE"""),"No")</f>
        <v>No</v>
      </c>
      <c r="AJ1221" s="5" t="str">
        <f ca="1">IFERROR(__xludf.DUMMYFUNCTION("""COMPUTED_VALUE"""),"No")</f>
        <v>No</v>
      </c>
    </row>
    <row r="1222" spans="1:36" ht="13">
      <c r="A1222" s="5" t="str">
        <f ca="1">IFERROR(__xludf.DUMMYFUNCTION("""COMPUTED_VALUE"""),"20130111MIOSD")</f>
        <v>20130111MIOSD</v>
      </c>
      <c r="B1222" s="5">
        <f ca="1">IFERROR(__xludf.DUMMYFUNCTION("""COMPUTED_VALUE"""),1)</f>
        <v>1</v>
      </c>
      <c r="C1222" s="5">
        <f ca="1">IFERROR(__xludf.DUMMYFUNCTION("""COMPUTED_VALUE"""),11)</f>
        <v>11</v>
      </c>
      <c r="D1222" s="5">
        <f ca="1">IFERROR(__xludf.DUMMYFUNCTION("""COMPUTED_VALUE"""),2013)</f>
        <v>2013</v>
      </c>
      <c r="E1222" s="8">
        <f ca="1">IFERROR(__xludf.DUMMYFUNCTION("""COMPUTED_VALUE"""),41285)</f>
        <v>41285</v>
      </c>
      <c r="F1222" s="5" t="str">
        <f ca="1">IFERROR(__xludf.DUMMYFUNCTION("""COMPUTED_VALUE"""),"Osborn High School")</f>
        <v>Osborn High School</v>
      </c>
      <c r="G1222" s="5">
        <f ca="1">IFERROR(__xludf.DUMMYFUNCTION("""COMPUTED_VALUE"""),0)</f>
        <v>0</v>
      </c>
      <c r="H1222" s="5">
        <f ca="1">IFERROR(__xludf.DUMMYFUNCTION("""COMPUTED_VALUE"""),1)</f>
        <v>1</v>
      </c>
      <c r="I1222" s="5">
        <f ca="1">IFERROR(__xludf.DUMMYFUNCTION("""COMPUTED_VALUE"""),1)</f>
        <v>1</v>
      </c>
      <c r="J1222" s="5">
        <f ca="1">IFERROR(__xludf.DUMMYFUNCTION("""COMPUTED_VALUE"""),0)</f>
        <v>0</v>
      </c>
      <c r="K1222" s="9" t="str">
        <f ca="1">IFERROR(__xludf.DUMMYFUNCTION("""COMPUTED_VALUE"""),"https://www.wxyz.com/news/region/detroit/16-year-old-boy-shot-at-after-basketball-game-in-detroit")</f>
        <v>https://www.wxyz.com/news/region/detroit/16-year-old-boy-shot-at-after-basketball-game-in-detroit</v>
      </c>
      <c r="L1222" s="5">
        <f ca="1">IFERROR(__xludf.DUMMYFUNCTION("""COMPUTED_VALUE"""),1)</f>
        <v>1</v>
      </c>
      <c r="M1222" s="5" t="str">
        <f ca="1">IFERROR(__xludf.DUMMYFUNCTION("""COMPUTED_VALUE"""),"Local")</f>
        <v>Local</v>
      </c>
      <c r="N1222" s="5">
        <f ca="1">IFERROR(__xludf.DUMMYFUNCTION("""COMPUTED_VALUE"""),2)</f>
        <v>2</v>
      </c>
      <c r="O1222" s="5" t="str">
        <f ca="1">IFERROR(__xludf.DUMMYFUNCTION("""COMPUTED_VALUE"""),"Winter")</f>
        <v>Winter</v>
      </c>
      <c r="P1222" s="5" t="str">
        <f ca="1">IFERROR(__xludf.DUMMYFUNCTION("""COMPUTED_VALUE"""),"Detroit")</f>
        <v>Detroit</v>
      </c>
      <c r="Q1222" s="5" t="str">
        <f ca="1">IFERROR(__xludf.DUMMYFUNCTION("""COMPUTED_VALUE"""),"MI")</f>
        <v>MI</v>
      </c>
      <c r="R1222" s="5" t="str">
        <f ca="1">IFERROR(__xludf.DUMMYFUNCTION("""COMPUTED_VALUE"""),"High")</f>
        <v>High</v>
      </c>
      <c r="S1222" s="5" t="str">
        <f ca="1">IFERROR(__xludf.DUMMYFUNCTION("""COMPUTED_VALUE"""),"Basketball Court")</f>
        <v>Basketball Court</v>
      </c>
      <c r="T1222" s="5" t="str">
        <f ca="1">IFERROR(__xludf.DUMMYFUNCTION("""COMPUTED_VALUE"""),"Off School Property")</f>
        <v>Off School Property</v>
      </c>
      <c r="U1222" s="5" t="str">
        <f ca="1">IFERROR(__xludf.DUMMYFUNCTION("""COMPUTED_VALUE"""),"No")</f>
        <v>No</v>
      </c>
      <c r="V1222" s="5" t="str">
        <f ca="1">IFERROR(__xludf.DUMMYFUNCTION("""COMPUTED_VALUE"""),"Sport Event")</f>
        <v>Sport Event</v>
      </c>
      <c r="W1222" s="5"/>
      <c r="X1222" s="5">
        <f ca="1">IFERROR(__xludf.DUMMYFUNCTION("""COMPUTED_VALUE"""),1)</f>
        <v>1</v>
      </c>
      <c r="Y1222" s="5" t="str">
        <f ca="1">IFERROR(__xludf.DUMMYFUNCTION("""COMPUTED_VALUE"""),"Fight after basketball game")</f>
        <v>Fight after basketball game</v>
      </c>
      <c r="Z1222" s="5" t="str">
        <f ca="1">IFERROR(__xludf.DUMMYFUNCTION("""COMPUTED_VALUE"""),"Fight occurred following an organized high school basketball game involving multiple juveniles. Shots were fired and one juvenile was struck in the leg. Police questioned multiple juveniles and were unable to identify a suspect. Shooting occurred across t"&amp;"he street from school - not on school property.")</f>
        <v>Fight occurred following an organized high school basketball game involving multiple juveniles. Shots were fired and one juvenile was struck in the leg. Police questioned multiple juveniles and were unable to identify a suspect. Shooting occurred across the street from school - not on school property.</v>
      </c>
      <c r="AA1222" s="5" t="str">
        <f ca="1">IFERROR(__xludf.DUMMYFUNCTION("""COMPUTED_VALUE"""),"Escalation of Dispute")</f>
        <v>Escalation of Dispute</v>
      </c>
      <c r="AB1222" s="5" t="str">
        <f ca="1">IFERROR(__xludf.DUMMYFUNCTION("""COMPUTED_VALUE"""),"Victims Targeted")</f>
        <v>Victims Targeted</v>
      </c>
      <c r="AC1222" s="5"/>
      <c r="AD1222" s="5" t="str">
        <f ca="1">IFERROR(__xludf.DUMMYFUNCTION("""COMPUTED_VALUE"""),"No")</f>
        <v>No</v>
      </c>
      <c r="AE1222" s="5" t="str">
        <f ca="1">IFERROR(__xludf.DUMMYFUNCTION("""COMPUTED_VALUE"""),"No")</f>
        <v>No</v>
      </c>
      <c r="AF1222" s="5" t="str">
        <f ca="1">IFERROR(__xludf.DUMMYFUNCTION("""COMPUTED_VALUE"""),"No")</f>
        <v>No</v>
      </c>
      <c r="AG1222" s="5" t="str">
        <f ca="1">IFERROR(__xludf.DUMMYFUNCTION("""COMPUTED_VALUE"""),"No")</f>
        <v>No</v>
      </c>
      <c r="AH1222" s="5" t="str">
        <f ca="1">IFERROR(__xludf.DUMMYFUNCTION("""COMPUTED_VALUE"""),"No")</f>
        <v>No</v>
      </c>
      <c r="AI1222" s="5" t="str">
        <f ca="1">IFERROR(__xludf.DUMMYFUNCTION("""COMPUTED_VALUE"""),"No")</f>
        <v>No</v>
      </c>
      <c r="AJ1222" s="5"/>
    </row>
    <row r="1223" spans="1:36" ht="13">
      <c r="A1223" s="5" t="str">
        <f ca="1">IFERROR(__xludf.DUMMYFUNCTION("""COMPUTED_VALUE"""),"20130110CATAT")</f>
        <v>20130110CATAT</v>
      </c>
      <c r="B1223" s="5">
        <f ca="1">IFERROR(__xludf.DUMMYFUNCTION("""COMPUTED_VALUE"""),1)</f>
        <v>1</v>
      </c>
      <c r="C1223" s="5">
        <f ca="1">IFERROR(__xludf.DUMMYFUNCTION("""COMPUTED_VALUE"""),10)</f>
        <v>10</v>
      </c>
      <c r="D1223" s="5">
        <f ca="1">IFERROR(__xludf.DUMMYFUNCTION("""COMPUTED_VALUE"""),2013)</f>
        <v>2013</v>
      </c>
      <c r="E1223" s="8">
        <f ca="1">IFERROR(__xludf.DUMMYFUNCTION("""COMPUTED_VALUE"""),41284)</f>
        <v>41284</v>
      </c>
      <c r="F1223" s="5" t="str">
        <f ca="1">IFERROR(__xludf.DUMMYFUNCTION("""COMPUTED_VALUE"""),"Taft Union High School")</f>
        <v>Taft Union High School</v>
      </c>
      <c r="G1223" s="5">
        <f ca="1">IFERROR(__xludf.DUMMYFUNCTION("""COMPUTED_VALUE"""),0)</f>
        <v>0</v>
      </c>
      <c r="H1223" s="5">
        <f ca="1">IFERROR(__xludf.DUMMYFUNCTION("""COMPUTED_VALUE"""),2)</f>
        <v>2</v>
      </c>
      <c r="I1223" s="5">
        <f ca="1">IFERROR(__xludf.DUMMYFUNCTION("""COMPUTED_VALUE"""),2)</f>
        <v>2</v>
      </c>
      <c r="J1223" s="5">
        <f ca="1">IFERROR(__xludf.DUMMYFUNCTION("""COMPUTED_VALUE"""),0)</f>
        <v>0</v>
      </c>
      <c r="K1223" s="5" t="str">
        <f ca="1">IFERROR(__xludf.DUMMYFUNCTION("""COMPUTED_VALUE"""),"https://bakersfieldnow.com/news/local/bryan-oliver-takes-plea-deal-in-taft-hs-shooting-case https://www.fbi.gov/file-repository/active-shooter-incidents-2000-2017.pdf")</f>
        <v>https://bakersfieldnow.com/news/local/bryan-oliver-takes-plea-deal-in-taft-hs-shooting-case https://www.fbi.gov/file-repository/active-shooter-incidents-2000-2017.pdf</v>
      </c>
      <c r="L1223" s="5">
        <f ca="1">IFERROR(__xludf.DUMMYFUNCTION("""COMPUTED_VALUE"""),11)</f>
        <v>11</v>
      </c>
      <c r="M1223" s="5" t="str">
        <f ca="1">IFERROR(__xludf.DUMMYFUNCTION("""COMPUTED_VALUE"""),"National")</f>
        <v>National</v>
      </c>
      <c r="N1223" s="5">
        <f ca="1">IFERROR(__xludf.DUMMYFUNCTION("""COMPUTED_VALUE"""),5)</f>
        <v>5</v>
      </c>
      <c r="O1223" s="5" t="str">
        <f ca="1">IFERROR(__xludf.DUMMYFUNCTION("""COMPUTED_VALUE"""),"Winter")</f>
        <v>Winter</v>
      </c>
      <c r="P1223" s="5" t="str">
        <f ca="1">IFERROR(__xludf.DUMMYFUNCTION("""COMPUTED_VALUE"""),"Taft")</f>
        <v>Taft</v>
      </c>
      <c r="Q1223" s="5" t="str">
        <f ca="1">IFERROR(__xludf.DUMMYFUNCTION("""COMPUTED_VALUE"""),"CA")</f>
        <v>CA</v>
      </c>
      <c r="R1223" s="5" t="str">
        <f ca="1">IFERROR(__xludf.DUMMYFUNCTION("""COMPUTED_VALUE"""),"High")</f>
        <v>High</v>
      </c>
      <c r="S1223" s="5" t="str">
        <f ca="1">IFERROR(__xludf.DUMMYFUNCTION("""COMPUTED_VALUE"""),"Hallway")</f>
        <v>Hallway</v>
      </c>
      <c r="T1223" s="5" t="str">
        <f ca="1">IFERROR(__xludf.DUMMYFUNCTION("""COMPUTED_VALUE"""),"Inside School Building")</f>
        <v>Inside School Building</v>
      </c>
      <c r="U1223" s="5" t="str">
        <f ca="1">IFERROR(__xludf.DUMMYFUNCTION("""COMPUTED_VALUE"""),"Yes")</f>
        <v>Yes</v>
      </c>
      <c r="V1223" s="5" t="str">
        <f ca="1">IFERROR(__xludf.DUMMYFUNCTION("""COMPUTED_VALUE"""),"Morning Classes")</f>
        <v>Morning Classes</v>
      </c>
      <c r="W1223" s="10">
        <f ca="1">IFERROR(__xludf.DUMMYFUNCTION("""COMPUTED_VALUE"""),0.375)</f>
        <v>0.375</v>
      </c>
      <c r="X1223" s="5">
        <f ca="1">IFERROR(__xludf.DUMMYFUNCTION("""COMPUTED_VALUE"""),1)</f>
        <v>1</v>
      </c>
      <c r="Y1223" s="5" t="str">
        <f ca="1">IFERROR(__xludf.DUMMYFUNCTION("""COMPUTED_VALUE"""),"Targeted shooting of bully")</f>
        <v>Targeted shooting of bully</v>
      </c>
      <c r="Z1223" s="5" t="str">
        <f ca="1">IFERROR(__xludf.DUMMYFUNCTION("""COMPUTED_VALUE"""),"3 suspects dressed in the school uniforms entered school property. After locating the target they were after, they chased both him and another student trying to help get victim get away. One of the suspects shot at the victim several times but only hit a "&amp;"parked car. The suspects were later identified, and the shooter turned himself in. The judge in the case denied treating the shooter as a youthful offender because of his juvenile criminal record.")</f>
        <v>3 suspects dressed in the school uniforms entered school property. After locating the target they were after, they chased both him and another student trying to help get victim get away. One of the suspects shot at the victim several times but only hit a parked car. The suspects were later identified, and the shooter turned himself in. The judge in the case denied treating the shooter as a youthful offender because of his juvenile criminal record.</v>
      </c>
      <c r="AA1223" s="5" t="str">
        <f ca="1">IFERROR(__xludf.DUMMYFUNCTION("""COMPUTED_VALUE"""),"Bullying")</f>
        <v>Bullying</v>
      </c>
      <c r="AB1223" s="5" t="str">
        <f ca="1">IFERROR(__xludf.DUMMYFUNCTION("""COMPUTED_VALUE"""),"Both")</f>
        <v>Both</v>
      </c>
      <c r="AC1223" s="5" t="str">
        <f ca="1">IFERROR(__xludf.DUMMYFUNCTION("""COMPUTED_VALUE"""),"No")</f>
        <v>No</v>
      </c>
      <c r="AD1223" s="5" t="str">
        <f ca="1">IFERROR(__xludf.DUMMYFUNCTION("""COMPUTED_VALUE"""),"No")</f>
        <v>No</v>
      </c>
      <c r="AE1223" s="5" t="str">
        <f ca="1">IFERROR(__xludf.DUMMYFUNCTION("""COMPUTED_VALUE"""),"No")</f>
        <v>No</v>
      </c>
      <c r="AF1223" s="5" t="str">
        <f ca="1">IFERROR(__xludf.DUMMYFUNCTION("""COMPUTED_VALUE"""),"No")</f>
        <v>No</v>
      </c>
      <c r="AG1223" s="5" t="str">
        <f ca="1">IFERROR(__xludf.DUMMYFUNCTION("""COMPUTED_VALUE"""),"Yes")</f>
        <v>Yes</v>
      </c>
      <c r="AH1223" s="5" t="str">
        <f ca="1">IFERROR(__xludf.DUMMYFUNCTION("""COMPUTED_VALUE"""),"No")</f>
        <v>No</v>
      </c>
      <c r="AI1223" s="5" t="str">
        <f ca="1">IFERROR(__xludf.DUMMYFUNCTION("""COMPUTED_VALUE"""),"No")</f>
        <v>No</v>
      </c>
      <c r="AJ1223" s="5" t="str">
        <f ca="1">IFERROR(__xludf.DUMMYFUNCTION("""COMPUTED_VALUE"""),"Yes")</f>
        <v>Yes</v>
      </c>
    </row>
    <row r="1224" spans="1:36" ht="13">
      <c r="A1224" s="5" t="str">
        <f ca="1">IFERROR(__xludf.DUMMYFUNCTION("""COMPUTED_VALUE"""),"20130107FLAPF")</f>
        <v>20130107FLAPF</v>
      </c>
      <c r="B1224" s="5">
        <f ca="1">IFERROR(__xludf.DUMMYFUNCTION("""COMPUTED_VALUE"""),1)</f>
        <v>1</v>
      </c>
      <c r="C1224" s="5">
        <f ca="1">IFERROR(__xludf.DUMMYFUNCTION("""COMPUTED_VALUE"""),7)</f>
        <v>7</v>
      </c>
      <c r="D1224" s="5">
        <f ca="1">IFERROR(__xludf.DUMMYFUNCTION("""COMPUTED_VALUE"""),2013)</f>
        <v>2013</v>
      </c>
      <c r="E1224" s="8">
        <f ca="1">IFERROR(__xludf.DUMMYFUNCTION("""COMPUTED_VALUE"""),41281)</f>
        <v>41281</v>
      </c>
      <c r="F1224" s="5" t="str">
        <f ca="1">IFERROR(__xludf.DUMMYFUNCTION("""COMPUTED_VALUE"""),"Apostolic Revival Center Christian School")</f>
        <v>Apostolic Revival Center Christian School</v>
      </c>
      <c r="G1224" s="5">
        <f ca="1">IFERROR(__xludf.DUMMYFUNCTION("""COMPUTED_VALUE"""),1)</f>
        <v>1</v>
      </c>
      <c r="H1224" s="5">
        <f ca="1">IFERROR(__xludf.DUMMYFUNCTION("""COMPUTED_VALUE"""),0)</f>
        <v>0</v>
      </c>
      <c r="I1224" s="5">
        <f ca="1">IFERROR(__xludf.DUMMYFUNCTION("""COMPUTED_VALUE"""),1)</f>
        <v>1</v>
      </c>
      <c r="J1224" s="5">
        <f ca="1">IFERROR(__xludf.DUMMYFUNCTION("""COMPUTED_VALUE"""),0)</f>
        <v>0</v>
      </c>
      <c r="K1224" s="9" t="str">
        <f ca="1">IFERROR(__xludf.DUMMYFUNCTION("""COMPUTED_VALUE"""),"https://www.usatoday.com/story/news/nation/2013/01/08/school-shooting-florida/1817149/")</f>
        <v>https://www.usatoday.com/story/news/nation/2013/01/08/school-shooting-florida/1817149/</v>
      </c>
      <c r="L1224" s="5">
        <f ca="1">IFERROR(__xludf.DUMMYFUNCTION("""COMPUTED_VALUE"""),5)</f>
        <v>5</v>
      </c>
      <c r="M1224" s="5" t="str">
        <f ca="1">IFERROR(__xludf.DUMMYFUNCTION("""COMPUTED_VALUE"""),"Local")</f>
        <v>Local</v>
      </c>
      <c r="N1224" s="5">
        <f ca="1">IFERROR(__xludf.DUMMYFUNCTION("""COMPUTED_VALUE"""),2)</f>
        <v>2</v>
      </c>
      <c r="O1224" s="5" t="str">
        <f ca="1">IFERROR(__xludf.DUMMYFUNCTION("""COMPUTED_VALUE"""),"Winter")</f>
        <v>Winter</v>
      </c>
      <c r="P1224" s="5" t="str">
        <f ca="1">IFERROR(__xludf.DUMMYFUNCTION("""COMPUTED_VALUE"""),"Fort Myers")</f>
        <v>Fort Myers</v>
      </c>
      <c r="Q1224" s="5" t="str">
        <f ca="1">IFERROR(__xludf.DUMMYFUNCTION("""COMPUTED_VALUE"""),"FL")</f>
        <v>FL</v>
      </c>
      <c r="R1224" s="5" t="str">
        <f ca="1">IFERROR(__xludf.DUMMYFUNCTION("""COMPUTED_VALUE"""),"K-8")</f>
        <v>K-8</v>
      </c>
      <c r="S1224" s="5" t="str">
        <f ca="1">IFERROR(__xludf.DUMMYFUNCTION("""COMPUTED_VALUE"""),"Parking Lot")</f>
        <v>Parking Lot</v>
      </c>
      <c r="T1224" s="5" t="str">
        <f ca="1">IFERROR(__xludf.DUMMYFUNCTION("""COMPUTED_VALUE"""),"Outside on School Property")</f>
        <v>Outside on School Property</v>
      </c>
      <c r="U1224" s="5" t="str">
        <f ca="1">IFERROR(__xludf.DUMMYFUNCTION("""COMPUTED_VALUE"""),"Yes")</f>
        <v>Yes</v>
      </c>
      <c r="V1224" s="5" t="str">
        <f ca="1">IFERROR(__xludf.DUMMYFUNCTION("""COMPUTED_VALUE"""),"Morning Classes")</f>
        <v>Morning Classes</v>
      </c>
      <c r="W1224" s="10">
        <f ca="1">IFERROR(__xludf.DUMMYFUNCTION("""COMPUTED_VALUE"""),0.458333333333333)</f>
        <v>0.45833333333333298</v>
      </c>
      <c r="X1224" s="5">
        <f ca="1">IFERROR(__xludf.DUMMYFUNCTION("""COMPUTED_VALUE"""),1)</f>
        <v>1</v>
      </c>
      <c r="Y1224" s="5" t="str">
        <f ca="1">IFERROR(__xludf.DUMMYFUNCTION("""COMPUTED_VALUE"""),"Gang shooting outside of school")</f>
        <v>Gang shooting outside of school</v>
      </c>
      <c r="Z1224" s="5" t="str">
        <f ca="1">IFERROR(__xludf.DUMMYFUNCTION("""COMPUTED_VALUE"""),"5 shot fired in parking lot of school during the school day. Unidentified adult male killed. School was locked down. Police said the shooting was gang related.")</f>
        <v>5 shot fired in parking lot of school during the school day. Unidentified adult male killed. School was locked down. Police said the shooting was gang related.</v>
      </c>
      <c r="AA1224" s="5" t="str">
        <f ca="1">IFERROR(__xludf.DUMMYFUNCTION("""COMPUTED_VALUE"""),"Escalation of Dispute")</f>
        <v>Escalation of Dispute</v>
      </c>
      <c r="AB1224" s="5" t="str">
        <f ca="1">IFERROR(__xludf.DUMMYFUNCTION("""COMPUTED_VALUE"""),"Victims Targeted")</f>
        <v>Victims Targeted</v>
      </c>
      <c r="AC1224" s="5"/>
      <c r="AD1224" s="5" t="str">
        <f ca="1">IFERROR(__xludf.DUMMYFUNCTION("""COMPUTED_VALUE"""),"No")</f>
        <v>No</v>
      </c>
      <c r="AE1224" s="5" t="str">
        <f ca="1">IFERROR(__xludf.DUMMYFUNCTION("""COMPUTED_VALUE"""),"No")</f>
        <v>No</v>
      </c>
      <c r="AF1224" s="5" t="str">
        <f ca="1">IFERROR(__xludf.DUMMYFUNCTION("""COMPUTED_VALUE"""),"No")</f>
        <v>No</v>
      </c>
      <c r="AG1224" s="5" t="str">
        <f ca="1">IFERROR(__xludf.DUMMYFUNCTION("""COMPUTED_VALUE"""),"N/A")</f>
        <v>N/A</v>
      </c>
      <c r="AH1224" s="5" t="str">
        <f ca="1">IFERROR(__xludf.DUMMYFUNCTION("""COMPUTED_VALUE"""),"No")</f>
        <v>No</v>
      </c>
      <c r="AI1224" s="5" t="str">
        <f ca="1">IFERROR(__xludf.DUMMYFUNCTION("""COMPUTED_VALUE"""),"Yes")</f>
        <v>Yes</v>
      </c>
      <c r="AJ1224" s="5"/>
    </row>
    <row r="1225" spans="1:36" ht="13">
      <c r="A1225" s="5" t="str">
        <f ca="1">IFERROR(__xludf.DUMMYFUNCTION("""COMPUTED_VALUE"""),"20121214CTSAN")</f>
        <v>20121214CTSAN</v>
      </c>
      <c r="B1225" s="5">
        <f ca="1">IFERROR(__xludf.DUMMYFUNCTION("""COMPUTED_VALUE"""),12)</f>
        <v>12</v>
      </c>
      <c r="C1225" s="5">
        <f ca="1">IFERROR(__xludf.DUMMYFUNCTION("""COMPUTED_VALUE"""),14)</f>
        <v>14</v>
      </c>
      <c r="D1225" s="5">
        <f ca="1">IFERROR(__xludf.DUMMYFUNCTION("""COMPUTED_VALUE"""),2012)</f>
        <v>2012</v>
      </c>
      <c r="E1225" s="8">
        <f ca="1">IFERROR(__xludf.DUMMYFUNCTION("""COMPUTED_VALUE"""),41257)</f>
        <v>41257</v>
      </c>
      <c r="F1225" s="5" t="str">
        <f ca="1">IFERROR(__xludf.DUMMYFUNCTION("""COMPUTED_VALUE"""),"Sandy Hook Elementary School")</f>
        <v>Sandy Hook Elementary School</v>
      </c>
      <c r="G1225" s="5">
        <f ca="1">IFERROR(__xludf.DUMMYFUNCTION("""COMPUTED_VALUE"""),26)</f>
        <v>26</v>
      </c>
      <c r="H1225" s="5">
        <f ca="1">IFERROR(__xludf.DUMMYFUNCTION("""COMPUTED_VALUE"""),0)</f>
        <v>0</v>
      </c>
      <c r="I1225" s="5">
        <f ca="1">IFERROR(__xludf.DUMMYFUNCTION("""COMPUTED_VALUE"""),26)</f>
        <v>26</v>
      </c>
      <c r="J1225" s="5">
        <f ca="1">IFERROR(__xludf.DUMMYFUNCTION("""COMPUTED_VALUE"""),1)</f>
        <v>1</v>
      </c>
      <c r="K1225" s="5" t="str">
        <f ca="1">IFERROR(__xludf.DUMMYFUNCTION("""COMPUTED_VALUE"""),"http://www.nydailynews.com/news/national/lupica-lanza-plotted-massacre-years-article-1.1291408?print https://www.fbi.gov/file-repository/active-shooter-incidents-2000-2017.pdf")</f>
        <v>http://www.nydailynews.com/news/national/lupica-lanza-plotted-massacre-years-article-1.1291408?print https://www.fbi.gov/file-repository/active-shooter-incidents-2000-2017.pdf</v>
      </c>
      <c r="L1225" s="5">
        <f ca="1">IFERROR(__xludf.DUMMYFUNCTION("""COMPUTED_VALUE"""),100)</f>
        <v>100</v>
      </c>
      <c r="M1225" s="5" t="str">
        <f ca="1">IFERROR(__xludf.DUMMYFUNCTION("""COMPUTED_VALUE"""),"International")</f>
        <v>International</v>
      </c>
      <c r="N1225" s="5">
        <f ca="1">IFERROR(__xludf.DUMMYFUNCTION("""COMPUTED_VALUE"""),5)</f>
        <v>5</v>
      </c>
      <c r="O1225" s="5" t="str">
        <f ca="1">IFERROR(__xludf.DUMMYFUNCTION("""COMPUTED_VALUE"""),"Winter")</f>
        <v>Winter</v>
      </c>
      <c r="P1225" s="5" t="str">
        <f ca="1">IFERROR(__xludf.DUMMYFUNCTION("""COMPUTED_VALUE"""),"Newtown")</f>
        <v>Newtown</v>
      </c>
      <c r="Q1225" s="5" t="str">
        <f ca="1">IFERROR(__xludf.DUMMYFUNCTION("""COMPUTED_VALUE"""),"CT")</f>
        <v>CT</v>
      </c>
      <c r="R1225" s="5" t="str">
        <f ca="1">IFERROR(__xludf.DUMMYFUNCTION("""COMPUTED_VALUE"""),"Elementary")</f>
        <v>Elementary</v>
      </c>
      <c r="S1225" s="5" t="str">
        <f ca="1">IFERROR(__xludf.DUMMYFUNCTION("""COMPUTED_VALUE"""),"Classroom")</f>
        <v>Classroom</v>
      </c>
      <c r="T1225" s="5" t="str">
        <f ca="1">IFERROR(__xludf.DUMMYFUNCTION("""COMPUTED_VALUE"""),"Inside School Building")</f>
        <v>Inside School Building</v>
      </c>
      <c r="U1225" s="5" t="str">
        <f ca="1">IFERROR(__xludf.DUMMYFUNCTION("""COMPUTED_VALUE"""),"Yes")</f>
        <v>Yes</v>
      </c>
      <c r="V1225" s="5" t="str">
        <f ca="1">IFERROR(__xludf.DUMMYFUNCTION("""COMPUTED_VALUE"""),"Morning Classes")</f>
        <v>Morning Classes</v>
      </c>
      <c r="W1225" s="10">
        <f ca="1">IFERROR(__xludf.DUMMYFUNCTION("""COMPUTED_VALUE"""),0.399305555555555)</f>
        <v>0.39930555555555503</v>
      </c>
      <c r="X1225" s="5">
        <f ca="1">IFERROR(__xludf.DUMMYFUNCTION("""COMPUTED_VALUE"""),5)</f>
        <v>5</v>
      </c>
      <c r="Y1225" s="5" t="str">
        <f ca="1">IFERROR(__xludf.DUMMYFUNCTION("""COMPUTED_VALUE"""),"Shooter though society was broken and mass shooting helps save children from negative influence")</f>
        <v>Shooter though society was broken and mass shooting helps save children from negative influence</v>
      </c>
      <c r="Z1225" s="5" t="str">
        <f ca="1">IFERROR(__xludf.DUMMYFUNCTION("""COMPUTED_VALUE"""),"On Dec 14, 2012, Adam Lanza walked into Sandy Hook Elementary and shot 26 people (20 were children), after killing his mother in their home. 156 shots were fired in 5 minutes - shooter had multiple weapons with him, 10mm Glock was found jammed next to the"&amp;" body, after he used to kill himself, 9mm Sig Sauer was never fired. Shooter reportedly shouted ""Look at me"" and was swearing. Leaked police investigation noted shooter had created a 7x4 spreadsheet listing top 500 mass killings with weapons used and sc"&amp;"oresheet; he had removed the hard drive from his computer and damaged it prior to the shooting Shooter reloaded every time he entered a new room even if the clip was not empty. Shooter's mother was making straw purchases of guns for him, encouraging his g"&amp;"un obsession. Shooter shot his mother before he went to the school and finally he shot himself. Shooter was carrying his brother's ID and police initially thought he was the shooter. Police found a safe with over 1400 rounds of ammo in his home, multiple "&amp;"weapons, NRA certificate, and a photograph holding a gun to his head. Shooter had cut off contact with both his father and brother in the two years before the shooting and at one point communicated with his mother, who lived in the same house, only by ema"&amp;"il. He had his windows covered with black garbage bags. He was mostly living in isolation and played computer games. He was home-schooled since 8th grade. He was examined by several psychiatrist, took medication for a short time but was not open to therap"&amp;"y. He started editing Wikipedia entries on various well-known mass murderers.")</f>
        <v>On Dec 14, 2012, Adam Lanza walked into Sandy Hook Elementary and shot 26 people (20 were children), after killing his mother in their home. 156 shots were fired in 5 minutes - shooter had multiple weapons with him, 10mm Glock was found jammed next to the body, after he used to kill himself, 9mm Sig Sauer was never fired. Shooter reportedly shouted "Look at me" and was swearing. Leaked police investigation noted shooter had created a 7x4 spreadsheet listing top 500 mass killings with weapons used and scoresheet; he had removed the hard drive from his computer and damaged it prior to the shooting Shooter reloaded every time he entered a new room even if the clip was not empty. Shooter's mother was making straw purchases of guns for him, encouraging his gun obsession. Shooter shot his mother before he went to the school and finally he shot himself. Shooter was carrying his brother's ID and police initially thought he was the shooter. Police found a safe with over 1400 rounds of ammo in his home, multiple weapons, NRA certificate, and a photograph holding a gun to his head. Shooter had cut off contact with both his father and brother in the two years before the shooting and at one point communicated with his mother, who lived in the same house, only by email. He had his windows covered with black garbage bags. He was mostly living in isolation and played computer games. He was home-schooled since 8th grade. He was examined by several psychiatrist, took medication for a short time but was not open to therapy. He started editing Wikipedia entries on various well-known mass murderers.</v>
      </c>
      <c r="AA1225" s="5" t="str">
        <f ca="1">IFERROR(__xludf.DUMMYFUNCTION("""COMPUTED_VALUE"""),"Indiscriminate Shooting")</f>
        <v>Indiscriminate Shooting</v>
      </c>
      <c r="AB1225" s="5" t="str">
        <f ca="1">IFERROR(__xludf.DUMMYFUNCTION("""COMPUTED_VALUE"""),"Random Shooting")</f>
        <v>Random Shooting</v>
      </c>
      <c r="AC1225" s="5" t="str">
        <f ca="1">IFERROR(__xludf.DUMMYFUNCTION("""COMPUTED_VALUE"""),"No")</f>
        <v>No</v>
      </c>
      <c r="AD1225" s="5" t="str">
        <f ca="1">IFERROR(__xludf.DUMMYFUNCTION("""COMPUTED_VALUE"""),"No")</f>
        <v>No</v>
      </c>
      <c r="AE1225" s="5" t="str">
        <f ca="1">IFERROR(__xludf.DUMMYFUNCTION("""COMPUTED_VALUE"""),"No")</f>
        <v>No</v>
      </c>
      <c r="AF1225" s="5" t="str">
        <f ca="1">IFERROR(__xludf.DUMMYFUNCTION("""COMPUTED_VALUE"""),"No")</f>
        <v>No</v>
      </c>
      <c r="AG1225" s="5"/>
      <c r="AH1225" s="5" t="str">
        <f ca="1">IFERROR(__xludf.DUMMYFUNCTION("""COMPUTED_VALUE"""),"No")</f>
        <v>No</v>
      </c>
      <c r="AI1225" s="5" t="str">
        <f ca="1">IFERROR(__xludf.DUMMYFUNCTION("""COMPUTED_VALUE"""),"No")</f>
        <v>No</v>
      </c>
      <c r="AJ1225" s="5" t="str">
        <f ca="1">IFERROR(__xludf.DUMMYFUNCTION("""COMPUTED_VALUE"""),"Yes")</f>
        <v>Yes</v>
      </c>
    </row>
    <row r="1226" spans="1:36" ht="13">
      <c r="A1226" s="5" t="str">
        <f ca="1">IFERROR(__xludf.DUMMYFUNCTION("""COMPUTED_VALUE"""),"20121210TXSPH")</f>
        <v>20121210TXSPH</v>
      </c>
      <c r="B1226" s="5">
        <f ca="1">IFERROR(__xludf.DUMMYFUNCTION("""COMPUTED_VALUE"""),12)</f>
        <v>12</v>
      </c>
      <c r="C1226" s="5">
        <f ca="1">IFERROR(__xludf.DUMMYFUNCTION("""COMPUTED_VALUE"""),10)</f>
        <v>10</v>
      </c>
      <c r="D1226" s="5">
        <f ca="1">IFERROR(__xludf.DUMMYFUNCTION("""COMPUTED_VALUE"""),2012)</f>
        <v>2012</v>
      </c>
      <c r="E1226" s="8">
        <f ca="1">IFERROR(__xludf.DUMMYFUNCTION("""COMPUTED_VALUE"""),41253)</f>
        <v>41253</v>
      </c>
      <c r="F1226" s="5" t="str">
        <f ca="1">IFERROR(__xludf.DUMMYFUNCTION("""COMPUTED_VALUE"""),"Spring Woods High School")</f>
        <v>Spring Woods High School</v>
      </c>
      <c r="G1226" s="5">
        <f ca="1">IFERROR(__xludf.DUMMYFUNCTION("""COMPUTED_VALUE"""),0)</f>
        <v>0</v>
      </c>
      <c r="H1226" s="5">
        <f ca="1">IFERROR(__xludf.DUMMYFUNCTION("""COMPUTED_VALUE"""),0)</f>
        <v>0</v>
      </c>
      <c r="I1226" s="5">
        <f ca="1">IFERROR(__xludf.DUMMYFUNCTION("""COMPUTED_VALUE"""),0)</f>
        <v>0</v>
      </c>
      <c r="J1226" s="5">
        <f ca="1">IFERROR(__xludf.DUMMYFUNCTION("""COMPUTED_VALUE"""),0)</f>
        <v>0</v>
      </c>
      <c r="K1226" s="9" t="str">
        <f ca="1">IFERROR(__xludf.DUMMYFUNCTION("""COMPUTED_VALUE"""),"https://abc13.com/archive/8915159/")</f>
        <v>https://abc13.com/archive/8915159/</v>
      </c>
      <c r="L1226" s="5">
        <f ca="1">IFERROR(__xludf.DUMMYFUNCTION("""COMPUTED_VALUE"""),1)</f>
        <v>1</v>
      </c>
      <c r="M1226" s="5" t="str">
        <f ca="1">IFERROR(__xludf.DUMMYFUNCTION("""COMPUTED_VALUE"""),"Local")</f>
        <v>Local</v>
      </c>
      <c r="N1226" s="5">
        <f ca="1">IFERROR(__xludf.DUMMYFUNCTION("""COMPUTED_VALUE"""),2)</f>
        <v>2</v>
      </c>
      <c r="O1226" s="5" t="str">
        <f ca="1">IFERROR(__xludf.DUMMYFUNCTION("""COMPUTED_VALUE"""),"Winter")</f>
        <v>Winter</v>
      </c>
      <c r="P1226" s="5" t="str">
        <f ca="1">IFERROR(__xludf.DUMMYFUNCTION("""COMPUTED_VALUE"""),"Houston")</f>
        <v>Houston</v>
      </c>
      <c r="Q1226" s="5" t="str">
        <f ca="1">IFERROR(__xludf.DUMMYFUNCTION("""COMPUTED_VALUE"""),"TX")</f>
        <v>TX</v>
      </c>
      <c r="R1226" s="5" t="str">
        <f ca="1">IFERROR(__xludf.DUMMYFUNCTION("""COMPUTED_VALUE"""),"High")</f>
        <v>High</v>
      </c>
      <c r="S1226" s="5" t="str">
        <f ca="1">IFERROR(__xludf.DUMMYFUNCTION("""COMPUTED_VALUE"""),"Classroom")</f>
        <v>Classroom</v>
      </c>
      <c r="T1226" s="5" t="str">
        <f ca="1">IFERROR(__xludf.DUMMYFUNCTION("""COMPUTED_VALUE"""),"Inside School Building")</f>
        <v>Inside School Building</v>
      </c>
      <c r="U1226" s="5" t="str">
        <f ca="1">IFERROR(__xludf.DUMMYFUNCTION("""COMPUTED_VALUE"""),"Yes")</f>
        <v>Yes</v>
      </c>
      <c r="V1226" s="5" t="str">
        <f ca="1">IFERROR(__xludf.DUMMYFUNCTION("""COMPUTED_VALUE"""),"Morning Classes")</f>
        <v>Morning Classes</v>
      </c>
      <c r="W1226" s="10">
        <f ca="1">IFERROR(__xludf.DUMMYFUNCTION("""COMPUTED_VALUE"""),0.458333333333333)</f>
        <v>0.45833333333333298</v>
      </c>
      <c r="X1226" s="5">
        <f ca="1">IFERROR(__xludf.DUMMYFUNCTION("""COMPUTED_VALUE"""),1)</f>
        <v>1</v>
      </c>
      <c r="Y1226" s="5" t="str">
        <f ca="1">IFERROR(__xludf.DUMMYFUNCTION("""COMPUTED_VALUE"""),"Showing off gun, accidentally fired, arrested by officer assigned to school")</f>
        <v>Showing off gun, accidentally fired, arrested by officer assigned to school</v>
      </c>
      <c r="Z1226" s="5" t="str">
        <f ca="1">IFERROR(__xludf.DUMMYFUNCTION("""COMPUTED_VALUE"""),"15YOM student was showing off handgun to 30 other students in classroom when he accidentally fired it, which sent a bullet through a door and into the hallway. No injuries. Arrested by officer assigned to school.")</f>
        <v>15YOM student was showing off handgun to 30 other students in classroom when he accidentally fired it, which sent a bullet through a door and into the hallway. No injuries. Arrested by officer assigned to school.</v>
      </c>
      <c r="AA1226" s="5" t="str">
        <f ca="1">IFERROR(__xludf.DUMMYFUNCTION("""COMPUTED_VALUE"""),"Accidental")</f>
        <v>Accidental</v>
      </c>
      <c r="AB1226" s="5" t="str">
        <f ca="1">IFERROR(__xludf.DUMMYFUNCTION("""COMPUTED_VALUE"""),"Neither")</f>
        <v>Neither</v>
      </c>
      <c r="AC1226" s="5" t="str">
        <f ca="1">IFERROR(__xludf.DUMMYFUNCTION("""COMPUTED_VALUE"""),"No")</f>
        <v>No</v>
      </c>
      <c r="AD1226" s="5" t="str">
        <f ca="1">IFERROR(__xludf.DUMMYFUNCTION("""COMPUTED_VALUE"""),"No")</f>
        <v>No</v>
      </c>
      <c r="AE1226" s="5" t="str">
        <f ca="1">IFERROR(__xludf.DUMMYFUNCTION("""COMPUTED_VALUE"""),"No")</f>
        <v>No</v>
      </c>
      <c r="AF1226" s="5" t="str">
        <f ca="1">IFERROR(__xludf.DUMMYFUNCTION("""COMPUTED_VALUE"""),"No")</f>
        <v>No</v>
      </c>
      <c r="AG1226" s="5" t="str">
        <f ca="1">IFERROR(__xludf.DUMMYFUNCTION("""COMPUTED_VALUE"""),"No")</f>
        <v>No</v>
      </c>
      <c r="AH1226" s="5" t="str">
        <f ca="1">IFERROR(__xludf.DUMMYFUNCTION("""COMPUTED_VALUE"""),"No")</f>
        <v>No</v>
      </c>
      <c r="AI1226" s="5" t="str">
        <f ca="1">IFERROR(__xludf.DUMMYFUNCTION("""COMPUTED_VALUE"""),"No")</f>
        <v>No</v>
      </c>
      <c r="AJ1226" s="5"/>
    </row>
    <row r="1227" spans="1:36" ht="13">
      <c r="A1227" s="5" t="str">
        <f ca="1">IFERROR(__xludf.DUMMYFUNCTION("""COMPUTED_VALUE"""),"20121019ILBAC")</f>
        <v>20121019ILBAC</v>
      </c>
      <c r="B1227" s="5">
        <f ca="1">IFERROR(__xludf.DUMMYFUNCTION("""COMPUTED_VALUE"""),10)</f>
        <v>10</v>
      </c>
      <c r="C1227" s="5">
        <f ca="1">IFERROR(__xludf.DUMMYFUNCTION("""COMPUTED_VALUE"""),19)</f>
        <v>19</v>
      </c>
      <c r="D1227" s="5">
        <f ca="1">IFERROR(__xludf.DUMMYFUNCTION("""COMPUTED_VALUE"""),2012)</f>
        <v>2012</v>
      </c>
      <c r="E1227" s="8">
        <f ca="1">IFERROR(__xludf.DUMMYFUNCTION("""COMPUTED_VALUE"""),41201)</f>
        <v>41201</v>
      </c>
      <c r="F1227" s="5" t="str">
        <f ca="1">IFERROR(__xludf.DUMMYFUNCTION("""COMPUTED_VALUE"""),"Banner Academy South")</f>
        <v>Banner Academy South</v>
      </c>
      <c r="G1227" s="5">
        <f ca="1">IFERROR(__xludf.DUMMYFUNCTION("""COMPUTED_VALUE"""),1)</f>
        <v>1</v>
      </c>
      <c r="H1227" s="5">
        <f ca="1">IFERROR(__xludf.DUMMYFUNCTION("""COMPUTED_VALUE"""),0)</f>
        <v>0</v>
      </c>
      <c r="I1227" s="5">
        <f ca="1">IFERROR(__xludf.DUMMYFUNCTION("""COMPUTED_VALUE"""),1)</f>
        <v>1</v>
      </c>
      <c r="J1227" s="5">
        <f ca="1">IFERROR(__xludf.DUMMYFUNCTION("""COMPUTED_VALUE"""),0)</f>
        <v>0</v>
      </c>
      <c r="K1227" s="9" t="str">
        <f ca="1">IFERROR(__xludf.DUMMYFUNCTION("""COMPUTED_VALUE"""),"http://articles.chicagotribune.com/2012-10-30/news/chi-2nd-teen-charged-in-murder-of-teen-outside-south-side-high-school-20121030_1_adult-with-first-degree-murder-terrance-wright-banner-academy-south")</f>
        <v>http://articles.chicagotribune.com/2012-10-30/news/chi-2nd-teen-charged-in-murder-of-teen-outside-south-side-high-school-20121030_1_adult-with-first-degree-murder-terrance-wright-banner-academy-south</v>
      </c>
      <c r="L1227" s="5">
        <f ca="1">IFERROR(__xludf.DUMMYFUNCTION("""COMPUTED_VALUE"""),1)</f>
        <v>1</v>
      </c>
      <c r="M1227" s="5" t="str">
        <f ca="1">IFERROR(__xludf.DUMMYFUNCTION("""COMPUTED_VALUE"""),"Local")</f>
        <v>Local</v>
      </c>
      <c r="N1227" s="5">
        <f ca="1">IFERROR(__xludf.DUMMYFUNCTION("""COMPUTED_VALUE"""),3)</f>
        <v>3</v>
      </c>
      <c r="O1227" s="5" t="str">
        <f ca="1">IFERROR(__xludf.DUMMYFUNCTION("""COMPUTED_VALUE"""),"Fall")</f>
        <v>Fall</v>
      </c>
      <c r="P1227" s="5" t="str">
        <f ca="1">IFERROR(__xludf.DUMMYFUNCTION("""COMPUTED_VALUE"""),"Chicago")</f>
        <v>Chicago</v>
      </c>
      <c r="Q1227" s="5" t="str">
        <f ca="1">IFERROR(__xludf.DUMMYFUNCTION("""COMPUTED_VALUE"""),"IL")</f>
        <v>IL</v>
      </c>
      <c r="R1227" s="5" t="str">
        <f ca="1">IFERROR(__xludf.DUMMYFUNCTION("""COMPUTED_VALUE"""),"Other")</f>
        <v>Other</v>
      </c>
      <c r="S1227" s="5" t="str">
        <f ca="1">IFERROR(__xludf.DUMMYFUNCTION("""COMPUTED_VALUE"""),"Beside Building")</f>
        <v>Beside Building</v>
      </c>
      <c r="T1227" s="5" t="str">
        <f ca="1">IFERROR(__xludf.DUMMYFUNCTION("""COMPUTED_VALUE"""),"Outside on School Property")</f>
        <v>Outside on School Property</v>
      </c>
      <c r="U1227" s="5" t="str">
        <f ca="1">IFERROR(__xludf.DUMMYFUNCTION("""COMPUTED_VALUE"""),"No")</f>
        <v>No</v>
      </c>
      <c r="V1227" s="5" t="str">
        <f ca="1">IFERROR(__xludf.DUMMYFUNCTION("""COMPUTED_VALUE"""),"After School")</f>
        <v>After School</v>
      </c>
      <c r="W1227" s="5"/>
      <c r="X1227" s="5"/>
      <c r="Y1227" s="5" t="str">
        <f ca="1">IFERROR(__xludf.DUMMYFUNCTION("""COMPUTED_VALUE"""),"Victim shot during robbery")</f>
        <v>Victim shot during robbery</v>
      </c>
      <c r="Z1227" s="5" t="str">
        <f ca="1">IFERROR(__xludf.DUMMYFUNCTION("""COMPUTED_VALUE"""),"Victim was approached after school by 5 would-be robbers. Victim struggled and was shot dead by a 14YOM who was later charged with murder; a 16YOM accomplice was charged as an adult.")</f>
        <v>Victim was approached after school by 5 would-be robbers. Victim struggled and was shot dead by a 14YOM who was later charged with murder; a 16YOM accomplice was charged as an adult.</v>
      </c>
      <c r="AA1227" s="5" t="str">
        <f ca="1">IFERROR(__xludf.DUMMYFUNCTION("""COMPUTED_VALUE"""),"Illegal Activity")</f>
        <v>Illegal Activity</v>
      </c>
      <c r="AB1227" s="5" t="str">
        <f ca="1">IFERROR(__xludf.DUMMYFUNCTION("""COMPUTED_VALUE"""),"Victims Targeted")</f>
        <v>Victims Targeted</v>
      </c>
      <c r="AC1227" s="5" t="str">
        <f ca="1">IFERROR(__xludf.DUMMYFUNCTION("""COMPUTED_VALUE"""),"Yes")</f>
        <v>Yes</v>
      </c>
      <c r="AD1227" s="5" t="str">
        <f ca="1">IFERROR(__xludf.DUMMYFUNCTION("""COMPUTED_VALUE"""),"No")</f>
        <v>No</v>
      </c>
      <c r="AE1227" s="5" t="str">
        <f ca="1">IFERROR(__xludf.DUMMYFUNCTION("""COMPUTED_VALUE"""),"No")</f>
        <v>No</v>
      </c>
      <c r="AF1227" s="5" t="str">
        <f ca="1">IFERROR(__xludf.DUMMYFUNCTION("""COMPUTED_VALUE"""),"No")</f>
        <v>No</v>
      </c>
      <c r="AG1227" s="5" t="str">
        <f ca="1">IFERROR(__xludf.DUMMYFUNCTION("""COMPUTED_VALUE"""),"No")</f>
        <v>No</v>
      </c>
      <c r="AH1227" s="5" t="str">
        <f ca="1">IFERROR(__xludf.DUMMYFUNCTION("""COMPUTED_VALUE"""),"No")</f>
        <v>No</v>
      </c>
      <c r="AI1227" s="5" t="str">
        <f ca="1">IFERROR(__xludf.DUMMYFUNCTION("""COMPUTED_VALUE"""),"No")</f>
        <v>No</v>
      </c>
      <c r="AJ1227" s="5"/>
    </row>
    <row r="1228" spans="1:36" ht="13">
      <c r="A1228" s="5" t="str">
        <f ca="1">IFERROR(__xludf.DUMMYFUNCTION("""COMPUTED_VALUE"""),"20121012NDFAF")</f>
        <v>20121012NDFAF</v>
      </c>
      <c r="B1228" s="5">
        <f ca="1">IFERROR(__xludf.DUMMYFUNCTION("""COMPUTED_VALUE"""),10)</f>
        <v>10</v>
      </c>
      <c r="C1228" s="5">
        <f ca="1">IFERROR(__xludf.DUMMYFUNCTION("""COMPUTED_VALUE"""),12)</f>
        <v>12</v>
      </c>
      <c r="D1228" s="5">
        <f ca="1">IFERROR(__xludf.DUMMYFUNCTION("""COMPUTED_VALUE"""),2012)</f>
        <v>2012</v>
      </c>
      <c r="E1228" s="8">
        <f ca="1">IFERROR(__xludf.DUMMYFUNCTION("""COMPUTED_VALUE"""),41194)</f>
        <v>41194</v>
      </c>
      <c r="F1228" s="5" t="str">
        <f ca="1">IFERROR(__xludf.DUMMYFUNCTION("""COMPUTED_VALUE"""),"Fairmount Public School")</f>
        <v>Fairmount Public School</v>
      </c>
      <c r="G1228" s="5">
        <f ca="1">IFERROR(__xludf.DUMMYFUNCTION("""COMPUTED_VALUE"""),0)</f>
        <v>0</v>
      </c>
      <c r="H1228" s="5">
        <f ca="1">IFERROR(__xludf.DUMMYFUNCTION("""COMPUTED_VALUE"""),0)</f>
        <v>0</v>
      </c>
      <c r="I1228" s="5">
        <f ca="1">IFERROR(__xludf.DUMMYFUNCTION("""COMPUTED_VALUE"""),0)</f>
        <v>0</v>
      </c>
      <c r="J1228" s="5">
        <f ca="1">IFERROR(__xludf.DUMMYFUNCTION("""COMPUTED_VALUE"""),0)</f>
        <v>0</v>
      </c>
      <c r="K1228" s="5" t="str">
        <f ca="1">IFERROR(__xludf.DUMMYFUNCTION("""COMPUTED_VALUE"""),"https://www.cnn.com/2012/10/11/us/north-dakota-school-shooting/index.html http://www.grandforksherald.com/content/nd-high-school-student-shoots-self-class-apparent-suicide-attempt")</f>
        <v>https://www.cnn.com/2012/10/11/us/north-dakota-school-shooting/index.html http://www.grandforksherald.com/content/nd-high-school-student-shoots-self-class-apparent-suicide-attempt</v>
      </c>
      <c r="L1228" s="5"/>
      <c r="M1228" s="5"/>
      <c r="N1228" s="5">
        <f ca="1">IFERROR(__xludf.DUMMYFUNCTION("""COMPUTED_VALUE"""),3)</f>
        <v>3</v>
      </c>
      <c r="O1228" s="5" t="str">
        <f ca="1">IFERROR(__xludf.DUMMYFUNCTION("""COMPUTED_VALUE"""),"Fall")</f>
        <v>Fall</v>
      </c>
      <c r="P1228" s="5" t="str">
        <f ca="1">IFERROR(__xludf.DUMMYFUNCTION("""COMPUTED_VALUE"""),"Fairmont")</f>
        <v>Fairmont</v>
      </c>
      <c r="Q1228" s="5" t="str">
        <f ca="1">IFERROR(__xludf.DUMMYFUNCTION("""COMPUTED_VALUE"""),"ND")</f>
        <v>ND</v>
      </c>
      <c r="R1228" s="5" t="str">
        <f ca="1">IFERROR(__xludf.DUMMYFUNCTION("""COMPUTED_VALUE"""),"High")</f>
        <v>High</v>
      </c>
      <c r="S1228" s="5" t="str">
        <f ca="1">IFERROR(__xludf.DUMMYFUNCTION("""COMPUTED_VALUE"""),"Classroom")</f>
        <v>Classroom</v>
      </c>
      <c r="T1228" s="5" t="str">
        <f ca="1">IFERROR(__xludf.DUMMYFUNCTION("""COMPUTED_VALUE"""),"Inside School Building")</f>
        <v>Inside School Building</v>
      </c>
      <c r="U1228" s="5" t="str">
        <f ca="1">IFERROR(__xludf.DUMMYFUNCTION("""COMPUTED_VALUE"""),"Yes")</f>
        <v>Yes</v>
      </c>
      <c r="V1228" s="5" t="str">
        <f ca="1">IFERROR(__xludf.DUMMYFUNCTION("""COMPUTED_VALUE"""),"Morning Classes")</f>
        <v>Morning Classes</v>
      </c>
      <c r="W1228" s="5"/>
      <c r="X1228" s="5">
        <f ca="1">IFERROR(__xludf.DUMMYFUNCTION("""COMPUTED_VALUE"""),1)</f>
        <v>1</v>
      </c>
      <c r="Y1228" s="5" t="str">
        <f ca="1">IFERROR(__xludf.DUMMYFUNCTION("""COMPUTED_VALUE"""),"Student shot self in the front of the classroom")</f>
        <v>Student shot self in the front of the classroom</v>
      </c>
      <c r="Z1228" s="5" t="str">
        <f ca="1">IFERROR(__xludf.DUMMYFUNCTION("""COMPUTED_VALUE"""),"Freshman student walked to the front of the classroom, said ""I'm sorry"", and shot himself. Student was taken to hospital and survived. 8 students were in the classroom. Principal said the student had no behavioral or disciplinary issues.")</f>
        <v>Freshman student walked to the front of the classroom, said "I'm sorry", and shot himself. Student was taken to hospital and survived. 8 students were in the classroom. Principal said the student had no behavioral or disciplinary issues.</v>
      </c>
      <c r="AA1228" s="5" t="str">
        <f ca="1">IFERROR(__xludf.DUMMYFUNCTION("""COMPUTED_VALUE"""),"Suicide/Attempted")</f>
        <v>Suicide/Attempted</v>
      </c>
      <c r="AB1228" s="5" t="str">
        <f ca="1">IFERROR(__xludf.DUMMYFUNCTION("""COMPUTED_VALUE"""),"Victims Targeted")</f>
        <v>Victims Targeted</v>
      </c>
      <c r="AC1228" s="5" t="str">
        <f ca="1">IFERROR(__xludf.DUMMYFUNCTION("""COMPUTED_VALUE"""),"No")</f>
        <v>No</v>
      </c>
      <c r="AD1228" s="5" t="str">
        <f ca="1">IFERROR(__xludf.DUMMYFUNCTION("""COMPUTED_VALUE"""),"No")</f>
        <v>No</v>
      </c>
      <c r="AE1228" s="5" t="str">
        <f ca="1">IFERROR(__xludf.DUMMYFUNCTION("""COMPUTED_VALUE"""),"No")</f>
        <v>No</v>
      </c>
      <c r="AF1228" s="5" t="str">
        <f ca="1">IFERROR(__xludf.DUMMYFUNCTION("""COMPUTED_VALUE"""),"No")</f>
        <v>No</v>
      </c>
      <c r="AG1228" s="5" t="str">
        <f ca="1">IFERROR(__xludf.DUMMYFUNCTION("""COMPUTED_VALUE"""),"No")</f>
        <v>No</v>
      </c>
      <c r="AH1228" s="5" t="str">
        <f ca="1">IFERROR(__xludf.DUMMYFUNCTION("""COMPUTED_VALUE"""),"No")</f>
        <v>No</v>
      </c>
      <c r="AI1228" s="5" t="str">
        <f ca="1">IFERROR(__xludf.DUMMYFUNCTION("""COMPUTED_VALUE"""),"No")</f>
        <v>No</v>
      </c>
      <c r="AJ1228" s="5"/>
    </row>
    <row r="1229" spans="1:36" ht="13">
      <c r="A1229" s="5" t="str">
        <f ca="1">IFERROR(__xludf.DUMMYFUNCTION("""COMPUTED_VALUE"""),"20120926OKSTS")</f>
        <v>20120926OKSTS</v>
      </c>
      <c r="B1229" s="5">
        <f ca="1">IFERROR(__xludf.DUMMYFUNCTION("""COMPUTED_VALUE"""),9)</f>
        <v>9</v>
      </c>
      <c r="C1229" s="5">
        <f ca="1">IFERROR(__xludf.DUMMYFUNCTION("""COMPUTED_VALUE"""),26)</f>
        <v>26</v>
      </c>
      <c r="D1229" s="5">
        <f ca="1">IFERROR(__xludf.DUMMYFUNCTION("""COMPUTED_VALUE"""),2012)</f>
        <v>2012</v>
      </c>
      <c r="E1229" s="8">
        <f ca="1">IFERROR(__xludf.DUMMYFUNCTION("""COMPUTED_VALUE"""),41178)</f>
        <v>41178</v>
      </c>
      <c r="F1229" s="5" t="str">
        <f ca="1">IFERROR(__xludf.DUMMYFUNCTION("""COMPUTED_VALUE"""),"Stillwater Junior High School")</f>
        <v>Stillwater Junior High School</v>
      </c>
      <c r="G1229" s="5">
        <f ca="1">IFERROR(__xludf.DUMMYFUNCTION("""COMPUTED_VALUE"""),0)</f>
        <v>0</v>
      </c>
      <c r="H1229" s="5">
        <f ca="1">IFERROR(__xludf.DUMMYFUNCTION("""COMPUTED_VALUE"""),0)</f>
        <v>0</v>
      </c>
      <c r="I1229" s="5">
        <f ca="1">IFERROR(__xludf.DUMMYFUNCTION("""COMPUTED_VALUE"""),0)</f>
        <v>0</v>
      </c>
      <c r="J1229" s="5">
        <f ca="1">IFERROR(__xludf.DUMMYFUNCTION("""COMPUTED_VALUE"""),1)</f>
        <v>1</v>
      </c>
      <c r="K1229" s="9" t="str">
        <f ca="1">IFERROR(__xludf.DUMMYFUNCTION("""COMPUTED_VALUE"""),"https://www.newspapers.com/image/452822197")</f>
        <v>https://www.newspapers.com/image/452822197</v>
      </c>
      <c r="L1229" s="5">
        <f ca="1">IFERROR(__xludf.DUMMYFUNCTION("""COMPUTED_VALUE"""),11)</f>
        <v>11</v>
      </c>
      <c r="M1229" s="5" t="str">
        <f ca="1">IFERROR(__xludf.DUMMYFUNCTION("""COMPUTED_VALUE"""),"National")</f>
        <v>National</v>
      </c>
      <c r="N1229" s="5">
        <f ca="1">IFERROR(__xludf.DUMMYFUNCTION("""COMPUTED_VALUE"""),3)</f>
        <v>3</v>
      </c>
      <c r="O1229" s="5" t="str">
        <f ca="1">IFERROR(__xludf.DUMMYFUNCTION("""COMPUTED_VALUE"""),"Fall")</f>
        <v>Fall</v>
      </c>
      <c r="P1229" s="5" t="str">
        <f ca="1">IFERROR(__xludf.DUMMYFUNCTION("""COMPUTED_VALUE"""),"Stillwater")</f>
        <v>Stillwater</v>
      </c>
      <c r="Q1229" s="5" t="str">
        <f ca="1">IFERROR(__xludf.DUMMYFUNCTION("""COMPUTED_VALUE"""),"OK")</f>
        <v>OK</v>
      </c>
      <c r="R1229" s="5" t="str">
        <f ca="1">IFERROR(__xludf.DUMMYFUNCTION("""COMPUTED_VALUE"""),"Junior High")</f>
        <v>Junior High</v>
      </c>
      <c r="S1229" s="5" t="str">
        <f ca="1">IFERROR(__xludf.DUMMYFUNCTION("""COMPUTED_VALUE"""),"Hallway")</f>
        <v>Hallway</v>
      </c>
      <c r="T1229" s="5" t="str">
        <f ca="1">IFERROR(__xludf.DUMMYFUNCTION("""COMPUTED_VALUE"""),"Inside School Building")</f>
        <v>Inside School Building</v>
      </c>
      <c r="U1229" s="5" t="str">
        <f ca="1">IFERROR(__xludf.DUMMYFUNCTION("""COMPUTED_VALUE"""),"Yes")</f>
        <v>Yes</v>
      </c>
      <c r="V1229" s="5" t="str">
        <f ca="1">IFERROR(__xludf.DUMMYFUNCTION("""COMPUTED_VALUE"""),"Before School")</f>
        <v>Before School</v>
      </c>
      <c r="W1229" s="10">
        <f ca="1">IFERROR(__xludf.DUMMYFUNCTION("""COMPUTED_VALUE"""),0.326388888888888)</f>
        <v>0.32638888888888801</v>
      </c>
      <c r="X1229" s="5">
        <f ca="1">IFERROR(__xludf.DUMMYFUNCTION("""COMPUTED_VALUE"""),1)</f>
        <v>1</v>
      </c>
      <c r="Y1229" s="5" t="str">
        <f ca="1">IFERROR(__xludf.DUMMYFUNCTION("""COMPUTED_VALUE"""),"Suicide in school hallway following bullying")</f>
        <v>Suicide in school hallway following bullying</v>
      </c>
      <c r="Z1229" s="5" t="str">
        <f ca="1">IFERROR(__xludf.DUMMYFUNCTION("""COMPUTED_VALUE"""),"13 year old shooter shot himself in the head in the school hallway 10 minutes prior to class beginning. Students reported he was being bullied and made fun of, being called ""carrot top"" because of his hair.")</f>
        <v>13 year old shooter shot himself in the head in the school hallway 10 minutes prior to class beginning. Students reported he was being bullied and made fun of, being called "carrot top" because of his hair.</v>
      </c>
      <c r="AA1229" s="5" t="str">
        <f ca="1">IFERROR(__xludf.DUMMYFUNCTION("""COMPUTED_VALUE"""),"Suicide/Attempted")</f>
        <v>Suicide/Attempted</v>
      </c>
      <c r="AB1229" s="5" t="str">
        <f ca="1">IFERROR(__xludf.DUMMYFUNCTION("""COMPUTED_VALUE"""),"Victims Targeted")</f>
        <v>Victims Targeted</v>
      </c>
      <c r="AC1229" s="5" t="str">
        <f ca="1">IFERROR(__xludf.DUMMYFUNCTION("""COMPUTED_VALUE"""),"No")</f>
        <v>No</v>
      </c>
      <c r="AD1229" s="5" t="str">
        <f ca="1">IFERROR(__xludf.DUMMYFUNCTION("""COMPUTED_VALUE"""),"No")</f>
        <v>No</v>
      </c>
      <c r="AE1229" s="5" t="str">
        <f ca="1">IFERROR(__xludf.DUMMYFUNCTION("""COMPUTED_VALUE"""),"No")</f>
        <v>No</v>
      </c>
      <c r="AF1229" s="5" t="str">
        <f ca="1">IFERROR(__xludf.DUMMYFUNCTION("""COMPUTED_VALUE"""),"No")</f>
        <v>No</v>
      </c>
      <c r="AG1229" s="5" t="str">
        <f ca="1">IFERROR(__xludf.DUMMYFUNCTION("""COMPUTED_VALUE"""),"No")</f>
        <v>No</v>
      </c>
      <c r="AH1229" s="5" t="str">
        <f ca="1">IFERROR(__xludf.DUMMYFUNCTION("""COMPUTED_VALUE"""),"No")</f>
        <v>No</v>
      </c>
      <c r="AI1229" s="5" t="str">
        <f ca="1">IFERROR(__xludf.DUMMYFUNCTION("""COMPUTED_VALUE"""),"No")</f>
        <v>No</v>
      </c>
      <c r="AJ1229" s="5"/>
    </row>
    <row r="1230" spans="1:36" ht="13">
      <c r="A1230" s="5" t="str">
        <f ca="1">IFERROR(__xludf.DUMMYFUNCTION("""COMPUTED_VALUE"""),"20120907ILNON")</f>
        <v>20120907ILNON</v>
      </c>
      <c r="B1230" s="5">
        <f ca="1">IFERROR(__xludf.DUMMYFUNCTION("""COMPUTED_VALUE"""),9)</f>
        <v>9</v>
      </c>
      <c r="C1230" s="5">
        <f ca="1">IFERROR(__xludf.DUMMYFUNCTION("""COMPUTED_VALUE"""),7)</f>
        <v>7</v>
      </c>
      <c r="D1230" s="5">
        <f ca="1">IFERROR(__xludf.DUMMYFUNCTION("""COMPUTED_VALUE"""),2012)</f>
        <v>2012</v>
      </c>
      <c r="E1230" s="8">
        <f ca="1">IFERROR(__xludf.DUMMYFUNCTION("""COMPUTED_VALUE"""),41159)</f>
        <v>41159</v>
      </c>
      <c r="F1230" s="5" t="str">
        <f ca="1">IFERROR(__xludf.DUMMYFUNCTION("""COMPUTED_VALUE"""),"Normal Community High School")</f>
        <v>Normal Community High School</v>
      </c>
      <c r="G1230" s="5">
        <f ca="1">IFERROR(__xludf.DUMMYFUNCTION("""COMPUTED_VALUE"""),0)</f>
        <v>0</v>
      </c>
      <c r="H1230" s="5">
        <f ca="1">IFERROR(__xludf.DUMMYFUNCTION("""COMPUTED_VALUE"""),0)</f>
        <v>0</v>
      </c>
      <c r="I1230" s="5">
        <f ca="1">IFERROR(__xludf.DUMMYFUNCTION("""COMPUTED_VALUE"""),0)</f>
        <v>0</v>
      </c>
      <c r="J1230" s="5">
        <f ca="1">IFERROR(__xludf.DUMMYFUNCTION("""COMPUTED_VALUE"""),0)</f>
        <v>0</v>
      </c>
      <c r="K1230" s="9" t="str">
        <f ca="1">IFERROR(__xludf.DUMMYFUNCTION("""COMPUTED_VALUE"""),"http://www.pantagraph.com/news/local/crime-and-courts/boy-gets-juvenile-prison-term-for-nchs-shooting/article_6ddfd6ea-85e1-11e2-aff0-0019bb2963f4.html")</f>
        <v>http://www.pantagraph.com/news/local/crime-and-courts/boy-gets-juvenile-prison-term-for-nchs-shooting/article_6ddfd6ea-85e1-11e2-aff0-0019bb2963f4.html</v>
      </c>
      <c r="L1230" s="5">
        <f ca="1">IFERROR(__xludf.DUMMYFUNCTION("""COMPUTED_VALUE"""),5)</f>
        <v>5</v>
      </c>
      <c r="M1230" s="5" t="str">
        <f ca="1">IFERROR(__xludf.DUMMYFUNCTION("""COMPUTED_VALUE"""),"Regional")</f>
        <v>Regional</v>
      </c>
      <c r="N1230" s="5">
        <f ca="1">IFERROR(__xludf.DUMMYFUNCTION("""COMPUTED_VALUE"""),3)</f>
        <v>3</v>
      </c>
      <c r="O1230" s="5" t="str">
        <f ca="1">IFERROR(__xludf.DUMMYFUNCTION("""COMPUTED_VALUE"""),"Fall")</f>
        <v>Fall</v>
      </c>
      <c r="P1230" s="5" t="str">
        <f ca="1">IFERROR(__xludf.DUMMYFUNCTION("""COMPUTED_VALUE"""),"Normal")</f>
        <v>Normal</v>
      </c>
      <c r="Q1230" s="5" t="str">
        <f ca="1">IFERROR(__xludf.DUMMYFUNCTION("""COMPUTED_VALUE"""),"IL")</f>
        <v>IL</v>
      </c>
      <c r="R1230" s="5" t="str">
        <f ca="1">IFERROR(__xludf.DUMMYFUNCTION("""COMPUTED_VALUE"""),"High")</f>
        <v>High</v>
      </c>
      <c r="S1230" s="5" t="str">
        <f ca="1">IFERROR(__xludf.DUMMYFUNCTION("""COMPUTED_VALUE"""),"Classroom")</f>
        <v>Classroom</v>
      </c>
      <c r="T1230" s="5" t="str">
        <f ca="1">IFERROR(__xludf.DUMMYFUNCTION("""COMPUTED_VALUE"""),"Inside School Building")</f>
        <v>Inside School Building</v>
      </c>
      <c r="U1230" s="5" t="str">
        <f ca="1">IFERROR(__xludf.DUMMYFUNCTION("""COMPUTED_VALUE"""),"Yes")</f>
        <v>Yes</v>
      </c>
      <c r="V1230" s="5" t="str">
        <f ca="1">IFERROR(__xludf.DUMMYFUNCTION("""COMPUTED_VALUE"""),"Morning Classes")</f>
        <v>Morning Classes</v>
      </c>
      <c r="W1230" s="10">
        <f ca="1">IFERROR(__xludf.DUMMYFUNCTION("""COMPUTED_VALUE"""),0.333333333333333)</f>
        <v>0.33333333333333298</v>
      </c>
      <c r="X1230" s="5"/>
      <c r="Y1230" s="5" t="str">
        <f ca="1">IFERROR(__xludf.DUMMYFUNCTION("""COMPUTED_VALUE"""),"Fired shots into ceiling and held class hostage")</f>
        <v>Fired shots into ceiling and held class hostage</v>
      </c>
      <c r="Z1230" s="5" t="str">
        <f ca="1">IFERROR(__xludf.DUMMYFUNCTION("""COMPUTED_VALUE"""),"Shooter fired 4 shots into the ceiling of the classroom and held the class hostage. Shooter was eventually tackled by teacher. Shooter had told other students about suicidal and homicidal thoughts. Shooter had 3 handguns, knife, and hatchet in his backpac"&amp;"k, and allegedly a canteen with kerosine, and bottle of painkillers. Had talked about cutting students heads off and putting them on flag pole.")</f>
        <v>Shooter fired 4 shots into the ceiling of the classroom and held the class hostage. Shooter was eventually tackled by teacher. Shooter had told other students about suicidal and homicidal thoughts. Shooter had 3 handguns, knife, and hatchet in his backpack, and allegedly a canteen with kerosine, and bottle of painkillers. Had talked about cutting students heads off and putting them on flag pole.</v>
      </c>
      <c r="AA1230" s="5" t="str">
        <f ca="1">IFERROR(__xludf.DUMMYFUNCTION("""COMPUTED_VALUE"""),"Hostage/Standoff")</f>
        <v>Hostage/Standoff</v>
      </c>
      <c r="AB1230" s="5" t="str">
        <f ca="1">IFERROR(__xludf.DUMMYFUNCTION("""COMPUTED_VALUE"""),"Neither")</f>
        <v>Neither</v>
      </c>
      <c r="AC1230" s="5" t="str">
        <f ca="1">IFERROR(__xludf.DUMMYFUNCTION("""COMPUTED_VALUE"""),"No")</f>
        <v>No</v>
      </c>
      <c r="AD1230" s="5" t="str">
        <f ca="1">IFERROR(__xludf.DUMMYFUNCTION("""COMPUTED_VALUE"""),"Yes")</f>
        <v>Yes</v>
      </c>
      <c r="AE1230" s="5" t="str">
        <f ca="1">IFERROR(__xludf.DUMMYFUNCTION("""COMPUTED_VALUE"""),"No")</f>
        <v>No</v>
      </c>
      <c r="AF1230" s="5" t="str">
        <f ca="1">IFERROR(__xludf.DUMMYFUNCTION("""COMPUTED_VALUE"""),"No")</f>
        <v>No</v>
      </c>
      <c r="AG1230" s="5" t="str">
        <f ca="1">IFERROR(__xludf.DUMMYFUNCTION("""COMPUTED_VALUE"""),"Yes")</f>
        <v>Yes</v>
      </c>
      <c r="AH1230" s="5" t="str">
        <f ca="1">IFERROR(__xludf.DUMMYFUNCTION("""COMPUTED_VALUE"""),"No")</f>
        <v>No</v>
      </c>
      <c r="AI1230" s="5" t="str">
        <f ca="1">IFERROR(__xludf.DUMMYFUNCTION("""COMPUTED_VALUE"""),"No")</f>
        <v>No</v>
      </c>
      <c r="AJ1230" s="5" t="str">
        <f ca="1">IFERROR(__xludf.DUMMYFUNCTION("""COMPUTED_VALUE"""),"Yes")</f>
        <v>Yes</v>
      </c>
    </row>
    <row r="1231" spans="1:36" ht="13">
      <c r="A1231" s="5" t="str">
        <f ca="1">IFERROR(__xludf.DUMMYFUNCTION("""COMPUTED_VALUE"""),"20120827MDPEP")</f>
        <v>20120827MDPEP</v>
      </c>
      <c r="B1231" s="5">
        <f ca="1">IFERROR(__xludf.DUMMYFUNCTION("""COMPUTED_VALUE"""),8)</f>
        <v>8</v>
      </c>
      <c r="C1231" s="5">
        <f ca="1">IFERROR(__xludf.DUMMYFUNCTION("""COMPUTED_VALUE"""),27)</f>
        <v>27</v>
      </c>
      <c r="D1231" s="5">
        <f ca="1">IFERROR(__xludf.DUMMYFUNCTION("""COMPUTED_VALUE"""),2012)</f>
        <v>2012</v>
      </c>
      <c r="E1231" s="8">
        <f ca="1">IFERROR(__xludf.DUMMYFUNCTION("""COMPUTED_VALUE"""),41148)</f>
        <v>41148</v>
      </c>
      <c r="F1231" s="5" t="str">
        <f ca="1">IFERROR(__xludf.DUMMYFUNCTION("""COMPUTED_VALUE"""),"Perry Hall High School")</f>
        <v>Perry Hall High School</v>
      </c>
      <c r="G1231" s="5">
        <f ca="1">IFERROR(__xludf.DUMMYFUNCTION("""COMPUTED_VALUE"""),0)</f>
        <v>0</v>
      </c>
      <c r="H1231" s="5">
        <f ca="1">IFERROR(__xludf.DUMMYFUNCTION("""COMPUTED_VALUE"""),1)</f>
        <v>1</v>
      </c>
      <c r="I1231" s="5">
        <f ca="1">IFERROR(__xludf.DUMMYFUNCTION("""COMPUTED_VALUE"""),1)</f>
        <v>1</v>
      </c>
      <c r="J1231" s="5">
        <f ca="1">IFERROR(__xludf.DUMMYFUNCTION("""COMPUTED_VALUE"""),0)</f>
        <v>0</v>
      </c>
      <c r="K1231" s="5" t="str">
        <f ca="1">IFERROR(__xludf.DUMMYFUNCTION("""COMPUTED_VALUE"""),"http://www.baltimoresun.com/news/maryland/baltimore-county/perry-hall/bs-md-gladden-sentencing-20130225-story.html https://www.fbi.gov/file-repository/active-shooter-incidents-2000-2017.pdf")</f>
        <v>http://www.baltimoresun.com/news/maryland/baltimore-county/perry-hall/bs-md-gladden-sentencing-20130225-story.html https://www.fbi.gov/file-repository/active-shooter-incidents-2000-2017.pdf</v>
      </c>
      <c r="L1231" s="5">
        <f ca="1">IFERROR(__xludf.DUMMYFUNCTION("""COMPUTED_VALUE"""),100)</f>
        <v>100</v>
      </c>
      <c r="M1231" s="5" t="str">
        <f ca="1">IFERROR(__xludf.DUMMYFUNCTION("""COMPUTED_VALUE"""),"International")</f>
        <v>International</v>
      </c>
      <c r="N1231" s="5">
        <f ca="1">IFERROR(__xludf.DUMMYFUNCTION("""COMPUTED_VALUE"""),5)</f>
        <v>5</v>
      </c>
      <c r="O1231" s="5" t="str">
        <f ca="1">IFERROR(__xludf.DUMMYFUNCTION("""COMPUTED_VALUE"""),"Summer")</f>
        <v>Summer</v>
      </c>
      <c r="P1231" s="5" t="str">
        <f ca="1">IFERROR(__xludf.DUMMYFUNCTION("""COMPUTED_VALUE"""),"Perry Hall")</f>
        <v>Perry Hall</v>
      </c>
      <c r="Q1231" s="5" t="str">
        <f ca="1">IFERROR(__xludf.DUMMYFUNCTION("""COMPUTED_VALUE"""),"MD")</f>
        <v>MD</v>
      </c>
      <c r="R1231" s="5" t="str">
        <f ca="1">IFERROR(__xludf.DUMMYFUNCTION("""COMPUTED_VALUE"""),"High")</f>
        <v>High</v>
      </c>
      <c r="S1231" s="5" t="str">
        <f ca="1">IFERROR(__xludf.DUMMYFUNCTION("""COMPUTED_VALUE"""),"Cafeteria")</f>
        <v>Cafeteria</v>
      </c>
      <c r="T1231" s="5" t="str">
        <f ca="1">IFERROR(__xludf.DUMMYFUNCTION("""COMPUTED_VALUE"""),"Inside School Building")</f>
        <v>Inside School Building</v>
      </c>
      <c r="U1231" s="5" t="str">
        <f ca="1">IFERROR(__xludf.DUMMYFUNCTION("""COMPUTED_VALUE"""),"Yes")</f>
        <v>Yes</v>
      </c>
      <c r="V1231" s="5" t="str">
        <f ca="1">IFERROR(__xludf.DUMMYFUNCTION("""COMPUTED_VALUE"""),"Morning Classes")</f>
        <v>Morning Classes</v>
      </c>
      <c r="W1231" s="10">
        <f ca="1">IFERROR(__xludf.DUMMYFUNCTION("""COMPUTED_VALUE"""),0.447916666666666)</f>
        <v>0.44791666666666602</v>
      </c>
      <c r="X1231" s="5">
        <f ca="1">IFERROR(__xludf.DUMMYFUNCTION("""COMPUTED_VALUE"""),1)</f>
        <v>1</v>
      </c>
      <c r="Y1231" s="5" t="str">
        <f ca="1">IFERROR(__xludf.DUMMYFUNCTION("""COMPUTED_VALUE"""),"Fired shotgun in cafeteria, tackled by school employee and other students")</f>
        <v>Fired shotgun in cafeteria, tackled by school employee and other students</v>
      </c>
      <c r="Z1231" s="5" t="str">
        <f ca="1">IFERROR(__xludf.DUMMYFUNCTION("""COMPUTED_VALUE"""),"Shooter fired shotgun in the cafeteria at the start of the school day and hit a special needs student in the back. A school guidance counselor attempted to subdue him and a 2nd shot was fired in the ceiling. Many members of the staffed rushed and the SRO "&amp;"subdued him. Allegedly, shooter attended morning classes, went to the restroom where he assembled a 12-gauge shotgun and headed to the cafeteria. Most students were still in class and went on lockdown. Shooter brought 21 rounds of ammunition and a bottle "&amp;"of vodka to school as well. Suspect posted on social media the morning of the shooting. Shooter talked on a recorded phone from the jail about wishing he was at Sandy Hook and not caring if his victims die. Students reported that shooter bullied other stu"&amp;"dents. Shooter reported he meant to kill more people, and that ""he'd been having suicidal thought for over 6 years, not because he hates himself but because he doesn't like people and he doesn't see the point in life since we die in the end"". Parents ha"&amp;"d been divorced and there have been suicides in the family but judge threw out mental health claims. Sentenced as an adult to 35 years in prison. Police searched shooter's home and found 11 guns, including shotguns, rifles, a 9mm handgun and two antique p"&amp;"istols, and police also found marijuana. Shooter's father had a criminal past too. In 2010 police executed a search warrant at his home, looking for drugs and guns. Police seized a 12-gauge shotgun, along with marijuana, and prosecutors later sought the f"&amp;"orfeiture of the shotgun and a .45-caliber handgun. Shooter's stepfather is facing charges for illegal gun possession, as he had previous grand theft charges, and drug possession.")</f>
        <v>Shooter fired shotgun in the cafeteria at the start of the school day and hit a special needs student in the back. A school guidance counselor attempted to subdue him and a 2nd shot was fired in the ceiling. Many members of the staffed rushed and the SRO subdued him. Allegedly, shooter attended morning classes, went to the restroom where he assembled a 12-gauge shotgun and headed to the cafeteria. Most students were still in class and went on lockdown. Shooter brought 21 rounds of ammunition and a bottle of vodka to school as well. Suspect posted on social media the morning of the shooting. Shooter talked on a recorded phone from the jail about wishing he was at Sandy Hook and not caring if his victims die. Students reported that shooter bullied other students. Shooter reported he meant to kill more people, and that "he'd been having suicidal thought for over 6 years, not because he hates himself but because he doesn't like people and he doesn't see the point in life since we die in the end". Parents had been divorced and there have been suicides in the family but judge threw out mental health claims. Sentenced as an adult to 35 years in prison. Police searched shooter's home and found 11 guns, including shotguns, rifles, a 9mm handgun and two antique pistols, and police also found marijuana. Shooter's father had a criminal past too. In 2010 police executed a search warrant at his home, looking for drugs and guns. Police seized a 12-gauge shotgun, along with marijuana, and prosecutors later sought the forfeiture of the shotgun and a .45-caliber handgun. Shooter's stepfather is facing charges for illegal gun possession, as he had previous grand theft charges, and drug possession.</v>
      </c>
      <c r="AA1231" s="5" t="str">
        <f ca="1">IFERROR(__xludf.DUMMYFUNCTION("""COMPUTED_VALUE"""),"Indiscriminate Shooting")</f>
        <v>Indiscriminate Shooting</v>
      </c>
      <c r="AB1231" s="5" t="str">
        <f ca="1">IFERROR(__xludf.DUMMYFUNCTION("""COMPUTED_VALUE"""),"Random Shooting")</f>
        <v>Random Shooting</v>
      </c>
      <c r="AC1231" s="5" t="str">
        <f ca="1">IFERROR(__xludf.DUMMYFUNCTION("""COMPUTED_VALUE"""),"No")</f>
        <v>No</v>
      </c>
      <c r="AD1231" s="5" t="str">
        <f ca="1">IFERROR(__xludf.DUMMYFUNCTION("""COMPUTED_VALUE"""),"No")</f>
        <v>No</v>
      </c>
      <c r="AE1231" s="5" t="str">
        <f ca="1">IFERROR(__xludf.DUMMYFUNCTION("""COMPUTED_VALUE"""),"No")</f>
        <v>No</v>
      </c>
      <c r="AF1231" s="5" t="str">
        <f ca="1">IFERROR(__xludf.DUMMYFUNCTION("""COMPUTED_VALUE"""),"No")</f>
        <v>No</v>
      </c>
      <c r="AG1231" s="5" t="str">
        <f ca="1">IFERROR(__xludf.DUMMYFUNCTION("""COMPUTED_VALUE"""),"No")</f>
        <v>No</v>
      </c>
      <c r="AH1231" s="5" t="str">
        <f ca="1">IFERROR(__xludf.DUMMYFUNCTION("""COMPUTED_VALUE"""),"No")</f>
        <v>No</v>
      </c>
      <c r="AI1231" s="5" t="str">
        <f ca="1">IFERROR(__xludf.DUMMYFUNCTION("""COMPUTED_VALUE"""),"No")</f>
        <v>No</v>
      </c>
      <c r="AJ1231" s="5" t="str">
        <f ca="1">IFERROR(__xludf.DUMMYFUNCTION("""COMPUTED_VALUE"""),"Yes")</f>
        <v>Yes</v>
      </c>
    </row>
    <row r="1232" spans="1:36" ht="13">
      <c r="A1232" s="5" t="str">
        <f ca="1">IFERROR(__xludf.DUMMYFUNCTION("""COMPUTED_VALUE"""),"20120824GABAH")</f>
        <v>20120824GABAH</v>
      </c>
      <c r="B1232" s="5">
        <f ca="1">IFERROR(__xludf.DUMMYFUNCTION("""COMPUTED_VALUE"""),8)</f>
        <v>8</v>
      </c>
      <c r="C1232" s="5">
        <f ca="1">IFERROR(__xludf.DUMMYFUNCTION("""COMPUTED_VALUE"""),24)</f>
        <v>24</v>
      </c>
      <c r="D1232" s="5">
        <f ca="1">IFERROR(__xludf.DUMMYFUNCTION("""COMPUTED_VALUE"""),2012)</f>
        <v>2012</v>
      </c>
      <c r="E1232" s="8">
        <f ca="1">IFERROR(__xludf.DUMMYFUNCTION("""COMPUTED_VALUE"""),41145)</f>
        <v>41145</v>
      </c>
      <c r="F1232" s="5" t="str">
        <f ca="1">IFERROR(__xludf.DUMMYFUNCTION("""COMPUTED_VALUE"""),"Banks County High School")</f>
        <v>Banks County High School</v>
      </c>
      <c r="G1232" s="5">
        <f ca="1">IFERROR(__xludf.DUMMYFUNCTION("""COMPUTED_VALUE"""),0)</f>
        <v>0</v>
      </c>
      <c r="H1232" s="5">
        <f ca="1">IFERROR(__xludf.DUMMYFUNCTION("""COMPUTED_VALUE"""),0)</f>
        <v>0</v>
      </c>
      <c r="I1232" s="5">
        <f ca="1">IFERROR(__xludf.DUMMYFUNCTION("""COMPUTED_VALUE"""),0)</f>
        <v>0</v>
      </c>
      <c r="J1232" s="5">
        <f ca="1">IFERROR(__xludf.DUMMYFUNCTION("""COMPUTED_VALUE"""),1)</f>
        <v>1</v>
      </c>
      <c r="K1232" s="9" t="str">
        <f ca="1">IFERROR(__xludf.DUMMYFUNCTION("""COMPUTED_VALUE"""),"https://921wlhr.com/banks-county-hs-students-mourn-loss-of-two-classmates/")</f>
        <v>https://921wlhr.com/banks-county-hs-students-mourn-loss-of-two-classmates/</v>
      </c>
      <c r="L1232" s="5"/>
      <c r="M1232" s="5"/>
      <c r="N1232" s="5">
        <f ca="1">IFERROR(__xludf.DUMMYFUNCTION("""COMPUTED_VALUE"""),3)</f>
        <v>3</v>
      </c>
      <c r="O1232" s="5" t="str">
        <f ca="1">IFERROR(__xludf.DUMMYFUNCTION("""COMPUTED_VALUE"""),"Summer")</f>
        <v>Summer</v>
      </c>
      <c r="P1232" s="5" t="str">
        <f ca="1">IFERROR(__xludf.DUMMYFUNCTION("""COMPUTED_VALUE"""),"Homer")</f>
        <v>Homer</v>
      </c>
      <c r="Q1232" s="5" t="str">
        <f ca="1">IFERROR(__xludf.DUMMYFUNCTION("""COMPUTED_VALUE"""),"GA")</f>
        <v>GA</v>
      </c>
      <c r="R1232" s="5" t="str">
        <f ca="1">IFERROR(__xludf.DUMMYFUNCTION("""COMPUTED_VALUE"""),"High")</f>
        <v>High</v>
      </c>
      <c r="S1232" s="5" t="str">
        <f ca="1">IFERROR(__xludf.DUMMYFUNCTION("""COMPUTED_VALUE"""),"Bathroom")</f>
        <v>Bathroom</v>
      </c>
      <c r="T1232" s="5" t="str">
        <f ca="1">IFERROR(__xludf.DUMMYFUNCTION("""COMPUTED_VALUE"""),"Inside School Building")</f>
        <v>Inside School Building</v>
      </c>
      <c r="U1232" s="5" t="str">
        <f ca="1">IFERROR(__xludf.DUMMYFUNCTION("""COMPUTED_VALUE"""),"Yes")</f>
        <v>Yes</v>
      </c>
      <c r="V1232" s="5" t="str">
        <f ca="1">IFERROR(__xludf.DUMMYFUNCTION("""COMPUTED_VALUE"""),"Morning Classes")</f>
        <v>Morning Classes</v>
      </c>
      <c r="W1232" s="10">
        <f ca="1">IFERROR(__xludf.DUMMYFUNCTION("""COMPUTED_VALUE"""),0.333333333333333)</f>
        <v>0.33333333333333298</v>
      </c>
      <c r="X1232" s="5">
        <f ca="1">IFERROR(__xludf.DUMMYFUNCTION("""COMPUTED_VALUE"""),1)</f>
        <v>1</v>
      </c>
      <c r="Y1232" s="5" t="str">
        <f ca="1">IFERROR(__xludf.DUMMYFUNCTION("""COMPUTED_VALUE"""),"15 YOM student shot self in school bathroom")</f>
        <v>15 YOM student shot self in school bathroom</v>
      </c>
      <c r="Z1232" s="5" t="str">
        <f ca="1">IFERROR(__xludf.DUMMYFUNCTION("""COMPUTED_VALUE"""),"15 YOM student shot self in head in school bathroom. School officials described the students as being very troubled for a long time. School was locked down for 4 hours following shooting.")</f>
        <v>15 YOM student shot self in head in school bathroom. School officials described the students as being very troubled for a long time. School was locked down for 4 hours following shooting.</v>
      </c>
      <c r="AA1232" s="5" t="str">
        <f ca="1">IFERROR(__xludf.DUMMYFUNCTION("""COMPUTED_VALUE"""),"Suicide/Attempted")</f>
        <v>Suicide/Attempted</v>
      </c>
      <c r="AB1232" s="5" t="str">
        <f ca="1">IFERROR(__xludf.DUMMYFUNCTION("""COMPUTED_VALUE"""),"Victims Targeted")</f>
        <v>Victims Targeted</v>
      </c>
      <c r="AC1232" s="5" t="str">
        <f ca="1">IFERROR(__xludf.DUMMYFUNCTION("""COMPUTED_VALUE"""),"No")</f>
        <v>No</v>
      </c>
      <c r="AD1232" s="5" t="str">
        <f ca="1">IFERROR(__xludf.DUMMYFUNCTION("""COMPUTED_VALUE"""),"No")</f>
        <v>No</v>
      </c>
      <c r="AE1232" s="5" t="str">
        <f ca="1">IFERROR(__xludf.DUMMYFUNCTION("""COMPUTED_VALUE"""),"No")</f>
        <v>No</v>
      </c>
      <c r="AF1232" s="5" t="str">
        <f ca="1">IFERROR(__xludf.DUMMYFUNCTION("""COMPUTED_VALUE"""),"No")</f>
        <v>No</v>
      </c>
      <c r="AG1232" s="5"/>
      <c r="AH1232" s="5" t="str">
        <f ca="1">IFERROR(__xludf.DUMMYFUNCTION("""COMPUTED_VALUE"""),"No")</f>
        <v>No</v>
      </c>
      <c r="AI1232" s="5" t="str">
        <f ca="1">IFERROR(__xludf.DUMMYFUNCTION("""COMPUTED_VALUE"""),"No")</f>
        <v>No</v>
      </c>
      <c r="AJ1232" s="5"/>
    </row>
    <row r="1233" spans="1:36" ht="13">
      <c r="A1233" s="5" t="str">
        <f ca="1">IFERROR(__xludf.DUMMYFUNCTION("""COMPUTED_VALUE"""),"20120816TNHAM")</f>
        <v>20120816TNHAM</v>
      </c>
      <c r="B1233" s="5">
        <f ca="1">IFERROR(__xludf.DUMMYFUNCTION("""COMPUTED_VALUE"""),8)</f>
        <v>8</v>
      </c>
      <c r="C1233" s="5">
        <f ca="1">IFERROR(__xludf.DUMMYFUNCTION("""COMPUTED_VALUE"""),16)</f>
        <v>16</v>
      </c>
      <c r="D1233" s="5">
        <f ca="1">IFERROR(__xludf.DUMMYFUNCTION("""COMPUTED_VALUE"""),2012)</f>
        <v>2012</v>
      </c>
      <c r="E1233" s="8">
        <f ca="1">IFERROR(__xludf.DUMMYFUNCTION("""COMPUTED_VALUE"""),41137)</f>
        <v>41137</v>
      </c>
      <c r="F1233" s="5" t="str">
        <f ca="1">IFERROR(__xludf.DUMMYFUNCTION("""COMPUTED_VALUE"""),"Hamilton High School")</f>
        <v>Hamilton High School</v>
      </c>
      <c r="G1233" s="5">
        <f ca="1">IFERROR(__xludf.DUMMYFUNCTION("""COMPUTED_VALUE"""),0)</f>
        <v>0</v>
      </c>
      <c r="H1233" s="5">
        <f ca="1">IFERROR(__xludf.DUMMYFUNCTION("""COMPUTED_VALUE"""),0)</f>
        <v>0</v>
      </c>
      <c r="I1233" s="5">
        <f ca="1">IFERROR(__xludf.DUMMYFUNCTION("""COMPUTED_VALUE"""),0)</f>
        <v>0</v>
      </c>
      <c r="J1233" s="5">
        <f ca="1">IFERROR(__xludf.DUMMYFUNCTION("""COMPUTED_VALUE"""),0)</f>
        <v>0</v>
      </c>
      <c r="K1233" s="9" t="str">
        <f ca="1">IFERROR(__xludf.DUMMYFUNCTION("""COMPUTED_VALUE"""),"http://www.wmcactionnews5.com/story/19307558/students-shot-at-outside-memphis-high-school")</f>
        <v>http://www.wmcactionnews5.com/story/19307558/students-shot-at-outside-memphis-high-school</v>
      </c>
      <c r="L1233" s="5">
        <f ca="1">IFERROR(__xludf.DUMMYFUNCTION("""COMPUTED_VALUE"""),1)</f>
        <v>1</v>
      </c>
      <c r="M1233" s="5" t="str">
        <f ca="1">IFERROR(__xludf.DUMMYFUNCTION("""COMPUTED_VALUE"""),"Local")</f>
        <v>Local</v>
      </c>
      <c r="N1233" s="5">
        <f ca="1">IFERROR(__xludf.DUMMYFUNCTION("""COMPUTED_VALUE"""),2)</f>
        <v>2</v>
      </c>
      <c r="O1233" s="5" t="str">
        <f ca="1">IFERROR(__xludf.DUMMYFUNCTION("""COMPUTED_VALUE"""),"Summer")</f>
        <v>Summer</v>
      </c>
      <c r="P1233" s="5" t="str">
        <f ca="1">IFERROR(__xludf.DUMMYFUNCTION("""COMPUTED_VALUE"""),"Memphis")</f>
        <v>Memphis</v>
      </c>
      <c r="Q1233" s="5" t="str">
        <f ca="1">IFERROR(__xludf.DUMMYFUNCTION("""COMPUTED_VALUE"""),"TN")</f>
        <v>TN</v>
      </c>
      <c r="R1233" s="5" t="str">
        <f ca="1">IFERROR(__xludf.DUMMYFUNCTION("""COMPUTED_VALUE"""),"High")</f>
        <v>High</v>
      </c>
      <c r="S1233" s="5" t="str">
        <f ca="1">IFERROR(__xludf.DUMMYFUNCTION("""COMPUTED_VALUE"""),"Front of School")</f>
        <v>Front of School</v>
      </c>
      <c r="T1233" s="5" t="str">
        <f ca="1">IFERROR(__xludf.DUMMYFUNCTION("""COMPUTED_VALUE"""),"Outside on School Property")</f>
        <v>Outside on School Property</v>
      </c>
      <c r="U1233" s="5" t="str">
        <f ca="1">IFERROR(__xludf.DUMMYFUNCTION("""COMPUTED_VALUE"""),"No")</f>
        <v>No</v>
      </c>
      <c r="V1233" s="5" t="str">
        <f ca="1">IFERROR(__xludf.DUMMYFUNCTION("""COMPUTED_VALUE"""),"Evening")</f>
        <v>Evening</v>
      </c>
      <c r="W1233" s="10">
        <f ca="1">IFERROR(__xludf.DUMMYFUNCTION("""COMPUTED_VALUE"""),0.708333333333333)</f>
        <v>0.70833333333333304</v>
      </c>
      <c r="X1233" s="5">
        <f ca="1">IFERROR(__xludf.DUMMYFUNCTION("""COMPUTED_VALUE"""),1)</f>
        <v>1</v>
      </c>
      <c r="Y1233" s="5" t="str">
        <f ca="1">IFERROR(__xludf.DUMMYFUNCTION("""COMPUTED_VALUE"""),"Gang retaliation for prior incident")</f>
        <v>Gang retaliation for prior incident</v>
      </c>
      <c r="Z1233" s="5" t="str">
        <f ca="1">IFERROR(__xludf.DUMMYFUNCTION("""COMPUTED_VALUE"""),"Gang-related shooting (allegedly by ʺGrape Street Crips"") in retaliation for a shooting the previous week. Shots coming from across the street were fired at 2 students (allegedly ""Bloods"") but nobody was injured. Allegedly a member of the Crips later t"&amp;"old police the shooting was retaliation against a Bloods gang member. A lot of gang activity reported in the area.")</f>
        <v>Gang-related shooting (allegedly by ʺGrape Street Crips") in retaliation for a shooting the previous week. Shots coming from across the street were fired at 2 students (allegedly "Bloods") but nobody was injured. Allegedly a member of the Crips later told police the shooting was retaliation against a Bloods gang member. A lot of gang activity reported in the area.</v>
      </c>
      <c r="AA1233" s="5" t="str">
        <f ca="1">IFERROR(__xludf.DUMMYFUNCTION("""COMPUTED_VALUE"""),"Escalation of Dispute")</f>
        <v>Escalation of Dispute</v>
      </c>
      <c r="AB1233" s="5" t="str">
        <f ca="1">IFERROR(__xludf.DUMMYFUNCTION("""COMPUTED_VALUE"""),"Victims Targeted")</f>
        <v>Victims Targeted</v>
      </c>
      <c r="AC1233" s="5"/>
      <c r="AD1233" s="5" t="str">
        <f ca="1">IFERROR(__xludf.DUMMYFUNCTION("""COMPUTED_VALUE"""),"No")</f>
        <v>No</v>
      </c>
      <c r="AE1233" s="5" t="str">
        <f ca="1">IFERROR(__xludf.DUMMYFUNCTION("""COMPUTED_VALUE"""),"No")</f>
        <v>No</v>
      </c>
      <c r="AF1233" s="5" t="str">
        <f ca="1">IFERROR(__xludf.DUMMYFUNCTION("""COMPUTED_VALUE"""),"No")</f>
        <v>No</v>
      </c>
      <c r="AG1233" s="5" t="str">
        <f ca="1">IFERROR(__xludf.DUMMYFUNCTION("""COMPUTED_VALUE"""),"No")</f>
        <v>No</v>
      </c>
      <c r="AH1233" s="5" t="str">
        <f ca="1">IFERROR(__xludf.DUMMYFUNCTION("""COMPUTED_VALUE"""),"No")</f>
        <v>No</v>
      </c>
      <c r="AI1233" s="5" t="str">
        <f ca="1">IFERROR(__xludf.DUMMYFUNCTION("""COMPUTED_VALUE"""),"Yes")</f>
        <v>Yes</v>
      </c>
      <c r="AJ1233" s="5"/>
    </row>
    <row r="1234" spans="1:36" ht="13">
      <c r="A1234" s="5" t="str">
        <f ca="1">IFERROR(__xludf.DUMMYFUNCTION("""COMPUTED_VALUE"""),"20120706RINAP")</f>
        <v>20120706RINAP</v>
      </c>
      <c r="B1234" s="5">
        <f ca="1">IFERROR(__xludf.DUMMYFUNCTION("""COMPUTED_VALUE"""),7)</f>
        <v>7</v>
      </c>
      <c r="C1234" s="5">
        <f ca="1">IFERROR(__xludf.DUMMYFUNCTION("""COMPUTED_VALUE"""),6)</f>
        <v>6</v>
      </c>
      <c r="D1234" s="5">
        <f ca="1">IFERROR(__xludf.DUMMYFUNCTION("""COMPUTED_VALUE"""),2012)</f>
        <v>2012</v>
      </c>
      <c r="E1234" s="8">
        <f ca="1">IFERROR(__xludf.DUMMYFUNCTION("""COMPUTED_VALUE"""),41096)</f>
        <v>41096</v>
      </c>
      <c r="F1234" s="5" t="str">
        <f ca="1">IFERROR(__xludf.DUMMYFUNCTION("""COMPUTED_VALUE"""),"Nathaniel Greene Elementary School")</f>
        <v>Nathaniel Greene Elementary School</v>
      </c>
      <c r="G1234" s="5">
        <f ca="1">IFERROR(__xludf.DUMMYFUNCTION("""COMPUTED_VALUE"""),1)</f>
        <v>1</v>
      </c>
      <c r="H1234" s="5">
        <f ca="1">IFERROR(__xludf.DUMMYFUNCTION("""COMPUTED_VALUE"""),0)</f>
        <v>0</v>
      </c>
      <c r="I1234" s="5">
        <f ca="1">IFERROR(__xludf.DUMMYFUNCTION("""COMPUTED_VALUE"""),1)</f>
        <v>1</v>
      </c>
      <c r="J1234" s="5">
        <f ca="1">IFERROR(__xludf.DUMMYFUNCTION("""COMPUTED_VALUE"""),0)</f>
        <v>0</v>
      </c>
      <c r="K1234" s="9" t="str">
        <f ca="1">IFERROR(__xludf.DUMMYFUNCTION("""COMPUTED_VALUE"""),"https://www.abc6.com/story/18962837/pawtucket-police-investigate-shooting-behind-fire-station")</f>
        <v>https://www.abc6.com/story/18962837/pawtucket-police-investigate-shooting-behind-fire-station</v>
      </c>
      <c r="L1234" s="5"/>
      <c r="M1234" s="5"/>
      <c r="N1234" s="5">
        <f ca="1">IFERROR(__xludf.DUMMYFUNCTION("""COMPUTED_VALUE"""),3)</f>
        <v>3</v>
      </c>
      <c r="O1234" s="5" t="str">
        <f ca="1">IFERROR(__xludf.DUMMYFUNCTION("""COMPUTED_VALUE"""),"Summer")</f>
        <v>Summer</v>
      </c>
      <c r="P1234" s="5" t="str">
        <f ca="1">IFERROR(__xludf.DUMMYFUNCTION("""COMPUTED_VALUE"""),"Pawtucket")</f>
        <v>Pawtucket</v>
      </c>
      <c r="Q1234" s="5" t="str">
        <f ca="1">IFERROR(__xludf.DUMMYFUNCTION("""COMPUTED_VALUE"""),"RI")</f>
        <v>RI</v>
      </c>
      <c r="R1234" s="5" t="str">
        <f ca="1">IFERROR(__xludf.DUMMYFUNCTION("""COMPUTED_VALUE"""),"Elementary")</f>
        <v>Elementary</v>
      </c>
      <c r="S1234" s="5" t="str">
        <f ca="1">IFERROR(__xludf.DUMMYFUNCTION("""COMPUTED_VALUE"""),"Beside Building")</f>
        <v>Beside Building</v>
      </c>
      <c r="T1234" s="5" t="str">
        <f ca="1">IFERROR(__xludf.DUMMYFUNCTION("""COMPUTED_VALUE"""),"Outside on School Property")</f>
        <v>Outside on School Property</v>
      </c>
      <c r="U1234" s="5" t="str">
        <f ca="1">IFERROR(__xludf.DUMMYFUNCTION("""COMPUTED_VALUE"""),"No")</f>
        <v>No</v>
      </c>
      <c r="V1234" s="5" t="str">
        <f ca="1">IFERROR(__xludf.DUMMYFUNCTION("""COMPUTED_VALUE"""),"Night")</f>
        <v>Night</v>
      </c>
      <c r="W1234" s="10">
        <f ca="1">IFERROR(__xludf.DUMMYFUNCTION("""COMPUTED_VALUE"""),0.125)</f>
        <v>0.125</v>
      </c>
      <c r="X1234" s="5">
        <f ca="1">IFERROR(__xludf.DUMMYFUNCTION("""COMPUTED_VALUE"""),1)</f>
        <v>1</v>
      </c>
      <c r="Y1234" s="5" t="str">
        <f ca="1">IFERROR(__xludf.DUMMYFUNCTION("""COMPUTED_VALUE"""),"20YOM shot and killed behind school")</f>
        <v>20YOM shot and killed behind school</v>
      </c>
      <c r="Z1234" s="5" t="str">
        <f ca="1">IFERROR(__xludf.DUMMYFUNCTION("""COMPUTED_VALUE"""),"20YOM shot and killed by 20YOM behind elementary school following ongoing dispute with the shooter.")</f>
        <v>20YOM shot and killed by 20YOM behind elementary school following ongoing dispute with the shooter.</v>
      </c>
      <c r="AA1234" s="5" t="str">
        <f ca="1">IFERROR(__xludf.DUMMYFUNCTION("""COMPUTED_VALUE"""),"Escalation of Dispute")</f>
        <v>Escalation of Dispute</v>
      </c>
      <c r="AB1234" s="5" t="str">
        <f ca="1">IFERROR(__xludf.DUMMYFUNCTION("""COMPUTED_VALUE"""),"Victims Targeted")</f>
        <v>Victims Targeted</v>
      </c>
      <c r="AC1234" s="5" t="str">
        <f ca="1">IFERROR(__xludf.DUMMYFUNCTION("""COMPUTED_VALUE"""),"No")</f>
        <v>No</v>
      </c>
      <c r="AD1234" s="5" t="str">
        <f ca="1">IFERROR(__xludf.DUMMYFUNCTION("""COMPUTED_VALUE"""),"No")</f>
        <v>No</v>
      </c>
      <c r="AE1234" s="5" t="str">
        <f ca="1">IFERROR(__xludf.DUMMYFUNCTION("""COMPUTED_VALUE"""),"No")</f>
        <v>No</v>
      </c>
      <c r="AF1234" s="5" t="str">
        <f ca="1">IFERROR(__xludf.DUMMYFUNCTION("""COMPUTED_VALUE"""),"No")</f>
        <v>No</v>
      </c>
      <c r="AG1234" s="5" t="str">
        <f ca="1">IFERROR(__xludf.DUMMYFUNCTION("""COMPUTED_VALUE"""),"No")</f>
        <v>No</v>
      </c>
      <c r="AH1234" s="5" t="str">
        <f ca="1">IFERROR(__xludf.DUMMYFUNCTION("""COMPUTED_VALUE"""),"No")</f>
        <v>No</v>
      </c>
      <c r="AI1234" s="5" t="str">
        <f ca="1">IFERROR(__xludf.DUMMYFUNCTION("""COMPUTED_VALUE"""),"No")</f>
        <v>No</v>
      </c>
      <c r="AJ1234" s="5" t="str">
        <f ca="1">IFERROR(__xludf.DUMMYFUNCTION("""COMPUTED_VALUE"""),"No")</f>
        <v>No</v>
      </c>
    </row>
    <row r="1235" spans="1:36" ht="13">
      <c r="A1235" s="5" t="str">
        <f ca="1">IFERROR(__xludf.DUMMYFUNCTION("""COMPUTED_VALUE"""),"20120525NCMAC")</f>
        <v>20120525NCMAC</v>
      </c>
      <c r="B1235" s="5">
        <f ca="1">IFERROR(__xludf.DUMMYFUNCTION("""COMPUTED_VALUE"""),5)</f>
        <v>5</v>
      </c>
      <c r="C1235" s="5">
        <f ca="1">IFERROR(__xludf.DUMMYFUNCTION("""COMPUTED_VALUE"""),25)</f>
        <v>25</v>
      </c>
      <c r="D1235" s="5">
        <f ca="1">IFERROR(__xludf.DUMMYFUNCTION("""COMPUTED_VALUE"""),2012)</f>
        <v>2012</v>
      </c>
      <c r="E1235" s="8">
        <f ca="1">IFERROR(__xludf.DUMMYFUNCTION("""COMPUTED_VALUE"""),41054)</f>
        <v>41054</v>
      </c>
      <c r="F1235" s="5" t="str">
        <f ca="1">IFERROR(__xludf.DUMMYFUNCTION("""COMPUTED_VALUE"""),"Mary Scroggs Elementary School")</f>
        <v>Mary Scroggs Elementary School</v>
      </c>
      <c r="G1235" s="5">
        <f ca="1">IFERROR(__xludf.DUMMYFUNCTION("""COMPUTED_VALUE"""),1)</f>
        <v>1</v>
      </c>
      <c r="H1235" s="5">
        <f ca="1">IFERROR(__xludf.DUMMYFUNCTION("""COMPUTED_VALUE"""),0)</f>
        <v>0</v>
      </c>
      <c r="I1235" s="5">
        <f ca="1">IFERROR(__xludf.DUMMYFUNCTION("""COMPUTED_VALUE"""),1)</f>
        <v>1</v>
      </c>
      <c r="J1235" s="5">
        <f ca="1">IFERROR(__xludf.DUMMYFUNCTION("""COMPUTED_VALUE"""),0)</f>
        <v>0</v>
      </c>
      <c r="K1235" s="9" t="str">
        <f ca="1">IFERROR(__xludf.DUMMYFUNCTION("""COMPUTED_VALUE"""),"http://www.dailytarheel.com/article/2014/10/man-pleads-guilty-of-murder-in-scroggs-elementary-shooting")</f>
        <v>http://www.dailytarheel.com/article/2014/10/man-pleads-guilty-of-murder-in-scroggs-elementary-shooting</v>
      </c>
      <c r="L1235" s="5">
        <f ca="1">IFERROR(__xludf.DUMMYFUNCTION("""COMPUTED_VALUE"""),5)</f>
        <v>5</v>
      </c>
      <c r="M1235" s="5" t="str">
        <f ca="1">IFERROR(__xludf.DUMMYFUNCTION("""COMPUTED_VALUE"""),"Local")</f>
        <v>Local</v>
      </c>
      <c r="N1235" s="5">
        <f ca="1">IFERROR(__xludf.DUMMYFUNCTION("""COMPUTED_VALUE"""),3)</f>
        <v>3</v>
      </c>
      <c r="O1235" s="5" t="str">
        <f ca="1">IFERROR(__xludf.DUMMYFUNCTION("""COMPUTED_VALUE"""),"Spring")</f>
        <v>Spring</v>
      </c>
      <c r="P1235" s="5" t="str">
        <f ca="1">IFERROR(__xludf.DUMMYFUNCTION("""COMPUTED_VALUE"""),"Chapel Hill")</f>
        <v>Chapel Hill</v>
      </c>
      <c r="Q1235" s="5" t="str">
        <f ca="1">IFERROR(__xludf.DUMMYFUNCTION("""COMPUTED_VALUE"""),"NC")</f>
        <v>NC</v>
      </c>
      <c r="R1235" s="5" t="str">
        <f ca="1">IFERROR(__xludf.DUMMYFUNCTION("""COMPUTED_VALUE"""),"Elementary")</f>
        <v>Elementary</v>
      </c>
      <c r="S1235" s="5" t="str">
        <f ca="1">IFERROR(__xludf.DUMMYFUNCTION("""COMPUTED_VALUE"""),"Parking Lot")</f>
        <v>Parking Lot</v>
      </c>
      <c r="T1235" s="5" t="str">
        <f ca="1">IFERROR(__xludf.DUMMYFUNCTION("""COMPUTED_VALUE"""),"Outside on School Property")</f>
        <v>Outside on School Property</v>
      </c>
      <c r="U1235" s="5" t="str">
        <f ca="1">IFERROR(__xludf.DUMMYFUNCTION("""COMPUTED_VALUE"""),"Yes")</f>
        <v>Yes</v>
      </c>
      <c r="V1235" s="5" t="str">
        <f ca="1">IFERROR(__xludf.DUMMYFUNCTION("""COMPUTED_VALUE"""),"Dismissal")</f>
        <v>Dismissal</v>
      </c>
      <c r="W1235" s="10">
        <f ca="1">IFERROR(__xludf.DUMMYFUNCTION("""COMPUTED_VALUE"""),0.586111111111111)</f>
        <v>0.58611111111111103</v>
      </c>
      <c r="X1235" s="5">
        <f ca="1">IFERROR(__xludf.DUMMYFUNCTION("""COMPUTED_VALUE"""),1)</f>
        <v>1</v>
      </c>
      <c r="Y1235" s="5" t="str">
        <f ca="1">IFERROR(__xludf.DUMMYFUNCTION("""COMPUTED_VALUE"""),"Killed estranged wife at school")</f>
        <v>Killed estranged wife at school</v>
      </c>
      <c r="Z1235" s="5" t="str">
        <f ca="1">IFERROR(__xludf.DUMMYFUNCTION("""COMPUTED_VALUE"""),"Suspect shot his estranged wife in the face multiple times at the school where their children attended, as she was going to pick them up. In an earlier incident he allegedly trapped victim at home after she told him she wanted a divorce, but she escaped a"&amp;"nd went to the neighbors. Victim had obtained a domestic violence protective order against shooter and he was prohibited from possessing firearms. The protective order states that Cherfaoui had threatened to kill his wife if she took the children and said"&amp;" that he was willing to be a martyr for his children. Shooter and victim were involved in a divorce, custody and child support battle at the time of the shooting. Shooter is prohibited from contacting his children.")</f>
        <v>Suspect shot his estranged wife in the face multiple times at the school where their children attended, as she was going to pick them up. In an earlier incident he allegedly trapped victim at home after she told him she wanted a divorce, but she escaped and went to the neighbors. Victim had obtained a domestic violence protective order against shooter and he was prohibited from possessing firearms. The protective order states that Cherfaoui had threatened to kill his wife if she took the children and said that he was willing to be a martyr for his children. Shooter and victim were involved in a divorce, custody and child support battle at the time of the shooting. Shooter is prohibited from contacting his children.</v>
      </c>
      <c r="AA1235" s="5" t="str">
        <f ca="1">IFERROR(__xludf.DUMMYFUNCTION("""COMPUTED_VALUE"""),"Domestic w/ Targeted Victim")</f>
        <v>Domestic w/ Targeted Victim</v>
      </c>
      <c r="AB1235" s="5" t="str">
        <f ca="1">IFERROR(__xludf.DUMMYFUNCTION("""COMPUTED_VALUE"""),"Victims Targeted")</f>
        <v>Victims Targeted</v>
      </c>
      <c r="AC1235" s="5" t="str">
        <f ca="1">IFERROR(__xludf.DUMMYFUNCTION("""COMPUTED_VALUE"""),"No")</f>
        <v>No</v>
      </c>
      <c r="AD1235" s="5" t="str">
        <f ca="1">IFERROR(__xludf.DUMMYFUNCTION("""COMPUTED_VALUE"""),"No")</f>
        <v>No</v>
      </c>
      <c r="AE1235" s="5" t="str">
        <f ca="1">IFERROR(__xludf.DUMMYFUNCTION("""COMPUTED_VALUE"""),"No")</f>
        <v>No</v>
      </c>
      <c r="AF1235" s="5" t="str">
        <f ca="1">IFERROR(__xludf.DUMMYFUNCTION("""COMPUTED_VALUE"""),"No")</f>
        <v>No</v>
      </c>
      <c r="AG1235" s="5" t="str">
        <f ca="1">IFERROR(__xludf.DUMMYFUNCTION("""COMPUTED_VALUE"""),"No")</f>
        <v>No</v>
      </c>
      <c r="AH1235" s="5" t="str">
        <f ca="1">IFERROR(__xludf.DUMMYFUNCTION("""COMPUTED_VALUE"""),"Yes")</f>
        <v>Yes</v>
      </c>
      <c r="AI1235" s="5" t="str">
        <f ca="1">IFERROR(__xludf.DUMMYFUNCTION("""COMPUTED_VALUE"""),"No")</f>
        <v>No</v>
      </c>
      <c r="AJ1235" s="5"/>
    </row>
    <row r="1236" spans="1:36" ht="13">
      <c r="A1236" s="5" t="str">
        <f ca="1">IFERROR(__xludf.DUMMYFUNCTION("""COMPUTED_VALUE"""),"20120525AZWEA")</f>
        <v>20120525AZWEA</v>
      </c>
      <c r="B1236" s="5">
        <f ca="1">IFERROR(__xludf.DUMMYFUNCTION("""COMPUTED_VALUE"""),5)</f>
        <v>5</v>
      </c>
      <c r="C1236" s="5">
        <f ca="1">IFERROR(__xludf.DUMMYFUNCTION("""COMPUTED_VALUE"""),25)</f>
        <v>25</v>
      </c>
      <c r="D1236" s="5">
        <f ca="1">IFERROR(__xludf.DUMMYFUNCTION("""COMPUTED_VALUE"""),2012)</f>
        <v>2012</v>
      </c>
      <c r="E1236" s="8">
        <f ca="1">IFERROR(__xludf.DUMMYFUNCTION("""COMPUTED_VALUE"""),41054)</f>
        <v>41054</v>
      </c>
      <c r="F1236" s="5" t="str">
        <f ca="1">IFERROR(__xludf.DUMMYFUNCTION("""COMPUTED_VALUE"""),"West View High School")</f>
        <v>West View High School</v>
      </c>
      <c r="G1236" s="5">
        <f ca="1">IFERROR(__xludf.DUMMYFUNCTION("""COMPUTED_VALUE"""),1)</f>
        <v>1</v>
      </c>
      <c r="H1236" s="5">
        <f ca="1">IFERROR(__xludf.DUMMYFUNCTION("""COMPUTED_VALUE"""),0)</f>
        <v>0</v>
      </c>
      <c r="I1236" s="5">
        <f ca="1">IFERROR(__xludf.DUMMYFUNCTION("""COMPUTED_VALUE"""),1)</f>
        <v>1</v>
      </c>
      <c r="J1236" s="5">
        <f ca="1">IFERROR(__xludf.DUMMYFUNCTION("""COMPUTED_VALUE"""),0)</f>
        <v>0</v>
      </c>
      <c r="K1236" s="5" t="str">
        <f ca="1">IFERROR(__xludf.DUMMYFUNCTION("""COMPUTED_VALUE"""),"https://arizonadailyindependent.com/2013/10/12/man-sentenced-for-killing-girlfriend-in-avondale-school-parking-lot/; https://www.newspapers.com/image/517463636/?terms=shot%2Bin%2Bhigh%2Bschool%2Bparking%2Blot; https://www.newspapers.com/image/120972968/; "&amp;"https://www.dailymail.co.uk/news/article-2150456/Takesha-Barnes-Mother-killed-boyfriend-attends-daughters-graduation.html; https://casetext.com/case/state-v-moton-21")</f>
        <v>https://arizonadailyindependent.com/2013/10/12/man-sentenced-for-killing-girlfriend-in-avondale-school-parking-lot/; https://www.newspapers.com/image/517463636/?terms=shot%2Bin%2Bhigh%2Bschool%2Bparking%2Blot; https://www.newspapers.com/image/120972968/; https://www.dailymail.co.uk/news/article-2150456/Takesha-Barnes-Mother-killed-boyfriend-attends-daughters-graduation.html; https://casetext.com/case/state-v-moton-21</v>
      </c>
      <c r="L1236" s="5"/>
      <c r="M1236" s="5"/>
      <c r="N1236" s="5">
        <f ca="1">IFERROR(__xludf.DUMMYFUNCTION("""COMPUTED_VALUE"""),5)</f>
        <v>5</v>
      </c>
      <c r="O1236" s="5" t="str">
        <f ca="1">IFERROR(__xludf.DUMMYFUNCTION("""COMPUTED_VALUE"""),"Spring")</f>
        <v>Spring</v>
      </c>
      <c r="P1236" s="5" t="str">
        <f ca="1">IFERROR(__xludf.DUMMYFUNCTION("""COMPUTED_VALUE"""),"Avondale")</f>
        <v>Avondale</v>
      </c>
      <c r="Q1236" s="5" t="str">
        <f ca="1">IFERROR(__xludf.DUMMYFUNCTION("""COMPUTED_VALUE"""),"AZ")</f>
        <v>AZ</v>
      </c>
      <c r="R1236" s="5" t="str">
        <f ca="1">IFERROR(__xludf.DUMMYFUNCTION("""COMPUTED_VALUE"""),"High")</f>
        <v>High</v>
      </c>
      <c r="S1236" s="5" t="str">
        <f ca="1">IFERROR(__xludf.DUMMYFUNCTION("""COMPUTED_VALUE"""),"Parking Lot")</f>
        <v>Parking Lot</v>
      </c>
      <c r="T1236" s="5" t="str">
        <f ca="1">IFERROR(__xludf.DUMMYFUNCTION("""COMPUTED_VALUE"""),"Outside on School Property")</f>
        <v>Outside on School Property</v>
      </c>
      <c r="U1236" s="5" t="str">
        <f ca="1">IFERROR(__xludf.DUMMYFUNCTION("""COMPUTED_VALUE"""),"Yes")</f>
        <v>Yes</v>
      </c>
      <c r="V1236" s="5" t="str">
        <f ca="1">IFERROR(__xludf.DUMMYFUNCTION("""COMPUTED_VALUE"""),"School Event")</f>
        <v>School Event</v>
      </c>
      <c r="W1236" s="10">
        <f ca="1">IFERROR(__xludf.DUMMYFUNCTION("""COMPUTED_VALUE"""),0.579861111111111)</f>
        <v>0.57986111111111105</v>
      </c>
      <c r="X1236" s="5">
        <f ca="1">IFERROR(__xludf.DUMMYFUNCTION("""COMPUTED_VALUE"""),1)</f>
        <v>1</v>
      </c>
      <c r="Y1236" s="5" t="str">
        <f ca="1">IFERROR(__xludf.DUMMYFUNCTION("""COMPUTED_VALUE"""),"Domestic violence")</f>
        <v>Domestic violence</v>
      </c>
      <c r="Z1236" s="5" t="str">
        <f ca="1">IFERROR(__xludf.DUMMYFUNCTION("""COMPUTED_VALUE"""),"Victim was in relationship with shooter marred by domestic violence. Victim was at high school with her children attending 8th grade promotion ceremony for her daughter. Upon leaving victim asked security guard to escort her to her vehicle out of fear she"&amp;" would be attacked. While escorting, security guard saw shooter hiding behind cars - told victim to lock herself in her car and flee. Shooter pulled handgun from waistband and began chasing victim through parking lot. Victim got into vehicle but it wouldn"&amp;"'t start. Shooter walked to driver's side of vehicle and shot victim several times. He fled on motorcycle, was later arrested and sentenced.")</f>
        <v>Victim was in relationship with shooter marred by domestic violence. Victim was at high school with her children attending 8th grade promotion ceremony for her daughter. Upon leaving victim asked security guard to escort her to her vehicle out of fear she would be attacked. While escorting, security guard saw shooter hiding behind cars - told victim to lock herself in her car and flee. Shooter pulled handgun from waistband and began chasing victim through parking lot. Victim got into vehicle but it wouldn't start. Shooter walked to driver's side of vehicle and shot victim several times. He fled on motorcycle, was later arrested and sentenced.</v>
      </c>
      <c r="AA1236" s="5" t="str">
        <f ca="1">IFERROR(__xludf.DUMMYFUNCTION("""COMPUTED_VALUE"""),"Domestic w/ Targeted Victim")</f>
        <v>Domestic w/ Targeted Victim</v>
      </c>
      <c r="AB1236" s="5" t="str">
        <f ca="1">IFERROR(__xludf.DUMMYFUNCTION("""COMPUTED_VALUE"""),"Victims Targeted")</f>
        <v>Victims Targeted</v>
      </c>
      <c r="AC1236" s="5" t="str">
        <f ca="1">IFERROR(__xludf.DUMMYFUNCTION("""COMPUTED_VALUE"""),"No")</f>
        <v>No</v>
      </c>
      <c r="AD1236" s="5" t="str">
        <f ca="1">IFERROR(__xludf.DUMMYFUNCTION("""COMPUTED_VALUE"""),"No")</f>
        <v>No</v>
      </c>
      <c r="AE1236" s="5" t="str">
        <f ca="1">IFERROR(__xludf.DUMMYFUNCTION("""COMPUTED_VALUE"""),"No")</f>
        <v>No</v>
      </c>
      <c r="AF1236" s="5" t="str">
        <f ca="1">IFERROR(__xludf.DUMMYFUNCTION("""COMPUTED_VALUE"""),"No")</f>
        <v>No</v>
      </c>
      <c r="AG1236" s="5" t="str">
        <f ca="1">IFERROR(__xludf.DUMMYFUNCTION("""COMPUTED_VALUE"""),"No")</f>
        <v>No</v>
      </c>
      <c r="AH1236" s="5" t="str">
        <f ca="1">IFERROR(__xludf.DUMMYFUNCTION("""COMPUTED_VALUE"""),"Yes")</f>
        <v>Yes</v>
      </c>
      <c r="AI1236" s="5" t="str">
        <f ca="1">IFERROR(__xludf.DUMMYFUNCTION("""COMPUTED_VALUE"""),"No")</f>
        <v>No</v>
      </c>
      <c r="AJ1236" s="5" t="str">
        <f ca="1">IFERROR(__xludf.DUMMYFUNCTION("""COMPUTED_VALUE"""),"No")</f>
        <v>No</v>
      </c>
    </row>
    <row r="1237" spans="1:36" ht="13">
      <c r="A1237" s="5" t="str">
        <f ca="1">IFERROR(__xludf.DUMMYFUNCTION("""COMPUTED_VALUE"""),"20120401ARKIR")</f>
        <v>20120401ARKIR</v>
      </c>
      <c r="B1237" s="5">
        <f ca="1">IFERROR(__xludf.DUMMYFUNCTION("""COMPUTED_VALUE"""),4)</f>
        <v>4</v>
      </c>
      <c r="C1237" s="5">
        <f ca="1">IFERROR(__xludf.DUMMYFUNCTION("""COMPUTED_VALUE"""),1)</f>
        <v>1</v>
      </c>
      <c r="D1237" s="5">
        <f ca="1">IFERROR(__xludf.DUMMYFUNCTION("""COMPUTED_VALUE"""),2012)</f>
        <v>2012</v>
      </c>
      <c r="E1237" s="8">
        <f ca="1">IFERROR(__xludf.DUMMYFUNCTION("""COMPUTED_VALUE"""),41000)</f>
        <v>41000</v>
      </c>
      <c r="F1237" s="5" t="str">
        <f ca="1">IFERROR(__xludf.DUMMYFUNCTION("""COMPUTED_VALUE"""),"Kirksey Middle School")</f>
        <v>Kirksey Middle School</v>
      </c>
      <c r="G1237" s="5">
        <f ca="1">IFERROR(__xludf.DUMMYFUNCTION("""COMPUTED_VALUE"""),0)</f>
        <v>0</v>
      </c>
      <c r="H1237" s="5">
        <f ca="1">IFERROR(__xludf.DUMMYFUNCTION("""COMPUTED_VALUE"""),1)</f>
        <v>1</v>
      </c>
      <c r="I1237" s="5">
        <f ca="1">IFERROR(__xludf.DUMMYFUNCTION("""COMPUTED_VALUE"""),1)</f>
        <v>1</v>
      </c>
      <c r="J1237" s="5">
        <f ca="1">IFERROR(__xludf.DUMMYFUNCTION("""COMPUTED_VALUE"""),0)</f>
        <v>0</v>
      </c>
      <c r="K1237" s="5" t="str">
        <f ca="1">IFERROR(__xludf.DUMMYFUNCTION("""COMPUTED_VALUE"""),"https://5newsonline.com/2012/04/02/rogers-police-investigate-shooting/  http://www.arkansasonline.com/news/2012/apr/02/rogers-police-investigate-shooting/")</f>
        <v>https://5newsonline.com/2012/04/02/rogers-police-investigate-shooting/  http://www.arkansasonline.com/news/2012/apr/02/rogers-police-investigate-shooting/</v>
      </c>
      <c r="L1237" s="5">
        <f ca="1">IFERROR(__xludf.DUMMYFUNCTION("""COMPUTED_VALUE"""),1)</f>
        <v>1</v>
      </c>
      <c r="M1237" s="5" t="str">
        <f ca="1">IFERROR(__xludf.DUMMYFUNCTION("""COMPUTED_VALUE"""),"Local")</f>
        <v>Local</v>
      </c>
      <c r="N1237" s="5">
        <f ca="1">IFERROR(__xludf.DUMMYFUNCTION("""COMPUTED_VALUE"""),2)</f>
        <v>2</v>
      </c>
      <c r="O1237" s="5" t="str">
        <f ca="1">IFERROR(__xludf.DUMMYFUNCTION("""COMPUTED_VALUE"""),"Spring")</f>
        <v>Spring</v>
      </c>
      <c r="P1237" s="5" t="str">
        <f ca="1">IFERROR(__xludf.DUMMYFUNCTION("""COMPUTED_VALUE"""),"Rogers")</f>
        <v>Rogers</v>
      </c>
      <c r="Q1237" s="5" t="str">
        <f ca="1">IFERROR(__xludf.DUMMYFUNCTION("""COMPUTED_VALUE"""),"AR")</f>
        <v>AR</v>
      </c>
      <c r="R1237" s="5" t="str">
        <f ca="1">IFERROR(__xludf.DUMMYFUNCTION("""COMPUTED_VALUE"""),"Middle")</f>
        <v>Middle</v>
      </c>
      <c r="S1237" s="5" t="str">
        <f ca="1">IFERROR(__xludf.DUMMYFUNCTION("""COMPUTED_VALUE"""),"Parking Lot")</f>
        <v>Parking Lot</v>
      </c>
      <c r="T1237" s="5" t="str">
        <f ca="1">IFERROR(__xludf.DUMMYFUNCTION("""COMPUTED_VALUE"""),"Outside on School Property")</f>
        <v>Outside on School Property</v>
      </c>
      <c r="U1237" s="5" t="str">
        <f ca="1">IFERROR(__xludf.DUMMYFUNCTION("""COMPUTED_VALUE"""),"No")</f>
        <v>No</v>
      </c>
      <c r="V1237" s="5" t="str">
        <f ca="1">IFERROR(__xludf.DUMMYFUNCTION("""COMPUTED_VALUE"""),"Evening")</f>
        <v>Evening</v>
      </c>
      <c r="W1237" s="10">
        <f ca="1">IFERROR(__xludf.DUMMYFUNCTION("""COMPUTED_VALUE"""),0.915277777777777)</f>
        <v>0.91527777777777697</v>
      </c>
      <c r="X1237" s="5">
        <f ca="1">IFERROR(__xludf.DUMMYFUNCTION("""COMPUTED_VALUE"""),1)</f>
        <v>1</v>
      </c>
      <c r="Y1237" s="5" t="str">
        <f ca="1">IFERROR(__xludf.DUMMYFUNCTION("""COMPUTED_VALUE"""),"Fight in school parking lot")</f>
        <v>Fight in school parking lot</v>
      </c>
      <c r="Z1237" s="5" t="str">
        <f ca="1">IFERROR(__xludf.DUMMYFUNCTION("""COMPUTED_VALUE"""),"Shooter and victim met at the middle school parking lot to fight - during the fight, shooter shot several rounds, one of which hit victim in the foot. Victim was later taken to hospital, treated and released. Shooter was also taken to hospital after he wa"&amp;"s beaten up by others on the scene after firing shots. Shooter was eventually arrested and charged.")</f>
        <v>Shooter and victim met at the middle school parking lot to fight - during the fight, shooter shot several rounds, one of which hit victim in the foot. Victim was later taken to hospital, treated and released. Shooter was also taken to hospital after he was beaten up by others on the scene after firing shots. Shooter was eventually arrested and charged.</v>
      </c>
      <c r="AA1237" s="5" t="str">
        <f ca="1">IFERROR(__xludf.DUMMYFUNCTION("""COMPUTED_VALUE"""),"Escalation of Dispute")</f>
        <v>Escalation of Dispute</v>
      </c>
      <c r="AB1237" s="5" t="str">
        <f ca="1">IFERROR(__xludf.DUMMYFUNCTION("""COMPUTED_VALUE"""),"Both")</f>
        <v>Both</v>
      </c>
      <c r="AC1237" s="5" t="str">
        <f ca="1">IFERROR(__xludf.DUMMYFUNCTION("""COMPUTED_VALUE"""),"No")</f>
        <v>No</v>
      </c>
      <c r="AD1237" s="5" t="str">
        <f ca="1">IFERROR(__xludf.DUMMYFUNCTION("""COMPUTED_VALUE"""),"No")</f>
        <v>No</v>
      </c>
      <c r="AE1237" s="5" t="str">
        <f ca="1">IFERROR(__xludf.DUMMYFUNCTION("""COMPUTED_VALUE"""),"No")</f>
        <v>No</v>
      </c>
      <c r="AF1237" s="5" t="str">
        <f ca="1">IFERROR(__xludf.DUMMYFUNCTION("""COMPUTED_VALUE"""),"No")</f>
        <v>No</v>
      </c>
      <c r="AG1237" s="5" t="str">
        <f ca="1">IFERROR(__xludf.DUMMYFUNCTION("""COMPUTED_VALUE"""),"No")</f>
        <v>No</v>
      </c>
      <c r="AH1237" s="5" t="str">
        <f ca="1">IFERROR(__xludf.DUMMYFUNCTION("""COMPUTED_VALUE"""),"No")</f>
        <v>No</v>
      </c>
      <c r="AI1237" s="5" t="str">
        <f ca="1">IFERROR(__xludf.DUMMYFUNCTION("""COMPUTED_VALUE"""),"No")</f>
        <v>No</v>
      </c>
      <c r="AJ1237" s="5"/>
    </row>
    <row r="1238" spans="1:36" ht="13">
      <c r="A1238" s="5" t="str">
        <f ca="1">IFERROR(__xludf.DUMMYFUNCTION("""COMPUTED_VALUE"""),"20120315ALLEM")</f>
        <v>20120315ALLEM</v>
      </c>
      <c r="B1238" s="5">
        <f ca="1">IFERROR(__xludf.DUMMYFUNCTION("""COMPUTED_VALUE"""),3)</f>
        <v>3</v>
      </c>
      <c r="C1238" s="5">
        <f ca="1">IFERROR(__xludf.DUMMYFUNCTION("""COMPUTED_VALUE"""),15)</f>
        <v>15</v>
      </c>
      <c r="D1238" s="5">
        <f ca="1">IFERROR(__xludf.DUMMYFUNCTION("""COMPUTED_VALUE"""),2012)</f>
        <v>2012</v>
      </c>
      <c r="E1238" s="8">
        <f ca="1">IFERROR(__xludf.DUMMYFUNCTION("""COMPUTED_VALUE"""),40983)</f>
        <v>40983</v>
      </c>
      <c r="F1238" s="5" t="str">
        <f ca="1">IFERROR(__xludf.DUMMYFUNCTION("""COMPUTED_VALUE"""),"LeFlore High School")</f>
        <v>LeFlore High School</v>
      </c>
      <c r="G1238" s="5">
        <f ca="1">IFERROR(__xludf.DUMMYFUNCTION("""COMPUTED_VALUE"""),0)</f>
        <v>0</v>
      </c>
      <c r="H1238" s="5">
        <f ca="1">IFERROR(__xludf.DUMMYFUNCTION("""COMPUTED_VALUE"""),0)</f>
        <v>0</v>
      </c>
      <c r="I1238" s="5">
        <f ca="1">IFERROR(__xludf.DUMMYFUNCTION("""COMPUTED_VALUE"""),0)</f>
        <v>0</v>
      </c>
      <c r="J1238" s="5">
        <f ca="1">IFERROR(__xludf.DUMMYFUNCTION("""COMPUTED_VALUE"""),0)</f>
        <v>0</v>
      </c>
      <c r="K1238" s="5" t="str">
        <f ca="1">IFERROR(__xludf.DUMMYFUNCTION("""COMPUTED_VALUE"""),"http://blog.al.com/live/2013/06/mobile_teens_to_be_tried_as_ad.html  http://blog.al.com/live/2012/03/leflore_high_shooting_teen_arr.html  http://blog.al.com/live/2012/05/second_youth_charged_in_connec.html")</f>
        <v>http://blog.al.com/live/2013/06/mobile_teens_to_be_tried_as_ad.html  http://blog.al.com/live/2012/03/leflore_high_shooting_teen_arr.html  http://blog.al.com/live/2012/05/second_youth_charged_in_connec.html</v>
      </c>
      <c r="L1238" s="5">
        <f ca="1">IFERROR(__xludf.DUMMYFUNCTION("""COMPUTED_VALUE"""),1)</f>
        <v>1</v>
      </c>
      <c r="M1238" s="5" t="str">
        <f ca="1">IFERROR(__xludf.DUMMYFUNCTION("""COMPUTED_VALUE"""),"Local")</f>
        <v>Local</v>
      </c>
      <c r="N1238" s="5">
        <f ca="1">IFERROR(__xludf.DUMMYFUNCTION("""COMPUTED_VALUE"""),4)</f>
        <v>4</v>
      </c>
      <c r="O1238" s="5" t="str">
        <f ca="1">IFERROR(__xludf.DUMMYFUNCTION("""COMPUTED_VALUE"""),"Spring")</f>
        <v>Spring</v>
      </c>
      <c r="P1238" s="5" t="str">
        <f ca="1">IFERROR(__xludf.DUMMYFUNCTION("""COMPUTED_VALUE"""),"Mobile")</f>
        <v>Mobile</v>
      </c>
      <c r="Q1238" s="5" t="str">
        <f ca="1">IFERROR(__xludf.DUMMYFUNCTION("""COMPUTED_VALUE"""),"AL")</f>
        <v>AL</v>
      </c>
      <c r="R1238" s="5" t="str">
        <f ca="1">IFERROR(__xludf.DUMMYFUNCTION("""COMPUTED_VALUE"""),"High")</f>
        <v>High</v>
      </c>
      <c r="S1238" s="5" t="str">
        <f ca="1">IFERROR(__xludf.DUMMYFUNCTION("""COMPUTED_VALUE"""),"Parking Lot")</f>
        <v>Parking Lot</v>
      </c>
      <c r="T1238" s="5" t="str">
        <f ca="1">IFERROR(__xludf.DUMMYFUNCTION("""COMPUTED_VALUE"""),"Outside on School Property")</f>
        <v>Outside on School Property</v>
      </c>
      <c r="U1238" s="5" t="str">
        <f ca="1">IFERROR(__xludf.DUMMYFUNCTION("""COMPUTED_VALUE"""),"Yes")</f>
        <v>Yes</v>
      </c>
      <c r="V1238" s="5" t="str">
        <f ca="1">IFERROR(__xludf.DUMMYFUNCTION("""COMPUTED_VALUE"""),"Morning Classes")</f>
        <v>Morning Classes</v>
      </c>
      <c r="W1238" s="10">
        <f ca="1">IFERROR(__xludf.DUMMYFUNCTION("""COMPUTED_VALUE"""),0.451388888888888)</f>
        <v>0.45138888888888801</v>
      </c>
      <c r="X1238" s="5">
        <f ca="1">IFERROR(__xludf.DUMMYFUNCTION("""COMPUTED_VALUE"""),1)</f>
        <v>1</v>
      </c>
      <c r="Y1238" s="5" t="str">
        <f ca="1">IFERROR(__xludf.DUMMYFUNCTION("""COMPUTED_VALUE"""),"Targeted gang shooting in school")</f>
        <v>Targeted gang shooting in school</v>
      </c>
      <c r="Z1238" s="5" t="str">
        <f ca="1">IFERROR(__xludf.DUMMYFUNCTION("""COMPUTED_VALUE"""),"3 suspects dressed in the school uniforms entered school property. After locating the target they were after, they chased both him and another student trying to help get victim get away. One of the suspects shot at the victim several times but only hit a "&amp;"parked car. The suspects were later identified, and the shooter turned himself in. The judge in the case denied treating the shooter as a youthful offender because of his juvenile criminal record.")</f>
        <v>3 suspects dressed in the school uniforms entered school property. After locating the target they were after, they chased both him and another student trying to help get victim get away. One of the suspects shot at the victim several times but only hit a parked car. The suspects were later identified, and the shooter turned himself in. The judge in the case denied treating the shooter as a youthful offender because of his juvenile criminal record.</v>
      </c>
      <c r="AA1238" s="5" t="str">
        <f ca="1">IFERROR(__xludf.DUMMYFUNCTION("""COMPUTED_VALUE"""),"Escalation of Dispute")</f>
        <v>Escalation of Dispute</v>
      </c>
      <c r="AB1238" s="5" t="str">
        <f ca="1">IFERROR(__xludf.DUMMYFUNCTION("""COMPUTED_VALUE"""),"Victims Targeted")</f>
        <v>Victims Targeted</v>
      </c>
      <c r="AC1238" s="5" t="str">
        <f ca="1">IFERROR(__xludf.DUMMYFUNCTION("""COMPUTED_VALUE"""),"Yes")</f>
        <v>Yes</v>
      </c>
      <c r="AD1238" s="5" t="str">
        <f ca="1">IFERROR(__xludf.DUMMYFUNCTION("""COMPUTED_VALUE"""),"No")</f>
        <v>No</v>
      </c>
      <c r="AE1238" s="5" t="str">
        <f ca="1">IFERROR(__xludf.DUMMYFUNCTION("""COMPUTED_VALUE"""),"No")</f>
        <v>No</v>
      </c>
      <c r="AF1238" s="5" t="str">
        <f ca="1">IFERROR(__xludf.DUMMYFUNCTION("""COMPUTED_VALUE"""),"No")</f>
        <v>No</v>
      </c>
      <c r="AG1238" s="5" t="str">
        <f ca="1">IFERROR(__xludf.DUMMYFUNCTION("""COMPUTED_VALUE"""),"No")</f>
        <v>No</v>
      </c>
      <c r="AH1238" s="5" t="str">
        <f ca="1">IFERROR(__xludf.DUMMYFUNCTION("""COMPUTED_VALUE"""),"No")</f>
        <v>No</v>
      </c>
      <c r="AI1238" s="5" t="str">
        <f ca="1">IFERROR(__xludf.DUMMYFUNCTION("""COMPUTED_VALUE"""),"Yes")</f>
        <v>Yes</v>
      </c>
      <c r="AJ1238" s="5"/>
    </row>
    <row r="1239" spans="1:36" ht="13">
      <c r="A1239" s="5" t="str">
        <f ca="1">IFERROR(__xludf.DUMMYFUNCTION("""COMPUTED_VALUE"""),"20120306FLEPJ")</f>
        <v>20120306FLEPJ</v>
      </c>
      <c r="B1239" s="5">
        <f ca="1">IFERROR(__xludf.DUMMYFUNCTION("""COMPUTED_VALUE"""),3)</f>
        <v>3</v>
      </c>
      <c r="C1239" s="5">
        <f ca="1">IFERROR(__xludf.DUMMYFUNCTION("""COMPUTED_VALUE"""),6)</f>
        <v>6</v>
      </c>
      <c r="D1239" s="5">
        <f ca="1">IFERROR(__xludf.DUMMYFUNCTION("""COMPUTED_VALUE"""),2012)</f>
        <v>2012</v>
      </c>
      <c r="E1239" s="8">
        <f ca="1">IFERROR(__xludf.DUMMYFUNCTION("""COMPUTED_VALUE"""),40974)</f>
        <v>40974</v>
      </c>
      <c r="F1239" s="5" t="str">
        <f ca="1">IFERROR(__xludf.DUMMYFUNCTION("""COMPUTED_VALUE"""),"Episcopal School of Jacksonville")</f>
        <v>Episcopal School of Jacksonville</v>
      </c>
      <c r="G1239" s="5">
        <f ca="1">IFERROR(__xludf.DUMMYFUNCTION("""COMPUTED_VALUE"""),1)</f>
        <v>1</v>
      </c>
      <c r="H1239" s="5">
        <f ca="1">IFERROR(__xludf.DUMMYFUNCTION("""COMPUTED_VALUE"""),0)</f>
        <v>0</v>
      </c>
      <c r="I1239" s="5">
        <f ca="1">IFERROR(__xludf.DUMMYFUNCTION("""COMPUTED_VALUE"""),1)</f>
        <v>1</v>
      </c>
      <c r="J1239" s="5">
        <f ca="1">IFERROR(__xludf.DUMMYFUNCTION("""COMPUTED_VALUE"""),1)</f>
        <v>1</v>
      </c>
      <c r="K1239" s="5" t="str">
        <f ca="1">IFERROR(__xludf.DUMMYFUNCTION("""COMPUTED_VALUE"""),"http://www.jacksonville.com/article/20120420/NEWS/801254519 https://www.jacksonville.com/story/news/crime/2012/04/20/shane-no-no-new-details-episcopal-school-shooting/15869192007/")</f>
        <v>http://www.jacksonville.com/article/20120420/NEWS/801254519 https://www.jacksonville.com/story/news/crime/2012/04/20/shane-no-no-new-details-episcopal-school-shooting/15869192007/</v>
      </c>
      <c r="L1239" s="5">
        <f ca="1">IFERROR(__xludf.DUMMYFUNCTION("""COMPUTED_VALUE"""),11)</f>
        <v>11</v>
      </c>
      <c r="M1239" s="5" t="str">
        <f ca="1">IFERROR(__xludf.DUMMYFUNCTION("""COMPUTED_VALUE"""),"International")</f>
        <v>International</v>
      </c>
      <c r="N1239" s="5">
        <f ca="1">IFERROR(__xludf.DUMMYFUNCTION("""COMPUTED_VALUE"""),4)</f>
        <v>4</v>
      </c>
      <c r="O1239" s="5" t="str">
        <f ca="1">IFERROR(__xludf.DUMMYFUNCTION("""COMPUTED_VALUE"""),"Spring")</f>
        <v>Spring</v>
      </c>
      <c r="P1239" s="5" t="str">
        <f ca="1">IFERROR(__xludf.DUMMYFUNCTION("""COMPUTED_VALUE"""),"Jacksonville")</f>
        <v>Jacksonville</v>
      </c>
      <c r="Q1239" s="5" t="str">
        <f ca="1">IFERROR(__xludf.DUMMYFUNCTION("""COMPUTED_VALUE"""),"FL")</f>
        <v>FL</v>
      </c>
      <c r="R1239" s="5" t="str">
        <f ca="1">IFERROR(__xludf.DUMMYFUNCTION("""COMPUTED_VALUE"""),"Unknown")</f>
        <v>Unknown</v>
      </c>
      <c r="S1239" s="5" t="str">
        <f ca="1">IFERROR(__xludf.DUMMYFUNCTION("""COMPUTED_VALUE"""),"Office")</f>
        <v>Office</v>
      </c>
      <c r="T1239" s="5" t="str">
        <f ca="1">IFERROR(__xludf.DUMMYFUNCTION("""COMPUTED_VALUE"""),"Inside School Building")</f>
        <v>Inside School Building</v>
      </c>
      <c r="U1239" s="5" t="str">
        <f ca="1">IFERROR(__xludf.DUMMYFUNCTION("""COMPUTED_VALUE"""),"Yes")</f>
        <v>Yes</v>
      </c>
      <c r="V1239" s="5" t="str">
        <f ca="1">IFERROR(__xludf.DUMMYFUNCTION("""COMPUTED_VALUE"""),"Afternoon Classes")</f>
        <v>Afternoon Classes</v>
      </c>
      <c r="W1239" s="10">
        <f ca="1">IFERROR(__xludf.DUMMYFUNCTION("""COMPUTED_VALUE"""),0.552083333333333)</f>
        <v>0.55208333333333304</v>
      </c>
      <c r="X1239" s="5"/>
      <c r="Y1239" s="5" t="str">
        <f ca="1">IFERROR(__xludf.DUMMYFUNCTION("""COMPUTED_VALUE"""),"Fired teacher killed principal and self")</f>
        <v>Fired teacher killed principal and self</v>
      </c>
      <c r="Z1239" s="5" t="str">
        <f ca="1">IFERROR(__xludf.DUMMYFUNCTION("""COMPUTED_VALUE"""),"Teacher (shooter) was fired for incompetence earlier that day and returned to the school later, entering the principal's office through the unlocked back door. Shooter was carrying an AK-47, which he transported in a guitar case. He shot and killed the pr"&amp;"inciple and then killed himself. The other teacher in the room was not hurt. Police found 11 shell casings, a loaded rifle clip with 30 rounds inside and a plastic bag with 32 more bullets. Police searched his home and did not find any evidence for planni"&amp;"ng, only a gun show event circled on the calendar. Students reported he had talked about bringing guns to school. He was a Spanish teacher but had started teaching about Marxism and ranting during class.")</f>
        <v>Teacher (shooter) was fired for incompetence earlier that day and returned to the school later, entering the principal's office through the unlocked back door. Shooter was carrying an AK-47, which he transported in a guitar case. He shot and killed the principle and then killed himself. The other teacher in the room was not hurt. Police found 11 shell casings, a loaded rifle clip with 30 rounds inside and a plastic bag with 32 more bullets. Police searched his home and did not find any evidence for planning, only a gun show event circled on the calendar. Students reported he had talked about bringing guns to school. He was a Spanish teacher but had started teaching about Marxism and ranting during class.</v>
      </c>
      <c r="AA1239" s="5" t="str">
        <f ca="1">IFERROR(__xludf.DUMMYFUNCTION("""COMPUTED_VALUE"""),"Anger Over Grade/Suspension/Discipline")</f>
        <v>Anger Over Grade/Suspension/Discipline</v>
      </c>
      <c r="AB1239" s="5" t="str">
        <f ca="1">IFERROR(__xludf.DUMMYFUNCTION("""COMPUTED_VALUE"""),"Victims Targeted")</f>
        <v>Victims Targeted</v>
      </c>
      <c r="AC1239" s="5" t="str">
        <f ca="1">IFERROR(__xludf.DUMMYFUNCTION("""COMPUTED_VALUE"""),"No")</f>
        <v>No</v>
      </c>
      <c r="AD1239" s="5" t="str">
        <f ca="1">IFERROR(__xludf.DUMMYFUNCTION("""COMPUTED_VALUE"""),"No")</f>
        <v>No</v>
      </c>
      <c r="AE1239" s="5" t="str">
        <f ca="1">IFERROR(__xludf.DUMMYFUNCTION("""COMPUTED_VALUE"""),"No")</f>
        <v>No</v>
      </c>
      <c r="AF1239" s="5" t="str">
        <f ca="1">IFERROR(__xludf.DUMMYFUNCTION("""COMPUTED_VALUE"""),"No")</f>
        <v>No</v>
      </c>
      <c r="AG1239" s="5" t="str">
        <f ca="1">IFERROR(__xludf.DUMMYFUNCTION("""COMPUTED_VALUE"""),"No")</f>
        <v>No</v>
      </c>
      <c r="AH1239" s="5" t="str">
        <f ca="1">IFERROR(__xludf.DUMMYFUNCTION("""COMPUTED_VALUE"""),"No")</f>
        <v>No</v>
      </c>
      <c r="AI1239" s="5" t="str">
        <f ca="1">IFERROR(__xludf.DUMMYFUNCTION("""COMPUTED_VALUE"""),"No")</f>
        <v>No</v>
      </c>
      <c r="AJ1239" s="5" t="str">
        <f ca="1">IFERROR(__xludf.DUMMYFUNCTION("""COMPUTED_VALUE"""),"Yes")</f>
        <v>Yes</v>
      </c>
    </row>
    <row r="1240" spans="1:36" ht="13">
      <c r="A1240" s="5" t="str">
        <f ca="1">IFERROR(__xludf.DUMMYFUNCTION("""COMPUTED_VALUE"""),"20120227OHCHC")</f>
        <v>20120227OHCHC</v>
      </c>
      <c r="B1240" s="5">
        <f ca="1">IFERROR(__xludf.DUMMYFUNCTION("""COMPUTED_VALUE"""),2)</f>
        <v>2</v>
      </c>
      <c r="C1240" s="5">
        <f ca="1">IFERROR(__xludf.DUMMYFUNCTION("""COMPUTED_VALUE"""),27)</f>
        <v>27</v>
      </c>
      <c r="D1240" s="5">
        <f ca="1">IFERROR(__xludf.DUMMYFUNCTION("""COMPUTED_VALUE"""),2012)</f>
        <v>2012</v>
      </c>
      <c r="E1240" s="8">
        <f ca="1">IFERROR(__xludf.DUMMYFUNCTION("""COMPUTED_VALUE"""),40966)</f>
        <v>40966</v>
      </c>
      <c r="F1240" s="5" t="str">
        <f ca="1">IFERROR(__xludf.DUMMYFUNCTION("""COMPUTED_VALUE"""),"Chardon High School")</f>
        <v>Chardon High School</v>
      </c>
      <c r="G1240" s="5">
        <f ca="1">IFERROR(__xludf.DUMMYFUNCTION("""COMPUTED_VALUE"""),3)</f>
        <v>3</v>
      </c>
      <c r="H1240" s="5">
        <f ca="1">IFERROR(__xludf.DUMMYFUNCTION("""COMPUTED_VALUE"""),3)</f>
        <v>3</v>
      </c>
      <c r="I1240" s="5">
        <f ca="1">IFERROR(__xludf.DUMMYFUNCTION("""COMPUTED_VALUE"""),6)</f>
        <v>6</v>
      </c>
      <c r="J1240" s="5">
        <f ca="1">IFERROR(__xludf.DUMMYFUNCTION("""COMPUTED_VALUE"""),0)</f>
        <v>0</v>
      </c>
      <c r="K1240" s="5" t="str">
        <f ca="1">IFERROR(__xludf.DUMMYFUNCTION("""COMPUTED_VALUE"""),"http://www.nydailynews.com/news/national/ohio-teen-faces-life-prison-shooting-rampage-left-high-school-students-dead-article-1.1292702 https://www.fbi.gov/file-repository/active-shooter-incidents-2000-2017.pdf")</f>
        <v>http://www.nydailynews.com/news/national/ohio-teen-faces-life-prison-shooting-rampage-left-high-school-students-dead-article-1.1292702 https://www.fbi.gov/file-repository/active-shooter-incidents-2000-2017.pdf</v>
      </c>
      <c r="L1240" s="5">
        <f ca="1">IFERROR(__xludf.DUMMYFUNCTION("""COMPUTED_VALUE"""),11)</f>
        <v>11</v>
      </c>
      <c r="M1240" s="5" t="str">
        <f ca="1">IFERROR(__xludf.DUMMYFUNCTION("""COMPUTED_VALUE"""),"National")</f>
        <v>National</v>
      </c>
      <c r="N1240" s="5">
        <f ca="1">IFERROR(__xludf.DUMMYFUNCTION("""COMPUTED_VALUE"""),5)</f>
        <v>5</v>
      </c>
      <c r="O1240" s="5" t="str">
        <f ca="1">IFERROR(__xludf.DUMMYFUNCTION("""COMPUTED_VALUE"""),"Winter")</f>
        <v>Winter</v>
      </c>
      <c r="P1240" s="5" t="str">
        <f ca="1">IFERROR(__xludf.DUMMYFUNCTION("""COMPUTED_VALUE"""),"Chardon")</f>
        <v>Chardon</v>
      </c>
      <c r="Q1240" s="5" t="str">
        <f ca="1">IFERROR(__xludf.DUMMYFUNCTION("""COMPUTED_VALUE"""),"OH")</f>
        <v>OH</v>
      </c>
      <c r="R1240" s="5" t="str">
        <f ca="1">IFERROR(__xludf.DUMMYFUNCTION("""COMPUTED_VALUE"""),"High")</f>
        <v>High</v>
      </c>
      <c r="S1240" s="5" t="str">
        <f ca="1">IFERROR(__xludf.DUMMYFUNCTION("""COMPUTED_VALUE"""),"Cafeteria")</f>
        <v>Cafeteria</v>
      </c>
      <c r="T1240" s="5" t="str">
        <f ca="1">IFERROR(__xludf.DUMMYFUNCTION("""COMPUTED_VALUE"""),"Inside School Building")</f>
        <v>Inside School Building</v>
      </c>
      <c r="U1240" s="5" t="str">
        <f ca="1">IFERROR(__xludf.DUMMYFUNCTION("""COMPUTED_VALUE"""),"Yes")</f>
        <v>Yes</v>
      </c>
      <c r="V1240" s="5" t="str">
        <f ca="1">IFERROR(__xludf.DUMMYFUNCTION("""COMPUTED_VALUE"""),"School Start")</f>
        <v>School Start</v>
      </c>
      <c r="W1240" s="10">
        <f ca="1">IFERROR(__xludf.DUMMYFUNCTION("""COMPUTED_VALUE"""),0.3125)</f>
        <v>0.3125</v>
      </c>
      <c r="X1240" s="5"/>
      <c r="Y1240" s="5" t="str">
        <f ca="1">IFERROR(__xludf.DUMMYFUNCTION("""COMPUTED_VALUE"""),"Planned attack, fired at random victims then walked out of school to surrender to police")</f>
        <v>Planned attack, fired at random victims then walked out of school to surrender to police</v>
      </c>
      <c r="Z1240" s="5" t="str">
        <f ca="1">IFERROR(__xludf.DUMMYFUNCTION("""COMPUTED_VALUE"""),"Shooter was troubled student who had been sent to alternative school. Walked into the cafeteria of his former high school and began firing a handgun at random students. After the shooting he walked outside and sat on the side of the road until police arri"&amp;"ved. He reported that he had no reason for picking any of them and he aimed for their heads to reduce pain. Wrote ""killer"" on his white t-shirt during trial, made obscene statements and gestures to the victims' families and smirked the whole time. Shoot"&amp;"er pleads guilty and was sentenced to life without parole. Shooter escaped from prison 2 years later but was recaptured.")</f>
        <v>Shooter was troubled student who had been sent to alternative school. Walked into the cafeteria of his former high school and began firing a handgun at random students. After the shooting he walked outside and sat on the side of the road until police arrived. He reported that he had no reason for picking any of them and he aimed for their heads to reduce pain. Wrote "killer" on his white t-shirt during trial, made obscene statements and gestures to the victims' families and smirked the whole time. Shooter pleads guilty and was sentenced to life without parole. Shooter escaped from prison 2 years later but was recaptured.</v>
      </c>
      <c r="AA1240" s="5" t="str">
        <f ca="1">IFERROR(__xludf.DUMMYFUNCTION("""COMPUTED_VALUE"""),"Indiscriminate Shooting")</f>
        <v>Indiscriminate Shooting</v>
      </c>
      <c r="AB1240" s="5" t="str">
        <f ca="1">IFERROR(__xludf.DUMMYFUNCTION("""COMPUTED_VALUE"""),"Random Shooting")</f>
        <v>Random Shooting</v>
      </c>
      <c r="AC1240" s="5" t="str">
        <f ca="1">IFERROR(__xludf.DUMMYFUNCTION("""COMPUTED_VALUE"""),"No")</f>
        <v>No</v>
      </c>
      <c r="AD1240" s="5" t="str">
        <f ca="1">IFERROR(__xludf.DUMMYFUNCTION("""COMPUTED_VALUE"""),"No")</f>
        <v>No</v>
      </c>
      <c r="AE1240" s="5" t="str">
        <f ca="1">IFERROR(__xludf.DUMMYFUNCTION("""COMPUTED_VALUE"""),"No")</f>
        <v>No</v>
      </c>
      <c r="AF1240" s="5" t="str">
        <f ca="1">IFERROR(__xludf.DUMMYFUNCTION("""COMPUTED_VALUE"""),"No")</f>
        <v>No</v>
      </c>
      <c r="AG1240" s="5" t="str">
        <f ca="1">IFERROR(__xludf.DUMMYFUNCTION("""COMPUTED_VALUE"""),"No")</f>
        <v>No</v>
      </c>
      <c r="AH1240" s="5" t="str">
        <f ca="1">IFERROR(__xludf.DUMMYFUNCTION("""COMPUTED_VALUE"""),"No")</f>
        <v>No</v>
      </c>
      <c r="AI1240" s="5" t="str">
        <f ca="1">IFERROR(__xludf.DUMMYFUNCTION("""COMPUTED_VALUE"""),"No")</f>
        <v>No</v>
      </c>
      <c r="AJ1240" s="5" t="str">
        <f ca="1">IFERROR(__xludf.DUMMYFUNCTION("""COMPUTED_VALUE"""),"Yes")</f>
        <v>Yes</v>
      </c>
    </row>
    <row r="1241" spans="1:36" ht="13">
      <c r="A1241" s="5" t="str">
        <f ca="1">IFERROR(__xludf.DUMMYFUNCTION("""COMPUTED_VALUE"""),"20120222WAARB")</f>
        <v>20120222WAARB</v>
      </c>
      <c r="B1241" s="5">
        <f ca="1">IFERROR(__xludf.DUMMYFUNCTION("""COMPUTED_VALUE"""),2)</f>
        <v>2</v>
      </c>
      <c r="C1241" s="5">
        <f ca="1">IFERROR(__xludf.DUMMYFUNCTION("""COMPUTED_VALUE"""),22)</f>
        <v>22</v>
      </c>
      <c r="D1241" s="5">
        <f ca="1">IFERROR(__xludf.DUMMYFUNCTION("""COMPUTED_VALUE"""),2012)</f>
        <v>2012</v>
      </c>
      <c r="E1241" s="8">
        <f ca="1">IFERROR(__xludf.DUMMYFUNCTION("""COMPUTED_VALUE"""),40961)</f>
        <v>40961</v>
      </c>
      <c r="F1241" s="5" t="str">
        <f ca="1">IFERROR(__xludf.DUMMYFUNCTION("""COMPUTED_VALUE"""),"Armin Jahr Elementary School")</f>
        <v>Armin Jahr Elementary School</v>
      </c>
      <c r="G1241" s="5">
        <f ca="1">IFERROR(__xludf.DUMMYFUNCTION("""COMPUTED_VALUE"""),0)</f>
        <v>0</v>
      </c>
      <c r="H1241" s="5">
        <f ca="1">IFERROR(__xludf.DUMMYFUNCTION("""COMPUTED_VALUE"""),1)</f>
        <v>1</v>
      </c>
      <c r="I1241" s="5">
        <f ca="1">IFERROR(__xludf.DUMMYFUNCTION("""COMPUTED_VALUE"""),1)</f>
        <v>1</v>
      </c>
      <c r="J1241" s="5">
        <f ca="1">IFERROR(__xludf.DUMMYFUNCTION("""COMPUTED_VALUE"""),0)</f>
        <v>0</v>
      </c>
      <c r="K1241" s="5" t="str">
        <f ca="1">IFERROR(__xludf.DUMMYFUNCTION("""COMPUTED_VALUE"""),"https://www.kitsapsun.com/story/news/2021/06/16/nine-years-after-being-shot-bremerton-classroom-amina-headed-college/7707334002/ ttp://archive.kitsapsun.com/news/code-911/student-shot-at-armin-jahr-elementary-school-in-bremerton-ep-417752434-356869261.htm"&amp;"l")</f>
        <v>https://www.kitsapsun.com/story/news/2021/06/16/nine-years-after-being-shot-bremerton-classroom-amina-headed-college/7707334002/ ttp://archive.kitsapsun.com/news/code-911/student-shot-at-armin-jahr-elementary-school-in-bremerton-ep-417752434-356869261.html</v>
      </c>
      <c r="L1241" s="5">
        <f ca="1">IFERROR(__xludf.DUMMYFUNCTION("""COMPUTED_VALUE"""),11)</f>
        <v>11</v>
      </c>
      <c r="M1241" s="5" t="str">
        <f ca="1">IFERROR(__xludf.DUMMYFUNCTION("""COMPUTED_VALUE"""),"National")</f>
        <v>National</v>
      </c>
      <c r="N1241" s="5">
        <f ca="1">IFERROR(__xludf.DUMMYFUNCTION("""COMPUTED_VALUE"""),5)</f>
        <v>5</v>
      </c>
      <c r="O1241" s="5" t="str">
        <f ca="1">IFERROR(__xludf.DUMMYFUNCTION("""COMPUTED_VALUE"""),"Winter")</f>
        <v>Winter</v>
      </c>
      <c r="P1241" s="5" t="str">
        <f ca="1">IFERROR(__xludf.DUMMYFUNCTION("""COMPUTED_VALUE"""),"Bremerton")</f>
        <v>Bremerton</v>
      </c>
      <c r="Q1241" s="5" t="str">
        <f ca="1">IFERROR(__xludf.DUMMYFUNCTION("""COMPUTED_VALUE"""),"WA")</f>
        <v>WA</v>
      </c>
      <c r="R1241" s="5" t="str">
        <f ca="1">IFERROR(__xludf.DUMMYFUNCTION("""COMPUTED_VALUE"""),"Elementary")</f>
        <v>Elementary</v>
      </c>
      <c r="S1241" s="5" t="str">
        <f ca="1">IFERROR(__xludf.DUMMYFUNCTION("""COMPUTED_VALUE"""),"Hallway")</f>
        <v>Hallway</v>
      </c>
      <c r="T1241" s="5" t="str">
        <f ca="1">IFERROR(__xludf.DUMMYFUNCTION("""COMPUTED_VALUE"""),"Inside School Building")</f>
        <v>Inside School Building</v>
      </c>
      <c r="U1241" s="5" t="str">
        <f ca="1">IFERROR(__xludf.DUMMYFUNCTION("""COMPUTED_VALUE"""),"Yes")</f>
        <v>Yes</v>
      </c>
      <c r="V1241" s="5" t="str">
        <f ca="1">IFERROR(__xludf.DUMMYFUNCTION("""COMPUTED_VALUE"""),"Dismissal")</f>
        <v>Dismissal</v>
      </c>
      <c r="W1241" s="10">
        <f ca="1">IFERROR(__xludf.DUMMYFUNCTION("""COMPUTED_VALUE"""),0.5625)</f>
        <v>0.5625</v>
      </c>
      <c r="X1241" s="5">
        <f ca="1">IFERROR(__xludf.DUMMYFUNCTION("""COMPUTED_VALUE"""),1)</f>
        <v>1</v>
      </c>
      <c r="Y1241" s="5" t="str">
        <f ca="1">IFERROR(__xludf.DUMMYFUNCTION("""COMPUTED_VALUE"""),"Accidental discharge in backpack")</f>
        <v>Accidental discharge in backpack</v>
      </c>
      <c r="Z1241" s="5" t="str">
        <f ca="1">IFERROR(__xludf.DUMMYFUNCTION("""COMPUTED_VALUE"""),"Shooter (student) stole the gun from a dresser drawer in his mother's home and brought it to school because he feared other students. The gun accidentally discharged from the backpack and injured a female student. The bullet broke her arm and struck her s"&amp;"pine. Both boys were charged, as well as the shooter's mother and her boyfriend for keeping accessible guns in the house.")</f>
        <v>Shooter (student) stole the gun from a dresser drawer in his mother's home and brought it to school because he feared other students. The gun accidentally discharged from the backpack and injured a female student. The bullet broke her arm and struck her spine. Both boys were charged, as well as the shooter's mother and her boyfriend for keeping accessible guns in the house.</v>
      </c>
      <c r="AA1241" s="5" t="str">
        <f ca="1">IFERROR(__xludf.DUMMYFUNCTION("""COMPUTED_VALUE"""),"Accidental")</f>
        <v>Accidental</v>
      </c>
      <c r="AB1241" s="5" t="str">
        <f ca="1">IFERROR(__xludf.DUMMYFUNCTION("""COMPUTED_VALUE"""),"Random Shooting")</f>
        <v>Random Shooting</v>
      </c>
      <c r="AC1241" s="5" t="str">
        <f ca="1">IFERROR(__xludf.DUMMYFUNCTION("""COMPUTED_VALUE"""),"Yes")</f>
        <v>Yes</v>
      </c>
      <c r="AD1241" s="5" t="str">
        <f ca="1">IFERROR(__xludf.DUMMYFUNCTION("""COMPUTED_VALUE"""),"No")</f>
        <v>No</v>
      </c>
      <c r="AE1241" s="5" t="str">
        <f ca="1">IFERROR(__xludf.DUMMYFUNCTION("""COMPUTED_VALUE"""),"No")</f>
        <v>No</v>
      </c>
      <c r="AF1241" s="5" t="str">
        <f ca="1">IFERROR(__xludf.DUMMYFUNCTION("""COMPUTED_VALUE"""),"No")</f>
        <v>No</v>
      </c>
      <c r="AG1241" s="5" t="str">
        <f ca="1">IFERROR(__xludf.DUMMYFUNCTION("""COMPUTED_VALUE"""),"Yes")</f>
        <v>Yes</v>
      </c>
      <c r="AH1241" s="5" t="str">
        <f ca="1">IFERROR(__xludf.DUMMYFUNCTION("""COMPUTED_VALUE"""),"No")</f>
        <v>No</v>
      </c>
      <c r="AI1241" s="5" t="str">
        <f ca="1">IFERROR(__xludf.DUMMYFUNCTION("""COMPUTED_VALUE"""),"No")</f>
        <v>No</v>
      </c>
      <c r="AJ1241" s="5" t="str">
        <f ca="1">IFERROR(__xludf.DUMMYFUNCTION("""COMPUTED_VALUE"""),"No")</f>
        <v>No</v>
      </c>
    </row>
    <row r="1242" spans="1:36" ht="13">
      <c r="A1242" s="5" t="str">
        <f ca="1">IFERROR(__xludf.DUMMYFUNCTION("""COMPUTED_VALUE"""),"20120210NHWAW")</f>
        <v>20120210NHWAW</v>
      </c>
      <c r="B1242" s="5">
        <f ca="1">IFERROR(__xludf.DUMMYFUNCTION("""COMPUTED_VALUE"""),2)</f>
        <v>2</v>
      </c>
      <c r="C1242" s="5">
        <f ca="1">IFERROR(__xludf.DUMMYFUNCTION("""COMPUTED_VALUE"""),10)</f>
        <v>10</v>
      </c>
      <c r="D1242" s="5">
        <f ca="1">IFERROR(__xludf.DUMMYFUNCTION("""COMPUTED_VALUE"""),2012)</f>
        <v>2012</v>
      </c>
      <c r="E1242" s="8">
        <f ca="1">IFERROR(__xludf.DUMMYFUNCTION("""COMPUTED_VALUE"""),40949)</f>
        <v>40949</v>
      </c>
      <c r="F1242" s="5" t="str">
        <f ca="1">IFERROR(__xludf.DUMMYFUNCTION("""COMPUTED_VALUE"""),"Walpole Elementary School")</f>
        <v>Walpole Elementary School</v>
      </c>
      <c r="G1242" s="5">
        <f ca="1">IFERROR(__xludf.DUMMYFUNCTION("""COMPUTED_VALUE"""),0)</f>
        <v>0</v>
      </c>
      <c r="H1242" s="5">
        <f ca="1">IFERROR(__xludf.DUMMYFUNCTION("""COMPUTED_VALUE"""),0)</f>
        <v>0</v>
      </c>
      <c r="I1242" s="5">
        <f ca="1">IFERROR(__xludf.DUMMYFUNCTION("""COMPUTED_VALUE"""),0)</f>
        <v>0</v>
      </c>
      <c r="J1242" s="5">
        <f ca="1">IFERROR(__xludf.DUMMYFUNCTION("""COMPUTED_VALUE"""),0)</f>
        <v>0</v>
      </c>
      <c r="K1242" s="9" t="str">
        <f ca="1">IFERROR(__xludf.DUMMYFUNCTION("""COMPUTED_VALUE"""),"https://www.cbsnews.com/news/14-year-old-shoots-self-in-nh-school-cafeteria/")</f>
        <v>https://www.cbsnews.com/news/14-year-old-shoots-self-in-nh-school-cafeteria/</v>
      </c>
      <c r="L1242" s="5">
        <f ca="1">IFERROR(__xludf.DUMMYFUNCTION("""COMPUTED_VALUE"""),11)</f>
        <v>11</v>
      </c>
      <c r="M1242" s="5" t="str">
        <f ca="1">IFERROR(__xludf.DUMMYFUNCTION("""COMPUTED_VALUE"""),"National")</f>
        <v>National</v>
      </c>
      <c r="N1242" s="5">
        <f ca="1">IFERROR(__xludf.DUMMYFUNCTION("""COMPUTED_VALUE"""),2)</f>
        <v>2</v>
      </c>
      <c r="O1242" s="5" t="str">
        <f ca="1">IFERROR(__xludf.DUMMYFUNCTION("""COMPUTED_VALUE"""),"Winter")</f>
        <v>Winter</v>
      </c>
      <c r="P1242" s="5" t="str">
        <f ca="1">IFERROR(__xludf.DUMMYFUNCTION("""COMPUTED_VALUE"""),"Walpole")</f>
        <v>Walpole</v>
      </c>
      <c r="Q1242" s="5" t="str">
        <f ca="1">IFERROR(__xludf.DUMMYFUNCTION("""COMPUTED_VALUE"""),"NH")</f>
        <v>NH</v>
      </c>
      <c r="R1242" s="5" t="str">
        <f ca="1">IFERROR(__xludf.DUMMYFUNCTION("""COMPUTED_VALUE"""),"Elementary")</f>
        <v>Elementary</v>
      </c>
      <c r="S1242" s="5" t="str">
        <f ca="1">IFERROR(__xludf.DUMMYFUNCTION("""COMPUTED_VALUE"""),"Cafeteria")</f>
        <v>Cafeteria</v>
      </c>
      <c r="T1242" s="5" t="str">
        <f ca="1">IFERROR(__xludf.DUMMYFUNCTION("""COMPUTED_VALUE"""),"Inside School Building")</f>
        <v>Inside School Building</v>
      </c>
      <c r="U1242" s="5" t="str">
        <f ca="1">IFERROR(__xludf.DUMMYFUNCTION("""COMPUTED_VALUE"""),"Yes")</f>
        <v>Yes</v>
      </c>
      <c r="V1242" s="5" t="str">
        <f ca="1">IFERROR(__xludf.DUMMYFUNCTION("""COMPUTED_VALUE"""),"Lunch")</f>
        <v>Lunch</v>
      </c>
      <c r="W1242" s="10">
        <f ca="1">IFERROR(__xludf.DUMMYFUNCTION("""COMPUTED_VALUE"""),0.458333333333333)</f>
        <v>0.45833333333333298</v>
      </c>
      <c r="X1242" s="5">
        <f ca="1">IFERROR(__xludf.DUMMYFUNCTION("""COMPUTED_VALUE"""),1)</f>
        <v>1</v>
      </c>
      <c r="Y1242" s="5" t="str">
        <f ca="1">IFERROR(__xludf.DUMMYFUNCTION("""COMPUTED_VALUE"""),"Attempted suicide in cafeteria")</f>
        <v>Attempted suicide in cafeteria</v>
      </c>
      <c r="Z1242" s="5" t="str">
        <f ca="1">IFERROR(__xludf.DUMMYFUNCTION("""COMPUTED_VALUE"""),"14YOM student shot himself with (allegedly) a shotgun at the cafeteria and was taken to the hospital. Another student reported shooter has been passing notes claiming that he was depressed, some students mentioned he had girlfriend issues.")</f>
        <v>14YOM student shot himself with (allegedly) a shotgun at the cafeteria and was taken to the hospital. Another student reported shooter has been passing notes claiming that he was depressed, some students mentioned he had girlfriend issues.</v>
      </c>
      <c r="AA1242" s="5" t="str">
        <f ca="1">IFERROR(__xludf.DUMMYFUNCTION("""COMPUTED_VALUE"""),"Suicide/Attempted")</f>
        <v>Suicide/Attempted</v>
      </c>
      <c r="AB1242" s="5" t="str">
        <f ca="1">IFERROR(__xludf.DUMMYFUNCTION("""COMPUTED_VALUE"""),"Victims Targeted")</f>
        <v>Victims Targeted</v>
      </c>
      <c r="AC1242" s="5" t="str">
        <f ca="1">IFERROR(__xludf.DUMMYFUNCTION("""COMPUTED_VALUE"""),"No")</f>
        <v>No</v>
      </c>
      <c r="AD1242" s="5" t="str">
        <f ca="1">IFERROR(__xludf.DUMMYFUNCTION("""COMPUTED_VALUE"""),"No")</f>
        <v>No</v>
      </c>
      <c r="AE1242" s="5" t="str">
        <f ca="1">IFERROR(__xludf.DUMMYFUNCTION("""COMPUTED_VALUE"""),"No")</f>
        <v>No</v>
      </c>
      <c r="AF1242" s="5" t="str">
        <f ca="1">IFERROR(__xludf.DUMMYFUNCTION("""COMPUTED_VALUE"""),"No")</f>
        <v>No</v>
      </c>
      <c r="AG1242" s="5"/>
      <c r="AH1242" s="5" t="str">
        <f ca="1">IFERROR(__xludf.DUMMYFUNCTION("""COMPUTED_VALUE"""),"No")</f>
        <v>No</v>
      </c>
      <c r="AI1242" s="5" t="str">
        <f ca="1">IFERROR(__xludf.DUMMYFUNCTION("""COMPUTED_VALUE"""),"No")</f>
        <v>No</v>
      </c>
      <c r="AJ1242" s="5"/>
    </row>
    <row r="1243" spans="1:36" ht="13">
      <c r="A1243" s="5" t="str">
        <f ca="1">IFERROR(__xludf.DUMMYFUNCTION("""COMPUTED_VALUE"""),"20120110TXNOH")</f>
        <v>20120110TXNOH</v>
      </c>
      <c r="B1243" s="5">
        <f ca="1">IFERROR(__xludf.DUMMYFUNCTION("""COMPUTED_VALUE"""),1)</f>
        <v>1</v>
      </c>
      <c r="C1243" s="5">
        <f ca="1">IFERROR(__xludf.DUMMYFUNCTION("""COMPUTED_VALUE"""),10)</f>
        <v>10</v>
      </c>
      <c r="D1243" s="5">
        <f ca="1">IFERROR(__xludf.DUMMYFUNCTION("""COMPUTED_VALUE"""),2012)</f>
        <v>2012</v>
      </c>
      <c r="E1243" s="8">
        <f ca="1">IFERROR(__xludf.DUMMYFUNCTION("""COMPUTED_VALUE"""),40918)</f>
        <v>40918</v>
      </c>
      <c r="F1243" s="5" t="str">
        <f ca="1">IFERROR(__xludf.DUMMYFUNCTION("""COMPUTED_VALUE"""),"North Forest High School")</f>
        <v>North Forest High School</v>
      </c>
      <c r="G1243" s="5">
        <f ca="1">IFERROR(__xludf.DUMMYFUNCTION("""COMPUTED_VALUE"""),0)</f>
        <v>0</v>
      </c>
      <c r="H1243" s="5">
        <f ca="1">IFERROR(__xludf.DUMMYFUNCTION("""COMPUTED_VALUE"""),1)</f>
        <v>1</v>
      </c>
      <c r="I1243" s="5">
        <f ca="1">IFERROR(__xludf.DUMMYFUNCTION("""COMPUTED_VALUE"""),1)</f>
        <v>1</v>
      </c>
      <c r="J1243" s="5">
        <f ca="1">IFERROR(__xludf.DUMMYFUNCTION("""COMPUTED_VALUE"""),0)</f>
        <v>0</v>
      </c>
      <c r="K1243" s="9" t="str">
        <f ca="1">IFERROR(__xludf.DUMMYFUNCTION("""COMPUTED_VALUE"""),"https://www.chron.com/news/houston-texas/article/Teen-shot-at-North-Forest-High-School-2457718.php")</f>
        <v>https://www.chron.com/news/houston-texas/article/Teen-shot-at-North-Forest-High-School-2457718.php</v>
      </c>
      <c r="L1243" s="5">
        <f ca="1">IFERROR(__xludf.DUMMYFUNCTION("""COMPUTED_VALUE"""),5)</f>
        <v>5</v>
      </c>
      <c r="M1243" s="5" t="str">
        <f ca="1">IFERROR(__xludf.DUMMYFUNCTION("""COMPUTED_VALUE"""),"Local")</f>
        <v>Local</v>
      </c>
      <c r="N1243" s="5">
        <f ca="1">IFERROR(__xludf.DUMMYFUNCTION("""COMPUTED_VALUE"""),2)</f>
        <v>2</v>
      </c>
      <c r="O1243" s="5" t="str">
        <f ca="1">IFERROR(__xludf.DUMMYFUNCTION("""COMPUTED_VALUE"""),"Winter")</f>
        <v>Winter</v>
      </c>
      <c r="P1243" s="5" t="str">
        <f ca="1">IFERROR(__xludf.DUMMYFUNCTION("""COMPUTED_VALUE"""),"Houston")</f>
        <v>Houston</v>
      </c>
      <c r="Q1243" s="5" t="str">
        <f ca="1">IFERROR(__xludf.DUMMYFUNCTION("""COMPUTED_VALUE"""),"TX")</f>
        <v>TX</v>
      </c>
      <c r="R1243" s="5" t="str">
        <f ca="1">IFERROR(__xludf.DUMMYFUNCTION("""COMPUTED_VALUE"""),"High")</f>
        <v>High</v>
      </c>
      <c r="S1243" s="5" t="str">
        <f ca="1">IFERROR(__xludf.DUMMYFUNCTION("""COMPUTED_VALUE"""),"Hallway")</f>
        <v>Hallway</v>
      </c>
      <c r="T1243" s="5" t="str">
        <f ca="1">IFERROR(__xludf.DUMMYFUNCTION("""COMPUTED_VALUE"""),"Inside School Building")</f>
        <v>Inside School Building</v>
      </c>
      <c r="U1243" s="5" t="str">
        <f ca="1">IFERROR(__xludf.DUMMYFUNCTION("""COMPUTED_VALUE"""),"Yes")</f>
        <v>Yes</v>
      </c>
      <c r="V1243" s="5" t="str">
        <f ca="1">IFERROR(__xludf.DUMMYFUNCTION("""COMPUTED_VALUE"""),"Afternoon Classes")</f>
        <v>Afternoon Classes</v>
      </c>
      <c r="W1243" s="10">
        <f ca="1">IFERROR(__xludf.DUMMYFUNCTION("""COMPUTED_VALUE"""),0.520833333333333)</f>
        <v>0.52083333333333304</v>
      </c>
      <c r="X1243" s="5">
        <f ca="1">IFERROR(__xludf.DUMMYFUNCTION("""COMPUTED_VALUE"""),1)</f>
        <v>1</v>
      </c>
      <c r="Y1243" s="5" t="str">
        <f ca="1">IFERROR(__xludf.DUMMYFUNCTION("""COMPUTED_VALUE"""),"Shot bully during dispute")</f>
        <v>Shot bully during dispute</v>
      </c>
      <c r="Z1243" s="5" t="str">
        <f ca="1">IFERROR(__xludf.DUMMYFUNCTION("""COMPUTED_VALUE"""),"18 YOM shot a 16 YOM in the leg during a dispute. Police reported that a fight between a group of students began outside the school and continued inside of the school. Shooter was quickly apprehended by a teacher who is also a police officer. The school h"&amp;"as metal detectors and frequent issues with firearms and violence. Backpacks that are not clear are prohibited. Shooter claimed he was being bullied and was in fear for his life. Shooter's family supported the claim and said school officials knew about it"&amp;" and that the shooter had been under attack by 3 other students and one of them punched him. No records were found for filing complaints but a student confirmed shooter was being bullied.")</f>
        <v>18 YOM shot a 16 YOM in the leg during a dispute. Police reported that a fight between a group of students began outside the school and continued inside of the school. Shooter was quickly apprehended by a teacher who is also a police officer. The school has metal detectors and frequent issues with firearms and violence. Backpacks that are not clear are prohibited. Shooter claimed he was being bullied and was in fear for his life. Shooter's family supported the claim and said school officials knew about it and that the shooter had been under attack by 3 other students and one of them punched him. No records were found for filing complaints but a student confirmed shooter was being bullied.</v>
      </c>
      <c r="AA1243" s="5" t="str">
        <f ca="1">IFERROR(__xludf.DUMMYFUNCTION("""COMPUTED_VALUE"""),"Bullying")</f>
        <v>Bullying</v>
      </c>
      <c r="AB1243" s="5" t="str">
        <f ca="1">IFERROR(__xludf.DUMMYFUNCTION("""COMPUTED_VALUE"""),"Both")</f>
        <v>Both</v>
      </c>
      <c r="AC1243" s="5" t="str">
        <f ca="1">IFERROR(__xludf.DUMMYFUNCTION("""COMPUTED_VALUE"""),"No")</f>
        <v>No</v>
      </c>
      <c r="AD1243" s="5" t="str">
        <f ca="1">IFERROR(__xludf.DUMMYFUNCTION("""COMPUTED_VALUE"""),"No")</f>
        <v>No</v>
      </c>
      <c r="AE1243" s="5" t="str">
        <f ca="1">IFERROR(__xludf.DUMMYFUNCTION("""COMPUTED_VALUE"""),"No")</f>
        <v>No</v>
      </c>
      <c r="AF1243" s="5" t="str">
        <f ca="1">IFERROR(__xludf.DUMMYFUNCTION("""COMPUTED_VALUE"""),"No")</f>
        <v>No</v>
      </c>
      <c r="AG1243" s="5"/>
      <c r="AH1243" s="5" t="str">
        <f ca="1">IFERROR(__xludf.DUMMYFUNCTION("""COMPUTED_VALUE"""),"No")</f>
        <v>No</v>
      </c>
      <c r="AI1243" s="5" t="str">
        <f ca="1">IFERROR(__xludf.DUMMYFUNCTION("""COMPUTED_VALUE"""),"No")</f>
        <v>No</v>
      </c>
      <c r="AJ1243" s="5"/>
    </row>
    <row r="1244" spans="1:36" ht="13">
      <c r="A1244" s="5" t="str">
        <f ca="1">IFERROR(__xludf.DUMMYFUNCTION("""COMPUTED_VALUE"""),"20120104TXCUB")</f>
        <v>20120104TXCUB</v>
      </c>
      <c r="B1244" s="5">
        <f ca="1">IFERROR(__xludf.DUMMYFUNCTION("""COMPUTED_VALUE"""),1)</f>
        <v>1</v>
      </c>
      <c r="C1244" s="5">
        <f ca="1">IFERROR(__xludf.DUMMYFUNCTION("""COMPUTED_VALUE"""),4)</f>
        <v>4</v>
      </c>
      <c r="D1244" s="5">
        <f ca="1">IFERROR(__xludf.DUMMYFUNCTION("""COMPUTED_VALUE"""),2012)</f>
        <v>2012</v>
      </c>
      <c r="E1244" s="8">
        <f ca="1">IFERROR(__xludf.DUMMYFUNCTION("""COMPUTED_VALUE"""),40912)</f>
        <v>40912</v>
      </c>
      <c r="F1244" s="5" t="str">
        <f ca="1">IFERROR(__xludf.DUMMYFUNCTION("""COMPUTED_VALUE"""),"Cummings Middle School")</f>
        <v>Cummings Middle School</v>
      </c>
      <c r="G1244" s="5">
        <f ca="1">IFERROR(__xludf.DUMMYFUNCTION("""COMPUTED_VALUE"""),0)</f>
        <v>0</v>
      </c>
      <c r="H1244" s="5">
        <f ca="1">IFERROR(__xludf.DUMMYFUNCTION("""COMPUTED_VALUE"""),0)</f>
        <v>0</v>
      </c>
      <c r="I1244" s="5">
        <f ca="1">IFERROR(__xludf.DUMMYFUNCTION("""COMPUTED_VALUE"""),0)</f>
        <v>0</v>
      </c>
      <c r="J1244" s="5">
        <f ca="1">IFERROR(__xludf.DUMMYFUNCTION("""COMPUTED_VALUE"""),1)</f>
        <v>1</v>
      </c>
      <c r="K1244" s="9" t="str">
        <f ca="1">IFERROR(__xludf.DUMMYFUNCTION("""COMPUTED_VALUE"""),"https://www.mysanantonio.com/news/local_news/article/Deadly-day-in-Brownsville-2440652.php")</f>
        <v>https://www.mysanantonio.com/news/local_news/article/Deadly-day-in-Brownsville-2440652.php</v>
      </c>
      <c r="L1244" s="5"/>
      <c r="M1244" s="5" t="str">
        <f ca="1">IFERROR(__xludf.DUMMYFUNCTION("""COMPUTED_VALUE"""),"Regional")</f>
        <v>Regional</v>
      </c>
      <c r="N1244" s="5">
        <f ca="1">IFERROR(__xludf.DUMMYFUNCTION("""COMPUTED_VALUE"""),2)</f>
        <v>2</v>
      </c>
      <c r="O1244" s="5" t="str">
        <f ca="1">IFERROR(__xludf.DUMMYFUNCTION("""COMPUTED_VALUE"""),"Winter")</f>
        <v>Winter</v>
      </c>
      <c r="P1244" s="5" t="str">
        <f ca="1">IFERROR(__xludf.DUMMYFUNCTION("""COMPUTED_VALUE"""),"Brownsville")</f>
        <v>Brownsville</v>
      </c>
      <c r="Q1244" s="5" t="str">
        <f ca="1">IFERROR(__xludf.DUMMYFUNCTION("""COMPUTED_VALUE"""),"TX")</f>
        <v>TX</v>
      </c>
      <c r="R1244" s="5" t="str">
        <f ca="1">IFERROR(__xludf.DUMMYFUNCTION("""COMPUTED_VALUE"""),"Middle")</f>
        <v>Middle</v>
      </c>
      <c r="S1244" s="5" t="str">
        <f ca="1">IFERROR(__xludf.DUMMYFUNCTION("""COMPUTED_VALUE"""),"Hallway")</f>
        <v>Hallway</v>
      </c>
      <c r="T1244" s="5" t="str">
        <f ca="1">IFERROR(__xludf.DUMMYFUNCTION("""COMPUTED_VALUE"""),"Inside School Building")</f>
        <v>Inside School Building</v>
      </c>
      <c r="U1244" s="5" t="str">
        <f ca="1">IFERROR(__xludf.DUMMYFUNCTION("""COMPUTED_VALUE"""),"Yes")</f>
        <v>Yes</v>
      </c>
      <c r="V1244" s="5" t="str">
        <f ca="1">IFERROR(__xludf.DUMMYFUNCTION("""COMPUTED_VALUE"""),"School Start")</f>
        <v>School Start</v>
      </c>
      <c r="W1244" s="10">
        <f ca="1">IFERROR(__xludf.DUMMYFUNCTION("""COMPUTED_VALUE"""),0.333333333333333)</f>
        <v>0.33333333333333298</v>
      </c>
      <c r="X1244" s="5">
        <f ca="1">IFERROR(__xludf.DUMMYFUNCTION("""COMPUTED_VALUE"""),1)</f>
        <v>1</v>
      </c>
      <c r="Y1244" s="5" t="str">
        <f ca="1">IFERROR(__xludf.DUMMYFUNCTION("""COMPUTED_VALUE"""),"Police officer killed student holding airsoft pistol")</f>
        <v>Police officer killed student holding airsoft pistol</v>
      </c>
      <c r="Z1244" s="5" t="str">
        <f ca="1">IFERROR(__xludf.DUMMYFUNCTION("""COMPUTED_VALUE"""),"Student was holding an airsoft pistol that looked like a real firearm. Student refused the orders from the police officer to drop the weapon. The student pointed the weapon at the officer and the officer fired twice killing him.")</f>
        <v>Student was holding an airsoft pistol that looked like a real firearm. Student refused the orders from the police officer to drop the weapon. The student pointed the weapon at the officer and the officer fired twice killing him.</v>
      </c>
      <c r="AA1244" s="5" t="str">
        <f ca="1">IFERROR(__xludf.DUMMYFUNCTION("""COMPUTED_VALUE"""),"Self-defense")</f>
        <v>Self-defense</v>
      </c>
      <c r="AB1244" s="5" t="str">
        <f ca="1">IFERROR(__xludf.DUMMYFUNCTION("""COMPUTED_VALUE"""),"Neither")</f>
        <v>Neither</v>
      </c>
      <c r="AC1244" s="5" t="str">
        <f ca="1">IFERROR(__xludf.DUMMYFUNCTION("""COMPUTED_VALUE"""),"No")</f>
        <v>No</v>
      </c>
      <c r="AD1244" s="5" t="str">
        <f ca="1">IFERROR(__xludf.DUMMYFUNCTION("""COMPUTED_VALUE"""),"No")</f>
        <v>No</v>
      </c>
      <c r="AE1244" s="5" t="str">
        <f ca="1">IFERROR(__xludf.DUMMYFUNCTION("""COMPUTED_VALUE"""),"No")</f>
        <v>No</v>
      </c>
      <c r="AF1244" s="5" t="str">
        <f ca="1">IFERROR(__xludf.DUMMYFUNCTION("""COMPUTED_VALUE"""),"Yes")</f>
        <v>Yes</v>
      </c>
      <c r="AG1244" s="5" t="str">
        <f ca="1">IFERROR(__xludf.DUMMYFUNCTION("""COMPUTED_VALUE"""),"N/A")</f>
        <v>N/A</v>
      </c>
      <c r="AH1244" s="5" t="str">
        <f ca="1">IFERROR(__xludf.DUMMYFUNCTION("""COMPUTED_VALUE"""),"N/A")</f>
        <v>N/A</v>
      </c>
      <c r="AI1244" s="5" t="str">
        <f ca="1">IFERROR(__xludf.DUMMYFUNCTION("""COMPUTED_VALUE"""),"N/A")</f>
        <v>N/A</v>
      </c>
      <c r="AJ1244" s="5" t="str">
        <f ca="1">IFERROR(__xludf.DUMMYFUNCTION("""COMPUTED_VALUE"""),"N/A")</f>
        <v>N/A</v>
      </c>
    </row>
    <row r="1245" spans="1:36" ht="13">
      <c r="A1245" s="5" t="str">
        <f ca="1">IFERROR(__xludf.DUMMYFUNCTION("""COMPUTED_VALUE"""),"20111228MINOF")</f>
        <v>20111228MINOF</v>
      </c>
      <c r="B1245" s="5">
        <f ca="1">IFERROR(__xludf.DUMMYFUNCTION("""COMPUTED_VALUE"""),12)</f>
        <v>12</v>
      </c>
      <c r="C1245" s="5">
        <f ca="1">IFERROR(__xludf.DUMMYFUNCTION("""COMPUTED_VALUE"""),28)</f>
        <v>28</v>
      </c>
      <c r="D1245" s="5">
        <f ca="1">IFERROR(__xludf.DUMMYFUNCTION("""COMPUTED_VALUE"""),2011)</f>
        <v>2011</v>
      </c>
      <c r="E1245" s="8">
        <f ca="1">IFERROR(__xludf.DUMMYFUNCTION("""COMPUTED_VALUE"""),40905)</f>
        <v>40905</v>
      </c>
      <c r="F1245" s="5" t="str">
        <f ca="1">IFERROR(__xludf.DUMMYFUNCTION("""COMPUTED_VALUE"""),"Northern High School")</f>
        <v>Northern High School</v>
      </c>
      <c r="G1245" s="5">
        <f ca="1">IFERROR(__xludf.DUMMYFUNCTION("""COMPUTED_VALUE"""),0)</f>
        <v>0</v>
      </c>
      <c r="H1245" s="5">
        <f ca="1">IFERROR(__xludf.DUMMYFUNCTION("""COMPUTED_VALUE"""),1)</f>
        <v>1</v>
      </c>
      <c r="I1245" s="5">
        <f ca="1">IFERROR(__xludf.DUMMYFUNCTION("""COMPUTED_VALUE"""),1)</f>
        <v>1</v>
      </c>
      <c r="J1245" s="5">
        <f ca="1">IFERROR(__xludf.DUMMYFUNCTION("""COMPUTED_VALUE"""),0)</f>
        <v>0</v>
      </c>
      <c r="K1245" s="5" t="str">
        <f ca="1">IFERROR(__xludf.DUMMYFUNCTION("""COMPUTED_VALUE"""),"https://www.mlive.com/news/flint/index.ssf/2011/12/one_person_shot_outside_northe.html https://www.mlive.com/news/flint/index.ssf/2012/01/second_17-year-old_man_arreste.html")</f>
        <v>https://www.mlive.com/news/flint/index.ssf/2011/12/one_person_shot_outside_northe.html https://www.mlive.com/news/flint/index.ssf/2012/01/second_17-year-old_man_arreste.html</v>
      </c>
      <c r="L1245" s="5"/>
      <c r="M1245" s="5"/>
      <c r="N1245" s="5">
        <f ca="1">IFERROR(__xludf.DUMMYFUNCTION("""COMPUTED_VALUE"""),3)</f>
        <v>3</v>
      </c>
      <c r="O1245" s="5" t="str">
        <f ca="1">IFERROR(__xludf.DUMMYFUNCTION("""COMPUTED_VALUE"""),"Winter")</f>
        <v>Winter</v>
      </c>
      <c r="P1245" s="5" t="str">
        <f ca="1">IFERROR(__xludf.DUMMYFUNCTION("""COMPUTED_VALUE"""),"Flint")</f>
        <v>Flint</v>
      </c>
      <c r="Q1245" s="5" t="str">
        <f ca="1">IFERROR(__xludf.DUMMYFUNCTION("""COMPUTED_VALUE"""),"MI")</f>
        <v>MI</v>
      </c>
      <c r="R1245" s="5" t="str">
        <f ca="1">IFERROR(__xludf.DUMMYFUNCTION("""COMPUTED_VALUE"""),"High")</f>
        <v>High</v>
      </c>
      <c r="S1245" s="5" t="str">
        <f ca="1">IFERROR(__xludf.DUMMYFUNCTION("""COMPUTED_VALUE"""),"Beside Building")</f>
        <v>Beside Building</v>
      </c>
      <c r="T1245" s="5" t="str">
        <f ca="1">IFERROR(__xludf.DUMMYFUNCTION("""COMPUTED_VALUE"""),"Outside on School Property")</f>
        <v>Outside on School Property</v>
      </c>
      <c r="U1245" s="5" t="str">
        <f ca="1">IFERROR(__xludf.DUMMYFUNCTION("""COMPUTED_VALUE"""),"No")</f>
        <v>No</v>
      </c>
      <c r="V1245" s="5" t="str">
        <f ca="1">IFERROR(__xludf.DUMMYFUNCTION("""COMPUTED_VALUE"""),"Sport Event")</f>
        <v>Sport Event</v>
      </c>
      <c r="W1245" s="5"/>
      <c r="X1245" s="5">
        <f ca="1">IFERROR(__xludf.DUMMYFUNCTION("""COMPUTED_VALUE"""),1)</f>
        <v>1</v>
      </c>
      <c r="Y1245" s="5" t="str">
        <f ca="1">IFERROR(__xludf.DUMMYFUNCTION("""COMPUTED_VALUE"""),"Shots fired during fight outside of school during basketball game")</f>
        <v>Shots fired during fight outside of school during basketball game</v>
      </c>
      <c r="Z1245" s="5" t="str">
        <f ca="1">IFERROR(__xludf.DUMMYFUNCTION("""COMPUTED_VALUE"""),"Shots fired during fight outside of basketball game. One male was injured. Two 17 YOMs were later arrested, unclear if they were students. Basketball game continued and participants were unaware of the shooting outside.")</f>
        <v>Shots fired during fight outside of basketball game. One male was injured. Two 17 YOMs were later arrested, unclear if they were students. Basketball game continued and participants were unaware of the shooting outside.</v>
      </c>
      <c r="AA1245" s="5" t="str">
        <f ca="1">IFERROR(__xludf.DUMMYFUNCTION("""COMPUTED_VALUE"""),"Escalation of Dispute")</f>
        <v>Escalation of Dispute</v>
      </c>
      <c r="AB1245" s="5"/>
      <c r="AC1245" s="5" t="str">
        <f ca="1">IFERROR(__xludf.DUMMYFUNCTION("""COMPUTED_VALUE"""),"Yes")</f>
        <v>Yes</v>
      </c>
      <c r="AD1245" s="5" t="str">
        <f ca="1">IFERROR(__xludf.DUMMYFUNCTION("""COMPUTED_VALUE"""),"No")</f>
        <v>No</v>
      </c>
      <c r="AE1245" s="5" t="str">
        <f ca="1">IFERROR(__xludf.DUMMYFUNCTION("""COMPUTED_VALUE"""),"No")</f>
        <v>No</v>
      </c>
      <c r="AF1245" s="5" t="str">
        <f ca="1">IFERROR(__xludf.DUMMYFUNCTION("""COMPUTED_VALUE"""),"No")</f>
        <v>No</v>
      </c>
      <c r="AG1245" s="5" t="str">
        <f ca="1">IFERROR(__xludf.DUMMYFUNCTION("""COMPUTED_VALUE"""),"No")</f>
        <v>No</v>
      </c>
      <c r="AH1245" s="5" t="str">
        <f ca="1">IFERROR(__xludf.DUMMYFUNCTION("""COMPUTED_VALUE"""),"No")</f>
        <v>No</v>
      </c>
      <c r="AI1245" s="5" t="str">
        <f ca="1">IFERROR(__xludf.DUMMYFUNCTION("""COMPUTED_VALUE"""),"No")</f>
        <v>No</v>
      </c>
      <c r="AJ1245" s="5"/>
    </row>
    <row r="1246" spans="1:36" ht="13">
      <c r="A1246" s="5" t="str">
        <f ca="1">IFERROR(__xludf.DUMMYFUNCTION("""COMPUTED_VALUE"""),"20111212TXHAE")</f>
        <v>20111212TXHAE</v>
      </c>
      <c r="B1246" s="5">
        <f ca="1">IFERROR(__xludf.DUMMYFUNCTION("""COMPUTED_VALUE"""),12)</f>
        <v>12</v>
      </c>
      <c r="C1246" s="5">
        <f ca="1">IFERROR(__xludf.DUMMYFUNCTION("""COMPUTED_VALUE"""),12)</f>
        <v>12</v>
      </c>
      <c r="D1246" s="5">
        <f ca="1">IFERROR(__xludf.DUMMYFUNCTION("""COMPUTED_VALUE"""),2011)</f>
        <v>2011</v>
      </c>
      <c r="E1246" s="8">
        <f ca="1">IFERROR(__xludf.DUMMYFUNCTION("""COMPUTED_VALUE"""),40889)</f>
        <v>40889</v>
      </c>
      <c r="F1246" s="5" t="str">
        <f ca="1">IFERROR(__xludf.DUMMYFUNCTION("""COMPUTED_VALUE"""),"Harwell Middle School")</f>
        <v>Harwell Middle School</v>
      </c>
      <c r="G1246" s="5">
        <f ca="1">IFERROR(__xludf.DUMMYFUNCTION("""COMPUTED_VALUE"""),0)</f>
        <v>0</v>
      </c>
      <c r="H1246" s="5">
        <f ca="1">IFERROR(__xludf.DUMMYFUNCTION("""COMPUTED_VALUE"""),2)</f>
        <v>2</v>
      </c>
      <c r="I1246" s="5">
        <f ca="1">IFERROR(__xludf.DUMMYFUNCTION("""COMPUTED_VALUE"""),2)</f>
        <v>2</v>
      </c>
      <c r="J1246" s="5">
        <f ca="1">IFERROR(__xludf.DUMMYFUNCTION("""COMPUTED_VALUE"""),0)</f>
        <v>0</v>
      </c>
      <c r="K1246" s="5" t="str">
        <f ca="1">IFERROR(__xludf.DUMMYFUNCTION("""COMPUTED_VALUE"""),"https://www.newspapers.com/image/331539601/?terms=HARWELL%2BMIDDLE%2BSCHOOL  https://www.newspapers.com/image/332520089/?terms=dustin%2Bwesley%2Bcook  https://www.newspapers.com/image/331443515/?terms=dustin%2Bwesley%2Bcook  https://www.newspapers.com/ima"&amp;"ge/285698903/?terms=dustin%2Bwesley%2Bcook")</f>
        <v>https://www.newspapers.com/image/331539601/?terms=HARWELL%2BMIDDLE%2BSCHOOL  https://www.newspapers.com/image/332520089/?terms=dustin%2Bwesley%2Bcook  https://www.newspapers.com/image/331443515/?terms=dustin%2Bwesley%2Bcook  https://www.newspapers.com/image/285698903/?terms=dustin%2Bwesley%2Bcook</v>
      </c>
      <c r="L1246" s="5"/>
      <c r="M1246" s="5"/>
      <c r="N1246" s="5">
        <f ca="1">IFERROR(__xludf.DUMMYFUNCTION("""COMPUTED_VALUE"""),3)</f>
        <v>3</v>
      </c>
      <c r="O1246" s="5" t="str">
        <f ca="1">IFERROR(__xludf.DUMMYFUNCTION("""COMPUTED_VALUE"""),"Winter")</f>
        <v>Winter</v>
      </c>
      <c r="P1246" s="5" t="str">
        <f ca="1">IFERROR(__xludf.DUMMYFUNCTION("""COMPUTED_VALUE"""),"Edinburg")</f>
        <v>Edinburg</v>
      </c>
      <c r="Q1246" s="5" t="str">
        <f ca="1">IFERROR(__xludf.DUMMYFUNCTION("""COMPUTED_VALUE"""),"TX")</f>
        <v>TX</v>
      </c>
      <c r="R1246" s="5" t="str">
        <f ca="1">IFERROR(__xludf.DUMMYFUNCTION("""COMPUTED_VALUE"""),"Middle")</f>
        <v>Middle</v>
      </c>
      <c r="S1246" s="5" t="str">
        <f ca="1">IFERROR(__xludf.DUMMYFUNCTION("""COMPUTED_VALUE"""),"Basketball Court")</f>
        <v>Basketball Court</v>
      </c>
      <c r="T1246" s="5" t="str">
        <f ca="1">IFERROR(__xludf.DUMMYFUNCTION("""COMPUTED_VALUE"""),"Outside on School Property")</f>
        <v>Outside on School Property</v>
      </c>
      <c r="U1246" s="5" t="str">
        <f ca="1">IFERROR(__xludf.DUMMYFUNCTION("""COMPUTED_VALUE"""),"Yes")</f>
        <v>Yes</v>
      </c>
      <c r="V1246" s="5" t="str">
        <f ca="1">IFERROR(__xludf.DUMMYFUNCTION("""COMPUTED_VALUE"""),"After School")</f>
        <v>After School</v>
      </c>
      <c r="W1246" s="10">
        <f ca="1">IFERROR(__xludf.DUMMYFUNCTION("""COMPUTED_VALUE"""),0.697916666666666)</f>
        <v>0.69791666666666596</v>
      </c>
      <c r="X1246" s="5">
        <f ca="1">IFERROR(__xludf.DUMMYFUNCTION("""COMPUTED_VALUE"""),1)</f>
        <v>1</v>
      </c>
      <c r="Y1246" s="5" t="str">
        <f ca="1">IFERROR(__xludf.DUMMYFUNCTION("""COMPUTED_VALUE"""),"Shooter was target practicing 1 mile away")</f>
        <v>Shooter was target practicing 1 mile away</v>
      </c>
      <c r="Z1246" s="5" t="str">
        <f ca="1">IFERROR(__xludf.DUMMYFUNCTION("""COMPUTED_VALUE"""),"Two middle school boys were trying out for school basketball team when they were shot. Three area hunters were detained but later released. Shooter, Dustin Wesley Cook, 36, turned himself in - he was charged with aggravated assault although the shootings "&amp;"were deemed accidental.")</f>
        <v>Two middle school boys were trying out for school basketball team when they were shot. Three area hunters were detained but later released. Shooter, Dustin Wesley Cook, 36, turned himself in - he was charged with aggravated assault although the shootings were deemed accidental.</v>
      </c>
      <c r="AA1246" s="5" t="str">
        <f ca="1">IFERROR(__xludf.DUMMYFUNCTION("""COMPUTED_VALUE"""),"Accidental")</f>
        <v>Accidental</v>
      </c>
      <c r="AB1246" s="5"/>
      <c r="AC1246" s="5" t="str">
        <f ca="1">IFERROR(__xludf.DUMMYFUNCTION("""COMPUTED_VALUE"""),"No")</f>
        <v>No</v>
      </c>
      <c r="AD1246" s="5" t="str">
        <f ca="1">IFERROR(__xludf.DUMMYFUNCTION("""COMPUTED_VALUE"""),"No")</f>
        <v>No</v>
      </c>
      <c r="AE1246" s="5" t="str">
        <f ca="1">IFERROR(__xludf.DUMMYFUNCTION("""COMPUTED_VALUE"""),"No")</f>
        <v>No</v>
      </c>
      <c r="AF1246" s="5" t="str">
        <f ca="1">IFERROR(__xludf.DUMMYFUNCTION("""COMPUTED_VALUE"""),"No")</f>
        <v>No</v>
      </c>
      <c r="AG1246" s="5" t="str">
        <f ca="1">IFERROR(__xludf.DUMMYFUNCTION("""COMPUTED_VALUE"""),"No")</f>
        <v>No</v>
      </c>
      <c r="AH1246" s="5" t="str">
        <f ca="1">IFERROR(__xludf.DUMMYFUNCTION("""COMPUTED_VALUE"""),"No")</f>
        <v>No</v>
      </c>
      <c r="AI1246" s="5" t="str">
        <f ca="1">IFERROR(__xludf.DUMMYFUNCTION("""COMPUTED_VALUE"""),"No")</f>
        <v>No</v>
      </c>
      <c r="AJ1246" s="5"/>
    </row>
    <row r="1247" spans="1:36" ht="13">
      <c r="A1247" s="5" t="str">
        <f ca="1">IFERROR(__xludf.DUMMYFUNCTION("""COMPUTED_VALUE"""),"20111024NCCAF")</f>
        <v>20111024NCCAF</v>
      </c>
      <c r="B1247" s="5">
        <f ca="1">IFERROR(__xludf.DUMMYFUNCTION("""COMPUTED_VALUE"""),10)</f>
        <v>10</v>
      </c>
      <c r="C1247" s="5">
        <f ca="1">IFERROR(__xludf.DUMMYFUNCTION("""COMPUTED_VALUE"""),24)</f>
        <v>24</v>
      </c>
      <c r="D1247" s="5">
        <f ca="1">IFERROR(__xludf.DUMMYFUNCTION("""COMPUTED_VALUE"""),2011)</f>
        <v>2011</v>
      </c>
      <c r="E1247" s="8">
        <f ca="1">IFERROR(__xludf.DUMMYFUNCTION("""COMPUTED_VALUE"""),40840)</f>
        <v>40840</v>
      </c>
      <c r="F1247" s="5" t="str">
        <f ca="1">IFERROR(__xludf.DUMMYFUNCTION("""COMPUTED_VALUE"""),"Cape Fear High School")</f>
        <v>Cape Fear High School</v>
      </c>
      <c r="G1247" s="5">
        <f ca="1">IFERROR(__xludf.DUMMYFUNCTION("""COMPUTED_VALUE"""),0)</f>
        <v>0</v>
      </c>
      <c r="H1247" s="5">
        <f ca="1">IFERROR(__xludf.DUMMYFUNCTION("""COMPUTED_VALUE"""),1)</f>
        <v>1</v>
      </c>
      <c r="I1247" s="5">
        <f ca="1">IFERROR(__xludf.DUMMYFUNCTION("""COMPUTED_VALUE"""),1)</f>
        <v>1</v>
      </c>
      <c r="J1247" s="5">
        <f ca="1">IFERROR(__xludf.DUMMYFUNCTION("""COMPUTED_VALUE"""),0)</f>
        <v>0</v>
      </c>
      <c r="K1247" s="9" t="str">
        <f ca="1">IFERROR(__xludf.DUMMYFUNCTION("""COMPUTED_VALUE"""),"http://www.fayobserver.com/news/20180817/cape-fear-high-shooting-lawsuit-settled-for-2-million")</f>
        <v>http://www.fayobserver.com/news/20180817/cape-fear-high-shooting-lawsuit-settled-for-2-million</v>
      </c>
      <c r="L1247" s="5">
        <f ca="1">IFERROR(__xludf.DUMMYFUNCTION("""COMPUTED_VALUE"""),11)</f>
        <v>11</v>
      </c>
      <c r="M1247" s="5" t="str">
        <f ca="1">IFERROR(__xludf.DUMMYFUNCTION("""COMPUTED_VALUE"""),"National")</f>
        <v>National</v>
      </c>
      <c r="N1247" s="5">
        <f ca="1">IFERROR(__xludf.DUMMYFUNCTION("""COMPUTED_VALUE"""),3)</f>
        <v>3</v>
      </c>
      <c r="O1247" s="5" t="str">
        <f ca="1">IFERROR(__xludf.DUMMYFUNCTION("""COMPUTED_VALUE"""),"Fall")</f>
        <v>Fall</v>
      </c>
      <c r="P1247" s="5" t="str">
        <f ca="1">IFERROR(__xludf.DUMMYFUNCTION("""COMPUTED_VALUE"""),"Fayetteville")</f>
        <v>Fayetteville</v>
      </c>
      <c r="Q1247" s="5" t="str">
        <f ca="1">IFERROR(__xludf.DUMMYFUNCTION("""COMPUTED_VALUE"""),"NC")</f>
        <v>NC</v>
      </c>
      <c r="R1247" s="5" t="str">
        <f ca="1">IFERROR(__xludf.DUMMYFUNCTION("""COMPUTED_VALUE"""),"High")</f>
        <v>High</v>
      </c>
      <c r="S1247" s="5" t="str">
        <f ca="1">IFERROR(__xludf.DUMMYFUNCTION("""COMPUTED_VALUE"""),"Beside Building")</f>
        <v>Beside Building</v>
      </c>
      <c r="T1247" s="5" t="str">
        <f ca="1">IFERROR(__xludf.DUMMYFUNCTION("""COMPUTED_VALUE"""),"Outside on School Property")</f>
        <v>Outside on School Property</v>
      </c>
      <c r="U1247" s="5" t="str">
        <f ca="1">IFERROR(__xludf.DUMMYFUNCTION("""COMPUTED_VALUE"""),"Yes")</f>
        <v>Yes</v>
      </c>
      <c r="V1247" s="5" t="str">
        <f ca="1">IFERROR(__xludf.DUMMYFUNCTION("""COMPUTED_VALUE"""),"Afternoon Classes")</f>
        <v>Afternoon Classes</v>
      </c>
      <c r="W1247" s="10">
        <f ca="1">IFERROR(__xludf.DUMMYFUNCTION("""COMPUTED_VALUE"""),0.541666666666666)</f>
        <v>0.54166666666666596</v>
      </c>
      <c r="X1247" s="5">
        <f ca="1">IFERROR(__xludf.DUMMYFUNCTION("""COMPUTED_VALUE"""),1)</f>
        <v>1</v>
      </c>
      <c r="Y1247" s="5" t="str">
        <f ca="1">IFERROR(__xludf.DUMMYFUNCTION("""COMPUTED_VALUE"""),"Revenge for prior fight, missed intended target")</f>
        <v>Revenge for prior fight, missed intended target</v>
      </c>
      <c r="Z1247" s="5" t="str">
        <f ca="1">IFERROR(__xludf.DUMMYFUNCTION("""COMPUTED_VALUE"""),"15 YOM shot a .22 rifle at another student who had a physical altercation with his cousin the prior week.  Shooter reported that he was hit by a swinging door, the weapon discharged and hit a female student in the neck. Shooter fled the scene after the sh"&amp;"ooting and was arrested at his home. Single round fired. School security video cameras showed that shooter wandered the halls for hours with the rifle concealed under his clothing. Shooter did not disclose who was the intended target.18YOM accomplice also"&amp;" faces charges.")</f>
        <v>15 YOM shot a .22 rifle at another student who had a physical altercation with his cousin the prior week.  Shooter reported that he was hit by a swinging door, the weapon discharged and hit a female student in the neck. Shooter fled the scene after the shooting and was arrested at his home. Single round fired. School security video cameras showed that shooter wandered the halls for hours with the rifle concealed under his clothing. Shooter did not disclose who was the intended target.18YOM accomplice also faces charges.</v>
      </c>
      <c r="AA1247" s="5" t="str">
        <f ca="1">IFERROR(__xludf.DUMMYFUNCTION("""COMPUTED_VALUE"""),"Escalation of Dispute")</f>
        <v>Escalation of Dispute</v>
      </c>
      <c r="AB1247" s="5" t="str">
        <f ca="1">IFERROR(__xludf.DUMMYFUNCTION("""COMPUTED_VALUE"""),"Random Shooting")</f>
        <v>Random Shooting</v>
      </c>
      <c r="AC1247" s="5" t="str">
        <f ca="1">IFERROR(__xludf.DUMMYFUNCTION("""COMPUTED_VALUE"""),"Yes")</f>
        <v>Yes</v>
      </c>
      <c r="AD1247" s="5" t="str">
        <f ca="1">IFERROR(__xludf.DUMMYFUNCTION("""COMPUTED_VALUE"""),"No")</f>
        <v>No</v>
      </c>
      <c r="AE1247" s="5" t="str">
        <f ca="1">IFERROR(__xludf.DUMMYFUNCTION("""COMPUTED_VALUE"""),"No")</f>
        <v>No</v>
      </c>
      <c r="AF1247" s="5" t="str">
        <f ca="1">IFERROR(__xludf.DUMMYFUNCTION("""COMPUTED_VALUE"""),"No")</f>
        <v>No</v>
      </c>
      <c r="AG1247" s="5" t="str">
        <f ca="1">IFERROR(__xludf.DUMMYFUNCTION("""COMPUTED_VALUE"""),"No")</f>
        <v>No</v>
      </c>
      <c r="AH1247" s="5" t="str">
        <f ca="1">IFERROR(__xludf.DUMMYFUNCTION("""COMPUTED_VALUE"""),"No")</f>
        <v>No</v>
      </c>
      <c r="AI1247" s="5" t="str">
        <f ca="1">IFERROR(__xludf.DUMMYFUNCTION("""COMPUTED_VALUE"""),"No")</f>
        <v>No</v>
      </c>
      <c r="AJ1247" s="5"/>
    </row>
    <row r="1248" spans="1:36" ht="13">
      <c r="A1248" s="5" t="str">
        <f ca="1">IFERROR(__xludf.DUMMYFUNCTION("""COMPUTED_VALUE"""),"20110930ORWIP")</f>
        <v>20110930ORWIP</v>
      </c>
      <c r="B1248" s="5">
        <f ca="1">IFERROR(__xludf.DUMMYFUNCTION("""COMPUTED_VALUE"""),9)</f>
        <v>9</v>
      </c>
      <c r="C1248" s="5">
        <f ca="1">IFERROR(__xludf.DUMMYFUNCTION("""COMPUTED_VALUE"""),30)</f>
        <v>30</v>
      </c>
      <c r="D1248" s="5">
        <f ca="1">IFERROR(__xludf.DUMMYFUNCTION("""COMPUTED_VALUE"""),2011)</f>
        <v>2011</v>
      </c>
      <c r="E1248" s="8">
        <f ca="1">IFERROR(__xludf.DUMMYFUNCTION("""COMPUTED_VALUE"""),40816)</f>
        <v>40816</v>
      </c>
      <c r="F1248" s="5" t="str">
        <f ca="1">IFERROR(__xludf.DUMMYFUNCTION("""COMPUTED_VALUE"""),"Wilson High School")</f>
        <v>Wilson High School</v>
      </c>
      <c r="G1248" s="5">
        <f ca="1">IFERROR(__xludf.DUMMYFUNCTION("""COMPUTED_VALUE"""),0)</f>
        <v>0</v>
      </c>
      <c r="H1248" s="5">
        <f ca="1">IFERROR(__xludf.DUMMYFUNCTION("""COMPUTED_VALUE"""),0)</f>
        <v>0</v>
      </c>
      <c r="I1248" s="5">
        <f ca="1">IFERROR(__xludf.DUMMYFUNCTION("""COMPUTED_VALUE"""),0)</f>
        <v>0</v>
      </c>
      <c r="J1248" s="5">
        <f ca="1">IFERROR(__xludf.DUMMYFUNCTION("""COMPUTED_VALUE"""),0)</f>
        <v>0</v>
      </c>
      <c r="K1248" s="9" t="str">
        <f ca="1">IFERROR(__xludf.DUMMYFUNCTION("""COMPUTED_VALUE"""),"https://www.kgw.com/article/news/4-arrested-for-shots-fired-outside-wilson-high/283-73396732")</f>
        <v>https://www.kgw.com/article/news/4-arrested-for-shots-fired-outside-wilson-high/283-73396732</v>
      </c>
      <c r="L1248" s="5"/>
      <c r="M1248" s="5"/>
      <c r="N1248" s="5">
        <f ca="1">IFERROR(__xludf.DUMMYFUNCTION("""COMPUTED_VALUE"""),3)</f>
        <v>3</v>
      </c>
      <c r="O1248" s="5" t="str">
        <f ca="1">IFERROR(__xludf.DUMMYFUNCTION("""COMPUTED_VALUE"""),"Fall")</f>
        <v>Fall</v>
      </c>
      <c r="P1248" s="5" t="str">
        <f ca="1">IFERROR(__xludf.DUMMYFUNCTION("""COMPUTED_VALUE"""),"Portland")</f>
        <v>Portland</v>
      </c>
      <c r="Q1248" s="5" t="str">
        <f ca="1">IFERROR(__xludf.DUMMYFUNCTION("""COMPUTED_VALUE"""),"OR")</f>
        <v>OR</v>
      </c>
      <c r="R1248" s="5" t="str">
        <f ca="1">IFERROR(__xludf.DUMMYFUNCTION("""COMPUTED_VALUE"""),"High")</f>
        <v>High</v>
      </c>
      <c r="S1248" s="5" t="str">
        <f ca="1">IFERROR(__xludf.DUMMYFUNCTION("""COMPUTED_VALUE"""),"Parking Lot")</f>
        <v>Parking Lot</v>
      </c>
      <c r="T1248" s="5" t="str">
        <f ca="1">IFERROR(__xludf.DUMMYFUNCTION("""COMPUTED_VALUE"""),"Outside on School Property")</f>
        <v>Outside on School Property</v>
      </c>
      <c r="U1248" s="5" t="str">
        <f ca="1">IFERROR(__xludf.DUMMYFUNCTION("""COMPUTED_VALUE"""),"No")</f>
        <v>No</v>
      </c>
      <c r="V1248" s="5" t="str">
        <f ca="1">IFERROR(__xludf.DUMMYFUNCTION("""COMPUTED_VALUE"""),"Sport Event")</f>
        <v>Sport Event</v>
      </c>
      <c r="W1248" s="10">
        <f ca="1">IFERROR(__xludf.DUMMYFUNCTION("""COMPUTED_VALUE"""),0.875)</f>
        <v>0.875</v>
      </c>
      <c r="X1248" s="5">
        <f ca="1">IFERROR(__xludf.DUMMYFUNCTION("""COMPUTED_VALUE"""),1)</f>
        <v>1</v>
      </c>
      <c r="Y1248" s="5" t="str">
        <f ca="1">IFERROR(__xludf.DUMMYFUNCTION("""COMPUTED_VALUE"""),"Shots fired at crowd school parking lot following fight earlier in the day")</f>
        <v>Shots fired at crowd school parking lot following fight earlier in the day</v>
      </c>
      <c r="Z1248" s="5" t="str">
        <f ca="1">IFERROR(__xludf.DUMMYFUNCTION("""COMPUTED_VALUE"""),"4 teens arrested after shots were fired from a car at a crowd in the school parking lot following a football game. There had been a fight earlier in the day related to the shooting. All shots missed and no one was injured. Police believe the shooting is g"&amp;"ang related.")</f>
        <v>4 teens arrested after shots were fired from a car at a crowd in the school parking lot following a football game. There had been a fight earlier in the day related to the shooting. All shots missed and no one was injured. Police believe the shooting is gang related.</v>
      </c>
      <c r="AA1248" s="5" t="str">
        <f ca="1">IFERROR(__xludf.DUMMYFUNCTION("""COMPUTED_VALUE"""),"Drive-by Shooting")</f>
        <v>Drive-by Shooting</v>
      </c>
      <c r="AB1248" s="5" t="str">
        <f ca="1">IFERROR(__xludf.DUMMYFUNCTION("""COMPUTED_VALUE"""),"Victims Targeted")</f>
        <v>Victims Targeted</v>
      </c>
      <c r="AC1248" s="5" t="str">
        <f ca="1">IFERROR(__xludf.DUMMYFUNCTION("""COMPUTED_VALUE"""),"Yes")</f>
        <v>Yes</v>
      </c>
      <c r="AD1248" s="5" t="str">
        <f ca="1">IFERROR(__xludf.DUMMYFUNCTION("""COMPUTED_VALUE"""),"No")</f>
        <v>No</v>
      </c>
      <c r="AE1248" s="5" t="str">
        <f ca="1">IFERROR(__xludf.DUMMYFUNCTION("""COMPUTED_VALUE"""),"No")</f>
        <v>No</v>
      </c>
      <c r="AF1248" s="5" t="str">
        <f ca="1">IFERROR(__xludf.DUMMYFUNCTION("""COMPUTED_VALUE"""),"No")</f>
        <v>No</v>
      </c>
      <c r="AG1248" s="5" t="str">
        <f ca="1">IFERROR(__xludf.DUMMYFUNCTION("""COMPUTED_VALUE"""),"No")</f>
        <v>No</v>
      </c>
      <c r="AH1248" s="5" t="str">
        <f ca="1">IFERROR(__xludf.DUMMYFUNCTION("""COMPUTED_VALUE"""),"No")</f>
        <v>No</v>
      </c>
      <c r="AI1248" s="5" t="str">
        <f ca="1">IFERROR(__xludf.DUMMYFUNCTION("""COMPUTED_VALUE"""),"Yes")</f>
        <v>Yes</v>
      </c>
      <c r="AJ1248" s="5" t="str">
        <f ca="1">IFERROR(__xludf.DUMMYFUNCTION("""COMPUTED_VALUE"""),"No")</f>
        <v>No</v>
      </c>
    </row>
    <row r="1249" spans="1:36" ht="13">
      <c r="A1249" s="5" t="str">
        <f ca="1">IFERROR(__xludf.DUMMYFUNCTION("""COMPUTED_VALUE"""),"20110930NCGAC")</f>
        <v>20110930NCGAC</v>
      </c>
      <c r="B1249" s="5">
        <f ca="1">IFERROR(__xludf.DUMMYFUNCTION("""COMPUTED_VALUE"""),9)</f>
        <v>9</v>
      </c>
      <c r="C1249" s="5">
        <f ca="1">IFERROR(__xludf.DUMMYFUNCTION("""COMPUTED_VALUE"""),30)</f>
        <v>30</v>
      </c>
      <c r="D1249" s="5">
        <f ca="1">IFERROR(__xludf.DUMMYFUNCTION("""COMPUTED_VALUE"""),2011)</f>
        <v>2011</v>
      </c>
      <c r="E1249" s="8">
        <f ca="1">IFERROR(__xludf.DUMMYFUNCTION("""COMPUTED_VALUE"""),40816)</f>
        <v>40816</v>
      </c>
      <c r="F1249" s="5" t="str">
        <f ca="1">IFERROR(__xludf.DUMMYFUNCTION("""COMPUTED_VALUE"""),"Garinger High School")</f>
        <v>Garinger High School</v>
      </c>
      <c r="G1249" s="5">
        <f ca="1">IFERROR(__xludf.DUMMYFUNCTION("""COMPUTED_VALUE"""),0)</f>
        <v>0</v>
      </c>
      <c r="H1249" s="5">
        <f ca="1">IFERROR(__xludf.DUMMYFUNCTION("""COMPUTED_VALUE"""),1)</f>
        <v>1</v>
      </c>
      <c r="I1249" s="5">
        <f ca="1">IFERROR(__xludf.DUMMYFUNCTION("""COMPUTED_VALUE"""),1)</f>
        <v>1</v>
      </c>
      <c r="J1249" s="5">
        <f ca="1">IFERROR(__xludf.DUMMYFUNCTION("""COMPUTED_VALUE"""),0)</f>
        <v>0</v>
      </c>
      <c r="K1249" s="9" t="str">
        <f ca="1">IFERROR(__xludf.DUMMYFUNCTION("""COMPUTED_VALUE"""),"https://www.wbtv.com/story/15592235/man-shot-twice-at-garinger-high-school-police-say/")</f>
        <v>https://www.wbtv.com/story/15592235/man-shot-twice-at-garinger-high-school-police-say/</v>
      </c>
      <c r="L1249" s="5"/>
      <c r="M1249" s="5"/>
      <c r="N1249" s="5">
        <f ca="1">IFERROR(__xludf.DUMMYFUNCTION("""COMPUTED_VALUE"""),3)</f>
        <v>3</v>
      </c>
      <c r="O1249" s="5" t="str">
        <f ca="1">IFERROR(__xludf.DUMMYFUNCTION("""COMPUTED_VALUE"""),"Fall")</f>
        <v>Fall</v>
      </c>
      <c r="P1249" s="5" t="str">
        <f ca="1">IFERROR(__xludf.DUMMYFUNCTION("""COMPUTED_VALUE"""),"Charlotte")</f>
        <v>Charlotte</v>
      </c>
      <c r="Q1249" s="5" t="str">
        <f ca="1">IFERROR(__xludf.DUMMYFUNCTION("""COMPUTED_VALUE"""),"NC")</f>
        <v>NC</v>
      </c>
      <c r="R1249" s="5" t="str">
        <f ca="1">IFERROR(__xludf.DUMMYFUNCTION("""COMPUTED_VALUE"""),"High")</f>
        <v>High</v>
      </c>
      <c r="S1249" s="5" t="str">
        <f ca="1">IFERROR(__xludf.DUMMYFUNCTION("""COMPUTED_VALUE"""),"Parking Lot")</f>
        <v>Parking Lot</v>
      </c>
      <c r="T1249" s="5" t="str">
        <f ca="1">IFERROR(__xludf.DUMMYFUNCTION("""COMPUTED_VALUE"""),"Outside on School Property")</f>
        <v>Outside on School Property</v>
      </c>
      <c r="U1249" s="5" t="str">
        <f ca="1">IFERROR(__xludf.DUMMYFUNCTION("""COMPUTED_VALUE"""),"No")</f>
        <v>No</v>
      </c>
      <c r="V1249" s="5" t="str">
        <f ca="1">IFERROR(__xludf.DUMMYFUNCTION("""COMPUTED_VALUE"""),"Sport Event")</f>
        <v>Sport Event</v>
      </c>
      <c r="W1249" s="10">
        <f ca="1">IFERROR(__xludf.DUMMYFUNCTION("""COMPUTED_VALUE"""),0.916666666666666)</f>
        <v>0.91666666666666596</v>
      </c>
      <c r="X1249" s="5">
        <f ca="1">IFERROR(__xludf.DUMMYFUNCTION("""COMPUTED_VALUE"""),1)</f>
        <v>1</v>
      </c>
      <c r="Y1249" s="5" t="str">
        <f ca="1">IFERROR(__xludf.DUMMYFUNCTION("""COMPUTED_VALUE"""),"Teen shot in parking lot during football game")</f>
        <v>Teen shot in parking lot during football game</v>
      </c>
      <c r="Z1249" s="5" t="str">
        <f ca="1">IFERROR(__xludf.DUMMYFUNCTION("""COMPUTED_VALUE"""),"17YOM shot in school parking lot during football game. Shooter fled. Football game was not interrupted. 18YOM was arrested for having a gun on school property, unclear if he was shooter (parents said he was friends with victim).")</f>
        <v>17YOM shot in school parking lot during football game. Shooter fled. Football game was not interrupted. 18YOM was arrested for having a gun on school property, unclear if he was shooter (parents said he was friends with victim).</v>
      </c>
      <c r="AA1249" s="5" t="str">
        <f ca="1">IFERROR(__xludf.DUMMYFUNCTION("""COMPUTED_VALUE"""),"Escalation of Dispute")</f>
        <v>Escalation of Dispute</v>
      </c>
      <c r="AB1249" s="5" t="str">
        <f ca="1">IFERROR(__xludf.DUMMYFUNCTION("""COMPUTED_VALUE"""),"Victims Targeted")</f>
        <v>Victims Targeted</v>
      </c>
      <c r="AC1249" s="5"/>
      <c r="AD1249" s="5" t="str">
        <f ca="1">IFERROR(__xludf.DUMMYFUNCTION("""COMPUTED_VALUE"""),"No")</f>
        <v>No</v>
      </c>
      <c r="AE1249" s="5" t="str">
        <f ca="1">IFERROR(__xludf.DUMMYFUNCTION("""COMPUTED_VALUE"""),"No")</f>
        <v>No</v>
      </c>
      <c r="AF1249" s="5" t="str">
        <f ca="1">IFERROR(__xludf.DUMMYFUNCTION("""COMPUTED_VALUE"""),"No")</f>
        <v>No</v>
      </c>
      <c r="AG1249" s="5" t="str">
        <f ca="1">IFERROR(__xludf.DUMMYFUNCTION("""COMPUTED_VALUE"""),"No")</f>
        <v>No</v>
      </c>
      <c r="AH1249" s="5" t="str">
        <f ca="1">IFERROR(__xludf.DUMMYFUNCTION("""COMPUTED_VALUE"""),"No")</f>
        <v>No</v>
      </c>
      <c r="AI1249" s="5" t="str">
        <f ca="1">IFERROR(__xludf.DUMMYFUNCTION("""COMPUTED_VALUE"""),"Yes")</f>
        <v>Yes</v>
      </c>
      <c r="AJ1249" s="5" t="str">
        <f ca="1">IFERROR(__xludf.DUMMYFUNCTION("""COMPUTED_VALUE"""),"No")</f>
        <v>No</v>
      </c>
    </row>
    <row r="1250" spans="1:36" ht="13">
      <c r="A1250" s="5" t="str">
        <f ca="1">IFERROR(__xludf.DUMMYFUNCTION("""COMPUTED_VALUE"""),"20110923WAISS")</f>
        <v>20110923WAISS</v>
      </c>
      <c r="B1250" s="5">
        <f ca="1">IFERROR(__xludf.DUMMYFUNCTION("""COMPUTED_VALUE"""),9)</f>
        <v>9</v>
      </c>
      <c r="C1250" s="5">
        <f ca="1">IFERROR(__xludf.DUMMYFUNCTION("""COMPUTED_VALUE"""),23)</f>
        <v>23</v>
      </c>
      <c r="D1250" s="5">
        <f ca="1">IFERROR(__xludf.DUMMYFUNCTION("""COMPUTED_VALUE"""),2011)</f>
        <v>2011</v>
      </c>
      <c r="E1250" s="8">
        <f ca="1">IFERROR(__xludf.DUMMYFUNCTION("""COMPUTED_VALUE"""),40809)</f>
        <v>40809</v>
      </c>
      <c r="F1250" s="5" t="str">
        <f ca="1">IFERROR(__xludf.DUMMYFUNCTION("""COMPUTED_VALUE"""),"Issaquah High School")</f>
        <v>Issaquah High School</v>
      </c>
      <c r="G1250" s="5">
        <f ca="1">IFERROR(__xludf.DUMMYFUNCTION("""COMPUTED_VALUE"""),0)</f>
        <v>0</v>
      </c>
      <c r="H1250" s="5">
        <f ca="1">IFERROR(__xludf.DUMMYFUNCTION("""COMPUTED_VALUE"""),0)</f>
        <v>0</v>
      </c>
      <c r="I1250" s="5">
        <f ca="1">IFERROR(__xludf.DUMMYFUNCTION("""COMPUTED_VALUE"""),0)</f>
        <v>0</v>
      </c>
      <c r="J1250" s="5">
        <f ca="1">IFERROR(__xludf.DUMMYFUNCTION("""COMPUTED_VALUE"""),1)</f>
        <v>1</v>
      </c>
      <c r="K1250" s="5" t="str">
        <f ca="1">IFERROR(__xludf.DUMMYFUNCTION("""COMPUTED_VALUE"""),"https://www.khq.com/news/update-motive-unknown-in-shooting-near-issaquah-school/article_ab6eb88e-8035-5dbf-9b3f-3193fbd8ed5e.html https://www.dailymail.co.uk/news/article-2041530/Gunman-shot-dead-sending-Issaquah-High-School-football-fans-running-away-ope"&amp;"ned-fire.html")</f>
        <v>https://www.khq.com/news/update-motive-unknown-in-shooting-near-issaquah-school/article_ab6eb88e-8035-5dbf-9b3f-3193fbd8ed5e.html https://www.dailymail.co.uk/news/article-2041530/Gunman-shot-dead-sending-Issaquah-High-School-football-fans-running-away-opened-fire.html</v>
      </c>
      <c r="L1250" s="5"/>
      <c r="M1250" s="5"/>
      <c r="N1250" s="5">
        <f ca="1">IFERROR(__xludf.DUMMYFUNCTION("""COMPUTED_VALUE"""),3)</f>
        <v>3</v>
      </c>
      <c r="O1250" s="5" t="str">
        <f ca="1">IFERROR(__xludf.DUMMYFUNCTION("""COMPUTED_VALUE"""),"Fall")</f>
        <v>Fall</v>
      </c>
      <c r="P1250" s="5" t="str">
        <f ca="1">IFERROR(__xludf.DUMMYFUNCTION("""COMPUTED_VALUE"""),"Seattle")</f>
        <v>Seattle</v>
      </c>
      <c r="Q1250" s="5" t="str">
        <f ca="1">IFERROR(__xludf.DUMMYFUNCTION("""COMPUTED_VALUE"""),"WA")</f>
        <v>WA</v>
      </c>
      <c r="R1250" s="5" t="str">
        <f ca="1">IFERROR(__xludf.DUMMYFUNCTION("""COMPUTED_VALUE"""),"High")</f>
        <v>High</v>
      </c>
      <c r="S1250" s="5" t="str">
        <f ca="1">IFERROR(__xludf.DUMMYFUNCTION("""COMPUTED_VALUE"""),"Football Field/Track")</f>
        <v>Football Field/Track</v>
      </c>
      <c r="T1250" s="5" t="str">
        <f ca="1">IFERROR(__xludf.DUMMYFUNCTION("""COMPUTED_VALUE"""),"Off School Property")</f>
        <v>Off School Property</v>
      </c>
      <c r="U1250" s="5" t="str">
        <f ca="1">IFERROR(__xludf.DUMMYFUNCTION("""COMPUTED_VALUE"""),"No")</f>
        <v>No</v>
      </c>
      <c r="V1250" s="5" t="str">
        <f ca="1">IFERROR(__xludf.DUMMYFUNCTION("""COMPUTED_VALUE"""),"Sport Event")</f>
        <v>Sport Event</v>
      </c>
      <c r="W1250" s="10">
        <f ca="1">IFERROR(__xludf.DUMMYFUNCTION("""COMPUTED_VALUE"""),0.791666666666666)</f>
        <v>0.79166666666666596</v>
      </c>
      <c r="X1250" s="5"/>
      <c r="Y1250" s="5" t="str">
        <f ca="1">IFERROR(__xludf.DUMMYFUNCTION("""COMPUTED_VALUE"""),"51 year-old male in camo with rifle fired multiple shots outside high school football game, shot and killed by police")</f>
        <v>51 year-old male in camo with rifle fired multiple shots outside high school football game, shot and killed by police</v>
      </c>
      <c r="Z1250" s="5" t="str">
        <f ca="1">IFERROR(__xludf.DUMMYFUNCTION("""COMPUTED_VALUE"""),"51YOM in camo clothing with rifle was pursued in vehicle by police. He stopped near a school and started firing shots at police and the field. Police rushed attendees at the game behind the bleachers. Police shot and killed the shooter in the street outsi"&amp;"de. Motive and target of shooting unknown.")</f>
        <v>51YOM in camo clothing with rifle was pursued in vehicle by police. He stopped near a school and started firing shots at police and the field. Police rushed attendees at the game behind the bleachers. Police shot and killed the shooter in the street outside. Motive and target of shooting unknown.</v>
      </c>
      <c r="AA1250" s="5" t="str">
        <f ca="1">IFERROR(__xludf.DUMMYFUNCTION("""COMPUTED_VALUE"""),"Indiscriminate Shooting")</f>
        <v>Indiscriminate Shooting</v>
      </c>
      <c r="AB1250" s="5"/>
      <c r="AC1250" s="5" t="str">
        <f ca="1">IFERROR(__xludf.DUMMYFUNCTION("""COMPUTED_VALUE"""),"No")</f>
        <v>No</v>
      </c>
      <c r="AD1250" s="5" t="str">
        <f ca="1">IFERROR(__xludf.DUMMYFUNCTION("""COMPUTED_VALUE"""),"No")</f>
        <v>No</v>
      </c>
      <c r="AE1250" s="5" t="str">
        <f ca="1">IFERROR(__xludf.DUMMYFUNCTION("""COMPUTED_VALUE"""),"No")</f>
        <v>No</v>
      </c>
      <c r="AF1250" s="5" t="str">
        <f ca="1">IFERROR(__xludf.DUMMYFUNCTION("""COMPUTED_VALUE"""),"No")</f>
        <v>No</v>
      </c>
      <c r="AG1250" s="5" t="str">
        <f ca="1">IFERROR(__xludf.DUMMYFUNCTION("""COMPUTED_VALUE"""),"No")</f>
        <v>No</v>
      </c>
      <c r="AH1250" s="5" t="str">
        <f ca="1">IFERROR(__xludf.DUMMYFUNCTION("""COMPUTED_VALUE"""),"No")</f>
        <v>No</v>
      </c>
      <c r="AI1250" s="5" t="str">
        <f ca="1">IFERROR(__xludf.DUMMYFUNCTION("""COMPUTED_VALUE"""),"No")</f>
        <v>No</v>
      </c>
      <c r="AJ1250" s="5" t="str">
        <f ca="1">IFERROR(__xludf.DUMMYFUNCTION("""COMPUTED_VALUE"""),"Yes")</f>
        <v>Yes</v>
      </c>
    </row>
    <row r="1251" spans="1:36" ht="13">
      <c r="A1251" s="5" t="str">
        <f ca="1">IFERROR(__xludf.DUMMYFUNCTION("""COMPUTED_VALUE"""),"20110523HIHIP")</f>
        <v>20110523HIHIP</v>
      </c>
      <c r="B1251" s="5">
        <f ca="1">IFERROR(__xludf.DUMMYFUNCTION("""COMPUTED_VALUE"""),5)</f>
        <v>5</v>
      </c>
      <c r="C1251" s="5">
        <f ca="1">IFERROR(__xludf.DUMMYFUNCTION("""COMPUTED_VALUE"""),23)</f>
        <v>23</v>
      </c>
      <c r="D1251" s="5">
        <f ca="1">IFERROR(__xludf.DUMMYFUNCTION("""COMPUTED_VALUE"""),2011)</f>
        <v>2011</v>
      </c>
      <c r="E1251" s="8">
        <f ca="1">IFERROR(__xludf.DUMMYFUNCTION("""COMPUTED_VALUE"""),40686)</f>
        <v>40686</v>
      </c>
      <c r="F1251" s="5" t="str">
        <f ca="1">IFERROR(__xludf.DUMMYFUNCTION("""COMPUTED_VALUE"""),"Highlands Intermediate School")</f>
        <v>Highlands Intermediate School</v>
      </c>
      <c r="G1251" s="5">
        <f ca="1">IFERROR(__xludf.DUMMYFUNCTION("""COMPUTED_VALUE"""),0)</f>
        <v>0</v>
      </c>
      <c r="H1251" s="5">
        <f ca="1">IFERROR(__xludf.DUMMYFUNCTION("""COMPUTED_VALUE"""),1)</f>
        <v>1</v>
      </c>
      <c r="I1251" s="5">
        <f ca="1">IFERROR(__xludf.DUMMYFUNCTION("""COMPUTED_VALUE"""),1)</f>
        <v>1</v>
      </c>
      <c r="J1251" s="5">
        <f ca="1">IFERROR(__xludf.DUMMYFUNCTION("""COMPUTED_VALUE"""),0)</f>
        <v>0</v>
      </c>
      <c r="K1251" s="5" t="str">
        <f ca="1">IFERROR(__xludf.DUMMYFUNCTION("""COMPUTED_VALUE"""),"http://www.staradvertiser.com/2011/06/15/breaking-news/third-boy-arrested-in-highlands-school-shooting/    https://www.newspapers.com/image/321875717/?terms=Highland%2BIntermediate%2Bschool")</f>
        <v>http://www.staradvertiser.com/2011/06/15/breaking-news/third-boy-arrested-in-highlands-school-shooting/    https://www.newspapers.com/image/321875717/?terms=Highland%2BIntermediate%2Bschool</v>
      </c>
      <c r="L1251" s="5">
        <f ca="1">IFERROR(__xludf.DUMMYFUNCTION("""COMPUTED_VALUE"""),1)</f>
        <v>1</v>
      </c>
      <c r="M1251" s="5" t="str">
        <f ca="1">IFERROR(__xludf.DUMMYFUNCTION("""COMPUTED_VALUE"""),"Local")</f>
        <v>Local</v>
      </c>
      <c r="N1251" s="5">
        <f ca="1">IFERROR(__xludf.DUMMYFUNCTION("""COMPUTED_VALUE"""),3)</f>
        <v>3</v>
      </c>
      <c r="O1251" s="5" t="str">
        <f ca="1">IFERROR(__xludf.DUMMYFUNCTION("""COMPUTED_VALUE"""),"Spring")</f>
        <v>Spring</v>
      </c>
      <c r="P1251" s="5" t="str">
        <f ca="1">IFERROR(__xludf.DUMMYFUNCTION("""COMPUTED_VALUE"""),"Pearl City")</f>
        <v>Pearl City</v>
      </c>
      <c r="Q1251" s="5" t="str">
        <f ca="1">IFERROR(__xludf.DUMMYFUNCTION("""COMPUTED_VALUE"""),"HI")</f>
        <v>HI</v>
      </c>
      <c r="R1251" s="5" t="str">
        <f ca="1">IFERROR(__xludf.DUMMYFUNCTION("""COMPUTED_VALUE"""),"Middle")</f>
        <v>Middle</v>
      </c>
      <c r="S1251" s="5" t="str">
        <f ca="1">IFERROR(__xludf.DUMMYFUNCTION("""COMPUTED_VALUE"""),"Beside Building")</f>
        <v>Beside Building</v>
      </c>
      <c r="T1251" s="5" t="str">
        <f ca="1">IFERROR(__xludf.DUMMYFUNCTION("""COMPUTED_VALUE"""),"Outside on School Property")</f>
        <v>Outside on School Property</v>
      </c>
      <c r="U1251" s="5" t="str">
        <f ca="1">IFERROR(__xludf.DUMMYFUNCTION("""COMPUTED_VALUE"""),"Yes")</f>
        <v>Yes</v>
      </c>
      <c r="V1251" s="5" t="str">
        <f ca="1">IFERROR(__xludf.DUMMYFUNCTION("""COMPUTED_VALUE"""),"Before School")</f>
        <v>Before School</v>
      </c>
      <c r="W1251" s="10">
        <f ca="1">IFERROR(__xludf.DUMMYFUNCTION("""COMPUTED_VALUE"""),0.270833333333333)</f>
        <v>0.27083333333333298</v>
      </c>
      <c r="X1251" s="5">
        <f ca="1">IFERROR(__xludf.DUMMYFUNCTION("""COMPUTED_VALUE"""),1)</f>
        <v>1</v>
      </c>
      <c r="Y1251" s="5" t="str">
        <f ca="1">IFERROR(__xludf.DUMMYFUNCTION("""COMPUTED_VALUE"""),"Accidental discharge when handling gun found behind school")</f>
        <v>Accidental discharge when handling gun found behind school</v>
      </c>
      <c r="Z1251" s="5" t="str">
        <f ca="1">IFERROR(__xludf.DUMMYFUNCTION("""COMPUTED_VALUE"""),"Shooter reported that he found the gun on Friday behind the school gym, but didn't pick the weapon up until Monday morning. The 14 year-old student told his father that he was showing the firearm to some friends when one of them pushed it away, and that i"&amp;"s when the weapon discharged. The bullet hit a wall, ricocheted, then broke into pieces that struck another student. Police arrested 3 juveniles in connection with the shooting. Allegedly, a 14YOM student stole the gun from his father the Christmas prior,"&amp;" sold it to a 16YOM student, who sold it to the 14YOM student who discharged it during the incident. The adult owner of the gun confirmed it was stolen but he never reported it.")</f>
        <v>Shooter reported that he found the gun on Friday behind the school gym, but didn't pick the weapon up until Monday morning. The 14 year-old student told his father that he was showing the firearm to some friends when one of them pushed it away, and that is when the weapon discharged. The bullet hit a wall, ricocheted, then broke into pieces that struck another student. Police arrested 3 juveniles in connection with the shooting. Allegedly, a 14YOM student stole the gun from his father the Christmas prior, sold it to a 16YOM student, who sold it to the 14YOM student who discharged it during the incident. The adult owner of the gun confirmed it was stolen but he never reported it.</v>
      </c>
      <c r="AA1251" s="5" t="str">
        <f ca="1">IFERROR(__xludf.DUMMYFUNCTION("""COMPUTED_VALUE"""),"Accidental")</f>
        <v>Accidental</v>
      </c>
      <c r="AB1251" s="5" t="str">
        <f ca="1">IFERROR(__xludf.DUMMYFUNCTION("""COMPUTED_VALUE"""),"Random Shooting")</f>
        <v>Random Shooting</v>
      </c>
      <c r="AC1251" s="5" t="str">
        <f ca="1">IFERROR(__xludf.DUMMYFUNCTION("""COMPUTED_VALUE"""),"No")</f>
        <v>No</v>
      </c>
      <c r="AD1251" s="5" t="str">
        <f ca="1">IFERROR(__xludf.DUMMYFUNCTION("""COMPUTED_VALUE"""),"No")</f>
        <v>No</v>
      </c>
      <c r="AE1251" s="5" t="str">
        <f ca="1">IFERROR(__xludf.DUMMYFUNCTION("""COMPUTED_VALUE"""),"No")</f>
        <v>No</v>
      </c>
      <c r="AF1251" s="5" t="str">
        <f ca="1">IFERROR(__xludf.DUMMYFUNCTION("""COMPUTED_VALUE"""),"No")</f>
        <v>No</v>
      </c>
      <c r="AG1251" s="5" t="str">
        <f ca="1">IFERROR(__xludf.DUMMYFUNCTION("""COMPUTED_VALUE"""),"No")</f>
        <v>No</v>
      </c>
      <c r="AH1251" s="5" t="str">
        <f ca="1">IFERROR(__xludf.DUMMYFUNCTION("""COMPUTED_VALUE"""),"No")</f>
        <v>No</v>
      </c>
      <c r="AI1251" s="5" t="str">
        <f ca="1">IFERROR(__xludf.DUMMYFUNCTION("""COMPUTED_VALUE"""),"No")</f>
        <v>No</v>
      </c>
      <c r="AJ1251" s="5"/>
    </row>
    <row r="1252" spans="1:36" ht="13">
      <c r="A1252" s="5" t="str">
        <f ca="1">IFERROR(__xludf.DUMMYFUNCTION("""COMPUTED_VALUE"""),"20110517WAHOE")</f>
        <v>20110517WAHOE</v>
      </c>
      <c r="B1252" s="5">
        <f ca="1">IFERROR(__xludf.DUMMYFUNCTION("""COMPUTED_VALUE"""),5)</f>
        <v>5</v>
      </c>
      <c r="C1252" s="5">
        <f ca="1">IFERROR(__xludf.DUMMYFUNCTION("""COMPUTED_VALUE"""),17)</f>
        <v>17</v>
      </c>
      <c r="D1252" s="5">
        <f ca="1">IFERROR(__xludf.DUMMYFUNCTION("""COMPUTED_VALUE"""),2011)</f>
        <v>2011</v>
      </c>
      <c r="E1252" s="8">
        <f ca="1">IFERROR(__xludf.DUMMYFUNCTION("""COMPUTED_VALUE"""),40680)</f>
        <v>40680</v>
      </c>
      <c r="F1252" s="5" t="str">
        <f ca="1">IFERROR(__xludf.DUMMYFUNCTION("""COMPUTED_VALUE"""),"Horizon Elementary School")</f>
        <v>Horizon Elementary School</v>
      </c>
      <c r="G1252" s="5">
        <f ca="1">IFERROR(__xludf.DUMMYFUNCTION("""COMPUTED_VALUE"""),0)</f>
        <v>0</v>
      </c>
      <c r="H1252" s="5">
        <f ca="1">IFERROR(__xludf.DUMMYFUNCTION("""COMPUTED_VALUE"""),1)</f>
        <v>1</v>
      </c>
      <c r="I1252" s="5">
        <f ca="1">IFERROR(__xludf.DUMMYFUNCTION("""COMPUTED_VALUE"""),1)</f>
        <v>1</v>
      </c>
      <c r="J1252" s="5">
        <f ca="1">IFERROR(__xludf.DUMMYFUNCTION("""COMPUTED_VALUE"""),0)</f>
        <v>0</v>
      </c>
      <c r="K1252" s="9" t="str">
        <f ca="1">IFERROR(__xludf.DUMMYFUNCTION("""COMPUTED_VALUE"""),"https://www.heraldnet.com/news/marysville-teen-sentenced-to-10-years-for-shooting-outside-everett-school/")</f>
        <v>https://www.heraldnet.com/news/marysville-teen-sentenced-to-10-years-for-shooting-outside-everett-school/</v>
      </c>
      <c r="L1252" s="5">
        <f ca="1">IFERROR(__xludf.DUMMYFUNCTION("""COMPUTED_VALUE"""),1)</f>
        <v>1</v>
      </c>
      <c r="M1252" s="5" t="str">
        <f ca="1">IFERROR(__xludf.DUMMYFUNCTION("""COMPUTED_VALUE"""),"Local")</f>
        <v>Local</v>
      </c>
      <c r="N1252" s="5">
        <f ca="1">IFERROR(__xludf.DUMMYFUNCTION("""COMPUTED_VALUE"""),3)</f>
        <v>3</v>
      </c>
      <c r="O1252" s="5" t="str">
        <f ca="1">IFERROR(__xludf.DUMMYFUNCTION("""COMPUTED_VALUE"""),"Spring")</f>
        <v>Spring</v>
      </c>
      <c r="P1252" s="5" t="str">
        <f ca="1">IFERROR(__xludf.DUMMYFUNCTION("""COMPUTED_VALUE"""),"Everett")</f>
        <v>Everett</v>
      </c>
      <c r="Q1252" s="5" t="str">
        <f ca="1">IFERROR(__xludf.DUMMYFUNCTION("""COMPUTED_VALUE"""),"WA")</f>
        <v>WA</v>
      </c>
      <c r="R1252" s="5" t="str">
        <f ca="1">IFERROR(__xludf.DUMMYFUNCTION("""COMPUTED_VALUE"""),"Elementary")</f>
        <v>Elementary</v>
      </c>
      <c r="S1252" s="5" t="str">
        <f ca="1">IFERROR(__xludf.DUMMYFUNCTION("""COMPUTED_VALUE"""),"Basketball Court")</f>
        <v>Basketball Court</v>
      </c>
      <c r="T1252" s="5" t="str">
        <f ca="1">IFERROR(__xludf.DUMMYFUNCTION("""COMPUTED_VALUE"""),"Outside on School Property")</f>
        <v>Outside on School Property</v>
      </c>
      <c r="U1252" s="5" t="str">
        <f ca="1">IFERROR(__xludf.DUMMYFUNCTION("""COMPUTED_VALUE"""),"No")</f>
        <v>No</v>
      </c>
      <c r="V1252" s="5" t="str">
        <f ca="1">IFERROR(__xludf.DUMMYFUNCTION("""COMPUTED_VALUE"""),"Evening")</f>
        <v>Evening</v>
      </c>
      <c r="W1252" s="10">
        <f ca="1">IFERROR(__xludf.DUMMYFUNCTION("""COMPUTED_VALUE"""),0.770833333333333)</f>
        <v>0.77083333333333304</v>
      </c>
      <c r="X1252" s="5">
        <f ca="1">IFERROR(__xludf.DUMMYFUNCTION("""COMPUTED_VALUE"""),1)</f>
        <v>1</v>
      </c>
      <c r="Y1252" s="5" t="str">
        <f ca="1">IFERROR(__xludf.DUMMYFUNCTION("""COMPUTED_VALUE"""),"Argument on the outdoor basketball court, result of an ongoing gang feud")</f>
        <v>Argument on the outdoor basketball court, result of an ongoing gang feud</v>
      </c>
      <c r="Z1252" s="5" t="str">
        <f ca="1">IFERROR(__xludf.DUMMYFUNCTION("""COMPUTED_VALUE"""),"A group of teens were playing basketball when an argument ensued - one teen pulled out a gun and shot another in the chest. Shooter fled, but was caught by police - sentenced to 10 years in jail")</f>
        <v>A group of teens were playing basketball when an argument ensued - one teen pulled out a gun and shot another in the chest. Shooter fled, but was caught by police - sentenced to 10 years in jail</v>
      </c>
      <c r="AA1252" s="5" t="str">
        <f ca="1">IFERROR(__xludf.DUMMYFUNCTION("""COMPUTED_VALUE"""),"Escalation of Dispute")</f>
        <v>Escalation of Dispute</v>
      </c>
      <c r="AB1252" s="5" t="str">
        <f ca="1">IFERROR(__xludf.DUMMYFUNCTION("""COMPUTED_VALUE"""),"Victims Targeted")</f>
        <v>Victims Targeted</v>
      </c>
      <c r="AC1252" s="5"/>
      <c r="AD1252" s="5" t="str">
        <f ca="1">IFERROR(__xludf.DUMMYFUNCTION("""COMPUTED_VALUE"""),"No")</f>
        <v>No</v>
      </c>
      <c r="AE1252" s="5" t="str">
        <f ca="1">IFERROR(__xludf.DUMMYFUNCTION("""COMPUTED_VALUE"""),"No")</f>
        <v>No</v>
      </c>
      <c r="AF1252" s="5" t="str">
        <f ca="1">IFERROR(__xludf.DUMMYFUNCTION("""COMPUTED_VALUE"""),"No")</f>
        <v>No</v>
      </c>
      <c r="AG1252" s="5" t="str">
        <f ca="1">IFERROR(__xludf.DUMMYFUNCTION("""COMPUTED_VALUE"""),"No")</f>
        <v>No</v>
      </c>
      <c r="AH1252" s="5" t="str">
        <f ca="1">IFERROR(__xludf.DUMMYFUNCTION("""COMPUTED_VALUE"""),"No")</f>
        <v>No</v>
      </c>
      <c r="AI1252" s="5" t="str">
        <f ca="1">IFERROR(__xludf.DUMMYFUNCTION("""COMPUTED_VALUE"""),"Yes")</f>
        <v>Yes</v>
      </c>
      <c r="AJ1252" s="5"/>
    </row>
    <row r="1253" spans="1:36" ht="13">
      <c r="A1253" s="5" t="str">
        <f ca="1">IFERROR(__xludf.DUMMYFUNCTION("""COMPUTED_VALUE"""),"20110419TXBEH")</f>
        <v>20110419TXBEH</v>
      </c>
      <c r="B1253" s="5">
        <f ca="1">IFERROR(__xludf.DUMMYFUNCTION("""COMPUTED_VALUE"""),4)</f>
        <v>4</v>
      </c>
      <c r="C1253" s="5">
        <f ca="1">IFERROR(__xludf.DUMMYFUNCTION("""COMPUTED_VALUE"""),19)</f>
        <v>19</v>
      </c>
      <c r="D1253" s="5">
        <f ca="1">IFERROR(__xludf.DUMMYFUNCTION("""COMPUTED_VALUE"""),2011)</f>
        <v>2011</v>
      </c>
      <c r="E1253" s="8">
        <f ca="1">IFERROR(__xludf.DUMMYFUNCTION("""COMPUTED_VALUE"""),40652)</f>
        <v>40652</v>
      </c>
      <c r="F1253" s="5" t="str">
        <f ca="1">IFERROR(__xludf.DUMMYFUNCTION("""COMPUTED_VALUE"""),"Betsy Ross Elementary School")</f>
        <v>Betsy Ross Elementary School</v>
      </c>
      <c r="G1253" s="5">
        <f ca="1">IFERROR(__xludf.DUMMYFUNCTION("""COMPUTED_VALUE"""),0)</f>
        <v>0</v>
      </c>
      <c r="H1253" s="5">
        <f ca="1">IFERROR(__xludf.DUMMYFUNCTION("""COMPUTED_VALUE"""),3)</f>
        <v>3</v>
      </c>
      <c r="I1253" s="5">
        <f ca="1">IFERROR(__xludf.DUMMYFUNCTION("""COMPUTED_VALUE"""),3)</f>
        <v>3</v>
      </c>
      <c r="J1253" s="5">
        <f ca="1">IFERROR(__xludf.DUMMYFUNCTION("""COMPUTED_VALUE"""),0)</f>
        <v>0</v>
      </c>
      <c r="K1253" s="5" t="str">
        <f ca="1">IFERROR(__xludf.DUMMYFUNCTION("""COMPUTED_VALUE"""),"https://www.cbsnews.com/news/texas-schoolboy-6-accidentally-discharges-gun-in-cafeteria-three-children-wounded-say-police/ https://www.nydailynews.com/news/national/kindergartener-drops-gun-brought-houston-betsy-ross-elementary-school-3-kids-wounded-artic"&amp;"le-1.110998 https://www.cbsnews.com/news/texas-schoolboy-6-accidentally-discharges-gun-in-cafeteria-three-children-wounded-say-police/")</f>
        <v>https://www.cbsnews.com/news/texas-schoolboy-6-accidentally-discharges-gun-in-cafeteria-three-children-wounded-say-police/ https://www.nydailynews.com/news/national/kindergartener-drops-gun-brought-houston-betsy-ross-elementary-school-3-kids-wounded-article-1.110998 https://www.cbsnews.com/news/texas-schoolboy-6-accidentally-discharges-gun-in-cafeteria-three-children-wounded-say-police/</v>
      </c>
      <c r="L1253" s="5">
        <f ca="1">IFERROR(__xludf.DUMMYFUNCTION("""COMPUTED_VALUE"""),5)</f>
        <v>5</v>
      </c>
      <c r="M1253" s="5" t="str">
        <f ca="1">IFERROR(__xludf.DUMMYFUNCTION("""COMPUTED_VALUE"""),"National")</f>
        <v>National</v>
      </c>
      <c r="N1253" s="5">
        <f ca="1">IFERROR(__xludf.DUMMYFUNCTION("""COMPUTED_VALUE"""),4)</f>
        <v>4</v>
      </c>
      <c r="O1253" s="5" t="str">
        <f ca="1">IFERROR(__xludf.DUMMYFUNCTION("""COMPUTED_VALUE"""),"Spring")</f>
        <v>Spring</v>
      </c>
      <c r="P1253" s="5" t="str">
        <f ca="1">IFERROR(__xludf.DUMMYFUNCTION("""COMPUTED_VALUE"""),"Houston")</f>
        <v>Houston</v>
      </c>
      <c r="Q1253" s="5" t="str">
        <f ca="1">IFERROR(__xludf.DUMMYFUNCTION("""COMPUTED_VALUE"""),"TX")</f>
        <v>TX</v>
      </c>
      <c r="R1253" s="5" t="str">
        <f ca="1">IFERROR(__xludf.DUMMYFUNCTION("""COMPUTED_VALUE"""),"Elementary")</f>
        <v>Elementary</v>
      </c>
      <c r="S1253" s="5" t="str">
        <f ca="1">IFERROR(__xludf.DUMMYFUNCTION("""COMPUTED_VALUE"""),"Cafeteria")</f>
        <v>Cafeteria</v>
      </c>
      <c r="T1253" s="5" t="str">
        <f ca="1">IFERROR(__xludf.DUMMYFUNCTION("""COMPUTED_VALUE"""),"Inside School Building")</f>
        <v>Inside School Building</v>
      </c>
      <c r="U1253" s="5" t="str">
        <f ca="1">IFERROR(__xludf.DUMMYFUNCTION("""COMPUTED_VALUE"""),"Yes")</f>
        <v>Yes</v>
      </c>
      <c r="V1253" s="5" t="str">
        <f ca="1">IFERROR(__xludf.DUMMYFUNCTION("""COMPUTED_VALUE"""),"Lunch")</f>
        <v>Lunch</v>
      </c>
      <c r="W1253" s="10">
        <f ca="1">IFERROR(__xludf.DUMMYFUNCTION("""COMPUTED_VALUE"""),0.458333333333333)</f>
        <v>0.45833333333333298</v>
      </c>
      <c r="X1253" s="5">
        <f ca="1">IFERROR(__xludf.DUMMYFUNCTION("""COMPUTED_VALUE"""),1)</f>
        <v>1</v>
      </c>
      <c r="Y1253" s="5" t="str">
        <f ca="1">IFERROR(__xludf.DUMMYFUNCTION("""COMPUTED_VALUE"""),"Gun fell out of pocket of 6 YOM student in cafeteria, injured 3")</f>
        <v>Gun fell out of pocket of 6 YOM student in cafeteria, injured 3</v>
      </c>
      <c r="Z1253" s="5" t="str">
        <f ca="1">IFERROR(__xludf.DUMMYFUNCTION("""COMPUTED_VALUE"""),"A handgun fell out of the pocket of a 6YOM student when he sat down for lunch in cafeteria and discharged injuring 3 other students.")</f>
        <v>A handgun fell out of the pocket of a 6YOM student when he sat down for lunch in cafeteria and discharged injuring 3 other students.</v>
      </c>
      <c r="AA1253" s="5" t="str">
        <f ca="1">IFERROR(__xludf.DUMMYFUNCTION("""COMPUTED_VALUE"""),"Accidental")</f>
        <v>Accidental</v>
      </c>
      <c r="AB1253" s="5" t="str">
        <f ca="1">IFERROR(__xludf.DUMMYFUNCTION("""COMPUTED_VALUE"""),"Random Shooting")</f>
        <v>Random Shooting</v>
      </c>
      <c r="AC1253" s="5" t="str">
        <f ca="1">IFERROR(__xludf.DUMMYFUNCTION("""COMPUTED_VALUE"""),"No")</f>
        <v>No</v>
      </c>
      <c r="AD1253" s="5" t="str">
        <f ca="1">IFERROR(__xludf.DUMMYFUNCTION("""COMPUTED_VALUE"""),"No")</f>
        <v>No</v>
      </c>
      <c r="AE1253" s="5" t="str">
        <f ca="1">IFERROR(__xludf.DUMMYFUNCTION("""COMPUTED_VALUE"""),"No")</f>
        <v>No</v>
      </c>
      <c r="AF1253" s="5" t="str">
        <f ca="1">IFERROR(__xludf.DUMMYFUNCTION("""COMPUTED_VALUE"""),"No")</f>
        <v>No</v>
      </c>
      <c r="AG1253" s="5" t="str">
        <f ca="1">IFERROR(__xludf.DUMMYFUNCTION("""COMPUTED_VALUE"""),"No")</f>
        <v>No</v>
      </c>
      <c r="AH1253" s="5" t="str">
        <f ca="1">IFERROR(__xludf.DUMMYFUNCTION("""COMPUTED_VALUE"""),"No")</f>
        <v>No</v>
      </c>
      <c r="AI1253" s="5" t="str">
        <f ca="1">IFERROR(__xludf.DUMMYFUNCTION("""COMPUTED_VALUE"""),"No")</f>
        <v>No</v>
      </c>
      <c r="AJ1253" s="5"/>
    </row>
    <row r="1254" spans="1:36" ht="13">
      <c r="A1254" s="5" t="str">
        <f ca="1">IFERROR(__xludf.DUMMYFUNCTION("""COMPUTED_VALUE"""),"20110413FLSHA")</f>
        <v>20110413FLSHA</v>
      </c>
      <c r="B1254" s="5">
        <f ca="1">IFERROR(__xludf.DUMMYFUNCTION("""COMPUTED_VALUE"""),4)</f>
        <v>4</v>
      </c>
      <c r="C1254" s="5">
        <f ca="1">IFERROR(__xludf.DUMMYFUNCTION("""COMPUTED_VALUE"""),13)</f>
        <v>13</v>
      </c>
      <c r="D1254" s="5">
        <f ca="1">IFERROR(__xludf.DUMMYFUNCTION("""COMPUTED_VALUE"""),2011)</f>
        <v>2011</v>
      </c>
      <c r="E1254" s="8">
        <f ca="1">IFERROR(__xludf.DUMMYFUNCTION("""COMPUTED_VALUE"""),40646)</f>
        <v>40646</v>
      </c>
      <c r="F1254" s="5" t="str">
        <f ca="1">IFERROR(__xludf.DUMMYFUNCTION("""COMPUTED_VALUE"""),"Sheeler Charter High School")</f>
        <v>Sheeler Charter High School</v>
      </c>
      <c r="G1254" s="5">
        <f ca="1">IFERROR(__xludf.DUMMYFUNCTION("""COMPUTED_VALUE"""),0)</f>
        <v>0</v>
      </c>
      <c r="H1254" s="5">
        <f ca="1">IFERROR(__xludf.DUMMYFUNCTION("""COMPUTED_VALUE"""),1)</f>
        <v>1</v>
      </c>
      <c r="I1254" s="5">
        <f ca="1">IFERROR(__xludf.DUMMYFUNCTION("""COMPUTED_VALUE"""),1)</f>
        <v>1</v>
      </c>
      <c r="J1254" s="5">
        <f ca="1">IFERROR(__xludf.DUMMYFUNCTION("""COMPUTED_VALUE"""),0)</f>
        <v>0</v>
      </c>
      <c r="K1254" s="5" t="str">
        <f ca="1">IFERROR(__xludf.DUMMYFUNCTION("""COMPUTED_VALUE"""),"https://www.wftv.com/news/2-teens-facing-charges-after-shooting-outside-scho/286627477  https://www.newspapers.com/image/268436937/?terms=sheeler%2Bcharter%2Bhigh%2Bschool")</f>
        <v>https://www.wftv.com/news/2-teens-facing-charges-after-shooting-outside-scho/286627477  https://www.newspapers.com/image/268436937/?terms=sheeler%2Bcharter%2Bhigh%2Bschool</v>
      </c>
      <c r="L1254" s="5">
        <f ca="1">IFERROR(__xludf.DUMMYFUNCTION("""COMPUTED_VALUE"""),1)</f>
        <v>1</v>
      </c>
      <c r="M1254" s="5" t="str">
        <f ca="1">IFERROR(__xludf.DUMMYFUNCTION("""COMPUTED_VALUE"""),"Local")</f>
        <v>Local</v>
      </c>
      <c r="N1254" s="5">
        <f ca="1">IFERROR(__xludf.DUMMYFUNCTION("""COMPUTED_VALUE"""),3)</f>
        <v>3</v>
      </c>
      <c r="O1254" s="5" t="str">
        <f ca="1">IFERROR(__xludf.DUMMYFUNCTION("""COMPUTED_VALUE"""),"Spring")</f>
        <v>Spring</v>
      </c>
      <c r="P1254" s="5" t="str">
        <f ca="1">IFERROR(__xludf.DUMMYFUNCTION("""COMPUTED_VALUE"""),"Apopka")</f>
        <v>Apopka</v>
      </c>
      <c r="Q1254" s="5" t="str">
        <f ca="1">IFERROR(__xludf.DUMMYFUNCTION("""COMPUTED_VALUE"""),"FL")</f>
        <v>FL</v>
      </c>
      <c r="R1254" s="5" t="str">
        <f ca="1">IFERROR(__xludf.DUMMYFUNCTION("""COMPUTED_VALUE"""),"High")</f>
        <v>High</v>
      </c>
      <c r="S1254" s="5" t="str">
        <f ca="1">IFERROR(__xludf.DUMMYFUNCTION("""COMPUTED_VALUE"""),"Parking Lot")</f>
        <v>Parking Lot</v>
      </c>
      <c r="T1254" s="5" t="str">
        <f ca="1">IFERROR(__xludf.DUMMYFUNCTION("""COMPUTED_VALUE"""),"Outside on School Property")</f>
        <v>Outside on School Property</v>
      </c>
      <c r="U1254" s="5" t="str">
        <f ca="1">IFERROR(__xludf.DUMMYFUNCTION("""COMPUTED_VALUE"""),"Yes")</f>
        <v>Yes</v>
      </c>
      <c r="V1254" s="5" t="str">
        <f ca="1">IFERROR(__xludf.DUMMYFUNCTION("""COMPUTED_VALUE"""),"Lunch")</f>
        <v>Lunch</v>
      </c>
      <c r="W1254" s="10">
        <f ca="1">IFERROR(__xludf.DUMMYFUNCTION("""COMPUTED_VALUE"""),0.5)</f>
        <v>0.5</v>
      </c>
      <c r="X1254" s="5">
        <f ca="1">IFERROR(__xludf.DUMMYFUNCTION("""COMPUTED_VALUE"""),1)</f>
        <v>1</v>
      </c>
      <c r="Y1254" s="5" t="str">
        <f ca="1">IFERROR(__xludf.DUMMYFUNCTION("""COMPUTED_VALUE"""),"Fight in school parking lot")</f>
        <v>Fight in school parking lot</v>
      </c>
      <c r="Z1254" s="5" t="str">
        <f ca="1">IFERROR(__xludf.DUMMYFUNCTION("""COMPUTED_VALUE"""),"The suspects, two non students, approached a student at the parking lot and an argument started. A school administrator tried to break off the fights but one of the suspects pulled a gun and accidentally shot the other suspect. Both suspects fled and were"&amp;" later apprehended, the gun was recovered.")</f>
        <v>The suspects, two non students, approached a student at the parking lot and an argument started. A school administrator tried to break off the fights but one of the suspects pulled a gun and accidentally shot the other suspect. Both suspects fled and were later apprehended, the gun was recovered.</v>
      </c>
      <c r="AA1254" s="5" t="str">
        <f ca="1">IFERROR(__xludf.DUMMYFUNCTION("""COMPUTED_VALUE"""),"Escalation of Dispute")</f>
        <v>Escalation of Dispute</v>
      </c>
      <c r="AB1254" s="5" t="str">
        <f ca="1">IFERROR(__xludf.DUMMYFUNCTION("""COMPUTED_VALUE"""),"Both")</f>
        <v>Both</v>
      </c>
      <c r="AC1254" s="5" t="str">
        <f ca="1">IFERROR(__xludf.DUMMYFUNCTION("""COMPUTED_VALUE"""),"Yes")</f>
        <v>Yes</v>
      </c>
      <c r="AD1254" s="5" t="str">
        <f ca="1">IFERROR(__xludf.DUMMYFUNCTION("""COMPUTED_VALUE"""),"No")</f>
        <v>No</v>
      </c>
      <c r="AE1254" s="5" t="str">
        <f ca="1">IFERROR(__xludf.DUMMYFUNCTION("""COMPUTED_VALUE"""),"No")</f>
        <v>No</v>
      </c>
      <c r="AF1254" s="5" t="str">
        <f ca="1">IFERROR(__xludf.DUMMYFUNCTION("""COMPUTED_VALUE"""),"No")</f>
        <v>No</v>
      </c>
      <c r="AG1254" s="5" t="str">
        <f ca="1">IFERROR(__xludf.DUMMYFUNCTION("""COMPUTED_VALUE"""),"No")</f>
        <v>No</v>
      </c>
      <c r="AH1254" s="5" t="str">
        <f ca="1">IFERROR(__xludf.DUMMYFUNCTION("""COMPUTED_VALUE"""),"No")</f>
        <v>No</v>
      </c>
      <c r="AI1254" s="5" t="str">
        <f ca="1">IFERROR(__xludf.DUMMYFUNCTION("""COMPUTED_VALUE"""),"No")</f>
        <v>No</v>
      </c>
      <c r="AJ1254" s="5"/>
    </row>
    <row r="1255" spans="1:36" ht="13">
      <c r="A1255" s="5" t="str">
        <f ca="1">IFERROR(__xludf.DUMMYFUNCTION("""COMPUTED_VALUE"""),"20110330TXWOH")</f>
        <v>20110330TXWOH</v>
      </c>
      <c r="B1255" s="5">
        <f ca="1">IFERROR(__xludf.DUMMYFUNCTION("""COMPUTED_VALUE"""),3)</f>
        <v>3</v>
      </c>
      <c r="C1255" s="5">
        <f ca="1">IFERROR(__xludf.DUMMYFUNCTION("""COMPUTED_VALUE"""),30)</f>
        <v>30</v>
      </c>
      <c r="D1255" s="5">
        <f ca="1">IFERROR(__xludf.DUMMYFUNCTION("""COMPUTED_VALUE"""),2011)</f>
        <v>2011</v>
      </c>
      <c r="E1255" s="8">
        <f ca="1">IFERROR(__xludf.DUMMYFUNCTION("""COMPUTED_VALUE"""),40632)</f>
        <v>40632</v>
      </c>
      <c r="F1255" s="5" t="str">
        <f ca="1">IFERROR(__xludf.DUMMYFUNCTION("""COMPUTED_VALUE"""),"Worthing High School")</f>
        <v>Worthing High School</v>
      </c>
      <c r="G1255" s="5">
        <f ca="1">IFERROR(__xludf.DUMMYFUNCTION("""COMPUTED_VALUE"""),1)</f>
        <v>1</v>
      </c>
      <c r="H1255" s="5">
        <f ca="1">IFERROR(__xludf.DUMMYFUNCTION("""COMPUTED_VALUE"""),5)</f>
        <v>5</v>
      </c>
      <c r="I1255" s="5">
        <f ca="1">IFERROR(__xludf.DUMMYFUNCTION("""COMPUTED_VALUE"""),6)</f>
        <v>6</v>
      </c>
      <c r="J1255" s="5">
        <f ca="1">IFERROR(__xludf.DUMMYFUNCTION("""COMPUTED_VALUE"""),0)</f>
        <v>0</v>
      </c>
      <c r="K1255" s="9" t="str">
        <f ca="1">IFERROR(__xludf.DUMMYFUNCTION("""COMPUTED_VALUE"""),"https://abc13.com/archive/8044190/")</f>
        <v>https://abc13.com/archive/8044190/</v>
      </c>
      <c r="L1255" s="5">
        <f ca="1">IFERROR(__xludf.DUMMYFUNCTION("""COMPUTED_VALUE"""),5)</f>
        <v>5</v>
      </c>
      <c r="M1255" s="5" t="str">
        <f ca="1">IFERROR(__xludf.DUMMYFUNCTION("""COMPUTED_VALUE"""),"Local")</f>
        <v>Local</v>
      </c>
      <c r="N1255" s="5">
        <f ca="1">IFERROR(__xludf.DUMMYFUNCTION("""COMPUTED_VALUE"""),2)</f>
        <v>2</v>
      </c>
      <c r="O1255" s="5" t="str">
        <f ca="1">IFERROR(__xludf.DUMMYFUNCTION("""COMPUTED_VALUE"""),"Spring")</f>
        <v>Spring</v>
      </c>
      <c r="P1255" s="5" t="str">
        <f ca="1">IFERROR(__xludf.DUMMYFUNCTION("""COMPUTED_VALUE"""),"Houston")</f>
        <v>Houston</v>
      </c>
      <c r="Q1255" s="5" t="str">
        <f ca="1">IFERROR(__xludf.DUMMYFUNCTION("""COMPUTED_VALUE"""),"TX")</f>
        <v>TX</v>
      </c>
      <c r="R1255" s="5" t="str">
        <f ca="1">IFERROR(__xludf.DUMMYFUNCTION("""COMPUTED_VALUE"""),"High")</f>
        <v>High</v>
      </c>
      <c r="S1255" s="5" t="str">
        <f ca="1">IFERROR(__xludf.DUMMYFUNCTION("""COMPUTED_VALUE"""),"Football Field/Track")</f>
        <v>Football Field/Track</v>
      </c>
      <c r="T1255" s="5" t="str">
        <f ca="1">IFERROR(__xludf.DUMMYFUNCTION("""COMPUTED_VALUE"""),"Outside on School Property")</f>
        <v>Outside on School Property</v>
      </c>
      <c r="U1255" s="5" t="str">
        <f ca="1">IFERROR(__xludf.DUMMYFUNCTION("""COMPUTED_VALUE"""),"No")</f>
        <v>No</v>
      </c>
      <c r="V1255" s="5" t="str">
        <f ca="1">IFERROR(__xludf.DUMMYFUNCTION("""COMPUTED_VALUE"""),"Sport Event")</f>
        <v>Sport Event</v>
      </c>
      <c r="W1255" s="10">
        <f ca="1">IFERROR(__xludf.DUMMYFUNCTION("""COMPUTED_VALUE"""),0.78125)</f>
        <v>0.78125</v>
      </c>
      <c r="X1255" s="5">
        <f ca="1">IFERROR(__xludf.DUMMYFUNCTION("""COMPUTED_VALUE"""),1)</f>
        <v>1</v>
      </c>
      <c r="Y1255" s="5" t="str">
        <f ca="1">IFERROR(__xludf.DUMMYFUNCTION("""COMPUTED_VALUE"""),"Gang related shooting at football game")</f>
        <v>Gang related shooting at football game</v>
      </c>
      <c r="Z1255" s="5" t="str">
        <f ca="1">IFERROR(__xludf.DUMMYFUNCTION("""COMPUTED_VALUE"""),"2 gangs from rival schools - Early 103 from Yates High School, and the Murder Mob from Worthing High School, clashed during a football game on the school field. The fist fight included bystanders. Two of the rival gang members went back to their car and s"&amp;"tarted shooting. Someone on the field started shooting back and the car left. The other shooter was not identified. The rival gang's car was later found with blood on the door and gunshot holes. 1 person was killed and 5 were wounded, including the 2 riva"&amp;"l gang members.")</f>
        <v>2 gangs from rival schools - Early 103 from Yates High School, and the Murder Mob from Worthing High School, clashed during a football game on the school field. The fist fight included bystanders. Two of the rival gang members went back to their car and started shooting. Someone on the field started shooting back and the car left. The other shooter was not identified. The rival gang's car was later found with blood on the door and gunshot holes. 1 person was killed and 5 were wounded, including the 2 rival gang members.</v>
      </c>
      <c r="AA1255" s="5" t="str">
        <f ca="1">IFERROR(__xludf.DUMMYFUNCTION("""COMPUTED_VALUE"""),"Escalation of Dispute")</f>
        <v>Escalation of Dispute</v>
      </c>
      <c r="AB1255" s="5" t="str">
        <f ca="1">IFERROR(__xludf.DUMMYFUNCTION("""COMPUTED_VALUE"""),"Both")</f>
        <v>Both</v>
      </c>
      <c r="AC1255" s="5"/>
      <c r="AD1255" s="5" t="str">
        <f ca="1">IFERROR(__xludf.DUMMYFUNCTION("""COMPUTED_VALUE"""),"No")</f>
        <v>No</v>
      </c>
      <c r="AE1255" s="5" t="str">
        <f ca="1">IFERROR(__xludf.DUMMYFUNCTION("""COMPUTED_VALUE"""),"No")</f>
        <v>No</v>
      </c>
      <c r="AF1255" s="5" t="str">
        <f ca="1">IFERROR(__xludf.DUMMYFUNCTION("""COMPUTED_VALUE"""),"No")</f>
        <v>No</v>
      </c>
      <c r="AG1255" s="5" t="str">
        <f ca="1">IFERROR(__xludf.DUMMYFUNCTION("""COMPUTED_VALUE"""),"No")</f>
        <v>No</v>
      </c>
      <c r="AH1255" s="5" t="str">
        <f ca="1">IFERROR(__xludf.DUMMYFUNCTION("""COMPUTED_VALUE"""),"No")</f>
        <v>No</v>
      </c>
      <c r="AI1255" s="5" t="str">
        <f ca="1">IFERROR(__xludf.DUMMYFUNCTION("""COMPUTED_VALUE"""),"Yes")</f>
        <v>Yes</v>
      </c>
      <c r="AJ1255" s="5"/>
    </row>
    <row r="1256" spans="1:36" ht="13">
      <c r="A1256" s="5" t="str">
        <f ca="1">IFERROR(__xludf.DUMMYFUNCTION("""COMPUTED_VALUE"""),"20110325INMAM")</f>
        <v>20110325INMAM</v>
      </c>
      <c r="B1256" s="5">
        <f ca="1">IFERROR(__xludf.DUMMYFUNCTION("""COMPUTED_VALUE"""),3)</f>
        <v>3</v>
      </c>
      <c r="C1256" s="5">
        <f ca="1">IFERROR(__xludf.DUMMYFUNCTION("""COMPUTED_VALUE"""),25)</f>
        <v>25</v>
      </c>
      <c r="D1256" s="5">
        <f ca="1">IFERROR(__xludf.DUMMYFUNCTION("""COMPUTED_VALUE"""),2011)</f>
        <v>2011</v>
      </c>
      <c r="E1256" s="8">
        <f ca="1">IFERROR(__xludf.DUMMYFUNCTION("""COMPUTED_VALUE"""),40627)</f>
        <v>40627</v>
      </c>
      <c r="F1256" s="5" t="str">
        <f ca="1">IFERROR(__xludf.DUMMYFUNCTION("""COMPUTED_VALUE"""),"Martinsville West Middle School")</f>
        <v>Martinsville West Middle School</v>
      </c>
      <c r="G1256" s="5">
        <f ca="1">IFERROR(__xludf.DUMMYFUNCTION("""COMPUTED_VALUE"""),0)</f>
        <v>0</v>
      </c>
      <c r="H1256" s="5">
        <f ca="1">IFERROR(__xludf.DUMMYFUNCTION("""COMPUTED_VALUE"""),1)</f>
        <v>1</v>
      </c>
      <c r="I1256" s="5">
        <f ca="1">IFERROR(__xludf.DUMMYFUNCTION("""COMPUTED_VALUE"""),1)</f>
        <v>1</v>
      </c>
      <c r="J1256" s="5">
        <f ca="1">IFERROR(__xludf.DUMMYFUNCTION("""COMPUTED_VALUE"""),0)</f>
        <v>0</v>
      </c>
      <c r="K1256" s="9" t="str">
        <f ca="1">IFERROR(__xludf.DUMMYFUNCTION("""COMPUTED_VALUE"""),"https://www.courtlistener.com/pdf/2012/06/11/michael_phelps_v._state_of_indiana.pdf")</f>
        <v>https://www.courtlistener.com/pdf/2012/06/11/michael_phelps_v._state_of_indiana.pdf</v>
      </c>
      <c r="L1256" s="5">
        <f ca="1">IFERROR(__xludf.DUMMYFUNCTION("""COMPUTED_VALUE"""),11)</f>
        <v>11</v>
      </c>
      <c r="M1256" s="5" t="str">
        <f ca="1">IFERROR(__xludf.DUMMYFUNCTION("""COMPUTED_VALUE"""),"National")</f>
        <v>National</v>
      </c>
      <c r="N1256" s="5">
        <f ca="1">IFERROR(__xludf.DUMMYFUNCTION("""COMPUTED_VALUE"""),5)</f>
        <v>5</v>
      </c>
      <c r="O1256" s="5" t="str">
        <f ca="1">IFERROR(__xludf.DUMMYFUNCTION("""COMPUTED_VALUE"""),"Spring")</f>
        <v>Spring</v>
      </c>
      <c r="P1256" s="5" t="str">
        <f ca="1">IFERROR(__xludf.DUMMYFUNCTION("""COMPUTED_VALUE"""),"Martinsville")</f>
        <v>Martinsville</v>
      </c>
      <c r="Q1256" s="5" t="str">
        <f ca="1">IFERROR(__xludf.DUMMYFUNCTION("""COMPUTED_VALUE"""),"IN")</f>
        <v>IN</v>
      </c>
      <c r="R1256" s="5" t="str">
        <f ca="1">IFERROR(__xludf.DUMMYFUNCTION("""COMPUTED_VALUE"""),"Middle")</f>
        <v>Middle</v>
      </c>
      <c r="S1256" s="5" t="str">
        <f ca="1">IFERROR(__xludf.DUMMYFUNCTION("""COMPUTED_VALUE"""),"Hallway")</f>
        <v>Hallway</v>
      </c>
      <c r="T1256" s="5" t="str">
        <f ca="1">IFERROR(__xludf.DUMMYFUNCTION("""COMPUTED_VALUE"""),"Inside School Building")</f>
        <v>Inside School Building</v>
      </c>
      <c r="U1256" s="5" t="str">
        <f ca="1">IFERROR(__xludf.DUMMYFUNCTION("""COMPUTED_VALUE"""),"Yes")</f>
        <v>Yes</v>
      </c>
      <c r="V1256" s="5" t="str">
        <f ca="1">IFERROR(__xludf.DUMMYFUNCTION("""COMPUTED_VALUE"""),"Before School")</f>
        <v>Before School</v>
      </c>
      <c r="W1256" s="10">
        <f ca="1">IFERROR(__xludf.DUMMYFUNCTION("""COMPUTED_VALUE"""),0.291666666666666)</f>
        <v>0.29166666666666602</v>
      </c>
      <c r="X1256" s="5">
        <f ca="1">IFERROR(__xludf.DUMMYFUNCTION("""COMPUTED_VALUE"""),1)</f>
        <v>1</v>
      </c>
      <c r="Y1256" s="5" t="str">
        <f ca="1">IFERROR(__xludf.DUMMYFUNCTION("""COMPUTED_VALUE"""),"Shooter and victim had multiple prior fights")</f>
        <v>Shooter and victim had multiple prior fights</v>
      </c>
      <c r="Z1256" s="5" t="str">
        <f ca="1">IFERROR(__xludf.DUMMYFUNCTION("""COMPUTED_VALUE"""),"The shooter and victim had a fist fight days prior to the shooting, allegedly over a girl. The shooter was expelled from school for making a bomb threat the week prior, violating his probation after being adjudicated as a delinquent. Multiple disciplinary"&amp;" issues for years. The shooter mention in front of at least 3 people he was planning on shooting the victim. Shooter stole gun from former stepfather. Reportedly, victim refused to fight shooter and shooter shot him twice in the stomach, fled, and ditched"&amp;" the gun in a wooded area. Full court document available.")</f>
        <v>The shooter and victim had a fist fight days prior to the shooting, allegedly over a girl. The shooter was expelled from school for making a bomb threat the week prior, violating his probation after being adjudicated as a delinquent. Multiple disciplinary issues for years. The shooter mention in front of at least 3 people he was planning on shooting the victim. Shooter stole gun from former stepfather. Reportedly, victim refused to fight shooter and shooter shot him twice in the stomach, fled, and ditched the gun in a wooded area. Full court document available.</v>
      </c>
      <c r="AA1256" s="5" t="str">
        <f ca="1">IFERROR(__xludf.DUMMYFUNCTION("""COMPUTED_VALUE"""),"Escalation of Dispute")</f>
        <v>Escalation of Dispute</v>
      </c>
      <c r="AB1256" s="5" t="str">
        <f ca="1">IFERROR(__xludf.DUMMYFUNCTION("""COMPUTED_VALUE"""),"Victims Targeted")</f>
        <v>Victims Targeted</v>
      </c>
      <c r="AC1256" s="5" t="str">
        <f ca="1">IFERROR(__xludf.DUMMYFUNCTION("""COMPUTED_VALUE"""),"No")</f>
        <v>No</v>
      </c>
      <c r="AD1256" s="5" t="str">
        <f ca="1">IFERROR(__xludf.DUMMYFUNCTION("""COMPUTED_VALUE"""),"No")</f>
        <v>No</v>
      </c>
      <c r="AE1256" s="5" t="str">
        <f ca="1">IFERROR(__xludf.DUMMYFUNCTION("""COMPUTED_VALUE"""),"No")</f>
        <v>No</v>
      </c>
      <c r="AF1256" s="5" t="str">
        <f ca="1">IFERROR(__xludf.DUMMYFUNCTION("""COMPUTED_VALUE"""),"No")</f>
        <v>No</v>
      </c>
      <c r="AG1256" s="5" t="str">
        <f ca="1">IFERROR(__xludf.DUMMYFUNCTION("""COMPUTED_VALUE"""),"No")</f>
        <v>No</v>
      </c>
      <c r="AH1256" s="5" t="str">
        <f ca="1">IFERROR(__xludf.DUMMYFUNCTION("""COMPUTED_VALUE"""),"Yes")</f>
        <v>Yes</v>
      </c>
      <c r="AI1256" s="5" t="str">
        <f ca="1">IFERROR(__xludf.DUMMYFUNCTION("""COMPUTED_VALUE"""),"No")</f>
        <v>No</v>
      </c>
      <c r="AJ1256" s="5"/>
    </row>
    <row r="1257" spans="1:36" ht="13">
      <c r="A1257" s="5" t="str">
        <f ca="1">IFERROR(__xludf.DUMMYFUNCTION("""COMPUTED_VALUE"""),"20110202CALOP")</f>
        <v>20110202CALOP</v>
      </c>
      <c r="B1257" s="5">
        <f ca="1">IFERROR(__xludf.DUMMYFUNCTION("""COMPUTED_VALUE"""),2)</f>
        <v>2</v>
      </c>
      <c r="C1257" s="5">
        <f ca="1">IFERROR(__xludf.DUMMYFUNCTION("""COMPUTED_VALUE"""),2)</f>
        <v>2</v>
      </c>
      <c r="D1257" s="5">
        <f ca="1">IFERROR(__xludf.DUMMYFUNCTION("""COMPUTED_VALUE"""),2011)</f>
        <v>2011</v>
      </c>
      <c r="E1257" s="8">
        <f ca="1">IFERROR(__xludf.DUMMYFUNCTION("""COMPUTED_VALUE"""),40576)</f>
        <v>40576</v>
      </c>
      <c r="F1257" s="5" t="str">
        <f ca="1">IFERROR(__xludf.DUMMYFUNCTION("""COMPUTED_VALUE"""),"Louisiana Schnell Elementary School")</f>
        <v>Louisiana Schnell Elementary School</v>
      </c>
      <c r="G1257" s="5">
        <f ca="1">IFERROR(__xludf.DUMMYFUNCTION("""COMPUTED_VALUE"""),1)</f>
        <v>1</v>
      </c>
      <c r="H1257" s="5">
        <f ca="1">IFERROR(__xludf.DUMMYFUNCTION("""COMPUTED_VALUE"""),0)</f>
        <v>0</v>
      </c>
      <c r="I1257" s="5">
        <f ca="1">IFERROR(__xludf.DUMMYFUNCTION("""COMPUTED_VALUE"""),1)</f>
        <v>1</v>
      </c>
      <c r="J1257" s="5">
        <f ca="1">IFERROR(__xludf.DUMMYFUNCTION("""COMPUTED_VALUE"""),0)</f>
        <v>0</v>
      </c>
      <c r="K1257" s="9" t="str">
        <f ca="1">IFERROR(__xludf.DUMMYFUNCTION("""COMPUTED_VALUE"""),"https://sacramento.cbslocal.com/2012/04/24/verdict-reached-in-placerville-principal-slaying/")</f>
        <v>https://sacramento.cbslocal.com/2012/04/24/verdict-reached-in-placerville-principal-slaying/</v>
      </c>
      <c r="L1257" s="5">
        <f ca="1">IFERROR(__xludf.DUMMYFUNCTION("""COMPUTED_VALUE"""),5)</f>
        <v>5</v>
      </c>
      <c r="M1257" s="5" t="str">
        <f ca="1">IFERROR(__xludf.DUMMYFUNCTION("""COMPUTED_VALUE"""),"National")</f>
        <v>National</v>
      </c>
      <c r="N1257" s="5">
        <f ca="1">IFERROR(__xludf.DUMMYFUNCTION("""COMPUTED_VALUE"""),4)</f>
        <v>4</v>
      </c>
      <c r="O1257" s="5" t="str">
        <f ca="1">IFERROR(__xludf.DUMMYFUNCTION("""COMPUTED_VALUE"""),"Winter")</f>
        <v>Winter</v>
      </c>
      <c r="P1257" s="5" t="str">
        <f ca="1">IFERROR(__xludf.DUMMYFUNCTION("""COMPUTED_VALUE"""),"Placerville")</f>
        <v>Placerville</v>
      </c>
      <c r="Q1257" s="5" t="str">
        <f ca="1">IFERROR(__xludf.DUMMYFUNCTION("""COMPUTED_VALUE"""),"CA")</f>
        <v>CA</v>
      </c>
      <c r="R1257" s="5" t="str">
        <f ca="1">IFERROR(__xludf.DUMMYFUNCTION("""COMPUTED_VALUE"""),"Elementary")</f>
        <v>Elementary</v>
      </c>
      <c r="S1257" s="5" t="str">
        <f ca="1">IFERROR(__xludf.DUMMYFUNCTION("""COMPUTED_VALUE"""),"Office")</f>
        <v>Office</v>
      </c>
      <c r="T1257" s="5" t="str">
        <f ca="1">IFERROR(__xludf.DUMMYFUNCTION("""COMPUTED_VALUE"""),"Inside School Building")</f>
        <v>Inside School Building</v>
      </c>
      <c r="U1257" s="5" t="str">
        <f ca="1">IFERROR(__xludf.DUMMYFUNCTION("""COMPUTED_VALUE"""),"Yes")</f>
        <v>Yes</v>
      </c>
      <c r="V1257" s="5" t="str">
        <f ca="1">IFERROR(__xludf.DUMMYFUNCTION("""COMPUTED_VALUE"""),"Morning Classes")</f>
        <v>Morning Classes</v>
      </c>
      <c r="W1257" s="10">
        <f ca="1">IFERROR(__xludf.DUMMYFUNCTION("""COMPUTED_VALUE"""),0.442361111111111)</f>
        <v>0.44236111111111098</v>
      </c>
      <c r="X1257" s="5">
        <f ca="1">IFERROR(__xludf.DUMMYFUNCTION("""COMPUTED_VALUE"""),1)</f>
        <v>1</v>
      </c>
      <c r="Y1257" s="5" t="str">
        <f ca="1">IFERROR(__xludf.DUMMYFUNCTION("""COMPUTED_VALUE"""),"Dispute over hiring of new employee")</f>
        <v>Dispute over hiring of new employee</v>
      </c>
      <c r="Z1257" s="5" t="str">
        <f ca="1">IFERROR(__xludf.DUMMYFUNCTION("""COMPUTED_VALUE"""),"Suspect was janitor at school who shot principal after janitor wasn't allowed to offer input on the hiring of a night janitor. Suspect was dismissed for the day, allegedly went home to get a gun, came back to the school and shot the victim 3 times. Shoote"&amp;"r and victim were reported to have been friends.")</f>
        <v>Suspect was janitor at school who shot principal after janitor wasn't allowed to offer input on the hiring of a night janitor. Suspect was dismissed for the day, allegedly went home to get a gun, came back to the school and shot the victim 3 times. Shooter and victim were reported to have been friends.</v>
      </c>
      <c r="AA1257" s="5" t="str">
        <f ca="1">IFERROR(__xludf.DUMMYFUNCTION("""COMPUTED_VALUE"""),"Escalation of Dispute")</f>
        <v>Escalation of Dispute</v>
      </c>
      <c r="AB1257" s="5" t="str">
        <f ca="1">IFERROR(__xludf.DUMMYFUNCTION("""COMPUTED_VALUE"""),"Victims Targeted")</f>
        <v>Victims Targeted</v>
      </c>
      <c r="AC1257" s="5" t="str">
        <f ca="1">IFERROR(__xludf.DUMMYFUNCTION("""COMPUTED_VALUE"""),"No")</f>
        <v>No</v>
      </c>
      <c r="AD1257" s="5" t="str">
        <f ca="1">IFERROR(__xludf.DUMMYFUNCTION("""COMPUTED_VALUE"""),"No")</f>
        <v>No</v>
      </c>
      <c r="AE1257" s="5" t="str">
        <f ca="1">IFERROR(__xludf.DUMMYFUNCTION("""COMPUTED_VALUE"""),"No")</f>
        <v>No</v>
      </c>
      <c r="AF1257" s="5" t="str">
        <f ca="1">IFERROR(__xludf.DUMMYFUNCTION("""COMPUTED_VALUE"""),"No")</f>
        <v>No</v>
      </c>
      <c r="AG1257" s="5" t="str">
        <f ca="1">IFERROR(__xludf.DUMMYFUNCTION("""COMPUTED_VALUE"""),"No")</f>
        <v>No</v>
      </c>
      <c r="AH1257" s="5" t="str">
        <f ca="1">IFERROR(__xludf.DUMMYFUNCTION("""COMPUTED_VALUE"""),"No")</f>
        <v>No</v>
      </c>
      <c r="AI1257" s="5" t="str">
        <f ca="1">IFERROR(__xludf.DUMMYFUNCTION("""COMPUTED_VALUE"""),"No")</f>
        <v>No</v>
      </c>
      <c r="AJ1257" s="5"/>
    </row>
    <row r="1258" spans="1:36" ht="13">
      <c r="A1258" s="5" t="str">
        <f ca="1">IFERROR(__xludf.DUMMYFUNCTION("""COMPUTED_VALUE"""),"20110118CAGAL")</f>
        <v>20110118CAGAL</v>
      </c>
      <c r="B1258" s="5">
        <f ca="1">IFERROR(__xludf.DUMMYFUNCTION("""COMPUTED_VALUE"""),1)</f>
        <v>1</v>
      </c>
      <c r="C1258" s="5">
        <f ca="1">IFERROR(__xludf.DUMMYFUNCTION("""COMPUTED_VALUE"""),18)</f>
        <v>18</v>
      </c>
      <c r="D1258" s="5">
        <f ca="1">IFERROR(__xludf.DUMMYFUNCTION("""COMPUTED_VALUE"""),2011)</f>
        <v>2011</v>
      </c>
      <c r="E1258" s="8">
        <f ca="1">IFERROR(__xludf.DUMMYFUNCTION("""COMPUTED_VALUE"""),40561)</f>
        <v>40561</v>
      </c>
      <c r="F1258" s="5" t="str">
        <f ca="1">IFERROR(__xludf.DUMMYFUNCTION("""COMPUTED_VALUE"""),"Gardena High School")</f>
        <v>Gardena High School</v>
      </c>
      <c r="G1258" s="5">
        <f ca="1">IFERROR(__xludf.DUMMYFUNCTION("""COMPUTED_VALUE"""),0)</f>
        <v>0</v>
      </c>
      <c r="H1258" s="5">
        <f ca="1">IFERROR(__xludf.DUMMYFUNCTION("""COMPUTED_VALUE"""),2)</f>
        <v>2</v>
      </c>
      <c r="I1258" s="5">
        <f ca="1">IFERROR(__xludf.DUMMYFUNCTION("""COMPUTED_VALUE"""),2)</f>
        <v>2</v>
      </c>
      <c r="J1258" s="5">
        <f ca="1">IFERROR(__xludf.DUMMYFUNCTION("""COMPUTED_VALUE"""),0)</f>
        <v>0</v>
      </c>
      <c r="K1258" s="9" t="str">
        <f ca="1">IFERROR(__xludf.DUMMYFUNCTION("""COMPUTED_VALUE"""),"https://www.dailybreeze.com/2011/04/11/gardena-high-student-gets-9-months-for-having-gun-that-discharged/")</f>
        <v>https://www.dailybreeze.com/2011/04/11/gardena-high-student-gets-9-months-for-having-gun-that-discharged/</v>
      </c>
      <c r="L1258" s="5">
        <f ca="1">IFERROR(__xludf.DUMMYFUNCTION("""COMPUTED_VALUE"""),5)</f>
        <v>5</v>
      </c>
      <c r="M1258" s="5" t="str">
        <f ca="1">IFERROR(__xludf.DUMMYFUNCTION("""COMPUTED_VALUE"""),"National")</f>
        <v>National</v>
      </c>
      <c r="N1258" s="5">
        <f ca="1">IFERROR(__xludf.DUMMYFUNCTION("""COMPUTED_VALUE"""),4)</f>
        <v>4</v>
      </c>
      <c r="O1258" s="5" t="str">
        <f ca="1">IFERROR(__xludf.DUMMYFUNCTION("""COMPUTED_VALUE"""),"Winter")</f>
        <v>Winter</v>
      </c>
      <c r="P1258" s="5" t="str">
        <f ca="1">IFERROR(__xludf.DUMMYFUNCTION("""COMPUTED_VALUE"""),"Los Angeles")</f>
        <v>Los Angeles</v>
      </c>
      <c r="Q1258" s="5" t="str">
        <f ca="1">IFERROR(__xludf.DUMMYFUNCTION("""COMPUTED_VALUE"""),"CA")</f>
        <v>CA</v>
      </c>
      <c r="R1258" s="5" t="str">
        <f ca="1">IFERROR(__xludf.DUMMYFUNCTION("""COMPUTED_VALUE"""),"High")</f>
        <v>High</v>
      </c>
      <c r="S1258" s="5" t="str">
        <f ca="1">IFERROR(__xludf.DUMMYFUNCTION("""COMPUTED_VALUE"""),"Classroom")</f>
        <v>Classroom</v>
      </c>
      <c r="T1258" s="5" t="str">
        <f ca="1">IFERROR(__xludf.DUMMYFUNCTION("""COMPUTED_VALUE"""),"Inside School Building")</f>
        <v>Inside School Building</v>
      </c>
      <c r="U1258" s="5" t="str">
        <f ca="1">IFERROR(__xludf.DUMMYFUNCTION("""COMPUTED_VALUE"""),"Yes")</f>
        <v>Yes</v>
      </c>
      <c r="V1258" s="5" t="str">
        <f ca="1">IFERROR(__xludf.DUMMYFUNCTION("""COMPUTED_VALUE"""),"Morning Classes")</f>
        <v>Morning Classes</v>
      </c>
      <c r="W1258" s="10">
        <f ca="1">IFERROR(__xludf.DUMMYFUNCTION("""COMPUTED_VALUE"""),0.444444444444444)</f>
        <v>0.44444444444444398</v>
      </c>
      <c r="X1258" s="5">
        <f ca="1">IFERROR(__xludf.DUMMYFUNCTION("""COMPUTED_VALUE"""),1)</f>
        <v>1</v>
      </c>
      <c r="Y1258" s="5" t="str">
        <f ca="1">IFERROR(__xludf.DUMMYFUNCTION("""COMPUTED_VALUE"""),"Gun was in backpack, accidentally went off striking two students")</f>
        <v>Gun was in backpack, accidentally went off striking two students</v>
      </c>
      <c r="Z1258" s="5" t="str">
        <f ca="1">IFERROR(__xludf.DUMMYFUNCTION("""COMPUTED_VALUE"""),"Shooter had handgun in bag. Gun accidentally went off striking one student in the head and the other in the neck. Student was arrested at school. Allegedly, shooter was carrying gun to protect himself while going to and from school, fearing bullies/gangs."&amp;" Most people reported he was a nice kid, one person reported he had anger issues. Shooter was on probation for punching another student a year prior. Two other students helped shooter change and get rid of backpack but no charges were filed.")</f>
        <v>Shooter had handgun in bag. Gun accidentally went off striking one student in the head and the other in the neck. Student was arrested at school. Allegedly, shooter was carrying gun to protect himself while going to and from school, fearing bullies/gangs. Most people reported he was a nice kid, one person reported he had anger issues. Shooter was on probation for punching another student a year prior. Two other students helped shooter change and get rid of backpack but no charges were filed.</v>
      </c>
      <c r="AA1258" s="5" t="str">
        <f ca="1">IFERROR(__xludf.DUMMYFUNCTION("""COMPUTED_VALUE"""),"Accidental")</f>
        <v>Accidental</v>
      </c>
      <c r="AB1258" s="5" t="str">
        <f ca="1">IFERROR(__xludf.DUMMYFUNCTION("""COMPUTED_VALUE"""),"Random Shooting")</f>
        <v>Random Shooting</v>
      </c>
      <c r="AC1258" s="5" t="str">
        <f ca="1">IFERROR(__xludf.DUMMYFUNCTION("""COMPUTED_VALUE"""),"Yes")</f>
        <v>Yes</v>
      </c>
      <c r="AD1258" s="5" t="str">
        <f ca="1">IFERROR(__xludf.DUMMYFUNCTION("""COMPUTED_VALUE"""),"No")</f>
        <v>No</v>
      </c>
      <c r="AE1258" s="5" t="str">
        <f ca="1">IFERROR(__xludf.DUMMYFUNCTION("""COMPUTED_VALUE"""),"No")</f>
        <v>No</v>
      </c>
      <c r="AF1258" s="5" t="str">
        <f ca="1">IFERROR(__xludf.DUMMYFUNCTION("""COMPUTED_VALUE"""),"No")</f>
        <v>No</v>
      </c>
      <c r="AG1258" s="5" t="str">
        <f ca="1">IFERROR(__xludf.DUMMYFUNCTION("""COMPUTED_VALUE"""),"No")</f>
        <v>No</v>
      </c>
      <c r="AH1258" s="5" t="str">
        <f ca="1">IFERROR(__xludf.DUMMYFUNCTION("""COMPUTED_VALUE"""),"No")</f>
        <v>No</v>
      </c>
      <c r="AI1258" s="5" t="str">
        <f ca="1">IFERROR(__xludf.DUMMYFUNCTION("""COMPUTED_VALUE"""),"No")</f>
        <v>No</v>
      </c>
      <c r="AJ1258" s="5"/>
    </row>
    <row r="1259" spans="1:36" ht="13">
      <c r="A1259" s="5" t="str">
        <f ca="1">IFERROR(__xludf.DUMMYFUNCTION("""COMPUTED_VALUE"""),"20110105NEMIO")</f>
        <v>20110105NEMIO</v>
      </c>
      <c r="B1259" s="5">
        <f ca="1">IFERROR(__xludf.DUMMYFUNCTION("""COMPUTED_VALUE"""),1)</f>
        <v>1</v>
      </c>
      <c r="C1259" s="5">
        <f ca="1">IFERROR(__xludf.DUMMYFUNCTION("""COMPUTED_VALUE"""),5)</f>
        <v>5</v>
      </c>
      <c r="D1259" s="5">
        <f ca="1">IFERROR(__xludf.DUMMYFUNCTION("""COMPUTED_VALUE"""),2011)</f>
        <v>2011</v>
      </c>
      <c r="E1259" s="8">
        <f ca="1">IFERROR(__xludf.DUMMYFUNCTION("""COMPUTED_VALUE"""),40548)</f>
        <v>40548</v>
      </c>
      <c r="F1259" s="5" t="str">
        <f ca="1">IFERROR(__xludf.DUMMYFUNCTION("""COMPUTED_VALUE"""),"Millard South High School")</f>
        <v>Millard South High School</v>
      </c>
      <c r="G1259" s="5">
        <f ca="1">IFERROR(__xludf.DUMMYFUNCTION("""COMPUTED_VALUE"""),1)</f>
        <v>1</v>
      </c>
      <c r="H1259" s="5">
        <f ca="1">IFERROR(__xludf.DUMMYFUNCTION("""COMPUTED_VALUE"""),1)</f>
        <v>1</v>
      </c>
      <c r="I1259" s="5">
        <f ca="1">IFERROR(__xludf.DUMMYFUNCTION("""COMPUTED_VALUE"""),2)</f>
        <v>2</v>
      </c>
      <c r="J1259" s="5">
        <f ca="1">IFERROR(__xludf.DUMMYFUNCTION("""COMPUTED_VALUE"""),1)</f>
        <v>1</v>
      </c>
      <c r="K1259" s="9" t="str">
        <f ca="1">IFERROR(__xludf.DUMMYFUNCTION("""COMPUTED_VALUE"""),"https://journalstar.com/news/state-and-regional/nebraska/the-millard-south-shooting-timeline/article_ef16c15d-c67e-54b5-b4fa-0742edc6085d.html")</f>
        <v>https://journalstar.com/news/state-and-regional/nebraska/the-millard-south-shooting-timeline/article_ef16c15d-c67e-54b5-b4fa-0742edc6085d.html</v>
      </c>
      <c r="L1259" s="5">
        <f ca="1">IFERROR(__xludf.DUMMYFUNCTION("""COMPUTED_VALUE"""),11)</f>
        <v>11</v>
      </c>
      <c r="M1259" s="5" t="str">
        <f ca="1">IFERROR(__xludf.DUMMYFUNCTION("""COMPUTED_VALUE"""),"National")</f>
        <v>National</v>
      </c>
      <c r="N1259" s="5">
        <f ca="1">IFERROR(__xludf.DUMMYFUNCTION("""COMPUTED_VALUE"""),5)</f>
        <v>5</v>
      </c>
      <c r="O1259" s="5" t="str">
        <f ca="1">IFERROR(__xludf.DUMMYFUNCTION("""COMPUTED_VALUE"""),"Winter")</f>
        <v>Winter</v>
      </c>
      <c r="P1259" s="5" t="str">
        <f ca="1">IFERROR(__xludf.DUMMYFUNCTION("""COMPUTED_VALUE"""),"Omaha")</f>
        <v>Omaha</v>
      </c>
      <c r="Q1259" s="5" t="str">
        <f ca="1">IFERROR(__xludf.DUMMYFUNCTION("""COMPUTED_VALUE"""),"NE")</f>
        <v>NE</v>
      </c>
      <c r="R1259" s="5" t="str">
        <f ca="1">IFERROR(__xludf.DUMMYFUNCTION("""COMPUTED_VALUE"""),"High")</f>
        <v>High</v>
      </c>
      <c r="S1259" s="5" t="str">
        <f ca="1">IFERROR(__xludf.DUMMYFUNCTION("""COMPUTED_VALUE"""),"Office")</f>
        <v>Office</v>
      </c>
      <c r="T1259" s="5" t="str">
        <f ca="1">IFERROR(__xludf.DUMMYFUNCTION("""COMPUTED_VALUE"""),"Inside School Building")</f>
        <v>Inside School Building</v>
      </c>
      <c r="U1259" s="5" t="str">
        <f ca="1">IFERROR(__xludf.DUMMYFUNCTION("""COMPUTED_VALUE"""),"Yes")</f>
        <v>Yes</v>
      </c>
      <c r="V1259" s="5" t="str">
        <f ca="1">IFERROR(__xludf.DUMMYFUNCTION("""COMPUTED_VALUE"""),"Lunch")</f>
        <v>Lunch</v>
      </c>
      <c r="W1259" s="10">
        <f ca="1">IFERROR(__xludf.DUMMYFUNCTION("""COMPUTED_VALUE"""),0.53125)</f>
        <v>0.53125</v>
      </c>
      <c r="X1259" s="5">
        <f ca="1">IFERROR(__xludf.DUMMYFUNCTION("""COMPUTED_VALUE"""),1)</f>
        <v>1</v>
      </c>
      <c r="Y1259" s="5" t="str">
        <f ca="1">IFERROR(__xludf.DUMMYFUNCTION("""COMPUTED_VALUE"""),"Shot principal and vice principal, fired at other staff, fled in vehicle and killed self")</f>
        <v>Shot principal and vice principal, fired at other staff, fled in vehicle and killed self</v>
      </c>
      <c r="Z1259" s="5" t="str">
        <f ca="1">IFERROR(__xludf.DUMMYFUNCTION("""COMPUTED_VALUE"""),"Shooter shot and wounded the Principal, shot the Vice Principal dead, headed out and pointed the gun at the guard who ducked before shooter could shoot. Shooter then shot at a school custodian but the debris wounded the nurse. Shooter left the school in a"&amp;" vehicle and was found dead with a self inflicted GSW a mile from the school. The shooter father was a local police detective. No students were injured. Shooter had left the facebook post: ""Everybody that used to know me I'm sry but Omaha changed me and "&amp;"(expletive) me up. and the school I attend is even worse ur gonna hear about the evil (expletive) I did but that (expletive) school drove me to this. I wont u guys to remember me for who I was b4 this ik. I greatly affected the lives of the families ruine"&amp;"d but I'm sorry. goodbye."" Earlier that day shooter was called to the principal's office about his criminal trespass for driving his car on the school's football field and track on New Year's Eve (he was criminally charged and his father locked up his ca"&amp;"r). Shooter was suspended for 19 days and escorted out of the school by security but he returned later that day with the gun. Shooter grew up with his mother but had recently moved to live with his father, reasons are unknown. Shooter had posted on Facebo"&amp;"ok he hated it there but his friends reported he was a fun, thrill-seeking guy and did not seem to have problems adapting, except for his father being more strict than he was used to. K2 was found in his system. Shooter had done community service in the p"&amp;"ast for something he had done but is not on his criminal record. Had problems with authority figures.")</f>
        <v>Shooter shot and wounded the Principal, shot the Vice Principal dead, headed out and pointed the gun at the guard who ducked before shooter could shoot. Shooter then shot at a school custodian but the debris wounded the nurse. Shooter left the school in a vehicle and was found dead with a self inflicted GSW a mile from the school. The shooter father was a local police detective. No students were injured. Shooter had left the facebook post: "Everybody that used to know me I'm sry but Omaha changed me and (expletive) me up. and the school I attend is even worse ur gonna hear about the evil (expletive) I did but that (expletive) school drove me to this. I wont u guys to remember me for who I was b4 this ik. I greatly affected the lives of the families ruined but I'm sorry. goodbye." Earlier that day shooter was called to the principal's office about his criminal trespass for driving his car on the school's football field and track on New Year's Eve (he was criminally charged and his father locked up his car). Shooter was suspended for 19 days and escorted out of the school by security but he returned later that day with the gun. Shooter grew up with his mother but had recently moved to live with his father, reasons are unknown. Shooter had posted on Facebook he hated it there but his friends reported he was a fun, thrill-seeking guy and did not seem to have problems adapting, except for his father being more strict than he was used to. K2 was found in his system. Shooter had done community service in the past for something he had done but is not on his criminal record. Had problems with authority figures.</v>
      </c>
      <c r="AA1259" s="5" t="str">
        <f ca="1">IFERROR(__xludf.DUMMYFUNCTION("""COMPUTED_VALUE"""),"Anger Over Grade/Suspension/Discipline")</f>
        <v>Anger Over Grade/Suspension/Discipline</v>
      </c>
      <c r="AB1259" s="5" t="str">
        <f ca="1">IFERROR(__xludf.DUMMYFUNCTION("""COMPUTED_VALUE"""),"Both")</f>
        <v>Both</v>
      </c>
      <c r="AC1259" s="5" t="str">
        <f ca="1">IFERROR(__xludf.DUMMYFUNCTION("""COMPUTED_VALUE"""),"No")</f>
        <v>No</v>
      </c>
      <c r="AD1259" s="5" t="str">
        <f ca="1">IFERROR(__xludf.DUMMYFUNCTION("""COMPUTED_VALUE"""),"No")</f>
        <v>No</v>
      </c>
      <c r="AE1259" s="5" t="str">
        <f ca="1">IFERROR(__xludf.DUMMYFUNCTION("""COMPUTED_VALUE"""),"No")</f>
        <v>No</v>
      </c>
      <c r="AF1259" s="5" t="str">
        <f ca="1">IFERROR(__xludf.DUMMYFUNCTION("""COMPUTED_VALUE"""),"No")</f>
        <v>No</v>
      </c>
      <c r="AG1259" s="5" t="str">
        <f ca="1">IFERROR(__xludf.DUMMYFUNCTION("""COMPUTED_VALUE"""),"No")</f>
        <v>No</v>
      </c>
      <c r="AH1259" s="5" t="str">
        <f ca="1">IFERROR(__xludf.DUMMYFUNCTION("""COMPUTED_VALUE"""),"No")</f>
        <v>No</v>
      </c>
      <c r="AI1259" s="5" t="str">
        <f ca="1">IFERROR(__xludf.DUMMYFUNCTION("""COMPUTED_VALUE"""),"No")</f>
        <v>No</v>
      </c>
      <c r="AJ1259" s="5" t="str">
        <f ca="1">IFERROR(__xludf.DUMMYFUNCTION("""COMPUTED_VALUE"""),"Yes")</f>
        <v>Yes</v>
      </c>
    </row>
    <row r="1260" spans="1:36" ht="13">
      <c r="A1260" s="5" t="str">
        <f ca="1">IFERROR(__xludf.DUMMYFUNCTION("""COMPUTED_VALUE"""),"20110104INCRC")</f>
        <v>20110104INCRC</v>
      </c>
      <c r="B1260" s="5">
        <f ca="1">IFERROR(__xludf.DUMMYFUNCTION("""COMPUTED_VALUE"""),1)</f>
        <v>1</v>
      </c>
      <c r="C1260" s="5">
        <f ca="1">IFERROR(__xludf.DUMMYFUNCTION("""COMPUTED_VALUE"""),4)</f>
        <v>4</v>
      </c>
      <c r="D1260" s="5">
        <f ca="1">IFERROR(__xludf.DUMMYFUNCTION("""COMPUTED_VALUE"""),2011)</f>
        <v>2011</v>
      </c>
      <c r="E1260" s="8">
        <f ca="1">IFERROR(__xludf.DUMMYFUNCTION("""COMPUTED_VALUE"""),40547)</f>
        <v>40547</v>
      </c>
      <c r="F1260" s="5" t="str">
        <f ca="1">IFERROR(__xludf.DUMMYFUNCTION("""COMPUTED_VALUE"""),"Crown Point School bus")</f>
        <v>Crown Point School bus</v>
      </c>
      <c r="G1260" s="5">
        <f ca="1">IFERROR(__xludf.DUMMYFUNCTION("""COMPUTED_VALUE"""),0)</f>
        <v>0</v>
      </c>
      <c r="H1260" s="5">
        <f ca="1">IFERROR(__xludf.DUMMYFUNCTION("""COMPUTED_VALUE"""),0)</f>
        <v>0</v>
      </c>
      <c r="I1260" s="5">
        <f ca="1">IFERROR(__xludf.DUMMYFUNCTION("""COMPUTED_VALUE"""),0)</f>
        <v>0</v>
      </c>
      <c r="J1260" s="5">
        <f ca="1">IFERROR(__xludf.DUMMYFUNCTION("""COMPUTED_VALUE"""),0)</f>
        <v>0</v>
      </c>
      <c r="K1260" s="9" t="str">
        <f ca="1">IFERROR(__xludf.DUMMYFUNCTION("""COMPUTED_VALUE"""),"https://www.newspapers.com/image/310759931/?terms=school%2B%2Bbus%2Bshooting")</f>
        <v>https://www.newspapers.com/image/310759931/?terms=school%2B%2Bbus%2Bshooting</v>
      </c>
      <c r="L1260" s="5"/>
      <c r="M1260" s="5"/>
      <c r="N1260" s="5">
        <f ca="1">IFERROR(__xludf.DUMMYFUNCTION("""COMPUTED_VALUE"""),2)</f>
        <v>2</v>
      </c>
      <c r="O1260" s="5" t="str">
        <f ca="1">IFERROR(__xludf.DUMMYFUNCTION("""COMPUTED_VALUE"""),"Winter")</f>
        <v>Winter</v>
      </c>
      <c r="P1260" s="5" t="str">
        <f ca="1">IFERROR(__xludf.DUMMYFUNCTION("""COMPUTED_VALUE"""),"Crown Point")</f>
        <v>Crown Point</v>
      </c>
      <c r="Q1260" s="5" t="str">
        <f ca="1">IFERROR(__xludf.DUMMYFUNCTION("""COMPUTED_VALUE"""),"IN")</f>
        <v>IN</v>
      </c>
      <c r="R1260" s="5" t="str">
        <f ca="1">IFERROR(__xludf.DUMMYFUNCTION("""COMPUTED_VALUE"""),"K-12")</f>
        <v>K-12</v>
      </c>
      <c r="S1260" s="5" t="str">
        <f ca="1">IFERROR(__xludf.DUMMYFUNCTION("""COMPUTED_VALUE"""),"School Bus")</f>
        <v>School Bus</v>
      </c>
      <c r="T1260" s="5" t="str">
        <f ca="1">IFERROR(__xludf.DUMMYFUNCTION("""COMPUTED_VALUE"""),"School Bus")</f>
        <v>School Bus</v>
      </c>
      <c r="U1260" s="5" t="str">
        <f ca="1">IFERROR(__xludf.DUMMYFUNCTION("""COMPUTED_VALUE"""),"No")</f>
        <v>No</v>
      </c>
      <c r="V1260" s="5" t="str">
        <f ca="1">IFERROR(__xludf.DUMMYFUNCTION("""COMPUTED_VALUE"""),"Before School")</f>
        <v>Before School</v>
      </c>
      <c r="W1260" s="10">
        <f ca="1">IFERROR(__xludf.DUMMYFUNCTION("""COMPUTED_VALUE"""),0.25)</f>
        <v>0.25</v>
      </c>
      <c r="X1260" s="5">
        <f ca="1">IFERROR(__xludf.DUMMYFUNCTION("""COMPUTED_VALUE"""),1)</f>
        <v>1</v>
      </c>
      <c r="Y1260" s="5" t="str">
        <f ca="1">IFERROR(__xludf.DUMMYFUNCTION("""COMPUTED_VALUE"""),"Back window of school bus shot with BB gun - no injuries")</f>
        <v>Back window of school bus shot with BB gun - no injuries</v>
      </c>
      <c r="Z1260" s="5" t="str">
        <f ca="1">IFERROR(__xludf.DUMMYFUNCTION("""COMPUTED_VALUE"""),"In the early morning hours before any students were aboard, the back window of a school bus was shot by a bb gun - unknown shooter")</f>
        <v>In the early morning hours before any students were aboard, the back window of a school bus was shot by a bb gun - unknown shooter</v>
      </c>
      <c r="AA1260" s="5" t="str">
        <f ca="1">IFERROR(__xludf.DUMMYFUNCTION("""COMPUTED_VALUE"""),"Intentional Property Damage")</f>
        <v>Intentional Property Damage</v>
      </c>
      <c r="AB1260" s="5" t="str">
        <f ca="1">IFERROR(__xludf.DUMMYFUNCTION("""COMPUTED_VALUE"""),"NA")</f>
        <v>NA</v>
      </c>
      <c r="AC1260" s="5"/>
      <c r="AD1260" s="5" t="str">
        <f ca="1">IFERROR(__xludf.DUMMYFUNCTION("""COMPUTED_VALUE"""),"No")</f>
        <v>No</v>
      </c>
      <c r="AE1260" s="5" t="str">
        <f ca="1">IFERROR(__xludf.DUMMYFUNCTION("""COMPUTED_VALUE"""),"No")</f>
        <v>No</v>
      </c>
      <c r="AF1260" s="5" t="str">
        <f ca="1">IFERROR(__xludf.DUMMYFUNCTION("""COMPUTED_VALUE"""),"No")</f>
        <v>No</v>
      </c>
      <c r="AG1260" s="5" t="str">
        <f ca="1">IFERROR(__xludf.DUMMYFUNCTION("""COMPUTED_VALUE"""),"N/A")</f>
        <v>N/A</v>
      </c>
      <c r="AH1260" s="5"/>
      <c r="AI1260" s="5"/>
      <c r="AJ1260" s="5"/>
    </row>
    <row r="1261" spans="1:36" ht="13">
      <c r="A1261" s="5" t="str">
        <f ca="1">IFERROR(__xludf.DUMMYFUNCTION("""COMPUTED_VALUE"""),"20101206COAUA")</f>
        <v>20101206COAUA</v>
      </c>
      <c r="B1261" s="5">
        <f ca="1">IFERROR(__xludf.DUMMYFUNCTION("""COMPUTED_VALUE"""),12)</f>
        <v>12</v>
      </c>
      <c r="C1261" s="5">
        <f ca="1">IFERROR(__xludf.DUMMYFUNCTION("""COMPUTED_VALUE"""),6)</f>
        <v>6</v>
      </c>
      <c r="D1261" s="5">
        <f ca="1">IFERROR(__xludf.DUMMYFUNCTION("""COMPUTED_VALUE"""),2010)</f>
        <v>2010</v>
      </c>
      <c r="E1261" s="8">
        <f ca="1">IFERROR(__xludf.DUMMYFUNCTION("""COMPUTED_VALUE"""),40518)</f>
        <v>40518</v>
      </c>
      <c r="F1261" s="5" t="str">
        <f ca="1">IFERROR(__xludf.DUMMYFUNCTION("""COMPUTED_VALUE"""),"Aurora Central High School")</f>
        <v>Aurora Central High School</v>
      </c>
      <c r="G1261" s="5">
        <f ca="1">IFERROR(__xludf.DUMMYFUNCTION("""COMPUTED_VALUE"""),0)</f>
        <v>0</v>
      </c>
      <c r="H1261" s="5">
        <f ca="1">IFERROR(__xludf.DUMMYFUNCTION("""COMPUTED_VALUE"""),1)</f>
        <v>1</v>
      </c>
      <c r="I1261" s="5">
        <f ca="1">IFERROR(__xludf.DUMMYFUNCTION("""COMPUTED_VALUE"""),1)</f>
        <v>1</v>
      </c>
      <c r="J1261" s="5">
        <f ca="1">IFERROR(__xludf.DUMMYFUNCTION("""COMPUTED_VALUE"""),0)</f>
        <v>0</v>
      </c>
      <c r="K1261" s="9" t="str">
        <f ca="1">IFERROR(__xludf.DUMMYFUNCTION("""COMPUTED_VALUE"""),"https://www.denverpost.com/2015/11/19/court-reverses-conviction-in-2010-aurora-shooting-that-paralyzed-victim/")</f>
        <v>https://www.denverpost.com/2015/11/19/court-reverses-conviction-in-2010-aurora-shooting-that-paralyzed-victim/</v>
      </c>
      <c r="L1261" s="5">
        <f ca="1">IFERROR(__xludf.DUMMYFUNCTION("""COMPUTED_VALUE"""),5)</f>
        <v>5</v>
      </c>
      <c r="M1261" s="5" t="str">
        <f ca="1">IFERROR(__xludf.DUMMYFUNCTION("""COMPUTED_VALUE"""),"Local")</f>
        <v>Local</v>
      </c>
      <c r="N1261" s="5">
        <f ca="1">IFERROR(__xludf.DUMMYFUNCTION("""COMPUTED_VALUE"""),4)</f>
        <v>4</v>
      </c>
      <c r="O1261" s="5" t="str">
        <f ca="1">IFERROR(__xludf.DUMMYFUNCTION("""COMPUTED_VALUE"""),"Winter")</f>
        <v>Winter</v>
      </c>
      <c r="P1261" s="5" t="str">
        <f ca="1">IFERROR(__xludf.DUMMYFUNCTION("""COMPUTED_VALUE"""),"Aurora")</f>
        <v>Aurora</v>
      </c>
      <c r="Q1261" s="5" t="str">
        <f ca="1">IFERROR(__xludf.DUMMYFUNCTION("""COMPUTED_VALUE"""),"CO")</f>
        <v>CO</v>
      </c>
      <c r="R1261" s="5" t="str">
        <f ca="1">IFERROR(__xludf.DUMMYFUNCTION("""COMPUTED_VALUE"""),"High")</f>
        <v>High</v>
      </c>
      <c r="S1261" s="5" t="str">
        <f ca="1">IFERROR(__xludf.DUMMYFUNCTION("""COMPUTED_VALUE"""),"Front of School")</f>
        <v>Front of School</v>
      </c>
      <c r="T1261" s="5" t="str">
        <f ca="1">IFERROR(__xludf.DUMMYFUNCTION("""COMPUTED_VALUE"""),"Outside on School Property")</f>
        <v>Outside on School Property</v>
      </c>
      <c r="U1261" s="5" t="str">
        <f ca="1">IFERROR(__xludf.DUMMYFUNCTION("""COMPUTED_VALUE"""),"No")</f>
        <v>No</v>
      </c>
      <c r="V1261" s="5" t="str">
        <f ca="1">IFERROR(__xludf.DUMMYFUNCTION("""COMPUTED_VALUE"""),"Dismissal")</f>
        <v>Dismissal</v>
      </c>
      <c r="W1261" s="10">
        <f ca="1">IFERROR(__xludf.DUMMYFUNCTION("""COMPUTED_VALUE"""),0.604166666666666)</f>
        <v>0.60416666666666596</v>
      </c>
      <c r="X1261" s="5">
        <f ca="1">IFERROR(__xludf.DUMMYFUNCTION("""COMPUTED_VALUE"""),1)</f>
        <v>1</v>
      </c>
      <c r="Y1261" s="5" t="str">
        <f ca="1">IFERROR(__xludf.DUMMYFUNCTION("""COMPUTED_VALUE"""),"Bystander student shot during drive-by, gang related")</f>
        <v>Bystander student shot during drive-by, gang related</v>
      </c>
      <c r="Z1261" s="5" t="str">
        <f ca="1">IFERROR(__xludf.DUMMYFUNCTION("""COMPUTED_VALUE"""),"Female student was shot during gang-related drive by shooting. Police said she was not the intended target. Shooter was a passenger in a car, started arguing with people from a rival gang but when shots were fired, six unrelated students were caught in th"&amp;"e fire. Shooter was a former student and an illegal immigrant. Shooter was later caught and sentenced to 35 years.")</f>
        <v>Female student was shot during gang-related drive by shooting. Police said she was not the intended target. Shooter was a passenger in a car, started arguing with people from a rival gang but when shots were fired, six unrelated students were caught in the fire. Shooter was a former student and an illegal immigrant. Shooter was later caught and sentenced to 35 years.</v>
      </c>
      <c r="AA1261" s="5" t="str">
        <f ca="1">IFERROR(__xludf.DUMMYFUNCTION("""COMPUTED_VALUE"""),"Drive-by Shooting")</f>
        <v>Drive-by Shooting</v>
      </c>
      <c r="AB1261" s="5" t="str">
        <f ca="1">IFERROR(__xludf.DUMMYFUNCTION("""COMPUTED_VALUE"""),"Both")</f>
        <v>Both</v>
      </c>
      <c r="AC1261" s="5" t="str">
        <f ca="1">IFERROR(__xludf.DUMMYFUNCTION("""COMPUTED_VALUE"""),"Yes")</f>
        <v>Yes</v>
      </c>
      <c r="AD1261" s="5" t="str">
        <f ca="1">IFERROR(__xludf.DUMMYFUNCTION("""COMPUTED_VALUE"""),"No")</f>
        <v>No</v>
      </c>
      <c r="AE1261" s="5" t="str">
        <f ca="1">IFERROR(__xludf.DUMMYFUNCTION("""COMPUTED_VALUE"""),"No")</f>
        <v>No</v>
      </c>
      <c r="AF1261" s="5" t="str">
        <f ca="1">IFERROR(__xludf.DUMMYFUNCTION("""COMPUTED_VALUE"""),"No")</f>
        <v>No</v>
      </c>
      <c r="AG1261" s="5" t="str">
        <f ca="1">IFERROR(__xludf.DUMMYFUNCTION("""COMPUTED_VALUE"""),"No")</f>
        <v>No</v>
      </c>
      <c r="AH1261" s="5" t="str">
        <f ca="1">IFERROR(__xludf.DUMMYFUNCTION("""COMPUTED_VALUE"""),"No")</f>
        <v>No</v>
      </c>
      <c r="AI1261" s="5" t="str">
        <f ca="1">IFERROR(__xludf.DUMMYFUNCTION("""COMPUTED_VALUE"""),"Yes")</f>
        <v>Yes</v>
      </c>
      <c r="AJ1261" s="5"/>
    </row>
    <row r="1262" spans="1:36" ht="13">
      <c r="A1262" s="5" t="str">
        <f ca="1">IFERROR(__xludf.DUMMYFUNCTION("""COMPUTED_VALUE"""),"20101129WIMAM")</f>
        <v>20101129WIMAM</v>
      </c>
      <c r="B1262" s="5">
        <f ca="1">IFERROR(__xludf.DUMMYFUNCTION("""COMPUTED_VALUE"""),11)</f>
        <v>11</v>
      </c>
      <c r="C1262" s="5">
        <f ca="1">IFERROR(__xludf.DUMMYFUNCTION("""COMPUTED_VALUE"""),29)</f>
        <v>29</v>
      </c>
      <c r="D1262" s="5">
        <f ca="1">IFERROR(__xludf.DUMMYFUNCTION("""COMPUTED_VALUE"""),2010)</f>
        <v>2010</v>
      </c>
      <c r="E1262" s="8">
        <f ca="1">IFERROR(__xludf.DUMMYFUNCTION("""COMPUTED_VALUE"""),40511)</f>
        <v>40511</v>
      </c>
      <c r="F1262" s="5" t="str">
        <f ca="1">IFERROR(__xludf.DUMMYFUNCTION("""COMPUTED_VALUE"""),"Marinette High School")</f>
        <v>Marinette High School</v>
      </c>
      <c r="G1262" s="5">
        <f ca="1">IFERROR(__xludf.DUMMYFUNCTION("""COMPUTED_VALUE"""),0)</f>
        <v>0</v>
      </c>
      <c r="H1262" s="5">
        <f ca="1">IFERROR(__xludf.DUMMYFUNCTION("""COMPUTED_VALUE"""),0)</f>
        <v>0</v>
      </c>
      <c r="I1262" s="5">
        <f ca="1">IFERROR(__xludf.DUMMYFUNCTION("""COMPUTED_VALUE"""),0)</f>
        <v>0</v>
      </c>
      <c r="J1262" s="5">
        <f ca="1">IFERROR(__xludf.DUMMYFUNCTION("""COMPUTED_VALUE"""),1)</f>
        <v>1</v>
      </c>
      <c r="K1262" s="9" t="str">
        <f ca="1">IFERROR(__xludf.DUMMYFUNCTION("""COMPUTED_VALUE"""),"https://madison.com/wsj/news/local/crime_and_courts/no-clues-found-in-marinette-school-standoff-that-ended-in/article_62c3dbb3-1712-52ec-b275-d599eff149de.html")</f>
        <v>https://madison.com/wsj/news/local/crime_and_courts/no-clues-found-in-marinette-school-standoff-that-ended-in/article_62c3dbb3-1712-52ec-b275-d599eff149de.html</v>
      </c>
      <c r="L1262" s="5">
        <f ca="1">IFERROR(__xludf.DUMMYFUNCTION("""COMPUTED_VALUE"""),11)</f>
        <v>11</v>
      </c>
      <c r="M1262" s="5" t="str">
        <f ca="1">IFERROR(__xludf.DUMMYFUNCTION("""COMPUTED_VALUE"""),"International")</f>
        <v>International</v>
      </c>
      <c r="N1262" s="5">
        <f ca="1">IFERROR(__xludf.DUMMYFUNCTION("""COMPUTED_VALUE"""),2)</f>
        <v>2</v>
      </c>
      <c r="O1262" s="5" t="str">
        <f ca="1">IFERROR(__xludf.DUMMYFUNCTION("""COMPUTED_VALUE"""),"Fall")</f>
        <v>Fall</v>
      </c>
      <c r="P1262" s="5" t="str">
        <f ca="1">IFERROR(__xludf.DUMMYFUNCTION("""COMPUTED_VALUE"""),"Marinette")</f>
        <v>Marinette</v>
      </c>
      <c r="Q1262" s="5" t="str">
        <f ca="1">IFERROR(__xludf.DUMMYFUNCTION("""COMPUTED_VALUE"""),"WI")</f>
        <v>WI</v>
      </c>
      <c r="R1262" s="5" t="str">
        <f ca="1">IFERROR(__xludf.DUMMYFUNCTION("""COMPUTED_VALUE"""),"High")</f>
        <v>High</v>
      </c>
      <c r="S1262" s="5" t="str">
        <f ca="1">IFERROR(__xludf.DUMMYFUNCTION("""COMPUTED_VALUE"""),"Classroom")</f>
        <v>Classroom</v>
      </c>
      <c r="T1262" s="5" t="str">
        <f ca="1">IFERROR(__xludf.DUMMYFUNCTION("""COMPUTED_VALUE"""),"Inside School Building")</f>
        <v>Inside School Building</v>
      </c>
      <c r="U1262" s="5" t="str">
        <f ca="1">IFERROR(__xludf.DUMMYFUNCTION("""COMPUTED_VALUE"""),"No")</f>
        <v>No</v>
      </c>
      <c r="V1262" s="5" t="str">
        <f ca="1">IFERROR(__xludf.DUMMYFUNCTION("""COMPUTED_VALUE"""),"Evening")</f>
        <v>Evening</v>
      </c>
      <c r="W1262" s="10">
        <f ca="1">IFERROR(__xludf.DUMMYFUNCTION("""COMPUTED_VALUE"""),0.8125)</f>
        <v>0.8125</v>
      </c>
      <c r="X1262" s="5">
        <f ca="1">IFERROR(__xludf.DUMMYFUNCTION("""COMPUTED_VALUE"""),1)</f>
        <v>1</v>
      </c>
      <c r="Y1262" s="5" t="str">
        <f ca="1">IFERROR(__xludf.DUMMYFUNCTION("""COMPUTED_VALUE"""),"Took class hostage before commiting suicide when police entered")</f>
        <v>Took class hostage before commiting suicide when police entered</v>
      </c>
      <c r="Z1262" s="5" t="str">
        <f ca="1">IFERROR(__xludf.DUMMYFUNCTION("""COMPUTED_VALUE"""),"Shooter left to use bathroom and returned with a backpack containing two guns. Fired at the projector and took the class and teacher hostage for hours. Shooter first fired three shots from one gun and laid another gun and the ammunition on a podium, later"&amp;" shot three more rounds at a telephone and a computer. SWAT officers entered and as one of them caught shooter's hand, he pulled the trigger and shot himself. Shooter never pointed his weapon at anyone or made any demand except telling people not to leave"&amp;". Other students stated he appeared sad and depressed - everyone tried to engage him in casual conversations and keep him calm. Shooter allowed some students to leave before firing self-inflicted GSW to his head. Shooter was a good student and liked by cl"&amp;"assmates. No early warning signs were indicated. No suicide note, postings, or other explanation. Police only found a drawing that shows a bomb, a helicopter, a parachute, an outdoor scene, but did not think it was related to the incident.")</f>
        <v>Shooter left to use bathroom and returned with a backpack containing two guns. Fired at the projector and took the class and teacher hostage for hours. Shooter first fired three shots from one gun and laid another gun and the ammunition on a podium, later shot three more rounds at a telephone and a computer. SWAT officers entered and as one of them caught shooter's hand, he pulled the trigger and shot himself. Shooter never pointed his weapon at anyone or made any demand except telling people not to leave. Other students stated he appeared sad and depressed - everyone tried to engage him in casual conversations and keep him calm. Shooter allowed some students to leave before firing self-inflicted GSW to his head. Shooter was a good student and liked by classmates. No early warning signs were indicated. No suicide note, postings, or other explanation. Police only found a drawing that shows a bomb, a helicopter, a parachute, an outdoor scene, but did not think it was related to the incident.</v>
      </c>
      <c r="AA1262" s="5" t="str">
        <f ca="1">IFERROR(__xludf.DUMMYFUNCTION("""COMPUTED_VALUE"""),"Hostage/Standoff")</f>
        <v>Hostage/Standoff</v>
      </c>
      <c r="AB1262" s="5" t="str">
        <f ca="1">IFERROR(__xludf.DUMMYFUNCTION("""COMPUTED_VALUE"""),"Victims Targeted")</f>
        <v>Victims Targeted</v>
      </c>
      <c r="AC1262" s="5" t="str">
        <f ca="1">IFERROR(__xludf.DUMMYFUNCTION("""COMPUTED_VALUE"""),"No")</f>
        <v>No</v>
      </c>
      <c r="AD1262" s="5" t="str">
        <f ca="1">IFERROR(__xludf.DUMMYFUNCTION("""COMPUTED_VALUE"""),"Yes")</f>
        <v>Yes</v>
      </c>
      <c r="AE1262" s="5" t="str">
        <f ca="1">IFERROR(__xludf.DUMMYFUNCTION("""COMPUTED_VALUE"""),"Yes")</f>
        <v>Yes</v>
      </c>
      <c r="AF1262" s="5" t="str">
        <f ca="1">IFERROR(__xludf.DUMMYFUNCTION("""COMPUTED_VALUE"""),"No")</f>
        <v>No</v>
      </c>
      <c r="AG1262" s="5" t="str">
        <f ca="1">IFERROR(__xludf.DUMMYFUNCTION("""COMPUTED_VALUE"""),"No")</f>
        <v>No</v>
      </c>
      <c r="AH1262" s="5" t="str">
        <f ca="1">IFERROR(__xludf.DUMMYFUNCTION("""COMPUTED_VALUE"""),"No")</f>
        <v>No</v>
      </c>
      <c r="AI1262" s="5" t="str">
        <f ca="1">IFERROR(__xludf.DUMMYFUNCTION("""COMPUTED_VALUE"""),"No")</f>
        <v>No</v>
      </c>
      <c r="AJ1262" s="5" t="str">
        <f ca="1">IFERROR(__xludf.DUMMYFUNCTION("""COMPUTED_VALUE"""),"Yes")</f>
        <v>Yes</v>
      </c>
    </row>
    <row r="1263" spans="1:36" ht="13">
      <c r="A1263" s="5" t="str">
        <f ca="1">IFERROR(__xludf.DUMMYFUNCTION("""COMPUTED_VALUE"""),"20101023KSTOT")</f>
        <v>20101023KSTOT</v>
      </c>
      <c r="B1263" s="5">
        <f ca="1">IFERROR(__xludf.DUMMYFUNCTION("""COMPUTED_VALUE"""),10)</f>
        <v>10</v>
      </c>
      <c r="C1263" s="5">
        <f ca="1">IFERROR(__xludf.DUMMYFUNCTION("""COMPUTED_VALUE"""),23)</f>
        <v>23</v>
      </c>
      <c r="D1263" s="5">
        <f ca="1">IFERROR(__xludf.DUMMYFUNCTION("""COMPUTED_VALUE"""),2010)</f>
        <v>2010</v>
      </c>
      <c r="E1263" s="8">
        <f ca="1">IFERROR(__xludf.DUMMYFUNCTION("""COMPUTED_VALUE"""),40474)</f>
        <v>40474</v>
      </c>
      <c r="F1263" s="5" t="str">
        <f ca="1">IFERROR(__xludf.DUMMYFUNCTION("""COMPUTED_VALUE"""),"Topeka West High School")</f>
        <v>Topeka West High School</v>
      </c>
      <c r="G1263" s="5">
        <f ca="1">IFERROR(__xludf.DUMMYFUNCTION("""COMPUTED_VALUE"""),1)</f>
        <v>1</v>
      </c>
      <c r="H1263" s="5">
        <f ca="1">IFERROR(__xludf.DUMMYFUNCTION("""COMPUTED_VALUE"""),1)</f>
        <v>1</v>
      </c>
      <c r="I1263" s="5">
        <f ca="1">IFERROR(__xludf.DUMMYFUNCTION("""COMPUTED_VALUE"""),2)</f>
        <v>2</v>
      </c>
      <c r="J1263" s="5">
        <f ca="1">IFERROR(__xludf.DUMMYFUNCTION("""COMPUTED_VALUE"""),0)</f>
        <v>0</v>
      </c>
      <c r="K1263" s="5" t="str">
        <f ca="1">IFERROR(__xludf.DUMMYFUNCTION("""COMPUTED_VALUE"""),"https://www.wibw.com/home/headlines/Shooting_At_Topeka_West_High_School_105624733.html https://www.cjonline.com/news/2013-04-11/woman-gets-10-years-fatal-shooting-topeka-west")</f>
        <v>https://www.wibw.com/home/headlines/Shooting_At_Topeka_West_High_School_105624733.html https://www.cjonline.com/news/2013-04-11/woman-gets-10-years-fatal-shooting-topeka-west</v>
      </c>
      <c r="L1263" s="5">
        <f ca="1">IFERROR(__xludf.DUMMYFUNCTION("""COMPUTED_VALUE"""),11)</f>
        <v>11</v>
      </c>
      <c r="M1263" s="5" t="str">
        <f ca="1">IFERROR(__xludf.DUMMYFUNCTION("""COMPUTED_VALUE"""),"Local")</f>
        <v>Local</v>
      </c>
      <c r="N1263" s="5">
        <f ca="1">IFERROR(__xludf.DUMMYFUNCTION("""COMPUTED_VALUE"""),5)</f>
        <v>5</v>
      </c>
      <c r="O1263" s="5" t="str">
        <f ca="1">IFERROR(__xludf.DUMMYFUNCTION("""COMPUTED_VALUE"""),"Fall")</f>
        <v>Fall</v>
      </c>
      <c r="P1263" s="5" t="str">
        <f ca="1">IFERROR(__xludf.DUMMYFUNCTION("""COMPUTED_VALUE"""),"Topeka")</f>
        <v>Topeka</v>
      </c>
      <c r="Q1263" s="5" t="str">
        <f ca="1">IFERROR(__xludf.DUMMYFUNCTION("""COMPUTED_VALUE"""),"KS")</f>
        <v>KS</v>
      </c>
      <c r="R1263" s="5" t="str">
        <f ca="1">IFERROR(__xludf.DUMMYFUNCTION("""COMPUTED_VALUE"""),"High")</f>
        <v>High</v>
      </c>
      <c r="S1263" s="5" t="str">
        <f ca="1">IFERROR(__xludf.DUMMYFUNCTION("""COMPUTED_VALUE"""),"Field (General)")</f>
        <v>Field (General)</v>
      </c>
      <c r="T1263" s="5" t="str">
        <f ca="1">IFERROR(__xludf.DUMMYFUNCTION("""COMPUTED_VALUE"""),"Outside on School Property")</f>
        <v>Outside on School Property</v>
      </c>
      <c r="U1263" s="5" t="str">
        <f ca="1">IFERROR(__xludf.DUMMYFUNCTION("""COMPUTED_VALUE"""),"No")</f>
        <v>No</v>
      </c>
      <c r="V1263" s="5" t="str">
        <f ca="1">IFERROR(__xludf.DUMMYFUNCTION("""COMPUTED_VALUE"""),"Evening")</f>
        <v>Evening</v>
      </c>
      <c r="W1263" s="10">
        <f ca="1">IFERROR(__xludf.DUMMYFUNCTION("""COMPUTED_VALUE"""),0.9375)</f>
        <v>0.9375</v>
      </c>
      <c r="X1263" s="5">
        <f ca="1">IFERROR(__xludf.DUMMYFUNCTION("""COMPUTED_VALUE"""),1)</f>
        <v>1</v>
      </c>
      <c r="Y1263" s="5" t="str">
        <f ca="1">IFERROR(__xludf.DUMMYFUNCTION("""COMPUTED_VALUE"""),"Drug deal gone bad")</f>
        <v>Drug deal gone bad</v>
      </c>
      <c r="Z1263" s="5" t="str">
        <f ca="1">IFERROR(__xludf.DUMMYFUNCTION("""COMPUTED_VALUE"""),"Two victims went to meet suspects on school grounds to buy marijuana. Either the deal went bad or it was an ambush, but one victim was killed and the other wounded -  all 4 suspects (2 males and 2 females) apprehended and charged.")</f>
        <v>Two victims went to meet suspects on school grounds to buy marijuana. Either the deal went bad or it was an ambush, but one victim was killed and the other wounded -  all 4 suspects (2 males and 2 females) apprehended and charged.</v>
      </c>
      <c r="AA1263" s="5" t="str">
        <f ca="1">IFERROR(__xludf.DUMMYFUNCTION("""COMPUTED_VALUE"""),"Illegal Activity")</f>
        <v>Illegal Activity</v>
      </c>
      <c r="AB1263" s="5" t="str">
        <f ca="1">IFERROR(__xludf.DUMMYFUNCTION("""COMPUTED_VALUE"""),"Victims Targeted")</f>
        <v>Victims Targeted</v>
      </c>
      <c r="AC1263" s="5" t="str">
        <f ca="1">IFERROR(__xludf.DUMMYFUNCTION("""COMPUTED_VALUE"""),"Yes")</f>
        <v>Yes</v>
      </c>
      <c r="AD1263" s="5" t="str">
        <f ca="1">IFERROR(__xludf.DUMMYFUNCTION("""COMPUTED_VALUE"""),"No")</f>
        <v>No</v>
      </c>
      <c r="AE1263" s="5" t="str">
        <f ca="1">IFERROR(__xludf.DUMMYFUNCTION("""COMPUTED_VALUE"""),"No")</f>
        <v>No</v>
      </c>
      <c r="AF1263" s="5" t="str">
        <f ca="1">IFERROR(__xludf.DUMMYFUNCTION("""COMPUTED_VALUE"""),"No")</f>
        <v>No</v>
      </c>
      <c r="AG1263" s="5" t="str">
        <f ca="1">IFERROR(__xludf.DUMMYFUNCTION("""COMPUTED_VALUE"""),"No")</f>
        <v>No</v>
      </c>
      <c r="AH1263" s="5" t="str">
        <f ca="1">IFERROR(__xludf.DUMMYFUNCTION("""COMPUTED_VALUE"""),"No")</f>
        <v>No</v>
      </c>
      <c r="AI1263" s="5" t="str">
        <f ca="1">IFERROR(__xludf.DUMMYFUNCTION("""COMPUTED_VALUE"""),"No")</f>
        <v>No</v>
      </c>
      <c r="AJ1263" s="5"/>
    </row>
    <row r="1264" spans="1:36" ht="13">
      <c r="A1264" s="5" t="str">
        <f ca="1">IFERROR(__xludf.DUMMYFUNCTION("""COMPUTED_VALUE"""),"20101008CAKEC")</f>
        <v>20101008CAKEC</v>
      </c>
      <c r="B1264" s="5">
        <f ca="1">IFERROR(__xludf.DUMMYFUNCTION("""COMPUTED_VALUE"""),10)</f>
        <v>10</v>
      </c>
      <c r="C1264" s="5">
        <f ca="1">IFERROR(__xludf.DUMMYFUNCTION("""COMPUTED_VALUE"""),8)</f>
        <v>8</v>
      </c>
      <c r="D1264" s="5">
        <f ca="1">IFERROR(__xludf.DUMMYFUNCTION("""COMPUTED_VALUE"""),2010)</f>
        <v>2010</v>
      </c>
      <c r="E1264" s="8">
        <f ca="1">IFERROR(__xludf.DUMMYFUNCTION("""COMPUTED_VALUE"""),40459)</f>
        <v>40459</v>
      </c>
      <c r="F1264" s="5" t="str">
        <f ca="1">IFERROR(__xludf.DUMMYFUNCTION("""COMPUTED_VALUE"""),"Kelly Elementary School")</f>
        <v>Kelly Elementary School</v>
      </c>
      <c r="G1264" s="5">
        <f ca="1">IFERROR(__xludf.DUMMYFUNCTION("""COMPUTED_VALUE"""),0)</f>
        <v>0</v>
      </c>
      <c r="H1264" s="5">
        <f ca="1">IFERROR(__xludf.DUMMYFUNCTION("""COMPUTED_VALUE"""),2)</f>
        <v>2</v>
      </c>
      <c r="I1264" s="5">
        <f ca="1">IFERROR(__xludf.DUMMYFUNCTION("""COMPUTED_VALUE"""),2)</f>
        <v>2</v>
      </c>
      <c r="J1264" s="5">
        <f ca="1">IFERROR(__xludf.DUMMYFUNCTION("""COMPUTED_VALUE"""),0)</f>
        <v>0</v>
      </c>
      <c r="K1264" s="5" t="str">
        <f ca="1">IFERROR(__xludf.DUMMYFUNCTION("""COMPUTED_VALUE"""),"http://www.cbs8.com/story/13293293/shots-fired-at-kelly-elementary-school-in-carlsbad https://www.fbi.gov/file-repository/active-shooter-incidents-2000-2017.pdf")</f>
        <v>http://www.cbs8.com/story/13293293/shots-fired-at-kelly-elementary-school-in-carlsbad https://www.fbi.gov/file-repository/active-shooter-incidents-2000-2017.pdf</v>
      </c>
      <c r="L1264" s="5"/>
      <c r="M1264" s="5"/>
      <c r="N1264" s="5">
        <f ca="1">IFERROR(__xludf.DUMMYFUNCTION("""COMPUTED_VALUE"""),5)</f>
        <v>5</v>
      </c>
      <c r="O1264" s="5" t="str">
        <f ca="1">IFERROR(__xludf.DUMMYFUNCTION("""COMPUTED_VALUE"""),"Fall")</f>
        <v>Fall</v>
      </c>
      <c r="P1264" s="5" t="str">
        <f ca="1">IFERROR(__xludf.DUMMYFUNCTION("""COMPUTED_VALUE"""),"Carlsbad")</f>
        <v>Carlsbad</v>
      </c>
      <c r="Q1264" s="5" t="str">
        <f ca="1">IFERROR(__xludf.DUMMYFUNCTION("""COMPUTED_VALUE"""),"CA")</f>
        <v>CA</v>
      </c>
      <c r="R1264" s="5" t="str">
        <f ca="1">IFERROR(__xludf.DUMMYFUNCTION("""COMPUTED_VALUE"""),"Elementary")</f>
        <v>Elementary</v>
      </c>
      <c r="S1264" s="5" t="str">
        <f ca="1">IFERROR(__xludf.DUMMYFUNCTION("""COMPUTED_VALUE"""),"Playground")</f>
        <v>Playground</v>
      </c>
      <c r="T1264" s="5" t="str">
        <f ca="1">IFERROR(__xludf.DUMMYFUNCTION("""COMPUTED_VALUE"""),"Outside on School Property")</f>
        <v>Outside on School Property</v>
      </c>
      <c r="U1264" s="5" t="str">
        <f ca="1">IFERROR(__xludf.DUMMYFUNCTION("""COMPUTED_VALUE"""),"Yes")</f>
        <v>Yes</v>
      </c>
      <c r="V1264" s="5" t="str">
        <f ca="1">IFERROR(__xludf.DUMMYFUNCTION("""COMPUTED_VALUE"""),"Lunch")</f>
        <v>Lunch</v>
      </c>
      <c r="W1264" s="10">
        <f ca="1">IFERROR(__xludf.DUMMYFUNCTION("""COMPUTED_VALUE"""),0.5)</f>
        <v>0.5</v>
      </c>
      <c r="X1264" s="5">
        <f ca="1">IFERROR(__xludf.DUMMYFUNCTION("""COMPUTED_VALUE"""),2)</f>
        <v>2</v>
      </c>
      <c r="Y1264" s="5" t="str">
        <f ca="1">IFERROR(__xludf.DUMMYFUNCTION("""COMPUTED_VALUE"""),"Fired shot at school playground, struck by driver who saw shooting occuring")</f>
        <v>Fired shot at school playground, struck by driver who saw shooting occuring</v>
      </c>
      <c r="Z1264" s="5" t="str">
        <f ca="1">IFERROR(__xludf.DUMMYFUNCTION("""COMPUTED_VALUE"""),"Shooter fired at a elementary school playground from a distance with a .357 revolver. Shooter also had gas can and propane tank. Shots struck two students. Nearby construction worker who heard the shots and saw him shooting intervened. One of the workers "&amp;"used his truck to knock shooter down while two other workers subdued him.")</f>
        <v>Shooter fired at a elementary school playground from a distance with a .357 revolver. Shooter also had gas can and propane tank. Shots struck two students. Nearby construction worker who heard the shots and saw him shooting intervened. One of the workers used his truck to knock shooter down while two other workers subdued him.</v>
      </c>
      <c r="AA1264" s="5" t="str">
        <f ca="1">IFERROR(__xludf.DUMMYFUNCTION("""COMPUTED_VALUE"""),"Indiscriminate Shooting")</f>
        <v>Indiscriminate Shooting</v>
      </c>
      <c r="AB1264" s="5" t="str">
        <f ca="1">IFERROR(__xludf.DUMMYFUNCTION("""COMPUTED_VALUE"""),"Random Shooting")</f>
        <v>Random Shooting</v>
      </c>
      <c r="AC1264" s="5" t="str">
        <f ca="1">IFERROR(__xludf.DUMMYFUNCTION("""COMPUTED_VALUE"""),"No")</f>
        <v>No</v>
      </c>
      <c r="AD1264" s="5" t="str">
        <f ca="1">IFERROR(__xludf.DUMMYFUNCTION("""COMPUTED_VALUE"""),"No")</f>
        <v>No</v>
      </c>
      <c r="AE1264" s="5" t="str">
        <f ca="1">IFERROR(__xludf.DUMMYFUNCTION("""COMPUTED_VALUE"""),"No")</f>
        <v>No</v>
      </c>
      <c r="AF1264" s="5" t="str">
        <f ca="1">IFERROR(__xludf.DUMMYFUNCTION("""COMPUTED_VALUE"""),"No")</f>
        <v>No</v>
      </c>
      <c r="AG1264" s="5" t="str">
        <f ca="1">IFERROR(__xludf.DUMMYFUNCTION("""COMPUTED_VALUE"""),"No")</f>
        <v>No</v>
      </c>
      <c r="AH1264" s="5" t="str">
        <f ca="1">IFERROR(__xludf.DUMMYFUNCTION("""COMPUTED_VALUE"""),"No")</f>
        <v>No</v>
      </c>
      <c r="AI1264" s="5" t="str">
        <f ca="1">IFERROR(__xludf.DUMMYFUNCTION("""COMPUTED_VALUE"""),"No")</f>
        <v>No</v>
      </c>
      <c r="AJ1264" s="5" t="str">
        <f ca="1">IFERROR(__xludf.DUMMYFUNCTION("""COMPUTED_VALUE"""),"Yes")</f>
        <v>Yes</v>
      </c>
    </row>
    <row r="1265" spans="1:36" ht="13">
      <c r="A1265" s="5" t="str">
        <f ca="1">IFERROR(__xludf.DUMMYFUNCTION("""COMPUTED_VALUE"""),"20101001CAALS")</f>
        <v>20101001CAALS</v>
      </c>
      <c r="B1265" s="5">
        <f ca="1">IFERROR(__xludf.DUMMYFUNCTION("""COMPUTED_VALUE"""),10)</f>
        <v>10</v>
      </c>
      <c r="C1265" s="5">
        <f ca="1">IFERROR(__xludf.DUMMYFUNCTION("""COMPUTED_VALUE"""),1)</f>
        <v>1</v>
      </c>
      <c r="D1265" s="5">
        <f ca="1">IFERROR(__xludf.DUMMYFUNCTION("""COMPUTED_VALUE"""),2010)</f>
        <v>2010</v>
      </c>
      <c r="E1265" s="8">
        <f ca="1">IFERROR(__xludf.DUMMYFUNCTION("""COMPUTED_VALUE"""),40452)</f>
        <v>40452</v>
      </c>
      <c r="F1265" s="5" t="str">
        <f ca="1">IFERROR(__xludf.DUMMYFUNCTION("""COMPUTED_VALUE"""),"Alisal High School")</f>
        <v>Alisal High School</v>
      </c>
      <c r="G1265" s="5">
        <f ca="1">IFERROR(__xludf.DUMMYFUNCTION("""COMPUTED_VALUE"""),1)</f>
        <v>1</v>
      </c>
      <c r="H1265" s="5">
        <f ca="1">IFERROR(__xludf.DUMMYFUNCTION("""COMPUTED_VALUE"""),0)</f>
        <v>0</v>
      </c>
      <c r="I1265" s="5">
        <f ca="1">IFERROR(__xludf.DUMMYFUNCTION("""COMPUTED_VALUE"""),1)</f>
        <v>1</v>
      </c>
      <c r="J1265" s="5">
        <f ca="1">IFERROR(__xludf.DUMMYFUNCTION("""COMPUTED_VALUE"""),0)</f>
        <v>0</v>
      </c>
      <c r="K1265" s="5" t="str">
        <f ca="1">IFERROR(__xludf.DUMMYFUNCTION("""COMPUTED_VALUE"""),"http://www.montereyherald.com/article/ZZ/20101001/NEWS/101008895 .   https://www.newspapers.com/image/280535784/?terms=alisal%2Bhigh%2Bschool%2Bshooting")</f>
        <v>http://www.montereyherald.com/article/ZZ/20101001/NEWS/101008895 .   https://www.newspapers.com/image/280535784/?terms=alisal%2Bhigh%2Bschool%2Bshooting</v>
      </c>
      <c r="L1265" s="5"/>
      <c r="M1265" s="5"/>
      <c r="N1265" s="5">
        <f ca="1">IFERROR(__xludf.DUMMYFUNCTION("""COMPUTED_VALUE"""),2)</f>
        <v>2</v>
      </c>
      <c r="O1265" s="5" t="str">
        <f ca="1">IFERROR(__xludf.DUMMYFUNCTION("""COMPUTED_VALUE"""),"Fall")</f>
        <v>Fall</v>
      </c>
      <c r="P1265" s="5" t="str">
        <f ca="1">IFERROR(__xludf.DUMMYFUNCTION("""COMPUTED_VALUE"""),"Salinas")</f>
        <v>Salinas</v>
      </c>
      <c r="Q1265" s="5" t="str">
        <f ca="1">IFERROR(__xludf.DUMMYFUNCTION("""COMPUTED_VALUE"""),"CA")</f>
        <v>CA</v>
      </c>
      <c r="R1265" s="5" t="str">
        <f ca="1">IFERROR(__xludf.DUMMYFUNCTION("""COMPUTED_VALUE"""),"High")</f>
        <v>High</v>
      </c>
      <c r="S1265" s="5" t="str">
        <f ca="1">IFERROR(__xludf.DUMMYFUNCTION("""COMPUTED_VALUE"""),"Beside Building")</f>
        <v>Beside Building</v>
      </c>
      <c r="T1265" s="5" t="str">
        <f ca="1">IFERROR(__xludf.DUMMYFUNCTION("""COMPUTED_VALUE"""),"Outside on School Property")</f>
        <v>Outside on School Property</v>
      </c>
      <c r="U1265" s="5" t="str">
        <f ca="1">IFERROR(__xludf.DUMMYFUNCTION("""COMPUTED_VALUE"""),"Yes")</f>
        <v>Yes</v>
      </c>
      <c r="V1265" s="5" t="str">
        <f ca="1">IFERROR(__xludf.DUMMYFUNCTION("""COMPUTED_VALUE"""),"School Start")</f>
        <v>School Start</v>
      </c>
      <c r="W1265" s="10">
        <f ca="1">IFERROR(__xludf.DUMMYFUNCTION("""COMPUTED_VALUE"""),0.328472222222222)</f>
        <v>0.328472222222222</v>
      </c>
      <c r="X1265" s="5">
        <f ca="1">IFERROR(__xludf.DUMMYFUNCTION("""COMPUTED_VALUE"""),1)</f>
        <v>1</v>
      </c>
      <c r="Y1265" s="5" t="str">
        <f ca="1">IFERROR(__xludf.DUMMYFUNCTION("""COMPUTED_VALUE"""),"Gang-related shooting outside of school.")</f>
        <v>Gang-related shooting outside of school.</v>
      </c>
      <c r="Z1265" s="5" t="str">
        <f ca="1">IFERROR(__xludf.DUMMYFUNCTION("""COMPUTED_VALUE"""),"Unidentified shooter fired multiple shots at the victim when he walked onto school grounds. Shooter fled the scene. Police reported the shooting was gang related.")</f>
        <v>Unidentified shooter fired multiple shots at the victim when he walked onto school grounds. Shooter fled the scene. Police reported the shooting was gang related.</v>
      </c>
      <c r="AA1265" s="5" t="str">
        <f ca="1">IFERROR(__xludf.DUMMYFUNCTION("""COMPUTED_VALUE"""),"Escalation of Dispute")</f>
        <v>Escalation of Dispute</v>
      </c>
      <c r="AB1265" s="5" t="str">
        <f ca="1">IFERROR(__xludf.DUMMYFUNCTION("""COMPUTED_VALUE"""),"Victims Targeted")</f>
        <v>Victims Targeted</v>
      </c>
      <c r="AC1265" s="5"/>
      <c r="AD1265" s="5" t="str">
        <f ca="1">IFERROR(__xludf.DUMMYFUNCTION("""COMPUTED_VALUE"""),"No")</f>
        <v>No</v>
      </c>
      <c r="AE1265" s="5" t="str">
        <f ca="1">IFERROR(__xludf.DUMMYFUNCTION("""COMPUTED_VALUE"""),"No")</f>
        <v>No</v>
      </c>
      <c r="AF1265" s="5" t="str">
        <f ca="1">IFERROR(__xludf.DUMMYFUNCTION("""COMPUTED_VALUE"""),"No")</f>
        <v>No</v>
      </c>
      <c r="AG1265" s="5"/>
      <c r="AH1265" s="5" t="str">
        <f ca="1">IFERROR(__xludf.DUMMYFUNCTION("""COMPUTED_VALUE"""),"No")</f>
        <v>No</v>
      </c>
      <c r="AI1265" s="5" t="str">
        <f ca="1">IFERROR(__xludf.DUMMYFUNCTION("""COMPUTED_VALUE"""),"Yes")</f>
        <v>Yes</v>
      </c>
      <c r="AJ1265" s="5"/>
    </row>
    <row r="1266" spans="1:36" ht="13">
      <c r="A1266" s="5" t="str">
        <f ca="1">IFERROR(__xludf.DUMMYFUNCTION("""COMPUTED_VALUE"""),"20100921SCSOC")</f>
        <v>20100921SCSOC</v>
      </c>
      <c r="B1266" s="5">
        <f ca="1">IFERROR(__xludf.DUMMYFUNCTION("""COMPUTED_VALUE"""),9)</f>
        <v>9</v>
      </c>
      <c r="C1266" s="5">
        <f ca="1">IFERROR(__xludf.DUMMYFUNCTION("""COMPUTED_VALUE"""),21)</f>
        <v>21</v>
      </c>
      <c r="D1266" s="5">
        <f ca="1">IFERROR(__xludf.DUMMYFUNCTION("""COMPUTED_VALUE"""),2010)</f>
        <v>2010</v>
      </c>
      <c r="E1266" s="8">
        <f ca="1">IFERROR(__xludf.DUMMYFUNCTION("""COMPUTED_VALUE"""),40442)</f>
        <v>40442</v>
      </c>
      <c r="F1266" s="5" t="str">
        <f ca="1">IFERROR(__xludf.DUMMYFUNCTION("""COMPUTED_VALUE"""),"Socastee High School")</f>
        <v>Socastee High School</v>
      </c>
      <c r="G1266" s="5">
        <f ca="1">IFERROR(__xludf.DUMMYFUNCTION("""COMPUTED_VALUE"""),0)</f>
        <v>0</v>
      </c>
      <c r="H1266" s="5">
        <f ca="1">IFERROR(__xludf.DUMMYFUNCTION("""COMPUTED_VALUE"""),1)</f>
        <v>1</v>
      </c>
      <c r="I1266" s="5">
        <f ca="1">IFERROR(__xludf.DUMMYFUNCTION("""COMPUTED_VALUE"""),1)</f>
        <v>1</v>
      </c>
      <c r="J1266" s="5">
        <f ca="1">IFERROR(__xludf.DUMMYFUNCTION("""COMPUTED_VALUE"""),0)</f>
        <v>0</v>
      </c>
      <c r="K1266" s="5" t="str">
        <f ca="1">IFERROR(__xludf.DUMMYFUNCTION("""COMPUTED_VALUE"""),"https://www.scnow.com/news/local/article_04883685-d7bf-56ec-a60b-6d38dce94a06.html .   https://www.myrtlebeachonline.com/latest-news/article16608194.html .  http://www.wmbfnews.com/story/13192276/police-respond-to-incident-at-socastee-hs https://www.scnow"&amp;".com/news/local/former-socastee-high-student-sentenced-to-six-years-for-shooting/article_04883685-d7bf-56ec-a60b-6d38dce94a06.html")</f>
        <v>https://www.scnow.com/news/local/article_04883685-d7bf-56ec-a60b-6d38dce94a06.html .   https://www.myrtlebeachonline.com/latest-news/article16608194.html .  http://www.wmbfnews.com/story/13192276/police-respond-to-incident-at-socastee-hs https://www.scnow.com/news/local/former-socastee-high-student-sentenced-to-six-years-for-shooting/article_04883685-d7bf-56ec-a60b-6d38dce94a06.html</v>
      </c>
      <c r="L1266" s="5"/>
      <c r="M1266" s="5"/>
      <c r="N1266" s="5">
        <f ca="1">IFERROR(__xludf.DUMMYFUNCTION("""COMPUTED_VALUE"""),4)</f>
        <v>4</v>
      </c>
      <c r="O1266" s="5" t="str">
        <f ca="1">IFERROR(__xludf.DUMMYFUNCTION("""COMPUTED_VALUE"""),"Fall")</f>
        <v>Fall</v>
      </c>
      <c r="P1266" s="5" t="str">
        <f ca="1">IFERROR(__xludf.DUMMYFUNCTION("""COMPUTED_VALUE"""),"Conway")</f>
        <v>Conway</v>
      </c>
      <c r="Q1266" s="5" t="str">
        <f ca="1">IFERROR(__xludf.DUMMYFUNCTION("""COMPUTED_VALUE"""),"SC")</f>
        <v>SC</v>
      </c>
      <c r="R1266" s="5" t="str">
        <f ca="1">IFERROR(__xludf.DUMMYFUNCTION("""COMPUTED_VALUE"""),"High")</f>
        <v>High</v>
      </c>
      <c r="S1266" s="5" t="str">
        <f ca="1">IFERROR(__xludf.DUMMYFUNCTION("""COMPUTED_VALUE"""),"Office")</f>
        <v>Office</v>
      </c>
      <c r="T1266" s="5" t="str">
        <f ca="1">IFERROR(__xludf.DUMMYFUNCTION("""COMPUTED_VALUE"""),"Inside School Building")</f>
        <v>Inside School Building</v>
      </c>
      <c r="U1266" s="5" t="str">
        <f ca="1">IFERROR(__xludf.DUMMYFUNCTION("""COMPUTED_VALUE"""),"Yes")</f>
        <v>Yes</v>
      </c>
      <c r="V1266" s="5" t="str">
        <f ca="1">IFERROR(__xludf.DUMMYFUNCTION("""COMPUTED_VALUE"""),"Afternoon Classes")</f>
        <v>Afternoon Classes</v>
      </c>
      <c r="W1266" s="10">
        <f ca="1">IFERROR(__xludf.DUMMYFUNCTION("""COMPUTED_VALUE"""),0.583333333333333)</f>
        <v>0.58333333333333304</v>
      </c>
      <c r="X1266" s="5">
        <f ca="1">IFERROR(__xludf.DUMMYFUNCTION("""COMPUTED_VALUE"""),1)</f>
        <v>1</v>
      </c>
      <c r="Y1266" s="5" t="str">
        <f ca="1">IFERROR(__xludf.DUMMYFUNCTION("""COMPUTED_VALUE"""),"Fired shot at SRO when officer searched his bag")</f>
        <v>Fired shot at SRO when officer searched his bag</v>
      </c>
      <c r="Z1266" s="5" t="str">
        <f ca="1">IFERROR(__xludf.DUMMYFUNCTION("""COMPUTED_VALUE"""),"Shooter was a 15YOM former student who was not known to school officials. Fired handgun in the SRO's office when SRO attempted to search his bag. SRO was burned by the gun firing but was not shot. He was able to wrestle the gun away from the shooter. Shoo"&amp;"ter was good student but was bullied for years. Grandmother reported him coming home from school with marks and bruises. Correctional officers reported fascination with guns and violence. Shooter also had two pipe bombs in his bag.")</f>
        <v>Shooter was a 15YOM former student who was not known to school officials. Fired handgun in the SRO's office when SRO attempted to search his bag. SRO was burned by the gun firing but was not shot. He was able to wrestle the gun away from the shooter. Shooter was good student but was bullied for years. Grandmother reported him coming home from school with marks and bruises. Correctional officers reported fascination with guns and violence. Shooter also had two pipe bombs in his bag.</v>
      </c>
      <c r="AA1266" s="5" t="str">
        <f ca="1">IFERROR(__xludf.DUMMYFUNCTION("""COMPUTED_VALUE"""),"Bullying")</f>
        <v>Bullying</v>
      </c>
      <c r="AB1266" s="5" t="str">
        <f ca="1">IFERROR(__xludf.DUMMYFUNCTION("""COMPUTED_VALUE"""),"Victims Targeted")</f>
        <v>Victims Targeted</v>
      </c>
      <c r="AC1266" s="5" t="str">
        <f ca="1">IFERROR(__xludf.DUMMYFUNCTION("""COMPUTED_VALUE"""),"No")</f>
        <v>No</v>
      </c>
      <c r="AD1266" s="5" t="str">
        <f ca="1">IFERROR(__xludf.DUMMYFUNCTION("""COMPUTED_VALUE"""),"No")</f>
        <v>No</v>
      </c>
      <c r="AE1266" s="5" t="str">
        <f ca="1">IFERROR(__xludf.DUMMYFUNCTION("""COMPUTED_VALUE"""),"No")</f>
        <v>No</v>
      </c>
      <c r="AF1266" s="5" t="str">
        <f ca="1">IFERROR(__xludf.DUMMYFUNCTION("""COMPUTED_VALUE"""),"No")</f>
        <v>No</v>
      </c>
      <c r="AG1266" s="5" t="str">
        <f ca="1">IFERROR(__xludf.DUMMYFUNCTION("""COMPUTED_VALUE"""),"Yes")</f>
        <v>Yes</v>
      </c>
      <c r="AH1266" s="5" t="str">
        <f ca="1">IFERROR(__xludf.DUMMYFUNCTION("""COMPUTED_VALUE"""),"No")</f>
        <v>No</v>
      </c>
      <c r="AI1266" s="5" t="str">
        <f ca="1">IFERROR(__xludf.DUMMYFUNCTION("""COMPUTED_VALUE"""),"No")</f>
        <v>No</v>
      </c>
      <c r="AJ1266" s="5" t="str">
        <f ca="1">IFERROR(__xludf.DUMMYFUNCTION("""COMPUTED_VALUE"""),"Yes")</f>
        <v>Yes</v>
      </c>
    </row>
    <row r="1267" spans="1:36" ht="13">
      <c r="A1267" s="5" t="str">
        <f ca="1">IFERROR(__xludf.DUMMYFUNCTION("""COMPUTED_VALUE"""),"20100908MIMUD")</f>
        <v>20100908MIMUD</v>
      </c>
      <c r="B1267" s="5">
        <f ca="1">IFERROR(__xludf.DUMMYFUNCTION("""COMPUTED_VALUE"""),9)</f>
        <v>9</v>
      </c>
      <c r="C1267" s="5">
        <f ca="1">IFERROR(__xludf.DUMMYFUNCTION("""COMPUTED_VALUE"""),8)</f>
        <v>8</v>
      </c>
      <c r="D1267" s="5">
        <f ca="1">IFERROR(__xludf.DUMMYFUNCTION("""COMPUTED_VALUE"""),2010)</f>
        <v>2010</v>
      </c>
      <c r="E1267" s="8">
        <f ca="1">IFERROR(__xludf.DUMMYFUNCTION("""COMPUTED_VALUE"""),40429)</f>
        <v>40429</v>
      </c>
      <c r="F1267" s="5" t="str">
        <f ca="1">IFERROR(__xludf.DUMMYFUNCTION("""COMPUTED_VALUE"""),"Mumford High School")</f>
        <v>Mumford High School</v>
      </c>
      <c r="G1267" s="5">
        <f ca="1">IFERROR(__xludf.DUMMYFUNCTION("""COMPUTED_VALUE"""),0)</f>
        <v>0</v>
      </c>
      <c r="H1267" s="5">
        <f ca="1">IFERROR(__xludf.DUMMYFUNCTION("""COMPUTED_VALUE"""),2)</f>
        <v>2</v>
      </c>
      <c r="I1267" s="5">
        <f ca="1">IFERROR(__xludf.DUMMYFUNCTION("""COMPUTED_VALUE"""),2)</f>
        <v>2</v>
      </c>
      <c r="J1267" s="5">
        <f ca="1">IFERROR(__xludf.DUMMYFUNCTION("""COMPUTED_VALUE"""),0)</f>
        <v>0</v>
      </c>
      <c r="K1267" s="5" t="str">
        <f ca="1">IFERROR(__xludf.DUMMYFUNCTION("""COMPUTED_VALUE"""),"https://michronicleonline.com/2010/09/13/second-teen-charged-in-mumford-shooting/ .    https://www.huffingtonpost.com/2010/09/07/mumford-high-school-shoot_n_707971.html .  https://www.mlive.com/news/detroit/index.ssf/2010/09/detroit_police_detain_two_stud"&amp;".html")</f>
        <v>https://michronicleonline.com/2010/09/13/second-teen-charged-in-mumford-shooting/ .    https://www.huffingtonpost.com/2010/09/07/mumford-high-school-shoot_n_707971.html .  https://www.mlive.com/news/detroit/index.ssf/2010/09/detroit_police_detain_two_stud.html</v>
      </c>
      <c r="L1267" s="5"/>
      <c r="M1267" s="5"/>
      <c r="N1267" s="5">
        <f ca="1">IFERROR(__xludf.DUMMYFUNCTION("""COMPUTED_VALUE"""),2)</f>
        <v>2</v>
      </c>
      <c r="O1267" s="5" t="str">
        <f ca="1">IFERROR(__xludf.DUMMYFUNCTION("""COMPUTED_VALUE"""),"Fall")</f>
        <v>Fall</v>
      </c>
      <c r="P1267" s="5" t="str">
        <f ca="1">IFERROR(__xludf.DUMMYFUNCTION("""COMPUTED_VALUE"""),"Detroit")</f>
        <v>Detroit</v>
      </c>
      <c r="Q1267" s="5" t="str">
        <f ca="1">IFERROR(__xludf.DUMMYFUNCTION("""COMPUTED_VALUE"""),"MI")</f>
        <v>MI</v>
      </c>
      <c r="R1267" s="5" t="str">
        <f ca="1">IFERROR(__xludf.DUMMYFUNCTION("""COMPUTED_VALUE"""),"High")</f>
        <v>High</v>
      </c>
      <c r="S1267" s="5" t="str">
        <f ca="1">IFERROR(__xludf.DUMMYFUNCTION("""COMPUTED_VALUE"""),"Beside Building")</f>
        <v>Beside Building</v>
      </c>
      <c r="T1267" s="5" t="str">
        <f ca="1">IFERROR(__xludf.DUMMYFUNCTION("""COMPUTED_VALUE"""),"Outside on School Property")</f>
        <v>Outside on School Property</v>
      </c>
      <c r="U1267" s="5" t="str">
        <f ca="1">IFERROR(__xludf.DUMMYFUNCTION("""COMPUTED_VALUE"""),"Yes")</f>
        <v>Yes</v>
      </c>
      <c r="V1267" s="5"/>
      <c r="W1267" s="10">
        <f ca="1">IFERROR(__xludf.DUMMYFUNCTION("""COMPUTED_VALUE"""),0.645833333333333)</f>
        <v>0.64583333333333304</v>
      </c>
      <c r="X1267" s="5">
        <f ca="1">IFERROR(__xludf.DUMMYFUNCTION("""COMPUTED_VALUE"""),1)</f>
        <v>1</v>
      </c>
      <c r="Y1267" s="5" t="str">
        <f ca="1">IFERROR(__xludf.DUMMYFUNCTION("""COMPUTED_VALUE"""),"Fight outside of school")</f>
        <v>Fight outside of school</v>
      </c>
      <c r="Z1267" s="5" t="str">
        <f ca="1">IFERROR(__xludf.DUMMYFUNCTION("""COMPUTED_VALUE"""),"Physical altercation escalated into shooting outside of the school prior to the first day of classes. Two students who were not involved in the shooting were stuck (minor injuries). Shooter fled the scene. Argument began on school property - shooting took"&amp;" place across the street from school")</f>
        <v>Physical altercation escalated into shooting outside of the school prior to the first day of classes. Two students who were not involved in the shooting were stuck (minor injuries). Shooter fled the scene. Argument began on school property - shooting took place across the street from school</v>
      </c>
      <c r="AA1267" s="5" t="str">
        <f ca="1">IFERROR(__xludf.DUMMYFUNCTION("""COMPUTED_VALUE"""),"Escalation of Dispute")</f>
        <v>Escalation of Dispute</v>
      </c>
      <c r="AB1267" s="5" t="str">
        <f ca="1">IFERROR(__xludf.DUMMYFUNCTION("""COMPUTED_VALUE"""),"Random Shooting")</f>
        <v>Random Shooting</v>
      </c>
      <c r="AC1267" s="5"/>
      <c r="AD1267" s="5" t="str">
        <f ca="1">IFERROR(__xludf.DUMMYFUNCTION("""COMPUTED_VALUE"""),"No")</f>
        <v>No</v>
      </c>
      <c r="AE1267" s="5" t="str">
        <f ca="1">IFERROR(__xludf.DUMMYFUNCTION("""COMPUTED_VALUE"""),"No")</f>
        <v>No</v>
      </c>
      <c r="AF1267" s="5" t="str">
        <f ca="1">IFERROR(__xludf.DUMMYFUNCTION("""COMPUTED_VALUE"""),"No")</f>
        <v>No</v>
      </c>
      <c r="AG1267" s="5" t="str">
        <f ca="1">IFERROR(__xludf.DUMMYFUNCTION("""COMPUTED_VALUE"""),"No")</f>
        <v>No</v>
      </c>
      <c r="AH1267" s="5" t="str">
        <f ca="1">IFERROR(__xludf.DUMMYFUNCTION("""COMPUTED_VALUE"""),"No")</f>
        <v>No</v>
      </c>
      <c r="AI1267" s="5" t="str">
        <f ca="1">IFERROR(__xludf.DUMMYFUNCTION("""COMPUTED_VALUE"""),"No")</f>
        <v>No</v>
      </c>
      <c r="AJ1267" s="5"/>
    </row>
    <row r="1268" spans="1:36" ht="13">
      <c r="A1268" s="5" t="str">
        <f ca="1">IFERROR(__xludf.DUMMYFUNCTION("""COMPUTED_VALUE"""),"20100830TNSUB")</f>
        <v>20100830TNSUB</v>
      </c>
      <c r="B1268" s="5">
        <f ca="1">IFERROR(__xludf.DUMMYFUNCTION("""COMPUTED_VALUE"""),8)</f>
        <v>8</v>
      </c>
      <c r="C1268" s="5">
        <f ca="1">IFERROR(__xludf.DUMMYFUNCTION("""COMPUTED_VALUE"""),30)</f>
        <v>30</v>
      </c>
      <c r="D1268" s="5">
        <f ca="1">IFERROR(__xludf.DUMMYFUNCTION("""COMPUTED_VALUE"""),2010)</f>
        <v>2010</v>
      </c>
      <c r="E1268" s="8">
        <f ca="1">IFERROR(__xludf.DUMMYFUNCTION("""COMPUTED_VALUE"""),40420)</f>
        <v>40420</v>
      </c>
      <c r="F1268" s="5" t="str">
        <f ca="1">IFERROR(__xludf.DUMMYFUNCTION("""COMPUTED_VALUE"""),"Sullivan Central High School")</f>
        <v>Sullivan Central High School</v>
      </c>
      <c r="G1268" s="5">
        <f ca="1">IFERROR(__xludf.DUMMYFUNCTION("""COMPUTED_VALUE"""),1)</f>
        <v>1</v>
      </c>
      <c r="H1268" s="5">
        <f ca="1">IFERROR(__xludf.DUMMYFUNCTION("""COMPUTED_VALUE"""),0)</f>
        <v>0</v>
      </c>
      <c r="I1268" s="5">
        <f ca="1">IFERROR(__xludf.DUMMYFUNCTION("""COMPUTED_VALUE"""),1)</f>
        <v>1</v>
      </c>
      <c r="J1268" s="5">
        <f ca="1">IFERROR(__xludf.DUMMYFUNCTION("""COMPUTED_VALUE"""),0)</f>
        <v>0</v>
      </c>
      <c r="K1268" s="5" t="str">
        <f ca="1">IFERROR(__xludf.DUMMYFUNCTION("""COMPUTED_VALUE"""),"https://www.heraldcourier.com/news/gunman-killed-at-sullivan-central/article_35434f30-00d3-522f-98f1-58f372591713.html .  https://www.snopes.com/fact-check/carolyn-gudger/ https://www.heraldcourier.com/news/updated-surveillance-video-released-from-2010-su"&amp;"llivan-central-high-school-standoff/article_1b3eeed1-ff31-56ca-bc3f-edf773e926c9.html")</f>
        <v>https://www.heraldcourier.com/news/gunman-killed-at-sullivan-central/article_35434f30-00d3-522f-98f1-58f372591713.html .  https://www.snopes.com/fact-check/carolyn-gudger/ https://www.heraldcourier.com/news/updated-surveillance-video-released-from-2010-sullivan-central-high-school-standoff/article_1b3eeed1-ff31-56ca-bc3f-edf773e926c9.html</v>
      </c>
      <c r="L1268" s="5"/>
      <c r="M1268" s="5"/>
      <c r="N1268" s="5">
        <f ca="1">IFERROR(__xludf.DUMMYFUNCTION("""COMPUTED_VALUE"""),5)</f>
        <v>5</v>
      </c>
      <c r="O1268" s="5" t="str">
        <f ca="1">IFERROR(__xludf.DUMMYFUNCTION("""COMPUTED_VALUE"""),"Summer")</f>
        <v>Summer</v>
      </c>
      <c r="P1268" s="5" t="str">
        <f ca="1">IFERROR(__xludf.DUMMYFUNCTION("""COMPUTED_VALUE"""),"Blountville")</f>
        <v>Blountville</v>
      </c>
      <c r="Q1268" s="5" t="str">
        <f ca="1">IFERROR(__xludf.DUMMYFUNCTION("""COMPUTED_VALUE"""),"TN")</f>
        <v>TN</v>
      </c>
      <c r="R1268" s="5" t="str">
        <f ca="1">IFERROR(__xludf.DUMMYFUNCTION("""COMPUTED_VALUE"""),"High")</f>
        <v>High</v>
      </c>
      <c r="S1268" s="5" t="str">
        <f ca="1">IFERROR(__xludf.DUMMYFUNCTION("""COMPUTED_VALUE"""),"Hallway")</f>
        <v>Hallway</v>
      </c>
      <c r="T1268" s="5" t="str">
        <f ca="1">IFERROR(__xludf.DUMMYFUNCTION("""COMPUTED_VALUE"""),"Inside School Building")</f>
        <v>Inside School Building</v>
      </c>
      <c r="U1268" s="5" t="str">
        <f ca="1">IFERROR(__xludf.DUMMYFUNCTION("""COMPUTED_VALUE"""),"Yes")</f>
        <v>Yes</v>
      </c>
      <c r="V1268" s="5" t="str">
        <f ca="1">IFERROR(__xludf.DUMMYFUNCTION("""COMPUTED_VALUE"""),"Morning Classes")</f>
        <v>Morning Classes</v>
      </c>
      <c r="W1268" s="10">
        <f ca="1">IFERROR(__xludf.DUMMYFUNCTION("""COMPUTED_VALUE"""),0.386111111111111)</f>
        <v>0.38611111111111102</v>
      </c>
      <c r="X1268" s="5">
        <f ca="1">IFERROR(__xludf.DUMMYFUNCTION("""COMPUTED_VALUE"""),10)</f>
        <v>10</v>
      </c>
      <c r="Y1268" s="5" t="str">
        <f ca="1">IFERROR(__xludf.DUMMYFUNCTION("""COMPUTED_VALUE"""),"Officer shot adult male who had gun at school after standoff")</f>
        <v>Officer shot adult male who had gun at school after standoff</v>
      </c>
      <c r="Z1268" s="5" t="str">
        <f ca="1">IFERROR(__xludf.DUMMYFUNCTION("""COMPUTED_VALUE"""),"A 62 year-old male Vietnam War Veteran drove to school where his brother worked as a janitor. He entered the school, pulled his weapon, a .380 caliber handgun, and pointed it at a student. The shooter also had second loaded handgun with him. The School Re"&amp;"source Officer pulled her weapon and pointed it at the suspect. School lockdown procedures were initiated. For approximately 10 minutes, there was a standoff with both the shooter and the SRO pointing weapons at each other. Two other deputies arrived and "&amp;"cornered the shooter and they ordered him to drop his weapon. When he refused, the deputies shot and killed him. The shooter had a history of legal problems and interactions with local law enforcement. Charged with stalking the mail carrier who delivered "&amp;"to his house and police officers had recommended a mental evaluation.")</f>
        <v>A 62 year-old male Vietnam War Veteran drove to school where his brother worked as a janitor. He entered the school, pulled his weapon, a .380 caliber handgun, and pointed it at a student. The shooter also had second loaded handgun with him. The School Resource Officer pulled her weapon and pointed it at the suspect. School lockdown procedures were initiated. For approximately 10 minutes, there was a standoff with both the shooter and the SRO pointing weapons at each other. Two other deputies arrived and cornered the shooter and they ordered him to drop his weapon. When he refused, the deputies shot and killed him. The shooter had a history of legal problems and interactions with local law enforcement. Charged with stalking the mail carrier who delivered to his house and police officers had recommended a mental evaluation.</v>
      </c>
      <c r="AA1268" s="5" t="str">
        <f ca="1">IFERROR(__xludf.DUMMYFUNCTION("""COMPUTED_VALUE"""),"Hostage/Standoff")</f>
        <v>Hostage/Standoff</v>
      </c>
      <c r="AB1268" s="5" t="str">
        <f ca="1">IFERROR(__xludf.DUMMYFUNCTION("""COMPUTED_VALUE"""),"Victims Targeted")</f>
        <v>Victims Targeted</v>
      </c>
      <c r="AC1268" s="5" t="str">
        <f ca="1">IFERROR(__xludf.DUMMYFUNCTION("""COMPUTED_VALUE"""),"No")</f>
        <v>No</v>
      </c>
      <c r="AD1268" s="5" t="str">
        <f ca="1">IFERROR(__xludf.DUMMYFUNCTION("""COMPUTED_VALUE"""),"Yes")</f>
        <v>Yes</v>
      </c>
      <c r="AE1268" s="5" t="str">
        <f ca="1">IFERROR(__xludf.DUMMYFUNCTION("""COMPUTED_VALUE"""),"No")</f>
        <v>No</v>
      </c>
      <c r="AF1268" s="5" t="str">
        <f ca="1">IFERROR(__xludf.DUMMYFUNCTION("""COMPUTED_VALUE"""),"No")</f>
        <v>No</v>
      </c>
      <c r="AG1268" s="5" t="str">
        <f ca="1">IFERROR(__xludf.DUMMYFUNCTION("""COMPUTED_VALUE"""),"No")</f>
        <v>No</v>
      </c>
      <c r="AH1268" s="5" t="str">
        <f ca="1">IFERROR(__xludf.DUMMYFUNCTION("""COMPUTED_VALUE"""),"No")</f>
        <v>No</v>
      </c>
      <c r="AI1268" s="5" t="str">
        <f ca="1">IFERROR(__xludf.DUMMYFUNCTION("""COMPUTED_VALUE"""),"No")</f>
        <v>No</v>
      </c>
      <c r="AJ1268" s="5" t="str">
        <f ca="1">IFERROR(__xludf.DUMMYFUNCTION("""COMPUTED_VALUE"""),"Yes")</f>
        <v>Yes</v>
      </c>
    </row>
    <row r="1269" spans="1:36" ht="13">
      <c r="A1269" s="5" t="str">
        <f ca="1">IFERROR(__xludf.DUMMYFUNCTION("""COMPUTED_VALUE"""),"20100518CASOS")</f>
        <v>20100518CASOS</v>
      </c>
      <c r="B1269" s="5">
        <f ca="1">IFERROR(__xludf.DUMMYFUNCTION("""COMPUTED_VALUE"""),5)</f>
        <v>5</v>
      </c>
      <c r="C1269" s="5">
        <f ca="1">IFERROR(__xludf.DUMMYFUNCTION("""COMPUTED_VALUE"""),18)</f>
        <v>18</v>
      </c>
      <c r="D1269" s="5">
        <f ca="1">IFERROR(__xludf.DUMMYFUNCTION("""COMPUTED_VALUE"""),2010)</f>
        <v>2010</v>
      </c>
      <c r="E1269" s="8">
        <f ca="1">IFERROR(__xludf.DUMMYFUNCTION("""COMPUTED_VALUE"""),40316)</f>
        <v>40316</v>
      </c>
      <c r="F1269" s="5" t="str">
        <f ca="1">IFERROR(__xludf.DUMMYFUNCTION("""COMPUTED_VALUE"""),"South Gate High School")</f>
        <v>South Gate High School</v>
      </c>
      <c r="G1269" s="5">
        <f ca="1">IFERROR(__xludf.DUMMYFUNCTION("""COMPUTED_VALUE"""),0)</f>
        <v>0</v>
      </c>
      <c r="H1269" s="5">
        <f ca="1">IFERROR(__xludf.DUMMYFUNCTION("""COMPUTED_VALUE"""),1)</f>
        <v>1</v>
      </c>
      <c r="I1269" s="5">
        <f ca="1">IFERROR(__xludf.DUMMYFUNCTION("""COMPUTED_VALUE"""),1)</f>
        <v>1</v>
      </c>
      <c r="J1269" s="5">
        <f ca="1">IFERROR(__xludf.DUMMYFUNCTION("""COMPUTED_VALUE"""),0)</f>
        <v>0</v>
      </c>
      <c r="K1269" s="5" t="str">
        <f ca="1">IFERROR(__xludf.DUMMYFUNCTION("""COMPUTED_VALUE"""),"https://abc7.com/archive/7448106/ .  https://www.dailynews.com/2010/05/18/student-at-south-gate-high-school-shot-on-campus/")</f>
        <v>https://abc7.com/archive/7448106/ .  https://www.dailynews.com/2010/05/18/student-at-south-gate-high-school-shot-on-campus/</v>
      </c>
      <c r="L1269" s="5"/>
      <c r="M1269" s="5"/>
      <c r="N1269" s="5">
        <f ca="1">IFERROR(__xludf.DUMMYFUNCTION("""COMPUTED_VALUE"""),3)</f>
        <v>3</v>
      </c>
      <c r="O1269" s="5" t="str">
        <f ca="1">IFERROR(__xludf.DUMMYFUNCTION("""COMPUTED_VALUE"""),"Spring")</f>
        <v>Spring</v>
      </c>
      <c r="P1269" s="5" t="str">
        <f ca="1">IFERROR(__xludf.DUMMYFUNCTION("""COMPUTED_VALUE"""),"South Gate")</f>
        <v>South Gate</v>
      </c>
      <c r="Q1269" s="5" t="str">
        <f ca="1">IFERROR(__xludf.DUMMYFUNCTION("""COMPUTED_VALUE"""),"CA")</f>
        <v>CA</v>
      </c>
      <c r="R1269" s="5" t="str">
        <f ca="1">IFERROR(__xludf.DUMMYFUNCTION("""COMPUTED_VALUE"""),"High")</f>
        <v>High</v>
      </c>
      <c r="S1269" s="5" t="str">
        <f ca="1">IFERROR(__xludf.DUMMYFUNCTION("""COMPUTED_VALUE"""),"Beside Building")</f>
        <v>Beside Building</v>
      </c>
      <c r="T1269" s="5" t="str">
        <f ca="1">IFERROR(__xludf.DUMMYFUNCTION("""COMPUTED_VALUE"""),"Outside on School Property")</f>
        <v>Outside on School Property</v>
      </c>
      <c r="U1269" s="5" t="str">
        <f ca="1">IFERROR(__xludf.DUMMYFUNCTION("""COMPUTED_VALUE"""),"Yes")</f>
        <v>Yes</v>
      </c>
      <c r="V1269" s="5" t="str">
        <f ca="1">IFERROR(__xludf.DUMMYFUNCTION("""COMPUTED_VALUE"""),"Before School")</f>
        <v>Before School</v>
      </c>
      <c r="W1269" s="10">
        <f ca="1">IFERROR(__xludf.DUMMYFUNCTION("""COMPUTED_VALUE"""),0.327083333333333)</f>
        <v>0.327083333333333</v>
      </c>
      <c r="X1269" s="5">
        <f ca="1">IFERROR(__xludf.DUMMYFUNCTION("""COMPUTED_VALUE"""),1)</f>
        <v>1</v>
      </c>
      <c r="Y1269" s="5" t="str">
        <f ca="1">IFERROR(__xludf.DUMMYFUNCTION("""COMPUTED_VALUE"""),"Targeted shooting outside of school")</f>
        <v>Targeted shooting outside of school</v>
      </c>
      <c r="Z1269" s="5" t="str">
        <f ca="1">IFERROR(__xludf.DUMMYFUNCTION("""COMPUTED_VALUE"""),"17 year old shooter walked onto school property, pulled gun out, and targeted a single victim. Shooter was former student at the high school. Shooter fled towards the direction of his new high school. Police located and arrested shooter approximately 1 ho"&amp;"ur later.")</f>
        <v>17 year old shooter walked onto school property, pulled gun out, and targeted a single victim. Shooter was former student at the high school. Shooter fled towards the direction of his new high school. Police located and arrested shooter approximately 1 hour later.</v>
      </c>
      <c r="AA1269" s="5" t="str">
        <f ca="1">IFERROR(__xludf.DUMMYFUNCTION("""COMPUTED_VALUE"""),"Escalation of Dispute")</f>
        <v>Escalation of Dispute</v>
      </c>
      <c r="AB1269" s="5" t="str">
        <f ca="1">IFERROR(__xludf.DUMMYFUNCTION("""COMPUTED_VALUE"""),"Both")</f>
        <v>Both</v>
      </c>
      <c r="AC1269" s="5"/>
      <c r="AD1269" s="5" t="str">
        <f ca="1">IFERROR(__xludf.DUMMYFUNCTION("""COMPUTED_VALUE"""),"No")</f>
        <v>No</v>
      </c>
      <c r="AE1269" s="5" t="str">
        <f ca="1">IFERROR(__xludf.DUMMYFUNCTION("""COMPUTED_VALUE"""),"No")</f>
        <v>No</v>
      </c>
      <c r="AF1269" s="5" t="str">
        <f ca="1">IFERROR(__xludf.DUMMYFUNCTION("""COMPUTED_VALUE"""),"No")</f>
        <v>No</v>
      </c>
      <c r="AG1269" s="5"/>
      <c r="AH1269" s="5"/>
      <c r="AI1269" s="5"/>
      <c r="AJ1269" s="5"/>
    </row>
    <row r="1270" spans="1:36" ht="13">
      <c r="A1270" s="5" t="str">
        <f ca="1">IFERROR(__xludf.DUMMYFUNCTION("""COMPUTED_VALUE"""),"20100428VAWOP")</f>
        <v>20100428VAWOP</v>
      </c>
      <c r="B1270" s="5">
        <f ca="1">IFERROR(__xludf.DUMMYFUNCTION("""COMPUTED_VALUE"""),4)</f>
        <v>4</v>
      </c>
      <c r="C1270" s="5">
        <f ca="1">IFERROR(__xludf.DUMMYFUNCTION("""COMPUTED_VALUE"""),28)</f>
        <v>28</v>
      </c>
      <c r="D1270" s="5">
        <f ca="1">IFERROR(__xludf.DUMMYFUNCTION("""COMPUTED_VALUE"""),2010)</f>
        <v>2010</v>
      </c>
      <c r="E1270" s="8">
        <f ca="1">IFERROR(__xludf.DUMMYFUNCTION("""COMPUTED_VALUE"""),40296)</f>
        <v>40296</v>
      </c>
      <c r="F1270" s="5" t="str">
        <f ca="1">IFERROR(__xludf.DUMMYFUNCTION("""COMPUTED_VALUE"""),"Woodrow Wilson High School")</f>
        <v>Woodrow Wilson High School</v>
      </c>
      <c r="G1270" s="5">
        <f ca="1">IFERROR(__xludf.DUMMYFUNCTION("""COMPUTED_VALUE"""),0)</f>
        <v>0</v>
      </c>
      <c r="H1270" s="5">
        <f ca="1">IFERROR(__xludf.DUMMYFUNCTION("""COMPUTED_VALUE"""),0)</f>
        <v>0</v>
      </c>
      <c r="I1270" s="5">
        <f ca="1">IFERROR(__xludf.DUMMYFUNCTION("""COMPUTED_VALUE"""),0)</f>
        <v>0</v>
      </c>
      <c r="J1270" s="5">
        <f ca="1">IFERROR(__xludf.DUMMYFUNCTION("""COMPUTED_VALUE"""),0)</f>
        <v>0</v>
      </c>
      <c r="K1270" s="5" t="str">
        <f ca="1">IFERROR(__xludf.DUMMYFUNCTION("""COMPUTED_VALUE"""),"https://pilotonline.com/news/local/crime/article_23ff5ef3-ffe1-5890-854c-d591b2f1b71e.html .  https://pilotonline.com/news/local/crime/article_54e2aece-4ff9-5c55-971c-c16add764d69.html")</f>
        <v>https://pilotonline.com/news/local/crime/article_23ff5ef3-ffe1-5890-854c-d591b2f1b71e.html .  https://pilotonline.com/news/local/crime/article_54e2aece-4ff9-5c55-971c-c16add764d69.html</v>
      </c>
      <c r="L1270" s="5"/>
      <c r="M1270" s="5"/>
      <c r="N1270" s="5">
        <f ca="1">IFERROR(__xludf.DUMMYFUNCTION("""COMPUTED_VALUE"""),3)</f>
        <v>3</v>
      </c>
      <c r="O1270" s="5" t="str">
        <f ca="1">IFERROR(__xludf.DUMMYFUNCTION("""COMPUTED_VALUE"""),"Spring")</f>
        <v>Spring</v>
      </c>
      <c r="P1270" s="5" t="str">
        <f ca="1">IFERROR(__xludf.DUMMYFUNCTION("""COMPUTED_VALUE"""),"Portsmouth")</f>
        <v>Portsmouth</v>
      </c>
      <c r="Q1270" s="5" t="str">
        <f ca="1">IFERROR(__xludf.DUMMYFUNCTION("""COMPUTED_VALUE"""),"VA")</f>
        <v>VA</v>
      </c>
      <c r="R1270" s="5" t="str">
        <f ca="1">IFERROR(__xludf.DUMMYFUNCTION("""COMPUTED_VALUE"""),"High")</f>
        <v>High</v>
      </c>
      <c r="S1270" s="5" t="str">
        <f ca="1">IFERROR(__xludf.DUMMYFUNCTION("""COMPUTED_VALUE"""),"Cafeteria")</f>
        <v>Cafeteria</v>
      </c>
      <c r="T1270" s="5" t="str">
        <f ca="1">IFERROR(__xludf.DUMMYFUNCTION("""COMPUTED_VALUE"""),"Inside School Building")</f>
        <v>Inside School Building</v>
      </c>
      <c r="U1270" s="5" t="str">
        <f ca="1">IFERROR(__xludf.DUMMYFUNCTION("""COMPUTED_VALUE"""),"Yes")</f>
        <v>Yes</v>
      </c>
      <c r="V1270" s="5" t="str">
        <f ca="1">IFERROR(__xludf.DUMMYFUNCTION("""COMPUTED_VALUE"""),"Lunch")</f>
        <v>Lunch</v>
      </c>
      <c r="W1270" s="10">
        <f ca="1">IFERROR(__xludf.DUMMYFUNCTION("""COMPUTED_VALUE"""),0.510416666666666)</f>
        <v>0.51041666666666596</v>
      </c>
      <c r="X1270" s="5">
        <f ca="1">IFERROR(__xludf.DUMMYFUNCTION("""COMPUTED_VALUE"""),1)</f>
        <v>1</v>
      </c>
      <c r="Y1270" s="5" t="str">
        <f ca="1">IFERROR(__xludf.DUMMYFUNCTION("""COMPUTED_VALUE"""),"Fired shots into ceiling of cafeteria")</f>
        <v>Fired shots into ceiling of cafeteria</v>
      </c>
      <c r="Z1270" s="5" t="str">
        <f ca="1">IFERROR(__xludf.DUMMYFUNCTION("""COMPUTED_VALUE"""),"Shooter carried gun around school and made comments about people picking on him. While in a crowded cafeteria, shooter shot weapon three times into air then put the gun on table and walked away.")</f>
        <v>Shooter carried gun around school and made comments about people picking on him. While in a crowded cafeteria, shooter shot weapon three times into air then put the gun on table and walked away.</v>
      </c>
      <c r="AA1270" s="5" t="str">
        <f ca="1">IFERROR(__xludf.DUMMYFUNCTION("""COMPUTED_VALUE"""),"Bullying")</f>
        <v>Bullying</v>
      </c>
      <c r="AB1270" s="5" t="str">
        <f ca="1">IFERROR(__xludf.DUMMYFUNCTION("""COMPUTED_VALUE"""),"Neither")</f>
        <v>Neither</v>
      </c>
      <c r="AC1270" s="5"/>
      <c r="AD1270" s="5" t="str">
        <f ca="1">IFERROR(__xludf.DUMMYFUNCTION("""COMPUTED_VALUE"""),"No")</f>
        <v>No</v>
      </c>
      <c r="AE1270" s="5" t="str">
        <f ca="1">IFERROR(__xludf.DUMMYFUNCTION("""COMPUTED_VALUE"""),"No")</f>
        <v>No</v>
      </c>
      <c r="AF1270" s="5" t="str">
        <f ca="1">IFERROR(__xludf.DUMMYFUNCTION("""COMPUTED_VALUE"""),"No")</f>
        <v>No</v>
      </c>
      <c r="AG1270" s="5" t="str">
        <f ca="1">IFERROR(__xludf.DUMMYFUNCTION("""COMPUTED_VALUE"""),"Yes")</f>
        <v>Yes</v>
      </c>
      <c r="AH1270" s="5" t="str">
        <f ca="1">IFERROR(__xludf.DUMMYFUNCTION("""COMPUTED_VALUE"""),"No")</f>
        <v>No</v>
      </c>
      <c r="AI1270" s="5" t="str">
        <f ca="1">IFERROR(__xludf.DUMMYFUNCTION("""COMPUTED_VALUE"""),"No")</f>
        <v>No</v>
      </c>
      <c r="AJ1270" s="5" t="str">
        <f ca="1">IFERROR(__xludf.DUMMYFUNCTION("""COMPUTED_VALUE"""),"Yes")</f>
        <v>Yes</v>
      </c>
    </row>
    <row r="1271" spans="1:36" ht="13">
      <c r="A1271" s="5" t="str">
        <f ca="1">IFERROR(__xludf.DUMMYFUNCTION("""COMPUTED_VALUE"""),"20100226WABIT")</f>
        <v>20100226WABIT</v>
      </c>
      <c r="B1271" s="5">
        <f ca="1">IFERROR(__xludf.DUMMYFUNCTION("""COMPUTED_VALUE"""),2)</f>
        <v>2</v>
      </c>
      <c r="C1271" s="5">
        <f ca="1">IFERROR(__xludf.DUMMYFUNCTION("""COMPUTED_VALUE"""),26)</f>
        <v>26</v>
      </c>
      <c r="D1271" s="5">
        <f ca="1">IFERROR(__xludf.DUMMYFUNCTION("""COMPUTED_VALUE"""),2010)</f>
        <v>2010</v>
      </c>
      <c r="E1271" s="8">
        <f ca="1">IFERROR(__xludf.DUMMYFUNCTION("""COMPUTED_VALUE"""),40235)</f>
        <v>40235</v>
      </c>
      <c r="F1271" s="5" t="str">
        <f ca="1">IFERROR(__xludf.DUMMYFUNCTION("""COMPUTED_VALUE"""),"Birney Elementary School")</f>
        <v>Birney Elementary School</v>
      </c>
      <c r="G1271" s="5">
        <f ca="1">IFERROR(__xludf.DUMMYFUNCTION("""COMPUTED_VALUE"""),1)</f>
        <v>1</v>
      </c>
      <c r="H1271" s="5">
        <f ca="1">IFERROR(__xludf.DUMMYFUNCTION("""COMPUTED_VALUE"""),0)</f>
        <v>0</v>
      </c>
      <c r="I1271" s="5">
        <f ca="1">IFERROR(__xludf.DUMMYFUNCTION("""COMPUTED_VALUE"""),1)</f>
        <v>1</v>
      </c>
      <c r="J1271" s="5">
        <f ca="1">IFERROR(__xludf.DUMMYFUNCTION("""COMPUTED_VALUE"""),0)</f>
        <v>0</v>
      </c>
      <c r="K1271" s="5" t="str">
        <f ca="1">IFERROR(__xludf.DUMMYFUNCTION("""COMPUTED_VALUE"""),"http://www.truecrimereport.com/2010/03/jennifer_paulson_special_ed_te.php  https://www.seattletimes.com/seattle-news/obsessed-man-shoots-kills-teacher/")</f>
        <v>http://www.truecrimereport.com/2010/03/jennifer_paulson_special_ed_te.php  https://www.seattletimes.com/seattle-news/obsessed-man-shoots-kills-teacher/</v>
      </c>
      <c r="L1271" s="5"/>
      <c r="M1271" s="5"/>
      <c r="N1271" s="5">
        <f ca="1">IFERROR(__xludf.DUMMYFUNCTION("""COMPUTED_VALUE"""),3)</f>
        <v>3</v>
      </c>
      <c r="O1271" s="5" t="str">
        <f ca="1">IFERROR(__xludf.DUMMYFUNCTION("""COMPUTED_VALUE"""),"Winter")</f>
        <v>Winter</v>
      </c>
      <c r="P1271" s="5" t="str">
        <f ca="1">IFERROR(__xludf.DUMMYFUNCTION("""COMPUTED_VALUE"""),"Tacoma")</f>
        <v>Tacoma</v>
      </c>
      <c r="Q1271" s="5" t="str">
        <f ca="1">IFERROR(__xludf.DUMMYFUNCTION("""COMPUTED_VALUE"""),"WA")</f>
        <v>WA</v>
      </c>
      <c r="R1271" s="5" t="str">
        <f ca="1">IFERROR(__xludf.DUMMYFUNCTION("""COMPUTED_VALUE"""),"Elementary")</f>
        <v>Elementary</v>
      </c>
      <c r="S1271" s="5" t="str">
        <f ca="1">IFERROR(__xludf.DUMMYFUNCTION("""COMPUTED_VALUE"""),"Beside Building")</f>
        <v>Beside Building</v>
      </c>
      <c r="T1271" s="5" t="str">
        <f ca="1">IFERROR(__xludf.DUMMYFUNCTION("""COMPUTED_VALUE"""),"Outside on School Property")</f>
        <v>Outside on School Property</v>
      </c>
      <c r="U1271" s="5" t="str">
        <f ca="1">IFERROR(__xludf.DUMMYFUNCTION("""COMPUTED_VALUE"""),"Yes")</f>
        <v>Yes</v>
      </c>
      <c r="V1271" s="5" t="str">
        <f ca="1">IFERROR(__xludf.DUMMYFUNCTION("""COMPUTED_VALUE"""),"Before School")</f>
        <v>Before School</v>
      </c>
      <c r="W1271" s="5"/>
      <c r="X1271" s="5">
        <f ca="1">IFERROR(__xludf.DUMMYFUNCTION("""COMPUTED_VALUE"""),1)</f>
        <v>1</v>
      </c>
      <c r="Y1271" s="5" t="str">
        <f ca="1">IFERROR(__xludf.DUMMYFUNCTION("""COMPUTED_VALUE"""),"Stalker killed teacher")</f>
        <v>Stalker killed teacher</v>
      </c>
      <c r="Z1271" s="5" t="str">
        <f ca="1">IFERROR(__xludf.DUMMYFUNCTION("""COMPUTED_VALUE"""),"Shooter was friends with victim - became infatuated with her - she filed restraining order against him in 2008. He showed up to the school where she worked as a special education teacher and shot her. Suspect was later killed by deputies 10 miles away fro"&amp;"m school.")</f>
        <v>Shooter was friends with victim - became infatuated with her - she filed restraining order against him in 2008. He showed up to the school where she worked as a special education teacher and shot her. Suspect was later killed by deputies 10 miles away from school.</v>
      </c>
      <c r="AA1271" s="5" t="str">
        <f ca="1">IFERROR(__xludf.DUMMYFUNCTION("""COMPUTED_VALUE"""),"Domestic w/ Targeted Victim")</f>
        <v>Domestic w/ Targeted Victim</v>
      </c>
      <c r="AB1271" s="5" t="str">
        <f ca="1">IFERROR(__xludf.DUMMYFUNCTION("""COMPUTED_VALUE"""),"Victims Targeted")</f>
        <v>Victims Targeted</v>
      </c>
      <c r="AC1271" s="5"/>
      <c r="AD1271" s="5" t="str">
        <f ca="1">IFERROR(__xludf.DUMMYFUNCTION("""COMPUTED_VALUE"""),"No")</f>
        <v>No</v>
      </c>
      <c r="AE1271" s="5" t="str">
        <f ca="1">IFERROR(__xludf.DUMMYFUNCTION("""COMPUTED_VALUE"""),"No")</f>
        <v>No</v>
      </c>
      <c r="AF1271" s="5" t="str">
        <f ca="1">IFERROR(__xludf.DUMMYFUNCTION("""COMPUTED_VALUE"""),"No")</f>
        <v>No</v>
      </c>
      <c r="AG1271" s="5" t="str">
        <f ca="1">IFERROR(__xludf.DUMMYFUNCTION("""COMPUTED_VALUE"""),"No")</f>
        <v>No</v>
      </c>
      <c r="AH1271" s="5" t="str">
        <f ca="1">IFERROR(__xludf.DUMMYFUNCTION("""COMPUTED_VALUE"""),"No")</f>
        <v>No</v>
      </c>
      <c r="AI1271" s="5" t="str">
        <f ca="1">IFERROR(__xludf.DUMMYFUNCTION("""COMPUTED_VALUE"""),"No")</f>
        <v>No</v>
      </c>
      <c r="AJ1271" s="5"/>
    </row>
    <row r="1272" spans="1:36" ht="13">
      <c r="A1272" s="5" t="str">
        <f ca="1">IFERROR(__xludf.DUMMYFUNCTION("""COMPUTED_VALUE"""),"20100223CODEL")</f>
        <v>20100223CODEL</v>
      </c>
      <c r="B1272" s="5">
        <f ca="1">IFERROR(__xludf.DUMMYFUNCTION("""COMPUTED_VALUE"""),2)</f>
        <v>2</v>
      </c>
      <c r="C1272" s="5">
        <f ca="1">IFERROR(__xludf.DUMMYFUNCTION("""COMPUTED_VALUE"""),23)</f>
        <v>23</v>
      </c>
      <c r="D1272" s="5">
        <f ca="1">IFERROR(__xludf.DUMMYFUNCTION("""COMPUTED_VALUE"""),2010)</f>
        <v>2010</v>
      </c>
      <c r="E1272" s="8">
        <f ca="1">IFERROR(__xludf.DUMMYFUNCTION("""COMPUTED_VALUE"""),40232)</f>
        <v>40232</v>
      </c>
      <c r="F1272" s="5" t="str">
        <f ca="1">IFERROR(__xludf.DUMMYFUNCTION("""COMPUTED_VALUE"""),"Deer Creek Middle School")</f>
        <v>Deer Creek Middle School</v>
      </c>
      <c r="G1272" s="5">
        <f ca="1">IFERROR(__xludf.DUMMYFUNCTION("""COMPUTED_VALUE"""),0)</f>
        <v>0</v>
      </c>
      <c r="H1272" s="5">
        <f ca="1">IFERROR(__xludf.DUMMYFUNCTION("""COMPUTED_VALUE"""),2)</f>
        <v>2</v>
      </c>
      <c r="I1272" s="5">
        <f ca="1">IFERROR(__xludf.DUMMYFUNCTION("""COMPUTED_VALUE"""),2)</f>
        <v>2</v>
      </c>
      <c r="J1272" s="5">
        <f ca="1">IFERROR(__xludf.DUMMYFUNCTION("""COMPUTED_VALUE"""),0)</f>
        <v>0</v>
      </c>
      <c r="K1272" s="5" t="str">
        <f ca="1">IFERROR(__xludf.DUMMYFUNCTION("""COMPUTED_VALUE"""),"https://www.denverpost.com/2010/02/23/2-students-shot-1-man-arrested-at-deer-creek-middle-school/ https://www.thedenverchannel.com/news/2-students-shot-at-deer-creek-middle-school https://www.fbi.gov/file-repository/active-shooter-incidents-2000-2017.pdf "&amp;".   https://www.newspapers.com/image/452595264/?terms=BRUCO%2BEASTWOOD . https://www.newspapers.com/image/227117028/?terms=BRUCO%2BEASTWOOD")</f>
        <v>https://www.denverpost.com/2010/02/23/2-students-shot-1-man-arrested-at-deer-creek-middle-school/ https://www.thedenverchannel.com/news/2-students-shot-at-deer-creek-middle-school https://www.fbi.gov/file-repository/active-shooter-incidents-2000-2017.pdf .   https://www.newspapers.com/image/452595264/?terms=BRUCO%2BEASTWOOD . https://www.newspapers.com/image/227117028/?terms=BRUCO%2BEASTWOOD</v>
      </c>
      <c r="L1272" s="5"/>
      <c r="M1272" s="5" t="str">
        <f ca="1">IFERROR(__xludf.DUMMYFUNCTION("""COMPUTED_VALUE"""),"Regional")</f>
        <v>Regional</v>
      </c>
      <c r="N1272" s="5">
        <f ca="1">IFERROR(__xludf.DUMMYFUNCTION("""COMPUTED_VALUE"""),5)</f>
        <v>5</v>
      </c>
      <c r="O1272" s="5" t="str">
        <f ca="1">IFERROR(__xludf.DUMMYFUNCTION("""COMPUTED_VALUE"""),"Winter")</f>
        <v>Winter</v>
      </c>
      <c r="P1272" s="5" t="str">
        <f ca="1">IFERROR(__xludf.DUMMYFUNCTION("""COMPUTED_VALUE"""),"Littleton")</f>
        <v>Littleton</v>
      </c>
      <c r="Q1272" s="5" t="str">
        <f ca="1">IFERROR(__xludf.DUMMYFUNCTION("""COMPUTED_VALUE"""),"CO")</f>
        <v>CO</v>
      </c>
      <c r="R1272" s="5" t="str">
        <f ca="1">IFERROR(__xludf.DUMMYFUNCTION("""COMPUTED_VALUE"""),"Middle")</f>
        <v>Middle</v>
      </c>
      <c r="S1272" s="5" t="str">
        <f ca="1">IFERROR(__xludf.DUMMYFUNCTION("""COMPUTED_VALUE"""),"Front of School")</f>
        <v>Front of School</v>
      </c>
      <c r="T1272" s="5" t="str">
        <f ca="1">IFERROR(__xludf.DUMMYFUNCTION("""COMPUTED_VALUE"""),"Outside on School Property")</f>
        <v>Outside on School Property</v>
      </c>
      <c r="U1272" s="5" t="str">
        <f ca="1">IFERROR(__xludf.DUMMYFUNCTION("""COMPUTED_VALUE"""),"Yes")</f>
        <v>Yes</v>
      </c>
      <c r="V1272" s="5" t="str">
        <f ca="1">IFERROR(__xludf.DUMMYFUNCTION("""COMPUTED_VALUE"""),"Dismissal")</f>
        <v>Dismissal</v>
      </c>
      <c r="W1272" s="10">
        <f ca="1">IFERROR(__xludf.DUMMYFUNCTION("""COMPUTED_VALUE"""),0.634722222222222)</f>
        <v>0.63472222222222197</v>
      </c>
      <c r="X1272" s="5">
        <f ca="1">IFERROR(__xludf.DUMMYFUNCTION("""COMPUTED_VALUE"""),1)</f>
        <v>1</v>
      </c>
      <c r="Y1272" s="5" t="str">
        <f ca="1">IFERROR(__xludf.DUMMYFUNCTION("""COMPUTED_VALUE"""),"Shot two students outside of school, tackled by teacher, severe mental illness")</f>
        <v>Shot two students outside of school, tackled by teacher, severe mental illness</v>
      </c>
      <c r="Z1272" s="5" t="str">
        <f ca="1">IFERROR(__xludf.DUMMYFUNCTION("""COMPUTED_VALUE"""),"32-year-old shooter fired hunting rifle at the school bus stop at the end of the school day striking a female and male student. Shooter was tackled by a teacher and bus driver. Shooter was mumbling ""I fight for freedom"". Shooter had been seen around the"&amp;" school on previous occasions. Shooter was former student at school. Shooter diagnosed with severe mental illness (hallucinations, psychotic episodes, paranoid psycho). Later found not guilty by reason of insanity")</f>
        <v>32-year-old shooter fired hunting rifle at the school bus stop at the end of the school day striking a female and male student. Shooter was tackled by a teacher and bus driver. Shooter was mumbling "I fight for freedom". Shooter had been seen around the school on previous occasions. Shooter was former student at school. Shooter diagnosed with severe mental illness (hallucinations, psychotic episodes, paranoid psycho). Later found not guilty by reason of insanity</v>
      </c>
      <c r="AA1272" s="5" t="str">
        <f ca="1">IFERROR(__xludf.DUMMYFUNCTION("""COMPUTED_VALUE"""),"Psychosis")</f>
        <v>Psychosis</v>
      </c>
      <c r="AB1272" s="5" t="str">
        <f ca="1">IFERROR(__xludf.DUMMYFUNCTION("""COMPUTED_VALUE"""),"Random Shooting")</f>
        <v>Random Shooting</v>
      </c>
      <c r="AC1272" s="5" t="str">
        <f ca="1">IFERROR(__xludf.DUMMYFUNCTION("""COMPUTED_VALUE"""),"No")</f>
        <v>No</v>
      </c>
      <c r="AD1272" s="5" t="str">
        <f ca="1">IFERROR(__xludf.DUMMYFUNCTION("""COMPUTED_VALUE"""),"No")</f>
        <v>No</v>
      </c>
      <c r="AE1272" s="5" t="str">
        <f ca="1">IFERROR(__xludf.DUMMYFUNCTION("""COMPUTED_VALUE"""),"No")</f>
        <v>No</v>
      </c>
      <c r="AF1272" s="5" t="str">
        <f ca="1">IFERROR(__xludf.DUMMYFUNCTION("""COMPUTED_VALUE"""),"No")</f>
        <v>No</v>
      </c>
      <c r="AG1272" s="5"/>
      <c r="AH1272" s="5" t="str">
        <f ca="1">IFERROR(__xludf.DUMMYFUNCTION("""COMPUTED_VALUE"""),"No")</f>
        <v>No</v>
      </c>
      <c r="AI1272" s="5" t="str">
        <f ca="1">IFERROR(__xludf.DUMMYFUNCTION("""COMPUTED_VALUE"""),"No")</f>
        <v>No</v>
      </c>
      <c r="AJ1272" s="5" t="str">
        <f ca="1">IFERROR(__xludf.DUMMYFUNCTION("""COMPUTED_VALUE"""),"Yes")</f>
        <v>Yes</v>
      </c>
    </row>
    <row r="1273" spans="1:36" ht="13">
      <c r="A1273" s="5" t="str">
        <f ca="1">IFERROR(__xludf.DUMMYFUNCTION("""COMPUTED_VALUE"""),"20100210TNINK")</f>
        <v>20100210TNINK</v>
      </c>
      <c r="B1273" s="5">
        <f ca="1">IFERROR(__xludf.DUMMYFUNCTION("""COMPUTED_VALUE"""),2)</f>
        <v>2</v>
      </c>
      <c r="C1273" s="5">
        <f ca="1">IFERROR(__xludf.DUMMYFUNCTION("""COMPUTED_VALUE"""),10)</f>
        <v>10</v>
      </c>
      <c r="D1273" s="5">
        <f ca="1">IFERROR(__xludf.DUMMYFUNCTION("""COMPUTED_VALUE"""),2010)</f>
        <v>2010</v>
      </c>
      <c r="E1273" s="8">
        <f ca="1">IFERROR(__xludf.DUMMYFUNCTION("""COMPUTED_VALUE"""),40219)</f>
        <v>40219</v>
      </c>
      <c r="F1273" s="5" t="str">
        <f ca="1">IFERROR(__xludf.DUMMYFUNCTION("""COMPUTED_VALUE"""),"Inskip Elementary School")</f>
        <v>Inskip Elementary School</v>
      </c>
      <c r="G1273" s="5">
        <f ca="1">IFERROR(__xludf.DUMMYFUNCTION("""COMPUTED_VALUE"""),0)</f>
        <v>0</v>
      </c>
      <c r="H1273" s="5">
        <f ca="1">IFERROR(__xludf.DUMMYFUNCTION("""COMPUTED_VALUE"""),2)</f>
        <v>2</v>
      </c>
      <c r="I1273" s="5">
        <f ca="1">IFERROR(__xludf.DUMMYFUNCTION("""COMPUTED_VALUE"""),2)</f>
        <v>2</v>
      </c>
      <c r="J1273" s="5">
        <f ca="1">IFERROR(__xludf.DUMMYFUNCTION("""COMPUTED_VALUE"""),0)</f>
        <v>0</v>
      </c>
      <c r="K1273" s="5" t="str">
        <f ca="1">IFERROR(__xludf.DUMMYFUNCTION("""COMPUTED_VALUE"""),"http://archive.knoxnews.com/news/local/judge-sentences-inskip-shooter-mark-foster-to-56-years-ep-402656909-357418151.html/ https://www.fbi.gov/file-repository/active-shooter-incidents-2000-2017.pdf https://archive.knoxnews.com/news/local/brother-of-allege"&amp;"d-shooter-at-inskip-elementary-blames-schools-ep-408962277-358918221.html")</f>
        <v>http://archive.knoxnews.com/news/local/judge-sentences-inskip-shooter-mark-foster-to-56-years-ep-402656909-357418151.html/ https://www.fbi.gov/file-repository/active-shooter-incidents-2000-2017.pdf https://archive.knoxnews.com/news/local/brother-of-alleged-shooter-at-inskip-elementary-blames-schools-ep-408962277-358918221.html</v>
      </c>
      <c r="L1273" s="5"/>
      <c r="M1273" s="5" t="str">
        <f ca="1">IFERROR(__xludf.DUMMYFUNCTION("""COMPUTED_VALUE"""),"Local")</f>
        <v>Local</v>
      </c>
      <c r="N1273" s="5">
        <f ca="1">IFERROR(__xludf.DUMMYFUNCTION("""COMPUTED_VALUE"""),5)</f>
        <v>5</v>
      </c>
      <c r="O1273" s="5" t="str">
        <f ca="1">IFERROR(__xludf.DUMMYFUNCTION("""COMPUTED_VALUE"""),"Winter")</f>
        <v>Winter</v>
      </c>
      <c r="P1273" s="5" t="str">
        <f ca="1">IFERROR(__xludf.DUMMYFUNCTION("""COMPUTED_VALUE"""),"Knoxville")</f>
        <v>Knoxville</v>
      </c>
      <c r="Q1273" s="5" t="str">
        <f ca="1">IFERROR(__xludf.DUMMYFUNCTION("""COMPUTED_VALUE"""),"TN")</f>
        <v>TN</v>
      </c>
      <c r="R1273" s="5" t="str">
        <f ca="1">IFERROR(__xludf.DUMMYFUNCTION("""COMPUTED_VALUE"""),"High")</f>
        <v>High</v>
      </c>
      <c r="S1273" s="5" t="str">
        <f ca="1">IFERROR(__xludf.DUMMYFUNCTION("""COMPUTED_VALUE"""),"Office")</f>
        <v>Office</v>
      </c>
      <c r="T1273" s="5" t="str">
        <f ca="1">IFERROR(__xludf.DUMMYFUNCTION("""COMPUTED_VALUE"""),"Inside School Building")</f>
        <v>Inside School Building</v>
      </c>
      <c r="U1273" s="5" t="str">
        <f ca="1">IFERROR(__xludf.DUMMYFUNCTION("""COMPUTED_VALUE"""),"No")</f>
        <v>No</v>
      </c>
      <c r="V1273" s="5" t="str">
        <f ca="1">IFERROR(__xludf.DUMMYFUNCTION("""COMPUTED_VALUE"""),"After School")</f>
        <v>After School</v>
      </c>
      <c r="W1273" s="10">
        <f ca="1">IFERROR(__xludf.DUMMYFUNCTION("""COMPUTED_VALUE"""),0.541666666666666)</f>
        <v>0.54166666666666596</v>
      </c>
      <c r="X1273" s="5">
        <f ca="1">IFERROR(__xludf.DUMMYFUNCTION("""COMPUTED_VALUE"""),1)</f>
        <v>1</v>
      </c>
      <c r="Y1273" s="5" t="str">
        <f ca="1">IFERROR(__xludf.DUMMYFUNCTION("""COMPUTED_VALUE"""),"Teacher told he wasn't being rehired next year, shot principal and asst principal")</f>
        <v>Teacher told he wasn't being rehired next year, shot principal and asst principal</v>
      </c>
      <c r="Z1273" s="5" t="str">
        <f ca="1">IFERROR(__xludf.DUMMYFUNCTION("""COMPUTED_VALUE"""),"48YOM teacher was told that his contract was not going renewed next school year. Shot principal and assistant principal then fled the scene. Arrested by police.")</f>
        <v>48YOM teacher was told that his contract was not going renewed next school year. Shot principal and assistant principal then fled the scene. Arrested by police.</v>
      </c>
      <c r="AA1273" s="5" t="str">
        <f ca="1">IFERROR(__xludf.DUMMYFUNCTION("""COMPUTED_VALUE"""),"Anger Over Grade/Suspension/Discipline")</f>
        <v>Anger Over Grade/Suspension/Discipline</v>
      </c>
      <c r="AB1273" s="5" t="str">
        <f ca="1">IFERROR(__xludf.DUMMYFUNCTION("""COMPUTED_VALUE"""),"Victims Targeted")</f>
        <v>Victims Targeted</v>
      </c>
      <c r="AC1273" s="5" t="str">
        <f ca="1">IFERROR(__xludf.DUMMYFUNCTION("""COMPUTED_VALUE"""),"No")</f>
        <v>No</v>
      </c>
      <c r="AD1273" s="5" t="str">
        <f ca="1">IFERROR(__xludf.DUMMYFUNCTION("""COMPUTED_VALUE"""),"No")</f>
        <v>No</v>
      </c>
      <c r="AE1273" s="5" t="str">
        <f ca="1">IFERROR(__xludf.DUMMYFUNCTION("""COMPUTED_VALUE"""),"No")</f>
        <v>No</v>
      </c>
      <c r="AF1273" s="5" t="str">
        <f ca="1">IFERROR(__xludf.DUMMYFUNCTION("""COMPUTED_VALUE"""),"No")</f>
        <v>No</v>
      </c>
      <c r="AG1273" s="5" t="str">
        <f ca="1">IFERROR(__xludf.DUMMYFUNCTION("""COMPUTED_VALUE"""),"No")</f>
        <v>No</v>
      </c>
      <c r="AH1273" s="5" t="str">
        <f ca="1">IFERROR(__xludf.DUMMYFUNCTION("""COMPUTED_VALUE"""),"No")</f>
        <v>No</v>
      </c>
      <c r="AI1273" s="5" t="str">
        <f ca="1">IFERROR(__xludf.DUMMYFUNCTION("""COMPUTED_VALUE"""),"No")</f>
        <v>No</v>
      </c>
      <c r="AJ1273" s="5" t="str">
        <f ca="1">IFERROR(__xludf.DUMMYFUNCTION("""COMPUTED_VALUE"""),"No")</f>
        <v>No</v>
      </c>
    </row>
    <row r="1274" spans="1:36" ht="13">
      <c r="A1274" s="5" t="str">
        <f ca="1">IFERROR(__xludf.DUMMYFUNCTION("""COMPUTED_VALUE"""),"20100205ALDIM")</f>
        <v>20100205ALDIM</v>
      </c>
      <c r="B1274" s="5">
        <f ca="1">IFERROR(__xludf.DUMMYFUNCTION("""COMPUTED_VALUE"""),2)</f>
        <v>2</v>
      </c>
      <c r="C1274" s="5">
        <f ca="1">IFERROR(__xludf.DUMMYFUNCTION("""COMPUTED_VALUE"""),5)</f>
        <v>5</v>
      </c>
      <c r="D1274" s="5">
        <f ca="1">IFERROR(__xludf.DUMMYFUNCTION("""COMPUTED_VALUE"""),2010)</f>
        <v>2010</v>
      </c>
      <c r="E1274" s="8">
        <f ca="1">IFERROR(__xludf.DUMMYFUNCTION("""COMPUTED_VALUE"""),40214)</f>
        <v>40214</v>
      </c>
      <c r="F1274" s="5" t="str">
        <f ca="1">IFERROR(__xludf.DUMMYFUNCTION("""COMPUTED_VALUE"""),"Discovery Middle School")</f>
        <v>Discovery Middle School</v>
      </c>
      <c r="G1274" s="5">
        <f ca="1">IFERROR(__xludf.DUMMYFUNCTION("""COMPUTED_VALUE"""),1)</f>
        <v>1</v>
      </c>
      <c r="H1274" s="5">
        <f ca="1">IFERROR(__xludf.DUMMYFUNCTION("""COMPUTED_VALUE"""),0)</f>
        <v>0</v>
      </c>
      <c r="I1274" s="5">
        <f ca="1">IFERROR(__xludf.DUMMYFUNCTION("""COMPUTED_VALUE"""),1)</f>
        <v>1</v>
      </c>
      <c r="J1274" s="5">
        <f ca="1">IFERROR(__xludf.DUMMYFUNCTION("""COMPUTED_VALUE"""),0)</f>
        <v>0</v>
      </c>
      <c r="K1274" s="5" t="str">
        <f ca="1">IFERROR(__xludf.DUMMYFUNCTION("""COMPUTED_VALUE"""),"http://www.cnn.com/2010/CRIME/02/06/alabama.student.killed/index.html https://whnt.com/2020/02/04/10-years-later-discovery-middle-school-shooting-leaves-lasting-impact-on-madison/")</f>
        <v>http://www.cnn.com/2010/CRIME/02/06/alabama.student.killed/index.html https://whnt.com/2020/02/04/10-years-later-discovery-middle-school-shooting-leaves-lasting-impact-on-madison/</v>
      </c>
      <c r="L1274" s="5"/>
      <c r="M1274" s="5"/>
      <c r="N1274" s="5">
        <f ca="1">IFERROR(__xludf.DUMMYFUNCTION("""COMPUTED_VALUE"""),4)</f>
        <v>4</v>
      </c>
      <c r="O1274" s="5" t="str">
        <f ca="1">IFERROR(__xludf.DUMMYFUNCTION("""COMPUTED_VALUE"""),"Winter")</f>
        <v>Winter</v>
      </c>
      <c r="P1274" s="5" t="str">
        <f ca="1">IFERROR(__xludf.DUMMYFUNCTION("""COMPUTED_VALUE"""),"Madison")</f>
        <v>Madison</v>
      </c>
      <c r="Q1274" s="5" t="str">
        <f ca="1">IFERROR(__xludf.DUMMYFUNCTION("""COMPUTED_VALUE"""),"AL")</f>
        <v>AL</v>
      </c>
      <c r="R1274" s="5" t="str">
        <f ca="1">IFERROR(__xludf.DUMMYFUNCTION("""COMPUTED_VALUE"""),"Middle")</f>
        <v>Middle</v>
      </c>
      <c r="S1274" s="5" t="str">
        <f ca="1">IFERROR(__xludf.DUMMYFUNCTION("""COMPUTED_VALUE"""),"Hallway")</f>
        <v>Hallway</v>
      </c>
      <c r="T1274" s="5" t="str">
        <f ca="1">IFERROR(__xludf.DUMMYFUNCTION("""COMPUTED_VALUE"""),"Inside School Building")</f>
        <v>Inside School Building</v>
      </c>
      <c r="U1274" s="5" t="str">
        <f ca="1">IFERROR(__xludf.DUMMYFUNCTION("""COMPUTED_VALUE"""),"Yes")</f>
        <v>Yes</v>
      </c>
      <c r="V1274" s="5" t="str">
        <f ca="1">IFERROR(__xludf.DUMMYFUNCTION("""COMPUTED_VALUE"""),"Afternoon Classes")</f>
        <v>Afternoon Classes</v>
      </c>
      <c r="W1274" s="10">
        <f ca="1">IFERROR(__xludf.DUMMYFUNCTION("""COMPUTED_VALUE"""),0.572916666666666)</f>
        <v>0.57291666666666596</v>
      </c>
      <c r="X1274" s="5">
        <f ca="1">IFERROR(__xludf.DUMMYFUNCTION("""COMPUTED_VALUE"""),1)</f>
        <v>1</v>
      </c>
      <c r="Y1274" s="5" t="str">
        <f ca="1">IFERROR(__xludf.DUMMYFUNCTION("""COMPUTED_VALUE"""),"Student in head by another student in hallway, details remain unclear")</f>
        <v>Student in head by another student in hallway, details remain unclear</v>
      </c>
      <c r="Z1274" s="5" t="str">
        <f ca="1">IFERROR(__xludf.DUMMYFUNCTION("""COMPUTED_VALUE"""),"Shooter shot the victim in the back of the head in the hallway of the school. Students reported the shooter was ""fed up with gang related things"". No other students were injured. Shooter was taken into custody by SRO. Shooter and mother attempted to fle"&amp;"e the country to Pakistan prior to the trial. Experts debated if there was a mental health component and if there were any gang affiliations. Students reported that they did not know of any gang association with the victim (14 at the time of the shooting)"&amp;". 
 After the shooting, the school system added SROs and behavior councilors to all 11 schools and a full time security director. The school system also created a reporting hotline.")</f>
        <v>Shooter shot the victim in the back of the head in the hallway of the school. Students reported the shooter was "fed up with gang related things". No other students were injured. Shooter was taken into custody by SRO. Shooter and mother attempted to flee the country to Pakistan prior to the trial. Experts debated if there was a mental health component and if there were any gang affiliations. Students reported that they did not know of any gang association with the victim (14 at the time of the shooting). 
 After the shooting, the school system added SROs and behavior councilors to all 11 schools and a full time security director. The school system also created a reporting hotline.</v>
      </c>
      <c r="AA1274" s="5" t="str">
        <f ca="1">IFERROR(__xludf.DUMMYFUNCTION("""COMPUTED_VALUE"""),"Psychosis")</f>
        <v>Psychosis</v>
      </c>
      <c r="AB1274" s="5" t="str">
        <f ca="1">IFERROR(__xludf.DUMMYFUNCTION("""COMPUTED_VALUE"""),"Victims Targeted")</f>
        <v>Victims Targeted</v>
      </c>
      <c r="AC1274" s="5" t="str">
        <f ca="1">IFERROR(__xludf.DUMMYFUNCTION("""COMPUTED_VALUE"""),"No")</f>
        <v>No</v>
      </c>
      <c r="AD1274" s="5" t="str">
        <f ca="1">IFERROR(__xludf.DUMMYFUNCTION("""COMPUTED_VALUE"""),"No")</f>
        <v>No</v>
      </c>
      <c r="AE1274" s="5" t="str">
        <f ca="1">IFERROR(__xludf.DUMMYFUNCTION("""COMPUTED_VALUE"""),"No")</f>
        <v>No</v>
      </c>
      <c r="AF1274" s="5" t="str">
        <f ca="1">IFERROR(__xludf.DUMMYFUNCTION("""COMPUTED_VALUE"""),"No")</f>
        <v>No</v>
      </c>
      <c r="AG1274" s="5"/>
      <c r="AH1274" s="5" t="str">
        <f ca="1">IFERROR(__xludf.DUMMYFUNCTION("""COMPUTED_VALUE"""),"No")</f>
        <v>No</v>
      </c>
      <c r="AI1274" s="5"/>
      <c r="AJ1274" s="5" t="str">
        <f ca="1">IFERROR(__xludf.DUMMYFUNCTION("""COMPUTED_VALUE"""),"Yes")</f>
        <v>Yes</v>
      </c>
    </row>
    <row r="1275" spans="1:36" ht="13">
      <c r="A1275" s="5" t="str">
        <f ca="1">IFERROR(__xludf.DUMMYFUNCTION("""COMPUTED_VALUE"""),"20100120ALLIL")</f>
        <v>20100120ALLIL</v>
      </c>
      <c r="B1275" s="5">
        <f ca="1">IFERROR(__xludf.DUMMYFUNCTION("""COMPUTED_VALUE"""),1)</f>
        <v>1</v>
      </c>
      <c r="C1275" s="5">
        <f ca="1">IFERROR(__xludf.DUMMYFUNCTION("""COMPUTED_VALUE"""),20)</f>
        <v>20</v>
      </c>
      <c r="D1275" s="5">
        <f ca="1">IFERROR(__xludf.DUMMYFUNCTION("""COMPUTED_VALUE"""),2010)</f>
        <v>2010</v>
      </c>
      <c r="E1275" s="8">
        <f ca="1">IFERROR(__xludf.DUMMYFUNCTION("""COMPUTED_VALUE"""),40198)</f>
        <v>40198</v>
      </c>
      <c r="F1275" s="5" t="str">
        <f ca="1">IFERROR(__xludf.DUMMYFUNCTION("""COMPUTED_VALUE"""),"Livington High School")</f>
        <v>Livington High School</v>
      </c>
      <c r="G1275" s="5">
        <f ca="1">IFERROR(__xludf.DUMMYFUNCTION("""COMPUTED_VALUE"""),0)</f>
        <v>0</v>
      </c>
      <c r="H1275" s="5">
        <f ca="1">IFERROR(__xludf.DUMMYFUNCTION("""COMPUTED_VALUE"""),1)</f>
        <v>1</v>
      </c>
      <c r="I1275" s="5">
        <f ca="1">IFERROR(__xludf.DUMMYFUNCTION("""COMPUTED_VALUE"""),1)</f>
        <v>1</v>
      </c>
      <c r="J1275" s="5">
        <f ca="1">IFERROR(__xludf.DUMMYFUNCTION("""COMPUTED_VALUE"""),0)</f>
        <v>0</v>
      </c>
      <c r="K1275" s="5" t="str">
        <f ca="1">IFERROR(__xludf.DUMMYFUNCTION("""COMPUTED_VALUE"""),"http://www.westalabamawatchman.com/gray-enters-guilty-plea-in-capital-murder-case/  http://blog.al.com/live/2010/01/livingston_teacher_killed_at_s.html  http://www.wtok.com/home/headlines/82217492.html")</f>
        <v>http://www.westalabamawatchman.com/gray-enters-guilty-plea-in-capital-murder-case/  http://blog.al.com/live/2010/01/livingston_teacher_killed_at_s.html  http://www.wtok.com/home/headlines/82217492.html</v>
      </c>
      <c r="L1275" s="5"/>
      <c r="M1275" s="5"/>
      <c r="N1275" s="5">
        <f ca="1">IFERROR(__xludf.DUMMYFUNCTION("""COMPUTED_VALUE"""),3)</f>
        <v>3</v>
      </c>
      <c r="O1275" s="5" t="str">
        <f ca="1">IFERROR(__xludf.DUMMYFUNCTION("""COMPUTED_VALUE"""),"Winter")</f>
        <v>Winter</v>
      </c>
      <c r="P1275" s="5" t="str">
        <f ca="1">IFERROR(__xludf.DUMMYFUNCTION("""COMPUTED_VALUE"""),"Livington")</f>
        <v>Livington</v>
      </c>
      <c r="Q1275" s="5" t="str">
        <f ca="1">IFERROR(__xludf.DUMMYFUNCTION("""COMPUTED_VALUE"""),"AL")</f>
        <v>AL</v>
      </c>
      <c r="R1275" s="5" t="str">
        <f ca="1">IFERROR(__xludf.DUMMYFUNCTION("""COMPUTED_VALUE"""),"High")</f>
        <v>High</v>
      </c>
      <c r="S1275" s="5" t="str">
        <f ca="1">IFERROR(__xludf.DUMMYFUNCTION("""COMPUTED_VALUE"""),"Beside Building")</f>
        <v>Beside Building</v>
      </c>
      <c r="T1275" s="5" t="str">
        <f ca="1">IFERROR(__xludf.DUMMYFUNCTION("""COMPUTED_VALUE"""),"Outside on School Property")</f>
        <v>Outside on School Property</v>
      </c>
      <c r="U1275" s="5" t="str">
        <f ca="1">IFERROR(__xludf.DUMMYFUNCTION("""COMPUTED_VALUE"""),"Yes")</f>
        <v>Yes</v>
      </c>
      <c r="V1275" s="5" t="str">
        <f ca="1">IFERROR(__xludf.DUMMYFUNCTION("""COMPUTED_VALUE"""),"Afternoon Classes")</f>
        <v>Afternoon Classes</v>
      </c>
      <c r="W1275" s="10">
        <f ca="1">IFERROR(__xludf.DUMMYFUNCTION("""COMPUTED_VALUE"""),0.625)</f>
        <v>0.625</v>
      </c>
      <c r="X1275" s="5">
        <f ca="1">IFERROR(__xludf.DUMMYFUNCTION("""COMPUTED_VALUE"""),1)</f>
        <v>1</v>
      </c>
      <c r="Y1275" s="5" t="str">
        <f ca="1">IFERROR(__xludf.DUMMYFUNCTION("""COMPUTED_VALUE"""),"Husband killed wife outside of school")</f>
        <v>Husband killed wife outside of school</v>
      </c>
      <c r="Z1275" s="5" t="str">
        <f ca="1">IFERROR(__xludf.DUMMYFUNCTION("""COMPUTED_VALUE"""),"Husband went to estranged wife's school and shot her prior to the 3pm bell ringing. Suspect then fled in car and was chased by police who caught/arrested him after he wrecked. Eventually pled guilty")</f>
        <v>Husband went to estranged wife's school and shot her prior to the 3pm bell ringing. Suspect then fled in car and was chased by police who caught/arrested him after he wrecked. Eventually pled guilty</v>
      </c>
      <c r="AA1275" s="5" t="str">
        <f ca="1">IFERROR(__xludf.DUMMYFUNCTION("""COMPUTED_VALUE"""),"Domestic w/ Targeted Victim")</f>
        <v>Domestic w/ Targeted Victim</v>
      </c>
      <c r="AB1275" s="5" t="str">
        <f ca="1">IFERROR(__xludf.DUMMYFUNCTION("""COMPUTED_VALUE"""),"Victims Targeted")</f>
        <v>Victims Targeted</v>
      </c>
      <c r="AC1275" s="5" t="str">
        <f ca="1">IFERROR(__xludf.DUMMYFUNCTION("""COMPUTED_VALUE"""),"No")</f>
        <v>No</v>
      </c>
      <c r="AD1275" s="5" t="str">
        <f ca="1">IFERROR(__xludf.DUMMYFUNCTION("""COMPUTED_VALUE"""),"No")</f>
        <v>No</v>
      </c>
      <c r="AE1275" s="5" t="str">
        <f ca="1">IFERROR(__xludf.DUMMYFUNCTION("""COMPUTED_VALUE"""),"No")</f>
        <v>No</v>
      </c>
      <c r="AF1275" s="5" t="str">
        <f ca="1">IFERROR(__xludf.DUMMYFUNCTION("""COMPUTED_VALUE"""),"No")</f>
        <v>No</v>
      </c>
      <c r="AG1275" s="5" t="str">
        <f ca="1">IFERROR(__xludf.DUMMYFUNCTION("""COMPUTED_VALUE"""),"No")</f>
        <v>No</v>
      </c>
      <c r="AH1275" s="5" t="str">
        <f ca="1">IFERROR(__xludf.DUMMYFUNCTION("""COMPUTED_VALUE"""),"Yes")</f>
        <v>Yes</v>
      </c>
      <c r="AI1275" s="5" t="str">
        <f ca="1">IFERROR(__xludf.DUMMYFUNCTION("""COMPUTED_VALUE"""),"No")</f>
        <v>No</v>
      </c>
      <c r="AJ1275" s="5" t="str">
        <f ca="1">IFERROR(__xludf.DUMMYFUNCTION("""COMPUTED_VALUE"""),"No")</f>
        <v>No</v>
      </c>
    </row>
    <row r="1276" spans="1:36" ht="13">
      <c r="A1276" s="5" t="str">
        <f ca="1">IFERROR(__xludf.DUMMYFUNCTION("""COMPUTED_VALUE"""),"20091211LABOS")</f>
        <v>20091211LABOS</v>
      </c>
      <c r="B1276" s="5">
        <f ca="1">IFERROR(__xludf.DUMMYFUNCTION("""COMPUTED_VALUE"""),12)</f>
        <v>12</v>
      </c>
      <c r="C1276" s="5">
        <f ca="1">IFERROR(__xludf.DUMMYFUNCTION("""COMPUTED_VALUE"""),11)</f>
        <v>11</v>
      </c>
      <c r="D1276" s="5">
        <f ca="1">IFERROR(__xludf.DUMMYFUNCTION("""COMPUTED_VALUE"""),2009)</f>
        <v>2009</v>
      </c>
      <c r="E1276" s="8">
        <f ca="1">IFERROR(__xludf.DUMMYFUNCTION("""COMPUTED_VALUE"""),40158)</f>
        <v>40158</v>
      </c>
      <c r="F1276" s="5" t="str">
        <f ca="1">IFERROR(__xludf.DUMMYFUNCTION("""COMPUTED_VALUE"""),"Booker T. Washington High School")</f>
        <v>Booker T. Washington High School</v>
      </c>
      <c r="G1276" s="5">
        <f ca="1">IFERROR(__xludf.DUMMYFUNCTION("""COMPUTED_VALUE"""),0)</f>
        <v>0</v>
      </c>
      <c r="H1276" s="5">
        <f ca="1">IFERROR(__xludf.DUMMYFUNCTION("""COMPUTED_VALUE"""),1)</f>
        <v>1</v>
      </c>
      <c r="I1276" s="5">
        <f ca="1">IFERROR(__xludf.DUMMYFUNCTION("""COMPUTED_VALUE"""),1)</f>
        <v>1</v>
      </c>
      <c r="J1276" s="5">
        <f ca="1">IFERROR(__xludf.DUMMYFUNCTION("""COMPUTED_VALUE"""),0)</f>
        <v>0</v>
      </c>
      <c r="K1276" s="9" t="str">
        <f ca="1">IFERROR(__xludf.DUMMYFUNCTION("""COMPUTED_VALUE"""),"https://www.ktbs.com/news/police-btw-shooter-was-spurned-lover/article_655e08f3-5404-5896-a955-81611d1a56b3.html")</f>
        <v>https://www.ktbs.com/news/police-btw-shooter-was-spurned-lover/article_655e08f3-5404-5896-a955-81611d1a56b3.html</v>
      </c>
      <c r="L1276" s="5"/>
      <c r="M1276" s="5"/>
      <c r="N1276" s="5">
        <f ca="1">IFERROR(__xludf.DUMMYFUNCTION("""COMPUTED_VALUE"""),2)</f>
        <v>2</v>
      </c>
      <c r="O1276" s="5" t="str">
        <f ca="1">IFERROR(__xludf.DUMMYFUNCTION("""COMPUTED_VALUE"""),"Winter")</f>
        <v>Winter</v>
      </c>
      <c r="P1276" s="5" t="str">
        <f ca="1">IFERROR(__xludf.DUMMYFUNCTION("""COMPUTED_VALUE"""),"Shreveport")</f>
        <v>Shreveport</v>
      </c>
      <c r="Q1276" s="5" t="str">
        <f ca="1">IFERROR(__xludf.DUMMYFUNCTION("""COMPUTED_VALUE"""),"LA")</f>
        <v>LA</v>
      </c>
      <c r="R1276" s="5" t="str">
        <f ca="1">IFERROR(__xludf.DUMMYFUNCTION("""COMPUTED_VALUE"""),"High")</f>
        <v>High</v>
      </c>
      <c r="S1276" s="5" t="str">
        <f ca="1">IFERROR(__xludf.DUMMYFUNCTION("""COMPUTED_VALUE"""),"Parking Lot")</f>
        <v>Parking Lot</v>
      </c>
      <c r="T1276" s="5" t="str">
        <f ca="1">IFERROR(__xludf.DUMMYFUNCTION("""COMPUTED_VALUE"""),"Outside on School Property")</f>
        <v>Outside on School Property</v>
      </c>
      <c r="U1276" s="5" t="str">
        <f ca="1">IFERROR(__xludf.DUMMYFUNCTION("""COMPUTED_VALUE"""),"Yes")</f>
        <v>Yes</v>
      </c>
      <c r="V1276" s="5" t="str">
        <f ca="1">IFERROR(__xludf.DUMMYFUNCTION("""COMPUTED_VALUE"""),"School Start")</f>
        <v>School Start</v>
      </c>
      <c r="W1276" s="10">
        <f ca="1">IFERROR(__xludf.DUMMYFUNCTION("""COMPUTED_VALUE"""),0.340277777777777)</f>
        <v>0.34027777777777701</v>
      </c>
      <c r="X1276" s="5">
        <f ca="1">IFERROR(__xludf.DUMMYFUNCTION("""COMPUTED_VALUE"""),1)</f>
        <v>1</v>
      </c>
      <c r="Y1276" s="5" t="str">
        <f ca="1">IFERROR(__xludf.DUMMYFUNCTION("""COMPUTED_VALUE"""),"Waited for ex-girlfriend and shot her outside of school")</f>
        <v>Waited for ex-girlfriend and shot her outside of school</v>
      </c>
      <c r="Z1276" s="5" t="str">
        <f ca="1">IFERROR(__xludf.DUMMYFUNCTION("""COMPUTED_VALUE"""),"28YOM waited outside of school for 18YOF ex-girlfriend to arrived. Shot at her four times (2 shots missed) and fled the scene. Arrested by police during chase. Attempted to ditch gun and change clothes while fleeing.")</f>
        <v>28YOM waited outside of school for 18YOF ex-girlfriend to arrived. Shot at her four times (2 shots missed) and fled the scene. Arrested by police during chase. Attempted to ditch gun and change clothes while fleeing.</v>
      </c>
      <c r="AA1276" s="5" t="str">
        <f ca="1">IFERROR(__xludf.DUMMYFUNCTION("""COMPUTED_VALUE"""),"Domestic w/ Targeted Victim")</f>
        <v>Domestic w/ Targeted Victim</v>
      </c>
      <c r="AB1276" s="5" t="str">
        <f ca="1">IFERROR(__xludf.DUMMYFUNCTION("""COMPUTED_VALUE"""),"Victims Targeted")</f>
        <v>Victims Targeted</v>
      </c>
      <c r="AC1276" s="5" t="str">
        <f ca="1">IFERROR(__xludf.DUMMYFUNCTION("""COMPUTED_VALUE"""),"No")</f>
        <v>No</v>
      </c>
      <c r="AD1276" s="5" t="str">
        <f ca="1">IFERROR(__xludf.DUMMYFUNCTION("""COMPUTED_VALUE"""),"No")</f>
        <v>No</v>
      </c>
      <c r="AE1276" s="5" t="str">
        <f ca="1">IFERROR(__xludf.DUMMYFUNCTION("""COMPUTED_VALUE"""),"No")</f>
        <v>No</v>
      </c>
      <c r="AF1276" s="5" t="str">
        <f ca="1">IFERROR(__xludf.DUMMYFUNCTION("""COMPUTED_VALUE"""),"No")</f>
        <v>No</v>
      </c>
      <c r="AG1276" s="5" t="str">
        <f ca="1">IFERROR(__xludf.DUMMYFUNCTION("""COMPUTED_VALUE"""),"No")</f>
        <v>No</v>
      </c>
      <c r="AH1276" s="5" t="str">
        <f ca="1">IFERROR(__xludf.DUMMYFUNCTION("""COMPUTED_VALUE"""),"Yes")</f>
        <v>Yes</v>
      </c>
      <c r="AI1276" s="5" t="str">
        <f ca="1">IFERROR(__xludf.DUMMYFUNCTION("""COMPUTED_VALUE"""),"No")</f>
        <v>No</v>
      </c>
      <c r="AJ1276" s="5"/>
    </row>
    <row r="1277" spans="1:36" ht="13">
      <c r="A1277" s="5" t="str">
        <f ca="1">IFERROR(__xludf.DUMMYFUNCTION("""COMPUTED_VALUE"""),"20091106PAHAW")</f>
        <v>20091106PAHAW</v>
      </c>
      <c r="B1277" s="5">
        <f ca="1">IFERROR(__xludf.DUMMYFUNCTION("""COMPUTED_VALUE"""),11)</f>
        <v>11</v>
      </c>
      <c r="C1277" s="5">
        <f ca="1">IFERROR(__xludf.DUMMYFUNCTION("""COMPUTED_VALUE"""),6)</f>
        <v>6</v>
      </c>
      <c r="D1277" s="5">
        <f ca="1">IFERROR(__xludf.DUMMYFUNCTION("""COMPUTED_VALUE"""),2009)</f>
        <v>2009</v>
      </c>
      <c r="E1277" s="8">
        <f ca="1">IFERROR(__xludf.DUMMYFUNCTION("""COMPUTED_VALUE"""),40123)</f>
        <v>40123</v>
      </c>
      <c r="F1277" s="5" t="str">
        <f ca="1">IFERROR(__xludf.DUMMYFUNCTION("""COMPUTED_VALUE"""),"Hamilton High School (bus)")</f>
        <v>Hamilton High School (bus)</v>
      </c>
      <c r="G1277" s="5">
        <f ca="1">IFERROR(__xludf.DUMMYFUNCTION("""COMPUTED_VALUE"""),0)</f>
        <v>0</v>
      </c>
      <c r="H1277" s="5">
        <f ca="1">IFERROR(__xludf.DUMMYFUNCTION("""COMPUTED_VALUE"""),1)</f>
        <v>1</v>
      </c>
      <c r="I1277" s="5">
        <f ca="1">IFERROR(__xludf.DUMMYFUNCTION("""COMPUTED_VALUE"""),1)</f>
        <v>1</v>
      </c>
      <c r="J1277" s="5">
        <f ca="1">IFERROR(__xludf.DUMMYFUNCTION("""COMPUTED_VALUE"""),0)</f>
        <v>0</v>
      </c>
      <c r="K1277" s="5" t="str">
        <f ca="1">IFERROR(__xludf.DUMMYFUNCTION("""COMPUTED_VALUE"""),"http://www.schoolbusfleet.com/news/682090/shooting-on-board-philly-school-bus-possibly-result-of-bullying?page=7  https://6abc.com/archive/7104138/")</f>
        <v>http://www.schoolbusfleet.com/news/682090/shooting-on-board-philly-school-bus-possibly-result-of-bullying?page=7  https://6abc.com/archive/7104138/</v>
      </c>
      <c r="L1277" s="5"/>
      <c r="M1277" s="5"/>
      <c r="N1277" s="5">
        <f ca="1">IFERROR(__xludf.DUMMYFUNCTION("""COMPUTED_VALUE"""),3)</f>
        <v>3</v>
      </c>
      <c r="O1277" s="5" t="str">
        <f ca="1">IFERROR(__xludf.DUMMYFUNCTION("""COMPUTED_VALUE"""),"Fall")</f>
        <v>Fall</v>
      </c>
      <c r="P1277" s="5" t="str">
        <f ca="1">IFERROR(__xludf.DUMMYFUNCTION("""COMPUTED_VALUE"""),"West Philadelphia")</f>
        <v>West Philadelphia</v>
      </c>
      <c r="Q1277" s="5" t="str">
        <f ca="1">IFERROR(__xludf.DUMMYFUNCTION("""COMPUTED_VALUE"""),"PA")</f>
        <v>PA</v>
      </c>
      <c r="R1277" s="5" t="str">
        <f ca="1">IFERROR(__xludf.DUMMYFUNCTION("""COMPUTED_VALUE"""),"High")</f>
        <v>High</v>
      </c>
      <c r="S1277" s="5" t="str">
        <f ca="1">IFERROR(__xludf.DUMMYFUNCTION("""COMPUTED_VALUE"""),"School Bus")</f>
        <v>School Bus</v>
      </c>
      <c r="T1277" s="5" t="str">
        <f ca="1">IFERROR(__xludf.DUMMYFUNCTION("""COMPUTED_VALUE"""),"School Bus")</f>
        <v>School Bus</v>
      </c>
      <c r="U1277" s="5" t="str">
        <f ca="1">IFERROR(__xludf.DUMMYFUNCTION("""COMPUTED_VALUE"""),"Yes")</f>
        <v>Yes</v>
      </c>
      <c r="V1277" s="5" t="str">
        <f ca="1">IFERROR(__xludf.DUMMYFUNCTION("""COMPUTED_VALUE"""),"Before School")</f>
        <v>Before School</v>
      </c>
      <c r="W1277" s="10">
        <f ca="1">IFERROR(__xludf.DUMMYFUNCTION("""COMPUTED_VALUE"""),0.333333333333333)</f>
        <v>0.33333333333333298</v>
      </c>
      <c r="X1277" s="5">
        <f ca="1">IFERROR(__xludf.DUMMYFUNCTION("""COMPUTED_VALUE"""),1)</f>
        <v>1</v>
      </c>
      <c r="Y1277" s="5" t="str">
        <f ca="1">IFERROR(__xludf.DUMMYFUNCTION("""COMPUTED_VALUE"""),"Targeted shooting on school bus")</f>
        <v>Targeted shooting on school bus</v>
      </c>
      <c r="Z1277" s="5" t="str">
        <f ca="1">IFERROR(__xludf.DUMMYFUNCTION("""COMPUTED_VALUE"""),"While bus was parked in front of Hamilton High School, 15 year old shooter shot 17 year old suspect in head - shooter then put gun to head of school bus driver and ordered him to open door, which he did - shooter fled but was later arrested. Motive was po"&amp;"ssibly due to shooter being repeatedly bullied by victim.")</f>
        <v>While bus was parked in front of Hamilton High School, 15 year old shooter shot 17 year old suspect in head - shooter then put gun to head of school bus driver and ordered him to open door, which he did - shooter fled but was later arrested. Motive was possibly due to shooter being repeatedly bullied by victim.</v>
      </c>
      <c r="AA1277" s="5" t="str">
        <f ca="1">IFERROR(__xludf.DUMMYFUNCTION("""COMPUTED_VALUE"""),"Bullying")</f>
        <v>Bullying</v>
      </c>
      <c r="AB1277" s="5" t="str">
        <f ca="1">IFERROR(__xludf.DUMMYFUNCTION("""COMPUTED_VALUE"""),"Victims Targeted")</f>
        <v>Victims Targeted</v>
      </c>
      <c r="AC1277" s="5"/>
      <c r="AD1277" s="5" t="str">
        <f ca="1">IFERROR(__xludf.DUMMYFUNCTION("""COMPUTED_VALUE"""),"No")</f>
        <v>No</v>
      </c>
      <c r="AE1277" s="5" t="str">
        <f ca="1">IFERROR(__xludf.DUMMYFUNCTION("""COMPUTED_VALUE"""),"No")</f>
        <v>No</v>
      </c>
      <c r="AF1277" s="5" t="str">
        <f ca="1">IFERROR(__xludf.DUMMYFUNCTION("""COMPUTED_VALUE"""),"No")</f>
        <v>No</v>
      </c>
      <c r="AG1277" s="5" t="str">
        <f ca="1">IFERROR(__xludf.DUMMYFUNCTION("""COMPUTED_VALUE"""),"Yes")</f>
        <v>Yes</v>
      </c>
      <c r="AH1277" s="5" t="str">
        <f ca="1">IFERROR(__xludf.DUMMYFUNCTION("""COMPUTED_VALUE"""),"No")</f>
        <v>No</v>
      </c>
      <c r="AI1277" s="5" t="str">
        <f ca="1">IFERROR(__xludf.DUMMYFUNCTION("""COMPUTED_VALUE"""),"No")</f>
        <v>No</v>
      </c>
      <c r="AJ1277" s="5"/>
    </row>
    <row r="1278" spans="1:36" ht="13">
      <c r="A1278" s="5" t="str">
        <f ca="1">IFERROR(__xludf.DUMMYFUNCTION("""COMPUTED_VALUE"""),"20091030CAWIL")</f>
        <v>20091030CAWIL</v>
      </c>
      <c r="B1278" s="5">
        <f ca="1">IFERROR(__xludf.DUMMYFUNCTION("""COMPUTED_VALUE"""),10)</f>
        <v>10</v>
      </c>
      <c r="C1278" s="5">
        <f ca="1">IFERROR(__xludf.DUMMYFUNCTION("""COMPUTED_VALUE"""),30)</f>
        <v>30</v>
      </c>
      <c r="D1278" s="5">
        <f ca="1">IFERROR(__xludf.DUMMYFUNCTION("""COMPUTED_VALUE"""),2009)</f>
        <v>2009</v>
      </c>
      <c r="E1278" s="8">
        <f ca="1">IFERROR(__xludf.DUMMYFUNCTION("""COMPUTED_VALUE"""),40116)</f>
        <v>40116</v>
      </c>
      <c r="F1278" s="5" t="str">
        <f ca="1">IFERROR(__xludf.DUMMYFUNCTION("""COMPUTED_VALUE"""),"Wilson High School")</f>
        <v>Wilson High School</v>
      </c>
      <c r="G1278" s="5">
        <f ca="1">IFERROR(__xludf.DUMMYFUNCTION("""COMPUTED_VALUE"""),1)</f>
        <v>1</v>
      </c>
      <c r="H1278" s="5">
        <f ca="1">IFERROR(__xludf.DUMMYFUNCTION("""COMPUTED_VALUE"""),2)</f>
        <v>2</v>
      </c>
      <c r="I1278" s="5">
        <f ca="1">IFERROR(__xludf.DUMMYFUNCTION("""COMPUTED_VALUE"""),3)</f>
        <v>3</v>
      </c>
      <c r="J1278" s="5">
        <f ca="1">IFERROR(__xludf.DUMMYFUNCTION("""COMPUTED_VALUE"""),0)</f>
        <v>0</v>
      </c>
      <c r="K1278" s="5" t="str">
        <f ca="1">IFERROR(__xludf.DUMMYFUNCTION("""COMPUTED_VALUE"""),"http://www.latimes.com/local/la-me-wilson-shooting1-2009nov01-story.html#  http://www.dailymail.co.uk/news/article-2076458/Gangster-Tom-Love-Vinson-shot-dead-high-school-student-jailed-155-years.html  https://www.latimes.com/local/la-me-wilson-shooting1-2"&amp;"009nov01-story.html https://abc7.com/archive/8351205/")</f>
        <v>http://www.latimes.com/local/la-me-wilson-shooting1-2009nov01-story.html#  http://www.dailymail.co.uk/news/article-2076458/Gangster-Tom-Love-Vinson-shot-dead-high-school-student-jailed-155-years.html  https://www.latimes.com/local/la-me-wilson-shooting1-2009nov01-story.html https://abc7.com/archive/8351205/</v>
      </c>
      <c r="L1278" s="5"/>
      <c r="M1278" s="5"/>
      <c r="N1278" s="5">
        <f ca="1">IFERROR(__xludf.DUMMYFUNCTION("""COMPUTED_VALUE"""),3)</f>
        <v>3</v>
      </c>
      <c r="O1278" s="5" t="str">
        <f ca="1">IFERROR(__xludf.DUMMYFUNCTION("""COMPUTED_VALUE"""),"Fall")</f>
        <v>Fall</v>
      </c>
      <c r="P1278" s="5" t="str">
        <f ca="1">IFERROR(__xludf.DUMMYFUNCTION("""COMPUTED_VALUE"""),"Long Beach")</f>
        <v>Long Beach</v>
      </c>
      <c r="Q1278" s="5" t="str">
        <f ca="1">IFERROR(__xludf.DUMMYFUNCTION("""COMPUTED_VALUE"""),"CA")</f>
        <v>CA</v>
      </c>
      <c r="R1278" s="5" t="str">
        <f ca="1">IFERROR(__xludf.DUMMYFUNCTION("""COMPUTED_VALUE"""),"High")</f>
        <v>High</v>
      </c>
      <c r="S1278" s="5" t="str">
        <f ca="1">IFERROR(__xludf.DUMMYFUNCTION("""COMPUTED_VALUE"""),"Football Field/Track")</f>
        <v>Football Field/Track</v>
      </c>
      <c r="T1278" s="5" t="str">
        <f ca="1">IFERROR(__xludf.DUMMYFUNCTION("""COMPUTED_VALUE"""),"Outside on School Property")</f>
        <v>Outside on School Property</v>
      </c>
      <c r="U1278" s="5" t="str">
        <f ca="1">IFERROR(__xludf.DUMMYFUNCTION("""COMPUTED_VALUE"""),"No")</f>
        <v>No</v>
      </c>
      <c r="V1278" s="5" t="str">
        <f ca="1">IFERROR(__xludf.DUMMYFUNCTION("""COMPUTED_VALUE"""),"Sport Event")</f>
        <v>Sport Event</v>
      </c>
      <c r="W1278" s="5"/>
      <c r="X1278" s="5">
        <f ca="1">IFERROR(__xludf.DUMMYFUNCTION("""COMPUTED_VALUE"""),1)</f>
        <v>1</v>
      </c>
      <c r="Y1278" s="5" t="str">
        <f ca="1">IFERROR(__xludf.DUMMYFUNCTION("""COMPUTED_VALUE"""),"Gang related shooting - bystander killed")</f>
        <v>Gang related shooting - bystander killed</v>
      </c>
      <c r="Z1278" s="5" t="str">
        <f ca="1">IFERROR(__xludf.DUMMYFUNCTION("""COMPUTED_VALUE"""),"A rival gang member waited outside the gates of a high school homecoming football game - when he saw rival gang members leaving he opened fire, injuring 2 and killing a female bystander")</f>
        <v>A rival gang member waited outside the gates of a high school homecoming football game - when he saw rival gang members leaving he opened fire, injuring 2 and killing a female bystander</v>
      </c>
      <c r="AA1278" s="5" t="str">
        <f ca="1">IFERROR(__xludf.DUMMYFUNCTION("""COMPUTED_VALUE"""),"Escalation of Dispute")</f>
        <v>Escalation of Dispute</v>
      </c>
      <c r="AB1278" s="5" t="str">
        <f ca="1">IFERROR(__xludf.DUMMYFUNCTION("""COMPUTED_VALUE"""),"Both")</f>
        <v>Both</v>
      </c>
      <c r="AC1278" s="5" t="str">
        <f ca="1">IFERROR(__xludf.DUMMYFUNCTION("""COMPUTED_VALUE"""),"No")</f>
        <v>No</v>
      </c>
      <c r="AD1278" s="5" t="str">
        <f ca="1">IFERROR(__xludf.DUMMYFUNCTION("""COMPUTED_VALUE"""),"No")</f>
        <v>No</v>
      </c>
      <c r="AE1278" s="5" t="str">
        <f ca="1">IFERROR(__xludf.DUMMYFUNCTION("""COMPUTED_VALUE"""),"No")</f>
        <v>No</v>
      </c>
      <c r="AF1278" s="5" t="str">
        <f ca="1">IFERROR(__xludf.DUMMYFUNCTION("""COMPUTED_VALUE"""),"No")</f>
        <v>No</v>
      </c>
      <c r="AG1278" s="5" t="str">
        <f ca="1">IFERROR(__xludf.DUMMYFUNCTION("""COMPUTED_VALUE"""),"No")</f>
        <v>No</v>
      </c>
      <c r="AH1278" s="5" t="str">
        <f ca="1">IFERROR(__xludf.DUMMYFUNCTION("""COMPUTED_VALUE"""),"No")</f>
        <v>No</v>
      </c>
      <c r="AI1278" s="5" t="str">
        <f ca="1">IFERROR(__xludf.DUMMYFUNCTION("""COMPUTED_VALUE"""),"Yes")</f>
        <v>Yes</v>
      </c>
      <c r="AJ1278" s="5"/>
    </row>
    <row r="1279" spans="1:36" ht="13">
      <c r="A1279" s="5" t="str">
        <f ca="1">IFERROR(__xludf.DUMMYFUNCTION("""COMPUTED_VALUE"""),"20091016SCCAC")</f>
        <v>20091016SCCAC</v>
      </c>
      <c r="B1279" s="5">
        <f ca="1">IFERROR(__xludf.DUMMYFUNCTION("""COMPUTED_VALUE"""),10)</f>
        <v>10</v>
      </c>
      <c r="C1279" s="5">
        <f ca="1">IFERROR(__xludf.DUMMYFUNCTION("""COMPUTED_VALUE"""),16)</f>
        <v>16</v>
      </c>
      <c r="D1279" s="5">
        <f ca="1">IFERROR(__xludf.DUMMYFUNCTION("""COMPUTED_VALUE"""),2009)</f>
        <v>2009</v>
      </c>
      <c r="E1279" s="8">
        <f ca="1">IFERROR(__xludf.DUMMYFUNCTION("""COMPUTED_VALUE"""),40102)</f>
        <v>40102</v>
      </c>
      <c r="F1279" s="5" t="str">
        <f ca="1">IFERROR(__xludf.DUMMYFUNCTION("""COMPUTED_VALUE"""),"Carolina Forest High School")</f>
        <v>Carolina Forest High School</v>
      </c>
      <c r="G1279" s="5">
        <f ca="1">IFERROR(__xludf.DUMMYFUNCTION("""COMPUTED_VALUE"""),1)</f>
        <v>1</v>
      </c>
      <c r="H1279" s="5">
        <f ca="1">IFERROR(__xludf.DUMMYFUNCTION("""COMPUTED_VALUE"""),0)</f>
        <v>0</v>
      </c>
      <c r="I1279" s="5">
        <f ca="1">IFERROR(__xludf.DUMMYFUNCTION("""COMPUTED_VALUE"""),1)</f>
        <v>1</v>
      </c>
      <c r="J1279" s="5">
        <f ca="1">IFERROR(__xludf.DUMMYFUNCTION("""COMPUTED_VALUE"""),0)</f>
        <v>0</v>
      </c>
      <c r="K1279" s="9" t="str">
        <f ca="1">IFERROR(__xludf.DUMMYFUNCTION("""COMPUTED_VALUE"""),"http://www.wistv.com/story/23589594/school-shootings-in-south-carolina")</f>
        <v>http://www.wistv.com/story/23589594/school-shootings-in-south-carolina</v>
      </c>
      <c r="L1279" s="5"/>
      <c r="M1279" s="5"/>
      <c r="N1279" s="5">
        <f ca="1">IFERROR(__xludf.DUMMYFUNCTION("""COMPUTED_VALUE"""),2)</f>
        <v>2</v>
      </c>
      <c r="O1279" s="5" t="str">
        <f ca="1">IFERROR(__xludf.DUMMYFUNCTION("""COMPUTED_VALUE"""),"Fall")</f>
        <v>Fall</v>
      </c>
      <c r="P1279" s="5" t="str">
        <f ca="1">IFERROR(__xludf.DUMMYFUNCTION("""COMPUTED_VALUE"""),"Conway")</f>
        <v>Conway</v>
      </c>
      <c r="Q1279" s="5" t="str">
        <f ca="1">IFERROR(__xludf.DUMMYFUNCTION("""COMPUTED_VALUE"""),"SC")</f>
        <v>SC</v>
      </c>
      <c r="R1279" s="5" t="str">
        <f ca="1">IFERROR(__xludf.DUMMYFUNCTION("""COMPUTED_VALUE"""),"High")</f>
        <v>High</v>
      </c>
      <c r="S1279" s="5" t="str">
        <f ca="1">IFERROR(__xludf.DUMMYFUNCTION("""COMPUTED_VALUE"""),"Inside School Building")</f>
        <v>Inside School Building</v>
      </c>
      <c r="T1279" s="5" t="str">
        <f ca="1">IFERROR(__xludf.DUMMYFUNCTION("""COMPUTED_VALUE"""),"Inside School Building")</f>
        <v>Inside School Building</v>
      </c>
      <c r="U1279" s="5" t="str">
        <f ca="1">IFERROR(__xludf.DUMMYFUNCTION("""COMPUTED_VALUE"""),"Yes")</f>
        <v>Yes</v>
      </c>
      <c r="V1279" s="5" t="str">
        <f ca="1">IFERROR(__xludf.DUMMYFUNCTION("""COMPUTED_VALUE"""),"Morning Classes")</f>
        <v>Morning Classes</v>
      </c>
      <c r="W1279" s="10">
        <f ca="1">IFERROR(__xludf.DUMMYFUNCTION("""COMPUTED_VALUE"""),0.350694444444444)</f>
        <v>0.35069444444444398</v>
      </c>
      <c r="X1279" s="5">
        <f ca="1">IFERROR(__xludf.DUMMYFUNCTION("""COMPUTED_VALUE"""),1)</f>
        <v>1</v>
      </c>
      <c r="Y1279" s="5" t="str">
        <f ca="1">IFERROR(__xludf.DUMMYFUNCTION("""COMPUTED_VALUE"""),"SRO shot autistic student in self defense, student had knife")</f>
        <v>SRO shot autistic student in self defense, student had knife</v>
      </c>
      <c r="Z1279" s="5" t="str">
        <f ca="1">IFERROR(__xludf.DUMMYFUNCTION("""COMPUTED_VALUE"""),"Autistic student with knife assaulted the SRO. SRO shot and killed the student in self defense.")</f>
        <v>Autistic student with knife assaulted the SRO. SRO shot and killed the student in self defense.</v>
      </c>
      <c r="AA1279" s="5" t="str">
        <f ca="1">IFERROR(__xludf.DUMMYFUNCTION("""COMPUTED_VALUE"""),"Self-defense")</f>
        <v>Self-defense</v>
      </c>
      <c r="AB1279" s="5" t="str">
        <f ca="1">IFERROR(__xludf.DUMMYFUNCTION("""COMPUTED_VALUE"""),"Victims Targeted")</f>
        <v>Victims Targeted</v>
      </c>
      <c r="AC1279" s="5" t="str">
        <f ca="1">IFERROR(__xludf.DUMMYFUNCTION("""COMPUTED_VALUE"""),"No")</f>
        <v>No</v>
      </c>
      <c r="AD1279" s="5" t="str">
        <f ca="1">IFERROR(__xludf.DUMMYFUNCTION("""COMPUTED_VALUE"""),"No")</f>
        <v>No</v>
      </c>
      <c r="AE1279" s="5" t="str">
        <f ca="1">IFERROR(__xludf.DUMMYFUNCTION("""COMPUTED_VALUE"""),"No")</f>
        <v>No</v>
      </c>
      <c r="AF1279" s="5" t="str">
        <f ca="1">IFERROR(__xludf.DUMMYFUNCTION("""COMPUTED_VALUE"""),"Yes")</f>
        <v>Yes</v>
      </c>
      <c r="AG1279" s="5" t="str">
        <f ca="1">IFERROR(__xludf.DUMMYFUNCTION("""COMPUTED_VALUE"""),"N/A")</f>
        <v>N/A</v>
      </c>
      <c r="AH1279" s="5" t="str">
        <f ca="1">IFERROR(__xludf.DUMMYFUNCTION("""COMPUTED_VALUE"""),"N/A")</f>
        <v>N/A</v>
      </c>
      <c r="AI1279" s="5" t="str">
        <f ca="1">IFERROR(__xludf.DUMMYFUNCTION("""COMPUTED_VALUE"""),"N/A")</f>
        <v>N/A</v>
      </c>
      <c r="AJ1279" s="5" t="str">
        <f ca="1">IFERROR(__xludf.DUMMYFUNCTION("""COMPUTED_VALUE"""),"N/A")</f>
        <v>N/A</v>
      </c>
    </row>
    <row r="1280" spans="1:36" ht="13">
      <c r="A1280" s="5" t="str">
        <f ca="1">IFERROR(__xludf.DUMMYFUNCTION("""COMPUTED_VALUE"""),"20091008NYMAM")</f>
        <v>20091008NYMAM</v>
      </c>
      <c r="B1280" s="5">
        <f ca="1">IFERROR(__xludf.DUMMYFUNCTION("""COMPUTED_VALUE"""),10)</f>
        <v>10</v>
      </c>
      <c r="C1280" s="5">
        <f ca="1">IFERROR(__xludf.DUMMYFUNCTION("""COMPUTED_VALUE"""),8)</f>
        <v>8</v>
      </c>
      <c r="D1280" s="5">
        <f ca="1">IFERROR(__xludf.DUMMYFUNCTION("""COMPUTED_VALUE"""),2009)</f>
        <v>2009</v>
      </c>
      <c r="E1280" s="8">
        <f ca="1">IFERROR(__xludf.DUMMYFUNCTION("""COMPUTED_VALUE"""),40094)</f>
        <v>40094</v>
      </c>
      <c r="F1280" s="5" t="str">
        <f ca="1">IFERROR(__xludf.DUMMYFUNCTION("""COMPUTED_VALUE"""),"Mattituck Junior-Senior High School")</f>
        <v>Mattituck Junior-Senior High School</v>
      </c>
      <c r="G1280" s="5">
        <f ca="1">IFERROR(__xludf.DUMMYFUNCTION("""COMPUTED_VALUE"""),0)</f>
        <v>0</v>
      </c>
      <c r="H1280" s="5">
        <f ca="1">IFERROR(__xludf.DUMMYFUNCTION("""COMPUTED_VALUE"""),1)</f>
        <v>1</v>
      </c>
      <c r="I1280" s="5">
        <f ca="1">IFERROR(__xludf.DUMMYFUNCTION("""COMPUTED_VALUE"""),1)</f>
        <v>1</v>
      </c>
      <c r="J1280" s="5">
        <f ca="1">IFERROR(__xludf.DUMMYFUNCTION("""COMPUTED_VALUE"""),0)</f>
        <v>0</v>
      </c>
      <c r="K1280" s="5" t="str">
        <f ca="1">IFERROR(__xludf.DUMMYFUNCTION("""COMPUTED_VALUE"""),"https://www.newsday.com/long-island/suffolk/mattituck-h-s-student-shot-while-sitting-in-class-1.1511027 .  https://www.newsday.com/long-island/suffolk/man-held-in-mattituck-h-s-shooting-but-not-charged-1.1513403")</f>
        <v>https://www.newsday.com/long-island/suffolk/mattituck-h-s-student-shot-while-sitting-in-class-1.1511027 .  https://www.newsday.com/long-island/suffolk/man-held-in-mattituck-h-s-shooting-but-not-charged-1.1513403</v>
      </c>
      <c r="L1280" s="5"/>
      <c r="M1280" s="5"/>
      <c r="N1280" s="5">
        <f ca="1">IFERROR(__xludf.DUMMYFUNCTION("""COMPUTED_VALUE"""),3)</f>
        <v>3</v>
      </c>
      <c r="O1280" s="5" t="str">
        <f ca="1">IFERROR(__xludf.DUMMYFUNCTION("""COMPUTED_VALUE"""),"Fall")</f>
        <v>Fall</v>
      </c>
      <c r="P1280" s="5" t="str">
        <f ca="1">IFERROR(__xludf.DUMMYFUNCTION("""COMPUTED_VALUE"""),"Mattituck")</f>
        <v>Mattituck</v>
      </c>
      <c r="Q1280" s="5" t="str">
        <f ca="1">IFERROR(__xludf.DUMMYFUNCTION("""COMPUTED_VALUE"""),"NY")</f>
        <v>NY</v>
      </c>
      <c r="R1280" s="11">
        <f ca="1">IFERROR(__xludf.DUMMYFUNCTION("""COMPUTED_VALUE"""),44724)</f>
        <v>44724</v>
      </c>
      <c r="S1280" s="5" t="str">
        <f ca="1">IFERROR(__xludf.DUMMYFUNCTION("""COMPUTED_VALUE"""),"Classroom")</f>
        <v>Classroom</v>
      </c>
      <c r="T1280" s="5" t="str">
        <f ca="1">IFERROR(__xludf.DUMMYFUNCTION("""COMPUTED_VALUE"""),"Inside School Building")</f>
        <v>Inside School Building</v>
      </c>
      <c r="U1280" s="5" t="str">
        <f ca="1">IFERROR(__xludf.DUMMYFUNCTION("""COMPUTED_VALUE"""),"Yes")</f>
        <v>Yes</v>
      </c>
      <c r="V1280" s="5" t="str">
        <f ca="1">IFERROR(__xludf.DUMMYFUNCTION("""COMPUTED_VALUE"""),"Afternoon Classes")</f>
        <v>Afternoon Classes</v>
      </c>
      <c r="W1280" s="10">
        <f ca="1">IFERROR(__xludf.DUMMYFUNCTION("""COMPUTED_VALUE"""),0.578472222222222)</f>
        <v>0.57847222222222205</v>
      </c>
      <c r="X1280" s="5">
        <f ca="1">IFERROR(__xludf.DUMMYFUNCTION("""COMPUTED_VALUE"""),1)</f>
        <v>1</v>
      </c>
      <c r="Y1280" s="5" t="str">
        <f ca="1">IFERROR(__xludf.DUMMYFUNCTION("""COMPUTED_VALUE"""),"Cleaning weapon off school property, round hit student")</f>
        <v>Cleaning weapon off school property, round hit student</v>
      </c>
      <c r="Z1280" s="5" t="str">
        <f ca="1">IFERROR(__xludf.DUMMYFUNCTION("""COMPUTED_VALUE"""),"28 year old male was cleaning .22. caliber rifle on front porch when it accidentally fired. The bullet went through the window of a nearby school and a piece of glass struck an 18 year old female in the head. Suspect was arrested - unknown if charges were"&amp;" filed.")</f>
        <v>28 year old male was cleaning .22. caliber rifle on front porch when it accidentally fired. The bullet went through the window of a nearby school and a piece of glass struck an 18 year old female in the head. Suspect was arrested - unknown if charges were filed.</v>
      </c>
      <c r="AA1280" s="5" t="str">
        <f ca="1">IFERROR(__xludf.DUMMYFUNCTION("""COMPUTED_VALUE"""),"Accidental")</f>
        <v>Accidental</v>
      </c>
      <c r="AB1280" s="5" t="str">
        <f ca="1">IFERROR(__xludf.DUMMYFUNCTION("""COMPUTED_VALUE"""),"Random Shooting")</f>
        <v>Random Shooting</v>
      </c>
      <c r="AC1280" s="5" t="str">
        <f ca="1">IFERROR(__xludf.DUMMYFUNCTION("""COMPUTED_VALUE"""),"No")</f>
        <v>No</v>
      </c>
      <c r="AD1280" s="5" t="str">
        <f ca="1">IFERROR(__xludf.DUMMYFUNCTION("""COMPUTED_VALUE"""),"No")</f>
        <v>No</v>
      </c>
      <c r="AE1280" s="5" t="str">
        <f ca="1">IFERROR(__xludf.DUMMYFUNCTION("""COMPUTED_VALUE"""),"No")</f>
        <v>No</v>
      </c>
      <c r="AF1280" s="5" t="str">
        <f ca="1">IFERROR(__xludf.DUMMYFUNCTION("""COMPUTED_VALUE"""),"No")</f>
        <v>No</v>
      </c>
      <c r="AG1280" s="5" t="str">
        <f ca="1">IFERROR(__xludf.DUMMYFUNCTION("""COMPUTED_VALUE"""),"No")</f>
        <v>No</v>
      </c>
      <c r="AH1280" s="5" t="str">
        <f ca="1">IFERROR(__xludf.DUMMYFUNCTION("""COMPUTED_VALUE"""),"No")</f>
        <v>No</v>
      </c>
      <c r="AI1280" s="5" t="str">
        <f ca="1">IFERROR(__xludf.DUMMYFUNCTION("""COMPUTED_VALUE"""),"No")</f>
        <v>No</v>
      </c>
      <c r="AJ1280" s="5"/>
    </row>
    <row r="1281" spans="1:36" ht="13">
      <c r="A1281" s="5" t="str">
        <f ca="1">IFERROR(__xludf.DUMMYFUNCTION("""COMPUTED_VALUE"""),"20090916VAVIG")</f>
        <v>20090916VAVIG</v>
      </c>
      <c r="B1281" s="5">
        <f ca="1">IFERROR(__xludf.DUMMYFUNCTION("""COMPUTED_VALUE"""),9)</f>
        <v>9</v>
      </c>
      <c r="C1281" s="5">
        <f ca="1">IFERROR(__xludf.DUMMYFUNCTION("""COMPUTED_VALUE"""),16)</f>
        <v>16</v>
      </c>
      <c r="D1281" s="5">
        <f ca="1">IFERROR(__xludf.DUMMYFUNCTION("""COMPUTED_VALUE"""),2009)</f>
        <v>2009</v>
      </c>
      <c r="E1281" s="8">
        <f ca="1">IFERROR(__xludf.DUMMYFUNCTION("""COMPUTED_VALUE"""),40072)</f>
        <v>40072</v>
      </c>
      <c r="F1281" s="5" t="str">
        <f ca="1">IFERROR(__xludf.DUMMYFUNCTION("""COMPUTED_VALUE"""),"Virginia Randolph Community High School")</f>
        <v>Virginia Randolph Community High School</v>
      </c>
      <c r="G1281" s="5">
        <f ca="1">IFERROR(__xludf.DUMMYFUNCTION("""COMPUTED_VALUE"""),0)</f>
        <v>0</v>
      </c>
      <c r="H1281" s="5">
        <f ca="1">IFERROR(__xludf.DUMMYFUNCTION("""COMPUTED_VALUE"""),0)</f>
        <v>0</v>
      </c>
      <c r="I1281" s="5">
        <f ca="1">IFERROR(__xludf.DUMMYFUNCTION("""COMPUTED_VALUE"""),0)</f>
        <v>0</v>
      </c>
      <c r="J1281" s="5">
        <f ca="1">IFERROR(__xludf.DUMMYFUNCTION("""COMPUTED_VALUE"""),0)</f>
        <v>0</v>
      </c>
      <c r="K1281" s="5" t="str">
        <f ca="1">IFERROR(__xludf.DUMMYFUNCTION("""COMPUTED_VALUE"""),"http://www.nbc12.com/story/11141961/update-shooting-at-high-school-in-henrico-one-student-in-custody/ .  http://www.nbc12.com/story/11150545/student-faces-multiple-charges-in-henrico-school-shooting/ .  https://www.richmond.com/news/student-guilty-in-virg"&amp;"inia-randolph-shooting/article_f16699de-207c-5eaa-9890-f26f8a690203.html")</f>
        <v>http://www.nbc12.com/story/11141961/update-shooting-at-high-school-in-henrico-one-student-in-custody/ .  http://www.nbc12.com/story/11150545/student-faces-multiple-charges-in-henrico-school-shooting/ .  https://www.richmond.com/news/student-guilty-in-virginia-randolph-shooting/article_f16699de-207c-5eaa-9890-f26f8a690203.html</v>
      </c>
      <c r="L1281" s="5"/>
      <c r="M1281" s="5"/>
      <c r="N1281" s="5">
        <f ca="1">IFERROR(__xludf.DUMMYFUNCTION("""COMPUTED_VALUE"""),1)</f>
        <v>1</v>
      </c>
      <c r="O1281" s="5" t="str">
        <f ca="1">IFERROR(__xludf.DUMMYFUNCTION("""COMPUTED_VALUE"""),"Fall")</f>
        <v>Fall</v>
      </c>
      <c r="P1281" s="5" t="str">
        <f ca="1">IFERROR(__xludf.DUMMYFUNCTION("""COMPUTED_VALUE"""),"Glen Allen")</f>
        <v>Glen Allen</v>
      </c>
      <c r="Q1281" s="5" t="str">
        <f ca="1">IFERROR(__xludf.DUMMYFUNCTION("""COMPUTED_VALUE"""),"VA")</f>
        <v>VA</v>
      </c>
      <c r="R1281" s="5" t="str">
        <f ca="1">IFERROR(__xludf.DUMMYFUNCTION("""COMPUTED_VALUE"""),"High")</f>
        <v>High</v>
      </c>
      <c r="S1281" s="5" t="str">
        <f ca="1">IFERROR(__xludf.DUMMYFUNCTION("""COMPUTED_VALUE"""),"Playground")</f>
        <v>Playground</v>
      </c>
      <c r="T1281" s="5" t="str">
        <f ca="1">IFERROR(__xludf.DUMMYFUNCTION("""COMPUTED_VALUE"""),"Outside on School Property")</f>
        <v>Outside on School Property</v>
      </c>
      <c r="U1281" s="5" t="str">
        <f ca="1">IFERROR(__xludf.DUMMYFUNCTION("""COMPUTED_VALUE"""),"Yes")</f>
        <v>Yes</v>
      </c>
      <c r="V1281" s="5" t="str">
        <f ca="1">IFERROR(__xludf.DUMMYFUNCTION("""COMPUTED_VALUE"""),"Afternoon Classes")</f>
        <v>Afternoon Classes</v>
      </c>
      <c r="W1281" s="10">
        <f ca="1">IFERROR(__xludf.DUMMYFUNCTION("""COMPUTED_VALUE"""),0.520833333333333)</f>
        <v>0.52083333333333304</v>
      </c>
      <c r="X1281" s="5">
        <f ca="1">IFERROR(__xludf.DUMMYFUNCTION("""COMPUTED_VALUE"""),1)</f>
        <v>1</v>
      </c>
      <c r="Y1281" s="5" t="str">
        <f ca="1">IFERROR(__xludf.DUMMYFUNCTION("""COMPUTED_VALUE"""),"Shot at specific targets following bullying, shots missed")</f>
        <v>Shot at specific targets following bullying, shots missed</v>
      </c>
      <c r="Z1281" s="5" t="str">
        <f ca="1">IFERROR(__xludf.DUMMYFUNCTION("""COMPUTED_VALUE"""),"16 year old shooter sought out two students who he claimed had been picking on him. When the two students approached him on the playground, the shooter shot at them both and missed. The shooter then fled but was later caught and arrested.")</f>
        <v>16 year old shooter sought out two students who he claimed had been picking on him. When the two students approached him on the playground, the shooter shot at them both and missed. The shooter then fled but was later caught and arrested.</v>
      </c>
      <c r="AA1281" s="5" t="str">
        <f ca="1">IFERROR(__xludf.DUMMYFUNCTION("""COMPUTED_VALUE"""),"Bullying")</f>
        <v>Bullying</v>
      </c>
      <c r="AB1281" s="5" t="str">
        <f ca="1">IFERROR(__xludf.DUMMYFUNCTION("""COMPUTED_VALUE"""),"Victims Targeted")</f>
        <v>Victims Targeted</v>
      </c>
      <c r="AC1281" s="5"/>
      <c r="AD1281" s="5" t="str">
        <f ca="1">IFERROR(__xludf.DUMMYFUNCTION("""COMPUTED_VALUE"""),"No")</f>
        <v>No</v>
      </c>
      <c r="AE1281" s="5" t="str">
        <f ca="1">IFERROR(__xludf.DUMMYFUNCTION("""COMPUTED_VALUE"""),"No")</f>
        <v>No</v>
      </c>
      <c r="AF1281" s="5" t="str">
        <f ca="1">IFERROR(__xludf.DUMMYFUNCTION("""COMPUTED_VALUE"""),"No")</f>
        <v>No</v>
      </c>
      <c r="AG1281" s="5"/>
      <c r="AH1281" s="5"/>
      <c r="AI1281" s="5" t="str">
        <f ca="1">IFERROR(__xludf.DUMMYFUNCTION("""COMPUTED_VALUE"""),"No")</f>
        <v>No</v>
      </c>
      <c r="AJ1281" s="5"/>
    </row>
    <row r="1282" spans="1:36" ht="13">
      <c r="A1282" s="5" t="str">
        <f ca="1">IFERROR(__xludf.DUMMYFUNCTION("""COMPUTED_VALUE"""),"20090908CTSTS")</f>
        <v>20090908CTSTS</v>
      </c>
      <c r="B1282" s="5">
        <f ca="1">IFERROR(__xludf.DUMMYFUNCTION("""COMPUTED_VALUE"""),9)</f>
        <v>9</v>
      </c>
      <c r="C1282" s="5">
        <f ca="1">IFERROR(__xludf.DUMMYFUNCTION("""COMPUTED_VALUE"""),8)</f>
        <v>8</v>
      </c>
      <c r="D1282" s="5">
        <f ca="1">IFERROR(__xludf.DUMMYFUNCTION("""COMPUTED_VALUE"""),2009)</f>
        <v>2009</v>
      </c>
      <c r="E1282" s="8">
        <f ca="1">IFERROR(__xludf.DUMMYFUNCTION("""COMPUTED_VALUE"""),40064)</f>
        <v>40064</v>
      </c>
      <c r="F1282" s="5" t="str">
        <f ca="1">IFERROR(__xludf.DUMMYFUNCTION("""COMPUTED_VALUE"""),"Stamford Academy")</f>
        <v>Stamford Academy</v>
      </c>
      <c r="G1282" s="5">
        <f ca="1">IFERROR(__xludf.DUMMYFUNCTION("""COMPUTED_VALUE"""),0)</f>
        <v>0</v>
      </c>
      <c r="H1282" s="5">
        <f ca="1">IFERROR(__xludf.DUMMYFUNCTION("""COMPUTED_VALUE"""),0)</f>
        <v>0</v>
      </c>
      <c r="I1282" s="5">
        <f ca="1">IFERROR(__xludf.DUMMYFUNCTION("""COMPUTED_VALUE"""),0)</f>
        <v>0</v>
      </c>
      <c r="J1282" s="5">
        <f ca="1">IFERROR(__xludf.DUMMYFUNCTION("""COMPUTED_VALUE"""),0)</f>
        <v>0</v>
      </c>
      <c r="K1282" s="5" t="str">
        <f ca="1">IFERROR(__xludf.DUMMYFUNCTION("""COMPUTED_VALUE"""),"https://www.stamfordadvocate.com/news/article/Police-arrest-student-in-Stamford-Academy-shooting-31163.php .   https://www.stamfordadvocate.com/news/article/Police-claim-Stamford-Academy-staff-knew-34243.php")</f>
        <v>https://www.stamfordadvocate.com/news/article/Police-arrest-student-in-Stamford-Academy-shooting-31163.php .   https://www.stamfordadvocate.com/news/article/Police-claim-Stamford-Academy-staff-knew-34243.php</v>
      </c>
      <c r="L1282" s="5"/>
      <c r="M1282" s="5"/>
      <c r="N1282" s="5">
        <f ca="1">IFERROR(__xludf.DUMMYFUNCTION("""COMPUTED_VALUE"""),3)</f>
        <v>3</v>
      </c>
      <c r="O1282" s="5" t="str">
        <f ca="1">IFERROR(__xludf.DUMMYFUNCTION("""COMPUTED_VALUE"""),"Fall")</f>
        <v>Fall</v>
      </c>
      <c r="P1282" s="5" t="str">
        <f ca="1">IFERROR(__xludf.DUMMYFUNCTION("""COMPUTED_VALUE"""),"Stamford")</f>
        <v>Stamford</v>
      </c>
      <c r="Q1282" s="5" t="str">
        <f ca="1">IFERROR(__xludf.DUMMYFUNCTION("""COMPUTED_VALUE"""),"CT")</f>
        <v>CT</v>
      </c>
      <c r="R1282" s="5" t="str">
        <f ca="1">IFERROR(__xludf.DUMMYFUNCTION("""COMPUTED_VALUE"""),"High")</f>
        <v>High</v>
      </c>
      <c r="S1282" s="5" t="str">
        <f ca="1">IFERROR(__xludf.DUMMYFUNCTION("""COMPUTED_VALUE"""),"Parking Lot")</f>
        <v>Parking Lot</v>
      </c>
      <c r="T1282" s="5" t="str">
        <f ca="1">IFERROR(__xludf.DUMMYFUNCTION("""COMPUTED_VALUE"""),"Outside on School Property")</f>
        <v>Outside on School Property</v>
      </c>
      <c r="U1282" s="5" t="str">
        <f ca="1">IFERROR(__xludf.DUMMYFUNCTION("""COMPUTED_VALUE"""),"Yes")</f>
        <v>Yes</v>
      </c>
      <c r="V1282" s="5" t="str">
        <f ca="1">IFERROR(__xludf.DUMMYFUNCTION("""COMPUTED_VALUE"""),"School Start")</f>
        <v>School Start</v>
      </c>
      <c r="W1282" s="10">
        <f ca="1">IFERROR(__xludf.DUMMYFUNCTION("""COMPUTED_VALUE"""),0.336805555555555)</f>
        <v>0.33680555555555503</v>
      </c>
      <c r="X1282" s="5">
        <f ca="1">IFERROR(__xludf.DUMMYFUNCTION("""COMPUTED_VALUE"""),1)</f>
        <v>1</v>
      </c>
      <c r="Y1282" s="5" t="str">
        <f ca="1">IFERROR(__xludf.DUMMYFUNCTION("""COMPUTED_VALUE"""),"Shots fired at a large crowd during a fight")</f>
        <v>Shots fired at a large crowd during a fight</v>
      </c>
      <c r="Z1282" s="5" t="str">
        <f ca="1">IFERROR(__xludf.DUMMYFUNCTION("""COMPUTED_VALUE"""),"16 year old shooter fired at a crowd of students to frighten them away. No one was injured but the bullet ricocheted off the back of a school bus. The shooting was prompted by a shooting that occurred several days prior between two groups of teens.")</f>
        <v>16 year old shooter fired at a crowd of students to frighten them away. No one was injured but the bullet ricocheted off the back of a school bus. The shooting was prompted by a shooting that occurred several days prior between two groups of teens.</v>
      </c>
      <c r="AA1282" s="5" t="str">
        <f ca="1">IFERROR(__xludf.DUMMYFUNCTION("""COMPUTED_VALUE"""),"Escalation of Dispute")</f>
        <v>Escalation of Dispute</v>
      </c>
      <c r="AB1282" s="5" t="str">
        <f ca="1">IFERROR(__xludf.DUMMYFUNCTION("""COMPUTED_VALUE"""),"Victims Targeted")</f>
        <v>Victims Targeted</v>
      </c>
      <c r="AC1282" s="5"/>
      <c r="AD1282" s="5" t="str">
        <f ca="1">IFERROR(__xludf.DUMMYFUNCTION("""COMPUTED_VALUE"""),"No")</f>
        <v>No</v>
      </c>
      <c r="AE1282" s="5" t="str">
        <f ca="1">IFERROR(__xludf.DUMMYFUNCTION("""COMPUTED_VALUE"""),"No")</f>
        <v>No</v>
      </c>
      <c r="AF1282" s="5" t="str">
        <f ca="1">IFERROR(__xludf.DUMMYFUNCTION("""COMPUTED_VALUE"""),"No")</f>
        <v>No</v>
      </c>
      <c r="AG1282" s="5" t="str">
        <f ca="1">IFERROR(__xludf.DUMMYFUNCTION("""COMPUTED_VALUE"""),"No")</f>
        <v>No</v>
      </c>
      <c r="AH1282" s="5" t="str">
        <f ca="1">IFERROR(__xludf.DUMMYFUNCTION("""COMPUTED_VALUE"""),"No")</f>
        <v>No</v>
      </c>
      <c r="AI1282" s="5" t="str">
        <f ca="1">IFERROR(__xludf.DUMMYFUNCTION("""COMPUTED_VALUE"""),"No")</f>
        <v>No</v>
      </c>
      <c r="AJ1282" s="5"/>
    </row>
    <row r="1283" spans="1:36" ht="13">
      <c r="A1283" s="5" t="str">
        <f ca="1">IFERROR(__xludf.DUMMYFUNCTION("""COMPUTED_VALUE"""),"20090827NCWEF")</f>
        <v>20090827NCWEF</v>
      </c>
      <c r="B1283" s="5">
        <f ca="1">IFERROR(__xludf.DUMMYFUNCTION("""COMPUTED_VALUE"""),8)</f>
        <v>8</v>
      </c>
      <c r="C1283" s="5">
        <f ca="1">IFERROR(__xludf.DUMMYFUNCTION("""COMPUTED_VALUE"""),27)</f>
        <v>27</v>
      </c>
      <c r="D1283" s="5">
        <f ca="1">IFERROR(__xludf.DUMMYFUNCTION("""COMPUTED_VALUE"""),2009)</f>
        <v>2009</v>
      </c>
      <c r="E1283" s="8">
        <f ca="1">IFERROR(__xludf.DUMMYFUNCTION("""COMPUTED_VALUE"""),40052)</f>
        <v>40052</v>
      </c>
      <c r="F1283" s="5" t="str">
        <f ca="1">IFERROR(__xludf.DUMMYFUNCTION("""COMPUTED_VALUE"""),"Westover High School")</f>
        <v>Westover High School</v>
      </c>
      <c r="G1283" s="5">
        <f ca="1">IFERROR(__xludf.DUMMYFUNCTION("""COMPUTED_VALUE"""),0)</f>
        <v>0</v>
      </c>
      <c r="H1283" s="5">
        <f ca="1">IFERROR(__xludf.DUMMYFUNCTION("""COMPUTED_VALUE"""),0)</f>
        <v>0</v>
      </c>
      <c r="I1283" s="5">
        <f ca="1">IFERROR(__xludf.DUMMYFUNCTION("""COMPUTED_VALUE"""),0)</f>
        <v>0</v>
      </c>
      <c r="J1283" s="5">
        <f ca="1">IFERROR(__xludf.DUMMYFUNCTION("""COMPUTED_VALUE"""),0)</f>
        <v>0</v>
      </c>
      <c r="K1283" s="9" t="str">
        <f ca="1">IFERROR(__xludf.DUMMYFUNCTION("""COMPUTED_VALUE"""),"https://www.wral.com/teen-charged-with-firing-handgun-at-westover-high/5885748/")</f>
        <v>https://www.wral.com/teen-charged-with-firing-handgun-at-westover-high/5885748/</v>
      </c>
      <c r="L1283" s="5"/>
      <c r="M1283" s="5"/>
      <c r="N1283" s="5">
        <f ca="1">IFERROR(__xludf.DUMMYFUNCTION("""COMPUTED_VALUE"""),2)</f>
        <v>2</v>
      </c>
      <c r="O1283" s="5" t="str">
        <f ca="1">IFERROR(__xludf.DUMMYFUNCTION("""COMPUTED_VALUE"""),"Summer")</f>
        <v>Summer</v>
      </c>
      <c r="P1283" s="5" t="str">
        <f ca="1">IFERROR(__xludf.DUMMYFUNCTION("""COMPUTED_VALUE"""),"Fayetteville")</f>
        <v>Fayetteville</v>
      </c>
      <c r="Q1283" s="5" t="str">
        <f ca="1">IFERROR(__xludf.DUMMYFUNCTION("""COMPUTED_VALUE"""),"NC")</f>
        <v>NC</v>
      </c>
      <c r="R1283" s="5" t="str">
        <f ca="1">IFERROR(__xludf.DUMMYFUNCTION("""COMPUTED_VALUE"""),"High")</f>
        <v>High</v>
      </c>
      <c r="S1283" s="5" t="str">
        <f ca="1">IFERROR(__xludf.DUMMYFUNCTION("""COMPUTED_VALUE"""),"Beside Building")</f>
        <v>Beside Building</v>
      </c>
      <c r="T1283" s="5" t="str">
        <f ca="1">IFERROR(__xludf.DUMMYFUNCTION("""COMPUTED_VALUE"""),"Outside on School Property")</f>
        <v>Outside on School Property</v>
      </c>
      <c r="U1283" s="5" t="str">
        <f ca="1">IFERROR(__xludf.DUMMYFUNCTION("""COMPUTED_VALUE"""),"No")</f>
        <v>No</v>
      </c>
      <c r="V1283" s="5" t="str">
        <f ca="1">IFERROR(__xludf.DUMMYFUNCTION("""COMPUTED_VALUE"""),"After School")</f>
        <v>After School</v>
      </c>
      <c r="W1283" s="10">
        <f ca="1">IFERROR(__xludf.DUMMYFUNCTION("""COMPUTED_VALUE"""),0.666666666666666)</f>
        <v>0.66666666666666596</v>
      </c>
      <c r="X1283" s="5">
        <f ca="1">IFERROR(__xludf.DUMMYFUNCTION("""COMPUTED_VALUE"""),1)</f>
        <v>1</v>
      </c>
      <c r="Y1283" s="5" t="str">
        <f ca="1">IFERROR(__xludf.DUMMYFUNCTION("""COMPUTED_VALUE"""),"Fight between student and 22YOM, student fired pistol, missed, and fled")</f>
        <v>Fight between student and 22YOM, student fired pistol, missed, and fled</v>
      </c>
      <c r="Z1283" s="5" t="str">
        <f ca="1">IFERROR(__xludf.DUMMYFUNCTION("""COMPUTED_VALUE"""),"Fight between 22YOM and 16YOM student outside of the high school. 16YOM fired a pistol and both men fled. Shooter was arrested at his home.")</f>
        <v>Fight between 22YOM and 16YOM student outside of the high school. 16YOM fired a pistol and both men fled. Shooter was arrested at his home.</v>
      </c>
      <c r="AA1283" s="5" t="str">
        <f ca="1">IFERROR(__xludf.DUMMYFUNCTION("""COMPUTED_VALUE"""),"Escalation of Dispute")</f>
        <v>Escalation of Dispute</v>
      </c>
      <c r="AB1283" s="5" t="str">
        <f ca="1">IFERROR(__xludf.DUMMYFUNCTION("""COMPUTED_VALUE"""),"Victims Targeted")</f>
        <v>Victims Targeted</v>
      </c>
      <c r="AC1283" s="5" t="str">
        <f ca="1">IFERROR(__xludf.DUMMYFUNCTION("""COMPUTED_VALUE"""),"No")</f>
        <v>No</v>
      </c>
      <c r="AD1283" s="5" t="str">
        <f ca="1">IFERROR(__xludf.DUMMYFUNCTION("""COMPUTED_VALUE"""),"No")</f>
        <v>No</v>
      </c>
      <c r="AE1283" s="5" t="str">
        <f ca="1">IFERROR(__xludf.DUMMYFUNCTION("""COMPUTED_VALUE"""),"No")</f>
        <v>No</v>
      </c>
      <c r="AF1283" s="5" t="str">
        <f ca="1">IFERROR(__xludf.DUMMYFUNCTION("""COMPUTED_VALUE"""),"No")</f>
        <v>No</v>
      </c>
      <c r="AG1283" s="5" t="str">
        <f ca="1">IFERROR(__xludf.DUMMYFUNCTION("""COMPUTED_VALUE"""),"No")</f>
        <v>No</v>
      </c>
      <c r="AH1283" s="5" t="str">
        <f ca="1">IFERROR(__xludf.DUMMYFUNCTION("""COMPUTED_VALUE"""),"No")</f>
        <v>No</v>
      </c>
      <c r="AI1283" s="5" t="str">
        <f ca="1">IFERROR(__xludf.DUMMYFUNCTION("""COMPUTED_VALUE"""),"No")</f>
        <v>No</v>
      </c>
      <c r="AJ1283" s="5"/>
    </row>
    <row r="1284" spans="1:36" ht="13">
      <c r="A1284" s="5" t="str">
        <f ca="1">IFERROR(__xludf.DUMMYFUNCTION("""COMPUTED_VALUE"""),"20090624IAAPP")</f>
        <v>20090624IAAPP</v>
      </c>
      <c r="B1284" s="5">
        <f ca="1">IFERROR(__xludf.DUMMYFUNCTION("""COMPUTED_VALUE"""),6)</f>
        <v>6</v>
      </c>
      <c r="C1284" s="5">
        <f ca="1">IFERROR(__xludf.DUMMYFUNCTION("""COMPUTED_VALUE"""),24)</f>
        <v>24</v>
      </c>
      <c r="D1284" s="5">
        <f ca="1">IFERROR(__xludf.DUMMYFUNCTION("""COMPUTED_VALUE"""),2009)</f>
        <v>2009</v>
      </c>
      <c r="E1284" s="8">
        <f ca="1">IFERROR(__xludf.DUMMYFUNCTION("""COMPUTED_VALUE"""),39988)</f>
        <v>39988</v>
      </c>
      <c r="F1284" s="5" t="str">
        <f ca="1">IFERROR(__xludf.DUMMYFUNCTION("""COMPUTED_VALUE"""),"Aplington-Parkersburg High School")</f>
        <v>Aplington-Parkersburg High School</v>
      </c>
      <c r="G1284" s="5">
        <f ca="1">IFERROR(__xludf.DUMMYFUNCTION("""COMPUTED_VALUE"""),1)</f>
        <v>1</v>
      </c>
      <c r="H1284" s="5">
        <f ca="1">IFERROR(__xludf.DUMMYFUNCTION("""COMPUTED_VALUE"""),0)</f>
        <v>0</v>
      </c>
      <c r="I1284" s="5">
        <f ca="1">IFERROR(__xludf.DUMMYFUNCTION("""COMPUTED_VALUE"""),1)</f>
        <v>1</v>
      </c>
      <c r="J1284" s="5">
        <f ca="1">IFERROR(__xludf.DUMMYFUNCTION("""COMPUTED_VALUE"""),0)</f>
        <v>0</v>
      </c>
      <c r="K1284" s="5" t="str">
        <f ca="1">IFERROR(__xludf.DUMMYFUNCTION("""COMPUTED_VALUE"""),"http://www.philly.com/philly/sports/20100303_Man_guilty_of_murder_in_case_of_Iowa_prep_coach.html  https://www.goodhousekeeping.com/life/a36953/ann-becker-son-ed-thomas-shooting/")</f>
        <v>http://www.philly.com/philly/sports/20100303_Man_guilty_of_murder_in_case_of_Iowa_prep_coach.html  https://www.goodhousekeeping.com/life/a36953/ann-becker-son-ed-thomas-shooting/</v>
      </c>
      <c r="L1284" s="5"/>
      <c r="M1284" s="5"/>
      <c r="N1284" s="5">
        <f ca="1">IFERROR(__xludf.DUMMYFUNCTION("""COMPUTED_VALUE"""),3)</f>
        <v>3</v>
      </c>
      <c r="O1284" s="5" t="str">
        <f ca="1">IFERROR(__xludf.DUMMYFUNCTION("""COMPUTED_VALUE"""),"Summer")</f>
        <v>Summer</v>
      </c>
      <c r="P1284" s="5" t="str">
        <f ca="1">IFERROR(__xludf.DUMMYFUNCTION("""COMPUTED_VALUE"""),"Parkersburg")</f>
        <v>Parkersburg</v>
      </c>
      <c r="Q1284" s="5" t="str">
        <f ca="1">IFERROR(__xludf.DUMMYFUNCTION("""COMPUTED_VALUE"""),"IA")</f>
        <v>IA</v>
      </c>
      <c r="R1284" s="5" t="str">
        <f ca="1">IFERROR(__xludf.DUMMYFUNCTION("""COMPUTED_VALUE"""),"High")</f>
        <v>High</v>
      </c>
      <c r="S1284" s="5" t="str">
        <f ca="1">IFERROR(__xludf.DUMMYFUNCTION("""COMPUTED_VALUE"""),"Gym")</f>
        <v>Gym</v>
      </c>
      <c r="T1284" s="5" t="str">
        <f ca="1">IFERROR(__xludf.DUMMYFUNCTION("""COMPUTED_VALUE"""),"Inside School Building")</f>
        <v>Inside School Building</v>
      </c>
      <c r="U1284" s="5" t="str">
        <f ca="1">IFERROR(__xludf.DUMMYFUNCTION("""COMPUTED_VALUE"""),"Yes")</f>
        <v>Yes</v>
      </c>
      <c r="V1284" s="5" t="str">
        <f ca="1">IFERROR(__xludf.DUMMYFUNCTION("""COMPUTED_VALUE"""),"Morning Classes")</f>
        <v>Morning Classes</v>
      </c>
      <c r="W1284" s="10">
        <f ca="1">IFERROR(__xludf.DUMMYFUNCTION("""COMPUTED_VALUE"""),0.333333333333333)</f>
        <v>0.33333333333333298</v>
      </c>
      <c r="X1284" s="5">
        <f ca="1">IFERROR(__xludf.DUMMYFUNCTION("""COMPUTED_VALUE"""),1)</f>
        <v>1</v>
      </c>
      <c r="Y1284" s="5" t="str">
        <f ca="1">IFERROR(__xludf.DUMMYFUNCTION("""COMPUTED_VALUE"""),"Delusional former student thought coach was the devil")</f>
        <v>Delusional former student thought coach was the devil</v>
      </c>
      <c r="Z1284" s="5" t="str">
        <f ca="1">IFERROR(__xludf.DUMMYFUNCTION("""COMPUTED_VALUE"""),"Former player entered high school weight room and shot football coach to death. Had delusions and thought the football coach was the devil and plotting against him.")</f>
        <v>Former player entered high school weight room and shot football coach to death. Had delusions and thought the football coach was the devil and plotting against him.</v>
      </c>
      <c r="AA1284" s="5" t="str">
        <f ca="1">IFERROR(__xludf.DUMMYFUNCTION("""COMPUTED_VALUE"""),"Psychosis")</f>
        <v>Psychosis</v>
      </c>
      <c r="AB1284" s="5" t="str">
        <f ca="1">IFERROR(__xludf.DUMMYFUNCTION("""COMPUTED_VALUE"""),"Victims Targeted")</f>
        <v>Victims Targeted</v>
      </c>
      <c r="AC1284" s="5" t="str">
        <f ca="1">IFERROR(__xludf.DUMMYFUNCTION("""COMPUTED_VALUE"""),"No")</f>
        <v>No</v>
      </c>
      <c r="AD1284" s="5" t="str">
        <f ca="1">IFERROR(__xludf.DUMMYFUNCTION("""COMPUTED_VALUE"""),"No")</f>
        <v>No</v>
      </c>
      <c r="AE1284" s="5" t="str">
        <f ca="1">IFERROR(__xludf.DUMMYFUNCTION("""COMPUTED_VALUE"""),"No")</f>
        <v>No</v>
      </c>
      <c r="AF1284" s="5" t="str">
        <f ca="1">IFERROR(__xludf.DUMMYFUNCTION("""COMPUTED_VALUE"""),"No")</f>
        <v>No</v>
      </c>
      <c r="AG1284" s="5"/>
      <c r="AH1284" s="5" t="str">
        <f ca="1">IFERROR(__xludf.DUMMYFUNCTION("""COMPUTED_VALUE"""),"No")</f>
        <v>No</v>
      </c>
      <c r="AI1284" s="5" t="str">
        <f ca="1">IFERROR(__xludf.DUMMYFUNCTION("""COMPUTED_VALUE"""),"No")</f>
        <v>No</v>
      </c>
      <c r="AJ1284" s="5"/>
    </row>
    <row r="1285" spans="1:36" ht="13">
      <c r="A1285" s="5" t="str">
        <f ca="1">IFERROR(__xludf.DUMMYFUNCTION("""COMPUTED_VALUE"""),"20090615CAINS")</f>
        <v>20090615CAINS</v>
      </c>
      <c r="B1285" s="5">
        <f ca="1">IFERROR(__xludf.DUMMYFUNCTION("""COMPUTED_VALUE"""),6)</f>
        <v>6</v>
      </c>
      <c r="C1285" s="5">
        <f ca="1">IFERROR(__xludf.DUMMYFUNCTION("""COMPUTED_VALUE"""),15)</f>
        <v>15</v>
      </c>
      <c r="D1285" s="5">
        <f ca="1">IFERROR(__xludf.DUMMYFUNCTION("""COMPUTED_VALUE"""),2009)</f>
        <v>2009</v>
      </c>
      <c r="E1285" s="8">
        <f ca="1">IFERROR(__xludf.DUMMYFUNCTION("""COMPUTED_VALUE"""),39979)</f>
        <v>39979</v>
      </c>
      <c r="F1285" s="5" t="str">
        <f ca="1">IFERROR(__xludf.DUMMYFUNCTION("""COMPUTED_VALUE"""),"International Studies Academy")</f>
        <v>International Studies Academy</v>
      </c>
      <c r="G1285" s="5">
        <f ca="1">IFERROR(__xludf.DUMMYFUNCTION("""COMPUTED_VALUE"""),0)</f>
        <v>0</v>
      </c>
      <c r="H1285" s="5">
        <f ca="1">IFERROR(__xludf.DUMMYFUNCTION("""COMPUTED_VALUE"""),3)</f>
        <v>3</v>
      </c>
      <c r="I1285" s="5">
        <f ca="1">IFERROR(__xludf.DUMMYFUNCTION("""COMPUTED_VALUE"""),3)</f>
        <v>3</v>
      </c>
      <c r="J1285" s="5">
        <f ca="1">IFERROR(__xludf.DUMMYFUNCTION("""COMPUTED_VALUE"""),0)</f>
        <v>0</v>
      </c>
      <c r="K1285" s="5" t="str">
        <f ca="1">IFERROR(__xludf.DUMMYFUNCTION("""COMPUTED_VALUE"""),"https://missionlocal.org/2009/06/update-shooting-at-international-studies-academy/ . https://www.fugitive.com/2009/06/17/juvenile-charged-with-attempted-murder-in-shooting-near-international-studies-academy-high-school/ .   https://www.fugitive.com/2009/0"&amp;"6/17/juvenile-charged-with-attempted-murder-in-shooting-near-international-studies-academy-high-school/")</f>
        <v>https://missionlocal.org/2009/06/update-shooting-at-international-studies-academy/ . https://www.fugitive.com/2009/06/17/juvenile-charged-with-attempted-murder-in-shooting-near-international-studies-academy-high-school/ .   https://www.fugitive.com/2009/06/17/juvenile-charged-with-attempted-murder-in-shooting-near-international-studies-academy-high-school/</v>
      </c>
      <c r="L1285" s="5"/>
      <c r="M1285" s="5"/>
      <c r="N1285" s="5">
        <f ca="1">IFERROR(__xludf.DUMMYFUNCTION("""COMPUTED_VALUE"""),2)</f>
        <v>2</v>
      </c>
      <c r="O1285" s="5" t="str">
        <f ca="1">IFERROR(__xludf.DUMMYFUNCTION("""COMPUTED_VALUE"""),"Summer")</f>
        <v>Summer</v>
      </c>
      <c r="P1285" s="5" t="str">
        <f ca="1">IFERROR(__xludf.DUMMYFUNCTION("""COMPUTED_VALUE"""),"San Francisco")</f>
        <v>San Francisco</v>
      </c>
      <c r="Q1285" s="5" t="str">
        <f ca="1">IFERROR(__xludf.DUMMYFUNCTION("""COMPUTED_VALUE"""),"CA")</f>
        <v>CA</v>
      </c>
      <c r="R1285" s="5" t="str">
        <f ca="1">IFERROR(__xludf.DUMMYFUNCTION("""COMPUTED_VALUE"""),"Other")</f>
        <v>Other</v>
      </c>
      <c r="S1285" s="5" t="str">
        <f ca="1">IFERROR(__xludf.DUMMYFUNCTION("""COMPUTED_VALUE"""),"Beside Building")</f>
        <v>Beside Building</v>
      </c>
      <c r="T1285" s="5" t="str">
        <f ca="1">IFERROR(__xludf.DUMMYFUNCTION("""COMPUTED_VALUE"""),"Outside on School Property")</f>
        <v>Outside on School Property</v>
      </c>
      <c r="U1285" s="5" t="str">
        <f ca="1">IFERROR(__xludf.DUMMYFUNCTION("""COMPUTED_VALUE"""),"Yes")</f>
        <v>Yes</v>
      </c>
      <c r="V1285" s="5" t="str">
        <f ca="1">IFERROR(__xludf.DUMMYFUNCTION("""COMPUTED_VALUE"""),"Morning Classes")</f>
        <v>Morning Classes</v>
      </c>
      <c r="W1285" s="5"/>
      <c r="X1285" s="5">
        <f ca="1">IFERROR(__xludf.DUMMYFUNCTION("""COMPUTED_VALUE"""),1)</f>
        <v>1</v>
      </c>
      <c r="Y1285" s="5" t="str">
        <f ca="1">IFERROR(__xludf.DUMMYFUNCTION("""COMPUTED_VALUE"""),"Gang-related shooting outside of school.")</f>
        <v>Gang-related shooting outside of school.</v>
      </c>
      <c r="Z1285" s="5" t="str">
        <f ca="1">IFERROR(__xludf.DUMMYFUNCTION("""COMPUTED_VALUE"""),"Fight between two gangs escalated into a shooting outside of the school. The shooter fled the scene and was later arrested (name not released).")</f>
        <v>Fight between two gangs escalated into a shooting outside of the school. The shooter fled the scene and was later arrested (name not released).</v>
      </c>
      <c r="AA1285" s="5" t="str">
        <f ca="1">IFERROR(__xludf.DUMMYFUNCTION("""COMPUTED_VALUE"""),"Escalation of Dispute")</f>
        <v>Escalation of Dispute</v>
      </c>
      <c r="AB1285" s="5"/>
      <c r="AC1285" s="5"/>
      <c r="AD1285" s="5" t="str">
        <f ca="1">IFERROR(__xludf.DUMMYFUNCTION("""COMPUTED_VALUE"""),"No")</f>
        <v>No</v>
      </c>
      <c r="AE1285" s="5" t="str">
        <f ca="1">IFERROR(__xludf.DUMMYFUNCTION("""COMPUTED_VALUE"""),"No")</f>
        <v>No</v>
      </c>
      <c r="AF1285" s="5" t="str">
        <f ca="1">IFERROR(__xludf.DUMMYFUNCTION("""COMPUTED_VALUE"""),"No")</f>
        <v>No</v>
      </c>
      <c r="AG1285" s="5"/>
      <c r="AH1285" s="5" t="str">
        <f ca="1">IFERROR(__xludf.DUMMYFUNCTION("""COMPUTED_VALUE"""),"No")</f>
        <v>No</v>
      </c>
      <c r="AI1285" s="5" t="str">
        <f ca="1">IFERROR(__xludf.DUMMYFUNCTION("""COMPUTED_VALUE"""),"Yes")</f>
        <v>Yes</v>
      </c>
      <c r="AJ1285" s="5"/>
    </row>
    <row r="1286" spans="1:36" ht="13">
      <c r="A1286" s="5" t="str">
        <f ca="1">IFERROR(__xludf.DUMMYFUNCTION("""COMPUTED_VALUE"""),"20090518LALAL")</f>
        <v>20090518LALAL</v>
      </c>
      <c r="B1286" s="5">
        <f ca="1">IFERROR(__xludf.DUMMYFUNCTION("""COMPUTED_VALUE"""),5)</f>
        <v>5</v>
      </c>
      <c r="C1286" s="5">
        <f ca="1">IFERROR(__xludf.DUMMYFUNCTION("""COMPUTED_VALUE"""),18)</f>
        <v>18</v>
      </c>
      <c r="D1286" s="5">
        <f ca="1">IFERROR(__xludf.DUMMYFUNCTION("""COMPUTED_VALUE"""),2009)</f>
        <v>2009</v>
      </c>
      <c r="E1286" s="8">
        <f ca="1">IFERROR(__xludf.DUMMYFUNCTION("""COMPUTED_VALUE"""),39951)</f>
        <v>39951</v>
      </c>
      <c r="F1286" s="5" t="str">
        <f ca="1">IFERROR(__xludf.DUMMYFUNCTION("""COMPUTED_VALUE"""),"Larose-Cut Off Middle School")</f>
        <v>Larose-Cut Off Middle School</v>
      </c>
      <c r="G1286" s="5">
        <f ca="1">IFERROR(__xludf.DUMMYFUNCTION("""COMPUTED_VALUE"""),0)</f>
        <v>0</v>
      </c>
      <c r="H1286" s="5">
        <f ca="1">IFERROR(__xludf.DUMMYFUNCTION("""COMPUTED_VALUE"""),0)</f>
        <v>0</v>
      </c>
      <c r="I1286" s="5">
        <f ca="1">IFERROR(__xludf.DUMMYFUNCTION("""COMPUTED_VALUE"""),0)</f>
        <v>0</v>
      </c>
      <c r="J1286" s="5">
        <f ca="1">IFERROR(__xludf.DUMMYFUNCTION("""COMPUTED_VALUE"""),1)</f>
        <v>1</v>
      </c>
      <c r="K1286" s="5" t="str">
        <f ca="1">IFERROR(__xludf.DUMMYFUNCTION("""COMPUTED_VALUE"""),"http://www.foxnews.com/story/2009/05/19/police-louisiana-eighth-grader-detailed-school-shooting-plot-in-deadly-diary.html        https://www.fbi.gov/file-repository/active-shooter-incidents-2000-2017.pdf . https://www.newspapers.com/image/225673655/?terms"&amp;"=justin%2Bdoucet https://www.deseret.com/2009/5/19/20318760/8th-grader-shoots-self-misses-teacher")</f>
        <v>http://www.foxnews.com/story/2009/05/19/police-louisiana-eighth-grader-detailed-school-shooting-plot-in-deadly-diary.html        https://www.fbi.gov/file-repository/active-shooter-incidents-2000-2017.pdf . https://www.newspapers.com/image/225673655/?terms=justin%2Bdoucet https://www.deseret.com/2009/5/19/20318760/8th-grader-shoots-self-misses-teacher</v>
      </c>
      <c r="L1286" s="5"/>
      <c r="M1286" s="5" t="str">
        <f ca="1">IFERROR(__xludf.DUMMYFUNCTION("""COMPUTED_VALUE"""),"National")</f>
        <v>National</v>
      </c>
      <c r="N1286" s="5">
        <f ca="1">IFERROR(__xludf.DUMMYFUNCTION("""COMPUTED_VALUE"""),5)</f>
        <v>5</v>
      </c>
      <c r="O1286" s="5" t="str">
        <f ca="1">IFERROR(__xludf.DUMMYFUNCTION("""COMPUTED_VALUE"""),"Spring")</f>
        <v>Spring</v>
      </c>
      <c r="P1286" s="5" t="str">
        <f ca="1">IFERROR(__xludf.DUMMYFUNCTION("""COMPUTED_VALUE"""),"Larose")</f>
        <v>Larose</v>
      </c>
      <c r="Q1286" s="5" t="str">
        <f ca="1">IFERROR(__xludf.DUMMYFUNCTION("""COMPUTED_VALUE"""),"LA")</f>
        <v>LA</v>
      </c>
      <c r="R1286" s="5" t="str">
        <f ca="1">IFERROR(__xludf.DUMMYFUNCTION("""COMPUTED_VALUE"""),"Middle")</f>
        <v>Middle</v>
      </c>
      <c r="S1286" s="5" t="str">
        <f ca="1">IFERROR(__xludf.DUMMYFUNCTION("""COMPUTED_VALUE"""),"Classroom")</f>
        <v>Classroom</v>
      </c>
      <c r="T1286" s="5" t="str">
        <f ca="1">IFERROR(__xludf.DUMMYFUNCTION("""COMPUTED_VALUE"""),"Inside School Building")</f>
        <v>Inside School Building</v>
      </c>
      <c r="U1286" s="5" t="str">
        <f ca="1">IFERROR(__xludf.DUMMYFUNCTION("""COMPUTED_VALUE"""),"Yes")</f>
        <v>Yes</v>
      </c>
      <c r="V1286" s="5" t="str">
        <f ca="1">IFERROR(__xludf.DUMMYFUNCTION("""COMPUTED_VALUE"""),"Morning Classes")</f>
        <v>Morning Classes</v>
      </c>
      <c r="W1286" s="10">
        <f ca="1">IFERROR(__xludf.DUMMYFUNCTION("""COMPUTED_VALUE"""),0.375)</f>
        <v>0.375</v>
      </c>
      <c r="X1286" s="5">
        <f ca="1">IFERROR(__xludf.DUMMYFUNCTION("""COMPUTED_VALUE"""),1)</f>
        <v>1</v>
      </c>
      <c r="Y1286" s="5" t="str">
        <f ca="1">IFERROR(__xludf.DUMMYFUNCTION("""COMPUTED_VALUE"""),"Planned attack, gun misfired, shooter fled and commit suicide")</f>
        <v>Planned attack, gun misfired, shooter fled and commit suicide</v>
      </c>
      <c r="Z1286" s="5" t="str">
        <f ca="1">IFERROR(__xludf.DUMMYFUNCTION("""COMPUTED_VALUE"""),"Shooter entered school through backdoor to avoid metal detectors, left classroom to go to the bathroom, changed into camo clothing, and returned to class with a .25 pistol. He pointed the gun at the teacher and said ""hail Marilyn Manson"" and pulled the "&amp;"trigger but the gun didn't go off. He tried to fire a second time and the gun went off firing into the ceiling. The shooter ran out of the classroom back to the bathroom and shot himself in the head. The shooter left a suicide note saying he hoped he kill"&amp;"ed a bunch of people. Had multiple notebooks titled ""deadly diary"" with drawings of himself in camo pants and label of ""disturbed mind"" by his head. Wrote that he was disappointed not to have enough bullets to kill the police officers too. Saved artic"&amp;"les about Columbine were found at his house. Mixed reports: Attached news article reports states shooter shot one bullet over teachers head before exiting the classroom and committing suicide")</f>
        <v>Shooter entered school through backdoor to avoid metal detectors, left classroom to go to the bathroom, changed into camo clothing, and returned to class with a .25 pistol. He pointed the gun at the teacher and said "hail Marilyn Manson" and pulled the trigger but the gun didn't go off. He tried to fire a second time and the gun went off firing into the ceiling. The shooter ran out of the classroom back to the bathroom and shot himself in the head. The shooter left a suicide note saying he hoped he killed a bunch of people. Had multiple notebooks titled "deadly diary" with drawings of himself in camo pants and label of "disturbed mind" by his head. Wrote that he was disappointed not to have enough bullets to kill the police officers too. Saved articles about Columbine were found at his house. Mixed reports: Attached news article reports states shooter shot one bullet over teachers head before exiting the classroom and committing suicide</v>
      </c>
      <c r="AA1286" s="5" t="str">
        <f ca="1">IFERROR(__xludf.DUMMYFUNCTION("""COMPUTED_VALUE"""),"Indiscriminate Shooting")</f>
        <v>Indiscriminate Shooting</v>
      </c>
      <c r="AB1286" s="5"/>
      <c r="AC1286" s="5" t="str">
        <f ca="1">IFERROR(__xludf.DUMMYFUNCTION("""COMPUTED_VALUE"""),"No")</f>
        <v>No</v>
      </c>
      <c r="AD1286" s="5" t="str">
        <f ca="1">IFERROR(__xludf.DUMMYFUNCTION("""COMPUTED_VALUE"""),"No")</f>
        <v>No</v>
      </c>
      <c r="AE1286" s="5" t="str">
        <f ca="1">IFERROR(__xludf.DUMMYFUNCTION("""COMPUTED_VALUE"""),"No")</f>
        <v>No</v>
      </c>
      <c r="AF1286" s="5" t="str">
        <f ca="1">IFERROR(__xludf.DUMMYFUNCTION("""COMPUTED_VALUE"""),"No")</f>
        <v>No</v>
      </c>
      <c r="AG1286" s="5"/>
      <c r="AH1286" s="5" t="str">
        <f ca="1">IFERROR(__xludf.DUMMYFUNCTION("""COMPUTED_VALUE"""),"No")</f>
        <v>No</v>
      </c>
      <c r="AI1286" s="5" t="str">
        <f ca="1">IFERROR(__xludf.DUMMYFUNCTION("""COMPUTED_VALUE"""),"No")</f>
        <v>No</v>
      </c>
      <c r="AJ1286" s="5" t="str">
        <f ca="1">IFERROR(__xludf.DUMMYFUNCTION("""COMPUTED_VALUE"""),"Yes")</f>
        <v>Yes</v>
      </c>
    </row>
    <row r="1287" spans="1:36" ht="13">
      <c r="A1287" s="5" t="str">
        <f ca="1">IFERROR(__xludf.DUMMYFUNCTION("""COMPUTED_VALUE"""),"20090505NYCAC")</f>
        <v>20090505NYCAC</v>
      </c>
      <c r="B1287" s="5">
        <f ca="1">IFERROR(__xludf.DUMMYFUNCTION("""COMPUTED_VALUE"""),5)</f>
        <v>5</v>
      </c>
      <c r="C1287" s="5">
        <f ca="1">IFERROR(__xludf.DUMMYFUNCTION("""COMPUTED_VALUE"""),5)</f>
        <v>5</v>
      </c>
      <c r="D1287" s="5">
        <f ca="1">IFERROR(__xludf.DUMMYFUNCTION("""COMPUTED_VALUE"""),2009)</f>
        <v>2009</v>
      </c>
      <c r="E1287" s="8">
        <f ca="1">IFERROR(__xludf.DUMMYFUNCTION("""COMPUTED_VALUE"""),39938)</f>
        <v>39938</v>
      </c>
      <c r="F1287" s="5" t="str">
        <f ca="1">IFERROR(__xludf.DUMMYFUNCTION("""COMPUTED_VALUE"""),"Canandaigua Academy")</f>
        <v>Canandaigua Academy</v>
      </c>
      <c r="G1287" s="5">
        <f ca="1">IFERROR(__xludf.DUMMYFUNCTION("""COMPUTED_VALUE"""),0)</f>
        <v>0</v>
      </c>
      <c r="H1287" s="5">
        <f ca="1">IFERROR(__xludf.DUMMYFUNCTION("""COMPUTED_VALUE"""),0)</f>
        <v>0</v>
      </c>
      <c r="I1287" s="5">
        <f ca="1">IFERROR(__xludf.DUMMYFUNCTION("""COMPUTED_VALUE"""),0)</f>
        <v>0</v>
      </c>
      <c r="J1287" s="5">
        <f ca="1">IFERROR(__xludf.DUMMYFUNCTION("""COMPUTED_VALUE"""),1)</f>
        <v>1</v>
      </c>
      <c r="K1287" s="5" t="str">
        <f ca="1">IFERROR(__xludf.DUMMYFUNCTION("""COMPUTED_VALUE"""),"http://www.mpnnow.com/article/20090506/NEWS/305069915 https://www.fltimes.com/news/teen-planned-to-kill-others/article_43b22208-bf7a-5a28-81ec-e1f25ac218fc.html https://www.cbsnews.com/news/ny-school-evacuated-after-boys-suicide/")</f>
        <v>http://www.mpnnow.com/article/20090506/NEWS/305069915 https://www.fltimes.com/news/teen-planned-to-kill-others/article_43b22208-bf7a-5a28-81ec-e1f25ac218fc.html https://www.cbsnews.com/news/ny-school-evacuated-after-boys-suicide/</v>
      </c>
      <c r="L1287" s="5"/>
      <c r="M1287" s="5"/>
      <c r="N1287" s="5">
        <f ca="1">IFERROR(__xludf.DUMMYFUNCTION("""COMPUTED_VALUE"""),4)</f>
        <v>4</v>
      </c>
      <c r="O1287" s="5" t="str">
        <f ca="1">IFERROR(__xludf.DUMMYFUNCTION("""COMPUTED_VALUE"""),"Spring")</f>
        <v>Spring</v>
      </c>
      <c r="P1287" s="5" t="str">
        <f ca="1">IFERROR(__xludf.DUMMYFUNCTION("""COMPUTED_VALUE"""),"Canandaigua")</f>
        <v>Canandaigua</v>
      </c>
      <c r="Q1287" s="5" t="str">
        <f ca="1">IFERROR(__xludf.DUMMYFUNCTION("""COMPUTED_VALUE"""),"NY")</f>
        <v>NY</v>
      </c>
      <c r="R1287" s="5" t="str">
        <f ca="1">IFERROR(__xludf.DUMMYFUNCTION("""COMPUTED_VALUE"""),"High")</f>
        <v>High</v>
      </c>
      <c r="S1287" s="5" t="str">
        <f ca="1">IFERROR(__xludf.DUMMYFUNCTION("""COMPUTED_VALUE"""),"Bathroom")</f>
        <v>Bathroom</v>
      </c>
      <c r="T1287" s="5" t="str">
        <f ca="1">IFERROR(__xludf.DUMMYFUNCTION("""COMPUTED_VALUE"""),"Inside School Building")</f>
        <v>Inside School Building</v>
      </c>
      <c r="U1287" s="5" t="str">
        <f ca="1">IFERROR(__xludf.DUMMYFUNCTION("""COMPUTED_VALUE"""),"Yes")</f>
        <v>Yes</v>
      </c>
      <c r="V1287" s="5" t="str">
        <f ca="1">IFERROR(__xludf.DUMMYFUNCTION("""COMPUTED_VALUE"""),"Morning Classes")</f>
        <v>Morning Classes</v>
      </c>
      <c r="W1287" s="10">
        <f ca="1">IFERROR(__xludf.DUMMYFUNCTION("""COMPUTED_VALUE"""),0.434027777777777)</f>
        <v>0.43402777777777701</v>
      </c>
      <c r="X1287" s="5">
        <f ca="1">IFERROR(__xludf.DUMMYFUNCTION("""COMPUTED_VALUE"""),1)</f>
        <v>1</v>
      </c>
      <c r="Y1287" s="5" t="str">
        <f ca="1">IFERROR(__xludf.DUMMYFUNCTION("""COMPUTED_VALUE"""),"Suicide in bathroom, had plan to attack school")</f>
        <v>Suicide in bathroom, had plan to attack school</v>
      </c>
      <c r="Z1287" s="5" t="str">
        <f ca="1">IFERROR(__xludf.DUMMYFUNCTION("""COMPUTED_VALUE"""),"17 year old shooter left school in between classes, then came back in a side entrance carrying a concealed sawed off shotgun. Shooter then went into boys bathroom and shot himself. He was found by other students. A search of his belongings found he had tw"&amp;"o Molotov cocktails in his locker and 30 rounds of ammo. No suicide note was left. Police stated shooter had left notes in a journal that he planned to kill others, but they are not sure why he changed his mind. He wrote about his growing hatred for every"&amp;"one at school, shed light on his decision to kill himself there. Although he wrote that he was not bullied, felt a sense of rejection from the school as a whole.")</f>
        <v>17 year old shooter left school in between classes, then came back in a side entrance carrying a concealed sawed off shotgun. Shooter then went into boys bathroom and shot himself. He was found by other students. A search of his belongings found he had two Molotov cocktails in his locker and 30 rounds of ammo. No suicide note was left. Police stated shooter had left notes in a journal that he planned to kill others, but they are not sure why he changed his mind. He wrote about his growing hatred for everyone at school, shed light on his decision to kill himself there. Although he wrote that he was not bullied, felt a sense of rejection from the school as a whole.</v>
      </c>
      <c r="AA1287" s="5" t="str">
        <f ca="1">IFERROR(__xludf.DUMMYFUNCTION("""COMPUTED_VALUE"""),"Indiscriminate Shooting")</f>
        <v>Indiscriminate Shooting</v>
      </c>
      <c r="AB1287" s="5" t="str">
        <f ca="1">IFERROR(__xludf.DUMMYFUNCTION("""COMPUTED_VALUE"""),"Victims Targeted")</f>
        <v>Victims Targeted</v>
      </c>
      <c r="AC1287" s="5" t="str">
        <f ca="1">IFERROR(__xludf.DUMMYFUNCTION("""COMPUTED_VALUE"""),"No")</f>
        <v>No</v>
      </c>
      <c r="AD1287" s="5" t="str">
        <f ca="1">IFERROR(__xludf.DUMMYFUNCTION("""COMPUTED_VALUE"""),"No")</f>
        <v>No</v>
      </c>
      <c r="AE1287" s="5" t="str">
        <f ca="1">IFERROR(__xludf.DUMMYFUNCTION("""COMPUTED_VALUE"""),"No")</f>
        <v>No</v>
      </c>
      <c r="AF1287" s="5" t="str">
        <f ca="1">IFERROR(__xludf.DUMMYFUNCTION("""COMPUTED_VALUE"""),"No")</f>
        <v>No</v>
      </c>
      <c r="AG1287" s="5"/>
      <c r="AH1287" s="5"/>
      <c r="AI1287" s="5" t="str">
        <f ca="1">IFERROR(__xludf.DUMMYFUNCTION("""COMPUTED_VALUE"""),"No")</f>
        <v>No</v>
      </c>
      <c r="AJ1287" s="5" t="str">
        <f ca="1">IFERROR(__xludf.DUMMYFUNCTION("""COMPUTED_VALUE"""),"Yes")</f>
        <v>Yes</v>
      </c>
    </row>
    <row r="1288" spans="1:36" ht="13">
      <c r="A1288" s="5" t="str">
        <f ca="1">IFERROR(__xludf.DUMMYFUNCTION("""COMPUTED_VALUE"""),"20090501WISHS")</f>
        <v>20090501WISHS</v>
      </c>
      <c r="B1288" s="5">
        <f ca="1">IFERROR(__xludf.DUMMYFUNCTION("""COMPUTED_VALUE"""),5)</f>
        <v>5</v>
      </c>
      <c r="C1288" s="5">
        <f ca="1">IFERROR(__xludf.DUMMYFUNCTION("""COMPUTED_VALUE"""),1)</f>
        <v>1</v>
      </c>
      <c r="D1288" s="5">
        <f ca="1">IFERROR(__xludf.DUMMYFUNCTION("""COMPUTED_VALUE"""),2009)</f>
        <v>2009</v>
      </c>
      <c r="E1288" s="8">
        <f ca="1">IFERROR(__xludf.DUMMYFUNCTION("""COMPUTED_VALUE"""),39934)</f>
        <v>39934</v>
      </c>
      <c r="F1288" s="5" t="str">
        <f ca="1">IFERROR(__xludf.DUMMYFUNCTION("""COMPUTED_VALUE"""),"Sheboygan High School")</f>
        <v>Sheboygan High School</v>
      </c>
      <c r="G1288" s="5">
        <f ca="1">IFERROR(__xludf.DUMMYFUNCTION("""COMPUTED_VALUE"""),0)</f>
        <v>0</v>
      </c>
      <c r="H1288" s="5">
        <f ca="1">IFERROR(__xludf.DUMMYFUNCTION("""COMPUTED_VALUE"""),0)</f>
        <v>0</v>
      </c>
      <c r="I1288" s="5">
        <f ca="1">IFERROR(__xludf.DUMMYFUNCTION("""COMPUTED_VALUE"""),0)</f>
        <v>0</v>
      </c>
      <c r="J1288" s="5">
        <f ca="1">IFERROR(__xludf.DUMMYFUNCTION("""COMPUTED_VALUE"""),1)</f>
        <v>1</v>
      </c>
      <c r="K1288" s="9" t="str">
        <f ca="1">IFERROR(__xludf.DUMMYFUNCTION("""COMPUTED_VALUE"""),"http://www.wsaw.com/home/headlines/44225502.html")</f>
        <v>http://www.wsaw.com/home/headlines/44225502.html</v>
      </c>
      <c r="L1288" s="5"/>
      <c r="M1288" s="5"/>
      <c r="N1288" s="5">
        <f ca="1">IFERROR(__xludf.DUMMYFUNCTION("""COMPUTED_VALUE"""),2)</f>
        <v>2</v>
      </c>
      <c r="O1288" s="5" t="str">
        <f ca="1">IFERROR(__xludf.DUMMYFUNCTION("""COMPUTED_VALUE"""),"Spring")</f>
        <v>Spring</v>
      </c>
      <c r="P1288" s="5" t="str">
        <f ca="1">IFERROR(__xludf.DUMMYFUNCTION("""COMPUTED_VALUE"""),"Sheboygan")</f>
        <v>Sheboygan</v>
      </c>
      <c r="Q1288" s="5" t="str">
        <f ca="1">IFERROR(__xludf.DUMMYFUNCTION("""COMPUTED_VALUE"""),"WI")</f>
        <v>WI</v>
      </c>
      <c r="R1288" s="5" t="str">
        <f ca="1">IFERROR(__xludf.DUMMYFUNCTION("""COMPUTED_VALUE"""),"High")</f>
        <v>High</v>
      </c>
      <c r="S1288" s="5" t="str">
        <f ca="1">IFERROR(__xludf.DUMMYFUNCTION("""COMPUTED_VALUE"""),"Parking Lot")</f>
        <v>Parking Lot</v>
      </c>
      <c r="T1288" s="5" t="str">
        <f ca="1">IFERROR(__xludf.DUMMYFUNCTION("""COMPUTED_VALUE"""),"Outside on School Property")</f>
        <v>Outside on School Property</v>
      </c>
      <c r="U1288" s="5" t="str">
        <f ca="1">IFERROR(__xludf.DUMMYFUNCTION("""COMPUTED_VALUE"""),"Yes")</f>
        <v>Yes</v>
      </c>
      <c r="V1288" s="5" t="str">
        <f ca="1">IFERROR(__xludf.DUMMYFUNCTION("""COMPUTED_VALUE"""),"After School")</f>
        <v>After School</v>
      </c>
      <c r="W1288" s="10">
        <f ca="1">IFERROR(__xludf.DUMMYFUNCTION("""COMPUTED_VALUE"""),0.652777777777777)</f>
        <v>0.65277777777777701</v>
      </c>
      <c r="X1288" s="5">
        <f ca="1">IFERROR(__xludf.DUMMYFUNCTION("""COMPUTED_VALUE"""),1)</f>
        <v>1</v>
      </c>
      <c r="Y1288" s="5" t="str">
        <f ca="1">IFERROR(__xludf.DUMMYFUNCTION("""COMPUTED_VALUE"""),"Suicide in school parking lot")</f>
        <v>Suicide in school parking lot</v>
      </c>
      <c r="Z1288" s="5" t="str">
        <f ca="1">IFERROR(__xludf.DUMMYFUNCTION("""COMPUTED_VALUE"""),"17 year old male shot himself in stomach 40 minutes after school ended. Shooting occurred in parking lot. Shooter died later at the hospital.")</f>
        <v>17 year old male shot himself in stomach 40 minutes after school ended. Shooting occurred in parking lot. Shooter died later at the hospital.</v>
      </c>
      <c r="AA1288" s="5" t="str">
        <f ca="1">IFERROR(__xludf.DUMMYFUNCTION("""COMPUTED_VALUE"""),"Suicide/Attempted")</f>
        <v>Suicide/Attempted</v>
      </c>
      <c r="AB1288" s="5" t="str">
        <f ca="1">IFERROR(__xludf.DUMMYFUNCTION("""COMPUTED_VALUE"""),"Victims Targeted")</f>
        <v>Victims Targeted</v>
      </c>
      <c r="AC1288" s="5" t="str">
        <f ca="1">IFERROR(__xludf.DUMMYFUNCTION("""COMPUTED_VALUE"""),"No")</f>
        <v>No</v>
      </c>
      <c r="AD1288" s="5" t="str">
        <f ca="1">IFERROR(__xludf.DUMMYFUNCTION("""COMPUTED_VALUE"""),"No")</f>
        <v>No</v>
      </c>
      <c r="AE1288" s="5" t="str">
        <f ca="1">IFERROR(__xludf.DUMMYFUNCTION("""COMPUTED_VALUE"""),"No")</f>
        <v>No</v>
      </c>
      <c r="AF1288" s="5" t="str">
        <f ca="1">IFERROR(__xludf.DUMMYFUNCTION("""COMPUTED_VALUE"""),"No")</f>
        <v>No</v>
      </c>
      <c r="AG1288" s="5"/>
      <c r="AH1288" s="5"/>
      <c r="AI1288" s="5" t="str">
        <f ca="1">IFERROR(__xludf.DUMMYFUNCTION("""COMPUTED_VALUE"""),"No")</f>
        <v>No</v>
      </c>
      <c r="AJ1288" s="5"/>
    </row>
    <row r="1289" spans="1:36" ht="13">
      <c r="A1289" s="5" t="str">
        <f ca="1">IFERROR(__xludf.DUMMYFUNCTION("""COMPUTED_VALUE"""),"20090413CALOL")</f>
        <v>20090413CALOL</v>
      </c>
      <c r="B1289" s="5">
        <f ca="1">IFERROR(__xludf.DUMMYFUNCTION("""COMPUTED_VALUE"""),4)</f>
        <v>4</v>
      </c>
      <c r="C1289" s="5">
        <f ca="1">IFERROR(__xludf.DUMMYFUNCTION("""COMPUTED_VALUE"""),13)</f>
        <v>13</v>
      </c>
      <c r="D1289" s="5">
        <f ca="1">IFERROR(__xludf.DUMMYFUNCTION("""COMPUTED_VALUE"""),2009)</f>
        <v>2009</v>
      </c>
      <c r="E1289" s="8">
        <f ca="1">IFERROR(__xludf.DUMMYFUNCTION("""COMPUTED_VALUE"""),39916)</f>
        <v>39916</v>
      </c>
      <c r="F1289" s="5" t="str">
        <f ca="1">IFERROR(__xludf.DUMMYFUNCTION("""COMPUTED_VALUE"""),"Locke High School")</f>
        <v>Locke High School</v>
      </c>
      <c r="G1289" s="5">
        <f ca="1">IFERROR(__xludf.DUMMYFUNCTION("""COMPUTED_VALUE"""),0)</f>
        <v>0</v>
      </c>
      <c r="H1289" s="5">
        <f ca="1">IFERROR(__xludf.DUMMYFUNCTION("""COMPUTED_VALUE"""),1)</f>
        <v>1</v>
      </c>
      <c r="I1289" s="5">
        <f ca="1">IFERROR(__xludf.DUMMYFUNCTION("""COMPUTED_VALUE"""),1)</f>
        <v>1</v>
      </c>
      <c r="J1289" s="5">
        <f ca="1">IFERROR(__xludf.DUMMYFUNCTION("""COMPUTED_VALUE"""),0)</f>
        <v>0</v>
      </c>
      <c r="K1289" s="9" t="str">
        <f ca="1">IFERROR(__xludf.DUMMYFUNCTION("""COMPUTED_VALUE"""),"http://www.latimes.com/la-me-locke01_ki20l0nc-photo.html")</f>
        <v>http://www.latimes.com/la-me-locke01_ki20l0nc-photo.html</v>
      </c>
      <c r="L1289" s="5"/>
      <c r="M1289" s="5"/>
      <c r="N1289" s="5">
        <f ca="1">IFERROR(__xludf.DUMMYFUNCTION("""COMPUTED_VALUE"""),2)</f>
        <v>2</v>
      </c>
      <c r="O1289" s="5" t="str">
        <f ca="1">IFERROR(__xludf.DUMMYFUNCTION("""COMPUTED_VALUE"""),"Spring")</f>
        <v>Spring</v>
      </c>
      <c r="P1289" s="5" t="str">
        <f ca="1">IFERROR(__xludf.DUMMYFUNCTION("""COMPUTED_VALUE"""),"Los Angeles")</f>
        <v>Los Angeles</v>
      </c>
      <c r="Q1289" s="5" t="str">
        <f ca="1">IFERROR(__xludf.DUMMYFUNCTION("""COMPUTED_VALUE"""),"CA")</f>
        <v>CA</v>
      </c>
      <c r="R1289" s="5" t="str">
        <f ca="1">IFERROR(__xludf.DUMMYFUNCTION("""COMPUTED_VALUE"""),"High")</f>
        <v>High</v>
      </c>
      <c r="S1289" s="5" t="str">
        <f ca="1">IFERROR(__xludf.DUMMYFUNCTION("""COMPUTED_VALUE"""),"Front of School")</f>
        <v>Front of School</v>
      </c>
      <c r="T1289" s="5" t="str">
        <f ca="1">IFERROR(__xludf.DUMMYFUNCTION("""COMPUTED_VALUE"""),"Outside on School Property")</f>
        <v>Outside on School Property</v>
      </c>
      <c r="U1289" s="5" t="str">
        <f ca="1">IFERROR(__xludf.DUMMYFUNCTION("""COMPUTED_VALUE"""),"Yes")</f>
        <v>Yes</v>
      </c>
      <c r="V1289" s="5" t="str">
        <f ca="1">IFERROR(__xludf.DUMMYFUNCTION("""COMPUTED_VALUE"""),"Before School")</f>
        <v>Before School</v>
      </c>
      <c r="W1289" s="5"/>
      <c r="X1289" s="5">
        <f ca="1">IFERROR(__xludf.DUMMYFUNCTION("""COMPUTED_VALUE"""),1)</f>
        <v>1</v>
      </c>
      <c r="Y1289" s="5" t="str">
        <f ca="1">IFERROR(__xludf.DUMMYFUNCTION("""COMPUTED_VALUE"""),"Gang related shooting in front of school")</f>
        <v>Gang related shooting in front of school</v>
      </c>
      <c r="Z1289" s="5" t="str">
        <f ca="1">IFERROR(__xludf.DUMMYFUNCTION("""COMPUTED_VALUE"""),"16 year old victim was shot in front of campus early Monday morning - suspect was described as Latino wearing gray hoodie.")</f>
        <v>16 year old victim was shot in front of campus early Monday morning - suspect was described as Latino wearing gray hoodie.</v>
      </c>
      <c r="AA1289" s="5" t="str">
        <f ca="1">IFERROR(__xludf.DUMMYFUNCTION("""COMPUTED_VALUE"""),"Escalation of Dispute")</f>
        <v>Escalation of Dispute</v>
      </c>
      <c r="AB1289" s="5" t="str">
        <f ca="1">IFERROR(__xludf.DUMMYFUNCTION("""COMPUTED_VALUE"""),"Victims Targeted")</f>
        <v>Victims Targeted</v>
      </c>
      <c r="AC1289" s="5"/>
      <c r="AD1289" s="5" t="str">
        <f ca="1">IFERROR(__xludf.DUMMYFUNCTION("""COMPUTED_VALUE"""),"No")</f>
        <v>No</v>
      </c>
      <c r="AE1289" s="5" t="str">
        <f ca="1">IFERROR(__xludf.DUMMYFUNCTION("""COMPUTED_VALUE"""),"No")</f>
        <v>No</v>
      </c>
      <c r="AF1289" s="5" t="str">
        <f ca="1">IFERROR(__xludf.DUMMYFUNCTION("""COMPUTED_VALUE"""),"No")</f>
        <v>No</v>
      </c>
      <c r="AG1289" s="5"/>
      <c r="AH1289" s="5"/>
      <c r="AI1289" s="5" t="str">
        <f ca="1">IFERROR(__xludf.DUMMYFUNCTION("""COMPUTED_VALUE"""),"Yes")</f>
        <v>Yes</v>
      </c>
      <c r="AJ1289" s="5"/>
    </row>
    <row r="1290" spans="1:36" ht="13">
      <c r="A1290" s="5" t="str">
        <f ca="1">IFERROR(__xludf.DUMMYFUNCTION("""COMPUTED_VALUE"""),"20090311TXCYH")</f>
        <v>20090311TXCYH</v>
      </c>
      <c r="B1290" s="5">
        <f ca="1">IFERROR(__xludf.DUMMYFUNCTION("""COMPUTED_VALUE"""),3)</f>
        <v>3</v>
      </c>
      <c r="C1290" s="5">
        <f ca="1">IFERROR(__xludf.DUMMYFUNCTION("""COMPUTED_VALUE"""),11)</f>
        <v>11</v>
      </c>
      <c r="D1290" s="5">
        <f ca="1">IFERROR(__xludf.DUMMYFUNCTION("""COMPUTED_VALUE"""),2009)</f>
        <v>2009</v>
      </c>
      <c r="E1290" s="8">
        <f ca="1">IFERROR(__xludf.DUMMYFUNCTION("""COMPUTED_VALUE"""),39883)</f>
        <v>39883</v>
      </c>
      <c r="F1290" s="5" t="str">
        <f ca="1">IFERROR(__xludf.DUMMYFUNCTION("""COMPUTED_VALUE"""),"Cypress Ridge High School")</f>
        <v>Cypress Ridge High School</v>
      </c>
      <c r="G1290" s="5">
        <f ca="1">IFERROR(__xludf.DUMMYFUNCTION("""COMPUTED_VALUE"""),0)</f>
        <v>0</v>
      </c>
      <c r="H1290" s="5">
        <f ca="1">IFERROR(__xludf.DUMMYFUNCTION("""COMPUTED_VALUE"""),0)</f>
        <v>0</v>
      </c>
      <c r="I1290" s="5">
        <f ca="1">IFERROR(__xludf.DUMMYFUNCTION("""COMPUTED_VALUE"""),0)</f>
        <v>0</v>
      </c>
      <c r="J1290" s="5">
        <f ca="1">IFERROR(__xludf.DUMMYFUNCTION("""COMPUTED_VALUE"""),0)</f>
        <v>0</v>
      </c>
      <c r="K1290" s="9" t="str">
        <f ca="1">IFERROR(__xludf.DUMMYFUNCTION("""COMPUTED_VALUE"""),"https://abc13.com/archive/6704811/")</f>
        <v>https://abc13.com/archive/6704811/</v>
      </c>
      <c r="L1290" s="5"/>
      <c r="M1290" s="5"/>
      <c r="N1290" s="5">
        <f ca="1">IFERROR(__xludf.DUMMYFUNCTION("""COMPUTED_VALUE"""),2)</f>
        <v>2</v>
      </c>
      <c r="O1290" s="5" t="str">
        <f ca="1">IFERROR(__xludf.DUMMYFUNCTION("""COMPUTED_VALUE"""),"Spring")</f>
        <v>Spring</v>
      </c>
      <c r="P1290" s="5" t="str">
        <f ca="1">IFERROR(__xludf.DUMMYFUNCTION("""COMPUTED_VALUE"""),"Houston")</f>
        <v>Houston</v>
      </c>
      <c r="Q1290" s="5" t="str">
        <f ca="1">IFERROR(__xludf.DUMMYFUNCTION("""COMPUTED_VALUE"""),"TX")</f>
        <v>TX</v>
      </c>
      <c r="R1290" s="5" t="str">
        <f ca="1">IFERROR(__xludf.DUMMYFUNCTION("""COMPUTED_VALUE"""),"High")</f>
        <v>High</v>
      </c>
      <c r="S1290" s="5" t="str">
        <f ca="1">IFERROR(__xludf.DUMMYFUNCTION("""COMPUTED_VALUE"""),"Bathroom")</f>
        <v>Bathroom</v>
      </c>
      <c r="T1290" s="5" t="str">
        <f ca="1">IFERROR(__xludf.DUMMYFUNCTION("""COMPUTED_VALUE"""),"Inside School Building")</f>
        <v>Inside School Building</v>
      </c>
      <c r="U1290" s="5" t="str">
        <f ca="1">IFERROR(__xludf.DUMMYFUNCTION("""COMPUTED_VALUE"""),"Yes")</f>
        <v>Yes</v>
      </c>
      <c r="V1290" s="5" t="str">
        <f ca="1">IFERROR(__xludf.DUMMYFUNCTION("""COMPUTED_VALUE"""),"Before School")</f>
        <v>Before School</v>
      </c>
      <c r="W1290" s="5"/>
      <c r="X1290" s="5">
        <f ca="1">IFERROR(__xludf.DUMMYFUNCTION("""COMPUTED_VALUE"""),1)</f>
        <v>1</v>
      </c>
      <c r="Y1290" s="5" t="str">
        <f ca="1">IFERROR(__xludf.DUMMYFUNCTION("""COMPUTED_VALUE"""),"Accidental shooting in school bathroom")</f>
        <v>Accidental shooting in school bathroom</v>
      </c>
      <c r="Z1290" s="5" t="str">
        <f ca="1">IFERROR(__xludf.DUMMYFUNCTION("""COMPUTED_VALUE"""),"Two students were in boy's bathroom before school started when a small caliber handgun was fired but there were no injuries. Teens were arrested and charged.")</f>
        <v>Two students were in boy's bathroom before school started when a small caliber handgun was fired but there were no injuries. Teens were arrested and charged.</v>
      </c>
      <c r="AA1290" s="5" t="str">
        <f ca="1">IFERROR(__xludf.DUMMYFUNCTION("""COMPUTED_VALUE"""),"Accidental")</f>
        <v>Accidental</v>
      </c>
      <c r="AB1290" s="5" t="str">
        <f ca="1">IFERROR(__xludf.DUMMYFUNCTION("""COMPUTED_VALUE"""),"NA")</f>
        <v>NA</v>
      </c>
      <c r="AC1290" s="5" t="str">
        <f ca="1">IFERROR(__xludf.DUMMYFUNCTION("""COMPUTED_VALUE"""),"Yes")</f>
        <v>Yes</v>
      </c>
      <c r="AD1290" s="5" t="str">
        <f ca="1">IFERROR(__xludf.DUMMYFUNCTION("""COMPUTED_VALUE"""),"No")</f>
        <v>No</v>
      </c>
      <c r="AE1290" s="5" t="str">
        <f ca="1">IFERROR(__xludf.DUMMYFUNCTION("""COMPUTED_VALUE"""),"No")</f>
        <v>No</v>
      </c>
      <c r="AF1290" s="5" t="str">
        <f ca="1">IFERROR(__xludf.DUMMYFUNCTION("""COMPUTED_VALUE"""),"No")</f>
        <v>No</v>
      </c>
      <c r="AG1290" s="5" t="str">
        <f ca="1">IFERROR(__xludf.DUMMYFUNCTION("""COMPUTED_VALUE"""),"N/A")</f>
        <v>N/A</v>
      </c>
      <c r="AH1290" s="5" t="str">
        <f ca="1">IFERROR(__xludf.DUMMYFUNCTION("""COMPUTED_VALUE"""),"N/A")</f>
        <v>N/A</v>
      </c>
      <c r="AI1290" s="5" t="str">
        <f ca="1">IFERROR(__xludf.DUMMYFUNCTION("""COMPUTED_VALUE"""),"No")</f>
        <v>No</v>
      </c>
      <c r="AJ1290" s="5"/>
    </row>
    <row r="1291" spans="1:36" ht="13">
      <c r="A1291" s="5" t="str">
        <f ca="1">IFERROR(__xludf.DUMMYFUNCTION("""COMPUTED_VALUE"""),"20090310FLRIJ")</f>
        <v>20090310FLRIJ</v>
      </c>
      <c r="B1291" s="5">
        <f ca="1">IFERROR(__xludf.DUMMYFUNCTION("""COMPUTED_VALUE"""),3)</f>
        <v>3</v>
      </c>
      <c r="C1291" s="5">
        <f ca="1">IFERROR(__xludf.DUMMYFUNCTION("""COMPUTED_VALUE"""),10)</f>
        <v>10</v>
      </c>
      <c r="D1291" s="5">
        <f ca="1">IFERROR(__xludf.DUMMYFUNCTION("""COMPUTED_VALUE"""),2009)</f>
        <v>2009</v>
      </c>
      <c r="E1291" s="8">
        <f ca="1">IFERROR(__xludf.DUMMYFUNCTION("""COMPUTED_VALUE"""),39882)</f>
        <v>39882</v>
      </c>
      <c r="F1291" s="5" t="str">
        <f ca="1">IFERROR(__xludf.DUMMYFUNCTION("""COMPUTED_VALUE"""),"Ribault High School")</f>
        <v>Ribault High School</v>
      </c>
      <c r="G1291" s="5">
        <f ca="1">IFERROR(__xludf.DUMMYFUNCTION("""COMPUTED_VALUE"""),0)</f>
        <v>0</v>
      </c>
      <c r="H1291" s="5">
        <f ca="1">IFERROR(__xludf.DUMMYFUNCTION("""COMPUTED_VALUE"""),0)</f>
        <v>0</v>
      </c>
      <c r="I1291" s="5">
        <f ca="1">IFERROR(__xludf.DUMMYFUNCTION("""COMPUTED_VALUE"""),0)</f>
        <v>0</v>
      </c>
      <c r="J1291" s="5">
        <f ca="1">IFERROR(__xludf.DUMMYFUNCTION("""COMPUTED_VALUE"""),0)</f>
        <v>0</v>
      </c>
      <c r="K1291" s="9" t="str">
        <f ca="1">IFERROR(__xludf.DUMMYFUNCTION("""COMPUTED_VALUE"""),"http://www.jacksonville.com/news/metro/crime/2009-03-10/story/police_responding_to_shots_fired_at_ribault_high_school")</f>
        <v>http://www.jacksonville.com/news/metro/crime/2009-03-10/story/police_responding_to_shots_fired_at_ribault_high_school</v>
      </c>
      <c r="L1291" s="5"/>
      <c r="M1291" s="5"/>
      <c r="N1291" s="5">
        <f ca="1">IFERROR(__xludf.DUMMYFUNCTION("""COMPUTED_VALUE"""),2)</f>
        <v>2</v>
      </c>
      <c r="O1291" s="5" t="str">
        <f ca="1">IFERROR(__xludf.DUMMYFUNCTION("""COMPUTED_VALUE"""),"Spring")</f>
        <v>Spring</v>
      </c>
      <c r="P1291" s="5" t="str">
        <f ca="1">IFERROR(__xludf.DUMMYFUNCTION("""COMPUTED_VALUE"""),"Jacksonville")</f>
        <v>Jacksonville</v>
      </c>
      <c r="Q1291" s="5" t="str">
        <f ca="1">IFERROR(__xludf.DUMMYFUNCTION("""COMPUTED_VALUE"""),"FL")</f>
        <v>FL</v>
      </c>
      <c r="R1291" s="5" t="str">
        <f ca="1">IFERROR(__xludf.DUMMYFUNCTION("""COMPUTED_VALUE"""),"High")</f>
        <v>High</v>
      </c>
      <c r="S1291" s="5" t="str">
        <f ca="1">IFERROR(__xludf.DUMMYFUNCTION("""COMPUTED_VALUE"""),"Hallway")</f>
        <v>Hallway</v>
      </c>
      <c r="T1291" s="5" t="str">
        <f ca="1">IFERROR(__xludf.DUMMYFUNCTION("""COMPUTED_VALUE"""),"Inside School Building")</f>
        <v>Inside School Building</v>
      </c>
      <c r="U1291" s="5" t="str">
        <f ca="1">IFERROR(__xludf.DUMMYFUNCTION("""COMPUTED_VALUE"""),"Yes")</f>
        <v>Yes</v>
      </c>
      <c r="V1291" s="5" t="str">
        <f ca="1">IFERROR(__xludf.DUMMYFUNCTION("""COMPUTED_VALUE"""),"School Start")</f>
        <v>School Start</v>
      </c>
      <c r="W1291" s="10">
        <f ca="1">IFERROR(__xludf.DUMMYFUNCTION("""COMPUTED_VALUE"""),0.306944444444444)</f>
        <v>0.30694444444444402</v>
      </c>
      <c r="X1291" s="5">
        <f ca="1">IFERROR(__xludf.DUMMYFUNCTION("""COMPUTED_VALUE"""),1)</f>
        <v>1</v>
      </c>
      <c r="Y1291" s="5" t="str">
        <f ca="1">IFERROR(__xludf.DUMMYFUNCTION("""COMPUTED_VALUE"""),"Fight between two groups of students ongoing for weeks")</f>
        <v>Fight between two groups of students ongoing for weeks</v>
      </c>
      <c r="Z1291" s="5" t="str">
        <f ca="1">IFERROR(__xludf.DUMMYFUNCTION("""COMPUTED_VALUE"""),"Shots fired in the hallway from two different shooters during fight between a group of students that had an ongoing dispute for weeks. No injures. One handgun was found in a trashcan and another was found on a student searched.")</f>
        <v>Shots fired in the hallway from two different shooters during fight between a group of students that had an ongoing dispute for weeks. No injures. One handgun was found in a trashcan and another was found on a student searched.</v>
      </c>
      <c r="AA1291" s="5" t="str">
        <f ca="1">IFERROR(__xludf.DUMMYFUNCTION("""COMPUTED_VALUE"""),"Escalation of Dispute")</f>
        <v>Escalation of Dispute</v>
      </c>
      <c r="AB1291" s="5"/>
      <c r="AC1291" s="5"/>
      <c r="AD1291" s="5" t="str">
        <f ca="1">IFERROR(__xludf.DUMMYFUNCTION("""COMPUTED_VALUE"""),"No")</f>
        <v>No</v>
      </c>
      <c r="AE1291" s="5" t="str">
        <f ca="1">IFERROR(__xludf.DUMMYFUNCTION("""COMPUTED_VALUE"""),"No")</f>
        <v>No</v>
      </c>
      <c r="AF1291" s="5" t="str">
        <f ca="1">IFERROR(__xludf.DUMMYFUNCTION("""COMPUTED_VALUE"""),"No")</f>
        <v>No</v>
      </c>
      <c r="AG1291" s="5" t="str">
        <f ca="1">IFERROR(__xludf.DUMMYFUNCTION("""COMPUTED_VALUE"""),"No")</f>
        <v>No</v>
      </c>
      <c r="AH1291" s="5" t="str">
        <f ca="1">IFERROR(__xludf.DUMMYFUNCTION("""COMPUTED_VALUE"""),"No")</f>
        <v>No</v>
      </c>
      <c r="AI1291" s="5" t="str">
        <f ca="1">IFERROR(__xludf.DUMMYFUNCTION("""COMPUTED_VALUE"""),"No")</f>
        <v>No</v>
      </c>
      <c r="AJ1291" s="5"/>
    </row>
    <row r="1292" spans="1:36" ht="13">
      <c r="A1292" s="5" t="str">
        <f ca="1">IFERROR(__xludf.DUMMYFUNCTION("""COMPUTED_VALUE"""),"20090306NCWEF")</f>
        <v>20090306NCWEF</v>
      </c>
      <c r="B1292" s="5">
        <f ca="1">IFERROR(__xludf.DUMMYFUNCTION("""COMPUTED_VALUE"""),3)</f>
        <v>3</v>
      </c>
      <c r="C1292" s="5">
        <f ca="1">IFERROR(__xludf.DUMMYFUNCTION("""COMPUTED_VALUE"""),6)</f>
        <v>6</v>
      </c>
      <c r="D1292" s="5">
        <f ca="1">IFERROR(__xludf.DUMMYFUNCTION("""COMPUTED_VALUE"""),2009)</f>
        <v>2009</v>
      </c>
      <c r="E1292" s="8">
        <f ca="1">IFERROR(__xludf.DUMMYFUNCTION("""COMPUTED_VALUE"""),39878)</f>
        <v>39878</v>
      </c>
      <c r="F1292" s="5" t="str">
        <f ca="1">IFERROR(__xludf.DUMMYFUNCTION("""COMPUTED_VALUE"""),"Westover High School")</f>
        <v>Westover High School</v>
      </c>
      <c r="G1292" s="5">
        <f ca="1">IFERROR(__xludf.DUMMYFUNCTION("""COMPUTED_VALUE"""),0)</f>
        <v>0</v>
      </c>
      <c r="H1292" s="5">
        <f ca="1">IFERROR(__xludf.DUMMYFUNCTION("""COMPUTED_VALUE"""),1)</f>
        <v>1</v>
      </c>
      <c r="I1292" s="5">
        <f ca="1">IFERROR(__xludf.DUMMYFUNCTION("""COMPUTED_VALUE"""),1)</f>
        <v>1</v>
      </c>
      <c r="J1292" s="5">
        <f ca="1">IFERROR(__xludf.DUMMYFUNCTION("""COMPUTED_VALUE"""),0)</f>
        <v>0</v>
      </c>
      <c r="K1292" s="9" t="str">
        <f ca="1">IFERROR(__xludf.DUMMYFUNCTION("""COMPUTED_VALUE"""),"https://www.wral.com/news/local/story/4689449/")</f>
        <v>https://www.wral.com/news/local/story/4689449/</v>
      </c>
      <c r="L1292" s="5"/>
      <c r="M1292" s="5"/>
      <c r="N1292" s="5">
        <f ca="1">IFERROR(__xludf.DUMMYFUNCTION("""COMPUTED_VALUE"""),2)</f>
        <v>2</v>
      </c>
      <c r="O1292" s="5" t="str">
        <f ca="1">IFERROR(__xludf.DUMMYFUNCTION("""COMPUTED_VALUE"""),"Spring")</f>
        <v>Spring</v>
      </c>
      <c r="P1292" s="5" t="str">
        <f ca="1">IFERROR(__xludf.DUMMYFUNCTION("""COMPUTED_VALUE"""),"Fayetteville")</f>
        <v>Fayetteville</v>
      </c>
      <c r="Q1292" s="5" t="str">
        <f ca="1">IFERROR(__xludf.DUMMYFUNCTION("""COMPUTED_VALUE"""),"NC")</f>
        <v>NC</v>
      </c>
      <c r="R1292" s="5" t="str">
        <f ca="1">IFERROR(__xludf.DUMMYFUNCTION("""COMPUTED_VALUE"""),"High")</f>
        <v>High</v>
      </c>
      <c r="S1292" s="5" t="str">
        <f ca="1">IFERROR(__xludf.DUMMYFUNCTION("""COMPUTED_VALUE"""),"Parking Lot")</f>
        <v>Parking Lot</v>
      </c>
      <c r="T1292" s="5" t="str">
        <f ca="1">IFERROR(__xludf.DUMMYFUNCTION("""COMPUTED_VALUE"""),"Outside on School Property")</f>
        <v>Outside on School Property</v>
      </c>
      <c r="U1292" s="5" t="str">
        <f ca="1">IFERROR(__xludf.DUMMYFUNCTION("""COMPUTED_VALUE"""),"No")</f>
        <v>No</v>
      </c>
      <c r="V1292" s="5" t="str">
        <f ca="1">IFERROR(__xludf.DUMMYFUNCTION("""COMPUTED_VALUE"""),"School Event")</f>
        <v>School Event</v>
      </c>
      <c r="W1292" s="10">
        <f ca="1">IFERROR(__xludf.DUMMYFUNCTION("""COMPUTED_VALUE"""),0.916666666666666)</f>
        <v>0.91666666666666596</v>
      </c>
      <c r="X1292" s="5">
        <f ca="1">IFERROR(__xludf.DUMMYFUNCTION("""COMPUTED_VALUE"""),1)</f>
        <v>1</v>
      </c>
      <c r="Y1292" s="5" t="str">
        <f ca="1">IFERROR(__xludf.DUMMYFUNCTION("""COMPUTED_VALUE"""),"Fight erupted into shots fired outside school - victim shot in foot")</f>
        <v>Fight erupted into shots fired outside school - victim shot in foot</v>
      </c>
      <c r="Z1292" s="5" t="str">
        <f ca="1">IFERROR(__xludf.DUMMYFUNCTION("""COMPUTED_VALUE"""),"An argument occurred during a fashion show at high school - argument spilled into school parking lot. A shot was fired. 15 year old victim walking out of school was struck in foot - mixed reports as to whether shooter and victim knew each other.")</f>
        <v>An argument occurred during a fashion show at high school - argument spilled into school parking lot. A shot was fired. 15 year old victim walking out of school was struck in foot - mixed reports as to whether shooter and victim knew each other.</v>
      </c>
      <c r="AA1292" s="5" t="str">
        <f ca="1">IFERROR(__xludf.DUMMYFUNCTION("""COMPUTED_VALUE"""),"Escalation of Dispute")</f>
        <v>Escalation of Dispute</v>
      </c>
      <c r="AB1292" s="5" t="str">
        <f ca="1">IFERROR(__xludf.DUMMYFUNCTION("""COMPUTED_VALUE"""),"Random Shooting")</f>
        <v>Random Shooting</v>
      </c>
      <c r="AC1292" s="5"/>
      <c r="AD1292" s="5" t="str">
        <f ca="1">IFERROR(__xludf.DUMMYFUNCTION("""COMPUTED_VALUE"""),"No")</f>
        <v>No</v>
      </c>
      <c r="AE1292" s="5" t="str">
        <f ca="1">IFERROR(__xludf.DUMMYFUNCTION("""COMPUTED_VALUE"""),"No")</f>
        <v>No</v>
      </c>
      <c r="AF1292" s="5" t="str">
        <f ca="1">IFERROR(__xludf.DUMMYFUNCTION("""COMPUTED_VALUE"""),"No")</f>
        <v>No</v>
      </c>
      <c r="AG1292" s="5" t="str">
        <f ca="1">IFERROR(__xludf.DUMMYFUNCTION("""COMPUTED_VALUE"""),"No")</f>
        <v>No</v>
      </c>
      <c r="AH1292" s="5" t="str">
        <f ca="1">IFERROR(__xludf.DUMMYFUNCTION("""COMPUTED_VALUE"""),"No")</f>
        <v>No</v>
      </c>
      <c r="AI1292" s="5" t="str">
        <f ca="1">IFERROR(__xludf.DUMMYFUNCTION("""COMPUTED_VALUE"""),"No")</f>
        <v>No</v>
      </c>
      <c r="AJ1292" s="5"/>
    </row>
    <row r="1293" spans="1:36" ht="13">
      <c r="A1293" s="5" t="str">
        <f ca="1">IFERROR(__xludf.DUMMYFUNCTION("""COMPUTED_VALUE"""),"20090302SDROS")</f>
        <v>20090302SDROS</v>
      </c>
      <c r="B1293" s="5">
        <f ca="1">IFERROR(__xludf.DUMMYFUNCTION("""COMPUTED_VALUE"""),3)</f>
        <v>3</v>
      </c>
      <c r="C1293" s="5">
        <f ca="1">IFERROR(__xludf.DUMMYFUNCTION("""COMPUTED_VALUE"""),2)</f>
        <v>2</v>
      </c>
      <c r="D1293" s="5">
        <f ca="1">IFERROR(__xludf.DUMMYFUNCTION("""COMPUTED_VALUE"""),2009)</f>
        <v>2009</v>
      </c>
      <c r="E1293" s="8">
        <f ca="1">IFERROR(__xludf.DUMMYFUNCTION("""COMPUTED_VALUE"""),39874)</f>
        <v>39874</v>
      </c>
      <c r="F1293" s="5" t="str">
        <f ca="1">IFERROR(__xludf.DUMMYFUNCTION("""COMPUTED_VALUE"""),"Robert Frost Elementary School")</f>
        <v>Robert Frost Elementary School</v>
      </c>
      <c r="G1293" s="5">
        <f ca="1">IFERROR(__xludf.DUMMYFUNCTION("""COMPUTED_VALUE"""),0)</f>
        <v>0</v>
      </c>
      <c r="H1293" s="5">
        <f ca="1">IFERROR(__xludf.DUMMYFUNCTION("""COMPUTED_VALUE"""),0)</f>
        <v>0</v>
      </c>
      <c r="I1293" s="5">
        <f ca="1">IFERROR(__xludf.DUMMYFUNCTION("""COMPUTED_VALUE"""),0)</f>
        <v>0</v>
      </c>
      <c r="J1293" s="5">
        <f ca="1">IFERROR(__xludf.DUMMYFUNCTION("""COMPUTED_VALUE"""),0)</f>
        <v>0</v>
      </c>
      <c r="K1293" s="9" t="str">
        <f ca="1">IFERROR(__xludf.DUMMYFUNCTION("""COMPUTED_VALUE"""),"https://www.newspapers.com/image/243883968/?terms=robert%2Bfrost%2Belementary%2BSCHOOL")</f>
        <v>https://www.newspapers.com/image/243883968/?terms=robert%2Bfrost%2Belementary%2BSCHOOL</v>
      </c>
      <c r="L1293" s="5"/>
      <c r="M1293" s="5"/>
      <c r="N1293" s="5">
        <f ca="1">IFERROR(__xludf.DUMMYFUNCTION("""COMPUTED_VALUE"""),2)</f>
        <v>2</v>
      </c>
      <c r="O1293" s="5" t="str">
        <f ca="1">IFERROR(__xludf.DUMMYFUNCTION("""COMPUTED_VALUE"""),"Spring")</f>
        <v>Spring</v>
      </c>
      <c r="P1293" s="5" t="str">
        <f ca="1">IFERROR(__xludf.DUMMYFUNCTION("""COMPUTED_VALUE"""),"Sioux Falls")</f>
        <v>Sioux Falls</v>
      </c>
      <c r="Q1293" s="5" t="str">
        <f ca="1">IFERROR(__xludf.DUMMYFUNCTION("""COMPUTED_VALUE"""),"SD")</f>
        <v>SD</v>
      </c>
      <c r="R1293" s="5" t="str">
        <f ca="1">IFERROR(__xludf.DUMMYFUNCTION("""COMPUTED_VALUE"""),"Elementary")</f>
        <v>Elementary</v>
      </c>
      <c r="S1293" s="5" t="str">
        <f ca="1">IFERROR(__xludf.DUMMYFUNCTION("""COMPUTED_VALUE"""),"Beside Building")</f>
        <v>Beside Building</v>
      </c>
      <c r="T1293" s="5" t="str">
        <f ca="1">IFERROR(__xludf.DUMMYFUNCTION("""COMPUTED_VALUE"""),"Outside on School Property")</f>
        <v>Outside on School Property</v>
      </c>
      <c r="U1293" s="5" t="str">
        <f ca="1">IFERROR(__xludf.DUMMYFUNCTION("""COMPUTED_VALUE"""),"Yes")</f>
        <v>Yes</v>
      </c>
      <c r="V1293" s="5" t="str">
        <f ca="1">IFERROR(__xludf.DUMMYFUNCTION("""COMPUTED_VALUE"""),"Dismissal")</f>
        <v>Dismissal</v>
      </c>
      <c r="W1293" s="10">
        <f ca="1">IFERROR(__xludf.DUMMYFUNCTION("""COMPUTED_VALUE"""),0.618055555555555)</f>
        <v>0.61805555555555503</v>
      </c>
      <c r="X1293" s="5">
        <f ca="1">IFERROR(__xludf.DUMMYFUNCTION("""COMPUTED_VALUE"""),1)</f>
        <v>1</v>
      </c>
      <c r="Y1293" s="5" t="str">
        <f ca="1">IFERROR(__xludf.DUMMYFUNCTION("""COMPUTED_VALUE"""),"Shots fired during fight.")</f>
        <v>Shots fired during fight.</v>
      </c>
      <c r="Z1293" s="5" t="str">
        <f ca="1">IFERROR(__xludf.DUMMYFUNCTION("""COMPUTED_VALUE"""),"10 year old shooter pulled pellet gun from backpack and shot 8 year old during a school fight. Due to victim wearing jacket, pellet bounced off causing no injuries. Shooter was arrested and charged.")</f>
        <v>10 year old shooter pulled pellet gun from backpack and shot 8 year old during a school fight. Due to victim wearing jacket, pellet bounced off causing no injuries. Shooter was arrested and charged.</v>
      </c>
      <c r="AA1293" s="5" t="str">
        <f ca="1">IFERROR(__xludf.DUMMYFUNCTION("""COMPUTED_VALUE"""),"Escalation of Dispute")</f>
        <v>Escalation of Dispute</v>
      </c>
      <c r="AB1293" s="5" t="str">
        <f ca="1">IFERROR(__xludf.DUMMYFUNCTION("""COMPUTED_VALUE"""),"Victims Targeted")</f>
        <v>Victims Targeted</v>
      </c>
      <c r="AC1293" s="5" t="str">
        <f ca="1">IFERROR(__xludf.DUMMYFUNCTION("""COMPUTED_VALUE"""),"No")</f>
        <v>No</v>
      </c>
      <c r="AD1293" s="5" t="str">
        <f ca="1">IFERROR(__xludf.DUMMYFUNCTION("""COMPUTED_VALUE"""),"No")</f>
        <v>No</v>
      </c>
      <c r="AE1293" s="5" t="str">
        <f ca="1">IFERROR(__xludf.DUMMYFUNCTION("""COMPUTED_VALUE"""),"No")</f>
        <v>No</v>
      </c>
      <c r="AF1293" s="5" t="str">
        <f ca="1">IFERROR(__xludf.DUMMYFUNCTION("""COMPUTED_VALUE"""),"No")</f>
        <v>No</v>
      </c>
      <c r="AG1293" s="5"/>
      <c r="AH1293" s="5" t="str">
        <f ca="1">IFERROR(__xludf.DUMMYFUNCTION("""COMPUTED_VALUE"""),"No")</f>
        <v>No</v>
      </c>
      <c r="AI1293" s="5" t="str">
        <f ca="1">IFERROR(__xludf.DUMMYFUNCTION("""COMPUTED_VALUE"""),"No")</f>
        <v>No</v>
      </c>
      <c r="AJ1293" s="5"/>
    </row>
    <row r="1294" spans="1:36" ht="13">
      <c r="A1294" s="5" t="str">
        <f ca="1">IFERROR(__xludf.DUMMYFUNCTION("""COMPUTED_VALUE"""),"20090223CTBRN")</f>
        <v>20090223CTBRN</v>
      </c>
      <c r="B1294" s="5">
        <f ca="1">IFERROR(__xludf.DUMMYFUNCTION("""COMPUTED_VALUE"""),2)</f>
        <v>2</v>
      </c>
      <c r="C1294" s="5">
        <f ca="1">IFERROR(__xludf.DUMMYFUNCTION("""COMPUTED_VALUE"""),23)</f>
        <v>23</v>
      </c>
      <c r="D1294" s="5">
        <f ca="1">IFERROR(__xludf.DUMMYFUNCTION("""COMPUTED_VALUE"""),2009)</f>
        <v>2009</v>
      </c>
      <c r="E1294" s="8">
        <f ca="1">IFERROR(__xludf.DUMMYFUNCTION("""COMPUTED_VALUE"""),39867)</f>
        <v>39867</v>
      </c>
      <c r="F1294" s="5" t="str">
        <f ca="1">IFERROR(__xludf.DUMMYFUNCTION("""COMPUTED_VALUE"""),"Brien McMahon High School")</f>
        <v>Brien McMahon High School</v>
      </c>
      <c r="G1294" s="5">
        <f ca="1">IFERROR(__xludf.DUMMYFUNCTION("""COMPUTED_VALUE"""),0)</f>
        <v>0</v>
      </c>
      <c r="H1294" s="5">
        <f ca="1">IFERROR(__xludf.DUMMYFUNCTION("""COMPUTED_VALUE"""),0)</f>
        <v>0</v>
      </c>
      <c r="I1294" s="5">
        <f ca="1">IFERROR(__xludf.DUMMYFUNCTION("""COMPUTED_VALUE"""),0)</f>
        <v>0</v>
      </c>
      <c r="J1294" s="5">
        <f ca="1">IFERROR(__xludf.DUMMYFUNCTION("""COMPUTED_VALUE"""),0)</f>
        <v>0</v>
      </c>
      <c r="K1294" s="5" t="str">
        <f ca="1">IFERROR(__xludf.DUMMYFUNCTION("""COMPUTED_VALUE"""),"https://www.thehour.com/norwalk/article/High-school-shooting-triggers-new-safety-measures-8278203.php . http://connecticut.news12.com/story/34855847/boy-shot-outside-brien-mcmahon-high-school . https://www.thehour.com/norwalk/article/Norwalk-felon-facing-"&amp;"more-than-7-years-in-prison-8225012.php")</f>
        <v>https://www.thehour.com/norwalk/article/High-school-shooting-triggers-new-safety-measures-8278203.php . http://connecticut.news12.com/story/34855847/boy-shot-outside-brien-mcmahon-high-school . https://www.thehour.com/norwalk/article/Norwalk-felon-facing-more-than-7-years-in-prison-8225012.php</v>
      </c>
      <c r="L1294" s="5"/>
      <c r="M1294" s="5"/>
      <c r="N1294" s="5">
        <f ca="1">IFERROR(__xludf.DUMMYFUNCTION("""COMPUTED_VALUE"""),3)</f>
        <v>3</v>
      </c>
      <c r="O1294" s="5" t="str">
        <f ca="1">IFERROR(__xludf.DUMMYFUNCTION("""COMPUTED_VALUE"""),"Winter")</f>
        <v>Winter</v>
      </c>
      <c r="P1294" s="5" t="str">
        <f ca="1">IFERROR(__xludf.DUMMYFUNCTION("""COMPUTED_VALUE"""),"Norwalk")</f>
        <v>Norwalk</v>
      </c>
      <c r="Q1294" s="5" t="str">
        <f ca="1">IFERROR(__xludf.DUMMYFUNCTION("""COMPUTED_VALUE"""),"CT")</f>
        <v>CT</v>
      </c>
      <c r="R1294" s="5" t="str">
        <f ca="1">IFERROR(__xludf.DUMMYFUNCTION("""COMPUTED_VALUE"""),"High")</f>
        <v>High</v>
      </c>
      <c r="S1294" s="5" t="str">
        <f ca="1">IFERROR(__xludf.DUMMYFUNCTION("""COMPUTED_VALUE"""),"Parking Lot")</f>
        <v>Parking Lot</v>
      </c>
      <c r="T1294" s="5" t="str">
        <f ca="1">IFERROR(__xludf.DUMMYFUNCTION("""COMPUTED_VALUE"""),"Outside on School Property")</f>
        <v>Outside on School Property</v>
      </c>
      <c r="U1294" s="5" t="str">
        <f ca="1">IFERROR(__xludf.DUMMYFUNCTION("""COMPUTED_VALUE"""),"No")</f>
        <v>No</v>
      </c>
      <c r="V1294" s="5" t="str">
        <f ca="1">IFERROR(__xludf.DUMMYFUNCTION("""COMPUTED_VALUE"""),"Sport Event")</f>
        <v>Sport Event</v>
      </c>
      <c r="W1294" s="10">
        <f ca="1">IFERROR(__xludf.DUMMYFUNCTION("""COMPUTED_VALUE"""),0.854166666666666)</f>
        <v>0.85416666666666596</v>
      </c>
      <c r="X1294" s="5">
        <f ca="1">IFERROR(__xludf.DUMMYFUNCTION("""COMPUTED_VALUE"""),1)</f>
        <v>1</v>
      </c>
      <c r="Y1294" s="5" t="str">
        <f ca="1">IFERROR(__xludf.DUMMYFUNCTION("""COMPUTED_VALUE"""),"Gang-related shooting after basketball game")</f>
        <v>Gang-related shooting after basketball game</v>
      </c>
      <c r="Z1294" s="5" t="str">
        <f ca="1">IFERROR(__xludf.DUMMYFUNCTION("""COMPUTED_VALUE"""),"Victim and his cousin were in the parking lot after a basketball game when he was shot in the leg. The victim was uncooperative with the police and would not provide any information on the shooter. Police speculated it was either self-inflicted due to bei"&amp;"ng accidental or gang-related.")</f>
        <v>Victim and his cousin were in the parking lot after a basketball game when he was shot in the leg. The victim was uncooperative with the police and would not provide any information on the shooter. Police speculated it was either self-inflicted due to being accidental or gang-related.</v>
      </c>
      <c r="AA1294" s="5" t="str">
        <f ca="1">IFERROR(__xludf.DUMMYFUNCTION("""COMPUTED_VALUE"""),"Accidental")</f>
        <v>Accidental</v>
      </c>
      <c r="AB1294" s="5"/>
      <c r="AC1294" s="5"/>
      <c r="AD1294" s="5" t="str">
        <f ca="1">IFERROR(__xludf.DUMMYFUNCTION("""COMPUTED_VALUE"""),"No")</f>
        <v>No</v>
      </c>
      <c r="AE1294" s="5" t="str">
        <f ca="1">IFERROR(__xludf.DUMMYFUNCTION("""COMPUTED_VALUE"""),"No")</f>
        <v>No</v>
      </c>
      <c r="AF1294" s="5" t="str">
        <f ca="1">IFERROR(__xludf.DUMMYFUNCTION("""COMPUTED_VALUE"""),"No")</f>
        <v>No</v>
      </c>
      <c r="AG1294" s="5"/>
      <c r="AH1294" s="5"/>
      <c r="AI1294" s="5" t="str">
        <f ca="1">IFERROR(__xludf.DUMMYFUNCTION("""COMPUTED_VALUE"""),"Yes")</f>
        <v>Yes</v>
      </c>
      <c r="AJ1294" s="5"/>
    </row>
    <row r="1295" spans="1:36" ht="13">
      <c r="A1295" s="5" t="str">
        <f ca="1">IFERROR(__xludf.DUMMYFUNCTION("""COMPUTED_VALUE"""),"20090220CAJOH")</f>
        <v>20090220CAJOH</v>
      </c>
      <c r="B1295" s="5">
        <f ca="1">IFERROR(__xludf.DUMMYFUNCTION("""COMPUTED_VALUE"""),2)</f>
        <v>2</v>
      </c>
      <c r="C1295" s="5">
        <f ca="1">IFERROR(__xludf.DUMMYFUNCTION("""COMPUTED_VALUE"""),20)</f>
        <v>20</v>
      </c>
      <c r="D1295" s="5">
        <f ca="1">IFERROR(__xludf.DUMMYFUNCTION("""COMPUTED_VALUE"""),2009)</f>
        <v>2009</v>
      </c>
      <c r="E1295" s="8">
        <f ca="1">IFERROR(__xludf.DUMMYFUNCTION("""COMPUTED_VALUE"""),39864)</f>
        <v>39864</v>
      </c>
      <c r="F1295" s="5" t="str">
        <f ca="1">IFERROR(__xludf.DUMMYFUNCTION("""COMPUTED_VALUE"""),"John Muir Elementary School")</f>
        <v>John Muir Elementary School</v>
      </c>
      <c r="G1295" s="5">
        <f ca="1">IFERROR(__xludf.DUMMYFUNCTION("""COMPUTED_VALUE"""),0)</f>
        <v>0</v>
      </c>
      <c r="H1295" s="5">
        <f ca="1">IFERROR(__xludf.DUMMYFUNCTION("""COMPUTED_VALUE"""),0)</f>
        <v>0</v>
      </c>
      <c r="I1295" s="5">
        <f ca="1">IFERROR(__xludf.DUMMYFUNCTION("""COMPUTED_VALUE"""),0)</f>
        <v>0</v>
      </c>
      <c r="J1295" s="5">
        <f ca="1">IFERROR(__xludf.DUMMYFUNCTION("""COMPUTED_VALUE"""),0)</f>
        <v>0</v>
      </c>
      <c r="K1295" s="9" t="str">
        <f ca="1">IFERROR(__xludf.DUMMYFUNCTION("""COMPUTED_VALUE"""),"https://www.columbine-angels.com/School_Violence_2008-2009.htm")</f>
        <v>https://www.columbine-angels.com/School_Violence_2008-2009.htm</v>
      </c>
      <c r="L1295" s="5"/>
      <c r="M1295" s="5"/>
      <c r="N1295" s="5">
        <f ca="1">IFERROR(__xludf.DUMMYFUNCTION("""COMPUTED_VALUE"""),1)</f>
        <v>1</v>
      </c>
      <c r="O1295" s="5" t="str">
        <f ca="1">IFERROR(__xludf.DUMMYFUNCTION("""COMPUTED_VALUE"""),"Winter")</f>
        <v>Winter</v>
      </c>
      <c r="P1295" s="5" t="str">
        <f ca="1">IFERROR(__xludf.DUMMYFUNCTION("""COMPUTED_VALUE"""),"Hayward")</f>
        <v>Hayward</v>
      </c>
      <c r="Q1295" s="5" t="str">
        <f ca="1">IFERROR(__xludf.DUMMYFUNCTION("""COMPUTED_VALUE"""),"CA")</f>
        <v>CA</v>
      </c>
      <c r="R1295" s="5" t="str">
        <f ca="1">IFERROR(__xludf.DUMMYFUNCTION("""COMPUTED_VALUE"""),"Elementary")</f>
        <v>Elementary</v>
      </c>
      <c r="S1295" s="5" t="str">
        <f ca="1">IFERROR(__xludf.DUMMYFUNCTION("""COMPUTED_VALUE"""),"Beside Building")</f>
        <v>Beside Building</v>
      </c>
      <c r="T1295" s="5" t="str">
        <f ca="1">IFERROR(__xludf.DUMMYFUNCTION("""COMPUTED_VALUE"""),"Outside on School Property")</f>
        <v>Outside on School Property</v>
      </c>
      <c r="U1295" s="5" t="str">
        <f ca="1">IFERROR(__xludf.DUMMYFUNCTION("""COMPUTED_VALUE"""),"Yes")</f>
        <v>Yes</v>
      </c>
      <c r="V1295" s="5" t="str">
        <f ca="1">IFERROR(__xludf.DUMMYFUNCTION("""COMPUTED_VALUE"""),"Lunch")</f>
        <v>Lunch</v>
      </c>
      <c r="W1295" s="10">
        <f ca="1">IFERROR(__xludf.DUMMYFUNCTION("""COMPUTED_VALUE"""),0.5)</f>
        <v>0.5</v>
      </c>
      <c r="X1295" s="5">
        <f ca="1">IFERROR(__xludf.DUMMYFUNCTION("""COMPUTED_VALUE"""),1)</f>
        <v>1</v>
      </c>
      <c r="Y1295" s="5" t="str">
        <f ca="1">IFERROR(__xludf.DUMMYFUNCTION("""COMPUTED_VALUE"""),"Shooter fired at adult male walking with child then fled")</f>
        <v>Shooter fired at adult male walking with child then fled</v>
      </c>
      <c r="Z1295" s="5" t="str">
        <f ca="1">IFERROR(__xludf.DUMMYFUNCTION("""COMPUTED_VALUE"""),"Unknown shooter fired 4 shots at 29YOM and 5YOM. Shots missed but did break windows of school. Shooter fled in vehicle.")</f>
        <v>Unknown shooter fired 4 shots at 29YOM and 5YOM. Shots missed but did break windows of school. Shooter fled in vehicle.</v>
      </c>
      <c r="AA1295" s="5" t="str">
        <f ca="1">IFERROR(__xludf.DUMMYFUNCTION("""COMPUTED_VALUE"""),"Drive-by Shooting")</f>
        <v>Drive-by Shooting</v>
      </c>
      <c r="AB1295" s="5" t="str">
        <f ca="1">IFERROR(__xludf.DUMMYFUNCTION("""COMPUTED_VALUE"""),"Victims Targeted")</f>
        <v>Victims Targeted</v>
      </c>
      <c r="AC1295" s="5" t="str">
        <f ca="1">IFERROR(__xludf.DUMMYFUNCTION("""COMPUTED_VALUE"""),"No")</f>
        <v>No</v>
      </c>
      <c r="AD1295" s="5" t="str">
        <f ca="1">IFERROR(__xludf.DUMMYFUNCTION("""COMPUTED_VALUE"""),"No")</f>
        <v>No</v>
      </c>
      <c r="AE1295" s="5" t="str">
        <f ca="1">IFERROR(__xludf.DUMMYFUNCTION("""COMPUTED_VALUE"""),"No")</f>
        <v>No</v>
      </c>
      <c r="AF1295" s="5" t="str">
        <f ca="1">IFERROR(__xludf.DUMMYFUNCTION("""COMPUTED_VALUE"""),"No")</f>
        <v>No</v>
      </c>
      <c r="AG1295" s="5" t="str">
        <f ca="1">IFERROR(__xludf.DUMMYFUNCTION("""COMPUTED_VALUE"""),"No")</f>
        <v>No</v>
      </c>
      <c r="AH1295" s="5" t="str">
        <f ca="1">IFERROR(__xludf.DUMMYFUNCTION("""COMPUTED_VALUE"""),"No")</f>
        <v>No</v>
      </c>
      <c r="AI1295" s="5"/>
      <c r="AJ1295" s="5"/>
    </row>
    <row r="1296" spans="1:36" ht="13">
      <c r="A1296" s="5" t="str">
        <f ca="1">IFERROR(__xludf.DUMMYFUNCTION("""COMPUTED_VALUE"""),"20090217MICED")</f>
        <v>20090217MICED</v>
      </c>
      <c r="B1296" s="5">
        <f ca="1">IFERROR(__xludf.DUMMYFUNCTION("""COMPUTED_VALUE"""),2)</f>
        <v>2</v>
      </c>
      <c r="C1296" s="5">
        <f ca="1">IFERROR(__xludf.DUMMYFUNCTION("""COMPUTED_VALUE"""),17)</f>
        <v>17</v>
      </c>
      <c r="D1296" s="5">
        <f ca="1">IFERROR(__xludf.DUMMYFUNCTION("""COMPUTED_VALUE"""),2009)</f>
        <v>2009</v>
      </c>
      <c r="E1296" s="8">
        <f ca="1">IFERROR(__xludf.DUMMYFUNCTION("""COMPUTED_VALUE"""),39861)</f>
        <v>39861</v>
      </c>
      <c r="F1296" s="5" t="str">
        <f ca="1">IFERROR(__xludf.DUMMYFUNCTION("""COMPUTED_VALUE"""),"Central High School")</f>
        <v>Central High School</v>
      </c>
      <c r="G1296" s="5">
        <f ca="1">IFERROR(__xludf.DUMMYFUNCTION("""COMPUTED_VALUE"""),0)</f>
        <v>0</v>
      </c>
      <c r="H1296" s="5">
        <f ca="1">IFERROR(__xludf.DUMMYFUNCTION("""COMPUTED_VALUE"""),1)</f>
        <v>1</v>
      </c>
      <c r="I1296" s="5">
        <f ca="1">IFERROR(__xludf.DUMMYFUNCTION("""COMPUTED_VALUE"""),1)</f>
        <v>1</v>
      </c>
      <c r="J1296" s="5">
        <f ca="1">IFERROR(__xludf.DUMMYFUNCTION("""COMPUTED_VALUE"""),0)</f>
        <v>0</v>
      </c>
      <c r="K1296" s="9" t="str">
        <f ca="1">IFERROR(__xludf.DUMMYFUNCTION("""COMPUTED_VALUE"""),"https://www.newspapers.com/image/362815804/?terms=central%2Bhigh%2Bschool%2Bshooting%2Bdetroit")</f>
        <v>https://www.newspapers.com/image/362815804/?terms=central%2Bhigh%2Bschool%2Bshooting%2Bdetroit</v>
      </c>
      <c r="L1296" s="5"/>
      <c r="M1296" s="5"/>
      <c r="N1296" s="5">
        <f ca="1">IFERROR(__xludf.DUMMYFUNCTION("""COMPUTED_VALUE"""),2)</f>
        <v>2</v>
      </c>
      <c r="O1296" s="5" t="str">
        <f ca="1">IFERROR(__xludf.DUMMYFUNCTION("""COMPUTED_VALUE"""),"Winter")</f>
        <v>Winter</v>
      </c>
      <c r="P1296" s="5" t="str">
        <f ca="1">IFERROR(__xludf.DUMMYFUNCTION("""COMPUTED_VALUE"""),"Detroit")</f>
        <v>Detroit</v>
      </c>
      <c r="Q1296" s="5" t="str">
        <f ca="1">IFERROR(__xludf.DUMMYFUNCTION("""COMPUTED_VALUE"""),"MI")</f>
        <v>MI</v>
      </c>
      <c r="R1296" s="5" t="str">
        <f ca="1">IFERROR(__xludf.DUMMYFUNCTION("""COMPUTED_VALUE"""),"High")</f>
        <v>High</v>
      </c>
      <c r="S1296" s="5" t="str">
        <f ca="1">IFERROR(__xludf.DUMMYFUNCTION("""COMPUTED_VALUE"""),"Hallway")</f>
        <v>Hallway</v>
      </c>
      <c r="T1296" s="5" t="str">
        <f ca="1">IFERROR(__xludf.DUMMYFUNCTION("""COMPUTED_VALUE"""),"Inside School Building")</f>
        <v>Inside School Building</v>
      </c>
      <c r="U1296" s="5" t="str">
        <f ca="1">IFERROR(__xludf.DUMMYFUNCTION("""COMPUTED_VALUE"""),"Yes")</f>
        <v>Yes</v>
      </c>
      <c r="V1296" s="5" t="str">
        <f ca="1">IFERROR(__xludf.DUMMYFUNCTION("""COMPUTED_VALUE"""),"Afternoon Classes")</f>
        <v>Afternoon Classes</v>
      </c>
      <c r="W1296" s="10">
        <f ca="1">IFERROR(__xludf.DUMMYFUNCTION("""COMPUTED_VALUE"""),0.597222222222222)</f>
        <v>0.59722222222222199</v>
      </c>
      <c r="X1296" s="5">
        <f ca="1">IFERROR(__xludf.DUMMYFUNCTION("""COMPUTED_VALUE"""),2)</f>
        <v>2</v>
      </c>
      <c r="Y1296" s="5" t="str">
        <f ca="1">IFERROR(__xludf.DUMMYFUNCTION("""COMPUTED_VALUE"""),"Shots fired during argument in school hallway")</f>
        <v>Shots fired during argument in school hallway</v>
      </c>
      <c r="Z1296" s="5" t="str">
        <f ca="1">IFERROR(__xludf.DUMMYFUNCTION("""COMPUTED_VALUE"""),"17 year old male non-student got into argument with 17 year old student on the second floor of the school. The non student calls his 9 year old brother who later arrived at the school and confronted the 17 year old student. Both the 19 year old brother an"&amp;"d the 17 year old student pull guns. The 17 year old student shoots the 19 year old and 19 year old accidentally shoots an 18 year old bystander.")</f>
        <v>17 year old male non-student got into argument with 17 year old student on the second floor of the school. The non student calls his 9 year old brother who later arrived at the school and confronted the 17 year old student. Both the 19 year old brother and the 17 year old student pull guns. The 17 year old student shoots the 19 year old and 19 year old accidentally shoots an 18 year old bystander.</v>
      </c>
      <c r="AA1296" s="5" t="str">
        <f ca="1">IFERROR(__xludf.DUMMYFUNCTION("""COMPUTED_VALUE"""),"Escalation of Dispute")</f>
        <v>Escalation of Dispute</v>
      </c>
      <c r="AB1296" s="5" t="str">
        <f ca="1">IFERROR(__xludf.DUMMYFUNCTION("""COMPUTED_VALUE"""),"Both")</f>
        <v>Both</v>
      </c>
      <c r="AC1296" s="5"/>
      <c r="AD1296" s="5" t="str">
        <f ca="1">IFERROR(__xludf.DUMMYFUNCTION("""COMPUTED_VALUE"""),"No")</f>
        <v>No</v>
      </c>
      <c r="AE1296" s="5" t="str">
        <f ca="1">IFERROR(__xludf.DUMMYFUNCTION("""COMPUTED_VALUE"""),"No")</f>
        <v>No</v>
      </c>
      <c r="AF1296" s="5" t="str">
        <f ca="1">IFERROR(__xludf.DUMMYFUNCTION("""COMPUTED_VALUE"""),"No")</f>
        <v>No</v>
      </c>
      <c r="AG1296" s="5" t="str">
        <f ca="1">IFERROR(__xludf.DUMMYFUNCTION("""COMPUTED_VALUE"""),"No")</f>
        <v>No</v>
      </c>
      <c r="AH1296" s="5" t="str">
        <f ca="1">IFERROR(__xludf.DUMMYFUNCTION("""COMPUTED_VALUE"""),"No")</f>
        <v>No</v>
      </c>
      <c r="AI1296" s="5" t="str">
        <f ca="1">IFERROR(__xludf.DUMMYFUNCTION("""COMPUTED_VALUE"""),"No")</f>
        <v>No</v>
      </c>
      <c r="AJ1296" s="5"/>
    </row>
    <row r="1297" spans="1:36" ht="13">
      <c r="A1297" s="5" t="str">
        <f ca="1">IFERROR(__xludf.DUMMYFUNCTION("""COMPUTED_VALUE"""),"20090211NCSCZ")</f>
        <v>20090211NCSCZ</v>
      </c>
      <c r="B1297" s="5">
        <f ca="1">IFERROR(__xludf.DUMMYFUNCTION("""COMPUTED_VALUE"""),2)</f>
        <v>2</v>
      </c>
      <c r="C1297" s="5">
        <f ca="1">IFERROR(__xludf.DUMMYFUNCTION("""COMPUTED_VALUE"""),11)</f>
        <v>11</v>
      </c>
      <c r="D1297" s="5">
        <f ca="1">IFERROR(__xludf.DUMMYFUNCTION("""COMPUTED_VALUE"""),2009)</f>
        <v>2009</v>
      </c>
      <c r="E1297" s="8">
        <f ca="1">IFERROR(__xludf.DUMMYFUNCTION("""COMPUTED_VALUE"""),39855)</f>
        <v>39855</v>
      </c>
      <c r="F1297" s="5" t="str">
        <f ca="1">IFERROR(__xludf.DUMMYFUNCTION("""COMPUTED_VALUE"""),"School bus")</f>
        <v>School bus</v>
      </c>
      <c r="G1297" s="5">
        <f ca="1">IFERROR(__xludf.DUMMYFUNCTION("""COMPUTED_VALUE"""),0)</f>
        <v>0</v>
      </c>
      <c r="H1297" s="5">
        <f ca="1">IFERROR(__xludf.DUMMYFUNCTION("""COMPUTED_VALUE"""),1)</f>
        <v>1</v>
      </c>
      <c r="I1297" s="5">
        <f ca="1">IFERROR(__xludf.DUMMYFUNCTION("""COMPUTED_VALUE"""),1)</f>
        <v>1</v>
      </c>
      <c r="J1297" s="5">
        <f ca="1">IFERROR(__xludf.DUMMYFUNCTION("""COMPUTED_VALUE"""),0)</f>
        <v>0</v>
      </c>
      <c r="K1297" s="5" t="str">
        <f ca="1">IFERROR(__xludf.DUMMYFUNCTION("""COMPUTED_VALUE"""),"https://www.wral.com/news/local/story/4514436/ . https://www.newspapers.com/image/291431895/?terms=ZEBULON%2BSCHOOL%2BBUS%2BSHOOTING")</f>
        <v>https://www.wral.com/news/local/story/4514436/ . https://www.newspapers.com/image/291431895/?terms=ZEBULON%2BSCHOOL%2BBUS%2BSHOOTING</v>
      </c>
      <c r="L1297" s="5"/>
      <c r="M1297" s="5"/>
      <c r="N1297" s="5">
        <f ca="1">IFERROR(__xludf.DUMMYFUNCTION("""COMPUTED_VALUE"""),3)</f>
        <v>3</v>
      </c>
      <c r="O1297" s="5" t="str">
        <f ca="1">IFERROR(__xludf.DUMMYFUNCTION("""COMPUTED_VALUE"""),"Winter")</f>
        <v>Winter</v>
      </c>
      <c r="P1297" s="5" t="str">
        <f ca="1">IFERROR(__xludf.DUMMYFUNCTION("""COMPUTED_VALUE"""),"Zebulon")</f>
        <v>Zebulon</v>
      </c>
      <c r="Q1297" s="5" t="str">
        <f ca="1">IFERROR(__xludf.DUMMYFUNCTION("""COMPUTED_VALUE"""),"NC")</f>
        <v>NC</v>
      </c>
      <c r="R1297" s="5" t="str">
        <f ca="1">IFERROR(__xludf.DUMMYFUNCTION("""COMPUTED_VALUE"""),"Other")</f>
        <v>Other</v>
      </c>
      <c r="S1297" s="5" t="str">
        <f ca="1">IFERROR(__xludf.DUMMYFUNCTION("""COMPUTED_VALUE"""),"School Bus")</f>
        <v>School Bus</v>
      </c>
      <c r="T1297" s="5" t="str">
        <f ca="1">IFERROR(__xludf.DUMMYFUNCTION("""COMPUTED_VALUE"""),"School Bus")</f>
        <v>School Bus</v>
      </c>
      <c r="U1297" s="5" t="str">
        <f ca="1">IFERROR(__xludf.DUMMYFUNCTION("""COMPUTED_VALUE"""),"Yes")</f>
        <v>Yes</v>
      </c>
      <c r="V1297" s="5" t="str">
        <f ca="1">IFERROR(__xludf.DUMMYFUNCTION("""COMPUTED_VALUE"""),"Before School")</f>
        <v>Before School</v>
      </c>
      <c r="W1297" s="5"/>
      <c r="X1297" s="5">
        <f ca="1">IFERROR(__xludf.DUMMYFUNCTION("""COMPUTED_VALUE"""),1)</f>
        <v>1</v>
      </c>
      <c r="Y1297" s="5" t="str">
        <f ca="1">IFERROR(__xludf.DUMMYFUNCTION("""COMPUTED_VALUE"""),"Showing gun to friend on school bus")</f>
        <v>Showing gun to friend on school bus</v>
      </c>
      <c r="Z1297" s="5" t="str">
        <f ca="1">IFERROR(__xludf.DUMMYFUNCTION("""COMPUTED_VALUE"""),"Shooter was on school bus showing off .22 caliber gun to a friend when the gun went off striking another bus rider in the leg. Shooter's father was arrested and charged with failure to keep a firearm away from a minor.")</f>
        <v>Shooter was on school bus showing off .22 caliber gun to a friend when the gun went off striking another bus rider in the leg. Shooter's father was arrested and charged with failure to keep a firearm away from a minor.</v>
      </c>
      <c r="AA1297" s="5" t="str">
        <f ca="1">IFERROR(__xludf.DUMMYFUNCTION("""COMPUTED_VALUE"""),"Accidental")</f>
        <v>Accidental</v>
      </c>
      <c r="AB1297" s="5" t="str">
        <f ca="1">IFERROR(__xludf.DUMMYFUNCTION("""COMPUTED_VALUE"""),"Random Shooting")</f>
        <v>Random Shooting</v>
      </c>
      <c r="AC1297" s="5" t="str">
        <f ca="1">IFERROR(__xludf.DUMMYFUNCTION("""COMPUTED_VALUE"""),"No")</f>
        <v>No</v>
      </c>
      <c r="AD1297" s="5" t="str">
        <f ca="1">IFERROR(__xludf.DUMMYFUNCTION("""COMPUTED_VALUE"""),"No")</f>
        <v>No</v>
      </c>
      <c r="AE1297" s="5" t="str">
        <f ca="1">IFERROR(__xludf.DUMMYFUNCTION("""COMPUTED_VALUE"""),"No")</f>
        <v>No</v>
      </c>
      <c r="AF1297" s="5" t="str">
        <f ca="1">IFERROR(__xludf.DUMMYFUNCTION("""COMPUTED_VALUE"""),"No")</f>
        <v>No</v>
      </c>
      <c r="AG1297" s="5" t="str">
        <f ca="1">IFERROR(__xludf.DUMMYFUNCTION("""COMPUTED_VALUE"""),"No")</f>
        <v>No</v>
      </c>
      <c r="AH1297" s="5" t="str">
        <f ca="1">IFERROR(__xludf.DUMMYFUNCTION("""COMPUTED_VALUE"""),"No")</f>
        <v>No</v>
      </c>
      <c r="AI1297" s="5" t="str">
        <f ca="1">IFERROR(__xludf.DUMMYFUNCTION("""COMPUTED_VALUE"""),"No")</f>
        <v>No</v>
      </c>
      <c r="AJ1297" s="5"/>
    </row>
    <row r="1298" spans="1:36" ht="13">
      <c r="A1298" s="5" t="str">
        <f ca="1">IFERROR(__xludf.DUMMYFUNCTION("""COMPUTED_VALUE"""),"20090210CABAE")</f>
        <v>20090210CABAE</v>
      </c>
      <c r="B1298" s="5">
        <f ca="1">IFERROR(__xludf.DUMMYFUNCTION("""COMPUTED_VALUE"""),2)</f>
        <v>2</v>
      </c>
      <c r="C1298" s="5">
        <f ca="1">IFERROR(__xludf.DUMMYFUNCTION("""COMPUTED_VALUE"""),10)</f>
        <v>10</v>
      </c>
      <c r="D1298" s="5">
        <f ca="1">IFERROR(__xludf.DUMMYFUNCTION("""COMPUTED_VALUE"""),2009)</f>
        <v>2009</v>
      </c>
      <c r="E1298" s="8">
        <f ca="1">IFERROR(__xludf.DUMMYFUNCTION("""COMPUTED_VALUE"""),39854)</f>
        <v>39854</v>
      </c>
      <c r="F1298" s="5" t="str">
        <f ca="1">IFERROR(__xludf.DUMMYFUNCTION("""COMPUTED_VALUE"""),"Baker Elementary School")</f>
        <v>Baker Elementary School</v>
      </c>
      <c r="G1298" s="5">
        <f ca="1">IFERROR(__xludf.DUMMYFUNCTION("""COMPUTED_VALUE"""),0)</f>
        <v>0</v>
      </c>
      <c r="H1298" s="5">
        <f ca="1">IFERROR(__xludf.DUMMYFUNCTION("""COMPUTED_VALUE"""),0)</f>
        <v>0</v>
      </c>
      <c r="I1298" s="5">
        <f ca="1">IFERROR(__xludf.DUMMYFUNCTION("""COMPUTED_VALUE"""),0)</f>
        <v>0</v>
      </c>
      <c r="J1298" s="5">
        <f ca="1">IFERROR(__xludf.DUMMYFUNCTION("""COMPUTED_VALUE"""),0)</f>
        <v>0</v>
      </c>
      <c r="K1298" s="9" t="str">
        <f ca="1">IFERROR(__xludf.DUMMYFUNCTION("""COMPUTED_VALUE"""),"https://abc7.com/archive/6651899/")</f>
        <v>https://abc7.com/archive/6651899/</v>
      </c>
      <c r="L1298" s="5"/>
      <c r="M1298" s="5"/>
      <c r="N1298" s="5">
        <f ca="1">IFERROR(__xludf.DUMMYFUNCTION("""COMPUTED_VALUE"""),2)</f>
        <v>2</v>
      </c>
      <c r="O1298" s="5" t="str">
        <f ca="1">IFERROR(__xludf.DUMMYFUNCTION("""COMPUTED_VALUE"""),"Winter")</f>
        <v>Winter</v>
      </c>
      <c r="P1298" s="5" t="str">
        <f ca="1">IFERROR(__xludf.DUMMYFUNCTION("""COMPUTED_VALUE"""),"El Monte")</f>
        <v>El Monte</v>
      </c>
      <c r="Q1298" s="5" t="str">
        <f ca="1">IFERROR(__xludf.DUMMYFUNCTION("""COMPUTED_VALUE"""),"CA")</f>
        <v>CA</v>
      </c>
      <c r="R1298" s="5" t="str">
        <f ca="1">IFERROR(__xludf.DUMMYFUNCTION("""COMPUTED_VALUE"""),"Elementary")</f>
        <v>Elementary</v>
      </c>
      <c r="S1298" s="5" t="str">
        <f ca="1">IFERROR(__xludf.DUMMYFUNCTION("""COMPUTED_VALUE"""),"Beside Building")</f>
        <v>Beside Building</v>
      </c>
      <c r="T1298" s="5" t="str">
        <f ca="1">IFERROR(__xludf.DUMMYFUNCTION("""COMPUTED_VALUE"""),"Outside on School Property")</f>
        <v>Outside on School Property</v>
      </c>
      <c r="U1298" s="5" t="str">
        <f ca="1">IFERROR(__xludf.DUMMYFUNCTION("""COMPUTED_VALUE"""),"Yes")</f>
        <v>Yes</v>
      </c>
      <c r="V1298" s="5" t="str">
        <f ca="1">IFERROR(__xludf.DUMMYFUNCTION("""COMPUTED_VALUE"""),"Dismissal")</f>
        <v>Dismissal</v>
      </c>
      <c r="W1298" s="10">
        <f ca="1">IFERROR(__xludf.DUMMYFUNCTION("""COMPUTED_VALUE"""),0.583333333333333)</f>
        <v>0.58333333333333304</v>
      </c>
      <c r="X1298" s="5">
        <f ca="1">IFERROR(__xludf.DUMMYFUNCTION("""COMPUTED_VALUE"""),1)</f>
        <v>1</v>
      </c>
      <c r="Y1298" s="5" t="str">
        <f ca="1">IFERROR(__xludf.DUMMYFUNCTION("""COMPUTED_VALUE"""),"Student fired gun into ground outside of school")</f>
        <v>Student fired gun into ground outside of school</v>
      </c>
      <c r="Z1298" s="5" t="str">
        <f ca="1">IFERROR(__xludf.DUMMYFUNCTION("""COMPUTED_VALUE"""),"Just before school dismissed for the day, the shooter - a third grader - took a .22 caliber handgun out of his backpack and fired it into the ground. There were approximately 100 children in the area - no injuries.")</f>
        <v>Just before school dismissed for the day, the shooter - a third grader - took a .22 caliber handgun out of his backpack and fired it into the ground. There were approximately 100 children in the area - no injuries.</v>
      </c>
      <c r="AA1298" s="5" t="str">
        <f ca="1">IFERROR(__xludf.DUMMYFUNCTION("""COMPUTED_VALUE"""),"Accidental")</f>
        <v>Accidental</v>
      </c>
      <c r="AB1298" s="5" t="str">
        <f ca="1">IFERROR(__xludf.DUMMYFUNCTION("""COMPUTED_VALUE"""),"NA")</f>
        <v>NA</v>
      </c>
      <c r="AC1298" s="5" t="str">
        <f ca="1">IFERROR(__xludf.DUMMYFUNCTION("""COMPUTED_VALUE"""),"No")</f>
        <v>No</v>
      </c>
      <c r="AD1298" s="5" t="str">
        <f ca="1">IFERROR(__xludf.DUMMYFUNCTION("""COMPUTED_VALUE"""),"No")</f>
        <v>No</v>
      </c>
      <c r="AE1298" s="5" t="str">
        <f ca="1">IFERROR(__xludf.DUMMYFUNCTION("""COMPUTED_VALUE"""),"No")</f>
        <v>No</v>
      </c>
      <c r="AF1298" s="5" t="str">
        <f ca="1">IFERROR(__xludf.DUMMYFUNCTION("""COMPUTED_VALUE"""),"No")</f>
        <v>No</v>
      </c>
      <c r="AG1298" s="5" t="str">
        <f ca="1">IFERROR(__xludf.DUMMYFUNCTION("""COMPUTED_VALUE"""),"No")</f>
        <v>No</v>
      </c>
      <c r="AH1298" s="5" t="str">
        <f ca="1">IFERROR(__xludf.DUMMYFUNCTION("""COMPUTED_VALUE"""),"No")</f>
        <v>No</v>
      </c>
      <c r="AI1298" s="5" t="str">
        <f ca="1">IFERROR(__xludf.DUMMYFUNCTION("""COMPUTED_VALUE"""),"No")</f>
        <v>No</v>
      </c>
      <c r="AJ1298" s="5"/>
    </row>
    <row r="1299" spans="1:36" ht="13">
      <c r="A1299" s="5" t="str">
        <f ca="1">IFERROR(__xludf.DUMMYFUNCTION("""COMPUTED_VALUE"""),"20090127NCCLC")</f>
        <v>20090127NCCLC</v>
      </c>
      <c r="B1299" s="5">
        <f ca="1">IFERROR(__xludf.DUMMYFUNCTION("""COMPUTED_VALUE"""),1)</f>
        <v>1</v>
      </c>
      <c r="C1299" s="5">
        <f ca="1">IFERROR(__xludf.DUMMYFUNCTION("""COMPUTED_VALUE"""),27)</f>
        <v>27</v>
      </c>
      <c r="D1299" s="5">
        <f ca="1">IFERROR(__xludf.DUMMYFUNCTION("""COMPUTED_VALUE"""),2009)</f>
        <v>2009</v>
      </c>
      <c r="E1299" s="8">
        <f ca="1">IFERROR(__xludf.DUMMYFUNCTION("""COMPUTED_VALUE"""),39840)</f>
        <v>39840</v>
      </c>
      <c r="F1299" s="5" t="str">
        <f ca="1">IFERROR(__xludf.DUMMYFUNCTION("""COMPUTED_VALUE"""),"Clayton High School")</f>
        <v>Clayton High School</v>
      </c>
      <c r="G1299" s="5">
        <f ca="1">IFERROR(__xludf.DUMMYFUNCTION("""COMPUTED_VALUE"""),0)</f>
        <v>0</v>
      </c>
      <c r="H1299" s="5">
        <f ca="1">IFERROR(__xludf.DUMMYFUNCTION("""COMPUTED_VALUE"""),0)</f>
        <v>0</v>
      </c>
      <c r="I1299" s="5">
        <f ca="1">IFERROR(__xludf.DUMMYFUNCTION("""COMPUTED_VALUE"""),0)</f>
        <v>0</v>
      </c>
      <c r="J1299" s="5">
        <f ca="1">IFERROR(__xludf.DUMMYFUNCTION("""COMPUTED_VALUE"""),0)</f>
        <v>0</v>
      </c>
      <c r="K1299" s="5" t="str">
        <f ca="1">IFERROR(__xludf.DUMMYFUNCTION("""COMPUTED_VALUE"""),"https://www.wral.com/two-charged-in-shooting-outside-clayton-high/4528095/ . https://www.wral.com/man-gets-jail-time-for-shooting-at-clayton-high/5736030/ . https://www.judicialview.com/State-Cases/north-carolina/Criminal_Justice/State-of-North-Carolina-v"&amp;"-Dubose-III/19/19172 . https://www.google.com/search?q=nobbie+lee+dubose+photo&amp;biw=2034&amp;bih=1008&amp;tbm=isch&amp;source=iu&amp;ictx=1&amp;fir=QLSRcbx0Dq5iHM%253A%252CG6gSy9xxn4JLkM%252C_&amp;usg=AFrqEzfud4gfx_BiNZMaMzKIySWggX9zzw&amp;sa=X&amp;ved=2ahUKEwibvpuY0_XcAhUJVd8KHZRKDeEQ9Q"&amp;"EwAXoECAAQBg#imgrc=gj6WhcVbT0mfqM:")</f>
        <v>https://www.wral.com/two-charged-in-shooting-outside-clayton-high/4528095/ . https://www.wral.com/man-gets-jail-time-for-shooting-at-clayton-high/5736030/ . https://www.judicialview.com/State-Cases/north-carolina/Criminal_Justice/State-of-North-Carolina-v-Dubose-III/19/19172 . https://www.google.com/search?q=nobbie+lee+dubose+photo&amp;biw=2034&amp;bih=1008&amp;tbm=isch&amp;source=iu&amp;ictx=1&amp;fir=QLSRcbx0Dq5iHM%253A%252CG6gSy9xxn4JLkM%252C_&amp;usg=AFrqEzfud4gfx_BiNZMaMzKIySWggX9zzw&amp;sa=X&amp;ved=2ahUKEwibvpuY0_XcAhUJVd8KHZRKDeEQ9QEwAXoECAAQBg#imgrc=gj6WhcVbT0mfqM:</v>
      </c>
      <c r="L1299" s="5"/>
      <c r="M1299" s="5"/>
      <c r="N1299" s="5">
        <f ca="1">IFERROR(__xludf.DUMMYFUNCTION("""COMPUTED_VALUE"""),3)</f>
        <v>3</v>
      </c>
      <c r="O1299" s="5" t="str">
        <f ca="1">IFERROR(__xludf.DUMMYFUNCTION("""COMPUTED_VALUE"""),"Winter")</f>
        <v>Winter</v>
      </c>
      <c r="P1299" s="5" t="str">
        <f ca="1">IFERROR(__xludf.DUMMYFUNCTION("""COMPUTED_VALUE"""),"Clayton")</f>
        <v>Clayton</v>
      </c>
      <c r="Q1299" s="5" t="str">
        <f ca="1">IFERROR(__xludf.DUMMYFUNCTION("""COMPUTED_VALUE"""),"NC")</f>
        <v>NC</v>
      </c>
      <c r="R1299" s="5" t="str">
        <f ca="1">IFERROR(__xludf.DUMMYFUNCTION("""COMPUTED_VALUE"""),"High")</f>
        <v>High</v>
      </c>
      <c r="S1299" s="5" t="str">
        <f ca="1">IFERROR(__xludf.DUMMYFUNCTION("""COMPUTED_VALUE"""),"Beside Building")</f>
        <v>Beside Building</v>
      </c>
      <c r="T1299" s="5" t="str">
        <f ca="1">IFERROR(__xludf.DUMMYFUNCTION("""COMPUTED_VALUE"""),"Outside on School Property")</f>
        <v>Outside on School Property</v>
      </c>
      <c r="U1299" s="5" t="str">
        <f ca="1">IFERROR(__xludf.DUMMYFUNCTION("""COMPUTED_VALUE"""),"No")</f>
        <v>No</v>
      </c>
      <c r="V1299" s="5" t="str">
        <f ca="1">IFERROR(__xludf.DUMMYFUNCTION("""COMPUTED_VALUE"""),"Sport Event")</f>
        <v>Sport Event</v>
      </c>
      <c r="W1299" s="5"/>
      <c r="X1299" s="5">
        <f ca="1">IFERROR(__xludf.DUMMYFUNCTION("""COMPUTED_VALUE"""),1)</f>
        <v>1</v>
      </c>
      <c r="Y1299" s="5" t="str">
        <f ca="1">IFERROR(__xludf.DUMMYFUNCTION("""COMPUTED_VALUE"""),"Shooting at rival gang members during basketball game")</f>
        <v>Shooting at rival gang members during basketball game</v>
      </c>
      <c r="Z1299" s="5" t="str">
        <f ca="1">IFERROR(__xludf.DUMMYFUNCTION("""COMPUTED_VALUE"""),"Shooter and an accomplice were outside high school basketball game when they saw a rival gang member standing next to gymnasium door. Shooter retrieved gun from vehicle and fired two shots in the direction of the gang member, one shot hit the wall of the "&amp;"gymnasium. No reported injuries. Shooter and accomplice were later arrested and charged.")</f>
        <v>Shooter and an accomplice were outside high school basketball game when they saw a rival gang member standing next to gymnasium door. Shooter retrieved gun from vehicle and fired two shots in the direction of the gang member, one shot hit the wall of the gymnasium. No reported injuries. Shooter and accomplice were later arrested and charged.</v>
      </c>
      <c r="AA1299" s="5" t="str">
        <f ca="1">IFERROR(__xludf.DUMMYFUNCTION("""COMPUTED_VALUE"""),"Escalation of Dispute")</f>
        <v>Escalation of Dispute</v>
      </c>
      <c r="AB1299" s="5" t="str">
        <f ca="1">IFERROR(__xludf.DUMMYFUNCTION("""COMPUTED_VALUE"""),"NA")</f>
        <v>NA</v>
      </c>
      <c r="AC1299" s="5" t="str">
        <f ca="1">IFERROR(__xludf.DUMMYFUNCTION("""COMPUTED_VALUE"""),"Yes")</f>
        <v>Yes</v>
      </c>
      <c r="AD1299" s="5" t="str">
        <f ca="1">IFERROR(__xludf.DUMMYFUNCTION("""COMPUTED_VALUE"""),"No")</f>
        <v>No</v>
      </c>
      <c r="AE1299" s="5" t="str">
        <f ca="1">IFERROR(__xludf.DUMMYFUNCTION("""COMPUTED_VALUE"""),"No")</f>
        <v>No</v>
      </c>
      <c r="AF1299" s="5" t="str">
        <f ca="1">IFERROR(__xludf.DUMMYFUNCTION("""COMPUTED_VALUE"""),"No")</f>
        <v>No</v>
      </c>
      <c r="AG1299" s="5" t="str">
        <f ca="1">IFERROR(__xludf.DUMMYFUNCTION("""COMPUTED_VALUE"""),"No")</f>
        <v>No</v>
      </c>
      <c r="AH1299" s="5" t="str">
        <f ca="1">IFERROR(__xludf.DUMMYFUNCTION("""COMPUTED_VALUE"""),"No")</f>
        <v>No</v>
      </c>
      <c r="AI1299" s="5" t="str">
        <f ca="1">IFERROR(__xludf.DUMMYFUNCTION("""COMPUTED_VALUE"""),"Yes")</f>
        <v>Yes</v>
      </c>
      <c r="AJ1299" s="5"/>
    </row>
    <row r="1300" spans="1:36" ht="13">
      <c r="A1300" s="5" t="str">
        <f ca="1">IFERROR(__xludf.DUMMYFUNCTION("""COMPUTED_VALUE"""),"20090123ILCAC")</f>
        <v>20090123ILCAC</v>
      </c>
      <c r="B1300" s="5">
        <f ca="1">IFERROR(__xludf.DUMMYFUNCTION("""COMPUTED_VALUE"""),1)</f>
        <v>1</v>
      </c>
      <c r="C1300" s="5">
        <f ca="1">IFERROR(__xludf.DUMMYFUNCTION("""COMPUTED_VALUE"""),23)</f>
        <v>23</v>
      </c>
      <c r="D1300" s="5">
        <f ca="1">IFERROR(__xludf.DUMMYFUNCTION("""COMPUTED_VALUE"""),2009)</f>
        <v>2009</v>
      </c>
      <c r="E1300" s="8">
        <f ca="1">IFERROR(__xludf.DUMMYFUNCTION("""COMPUTED_VALUE"""),39836)</f>
        <v>39836</v>
      </c>
      <c r="F1300" s="5" t="str">
        <f ca="1">IFERROR(__xludf.DUMMYFUNCTION("""COMPUTED_VALUE"""),"Cahokia High School")</f>
        <v>Cahokia High School</v>
      </c>
      <c r="G1300" s="5">
        <f ca="1">IFERROR(__xludf.DUMMYFUNCTION("""COMPUTED_VALUE"""),1)</f>
        <v>1</v>
      </c>
      <c r="H1300" s="5">
        <f ca="1">IFERROR(__xludf.DUMMYFUNCTION("""COMPUTED_VALUE"""),0)</f>
        <v>0</v>
      </c>
      <c r="I1300" s="5">
        <f ca="1">IFERROR(__xludf.DUMMYFUNCTION("""COMPUTED_VALUE"""),1)</f>
        <v>1</v>
      </c>
      <c r="J1300" s="5">
        <f ca="1">IFERROR(__xludf.DUMMYFUNCTION("""COMPUTED_VALUE"""),0)</f>
        <v>0</v>
      </c>
      <c r="K1300" s="5" t="str">
        <f ca="1">IFERROR(__xludf.DUMMYFUNCTION("""COMPUTED_VALUE"""),"https://www.newspapers.com/image/151609297/?terms=REGINALD%2BCOLEMAN .http://www.rrstar.com/article/20110803/NEWS/308039939 . https://www.newspapers.com/image/219650458/?terms=REGINALD%2BCOLEMAN")</f>
        <v>https://www.newspapers.com/image/151609297/?terms=REGINALD%2BCOLEMAN .http://www.rrstar.com/article/20110803/NEWS/308039939 . https://www.newspapers.com/image/219650458/?terms=REGINALD%2BCOLEMAN</v>
      </c>
      <c r="L1300" s="5"/>
      <c r="M1300" s="5"/>
      <c r="N1300" s="5">
        <f ca="1">IFERROR(__xludf.DUMMYFUNCTION("""COMPUTED_VALUE"""),3)</f>
        <v>3</v>
      </c>
      <c r="O1300" s="5" t="str">
        <f ca="1">IFERROR(__xludf.DUMMYFUNCTION("""COMPUTED_VALUE"""),"Winter")</f>
        <v>Winter</v>
      </c>
      <c r="P1300" s="5" t="str">
        <f ca="1">IFERROR(__xludf.DUMMYFUNCTION("""COMPUTED_VALUE"""),"Cahokia")</f>
        <v>Cahokia</v>
      </c>
      <c r="Q1300" s="5" t="str">
        <f ca="1">IFERROR(__xludf.DUMMYFUNCTION("""COMPUTED_VALUE"""),"IL")</f>
        <v>IL</v>
      </c>
      <c r="R1300" s="5" t="str">
        <f ca="1">IFERROR(__xludf.DUMMYFUNCTION("""COMPUTED_VALUE"""),"High")</f>
        <v>High</v>
      </c>
      <c r="S1300" s="5" t="str">
        <f ca="1">IFERROR(__xludf.DUMMYFUNCTION("""COMPUTED_VALUE"""),"Parking Lot")</f>
        <v>Parking Lot</v>
      </c>
      <c r="T1300" s="5" t="str">
        <f ca="1">IFERROR(__xludf.DUMMYFUNCTION("""COMPUTED_VALUE"""),"Outside on School Property")</f>
        <v>Outside on School Property</v>
      </c>
      <c r="U1300" s="5" t="str">
        <f ca="1">IFERROR(__xludf.DUMMYFUNCTION("""COMPUTED_VALUE"""),"No")</f>
        <v>No</v>
      </c>
      <c r="V1300" s="5" t="str">
        <f ca="1">IFERROR(__xludf.DUMMYFUNCTION("""COMPUTED_VALUE"""),"Sport Event")</f>
        <v>Sport Event</v>
      </c>
      <c r="W1300" s="5"/>
      <c r="X1300" s="5">
        <f ca="1">IFERROR(__xludf.DUMMYFUNCTION("""COMPUTED_VALUE"""),1)</f>
        <v>1</v>
      </c>
      <c r="Y1300" s="5" t="str">
        <f ca="1">IFERROR(__xludf.DUMMYFUNCTION("""COMPUTED_VALUE"""),"Gang related shooting outside of school")</f>
        <v>Gang related shooting outside of school</v>
      </c>
      <c r="Z1300" s="5" t="str">
        <f ca="1">IFERROR(__xludf.DUMMYFUNCTION("""COMPUTED_VALUE"""),"Two men became involved in an argument possibly over a female. The argument occurred in the school parking lot between basketball games. Victim was shot once and died. Shooter arrested and charged. Shooter stated he shot victim after he was surrounded by "&amp;"8 rival gang members.")</f>
        <v>Two men became involved in an argument possibly over a female. The argument occurred in the school parking lot between basketball games. Victim was shot once and died. Shooter arrested and charged. Shooter stated he shot victim after he was surrounded by 8 rival gang members.</v>
      </c>
      <c r="AA1300" s="5" t="str">
        <f ca="1">IFERROR(__xludf.DUMMYFUNCTION("""COMPUTED_VALUE"""),"Escalation of Dispute")</f>
        <v>Escalation of Dispute</v>
      </c>
      <c r="AB1300" s="5" t="str">
        <f ca="1">IFERROR(__xludf.DUMMYFUNCTION("""COMPUTED_VALUE"""),"Victims Targeted")</f>
        <v>Victims Targeted</v>
      </c>
      <c r="AC1300" s="5" t="str">
        <f ca="1">IFERROR(__xludf.DUMMYFUNCTION("""COMPUTED_VALUE"""),"No")</f>
        <v>No</v>
      </c>
      <c r="AD1300" s="5" t="str">
        <f ca="1">IFERROR(__xludf.DUMMYFUNCTION("""COMPUTED_VALUE"""),"No")</f>
        <v>No</v>
      </c>
      <c r="AE1300" s="5" t="str">
        <f ca="1">IFERROR(__xludf.DUMMYFUNCTION("""COMPUTED_VALUE"""),"No")</f>
        <v>No</v>
      </c>
      <c r="AF1300" s="5" t="str">
        <f ca="1">IFERROR(__xludf.DUMMYFUNCTION("""COMPUTED_VALUE"""),"No")</f>
        <v>No</v>
      </c>
      <c r="AG1300" s="5" t="str">
        <f ca="1">IFERROR(__xludf.DUMMYFUNCTION("""COMPUTED_VALUE"""),"No")</f>
        <v>No</v>
      </c>
      <c r="AH1300" s="5" t="str">
        <f ca="1">IFERROR(__xludf.DUMMYFUNCTION("""COMPUTED_VALUE"""),"No")</f>
        <v>No</v>
      </c>
      <c r="AI1300" s="5" t="str">
        <f ca="1">IFERROR(__xludf.DUMMYFUNCTION("""COMPUTED_VALUE"""),"No")</f>
        <v>No</v>
      </c>
      <c r="AJ1300" s="5"/>
    </row>
    <row r="1301" spans="1:36" ht="13">
      <c r="A1301" s="5" t="str">
        <f ca="1">IFERROR(__xludf.DUMMYFUNCTION("""COMPUTED_VALUE"""),"20090120PAEAE")</f>
        <v>20090120PAEAE</v>
      </c>
      <c r="B1301" s="5">
        <f ca="1">IFERROR(__xludf.DUMMYFUNCTION("""COMPUTED_VALUE"""),1)</f>
        <v>1</v>
      </c>
      <c r="C1301" s="5">
        <f ca="1">IFERROR(__xludf.DUMMYFUNCTION("""COMPUTED_VALUE"""),20)</f>
        <v>20</v>
      </c>
      <c r="D1301" s="5">
        <f ca="1">IFERROR(__xludf.DUMMYFUNCTION("""COMPUTED_VALUE"""),2009)</f>
        <v>2009</v>
      </c>
      <c r="E1301" s="8">
        <f ca="1">IFERROR(__xludf.DUMMYFUNCTION("""COMPUTED_VALUE"""),39833)</f>
        <v>39833</v>
      </c>
      <c r="F1301" s="5" t="str">
        <f ca="1">IFERROR(__xludf.DUMMYFUNCTION("""COMPUTED_VALUE"""),"East High School")</f>
        <v>East High School</v>
      </c>
      <c r="G1301" s="5">
        <f ca="1">IFERROR(__xludf.DUMMYFUNCTION("""COMPUTED_VALUE"""),0)</f>
        <v>0</v>
      </c>
      <c r="H1301" s="5">
        <f ca="1">IFERROR(__xludf.DUMMYFUNCTION("""COMPUTED_VALUE"""),1)</f>
        <v>1</v>
      </c>
      <c r="I1301" s="5">
        <f ca="1">IFERROR(__xludf.DUMMYFUNCTION("""COMPUTED_VALUE"""),1)</f>
        <v>1</v>
      </c>
      <c r="J1301" s="5">
        <f ca="1">IFERROR(__xludf.DUMMYFUNCTION("""COMPUTED_VALUE"""),0)</f>
        <v>0</v>
      </c>
      <c r="K1301" s="9" t="str">
        <f ca="1">IFERROR(__xludf.DUMMYFUNCTION("""COMPUTED_VALUE"""),"https://www.columbine-angels.com/School_Violence_2008-2009.htm")</f>
        <v>https://www.columbine-angels.com/School_Violence_2008-2009.htm</v>
      </c>
      <c r="L1301" s="5"/>
      <c r="M1301" s="5"/>
      <c r="N1301" s="5">
        <f ca="1">IFERROR(__xludf.DUMMYFUNCTION("""COMPUTED_VALUE"""),1)</f>
        <v>1</v>
      </c>
      <c r="O1301" s="5" t="str">
        <f ca="1">IFERROR(__xludf.DUMMYFUNCTION("""COMPUTED_VALUE"""),"Winter")</f>
        <v>Winter</v>
      </c>
      <c r="P1301" s="5" t="str">
        <f ca="1">IFERROR(__xludf.DUMMYFUNCTION("""COMPUTED_VALUE"""),"Erie")</f>
        <v>Erie</v>
      </c>
      <c r="Q1301" s="5" t="str">
        <f ca="1">IFERROR(__xludf.DUMMYFUNCTION("""COMPUTED_VALUE"""),"PA")</f>
        <v>PA</v>
      </c>
      <c r="R1301" s="5" t="str">
        <f ca="1">IFERROR(__xludf.DUMMYFUNCTION("""COMPUTED_VALUE"""),"High")</f>
        <v>High</v>
      </c>
      <c r="S1301" s="5" t="str">
        <f ca="1">IFERROR(__xludf.DUMMYFUNCTION("""COMPUTED_VALUE"""),"Gym")</f>
        <v>Gym</v>
      </c>
      <c r="T1301" s="5" t="str">
        <f ca="1">IFERROR(__xludf.DUMMYFUNCTION("""COMPUTED_VALUE"""),"Inside School Building")</f>
        <v>Inside School Building</v>
      </c>
      <c r="U1301" s="5" t="str">
        <f ca="1">IFERROR(__xludf.DUMMYFUNCTION("""COMPUTED_VALUE"""),"No")</f>
        <v>No</v>
      </c>
      <c r="V1301" s="5" t="str">
        <f ca="1">IFERROR(__xludf.DUMMYFUNCTION("""COMPUTED_VALUE"""),"Sport Event")</f>
        <v>Sport Event</v>
      </c>
      <c r="W1301" s="10">
        <f ca="1">IFERROR(__xludf.DUMMYFUNCTION("""COMPUTED_VALUE"""),0.848611111111111)</f>
        <v>0.84861111111111098</v>
      </c>
      <c r="X1301" s="5">
        <f ca="1">IFERROR(__xludf.DUMMYFUNCTION("""COMPUTED_VALUE"""),1)</f>
        <v>1</v>
      </c>
      <c r="Y1301" s="5" t="str">
        <f ca="1">IFERROR(__xludf.DUMMYFUNCTION("""COMPUTED_VALUE"""),"Shot fired in gym during basketball game, bystander struck")</f>
        <v>Shot fired in gym during basketball game, bystander struck</v>
      </c>
      <c r="Z1301" s="5" t="str">
        <f ca="1">IFERROR(__xludf.DUMMYFUNCTION("""COMPUTED_VALUE"""),"15YOM non-student fired two shots inside the school gym during a basketball game and fled. A 21 year old female bystander was struck. Motive and target unknown.")</f>
        <v>15YOM non-student fired two shots inside the school gym during a basketball game and fled. A 21 year old female bystander was struck. Motive and target unknown.</v>
      </c>
      <c r="AA1301" s="5" t="str">
        <f ca="1">IFERROR(__xludf.DUMMYFUNCTION("""COMPUTED_VALUE"""),"Escalation of Dispute")</f>
        <v>Escalation of Dispute</v>
      </c>
      <c r="AB1301" s="5" t="str">
        <f ca="1">IFERROR(__xludf.DUMMYFUNCTION("""COMPUTED_VALUE"""),"Both")</f>
        <v>Both</v>
      </c>
      <c r="AC1301" s="5" t="str">
        <f ca="1">IFERROR(__xludf.DUMMYFUNCTION("""COMPUTED_VALUE"""),"Yes")</f>
        <v>Yes</v>
      </c>
      <c r="AD1301" s="5" t="str">
        <f ca="1">IFERROR(__xludf.DUMMYFUNCTION("""COMPUTED_VALUE"""),"No")</f>
        <v>No</v>
      </c>
      <c r="AE1301" s="5" t="str">
        <f ca="1">IFERROR(__xludf.DUMMYFUNCTION("""COMPUTED_VALUE"""),"No")</f>
        <v>No</v>
      </c>
      <c r="AF1301" s="5" t="str">
        <f ca="1">IFERROR(__xludf.DUMMYFUNCTION("""COMPUTED_VALUE"""),"No")</f>
        <v>No</v>
      </c>
      <c r="AG1301" s="5" t="str">
        <f ca="1">IFERROR(__xludf.DUMMYFUNCTION("""COMPUTED_VALUE"""),"No")</f>
        <v>No</v>
      </c>
      <c r="AH1301" s="5" t="str">
        <f ca="1">IFERROR(__xludf.DUMMYFUNCTION("""COMPUTED_VALUE"""),"No")</f>
        <v>No</v>
      </c>
      <c r="AI1301" s="5" t="str">
        <f ca="1">IFERROR(__xludf.DUMMYFUNCTION("""COMPUTED_VALUE"""),"No")</f>
        <v>No</v>
      </c>
      <c r="AJ1301" s="5"/>
    </row>
    <row r="1302" spans="1:36" ht="13">
      <c r="A1302" s="5" t="str">
        <f ca="1">IFERROR(__xludf.DUMMYFUNCTION("""COMPUTED_VALUE"""),"20090120MIBEM")</f>
        <v>20090120MIBEM</v>
      </c>
      <c r="B1302" s="5">
        <f ca="1">IFERROR(__xludf.DUMMYFUNCTION("""COMPUTED_VALUE"""),1)</f>
        <v>1</v>
      </c>
      <c r="C1302" s="5">
        <f ca="1">IFERROR(__xludf.DUMMYFUNCTION("""COMPUTED_VALUE"""),20)</f>
        <v>20</v>
      </c>
      <c r="D1302" s="5">
        <f ca="1">IFERROR(__xludf.DUMMYFUNCTION("""COMPUTED_VALUE"""),2009)</f>
        <v>2009</v>
      </c>
      <c r="E1302" s="8">
        <f ca="1">IFERROR(__xludf.DUMMYFUNCTION("""COMPUTED_VALUE"""),39833)</f>
        <v>39833</v>
      </c>
      <c r="F1302" s="5" t="str">
        <f ca="1">IFERROR(__xludf.DUMMYFUNCTION("""COMPUTED_VALUE"""),"Beecher High School")</f>
        <v>Beecher High School</v>
      </c>
      <c r="G1302" s="5">
        <f ca="1">IFERROR(__xludf.DUMMYFUNCTION("""COMPUTED_VALUE"""),0)</f>
        <v>0</v>
      </c>
      <c r="H1302" s="5">
        <f ca="1">IFERROR(__xludf.DUMMYFUNCTION("""COMPUTED_VALUE"""),4)</f>
        <v>4</v>
      </c>
      <c r="I1302" s="5">
        <f ca="1">IFERROR(__xludf.DUMMYFUNCTION("""COMPUTED_VALUE"""),4)</f>
        <v>4</v>
      </c>
      <c r="J1302" s="5">
        <f ca="1">IFERROR(__xludf.DUMMYFUNCTION("""COMPUTED_VALUE"""),0)</f>
        <v>0</v>
      </c>
      <c r="K1302" s="9" t="str">
        <f ca="1">IFERROR(__xludf.DUMMYFUNCTION("""COMPUTED_VALUE"""),"https://www.mlive.com/news/flint/index.ssf/2009/01/four_shot_outside_beecher_high.html")</f>
        <v>https://www.mlive.com/news/flint/index.ssf/2009/01/four_shot_outside_beecher_high.html</v>
      </c>
      <c r="L1302" s="5"/>
      <c r="M1302" s="5"/>
      <c r="N1302" s="5">
        <f ca="1">IFERROR(__xludf.DUMMYFUNCTION("""COMPUTED_VALUE"""),2)</f>
        <v>2</v>
      </c>
      <c r="O1302" s="5" t="str">
        <f ca="1">IFERROR(__xludf.DUMMYFUNCTION("""COMPUTED_VALUE"""),"Winter")</f>
        <v>Winter</v>
      </c>
      <c r="P1302" s="5" t="str">
        <f ca="1">IFERROR(__xludf.DUMMYFUNCTION("""COMPUTED_VALUE"""),"Mount Morris Township")</f>
        <v>Mount Morris Township</v>
      </c>
      <c r="Q1302" s="5" t="str">
        <f ca="1">IFERROR(__xludf.DUMMYFUNCTION("""COMPUTED_VALUE"""),"MI")</f>
        <v>MI</v>
      </c>
      <c r="R1302" s="5" t="str">
        <f ca="1">IFERROR(__xludf.DUMMYFUNCTION("""COMPUTED_VALUE"""),"High")</f>
        <v>High</v>
      </c>
      <c r="S1302" s="5" t="str">
        <f ca="1">IFERROR(__xludf.DUMMYFUNCTION("""COMPUTED_VALUE"""),"Basketball Court")</f>
        <v>Basketball Court</v>
      </c>
      <c r="T1302" s="5" t="str">
        <f ca="1">IFERROR(__xludf.DUMMYFUNCTION("""COMPUTED_VALUE"""),"Outside on School Property")</f>
        <v>Outside on School Property</v>
      </c>
      <c r="U1302" s="5" t="str">
        <f ca="1">IFERROR(__xludf.DUMMYFUNCTION("""COMPUTED_VALUE"""),"No")</f>
        <v>No</v>
      </c>
      <c r="V1302" s="5" t="str">
        <f ca="1">IFERROR(__xludf.DUMMYFUNCTION("""COMPUTED_VALUE"""),"Sport Event")</f>
        <v>Sport Event</v>
      </c>
      <c r="W1302" s="5"/>
      <c r="X1302" s="5">
        <f ca="1">IFERROR(__xludf.DUMMYFUNCTION("""COMPUTED_VALUE"""),1)</f>
        <v>1</v>
      </c>
      <c r="Y1302" s="5" t="str">
        <f ca="1">IFERROR(__xludf.DUMMYFUNCTION("""COMPUTED_VALUE"""),"Fight during basketball game")</f>
        <v>Fight during basketball game</v>
      </c>
      <c r="Z1302" s="5" t="str">
        <f ca="1">IFERROR(__xludf.DUMMYFUNCTION("""COMPUTED_VALUE"""),"Argument after a basketball game turned into a shooting. Police advised 4 handguns were used when shooter fired into a crowd of 25 people hitting 4. Shooting stemmed from escalation of ongoing argument between shooter and another man. Unknown if those str"&amp;"uck were intended targets.")</f>
        <v>Argument after a basketball game turned into a shooting. Police advised 4 handguns were used when shooter fired into a crowd of 25 people hitting 4. Shooting stemmed from escalation of ongoing argument between shooter and another man. Unknown if those struck were intended targets.</v>
      </c>
      <c r="AA1302" s="5" t="str">
        <f ca="1">IFERROR(__xludf.DUMMYFUNCTION("""COMPUTED_VALUE"""),"Escalation of Dispute")</f>
        <v>Escalation of Dispute</v>
      </c>
      <c r="AB1302" s="5"/>
      <c r="AC1302" s="5" t="str">
        <f ca="1">IFERROR(__xludf.DUMMYFUNCTION("""COMPUTED_VALUE"""),"Yes")</f>
        <v>Yes</v>
      </c>
      <c r="AD1302" s="5" t="str">
        <f ca="1">IFERROR(__xludf.DUMMYFUNCTION("""COMPUTED_VALUE"""),"No")</f>
        <v>No</v>
      </c>
      <c r="AE1302" s="5" t="str">
        <f ca="1">IFERROR(__xludf.DUMMYFUNCTION("""COMPUTED_VALUE"""),"No")</f>
        <v>No</v>
      </c>
      <c r="AF1302" s="5" t="str">
        <f ca="1">IFERROR(__xludf.DUMMYFUNCTION("""COMPUTED_VALUE"""),"No")</f>
        <v>No</v>
      </c>
      <c r="AG1302" s="5"/>
      <c r="AH1302" s="5" t="str">
        <f ca="1">IFERROR(__xludf.DUMMYFUNCTION("""COMPUTED_VALUE"""),"No")</f>
        <v>No</v>
      </c>
      <c r="AI1302" s="5" t="str">
        <f ca="1">IFERROR(__xludf.DUMMYFUNCTION("""COMPUTED_VALUE"""),"No")</f>
        <v>No</v>
      </c>
      <c r="AJ1302" s="5"/>
    </row>
    <row r="1303" spans="1:36" ht="13">
      <c r="A1303" s="5" t="str">
        <f ca="1">IFERROR(__xludf.DUMMYFUNCTION("""COMPUTED_VALUE"""),"20090120ILCOC")</f>
        <v>20090120ILCOC</v>
      </c>
      <c r="B1303" s="5">
        <f ca="1">IFERROR(__xludf.DUMMYFUNCTION("""COMPUTED_VALUE"""),1)</f>
        <v>1</v>
      </c>
      <c r="C1303" s="5">
        <f ca="1">IFERROR(__xludf.DUMMYFUNCTION("""COMPUTED_VALUE"""),20)</f>
        <v>20</v>
      </c>
      <c r="D1303" s="5">
        <f ca="1">IFERROR(__xludf.DUMMYFUNCTION("""COMPUTED_VALUE"""),2009)</f>
        <v>2009</v>
      </c>
      <c r="E1303" s="8">
        <f ca="1">IFERROR(__xludf.DUMMYFUNCTION("""COMPUTED_VALUE"""),39833)</f>
        <v>39833</v>
      </c>
      <c r="F1303" s="5" t="str">
        <f ca="1">IFERROR(__xludf.DUMMYFUNCTION("""COMPUTED_VALUE"""),"Collins HIgh School")</f>
        <v>Collins HIgh School</v>
      </c>
      <c r="G1303" s="5">
        <f ca="1">IFERROR(__xludf.DUMMYFUNCTION("""COMPUTED_VALUE"""),0)</f>
        <v>0</v>
      </c>
      <c r="H1303" s="5">
        <f ca="1">IFERROR(__xludf.DUMMYFUNCTION("""COMPUTED_VALUE"""),1)</f>
        <v>1</v>
      </c>
      <c r="I1303" s="5">
        <f ca="1">IFERROR(__xludf.DUMMYFUNCTION("""COMPUTED_VALUE"""),1)</f>
        <v>1</v>
      </c>
      <c r="J1303" s="5">
        <f ca="1">IFERROR(__xludf.DUMMYFUNCTION("""COMPUTED_VALUE"""),0)</f>
        <v>0</v>
      </c>
      <c r="K1303" s="5" t="str">
        <f ca="1">IFERROR(__xludf.DUMMYFUNCTION("""COMPUTED_VALUE"""),"https://www.newspapers.com/image/232309852/?terms=north%2Blawndale%2Bschool%2Bshooting . https://www.newspapers.com/image/232309852/?terms=jermaine%2Bwinfield")</f>
        <v>https://www.newspapers.com/image/232309852/?terms=north%2Blawndale%2Bschool%2Bshooting . https://www.newspapers.com/image/232309852/?terms=jermaine%2Bwinfield</v>
      </c>
      <c r="L1303" s="5"/>
      <c r="M1303" s="5"/>
      <c r="N1303" s="5">
        <f ca="1">IFERROR(__xludf.DUMMYFUNCTION("""COMPUTED_VALUE"""),3)</f>
        <v>3</v>
      </c>
      <c r="O1303" s="5" t="str">
        <f ca="1">IFERROR(__xludf.DUMMYFUNCTION("""COMPUTED_VALUE"""),"Winter")</f>
        <v>Winter</v>
      </c>
      <c r="P1303" s="5" t="str">
        <f ca="1">IFERROR(__xludf.DUMMYFUNCTION("""COMPUTED_VALUE"""),"Chicago")</f>
        <v>Chicago</v>
      </c>
      <c r="Q1303" s="5" t="str">
        <f ca="1">IFERROR(__xludf.DUMMYFUNCTION("""COMPUTED_VALUE"""),"IL")</f>
        <v>IL</v>
      </c>
      <c r="R1303" s="5" t="str">
        <f ca="1">IFERROR(__xludf.DUMMYFUNCTION("""COMPUTED_VALUE"""),"High")</f>
        <v>High</v>
      </c>
      <c r="S1303" s="5" t="str">
        <f ca="1">IFERROR(__xludf.DUMMYFUNCTION("""COMPUTED_VALUE"""),"Basketball Court")</f>
        <v>Basketball Court</v>
      </c>
      <c r="T1303" s="5" t="str">
        <f ca="1">IFERROR(__xludf.DUMMYFUNCTION("""COMPUTED_VALUE"""),"Outside on School Property")</f>
        <v>Outside on School Property</v>
      </c>
      <c r="U1303" s="5" t="str">
        <f ca="1">IFERROR(__xludf.DUMMYFUNCTION("""COMPUTED_VALUE"""),"No")</f>
        <v>No</v>
      </c>
      <c r="V1303" s="5" t="str">
        <f ca="1">IFERROR(__xludf.DUMMYFUNCTION("""COMPUTED_VALUE"""),"Sport Event")</f>
        <v>Sport Event</v>
      </c>
      <c r="W1303" s="5"/>
      <c r="X1303" s="5">
        <f ca="1">IFERROR(__xludf.DUMMYFUNCTION("""COMPUTED_VALUE"""),1)</f>
        <v>1</v>
      </c>
      <c r="Y1303" s="5" t="str">
        <f ca="1">IFERROR(__xludf.DUMMYFUNCTION("""COMPUTED_VALUE"""),"Fight during basketball game")</f>
        <v>Fight during basketball game</v>
      </c>
      <c r="Z1303" s="5" t="str">
        <f ca="1">IFERROR(__xludf.DUMMYFUNCTION("""COMPUTED_VALUE"""),"Fight erupted after a basketball game. When one of the basketball players tried to stop the fight, he was shot in the leg. Two 16 year old students were arrested and charged with simple battery.")</f>
        <v>Fight erupted after a basketball game. When one of the basketball players tried to stop the fight, he was shot in the leg. Two 16 year old students were arrested and charged with simple battery.</v>
      </c>
      <c r="AA1303" s="5" t="str">
        <f ca="1">IFERROR(__xludf.DUMMYFUNCTION("""COMPUTED_VALUE"""),"Escalation of Dispute")</f>
        <v>Escalation of Dispute</v>
      </c>
      <c r="AB1303" s="5"/>
      <c r="AC1303" s="5"/>
      <c r="AD1303" s="5" t="str">
        <f ca="1">IFERROR(__xludf.DUMMYFUNCTION("""COMPUTED_VALUE"""),"No")</f>
        <v>No</v>
      </c>
      <c r="AE1303" s="5" t="str">
        <f ca="1">IFERROR(__xludf.DUMMYFUNCTION("""COMPUTED_VALUE"""),"No")</f>
        <v>No</v>
      </c>
      <c r="AF1303" s="5" t="str">
        <f ca="1">IFERROR(__xludf.DUMMYFUNCTION("""COMPUTED_VALUE"""),"No")</f>
        <v>No</v>
      </c>
      <c r="AG1303" s="5" t="str">
        <f ca="1">IFERROR(__xludf.DUMMYFUNCTION("""COMPUTED_VALUE"""),"No")</f>
        <v>No</v>
      </c>
      <c r="AH1303" s="5" t="str">
        <f ca="1">IFERROR(__xludf.DUMMYFUNCTION("""COMPUTED_VALUE"""),"No")</f>
        <v>No</v>
      </c>
      <c r="AI1303" s="5" t="str">
        <f ca="1">IFERROR(__xludf.DUMMYFUNCTION("""COMPUTED_VALUE"""),"No")</f>
        <v>No</v>
      </c>
      <c r="AJ1303" s="5"/>
    </row>
    <row r="1304" spans="1:36" ht="13">
      <c r="A1304" s="5" t="str">
        <f ca="1">IFERROR(__xludf.DUMMYFUNCTION("""COMPUTED_VALUE"""),"20090114ILPEC")</f>
        <v>20090114ILPEC</v>
      </c>
      <c r="B1304" s="5">
        <f ca="1">IFERROR(__xludf.DUMMYFUNCTION("""COMPUTED_VALUE"""),1)</f>
        <v>1</v>
      </c>
      <c r="C1304" s="5">
        <f ca="1">IFERROR(__xludf.DUMMYFUNCTION("""COMPUTED_VALUE"""),14)</f>
        <v>14</v>
      </c>
      <c r="D1304" s="5">
        <f ca="1">IFERROR(__xludf.DUMMYFUNCTION("""COMPUTED_VALUE"""),2009)</f>
        <v>2009</v>
      </c>
      <c r="E1304" s="8">
        <f ca="1">IFERROR(__xludf.DUMMYFUNCTION("""COMPUTED_VALUE"""),39827)</f>
        <v>39827</v>
      </c>
      <c r="F1304" s="5" t="str">
        <f ca="1">IFERROR(__xludf.DUMMYFUNCTION("""COMPUTED_VALUE"""),"Perspectives Charter School")</f>
        <v>Perspectives Charter School</v>
      </c>
      <c r="G1304" s="5">
        <f ca="1">IFERROR(__xludf.DUMMYFUNCTION("""COMPUTED_VALUE"""),0)</f>
        <v>0</v>
      </c>
      <c r="H1304" s="5">
        <f ca="1">IFERROR(__xludf.DUMMYFUNCTION("""COMPUTED_VALUE"""),3)</f>
        <v>3</v>
      </c>
      <c r="I1304" s="5">
        <f ca="1">IFERROR(__xludf.DUMMYFUNCTION("""COMPUTED_VALUE"""),3)</f>
        <v>3</v>
      </c>
      <c r="J1304" s="5">
        <f ca="1">IFERROR(__xludf.DUMMYFUNCTION("""COMPUTED_VALUE"""),0)</f>
        <v>0</v>
      </c>
      <c r="K1304" s="5" t="str">
        <f ca="1">IFERROR(__xludf.DUMMYFUNCTION("""COMPUTED_VALUE"""),"https://www.columbine-angels.com/School_Violence_2008-2009.htm   https://www.newspapers.com/image/256126198/?terms=perspectives%2Bcharter%2Bschool")</f>
        <v>https://www.columbine-angels.com/School_Violence_2008-2009.htm   https://www.newspapers.com/image/256126198/?terms=perspectives%2Bcharter%2Bschool</v>
      </c>
      <c r="L1304" s="5"/>
      <c r="M1304" s="5"/>
      <c r="N1304" s="5">
        <f ca="1">IFERROR(__xludf.DUMMYFUNCTION("""COMPUTED_VALUE"""),2)</f>
        <v>2</v>
      </c>
      <c r="O1304" s="5" t="str">
        <f ca="1">IFERROR(__xludf.DUMMYFUNCTION("""COMPUTED_VALUE"""),"Winter")</f>
        <v>Winter</v>
      </c>
      <c r="P1304" s="5" t="str">
        <f ca="1">IFERROR(__xludf.DUMMYFUNCTION("""COMPUTED_VALUE"""),"Chicago")</f>
        <v>Chicago</v>
      </c>
      <c r="Q1304" s="5" t="str">
        <f ca="1">IFERROR(__xludf.DUMMYFUNCTION("""COMPUTED_VALUE"""),"IL")</f>
        <v>IL</v>
      </c>
      <c r="R1304" s="5" t="str">
        <f ca="1">IFERROR(__xludf.DUMMYFUNCTION("""COMPUTED_VALUE"""),"Middle")</f>
        <v>Middle</v>
      </c>
      <c r="S1304" s="5" t="str">
        <f ca="1">IFERROR(__xludf.DUMMYFUNCTION("""COMPUTED_VALUE"""),"School Bus")</f>
        <v>School Bus</v>
      </c>
      <c r="T1304" s="5" t="str">
        <f ca="1">IFERROR(__xludf.DUMMYFUNCTION("""COMPUTED_VALUE"""),"School Bus")</f>
        <v>School Bus</v>
      </c>
      <c r="U1304" s="5" t="str">
        <f ca="1">IFERROR(__xludf.DUMMYFUNCTION("""COMPUTED_VALUE"""),"Yes")</f>
        <v>Yes</v>
      </c>
      <c r="V1304" s="5" t="str">
        <f ca="1">IFERROR(__xludf.DUMMYFUNCTION("""COMPUTED_VALUE"""),"Morning Classes")</f>
        <v>Morning Classes</v>
      </c>
      <c r="W1304" s="10">
        <f ca="1">IFERROR(__xludf.DUMMYFUNCTION("""COMPUTED_VALUE"""),0.466666666666666)</f>
        <v>0.46666666666666601</v>
      </c>
      <c r="X1304" s="5">
        <f ca="1">IFERROR(__xludf.DUMMYFUNCTION("""COMPUTED_VALUE"""),1)</f>
        <v>1</v>
      </c>
      <c r="Y1304" s="5" t="str">
        <f ca="1">IFERROR(__xludf.DUMMYFUNCTION("""COMPUTED_VALUE"""),"Shooter in ski mask fired shot that hit school bus, unclear if it was his target")</f>
        <v>Shooter in ski mask fired shot that hit school bus, unclear if it was his target</v>
      </c>
      <c r="Z1304" s="5" t="str">
        <f ca="1">IFERROR(__xludf.DUMMYFUNCTION("""COMPUTED_VALUE"""),"Three students injured when shot struck their school bus. Students saw a shooter in a ski mask fire. The school bus was likely not the intended target.")</f>
        <v>Three students injured when shot struck their school bus. Students saw a shooter in a ski mask fire. The school bus was likely not the intended target.</v>
      </c>
      <c r="AA1304" s="5" t="str">
        <f ca="1">IFERROR(__xludf.DUMMYFUNCTION("""COMPUTED_VALUE"""),"Unknown")</f>
        <v>Unknown</v>
      </c>
      <c r="AB1304" s="5" t="str">
        <f ca="1">IFERROR(__xludf.DUMMYFUNCTION("""COMPUTED_VALUE"""),"Random Shooting")</f>
        <v>Random Shooting</v>
      </c>
      <c r="AC1304" s="5" t="str">
        <f ca="1">IFERROR(__xludf.DUMMYFUNCTION("""COMPUTED_VALUE"""),"No")</f>
        <v>No</v>
      </c>
      <c r="AD1304" s="5" t="str">
        <f ca="1">IFERROR(__xludf.DUMMYFUNCTION("""COMPUTED_VALUE"""),"No")</f>
        <v>No</v>
      </c>
      <c r="AE1304" s="5" t="str">
        <f ca="1">IFERROR(__xludf.DUMMYFUNCTION("""COMPUTED_VALUE"""),"No")</f>
        <v>No</v>
      </c>
      <c r="AF1304" s="5" t="str">
        <f ca="1">IFERROR(__xludf.DUMMYFUNCTION("""COMPUTED_VALUE"""),"No")</f>
        <v>No</v>
      </c>
      <c r="AG1304" s="5" t="str">
        <f ca="1">IFERROR(__xludf.DUMMYFUNCTION("""COMPUTED_VALUE"""),"No")</f>
        <v>No</v>
      </c>
      <c r="AH1304" s="5" t="str">
        <f ca="1">IFERROR(__xludf.DUMMYFUNCTION("""COMPUTED_VALUE"""),"No")</f>
        <v>No</v>
      </c>
      <c r="AI1304" s="5"/>
      <c r="AJ1304" s="5"/>
    </row>
    <row r="1305" spans="1:36" ht="13">
      <c r="A1305" s="5" t="str">
        <f ca="1">IFERROR(__xludf.DUMMYFUNCTION("""COMPUTED_VALUE"""),"20090109ILDUC")</f>
        <v>20090109ILDUC</v>
      </c>
      <c r="B1305" s="5">
        <f ca="1">IFERROR(__xludf.DUMMYFUNCTION("""COMPUTED_VALUE"""),1)</f>
        <v>1</v>
      </c>
      <c r="C1305" s="5">
        <f ca="1">IFERROR(__xludf.DUMMYFUNCTION("""COMPUTED_VALUE"""),9)</f>
        <v>9</v>
      </c>
      <c r="D1305" s="5">
        <f ca="1">IFERROR(__xludf.DUMMYFUNCTION("""COMPUTED_VALUE"""),2009)</f>
        <v>2009</v>
      </c>
      <c r="E1305" s="8">
        <f ca="1">IFERROR(__xludf.DUMMYFUNCTION("""COMPUTED_VALUE"""),39822)</f>
        <v>39822</v>
      </c>
      <c r="F1305" s="5" t="str">
        <f ca="1">IFERROR(__xludf.DUMMYFUNCTION("""COMPUTED_VALUE"""),"Dunbar High School")</f>
        <v>Dunbar High School</v>
      </c>
      <c r="G1305" s="5">
        <f ca="1">IFERROR(__xludf.DUMMYFUNCTION("""COMPUTED_VALUE"""),0)</f>
        <v>0</v>
      </c>
      <c r="H1305" s="5">
        <f ca="1">IFERROR(__xludf.DUMMYFUNCTION("""COMPUTED_VALUE"""),5)</f>
        <v>5</v>
      </c>
      <c r="I1305" s="5">
        <f ca="1">IFERROR(__xludf.DUMMYFUNCTION("""COMPUTED_VALUE"""),5)</f>
        <v>5</v>
      </c>
      <c r="J1305" s="5">
        <f ca="1">IFERROR(__xludf.DUMMYFUNCTION("""COMPUTED_VALUE"""),0)</f>
        <v>0</v>
      </c>
      <c r="K1305" s="9" t="str">
        <f ca="1">IFERROR(__xludf.DUMMYFUNCTION("""COMPUTED_VALUE"""),"http://www.cnn.com/2009/CRIME/01/10/school.shooting/index.html")</f>
        <v>http://www.cnn.com/2009/CRIME/01/10/school.shooting/index.html</v>
      </c>
      <c r="L1305" s="5"/>
      <c r="M1305" s="5"/>
      <c r="N1305" s="5">
        <f ca="1">IFERROR(__xludf.DUMMYFUNCTION("""COMPUTED_VALUE"""),2)</f>
        <v>2</v>
      </c>
      <c r="O1305" s="5" t="str">
        <f ca="1">IFERROR(__xludf.DUMMYFUNCTION("""COMPUTED_VALUE"""),"Winter")</f>
        <v>Winter</v>
      </c>
      <c r="P1305" s="5" t="str">
        <f ca="1">IFERROR(__xludf.DUMMYFUNCTION("""COMPUTED_VALUE"""),"Chicago")</f>
        <v>Chicago</v>
      </c>
      <c r="Q1305" s="5" t="str">
        <f ca="1">IFERROR(__xludf.DUMMYFUNCTION("""COMPUTED_VALUE"""),"IL")</f>
        <v>IL</v>
      </c>
      <c r="R1305" s="5" t="str">
        <f ca="1">IFERROR(__xludf.DUMMYFUNCTION("""COMPUTED_VALUE"""),"High")</f>
        <v>High</v>
      </c>
      <c r="S1305" s="5" t="str">
        <f ca="1">IFERROR(__xludf.DUMMYFUNCTION("""COMPUTED_VALUE"""),"Basketball Court")</f>
        <v>Basketball Court</v>
      </c>
      <c r="T1305" s="5" t="str">
        <f ca="1">IFERROR(__xludf.DUMMYFUNCTION("""COMPUTED_VALUE"""),"Outside on School Property")</f>
        <v>Outside on School Property</v>
      </c>
      <c r="U1305" s="5" t="str">
        <f ca="1">IFERROR(__xludf.DUMMYFUNCTION("""COMPUTED_VALUE"""),"No")</f>
        <v>No</v>
      </c>
      <c r="V1305" s="5" t="str">
        <f ca="1">IFERROR(__xludf.DUMMYFUNCTION("""COMPUTED_VALUE"""),"Sport Event")</f>
        <v>Sport Event</v>
      </c>
      <c r="W1305" s="10">
        <f ca="1">IFERROR(__xludf.DUMMYFUNCTION("""COMPUTED_VALUE"""),0.833333333333333)</f>
        <v>0.83333333333333304</v>
      </c>
      <c r="X1305" s="5">
        <f ca="1">IFERROR(__xludf.DUMMYFUNCTION("""COMPUTED_VALUE"""),1)</f>
        <v>1</v>
      </c>
      <c r="Y1305" s="5" t="str">
        <f ca="1">IFERROR(__xludf.DUMMYFUNCTION("""COMPUTED_VALUE"""),"Gang-related drive-by shooting after basketball game")</f>
        <v>Gang-related drive-by shooting after basketball game</v>
      </c>
      <c r="Z1305" s="5" t="str">
        <f ca="1">IFERROR(__xludf.DUMMYFUNCTION("""COMPUTED_VALUE"""),"Gang-related drive-by shooting following basketball game at the high school. Group of students associated with a gang were outside the gym and the shooter fired at them from a vehicle.")</f>
        <v>Gang-related drive-by shooting following basketball game at the high school. Group of students associated with a gang were outside the gym and the shooter fired at them from a vehicle.</v>
      </c>
      <c r="AA1305" s="5" t="str">
        <f ca="1">IFERROR(__xludf.DUMMYFUNCTION("""COMPUTED_VALUE"""),"Drive-by Shooting")</f>
        <v>Drive-by Shooting</v>
      </c>
      <c r="AB1305" s="5" t="str">
        <f ca="1">IFERROR(__xludf.DUMMYFUNCTION("""COMPUTED_VALUE"""),"Both")</f>
        <v>Both</v>
      </c>
      <c r="AC1305" s="5"/>
      <c r="AD1305" s="5" t="str">
        <f ca="1">IFERROR(__xludf.DUMMYFUNCTION("""COMPUTED_VALUE"""),"No")</f>
        <v>No</v>
      </c>
      <c r="AE1305" s="5" t="str">
        <f ca="1">IFERROR(__xludf.DUMMYFUNCTION("""COMPUTED_VALUE"""),"No")</f>
        <v>No</v>
      </c>
      <c r="AF1305" s="5" t="str">
        <f ca="1">IFERROR(__xludf.DUMMYFUNCTION("""COMPUTED_VALUE"""),"No")</f>
        <v>No</v>
      </c>
      <c r="AG1305" s="5" t="str">
        <f ca="1">IFERROR(__xludf.DUMMYFUNCTION("""COMPUTED_VALUE"""),"No")</f>
        <v>No</v>
      </c>
      <c r="AH1305" s="5" t="str">
        <f ca="1">IFERROR(__xludf.DUMMYFUNCTION("""COMPUTED_VALUE"""),"No")</f>
        <v>No</v>
      </c>
      <c r="AI1305" s="5" t="str">
        <f ca="1">IFERROR(__xludf.DUMMYFUNCTION("""COMPUTED_VALUE"""),"Yes")</f>
        <v>Yes</v>
      </c>
      <c r="AJ1305" s="5"/>
    </row>
    <row r="1306" spans="1:36" ht="13">
      <c r="A1306" s="5" t="str">
        <f ca="1">IFERROR(__xludf.DUMMYFUNCTION("""COMPUTED_VALUE"""),"20090108DEWIN")</f>
        <v>20090108DEWIN</v>
      </c>
      <c r="B1306" s="5">
        <f ca="1">IFERROR(__xludf.DUMMYFUNCTION("""COMPUTED_VALUE"""),1)</f>
        <v>1</v>
      </c>
      <c r="C1306" s="5">
        <f ca="1">IFERROR(__xludf.DUMMYFUNCTION("""COMPUTED_VALUE"""),8)</f>
        <v>8</v>
      </c>
      <c r="D1306" s="5">
        <f ca="1">IFERROR(__xludf.DUMMYFUNCTION("""COMPUTED_VALUE"""),2009)</f>
        <v>2009</v>
      </c>
      <c r="E1306" s="8">
        <f ca="1">IFERROR(__xludf.DUMMYFUNCTION("""COMPUTED_VALUE"""),39821)</f>
        <v>39821</v>
      </c>
      <c r="F1306" s="5" t="str">
        <f ca="1">IFERROR(__xludf.DUMMYFUNCTION("""COMPUTED_VALUE"""),"William Penn High School")</f>
        <v>William Penn High School</v>
      </c>
      <c r="G1306" s="5">
        <f ca="1">IFERROR(__xludf.DUMMYFUNCTION("""COMPUTED_VALUE"""),0)</f>
        <v>0</v>
      </c>
      <c r="H1306" s="5">
        <f ca="1">IFERROR(__xludf.DUMMYFUNCTION("""COMPUTED_VALUE"""),2)</f>
        <v>2</v>
      </c>
      <c r="I1306" s="5">
        <f ca="1">IFERROR(__xludf.DUMMYFUNCTION("""COMPUTED_VALUE"""),2)</f>
        <v>2</v>
      </c>
      <c r="J1306" s="5">
        <f ca="1">IFERROR(__xludf.DUMMYFUNCTION("""COMPUTED_VALUE"""),0)</f>
        <v>0</v>
      </c>
      <c r="K1306" s="5" t="str">
        <f ca="1">IFERROR(__xludf.DUMMYFUNCTION("""COMPUTED_VALUE"""),"https://www.nbcphiladelphia.com/news/local/Student-ShotTrooper-Injured-Following-School-Brawl.html https://www.nbcphiladelphia.com/news/local/Student-ShotTrooper-Injured-Following-School-Brawl.html")</f>
        <v>https://www.nbcphiladelphia.com/news/local/Student-ShotTrooper-Injured-Following-School-Brawl.html https://www.nbcphiladelphia.com/news/local/Student-ShotTrooper-Injured-Following-School-Brawl.html</v>
      </c>
      <c r="L1306" s="5"/>
      <c r="M1306" s="5"/>
      <c r="N1306" s="5">
        <f ca="1">IFERROR(__xludf.DUMMYFUNCTION("""COMPUTED_VALUE"""),3)</f>
        <v>3</v>
      </c>
      <c r="O1306" s="5" t="str">
        <f ca="1">IFERROR(__xludf.DUMMYFUNCTION("""COMPUTED_VALUE"""),"Winter")</f>
        <v>Winter</v>
      </c>
      <c r="P1306" s="5" t="str">
        <f ca="1">IFERROR(__xludf.DUMMYFUNCTION("""COMPUTED_VALUE"""),"New Castle")</f>
        <v>New Castle</v>
      </c>
      <c r="Q1306" s="5" t="str">
        <f ca="1">IFERROR(__xludf.DUMMYFUNCTION("""COMPUTED_VALUE"""),"DE")</f>
        <v>DE</v>
      </c>
      <c r="R1306" s="5" t="str">
        <f ca="1">IFERROR(__xludf.DUMMYFUNCTION("""COMPUTED_VALUE"""),"High")</f>
        <v>High</v>
      </c>
      <c r="S1306" s="5" t="str">
        <f ca="1">IFERROR(__xludf.DUMMYFUNCTION("""COMPUTED_VALUE"""),"Gym")</f>
        <v>Gym</v>
      </c>
      <c r="T1306" s="5" t="str">
        <f ca="1">IFERROR(__xludf.DUMMYFUNCTION("""COMPUTED_VALUE"""),"Inside School Building")</f>
        <v>Inside School Building</v>
      </c>
      <c r="U1306" s="5" t="str">
        <f ca="1">IFERROR(__xludf.DUMMYFUNCTION("""COMPUTED_VALUE"""),"No")</f>
        <v>No</v>
      </c>
      <c r="V1306" s="5" t="str">
        <f ca="1">IFERROR(__xludf.DUMMYFUNCTION("""COMPUTED_VALUE"""),"Sport Event")</f>
        <v>Sport Event</v>
      </c>
      <c r="W1306" s="10">
        <f ca="1">IFERROR(__xludf.DUMMYFUNCTION("""COMPUTED_VALUE"""),0.854166666666666)</f>
        <v>0.85416666666666596</v>
      </c>
      <c r="X1306" s="5">
        <f ca="1">IFERROR(__xludf.DUMMYFUNCTION("""COMPUTED_VALUE"""),1)</f>
        <v>1</v>
      </c>
      <c r="Y1306" s="5" t="str">
        <f ca="1">IFERROR(__xludf.DUMMYFUNCTION("""COMPUTED_VALUE"""),"Officer tried to break up fight between students, following fight, gun discharged striking uninvolved student")</f>
        <v>Officer tried to break up fight between students, following fight, gun discharged striking uninvolved student</v>
      </c>
      <c r="Z1306" s="5" t="str">
        <f ca="1">IFERROR(__xludf.DUMMYFUNCTION("""COMPUTED_VALUE"""),"Fight between two female students during basketball game. Officer attempted to break up fight and was unable to stop it. Officer called for backup. After backup arrived, officer's gun discharged striking an unrelated 18 YOM student.")</f>
        <v>Fight between two female students during basketball game. Officer attempted to break up fight and was unable to stop it. Officer called for backup. After backup arrived, officer's gun discharged striking an unrelated 18 YOM student.</v>
      </c>
      <c r="AA1306" s="5" t="str">
        <f ca="1">IFERROR(__xludf.DUMMYFUNCTION("""COMPUTED_VALUE"""),"Accidental")</f>
        <v>Accidental</v>
      </c>
      <c r="AB1306" s="5" t="str">
        <f ca="1">IFERROR(__xludf.DUMMYFUNCTION("""COMPUTED_VALUE"""),"Random Shooting")</f>
        <v>Random Shooting</v>
      </c>
      <c r="AC1306" s="5" t="str">
        <f ca="1">IFERROR(__xludf.DUMMYFUNCTION("""COMPUTED_VALUE"""),"No")</f>
        <v>No</v>
      </c>
      <c r="AD1306" s="5" t="str">
        <f ca="1">IFERROR(__xludf.DUMMYFUNCTION("""COMPUTED_VALUE"""),"No")</f>
        <v>No</v>
      </c>
      <c r="AE1306" s="5" t="str">
        <f ca="1">IFERROR(__xludf.DUMMYFUNCTION("""COMPUTED_VALUE"""),"No")</f>
        <v>No</v>
      </c>
      <c r="AF1306" s="5" t="str">
        <f ca="1">IFERROR(__xludf.DUMMYFUNCTION("""COMPUTED_VALUE"""),"No")</f>
        <v>No</v>
      </c>
      <c r="AG1306" s="5" t="str">
        <f ca="1">IFERROR(__xludf.DUMMYFUNCTION("""COMPUTED_VALUE"""),"No")</f>
        <v>No</v>
      </c>
      <c r="AH1306" s="5" t="str">
        <f ca="1">IFERROR(__xludf.DUMMYFUNCTION("""COMPUTED_VALUE"""),"No")</f>
        <v>No</v>
      </c>
      <c r="AI1306" s="5" t="str">
        <f ca="1">IFERROR(__xludf.DUMMYFUNCTION("""COMPUTED_VALUE"""),"No")</f>
        <v>No</v>
      </c>
      <c r="AJ1306" s="5"/>
    </row>
    <row r="1307" spans="1:36" ht="13">
      <c r="A1307" s="5" t="str">
        <f ca="1">IFERROR(__xludf.DUMMYFUNCTION("""COMPUTED_VALUE"""),"20081231GASHS")</f>
        <v>20081231GASHS</v>
      </c>
      <c r="B1307" s="5">
        <f ca="1">IFERROR(__xludf.DUMMYFUNCTION("""COMPUTED_VALUE"""),12)</f>
        <v>12</v>
      </c>
      <c r="C1307" s="5">
        <f ca="1">IFERROR(__xludf.DUMMYFUNCTION("""COMPUTED_VALUE"""),31)</f>
        <v>31</v>
      </c>
      <c r="D1307" s="5">
        <f ca="1">IFERROR(__xludf.DUMMYFUNCTION("""COMPUTED_VALUE"""),2008)</f>
        <v>2008</v>
      </c>
      <c r="E1307" s="8">
        <f ca="1">IFERROR(__xludf.DUMMYFUNCTION("""COMPUTED_VALUE"""),39813)</f>
        <v>39813</v>
      </c>
      <c r="F1307" s="5" t="str">
        <f ca="1">IFERROR(__xludf.DUMMYFUNCTION("""COMPUTED_VALUE"""),"Shuman Middle School")</f>
        <v>Shuman Middle School</v>
      </c>
      <c r="G1307" s="5">
        <f ca="1">IFERROR(__xludf.DUMMYFUNCTION("""COMPUTED_VALUE"""),0)</f>
        <v>0</v>
      </c>
      <c r="H1307" s="5">
        <f ca="1">IFERROR(__xludf.DUMMYFUNCTION("""COMPUTED_VALUE"""),1)</f>
        <v>1</v>
      </c>
      <c r="I1307" s="5">
        <f ca="1">IFERROR(__xludf.DUMMYFUNCTION("""COMPUTED_VALUE"""),1)</f>
        <v>1</v>
      </c>
      <c r="J1307" s="5">
        <f ca="1">IFERROR(__xludf.DUMMYFUNCTION("""COMPUTED_VALUE"""),0)</f>
        <v>0</v>
      </c>
      <c r="K1307" s="9" t="str">
        <f ca="1">IFERROR(__xludf.DUMMYFUNCTION("""COMPUTED_VALUE"""),"https://www.columbine-angels.com/School_Violence_2008-2009.htm")</f>
        <v>https://www.columbine-angels.com/School_Violence_2008-2009.htm</v>
      </c>
      <c r="L1307" s="5"/>
      <c r="M1307" s="5"/>
      <c r="N1307" s="5">
        <f ca="1">IFERROR(__xludf.DUMMYFUNCTION("""COMPUTED_VALUE"""),1)</f>
        <v>1</v>
      </c>
      <c r="O1307" s="5" t="str">
        <f ca="1">IFERROR(__xludf.DUMMYFUNCTION("""COMPUTED_VALUE"""),"Winter")</f>
        <v>Winter</v>
      </c>
      <c r="P1307" s="5" t="str">
        <f ca="1">IFERROR(__xludf.DUMMYFUNCTION("""COMPUTED_VALUE"""),"Savannah")</f>
        <v>Savannah</v>
      </c>
      <c r="Q1307" s="5" t="str">
        <f ca="1">IFERROR(__xludf.DUMMYFUNCTION("""COMPUTED_VALUE"""),"GA")</f>
        <v>GA</v>
      </c>
      <c r="R1307" s="5" t="str">
        <f ca="1">IFERROR(__xludf.DUMMYFUNCTION("""COMPUTED_VALUE"""),"Middle")</f>
        <v>Middle</v>
      </c>
      <c r="S1307" s="5" t="str">
        <f ca="1">IFERROR(__xludf.DUMMYFUNCTION("""COMPUTED_VALUE"""),"Beside Building")</f>
        <v>Beside Building</v>
      </c>
      <c r="T1307" s="5" t="str">
        <f ca="1">IFERROR(__xludf.DUMMYFUNCTION("""COMPUTED_VALUE"""),"Outside on School Property")</f>
        <v>Outside on School Property</v>
      </c>
      <c r="U1307" s="5" t="str">
        <f ca="1">IFERROR(__xludf.DUMMYFUNCTION("""COMPUTED_VALUE"""),"No")</f>
        <v>No</v>
      </c>
      <c r="V1307" s="5" t="str">
        <f ca="1">IFERROR(__xludf.DUMMYFUNCTION("""COMPUTED_VALUE"""),"Evening")</f>
        <v>Evening</v>
      </c>
      <c r="W1307" s="5"/>
      <c r="X1307" s="5">
        <f ca="1">IFERROR(__xludf.DUMMYFUNCTION("""COMPUTED_VALUE"""),1)</f>
        <v>1</v>
      </c>
      <c r="Y1307" s="5" t="str">
        <f ca="1">IFERROR(__xludf.DUMMYFUNCTION("""COMPUTED_VALUE"""),"Shotgun fired during fight between 4 women, employee struck")</f>
        <v>Shotgun fired during fight between 4 women, employee struck</v>
      </c>
      <c r="Z1307" s="5" t="str">
        <f ca="1">IFERROR(__xludf.DUMMYFUNCTION("""COMPUTED_VALUE"""),"City employee shot while trying to break up fight between 4 women. 18YOF fired shotgun into air, pellets struck the employee.")</f>
        <v>City employee shot while trying to break up fight between 4 women. 18YOF fired shotgun into air, pellets struck the employee.</v>
      </c>
      <c r="AA1307" s="5" t="str">
        <f ca="1">IFERROR(__xludf.DUMMYFUNCTION("""COMPUTED_VALUE"""),"Escalation of Dispute")</f>
        <v>Escalation of Dispute</v>
      </c>
      <c r="AB1307" s="5" t="str">
        <f ca="1">IFERROR(__xludf.DUMMYFUNCTION("""COMPUTED_VALUE"""),"Random Shooting")</f>
        <v>Random Shooting</v>
      </c>
      <c r="AC1307" s="5" t="str">
        <f ca="1">IFERROR(__xludf.DUMMYFUNCTION("""COMPUTED_VALUE"""),"No")</f>
        <v>No</v>
      </c>
      <c r="AD1307" s="5" t="str">
        <f ca="1">IFERROR(__xludf.DUMMYFUNCTION("""COMPUTED_VALUE"""),"No")</f>
        <v>No</v>
      </c>
      <c r="AE1307" s="5" t="str">
        <f ca="1">IFERROR(__xludf.DUMMYFUNCTION("""COMPUTED_VALUE"""),"No")</f>
        <v>No</v>
      </c>
      <c r="AF1307" s="5" t="str">
        <f ca="1">IFERROR(__xludf.DUMMYFUNCTION("""COMPUTED_VALUE"""),"No")</f>
        <v>No</v>
      </c>
      <c r="AG1307" s="5" t="str">
        <f ca="1">IFERROR(__xludf.DUMMYFUNCTION("""COMPUTED_VALUE"""),"No")</f>
        <v>No</v>
      </c>
      <c r="AH1307" s="5" t="str">
        <f ca="1">IFERROR(__xludf.DUMMYFUNCTION("""COMPUTED_VALUE"""),"No")</f>
        <v>No</v>
      </c>
      <c r="AI1307" s="5" t="str">
        <f ca="1">IFERROR(__xludf.DUMMYFUNCTION("""COMPUTED_VALUE"""),"No")</f>
        <v>No</v>
      </c>
      <c r="AJ1307" s="5"/>
    </row>
    <row r="1308" spans="1:36" ht="13">
      <c r="A1308" s="5" t="str">
        <f ca="1">IFERROR(__xludf.DUMMYFUNCTION("""COMPUTED_VALUE"""),"20081231OKKEN")</f>
        <v>20081231OKKEN</v>
      </c>
      <c r="B1308" s="5">
        <f ca="1">IFERROR(__xludf.DUMMYFUNCTION("""COMPUTED_VALUE"""),12)</f>
        <v>12</v>
      </c>
      <c r="C1308" s="5">
        <f ca="1">IFERROR(__xludf.DUMMYFUNCTION("""COMPUTED_VALUE"""),31)</f>
        <v>31</v>
      </c>
      <c r="D1308" s="5">
        <f ca="1">IFERROR(__xludf.DUMMYFUNCTION("""COMPUTED_VALUE"""),2008)</f>
        <v>2008</v>
      </c>
      <c r="E1308" s="8">
        <f ca="1">IFERROR(__xludf.DUMMYFUNCTION("""COMPUTED_VALUE"""),39813)</f>
        <v>39813</v>
      </c>
      <c r="F1308" s="5" t="str">
        <f ca="1">IFERROR(__xludf.DUMMYFUNCTION("""COMPUTED_VALUE"""),"Kennedy Elementary School")</f>
        <v>Kennedy Elementary School</v>
      </c>
      <c r="G1308" s="5">
        <f ca="1">IFERROR(__xludf.DUMMYFUNCTION("""COMPUTED_VALUE"""),0)</f>
        <v>0</v>
      </c>
      <c r="H1308" s="5">
        <f ca="1">IFERROR(__xludf.DUMMYFUNCTION("""COMPUTED_VALUE"""),0)</f>
        <v>0</v>
      </c>
      <c r="I1308" s="5">
        <f ca="1">IFERROR(__xludf.DUMMYFUNCTION("""COMPUTED_VALUE"""),0)</f>
        <v>0</v>
      </c>
      <c r="J1308" s="5">
        <f ca="1">IFERROR(__xludf.DUMMYFUNCTION("""COMPUTED_VALUE"""),1)</f>
        <v>1</v>
      </c>
      <c r="K1308" s="9" t="str">
        <f ca="1">IFERROR(__xludf.DUMMYFUNCTION("""COMPUTED_VALUE"""),"https://www.columbine-angels.com/School_Violence_2008-2009.htm")</f>
        <v>https://www.columbine-angels.com/School_Violence_2008-2009.htm</v>
      </c>
      <c r="L1308" s="5"/>
      <c r="M1308" s="5"/>
      <c r="N1308" s="5">
        <f ca="1">IFERROR(__xludf.DUMMYFUNCTION("""COMPUTED_VALUE"""),1)</f>
        <v>1</v>
      </c>
      <c r="O1308" s="5" t="str">
        <f ca="1">IFERROR(__xludf.DUMMYFUNCTION("""COMPUTED_VALUE"""),"Winter")</f>
        <v>Winter</v>
      </c>
      <c r="P1308" s="5" t="str">
        <f ca="1">IFERROR(__xludf.DUMMYFUNCTION("""COMPUTED_VALUE"""),"Norman")</f>
        <v>Norman</v>
      </c>
      <c r="Q1308" s="5" t="str">
        <f ca="1">IFERROR(__xludf.DUMMYFUNCTION("""COMPUTED_VALUE"""),"OK")</f>
        <v>OK</v>
      </c>
      <c r="R1308" s="5" t="str">
        <f ca="1">IFERROR(__xludf.DUMMYFUNCTION("""COMPUTED_VALUE"""),"Elementary")</f>
        <v>Elementary</v>
      </c>
      <c r="S1308" s="5" t="str">
        <f ca="1">IFERROR(__xludf.DUMMYFUNCTION("""COMPUTED_VALUE"""),"Outside on School Property")</f>
        <v>Outside on School Property</v>
      </c>
      <c r="T1308" s="5" t="str">
        <f ca="1">IFERROR(__xludf.DUMMYFUNCTION("""COMPUTED_VALUE"""),"Outside on School Property")</f>
        <v>Outside on School Property</v>
      </c>
      <c r="U1308" s="5" t="str">
        <f ca="1">IFERROR(__xludf.DUMMYFUNCTION("""COMPUTED_VALUE"""),"No")</f>
        <v>No</v>
      </c>
      <c r="V1308" s="5" t="str">
        <f ca="1">IFERROR(__xludf.DUMMYFUNCTION("""COMPUTED_VALUE"""),"Not a School Day")</f>
        <v>Not a School Day</v>
      </c>
      <c r="W1308" s="5"/>
      <c r="X1308" s="5">
        <f ca="1">IFERROR(__xludf.DUMMYFUNCTION("""COMPUTED_VALUE"""),1)</f>
        <v>1</v>
      </c>
      <c r="Y1308" s="5" t="str">
        <f ca="1">IFERROR(__xludf.DUMMYFUNCTION("""COMPUTED_VALUE"""),"Commit suicide outside of school")</f>
        <v>Commit suicide outside of school</v>
      </c>
      <c r="Z1308" s="5" t="str">
        <f ca="1">IFERROR(__xludf.DUMMYFUNCTION("""COMPUTED_VALUE"""),"68YOM commit suicide outside of school.")</f>
        <v>68YOM commit suicide outside of school.</v>
      </c>
      <c r="AA1308" s="5" t="str">
        <f ca="1">IFERROR(__xludf.DUMMYFUNCTION("""COMPUTED_VALUE"""),"Suicide/Attempted")</f>
        <v>Suicide/Attempted</v>
      </c>
      <c r="AB1308" s="5" t="str">
        <f ca="1">IFERROR(__xludf.DUMMYFUNCTION("""COMPUTED_VALUE"""),"Victims Targeted")</f>
        <v>Victims Targeted</v>
      </c>
      <c r="AC1308" s="5" t="str">
        <f ca="1">IFERROR(__xludf.DUMMYFUNCTION("""COMPUTED_VALUE"""),"No")</f>
        <v>No</v>
      </c>
      <c r="AD1308" s="5" t="str">
        <f ca="1">IFERROR(__xludf.DUMMYFUNCTION("""COMPUTED_VALUE"""),"No")</f>
        <v>No</v>
      </c>
      <c r="AE1308" s="5" t="str">
        <f ca="1">IFERROR(__xludf.DUMMYFUNCTION("""COMPUTED_VALUE"""),"No")</f>
        <v>No</v>
      </c>
      <c r="AF1308" s="5" t="str">
        <f ca="1">IFERROR(__xludf.DUMMYFUNCTION("""COMPUTED_VALUE"""),"No")</f>
        <v>No</v>
      </c>
      <c r="AG1308" s="5" t="str">
        <f ca="1">IFERROR(__xludf.DUMMYFUNCTION("""COMPUTED_VALUE"""),"No")</f>
        <v>No</v>
      </c>
      <c r="AH1308" s="5" t="str">
        <f ca="1">IFERROR(__xludf.DUMMYFUNCTION("""COMPUTED_VALUE"""),"No")</f>
        <v>No</v>
      </c>
      <c r="AI1308" s="5" t="str">
        <f ca="1">IFERROR(__xludf.DUMMYFUNCTION("""COMPUTED_VALUE"""),"No")</f>
        <v>No</v>
      </c>
      <c r="AJ1308" s="5"/>
    </row>
    <row r="1309" spans="1:36" ht="13">
      <c r="A1309" s="5" t="str">
        <f ca="1">IFERROR(__xludf.DUMMYFUNCTION("""COMPUTED_VALUE"""),"20081227PAWIP")</f>
        <v>20081227PAWIP</v>
      </c>
      <c r="B1309" s="5">
        <f ca="1">IFERROR(__xludf.DUMMYFUNCTION("""COMPUTED_VALUE"""),12)</f>
        <v>12</v>
      </c>
      <c r="C1309" s="5">
        <f ca="1">IFERROR(__xludf.DUMMYFUNCTION("""COMPUTED_VALUE"""),27)</f>
        <v>27</v>
      </c>
      <c r="D1309" s="5">
        <f ca="1">IFERROR(__xludf.DUMMYFUNCTION("""COMPUTED_VALUE"""),2008)</f>
        <v>2008</v>
      </c>
      <c r="E1309" s="8">
        <f ca="1">IFERROR(__xludf.DUMMYFUNCTION("""COMPUTED_VALUE"""),39809)</f>
        <v>39809</v>
      </c>
      <c r="F1309" s="5" t="str">
        <f ca="1">IFERROR(__xludf.DUMMYFUNCTION("""COMPUTED_VALUE"""),"William H. Harrison Elementary School")</f>
        <v>William H. Harrison Elementary School</v>
      </c>
      <c r="G1309" s="5">
        <f ca="1">IFERROR(__xludf.DUMMYFUNCTION("""COMPUTED_VALUE"""),0)</f>
        <v>0</v>
      </c>
      <c r="H1309" s="5">
        <f ca="1">IFERROR(__xludf.DUMMYFUNCTION("""COMPUTED_VALUE"""),2)</f>
        <v>2</v>
      </c>
      <c r="I1309" s="5">
        <f ca="1">IFERROR(__xludf.DUMMYFUNCTION("""COMPUTED_VALUE"""),2)</f>
        <v>2</v>
      </c>
      <c r="J1309" s="5">
        <f ca="1">IFERROR(__xludf.DUMMYFUNCTION("""COMPUTED_VALUE"""),0)</f>
        <v>0</v>
      </c>
      <c r="K1309" s="9" t="str">
        <f ca="1">IFERROR(__xludf.DUMMYFUNCTION("""COMPUTED_VALUE"""),"https://www.columbine-angels.com/School_Violence_2008-2009.htm")</f>
        <v>https://www.columbine-angels.com/School_Violence_2008-2009.htm</v>
      </c>
      <c r="L1309" s="5"/>
      <c r="M1309" s="5"/>
      <c r="N1309" s="5">
        <f ca="1">IFERROR(__xludf.DUMMYFUNCTION("""COMPUTED_VALUE"""),1)</f>
        <v>1</v>
      </c>
      <c r="O1309" s="5" t="str">
        <f ca="1">IFERROR(__xludf.DUMMYFUNCTION("""COMPUTED_VALUE"""),"Winter")</f>
        <v>Winter</v>
      </c>
      <c r="P1309" s="5" t="str">
        <f ca="1">IFERROR(__xludf.DUMMYFUNCTION("""COMPUTED_VALUE"""),"Philadelphia")</f>
        <v>Philadelphia</v>
      </c>
      <c r="Q1309" s="5" t="str">
        <f ca="1">IFERROR(__xludf.DUMMYFUNCTION("""COMPUTED_VALUE"""),"PA")</f>
        <v>PA</v>
      </c>
      <c r="R1309" s="5" t="str">
        <f ca="1">IFERROR(__xludf.DUMMYFUNCTION("""COMPUTED_VALUE"""),"Elementary")</f>
        <v>Elementary</v>
      </c>
      <c r="S1309" s="5" t="str">
        <f ca="1">IFERROR(__xludf.DUMMYFUNCTION("""COMPUTED_VALUE"""),"Beside Building")</f>
        <v>Beside Building</v>
      </c>
      <c r="T1309" s="5" t="str">
        <f ca="1">IFERROR(__xludf.DUMMYFUNCTION("""COMPUTED_VALUE"""),"Outside on School Property")</f>
        <v>Outside on School Property</v>
      </c>
      <c r="U1309" s="5" t="str">
        <f ca="1">IFERROR(__xludf.DUMMYFUNCTION("""COMPUTED_VALUE"""),"No")</f>
        <v>No</v>
      </c>
      <c r="V1309" s="5" t="str">
        <f ca="1">IFERROR(__xludf.DUMMYFUNCTION("""COMPUTED_VALUE"""),"Not a School Day")</f>
        <v>Not a School Day</v>
      </c>
      <c r="W1309" s="10">
        <f ca="1">IFERROR(__xludf.DUMMYFUNCTION("""COMPUTED_VALUE"""),0.416666666666666)</f>
        <v>0.41666666666666602</v>
      </c>
      <c r="X1309" s="5">
        <f ca="1">IFERROR(__xludf.DUMMYFUNCTION("""COMPUTED_VALUE"""),1)</f>
        <v>1</v>
      </c>
      <c r="Y1309" s="5" t="str">
        <f ca="1">IFERROR(__xludf.DUMMYFUNCTION("""COMPUTED_VALUE"""),"Two adults shot at elementary school")</f>
        <v>Two adults shot at elementary school</v>
      </c>
      <c r="Z1309" s="5" t="str">
        <f ca="1">IFERROR(__xludf.DUMMYFUNCTION("""COMPUTED_VALUE"""),"27YOM and 31YOF shot outside of the school. No other information available.")</f>
        <v>27YOM and 31YOF shot outside of the school. No other information available.</v>
      </c>
      <c r="AA1309" s="5" t="str">
        <f ca="1">IFERROR(__xludf.DUMMYFUNCTION("""COMPUTED_VALUE"""),"Unknown")</f>
        <v>Unknown</v>
      </c>
      <c r="AB1309" s="5"/>
      <c r="AC1309" s="5"/>
      <c r="AD1309" s="5" t="str">
        <f ca="1">IFERROR(__xludf.DUMMYFUNCTION("""COMPUTED_VALUE"""),"No")</f>
        <v>No</v>
      </c>
      <c r="AE1309" s="5" t="str">
        <f ca="1">IFERROR(__xludf.DUMMYFUNCTION("""COMPUTED_VALUE"""),"No")</f>
        <v>No</v>
      </c>
      <c r="AF1309" s="5" t="str">
        <f ca="1">IFERROR(__xludf.DUMMYFUNCTION("""COMPUTED_VALUE"""),"No")</f>
        <v>No</v>
      </c>
      <c r="AG1309" s="5" t="str">
        <f ca="1">IFERROR(__xludf.DUMMYFUNCTION("""COMPUTED_VALUE"""),"No")</f>
        <v>No</v>
      </c>
      <c r="AH1309" s="5" t="str">
        <f ca="1">IFERROR(__xludf.DUMMYFUNCTION("""COMPUTED_VALUE"""),"No")</f>
        <v>No</v>
      </c>
      <c r="AI1309" s="5"/>
      <c r="AJ1309" s="5"/>
    </row>
    <row r="1310" spans="1:36" ht="13">
      <c r="A1310" s="5" t="str">
        <f ca="1">IFERROR(__xludf.DUMMYFUNCTION("""COMPUTED_VALUE"""),"20081222FLLAL")</f>
        <v>20081222FLLAL</v>
      </c>
      <c r="B1310" s="5">
        <f ca="1">IFERROR(__xludf.DUMMYFUNCTION("""COMPUTED_VALUE"""),12)</f>
        <v>12</v>
      </c>
      <c r="C1310" s="5">
        <f ca="1">IFERROR(__xludf.DUMMYFUNCTION("""COMPUTED_VALUE"""),22)</f>
        <v>22</v>
      </c>
      <c r="D1310" s="5">
        <f ca="1">IFERROR(__xludf.DUMMYFUNCTION("""COMPUTED_VALUE"""),2008)</f>
        <v>2008</v>
      </c>
      <c r="E1310" s="8">
        <f ca="1">IFERROR(__xludf.DUMMYFUNCTION("""COMPUTED_VALUE"""),39804)</f>
        <v>39804</v>
      </c>
      <c r="F1310" s="5" t="str">
        <f ca="1">IFERROR(__xludf.DUMMYFUNCTION("""COMPUTED_VALUE"""),"Largo Middle School")</f>
        <v>Largo Middle School</v>
      </c>
      <c r="G1310" s="5">
        <f ca="1">IFERROR(__xludf.DUMMYFUNCTION("""COMPUTED_VALUE"""),0)</f>
        <v>0</v>
      </c>
      <c r="H1310" s="5">
        <f ca="1">IFERROR(__xludf.DUMMYFUNCTION("""COMPUTED_VALUE"""),0)</f>
        <v>0</v>
      </c>
      <c r="I1310" s="5">
        <f ca="1">IFERROR(__xludf.DUMMYFUNCTION("""COMPUTED_VALUE"""),0)</f>
        <v>0</v>
      </c>
      <c r="J1310" s="5">
        <f ca="1">IFERROR(__xludf.DUMMYFUNCTION("""COMPUTED_VALUE"""),1)</f>
        <v>1</v>
      </c>
      <c r="K1310" s="5" t="str">
        <f ca="1">IFERROR(__xludf.DUMMYFUNCTION("""COMPUTED_VALUE"""),"https://www.newspapers.com/image/331839756/?terms=teacher%2Bshot  https://www.newspapers.com/image/331848545/")</f>
        <v>https://www.newspapers.com/image/331839756/?terms=teacher%2Bshot  https://www.newspapers.com/image/331848545/</v>
      </c>
      <c r="L1310" s="5"/>
      <c r="M1310" s="5"/>
      <c r="N1310" s="5">
        <f ca="1">IFERROR(__xludf.DUMMYFUNCTION("""COMPUTED_VALUE"""),3)</f>
        <v>3</v>
      </c>
      <c r="O1310" s="5" t="str">
        <f ca="1">IFERROR(__xludf.DUMMYFUNCTION("""COMPUTED_VALUE"""),"Winter")</f>
        <v>Winter</v>
      </c>
      <c r="P1310" s="5" t="str">
        <f ca="1">IFERROR(__xludf.DUMMYFUNCTION("""COMPUTED_VALUE"""),"Largo")</f>
        <v>Largo</v>
      </c>
      <c r="Q1310" s="5" t="str">
        <f ca="1">IFERROR(__xludf.DUMMYFUNCTION("""COMPUTED_VALUE"""),"FL")</f>
        <v>FL</v>
      </c>
      <c r="R1310" s="5" t="str">
        <f ca="1">IFERROR(__xludf.DUMMYFUNCTION("""COMPUTED_VALUE"""),"Middle")</f>
        <v>Middle</v>
      </c>
      <c r="S1310" s="5" t="str">
        <f ca="1">IFERROR(__xludf.DUMMYFUNCTION("""COMPUTED_VALUE"""),"Outside on School Property")</f>
        <v>Outside on School Property</v>
      </c>
      <c r="T1310" s="5" t="str">
        <f ca="1">IFERROR(__xludf.DUMMYFUNCTION("""COMPUTED_VALUE"""),"Outside on School Property")</f>
        <v>Outside on School Property</v>
      </c>
      <c r="U1310" s="5" t="str">
        <f ca="1">IFERROR(__xludf.DUMMYFUNCTION("""COMPUTED_VALUE"""),"No")</f>
        <v>No</v>
      </c>
      <c r="V1310" s="5" t="str">
        <f ca="1">IFERROR(__xludf.DUMMYFUNCTION("""COMPUTED_VALUE"""),"Not a School Day")</f>
        <v>Not a School Day</v>
      </c>
      <c r="W1310" s="5"/>
      <c r="X1310" s="5">
        <f ca="1">IFERROR(__xludf.DUMMYFUNCTION("""COMPUTED_VALUE"""),1)</f>
        <v>1</v>
      </c>
      <c r="Y1310" s="5" t="str">
        <f ca="1">IFERROR(__xludf.DUMMYFUNCTION("""COMPUTED_VALUE"""),"Teacher commit suicide in school")</f>
        <v>Teacher commit suicide in school</v>
      </c>
      <c r="Z1310" s="5" t="str">
        <f ca="1">IFERROR(__xludf.DUMMYFUNCTION("""COMPUTED_VALUE"""),"47 year old school teacher committed suicide  - she left a note blaming the school administration for not doing a better job in protecting her from threats by students. She was also known to suffer from depression.")</f>
        <v>47 year old school teacher committed suicide  - she left a note blaming the school administration for not doing a better job in protecting her from threats by students. She was also known to suffer from depression.</v>
      </c>
      <c r="AA1310" s="5" t="str">
        <f ca="1">IFERROR(__xludf.DUMMYFUNCTION("""COMPUTED_VALUE"""),"Suicide/Attempted")</f>
        <v>Suicide/Attempted</v>
      </c>
      <c r="AB1310" s="5" t="str">
        <f ca="1">IFERROR(__xludf.DUMMYFUNCTION("""COMPUTED_VALUE"""),"Victims Targeted")</f>
        <v>Victims Targeted</v>
      </c>
      <c r="AC1310" s="5" t="str">
        <f ca="1">IFERROR(__xludf.DUMMYFUNCTION("""COMPUTED_VALUE"""),"No")</f>
        <v>No</v>
      </c>
      <c r="AD1310" s="5" t="str">
        <f ca="1">IFERROR(__xludf.DUMMYFUNCTION("""COMPUTED_VALUE"""),"No")</f>
        <v>No</v>
      </c>
      <c r="AE1310" s="5" t="str">
        <f ca="1">IFERROR(__xludf.DUMMYFUNCTION("""COMPUTED_VALUE"""),"No")</f>
        <v>No</v>
      </c>
      <c r="AF1310" s="5" t="str">
        <f ca="1">IFERROR(__xludf.DUMMYFUNCTION("""COMPUTED_VALUE"""),"No")</f>
        <v>No</v>
      </c>
      <c r="AG1310" s="5" t="str">
        <f ca="1">IFERROR(__xludf.DUMMYFUNCTION("""COMPUTED_VALUE"""),"No")</f>
        <v>No</v>
      </c>
      <c r="AH1310" s="5" t="str">
        <f ca="1">IFERROR(__xludf.DUMMYFUNCTION("""COMPUTED_VALUE"""),"No")</f>
        <v>No</v>
      </c>
      <c r="AI1310" s="5" t="str">
        <f ca="1">IFERROR(__xludf.DUMMYFUNCTION("""COMPUTED_VALUE"""),"No")</f>
        <v>No</v>
      </c>
      <c r="AJ1310" s="5"/>
    </row>
    <row r="1311" spans="1:36" ht="13">
      <c r="A1311" s="5" t="str">
        <f ca="1">IFERROR(__xludf.DUMMYFUNCTION("""COMPUTED_VALUE"""),"20081221SCSUS")</f>
        <v>20081221SCSUS</v>
      </c>
      <c r="B1311" s="5">
        <f ca="1">IFERROR(__xludf.DUMMYFUNCTION("""COMPUTED_VALUE"""),12)</f>
        <v>12</v>
      </c>
      <c r="C1311" s="5">
        <f ca="1">IFERROR(__xludf.DUMMYFUNCTION("""COMPUTED_VALUE"""),21)</f>
        <v>21</v>
      </c>
      <c r="D1311" s="5">
        <f ca="1">IFERROR(__xludf.DUMMYFUNCTION("""COMPUTED_VALUE"""),2008)</f>
        <v>2008</v>
      </c>
      <c r="E1311" s="8">
        <f ca="1">IFERROR(__xludf.DUMMYFUNCTION("""COMPUTED_VALUE"""),39803)</f>
        <v>39803</v>
      </c>
      <c r="F1311" s="5" t="str">
        <f ca="1">IFERROR(__xludf.DUMMYFUNCTION("""COMPUTED_VALUE"""),"Summerville High School")</f>
        <v>Summerville High School</v>
      </c>
      <c r="G1311" s="5">
        <f ca="1">IFERROR(__xludf.DUMMYFUNCTION("""COMPUTED_VALUE"""),0)</f>
        <v>0</v>
      </c>
      <c r="H1311" s="5">
        <f ca="1">IFERROR(__xludf.DUMMYFUNCTION("""COMPUTED_VALUE"""),1)</f>
        <v>1</v>
      </c>
      <c r="I1311" s="5">
        <f ca="1">IFERROR(__xludf.DUMMYFUNCTION("""COMPUTED_VALUE"""),1)</f>
        <v>1</v>
      </c>
      <c r="J1311" s="5">
        <f ca="1">IFERROR(__xludf.DUMMYFUNCTION("""COMPUTED_VALUE"""),0)</f>
        <v>0</v>
      </c>
      <c r="K1311" s="9" t="str">
        <f ca="1">IFERROR(__xludf.DUMMYFUNCTION("""COMPUTED_VALUE"""),"https://www.postandcourier.com/news/teen-wounded-at-summerville-high/article_e9e8740e-ac4b-54fe-bf85-d2756db7f1cc.html")</f>
        <v>https://www.postandcourier.com/news/teen-wounded-at-summerville-high/article_e9e8740e-ac4b-54fe-bf85-d2756db7f1cc.html</v>
      </c>
      <c r="L1311" s="5"/>
      <c r="M1311" s="5"/>
      <c r="N1311" s="5">
        <f ca="1">IFERROR(__xludf.DUMMYFUNCTION("""COMPUTED_VALUE"""),2)</f>
        <v>2</v>
      </c>
      <c r="O1311" s="5" t="str">
        <f ca="1">IFERROR(__xludf.DUMMYFUNCTION("""COMPUTED_VALUE"""),"Winter")</f>
        <v>Winter</v>
      </c>
      <c r="P1311" s="5" t="str">
        <f ca="1">IFERROR(__xludf.DUMMYFUNCTION("""COMPUTED_VALUE"""),"Summerville")</f>
        <v>Summerville</v>
      </c>
      <c r="Q1311" s="5" t="str">
        <f ca="1">IFERROR(__xludf.DUMMYFUNCTION("""COMPUTED_VALUE"""),"SC")</f>
        <v>SC</v>
      </c>
      <c r="R1311" s="5" t="str">
        <f ca="1">IFERROR(__xludf.DUMMYFUNCTION("""COMPUTED_VALUE"""),"High")</f>
        <v>High</v>
      </c>
      <c r="S1311" s="5" t="str">
        <f ca="1">IFERROR(__xludf.DUMMYFUNCTION("""COMPUTED_VALUE"""),"Parking Lot")</f>
        <v>Parking Lot</v>
      </c>
      <c r="T1311" s="5" t="str">
        <f ca="1">IFERROR(__xludf.DUMMYFUNCTION("""COMPUTED_VALUE"""),"Outside on School Property")</f>
        <v>Outside on School Property</v>
      </c>
      <c r="U1311" s="5" t="str">
        <f ca="1">IFERROR(__xludf.DUMMYFUNCTION("""COMPUTED_VALUE"""),"No")</f>
        <v>No</v>
      </c>
      <c r="V1311" s="5" t="str">
        <f ca="1">IFERROR(__xludf.DUMMYFUNCTION("""COMPUTED_VALUE"""),"Evening")</f>
        <v>Evening</v>
      </c>
      <c r="W1311" s="10">
        <f ca="1">IFERROR(__xludf.DUMMYFUNCTION("""COMPUTED_VALUE"""),0.802083333333333)</f>
        <v>0.80208333333333304</v>
      </c>
      <c r="X1311" s="5">
        <f ca="1">IFERROR(__xludf.DUMMYFUNCTION("""COMPUTED_VALUE"""),1)</f>
        <v>1</v>
      </c>
      <c r="Y1311" s="5" t="str">
        <f ca="1">IFERROR(__xludf.DUMMYFUNCTION("""COMPUTED_VALUE"""),"Fight in the school parking lot, shots fired struck a bystander")</f>
        <v>Fight in the school parking lot, shots fired struck a bystander</v>
      </c>
      <c r="Z1311" s="5" t="str">
        <f ca="1">IFERROR(__xludf.DUMMYFUNCTION("""COMPUTED_VALUE"""),"Fight between multiple people in the parking lot. 23YOM fired shots that struck a 17YOM walking in the area.")</f>
        <v>Fight between multiple people in the parking lot. 23YOM fired shots that struck a 17YOM walking in the area.</v>
      </c>
      <c r="AA1311" s="5" t="str">
        <f ca="1">IFERROR(__xludf.DUMMYFUNCTION("""COMPUTED_VALUE"""),"Escalation of Dispute")</f>
        <v>Escalation of Dispute</v>
      </c>
      <c r="AB1311" s="5" t="str">
        <f ca="1">IFERROR(__xludf.DUMMYFUNCTION("""COMPUTED_VALUE"""),"Both")</f>
        <v>Both</v>
      </c>
      <c r="AC1311" s="5"/>
      <c r="AD1311" s="5" t="str">
        <f ca="1">IFERROR(__xludf.DUMMYFUNCTION("""COMPUTED_VALUE"""),"No")</f>
        <v>No</v>
      </c>
      <c r="AE1311" s="5" t="str">
        <f ca="1">IFERROR(__xludf.DUMMYFUNCTION("""COMPUTED_VALUE"""),"No")</f>
        <v>No</v>
      </c>
      <c r="AF1311" s="5" t="str">
        <f ca="1">IFERROR(__xludf.DUMMYFUNCTION("""COMPUTED_VALUE"""),"No")</f>
        <v>No</v>
      </c>
      <c r="AG1311" s="5" t="str">
        <f ca="1">IFERROR(__xludf.DUMMYFUNCTION("""COMPUTED_VALUE"""),"No")</f>
        <v>No</v>
      </c>
      <c r="AH1311" s="5" t="str">
        <f ca="1">IFERROR(__xludf.DUMMYFUNCTION("""COMPUTED_VALUE"""),"No")</f>
        <v>No</v>
      </c>
      <c r="AI1311" s="5" t="str">
        <f ca="1">IFERROR(__xludf.DUMMYFUNCTION("""COMPUTED_VALUE"""),"No")</f>
        <v>No</v>
      </c>
      <c r="AJ1311" s="5"/>
    </row>
    <row r="1312" spans="1:36" ht="13">
      <c r="A1312" s="5" t="str">
        <f ca="1">IFERROR(__xludf.DUMMYFUNCTION("""COMPUTED_VALUE"""),"20081212NCGUA")</f>
        <v>20081212NCGUA</v>
      </c>
      <c r="B1312" s="5">
        <f ca="1">IFERROR(__xludf.DUMMYFUNCTION("""COMPUTED_VALUE"""),12)</f>
        <v>12</v>
      </c>
      <c r="C1312" s="5">
        <f ca="1">IFERROR(__xludf.DUMMYFUNCTION("""COMPUTED_VALUE"""),12)</f>
        <v>12</v>
      </c>
      <c r="D1312" s="5">
        <f ca="1">IFERROR(__xludf.DUMMYFUNCTION("""COMPUTED_VALUE"""),2008)</f>
        <v>2008</v>
      </c>
      <c r="E1312" s="8">
        <f ca="1">IFERROR(__xludf.DUMMYFUNCTION("""COMPUTED_VALUE"""),39794)</f>
        <v>39794</v>
      </c>
      <c r="F1312" s="5" t="str">
        <f ca="1">IFERROR(__xludf.DUMMYFUNCTION("""COMPUTED_VALUE"""),"Guy B. Teachey Elementary School")</f>
        <v>Guy B. Teachey Elementary School</v>
      </c>
      <c r="G1312" s="5">
        <f ca="1">IFERROR(__xludf.DUMMYFUNCTION("""COMPUTED_VALUE"""),1)</f>
        <v>1</v>
      </c>
      <c r="H1312" s="5">
        <f ca="1">IFERROR(__xludf.DUMMYFUNCTION("""COMPUTED_VALUE"""),0)</f>
        <v>0</v>
      </c>
      <c r="I1312" s="5">
        <f ca="1">IFERROR(__xludf.DUMMYFUNCTION("""COMPUTED_VALUE"""),1)</f>
        <v>1</v>
      </c>
      <c r="J1312" s="5">
        <f ca="1">IFERROR(__xludf.DUMMYFUNCTION("""COMPUTED_VALUE"""),0)</f>
        <v>0</v>
      </c>
      <c r="K1312" s="9" t="str">
        <f ca="1">IFERROR(__xludf.DUMMYFUNCTION("""COMPUTED_VALUE"""),"https://www.greensboro.com/news/a-playground-fight-turned-deadly/article_0aadff61-c881-5944-99d3-e81ee3468277.html")</f>
        <v>https://www.greensboro.com/news/a-playground-fight-turned-deadly/article_0aadff61-c881-5944-99d3-e81ee3468277.html</v>
      </c>
      <c r="L1312" s="5"/>
      <c r="M1312" s="5"/>
      <c r="N1312" s="5">
        <f ca="1">IFERROR(__xludf.DUMMYFUNCTION("""COMPUTED_VALUE"""),2)</f>
        <v>2</v>
      </c>
      <c r="O1312" s="5" t="str">
        <f ca="1">IFERROR(__xludf.DUMMYFUNCTION("""COMPUTED_VALUE"""),"Winter")</f>
        <v>Winter</v>
      </c>
      <c r="P1312" s="5" t="str">
        <f ca="1">IFERROR(__xludf.DUMMYFUNCTION("""COMPUTED_VALUE"""),"Asheboro")</f>
        <v>Asheboro</v>
      </c>
      <c r="Q1312" s="5" t="str">
        <f ca="1">IFERROR(__xludf.DUMMYFUNCTION("""COMPUTED_VALUE"""),"NC")</f>
        <v>NC</v>
      </c>
      <c r="R1312" s="5" t="str">
        <f ca="1">IFERROR(__xludf.DUMMYFUNCTION("""COMPUTED_VALUE"""),"Elementary")</f>
        <v>Elementary</v>
      </c>
      <c r="S1312" s="5" t="str">
        <f ca="1">IFERROR(__xludf.DUMMYFUNCTION("""COMPUTED_VALUE"""),"Playground")</f>
        <v>Playground</v>
      </c>
      <c r="T1312" s="5" t="str">
        <f ca="1">IFERROR(__xludf.DUMMYFUNCTION("""COMPUTED_VALUE"""),"Outside on School Property")</f>
        <v>Outside on School Property</v>
      </c>
      <c r="U1312" s="5" t="str">
        <f ca="1">IFERROR(__xludf.DUMMYFUNCTION("""COMPUTED_VALUE"""),"No")</f>
        <v>No</v>
      </c>
      <c r="V1312" s="5" t="str">
        <f ca="1">IFERROR(__xludf.DUMMYFUNCTION("""COMPUTED_VALUE"""),"Evening")</f>
        <v>Evening</v>
      </c>
      <c r="W1312" s="10">
        <f ca="1">IFERROR(__xludf.DUMMYFUNCTION("""COMPUTED_VALUE"""),0.9375)</f>
        <v>0.9375</v>
      </c>
      <c r="X1312" s="5">
        <f ca="1">IFERROR(__xludf.DUMMYFUNCTION("""COMPUTED_VALUE"""),1)</f>
        <v>1</v>
      </c>
      <c r="Y1312" s="5" t="str">
        <f ca="1">IFERROR(__xludf.DUMMYFUNCTION("""COMPUTED_VALUE"""),"Two males were fighting at school playground, asked female watching to hold gun, accidentally fired striking one")</f>
        <v>Two males were fighting at school playground, asked female watching to hold gun, accidentally fired striking one</v>
      </c>
      <c r="Z1312" s="5" t="str">
        <f ca="1">IFERROR(__xludf.DUMMYFUNCTION("""COMPUTED_VALUE"""),"Late night fight between two teenage males at the school playground. 16YOM handed a gun to a 16YOF to hold while he was fighting. Accidentally fired killing him.")</f>
        <v>Late night fight between two teenage males at the school playground. 16YOM handed a gun to a 16YOF to hold while he was fighting. Accidentally fired killing him.</v>
      </c>
      <c r="AA1312" s="5" t="str">
        <f ca="1">IFERROR(__xludf.DUMMYFUNCTION("""COMPUTED_VALUE"""),"Accidental")</f>
        <v>Accidental</v>
      </c>
      <c r="AB1312" s="5" t="str">
        <f ca="1">IFERROR(__xludf.DUMMYFUNCTION("""COMPUTED_VALUE"""),"Random Shooting")</f>
        <v>Random Shooting</v>
      </c>
      <c r="AC1312" s="5" t="str">
        <f ca="1">IFERROR(__xludf.DUMMYFUNCTION("""COMPUTED_VALUE"""),"Yes")</f>
        <v>Yes</v>
      </c>
      <c r="AD1312" s="5" t="str">
        <f ca="1">IFERROR(__xludf.DUMMYFUNCTION("""COMPUTED_VALUE"""),"No")</f>
        <v>No</v>
      </c>
      <c r="AE1312" s="5" t="str">
        <f ca="1">IFERROR(__xludf.DUMMYFUNCTION("""COMPUTED_VALUE"""),"No")</f>
        <v>No</v>
      </c>
      <c r="AF1312" s="5" t="str">
        <f ca="1">IFERROR(__xludf.DUMMYFUNCTION("""COMPUTED_VALUE"""),"No")</f>
        <v>No</v>
      </c>
      <c r="AG1312" s="5" t="str">
        <f ca="1">IFERROR(__xludf.DUMMYFUNCTION("""COMPUTED_VALUE"""),"No")</f>
        <v>No</v>
      </c>
      <c r="AH1312" s="5" t="str">
        <f ca="1">IFERROR(__xludf.DUMMYFUNCTION("""COMPUTED_VALUE"""),"No")</f>
        <v>No</v>
      </c>
      <c r="AI1312" s="5" t="str">
        <f ca="1">IFERROR(__xludf.DUMMYFUNCTION("""COMPUTED_VALUE"""),"No")</f>
        <v>No</v>
      </c>
      <c r="AJ1312" s="5"/>
    </row>
    <row r="1313" spans="1:36" ht="13">
      <c r="A1313" s="5" t="str">
        <f ca="1">IFERROR(__xludf.DUMMYFUNCTION("""COMPUTED_VALUE"""),"20081212NYWIM")</f>
        <v>20081212NYWIM</v>
      </c>
      <c r="B1313" s="5">
        <f ca="1">IFERROR(__xludf.DUMMYFUNCTION("""COMPUTED_VALUE"""),12)</f>
        <v>12</v>
      </c>
      <c r="C1313" s="5">
        <f ca="1">IFERROR(__xludf.DUMMYFUNCTION("""COMPUTED_VALUE"""),12)</f>
        <v>12</v>
      </c>
      <c r="D1313" s="5">
        <f ca="1">IFERROR(__xludf.DUMMYFUNCTION("""COMPUTED_VALUE"""),2008)</f>
        <v>2008</v>
      </c>
      <c r="E1313" s="8">
        <f ca="1">IFERROR(__xludf.DUMMYFUNCTION("""COMPUTED_VALUE"""),39794)</f>
        <v>39794</v>
      </c>
      <c r="F1313" s="5" t="str">
        <f ca="1">IFERROR(__xludf.DUMMYFUNCTION("""COMPUTED_VALUE"""),"William Floyd High School")</f>
        <v>William Floyd High School</v>
      </c>
      <c r="G1313" s="5">
        <f ca="1">IFERROR(__xludf.DUMMYFUNCTION("""COMPUTED_VALUE"""),0)</f>
        <v>0</v>
      </c>
      <c r="H1313" s="5">
        <f ca="1">IFERROR(__xludf.DUMMYFUNCTION("""COMPUTED_VALUE"""),1)</f>
        <v>1</v>
      </c>
      <c r="I1313" s="5">
        <f ca="1">IFERROR(__xludf.DUMMYFUNCTION("""COMPUTED_VALUE"""),1)</f>
        <v>1</v>
      </c>
      <c r="J1313" s="5">
        <f ca="1">IFERROR(__xludf.DUMMYFUNCTION("""COMPUTED_VALUE"""),0)</f>
        <v>0</v>
      </c>
      <c r="K1313" s="9" t="str">
        <f ca="1">IFERROR(__xludf.DUMMYFUNCTION("""COMPUTED_VALUE"""),"http://archive.longislandpress.com/2010/02/26/mastic-man-pleads-guilty-to-school-shooting/")</f>
        <v>http://archive.longislandpress.com/2010/02/26/mastic-man-pleads-guilty-to-school-shooting/</v>
      </c>
      <c r="L1313" s="5"/>
      <c r="M1313" s="5"/>
      <c r="N1313" s="5">
        <f ca="1">IFERROR(__xludf.DUMMYFUNCTION("""COMPUTED_VALUE"""),2)</f>
        <v>2</v>
      </c>
      <c r="O1313" s="5" t="str">
        <f ca="1">IFERROR(__xludf.DUMMYFUNCTION("""COMPUTED_VALUE"""),"Winter")</f>
        <v>Winter</v>
      </c>
      <c r="P1313" s="5" t="str">
        <f ca="1">IFERROR(__xludf.DUMMYFUNCTION("""COMPUTED_VALUE"""),"Mastic Beach")</f>
        <v>Mastic Beach</v>
      </c>
      <c r="Q1313" s="5" t="str">
        <f ca="1">IFERROR(__xludf.DUMMYFUNCTION("""COMPUTED_VALUE"""),"NY")</f>
        <v>NY</v>
      </c>
      <c r="R1313" s="5" t="str">
        <f ca="1">IFERROR(__xludf.DUMMYFUNCTION("""COMPUTED_VALUE"""),"High")</f>
        <v>High</v>
      </c>
      <c r="S1313" s="5" t="str">
        <f ca="1">IFERROR(__xludf.DUMMYFUNCTION("""COMPUTED_VALUE"""),"Parking Lot")</f>
        <v>Parking Lot</v>
      </c>
      <c r="T1313" s="5" t="str">
        <f ca="1">IFERROR(__xludf.DUMMYFUNCTION("""COMPUTED_VALUE"""),"Outside on School Property")</f>
        <v>Outside on School Property</v>
      </c>
      <c r="U1313" s="5" t="str">
        <f ca="1">IFERROR(__xludf.DUMMYFUNCTION("""COMPUTED_VALUE"""),"No")</f>
        <v>No</v>
      </c>
      <c r="V1313" s="5" t="str">
        <f ca="1">IFERROR(__xludf.DUMMYFUNCTION("""COMPUTED_VALUE"""),"Sport Event")</f>
        <v>Sport Event</v>
      </c>
      <c r="W1313" s="10">
        <f ca="1">IFERROR(__xludf.DUMMYFUNCTION("""COMPUTED_VALUE"""),0.854166666666666)</f>
        <v>0.85416666666666596</v>
      </c>
      <c r="X1313" s="5">
        <f ca="1">IFERROR(__xludf.DUMMYFUNCTION("""COMPUTED_VALUE"""),1)</f>
        <v>1</v>
      </c>
      <c r="Y1313" s="5" t="str">
        <f ca="1">IFERROR(__xludf.DUMMYFUNCTION("""COMPUTED_VALUE"""),"Shooting in parking lot during argument after basketball game")</f>
        <v>Shooting in parking lot during argument after basketball game</v>
      </c>
      <c r="Z1313" s="5" t="str">
        <f ca="1">IFERROR(__xludf.DUMMYFUNCTION("""COMPUTED_VALUE"""),"27YOM male fired shots at another adult male during an argument in the school parking lot. The shots missed and struck a 14 YOM student bystander. Suspect fled.")</f>
        <v>27YOM male fired shots at another adult male during an argument in the school parking lot. The shots missed and struck a 14 YOM student bystander. Suspect fled.</v>
      </c>
      <c r="AA1313" s="5" t="str">
        <f ca="1">IFERROR(__xludf.DUMMYFUNCTION("""COMPUTED_VALUE"""),"Escalation of Dispute")</f>
        <v>Escalation of Dispute</v>
      </c>
      <c r="AB1313" s="5" t="str">
        <f ca="1">IFERROR(__xludf.DUMMYFUNCTION("""COMPUTED_VALUE"""),"Both")</f>
        <v>Both</v>
      </c>
      <c r="AC1313" s="5" t="str">
        <f ca="1">IFERROR(__xludf.DUMMYFUNCTION("""COMPUTED_VALUE"""),"No")</f>
        <v>No</v>
      </c>
      <c r="AD1313" s="5" t="str">
        <f ca="1">IFERROR(__xludf.DUMMYFUNCTION("""COMPUTED_VALUE"""),"No")</f>
        <v>No</v>
      </c>
      <c r="AE1313" s="5" t="str">
        <f ca="1">IFERROR(__xludf.DUMMYFUNCTION("""COMPUTED_VALUE"""),"No")</f>
        <v>No</v>
      </c>
      <c r="AF1313" s="5" t="str">
        <f ca="1">IFERROR(__xludf.DUMMYFUNCTION("""COMPUTED_VALUE"""),"No")</f>
        <v>No</v>
      </c>
      <c r="AG1313" s="5" t="str">
        <f ca="1">IFERROR(__xludf.DUMMYFUNCTION("""COMPUTED_VALUE"""),"No")</f>
        <v>No</v>
      </c>
      <c r="AH1313" s="5" t="str">
        <f ca="1">IFERROR(__xludf.DUMMYFUNCTION("""COMPUTED_VALUE"""),"No")</f>
        <v>No</v>
      </c>
      <c r="AI1313" s="5" t="str">
        <f ca="1">IFERROR(__xludf.DUMMYFUNCTION("""COMPUTED_VALUE"""),"No")</f>
        <v>No</v>
      </c>
      <c r="AJ1313" s="5"/>
    </row>
    <row r="1314" spans="1:36" ht="13">
      <c r="A1314" s="5" t="str">
        <f ca="1">IFERROR(__xludf.DUMMYFUNCTION("""COMPUTED_VALUE"""),"20081205MNSHF")</f>
        <v>20081205MNSHF</v>
      </c>
      <c r="B1314" s="5">
        <f ca="1">IFERROR(__xludf.DUMMYFUNCTION("""COMPUTED_VALUE"""),12)</f>
        <v>12</v>
      </c>
      <c r="C1314" s="5">
        <f ca="1">IFERROR(__xludf.DUMMYFUNCTION("""COMPUTED_VALUE"""),5)</f>
        <v>5</v>
      </c>
      <c r="D1314" s="5">
        <f ca="1">IFERROR(__xludf.DUMMYFUNCTION("""COMPUTED_VALUE"""),2008)</f>
        <v>2008</v>
      </c>
      <c r="E1314" s="8">
        <f ca="1">IFERROR(__xludf.DUMMYFUNCTION("""COMPUTED_VALUE"""),39787)</f>
        <v>39787</v>
      </c>
      <c r="F1314" s="5" t="str">
        <f ca="1">IFERROR(__xludf.DUMMYFUNCTION("""COMPUTED_VALUE"""),"Shattuck St. Mary's Prep School")</f>
        <v>Shattuck St. Mary's Prep School</v>
      </c>
      <c r="G1314" s="5">
        <f ca="1">IFERROR(__xludf.DUMMYFUNCTION("""COMPUTED_VALUE"""),0)</f>
        <v>0</v>
      </c>
      <c r="H1314" s="5">
        <f ca="1">IFERROR(__xludf.DUMMYFUNCTION("""COMPUTED_VALUE"""),0)</f>
        <v>0</v>
      </c>
      <c r="I1314" s="5">
        <f ca="1">IFERROR(__xludf.DUMMYFUNCTION("""COMPUTED_VALUE"""),0)</f>
        <v>0</v>
      </c>
      <c r="J1314" s="5">
        <f ca="1">IFERROR(__xludf.DUMMYFUNCTION("""COMPUTED_VALUE"""),1)</f>
        <v>1</v>
      </c>
      <c r="K1314" s="9" t="str">
        <f ca="1">IFERROR(__xludf.DUMMYFUNCTION("""COMPUTED_VALUE"""),"http://www.startribune.com/shattuck-st-mary-s-school-under-fire-on-2008-case/173333511/")</f>
        <v>http://www.startribune.com/shattuck-st-mary-s-school-under-fire-on-2008-case/173333511/</v>
      </c>
      <c r="L1314" s="5"/>
      <c r="M1314" s="5"/>
      <c r="N1314" s="5">
        <f ca="1">IFERROR(__xludf.DUMMYFUNCTION("""COMPUTED_VALUE"""),2)</f>
        <v>2</v>
      </c>
      <c r="O1314" s="5" t="str">
        <f ca="1">IFERROR(__xludf.DUMMYFUNCTION("""COMPUTED_VALUE"""),"Winter")</f>
        <v>Winter</v>
      </c>
      <c r="P1314" s="5" t="str">
        <f ca="1">IFERROR(__xludf.DUMMYFUNCTION("""COMPUTED_VALUE"""),"Faribault")</f>
        <v>Faribault</v>
      </c>
      <c r="Q1314" s="5" t="str">
        <f ca="1">IFERROR(__xludf.DUMMYFUNCTION("""COMPUTED_VALUE"""),"MN")</f>
        <v>MN</v>
      </c>
      <c r="R1314" s="5" t="str">
        <f ca="1">IFERROR(__xludf.DUMMYFUNCTION("""COMPUTED_VALUE"""),"Other")</f>
        <v>Other</v>
      </c>
      <c r="S1314" s="5" t="str">
        <f ca="1">IFERROR(__xludf.DUMMYFUNCTION("""COMPUTED_VALUE"""),"Other")</f>
        <v>Other</v>
      </c>
      <c r="T1314" s="5" t="str">
        <f ca="1">IFERROR(__xludf.DUMMYFUNCTION("""COMPUTED_VALUE"""),"Inside School Building")</f>
        <v>Inside School Building</v>
      </c>
      <c r="U1314" s="5" t="str">
        <f ca="1">IFERROR(__xludf.DUMMYFUNCTION("""COMPUTED_VALUE"""),"No")</f>
        <v>No</v>
      </c>
      <c r="V1314" s="5" t="str">
        <f ca="1">IFERROR(__xludf.DUMMYFUNCTION("""COMPUTED_VALUE"""),"Evening")</f>
        <v>Evening</v>
      </c>
      <c r="W1314" s="10">
        <f ca="1">IFERROR(__xludf.DUMMYFUNCTION("""COMPUTED_VALUE"""),0.875)</f>
        <v>0.875</v>
      </c>
      <c r="X1314" s="5">
        <f ca="1">IFERROR(__xludf.DUMMYFUNCTION("""COMPUTED_VALUE"""),1)</f>
        <v>1</v>
      </c>
      <c r="Y1314" s="5" t="str">
        <f ca="1">IFERROR(__xludf.DUMMYFUNCTION("""COMPUTED_VALUE"""),"Teacher shot self in dorm, caught having affair with student")</f>
        <v>Teacher shot self in dorm, caught having affair with student</v>
      </c>
      <c r="Z1314" s="5" t="str">
        <f ca="1">IFERROR(__xludf.DUMMYFUNCTION("""COMPUTED_VALUE"""),"34YOM teacher at the residential prep high school killed himself in the dorm after he was caught having a relationship with a student.")</f>
        <v>34YOM teacher at the residential prep high school killed himself in the dorm after he was caught having a relationship with a student.</v>
      </c>
      <c r="AA1314" s="5" t="str">
        <f ca="1">IFERROR(__xludf.DUMMYFUNCTION("""COMPUTED_VALUE"""),"Suicide/Attempted")</f>
        <v>Suicide/Attempted</v>
      </c>
      <c r="AB1314" s="5" t="str">
        <f ca="1">IFERROR(__xludf.DUMMYFUNCTION("""COMPUTED_VALUE"""),"Victims Targeted")</f>
        <v>Victims Targeted</v>
      </c>
      <c r="AC1314" s="5" t="str">
        <f ca="1">IFERROR(__xludf.DUMMYFUNCTION("""COMPUTED_VALUE"""),"No")</f>
        <v>No</v>
      </c>
      <c r="AD1314" s="5" t="str">
        <f ca="1">IFERROR(__xludf.DUMMYFUNCTION("""COMPUTED_VALUE"""),"No")</f>
        <v>No</v>
      </c>
      <c r="AE1314" s="5" t="str">
        <f ca="1">IFERROR(__xludf.DUMMYFUNCTION("""COMPUTED_VALUE"""),"No")</f>
        <v>No</v>
      </c>
      <c r="AF1314" s="5" t="str">
        <f ca="1">IFERROR(__xludf.DUMMYFUNCTION("""COMPUTED_VALUE"""),"No")</f>
        <v>No</v>
      </c>
      <c r="AG1314" s="5" t="str">
        <f ca="1">IFERROR(__xludf.DUMMYFUNCTION("""COMPUTED_VALUE"""),"No")</f>
        <v>No</v>
      </c>
      <c r="AH1314" s="5" t="str">
        <f ca="1">IFERROR(__xludf.DUMMYFUNCTION("""COMPUTED_VALUE"""),"No")</f>
        <v>No</v>
      </c>
      <c r="AI1314" s="5" t="str">
        <f ca="1">IFERROR(__xludf.DUMMYFUNCTION("""COMPUTED_VALUE"""),"No")</f>
        <v>No</v>
      </c>
      <c r="AJ1314" s="5"/>
    </row>
    <row r="1315" spans="1:36" ht="13">
      <c r="A1315" s="5" t="str">
        <f ca="1">IFERROR(__xludf.DUMMYFUNCTION("""COMPUTED_VALUE"""),"20081202CAKIK")</f>
        <v>20081202CAKIK</v>
      </c>
      <c r="B1315" s="5">
        <f ca="1">IFERROR(__xludf.DUMMYFUNCTION("""COMPUTED_VALUE"""),12)</f>
        <v>12</v>
      </c>
      <c r="C1315" s="5">
        <f ca="1">IFERROR(__xludf.DUMMYFUNCTION("""COMPUTED_VALUE"""),2)</f>
        <v>2</v>
      </c>
      <c r="D1315" s="5">
        <f ca="1">IFERROR(__xludf.DUMMYFUNCTION("""COMPUTED_VALUE"""),2008)</f>
        <v>2008</v>
      </c>
      <c r="E1315" s="8">
        <f ca="1">IFERROR(__xludf.DUMMYFUNCTION("""COMPUTED_VALUE"""),39784)</f>
        <v>39784</v>
      </c>
      <c r="F1315" s="5" t="str">
        <f ca="1">IFERROR(__xludf.DUMMYFUNCTION("""COMPUTED_VALUE"""),"King City High School")</f>
        <v>King City High School</v>
      </c>
      <c r="G1315" s="5">
        <f ca="1">IFERROR(__xludf.DUMMYFUNCTION("""COMPUTED_VALUE"""),1)</f>
        <v>1</v>
      </c>
      <c r="H1315" s="5">
        <f ca="1">IFERROR(__xludf.DUMMYFUNCTION("""COMPUTED_VALUE"""),1)</f>
        <v>1</v>
      </c>
      <c r="I1315" s="5">
        <f ca="1">IFERROR(__xludf.DUMMYFUNCTION("""COMPUTED_VALUE"""),2)</f>
        <v>2</v>
      </c>
      <c r="J1315" s="5">
        <f ca="1">IFERROR(__xludf.DUMMYFUNCTION("""COMPUTED_VALUE"""),0)</f>
        <v>0</v>
      </c>
      <c r="K1315" s="9" t="str">
        <f ca="1">IFERROR(__xludf.DUMMYFUNCTION("""COMPUTED_VALUE"""),"https://www.ksbw.com/article/king-city-high-school-soccer-game-murderer-sentenced/1048897")</f>
        <v>https://www.ksbw.com/article/king-city-high-school-soccer-game-murderer-sentenced/1048897</v>
      </c>
      <c r="L1315" s="5"/>
      <c r="M1315" s="5"/>
      <c r="N1315" s="5">
        <f ca="1">IFERROR(__xludf.DUMMYFUNCTION("""COMPUTED_VALUE"""),2)</f>
        <v>2</v>
      </c>
      <c r="O1315" s="5" t="str">
        <f ca="1">IFERROR(__xludf.DUMMYFUNCTION("""COMPUTED_VALUE"""),"Winter")</f>
        <v>Winter</v>
      </c>
      <c r="P1315" s="5" t="str">
        <f ca="1">IFERROR(__xludf.DUMMYFUNCTION("""COMPUTED_VALUE"""),"King City")</f>
        <v>King City</v>
      </c>
      <c r="Q1315" s="5" t="str">
        <f ca="1">IFERROR(__xludf.DUMMYFUNCTION("""COMPUTED_VALUE"""),"CA")</f>
        <v>CA</v>
      </c>
      <c r="R1315" s="5" t="str">
        <f ca="1">IFERROR(__xludf.DUMMYFUNCTION("""COMPUTED_VALUE"""),"High")</f>
        <v>High</v>
      </c>
      <c r="S1315" s="5" t="str">
        <f ca="1">IFERROR(__xludf.DUMMYFUNCTION("""COMPUTED_VALUE"""),"Field (General)")</f>
        <v>Field (General)</v>
      </c>
      <c r="T1315" s="5" t="str">
        <f ca="1">IFERROR(__xludf.DUMMYFUNCTION("""COMPUTED_VALUE"""),"Outside on School Property")</f>
        <v>Outside on School Property</v>
      </c>
      <c r="U1315" s="5" t="str">
        <f ca="1">IFERROR(__xludf.DUMMYFUNCTION("""COMPUTED_VALUE"""),"No")</f>
        <v>No</v>
      </c>
      <c r="V1315" s="5" t="str">
        <f ca="1">IFERROR(__xludf.DUMMYFUNCTION("""COMPUTED_VALUE"""),"Sport Event")</f>
        <v>Sport Event</v>
      </c>
      <c r="W1315" s="10">
        <f ca="1">IFERROR(__xludf.DUMMYFUNCTION("""COMPUTED_VALUE"""),0.809722222222222)</f>
        <v>0.80972222222222201</v>
      </c>
      <c r="X1315" s="5">
        <f ca="1">IFERROR(__xludf.DUMMYFUNCTION("""COMPUTED_VALUE"""),1)</f>
        <v>1</v>
      </c>
      <c r="Y1315" s="5" t="str">
        <f ca="1">IFERROR(__xludf.DUMMYFUNCTION("""COMPUTED_VALUE"""),"Shooting at rival gang members, hit two children in crowd")</f>
        <v>Shooting at rival gang members, hit two children in crowd</v>
      </c>
      <c r="Z1315" s="5" t="str">
        <f ca="1">IFERROR(__xludf.DUMMYFUNCTION("""COMPUTED_VALUE"""),"After soccer game, 17YOM gang member fired 7 shots at the crowd targeting members of a rival gang and then fled. The shots hit two children. Shooter fled.")</f>
        <v>After soccer game, 17YOM gang member fired 7 shots at the crowd targeting members of a rival gang and then fled. The shots hit two children. Shooter fled.</v>
      </c>
      <c r="AA1315" s="5" t="str">
        <f ca="1">IFERROR(__xludf.DUMMYFUNCTION("""COMPUTED_VALUE"""),"Escalation of Dispute")</f>
        <v>Escalation of Dispute</v>
      </c>
      <c r="AB1315" s="5" t="str">
        <f ca="1">IFERROR(__xludf.DUMMYFUNCTION("""COMPUTED_VALUE"""),"Both")</f>
        <v>Both</v>
      </c>
      <c r="AC1315" s="5" t="str">
        <f ca="1">IFERROR(__xludf.DUMMYFUNCTION("""COMPUTED_VALUE"""),"No")</f>
        <v>No</v>
      </c>
      <c r="AD1315" s="5" t="str">
        <f ca="1">IFERROR(__xludf.DUMMYFUNCTION("""COMPUTED_VALUE"""),"No")</f>
        <v>No</v>
      </c>
      <c r="AE1315" s="5" t="str">
        <f ca="1">IFERROR(__xludf.DUMMYFUNCTION("""COMPUTED_VALUE"""),"No")</f>
        <v>No</v>
      </c>
      <c r="AF1315" s="5" t="str">
        <f ca="1">IFERROR(__xludf.DUMMYFUNCTION("""COMPUTED_VALUE"""),"No")</f>
        <v>No</v>
      </c>
      <c r="AG1315" s="5" t="str">
        <f ca="1">IFERROR(__xludf.DUMMYFUNCTION("""COMPUTED_VALUE"""),"No")</f>
        <v>No</v>
      </c>
      <c r="AH1315" s="5" t="str">
        <f ca="1">IFERROR(__xludf.DUMMYFUNCTION("""COMPUTED_VALUE"""),"No")</f>
        <v>No</v>
      </c>
      <c r="AI1315" s="5" t="str">
        <f ca="1">IFERROR(__xludf.DUMMYFUNCTION("""COMPUTED_VALUE"""),"Yes")</f>
        <v>Yes</v>
      </c>
      <c r="AJ1315" s="5"/>
    </row>
    <row r="1316" spans="1:36" ht="13">
      <c r="A1316" s="5" t="str">
        <f ca="1">IFERROR(__xludf.DUMMYFUNCTION("""COMPUTED_VALUE"""),"20081130CAOAG")</f>
        <v>20081130CAOAG</v>
      </c>
      <c r="B1316" s="5">
        <f ca="1">IFERROR(__xludf.DUMMYFUNCTION("""COMPUTED_VALUE"""),11)</f>
        <v>11</v>
      </c>
      <c r="C1316" s="5">
        <f ca="1">IFERROR(__xludf.DUMMYFUNCTION("""COMPUTED_VALUE"""),30)</f>
        <v>30</v>
      </c>
      <c r="D1316" s="5">
        <f ca="1">IFERROR(__xludf.DUMMYFUNCTION("""COMPUTED_VALUE"""),2008)</f>
        <v>2008</v>
      </c>
      <c r="E1316" s="8">
        <f ca="1">IFERROR(__xludf.DUMMYFUNCTION("""COMPUTED_VALUE"""),39782)</f>
        <v>39782</v>
      </c>
      <c r="F1316" s="5" t="str">
        <f ca="1">IFERROR(__xludf.DUMMYFUNCTION("""COMPUTED_VALUE"""),"O A Peters Elementary School")</f>
        <v>O A Peters Elementary School</v>
      </c>
      <c r="G1316" s="5">
        <f ca="1">IFERROR(__xludf.DUMMYFUNCTION("""COMPUTED_VALUE"""),0)</f>
        <v>0</v>
      </c>
      <c r="H1316" s="5">
        <f ca="1">IFERROR(__xludf.DUMMYFUNCTION("""COMPUTED_VALUE"""),1)</f>
        <v>1</v>
      </c>
      <c r="I1316" s="5">
        <f ca="1">IFERROR(__xludf.DUMMYFUNCTION("""COMPUTED_VALUE"""),1)</f>
        <v>1</v>
      </c>
      <c r="J1316" s="5">
        <f ca="1">IFERROR(__xludf.DUMMYFUNCTION("""COMPUTED_VALUE"""),0)</f>
        <v>0</v>
      </c>
      <c r="K1316" s="9" t="str">
        <f ca="1">IFERROR(__xludf.DUMMYFUNCTION("""COMPUTED_VALUE"""),"https://www.columbine-angels.com/School_Violence_2008-2009.htm")</f>
        <v>https://www.columbine-angels.com/School_Violence_2008-2009.htm</v>
      </c>
      <c r="L1316" s="5"/>
      <c r="M1316" s="5"/>
      <c r="N1316" s="5">
        <f ca="1">IFERROR(__xludf.DUMMYFUNCTION("""COMPUTED_VALUE"""),1)</f>
        <v>1</v>
      </c>
      <c r="O1316" s="5" t="str">
        <f ca="1">IFERROR(__xludf.DUMMYFUNCTION("""COMPUTED_VALUE"""),"Fall")</f>
        <v>Fall</v>
      </c>
      <c r="P1316" s="5" t="str">
        <f ca="1">IFERROR(__xludf.DUMMYFUNCTION("""COMPUTED_VALUE"""),"Garden Grove")</f>
        <v>Garden Grove</v>
      </c>
      <c r="Q1316" s="5" t="str">
        <f ca="1">IFERROR(__xludf.DUMMYFUNCTION("""COMPUTED_VALUE"""),"CA")</f>
        <v>CA</v>
      </c>
      <c r="R1316" s="5" t="str">
        <f ca="1">IFERROR(__xludf.DUMMYFUNCTION("""COMPUTED_VALUE"""),"Elementary")</f>
        <v>Elementary</v>
      </c>
      <c r="S1316" s="5" t="str">
        <f ca="1">IFERROR(__xludf.DUMMYFUNCTION("""COMPUTED_VALUE"""),"Basketball Court")</f>
        <v>Basketball Court</v>
      </c>
      <c r="T1316" s="5" t="str">
        <f ca="1">IFERROR(__xludf.DUMMYFUNCTION("""COMPUTED_VALUE"""),"Outside on School Property")</f>
        <v>Outside on School Property</v>
      </c>
      <c r="U1316" s="5" t="str">
        <f ca="1">IFERROR(__xludf.DUMMYFUNCTION("""COMPUTED_VALUE"""),"No")</f>
        <v>No</v>
      </c>
      <c r="V1316" s="5" t="str">
        <f ca="1">IFERROR(__xludf.DUMMYFUNCTION("""COMPUTED_VALUE"""),"Not a School Day")</f>
        <v>Not a School Day</v>
      </c>
      <c r="W1316" s="10">
        <f ca="1">IFERROR(__xludf.DUMMYFUNCTION("""COMPUTED_VALUE"""),0.666666666666666)</f>
        <v>0.66666666666666596</v>
      </c>
      <c r="X1316" s="5">
        <f ca="1">IFERROR(__xludf.DUMMYFUNCTION("""COMPUTED_VALUE"""),1)</f>
        <v>1</v>
      </c>
      <c r="Y1316" s="5" t="str">
        <f ca="1">IFERROR(__xludf.DUMMYFUNCTION("""COMPUTED_VALUE"""),"Three gang members shot at by other gang members outside of school")</f>
        <v>Three gang members shot at by other gang members outside of school</v>
      </c>
      <c r="Z1316" s="5" t="str">
        <f ca="1">IFERROR(__xludf.DUMMYFUNCTION("""COMPUTED_VALUE"""),"3 gang members shot at by 3 other gang members on athletic courts at school. One injured. Shooter fled.")</f>
        <v>3 gang members shot at by 3 other gang members on athletic courts at school. One injured. Shooter fled.</v>
      </c>
      <c r="AA1316" s="5" t="str">
        <f ca="1">IFERROR(__xludf.DUMMYFUNCTION("""COMPUTED_VALUE"""),"Escalation of Dispute")</f>
        <v>Escalation of Dispute</v>
      </c>
      <c r="AB1316" s="5" t="str">
        <f ca="1">IFERROR(__xludf.DUMMYFUNCTION("""COMPUTED_VALUE"""),"Victims Targeted")</f>
        <v>Victims Targeted</v>
      </c>
      <c r="AC1316" s="5" t="str">
        <f ca="1">IFERROR(__xludf.DUMMYFUNCTION("""COMPUTED_VALUE"""),"Yes")</f>
        <v>Yes</v>
      </c>
      <c r="AD1316" s="5" t="str">
        <f ca="1">IFERROR(__xludf.DUMMYFUNCTION("""COMPUTED_VALUE"""),"No")</f>
        <v>No</v>
      </c>
      <c r="AE1316" s="5" t="str">
        <f ca="1">IFERROR(__xludf.DUMMYFUNCTION("""COMPUTED_VALUE"""),"No")</f>
        <v>No</v>
      </c>
      <c r="AF1316" s="5" t="str">
        <f ca="1">IFERROR(__xludf.DUMMYFUNCTION("""COMPUTED_VALUE"""),"No")</f>
        <v>No</v>
      </c>
      <c r="AG1316" s="5" t="str">
        <f ca="1">IFERROR(__xludf.DUMMYFUNCTION("""COMPUTED_VALUE"""),"No")</f>
        <v>No</v>
      </c>
      <c r="AH1316" s="5" t="str">
        <f ca="1">IFERROR(__xludf.DUMMYFUNCTION("""COMPUTED_VALUE"""),"No")</f>
        <v>No</v>
      </c>
      <c r="AI1316" s="5" t="str">
        <f ca="1">IFERROR(__xludf.DUMMYFUNCTION("""COMPUTED_VALUE"""),"Yes")</f>
        <v>Yes</v>
      </c>
      <c r="AJ1316" s="5"/>
    </row>
    <row r="1317" spans="1:36" ht="13">
      <c r="A1317" s="5" t="str">
        <f ca="1">IFERROR(__xludf.DUMMYFUNCTION("""COMPUTED_VALUE"""),"20081125TXNOH")</f>
        <v>20081125TXNOH</v>
      </c>
      <c r="B1317" s="5">
        <f ca="1">IFERROR(__xludf.DUMMYFUNCTION("""COMPUTED_VALUE"""),11)</f>
        <v>11</v>
      </c>
      <c r="C1317" s="5">
        <f ca="1">IFERROR(__xludf.DUMMYFUNCTION("""COMPUTED_VALUE"""),25)</f>
        <v>25</v>
      </c>
      <c r="D1317" s="5">
        <f ca="1">IFERROR(__xludf.DUMMYFUNCTION("""COMPUTED_VALUE"""),2008)</f>
        <v>2008</v>
      </c>
      <c r="E1317" s="8">
        <f ca="1">IFERROR(__xludf.DUMMYFUNCTION("""COMPUTED_VALUE"""),39777)</f>
        <v>39777</v>
      </c>
      <c r="F1317" s="5" t="str">
        <f ca="1">IFERROR(__xludf.DUMMYFUNCTION("""COMPUTED_VALUE"""),"North Forest High School")</f>
        <v>North Forest High School</v>
      </c>
      <c r="G1317" s="5">
        <f ca="1">IFERROR(__xludf.DUMMYFUNCTION("""COMPUTED_VALUE"""),0)</f>
        <v>0</v>
      </c>
      <c r="H1317" s="5">
        <f ca="1">IFERROR(__xludf.DUMMYFUNCTION("""COMPUTED_VALUE"""),1)</f>
        <v>1</v>
      </c>
      <c r="I1317" s="5">
        <f ca="1">IFERROR(__xludf.DUMMYFUNCTION("""COMPUTED_VALUE"""),1)</f>
        <v>1</v>
      </c>
      <c r="J1317" s="5">
        <f ca="1">IFERROR(__xludf.DUMMYFUNCTION("""COMPUTED_VALUE"""),0)</f>
        <v>0</v>
      </c>
      <c r="K1317" s="9" t="str">
        <f ca="1">IFERROR(__xludf.DUMMYFUNCTION("""COMPUTED_VALUE"""),"https://www.columbine-angels.com/School_Violence_2008-2009.htm")</f>
        <v>https://www.columbine-angels.com/School_Violence_2008-2009.htm</v>
      </c>
      <c r="L1317" s="5"/>
      <c r="M1317" s="5"/>
      <c r="N1317" s="5">
        <f ca="1">IFERROR(__xludf.DUMMYFUNCTION("""COMPUTED_VALUE"""),1)</f>
        <v>1</v>
      </c>
      <c r="O1317" s="5" t="str">
        <f ca="1">IFERROR(__xludf.DUMMYFUNCTION("""COMPUTED_VALUE"""),"Fall")</f>
        <v>Fall</v>
      </c>
      <c r="P1317" s="5" t="str">
        <f ca="1">IFERROR(__xludf.DUMMYFUNCTION("""COMPUTED_VALUE"""),"Houston")</f>
        <v>Houston</v>
      </c>
      <c r="Q1317" s="5" t="str">
        <f ca="1">IFERROR(__xludf.DUMMYFUNCTION("""COMPUTED_VALUE"""),"TX")</f>
        <v>TX</v>
      </c>
      <c r="R1317" s="5" t="str">
        <f ca="1">IFERROR(__xludf.DUMMYFUNCTION("""COMPUTED_VALUE"""),"High")</f>
        <v>High</v>
      </c>
      <c r="S1317" s="5" t="str">
        <f ca="1">IFERROR(__xludf.DUMMYFUNCTION("""COMPUTED_VALUE"""),"Beside Building")</f>
        <v>Beside Building</v>
      </c>
      <c r="T1317" s="5" t="str">
        <f ca="1">IFERROR(__xludf.DUMMYFUNCTION("""COMPUTED_VALUE"""),"Outside on School Property")</f>
        <v>Outside on School Property</v>
      </c>
      <c r="U1317" s="5" t="str">
        <f ca="1">IFERROR(__xludf.DUMMYFUNCTION("""COMPUTED_VALUE"""),"No")</f>
        <v>No</v>
      </c>
      <c r="V1317" s="5" t="str">
        <f ca="1">IFERROR(__xludf.DUMMYFUNCTION("""COMPUTED_VALUE"""),"School Event")</f>
        <v>School Event</v>
      </c>
      <c r="W1317" s="10">
        <f ca="1">IFERROR(__xludf.DUMMYFUNCTION("""COMPUTED_VALUE"""),0.90625)</f>
        <v>0.90625</v>
      </c>
      <c r="X1317" s="5">
        <f ca="1">IFERROR(__xludf.DUMMYFUNCTION("""COMPUTED_VALUE"""),1)</f>
        <v>1</v>
      </c>
      <c r="Y1317" s="5" t="str">
        <f ca="1">IFERROR(__xludf.DUMMYFUNCTION("""COMPUTED_VALUE"""),"Shot at crowd after school function")</f>
        <v>Shot at crowd after school function</v>
      </c>
      <c r="Z1317" s="5" t="str">
        <f ca="1">IFERROR(__xludf.DUMMYFUNCTION("""COMPUTED_VALUE"""),"18YOM fired at crowd leaving school function. 1 injured. Shooter fled in vehicle.")</f>
        <v>18YOM fired at crowd leaving school function. 1 injured. Shooter fled in vehicle.</v>
      </c>
      <c r="AA1317" s="5" t="str">
        <f ca="1">IFERROR(__xludf.DUMMYFUNCTION("""COMPUTED_VALUE"""),"Escalation of Dispute")</f>
        <v>Escalation of Dispute</v>
      </c>
      <c r="AB1317" s="5"/>
      <c r="AC1317" s="5"/>
      <c r="AD1317" s="5" t="str">
        <f ca="1">IFERROR(__xludf.DUMMYFUNCTION("""COMPUTED_VALUE"""),"No")</f>
        <v>No</v>
      </c>
      <c r="AE1317" s="5" t="str">
        <f ca="1">IFERROR(__xludf.DUMMYFUNCTION("""COMPUTED_VALUE"""),"No")</f>
        <v>No</v>
      </c>
      <c r="AF1317" s="5" t="str">
        <f ca="1">IFERROR(__xludf.DUMMYFUNCTION("""COMPUTED_VALUE"""),"No")</f>
        <v>No</v>
      </c>
      <c r="AG1317" s="5" t="str">
        <f ca="1">IFERROR(__xludf.DUMMYFUNCTION("""COMPUTED_VALUE"""),"No")</f>
        <v>No</v>
      </c>
      <c r="AH1317" s="5" t="str">
        <f ca="1">IFERROR(__xludf.DUMMYFUNCTION("""COMPUTED_VALUE"""),"No")</f>
        <v>No</v>
      </c>
      <c r="AI1317" s="5" t="str">
        <f ca="1">IFERROR(__xludf.DUMMYFUNCTION("""COMPUTED_VALUE"""),"No")</f>
        <v>No</v>
      </c>
      <c r="AJ1317" s="5"/>
    </row>
    <row r="1318" spans="1:36" ht="13">
      <c r="A1318" s="5" t="str">
        <f ca="1">IFERROR(__xludf.DUMMYFUNCTION("""COMPUTED_VALUE"""),"20081118CACEC")</f>
        <v>20081118CACEC</v>
      </c>
      <c r="B1318" s="5">
        <f ca="1">IFERROR(__xludf.DUMMYFUNCTION("""COMPUTED_VALUE"""),11)</f>
        <v>11</v>
      </c>
      <c r="C1318" s="5">
        <f ca="1">IFERROR(__xludf.DUMMYFUNCTION("""COMPUTED_VALUE"""),18)</f>
        <v>18</v>
      </c>
      <c r="D1318" s="5">
        <f ca="1">IFERROR(__xludf.DUMMYFUNCTION("""COMPUTED_VALUE"""),2008)</f>
        <v>2008</v>
      </c>
      <c r="E1318" s="8">
        <f ca="1">IFERROR(__xludf.DUMMYFUNCTION("""COMPUTED_VALUE"""),39770)</f>
        <v>39770</v>
      </c>
      <c r="F1318" s="5" t="str">
        <f ca="1">IFERROR(__xludf.DUMMYFUNCTION("""COMPUTED_VALUE"""),"Central Valley High School")</f>
        <v>Central Valley High School</v>
      </c>
      <c r="G1318" s="5">
        <f ca="1">IFERROR(__xludf.DUMMYFUNCTION("""COMPUTED_VALUE"""),0)</f>
        <v>0</v>
      </c>
      <c r="H1318" s="5">
        <f ca="1">IFERROR(__xludf.DUMMYFUNCTION("""COMPUTED_VALUE"""),1)</f>
        <v>1</v>
      </c>
      <c r="I1318" s="5">
        <f ca="1">IFERROR(__xludf.DUMMYFUNCTION("""COMPUTED_VALUE"""),1)</f>
        <v>1</v>
      </c>
      <c r="J1318" s="5">
        <f ca="1">IFERROR(__xludf.DUMMYFUNCTION("""COMPUTED_VALUE"""),0)</f>
        <v>0</v>
      </c>
      <c r="K1318" s="9" t="str">
        <f ca="1">IFERROR(__xludf.DUMMYFUNCTION("""COMPUTED_VALUE"""),"https://www.modbee.com/latest-news/article3115798.html")</f>
        <v>https://www.modbee.com/latest-news/article3115798.html</v>
      </c>
      <c r="L1318" s="5"/>
      <c r="M1318" s="5"/>
      <c r="N1318" s="5">
        <f ca="1">IFERROR(__xludf.DUMMYFUNCTION("""COMPUTED_VALUE"""),2)</f>
        <v>2</v>
      </c>
      <c r="O1318" s="5" t="str">
        <f ca="1">IFERROR(__xludf.DUMMYFUNCTION("""COMPUTED_VALUE"""),"Fall")</f>
        <v>Fall</v>
      </c>
      <c r="P1318" s="5" t="str">
        <f ca="1">IFERROR(__xludf.DUMMYFUNCTION("""COMPUTED_VALUE"""),"Ceres")</f>
        <v>Ceres</v>
      </c>
      <c r="Q1318" s="5" t="str">
        <f ca="1">IFERROR(__xludf.DUMMYFUNCTION("""COMPUTED_VALUE"""),"CA")</f>
        <v>CA</v>
      </c>
      <c r="R1318" s="5" t="str">
        <f ca="1">IFERROR(__xludf.DUMMYFUNCTION("""COMPUTED_VALUE"""),"High")</f>
        <v>High</v>
      </c>
      <c r="S1318" s="5" t="str">
        <f ca="1">IFERROR(__xludf.DUMMYFUNCTION("""COMPUTED_VALUE"""),"Front of School")</f>
        <v>Front of School</v>
      </c>
      <c r="T1318" s="5" t="str">
        <f ca="1">IFERROR(__xludf.DUMMYFUNCTION("""COMPUTED_VALUE"""),"Outside on School Property")</f>
        <v>Outside on School Property</v>
      </c>
      <c r="U1318" s="5" t="str">
        <f ca="1">IFERROR(__xludf.DUMMYFUNCTION("""COMPUTED_VALUE"""),"Yes")</f>
        <v>Yes</v>
      </c>
      <c r="V1318" s="5" t="str">
        <f ca="1">IFERROR(__xludf.DUMMYFUNCTION("""COMPUTED_VALUE"""),"Evening")</f>
        <v>Evening</v>
      </c>
      <c r="W1318" s="10">
        <f ca="1">IFERROR(__xludf.DUMMYFUNCTION("""COMPUTED_VALUE"""),0.875)</f>
        <v>0.875</v>
      </c>
      <c r="X1318" s="5">
        <f ca="1">IFERROR(__xludf.DUMMYFUNCTION("""COMPUTED_VALUE"""),1)</f>
        <v>1</v>
      </c>
      <c r="Y1318" s="5" t="str">
        <f ca="1">IFERROR(__xludf.DUMMYFUNCTION("""COMPUTED_VALUE"""),"Shot during fight outside of school")</f>
        <v>Shot during fight outside of school</v>
      </c>
      <c r="Z1318" s="5" t="str">
        <f ca="1">IFERROR(__xludf.DUMMYFUNCTION("""COMPUTED_VALUE"""),"18YOM student shot 19YOM student during argument in front of school. Both were attending night classes.")</f>
        <v>18YOM student shot 19YOM student during argument in front of school. Both were attending night classes.</v>
      </c>
      <c r="AA1318" s="5" t="str">
        <f ca="1">IFERROR(__xludf.DUMMYFUNCTION("""COMPUTED_VALUE"""),"Escalation of Dispute")</f>
        <v>Escalation of Dispute</v>
      </c>
      <c r="AB1318" s="5" t="str">
        <f ca="1">IFERROR(__xludf.DUMMYFUNCTION("""COMPUTED_VALUE"""),"Victims Targeted")</f>
        <v>Victims Targeted</v>
      </c>
      <c r="AC1318" s="5" t="str">
        <f ca="1">IFERROR(__xludf.DUMMYFUNCTION("""COMPUTED_VALUE"""),"No")</f>
        <v>No</v>
      </c>
      <c r="AD1318" s="5" t="str">
        <f ca="1">IFERROR(__xludf.DUMMYFUNCTION("""COMPUTED_VALUE"""),"No")</f>
        <v>No</v>
      </c>
      <c r="AE1318" s="5" t="str">
        <f ca="1">IFERROR(__xludf.DUMMYFUNCTION("""COMPUTED_VALUE"""),"No")</f>
        <v>No</v>
      </c>
      <c r="AF1318" s="5" t="str">
        <f ca="1">IFERROR(__xludf.DUMMYFUNCTION("""COMPUTED_VALUE"""),"No")</f>
        <v>No</v>
      </c>
      <c r="AG1318" s="5" t="str">
        <f ca="1">IFERROR(__xludf.DUMMYFUNCTION("""COMPUTED_VALUE"""),"No")</f>
        <v>No</v>
      </c>
      <c r="AH1318" s="5" t="str">
        <f ca="1">IFERROR(__xludf.DUMMYFUNCTION("""COMPUTED_VALUE"""),"No")</f>
        <v>No</v>
      </c>
      <c r="AI1318" s="5" t="str">
        <f ca="1">IFERROR(__xludf.DUMMYFUNCTION("""COMPUTED_VALUE"""),"No")</f>
        <v>No</v>
      </c>
      <c r="AJ1318" s="5"/>
    </row>
    <row r="1319" spans="1:36" ht="13">
      <c r="A1319" s="5" t="str">
        <f ca="1">IFERROR(__xludf.DUMMYFUNCTION("""COMPUTED_VALUE"""),"20081118CACOO")</f>
        <v>20081118CACOO</v>
      </c>
      <c r="B1319" s="5">
        <f ca="1">IFERROR(__xludf.DUMMYFUNCTION("""COMPUTED_VALUE"""),11)</f>
        <v>11</v>
      </c>
      <c r="C1319" s="5">
        <f ca="1">IFERROR(__xludf.DUMMYFUNCTION("""COMPUTED_VALUE"""),18)</f>
        <v>18</v>
      </c>
      <c r="D1319" s="5">
        <f ca="1">IFERROR(__xludf.DUMMYFUNCTION("""COMPUTED_VALUE"""),2008)</f>
        <v>2008</v>
      </c>
      <c r="E1319" s="8">
        <f ca="1">IFERROR(__xludf.DUMMYFUNCTION("""COMPUTED_VALUE"""),39770)</f>
        <v>39770</v>
      </c>
      <c r="F1319" s="5" t="str">
        <f ca="1">IFERROR(__xludf.DUMMYFUNCTION("""COMPUTED_VALUE"""),"Cole Middle School")</f>
        <v>Cole Middle School</v>
      </c>
      <c r="G1319" s="5">
        <f ca="1">IFERROR(__xludf.DUMMYFUNCTION("""COMPUTED_VALUE"""),0)</f>
        <v>0</v>
      </c>
      <c r="H1319" s="5">
        <f ca="1">IFERROR(__xludf.DUMMYFUNCTION("""COMPUTED_VALUE"""),0)</f>
        <v>0</v>
      </c>
      <c r="I1319" s="5">
        <f ca="1">IFERROR(__xludf.DUMMYFUNCTION("""COMPUTED_VALUE"""),0)</f>
        <v>0</v>
      </c>
      <c r="J1319" s="5">
        <f ca="1">IFERROR(__xludf.DUMMYFUNCTION("""COMPUTED_VALUE"""),0)</f>
        <v>0</v>
      </c>
      <c r="K1319" s="9" t="str">
        <f ca="1">IFERROR(__xludf.DUMMYFUNCTION("""COMPUTED_VALUE"""),"https://www.eastbaytimes.com/2008/11/24/oaklands-cole-middle-school-to-use-metal-detectors-after-recent-gun-scare/")</f>
        <v>https://www.eastbaytimes.com/2008/11/24/oaklands-cole-middle-school-to-use-metal-detectors-after-recent-gun-scare/</v>
      </c>
      <c r="L1319" s="5"/>
      <c r="M1319" s="5"/>
      <c r="N1319" s="5">
        <f ca="1">IFERROR(__xludf.DUMMYFUNCTION("""COMPUTED_VALUE"""),2)</f>
        <v>2</v>
      </c>
      <c r="O1319" s="5" t="str">
        <f ca="1">IFERROR(__xludf.DUMMYFUNCTION("""COMPUTED_VALUE"""),"Fall")</f>
        <v>Fall</v>
      </c>
      <c r="P1319" s="5" t="str">
        <f ca="1">IFERROR(__xludf.DUMMYFUNCTION("""COMPUTED_VALUE"""),"Oakland")</f>
        <v>Oakland</v>
      </c>
      <c r="Q1319" s="5" t="str">
        <f ca="1">IFERROR(__xludf.DUMMYFUNCTION("""COMPUTED_VALUE"""),"CA")</f>
        <v>CA</v>
      </c>
      <c r="R1319" s="5" t="str">
        <f ca="1">IFERROR(__xludf.DUMMYFUNCTION("""COMPUTED_VALUE"""),"Middle")</f>
        <v>Middle</v>
      </c>
      <c r="S1319" s="5" t="str">
        <f ca="1">IFERROR(__xludf.DUMMYFUNCTION("""COMPUTED_VALUE"""),"Classroom")</f>
        <v>Classroom</v>
      </c>
      <c r="T1319" s="5" t="str">
        <f ca="1">IFERROR(__xludf.DUMMYFUNCTION("""COMPUTED_VALUE"""),"Inside School Building")</f>
        <v>Inside School Building</v>
      </c>
      <c r="U1319" s="5" t="str">
        <f ca="1">IFERROR(__xludf.DUMMYFUNCTION("""COMPUTED_VALUE"""),"Yes")</f>
        <v>Yes</v>
      </c>
      <c r="V1319" s="5" t="str">
        <f ca="1">IFERROR(__xludf.DUMMYFUNCTION("""COMPUTED_VALUE"""),"Morning Classes")</f>
        <v>Morning Classes</v>
      </c>
      <c r="W1319" s="10">
        <f ca="1">IFERROR(__xludf.DUMMYFUNCTION("""COMPUTED_VALUE"""),0.354166666666666)</f>
        <v>0.35416666666666602</v>
      </c>
      <c r="X1319" s="5">
        <f ca="1">IFERROR(__xludf.DUMMYFUNCTION("""COMPUTED_VALUE"""),1)</f>
        <v>1</v>
      </c>
      <c r="Y1319" s="5" t="str">
        <f ca="1">IFERROR(__xludf.DUMMYFUNCTION("""COMPUTED_VALUE"""),"Shot fired in classroom struck wall")</f>
        <v>Shot fired in classroom struck wall</v>
      </c>
      <c r="Z1319" s="5" t="str">
        <f ca="1">IFERROR(__xludf.DUMMYFUNCTION("""COMPUTED_VALUE"""),"Shot was fired in classroom striking the wall. No injuries. 13YOM student arrested.")</f>
        <v>Shot was fired in classroom striking the wall. No injuries. 13YOM student arrested.</v>
      </c>
      <c r="AA1319" s="5" t="str">
        <f ca="1">IFERROR(__xludf.DUMMYFUNCTION("""COMPUTED_VALUE"""),"Accidental")</f>
        <v>Accidental</v>
      </c>
      <c r="AB1319" s="5"/>
      <c r="AC1319" s="5" t="str">
        <f ca="1">IFERROR(__xludf.DUMMYFUNCTION("""COMPUTED_VALUE"""),"No")</f>
        <v>No</v>
      </c>
      <c r="AD1319" s="5" t="str">
        <f ca="1">IFERROR(__xludf.DUMMYFUNCTION("""COMPUTED_VALUE"""),"No")</f>
        <v>No</v>
      </c>
      <c r="AE1319" s="5" t="str">
        <f ca="1">IFERROR(__xludf.DUMMYFUNCTION("""COMPUTED_VALUE"""),"No")</f>
        <v>No</v>
      </c>
      <c r="AF1319" s="5" t="str">
        <f ca="1">IFERROR(__xludf.DUMMYFUNCTION("""COMPUTED_VALUE"""),"No")</f>
        <v>No</v>
      </c>
      <c r="AG1319" s="5" t="str">
        <f ca="1">IFERROR(__xludf.DUMMYFUNCTION("""COMPUTED_VALUE"""),"No")</f>
        <v>No</v>
      </c>
      <c r="AH1319" s="5" t="str">
        <f ca="1">IFERROR(__xludf.DUMMYFUNCTION("""COMPUTED_VALUE"""),"No")</f>
        <v>No</v>
      </c>
      <c r="AI1319" s="5" t="str">
        <f ca="1">IFERROR(__xludf.DUMMYFUNCTION("""COMPUTED_VALUE"""),"No")</f>
        <v>No</v>
      </c>
      <c r="AJ1319" s="5"/>
    </row>
    <row r="1320" spans="1:36" ht="13">
      <c r="A1320" s="5" t="str">
        <f ca="1">IFERROR(__xludf.DUMMYFUNCTION("""COMPUTED_VALUE"""),"20081115COTHL")</f>
        <v>20081115COTHL</v>
      </c>
      <c r="B1320" s="5">
        <f ca="1">IFERROR(__xludf.DUMMYFUNCTION("""COMPUTED_VALUE"""),11)</f>
        <v>11</v>
      </c>
      <c r="C1320" s="5">
        <f ca="1">IFERROR(__xludf.DUMMYFUNCTION("""COMPUTED_VALUE"""),15)</f>
        <v>15</v>
      </c>
      <c r="D1320" s="5">
        <f ca="1">IFERROR(__xludf.DUMMYFUNCTION("""COMPUTED_VALUE"""),2008)</f>
        <v>2008</v>
      </c>
      <c r="E1320" s="8">
        <f ca="1">IFERROR(__xludf.DUMMYFUNCTION("""COMPUTED_VALUE"""),39767)</f>
        <v>39767</v>
      </c>
      <c r="F1320" s="5" t="str">
        <f ca="1">IFERROR(__xludf.DUMMYFUNCTION("""COMPUTED_VALUE"""),"Thompson Valley High School")</f>
        <v>Thompson Valley High School</v>
      </c>
      <c r="G1320" s="5">
        <f ca="1">IFERROR(__xludf.DUMMYFUNCTION("""COMPUTED_VALUE"""),1)</f>
        <v>1</v>
      </c>
      <c r="H1320" s="5">
        <f ca="1">IFERROR(__xludf.DUMMYFUNCTION("""COMPUTED_VALUE"""),0)</f>
        <v>0</v>
      </c>
      <c r="I1320" s="5">
        <f ca="1">IFERROR(__xludf.DUMMYFUNCTION("""COMPUTED_VALUE"""),1)</f>
        <v>1</v>
      </c>
      <c r="J1320" s="5">
        <f ca="1">IFERROR(__xludf.DUMMYFUNCTION("""COMPUTED_VALUE"""),0)</f>
        <v>0</v>
      </c>
      <c r="K1320" s="9" t="str">
        <f ca="1">IFERROR(__xludf.DUMMYFUNCTION("""COMPUTED_VALUE"""),"http://www.reporterherald.com/ci_18289600")</f>
        <v>http://www.reporterherald.com/ci_18289600</v>
      </c>
      <c r="L1320" s="5"/>
      <c r="M1320" s="5"/>
      <c r="N1320" s="5">
        <f ca="1">IFERROR(__xludf.DUMMYFUNCTION("""COMPUTED_VALUE"""),2)</f>
        <v>2</v>
      </c>
      <c r="O1320" s="5" t="str">
        <f ca="1">IFERROR(__xludf.DUMMYFUNCTION("""COMPUTED_VALUE"""),"Fall")</f>
        <v>Fall</v>
      </c>
      <c r="P1320" s="5" t="str">
        <f ca="1">IFERROR(__xludf.DUMMYFUNCTION("""COMPUTED_VALUE"""),"Loveland")</f>
        <v>Loveland</v>
      </c>
      <c r="Q1320" s="5" t="str">
        <f ca="1">IFERROR(__xludf.DUMMYFUNCTION("""COMPUTED_VALUE"""),"CO")</f>
        <v>CO</v>
      </c>
      <c r="R1320" s="5" t="str">
        <f ca="1">IFERROR(__xludf.DUMMYFUNCTION("""COMPUTED_VALUE"""),"High")</f>
        <v>High</v>
      </c>
      <c r="S1320" s="5" t="str">
        <f ca="1">IFERROR(__xludf.DUMMYFUNCTION("""COMPUTED_VALUE"""),"Parking Lot")</f>
        <v>Parking Lot</v>
      </c>
      <c r="T1320" s="5" t="str">
        <f ca="1">IFERROR(__xludf.DUMMYFUNCTION("""COMPUTED_VALUE"""),"Outside on School Property")</f>
        <v>Outside on School Property</v>
      </c>
      <c r="U1320" s="5" t="str">
        <f ca="1">IFERROR(__xludf.DUMMYFUNCTION("""COMPUTED_VALUE"""),"No")</f>
        <v>No</v>
      </c>
      <c r="V1320" s="5" t="str">
        <f ca="1">IFERROR(__xludf.DUMMYFUNCTION("""COMPUTED_VALUE"""),"Night")</f>
        <v>Night</v>
      </c>
      <c r="W1320" s="10">
        <f ca="1">IFERROR(__xludf.DUMMYFUNCTION("""COMPUTED_VALUE"""),0.0520833333333333)</f>
        <v>5.2083333333333301E-2</v>
      </c>
      <c r="X1320" s="5">
        <f ca="1">IFERROR(__xludf.DUMMYFUNCTION("""COMPUTED_VALUE"""),1)</f>
        <v>1</v>
      </c>
      <c r="Y1320" s="5" t="str">
        <f ca="1">IFERROR(__xludf.DUMMYFUNCTION("""COMPUTED_VALUE"""),"Shots fired during late night fight in the parking lot")</f>
        <v>Shots fired during late night fight in the parking lot</v>
      </c>
      <c r="Z1320" s="5" t="str">
        <f ca="1">IFERROR(__xludf.DUMMYFUNCTION("""COMPUTED_VALUE"""),"Planned fight between group of students in the school parking lot. 18YOM brough handgun to the fight and fired when he saw 23YOM with a knife. No knife was recovered.")</f>
        <v>Planned fight between group of students in the school parking lot. 18YOM brough handgun to the fight and fired when he saw 23YOM with a knife. No knife was recovered.</v>
      </c>
      <c r="AA1320" s="5" t="str">
        <f ca="1">IFERROR(__xludf.DUMMYFUNCTION("""COMPUTED_VALUE"""),"Escalation of Dispute")</f>
        <v>Escalation of Dispute</v>
      </c>
      <c r="AB1320" s="5" t="str">
        <f ca="1">IFERROR(__xludf.DUMMYFUNCTION("""COMPUTED_VALUE"""),"Victims Targeted")</f>
        <v>Victims Targeted</v>
      </c>
      <c r="AC1320" s="5" t="str">
        <f ca="1">IFERROR(__xludf.DUMMYFUNCTION("""COMPUTED_VALUE"""),"No")</f>
        <v>No</v>
      </c>
      <c r="AD1320" s="5" t="str">
        <f ca="1">IFERROR(__xludf.DUMMYFUNCTION("""COMPUTED_VALUE"""),"No")</f>
        <v>No</v>
      </c>
      <c r="AE1320" s="5" t="str">
        <f ca="1">IFERROR(__xludf.DUMMYFUNCTION("""COMPUTED_VALUE"""),"No")</f>
        <v>No</v>
      </c>
      <c r="AF1320" s="5" t="str">
        <f ca="1">IFERROR(__xludf.DUMMYFUNCTION("""COMPUTED_VALUE"""),"No")</f>
        <v>No</v>
      </c>
      <c r="AG1320" s="5" t="str">
        <f ca="1">IFERROR(__xludf.DUMMYFUNCTION("""COMPUTED_VALUE"""),"No")</f>
        <v>No</v>
      </c>
      <c r="AH1320" s="5" t="str">
        <f ca="1">IFERROR(__xludf.DUMMYFUNCTION("""COMPUTED_VALUE"""),"No")</f>
        <v>No</v>
      </c>
      <c r="AI1320" s="5" t="str">
        <f ca="1">IFERROR(__xludf.DUMMYFUNCTION("""COMPUTED_VALUE"""),"No")</f>
        <v>No</v>
      </c>
      <c r="AJ1320" s="5"/>
    </row>
    <row r="1321" spans="1:36" ht="13">
      <c r="A1321" s="5" t="str">
        <f ca="1">IFERROR(__xludf.DUMMYFUNCTION("""COMPUTED_VALUE"""),"20081115UTDES")</f>
        <v>20081115UTDES</v>
      </c>
      <c r="B1321" s="5">
        <f ca="1">IFERROR(__xludf.DUMMYFUNCTION("""COMPUTED_VALUE"""),11)</f>
        <v>11</v>
      </c>
      <c r="C1321" s="5">
        <f ca="1">IFERROR(__xludf.DUMMYFUNCTION("""COMPUTED_VALUE"""),15)</f>
        <v>15</v>
      </c>
      <c r="D1321" s="5">
        <f ca="1">IFERROR(__xludf.DUMMYFUNCTION("""COMPUTED_VALUE"""),2008)</f>
        <v>2008</v>
      </c>
      <c r="E1321" s="8">
        <f ca="1">IFERROR(__xludf.DUMMYFUNCTION("""COMPUTED_VALUE"""),39767)</f>
        <v>39767</v>
      </c>
      <c r="F1321" s="5" t="str">
        <f ca="1">IFERROR(__xludf.DUMMYFUNCTION("""COMPUTED_VALUE"""),"Desert Hills High School")</f>
        <v>Desert Hills High School</v>
      </c>
      <c r="G1321" s="5">
        <f ca="1">IFERROR(__xludf.DUMMYFUNCTION("""COMPUTED_VALUE"""),1)</f>
        <v>1</v>
      </c>
      <c r="H1321" s="5">
        <f ca="1">IFERROR(__xludf.DUMMYFUNCTION("""COMPUTED_VALUE"""),0)</f>
        <v>0</v>
      </c>
      <c r="I1321" s="5">
        <f ca="1">IFERROR(__xludf.DUMMYFUNCTION("""COMPUTED_VALUE"""),1)</f>
        <v>1</v>
      </c>
      <c r="J1321" s="5">
        <f ca="1">IFERROR(__xludf.DUMMYFUNCTION("""COMPUTED_VALUE"""),0)</f>
        <v>0</v>
      </c>
      <c r="K1321" s="9" t="str">
        <f ca="1">IFERROR(__xludf.DUMMYFUNCTION("""COMPUTED_VALUE"""),"https://www.deseretnews.com/article/865556503/High-court-No-immunity-in-case-of-15-year-old-killed-by-prop-gun-used-in-school-play.html")</f>
        <v>https://www.deseretnews.com/article/865556503/High-court-No-immunity-in-case-of-15-year-old-killed-by-prop-gun-used-in-school-play.html</v>
      </c>
      <c r="L1321" s="5"/>
      <c r="M1321" s="5"/>
      <c r="N1321" s="5">
        <f ca="1">IFERROR(__xludf.DUMMYFUNCTION("""COMPUTED_VALUE"""),2)</f>
        <v>2</v>
      </c>
      <c r="O1321" s="5" t="str">
        <f ca="1">IFERROR(__xludf.DUMMYFUNCTION("""COMPUTED_VALUE"""),"Fall")</f>
        <v>Fall</v>
      </c>
      <c r="P1321" s="5" t="str">
        <f ca="1">IFERROR(__xludf.DUMMYFUNCTION("""COMPUTED_VALUE"""),"St. George")</f>
        <v>St. George</v>
      </c>
      <c r="Q1321" s="5" t="str">
        <f ca="1">IFERROR(__xludf.DUMMYFUNCTION("""COMPUTED_VALUE"""),"UT")</f>
        <v>UT</v>
      </c>
      <c r="R1321" s="5" t="str">
        <f ca="1">IFERROR(__xludf.DUMMYFUNCTION("""COMPUTED_VALUE"""),"High")</f>
        <v>High</v>
      </c>
      <c r="S1321" s="5" t="str">
        <f ca="1">IFERROR(__xludf.DUMMYFUNCTION("""COMPUTED_VALUE"""),"Auditorium")</f>
        <v>Auditorium</v>
      </c>
      <c r="T1321" s="5" t="str">
        <f ca="1">IFERROR(__xludf.DUMMYFUNCTION("""COMPUTED_VALUE"""),"Inside School Building")</f>
        <v>Inside School Building</v>
      </c>
      <c r="U1321" s="5" t="str">
        <f ca="1">IFERROR(__xludf.DUMMYFUNCTION("""COMPUTED_VALUE"""),"No")</f>
        <v>No</v>
      </c>
      <c r="V1321" s="5" t="str">
        <f ca="1">IFERROR(__xludf.DUMMYFUNCTION("""COMPUTED_VALUE"""),"School Event")</f>
        <v>School Event</v>
      </c>
      <c r="W1321" s="10">
        <f ca="1">IFERROR(__xludf.DUMMYFUNCTION("""COMPUTED_VALUE"""),0.763888888888888)</f>
        <v>0.76388888888888795</v>
      </c>
      <c r="X1321" s="5">
        <f ca="1">IFERROR(__xludf.DUMMYFUNCTION("""COMPUTED_VALUE"""),1)</f>
        <v>1</v>
      </c>
      <c r="Y1321" s="5" t="str">
        <f ca="1">IFERROR(__xludf.DUMMYFUNCTION("""COMPUTED_VALUE"""),"Killed handling prop gun for school play that was actually a real .38 revolver")</f>
        <v>Killed handling prop gun for school play that was actually a real .38 revolver</v>
      </c>
      <c r="Z1321" s="5" t="str">
        <f ca="1">IFERROR(__xludf.DUMMYFUNCTION("""COMPUTED_VALUE"""),"15YOM student was involved in production of play. He was handling a revolver that he thought was a prop gun but was actually a real .38 revolver and accidentally shot himself in the head. Parents sued the school system.")</f>
        <v>15YOM student was involved in production of play. He was handling a revolver that he thought was a prop gun but was actually a real .38 revolver and accidentally shot himself in the head. Parents sued the school system.</v>
      </c>
      <c r="AA1321" s="5" t="str">
        <f ca="1">IFERROR(__xludf.DUMMYFUNCTION("""COMPUTED_VALUE"""),"Accidental")</f>
        <v>Accidental</v>
      </c>
      <c r="AB1321" s="5" t="str">
        <f ca="1">IFERROR(__xludf.DUMMYFUNCTION("""COMPUTED_VALUE"""),"Neither")</f>
        <v>Neither</v>
      </c>
      <c r="AC1321" s="5" t="str">
        <f ca="1">IFERROR(__xludf.DUMMYFUNCTION("""COMPUTED_VALUE"""),"No")</f>
        <v>No</v>
      </c>
      <c r="AD1321" s="5" t="str">
        <f ca="1">IFERROR(__xludf.DUMMYFUNCTION("""COMPUTED_VALUE"""),"No")</f>
        <v>No</v>
      </c>
      <c r="AE1321" s="5" t="str">
        <f ca="1">IFERROR(__xludf.DUMMYFUNCTION("""COMPUTED_VALUE"""),"No")</f>
        <v>No</v>
      </c>
      <c r="AF1321" s="5" t="str">
        <f ca="1">IFERROR(__xludf.DUMMYFUNCTION("""COMPUTED_VALUE"""),"No")</f>
        <v>No</v>
      </c>
      <c r="AG1321" s="5" t="str">
        <f ca="1">IFERROR(__xludf.DUMMYFUNCTION("""COMPUTED_VALUE"""),"No")</f>
        <v>No</v>
      </c>
      <c r="AH1321" s="5" t="str">
        <f ca="1">IFERROR(__xludf.DUMMYFUNCTION("""COMPUTED_VALUE"""),"No")</f>
        <v>No</v>
      </c>
      <c r="AI1321" s="5" t="str">
        <f ca="1">IFERROR(__xludf.DUMMYFUNCTION("""COMPUTED_VALUE"""),"No")</f>
        <v>No</v>
      </c>
      <c r="AJ1321" s="5"/>
    </row>
    <row r="1322" spans="1:36" ht="13">
      <c r="A1322" s="5" t="str">
        <f ca="1">IFERROR(__xludf.DUMMYFUNCTION("""COMPUTED_VALUE"""),"20081112FLDIF")</f>
        <v>20081112FLDIF</v>
      </c>
      <c r="B1322" s="5">
        <f ca="1">IFERROR(__xludf.DUMMYFUNCTION("""COMPUTED_VALUE"""),11)</f>
        <v>11</v>
      </c>
      <c r="C1322" s="5">
        <f ca="1">IFERROR(__xludf.DUMMYFUNCTION("""COMPUTED_VALUE"""),12)</f>
        <v>12</v>
      </c>
      <c r="D1322" s="5">
        <f ca="1">IFERROR(__xludf.DUMMYFUNCTION("""COMPUTED_VALUE"""),2008)</f>
        <v>2008</v>
      </c>
      <c r="E1322" s="8">
        <f ca="1">IFERROR(__xludf.DUMMYFUNCTION("""COMPUTED_VALUE"""),39764)</f>
        <v>39764</v>
      </c>
      <c r="F1322" s="5" t="str">
        <f ca="1">IFERROR(__xludf.DUMMYFUNCTION("""COMPUTED_VALUE"""),"Dillard High School")</f>
        <v>Dillard High School</v>
      </c>
      <c r="G1322" s="5">
        <f ca="1">IFERROR(__xludf.DUMMYFUNCTION("""COMPUTED_VALUE"""),1)</f>
        <v>1</v>
      </c>
      <c r="H1322" s="5">
        <f ca="1">IFERROR(__xludf.DUMMYFUNCTION("""COMPUTED_VALUE"""),0)</f>
        <v>0</v>
      </c>
      <c r="I1322" s="5">
        <f ca="1">IFERROR(__xludf.DUMMYFUNCTION("""COMPUTED_VALUE"""),1)</f>
        <v>1</v>
      </c>
      <c r="J1322" s="5">
        <f ca="1">IFERROR(__xludf.DUMMYFUNCTION("""COMPUTED_VALUE"""),0)</f>
        <v>0</v>
      </c>
      <c r="K1322" s="9" t="str">
        <f ca="1">IFERROR(__xludf.DUMMYFUNCTION("""COMPUTED_VALUE"""),"http://www.gainesville.com/news/20091210/teenage-girl-16-convicted-of-shooting-girlfriend-after-break-up")</f>
        <v>http://www.gainesville.com/news/20091210/teenage-girl-16-convicted-of-shooting-girlfriend-after-break-up</v>
      </c>
      <c r="L1322" s="5"/>
      <c r="M1322" s="5"/>
      <c r="N1322" s="5">
        <f ca="1">IFERROR(__xludf.DUMMYFUNCTION("""COMPUTED_VALUE"""),2)</f>
        <v>2</v>
      </c>
      <c r="O1322" s="5" t="str">
        <f ca="1">IFERROR(__xludf.DUMMYFUNCTION("""COMPUTED_VALUE"""),"Fall")</f>
        <v>Fall</v>
      </c>
      <c r="P1322" s="5" t="str">
        <f ca="1">IFERROR(__xludf.DUMMYFUNCTION("""COMPUTED_VALUE"""),"Fort Lauderdale")</f>
        <v>Fort Lauderdale</v>
      </c>
      <c r="Q1322" s="5" t="str">
        <f ca="1">IFERROR(__xludf.DUMMYFUNCTION("""COMPUTED_VALUE"""),"FL")</f>
        <v>FL</v>
      </c>
      <c r="R1322" s="5" t="str">
        <f ca="1">IFERROR(__xludf.DUMMYFUNCTION("""COMPUTED_VALUE"""),"High")</f>
        <v>High</v>
      </c>
      <c r="S1322" s="5" t="str">
        <f ca="1">IFERROR(__xludf.DUMMYFUNCTION("""COMPUTED_VALUE"""),"Classroom")</f>
        <v>Classroom</v>
      </c>
      <c r="T1322" s="5" t="str">
        <f ca="1">IFERROR(__xludf.DUMMYFUNCTION("""COMPUTED_VALUE"""),"Inside School Building")</f>
        <v>Inside School Building</v>
      </c>
      <c r="U1322" s="5" t="str">
        <f ca="1">IFERROR(__xludf.DUMMYFUNCTION("""COMPUTED_VALUE"""),"Yes")</f>
        <v>Yes</v>
      </c>
      <c r="V1322" s="5" t="str">
        <f ca="1">IFERROR(__xludf.DUMMYFUNCTION("""COMPUTED_VALUE"""),"Morning Classes")</f>
        <v>Morning Classes</v>
      </c>
      <c r="W1322" s="10">
        <f ca="1">IFERROR(__xludf.DUMMYFUNCTION("""COMPUTED_VALUE"""),0.458333333333333)</f>
        <v>0.45833333333333298</v>
      </c>
      <c r="X1322" s="5">
        <f ca="1">IFERROR(__xludf.DUMMYFUNCTION("""COMPUTED_VALUE"""),1)</f>
        <v>1</v>
      </c>
      <c r="Y1322" s="5" t="str">
        <f ca="1">IFERROR(__xludf.DUMMYFUNCTION("""COMPUTED_VALUE"""),"Romantic Dispute, shot girl in hallway, fled and called police to surrender at a restaurant nearby")</f>
        <v>Romantic Dispute, shot girl in hallway, fled and called police to surrender at a restaurant nearby</v>
      </c>
      <c r="Z1322" s="5" t="str">
        <f ca="1">IFERROR(__xludf.DUMMYFUNCTION("""COMPUTED_VALUE"""),"Shooter killed female victim who she had romantic interest in and then walked to a nearby restaurant where she was detained by police. Shooter was good student and talented musician. Shooter was left to her grandparents at 6 weeks old, sexually molested b"&amp;"y a family member at 6, severely beaten by a mother with bipolar disorder and a father now serving a 25-year prison sentence for attempted murder. She was shunned by her family when she came out as a lesbian. Shooter slashed her arm with a razor blade 70 "&amp;"times the night prior to the shooting. Shooter showed the gun to other students and made threats against the victim.")</f>
        <v>Shooter killed female victim who she had romantic interest in and then walked to a nearby restaurant where she was detained by police. Shooter was good student and talented musician. Shooter was left to her grandparents at 6 weeks old, sexually molested by a family member at 6, severely beaten by a mother with bipolar disorder and a father now serving a 25-year prison sentence for attempted murder. She was shunned by her family when she came out as a lesbian. Shooter slashed her arm with a razor blade 70 times the night prior to the shooting. Shooter showed the gun to other students and made threats against the victim.</v>
      </c>
      <c r="AA1322" s="5" t="str">
        <f ca="1">IFERROR(__xludf.DUMMYFUNCTION("""COMPUTED_VALUE"""),"Domestic w/ Targeted Victim")</f>
        <v>Domestic w/ Targeted Victim</v>
      </c>
      <c r="AB1322" s="5" t="str">
        <f ca="1">IFERROR(__xludf.DUMMYFUNCTION("""COMPUTED_VALUE"""),"Victims Targeted")</f>
        <v>Victims Targeted</v>
      </c>
      <c r="AC1322" s="5" t="str">
        <f ca="1">IFERROR(__xludf.DUMMYFUNCTION("""COMPUTED_VALUE"""),"No")</f>
        <v>No</v>
      </c>
      <c r="AD1322" s="5" t="str">
        <f ca="1">IFERROR(__xludf.DUMMYFUNCTION("""COMPUTED_VALUE"""),"No")</f>
        <v>No</v>
      </c>
      <c r="AE1322" s="5" t="str">
        <f ca="1">IFERROR(__xludf.DUMMYFUNCTION("""COMPUTED_VALUE"""),"No")</f>
        <v>No</v>
      </c>
      <c r="AF1322" s="5" t="str">
        <f ca="1">IFERROR(__xludf.DUMMYFUNCTION("""COMPUTED_VALUE"""),"No")</f>
        <v>No</v>
      </c>
      <c r="AG1322" s="5" t="str">
        <f ca="1">IFERROR(__xludf.DUMMYFUNCTION("""COMPUTED_VALUE"""),"No")</f>
        <v>No</v>
      </c>
      <c r="AH1322" s="5" t="str">
        <f ca="1">IFERROR(__xludf.DUMMYFUNCTION("""COMPUTED_VALUE"""),"Yes")</f>
        <v>Yes</v>
      </c>
      <c r="AI1322" s="5" t="str">
        <f ca="1">IFERROR(__xludf.DUMMYFUNCTION("""COMPUTED_VALUE"""),"No")</f>
        <v>No</v>
      </c>
      <c r="AJ1322" s="5"/>
    </row>
    <row r="1323" spans="1:36" ht="13">
      <c r="A1323" s="5" t="str">
        <f ca="1">IFERROR(__xludf.DUMMYFUNCTION("""COMPUTED_VALUE"""),"20081103CAELO")</f>
        <v>20081103CAELO</v>
      </c>
      <c r="B1323" s="5">
        <f ca="1">IFERROR(__xludf.DUMMYFUNCTION("""COMPUTED_VALUE"""),11)</f>
        <v>11</v>
      </c>
      <c r="C1323" s="5">
        <f ca="1">IFERROR(__xludf.DUMMYFUNCTION("""COMPUTED_VALUE"""),3)</f>
        <v>3</v>
      </c>
      <c r="D1323" s="5">
        <f ca="1">IFERROR(__xludf.DUMMYFUNCTION("""COMPUTED_VALUE"""),2008)</f>
        <v>2008</v>
      </c>
      <c r="E1323" s="8">
        <f ca="1">IFERROR(__xludf.DUMMYFUNCTION("""COMPUTED_VALUE"""),39755)</f>
        <v>39755</v>
      </c>
      <c r="F1323" s="5" t="str">
        <f ca="1">IFERROR(__xludf.DUMMYFUNCTION("""COMPUTED_VALUE"""),"El Rio Elementary School")</f>
        <v>El Rio Elementary School</v>
      </c>
      <c r="G1323" s="5">
        <f ca="1">IFERROR(__xludf.DUMMYFUNCTION("""COMPUTED_VALUE"""),0)</f>
        <v>0</v>
      </c>
      <c r="H1323" s="5">
        <f ca="1">IFERROR(__xludf.DUMMYFUNCTION("""COMPUTED_VALUE"""),0)</f>
        <v>0</v>
      </c>
      <c r="I1323" s="5">
        <f ca="1">IFERROR(__xludf.DUMMYFUNCTION("""COMPUTED_VALUE"""),0)</f>
        <v>0</v>
      </c>
      <c r="J1323" s="5">
        <f ca="1">IFERROR(__xludf.DUMMYFUNCTION("""COMPUTED_VALUE"""),0)</f>
        <v>0</v>
      </c>
      <c r="K1323" s="9" t="str">
        <f ca="1">IFERROR(__xludf.DUMMYFUNCTION("""COMPUTED_VALUE"""),"http://archive.vcstar.com/news/352401581.html/")</f>
        <v>http://archive.vcstar.com/news/352401581.html/</v>
      </c>
      <c r="L1323" s="5"/>
      <c r="M1323" s="5"/>
      <c r="N1323" s="5">
        <f ca="1">IFERROR(__xludf.DUMMYFUNCTION("""COMPUTED_VALUE"""),2)</f>
        <v>2</v>
      </c>
      <c r="O1323" s="5" t="str">
        <f ca="1">IFERROR(__xludf.DUMMYFUNCTION("""COMPUTED_VALUE"""),"Fall")</f>
        <v>Fall</v>
      </c>
      <c r="P1323" s="5" t="str">
        <f ca="1">IFERROR(__xludf.DUMMYFUNCTION("""COMPUTED_VALUE"""),"Oxnard")</f>
        <v>Oxnard</v>
      </c>
      <c r="Q1323" s="5" t="str">
        <f ca="1">IFERROR(__xludf.DUMMYFUNCTION("""COMPUTED_VALUE"""),"CA")</f>
        <v>CA</v>
      </c>
      <c r="R1323" s="5" t="str">
        <f ca="1">IFERROR(__xludf.DUMMYFUNCTION("""COMPUTED_VALUE"""),"Elementary")</f>
        <v>Elementary</v>
      </c>
      <c r="S1323" s="5" t="str">
        <f ca="1">IFERROR(__xludf.DUMMYFUNCTION("""COMPUTED_VALUE"""),"Classroom; Beside Building")</f>
        <v>Classroom; Beside Building</v>
      </c>
      <c r="T1323" s="5" t="str">
        <f ca="1">IFERROR(__xludf.DUMMYFUNCTION("""COMPUTED_VALUE"""),"Both Inside/Outside")</f>
        <v>Both Inside/Outside</v>
      </c>
      <c r="U1323" s="5" t="str">
        <f ca="1">IFERROR(__xludf.DUMMYFUNCTION("""COMPUTED_VALUE"""),"Yes")</f>
        <v>Yes</v>
      </c>
      <c r="V1323" s="5" t="str">
        <f ca="1">IFERROR(__xludf.DUMMYFUNCTION("""COMPUTED_VALUE"""),"Afternoon Classes")</f>
        <v>Afternoon Classes</v>
      </c>
      <c r="W1323" s="10">
        <f ca="1">IFERROR(__xludf.DUMMYFUNCTION("""COMPUTED_VALUE"""),0.649305555555555)</f>
        <v>0.64930555555555503</v>
      </c>
      <c r="X1323" s="5">
        <f ca="1">IFERROR(__xludf.DUMMYFUNCTION("""COMPUTED_VALUE"""),1)</f>
        <v>1</v>
      </c>
      <c r="Y1323" s="5" t="str">
        <f ca="1">IFERROR(__xludf.DUMMYFUNCTION("""COMPUTED_VALUE"""),"BB gun shattered classroom window, students were evacuated, police called for shots fired, no suspect")</f>
        <v>BB gun shattered classroom window, students were evacuated, police called for shots fired, no suspect</v>
      </c>
      <c r="Z1323" s="5" t="str">
        <f ca="1">IFERROR(__xludf.DUMMYFUNCTION("""COMPUTED_VALUE"""),"Shot from a BB gun shattered a classroom window. Students inside the classroom were evacuated. Police were called for reported shots fired at the school. No suspects or motive known.")</f>
        <v>Shot from a BB gun shattered a classroom window. Students inside the classroom were evacuated. Police were called for reported shots fired at the school. No suspects or motive known.</v>
      </c>
      <c r="AA1323" s="5" t="str">
        <f ca="1">IFERROR(__xludf.DUMMYFUNCTION("""COMPUTED_VALUE"""),"Intentional Property Damage")</f>
        <v>Intentional Property Damage</v>
      </c>
      <c r="AB1323" s="5"/>
      <c r="AC1323" s="5" t="str">
        <f ca="1">IFERROR(__xludf.DUMMYFUNCTION("""COMPUTED_VALUE"""),"Unknown")</f>
        <v>Unknown</v>
      </c>
      <c r="AD1323" s="5" t="str">
        <f ca="1">IFERROR(__xludf.DUMMYFUNCTION("""COMPUTED_VALUE"""),"No")</f>
        <v>No</v>
      </c>
      <c r="AE1323" s="5" t="str">
        <f ca="1">IFERROR(__xludf.DUMMYFUNCTION("""COMPUTED_VALUE"""),"No")</f>
        <v>No</v>
      </c>
      <c r="AF1323" s="5" t="str">
        <f ca="1">IFERROR(__xludf.DUMMYFUNCTION("""COMPUTED_VALUE"""),"No")</f>
        <v>No</v>
      </c>
      <c r="AG1323" s="5" t="str">
        <f ca="1">IFERROR(__xludf.DUMMYFUNCTION("""COMPUTED_VALUE"""),"No")</f>
        <v>No</v>
      </c>
      <c r="AH1323" s="5" t="str">
        <f ca="1">IFERROR(__xludf.DUMMYFUNCTION("""COMPUTED_VALUE"""),"No")</f>
        <v>No</v>
      </c>
      <c r="AI1323" s="5" t="str">
        <f ca="1">IFERROR(__xludf.DUMMYFUNCTION("""COMPUTED_VALUE"""),"No")</f>
        <v>No</v>
      </c>
      <c r="AJ1323" s="5"/>
    </row>
    <row r="1324" spans="1:36" ht="13">
      <c r="A1324" s="5" t="str">
        <f ca="1">IFERROR(__xludf.DUMMYFUNCTION("""COMPUTED_VALUE"""),"20081103CABEB")</f>
        <v>20081103CABEB</v>
      </c>
      <c r="B1324" s="5">
        <f ca="1">IFERROR(__xludf.DUMMYFUNCTION("""COMPUTED_VALUE"""),11)</f>
        <v>11</v>
      </c>
      <c r="C1324" s="5">
        <f ca="1">IFERROR(__xludf.DUMMYFUNCTION("""COMPUTED_VALUE"""),3)</f>
        <v>3</v>
      </c>
      <c r="D1324" s="5">
        <f ca="1">IFERROR(__xludf.DUMMYFUNCTION("""COMPUTED_VALUE"""),2008)</f>
        <v>2008</v>
      </c>
      <c r="E1324" s="8">
        <f ca="1">IFERROR(__xludf.DUMMYFUNCTION("""COMPUTED_VALUE"""),39755)</f>
        <v>39755</v>
      </c>
      <c r="F1324" s="5" t="str">
        <f ca="1">IFERROR(__xludf.DUMMYFUNCTION("""COMPUTED_VALUE"""),"Bell High School")</f>
        <v>Bell High School</v>
      </c>
      <c r="G1324" s="5">
        <f ca="1">IFERROR(__xludf.DUMMYFUNCTION("""COMPUTED_VALUE"""),1)</f>
        <v>1</v>
      </c>
      <c r="H1324" s="5">
        <f ca="1">IFERROR(__xludf.DUMMYFUNCTION("""COMPUTED_VALUE"""),0)</f>
        <v>0</v>
      </c>
      <c r="I1324" s="5">
        <f ca="1">IFERROR(__xludf.DUMMYFUNCTION("""COMPUTED_VALUE"""),1)</f>
        <v>1</v>
      </c>
      <c r="J1324" s="5">
        <f ca="1">IFERROR(__xludf.DUMMYFUNCTION("""COMPUTED_VALUE"""),0)</f>
        <v>0</v>
      </c>
      <c r="K1324" s="9" t="str">
        <f ca="1">IFERROR(__xludf.DUMMYFUNCTION("""COMPUTED_VALUE"""),"http://homicide.latimes.com/post/luis-rosas/")</f>
        <v>http://homicide.latimes.com/post/luis-rosas/</v>
      </c>
      <c r="L1324" s="5"/>
      <c r="M1324" s="5"/>
      <c r="N1324" s="5">
        <f ca="1">IFERROR(__xludf.DUMMYFUNCTION("""COMPUTED_VALUE"""),2)</f>
        <v>2</v>
      </c>
      <c r="O1324" s="5" t="str">
        <f ca="1">IFERROR(__xludf.DUMMYFUNCTION("""COMPUTED_VALUE"""),"Fall")</f>
        <v>Fall</v>
      </c>
      <c r="P1324" s="5" t="str">
        <f ca="1">IFERROR(__xludf.DUMMYFUNCTION("""COMPUTED_VALUE"""),"Bell")</f>
        <v>Bell</v>
      </c>
      <c r="Q1324" s="5" t="str">
        <f ca="1">IFERROR(__xludf.DUMMYFUNCTION("""COMPUTED_VALUE"""),"CA")</f>
        <v>CA</v>
      </c>
      <c r="R1324" s="5" t="str">
        <f ca="1">IFERROR(__xludf.DUMMYFUNCTION("""COMPUTED_VALUE"""),"High")</f>
        <v>High</v>
      </c>
      <c r="S1324" s="5" t="str">
        <f ca="1">IFERROR(__xludf.DUMMYFUNCTION("""COMPUTED_VALUE"""),"Gym")</f>
        <v>Gym</v>
      </c>
      <c r="T1324" s="5" t="str">
        <f ca="1">IFERROR(__xludf.DUMMYFUNCTION("""COMPUTED_VALUE"""),"Inside School Building")</f>
        <v>Inside School Building</v>
      </c>
      <c r="U1324" s="5" t="str">
        <f ca="1">IFERROR(__xludf.DUMMYFUNCTION("""COMPUTED_VALUE"""),"No")</f>
        <v>No</v>
      </c>
      <c r="V1324" s="5" t="str">
        <f ca="1">IFERROR(__xludf.DUMMYFUNCTION("""COMPUTED_VALUE"""),"Sport Event")</f>
        <v>Sport Event</v>
      </c>
      <c r="W1324" s="10">
        <f ca="1">IFERROR(__xludf.DUMMYFUNCTION("""COMPUTED_VALUE"""),0.833333333333333)</f>
        <v>0.83333333333333304</v>
      </c>
      <c r="X1324" s="5">
        <f ca="1">IFERROR(__xludf.DUMMYFUNCTION("""COMPUTED_VALUE"""),1)</f>
        <v>1</v>
      </c>
      <c r="Y1324" s="5" t="str">
        <f ca="1">IFERROR(__xludf.DUMMYFUNCTION("""COMPUTED_VALUE"""),"Man shot during basketball game, died in front of 40 people at youth basketball game")</f>
        <v>Man shot during basketball game, died in front of 40 people at youth basketball game</v>
      </c>
      <c r="Z1324" s="5" t="str">
        <f ca="1">IFERROR(__xludf.DUMMYFUNCTION("""COMPUTED_VALUE"""),"18YOM was shot by unknown suspect a school gym during youth basketball practice. Died in front of 40 youth basketball players.")</f>
        <v>18YOM was shot by unknown suspect a school gym during youth basketball practice. Died in front of 40 youth basketball players.</v>
      </c>
      <c r="AA1324" s="5" t="str">
        <f ca="1">IFERROR(__xludf.DUMMYFUNCTION("""COMPUTED_VALUE"""),"Escalation of Dispute")</f>
        <v>Escalation of Dispute</v>
      </c>
      <c r="AB1324" s="5" t="str">
        <f ca="1">IFERROR(__xludf.DUMMYFUNCTION("""COMPUTED_VALUE"""),"Victims Targeted")</f>
        <v>Victims Targeted</v>
      </c>
      <c r="AC1324" s="5" t="str">
        <f ca="1">IFERROR(__xludf.DUMMYFUNCTION("""COMPUTED_VALUE"""),"Unknown")</f>
        <v>Unknown</v>
      </c>
      <c r="AD1324" s="5" t="str">
        <f ca="1">IFERROR(__xludf.DUMMYFUNCTION("""COMPUTED_VALUE"""),"No")</f>
        <v>No</v>
      </c>
      <c r="AE1324" s="5" t="str">
        <f ca="1">IFERROR(__xludf.DUMMYFUNCTION("""COMPUTED_VALUE"""),"No")</f>
        <v>No</v>
      </c>
      <c r="AF1324" s="5" t="str">
        <f ca="1">IFERROR(__xludf.DUMMYFUNCTION("""COMPUTED_VALUE"""),"No")</f>
        <v>No</v>
      </c>
      <c r="AG1324" s="5" t="str">
        <f ca="1">IFERROR(__xludf.DUMMYFUNCTION("""COMPUTED_VALUE"""),"No")</f>
        <v>No</v>
      </c>
      <c r="AH1324" s="5" t="str">
        <f ca="1">IFERROR(__xludf.DUMMYFUNCTION("""COMPUTED_VALUE"""),"No")</f>
        <v>No</v>
      </c>
      <c r="AI1324" s="5"/>
      <c r="AJ1324" s="5"/>
    </row>
    <row r="1325" spans="1:36" ht="13">
      <c r="A1325" s="5" t="str">
        <f ca="1">IFERROR(__xludf.DUMMYFUNCTION("""COMPUTED_VALUE"""),"20081031MESTS")</f>
        <v>20081031MESTS</v>
      </c>
      <c r="B1325" s="5">
        <f ca="1">IFERROR(__xludf.DUMMYFUNCTION("""COMPUTED_VALUE"""),10)</f>
        <v>10</v>
      </c>
      <c r="C1325" s="5">
        <f ca="1">IFERROR(__xludf.DUMMYFUNCTION("""COMPUTED_VALUE"""),31)</f>
        <v>31</v>
      </c>
      <c r="D1325" s="5">
        <f ca="1">IFERROR(__xludf.DUMMYFUNCTION("""COMPUTED_VALUE"""),2008)</f>
        <v>2008</v>
      </c>
      <c r="E1325" s="8">
        <f ca="1">IFERROR(__xludf.DUMMYFUNCTION("""COMPUTED_VALUE"""),39752)</f>
        <v>39752</v>
      </c>
      <c r="F1325" s="5" t="str">
        <f ca="1">IFERROR(__xludf.DUMMYFUNCTION("""COMPUTED_VALUE"""),"Stockton Springs Elementary School")</f>
        <v>Stockton Springs Elementary School</v>
      </c>
      <c r="G1325" s="5">
        <f ca="1">IFERROR(__xludf.DUMMYFUNCTION("""COMPUTED_VALUE"""),0)</f>
        <v>0</v>
      </c>
      <c r="H1325" s="5">
        <f ca="1">IFERROR(__xludf.DUMMYFUNCTION("""COMPUTED_VALUE"""),0)</f>
        <v>0</v>
      </c>
      <c r="I1325" s="5">
        <f ca="1">IFERROR(__xludf.DUMMYFUNCTION("""COMPUTED_VALUE"""),0)</f>
        <v>0</v>
      </c>
      <c r="J1325" s="5">
        <f ca="1">IFERROR(__xludf.DUMMYFUNCTION("""COMPUTED_VALUE"""),0)</f>
        <v>0</v>
      </c>
      <c r="K1325" s="9" t="str">
        <f ca="1">IFERROR(__xludf.DUMMYFUNCTION("""COMPUTED_VALUE"""),"https://bangordailynews.com/2008/10/31/news/5th-graders-safe-after-police-arrest-armed-fugitive/")</f>
        <v>https://bangordailynews.com/2008/10/31/news/5th-graders-safe-after-police-arrest-armed-fugitive/</v>
      </c>
      <c r="L1325" s="5"/>
      <c r="M1325" s="5"/>
      <c r="N1325" s="5">
        <f ca="1">IFERROR(__xludf.DUMMYFUNCTION("""COMPUTED_VALUE"""),2)</f>
        <v>2</v>
      </c>
      <c r="O1325" s="5" t="str">
        <f ca="1">IFERROR(__xludf.DUMMYFUNCTION("""COMPUTED_VALUE"""),"Fall")</f>
        <v>Fall</v>
      </c>
      <c r="P1325" s="5" t="str">
        <f ca="1">IFERROR(__xludf.DUMMYFUNCTION("""COMPUTED_VALUE"""),"Stockton Springs")</f>
        <v>Stockton Springs</v>
      </c>
      <c r="Q1325" s="5" t="str">
        <f ca="1">IFERROR(__xludf.DUMMYFUNCTION("""COMPUTED_VALUE"""),"ME")</f>
        <v>ME</v>
      </c>
      <c r="R1325" s="5" t="str">
        <f ca="1">IFERROR(__xludf.DUMMYFUNCTION("""COMPUTED_VALUE"""),"Elementary")</f>
        <v>Elementary</v>
      </c>
      <c r="S1325" s="5" t="str">
        <f ca="1">IFERROR(__xludf.DUMMYFUNCTION("""COMPUTED_VALUE"""),"Classroom")</f>
        <v>Classroom</v>
      </c>
      <c r="T1325" s="5" t="str">
        <f ca="1">IFERROR(__xludf.DUMMYFUNCTION("""COMPUTED_VALUE"""),"Inside School Building")</f>
        <v>Inside School Building</v>
      </c>
      <c r="U1325" s="5" t="str">
        <f ca="1">IFERROR(__xludf.DUMMYFUNCTION("""COMPUTED_VALUE"""),"Yes")</f>
        <v>Yes</v>
      </c>
      <c r="V1325" s="5" t="str">
        <f ca="1">IFERROR(__xludf.DUMMYFUNCTION("""COMPUTED_VALUE"""),"Morning Classes")</f>
        <v>Morning Classes</v>
      </c>
      <c r="W1325" s="10">
        <f ca="1">IFERROR(__xludf.DUMMYFUNCTION("""COMPUTED_VALUE"""),0.354166666666666)</f>
        <v>0.35416666666666602</v>
      </c>
      <c r="X1325" s="5">
        <f ca="1">IFERROR(__xludf.DUMMYFUNCTION("""COMPUTED_VALUE"""),34)</f>
        <v>34</v>
      </c>
      <c r="Y1325" s="5" t="str">
        <f ca="1">IFERROR(__xludf.DUMMYFUNCTION("""COMPUTED_VALUE"""),"Hostage standoff at school after traffic stop")</f>
        <v>Hostage standoff at school after traffic stop</v>
      </c>
      <c r="Z1325" s="5" t="str">
        <f ca="1">IFERROR(__xludf.DUMMYFUNCTION("""COMPUTED_VALUE"""),"55YOM fled traffic stop and took 11 students hostage at nearby elementary school. Tackled by state trooper after releasing hostages.")</f>
        <v>55YOM fled traffic stop and took 11 students hostage at nearby elementary school. Tackled by state trooper after releasing hostages.</v>
      </c>
      <c r="AA1325" s="5" t="str">
        <f ca="1">IFERROR(__xludf.DUMMYFUNCTION("""COMPUTED_VALUE"""),"Hostage/Standoff")</f>
        <v>Hostage/Standoff</v>
      </c>
      <c r="AB1325" s="5"/>
      <c r="AC1325" s="5" t="str">
        <f ca="1">IFERROR(__xludf.DUMMYFUNCTION("""COMPUTED_VALUE"""),"No")</f>
        <v>No</v>
      </c>
      <c r="AD1325" s="5" t="str">
        <f ca="1">IFERROR(__xludf.DUMMYFUNCTION("""COMPUTED_VALUE"""),"Yes")</f>
        <v>Yes</v>
      </c>
      <c r="AE1325" s="5" t="str">
        <f ca="1">IFERROR(__xludf.DUMMYFUNCTION("""COMPUTED_VALUE"""),"Yes")</f>
        <v>Yes</v>
      </c>
      <c r="AF1325" s="5" t="str">
        <f ca="1">IFERROR(__xludf.DUMMYFUNCTION("""COMPUTED_VALUE"""),"No")</f>
        <v>No</v>
      </c>
      <c r="AG1325" s="5" t="str">
        <f ca="1">IFERROR(__xludf.DUMMYFUNCTION("""COMPUTED_VALUE"""),"No")</f>
        <v>No</v>
      </c>
      <c r="AH1325" s="5" t="str">
        <f ca="1">IFERROR(__xludf.DUMMYFUNCTION("""COMPUTED_VALUE"""),"No")</f>
        <v>No</v>
      </c>
      <c r="AI1325" s="5" t="str">
        <f ca="1">IFERROR(__xludf.DUMMYFUNCTION("""COMPUTED_VALUE"""),"No")</f>
        <v>No</v>
      </c>
      <c r="AJ1325" s="5" t="str">
        <f ca="1">IFERROR(__xludf.DUMMYFUNCTION("""COMPUTED_VALUE"""),"Yes")</f>
        <v>Yes</v>
      </c>
    </row>
    <row r="1326" spans="1:36" ht="13">
      <c r="A1326" s="5" t="str">
        <f ca="1">IFERROR(__xludf.DUMMYFUNCTION("""COMPUTED_VALUE"""),"20081029CAELG")</f>
        <v>20081029CAELG</v>
      </c>
      <c r="B1326" s="5">
        <f ca="1">IFERROR(__xludf.DUMMYFUNCTION("""COMPUTED_VALUE"""),10)</f>
        <v>10</v>
      </c>
      <c r="C1326" s="5">
        <f ca="1">IFERROR(__xludf.DUMMYFUNCTION("""COMPUTED_VALUE"""),29)</f>
        <v>29</v>
      </c>
      <c r="D1326" s="5">
        <f ca="1">IFERROR(__xludf.DUMMYFUNCTION("""COMPUTED_VALUE"""),2008)</f>
        <v>2008</v>
      </c>
      <c r="E1326" s="8">
        <f ca="1">IFERROR(__xludf.DUMMYFUNCTION("""COMPUTED_VALUE"""),39750)</f>
        <v>39750</v>
      </c>
      <c r="F1326" s="5" t="str">
        <f ca="1">IFERROR(__xludf.DUMMYFUNCTION("""COMPUTED_VALUE"""),"Eliot Elementary School")</f>
        <v>Eliot Elementary School</v>
      </c>
      <c r="G1326" s="5">
        <f ca="1">IFERROR(__xludf.DUMMYFUNCTION("""COMPUTED_VALUE"""),0)</f>
        <v>0</v>
      </c>
      <c r="H1326" s="5">
        <f ca="1">IFERROR(__xludf.DUMMYFUNCTION("""COMPUTED_VALUE"""),1)</f>
        <v>1</v>
      </c>
      <c r="I1326" s="5">
        <f ca="1">IFERROR(__xludf.DUMMYFUNCTION("""COMPUTED_VALUE"""),1)</f>
        <v>1</v>
      </c>
      <c r="J1326" s="5">
        <f ca="1">IFERROR(__xludf.DUMMYFUNCTION("""COMPUTED_VALUE"""),0)</f>
        <v>0</v>
      </c>
      <c r="K1326" s="9" t="str">
        <f ca="1">IFERROR(__xludf.DUMMYFUNCTION("""COMPUTED_VALUE"""),"https://www.columbine-angels.com/School_Violence_2008-2009.htm")</f>
        <v>https://www.columbine-angels.com/School_Violence_2008-2009.htm</v>
      </c>
      <c r="L1326" s="5"/>
      <c r="M1326" s="5"/>
      <c r="N1326" s="5">
        <f ca="1">IFERROR(__xludf.DUMMYFUNCTION("""COMPUTED_VALUE"""),1)</f>
        <v>1</v>
      </c>
      <c r="O1326" s="5" t="str">
        <f ca="1">IFERROR(__xludf.DUMMYFUNCTION("""COMPUTED_VALUE"""),"Fall")</f>
        <v>Fall</v>
      </c>
      <c r="P1326" s="5" t="str">
        <f ca="1">IFERROR(__xludf.DUMMYFUNCTION("""COMPUTED_VALUE"""),"Gilroy")</f>
        <v>Gilroy</v>
      </c>
      <c r="Q1326" s="5" t="str">
        <f ca="1">IFERROR(__xludf.DUMMYFUNCTION("""COMPUTED_VALUE"""),"CA")</f>
        <v>CA</v>
      </c>
      <c r="R1326" s="5" t="str">
        <f ca="1">IFERROR(__xludf.DUMMYFUNCTION("""COMPUTED_VALUE"""),"Elementary")</f>
        <v>Elementary</v>
      </c>
      <c r="S1326" s="5" t="str">
        <f ca="1">IFERROR(__xludf.DUMMYFUNCTION("""COMPUTED_VALUE"""),"Classroom")</f>
        <v>Classroom</v>
      </c>
      <c r="T1326" s="5" t="str">
        <f ca="1">IFERROR(__xludf.DUMMYFUNCTION("""COMPUTED_VALUE"""),"Inside School Building")</f>
        <v>Inside School Building</v>
      </c>
      <c r="U1326" s="5" t="str">
        <f ca="1">IFERROR(__xludf.DUMMYFUNCTION("""COMPUTED_VALUE"""),"Yes")</f>
        <v>Yes</v>
      </c>
      <c r="V1326" s="5" t="str">
        <f ca="1">IFERROR(__xludf.DUMMYFUNCTION("""COMPUTED_VALUE"""),"Morning Classes")</f>
        <v>Morning Classes</v>
      </c>
      <c r="W1326" s="5"/>
      <c r="X1326" s="5">
        <f ca="1">IFERROR(__xludf.DUMMYFUNCTION("""COMPUTED_VALUE"""),1)</f>
        <v>1</v>
      </c>
      <c r="Y1326" s="5" t="str">
        <f ca="1">IFERROR(__xludf.DUMMYFUNCTION("""COMPUTED_VALUE"""),"Shot teacher with pellet gun in classroom")</f>
        <v>Shot teacher with pellet gun in classroom</v>
      </c>
      <c r="Z1326" s="5" t="str">
        <f ca="1">IFERROR(__xludf.DUMMYFUNCTION("""COMPUTED_VALUE"""),"10YOM student took pellet gun from principals office (unclear if it was his or belonged to another student). Went with the gun into a classroom and fired at a teacher.")</f>
        <v>10YOM student took pellet gun from principals office (unclear if it was his or belonged to another student). Went with the gun into a classroom and fired at a teacher.</v>
      </c>
      <c r="AA1326" s="5" t="str">
        <f ca="1">IFERROR(__xludf.DUMMYFUNCTION("""COMPUTED_VALUE"""),"Anger Over Grade/Suspension/Discipline")</f>
        <v>Anger Over Grade/Suspension/Discipline</v>
      </c>
      <c r="AB1326" s="5" t="str">
        <f ca="1">IFERROR(__xludf.DUMMYFUNCTION("""COMPUTED_VALUE"""),"Victims Targeted")</f>
        <v>Victims Targeted</v>
      </c>
      <c r="AC1326" s="5" t="str">
        <f ca="1">IFERROR(__xludf.DUMMYFUNCTION("""COMPUTED_VALUE"""),"No")</f>
        <v>No</v>
      </c>
      <c r="AD1326" s="5" t="str">
        <f ca="1">IFERROR(__xludf.DUMMYFUNCTION("""COMPUTED_VALUE"""),"No")</f>
        <v>No</v>
      </c>
      <c r="AE1326" s="5" t="str">
        <f ca="1">IFERROR(__xludf.DUMMYFUNCTION("""COMPUTED_VALUE"""),"No")</f>
        <v>No</v>
      </c>
      <c r="AF1326" s="5" t="str">
        <f ca="1">IFERROR(__xludf.DUMMYFUNCTION("""COMPUTED_VALUE"""),"No")</f>
        <v>No</v>
      </c>
      <c r="AG1326" s="5" t="str">
        <f ca="1">IFERROR(__xludf.DUMMYFUNCTION("""COMPUTED_VALUE"""),"No")</f>
        <v>No</v>
      </c>
      <c r="AH1326" s="5" t="str">
        <f ca="1">IFERROR(__xludf.DUMMYFUNCTION("""COMPUTED_VALUE"""),"No")</f>
        <v>No</v>
      </c>
      <c r="AI1326" s="5" t="str">
        <f ca="1">IFERROR(__xludf.DUMMYFUNCTION("""COMPUTED_VALUE"""),"No")</f>
        <v>No</v>
      </c>
      <c r="AJ1326" s="5"/>
    </row>
    <row r="1327" spans="1:36" ht="13">
      <c r="A1327" s="5" t="str">
        <f ca="1">IFERROR(__xludf.DUMMYFUNCTION("""COMPUTED_VALUE"""),"20081023ALPRP")</f>
        <v>20081023ALPRP</v>
      </c>
      <c r="B1327" s="5">
        <f ca="1">IFERROR(__xludf.DUMMYFUNCTION("""COMPUTED_VALUE"""),10)</f>
        <v>10</v>
      </c>
      <c r="C1327" s="5">
        <f ca="1">IFERROR(__xludf.DUMMYFUNCTION("""COMPUTED_VALUE"""),23)</f>
        <v>23</v>
      </c>
      <c r="D1327" s="5">
        <f ca="1">IFERROR(__xludf.DUMMYFUNCTION("""COMPUTED_VALUE"""),2008)</f>
        <v>2008</v>
      </c>
      <c r="E1327" s="8">
        <f ca="1">IFERROR(__xludf.DUMMYFUNCTION("""COMPUTED_VALUE"""),39744)</f>
        <v>39744</v>
      </c>
      <c r="F1327" s="5" t="str">
        <f ca="1">IFERROR(__xludf.DUMMYFUNCTION("""COMPUTED_VALUE"""),"Prattville Christian Academy")</f>
        <v>Prattville Christian Academy</v>
      </c>
      <c r="G1327" s="5">
        <f ca="1">IFERROR(__xludf.DUMMYFUNCTION("""COMPUTED_VALUE"""),0)</f>
        <v>0</v>
      </c>
      <c r="H1327" s="5">
        <f ca="1">IFERROR(__xludf.DUMMYFUNCTION("""COMPUTED_VALUE"""),1)</f>
        <v>1</v>
      </c>
      <c r="I1327" s="5">
        <f ca="1">IFERROR(__xludf.DUMMYFUNCTION("""COMPUTED_VALUE"""),1)</f>
        <v>1</v>
      </c>
      <c r="J1327" s="5">
        <f ca="1">IFERROR(__xludf.DUMMYFUNCTION("""COMPUTED_VALUE"""),0)</f>
        <v>0</v>
      </c>
      <c r="K1327" s="9" t="str">
        <f ca="1">IFERROR(__xludf.DUMMYFUNCTION("""COMPUTED_VALUE"""),"http://www.wsfa.com/story/9234390/wsfa-12-news-update-suspect-charged-with-attempted-murder-in-prattville-shooting")</f>
        <v>http://www.wsfa.com/story/9234390/wsfa-12-news-update-suspect-charged-with-attempted-murder-in-prattville-shooting</v>
      </c>
      <c r="L1327" s="5"/>
      <c r="M1327" s="5"/>
      <c r="N1327" s="5">
        <f ca="1">IFERROR(__xludf.DUMMYFUNCTION("""COMPUTED_VALUE"""),2)</f>
        <v>2</v>
      </c>
      <c r="O1327" s="5" t="str">
        <f ca="1">IFERROR(__xludf.DUMMYFUNCTION("""COMPUTED_VALUE"""),"Fall")</f>
        <v>Fall</v>
      </c>
      <c r="P1327" s="5" t="str">
        <f ca="1">IFERROR(__xludf.DUMMYFUNCTION("""COMPUTED_VALUE"""),"Prattville")</f>
        <v>Prattville</v>
      </c>
      <c r="Q1327" s="5" t="str">
        <f ca="1">IFERROR(__xludf.DUMMYFUNCTION("""COMPUTED_VALUE"""),"AL")</f>
        <v>AL</v>
      </c>
      <c r="R1327" s="5" t="str">
        <f ca="1">IFERROR(__xludf.DUMMYFUNCTION("""COMPUTED_VALUE"""),"Other")</f>
        <v>Other</v>
      </c>
      <c r="S1327" s="5" t="str">
        <f ca="1">IFERROR(__xludf.DUMMYFUNCTION("""COMPUTED_VALUE"""),"Parking Lot")</f>
        <v>Parking Lot</v>
      </c>
      <c r="T1327" s="5" t="str">
        <f ca="1">IFERROR(__xludf.DUMMYFUNCTION("""COMPUTED_VALUE"""),"Outside on School Property")</f>
        <v>Outside on School Property</v>
      </c>
      <c r="U1327" s="5" t="str">
        <f ca="1">IFERROR(__xludf.DUMMYFUNCTION("""COMPUTED_VALUE"""),"Yes")</f>
        <v>Yes</v>
      </c>
      <c r="V1327" s="5"/>
      <c r="W1327" s="5"/>
      <c r="X1327" s="5">
        <f ca="1">IFERROR(__xludf.DUMMYFUNCTION("""COMPUTED_VALUE"""),1)</f>
        <v>1</v>
      </c>
      <c r="Y1327" s="5" t="str">
        <f ca="1">IFERROR(__xludf.DUMMYFUNCTION("""COMPUTED_VALUE"""),"Shot wife in school parking lot (custody dispute), waited for police to arrive")</f>
        <v>Shot wife in school parking lot (custody dispute), waited for police to arrive</v>
      </c>
      <c r="Z1327" s="5" t="str">
        <f ca="1">IFERROR(__xludf.DUMMYFUNCTION("""COMPUTED_VALUE"""),"50YOM shot wife in parking lot of school. Involved in ongoing domestic dispute. Waited for police to arrive and surrendered.")</f>
        <v>50YOM shot wife in parking lot of school. Involved in ongoing domestic dispute. Waited for police to arrive and surrendered.</v>
      </c>
      <c r="AA1327" s="5" t="str">
        <f ca="1">IFERROR(__xludf.DUMMYFUNCTION("""COMPUTED_VALUE"""),"Domestic w/ Targeted Victim")</f>
        <v>Domestic w/ Targeted Victim</v>
      </c>
      <c r="AB1327" s="5" t="str">
        <f ca="1">IFERROR(__xludf.DUMMYFUNCTION("""COMPUTED_VALUE"""),"Victims Targeted")</f>
        <v>Victims Targeted</v>
      </c>
      <c r="AC1327" s="5" t="str">
        <f ca="1">IFERROR(__xludf.DUMMYFUNCTION("""COMPUTED_VALUE"""),"No")</f>
        <v>No</v>
      </c>
      <c r="AD1327" s="5" t="str">
        <f ca="1">IFERROR(__xludf.DUMMYFUNCTION("""COMPUTED_VALUE"""),"No")</f>
        <v>No</v>
      </c>
      <c r="AE1327" s="5" t="str">
        <f ca="1">IFERROR(__xludf.DUMMYFUNCTION("""COMPUTED_VALUE"""),"No")</f>
        <v>No</v>
      </c>
      <c r="AF1327" s="5" t="str">
        <f ca="1">IFERROR(__xludf.DUMMYFUNCTION("""COMPUTED_VALUE"""),"No")</f>
        <v>No</v>
      </c>
      <c r="AG1327" s="5" t="str">
        <f ca="1">IFERROR(__xludf.DUMMYFUNCTION("""COMPUTED_VALUE"""),"No")</f>
        <v>No</v>
      </c>
      <c r="AH1327" s="5" t="str">
        <f ca="1">IFERROR(__xludf.DUMMYFUNCTION("""COMPUTED_VALUE"""),"Yes")</f>
        <v>Yes</v>
      </c>
      <c r="AI1327" s="5" t="str">
        <f ca="1">IFERROR(__xludf.DUMMYFUNCTION("""COMPUTED_VALUE"""),"No")</f>
        <v>No</v>
      </c>
      <c r="AJ1327" s="5"/>
    </row>
    <row r="1328" spans="1:36" ht="13">
      <c r="A1328" s="5" t="str">
        <f ca="1">IFERROR(__xludf.DUMMYFUNCTION("""COMPUTED_VALUE"""),"20081020CAVAA")</f>
        <v>20081020CAVAA</v>
      </c>
      <c r="B1328" s="5">
        <f ca="1">IFERROR(__xludf.DUMMYFUNCTION("""COMPUTED_VALUE"""),10)</f>
        <v>10</v>
      </c>
      <c r="C1328" s="5">
        <f ca="1">IFERROR(__xludf.DUMMYFUNCTION("""COMPUTED_VALUE"""),20)</f>
        <v>20</v>
      </c>
      <c r="D1328" s="5">
        <f ca="1">IFERROR(__xludf.DUMMYFUNCTION("""COMPUTED_VALUE"""),2008)</f>
        <v>2008</v>
      </c>
      <c r="E1328" s="8">
        <f ca="1">IFERROR(__xludf.DUMMYFUNCTION("""COMPUTED_VALUE"""),39741)</f>
        <v>39741</v>
      </c>
      <c r="F1328" s="5" t="str">
        <f ca="1">IFERROR(__xludf.DUMMYFUNCTION("""COMPUTED_VALUE"""),"Vasquez High School")</f>
        <v>Vasquez High School</v>
      </c>
      <c r="G1328" s="5">
        <f ca="1">IFERROR(__xludf.DUMMYFUNCTION("""COMPUTED_VALUE"""),0)</f>
        <v>0</v>
      </c>
      <c r="H1328" s="5">
        <f ca="1">IFERROR(__xludf.DUMMYFUNCTION("""COMPUTED_VALUE"""),0)</f>
        <v>0</v>
      </c>
      <c r="I1328" s="5">
        <f ca="1">IFERROR(__xludf.DUMMYFUNCTION("""COMPUTED_VALUE"""),0)</f>
        <v>0</v>
      </c>
      <c r="J1328" s="5">
        <f ca="1">IFERROR(__xludf.DUMMYFUNCTION("""COMPUTED_VALUE"""),1)</f>
        <v>1</v>
      </c>
      <c r="K1328" s="9" t="str">
        <f ca="1">IFERROR(__xludf.DUMMYFUNCTION("""COMPUTED_VALUE"""),"https://www.newspapers.com/image/193364114/?terms=jeremiah%2Blasater")</f>
        <v>https://www.newspapers.com/image/193364114/?terms=jeremiah%2Blasater</v>
      </c>
      <c r="L1328" s="5"/>
      <c r="M1328" s="5"/>
      <c r="N1328" s="5">
        <f ca="1">IFERROR(__xludf.DUMMYFUNCTION("""COMPUTED_VALUE"""),2)</f>
        <v>2</v>
      </c>
      <c r="O1328" s="5" t="str">
        <f ca="1">IFERROR(__xludf.DUMMYFUNCTION("""COMPUTED_VALUE"""),"Fall")</f>
        <v>Fall</v>
      </c>
      <c r="P1328" s="5" t="str">
        <f ca="1">IFERROR(__xludf.DUMMYFUNCTION("""COMPUTED_VALUE"""),"Acton")</f>
        <v>Acton</v>
      </c>
      <c r="Q1328" s="5" t="str">
        <f ca="1">IFERROR(__xludf.DUMMYFUNCTION("""COMPUTED_VALUE"""),"CA")</f>
        <v>CA</v>
      </c>
      <c r="R1328" s="5" t="str">
        <f ca="1">IFERROR(__xludf.DUMMYFUNCTION("""COMPUTED_VALUE"""),"High")</f>
        <v>High</v>
      </c>
      <c r="S1328" s="5" t="str">
        <f ca="1">IFERROR(__xludf.DUMMYFUNCTION("""COMPUTED_VALUE"""),"Bathroom")</f>
        <v>Bathroom</v>
      </c>
      <c r="T1328" s="5" t="str">
        <f ca="1">IFERROR(__xludf.DUMMYFUNCTION("""COMPUTED_VALUE"""),"Inside School Building")</f>
        <v>Inside School Building</v>
      </c>
      <c r="U1328" s="5" t="str">
        <f ca="1">IFERROR(__xludf.DUMMYFUNCTION("""COMPUTED_VALUE"""),"Yes")</f>
        <v>Yes</v>
      </c>
      <c r="V1328" s="5" t="str">
        <f ca="1">IFERROR(__xludf.DUMMYFUNCTION("""COMPUTED_VALUE"""),"Afternoon Classes")</f>
        <v>Afternoon Classes</v>
      </c>
      <c r="W1328" s="5"/>
      <c r="X1328" s="5">
        <f ca="1">IFERROR(__xludf.DUMMYFUNCTION("""COMPUTED_VALUE"""),1)</f>
        <v>1</v>
      </c>
      <c r="Y1328" s="5" t="str">
        <f ca="1">IFERROR(__xludf.DUMMYFUNCTION("""COMPUTED_VALUE"""),"Suicide in bathroom following bullying")</f>
        <v>Suicide in bathroom following bullying</v>
      </c>
      <c r="Z1328" s="5" t="str">
        <f ca="1">IFERROR(__xludf.DUMMYFUNCTION("""COMPUTED_VALUE"""),"14 year old male with learning disabilities shot himself in school bathroom due to relentless bullying.")</f>
        <v>14 year old male with learning disabilities shot himself in school bathroom due to relentless bullying.</v>
      </c>
      <c r="AA1328" s="5" t="str">
        <f ca="1">IFERROR(__xludf.DUMMYFUNCTION("""COMPUTED_VALUE"""),"Suicide/Attempted")</f>
        <v>Suicide/Attempted</v>
      </c>
      <c r="AB1328" s="5" t="str">
        <f ca="1">IFERROR(__xludf.DUMMYFUNCTION("""COMPUTED_VALUE"""),"Victims Targeted")</f>
        <v>Victims Targeted</v>
      </c>
      <c r="AC1328" s="5" t="str">
        <f ca="1">IFERROR(__xludf.DUMMYFUNCTION("""COMPUTED_VALUE"""),"No")</f>
        <v>No</v>
      </c>
      <c r="AD1328" s="5" t="str">
        <f ca="1">IFERROR(__xludf.DUMMYFUNCTION("""COMPUTED_VALUE"""),"No")</f>
        <v>No</v>
      </c>
      <c r="AE1328" s="5" t="str">
        <f ca="1">IFERROR(__xludf.DUMMYFUNCTION("""COMPUTED_VALUE"""),"No")</f>
        <v>No</v>
      </c>
      <c r="AF1328" s="5" t="str">
        <f ca="1">IFERROR(__xludf.DUMMYFUNCTION("""COMPUTED_VALUE"""),"No")</f>
        <v>No</v>
      </c>
      <c r="AG1328" s="5" t="str">
        <f ca="1">IFERROR(__xludf.DUMMYFUNCTION("""COMPUTED_VALUE"""),"Yes")</f>
        <v>Yes</v>
      </c>
      <c r="AH1328" s="5" t="str">
        <f ca="1">IFERROR(__xludf.DUMMYFUNCTION("""COMPUTED_VALUE"""),"No")</f>
        <v>No</v>
      </c>
      <c r="AI1328" s="5" t="str">
        <f ca="1">IFERROR(__xludf.DUMMYFUNCTION("""COMPUTED_VALUE"""),"No")</f>
        <v>No</v>
      </c>
      <c r="AJ1328" s="5"/>
    </row>
    <row r="1329" spans="1:36" ht="13">
      <c r="A1329" s="5" t="str">
        <f ca="1">IFERROR(__xludf.DUMMYFUNCTION("""COMPUTED_VALUE"""),"20081016MIHED")</f>
        <v>20081016MIHED</v>
      </c>
      <c r="B1329" s="5">
        <f ca="1">IFERROR(__xludf.DUMMYFUNCTION("""COMPUTED_VALUE"""),10)</f>
        <v>10</v>
      </c>
      <c r="C1329" s="5">
        <f ca="1">IFERROR(__xludf.DUMMYFUNCTION("""COMPUTED_VALUE"""),16)</f>
        <v>16</v>
      </c>
      <c r="D1329" s="5">
        <f ca="1">IFERROR(__xludf.DUMMYFUNCTION("""COMPUTED_VALUE"""),2008)</f>
        <v>2008</v>
      </c>
      <c r="E1329" s="8">
        <f ca="1">IFERROR(__xludf.DUMMYFUNCTION("""COMPUTED_VALUE"""),39737)</f>
        <v>39737</v>
      </c>
      <c r="F1329" s="5" t="str">
        <f ca="1">IFERROR(__xludf.DUMMYFUNCTION("""COMPUTED_VALUE"""),"Henry Ford High School")</f>
        <v>Henry Ford High School</v>
      </c>
      <c r="G1329" s="5">
        <f ca="1">IFERROR(__xludf.DUMMYFUNCTION("""COMPUTED_VALUE"""),1)</f>
        <v>1</v>
      </c>
      <c r="H1329" s="5">
        <f ca="1">IFERROR(__xludf.DUMMYFUNCTION("""COMPUTED_VALUE"""),3)</f>
        <v>3</v>
      </c>
      <c r="I1329" s="5">
        <f ca="1">IFERROR(__xludf.DUMMYFUNCTION("""COMPUTED_VALUE"""),4)</f>
        <v>4</v>
      </c>
      <c r="J1329" s="5">
        <f ca="1">IFERROR(__xludf.DUMMYFUNCTION("""COMPUTED_VALUE"""),0)</f>
        <v>0</v>
      </c>
      <c r="K1329" s="9" t="str">
        <f ca="1">IFERROR(__xludf.DUMMYFUNCTION("""COMPUTED_VALUE"""),"http://www.foxnews.com/story/2008/10/16/teen-killed-in-shooting-near-detroit-high-school.html")</f>
        <v>http://www.foxnews.com/story/2008/10/16/teen-killed-in-shooting-near-detroit-high-school.html</v>
      </c>
      <c r="L1329" s="5"/>
      <c r="M1329" s="5"/>
      <c r="N1329" s="5">
        <f ca="1">IFERROR(__xludf.DUMMYFUNCTION("""COMPUTED_VALUE"""),2)</f>
        <v>2</v>
      </c>
      <c r="O1329" s="5" t="str">
        <f ca="1">IFERROR(__xludf.DUMMYFUNCTION("""COMPUTED_VALUE"""),"Fall")</f>
        <v>Fall</v>
      </c>
      <c r="P1329" s="5" t="str">
        <f ca="1">IFERROR(__xludf.DUMMYFUNCTION("""COMPUTED_VALUE"""),"Detroit")</f>
        <v>Detroit</v>
      </c>
      <c r="Q1329" s="5" t="str">
        <f ca="1">IFERROR(__xludf.DUMMYFUNCTION("""COMPUTED_VALUE"""),"MI")</f>
        <v>MI</v>
      </c>
      <c r="R1329" s="5" t="str">
        <f ca="1">IFERROR(__xludf.DUMMYFUNCTION("""COMPUTED_VALUE"""),"High")</f>
        <v>High</v>
      </c>
      <c r="S1329" s="5" t="str">
        <f ca="1">IFERROR(__xludf.DUMMYFUNCTION("""COMPUTED_VALUE"""),"Front of School")</f>
        <v>Front of School</v>
      </c>
      <c r="T1329" s="5" t="str">
        <f ca="1">IFERROR(__xludf.DUMMYFUNCTION("""COMPUTED_VALUE"""),"Outside on School Property")</f>
        <v>Outside on School Property</v>
      </c>
      <c r="U1329" s="5" t="str">
        <f ca="1">IFERROR(__xludf.DUMMYFUNCTION("""COMPUTED_VALUE"""),"No")</f>
        <v>No</v>
      </c>
      <c r="V1329" s="5" t="str">
        <f ca="1">IFERROR(__xludf.DUMMYFUNCTION("""COMPUTED_VALUE"""),"Dismissal")</f>
        <v>Dismissal</v>
      </c>
      <c r="W1329" s="10">
        <f ca="1">IFERROR(__xludf.DUMMYFUNCTION("""COMPUTED_VALUE"""),0.635416666666666)</f>
        <v>0.63541666666666596</v>
      </c>
      <c r="X1329" s="5">
        <f ca="1">IFERROR(__xludf.DUMMYFUNCTION("""COMPUTED_VALUE"""),1)</f>
        <v>1</v>
      </c>
      <c r="Y1329" s="5" t="str">
        <f ca="1">IFERROR(__xludf.DUMMYFUNCTION("""COMPUTED_VALUE"""),"Gang-related drive-by outside of school")</f>
        <v>Gang-related drive-by outside of school</v>
      </c>
      <c r="Z1329" s="5" t="str">
        <f ca="1">IFERROR(__xludf.DUMMYFUNCTION("""COMPUTED_VALUE"""),"Drive-by shootings outside of school. Shooter targeted specific victims associated with a rival gang.")</f>
        <v>Drive-by shootings outside of school. Shooter targeted specific victims associated with a rival gang.</v>
      </c>
      <c r="AA1329" s="5" t="str">
        <f ca="1">IFERROR(__xludf.DUMMYFUNCTION("""COMPUTED_VALUE"""),"Drive-by Shooting")</f>
        <v>Drive-by Shooting</v>
      </c>
      <c r="AB1329" s="5" t="str">
        <f ca="1">IFERROR(__xludf.DUMMYFUNCTION("""COMPUTED_VALUE"""),"Both")</f>
        <v>Both</v>
      </c>
      <c r="AC1329" s="5" t="str">
        <f ca="1">IFERROR(__xludf.DUMMYFUNCTION("""COMPUTED_VALUE"""),"Yes")</f>
        <v>Yes</v>
      </c>
      <c r="AD1329" s="5" t="str">
        <f ca="1">IFERROR(__xludf.DUMMYFUNCTION("""COMPUTED_VALUE"""),"No")</f>
        <v>No</v>
      </c>
      <c r="AE1329" s="5" t="str">
        <f ca="1">IFERROR(__xludf.DUMMYFUNCTION("""COMPUTED_VALUE"""),"No")</f>
        <v>No</v>
      </c>
      <c r="AF1329" s="5" t="str">
        <f ca="1">IFERROR(__xludf.DUMMYFUNCTION("""COMPUTED_VALUE"""),"No")</f>
        <v>No</v>
      </c>
      <c r="AG1329" s="5" t="str">
        <f ca="1">IFERROR(__xludf.DUMMYFUNCTION("""COMPUTED_VALUE"""),"No")</f>
        <v>No</v>
      </c>
      <c r="AH1329" s="5" t="str">
        <f ca="1">IFERROR(__xludf.DUMMYFUNCTION("""COMPUTED_VALUE"""),"No")</f>
        <v>No</v>
      </c>
      <c r="AI1329" s="5" t="str">
        <f ca="1">IFERROR(__xludf.DUMMYFUNCTION("""COMPUTED_VALUE"""),"Yes")</f>
        <v>Yes</v>
      </c>
      <c r="AJ1329" s="5"/>
    </row>
    <row r="1330" spans="1:36" ht="13">
      <c r="A1330" s="5" t="str">
        <f ca="1">IFERROR(__xludf.DUMMYFUNCTION("""COMPUTED_VALUE"""),"20080919CAGEA")</f>
        <v>20080919CAGEA</v>
      </c>
      <c r="B1330" s="5">
        <f ca="1">IFERROR(__xludf.DUMMYFUNCTION("""COMPUTED_VALUE"""),9)</f>
        <v>9</v>
      </c>
      <c r="C1330" s="5">
        <f ca="1">IFERROR(__xludf.DUMMYFUNCTION("""COMPUTED_VALUE"""),19)</f>
        <v>19</v>
      </c>
      <c r="D1330" s="5">
        <f ca="1">IFERROR(__xludf.DUMMYFUNCTION("""COMPUTED_VALUE"""),2008)</f>
        <v>2008</v>
      </c>
      <c r="E1330" s="8">
        <f ca="1">IFERROR(__xludf.DUMMYFUNCTION("""COMPUTED_VALUE"""),39710)</f>
        <v>39710</v>
      </c>
      <c r="F1330" s="5" t="str">
        <f ca="1">IFERROR(__xludf.DUMMYFUNCTION("""COMPUTED_VALUE"""),"George Washington Preparatory High School")</f>
        <v>George Washington Preparatory High School</v>
      </c>
      <c r="G1330" s="5">
        <f ca="1">IFERROR(__xludf.DUMMYFUNCTION("""COMPUTED_VALUE"""),0)</f>
        <v>0</v>
      </c>
      <c r="H1330" s="5">
        <f ca="1">IFERROR(__xludf.DUMMYFUNCTION("""COMPUTED_VALUE"""),2)</f>
        <v>2</v>
      </c>
      <c r="I1330" s="5">
        <f ca="1">IFERROR(__xludf.DUMMYFUNCTION("""COMPUTED_VALUE"""),2)</f>
        <v>2</v>
      </c>
      <c r="J1330" s="5">
        <f ca="1">IFERROR(__xludf.DUMMYFUNCTION("""COMPUTED_VALUE"""),0)</f>
        <v>0</v>
      </c>
      <c r="K1330" s="9" t="str">
        <f ca="1">IFERROR(__xludf.DUMMYFUNCTION("""COMPUTED_VALUE"""),"http://www.latimes.com/local/la-me-shoot21-2008sep21-story.html")</f>
        <v>http://www.latimes.com/local/la-me-shoot21-2008sep21-story.html</v>
      </c>
      <c r="L1330" s="5"/>
      <c r="M1330" s="5"/>
      <c r="N1330" s="5">
        <f ca="1">IFERROR(__xludf.DUMMYFUNCTION("""COMPUTED_VALUE"""),2)</f>
        <v>2</v>
      </c>
      <c r="O1330" s="5" t="str">
        <f ca="1">IFERROR(__xludf.DUMMYFUNCTION("""COMPUTED_VALUE"""),"Fall")</f>
        <v>Fall</v>
      </c>
      <c r="P1330" s="5" t="str">
        <f ca="1">IFERROR(__xludf.DUMMYFUNCTION("""COMPUTED_VALUE"""),"Athens")</f>
        <v>Athens</v>
      </c>
      <c r="Q1330" s="5" t="str">
        <f ca="1">IFERROR(__xludf.DUMMYFUNCTION("""COMPUTED_VALUE"""),"CA")</f>
        <v>CA</v>
      </c>
      <c r="R1330" s="5" t="str">
        <f ca="1">IFERROR(__xludf.DUMMYFUNCTION("""COMPUTED_VALUE"""),"High")</f>
        <v>High</v>
      </c>
      <c r="S1330" s="5" t="str">
        <f ca="1">IFERROR(__xludf.DUMMYFUNCTION("""COMPUTED_VALUE"""),"Football Field/Track")</f>
        <v>Football Field/Track</v>
      </c>
      <c r="T1330" s="5" t="str">
        <f ca="1">IFERROR(__xludf.DUMMYFUNCTION("""COMPUTED_VALUE"""),"Outside on School Property")</f>
        <v>Outside on School Property</v>
      </c>
      <c r="U1330" s="5" t="str">
        <f ca="1">IFERROR(__xludf.DUMMYFUNCTION("""COMPUTED_VALUE"""),"No")</f>
        <v>No</v>
      </c>
      <c r="V1330" s="5" t="str">
        <f ca="1">IFERROR(__xludf.DUMMYFUNCTION("""COMPUTED_VALUE"""),"Sport Event")</f>
        <v>Sport Event</v>
      </c>
      <c r="W1330" s="10">
        <f ca="1">IFERROR(__xludf.DUMMYFUNCTION("""COMPUTED_VALUE"""),0.75)</f>
        <v>0.75</v>
      </c>
      <c r="X1330" s="5">
        <f ca="1">IFERROR(__xludf.DUMMYFUNCTION("""COMPUTED_VALUE"""),1)</f>
        <v>1</v>
      </c>
      <c r="Y1330" s="5" t="str">
        <f ca="1">IFERROR(__xludf.DUMMYFUNCTION("""COMPUTED_VALUE"""),"Gang related shooting after football game")</f>
        <v>Gang related shooting after football game</v>
      </c>
      <c r="Z1330" s="5" t="str">
        <f ca="1">IFERROR(__xludf.DUMMYFUNCTION("""COMPUTED_VALUE"""),"Gang-related shooting outside of football field during game. 12YOF and 19YOM shot. Unknown if victims were targeted.")</f>
        <v>Gang-related shooting outside of football field during game. 12YOF and 19YOM shot. Unknown if victims were targeted.</v>
      </c>
      <c r="AA1330" s="5" t="str">
        <f ca="1">IFERROR(__xludf.DUMMYFUNCTION("""COMPUTED_VALUE"""),"Escalation of Dispute")</f>
        <v>Escalation of Dispute</v>
      </c>
      <c r="AB1330" s="5" t="str">
        <f ca="1">IFERROR(__xludf.DUMMYFUNCTION("""COMPUTED_VALUE"""),"Both")</f>
        <v>Both</v>
      </c>
      <c r="AC1330" s="5" t="str">
        <f ca="1">IFERROR(__xludf.DUMMYFUNCTION("""COMPUTED_VALUE"""),"Yes")</f>
        <v>Yes</v>
      </c>
      <c r="AD1330" s="5" t="str">
        <f ca="1">IFERROR(__xludf.DUMMYFUNCTION("""COMPUTED_VALUE"""),"No")</f>
        <v>No</v>
      </c>
      <c r="AE1330" s="5" t="str">
        <f ca="1">IFERROR(__xludf.DUMMYFUNCTION("""COMPUTED_VALUE"""),"No")</f>
        <v>No</v>
      </c>
      <c r="AF1330" s="5" t="str">
        <f ca="1">IFERROR(__xludf.DUMMYFUNCTION("""COMPUTED_VALUE"""),"No")</f>
        <v>No</v>
      </c>
      <c r="AG1330" s="5" t="str">
        <f ca="1">IFERROR(__xludf.DUMMYFUNCTION("""COMPUTED_VALUE"""),"No")</f>
        <v>No</v>
      </c>
      <c r="AH1330" s="5" t="str">
        <f ca="1">IFERROR(__xludf.DUMMYFUNCTION("""COMPUTED_VALUE"""),"No")</f>
        <v>No</v>
      </c>
      <c r="AI1330" s="5" t="str">
        <f ca="1">IFERROR(__xludf.DUMMYFUNCTION("""COMPUTED_VALUE"""),"Yes")</f>
        <v>Yes</v>
      </c>
      <c r="AJ1330" s="5"/>
    </row>
    <row r="1331" spans="1:36" ht="13">
      <c r="A1331" s="5" t="str">
        <f ca="1">IFERROR(__xludf.DUMMYFUNCTION("""COMPUTED_VALUE"""),"20080915CAMIS")</f>
        <v>20080915CAMIS</v>
      </c>
      <c r="B1331" s="5">
        <f ca="1">IFERROR(__xludf.DUMMYFUNCTION("""COMPUTED_VALUE"""),9)</f>
        <v>9</v>
      </c>
      <c r="C1331" s="5">
        <f ca="1">IFERROR(__xludf.DUMMYFUNCTION("""COMPUTED_VALUE"""),15)</f>
        <v>15</v>
      </c>
      <c r="D1331" s="5">
        <f ca="1">IFERROR(__xludf.DUMMYFUNCTION("""COMPUTED_VALUE"""),2008)</f>
        <v>2008</v>
      </c>
      <c r="E1331" s="8">
        <f ca="1">IFERROR(__xludf.DUMMYFUNCTION("""COMPUTED_VALUE"""),39706)</f>
        <v>39706</v>
      </c>
      <c r="F1331" s="5" t="str">
        <f ca="1">IFERROR(__xludf.DUMMYFUNCTION("""COMPUTED_VALUE"""),"Mira Loma High School")</f>
        <v>Mira Loma High School</v>
      </c>
      <c r="G1331" s="5">
        <f ca="1">IFERROR(__xludf.DUMMYFUNCTION("""COMPUTED_VALUE"""),0)</f>
        <v>0</v>
      </c>
      <c r="H1331" s="5">
        <f ca="1">IFERROR(__xludf.DUMMYFUNCTION("""COMPUTED_VALUE"""),0)</f>
        <v>0</v>
      </c>
      <c r="I1331" s="5">
        <f ca="1">IFERROR(__xludf.DUMMYFUNCTION("""COMPUTED_VALUE"""),0)</f>
        <v>0</v>
      </c>
      <c r="J1331" s="5">
        <f ca="1">IFERROR(__xludf.DUMMYFUNCTION("""COMPUTED_VALUE"""),1)</f>
        <v>1</v>
      </c>
      <c r="K1331" s="9" t="str">
        <f ca="1">IFERROR(__xludf.DUMMYFUNCTION("""COMPUTED_VALUE"""),"https://www.mcclatchydc.com/news/nation-world/national/article24600571.html")</f>
        <v>https://www.mcclatchydc.com/news/nation-world/national/article24600571.html</v>
      </c>
      <c r="L1331" s="5"/>
      <c r="M1331" s="5"/>
      <c r="N1331" s="5">
        <f ca="1">IFERROR(__xludf.DUMMYFUNCTION("""COMPUTED_VALUE"""),2)</f>
        <v>2</v>
      </c>
      <c r="O1331" s="5" t="str">
        <f ca="1">IFERROR(__xludf.DUMMYFUNCTION("""COMPUTED_VALUE"""),"Fall")</f>
        <v>Fall</v>
      </c>
      <c r="P1331" s="5" t="str">
        <f ca="1">IFERROR(__xludf.DUMMYFUNCTION("""COMPUTED_VALUE"""),"Sacramento")</f>
        <v>Sacramento</v>
      </c>
      <c r="Q1331" s="5" t="str">
        <f ca="1">IFERROR(__xludf.DUMMYFUNCTION("""COMPUTED_VALUE"""),"CA")</f>
        <v>CA</v>
      </c>
      <c r="R1331" s="5" t="str">
        <f ca="1">IFERROR(__xludf.DUMMYFUNCTION("""COMPUTED_VALUE"""),"High")</f>
        <v>High</v>
      </c>
      <c r="S1331" s="5" t="str">
        <f ca="1">IFERROR(__xludf.DUMMYFUNCTION("""COMPUTED_VALUE"""),"Bathroom")</f>
        <v>Bathroom</v>
      </c>
      <c r="T1331" s="5" t="str">
        <f ca="1">IFERROR(__xludf.DUMMYFUNCTION("""COMPUTED_VALUE"""),"Inside School Building")</f>
        <v>Inside School Building</v>
      </c>
      <c r="U1331" s="5" t="str">
        <f ca="1">IFERROR(__xludf.DUMMYFUNCTION("""COMPUTED_VALUE"""),"Yes")</f>
        <v>Yes</v>
      </c>
      <c r="V1331" s="5" t="str">
        <f ca="1">IFERROR(__xludf.DUMMYFUNCTION("""COMPUTED_VALUE"""),"Morning Classes")</f>
        <v>Morning Classes</v>
      </c>
      <c r="W1331" s="5"/>
      <c r="X1331" s="5">
        <f ca="1">IFERROR(__xludf.DUMMYFUNCTION("""COMPUTED_VALUE"""),1)</f>
        <v>1</v>
      </c>
      <c r="Y1331" s="5" t="str">
        <f ca="1">IFERROR(__xludf.DUMMYFUNCTION("""COMPUTED_VALUE"""),"Shot self in school bathroom, bullied for being gay")</f>
        <v>Shot self in school bathroom, bullied for being gay</v>
      </c>
      <c r="Z1331" s="5" t="str">
        <f ca="1">IFERROR(__xludf.DUMMYFUNCTION("""COMPUTED_VALUE"""),"17YOM commit suicide in school bathroom. Was bullied for being gay through emails and text messages.")</f>
        <v>17YOM commit suicide in school bathroom. Was bullied for being gay through emails and text messages.</v>
      </c>
      <c r="AA1331" s="5" t="str">
        <f ca="1">IFERROR(__xludf.DUMMYFUNCTION("""COMPUTED_VALUE"""),"Suicide/Attempted")</f>
        <v>Suicide/Attempted</v>
      </c>
      <c r="AB1331" s="5" t="str">
        <f ca="1">IFERROR(__xludf.DUMMYFUNCTION("""COMPUTED_VALUE"""),"Victims Targeted")</f>
        <v>Victims Targeted</v>
      </c>
      <c r="AC1331" s="5" t="str">
        <f ca="1">IFERROR(__xludf.DUMMYFUNCTION("""COMPUTED_VALUE"""),"No")</f>
        <v>No</v>
      </c>
      <c r="AD1331" s="5" t="str">
        <f ca="1">IFERROR(__xludf.DUMMYFUNCTION("""COMPUTED_VALUE"""),"No")</f>
        <v>No</v>
      </c>
      <c r="AE1331" s="5" t="str">
        <f ca="1">IFERROR(__xludf.DUMMYFUNCTION("""COMPUTED_VALUE"""),"No")</f>
        <v>No</v>
      </c>
      <c r="AF1331" s="5" t="str">
        <f ca="1">IFERROR(__xludf.DUMMYFUNCTION("""COMPUTED_VALUE"""),"No")</f>
        <v>No</v>
      </c>
      <c r="AG1331" s="5" t="str">
        <f ca="1">IFERROR(__xludf.DUMMYFUNCTION("""COMPUTED_VALUE"""),"Yes")</f>
        <v>Yes</v>
      </c>
      <c r="AH1331" s="5" t="str">
        <f ca="1">IFERROR(__xludf.DUMMYFUNCTION("""COMPUTED_VALUE"""),"No")</f>
        <v>No</v>
      </c>
      <c r="AI1331" s="5" t="str">
        <f ca="1">IFERROR(__xludf.DUMMYFUNCTION("""COMPUTED_VALUE"""),"No")</f>
        <v>No</v>
      </c>
      <c r="AJ1331" s="5"/>
    </row>
    <row r="1332" spans="1:36" ht="13">
      <c r="A1332" s="5" t="str">
        <f ca="1">IFERROR(__xludf.DUMMYFUNCTION("""COMPUTED_VALUE"""),"20080902OHSOW")</f>
        <v>20080902OHSOW</v>
      </c>
      <c r="B1332" s="5">
        <f ca="1">IFERROR(__xludf.DUMMYFUNCTION("""COMPUTED_VALUE"""),9)</f>
        <v>9</v>
      </c>
      <c r="C1332" s="5">
        <f ca="1">IFERROR(__xludf.DUMMYFUNCTION("""COMPUTED_VALUE"""),2)</f>
        <v>2</v>
      </c>
      <c r="D1332" s="5">
        <f ca="1">IFERROR(__xludf.DUMMYFUNCTION("""COMPUTED_VALUE"""),2008)</f>
        <v>2008</v>
      </c>
      <c r="E1332" s="8">
        <f ca="1">IFERROR(__xludf.DUMMYFUNCTION("""COMPUTED_VALUE"""),39693)</f>
        <v>39693</v>
      </c>
      <c r="F1332" s="5" t="str">
        <f ca="1">IFERROR(__xludf.DUMMYFUNCTION("""COMPUTED_VALUE"""),"South High School")</f>
        <v>South High School</v>
      </c>
      <c r="G1332" s="5">
        <f ca="1">IFERROR(__xludf.DUMMYFUNCTION("""COMPUTED_VALUE"""),0)</f>
        <v>0</v>
      </c>
      <c r="H1332" s="5">
        <f ca="1">IFERROR(__xludf.DUMMYFUNCTION("""COMPUTED_VALUE"""),0)</f>
        <v>0</v>
      </c>
      <c r="I1332" s="5">
        <f ca="1">IFERROR(__xludf.DUMMYFUNCTION("""COMPUTED_VALUE"""),0)</f>
        <v>0</v>
      </c>
      <c r="J1332" s="5">
        <f ca="1">IFERROR(__xludf.DUMMYFUNCTION("""COMPUTED_VALUE"""),0)</f>
        <v>0</v>
      </c>
      <c r="K1332" s="5" t="str">
        <f ca="1">IFERROR(__xludf.DUMMYFUNCTION("""COMPUTED_VALUE"""),"http://blog.cleveland.com/metro/2008/09/teen_fires_gun_in_high_school.html
https://www.10tv.com/article/news/investigations/10-investigates/ohio-school-shooter-talks-about-lessons-learned-in-2008-incident/530-3ecac390-35f1-45f2-8ae0-a1cf47dd6a52")</f>
        <v>http://blog.cleveland.com/metro/2008/09/teen_fires_gun_in_high_school.html
https://www.10tv.com/article/news/investigations/10-investigates/ohio-school-shooter-talks-about-lessons-learned-in-2008-incident/530-3ecac390-35f1-45f2-8ae0-a1cf47dd6a52</v>
      </c>
      <c r="L1332" s="5"/>
      <c r="M1332" s="5" t="str">
        <f ca="1">IFERROR(__xludf.DUMMYFUNCTION("""COMPUTED_VALUE"""),"National")</f>
        <v>National</v>
      </c>
      <c r="N1332" s="5">
        <f ca="1">IFERROR(__xludf.DUMMYFUNCTION("""COMPUTED_VALUE"""),5)</f>
        <v>5</v>
      </c>
      <c r="O1332" s="5" t="str">
        <f ca="1">IFERROR(__xludf.DUMMYFUNCTION("""COMPUTED_VALUE"""),"Fall")</f>
        <v>Fall</v>
      </c>
      <c r="P1332" s="5" t="str">
        <f ca="1">IFERROR(__xludf.DUMMYFUNCTION("""COMPUTED_VALUE"""),"Willoughby")</f>
        <v>Willoughby</v>
      </c>
      <c r="Q1332" s="5" t="str">
        <f ca="1">IFERROR(__xludf.DUMMYFUNCTION("""COMPUTED_VALUE"""),"OH")</f>
        <v>OH</v>
      </c>
      <c r="R1332" s="5" t="str">
        <f ca="1">IFERROR(__xludf.DUMMYFUNCTION("""COMPUTED_VALUE"""),"High")</f>
        <v>High</v>
      </c>
      <c r="S1332" s="5" t="str">
        <f ca="1">IFERROR(__xludf.DUMMYFUNCTION("""COMPUTED_VALUE"""),"Classroom")</f>
        <v>Classroom</v>
      </c>
      <c r="T1332" s="5" t="str">
        <f ca="1">IFERROR(__xludf.DUMMYFUNCTION("""COMPUTED_VALUE"""),"Inside School Building")</f>
        <v>Inside School Building</v>
      </c>
      <c r="U1332" s="5" t="str">
        <f ca="1">IFERROR(__xludf.DUMMYFUNCTION("""COMPUTED_VALUE"""),"Yes")</f>
        <v>Yes</v>
      </c>
      <c r="V1332" s="5" t="str">
        <f ca="1">IFERROR(__xludf.DUMMYFUNCTION("""COMPUTED_VALUE"""),"Morning Classes")</f>
        <v>Morning Classes</v>
      </c>
      <c r="W1332" s="5"/>
      <c r="X1332" s="5">
        <f ca="1">IFERROR(__xludf.DUMMYFUNCTION("""COMPUTED_VALUE"""),5)</f>
        <v>5</v>
      </c>
      <c r="Y1332" s="5" t="str">
        <f ca="1">IFERROR(__xludf.DUMMYFUNCTION("""COMPUTED_VALUE"""),"Planned to kill students who had bullied him, studied other school shootings, fired 2 shots (one into ceiling and one at trophy case), and then surrendered to school officials. 
")</f>
        <v xml:space="preserve">Planned to kill students who had bullied him, studied other school shootings, fired 2 shots (one into ceiling and one at trophy case), and then surrendered to school officials. 
</v>
      </c>
      <c r="Z1332" s="5" t="str">
        <f ca="1">IFERROR(__xludf.DUMMYFUNCTION("""COMPUTED_VALUE"""),"Walked into class with gun and asked girl if she ""wanted to say goodbye"". Had intent to kill himself. Shot into ceiling. In interview, Jevnikar said he had been bullied and that years of being angry and depressed led to him having suicidal thoughts. He "&amp;"became obsessed with school shootings. Prior to the day of the incident, Jenvikar admits he probably had an idea of people he wanted to hurt, people that picked on him growing up. On that day, however, he said he did not have any thoughts of hurting anyon"&amp;"e else as it was happening. ""After shooting the first shot, I almost clicked back into reality,"" Jevnikar said. ""Oh my God. What am I doing?"" Spent months planning the shooting, watching videos of other school shootings, and felt that he had to end hi"&amp;"s life that day.")</f>
        <v>Walked into class with gun and asked girl if she "wanted to say goodbye". Had intent to kill himself. Shot into ceiling. In interview, Jevnikar said he had been bullied and that years of being angry and depressed led to him having suicidal thoughts. He became obsessed with school shootings. Prior to the day of the incident, Jenvikar admits he probably had an idea of people he wanted to hurt, people that picked on him growing up. On that day, however, he said he did not have any thoughts of hurting anyone else as it was happening. "After shooting the first shot, I almost clicked back into reality," Jevnikar said. "Oh my God. What am I doing?" Spent months planning the shooting, watching videos of other school shootings, and felt that he had to end his life that day.</v>
      </c>
      <c r="AA1332" s="5" t="str">
        <f ca="1">IFERROR(__xludf.DUMMYFUNCTION("""COMPUTED_VALUE"""),"Indiscriminate Shooting")</f>
        <v>Indiscriminate Shooting</v>
      </c>
      <c r="AB1332" s="5" t="str">
        <f ca="1">IFERROR(__xludf.DUMMYFUNCTION("""COMPUTED_VALUE"""),"Victims Targeted")</f>
        <v>Victims Targeted</v>
      </c>
      <c r="AC1332" s="5" t="str">
        <f ca="1">IFERROR(__xludf.DUMMYFUNCTION("""COMPUTED_VALUE"""),"No")</f>
        <v>No</v>
      </c>
      <c r="AD1332" s="5" t="str">
        <f ca="1">IFERROR(__xludf.DUMMYFUNCTION("""COMPUTED_VALUE"""),"No")</f>
        <v>No</v>
      </c>
      <c r="AE1332" s="5" t="str">
        <f ca="1">IFERROR(__xludf.DUMMYFUNCTION("""COMPUTED_VALUE"""),"No")</f>
        <v>No</v>
      </c>
      <c r="AF1332" s="5" t="str">
        <f ca="1">IFERROR(__xludf.DUMMYFUNCTION("""COMPUTED_VALUE"""),"No")</f>
        <v>No</v>
      </c>
      <c r="AG1332" s="5" t="str">
        <f ca="1">IFERROR(__xludf.DUMMYFUNCTION("""COMPUTED_VALUE"""),"Yes")</f>
        <v>Yes</v>
      </c>
      <c r="AH1332" s="5" t="str">
        <f ca="1">IFERROR(__xludf.DUMMYFUNCTION("""COMPUTED_VALUE"""),"No")</f>
        <v>No</v>
      </c>
      <c r="AI1332" s="5" t="str">
        <f ca="1">IFERROR(__xludf.DUMMYFUNCTION("""COMPUTED_VALUE"""),"No")</f>
        <v>No</v>
      </c>
      <c r="AJ1332" s="5" t="str">
        <f ca="1">IFERROR(__xludf.DUMMYFUNCTION("""COMPUTED_VALUE"""),"Yes")</f>
        <v>Yes</v>
      </c>
    </row>
    <row r="1333" spans="1:36" ht="13">
      <c r="A1333" s="5" t="str">
        <f ca="1">IFERROR(__xludf.DUMMYFUNCTION("""COMPUTED_VALUE"""),"20080821TNCEK")</f>
        <v>20080821TNCEK</v>
      </c>
      <c r="B1333" s="5">
        <f ca="1">IFERROR(__xludf.DUMMYFUNCTION("""COMPUTED_VALUE"""),8)</f>
        <v>8</v>
      </c>
      <c r="C1333" s="5">
        <f ca="1">IFERROR(__xludf.DUMMYFUNCTION("""COMPUTED_VALUE"""),21)</f>
        <v>21</v>
      </c>
      <c r="D1333" s="5">
        <f ca="1">IFERROR(__xludf.DUMMYFUNCTION("""COMPUTED_VALUE"""),2008)</f>
        <v>2008</v>
      </c>
      <c r="E1333" s="8">
        <f ca="1">IFERROR(__xludf.DUMMYFUNCTION("""COMPUTED_VALUE"""),39681)</f>
        <v>39681</v>
      </c>
      <c r="F1333" s="5" t="str">
        <f ca="1">IFERROR(__xludf.DUMMYFUNCTION("""COMPUTED_VALUE"""),"Central High School")</f>
        <v>Central High School</v>
      </c>
      <c r="G1333" s="5">
        <f ca="1">IFERROR(__xludf.DUMMYFUNCTION("""COMPUTED_VALUE"""),1)</f>
        <v>1</v>
      </c>
      <c r="H1333" s="5">
        <f ca="1">IFERROR(__xludf.DUMMYFUNCTION("""COMPUTED_VALUE"""),0)</f>
        <v>0</v>
      </c>
      <c r="I1333" s="5">
        <f ca="1">IFERROR(__xludf.DUMMYFUNCTION("""COMPUTED_VALUE"""),1)</f>
        <v>1</v>
      </c>
      <c r="J1333" s="5">
        <f ca="1">IFERROR(__xludf.DUMMYFUNCTION("""COMPUTED_VALUE"""),0)</f>
        <v>0</v>
      </c>
      <c r="K1333" s="5" t="str">
        <f ca="1">IFERROR(__xludf.DUMMYFUNCTION("""COMPUTED_VALUE"""),"https://www.actionnews5.com/story/8877429/student-killed-in-shooting-at-knoxville-school/ https://tn.chalkbeat.org/2021/4/13/22382033/tennessees-fatal-shooting-is-first-inside-of-school-since-massive-security-investments-in-campuses https://www.columbine-"&amp;"angels.com/School_Violence_2008-2009.htm")</f>
        <v>https://www.actionnews5.com/story/8877429/student-killed-in-shooting-at-knoxville-school/ https://tn.chalkbeat.org/2021/4/13/22382033/tennessees-fatal-shooting-is-first-inside-of-school-since-massive-security-investments-in-campuses https://www.columbine-angels.com/School_Violence_2008-2009.htm</v>
      </c>
      <c r="L1333" s="5"/>
      <c r="M1333" s="5" t="str">
        <f ca="1">IFERROR(__xludf.DUMMYFUNCTION("""COMPUTED_VALUE"""),"Local")</f>
        <v>Local</v>
      </c>
      <c r="N1333" s="5">
        <f ca="1">IFERROR(__xludf.DUMMYFUNCTION("""COMPUTED_VALUE"""),4)</f>
        <v>4</v>
      </c>
      <c r="O1333" s="5" t="str">
        <f ca="1">IFERROR(__xludf.DUMMYFUNCTION("""COMPUTED_VALUE"""),"Fall")</f>
        <v>Fall</v>
      </c>
      <c r="P1333" s="5" t="str">
        <f ca="1">IFERROR(__xludf.DUMMYFUNCTION("""COMPUTED_VALUE"""),"Knoxville")</f>
        <v>Knoxville</v>
      </c>
      <c r="Q1333" s="5" t="str">
        <f ca="1">IFERROR(__xludf.DUMMYFUNCTION("""COMPUTED_VALUE"""),"TN")</f>
        <v>TN</v>
      </c>
      <c r="R1333" s="5" t="str">
        <f ca="1">IFERROR(__xludf.DUMMYFUNCTION("""COMPUTED_VALUE"""),"High")</f>
        <v>High</v>
      </c>
      <c r="S1333" s="5" t="str">
        <f ca="1">IFERROR(__xludf.DUMMYFUNCTION("""COMPUTED_VALUE"""),"Cafeteria")</f>
        <v>Cafeteria</v>
      </c>
      <c r="T1333" s="5" t="str">
        <f ca="1">IFERROR(__xludf.DUMMYFUNCTION("""COMPUTED_VALUE"""),"Inside School Building")</f>
        <v>Inside School Building</v>
      </c>
      <c r="U1333" s="5" t="str">
        <f ca="1">IFERROR(__xludf.DUMMYFUNCTION("""COMPUTED_VALUE"""),"Yes")</f>
        <v>Yes</v>
      </c>
      <c r="V1333" s="5" t="str">
        <f ca="1">IFERROR(__xludf.DUMMYFUNCTION("""COMPUTED_VALUE"""),"School Start")</f>
        <v>School Start</v>
      </c>
      <c r="W1333" s="10">
        <f ca="1">IFERROR(__xludf.DUMMYFUNCTION("""COMPUTED_VALUE"""),0.340972222222222)</f>
        <v>0.34097222222222201</v>
      </c>
      <c r="X1333" s="5">
        <f ca="1">IFERROR(__xludf.DUMMYFUNCTION("""COMPUTED_VALUE"""),1)</f>
        <v>1</v>
      </c>
      <c r="Y1333" s="5" t="str">
        <f ca="1">IFERROR(__xludf.DUMMYFUNCTION("""COMPUTED_VALUE"""),"Student shot inside cafeteria prior to classes")</f>
        <v>Student shot inside cafeteria prior to classes</v>
      </c>
      <c r="Z1333" s="5" t="str">
        <f ca="1">IFERROR(__xludf.DUMMYFUNCTION("""COMPUTED_VALUE"""),"15-year-old male student walked into the cafeteria where students had gathered prior to classes and shot another 15-year-old male student in the chest. Shooter then walked away from school after shooting. The victim had alopecia and had been a target of b"&amp;"ullying since he was a child. Police said the shooting was specifically targeted at the victim. School was locked down and then dismissed.")</f>
        <v>15-year-old male student walked into the cafeteria where students had gathered prior to classes and shot another 15-year-old male student in the chest. Shooter then walked away from school after shooting. The victim had alopecia and had been a target of bullying since he was a child. Police said the shooting was specifically targeted at the victim. School was locked down and then dismissed.</v>
      </c>
      <c r="AA1333" s="5" t="str">
        <f ca="1">IFERROR(__xludf.DUMMYFUNCTION("""COMPUTED_VALUE"""),"Escalation of Dispute")</f>
        <v>Escalation of Dispute</v>
      </c>
      <c r="AB1333" s="5" t="str">
        <f ca="1">IFERROR(__xludf.DUMMYFUNCTION("""COMPUTED_VALUE"""),"Victims Targeted")</f>
        <v>Victims Targeted</v>
      </c>
      <c r="AC1333" s="5" t="str">
        <f ca="1">IFERROR(__xludf.DUMMYFUNCTION("""COMPUTED_VALUE"""),"No")</f>
        <v>No</v>
      </c>
      <c r="AD1333" s="5" t="str">
        <f ca="1">IFERROR(__xludf.DUMMYFUNCTION("""COMPUTED_VALUE"""),"No")</f>
        <v>No</v>
      </c>
      <c r="AE1333" s="5" t="str">
        <f ca="1">IFERROR(__xludf.DUMMYFUNCTION("""COMPUTED_VALUE"""),"No")</f>
        <v>No</v>
      </c>
      <c r="AF1333" s="5" t="str">
        <f ca="1">IFERROR(__xludf.DUMMYFUNCTION("""COMPUTED_VALUE"""),"No")</f>
        <v>No</v>
      </c>
      <c r="AG1333" s="5" t="str">
        <f ca="1">IFERROR(__xludf.DUMMYFUNCTION("""COMPUTED_VALUE"""),"Yes")</f>
        <v>Yes</v>
      </c>
      <c r="AH1333" s="5" t="str">
        <f ca="1">IFERROR(__xludf.DUMMYFUNCTION("""COMPUTED_VALUE"""),"No")</f>
        <v>No</v>
      </c>
      <c r="AI1333" s="5" t="str">
        <f ca="1">IFERROR(__xludf.DUMMYFUNCTION("""COMPUTED_VALUE"""),"No")</f>
        <v>No</v>
      </c>
      <c r="AJ1333" s="5" t="str">
        <f ca="1">IFERROR(__xludf.DUMMYFUNCTION("""COMPUTED_VALUE"""),"No")</f>
        <v>No</v>
      </c>
    </row>
    <row r="1334" spans="1:36" ht="13">
      <c r="A1334" s="5" t="str">
        <f ca="1">IFERROR(__xludf.DUMMYFUNCTION("""COMPUTED_VALUE"""),"20080814WALAF")</f>
        <v>20080814WALAF</v>
      </c>
      <c r="B1334" s="5">
        <f ca="1">IFERROR(__xludf.DUMMYFUNCTION("""COMPUTED_VALUE"""),8)</f>
        <v>8</v>
      </c>
      <c r="C1334" s="5">
        <f ca="1">IFERROR(__xludf.DUMMYFUNCTION("""COMPUTED_VALUE"""),14)</f>
        <v>14</v>
      </c>
      <c r="D1334" s="5">
        <f ca="1">IFERROR(__xludf.DUMMYFUNCTION("""COMPUTED_VALUE"""),2008)</f>
        <v>2008</v>
      </c>
      <c r="E1334" s="8">
        <f ca="1">IFERROR(__xludf.DUMMYFUNCTION("""COMPUTED_VALUE"""),39674)</f>
        <v>39674</v>
      </c>
      <c r="F1334" s="5" t="str">
        <f ca="1">IFERROR(__xludf.DUMMYFUNCTION("""COMPUTED_VALUE"""),"Lakota Middle School")</f>
        <v>Lakota Middle School</v>
      </c>
      <c r="G1334" s="5">
        <f ca="1">IFERROR(__xludf.DUMMYFUNCTION("""COMPUTED_VALUE"""),1)</f>
        <v>1</v>
      </c>
      <c r="H1334" s="5">
        <f ca="1">IFERROR(__xludf.DUMMYFUNCTION("""COMPUTED_VALUE"""),0)</f>
        <v>0</v>
      </c>
      <c r="I1334" s="5">
        <f ca="1">IFERROR(__xludf.DUMMYFUNCTION("""COMPUTED_VALUE"""),1)</f>
        <v>1</v>
      </c>
      <c r="J1334" s="5">
        <f ca="1">IFERROR(__xludf.DUMMYFUNCTION("""COMPUTED_VALUE"""),0)</f>
        <v>0</v>
      </c>
      <c r="K1334" s="9" t="str">
        <f ca="1">IFERROR(__xludf.DUMMYFUNCTION("""COMPUTED_VALUE"""),"https://www.seattletimes.com/seattle-news/suspect-arrested-in-fatal-shooting-last-week-outside-federal-way-middle-school/")</f>
        <v>https://www.seattletimes.com/seattle-news/suspect-arrested-in-fatal-shooting-last-week-outside-federal-way-middle-school/</v>
      </c>
      <c r="L1334" s="5"/>
      <c r="M1334" s="5"/>
      <c r="N1334" s="5">
        <f ca="1">IFERROR(__xludf.DUMMYFUNCTION("""COMPUTED_VALUE"""),2)</f>
        <v>2</v>
      </c>
      <c r="O1334" s="5" t="str">
        <f ca="1">IFERROR(__xludf.DUMMYFUNCTION("""COMPUTED_VALUE"""),"Summer")</f>
        <v>Summer</v>
      </c>
      <c r="P1334" s="5" t="str">
        <f ca="1">IFERROR(__xludf.DUMMYFUNCTION("""COMPUTED_VALUE"""),"Federal Way")</f>
        <v>Federal Way</v>
      </c>
      <c r="Q1334" s="5" t="str">
        <f ca="1">IFERROR(__xludf.DUMMYFUNCTION("""COMPUTED_VALUE"""),"WA")</f>
        <v>WA</v>
      </c>
      <c r="R1334" s="5" t="str">
        <f ca="1">IFERROR(__xludf.DUMMYFUNCTION("""COMPUTED_VALUE"""),"Middle")</f>
        <v>Middle</v>
      </c>
      <c r="S1334" s="5" t="str">
        <f ca="1">IFERROR(__xludf.DUMMYFUNCTION("""COMPUTED_VALUE"""),"Parking Lot")</f>
        <v>Parking Lot</v>
      </c>
      <c r="T1334" s="5" t="str">
        <f ca="1">IFERROR(__xludf.DUMMYFUNCTION("""COMPUTED_VALUE"""),"Outside on School Property")</f>
        <v>Outside on School Property</v>
      </c>
      <c r="U1334" s="5" t="str">
        <f ca="1">IFERROR(__xludf.DUMMYFUNCTION("""COMPUTED_VALUE"""),"Yes")</f>
        <v>Yes</v>
      </c>
      <c r="V1334" s="5" t="str">
        <f ca="1">IFERROR(__xludf.DUMMYFUNCTION("""COMPUTED_VALUE"""),"Evening")</f>
        <v>Evening</v>
      </c>
      <c r="W1334" s="10">
        <f ca="1">IFERROR(__xludf.DUMMYFUNCTION("""COMPUTED_VALUE"""),0.847222222222222)</f>
        <v>0.84722222222222199</v>
      </c>
      <c r="X1334" s="5">
        <f ca="1">IFERROR(__xludf.DUMMYFUNCTION("""COMPUTED_VALUE"""),1)</f>
        <v>1</v>
      </c>
      <c r="Y1334" s="5" t="str">
        <f ca="1">IFERROR(__xludf.DUMMYFUNCTION("""COMPUTED_VALUE"""),"Gang-related shooting outside of school.")</f>
        <v>Gang-related shooting outside of school.</v>
      </c>
      <c r="Z1334" s="5" t="str">
        <f ca="1">IFERROR(__xludf.DUMMYFUNCTION("""COMPUTED_VALUE"""),"Suspected gang related - victim was 26 years old and was at school to pick up girlfriend's son")</f>
        <v>Suspected gang related - victim was 26 years old and was at school to pick up girlfriend's son</v>
      </c>
      <c r="AA1334" s="5" t="str">
        <f ca="1">IFERROR(__xludf.DUMMYFUNCTION("""COMPUTED_VALUE"""),"Escalation of Dispute")</f>
        <v>Escalation of Dispute</v>
      </c>
      <c r="AB1334" s="5" t="str">
        <f ca="1">IFERROR(__xludf.DUMMYFUNCTION("""COMPUTED_VALUE"""),"Victims Targeted")</f>
        <v>Victims Targeted</v>
      </c>
      <c r="AC1334" s="5" t="str">
        <f ca="1">IFERROR(__xludf.DUMMYFUNCTION("""COMPUTED_VALUE"""),"Yes")</f>
        <v>Yes</v>
      </c>
      <c r="AD1334" s="5" t="str">
        <f ca="1">IFERROR(__xludf.DUMMYFUNCTION("""COMPUTED_VALUE"""),"No")</f>
        <v>No</v>
      </c>
      <c r="AE1334" s="5" t="str">
        <f ca="1">IFERROR(__xludf.DUMMYFUNCTION("""COMPUTED_VALUE"""),"No")</f>
        <v>No</v>
      </c>
      <c r="AF1334" s="5" t="str">
        <f ca="1">IFERROR(__xludf.DUMMYFUNCTION("""COMPUTED_VALUE"""),"No")</f>
        <v>No</v>
      </c>
      <c r="AG1334" s="5"/>
      <c r="AH1334" s="5" t="str">
        <f ca="1">IFERROR(__xludf.DUMMYFUNCTION("""COMPUTED_VALUE"""),"No")</f>
        <v>No</v>
      </c>
      <c r="AI1334" s="5" t="str">
        <f ca="1">IFERROR(__xludf.DUMMYFUNCTION("""COMPUTED_VALUE"""),"Yes")</f>
        <v>Yes</v>
      </c>
      <c r="AJ1334" s="5"/>
    </row>
    <row r="1335" spans="1:36" ht="13">
      <c r="A1335" s="5" t="str">
        <f ca="1">IFERROR(__xludf.DUMMYFUNCTION("""COMPUTED_VALUE"""),"20080811WAWAK")</f>
        <v>20080811WAWAK</v>
      </c>
      <c r="B1335" s="5">
        <f ca="1">IFERROR(__xludf.DUMMYFUNCTION("""COMPUTED_VALUE"""),8)</f>
        <v>8</v>
      </c>
      <c r="C1335" s="5">
        <f ca="1">IFERROR(__xludf.DUMMYFUNCTION("""COMPUTED_VALUE"""),11)</f>
        <v>11</v>
      </c>
      <c r="D1335" s="5">
        <f ca="1">IFERROR(__xludf.DUMMYFUNCTION("""COMPUTED_VALUE"""),2008)</f>
        <v>2008</v>
      </c>
      <c r="E1335" s="8">
        <f ca="1">IFERROR(__xludf.DUMMYFUNCTION("""COMPUTED_VALUE"""),39671)</f>
        <v>39671</v>
      </c>
      <c r="F1335" s="5" t="str">
        <f ca="1">IFERROR(__xludf.DUMMYFUNCTION("""COMPUTED_VALUE"""),"Wallace Elementary School")</f>
        <v>Wallace Elementary School</v>
      </c>
      <c r="G1335" s="5">
        <f ca="1">IFERROR(__xludf.DUMMYFUNCTION("""COMPUTED_VALUE"""),0)</f>
        <v>0</v>
      </c>
      <c r="H1335" s="5">
        <f ca="1">IFERROR(__xludf.DUMMYFUNCTION("""COMPUTED_VALUE"""),0)</f>
        <v>0</v>
      </c>
      <c r="I1335" s="5">
        <f ca="1">IFERROR(__xludf.DUMMYFUNCTION("""COMPUTED_VALUE"""),0)</f>
        <v>0</v>
      </c>
      <c r="J1335" s="5">
        <f ca="1">IFERROR(__xludf.DUMMYFUNCTION("""COMPUTED_VALUE"""),0)</f>
        <v>0</v>
      </c>
      <c r="K1335" s="9" t="str">
        <f ca="1">IFERROR(__xludf.DUMMYFUNCTION("""COMPUTED_VALUE"""),"https://www.columbine-angels.com/School_Violence_2008-2009.htm")</f>
        <v>https://www.columbine-angels.com/School_Violence_2008-2009.htm</v>
      </c>
      <c r="L1335" s="5"/>
      <c r="M1335" s="5"/>
      <c r="N1335" s="5">
        <f ca="1">IFERROR(__xludf.DUMMYFUNCTION("""COMPUTED_VALUE"""),1)</f>
        <v>1</v>
      </c>
      <c r="O1335" s="5" t="str">
        <f ca="1">IFERROR(__xludf.DUMMYFUNCTION("""COMPUTED_VALUE"""),"Summer")</f>
        <v>Summer</v>
      </c>
      <c r="P1335" s="5" t="str">
        <f ca="1">IFERROR(__xludf.DUMMYFUNCTION("""COMPUTED_VALUE"""),"Kelso")</f>
        <v>Kelso</v>
      </c>
      <c r="Q1335" s="5" t="str">
        <f ca="1">IFERROR(__xludf.DUMMYFUNCTION("""COMPUTED_VALUE"""),"WA")</f>
        <v>WA</v>
      </c>
      <c r="R1335" s="5" t="str">
        <f ca="1">IFERROR(__xludf.DUMMYFUNCTION("""COMPUTED_VALUE"""),"Elementary")</f>
        <v>Elementary</v>
      </c>
      <c r="S1335" s="5" t="str">
        <f ca="1">IFERROR(__xludf.DUMMYFUNCTION("""COMPUTED_VALUE"""),"Playground")</f>
        <v>Playground</v>
      </c>
      <c r="T1335" s="5" t="str">
        <f ca="1">IFERROR(__xludf.DUMMYFUNCTION("""COMPUTED_VALUE"""),"Outside on School Property")</f>
        <v>Outside on School Property</v>
      </c>
      <c r="U1335" s="5" t="str">
        <f ca="1">IFERROR(__xludf.DUMMYFUNCTION("""COMPUTED_VALUE"""),"Yes")</f>
        <v>Yes</v>
      </c>
      <c r="V1335" s="5"/>
      <c r="W1335" s="5"/>
      <c r="X1335" s="5">
        <f ca="1">IFERROR(__xludf.DUMMYFUNCTION("""COMPUTED_VALUE"""),1)</f>
        <v>1</v>
      </c>
      <c r="Y1335" s="5" t="str">
        <f ca="1">IFERROR(__xludf.DUMMYFUNCTION("""COMPUTED_VALUE"""),"Shot student who stole drugs from him")</f>
        <v>Shot student who stole drugs from him</v>
      </c>
      <c r="Z1335" s="5" t="str">
        <f ca="1">IFERROR(__xludf.DUMMYFUNCTION("""COMPUTED_VALUE"""),"Prior to the shooting unidentified male student was caught inside shooter's home trying to steal his marijuana.  The shooter came to Wallace Elementary School with a .25 caliber handgun and saw the boy on the playground. He said, ""I'm going to kill you,"&amp;""" and fired off one round before his gun jammed. The bullet nearly hit the boy's leg.")</f>
        <v>Prior to the shooting unidentified male student was caught inside shooter's home trying to steal his marijuana.  The shooter came to Wallace Elementary School with a .25 caliber handgun and saw the boy on the playground. He said, "I'm going to kill you," and fired off one round before his gun jammed. The bullet nearly hit the boy's leg.</v>
      </c>
      <c r="AA1335" s="5" t="str">
        <f ca="1">IFERROR(__xludf.DUMMYFUNCTION("""COMPUTED_VALUE"""),"Illegal Activity")</f>
        <v>Illegal Activity</v>
      </c>
      <c r="AB1335" s="5" t="str">
        <f ca="1">IFERROR(__xludf.DUMMYFUNCTION("""COMPUTED_VALUE"""),"Victims Targeted")</f>
        <v>Victims Targeted</v>
      </c>
      <c r="AC1335" s="5" t="str">
        <f ca="1">IFERROR(__xludf.DUMMYFUNCTION("""COMPUTED_VALUE"""),"No")</f>
        <v>No</v>
      </c>
      <c r="AD1335" s="5" t="str">
        <f ca="1">IFERROR(__xludf.DUMMYFUNCTION("""COMPUTED_VALUE"""),"No")</f>
        <v>No</v>
      </c>
      <c r="AE1335" s="5" t="str">
        <f ca="1">IFERROR(__xludf.DUMMYFUNCTION("""COMPUTED_VALUE"""),"No")</f>
        <v>No</v>
      </c>
      <c r="AF1335" s="5" t="str">
        <f ca="1">IFERROR(__xludf.DUMMYFUNCTION("""COMPUTED_VALUE"""),"No")</f>
        <v>No</v>
      </c>
      <c r="AG1335" s="5" t="str">
        <f ca="1">IFERROR(__xludf.DUMMYFUNCTION("""COMPUTED_VALUE"""),"No")</f>
        <v>No</v>
      </c>
      <c r="AH1335" s="5" t="str">
        <f ca="1">IFERROR(__xludf.DUMMYFUNCTION("""COMPUTED_VALUE"""),"No")</f>
        <v>No</v>
      </c>
      <c r="AI1335" s="5" t="str">
        <f ca="1">IFERROR(__xludf.DUMMYFUNCTION("""COMPUTED_VALUE"""),"No")</f>
        <v>No</v>
      </c>
      <c r="AJ1335" s="5"/>
    </row>
    <row r="1336" spans="1:36" ht="13">
      <c r="A1336" s="5" t="str">
        <f ca="1">IFERROR(__xludf.DUMMYFUNCTION("""COMPUTED_VALUE"""),"20080516LAMAT")</f>
        <v>20080516LAMAT</v>
      </c>
      <c r="B1336" s="5">
        <f ca="1">IFERROR(__xludf.DUMMYFUNCTION("""COMPUTED_VALUE"""),5)</f>
        <v>5</v>
      </c>
      <c r="C1336" s="5">
        <f ca="1">IFERROR(__xludf.DUMMYFUNCTION("""COMPUTED_VALUE"""),16)</f>
        <v>16</v>
      </c>
      <c r="D1336" s="5">
        <f ca="1">IFERROR(__xludf.DUMMYFUNCTION("""COMPUTED_VALUE"""),2008)</f>
        <v>2008</v>
      </c>
      <c r="E1336" s="8">
        <f ca="1">IFERROR(__xludf.DUMMYFUNCTION("""COMPUTED_VALUE"""),39584)</f>
        <v>39584</v>
      </c>
      <c r="F1336" s="5" t="str">
        <f ca="1">IFERROR(__xludf.DUMMYFUNCTION("""COMPUTED_VALUE"""),"Madison Parish High School")</f>
        <v>Madison Parish High School</v>
      </c>
      <c r="G1336" s="5">
        <f ca="1">IFERROR(__xludf.DUMMYFUNCTION("""COMPUTED_VALUE"""),0)</f>
        <v>0</v>
      </c>
      <c r="H1336" s="5">
        <f ca="1">IFERROR(__xludf.DUMMYFUNCTION("""COMPUTED_VALUE"""),0)</f>
        <v>0</v>
      </c>
      <c r="I1336" s="5">
        <f ca="1">IFERROR(__xludf.DUMMYFUNCTION("""COMPUTED_VALUE"""),0)</f>
        <v>0</v>
      </c>
      <c r="J1336" s="5">
        <f ca="1">IFERROR(__xludf.DUMMYFUNCTION("""COMPUTED_VALUE"""),1)</f>
        <v>1</v>
      </c>
      <c r="K1336" s="9" t="str">
        <f ca="1">IFERROR(__xludf.DUMMYFUNCTION("""COMPUTED_VALUE"""),"https://www.ktbs.com/news/student-found-shot-at-madison-high/article_0cdc830b-bca1-5acc-857b-e08b04bff7b2.html")</f>
        <v>https://www.ktbs.com/news/student-found-shot-at-madison-high/article_0cdc830b-bca1-5acc-857b-e08b04bff7b2.html</v>
      </c>
      <c r="L1336" s="5"/>
      <c r="M1336" s="5"/>
      <c r="N1336" s="5">
        <f ca="1">IFERROR(__xludf.DUMMYFUNCTION("""COMPUTED_VALUE"""),2)</f>
        <v>2</v>
      </c>
      <c r="O1336" s="5" t="str">
        <f ca="1">IFERROR(__xludf.DUMMYFUNCTION("""COMPUTED_VALUE"""),"Spring")</f>
        <v>Spring</v>
      </c>
      <c r="P1336" s="5" t="str">
        <f ca="1">IFERROR(__xludf.DUMMYFUNCTION("""COMPUTED_VALUE"""),"Tallulah")</f>
        <v>Tallulah</v>
      </c>
      <c r="Q1336" s="5" t="str">
        <f ca="1">IFERROR(__xludf.DUMMYFUNCTION("""COMPUTED_VALUE"""),"LA")</f>
        <v>LA</v>
      </c>
      <c r="R1336" s="5" t="str">
        <f ca="1">IFERROR(__xludf.DUMMYFUNCTION("""COMPUTED_VALUE"""),"High")</f>
        <v>High</v>
      </c>
      <c r="S1336" s="5" t="str">
        <f ca="1">IFERROR(__xludf.DUMMYFUNCTION("""COMPUTED_VALUE"""),"Field (General)")</f>
        <v>Field (General)</v>
      </c>
      <c r="T1336" s="5" t="str">
        <f ca="1">IFERROR(__xludf.DUMMYFUNCTION("""COMPUTED_VALUE"""),"Outside on School Property")</f>
        <v>Outside on School Property</v>
      </c>
      <c r="U1336" s="5" t="str">
        <f ca="1">IFERROR(__xludf.DUMMYFUNCTION("""COMPUTED_VALUE"""),"Yes")</f>
        <v>Yes</v>
      </c>
      <c r="V1336" s="5"/>
      <c r="W1336" s="5"/>
      <c r="X1336" s="5">
        <f ca="1">IFERROR(__xludf.DUMMYFUNCTION("""COMPUTED_VALUE"""),1)</f>
        <v>1</v>
      </c>
      <c r="Y1336" s="5" t="str">
        <f ca="1">IFERROR(__xludf.DUMMYFUNCTION("""COMPUTED_VALUE"""),"Shot self on athletic field")</f>
        <v>Shot self on athletic field</v>
      </c>
      <c r="Z1336" s="5" t="str">
        <f ca="1">IFERROR(__xludf.DUMMYFUNCTION("""COMPUTED_VALUE"""),"Football coach was on field and saw student standing on the other side of the field. Heard a loud pop and the student collapsed. 9th grade student. Details about victim unknown.")</f>
        <v>Football coach was on field and saw student standing on the other side of the field. Heard a loud pop and the student collapsed. 9th grade student. Details about victim unknown.</v>
      </c>
      <c r="AA1336" s="5" t="str">
        <f ca="1">IFERROR(__xludf.DUMMYFUNCTION("""COMPUTED_VALUE"""),"Suicide/Attempted")</f>
        <v>Suicide/Attempted</v>
      </c>
      <c r="AB1336" s="5" t="str">
        <f ca="1">IFERROR(__xludf.DUMMYFUNCTION("""COMPUTED_VALUE"""),"Victims Targeted")</f>
        <v>Victims Targeted</v>
      </c>
      <c r="AC1336" s="5" t="str">
        <f ca="1">IFERROR(__xludf.DUMMYFUNCTION("""COMPUTED_VALUE"""),"No")</f>
        <v>No</v>
      </c>
      <c r="AD1336" s="5" t="str">
        <f ca="1">IFERROR(__xludf.DUMMYFUNCTION("""COMPUTED_VALUE"""),"No")</f>
        <v>No</v>
      </c>
      <c r="AE1336" s="5" t="str">
        <f ca="1">IFERROR(__xludf.DUMMYFUNCTION("""COMPUTED_VALUE"""),"No")</f>
        <v>No</v>
      </c>
      <c r="AF1336" s="5" t="str">
        <f ca="1">IFERROR(__xludf.DUMMYFUNCTION("""COMPUTED_VALUE"""),"No")</f>
        <v>No</v>
      </c>
      <c r="AG1336" s="5"/>
      <c r="AH1336" s="5" t="str">
        <f ca="1">IFERROR(__xludf.DUMMYFUNCTION("""COMPUTED_VALUE"""),"No")</f>
        <v>No</v>
      </c>
      <c r="AI1336" s="5" t="str">
        <f ca="1">IFERROR(__xludf.DUMMYFUNCTION("""COMPUTED_VALUE"""),"No")</f>
        <v>No</v>
      </c>
      <c r="AJ1336" s="5"/>
    </row>
    <row r="1337" spans="1:36" ht="13">
      <c r="A1337" s="5" t="str">
        <f ca="1">IFERROR(__xludf.DUMMYFUNCTION("""COMPUTED_VALUE"""),"20080416CAROF")</f>
        <v>20080416CAROF</v>
      </c>
      <c r="B1337" s="5">
        <f ca="1">IFERROR(__xludf.DUMMYFUNCTION("""COMPUTED_VALUE"""),4)</f>
        <v>4</v>
      </c>
      <c r="C1337" s="5">
        <f ca="1">IFERROR(__xludf.DUMMYFUNCTION("""COMPUTED_VALUE"""),16)</f>
        <v>16</v>
      </c>
      <c r="D1337" s="5">
        <f ca="1">IFERROR(__xludf.DUMMYFUNCTION("""COMPUTED_VALUE"""),2008)</f>
        <v>2008</v>
      </c>
      <c r="E1337" s="8">
        <f ca="1">IFERROR(__xludf.DUMMYFUNCTION("""COMPUTED_VALUE"""),39554)</f>
        <v>39554</v>
      </c>
      <c r="F1337" s="5" t="str">
        <f ca="1">IFERROR(__xludf.DUMMYFUNCTION("""COMPUTED_VALUE"""),"Roosevelt High School")</f>
        <v>Roosevelt High School</v>
      </c>
      <c r="G1337" s="5">
        <f ca="1">IFERROR(__xludf.DUMMYFUNCTION("""COMPUTED_VALUE"""),1)</f>
        <v>1</v>
      </c>
      <c r="H1337" s="5">
        <f ca="1">IFERROR(__xludf.DUMMYFUNCTION("""COMPUTED_VALUE"""),0)</f>
        <v>0</v>
      </c>
      <c r="I1337" s="5">
        <f ca="1">IFERROR(__xludf.DUMMYFUNCTION("""COMPUTED_VALUE"""),1)</f>
        <v>1</v>
      </c>
      <c r="J1337" s="5">
        <f ca="1">IFERROR(__xludf.DUMMYFUNCTION("""COMPUTED_VALUE"""),0)</f>
        <v>0</v>
      </c>
      <c r="K1337" s="5" t="str">
        <f ca="1">IFERROR(__xludf.DUMMYFUNCTION("""COMPUTED_VALUE"""),"https://abc30.com/archive/6083383/   https://www.findagrave.com/memorial/26380491/jesus_%22jesse%22-carrizales")</f>
        <v>https://abc30.com/archive/6083383/   https://www.findagrave.com/memorial/26380491/jesus_%22jesse%22-carrizales</v>
      </c>
      <c r="L1337" s="5"/>
      <c r="M1337" s="5"/>
      <c r="N1337" s="5">
        <f ca="1">IFERROR(__xludf.DUMMYFUNCTION("""COMPUTED_VALUE"""),3)</f>
        <v>3</v>
      </c>
      <c r="O1337" s="5" t="str">
        <f ca="1">IFERROR(__xludf.DUMMYFUNCTION("""COMPUTED_VALUE"""),"Spring")</f>
        <v>Spring</v>
      </c>
      <c r="P1337" s="5" t="str">
        <f ca="1">IFERROR(__xludf.DUMMYFUNCTION("""COMPUTED_VALUE"""),"Fresno")</f>
        <v>Fresno</v>
      </c>
      <c r="Q1337" s="5" t="str">
        <f ca="1">IFERROR(__xludf.DUMMYFUNCTION("""COMPUTED_VALUE"""),"CA")</f>
        <v>CA</v>
      </c>
      <c r="R1337" s="5" t="str">
        <f ca="1">IFERROR(__xludf.DUMMYFUNCTION("""COMPUTED_VALUE"""),"High")</f>
        <v>High</v>
      </c>
      <c r="S1337" s="5" t="str">
        <f ca="1">IFERROR(__xludf.DUMMYFUNCTION("""COMPUTED_VALUE"""),"Outside on School Property")</f>
        <v>Outside on School Property</v>
      </c>
      <c r="T1337" s="5" t="str">
        <f ca="1">IFERROR(__xludf.DUMMYFUNCTION("""COMPUTED_VALUE"""),"Outside on School Property")</f>
        <v>Outside on School Property</v>
      </c>
      <c r="U1337" s="5" t="str">
        <f ca="1">IFERROR(__xludf.DUMMYFUNCTION("""COMPUTED_VALUE"""),"Yes")</f>
        <v>Yes</v>
      </c>
      <c r="V1337" s="5" t="str">
        <f ca="1">IFERROR(__xludf.DUMMYFUNCTION("""COMPUTED_VALUE"""),"Lunch")</f>
        <v>Lunch</v>
      </c>
      <c r="W1337" s="10">
        <f ca="1">IFERROR(__xludf.DUMMYFUNCTION("""COMPUTED_VALUE"""),0.495833333333333)</f>
        <v>0.49583333333333302</v>
      </c>
      <c r="X1337" s="5">
        <f ca="1">IFERROR(__xludf.DUMMYFUNCTION("""COMPUTED_VALUE"""),1)</f>
        <v>1</v>
      </c>
      <c r="Y1337" s="5" t="str">
        <f ca="1">IFERROR(__xludf.DUMMYFUNCTION("""COMPUTED_VALUE"""),"SRO fired at student who attacked him")</f>
        <v>SRO fired at student who attacked him</v>
      </c>
      <c r="Z1337" s="5" t="str">
        <f ca="1">IFERROR(__xludf.DUMMYFUNCTION("""COMPUTED_VALUE"""),"Student attacked school resource officer with a bat severely injuring him. Officer used his back up weapon to shoot/kill attacker. Justified shooting")</f>
        <v>Student attacked school resource officer with a bat severely injuring him. Officer used his back up weapon to shoot/kill attacker. Justified shooting</v>
      </c>
      <c r="AA1337" s="5" t="str">
        <f ca="1">IFERROR(__xludf.DUMMYFUNCTION("""COMPUTED_VALUE"""),"Self-defense")</f>
        <v>Self-defense</v>
      </c>
      <c r="AB1337" s="5" t="str">
        <f ca="1">IFERROR(__xludf.DUMMYFUNCTION("""COMPUTED_VALUE"""),"Victims Targeted")</f>
        <v>Victims Targeted</v>
      </c>
      <c r="AC1337" s="5" t="str">
        <f ca="1">IFERROR(__xludf.DUMMYFUNCTION("""COMPUTED_VALUE"""),"No")</f>
        <v>No</v>
      </c>
      <c r="AD1337" s="5" t="str">
        <f ca="1">IFERROR(__xludf.DUMMYFUNCTION("""COMPUTED_VALUE"""),"No")</f>
        <v>No</v>
      </c>
      <c r="AE1337" s="5" t="str">
        <f ca="1">IFERROR(__xludf.DUMMYFUNCTION("""COMPUTED_VALUE"""),"No")</f>
        <v>No</v>
      </c>
      <c r="AF1337" s="5" t="str">
        <f ca="1">IFERROR(__xludf.DUMMYFUNCTION("""COMPUTED_VALUE"""),"Yes")</f>
        <v>Yes</v>
      </c>
      <c r="AG1337" s="5" t="str">
        <f ca="1">IFERROR(__xludf.DUMMYFUNCTION("""COMPUTED_VALUE"""),"N/A")</f>
        <v>N/A</v>
      </c>
      <c r="AH1337" s="5" t="str">
        <f ca="1">IFERROR(__xludf.DUMMYFUNCTION("""COMPUTED_VALUE"""),"N/A")</f>
        <v>N/A</v>
      </c>
      <c r="AI1337" s="5" t="str">
        <f ca="1">IFERROR(__xludf.DUMMYFUNCTION("""COMPUTED_VALUE"""),"N/A")</f>
        <v>N/A</v>
      </c>
      <c r="AJ1337" s="5" t="str">
        <f ca="1">IFERROR(__xludf.DUMMYFUNCTION("""COMPUTED_VALUE"""),"N/A")</f>
        <v>N/A</v>
      </c>
    </row>
    <row r="1338" spans="1:36" ht="13">
      <c r="A1338" s="5" t="str">
        <f ca="1">IFERROR(__xludf.DUMMYFUNCTION("""COMPUTED_VALUE"""),"20080306ALDAM")</f>
        <v>20080306ALDAM</v>
      </c>
      <c r="B1338" s="5">
        <f ca="1">IFERROR(__xludf.DUMMYFUNCTION("""COMPUTED_VALUE"""),3)</f>
        <v>3</v>
      </c>
      <c r="C1338" s="5">
        <f ca="1">IFERROR(__xludf.DUMMYFUNCTION("""COMPUTED_VALUE"""),6)</f>
        <v>6</v>
      </c>
      <c r="D1338" s="5">
        <f ca="1">IFERROR(__xludf.DUMMYFUNCTION("""COMPUTED_VALUE"""),2008)</f>
        <v>2008</v>
      </c>
      <c r="E1338" s="8">
        <f ca="1">IFERROR(__xludf.DUMMYFUNCTION("""COMPUTED_VALUE"""),39513)</f>
        <v>39513</v>
      </c>
      <c r="F1338" s="5" t="str">
        <f ca="1">IFERROR(__xludf.DUMMYFUNCTION("""COMPUTED_VALUE"""),"Davidson High School")</f>
        <v>Davidson High School</v>
      </c>
      <c r="G1338" s="5">
        <f ca="1">IFERROR(__xludf.DUMMYFUNCTION("""COMPUTED_VALUE"""),0)</f>
        <v>0</v>
      </c>
      <c r="H1338" s="5">
        <f ca="1">IFERROR(__xludf.DUMMYFUNCTION("""COMPUTED_VALUE"""),0)</f>
        <v>0</v>
      </c>
      <c r="I1338" s="5">
        <f ca="1">IFERROR(__xludf.DUMMYFUNCTION("""COMPUTED_VALUE"""),0)</f>
        <v>0</v>
      </c>
      <c r="J1338" s="5">
        <f ca="1">IFERROR(__xludf.DUMMYFUNCTION("""COMPUTED_VALUE"""),1)</f>
        <v>1</v>
      </c>
      <c r="K1338" s="5" t="str">
        <f ca="1">IFERROR(__xludf.DUMMYFUNCTION("""COMPUTED_VALUE"""),"http://blog.al.com/live/2008/03/students_at_davidson_high_are.html  https://hinterlandgazette.com/2008/03/jajuan-holmes-kills-himself-in-front-of.html")</f>
        <v>http://blog.al.com/live/2008/03/students_at_davidson_high_are.html  https://hinterlandgazette.com/2008/03/jajuan-holmes-kills-himself-in-front-of.html</v>
      </c>
      <c r="L1338" s="5"/>
      <c r="M1338" s="5"/>
      <c r="N1338" s="5">
        <f ca="1">IFERROR(__xludf.DUMMYFUNCTION("""COMPUTED_VALUE"""),3)</f>
        <v>3</v>
      </c>
      <c r="O1338" s="5" t="str">
        <f ca="1">IFERROR(__xludf.DUMMYFUNCTION("""COMPUTED_VALUE"""),"Spring")</f>
        <v>Spring</v>
      </c>
      <c r="P1338" s="5" t="str">
        <f ca="1">IFERROR(__xludf.DUMMYFUNCTION("""COMPUTED_VALUE"""),"Mobile")</f>
        <v>Mobile</v>
      </c>
      <c r="Q1338" s="5" t="str">
        <f ca="1">IFERROR(__xludf.DUMMYFUNCTION("""COMPUTED_VALUE"""),"AL")</f>
        <v>AL</v>
      </c>
      <c r="R1338" s="5" t="str">
        <f ca="1">IFERROR(__xludf.DUMMYFUNCTION("""COMPUTED_VALUE"""),"High")</f>
        <v>High</v>
      </c>
      <c r="S1338" s="5" t="str">
        <f ca="1">IFERROR(__xludf.DUMMYFUNCTION("""COMPUTED_VALUE"""),"Gym")</f>
        <v>Gym</v>
      </c>
      <c r="T1338" s="5" t="str">
        <f ca="1">IFERROR(__xludf.DUMMYFUNCTION("""COMPUTED_VALUE"""),"Inside School Building")</f>
        <v>Inside School Building</v>
      </c>
      <c r="U1338" s="5" t="str">
        <f ca="1">IFERROR(__xludf.DUMMYFUNCTION("""COMPUTED_VALUE"""),"Yes")</f>
        <v>Yes</v>
      </c>
      <c r="V1338" s="5" t="str">
        <f ca="1">IFERROR(__xludf.DUMMYFUNCTION("""COMPUTED_VALUE"""),"Morning Classes")</f>
        <v>Morning Classes</v>
      </c>
      <c r="W1338" s="10">
        <f ca="1">IFERROR(__xludf.DUMMYFUNCTION("""COMPUTED_VALUE"""),0.416666666666666)</f>
        <v>0.41666666666666602</v>
      </c>
      <c r="X1338" s="5">
        <f ca="1">IFERROR(__xludf.DUMMYFUNCTION("""COMPUTED_VALUE"""),1)</f>
        <v>1</v>
      </c>
      <c r="Y1338" s="5" t="str">
        <f ca="1">IFERROR(__xludf.DUMMYFUNCTION("""COMPUTED_VALUE"""),"Suicide in gym in front of 150 students following suspension")</f>
        <v>Suicide in gym in front of 150 students following suspension</v>
      </c>
      <c r="Z1338" s="5" t="str">
        <f ca="1">IFERROR(__xludf.DUMMYFUNCTION("""COMPUTED_VALUE"""),"Shooter was charged weeks prior with robbery and was suspended from school. Shooter showed up to school wearing school uniform, entered gym where 150 students were gathered, shot .38 pistol into ceiling then shot himself in the head.")</f>
        <v>Shooter was charged weeks prior with robbery and was suspended from school. Shooter showed up to school wearing school uniform, entered gym where 150 students were gathered, shot .38 pistol into ceiling then shot himself in the head.</v>
      </c>
      <c r="AA1338" s="5" t="str">
        <f ca="1">IFERROR(__xludf.DUMMYFUNCTION("""COMPUTED_VALUE"""),"Suicide/Attempted")</f>
        <v>Suicide/Attempted</v>
      </c>
      <c r="AB1338" s="5" t="str">
        <f ca="1">IFERROR(__xludf.DUMMYFUNCTION("""COMPUTED_VALUE"""),"Victims Targeted")</f>
        <v>Victims Targeted</v>
      </c>
      <c r="AC1338" s="5" t="str">
        <f ca="1">IFERROR(__xludf.DUMMYFUNCTION("""COMPUTED_VALUE"""),"No")</f>
        <v>No</v>
      </c>
      <c r="AD1338" s="5" t="str">
        <f ca="1">IFERROR(__xludf.DUMMYFUNCTION("""COMPUTED_VALUE"""),"No")</f>
        <v>No</v>
      </c>
      <c r="AE1338" s="5" t="str">
        <f ca="1">IFERROR(__xludf.DUMMYFUNCTION("""COMPUTED_VALUE"""),"No")</f>
        <v>No</v>
      </c>
      <c r="AF1338" s="5" t="str">
        <f ca="1">IFERROR(__xludf.DUMMYFUNCTION("""COMPUTED_VALUE"""),"No")</f>
        <v>No</v>
      </c>
      <c r="AG1338" s="5" t="str">
        <f ca="1">IFERROR(__xludf.DUMMYFUNCTION("""COMPUTED_VALUE"""),"No")</f>
        <v>No</v>
      </c>
      <c r="AH1338" s="5" t="str">
        <f ca="1">IFERROR(__xludf.DUMMYFUNCTION("""COMPUTED_VALUE"""),"No")</f>
        <v>No</v>
      </c>
      <c r="AI1338" s="5" t="str">
        <f ca="1">IFERROR(__xludf.DUMMYFUNCTION("""COMPUTED_VALUE"""),"No")</f>
        <v>No</v>
      </c>
      <c r="AJ1338" s="5"/>
    </row>
    <row r="1339" spans="1:36" ht="13">
      <c r="A1339" s="5" t="str">
        <f ca="1">IFERROR(__xludf.DUMMYFUNCTION("""COMPUTED_VALUE"""),"20080214CAEOO")</f>
        <v>20080214CAEOO</v>
      </c>
      <c r="B1339" s="5">
        <f ca="1">IFERROR(__xludf.DUMMYFUNCTION("""COMPUTED_VALUE"""),2)</f>
        <v>2</v>
      </c>
      <c r="C1339" s="5">
        <f ca="1">IFERROR(__xludf.DUMMYFUNCTION("""COMPUTED_VALUE"""),12)</f>
        <v>12</v>
      </c>
      <c r="D1339" s="5">
        <f ca="1">IFERROR(__xludf.DUMMYFUNCTION("""COMPUTED_VALUE"""),2008)</f>
        <v>2008</v>
      </c>
      <c r="E1339" s="8">
        <f ca="1">IFERROR(__xludf.DUMMYFUNCTION("""COMPUTED_VALUE"""),39490)</f>
        <v>39490</v>
      </c>
      <c r="F1339" s="5" t="str">
        <f ca="1">IFERROR(__xludf.DUMMYFUNCTION("""COMPUTED_VALUE"""),"E O Green Junior High School")</f>
        <v>E O Green Junior High School</v>
      </c>
      <c r="G1339" s="5">
        <f ca="1">IFERROR(__xludf.DUMMYFUNCTION("""COMPUTED_VALUE"""),1)</f>
        <v>1</v>
      </c>
      <c r="H1339" s="5">
        <f ca="1">IFERROR(__xludf.DUMMYFUNCTION("""COMPUTED_VALUE"""),0)</f>
        <v>0</v>
      </c>
      <c r="I1339" s="5">
        <f ca="1">IFERROR(__xludf.DUMMYFUNCTION("""COMPUTED_VALUE"""),1)</f>
        <v>1</v>
      </c>
      <c r="J1339" s="5">
        <f ca="1">IFERROR(__xludf.DUMMYFUNCTION("""COMPUTED_VALUE"""),0)</f>
        <v>0</v>
      </c>
      <c r="K1339" s="9" t="str">
        <f ca="1">IFERROR(__xludf.DUMMYFUNCTION("""COMPUTED_VALUE"""),"https://abcnews.go.com/US/eighth-grade-shooting-larry-king-brandon-mcinerney-boys/story?id=14666577")</f>
        <v>https://abcnews.go.com/US/eighth-grade-shooting-larry-king-brandon-mcinerney-boys/story?id=14666577</v>
      </c>
      <c r="L1339" s="5"/>
      <c r="M1339" s="5" t="str">
        <f ca="1">IFERROR(__xludf.DUMMYFUNCTION("""COMPUTED_VALUE"""),"National")</f>
        <v>National</v>
      </c>
      <c r="N1339" s="5">
        <f ca="1">IFERROR(__xludf.DUMMYFUNCTION("""COMPUTED_VALUE"""),4)</f>
        <v>4</v>
      </c>
      <c r="O1339" s="5" t="str">
        <f ca="1">IFERROR(__xludf.DUMMYFUNCTION("""COMPUTED_VALUE"""),"Winter")</f>
        <v>Winter</v>
      </c>
      <c r="P1339" s="5" t="str">
        <f ca="1">IFERROR(__xludf.DUMMYFUNCTION("""COMPUTED_VALUE"""),"Oxnard")</f>
        <v>Oxnard</v>
      </c>
      <c r="Q1339" s="5" t="str">
        <f ca="1">IFERROR(__xludf.DUMMYFUNCTION("""COMPUTED_VALUE"""),"CA")</f>
        <v>CA</v>
      </c>
      <c r="R1339" s="5" t="str">
        <f ca="1">IFERROR(__xludf.DUMMYFUNCTION("""COMPUTED_VALUE"""),"Junior High")</f>
        <v>Junior High</v>
      </c>
      <c r="S1339" s="5" t="str">
        <f ca="1">IFERROR(__xludf.DUMMYFUNCTION("""COMPUTED_VALUE"""),"Classroom")</f>
        <v>Classroom</v>
      </c>
      <c r="T1339" s="5" t="str">
        <f ca="1">IFERROR(__xludf.DUMMYFUNCTION("""COMPUTED_VALUE"""),"Inside School Building")</f>
        <v>Inside School Building</v>
      </c>
      <c r="U1339" s="5" t="str">
        <f ca="1">IFERROR(__xludf.DUMMYFUNCTION("""COMPUTED_VALUE"""),"Yes")</f>
        <v>Yes</v>
      </c>
      <c r="V1339" s="5" t="str">
        <f ca="1">IFERROR(__xludf.DUMMYFUNCTION("""COMPUTED_VALUE"""),"Morning Classes")</f>
        <v>Morning Classes</v>
      </c>
      <c r="W1339" s="10">
        <f ca="1">IFERROR(__xludf.DUMMYFUNCTION("""COMPUTED_VALUE"""),0.34375)</f>
        <v>0.34375</v>
      </c>
      <c r="X1339" s="5">
        <f ca="1">IFERROR(__xludf.DUMMYFUNCTION("""COMPUTED_VALUE"""),1)</f>
        <v>1</v>
      </c>
      <c r="Y1339" s="5" t="str">
        <f ca="1">IFERROR(__xludf.DUMMYFUNCTION("""COMPUTED_VALUE"""),"Bullying, target made fun of victim for being gay")</f>
        <v>Bullying, target made fun of victim for being gay</v>
      </c>
      <c r="Z1339" s="5" t="str">
        <f ca="1">IFERROR(__xludf.DUMMYFUNCTION("""COMPUTED_VALUE"""),"Victim was gay. Victim asked suspect out on date in from of students which made suspect's friends laugh. Suspect was embarrassed and retaliated by shooting victim in class following day.")</f>
        <v>Victim was gay. Victim asked suspect out on date in from of students which made suspect's friends laugh. Suspect was embarrassed and retaliated by shooting victim in class following day.</v>
      </c>
      <c r="AA1339" s="5" t="str">
        <f ca="1">IFERROR(__xludf.DUMMYFUNCTION("""COMPUTED_VALUE"""),"Bullying")</f>
        <v>Bullying</v>
      </c>
      <c r="AB1339" s="5" t="str">
        <f ca="1">IFERROR(__xludf.DUMMYFUNCTION("""COMPUTED_VALUE"""),"Victims Targeted")</f>
        <v>Victims Targeted</v>
      </c>
      <c r="AC1339" s="5" t="str">
        <f ca="1">IFERROR(__xludf.DUMMYFUNCTION("""COMPUTED_VALUE"""),"No")</f>
        <v>No</v>
      </c>
      <c r="AD1339" s="5" t="str">
        <f ca="1">IFERROR(__xludf.DUMMYFUNCTION("""COMPUTED_VALUE"""),"No")</f>
        <v>No</v>
      </c>
      <c r="AE1339" s="5" t="str">
        <f ca="1">IFERROR(__xludf.DUMMYFUNCTION("""COMPUTED_VALUE"""),"No")</f>
        <v>No</v>
      </c>
      <c r="AF1339" s="5" t="str">
        <f ca="1">IFERROR(__xludf.DUMMYFUNCTION("""COMPUTED_VALUE"""),"No")</f>
        <v>No</v>
      </c>
      <c r="AG1339" s="5" t="str">
        <f ca="1">IFERROR(__xludf.DUMMYFUNCTION("""COMPUTED_VALUE"""),"Yes")</f>
        <v>Yes</v>
      </c>
      <c r="AH1339" s="5" t="str">
        <f ca="1">IFERROR(__xludf.DUMMYFUNCTION("""COMPUTED_VALUE"""),"No")</f>
        <v>No</v>
      </c>
      <c r="AI1339" s="5" t="str">
        <f ca="1">IFERROR(__xludf.DUMMYFUNCTION("""COMPUTED_VALUE"""),"No")</f>
        <v>No</v>
      </c>
      <c r="AJ1339" s="5"/>
    </row>
    <row r="1340" spans="1:36" ht="13">
      <c r="A1340" s="5" t="str">
        <f ca="1">IFERROR(__xludf.DUMMYFUNCTION("""COMPUTED_VALUE"""),"20080211TNMIM")</f>
        <v>20080211TNMIM</v>
      </c>
      <c r="B1340" s="5">
        <f ca="1">IFERROR(__xludf.DUMMYFUNCTION("""COMPUTED_VALUE"""),2)</f>
        <v>2</v>
      </c>
      <c r="C1340" s="5">
        <f ca="1">IFERROR(__xludf.DUMMYFUNCTION("""COMPUTED_VALUE"""),11)</f>
        <v>11</v>
      </c>
      <c r="D1340" s="5">
        <f ca="1">IFERROR(__xludf.DUMMYFUNCTION("""COMPUTED_VALUE"""),2008)</f>
        <v>2008</v>
      </c>
      <c r="E1340" s="8">
        <f ca="1">IFERROR(__xludf.DUMMYFUNCTION("""COMPUTED_VALUE"""),39489)</f>
        <v>39489</v>
      </c>
      <c r="F1340" s="5" t="str">
        <f ca="1">IFERROR(__xludf.DUMMYFUNCTION("""COMPUTED_VALUE"""),"Mitchell High School")</f>
        <v>Mitchell High School</v>
      </c>
      <c r="G1340" s="5">
        <f ca="1">IFERROR(__xludf.DUMMYFUNCTION("""COMPUTED_VALUE"""),0)</f>
        <v>0</v>
      </c>
      <c r="H1340" s="5">
        <f ca="1">IFERROR(__xludf.DUMMYFUNCTION("""COMPUTED_VALUE"""),1)</f>
        <v>1</v>
      </c>
      <c r="I1340" s="5">
        <f ca="1">IFERROR(__xludf.DUMMYFUNCTION("""COMPUTED_VALUE"""),1)</f>
        <v>1</v>
      </c>
      <c r="J1340" s="5">
        <f ca="1">IFERROR(__xludf.DUMMYFUNCTION("""COMPUTED_VALUE"""),0)</f>
        <v>0</v>
      </c>
      <c r="K1340" s="9" t="str">
        <f ca="1">IFERROR(__xludf.DUMMYFUNCTION("""COMPUTED_VALUE"""),"https://www.nytimes.com/2008/02/12/us/12memphis.html")</f>
        <v>https://www.nytimes.com/2008/02/12/us/12memphis.html</v>
      </c>
      <c r="L1340" s="5"/>
      <c r="M1340" s="5"/>
      <c r="N1340" s="5">
        <f ca="1">IFERROR(__xludf.DUMMYFUNCTION("""COMPUTED_VALUE"""),2)</f>
        <v>2</v>
      </c>
      <c r="O1340" s="5" t="str">
        <f ca="1">IFERROR(__xludf.DUMMYFUNCTION("""COMPUTED_VALUE"""),"Winter")</f>
        <v>Winter</v>
      </c>
      <c r="P1340" s="5" t="str">
        <f ca="1">IFERROR(__xludf.DUMMYFUNCTION("""COMPUTED_VALUE"""),"Memphis")</f>
        <v>Memphis</v>
      </c>
      <c r="Q1340" s="5" t="str">
        <f ca="1">IFERROR(__xludf.DUMMYFUNCTION("""COMPUTED_VALUE"""),"TN")</f>
        <v>TN</v>
      </c>
      <c r="R1340" s="5" t="str">
        <f ca="1">IFERROR(__xludf.DUMMYFUNCTION("""COMPUTED_VALUE"""),"High")</f>
        <v>High</v>
      </c>
      <c r="S1340" s="5" t="str">
        <f ca="1">IFERROR(__xludf.DUMMYFUNCTION("""COMPUTED_VALUE"""),"Classroom")</f>
        <v>Classroom</v>
      </c>
      <c r="T1340" s="5" t="str">
        <f ca="1">IFERROR(__xludf.DUMMYFUNCTION("""COMPUTED_VALUE"""),"Inside School Building")</f>
        <v>Inside School Building</v>
      </c>
      <c r="U1340" s="5" t="str">
        <f ca="1">IFERROR(__xludf.DUMMYFUNCTION("""COMPUTED_VALUE"""),"Yes")</f>
        <v>Yes</v>
      </c>
      <c r="V1340" s="5" t="str">
        <f ca="1">IFERROR(__xludf.DUMMYFUNCTION("""COMPUTED_VALUE"""),"Morning Classes")</f>
        <v>Morning Classes</v>
      </c>
      <c r="W1340" s="10">
        <f ca="1">IFERROR(__xludf.DUMMYFUNCTION("""COMPUTED_VALUE"""),0.375)</f>
        <v>0.375</v>
      </c>
      <c r="X1340" s="5">
        <f ca="1">IFERROR(__xludf.DUMMYFUNCTION("""COMPUTED_VALUE"""),1)</f>
        <v>1</v>
      </c>
      <c r="Y1340" s="5" t="str">
        <f ca="1">IFERROR(__xludf.DUMMYFUNCTION("""COMPUTED_VALUE"""),"Prior argument with victim, handed gun to teacher after shooting")</f>
        <v>Prior argument with victim, handed gun to teacher after shooting</v>
      </c>
      <c r="Z1340" s="5" t="str">
        <f ca="1">IFERROR(__xludf.DUMMYFUNCTION("""COMPUTED_VALUE"""),"Suspect shot victim three times then handed gun to teacher and waited for police")</f>
        <v>Suspect shot victim three times then handed gun to teacher and waited for police</v>
      </c>
      <c r="AA1340" s="5" t="str">
        <f ca="1">IFERROR(__xludf.DUMMYFUNCTION("""COMPUTED_VALUE"""),"Escalation of Dispute")</f>
        <v>Escalation of Dispute</v>
      </c>
      <c r="AB1340" s="5" t="str">
        <f ca="1">IFERROR(__xludf.DUMMYFUNCTION("""COMPUTED_VALUE"""),"Victims Targeted")</f>
        <v>Victims Targeted</v>
      </c>
      <c r="AC1340" s="5" t="str">
        <f ca="1">IFERROR(__xludf.DUMMYFUNCTION("""COMPUTED_VALUE"""),"No")</f>
        <v>No</v>
      </c>
      <c r="AD1340" s="5" t="str">
        <f ca="1">IFERROR(__xludf.DUMMYFUNCTION("""COMPUTED_VALUE"""),"No")</f>
        <v>No</v>
      </c>
      <c r="AE1340" s="5" t="str">
        <f ca="1">IFERROR(__xludf.DUMMYFUNCTION("""COMPUTED_VALUE"""),"No")</f>
        <v>No</v>
      </c>
      <c r="AF1340" s="5" t="str">
        <f ca="1">IFERROR(__xludf.DUMMYFUNCTION("""COMPUTED_VALUE"""),"No")</f>
        <v>No</v>
      </c>
      <c r="AG1340" s="5"/>
      <c r="AH1340" s="5" t="str">
        <f ca="1">IFERROR(__xludf.DUMMYFUNCTION("""COMPUTED_VALUE"""),"No")</f>
        <v>No</v>
      </c>
      <c r="AI1340" s="5" t="str">
        <f ca="1">IFERROR(__xludf.DUMMYFUNCTION("""COMPUTED_VALUE"""),"No")</f>
        <v>No</v>
      </c>
      <c r="AJ1340" s="5"/>
    </row>
    <row r="1341" spans="1:36" ht="13">
      <c r="A1341" s="5" t="str">
        <f ca="1">IFERROR(__xludf.DUMMYFUNCTION("""COMPUTED_VALUE"""),"20080204TNHAM")</f>
        <v>20080204TNHAM</v>
      </c>
      <c r="B1341" s="5">
        <f ca="1">IFERROR(__xludf.DUMMYFUNCTION("""COMPUTED_VALUE"""),2)</f>
        <v>2</v>
      </c>
      <c r="C1341" s="5">
        <f ca="1">IFERROR(__xludf.DUMMYFUNCTION("""COMPUTED_VALUE"""),4)</f>
        <v>4</v>
      </c>
      <c r="D1341" s="5">
        <f ca="1">IFERROR(__xludf.DUMMYFUNCTION("""COMPUTED_VALUE"""),2008)</f>
        <v>2008</v>
      </c>
      <c r="E1341" s="8">
        <f ca="1">IFERROR(__xludf.DUMMYFUNCTION("""COMPUTED_VALUE"""),39482)</f>
        <v>39482</v>
      </c>
      <c r="F1341" s="5" t="str">
        <f ca="1">IFERROR(__xludf.DUMMYFUNCTION("""COMPUTED_VALUE"""),"Hamilton High School")</f>
        <v>Hamilton High School</v>
      </c>
      <c r="G1341" s="5">
        <f ca="1">IFERROR(__xludf.DUMMYFUNCTION("""COMPUTED_VALUE"""),0)</f>
        <v>0</v>
      </c>
      <c r="H1341" s="5">
        <f ca="1">IFERROR(__xludf.DUMMYFUNCTION("""COMPUTED_VALUE"""),1)</f>
        <v>1</v>
      </c>
      <c r="I1341" s="5">
        <f ca="1">IFERROR(__xludf.DUMMYFUNCTION("""COMPUTED_VALUE"""),1)</f>
        <v>1</v>
      </c>
      <c r="J1341" s="5">
        <f ca="1">IFERROR(__xludf.DUMMYFUNCTION("""COMPUTED_VALUE"""),0)</f>
        <v>0</v>
      </c>
      <c r="K1341" s="9" t="str">
        <f ca="1">IFERROR(__xludf.DUMMYFUNCTION("""COMPUTED_VALUE"""),"http://www.wmcactionnews5.com/story/7818497/police-investigate-shooting-inside-classroom-at-hamilton-high")</f>
        <v>http://www.wmcactionnews5.com/story/7818497/police-investigate-shooting-inside-classroom-at-hamilton-high</v>
      </c>
      <c r="L1341" s="5"/>
      <c r="M1341" s="5"/>
      <c r="N1341" s="5">
        <f ca="1">IFERROR(__xludf.DUMMYFUNCTION("""COMPUTED_VALUE"""),2)</f>
        <v>2</v>
      </c>
      <c r="O1341" s="5" t="str">
        <f ca="1">IFERROR(__xludf.DUMMYFUNCTION("""COMPUTED_VALUE"""),"Winter")</f>
        <v>Winter</v>
      </c>
      <c r="P1341" s="5" t="str">
        <f ca="1">IFERROR(__xludf.DUMMYFUNCTION("""COMPUTED_VALUE"""),"Memphis")</f>
        <v>Memphis</v>
      </c>
      <c r="Q1341" s="5" t="str">
        <f ca="1">IFERROR(__xludf.DUMMYFUNCTION("""COMPUTED_VALUE"""),"TN")</f>
        <v>TN</v>
      </c>
      <c r="R1341" s="5" t="str">
        <f ca="1">IFERROR(__xludf.DUMMYFUNCTION("""COMPUTED_VALUE"""),"High")</f>
        <v>High</v>
      </c>
      <c r="S1341" s="5" t="str">
        <f ca="1">IFERROR(__xludf.DUMMYFUNCTION("""COMPUTED_VALUE"""),"Classroom")</f>
        <v>Classroom</v>
      </c>
      <c r="T1341" s="5" t="str">
        <f ca="1">IFERROR(__xludf.DUMMYFUNCTION("""COMPUTED_VALUE"""),"Inside School Building")</f>
        <v>Inside School Building</v>
      </c>
      <c r="U1341" s="5" t="str">
        <f ca="1">IFERROR(__xludf.DUMMYFUNCTION("""COMPUTED_VALUE"""),"Yes")</f>
        <v>Yes</v>
      </c>
      <c r="V1341" s="5" t="str">
        <f ca="1">IFERROR(__xludf.DUMMYFUNCTION("""COMPUTED_VALUE"""),"Morning Classes")</f>
        <v>Morning Classes</v>
      </c>
      <c r="W1341" s="10">
        <f ca="1">IFERROR(__xludf.DUMMYFUNCTION("""COMPUTED_VALUE"""),0.416666666666666)</f>
        <v>0.41666666666666602</v>
      </c>
      <c r="X1341" s="5">
        <f ca="1">IFERROR(__xludf.DUMMYFUNCTION("""COMPUTED_VALUE"""),1)</f>
        <v>1</v>
      </c>
      <c r="Y1341" s="5" t="str">
        <f ca="1">IFERROR(__xludf.DUMMYFUNCTION("""COMPUTED_VALUE"""),"Argument over rap song")</f>
        <v>Argument over rap song</v>
      </c>
      <c r="Z1341" s="5" t="str">
        <f ca="1">IFERROR(__xludf.DUMMYFUNCTION("""COMPUTED_VALUE"""),"Shooter and victim got into a argument about a rap song during class. The shooter fired a handgun striking the victim in the leg (minor injuries). The shooter fled the scene. No other students were injured.")</f>
        <v>Shooter and victim got into a argument about a rap song during class. The shooter fired a handgun striking the victim in the leg (minor injuries). The shooter fled the scene. No other students were injured.</v>
      </c>
      <c r="AA1341" s="5" t="str">
        <f ca="1">IFERROR(__xludf.DUMMYFUNCTION("""COMPUTED_VALUE"""),"Escalation of Dispute")</f>
        <v>Escalation of Dispute</v>
      </c>
      <c r="AB1341" s="5" t="str">
        <f ca="1">IFERROR(__xludf.DUMMYFUNCTION("""COMPUTED_VALUE"""),"Victims Targeted")</f>
        <v>Victims Targeted</v>
      </c>
      <c r="AC1341" s="5"/>
      <c r="AD1341" s="5" t="str">
        <f ca="1">IFERROR(__xludf.DUMMYFUNCTION("""COMPUTED_VALUE"""),"No")</f>
        <v>No</v>
      </c>
      <c r="AE1341" s="5" t="str">
        <f ca="1">IFERROR(__xludf.DUMMYFUNCTION("""COMPUTED_VALUE"""),"No")</f>
        <v>No</v>
      </c>
      <c r="AF1341" s="5" t="str">
        <f ca="1">IFERROR(__xludf.DUMMYFUNCTION("""COMPUTED_VALUE"""),"No")</f>
        <v>No</v>
      </c>
      <c r="AG1341" s="5" t="str">
        <f ca="1">IFERROR(__xludf.DUMMYFUNCTION("""COMPUTED_VALUE"""),"No")</f>
        <v>No</v>
      </c>
      <c r="AH1341" s="5" t="str">
        <f ca="1">IFERROR(__xludf.DUMMYFUNCTION("""COMPUTED_VALUE"""),"No")</f>
        <v>No</v>
      </c>
      <c r="AI1341" s="5" t="str">
        <f ca="1">IFERROR(__xludf.DUMMYFUNCTION("""COMPUTED_VALUE"""),"No")</f>
        <v>No</v>
      </c>
      <c r="AJ1341" s="5"/>
    </row>
    <row r="1342" spans="1:36" ht="13">
      <c r="A1342" s="5" t="str">
        <f ca="1">IFERROR(__xludf.DUMMYFUNCTION("""COMPUTED_VALUE"""),"20071221CABAU")</f>
        <v>20071221CABAU</v>
      </c>
      <c r="B1342" s="5">
        <f ca="1">IFERROR(__xludf.DUMMYFUNCTION("""COMPUTED_VALUE"""),12)</f>
        <v>12</v>
      </c>
      <c r="C1342" s="5">
        <f ca="1">IFERROR(__xludf.DUMMYFUNCTION("""COMPUTED_VALUE"""),21)</f>
        <v>21</v>
      </c>
      <c r="D1342" s="5">
        <f ca="1">IFERROR(__xludf.DUMMYFUNCTION("""COMPUTED_VALUE"""),2007)</f>
        <v>2007</v>
      </c>
      <c r="E1342" s="8">
        <f ca="1">IFERROR(__xludf.DUMMYFUNCTION("""COMPUTED_VALUE"""),39437)</f>
        <v>39437</v>
      </c>
      <c r="F1342" s="5" t="str">
        <f ca="1">IFERROR(__xludf.DUMMYFUNCTION("""COMPUTED_VALUE"""),"Barnard-White Middle School")</f>
        <v>Barnard-White Middle School</v>
      </c>
      <c r="G1342" s="5">
        <f ca="1">IFERROR(__xludf.DUMMYFUNCTION("""COMPUTED_VALUE"""),1)</f>
        <v>1</v>
      </c>
      <c r="H1342" s="5">
        <f ca="1">IFERROR(__xludf.DUMMYFUNCTION("""COMPUTED_VALUE"""),0)</f>
        <v>0</v>
      </c>
      <c r="I1342" s="5">
        <f ca="1">IFERROR(__xludf.DUMMYFUNCTION("""COMPUTED_VALUE"""),1)</f>
        <v>1</v>
      </c>
      <c r="J1342" s="5">
        <f ca="1">IFERROR(__xludf.DUMMYFUNCTION("""COMPUTED_VALUE"""),0)</f>
        <v>0</v>
      </c>
      <c r="K1342" s="5" t="str">
        <f ca="1">IFERROR(__xludf.DUMMYFUNCTION("""COMPUTED_VALUE"""),"https://www.mercurynews.com/2015/12/04/union-city-reputed-gang-members-sentenced-for-killing-boy-14-over-racial-tensions/  https://patch.com/california/unioncity/six-plead-not-guilty-to-gunning-down-14-year-old-in-2007")</f>
        <v>https://www.mercurynews.com/2015/12/04/union-city-reputed-gang-members-sentenced-for-killing-boy-14-over-racial-tensions/  https://patch.com/california/unioncity/six-plead-not-guilty-to-gunning-down-14-year-old-in-2007</v>
      </c>
      <c r="L1342" s="5"/>
      <c r="M1342" s="5"/>
      <c r="N1342" s="5">
        <f ca="1">IFERROR(__xludf.DUMMYFUNCTION("""COMPUTED_VALUE"""),3)</f>
        <v>3</v>
      </c>
      <c r="O1342" s="5" t="str">
        <f ca="1">IFERROR(__xludf.DUMMYFUNCTION("""COMPUTED_VALUE"""),"Winter")</f>
        <v>Winter</v>
      </c>
      <c r="P1342" s="5" t="str">
        <f ca="1">IFERROR(__xludf.DUMMYFUNCTION("""COMPUTED_VALUE"""),"Union City")</f>
        <v>Union City</v>
      </c>
      <c r="Q1342" s="5" t="str">
        <f ca="1">IFERROR(__xludf.DUMMYFUNCTION("""COMPUTED_VALUE"""),"CA")</f>
        <v>CA</v>
      </c>
      <c r="R1342" s="5" t="str">
        <f ca="1">IFERROR(__xludf.DUMMYFUNCTION("""COMPUTED_VALUE"""),"Middle")</f>
        <v>Middle</v>
      </c>
      <c r="S1342" s="5" t="str">
        <f ca="1">IFERROR(__xludf.DUMMYFUNCTION("""COMPUTED_VALUE"""),"Outside on School Property")</f>
        <v>Outside on School Property</v>
      </c>
      <c r="T1342" s="5" t="str">
        <f ca="1">IFERROR(__xludf.DUMMYFUNCTION("""COMPUTED_VALUE"""),"Outside on School Property")</f>
        <v>Outside on School Property</v>
      </c>
      <c r="U1342" s="5" t="str">
        <f ca="1">IFERROR(__xludf.DUMMYFUNCTION("""COMPUTED_VALUE"""),"Yes")</f>
        <v>Yes</v>
      </c>
      <c r="V1342" s="5" t="str">
        <f ca="1">IFERROR(__xludf.DUMMYFUNCTION("""COMPUTED_VALUE"""),"After School")</f>
        <v>After School</v>
      </c>
      <c r="W1342" s="10">
        <f ca="1">IFERROR(__xludf.DUMMYFUNCTION("""COMPUTED_VALUE"""),0.638888888888888)</f>
        <v>0.63888888888888795</v>
      </c>
      <c r="X1342" s="5">
        <f ca="1">IFERROR(__xludf.DUMMYFUNCTION("""COMPUTED_VALUE"""),1)</f>
        <v>1</v>
      </c>
      <c r="Y1342" s="5" t="str">
        <f ca="1">IFERROR(__xludf.DUMMYFUNCTION("""COMPUTED_VALUE"""),"Bystander student hit during gang related shooting")</f>
        <v>Bystander student hit during gang related shooting</v>
      </c>
      <c r="Z1342" s="5" t="str">
        <f ca="1">IFERROR(__xludf.DUMMYFUNCTION("""COMPUTED_VALUE"""),"Ongoing dispute between black and latino gangs - group of black teens were spotted in Latino area - Latino gang members chased group of black teens - Member of latino gang shot at group several times hitting and killing 14 YO boy outside of middle school "&amp;"- 6 suspects later arrested and convicted.")</f>
        <v>Ongoing dispute between black and latino gangs - group of black teens were spotted in Latino area - Latino gang members chased group of black teens - Member of latino gang shot at group several times hitting and killing 14 YO boy outside of middle school - 6 suspects later arrested and convicted.</v>
      </c>
      <c r="AA1342" s="5" t="str">
        <f ca="1">IFERROR(__xludf.DUMMYFUNCTION("""COMPUTED_VALUE"""),"Escalation of Dispute")</f>
        <v>Escalation of Dispute</v>
      </c>
      <c r="AB1342" s="5" t="str">
        <f ca="1">IFERROR(__xludf.DUMMYFUNCTION("""COMPUTED_VALUE"""),"Random Shooting")</f>
        <v>Random Shooting</v>
      </c>
      <c r="AC1342" s="5" t="str">
        <f ca="1">IFERROR(__xludf.DUMMYFUNCTION("""COMPUTED_VALUE"""),"Yes")</f>
        <v>Yes</v>
      </c>
      <c r="AD1342" s="5" t="str">
        <f ca="1">IFERROR(__xludf.DUMMYFUNCTION("""COMPUTED_VALUE"""),"No")</f>
        <v>No</v>
      </c>
      <c r="AE1342" s="5" t="str">
        <f ca="1">IFERROR(__xludf.DUMMYFUNCTION("""COMPUTED_VALUE"""),"No")</f>
        <v>No</v>
      </c>
      <c r="AF1342" s="5" t="str">
        <f ca="1">IFERROR(__xludf.DUMMYFUNCTION("""COMPUTED_VALUE"""),"No")</f>
        <v>No</v>
      </c>
      <c r="AG1342" s="5" t="str">
        <f ca="1">IFERROR(__xludf.DUMMYFUNCTION("""COMPUTED_VALUE"""),"Yes")</f>
        <v>Yes</v>
      </c>
      <c r="AH1342" s="5" t="str">
        <f ca="1">IFERROR(__xludf.DUMMYFUNCTION("""COMPUTED_VALUE"""),"No")</f>
        <v>No</v>
      </c>
      <c r="AI1342" s="5" t="str">
        <f ca="1">IFERROR(__xludf.DUMMYFUNCTION("""COMPUTED_VALUE"""),"Yes")</f>
        <v>Yes</v>
      </c>
      <c r="AJ1342" s="5"/>
    </row>
    <row r="1343" spans="1:36" ht="13">
      <c r="A1343" s="5" t="str">
        <f ca="1">IFERROR(__xludf.DUMMYFUNCTION("""COMPUTED_VALUE"""),"20071126NYHOH")</f>
        <v>20071126NYHOH</v>
      </c>
      <c r="B1343" s="5">
        <f ca="1">IFERROR(__xludf.DUMMYFUNCTION("""COMPUTED_VALUE"""),11)</f>
        <v>11</v>
      </c>
      <c r="C1343" s="5">
        <f ca="1">IFERROR(__xludf.DUMMYFUNCTION("""COMPUTED_VALUE"""),26)</f>
        <v>26</v>
      </c>
      <c r="D1343" s="5">
        <f ca="1">IFERROR(__xludf.DUMMYFUNCTION("""COMPUTED_VALUE"""),2007)</f>
        <v>2007</v>
      </c>
      <c r="E1343" s="8">
        <f ca="1">IFERROR(__xludf.DUMMYFUNCTION("""COMPUTED_VALUE"""),39412)</f>
        <v>39412</v>
      </c>
      <c r="F1343" s="5" t="str">
        <f ca="1">IFERROR(__xludf.DUMMYFUNCTION("""COMPUTED_VALUE"""),"Holland Patent Central High School")</f>
        <v>Holland Patent Central High School</v>
      </c>
      <c r="G1343" s="5">
        <f ca="1">IFERROR(__xludf.DUMMYFUNCTION("""COMPUTED_VALUE"""),0)</f>
        <v>0</v>
      </c>
      <c r="H1343" s="5">
        <f ca="1">IFERROR(__xludf.DUMMYFUNCTION("""COMPUTED_VALUE"""),0)</f>
        <v>0</v>
      </c>
      <c r="I1343" s="5">
        <f ca="1">IFERROR(__xludf.DUMMYFUNCTION("""COMPUTED_VALUE"""),0)</f>
        <v>0</v>
      </c>
      <c r="J1343" s="5">
        <f ca="1">IFERROR(__xludf.DUMMYFUNCTION("""COMPUTED_VALUE"""),0)</f>
        <v>0</v>
      </c>
      <c r="K1343" s="9" t="str">
        <f ca="1">IFERROR(__xludf.DUMMYFUNCTION("""COMPUTED_VALUE"""),"http://www.uticaod.com/article/20071127/news/311279895")</f>
        <v>http://www.uticaod.com/article/20071127/news/311279895</v>
      </c>
      <c r="L1343" s="5"/>
      <c r="M1343" s="5"/>
      <c r="N1343" s="5">
        <f ca="1">IFERROR(__xludf.DUMMYFUNCTION("""COMPUTED_VALUE"""),2)</f>
        <v>2</v>
      </c>
      <c r="O1343" s="5" t="str">
        <f ca="1">IFERROR(__xludf.DUMMYFUNCTION("""COMPUTED_VALUE"""),"Fall")</f>
        <v>Fall</v>
      </c>
      <c r="P1343" s="5" t="str">
        <f ca="1">IFERROR(__xludf.DUMMYFUNCTION("""COMPUTED_VALUE"""),"Holland Patent")</f>
        <v>Holland Patent</v>
      </c>
      <c r="Q1343" s="5" t="str">
        <f ca="1">IFERROR(__xludf.DUMMYFUNCTION("""COMPUTED_VALUE"""),"NY")</f>
        <v>NY</v>
      </c>
      <c r="R1343" s="5" t="str">
        <f ca="1">IFERROR(__xludf.DUMMYFUNCTION("""COMPUTED_VALUE"""),"High")</f>
        <v>High</v>
      </c>
      <c r="S1343" s="5" t="str">
        <f ca="1">IFERROR(__xludf.DUMMYFUNCTION("""COMPUTED_VALUE"""),"School Bus")</f>
        <v>School Bus</v>
      </c>
      <c r="T1343" s="5" t="str">
        <f ca="1">IFERROR(__xludf.DUMMYFUNCTION("""COMPUTED_VALUE"""),"School Bus")</f>
        <v>School Bus</v>
      </c>
      <c r="U1343" s="5" t="str">
        <f ca="1">IFERROR(__xludf.DUMMYFUNCTION("""COMPUTED_VALUE"""),"Yes")</f>
        <v>Yes</v>
      </c>
      <c r="V1343" s="5" t="str">
        <f ca="1">IFERROR(__xludf.DUMMYFUNCTION("""COMPUTED_VALUE"""),"Morning Classes")</f>
        <v>Morning Classes</v>
      </c>
      <c r="W1343" s="10">
        <f ca="1">IFERROR(__xludf.DUMMYFUNCTION("""COMPUTED_VALUE"""),0.458333333333333)</f>
        <v>0.45833333333333298</v>
      </c>
      <c r="X1343" s="5">
        <f ca="1">IFERROR(__xludf.DUMMYFUNCTION("""COMPUTED_VALUE"""),1)</f>
        <v>1</v>
      </c>
      <c r="Y1343" s="5" t="str">
        <f ca="1">IFERROR(__xludf.DUMMYFUNCTION("""COMPUTED_VALUE"""),"Shooter and friend shot gun on bus at seat")</f>
        <v>Shooter and friend shot gun on bus at seat</v>
      </c>
      <c r="Z1343" s="5" t="str">
        <f ca="1">IFERROR(__xludf.DUMMYFUNCTION("""COMPUTED_VALUE"""),"Shooter and accomplice had just boarded school bus at school when accomplice shows shooter gun. Shooter takes gun, points it at front seat and pulls trigger. Gun goes off, bullet going between two students in forward seat and lodging in seat ahead of them"&amp;". Shooter and accomplice arrested and charged.")</f>
        <v>Shooter and accomplice had just boarded school bus at school when accomplice shows shooter gun. Shooter takes gun, points it at front seat and pulls trigger. Gun goes off, bullet going between two students in forward seat and lodging in seat ahead of them. Shooter and accomplice arrested and charged.</v>
      </c>
      <c r="AA1343" s="5" t="str">
        <f ca="1">IFERROR(__xludf.DUMMYFUNCTION("""COMPUTED_VALUE"""),"Intentional Property Damage")</f>
        <v>Intentional Property Damage</v>
      </c>
      <c r="AB1343" s="5"/>
      <c r="AC1343" s="5" t="str">
        <f ca="1">IFERROR(__xludf.DUMMYFUNCTION("""COMPUTED_VALUE"""),"Yes")</f>
        <v>Yes</v>
      </c>
      <c r="AD1343" s="5" t="str">
        <f ca="1">IFERROR(__xludf.DUMMYFUNCTION("""COMPUTED_VALUE"""),"No")</f>
        <v>No</v>
      </c>
      <c r="AE1343" s="5" t="str">
        <f ca="1">IFERROR(__xludf.DUMMYFUNCTION("""COMPUTED_VALUE"""),"No")</f>
        <v>No</v>
      </c>
      <c r="AF1343" s="5" t="str">
        <f ca="1">IFERROR(__xludf.DUMMYFUNCTION("""COMPUTED_VALUE"""),"No")</f>
        <v>No</v>
      </c>
      <c r="AG1343" s="5"/>
      <c r="AH1343" s="5"/>
      <c r="AI1343" s="5" t="str">
        <f ca="1">IFERROR(__xludf.DUMMYFUNCTION("""COMPUTED_VALUE"""),"No")</f>
        <v>No</v>
      </c>
      <c r="AJ1343" s="5"/>
    </row>
    <row r="1344" spans="1:36" ht="13">
      <c r="A1344" s="5" t="str">
        <f ca="1">IFERROR(__xludf.DUMMYFUNCTION("""COMPUTED_VALUE"""),"20071105LAJOR")</f>
        <v>20071105LAJOR</v>
      </c>
      <c r="B1344" s="5">
        <f ca="1">IFERROR(__xludf.DUMMYFUNCTION("""COMPUTED_VALUE"""),11)</f>
        <v>11</v>
      </c>
      <c r="C1344" s="5">
        <f ca="1">IFERROR(__xludf.DUMMYFUNCTION("""COMPUTED_VALUE"""),5)</f>
        <v>5</v>
      </c>
      <c r="D1344" s="5">
        <f ca="1">IFERROR(__xludf.DUMMYFUNCTION("""COMPUTED_VALUE"""),2007)</f>
        <v>2007</v>
      </c>
      <c r="E1344" s="8">
        <f ca="1">IFERROR(__xludf.DUMMYFUNCTION("""COMPUTED_VALUE"""),39391)</f>
        <v>39391</v>
      </c>
      <c r="F1344" s="5" t="str">
        <f ca="1">IFERROR(__xludf.DUMMYFUNCTION("""COMPUTED_VALUE"""),"John Curtis Christian School")</f>
        <v>John Curtis Christian School</v>
      </c>
      <c r="G1344" s="5">
        <f ca="1">IFERROR(__xludf.DUMMYFUNCTION("""COMPUTED_VALUE"""),0)</f>
        <v>0</v>
      </c>
      <c r="H1344" s="5">
        <f ca="1">IFERROR(__xludf.DUMMYFUNCTION("""COMPUTED_VALUE"""),0)</f>
        <v>0</v>
      </c>
      <c r="I1344" s="5">
        <f ca="1">IFERROR(__xludf.DUMMYFUNCTION("""COMPUTED_VALUE"""),0)</f>
        <v>0</v>
      </c>
      <c r="J1344" s="5">
        <f ca="1">IFERROR(__xludf.DUMMYFUNCTION("""COMPUTED_VALUE"""),1)</f>
        <v>1</v>
      </c>
      <c r="K1344" s="9" t="str">
        <f ca="1">IFERROR(__xludf.DUMMYFUNCTION("""COMPUTED_VALUE"""),"https://www.newspapers.com/image/432388038/?terms=student%2Bshot")</f>
        <v>https://www.newspapers.com/image/432388038/?terms=student%2Bshot</v>
      </c>
      <c r="L1344" s="5"/>
      <c r="M1344" s="5"/>
      <c r="N1344" s="5">
        <f ca="1">IFERROR(__xludf.DUMMYFUNCTION("""COMPUTED_VALUE"""),2)</f>
        <v>2</v>
      </c>
      <c r="O1344" s="5" t="str">
        <f ca="1">IFERROR(__xludf.DUMMYFUNCTION("""COMPUTED_VALUE"""),"Fall")</f>
        <v>Fall</v>
      </c>
      <c r="P1344" s="5" t="str">
        <f ca="1">IFERROR(__xludf.DUMMYFUNCTION("""COMPUTED_VALUE"""),"River Ridge")</f>
        <v>River Ridge</v>
      </c>
      <c r="Q1344" s="5" t="str">
        <f ca="1">IFERROR(__xludf.DUMMYFUNCTION("""COMPUTED_VALUE"""),"LA")</f>
        <v>LA</v>
      </c>
      <c r="R1344" s="5" t="str">
        <f ca="1">IFERROR(__xludf.DUMMYFUNCTION("""COMPUTED_VALUE"""),"K-12")</f>
        <v>K-12</v>
      </c>
      <c r="S1344" s="5" t="str">
        <f ca="1">IFERROR(__xludf.DUMMYFUNCTION("""COMPUTED_VALUE"""),"Inside School Building")</f>
        <v>Inside School Building</v>
      </c>
      <c r="T1344" s="5" t="str">
        <f ca="1">IFERROR(__xludf.DUMMYFUNCTION("""COMPUTED_VALUE"""),"Inside School Building")</f>
        <v>Inside School Building</v>
      </c>
      <c r="U1344" s="5" t="str">
        <f ca="1">IFERROR(__xludf.DUMMYFUNCTION("""COMPUTED_VALUE"""),"Yes")</f>
        <v>Yes</v>
      </c>
      <c r="V1344" s="5" t="str">
        <f ca="1">IFERROR(__xludf.DUMMYFUNCTION("""COMPUTED_VALUE"""),"Before School")</f>
        <v>Before School</v>
      </c>
      <c r="W1344" s="5"/>
      <c r="X1344" s="5">
        <f ca="1">IFERROR(__xludf.DUMMYFUNCTION("""COMPUTED_VALUE"""),1)</f>
        <v>1</v>
      </c>
      <c r="Y1344" s="5" t="str">
        <f ca="1">IFERROR(__xludf.DUMMYFUNCTION("""COMPUTED_VALUE"""),"Student shot self before class")</f>
        <v>Student shot self before class</v>
      </c>
      <c r="Z1344" s="5" t="str">
        <f ca="1">IFERROR(__xludf.DUMMYFUNCTION("""COMPUTED_VALUE"""),"13 year old boy shot himself before class - was put on life support. - no motive listed. student later died.")</f>
        <v>13 year old boy shot himself before class - was put on life support. - no motive listed. student later died.</v>
      </c>
      <c r="AA1344" s="5" t="str">
        <f ca="1">IFERROR(__xludf.DUMMYFUNCTION("""COMPUTED_VALUE"""),"Suicide/Attempted")</f>
        <v>Suicide/Attempted</v>
      </c>
      <c r="AB1344" s="5" t="str">
        <f ca="1">IFERROR(__xludf.DUMMYFUNCTION("""COMPUTED_VALUE"""),"Victims Targeted")</f>
        <v>Victims Targeted</v>
      </c>
      <c r="AC1344" s="5" t="str">
        <f ca="1">IFERROR(__xludf.DUMMYFUNCTION("""COMPUTED_VALUE"""),"No")</f>
        <v>No</v>
      </c>
      <c r="AD1344" s="5" t="str">
        <f ca="1">IFERROR(__xludf.DUMMYFUNCTION("""COMPUTED_VALUE"""),"No")</f>
        <v>No</v>
      </c>
      <c r="AE1344" s="5" t="str">
        <f ca="1">IFERROR(__xludf.DUMMYFUNCTION("""COMPUTED_VALUE"""),"No")</f>
        <v>No</v>
      </c>
      <c r="AF1344" s="5" t="str">
        <f ca="1">IFERROR(__xludf.DUMMYFUNCTION("""COMPUTED_VALUE"""),"No")</f>
        <v>No</v>
      </c>
      <c r="AG1344" s="5"/>
      <c r="AH1344" s="5"/>
      <c r="AI1344" s="5" t="str">
        <f ca="1">IFERROR(__xludf.DUMMYFUNCTION("""COMPUTED_VALUE"""),"No")</f>
        <v>No</v>
      </c>
      <c r="AJ1344" s="5"/>
    </row>
    <row r="1345" spans="1:36" ht="13">
      <c r="A1345" s="5" t="str">
        <f ca="1">IFERROR(__xludf.DUMMYFUNCTION("""COMPUTED_VALUE"""),"20071024TNMAM")</f>
        <v>20071024TNMAM</v>
      </c>
      <c r="B1345" s="5">
        <f ca="1">IFERROR(__xludf.DUMMYFUNCTION("""COMPUTED_VALUE"""),10)</f>
        <v>10</v>
      </c>
      <c r="C1345" s="5">
        <f ca="1">IFERROR(__xludf.DUMMYFUNCTION("""COMPUTED_VALUE"""),24)</f>
        <v>24</v>
      </c>
      <c r="D1345" s="5">
        <f ca="1">IFERROR(__xludf.DUMMYFUNCTION("""COMPUTED_VALUE"""),2007)</f>
        <v>2007</v>
      </c>
      <c r="E1345" s="8">
        <f ca="1">IFERROR(__xludf.DUMMYFUNCTION("""COMPUTED_VALUE"""),39379)</f>
        <v>39379</v>
      </c>
      <c r="F1345" s="5" t="str">
        <f ca="1">IFERROR(__xludf.DUMMYFUNCTION("""COMPUTED_VALUE"""),"Manassas High School")</f>
        <v>Manassas High School</v>
      </c>
      <c r="G1345" s="5">
        <f ca="1">IFERROR(__xludf.DUMMYFUNCTION("""COMPUTED_VALUE"""),0)</f>
        <v>0</v>
      </c>
      <c r="H1345" s="5">
        <f ca="1">IFERROR(__xludf.DUMMYFUNCTION("""COMPUTED_VALUE"""),1)</f>
        <v>1</v>
      </c>
      <c r="I1345" s="5">
        <f ca="1">IFERROR(__xludf.DUMMYFUNCTION("""COMPUTED_VALUE"""),1)</f>
        <v>1</v>
      </c>
      <c r="J1345" s="5">
        <f ca="1">IFERROR(__xludf.DUMMYFUNCTION("""COMPUTED_VALUE"""),0)</f>
        <v>0</v>
      </c>
      <c r="K1345" s="9" t="str">
        <f ca="1">IFERROR(__xludf.DUMMYFUNCTION("""COMPUTED_VALUE"""),"https://www.newspapers.com/image/282229204/?terms=markees%2Bsmith")</f>
        <v>https://www.newspapers.com/image/282229204/?terms=markees%2Bsmith</v>
      </c>
      <c r="L1345" s="5"/>
      <c r="M1345" s="5"/>
      <c r="N1345" s="5">
        <f ca="1">IFERROR(__xludf.DUMMYFUNCTION("""COMPUTED_VALUE"""),2)</f>
        <v>2</v>
      </c>
      <c r="O1345" s="5" t="str">
        <f ca="1">IFERROR(__xludf.DUMMYFUNCTION("""COMPUTED_VALUE"""),"Fall")</f>
        <v>Fall</v>
      </c>
      <c r="P1345" s="5" t="str">
        <f ca="1">IFERROR(__xludf.DUMMYFUNCTION("""COMPUTED_VALUE"""),"Memphis")</f>
        <v>Memphis</v>
      </c>
      <c r="Q1345" s="5" t="str">
        <f ca="1">IFERROR(__xludf.DUMMYFUNCTION("""COMPUTED_VALUE"""),"TN")</f>
        <v>TN</v>
      </c>
      <c r="R1345" s="5" t="str">
        <f ca="1">IFERROR(__xludf.DUMMYFUNCTION("""COMPUTED_VALUE"""),"High")</f>
        <v>High</v>
      </c>
      <c r="S1345" s="5" t="str">
        <f ca="1">IFERROR(__xludf.DUMMYFUNCTION("""COMPUTED_VALUE"""),"Hallway")</f>
        <v>Hallway</v>
      </c>
      <c r="T1345" s="5" t="str">
        <f ca="1">IFERROR(__xludf.DUMMYFUNCTION("""COMPUTED_VALUE"""),"Inside School Building")</f>
        <v>Inside School Building</v>
      </c>
      <c r="U1345" s="5" t="str">
        <f ca="1">IFERROR(__xludf.DUMMYFUNCTION("""COMPUTED_VALUE"""),"Yes")</f>
        <v>Yes</v>
      </c>
      <c r="V1345" s="5" t="str">
        <f ca="1">IFERROR(__xludf.DUMMYFUNCTION("""COMPUTED_VALUE"""),"Morning Classes")</f>
        <v>Morning Classes</v>
      </c>
      <c r="W1345" s="10">
        <f ca="1">IFERROR(__xludf.DUMMYFUNCTION("""COMPUTED_VALUE"""),0.364583333333333)</f>
        <v>0.36458333333333298</v>
      </c>
      <c r="X1345" s="5">
        <f ca="1">IFERROR(__xludf.DUMMYFUNCTION("""COMPUTED_VALUE"""),1)</f>
        <v>1</v>
      </c>
      <c r="Y1345" s="5" t="str">
        <f ca="1">IFERROR(__xludf.DUMMYFUNCTION("""COMPUTED_VALUE"""),"Accidental discharge while showing off gun")</f>
        <v>Accidental discharge while showing off gun</v>
      </c>
      <c r="Z1345" s="5" t="str">
        <f ca="1">IFERROR(__xludf.DUMMYFUNCTION("""COMPUTED_VALUE"""),"15 year old shooter brought gun to school to sell it - when showing it off, the gun accidentally went off striking a fellow student in the arm. Shooter arrested for aggravated assault")</f>
        <v>15 year old shooter brought gun to school to sell it - when showing it off, the gun accidentally went off striking a fellow student in the arm. Shooter arrested for aggravated assault</v>
      </c>
      <c r="AA1345" s="5" t="str">
        <f ca="1">IFERROR(__xludf.DUMMYFUNCTION("""COMPUTED_VALUE"""),"Accidental")</f>
        <v>Accidental</v>
      </c>
      <c r="AB1345" s="5" t="str">
        <f ca="1">IFERROR(__xludf.DUMMYFUNCTION("""COMPUTED_VALUE"""),"Random Shooting")</f>
        <v>Random Shooting</v>
      </c>
      <c r="AC1345" s="5" t="str">
        <f ca="1">IFERROR(__xludf.DUMMYFUNCTION("""COMPUTED_VALUE"""),"No")</f>
        <v>No</v>
      </c>
      <c r="AD1345" s="5" t="str">
        <f ca="1">IFERROR(__xludf.DUMMYFUNCTION("""COMPUTED_VALUE"""),"No")</f>
        <v>No</v>
      </c>
      <c r="AE1345" s="5" t="str">
        <f ca="1">IFERROR(__xludf.DUMMYFUNCTION("""COMPUTED_VALUE"""),"No")</f>
        <v>No</v>
      </c>
      <c r="AF1345" s="5" t="str">
        <f ca="1">IFERROR(__xludf.DUMMYFUNCTION("""COMPUTED_VALUE"""),"No")</f>
        <v>No</v>
      </c>
      <c r="AG1345" s="5" t="str">
        <f ca="1">IFERROR(__xludf.DUMMYFUNCTION("""COMPUTED_VALUE"""),"No")</f>
        <v>No</v>
      </c>
      <c r="AH1345" s="5" t="str">
        <f ca="1">IFERROR(__xludf.DUMMYFUNCTION("""COMPUTED_VALUE"""),"No")</f>
        <v>No</v>
      </c>
      <c r="AI1345" s="5" t="str">
        <f ca="1">IFERROR(__xludf.DUMMYFUNCTION("""COMPUTED_VALUE"""),"No")</f>
        <v>No</v>
      </c>
      <c r="AJ1345" s="5"/>
    </row>
    <row r="1346" spans="1:36" ht="13">
      <c r="A1346" s="5" t="str">
        <f ca="1">IFERROR(__xludf.DUMMYFUNCTION("""COMPUTED_VALUE"""),"20071010OHSUC")</f>
        <v>20071010OHSUC</v>
      </c>
      <c r="B1346" s="5">
        <f ca="1">IFERROR(__xludf.DUMMYFUNCTION("""COMPUTED_VALUE"""),10)</f>
        <v>10</v>
      </c>
      <c r="C1346" s="5">
        <f ca="1">IFERROR(__xludf.DUMMYFUNCTION("""COMPUTED_VALUE"""),10)</f>
        <v>10</v>
      </c>
      <c r="D1346" s="5">
        <f ca="1">IFERROR(__xludf.DUMMYFUNCTION("""COMPUTED_VALUE"""),2007)</f>
        <v>2007</v>
      </c>
      <c r="E1346" s="8">
        <f ca="1">IFERROR(__xludf.DUMMYFUNCTION("""COMPUTED_VALUE"""),39365)</f>
        <v>39365</v>
      </c>
      <c r="F1346" s="5" t="str">
        <f ca="1">IFERROR(__xludf.DUMMYFUNCTION("""COMPUTED_VALUE"""),"SuccessTech Academy")</f>
        <v>SuccessTech Academy</v>
      </c>
      <c r="G1346" s="5">
        <f ca="1">IFERROR(__xludf.DUMMYFUNCTION("""COMPUTED_VALUE"""),0)</f>
        <v>0</v>
      </c>
      <c r="H1346" s="5">
        <f ca="1">IFERROR(__xludf.DUMMYFUNCTION("""COMPUTED_VALUE"""),4)</f>
        <v>4</v>
      </c>
      <c r="I1346" s="5">
        <f ca="1">IFERROR(__xludf.DUMMYFUNCTION("""COMPUTED_VALUE"""),4)</f>
        <v>4</v>
      </c>
      <c r="J1346" s="5">
        <f ca="1">IFERROR(__xludf.DUMMYFUNCTION("""COMPUTED_VALUE"""),1)</f>
        <v>1</v>
      </c>
      <c r="K1346" s="5" t="str">
        <f ca="1">IFERROR(__xludf.DUMMYFUNCTION("""COMPUTED_VALUE"""),"http://www.cnn.com/2007/US/10/10/cleveland.shooting/ https://www.fbi.gov/file-repository/active-shooter-incidents-2000-2017.pdf")</f>
        <v>http://www.cnn.com/2007/US/10/10/cleveland.shooting/ https://www.fbi.gov/file-repository/active-shooter-incidents-2000-2017.pdf</v>
      </c>
      <c r="L1346" s="5"/>
      <c r="M1346" s="5"/>
      <c r="N1346" s="5">
        <f ca="1">IFERROR(__xludf.DUMMYFUNCTION("""COMPUTED_VALUE"""),5)</f>
        <v>5</v>
      </c>
      <c r="O1346" s="5" t="str">
        <f ca="1">IFERROR(__xludf.DUMMYFUNCTION("""COMPUTED_VALUE"""),"Fall")</f>
        <v>Fall</v>
      </c>
      <c r="P1346" s="5" t="str">
        <f ca="1">IFERROR(__xludf.DUMMYFUNCTION("""COMPUTED_VALUE"""),"Cleveland")</f>
        <v>Cleveland</v>
      </c>
      <c r="Q1346" s="5" t="str">
        <f ca="1">IFERROR(__xludf.DUMMYFUNCTION("""COMPUTED_VALUE"""),"OH")</f>
        <v>OH</v>
      </c>
      <c r="R1346" s="5" t="str">
        <f ca="1">IFERROR(__xludf.DUMMYFUNCTION("""COMPUTED_VALUE"""),"Other")</f>
        <v>Other</v>
      </c>
      <c r="S1346" s="5" t="str">
        <f ca="1">IFERROR(__xludf.DUMMYFUNCTION("""COMPUTED_VALUE"""),"Classroom")</f>
        <v>Classroom</v>
      </c>
      <c r="T1346" s="5" t="str">
        <f ca="1">IFERROR(__xludf.DUMMYFUNCTION("""COMPUTED_VALUE"""),"Inside School Building")</f>
        <v>Inside School Building</v>
      </c>
      <c r="U1346" s="5" t="str">
        <f ca="1">IFERROR(__xludf.DUMMYFUNCTION("""COMPUTED_VALUE"""),"Yes")</f>
        <v>Yes</v>
      </c>
      <c r="V1346" s="5" t="str">
        <f ca="1">IFERROR(__xludf.DUMMYFUNCTION("""COMPUTED_VALUE"""),"Afternoon Classes")</f>
        <v>Afternoon Classes</v>
      </c>
      <c r="W1346" s="10">
        <f ca="1">IFERROR(__xludf.DUMMYFUNCTION("""COMPUTED_VALUE"""),0.552083333333333)</f>
        <v>0.55208333333333304</v>
      </c>
      <c r="X1346" s="5"/>
      <c r="Y1346" s="5" t="str">
        <f ca="1">IFERROR(__xludf.DUMMYFUNCTION("""COMPUTED_VALUE"""),"Planned attack, recently suspended, targeted teacher then killed self")</f>
        <v>Planned attack, recently suspended, targeted teacher then killed self</v>
      </c>
      <c r="Z1346" s="5" t="str">
        <f ca="1">IFERROR(__xludf.DUMMYFUNCTION("""COMPUTED_VALUE"""),"Shooter had been suspended from school for fighting. Shooter had 2 handguns and a backpack with ammo and knives. He shot two teachers and two other students (likely hit in cross fire). Shooter walked into empty classroom and commit suicide. Police believe"&amp;"d the shooter had targeted specific victims. Parents reported the shooter was angry at the teachers because they would not listen to his side of the story about the fight. Other student described the shooter as odd and said he was frequently bullied for g"&amp;"othic appearance. He had previous domestic violence w/ weapon charge for incident at his house. Previous attempted suicide and spent time in mental health facility. Weapons: .22 caliber; .38 caliber")</f>
        <v>Shooter had been suspended from school for fighting. Shooter had 2 handguns and a backpack with ammo and knives. He shot two teachers and two other students (likely hit in cross fire). Shooter walked into empty classroom and commit suicide. Police believed the shooter had targeted specific victims. Parents reported the shooter was angry at the teachers because they would not listen to his side of the story about the fight. Other student described the shooter as odd and said he was frequently bullied for gothic appearance. He had previous domestic violence w/ weapon charge for incident at his house. Previous attempted suicide and spent time in mental health facility. Weapons: .22 caliber; .38 caliber</v>
      </c>
      <c r="AA1346" s="5" t="str">
        <f ca="1">IFERROR(__xludf.DUMMYFUNCTION("""COMPUTED_VALUE"""),"Anger Over Grade/Suspension/Discipline")</f>
        <v>Anger Over Grade/Suspension/Discipline</v>
      </c>
      <c r="AB1346" s="5" t="str">
        <f ca="1">IFERROR(__xludf.DUMMYFUNCTION("""COMPUTED_VALUE"""),"Victims Targeted")</f>
        <v>Victims Targeted</v>
      </c>
      <c r="AC1346" s="5" t="str">
        <f ca="1">IFERROR(__xludf.DUMMYFUNCTION("""COMPUTED_VALUE"""),"No")</f>
        <v>No</v>
      </c>
      <c r="AD1346" s="5" t="str">
        <f ca="1">IFERROR(__xludf.DUMMYFUNCTION("""COMPUTED_VALUE"""),"No")</f>
        <v>No</v>
      </c>
      <c r="AE1346" s="5" t="str">
        <f ca="1">IFERROR(__xludf.DUMMYFUNCTION("""COMPUTED_VALUE"""),"No")</f>
        <v>No</v>
      </c>
      <c r="AF1346" s="5" t="str">
        <f ca="1">IFERROR(__xludf.DUMMYFUNCTION("""COMPUTED_VALUE"""),"No")</f>
        <v>No</v>
      </c>
      <c r="AG1346" s="5" t="str">
        <f ca="1">IFERROR(__xludf.DUMMYFUNCTION("""COMPUTED_VALUE"""),"Yes")</f>
        <v>Yes</v>
      </c>
      <c r="AH1346" s="5" t="str">
        <f ca="1">IFERROR(__xludf.DUMMYFUNCTION("""COMPUTED_VALUE"""),"No")</f>
        <v>No</v>
      </c>
      <c r="AI1346" s="5" t="str">
        <f ca="1">IFERROR(__xludf.DUMMYFUNCTION("""COMPUTED_VALUE"""),"No")</f>
        <v>No</v>
      </c>
      <c r="AJ1346" s="5" t="str">
        <f ca="1">IFERROR(__xludf.DUMMYFUNCTION("""COMPUTED_VALUE"""),"Yes")</f>
        <v>Yes</v>
      </c>
    </row>
    <row r="1347" spans="1:36" ht="13">
      <c r="A1347" s="5" t="str">
        <f ca="1">IFERROR(__xludf.DUMMYFUNCTION("""COMPUTED_VALUE"""),"20071001CTPLM")</f>
        <v>20071001CTPLM</v>
      </c>
      <c r="B1347" s="5">
        <f ca="1">IFERROR(__xludf.DUMMYFUNCTION("""COMPUTED_VALUE"""),10)</f>
        <v>10</v>
      </c>
      <c r="C1347" s="5">
        <f ca="1">IFERROR(__xludf.DUMMYFUNCTION("""COMPUTED_VALUE"""),1)</f>
        <v>1</v>
      </c>
      <c r="D1347" s="5">
        <f ca="1">IFERROR(__xludf.DUMMYFUNCTION("""COMPUTED_VALUE"""),2007)</f>
        <v>2007</v>
      </c>
      <c r="E1347" s="8">
        <f ca="1">IFERROR(__xludf.DUMMYFUNCTION("""COMPUTED_VALUE"""),39356)</f>
        <v>39356</v>
      </c>
      <c r="F1347" s="5" t="str">
        <f ca="1">IFERROR(__xludf.DUMMYFUNCTION("""COMPUTED_VALUE"""),"Platt High School")</f>
        <v>Platt High School</v>
      </c>
      <c r="G1347" s="5">
        <f ca="1">IFERROR(__xludf.DUMMYFUNCTION("""COMPUTED_VALUE"""),0)</f>
        <v>0</v>
      </c>
      <c r="H1347" s="5">
        <f ca="1">IFERROR(__xludf.DUMMYFUNCTION("""COMPUTED_VALUE"""),1)</f>
        <v>1</v>
      </c>
      <c r="I1347" s="5">
        <f ca="1">IFERROR(__xludf.DUMMYFUNCTION("""COMPUTED_VALUE"""),1)</f>
        <v>1</v>
      </c>
      <c r="J1347" s="5">
        <f ca="1">IFERROR(__xludf.DUMMYFUNCTION("""COMPUTED_VALUE"""),0)</f>
        <v>0</v>
      </c>
      <c r="K1347" s="9" t="str">
        <f ca="1">IFERROR(__xludf.DUMMYFUNCTION("""COMPUTED_VALUE"""),"https://www.newspapers.com/image/243658015/?terms=student%2Bshot")</f>
        <v>https://www.newspapers.com/image/243658015/?terms=student%2Bshot</v>
      </c>
      <c r="L1347" s="5"/>
      <c r="M1347" s="5"/>
      <c r="N1347" s="5">
        <f ca="1">IFERROR(__xludf.DUMMYFUNCTION("""COMPUTED_VALUE"""),2)</f>
        <v>2</v>
      </c>
      <c r="O1347" s="5" t="str">
        <f ca="1">IFERROR(__xludf.DUMMYFUNCTION("""COMPUTED_VALUE"""),"Fall")</f>
        <v>Fall</v>
      </c>
      <c r="P1347" s="5" t="str">
        <f ca="1">IFERROR(__xludf.DUMMYFUNCTION("""COMPUTED_VALUE"""),"Meriden")</f>
        <v>Meriden</v>
      </c>
      <c r="Q1347" s="5" t="str">
        <f ca="1">IFERROR(__xludf.DUMMYFUNCTION("""COMPUTED_VALUE"""),"CT")</f>
        <v>CT</v>
      </c>
      <c r="R1347" s="5" t="str">
        <f ca="1">IFERROR(__xludf.DUMMYFUNCTION("""COMPUTED_VALUE"""),"High")</f>
        <v>High</v>
      </c>
      <c r="S1347" s="5" t="str">
        <f ca="1">IFERROR(__xludf.DUMMYFUNCTION("""COMPUTED_VALUE"""),"Outside on School Property")</f>
        <v>Outside on School Property</v>
      </c>
      <c r="T1347" s="5" t="str">
        <f ca="1">IFERROR(__xludf.DUMMYFUNCTION("""COMPUTED_VALUE"""),"Outside on School Property")</f>
        <v>Outside on School Property</v>
      </c>
      <c r="U1347" s="5" t="str">
        <f ca="1">IFERROR(__xludf.DUMMYFUNCTION("""COMPUTED_VALUE"""),"Yes")</f>
        <v>Yes</v>
      </c>
      <c r="V1347" s="5" t="str">
        <f ca="1">IFERROR(__xludf.DUMMYFUNCTION("""COMPUTED_VALUE"""),"Dismissal")</f>
        <v>Dismissal</v>
      </c>
      <c r="W1347" s="10">
        <f ca="1">IFERROR(__xludf.DUMMYFUNCTION("""COMPUTED_VALUE"""),0.576388888888888)</f>
        <v>0.57638888888888795</v>
      </c>
      <c r="X1347" s="5">
        <f ca="1">IFERROR(__xludf.DUMMYFUNCTION("""COMPUTED_VALUE"""),1)</f>
        <v>1</v>
      </c>
      <c r="Y1347" s="5" t="str">
        <f ca="1">IFERROR(__xludf.DUMMYFUNCTION("""COMPUTED_VALUE"""),"Shot another student with BB gun")</f>
        <v>Shot another student with BB gun</v>
      </c>
      <c r="Z1347" s="5" t="str">
        <f ca="1">IFERROR(__xludf.DUMMYFUNCTION("""COMPUTED_VALUE"""),"15 year old shooter shot 16 year old in stomach with a BB gun after school. SRO, teacher and assistant principal chased student and he was caught after SRO used taser.")</f>
        <v>15 year old shooter shot 16 year old in stomach with a BB gun after school. SRO, teacher and assistant principal chased student and he was caught after SRO used taser.</v>
      </c>
      <c r="AA1347" s="5" t="str">
        <f ca="1">IFERROR(__xludf.DUMMYFUNCTION("""COMPUTED_VALUE"""),"Escalation of Dispute")</f>
        <v>Escalation of Dispute</v>
      </c>
      <c r="AB1347" s="5" t="str">
        <f ca="1">IFERROR(__xludf.DUMMYFUNCTION("""COMPUTED_VALUE"""),"Victims Targeted")</f>
        <v>Victims Targeted</v>
      </c>
      <c r="AC1347" s="5" t="str">
        <f ca="1">IFERROR(__xludf.DUMMYFUNCTION("""COMPUTED_VALUE"""),"No")</f>
        <v>No</v>
      </c>
      <c r="AD1347" s="5" t="str">
        <f ca="1">IFERROR(__xludf.DUMMYFUNCTION("""COMPUTED_VALUE"""),"No")</f>
        <v>No</v>
      </c>
      <c r="AE1347" s="5" t="str">
        <f ca="1">IFERROR(__xludf.DUMMYFUNCTION("""COMPUTED_VALUE"""),"No")</f>
        <v>No</v>
      </c>
      <c r="AF1347" s="5" t="str">
        <f ca="1">IFERROR(__xludf.DUMMYFUNCTION("""COMPUTED_VALUE"""),"No")</f>
        <v>No</v>
      </c>
      <c r="AG1347" s="5"/>
      <c r="AH1347" s="5"/>
      <c r="AI1347" s="5"/>
      <c r="AJ1347" s="5"/>
    </row>
    <row r="1348" spans="1:36" ht="13">
      <c r="A1348" s="5" t="str">
        <f ca="1">IFERROR(__xludf.DUMMYFUNCTION("""COMPUTED_VALUE"""),"20070930AZSSP")</f>
        <v>20070930AZSSP</v>
      </c>
      <c r="B1348" s="5">
        <f ca="1">IFERROR(__xludf.DUMMYFUNCTION("""COMPUTED_VALUE"""),9)</f>
        <v>9</v>
      </c>
      <c r="C1348" s="5">
        <f ca="1">IFERROR(__xludf.DUMMYFUNCTION("""COMPUTED_VALUE"""),30)</f>
        <v>30</v>
      </c>
      <c r="D1348" s="5">
        <f ca="1">IFERROR(__xludf.DUMMYFUNCTION("""COMPUTED_VALUE"""),2007)</f>
        <v>2007</v>
      </c>
      <c r="E1348" s="8">
        <f ca="1">IFERROR(__xludf.DUMMYFUNCTION("""COMPUTED_VALUE"""),39355)</f>
        <v>39355</v>
      </c>
      <c r="F1348" s="5" t="str">
        <f ca="1">IFERROR(__xludf.DUMMYFUNCTION("""COMPUTED_VALUE"""),"S Simon and Jude Catholic School")</f>
        <v>S Simon and Jude Catholic School</v>
      </c>
      <c r="G1348" s="5">
        <f ca="1">IFERROR(__xludf.DUMMYFUNCTION("""COMPUTED_VALUE"""),0)</f>
        <v>0</v>
      </c>
      <c r="H1348" s="5">
        <f ca="1">IFERROR(__xludf.DUMMYFUNCTION("""COMPUTED_VALUE"""),2)</f>
        <v>2</v>
      </c>
      <c r="I1348" s="5">
        <f ca="1">IFERROR(__xludf.DUMMYFUNCTION("""COMPUTED_VALUE"""),2)</f>
        <v>2</v>
      </c>
      <c r="J1348" s="5">
        <f ca="1">IFERROR(__xludf.DUMMYFUNCTION("""COMPUTED_VALUE"""),0)</f>
        <v>0</v>
      </c>
      <c r="K1348" s="9" t="str">
        <f ca="1">IFERROR(__xludf.DUMMYFUNCTION("""COMPUTED_VALUE"""),"https://www.newspapers.com/image/126118804/?terms=SS%3E%2BSImon%2Band%2BJude%2BCatholic%2Bschool")</f>
        <v>https://www.newspapers.com/image/126118804/?terms=SS%3E%2BSImon%2Band%2BJude%2BCatholic%2Bschool</v>
      </c>
      <c r="L1348" s="5"/>
      <c r="M1348" s="5"/>
      <c r="N1348" s="5">
        <f ca="1">IFERROR(__xludf.DUMMYFUNCTION("""COMPUTED_VALUE"""),2)</f>
        <v>2</v>
      </c>
      <c r="O1348" s="5" t="str">
        <f ca="1">IFERROR(__xludf.DUMMYFUNCTION("""COMPUTED_VALUE"""),"Fall")</f>
        <v>Fall</v>
      </c>
      <c r="P1348" s="5" t="str">
        <f ca="1">IFERROR(__xludf.DUMMYFUNCTION("""COMPUTED_VALUE"""),"Phoenix")</f>
        <v>Phoenix</v>
      </c>
      <c r="Q1348" s="5" t="str">
        <f ca="1">IFERROR(__xludf.DUMMYFUNCTION("""COMPUTED_VALUE"""),"AZ")</f>
        <v>AZ</v>
      </c>
      <c r="R1348" s="5" t="str">
        <f ca="1">IFERROR(__xludf.DUMMYFUNCTION("""COMPUTED_VALUE"""),"K-8")</f>
        <v>K-8</v>
      </c>
      <c r="S1348" s="5" t="str">
        <f ca="1">IFERROR(__xludf.DUMMYFUNCTION("""COMPUTED_VALUE"""),"Parking Lot")</f>
        <v>Parking Lot</v>
      </c>
      <c r="T1348" s="5" t="str">
        <f ca="1">IFERROR(__xludf.DUMMYFUNCTION("""COMPUTED_VALUE"""),"Outside on School Property")</f>
        <v>Outside on School Property</v>
      </c>
      <c r="U1348" s="5" t="str">
        <f ca="1">IFERROR(__xludf.DUMMYFUNCTION("""COMPUTED_VALUE"""),"No")</f>
        <v>No</v>
      </c>
      <c r="V1348" s="5" t="str">
        <f ca="1">IFERROR(__xludf.DUMMYFUNCTION("""COMPUTED_VALUE"""),"Not a School Day")</f>
        <v>Not a School Day</v>
      </c>
      <c r="W1348" s="10">
        <f ca="1">IFERROR(__xludf.DUMMYFUNCTION("""COMPUTED_VALUE"""),0.900694444444444)</f>
        <v>0.90069444444444402</v>
      </c>
      <c r="X1348" s="5">
        <f ca="1">IFERROR(__xludf.DUMMYFUNCTION("""COMPUTED_VALUE"""),1)</f>
        <v>1</v>
      </c>
      <c r="Y1348" s="5" t="str">
        <f ca="1">IFERROR(__xludf.DUMMYFUNCTION("""COMPUTED_VALUE"""),"Escalation between two groups")</f>
        <v>Escalation between two groups</v>
      </c>
      <c r="Z1348" s="5" t="str">
        <f ca="1">IFERROR(__xludf.DUMMYFUNCTION("""COMPUTED_VALUE"""),"An altercation between two groups in the school parking lot resulted in shots being fired and two victims shot in the mouth. Shooter fled.")</f>
        <v>An altercation between two groups in the school parking lot resulted in shots being fired and two victims shot in the mouth. Shooter fled.</v>
      </c>
      <c r="AA1348" s="5" t="str">
        <f ca="1">IFERROR(__xludf.DUMMYFUNCTION("""COMPUTED_VALUE"""),"Escalation of Dispute")</f>
        <v>Escalation of Dispute</v>
      </c>
      <c r="AB1348" s="5"/>
      <c r="AC1348" s="5"/>
      <c r="AD1348" s="5" t="str">
        <f ca="1">IFERROR(__xludf.DUMMYFUNCTION("""COMPUTED_VALUE"""),"No")</f>
        <v>No</v>
      </c>
      <c r="AE1348" s="5" t="str">
        <f ca="1">IFERROR(__xludf.DUMMYFUNCTION("""COMPUTED_VALUE"""),"No")</f>
        <v>No</v>
      </c>
      <c r="AF1348" s="5" t="str">
        <f ca="1">IFERROR(__xludf.DUMMYFUNCTION("""COMPUTED_VALUE"""),"No")</f>
        <v>No</v>
      </c>
      <c r="AG1348" s="5"/>
      <c r="AH1348" s="5"/>
      <c r="AI1348" s="5" t="str">
        <f ca="1">IFERROR(__xludf.DUMMYFUNCTION("""COMPUTED_VALUE"""),"No")</f>
        <v>No</v>
      </c>
      <c r="AJ1348" s="5" t="str">
        <f ca="1">IFERROR(__xludf.DUMMYFUNCTION("""COMPUTED_VALUE"""),"No")</f>
        <v>No</v>
      </c>
    </row>
    <row r="1349" spans="1:36" ht="13">
      <c r="A1349" s="5" t="str">
        <f ca="1">IFERROR(__xludf.DUMMYFUNCTION("""COMPUTED_VALUE"""),"20070928CALAO")</f>
        <v>20070928CALAO</v>
      </c>
      <c r="B1349" s="5">
        <f ca="1">IFERROR(__xludf.DUMMYFUNCTION("""COMPUTED_VALUE"""),9)</f>
        <v>9</v>
      </c>
      <c r="C1349" s="5">
        <f ca="1">IFERROR(__xludf.DUMMYFUNCTION("""COMPUTED_VALUE"""),28)</f>
        <v>28</v>
      </c>
      <c r="D1349" s="5">
        <f ca="1">IFERROR(__xludf.DUMMYFUNCTION("""COMPUTED_VALUE"""),2007)</f>
        <v>2007</v>
      </c>
      <c r="E1349" s="8">
        <f ca="1">IFERROR(__xludf.DUMMYFUNCTION("""COMPUTED_VALUE"""),39353)</f>
        <v>39353</v>
      </c>
      <c r="F1349" s="5" t="str">
        <f ca="1">IFERROR(__xludf.DUMMYFUNCTION("""COMPUTED_VALUE"""),"Las Plumas High School")</f>
        <v>Las Plumas High School</v>
      </c>
      <c r="G1349" s="5">
        <f ca="1">IFERROR(__xludf.DUMMYFUNCTION("""COMPUTED_VALUE"""),0)</f>
        <v>0</v>
      </c>
      <c r="H1349" s="5">
        <f ca="1">IFERROR(__xludf.DUMMYFUNCTION("""COMPUTED_VALUE"""),0)</f>
        <v>0</v>
      </c>
      <c r="I1349" s="5">
        <f ca="1">IFERROR(__xludf.DUMMYFUNCTION("""COMPUTED_VALUE"""),0)</f>
        <v>0</v>
      </c>
      <c r="J1349" s="5">
        <f ca="1">IFERROR(__xludf.DUMMYFUNCTION("""COMPUTED_VALUE"""),0)</f>
        <v>0</v>
      </c>
      <c r="K1349" s="5" t="str">
        <f ca="1">IFERROR(__xludf.DUMMYFUNCTION("""COMPUTED_VALUE"""),"https://www.newspapers.com/image/196286439/?terms=student%2Bshot  https://www.newspapers.com/image/271178843/?terms=HOSTAGE https://www.newspapers.com/image/194245329/?terms=HOSTAGE  https://www.newspapers.com/image/334777799/?terms=HOSTAGE   https://www."&amp;"chicoer.com/2007/09/28/update-las-plumas-gunman-to-be-charged-with-attempted-murder/")</f>
        <v>https://www.newspapers.com/image/196286439/?terms=student%2Bshot  https://www.newspapers.com/image/271178843/?terms=HOSTAGE https://www.newspapers.com/image/194245329/?terms=HOSTAGE  https://www.newspapers.com/image/334777799/?terms=HOSTAGE   https://www.chicoer.com/2007/09/28/update-las-plumas-gunman-to-be-charged-with-attempted-murder/</v>
      </c>
      <c r="L1349" s="5"/>
      <c r="M1349" s="5"/>
      <c r="N1349" s="5">
        <f ca="1">IFERROR(__xludf.DUMMYFUNCTION("""COMPUTED_VALUE"""),3)</f>
        <v>3</v>
      </c>
      <c r="O1349" s="5" t="str">
        <f ca="1">IFERROR(__xludf.DUMMYFUNCTION("""COMPUTED_VALUE"""),"Fall")</f>
        <v>Fall</v>
      </c>
      <c r="P1349" s="5" t="str">
        <f ca="1">IFERROR(__xludf.DUMMYFUNCTION("""COMPUTED_VALUE"""),"Oroville")</f>
        <v>Oroville</v>
      </c>
      <c r="Q1349" s="5" t="str">
        <f ca="1">IFERROR(__xludf.DUMMYFUNCTION("""COMPUTED_VALUE"""),"CA")</f>
        <v>CA</v>
      </c>
      <c r="R1349" s="5" t="str">
        <f ca="1">IFERROR(__xludf.DUMMYFUNCTION("""COMPUTED_VALUE"""),"High")</f>
        <v>High</v>
      </c>
      <c r="S1349" s="5" t="str">
        <f ca="1">IFERROR(__xludf.DUMMYFUNCTION("""COMPUTED_VALUE"""),"Classroom")</f>
        <v>Classroom</v>
      </c>
      <c r="T1349" s="5" t="str">
        <f ca="1">IFERROR(__xludf.DUMMYFUNCTION("""COMPUTED_VALUE"""),"Inside School Building")</f>
        <v>Inside School Building</v>
      </c>
      <c r="U1349" s="5" t="str">
        <f ca="1">IFERROR(__xludf.DUMMYFUNCTION("""COMPUTED_VALUE"""),"Yes")</f>
        <v>Yes</v>
      </c>
      <c r="V1349" s="5" t="str">
        <f ca="1">IFERROR(__xludf.DUMMYFUNCTION("""COMPUTED_VALUE"""),"Morning Classes")</f>
        <v>Morning Classes</v>
      </c>
      <c r="W1349" s="10">
        <f ca="1">IFERROR(__xludf.DUMMYFUNCTION("""COMPUTED_VALUE"""),0.385416666666666)</f>
        <v>0.38541666666666602</v>
      </c>
      <c r="X1349" s="5">
        <f ca="1">IFERROR(__xludf.DUMMYFUNCTION("""COMPUTED_VALUE"""),60)</f>
        <v>60</v>
      </c>
      <c r="Y1349" s="5" t="str">
        <f ca="1">IFERROR(__xludf.DUMMYFUNCTION("""COMPUTED_VALUE"""),"Hostage situation - shooter held 3 students hostage - shot handgun twice - eventually surrendered.")</f>
        <v>Hostage situation - shooter held 3 students hostage - shot handgun twice - eventually surrendered.</v>
      </c>
      <c r="Z1349" s="5" t="str">
        <f ca="1">IFERROR(__xludf.DUMMYFUNCTION("""COMPUTED_VALUE"""),"Shooter fired two shots inside high school and took 30 students hostage before releasing most of them. He kept 3 girls hostage for an hour before surrendering. Possibly distraught over breakup with girlfriend the night before. Later reports were that shoo"&amp;"ter brought gun to school to kill romantic rival.")</f>
        <v>Shooter fired two shots inside high school and took 30 students hostage before releasing most of them. He kept 3 girls hostage for an hour before surrendering. Possibly distraught over breakup with girlfriend the night before. Later reports were that shooter brought gun to school to kill romantic rival.</v>
      </c>
      <c r="AA1349" s="5" t="str">
        <f ca="1">IFERROR(__xludf.DUMMYFUNCTION("""COMPUTED_VALUE"""),"Hostage/Standoff")</f>
        <v>Hostage/Standoff</v>
      </c>
      <c r="AB1349" s="5" t="str">
        <f ca="1">IFERROR(__xludf.DUMMYFUNCTION("""COMPUTED_VALUE"""),"NA")</f>
        <v>NA</v>
      </c>
      <c r="AC1349" s="5" t="str">
        <f ca="1">IFERROR(__xludf.DUMMYFUNCTION("""COMPUTED_VALUE"""),"No")</f>
        <v>No</v>
      </c>
      <c r="AD1349" s="5" t="str">
        <f ca="1">IFERROR(__xludf.DUMMYFUNCTION("""COMPUTED_VALUE"""),"Yes")</f>
        <v>Yes</v>
      </c>
      <c r="AE1349" s="5" t="str">
        <f ca="1">IFERROR(__xludf.DUMMYFUNCTION("""COMPUTED_VALUE"""),"Yes")</f>
        <v>Yes</v>
      </c>
      <c r="AF1349" s="5" t="str">
        <f ca="1">IFERROR(__xludf.DUMMYFUNCTION("""COMPUTED_VALUE"""),"No")</f>
        <v>No</v>
      </c>
      <c r="AG1349" s="5"/>
      <c r="AH1349" s="5" t="str">
        <f ca="1">IFERROR(__xludf.DUMMYFUNCTION("""COMPUTED_VALUE"""),"Yes")</f>
        <v>Yes</v>
      </c>
      <c r="AI1349" s="5" t="str">
        <f ca="1">IFERROR(__xludf.DUMMYFUNCTION("""COMPUTED_VALUE"""),"No")</f>
        <v>No</v>
      </c>
      <c r="AJ1349" s="5" t="str">
        <f ca="1">IFERROR(__xludf.DUMMYFUNCTION("""COMPUTED_VALUE"""),"Yes")</f>
        <v>Yes</v>
      </c>
    </row>
    <row r="1350" spans="1:36" ht="13">
      <c r="A1350" s="5" t="str">
        <f ca="1">IFERROR(__xludf.DUMMYFUNCTION("""COMPUTED_VALUE"""),"20070804NJMON")</f>
        <v>20070804NJMON</v>
      </c>
      <c r="B1350" s="5">
        <f ca="1">IFERROR(__xludf.DUMMYFUNCTION("""COMPUTED_VALUE"""),8)</f>
        <v>8</v>
      </c>
      <c r="C1350" s="5">
        <f ca="1">IFERROR(__xludf.DUMMYFUNCTION("""COMPUTED_VALUE"""),4)</f>
        <v>4</v>
      </c>
      <c r="D1350" s="5">
        <f ca="1">IFERROR(__xludf.DUMMYFUNCTION("""COMPUTED_VALUE"""),2007)</f>
        <v>2007</v>
      </c>
      <c r="E1350" s="8">
        <f ca="1">IFERROR(__xludf.DUMMYFUNCTION("""COMPUTED_VALUE"""),39298)</f>
        <v>39298</v>
      </c>
      <c r="F1350" s="5" t="str">
        <f ca="1">IFERROR(__xludf.DUMMYFUNCTION("""COMPUTED_VALUE"""),"Mount Vernon Elementary School")</f>
        <v>Mount Vernon Elementary School</v>
      </c>
      <c r="G1350" s="5">
        <f ca="1">IFERROR(__xludf.DUMMYFUNCTION("""COMPUTED_VALUE"""),3)</f>
        <v>3</v>
      </c>
      <c r="H1350" s="5">
        <f ca="1">IFERROR(__xludf.DUMMYFUNCTION("""COMPUTED_VALUE"""),1)</f>
        <v>1</v>
      </c>
      <c r="I1350" s="5">
        <f ca="1">IFERROR(__xludf.DUMMYFUNCTION("""COMPUTED_VALUE"""),4)</f>
        <v>4</v>
      </c>
      <c r="J1350" s="5">
        <f ca="1">IFERROR(__xludf.DUMMYFUNCTION("""COMPUTED_VALUE"""),0)</f>
        <v>0</v>
      </c>
      <c r="K1350" s="9" t="str">
        <f ca="1">IFERROR(__xludf.DUMMYFUNCTION("""COMPUTED_VALUE"""),"https://www.nj.com/news/index.ssf/2010/09/newark_schoolyard_slaying_susp_1.html")</f>
        <v>https://www.nj.com/news/index.ssf/2010/09/newark_schoolyard_slaying_susp_1.html</v>
      </c>
      <c r="L1350" s="5"/>
      <c r="M1350" s="5"/>
      <c r="N1350" s="5">
        <f ca="1">IFERROR(__xludf.DUMMYFUNCTION("""COMPUTED_VALUE"""),2)</f>
        <v>2</v>
      </c>
      <c r="O1350" s="5" t="str">
        <f ca="1">IFERROR(__xludf.DUMMYFUNCTION("""COMPUTED_VALUE"""),"Summer")</f>
        <v>Summer</v>
      </c>
      <c r="P1350" s="5" t="str">
        <f ca="1">IFERROR(__xludf.DUMMYFUNCTION("""COMPUTED_VALUE"""),"Newark")</f>
        <v>Newark</v>
      </c>
      <c r="Q1350" s="5" t="str">
        <f ca="1">IFERROR(__xludf.DUMMYFUNCTION("""COMPUTED_VALUE"""),"NJ")</f>
        <v>NJ</v>
      </c>
      <c r="R1350" s="5" t="str">
        <f ca="1">IFERROR(__xludf.DUMMYFUNCTION("""COMPUTED_VALUE"""),"High")</f>
        <v>High</v>
      </c>
      <c r="S1350" s="5" t="str">
        <f ca="1">IFERROR(__xludf.DUMMYFUNCTION("""COMPUTED_VALUE"""),"Front of School")</f>
        <v>Front of School</v>
      </c>
      <c r="T1350" s="5" t="str">
        <f ca="1">IFERROR(__xludf.DUMMYFUNCTION("""COMPUTED_VALUE"""),"Outside on School Property")</f>
        <v>Outside on School Property</v>
      </c>
      <c r="U1350" s="5" t="str">
        <f ca="1">IFERROR(__xludf.DUMMYFUNCTION("""COMPUTED_VALUE"""),"No")</f>
        <v>No</v>
      </c>
      <c r="V1350" s="5" t="str">
        <f ca="1">IFERROR(__xludf.DUMMYFUNCTION("""COMPUTED_VALUE"""),"Not a School Day")</f>
        <v>Not a School Day</v>
      </c>
      <c r="W1350" s="5"/>
      <c r="X1350" s="5"/>
      <c r="Y1350" s="5" t="str">
        <f ca="1">IFERROR(__xludf.DUMMYFUNCTION("""COMPUTED_VALUE"""),"Shot 4 friends at school, MS-13 directed shooting")</f>
        <v>Shot 4 friends at school, MS-13 directed shooting</v>
      </c>
      <c r="Z1350" s="5" t="str">
        <f ca="1">IFERROR(__xludf.DUMMYFUNCTION("""COMPUTED_VALUE"""),"18 YOM was directed by MS-13 gang members to kill 4 friends sitting outside of the school.")</f>
        <v>18 YOM was directed by MS-13 gang members to kill 4 friends sitting outside of the school.</v>
      </c>
      <c r="AA1350" s="5" t="str">
        <f ca="1">IFERROR(__xludf.DUMMYFUNCTION("""COMPUTED_VALUE"""),"Illegal Activity")</f>
        <v>Illegal Activity</v>
      </c>
      <c r="AB1350" s="5" t="str">
        <f ca="1">IFERROR(__xludf.DUMMYFUNCTION("""COMPUTED_VALUE"""),"Victims Targeted")</f>
        <v>Victims Targeted</v>
      </c>
      <c r="AC1350" s="5" t="str">
        <f ca="1">IFERROR(__xludf.DUMMYFUNCTION("""COMPUTED_VALUE"""),"No")</f>
        <v>No</v>
      </c>
      <c r="AD1350" s="5" t="str">
        <f ca="1">IFERROR(__xludf.DUMMYFUNCTION("""COMPUTED_VALUE"""),"No")</f>
        <v>No</v>
      </c>
      <c r="AE1350" s="5" t="str">
        <f ca="1">IFERROR(__xludf.DUMMYFUNCTION("""COMPUTED_VALUE"""),"No")</f>
        <v>No</v>
      </c>
      <c r="AF1350" s="5" t="str">
        <f ca="1">IFERROR(__xludf.DUMMYFUNCTION("""COMPUTED_VALUE"""),"No")</f>
        <v>No</v>
      </c>
      <c r="AG1350" s="5" t="str">
        <f ca="1">IFERROR(__xludf.DUMMYFUNCTION("""COMPUTED_VALUE"""),"No")</f>
        <v>No</v>
      </c>
      <c r="AH1350" s="5" t="str">
        <f ca="1">IFERROR(__xludf.DUMMYFUNCTION("""COMPUTED_VALUE"""),"No")</f>
        <v>No</v>
      </c>
      <c r="AI1350" s="5" t="str">
        <f ca="1">IFERROR(__xludf.DUMMYFUNCTION("""COMPUTED_VALUE"""),"Yes")</f>
        <v>Yes</v>
      </c>
      <c r="AJ1350" s="5"/>
    </row>
    <row r="1351" spans="1:36" ht="13">
      <c r="A1351" s="5" t="str">
        <f ca="1">IFERROR(__xludf.DUMMYFUNCTION("""COMPUTED_VALUE"""),"20070709ILCAC")</f>
        <v>20070709ILCAC</v>
      </c>
      <c r="B1351" s="5">
        <f ca="1">IFERROR(__xludf.DUMMYFUNCTION("""COMPUTED_VALUE"""),7)</f>
        <v>7</v>
      </c>
      <c r="C1351" s="5">
        <f ca="1">IFERROR(__xludf.DUMMYFUNCTION("""COMPUTED_VALUE"""),9)</f>
        <v>9</v>
      </c>
      <c r="D1351" s="5">
        <f ca="1">IFERROR(__xludf.DUMMYFUNCTION("""COMPUTED_VALUE"""),2007)</f>
        <v>2007</v>
      </c>
      <c r="E1351" s="8">
        <f ca="1">IFERROR(__xludf.DUMMYFUNCTION("""COMPUTED_VALUE"""),39272)</f>
        <v>39272</v>
      </c>
      <c r="F1351" s="5" t="str">
        <f ca="1">IFERROR(__xludf.DUMMYFUNCTION("""COMPUTED_VALUE"""),"Carter G. Woodson Elementary School")</f>
        <v>Carter G. Woodson Elementary School</v>
      </c>
      <c r="G1351" s="5">
        <f ca="1">IFERROR(__xludf.DUMMYFUNCTION("""COMPUTED_VALUE"""),0)</f>
        <v>0</v>
      </c>
      <c r="H1351" s="5">
        <f ca="1">IFERROR(__xludf.DUMMYFUNCTION("""COMPUTED_VALUE"""),2)</f>
        <v>2</v>
      </c>
      <c r="I1351" s="5">
        <f ca="1">IFERROR(__xludf.DUMMYFUNCTION("""COMPUTED_VALUE"""),2)</f>
        <v>2</v>
      </c>
      <c r="J1351" s="5">
        <f ca="1">IFERROR(__xludf.DUMMYFUNCTION("""COMPUTED_VALUE"""),0)</f>
        <v>0</v>
      </c>
      <c r="K1351" s="9" t="str">
        <f ca="1">IFERROR(__xludf.DUMMYFUNCTION("""COMPUTED_VALUE"""),"https://www.columbine-angels.com/School_Violence_2006-2007.htm")</f>
        <v>https://www.columbine-angels.com/School_Violence_2006-2007.htm</v>
      </c>
      <c r="L1351" s="5"/>
      <c r="M1351" s="5"/>
      <c r="N1351" s="5">
        <f ca="1">IFERROR(__xludf.DUMMYFUNCTION("""COMPUTED_VALUE"""),1)</f>
        <v>1</v>
      </c>
      <c r="O1351" s="5" t="str">
        <f ca="1">IFERROR(__xludf.DUMMYFUNCTION("""COMPUTED_VALUE"""),"Summer")</f>
        <v>Summer</v>
      </c>
      <c r="P1351" s="5" t="str">
        <f ca="1">IFERROR(__xludf.DUMMYFUNCTION("""COMPUTED_VALUE"""),"Chicago")</f>
        <v>Chicago</v>
      </c>
      <c r="Q1351" s="5" t="str">
        <f ca="1">IFERROR(__xludf.DUMMYFUNCTION("""COMPUTED_VALUE"""),"IL")</f>
        <v>IL</v>
      </c>
      <c r="R1351" s="5" t="str">
        <f ca="1">IFERROR(__xludf.DUMMYFUNCTION("""COMPUTED_VALUE"""),"Elementary")</f>
        <v>Elementary</v>
      </c>
      <c r="S1351" s="5" t="str">
        <f ca="1">IFERROR(__xludf.DUMMYFUNCTION("""COMPUTED_VALUE"""),"Front of School")</f>
        <v>Front of School</v>
      </c>
      <c r="T1351" s="5" t="str">
        <f ca="1">IFERROR(__xludf.DUMMYFUNCTION("""COMPUTED_VALUE"""),"Outside on School Property")</f>
        <v>Outside on School Property</v>
      </c>
      <c r="U1351" s="5" t="str">
        <f ca="1">IFERROR(__xludf.DUMMYFUNCTION("""COMPUTED_VALUE"""),"No")</f>
        <v>No</v>
      </c>
      <c r="V1351" s="5" t="str">
        <f ca="1">IFERROR(__xludf.DUMMYFUNCTION("""COMPUTED_VALUE"""),"Not a School Day")</f>
        <v>Not a School Day</v>
      </c>
      <c r="W1351" s="10">
        <f ca="1">IFERROR(__xludf.DUMMYFUNCTION("""COMPUTED_VALUE"""),0.569444444444444)</f>
        <v>0.56944444444444398</v>
      </c>
      <c r="X1351" s="5">
        <f ca="1">IFERROR(__xludf.DUMMYFUNCTION("""COMPUTED_VALUE"""),1)</f>
        <v>1</v>
      </c>
      <c r="Y1351" s="5" t="str">
        <f ca="1">IFERROR(__xludf.DUMMYFUNCTION("""COMPUTED_VALUE"""),"Drive-by outside of school")</f>
        <v>Drive-by outside of school</v>
      </c>
      <c r="Z1351" s="5" t="str">
        <f ca="1">IFERROR(__xludf.DUMMYFUNCTION("""COMPUTED_VALUE"""),"14YOM and 15YOM non-students were shot during drive-by outside of school. Details unknown.")</f>
        <v>14YOM and 15YOM non-students were shot during drive-by outside of school. Details unknown.</v>
      </c>
      <c r="AA1351" s="5" t="str">
        <f ca="1">IFERROR(__xludf.DUMMYFUNCTION("""COMPUTED_VALUE"""),"Drive-by Shooting")</f>
        <v>Drive-by Shooting</v>
      </c>
      <c r="AB1351" s="5"/>
      <c r="AC1351" s="5" t="str">
        <f ca="1">IFERROR(__xludf.DUMMYFUNCTION("""COMPUTED_VALUE"""),"Yes")</f>
        <v>Yes</v>
      </c>
      <c r="AD1351" s="5" t="str">
        <f ca="1">IFERROR(__xludf.DUMMYFUNCTION("""COMPUTED_VALUE"""),"No")</f>
        <v>No</v>
      </c>
      <c r="AE1351" s="5" t="str">
        <f ca="1">IFERROR(__xludf.DUMMYFUNCTION("""COMPUTED_VALUE"""),"No")</f>
        <v>No</v>
      </c>
      <c r="AF1351" s="5" t="str">
        <f ca="1">IFERROR(__xludf.DUMMYFUNCTION("""COMPUTED_VALUE"""),"No")</f>
        <v>No</v>
      </c>
      <c r="AG1351" s="5" t="str">
        <f ca="1">IFERROR(__xludf.DUMMYFUNCTION("""COMPUTED_VALUE"""),"No")</f>
        <v>No</v>
      </c>
      <c r="AH1351" s="5" t="str">
        <f ca="1">IFERROR(__xludf.DUMMYFUNCTION("""COMPUTED_VALUE"""),"No")</f>
        <v>No</v>
      </c>
      <c r="AI1351" s="5" t="str">
        <f ca="1">IFERROR(__xludf.DUMMYFUNCTION("""COMPUTED_VALUE"""),"Yes")</f>
        <v>Yes</v>
      </c>
      <c r="AJ1351" s="5"/>
    </row>
    <row r="1352" spans="1:36" ht="13">
      <c r="A1352" s="5" t="str">
        <f ca="1">IFERROR(__xludf.DUMMYFUNCTION("""COMPUTED_VALUE"""),"20070628TXDAD")</f>
        <v>20070628TXDAD</v>
      </c>
      <c r="B1352" s="5">
        <f ca="1">IFERROR(__xludf.DUMMYFUNCTION("""COMPUTED_VALUE"""),6)</f>
        <v>6</v>
      </c>
      <c r="C1352" s="5">
        <f ca="1">IFERROR(__xludf.DUMMYFUNCTION("""COMPUTED_VALUE"""),28)</f>
        <v>28</v>
      </c>
      <c r="D1352" s="5">
        <f ca="1">IFERROR(__xludf.DUMMYFUNCTION("""COMPUTED_VALUE"""),2007)</f>
        <v>2007</v>
      </c>
      <c r="E1352" s="8">
        <f ca="1">IFERROR(__xludf.DUMMYFUNCTION("""COMPUTED_VALUE"""),39261)</f>
        <v>39261</v>
      </c>
      <c r="F1352" s="5" t="str">
        <f ca="1">IFERROR(__xludf.DUMMYFUNCTION("""COMPUTED_VALUE"""),"David W. Carter High School")</f>
        <v>David W. Carter High School</v>
      </c>
      <c r="G1352" s="5">
        <f ca="1">IFERROR(__xludf.DUMMYFUNCTION("""COMPUTED_VALUE"""),0)</f>
        <v>0</v>
      </c>
      <c r="H1352" s="5">
        <f ca="1">IFERROR(__xludf.DUMMYFUNCTION("""COMPUTED_VALUE"""),2)</f>
        <v>2</v>
      </c>
      <c r="I1352" s="5">
        <f ca="1">IFERROR(__xludf.DUMMYFUNCTION("""COMPUTED_VALUE"""),2)</f>
        <v>2</v>
      </c>
      <c r="J1352" s="5">
        <f ca="1">IFERROR(__xludf.DUMMYFUNCTION("""COMPUTED_VALUE"""),0)</f>
        <v>0</v>
      </c>
      <c r="K1352" s="9" t="str">
        <f ca="1">IFERROR(__xludf.DUMMYFUNCTION("""COMPUTED_VALUE"""),"https://www.pressreader.com/usa/the-dallas-morning-news/20070629/282364035265089")</f>
        <v>https://www.pressreader.com/usa/the-dallas-morning-news/20070629/282364035265089</v>
      </c>
      <c r="L1352" s="5"/>
      <c r="M1352" s="5"/>
      <c r="N1352" s="5">
        <f ca="1">IFERROR(__xludf.DUMMYFUNCTION("""COMPUTED_VALUE"""),2)</f>
        <v>2</v>
      </c>
      <c r="O1352" s="5" t="str">
        <f ca="1">IFERROR(__xludf.DUMMYFUNCTION("""COMPUTED_VALUE"""),"Summer")</f>
        <v>Summer</v>
      </c>
      <c r="P1352" s="5" t="str">
        <f ca="1">IFERROR(__xludf.DUMMYFUNCTION("""COMPUTED_VALUE"""),"Dallas")</f>
        <v>Dallas</v>
      </c>
      <c r="Q1352" s="5" t="str">
        <f ca="1">IFERROR(__xludf.DUMMYFUNCTION("""COMPUTED_VALUE"""),"TX")</f>
        <v>TX</v>
      </c>
      <c r="R1352" s="5" t="str">
        <f ca="1">IFERROR(__xludf.DUMMYFUNCTION("""COMPUTED_VALUE"""),"High")</f>
        <v>High</v>
      </c>
      <c r="S1352" s="5" t="str">
        <f ca="1">IFERROR(__xludf.DUMMYFUNCTION("""COMPUTED_VALUE"""),"Parking Lot")</f>
        <v>Parking Lot</v>
      </c>
      <c r="T1352" s="5" t="str">
        <f ca="1">IFERROR(__xludf.DUMMYFUNCTION("""COMPUTED_VALUE"""),"Outside on School Property")</f>
        <v>Outside on School Property</v>
      </c>
      <c r="U1352" s="5" t="str">
        <f ca="1">IFERROR(__xludf.DUMMYFUNCTION("""COMPUTED_VALUE"""),"Yes")</f>
        <v>Yes</v>
      </c>
      <c r="V1352" s="5" t="str">
        <f ca="1">IFERROR(__xludf.DUMMYFUNCTION("""COMPUTED_VALUE"""),"Lunch")</f>
        <v>Lunch</v>
      </c>
      <c r="W1352" s="10">
        <f ca="1">IFERROR(__xludf.DUMMYFUNCTION("""COMPUTED_VALUE"""),0.5)</f>
        <v>0.5</v>
      </c>
      <c r="X1352" s="5">
        <f ca="1">IFERROR(__xludf.DUMMYFUNCTION("""COMPUTED_VALUE"""),1)</f>
        <v>1</v>
      </c>
      <c r="Y1352" s="5" t="str">
        <f ca="1">IFERROR(__xludf.DUMMYFUNCTION("""COMPUTED_VALUE"""),"Rival gang members fired a 3 students in parking lot")</f>
        <v>Rival gang members fired a 3 students in parking lot</v>
      </c>
      <c r="Z1352" s="5" t="str">
        <f ca="1">IFERROR(__xludf.DUMMYFUNCTION("""COMPUTED_VALUE"""),"2 gang members in a vehicle fired at 3 students who were members of a rival gang in the parking lot")</f>
        <v>2 gang members in a vehicle fired at 3 students who were members of a rival gang in the parking lot</v>
      </c>
      <c r="AA1352" s="5" t="str">
        <f ca="1">IFERROR(__xludf.DUMMYFUNCTION("""COMPUTED_VALUE"""),"Drive-by Shooting")</f>
        <v>Drive-by Shooting</v>
      </c>
      <c r="AB1352" s="5" t="str">
        <f ca="1">IFERROR(__xludf.DUMMYFUNCTION("""COMPUTED_VALUE"""),"Victims Targeted")</f>
        <v>Victims Targeted</v>
      </c>
      <c r="AC1352" s="5" t="str">
        <f ca="1">IFERROR(__xludf.DUMMYFUNCTION("""COMPUTED_VALUE"""),"Yes")</f>
        <v>Yes</v>
      </c>
      <c r="AD1352" s="5" t="str">
        <f ca="1">IFERROR(__xludf.DUMMYFUNCTION("""COMPUTED_VALUE"""),"No")</f>
        <v>No</v>
      </c>
      <c r="AE1352" s="5" t="str">
        <f ca="1">IFERROR(__xludf.DUMMYFUNCTION("""COMPUTED_VALUE"""),"No")</f>
        <v>No</v>
      </c>
      <c r="AF1352" s="5" t="str">
        <f ca="1">IFERROR(__xludf.DUMMYFUNCTION("""COMPUTED_VALUE"""),"No")</f>
        <v>No</v>
      </c>
      <c r="AG1352" s="5" t="str">
        <f ca="1">IFERROR(__xludf.DUMMYFUNCTION("""COMPUTED_VALUE"""),"No")</f>
        <v>No</v>
      </c>
      <c r="AH1352" s="5" t="str">
        <f ca="1">IFERROR(__xludf.DUMMYFUNCTION("""COMPUTED_VALUE"""),"No")</f>
        <v>No</v>
      </c>
      <c r="AI1352" s="5" t="str">
        <f ca="1">IFERROR(__xludf.DUMMYFUNCTION("""COMPUTED_VALUE"""),"Yes")</f>
        <v>Yes</v>
      </c>
      <c r="AJ1352" s="5"/>
    </row>
    <row r="1353" spans="1:36" ht="13">
      <c r="A1353" s="5" t="str">
        <f ca="1">IFERROR(__xludf.DUMMYFUNCTION("""COMPUTED_VALUE"""),"20070617SCBRB")</f>
        <v>20070617SCBRB</v>
      </c>
      <c r="B1353" s="5">
        <f ca="1">IFERROR(__xludf.DUMMYFUNCTION("""COMPUTED_VALUE"""),6)</f>
        <v>6</v>
      </c>
      <c r="C1353" s="5">
        <f ca="1">IFERROR(__xludf.DUMMYFUNCTION("""COMPUTED_VALUE"""),17)</f>
        <v>17</v>
      </c>
      <c r="D1353" s="5">
        <f ca="1">IFERROR(__xludf.DUMMYFUNCTION("""COMPUTED_VALUE"""),2007)</f>
        <v>2007</v>
      </c>
      <c r="E1353" s="8">
        <f ca="1">IFERROR(__xludf.DUMMYFUNCTION("""COMPUTED_VALUE"""),39250)</f>
        <v>39250</v>
      </c>
      <c r="F1353" s="5" t="str">
        <f ca="1">IFERROR(__xludf.DUMMYFUNCTION("""COMPUTED_VALUE"""),"Broad River Elementary School")</f>
        <v>Broad River Elementary School</v>
      </c>
      <c r="G1353" s="5">
        <f ca="1">IFERROR(__xludf.DUMMYFUNCTION("""COMPUTED_VALUE"""),0)</f>
        <v>0</v>
      </c>
      <c r="H1353" s="5">
        <f ca="1">IFERROR(__xludf.DUMMYFUNCTION("""COMPUTED_VALUE"""),1)</f>
        <v>1</v>
      </c>
      <c r="I1353" s="5">
        <f ca="1">IFERROR(__xludf.DUMMYFUNCTION("""COMPUTED_VALUE"""),1)</f>
        <v>1</v>
      </c>
      <c r="J1353" s="5">
        <f ca="1">IFERROR(__xludf.DUMMYFUNCTION("""COMPUTED_VALUE"""),0)</f>
        <v>0</v>
      </c>
      <c r="K1353" s="9" t="str">
        <f ca="1">IFERROR(__xludf.DUMMYFUNCTION("""COMPUTED_VALUE"""),"https://www.columbine-angels.com/School_Violence_2006-2007.htm")</f>
        <v>https://www.columbine-angels.com/School_Violence_2006-2007.htm</v>
      </c>
      <c r="L1353" s="5"/>
      <c r="M1353" s="5"/>
      <c r="N1353" s="5">
        <f ca="1">IFERROR(__xludf.DUMMYFUNCTION("""COMPUTED_VALUE"""),1)</f>
        <v>1</v>
      </c>
      <c r="O1353" s="5" t="str">
        <f ca="1">IFERROR(__xludf.DUMMYFUNCTION("""COMPUTED_VALUE"""),"Summer")</f>
        <v>Summer</v>
      </c>
      <c r="P1353" s="5" t="str">
        <f ca="1">IFERROR(__xludf.DUMMYFUNCTION("""COMPUTED_VALUE"""),"Burton")</f>
        <v>Burton</v>
      </c>
      <c r="Q1353" s="5" t="str">
        <f ca="1">IFERROR(__xludf.DUMMYFUNCTION("""COMPUTED_VALUE"""),"SC")</f>
        <v>SC</v>
      </c>
      <c r="R1353" s="5" t="str">
        <f ca="1">IFERROR(__xludf.DUMMYFUNCTION("""COMPUTED_VALUE"""),"Elementary")</f>
        <v>Elementary</v>
      </c>
      <c r="S1353" s="5" t="str">
        <f ca="1">IFERROR(__xludf.DUMMYFUNCTION("""COMPUTED_VALUE"""),"Outside on School Property")</f>
        <v>Outside on School Property</v>
      </c>
      <c r="T1353" s="5" t="str">
        <f ca="1">IFERROR(__xludf.DUMMYFUNCTION("""COMPUTED_VALUE"""),"Outside on School Property")</f>
        <v>Outside on School Property</v>
      </c>
      <c r="U1353" s="5" t="str">
        <f ca="1">IFERROR(__xludf.DUMMYFUNCTION("""COMPUTED_VALUE"""),"No")</f>
        <v>No</v>
      </c>
      <c r="V1353" s="5" t="str">
        <f ca="1">IFERROR(__xludf.DUMMYFUNCTION("""COMPUTED_VALUE"""),"Sport Event")</f>
        <v>Sport Event</v>
      </c>
      <c r="W1353" s="5"/>
      <c r="X1353" s="5">
        <f ca="1">IFERROR(__xludf.DUMMYFUNCTION("""COMPUTED_VALUE"""),1)</f>
        <v>1</v>
      </c>
      <c r="Y1353" s="5" t="str">
        <f ca="1">IFERROR(__xludf.DUMMYFUNCTION("""COMPUTED_VALUE"""),"Shooting during argument during basketball game")</f>
        <v>Shooting during argument during basketball game</v>
      </c>
      <c r="Z1353" s="5" t="str">
        <f ca="1">IFERROR(__xludf.DUMMYFUNCTION("""COMPUTED_VALUE"""),"During the game an argument arose between 22YOM (victim) and 21YOM (victim) a shooting occurred. Shooter fled the scene and turned himself in later that night.")</f>
        <v>During the game an argument arose between 22YOM (victim) and 21YOM (victim) a shooting occurred. Shooter fled the scene and turned himself in later that night.</v>
      </c>
      <c r="AA1353" s="5" t="str">
        <f ca="1">IFERROR(__xludf.DUMMYFUNCTION("""COMPUTED_VALUE"""),"Escalation of Dispute")</f>
        <v>Escalation of Dispute</v>
      </c>
      <c r="AB1353" s="5" t="str">
        <f ca="1">IFERROR(__xludf.DUMMYFUNCTION("""COMPUTED_VALUE"""),"Victims Targeted")</f>
        <v>Victims Targeted</v>
      </c>
      <c r="AC1353" s="5" t="str">
        <f ca="1">IFERROR(__xludf.DUMMYFUNCTION("""COMPUTED_VALUE"""),"No")</f>
        <v>No</v>
      </c>
      <c r="AD1353" s="5" t="str">
        <f ca="1">IFERROR(__xludf.DUMMYFUNCTION("""COMPUTED_VALUE"""),"No")</f>
        <v>No</v>
      </c>
      <c r="AE1353" s="5" t="str">
        <f ca="1">IFERROR(__xludf.DUMMYFUNCTION("""COMPUTED_VALUE"""),"No")</f>
        <v>No</v>
      </c>
      <c r="AF1353" s="5" t="str">
        <f ca="1">IFERROR(__xludf.DUMMYFUNCTION("""COMPUTED_VALUE"""),"No")</f>
        <v>No</v>
      </c>
      <c r="AG1353" s="5" t="str">
        <f ca="1">IFERROR(__xludf.DUMMYFUNCTION("""COMPUTED_VALUE"""),"No")</f>
        <v>No</v>
      </c>
      <c r="AH1353" s="5" t="str">
        <f ca="1">IFERROR(__xludf.DUMMYFUNCTION("""COMPUTED_VALUE"""),"No")</f>
        <v>No</v>
      </c>
      <c r="AI1353" s="5" t="str">
        <f ca="1">IFERROR(__xludf.DUMMYFUNCTION("""COMPUTED_VALUE"""),"No")</f>
        <v>No</v>
      </c>
      <c r="AJ1353" s="5"/>
    </row>
    <row r="1354" spans="1:36" ht="13">
      <c r="A1354" s="5" t="str">
        <f ca="1">IFERROR(__xludf.DUMMYFUNCTION("""COMPUTED_VALUE"""),"20070531NCNOG")</f>
        <v>20070531NCNOG</v>
      </c>
      <c r="B1354" s="5">
        <f ca="1">IFERROR(__xludf.DUMMYFUNCTION("""COMPUTED_VALUE"""),5)</f>
        <v>5</v>
      </c>
      <c r="C1354" s="5">
        <f ca="1">IFERROR(__xludf.DUMMYFUNCTION("""COMPUTED_VALUE"""),31)</f>
        <v>31</v>
      </c>
      <c r="D1354" s="5">
        <f ca="1">IFERROR(__xludf.DUMMYFUNCTION("""COMPUTED_VALUE"""),2007)</f>
        <v>2007</v>
      </c>
      <c r="E1354" s="8">
        <f ca="1">IFERROR(__xludf.DUMMYFUNCTION("""COMPUTED_VALUE"""),39233)</f>
        <v>39233</v>
      </c>
      <c r="F1354" s="5" t="str">
        <f ca="1">IFERROR(__xludf.DUMMYFUNCTION("""COMPUTED_VALUE"""),"North Garner Middle School")</f>
        <v>North Garner Middle School</v>
      </c>
      <c r="G1354" s="5">
        <f ca="1">IFERROR(__xludf.DUMMYFUNCTION("""COMPUTED_VALUE"""),0)</f>
        <v>0</v>
      </c>
      <c r="H1354" s="5">
        <f ca="1">IFERROR(__xludf.DUMMYFUNCTION("""COMPUTED_VALUE"""),0)</f>
        <v>0</v>
      </c>
      <c r="I1354" s="5">
        <f ca="1">IFERROR(__xludf.DUMMYFUNCTION("""COMPUTED_VALUE"""),0)</f>
        <v>0</v>
      </c>
      <c r="J1354" s="5">
        <f ca="1">IFERROR(__xludf.DUMMYFUNCTION("""COMPUTED_VALUE"""),0)</f>
        <v>0</v>
      </c>
      <c r="K1354" s="9" t="str">
        <f ca="1">IFERROR(__xludf.DUMMYFUNCTION("""COMPUTED_VALUE"""),"https://www.columbine-angels.com/School_Violence_2006-2007.htm")</f>
        <v>https://www.columbine-angels.com/School_Violence_2006-2007.htm</v>
      </c>
      <c r="L1354" s="5"/>
      <c r="M1354" s="5"/>
      <c r="N1354" s="5">
        <f ca="1">IFERROR(__xludf.DUMMYFUNCTION("""COMPUTED_VALUE"""),1)</f>
        <v>1</v>
      </c>
      <c r="O1354" s="5" t="str">
        <f ca="1">IFERROR(__xludf.DUMMYFUNCTION("""COMPUTED_VALUE"""),"Spring")</f>
        <v>Spring</v>
      </c>
      <c r="P1354" s="5" t="str">
        <f ca="1">IFERROR(__xludf.DUMMYFUNCTION("""COMPUTED_VALUE"""),"Garner")</f>
        <v>Garner</v>
      </c>
      <c r="Q1354" s="5" t="str">
        <f ca="1">IFERROR(__xludf.DUMMYFUNCTION("""COMPUTED_VALUE"""),"NC")</f>
        <v>NC</v>
      </c>
      <c r="R1354" s="5" t="str">
        <f ca="1">IFERROR(__xludf.DUMMYFUNCTION("""COMPUTED_VALUE"""),"Middle")</f>
        <v>Middle</v>
      </c>
      <c r="S1354" s="5" t="str">
        <f ca="1">IFERROR(__xludf.DUMMYFUNCTION("""COMPUTED_VALUE"""),"Outside on School Property")</f>
        <v>Outside on School Property</v>
      </c>
      <c r="T1354" s="5" t="str">
        <f ca="1">IFERROR(__xludf.DUMMYFUNCTION("""COMPUTED_VALUE"""),"Outside on School Property")</f>
        <v>Outside on School Property</v>
      </c>
      <c r="U1354" s="5" t="str">
        <f ca="1">IFERROR(__xludf.DUMMYFUNCTION("""COMPUTED_VALUE"""),"Yes")</f>
        <v>Yes</v>
      </c>
      <c r="V1354" s="5"/>
      <c r="W1354" s="5"/>
      <c r="X1354" s="5">
        <f ca="1">IFERROR(__xludf.DUMMYFUNCTION("""COMPUTED_VALUE"""),1)</f>
        <v>1</v>
      </c>
      <c r="Y1354" s="5" t="str">
        <f ca="1">IFERROR(__xludf.DUMMYFUNCTION("""COMPUTED_VALUE"""),"3 students shot by pellet gun")</f>
        <v>3 students shot by pellet gun</v>
      </c>
      <c r="Z1354" s="5" t="str">
        <f ca="1">IFERROR(__xludf.DUMMYFUNCTION("""COMPUTED_VALUE"""),"For an undisclosed reason, an unidentified shooter (police believe it is the same one from Vandora Springs Elementary) shot three students with a soft pellet gun. The pellets did not penetrate the skin.")</f>
        <v>For an undisclosed reason, an unidentified shooter (police believe it is the same one from Vandora Springs Elementary) shot three students with a soft pellet gun. The pellets did not penetrate the skin.</v>
      </c>
      <c r="AA1354" s="5" t="str">
        <f ca="1">IFERROR(__xludf.DUMMYFUNCTION("""COMPUTED_VALUE"""),"Indiscriminate Shooting")</f>
        <v>Indiscriminate Shooting</v>
      </c>
      <c r="AB1354" s="5"/>
      <c r="AC1354" s="5" t="str">
        <f ca="1">IFERROR(__xludf.DUMMYFUNCTION("""COMPUTED_VALUE"""),"No")</f>
        <v>No</v>
      </c>
      <c r="AD1354" s="5" t="str">
        <f ca="1">IFERROR(__xludf.DUMMYFUNCTION("""COMPUTED_VALUE"""),"No")</f>
        <v>No</v>
      </c>
      <c r="AE1354" s="5" t="str">
        <f ca="1">IFERROR(__xludf.DUMMYFUNCTION("""COMPUTED_VALUE"""),"No")</f>
        <v>No</v>
      </c>
      <c r="AF1354" s="5" t="str">
        <f ca="1">IFERROR(__xludf.DUMMYFUNCTION("""COMPUTED_VALUE"""),"No")</f>
        <v>No</v>
      </c>
      <c r="AG1354" s="5" t="str">
        <f ca="1">IFERROR(__xludf.DUMMYFUNCTION("""COMPUTED_VALUE"""),"No")</f>
        <v>No</v>
      </c>
      <c r="AH1354" s="5" t="str">
        <f ca="1">IFERROR(__xludf.DUMMYFUNCTION("""COMPUTED_VALUE"""),"No")</f>
        <v>No</v>
      </c>
      <c r="AI1354" s="5" t="str">
        <f ca="1">IFERROR(__xludf.DUMMYFUNCTION("""COMPUTED_VALUE"""),"No")</f>
        <v>No</v>
      </c>
      <c r="AJ1354" s="5"/>
    </row>
    <row r="1355" spans="1:36" ht="13">
      <c r="A1355" s="5" t="str">
        <f ca="1">IFERROR(__xludf.DUMMYFUNCTION("""COMPUTED_VALUE"""),"20070530NCVAG")</f>
        <v>20070530NCVAG</v>
      </c>
      <c r="B1355" s="5">
        <f ca="1">IFERROR(__xludf.DUMMYFUNCTION("""COMPUTED_VALUE"""),5)</f>
        <v>5</v>
      </c>
      <c r="C1355" s="5">
        <f ca="1">IFERROR(__xludf.DUMMYFUNCTION("""COMPUTED_VALUE"""),30)</f>
        <v>30</v>
      </c>
      <c r="D1355" s="5">
        <f ca="1">IFERROR(__xludf.DUMMYFUNCTION("""COMPUTED_VALUE"""),2007)</f>
        <v>2007</v>
      </c>
      <c r="E1355" s="8">
        <f ca="1">IFERROR(__xludf.DUMMYFUNCTION("""COMPUTED_VALUE"""),39232)</f>
        <v>39232</v>
      </c>
      <c r="F1355" s="5" t="str">
        <f ca="1">IFERROR(__xludf.DUMMYFUNCTION("""COMPUTED_VALUE"""),"Vandora Springs Elementary School")</f>
        <v>Vandora Springs Elementary School</v>
      </c>
      <c r="G1355" s="5">
        <f ca="1">IFERROR(__xludf.DUMMYFUNCTION("""COMPUTED_VALUE"""),0)</f>
        <v>0</v>
      </c>
      <c r="H1355" s="5">
        <f ca="1">IFERROR(__xludf.DUMMYFUNCTION("""COMPUTED_VALUE"""),1)</f>
        <v>1</v>
      </c>
      <c r="I1355" s="5">
        <f ca="1">IFERROR(__xludf.DUMMYFUNCTION("""COMPUTED_VALUE"""),1)</f>
        <v>1</v>
      </c>
      <c r="J1355" s="5">
        <f ca="1">IFERROR(__xludf.DUMMYFUNCTION("""COMPUTED_VALUE"""),0)</f>
        <v>0</v>
      </c>
      <c r="K1355" s="9" t="str">
        <f ca="1">IFERROR(__xludf.DUMMYFUNCTION("""COMPUTED_VALUE"""),"https://www.columbine-angels.com/School_Violence_2006-2007.htm")</f>
        <v>https://www.columbine-angels.com/School_Violence_2006-2007.htm</v>
      </c>
      <c r="L1355" s="5"/>
      <c r="M1355" s="5"/>
      <c r="N1355" s="5">
        <f ca="1">IFERROR(__xludf.DUMMYFUNCTION("""COMPUTED_VALUE"""),1)</f>
        <v>1</v>
      </c>
      <c r="O1355" s="5" t="str">
        <f ca="1">IFERROR(__xludf.DUMMYFUNCTION("""COMPUTED_VALUE"""),"Spring")</f>
        <v>Spring</v>
      </c>
      <c r="P1355" s="5" t="str">
        <f ca="1">IFERROR(__xludf.DUMMYFUNCTION("""COMPUTED_VALUE"""),"Garner")</f>
        <v>Garner</v>
      </c>
      <c r="Q1355" s="5" t="str">
        <f ca="1">IFERROR(__xludf.DUMMYFUNCTION("""COMPUTED_VALUE"""),"NC")</f>
        <v>NC</v>
      </c>
      <c r="R1355" s="5" t="str">
        <f ca="1">IFERROR(__xludf.DUMMYFUNCTION("""COMPUTED_VALUE"""),"Elementary")</f>
        <v>Elementary</v>
      </c>
      <c r="S1355" s="5" t="str">
        <f ca="1">IFERROR(__xludf.DUMMYFUNCTION("""COMPUTED_VALUE"""),"Outside on School Property")</f>
        <v>Outside on School Property</v>
      </c>
      <c r="T1355" s="5" t="str">
        <f ca="1">IFERROR(__xludf.DUMMYFUNCTION("""COMPUTED_VALUE"""),"Outside on School Property")</f>
        <v>Outside on School Property</v>
      </c>
      <c r="U1355" s="5" t="str">
        <f ca="1">IFERROR(__xludf.DUMMYFUNCTION("""COMPUTED_VALUE"""),"Yes")</f>
        <v>Yes</v>
      </c>
      <c r="V1355" s="5"/>
      <c r="W1355" s="5"/>
      <c r="X1355" s="5">
        <f ca="1">IFERROR(__xludf.DUMMYFUNCTION("""COMPUTED_VALUE"""),1)</f>
        <v>1</v>
      </c>
      <c r="Y1355" s="5" t="str">
        <f ca="1">IFERROR(__xludf.DUMMYFUNCTION("""COMPUTED_VALUE"""),"Parent shot by pellet gun")</f>
        <v>Parent shot by pellet gun</v>
      </c>
      <c r="Z1355" s="5" t="str">
        <f ca="1">IFERROR(__xludf.DUMMYFUNCTION("""COMPUTED_VALUE"""),"For an undisclosed reason, an unidentified shooter fired at a parent of a student with a soft pellet gun. The pellet did not penetrate the skin.")</f>
        <v>For an undisclosed reason, an unidentified shooter fired at a parent of a student with a soft pellet gun. The pellet did not penetrate the skin.</v>
      </c>
      <c r="AA1355" s="5" t="str">
        <f ca="1">IFERROR(__xludf.DUMMYFUNCTION("""COMPUTED_VALUE"""),"Indiscriminate Shooting")</f>
        <v>Indiscriminate Shooting</v>
      </c>
      <c r="AB1355" s="5"/>
      <c r="AC1355" s="5" t="str">
        <f ca="1">IFERROR(__xludf.DUMMYFUNCTION("""COMPUTED_VALUE"""),"No")</f>
        <v>No</v>
      </c>
      <c r="AD1355" s="5" t="str">
        <f ca="1">IFERROR(__xludf.DUMMYFUNCTION("""COMPUTED_VALUE"""),"No")</f>
        <v>No</v>
      </c>
      <c r="AE1355" s="5" t="str">
        <f ca="1">IFERROR(__xludf.DUMMYFUNCTION("""COMPUTED_VALUE"""),"No")</f>
        <v>No</v>
      </c>
      <c r="AF1355" s="5" t="str">
        <f ca="1">IFERROR(__xludf.DUMMYFUNCTION("""COMPUTED_VALUE"""),"No")</f>
        <v>No</v>
      </c>
      <c r="AG1355" s="5" t="str">
        <f ca="1">IFERROR(__xludf.DUMMYFUNCTION("""COMPUTED_VALUE"""),"No")</f>
        <v>No</v>
      </c>
      <c r="AH1355" s="5" t="str">
        <f ca="1">IFERROR(__xludf.DUMMYFUNCTION("""COMPUTED_VALUE"""),"No")</f>
        <v>No</v>
      </c>
      <c r="AI1355" s="5" t="str">
        <f ca="1">IFERROR(__xludf.DUMMYFUNCTION("""COMPUTED_VALUE"""),"No")</f>
        <v>No</v>
      </c>
      <c r="AJ1355" s="5"/>
    </row>
    <row r="1356" spans="1:36" ht="13">
      <c r="A1356" s="5" t="str">
        <f ca="1">IFERROR(__xludf.DUMMYFUNCTION("""COMPUTED_VALUE"""),"20070523RIOAC")</f>
        <v>20070523RIOAC</v>
      </c>
      <c r="B1356" s="5">
        <f ca="1">IFERROR(__xludf.DUMMYFUNCTION("""COMPUTED_VALUE"""),5)</f>
        <v>5</v>
      </c>
      <c r="C1356" s="5">
        <f ca="1">IFERROR(__xludf.DUMMYFUNCTION("""COMPUTED_VALUE"""),23)</f>
        <v>23</v>
      </c>
      <c r="D1356" s="5">
        <f ca="1">IFERROR(__xludf.DUMMYFUNCTION("""COMPUTED_VALUE"""),2007)</f>
        <v>2007</v>
      </c>
      <c r="E1356" s="8">
        <f ca="1">IFERROR(__xludf.DUMMYFUNCTION("""COMPUTED_VALUE"""),39225)</f>
        <v>39225</v>
      </c>
      <c r="F1356" s="5" t="str">
        <f ca="1">IFERROR(__xludf.DUMMYFUNCTION("""COMPUTED_VALUE"""),"Oak Haven Elementary School")</f>
        <v>Oak Haven Elementary School</v>
      </c>
      <c r="G1356" s="5">
        <f ca="1">IFERROR(__xludf.DUMMYFUNCTION("""COMPUTED_VALUE"""),0)</f>
        <v>0</v>
      </c>
      <c r="H1356" s="5">
        <f ca="1">IFERROR(__xludf.DUMMYFUNCTION("""COMPUTED_VALUE"""),1)</f>
        <v>1</v>
      </c>
      <c r="I1356" s="5">
        <f ca="1">IFERROR(__xludf.DUMMYFUNCTION("""COMPUTED_VALUE"""),1)</f>
        <v>1</v>
      </c>
      <c r="J1356" s="5">
        <f ca="1">IFERROR(__xludf.DUMMYFUNCTION("""COMPUTED_VALUE"""),0)</f>
        <v>0</v>
      </c>
      <c r="K1356" s="9" t="str">
        <f ca="1">IFERROR(__xludf.DUMMYFUNCTION("""COMPUTED_VALUE"""),"https://www.columbine-angels.com/School_Violence_2006-2007.htm")</f>
        <v>https://www.columbine-angels.com/School_Violence_2006-2007.htm</v>
      </c>
      <c r="L1356" s="5"/>
      <c r="M1356" s="5"/>
      <c r="N1356" s="5">
        <f ca="1">IFERROR(__xludf.DUMMYFUNCTION("""COMPUTED_VALUE"""),1)</f>
        <v>1</v>
      </c>
      <c r="O1356" s="5" t="str">
        <f ca="1">IFERROR(__xludf.DUMMYFUNCTION("""COMPUTED_VALUE"""),"Spring")</f>
        <v>Spring</v>
      </c>
      <c r="P1356" s="5" t="str">
        <f ca="1">IFERROR(__xludf.DUMMYFUNCTION("""COMPUTED_VALUE"""),"Coventry")</f>
        <v>Coventry</v>
      </c>
      <c r="Q1356" s="5" t="str">
        <f ca="1">IFERROR(__xludf.DUMMYFUNCTION("""COMPUTED_VALUE"""),"RI")</f>
        <v>RI</v>
      </c>
      <c r="R1356" s="5" t="str">
        <f ca="1">IFERROR(__xludf.DUMMYFUNCTION("""COMPUTED_VALUE"""),"Elementary")</f>
        <v>Elementary</v>
      </c>
      <c r="S1356" s="5" t="str">
        <f ca="1">IFERROR(__xludf.DUMMYFUNCTION("""COMPUTED_VALUE"""),"Playground")</f>
        <v>Playground</v>
      </c>
      <c r="T1356" s="5" t="str">
        <f ca="1">IFERROR(__xludf.DUMMYFUNCTION("""COMPUTED_VALUE"""),"Outside on School Property")</f>
        <v>Outside on School Property</v>
      </c>
      <c r="U1356" s="5" t="str">
        <f ca="1">IFERROR(__xludf.DUMMYFUNCTION("""COMPUTED_VALUE"""),"Yes")</f>
        <v>Yes</v>
      </c>
      <c r="V1356" s="5" t="str">
        <f ca="1">IFERROR(__xludf.DUMMYFUNCTION("""COMPUTED_VALUE"""),"After School")</f>
        <v>After School</v>
      </c>
      <c r="W1356" s="10">
        <f ca="1">IFERROR(__xludf.DUMMYFUNCTION("""COMPUTED_VALUE"""),0.703472222222222)</f>
        <v>0.70347222222222205</v>
      </c>
      <c r="X1356" s="5">
        <f ca="1">IFERROR(__xludf.DUMMYFUNCTION("""COMPUTED_VALUE"""),2)</f>
        <v>2</v>
      </c>
      <c r="Y1356" s="5" t="str">
        <f ca="1">IFERROR(__xludf.DUMMYFUNCTION("""COMPUTED_VALUE"""),"Shot bully with BB gun")</f>
        <v>Shot bully with BB gun</v>
      </c>
      <c r="Z1356" s="5" t="str">
        <f ca="1">IFERROR(__xludf.DUMMYFUNCTION("""COMPUTED_VALUE"""),"13YOM (victim) on the playground of Oak Haven Elementary School was approached by an 11YOM (shooter) carrying a BB gun.  The older boy was bullying the younger boy.  Our young instigator then began shooting BBs at the older boy.  He was struck in the left"&amp;" hand, stomach and chest.  Rescue workers treated the boy at the scene.")</f>
        <v>13YOM (victim) on the playground of Oak Haven Elementary School was approached by an 11YOM (shooter) carrying a BB gun.  The older boy was bullying the younger boy.  Our young instigator then began shooting BBs at the older boy.  He was struck in the left hand, stomach and chest.  Rescue workers treated the boy at the scene.</v>
      </c>
      <c r="AA1356" s="5" t="str">
        <f ca="1">IFERROR(__xludf.DUMMYFUNCTION("""COMPUTED_VALUE"""),"Bullying")</f>
        <v>Bullying</v>
      </c>
      <c r="AB1356" s="5" t="str">
        <f ca="1">IFERROR(__xludf.DUMMYFUNCTION("""COMPUTED_VALUE"""),"Victims Targeted")</f>
        <v>Victims Targeted</v>
      </c>
      <c r="AC1356" s="5" t="str">
        <f ca="1">IFERROR(__xludf.DUMMYFUNCTION("""COMPUTED_VALUE"""),"No")</f>
        <v>No</v>
      </c>
      <c r="AD1356" s="5" t="str">
        <f ca="1">IFERROR(__xludf.DUMMYFUNCTION("""COMPUTED_VALUE"""),"No")</f>
        <v>No</v>
      </c>
      <c r="AE1356" s="5" t="str">
        <f ca="1">IFERROR(__xludf.DUMMYFUNCTION("""COMPUTED_VALUE"""),"No")</f>
        <v>No</v>
      </c>
      <c r="AF1356" s="5" t="str">
        <f ca="1">IFERROR(__xludf.DUMMYFUNCTION("""COMPUTED_VALUE"""),"No")</f>
        <v>No</v>
      </c>
      <c r="AG1356" s="5" t="str">
        <f ca="1">IFERROR(__xludf.DUMMYFUNCTION("""COMPUTED_VALUE"""),"Yes")</f>
        <v>Yes</v>
      </c>
      <c r="AH1356" s="5" t="str">
        <f ca="1">IFERROR(__xludf.DUMMYFUNCTION("""COMPUTED_VALUE"""),"No")</f>
        <v>No</v>
      </c>
      <c r="AI1356" s="5" t="str">
        <f ca="1">IFERROR(__xludf.DUMMYFUNCTION("""COMPUTED_VALUE"""),"No")</f>
        <v>No</v>
      </c>
      <c r="AJ1356" s="5"/>
    </row>
    <row r="1357" spans="1:36" ht="13">
      <c r="A1357" s="5" t="str">
        <f ca="1">IFERROR(__xludf.DUMMYFUNCTION("""COMPUTED_VALUE"""),"20070515TXLIL")</f>
        <v>20070515TXLIL</v>
      </c>
      <c r="B1357" s="5">
        <f ca="1">IFERROR(__xludf.DUMMYFUNCTION("""COMPUTED_VALUE"""),5)</f>
        <v>5</v>
      </c>
      <c r="C1357" s="5">
        <f ca="1">IFERROR(__xludf.DUMMYFUNCTION("""COMPUTED_VALUE"""),15)</f>
        <v>15</v>
      </c>
      <c r="D1357" s="5">
        <f ca="1">IFERROR(__xludf.DUMMYFUNCTION("""COMPUTED_VALUE"""),2007)</f>
        <v>2007</v>
      </c>
      <c r="E1357" s="8">
        <f ca="1">IFERROR(__xludf.DUMMYFUNCTION("""COMPUTED_VALUE"""),39217)</f>
        <v>39217</v>
      </c>
      <c r="F1357" s="5" t="str">
        <f ca="1">IFERROR(__xludf.DUMMYFUNCTION("""COMPUTED_VALUE"""),"Liberty Memorial Middle School")</f>
        <v>Liberty Memorial Middle School</v>
      </c>
      <c r="G1357" s="5">
        <f ca="1">IFERROR(__xludf.DUMMYFUNCTION("""COMPUTED_VALUE"""),0)</f>
        <v>0</v>
      </c>
      <c r="H1357" s="5">
        <f ca="1">IFERROR(__xludf.DUMMYFUNCTION("""COMPUTED_VALUE"""),0)</f>
        <v>0</v>
      </c>
      <c r="I1357" s="5">
        <f ca="1">IFERROR(__xludf.DUMMYFUNCTION("""COMPUTED_VALUE"""),0)</f>
        <v>0</v>
      </c>
      <c r="J1357" s="5">
        <f ca="1">IFERROR(__xludf.DUMMYFUNCTION("""COMPUTED_VALUE"""),0)</f>
        <v>0</v>
      </c>
      <c r="K1357" s="9" t="str">
        <f ca="1">IFERROR(__xludf.DUMMYFUNCTION("""COMPUTED_VALUE"""),"https://www.brownsvilleherald.com/news/local/parents-remove-children-after-student-fires-gun-at-school/article_10ab2498-9eb9-5db8-97fd-9bed18dcdc95.html")</f>
        <v>https://www.brownsvilleherald.com/news/local/parents-remove-children-after-student-fires-gun-at-school/article_10ab2498-9eb9-5db8-97fd-9bed18dcdc95.html</v>
      </c>
      <c r="L1357" s="5"/>
      <c r="M1357" s="5"/>
      <c r="N1357" s="5">
        <f ca="1">IFERROR(__xludf.DUMMYFUNCTION("""COMPUTED_VALUE"""),2)</f>
        <v>2</v>
      </c>
      <c r="O1357" s="5" t="str">
        <f ca="1">IFERROR(__xludf.DUMMYFUNCTION("""COMPUTED_VALUE"""),"Spring")</f>
        <v>Spring</v>
      </c>
      <c r="P1357" s="5" t="str">
        <f ca="1">IFERROR(__xludf.DUMMYFUNCTION("""COMPUTED_VALUE"""),"Los Fresnos")</f>
        <v>Los Fresnos</v>
      </c>
      <c r="Q1357" s="5" t="str">
        <f ca="1">IFERROR(__xludf.DUMMYFUNCTION("""COMPUTED_VALUE"""),"TX")</f>
        <v>TX</v>
      </c>
      <c r="R1357" s="5" t="str">
        <f ca="1">IFERROR(__xludf.DUMMYFUNCTION("""COMPUTED_VALUE"""),"Middle")</f>
        <v>Middle</v>
      </c>
      <c r="S1357" s="5" t="str">
        <f ca="1">IFERROR(__xludf.DUMMYFUNCTION("""COMPUTED_VALUE"""),"Bathroom")</f>
        <v>Bathroom</v>
      </c>
      <c r="T1357" s="5" t="str">
        <f ca="1">IFERROR(__xludf.DUMMYFUNCTION("""COMPUTED_VALUE"""),"Inside School Building")</f>
        <v>Inside School Building</v>
      </c>
      <c r="U1357" s="5" t="str">
        <f ca="1">IFERROR(__xludf.DUMMYFUNCTION("""COMPUTED_VALUE"""),"Yes")</f>
        <v>Yes</v>
      </c>
      <c r="V1357" s="5" t="str">
        <f ca="1">IFERROR(__xludf.DUMMYFUNCTION("""COMPUTED_VALUE"""),"Morning Classes")</f>
        <v>Morning Classes</v>
      </c>
      <c r="W1357" s="10">
        <f ca="1">IFERROR(__xludf.DUMMYFUNCTION("""COMPUTED_VALUE"""),0.418055555555555)</f>
        <v>0.41805555555555501</v>
      </c>
      <c r="X1357" s="5">
        <f ca="1">IFERROR(__xludf.DUMMYFUNCTION("""COMPUTED_VALUE"""),240)</f>
        <v>240</v>
      </c>
      <c r="Y1357" s="5" t="str">
        <f ca="1">IFERROR(__xludf.DUMMYFUNCTION("""COMPUTED_VALUE"""),"Fired shot in bathroom, 4 hour standoff with police before surrendering")</f>
        <v>Fired shot in bathroom, 4 hour standoff with police before surrendering</v>
      </c>
      <c r="Z1357" s="5" t="str">
        <f ca="1">IFERROR(__xludf.DUMMYFUNCTION("""COMPUTED_VALUE"""),"15YOM student fired one shot in bathroom. Police were called and negotiated with the student for 4 hours until he surrendered.")</f>
        <v>15YOM student fired one shot in bathroom. Police were called and negotiated with the student for 4 hours until he surrendered.</v>
      </c>
      <c r="AA1357" s="5" t="str">
        <f ca="1">IFERROR(__xludf.DUMMYFUNCTION("""COMPUTED_VALUE"""),"Hostage/Standoff")</f>
        <v>Hostage/Standoff</v>
      </c>
      <c r="AB1357" s="5"/>
      <c r="AC1357" s="5" t="str">
        <f ca="1">IFERROR(__xludf.DUMMYFUNCTION("""COMPUTED_VALUE"""),"No")</f>
        <v>No</v>
      </c>
      <c r="AD1357" s="5" t="str">
        <f ca="1">IFERROR(__xludf.DUMMYFUNCTION("""COMPUTED_VALUE"""),"No")</f>
        <v>No</v>
      </c>
      <c r="AE1357" s="5" t="str">
        <f ca="1">IFERROR(__xludf.DUMMYFUNCTION("""COMPUTED_VALUE"""),"Yes")</f>
        <v>Yes</v>
      </c>
      <c r="AF1357" s="5" t="str">
        <f ca="1">IFERROR(__xludf.DUMMYFUNCTION("""COMPUTED_VALUE"""),"No")</f>
        <v>No</v>
      </c>
      <c r="AG1357" s="5"/>
      <c r="AH1357" s="5" t="str">
        <f ca="1">IFERROR(__xludf.DUMMYFUNCTION("""COMPUTED_VALUE"""),"No")</f>
        <v>No</v>
      </c>
      <c r="AI1357" s="5" t="str">
        <f ca="1">IFERROR(__xludf.DUMMYFUNCTION("""COMPUTED_VALUE"""),"No")</f>
        <v>No</v>
      </c>
      <c r="AJ1357" s="5"/>
    </row>
    <row r="1358" spans="1:36" ht="13">
      <c r="A1358" s="5" t="str">
        <f ca="1">IFERROR(__xludf.DUMMYFUNCTION("""COMPUTED_VALUE"""),"20070512TXWEM")</f>
        <v>20070512TXWEM</v>
      </c>
      <c r="B1358" s="5">
        <f ca="1">IFERROR(__xludf.DUMMYFUNCTION("""COMPUTED_VALUE"""),5)</f>
        <v>5</v>
      </c>
      <c r="C1358" s="5">
        <f ca="1">IFERROR(__xludf.DUMMYFUNCTION("""COMPUTED_VALUE"""),12)</f>
        <v>12</v>
      </c>
      <c r="D1358" s="5">
        <f ca="1">IFERROR(__xludf.DUMMYFUNCTION("""COMPUTED_VALUE"""),2007)</f>
        <v>2007</v>
      </c>
      <c r="E1358" s="8">
        <f ca="1">IFERROR(__xludf.DUMMYFUNCTION("""COMPUTED_VALUE"""),39214)</f>
        <v>39214</v>
      </c>
      <c r="F1358" s="5" t="str">
        <f ca="1">IFERROR(__xludf.DUMMYFUNCTION("""COMPUTED_VALUE"""),"West Mesquite High School")</f>
        <v>West Mesquite High School</v>
      </c>
      <c r="G1358" s="5">
        <f ca="1">IFERROR(__xludf.DUMMYFUNCTION("""COMPUTED_VALUE"""),0)</f>
        <v>0</v>
      </c>
      <c r="H1358" s="5">
        <f ca="1">IFERROR(__xludf.DUMMYFUNCTION("""COMPUTED_VALUE"""),1)</f>
        <v>1</v>
      </c>
      <c r="I1358" s="5">
        <f ca="1">IFERROR(__xludf.DUMMYFUNCTION("""COMPUTED_VALUE"""),1)</f>
        <v>1</v>
      </c>
      <c r="J1358" s="5">
        <f ca="1">IFERROR(__xludf.DUMMYFUNCTION("""COMPUTED_VALUE"""),0)</f>
        <v>0</v>
      </c>
      <c r="K1358" s="9" t="str">
        <f ca="1">IFERROR(__xludf.DUMMYFUNCTION("""COMPUTED_VALUE"""),"http://starlocalmedia.com/mesquitenews/news/arrests-made-in-west-mesquite-shooting/article_c1de2b11-1f0a-5ac7-8ea4-807789bd19bc.html")</f>
        <v>http://starlocalmedia.com/mesquitenews/news/arrests-made-in-west-mesquite-shooting/article_c1de2b11-1f0a-5ac7-8ea4-807789bd19bc.html</v>
      </c>
      <c r="L1358" s="5"/>
      <c r="M1358" s="5"/>
      <c r="N1358" s="5">
        <f ca="1">IFERROR(__xludf.DUMMYFUNCTION("""COMPUTED_VALUE"""),2)</f>
        <v>2</v>
      </c>
      <c r="O1358" s="5" t="str">
        <f ca="1">IFERROR(__xludf.DUMMYFUNCTION("""COMPUTED_VALUE"""),"Spring")</f>
        <v>Spring</v>
      </c>
      <c r="P1358" s="5" t="str">
        <f ca="1">IFERROR(__xludf.DUMMYFUNCTION("""COMPUTED_VALUE"""),"Mesquite")</f>
        <v>Mesquite</v>
      </c>
      <c r="Q1358" s="5" t="str">
        <f ca="1">IFERROR(__xludf.DUMMYFUNCTION("""COMPUTED_VALUE"""),"TX")</f>
        <v>TX</v>
      </c>
      <c r="R1358" s="5" t="str">
        <f ca="1">IFERROR(__xludf.DUMMYFUNCTION("""COMPUTED_VALUE"""),"High")</f>
        <v>High</v>
      </c>
      <c r="S1358" s="5" t="str">
        <f ca="1">IFERROR(__xludf.DUMMYFUNCTION("""COMPUTED_VALUE"""),"Parking Lot")</f>
        <v>Parking Lot</v>
      </c>
      <c r="T1358" s="5" t="str">
        <f ca="1">IFERROR(__xludf.DUMMYFUNCTION("""COMPUTED_VALUE"""),"Outside on School Property")</f>
        <v>Outside on School Property</v>
      </c>
      <c r="U1358" s="5" t="str">
        <f ca="1">IFERROR(__xludf.DUMMYFUNCTION("""COMPUTED_VALUE"""),"No")</f>
        <v>No</v>
      </c>
      <c r="V1358" s="5" t="str">
        <f ca="1">IFERROR(__xludf.DUMMYFUNCTION("""COMPUTED_VALUE"""),"School Event")</f>
        <v>School Event</v>
      </c>
      <c r="W1358" s="5"/>
      <c r="X1358" s="5">
        <f ca="1">IFERROR(__xludf.DUMMYFUNCTION("""COMPUTED_VALUE"""),1)</f>
        <v>1</v>
      </c>
      <c r="Y1358" s="5" t="str">
        <f ca="1">IFERROR(__xludf.DUMMYFUNCTION("""COMPUTED_VALUE"""),"Shots fired during argument in parking lot")</f>
        <v>Shots fired during argument in parking lot</v>
      </c>
      <c r="Z1358" s="5" t="str">
        <f ca="1">IFERROR(__xludf.DUMMYFUNCTION("""COMPUTED_VALUE"""),"18YOM student shot in the parking lot of the school during an argument with a group of students. Unclear if the victim was targeted. Police assigned to an event inside the school were not notified of the shooting until 45 minutes after if occured.")</f>
        <v>18YOM student shot in the parking lot of the school during an argument with a group of students. Unclear if the victim was targeted. Police assigned to an event inside the school were not notified of the shooting until 45 minutes after if occured.</v>
      </c>
      <c r="AA1358" s="5" t="str">
        <f ca="1">IFERROR(__xludf.DUMMYFUNCTION("""COMPUTED_VALUE"""),"Escalation of Dispute")</f>
        <v>Escalation of Dispute</v>
      </c>
      <c r="AB1358" s="5"/>
      <c r="AC1358" s="5" t="str">
        <f ca="1">IFERROR(__xludf.DUMMYFUNCTION("""COMPUTED_VALUE"""),"Yes")</f>
        <v>Yes</v>
      </c>
      <c r="AD1358" s="5" t="str">
        <f ca="1">IFERROR(__xludf.DUMMYFUNCTION("""COMPUTED_VALUE"""),"No")</f>
        <v>No</v>
      </c>
      <c r="AE1358" s="5" t="str">
        <f ca="1">IFERROR(__xludf.DUMMYFUNCTION("""COMPUTED_VALUE"""),"No")</f>
        <v>No</v>
      </c>
      <c r="AF1358" s="5" t="str">
        <f ca="1">IFERROR(__xludf.DUMMYFUNCTION("""COMPUTED_VALUE"""),"No")</f>
        <v>No</v>
      </c>
      <c r="AG1358" s="5" t="str">
        <f ca="1">IFERROR(__xludf.DUMMYFUNCTION("""COMPUTED_VALUE"""),"No")</f>
        <v>No</v>
      </c>
      <c r="AH1358" s="5" t="str">
        <f ca="1">IFERROR(__xludf.DUMMYFUNCTION("""COMPUTED_VALUE"""),"No")</f>
        <v>No</v>
      </c>
      <c r="AI1358" s="5" t="str">
        <f ca="1">IFERROR(__xludf.DUMMYFUNCTION("""COMPUTED_VALUE"""),"No")</f>
        <v>No</v>
      </c>
      <c r="AJ1358" s="5"/>
    </row>
    <row r="1359" spans="1:36" ht="13">
      <c r="A1359" s="5" t="str">
        <f ca="1">IFERROR(__xludf.DUMMYFUNCTION("""COMPUTED_VALUE"""),"20070510MIHED")</f>
        <v>20070510MIHED</v>
      </c>
      <c r="B1359" s="5">
        <f ca="1">IFERROR(__xludf.DUMMYFUNCTION("""COMPUTED_VALUE"""),5)</f>
        <v>5</v>
      </c>
      <c r="C1359" s="5">
        <f ca="1">IFERROR(__xludf.DUMMYFUNCTION("""COMPUTED_VALUE"""),10)</f>
        <v>10</v>
      </c>
      <c r="D1359" s="5">
        <f ca="1">IFERROR(__xludf.DUMMYFUNCTION("""COMPUTED_VALUE"""),2007)</f>
        <v>2007</v>
      </c>
      <c r="E1359" s="8">
        <f ca="1">IFERROR(__xludf.DUMMYFUNCTION("""COMPUTED_VALUE"""),39212)</f>
        <v>39212</v>
      </c>
      <c r="F1359" s="5" t="str">
        <f ca="1">IFERROR(__xludf.DUMMYFUNCTION("""COMPUTED_VALUE"""),"Henry Ford High School")</f>
        <v>Henry Ford High School</v>
      </c>
      <c r="G1359" s="5">
        <f ca="1">IFERROR(__xludf.DUMMYFUNCTION("""COMPUTED_VALUE"""),0)</f>
        <v>0</v>
      </c>
      <c r="H1359" s="5">
        <f ca="1">IFERROR(__xludf.DUMMYFUNCTION("""COMPUTED_VALUE"""),2)</f>
        <v>2</v>
      </c>
      <c r="I1359" s="5">
        <f ca="1">IFERROR(__xludf.DUMMYFUNCTION("""COMPUTED_VALUE"""),2)</f>
        <v>2</v>
      </c>
      <c r="J1359" s="5">
        <f ca="1">IFERROR(__xludf.DUMMYFUNCTION("""COMPUTED_VALUE"""),0)</f>
        <v>0</v>
      </c>
      <c r="K1359" s="9" t="str">
        <f ca="1">IFERROR(__xludf.DUMMYFUNCTION("""COMPUTED_VALUE"""),"https://www.columbine-angels.com/School_Violence_2006-2007.htm")</f>
        <v>https://www.columbine-angels.com/School_Violence_2006-2007.htm</v>
      </c>
      <c r="L1359" s="5"/>
      <c r="M1359" s="5"/>
      <c r="N1359" s="5">
        <f ca="1">IFERROR(__xludf.DUMMYFUNCTION("""COMPUTED_VALUE"""),1)</f>
        <v>1</v>
      </c>
      <c r="O1359" s="5" t="str">
        <f ca="1">IFERROR(__xludf.DUMMYFUNCTION("""COMPUTED_VALUE"""),"Spring")</f>
        <v>Spring</v>
      </c>
      <c r="P1359" s="5" t="str">
        <f ca="1">IFERROR(__xludf.DUMMYFUNCTION("""COMPUTED_VALUE"""),"Detroit")</f>
        <v>Detroit</v>
      </c>
      <c r="Q1359" s="5" t="str">
        <f ca="1">IFERROR(__xludf.DUMMYFUNCTION("""COMPUTED_VALUE"""),"MI")</f>
        <v>MI</v>
      </c>
      <c r="R1359" s="5" t="str">
        <f ca="1">IFERROR(__xludf.DUMMYFUNCTION("""COMPUTED_VALUE"""),"High")</f>
        <v>High</v>
      </c>
      <c r="S1359" s="5" t="str">
        <f ca="1">IFERROR(__xludf.DUMMYFUNCTION("""COMPUTED_VALUE"""),"Beside Building")</f>
        <v>Beside Building</v>
      </c>
      <c r="T1359" s="5" t="str">
        <f ca="1">IFERROR(__xludf.DUMMYFUNCTION("""COMPUTED_VALUE"""),"Outside on School Property")</f>
        <v>Outside on School Property</v>
      </c>
      <c r="U1359" s="5" t="str">
        <f ca="1">IFERROR(__xludf.DUMMYFUNCTION("""COMPUTED_VALUE"""),"Yes")</f>
        <v>Yes</v>
      </c>
      <c r="V1359" s="5"/>
      <c r="W1359" s="5"/>
      <c r="X1359" s="5">
        <f ca="1">IFERROR(__xludf.DUMMYFUNCTION("""COMPUTED_VALUE"""),1)</f>
        <v>1</v>
      </c>
      <c r="Y1359" s="5" t="str">
        <f ca="1">IFERROR(__xludf.DUMMYFUNCTION("""COMPUTED_VALUE"""),"2 students shot during gang fight")</f>
        <v>2 students shot during gang fight</v>
      </c>
      <c r="Z1359" s="5" t="str">
        <f ca="1">IFERROR(__xludf.DUMMYFUNCTION("""COMPUTED_VALUE"""),"Two 17YOM students were shot in what school officials suspect was a gang clash outside of Henry Ford High on Detroit's northwest side today.")</f>
        <v>Two 17YOM students were shot in what school officials suspect was a gang clash outside of Henry Ford High on Detroit's northwest side today.</v>
      </c>
      <c r="AA1359" s="5" t="str">
        <f ca="1">IFERROR(__xludf.DUMMYFUNCTION("""COMPUTED_VALUE"""),"Escalation of Dispute")</f>
        <v>Escalation of Dispute</v>
      </c>
      <c r="AB1359" s="5"/>
      <c r="AC1359" s="5"/>
      <c r="AD1359" s="5" t="str">
        <f ca="1">IFERROR(__xludf.DUMMYFUNCTION("""COMPUTED_VALUE"""),"No")</f>
        <v>No</v>
      </c>
      <c r="AE1359" s="5" t="str">
        <f ca="1">IFERROR(__xludf.DUMMYFUNCTION("""COMPUTED_VALUE"""),"No")</f>
        <v>No</v>
      </c>
      <c r="AF1359" s="5" t="str">
        <f ca="1">IFERROR(__xludf.DUMMYFUNCTION("""COMPUTED_VALUE"""),"No")</f>
        <v>No</v>
      </c>
      <c r="AG1359" s="5" t="str">
        <f ca="1">IFERROR(__xludf.DUMMYFUNCTION("""COMPUTED_VALUE"""),"No")</f>
        <v>No</v>
      </c>
      <c r="AH1359" s="5" t="str">
        <f ca="1">IFERROR(__xludf.DUMMYFUNCTION("""COMPUTED_VALUE"""),"No")</f>
        <v>No</v>
      </c>
      <c r="AI1359" s="5" t="str">
        <f ca="1">IFERROR(__xludf.DUMMYFUNCTION("""COMPUTED_VALUE"""),"Yes")</f>
        <v>Yes</v>
      </c>
      <c r="AJ1359" s="5"/>
    </row>
    <row r="1360" spans="1:36" ht="13">
      <c r="A1360" s="5" t="str">
        <f ca="1">IFERROR(__xludf.DUMMYFUNCTION("""COMPUTED_VALUE"""),"20070504TXTIE")</f>
        <v>20070504TXTIE</v>
      </c>
      <c r="B1360" s="5">
        <f ca="1">IFERROR(__xludf.DUMMYFUNCTION("""COMPUTED_VALUE"""),5)</f>
        <v>5</v>
      </c>
      <c r="C1360" s="5">
        <f ca="1">IFERROR(__xludf.DUMMYFUNCTION("""COMPUTED_VALUE"""),4)</f>
        <v>4</v>
      </c>
      <c r="D1360" s="5">
        <f ca="1">IFERROR(__xludf.DUMMYFUNCTION("""COMPUTED_VALUE"""),2007)</f>
        <v>2007</v>
      </c>
      <c r="E1360" s="8">
        <f ca="1">IFERROR(__xludf.DUMMYFUNCTION("""COMPUTED_VALUE"""),39206)</f>
        <v>39206</v>
      </c>
      <c r="F1360" s="5" t="str">
        <f ca="1">IFERROR(__xludf.DUMMYFUNCTION("""COMPUTED_VALUE"""),"Tidehaven High School")</f>
        <v>Tidehaven High School</v>
      </c>
      <c r="G1360" s="5">
        <f ca="1">IFERROR(__xludf.DUMMYFUNCTION("""COMPUTED_VALUE"""),0)</f>
        <v>0</v>
      </c>
      <c r="H1360" s="5">
        <f ca="1">IFERROR(__xludf.DUMMYFUNCTION("""COMPUTED_VALUE"""),0)</f>
        <v>0</v>
      </c>
      <c r="I1360" s="5">
        <f ca="1">IFERROR(__xludf.DUMMYFUNCTION("""COMPUTED_VALUE"""),0)</f>
        <v>0</v>
      </c>
      <c r="J1360" s="5">
        <f ca="1">IFERROR(__xludf.DUMMYFUNCTION("""COMPUTED_VALUE"""),1)</f>
        <v>1</v>
      </c>
      <c r="K1360" s="9" t="str">
        <f ca="1">IFERROR(__xludf.DUMMYFUNCTION("""COMPUTED_VALUE"""),"https://www.highbeam.com/doc/1G1-163016802.html")</f>
        <v>https://www.highbeam.com/doc/1G1-163016802.html</v>
      </c>
      <c r="L1360" s="5"/>
      <c r="M1360" s="5"/>
      <c r="N1360" s="5">
        <f ca="1">IFERROR(__xludf.DUMMYFUNCTION("""COMPUTED_VALUE"""),2)</f>
        <v>2</v>
      </c>
      <c r="O1360" s="5" t="str">
        <f ca="1">IFERROR(__xludf.DUMMYFUNCTION("""COMPUTED_VALUE"""),"Spring")</f>
        <v>Spring</v>
      </c>
      <c r="P1360" s="5" t="str">
        <f ca="1">IFERROR(__xludf.DUMMYFUNCTION("""COMPUTED_VALUE"""),"El Maton")</f>
        <v>El Maton</v>
      </c>
      <c r="Q1360" s="5" t="str">
        <f ca="1">IFERROR(__xludf.DUMMYFUNCTION("""COMPUTED_VALUE"""),"TX")</f>
        <v>TX</v>
      </c>
      <c r="R1360" s="5" t="str">
        <f ca="1">IFERROR(__xludf.DUMMYFUNCTION("""COMPUTED_VALUE"""),"High")</f>
        <v>High</v>
      </c>
      <c r="S1360" s="5" t="str">
        <f ca="1">IFERROR(__xludf.DUMMYFUNCTION("""COMPUTED_VALUE"""),"Bathroom")</f>
        <v>Bathroom</v>
      </c>
      <c r="T1360" s="5" t="str">
        <f ca="1">IFERROR(__xludf.DUMMYFUNCTION("""COMPUTED_VALUE"""),"Inside School Building")</f>
        <v>Inside School Building</v>
      </c>
      <c r="U1360" s="5" t="str">
        <f ca="1">IFERROR(__xludf.DUMMYFUNCTION("""COMPUTED_VALUE"""),"Yes")</f>
        <v>Yes</v>
      </c>
      <c r="V1360" s="5" t="str">
        <f ca="1">IFERROR(__xludf.DUMMYFUNCTION("""COMPUTED_VALUE"""),"Morning Classes")</f>
        <v>Morning Classes</v>
      </c>
      <c r="W1360" s="10">
        <f ca="1">IFERROR(__xludf.DUMMYFUNCTION("""COMPUTED_VALUE"""),0.35625)</f>
        <v>0.35625000000000001</v>
      </c>
      <c r="X1360" s="5">
        <f ca="1">IFERROR(__xludf.DUMMYFUNCTION("""COMPUTED_VALUE"""),1)</f>
        <v>1</v>
      </c>
      <c r="Y1360" s="5" t="str">
        <f ca="1">IFERROR(__xludf.DUMMYFUNCTION("""COMPUTED_VALUE"""),"Female student shot herself in the bathroom")</f>
        <v>Female student shot herself in the bathroom</v>
      </c>
      <c r="Z1360" s="5" t="str">
        <f ca="1">IFERROR(__xludf.DUMMYFUNCTION("""COMPUTED_VALUE"""),"15YOF student shot herself in the school bathroom.")</f>
        <v>15YOF student shot herself in the school bathroom.</v>
      </c>
      <c r="AA1360" s="5" t="str">
        <f ca="1">IFERROR(__xludf.DUMMYFUNCTION("""COMPUTED_VALUE"""),"Suicide/Attempted")</f>
        <v>Suicide/Attempted</v>
      </c>
      <c r="AB1360" s="5" t="str">
        <f ca="1">IFERROR(__xludf.DUMMYFUNCTION("""COMPUTED_VALUE"""),"Victims Targeted")</f>
        <v>Victims Targeted</v>
      </c>
      <c r="AC1360" s="5" t="str">
        <f ca="1">IFERROR(__xludf.DUMMYFUNCTION("""COMPUTED_VALUE"""),"No")</f>
        <v>No</v>
      </c>
      <c r="AD1360" s="5" t="str">
        <f ca="1">IFERROR(__xludf.DUMMYFUNCTION("""COMPUTED_VALUE"""),"No")</f>
        <v>No</v>
      </c>
      <c r="AE1360" s="5" t="str">
        <f ca="1">IFERROR(__xludf.DUMMYFUNCTION("""COMPUTED_VALUE"""),"No")</f>
        <v>No</v>
      </c>
      <c r="AF1360" s="5" t="str">
        <f ca="1">IFERROR(__xludf.DUMMYFUNCTION("""COMPUTED_VALUE"""),"No")</f>
        <v>No</v>
      </c>
      <c r="AG1360" s="5" t="str">
        <f ca="1">IFERROR(__xludf.DUMMYFUNCTION("""COMPUTED_VALUE"""),"No")</f>
        <v>No</v>
      </c>
      <c r="AH1360" s="5" t="str">
        <f ca="1">IFERROR(__xludf.DUMMYFUNCTION("""COMPUTED_VALUE"""),"No")</f>
        <v>No</v>
      </c>
      <c r="AI1360" s="5" t="str">
        <f ca="1">IFERROR(__xludf.DUMMYFUNCTION("""COMPUTED_VALUE"""),"No")</f>
        <v>No</v>
      </c>
      <c r="AJ1360" s="5"/>
    </row>
    <row r="1361" spans="1:36" ht="13">
      <c r="A1361" s="5" t="str">
        <f ca="1">IFERROR(__xludf.DUMMYFUNCTION("""COMPUTED_VALUE"""),"20070503OHGED")</f>
        <v>20070503OHGED</v>
      </c>
      <c r="B1361" s="5">
        <f ca="1">IFERROR(__xludf.DUMMYFUNCTION("""COMPUTED_VALUE"""),5)</f>
        <v>5</v>
      </c>
      <c r="C1361" s="5">
        <f ca="1">IFERROR(__xludf.DUMMYFUNCTION("""COMPUTED_VALUE"""),3)</f>
        <v>3</v>
      </c>
      <c r="D1361" s="5">
        <f ca="1">IFERROR(__xludf.DUMMYFUNCTION("""COMPUTED_VALUE"""),2007)</f>
        <v>2007</v>
      </c>
      <c r="E1361" s="8">
        <f ca="1">IFERROR(__xludf.DUMMYFUNCTION("""COMPUTED_VALUE"""),39205)</f>
        <v>39205</v>
      </c>
      <c r="F1361" s="5" t="str">
        <f ca="1">IFERROR(__xludf.DUMMYFUNCTION("""COMPUTED_VALUE"""),"Gettysburg Elementary School")</f>
        <v>Gettysburg Elementary School</v>
      </c>
      <c r="G1361" s="5">
        <f ca="1">IFERROR(__xludf.DUMMYFUNCTION("""COMPUTED_VALUE"""),0)</f>
        <v>0</v>
      </c>
      <c r="H1361" s="5">
        <f ca="1">IFERROR(__xludf.DUMMYFUNCTION("""COMPUTED_VALUE"""),1)</f>
        <v>1</v>
      </c>
      <c r="I1361" s="5">
        <f ca="1">IFERROR(__xludf.DUMMYFUNCTION("""COMPUTED_VALUE"""),1)</f>
        <v>1</v>
      </c>
      <c r="J1361" s="5">
        <f ca="1">IFERROR(__xludf.DUMMYFUNCTION("""COMPUTED_VALUE"""),0)</f>
        <v>0</v>
      </c>
      <c r="K1361" s="9" t="str">
        <f ca="1">IFERROR(__xludf.DUMMYFUNCTION("""COMPUTED_VALUE"""),"https://www.newspapers.com/image/411133269/?terms=school%2Bbus%2B313")</f>
        <v>https://www.newspapers.com/image/411133269/?terms=school%2Bbus%2B313</v>
      </c>
      <c r="L1361" s="5"/>
      <c r="M1361" s="5"/>
      <c r="N1361" s="5">
        <f ca="1">IFERROR(__xludf.DUMMYFUNCTION("""COMPUTED_VALUE"""),1)</f>
        <v>1</v>
      </c>
      <c r="O1361" s="5" t="str">
        <f ca="1">IFERROR(__xludf.DUMMYFUNCTION("""COMPUTED_VALUE"""),"Spring")</f>
        <v>Spring</v>
      </c>
      <c r="P1361" s="5" t="str">
        <f ca="1">IFERROR(__xludf.DUMMYFUNCTION("""COMPUTED_VALUE"""),"Dayton")</f>
        <v>Dayton</v>
      </c>
      <c r="Q1361" s="5" t="str">
        <f ca="1">IFERROR(__xludf.DUMMYFUNCTION("""COMPUTED_VALUE"""),"OH")</f>
        <v>OH</v>
      </c>
      <c r="R1361" s="5" t="str">
        <f ca="1">IFERROR(__xludf.DUMMYFUNCTION("""COMPUTED_VALUE"""),"Elementary")</f>
        <v>Elementary</v>
      </c>
      <c r="S1361" s="5" t="str">
        <f ca="1">IFERROR(__xludf.DUMMYFUNCTION("""COMPUTED_VALUE"""),"School Bus")</f>
        <v>School Bus</v>
      </c>
      <c r="T1361" s="5" t="str">
        <f ca="1">IFERROR(__xludf.DUMMYFUNCTION("""COMPUTED_VALUE"""),"School Bus")</f>
        <v>School Bus</v>
      </c>
      <c r="U1361" s="5" t="str">
        <f ca="1">IFERROR(__xludf.DUMMYFUNCTION("""COMPUTED_VALUE"""),"Yes")</f>
        <v>Yes</v>
      </c>
      <c r="V1361" s="5" t="str">
        <f ca="1">IFERROR(__xludf.DUMMYFUNCTION("""COMPUTED_VALUE"""),"Before School")</f>
        <v>Before School</v>
      </c>
      <c r="W1361" s="10">
        <f ca="1">IFERROR(__xludf.DUMMYFUNCTION("""COMPUTED_VALUE"""),0.40625)</f>
        <v>0.40625</v>
      </c>
      <c r="X1361" s="5">
        <f ca="1">IFERROR(__xludf.DUMMYFUNCTION("""COMPUTED_VALUE"""),2)</f>
        <v>2</v>
      </c>
      <c r="Y1361" s="5" t="str">
        <f ca="1">IFERROR(__xludf.DUMMYFUNCTION("""COMPUTED_VALUE"""),"16 year old boy shooting pellet gun at bus loaded with children")</f>
        <v>16 year old boy shooting pellet gun at bus loaded with children</v>
      </c>
      <c r="Z1361" s="5" t="str">
        <f ca="1">IFERROR(__xludf.DUMMYFUNCTION("""COMPUTED_VALUE"""),"16YOM started firing out of the back bedroom window.  His shots hit school bus number 313, carrying ten preschoolers ages 3 to 4. The pellets shattered the glass in the windows. The bus driver quickly moved the bus out of the boy's line of sight and calle"&amp;"d the police. She was struck in the eye by a piece of glass. The boy was arrested.")</f>
        <v>16YOM started firing out of the back bedroom window.  His shots hit school bus number 313, carrying ten preschoolers ages 3 to 4. The pellets shattered the glass in the windows. The bus driver quickly moved the bus out of the boy's line of sight and called the police. She was struck in the eye by a piece of glass. The boy was arrested.</v>
      </c>
      <c r="AA1361" s="5" t="str">
        <f ca="1">IFERROR(__xludf.DUMMYFUNCTION("""COMPUTED_VALUE"""),"Indiscriminate Shooting")</f>
        <v>Indiscriminate Shooting</v>
      </c>
      <c r="AB1361" s="5"/>
      <c r="AC1361" s="5" t="str">
        <f ca="1">IFERROR(__xludf.DUMMYFUNCTION("""COMPUTED_VALUE"""),"No")</f>
        <v>No</v>
      </c>
      <c r="AD1361" s="5" t="str">
        <f ca="1">IFERROR(__xludf.DUMMYFUNCTION("""COMPUTED_VALUE"""),"No")</f>
        <v>No</v>
      </c>
      <c r="AE1361" s="5" t="str">
        <f ca="1">IFERROR(__xludf.DUMMYFUNCTION("""COMPUTED_VALUE"""),"No")</f>
        <v>No</v>
      </c>
      <c r="AF1361" s="5" t="str">
        <f ca="1">IFERROR(__xludf.DUMMYFUNCTION("""COMPUTED_VALUE"""),"No")</f>
        <v>No</v>
      </c>
      <c r="AG1361" s="5" t="str">
        <f ca="1">IFERROR(__xludf.DUMMYFUNCTION("""COMPUTED_VALUE"""),"No")</f>
        <v>No</v>
      </c>
      <c r="AH1361" s="5" t="str">
        <f ca="1">IFERROR(__xludf.DUMMYFUNCTION("""COMPUTED_VALUE"""),"No")</f>
        <v>No</v>
      </c>
      <c r="AI1361" s="5" t="str">
        <f ca="1">IFERROR(__xludf.DUMMYFUNCTION("""COMPUTED_VALUE"""),"No")</f>
        <v>No</v>
      </c>
      <c r="AJ1361" s="5"/>
    </row>
    <row r="1362" spans="1:36" ht="13">
      <c r="A1362" s="5" t="str">
        <f ca="1">IFERROR(__xludf.DUMMYFUNCTION("""COMPUTED_VALUE"""),"20070418NCNOH")</f>
        <v>20070418NCNOH</v>
      </c>
      <c r="B1362" s="5">
        <f ca="1">IFERROR(__xludf.DUMMYFUNCTION("""COMPUTED_VALUE"""),4)</f>
        <v>4</v>
      </c>
      <c r="C1362" s="5">
        <f ca="1">IFERROR(__xludf.DUMMYFUNCTION("""COMPUTED_VALUE"""),18)</f>
        <v>18</v>
      </c>
      <c r="D1362" s="5">
        <f ca="1">IFERROR(__xludf.DUMMYFUNCTION("""COMPUTED_VALUE"""),2007)</f>
        <v>2007</v>
      </c>
      <c r="E1362" s="8">
        <f ca="1">IFERROR(__xludf.DUMMYFUNCTION("""COMPUTED_VALUE"""),39190)</f>
        <v>39190</v>
      </c>
      <c r="F1362" s="5" t="str">
        <f ca="1">IFERROR(__xludf.DUMMYFUNCTION("""COMPUTED_VALUE"""),"North Mecklenburg High School")</f>
        <v>North Mecklenburg High School</v>
      </c>
      <c r="G1362" s="5">
        <f ca="1">IFERROR(__xludf.DUMMYFUNCTION("""COMPUTED_VALUE"""),0)</f>
        <v>0</v>
      </c>
      <c r="H1362" s="5">
        <f ca="1">IFERROR(__xludf.DUMMYFUNCTION("""COMPUTED_VALUE"""),0)</f>
        <v>0</v>
      </c>
      <c r="I1362" s="5">
        <f ca="1">IFERROR(__xludf.DUMMYFUNCTION("""COMPUTED_VALUE"""),0)</f>
        <v>0</v>
      </c>
      <c r="J1362" s="5">
        <f ca="1">IFERROR(__xludf.DUMMYFUNCTION("""COMPUTED_VALUE"""),1)</f>
        <v>1</v>
      </c>
      <c r="K1362" s="5" t="str">
        <f ca="1">IFERROR(__xludf.DUMMYFUNCTION("""COMPUTED_VALUE"""),"https://www.policeone.com/school-violence/articles/1238487-N-C-high-school-student-shoots-self-after-he-is-confronted-by-police/ https://newsok.com/article/3042498/nc-student-makes-threats-shoots-self")</f>
        <v>https://www.policeone.com/school-violence/articles/1238487-N-C-high-school-student-shoots-self-after-he-is-confronted-by-police/ https://newsok.com/article/3042498/nc-student-makes-threats-shoots-self</v>
      </c>
      <c r="L1362" s="5"/>
      <c r="M1362" s="5"/>
      <c r="N1362" s="5">
        <f ca="1">IFERROR(__xludf.DUMMYFUNCTION("""COMPUTED_VALUE"""),3)</f>
        <v>3</v>
      </c>
      <c r="O1362" s="5" t="str">
        <f ca="1">IFERROR(__xludf.DUMMYFUNCTION("""COMPUTED_VALUE"""),"Spring")</f>
        <v>Spring</v>
      </c>
      <c r="P1362" s="5" t="str">
        <f ca="1">IFERROR(__xludf.DUMMYFUNCTION("""COMPUTED_VALUE"""),"Huntersville")</f>
        <v>Huntersville</v>
      </c>
      <c r="Q1362" s="5" t="str">
        <f ca="1">IFERROR(__xludf.DUMMYFUNCTION("""COMPUTED_VALUE"""),"NC")</f>
        <v>NC</v>
      </c>
      <c r="R1362" s="5" t="str">
        <f ca="1">IFERROR(__xludf.DUMMYFUNCTION("""COMPUTED_VALUE"""),"High")</f>
        <v>High</v>
      </c>
      <c r="S1362" s="5" t="str">
        <f ca="1">IFERROR(__xludf.DUMMYFUNCTION("""COMPUTED_VALUE"""),"Parking Lot")</f>
        <v>Parking Lot</v>
      </c>
      <c r="T1362" s="5" t="str">
        <f ca="1">IFERROR(__xludf.DUMMYFUNCTION("""COMPUTED_VALUE"""),"Outside on School Property")</f>
        <v>Outside on School Property</v>
      </c>
      <c r="U1362" s="5" t="str">
        <f ca="1">IFERROR(__xludf.DUMMYFUNCTION("""COMPUTED_VALUE"""),"Yes")</f>
        <v>Yes</v>
      </c>
      <c r="V1362" s="5"/>
      <c r="W1362" s="5"/>
      <c r="X1362" s="5"/>
      <c r="Y1362" s="5" t="str">
        <f ca="1">IFERROR(__xludf.DUMMYFUNCTION("""COMPUTED_VALUE"""),"Pointed gun at two students in parking lot, shot self with approached by police")</f>
        <v>Pointed gun at two students in parking lot, shot self with approached by police</v>
      </c>
      <c r="Z1362" s="5" t="str">
        <f ca="1">IFERROR(__xludf.DUMMYFUNCTION("""COMPUTED_VALUE"""),"16YOM student pointed handgun at two students in the parking lot and made threatening statements. Student walked away from school and shot himself when confronted by police. Made statements to other students about VA Tech and constructed homemade bombs.")</f>
        <v>16YOM student pointed handgun at two students in the parking lot and made threatening statements. Student walked away from school and shot himself when confronted by police. Made statements to other students about VA Tech and constructed homemade bombs.</v>
      </c>
      <c r="AA1362" s="5" t="str">
        <f ca="1">IFERROR(__xludf.DUMMYFUNCTION("""COMPUTED_VALUE"""),"Suicide/Attempted")</f>
        <v>Suicide/Attempted</v>
      </c>
      <c r="AB1362" s="5" t="str">
        <f ca="1">IFERROR(__xludf.DUMMYFUNCTION("""COMPUTED_VALUE"""),"Neither")</f>
        <v>Neither</v>
      </c>
      <c r="AC1362" s="5" t="str">
        <f ca="1">IFERROR(__xludf.DUMMYFUNCTION("""COMPUTED_VALUE"""),"No")</f>
        <v>No</v>
      </c>
      <c r="AD1362" s="5" t="str">
        <f ca="1">IFERROR(__xludf.DUMMYFUNCTION("""COMPUTED_VALUE"""),"No")</f>
        <v>No</v>
      </c>
      <c r="AE1362" s="5" t="str">
        <f ca="1">IFERROR(__xludf.DUMMYFUNCTION("""COMPUTED_VALUE"""),"No")</f>
        <v>No</v>
      </c>
      <c r="AF1362" s="5" t="str">
        <f ca="1">IFERROR(__xludf.DUMMYFUNCTION("""COMPUTED_VALUE"""),"No")</f>
        <v>No</v>
      </c>
      <c r="AG1362" s="5" t="str">
        <f ca="1">IFERROR(__xludf.DUMMYFUNCTION("""COMPUTED_VALUE"""),"No")</f>
        <v>No</v>
      </c>
      <c r="AH1362" s="5" t="str">
        <f ca="1">IFERROR(__xludf.DUMMYFUNCTION("""COMPUTED_VALUE"""),"No")</f>
        <v>No</v>
      </c>
      <c r="AI1362" s="5" t="str">
        <f ca="1">IFERROR(__xludf.DUMMYFUNCTION("""COMPUTED_VALUE"""),"No")</f>
        <v>No</v>
      </c>
      <c r="AJ1362" s="5"/>
    </row>
    <row r="1363" spans="1:36" ht="13">
      <c r="A1363" s="5" t="str">
        <f ca="1">IFERROR(__xludf.DUMMYFUNCTION("""COMPUTED_VALUE"""),"20070410ORSPG")</f>
        <v>20070410ORSPG</v>
      </c>
      <c r="B1363" s="5">
        <f ca="1">IFERROR(__xludf.DUMMYFUNCTION("""COMPUTED_VALUE"""),4)</f>
        <v>4</v>
      </c>
      <c r="C1363" s="5">
        <f ca="1">IFERROR(__xludf.DUMMYFUNCTION("""COMPUTED_VALUE"""),10)</f>
        <v>10</v>
      </c>
      <c r="D1363" s="5">
        <f ca="1">IFERROR(__xludf.DUMMYFUNCTION("""COMPUTED_VALUE"""),2007)</f>
        <v>2007</v>
      </c>
      <c r="E1363" s="8">
        <f ca="1">IFERROR(__xludf.DUMMYFUNCTION("""COMPUTED_VALUE"""),39182)</f>
        <v>39182</v>
      </c>
      <c r="F1363" s="5" t="str">
        <f ca="1">IFERROR(__xludf.DUMMYFUNCTION("""COMPUTED_VALUE"""),"Springwater Trail High School")</f>
        <v>Springwater Trail High School</v>
      </c>
      <c r="G1363" s="5">
        <f ca="1">IFERROR(__xludf.DUMMYFUNCTION("""COMPUTED_VALUE"""),0)</f>
        <v>0</v>
      </c>
      <c r="H1363" s="5">
        <f ca="1">IFERROR(__xludf.DUMMYFUNCTION("""COMPUTED_VALUE"""),10)</f>
        <v>10</v>
      </c>
      <c r="I1363" s="5">
        <f ca="1">IFERROR(__xludf.DUMMYFUNCTION("""COMPUTED_VALUE"""),10)</f>
        <v>10</v>
      </c>
      <c r="J1363" s="5">
        <f ca="1">IFERROR(__xludf.DUMMYFUNCTION("""COMPUTED_VALUE"""),0)</f>
        <v>0</v>
      </c>
      <c r="K1363" s="9" t="str">
        <f ca="1">IFERROR(__xludf.DUMMYFUNCTION("""COMPUTED_VALUE"""),"http://blog.oregonlive.com/breakingnews/2007/04/gresham_teen_indicted_in_sprin.html")</f>
        <v>http://blog.oregonlive.com/breakingnews/2007/04/gresham_teen_indicted_in_sprin.html</v>
      </c>
      <c r="L1363" s="5"/>
      <c r="M1363" s="5"/>
      <c r="N1363" s="5">
        <f ca="1">IFERROR(__xludf.DUMMYFUNCTION("""COMPUTED_VALUE"""),2)</f>
        <v>2</v>
      </c>
      <c r="O1363" s="5" t="str">
        <f ca="1">IFERROR(__xludf.DUMMYFUNCTION("""COMPUTED_VALUE"""),"Spring")</f>
        <v>Spring</v>
      </c>
      <c r="P1363" s="5" t="str">
        <f ca="1">IFERROR(__xludf.DUMMYFUNCTION("""COMPUTED_VALUE"""),"Gresham")</f>
        <v>Gresham</v>
      </c>
      <c r="Q1363" s="5" t="str">
        <f ca="1">IFERROR(__xludf.DUMMYFUNCTION("""COMPUTED_VALUE"""),"OR")</f>
        <v>OR</v>
      </c>
      <c r="R1363" s="5" t="str">
        <f ca="1">IFERROR(__xludf.DUMMYFUNCTION("""COMPUTED_VALUE"""),"High")</f>
        <v>High</v>
      </c>
      <c r="S1363" s="5" t="str">
        <f ca="1">IFERROR(__xludf.DUMMYFUNCTION("""COMPUTED_VALUE"""),"Classroom; Field")</f>
        <v>Classroom; Field</v>
      </c>
      <c r="T1363" s="5" t="str">
        <f ca="1">IFERROR(__xludf.DUMMYFUNCTION("""COMPUTED_VALUE"""),"Both Inside/Outside")</f>
        <v>Both Inside/Outside</v>
      </c>
      <c r="U1363" s="5" t="str">
        <f ca="1">IFERROR(__xludf.DUMMYFUNCTION("""COMPUTED_VALUE"""),"Yes")</f>
        <v>Yes</v>
      </c>
      <c r="V1363" s="5" t="str">
        <f ca="1">IFERROR(__xludf.DUMMYFUNCTION("""COMPUTED_VALUE"""),"Afternoon Classes")</f>
        <v>Afternoon Classes</v>
      </c>
      <c r="W1363" s="10">
        <f ca="1">IFERROR(__xludf.DUMMYFUNCTION("""COMPUTED_VALUE"""),0.59375)</f>
        <v>0.59375</v>
      </c>
      <c r="X1363" s="5"/>
      <c r="Y1363" s="5" t="str">
        <f ca="1">IFERROR(__xludf.DUMMYFUNCTION("""COMPUTED_VALUE"""),"Planned attack after watching show about Columbine High School")</f>
        <v>Planned attack after watching show about Columbine High School</v>
      </c>
      <c r="Z1363" s="5" t="str">
        <f ca="1">IFERROR(__xludf.DUMMYFUNCTION("""COMPUTED_VALUE"""),"15YOM was angry about grades and wanted to live with biological father in different state. Watched a show about the Columbine High School attack and wanted to kill as many people at his school as possible. Fired shot at the school from 150 yards away. 10 "&amp;"students were injured by broken glass when bullets struck the classroom windows. Fled the area and was arrested at his house.")</f>
        <v>15YOM was angry about grades and wanted to live with biological father in different state. Watched a show about the Columbine High School attack and wanted to kill as many people at his school as possible. Fired shot at the school from 150 yards away. 10 students were injured by broken glass when bullets struck the classroom windows. Fled the area and was arrested at his house.</v>
      </c>
      <c r="AA1363" s="5" t="str">
        <f ca="1">IFERROR(__xludf.DUMMYFUNCTION("""COMPUTED_VALUE"""),"Indiscriminate Shooting")</f>
        <v>Indiscriminate Shooting</v>
      </c>
      <c r="AB1363" s="5" t="str">
        <f ca="1">IFERROR(__xludf.DUMMYFUNCTION("""COMPUTED_VALUE"""),"Random Shooting")</f>
        <v>Random Shooting</v>
      </c>
      <c r="AC1363" s="5" t="str">
        <f ca="1">IFERROR(__xludf.DUMMYFUNCTION("""COMPUTED_VALUE"""),"No")</f>
        <v>No</v>
      </c>
      <c r="AD1363" s="5" t="str">
        <f ca="1">IFERROR(__xludf.DUMMYFUNCTION("""COMPUTED_VALUE"""),"No")</f>
        <v>No</v>
      </c>
      <c r="AE1363" s="5" t="str">
        <f ca="1">IFERROR(__xludf.DUMMYFUNCTION("""COMPUTED_VALUE"""),"No")</f>
        <v>No</v>
      </c>
      <c r="AF1363" s="5" t="str">
        <f ca="1">IFERROR(__xludf.DUMMYFUNCTION("""COMPUTED_VALUE"""),"No")</f>
        <v>No</v>
      </c>
      <c r="AG1363" s="5" t="str">
        <f ca="1">IFERROR(__xludf.DUMMYFUNCTION("""COMPUTED_VALUE"""),"No")</f>
        <v>No</v>
      </c>
      <c r="AH1363" s="5" t="str">
        <f ca="1">IFERROR(__xludf.DUMMYFUNCTION("""COMPUTED_VALUE"""),"No")</f>
        <v>No</v>
      </c>
      <c r="AI1363" s="5" t="str">
        <f ca="1">IFERROR(__xludf.DUMMYFUNCTION("""COMPUTED_VALUE"""),"No")</f>
        <v>No</v>
      </c>
      <c r="AJ1363" s="5" t="str">
        <f ca="1">IFERROR(__xludf.DUMMYFUNCTION("""COMPUTED_VALUE"""),"Yes")</f>
        <v>Yes</v>
      </c>
    </row>
    <row r="1364" spans="1:36" ht="13">
      <c r="A1364" s="5" t="str">
        <f ca="1">IFERROR(__xludf.DUMMYFUNCTION("""COMPUTED_VALUE"""),"20070410ILCHC")</f>
        <v>20070410ILCHC</v>
      </c>
      <c r="B1364" s="5">
        <f ca="1">IFERROR(__xludf.DUMMYFUNCTION("""COMPUTED_VALUE"""),4)</f>
        <v>4</v>
      </c>
      <c r="C1364" s="5">
        <f ca="1">IFERROR(__xludf.DUMMYFUNCTION("""COMPUTED_VALUE"""),10)</f>
        <v>10</v>
      </c>
      <c r="D1364" s="5">
        <f ca="1">IFERROR(__xludf.DUMMYFUNCTION("""COMPUTED_VALUE"""),2007)</f>
        <v>2007</v>
      </c>
      <c r="E1364" s="8">
        <f ca="1">IFERROR(__xludf.DUMMYFUNCTION("""COMPUTED_VALUE"""),39182)</f>
        <v>39182</v>
      </c>
      <c r="F1364" s="5" t="str">
        <f ca="1">IFERROR(__xludf.DUMMYFUNCTION("""COMPUTED_VALUE"""),"Chicago Vocational Career Academy")</f>
        <v>Chicago Vocational Career Academy</v>
      </c>
      <c r="G1364" s="5">
        <f ca="1">IFERROR(__xludf.DUMMYFUNCTION("""COMPUTED_VALUE"""),0)</f>
        <v>0</v>
      </c>
      <c r="H1364" s="5">
        <f ca="1">IFERROR(__xludf.DUMMYFUNCTION("""COMPUTED_VALUE"""),1)</f>
        <v>1</v>
      </c>
      <c r="I1364" s="5">
        <f ca="1">IFERROR(__xludf.DUMMYFUNCTION("""COMPUTED_VALUE"""),1)</f>
        <v>1</v>
      </c>
      <c r="J1364" s="5">
        <f ca="1">IFERROR(__xludf.DUMMYFUNCTION("""COMPUTED_VALUE"""),0)</f>
        <v>0</v>
      </c>
      <c r="K1364" s="9" t="str">
        <f ca="1">IFERROR(__xludf.DUMMYFUNCTION("""COMPUTED_VALUE"""),"http://articles.chicagotribune.com/2007-04-12/news/0704110994_1_school-shooting-city-school-leaders-schools-chief-arne-duncan")</f>
        <v>http://articles.chicagotribune.com/2007-04-12/news/0704110994_1_school-shooting-city-school-leaders-schools-chief-arne-duncan</v>
      </c>
      <c r="L1364" s="5"/>
      <c r="M1364" s="5"/>
      <c r="N1364" s="5">
        <f ca="1">IFERROR(__xludf.DUMMYFUNCTION("""COMPUTED_VALUE"""),2)</f>
        <v>2</v>
      </c>
      <c r="O1364" s="5" t="str">
        <f ca="1">IFERROR(__xludf.DUMMYFUNCTION("""COMPUTED_VALUE"""),"Spring")</f>
        <v>Spring</v>
      </c>
      <c r="P1364" s="5" t="str">
        <f ca="1">IFERROR(__xludf.DUMMYFUNCTION("""COMPUTED_VALUE"""),"Chicago")</f>
        <v>Chicago</v>
      </c>
      <c r="Q1364" s="5" t="str">
        <f ca="1">IFERROR(__xludf.DUMMYFUNCTION("""COMPUTED_VALUE"""),"IL")</f>
        <v>IL</v>
      </c>
      <c r="R1364" s="5" t="str">
        <f ca="1">IFERROR(__xludf.DUMMYFUNCTION("""COMPUTED_VALUE"""),"Other")</f>
        <v>Other</v>
      </c>
      <c r="S1364" s="5" t="str">
        <f ca="1">IFERROR(__xludf.DUMMYFUNCTION("""COMPUTED_VALUE"""),"Classroom")</f>
        <v>Classroom</v>
      </c>
      <c r="T1364" s="5" t="str">
        <f ca="1">IFERROR(__xludf.DUMMYFUNCTION("""COMPUTED_VALUE"""),"Inside School Building")</f>
        <v>Inside School Building</v>
      </c>
      <c r="U1364" s="5" t="str">
        <f ca="1">IFERROR(__xludf.DUMMYFUNCTION("""COMPUTED_VALUE"""),"Yes")</f>
        <v>Yes</v>
      </c>
      <c r="V1364" s="5" t="str">
        <f ca="1">IFERROR(__xludf.DUMMYFUNCTION("""COMPUTED_VALUE"""),"Afternoon Classes")</f>
        <v>Afternoon Classes</v>
      </c>
      <c r="W1364" s="10">
        <f ca="1">IFERROR(__xludf.DUMMYFUNCTION("""COMPUTED_VALUE"""),0.59375)</f>
        <v>0.59375</v>
      </c>
      <c r="X1364" s="5">
        <f ca="1">IFERROR(__xludf.DUMMYFUNCTION("""COMPUTED_VALUE"""),1)</f>
        <v>1</v>
      </c>
      <c r="Y1364" s="5" t="str">
        <f ca="1">IFERROR(__xludf.DUMMYFUNCTION("""COMPUTED_VALUE"""),"Student showing off gun, shot himself in leg, fled the area")</f>
        <v>Student showing off gun, shot himself in leg, fled the area</v>
      </c>
      <c r="Z1364" s="5" t="str">
        <f ca="1">IFERROR(__xludf.DUMMYFUNCTION("""COMPUTED_VALUE"""),"15YOM student was showing off gun in classroom. He had removed magazine but did not realize a round was in the chamber. Shot self in leg and fled the area but was arrested by police.")</f>
        <v>15YOM student was showing off gun in classroom. He had removed magazine but did not realize a round was in the chamber. Shot self in leg and fled the area but was arrested by police.</v>
      </c>
      <c r="AA1364" s="5" t="str">
        <f ca="1">IFERROR(__xludf.DUMMYFUNCTION("""COMPUTED_VALUE"""),"Accidental")</f>
        <v>Accidental</v>
      </c>
      <c r="AB1364" s="5" t="str">
        <f ca="1">IFERROR(__xludf.DUMMYFUNCTION("""COMPUTED_VALUE"""),"Random Shooting")</f>
        <v>Random Shooting</v>
      </c>
      <c r="AC1364" s="5" t="str">
        <f ca="1">IFERROR(__xludf.DUMMYFUNCTION("""COMPUTED_VALUE"""),"No")</f>
        <v>No</v>
      </c>
      <c r="AD1364" s="5" t="str">
        <f ca="1">IFERROR(__xludf.DUMMYFUNCTION("""COMPUTED_VALUE"""),"No")</f>
        <v>No</v>
      </c>
      <c r="AE1364" s="5" t="str">
        <f ca="1">IFERROR(__xludf.DUMMYFUNCTION("""COMPUTED_VALUE"""),"No")</f>
        <v>No</v>
      </c>
      <c r="AF1364" s="5" t="str">
        <f ca="1">IFERROR(__xludf.DUMMYFUNCTION("""COMPUTED_VALUE"""),"No")</f>
        <v>No</v>
      </c>
      <c r="AG1364" s="5" t="str">
        <f ca="1">IFERROR(__xludf.DUMMYFUNCTION("""COMPUTED_VALUE"""),"No")</f>
        <v>No</v>
      </c>
      <c r="AH1364" s="5" t="str">
        <f ca="1">IFERROR(__xludf.DUMMYFUNCTION("""COMPUTED_VALUE"""),"No")</f>
        <v>No</v>
      </c>
      <c r="AI1364" s="5" t="str">
        <f ca="1">IFERROR(__xludf.DUMMYFUNCTION("""COMPUTED_VALUE"""),"No")</f>
        <v>No</v>
      </c>
      <c r="AJ1364" s="5"/>
    </row>
    <row r="1365" spans="1:36" ht="13">
      <c r="A1365" s="5" t="str">
        <f ca="1">IFERROR(__xludf.DUMMYFUNCTION("""COMPUTED_VALUE"""),"20070329SCMYM")</f>
        <v>20070329SCMYM</v>
      </c>
      <c r="B1365" s="5">
        <f ca="1">IFERROR(__xludf.DUMMYFUNCTION("""COMPUTED_VALUE"""),3)</f>
        <v>3</v>
      </c>
      <c r="C1365" s="5">
        <f ca="1">IFERROR(__xludf.DUMMYFUNCTION("""COMPUTED_VALUE"""),29)</f>
        <v>29</v>
      </c>
      <c r="D1365" s="5">
        <f ca="1">IFERROR(__xludf.DUMMYFUNCTION("""COMPUTED_VALUE"""),2007)</f>
        <v>2007</v>
      </c>
      <c r="E1365" s="8">
        <f ca="1">IFERROR(__xludf.DUMMYFUNCTION("""COMPUTED_VALUE"""),39170)</f>
        <v>39170</v>
      </c>
      <c r="F1365" s="5" t="str">
        <f ca="1">IFERROR(__xludf.DUMMYFUNCTION("""COMPUTED_VALUE"""),"Myrtle Beach High School")</f>
        <v>Myrtle Beach High School</v>
      </c>
      <c r="G1365" s="5">
        <f ca="1">IFERROR(__xludf.DUMMYFUNCTION("""COMPUTED_VALUE"""),0)</f>
        <v>0</v>
      </c>
      <c r="H1365" s="5">
        <f ca="1">IFERROR(__xludf.DUMMYFUNCTION("""COMPUTED_VALUE"""),0)</f>
        <v>0</v>
      </c>
      <c r="I1365" s="5">
        <f ca="1">IFERROR(__xludf.DUMMYFUNCTION("""COMPUTED_VALUE"""),0)</f>
        <v>0</v>
      </c>
      <c r="J1365" s="5">
        <f ca="1">IFERROR(__xludf.DUMMYFUNCTION("""COMPUTED_VALUE"""),0)</f>
        <v>0</v>
      </c>
      <c r="K1365" s="9" t="str">
        <f ca="1">IFERROR(__xludf.DUMMYFUNCTION("""COMPUTED_VALUE"""),"http://www.wistv.com/story/6297864/student-shoots-himself-in-leg-at-myrtle-beach-high-school?clienttype=printable")</f>
        <v>http://www.wistv.com/story/6297864/student-shoots-himself-in-leg-at-myrtle-beach-high-school?clienttype=printable</v>
      </c>
      <c r="L1365" s="5"/>
      <c r="M1365" s="5"/>
      <c r="N1365" s="5">
        <f ca="1">IFERROR(__xludf.DUMMYFUNCTION("""COMPUTED_VALUE"""),2)</f>
        <v>2</v>
      </c>
      <c r="O1365" s="5" t="str">
        <f ca="1">IFERROR(__xludf.DUMMYFUNCTION("""COMPUTED_VALUE"""),"Spring")</f>
        <v>Spring</v>
      </c>
      <c r="P1365" s="5" t="str">
        <f ca="1">IFERROR(__xludf.DUMMYFUNCTION("""COMPUTED_VALUE"""),"Myrtle Beach")</f>
        <v>Myrtle Beach</v>
      </c>
      <c r="Q1365" s="5" t="str">
        <f ca="1">IFERROR(__xludf.DUMMYFUNCTION("""COMPUTED_VALUE"""),"SC")</f>
        <v>SC</v>
      </c>
      <c r="R1365" s="5" t="str">
        <f ca="1">IFERROR(__xludf.DUMMYFUNCTION("""COMPUTED_VALUE"""),"High")</f>
        <v>High</v>
      </c>
      <c r="S1365" s="5" t="str">
        <f ca="1">IFERROR(__xludf.DUMMYFUNCTION("""COMPUTED_VALUE"""),"Classroom")</f>
        <v>Classroom</v>
      </c>
      <c r="T1365" s="5" t="str">
        <f ca="1">IFERROR(__xludf.DUMMYFUNCTION("""COMPUTED_VALUE"""),"Inside School Building")</f>
        <v>Inside School Building</v>
      </c>
      <c r="U1365" s="5" t="str">
        <f ca="1">IFERROR(__xludf.DUMMYFUNCTION("""COMPUTED_VALUE"""),"Yes")</f>
        <v>Yes</v>
      </c>
      <c r="V1365" s="5"/>
      <c r="W1365" s="5"/>
      <c r="X1365" s="5">
        <f ca="1">IFERROR(__xludf.DUMMYFUNCTION("""COMPUTED_VALUE"""),1)</f>
        <v>1</v>
      </c>
      <c r="Y1365" s="5" t="str">
        <f ca="1">IFERROR(__xludf.DUMMYFUNCTION("""COMPUTED_VALUE"""),"Shot self in leg (gun in pocket) in classroom")</f>
        <v>Shot self in leg (gun in pocket) in classroom</v>
      </c>
      <c r="Z1365" s="5" t="str">
        <f ca="1">IFERROR(__xludf.DUMMYFUNCTION("""COMPUTED_VALUE"""),"18YOM student (star basketball player) shot self in the leg during class. Student had gun in pocket.")</f>
        <v>18YOM student (star basketball player) shot self in the leg during class. Student had gun in pocket.</v>
      </c>
      <c r="AA1365" s="5" t="str">
        <f ca="1">IFERROR(__xludf.DUMMYFUNCTION("""COMPUTED_VALUE"""),"Accidental")</f>
        <v>Accidental</v>
      </c>
      <c r="AB1365" s="5" t="str">
        <f ca="1">IFERROR(__xludf.DUMMYFUNCTION("""COMPUTED_VALUE"""),"Random Shooting")</f>
        <v>Random Shooting</v>
      </c>
      <c r="AC1365" s="5" t="str">
        <f ca="1">IFERROR(__xludf.DUMMYFUNCTION("""COMPUTED_VALUE"""),"No")</f>
        <v>No</v>
      </c>
      <c r="AD1365" s="5" t="str">
        <f ca="1">IFERROR(__xludf.DUMMYFUNCTION("""COMPUTED_VALUE"""),"No")</f>
        <v>No</v>
      </c>
      <c r="AE1365" s="5" t="str">
        <f ca="1">IFERROR(__xludf.DUMMYFUNCTION("""COMPUTED_VALUE"""),"No")</f>
        <v>No</v>
      </c>
      <c r="AF1365" s="5" t="str">
        <f ca="1">IFERROR(__xludf.DUMMYFUNCTION("""COMPUTED_VALUE"""),"No")</f>
        <v>No</v>
      </c>
      <c r="AG1365" s="5" t="str">
        <f ca="1">IFERROR(__xludf.DUMMYFUNCTION("""COMPUTED_VALUE"""),"No")</f>
        <v>No</v>
      </c>
      <c r="AH1365" s="5" t="str">
        <f ca="1">IFERROR(__xludf.DUMMYFUNCTION("""COMPUTED_VALUE"""),"No")</f>
        <v>No</v>
      </c>
      <c r="AI1365" s="5" t="str">
        <f ca="1">IFERROR(__xludf.DUMMYFUNCTION("""COMPUTED_VALUE"""),"No")</f>
        <v>No</v>
      </c>
      <c r="AJ1365" s="5"/>
    </row>
    <row r="1366" spans="1:36" ht="13">
      <c r="A1366" s="5" t="str">
        <f ca="1">IFERROR(__xludf.DUMMYFUNCTION("""COMPUTED_VALUE"""),"20070327CTSAH")</f>
        <v>20070327CTSAH</v>
      </c>
      <c r="B1366" s="5">
        <f ca="1">IFERROR(__xludf.DUMMYFUNCTION("""COMPUTED_VALUE"""),3)</f>
        <v>3</v>
      </c>
      <c r="C1366" s="5">
        <f ca="1">IFERROR(__xludf.DUMMYFUNCTION("""COMPUTED_VALUE"""),27)</f>
        <v>27</v>
      </c>
      <c r="D1366" s="5">
        <f ca="1">IFERROR(__xludf.DUMMYFUNCTION("""COMPUTED_VALUE"""),2007)</f>
        <v>2007</v>
      </c>
      <c r="E1366" s="8">
        <f ca="1">IFERROR(__xludf.DUMMYFUNCTION("""COMPUTED_VALUE"""),39168)</f>
        <v>39168</v>
      </c>
      <c r="F1366" s="5" t="str">
        <f ca="1">IFERROR(__xludf.DUMMYFUNCTION("""COMPUTED_VALUE"""),"Sarah J. Rawson Elementary School")</f>
        <v>Sarah J. Rawson Elementary School</v>
      </c>
      <c r="G1366" s="5">
        <f ca="1">IFERROR(__xludf.DUMMYFUNCTION("""COMPUTED_VALUE"""),0)</f>
        <v>0</v>
      </c>
      <c r="H1366" s="5">
        <f ca="1">IFERROR(__xludf.DUMMYFUNCTION("""COMPUTED_VALUE"""),1)</f>
        <v>1</v>
      </c>
      <c r="I1366" s="5">
        <f ca="1">IFERROR(__xludf.DUMMYFUNCTION("""COMPUTED_VALUE"""),1)</f>
        <v>1</v>
      </c>
      <c r="J1366" s="5">
        <f ca="1">IFERROR(__xludf.DUMMYFUNCTION("""COMPUTED_VALUE"""),0)</f>
        <v>0</v>
      </c>
      <c r="K1366" s="9" t="str">
        <f ca="1">IFERROR(__xludf.DUMMYFUNCTION("""COMPUTED_VALUE"""),"https://www.newspapers.com/image/243778502/?terms=Sarah%2BJ.%2BRawson%2BElementary%2BSchool%2Bshot")</f>
        <v>https://www.newspapers.com/image/243778502/?terms=Sarah%2BJ.%2BRawson%2BElementary%2BSchool%2Bshot</v>
      </c>
      <c r="L1366" s="5"/>
      <c r="M1366" s="5"/>
      <c r="N1366" s="5">
        <f ca="1">IFERROR(__xludf.DUMMYFUNCTION("""COMPUTED_VALUE"""),2)</f>
        <v>2</v>
      </c>
      <c r="O1366" s="5" t="str">
        <f ca="1">IFERROR(__xludf.DUMMYFUNCTION("""COMPUTED_VALUE"""),"Spring")</f>
        <v>Spring</v>
      </c>
      <c r="P1366" s="5" t="str">
        <f ca="1">IFERROR(__xludf.DUMMYFUNCTION("""COMPUTED_VALUE"""),"Hartford")</f>
        <v>Hartford</v>
      </c>
      <c r="Q1366" s="5" t="str">
        <f ca="1">IFERROR(__xludf.DUMMYFUNCTION("""COMPUTED_VALUE"""),"CT")</f>
        <v>CT</v>
      </c>
      <c r="R1366" s="5" t="str">
        <f ca="1">IFERROR(__xludf.DUMMYFUNCTION("""COMPUTED_VALUE"""),"Elementary")</f>
        <v>Elementary</v>
      </c>
      <c r="S1366" s="5" t="str">
        <f ca="1">IFERROR(__xludf.DUMMYFUNCTION("""COMPUTED_VALUE"""),"Basketball Court")</f>
        <v>Basketball Court</v>
      </c>
      <c r="T1366" s="5" t="str">
        <f ca="1">IFERROR(__xludf.DUMMYFUNCTION("""COMPUTED_VALUE"""),"Outside on School Property")</f>
        <v>Outside on School Property</v>
      </c>
      <c r="U1366" s="5" t="str">
        <f ca="1">IFERROR(__xludf.DUMMYFUNCTION("""COMPUTED_VALUE"""),"No")</f>
        <v>No</v>
      </c>
      <c r="V1366" s="5" t="str">
        <f ca="1">IFERROR(__xludf.DUMMYFUNCTION("""COMPUTED_VALUE"""),"Sport Event")</f>
        <v>Sport Event</v>
      </c>
      <c r="W1366" s="10">
        <f ca="1">IFERROR(__xludf.DUMMYFUNCTION("""COMPUTED_VALUE"""),0.770833333333333)</f>
        <v>0.77083333333333304</v>
      </c>
      <c r="X1366" s="5">
        <f ca="1">IFERROR(__xludf.DUMMYFUNCTION("""COMPUTED_VALUE"""),1)</f>
        <v>1</v>
      </c>
      <c r="Y1366" s="5" t="str">
        <f ca="1">IFERROR(__xludf.DUMMYFUNCTION("""COMPUTED_VALUE"""),"Shot in leg during fight at basketball game")</f>
        <v>Shot in leg during fight at basketball game</v>
      </c>
      <c r="Z1366" s="5" t="str">
        <f ca="1">IFERROR(__xludf.DUMMYFUNCTION("""COMPUTED_VALUE"""),"16YOM was shot in leg during fight between non-student during a basketball game at the elementary school. Shooter fled and was not identified.")</f>
        <v>16YOM was shot in leg during fight between non-student during a basketball game at the elementary school. Shooter fled and was not identified.</v>
      </c>
      <c r="AA1366" s="5" t="str">
        <f ca="1">IFERROR(__xludf.DUMMYFUNCTION("""COMPUTED_VALUE"""),"Escalation of Dispute")</f>
        <v>Escalation of Dispute</v>
      </c>
      <c r="AB1366" s="5" t="str">
        <f ca="1">IFERROR(__xludf.DUMMYFUNCTION("""COMPUTED_VALUE"""),"Victims Targeted")</f>
        <v>Victims Targeted</v>
      </c>
      <c r="AC1366" s="5" t="str">
        <f ca="1">IFERROR(__xludf.DUMMYFUNCTION("""COMPUTED_VALUE"""),"No")</f>
        <v>No</v>
      </c>
      <c r="AD1366" s="5" t="str">
        <f ca="1">IFERROR(__xludf.DUMMYFUNCTION("""COMPUTED_VALUE"""),"No")</f>
        <v>No</v>
      </c>
      <c r="AE1366" s="5" t="str">
        <f ca="1">IFERROR(__xludf.DUMMYFUNCTION("""COMPUTED_VALUE"""),"No")</f>
        <v>No</v>
      </c>
      <c r="AF1366" s="5" t="str">
        <f ca="1">IFERROR(__xludf.DUMMYFUNCTION("""COMPUTED_VALUE"""),"No")</f>
        <v>No</v>
      </c>
      <c r="AG1366" s="5" t="str">
        <f ca="1">IFERROR(__xludf.DUMMYFUNCTION("""COMPUTED_VALUE"""),"No")</f>
        <v>No</v>
      </c>
      <c r="AH1366" s="5" t="str">
        <f ca="1">IFERROR(__xludf.DUMMYFUNCTION("""COMPUTED_VALUE"""),"No")</f>
        <v>No</v>
      </c>
      <c r="AI1366" s="5" t="str">
        <f ca="1">IFERROR(__xludf.DUMMYFUNCTION("""COMPUTED_VALUE"""),"No")</f>
        <v>No</v>
      </c>
      <c r="AJ1366" s="5"/>
    </row>
    <row r="1367" spans="1:36" ht="13">
      <c r="A1367" s="5" t="str">
        <f ca="1">IFERROR(__xludf.DUMMYFUNCTION("""COMPUTED_VALUE"""),"20070323FLUNO")</f>
        <v>20070323FLUNO</v>
      </c>
      <c r="B1367" s="5">
        <f ca="1">IFERROR(__xludf.DUMMYFUNCTION("""COMPUTED_VALUE"""),3)</f>
        <v>3</v>
      </c>
      <c r="C1367" s="5">
        <f ca="1">IFERROR(__xludf.DUMMYFUNCTION("""COMPUTED_VALUE"""),23)</f>
        <v>23</v>
      </c>
      <c r="D1367" s="5">
        <f ca="1">IFERROR(__xludf.DUMMYFUNCTION("""COMPUTED_VALUE"""),2007)</f>
        <v>2007</v>
      </c>
      <c r="E1367" s="8">
        <f ca="1">IFERROR(__xludf.DUMMYFUNCTION("""COMPUTED_VALUE"""),39164)</f>
        <v>39164</v>
      </c>
      <c r="F1367" s="5" t="str">
        <f ca="1">IFERROR(__xludf.DUMMYFUNCTION("""COMPUTED_VALUE"""),"Union Park Elementary School")</f>
        <v>Union Park Elementary School</v>
      </c>
      <c r="G1367" s="5">
        <f ca="1">IFERROR(__xludf.DUMMYFUNCTION("""COMPUTED_VALUE"""),0)</f>
        <v>0</v>
      </c>
      <c r="H1367" s="5">
        <f ca="1">IFERROR(__xludf.DUMMYFUNCTION("""COMPUTED_VALUE"""),1)</f>
        <v>1</v>
      </c>
      <c r="I1367" s="5">
        <f ca="1">IFERROR(__xludf.DUMMYFUNCTION("""COMPUTED_VALUE"""),1)</f>
        <v>1</v>
      </c>
      <c r="J1367" s="5">
        <f ca="1">IFERROR(__xludf.DUMMYFUNCTION("""COMPUTED_VALUE"""),0)</f>
        <v>0</v>
      </c>
      <c r="K1367" s="9" t="str">
        <f ca="1">IFERROR(__xludf.DUMMYFUNCTION("""COMPUTED_VALUE"""),"https://www.columbine-angels.com/School_Violence_2006-2007.htm")</f>
        <v>https://www.columbine-angels.com/School_Violence_2006-2007.htm</v>
      </c>
      <c r="L1367" s="5"/>
      <c r="M1367" s="5"/>
      <c r="N1367" s="5">
        <f ca="1">IFERROR(__xludf.DUMMYFUNCTION("""COMPUTED_VALUE"""),1)</f>
        <v>1</v>
      </c>
      <c r="O1367" s="5" t="str">
        <f ca="1">IFERROR(__xludf.DUMMYFUNCTION("""COMPUTED_VALUE"""),"Spring")</f>
        <v>Spring</v>
      </c>
      <c r="P1367" s="5" t="str">
        <f ca="1">IFERROR(__xludf.DUMMYFUNCTION("""COMPUTED_VALUE"""),"Orlando")</f>
        <v>Orlando</v>
      </c>
      <c r="Q1367" s="5" t="str">
        <f ca="1">IFERROR(__xludf.DUMMYFUNCTION("""COMPUTED_VALUE"""),"FL")</f>
        <v>FL</v>
      </c>
      <c r="R1367" s="5" t="str">
        <f ca="1">IFERROR(__xludf.DUMMYFUNCTION("""COMPUTED_VALUE"""),"Elementary")</f>
        <v>Elementary</v>
      </c>
      <c r="S1367" s="5" t="str">
        <f ca="1">IFERROR(__xludf.DUMMYFUNCTION("""COMPUTED_VALUE"""),"Bathroom")</f>
        <v>Bathroom</v>
      </c>
      <c r="T1367" s="5" t="str">
        <f ca="1">IFERROR(__xludf.DUMMYFUNCTION("""COMPUTED_VALUE"""),"Inside School Building")</f>
        <v>Inside School Building</v>
      </c>
      <c r="U1367" s="5" t="str">
        <f ca="1">IFERROR(__xludf.DUMMYFUNCTION("""COMPUTED_VALUE"""),"Yes")</f>
        <v>Yes</v>
      </c>
      <c r="V1367" s="5" t="str">
        <f ca="1">IFERROR(__xludf.DUMMYFUNCTION("""COMPUTED_VALUE"""),"Afternoon Classes")</f>
        <v>Afternoon Classes</v>
      </c>
      <c r="W1367" s="10">
        <f ca="1">IFERROR(__xludf.DUMMYFUNCTION("""COMPUTED_VALUE"""),0.625)</f>
        <v>0.625</v>
      </c>
      <c r="X1367" s="5">
        <f ca="1">IFERROR(__xludf.DUMMYFUNCTION("""COMPUTED_VALUE"""),1)</f>
        <v>1</v>
      </c>
      <c r="Y1367" s="5" t="str">
        <f ca="1">IFERROR(__xludf.DUMMYFUNCTION("""COMPUTED_VALUE"""),"Two students held down 3rd student and shot him with pellet gun")</f>
        <v>Two students held down 3rd student and shot him with pellet gun</v>
      </c>
      <c r="Z1367" s="5" t="str">
        <f ca="1">IFERROR(__xludf.DUMMYFUNCTION("""COMPUTED_VALUE"""),"Two male students (12 and 10) went into one of their school's restrooms and pulled out a pellet gun they had hidden in a backpack.  An unidentified third-grader entered the bathroom to use the facilities. The older students grabbed the younger boy, held h"&amp;"im down and fired the pellet gun at his arm and chest. The younger student suffered major bruising to his skin, however the pellets did not penetrate his skin.")</f>
        <v>Two male students (12 and 10) went into one of their school's restrooms and pulled out a pellet gun they had hidden in a backpack.  An unidentified third-grader entered the bathroom to use the facilities. The older students grabbed the younger boy, held him down and fired the pellet gun at his arm and chest. The younger student suffered major bruising to his skin, however the pellets did not penetrate his skin.</v>
      </c>
      <c r="AA1367" s="5" t="str">
        <f ca="1">IFERROR(__xludf.DUMMYFUNCTION("""COMPUTED_VALUE"""),"Bullying")</f>
        <v>Bullying</v>
      </c>
      <c r="AB1367" s="5" t="str">
        <f ca="1">IFERROR(__xludf.DUMMYFUNCTION("""COMPUTED_VALUE"""),"Random Shooting")</f>
        <v>Random Shooting</v>
      </c>
      <c r="AC1367" s="5" t="str">
        <f ca="1">IFERROR(__xludf.DUMMYFUNCTION("""COMPUTED_VALUE"""),"Yes")</f>
        <v>Yes</v>
      </c>
      <c r="AD1367" s="5" t="str">
        <f ca="1">IFERROR(__xludf.DUMMYFUNCTION("""COMPUTED_VALUE"""),"No")</f>
        <v>No</v>
      </c>
      <c r="AE1367" s="5" t="str">
        <f ca="1">IFERROR(__xludf.DUMMYFUNCTION("""COMPUTED_VALUE"""),"No")</f>
        <v>No</v>
      </c>
      <c r="AF1367" s="5" t="str">
        <f ca="1">IFERROR(__xludf.DUMMYFUNCTION("""COMPUTED_VALUE"""),"No")</f>
        <v>No</v>
      </c>
      <c r="AG1367" s="5" t="str">
        <f ca="1">IFERROR(__xludf.DUMMYFUNCTION("""COMPUTED_VALUE"""),"Yes")</f>
        <v>Yes</v>
      </c>
      <c r="AH1367" s="5" t="str">
        <f ca="1">IFERROR(__xludf.DUMMYFUNCTION("""COMPUTED_VALUE"""),"No")</f>
        <v>No</v>
      </c>
      <c r="AI1367" s="5" t="str">
        <f ca="1">IFERROR(__xludf.DUMMYFUNCTION("""COMPUTED_VALUE"""),"No")</f>
        <v>No</v>
      </c>
      <c r="AJ1367" s="5"/>
    </row>
    <row r="1368" spans="1:36" ht="13">
      <c r="A1368" s="5" t="str">
        <f ca="1">IFERROR(__xludf.DUMMYFUNCTION("""COMPUTED_VALUE"""),"20070308TNEAC")</f>
        <v>20070308TNEAC</v>
      </c>
      <c r="B1368" s="5">
        <f ca="1">IFERROR(__xludf.DUMMYFUNCTION("""COMPUTED_VALUE"""),3)</f>
        <v>3</v>
      </c>
      <c r="C1368" s="5">
        <f ca="1">IFERROR(__xludf.DUMMYFUNCTION("""COMPUTED_VALUE"""),8)</f>
        <v>8</v>
      </c>
      <c r="D1368" s="5">
        <f ca="1">IFERROR(__xludf.DUMMYFUNCTION("""COMPUTED_VALUE"""),2007)</f>
        <v>2007</v>
      </c>
      <c r="E1368" s="8">
        <f ca="1">IFERROR(__xludf.DUMMYFUNCTION("""COMPUTED_VALUE"""),39149)</f>
        <v>39149</v>
      </c>
      <c r="F1368" s="5" t="str">
        <f ca="1">IFERROR(__xludf.DUMMYFUNCTION("""COMPUTED_VALUE"""),"East Ridge High School")</f>
        <v>East Ridge High School</v>
      </c>
      <c r="G1368" s="5">
        <f ca="1">IFERROR(__xludf.DUMMYFUNCTION("""COMPUTED_VALUE"""),0)</f>
        <v>0</v>
      </c>
      <c r="H1368" s="5">
        <f ca="1">IFERROR(__xludf.DUMMYFUNCTION("""COMPUTED_VALUE"""),0)</f>
        <v>0</v>
      </c>
      <c r="I1368" s="5">
        <f ca="1">IFERROR(__xludf.DUMMYFUNCTION("""COMPUTED_VALUE"""),0)</f>
        <v>0</v>
      </c>
      <c r="J1368" s="5">
        <f ca="1">IFERROR(__xludf.DUMMYFUNCTION("""COMPUTED_VALUE"""),0)</f>
        <v>0</v>
      </c>
      <c r="K1368" s="9" t="str">
        <f ca="1">IFERROR(__xludf.DUMMYFUNCTION("""COMPUTED_VALUE"""),"https://www.newspapers.com/image/284085985/?terms=east%2Bridge%2Bhigh%2Bschool")</f>
        <v>https://www.newspapers.com/image/284085985/?terms=east%2Bridge%2Bhigh%2Bschool</v>
      </c>
      <c r="L1368" s="5"/>
      <c r="M1368" s="5"/>
      <c r="N1368" s="5">
        <f ca="1">IFERROR(__xludf.DUMMYFUNCTION("""COMPUTED_VALUE"""),2)</f>
        <v>2</v>
      </c>
      <c r="O1368" s="5" t="str">
        <f ca="1">IFERROR(__xludf.DUMMYFUNCTION("""COMPUTED_VALUE"""),"Spring")</f>
        <v>Spring</v>
      </c>
      <c r="P1368" s="5" t="str">
        <f ca="1">IFERROR(__xludf.DUMMYFUNCTION("""COMPUTED_VALUE"""),"Chattanooga")</f>
        <v>Chattanooga</v>
      </c>
      <c r="Q1368" s="5" t="str">
        <f ca="1">IFERROR(__xludf.DUMMYFUNCTION("""COMPUTED_VALUE"""),"TN")</f>
        <v>TN</v>
      </c>
      <c r="R1368" s="5" t="str">
        <f ca="1">IFERROR(__xludf.DUMMYFUNCTION("""COMPUTED_VALUE"""),"High")</f>
        <v>High</v>
      </c>
      <c r="S1368" s="5" t="str">
        <f ca="1">IFERROR(__xludf.DUMMYFUNCTION("""COMPUTED_VALUE"""),"Hallway")</f>
        <v>Hallway</v>
      </c>
      <c r="T1368" s="5" t="str">
        <f ca="1">IFERROR(__xludf.DUMMYFUNCTION("""COMPUTED_VALUE"""),"Inside School Building")</f>
        <v>Inside School Building</v>
      </c>
      <c r="U1368" s="5" t="str">
        <f ca="1">IFERROR(__xludf.DUMMYFUNCTION("""COMPUTED_VALUE"""),"Yes")</f>
        <v>Yes</v>
      </c>
      <c r="V1368" s="5" t="str">
        <f ca="1">IFERROR(__xludf.DUMMYFUNCTION("""COMPUTED_VALUE"""),"After School")</f>
        <v>After School</v>
      </c>
      <c r="W1368" s="10">
        <f ca="1">IFERROR(__xludf.DUMMYFUNCTION("""COMPUTED_VALUE"""),0.597222222222222)</f>
        <v>0.59722222222222199</v>
      </c>
      <c r="X1368" s="5">
        <f ca="1">IFERROR(__xludf.DUMMYFUNCTION("""COMPUTED_VALUE"""),1)</f>
        <v>1</v>
      </c>
      <c r="Y1368" s="5" t="str">
        <f ca="1">IFERROR(__xludf.DUMMYFUNCTION("""COMPUTED_VALUE"""),"Former custodian confronts school custodian over his love interest of her")</f>
        <v>Former custodian confronts school custodian over his love interest of her</v>
      </c>
      <c r="Z1368" s="5" t="str">
        <f ca="1">IFERROR(__xludf.DUMMYFUNCTION("""COMPUTED_VALUE"""),"62YOM former custodian at East Ridge, went back to the school today to talk to a female custodian.  He had been harassing the unnamed female by trying to create a relationship, which she rebuffed.  He entered the school through an unwatched side door over"&amp;" an hour after classes had ended (and most students had left the building).  The two custodians got into an argument.  The argument ended when Robert attempted suicide by shooting himself in the chest with a 9mm handgun.  He was taken to Erlanger Medical "&amp;"Center and is listed in critical condition.  Police charged him with stalking, carrying a weapon on school property, aggravated assault, felony reckless endangerment and unlawful possession of a firearm.")</f>
        <v>62YOM former custodian at East Ridge, went back to the school today to talk to a female custodian.  He had been harassing the unnamed female by trying to create a relationship, which she rebuffed.  He entered the school through an unwatched side door over an hour after classes had ended (and most students had left the building).  The two custodians got into an argument.  The argument ended when Robert attempted suicide by shooting himself in the chest with a 9mm handgun.  He was taken to Erlanger Medical Center and is listed in critical condition.  Police charged him with stalking, carrying a weapon on school property, aggravated assault, felony reckless endangerment and unlawful possession of a firearm.</v>
      </c>
      <c r="AA1368" s="5" t="str">
        <f ca="1">IFERROR(__xludf.DUMMYFUNCTION("""COMPUTED_VALUE"""),"Suicide/Attempted")</f>
        <v>Suicide/Attempted</v>
      </c>
      <c r="AB1368" s="5" t="str">
        <f ca="1">IFERROR(__xludf.DUMMYFUNCTION("""COMPUTED_VALUE"""),"Victims Targeted")</f>
        <v>Victims Targeted</v>
      </c>
      <c r="AC1368" s="5" t="str">
        <f ca="1">IFERROR(__xludf.DUMMYFUNCTION("""COMPUTED_VALUE"""),"No")</f>
        <v>No</v>
      </c>
      <c r="AD1368" s="5" t="str">
        <f ca="1">IFERROR(__xludf.DUMMYFUNCTION("""COMPUTED_VALUE"""),"No")</f>
        <v>No</v>
      </c>
      <c r="AE1368" s="5" t="str">
        <f ca="1">IFERROR(__xludf.DUMMYFUNCTION("""COMPUTED_VALUE"""),"No")</f>
        <v>No</v>
      </c>
      <c r="AF1368" s="5" t="str">
        <f ca="1">IFERROR(__xludf.DUMMYFUNCTION("""COMPUTED_VALUE"""),"No")</f>
        <v>No</v>
      </c>
      <c r="AG1368" s="5" t="str">
        <f ca="1">IFERROR(__xludf.DUMMYFUNCTION("""COMPUTED_VALUE"""),"No")</f>
        <v>No</v>
      </c>
      <c r="AH1368" s="5" t="str">
        <f ca="1">IFERROR(__xludf.DUMMYFUNCTION("""COMPUTED_VALUE"""),"Yes")</f>
        <v>Yes</v>
      </c>
      <c r="AI1368" s="5" t="str">
        <f ca="1">IFERROR(__xludf.DUMMYFUNCTION("""COMPUTED_VALUE"""),"No")</f>
        <v>No</v>
      </c>
      <c r="AJ1368" s="5"/>
    </row>
    <row r="1369" spans="1:36" ht="13">
      <c r="A1369" s="5" t="str">
        <f ca="1">IFERROR(__xludf.DUMMYFUNCTION("""COMPUTED_VALUE"""),"20070307CACEC")</f>
        <v>20070307CACEC</v>
      </c>
      <c r="B1369" s="5">
        <f ca="1">IFERROR(__xludf.DUMMYFUNCTION("""COMPUTED_VALUE"""),3)</f>
        <v>3</v>
      </c>
      <c r="C1369" s="5">
        <f ca="1">IFERROR(__xludf.DUMMYFUNCTION("""COMPUTED_VALUE"""),7)</f>
        <v>7</v>
      </c>
      <c r="D1369" s="5">
        <f ca="1">IFERROR(__xludf.DUMMYFUNCTION("""COMPUTED_VALUE"""),2007)</f>
        <v>2007</v>
      </c>
      <c r="E1369" s="8">
        <f ca="1">IFERROR(__xludf.DUMMYFUNCTION("""COMPUTED_VALUE"""),39148)</f>
        <v>39148</v>
      </c>
      <c r="F1369" s="5" t="str">
        <f ca="1">IFERROR(__xludf.DUMMYFUNCTION("""COMPUTED_VALUE"""),"Centennial High School")</f>
        <v>Centennial High School</v>
      </c>
      <c r="G1369" s="5">
        <f ca="1">IFERROR(__xludf.DUMMYFUNCTION("""COMPUTED_VALUE"""),0)</f>
        <v>0</v>
      </c>
      <c r="H1369" s="5">
        <f ca="1">IFERROR(__xludf.DUMMYFUNCTION("""COMPUTED_VALUE"""),1)</f>
        <v>1</v>
      </c>
      <c r="I1369" s="5">
        <f ca="1">IFERROR(__xludf.DUMMYFUNCTION("""COMPUTED_VALUE"""),1)</f>
        <v>1</v>
      </c>
      <c r="J1369" s="5">
        <f ca="1">IFERROR(__xludf.DUMMYFUNCTION("""COMPUTED_VALUE"""),0)</f>
        <v>0</v>
      </c>
      <c r="K1369" s="5" t="str">
        <f ca="1">IFERROR(__xludf.DUMMYFUNCTION("""COMPUTED_VALUE"""),"https://www.presstelegram.com/2007/03/07/student-shot-in-compton/ http://articles.latimes.com/2007/mar/08/local/me-shooting8")</f>
        <v>https://www.presstelegram.com/2007/03/07/student-shot-in-compton/ http://articles.latimes.com/2007/mar/08/local/me-shooting8</v>
      </c>
      <c r="L1369" s="5"/>
      <c r="M1369" s="5"/>
      <c r="N1369" s="5">
        <f ca="1">IFERROR(__xludf.DUMMYFUNCTION("""COMPUTED_VALUE"""),3)</f>
        <v>3</v>
      </c>
      <c r="O1369" s="5" t="str">
        <f ca="1">IFERROR(__xludf.DUMMYFUNCTION("""COMPUTED_VALUE"""),"Spring")</f>
        <v>Spring</v>
      </c>
      <c r="P1369" s="5" t="str">
        <f ca="1">IFERROR(__xludf.DUMMYFUNCTION("""COMPUTED_VALUE"""),"Compton")</f>
        <v>Compton</v>
      </c>
      <c r="Q1369" s="5" t="str">
        <f ca="1">IFERROR(__xludf.DUMMYFUNCTION("""COMPUTED_VALUE"""),"CA")</f>
        <v>CA</v>
      </c>
      <c r="R1369" s="5" t="str">
        <f ca="1">IFERROR(__xludf.DUMMYFUNCTION("""COMPUTED_VALUE"""),"High")</f>
        <v>High</v>
      </c>
      <c r="S1369" s="5" t="str">
        <f ca="1">IFERROR(__xludf.DUMMYFUNCTION("""COMPUTED_VALUE"""),"Beside Building")</f>
        <v>Beside Building</v>
      </c>
      <c r="T1369" s="5" t="str">
        <f ca="1">IFERROR(__xludf.DUMMYFUNCTION("""COMPUTED_VALUE"""),"Outside on School Property")</f>
        <v>Outside on School Property</v>
      </c>
      <c r="U1369" s="5" t="str">
        <f ca="1">IFERROR(__xludf.DUMMYFUNCTION("""COMPUTED_VALUE"""),"No")</f>
        <v>No</v>
      </c>
      <c r="V1369" s="5" t="str">
        <f ca="1">IFERROR(__xludf.DUMMYFUNCTION("""COMPUTED_VALUE"""),"Afternoon Classes")</f>
        <v>Afternoon Classes</v>
      </c>
      <c r="W1369" s="10">
        <f ca="1">IFERROR(__xludf.DUMMYFUNCTION("""COMPUTED_VALUE"""),0.604166666666666)</f>
        <v>0.60416666666666596</v>
      </c>
      <c r="X1369" s="5">
        <f ca="1">IFERROR(__xludf.DUMMYFUNCTION("""COMPUTED_VALUE"""),1)</f>
        <v>1</v>
      </c>
      <c r="Y1369" s="5" t="str">
        <f ca="1">IFERROR(__xludf.DUMMYFUNCTION("""COMPUTED_VALUE"""),"Gang-related fight between non-students outside of school")</f>
        <v>Gang-related fight between non-students outside of school</v>
      </c>
      <c r="Z1369" s="5" t="str">
        <f ca="1">IFERROR(__xludf.DUMMYFUNCTION("""COMPUTED_VALUE"""),"Group of non-students approached a group of students outside of the school after the school day. During the altercation, a shot was fired striking a student in the arm. Shooter fled the scene. No suspect was identified. Police stated the shooting was gang"&amp;"-related.")</f>
        <v>Group of non-students approached a group of students outside of the school after the school day. During the altercation, a shot was fired striking a student in the arm. Shooter fled the scene. No suspect was identified. Police stated the shooting was gang-related.</v>
      </c>
      <c r="AA1369" s="5" t="str">
        <f ca="1">IFERROR(__xludf.DUMMYFUNCTION("""COMPUTED_VALUE"""),"Escalation of Dispute")</f>
        <v>Escalation of Dispute</v>
      </c>
      <c r="AB1369" s="5" t="str">
        <f ca="1">IFERROR(__xludf.DUMMYFUNCTION("""COMPUTED_VALUE"""),"Victims Targeted")</f>
        <v>Victims Targeted</v>
      </c>
      <c r="AC1369" s="5" t="str">
        <f ca="1">IFERROR(__xludf.DUMMYFUNCTION("""COMPUTED_VALUE"""),"Yes")</f>
        <v>Yes</v>
      </c>
      <c r="AD1369" s="5" t="str">
        <f ca="1">IFERROR(__xludf.DUMMYFUNCTION("""COMPUTED_VALUE"""),"No")</f>
        <v>No</v>
      </c>
      <c r="AE1369" s="5" t="str">
        <f ca="1">IFERROR(__xludf.DUMMYFUNCTION("""COMPUTED_VALUE"""),"No")</f>
        <v>No</v>
      </c>
      <c r="AF1369" s="5" t="str">
        <f ca="1">IFERROR(__xludf.DUMMYFUNCTION("""COMPUTED_VALUE"""),"No")</f>
        <v>No</v>
      </c>
      <c r="AG1369" s="5"/>
      <c r="AH1369" s="5" t="str">
        <f ca="1">IFERROR(__xludf.DUMMYFUNCTION("""COMPUTED_VALUE"""),"No")</f>
        <v>No</v>
      </c>
      <c r="AI1369" s="5" t="str">
        <f ca="1">IFERROR(__xludf.DUMMYFUNCTION("""COMPUTED_VALUE"""),"Yes")</f>
        <v>Yes</v>
      </c>
      <c r="AJ1369" s="5"/>
    </row>
    <row r="1370" spans="1:36" ht="13">
      <c r="A1370" s="5" t="str">
        <f ca="1">IFERROR(__xludf.DUMMYFUNCTION("""COMPUTED_VALUE"""),"20070307MIHEM")</f>
        <v>20070307MIHEM</v>
      </c>
      <c r="B1370" s="5">
        <f ca="1">IFERROR(__xludf.DUMMYFUNCTION("""COMPUTED_VALUE"""),3)</f>
        <v>3</v>
      </c>
      <c r="C1370" s="5">
        <f ca="1">IFERROR(__xludf.DUMMYFUNCTION("""COMPUTED_VALUE"""),7)</f>
        <v>7</v>
      </c>
      <c r="D1370" s="5">
        <f ca="1">IFERROR(__xludf.DUMMYFUNCTION("""COMPUTED_VALUE"""),2007)</f>
        <v>2007</v>
      </c>
      <c r="E1370" s="8">
        <f ca="1">IFERROR(__xludf.DUMMYFUNCTION("""COMPUTED_VALUE"""),39148)</f>
        <v>39148</v>
      </c>
      <c r="F1370" s="5" t="str">
        <f ca="1">IFERROR(__xludf.DUMMYFUNCTION("""COMPUTED_VALUE"""),"Herbert Henry Dow High School")</f>
        <v>Herbert Henry Dow High School</v>
      </c>
      <c r="G1370" s="5">
        <f ca="1">IFERROR(__xludf.DUMMYFUNCTION("""COMPUTED_VALUE"""),0)</f>
        <v>0</v>
      </c>
      <c r="H1370" s="5">
        <f ca="1">IFERROR(__xludf.DUMMYFUNCTION("""COMPUTED_VALUE"""),1)</f>
        <v>1</v>
      </c>
      <c r="I1370" s="5">
        <f ca="1">IFERROR(__xludf.DUMMYFUNCTION("""COMPUTED_VALUE"""),1)</f>
        <v>1</v>
      </c>
      <c r="J1370" s="5">
        <f ca="1">IFERROR(__xludf.DUMMYFUNCTION("""COMPUTED_VALUE"""),1)</f>
        <v>1</v>
      </c>
      <c r="K1370" s="9" t="str">
        <f ca="1">IFERROR(__xludf.DUMMYFUNCTION("""COMPUTED_VALUE"""),"https://www.ourmidland.com/news/article/One-dead-one-hurt-in-Dow-High-shooting-7037728.php")</f>
        <v>https://www.ourmidland.com/news/article/One-dead-one-hurt-in-Dow-High-shooting-7037728.php</v>
      </c>
      <c r="L1370" s="5"/>
      <c r="M1370" s="5"/>
      <c r="N1370" s="5">
        <f ca="1">IFERROR(__xludf.DUMMYFUNCTION("""COMPUTED_VALUE"""),2)</f>
        <v>2</v>
      </c>
      <c r="O1370" s="5" t="str">
        <f ca="1">IFERROR(__xludf.DUMMYFUNCTION("""COMPUTED_VALUE"""),"Spring")</f>
        <v>Spring</v>
      </c>
      <c r="P1370" s="5" t="str">
        <f ca="1">IFERROR(__xludf.DUMMYFUNCTION("""COMPUTED_VALUE"""),"Midland")</f>
        <v>Midland</v>
      </c>
      <c r="Q1370" s="5" t="str">
        <f ca="1">IFERROR(__xludf.DUMMYFUNCTION("""COMPUTED_VALUE"""),"MI")</f>
        <v>MI</v>
      </c>
      <c r="R1370" s="5" t="str">
        <f ca="1">IFERROR(__xludf.DUMMYFUNCTION("""COMPUTED_VALUE"""),"High")</f>
        <v>High</v>
      </c>
      <c r="S1370" s="5" t="str">
        <f ca="1">IFERROR(__xludf.DUMMYFUNCTION("""COMPUTED_VALUE"""),"Parking Lot")</f>
        <v>Parking Lot</v>
      </c>
      <c r="T1370" s="5" t="str">
        <f ca="1">IFERROR(__xludf.DUMMYFUNCTION("""COMPUTED_VALUE"""),"Outside on School Property")</f>
        <v>Outside on School Property</v>
      </c>
      <c r="U1370" s="5" t="str">
        <f ca="1">IFERROR(__xludf.DUMMYFUNCTION("""COMPUTED_VALUE"""),"Yes")</f>
        <v>Yes</v>
      </c>
      <c r="V1370" s="5" t="str">
        <f ca="1">IFERROR(__xludf.DUMMYFUNCTION("""COMPUTED_VALUE"""),"Morning Classes")</f>
        <v>Morning Classes</v>
      </c>
      <c r="W1370" s="10">
        <f ca="1">IFERROR(__xludf.DUMMYFUNCTION("""COMPUTED_VALUE"""),0.45625)</f>
        <v>0.45624999999999999</v>
      </c>
      <c r="X1370" s="5">
        <f ca="1">IFERROR(__xludf.DUMMYFUNCTION("""COMPUTED_VALUE"""),1)</f>
        <v>1</v>
      </c>
      <c r="Y1370" s="5" t="str">
        <f ca="1">IFERROR(__xludf.DUMMYFUNCTION("""COMPUTED_VALUE"""),"Shot ex-girlfriend and self in the parking lot")</f>
        <v>Shot ex-girlfriend and self in the parking lot</v>
      </c>
      <c r="Z1370" s="5" t="str">
        <f ca="1">IFERROR(__xludf.DUMMYFUNCTION("""COMPUTED_VALUE"""),"17YOF had transferred to school to get away from ex-boyfriend. 17YOM ex-boyfriend confronted her in parking lot of her new school and shot her than killed himself. Gun was taken from locked safe in mother's bedroom. Shooter was diagnosed with bipolar diso"&amp;"rder.")</f>
        <v>17YOF had transferred to school to get away from ex-boyfriend. 17YOM ex-boyfriend confronted her in parking lot of her new school and shot her than killed himself. Gun was taken from locked safe in mother's bedroom. Shooter was diagnosed with bipolar disorder.</v>
      </c>
      <c r="AA1370" s="5" t="str">
        <f ca="1">IFERROR(__xludf.DUMMYFUNCTION("""COMPUTED_VALUE"""),"Murder/Suicide")</f>
        <v>Murder/Suicide</v>
      </c>
      <c r="AB1370" s="5" t="str">
        <f ca="1">IFERROR(__xludf.DUMMYFUNCTION("""COMPUTED_VALUE"""),"Victims Targeted")</f>
        <v>Victims Targeted</v>
      </c>
      <c r="AC1370" s="5" t="str">
        <f ca="1">IFERROR(__xludf.DUMMYFUNCTION("""COMPUTED_VALUE"""),"No")</f>
        <v>No</v>
      </c>
      <c r="AD1370" s="5" t="str">
        <f ca="1">IFERROR(__xludf.DUMMYFUNCTION("""COMPUTED_VALUE"""),"No")</f>
        <v>No</v>
      </c>
      <c r="AE1370" s="5" t="str">
        <f ca="1">IFERROR(__xludf.DUMMYFUNCTION("""COMPUTED_VALUE"""),"No")</f>
        <v>No</v>
      </c>
      <c r="AF1370" s="5" t="str">
        <f ca="1">IFERROR(__xludf.DUMMYFUNCTION("""COMPUTED_VALUE"""),"No")</f>
        <v>No</v>
      </c>
      <c r="AG1370" s="5" t="str">
        <f ca="1">IFERROR(__xludf.DUMMYFUNCTION("""COMPUTED_VALUE"""),"No")</f>
        <v>No</v>
      </c>
      <c r="AH1370" s="5" t="str">
        <f ca="1">IFERROR(__xludf.DUMMYFUNCTION("""COMPUTED_VALUE"""),"Yes")</f>
        <v>Yes</v>
      </c>
      <c r="AI1370" s="5" t="str">
        <f ca="1">IFERROR(__xludf.DUMMYFUNCTION("""COMPUTED_VALUE"""),"No")</f>
        <v>No</v>
      </c>
      <c r="AJ1370" s="5"/>
    </row>
    <row r="1371" spans="1:36" ht="13">
      <c r="A1371" s="5" t="str">
        <f ca="1">IFERROR(__xludf.DUMMYFUNCTION("""COMPUTED_VALUE"""),"20070307TXGRG")</f>
        <v>20070307TXGRG</v>
      </c>
      <c r="B1371" s="5">
        <f ca="1">IFERROR(__xludf.DUMMYFUNCTION("""COMPUTED_VALUE"""),3)</f>
        <v>3</v>
      </c>
      <c r="C1371" s="5">
        <f ca="1">IFERROR(__xludf.DUMMYFUNCTION("""COMPUTED_VALUE"""),7)</f>
        <v>7</v>
      </c>
      <c r="D1371" s="5">
        <f ca="1">IFERROR(__xludf.DUMMYFUNCTION("""COMPUTED_VALUE"""),2007)</f>
        <v>2007</v>
      </c>
      <c r="E1371" s="8">
        <f ca="1">IFERROR(__xludf.DUMMYFUNCTION("""COMPUTED_VALUE"""),39148)</f>
        <v>39148</v>
      </c>
      <c r="F1371" s="5" t="str">
        <f ca="1">IFERROR(__xludf.DUMMYFUNCTION("""COMPUTED_VALUE"""),"Greenville High School")</f>
        <v>Greenville High School</v>
      </c>
      <c r="G1371" s="5">
        <f ca="1">IFERROR(__xludf.DUMMYFUNCTION("""COMPUTED_VALUE"""),0)</f>
        <v>0</v>
      </c>
      <c r="H1371" s="5">
        <f ca="1">IFERROR(__xludf.DUMMYFUNCTION("""COMPUTED_VALUE"""),0)</f>
        <v>0</v>
      </c>
      <c r="I1371" s="5">
        <f ca="1">IFERROR(__xludf.DUMMYFUNCTION("""COMPUTED_VALUE"""),0)</f>
        <v>0</v>
      </c>
      <c r="J1371" s="5">
        <f ca="1">IFERROR(__xludf.DUMMYFUNCTION("""COMPUTED_VALUE"""),1)</f>
        <v>1</v>
      </c>
      <c r="K1371" s="9" t="str">
        <f ca="1">IFERROR(__xludf.DUMMYFUNCTION("""COMPUTED_VALUE"""),"http://www.heraldbanner.com/archives/shooting-shocks-ghs/article_411a3183-9998-56eb-9c2a-ed8b1c9788c2.html")</f>
        <v>http://www.heraldbanner.com/archives/shooting-shocks-ghs/article_411a3183-9998-56eb-9c2a-ed8b1c9788c2.html</v>
      </c>
      <c r="L1371" s="5"/>
      <c r="M1371" s="5"/>
      <c r="N1371" s="5">
        <f ca="1">IFERROR(__xludf.DUMMYFUNCTION("""COMPUTED_VALUE"""),2)</f>
        <v>2</v>
      </c>
      <c r="O1371" s="5" t="str">
        <f ca="1">IFERROR(__xludf.DUMMYFUNCTION("""COMPUTED_VALUE"""),"Spring")</f>
        <v>Spring</v>
      </c>
      <c r="P1371" s="5" t="str">
        <f ca="1">IFERROR(__xludf.DUMMYFUNCTION("""COMPUTED_VALUE"""),"Greenville")</f>
        <v>Greenville</v>
      </c>
      <c r="Q1371" s="5" t="str">
        <f ca="1">IFERROR(__xludf.DUMMYFUNCTION("""COMPUTED_VALUE"""),"TX")</f>
        <v>TX</v>
      </c>
      <c r="R1371" s="5" t="str">
        <f ca="1">IFERROR(__xludf.DUMMYFUNCTION("""COMPUTED_VALUE"""),"High")</f>
        <v>High</v>
      </c>
      <c r="S1371" s="5" t="str">
        <f ca="1">IFERROR(__xludf.DUMMYFUNCTION("""COMPUTED_VALUE"""),"Classroom")</f>
        <v>Classroom</v>
      </c>
      <c r="T1371" s="5" t="str">
        <f ca="1">IFERROR(__xludf.DUMMYFUNCTION("""COMPUTED_VALUE"""),"Inside School Building")</f>
        <v>Inside School Building</v>
      </c>
      <c r="U1371" s="5" t="str">
        <f ca="1">IFERROR(__xludf.DUMMYFUNCTION("""COMPUTED_VALUE"""),"Yes")</f>
        <v>Yes</v>
      </c>
      <c r="V1371" s="5" t="str">
        <f ca="1">IFERROR(__xludf.DUMMYFUNCTION("""COMPUTED_VALUE"""),"School Start")</f>
        <v>School Start</v>
      </c>
      <c r="W1371" s="10">
        <f ca="1">IFERROR(__xludf.DUMMYFUNCTION("""COMPUTED_VALUE"""),0.302083333333333)</f>
        <v>0.30208333333333298</v>
      </c>
      <c r="X1371" s="5">
        <f ca="1">IFERROR(__xludf.DUMMYFUNCTION("""COMPUTED_VALUE"""),1)</f>
        <v>1</v>
      </c>
      <c r="Y1371" s="5" t="str">
        <f ca="1">IFERROR(__xludf.DUMMYFUNCTION("""COMPUTED_VALUE"""),"Shot self in band room")</f>
        <v>Shot self in band room</v>
      </c>
      <c r="Z1371" s="5" t="str">
        <f ca="1">IFERROR(__xludf.DUMMYFUNCTION("""COMPUTED_VALUE"""),"16YOM student shot self in bandroom. Report of the shooting caused a panic with parents rushing to the school resulting in a car accident in front of the school building.")</f>
        <v>16YOM student shot self in bandroom. Report of the shooting caused a panic with parents rushing to the school resulting in a car accident in front of the school building.</v>
      </c>
      <c r="AA1371" s="5" t="str">
        <f ca="1">IFERROR(__xludf.DUMMYFUNCTION("""COMPUTED_VALUE"""),"Suicide/Attempted")</f>
        <v>Suicide/Attempted</v>
      </c>
      <c r="AB1371" s="5" t="str">
        <f ca="1">IFERROR(__xludf.DUMMYFUNCTION("""COMPUTED_VALUE"""),"Victims Targeted")</f>
        <v>Victims Targeted</v>
      </c>
      <c r="AC1371" s="5" t="str">
        <f ca="1">IFERROR(__xludf.DUMMYFUNCTION("""COMPUTED_VALUE"""),"No")</f>
        <v>No</v>
      </c>
      <c r="AD1371" s="5" t="str">
        <f ca="1">IFERROR(__xludf.DUMMYFUNCTION("""COMPUTED_VALUE"""),"No")</f>
        <v>No</v>
      </c>
      <c r="AE1371" s="5" t="str">
        <f ca="1">IFERROR(__xludf.DUMMYFUNCTION("""COMPUTED_VALUE"""),"No")</f>
        <v>No</v>
      </c>
      <c r="AF1371" s="5" t="str">
        <f ca="1">IFERROR(__xludf.DUMMYFUNCTION("""COMPUTED_VALUE"""),"No")</f>
        <v>No</v>
      </c>
      <c r="AG1371" s="5" t="str">
        <f ca="1">IFERROR(__xludf.DUMMYFUNCTION("""COMPUTED_VALUE"""),"No")</f>
        <v>No</v>
      </c>
      <c r="AH1371" s="5" t="str">
        <f ca="1">IFERROR(__xludf.DUMMYFUNCTION("""COMPUTED_VALUE"""),"No")</f>
        <v>No</v>
      </c>
      <c r="AI1371" s="5" t="str">
        <f ca="1">IFERROR(__xludf.DUMMYFUNCTION("""COMPUTED_VALUE"""),"No")</f>
        <v>No</v>
      </c>
      <c r="AJ1371" s="5"/>
    </row>
    <row r="1372" spans="1:36" ht="13">
      <c r="A1372" s="5" t="str">
        <f ca="1">IFERROR(__xludf.DUMMYFUNCTION("""COMPUTED_VALUE"""),"20070227GACLA")</f>
        <v>20070227GACLA</v>
      </c>
      <c r="B1372" s="5">
        <f ca="1">IFERROR(__xludf.DUMMYFUNCTION("""COMPUTED_VALUE"""),2)</f>
        <v>2</v>
      </c>
      <c r="C1372" s="5">
        <f ca="1">IFERROR(__xludf.DUMMYFUNCTION("""COMPUTED_VALUE"""),27)</f>
        <v>27</v>
      </c>
      <c r="D1372" s="5">
        <f ca="1">IFERROR(__xludf.DUMMYFUNCTION("""COMPUTED_VALUE"""),2007)</f>
        <v>2007</v>
      </c>
      <c r="E1372" s="8">
        <f ca="1">IFERROR(__xludf.DUMMYFUNCTION("""COMPUTED_VALUE"""),39140)</f>
        <v>39140</v>
      </c>
      <c r="F1372" s="5" t="str">
        <f ca="1">IFERROR(__xludf.DUMMYFUNCTION("""COMPUTED_VALUE"""),"Clifton Elementary School")</f>
        <v>Clifton Elementary School</v>
      </c>
      <c r="G1372" s="5">
        <f ca="1">IFERROR(__xludf.DUMMYFUNCTION("""COMPUTED_VALUE"""),0)</f>
        <v>0</v>
      </c>
      <c r="H1372" s="5">
        <f ca="1">IFERROR(__xludf.DUMMYFUNCTION("""COMPUTED_VALUE"""),1)</f>
        <v>1</v>
      </c>
      <c r="I1372" s="5">
        <f ca="1">IFERROR(__xludf.DUMMYFUNCTION("""COMPUTED_VALUE"""),1)</f>
        <v>1</v>
      </c>
      <c r="J1372" s="5">
        <f ca="1">IFERROR(__xludf.DUMMYFUNCTION("""COMPUTED_VALUE"""),0)</f>
        <v>0</v>
      </c>
      <c r="K1372" s="9" t="str">
        <f ca="1">IFERROR(__xludf.DUMMYFUNCTION("""COMPUTED_VALUE"""),"https://www.columbine-angels.com/School_Violence_2006-2007.htm")</f>
        <v>https://www.columbine-angels.com/School_Violence_2006-2007.htm</v>
      </c>
      <c r="L1372" s="5"/>
      <c r="M1372" s="5"/>
      <c r="N1372" s="5">
        <f ca="1">IFERROR(__xludf.DUMMYFUNCTION("""COMPUTED_VALUE"""),1)</f>
        <v>1</v>
      </c>
      <c r="O1372" s="5" t="str">
        <f ca="1">IFERROR(__xludf.DUMMYFUNCTION("""COMPUTED_VALUE"""),"Winter")</f>
        <v>Winter</v>
      </c>
      <c r="P1372" s="5" t="str">
        <f ca="1">IFERROR(__xludf.DUMMYFUNCTION("""COMPUTED_VALUE"""),"Atlanta")</f>
        <v>Atlanta</v>
      </c>
      <c r="Q1372" s="5" t="str">
        <f ca="1">IFERROR(__xludf.DUMMYFUNCTION("""COMPUTED_VALUE"""),"GA")</f>
        <v>GA</v>
      </c>
      <c r="R1372" s="5" t="str">
        <f ca="1">IFERROR(__xludf.DUMMYFUNCTION("""COMPUTED_VALUE"""),"Elementary")</f>
        <v>Elementary</v>
      </c>
      <c r="S1372" s="5" t="str">
        <f ca="1">IFERROR(__xludf.DUMMYFUNCTION("""COMPUTED_VALUE"""),"Bathroom")</f>
        <v>Bathroom</v>
      </c>
      <c r="T1372" s="5" t="str">
        <f ca="1">IFERROR(__xludf.DUMMYFUNCTION("""COMPUTED_VALUE"""),"Inside School Building")</f>
        <v>Inside School Building</v>
      </c>
      <c r="U1372" s="5" t="str">
        <f ca="1">IFERROR(__xludf.DUMMYFUNCTION("""COMPUTED_VALUE"""),"Yes")</f>
        <v>Yes</v>
      </c>
      <c r="V1372" s="5" t="str">
        <f ca="1">IFERROR(__xludf.DUMMYFUNCTION("""COMPUTED_VALUE"""),"Morning Classes")</f>
        <v>Morning Classes</v>
      </c>
      <c r="W1372" s="5"/>
      <c r="X1372" s="5">
        <f ca="1">IFERROR(__xludf.DUMMYFUNCTION("""COMPUTED_VALUE"""),1)</f>
        <v>1</v>
      </c>
      <c r="Y1372" s="5" t="str">
        <f ca="1">IFERROR(__xludf.DUMMYFUNCTION("""COMPUTED_VALUE"""),"Shot student in arm with BB gun in bathroom")</f>
        <v>Shot student in arm with BB gun in bathroom</v>
      </c>
      <c r="Z1372" s="5" t="str">
        <f ca="1">IFERROR(__xludf.DUMMYFUNCTION("""COMPUTED_VALUE"""),"In the boys bathroom, an unnamed male student pulled out a plastic pellet gun and shot 10YOM student in the arm.")</f>
        <v>In the boys bathroom, an unnamed male student pulled out a plastic pellet gun and shot 10YOM student in the arm.</v>
      </c>
      <c r="AA1372" s="5" t="str">
        <f ca="1">IFERROR(__xludf.DUMMYFUNCTION("""COMPUTED_VALUE"""),"Unknown")</f>
        <v>Unknown</v>
      </c>
      <c r="AB1372" s="5"/>
      <c r="AC1372" s="5" t="str">
        <f ca="1">IFERROR(__xludf.DUMMYFUNCTION("""COMPUTED_VALUE"""),"No")</f>
        <v>No</v>
      </c>
      <c r="AD1372" s="5" t="str">
        <f ca="1">IFERROR(__xludf.DUMMYFUNCTION("""COMPUTED_VALUE"""),"No")</f>
        <v>No</v>
      </c>
      <c r="AE1372" s="5" t="str">
        <f ca="1">IFERROR(__xludf.DUMMYFUNCTION("""COMPUTED_VALUE"""),"No")</f>
        <v>No</v>
      </c>
      <c r="AF1372" s="5" t="str">
        <f ca="1">IFERROR(__xludf.DUMMYFUNCTION("""COMPUTED_VALUE"""),"No")</f>
        <v>No</v>
      </c>
      <c r="AG1372" s="5" t="str">
        <f ca="1">IFERROR(__xludf.DUMMYFUNCTION("""COMPUTED_VALUE"""),"No")</f>
        <v>No</v>
      </c>
      <c r="AH1372" s="5" t="str">
        <f ca="1">IFERROR(__xludf.DUMMYFUNCTION("""COMPUTED_VALUE"""),"No")</f>
        <v>No</v>
      </c>
      <c r="AI1372" s="5" t="str">
        <f ca="1">IFERROR(__xludf.DUMMYFUNCTION("""COMPUTED_VALUE"""),"No")</f>
        <v>No</v>
      </c>
      <c r="AJ1372" s="5"/>
    </row>
    <row r="1373" spans="1:36" ht="13">
      <c r="A1373" s="5" t="str">
        <f ca="1">IFERROR(__xludf.DUMMYFUNCTION("""COMPUTED_VALUE"""),"20070226CASLA")</f>
        <v>20070226CASLA</v>
      </c>
      <c r="B1373" s="5">
        <f ca="1">IFERROR(__xludf.DUMMYFUNCTION("""COMPUTED_VALUE"""),2)</f>
        <v>2</v>
      </c>
      <c r="C1373" s="5">
        <f ca="1">IFERROR(__xludf.DUMMYFUNCTION("""COMPUTED_VALUE"""),26)</f>
        <v>26</v>
      </c>
      <c r="D1373" s="5">
        <f ca="1">IFERROR(__xludf.DUMMYFUNCTION("""COMPUTED_VALUE"""),2007)</f>
        <v>2007</v>
      </c>
      <c r="E1373" s="8">
        <f ca="1">IFERROR(__xludf.DUMMYFUNCTION("""COMPUTED_VALUE"""),39139)</f>
        <v>39139</v>
      </c>
      <c r="F1373" s="5" t="str">
        <f ca="1">IFERROR(__xludf.DUMMYFUNCTION("""COMPUTED_VALUE"""),"Slauson Middle School")</f>
        <v>Slauson Middle School</v>
      </c>
      <c r="G1373" s="5">
        <f ca="1">IFERROR(__xludf.DUMMYFUNCTION("""COMPUTED_VALUE"""),0)</f>
        <v>0</v>
      </c>
      <c r="H1373" s="5">
        <f ca="1">IFERROR(__xludf.DUMMYFUNCTION("""COMPUTED_VALUE"""),2)</f>
        <v>2</v>
      </c>
      <c r="I1373" s="5">
        <f ca="1">IFERROR(__xludf.DUMMYFUNCTION("""COMPUTED_VALUE"""),2)</f>
        <v>2</v>
      </c>
      <c r="J1373" s="5">
        <f ca="1">IFERROR(__xludf.DUMMYFUNCTION("""COMPUTED_VALUE"""),0)</f>
        <v>0</v>
      </c>
      <c r="K1373" s="9" t="str">
        <f ca="1">IFERROR(__xludf.DUMMYFUNCTION("""COMPUTED_VALUE"""),"https://www.columbine-angels.com/School_Violence_2006-2007.htm")</f>
        <v>https://www.columbine-angels.com/School_Violence_2006-2007.htm</v>
      </c>
      <c r="L1373" s="5"/>
      <c r="M1373" s="5"/>
      <c r="N1373" s="5">
        <f ca="1">IFERROR(__xludf.DUMMYFUNCTION("""COMPUTED_VALUE"""),1)</f>
        <v>1</v>
      </c>
      <c r="O1373" s="5" t="str">
        <f ca="1">IFERROR(__xludf.DUMMYFUNCTION("""COMPUTED_VALUE"""),"Winter")</f>
        <v>Winter</v>
      </c>
      <c r="P1373" s="5" t="str">
        <f ca="1">IFERROR(__xludf.DUMMYFUNCTION("""COMPUTED_VALUE"""),"Azusa")</f>
        <v>Azusa</v>
      </c>
      <c r="Q1373" s="5" t="str">
        <f ca="1">IFERROR(__xludf.DUMMYFUNCTION("""COMPUTED_VALUE"""),"CA")</f>
        <v>CA</v>
      </c>
      <c r="R1373" s="5" t="str">
        <f ca="1">IFERROR(__xludf.DUMMYFUNCTION("""COMPUTED_VALUE"""),"Middle")</f>
        <v>Middle</v>
      </c>
      <c r="S1373" s="5" t="str">
        <f ca="1">IFERROR(__xludf.DUMMYFUNCTION("""COMPUTED_VALUE"""),"Hallway")</f>
        <v>Hallway</v>
      </c>
      <c r="T1373" s="5" t="str">
        <f ca="1">IFERROR(__xludf.DUMMYFUNCTION("""COMPUTED_VALUE"""),"Inside School Building")</f>
        <v>Inside School Building</v>
      </c>
      <c r="U1373" s="5" t="str">
        <f ca="1">IFERROR(__xludf.DUMMYFUNCTION("""COMPUTED_VALUE"""),"Yes")</f>
        <v>Yes</v>
      </c>
      <c r="V1373" s="5" t="str">
        <f ca="1">IFERROR(__xludf.DUMMYFUNCTION("""COMPUTED_VALUE"""),"Morning Classes")</f>
        <v>Morning Classes</v>
      </c>
      <c r="W1373" s="5"/>
      <c r="X1373" s="5"/>
      <c r="Y1373" s="5" t="str">
        <f ca="1">IFERROR(__xludf.DUMMYFUNCTION("""COMPUTED_VALUE"""),"Shot two students with airsoft gun")</f>
        <v>Shot two students with airsoft gun</v>
      </c>
      <c r="Z1373" s="5" t="str">
        <f ca="1">IFERROR(__xludf.DUMMYFUNCTION("""COMPUTED_VALUE"""),"A 12 year-old male student brought an airsoft-type replica submachine pistol to school with him. He removed the orange tip and fired at his fellow classmates in the sixth grade. One student was shot in the head while another student was struck in the back"&amp;".")</f>
        <v>A 12 year-old male student brought an airsoft-type replica submachine pistol to school with him. He removed the orange tip and fired at his fellow classmates in the sixth grade. One student was shot in the head while another student was struck in the back.</v>
      </c>
      <c r="AA1373" s="5" t="str">
        <f ca="1">IFERROR(__xludf.DUMMYFUNCTION("""COMPUTED_VALUE"""),"Indiscriminate Shooting")</f>
        <v>Indiscriminate Shooting</v>
      </c>
      <c r="AB1373" s="5"/>
      <c r="AC1373" s="5" t="str">
        <f ca="1">IFERROR(__xludf.DUMMYFUNCTION("""COMPUTED_VALUE"""),"No")</f>
        <v>No</v>
      </c>
      <c r="AD1373" s="5" t="str">
        <f ca="1">IFERROR(__xludf.DUMMYFUNCTION("""COMPUTED_VALUE"""),"No")</f>
        <v>No</v>
      </c>
      <c r="AE1373" s="5" t="str">
        <f ca="1">IFERROR(__xludf.DUMMYFUNCTION("""COMPUTED_VALUE"""),"No")</f>
        <v>No</v>
      </c>
      <c r="AF1373" s="5" t="str">
        <f ca="1">IFERROR(__xludf.DUMMYFUNCTION("""COMPUTED_VALUE"""),"No")</f>
        <v>No</v>
      </c>
      <c r="AG1373" s="5" t="str">
        <f ca="1">IFERROR(__xludf.DUMMYFUNCTION("""COMPUTED_VALUE"""),"No")</f>
        <v>No</v>
      </c>
      <c r="AH1373" s="5" t="str">
        <f ca="1">IFERROR(__xludf.DUMMYFUNCTION("""COMPUTED_VALUE"""),"No")</f>
        <v>No</v>
      </c>
      <c r="AI1373" s="5" t="str">
        <f ca="1">IFERROR(__xludf.DUMMYFUNCTION("""COMPUTED_VALUE"""),"No")</f>
        <v>No</v>
      </c>
      <c r="AJ1373" s="5"/>
    </row>
    <row r="1374" spans="1:36" ht="13">
      <c r="A1374" s="5" t="str">
        <f ca="1">IFERROR(__xludf.DUMMYFUNCTION("""COMPUTED_VALUE"""),"20070208ORCRP")</f>
        <v>20070208ORCRP</v>
      </c>
      <c r="B1374" s="5">
        <f ca="1">IFERROR(__xludf.DUMMYFUNCTION("""COMPUTED_VALUE"""),2)</f>
        <v>2</v>
      </c>
      <c r="C1374" s="5">
        <f ca="1">IFERROR(__xludf.DUMMYFUNCTION("""COMPUTED_VALUE"""),8)</f>
        <v>8</v>
      </c>
      <c r="D1374" s="5">
        <f ca="1">IFERROR(__xludf.DUMMYFUNCTION("""COMPUTED_VALUE"""),2007)</f>
        <v>2007</v>
      </c>
      <c r="E1374" s="8">
        <f ca="1">IFERROR(__xludf.DUMMYFUNCTION("""COMPUTED_VALUE"""),39121)</f>
        <v>39121</v>
      </c>
      <c r="F1374" s="5" t="str">
        <f ca="1">IFERROR(__xludf.DUMMYFUNCTION("""COMPUTED_VALUE"""),"Crook County High School")</f>
        <v>Crook County High School</v>
      </c>
      <c r="G1374" s="5">
        <f ca="1">IFERROR(__xludf.DUMMYFUNCTION("""COMPUTED_VALUE"""),0)</f>
        <v>0</v>
      </c>
      <c r="H1374" s="5">
        <f ca="1">IFERROR(__xludf.DUMMYFUNCTION("""COMPUTED_VALUE"""),0)</f>
        <v>0</v>
      </c>
      <c r="I1374" s="5">
        <f ca="1">IFERROR(__xludf.DUMMYFUNCTION("""COMPUTED_VALUE"""),0)</f>
        <v>0</v>
      </c>
      <c r="J1374" s="5">
        <f ca="1">IFERROR(__xludf.DUMMYFUNCTION("""COMPUTED_VALUE"""),1)</f>
        <v>1</v>
      </c>
      <c r="K1374" s="9" t="str">
        <f ca="1">IFERROR(__xludf.DUMMYFUNCTION("""COMPUTED_VALUE"""),"https://portlandtribune.com/component/content/article?id=187719")</f>
        <v>https://portlandtribune.com/component/content/article?id=187719</v>
      </c>
      <c r="L1374" s="5"/>
      <c r="M1374" s="5"/>
      <c r="N1374" s="5">
        <f ca="1">IFERROR(__xludf.DUMMYFUNCTION("""COMPUTED_VALUE"""),2)</f>
        <v>2</v>
      </c>
      <c r="O1374" s="5" t="str">
        <f ca="1">IFERROR(__xludf.DUMMYFUNCTION("""COMPUTED_VALUE"""),"Winter")</f>
        <v>Winter</v>
      </c>
      <c r="P1374" s="5" t="str">
        <f ca="1">IFERROR(__xludf.DUMMYFUNCTION("""COMPUTED_VALUE"""),"Prineville")</f>
        <v>Prineville</v>
      </c>
      <c r="Q1374" s="5" t="str">
        <f ca="1">IFERROR(__xludf.DUMMYFUNCTION("""COMPUTED_VALUE"""),"OR")</f>
        <v>OR</v>
      </c>
      <c r="R1374" s="5" t="str">
        <f ca="1">IFERROR(__xludf.DUMMYFUNCTION("""COMPUTED_VALUE"""),"High")</f>
        <v>High</v>
      </c>
      <c r="S1374" s="5" t="str">
        <f ca="1">IFERROR(__xludf.DUMMYFUNCTION("""COMPUTED_VALUE"""),"Parking Lot")</f>
        <v>Parking Lot</v>
      </c>
      <c r="T1374" s="5" t="str">
        <f ca="1">IFERROR(__xludf.DUMMYFUNCTION("""COMPUTED_VALUE"""),"Outside on School Property")</f>
        <v>Outside on School Property</v>
      </c>
      <c r="U1374" s="5" t="str">
        <f ca="1">IFERROR(__xludf.DUMMYFUNCTION("""COMPUTED_VALUE"""),"Yes")</f>
        <v>Yes</v>
      </c>
      <c r="V1374" s="5" t="str">
        <f ca="1">IFERROR(__xludf.DUMMYFUNCTION("""COMPUTED_VALUE"""),"Afternoon Classes")</f>
        <v>Afternoon Classes</v>
      </c>
      <c r="W1374" s="10">
        <f ca="1">IFERROR(__xludf.DUMMYFUNCTION("""COMPUTED_VALUE"""),0.60625)</f>
        <v>0.60624999999999996</v>
      </c>
      <c r="X1374" s="5">
        <f ca="1">IFERROR(__xludf.DUMMYFUNCTION("""COMPUTED_VALUE"""),1)</f>
        <v>1</v>
      </c>
      <c r="Y1374" s="5" t="str">
        <f ca="1">IFERROR(__xludf.DUMMYFUNCTION("""COMPUTED_VALUE"""),"Student shot self in parking lot")</f>
        <v>Student shot self in parking lot</v>
      </c>
      <c r="Z1374" s="5" t="str">
        <f ca="1">IFERROR(__xludf.DUMMYFUNCTION("""COMPUTED_VALUE"""),"18YOM student shot self in parking lot.")</f>
        <v>18YOM student shot self in parking lot.</v>
      </c>
      <c r="AA1374" s="5" t="str">
        <f ca="1">IFERROR(__xludf.DUMMYFUNCTION("""COMPUTED_VALUE"""),"Suicide/Attempted")</f>
        <v>Suicide/Attempted</v>
      </c>
      <c r="AB1374" s="5" t="str">
        <f ca="1">IFERROR(__xludf.DUMMYFUNCTION("""COMPUTED_VALUE"""),"Victims Targeted")</f>
        <v>Victims Targeted</v>
      </c>
      <c r="AC1374" s="5" t="str">
        <f ca="1">IFERROR(__xludf.DUMMYFUNCTION("""COMPUTED_VALUE"""),"No")</f>
        <v>No</v>
      </c>
      <c r="AD1374" s="5" t="str">
        <f ca="1">IFERROR(__xludf.DUMMYFUNCTION("""COMPUTED_VALUE"""),"No")</f>
        <v>No</v>
      </c>
      <c r="AE1374" s="5" t="str">
        <f ca="1">IFERROR(__xludf.DUMMYFUNCTION("""COMPUTED_VALUE"""),"No")</f>
        <v>No</v>
      </c>
      <c r="AF1374" s="5" t="str">
        <f ca="1">IFERROR(__xludf.DUMMYFUNCTION("""COMPUTED_VALUE"""),"No")</f>
        <v>No</v>
      </c>
      <c r="AG1374" s="5" t="str">
        <f ca="1">IFERROR(__xludf.DUMMYFUNCTION("""COMPUTED_VALUE"""),"No")</f>
        <v>No</v>
      </c>
      <c r="AH1374" s="5" t="str">
        <f ca="1">IFERROR(__xludf.DUMMYFUNCTION("""COMPUTED_VALUE"""),"No")</f>
        <v>No</v>
      </c>
      <c r="AI1374" s="5" t="str">
        <f ca="1">IFERROR(__xludf.DUMMYFUNCTION("""COMPUTED_VALUE"""),"No")</f>
        <v>No</v>
      </c>
      <c r="AJ1374" s="5"/>
    </row>
    <row r="1375" spans="1:36" ht="13">
      <c r="A1375" s="5" t="str">
        <f ca="1">IFERROR(__xludf.DUMMYFUNCTION("""COMPUTED_VALUE"""),"20070208TXSTP")</f>
        <v>20070208TXSTP</v>
      </c>
      <c r="B1375" s="5">
        <f ca="1">IFERROR(__xludf.DUMMYFUNCTION("""COMPUTED_VALUE"""),2)</f>
        <v>2</v>
      </c>
      <c r="C1375" s="5">
        <f ca="1">IFERROR(__xludf.DUMMYFUNCTION("""COMPUTED_VALUE"""),8)</f>
        <v>8</v>
      </c>
      <c r="D1375" s="5">
        <f ca="1">IFERROR(__xludf.DUMMYFUNCTION("""COMPUTED_VALUE"""),2007)</f>
        <v>2007</v>
      </c>
      <c r="E1375" s="8">
        <f ca="1">IFERROR(__xludf.DUMMYFUNCTION("""COMPUTED_VALUE"""),39121)</f>
        <v>39121</v>
      </c>
      <c r="F1375" s="5" t="str">
        <f ca="1">IFERROR(__xludf.DUMMYFUNCTION("""COMPUTED_VALUE"""),"Stephen F. Austin Middle School")</f>
        <v>Stephen F. Austin Middle School</v>
      </c>
      <c r="G1375" s="5">
        <f ca="1">IFERROR(__xludf.DUMMYFUNCTION("""COMPUTED_VALUE"""),0)</f>
        <v>0</v>
      </c>
      <c r="H1375" s="5">
        <f ca="1">IFERROR(__xludf.DUMMYFUNCTION("""COMPUTED_VALUE"""),0)</f>
        <v>0</v>
      </c>
      <c r="I1375" s="5">
        <f ca="1">IFERROR(__xludf.DUMMYFUNCTION("""COMPUTED_VALUE"""),0)</f>
        <v>0</v>
      </c>
      <c r="J1375" s="5">
        <f ca="1">IFERROR(__xludf.DUMMYFUNCTION("""COMPUTED_VALUE"""),0)</f>
        <v>0</v>
      </c>
      <c r="K1375" s="9" t="str">
        <f ca="1">IFERROR(__xludf.DUMMYFUNCTION("""COMPUTED_VALUE"""),"https://www.columbine-angels.com/School_Violence_2006-2007.htm")</f>
        <v>https://www.columbine-angels.com/School_Violence_2006-2007.htm</v>
      </c>
      <c r="L1375" s="5"/>
      <c r="M1375" s="5"/>
      <c r="N1375" s="5">
        <f ca="1">IFERROR(__xludf.DUMMYFUNCTION("""COMPUTED_VALUE"""),1)</f>
        <v>1</v>
      </c>
      <c r="O1375" s="5" t="str">
        <f ca="1">IFERROR(__xludf.DUMMYFUNCTION("""COMPUTED_VALUE"""),"Winter")</f>
        <v>Winter</v>
      </c>
      <c r="P1375" s="5" t="str">
        <f ca="1">IFERROR(__xludf.DUMMYFUNCTION("""COMPUTED_VALUE"""),"Port Arthur")</f>
        <v>Port Arthur</v>
      </c>
      <c r="Q1375" s="5" t="str">
        <f ca="1">IFERROR(__xludf.DUMMYFUNCTION("""COMPUTED_VALUE"""),"TX")</f>
        <v>TX</v>
      </c>
      <c r="R1375" s="5" t="str">
        <f ca="1">IFERROR(__xludf.DUMMYFUNCTION("""COMPUTED_VALUE"""),"Middle")</f>
        <v>Middle</v>
      </c>
      <c r="S1375" s="5" t="str">
        <f ca="1">IFERROR(__xludf.DUMMYFUNCTION("""COMPUTED_VALUE"""),"Gym")</f>
        <v>Gym</v>
      </c>
      <c r="T1375" s="5" t="str">
        <f ca="1">IFERROR(__xludf.DUMMYFUNCTION("""COMPUTED_VALUE"""),"Inside School Building")</f>
        <v>Inside School Building</v>
      </c>
      <c r="U1375" s="5" t="str">
        <f ca="1">IFERROR(__xludf.DUMMYFUNCTION("""COMPUTED_VALUE"""),"Yes")</f>
        <v>Yes</v>
      </c>
      <c r="V1375" s="5"/>
      <c r="W1375" s="5"/>
      <c r="X1375" s="5">
        <f ca="1">IFERROR(__xludf.DUMMYFUNCTION("""COMPUTED_VALUE"""),1)</f>
        <v>1</v>
      </c>
      <c r="Y1375" s="5" t="str">
        <f ca="1">IFERROR(__xludf.DUMMYFUNCTION("""COMPUTED_VALUE"""),"BB gun fired while showing it off")</f>
        <v>BB gun fired while showing it off</v>
      </c>
      <c r="Z1375" s="5" t="str">
        <f ca="1">IFERROR(__xludf.DUMMYFUNCTION("""COMPUTED_VALUE"""),"In gym class, a male student showed off a BB gun to another male student. While the two students were looking at the gun, it went off and a BB struck the second boy in his neck.  The pellet broke the boy's skin, but did not seriously injure him.")</f>
        <v>In gym class, a male student showed off a BB gun to another male student. While the two students were looking at the gun, it went off and a BB struck the second boy in his neck.  The pellet broke the boy's skin, but did not seriously injure him.</v>
      </c>
      <c r="AA1375" s="5" t="str">
        <f ca="1">IFERROR(__xludf.DUMMYFUNCTION("""COMPUTED_VALUE"""),"Accidental")</f>
        <v>Accidental</v>
      </c>
      <c r="AB1375" s="5" t="str">
        <f ca="1">IFERROR(__xludf.DUMMYFUNCTION("""COMPUTED_VALUE"""),"Neither")</f>
        <v>Neither</v>
      </c>
      <c r="AC1375" s="5" t="str">
        <f ca="1">IFERROR(__xludf.DUMMYFUNCTION("""COMPUTED_VALUE"""),"No")</f>
        <v>No</v>
      </c>
      <c r="AD1375" s="5" t="str">
        <f ca="1">IFERROR(__xludf.DUMMYFUNCTION("""COMPUTED_VALUE"""),"No")</f>
        <v>No</v>
      </c>
      <c r="AE1375" s="5" t="str">
        <f ca="1">IFERROR(__xludf.DUMMYFUNCTION("""COMPUTED_VALUE"""),"No")</f>
        <v>No</v>
      </c>
      <c r="AF1375" s="5" t="str">
        <f ca="1">IFERROR(__xludf.DUMMYFUNCTION("""COMPUTED_VALUE"""),"No")</f>
        <v>No</v>
      </c>
      <c r="AG1375" s="5" t="str">
        <f ca="1">IFERROR(__xludf.DUMMYFUNCTION("""COMPUTED_VALUE"""),"No")</f>
        <v>No</v>
      </c>
      <c r="AH1375" s="5" t="str">
        <f ca="1">IFERROR(__xludf.DUMMYFUNCTION("""COMPUTED_VALUE"""),"No")</f>
        <v>No</v>
      </c>
      <c r="AI1375" s="5" t="str">
        <f ca="1">IFERROR(__xludf.DUMMYFUNCTION("""COMPUTED_VALUE"""),"No")</f>
        <v>No</v>
      </c>
      <c r="AJ1375" s="5"/>
    </row>
    <row r="1376" spans="1:36" ht="13">
      <c r="A1376" s="5" t="str">
        <f ca="1">IFERROR(__xludf.DUMMYFUNCTION("""COMPUTED_VALUE"""),"20070207FLPAJ")</f>
        <v>20070207FLPAJ</v>
      </c>
      <c r="B1376" s="5">
        <f ca="1">IFERROR(__xludf.DUMMYFUNCTION("""COMPUTED_VALUE"""),2)</f>
        <v>2</v>
      </c>
      <c r="C1376" s="5">
        <f ca="1">IFERROR(__xludf.DUMMYFUNCTION("""COMPUTED_VALUE"""),7)</f>
        <v>7</v>
      </c>
      <c r="D1376" s="5">
        <f ca="1">IFERROR(__xludf.DUMMYFUNCTION("""COMPUTED_VALUE"""),2007)</f>
        <v>2007</v>
      </c>
      <c r="E1376" s="8">
        <f ca="1">IFERROR(__xludf.DUMMYFUNCTION("""COMPUTED_VALUE"""),39120)</f>
        <v>39120</v>
      </c>
      <c r="F1376" s="5" t="str">
        <f ca="1">IFERROR(__xludf.DUMMYFUNCTION("""COMPUTED_VALUE"""),"Paxon Middle School")</f>
        <v>Paxon Middle School</v>
      </c>
      <c r="G1376" s="5">
        <f ca="1">IFERROR(__xludf.DUMMYFUNCTION("""COMPUTED_VALUE"""),0)</f>
        <v>0</v>
      </c>
      <c r="H1376" s="5">
        <f ca="1">IFERROR(__xludf.DUMMYFUNCTION("""COMPUTED_VALUE"""),0)</f>
        <v>0</v>
      </c>
      <c r="I1376" s="5">
        <f ca="1">IFERROR(__xludf.DUMMYFUNCTION("""COMPUTED_VALUE"""),0)</f>
        <v>0</v>
      </c>
      <c r="J1376" s="5">
        <f ca="1">IFERROR(__xludf.DUMMYFUNCTION("""COMPUTED_VALUE"""),0)</f>
        <v>0</v>
      </c>
      <c r="K1376" s="9" t="str">
        <f ca="1">IFERROR(__xludf.DUMMYFUNCTION("""COMPUTED_VALUE"""),"https://www.columbine-angels.com/School_Violence_2006-2007.htm")</f>
        <v>https://www.columbine-angels.com/School_Violence_2006-2007.htm</v>
      </c>
      <c r="L1376" s="5"/>
      <c r="M1376" s="5"/>
      <c r="N1376" s="5">
        <f ca="1">IFERROR(__xludf.DUMMYFUNCTION("""COMPUTED_VALUE"""),1)</f>
        <v>1</v>
      </c>
      <c r="O1376" s="5" t="str">
        <f ca="1">IFERROR(__xludf.DUMMYFUNCTION("""COMPUTED_VALUE"""),"Winter")</f>
        <v>Winter</v>
      </c>
      <c r="P1376" s="5" t="str">
        <f ca="1">IFERROR(__xludf.DUMMYFUNCTION("""COMPUTED_VALUE"""),"Jacksonville")</f>
        <v>Jacksonville</v>
      </c>
      <c r="Q1376" s="5" t="str">
        <f ca="1">IFERROR(__xludf.DUMMYFUNCTION("""COMPUTED_VALUE"""),"FL")</f>
        <v>FL</v>
      </c>
      <c r="R1376" s="5" t="str">
        <f ca="1">IFERROR(__xludf.DUMMYFUNCTION("""COMPUTED_VALUE"""),"Middle")</f>
        <v>Middle</v>
      </c>
      <c r="S1376" s="5" t="str">
        <f ca="1">IFERROR(__xludf.DUMMYFUNCTION("""COMPUTED_VALUE"""),"ND")</f>
        <v>ND</v>
      </c>
      <c r="T1376" s="5" t="str">
        <f ca="1">IFERROR(__xludf.DUMMYFUNCTION("""COMPUTED_VALUE"""),"ND")</f>
        <v>ND</v>
      </c>
      <c r="U1376" s="5" t="str">
        <f ca="1">IFERROR(__xludf.DUMMYFUNCTION("""COMPUTED_VALUE"""),"Yes")</f>
        <v>Yes</v>
      </c>
      <c r="V1376" s="5"/>
      <c r="W1376" s="5"/>
      <c r="X1376" s="5">
        <f ca="1">IFERROR(__xludf.DUMMYFUNCTION("""COMPUTED_VALUE"""),1)</f>
        <v>1</v>
      </c>
      <c r="Y1376" s="5" t="str">
        <f ca="1">IFERROR(__xludf.DUMMYFUNCTION("""COMPUTED_VALUE"""),"Shot at SRO while fleeing")</f>
        <v>Shot at SRO while fleeing</v>
      </c>
      <c r="Z1376" s="5" t="str">
        <f ca="1">IFERROR(__xludf.DUMMYFUNCTION("""COMPUTED_VALUE"""),"A school resource officer approached the group to break up the fight and the students fled. One of the students had handgun and the SRO began chasing him.  The teen dropped the gun during the pursuit and another 16YOM student picked up the gun and fired t"&amp;"hree or four times at the SRO. The unnamed SRO was not hit.")</f>
        <v>A school resource officer approached the group to break up the fight and the students fled. One of the students had handgun and the SRO began chasing him.  The teen dropped the gun during the pursuit and another 16YOM student picked up the gun and fired three or four times at the SRO. The unnamed SRO was not hit.</v>
      </c>
      <c r="AA1376" s="5" t="str">
        <f ca="1">IFERROR(__xludf.DUMMYFUNCTION("""COMPUTED_VALUE"""),"Escalation of Dispute")</f>
        <v>Escalation of Dispute</v>
      </c>
      <c r="AB1376" s="5" t="str">
        <f ca="1">IFERROR(__xludf.DUMMYFUNCTION("""COMPUTED_VALUE"""),"Victims Targeted")</f>
        <v>Victims Targeted</v>
      </c>
      <c r="AC1376" s="5" t="str">
        <f ca="1">IFERROR(__xludf.DUMMYFUNCTION("""COMPUTED_VALUE"""),"Yes")</f>
        <v>Yes</v>
      </c>
      <c r="AD1376" s="5" t="str">
        <f ca="1">IFERROR(__xludf.DUMMYFUNCTION("""COMPUTED_VALUE"""),"No")</f>
        <v>No</v>
      </c>
      <c r="AE1376" s="5" t="str">
        <f ca="1">IFERROR(__xludf.DUMMYFUNCTION("""COMPUTED_VALUE"""),"No")</f>
        <v>No</v>
      </c>
      <c r="AF1376" s="5" t="str">
        <f ca="1">IFERROR(__xludf.DUMMYFUNCTION("""COMPUTED_VALUE"""),"No")</f>
        <v>No</v>
      </c>
      <c r="AG1376" s="5" t="str">
        <f ca="1">IFERROR(__xludf.DUMMYFUNCTION("""COMPUTED_VALUE"""),"No")</f>
        <v>No</v>
      </c>
      <c r="AH1376" s="5" t="str">
        <f ca="1">IFERROR(__xludf.DUMMYFUNCTION("""COMPUTED_VALUE"""),"No")</f>
        <v>No</v>
      </c>
      <c r="AI1376" s="5" t="str">
        <f ca="1">IFERROR(__xludf.DUMMYFUNCTION("""COMPUTED_VALUE"""),"No")</f>
        <v>No</v>
      </c>
      <c r="AJ1376" s="5"/>
    </row>
    <row r="1377" spans="1:36" ht="13">
      <c r="A1377" s="5" t="str">
        <f ca="1">IFERROR(__xludf.DUMMYFUNCTION("""COMPUTED_VALUE"""),"20070131ILHIC")</f>
        <v>20070131ILHIC</v>
      </c>
      <c r="B1377" s="5">
        <f ca="1">IFERROR(__xludf.DUMMYFUNCTION("""COMPUTED_VALUE"""),1)</f>
        <v>1</v>
      </c>
      <c r="C1377" s="5">
        <f ca="1">IFERROR(__xludf.DUMMYFUNCTION("""COMPUTED_VALUE"""),31)</f>
        <v>31</v>
      </c>
      <c r="D1377" s="5">
        <f ca="1">IFERROR(__xludf.DUMMYFUNCTION("""COMPUTED_VALUE"""),2007)</f>
        <v>2007</v>
      </c>
      <c r="E1377" s="8">
        <f ca="1">IFERROR(__xludf.DUMMYFUNCTION("""COMPUTED_VALUE"""),39113)</f>
        <v>39113</v>
      </c>
      <c r="F1377" s="5" t="str">
        <f ca="1">IFERROR(__xludf.DUMMYFUNCTION("""COMPUTED_VALUE"""),"Hillcrest High School")</f>
        <v>Hillcrest High School</v>
      </c>
      <c r="G1377" s="5">
        <f ca="1">IFERROR(__xludf.DUMMYFUNCTION("""COMPUTED_VALUE"""),0)</f>
        <v>0</v>
      </c>
      <c r="H1377" s="5">
        <f ca="1">IFERROR(__xludf.DUMMYFUNCTION("""COMPUTED_VALUE"""),1)</f>
        <v>1</v>
      </c>
      <c r="I1377" s="5">
        <f ca="1">IFERROR(__xludf.DUMMYFUNCTION("""COMPUTED_VALUE"""),1)</f>
        <v>1</v>
      </c>
      <c r="J1377" s="5">
        <f ca="1">IFERROR(__xludf.DUMMYFUNCTION("""COMPUTED_VALUE"""),0)</f>
        <v>0</v>
      </c>
      <c r="K1377" s="9" t="str">
        <f ca="1">IFERROR(__xludf.DUMMYFUNCTION("""COMPUTED_VALUE"""),"https://www.newspapers.com/image/231615256/?terms=Hillcrest%2BHigh%2BSchool%2Bshooting%2BDwight%2BWelch")</f>
        <v>https://www.newspapers.com/image/231615256/?terms=Hillcrest%2BHigh%2BSchool%2Bshooting%2BDwight%2BWelch</v>
      </c>
      <c r="L1377" s="5"/>
      <c r="M1377" s="5"/>
      <c r="N1377" s="5">
        <f ca="1">IFERROR(__xludf.DUMMYFUNCTION("""COMPUTED_VALUE"""),2)</f>
        <v>2</v>
      </c>
      <c r="O1377" s="5" t="str">
        <f ca="1">IFERROR(__xludf.DUMMYFUNCTION("""COMPUTED_VALUE"""),"Winter")</f>
        <v>Winter</v>
      </c>
      <c r="P1377" s="5" t="str">
        <f ca="1">IFERROR(__xludf.DUMMYFUNCTION("""COMPUTED_VALUE"""),"Country Club Hills")</f>
        <v>Country Club Hills</v>
      </c>
      <c r="Q1377" s="5" t="str">
        <f ca="1">IFERROR(__xludf.DUMMYFUNCTION("""COMPUTED_VALUE"""),"IL")</f>
        <v>IL</v>
      </c>
      <c r="R1377" s="5" t="str">
        <f ca="1">IFERROR(__xludf.DUMMYFUNCTION("""COMPUTED_VALUE"""),"High")</f>
        <v>High</v>
      </c>
      <c r="S1377" s="5" t="str">
        <f ca="1">IFERROR(__xludf.DUMMYFUNCTION("""COMPUTED_VALUE"""),"Parking Lot")</f>
        <v>Parking Lot</v>
      </c>
      <c r="T1377" s="5" t="str">
        <f ca="1">IFERROR(__xludf.DUMMYFUNCTION("""COMPUTED_VALUE"""),"Outside on School Property")</f>
        <v>Outside on School Property</v>
      </c>
      <c r="U1377" s="5" t="str">
        <f ca="1">IFERROR(__xludf.DUMMYFUNCTION("""COMPUTED_VALUE"""),"No")</f>
        <v>No</v>
      </c>
      <c r="V1377" s="5" t="str">
        <f ca="1">IFERROR(__xludf.DUMMYFUNCTION("""COMPUTED_VALUE"""),"Sport Event")</f>
        <v>Sport Event</v>
      </c>
      <c r="W1377" s="10">
        <f ca="1">IFERROR(__xludf.DUMMYFUNCTION("""COMPUTED_VALUE"""),0.895833333333333)</f>
        <v>0.89583333333333304</v>
      </c>
      <c r="X1377" s="5">
        <f ca="1">IFERROR(__xludf.DUMMYFUNCTION("""COMPUTED_VALUE"""),1)</f>
        <v>1</v>
      </c>
      <c r="Y1377" s="5" t="str">
        <f ca="1">IFERROR(__xludf.DUMMYFUNCTION("""COMPUTED_VALUE"""),"Student (bystander) shot during fight after basketball game")</f>
        <v>Student (bystander) shot during fight after basketball game</v>
      </c>
      <c r="Z1377" s="5" t="str">
        <f ca="1">IFERROR(__xludf.DUMMYFUNCTION("""COMPUTED_VALUE"""),"A 15YOM bystander student was shot in the parking lot of the school during a fight between non-students. Shooter was arrested away from the scene.")</f>
        <v>A 15YOM bystander student was shot in the parking lot of the school during a fight between non-students. Shooter was arrested away from the scene.</v>
      </c>
      <c r="AA1377" s="5" t="str">
        <f ca="1">IFERROR(__xludf.DUMMYFUNCTION("""COMPUTED_VALUE"""),"Escalation of Dispute")</f>
        <v>Escalation of Dispute</v>
      </c>
      <c r="AB1377" s="5"/>
      <c r="AC1377" s="5" t="str">
        <f ca="1">IFERROR(__xludf.DUMMYFUNCTION("""COMPUTED_VALUE"""),"Yes")</f>
        <v>Yes</v>
      </c>
      <c r="AD1377" s="5" t="str">
        <f ca="1">IFERROR(__xludf.DUMMYFUNCTION("""COMPUTED_VALUE"""),"No")</f>
        <v>No</v>
      </c>
      <c r="AE1377" s="5" t="str">
        <f ca="1">IFERROR(__xludf.DUMMYFUNCTION("""COMPUTED_VALUE"""),"No")</f>
        <v>No</v>
      </c>
      <c r="AF1377" s="5" t="str">
        <f ca="1">IFERROR(__xludf.DUMMYFUNCTION("""COMPUTED_VALUE"""),"No")</f>
        <v>No</v>
      </c>
      <c r="AG1377" s="5" t="str">
        <f ca="1">IFERROR(__xludf.DUMMYFUNCTION("""COMPUTED_VALUE"""),"No")</f>
        <v>No</v>
      </c>
      <c r="AH1377" s="5" t="str">
        <f ca="1">IFERROR(__xludf.DUMMYFUNCTION("""COMPUTED_VALUE"""),"No")</f>
        <v>No</v>
      </c>
      <c r="AI1377" s="5" t="str">
        <f ca="1">IFERROR(__xludf.DUMMYFUNCTION("""COMPUTED_VALUE"""),"No")</f>
        <v>No</v>
      </c>
      <c r="AJ1377" s="5"/>
    </row>
    <row r="1378" spans="1:36" ht="13">
      <c r="A1378" s="5" t="str">
        <f ca="1">IFERROR(__xludf.DUMMYFUNCTION("""COMPUTED_VALUE"""),"20070124TNHAS")</f>
        <v>20070124TNHAS</v>
      </c>
      <c r="B1378" s="5">
        <f ca="1">IFERROR(__xludf.DUMMYFUNCTION("""COMPUTED_VALUE"""),1)</f>
        <v>1</v>
      </c>
      <c r="C1378" s="5">
        <f ca="1">IFERROR(__xludf.DUMMYFUNCTION("""COMPUTED_VALUE"""),24)</f>
        <v>24</v>
      </c>
      <c r="D1378" s="5">
        <f ca="1">IFERROR(__xludf.DUMMYFUNCTION("""COMPUTED_VALUE"""),2007)</f>
        <v>2007</v>
      </c>
      <c r="E1378" s="8">
        <f ca="1">IFERROR(__xludf.DUMMYFUNCTION("""COMPUTED_VALUE"""),39106)</f>
        <v>39106</v>
      </c>
      <c r="F1378" s="5" t="str">
        <f ca="1">IFERROR(__xludf.DUMMYFUNCTION("""COMPUTED_VALUE"""),"Harbin County High School")</f>
        <v>Harbin County High School</v>
      </c>
      <c r="G1378" s="5">
        <f ca="1">IFERROR(__xludf.DUMMYFUNCTION("""COMPUTED_VALUE"""),0)</f>
        <v>0</v>
      </c>
      <c r="H1378" s="5">
        <f ca="1">IFERROR(__xludf.DUMMYFUNCTION("""COMPUTED_VALUE"""),0)</f>
        <v>0</v>
      </c>
      <c r="I1378" s="5">
        <f ca="1">IFERROR(__xludf.DUMMYFUNCTION("""COMPUTED_VALUE"""),0)</f>
        <v>0</v>
      </c>
      <c r="J1378" s="5">
        <f ca="1">IFERROR(__xludf.DUMMYFUNCTION("""COMPUTED_VALUE"""),0)</f>
        <v>0</v>
      </c>
      <c r="K1378" s="9" t="str">
        <f ca="1">IFERROR(__xludf.DUMMYFUNCTION("""COMPUTED_VALUE"""),"http://www.wmcactionnews5.com/story/5984007/17-year-old-in-critical-condition-at-the-med-after-school-shooting")</f>
        <v>http://www.wmcactionnews5.com/story/5984007/17-year-old-in-critical-condition-at-the-med-after-school-shooting</v>
      </c>
      <c r="L1378" s="5"/>
      <c r="M1378" s="5"/>
      <c r="N1378" s="5">
        <f ca="1">IFERROR(__xludf.DUMMYFUNCTION("""COMPUTED_VALUE"""),2)</f>
        <v>2</v>
      </c>
      <c r="O1378" s="5" t="str">
        <f ca="1">IFERROR(__xludf.DUMMYFUNCTION("""COMPUTED_VALUE"""),"Winter")</f>
        <v>Winter</v>
      </c>
      <c r="P1378" s="5" t="str">
        <f ca="1">IFERROR(__xludf.DUMMYFUNCTION("""COMPUTED_VALUE"""),"Savannah")</f>
        <v>Savannah</v>
      </c>
      <c r="Q1378" s="5" t="str">
        <f ca="1">IFERROR(__xludf.DUMMYFUNCTION("""COMPUTED_VALUE"""),"TN")</f>
        <v>TN</v>
      </c>
      <c r="R1378" s="5" t="str">
        <f ca="1">IFERROR(__xludf.DUMMYFUNCTION("""COMPUTED_VALUE"""),"High")</f>
        <v>High</v>
      </c>
      <c r="S1378" s="5" t="str">
        <f ca="1">IFERROR(__xludf.DUMMYFUNCTION("""COMPUTED_VALUE"""),"Bathroom")</f>
        <v>Bathroom</v>
      </c>
      <c r="T1378" s="5" t="str">
        <f ca="1">IFERROR(__xludf.DUMMYFUNCTION("""COMPUTED_VALUE"""),"Inside School Building")</f>
        <v>Inside School Building</v>
      </c>
      <c r="U1378" s="5" t="str">
        <f ca="1">IFERROR(__xludf.DUMMYFUNCTION("""COMPUTED_VALUE"""),"Yes")</f>
        <v>Yes</v>
      </c>
      <c r="V1378" s="5" t="str">
        <f ca="1">IFERROR(__xludf.DUMMYFUNCTION("""COMPUTED_VALUE"""),"Morning Classes")</f>
        <v>Morning Classes</v>
      </c>
      <c r="W1378" s="10">
        <f ca="1">IFERROR(__xludf.DUMMYFUNCTION("""COMPUTED_VALUE"""),0.333333333333333)</f>
        <v>0.33333333333333298</v>
      </c>
      <c r="X1378" s="5">
        <f ca="1">IFERROR(__xludf.DUMMYFUNCTION("""COMPUTED_VALUE"""),1)</f>
        <v>1</v>
      </c>
      <c r="Y1378" s="5" t="str">
        <f ca="1">IFERROR(__xludf.DUMMYFUNCTION("""COMPUTED_VALUE"""),"Student shot self in bathroom")</f>
        <v>Student shot self in bathroom</v>
      </c>
      <c r="Z1378" s="5" t="str">
        <f ca="1">IFERROR(__xludf.DUMMYFUNCTION("""COMPUTED_VALUE"""),"17YOM shot self in bathroom.")</f>
        <v>17YOM shot self in bathroom.</v>
      </c>
      <c r="AA1378" s="5" t="str">
        <f ca="1">IFERROR(__xludf.DUMMYFUNCTION("""COMPUTED_VALUE"""),"Suicide/Attempted")</f>
        <v>Suicide/Attempted</v>
      </c>
      <c r="AB1378" s="5" t="str">
        <f ca="1">IFERROR(__xludf.DUMMYFUNCTION("""COMPUTED_VALUE"""),"Victims Targeted")</f>
        <v>Victims Targeted</v>
      </c>
      <c r="AC1378" s="5" t="str">
        <f ca="1">IFERROR(__xludf.DUMMYFUNCTION("""COMPUTED_VALUE"""),"No")</f>
        <v>No</v>
      </c>
      <c r="AD1378" s="5" t="str">
        <f ca="1">IFERROR(__xludf.DUMMYFUNCTION("""COMPUTED_VALUE"""),"No")</f>
        <v>No</v>
      </c>
      <c r="AE1378" s="5" t="str">
        <f ca="1">IFERROR(__xludf.DUMMYFUNCTION("""COMPUTED_VALUE"""),"No")</f>
        <v>No</v>
      </c>
      <c r="AF1378" s="5" t="str">
        <f ca="1">IFERROR(__xludf.DUMMYFUNCTION("""COMPUTED_VALUE"""),"No")</f>
        <v>No</v>
      </c>
      <c r="AG1378" s="5" t="str">
        <f ca="1">IFERROR(__xludf.DUMMYFUNCTION("""COMPUTED_VALUE"""),"No")</f>
        <v>No</v>
      </c>
      <c r="AH1378" s="5" t="str">
        <f ca="1">IFERROR(__xludf.DUMMYFUNCTION("""COMPUTED_VALUE"""),"No")</f>
        <v>No</v>
      </c>
      <c r="AI1378" s="5" t="str">
        <f ca="1">IFERROR(__xludf.DUMMYFUNCTION("""COMPUTED_VALUE"""),"No")</f>
        <v>No</v>
      </c>
      <c r="AJ1378" s="5"/>
    </row>
    <row r="1379" spans="1:36" ht="13">
      <c r="A1379" s="5" t="str">
        <f ca="1">IFERROR(__xludf.DUMMYFUNCTION("""COMPUTED_VALUE"""),"20070118PAWIP")</f>
        <v>20070118PAWIP</v>
      </c>
      <c r="B1379" s="5">
        <f ca="1">IFERROR(__xludf.DUMMYFUNCTION("""COMPUTED_VALUE"""),1)</f>
        <v>1</v>
      </c>
      <c r="C1379" s="5">
        <f ca="1">IFERROR(__xludf.DUMMYFUNCTION("""COMPUTED_VALUE"""),18)</f>
        <v>18</v>
      </c>
      <c r="D1379" s="5">
        <f ca="1">IFERROR(__xludf.DUMMYFUNCTION("""COMPUTED_VALUE"""),2007)</f>
        <v>2007</v>
      </c>
      <c r="E1379" s="8">
        <f ca="1">IFERROR(__xludf.DUMMYFUNCTION("""COMPUTED_VALUE"""),39100)</f>
        <v>39100</v>
      </c>
      <c r="F1379" s="5" t="str">
        <f ca="1">IFERROR(__xludf.DUMMYFUNCTION("""COMPUTED_VALUE"""),"William L.Sayre High School")</f>
        <v>William L.Sayre High School</v>
      </c>
      <c r="G1379" s="5">
        <f ca="1">IFERROR(__xludf.DUMMYFUNCTION("""COMPUTED_VALUE"""),0)</f>
        <v>0</v>
      </c>
      <c r="H1379" s="5">
        <f ca="1">IFERROR(__xludf.DUMMYFUNCTION("""COMPUTED_VALUE"""),1)</f>
        <v>1</v>
      </c>
      <c r="I1379" s="5">
        <f ca="1">IFERROR(__xludf.DUMMYFUNCTION("""COMPUTED_VALUE"""),1)</f>
        <v>1</v>
      </c>
      <c r="J1379" s="5">
        <f ca="1">IFERROR(__xludf.DUMMYFUNCTION("""COMPUTED_VALUE"""),0)</f>
        <v>0</v>
      </c>
      <c r="K1379" s="9" t="str">
        <f ca="1">IFERROR(__xludf.DUMMYFUNCTION("""COMPUTED_VALUE"""),"http://www.philly.com/philly/news/20070119_dn_M_SAYR.html")</f>
        <v>http://www.philly.com/philly/news/20070119_dn_M_SAYR.html</v>
      </c>
      <c r="L1379" s="5"/>
      <c r="M1379" s="5"/>
      <c r="N1379" s="5">
        <f ca="1">IFERROR(__xludf.DUMMYFUNCTION("""COMPUTED_VALUE"""),2)</f>
        <v>2</v>
      </c>
      <c r="O1379" s="5" t="str">
        <f ca="1">IFERROR(__xludf.DUMMYFUNCTION("""COMPUTED_VALUE"""),"Winter")</f>
        <v>Winter</v>
      </c>
      <c r="P1379" s="5" t="str">
        <f ca="1">IFERROR(__xludf.DUMMYFUNCTION("""COMPUTED_VALUE"""),"Philadelphia")</f>
        <v>Philadelphia</v>
      </c>
      <c r="Q1379" s="5" t="str">
        <f ca="1">IFERROR(__xludf.DUMMYFUNCTION("""COMPUTED_VALUE"""),"PA")</f>
        <v>PA</v>
      </c>
      <c r="R1379" s="5" t="str">
        <f ca="1">IFERROR(__xludf.DUMMYFUNCTION("""COMPUTED_VALUE"""),"High")</f>
        <v>High</v>
      </c>
      <c r="S1379" s="5" t="str">
        <f ca="1">IFERROR(__xludf.DUMMYFUNCTION("""COMPUTED_VALUE"""),"Beside Building")</f>
        <v>Beside Building</v>
      </c>
      <c r="T1379" s="5" t="str">
        <f ca="1">IFERROR(__xludf.DUMMYFUNCTION("""COMPUTED_VALUE"""),"Outside on School Property")</f>
        <v>Outside on School Property</v>
      </c>
      <c r="U1379" s="5" t="str">
        <f ca="1">IFERROR(__xludf.DUMMYFUNCTION("""COMPUTED_VALUE"""),"Yes")</f>
        <v>Yes</v>
      </c>
      <c r="V1379" s="5" t="str">
        <f ca="1">IFERROR(__xludf.DUMMYFUNCTION("""COMPUTED_VALUE"""),"School Start")</f>
        <v>School Start</v>
      </c>
      <c r="W1379" s="10">
        <f ca="1">IFERROR(__xludf.DUMMYFUNCTION("""COMPUTED_VALUE"""),0.350694444444444)</f>
        <v>0.35069444444444398</v>
      </c>
      <c r="X1379" s="5">
        <f ca="1">IFERROR(__xludf.DUMMYFUNCTION("""COMPUTED_VALUE"""),1)</f>
        <v>1</v>
      </c>
      <c r="Y1379" s="5" t="str">
        <f ca="1">IFERROR(__xludf.DUMMYFUNCTION("""COMPUTED_VALUE"""),"Student shot during confrontation with 3 other students")</f>
        <v>Student shot during confrontation with 3 other students</v>
      </c>
      <c r="Z1379" s="5" t="str">
        <f ca="1">IFERROR(__xludf.DUMMYFUNCTION("""COMPUTED_VALUE"""),"17YOM student shot by group of three other teens outside of the school during a confrontation. Victim also had a handgun.")</f>
        <v>17YOM student shot by group of three other teens outside of the school during a confrontation. Victim also had a handgun.</v>
      </c>
      <c r="AA1379" s="5" t="str">
        <f ca="1">IFERROR(__xludf.DUMMYFUNCTION("""COMPUTED_VALUE"""),"Escalation of Dispute")</f>
        <v>Escalation of Dispute</v>
      </c>
      <c r="AB1379" s="5" t="str">
        <f ca="1">IFERROR(__xludf.DUMMYFUNCTION("""COMPUTED_VALUE"""),"Victims Targeted")</f>
        <v>Victims Targeted</v>
      </c>
      <c r="AC1379" s="5" t="str">
        <f ca="1">IFERROR(__xludf.DUMMYFUNCTION("""COMPUTED_VALUE"""),"Yes")</f>
        <v>Yes</v>
      </c>
      <c r="AD1379" s="5" t="str">
        <f ca="1">IFERROR(__xludf.DUMMYFUNCTION("""COMPUTED_VALUE"""),"No")</f>
        <v>No</v>
      </c>
      <c r="AE1379" s="5" t="str">
        <f ca="1">IFERROR(__xludf.DUMMYFUNCTION("""COMPUTED_VALUE"""),"No")</f>
        <v>No</v>
      </c>
      <c r="AF1379" s="5" t="str">
        <f ca="1">IFERROR(__xludf.DUMMYFUNCTION("""COMPUTED_VALUE"""),"No")</f>
        <v>No</v>
      </c>
      <c r="AG1379" s="5" t="str">
        <f ca="1">IFERROR(__xludf.DUMMYFUNCTION("""COMPUTED_VALUE"""),"No")</f>
        <v>No</v>
      </c>
      <c r="AH1379" s="5" t="str">
        <f ca="1">IFERROR(__xludf.DUMMYFUNCTION("""COMPUTED_VALUE"""),"No")</f>
        <v>No</v>
      </c>
      <c r="AI1379" s="5" t="str">
        <f ca="1">IFERROR(__xludf.DUMMYFUNCTION("""COMPUTED_VALUE"""),"No")</f>
        <v>No</v>
      </c>
      <c r="AJ1379" s="5"/>
    </row>
    <row r="1380" spans="1:36" ht="13">
      <c r="A1380" s="5" t="str">
        <f ca="1">IFERROR(__xludf.DUMMYFUNCTION("""COMPUTED_VALUE"""),"20070109CAGRV")</f>
        <v>20070109CAGRV</v>
      </c>
      <c r="B1380" s="5">
        <f ca="1">IFERROR(__xludf.DUMMYFUNCTION("""COMPUTED_VALUE"""),1)</f>
        <v>1</v>
      </c>
      <c r="C1380" s="5">
        <f ca="1">IFERROR(__xludf.DUMMYFUNCTION("""COMPUTED_VALUE"""),9)</f>
        <v>9</v>
      </c>
      <c r="D1380" s="5">
        <f ca="1">IFERROR(__xludf.DUMMYFUNCTION("""COMPUTED_VALUE"""),2007)</f>
        <v>2007</v>
      </c>
      <c r="E1380" s="8">
        <f ca="1">IFERROR(__xludf.DUMMYFUNCTION("""COMPUTED_VALUE"""),39091)</f>
        <v>39091</v>
      </c>
      <c r="F1380" s="5" t="str">
        <f ca="1">IFERROR(__xludf.DUMMYFUNCTION("""COMPUTED_VALUE"""),"Grant High School")</f>
        <v>Grant High School</v>
      </c>
      <c r="G1380" s="5">
        <f ca="1">IFERROR(__xludf.DUMMYFUNCTION("""COMPUTED_VALUE"""),0)</f>
        <v>0</v>
      </c>
      <c r="H1380" s="5">
        <f ca="1">IFERROR(__xludf.DUMMYFUNCTION("""COMPUTED_VALUE"""),2)</f>
        <v>2</v>
      </c>
      <c r="I1380" s="5">
        <f ca="1">IFERROR(__xludf.DUMMYFUNCTION("""COMPUTED_VALUE"""),2)</f>
        <v>2</v>
      </c>
      <c r="J1380" s="5">
        <f ca="1">IFERROR(__xludf.DUMMYFUNCTION("""COMPUTED_VALUE"""),0)</f>
        <v>0</v>
      </c>
      <c r="K1380" s="9" t="str">
        <f ca="1">IFERROR(__xludf.DUMMYFUNCTION("""COMPUTED_VALUE"""),"http://articles.latimes.com/2007/jan/10/local/me-grant10")</f>
        <v>http://articles.latimes.com/2007/jan/10/local/me-grant10</v>
      </c>
      <c r="L1380" s="5"/>
      <c r="M1380" s="5"/>
      <c r="N1380" s="5">
        <f ca="1">IFERROR(__xludf.DUMMYFUNCTION("""COMPUTED_VALUE"""),2)</f>
        <v>2</v>
      </c>
      <c r="O1380" s="5" t="str">
        <f ca="1">IFERROR(__xludf.DUMMYFUNCTION("""COMPUTED_VALUE"""),"Winter")</f>
        <v>Winter</v>
      </c>
      <c r="P1380" s="5" t="str">
        <f ca="1">IFERROR(__xludf.DUMMYFUNCTION("""COMPUTED_VALUE"""),"Van Nuys")</f>
        <v>Van Nuys</v>
      </c>
      <c r="Q1380" s="5" t="str">
        <f ca="1">IFERROR(__xludf.DUMMYFUNCTION("""COMPUTED_VALUE"""),"CA")</f>
        <v>CA</v>
      </c>
      <c r="R1380" s="5" t="str">
        <f ca="1">IFERROR(__xludf.DUMMYFUNCTION("""COMPUTED_VALUE"""),"High")</f>
        <v>High</v>
      </c>
      <c r="S1380" s="5" t="str">
        <f ca="1">IFERROR(__xludf.DUMMYFUNCTION("""COMPUTED_VALUE"""),"Front of School")</f>
        <v>Front of School</v>
      </c>
      <c r="T1380" s="5" t="str">
        <f ca="1">IFERROR(__xludf.DUMMYFUNCTION("""COMPUTED_VALUE"""),"Outside on School Property")</f>
        <v>Outside on School Property</v>
      </c>
      <c r="U1380" s="5" t="str">
        <f ca="1">IFERROR(__xludf.DUMMYFUNCTION("""COMPUTED_VALUE"""),"Yes")</f>
        <v>Yes</v>
      </c>
      <c r="V1380" s="5" t="str">
        <f ca="1">IFERROR(__xludf.DUMMYFUNCTION("""COMPUTED_VALUE"""),"Dismissal")</f>
        <v>Dismissal</v>
      </c>
      <c r="W1380" s="10">
        <f ca="1">IFERROR(__xludf.DUMMYFUNCTION("""COMPUTED_VALUE"""),0.635416666666666)</f>
        <v>0.63541666666666596</v>
      </c>
      <c r="X1380" s="5">
        <f ca="1">IFERROR(__xludf.DUMMYFUNCTION("""COMPUTED_VALUE"""),1)</f>
        <v>1</v>
      </c>
      <c r="Y1380" s="5" t="str">
        <f ca="1">IFERROR(__xludf.DUMMYFUNCTION("""COMPUTED_VALUE"""),"2 students shot outside of school in gang related drive-by")</f>
        <v>2 students shot outside of school in gang related drive-by</v>
      </c>
      <c r="Z1380" s="5" t="str">
        <f ca="1">IFERROR(__xludf.DUMMYFUNCTION("""COMPUTED_VALUE"""),"17YOM and 16YOM students shot outside of high school in gang related drive-by shooting.")</f>
        <v>17YOM and 16YOM students shot outside of high school in gang related drive-by shooting.</v>
      </c>
      <c r="AA1380" s="5" t="str">
        <f ca="1">IFERROR(__xludf.DUMMYFUNCTION("""COMPUTED_VALUE"""),"Drive-by Shooting")</f>
        <v>Drive-by Shooting</v>
      </c>
      <c r="AB1380" s="5" t="str">
        <f ca="1">IFERROR(__xludf.DUMMYFUNCTION("""COMPUTED_VALUE"""),"Victims Targeted")</f>
        <v>Victims Targeted</v>
      </c>
      <c r="AC1380" s="5" t="str">
        <f ca="1">IFERROR(__xludf.DUMMYFUNCTION("""COMPUTED_VALUE"""),"Yes")</f>
        <v>Yes</v>
      </c>
      <c r="AD1380" s="5" t="str">
        <f ca="1">IFERROR(__xludf.DUMMYFUNCTION("""COMPUTED_VALUE"""),"No")</f>
        <v>No</v>
      </c>
      <c r="AE1380" s="5" t="str">
        <f ca="1">IFERROR(__xludf.DUMMYFUNCTION("""COMPUTED_VALUE"""),"No")</f>
        <v>No</v>
      </c>
      <c r="AF1380" s="5" t="str">
        <f ca="1">IFERROR(__xludf.DUMMYFUNCTION("""COMPUTED_VALUE"""),"No")</f>
        <v>No</v>
      </c>
      <c r="AG1380" s="5" t="str">
        <f ca="1">IFERROR(__xludf.DUMMYFUNCTION("""COMPUTED_VALUE"""),"No")</f>
        <v>No</v>
      </c>
      <c r="AH1380" s="5" t="str">
        <f ca="1">IFERROR(__xludf.DUMMYFUNCTION("""COMPUTED_VALUE"""),"No")</f>
        <v>No</v>
      </c>
      <c r="AI1380" s="5" t="str">
        <f ca="1">IFERROR(__xludf.DUMMYFUNCTION("""COMPUTED_VALUE"""),"Yes")</f>
        <v>Yes</v>
      </c>
      <c r="AJ1380" s="5"/>
    </row>
    <row r="1381" spans="1:36" ht="13">
      <c r="A1381" s="5" t="str">
        <f ca="1">IFERROR(__xludf.DUMMYFUNCTION("""COMPUTED_VALUE"""),"20070109NVWEL")</f>
        <v>20070109NVWEL</v>
      </c>
      <c r="B1381" s="5">
        <f ca="1">IFERROR(__xludf.DUMMYFUNCTION("""COMPUTED_VALUE"""),1)</f>
        <v>1</v>
      </c>
      <c r="C1381" s="5">
        <f ca="1">IFERROR(__xludf.DUMMYFUNCTION("""COMPUTED_VALUE"""),9)</f>
        <v>9</v>
      </c>
      <c r="D1381" s="5">
        <f ca="1">IFERROR(__xludf.DUMMYFUNCTION("""COMPUTED_VALUE"""),2007)</f>
        <v>2007</v>
      </c>
      <c r="E1381" s="8">
        <f ca="1">IFERROR(__xludf.DUMMYFUNCTION("""COMPUTED_VALUE"""),39091)</f>
        <v>39091</v>
      </c>
      <c r="F1381" s="5" t="str">
        <f ca="1">IFERROR(__xludf.DUMMYFUNCTION("""COMPUTED_VALUE"""),"Western High School")</f>
        <v>Western High School</v>
      </c>
      <c r="G1381" s="5">
        <f ca="1">IFERROR(__xludf.DUMMYFUNCTION("""COMPUTED_VALUE"""),0)</f>
        <v>0</v>
      </c>
      <c r="H1381" s="5">
        <f ca="1">IFERROR(__xludf.DUMMYFUNCTION("""COMPUTED_VALUE"""),2)</f>
        <v>2</v>
      </c>
      <c r="I1381" s="5">
        <f ca="1">IFERROR(__xludf.DUMMYFUNCTION("""COMPUTED_VALUE"""),2)</f>
        <v>2</v>
      </c>
      <c r="J1381" s="5">
        <f ca="1">IFERROR(__xludf.DUMMYFUNCTION("""COMPUTED_VALUE"""),0)</f>
        <v>0</v>
      </c>
      <c r="K1381" s="9" t="str">
        <f ca="1">IFERROR(__xludf.DUMMYFUNCTION("""COMPUTED_VALUE"""),"https://www.lasvegasnow.com/news/shooter-in-western-high-school-case-in-custody/81454838")</f>
        <v>https://www.lasvegasnow.com/news/shooter-in-western-high-school-case-in-custody/81454838</v>
      </c>
      <c r="L1381" s="5"/>
      <c r="M1381" s="5"/>
      <c r="N1381" s="5">
        <f ca="1">IFERROR(__xludf.DUMMYFUNCTION("""COMPUTED_VALUE"""),2)</f>
        <v>2</v>
      </c>
      <c r="O1381" s="5" t="str">
        <f ca="1">IFERROR(__xludf.DUMMYFUNCTION("""COMPUTED_VALUE"""),"Winter")</f>
        <v>Winter</v>
      </c>
      <c r="P1381" s="5" t="str">
        <f ca="1">IFERROR(__xludf.DUMMYFUNCTION("""COMPUTED_VALUE"""),"Las Vegas")</f>
        <v>Las Vegas</v>
      </c>
      <c r="Q1381" s="5" t="str">
        <f ca="1">IFERROR(__xludf.DUMMYFUNCTION("""COMPUTED_VALUE"""),"NV")</f>
        <v>NV</v>
      </c>
      <c r="R1381" s="5" t="str">
        <f ca="1">IFERROR(__xludf.DUMMYFUNCTION("""COMPUTED_VALUE"""),"High")</f>
        <v>High</v>
      </c>
      <c r="S1381" s="5" t="str">
        <f ca="1">IFERROR(__xludf.DUMMYFUNCTION("""COMPUTED_VALUE"""),"Parking Lot")</f>
        <v>Parking Lot</v>
      </c>
      <c r="T1381" s="5" t="str">
        <f ca="1">IFERROR(__xludf.DUMMYFUNCTION("""COMPUTED_VALUE"""),"Outside on School Property")</f>
        <v>Outside on School Property</v>
      </c>
      <c r="U1381" s="5" t="str">
        <f ca="1">IFERROR(__xludf.DUMMYFUNCTION("""COMPUTED_VALUE"""),"Yes")</f>
        <v>Yes</v>
      </c>
      <c r="V1381" s="5" t="str">
        <f ca="1">IFERROR(__xludf.DUMMYFUNCTION("""COMPUTED_VALUE"""),"School Start")</f>
        <v>School Start</v>
      </c>
      <c r="W1381" s="10">
        <f ca="1">IFERROR(__xludf.DUMMYFUNCTION("""COMPUTED_VALUE"""),0.270833333333333)</f>
        <v>0.27083333333333298</v>
      </c>
      <c r="X1381" s="5">
        <f ca="1">IFERROR(__xludf.DUMMYFUNCTION("""COMPUTED_VALUE"""),1)</f>
        <v>1</v>
      </c>
      <c r="Y1381" s="5" t="str">
        <f ca="1">IFERROR(__xludf.DUMMYFUNCTION("""COMPUTED_VALUE"""),"Shooting in parking lot following a car accident")</f>
        <v>Shooting in parking lot following a car accident</v>
      </c>
      <c r="Z1381" s="5" t="str">
        <f ca="1">IFERROR(__xludf.DUMMYFUNCTION("""COMPUTED_VALUE"""),"Adult male fired at a group of students in the school parking lot following an argument about a car accident a few blocks away.")</f>
        <v>Adult male fired at a group of students in the school parking lot following an argument about a car accident a few blocks away.</v>
      </c>
      <c r="AA1381" s="5" t="str">
        <f ca="1">IFERROR(__xludf.DUMMYFUNCTION("""COMPUTED_VALUE"""),"Escalation of Dispute")</f>
        <v>Escalation of Dispute</v>
      </c>
      <c r="AB1381" s="5" t="str">
        <f ca="1">IFERROR(__xludf.DUMMYFUNCTION("""COMPUTED_VALUE"""),"Both")</f>
        <v>Both</v>
      </c>
      <c r="AC1381" s="5" t="str">
        <f ca="1">IFERROR(__xludf.DUMMYFUNCTION("""COMPUTED_VALUE"""),"No")</f>
        <v>No</v>
      </c>
      <c r="AD1381" s="5" t="str">
        <f ca="1">IFERROR(__xludf.DUMMYFUNCTION("""COMPUTED_VALUE"""),"No")</f>
        <v>No</v>
      </c>
      <c r="AE1381" s="5" t="str">
        <f ca="1">IFERROR(__xludf.DUMMYFUNCTION("""COMPUTED_VALUE"""),"No")</f>
        <v>No</v>
      </c>
      <c r="AF1381" s="5" t="str">
        <f ca="1">IFERROR(__xludf.DUMMYFUNCTION("""COMPUTED_VALUE"""),"No")</f>
        <v>No</v>
      </c>
      <c r="AG1381" s="5" t="str">
        <f ca="1">IFERROR(__xludf.DUMMYFUNCTION("""COMPUTED_VALUE"""),"No")</f>
        <v>No</v>
      </c>
      <c r="AH1381" s="5" t="str">
        <f ca="1">IFERROR(__xludf.DUMMYFUNCTION("""COMPUTED_VALUE"""),"No")</f>
        <v>No</v>
      </c>
      <c r="AI1381" s="5" t="str">
        <f ca="1">IFERROR(__xludf.DUMMYFUNCTION("""COMPUTED_VALUE"""),"No")</f>
        <v>No</v>
      </c>
      <c r="AJ1381" s="5"/>
    </row>
    <row r="1382" spans="1:36" ht="13">
      <c r="A1382" s="5" t="str">
        <f ca="1">IFERROR(__xludf.DUMMYFUNCTION("""COMPUTED_VALUE"""),"20070108OHROC")</f>
        <v>20070108OHROC</v>
      </c>
      <c r="B1382" s="5">
        <f ca="1">IFERROR(__xludf.DUMMYFUNCTION("""COMPUTED_VALUE"""),1)</f>
        <v>1</v>
      </c>
      <c r="C1382" s="5">
        <f ca="1">IFERROR(__xludf.DUMMYFUNCTION("""COMPUTED_VALUE"""),8)</f>
        <v>8</v>
      </c>
      <c r="D1382" s="5">
        <f ca="1">IFERROR(__xludf.DUMMYFUNCTION("""COMPUTED_VALUE"""),2007)</f>
        <v>2007</v>
      </c>
      <c r="E1382" s="8">
        <f ca="1">IFERROR(__xludf.DUMMYFUNCTION("""COMPUTED_VALUE"""),39090)</f>
        <v>39090</v>
      </c>
      <c r="F1382" s="5" t="str">
        <f ca="1">IFERROR(__xludf.DUMMYFUNCTION("""COMPUTED_VALUE"""),"Robert A. Taft Information Technology High School")</f>
        <v>Robert A. Taft Information Technology High School</v>
      </c>
      <c r="G1382" s="5">
        <f ca="1">IFERROR(__xludf.DUMMYFUNCTION("""COMPUTED_VALUE"""),0)</f>
        <v>0</v>
      </c>
      <c r="H1382" s="5">
        <f ca="1">IFERROR(__xludf.DUMMYFUNCTION("""COMPUTED_VALUE"""),0)</f>
        <v>0</v>
      </c>
      <c r="I1382" s="5">
        <f ca="1">IFERROR(__xludf.DUMMYFUNCTION("""COMPUTED_VALUE"""),0)</f>
        <v>0</v>
      </c>
      <c r="J1382" s="5">
        <f ca="1">IFERROR(__xludf.DUMMYFUNCTION("""COMPUTED_VALUE"""),0)</f>
        <v>0</v>
      </c>
      <c r="K1382" s="9" t="str">
        <f ca="1">IFERROR(__xludf.DUMMYFUNCTION("""COMPUTED_VALUE"""),"https://www.newspapers.com/image/286391925/?terms=High%2BSchool%2BDixon%2BEdwards")</f>
        <v>https://www.newspapers.com/image/286391925/?terms=High%2BSchool%2BDixon%2BEdwards</v>
      </c>
      <c r="L1382" s="5"/>
      <c r="M1382" s="5"/>
      <c r="N1382" s="5">
        <f ca="1">IFERROR(__xludf.DUMMYFUNCTION("""COMPUTED_VALUE"""),2)</f>
        <v>2</v>
      </c>
      <c r="O1382" s="5" t="str">
        <f ca="1">IFERROR(__xludf.DUMMYFUNCTION("""COMPUTED_VALUE"""),"Winter")</f>
        <v>Winter</v>
      </c>
      <c r="P1382" s="5" t="str">
        <f ca="1">IFERROR(__xludf.DUMMYFUNCTION("""COMPUTED_VALUE"""),"Cincinnati")</f>
        <v>Cincinnati</v>
      </c>
      <c r="Q1382" s="5" t="str">
        <f ca="1">IFERROR(__xludf.DUMMYFUNCTION("""COMPUTED_VALUE"""),"OH")</f>
        <v>OH</v>
      </c>
      <c r="R1382" s="5" t="str">
        <f ca="1">IFERROR(__xludf.DUMMYFUNCTION("""COMPUTED_VALUE"""),"High")</f>
        <v>High</v>
      </c>
      <c r="S1382" s="5" t="str">
        <f ca="1">IFERROR(__xludf.DUMMYFUNCTION("""COMPUTED_VALUE"""),"Hallway")</f>
        <v>Hallway</v>
      </c>
      <c r="T1382" s="5" t="str">
        <f ca="1">IFERROR(__xludf.DUMMYFUNCTION("""COMPUTED_VALUE"""),"Inside School Building")</f>
        <v>Inside School Building</v>
      </c>
      <c r="U1382" s="5" t="str">
        <f ca="1">IFERROR(__xludf.DUMMYFUNCTION("""COMPUTED_VALUE"""),"Yes")</f>
        <v>Yes</v>
      </c>
      <c r="V1382" s="5" t="str">
        <f ca="1">IFERROR(__xludf.DUMMYFUNCTION("""COMPUTED_VALUE"""),"Lunch")</f>
        <v>Lunch</v>
      </c>
      <c r="W1382" s="10">
        <f ca="1">IFERROR(__xludf.DUMMYFUNCTION("""COMPUTED_VALUE"""),0.447916666666666)</f>
        <v>0.44791666666666602</v>
      </c>
      <c r="X1382" s="5">
        <f ca="1">IFERROR(__xludf.DUMMYFUNCTION("""COMPUTED_VALUE"""),1)</f>
        <v>1</v>
      </c>
      <c r="Y1382" s="5" t="str">
        <f ca="1">IFERROR(__xludf.DUMMYFUNCTION("""COMPUTED_VALUE"""),"Student with 2 guns confronted by principal, fired, and fled")</f>
        <v>Student with 2 guns confronted by principal, fired, and fled</v>
      </c>
      <c r="Z1382" s="5" t="str">
        <f ca="1">IFERROR(__xludf.DUMMYFUNCTION("""COMPUTED_VALUE"""),"16YOM student displayed 2 guns at school and started taunting other students. Principal grabbed him and he fired one shot (missed) and fled. Arrested away from school. Motive unknown.")</f>
        <v>16YOM student displayed 2 guns at school and started taunting other students. Principal grabbed him and he fired one shot (missed) and fled. Arrested away from school. Motive unknown.</v>
      </c>
      <c r="AA1382" s="5" t="str">
        <f ca="1">IFERROR(__xludf.DUMMYFUNCTION("""COMPUTED_VALUE"""),"Indiscriminate Shooting")</f>
        <v>Indiscriminate Shooting</v>
      </c>
      <c r="AB1382" s="5"/>
      <c r="AC1382" s="5" t="str">
        <f ca="1">IFERROR(__xludf.DUMMYFUNCTION("""COMPUTED_VALUE"""),"No")</f>
        <v>No</v>
      </c>
      <c r="AD1382" s="5" t="str">
        <f ca="1">IFERROR(__xludf.DUMMYFUNCTION("""COMPUTED_VALUE"""),"No")</f>
        <v>No</v>
      </c>
      <c r="AE1382" s="5" t="str">
        <f ca="1">IFERROR(__xludf.DUMMYFUNCTION("""COMPUTED_VALUE"""),"No")</f>
        <v>No</v>
      </c>
      <c r="AF1382" s="5" t="str">
        <f ca="1">IFERROR(__xludf.DUMMYFUNCTION("""COMPUTED_VALUE"""),"No")</f>
        <v>No</v>
      </c>
      <c r="AG1382" s="5"/>
      <c r="AH1382" s="5" t="str">
        <f ca="1">IFERROR(__xludf.DUMMYFUNCTION("""COMPUTED_VALUE"""),"No")</f>
        <v>No</v>
      </c>
      <c r="AI1382" s="5" t="str">
        <f ca="1">IFERROR(__xludf.DUMMYFUNCTION("""COMPUTED_VALUE"""),"No")</f>
        <v>No</v>
      </c>
      <c r="AJ1382" s="5" t="str">
        <f ca="1">IFERROR(__xludf.DUMMYFUNCTION("""COMPUTED_VALUE"""),"Yes")</f>
        <v>Yes</v>
      </c>
    </row>
    <row r="1383" spans="1:36" ht="13">
      <c r="A1383" s="5" t="str">
        <f ca="1">IFERROR(__xludf.DUMMYFUNCTION("""COMPUTED_VALUE"""),"20070104MINOD")</f>
        <v>20070104MINOD</v>
      </c>
      <c r="B1383" s="5">
        <f ca="1">IFERROR(__xludf.DUMMYFUNCTION("""COMPUTED_VALUE"""),1)</f>
        <v>1</v>
      </c>
      <c r="C1383" s="5">
        <f ca="1">IFERROR(__xludf.DUMMYFUNCTION("""COMPUTED_VALUE"""),4)</f>
        <v>4</v>
      </c>
      <c r="D1383" s="5">
        <f ca="1">IFERROR(__xludf.DUMMYFUNCTION("""COMPUTED_VALUE"""),2007)</f>
        <v>2007</v>
      </c>
      <c r="E1383" s="8">
        <f ca="1">IFERROR(__xludf.DUMMYFUNCTION("""COMPUTED_VALUE"""),39086)</f>
        <v>39086</v>
      </c>
      <c r="F1383" s="5" t="str">
        <f ca="1">IFERROR(__xludf.DUMMYFUNCTION("""COMPUTED_VALUE"""),"Northwestern High School")</f>
        <v>Northwestern High School</v>
      </c>
      <c r="G1383" s="5">
        <f ca="1">IFERROR(__xludf.DUMMYFUNCTION("""COMPUTED_VALUE"""),0)</f>
        <v>0</v>
      </c>
      <c r="H1383" s="5">
        <f ca="1">IFERROR(__xludf.DUMMYFUNCTION("""COMPUTED_VALUE"""),1)</f>
        <v>1</v>
      </c>
      <c r="I1383" s="5">
        <f ca="1">IFERROR(__xludf.DUMMYFUNCTION("""COMPUTED_VALUE"""),1)</f>
        <v>1</v>
      </c>
      <c r="J1383" s="5">
        <f ca="1">IFERROR(__xludf.DUMMYFUNCTION("""COMPUTED_VALUE"""),0)</f>
        <v>0</v>
      </c>
      <c r="K1383" s="9" t="str">
        <f ca="1">IFERROR(__xludf.DUMMYFUNCTION("""COMPUTED_VALUE"""),"https://www.columbine-angels.com/School_Violence_2006-2007.htm")</f>
        <v>https://www.columbine-angels.com/School_Violence_2006-2007.htm</v>
      </c>
      <c r="L1383" s="5"/>
      <c r="M1383" s="5"/>
      <c r="N1383" s="5">
        <f ca="1">IFERROR(__xludf.DUMMYFUNCTION("""COMPUTED_VALUE"""),1)</f>
        <v>1</v>
      </c>
      <c r="O1383" s="5" t="str">
        <f ca="1">IFERROR(__xludf.DUMMYFUNCTION("""COMPUTED_VALUE"""),"Winter")</f>
        <v>Winter</v>
      </c>
      <c r="P1383" s="5" t="str">
        <f ca="1">IFERROR(__xludf.DUMMYFUNCTION("""COMPUTED_VALUE"""),"Detroit")</f>
        <v>Detroit</v>
      </c>
      <c r="Q1383" s="5" t="str">
        <f ca="1">IFERROR(__xludf.DUMMYFUNCTION("""COMPUTED_VALUE"""),"MI")</f>
        <v>MI</v>
      </c>
      <c r="R1383" s="5" t="str">
        <f ca="1">IFERROR(__xludf.DUMMYFUNCTION("""COMPUTED_VALUE"""),"High")</f>
        <v>High</v>
      </c>
      <c r="S1383" s="5" t="str">
        <f ca="1">IFERROR(__xludf.DUMMYFUNCTION("""COMPUTED_VALUE"""),"Front of School")</f>
        <v>Front of School</v>
      </c>
      <c r="T1383" s="5" t="str">
        <f ca="1">IFERROR(__xludf.DUMMYFUNCTION("""COMPUTED_VALUE"""),"Outside on School Property")</f>
        <v>Outside on School Property</v>
      </c>
      <c r="U1383" s="5" t="str">
        <f ca="1">IFERROR(__xludf.DUMMYFUNCTION("""COMPUTED_VALUE"""),"Yes")</f>
        <v>Yes</v>
      </c>
      <c r="V1383" s="5"/>
      <c r="W1383" s="5"/>
      <c r="X1383" s="5">
        <f ca="1">IFERROR(__xludf.DUMMYFUNCTION("""COMPUTED_VALUE"""),1)</f>
        <v>1</v>
      </c>
      <c r="Y1383" s="5" t="str">
        <f ca="1">IFERROR(__xludf.DUMMYFUNCTION("""COMPUTED_VALUE"""),"Drive-by shooting outside of school")</f>
        <v>Drive-by shooting outside of school</v>
      </c>
      <c r="Z1383" s="5" t="str">
        <f ca="1">IFERROR(__xludf.DUMMYFUNCTION("""COMPUTED_VALUE"""),"A group of students were standing outside their school today when a car pulled up to the curb. Someone inside the vehicle pulled out a gun and fired shots at the students.  A 14 year-old girl was struck in the leg.")</f>
        <v>A group of students were standing outside their school today when a car pulled up to the curb. Someone inside the vehicle pulled out a gun and fired shots at the students.  A 14 year-old girl was struck in the leg.</v>
      </c>
      <c r="AA1383" s="5" t="str">
        <f ca="1">IFERROR(__xludf.DUMMYFUNCTION("""COMPUTED_VALUE"""),"Drive-by Shooting")</f>
        <v>Drive-by Shooting</v>
      </c>
      <c r="AB1383" s="5"/>
      <c r="AC1383" s="5" t="str">
        <f ca="1">IFERROR(__xludf.DUMMYFUNCTION("""COMPUTED_VALUE"""),"Yes")</f>
        <v>Yes</v>
      </c>
      <c r="AD1383" s="5" t="str">
        <f ca="1">IFERROR(__xludf.DUMMYFUNCTION("""COMPUTED_VALUE"""),"No")</f>
        <v>No</v>
      </c>
      <c r="AE1383" s="5" t="str">
        <f ca="1">IFERROR(__xludf.DUMMYFUNCTION("""COMPUTED_VALUE"""),"No")</f>
        <v>No</v>
      </c>
      <c r="AF1383" s="5" t="str">
        <f ca="1">IFERROR(__xludf.DUMMYFUNCTION("""COMPUTED_VALUE"""),"No")</f>
        <v>No</v>
      </c>
      <c r="AG1383" s="5" t="str">
        <f ca="1">IFERROR(__xludf.DUMMYFUNCTION("""COMPUTED_VALUE"""),"No")</f>
        <v>No</v>
      </c>
      <c r="AH1383" s="5" t="str">
        <f ca="1">IFERROR(__xludf.DUMMYFUNCTION("""COMPUTED_VALUE"""),"No")</f>
        <v>No</v>
      </c>
      <c r="AI1383" s="5"/>
      <c r="AJ1383" s="5"/>
    </row>
    <row r="1384" spans="1:36" ht="13">
      <c r="A1384" s="5" t="str">
        <f ca="1">IFERROR(__xludf.DUMMYFUNCTION("""COMPUTED_VALUE"""),"20070103WAHET")</f>
        <v>20070103WAHET</v>
      </c>
      <c r="B1384" s="5">
        <f ca="1">IFERROR(__xludf.DUMMYFUNCTION("""COMPUTED_VALUE"""),1)</f>
        <v>1</v>
      </c>
      <c r="C1384" s="5">
        <f ca="1">IFERROR(__xludf.DUMMYFUNCTION("""COMPUTED_VALUE"""),3)</f>
        <v>3</v>
      </c>
      <c r="D1384" s="5">
        <f ca="1">IFERROR(__xludf.DUMMYFUNCTION("""COMPUTED_VALUE"""),2007)</f>
        <v>2007</v>
      </c>
      <c r="E1384" s="8">
        <f ca="1">IFERROR(__xludf.DUMMYFUNCTION("""COMPUTED_VALUE"""),39085)</f>
        <v>39085</v>
      </c>
      <c r="F1384" s="5" t="str">
        <f ca="1">IFERROR(__xludf.DUMMYFUNCTION("""COMPUTED_VALUE"""),"Henry Foss High School")</f>
        <v>Henry Foss High School</v>
      </c>
      <c r="G1384" s="5">
        <f ca="1">IFERROR(__xludf.DUMMYFUNCTION("""COMPUTED_VALUE"""),1)</f>
        <v>1</v>
      </c>
      <c r="H1384" s="5">
        <f ca="1">IFERROR(__xludf.DUMMYFUNCTION("""COMPUTED_VALUE"""),0)</f>
        <v>0</v>
      </c>
      <c r="I1384" s="5">
        <f ca="1">IFERROR(__xludf.DUMMYFUNCTION("""COMPUTED_VALUE"""),1)</f>
        <v>1</v>
      </c>
      <c r="J1384" s="5">
        <f ca="1">IFERROR(__xludf.DUMMYFUNCTION("""COMPUTED_VALUE"""),0)</f>
        <v>0</v>
      </c>
      <c r="K1384" s="5" t="str">
        <f ca="1">IFERROR(__xludf.DUMMYFUNCTION("""COMPUTED_VALUE"""),"http://cqrcengage.com/neamn/app/document/18589776 . https://www.newspapers.com/image/344995521/?terms=HENRY%2BFOSS%2BHIGH%2BSCHOOL")</f>
        <v>http://cqrcengage.com/neamn/app/document/18589776 . https://www.newspapers.com/image/344995521/?terms=HENRY%2BFOSS%2BHIGH%2BSCHOOL</v>
      </c>
      <c r="L1384" s="5"/>
      <c r="M1384" s="5"/>
      <c r="N1384" s="5">
        <f ca="1">IFERROR(__xludf.DUMMYFUNCTION("""COMPUTED_VALUE"""),2)</f>
        <v>2</v>
      </c>
      <c r="O1384" s="5" t="str">
        <f ca="1">IFERROR(__xludf.DUMMYFUNCTION("""COMPUTED_VALUE"""),"Winter")</f>
        <v>Winter</v>
      </c>
      <c r="P1384" s="5" t="str">
        <f ca="1">IFERROR(__xludf.DUMMYFUNCTION("""COMPUTED_VALUE"""),"Tacoma")</f>
        <v>Tacoma</v>
      </c>
      <c r="Q1384" s="5" t="str">
        <f ca="1">IFERROR(__xludf.DUMMYFUNCTION("""COMPUTED_VALUE"""),"WA")</f>
        <v>WA</v>
      </c>
      <c r="R1384" s="5" t="str">
        <f ca="1">IFERROR(__xludf.DUMMYFUNCTION("""COMPUTED_VALUE"""),"High")</f>
        <v>High</v>
      </c>
      <c r="S1384" s="5" t="str">
        <f ca="1">IFERROR(__xludf.DUMMYFUNCTION("""COMPUTED_VALUE"""),"Hallway")</f>
        <v>Hallway</v>
      </c>
      <c r="T1384" s="5" t="str">
        <f ca="1">IFERROR(__xludf.DUMMYFUNCTION("""COMPUTED_VALUE"""),"Inside School Building")</f>
        <v>Inside School Building</v>
      </c>
      <c r="U1384" s="5" t="str">
        <f ca="1">IFERROR(__xludf.DUMMYFUNCTION("""COMPUTED_VALUE"""),"Yes")</f>
        <v>Yes</v>
      </c>
      <c r="V1384" s="5" t="str">
        <f ca="1">IFERROR(__xludf.DUMMYFUNCTION("""COMPUTED_VALUE"""),"Morning Classes")</f>
        <v>Morning Classes</v>
      </c>
      <c r="W1384" s="10">
        <f ca="1">IFERROR(__xludf.DUMMYFUNCTION("""COMPUTED_VALUE"""),0.3125)</f>
        <v>0.3125</v>
      </c>
      <c r="X1384" s="5">
        <f ca="1">IFERROR(__xludf.DUMMYFUNCTION("""COMPUTED_VALUE"""),1)</f>
        <v>1</v>
      </c>
      <c r="Y1384" s="5" t="str">
        <f ca="1">IFERROR(__xludf.DUMMYFUNCTION("""COMPUTED_VALUE"""),"Shooter with paranoid schizophrenia though student was gang member plotting to kill him, surrendered after shooting")</f>
        <v>Shooter with paranoid schizophrenia though student was gang member plotting to kill him, surrendered after shooting</v>
      </c>
      <c r="Z1384" s="5" t="str">
        <f ca="1">IFERROR(__xludf.DUMMYFUNCTION("""COMPUTED_VALUE"""),"Shooter was diagnosed with schizophrenia. Shooter believed the victim was a gang member who was going to hurt him (delusion/paranoia). Shooter fired multiple shots killing the victim in the hallway before class started. No other students were injured. Sho"&amp;"oter surrendered to police without resistance after the shooting. Shooter had written about killing the victim in a shoot writing assignment (evidence presented in the case). Insanity plea was rejected in court. Shooter had no previous history or suggesti"&amp;"on of violence.")</f>
        <v>Shooter was diagnosed with schizophrenia. Shooter believed the victim was a gang member who was going to hurt him (delusion/paranoia). Shooter fired multiple shots killing the victim in the hallway before class started. No other students were injured. Shooter surrendered to police without resistance after the shooting. Shooter had written about killing the victim in a shoot writing assignment (evidence presented in the case). Insanity plea was rejected in court. Shooter had no previous history or suggestion of violence.</v>
      </c>
      <c r="AA1384" s="5" t="str">
        <f ca="1">IFERROR(__xludf.DUMMYFUNCTION("""COMPUTED_VALUE"""),"Psychosis")</f>
        <v>Psychosis</v>
      </c>
      <c r="AB1384" s="5" t="str">
        <f ca="1">IFERROR(__xludf.DUMMYFUNCTION("""COMPUTED_VALUE"""),"Victims Targeted")</f>
        <v>Victims Targeted</v>
      </c>
      <c r="AC1384" s="5" t="str">
        <f ca="1">IFERROR(__xludf.DUMMYFUNCTION("""COMPUTED_VALUE"""),"No")</f>
        <v>No</v>
      </c>
      <c r="AD1384" s="5" t="str">
        <f ca="1">IFERROR(__xludf.DUMMYFUNCTION("""COMPUTED_VALUE"""),"No")</f>
        <v>No</v>
      </c>
      <c r="AE1384" s="5" t="str">
        <f ca="1">IFERROR(__xludf.DUMMYFUNCTION("""COMPUTED_VALUE"""),"No")</f>
        <v>No</v>
      </c>
      <c r="AF1384" s="5" t="str">
        <f ca="1">IFERROR(__xludf.DUMMYFUNCTION("""COMPUTED_VALUE"""),"No")</f>
        <v>No</v>
      </c>
      <c r="AG1384" s="5" t="str">
        <f ca="1">IFERROR(__xludf.DUMMYFUNCTION("""COMPUTED_VALUE"""),"No")</f>
        <v>No</v>
      </c>
      <c r="AH1384" s="5" t="str">
        <f ca="1">IFERROR(__xludf.DUMMYFUNCTION("""COMPUTED_VALUE"""),"No")</f>
        <v>No</v>
      </c>
      <c r="AI1384" s="5" t="str">
        <f ca="1">IFERROR(__xludf.DUMMYFUNCTION("""COMPUTED_VALUE"""),"No")</f>
        <v>No</v>
      </c>
      <c r="AJ1384" s="5"/>
    </row>
    <row r="1385" spans="1:36" ht="13">
      <c r="A1385" s="5" t="str">
        <f ca="1">IFERROR(__xludf.DUMMYFUNCTION("""COMPUTED_VALUE"""),"20070102NCWEF")</f>
        <v>20070102NCWEF</v>
      </c>
      <c r="B1385" s="5">
        <f ca="1">IFERROR(__xludf.DUMMYFUNCTION("""COMPUTED_VALUE"""),1)</f>
        <v>1</v>
      </c>
      <c r="C1385" s="5">
        <f ca="1">IFERROR(__xludf.DUMMYFUNCTION("""COMPUTED_VALUE"""),2)</f>
        <v>2</v>
      </c>
      <c r="D1385" s="5">
        <f ca="1">IFERROR(__xludf.DUMMYFUNCTION("""COMPUTED_VALUE"""),2007)</f>
        <v>2007</v>
      </c>
      <c r="E1385" s="8">
        <f ca="1">IFERROR(__xludf.DUMMYFUNCTION("""COMPUTED_VALUE"""),39084)</f>
        <v>39084</v>
      </c>
      <c r="F1385" s="5" t="str">
        <f ca="1">IFERROR(__xludf.DUMMYFUNCTION("""COMPUTED_VALUE"""),"Westover High School")</f>
        <v>Westover High School</v>
      </c>
      <c r="G1385" s="5">
        <f ca="1">IFERROR(__xludf.DUMMYFUNCTION("""COMPUTED_VALUE"""),0)</f>
        <v>0</v>
      </c>
      <c r="H1385" s="5">
        <f ca="1">IFERROR(__xludf.DUMMYFUNCTION("""COMPUTED_VALUE"""),0)</f>
        <v>0</v>
      </c>
      <c r="I1385" s="5">
        <f ca="1">IFERROR(__xludf.DUMMYFUNCTION("""COMPUTED_VALUE"""),0)</f>
        <v>0</v>
      </c>
      <c r="J1385" s="5">
        <f ca="1">IFERROR(__xludf.DUMMYFUNCTION("""COMPUTED_VALUE"""),0)</f>
        <v>0</v>
      </c>
      <c r="K1385" s="9" t="str">
        <f ca="1">IFERROR(__xludf.DUMMYFUNCTION("""COMPUTED_VALUE"""),"http://www.keystosaferschools.com/2007startswithabang.htm")</f>
        <v>http://www.keystosaferschools.com/2007startswithabang.htm</v>
      </c>
      <c r="L1385" s="5"/>
      <c r="M1385" s="5"/>
      <c r="N1385" s="5">
        <f ca="1">IFERROR(__xludf.DUMMYFUNCTION("""COMPUTED_VALUE"""),2)</f>
        <v>2</v>
      </c>
      <c r="O1385" s="5" t="str">
        <f ca="1">IFERROR(__xludf.DUMMYFUNCTION("""COMPUTED_VALUE"""),"Winter")</f>
        <v>Winter</v>
      </c>
      <c r="P1385" s="5" t="str">
        <f ca="1">IFERROR(__xludf.DUMMYFUNCTION("""COMPUTED_VALUE"""),"Fayetteville")</f>
        <v>Fayetteville</v>
      </c>
      <c r="Q1385" s="5" t="str">
        <f ca="1">IFERROR(__xludf.DUMMYFUNCTION("""COMPUTED_VALUE"""),"NC")</f>
        <v>NC</v>
      </c>
      <c r="R1385" s="5" t="str">
        <f ca="1">IFERROR(__xludf.DUMMYFUNCTION("""COMPUTED_VALUE"""),"High")</f>
        <v>High</v>
      </c>
      <c r="S1385" s="5" t="str">
        <f ca="1">IFERROR(__xludf.DUMMYFUNCTION("""COMPUTED_VALUE"""),"Front of School")</f>
        <v>Front of School</v>
      </c>
      <c r="T1385" s="5" t="str">
        <f ca="1">IFERROR(__xludf.DUMMYFUNCTION("""COMPUTED_VALUE"""),"Outside on School Property")</f>
        <v>Outside on School Property</v>
      </c>
      <c r="U1385" s="5" t="str">
        <f ca="1">IFERROR(__xludf.DUMMYFUNCTION("""COMPUTED_VALUE"""),"Yes")</f>
        <v>Yes</v>
      </c>
      <c r="V1385" s="5" t="str">
        <f ca="1">IFERROR(__xludf.DUMMYFUNCTION("""COMPUTED_VALUE"""),"Dismissal")</f>
        <v>Dismissal</v>
      </c>
      <c r="W1385" s="10">
        <f ca="1">IFERROR(__xludf.DUMMYFUNCTION("""COMPUTED_VALUE"""),0.625694444444444)</f>
        <v>0.625694444444444</v>
      </c>
      <c r="X1385" s="5">
        <f ca="1">IFERROR(__xludf.DUMMYFUNCTION("""COMPUTED_VALUE"""),1)</f>
        <v>1</v>
      </c>
      <c r="Y1385" s="5" t="str">
        <f ca="1">IFERROR(__xludf.DUMMYFUNCTION("""COMPUTED_VALUE"""),"Shots fired by student at car with 3 students in parking lot")</f>
        <v>Shots fired by student at car with 3 students in parking lot</v>
      </c>
      <c r="Z1385" s="5" t="str">
        <f ca="1">IFERROR(__xludf.DUMMYFUNCTION("""COMPUTED_VALUE"""),"When classes were letting out, a unidentified 14YOM with a gun stepped out into the street and opened fire on a 17YOM male student's black car as he was leaving school.  Two other students were also in the car, but nobody was hurt.")</f>
        <v>When classes were letting out, a unidentified 14YOM with a gun stepped out into the street and opened fire on a 17YOM male student's black car as he was leaving school.  Two other students were also in the car, but nobody was hurt.</v>
      </c>
      <c r="AA1385" s="5" t="str">
        <f ca="1">IFERROR(__xludf.DUMMYFUNCTION("""COMPUTED_VALUE"""),"Escalation of Dispute")</f>
        <v>Escalation of Dispute</v>
      </c>
      <c r="AB1385" s="5" t="str">
        <f ca="1">IFERROR(__xludf.DUMMYFUNCTION("""COMPUTED_VALUE"""),"Victims Targeted")</f>
        <v>Victims Targeted</v>
      </c>
      <c r="AC1385" s="5" t="str">
        <f ca="1">IFERROR(__xludf.DUMMYFUNCTION("""COMPUTED_VALUE"""),"No")</f>
        <v>No</v>
      </c>
      <c r="AD1385" s="5" t="str">
        <f ca="1">IFERROR(__xludf.DUMMYFUNCTION("""COMPUTED_VALUE"""),"No")</f>
        <v>No</v>
      </c>
      <c r="AE1385" s="5" t="str">
        <f ca="1">IFERROR(__xludf.DUMMYFUNCTION("""COMPUTED_VALUE"""),"No")</f>
        <v>No</v>
      </c>
      <c r="AF1385" s="5" t="str">
        <f ca="1">IFERROR(__xludf.DUMMYFUNCTION("""COMPUTED_VALUE"""),"No")</f>
        <v>No</v>
      </c>
      <c r="AG1385" s="5"/>
      <c r="AH1385" s="5" t="str">
        <f ca="1">IFERROR(__xludf.DUMMYFUNCTION("""COMPUTED_VALUE"""),"No")</f>
        <v>No</v>
      </c>
      <c r="AI1385" s="5" t="str">
        <f ca="1">IFERROR(__xludf.DUMMYFUNCTION("""COMPUTED_VALUE"""),"No")</f>
        <v>No</v>
      </c>
      <c r="AJ1385" s="5"/>
    </row>
    <row r="1386" spans="1:36" ht="13">
      <c r="A1386" s="5" t="str">
        <f ca="1">IFERROR(__xludf.DUMMYFUNCTION("""COMPUTED_VALUE"""),"20061214PAMCC")</f>
        <v>20061214PAMCC</v>
      </c>
      <c r="B1386" s="5">
        <f ca="1">IFERROR(__xludf.DUMMYFUNCTION("""COMPUTED_VALUE"""),12)</f>
        <v>12</v>
      </c>
      <c r="C1386" s="5">
        <f ca="1">IFERROR(__xludf.DUMMYFUNCTION("""COMPUTED_VALUE"""),14)</f>
        <v>14</v>
      </c>
      <c r="D1386" s="5">
        <f ca="1">IFERROR(__xludf.DUMMYFUNCTION("""COMPUTED_VALUE"""),2006)</f>
        <v>2006</v>
      </c>
      <c r="E1386" s="8">
        <f ca="1">IFERROR(__xludf.DUMMYFUNCTION("""COMPUTED_VALUE"""),39065)</f>
        <v>39065</v>
      </c>
      <c r="F1386" s="5" t="str">
        <f ca="1">IFERROR(__xludf.DUMMYFUNCTION("""COMPUTED_VALUE"""),"McGuffey High School")</f>
        <v>McGuffey High School</v>
      </c>
      <c r="G1386" s="5">
        <f ca="1">IFERROR(__xludf.DUMMYFUNCTION("""COMPUTED_VALUE"""),0)</f>
        <v>0</v>
      </c>
      <c r="H1386" s="5">
        <f ca="1">IFERROR(__xludf.DUMMYFUNCTION("""COMPUTED_VALUE"""),0)</f>
        <v>0</v>
      </c>
      <c r="I1386" s="5">
        <f ca="1">IFERROR(__xludf.DUMMYFUNCTION("""COMPUTED_VALUE"""),0)</f>
        <v>0</v>
      </c>
      <c r="J1386" s="5">
        <f ca="1">IFERROR(__xludf.DUMMYFUNCTION("""COMPUTED_VALUE"""),1)</f>
        <v>1</v>
      </c>
      <c r="K1386" s="9" t="str">
        <f ca="1">IFERROR(__xludf.DUMMYFUNCTION("""COMPUTED_VALUE"""),"https://triblive.com/x/pittsburghtrib/news/regional/s_484514.html")</f>
        <v>https://triblive.com/x/pittsburghtrib/news/regional/s_484514.html</v>
      </c>
      <c r="L1386" s="5"/>
      <c r="M1386" s="5"/>
      <c r="N1386" s="5">
        <f ca="1">IFERROR(__xludf.DUMMYFUNCTION("""COMPUTED_VALUE"""),2)</f>
        <v>2</v>
      </c>
      <c r="O1386" s="5" t="str">
        <f ca="1">IFERROR(__xludf.DUMMYFUNCTION("""COMPUTED_VALUE"""),"Winter")</f>
        <v>Winter</v>
      </c>
      <c r="P1386" s="5" t="str">
        <f ca="1">IFERROR(__xludf.DUMMYFUNCTION("""COMPUTED_VALUE"""),"Claysville")</f>
        <v>Claysville</v>
      </c>
      <c r="Q1386" s="5" t="str">
        <f ca="1">IFERROR(__xludf.DUMMYFUNCTION("""COMPUTED_VALUE"""),"PA")</f>
        <v>PA</v>
      </c>
      <c r="R1386" s="5" t="str">
        <f ca="1">IFERROR(__xludf.DUMMYFUNCTION("""COMPUTED_VALUE"""),"High")</f>
        <v>High</v>
      </c>
      <c r="S1386" s="5" t="str">
        <f ca="1">IFERROR(__xludf.DUMMYFUNCTION("""COMPUTED_VALUE"""),"Gym")</f>
        <v>Gym</v>
      </c>
      <c r="T1386" s="5" t="str">
        <f ca="1">IFERROR(__xludf.DUMMYFUNCTION("""COMPUTED_VALUE"""),"Inside School Building")</f>
        <v>Inside School Building</v>
      </c>
      <c r="U1386" s="5" t="str">
        <f ca="1">IFERROR(__xludf.DUMMYFUNCTION("""COMPUTED_VALUE"""),"No")</f>
        <v>No</v>
      </c>
      <c r="V1386" s="5" t="str">
        <f ca="1">IFERROR(__xludf.DUMMYFUNCTION("""COMPUTED_VALUE"""),"After School")</f>
        <v>After School</v>
      </c>
      <c r="W1386" s="10">
        <f ca="1">IFERROR(__xludf.DUMMYFUNCTION("""COMPUTED_VALUE"""),0.708333333333333)</f>
        <v>0.70833333333333304</v>
      </c>
      <c r="X1386" s="5">
        <f ca="1">IFERROR(__xludf.DUMMYFUNCTION("""COMPUTED_VALUE"""),1)</f>
        <v>1</v>
      </c>
      <c r="Y1386" s="5" t="str">
        <f ca="1">IFERROR(__xludf.DUMMYFUNCTION("""COMPUTED_VALUE"""),"Student shot self with rifle team .22 rifle")</f>
        <v>Student shot self with rifle team .22 rifle</v>
      </c>
      <c r="Z1386" s="5" t="str">
        <f ca="1">IFERROR(__xludf.DUMMYFUNCTION("""COMPUTED_VALUE"""),"17YOM student who was member of the rifle team killed himself with one of the team rifles after school.")</f>
        <v>17YOM student who was member of the rifle team killed himself with one of the team rifles after school.</v>
      </c>
      <c r="AA1386" s="5" t="str">
        <f ca="1">IFERROR(__xludf.DUMMYFUNCTION("""COMPUTED_VALUE"""),"Suicide/Attempted")</f>
        <v>Suicide/Attempted</v>
      </c>
      <c r="AB1386" s="5" t="str">
        <f ca="1">IFERROR(__xludf.DUMMYFUNCTION("""COMPUTED_VALUE"""),"Victims Targeted")</f>
        <v>Victims Targeted</v>
      </c>
      <c r="AC1386" s="5" t="str">
        <f ca="1">IFERROR(__xludf.DUMMYFUNCTION("""COMPUTED_VALUE"""),"No")</f>
        <v>No</v>
      </c>
      <c r="AD1386" s="5" t="str">
        <f ca="1">IFERROR(__xludf.DUMMYFUNCTION("""COMPUTED_VALUE"""),"No")</f>
        <v>No</v>
      </c>
      <c r="AE1386" s="5" t="str">
        <f ca="1">IFERROR(__xludf.DUMMYFUNCTION("""COMPUTED_VALUE"""),"No")</f>
        <v>No</v>
      </c>
      <c r="AF1386" s="5" t="str">
        <f ca="1">IFERROR(__xludf.DUMMYFUNCTION("""COMPUTED_VALUE"""),"No")</f>
        <v>No</v>
      </c>
      <c r="AG1386" s="5"/>
      <c r="AH1386" s="5" t="str">
        <f ca="1">IFERROR(__xludf.DUMMYFUNCTION("""COMPUTED_VALUE"""),"No")</f>
        <v>No</v>
      </c>
      <c r="AI1386" s="5" t="str">
        <f ca="1">IFERROR(__xludf.DUMMYFUNCTION("""COMPUTED_VALUE"""),"No")</f>
        <v>No</v>
      </c>
      <c r="AJ1386" s="5"/>
    </row>
    <row r="1387" spans="1:36" ht="13">
      <c r="A1387" s="5" t="str">
        <f ca="1">IFERROR(__xludf.DUMMYFUNCTION("""COMPUTED_VALUE"""),"20061213PABAB")</f>
        <v>20061213PABAB</v>
      </c>
      <c r="B1387" s="5">
        <f ca="1">IFERROR(__xludf.DUMMYFUNCTION("""COMPUTED_VALUE"""),12)</f>
        <v>12</v>
      </c>
      <c r="C1387" s="5">
        <f ca="1">IFERROR(__xludf.DUMMYFUNCTION("""COMPUTED_VALUE"""),13)</f>
        <v>13</v>
      </c>
      <c r="D1387" s="5">
        <f ca="1">IFERROR(__xludf.DUMMYFUNCTION("""COMPUTED_VALUE"""),2006)</f>
        <v>2006</v>
      </c>
      <c r="E1387" s="8">
        <f ca="1">IFERROR(__xludf.DUMMYFUNCTION("""COMPUTED_VALUE"""),39064)</f>
        <v>39064</v>
      </c>
      <c r="F1387" s="5" t="str">
        <f ca="1">IFERROR(__xludf.DUMMYFUNCTION("""COMPUTED_VALUE"""),"Bangor Area High School")</f>
        <v>Bangor Area High School</v>
      </c>
      <c r="G1387" s="5">
        <f ca="1">IFERROR(__xludf.DUMMYFUNCTION("""COMPUTED_VALUE"""),0)</f>
        <v>0</v>
      </c>
      <c r="H1387" s="5">
        <f ca="1">IFERROR(__xludf.DUMMYFUNCTION("""COMPUTED_VALUE"""),1)</f>
        <v>1</v>
      </c>
      <c r="I1387" s="5">
        <f ca="1">IFERROR(__xludf.DUMMYFUNCTION("""COMPUTED_VALUE"""),1)</f>
        <v>1</v>
      </c>
      <c r="J1387" s="5">
        <f ca="1">IFERROR(__xludf.DUMMYFUNCTION("""COMPUTED_VALUE"""),0)</f>
        <v>0</v>
      </c>
      <c r="K1387" s="9" t="str">
        <f ca="1">IFERROR(__xludf.DUMMYFUNCTION("""COMPUTED_VALUE"""),"https://www.columbine-angels.com/School_Violence_2006-2007.htm")</f>
        <v>https://www.columbine-angels.com/School_Violence_2006-2007.htm</v>
      </c>
      <c r="L1387" s="5"/>
      <c r="M1387" s="5"/>
      <c r="N1387" s="5">
        <f ca="1">IFERROR(__xludf.DUMMYFUNCTION("""COMPUTED_VALUE"""),1)</f>
        <v>1</v>
      </c>
      <c r="O1387" s="5" t="str">
        <f ca="1">IFERROR(__xludf.DUMMYFUNCTION("""COMPUTED_VALUE"""),"Winter")</f>
        <v>Winter</v>
      </c>
      <c r="P1387" s="5" t="str">
        <f ca="1">IFERROR(__xludf.DUMMYFUNCTION("""COMPUTED_VALUE"""),"Bangor")</f>
        <v>Bangor</v>
      </c>
      <c r="Q1387" s="5" t="str">
        <f ca="1">IFERROR(__xludf.DUMMYFUNCTION("""COMPUTED_VALUE"""),"PA")</f>
        <v>PA</v>
      </c>
      <c r="R1387" s="5" t="str">
        <f ca="1">IFERROR(__xludf.DUMMYFUNCTION("""COMPUTED_VALUE"""),"High")</f>
        <v>High</v>
      </c>
      <c r="S1387" s="5" t="str">
        <f ca="1">IFERROR(__xludf.DUMMYFUNCTION("""COMPUTED_VALUE"""),"Beside Building")</f>
        <v>Beside Building</v>
      </c>
      <c r="T1387" s="5" t="str">
        <f ca="1">IFERROR(__xludf.DUMMYFUNCTION("""COMPUTED_VALUE"""),"Outside on School Property")</f>
        <v>Outside on School Property</v>
      </c>
      <c r="U1387" s="5" t="str">
        <f ca="1">IFERROR(__xludf.DUMMYFUNCTION("""COMPUTED_VALUE"""),"Yes")</f>
        <v>Yes</v>
      </c>
      <c r="V1387" s="5" t="str">
        <f ca="1">IFERROR(__xludf.DUMMYFUNCTION("""COMPUTED_VALUE"""),"Dismissal")</f>
        <v>Dismissal</v>
      </c>
      <c r="W1387" s="10">
        <f ca="1">IFERROR(__xludf.DUMMYFUNCTION("""COMPUTED_VALUE"""),0.604166666666666)</f>
        <v>0.60416666666666596</v>
      </c>
      <c r="X1387" s="5">
        <f ca="1">IFERROR(__xludf.DUMMYFUNCTION("""COMPUTED_VALUE"""),1)</f>
        <v>1</v>
      </c>
      <c r="Y1387" s="5" t="str">
        <f ca="1">IFERROR(__xludf.DUMMYFUNCTION("""COMPUTED_VALUE"""),"Fired pellet gun at students leaving school")</f>
        <v>Fired pellet gun at students leaving school</v>
      </c>
      <c r="Z1387" s="5" t="str">
        <f ca="1">IFERROR(__xludf.DUMMYFUNCTION("""COMPUTED_VALUE"""),"Male student fired pellet gun at his classmates as they left the building. One of the pellets struck a female student. She was stung by the hit, but was not seriously injured.")</f>
        <v>Male student fired pellet gun at his classmates as they left the building. One of the pellets struck a female student. She was stung by the hit, but was not seriously injured.</v>
      </c>
      <c r="AA1387" s="5" t="str">
        <f ca="1">IFERROR(__xludf.DUMMYFUNCTION("""COMPUTED_VALUE"""),"Unknown")</f>
        <v>Unknown</v>
      </c>
      <c r="AB1387" s="5"/>
      <c r="AC1387" s="5" t="str">
        <f ca="1">IFERROR(__xludf.DUMMYFUNCTION("""COMPUTED_VALUE"""),"No")</f>
        <v>No</v>
      </c>
      <c r="AD1387" s="5" t="str">
        <f ca="1">IFERROR(__xludf.DUMMYFUNCTION("""COMPUTED_VALUE"""),"No")</f>
        <v>No</v>
      </c>
      <c r="AE1387" s="5" t="str">
        <f ca="1">IFERROR(__xludf.DUMMYFUNCTION("""COMPUTED_VALUE"""),"No")</f>
        <v>No</v>
      </c>
      <c r="AF1387" s="5" t="str">
        <f ca="1">IFERROR(__xludf.DUMMYFUNCTION("""COMPUTED_VALUE"""),"No")</f>
        <v>No</v>
      </c>
      <c r="AG1387" s="5" t="str">
        <f ca="1">IFERROR(__xludf.DUMMYFUNCTION("""COMPUTED_VALUE"""),"No")</f>
        <v>No</v>
      </c>
      <c r="AH1387" s="5" t="str">
        <f ca="1">IFERROR(__xludf.DUMMYFUNCTION("""COMPUTED_VALUE"""),"No")</f>
        <v>No</v>
      </c>
      <c r="AI1387" s="5" t="str">
        <f ca="1">IFERROR(__xludf.DUMMYFUNCTION("""COMPUTED_VALUE"""),"No")</f>
        <v>No</v>
      </c>
      <c r="AJ1387" s="5"/>
    </row>
    <row r="1388" spans="1:36" ht="13">
      <c r="A1388" s="5" t="str">
        <f ca="1">IFERROR(__xludf.DUMMYFUNCTION("""COMPUTED_VALUE"""),"20061212PASPS")</f>
        <v>20061212PASPS</v>
      </c>
      <c r="B1388" s="5">
        <f ca="1">IFERROR(__xludf.DUMMYFUNCTION("""COMPUTED_VALUE"""),12)</f>
        <v>12</v>
      </c>
      <c r="C1388" s="5">
        <f ca="1">IFERROR(__xludf.DUMMYFUNCTION("""COMPUTED_VALUE"""),12)</f>
        <v>12</v>
      </c>
      <c r="D1388" s="5">
        <f ca="1">IFERROR(__xludf.DUMMYFUNCTION("""COMPUTED_VALUE"""),2006)</f>
        <v>2006</v>
      </c>
      <c r="E1388" s="8">
        <f ca="1">IFERROR(__xludf.DUMMYFUNCTION("""COMPUTED_VALUE"""),39063)</f>
        <v>39063</v>
      </c>
      <c r="F1388" s="5" t="str">
        <f ca="1">IFERROR(__xludf.DUMMYFUNCTION("""COMPUTED_VALUE"""),"Springfield Township High School")</f>
        <v>Springfield Township High School</v>
      </c>
      <c r="G1388" s="5">
        <f ca="1">IFERROR(__xludf.DUMMYFUNCTION("""COMPUTED_VALUE"""),0)</f>
        <v>0</v>
      </c>
      <c r="H1388" s="5">
        <f ca="1">IFERROR(__xludf.DUMMYFUNCTION("""COMPUTED_VALUE"""),0)</f>
        <v>0</v>
      </c>
      <c r="I1388" s="5">
        <f ca="1">IFERROR(__xludf.DUMMYFUNCTION("""COMPUTED_VALUE"""),0)</f>
        <v>0</v>
      </c>
      <c r="J1388" s="5">
        <f ca="1">IFERROR(__xludf.DUMMYFUNCTION("""COMPUTED_VALUE"""),1)</f>
        <v>1</v>
      </c>
      <c r="K1388" s="9" t="str">
        <f ca="1">IFERROR(__xludf.DUMMYFUNCTION("""COMPUTED_VALUE"""),"http://www.foxnews.com/story/2006/12/12/teen-commits-suicide-in-hallway-pennsylvania-school.html")</f>
        <v>http://www.foxnews.com/story/2006/12/12/teen-commits-suicide-in-hallway-pennsylvania-school.html</v>
      </c>
      <c r="L1388" s="5"/>
      <c r="M1388" s="5"/>
      <c r="N1388" s="5">
        <f ca="1">IFERROR(__xludf.DUMMYFUNCTION("""COMPUTED_VALUE"""),2)</f>
        <v>2</v>
      </c>
      <c r="O1388" s="5" t="str">
        <f ca="1">IFERROR(__xludf.DUMMYFUNCTION("""COMPUTED_VALUE"""),"Winter")</f>
        <v>Winter</v>
      </c>
      <c r="P1388" s="5" t="str">
        <f ca="1">IFERROR(__xludf.DUMMYFUNCTION("""COMPUTED_VALUE"""),"Springfield Township")</f>
        <v>Springfield Township</v>
      </c>
      <c r="Q1388" s="5" t="str">
        <f ca="1">IFERROR(__xludf.DUMMYFUNCTION("""COMPUTED_VALUE"""),"PA")</f>
        <v>PA</v>
      </c>
      <c r="R1388" s="5" t="str">
        <f ca="1">IFERROR(__xludf.DUMMYFUNCTION("""COMPUTED_VALUE"""),"High")</f>
        <v>High</v>
      </c>
      <c r="S1388" s="5" t="str">
        <f ca="1">IFERROR(__xludf.DUMMYFUNCTION("""COMPUTED_VALUE"""),"Hallway")</f>
        <v>Hallway</v>
      </c>
      <c r="T1388" s="5" t="str">
        <f ca="1">IFERROR(__xludf.DUMMYFUNCTION("""COMPUTED_VALUE"""),"Inside School Building")</f>
        <v>Inside School Building</v>
      </c>
      <c r="U1388" s="5" t="str">
        <f ca="1">IFERROR(__xludf.DUMMYFUNCTION("""COMPUTED_VALUE"""),"Yes")</f>
        <v>Yes</v>
      </c>
      <c r="V1388" s="5" t="str">
        <f ca="1">IFERROR(__xludf.DUMMYFUNCTION("""COMPUTED_VALUE"""),"Morning Classes")</f>
        <v>Morning Classes</v>
      </c>
      <c r="W1388" s="10">
        <f ca="1">IFERROR(__xludf.DUMMYFUNCTION("""COMPUTED_VALUE"""),0.375)</f>
        <v>0.375</v>
      </c>
      <c r="X1388" s="5">
        <f ca="1">IFERROR(__xludf.DUMMYFUNCTION("""COMPUTED_VALUE"""),1)</f>
        <v>1</v>
      </c>
      <c r="Y1388" s="5" t="str">
        <f ca="1">IFERROR(__xludf.DUMMYFUNCTION("""COMPUTED_VALUE"""),"Poor grades, shot self when confronted by police")</f>
        <v>Poor grades, shot self when confronted by police</v>
      </c>
      <c r="Z1388" s="5" t="str">
        <f ca="1">IFERROR(__xludf.DUMMYFUNCTION("""COMPUTED_VALUE"""),"Shooter brought hunting rifle to school. Fired two shots into the ceiling and then a fatal shot killing himself in the hallway between classes.")</f>
        <v>Shooter brought hunting rifle to school. Fired two shots into the ceiling and then a fatal shot killing himself in the hallway between classes.</v>
      </c>
      <c r="AA1388" s="5" t="str">
        <f ca="1">IFERROR(__xludf.DUMMYFUNCTION("""COMPUTED_VALUE"""),"Anger Over Grade/Suspension/Discipline")</f>
        <v>Anger Over Grade/Suspension/Discipline</v>
      </c>
      <c r="AB1388" s="5" t="str">
        <f ca="1">IFERROR(__xludf.DUMMYFUNCTION("""COMPUTED_VALUE"""),"Victims Targeted")</f>
        <v>Victims Targeted</v>
      </c>
      <c r="AC1388" s="5" t="str">
        <f ca="1">IFERROR(__xludf.DUMMYFUNCTION("""COMPUTED_VALUE"""),"No")</f>
        <v>No</v>
      </c>
      <c r="AD1388" s="5" t="str">
        <f ca="1">IFERROR(__xludf.DUMMYFUNCTION("""COMPUTED_VALUE"""),"No")</f>
        <v>No</v>
      </c>
      <c r="AE1388" s="5" t="str">
        <f ca="1">IFERROR(__xludf.DUMMYFUNCTION("""COMPUTED_VALUE"""),"No")</f>
        <v>No</v>
      </c>
      <c r="AF1388" s="5" t="str">
        <f ca="1">IFERROR(__xludf.DUMMYFUNCTION("""COMPUTED_VALUE"""),"No")</f>
        <v>No</v>
      </c>
      <c r="AG1388" s="5"/>
      <c r="AH1388" s="5" t="str">
        <f ca="1">IFERROR(__xludf.DUMMYFUNCTION("""COMPUTED_VALUE"""),"No")</f>
        <v>No</v>
      </c>
      <c r="AI1388" s="5" t="str">
        <f ca="1">IFERROR(__xludf.DUMMYFUNCTION("""COMPUTED_VALUE"""),"No")</f>
        <v>No</v>
      </c>
      <c r="AJ1388" s="5"/>
    </row>
    <row r="1389" spans="1:36" ht="13">
      <c r="A1389" s="5" t="str">
        <f ca="1">IFERROR(__xludf.DUMMYFUNCTION("""COMPUTED_VALUE"""),"20061211ILCLC")</f>
        <v>20061211ILCLC</v>
      </c>
      <c r="B1389" s="5">
        <f ca="1">IFERROR(__xludf.DUMMYFUNCTION("""COMPUTED_VALUE"""),12)</f>
        <v>12</v>
      </c>
      <c r="C1389" s="5">
        <f ca="1">IFERROR(__xludf.DUMMYFUNCTION("""COMPUTED_VALUE"""),11)</f>
        <v>11</v>
      </c>
      <c r="D1389" s="5">
        <f ca="1">IFERROR(__xludf.DUMMYFUNCTION("""COMPUTED_VALUE"""),2006)</f>
        <v>2006</v>
      </c>
      <c r="E1389" s="8">
        <f ca="1">IFERROR(__xludf.DUMMYFUNCTION("""COMPUTED_VALUE"""),39062)</f>
        <v>39062</v>
      </c>
      <c r="F1389" s="5" t="str">
        <f ca="1">IFERROR(__xludf.DUMMYFUNCTION("""COMPUTED_VALUE"""),"Clemente High School")</f>
        <v>Clemente High School</v>
      </c>
      <c r="G1389" s="5">
        <f ca="1">IFERROR(__xludf.DUMMYFUNCTION("""COMPUTED_VALUE"""),0)</f>
        <v>0</v>
      </c>
      <c r="H1389" s="5">
        <f ca="1">IFERROR(__xludf.DUMMYFUNCTION("""COMPUTED_VALUE"""),1)</f>
        <v>1</v>
      </c>
      <c r="I1389" s="5">
        <f ca="1">IFERROR(__xludf.DUMMYFUNCTION("""COMPUTED_VALUE"""),1)</f>
        <v>1</v>
      </c>
      <c r="J1389" s="5">
        <f ca="1">IFERROR(__xludf.DUMMYFUNCTION("""COMPUTED_VALUE"""),0)</f>
        <v>0</v>
      </c>
      <c r="K1389" s="9" t="str">
        <f ca="1">IFERROR(__xludf.DUMMYFUNCTION("""COMPUTED_VALUE"""),"https://www.newspapers.com/image/232079346/?terms=Northwest%2BHigh%2BSchool%2Bgun%2Bpocket")</f>
        <v>https://www.newspapers.com/image/232079346/?terms=Northwest%2BHigh%2BSchool%2Bgun%2Bpocket</v>
      </c>
      <c r="L1389" s="5"/>
      <c r="M1389" s="5"/>
      <c r="N1389" s="5">
        <f ca="1">IFERROR(__xludf.DUMMYFUNCTION("""COMPUTED_VALUE"""),2)</f>
        <v>2</v>
      </c>
      <c r="O1389" s="5" t="str">
        <f ca="1">IFERROR(__xludf.DUMMYFUNCTION("""COMPUTED_VALUE"""),"Winter")</f>
        <v>Winter</v>
      </c>
      <c r="P1389" s="5" t="str">
        <f ca="1">IFERROR(__xludf.DUMMYFUNCTION("""COMPUTED_VALUE"""),"Chicago")</f>
        <v>Chicago</v>
      </c>
      <c r="Q1389" s="5" t="str">
        <f ca="1">IFERROR(__xludf.DUMMYFUNCTION("""COMPUTED_VALUE"""),"IL")</f>
        <v>IL</v>
      </c>
      <c r="R1389" s="5" t="str">
        <f ca="1">IFERROR(__xludf.DUMMYFUNCTION("""COMPUTED_VALUE"""),"High")</f>
        <v>High</v>
      </c>
      <c r="S1389" s="5" t="str">
        <f ca="1">IFERROR(__xludf.DUMMYFUNCTION("""COMPUTED_VALUE"""),"Beside Building")</f>
        <v>Beside Building</v>
      </c>
      <c r="T1389" s="5" t="str">
        <f ca="1">IFERROR(__xludf.DUMMYFUNCTION("""COMPUTED_VALUE"""),"Outside on School Property")</f>
        <v>Outside on School Property</v>
      </c>
      <c r="U1389" s="5" t="str">
        <f ca="1">IFERROR(__xludf.DUMMYFUNCTION("""COMPUTED_VALUE"""),"Yes")</f>
        <v>Yes</v>
      </c>
      <c r="V1389" s="5" t="str">
        <f ca="1">IFERROR(__xludf.DUMMYFUNCTION("""COMPUTED_VALUE"""),"Dismissal")</f>
        <v>Dismissal</v>
      </c>
      <c r="W1389" s="10">
        <f ca="1">IFERROR(__xludf.DUMMYFUNCTION("""COMPUTED_VALUE"""),0.614583333333333)</f>
        <v>0.61458333333333304</v>
      </c>
      <c r="X1389" s="5">
        <f ca="1">IFERROR(__xludf.DUMMYFUNCTION("""COMPUTED_VALUE"""),1)</f>
        <v>1</v>
      </c>
      <c r="Y1389" s="5" t="str">
        <f ca="1">IFERROR(__xludf.DUMMYFUNCTION("""COMPUTED_VALUE"""),"Officer shot trying to break up fight between gang members")</f>
        <v>Officer shot trying to break up fight between gang members</v>
      </c>
      <c r="Z1389" s="5" t="str">
        <f ca="1">IFERROR(__xludf.DUMMYFUNCTION("""COMPUTED_VALUE"""),"Police officer shot in arm trying to break up fight between gang members outside of school. Shooter fled and was later arrested.")</f>
        <v>Police officer shot in arm trying to break up fight between gang members outside of school. Shooter fled and was later arrested.</v>
      </c>
      <c r="AA1389" s="5" t="str">
        <f ca="1">IFERROR(__xludf.DUMMYFUNCTION("""COMPUTED_VALUE"""),"Escalation of Dispute")</f>
        <v>Escalation of Dispute</v>
      </c>
      <c r="AB1389" s="5" t="str">
        <f ca="1">IFERROR(__xludf.DUMMYFUNCTION("""COMPUTED_VALUE"""),"Neither")</f>
        <v>Neither</v>
      </c>
      <c r="AC1389" s="5" t="str">
        <f ca="1">IFERROR(__xludf.DUMMYFUNCTION("""COMPUTED_VALUE"""),"Unknown")</f>
        <v>Unknown</v>
      </c>
      <c r="AD1389" s="5" t="str">
        <f ca="1">IFERROR(__xludf.DUMMYFUNCTION("""COMPUTED_VALUE"""),"No")</f>
        <v>No</v>
      </c>
      <c r="AE1389" s="5" t="str">
        <f ca="1">IFERROR(__xludf.DUMMYFUNCTION("""COMPUTED_VALUE"""),"No")</f>
        <v>No</v>
      </c>
      <c r="AF1389" s="5" t="str">
        <f ca="1">IFERROR(__xludf.DUMMYFUNCTION("""COMPUTED_VALUE"""),"No")</f>
        <v>No</v>
      </c>
      <c r="AG1389" s="5" t="str">
        <f ca="1">IFERROR(__xludf.DUMMYFUNCTION("""COMPUTED_VALUE"""),"No")</f>
        <v>No</v>
      </c>
      <c r="AH1389" s="5" t="str">
        <f ca="1">IFERROR(__xludf.DUMMYFUNCTION("""COMPUTED_VALUE"""),"No")</f>
        <v>No</v>
      </c>
      <c r="AI1389" s="5" t="str">
        <f ca="1">IFERROR(__xludf.DUMMYFUNCTION("""COMPUTED_VALUE"""),"Yes")</f>
        <v>Yes</v>
      </c>
      <c r="AJ1389" s="5"/>
    </row>
    <row r="1390" spans="1:36" ht="13">
      <c r="A1390" s="5" t="str">
        <f ca="1">IFERROR(__xludf.DUMMYFUNCTION("""COMPUTED_VALUE"""),"20061207NENOO")</f>
        <v>20061207NENOO</v>
      </c>
      <c r="B1390" s="5">
        <f ca="1">IFERROR(__xludf.DUMMYFUNCTION("""COMPUTED_VALUE"""),12)</f>
        <v>12</v>
      </c>
      <c r="C1390" s="5">
        <f ca="1">IFERROR(__xludf.DUMMYFUNCTION("""COMPUTED_VALUE"""),7)</f>
        <v>7</v>
      </c>
      <c r="D1390" s="5">
        <f ca="1">IFERROR(__xludf.DUMMYFUNCTION("""COMPUTED_VALUE"""),2006)</f>
        <v>2006</v>
      </c>
      <c r="E1390" s="8">
        <f ca="1">IFERROR(__xludf.DUMMYFUNCTION("""COMPUTED_VALUE"""),39058)</f>
        <v>39058</v>
      </c>
      <c r="F1390" s="5" t="str">
        <f ca="1">IFERROR(__xludf.DUMMYFUNCTION("""COMPUTED_VALUE"""),"Northwest High School")</f>
        <v>Northwest High School</v>
      </c>
      <c r="G1390" s="5">
        <f ca="1">IFERROR(__xludf.DUMMYFUNCTION("""COMPUTED_VALUE"""),0)</f>
        <v>0</v>
      </c>
      <c r="H1390" s="5">
        <f ca="1">IFERROR(__xludf.DUMMYFUNCTION("""COMPUTED_VALUE"""),1)</f>
        <v>1</v>
      </c>
      <c r="I1390" s="5">
        <f ca="1">IFERROR(__xludf.DUMMYFUNCTION("""COMPUTED_VALUE"""),1)</f>
        <v>1</v>
      </c>
      <c r="J1390" s="5">
        <f ca="1">IFERROR(__xludf.DUMMYFUNCTION("""COMPUTED_VALUE"""),0)</f>
        <v>0</v>
      </c>
      <c r="K1390" s="9" t="str">
        <f ca="1">IFERROR(__xludf.DUMMYFUNCTION("""COMPUTED_VALUE"""),"https://www.columbine-angels.com/School_Violence_2006-2007.htm")</f>
        <v>https://www.columbine-angels.com/School_Violence_2006-2007.htm</v>
      </c>
      <c r="L1390" s="5"/>
      <c r="M1390" s="5"/>
      <c r="N1390" s="5">
        <f ca="1">IFERROR(__xludf.DUMMYFUNCTION("""COMPUTED_VALUE"""),1)</f>
        <v>1</v>
      </c>
      <c r="O1390" s="5" t="str">
        <f ca="1">IFERROR(__xludf.DUMMYFUNCTION("""COMPUTED_VALUE"""),"Winter")</f>
        <v>Winter</v>
      </c>
      <c r="P1390" s="5" t="str">
        <f ca="1">IFERROR(__xludf.DUMMYFUNCTION("""COMPUTED_VALUE"""),"Omaha")</f>
        <v>Omaha</v>
      </c>
      <c r="Q1390" s="5" t="str">
        <f ca="1">IFERROR(__xludf.DUMMYFUNCTION("""COMPUTED_VALUE"""),"NE")</f>
        <v>NE</v>
      </c>
      <c r="R1390" s="5" t="str">
        <f ca="1">IFERROR(__xludf.DUMMYFUNCTION("""COMPUTED_VALUE"""),"High")</f>
        <v>High</v>
      </c>
      <c r="S1390" s="5" t="str">
        <f ca="1">IFERROR(__xludf.DUMMYFUNCTION("""COMPUTED_VALUE"""),"Classroom")</f>
        <v>Classroom</v>
      </c>
      <c r="T1390" s="5" t="str">
        <f ca="1">IFERROR(__xludf.DUMMYFUNCTION("""COMPUTED_VALUE"""),"Inside School Building")</f>
        <v>Inside School Building</v>
      </c>
      <c r="U1390" s="5" t="str">
        <f ca="1">IFERROR(__xludf.DUMMYFUNCTION("""COMPUTED_VALUE"""),"Yes")</f>
        <v>Yes</v>
      </c>
      <c r="V1390" s="5"/>
      <c r="W1390" s="5"/>
      <c r="X1390" s="5">
        <f ca="1">IFERROR(__xludf.DUMMYFUNCTION("""COMPUTED_VALUE"""),1)</f>
        <v>1</v>
      </c>
      <c r="Y1390" s="5" t="str">
        <f ca="1">IFERROR(__xludf.DUMMYFUNCTION("""COMPUTED_VALUE"""),"Playing with gun in pocket in classroom")</f>
        <v>Playing with gun in pocket in classroom</v>
      </c>
      <c r="Z1390" s="5" t="str">
        <f ca="1">IFERROR(__xludf.DUMMYFUNCTION("""COMPUTED_VALUE"""),"17YOM student was playing with a gun in his pocket discharged causing injuries to his leg and hand. The shooter left the classroom, hid the gun, and was able to drive himself to the hospital for treatment.")</f>
        <v>17YOM student was playing with a gun in his pocket discharged causing injuries to his leg and hand. The shooter left the classroom, hid the gun, and was able to drive himself to the hospital for treatment.</v>
      </c>
      <c r="AA1390" s="5" t="str">
        <f ca="1">IFERROR(__xludf.DUMMYFUNCTION("""COMPUTED_VALUE"""),"Accidental")</f>
        <v>Accidental</v>
      </c>
      <c r="AB1390" s="5" t="str">
        <f ca="1">IFERROR(__xludf.DUMMYFUNCTION("""COMPUTED_VALUE"""),"Random Shooting")</f>
        <v>Random Shooting</v>
      </c>
      <c r="AC1390" s="5" t="str">
        <f ca="1">IFERROR(__xludf.DUMMYFUNCTION("""COMPUTED_VALUE"""),"No")</f>
        <v>No</v>
      </c>
      <c r="AD1390" s="5" t="str">
        <f ca="1">IFERROR(__xludf.DUMMYFUNCTION("""COMPUTED_VALUE"""),"No")</f>
        <v>No</v>
      </c>
      <c r="AE1390" s="5" t="str">
        <f ca="1">IFERROR(__xludf.DUMMYFUNCTION("""COMPUTED_VALUE"""),"No")</f>
        <v>No</v>
      </c>
      <c r="AF1390" s="5" t="str">
        <f ca="1">IFERROR(__xludf.DUMMYFUNCTION("""COMPUTED_VALUE"""),"No")</f>
        <v>No</v>
      </c>
      <c r="AG1390" s="5" t="str">
        <f ca="1">IFERROR(__xludf.DUMMYFUNCTION("""COMPUTED_VALUE"""),"No")</f>
        <v>No</v>
      </c>
      <c r="AH1390" s="5" t="str">
        <f ca="1">IFERROR(__xludf.DUMMYFUNCTION("""COMPUTED_VALUE"""),"No")</f>
        <v>No</v>
      </c>
      <c r="AI1390" s="5" t="str">
        <f ca="1">IFERROR(__xludf.DUMMYFUNCTION("""COMPUTED_VALUE"""),"No")</f>
        <v>No</v>
      </c>
      <c r="AJ1390" s="5"/>
    </row>
    <row r="1391" spans="1:36" ht="13">
      <c r="A1391" s="5" t="str">
        <f ca="1">IFERROR(__xludf.DUMMYFUNCTION("""COMPUTED_VALUE"""),"20061201NCJOT")</f>
        <v>20061201NCJOT</v>
      </c>
      <c r="B1391" s="5">
        <f ca="1">IFERROR(__xludf.DUMMYFUNCTION("""COMPUTED_VALUE"""),12)</f>
        <v>12</v>
      </c>
      <c r="C1391" s="5">
        <f ca="1">IFERROR(__xludf.DUMMYFUNCTION("""COMPUTED_VALUE"""),1)</f>
        <v>1</v>
      </c>
      <c r="D1391" s="5">
        <f ca="1">IFERROR(__xludf.DUMMYFUNCTION("""COMPUTED_VALUE"""),2006)</f>
        <v>2006</v>
      </c>
      <c r="E1391" s="8">
        <f ca="1">IFERROR(__xludf.DUMMYFUNCTION("""COMPUTED_VALUE"""),39052)</f>
        <v>39052</v>
      </c>
      <c r="F1391" s="5" t="str">
        <f ca="1">IFERROR(__xludf.DUMMYFUNCTION("""COMPUTED_VALUE"""),"Jones Senior High School")</f>
        <v>Jones Senior High School</v>
      </c>
      <c r="G1391" s="5">
        <f ca="1">IFERROR(__xludf.DUMMYFUNCTION("""COMPUTED_VALUE"""),1)</f>
        <v>1</v>
      </c>
      <c r="H1391" s="5">
        <f ca="1">IFERROR(__xludf.DUMMYFUNCTION("""COMPUTED_VALUE"""),0)</f>
        <v>0</v>
      </c>
      <c r="I1391" s="5">
        <f ca="1">IFERROR(__xludf.DUMMYFUNCTION("""COMPUTED_VALUE"""),1)</f>
        <v>1</v>
      </c>
      <c r="J1391" s="5">
        <f ca="1">IFERROR(__xludf.DUMMYFUNCTION("""COMPUTED_VALUE"""),0)</f>
        <v>0</v>
      </c>
      <c r="K1391" s="9" t="str">
        <f ca="1">IFERROR(__xludf.DUMMYFUNCTION("""COMPUTED_VALUE"""),"http://www.witn.com/home/headlines/35382409.html")</f>
        <v>http://www.witn.com/home/headlines/35382409.html</v>
      </c>
      <c r="L1391" s="5"/>
      <c r="M1391" s="5"/>
      <c r="N1391" s="5">
        <f ca="1">IFERROR(__xludf.DUMMYFUNCTION("""COMPUTED_VALUE"""),2)</f>
        <v>2</v>
      </c>
      <c r="O1391" s="5" t="str">
        <f ca="1">IFERROR(__xludf.DUMMYFUNCTION("""COMPUTED_VALUE"""),"Winter")</f>
        <v>Winter</v>
      </c>
      <c r="P1391" s="5" t="str">
        <f ca="1">IFERROR(__xludf.DUMMYFUNCTION("""COMPUTED_VALUE"""),"Trenton")</f>
        <v>Trenton</v>
      </c>
      <c r="Q1391" s="5" t="str">
        <f ca="1">IFERROR(__xludf.DUMMYFUNCTION("""COMPUTED_VALUE"""),"NC")</f>
        <v>NC</v>
      </c>
      <c r="R1391" s="5" t="str">
        <f ca="1">IFERROR(__xludf.DUMMYFUNCTION("""COMPUTED_VALUE"""),"High")</f>
        <v>High</v>
      </c>
      <c r="S1391" s="5" t="str">
        <f ca="1">IFERROR(__xludf.DUMMYFUNCTION("""COMPUTED_VALUE"""),"Basketball Court")</f>
        <v>Basketball Court</v>
      </c>
      <c r="T1391" s="5" t="str">
        <f ca="1">IFERROR(__xludf.DUMMYFUNCTION("""COMPUTED_VALUE"""),"Outside on School Property")</f>
        <v>Outside on School Property</v>
      </c>
      <c r="U1391" s="5" t="str">
        <f ca="1">IFERROR(__xludf.DUMMYFUNCTION("""COMPUTED_VALUE"""),"No")</f>
        <v>No</v>
      </c>
      <c r="V1391" s="5" t="str">
        <f ca="1">IFERROR(__xludf.DUMMYFUNCTION("""COMPUTED_VALUE"""),"Evening")</f>
        <v>Evening</v>
      </c>
      <c r="W1391" s="10">
        <f ca="1">IFERROR(__xludf.DUMMYFUNCTION("""COMPUTED_VALUE"""),0.930555555555555)</f>
        <v>0.93055555555555503</v>
      </c>
      <c r="X1391" s="5">
        <f ca="1">IFERROR(__xludf.DUMMYFUNCTION("""COMPUTED_VALUE"""),1)</f>
        <v>1</v>
      </c>
      <c r="Y1391" s="5" t="str">
        <f ca="1">IFERROR(__xludf.DUMMYFUNCTION("""COMPUTED_VALUE"""),"Shot rival gang member in parking lot after basketball game")</f>
        <v>Shot rival gang member in parking lot after basketball game</v>
      </c>
      <c r="Z1391" s="5" t="str">
        <f ca="1">IFERROR(__xludf.DUMMYFUNCTION("""COMPUTED_VALUE"""),"20YOM shot 23YOM who was member of rival gang outside of high school after basketball game. Shooter had been thrown out of the game after causing a disturbance.")</f>
        <v>20YOM shot 23YOM who was member of rival gang outside of high school after basketball game. Shooter had been thrown out of the game after causing a disturbance.</v>
      </c>
      <c r="AA1391" s="5" t="str">
        <f ca="1">IFERROR(__xludf.DUMMYFUNCTION("""COMPUTED_VALUE"""),"Escalation of Dispute")</f>
        <v>Escalation of Dispute</v>
      </c>
      <c r="AB1391" s="5" t="str">
        <f ca="1">IFERROR(__xludf.DUMMYFUNCTION("""COMPUTED_VALUE"""),"Victims Targeted")</f>
        <v>Victims Targeted</v>
      </c>
      <c r="AC1391" s="5" t="str">
        <f ca="1">IFERROR(__xludf.DUMMYFUNCTION("""COMPUTED_VALUE"""),"No")</f>
        <v>No</v>
      </c>
      <c r="AD1391" s="5" t="str">
        <f ca="1">IFERROR(__xludf.DUMMYFUNCTION("""COMPUTED_VALUE"""),"No")</f>
        <v>No</v>
      </c>
      <c r="AE1391" s="5" t="str">
        <f ca="1">IFERROR(__xludf.DUMMYFUNCTION("""COMPUTED_VALUE"""),"No")</f>
        <v>No</v>
      </c>
      <c r="AF1391" s="5" t="str">
        <f ca="1">IFERROR(__xludf.DUMMYFUNCTION("""COMPUTED_VALUE"""),"No")</f>
        <v>No</v>
      </c>
      <c r="AG1391" s="5" t="str">
        <f ca="1">IFERROR(__xludf.DUMMYFUNCTION("""COMPUTED_VALUE"""),"No")</f>
        <v>No</v>
      </c>
      <c r="AH1391" s="5" t="str">
        <f ca="1">IFERROR(__xludf.DUMMYFUNCTION("""COMPUTED_VALUE"""),"No")</f>
        <v>No</v>
      </c>
      <c r="AI1391" s="5" t="str">
        <f ca="1">IFERROR(__xludf.DUMMYFUNCTION("""COMPUTED_VALUE"""),"Yes")</f>
        <v>Yes</v>
      </c>
      <c r="AJ1391" s="5"/>
    </row>
    <row r="1392" spans="1:36" ht="13">
      <c r="A1392" s="5" t="str">
        <f ca="1">IFERROR(__xludf.DUMMYFUNCTION("""COMPUTED_VALUE"""),"20061122GASAA")</f>
        <v>20061122GASAA</v>
      </c>
      <c r="B1392" s="5">
        <f ca="1">IFERROR(__xludf.DUMMYFUNCTION("""COMPUTED_VALUE"""),11)</f>
        <v>11</v>
      </c>
      <c r="C1392" s="5">
        <f ca="1">IFERROR(__xludf.DUMMYFUNCTION("""COMPUTED_VALUE"""),22)</f>
        <v>22</v>
      </c>
      <c r="D1392" s="5">
        <f ca="1">IFERROR(__xludf.DUMMYFUNCTION("""COMPUTED_VALUE"""),2006)</f>
        <v>2006</v>
      </c>
      <c r="E1392" s="8">
        <f ca="1">IFERROR(__xludf.DUMMYFUNCTION("""COMPUTED_VALUE"""),39043)</f>
        <v>39043</v>
      </c>
      <c r="F1392" s="5" t="str">
        <f ca="1">IFERROR(__xludf.DUMMYFUNCTION("""COMPUTED_VALUE"""),"Sammye E. Coan Middle School")</f>
        <v>Sammye E. Coan Middle School</v>
      </c>
      <c r="G1392" s="5">
        <f ca="1">IFERROR(__xludf.DUMMYFUNCTION("""COMPUTED_VALUE"""),1)</f>
        <v>1</v>
      </c>
      <c r="H1392" s="5">
        <f ca="1">IFERROR(__xludf.DUMMYFUNCTION("""COMPUTED_VALUE"""),0)</f>
        <v>0</v>
      </c>
      <c r="I1392" s="5">
        <f ca="1">IFERROR(__xludf.DUMMYFUNCTION("""COMPUTED_VALUE"""),1)</f>
        <v>1</v>
      </c>
      <c r="J1392" s="5">
        <f ca="1">IFERROR(__xludf.DUMMYFUNCTION("""COMPUTED_VALUE"""),0)</f>
        <v>0</v>
      </c>
      <c r="K1392" s="9" t="str">
        <f ca="1">IFERROR(__xludf.DUMMYFUNCTION("""COMPUTED_VALUE"""),"https://www.newspapers.com/image/422972655/?terms=Atlanta%2BMiddle%2BSchool%2BRicardo%2BAlexander")</f>
        <v>https://www.newspapers.com/image/422972655/?terms=Atlanta%2BMiddle%2BSchool%2BRicardo%2BAlexander</v>
      </c>
      <c r="L1392" s="5"/>
      <c r="M1392" s="5"/>
      <c r="N1392" s="5">
        <f ca="1">IFERROR(__xludf.DUMMYFUNCTION("""COMPUTED_VALUE"""),2)</f>
        <v>2</v>
      </c>
      <c r="O1392" s="5" t="str">
        <f ca="1">IFERROR(__xludf.DUMMYFUNCTION("""COMPUTED_VALUE"""),"Fall")</f>
        <v>Fall</v>
      </c>
      <c r="P1392" s="5" t="str">
        <f ca="1">IFERROR(__xludf.DUMMYFUNCTION("""COMPUTED_VALUE"""),"Atlanta")</f>
        <v>Atlanta</v>
      </c>
      <c r="Q1392" s="5" t="str">
        <f ca="1">IFERROR(__xludf.DUMMYFUNCTION("""COMPUTED_VALUE"""),"GA")</f>
        <v>GA</v>
      </c>
      <c r="R1392" s="5" t="str">
        <f ca="1">IFERROR(__xludf.DUMMYFUNCTION("""COMPUTED_VALUE"""),"Middle")</f>
        <v>Middle</v>
      </c>
      <c r="S1392" s="5" t="str">
        <f ca="1">IFERROR(__xludf.DUMMYFUNCTION("""COMPUTED_VALUE"""),"Front of School")</f>
        <v>Front of School</v>
      </c>
      <c r="T1392" s="5" t="str">
        <f ca="1">IFERROR(__xludf.DUMMYFUNCTION("""COMPUTED_VALUE"""),"Outside on School Property")</f>
        <v>Outside on School Property</v>
      </c>
      <c r="U1392" s="5" t="str">
        <f ca="1">IFERROR(__xludf.DUMMYFUNCTION("""COMPUTED_VALUE"""),"No")</f>
        <v>No</v>
      </c>
      <c r="V1392" s="5" t="str">
        <f ca="1">IFERROR(__xludf.DUMMYFUNCTION("""COMPUTED_VALUE"""),"Evening")</f>
        <v>Evening</v>
      </c>
      <c r="W1392" s="10">
        <f ca="1">IFERROR(__xludf.DUMMYFUNCTION("""COMPUTED_VALUE"""),0.736111111111111)</f>
        <v>0.73611111111111105</v>
      </c>
      <c r="X1392" s="5">
        <f ca="1">IFERROR(__xludf.DUMMYFUNCTION("""COMPUTED_VALUE"""),1)</f>
        <v>1</v>
      </c>
      <c r="Y1392" s="5" t="str">
        <f ca="1">IFERROR(__xludf.DUMMYFUNCTION("""COMPUTED_VALUE"""),"Shooter got out of car, shot victim in chest, and fled scene")</f>
        <v>Shooter got out of car, shot victim in chest, and fled scene</v>
      </c>
      <c r="Z1392" s="5" t="str">
        <f ca="1">IFERROR(__xludf.DUMMYFUNCTION("""COMPUTED_VALUE"""),"14YOM was walking across school campus. Car stopped next to him, driver got out, shot student in chest, and fled the scene. No suspect or motive.")</f>
        <v>14YOM was walking across school campus. Car stopped next to him, driver got out, shot student in chest, and fled the scene. No suspect or motive.</v>
      </c>
      <c r="AA1392" s="5" t="str">
        <f ca="1">IFERROR(__xludf.DUMMYFUNCTION("""COMPUTED_VALUE"""),"Drive-by Shooting")</f>
        <v>Drive-by Shooting</v>
      </c>
      <c r="AB1392" s="5" t="str">
        <f ca="1">IFERROR(__xludf.DUMMYFUNCTION("""COMPUTED_VALUE"""),"Victims Targeted")</f>
        <v>Victims Targeted</v>
      </c>
      <c r="AC1392" s="5" t="str">
        <f ca="1">IFERROR(__xludf.DUMMYFUNCTION("""COMPUTED_VALUE"""),"Unknown")</f>
        <v>Unknown</v>
      </c>
      <c r="AD1392" s="5" t="str">
        <f ca="1">IFERROR(__xludf.DUMMYFUNCTION("""COMPUTED_VALUE"""),"No")</f>
        <v>No</v>
      </c>
      <c r="AE1392" s="5" t="str">
        <f ca="1">IFERROR(__xludf.DUMMYFUNCTION("""COMPUTED_VALUE"""),"No")</f>
        <v>No</v>
      </c>
      <c r="AF1392" s="5" t="str">
        <f ca="1">IFERROR(__xludf.DUMMYFUNCTION("""COMPUTED_VALUE"""),"No")</f>
        <v>No</v>
      </c>
      <c r="AG1392" s="5" t="str">
        <f ca="1">IFERROR(__xludf.DUMMYFUNCTION("""COMPUTED_VALUE"""),"No")</f>
        <v>No</v>
      </c>
      <c r="AH1392" s="5" t="str">
        <f ca="1">IFERROR(__xludf.DUMMYFUNCTION("""COMPUTED_VALUE"""),"No")</f>
        <v>No</v>
      </c>
      <c r="AI1392" s="5"/>
      <c r="AJ1392" s="5"/>
    </row>
    <row r="1393" spans="1:36" ht="13">
      <c r="A1393" s="5" t="str">
        <f ca="1">IFERROR(__xludf.DUMMYFUNCTION("""COMPUTED_VALUE"""),"20061111CALIO")</f>
        <v>20061111CALIO</v>
      </c>
      <c r="B1393" s="5">
        <f ca="1">IFERROR(__xludf.DUMMYFUNCTION("""COMPUTED_VALUE"""),11)</f>
        <v>11</v>
      </c>
      <c r="C1393" s="5">
        <f ca="1">IFERROR(__xludf.DUMMYFUNCTION("""COMPUTED_VALUE"""),11)</f>
        <v>11</v>
      </c>
      <c r="D1393" s="5">
        <f ca="1">IFERROR(__xludf.DUMMYFUNCTION("""COMPUTED_VALUE"""),2006)</f>
        <v>2006</v>
      </c>
      <c r="E1393" s="8">
        <f ca="1">IFERROR(__xludf.DUMMYFUNCTION("""COMPUTED_VALUE"""),39032)</f>
        <v>39032</v>
      </c>
      <c r="F1393" s="5" t="str">
        <f ca="1">IFERROR(__xludf.DUMMYFUNCTION("""COMPUTED_VALUE"""),"Lionel Wilson College Prep School")</f>
        <v>Lionel Wilson College Prep School</v>
      </c>
      <c r="G1393" s="5">
        <f ca="1">IFERROR(__xludf.DUMMYFUNCTION("""COMPUTED_VALUE"""),1)</f>
        <v>1</v>
      </c>
      <c r="H1393" s="5">
        <f ca="1">IFERROR(__xludf.DUMMYFUNCTION("""COMPUTED_VALUE"""),1)</f>
        <v>1</v>
      </c>
      <c r="I1393" s="5">
        <f ca="1">IFERROR(__xludf.DUMMYFUNCTION("""COMPUTED_VALUE"""),2)</f>
        <v>2</v>
      </c>
      <c r="J1393" s="5">
        <f ca="1">IFERROR(__xludf.DUMMYFUNCTION("""COMPUTED_VALUE"""),0)</f>
        <v>0</v>
      </c>
      <c r="K1393" s="9" t="str">
        <f ca="1">IFERROR(__xludf.DUMMYFUNCTION("""COMPUTED_VALUE"""),"https://www.eastbaytimes.com/2006/11/13/man-killed-at-oakland-school-party/")</f>
        <v>https://www.eastbaytimes.com/2006/11/13/man-killed-at-oakland-school-party/</v>
      </c>
      <c r="L1393" s="5"/>
      <c r="M1393" s="5"/>
      <c r="N1393" s="5">
        <f ca="1">IFERROR(__xludf.DUMMYFUNCTION("""COMPUTED_VALUE"""),3)</f>
        <v>3</v>
      </c>
      <c r="O1393" s="5" t="str">
        <f ca="1">IFERROR(__xludf.DUMMYFUNCTION("""COMPUTED_VALUE"""),"Fall")</f>
        <v>Fall</v>
      </c>
      <c r="P1393" s="5" t="str">
        <f ca="1">IFERROR(__xludf.DUMMYFUNCTION("""COMPUTED_VALUE"""),"Oakland")</f>
        <v>Oakland</v>
      </c>
      <c r="Q1393" s="5" t="str">
        <f ca="1">IFERROR(__xludf.DUMMYFUNCTION("""COMPUTED_VALUE"""),"CA")</f>
        <v>CA</v>
      </c>
      <c r="R1393" s="5" t="str">
        <f ca="1">IFERROR(__xludf.DUMMYFUNCTION("""COMPUTED_VALUE"""),"High")</f>
        <v>High</v>
      </c>
      <c r="S1393" s="5" t="str">
        <f ca="1">IFERROR(__xludf.DUMMYFUNCTION("""COMPUTED_VALUE"""),"Gym")</f>
        <v>Gym</v>
      </c>
      <c r="T1393" s="5" t="str">
        <f ca="1">IFERROR(__xludf.DUMMYFUNCTION("""COMPUTED_VALUE"""),"Inside School Building")</f>
        <v>Inside School Building</v>
      </c>
      <c r="U1393" s="5" t="str">
        <f ca="1">IFERROR(__xludf.DUMMYFUNCTION("""COMPUTED_VALUE"""),"No")</f>
        <v>No</v>
      </c>
      <c r="V1393" s="5" t="str">
        <f ca="1">IFERROR(__xludf.DUMMYFUNCTION("""COMPUTED_VALUE"""),"Night")</f>
        <v>Night</v>
      </c>
      <c r="W1393" s="10">
        <f ca="1">IFERROR(__xludf.DUMMYFUNCTION("""COMPUTED_VALUE"""),0.958333333333333)</f>
        <v>0.95833333333333304</v>
      </c>
      <c r="X1393" s="5">
        <f ca="1">IFERROR(__xludf.DUMMYFUNCTION("""COMPUTED_VALUE"""),1)</f>
        <v>1</v>
      </c>
      <c r="Y1393" s="5" t="str">
        <f ca="1">IFERROR(__xludf.DUMMYFUNCTION("""COMPUTED_VALUE"""),"Targeted shooting during birthday party, shooter and victim had grudge")</f>
        <v>Targeted shooting during birthday party, shooter and victim had grudge</v>
      </c>
      <c r="Z1393" s="5" t="str">
        <f ca="1">IFERROR(__xludf.DUMMYFUNCTION("""COMPUTED_VALUE"""),"Private party at the high school on Saturday night. 23YOM shot in targeted shooting by someone he had a ongoing conflict with. 20YOM was also hit. Shooter fled and was not identified. Facility was rented by non-students.")</f>
        <v>Private party at the high school on Saturday night. 23YOM shot in targeted shooting by someone he had a ongoing conflict with. 20YOM was also hit. Shooter fled and was not identified. Facility was rented by non-students.</v>
      </c>
      <c r="AA1393" s="5" t="str">
        <f ca="1">IFERROR(__xludf.DUMMYFUNCTION("""COMPUTED_VALUE"""),"Escalation of Dispute")</f>
        <v>Escalation of Dispute</v>
      </c>
      <c r="AB1393" s="5" t="str">
        <f ca="1">IFERROR(__xludf.DUMMYFUNCTION("""COMPUTED_VALUE"""),"Both")</f>
        <v>Both</v>
      </c>
      <c r="AC1393" s="5" t="str">
        <f ca="1">IFERROR(__xludf.DUMMYFUNCTION("""COMPUTED_VALUE"""),"No")</f>
        <v>No</v>
      </c>
      <c r="AD1393" s="5" t="str">
        <f ca="1">IFERROR(__xludf.DUMMYFUNCTION("""COMPUTED_VALUE"""),"No")</f>
        <v>No</v>
      </c>
      <c r="AE1393" s="5" t="str">
        <f ca="1">IFERROR(__xludf.DUMMYFUNCTION("""COMPUTED_VALUE"""),"No")</f>
        <v>No</v>
      </c>
      <c r="AF1393" s="5" t="str">
        <f ca="1">IFERROR(__xludf.DUMMYFUNCTION("""COMPUTED_VALUE"""),"No")</f>
        <v>No</v>
      </c>
      <c r="AG1393" s="5" t="str">
        <f ca="1">IFERROR(__xludf.DUMMYFUNCTION("""COMPUTED_VALUE"""),"No")</f>
        <v>No</v>
      </c>
      <c r="AH1393" s="5" t="str">
        <f ca="1">IFERROR(__xludf.DUMMYFUNCTION("""COMPUTED_VALUE"""),"No")</f>
        <v>No</v>
      </c>
      <c r="AI1393" s="5" t="str">
        <f ca="1">IFERROR(__xludf.DUMMYFUNCTION("""COMPUTED_VALUE"""),"No")</f>
        <v>No</v>
      </c>
      <c r="AJ1393" s="5"/>
    </row>
    <row r="1394" spans="1:36" ht="13">
      <c r="A1394" s="5" t="str">
        <f ca="1">IFERROR(__xludf.DUMMYFUNCTION("""COMPUTED_VALUE"""),"20061031TNHAK")</f>
        <v>20061031TNHAK</v>
      </c>
      <c r="B1394" s="5">
        <f ca="1">IFERROR(__xludf.DUMMYFUNCTION("""COMPUTED_VALUE"""),10)</f>
        <v>10</v>
      </c>
      <c r="C1394" s="5">
        <f ca="1">IFERROR(__xludf.DUMMYFUNCTION("""COMPUTED_VALUE"""),31)</f>
        <v>31</v>
      </c>
      <c r="D1394" s="5">
        <f ca="1">IFERROR(__xludf.DUMMYFUNCTION("""COMPUTED_VALUE"""),2006)</f>
        <v>2006</v>
      </c>
      <c r="E1394" s="8">
        <f ca="1">IFERROR(__xludf.DUMMYFUNCTION("""COMPUTED_VALUE"""),39021)</f>
        <v>39021</v>
      </c>
      <c r="F1394" s="5" t="str">
        <f ca="1">IFERROR(__xludf.DUMMYFUNCTION("""COMPUTED_VALUE"""),"Halls High School")</f>
        <v>Halls High School</v>
      </c>
      <c r="G1394" s="5">
        <f ca="1">IFERROR(__xludf.DUMMYFUNCTION("""COMPUTED_VALUE"""),1)</f>
        <v>1</v>
      </c>
      <c r="H1394" s="5">
        <f ca="1">IFERROR(__xludf.DUMMYFUNCTION("""COMPUTED_VALUE"""),0)</f>
        <v>0</v>
      </c>
      <c r="I1394" s="5">
        <f ca="1">IFERROR(__xludf.DUMMYFUNCTION("""COMPUTED_VALUE"""),1)</f>
        <v>1</v>
      </c>
      <c r="J1394" s="5">
        <f ca="1">IFERROR(__xludf.DUMMYFUNCTION("""COMPUTED_VALUE"""),0)</f>
        <v>0</v>
      </c>
      <c r="K1394" s="9" t="str">
        <f ca="1">IFERROR(__xludf.DUMMYFUNCTION("""COMPUTED_VALUE"""),"http://www.wvlt.tv/home/headlines/4542511.html")</f>
        <v>http://www.wvlt.tv/home/headlines/4542511.html</v>
      </c>
      <c r="L1394" s="5"/>
      <c r="M1394" s="5"/>
      <c r="N1394" s="5">
        <f ca="1">IFERROR(__xludf.DUMMYFUNCTION("""COMPUTED_VALUE"""),2)</f>
        <v>2</v>
      </c>
      <c r="O1394" s="5" t="str">
        <f ca="1">IFERROR(__xludf.DUMMYFUNCTION("""COMPUTED_VALUE"""),"Fall")</f>
        <v>Fall</v>
      </c>
      <c r="P1394" s="5" t="str">
        <f ca="1">IFERROR(__xludf.DUMMYFUNCTION("""COMPUTED_VALUE"""),"Knoxville")</f>
        <v>Knoxville</v>
      </c>
      <c r="Q1394" s="5" t="str">
        <f ca="1">IFERROR(__xludf.DUMMYFUNCTION("""COMPUTED_VALUE"""),"TN")</f>
        <v>TN</v>
      </c>
      <c r="R1394" s="5" t="str">
        <f ca="1">IFERROR(__xludf.DUMMYFUNCTION("""COMPUTED_VALUE"""),"High")</f>
        <v>High</v>
      </c>
      <c r="S1394" s="5" t="str">
        <f ca="1">IFERROR(__xludf.DUMMYFUNCTION("""COMPUTED_VALUE"""),"Parking Lot")</f>
        <v>Parking Lot</v>
      </c>
      <c r="T1394" s="5" t="str">
        <f ca="1">IFERROR(__xludf.DUMMYFUNCTION("""COMPUTED_VALUE"""),"Outside on School Property")</f>
        <v>Outside on School Property</v>
      </c>
      <c r="U1394" s="5" t="str">
        <f ca="1">IFERROR(__xludf.DUMMYFUNCTION("""COMPUTED_VALUE"""),"No")</f>
        <v>No</v>
      </c>
      <c r="V1394" s="5" t="str">
        <f ca="1">IFERROR(__xludf.DUMMYFUNCTION("""COMPUTED_VALUE"""),"Evening")</f>
        <v>Evening</v>
      </c>
      <c r="W1394" s="10">
        <f ca="1">IFERROR(__xludf.DUMMYFUNCTION("""COMPUTED_VALUE"""),0.9375)</f>
        <v>0.9375</v>
      </c>
      <c r="X1394" s="5">
        <f ca="1">IFERROR(__xludf.DUMMYFUNCTION("""COMPUTED_VALUE"""),1)</f>
        <v>1</v>
      </c>
      <c r="Y1394" s="5" t="str">
        <f ca="1">IFERROR(__xludf.DUMMYFUNCTION("""COMPUTED_VALUE"""),"Security guard killed investigating car with flat tire, did not know occupant was murder suspect and it was stolen car")</f>
        <v>Security guard killed investigating car with flat tire, did not know occupant was murder suspect and it was stolen car</v>
      </c>
      <c r="Z1394" s="5" t="str">
        <f ca="1">IFERROR(__xludf.DUMMYFUNCTION("""COMPUTED_VALUE"""),"39YOM shot and killed an unarmed school security guard who was investigating his broken down car in the parking lot. The shooter had killed an elderly man and stolen his vehicle. He shot and killed the security guard in the parking lot of the school and f"&amp;"led. Later arrested.")</f>
        <v>39YOM shot and killed an unarmed school security guard who was investigating his broken down car in the parking lot. The shooter had killed an elderly man and stolen his vehicle. He shot and killed the security guard in the parking lot of the school and fled. Later arrested.</v>
      </c>
      <c r="AA1394" s="5" t="str">
        <f ca="1">IFERROR(__xludf.DUMMYFUNCTION("""COMPUTED_VALUE"""),"Illegal Activity")</f>
        <v>Illegal Activity</v>
      </c>
      <c r="AB1394" s="5" t="str">
        <f ca="1">IFERROR(__xludf.DUMMYFUNCTION("""COMPUTED_VALUE"""),"Victims Targeted")</f>
        <v>Victims Targeted</v>
      </c>
      <c r="AC1394" s="5" t="str">
        <f ca="1">IFERROR(__xludf.DUMMYFUNCTION("""COMPUTED_VALUE"""),"No")</f>
        <v>No</v>
      </c>
      <c r="AD1394" s="5" t="str">
        <f ca="1">IFERROR(__xludf.DUMMYFUNCTION("""COMPUTED_VALUE"""),"No")</f>
        <v>No</v>
      </c>
      <c r="AE1394" s="5" t="str">
        <f ca="1">IFERROR(__xludf.DUMMYFUNCTION("""COMPUTED_VALUE"""),"No")</f>
        <v>No</v>
      </c>
      <c r="AF1394" s="5" t="str">
        <f ca="1">IFERROR(__xludf.DUMMYFUNCTION("""COMPUTED_VALUE"""),"No")</f>
        <v>No</v>
      </c>
      <c r="AG1394" s="5" t="str">
        <f ca="1">IFERROR(__xludf.DUMMYFUNCTION("""COMPUTED_VALUE"""),"No")</f>
        <v>No</v>
      </c>
      <c r="AH1394" s="5" t="str">
        <f ca="1">IFERROR(__xludf.DUMMYFUNCTION("""COMPUTED_VALUE"""),"No")</f>
        <v>No</v>
      </c>
      <c r="AI1394" s="5" t="str">
        <f ca="1">IFERROR(__xludf.DUMMYFUNCTION("""COMPUTED_VALUE"""),"No")</f>
        <v>No</v>
      </c>
      <c r="AJ1394" s="5"/>
    </row>
    <row r="1395" spans="1:36" ht="13">
      <c r="A1395" s="5" t="str">
        <f ca="1">IFERROR(__xludf.DUMMYFUNCTION("""COMPUTED_VALUE"""),"20061017TXSEK")</f>
        <v>20061017TXSEK</v>
      </c>
      <c r="B1395" s="5">
        <f ca="1">IFERROR(__xludf.DUMMYFUNCTION("""COMPUTED_VALUE"""),10)</f>
        <v>10</v>
      </c>
      <c r="C1395" s="5">
        <f ca="1">IFERROR(__xludf.DUMMYFUNCTION("""COMPUTED_VALUE"""),17)</f>
        <v>17</v>
      </c>
      <c r="D1395" s="5">
        <f ca="1">IFERROR(__xludf.DUMMYFUNCTION("""COMPUTED_VALUE"""),2006)</f>
        <v>2006</v>
      </c>
      <c r="E1395" s="8">
        <f ca="1">IFERROR(__xludf.DUMMYFUNCTION("""COMPUTED_VALUE"""),39007)</f>
        <v>39007</v>
      </c>
      <c r="F1395" s="5" t="str">
        <f ca="1">IFERROR(__xludf.DUMMYFUNCTION("""COMPUTED_VALUE"""),"Seven Lakes High School")</f>
        <v>Seven Lakes High School</v>
      </c>
      <c r="G1395" s="5">
        <f ca="1">IFERROR(__xludf.DUMMYFUNCTION("""COMPUTED_VALUE"""),0)</f>
        <v>0</v>
      </c>
      <c r="H1395" s="5">
        <f ca="1">IFERROR(__xludf.DUMMYFUNCTION("""COMPUTED_VALUE"""),0)</f>
        <v>0</v>
      </c>
      <c r="I1395" s="5">
        <f ca="1">IFERROR(__xludf.DUMMYFUNCTION("""COMPUTED_VALUE"""),0)</f>
        <v>0</v>
      </c>
      <c r="J1395" s="5">
        <f ca="1">IFERROR(__xludf.DUMMYFUNCTION("""COMPUTED_VALUE"""),1)</f>
        <v>1</v>
      </c>
      <c r="K1395" s="9" t="str">
        <f ca="1">IFERROR(__xludf.DUMMYFUNCTION("""COMPUTED_VALUE"""),"https://www.chron.com/news/houston-texas/article/Katy-student-shoots-himself-at-high-school-1862524.php")</f>
        <v>https://www.chron.com/news/houston-texas/article/Katy-student-shoots-himself-at-high-school-1862524.php</v>
      </c>
      <c r="L1395" s="5"/>
      <c r="M1395" s="5"/>
      <c r="N1395" s="5">
        <f ca="1">IFERROR(__xludf.DUMMYFUNCTION("""COMPUTED_VALUE"""),2)</f>
        <v>2</v>
      </c>
      <c r="O1395" s="5" t="str">
        <f ca="1">IFERROR(__xludf.DUMMYFUNCTION("""COMPUTED_VALUE"""),"Fall")</f>
        <v>Fall</v>
      </c>
      <c r="P1395" s="5" t="str">
        <f ca="1">IFERROR(__xludf.DUMMYFUNCTION("""COMPUTED_VALUE"""),"Katy")</f>
        <v>Katy</v>
      </c>
      <c r="Q1395" s="5" t="str">
        <f ca="1">IFERROR(__xludf.DUMMYFUNCTION("""COMPUTED_VALUE"""),"TX")</f>
        <v>TX</v>
      </c>
      <c r="R1395" s="5" t="str">
        <f ca="1">IFERROR(__xludf.DUMMYFUNCTION("""COMPUTED_VALUE"""),"High")</f>
        <v>High</v>
      </c>
      <c r="S1395" s="5" t="str">
        <f ca="1">IFERROR(__xludf.DUMMYFUNCTION("""COMPUTED_VALUE"""),"Beside Building")</f>
        <v>Beside Building</v>
      </c>
      <c r="T1395" s="5" t="str">
        <f ca="1">IFERROR(__xludf.DUMMYFUNCTION("""COMPUTED_VALUE"""),"Outside on School Property")</f>
        <v>Outside on School Property</v>
      </c>
      <c r="U1395" s="5" t="str">
        <f ca="1">IFERROR(__xludf.DUMMYFUNCTION("""COMPUTED_VALUE"""),"Yes")</f>
        <v>Yes</v>
      </c>
      <c r="V1395" s="5" t="str">
        <f ca="1">IFERROR(__xludf.DUMMYFUNCTION("""COMPUTED_VALUE"""),"Lunch")</f>
        <v>Lunch</v>
      </c>
      <c r="W1395" s="10">
        <f ca="1">IFERROR(__xludf.DUMMYFUNCTION("""COMPUTED_VALUE"""),0.496527777777777)</f>
        <v>0.49652777777777701</v>
      </c>
      <c r="X1395" s="5">
        <f ca="1">IFERROR(__xludf.DUMMYFUNCTION("""COMPUTED_VALUE"""),1)</f>
        <v>1</v>
      </c>
      <c r="Y1395" s="5" t="str">
        <f ca="1">IFERROR(__xludf.DUMMYFUNCTION("""COMPUTED_VALUE"""),"Student shot herself outside of school, school officials report it was an accident")</f>
        <v>Student shot herself outside of school, school officials report it was an accident</v>
      </c>
      <c r="Z1395" s="5" t="str">
        <f ca="1">IFERROR(__xludf.DUMMYFUNCTION("""COMPUTED_VALUE"""),"16YOF student shot herself outside of the school during lunch time. School officials locked down the school for 2 hours and reported to students that it was an accident.")</f>
        <v>16YOF student shot herself outside of the school during lunch time. School officials locked down the school for 2 hours and reported to students that it was an accident.</v>
      </c>
      <c r="AA1395" s="5" t="str">
        <f ca="1">IFERROR(__xludf.DUMMYFUNCTION("""COMPUTED_VALUE"""),"Accidental")</f>
        <v>Accidental</v>
      </c>
      <c r="AB1395" s="5" t="str">
        <f ca="1">IFERROR(__xludf.DUMMYFUNCTION("""COMPUTED_VALUE"""),"Random Shooting")</f>
        <v>Random Shooting</v>
      </c>
      <c r="AC1395" s="5" t="str">
        <f ca="1">IFERROR(__xludf.DUMMYFUNCTION("""COMPUTED_VALUE"""),"No")</f>
        <v>No</v>
      </c>
      <c r="AD1395" s="5" t="str">
        <f ca="1">IFERROR(__xludf.DUMMYFUNCTION("""COMPUTED_VALUE"""),"No")</f>
        <v>No</v>
      </c>
      <c r="AE1395" s="5" t="str">
        <f ca="1">IFERROR(__xludf.DUMMYFUNCTION("""COMPUTED_VALUE"""),"No")</f>
        <v>No</v>
      </c>
      <c r="AF1395" s="5" t="str">
        <f ca="1">IFERROR(__xludf.DUMMYFUNCTION("""COMPUTED_VALUE"""),"No")</f>
        <v>No</v>
      </c>
      <c r="AG1395" s="5"/>
      <c r="AH1395" s="5"/>
      <c r="AI1395" s="5" t="str">
        <f ca="1">IFERROR(__xludf.DUMMYFUNCTION("""COMPUTED_VALUE"""),"No")</f>
        <v>No</v>
      </c>
      <c r="AJ1395" s="5"/>
    </row>
    <row r="1396" spans="1:36" ht="13">
      <c r="A1396" s="5" t="str">
        <f ca="1">IFERROR(__xludf.DUMMYFUNCTION("""COMPUTED_VALUE"""),"20061012MDGRB")</f>
        <v>20061012MDGRB</v>
      </c>
      <c r="B1396" s="5">
        <f ca="1">IFERROR(__xludf.DUMMYFUNCTION("""COMPUTED_VALUE"""),10)</f>
        <v>10</v>
      </c>
      <c r="C1396" s="5">
        <f ca="1">IFERROR(__xludf.DUMMYFUNCTION("""COMPUTED_VALUE"""),12)</f>
        <v>12</v>
      </c>
      <c r="D1396" s="5">
        <f ca="1">IFERROR(__xludf.DUMMYFUNCTION("""COMPUTED_VALUE"""),2006)</f>
        <v>2006</v>
      </c>
      <c r="E1396" s="8">
        <f ca="1">IFERROR(__xludf.DUMMYFUNCTION("""COMPUTED_VALUE"""),39002)</f>
        <v>39002</v>
      </c>
      <c r="F1396" s="5" t="str">
        <f ca="1">IFERROR(__xludf.DUMMYFUNCTION("""COMPUTED_VALUE"""),"Grove Park Elementary School")</f>
        <v>Grove Park Elementary School</v>
      </c>
      <c r="G1396" s="5">
        <f ca="1">IFERROR(__xludf.DUMMYFUNCTION("""COMPUTED_VALUE"""),0)</f>
        <v>0</v>
      </c>
      <c r="H1396" s="5">
        <f ca="1">IFERROR(__xludf.DUMMYFUNCTION("""COMPUTED_VALUE"""),0)</f>
        <v>0</v>
      </c>
      <c r="I1396" s="5">
        <f ca="1">IFERROR(__xludf.DUMMYFUNCTION("""COMPUTED_VALUE"""),0)</f>
        <v>0</v>
      </c>
      <c r="J1396" s="5">
        <f ca="1">IFERROR(__xludf.DUMMYFUNCTION("""COMPUTED_VALUE"""),0)</f>
        <v>0</v>
      </c>
      <c r="K1396" s="9" t="str">
        <f ca="1">IFERROR(__xludf.DUMMYFUNCTION("""COMPUTED_VALUE"""),"https://www.washingtonexaminer.com/third-grader-at-grove-park-brings-gun-to-city-school")</f>
        <v>https://www.washingtonexaminer.com/third-grader-at-grove-park-brings-gun-to-city-school</v>
      </c>
      <c r="L1396" s="5"/>
      <c r="M1396" s="5"/>
      <c r="N1396" s="5">
        <f ca="1">IFERROR(__xludf.DUMMYFUNCTION("""COMPUTED_VALUE"""),2)</f>
        <v>2</v>
      </c>
      <c r="O1396" s="5" t="str">
        <f ca="1">IFERROR(__xludf.DUMMYFUNCTION("""COMPUTED_VALUE"""),"Fall")</f>
        <v>Fall</v>
      </c>
      <c r="P1396" s="5" t="str">
        <f ca="1">IFERROR(__xludf.DUMMYFUNCTION("""COMPUTED_VALUE"""),"Baltimore")</f>
        <v>Baltimore</v>
      </c>
      <c r="Q1396" s="5" t="str">
        <f ca="1">IFERROR(__xludf.DUMMYFUNCTION("""COMPUTED_VALUE"""),"MD")</f>
        <v>MD</v>
      </c>
      <c r="R1396" s="5" t="str">
        <f ca="1">IFERROR(__xludf.DUMMYFUNCTION("""COMPUTED_VALUE"""),"Elementary")</f>
        <v>Elementary</v>
      </c>
      <c r="S1396" s="5" t="str">
        <f ca="1">IFERROR(__xludf.DUMMYFUNCTION("""COMPUTED_VALUE"""),"Classroom")</f>
        <v>Classroom</v>
      </c>
      <c r="T1396" s="5" t="str">
        <f ca="1">IFERROR(__xludf.DUMMYFUNCTION("""COMPUTED_VALUE"""),"Inside School Building")</f>
        <v>Inside School Building</v>
      </c>
      <c r="U1396" s="5" t="str">
        <f ca="1">IFERROR(__xludf.DUMMYFUNCTION("""COMPUTED_VALUE"""),"Yes")</f>
        <v>Yes</v>
      </c>
      <c r="V1396" s="5" t="str">
        <f ca="1">IFERROR(__xludf.DUMMYFUNCTION("""COMPUTED_VALUE"""),"Afternoon Classes")</f>
        <v>Afternoon Classes</v>
      </c>
      <c r="W1396" s="5"/>
      <c r="X1396" s="5">
        <f ca="1">IFERROR(__xludf.DUMMYFUNCTION("""COMPUTED_VALUE"""),1)</f>
        <v>1</v>
      </c>
      <c r="Y1396" s="5" t="str">
        <f ca="1">IFERROR(__xludf.DUMMYFUNCTION("""COMPUTED_VALUE"""),"Student accidentally fired gun inside of desk")</f>
        <v>Student accidentally fired gun inside of desk</v>
      </c>
      <c r="Z1396" s="5" t="str">
        <f ca="1">IFERROR(__xludf.DUMMYFUNCTION("""COMPUTED_VALUE"""),"8YOM student brough .22 revolver to school. While the gun was inside the desk, another student student grabbed it and accidentally pulled the trigger. School officials took possession of the weapon and detained the students. No lockdown.")</f>
        <v>8YOM student brough .22 revolver to school. While the gun was inside the desk, another student student grabbed it and accidentally pulled the trigger. School officials took possession of the weapon and detained the students. No lockdown.</v>
      </c>
      <c r="AA1396" s="5" t="str">
        <f ca="1">IFERROR(__xludf.DUMMYFUNCTION("""COMPUTED_VALUE"""),"Accidental")</f>
        <v>Accidental</v>
      </c>
      <c r="AB1396" s="5" t="str">
        <f ca="1">IFERROR(__xludf.DUMMYFUNCTION("""COMPUTED_VALUE"""),"Neither")</f>
        <v>Neither</v>
      </c>
      <c r="AC1396" s="5" t="str">
        <f ca="1">IFERROR(__xludf.DUMMYFUNCTION("""COMPUTED_VALUE"""),"Yes")</f>
        <v>Yes</v>
      </c>
      <c r="AD1396" s="5" t="str">
        <f ca="1">IFERROR(__xludf.DUMMYFUNCTION("""COMPUTED_VALUE"""),"No")</f>
        <v>No</v>
      </c>
      <c r="AE1396" s="5" t="str">
        <f ca="1">IFERROR(__xludf.DUMMYFUNCTION("""COMPUTED_VALUE"""),"No")</f>
        <v>No</v>
      </c>
      <c r="AF1396" s="5" t="str">
        <f ca="1">IFERROR(__xludf.DUMMYFUNCTION("""COMPUTED_VALUE"""),"No")</f>
        <v>No</v>
      </c>
      <c r="AG1396" s="5" t="str">
        <f ca="1">IFERROR(__xludf.DUMMYFUNCTION("""COMPUTED_VALUE"""),"No")</f>
        <v>No</v>
      </c>
      <c r="AH1396" s="5" t="str">
        <f ca="1">IFERROR(__xludf.DUMMYFUNCTION("""COMPUTED_VALUE"""),"No")</f>
        <v>No</v>
      </c>
      <c r="AI1396" s="5" t="str">
        <f ca="1">IFERROR(__xludf.DUMMYFUNCTION("""COMPUTED_VALUE"""),"No")</f>
        <v>No</v>
      </c>
      <c r="AJ1396" s="5"/>
    </row>
    <row r="1397" spans="1:36" ht="13">
      <c r="A1397" s="5" t="str">
        <f ca="1">IFERROR(__xludf.DUMMYFUNCTION("""COMPUTED_VALUE"""),"20061010NYPOP")</f>
        <v>20061010NYPOP</v>
      </c>
      <c r="B1397" s="5">
        <f ca="1">IFERROR(__xludf.DUMMYFUNCTION("""COMPUTED_VALUE"""),10)</f>
        <v>10</v>
      </c>
      <c r="C1397" s="5">
        <f ca="1">IFERROR(__xludf.DUMMYFUNCTION("""COMPUTED_VALUE"""),10)</f>
        <v>10</v>
      </c>
      <c r="D1397" s="5">
        <f ca="1">IFERROR(__xludf.DUMMYFUNCTION("""COMPUTED_VALUE"""),2006)</f>
        <v>2006</v>
      </c>
      <c r="E1397" s="8">
        <f ca="1">IFERROR(__xludf.DUMMYFUNCTION("""COMPUTED_VALUE"""),39000)</f>
        <v>39000</v>
      </c>
      <c r="F1397" s="5" t="str">
        <f ca="1">IFERROR(__xludf.DUMMYFUNCTION("""COMPUTED_VALUE"""),"Ponoma Middle School")</f>
        <v>Ponoma Middle School</v>
      </c>
      <c r="G1397" s="5">
        <f ca="1">IFERROR(__xludf.DUMMYFUNCTION("""COMPUTED_VALUE"""),0)</f>
        <v>0</v>
      </c>
      <c r="H1397" s="5">
        <f ca="1">IFERROR(__xludf.DUMMYFUNCTION("""COMPUTED_VALUE"""),2)</f>
        <v>2</v>
      </c>
      <c r="I1397" s="5">
        <f ca="1">IFERROR(__xludf.DUMMYFUNCTION("""COMPUTED_VALUE"""),2)</f>
        <v>2</v>
      </c>
      <c r="J1397" s="5">
        <f ca="1">IFERROR(__xludf.DUMMYFUNCTION("""COMPUTED_VALUE"""),0)</f>
        <v>0</v>
      </c>
      <c r="K1397" s="9" t="str">
        <f ca="1">IFERROR(__xludf.DUMMYFUNCTION("""COMPUTED_VALUE"""),"https://www.newspapers.com/image/166180631/?terms=POMONA%2BMIDDLE%2BSCHOOL")</f>
        <v>https://www.newspapers.com/image/166180631/?terms=POMONA%2BMIDDLE%2BSCHOOL</v>
      </c>
      <c r="L1397" s="5"/>
      <c r="M1397" s="5"/>
      <c r="N1397" s="5">
        <f ca="1">IFERROR(__xludf.DUMMYFUNCTION("""COMPUTED_VALUE"""),2)</f>
        <v>2</v>
      </c>
      <c r="O1397" s="5" t="str">
        <f ca="1">IFERROR(__xludf.DUMMYFUNCTION("""COMPUTED_VALUE"""),"Fall")</f>
        <v>Fall</v>
      </c>
      <c r="P1397" s="5" t="str">
        <f ca="1">IFERROR(__xludf.DUMMYFUNCTION("""COMPUTED_VALUE"""),"Pomona")</f>
        <v>Pomona</v>
      </c>
      <c r="Q1397" s="5" t="str">
        <f ca="1">IFERROR(__xludf.DUMMYFUNCTION("""COMPUTED_VALUE"""),"NY")</f>
        <v>NY</v>
      </c>
      <c r="R1397" s="5" t="str">
        <f ca="1">IFERROR(__xludf.DUMMYFUNCTION("""COMPUTED_VALUE"""),"Middle")</f>
        <v>Middle</v>
      </c>
      <c r="S1397" s="5" t="str">
        <f ca="1">IFERROR(__xludf.DUMMYFUNCTION("""COMPUTED_VALUE"""),"School Bus")</f>
        <v>School Bus</v>
      </c>
      <c r="T1397" s="5" t="str">
        <f ca="1">IFERROR(__xludf.DUMMYFUNCTION("""COMPUTED_VALUE"""),"School Bus")</f>
        <v>School Bus</v>
      </c>
      <c r="U1397" s="5" t="str">
        <f ca="1">IFERROR(__xludf.DUMMYFUNCTION("""COMPUTED_VALUE"""),"Yes")</f>
        <v>Yes</v>
      </c>
      <c r="V1397" s="5" t="str">
        <f ca="1">IFERROR(__xludf.DUMMYFUNCTION("""COMPUTED_VALUE"""),"After School")</f>
        <v>After School</v>
      </c>
      <c r="W1397" s="10">
        <f ca="1">IFERROR(__xludf.DUMMYFUNCTION("""COMPUTED_VALUE"""),0.666666666666666)</f>
        <v>0.66666666666666596</v>
      </c>
      <c r="X1397" s="5">
        <f ca="1">IFERROR(__xludf.DUMMYFUNCTION("""COMPUTED_VALUE"""),1)</f>
        <v>1</v>
      </c>
      <c r="Y1397" s="5" t="str">
        <f ca="1">IFERROR(__xludf.DUMMYFUNCTION("""COMPUTED_VALUE"""),"Student shot multiple students with BB gun on bus")</f>
        <v>Student shot multiple students with BB gun on bus</v>
      </c>
      <c r="Z1397" s="5" t="str">
        <f ca="1">IFERROR(__xludf.DUMMYFUNCTION("""COMPUTED_VALUE"""),"On the bus ride home from school, a student with a BB gun opened fire on his classmates. A 12 year-old boy was struck just under his right eye and another 12 year-old boy was shot in the back of the head.")</f>
        <v>On the bus ride home from school, a student with a BB gun opened fire on his classmates. A 12 year-old boy was struck just under his right eye and another 12 year-old boy was shot in the back of the head.</v>
      </c>
      <c r="AA1397" s="5" t="str">
        <f ca="1">IFERROR(__xludf.DUMMYFUNCTION("""COMPUTED_VALUE"""),"Unknown")</f>
        <v>Unknown</v>
      </c>
      <c r="AB1397" s="5"/>
      <c r="AC1397" s="5" t="str">
        <f ca="1">IFERROR(__xludf.DUMMYFUNCTION("""COMPUTED_VALUE"""),"No")</f>
        <v>No</v>
      </c>
      <c r="AD1397" s="5" t="str">
        <f ca="1">IFERROR(__xludf.DUMMYFUNCTION("""COMPUTED_VALUE"""),"No")</f>
        <v>No</v>
      </c>
      <c r="AE1397" s="5" t="str">
        <f ca="1">IFERROR(__xludf.DUMMYFUNCTION("""COMPUTED_VALUE"""),"No")</f>
        <v>No</v>
      </c>
      <c r="AF1397" s="5" t="str">
        <f ca="1">IFERROR(__xludf.DUMMYFUNCTION("""COMPUTED_VALUE"""),"No")</f>
        <v>No</v>
      </c>
      <c r="AG1397" s="5"/>
      <c r="AH1397" s="5" t="str">
        <f ca="1">IFERROR(__xludf.DUMMYFUNCTION("""COMPUTED_VALUE"""),"No")</f>
        <v>No</v>
      </c>
      <c r="AI1397" s="5" t="str">
        <f ca="1">IFERROR(__xludf.DUMMYFUNCTION("""COMPUTED_VALUE"""),"No")</f>
        <v>No</v>
      </c>
      <c r="AJ1397" s="5"/>
    </row>
    <row r="1398" spans="1:36" ht="13">
      <c r="A1398" s="5" t="str">
        <f ca="1">IFERROR(__xludf.DUMMYFUNCTION("""COMPUTED_VALUE"""),"20061009MOMEJ")</f>
        <v>20061009MOMEJ</v>
      </c>
      <c r="B1398" s="5">
        <f ca="1">IFERROR(__xludf.DUMMYFUNCTION("""COMPUTED_VALUE"""),10)</f>
        <v>10</v>
      </c>
      <c r="C1398" s="5">
        <f ca="1">IFERROR(__xludf.DUMMYFUNCTION("""COMPUTED_VALUE"""),9)</f>
        <v>9</v>
      </c>
      <c r="D1398" s="5">
        <f ca="1">IFERROR(__xludf.DUMMYFUNCTION("""COMPUTED_VALUE"""),2006)</f>
        <v>2006</v>
      </c>
      <c r="E1398" s="8">
        <f ca="1">IFERROR(__xludf.DUMMYFUNCTION("""COMPUTED_VALUE"""),38999)</f>
        <v>38999</v>
      </c>
      <c r="F1398" s="5" t="str">
        <f ca="1">IFERROR(__xludf.DUMMYFUNCTION("""COMPUTED_VALUE"""),"Memorial Middle School")</f>
        <v>Memorial Middle School</v>
      </c>
      <c r="G1398" s="5">
        <f ca="1">IFERROR(__xludf.DUMMYFUNCTION("""COMPUTED_VALUE"""),0)</f>
        <v>0</v>
      </c>
      <c r="H1398" s="5">
        <f ca="1">IFERROR(__xludf.DUMMYFUNCTION("""COMPUTED_VALUE"""),0)</f>
        <v>0</v>
      </c>
      <c r="I1398" s="5">
        <f ca="1">IFERROR(__xludf.DUMMYFUNCTION("""COMPUTED_VALUE"""),0)</f>
        <v>0</v>
      </c>
      <c r="J1398" s="5">
        <f ca="1">IFERROR(__xludf.DUMMYFUNCTION("""COMPUTED_VALUE"""),0)</f>
        <v>0</v>
      </c>
      <c r="K1398" s="5" t="str">
        <f ca="1">IFERROR(__xludf.DUMMYFUNCTION("""COMPUTED_VALUE"""),"http://www.joplinglobe.com/news/local_news/middle-school-shooting-suspect-claimed-he-wasn-t-targeting-anyone/article_b57ed30e-b84b-5b68-9674-f94e124853d9.html https://www.fbi.gov/file-repository/active-shooter-incidents-2000-2017.pdf")</f>
        <v>http://www.joplinglobe.com/news/local_news/middle-school-shooting-suspect-claimed-he-wasn-t-targeting-anyone/article_b57ed30e-b84b-5b68-9674-f94e124853d9.html https://www.fbi.gov/file-repository/active-shooter-incidents-2000-2017.pdf</v>
      </c>
      <c r="L1398" s="5"/>
      <c r="M1398" s="5"/>
      <c r="N1398" s="5">
        <f ca="1">IFERROR(__xludf.DUMMYFUNCTION("""COMPUTED_VALUE"""),5)</f>
        <v>5</v>
      </c>
      <c r="O1398" s="5" t="str">
        <f ca="1">IFERROR(__xludf.DUMMYFUNCTION("""COMPUTED_VALUE"""),"Fall")</f>
        <v>Fall</v>
      </c>
      <c r="P1398" s="5" t="str">
        <f ca="1">IFERROR(__xludf.DUMMYFUNCTION("""COMPUTED_VALUE"""),"Joplin")</f>
        <v>Joplin</v>
      </c>
      <c r="Q1398" s="5" t="str">
        <f ca="1">IFERROR(__xludf.DUMMYFUNCTION("""COMPUTED_VALUE"""),"MO")</f>
        <v>MO</v>
      </c>
      <c r="R1398" s="5" t="str">
        <f ca="1">IFERROR(__xludf.DUMMYFUNCTION("""COMPUTED_VALUE"""),"Middle")</f>
        <v>Middle</v>
      </c>
      <c r="S1398" s="5" t="str">
        <f ca="1">IFERROR(__xludf.DUMMYFUNCTION("""COMPUTED_VALUE"""),"Hallway")</f>
        <v>Hallway</v>
      </c>
      <c r="T1398" s="5" t="str">
        <f ca="1">IFERROR(__xludf.DUMMYFUNCTION("""COMPUTED_VALUE"""),"Inside School Building")</f>
        <v>Inside School Building</v>
      </c>
      <c r="U1398" s="5" t="str">
        <f ca="1">IFERROR(__xludf.DUMMYFUNCTION("""COMPUTED_VALUE"""),"Yes")</f>
        <v>Yes</v>
      </c>
      <c r="V1398" s="5" t="str">
        <f ca="1">IFERROR(__xludf.DUMMYFUNCTION("""COMPUTED_VALUE"""),"Morning Classes")</f>
        <v>Morning Classes</v>
      </c>
      <c r="W1398" s="10">
        <f ca="1">IFERROR(__xludf.DUMMYFUNCTION("""COMPUTED_VALUE"""),0.322916666666666)</f>
        <v>0.32291666666666602</v>
      </c>
      <c r="X1398" s="5">
        <f ca="1">IFERROR(__xludf.DUMMYFUNCTION("""COMPUTED_VALUE"""),1)</f>
        <v>1</v>
      </c>
      <c r="Y1398" s="5" t="str">
        <f ca="1">IFERROR(__xludf.DUMMYFUNCTION("""COMPUTED_VALUE"""),"Poor grades, planned attack, surrendered when confronted.")</f>
        <v>Poor grades, planned attack, surrendered when confronted.</v>
      </c>
      <c r="Z1398" s="5" t="str">
        <f ca="1">IFERROR(__xludf.DUMMYFUNCTION("""COMPUTED_VALUE"""),"Shooter dressed in camo fired single shot from assault rifle into the ceiling of the school hallway. Principal confronted the student, talked him down, and escorted him out of the school. Shooter told police he wanted to scare people and ""all of the teac"&amp;"hers"" were the targets. Shooter had been getting in trouble at home for having poor grades. Shooter had detailed maps and drawing of his plan at the school. Said there was a bomb but no device was found.")</f>
        <v>Shooter dressed in camo fired single shot from assault rifle into the ceiling of the school hallway. Principal confronted the student, talked him down, and escorted him out of the school. Shooter told police he wanted to scare people and "all of the teachers" were the targets. Shooter had been getting in trouble at home for having poor grades. Shooter had detailed maps and drawing of his plan at the school. Said there was a bomb but no device was found.</v>
      </c>
      <c r="AA1398" s="5" t="str">
        <f ca="1">IFERROR(__xludf.DUMMYFUNCTION("""COMPUTED_VALUE"""),"Anger Over Grade/Suspension/Discipline")</f>
        <v>Anger Over Grade/Suspension/Discipline</v>
      </c>
      <c r="AB1398" s="5" t="str">
        <f ca="1">IFERROR(__xludf.DUMMYFUNCTION("""COMPUTED_VALUE"""),"Neither")</f>
        <v>Neither</v>
      </c>
      <c r="AC1398" s="5" t="str">
        <f ca="1">IFERROR(__xludf.DUMMYFUNCTION("""COMPUTED_VALUE"""),"No")</f>
        <v>No</v>
      </c>
      <c r="AD1398" s="5" t="str">
        <f ca="1">IFERROR(__xludf.DUMMYFUNCTION("""COMPUTED_VALUE"""),"No")</f>
        <v>No</v>
      </c>
      <c r="AE1398" s="5" t="str">
        <f ca="1">IFERROR(__xludf.DUMMYFUNCTION("""COMPUTED_VALUE"""),"No")</f>
        <v>No</v>
      </c>
      <c r="AF1398" s="5" t="str">
        <f ca="1">IFERROR(__xludf.DUMMYFUNCTION("""COMPUTED_VALUE"""),"No")</f>
        <v>No</v>
      </c>
      <c r="AG1398" s="5" t="str">
        <f ca="1">IFERROR(__xludf.DUMMYFUNCTION("""COMPUTED_VALUE"""),"No")</f>
        <v>No</v>
      </c>
      <c r="AH1398" s="5" t="str">
        <f ca="1">IFERROR(__xludf.DUMMYFUNCTION("""COMPUTED_VALUE"""),"No")</f>
        <v>No</v>
      </c>
      <c r="AI1398" s="5" t="str">
        <f ca="1">IFERROR(__xludf.DUMMYFUNCTION("""COMPUTED_VALUE"""),"No")</f>
        <v>No</v>
      </c>
      <c r="AJ1398" s="5" t="str">
        <f ca="1">IFERROR(__xludf.DUMMYFUNCTION("""COMPUTED_VALUE"""),"Yes")</f>
        <v>Yes</v>
      </c>
    </row>
    <row r="1399" spans="1:36" ht="13">
      <c r="A1399" s="5" t="str">
        <f ca="1">IFERROR(__xludf.DUMMYFUNCTION("""COMPUTED_VALUE"""),"20061002PAWEN")</f>
        <v>20061002PAWEN</v>
      </c>
      <c r="B1399" s="5">
        <f ca="1">IFERROR(__xludf.DUMMYFUNCTION("""COMPUTED_VALUE"""),10)</f>
        <v>10</v>
      </c>
      <c r="C1399" s="5">
        <f ca="1">IFERROR(__xludf.DUMMYFUNCTION("""COMPUTED_VALUE"""),2)</f>
        <v>2</v>
      </c>
      <c r="D1399" s="5">
        <f ca="1">IFERROR(__xludf.DUMMYFUNCTION("""COMPUTED_VALUE"""),2006)</f>
        <v>2006</v>
      </c>
      <c r="E1399" s="8">
        <f ca="1">IFERROR(__xludf.DUMMYFUNCTION("""COMPUTED_VALUE"""),38992)</f>
        <v>38992</v>
      </c>
      <c r="F1399" s="5" t="str">
        <f ca="1">IFERROR(__xludf.DUMMYFUNCTION("""COMPUTED_VALUE"""),"West Nickel Mines School")</f>
        <v>West Nickel Mines School</v>
      </c>
      <c r="G1399" s="5">
        <f ca="1">IFERROR(__xludf.DUMMYFUNCTION("""COMPUTED_VALUE"""),5)</f>
        <v>5</v>
      </c>
      <c r="H1399" s="5">
        <f ca="1">IFERROR(__xludf.DUMMYFUNCTION("""COMPUTED_VALUE"""),5)</f>
        <v>5</v>
      </c>
      <c r="I1399" s="5">
        <f ca="1">IFERROR(__xludf.DUMMYFUNCTION("""COMPUTED_VALUE"""),10)</f>
        <v>10</v>
      </c>
      <c r="J1399" s="5">
        <f ca="1">IFERROR(__xludf.DUMMYFUNCTION("""COMPUTED_VALUE"""),1)</f>
        <v>1</v>
      </c>
      <c r="K1399" s="5" t="str">
        <f ca="1">IFERROR(__xludf.DUMMYFUNCTION("""COMPUTED_VALUE"""),"https://www.nytimes.com/2006/10/03/us/03amish.html https://www.fbi.gov/file-repository/active-shooter-incidents-2000-2017.pdf")</f>
        <v>https://www.nytimes.com/2006/10/03/us/03amish.html https://www.fbi.gov/file-repository/active-shooter-incidents-2000-2017.pdf</v>
      </c>
      <c r="L1399" s="5"/>
      <c r="M1399" s="5"/>
      <c r="N1399" s="5">
        <f ca="1">IFERROR(__xludf.DUMMYFUNCTION("""COMPUTED_VALUE"""),5)</f>
        <v>5</v>
      </c>
      <c r="O1399" s="5" t="str">
        <f ca="1">IFERROR(__xludf.DUMMYFUNCTION("""COMPUTED_VALUE"""),"Fall")</f>
        <v>Fall</v>
      </c>
      <c r="P1399" s="5" t="str">
        <f ca="1">IFERROR(__xludf.DUMMYFUNCTION("""COMPUTED_VALUE"""),"Nickel Mines")</f>
        <v>Nickel Mines</v>
      </c>
      <c r="Q1399" s="5" t="str">
        <f ca="1">IFERROR(__xludf.DUMMYFUNCTION("""COMPUTED_VALUE"""),"PA")</f>
        <v>PA</v>
      </c>
      <c r="R1399" s="5" t="str">
        <f ca="1">IFERROR(__xludf.DUMMYFUNCTION("""COMPUTED_VALUE"""),"K-12")</f>
        <v>K-12</v>
      </c>
      <c r="S1399" s="5" t="str">
        <f ca="1">IFERROR(__xludf.DUMMYFUNCTION("""COMPUTED_VALUE"""),"Classroom")</f>
        <v>Classroom</v>
      </c>
      <c r="T1399" s="5" t="str">
        <f ca="1">IFERROR(__xludf.DUMMYFUNCTION("""COMPUTED_VALUE"""),"Inside School Building")</f>
        <v>Inside School Building</v>
      </c>
      <c r="U1399" s="5" t="str">
        <f ca="1">IFERROR(__xludf.DUMMYFUNCTION("""COMPUTED_VALUE"""),"Yes")</f>
        <v>Yes</v>
      </c>
      <c r="V1399" s="5" t="str">
        <f ca="1">IFERROR(__xludf.DUMMYFUNCTION("""COMPUTED_VALUE"""),"Morning Classes")</f>
        <v>Morning Classes</v>
      </c>
      <c r="W1399" s="10">
        <f ca="1">IFERROR(__xludf.DUMMYFUNCTION("""COMPUTED_VALUE"""),0.463194444444444)</f>
        <v>0.46319444444444402</v>
      </c>
      <c r="X1399" s="5"/>
      <c r="Y1399" s="5" t="str">
        <f ca="1">IFERROR(__xludf.DUMMYFUNCTION("""COMPUTED_VALUE"""),"Shot girls in Amish school due to 20 year grudge")</f>
        <v>Shot girls in Amish school due to 20 year grudge</v>
      </c>
      <c r="Z1399" s="5" t="str">
        <f ca="1">IFERROR(__xludf.DUMMYFUNCTION("""COMPUTED_VALUE"""),"Shooter barricaded himself inside of Amish schoolhouse with the female students. He tied up the female students and shot them one by one before committing suicide. Shooter called wife to tell her that he was doing this because a girl had wronged him 20 ye"&amp;"ars ago. Shooter stockpiled supplies for months before the shooting. Shooter had a wife and 3 children with no prior history of mental health issues or violence. Weapons: ""9mm handgun, shotgun, 30.06 rifle")</f>
        <v>Shooter barricaded himself inside of Amish schoolhouse with the female students. He tied up the female students and shot them one by one before committing suicide. Shooter called wife to tell her that he was doing this because a girl had wronged him 20 years ago. Shooter stockpiled supplies for months before the shooting. Shooter had a wife and 3 children with no prior history of mental health issues or violence. Weapons: "9mm handgun, shotgun, 30.06 rifle</v>
      </c>
      <c r="AA1399" s="5" t="str">
        <f ca="1">IFERROR(__xludf.DUMMYFUNCTION("""COMPUTED_VALUE"""),"Indiscriminate Shooting")</f>
        <v>Indiscriminate Shooting</v>
      </c>
      <c r="AB1399" s="5" t="str">
        <f ca="1">IFERROR(__xludf.DUMMYFUNCTION("""COMPUTED_VALUE"""),"Random Shooting")</f>
        <v>Random Shooting</v>
      </c>
      <c r="AC1399" s="5" t="str">
        <f ca="1">IFERROR(__xludf.DUMMYFUNCTION("""COMPUTED_VALUE"""),"No")</f>
        <v>No</v>
      </c>
      <c r="AD1399" s="5" t="str">
        <f ca="1">IFERROR(__xludf.DUMMYFUNCTION("""COMPUTED_VALUE"""),"No")</f>
        <v>No</v>
      </c>
      <c r="AE1399" s="5" t="str">
        <f ca="1">IFERROR(__xludf.DUMMYFUNCTION("""COMPUTED_VALUE"""),"Yes")</f>
        <v>Yes</v>
      </c>
      <c r="AF1399" s="5" t="str">
        <f ca="1">IFERROR(__xludf.DUMMYFUNCTION("""COMPUTED_VALUE"""),"No")</f>
        <v>No</v>
      </c>
      <c r="AG1399" s="5" t="str">
        <f ca="1">IFERROR(__xludf.DUMMYFUNCTION("""COMPUTED_VALUE"""),"No")</f>
        <v>No</v>
      </c>
      <c r="AH1399" s="5" t="str">
        <f ca="1">IFERROR(__xludf.DUMMYFUNCTION("""COMPUTED_VALUE"""),"Yes")</f>
        <v>Yes</v>
      </c>
      <c r="AI1399" s="5" t="str">
        <f ca="1">IFERROR(__xludf.DUMMYFUNCTION("""COMPUTED_VALUE"""),"No")</f>
        <v>No</v>
      </c>
      <c r="AJ1399" s="5" t="str">
        <f ca="1">IFERROR(__xludf.DUMMYFUNCTION("""COMPUTED_VALUE"""),"Yes")</f>
        <v>Yes</v>
      </c>
    </row>
    <row r="1400" spans="1:36" ht="13">
      <c r="A1400" s="5" t="str">
        <f ca="1">IFERROR(__xludf.DUMMYFUNCTION("""COMPUTED_VALUE"""),"20060929WIWEC")</f>
        <v>20060929WIWEC</v>
      </c>
      <c r="B1400" s="5">
        <f ca="1">IFERROR(__xludf.DUMMYFUNCTION("""COMPUTED_VALUE"""),9)</f>
        <v>9</v>
      </c>
      <c r="C1400" s="5">
        <f ca="1">IFERROR(__xludf.DUMMYFUNCTION("""COMPUTED_VALUE"""),29)</f>
        <v>29</v>
      </c>
      <c r="D1400" s="5">
        <f ca="1">IFERROR(__xludf.DUMMYFUNCTION("""COMPUTED_VALUE"""),2006)</f>
        <v>2006</v>
      </c>
      <c r="E1400" s="8">
        <f ca="1">IFERROR(__xludf.DUMMYFUNCTION("""COMPUTED_VALUE"""),38989)</f>
        <v>38989</v>
      </c>
      <c r="F1400" s="5" t="str">
        <f ca="1">IFERROR(__xludf.DUMMYFUNCTION("""COMPUTED_VALUE"""),"Weston High School")</f>
        <v>Weston High School</v>
      </c>
      <c r="G1400" s="5">
        <f ca="1">IFERROR(__xludf.DUMMYFUNCTION("""COMPUTED_VALUE"""),1)</f>
        <v>1</v>
      </c>
      <c r="H1400" s="5">
        <f ca="1">IFERROR(__xludf.DUMMYFUNCTION("""COMPUTED_VALUE"""),0)</f>
        <v>0</v>
      </c>
      <c r="I1400" s="5">
        <f ca="1">IFERROR(__xludf.DUMMYFUNCTION("""COMPUTED_VALUE"""),1)</f>
        <v>1</v>
      </c>
      <c r="J1400" s="5">
        <f ca="1">IFERROR(__xludf.DUMMYFUNCTION("""COMPUTED_VALUE"""),0)</f>
        <v>0</v>
      </c>
      <c r="K1400" s="5" t="str">
        <f ca="1">IFERROR(__xludf.DUMMYFUNCTION("""COMPUTED_VALUE"""),"http://lacrossetribune.com/news/boy-guns-down-weston-high-school-principal/article_3e54519d-96c5-5f56-a5a7-2f8f3a737dbf.html https://www.fbi.gov/file-repository/active-shooter-incidents-2000-2017.pdf https://madison.com/wsj/news/local/crime-and-courts/i-m"&amp;"-here-to-kill-somebody-student-said-before-killing/article_f099af02-d5b6-53e0-9fab-f85bcf9f176b.html")</f>
        <v>http://lacrossetribune.com/news/boy-guns-down-weston-high-school-principal/article_3e54519d-96c5-5f56-a5a7-2f8f3a737dbf.html https://www.fbi.gov/file-repository/active-shooter-incidents-2000-2017.pdf https://madison.com/wsj/news/local/crime-and-courts/i-m-here-to-kill-somebody-student-said-before-killing/article_f099af02-d5b6-53e0-9fab-f85bcf9f176b.html</v>
      </c>
      <c r="L1400" s="5"/>
      <c r="M1400" s="5"/>
      <c r="N1400" s="5">
        <f ca="1">IFERROR(__xludf.DUMMYFUNCTION("""COMPUTED_VALUE"""),5)</f>
        <v>5</v>
      </c>
      <c r="O1400" s="5" t="str">
        <f ca="1">IFERROR(__xludf.DUMMYFUNCTION("""COMPUTED_VALUE"""),"Fall")</f>
        <v>Fall</v>
      </c>
      <c r="P1400" s="5" t="str">
        <f ca="1">IFERROR(__xludf.DUMMYFUNCTION("""COMPUTED_VALUE"""),"Cazenovia")</f>
        <v>Cazenovia</v>
      </c>
      <c r="Q1400" s="5" t="str">
        <f ca="1">IFERROR(__xludf.DUMMYFUNCTION("""COMPUTED_VALUE"""),"WI")</f>
        <v>WI</v>
      </c>
      <c r="R1400" s="5" t="str">
        <f ca="1">IFERROR(__xludf.DUMMYFUNCTION("""COMPUTED_VALUE"""),"High")</f>
        <v>High</v>
      </c>
      <c r="S1400" s="5" t="str">
        <f ca="1">IFERROR(__xludf.DUMMYFUNCTION("""COMPUTED_VALUE"""),"Entryway")</f>
        <v>Entryway</v>
      </c>
      <c r="T1400" s="5" t="str">
        <f ca="1">IFERROR(__xludf.DUMMYFUNCTION("""COMPUTED_VALUE"""),"Inside School Building")</f>
        <v>Inside School Building</v>
      </c>
      <c r="U1400" s="5" t="str">
        <f ca="1">IFERROR(__xludf.DUMMYFUNCTION("""COMPUTED_VALUE"""),"Yes")</f>
        <v>Yes</v>
      </c>
      <c r="V1400" s="5" t="str">
        <f ca="1">IFERROR(__xludf.DUMMYFUNCTION("""COMPUTED_VALUE"""),"Morning Classes")</f>
        <v>Morning Classes</v>
      </c>
      <c r="W1400" s="10">
        <f ca="1">IFERROR(__xludf.DUMMYFUNCTION("""COMPUTED_VALUE"""),0.340277777777777)</f>
        <v>0.34027777777777701</v>
      </c>
      <c r="X1400" s="5">
        <f ca="1">IFERROR(__xludf.DUMMYFUNCTION("""COMPUTED_VALUE"""),1)</f>
        <v>1</v>
      </c>
      <c r="Y1400" s="5" t="str">
        <f ca="1">IFERROR(__xludf.DUMMYFUNCTION("""COMPUTED_VALUE"""),"Planned attack, disarmed by janitor then fired pistol at principal before being subdued")</f>
        <v>Planned attack, disarmed by janitor then fired pistol at principal before being subdued</v>
      </c>
      <c r="Z1400" s="5" t="str">
        <f ca="1">IFERROR(__xludf.DUMMYFUNCTION("""COMPUTED_VALUE"""),"Shooter entered school with shotgun and was immediately confronted by principal and janitor who wrestled away the shotgun. While the janitor went to call 911, the shooter was able to pull out a handgun and fire multiple shots at the principal before being"&amp;" subdued by other teachers. Reportedly abused by father and bullied by 25-30 students. History of mental illness and medications. Weapons: long-barrel shotgun, .22-caliber handgun")</f>
        <v>Shooter entered school with shotgun and was immediately confronted by principal and janitor who wrestled away the shotgun. While the janitor went to call 911, the shooter was able to pull out a handgun and fire multiple shots at the principal before being subdued by other teachers. Reportedly abused by father and bullied by 25-30 students. History of mental illness and medications. Weapons: long-barrel shotgun, .22-caliber handgun</v>
      </c>
      <c r="AA1400" s="5" t="str">
        <f ca="1">IFERROR(__xludf.DUMMYFUNCTION("""COMPUTED_VALUE"""),"Indiscriminate Shooting")</f>
        <v>Indiscriminate Shooting</v>
      </c>
      <c r="AB1400" s="5" t="str">
        <f ca="1">IFERROR(__xludf.DUMMYFUNCTION("""COMPUTED_VALUE"""),"Random Shooting")</f>
        <v>Random Shooting</v>
      </c>
      <c r="AC1400" s="5" t="str">
        <f ca="1">IFERROR(__xludf.DUMMYFUNCTION("""COMPUTED_VALUE"""),"No")</f>
        <v>No</v>
      </c>
      <c r="AD1400" s="5" t="str">
        <f ca="1">IFERROR(__xludf.DUMMYFUNCTION("""COMPUTED_VALUE"""),"No")</f>
        <v>No</v>
      </c>
      <c r="AE1400" s="5" t="str">
        <f ca="1">IFERROR(__xludf.DUMMYFUNCTION("""COMPUTED_VALUE"""),"No")</f>
        <v>No</v>
      </c>
      <c r="AF1400" s="5" t="str">
        <f ca="1">IFERROR(__xludf.DUMMYFUNCTION("""COMPUTED_VALUE"""),"No")</f>
        <v>No</v>
      </c>
      <c r="AG1400" s="5" t="str">
        <f ca="1">IFERROR(__xludf.DUMMYFUNCTION("""COMPUTED_VALUE"""),"Yes")</f>
        <v>Yes</v>
      </c>
      <c r="AH1400" s="5" t="str">
        <f ca="1">IFERROR(__xludf.DUMMYFUNCTION("""COMPUTED_VALUE"""),"No")</f>
        <v>No</v>
      </c>
      <c r="AI1400" s="5" t="str">
        <f ca="1">IFERROR(__xludf.DUMMYFUNCTION("""COMPUTED_VALUE"""),"No")</f>
        <v>No</v>
      </c>
      <c r="AJ1400" s="5" t="str">
        <f ca="1">IFERROR(__xludf.DUMMYFUNCTION("""COMPUTED_VALUE"""),"Yes")</f>
        <v>Yes</v>
      </c>
    </row>
    <row r="1401" spans="1:36" ht="13">
      <c r="A1401" s="5" t="str">
        <f ca="1">IFERROR(__xludf.DUMMYFUNCTION("""COMPUTED_VALUE"""),"20060927COPLB")</f>
        <v>20060927COPLB</v>
      </c>
      <c r="B1401" s="5">
        <f ca="1">IFERROR(__xludf.DUMMYFUNCTION("""COMPUTED_VALUE"""),9)</f>
        <v>9</v>
      </c>
      <c r="C1401" s="5">
        <f ca="1">IFERROR(__xludf.DUMMYFUNCTION("""COMPUTED_VALUE"""),27)</f>
        <v>27</v>
      </c>
      <c r="D1401" s="5">
        <f ca="1">IFERROR(__xludf.DUMMYFUNCTION("""COMPUTED_VALUE"""),2006)</f>
        <v>2006</v>
      </c>
      <c r="E1401" s="8">
        <f ca="1">IFERROR(__xludf.DUMMYFUNCTION("""COMPUTED_VALUE"""),38987)</f>
        <v>38987</v>
      </c>
      <c r="F1401" s="5" t="str">
        <f ca="1">IFERROR(__xludf.DUMMYFUNCTION("""COMPUTED_VALUE"""),"Platte Canyon High School")</f>
        <v>Platte Canyon High School</v>
      </c>
      <c r="G1401" s="5">
        <f ca="1">IFERROR(__xludf.DUMMYFUNCTION("""COMPUTED_VALUE"""),1)</f>
        <v>1</v>
      </c>
      <c r="H1401" s="5">
        <f ca="1">IFERROR(__xludf.DUMMYFUNCTION("""COMPUTED_VALUE"""),0)</f>
        <v>0</v>
      </c>
      <c r="I1401" s="5">
        <f ca="1">IFERROR(__xludf.DUMMYFUNCTION("""COMPUTED_VALUE"""),1)</f>
        <v>1</v>
      </c>
      <c r="J1401" s="5">
        <f ca="1">IFERROR(__xludf.DUMMYFUNCTION("""COMPUTED_VALUE"""),1)</f>
        <v>1</v>
      </c>
      <c r="K1401" s="5" t="str">
        <f ca="1">IFERROR(__xludf.DUMMYFUNCTION("""COMPUTED_VALUE"""),"https://www.denverpost.com/2021/03/24/colorado-mass-shootings-incidents-list/ https://www.cbsnews.com/news/cops-school-shooting-was-horrific/  http://www.cnn.com/2006/US/09/28/school.shooting/index.html")</f>
        <v>https://www.denverpost.com/2021/03/24/colorado-mass-shootings-incidents-list/ https://www.cbsnews.com/news/cops-school-shooting-was-horrific/  http://www.cnn.com/2006/US/09/28/school.shooting/index.html</v>
      </c>
      <c r="L1401" s="5"/>
      <c r="M1401" s="5" t="str">
        <f ca="1">IFERROR(__xludf.DUMMYFUNCTION("""COMPUTED_VALUE"""),"National")</f>
        <v>National</v>
      </c>
      <c r="N1401" s="5">
        <f ca="1">IFERROR(__xludf.DUMMYFUNCTION("""COMPUTED_VALUE"""),4)</f>
        <v>4</v>
      </c>
      <c r="O1401" s="5" t="str">
        <f ca="1">IFERROR(__xludf.DUMMYFUNCTION("""COMPUTED_VALUE"""),"Fall")</f>
        <v>Fall</v>
      </c>
      <c r="P1401" s="5" t="str">
        <f ca="1">IFERROR(__xludf.DUMMYFUNCTION("""COMPUTED_VALUE"""),"Bailey")</f>
        <v>Bailey</v>
      </c>
      <c r="Q1401" s="5" t="str">
        <f ca="1">IFERROR(__xludf.DUMMYFUNCTION("""COMPUTED_VALUE"""),"CO")</f>
        <v>CO</v>
      </c>
      <c r="R1401" s="5" t="str">
        <f ca="1">IFERROR(__xludf.DUMMYFUNCTION("""COMPUTED_VALUE"""),"High")</f>
        <v>High</v>
      </c>
      <c r="S1401" s="5" t="str">
        <f ca="1">IFERROR(__xludf.DUMMYFUNCTION("""COMPUTED_VALUE"""),"Classroom")</f>
        <v>Classroom</v>
      </c>
      <c r="T1401" s="5" t="str">
        <f ca="1">IFERROR(__xludf.DUMMYFUNCTION("""COMPUTED_VALUE"""),"Inside School Building")</f>
        <v>Inside School Building</v>
      </c>
      <c r="U1401" s="5" t="str">
        <f ca="1">IFERROR(__xludf.DUMMYFUNCTION("""COMPUTED_VALUE"""),"Yes")</f>
        <v>Yes</v>
      </c>
      <c r="V1401" s="5" t="str">
        <f ca="1">IFERROR(__xludf.DUMMYFUNCTION("""COMPUTED_VALUE"""),"Morning Classes")</f>
        <v>Morning Classes</v>
      </c>
      <c r="W1401" s="10">
        <f ca="1">IFERROR(__xludf.DUMMYFUNCTION("""COMPUTED_VALUE"""),0.486111111111111)</f>
        <v>0.48611111111111099</v>
      </c>
      <c r="X1401" s="5">
        <f ca="1">IFERROR(__xludf.DUMMYFUNCTION("""COMPUTED_VALUE"""),260)</f>
        <v>260</v>
      </c>
      <c r="Y1401" s="5" t="str">
        <f ca="1">IFERROR(__xludf.DUMMYFUNCTION("""COMPUTED_VALUE"""),"Took 6 girls hostage in classroom and sexually assaulted them")</f>
        <v>Took 6 girls hostage in classroom and sexually assaulted them</v>
      </c>
      <c r="Z1401" s="5" t="str">
        <f ca="1">IFERROR(__xludf.DUMMYFUNCTION("""COMPUTED_VALUE"""),"Shooter took 6 girl hostage in a school classroom. Sexually assaulted at least one of them. SWAT team used an explosive breach after he stopped communicating with the negotiators. The breaching charge partially failed and while the second charge was being"&amp;" set, the shooter shot one of the victims in the head and then shot himself. Police located 5 firearms that the shooter had staged around the school campus including an AR and bolt action hunting rifle in the treeline. The shooter had a history of petty c"&amp;"rimes and harassment of women. The shooter did not have connections to any of the victims. Shooter had threatened to shoot up a Harley Davidson dealership after they had sent him a promotional mailer. Weapons: Smith &amp; Wesson .40-caliber; Glock 22 handgun;"&amp;" Smith &amp; Wesson .357-caliber revolver")</f>
        <v>Shooter took 6 girl hostage in a school classroom. Sexually assaulted at least one of them. SWAT team used an explosive breach after he stopped communicating with the negotiators. The breaching charge partially failed and while the second charge was being set, the shooter shot one of the victims in the head and then shot himself. Police located 5 firearms that the shooter had staged around the school campus including an AR and bolt action hunting rifle in the treeline. The shooter had a history of petty crimes and harassment of women. The shooter did not have connections to any of the victims. Shooter had threatened to shoot up a Harley Davidson dealership after they had sent him a promotional mailer. Weapons: Smith &amp; Wesson .40-caliber; Glock 22 handgun; Smith &amp; Wesson .357-caliber revolver</v>
      </c>
      <c r="AA1401" s="5" t="str">
        <f ca="1">IFERROR(__xludf.DUMMYFUNCTION("""COMPUTED_VALUE"""),"Hostage/Standoff")</f>
        <v>Hostage/Standoff</v>
      </c>
      <c r="AB1401" s="5" t="str">
        <f ca="1">IFERROR(__xludf.DUMMYFUNCTION("""COMPUTED_VALUE"""),"Victims Targeted")</f>
        <v>Victims Targeted</v>
      </c>
      <c r="AC1401" s="5" t="str">
        <f ca="1">IFERROR(__xludf.DUMMYFUNCTION("""COMPUTED_VALUE"""),"No")</f>
        <v>No</v>
      </c>
      <c r="AD1401" s="5" t="str">
        <f ca="1">IFERROR(__xludf.DUMMYFUNCTION("""COMPUTED_VALUE"""),"Yes")</f>
        <v>Yes</v>
      </c>
      <c r="AE1401" s="5" t="str">
        <f ca="1">IFERROR(__xludf.DUMMYFUNCTION("""COMPUTED_VALUE"""),"Yes")</f>
        <v>Yes</v>
      </c>
      <c r="AF1401" s="5" t="str">
        <f ca="1">IFERROR(__xludf.DUMMYFUNCTION("""COMPUTED_VALUE"""),"No")</f>
        <v>No</v>
      </c>
      <c r="AG1401" s="5" t="str">
        <f ca="1">IFERROR(__xludf.DUMMYFUNCTION("""COMPUTED_VALUE"""),"No")</f>
        <v>No</v>
      </c>
      <c r="AH1401" s="5" t="str">
        <f ca="1">IFERROR(__xludf.DUMMYFUNCTION("""COMPUTED_VALUE"""),"No")</f>
        <v>No</v>
      </c>
      <c r="AI1401" s="5" t="str">
        <f ca="1">IFERROR(__xludf.DUMMYFUNCTION("""COMPUTED_VALUE"""),"No")</f>
        <v>No</v>
      </c>
      <c r="AJ1401" s="5" t="str">
        <f ca="1">IFERROR(__xludf.DUMMYFUNCTION("""COMPUTED_VALUE"""),"Yes")</f>
        <v>Yes</v>
      </c>
    </row>
    <row r="1402" spans="1:36" ht="13">
      <c r="A1402" s="5" t="str">
        <f ca="1">IFERROR(__xludf.DUMMYFUNCTION("""COMPUTED_VALUE"""),"20060921DCCAW")</f>
        <v>20060921DCCAW</v>
      </c>
      <c r="B1402" s="5">
        <f ca="1">IFERROR(__xludf.DUMMYFUNCTION("""COMPUTED_VALUE"""),9)</f>
        <v>9</v>
      </c>
      <c r="C1402" s="5">
        <f ca="1">IFERROR(__xludf.DUMMYFUNCTION("""COMPUTED_VALUE"""),21)</f>
        <v>21</v>
      </c>
      <c r="D1402" s="5">
        <f ca="1">IFERROR(__xludf.DUMMYFUNCTION("""COMPUTED_VALUE"""),2006)</f>
        <v>2006</v>
      </c>
      <c r="E1402" s="8">
        <f ca="1">IFERROR(__xludf.DUMMYFUNCTION("""COMPUTED_VALUE"""),38981)</f>
        <v>38981</v>
      </c>
      <c r="F1402" s="5" t="str">
        <f ca="1">IFERROR(__xludf.DUMMYFUNCTION("""COMPUTED_VALUE"""),"Cardozo High School")</f>
        <v>Cardozo High School</v>
      </c>
      <c r="G1402" s="5">
        <f ca="1">IFERROR(__xludf.DUMMYFUNCTION("""COMPUTED_VALUE"""),0)</f>
        <v>0</v>
      </c>
      <c r="H1402" s="5">
        <f ca="1">IFERROR(__xludf.DUMMYFUNCTION("""COMPUTED_VALUE"""),1)</f>
        <v>1</v>
      </c>
      <c r="I1402" s="5">
        <f ca="1">IFERROR(__xludf.DUMMYFUNCTION("""COMPUTED_VALUE"""),1)</f>
        <v>1</v>
      </c>
      <c r="J1402" s="5">
        <f ca="1">IFERROR(__xludf.DUMMYFUNCTION("""COMPUTED_VALUE"""),0)</f>
        <v>0</v>
      </c>
      <c r="K1402" s="9" t="str">
        <f ca="1">IFERROR(__xludf.DUMMYFUNCTION("""COMPUTED_VALUE"""),"http://www.washingtonpost.com/wp-dyn/content/article/2006/09/23/AR2006092301174.html")</f>
        <v>http://www.washingtonpost.com/wp-dyn/content/article/2006/09/23/AR2006092301174.html</v>
      </c>
      <c r="L1402" s="5"/>
      <c r="M1402" s="5"/>
      <c r="N1402" s="5">
        <f ca="1">IFERROR(__xludf.DUMMYFUNCTION("""COMPUTED_VALUE"""),2)</f>
        <v>2</v>
      </c>
      <c r="O1402" s="5" t="str">
        <f ca="1">IFERROR(__xludf.DUMMYFUNCTION("""COMPUTED_VALUE"""),"Fall")</f>
        <v>Fall</v>
      </c>
      <c r="P1402" s="5" t="str">
        <f ca="1">IFERROR(__xludf.DUMMYFUNCTION("""COMPUTED_VALUE"""),"Washington")</f>
        <v>Washington</v>
      </c>
      <c r="Q1402" s="5" t="str">
        <f ca="1">IFERROR(__xludf.DUMMYFUNCTION("""COMPUTED_VALUE"""),"DC")</f>
        <v>DC</v>
      </c>
      <c r="R1402" s="5" t="str">
        <f ca="1">IFERROR(__xludf.DUMMYFUNCTION("""COMPUTED_VALUE"""),"High")</f>
        <v>High</v>
      </c>
      <c r="S1402" s="5" t="str">
        <f ca="1">IFERROR(__xludf.DUMMYFUNCTION("""COMPUTED_VALUE"""),"Beside Building")</f>
        <v>Beside Building</v>
      </c>
      <c r="T1402" s="5" t="str">
        <f ca="1">IFERROR(__xludf.DUMMYFUNCTION("""COMPUTED_VALUE"""),"Outside on School Property")</f>
        <v>Outside on School Property</v>
      </c>
      <c r="U1402" s="5" t="str">
        <f ca="1">IFERROR(__xludf.DUMMYFUNCTION("""COMPUTED_VALUE"""),"Yes")</f>
        <v>Yes</v>
      </c>
      <c r="V1402" s="5" t="str">
        <f ca="1">IFERROR(__xludf.DUMMYFUNCTION("""COMPUTED_VALUE"""),"Lunch")</f>
        <v>Lunch</v>
      </c>
      <c r="W1402" s="10">
        <f ca="1">IFERROR(__xludf.DUMMYFUNCTION("""COMPUTED_VALUE"""),0.510416666666666)</f>
        <v>0.51041666666666596</v>
      </c>
      <c r="X1402" s="5">
        <f ca="1">IFERROR(__xludf.DUMMYFUNCTION("""COMPUTED_VALUE"""),1)</f>
        <v>1</v>
      </c>
      <c r="Y1402" s="5" t="str">
        <f ca="1">IFERROR(__xludf.DUMMYFUNCTION("""COMPUTED_VALUE"""),"Argument over girl resulted in targeted shooting")</f>
        <v>Argument over girl resulted in targeted shooting</v>
      </c>
      <c r="Z1402" s="5" t="str">
        <f ca="1">IFERROR(__xludf.DUMMYFUNCTION("""COMPUTED_VALUE"""),"17YOM shot 16YOM outside of the school. Shooter and victim had ongoing argument over a girl. Shooter fled the scene and was identified by CCTV footage.")</f>
        <v>17YOM shot 16YOM outside of the school. Shooter and victim had ongoing argument over a girl. Shooter fled the scene and was identified by CCTV footage.</v>
      </c>
      <c r="AA1402" s="5" t="str">
        <f ca="1">IFERROR(__xludf.DUMMYFUNCTION("""COMPUTED_VALUE"""),"Escalation of Dispute")</f>
        <v>Escalation of Dispute</v>
      </c>
      <c r="AB1402" s="5" t="str">
        <f ca="1">IFERROR(__xludf.DUMMYFUNCTION("""COMPUTED_VALUE"""),"Victims Targeted")</f>
        <v>Victims Targeted</v>
      </c>
      <c r="AC1402" s="5" t="str">
        <f ca="1">IFERROR(__xludf.DUMMYFUNCTION("""COMPUTED_VALUE"""),"No")</f>
        <v>No</v>
      </c>
      <c r="AD1402" s="5" t="str">
        <f ca="1">IFERROR(__xludf.DUMMYFUNCTION("""COMPUTED_VALUE"""),"No")</f>
        <v>No</v>
      </c>
      <c r="AE1402" s="5" t="str">
        <f ca="1">IFERROR(__xludf.DUMMYFUNCTION("""COMPUTED_VALUE"""),"No")</f>
        <v>No</v>
      </c>
      <c r="AF1402" s="5" t="str">
        <f ca="1">IFERROR(__xludf.DUMMYFUNCTION("""COMPUTED_VALUE"""),"No")</f>
        <v>No</v>
      </c>
      <c r="AG1402" s="5" t="str">
        <f ca="1">IFERROR(__xludf.DUMMYFUNCTION("""COMPUTED_VALUE"""),"No")</f>
        <v>No</v>
      </c>
      <c r="AH1402" s="5" t="str">
        <f ca="1">IFERROR(__xludf.DUMMYFUNCTION("""COMPUTED_VALUE"""),"No")</f>
        <v>No</v>
      </c>
      <c r="AI1402" s="5" t="str">
        <f ca="1">IFERROR(__xludf.DUMMYFUNCTION("""COMPUTED_VALUE"""),"No")</f>
        <v>No</v>
      </c>
      <c r="AJ1402" s="5"/>
    </row>
    <row r="1403" spans="1:36" ht="13">
      <c r="A1403" s="5" t="str">
        <f ca="1">IFERROR(__xludf.DUMMYFUNCTION("""COMPUTED_VALUE"""),"20060913MOWEC")</f>
        <v>20060913MOWEC</v>
      </c>
      <c r="B1403" s="5">
        <f ca="1">IFERROR(__xludf.DUMMYFUNCTION("""COMPUTED_VALUE"""),9)</f>
        <v>9</v>
      </c>
      <c r="C1403" s="5">
        <f ca="1">IFERROR(__xludf.DUMMYFUNCTION("""COMPUTED_VALUE"""),13)</f>
        <v>13</v>
      </c>
      <c r="D1403" s="5">
        <f ca="1">IFERROR(__xludf.DUMMYFUNCTION("""COMPUTED_VALUE"""),2006)</f>
        <v>2006</v>
      </c>
      <c r="E1403" s="8">
        <f ca="1">IFERROR(__xludf.DUMMYFUNCTION("""COMPUTED_VALUE"""),38973)</f>
        <v>38973</v>
      </c>
      <c r="F1403" s="5" t="str">
        <f ca="1">IFERROR(__xludf.DUMMYFUNCTION("""COMPUTED_VALUE"""),"Westminster Christian Academy")</f>
        <v>Westminster Christian Academy</v>
      </c>
      <c r="G1403" s="5">
        <f ca="1">IFERROR(__xludf.DUMMYFUNCTION("""COMPUTED_VALUE"""),0)</f>
        <v>0</v>
      </c>
      <c r="H1403" s="5">
        <f ca="1">IFERROR(__xludf.DUMMYFUNCTION("""COMPUTED_VALUE"""),0)</f>
        <v>0</v>
      </c>
      <c r="I1403" s="5">
        <f ca="1">IFERROR(__xludf.DUMMYFUNCTION("""COMPUTED_VALUE"""),0)</f>
        <v>0</v>
      </c>
      <c r="J1403" s="5">
        <f ca="1">IFERROR(__xludf.DUMMYFUNCTION("""COMPUTED_VALUE"""),0)</f>
        <v>0</v>
      </c>
      <c r="K1403" s="9" t="str">
        <f ca="1">IFERROR(__xludf.DUMMYFUNCTION("""COMPUTED_VALUE"""),"https://www.newspapers.com/image/151778408/?terms=westminster%2Bchristian%2Bacademy")</f>
        <v>https://www.newspapers.com/image/151778408/?terms=westminster%2Bchristian%2Bacademy</v>
      </c>
      <c r="L1403" s="5"/>
      <c r="M1403" s="5"/>
      <c r="N1403" s="5">
        <f ca="1">IFERROR(__xludf.DUMMYFUNCTION("""COMPUTED_VALUE"""),2)</f>
        <v>2</v>
      </c>
      <c r="O1403" s="5" t="str">
        <f ca="1">IFERROR(__xludf.DUMMYFUNCTION("""COMPUTED_VALUE"""),"Fall")</f>
        <v>Fall</v>
      </c>
      <c r="P1403" s="5" t="str">
        <f ca="1">IFERROR(__xludf.DUMMYFUNCTION("""COMPUTED_VALUE"""),"Creve Coeur")</f>
        <v>Creve Coeur</v>
      </c>
      <c r="Q1403" s="5" t="str">
        <f ca="1">IFERROR(__xludf.DUMMYFUNCTION("""COMPUTED_VALUE"""),"MO")</f>
        <v>MO</v>
      </c>
      <c r="R1403" s="5" t="str">
        <f ca="1">IFERROR(__xludf.DUMMYFUNCTION("""COMPUTED_VALUE"""),"High")</f>
        <v>High</v>
      </c>
      <c r="S1403" s="5" t="str">
        <f ca="1">IFERROR(__xludf.DUMMYFUNCTION("""COMPUTED_VALUE"""),"Beside Building")</f>
        <v>Beside Building</v>
      </c>
      <c r="T1403" s="5" t="str">
        <f ca="1">IFERROR(__xludf.DUMMYFUNCTION("""COMPUTED_VALUE"""),"Outside on School Property")</f>
        <v>Outside on School Property</v>
      </c>
      <c r="U1403" s="5" t="str">
        <f ca="1">IFERROR(__xludf.DUMMYFUNCTION("""COMPUTED_VALUE"""),"No")</f>
        <v>No</v>
      </c>
      <c r="V1403" s="5" t="str">
        <f ca="1">IFERROR(__xludf.DUMMYFUNCTION("""COMPUTED_VALUE"""),"After School")</f>
        <v>After School</v>
      </c>
      <c r="W1403" s="5"/>
      <c r="X1403" s="5"/>
      <c r="Y1403" s="5" t="str">
        <f ca="1">IFERROR(__xludf.DUMMYFUNCTION("""COMPUTED_VALUE"""),"Police Officer fired at student who was suicidal")</f>
        <v>Police Officer fired at student who was suicidal</v>
      </c>
      <c r="Z1403" s="5" t="str">
        <f ca="1">IFERROR(__xludf.DUMMYFUNCTION("""COMPUTED_VALUE"""),"When the police arrived, the senior was sitting on the curb with a rifle to his head. One of the officers began talking with him. During the conversation, he pointed the rifle at the police officers. They told him to drop the rifle. When he refused, one o"&amp;"f the officers shot him in the leg and ended the standoff around 3:45 p.m. Shooter had sent text messages to other students saying he was going to commit suicide.")</f>
        <v>When the police arrived, the senior was sitting on the curb with a rifle to his head. One of the officers began talking with him. During the conversation, he pointed the rifle at the police officers. They told him to drop the rifle. When he refused, one of the officers shot him in the leg and ended the standoff around 3:45 p.m. Shooter had sent text messages to other students saying he was going to commit suicide.</v>
      </c>
      <c r="AA1403" s="5" t="str">
        <f ca="1">IFERROR(__xludf.DUMMYFUNCTION("""COMPUTED_VALUE"""),"Suicide/Attempted")</f>
        <v>Suicide/Attempted</v>
      </c>
      <c r="AB1403" s="5" t="str">
        <f ca="1">IFERROR(__xludf.DUMMYFUNCTION("""COMPUTED_VALUE"""),"Victims Targeted")</f>
        <v>Victims Targeted</v>
      </c>
      <c r="AC1403" s="5" t="str">
        <f ca="1">IFERROR(__xludf.DUMMYFUNCTION("""COMPUTED_VALUE"""),"No")</f>
        <v>No</v>
      </c>
      <c r="AD1403" s="5" t="str">
        <f ca="1">IFERROR(__xludf.DUMMYFUNCTION("""COMPUTED_VALUE"""),"No")</f>
        <v>No</v>
      </c>
      <c r="AE1403" s="5" t="str">
        <f ca="1">IFERROR(__xludf.DUMMYFUNCTION("""COMPUTED_VALUE"""),"No")</f>
        <v>No</v>
      </c>
      <c r="AF1403" s="5" t="str">
        <f ca="1">IFERROR(__xludf.DUMMYFUNCTION("""COMPUTED_VALUE"""),"Yes")</f>
        <v>Yes</v>
      </c>
      <c r="AG1403" s="5"/>
      <c r="AH1403" s="5"/>
      <c r="AI1403" s="5"/>
      <c r="AJ1403" s="5"/>
    </row>
    <row r="1404" spans="1:36" ht="13">
      <c r="A1404" s="5" t="str">
        <f ca="1">IFERROR(__xludf.DUMMYFUNCTION("""COMPUTED_VALUE"""),"20060908TXSOF")</f>
        <v>20060908TXSOF</v>
      </c>
      <c r="B1404" s="5">
        <f ca="1">IFERROR(__xludf.DUMMYFUNCTION("""COMPUTED_VALUE"""),9)</f>
        <v>9</v>
      </c>
      <c r="C1404" s="5">
        <f ca="1">IFERROR(__xludf.DUMMYFUNCTION("""COMPUTED_VALUE"""),8)</f>
        <v>8</v>
      </c>
      <c r="D1404" s="5">
        <f ca="1">IFERROR(__xludf.DUMMYFUNCTION("""COMPUTED_VALUE"""),2006)</f>
        <v>2006</v>
      </c>
      <c r="E1404" s="8">
        <f ca="1">IFERROR(__xludf.DUMMYFUNCTION("""COMPUTED_VALUE"""),38968)</f>
        <v>38968</v>
      </c>
      <c r="F1404" s="5" t="str">
        <f ca="1">IFERROR(__xludf.DUMMYFUNCTION("""COMPUTED_VALUE"""),"South Hills High School")</f>
        <v>South Hills High School</v>
      </c>
      <c r="G1404" s="5">
        <f ca="1">IFERROR(__xludf.DUMMYFUNCTION("""COMPUTED_VALUE"""),0)</f>
        <v>0</v>
      </c>
      <c r="H1404" s="5">
        <f ca="1">IFERROR(__xludf.DUMMYFUNCTION("""COMPUTED_VALUE"""),1)</f>
        <v>1</v>
      </c>
      <c r="I1404" s="5">
        <f ca="1">IFERROR(__xludf.DUMMYFUNCTION("""COMPUTED_VALUE"""),1)</f>
        <v>1</v>
      </c>
      <c r="J1404" s="5">
        <f ca="1">IFERROR(__xludf.DUMMYFUNCTION("""COMPUTED_VALUE"""),0)</f>
        <v>0</v>
      </c>
      <c r="K1404" s="9" t="str">
        <f ca="1">IFERROR(__xludf.DUMMYFUNCTION("""COMPUTED_VALUE"""),"https://www.amazon.com/WIN-Memoir-Shooting-Gabe-Medrano/dp/1432793624")</f>
        <v>https://www.amazon.com/WIN-Memoir-Shooting-Gabe-Medrano/dp/1432793624</v>
      </c>
      <c r="L1404" s="5"/>
      <c r="M1404" s="5"/>
      <c r="N1404" s="5">
        <f ca="1">IFERROR(__xludf.DUMMYFUNCTION("""COMPUTED_VALUE"""),2)</f>
        <v>2</v>
      </c>
      <c r="O1404" s="5" t="str">
        <f ca="1">IFERROR(__xludf.DUMMYFUNCTION("""COMPUTED_VALUE"""),"Fall")</f>
        <v>Fall</v>
      </c>
      <c r="P1404" s="5" t="str">
        <f ca="1">IFERROR(__xludf.DUMMYFUNCTION("""COMPUTED_VALUE"""),"Fort Worth")</f>
        <v>Fort Worth</v>
      </c>
      <c r="Q1404" s="5" t="str">
        <f ca="1">IFERROR(__xludf.DUMMYFUNCTION("""COMPUTED_VALUE"""),"TX")</f>
        <v>TX</v>
      </c>
      <c r="R1404" s="5" t="str">
        <f ca="1">IFERROR(__xludf.DUMMYFUNCTION("""COMPUTED_VALUE"""),"High")</f>
        <v>High</v>
      </c>
      <c r="S1404" s="5" t="str">
        <f ca="1">IFERROR(__xludf.DUMMYFUNCTION("""COMPUTED_VALUE"""),"Field (General)")</f>
        <v>Field (General)</v>
      </c>
      <c r="T1404" s="5" t="str">
        <f ca="1">IFERROR(__xludf.DUMMYFUNCTION("""COMPUTED_VALUE"""),"Outside on School Property")</f>
        <v>Outside on School Property</v>
      </c>
      <c r="U1404" s="5" t="str">
        <f ca="1">IFERROR(__xludf.DUMMYFUNCTION("""COMPUTED_VALUE"""),"Yes")</f>
        <v>Yes</v>
      </c>
      <c r="V1404" s="5" t="str">
        <f ca="1">IFERROR(__xludf.DUMMYFUNCTION("""COMPUTED_VALUE"""),"Afternoon Classes")</f>
        <v>Afternoon Classes</v>
      </c>
      <c r="W1404" s="10">
        <f ca="1">IFERROR(__xludf.DUMMYFUNCTION("""COMPUTED_VALUE"""),0.555555555555555)</f>
        <v>0.55555555555555503</v>
      </c>
      <c r="X1404" s="5">
        <f ca="1">IFERROR(__xludf.DUMMYFUNCTION("""COMPUTED_VALUE"""),1)</f>
        <v>1</v>
      </c>
      <c r="Y1404" s="5" t="str">
        <f ca="1">IFERROR(__xludf.DUMMYFUNCTION("""COMPUTED_VALUE"""),"SRO fired at student while breaking up fight between 10 students")</f>
        <v>SRO fired at student while breaking up fight between 10 students</v>
      </c>
      <c r="Z1404" s="5" t="str">
        <f ca="1">IFERROR(__xludf.DUMMYFUNCTION("""COMPUTED_VALUE"""),"SRO fired at 15YOM student while breaking up a fight between 10 students on the school athletic field.")</f>
        <v>SRO fired at 15YOM student while breaking up a fight between 10 students on the school athletic field.</v>
      </c>
      <c r="AA1404" s="5" t="str">
        <f ca="1">IFERROR(__xludf.DUMMYFUNCTION("""COMPUTED_VALUE"""),"Illegal Activity")</f>
        <v>Illegal Activity</v>
      </c>
      <c r="AB1404" s="5" t="str">
        <f ca="1">IFERROR(__xludf.DUMMYFUNCTION("""COMPUTED_VALUE"""),"Victims Targeted")</f>
        <v>Victims Targeted</v>
      </c>
      <c r="AC1404" s="5" t="str">
        <f ca="1">IFERROR(__xludf.DUMMYFUNCTION("""COMPUTED_VALUE"""),"No")</f>
        <v>No</v>
      </c>
      <c r="AD1404" s="5" t="str">
        <f ca="1">IFERROR(__xludf.DUMMYFUNCTION("""COMPUTED_VALUE"""),"No")</f>
        <v>No</v>
      </c>
      <c r="AE1404" s="5" t="str">
        <f ca="1">IFERROR(__xludf.DUMMYFUNCTION("""COMPUTED_VALUE"""),"No")</f>
        <v>No</v>
      </c>
      <c r="AF1404" s="5" t="str">
        <f ca="1">IFERROR(__xludf.DUMMYFUNCTION("""COMPUTED_VALUE"""),"Yes")</f>
        <v>Yes</v>
      </c>
      <c r="AG1404" s="5" t="str">
        <f ca="1">IFERROR(__xludf.DUMMYFUNCTION("""COMPUTED_VALUE"""),"N/A")</f>
        <v>N/A</v>
      </c>
      <c r="AH1404" s="5" t="str">
        <f ca="1">IFERROR(__xludf.DUMMYFUNCTION("""COMPUTED_VALUE"""),"N/A")</f>
        <v>N/A</v>
      </c>
      <c r="AI1404" s="5" t="str">
        <f ca="1">IFERROR(__xludf.DUMMYFUNCTION("""COMPUTED_VALUE"""),"N/A")</f>
        <v>N/A</v>
      </c>
      <c r="AJ1404" s="5" t="str">
        <f ca="1">IFERROR(__xludf.DUMMYFUNCTION("""COMPUTED_VALUE"""),"N/A")</f>
        <v>N/A</v>
      </c>
    </row>
    <row r="1405" spans="1:36" ht="13">
      <c r="A1405" s="5" t="str">
        <f ca="1">IFERROR(__xludf.DUMMYFUNCTION("""COMPUTED_VALUE"""),"20060905TNKIM")</f>
        <v>20060905TNKIM</v>
      </c>
      <c r="B1405" s="5">
        <f ca="1">IFERROR(__xludf.DUMMYFUNCTION("""COMPUTED_VALUE"""),9)</f>
        <v>9</v>
      </c>
      <c r="C1405" s="5">
        <f ca="1">IFERROR(__xludf.DUMMYFUNCTION("""COMPUTED_VALUE"""),5)</f>
        <v>5</v>
      </c>
      <c r="D1405" s="5">
        <f ca="1">IFERROR(__xludf.DUMMYFUNCTION("""COMPUTED_VALUE"""),2006)</f>
        <v>2006</v>
      </c>
      <c r="E1405" s="8">
        <f ca="1">IFERROR(__xludf.DUMMYFUNCTION("""COMPUTED_VALUE"""),38965)</f>
        <v>38965</v>
      </c>
      <c r="F1405" s="5" t="str">
        <f ca="1">IFERROR(__xludf.DUMMYFUNCTION("""COMPUTED_VALUE"""),"Kingsbury Middle School")</f>
        <v>Kingsbury Middle School</v>
      </c>
      <c r="G1405" s="5">
        <f ca="1">IFERROR(__xludf.DUMMYFUNCTION("""COMPUTED_VALUE"""),0)</f>
        <v>0</v>
      </c>
      <c r="H1405" s="5">
        <f ca="1">IFERROR(__xludf.DUMMYFUNCTION("""COMPUTED_VALUE"""),1)</f>
        <v>1</v>
      </c>
      <c r="I1405" s="5">
        <f ca="1">IFERROR(__xludf.DUMMYFUNCTION("""COMPUTED_VALUE"""),1)</f>
        <v>1</v>
      </c>
      <c r="J1405" s="5">
        <f ca="1">IFERROR(__xludf.DUMMYFUNCTION("""COMPUTED_VALUE"""),0)</f>
        <v>0</v>
      </c>
      <c r="K1405" s="9" t="str">
        <f ca="1">IFERROR(__xludf.DUMMYFUNCTION("""COMPUTED_VALUE"""),"https://www.columbine-angels.com/School_Violence_2006-2007.htm")</f>
        <v>https://www.columbine-angels.com/School_Violence_2006-2007.htm</v>
      </c>
      <c r="L1405" s="5"/>
      <c r="M1405" s="5"/>
      <c r="N1405" s="5">
        <f ca="1">IFERROR(__xludf.DUMMYFUNCTION("""COMPUTED_VALUE"""),1)</f>
        <v>1</v>
      </c>
      <c r="O1405" s="5" t="str">
        <f ca="1">IFERROR(__xludf.DUMMYFUNCTION("""COMPUTED_VALUE"""),"Fall")</f>
        <v>Fall</v>
      </c>
      <c r="P1405" s="5" t="str">
        <f ca="1">IFERROR(__xludf.DUMMYFUNCTION("""COMPUTED_VALUE"""),"Memphis")</f>
        <v>Memphis</v>
      </c>
      <c r="Q1405" s="5" t="str">
        <f ca="1">IFERROR(__xludf.DUMMYFUNCTION("""COMPUTED_VALUE"""),"TN")</f>
        <v>TN</v>
      </c>
      <c r="R1405" s="5" t="str">
        <f ca="1">IFERROR(__xludf.DUMMYFUNCTION("""COMPUTED_VALUE"""),"Middle")</f>
        <v>Middle</v>
      </c>
      <c r="S1405" s="5" t="str">
        <f ca="1">IFERROR(__xludf.DUMMYFUNCTION("""COMPUTED_VALUE"""),"Football Field/Track")</f>
        <v>Football Field/Track</v>
      </c>
      <c r="T1405" s="5" t="str">
        <f ca="1">IFERROR(__xludf.DUMMYFUNCTION("""COMPUTED_VALUE"""),"Outside on School Property")</f>
        <v>Outside on School Property</v>
      </c>
      <c r="U1405" s="5" t="str">
        <f ca="1">IFERROR(__xludf.DUMMYFUNCTION("""COMPUTED_VALUE"""),"No")</f>
        <v>No</v>
      </c>
      <c r="V1405" s="5" t="str">
        <f ca="1">IFERROR(__xludf.DUMMYFUNCTION("""COMPUTED_VALUE"""),"Sport Event")</f>
        <v>Sport Event</v>
      </c>
      <c r="W1405" s="5"/>
      <c r="X1405" s="5">
        <f ca="1">IFERROR(__xludf.DUMMYFUNCTION("""COMPUTED_VALUE"""),1)</f>
        <v>1</v>
      </c>
      <c r="Y1405" s="5" t="str">
        <f ca="1">IFERROR(__xludf.DUMMYFUNCTION("""COMPUTED_VALUE"""),"Shots fired into ground during a fight between parents at football game")</f>
        <v>Shots fired into ground during a fight between parents at football game</v>
      </c>
      <c r="Z1405" s="5" t="str">
        <f ca="1">IFERROR(__xludf.DUMMYFUNCTION("""COMPUTED_VALUE"""),"Shots fired during a fight between a group of parents at a football game. The gun was aimed at the ground, however, one of the bullets ricocheted off the ground and into the hand of a teenage boy.")</f>
        <v>Shots fired during a fight between a group of parents at a football game. The gun was aimed at the ground, however, one of the bullets ricocheted off the ground and into the hand of a teenage boy.</v>
      </c>
      <c r="AA1405" s="5" t="str">
        <f ca="1">IFERROR(__xludf.DUMMYFUNCTION("""COMPUTED_VALUE"""),"Escalation of Dispute")</f>
        <v>Escalation of Dispute</v>
      </c>
      <c r="AB1405" s="5" t="str">
        <f ca="1">IFERROR(__xludf.DUMMYFUNCTION("""COMPUTED_VALUE"""),"Neither")</f>
        <v>Neither</v>
      </c>
      <c r="AC1405" s="5" t="str">
        <f ca="1">IFERROR(__xludf.DUMMYFUNCTION("""COMPUTED_VALUE"""),"No")</f>
        <v>No</v>
      </c>
      <c r="AD1405" s="5" t="str">
        <f ca="1">IFERROR(__xludf.DUMMYFUNCTION("""COMPUTED_VALUE"""),"No")</f>
        <v>No</v>
      </c>
      <c r="AE1405" s="5" t="str">
        <f ca="1">IFERROR(__xludf.DUMMYFUNCTION("""COMPUTED_VALUE"""),"No")</f>
        <v>No</v>
      </c>
      <c r="AF1405" s="5" t="str">
        <f ca="1">IFERROR(__xludf.DUMMYFUNCTION("""COMPUTED_VALUE"""),"No")</f>
        <v>No</v>
      </c>
      <c r="AG1405" s="5" t="str">
        <f ca="1">IFERROR(__xludf.DUMMYFUNCTION("""COMPUTED_VALUE"""),"No")</f>
        <v>No</v>
      </c>
      <c r="AH1405" s="5" t="str">
        <f ca="1">IFERROR(__xludf.DUMMYFUNCTION("""COMPUTED_VALUE"""),"No")</f>
        <v>No</v>
      </c>
      <c r="AI1405" s="5" t="str">
        <f ca="1">IFERROR(__xludf.DUMMYFUNCTION("""COMPUTED_VALUE"""),"No")</f>
        <v>No</v>
      </c>
      <c r="AJ1405" s="5"/>
    </row>
    <row r="1406" spans="1:36" ht="13">
      <c r="A1406" s="5" t="str">
        <f ca="1">IFERROR(__xludf.DUMMYFUNCTION("""COMPUTED_VALUE"""),"20060831ALOXO")</f>
        <v>20060831ALOXO</v>
      </c>
      <c r="B1406" s="5">
        <f ca="1">IFERROR(__xludf.DUMMYFUNCTION("""COMPUTED_VALUE"""),8)</f>
        <v>8</v>
      </c>
      <c r="C1406" s="5">
        <f ca="1">IFERROR(__xludf.DUMMYFUNCTION("""COMPUTED_VALUE"""),31)</f>
        <v>31</v>
      </c>
      <c r="D1406" s="5">
        <f ca="1">IFERROR(__xludf.DUMMYFUNCTION("""COMPUTED_VALUE"""),2006)</f>
        <v>2006</v>
      </c>
      <c r="E1406" s="8">
        <f ca="1">IFERROR(__xludf.DUMMYFUNCTION("""COMPUTED_VALUE"""),38960)</f>
        <v>38960</v>
      </c>
      <c r="F1406" s="5" t="str">
        <f ca="1">IFERROR(__xludf.DUMMYFUNCTION("""COMPUTED_VALUE"""),"Oxford High School")</f>
        <v>Oxford High School</v>
      </c>
      <c r="G1406" s="5">
        <f ca="1">IFERROR(__xludf.DUMMYFUNCTION("""COMPUTED_VALUE"""),0)</f>
        <v>0</v>
      </c>
      <c r="H1406" s="5">
        <f ca="1">IFERROR(__xludf.DUMMYFUNCTION("""COMPUTED_VALUE"""),1)</f>
        <v>1</v>
      </c>
      <c r="I1406" s="5">
        <f ca="1">IFERROR(__xludf.DUMMYFUNCTION("""COMPUTED_VALUE"""),1)</f>
        <v>1</v>
      </c>
      <c r="J1406" s="5">
        <f ca="1">IFERROR(__xludf.DUMMYFUNCTION("""COMPUTED_VALUE"""),0)</f>
        <v>0</v>
      </c>
      <c r="K1406" s="9" t="str">
        <f ca="1">IFERROR(__xludf.DUMMYFUNCTION("""COMPUTED_VALUE"""),"https://www.newspapers.com/image/106551825/?terms=Oxford%2BHigh%2BSchool%2BHawkins%2Bshot")</f>
        <v>https://www.newspapers.com/image/106551825/?terms=Oxford%2BHigh%2BSchool%2BHawkins%2Bshot</v>
      </c>
      <c r="L1406" s="5"/>
      <c r="M1406" s="5"/>
      <c r="N1406" s="5">
        <f ca="1">IFERROR(__xludf.DUMMYFUNCTION("""COMPUTED_VALUE"""),2)</f>
        <v>2</v>
      </c>
      <c r="O1406" s="5" t="str">
        <f ca="1">IFERROR(__xludf.DUMMYFUNCTION("""COMPUTED_VALUE"""),"Summer")</f>
        <v>Summer</v>
      </c>
      <c r="P1406" s="5" t="str">
        <f ca="1">IFERROR(__xludf.DUMMYFUNCTION("""COMPUTED_VALUE"""),"Oxford")</f>
        <v>Oxford</v>
      </c>
      <c r="Q1406" s="5" t="str">
        <f ca="1">IFERROR(__xludf.DUMMYFUNCTION("""COMPUTED_VALUE"""),"AL")</f>
        <v>AL</v>
      </c>
      <c r="R1406" s="5" t="str">
        <f ca="1">IFERROR(__xludf.DUMMYFUNCTION("""COMPUTED_VALUE"""),"High")</f>
        <v>High</v>
      </c>
      <c r="S1406" s="5" t="str">
        <f ca="1">IFERROR(__xludf.DUMMYFUNCTION("""COMPUTED_VALUE"""),"Football Field/Track")</f>
        <v>Football Field/Track</v>
      </c>
      <c r="T1406" s="5" t="str">
        <f ca="1">IFERROR(__xludf.DUMMYFUNCTION("""COMPUTED_VALUE"""),"Outside on School Property")</f>
        <v>Outside on School Property</v>
      </c>
      <c r="U1406" s="5" t="str">
        <f ca="1">IFERROR(__xludf.DUMMYFUNCTION("""COMPUTED_VALUE"""),"No")</f>
        <v>No</v>
      </c>
      <c r="V1406" s="5" t="str">
        <f ca="1">IFERROR(__xludf.DUMMYFUNCTION("""COMPUTED_VALUE"""),"Sport Event")</f>
        <v>Sport Event</v>
      </c>
      <c r="W1406" s="10">
        <f ca="1">IFERROR(__xludf.DUMMYFUNCTION("""COMPUTED_VALUE"""),0.902777777777777)</f>
        <v>0.90277777777777701</v>
      </c>
      <c r="X1406" s="5">
        <f ca="1">IFERROR(__xludf.DUMMYFUNCTION("""COMPUTED_VALUE"""),1)</f>
        <v>1</v>
      </c>
      <c r="Y1406" s="5" t="str">
        <f ca="1">IFERROR(__xludf.DUMMYFUNCTION("""COMPUTED_VALUE"""),"Shooting during football game (outside gate to stadium)")</f>
        <v>Shooting during football game (outside gate to stadium)</v>
      </c>
      <c r="Z1406" s="5" t="str">
        <f ca="1">IFERROR(__xludf.DUMMYFUNCTION("""COMPUTED_VALUE"""),"21YOM was shot by 21YOM outside of the gates of the football stadium during a game. The game was suspended while police searched for the shooter. The shooter was arrested 7 minutes after the shooting. Motive and relationship of shooter/victim unknown.")</f>
        <v>21YOM was shot by 21YOM outside of the gates of the football stadium during a game. The game was suspended while police searched for the shooter. The shooter was arrested 7 minutes after the shooting. Motive and relationship of shooter/victim unknown.</v>
      </c>
      <c r="AA1406" s="5" t="str">
        <f ca="1">IFERROR(__xludf.DUMMYFUNCTION("""COMPUTED_VALUE"""),"Escalation of Dispute")</f>
        <v>Escalation of Dispute</v>
      </c>
      <c r="AB1406" s="5" t="str">
        <f ca="1">IFERROR(__xludf.DUMMYFUNCTION("""COMPUTED_VALUE"""),"Victims Targeted")</f>
        <v>Victims Targeted</v>
      </c>
      <c r="AC1406" s="5" t="str">
        <f ca="1">IFERROR(__xludf.DUMMYFUNCTION("""COMPUTED_VALUE"""),"No")</f>
        <v>No</v>
      </c>
      <c r="AD1406" s="5" t="str">
        <f ca="1">IFERROR(__xludf.DUMMYFUNCTION("""COMPUTED_VALUE"""),"No")</f>
        <v>No</v>
      </c>
      <c r="AE1406" s="5" t="str">
        <f ca="1">IFERROR(__xludf.DUMMYFUNCTION("""COMPUTED_VALUE"""),"No")</f>
        <v>No</v>
      </c>
      <c r="AF1406" s="5" t="str">
        <f ca="1">IFERROR(__xludf.DUMMYFUNCTION("""COMPUTED_VALUE"""),"No")</f>
        <v>No</v>
      </c>
      <c r="AG1406" s="5" t="str">
        <f ca="1">IFERROR(__xludf.DUMMYFUNCTION("""COMPUTED_VALUE"""),"No")</f>
        <v>No</v>
      </c>
      <c r="AH1406" s="5" t="str">
        <f ca="1">IFERROR(__xludf.DUMMYFUNCTION("""COMPUTED_VALUE"""),"No")</f>
        <v>No</v>
      </c>
      <c r="AI1406" s="5" t="str">
        <f ca="1">IFERROR(__xludf.DUMMYFUNCTION("""COMPUTED_VALUE"""),"No")</f>
        <v>No</v>
      </c>
      <c r="AJ1406" s="5"/>
    </row>
    <row r="1407" spans="1:36" ht="13">
      <c r="A1407" s="5" t="str">
        <f ca="1">IFERROR(__xludf.DUMMYFUNCTION("""COMPUTED_VALUE"""),"20060830NCORH")</f>
        <v>20060830NCORH</v>
      </c>
      <c r="B1407" s="5">
        <f ca="1">IFERROR(__xludf.DUMMYFUNCTION("""COMPUTED_VALUE"""),8)</f>
        <v>8</v>
      </c>
      <c r="C1407" s="5">
        <f ca="1">IFERROR(__xludf.DUMMYFUNCTION("""COMPUTED_VALUE"""),30)</f>
        <v>30</v>
      </c>
      <c r="D1407" s="5">
        <f ca="1">IFERROR(__xludf.DUMMYFUNCTION("""COMPUTED_VALUE"""),2006)</f>
        <v>2006</v>
      </c>
      <c r="E1407" s="8">
        <f ca="1">IFERROR(__xludf.DUMMYFUNCTION("""COMPUTED_VALUE"""),38959)</f>
        <v>38959</v>
      </c>
      <c r="F1407" s="5" t="str">
        <f ca="1">IFERROR(__xludf.DUMMYFUNCTION("""COMPUTED_VALUE"""),"Orange High School")</f>
        <v>Orange High School</v>
      </c>
      <c r="G1407" s="5">
        <f ca="1">IFERROR(__xludf.DUMMYFUNCTION("""COMPUTED_VALUE"""),0)</f>
        <v>0</v>
      </c>
      <c r="H1407" s="5">
        <f ca="1">IFERROR(__xludf.DUMMYFUNCTION("""COMPUTED_VALUE"""),2)</f>
        <v>2</v>
      </c>
      <c r="I1407" s="5">
        <f ca="1">IFERROR(__xludf.DUMMYFUNCTION("""COMPUTED_VALUE"""),2)</f>
        <v>2</v>
      </c>
      <c r="J1407" s="5">
        <f ca="1">IFERROR(__xludf.DUMMYFUNCTION("""COMPUTED_VALUE"""),0)</f>
        <v>0</v>
      </c>
      <c r="K1407" s="5" t="str">
        <f ca="1">IFERROR(__xludf.DUMMYFUNCTION("""COMPUTED_VALUE"""),"http://www.wral.com/news/local/story/5840576/ https://www.fbi.gov/file-repository/active-shooter-incidents-2000-2017.pdf")</f>
        <v>http://www.wral.com/news/local/story/5840576/ https://www.fbi.gov/file-repository/active-shooter-incidents-2000-2017.pdf</v>
      </c>
      <c r="L1407" s="5"/>
      <c r="M1407" s="5"/>
      <c r="N1407" s="5">
        <f ca="1">IFERROR(__xludf.DUMMYFUNCTION("""COMPUTED_VALUE"""),5)</f>
        <v>5</v>
      </c>
      <c r="O1407" s="5" t="str">
        <f ca="1">IFERROR(__xludf.DUMMYFUNCTION("""COMPUTED_VALUE"""),"Summer")</f>
        <v>Summer</v>
      </c>
      <c r="P1407" s="5" t="str">
        <f ca="1">IFERROR(__xludf.DUMMYFUNCTION("""COMPUTED_VALUE"""),"Hillsborough")</f>
        <v>Hillsborough</v>
      </c>
      <c r="Q1407" s="5" t="str">
        <f ca="1">IFERROR(__xludf.DUMMYFUNCTION("""COMPUTED_VALUE"""),"NC")</f>
        <v>NC</v>
      </c>
      <c r="R1407" s="5" t="str">
        <f ca="1">IFERROR(__xludf.DUMMYFUNCTION("""COMPUTED_VALUE"""),"High")</f>
        <v>High</v>
      </c>
      <c r="S1407" s="5" t="str">
        <f ca="1">IFERROR(__xludf.DUMMYFUNCTION("""COMPUTED_VALUE"""),"Parking Lot")</f>
        <v>Parking Lot</v>
      </c>
      <c r="T1407" s="5" t="str">
        <f ca="1">IFERROR(__xludf.DUMMYFUNCTION("""COMPUTED_VALUE"""),"Outside on School Property")</f>
        <v>Outside on School Property</v>
      </c>
      <c r="U1407" s="5" t="str">
        <f ca="1">IFERROR(__xludf.DUMMYFUNCTION("""COMPUTED_VALUE"""),"Yes")</f>
        <v>Yes</v>
      </c>
      <c r="V1407" s="5" t="str">
        <f ca="1">IFERROR(__xludf.DUMMYFUNCTION("""COMPUTED_VALUE"""),"Afternoon Classes")</f>
        <v>Afternoon Classes</v>
      </c>
      <c r="W1407" s="10">
        <f ca="1">IFERROR(__xludf.DUMMYFUNCTION("""COMPUTED_VALUE"""),0.541666666666666)</f>
        <v>0.54166666666666596</v>
      </c>
      <c r="X1407" s="5"/>
      <c r="Y1407" s="5" t="str">
        <f ca="1">IFERROR(__xludf.DUMMYFUNCTION("""COMPUTED_VALUE"""),"Planned attack, surrendered immediately after first shots to sheriff's deputies in parking lot")</f>
        <v>Planned attack, surrendered immediately after first shots to sheriff's deputies in parking lot</v>
      </c>
      <c r="Z1407" s="5" t="str">
        <f ca="1">IFERROR(__xludf.DUMMYFUNCTION("""COMPUTED_VALUE"""),"Shooter set of cherry bombs as a diversion and started firing sawed off shotgun at the students. The gun jammed and he was tackled by school employees. Shooter was obsessed with Columbine and made videos describing how he would carry out the attack. He wo"&amp;"re a Colorado t-shirt and trench coat like the Columbine shooters. Wrote detailed journals about the shooting plan. He has attempted suicide and when he did not die, he became delusion and wrote in his journal that god had spared his life so that he could"&amp;" carry out a grander mission (shooting). Weapons: 9mm, sawed-off 12-gauge shotgun")</f>
        <v>Shooter set of cherry bombs as a diversion and started firing sawed off shotgun at the students. The gun jammed and he was tackled by school employees. Shooter was obsessed with Columbine and made videos describing how he would carry out the attack. He wore a Colorado t-shirt and trench coat like the Columbine shooters. Wrote detailed journals about the shooting plan. He has attempted suicide and when he did not die, he became delusion and wrote in his journal that god had spared his life so that he could carry out a grander mission (shooting). Weapons: 9mm, sawed-off 12-gauge shotgun</v>
      </c>
      <c r="AA1407" s="5" t="str">
        <f ca="1">IFERROR(__xludf.DUMMYFUNCTION("""COMPUTED_VALUE"""),"Indiscriminate Shooting")</f>
        <v>Indiscriminate Shooting</v>
      </c>
      <c r="AB1407" s="5" t="str">
        <f ca="1">IFERROR(__xludf.DUMMYFUNCTION("""COMPUTED_VALUE"""),"Random Shooting")</f>
        <v>Random Shooting</v>
      </c>
      <c r="AC1407" s="5" t="str">
        <f ca="1">IFERROR(__xludf.DUMMYFUNCTION("""COMPUTED_VALUE"""),"No")</f>
        <v>No</v>
      </c>
      <c r="AD1407" s="5" t="str">
        <f ca="1">IFERROR(__xludf.DUMMYFUNCTION("""COMPUTED_VALUE"""),"No")</f>
        <v>No</v>
      </c>
      <c r="AE1407" s="5" t="str">
        <f ca="1">IFERROR(__xludf.DUMMYFUNCTION("""COMPUTED_VALUE"""),"No")</f>
        <v>No</v>
      </c>
      <c r="AF1407" s="5" t="str">
        <f ca="1">IFERROR(__xludf.DUMMYFUNCTION("""COMPUTED_VALUE"""),"No")</f>
        <v>No</v>
      </c>
      <c r="AG1407" s="5" t="str">
        <f ca="1">IFERROR(__xludf.DUMMYFUNCTION("""COMPUTED_VALUE"""),"No")</f>
        <v>No</v>
      </c>
      <c r="AH1407" s="5" t="str">
        <f ca="1">IFERROR(__xludf.DUMMYFUNCTION("""COMPUTED_VALUE"""),"No")</f>
        <v>No</v>
      </c>
      <c r="AI1407" s="5" t="str">
        <f ca="1">IFERROR(__xludf.DUMMYFUNCTION("""COMPUTED_VALUE"""),"No")</f>
        <v>No</v>
      </c>
      <c r="AJ1407" s="5" t="str">
        <f ca="1">IFERROR(__xludf.DUMMYFUNCTION("""COMPUTED_VALUE"""),"Yes")</f>
        <v>Yes</v>
      </c>
    </row>
    <row r="1408" spans="1:36" ht="13">
      <c r="A1408" s="5" t="str">
        <f ca="1">IFERROR(__xludf.DUMMYFUNCTION("""COMPUTED_VALUE"""),"20060829DCANW")</f>
        <v>20060829DCANW</v>
      </c>
      <c r="B1408" s="5">
        <f ca="1">IFERROR(__xludf.DUMMYFUNCTION("""COMPUTED_VALUE"""),8)</f>
        <v>8</v>
      </c>
      <c r="C1408" s="5">
        <f ca="1">IFERROR(__xludf.DUMMYFUNCTION("""COMPUTED_VALUE"""),29)</f>
        <v>29</v>
      </c>
      <c r="D1408" s="5">
        <f ca="1">IFERROR(__xludf.DUMMYFUNCTION("""COMPUTED_VALUE"""),2006)</f>
        <v>2006</v>
      </c>
      <c r="E1408" s="8">
        <f ca="1">IFERROR(__xludf.DUMMYFUNCTION("""COMPUTED_VALUE"""),38958)</f>
        <v>38958</v>
      </c>
      <c r="F1408" s="5" t="str">
        <f ca="1">IFERROR(__xludf.DUMMYFUNCTION("""COMPUTED_VALUE"""),"Anacostia Senior High School")</f>
        <v>Anacostia Senior High School</v>
      </c>
      <c r="G1408" s="5">
        <f ca="1">IFERROR(__xludf.DUMMYFUNCTION("""COMPUTED_VALUE"""),0)</f>
        <v>0</v>
      </c>
      <c r="H1408" s="5">
        <f ca="1">IFERROR(__xludf.DUMMYFUNCTION("""COMPUTED_VALUE"""),0)</f>
        <v>0</v>
      </c>
      <c r="I1408" s="5">
        <f ca="1">IFERROR(__xludf.DUMMYFUNCTION("""COMPUTED_VALUE"""),0)</f>
        <v>0</v>
      </c>
      <c r="J1408" s="5">
        <f ca="1">IFERROR(__xludf.DUMMYFUNCTION("""COMPUTED_VALUE"""),0)</f>
        <v>0</v>
      </c>
      <c r="K1408" s="9" t="str">
        <f ca="1">IFERROR(__xludf.DUMMYFUNCTION("""COMPUTED_VALUE"""),"https://www.washingtonpost.com/archive/local/2006/08/30/teen-held-after-shot-is-fired-outside-se-school/a1d30f03-8e66-47af-a999-d43629af535b/?utm_term=.37a883ef0fca")</f>
        <v>https://www.washingtonpost.com/archive/local/2006/08/30/teen-held-after-shot-is-fired-outside-se-school/a1d30f03-8e66-47af-a999-d43629af535b/?utm_term=.37a883ef0fca</v>
      </c>
      <c r="L1408" s="5"/>
      <c r="M1408" s="5"/>
      <c r="N1408" s="5">
        <f ca="1">IFERROR(__xludf.DUMMYFUNCTION("""COMPUTED_VALUE"""),2)</f>
        <v>2</v>
      </c>
      <c r="O1408" s="5" t="str">
        <f ca="1">IFERROR(__xludf.DUMMYFUNCTION("""COMPUTED_VALUE"""),"Summer")</f>
        <v>Summer</v>
      </c>
      <c r="P1408" s="5" t="str">
        <f ca="1">IFERROR(__xludf.DUMMYFUNCTION("""COMPUTED_VALUE"""),"Washington")</f>
        <v>Washington</v>
      </c>
      <c r="Q1408" s="5" t="str">
        <f ca="1">IFERROR(__xludf.DUMMYFUNCTION("""COMPUTED_VALUE"""),"DC")</f>
        <v>DC</v>
      </c>
      <c r="R1408" s="5" t="str">
        <f ca="1">IFERROR(__xludf.DUMMYFUNCTION("""COMPUTED_VALUE"""),"High")</f>
        <v>High</v>
      </c>
      <c r="S1408" s="5" t="str">
        <f ca="1">IFERROR(__xludf.DUMMYFUNCTION("""COMPUTED_VALUE"""),"Parking Lot")</f>
        <v>Parking Lot</v>
      </c>
      <c r="T1408" s="5" t="str">
        <f ca="1">IFERROR(__xludf.DUMMYFUNCTION("""COMPUTED_VALUE"""),"Outside on School Property")</f>
        <v>Outside on School Property</v>
      </c>
      <c r="U1408" s="5" t="str">
        <f ca="1">IFERROR(__xludf.DUMMYFUNCTION("""COMPUTED_VALUE"""),"Yes")</f>
        <v>Yes</v>
      </c>
      <c r="V1408" s="5" t="str">
        <f ca="1">IFERROR(__xludf.DUMMYFUNCTION("""COMPUTED_VALUE"""),"Dismissal")</f>
        <v>Dismissal</v>
      </c>
      <c r="W1408" s="10">
        <f ca="1">IFERROR(__xludf.DUMMYFUNCTION("""COMPUTED_VALUE"""),0.635416666666666)</f>
        <v>0.63541666666666596</v>
      </c>
      <c r="X1408" s="5">
        <f ca="1">IFERROR(__xludf.DUMMYFUNCTION("""COMPUTED_VALUE"""),1)</f>
        <v>1</v>
      </c>
      <c r="Y1408" s="5" t="str">
        <f ca="1">IFERROR(__xludf.DUMMYFUNCTION("""COMPUTED_VALUE"""),"Fired one shot in parking lot, fled, ditched gun, but was caught by officer at school")</f>
        <v>Fired one shot in parking lot, fled, ditched gun, but was caught by officer at school</v>
      </c>
      <c r="Z1408" s="5" t="str">
        <f ca="1">IFERROR(__xludf.DUMMYFUNCTION("""COMPUTED_VALUE"""),"16YOM fired one shot in parking lot that struck a car then fled the scene. A police officer assigned to the school witnessed the shooting, then chased and detained the shooter. Shooter threw the gun as he was running but police recovered it.")</f>
        <v>16YOM fired one shot in parking lot that struck a car then fled the scene. A police officer assigned to the school witnessed the shooting, then chased and detained the shooter. Shooter threw the gun as he was running but police recovered it.</v>
      </c>
      <c r="AA1408" s="5" t="str">
        <f ca="1">IFERROR(__xludf.DUMMYFUNCTION("""COMPUTED_VALUE"""),"Escalation of Dispute")</f>
        <v>Escalation of Dispute</v>
      </c>
      <c r="AB1408" s="5" t="str">
        <f ca="1">IFERROR(__xludf.DUMMYFUNCTION("""COMPUTED_VALUE"""),"Neither")</f>
        <v>Neither</v>
      </c>
      <c r="AC1408" s="5" t="str">
        <f ca="1">IFERROR(__xludf.DUMMYFUNCTION("""COMPUTED_VALUE"""),"No")</f>
        <v>No</v>
      </c>
      <c r="AD1408" s="5" t="str">
        <f ca="1">IFERROR(__xludf.DUMMYFUNCTION("""COMPUTED_VALUE"""),"No")</f>
        <v>No</v>
      </c>
      <c r="AE1408" s="5" t="str">
        <f ca="1">IFERROR(__xludf.DUMMYFUNCTION("""COMPUTED_VALUE"""),"No")</f>
        <v>No</v>
      </c>
      <c r="AF1408" s="5" t="str">
        <f ca="1">IFERROR(__xludf.DUMMYFUNCTION("""COMPUTED_VALUE"""),"No")</f>
        <v>No</v>
      </c>
      <c r="AG1408" s="5" t="str">
        <f ca="1">IFERROR(__xludf.DUMMYFUNCTION("""COMPUTED_VALUE"""),"No")</f>
        <v>No</v>
      </c>
      <c r="AH1408" s="5" t="str">
        <f ca="1">IFERROR(__xludf.DUMMYFUNCTION("""COMPUTED_VALUE"""),"No")</f>
        <v>No</v>
      </c>
      <c r="AI1408" s="5" t="str">
        <f ca="1">IFERROR(__xludf.DUMMYFUNCTION("""COMPUTED_VALUE"""),"No")</f>
        <v>No</v>
      </c>
      <c r="AJ1408" s="5"/>
    </row>
    <row r="1409" spans="1:36" ht="13">
      <c r="A1409" s="5" t="str">
        <f ca="1">IFERROR(__xludf.DUMMYFUNCTION("""COMPUTED_VALUE"""),"20060824VTESE")</f>
        <v>20060824VTESE</v>
      </c>
      <c r="B1409" s="5">
        <f ca="1">IFERROR(__xludf.DUMMYFUNCTION("""COMPUTED_VALUE"""),8)</f>
        <v>8</v>
      </c>
      <c r="C1409" s="5">
        <f ca="1">IFERROR(__xludf.DUMMYFUNCTION("""COMPUTED_VALUE"""),24)</f>
        <v>24</v>
      </c>
      <c r="D1409" s="5">
        <f ca="1">IFERROR(__xludf.DUMMYFUNCTION("""COMPUTED_VALUE"""),2006)</f>
        <v>2006</v>
      </c>
      <c r="E1409" s="8">
        <f ca="1">IFERROR(__xludf.DUMMYFUNCTION("""COMPUTED_VALUE"""),38953)</f>
        <v>38953</v>
      </c>
      <c r="F1409" s="5" t="str">
        <f ca="1">IFERROR(__xludf.DUMMYFUNCTION("""COMPUTED_VALUE"""),"Essex Elementary School")</f>
        <v>Essex Elementary School</v>
      </c>
      <c r="G1409" s="5">
        <f ca="1">IFERROR(__xludf.DUMMYFUNCTION("""COMPUTED_VALUE"""),1)</f>
        <v>1</v>
      </c>
      <c r="H1409" s="5">
        <f ca="1">IFERROR(__xludf.DUMMYFUNCTION("""COMPUTED_VALUE"""),0)</f>
        <v>0</v>
      </c>
      <c r="I1409" s="5">
        <f ca="1">IFERROR(__xludf.DUMMYFUNCTION("""COMPUTED_VALUE"""),1)</f>
        <v>1</v>
      </c>
      <c r="J1409" s="5">
        <f ca="1">IFERROR(__xludf.DUMMYFUNCTION("""COMPUTED_VALUE"""),0)</f>
        <v>0</v>
      </c>
      <c r="K1409" s="5" t="str">
        <f ca="1">IFERROR(__xludf.DUMMYFUNCTION("""COMPUTED_VALUE"""),"https://www.cbsnews.com/news/2-dead-in-vermont-school-shooting/ http://www.nbcnews.com/id/14519867/ns/us_news-crime_and_courts/t/vt-school-shooting-suspect-pleads-not-guilty/#.W2TTz9JKjD4 https://www.fbi.gov/file-repository/active-shooter-incidents-2000-2"&amp;"017.pdf")</f>
        <v>https://www.cbsnews.com/news/2-dead-in-vermont-school-shooting/ http://www.nbcnews.com/id/14519867/ns/us_news-crime_and_courts/t/vt-school-shooting-suspect-pleads-not-guilty/#.W2TTz9JKjD4 https://www.fbi.gov/file-repository/active-shooter-incidents-2000-2017.pdf</v>
      </c>
      <c r="L1409" s="5"/>
      <c r="M1409" s="5"/>
      <c r="N1409" s="5">
        <f ca="1">IFERROR(__xludf.DUMMYFUNCTION("""COMPUTED_VALUE"""),5)</f>
        <v>5</v>
      </c>
      <c r="O1409" s="5" t="str">
        <f ca="1">IFERROR(__xludf.DUMMYFUNCTION("""COMPUTED_VALUE"""),"Summer")</f>
        <v>Summer</v>
      </c>
      <c r="P1409" s="5" t="str">
        <f ca="1">IFERROR(__xludf.DUMMYFUNCTION("""COMPUTED_VALUE"""),"Essex Junction")</f>
        <v>Essex Junction</v>
      </c>
      <c r="Q1409" s="5" t="str">
        <f ca="1">IFERROR(__xludf.DUMMYFUNCTION("""COMPUTED_VALUE"""),"VT")</f>
        <v>VT</v>
      </c>
      <c r="R1409" s="5" t="str">
        <f ca="1">IFERROR(__xludf.DUMMYFUNCTION("""COMPUTED_VALUE"""),"Elementary")</f>
        <v>Elementary</v>
      </c>
      <c r="S1409" s="5" t="str">
        <f ca="1">IFERROR(__xludf.DUMMYFUNCTION("""COMPUTED_VALUE"""),"Classroom")</f>
        <v>Classroom</v>
      </c>
      <c r="T1409" s="5" t="str">
        <f ca="1">IFERROR(__xludf.DUMMYFUNCTION("""COMPUTED_VALUE"""),"Inside School Building")</f>
        <v>Inside School Building</v>
      </c>
      <c r="U1409" s="5" t="str">
        <f ca="1">IFERROR(__xludf.DUMMYFUNCTION("""COMPUTED_VALUE"""),"Yes")</f>
        <v>Yes</v>
      </c>
      <c r="V1409" s="5"/>
      <c r="W1409" s="5"/>
      <c r="X1409" s="5">
        <f ca="1">IFERROR(__xludf.DUMMYFUNCTION("""COMPUTED_VALUE"""),1)</f>
        <v>1</v>
      </c>
      <c r="Y1409" s="5" t="str">
        <f ca="1">IFERROR(__xludf.DUMMYFUNCTION("""COMPUTED_VALUE"""),"Killed ex-girlfriend (teacher) at the school")</f>
        <v>Killed ex-girlfriend (teacher) at the school</v>
      </c>
      <c r="Z1409" s="5" t="str">
        <f ca="1">IFERROR(__xludf.DUMMYFUNCTION("""COMPUTED_VALUE"""),"Shooter targeted and murdered his ex-girlfriend who was a teacher at the school. The school was not in session during the time of the shooting. He later attempted suicide and was apprehended by police. He also shot and killed his ex-girlfriend's mother an"&amp;"d injured 2 other people.")</f>
        <v>Shooter targeted and murdered his ex-girlfriend who was a teacher at the school. The school was not in session during the time of the shooting. He later attempted suicide and was apprehended by police. He also shot and killed his ex-girlfriend's mother and injured 2 other people.</v>
      </c>
      <c r="AA1409" s="5" t="str">
        <f ca="1">IFERROR(__xludf.DUMMYFUNCTION("""COMPUTED_VALUE"""),"Domestic w/ Targeted Victim")</f>
        <v>Domestic w/ Targeted Victim</v>
      </c>
      <c r="AB1409" s="5" t="str">
        <f ca="1">IFERROR(__xludf.DUMMYFUNCTION("""COMPUTED_VALUE"""),"Both")</f>
        <v>Both</v>
      </c>
      <c r="AC1409" s="5" t="str">
        <f ca="1">IFERROR(__xludf.DUMMYFUNCTION("""COMPUTED_VALUE"""),"No")</f>
        <v>No</v>
      </c>
      <c r="AD1409" s="5" t="str">
        <f ca="1">IFERROR(__xludf.DUMMYFUNCTION("""COMPUTED_VALUE"""),"No")</f>
        <v>No</v>
      </c>
      <c r="AE1409" s="5" t="str">
        <f ca="1">IFERROR(__xludf.DUMMYFUNCTION("""COMPUTED_VALUE"""),"No")</f>
        <v>No</v>
      </c>
      <c r="AF1409" s="5" t="str">
        <f ca="1">IFERROR(__xludf.DUMMYFUNCTION("""COMPUTED_VALUE"""),"No")</f>
        <v>No</v>
      </c>
      <c r="AG1409" s="5" t="str">
        <f ca="1">IFERROR(__xludf.DUMMYFUNCTION("""COMPUTED_VALUE"""),"No")</f>
        <v>No</v>
      </c>
      <c r="AH1409" s="5" t="str">
        <f ca="1">IFERROR(__xludf.DUMMYFUNCTION("""COMPUTED_VALUE"""),"Yes")</f>
        <v>Yes</v>
      </c>
      <c r="AI1409" s="5" t="str">
        <f ca="1">IFERROR(__xludf.DUMMYFUNCTION("""COMPUTED_VALUE"""),"No")</f>
        <v>No</v>
      </c>
      <c r="AJ1409" s="5"/>
    </row>
    <row r="1410" spans="1:36" ht="13">
      <c r="A1410" s="5" t="str">
        <f ca="1">IFERROR(__xludf.DUMMYFUNCTION("""COMPUTED_VALUE"""),"20060821INCAN")</f>
        <v>20060821INCAN</v>
      </c>
      <c r="B1410" s="5">
        <f ca="1">IFERROR(__xludf.DUMMYFUNCTION("""COMPUTED_VALUE"""),8)</f>
        <v>8</v>
      </c>
      <c r="C1410" s="5">
        <f ca="1">IFERROR(__xludf.DUMMYFUNCTION("""COMPUTED_VALUE"""),21)</f>
        <v>21</v>
      </c>
      <c r="D1410" s="5">
        <f ca="1">IFERROR(__xludf.DUMMYFUNCTION("""COMPUTED_VALUE"""),2006)</f>
        <v>2006</v>
      </c>
      <c r="E1410" s="8">
        <f ca="1">IFERROR(__xludf.DUMMYFUNCTION("""COMPUTED_VALUE"""),38950)</f>
        <v>38950</v>
      </c>
      <c r="F1410" s="5" t="str">
        <f ca="1">IFERROR(__xludf.DUMMYFUNCTION("""COMPUTED_VALUE"""),"Castle High School")</f>
        <v>Castle High School</v>
      </c>
      <c r="G1410" s="5">
        <f ca="1">IFERROR(__xludf.DUMMYFUNCTION("""COMPUTED_VALUE"""),0)</f>
        <v>0</v>
      </c>
      <c r="H1410" s="5">
        <f ca="1">IFERROR(__xludf.DUMMYFUNCTION("""COMPUTED_VALUE"""),0)</f>
        <v>0</v>
      </c>
      <c r="I1410" s="5">
        <f ca="1">IFERROR(__xludf.DUMMYFUNCTION("""COMPUTED_VALUE"""),0)</f>
        <v>0</v>
      </c>
      <c r="J1410" s="5">
        <f ca="1">IFERROR(__xludf.DUMMYFUNCTION("""COMPUTED_VALUE"""),1)</f>
        <v>1</v>
      </c>
      <c r="K1410" s="9" t="str">
        <f ca="1">IFERROR(__xludf.DUMMYFUNCTION("""COMPUTED_VALUE"""),"http://www.14news.com/story/5306020/funeral-set-for-castle-suicide-victim?clienttype=printable&amp;redirected=true")</f>
        <v>http://www.14news.com/story/5306020/funeral-set-for-castle-suicide-victim?clienttype=printable&amp;redirected=true</v>
      </c>
      <c r="L1410" s="5"/>
      <c r="M1410" s="5"/>
      <c r="N1410" s="5">
        <f ca="1">IFERROR(__xludf.DUMMYFUNCTION("""COMPUTED_VALUE"""),2)</f>
        <v>2</v>
      </c>
      <c r="O1410" s="5" t="str">
        <f ca="1">IFERROR(__xludf.DUMMYFUNCTION("""COMPUTED_VALUE"""),"Summer")</f>
        <v>Summer</v>
      </c>
      <c r="P1410" s="5" t="str">
        <f ca="1">IFERROR(__xludf.DUMMYFUNCTION("""COMPUTED_VALUE"""),"Newburgh")</f>
        <v>Newburgh</v>
      </c>
      <c r="Q1410" s="5" t="str">
        <f ca="1">IFERROR(__xludf.DUMMYFUNCTION("""COMPUTED_VALUE"""),"IN")</f>
        <v>IN</v>
      </c>
      <c r="R1410" s="5" t="str">
        <f ca="1">IFERROR(__xludf.DUMMYFUNCTION("""COMPUTED_VALUE"""),"High")</f>
        <v>High</v>
      </c>
      <c r="S1410" s="5" t="str">
        <f ca="1">IFERROR(__xludf.DUMMYFUNCTION("""COMPUTED_VALUE"""),"Parking Lot")</f>
        <v>Parking Lot</v>
      </c>
      <c r="T1410" s="5" t="str">
        <f ca="1">IFERROR(__xludf.DUMMYFUNCTION("""COMPUTED_VALUE"""),"Outside on School Property")</f>
        <v>Outside on School Property</v>
      </c>
      <c r="U1410" s="5" t="str">
        <f ca="1">IFERROR(__xludf.DUMMYFUNCTION("""COMPUTED_VALUE"""),"Yes")</f>
        <v>Yes</v>
      </c>
      <c r="V1410" s="5" t="str">
        <f ca="1">IFERROR(__xludf.DUMMYFUNCTION("""COMPUTED_VALUE"""),"Morning Classes")</f>
        <v>Morning Classes</v>
      </c>
      <c r="W1410" s="5"/>
      <c r="X1410" s="5">
        <f ca="1">IFERROR(__xludf.DUMMYFUNCTION("""COMPUTED_VALUE"""),1)</f>
        <v>1</v>
      </c>
      <c r="Y1410" s="5" t="str">
        <f ca="1">IFERROR(__xludf.DUMMYFUNCTION("""COMPUTED_VALUE"""),"Shot himself in car in parking lot after giving suicide note to friend")</f>
        <v>Shot himself in car in parking lot after giving suicide note to friend</v>
      </c>
      <c r="Z1410" s="5" t="str">
        <f ca="1">IFERROR(__xludf.DUMMYFUNCTION("""COMPUTED_VALUE"""),"16YOM shot himself in his car in the parking lot after giving a suicide note to a friend. Student was well liked and not thought to be suicidal.")</f>
        <v>16YOM shot himself in his car in the parking lot after giving a suicide note to a friend. Student was well liked and not thought to be suicidal.</v>
      </c>
      <c r="AA1410" s="5" t="str">
        <f ca="1">IFERROR(__xludf.DUMMYFUNCTION("""COMPUTED_VALUE"""),"Suicide/Attempted")</f>
        <v>Suicide/Attempted</v>
      </c>
      <c r="AB1410" s="5" t="str">
        <f ca="1">IFERROR(__xludf.DUMMYFUNCTION("""COMPUTED_VALUE"""),"Victims Targeted")</f>
        <v>Victims Targeted</v>
      </c>
      <c r="AC1410" s="5" t="str">
        <f ca="1">IFERROR(__xludf.DUMMYFUNCTION("""COMPUTED_VALUE"""),"No")</f>
        <v>No</v>
      </c>
      <c r="AD1410" s="5" t="str">
        <f ca="1">IFERROR(__xludf.DUMMYFUNCTION("""COMPUTED_VALUE"""),"No")</f>
        <v>No</v>
      </c>
      <c r="AE1410" s="5" t="str">
        <f ca="1">IFERROR(__xludf.DUMMYFUNCTION("""COMPUTED_VALUE"""),"No")</f>
        <v>No</v>
      </c>
      <c r="AF1410" s="5" t="str">
        <f ca="1">IFERROR(__xludf.DUMMYFUNCTION("""COMPUTED_VALUE"""),"No")</f>
        <v>No</v>
      </c>
      <c r="AG1410" s="5" t="str">
        <f ca="1">IFERROR(__xludf.DUMMYFUNCTION("""COMPUTED_VALUE"""),"No")</f>
        <v>No</v>
      </c>
      <c r="AH1410" s="5" t="str">
        <f ca="1">IFERROR(__xludf.DUMMYFUNCTION("""COMPUTED_VALUE"""),"No")</f>
        <v>No</v>
      </c>
      <c r="AI1410" s="5" t="str">
        <f ca="1">IFERROR(__xludf.DUMMYFUNCTION("""COMPUTED_VALUE"""),"No")</f>
        <v>No</v>
      </c>
      <c r="AJ1410" s="5"/>
    </row>
    <row r="1411" spans="1:36" ht="13">
      <c r="A1411" s="5" t="str">
        <f ca="1">IFERROR(__xludf.DUMMYFUNCTION("""COMPUTED_VALUE"""),"20060820GALYH")</f>
        <v>20060820GALYH</v>
      </c>
      <c r="B1411" s="5">
        <f ca="1">IFERROR(__xludf.DUMMYFUNCTION("""COMPUTED_VALUE"""),8)</f>
        <v>8</v>
      </c>
      <c r="C1411" s="5">
        <f ca="1">IFERROR(__xludf.DUMMYFUNCTION("""COMPUTED_VALUE"""),20)</f>
        <v>20</v>
      </c>
      <c r="D1411" s="5">
        <f ca="1">IFERROR(__xludf.DUMMYFUNCTION("""COMPUTED_VALUE"""),2006)</f>
        <v>2006</v>
      </c>
      <c r="E1411" s="8">
        <f ca="1">IFERROR(__xludf.DUMMYFUNCTION("""COMPUTED_VALUE"""),38949)</f>
        <v>38949</v>
      </c>
      <c r="F1411" s="5" t="str">
        <f ca="1">IFERROR(__xludf.DUMMYFUNCTION("""COMPUTED_VALUE"""),"Lyman Hall Elementary School")</f>
        <v>Lyman Hall Elementary School</v>
      </c>
      <c r="G1411" s="5">
        <f ca="1">IFERROR(__xludf.DUMMYFUNCTION("""COMPUTED_VALUE"""),0)</f>
        <v>0</v>
      </c>
      <c r="H1411" s="5">
        <f ca="1">IFERROR(__xludf.DUMMYFUNCTION("""COMPUTED_VALUE"""),2)</f>
        <v>2</v>
      </c>
      <c r="I1411" s="5">
        <f ca="1">IFERROR(__xludf.DUMMYFUNCTION("""COMPUTED_VALUE"""),2)</f>
        <v>2</v>
      </c>
      <c r="J1411" s="5">
        <f ca="1">IFERROR(__xludf.DUMMYFUNCTION("""COMPUTED_VALUE"""),0)</f>
        <v>0</v>
      </c>
      <c r="K1411" s="9" t="str">
        <f ca="1">IFERROR(__xludf.DUMMYFUNCTION("""COMPUTED_VALUE"""),"http://www.savannahnow.com/article/20060821/NEWS/308219914")</f>
        <v>http://www.savannahnow.com/article/20060821/NEWS/308219914</v>
      </c>
      <c r="L1411" s="5"/>
      <c r="M1411" s="5"/>
      <c r="N1411" s="5">
        <f ca="1">IFERROR(__xludf.DUMMYFUNCTION("""COMPUTED_VALUE"""),2)</f>
        <v>2</v>
      </c>
      <c r="O1411" s="5" t="str">
        <f ca="1">IFERROR(__xludf.DUMMYFUNCTION("""COMPUTED_VALUE"""),"Summer")</f>
        <v>Summer</v>
      </c>
      <c r="P1411" s="5" t="str">
        <f ca="1">IFERROR(__xludf.DUMMYFUNCTION("""COMPUTED_VALUE"""),"Hinesville")</f>
        <v>Hinesville</v>
      </c>
      <c r="Q1411" s="5" t="str">
        <f ca="1">IFERROR(__xludf.DUMMYFUNCTION("""COMPUTED_VALUE"""),"GA")</f>
        <v>GA</v>
      </c>
      <c r="R1411" s="5" t="str">
        <f ca="1">IFERROR(__xludf.DUMMYFUNCTION("""COMPUTED_VALUE"""),"High")</f>
        <v>High</v>
      </c>
      <c r="S1411" s="5" t="str">
        <f ca="1">IFERROR(__xludf.DUMMYFUNCTION("""COMPUTED_VALUE"""),"Basketball Court")</f>
        <v>Basketball Court</v>
      </c>
      <c r="T1411" s="5" t="str">
        <f ca="1">IFERROR(__xludf.DUMMYFUNCTION("""COMPUTED_VALUE"""),"Outside on School Property")</f>
        <v>Outside on School Property</v>
      </c>
      <c r="U1411" s="5" t="str">
        <f ca="1">IFERROR(__xludf.DUMMYFUNCTION("""COMPUTED_VALUE"""),"No")</f>
        <v>No</v>
      </c>
      <c r="V1411" s="5" t="str">
        <f ca="1">IFERROR(__xludf.DUMMYFUNCTION("""COMPUTED_VALUE"""),"Not a School Day")</f>
        <v>Not a School Day</v>
      </c>
      <c r="W1411" s="10">
        <f ca="1">IFERROR(__xludf.DUMMYFUNCTION("""COMPUTED_VALUE"""),0.8125)</f>
        <v>0.8125</v>
      </c>
      <c r="X1411" s="5">
        <f ca="1">IFERROR(__xludf.DUMMYFUNCTION("""COMPUTED_VALUE"""),1)</f>
        <v>1</v>
      </c>
      <c r="Y1411" s="5" t="str">
        <f ca="1">IFERROR(__xludf.DUMMYFUNCTION("""COMPUTED_VALUE"""),"Shot during fight on basketball court at school")</f>
        <v>Shot during fight on basketball court at school</v>
      </c>
      <c r="Z1411" s="5" t="str">
        <f ca="1">IFERROR(__xludf.DUMMYFUNCTION("""COMPUTED_VALUE"""),"18YOM and 17YOM shot during fight between several teens during a basketball game at the school. Several teens involved fled. No suspect identified.")</f>
        <v>18YOM and 17YOM shot during fight between several teens during a basketball game at the school. Several teens involved fled. No suspect identified.</v>
      </c>
      <c r="AA1411" s="5" t="str">
        <f ca="1">IFERROR(__xludf.DUMMYFUNCTION("""COMPUTED_VALUE"""),"Escalation of Dispute")</f>
        <v>Escalation of Dispute</v>
      </c>
      <c r="AB1411" s="5" t="str">
        <f ca="1">IFERROR(__xludf.DUMMYFUNCTION("""COMPUTED_VALUE"""),"Victims Targeted")</f>
        <v>Victims Targeted</v>
      </c>
      <c r="AC1411" s="5" t="str">
        <f ca="1">IFERROR(__xludf.DUMMYFUNCTION("""COMPUTED_VALUE"""),"Yes")</f>
        <v>Yes</v>
      </c>
      <c r="AD1411" s="5" t="str">
        <f ca="1">IFERROR(__xludf.DUMMYFUNCTION("""COMPUTED_VALUE"""),"No")</f>
        <v>No</v>
      </c>
      <c r="AE1411" s="5" t="str">
        <f ca="1">IFERROR(__xludf.DUMMYFUNCTION("""COMPUTED_VALUE"""),"No")</f>
        <v>No</v>
      </c>
      <c r="AF1411" s="5" t="str">
        <f ca="1">IFERROR(__xludf.DUMMYFUNCTION("""COMPUTED_VALUE"""),"No")</f>
        <v>No</v>
      </c>
      <c r="AG1411" s="5" t="str">
        <f ca="1">IFERROR(__xludf.DUMMYFUNCTION("""COMPUTED_VALUE"""),"No")</f>
        <v>No</v>
      </c>
      <c r="AH1411" s="5" t="str">
        <f ca="1">IFERROR(__xludf.DUMMYFUNCTION("""COMPUTED_VALUE"""),"No")</f>
        <v>No</v>
      </c>
      <c r="AI1411" s="5" t="str">
        <f ca="1">IFERROR(__xludf.DUMMYFUNCTION("""COMPUTED_VALUE"""),"No")</f>
        <v>No</v>
      </c>
      <c r="AJ1411" s="5"/>
    </row>
    <row r="1412" spans="1:36" ht="13">
      <c r="A1412" s="5" t="str">
        <f ca="1">IFERROR(__xludf.DUMMYFUNCTION("""COMPUTED_VALUE"""),"20060819OHSOY")</f>
        <v>20060819OHSOY</v>
      </c>
      <c r="B1412" s="5">
        <f ca="1">IFERROR(__xludf.DUMMYFUNCTION("""COMPUTED_VALUE"""),8)</f>
        <v>8</v>
      </c>
      <c r="C1412" s="5">
        <f ca="1">IFERROR(__xludf.DUMMYFUNCTION("""COMPUTED_VALUE"""),19)</f>
        <v>19</v>
      </c>
      <c r="D1412" s="5">
        <f ca="1">IFERROR(__xludf.DUMMYFUNCTION("""COMPUTED_VALUE"""),2006)</f>
        <v>2006</v>
      </c>
      <c r="E1412" s="8">
        <f ca="1">IFERROR(__xludf.DUMMYFUNCTION("""COMPUTED_VALUE"""),38948)</f>
        <v>38948</v>
      </c>
      <c r="F1412" s="5" t="str">
        <f ca="1">IFERROR(__xludf.DUMMYFUNCTION("""COMPUTED_VALUE"""),"South High School")</f>
        <v>South High School</v>
      </c>
      <c r="G1412" s="5">
        <f ca="1">IFERROR(__xludf.DUMMYFUNCTION("""COMPUTED_VALUE"""),1)</f>
        <v>1</v>
      </c>
      <c r="H1412" s="5">
        <f ca="1">IFERROR(__xludf.DUMMYFUNCTION("""COMPUTED_VALUE"""),0)</f>
        <v>0</v>
      </c>
      <c r="I1412" s="5">
        <f ca="1">IFERROR(__xludf.DUMMYFUNCTION("""COMPUTED_VALUE"""),1)</f>
        <v>1</v>
      </c>
      <c r="J1412" s="5">
        <f ca="1">IFERROR(__xludf.DUMMYFUNCTION("""COMPUTED_VALUE"""),0)</f>
        <v>0</v>
      </c>
      <c r="K1412" s="9" t="str">
        <f ca="1">IFERROR(__xludf.DUMMYFUNCTION("""COMPUTED_VALUE"""),"http://www.vindy.com/news/2009/jul/27/trial-under-way-for-man-accused-of-shooting-death/")</f>
        <v>http://www.vindy.com/news/2009/jul/27/trial-under-way-for-man-accused-of-shooting-death/</v>
      </c>
      <c r="L1412" s="5"/>
      <c r="M1412" s="5"/>
      <c r="N1412" s="5">
        <f ca="1">IFERROR(__xludf.DUMMYFUNCTION("""COMPUTED_VALUE"""),2)</f>
        <v>2</v>
      </c>
      <c r="O1412" s="5" t="str">
        <f ca="1">IFERROR(__xludf.DUMMYFUNCTION("""COMPUTED_VALUE"""),"Summer")</f>
        <v>Summer</v>
      </c>
      <c r="P1412" s="5" t="str">
        <f ca="1">IFERROR(__xludf.DUMMYFUNCTION("""COMPUTED_VALUE"""),"Youngstown")</f>
        <v>Youngstown</v>
      </c>
      <c r="Q1412" s="5" t="str">
        <f ca="1">IFERROR(__xludf.DUMMYFUNCTION("""COMPUTED_VALUE"""),"OH")</f>
        <v>OH</v>
      </c>
      <c r="R1412" s="5" t="str">
        <f ca="1">IFERROR(__xludf.DUMMYFUNCTION("""COMPUTED_VALUE"""),"High")</f>
        <v>High</v>
      </c>
      <c r="S1412" s="5" t="str">
        <f ca="1">IFERROR(__xludf.DUMMYFUNCTION("""COMPUTED_VALUE"""),"Football Field/Track")</f>
        <v>Football Field/Track</v>
      </c>
      <c r="T1412" s="5" t="str">
        <f ca="1">IFERROR(__xludf.DUMMYFUNCTION("""COMPUTED_VALUE"""),"Outside on School Property")</f>
        <v>Outside on School Property</v>
      </c>
      <c r="U1412" s="5" t="str">
        <f ca="1">IFERROR(__xludf.DUMMYFUNCTION("""COMPUTED_VALUE"""),"No")</f>
        <v>No</v>
      </c>
      <c r="V1412" s="5" t="str">
        <f ca="1">IFERROR(__xludf.DUMMYFUNCTION("""COMPUTED_VALUE"""),"Not a School Day")</f>
        <v>Not a School Day</v>
      </c>
      <c r="W1412" s="10">
        <f ca="1">IFERROR(__xludf.DUMMYFUNCTION("""COMPUTED_VALUE"""),0.65625)</f>
        <v>0.65625</v>
      </c>
      <c r="X1412" s="5">
        <f ca="1">IFERROR(__xludf.DUMMYFUNCTION("""COMPUTED_VALUE"""),1)</f>
        <v>1</v>
      </c>
      <c r="Y1412" s="5" t="str">
        <f ca="1">IFERROR(__xludf.DUMMYFUNCTION("""COMPUTED_VALUE"""),"Shots fired during fight between adults at football game, part of Ongoing conflict")</f>
        <v>Shots fired during fight between adults at football game, part of Ongoing conflict</v>
      </c>
      <c r="Z1412" s="5" t="str">
        <f ca="1">IFERROR(__xludf.DUMMYFUNCTION("""COMPUTED_VALUE"""),"25YOM shot 31YOM at youth football game when fight escalated as part of an ongoing dispute.")</f>
        <v>25YOM shot 31YOM at youth football game when fight escalated as part of an ongoing dispute.</v>
      </c>
      <c r="AA1412" s="5" t="str">
        <f ca="1">IFERROR(__xludf.DUMMYFUNCTION("""COMPUTED_VALUE"""),"Escalation of Dispute")</f>
        <v>Escalation of Dispute</v>
      </c>
      <c r="AB1412" s="5" t="str">
        <f ca="1">IFERROR(__xludf.DUMMYFUNCTION("""COMPUTED_VALUE"""),"Victims Targeted")</f>
        <v>Victims Targeted</v>
      </c>
      <c r="AC1412" s="5" t="str">
        <f ca="1">IFERROR(__xludf.DUMMYFUNCTION("""COMPUTED_VALUE"""),"No")</f>
        <v>No</v>
      </c>
      <c r="AD1412" s="5" t="str">
        <f ca="1">IFERROR(__xludf.DUMMYFUNCTION("""COMPUTED_VALUE"""),"No")</f>
        <v>No</v>
      </c>
      <c r="AE1412" s="5" t="str">
        <f ca="1">IFERROR(__xludf.DUMMYFUNCTION("""COMPUTED_VALUE"""),"No")</f>
        <v>No</v>
      </c>
      <c r="AF1412" s="5" t="str">
        <f ca="1">IFERROR(__xludf.DUMMYFUNCTION("""COMPUTED_VALUE"""),"No")</f>
        <v>No</v>
      </c>
      <c r="AG1412" s="5" t="str">
        <f ca="1">IFERROR(__xludf.DUMMYFUNCTION("""COMPUTED_VALUE"""),"No")</f>
        <v>No</v>
      </c>
      <c r="AH1412" s="5" t="str">
        <f ca="1">IFERROR(__xludf.DUMMYFUNCTION("""COMPUTED_VALUE"""),"No")</f>
        <v>No</v>
      </c>
      <c r="AI1412" s="5" t="str">
        <f ca="1">IFERROR(__xludf.DUMMYFUNCTION("""COMPUTED_VALUE"""),"No")</f>
        <v>No</v>
      </c>
      <c r="AJ1412" s="5"/>
    </row>
    <row r="1413" spans="1:36" ht="13">
      <c r="A1413" s="5" t="str">
        <f ca="1">IFERROR(__xludf.DUMMYFUNCTION("""COMPUTED_VALUE"""),"20060817TXMEA")</f>
        <v>20060817TXMEA</v>
      </c>
      <c r="B1413" s="5">
        <f ca="1">IFERROR(__xludf.DUMMYFUNCTION("""COMPUTED_VALUE"""),8)</f>
        <v>8</v>
      </c>
      <c r="C1413" s="5">
        <f ca="1">IFERROR(__xludf.DUMMYFUNCTION("""COMPUTED_VALUE"""),17)</f>
        <v>17</v>
      </c>
      <c r="D1413" s="5">
        <f ca="1">IFERROR(__xludf.DUMMYFUNCTION("""COMPUTED_VALUE"""),2006)</f>
        <v>2006</v>
      </c>
      <c r="E1413" s="8">
        <f ca="1">IFERROR(__xludf.DUMMYFUNCTION("""COMPUTED_VALUE"""),38946)</f>
        <v>38946</v>
      </c>
      <c r="F1413" s="5" t="str">
        <f ca="1">IFERROR(__xludf.DUMMYFUNCTION("""COMPUTED_VALUE"""),"Mendez Middle School")</f>
        <v>Mendez Middle School</v>
      </c>
      <c r="G1413" s="5">
        <f ca="1">IFERROR(__xludf.DUMMYFUNCTION("""COMPUTED_VALUE"""),1)</f>
        <v>1</v>
      </c>
      <c r="H1413" s="5">
        <f ca="1">IFERROR(__xludf.DUMMYFUNCTION("""COMPUTED_VALUE"""),0)</f>
        <v>0</v>
      </c>
      <c r="I1413" s="5">
        <f ca="1">IFERROR(__xludf.DUMMYFUNCTION("""COMPUTED_VALUE"""),1)</f>
        <v>1</v>
      </c>
      <c r="J1413" s="5">
        <f ca="1">IFERROR(__xludf.DUMMYFUNCTION("""COMPUTED_VALUE"""),0)</f>
        <v>0</v>
      </c>
      <c r="K1413" s="9" t="str">
        <f ca="1">IFERROR(__xludf.DUMMYFUNCTION("""COMPUTED_VALUE"""),"http://www.pressreader.com/usa/austin-american-statesman/20060822/281908768618808")</f>
        <v>http://www.pressreader.com/usa/austin-american-statesman/20060822/281908768618808</v>
      </c>
      <c r="L1413" s="5"/>
      <c r="M1413" s="5"/>
      <c r="N1413" s="5">
        <f ca="1">IFERROR(__xludf.DUMMYFUNCTION("""COMPUTED_VALUE"""),2)</f>
        <v>2</v>
      </c>
      <c r="O1413" s="5" t="str">
        <f ca="1">IFERROR(__xludf.DUMMYFUNCTION("""COMPUTED_VALUE"""),"Summer")</f>
        <v>Summer</v>
      </c>
      <c r="P1413" s="5" t="str">
        <f ca="1">IFERROR(__xludf.DUMMYFUNCTION("""COMPUTED_VALUE"""),"Austin")</f>
        <v>Austin</v>
      </c>
      <c r="Q1413" s="5" t="str">
        <f ca="1">IFERROR(__xludf.DUMMYFUNCTION("""COMPUTED_VALUE"""),"TX")</f>
        <v>TX</v>
      </c>
      <c r="R1413" s="5" t="str">
        <f ca="1">IFERROR(__xludf.DUMMYFUNCTION("""COMPUTED_VALUE"""),"Middle")</f>
        <v>Middle</v>
      </c>
      <c r="S1413" s="5" t="str">
        <f ca="1">IFERROR(__xludf.DUMMYFUNCTION("""COMPUTED_VALUE"""),"Outside on School Property")</f>
        <v>Outside on School Property</v>
      </c>
      <c r="T1413" s="5" t="str">
        <f ca="1">IFERROR(__xludf.DUMMYFUNCTION("""COMPUTED_VALUE"""),"Outside on School Property")</f>
        <v>Outside on School Property</v>
      </c>
      <c r="U1413" s="5" t="str">
        <f ca="1">IFERROR(__xludf.DUMMYFUNCTION("""COMPUTED_VALUE"""),"No")</f>
        <v>No</v>
      </c>
      <c r="V1413" s="5" t="str">
        <f ca="1">IFERROR(__xludf.DUMMYFUNCTION("""COMPUTED_VALUE"""),"Not a School Day")</f>
        <v>Not a School Day</v>
      </c>
      <c r="W1413" s="10">
        <f ca="1">IFERROR(__xludf.DUMMYFUNCTION("""COMPUTED_VALUE"""),0.833333333333333)</f>
        <v>0.83333333333333304</v>
      </c>
      <c r="X1413" s="5">
        <f ca="1">IFERROR(__xludf.DUMMYFUNCTION("""COMPUTED_VALUE"""),1)</f>
        <v>1</v>
      </c>
      <c r="Y1413" s="5" t="str">
        <f ca="1">IFERROR(__xludf.DUMMYFUNCTION("""COMPUTED_VALUE"""),"Shot at school by two rival gang members involved in ongoing dispute with victim")</f>
        <v>Shot at school by two rival gang members involved in ongoing dispute with victim</v>
      </c>
      <c r="Z1413" s="5" t="str">
        <f ca="1">IFERROR(__xludf.DUMMYFUNCTION("""COMPUTED_VALUE"""),"21YOM was shot while school to attend birthday party during dispute with two rival gang members.")</f>
        <v>21YOM was shot while school to attend birthday party during dispute with two rival gang members.</v>
      </c>
      <c r="AA1413" s="5" t="str">
        <f ca="1">IFERROR(__xludf.DUMMYFUNCTION("""COMPUTED_VALUE"""),"Escalation of Dispute")</f>
        <v>Escalation of Dispute</v>
      </c>
      <c r="AB1413" s="5" t="str">
        <f ca="1">IFERROR(__xludf.DUMMYFUNCTION("""COMPUTED_VALUE"""),"Victims Targeted")</f>
        <v>Victims Targeted</v>
      </c>
      <c r="AC1413" s="5" t="str">
        <f ca="1">IFERROR(__xludf.DUMMYFUNCTION("""COMPUTED_VALUE"""),"Yes")</f>
        <v>Yes</v>
      </c>
      <c r="AD1413" s="5" t="str">
        <f ca="1">IFERROR(__xludf.DUMMYFUNCTION("""COMPUTED_VALUE"""),"No")</f>
        <v>No</v>
      </c>
      <c r="AE1413" s="5" t="str">
        <f ca="1">IFERROR(__xludf.DUMMYFUNCTION("""COMPUTED_VALUE"""),"No")</f>
        <v>No</v>
      </c>
      <c r="AF1413" s="5" t="str">
        <f ca="1">IFERROR(__xludf.DUMMYFUNCTION("""COMPUTED_VALUE"""),"No")</f>
        <v>No</v>
      </c>
      <c r="AG1413" s="5" t="str">
        <f ca="1">IFERROR(__xludf.DUMMYFUNCTION("""COMPUTED_VALUE"""),"No")</f>
        <v>No</v>
      </c>
      <c r="AH1413" s="5" t="str">
        <f ca="1">IFERROR(__xludf.DUMMYFUNCTION("""COMPUTED_VALUE"""),"No")</f>
        <v>No</v>
      </c>
      <c r="AI1413" s="5" t="str">
        <f ca="1">IFERROR(__xludf.DUMMYFUNCTION("""COMPUTED_VALUE"""),"Yes")</f>
        <v>Yes</v>
      </c>
      <c r="AJ1413" s="5"/>
    </row>
    <row r="1414" spans="1:36" ht="13">
      <c r="A1414" s="5" t="str">
        <f ca="1">IFERROR(__xludf.DUMMYFUNCTION("""COMPUTED_VALUE"""),"20060815KYJTV")</f>
        <v>20060815KYJTV</v>
      </c>
      <c r="B1414" s="5">
        <f ca="1">IFERROR(__xludf.DUMMYFUNCTION("""COMPUTED_VALUE"""),8)</f>
        <v>8</v>
      </c>
      <c r="C1414" s="5">
        <f ca="1">IFERROR(__xludf.DUMMYFUNCTION("""COMPUTED_VALUE"""),15)</f>
        <v>15</v>
      </c>
      <c r="D1414" s="5">
        <f ca="1">IFERROR(__xludf.DUMMYFUNCTION("""COMPUTED_VALUE"""),2006)</f>
        <v>2006</v>
      </c>
      <c r="E1414" s="8">
        <f ca="1">IFERROR(__xludf.DUMMYFUNCTION("""COMPUTED_VALUE"""),38944)</f>
        <v>38944</v>
      </c>
      <c r="F1414" s="5" t="str">
        <f ca="1">IFERROR(__xludf.DUMMYFUNCTION("""COMPUTED_VALUE"""),"J T Alton Middle School")</f>
        <v>J T Alton Middle School</v>
      </c>
      <c r="G1414" s="5">
        <f ca="1">IFERROR(__xludf.DUMMYFUNCTION("""COMPUTED_VALUE"""),0)</f>
        <v>0</v>
      </c>
      <c r="H1414" s="5">
        <f ca="1">IFERROR(__xludf.DUMMYFUNCTION("""COMPUTED_VALUE"""),0)</f>
        <v>0</v>
      </c>
      <c r="I1414" s="5">
        <f ca="1">IFERROR(__xludf.DUMMYFUNCTION("""COMPUTED_VALUE"""),0)</f>
        <v>0</v>
      </c>
      <c r="J1414" s="5">
        <f ca="1">IFERROR(__xludf.DUMMYFUNCTION("""COMPUTED_VALUE"""),0)</f>
        <v>0</v>
      </c>
      <c r="K1414" s="9" t="str">
        <f ca="1">IFERROR(__xludf.DUMMYFUNCTION("""COMPUTED_VALUE"""),"https://www.newspapers.com/image/379718672/?terms=J.%2BT.%2BAlton%2BMiddle%2BSchool%2Bbullet%2Bceiling")</f>
        <v>https://www.newspapers.com/image/379718672/?terms=J.%2BT.%2BAlton%2BMiddle%2BSchool%2Bbullet%2Bceiling</v>
      </c>
      <c r="L1414" s="5"/>
      <c r="M1414" s="5"/>
      <c r="N1414" s="5">
        <f ca="1">IFERROR(__xludf.DUMMYFUNCTION("""COMPUTED_VALUE"""),2)</f>
        <v>2</v>
      </c>
      <c r="O1414" s="5" t="str">
        <f ca="1">IFERROR(__xludf.DUMMYFUNCTION("""COMPUTED_VALUE"""),"Summer")</f>
        <v>Summer</v>
      </c>
      <c r="P1414" s="5" t="str">
        <f ca="1">IFERROR(__xludf.DUMMYFUNCTION("""COMPUTED_VALUE"""),"Vine Grove")</f>
        <v>Vine Grove</v>
      </c>
      <c r="Q1414" s="5" t="str">
        <f ca="1">IFERROR(__xludf.DUMMYFUNCTION("""COMPUTED_VALUE"""),"KY")</f>
        <v>KY</v>
      </c>
      <c r="R1414" s="5" t="str">
        <f ca="1">IFERROR(__xludf.DUMMYFUNCTION("""COMPUTED_VALUE"""),"Middle")</f>
        <v>Middle</v>
      </c>
      <c r="S1414" s="5" t="str">
        <f ca="1">IFERROR(__xludf.DUMMYFUNCTION("""COMPUTED_VALUE"""),"Classroom")</f>
        <v>Classroom</v>
      </c>
      <c r="T1414" s="5" t="str">
        <f ca="1">IFERROR(__xludf.DUMMYFUNCTION("""COMPUTED_VALUE"""),"Inside School Building")</f>
        <v>Inside School Building</v>
      </c>
      <c r="U1414" s="5" t="str">
        <f ca="1">IFERROR(__xludf.DUMMYFUNCTION("""COMPUTED_VALUE"""),"Yes")</f>
        <v>Yes</v>
      </c>
      <c r="V1414" s="5"/>
      <c r="W1414" s="5"/>
      <c r="X1414" s="5">
        <f ca="1">IFERROR(__xludf.DUMMYFUNCTION("""COMPUTED_VALUE"""),1)</f>
        <v>1</v>
      </c>
      <c r="Y1414" s="5" t="str">
        <f ca="1">IFERROR(__xludf.DUMMYFUNCTION("""COMPUTED_VALUE"""),"Showing off gun, accidentally fired striking ceiling")</f>
        <v>Showing off gun, accidentally fired striking ceiling</v>
      </c>
      <c r="Z1414" s="5" t="str">
        <f ca="1">IFERROR(__xludf.DUMMYFUNCTION("""COMPUTED_VALUE"""),"13YOM student was showing off handgun in classroom to other students. Accidental discharge striking ceiling. Shooter surrendered to teacher immediately.")</f>
        <v>13YOM student was showing off handgun in classroom to other students. Accidental discharge striking ceiling. Shooter surrendered to teacher immediately.</v>
      </c>
      <c r="AA1414" s="5" t="str">
        <f ca="1">IFERROR(__xludf.DUMMYFUNCTION("""COMPUTED_VALUE"""),"Accidental")</f>
        <v>Accidental</v>
      </c>
      <c r="AB1414" s="5" t="str">
        <f ca="1">IFERROR(__xludf.DUMMYFUNCTION("""COMPUTED_VALUE"""),"Neither")</f>
        <v>Neither</v>
      </c>
      <c r="AC1414" s="5" t="str">
        <f ca="1">IFERROR(__xludf.DUMMYFUNCTION("""COMPUTED_VALUE"""),"No")</f>
        <v>No</v>
      </c>
      <c r="AD1414" s="5" t="str">
        <f ca="1">IFERROR(__xludf.DUMMYFUNCTION("""COMPUTED_VALUE"""),"No")</f>
        <v>No</v>
      </c>
      <c r="AE1414" s="5" t="str">
        <f ca="1">IFERROR(__xludf.DUMMYFUNCTION("""COMPUTED_VALUE"""),"No")</f>
        <v>No</v>
      </c>
      <c r="AF1414" s="5" t="str">
        <f ca="1">IFERROR(__xludf.DUMMYFUNCTION("""COMPUTED_VALUE"""),"No")</f>
        <v>No</v>
      </c>
      <c r="AG1414" s="5" t="str">
        <f ca="1">IFERROR(__xludf.DUMMYFUNCTION("""COMPUTED_VALUE"""),"No")</f>
        <v>No</v>
      </c>
      <c r="AH1414" s="5" t="str">
        <f ca="1">IFERROR(__xludf.DUMMYFUNCTION("""COMPUTED_VALUE"""),"No")</f>
        <v>No</v>
      </c>
      <c r="AI1414" s="5" t="str">
        <f ca="1">IFERROR(__xludf.DUMMYFUNCTION("""COMPUTED_VALUE"""),"No")</f>
        <v>No</v>
      </c>
      <c r="AJ1414" s="5"/>
    </row>
    <row r="1415" spans="1:36" ht="13">
      <c r="A1415" s="5" t="str">
        <f ca="1">IFERROR(__xludf.DUMMYFUNCTION("""COMPUTED_VALUE"""),"20060731FLYOT")</f>
        <v>20060731FLYOT</v>
      </c>
      <c r="B1415" s="5">
        <f ca="1">IFERROR(__xludf.DUMMYFUNCTION("""COMPUTED_VALUE"""),7)</f>
        <v>7</v>
      </c>
      <c r="C1415" s="5">
        <f ca="1">IFERROR(__xludf.DUMMYFUNCTION("""COMPUTED_VALUE"""),31)</f>
        <v>31</v>
      </c>
      <c r="D1415" s="5">
        <f ca="1">IFERROR(__xludf.DUMMYFUNCTION("""COMPUTED_VALUE"""),2006)</f>
        <v>2006</v>
      </c>
      <c r="E1415" s="8">
        <f ca="1">IFERROR(__xludf.DUMMYFUNCTION("""COMPUTED_VALUE"""),38929)</f>
        <v>38929</v>
      </c>
      <c r="F1415" s="5" t="str">
        <f ca="1">IFERROR(__xludf.DUMMYFUNCTION("""COMPUTED_VALUE"""),"Young Middle Magnet School")</f>
        <v>Young Middle Magnet School</v>
      </c>
      <c r="G1415" s="5">
        <f ca="1">IFERROR(__xludf.DUMMYFUNCTION("""COMPUTED_VALUE"""),1)</f>
        <v>1</v>
      </c>
      <c r="H1415" s="5">
        <f ca="1">IFERROR(__xludf.DUMMYFUNCTION("""COMPUTED_VALUE"""),0)</f>
        <v>0</v>
      </c>
      <c r="I1415" s="5">
        <f ca="1">IFERROR(__xludf.DUMMYFUNCTION("""COMPUTED_VALUE"""),1)</f>
        <v>1</v>
      </c>
      <c r="J1415" s="5">
        <f ca="1">IFERROR(__xludf.DUMMYFUNCTION("""COMPUTED_VALUE"""),1)</f>
        <v>1</v>
      </c>
      <c r="K1415" s="9" t="str">
        <f ca="1">IFERROR(__xludf.DUMMYFUNCTION("""COMPUTED_VALUE"""),"https://www.newspapers.com/image/330166745/")</f>
        <v>https://www.newspapers.com/image/330166745/</v>
      </c>
      <c r="L1415" s="5"/>
      <c r="M1415" s="5"/>
      <c r="N1415" s="5">
        <f ca="1">IFERROR(__xludf.DUMMYFUNCTION("""COMPUTED_VALUE"""),2)</f>
        <v>2</v>
      </c>
      <c r="O1415" s="5" t="str">
        <f ca="1">IFERROR(__xludf.DUMMYFUNCTION("""COMPUTED_VALUE"""),"Summer")</f>
        <v>Summer</v>
      </c>
      <c r="P1415" s="5" t="str">
        <f ca="1">IFERROR(__xludf.DUMMYFUNCTION("""COMPUTED_VALUE"""),"Tampa")</f>
        <v>Tampa</v>
      </c>
      <c r="Q1415" s="5" t="str">
        <f ca="1">IFERROR(__xludf.DUMMYFUNCTION("""COMPUTED_VALUE"""),"FL")</f>
        <v>FL</v>
      </c>
      <c r="R1415" s="5" t="str">
        <f ca="1">IFERROR(__xludf.DUMMYFUNCTION("""COMPUTED_VALUE"""),"Middle")</f>
        <v>Middle</v>
      </c>
      <c r="S1415" s="5" t="str">
        <f ca="1">IFERROR(__xludf.DUMMYFUNCTION("""COMPUTED_VALUE"""),"Parking Lot")</f>
        <v>Parking Lot</v>
      </c>
      <c r="T1415" s="5" t="str">
        <f ca="1">IFERROR(__xludf.DUMMYFUNCTION("""COMPUTED_VALUE"""),"Outside on School Property")</f>
        <v>Outside on School Property</v>
      </c>
      <c r="U1415" s="5" t="str">
        <f ca="1">IFERROR(__xludf.DUMMYFUNCTION("""COMPUTED_VALUE"""),"No")</f>
        <v>No</v>
      </c>
      <c r="V1415" s="5" t="str">
        <f ca="1">IFERROR(__xludf.DUMMYFUNCTION("""COMPUTED_VALUE"""),"Before School")</f>
        <v>Before School</v>
      </c>
      <c r="W1415" s="10">
        <f ca="1">IFERROR(__xludf.DUMMYFUNCTION("""COMPUTED_VALUE"""),0.263888888888888)</f>
        <v>0.26388888888888801</v>
      </c>
      <c r="X1415" s="5">
        <f ca="1">IFERROR(__xludf.DUMMYFUNCTION("""COMPUTED_VALUE"""),1)</f>
        <v>1</v>
      </c>
      <c r="Y1415" s="5" t="str">
        <f ca="1">IFERROR(__xludf.DUMMYFUNCTION("""COMPUTED_VALUE"""),"Dropped off kids, husband and wife were found dead in car in parking lot, believed to be murder/suicide")</f>
        <v>Dropped off kids, husband and wife were found dead in car in parking lot, believed to be murder/suicide</v>
      </c>
      <c r="Z1415" s="5" t="str">
        <f ca="1">IFERROR(__xludf.DUMMYFUNCTION("""COMPUTED_VALUE"""),"54YOM and 38YOF were found dead from GSW in their car in the parking lot of the school. Children had been dropped off at school. Police said a murder/suicide was possible.")</f>
        <v>54YOM and 38YOF were found dead from GSW in their car in the parking lot of the school. Children had been dropped off at school. Police said a murder/suicide was possible.</v>
      </c>
      <c r="AA1415" s="5" t="str">
        <f ca="1">IFERROR(__xludf.DUMMYFUNCTION("""COMPUTED_VALUE"""),"Murder/Suicide")</f>
        <v>Murder/Suicide</v>
      </c>
      <c r="AB1415" s="5" t="str">
        <f ca="1">IFERROR(__xludf.DUMMYFUNCTION("""COMPUTED_VALUE"""),"Victims Targeted")</f>
        <v>Victims Targeted</v>
      </c>
      <c r="AC1415" s="5" t="str">
        <f ca="1">IFERROR(__xludf.DUMMYFUNCTION("""COMPUTED_VALUE"""),"No")</f>
        <v>No</v>
      </c>
      <c r="AD1415" s="5" t="str">
        <f ca="1">IFERROR(__xludf.DUMMYFUNCTION("""COMPUTED_VALUE"""),"No")</f>
        <v>No</v>
      </c>
      <c r="AE1415" s="5" t="str">
        <f ca="1">IFERROR(__xludf.DUMMYFUNCTION("""COMPUTED_VALUE"""),"No")</f>
        <v>No</v>
      </c>
      <c r="AF1415" s="5" t="str">
        <f ca="1">IFERROR(__xludf.DUMMYFUNCTION("""COMPUTED_VALUE"""),"No")</f>
        <v>No</v>
      </c>
      <c r="AG1415" s="5" t="str">
        <f ca="1">IFERROR(__xludf.DUMMYFUNCTION("""COMPUTED_VALUE"""),"No")</f>
        <v>No</v>
      </c>
      <c r="AH1415" s="5" t="str">
        <f ca="1">IFERROR(__xludf.DUMMYFUNCTION("""COMPUTED_VALUE"""),"Yes")</f>
        <v>Yes</v>
      </c>
      <c r="AI1415" s="5" t="str">
        <f ca="1">IFERROR(__xludf.DUMMYFUNCTION("""COMPUTED_VALUE"""),"No")</f>
        <v>No</v>
      </c>
      <c r="AJ1415" s="5"/>
    </row>
    <row r="1416" spans="1:36" ht="13">
      <c r="A1416" s="5" t="str">
        <f ca="1">IFERROR(__xludf.DUMMYFUNCTION("""COMPUTED_VALUE"""),"20060615MIPED")</f>
        <v>20060615MIPED</v>
      </c>
      <c r="B1416" s="5">
        <f ca="1">IFERROR(__xludf.DUMMYFUNCTION("""COMPUTED_VALUE"""),6)</f>
        <v>6</v>
      </c>
      <c r="C1416" s="5">
        <f ca="1">IFERROR(__xludf.DUMMYFUNCTION("""COMPUTED_VALUE"""),15)</f>
        <v>15</v>
      </c>
      <c r="D1416" s="5">
        <f ca="1">IFERROR(__xludf.DUMMYFUNCTION("""COMPUTED_VALUE"""),2006)</f>
        <v>2006</v>
      </c>
      <c r="E1416" s="8">
        <f ca="1">IFERROR(__xludf.DUMMYFUNCTION("""COMPUTED_VALUE"""),38883)</f>
        <v>38883</v>
      </c>
      <c r="F1416" s="5" t="str">
        <f ca="1">IFERROR(__xludf.DUMMYFUNCTION("""COMPUTED_VALUE"""),"Pershing High School")</f>
        <v>Pershing High School</v>
      </c>
      <c r="G1416" s="5">
        <f ca="1">IFERROR(__xludf.DUMMYFUNCTION("""COMPUTED_VALUE"""),0)</f>
        <v>0</v>
      </c>
      <c r="H1416" s="5">
        <f ca="1">IFERROR(__xludf.DUMMYFUNCTION("""COMPUTED_VALUE"""),1)</f>
        <v>1</v>
      </c>
      <c r="I1416" s="5">
        <f ca="1">IFERROR(__xludf.DUMMYFUNCTION("""COMPUTED_VALUE"""),1)</f>
        <v>1</v>
      </c>
      <c r="J1416" s="5">
        <f ca="1">IFERROR(__xludf.DUMMYFUNCTION("""COMPUTED_VALUE"""),0)</f>
        <v>0</v>
      </c>
      <c r="K1416" s="9" t="str">
        <f ca="1">IFERROR(__xludf.DUMMYFUNCTION("""COMPUTED_VALUE"""),"https://www.newspapers.com/image/363378271/?terms=Pershing%2BHigh%2BSchool%2Bshooting")</f>
        <v>https://www.newspapers.com/image/363378271/?terms=Pershing%2BHigh%2BSchool%2Bshooting</v>
      </c>
      <c r="L1416" s="5"/>
      <c r="M1416" s="5"/>
      <c r="N1416" s="5">
        <f ca="1">IFERROR(__xludf.DUMMYFUNCTION("""COMPUTED_VALUE"""),2)</f>
        <v>2</v>
      </c>
      <c r="O1416" s="5" t="str">
        <f ca="1">IFERROR(__xludf.DUMMYFUNCTION("""COMPUTED_VALUE"""),"Summer")</f>
        <v>Summer</v>
      </c>
      <c r="P1416" s="5" t="str">
        <f ca="1">IFERROR(__xludf.DUMMYFUNCTION("""COMPUTED_VALUE"""),"Detroit")</f>
        <v>Detroit</v>
      </c>
      <c r="Q1416" s="5" t="str">
        <f ca="1">IFERROR(__xludf.DUMMYFUNCTION("""COMPUTED_VALUE"""),"MI")</f>
        <v>MI</v>
      </c>
      <c r="R1416" s="5" t="str">
        <f ca="1">IFERROR(__xludf.DUMMYFUNCTION("""COMPUTED_VALUE"""),"High")</f>
        <v>High</v>
      </c>
      <c r="S1416" s="5" t="str">
        <f ca="1">IFERROR(__xludf.DUMMYFUNCTION("""COMPUTED_VALUE"""),"Front of School")</f>
        <v>Front of School</v>
      </c>
      <c r="T1416" s="5" t="str">
        <f ca="1">IFERROR(__xludf.DUMMYFUNCTION("""COMPUTED_VALUE"""),"Outside on School Property")</f>
        <v>Outside on School Property</v>
      </c>
      <c r="U1416" s="5" t="str">
        <f ca="1">IFERROR(__xludf.DUMMYFUNCTION("""COMPUTED_VALUE"""),"No")</f>
        <v>No</v>
      </c>
      <c r="V1416" s="5" t="str">
        <f ca="1">IFERROR(__xludf.DUMMYFUNCTION("""COMPUTED_VALUE"""),"Evening")</f>
        <v>Evening</v>
      </c>
      <c r="W1416" s="10">
        <f ca="1">IFERROR(__xludf.DUMMYFUNCTION("""COMPUTED_VALUE"""),0.753472222222222)</f>
        <v>0.75347222222222199</v>
      </c>
      <c r="X1416" s="5">
        <f ca="1">IFERROR(__xludf.DUMMYFUNCTION("""COMPUTED_VALUE"""),1)</f>
        <v>1</v>
      </c>
      <c r="Y1416" s="5" t="str">
        <f ca="1">IFERROR(__xludf.DUMMYFUNCTION("""COMPUTED_VALUE"""),"Students throwing bottles at cars, car chased them down and shot student 3 times")</f>
        <v>Students throwing bottles at cars, car chased them down and shot student 3 times</v>
      </c>
      <c r="Z1416" s="5" t="str">
        <f ca="1">IFERROR(__xludf.DUMMYFUNCTION("""COMPUTED_VALUE"""),"Two students were outside of the school throwing bottles at passing cars. One of the cars stopped, chased the students down, and the driver shot 16YOM student 3 times in the back. Shooter fled and was not identified.")</f>
        <v>Two students were outside of the school throwing bottles at passing cars. One of the cars stopped, chased the students down, and the driver shot 16YOM student 3 times in the back. Shooter fled and was not identified.</v>
      </c>
      <c r="AA1416" s="5" t="str">
        <f ca="1">IFERROR(__xludf.DUMMYFUNCTION("""COMPUTED_VALUE"""),"Escalation of Dispute")</f>
        <v>Escalation of Dispute</v>
      </c>
      <c r="AB1416" s="5" t="str">
        <f ca="1">IFERROR(__xludf.DUMMYFUNCTION("""COMPUTED_VALUE"""),"Victims Targeted")</f>
        <v>Victims Targeted</v>
      </c>
      <c r="AC1416" s="5" t="str">
        <f ca="1">IFERROR(__xludf.DUMMYFUNCTION("""COMPUTED_VALUE"""),"Yes")</f>
        <v>Yes</v>
      </c>
      <c r="AD1416" s="5" t="str">
        <f ca="1">IFERROR(__xludf.DUMMYFUNCTION("""COMPUTED_VALUE"""),"No")</f>
        <v>No</v>
      </c>
      <c r="AE1416" s="5" t="str">
        <f ca="1">IFERROR(__xludf.DUMMYFUNCTION("""COMPUTED_VALUE"""),"No")</f>
        <v>No</v>
      </c>
      <c r="AF1416" s="5" t="str">
        <f ca="1">IFERROR(__xludf.DUMMYFUNCTION("""COMPUTED_VALUE"""),"No")</f>
        <v>No</v>
      </c>
      <c r="AG1416" s="5" t="str">
        <f ca="1">IFERROR(__xludf.DUMMYFUNCTION("""COMPUTED_VALUE"""),"No")</f>
        <v>No</v>
      </c>
      <c r="AH1416" s="5" t="str">
        <f ca="1">IFERROR(__xludf.DUMMYFUNCTION("""COMPUTED_VALUE"""),"No")</f>
        <v>No</v>
      </c>
      <c r="AI1416" s="5" t="str">
        <f ca="1">IFERROR(__xludf.DUMMYFUNCTION("""COMPUTED_VALUE"""),"No")</f>
        <v>No</v>
      </c>
      <c r="AJ1416" s="5"/>
    </row>
    <row r="1417" spans="1:36" ht="13">
      <c r="A1417" s="5" t="str">
        <f ca="1">IFERROR(__xludf.DUMMYFUNCTION("""COMPUTED_VALUE"""),"20060606INWIG")</f>
        <v>20060606INWIG</v>
      </c>
      <c r="B1417" s="5">
        <f ca="1">IFERROR(__xludf.DUMMYFUNCTION("""COMPUTED_VALUE"""),6)</f>
        <v>6</v>
      </c>
      <c r="C1417" s="5">
        <f ca="1">IFERROR(__xludf.DUMMYFUNCTION("""COMPUTED_VALUE"""),6)</f>
        <v>6</v>
      </c>
      <c r="D1417" s="5">
        <f ca="1">IFERROR(__xludf.DUMMYFUNCTION("""COMPUTED_VALUE"""),2006)</f>
        <v>2006</v>
      </c>
      <c r="E1417" s="8">
        <f ca="1">IFERROR(__xludf.DUMMYFUNCTION("""COMPUTED_VALUE"""),38874)</f>
        <v>38874</v>
      </c>
      <c r="F1417" s="5" t="str">
        <f ca="1">IFERROR(__xludf.DUMMYFUNCTION("""COMPUTED_VALUE"""),"Wirt High School")</f>
        <v>Wirt High School</v>
      </c>
      <c r="G1417" s="5">
        <f ca="1">IFERROR(__xludf.DUMMYFUNCTION("""COMPUTED_VALUE"""),1)</f>
        <v>1</v>
      </c>
      <c r="H1417" s="5">
        <f ca="1">IFERROR(__xludf.DUMMYFUNCTION("""COMPUTED_VALUE"""),0)</f>
        <v>0</v>
      </c>
      <c r="I1417" s="5">
        <f ca="1">IFERROR(__xludf.DUMMYFUNCTION("""COMPUTED_VALUE"""),1)</f>
        <v>1</v>
      </c>
      <c r="J1417" s="5">
        <f ca="1">IFERROR(__xludf.DUMMYFUNCTION("""COMPUTED_VALUE"""),0)</f>
        <v>0</v>
      </c>
      <c r="K1417" s="9" t="str">
        <f ca="1">IFERROR(__xludf.DUMMYFUNCTION("""COMPUTED_VALUE"""),"https://www.nwitimes.com/news/local/eskew-guilty-in-wirt-high-school-shooting/article_c43a6d4c-8921-5a4a-8e1a-8af4f3506ca2.html")</f>
        <v>https://www.nwitimes.com/news/local/eskew-guilty-in-wirt-high-school-shooting/article_c43a6d4c-8921-5a4a-8e1a-8af4f3506ca2.html</v>
      </c>
      <c r="L1417" s="5"/>
      <c r="M1417" s="5"/>
      <c r="N1417" s="5">
        <f ca="1">IFERROR(__xludf.DUMMYFUNCTION("""COMPUTED_VALUE"""),2)</f>
        <v>2</v>
      </c>
      <c r="O1417" s="5" t="str">
        <f ca="1">IFERROR(__xludf.DUMMYFUNCTION("""COMPUTED_VALUE"""),"Summer")</f>
        <v>Summer</v>
      </c>
      <c r="P1417" s="5" t="str">
        <f ca="1">IFERROR(__xludf.DUMMYFUNCTION("""COMPUTED_VALUE"""),"Gary")</f>
        <v>Gary</v>
      </c>
      <c r="Q1417" s="5" t="str">
        <f ca="1">IFERROR(__xludf.DUMMYFUNCTION("""COMPUTED_VALUE"""),"IN")</f>
        <v>IN</v>
      </c>
      <c r="R1417" s="5" t="str">
        <f ca="1">IFERROR(__xludf.DUMMYFUNCTION("""COMPUTED_VALUE"""),"High")</f>
        <v>High</v>
      </c>
      <c r="S1417" s="5" t="str">
        <f ca="1">IFERROR(__xludf.DUMMYFUNCTION("""COMPUTED_VALUE"""),"Auditorium")</f>
        <v>Auditorium</v>
      </c>
      <c r="T1417" s="5" t="str">
        <f ca="1">IFERROR(__xludf.DUMMYFUNCTION("""COMPUTED_VALUE"""),"Inside School Building")</f>
        <v>Inside School Building</v>
      </c>
      <c r="U1417" s="5" t="str">
        <f ca="1">IFERROR(__xludf.DUMMYFUNCTION("""COMPUTED_VALUE"""),"No")</f>
        <v>No</v>
      </c>
      <c r="V1417" s="5" t="str">
        <f ca="1">IFERROR(__xludf.DUMMYFUNCTION("""COMPUTED_VALUE"""),"School Event")</f>
        <v>School Event</v>
      </c>
      <c r="W1417" s="5"/>
      <c r="X1417" s="5">
        <f ca="1">IFERROR(__xludf.DUMMYFUNCTION("""COMPUTED_VALUE"""),1)</f>
        <v>1</v>
      </c>
      <c r="Y1417" s="5" t="str">
        <f ca="1">IFERROR(__xludf.DUMMYFUNCTION("""COMPUTED_VALUE"""),"Fight between relatives at graduation")</f>
        <v>Fight between relatives at graduation</v>
      </c>
      <c r="Z1417" s="5" t="str">
        <f ca="1">IFERROR(__xludf.DUMMYFUNCTION("""COMPUTED_VALUE"""),"Dispute between relatives of different students at graduation. A 21YOM removed his shirt and wanted to fight a 19YOM. The brother of the 19YOM shot the victim 3 times.")</f>
        <v>Dispute between relatives of different students at graduation. A 21YOM removed his shirt and wanted to fight a 19YOM. The brother of the 19YOM shot the victim 3 times.</v>
      </c>
      <c r="AA1417" s="5" t="str">
        <f ca="1">IFERROR(__xludf.DUMMYFUNCTION("""COMPUTED_VALUE"""),"Escalation of Dispute")</f>
        <v>Escalation of Dispute</v>
      </c>
      <c r="AB1417" s="5" t="str">
        <f ca="1">IFERROR(__xludf.DUMMYFUNCTION("""COMPUTED_VALUE"""),"Victims Targeted")</f>
        <v>Victims Targeted</v>
      </c>
      <c r="AC1417" s="5" t="str">
        <f ca="1">IFERROR(__xludf.DUMMYFUNCTION("""COMPUTED_VALUE"""),"Yes")</f>
        <v>Yes</v>
      </c>
      <c r="AD1417" s="5" t="str">
        <f ca="1">IFERROR(__xludf.DUMMYFUNCTION("""COMPUTED_VALUE"""),"No")</f>
        <v>No</v>
      </c>
      <c r="AE1417" s="5" t="str">
        <f ca="1">IFERROR(__xludf.DUMMYFUNCTION("""COMPUTED_VALUE"""),"No")</f>
        <v>No</v>
      </c>
      <c r="AF1417" s="5" t="str">
        <f ca="1">IFERROR(__xludf.DUMMYFUNCTION("""COMPUTED_VALUE"""),"No")</f>
        <v>No</v>
      </c>
      <c r="AG1417" s="5" t="str">
        <f ca="1">IFERROR(__xludf.DUMMYFUNCTION("""COMPUTED_VALUE"""),"No")</f>
        <v>No</v>
      </c>
      <c r="AH1417" s="5" t="str">
        <f ca="1">IFERROR(__xludf.DUMMYFUNCTION("""COMPUTED_VALUE"""),"No")</f>
        <v>No</v>
      </c>
      <c r="AI1417" s="5" t="str">
        <f ca="1">IFERROR(__xludf.DUMMYFUNCTION("""COMPUTED_VALUE"""),"No")</f>
        <v>No</v>
      </c>
      <c r="AJ1417" s="5"/>
    </row>
    <row r="1418" spans="1:36" ht="13">
      <c r="A1418" s="5" t="str">
        <f ca="1">IFERROR(__xludf.DUMMYFUNCTION("""COMPUTED_VALUE"""),"20060605CAVEL")</f>
        <v>20060605CAVEL</v>
      </c>
      <c r="B1418" s="5">
        <f ca="1">IFERROR(__xludf.DUMMYFUNCTION("""COMPUTED_VALUE"""),6)</f>
        <v>6</v>
      </c>
      <c r="C1418" s="5">
        <f ca="1">IFERROR(__xludf.DUMMYFUNCTION("""COMPUTED_VALUE"""),5)</f>
        <v>5</v>
      </c>
      <c r="D1418" s="5">
        <f ca="1">IFERROR(__xludf.DUMMYFUNCTION("""COMPUTED_VALUE"""),2006)</f>
        <v>2006</v>
      </c>
      <c r="E1418" s="8">
        <f ca="1">IFERROR(__xludf.DUMMYFUNCTION("""COMPUTED_VALUE"""),38873)</f>
        <v>38873</v>
      </c>
      <c r="F1418" s="5" t="str">
        <f ca="1">IFERROR(__xludf.DUMMYFUNCTION("""COMPUTED_VALUE"""),"Venice High School")</f>
        <v>Venice High School</v>
      </c>
      <c r="G1418" s="5">
        <f ca="1">IFERROR(__xludf.DUMMYFUNCTION("""COMPUTED_VALUE"""),1)</f>
        <v>1</v>
      </c>
      <c r="H1418" s="5">
        <f ca="1">IFERROR(__xludf.DUMMYFUNCTION("""COMPUTED_VALUE"""),0)</f>
        <v>0</v>
      </c>
      <c r="I1418" s="5">
        <f ca="1">IFERROR(__xludf.DUMMYFUNCTION("""COMPUTED_VALUE"""),1)</f>
        <v>1</v>
      </c>
      <c r="J1418" s="5">
        <f ca="1">IFERROR(__xludf.DUMMYFUNCTION("""COMPUTED_VALUE"""),0)</f>
        <v>0</v>
      </c>
      <c r="K1418" s="9" t="str">
        <f ca="1">IFERROR(__xludf.DUMMYFUNCTION("""COMPUTED_VALUE"""),"http://articles.latimes.com/2006/jun/07/local/me-venice7")</f>
        <v>http://articles.latimes.com/2006/jun/07/local/me-venice7</v>
      </c>
      <c r="L1418" s="5"/>
      <c r="M1418" s="5"/>
      <c r="N1418" s="5">
        <f ca="1">IFERROR(__xludf.DUMMYFUNCTION("""COMPUTED_VALUE"""),2)</f>
        <v>2</v>
      </c>
      <c r="O1418" s="5" t="str">
        <f ca="1">IFERROR(__xludf.DUMMYFUNCTION("""COMPUTED_VALUE"""),"Summer")</f>
        <v>Summer</v>
      </c>
      <c r="P1418" s="5" t="str">
        <f ca="1">IFERROR(__xludf.DUMMYFUNCTION("""COMPUTED_VALUE"""),"Los Angeles")</f>
        <v>Los Angeles</v>
      </c>
      <c r="Q1418" s="5" t="str">
        <f ca="1">IFERROR(__xludf.DUMMYFUNCTION("""COMPUTED_VALUE"""),"CA")</f>
        <v>CA</v>
      </c>
      <c r="R1418" s="5" t="str">
        <f ca="1">IFERROR(__xludf.DUMMYFUNCTION("""COMPUTED_VALUE"""),"High")</f>
        <v>High</v>
      </c>
      <c r="S1418" s="5" t="str">
        <f ca="1">IFERROR(__xludf.DUMMYFUNCTION("""COMPUTED_VALUE"""),"Parking Lot")</f>
        <v>Parking Lot</v>
      </c>
      <c r="T1418" s="5" t="str">
        <f ca="1">IFERROR(__xludf.DUMMYFUNCTION("""COMPUTED_VALUE"""),"Outside on School Property")</f>
        <v>Outside on School Property</v>
      </c>
      <c r="U1418" s="5" t="str">
        <f ca="1">IFERROR(__xludf.DUMMYFUNCTION("""COMPUTED_VALUE"""),"Yes")</f>
        <v>Yes</v>
      </c>
      <c r="V1418" s="5" t="str">
        <f ca="1">IFERROR(__xludf.DUMMYFUNCTION("""COMPUTED_VALUE"""),"Dismissal")</f>
        <v>Dismissal</v>
      </c>
      <c r="W1418" s="10">
        <f ca="1">IFERROR(__xludf.DUMMYFUNCTION("""COMPUTED_VALUE"""),0.631944444444444)</f>
        <v>0.63194444444444398</v>
      </c>
      <c r="X1418" s="5">
        <f ca="1">IFERROR(__xludf.DUMMYFUNCTION("""COMPUTED_VALUE"""),1)</f>
        <v>1</v>
      </c>
      <c r="Y1418" s="5" t="str">
        <f ca="1">IFERROR(__xludf.DUMMYFUNCTION("""COMPUTED_VALUE"""),"Gang member tried to steal silver cross of victim's brother")</f>
        <v>Gang member tried to steal silver cross of victim's brother</v>
      </c>
      <c r="Z1418" s="5" t="str">
        <f ca="1">IFERROR(__xludf.DUMMYFUNCTION("""COMPUTED_VALUE"""),"Gang member attempted to steal silver cross from victims brother inside school. When the victim fled to the parking lot, the suspect shot victim.")</f>
        <v>Gang member attempted to steal silver cross from victims brother inside school. When the victim fled to the parking lot, the suspect shot victim.</v>
      </c>
      <c r="AA1418" s="5" t="str">
        <f ca="1">IFERROR(__xludf.DUMMYFUNCTION("""COMPUTED_VALUE"""),"Illegal Activity")</f>
        <v>Illegal Activity</v>
      </c>
      <c r="AB1418" s="5" t="str">
        <f ca="1">IFERROR(__xludf.DUMMYFUNCTION("""COMPUTED_VALUE"""),"Victims Targeted")</f>
        <v>Victims Targeted</v>
      </c>
      <c r="AC1418" s="5" t="str">
        <f ca="1">IFERROR(__xludf.DUMMYFUNCTION("""COMPUTED_VALUE"""),"Yes")</f>
        <v>Yes</v>
      </c>
      <c r="AD1418" s="5" t="str">
        <f ca="1">IFERROR(__xludf.DUMMYFUNCTION("""COMPUTED_VALUE"""),"No")</f>
        <v>No</v>
      </c>
      <c r="AE1418" s="5" t="str">
        <f ca="1">IFERROR(__xludf.DUMMYFUNCTION("""COMPUTED_VALUE"""),"No")</f>
        <v>No</v>
      </c>
      <c r="AF1418" s="5" t="str">
        <f ca="1">IFERROR(__xludf.DUMMYFUNCTION("""COMPUTED_VALUE"""),"No")</f>
        <v>No</v>
      </c>
      <c r="AG1418" s="5" t="str">
        <f ca="1">IFERROR(__xludf.DUMMYFUNCTION("""COMPUTED_VALUE"""),"No")</f>
        <v>No</v>
      </c>
      <c r="AH1418" s="5" t="str">
        <f ca="1">IFERROR(__xludf.DUMMYFUNCTION("""COMPUTED_VALUE"""),"No")</f>
        <v>No</v>
      </c>
      <c r="AI1418" s="5" t="str">
        <f ca="1">IFERROR(__xludf.DUMMYFUNCTION("""COMPUTED_VALUE"""),"Yes")</f>
        <v>Yes</v>
      </c>
      <c r="AJ1418" s="5"/>
    </row>
    <row r="1419" spans="1:36" ht="13">
      <c r="A1419" s="5" t="str">
        <f ca="1">IFERROR(__xludf.DUMMYFUNCTION("""COMPUTED_VALUE"""),"20060525PANON")</f>
        <v>20060525PANON</v>
      </c>
      <c r="B1419" s="5">
        <f ca="1">IFERROR(__xludf.DUMMYFUNCTION("""COMPUTED_VALUE"""),5)</f>
        <v>5</v>
      </c>
      <c r="C1419" s="5">
        <f ca="1">IFERROR(__xludf.DUMMYFUNCTION("""COMPUTED_VALUE"""),25)</f>
        <v>25</v>
      </c>
      <c r="D1419" s="5">
        <f ca="1">IFERROR(__xludf.DUMMYFUNCTION("""COMPUTED_VALUE"""),2006)</f>
        <v>2006</v>
      </c>
      <c r="E1419" s="8">
        <f ca="1">IFERROR(__xludf.DUMMYFUNCTION("""COMPUTED_VALUE"""),38862)</f>
        <v>38862</v>
      </c>
      <c r="F1419" s="5" t="str">
        <f ca="1">IFERROR(__xludf.DUMMYFUNCTION("""COMPUTED_VALUE"""),"Northampton Area Senior High School")</f>
        <v>Northampton Area Senior High School</v>
      </c>
      <c r="G1419" s="5">
        <f ca="1">IFERROR(__xludf.DUMMYFUNCTION("""COMPUTED_VALUE"""),0)</f>
        <v>0</v>
      </c>
      <c r="H1419" s="5">
        <f ca="1">IFERROR(__xludf.DUMMYFUNCTION("""COMPUTED_VALUE"""),0)</f>
        <v>0</v>
      </c>
      <c r="I1419" s="5">
        <f ca="1">IFERROR(__xludf.DUMMYFUNCTION("""COMPUTED_VALUE"""),0)</f>
        <v>0</v>
      </c>
      <c r="J1419" s="5">
        <f ca="1">IFERROR(__xludf.DUMMYFUNCTION("""COMPUTED_VALUE"""),0)</f>
        <v>0</v>
      </c>
      <c r="K1419" s="9" t="str">
        <f ca="1">IFERROR(__xludf.DUMMYFUNCTION("""COMPUTED_VALUE"""),"http://articles.mcall.com/2006-05-26/news/3667295_1_students-or-teachers-district-s-zero-tolerance-senior-prom")</f>
        <v>http://articles.mcall.com/2006-05-26/news/3667295_1_students-or-teachers-district-s-zero-tolerance-senior-prom</v>
      </c>
      <c r="L1419" s="5"/>
      <c r="M1419" s="5"/>
      <c r="N1419" s="5">
        <f ca="1">IFERROR(__xludf.DUMMYFUNCTION("""COMPUTED_VALUE"""),2)</f>
        <v>2</v>
      </c>
      <c r="O1419" s="5" t="str">
        <f ca="1">IFERROR(__xludf.DUMMYFUNCTION("""COMPUTED_VALUE"""),"Spring")</f>
        <v>Spring</v>
      </c>
      <c r="P1419" s="5" t="str">
        <f ca="1">IFERROR(__xludf.DUMMYFUNCTION("""COMPUTED_VALUE"""),"Northampton")</f>
        <v>Northampton</v>
      </c>
      <c r="Q1419" s="5" t="str">
        <f ca="1">IFERROR(__xludf.DUMMYFUNCTION("""COMPUTED_VALUE"""),"PA")</f>
        <v>PA</v>
      </c>
      <c r="R1419" s="5" t="str">
        <f ca="1">IFERROR(__xludf.DUMMYFUNCTION("""COMPUTED_VALUE"""),"High")</f>
        <v>High</v>
      </c>
      <c r="S1419" s="5" t="str">
        <f ca="1">IFERROR(__xludf.DUMMYFUNCTION("""COMPUTED_VALUE"""),"Hallway")</f>
        <v>Hallway</v>
      </c>
      <c r="T1419" s="5" t="str">
        <f ca="1">IFERROR(__xludf.DUMMYFUNCTION("""COMPUTED_VALUE"""),"Inside School Building")</f>
        <v>Inside School Building</v>
      </c>
      <c r="U1419" s="5" t="str">
        <f ca="1">IFERROR(__xludf.DUMMYFUNCTION("""COMPUTED_VALUE"""),"Yes")</f>
        <v>Yes</v>
      </c>
      <c r="V1419" s="5" t="str">
        <f ca="1">IFERROR(__xludf.DUMMYFUNCTION("""COMPUTED_VALUE"""),"Morning Classes")</f>
        <v>Morning Classes</v>
      </c>
      <c r="W1419" s="10">
        <f ca="1">IFERROR(__xludf.DUMMYFUNCTION("""COMPUTED_VALUE"""),0.326388888888888)</f>
        <v>0.32638888888888801</v>
      </c>
      <c r="X1419" s="5">
        <f ca="1">IFERROR(__xludf.DUMMYFUNCTION("""COMPUTED_VALUE"""),40)</f>
        <v>40</v>
      </c>
      <c r="Y1419" s="5" t="str">
        <f ca="1">IFERROR(__xludf.DUMMYFUNCTION("""COMPUTED_VALUE"""),"Had rifle, knife, smoke bombs, and fireworks. Surrendered to school official in stairwell.")</f>
        <v>Had rifle, knife, smoke bombs, and fireworks. Surrendered to school official in stairwell.</v>
      </c>
      <c r="Z1419" s="5" t="str">
        <f ca="1">IFERROR(__xludf.DUMMYFUNCTION("""COMPUTED_VALUE"""),"18YOM student was socially isolated, wore black trench coat every day. Teacher smelled smoke and found student in the stairwell with a rifle. Student said he was going to kill himself. Police arrived and after 40 minutes the shooter surrendered. Shooter h"&amp;"ad rifle, knife, fireworks, and smoke bombs.")</f>
        <v>18YOM student was socially isolated, wore black trench coat every day. Teacher smelled smoke and found student in the stairwell with a rifle. Student said he was going to kill himself. Police arrived and after 40 minutes the shooter surrendered. Shooter had rifle, knife, fireworks, and smoke bombs.</v>
      </c>
      <c r="AA1419" s="5" t="str">
        <f ca="1">IFERROR(__xludf.DUMMYFUNCTION("""COMPUTED_VALUE"""),"Hostage/Standoff")</f>
        <v>Hostage/Standoff</v>
      </c>
      <c r="AB1419" s="5"/>
      <c r="AC1419" s="5" t="str">
        <f ca="1">IFERROR(__xludf.DUMMYFUNCTION("""COMPUTED_VALUE"""),"No")</f>
        <v>No</v>
      </c>
      <c r="AD1419" s="5" t="str">
        <f ca="1">IFERROR(__xludf.DUMMYFUNCTION("""COMPUTED_VALUE"""),"No")</f>
        <v>No</v>
      </c>
      <c r="AE1419" s="5" t="str">
        <f ca="1">IFERROR(__xludf.DUMMYFUNCTION("""COMPUTED_VALUE"""),"No")</f>
        <v>No</v>
      </c>
      <c r="AF1419" s="5" t="str">
        <f ca="1">IFERROR(__xludf.DUMMYFUNCTION("""COMPUTED_VALUE"""),"No")</f>
        <v>No</v>
      </c>
      <c r="AG1419" s="5"/>
      <c r="AH1419" s="5" t="str">
        <f ca="1">IFERROR(__xludf.DUMMYFUNCTION("""COMPUTED_VALUE"""),"No")</f>
        <v>No</v>
      </c>
      <c r="AI1419" s="5" t="str">
        <f ca="1">IFERROR(__xludf.DUMMYFUNCTION("""COMPUTED_VALUE"""),"No")</f>
        <v>No</v>
      </c>
      <c r="AJ1419" s="5" t="str">
        <f ca="1">IFERROR(__xludf.DUMMYFUNCTION("""COMPUTED_VALUE"""),"Yes")</f>
        <v>Yes</v>
      </c>
    </row>
    <row r="1420" spans="1:36" ht="13">
      <c r="A1420" s="5" t="str">
        <f ca="1">IFERROR(__xludf.DUMMYFUNCTION("""COMPUTED_VALUE"""),"20060522SCBUI")</f>
        <v>20060522SCBUI</v>
      </c>
      <c r="B1420" s="5">
        <f ca="1">IFERROR(__xludf.DUMMYFUNCTION("""COMPUTED_VALUE"""),5)</f>
        <v>5</v>
      </c>
      <c r="C1420" s="5">
        <f ca="1">IFERROR(__xludf.DUMMYFUNCTION("""COMPUTED_VALUE"""),22)</f>
        <v>22</v>
      </c>
      <c r="D1420" s="5">
        <f ca="1">IFERROR(__xludf.DUMMYFUNCTION("""COMPUTED_VALUE"""),2006)</f>
        <v>2006</v>
      </c>
      <c r="E1420" s="8">
        <f ca="1">IFERROR(__xludf.DUMMYFUNCTION("""COMPUTED_VALUE"""),38859)</f>
        <v>38859</v>
      </c>
      <c r="F1420" s="5" t="str">
        <f ca="1">IFERROR(__xludf.DUMMYFUNCTION("""COMPUTED_VALUE"""),"Butch Fork High School")</f>
        <v>Butch Fork High School</v>
      </c>
      <c r="G1420" s="5">
        <f ca="1">IFERROR(__xludf.DUMMYFUNCTION("""COMPUTED_VALUE"""),0)</f>
        <v>0</v>
      </c>
      <c r="H1420" s="5">
        <f ca="1">IFERROR(__xludf.DUMMYFUNCTION("""COMPUTED_VALUE"""),0)</f>
        <v>0</v>
      </c>
      <c r="I1420" s="5">
        <f ca="1">IFERROR(__xludf.DUMMYFUNCTION("""COMPUTED_VALUE"""),0)</f>
        <v>0</v>
      </c>
      <c r="J1420" s="5">
        <f ca="1">IFERROR(__xludf.DUMMYFUNCTION("""COMPUTED_VALUE"""),0)</f>
        <v>0</v>
      </c>
      <c r="K1420" s="9" t="str">
        <f ca="1">IFERROR(__xludf.DUMMYFUNCTION("""COMPUTED_VALUE"""),"http://www.wistv.com/story/4933127/officer-shoots-at-intruder-at-dutch-fork-hs")</f>
        <v>http://www.wistv.com/story/4933127/officer-shoots-at-intruder-at-dutch-fork-hs</v>
      </c>
      <c r="L1420" s="5"/>
      <c r="M1420" s="5"/>
      <c r="N1420" s="5">
        <f ca="1">IFERROR(__xludf.DUMMYFUNCTION("""COMPUTED_VALUE"""),2)</f>
        <v>2</v>
      </c>
      <c r="O1420" s="5" t="str">
        <f ca="1">IFERROR(__xludf.DUMMYFUNCTION("""COMPUTED_VALUE"""),"Spring")</f>
        <v>Spring</v>
      </c>
      <c r="P1420" s="5" t="str">
        <f ca="1">IFERROR(__xludf.DUMMYFUNCTION("""COMPUTED_VALUE"""),"Irmo")</f>
        <v>Irmo</v>
      </c>
      <c r="Q1420" s="5" t="str">
        <f ca="1">IFERROR(__xludf.DUMMYFUNCTION("""COMPUTED_VALUE"""),"SC")</f>
        <v>SC</v>
      </c>
      <c r="R1420" s="5" t="str">
        <f ca="1">IFERROR(__xludf.DUMMYFUNCTION("""COMPUTED_VALUE"""),"High")</f>
        <v>High</v>
      </c>
      <c r="S1420" s="5" t="str">
        <f ca="1">IFERROR(__xludf.DUMMYFUNCTION("""COMPUTED_VALUE"""),"Parking Lot")</f>
        <v>Parking Lot</v>
      </c>
      <c r="T1420" s="5" t="str">
        <f ca="1">IFERROR(__xludf.DUMMYFUNCTION("""COMPUTED_VALUE"""),"Outside on School Property")</f>
        <v>Outside on School Property</v>
      </c>
      <c r="U1420" s="5" t="str">
        <f ca="1">IFERROR(__xludf.DUMMYFUNCTION("""COMPUTED_VALUE"""),"Yes")</f>
        <v>Yes</v>
      </c>
      <c r="V1420" s="5" t="str">
        <f ca="1">IFERROR(__xludf.DUMMYFUNCTION("""COMPUTED_VALUE"""),"Morning Classes")</f>
        <v>Morning Classes</v>
      </c>
      <c r="W1420" s="10">
        <f ca="1">IFERROR(__xludf.DUMMYFUNCTION("""COMPUTED_VALUE"""),0.416666666666666)</f>
        <v>0.41666666666666602</v>
      </c>
      <c r="X1420" s="5">
        <f ca="1">IFERROR(__xludf.DUMMYFUNCTION("""COMPUTED_VALUE"""),1)</f>
        <v>1</v>
      </c>
      <c r="Y1420" s="5" t="str">
        <f ca="1">IFERROR(__xludf.DUMMYFUNCTION("""COMPUTED_VALUE"""),"Told girl over phone he was going to kill her next day, SRO confronted him in morning, pulled gun and fired one shot, and was subdued")</f>
        <v>Told girl over phone he was going to kill her next day, SRO confronted him in morning, pulled gun and fired one shot, and was subdued</v>
      </c>
      <c r="Z1420" s="5" t="str">
        <f ca="1">IFERROR(__xludf.DUMMYFUNCTION("""COMPUTED_VALUE"""),"19YOM called a female student and told her he was going to kill her the next day. She told the SRO and when the shooter arrived at the school, the SRO confronted him in the parking lot. The shooter pulled a handgun and fired one shot before being subdued "&amp;"by the SRO.")</f>
        <v>19YOM called a female student and told her he was going to kill her the next day. She told the SRO and when the shooter arrived at the school, the SRO confronted him in the parking lot. The shooter pulled a handgun and fired one shot before being subdued by the SRO.</v>
      </c>
      <c r="AA1420" s="5" t="str">
        <f ca="1">IFERROR(__xludf.DUMMYFUNCTION("""COMPUTED_VALUE"""),"Domestic w/ Targeted Victim")</f>
        <v>Domestic w/ Targeted Victim</v>
      </c>
      <c r="AB1420" s="5" t="str">
        <f ca="1">IFERROR(__xludf.DUMMYFUNCTION("""COMPUTED_VALUE"""),"Victims Targeted")</f>
        <v>Victims Targeted</v>
      </c>
      <c r="AC1420" s="5" t="str">
        <f ca="1">IFERROR(__xludf.DUMMYFUNCTION("""COMPUTED_VALUE"""),"No")</f>
        <v>No</v>
      </c>
      <c r="AD1420" s="5" t="str">
        <f ca="1">IFERROR(__xludf.DUMMYFUNCTION("""COMPUTED_VALUE"""),"No")</f>
        <v>No</v>
      </c>
      <c r="AE1420" s="5" t="str">
        <f ca="1">IFERROR(__xludf.DUMMYFUNCTION("""COMPUTED_VALUE"""),"No")</f>
        <v>No</v>
      </c>
      <c r="AF1420" s="5" t="str">
        <f ca="1">IFERROR(__xludf.DUMMYFUNCTION("""COMPUTED_VALUE"""),"No")</f>
        <v>No</v>
      </c>
      <c r="AG1420" s="5" t="str">
        <f ca="1">IFERROR(__xludf.DUMMYFUNCTION("""COMPUTED_VALUE"""),"No")</f>
        <v>No</v>
      </c>
      <c r="AH1420" s="5" t="str">
        <f ca="1">IFERROR(__xludf.DUMMYFUNCTION("""COMPUTED_VALUE"""),"Yes")</f>
        <v>Yes</v>
      </c>
      <c r="AI1420" s="5" t="str">
        <f ca="1">IFERROR(__xludf.DUMMYFUNCTION("""COMPUTED_VALUE"""),"No")</f>
        <v>No</v>
      </c>
      <c r="AJ1420" s="5"/>
    </row>
    <row r="1421" spans="1:36" ht="13">
      <c r="A1421" s="5" t="str">
        <f ca="1">IFERROR(__xludf.DUMMYFUNCTION("""COMPUTED_VALUE"""),"20060505FLPAM")</f>
        <v>20060505FLPAM</v>
      </c>
      <c r="B1421" s="5">
        <f ca="1">IFERROR(__xludf.DUMMYFUNCTION("""COMPUTED_VALUE"""),5)</f>
        <v>5</v>
      </c>
      <c r="C1421" s="5">
        <f ca="1">IFERROR(__xludf.DUMMYFUNCTION("""COMPUTED_VALUE"""),5)</f>
        <v>5</v>
      </c>
      <c r="D1421" s="5">
        <f ca="1">IFERROR(__xludf.DUMMYFUNCTION("""COMPUTED_VALUE"""),2006)</f>
        <v>2006</v>
      </c>
      <c r="E1421" s="8">
        <f ca="1">IFERROR(__xludf.DUMMYFUNCTION("""COMPUTED_VALUE"""),38842)</f>
        <v>38842</v>
      </c>
      <c r="F1421" s="5" t="str">
        <f ca="1">IFERROR(__xludf.DUMMYFUNCTION("""COMPUTED_VALUE"""),"Parkway Academy")</f>
        <v>Parkway Academy</v>
      </c>
      <c r="G1421" s="5">
        <f ca="1">IFERROR(__xludf.DUMMYFUNCTION("""COMPUTED_VALUE"""),1)</f>
        <v>1</v>
      </c>
      <c r="H1421" s="5">
        <f ca="1">IFERROR(__xludf.DUMMYFUNCTION("""COMPUTED_VALUE"""),0)</f>
        <v>0</v>
      </c>
      <c r="I1421" s="5">
        <f ca="1">IFERROR(__xludf.DUMMYFUNCTION("""COMPUTED_VALUE"""),1)</f>
        <v>1</v>
      </c>
      <c r="J1421" s="5">
        <f ca="1">IFERROR(__xludf.DUMMYFUNCTION("""COMPUTED_VALUE"""),0)</f>
        <v>0</v>
      </c>
      <c r="K1421" s="9" t="str">
        <f ca="1">IFERROR(__xludf.DUMMYFUNCTION("""COMPUTED_VALUE"""),"http://articles.sun-sentinel.com/2006-05-07/news/0605060367_1_charter-school-parking-lot-office-bill-robertson")</f>
        <v>http://articles.sun-sentinel.com/2006-05-07/news/0605060367_1_charter-school-parking-lot-office-bill-robertson</v>
      </c>
      <c r="L1421" s="5"/>
      <c r="M1421" s="5"/>
      <c r="N1421" s="5">
        <f ca="1">IFERROR(__xludf.DUMMYFUNCTION("""COMPUTED_VALUE"""),2)</f>
        <v>2</v>
      </c>
      <c r="O1421" s="5" t="str">
        <f ca="1">IFERROR(__xludf.DUMMYFUNCTION("""COMPUTED_VALUE"""),"Spring")</f>
        <v>Spring</v>
      </c>
      <c r="P1421" s="5" t="str">
        <f ca="1">IFERROR(__xludf.DUMMYFUNCTION("""COMPUTED_VALUE"""),"Miramar")</f>
        <v>Miramar</v>
      </c>
      <c r="Q1421" s="5" t="str">
        <f ca="1">IFERROR(__xludf.DUMMYFUNCTION("""COMPUTED_VALUE"""),"FL")</f>
        <v>FL</v>
      </c>
      <c r="R1421" s="5" t="str">
        <f ca="1">IFERROR(__xludf.DUMMYFUNCTION("""COMPUTED_VALUE"""),"High")</f>
        <v>High</v>
      </c>
      <c r="S1421" s="5" t="str">
        <f ca="1">IFERROR(__xludf.DUMMYFUNCTION("""COMPUTED_VALUE"""),"Parking Lot")</f>
        <v>Parking Lot</v>
      </c>
      <c r="T1421" s="5" t="str">
        <f ca="1">IFERROR(__xludf.DUMMYFUNCTION("""COMPUTED_VALUE"""),"Outside on School Property")</f>
        <v>Outside on School Property</v>
      </c>
      <c r="U1421" s="5" t="str">
        <f ca="1">IFERROR(__xludf.DUMMYFUNCTION("""COMPUTED_VALUE"""),"No")</f>
        <v>No</v>
      </c>
      <c r="V1421" s="5" t="str">
        <f ca="1">IFERROR(__xludf.DUMMYFUNCTION("""COMPUTED_VALUE"""),"School Event")</f>
        <v>School Event</v>
      </c>
      <c r="W1421" s="10">
        <f ca="1">IFERROR(__xludf.DUMMYFUNCTION("""COMPUTED_VALUE"""),0.982638888888888)</f>
        <v>0.98263888888888795</v>
      </c>
      <c r="X1421" s="5">
        <f ca="1">IFERROR(__xludf.DUMMYFUNCTION("""COMPUTED_VALUE"""),1)</f>
        <v>1</v>
      </c>
      <c r="Y1421" s="5" t="str">
        <f ca="1">IFERROR(__xludf.DUMMYFUNCTION("""COMPUTED_VALUE"""),"Fight in parking lot following dance")</f>
        <v>Fight in parking lot following dance</v>
      </c>
      <c r="Z1421" s="5" t="str">
        <f ca="1">IFERROR(__xludf.DUMMYFUNCTION("""COMPUTED_VALUE"""),"Students fought during the school dance after water was pouring on a girl. Fight continued later in the parking lot and 19YOM student was shot in the head by an unknown shooter who fled. Multiple police officers were assigned to the school for the dance.")</f>
        <v>Students fought during the school dance after water was pouring on a girl. Fight continued later in the parking lot and 19YOM student was shot in the head by an unknown shooter who fled. Multiple police officers were assigned to the school for the dance.</v>
      </c>
      <c r="AA1421" s="5" t="str">
        <f ca="1">IFERROR(__xludf.DUMMYFUNCTION("""COMPUTED_VALUE"""),"Escalation of Dispute")</f>
        <v>Escalation of Dispute</v>
      </c>
      <c r="AB1421" s="5" t="str">
        <f ca="1">IFERROR(__xludf.DUMMYFUNCTION("""COMPUTED_VALUE"""),"Victims Targeted")</f>
        <v>Victims Targeted</v>
      </c>
      <c r="AC1421" s="5" t="str">
        <f ca="1">IFERROR(__xludf.DUMMYFUNCTION("""COMPUTED_VALUE"""),"Yes")</f>
        <v>Yes</v>
      </c>
      <c r="AD1421" s="5" t="str">
        <f ca="1">IFERROR(__xludf.DUMMYFUNCTION("""COMPUTED_VALUE"""),"No")</f>
        <v>No</v>
      </c>
      <c r="AE1421" s="5" t="str">
        <f ca="1">IFERROR(__xludf.DUMMYFUNCTION("""COMPUTED_VALUE"""),"No")</f>
        <v>No</v>
      </c>
      <c r="AF1421" s="5" t="str">
        <f ca="1">IFERROR(__xludf.DUMMYFUNCTION("""COMPUTED_VALUE"""),"No")</f>
        <v>No</v>
      </c>
      <c r="AG1421" s="5" t="str">
        <f ca="1">IFERROR(__xludf.DUMMYFUNCTION("""COMPUTED_VALUE"""),"No")</f>
        <v>No</v>
      </c>
      <c r="AH1421" s="5" t="str">
        <f ca="1">IFERROR(__xludf.DUMMYFUNCTION("""COMPUTED_VALUE"""),"No")</f>
        <v>No</v>
      </c>
      <c r="AI1421" s="5" t="str">
        <f ca="1">IFERROR(__xludf.DUMMYFUNCTION("""COMPUTED_VALUE"""),"No")</f>
        <v>No</v>
      </c>
      <c r="AJ1421" s="5"/>
    </row>
    <row r="1422" spans="1:36" ht="13">
      <c r="A1422" s="5" t="str">
        <f ca="1">IFERROR(__xludf.DUMMYFUNCTION("""COMPUTED_VALUE"""),"20060424NCEAC")</f>
        <v>20060424NCEAC</v>
      </c>
      <c r="B1422" s="5">
        <f ca="1">IFERROR(__xludf.DUMMYFUNCTION("""COMPUTED_VALUE"""),4)</f>
        <v>4</v>
      </c>
      <c r="C1422" s="5">
        <f ca="1">IFERROR(__xludf.DUMMYFUNCTION("""COMPUTED_VALUE"""),24)</f>
        <v>24</v>
      </c>
      <c r="D1422" s="5">
        <f ca="1">IFERROR(__xludf.DUMMYFUNCTION("""COMPUTED_VALUE"""),2006)</f>
        <v>2006</v>
      </c>
      <c r="E1422" s="8">
        <f ca="1">IFERROR(__xludf.DUMMYFUNCTION("""COMPUTED_VALUE"""),38831)</f>
        <v>38831</v>
      </c>
      <c r="F1422" s="5" t="str">
        <f ca="1">IFERROR(__xludf.DUMMYFUNCTION("""COMPUTED_VALUE"""),"East Chapel Hill High School")</f>
        <v>East Chapel Hill High School</v>
      </c>
      <c r="G1422" s="5">
        <f ca="1">IFERROR(__xludf.DUMMYFUNCTION("""COMPUTED_VALUE"""),0)</f>
        <v>0</v>
      </c>
      <c r="H1422" s="5">
        <f ca="1">IFERROR(__xludf.DUMMYFUNCTION("""COMPUTED_VALUE"""),0)</f>
        <v>0</v>
      </c>
      <c r="I1422" s="5">
        <f ca="1">IFERROR(__xludf.DUMMYFUNCTION("""COMPUTED_VALUE"""),0)</f>
        <v>0</v>
      </c>
      <c r="J1422" s="5">
        <f ca="1">IFERROR(__xludf.DUMMYFUNCTION("""COMPUTED_VALUE"""),0)</f>
        <v>0</v>
      </c>
      <c r="K1422" s="9" t="str">
        <f ca="1">IFERROR(__xludf.DUMMYFUNCTION("""COMPUTED_VALUE"""),"https://www.wral.com/news/local/story/157302/")</f>
        <v>https://www.wral.com/news/local/story/157302/</v>
      </c>
      <c r="L1422" s="5"/>
      <c r="M1422" s="5"/>
      <c r="N1422" s="5">
        <f ca="1">IFERROR(__xludf.DUMMYFUNCTION("""COMPUTED_VALUE"""),2)</f>
        <v>2</v>
      </c>
      <c r="O1422" s="5" t="str">
        <f ca="1">IFERROR(__xludf.DUMMYFUNCTION("""COMPUTED_VALUE"""),"Spring")</f>
        <v>Spring</v>
      </c>
      <c r="P1422" s="5" t="str">
        <f ca="1">IFERROR(__xludf.DUMMYFUNCTION("""COMPUTED_VALUE"""),"Chapel Hill")</f>
        <v>Chapel Hill</v>
      </c>
      <c r="Q1422" s="5" t="str">
        <f ca="1">IFERROR(__xludf.DUMMYFUNCTION("""COMPUTED_VALUE"""),"NC")</f>
        <v>NC</v>
      </c>
      <c r="R1422" s="5" t="str">
        <f ca="1">IFERROR(__xludf.DUMMYFUNCTION("""COMPUTED_VALUE"""),"High")</f>
        <v>High</v>
      </c>
      <c r="S1422" s="5" t="str">
        <f ca="1">IFERROR(__xludf.DUMMYFUNCTION("""COMPUTED_VALUE"""),"Classroom")</f>
        <v>Classroom</v>
      </c>
      <c r="T1422" s="5" t="str">
        <f ca="1">IFERROR(__xludf.DUMMYFUNCTION("""COMPUTED_VALUE"""),"Inside School Building")</f>
        <v>Inside School Building</v>
      </c>
      <c r="U1422" s="5" t="str">
        <f ca="1">IFERROR(__xludf.DUMMYFUNCTION("""COMPUTED_VALUE"""),"No")</f>
        <v>No</v>
      </c>
      <c r="V1422" s="5" t="str">
        <f ca="1">IFERROR(__xludf.DUMMYFUNCTION("""COMPUTED_VALUE"""),"Evening")</f>
        <v>Evening</v>
      </c>
      <c r="W1422" s="10">
        <f ca="1">IFERROR(__xludf.DUMMYFUNCTION("""COMPUTED_VALUE"""),0.708333333333333)</f>
        <v>0.70833333333333304</v>
      </c>
      <c r="X1422" s="5">
        <f ca="1">IFERROR(__xludf.DUMMYFUNCTION("""COMPUTED_VALUE"""),135)</f>
        <v>135</v>
      </c>
      <c r="Y1422" s="5" t="str">
        <f ca="1">IFERROR(__xludf.DUMMYFUNCTION("""COMPUTED_VALUE"""),"Fired 2 shots at ceiling and held teacher and student hostage in classroom for 2 hours then fled")</f>
        <v>Fired 2 shots at ceiling and held teacher and student hostage in classroom for 2 hours then fled</v>
      </c>
      <c r="Z1422" s="5" t="str">
        <f ca="1">IFERROR(__xludf.DUMMYFUNCTION("""COMPUTED_VALUE"""),"17YOM student walked into classroom after school and fired two shots from shotgun into the ceiling. He then took a teacher and student in the classroom hostage for 2:15 before fleeing the scene. He was later arrested and taken to a psychiatric facility. S"&amp;"hooter was well liked, normal student without disciplinary problems.")</f>
        <v>17YOM student walked into classroom after school and fired two shots from shotgun into the ceiling. He then took a teacher and student in the classroom hostage for 2:15 before fleeing the scene. He was later arrested and taken to a psychiatric facility. Shooter was well liked, normal student without disciplinary problems.</v>
      </c>
      <c r="AA1422" s="5" t="str">
        <f ca="1">IFERROR(__xludf.DUMMYFUNCTION("""COMPUTED_VALUE"""),"Hostage/Standoff")</f>
        <v>Hostage/Standoff</v>
      </c>
      <c r="AB1422" s="5" t="str">
        <f ca="1">IFERROR(__xludf.DUMMYFUNCTION("""COMPUTED_VALUE"""),"Neither")</f>
        <v>Neither</v>
      </c>
      <c r="AC1422" s="5" t="str">
        <f ca="1">IFERROR(__xludf.DUMMYFUNCTION("""COMPUTED_VALUE"""),"No")</f>
        <v>No</v>
      </c>
      <c r="AD1422" s="5" t="str">
        <f ca="1">IFERROR(__xludf.DUMMYFUNCTION("""COMPUTED_VALUE"""),"Yes")</f>
        <v>Yes</v>
      </c>
      <c r="AE1422" s="5" t="str">
        <f ca="1">IFERROR(__xludf.DUMMYFUNCTION("""COMPUTED_VALUE"""),"No")</f>
        <v>No</v>
      </c>
      <c r="AF1422" s="5" t="str">
        <f ca="1">IFERROR(__xludf.DUMMYFUNCTION("""COMPUTED_VALUE"""),"No")</f>
        <v>No</v>
      </c>
      <c r="AG1422" s="5" t="str">
        <f ca="1">IFERROR(__xludf.DUMMYFUNCTION("""COMPUTED_VALUE"""),"No")</f>
        <v>No</v>
      </c>
      <c r="AH1422" s="5" t="str">
        <f ca="1">IFERROR(__xludf.DUMMYFUNCTION("""COMPUTED_VALUE"""),"No")</f>
        <v>No</v>
      </c>
      <c r="AI1422" s="5" t="str">
        <f ca="1">IFERROR(__xludf.DUMMYFUNCTION("""COMPUTED_VALUE"""),"No")</f>
        <v>No</v>
      </c>
      <c r="AJ1422" s="5" t="str">
        <f ca="1">IFERROR(__xludf.DUMMYFUNCTION("""COMPUTED_VALUE"""),"Yes")</f>
        <v>Yes</v>
      </c>
    </row>
    <row r="1423" spans="1:36" ht="13">
      <c r="A1423" s="5" t="str">
        <f ca="1">IFERROR(__xludf.DUMMYFUNCTION("""COMPUTED_VALUE"""),"20060418TXWEH")</f>
        <v>20060418TXWEH</v>
      </c>
      <c r="B1423" s="5">
        <f ca="1">IFERROR(__xludf.DUMMYFUNCTION("""COMPUTED_VALUE"""),4)</f>
        <v>4</v>
      </c>
      <c r="C1423" s="5">
        <f ca="1">IFERROR(__xludf.DUMMYFUNCTION("""COMPUTED_VALUE"""),18)</f>
        <v>18</v>
      </c>
      <c r="D1423" s="5">
        <f ca="1">IFERROR(__xludf.DUMMYFUNCTION("""COMPUTED_VALUE"""),2006)</f>
        <v>2006</v>
      </c>
      <c r="E1423" s="8">
        <f ca="1">IFERROR(__xludf.DUMMYFUNCTION("""COMPUTED_VALUE"""),38825)</f>
        <v>38825</v>
      </c>
      <c r="F1423" s="5" t="str">
        <f ca="1">IFERROR(__xludf.DUMMYFUNCTION("""COMPUTED_VALUE"""),"Westbury High School (bus)")</f>
        <v>Westbury High School (bus)</v>
      </c>
      <c r="G1423" s="5">
        <f ca="1">IFERROR(__xludf.DUMMYFUNCTION("""COMPUTED_VALUE"""),0)</f>
        <v>0</v>
      </c>
      <c r="H1423" s="5">
        <f ca="1">IFERROR(__xludf.DUMMYFUNCTION("""COMPUTED_VALUE"""),2)</f>
        <v>2</v>
      </c>
      <c r="I1423" s="5">
        <f ca="1">IFERROR(__xludf.DUMMYFUNCTION("""COMPUTED_VALUE"""),2)</f>
        <v>2</v>
      </c>
      <c r="J1423" s="5">
        <f ca="1">IFERROR(__xludf.DUMMYFUNCTION("""COMPUTED_VALUE"""),0)</f>
        <v>0</v>
      </c>
      <c r="K1423" s="9" t="str">
        <f ca="1">IFERROR(__xludf.DUMMYFUNCTION("""COMPUTED_VALUE"""),"https://www.chron.com/news/houston-texas/article/Two-cut-by-glass-after-HISD-bus-shot-1908192.php")</f>
        <v>https://www.chron.com/news/houston-texas/article/Two-cut-by-glass-after-HISD-bus-shot-1908192.php</v>
      </c>
      <c r="L1423" s="5"/>
      <c r="M1423" s="5"/>
      <c r="N1423" s="5">
        <f ca="1">IFERROR(__xludf.DUMMYFUNCTION("""COMPUTED_VALUE"""),2)</f>
        <v>2</v>
      </c>
      <c r="O1423" s="5" t="str">
        <f ca="1">IFERROR(__xludf.DUMMYFUNCTION("""COMPUTED_VALUE"""),"Spring")</f>
        <v>Spring</v>
      </c>
      <c r="P1423" s="5" t="str">
        <f ca="1">IFERROR(__xludf.DUMMYFUNCTION("""COMPUTED_VALUE"""),"Houston")</f>
        <v>Houston</v>
      </c>
      <c r="Q1423" s="5" t="str">
        <f ca="1">IFERROR(__xludf.DUMMYFUNCTION("""COMPUTED_VALUE"""),"TX")</f>
        <v>TX</v>
      </c>
      <c r="R1423" s="5" t="str">
        <f ca="1">IFERROR(__xludf.DUMMYFUNCTION("""COMPUTED_VALUE"""),"High")</f>
        <v>High</v>
      </c>
      <c r="S1423" s="5" t="str">
        <f ca="1">IFERROR(__xludf.DUMMYFUNCTION("""COMPUTED_VALUE"""),"School Bus")</f>
        <v>School Bus</v>
      </c>
      <c r="T1423" s="5" t="str">
        <f ca="1">IFERROR(__xludf.DUMMYFUNCTION("""COMPUTED_VALUE"""),"School Bus")</f>
        <v>School Bus</v>
      </c>
      <c r="U1423" s="5" t="str">
        <f ca="1">IFERROR(__xludf.DUMMYFUNCTION("""COMPUTED_VALUE"""),"Yes")</f>
        <v>Yes</v>
      </c>
      <c r="V1423" s="5" t="str">
        <f ca="1">IFERROR(__xludf.DUMMYFUNCTION("""COMPUTED_VALUE"""),"After School")</f>
        <v>After School</v>
      </c>
      <c r="W1423" s="10">
        <f ca="1">IFERROR(__xludf.DUMMYFUNCTION("""COMPUTED_VALUE"""),0.708333333333333)</f>
        <v>0.70833333333333304</v>
      </c>
      <c r="X1423" s="5">
        <f ca="1">IFERROR(__xludf.DUMMYFUNCTION("""COMPUTED_VALUE"""),1)</f>
        <v>1</v>
      </c>
      <c r="Y1423" s="5" t="str">
        <f ca="1">IFERROR(__xludf.DUMMYFUNCTION("""COMPUTED_VALUE"""),"Man running across the street fired 2 shots that struck the bus")</f>
        <v>Man running across the street fired 2 shots that struck the bus</v>
      </c>
      <c r="Z1423" s="5" t="str">
        <f ca="1">IFERROR(__xludf.DUMMYFUNCTION("""COMPUTED_VALUE"""),"Unknown male running across the street fired shots. 2 struck the school bus. 2 students were injured when the bus they were riding was struck by two bullets. Shooter was unidentified. No motive known.")</f>
        <v>Unknown male running across the street fired shots. 2 struck the school bus. 2 students were injured when the bus they were riding was struck by two bullets. Shooter was unidentified. No motive known.</v>
      </c>
      <c r="AA1423" s="5" t="str">
        <f ca="1">IFERROR(__xludf.DUMMYFUNCTION("""COMPUTED_VALUE"""),"Unknown")</f>
        <v>Unknown</v>
      </c>
      <c r="AB1423" s="5" t="str">
        <f ca="1">IFERROR(__xludf.DUMMYFUNCTION("""COMPUTED_VALUE"""),"Random Shooting")</f>
        <v>Random Shooting</v>
      </c>
      <c r="AC1423" s="5" t="str">
        <f ca="1">IFERROR(__xludf.DUMMYFUNCTION("""COMPUTED_VALUE"""),"No")</f>
        <v>No</v>
      </c>
      <c r="AD1423" s="5" t="str">
        <f ca="1">IFERROR(__xludf.DUMMYFUNCTION("""COMPUTED_VALUE"""),"No")</f>
        <v>No</v>
      </c>
      <c r="AE1423" s="5" t="str">
        <f ca="1">IFERROR(__xludf.DUMMYFUNCTION("""COMPUTED_VALUE"""),"No")</f>
        <v>No</v>
      </c>
      <c r="AF1423" s="5" t="str">
        <f ca="1">IFERROR(__xludf.DUMMYFUNCTION("""COMPUTED_VALUE"""),"No")</f>
        <v>No</v>
      </c>
      <c r="AG1423" s="5" t="str">
        <f ca="1">IFERROR(__xludf.DUMMYFUNCTION("""COMPUTED_VALUE"""),"No")</f>
        <v>No</v>
      </c>
      <c r="AH1423" s="5" t="str">
        <f ca="1">IFERROR(__xludf.DUMMYFUNCTION("""COMPUTED_VALUE"""),"No")</f>
        <v>No</v>
      </c>
      <c r="AI1423" s="5"/>
      <c r="AJ1423" s="5"/>
    </row>
    <row r="1424" spans="1:36" ht="13">
      <c r="A1424" s="5" t="str">
        <f ca="1">IFERROR(__xludf.DUMMYFUNCTION("""COMPUTED_VALUE"""),"20060405DCROW")</f>
        <v>20060405DCROW</v>
      </c>
      <c r="B1424" s="5">
        <f ca="1">IFERROR(__xludf.DUMMYFUNCTION("""COMPUTED_VALUE"""),4)</f>
        <v>4</v>
      </c>
      <c r="C1424" s="5">
        <f ca="1">IFERROR(__xludf.DUMMYFUNCTION("""COMPUTED_VALUE"""),5)</f>
        <v>5</v>
      </c>
      <c r="D1424" s="5">
        <f ca="1">IFERROR(__xludf.DUMMYFUNCTION("""COMPUTED_VALUE"""),2006)</f>
        <v>2006</v>
      </c>
      <c r="E1424" s="8">
        <f ca="1">IFERROR(__xludf.DUMMYFUNCTION("""COMPUTED_VALUE"""),38812)</f>
        <v>38812</v>
      </c>
      <c r="F1424" s="5" t="str">
        <f ca="1">IFERROR(__xludf.DUMMYFUNCTION("""COMPUTED_VALUE"""),"Roosevelt Senior High School")</f>
        <v>Roosevelt Senior High School</v>
      </c>
      <c r="G1424" s="5">
        <f ca="1">IFERROR(__xludf.DUMMYFUNCTION("""COMPUTED_VALUE"""),0)</f>
        <v>0</v>
      </c>
      <c r="H1424" s="5">
        <f ca="1">IFERROR(__xludf.DUMMYFUNCTION("""COMPUTED_VALUE"""),2)</f>
        <v>2</v>
      </c>
      <c r="I1424" s="5">
        <f ca="1">IFERROR(__xludf.DUMMYFUNCTION("""COMPUTED_VALUE"""),2)</f>
        <v>2</v>
      </c>
      <c r="J1424" s="5">
        <f ca="1">IFERROR(__xludf.DUMMYFUNCTION("""COMPUTED_VALUE"""),0)</f>
        <v>0</v>
      </c>
      <c r="K1424" s="9" t="str">
        <f ca="1">IFERROR(__xludf.DUMMYFUNCTION("""COMPUTED_VALUE"""),"https://www.washingtonpost.com/archive/business/technology/2006/04/05/shooting-at-roosevelt-high-injures-19-year-old-student/5e198f72-616c-4f3e-8b06-25cdc4162735/?utm_term=.0b3f619eca63")</f>
        <v>https://www.washingtonpost.com/archive/business/technology/2006/04/05/shooting-at-roosevelt-high-injures-19-year-old-student/5e198f72-616c-4f3e-8b06-25cdc4162735/?utm_term=.0b3f619eca63</v>
      </c>
      <c r="L1424" s="5"/>
      <c r="M1424" s="5"/>
      <c r="N1424" s="5">
        <f ca="1">IFERROR(__xludf.DUMMYFUNCTION("""COMPUTED_VALUE"""),2)</f>
        <v>2</v>
      </c>
      <c r="O1424" s="5" t="str">
        <f ca="1">IFERROR(__xludf.DUMMYFUNCTION("""COMPUTED_VALUE"""),"Spring")</f>
        <v>Spring</v>
      </c>
      <c r="P1424" s="5" t="str">
        <f ca="1">IFERROR(__xludf.DUMMYFUNCTION("""COMPUTED_VALUE"""),"Washington")</f>
        <v>Washington</v>
      </c>
      <c r="Q1424" s="5" t="str">
        <f ca="1">IFERROR(__xludf.DUMMYFUNCTION("""COMPUTED_VALUE"""),"DC")</f>
        <v>DC</v>
      </c>
      <c r="R1424" s="5" t="str">
        <f ca="1">IFERROR(__xludf.DUMMYFUNCTION("""COMPUTED_VALUE"""),"High")</f>
        <v>High</v>
      </c>
      <c r="S1424" s="5" t="str">
        <f ca="1">IFERROR(__xludf.DUMMYFUNCTION("""COMPUTED_VALUE"""),"Front of School")</f>
        <v>Front of School</v>
      </c>
      <c r="T1424" s="5" t="str">
        <f ca="1">IFERROR(__xludf.DUMMYFUNCTION("""COMPUTED_VALUE"""),"Outside on School Property")</f>
        <v>Outside on School Property</v>
      </c>
      <c r="U1424" s="5" t="str">
        <f ca="1">IFERROR(__xludf.DUMMYFUNCTION("""COMPUTED_VALUE"""),"Yes")</f>
        <v>Yes</v>
      </c>
      <c r="V1424" s="5" t="str">
        <f ca="1">IFERROR(__xludf.DUMMYFUNCTION("""COMPUTED_VALUE"""),"Morning Classes")</f>
        <v>Morning Classes</v>
      </c>
      <c r="W1424" s="10">
        <f ca="1">IFERROR(__xludf.DUMMYFUNCTION("""COMPUTED_VALUE"""),0.385416666666666)</f>
        <v>0.38541666666666602</v>
      </c>
      <c r="X1424" s="5">
        <f ca="1">IFERROR(__xludf.DUMMYFUNCTION("""COMPUTED_VALUE"""),1)</f>
        <v>1</v>
      </c>
      <c r="Y1424" s="5" t="str">
        <f ca="1">IFERROR(__xludf.DUMMYFUNCTION("""COMPUTED_VALUE"""),"Students shot during drive-by walking into school building")</f>
        <v>Students shot during drive-by walking into school building</v>
      </c>
      <c r="Z1424" s="5" t="str">
        <f ca="1">IFERROR(__xludf.DUMMYFUNCTION("""COMPUTED_VALUE"""),"19YOM (believed to be target) and 18YOF were shot during drive-by walking into high school. No suspect was identified. Motive unknown.")</f>
        <v>19YOM (believed to be target) and 18YOF were shot during drive-by walking into high school. No suspect was identified. Motive unknown.</v>
      </c>
      <c r="AA1424" s="5" t="str">
        <f ca="1">IFERROR(__xludf.DUMMYFUNCTION("""COMPUTED_VALUE"""),"Drive-by Shooting")</f>
        <v>Drive-by Shooting</v>
      </c>
      <c r="AB1424" s="5" t="str">
        <f ca="1">IFERROR(__xludf.DUMMYFUNCTION("""COMPUTED_VALUE"""),"Both")</f>
        <v>Both</v>
      </c>
      <c r="AC1424" s="5" t="str">
        <f ca="1">IFERROR(__xludf.DUMMYFUNCTION("""COMPUTED_VALUE"""),"Unknown")</f>
        <v>Unknown</v>
      </c>
      <c r="AD1424" s="5" t="str">
        <f ca="1">IFERROR(__xludf.DUMMYFUNCTION("""COMPUTED_VALUE"""),"No")</f>
        <v>No</v>
      </c>
      <c r="AE1424" s="5" t="str">
        <f ca="1">IFERROR(__xludf.DUMMYFUNCTION("""COMPUTED_VALUE"""),"No")</f>
        <v>No</v>
      </c>
      <c r="AF1424" s="5" t="str">
        <f ca="1">IFERROR(__xludf.DUMMYFUNCTION("""COMPUTED_VALUE"""),"No")</f>
        <v>No</v>
      </c>
      <c r="AG1424" s="5" t="str">
        <f ca="1">IFERROR(__xludf.DUMMYFUNCTION("""COMPUTED_VALUE"""),"No")</f>
        <v>No</v>
      </c>
      <c r="AH1424" s="5" t="str">
        <f ca="1">IFERROR(__xludf.DUMMYFUNCTION("""COMPUTED_VALUE"""),"No")</f>
        <v>No</v>
      </c>
      <c r="AI1424" s="5"/>
      <c r="AJ1424" s="5"/>
    </row>
    <row r="1425" spans="1:36" ht="13">
      <c r="A1425" s="5" t="str">
        <f ca="1">IFERROR(__xludf.DUMMYFUNCTION("""COMPUTED_VALUE"""),"20060314NVPIR")</f>
        <v>20060314NVPIR</v>
      </c>
      <c r="B1425" s="5">
        <f ca="1">IFERROR(__xludf.DUMMYFUNCTION("""COMPUTED_VALUE"""),3)</f>
        <v>3</v>
      </c>
      <c r="C1425" s="5">
        <f ca="1">IFERROR(__xludf.DUMMYFUNCTION("""COMPUTED_VALUE"""),14)</f>
        <v>14</v>
      </c>
      <c r="D1425" s="5">
        <f ca="1">IFERROR(__xludf.DUMMYFUNCTION("""COMPUTED_VALUE"""),2006)</f>
        <v>2006</v>
      </c>
      <c r="E1425" s="8">
        <f ca="1">IFERROR(__xludf.DUMMYFUNCTION("""COMPUTED_VALUE"""),38790)</f>
        <v>38790</v>
      </c>
      <c r="F1425" s="5" t="str">
        <f ca="1">IFERROR(__xludf.DUMMYFUNCTION("""COMPUTED_VALUE"""),"Pine Middle School")</f>
        <v>Pine Middle School</v>
      </c>
      <c r="G1425" s="5">
        <f ca="1">IFERROR(__xludf.DUMMYFUNCTION("""COMPUTED_VALUE"""),0)</f>
        <v>0</v>
      </c>
      <c r="H1425" s="5">
        <f ca="1">IFERROR(__xludf.DUMMYFUNCTION("""COMPUTED_VALUE"""),2)</f>
        <v>2</v>
      </c>
      <c r="I1425" s="5">
        <f ca="1">IFERROR(__xludf.DUMMYFUNCTION("""COMPUTED_VALUE"""),2)</f>
        <v>2</v>
      </c>
      <c r="J1425" s="5">
        <f ca="1">IFERROR(__xludf.DUMMYFUNCTION("""COMPUTED_VALUE"""),0)</f>
        <v>0</v>
      </c>
      <c r="K1425" s="5" t="str">
        <f ca="1">IFERROR(__xludf.DUMMYFUNCTION("""COMPUTED_VALUE"""),"http://abcnews.go.com/GMA/story?id=1732518&amp;page=1  https://www.fbi.gov/file-repository/active-shooter-incidents-2000-2017.pdf")</f>
        <v>http://abcnews.go.com/GMA/story?id=1732518&amp;page=1  https://www.fbi.gov/file-repository/active-shooter-incidents-2000-2017.pdf</v>
      </c>
      <c r="L1425" s="5"/>
      <c r="M1425" s="5"/>
      <c r="N1425" s="5">
        <f ca="1">IFERROR(__xludf.DUMMYFUNCTION("""COMPUTED_VALUE"""),5)</f>
        <v>5</v>
      </c>
      <c r="O1425" s="5" t="str">
        <f ca="1">IFERROR(__xludf.DUMMYFUNCTION("""COMPUTED_VALUE"""),"Spring")</f>
        <v>Spring</v>
      </c>
      <c r="P1425" s="5" t="str">
        <f ca="1">IFERROR(__xludf.DUMMYFUNCTION("""COMPUTED_VALUE"""),"Reno")</f>
        <v>Reno</v>
      </c>
      <c r="Q1425" s="5" t="str">
        <f ca="1">IFERROR(__xludf.DUMMYFUNCTION("""COMPUTED_VALUE"""),"NV")</f>
        <v>NV</v>
      </c>
      <c r="R1425" s="5" t="str">
        <f ca="1">IFERROR(__xludf.DUMMYFUNCTION("""COMPUTED_VALUE"""),"Middle")</f>
        <v>Middle</v>
      </c>
      <c r="S1425" s="5" t="str">
        <f ca="1">IFERROR(__xludf.DUMMYFUNCTION("""COMPUTED_VALUE"""),"Classroom")</f>
        <v>Classroom</v>
      </c>
      <c r="T1425" s="5" t="str">
        <f ca="1">IFERROR(__xludf.DUMMYFUNCTION("""COMPUTED_VALUE"""),"Inside School Building")</f>
        <v>Inside School Building</v>
      </c>
      <c r="U1425" s="5" t="str">
        <f ca="1">IFERROR(__xludf.DUMMYFUNCTION("""COMPUTED_VALUE"""),"Yes")</f>
        <v>Yes</v>
      </c>
      <c r="V1425" s="5" t="str">
        <f ca="1">IFERROR(__xludf.DUMMYFUNCTION("""COMPUTED_VALUE"""),"Morning Classes")</f>
        <v>Morning Classes</v>
      </c>
      <c r="W1425" s="10">
        <f ca="1">IFERROR(__xludf.DUMMYFUNCTION("""COMPUTED_VALUE"""),0.375)</f>
        <v>0.375</v>
      </c>
      <c r="X1425" s="5">
        <f ca="1">IFERROR(__xludf.DUMMYFUNCTION("""COMPUTED_VALUE"""),1)</f>
        <v>1</v>
      </c>
      <c r="Y1425" s="5" t="str">
        <f ca="1">IFERROR(__xludf.DUMMYFUNCTION("""COMPUTED_VALUE"""),"Planned attack, researched Columbine for weeks")</f>
        <v>Planned attack, researched Columbine for weeks</v>
      </c>
      <c r="Z1425" s="5" t="str">
        <f ca="1">IFERROR(__xludf.DUMMYFUNCTION("""COMPUTED_VALUE"""),"Shooter fired 3 rounds from a .38 at a targeted victim who had bullied him. One other student was struck. The shooter only had 3 rounds of ammo. A teacher subdued him. The shooter had studied Columbine and wrote detailed journal entries about it. He was t"&amp;"ired of being called stupid by his brothers and classmates. His father had given him a collection of ammunition that included 3 .38 rounds.")</f>
        <v>Shooter fired 3 rounds from a .38 at a targeted victim who had bullied him. One other student was struck. The shooter only had 3 rounds of ammo. A teacher subdued him. The shooter had studied Columbine and wrote detailed journal entries about it. He was tired of being called stupid by his brothers and classmates. His father had given him a collection of ammunition that included 3 .38 rounds.</v>
      </c>
      <c r="AA1425" s="5" t="str">
        <f ca="1">IFERROR(__xludf.DUMMYFUNCTION("""COMPUTED_VALUE"""),"Bullying")</f>
        <v>Bullying</v>
      </c>
      <c r="AB1425" s="5" t="str">
        <f ca="1">IFERROR(__xludf.DUMMYFUNCTION("""COMPUTED_VALUE"""),"Both")</f>
        <v>Both</v>
      </c>
      <c r="AC1425" s="5" t="str">
        <f ca="1">IFERROR(__xludf.DUMMYFUNCTION("""COMPUTED_VALUE"""),"No")</f>
        <v>No</v>
      </c>
      <c r="AD1425" s="5" t="str">
        <f ca="1">IFERROR(__xludf.DUMMYFUNCTION("""COMPUTED_VALUE"""),"No")</f>
        <v>No</v>
      </c>
      <c r="AE1425" s="5" t="str">
        <f ca="1">IFERROR(__xludf.DUMMYFUNCTION("""COMPUTED_VALUE"""),"No")</f>
        <v>No</v>
      </c>
      <c r="AF1425" s="5" t="str">
        <f ca="1">IFERROR(__xludf.DUMMYFUNCTION("""COMPUTED_VALUE"""),"No")</f>
        <v>No</v>
      </c>
      <c r="AG1425" s="5" t="str">
        <f ca="1">IFERROR(__xludf.DUMMYFUNCTION("""COMPUTED_VALUE"""),"Yes")</f>
        <v>Yes</v>
      </c>
      <c r="AH1425" s="5" t="str">
        <f ca="1">IFERROR(__xludf.DUMMYFUNCTION("""COMPUTED_VALUE"""),"No")</f>
        <v>No</v>
      </c>
      <c r="AI1425" s="5" t="str">
        <f ca="1">IFERROR(__xludf.DUMMYFUNCTION("""COMPUTED_VALUE"""),"No")</f>
        <v>No</v>
      </c>
      <c r="AJ1425" s="5" t="str">
        <f ca="1">IFERROR(__xludf.DUMMYFUNCTION("""COMPUTED_VALUE"""),"Yes")</f>
        <v>Yes</v>
      </c>
    </row>
    <row r="1426" spans="1:36" ht="13">
      <c r="A1426" s="5" t="str">
        <f ca="1">IFERROR(__xludf.DUMMYFUNCTION("""COMPUTED_VALUE"""),"20060310NYISN")</f>
        <v>20060310NYISN</v>
      </c>
      <c r="B1426" s="5">
        <f ca="1">IFERROR(__xludf.DUMMYFUNCTION("""COMPUTED_VALUE"""),3)</f>
        <v>3</v>
      </c>
      <c r="C1426" s="5">
        <f ca="1">IFERROR(__xludf.DUMMYFUNCTION("""COMPUTED_VALUE"""),10)</f>
        <v>10</v>
      </c>
      <c r="D1426" s="5">
        <f ca="1">IFERROR(__xludf.DUMMYFUNCTION("""COMPUTED_VALUE"""),2006)</f>
        <v>2006</v>
      </c>
      <c r="E1426" s="8">
        <f ca="1">IFERROR(__xludf.DUMMYFUNCTION("""COMPUTED_VALUE"""),38786)</f>
        <v>38786</v>
      </c>
      <c r="F1426" s="5" t="str">
        <f ca="1">IFERROR(__xludf.DUMMYFUNCTION("""COMPUTED_VALUE"""),"I S 89 Middle School")</f>
        <v>I S 89 Middle School</v>
      </c>
      <c r="G1426" s="5">
        <f ca="1">IFERROR(__xludf.DUMMYFUNCTION("""COMPUTED_VALUE"""),0)</f>
        <v>0</v>
      </c>
      <c r="H1426" s="5">
        <f ca="1">IFERROR(__xludf.DUMMYFUNCTION("""COMPUTED_VALUE"""),2)</f>
        <v>2</v>
      </c>
      <c r="I1426" s="5">
        <f ca="1">IFERROR(__xludf.DUMMYFUNCTION("""COMPUTED_VALUE"""),2)</f>
        <v>2</v>
      </c>
      <c r="J1426" s="5">
        <f ca="1">IFERROR(__xludf.DUMMYFUNCTION("""COMPUTED_VALUE"""),0)</f>
        <v>0</v>
      </c>
      <c r="K1426" s="9" t="str">
        <f ca="1">IFERROR(__xludf.DUMMYFUNCTION("""COMPUTED_VALUE"""),"http://www.downtownexpress.com/de_149/bbgunshotingatis89.html")</f>
        <v>http://www.downtownexpress.com/de_149/bbgunshotingatis89.html</v>
      </c>
      <c r="L1426" s="5"/>
      <c r="M1426" s="5"/>
      <c r="N1426" s="5">
        <f ca="1">IFERROR(__xludf.DUMMYFUNCTION("""COMPUTED_VALUE"""),2)</f>
        <v>2</v>
      </c>
      <c r="O1426" s="5" t="str">
        <f ca="1">IFERROR(__xludf.DUMMYFUNCTION("""COMPUTED_VALUE"""),"Spring")</f>
        <v>Spring</v>
      </c>
      <c r="P1426" s="5" t="str">
        <f ca="1">IFERROR(__xludf.DUMMYFUNCTION("""COMPUTED_VALUE"""),"New York")</f>
        <v>New York</v>
      </c>
      <c r="Q1426" s="5" t="str">
        <f ca="1">IFERROR(__xludf.DUMMYFUNCTION("""COMPUTED_VALUE"""),"NY")</f>
        <v>NY</v>
      </c>
      <c r="R1426" s="5" t="str">
        <f ca="1">IFERROR(__xludf.DUMMYFUNCTION("""COMPUTED_VALUE"""),"Middle")</f>
        <v>Middle</v>
      </c>
      <c r="S1426" s="5" t="str">
        <f ca="1">IFERROR(__xludf.DUMMYFUNCTION("""COMPUTED_VALUE"""),"Hallway")</f>
        <v>Hallway</v>
      </c>
      <c r="T1426" s="5" t="str">
        <f ca="1">IFERROR(__xludf.DUMMYFUNCTION("""COMPUTED_VALUE"""),"Inside School Building")</f>
        <v>Inside School Building</v>
      </c>
      <c r="U1426" s="5" t="str">
        <f ca="1">IFERROR(__xludf.DUMMYFUNCTION("""COMPUTED_VALUE"""),"Yes")</f>
        <v>Yes</v>
      </c>
      <c r="V1426" s="5" t="str">
        <f ca="1">IFERROR(__xludf.DUMMYFUNCTION("""COMPUTED_VALUE"""),"School Start")</f>
        <v>School Start</v>
      </c>
      <c r="W1426" s="10">
        <f ca="1">IFERROR(__xludf.DUMMYFUNCTION("""COMPUTED_VALUE"""),0.347222222222222)</f>
        <v>0.34722222222222199</v>
      </c>
      <c r="X1426" s="5">
        <f ca="1">IFERROR(__xludf.DUMMYFUNCTION("""COMPUTED_VALUE"""),1)</f>
        <v>1</v>
      </c>
      <c r="Y1426" s="5" t="str">
        <f ca="1">IFERROR(__xludf.DUMMYFUNCTION("""COMPUTED_VALUE"""),"Two students with BB guns ambushed another student in stairwell")</f>
        <v>Two students with BB guns ambushed another student in stairwell</v>
      </c>
      <c r="Z1426" s="5" t="str">
        <f ca="1">IFERROR(__xludf.DUMMYFUNCTION("""COMPUTED_VALUE"""),"Two students with bb guns (12 and 14YOMs) ambushed another student in the school stairwell and fired at him multiple times causing minor injuries. Another student was also struck. Both were charged with felony assault.")</f>
        <v>Two students with bb guns (12 and 14YOMs) ambushed another student in the school stairwell and fired at him multiple times causing minor injuries. Another student was also struck. Both were charged with felony assault.</v>
      </c>
      <c r="AA1426" s="5" t="str">
        <f ca="1">IFERROR(__xludf.DUMMYFUNCTION("""COMPUTED_VALUE"""),"Escalation of Dispute")</f>
        <v>Escalation of Dispute</v>
      </c>
      <c r="AB1426" s="5" t="str">
        <f ca="1">IFERROR(__xludf.DUMMYFUNCTION("""COMPUTED_VALUE"""),"Both")</f>
        <v>Both</v>
      </c>
      <c r="AC1426" s="5" t="str">
        <f ca="1">IFERROR(__xludf.DUMMYFUNCTION("""COMPUTED_VALUE"""),"No")</f>
        <v>No</v>
      </c>
      <c r="AD1426" s="5" t="str">
        <f ca="1">IFERROR(__xludf.DUMMYFUNCTION("""COMPUTED_VALUE"""),"No")</f>
        <v>No</v>
      </c>
      <c r="AE1426" s="5" t="str">
        <f ca="1">IFERROR(__xludf.DUMMYFUNCTION("""COMPUTED_VALUE"""),"No")</f>
        <v>No</v>
      </c>
      <c r="AF1426" s="5" t="str">
        <f ca="1">IFERROR(__xludf.DUMMYFUNCTION("""COMPUTED_VALUE"""),"No")</f>
        <v>No</v>
      </c>
      <c r="AG1426" s="5" t="str">
        <f ca="1">IFERROR(__xludf.DUMMYFUNCTION("""COMPUTED_VALUE"""),"No")</f>
        <v>No</v>
      </c>
      <c r="AH1426" s="5" t="str">
        <f ca="1">IFERROR(__xludf.DUMMYFUNCTION("""COMPUTED_VALUE"""),"No")</f>
        <v>No</v>
      </c>
      <c r="AI1426" s="5" t="str">
        <f ca="1">IFERROR(__xludf.DUMMYFUNCTION("""COMPUTED_VALUE"""),"No")</f>
        <v>No</v>
      </c>
      <c r="AJ1426" s="5"/>
    </row>
    <row r="1427" spans="1:36" ht="13">
      <c r="A1427" s="5" t="str">
        <f ca="1">IFERROR(__xludf.DUMMYFUNCTION("""COMPUTED_VALUE"""),"20060223ORROR")</f>
        <v>20060223ORROR</v>
      </c>
      <c r="B1427" s="5">
        <f ca="1">IFERROR(__xludf.DUMMYFUNCTION("""COMPUTED_VALUE"""),2)</f>
        <v>2</v>
      </c>
      <c r="C1427" s="5">
        <f ca="1">IFERROR(__xludf.DUMMYFUNCTION("""COMPUTED_VALUE"""),23)</f>
        <v>23</v>
      </c>
      <c r="D1427" s="5">
        <f ca="1">IFERROR(__xludf.DUMMYFUNCTION("""COMPUTED_VALUE"""),2006)</f>
        <v>2006</v>
      </c>
      <c r="E1427" s="8">
        <f ca="1">IFERROR(__xludf.DUMMYFUNCTION("""COMPUTED_VALUE"""),38771)</f>
        <v>38771</v>
      </c>
      <c r="F1427" s="5" t="str">
        <f ca="1">IFERROR(__xludf.DUMMYFUNCTION("""COMPUTED_VALUE"""),"Roseburg High School")</f>
        <v>Roseburg High School</v>
      </c>
      <c r="G1427" s="5">
        <f ca="1">IFERROR(__xludf.DUMMYFUNCTION("""COMPUTED_VALUE"""),0)</f>
        <v>0</v>
      </c>
      <c r="H1427" s="5">
        <f ca="1">IFERROR(__xludf.DUMMYFUNCTION("""COMPUTED_VALUE"""),1)</f>
        <v>1</v>
      </c>
      <c r="I1427" s="5">
        <f ca="1">IFERROR(__xludf.DUMMYFUNCTION("""COMPUTED_VALUE"""),1)</f>
        <v>1</v>
      </c>
      <c r="J1427" s="5">
        <f ca="1">IFERROR(__xludf.DUMMYFUNCTION("""COMPUTED_VALUE"""),0)</f>
        <v>0</v>
      </c>
      <c r="K1427" s="9" t="str">
        <f ca="1">IFERROR(__xludf.DUMMYFUNCTION("""COMPUTED_VALUE"""),"https://www.usatoday.com/story/news/2015/10/01/roseburg-had-school-shooting-2006/73168186/")</f>
        <v>https://www.usatoday.com/story/news/2015/10/01/roseburg-had-school-shooting-2006/73168186/</v>
      </c>
      <c r="L1427" s="5"/>
      <c r="M1427" s="5"/>
      <c r="N1427" s="5">
        <f ca="1">IFERROR(__xludf.DUMMYFUNCTION("""COMPUTED_VALUE"""),2)</f>
        <v>2</v>
      </c>
      <c r="O1427" s="5" t="str">
        <f ca="1">IFERROR(__xludf.DUMMYFUNCTION("""COMPUTED_VALUE"""),"Winter")</f>
        <v>Winter</v>
      </c>
      <c r="P1427" s="5" t="str">
        <f ca="1">IFERROR(__xludf.DUMMYFUNCTION("""COMPUTED_VALUE"""),"Roseburg")</f>
        <v>Roseburg</v>
      </c>
      <c r="Q1427" s="5" t="str">
        <f ca="1">IFERROR(__xludf.DUMMYFUNCTION("""COMPUTED_VALUE"""),"OR")</f>
        <v>OR</v>
      </c>
      <c r="R1427" s="5" t="str">
        <f ca="1">IFERROR(__xludf.DUMMYFUNCTION("""COMPUTED_VALUE"""),"High")</f>
        <v>High</v>
      </c>
      <c r="S1427" s="5" t="str">
        <f ca="1">IFERROR(__xludf.DUMMYFUNCTION("""COMPUTED_VALUE"""),"Hallway")</f>
        <v>Hallway</v>
      </c>
      <c r="T1427" s="5" t="str">
        <f ca="1">IFERROR(__xludf.DUMMYFUNCTION("""COMPUTED_VALUE"""),"Inside School Building")</f>
        <v>Inside School Building</v>
      </c>
      <c r="U1427" s="5" t="str">
        <f ca="1">IFERROR(__xludf.DUMMYFUNCTION("""COMPUTED_VALUE"""),"Yes")</f>
        <v>Yes</v>
      </c>
      <c r="V1427" s="5" t="str">
        <f ca="1">IFERROR(__xludf.DUMMYFUNCTION("""COMPUTED_VALUE"""),"Before School")</f>
        <v>Before School</v>
      </c>
      <c r="W1427" s="10">
        <f ca="1">IFERROR(__xludf.DUMMYFUNCTION("""COMPUTED_VALUE"""),0.322916666666666)</f>
        <v>0.32291666666666602</v>
      </c>
      <c r="X1427" s="5">
        <f ca="1">IFERROR(__xludf.DUMMYFUNCTION("""COMPUTED_VALUE"""),1)</f>
        <v>1</v>
      </c>
      <c r="Y1427" s="5" t="str">
        <f ca="1">IFERROR(__xludf.DUMMYFUNCTION("""COMPUTED_VALUE"""),"Jealousy over girl interested in victim")</f>
        <v>Jealousy over girl interested in victim</v>
      </c>
      <c r="Z1427" s="5" t="str">
        <f ca="1">IFERROR(__xludf.DUMMYFUNCTION("""COMPUTED_VALUE"""),"Shooter fired 4 rounds at the victim from behind then exited school and walked across the street to a restaurant. Shooter put the gun to his head but was talked down and surrender to police. Shooter was jealous that the victim was popular with girls and t"&amp;"here had been an ongoing dispute between them. The victim had gotten in trouble recently for spitting on another student on the school bus.")</f>
        <v>Shooter fired 4 rounds at the victim from behind then exited school and walked across the street to a restaurant. Shooter put the gun to his head but was talked down and surrender to police. Shooter was jealous that the victim was popular with girls and there had been an ongoing dispute between them. The victim had gotten in trouble recently for spitting on another student on the school bus.</v>
      </c>
      <c r="AA1427" s="5" t="str">
        <f ca="1">IFERROR(__xludf.DUMMYFUNCTION("""COMPUTED_VALUE"""),"Murder/Suicide")</f>
        <v>Murder/Suicide</v>
      </c>
      <c r="AB1427" s="5" t="str">
        <f ca="1">IFERROR(__xludf.DUMMYFUNCTION("""COMPUTED_VALUE"""),"Victims Targeted")</f>
        <v>Victims Targeted</v>
      </c>
      <c r="AC1427" s="5" t="str">
        <f ca="1">IFERROR(__xludf.DUMMYFUNCTION("""COMPUTED_VALUE"""),"No")</f>
        <v>No</v>
      </c>
      <c r="AD1427" s="5" t="str">
        <f ca="1">IFERROR(__xludf.DUMMYFUNCTION("""COMPUTED_VALUE"""),"No")</f>
        <v>No</v>
      </c>
      <c r="AE1427" s="5" t="str">
        <f ca="1">IFERROR(__xludf.DUMMYFUNCTION("""COMPUTED_VALUE"""),"No")</f>
        <v>No</v>
      </c>
      <c r="AF1427" s="5" t="str">
        <f ca="1">IFERROR(__xludf.DUMMYFUNCTION("""COMPUTED_VALUE"""),"No")</f>
        <v>No</v>
      </c>
      <c r="AG1427" s="5" t="str">
        <f ca="1">IFERROR(__xludf.DUMMYFUNCTION("""COMPUTED_VALUE"""),"Yes")</f>
        <v>Yes</v>
      </c>
      <c r="AH1427" s="5" t="str">
        <f ca="1">IFERROR(__xludf.DUMMYFUNCTION("""COMPUTED_VALUE"""),"No")</f>
        <v>No</v>
      </c>
      <c r="AI1427" s="5" t="str">
        <f ca="1">IFERROR(__xludf.DUMMYFUNCTION("""COMPUTED_VALUE"""),"No")</f>
        <v>No</v>
      </c>
      <c r="AJ1427" s="5" t="str">
        <f ca="1">IFERROR(__xludf.DUMMYFUNCTION("""COMPUTED_VALUE"""),"Yes")</f>
        <v>Yes</v>
      </c>
    </row>
    <row r="1428" spans="1:36" ht="13">
      <c r="A1428" s="5" t="str">
        <f ca="1">IFERROR(__xludf.DUMMYFUNCTION("""COMPUTED_VALUE"""),"20060221PAWEP")</f>
        <v>20060221PAWEP</v>
      </c>
      <c r="B1428" s="5">
        <f ca="1">IFERROR(__xludf.DUMMYFUNCTION("""COMPUTED_VALUE"""),2)</f>
        <v>2</v>
      </c>
      <c r="C1428" s="5">
        <f ca="1">IFERROR(__xludf.DUMMYFUNCTION("""COMPUTED_VALUE"""),21)</f>
        <v>21</v>
      </c>
      <c r="D1428" s="5">
        <f ca="1">IFERROR(__xludf.DUMMYFUNCTION("""COMPUTED_VALUE"""),2006)</f>
        <v>2006</v>
      </c>
      <c r="E1428" s="8">
        <f ca="1">IFERROR(__xludf.DUMMYFUNCTION("""COMPUTED_VALUE"""),38769)</f>
        <v>38769</v>
      </c>
      <c r="F1428" s="5" t="str">
        <f ca="1">IFERROR(__xludf.DUMMYFUNCTION("""COMPUTED_VALUE"""),"Westinghouse High School")</f>
        <v>Westinghouse High School</v>
      </c>
      <c r="G1428" s="5">
        <f ca="1">IFERROR(__xludf.DUMMYFUNCTION("""COMPUTED_VALUE"""),0)</f>
        <v>0</v>
      </c>
      <c r="H1428" s="5">
        <f ca="1">IFERROR(__xludf.DUMMYFUNCTION("""COMPUTED_VALUE"""),1)</f>
        <v>1</v>
      </c>
      <c r="I1428" s="5">
        <f ca="1">IFERROR(__xludf.DUMMYFUNCTION("""COMPUTED_VALUE"""),1)</f>
        <v>1</v>
      </c>
      <c r="J1428" s="5">
        <f ca="1">IFERROR(__xludf.DUMMYFUNCTION("""COMPUTED_VALUE"""),0)</f>
        <v>0</v>
      </c>
      <c r="K1428" s="9" t="str">
        <f ca="1">IFERROR(__xludf.DUMMYFUNCTION("""COMPUTED_VALUE"""),"http://www.post-gazette.com/local/city/2007/02/28/Rifle-used-to-shoot-teen-outside-school-tied-to-2nd-shooting/stories/200702280235")</f>
        <v>http://www.post-gazette.com/local/city/2007/02/28/Rifle-used-to-shoot-teen-outside-school-tied-to-2nd-shooting/stories/200702280235</v>
      </c>
      <c r="L1428" s="5"/>
      <c r="M1428" s="5"/>
      <c r="N1428" s="5">
        <f ca="1">IFERROR(__xludf.DUMMYFUNCTION("""COMPUTED_VALUE"""),2)</f>
        <v>2</v>
      </c>
      <c r="O1428" s="5" t="str">
        <f ca="1">IFERROR(__xludf.DUMMYFUNCTION("""COMPUTED_VALUE"""),"Winter")</f>
        <v>Winter</v>
      </c>
      <c r="P1428" s="5" t="str">
        <f ca="1">IFERROR(__xludf.DUMMYFUNCTION("""COMPUTED_VALUE"""),"Pittsburgh")</f>
        <v>Pittsburgh</v>
      </c>
      <c r="Q1428" s="5" t="str">
        <f ca="1">IFERROR(__xludf.DUMMYFUNCTION("""COMPUTED_VALUE"""),"PA")</f>
        <v>PA</v>
      </c>
      <c r="R1428" s="5" t="str">
        <f ca="1">IFERROR(__xludf.DUMMYFUNCTION("""COMPUTED_VALUE"""),"High")</f>
        <v>High</v>
      </c>
      <c r="S1428" s="5" t="str">
        <f ca="1">IFERROR(__xludf.DUMMYFUNCTION("""COMPUTED_VALUE"""),"Front of School")</f>
        <v>Front of School</v>
      </c>
      <c r="T1428" s="5" t="str">
        <f ca="1">IFERROR(__xludf.DUMMYFUNCTION("""COMPUTED_VALUE"""),"Outside on School Property")</f>
        <v>Outside on School Property</v>
      </c>
      <c r="U1428" s="5" t="str">
        <f ca="1">IFERROR(__xludf.DUMMYFUNCTION("""COMPUTED_VALUE"""),"Yes")</f>
        <v>Yes</v>
      </c>
      <c r="V1428" s="5" t="str">
        <f ca="1">IFERROR(__xludf.DUMMYFUNCTION("""COMPUTED_VALUE"""),"School Start")</f>
        <v>School Start</v>
      </c>
      <c r="W1428" s="10">
        <f ca="1">IFERROR(__xludf.DUMMYFUNCTION("""COMPUTED_VALUE"""),0.322916666666666)</f>
        <v>0.32291666666666602</v>
      </c>
      <c r="X1428" s="5">
        <f ca="1">IFERROR(__xludf.DUMMYFUNCTION("""COMPUTED_VALUE"""),1)</f>
        <v>1</v>
      </c>
      <c r="Y1428" s="5" t="str">
        <f ca="1">IFERROR(__xludf.DUMMYFUNCTION("""COMPUTED_VALUE"""),"Student shot in targeted drive-by outside of school")</f>
        <v>Student shot in targeted drive-by outside of school</v>
      </c>
      <c r="Z1428" s="5" t="str">
        <f ca="1">IFERROR(__xludf.DUMMYFUNCTION("""COMPUTED_VALUE"""),"16YOM walking into school was shot 5 times by back seat occupant of car that pulled in front of school. When police arrested shooter, the gun was connected to another fatal drive by shooting. The shooter was involved in illegal drug dealing but unclear if"&amp;" high school shooting was connected.")</f>
        <v>16YOM walking into school was shot 5 times by back seat occupant of car that pulled in front of school. When police arrested shooter, the gun was connected to another fatal drive by shooting. The shooter was involved in illegal drug dealing but unclear if high school shooting was connected.</v>
      </c>
      <c r="AA1428" s="5" t="str">
        <f ca="1">IFERROR(__xludf.DUMMYFUNCTION("""COMPUTED_VALUE"""),"Drive-by Shooting")</f>
        <v>Drive-by Shooting</v>
      </c>
      <c r="AB1428" s="5" t="str">
        <f ca="1">IFERROR(__xludf.DUMMYFUNCTION("""COMPUTED_VALUE"""),"Victims Targeted")</f>
        <v>Victims Targeted</v>
      </c>
      <c r="AC1428" s="5" t="str">
        <f ca="1">IFERROR(__xludf.DUMMYFUNCTION("""COMPUTED_VALUE"""),"Yes")</f>
        <v>Yes</v>
      </c>
      <c r="AD1428" s="5" t="str">
        <f ca="1">IFERROR(__xludf.DUMMYFUNCTION("""COMPUTED_VALUE"""),"No")</f>
        <v>No</v>
      </c>
      <c r="AE1428" s="5" t="str">
        <f ca="1">IFERROR(__xludf.DUMMYFUNCTION("""COMPUTED_VALUE"""),"No")</f>
        <v>No</v>
      </c>
      <c r="AF1428" s="5" t="str">
        <f ca="1">IFERROR(__xludf.DUMMYFUNCTION("""COMPUTED_VALUE"""),"No")</f>
        <v>No</v>
      </c>
      <c r="AG1428" s="5" t="str">
        <f ca="1">IFERROR(__xludf.DUMMYFUNCTION("""COMPUTED_VALUE"""),"No")</f>
        <v>No</v>
      </c>
      <c r="AH1428" s="5" t="str">
        <f ca="1">IFERROR(__xludf.DUMMYFUNCTION("""COMPUTED_VALUE"""),"No")</f>
        <v>No</v>
      </c>
      <c r="AI1428" s="5"/>
      <c r="AJ1428" s="5"/>
    </row>
    <row r="1429" spans="1:36" ht="13">
      <c r="A1429" s="5" t="str">
        <f ca="1">IFERROR(__xludf.DUMMYFUNCTION("""COMPUTED_VALUE"""),"20060215PAWEY")</f>
        <v>20060215PAWEY</v>
      </c>
      <c r="B1429" s="5">
        <f ca="1">IFERROR(__xludf.DUMMYFUNCTION("""COMPUTED_VALUE"""),2)</f>
        <v>2</v>
      </c>
      <c r="C1429" s="5">
        <f ca="1">IFERROR(__xludf.DUMMYFUNCTION("""COMPUTED_VALUE"""),15)</f>
        <v>15</v>
      </c>
      <c r="D1429" s="5">
        <f ca="1">IFERROR(__xludf.DUMMYFUNCTION("""COMPUTED_VALUE"""),2006)</f>
        <v>2006</v>
      </c>
      <c r="E1429" s="8">
        <f ca="1">IFERROR(__xludf.DUMMYFUNCTION("""COMPUTED_VALUE"""),38763)</f>
        <v>38763</v>
      </c>
      <c r="F1429" s="5" t="str">
        <f ca="1">IFERROR(__xludf.DUMMYFUNCTION("""COMPUTED_VALUE"""),"West York Area High School")</f>
        <v>West York Area High School</v>
      </c>
      <c r="G1429" s="5">
        <f ca="1">IFERROR(__xludf.DUMMYFUNCTION("""COMPUTED_VALUE"""),0)</f>
        <v>0</v>
      </c>
      <c r="H1429" s="5">
        <f ca="1">IFERROR(__xludf.DUMMYFUNCTION("""COMPUTED_VALUE"""),0)</f>
        <v>0</v>
      </c>
      <c r="I1429" s="5">
        <f ca="1">IFERROR(__xludf.DUMMYFUNCTION("""COMPUTED_VALUE"""),0)</f>
        <v>0</v>
      </c>
      <c r="J1429" s="5">
        <f ca="1">IFERROR(__xludf.DUMMYFUNCTION("""COMPUTED_VALUE"""),1)</f>
        <v>1</v>
      </c>
      <c r="K1429" s="9" t="str">
        <f ca="1">IFERROR(__xludf.DUMMYFUNCTION("""COMPUTED_VALUE"""),"https://www.ydr.com/story/news/local/blogs/teen-takeover/2006/02/24/school-censoring-student-writi/31691051/")</f>
        <v>https://www.ydr.com/story/news/local/blogs/teen-takeover/2006/02/24/school-censoring-student-writi/31691051/</v>
      </c>
      <c r="L1429" s="5"/>
      <c r="M1429" s="5"/>
      <c r="N1429" s="5">
        <f ca="1">IFERROR(__xludf.DUMMYFUNCTION("""COMPUTED_VALUE"""),1)</f>
        <v>1</v>
      </c>
      <c r="O1429" s="5" t="str">
        <f ca="1">IFERROR(__xludf.DUMMYFUNCTION("""COMPUTED_VALUE"""),"Winter")</f>
        <v>Winter</v>
      </c>
      <c r="P1429" s="5" t="str">
        <f ca="1">IFERROR(__xludf.DUMMYFUNCTION("""COMPUTED_VALUE"""),"York")</f>
        <v>York</v>
      </c>
      <c r="Q1429" s="5" t="str">
        <f ca="1">IFERROR(__xludf.DUMMYFUNCTION("""COMPUTED_VALUE"""),"PA")</f>
        <v>PA</v>
      </c>
      <c r="R1429" s="5" t="str">
        <f ca="1">IFERROR(__xludf.DUMMYFUNCTION("""COMPUTED_VALUE"""),"High")</f>
        <v>High</v>
      </c>
      <c r="S1429" s="5" t="str">
        <f ca="1">IFERROR(__xludf.DUMMYFUNCTION("""COMPUTED_VALUE"""),"Classroom")</f>
        <v>Classroom</v>
      </c>
      <c r="T1429" s="5" t="str">
        <f ca="1">IFERROR(__xludf.DUMMYFUNCTION("""COMPUTED_VALUE"""),"Inside School Building")</f>
        <v>Inside School Building</v>
      </c>
      <c r="U1429" s="5" t="str">
        <f ca="1">IFERROR(__xludf.DUMMYFUNCTION("""COMPUTED_VALUE"""),"No")</f>
        <v>No</v>
      </c>
      <c r="V1429" s="5" t="str">
        <f ca="1">IFERROR(__xludf.DUMMYFUNCTION("""COMPUTED_VALUE"""),"Evening")</f>
        <v>Evening</v>
      </c>
      <c r="W1429" s="5"/>
      <c r="X1429" s="5">
        <f ca="1">IFERROR(__xludf.DUMMYFUNCTION("""COMPUTED_VALUE"""),1)</f>
        <v>1</v>
      </c>
      <c r="Y1429" s="5" t="str">
        <f ca="1">IFERROR(__xludf.DUMMYFUNCTION("""COMPUTED_VALUE"""),"Art teacher shot himself in the evening, found the next day in classroom")</f>
        <v>Art teacher shot himself in the evening, found the next day in classroom</v>
      </c>
      <c r="Z1429" s="5" t="str">
        <f ca="1">IFERROR(__xludf.DUMMYFUNCTION("""COMPUTED_VALUE"""),"Well liked art teacher commit suicide in classroom after school. Body was found by students the following day.")</f>
        <v>Well liked art teacher commit suicide in classroom after school. Body was found by students the following day.</v>
      </c>
      <c r="AA1429" s="5" t="str">
        <f ca="1">IFERROR(__xludf.DUMMYFUNCTION("""COMPUTED_VALUE"""),"Suicide/Attempted")</f>
        <v>Suicide/Attempted</v>
      </c>
      <c r="AB1429" s="5" t="str">
        <f ca="1">IFERROR(__xludf.DUMMYFUNCTION("""COMPUTED_VALUE"""),"Victims Targeted")</f>
        <v>Victims Targeted</v>
      </c>
      <c r="AC1429" s="5" t="str">
        <f ca="1">IFERROR(__xludf.DUMMYFUNCTION("""COMPUTED_VALUE"""),"No")</f>
        <v>No</v>
      </c>
      <c r="AD1429" s="5" t="str">
        <f ca="1">IFERROR(__xludf.DUMMYFUNCTION("""COMPUTED_VALUE"""),"No")</f>
        <v>No</v>
      </c>
      <c r="AE1429" s="5" t="str">
        <f ca="1">IFERROR(__xludf.DUMMYFUNCTION("""COMPUTED_VALUE"""),"No")</f>
        <v>No</v>
      </c>
      <c r="AF1429" s="5" t="str">
        <f ca="1">IFERROR(__xludf.DUMMYFUNCTION("""COMPUTED_VALUE"""),"No")</f>
        <v>No</v>
      </c>
      <c r="AG1429" s="5" t="str">
        <f ca="1">IFERROR(__xludf.DUMMYFUNCTION("""COMPUTED_VALUE"""),"No")</f>
        <v>No</v>
      </c>
      <c r="AH1429" s="5" t="str">
        <f ca="1">IFERROR(__xludf.DUMMYFUNCTION("""COMPUTED_VALUE"""),"No")</f>
        <v>No</v>
      </c>
      <c r="AI1429" s="5" t="str">
        <f ca="1">IFERROR(__xludf.DUMMYFUNCTION("""COMPUTED_VALUE"""),"No")</f>
        <v>No</v>
      </c>
      <c r="AJ1429" s="5"/>
    </row>
    <row r="1430" spans="1:36" ht="13">
      <c r="A1430" s="5" t="str">
        <f ca="1">IFERROR(__xludf.DUMMYFUNCTION("""COMPUTED_VALUE"""),"20060209DEWIN")</f>
        <v>20060209DEWIN</v>
      </c>
      <c r="B1430" s="5">
        <f ca="1">IFERROR(__xludf.DUMMYFUNCTION("""COMPUTED_VALUE"""),2)</f>
        <v>2</v>
      </c>
      <c r="C1430" s="5">
        <f ca="1">IFERROR(__xludf.DUMMYFUNCTION("""COMPUTED_VALUE"""),9)</f>
        <v>9</v>
      </c>
      <c r="D1430" s="5">
        <f ca="1">IFERROR(__xludf.DUMMYFUNCTION("""COMPUTED_VALUE"""),2006)</f>
        <v>2006</v>
      </c>
      <c r="E1430" s="8">
        <f ca="1">IFERROR(__xludf.DUMMYFUNCTION("""COMPUTED_VALUE"""),38757)</f>
        <v>38757</v>
      </c>
      <c r="F1430" s="5" t="str">
        <f ca="1">IFERROR(__xludf.DUMMYFUNCTION("""COMPUTED_VALUE"""),"William Penn High School")</f>
        <v>William Penn High School</v>
      </c>
      <c r="G1430" s="5">
        <f ca="1">IFERROR(__xludf.DUMMYFUNCTION("""COMPUTED_VALUE"""),0)</f>
        <v>0</v>
      </c>
      <c r="H1430" s="5">
        <f ca="1">IFERROR(__xludf.DUMMYFUNCTION("""COMPUTED_VALUE"""),1)</f>
        <v>1</v>
      </c>
      <c r="I1430" s="5">
        <f ca="1">IFERROR(__xludf.DUMMYFUNCTION("""COMPUTED_VALUE"""),1)</f>
        <v>1</v>
      </c>
      <c r="J1430" s="5">
        <f ca="1">IFERROR(__xludf.DUMMYFUNCTION("""COMPUTED_VALUE"""),0)</f>
        <v>0</v>
      </c>
      <c r="K1430" s="9" t="str">
        <f ca="1">IFERROR(__xludf.DUMMYFUNCTION("""COMPUTED_VALUE"""),"https://www.newspapers.com/image/164693932/?terms=William%2BPenn%2BHigh%2BSchool%2Bshooting")</f>
        <v>https://www.newspapers.com/image/164693932/?terms=William%2BPenn%2BHigh%2BSchool%2Bshooting</v>
      </c>
      <c r="L1430" s="5"/>
      <c r="M1430" s="5"/>
      <c r="N1430" s="5">
        <f ca="1">IFERROR(__xludf.DUMMYFUNCTION("""COMPUTED_VALUE"""),2)</f>
        <v>2</v>
      </c>
      <c r="O1430" s="5" t="str">
        <f ca="1">IFERROR(__xludf.DUMMYFUNCTION("""COMPUTED_VALUE"""),"Winter")</f>
        <v>Winter</v>
      </c>
      <c r="P1430" s="5" t="str">
        <f ca="1">IFERROR(__xludf.DUMMYFUNCTION("""COMPUTED_VALUE"""),"New Castle")</f>
        <v>New Castle</v>
      </c>
      <c r="Q1430" s="5" t="str">
        <f ca="1">IFERROR(__xludf.DUMMYFUNCTION("""COMPUTED_VALUE"""),"DE")</f>
        <v>DE</v>
      </c>
      <c r="R1430" s="5" t="str">
        <f ca="1">IFERROR(__xludf.DUMMYFUNCTION("""COMPUTED_VALUE"""),"High")</f>
        <v>High</v>
      </c>
      <c r="S1430" s="5" t="str">
        <f ca="1">IFERROR(__xludf.DUMMYFUNCTION("""COMPUTED_VALUE"""),"Parking Lot")</f>
        <v>Parking Lot</v>
      </c>
      <c r="T1430" s="5" t="str">
        <f ca="1">IFERROR(__xludf.DUMMYFUNCTION("""COMPUTED_VALUE"""),"Outside on School Property")</f>
        <v>Outside on School Property</v>
      </c>
      <c r="U1430" s="5" t="str">
        <f ca="1">IFERROR(__xludf.DUMMYFUNCTION("""COMPUTED_VALUE"""),"No")</f>
        <v>No</v>
      </c>
      <c r="V1430" s="5" t="str">
        <f ca="1">IFERROR(__xludf.DUMMYFUNCTION("""COMPUTED_VALUE"""),"Sport Event")</f>
        <v>Sport Event</v>
      </c>
      <c r="W1430" s="10">
        <f ca="1">IFERROR(__xludf.DUMMYFUNCTION("""COMPUTED_VALUE"""),0.868055555555555)</f>
        <v>0.86805555555555503</v>
      </c>
      <c r="X1430" s="5">
        <f ca="1">IFERROR(__xludf.DUMMYFUNCTION("""COMPUTED_VALUE"""),1)</f>
        <v>1</v>
      </c>
      <c r="Y1430" s="5" t="str">
        <f ca="1">IFERROR(__xludf.DUMMYFUNCTION("""COMPUTED_VALUE"""),"Fight in parking lot following basketball game")</f>
        <v>Fight in parking lot following basketball game</v>
      </c>
      <c r="Z1430" s="5" t="str">
        <f ca="1">IFERROR(__xludf.DUMMYFUNCTION("""COMPUTED_VALUE"""),"Argument and fight between 3 teens and victim with female student in the parking lot following a basketball game. Victim was shot 3 times and suspect fled.")</f>
        <v>Argument and fight between 3 teens and victim with female student in the parking lot following a basketball game. Victim was shot 3 times and suspect fled.</v>
      </c>
      <c r="AA1430" s="5" t="str">
        <f ca="1">IFERROR(__xludf.DUMMYFUNCTION("""COMPUTED_VALUE"""),"Escalation of Dispute")</f>
        <v>Escalation of Dispute</v>
      </c>
      <c r="AB1430" s="5" t="str">
        <f ca="1">IFERROR(__xludf.DUMMYFUNCTION("""COMPUTED_VALUE"""),"Victims Targeted")</f>
        <v>Victims Targeted</v>
      </c>
      <c r="AC1430" s="5" t="str">
        <f ca="1">IFERROR(__xludf.DUMMYFUNCTION("""COMPUTED_VALUE"""),"Yes")</f>
        <v>Yes</v>
      </c>
      <c r="AD1430" s="5" t="str">
        <f ca="1">IFERROR(__xludf.DUMMYFUNCTION("""COMPUTED_VALUE"""),"No")</f>
        <v>No</v>
      </c>
      <c r="AE1430" s="5" t="str">
        <f ca="1">IFERROR(__xludf.DUMMYFUNCTION("""COMPUTED_VALUE"""),"No")</f>
        <v>No</v>
      </c>
      <c r="AF1430" s="5" t="str">
        <f ca="1">IFERROR(__xludf.DUMMYFUNCTION("""COMPUTED_VALUE"""),"No")</f>
        <v>No</v>
      </c>
      <c r="AG1430" s="5" t="str">
        <f ca="1">IFERROR(__xludf.DUMMYFUNCTION("""COMPUTED_VALUE"""),"No")</f>
        <v>No</v>
      </c>
      <c r="AH1430" s="5" t="str">
        <f ca="1">IFERROR(__xludf.DUMMYFUNCTION("""COMPUTED_VALUE"""),"No")</f>
        <v>No</v>
      </c>
      <c r="AI1430" s="5" t="str">
        <f ca="1">IFERROR(__xludf.DUMMYFUNCTION("""COMPUTED_VALUE"""),"No")</f>
        <v>No</v>
      </c>
      <c r="AJ1430" s="5"/>
    </row>
    <row r="1431" spans="1:36" ht="13">
      <c r="A1431" s="5" t="str">
        <f ca="1">IFERROR(__xludf.DUMMYFUNCTION("""COMPUTED_VALUE"""),"20060203CALOC")</f>
        <v>20060203CALOC</v>
      </c>
      <c r="B1431" s="5">
        <f ca="1">IFERROR(__xludf.DUMMYFUNCTION("""COMPUTED_VALUE"""),2)</f>
        <v>2</v>
      </c>
      <c r="C1431" s="5">
        <f ca="1">IFERROR(__xludf.DUMMYFUNCTION("""COMPUTED_VALUE"""),3)</f>
        <v>3</v>
      </c>
      <c r="D1431" s="5">
        <f ca="1">IFERROR(__xludf.DUMMYFUNCTION("""COMPUTED_VALUE"""),2006)</f>
        <v>2006</v>
      </c>
      <c r="E1431" s="8">
        <f ca="1">IFERROR(__xludf.DUMMYFUNCTION("""COMPUTED_VALUE"""),38751)</f>
        <v>38751</v>
      </c>
      <c r="F1431" s="5" t="str">
        <f ca="1">IFERROR(__xludf.DUMMYFUNCTION("""COMPUTED_VALUE"""),"Longfellow Elementary School (bus)")</f>
        <v>Longfellow Elementary School (bus)</v>
      </c>
      <c r="G1431" s="5">
        <f ca="1">IFERROR(__xludf.DUMMYFUNCTION("""COMPUTED_VALUE"""),0)</f>
        <v>0</v>
      </c>
      <c r="H1431" s="5">
        <f ca="1">IFERROR(__xludf.DUMMYFUNCTION("""COMPUTED_VALUE"""),1)</f>
        <v>1</v>
      </c>
      <c r="I1431" s="5">
        <f ca="1">IFERROR(__xludf.DUMMYFUNCTION("""COMPUTED_VALUE"""),1)</f>
        <v>1</v>
      </c>
      <c r="J1431" s="5">
        <f ca="1">IFERROR(__xludf.DUMMYFUNCTION("""COMPUTED_VALUE"""),0)</f>
        <v>0</v>
      </c>
      <c r="K1431" s="9" t="str">
        <f ca="1">IFERROR(__xludf.DUMMYFUNCTION("""COMPUTED_VALUE"""),"https://www.newspapers.com/image/192748872/?terms=Longfellow%2BElementary%2BSchool%2Belbow%2Bbus")</f>
        <v>https://www.newspapers.com/image/192748872/?terms=Longfellow%2BElementary%2BSchool%2Belbow%2Bbus</v>
      </c>
      <c r="L1431" s="5"/>
      <c r="M1431" s="5"/>
      <c r="N1431" s="5">
        <f ca="1">IFERROR(__xludf.DUMMYFUNCTION("""COMPUTED_VALUE"""),2)</f>
        <v>2</v>
      </c>
      <c r="O1431" s="5" t="str">
        <f ca="1">IFERROR(__xludf.DUMMYFUNCTION("""COMPUTED_VALUE"""),"Winter")</f>
        <v>Winter</v>
      </c>
      <c r="P1431" s="5" t="str">
        <f ca="1">IFERROR(__xludf.DUMMYFUNCTION("""COMPUTED_VALUE"""),"Compton")</f>
        <v>Compton</v>
      </c>
      <c r="Q1431" s="5" t="str">
        <f ca="1">IFERROR(__xludf.DUMMYFUNCTION("""COMPUTED_VALUE"""),"CA")</f>
        <v>CA</v>
      </c>
      <c r="R1431" s="5" t="str">
        <f ca="1">IFERROR(__xludf.DUMMYFUNCTION("""COMPUTED_VALUE"""),"Elementary")</f>
        <v>Elementary</v>
      </c>
      <c r="S1431" s="5" t="str">
        <f ca="1">IFERROR(__xludf.DUMMYFUNCTION("""COMPUTED_VALUE"""),"School Bus")</f>
        <v>School Bus</v>
      </c>
      <c r="T1431" s="5" t="str">
        <f ca="1">IFERROR(__xludf.DUMMYFUNCTION("""COMPUTED_VALUE"""),"School Bus")</f>
        <v>School Bus</v>
      </c>
      <c r="U1431" s="5" t="str">
        <f ca="1">IFERROR(__xludf.DUMMYFUNCTION("""COMPUTED_VALUE"""),"Yes")</f>
        <v>Yes</v>
      </c>
      <c r="V1431" s="5" t="str">
        <f ca="1">IFERROR(__xludf.DUMMYFUNCTION("""COMPUTED_VALUE"""),"Before School")</f>
        <v>Before School</v>
      </c>
      <c r="W1431" s="10">
        <f ca="1">IFERROR(__xludf.DUMMYFUNCTION("""COMPUTED_VALUE"""),0.347222222222222)</f>
        <v>0.34722222222222199</v>
      </c>
      <c r="X1431" s="5">
        <f ca="1">IFERROR(__xludf.DUMMYFUNCTION("""COMPUTED_VALUE"""),1)</f>
        <v>1</v>
      </c>
      <c r="Y1431" s="5" t="str">
        <f ca="1">IFERROR(__xludf.DUMMYFUNCTION("""COMPUTED_VALUE"""),"Showing off gun on bus, fired striking other student in arm")</f>
        <v>Showing off gun on bus, fired striking other student in arm</v>
      </c>
      <c r="Z1431" s="5" t="str">
        <f ca="1">IFERROR(__xludf.DUMMYFUNCTION("""COMPUTED_VALUE"""),"9 year old special ed student pulled a gun from his backpack while in the morning bus ride and shot a 10 year old. Shooting classified as accidental")</f>
        <v>9 year old special ed student pulled a gun from his backpack while in the morning bus ride and shot a 10 year old. Shooting classified as accidental</v>
      </c>
      <c r="AA1431" s="5" t="str">
        <f ca="1">IFERROR(__xludf.DUMMYFUNCTION("""COMPUTED_VALUE"""),"Accidental")</f>
        <v>Accidental</v>
      </c>
      <c r="AB1431" s="5" t="str">
        <f ca="1">IFERROR(__xludf.DUMMYFUNCTION("""COMPUTED_VALUE"""),"Random Shooting")</f>
        <v>Random Shooting</v>
      </c>
      <c r="AC1431" s="5" t="str">
        <f ca="1">IFERROR(__xludf.DUMMYFUNCTION("""COMPUTED_VALUE"""),"No")</f>
        <v>No</v>
      </c>
      <c r="AD1431" s="5" t="str">
        <f ca="1">IFERROR(__xludf.DUMMYFUNCTION("""COMPUTED_VALUE"""),"No")</f>
        <v>No</v>
      </c>
      <c r="AE1431" s="5" t="str">
        <f ca="1">IFERROR(__xludf.DUMMYFUNCTION("""COMPUTED_VALUE"""),"No")</f>
        <v>No</v>
      </c>
      <c r="AF1431" s="5" t="str">
        <f ca="1">IFERROR(__xludf.DUMMYFUNCTION("""COMPUTED_VALUE"""),"No")</f>
        <v>No</v>
      </c>
      <c r="AG1431" s="5" t="str">
        <f ca="1">IFERROR(__xludf.DUMMYFUNCTION("""COMPUTED_VALUE"""),"No")</f>
        <v>No</v>
      </c>
      <c r="AH1431" s="5" t="str">
        <f ca="1">IFERROR(__xludf.DUMMYFUNCTION("""COMPUTED_VALUE"""),"No")</f>
        <v>No</v>
      </c>
      <c r="AI1431" s="5" t="str">
        <f ca="1">IFERROR(__xludf.DUMMYFUNCTION("""COMPUTED_VALUE"""),"No")</f>
        <v>No</v>
      </c>
      <c r="AJ1431" s="5"/>
    </row>
    <row r="1432" spans="1:36" ht="13">
      <c r="A1432" s="5" t="str">
        <f ca="1">IFERROR(__xludf.DUMMYFUNCTION("""COMPUTED_VALUE"""),"20060130MTCMG")</f>
        <v>20060130MTCMG</v>
      </c>
      <c r="B1432" s="5">
        <f ca="1">IFERROR(__xludf.DUMMYFUNCTION("""COMPUTED_VALUE"""),1)</f>
        <v>1</v>
      </c>
      <c r="C1432" s="5">
        <f ca="1">IFERROR(__xludf.DUMMYFUNCTION("""COMPUTED_VALUE"""),30)</f>
        <v>30</v>
      </c>
      <c r="D1432" s="5">
        <f ca="1">IFERROR(__xludf.DUMMYFUNCTION("""COMPUTED_VALUE"""),2006)</f>
        <v>2006</v>
      </c>
      <c r="E1432" s="8">
        <f ca="1">IFERROR(__xludf.DUMMYFUNCTION("""COMPUTED_VALUE"""),38747)</f>
        <v>38747</v>
      </c>
      <c r="F1432" s="5" t="str">
        <f ca="1">IFERROR(__xludf.DUMMYFUNCTION("""COMPUTED_VALUE"""),"C M Russell High School")</f>
        <v>C M Russell High School</v>
      </c>
      <c r="G1432" s="5">
        <f ca="1">IFERROR(__xludf.DUMMYFUNCTION("""COMPUTED_VALUE"""),0)</f>
        <v>0</v>
      </c>
      <c r="H1432" s="5">
        <f ca="1">IFERROR(__xludf.DUMMYFUNCTION("""COMPUTED_VALUE"""),0)</f>
        <v>0</v>
      </c>
      <c r="I1432" s="5">
        <f ca="1">IFERROR(__xludf.DUMMYFUNCTION("""COMPUTED_VALUE"""),0)</f>
        <v>0</v>
      </c>
      <c r="J1432" s="5">
        <f ca="1">IFERROR(__xludf.DUMMYFUNCTION("""COMPUTED_VALUE"""),1)</f>
        <v>1</v>
      </c>
      <c r="K1432" s="9" t="str">
        <f ca="1">IFERROR(__xludf.DUMMYFUNCTION("""COMPUTED_VALUE"""),"https://mtstandard.com/news/state-and-regional/student-dies-in-suicide-at-c-m-russell/article_6b906cf5-ad30-5bc9-87cd-1929be726a82.html")</f>
        <v>https://mtstandard.com/news/state-and-regional/student-dies-in-suicide-at-c-m-russell/article_6b906cf5-ad30-5bc9-87cd-1929be726a82.html</v>
      </c>
      <c r="L1432" s="5"/>
      <c r="M1432" s="5"/>
      <c r="N1432" s="5">
        <f ca="1">IFERROR(__xludf.DUMMYFUNCTION("""COMPUTED_VALUE"""),2)</f>
        <v>2</v>
      </c>
      <c r="O1432" s="5" t="str">
        <f ca="1">IFERROR(__xludf.DUMMYFUNCTION("""COMPUTED_VALUE"""),"Winter")</f>
        <v>Winter</v>
      </c>
      <c r="P1432" s="5" t="str">
        <f ca="1">IFERROR(__xludf.DUMMYFUNCTION("""COMPUTED_VALUE"""),"Great Falls")</f>
        <v>Great Falls</v>
      </c>
      <c r="Q1432" s="5" t="str">
        <f ca="1">IFERROR(__xludf.DUMMYFUNCTION("""COMPUTED_VALUE"""),"MT")</f>
        <v>MT</v>
      </c>
      <c r="R1432" s="5" t="str">
        <f ca="1">IFERROR(__xludf.DUMMYFUNCTION("""COMPUTED_VALUE"""),"High")</f>
        <v>High</v>
      </c>
      <c r="S1432" s="5" t="str">
        <f ca="1">IFERROR(__xludf.DUMMYFUNCTION("""COMPUTED_VALUE"""),"Bathroom")</f>
        <v>Bathroom</v>
      </c>
      <c r="T1432" s="5" t="str">
        <f ca="1">IFERROR(__xludf.DUMMYFUNCTION("""COMPUTED_VALUE"""),"Inside School Building")</f>
        <v>Inside School Building</v>
      </c>
      <c r="U1432" s="5" t="str">
        <f ca="1">IFERROR(__xludf.DUMMYFUNCTION("""COMPUTED_VALUE"""),"Yes")</f>
        <v>Yes</v>
      </c>
      <c r="V1432" s="5" t="str">
        <f ca="1">IFERROR(__xludf.DUMMYFUNCTION("""COMPUTED_VALUE"""),"School Start")</f>
        <v>School Start</v>
      </c>
      <c r="W1432" s="10">
        <f ca="1">IFERROR(__xludf.DUMMYFUNCTION("""COMPUTED_VALUE"""),0.333333333333333)</f>
        <v>0.33333333333333298</v>
      </c>
      <c r="X1432" s="5">
        <f ca="1">IFERROR(__xludf.DUMMYFUNCTION("""COMPUTED_VALUE"""),1)</f>
        <v>1</v>
      </c>
      <c r="Y1432" s="5" t="str">
        <f ca="1">IFERROR(__xludf.DUMMYFUNCTION("""COMPUTED_VALUE"""),"Shot self in bathroom")</f>
        <v>Shot self in bathroom</v>
      </c>
      <c r="Z1432" s="5" t="str">
        <f ca="1">IFERROR(__xludf.DUMMYFUNCTION("""COMPUTED_VALUE"""),"16YOM student shot himself in the school bathroom.")</f>
        <v>16YOM student shot himself in the school bathroom.</v>
      </c>
      <c r="AA1432" s="5" t="str">
        <f ca="1">IFERROR(__xludf.DUMMYFUNCTION("""COMPUTED_VALUE"""),"Suicide/Attempted")</f>
        <v>Suicide/Attempted</v>
      </c>
      <c r="AB1432" s="5" t="str">
        <f ca="1">IFERROR(__xludf.DUMMYFUNCTION("""COMPUTED_VALUE"""),"Victims Targeted")</f>
        <v>Victims Targeted</v>
      </c>
      <c r="AC1432" s="5" t="str">
        <f ca="1">IFERROR(__xludf.DUMMYFUNCTION("""COMPUTED_VALUE"""),"No")</f>
        <v>No</v>
      </c>
      <c r="AD1432" s="5" t="str">
        <f ca="1">IFERROR(__xludf.DUMMYFUNCTION("""COMPUTED_VALUE"""),"No")</f>
        <v>No</v>
      </c>
      <c r="AE1432" s="5" t="str">
        <f ca="1">IFERROR(__xludf.DUMMYFUNCTION("""COMPUTED_VALUE"""),"No")</f>
        <v>No</v>
      </c>
      <c r="AF1432" s="5" t="str">
        <f ca="1">IFERROR(__xludf.DUMMYFUNCTION("""COMPUTED_VALUE"""),"No")</f>
        <v>No</v>
      </c>
      <c r="AG1432" s="5"/>
      <c r="AH1432" s="5" t="str">
        <f ca="1">IFERROR(__xludf.DUMMYFUNCTION("""COMPUTED_VALUE"""),"No")</f>
        <v>No</v>
      </c>
      <c r="AI1432" s="5" t="str">
        <f ca="1">IFERROR(__xludf.DUMMYFUNCTION("""COMPUTED_VALUE"""),"No")</f>
        <v>No</v>
      </c>
      <c r="AJ1432" s="5"/>
    </row>
    <row r="1433" spans="1:36" ht="13">
      <c r="A1433" s="5" t="str">
        <f ca="1">IFERROR(__xludf.DUMMYFUNCTION("""COMPUTED_VALUE"""),"20060127TXLAG")</f>
        <v>20060127TXLAG</v>
      </c>
      <c r="B1433" s="5">
        <f ca="1">IFERROR(__xludf.DUMMYFUNCTION("""COMPUTED_VALUE"""),1)</f>
        <v>1</v>
      </c>
      <c r="C1433" s="5">
        <f ca="1">IFERROR(__xludf.DUMMYFUNCTION("""COMPUTED_VALUE"""),27)</f>
        <v>27</v>
      </c>
      <c r="D1433" s="5">
        <f ca="1">IFERROR(__xludf.DUMMYFUNCTION("""COMPUTED_VALUE"""),2006)</f>
        <v>2006</v>
      </c>
      <c r="E1433" s="8">
        <f ca="1">IFERROR(__xludf.DUMMYFUNCTION("""COMPUTED_VALUE"""),38744)</f>
        <v>38744</v>
      </c>
      <c r="F1433" s="5" t="str">
        <f ca="1">IFERROR(__xludf.DUMMYFUNCTION("""COMPUTED_VALUE"""),"Lakeview Centennial High School")</f>
        <v>Lakeview Centennial High School</v>
      </c>
      <c r="G1433" s="5">
        <f ca="1">IFERROR(__xludf.DUMMYFUNCTION("""COMPUTED_VALUE"""),0)</f>
        <v>0</v>
      </c>
      <c r="H1433" s="5">
        <f ca="1">IFERROR(__xludf.DUMMYFUNCTION("""COMPUTED_VALUE"""),2)</f>
        <v>2</v>
      </c>
      <c r="I1433" s="5">
        <f ca="1">IFERROR(__xludf.DUMMYFUNCTION("""COMPUTED_VALUE"""),2)</f>
        <v>2</v>
      </c>
      <c r="J1433" s="5">
        <f ca="1">IFERROR(__xludf.DUMMYFUNCTION("""COMPUTED_VALUE"""),0)</f>
        <v>0</v>
      </c>
      <c r="K1433" s="9" t="str">
        <f ca="1">IFERROR(__xludf.DUMMYFUNCTION("""COMPUTED_VALUE"""),"https://www.statesman.com/news/state--regional/santa-school-shooting-the-deadliest-texas-since-tower-shooting/pdX1aBkUi4kR3NUVqxdbJP/")</f>
        <v>https://www.statesman.com/news/state--regional/santa-school-shooting-the-deadliest-texas-since-tower-shooting/pdX1aBkUi4kR3NUVqxdbJP/</v>
      </c>
      <c r="L1433" s="5"/>
      <c r="M1433" s="5"/>
      <c r="N1433" s="5">
        <f ca="1">IFERROR(__xludf.DUMMYFUNCTION("""COMPUTED_VALUE"""),2)</f>
        <v>2</v>
      </c>
      <c r="O1433" s="5" t="str">
        <f ca="1">IFERROR(__xludf.DUMMYFUNCTION("""COMPUTED_VALUE"""),"Winter")</f>
        <v>Winter</v>
      </c>
      <c r="P1433" s="5" t="str">
        <f ca="1">IFERROR(__xludf.DUMMYFUNCTION("""COMPUTED_VALUE"""),"Garland")</f>
        <v>Garland</v>
      </c>
      <c r="Q1433" s="5" t="str">
        <f ca="1">IFERROR(__xludf.DUMMYFUNCTION("""COMPUTED_VALUE"""),"TX")</f>
        <v>TX</v>
      </c>
      <c r="R1433" s="5" t="str">
        <f ca="1">IFERROR(__xludf.DUMMYFUNCTION("""COMPUTED_VALUE"""),"High")</f>
        <v>High</v>
      </c>
      <c r="S1433" s="5" t="str">
        <f ca="1">IFERROR(__xludf.DUMMYFUNCTION("""COMPUTED_VALUE"""),"Classroom")</f>
        <v>Classroom</v>
      </c>
      <c r="T1433" s="5" t="str">
        <f ca="1">IFERROR(__xludf.DUMMYFUNCTION("""COMPUTED_VALUE"""),"Inside School Building")</f>
        <v>Inside School Building</v>
      </c>
      <c r="U1433" s="5" t="str">
        <f ca="1">IFERROR(__xludf.DUMMYFUNCTION("""COMPUTED_VALUE"""),"Yes")</f>
        <v>Yes</v>
      </c>
      <c r="V1433" s="5"/>
      <c r="W1433" s="5"/>
      <c r="X1433" s="5">
        <f ca="1">IFERROR(__xludf.DUMMYFUNCTION("""COMPUTED_VALUE"""),1)</f>
        <v>1</v>
      </c>
      <c r="Y1433" s="5" t="str">
        <f ca="1">IFERROR(__xludf.DUMMYFUNCTION("""COMPUTED_VALUE"""),"Accidentally fired gun into floor, fragments injured two female students.")</f>
        <v>Accidentally fired gun into floor, fragments injured two female students.</v>
      </c>
      <c r="Z1433" s="5" t="str">
        <f ca="1">IFERROR(__xludf.DUMMYFUNCTION("""COMPUTED_VALUE"""),"16YOM student accidentally fired gun into floor of classroom. Bullet fragments struck two female students.")</f>
        <v>16YOM student accidentally fired gun into floor of classroom. Bullet fragments struck two female students.</v>
      </c>
      <c r="AA1433" s="5" t="str">
        <f ca="1">IFERROR(__xludf.DUMMYFUNCTION("""COMPUTED_VALUE"""),"Accidental")</f>
        <v>Accidental</v>
      </c>
      <c r="AB1433" s="5" t="str">
        <f ca="1">IFERROR(__xludf.DUMMYFUNCTION("""COMPUTED_VALUE"""),"Random Shooting")</f>
        <v>Random Shooting</v>
      </c>
      <c r="AC1433" s="5" t="str">
        <f ca="1">IFERROR(__xludf.DUMMYFUNCTION("""COMPUTED_VALUE"""),"No")</f>
        <v>No</v>
      </c>
      <c r="AD1433" s="5" t="str">
        <f ca="1">IFERROR(__xludf.DUMMYFUNCTION("""COMPUTED_VALUE"""),"No")</f>
        <v>No</v>
      </c>
      <c r="AE1433" s="5" t="str">
        <f ca="1">IFERROR(__xludf.DUMMYFUNCTION("""COMPUTED_VALUE"""),"No")</f>
        <v>No</v>
      </c>
      <c r="AF1433" s="5" t="str">
        <f ca="1">IFERROR(__xludf.DUMMYFUNCTION("""COMPUTED_VALUE"""),"No")</f>
        <v>No</v>
      </c>
      <c r="AG1433" s="5" t="str">
        <f ca="1">IFERROR(__xludf.DUMMYFUNCTION("""COMPUTED_VALUE"""),"No")</f>
        <v>No</v>
      </c>
      <c r="AH1433" s="5" t="str">
        <f ca="1">IFERROR(__xludf.DUMMYFUNCTION("""COMPUTED_VALUE"""),"No")</f>
        <v>No</v>
      </c>
      <c r="AI1433" s="5" t="str">
        <f ca="1">IFERROR(__xludf.DUMMYFUNCTION("""COMPUTED_VALUE"""),"No")</f>
        <v>No</v>
      </c>
      <c r="AJ1433" s="5"/>
    </row>
    <row r="1434" spans="1:36" ht="13">
      <c r="A1434" s="5" t="str">
        <f ca="1">IFERROR(__xludf.DUMMYFUNCTION("""COMPUTED_VALUE"""),"20060123CAWIV")</f>
        <v>20060123CAWIV</v>
      </c>
      <c r="B1434" s="5">
        <f ca="1">IFERROR(__xludf.DUMMYFUNCTION("""COMPUTED_VALUE"""),1)</f>
        <v>1</v>
      </c>
      <c r="C1434" s="5">
        <f ca="1">IFERROR(__xludf.DUMMYFUNCTION("""COMPUTED_VALUE"""),23)</f>
        <v>23</v>
      </c>
      <c r="D1434" s="5">
        <f ca="1">IFERROR(__xludf.DUMMYFUNCTION("""COMPUTED_VALUE"""),2006)</f>
        <v>2006</v>
      </c>
      <c r="E1434" s="8">
        <f ca="1">IFERROR(__xludf.DUMMYFUNCTION("""COMPUTED_VALUE"""),38740)</f>
        <v>38740</v>
      </c>
      <c r="F1434" s="5" t="str">
        <f ca="1">IFERROR(__xludf.DUMMYFUNCTION("""COMPUTED_VALUE"""),"Will C. Wood High School")</f>
        <v>Will C. Wood High School</v>
      </c>
      <c r="G1434" s="5">
        <f ca="1">IFERROR(__xludf.DUMMYFUNCTION("""COMPUTED_VALUE"""),0)</f>
        <v>0</v>
      </c>
      <c r="H1434" s="5">
        <f ca="1">IFERROR(__xludf.DUMMYFUNCTION("""COMPUTED_VALUE"""),1)</f>
        <v>1</v>
      </c>
      <c r="I1434" s="5">
        <f ca="1">IFERROR(__xludf.DUMMYFUNCTION("""COMPUTED_VALUE"""),1)</f>
        <v>1</v>
      </c>
      <c r="J1434" s="5">
        <f ca="1">IFERROR(__xludf.DUMMYFUNCTION("""COMPUTED_VALUE"""),0)</f>
        <v>0</v>
      </c>
      <c r="K1434" s="9" t="str">
        <f ca="1">IFERROR(__xludf.DUMMYFUNCTION("""COMPUTED_VALUE"""),"http://www.thereporter.com/article/zz/20060124/NEWS/601249925")</f>
        <v>http://www.thereporter.com/article/zz/20060124/NEWS/601249925</v>
      </c>
      <c r="L1434" s="5"/>
      <c r="M1434" s="5"/>
      <c r="N1434" s="5">
        <f ca="1">IFERROR(__xludf.DUMMYFUNCTION("""COMPUTED_VALUE"""),2)</f>
        <v>2</v>
      </c>
      <c r="O1434" s="5" t="str">
        <f ca="1">IFERROR(__xludf.DUMMYFUNCTION("""COMPUTED_VALUE"""),"Winter")</f>
        <v>Winter</v>
      </c>
      <c r="P1434" s="5" t="str">
        <f ca="1">IFERROR(__xludf.DUMMYFUNCTION("""COMPUTED_VALUE"""),"Vacaville")</f>
        <v>Vacaville</v>
      </c>
      <c r="Q1434" s="5" t="str">
        <f ca="1">IFERROR(__xludf.DUMMYFUNCTION("""COMPUTED_VALUE"""),"CA")</f>
        <v>CA</v>
      </c>
      <c r="R1434" s="5" t="str">
        <f ca="1">IFERROR(__xludf.DUMMYFUNCTION("""COMPUTED_VALUE"""),"High")</f>
        <v>High</v>
      </c>
      <c r="S1434" s="5" t="str">
        <f ca="1">IFERROR(__xludf.DUMMYFUNCTION("""COMPUTED_VALUE"""),"Gym")</f>
        <v>Gym</v>
      </c>
      <c r="T1434" s="5" t="str">
        <f ca="1">IFERROR(__xludf.DUMMYFUNCTION("""COMPUTED_VALUE"""),"Outside on School Property")</f>
        <v>Outside on School Property</v>
      </c>
      <c r="U1434" s="5" t="str">
        <f ca="1">IFERROR(__xludf.DUMMYFUNCTION("""COMPUTED_VALUE"""),"Yes")</f>
        <v>Yes</v>
      </c>
      <c r="V1434" s="5" t="str">
        <f ca="1">IFERROR(__xludf.DUMMYFUNCTION("""COMPUTED_VALUE"""),"Morning Classes")</f>
        <v>Morning Classes</v>
      </c>
      <c r="W1434" s="10">
        <f ca="1">IFERROR(__xludf.DUMMYFUNCTION("""COMPUTED_VALUE"""),0.40625)</f>
        <v>0.40625</v>
      </c>
      <c r="X1434" s="5">
        <f ca="1">IFERROR(__xludf.DUMMYFUNCTION("""COMPUTED_VALUE"""),1)</f>
        <v>1</v>
      </c>
      <c r="Y1434" s="5" t="str">
        <f ca="1">IFERROR(__xludf.DUMMYFUNCTION("""COMPUTED_VALUE"""),"Playing with gun outside of school")</f>
        <v>Playing with gun outside of school</v>
      </c>
      <c r="Z1434" s="5" t="str">
        <f ca="1">IFERROR(__xludf.DUMMYFUNCTION("""COMPUTED_VALUE"""),"14 shooter brought gun to school - accidentally discharged near school gym - fragment injured 15YOF student")</f>
        <v>14 shooter brought gun to school - accidentally discharged near school gym - fragment injured 15YOF student</v>
      </c>
      <c r="AA1434" s="5" t="str">
        <f ca="1">IFERROR(__xludf.DUMMYFUNCTION("""COMPUTED_VALUE"""),"Accidental")</f>
        <v>Accidental</v>
      </c>
      <c r="AB1434" s="5" t="str">
        <f ca="1">IFERROR(__xludf.DUMMYFUNCTION("""COMPUTED_VALUE"""),"Random Shooting")</f>
        <v>Random Shooting</v>
      </c>
      <c r="AC1434" s="5" t="str">
        <f ca="1">IFERROR(__xludf.DUMMYFUNCTION("""COMPUTED_VALUE"""),"No")</f>
        <v>No</v>
      </c>
      <c r="AD1434" s="5" t="str">
        <f ca="1">IFERROR(__xludf.DUMMYFUNCTION("""COMPUTED_VALUE"""),"No")</f>
        <v>No</v>
      </c>
      <c r="AE1434" s="5" t="str">
        <f ca="1">IFERROR(__xludf.DUMMYFUNCTION("""COMPUTED_VALUE"""),"No")</f>
        <v>No</v>
      </c>
      <c r="AF1434" s="5" t="str">
        <f ca="1">IFERROR(__xludf.DUMMYFUNCTION("""COMPUTED_VALUE"""),"No")</f>
        <v>No</v>
      </c>
      <c r="AG1434" s="5" t="str">
        <f ca="1">IFERROR(__xludf.DUMMYFUNCTION("""COMPUTED_VALUE"""),"No")</f>
        <v>No</v>
      </c>
      <c r="AH1434" s="5" t="str">
        <f ca="1">IFERROR(__xludf.DUMMYFUNCTION("""COMPUTED_VALUE"""),"No")</f>
        <v>No</v>
      </c>
      <c r="AI1434" s="5" t="str">
        <f ca="1">IFERROR(__xludf.DUMMYFUNCTION("""COMPUTED_VALUE"""),"No")</f>
        <v>No</v>
      </c>
      <c r="AJ1434" s="5"/>
    </row>
    <row r="1435" spans="1:36" ht="13">
      <c r="A1435" s="5" t="str">
        <f ca="1">IFERROR(__xludf.DUMMYFUNCTION("""COMPUTED_VALUE"""),"20060119OHWIC")</f>
        <v>20060119OHWIC</v>
      </c>
      <c r="B1435" s="5">
        <f ca="1">IFERROR(__xludf.DUMMYFUNCTION("""COMPUTED_VALUE"""),1)</f>
        <v>1</v>
      </c>
      <c r="C1435" s="5">
        <f ca="1">IFERROR(__xludf.DUMMYFUNCTION("""COMPUTED_VALUE"""),19)</f>
        <v>19</v>
      </c>
      <c r="D1435" s="5">
        <f ca="1">IFERROR(__xludf.DUMMYFUNCTION("""COMPUTED_VALUE"""),2006)</f>
        <v>2006</v>
      </c>
      <c r="E1435" s="8">
        <f ca="1">IFERROR(__xludf.DUMMYFUNCTION("""COMPUTED_VALUE"""),38736)</f>
        <v>38736</v>
      </c>
      <c r="F1435" s="5" t="str">
        <f ca="1">IFERROR(__xludf.DUMMYFUNCTION("""COMPUTED_VALUE"""),"Withrow High School")</f>
        <v>Withrow High School</v>
      </c>
      <c r="G1435" s="5">
        <f ca="1">IFERROR(__xludf.DUMMYFUNCTION("""COMPUTED_VALUE"""),0)</f>
        <v>0</v>
      </c>
      <c r="H1435" s="5">
        <f ca="1">IFERROR(__xludf.DUMMYFUNCTION("""COMPUTED_VALUE"""),2)</f>
        <v>2</v>
      </c>
      <c r="I1435" s="5">
        <f ca="1">IFERROR(__xludf.DUMMYFUNCTION("""COMPUTED_VALUE"""),2)</f>
        <v>2</v>
      </c>
      <c r="J1435" s="5">
        <f ca="1">IFERROR(__xludf.DUMMYFUNCTION("""COMPUTED_VALUE"""),0)</f>
        <v>0</v>
      </c>
      <c r="K1435" s="9" t="str">
        <f ca="1">IFERROR(__xludf.DUMMYFUNCTION("""COMPUTED_VALUE"""),"https://www.newspapers.com/image/102780485/?terms=Withrow%2BHigh%2BSchool%2Bshooting")</f>
        <v>https://www.newspapers.com/image/102780485/?terms=Withrow%2BHigh%2BSchool%2Bshooting</v>
      </c>
      <c r="L1435" s="5"/>
      <c r="M1435" s="5"/>
      <c r="N1435" s="5">
        <f ca="1">IFERROR(__xludf.DUMMYFUNCTION("""COMPUTED_VALUE"""),2)</f>
        <v>2</v>
      </c>
      <c r="O1435" s="5" t="str">
        <f ca="1">IFERROR(__xludf.DUMMYFUNCTION("""COMPUTED_VALUE"""),"Winter")</f>
        <v>Winter</v>
      </c>
      <c r="P1435" s="5" t="str">
        <f ca="1">IFERROR(__xludf.DUMMYFUNCTION("""COMPUTED_VALUE"""),"Cincinnati")</f>
        <v>Cincinnati</v>
      </c>
      <c r="Q1435" s="5" t="str">
        <f ca="1">IFERROR(__xludf.DUMMYFUNCTION("""COMPUTED_VALUE"""),"OH")</f>
        <v>OH</v>
      </c>
      <c r="R1435" s="5" t="str">
        <f ca="1">IFERROR(__xludf.DUMMYFUNCTION("""COMPUTED_VALUE"""),"High")</f>
        <v>High</v>
      </c>
      <c r="S1435" s="5" t="str">
        <f ca="1">IFERROR(__xludf.DUMMYFUNCTION("""COMPUTED_VALUE"""),"Parking Lot")</f>
        <v>Parking Lot</v>
      </c>
      <c r="T1435" s="5" t="str">
        <f ca="1">IFERROR(__xludf.DUMMYFUNCTION("""COMPUTED_VALUE"""),"Outside on School Property")</f>
        <v>Outside on School Property</v>
      </c>
      <c r="U1435" s="5" t="str">
        <f ca="1">IFERROR(__xludf.DUMMYFUNCTION("""COMPUTED_VALUE"""),"No")</f>
        <v>No</v>
      </c>
      <c r="V1435" s="5" t="str">
        <f ca="1">IFERROR(__xludf.DUMMYFUNCTION("""COMPUTED_VALUE"""),"Evening")</f>
        <v>Evening</v>
      </c>
      <c r="W1435" s="10">
        <f ca="1">IFERROR(__xludf.DUMMYFUNCTION("""COMPUTED_VALUE"""),0.833333333333333)</f>
        <v>0.83333333333333304</v>
      </c>
      <c r="X1435" s="5">
        <f ca="1">IFERROR(__xludf.DUMMYFUNCTION("""COMPUTED_VALUE"""),1)</f>
        <v>1</v>
      </c>
      <c r="Y1435" s="5" t="str">
        <f ca="1">IFERROR(__xludf.DUMMYFUNCTION("""COMPUTED_VALUE"""),"Shooting in parking lot behind the school, two parties in different cars, fled the scene")</f>
        <v>Shooting in parking lot behind the school, two parties in different cars, fled the scene</v>
      </c>
      <c r="Z1435" s="5" t="str">
        <f ca="1">IFERROR(__xludf.DUMMYFUNCTION("""COMPUTED_VALUE"""),"Group of males in 2 different vehicle parked behind the school fired shots at each other. One male in each vehicle was struck. Vehicles fled the scene. One shooter was arrested later at the hospital.")</f>
        <v>Group of males in 2 different vehicle parked behind the school fired shots at each other. One male in each vehicle was struck. Vehicles fled the scene. One shooter was arrested later at the hospital.</v>
      </c>
      <c r="AA1435" s="5" t="str">
        <f ca="1">IFERROR(__xludf.DUMMYFUNCTION("""COMPUTED_VALUE"""),"Drive-by Shooting")</f>
        <v>Drive-by Shooting</v>
      </c>
      <c r="AB1435" s="5" t="str">
        <f ca="1">IFERROR(__xludf.DUMMYFUNCTION("""COMPUTED_VALUE"""),"Victims Targeted")</f>
        <v>Victims Targeted</v>
      </c>
      <c r="AC1435" s="5" t="str">
        <f ca="1">IFERROR(__xludf.DUMMYFUNCTION("""COMPUTED_VALUE"""),"No")</f>
        <v>No</v>
      </c>
      <c r="AD1435" s="5" t="str">
        <f ca="1">IFERROR(__xludf.DUMMYFUNCTION("""COMPUTED_VALUE"""),"No")</f>
        <v>No</v>
      </c>
      <c r="AE1435" s="5" t="str">
        <f ca="1">IFERROR(__xludf.DUMMYFUNCTION("""COMPUTED_VALUE"""),"No")</f>
        <v>No</v>
      </c>
      <c r="AF1435" s="5" t="str">
        <f ca="1">IFERROR(__xludf.DUMMYFUNCTION("""COMPUTED_VALUE"""),"No")</f>
        <v>No</v>
      </c>
      <c r="AG1435" s="5" t="str">
        <f ca="1">IFERROR(__xludf.DUMMYFUNCTION("""COMPUTED_VALUE"""),"No")</f>
        <v>No</v>
      </c>
      <c r="AH1435" s="5" t="str">
        <f ca="1">IFERROR(__xludf.DUMMYFUNCTION("""COMPUTED_VALUE"""),"No")</f>
        <v>No</v>
      </c>
      <c r="AI1435" s="5" t="str">
        <f ca="1">IFERROR(__xludf.DUMMYFUNCTION("""COMPUTED_VALUE"""),"No")</f>
        <v>No</v>
      </c>
      <c r="AJ1435" s="5"/>
    </row>
    <row r="1436" spans="1:36" ht="13">
      <c r="A1436" s="5" t="str">
        <f ca="1">IFERROR(__xludf.DUMMYFUNCTION("""COMPUTED_VALUE"""),"20060118MTFRA")</f>
        <v>20060118MTFRA</v>
      </c>
      <c r="B1436" s="5">
        <f ca="1">IFERROR(__xludf.DUMMYFUNCTION("""COMPUTED_VALUE"""),1)</f>
        <v>1</v>
      </c>
      <c r="C1436" s="5">
        <f ca="1">IFERROR(__xludf.DUMMYFUNCTION("""COMPUTED_VALUE"""),18)</f>
        <v>18</v>
      </c>
      <c r="D1436" s="5">
        <f ca="1">IFERROR(__xludf.DUMMYFUNCTION("""COMPUTED_VALUE"""),2006)</f>
        <v>2006</v>
      </c>
      <c r="E1436" s="8">
        <f ca="1">IFERROR(__xludf.DUMMYFUNCTION("""COMPUTED_VALUE"""),38735)</f>
        <v>38735</v>
      </c>
      <c r="F1436" s="5" t="str">
        <f ca="1">IFERROR(__xludf.DUMMYFUNCTION("""COMPUTED_VALUE"""),"Fred Moodry Middle School")</f>
        <v>Fred Moodry Middle School</v>
      </c>
      <c r="G1436" s="5">
        <f ca="1">IFERROR(__xludf.DUMMYFUNCTION("""COMPUTED_VALUE"""),0)</f>
        <v>0</v>
      </c>
      <c r="H1436" s="5">
        <f ca="1">IFERROR(__xludf.DUMMYFUNCTION("""COMPUTED_VALUE"""),1)</f>
        <v>1</v>
      </c>
      <c r="I1436" s="5">
        <f ca="1">IFERROR(__xludf.DUMMYFUNCTION("""COMPUTED_VALUE"""),1)</f>
        <v>1</v>
      </c>
      <c r="J1436" s="5">
        <f ca="1">IFERROR(__xludf.DUMMYFUNCTION("""COMPUTED_VALUE"""),0)</f>
        <v>0</v>
      </c>
      <c r="K1436" s="9" t="str">
        <f ca="1">IFERROR(__xludf.DUMMYFUNCTION("""COMPUTED_VALUE"""),"https://mtstandard.com/news/local/anaconda-students-expelled-after-air-gun-shooting-incident/article_846a24e2-3d18-5764-a1a7-ccfb3bb8e820.html")</f>
        <v>https://mtstandard.com/news/local/anaconda-students-expelled-after-air-gun-shooting-incident/article_846a24e2-3d18-5764-a1a7-ccfb3bb8e820.html</v>
      </c>
      <c r="L1436" s="5"/>
      <c r="M1436" s="5"/>
      <c r="N1436" s="5">
        <f ca="1">IFERROR(__xludf.DUMMYFUNCTION("""COMPUTED_VALUE"""),2)</f>
        <v>2</v>
      </c>
      <c r="O1436" s="5" t="str">
        <f ca="1">IFERROR(__xludf.DUMMYFUNCTION("""COMPUTED_VALUE"""),"Winter")</f>
        <v>Winter</v>
      </c>
      <c r="P1436" s="5" t="str">
        <f ca="1">IFERROR(__xludf.DUMMYFUNCTION("""COMPUTED_VALUE"""),"Anaconda")</f>
        <v>Anaconda</v>
      </c>
      <c r="Q1436" s="5" t="str">
        <f ca="1">IFERROR(__xludf.DUMMYFUNCTION("""COMPUTED_VALUE"""),"MT")</f>
        <v>MT</v>
      </c>
      <c r="R1436" s="5" t="str">
        <f ca="1">IFERROR(__xludf.DUMMYFUNCTION("""COMPUTED_VALUE"""),"Middle")</f>
        <v>Middle</v>
      </c>
      <c r="S1436" s="5" t="str">
        <f ca="1">IFERROR(__xludf.DUMMYFUNCTION("""COMPUTED_VALUE"""),"Beside Building")</f>
        <v>Beside Building</v>
      </c>
      <c r="T1436" s="5" t="str">
        <f ca="1">IFERROR(__xludf.DUMMYFUNCTION("""COMPUTED_VALUE"""),"Outside on School Property")</f>
        <v>Outside on School Property</v>
      </c>
      <c r="U1436" s="5" t="str">
        <f ca="1">IFERROR(__xludf.DUMMYFUNCTION("""COMPUTED_VALUE"""),"Yes")</f>
        <v>Yes</v>
      </c>
      <c r="V1436" s="5" t="str">
        <f ca="1">IFERROR(__xludf.DUMMYFUNCTION("""COMPUTED_VALUE"""),"Dismissal")</f>
        <v>Dismissal</v>
      </c>
      <c r="W1436" s="5"/>
      <c r="X1436" s="5">
        <f ca="1">IFERROR(__xludf.DUMMYFUNCTION("""COMPUTED_VALUE"""),1)</f>
        <v>1</v>
      </c>
      <c r="Y1436" s="5" t="str">
        <f ca="1">IFERROR(__xludf.DUMMYFUNCTION("""COMPUTED_VALUE"""),"Female student in car shot airsoft gun at boy standing outside of school, hit him in face")</f>
        <v>Female student in car shot airsoft gun at boy standing outside of school, hit him in face</v>
      </c>
      <c r="Z1436" s="5" t="str">
        <f ca="1">IFERROR(__xludf.DUMMYFUNCTION("""COMPUTED_VALUE"""),"15YOF student in car shot a boy standing outside of the school with an airsoft gun in the face. She was expelled for the shooting.")</f>
        <v>15YOF student in car shot a boy standing outside of the school with an airsoft gun in the face. She was expelled for the shooting.</v>
      </c>
      <c r="AA1436" s="5" t="str">
        <f ca="1">IFERROR(__xludf.DUMMYFUNCTION("""COMPUTED_VALUE"""),"Drive-by Shooting")</f>
        <v>Drive-by Shooting</v>
      </c>
      <c r="AB1436" s="5" t="str">
        <f ca="1">IFERROR(__xludf.DUMMYFUNCTION("""COMPUTED_VALUE"""),"Victims Targeted")</f>
        <v>Victims Targeted</v>
      </c>
      <c r="AC1436" s="5" t="str">
        <f ca="1">IFERROR(__xludf.DUMMYFUNCTION("""COMPUTED_VALUE"""),"No")</f>
        <v>No</v>
      </c>
      <c r="AD1436" s="5" t="str">
        <f ca="1">IFERROR(__xludf.DUMMYFUNCTION("""COMPUTED_VALUE"""),"No")</f>
        <v>No</v>
      </c>
      <c r="AE1436" s="5" t="str">
        <f ca="1">IFERROR(__xludf.DUMMYFUNCTION("""COMPUTED_VALUE"""),"No")</f>
        <v>No</v>
      </c>
      <c r="AF1436" s="5" t="str">
        <f ca="1">IFERROR(__xludf.DUMMYFUNCTION("""COMPUTED_VALUE"""),"No")</f>
        <v>No</v>
      </c>
      <c r="AG1436" s="5" t="str">
        <f ca="1">IFERROR(__xludf.DUMMYFUNCTION("""COMPUTED_VALUE"""),"No")</f>
        <v>No</v>
      </c>
      <c r="AH1436" s="5"/>
      <c r="AI1436" s="5" t="str">
        <f ca="1">IFERROR(__xludf.DUMMYFUNCTION("""COMPUTED_VALUE"""),"No")</f>
        <v>No</v>
      </c>
      <c r="AJ1436" s="5"/>
    </row>
    <row r="1437" spans="1:36" ht="13">
      <c r="A1437" s="5" t="str">
        <f ca="1">IFERROR(__xludf.DUMMYFUNCTION("""COMPUTED_VALUE"""),"20060118VAINC")</f>
        <v>20060118VAINC</v>
      </c>
      <c r="B1437" s="5">
        <f ca="1">IFERROR(__xludf.DUMMYFUNCTION("""COMPUTED_VALUE"""),1)</f>
        <v>1</v>
      </c>
      <c r="C1437" s="5">
        <f ca="1">IFERROR(__xludf.DUMMYFUNCTION("""COMPUTED_VALUE"""),18)</f>
        <v>18</v>
      </c>
      <c r="D1437" s="5">
        <f ca="1">IFERROR(__xludf.DUMMYFUNCTION("""COMPUTED_VALUE"""),2006)</f>
        <v>2006</v>
      </c>
      <c r="E1437" s="8">
        <f ca="1">IFERROR(__xludf.DUMMYFUNCTION("""COMPUTED_VALUE"""),38735)</f>
        <v>38735</v>
      </c>
      <c r="F1437" s="5" t="str">
        <f ca="1">IFERROR(__xludf.DUMMYFUNCTION("""COMPUTED_VALUE"""),"Indian River High School")</f>
        <v>Indian River High School</v>
      </c>
      <c r="G1437" s="5">
        <f ca="1">IFERROR(__xludf.DUMMYFUNCTION("""COMPUTED_VALUE"""),0)</f>
        <v>0</v>
      </c>
      <c r="H1437" s="5">
        <f ca="1">IFERROR(__xludf.DUMMYFUNCTION("""COMPUTED_VALUE"""),0)</f>
        <v>0</v>
      </c>
      <c r="I1437" s="5">
        <f ca="1">IFERROR(__xludf.DUMMYFUNCTION("""COMPUTED_VALUE"""),0)</f>
        <v>0</v>
      </c>
      <c r="J1437" s="5">
        <f ca="1">IFERROR(__xludf.DUMMYFUNCTION("""COMPUTED_VALUE"""),0)</f>
        <v>0</v>
      </c>
      <c r="K1437" s="9" t="str">
        <f ca="1">IFERROR(__xludf.DUMMYFUNCTION("""COMPUTED_VALUE"""),"https://pilotonline.com/news/article_91bd4bea-b9dc-5c30-bff7-43f583e1f7a9.html")</f>
        <v>https://pilotonline.com/news/article_91bd4bea-b9dc-5c30-bff7-43f583e1f7a9.html</v>
      </c>
      <c r="L1437" s="5"/>
      <c r="M1437" s="5"/>
      <c r="N1437" s="5">
        <f ca="1">IFERROR(__xludf.DUMMYFUNCTION("""COMPUTED_VALUE"""),2)</f>
        <v>2</v>
      </c>
      <c r="O1437" s="5" t="str">
        <f ca="1">IFERROR(__xludf.DUMMYFUNCTION("""COMPUTED_VALUE"""),"Winter")</f>
        <v>Winter</v>
      </c>
      <c r="P1437" s="5" t="str">
        <f ca="1">IFERROR(__xludf.DUMMYFUNCTION("""COMPUTED_VALUE"""),"Chesapeake")</f>
        <v>Chesapeake</v>
      </c>
      <c r="Q1437" s="5" t="str">
        <f ca="1">IFERROR(__xludf.DUMMYFUNCTION("""COMPUTED_VALUE"""),"VA")</f>
        <v>VA</v>
      </c>
      <c r="R1437" s="5" t="str">
        <f ca="1">IFERROR(__xludf.DUMMYFUNCTION("""COMPUTED_VALUE"""),"High")</f>
        <v>High</v>
      </c>
      <c r="S1437" s="5" t="str">
        <f ca="1">IFERROR(__xludf.DUMMYFUNCTION("""COMPUTED_VALUE"""),"Cafeteria")</f>
        <v>Cafeteria</v>
      </c>
      <c r="T1437" s="5" t="str">
        <f ca="1">IFERROR(__xludf.DUMMYFUNCTION("""COMPUTED_VALUE"""),"Inside School Building")</f>
        <v>Inside School Building</v>
      </c>
      <c r="U1437" s="5" t="str">
        <f ca="1">IFERROR(__xludf.DUMMYFUNCTION("""COMPUTED_VALUE"""),"Yes")</f>
        <v>Yes</v>
      </c>
      <c r="V1437" s="5" t="str">
        <f ca="1">IFERROR(__xludf.DUMMYFUNCTION("""COMPUTED_VALUE"""),"Lunch")</f>
        <v>Lunch</v>
      </c>
      <c r="W1437" s="10">
        <f ca="1">IFERROR(__xludf.DUMMYFUNCTION("""COMPUTED_VALUE"""),0.458333333333333)</f>
        <v>0.45833333333333298</v>
      </c>
      <c r="X1437" s="5">
        <f ca="1">IFERROR(__xludf.DUMMYFUNCTION("""COMPUTED_VALUE"""),1)</f>
        <v>1</v>
      </c>
      <c r="Y1437" s="5" t="str">
        <f ca="1">IFERROR(__xludf.DUMMYFUNCTION("""COMPUTED_VALUE"""),"Fired a targeted victim during dispute")</f>
        <v>Fired a targeted victim during dispute</v>
      </c>
      <c r="Z1437" s="5" t="str">
        <f ca="1">IFERROR(__xludf.DUMMYFUNCTION("""COMPUTED_VALUE"""),"20YOM drove to school during lunch to engage in ongoing conflict with current student just outside the cafeteria. During the dispute the shooter fired several shots that all missed and fled the scene.")</f>
        <v>20YOM drove to school during lunch to engage in ongoing conflict with current student just outside the cafeteria. During the dispute the shooter fired several shots that all missed and fled the scene.</v>
      </c>
      <c r="AA1437" s="5" t="str">
        <f ca="1">IFERROR(__xludf.DUMMYFUNCTION("""COMPUTED_VALUE"""),"Escalation of Dispute")</f>
        <v>Escalation of Dispute</v>
      </c>
      <c r="AB1437" s="5" t="str">
        <f ca="1">IFERROR(__xludf.DUMMYFUNCTION("""COMPUTED_VALUE"""),"Victims Targeted")</f>
        <v>Victims Targeted</v>
      </c>
      <c r="AC1437" s="5" t="str">
        <f ca="1">IFERROR(__xludf.DUMMYFUNCTION("""COMPUTED_VALUE"""),"No")</f>
        <v>No</v>
      </c>
      <c r="AD1437" s="5" t="str">
        <f ca="1">IFERROR(__xludf.DUMMYFUNCTION("""COMPUTED_VALUE"""),"No")</f>
        <v>No</v>
      </c>
      <c r="AE1437" s="5" t="str">
        <f ca="1">IFERROR(__xludf.DUMMYFUNCTION("""COMPUTED_VALUE"""),"No")</f>
        <v>No</v>
      </c>
      <c r="AF1437" s="5" t="str">
        <f ca="1">IFERROR(__xludf.DUMMYFUNCTION("""COMPUTED_VALUE"""),"No")</f>
        <v>No</v>
      </c>
      <c r="AG1437" s="5" t="str">
        <f ca="1">IFERROR(__xludf.DUMMYFUNCTION("""COMPUTED_VALUE"""),"No")</f>
        <v>No</v>
      </c>
      <c r="AH1437" s="5" t="str">
        <f ca="1">IFERROR(__xludf.DUMMYFUNCTION("""COMPUTED_VALUE"""),"No")</f>
        <v>No</v>
      </c>
      <c r="AI1437" s="5" t="str">
        <f ca="1">IFERROR(__xludf.DUMMYFUNCTION("""COMPUTED_VALUE"""),"No")</f>
        <v>No</v>
      </c>
      <c r="AJ1437" s="5"/>
    </row>
    <row r="1438" spans="1:36" ht="13">
      <c r="A1438" s="5" t="str">
        <f ca="1">IFERROR(__xludf.DUMMYFUNCTION("""COMPUTED_VALUE"""),"20060118TXPAA")</f>
        <v>20060118TXPAA</v>
      </c>
      <c r="B1438" s="5">
        <f ca="1">IFERROR(__xludf.DUMMYFUNCTION("""COMPUTED_VALUE"""),1)</f>
        <v>1</v>
      </c>
      <c r="C1438" s="5">
        <f ca="1">IFERROR(__xludf.DUMMYFUNCTION("""COMPUTED_VALUE"""),18)</f>
        <v>18</v>
      </c>
      <c r="D1438" s="5">
        <f ca="1">IFERROR(__xludf.DUMMYFUNCTION("""COMPUTED_VALUE"""),2006)</f>
        <v>2006</v>
      </c>
      <c r="E1438" s="8">
        <f ca="1">IFERROR(__xludf.DUMMYFUNCTION("""COMPUTED_VALUE"""),38735)</f>
        <v>38735</v>
      </c>
      <c r="F1438" s="5" t="str">
        <f ca="1">IFERROR(__xludf.DUMMYFUNCTION("""COMPUTED_VALUE"""),"Passmore Elementary School")</f>
        <v>Passmore Elementary School</v>
      </c>
      <c r="G1438" s="5">
        <f ca="1">IFERROR(__xludf.DUMMYFUNCTION("""COMPUTED_VALUE"""),0)</f>
        <v>0</v>
      </c>
      <c r="H1438" s="5">
        <f ca="1">IFERROR(__xludf.DUMMYFUNCTION("""COMPUTED_VALUE"""),1)</f>
        <v>1</v>
      </c>
      <c r="I1438" s="5">
        <f ca="1">IFERROR(__xludf.DUMMYFUNCTION("""COMPUTED_VALUE"""),1)</f>
        <v>1</v>
      </c>
      <c r="J1438" s="5">
        <f ca="1">IFERROR(__xludf.DUMMYFUNCTION("""COMPUTED_VALUE"""),0)</f>
        <v>0</v>
      </c>
      <c r="K1438" s="9" t="str">
        <f ca="1">IFERROR(__xludf.DUMMYFUNCTION("""COMPUTED_VALUE"""),"https://www.chron.com/news/houston-texas/article/Alvin-6th-grader-shoots-himself-in-the-leg-in-1939399.php")</f>
        <v>https://www.chron.com/news/houston-texas/article/Alvin-6th-grader-shoots-himself-in-the-leg-in-1939399.php</v>
      </c>
      <c r="L1438" s="5"/>
      <c r="M1438" s="5"/>
      <c r="N1438" s="5">
        <f ca="1">IFERROR(__xludf.DUMMYFUNCTION("""COMPUTED_VALUE"""),2)</f>
        <v>2</v>
      </c>
      <c r="O1438" s="5" t="str">
        <f ca="1">IFERROR(__xludf.DUMMYFUNCTION("""COMPUTED_VALUE"""),"Winter")</f>
        <v>Winter</v>
      </c>
      <c r="P1438" s="5" t="str">
        <f ca="1">IFERROR(__xludf.DUMMYFUNCTION("""COMPUTED_VALUE"""),"Alvin")</f>
        <v>Alvin</v>
      </c>
      <c r="Q1438" s="5" t="str">
        <f ca="1">IFERROR(__xludf.DUMMYFUNCTION("""COMPUTED_VALUE"""),"TX")</f>
        <v>TX</v>
      </c>
      <c r="R1438" s="5" t="str">
        <f ca="1">IFERROR(__xludf.DUMMYFUNCTION("""COMPUTED_VALUE"""),"Elementary")</f>
        <v>Elementary</v>
      </c>
      <c r="S1438" s="5" t="str">
        <f ca="1">IFERROR(__xludf.DUMMYFUNCTION("""COMPUTED_VALUE"""),"Classroom")</f>
        <v>Classroom</v>
      </c>
      <c r="T1438" s="5" t="str">
        <f ca="1">IFERROR(__xludf.DUMMYFUNCTION("""COMPUTED_VALUE"""),"Inside School Building")</f>
        <v>Inside School Building</v>
      </c>
      <c r="U1438" s="5" t="str">
        <f ca="1">IFERROR(__xludf.DUMMYFUNCTION("""COMPUTED_VALUE"""),"Yes")</f>
        <v>Yes</v>
      </c>
      <c r="V1438" s="5" t="str">
        <f ca="1">IFERROR(__xludf.DUMMYFUNCTION("""COMPUTED_VALUE"""),"Morning Classes")</f>
        <v>Morning Classes</v>
      </c>
      <c r="W1438" s="10">
        <f ca="1">IFERROR(__xludf.DUMMYFUNCTION("""COMPUTED_VALUE"""),0.496527777777777)</f>
        <v>0.49652777777777701</v>
      </c>
      <c r="X1438" s="5">
        <f ca="1">IFERROR(__xludf.DUMMYFUNCTION("""COMPUTED_VALUE"""),1)</f>
        <v>1</v>
      </c>
      <c r="Y1438" s="5" t="str">
        <f ca="1">IFERROR(__xludf.DUMMYFUNCTION("""COMPUTED_VALUE"""),"Fired gun in pocket during class")</f>
        <v>Fired gun in pocket during class</v>
      </c>
      <c r="Z1438" s="5" t="str">
        <f ca="1">IFERROR(__xludf.DUMMYFUNCTION("""COMPUTED_VALUE"""),"An unknown age 6th grade student was playing with a gun in his pocket. It fired and struck him in the leg. Student surrendered to the teacher.")</f>
        <v>An unknown age 6th grade student was playing with a gun in his pocket. It fired and struck him in the leg. Student surrendered to the teacher.</v>
      </c>
      <c r="AA1438" s="5" t="str">
        <f ca="1">IFERROR(__xludf.DUMMYFUNCTION("""COMPUTED_VALUE"""),"Accidental")</f>
        <v>Accidental</v>
      </c>
      <c r="AB1438" s="5" t="str">
        <f ca="1">IFERROR(__xludf.DUMMYFUNCTION("""COMPUTED_VALUE"""),"Random Shooting")</f>
        <v>Random Shooting</v>
      </c>
      <c r="AC1438" s="5" t="str">
        <f ca="1">IFERROR(__xludf.DUMMYFUNCTION("""COMPUTED_VALUE"""),"No")</f>
        <v>No</v>
      </c>
      <c r="AD1438" s="5" t="str">
        <f ca="1">IFERROR(__xludf.DUMMYFUNCTION("""COMPUTED_VALUE"""),"No")</f>
        <v>No</v>
      </c>
      <c r="AE1438" s="5" t="str">
        <f ca="1">IFERROR(__xludf.DUMMYFUNCTION("""COMPUTED_VALUE"""),"No")</f>
        <v>No</v>
      </c>
      <c r="AF1438" s="5" t="str">
        <f ca="1">IFERROR(__xludf.DUMMYFUNCTION("""COMPUTED_VALUE"""),"No")</f>
        <v>No</v>
      </c>
      <c r="AG1438" s="5" t="str">
        <f ca="1">IFERROR(__xludf.DUMMYFUNCTION("""COMPUTED_VALUE"""),"No")</f>
        <v>No</v>
      </c>
      <c r="AH1438" s="5" t="str">
        <f ca="1">IFERROR(__xludf.DUMMYFUNCTION("""COMPUTED_VALUE"""),"No")</f>
        <v>No</v>
      </c>
      <c r="AI1438" s="5" t="str">
        <f ca="1">IFERROR(__xludf.DUMMYFUNCTION("""COMPUTED_VALUE"""),"No")</f>
        <v>No</v>
      </c>
      <c r="AJ1438" s="5"/>
    </row>
    <row r="1439" spans="1:36" ht="13">
      <c r="A1439" s="5" t="str">
        <f ca="1">IFERROR(__xludf.DUMMYFUNCTION("""COMPUTED_VALUE"""),"20060113MIOSD")</f>
        <v>20060113MIOSD</v>
      </c>
      <c r="B1439" s="5">
        <f ca="1">IFERROR(__xludf.DUMMYFUNCTION("""COMPUTED_VALUE"""),1)</f>
        <v>1</v>
      </c>
      <c r="C1439" s="5">
        <f ca="1">IFERROR(__xludf.DUMMYFUNCTION("""COMPUTED_VALUE"""),13)</f>
        <v>13</v>
      </c>
      <c r="D1439" s="5">
        <f ca="1">IFERROR(__xludf.DUMMYFUNCTION("""COMPUTED_VALUE"""),2006)</f>
        <v>2006</v>
      </c>
      <c r="E1439" s="8">
        <f ca="1">IFERROR(__xludf.DUMMYFUNCTION("""COMPUTED_VALUE"""),38730)</f>
        <v>38730</v>
      </c>
      <c r="F1439" s="5" t="str">
        <f ca="1">IFERROR(__xludf.DUMMYFUNCTION("""COMPUTED_VALUE"""),"Osborn High School")</f>
        <v>Osborn High School</v>
      </c>
      <c r="G1439" s="5">
        <f ca="1">IFERROR(__xludf.DUMMYFUNCTION("""COMPUTED_VALUE"""),0)</f>
        <v>0</v>
      </c>
      <c r="H1439" s="5">
        <f ca="1">IFERROR(__xludf.DUMMYFUNCTION("""COMPUTED_VALUE"""),0)</f>
        <v>0</v>
      </c>
      <c r="I1439" s="5">
        <f ca="1">IFERROR(__xludf.DUMMYFUNCTION("""COMPUTED_VALUE"""),0)</f>
        <v>0</v>
      </c>
      <c r="J1439" s="5">
        <f ca="1">IFERROR(__xludf.DUMMYFUNCTION("""COMPUTED_VALUE"""),0)</f>
        <v>0</v>
      </c>
      <c r="K1439" s="9" t="str">
        <f ca="1">IFERROR(__xludf.DUMMYFUNCTION("""COMPUTED_VALUE"""),"https://www.columbine-angels.com/School_Violence_2005-2006.htm")</f>
        <v>https://www.columbine-angels.com/School_Violence_2005-2006.htm</v>
      </c>
      <c r="L1439" s="5"/>
      <c r="M1439" s="5"/>
      <c r="N1439" s="5">
        <f ca="1">IFERROR(__xludf.DUMMYFUNCTION("""COMPUTED_VALUE"""),1)</f>
        <v>1</v>
      </c>
      <c r="O1439" s="5" t="str">
        <f ca="1">IFERROR(__xludf.DUMMYFUNCTION("""COMPUTED_VALUE"""),"Winter")</f>
        <v>Winter</v>
      </c>
      <c r="P1439" s="5" t="str">
        <f ca="1">IFERROR(__xludf.DUMMYFUNCTION("""COMPUTED_VALUE"""),"Detroit")</f>
        <v>Detroit</v>
      </c>
      <c r="Q1439" s="5" t="str">
        <f ca="1">IFERROR(__xludf.DUMMYFUNCTION("""COMPUTED_VALUE"""),"MI")</f>
        <v>MI</v>
      </c>
      <c r="R1439" s="5" t="str">
        <f ca="1">IFERROR(__xludf.DUMMYFUNCTION("""COMPUTED_VALUE"""),"High")</f>
        <v>High</v>
      </c>
      <c r="S1439" s="5" t="str">
        <f ca="1">IFERROR(__xludf.DUMMYFUNCTION("""COMPUTED_VALUE"""),"Hallway")</f>
        <v>Hallway</v>
      </c>
      <c r="T1439" s="5" t="str">
        <f ca="1">IFERROR(__xludf.DUMMYFUNCTION("""COMPUTED_VALUE"""),"Inside School Building")</f>
        <v>Inside School Building</v>
      </c>
      <c r="U1439" s="5" t="str">
        <f ca="1">IFERROR(__xludf.DUMMYFUNCTION("""COMPUTED_VALUE"""),"Yes")</f>
        <v>Yes</v>
      </c>
      <c r="V1439" s="5" t="str">
        <f ca="1">IFERROR(__xludf.DUMMYFUNCTION("""COMPUTED_VALUE"""),"Lunch")</f>
        <v>Lunch</v>
      </c>
      <c r="W1439" s="10">
        <f ca="1">IFERROR(__xludf.DUMMYFUNCTION("""COMPUTED_VALUE"""),0.5)</f>
        <v>0.5</v>
      </c>
      <c r="X1439" s="5">
        <f ca="1">IFERROR(__xludf.DUMMYFUNCTION("""COMPUTED_VALUE"""),1)</f>
        <v>1</v>
      </c>
      <c r="Y1439" s="5" t="str">
        <f ca="1">IFERROR(__xludf.DUMMYFUNCTION("""COMPUTED_VALUE"""),"Single shot fired in hallway")</f>
        <v>Single shot fired in hallway</v>
      </c>
      <c r="Z1439" s="5" t="str">
        <f ca="1">IFERROR(__xludf.DUMMYFUNCTION("""COMPUTED_VALUE"""),"Assistant principal confronted two teens in hallway. One pulled gun and fired a shot that hit the wall then fled the scene. Arrested later.")</f>
        <v>Assistant principal confronted two teens in hallway. One pulled gun and fired a shot that hit the wall then fled the scene. Arrested later.</v>
      </c>
      <c r="AA1439" s="5" t="str">
        <f ca="1">IFERROR(__xludf.DUMMYFUNCTION("""COMPUTED_VALUE"""),"Anger Over Grade/Suspension/Discipline")</f>
        <v>Anger Over Grade/Suspension/Discipline</v>
      </c>
      <c r="AB1439" s="5" t="str">
        <f ca="1">IFERROR(__xludf.DUMMYFUNCTION("""COMPUTED_VALUE"""),"Neither")</f>
        <v>Neither</v>
      </c>
      <c r="AC1439" s="5" t="str">
        <f ca="1">IFERROR(__xludf.DUMMYFUNCTION("""COMPUTED_VALUE"""),"No")</f>
        <v>No</v>
      </c>
      <c r="AD1439" s="5" t="str">
        <f ca="1">IFERROR(__xludf.DUMMYFUNCTION("""COMPUTED_VALUE"""),"No")</f>
        <v>No</v>
      </c>
      <c r="AE1439" s="5" t="str">
        <f ca="1">IFERROR(__xludf.DUMMYFUNCTION("""COMPUTED_VALUE"""),"No")</f>
        <v>No</v>
      </c>
      <c r="AF1439" s="5" t="str">
        <f ca="1">IFERROR(__xludf.DUMMYFUNCTION("""COMPUTED_VALUE"""),"No")</f>
        <v>No</v>
      </c>
      <c r="AG1439" s="5" t="str">
        <f ca="1">IFERROR(__xludf.DUMMYFUNCTION("""COMPUTED_VALUE"""),"No")</f>
        <v>No</v>
      </c>
      <c r="AH1439" s="5" t="str">
        <f ca="1">IFERROR(__xludf.DUMMYFUNCTION("""COMPUTED_VALUE"""),"No")</f>
        <v>No</v>
      </c>
      <c r="AI1439" s="5" t="str">
        <f ca="1">IFERROR(__xludf.DUMMYFUNCTION("""COMPUTED_VALUE"""),"No")</f>
        <v>No</v>
      </c>
      <c r="AJ1439" s="5"/>
    </row>
    <row r="1440" spans="1:36" ht="13">
      <c r="A1440" s="5" t="str">
        <f ca="1">IFERROR(__xludf.DUMMYFUNCTION("""COMPUTED_VALUE"""),"20060113FLMIL")</f>
        <v>20060113FLMIL</v>
      </c>
      <c r="B1440" s="5">
        <f ca="1">IFERROR(__xludf.DUMMYFUNCTION("""COMPUTED_VALUE"""),1)</f>
        <v>1</v>
      </c>
      <c r="C1440" s="5">
        <f ca="1">IFERROR(__xludf.DUMMYFUNCTION("""COMPUTED_VALUE"""),13)</f>
        <v>13</v>
      </c>
      <c r="D1440" s="5">
        <f ca="1">IFERROR(__xludf.DUMMYFUNCTION("""COMPUTED_VALUE"""),2006)</f>
        <v>2006</v>
      </c>
      <c r="E1440" s="8">
        <f ca="1">IFERROR(__xludf.DUMMYFUNCTION("""COMPUTED_VALUE"""),38730)</f>
        <v>38730</v>
      </c>
      <c r="F1440" s="5" t="str">
        <f ca="1">IFERROR(__xludf.DUMMYFUNCTION("""COMPUTED_VALUE"""),"Milwee Middle School")</f>
        <v>Milwee Middle School</v>
      </c>
      <c r="G1440" s="5">
        <f ca="1">IFERROR(__xludf.DUMMYFUNCTION("""COMPUTED_VALUE"""),0)</f>
        <v>0</v>
      </c>
      <c r="H1440" s="5">
        <f ca="1">IFERROR(__xludf.DUMMYFUNCTION("""COMPUTED_VALUE"""),0)</f>
        <v>0</v>
      </c>
      <c r="I1440" s="5">
        <f ca="1">IFERROR(__xludf.DUMMYFUNCTION("""COMPUTED_VALUE"""),0)</f>
        <v>0</v>
      </c>
      <c r="J1440" s="5">
        <f ca="1">IFERROR(__xludf.DUMMYFUNCTION("""COMPUTED_VALUE"""),1)</f>
        <v>1</v>
      </c>
      <c r="K1440" s="9" t="str">
        <f ca="1">IFERROR(__xludf.DUMMYFUNCTION("""COMPUTED_VALUE"""),"https://www.cbsnews.com/news/parents-we-told-police-gun-was-fake/")</f>
        <v>https://www.cbsnews.com/news/parents-we-told-police-gun-was-fake/</v>
      </c>
      <c r="L1440" s="5"/>
      <c r="M1440" s="5"/>
      <c r="N1440" s="5">
        <f ca="1">IFERROR(__xludf.DUMMYFUNCTION("""COMPUTED_VALUE"""),2)</f>
        <v>2</v>
      </c>
      <c r="O1440" s="5" t="str">
        <f ca="1">IFERROR(__xludf.DUMMYFUNCTION("""COMPUTED_VALUE"""),"Winter")</f>
        <v>Winter</v>
      </c>
      <c r="P1440" s="5" t="str">
        <f ca="1">IFERROR(__xludf.DUMMYFUNCTION("""COMPUTED_VALUE"""),"Longwood")</f>
        <v>Longwood</v>
      </c>
      <c r="Q1440" s="5" t="str">
        <f ca="1">IFERROR(__xludf.DUMMYFUNCTION("""COMPUTED_VALUE"""),"FL")</f>
        <v>FL</v>
      </c>
      <c r="R1440" s="5" t="str">
        <f ca="1">IFERROR(__xludf.DUMMYFUNCTION("""COMPUTED_VALUE"""),"Middle")</f>
        <v>Middle</v>
      </c>
      <c r="S1440" s="5" t="str">
        <f ca="1">IFERROR(__xludf.DUMMYFUNCTION("""COMPUTED_VALUE"""),"Classroom")</f>
        <v>Classroom</v>
      </c>
      <c r="T1440" s="5" t="str">
        <f ca="1">IFERROR(__xludf.DUMMYFUNCTION("""COMPUTED_VALUE"""),"Inside School Building")</f>
        <v>Inside School Building</v>
      </c>
      <c r="U1440" s="5" t="str">
        <f ca="1">IFERROR(__xludf.DUMMYFUNCTION("""COMPUTED_VALUE"""),"Yes")</f>
        <v>Yes</v>
      </c>
      <c r="V1440" s="5" t="str">
        <f ca="1">IFERROR(__xludf.DUMMYFUNCTION("""COMPUTED_VALUE"""),"Morning Classes")</f>
        <v>Morning Classes</v>
      </c>
      <c r="W1440" s="10">
        <f ca="1">IFERROR(__xludf.DUMMYFUNCTION("""COMPUTED_VALUE"""),0.395833333333333)</f>
        <v>0.39583333333333298</v>
      </c>
      <c r="X1440" s="5">
        <f ca="1">IFERROR(__xludf.DUMMYFUNCTION("""COMPUTED_VALUE"""),1)</f>
        <v>1</v>
      </c>
      <c r="Y1440" s="5" t="str">
        <f ca="1">IFERROR(__xludf.DUMMYFUNCTION("""COMPUTED_VALUE"""),"Dispute over girl, student had pellet gun and was killed by police")</f>
        <v>Dispute over girl, student had pellet gun and was killed by police</v>
      </c>
      <c r="Z1440" s="5" t="str">
        <f ca="1">IFERROR(__xludf.DUMMYFUNCTION("""COMPUTED_VALUE"""),"Shooter brought a pellet gun to school and pointed it at another student in the classroom. The two students were involved in a dispute over a girl. There was a planned fight that was going to take place after school. The other student didn't believe it wa"&amp;"s a real weapon and started wrestling with the shooter. The gun was knocked away and the shooter ran out of the classroom with it. The shooter would not put down the gun when confronted by police and he was shot in the head. Died later in the hospital.")</f>
        <v>Shooter brought a pellet gun to school and pointed it at another student in the classroom. The two students were involved in a dispute over a girl. There was a planned fight that was going to take place after school. The other student didn't believe it was a real weapon and started wrestling with the shooter. The gun was knocked away and the shooter ran out of the classroom with it. The shooter would not put down the gun when confronted by police and he was shot in the head. Died later in the hospital.</v>
      </c>
      <c r="AA1440" s="5" t="str">
        <f ca="1">IFERROR(__xludf.DUMMYFUNCTION("""COMPUTED_VALUE"""),"Escalation of Dispute")</f>
        <v>Escalation of Dispute</v>
      </c>
      <c r="AB1440" s="5" t="str">
        <f ca="1">IFERROR(__xludf.DUMMYFUNCTION("""COMPUTED_VALUE"""),"Victims Targeted")</f>
        <v>Victims Targeted</v>
      </c>
      <c r="AC1440" s="5" t="str">
        <f ca="1">IFERROR(__xludf.DUMMYFUNCTION("""COMPUTED_VALUE"""),"No")</f>
        <v>No</v>
      </c>
      <c r="AD1440" s="5" t="str">
        <f ca="1">IFERROR(__xludf.DUMMYFUNCTION("""COMPUTED_VALUE"""),"No")</f>
        <v>No</v>
      </c>
      <c r="AE1440" s="5" t="str">
        <f ca="1">IFERROR(__xludf.DUMMYFUNCTION("""COMPUTED_VALUE"""),"No")</f>
        <v>No</v>
      </c>
      <c r="AF1440" s="5" t="str">
        <f ca="1">IFERROR(__xludf.DUMMYFUNCTION("""COMPUTED_VALUE"""),"No")</f>
        <v>No</v>
      </c>
      <c r="AG1440" s="5" t="str">
        <f ca="1">IFERROR(__xludf.DUMMYFUNCTION("""COMPUTED_VALUE"""),"No")</f>
        <v>No</v>
      </c>
      <c r="AH1440" s="5" t="str">
        <f ca="1">IFERROR(__xludf.DUMMYFUNCTION("""COMPUTED_VALUE"""),"No")</f>
        <v>No</v>
      </c>
      <c r="AI1440" s="5" t="str">
        <f ca="1">IFERROR(__xludf.DUMMYFUNCTION("""COMPUTED_VALUE"""),"No")</f>
        <v>No</v>
      </c>
      <c r="AJ1440" s="5"/>
    </row>
    <row r="1441" spans="1:36" ht="13">
      <c r="A1441" s="5" t="str">
        <f ca="1">IFERROR(__xludf.DUMMYFUNCTION("""COMPUTED_VALUE"""),"20060113ALPIP")</f>
        <v>20060113ALPIP</v>
      </c>
      <c r="B1441" s="5">
        <f ca="1">IFERROR(__xludf.DUMMYFUNCTION("""COMPUTED_VALUE"""),1)</f>
        <v>1</v>
      </c>
      <c r="C1441" s="5">
        <f ca="1">IFERROR(__xludf.DUMMYFUNCTION("""COMPUTED_VALUE"""),13)</f>
        <v>13</v>
      </c>
      <c r="D1441" s="5">
        <f ca="1">IFERROR(__xludf.DUMMYFUNCTION("""COMPUTED_VALUE"""),2006)</f>
        <v>2006</v>
      </c>
      <c r="E1441" s="8">
        <f ca="1">IFERROR(__xludf.DUMMYFUNCTION("""COMPUTED_VALUE"""),38730)</f>
        <v>38730</v>
      </c>
      <c r="F1441" s="5" t="str">
        <f ca="1">IFERROR(__xludf.DUMMYFUNCTION("""COMPUTED_VALUE"""),"Pinson Valley High School")</f>
        <v>Pinson Valley High School</v>
      </c>
      <c r="G1441" s="5">
        <f ca="1">IFERROR(__xludf.DUMMYFUNCTION("""COMPUTED_VALUE"""),0)</f>
        <v>0</v>
      </c>
      <c r="H1441" s="5">
        <f ca="1">IFERROR(__xludf.DUMMYFUNCTION("""COMPUTED_VALUE"""),1)</f>
        <v>1</v>
      </c>
      <c r="I1441" s="5">
        <f ca="1">IFERROR(__xludf.DUMMYFUNCTION("""COMPUTED_VALUE"""),1)</f>
        <v>1</v>
      </c>
      <c r="J1441" s="5">
        <f ca="1">IFERROR(__xludf.DUMMYFUNCTION("""COMPUTED_VALUE"""),0)</f>
        <v>0</v>
      </c>
      <c r="K1441" s="9" t="str">
        <f ca="1">IFERROR(__xludf.DUMMYFUNCTION("""COMPUTED_VALUE"""),"http://www.gadsdentimes.com/lifestyle/20060116/student-charged-in-fatal-shooting-after-game")</f>
        <v>http://www.gadsdentimes.com/lifestyle/20060116/student-charged-in-fatal-shooting-after-game</v>
      </c>
      <c r="L1441" s="5"/>
      <c r="M1441" s="5"/>
      <c r="N1441" s="5">
        <f ca="1">IFERROR(__xludf.DUMMYFUNCTION("""COMPUTED_VALUE"""),2)</f>
        <v>2</v>
      </c>
      <c r="O1441" s="5" t="str">
        <f ca="1">IFERROR(__xludf.DUMMYFUNCTION("""COMPUTED_VALUE"""),"Winter")</f>
        <v>Winter</v>
      </c>
      <c r="P1441" s="5" t="str">
        <f ca="1">IFERROR(__xludf.DUMMYFUNCTION("""COMPUTED_VALUE"""),"Pinson")</f>
        <v>Pinson</v>
      </c>
      <c r="Q1441" s="5" t="str">
        <f ca="1">IFERROR(__xludf.DUMMYFUNCTION("""COMPUTED_VALUE"""),"AL")</f>
        <v>AL</v>
      </c>
      <c r="R1441" s="5" t="str">
        <f ca="1">IFERROR(__xludf.DUMMYFUNCTION("""COMPUTED_VALUE"""),"High")</f>
        <v>High</v>
      </c>
      <c r="S1441" s="5" t="str">
        <f ca="1">IFERROR(__xludf.DUMMYFUNCTION("""COMPUTED_VALUE"""),"Parking Lot")</f>
        <v>Parking Lot</v>
      </c>
      <c r="T1441" s="5" t="str">
        <f ca="1">IFERROR(__xludf.DUMMYFUNCTION("""COMPUTED_VALUE"""),"Outside on School Property")</f>
        <v>Outside on School Property</v>
      </c>
      <c r="U1441" s="5" t="str">
        <f ca="1">IFERROR(__xludf.DUMMYFUNCTION("""COMPUTED_VALUE"""),"No")</f>
        <v>No</v>
      </c>
      <c r="V1441" s="5" t="str">
        <f ca="1">IFERROR(__xludf.DUMMYFUNCTION("""COMPUTED_VALUE"""),"Sport Event")</f>
        <v>Sport Event</v>
      </c>
      <c r="W1441" s="10">
        <f ca="1">IFERROR(__xludf.DUMMYFUNCTION("""COMPUTED_VALUE"""),0.956944444444444)</f>
        <v>0.95694444444444404</v>
      </c>
      <c r="X1441" s="5">
        <f ca="1">IFERROR(__xludf.DUMMYFUNCTION("""COMPUTED_VALUE"""),1)</f>
        <v>1</v>
      </c>
      <c r="Y1441" s="5" t="str">
        <f ca="1">IFERROR(__xludf.DUMMYFUNCTION("""COMPUTED_VALUE"""),"Shot during fight in parking lot after basketball game")</f>
        <v>Shot during fight in parking lot after basketball game</v>
      </c>
      <c r="Z1441" s="5" t="str">
        <f ca="1">IFERROR(__xludf.DUMMYFUNCTION("""COMPUTED_VALUE"""),"17YOM shot in the parking lot of the school after a basketball game by a 20YOM. Police were assigned to the game and quickly arrested the shooter.")</f>
        <v>17YOM shot in the parking lot of the school after a basketball game by a 20YOM. Police were assigned to the game and quickly arrested the shooter.</v>
      </c>
      <c r="AA1441" s="5" t="str">
        <f ca="1">IFERROR(__xludf.DUMMYFUNCTION("""COMPUTED_VALUE"""),"Escalation of Dispute")</f>
        <v>Escalation of Dispute</v>
      </c>
      <c r="AB1441" s="5" t="str">
        <f ca="1">IFERROR(__xludf.DUMMYFUNCTION("""COMPUTED_VALUE"""),"Victims Targeted")</f>
        <v>Victims Targeted</v>
      </c>
      <c r="AC1441" s="5" t="str">
        <f ca="1">IFERROR(__xludf.DUMMYFUNCTION("""COMPUTED_VALUE"""),"No")</f>
        <v>No</v>
      </c>
      <c r="AD1441" s="5" t="str">
        <f ca="1">IFERROR(__xludf.DUMMYFUNCTION("""COMPUTED_VALUE"""),"No")</f>
        <v>No</v>
      </c>
      <c r="AE1441" s="5" t="str">
        <f ca="1">IFERROR(__xludf.DUMMYFUNCTION("""COMPUTED_VALUE"""),"No")</f>
        <v>No</v>
      </c>
      <c r="AF1441" s="5" t="str">
        <f ca="1">IFERROR(__xludf.DUMMYFUNCTION("""COMPUTED_VALUE"""),"No")</f>
        <v>No</v>
      </c>
      <c r="AG1441" s="5" t="str">
        <f ca="1">IFERROR(__xludf.DUMMYFUNCTION("""COMPUTED_VALUE"""),"No")</f>
        <v>No</v>
      </c>
      <c r="AH1441" s="5" t="str">
        <f ca="1">IFERROR(__xludf.DUMMYFUNCTION("""COMPUTED_VALUE"""),"No")</f>
        <v>No</v>
      </c>
      <c r="AI1441" s="5"/>
      <c r="AJ1441" s="5"/>
    </row>
    <row r="1442" spans="1:36" ht="13">
      <c r="A1442" s="5" t="str">
        <f ca="1">IFERROR(__xludf.DUMMYFUNCTION("""COMPUTED_VALUE"""),"20060111WIMAM")</f>
        <v>20060111WIMAM</v>
      </c>
      <c r="B1442" s="5">
        <f ca="1">IFERROR(__xludf.DUMMYFUNCTION("""COMPUTED_VALUE"""),1)</f>
        <v>1</v>
      </c>
      <c r="C1442" s="5">
        <f ca="1">IFERROR(__xludf.DUMMYFUNCTION("""COMPUTED_VALUE"""),11)</f>
        <v>11</v>
      </c>
      <c r="D1442" s="5">
        <f ca="1">IFERROR(__xludf.DUMMYFUNCTION("""COMPUTED_VALUE"""),2006)</f>
        <v>2006</v>
      </c>
      <c r="E1442" s="8">
        <f ca="1">IFERROR(__xludf.DUMMYFUNCTION("""COMPUTED_VALUE"""),38728)</f>
        <v>38728</v>
      </c>
      <c r="F1442" s="5" t="str">
        <f ca="1">IFERROR(__xludf.DUMMYFUNCTION("""COMPUTED_VALUE"""),"Mary McLeod Bethune Academy")</f>
        <v>Mary McLeod Bethune Academy</v>
      </c>
      <c r="G1442" s="5">
        <f ca="1">IFERROR(__xludf.DUMMYFUNCTION("""COMPUTED_VALUE"""),0)</f>
        <v>0</v>
      </c>
      <c r="H1442" s="5">
        <f ca="1">IFERROR(__xludf.DUMMYFUNCTION("""COMPUTED_VALUE"""),1)</f>
        <v>1</v>
      </c>
      <c r="I1442" s="5">
        <f ca="1">IFERROR(__xludf.DUMMYFUNCTION("""COMPUTED_VALUE"""),1)</f>
        <v>1</v>
      </c>
      <c r="J1442" s="5">
        <f ca="1">IFERROR(__xludf.DUMMYFUNCTION("""COMPUTED_VALUE"""),0)</f>
        <v>0</v>
      </c>
      <c r="K1442" s="9" t="str">
        <f ca="1">IFERROR(__xludf.DUMMYFUNCTION("""COMPUTED_VALUE"""),"https://www.newspapers.com/image/343443050/?terms=girl%2Bshot%2Bschool%2Bplayground")</f>
        <v>https://www.newspapers.com/image/343443050/?terms=girl%2Bshot%2Bschool%2Bplayground</v>
      </c>
      <c r="L1442" s="5"/>
      <c r="M1442" s="5"/>
      <c r="N1442" s="5">
        <f ca="1">IFERROR(__xludf.DUMMYFUNCTION("""COMPUTED_VALUE"""),2)</f>
        <v>2</v>
      </c>
      <c r="O1442" s="5" t="str">
        <f ca="1">IFERROR(__xludf.DUMMYFUNCTION("""COMPUTED_VALUE"""),"Winter")</f>
        <v>Winter</v>
      </c>
      <c r="P1442" s="5" t="str">
        <f ca="1">IFERROR(__xludf.DUMMYFUNCTION("""COMPUTED_VALUE"""),"Milwaukee")</f>
        <v>Milwaukee</v>
      </c>
      <c r="Q1442" s="5" t="str">
        <f ca="1">IFERROR(__xludf.DUMMYFUNCTION("""COMPUTED_VALUE"""),"WI")</f>
        <v>WI</v>
      </c>
      <c r="R1442" s="5" t="str">
        <f ca="1">IFERROR(__xludf.DUMMYFUNCTION("""COMPUTED_VALUE"""),"K-8")</f>
        <v>K-8</v>
      </c>
      <c r="S1442" s="5" t="str">
        <f ca="1">IFERROR(__xludf.DUMMYFUNCTION("""COMPUTED_VALUE"""),"Playground")</f>
        <v>Playground</v>
      </c>
      <c r="T1442" s="5" t="str">
        <f ca="1">IFERROR(__xludf.DUMMYFUNCTION("""COMPUTED_VALUE"""),"Outside on School Property")</f>
        <v>Outside on School Property</v>
      </c>
      <c r="U1442" s="5" t="str">
        <f ca="1">IFERROR(__xludf.DUMMYFUNCTION("""COMPUTED_VALUE"""),"Yes")</f>
        <v>Yes</v>
      </c>
      <c r="V1442" s="5" t="str">
        <f ca="1">IFERROR(__xludf.DUMMYFUNCTION("""COMPUTED_VALUE"""),"Lunch")</f>
        <v>Lunch</v>
      </c>
      <c r="W1442" s="10">
        <f ca="1">IFERROR(__xludf.DUMMYFUNCTION("""COMPUTED_VALUE"""),0.520833333333333)</f>
        <v>0.52083333333333304</v>
      </c>
      <c r="X1442" s="5">
        <f ca="1">IFERROR(__xludf.DUMMYFUNCTION("""COMPUTED_VALUE"""),1)</f>
        <v>1</v>
      </c>
      <c r="Y1442" s="5" t="str">
        <f ca="1">IFERROR(__xludf.DUMMYFUNCTION("""COMPUTED_VALUE"""),"Nearby gunfire struck student on school playground (not targeted)")</f>
        <v>Nearby gunfire struck student on school playground (not targeted)</v>
      </c>
      <c r="Z1442" s="5" t="str">
        <f ca="1">IFERROR(__xludf.DUMMYFUNCTION("""COMPUTED_VALUE"""),"Nearby gunfire struck student on playground. Police determined she was not targeted. No shooter identified.")</f>
        <v>Nearby gunfire struck student on playground. Police determined she was not targeted. No shooter identified.</v>
      </c>
      <c r="AA1442" s="5" t="str">
        <f ca="1">IFERROR(__xludf.DUMMYFUNCTION("""COMPUTED_VALUE"""),"Accidental")</f>
        <v>Accidental</v>
      </c>
      <c r="AB1442" s="5" t="str">
        <f ca="1">IFERROR(__xludf.DUMMYFUNCTION("""COMPUTED_VALUE"""),"Random Shooting")</f>
        <v>Random Shooting</v>
      </c>
      <c r="AC1442" s="5" t="str">
        <f ca="1">IFERROR(__xludf.DUMMYFUNCTION("""COMPUTED_VALUE"""),"Unknown")</f>
        <v>Unknown</v>
      </c>
      <c r="AD1442" s="5" t="str">
        <f ca="1">IFERROR(__xludf.DUMMYFUNCTION("""COMPUTED_VALUE"""),"No")</f>
        <v>No</v>
      </c>
      <c r="AE1442" s="5" t="str">
        <f ca="1">IFERROR(__xludf.DUMMYFUNCTION("""COMPUTED_VALUE"""),"No")</f>
        <v>No</v>
      </c>
      <c r="AF1442" s="5" t="str">
        <f ca="1">IFERROR(__xludf.DUMMYFUNCTION("""COMPUTED_VALUE"""),"No")</f>
        <v>No</v>
      </c>
      <c r="AG1442" s="5" t="str">
        <f ca="1">IFERROR(__xludf.DUMMYFUNCTION("""COMPUTED_VALUE"""),"No")</f>
        <v>No</v>
      </c>
      <c r="AH1442" s="5" t="str">
        <f ca="1">IFERROR(__xludf.DUMMYFUNCTION("""COMPUTED_VALUE"""),"No")</f>
        <v>No</v>
      </c>
      <c r="AI1442" s="5" t="str">
        <f ca="1">IFERROR(__xludf.DUMMYFUNCTION("""COMPUTED_VALUE"""),"No")</f>
        <v>No</v>
      </c>
      <c r="AJ1442" s="5"/>
    </row>
    <row r="1443" spans="1:36" ht="13">
      <c r="A1443" s="5" t="str">
        <f ca="1">IFERROR(__xludf.DUMMYFUNCTION("""COMPUTED_VALUE"""),"20060110DEMOW")</f>
        <v>20060110DEMOW</v>
      </c>
      <c r="B1443" s="5">
        <f ca="1">IFERROR(__xludf.DUMMYFUNCTION("""COMPUTED_VALUE"""),1)</f>
        <v>1</v>
      </c>
      <c r="C1443" s="5">
        <f ca="1">IFERROR(__xludf.DUMMYFUNCTION("""COMPUTED_VALUE"""),10)</f>
        <v>10</v>
      </c>
      <c r="D1443" s="5">
        <f ca="1">IFERROR(__xludf.DUMMYFUNCTION("""COMPUTED_VALUE"""),2006)</f>
        <v>2006</v>
      </c>
      <c r="E1443" s="8">
        <f ca="1">IFERROR(__xludf.DUMMYFUNCTION("""COMPUTED_VALUE"""),38727)</f>
        <v>38727</v>
      </c>
      <c r="F1443" s="5" t="str">
        <f ca="1">IFERROR(__xludf.DUMMYFUNCTION("""COMPUTED_VALUE"""),"Mount Pleasant High School")</f>
        <v>Mount Pleasant High School</v>
      </c>
      <c r="G1443" s="5">
        <f ca="1">IFERROR(__xludf.DUMMYFUNCTION("""COMPUTED_VALUE"""),0)</f>
        <v>0</v>
      </c>
      <c r="H1443" s="5">
        <f ca="1">IFERROR(__xludf.DUMMYFUNCTION("""COMPUTED_VALUE"""),1)</f>
        <v>1</v>
      </c>
      <c r="I1443" s="5">
        <f ca="1">IFERROR(__xludf.DUMMYFUNCTION("""COMPUTED_VALUE"""),1)</f>
        <v>1</v>
      </c>
      <c r="J1443" s="5">
        <f ca="1">IFERROR(__xludf.DUMMYFUNCTION("""COMPUTED_VALUE"""),0)</f>
        <v>0</v>
      </c>
      <c r="K1443" s="9" t="str">
        <f ca="1">IFERROR(__xludf.DUMMYFUNCTION("""COMPUTED_VALUE"""),"https://www.newspapers.com/image/164693932/?terms=Mount%2BPleasant%2BHigh%2BSchool%2Bshooting")</f>
        <v>https://www.newspapers.com/image/164693932/?terms=Mount%2BPleasant%2BHigh%2BSchool%2Bshooting</v>
      </c>
      <c r="L1443" s="5"/>
      <c r="M1443" s="5"/>
      <c r="N1443" s="5">
        <f ca="1">IFERROR(__xludf.DUMMYFUNCTION("""COMPUTED_VALUE"""),2)</f>
        <v>2</v>
      </c>
      <c r="O1443" s="5" t="str">
        <f ca="1">IFERROR(__xludf.DUMMYFUNCTION("""COMPUTED_VALUE"""),"Winter")</f>
        <v>Winter</v>
      </c>
      <c r="P1443" s="5" t="str">
        <f ca="1">IFERROR(__xludf.DUMMYFUNCTION("""COMPUTED_VALUE"""),"Wilmington")</f>
        <v>Wilmington</v>
      </c>
      <c r="Q1443" s="5" t="str">
        <f ca="1">IFERROR(__xludf.DUMMYFUNCTION("""COMPUTED_VALUE"""),"DE")</f>
        <v>DE</v>
      </c>
      <c r="R1443" s="5" t="str">
        <f ca="1">IFERROR(__xludf.DUMMYFUNCTION("""COMPUTED_VALUE"""),"High")</f>
        <v>High</v>
      </c>
      <c r="S1443" s="5" t="str">
        <f ca="1">IFERROR(__xludf.DUMMYFUNCTION("""COMPUTED_VALUE"""),"Basketball Court")</f>
        <v>Basketball Court</v>
      </c>
      <c r="T1443" s="5" t="str">
        <f ca="1">IFERROR(__xludf.DUMMYFUNCTION("""COMPUTED_VALUE"""),"Outside on School Property")</f>
        <v>Outside on School Property</v>
      </c>
      <c r="U1443" s="5" t="str">
        <f ca="1">IFERROR(__xludf.DUMMYFUNCTION("""COMPUTED_VALUE"""),"No")</f>
        <v>No</v>
      </c>
      <c r="V1443" s="5" t="str">
        <f ca="1">IFERROR(__xludf.DUMMYFUNCTION("""COMPUTED_VALUE"""),"Sport Event")</f>
        <v>Sport Event</v>
      </c>
      <c r="W1443" s="5"/>
      <c r="X1443" s="5">
        <f ca="1">IFERROR(__xludf.DUMMYFUNCTION("""COMPUTED_VALUE"""),1)</f>
        <v>1</v>
      </c>
      <c r="Y1443" s="5" t="str">
        <f ca="1">IFERROR(__xludf.DUMMYFUNCTION("""COMPUTED_VALUE"""),"16 year old victim shot in HS parking lot during fight with several students")</f>
        <v>16 year old victim shot in HS parking lot during fight with several students</v>
      </c>
      <c r="Z1443" s="5" t="str">
        <f ca="1">IFERROR(__xludf.DUMMYFUNCTION("""COMPUTED_VALUE"""),"Fight between several students in the parking lot during a basketball game. Related to prior fight. Shooter fled and was not identified.")</f>
        <v>Fight between several students in the parking lot during a basketball game. Related to prior fight. Shooter fled and was not identified.</v>
      </c>
      <c r="AA1443" s="5" t="str">
        <f ca="1">IFERROR(__xludf.DUMMYFUNCTION("""COMPUTED_VALUE"""),"Escalation of Dispute")</f>
        <v>Escalation of Dispute</v>
      </c>
      <c r="AB1443" s="5" t="str">
        <f ca="1">IFERROR(__xludf.DUMMYFUNCTION("""COMPUTED_VALUE"""),"Victims Targeted")</f>
        <v>Victims Targeted</v>
      </c>
      <c r="AC1443" s="5" t="str">
        <f ca="1">IFERROR(__xludf.DUMMYFUNCTION("""COMPUTED_VALUE"""),"Unknown")</f>
        <v>Unknown</v>
      </c>
      <c r="AD1443" s="5" t="str">
        <f ca="1">IFERROR(__xludf.DUMMYFUNCTION("""COMPUTED_VALUE"""),"No")</f>
        <v>No</v>
      </c>
      <c r="AE1443" s="5" t="str">
        <f ca="1">IFERROR(__xludf.DUMMYFUNCTION("""COMPUTED_VALUE"""),"No")</f>
        <v>No</v>
      </c>
      <c r="AF1443" s="5" t="str">
        <f ca="1">IFERROR(__xludf.DUMMYFUNCTION("""COMPUTED_VALUE"""),"No")</f>
        <v>No</v>
      </c>
      <c r="AG1443" s="5" t="str">
        <f ca="1">IFERROR(__xludf.DUMMYFUNCTION("""COMPUTED_VALUE"""),"No")</f>
        <v>No</v>
      </c>
      <c r="AH1443" s="5" t="str">
        <f ca="1">IFERROR(__xludf.DUMMYFUNCTION("""COMPUTED_VALUE"""),"No")</f>
        <v>No</v>
      </c>
      <c r="AI1443" s="5" t="str">
        <f ca="1">IFERROR(__xludf.DUMMYFUNCTION("""COMPUTED_VALUE"""),"No")</f>
        <v>No</v>
      </c>
      <c r="AJ1443" s="5"/>
    </row>
    <row r="1444" spans="1:36" ht="13">
      <c r="A1444" s="5" t="str">
        <f ca="1">IFERROR(__xludf.DUMMYFUNCTION("""COMPUTED_VALUE"""),"20060103NJLIJ")</f>
        <v>20060103NJLIJ</v>
      </c>
      <c r="B1444" s="5">
        <f ca="1">IFERROR(__xludf.DUMMYFUNCTION("""COMPUTED_VALUE"""),1)</f>
        <v>1</v>
      </c>
      <c r="C1444" s="5">
        <f ca="1">IFERROR(__xludf.DUMMYFUNCTION("""COMPUTED_VALUE"""),3)</f>
        <v>3</v>
      </c>
      <c r="D1444" s="5">
        <f ca="1">IFERROR(__xludf.DUMMYFUNCTION("""COMPUTED_VALUE"""),2006)</f>
        <v>2006</v>
      </c>
      <c r="E1444" s="8">
        <f ca="1">IFERROR(__xludf.DUMMYFUNCTION("""COMPUTED_VALUE"""),38720)</f>
        <v>38720</v>
      </c>
      <c r="F1444" s="5" t="str">
        <f ca="1">IFERROR(__xludf.DUMMYFUNCTION("""COMPUTED_VALUE"""),"Lincoln High School")</f>
        <v>Lincoln High School</v>
      </c>
      <c r="G1444" s="5">
        <f ca="1">IFERROR(__xludf.DUMMYFUNCTION("""COMPUTED_VALUE"""),0)</f>
        <v>0</v>
      </c>
      <c r="H1444" s="5">
        <f ca="1">IFERROR(__xludf.DUMMYFUNCTION("""COMPUTED_VALUE"""),2)</f>
        <v>2</v>
      </c>
      <c r="I1444" s="5">
        <f ca="1">IFERROR(__xludf.DUMMYFUNCTION("""COMPUTED_VALUE"""),2)</f>
        <v>2</v>
      </c>
      <c r="J1444" s="5">
        <f ca="1">IFERROR(__xludf.DUMMYFUNCTION("""COMPUTED_VALUE"""),0)</f>
        <v>0</v>
      </c>
      <c r="K1444" s="9" t="str">
        <f ca="1">IFERROR(__xludf.DUMMYFUNCTION("""COMPUTED_VALUE"""),"https://www.nytimes.com/2006/01/05/nyregion/gangs-tied-to-violence-near-jersey-city-school.html")</f>
        <v>https://www.nytimes.com/2006/01/05/nyregion/gangs-tied-to-violence-near-jersey-city-school.html</v>
      </c>
      <c r="L1444" s="5"/>
      <c r="M1444" s="5"/>
      <c r="N1444" s="5">
        <f ca="1">IFERROR(__xludf.DUMMYFUNCTION("""COMPUTED_VALUE"""),2)</f>
        <v>2</v>
      </c>
      <c r="O1444" s="5" t="str">
        <f ca="1">IFERROR(__xludf.DUMMYFUNCTION("""COMPUTED_VALUE"""),"Winter")</f>
        <v>Winter</v>
      </c>
      <c r="P1444" s="5" t="str">
        <f ca="1">IFERROR(__xludf.DUMMYFUNCTION("""COMPUTED_VALUE"""),"Jersey City")</f>
        <v>Jersey City</v>
      </c>
      <c r="Q1444" s="5" t="str">
        <f ca="1">IFERROR(__xludf.DUMMYFUNCTION("""COMPUTED_VALUE"""),"NJ")</f>
        <v>NJ</v>
      </c>
      <c r="R1444" s="5" t="str">
        <f ca="1">IFERROR(__xludf.DUMMYFUNCTION("""COMPUTED_VALUE"""),"High")</f>
        <v>High</v>
      </c>
      <c r="S1444" s="5" t="str">
        <f ca="1">IFERROR(__xludf.DUMMYFUNCTION("""COMPUTED_VALUE"""),"Beside Building")</f>
        <v>Beside Building</v>
      </c>
      <c r="T1444" s="5" t="str">
        <f ca="1">IFERROR(__xludf.DUMMYFUNCTION("""COMPUTED_VALUE"""),"Outside on School Property")</f>
        <v>Outside on School Property</v>
      </c>
      <c r="U1444" s="5" t="str">
        <f ca="1">IFERROR(__xludf.DUMMYFUNCTION("""COMPUTED_VALUE"""),"Yes")</f>
        <v>Yes</v>
      </c>
      <c r="V1444" s="5" t="str">
        <f ca="1">IFERROR(__xludf.DUMMYFUNCTION("""COMPUTED_VALUE"""),"Dismissal")</f>
        <v>Dismissal</v>
      </c>
      <c r="W1444" s="10">
        <f ca="1">IFERROR(__xludf.DUMMYFUNCTION("""COMPUTED_VALUE"""),0.638888888888888)</f>
        <v>0.63888888888888795</v>
      </c>
      <c r="X1444" s="5">
        <f ca="1">IFERROR(__xludf.DUMMYFUNCTION("""COMPUTED_VALUE"""),1)</f>
        <v>1</v>
      </c>
      <c r="Y1444" s="5" t="str">
        <f ca="1">IFERROR(__xludf.DUMMYFUNCTION("""COMPUTED_VALUE"""),"Shooting resulted from a large fight involving 40 students after school")</f>
        <v>Shooting resulted from a large fight involving 40 students after school</v>
      </c>
      <c r="Z1444" s="5" t="str">
        <f ca="1">IFERROR(__xludf.DUMMYFUNCTION("""COMPUTED_VALUE"""),"Group of 40 student involved in a fight outside of the school. Dispute between different gangs (neighborhood cliques). Two students were injured by gunshots from an unknown shooter in the group.")</f>
        <v>Group of 40 student involved in a fight outside of the school. Dispute between different gangs (neighborhood cliques). Two students were injured by gunshots from an unknown shooter in the group.</v>
      </c>
      <c r="AA1444" s="5" t="str">
        <f ca="1">IFERROR(__xludf.DUMMYFUNCTION("""COMPUTED_VALUE"""),"Escalation of Dispute")</f>
        <v>Escalation of Dispute</v>
      </c>
      <c r="AB1444" s="5"/>
      <c r="AC1444" s="5" t="str">
        <f ca="1">IFERROR(__xludf.DUMMYFUNCTION("""COMPUTED_VALUE"""),"Unknown")</f>
        <v>Unknown</v>
      </c>
      <c r="AD1444" s="5" t="str">
        <f ca="1">IFERROR(__xludf.DUMMYFUNCTION("""COMPUTED_VALUE"""),"No")</f>
        <v>No</v>
      </c>
      <c r="AE1444" s="5" t="str">
        <f ca="1">IFERROR(__xludf.DUMMYFUNCTION("""COMPUTED_VALUE"""),"No")</f>
        <v>No</v>
      </c>
      <c r="AF1444" s="5" t="str">
        <f ca="1">IFERROR(__xludf.DUMMYFUNCTION("""COMPUTED_VALUE"""),"No")</f>
        <v>No</v>
      </c>
      <c r="AG1444" s="5" t="str">
        <f ca="1">IFERROR(__xludf.DUMMYFUNCTION("""COMPUTED_VALUE"""),"No")</f>
        <v>No</v>
      </c>
      <c r="AH1444" s="5" t="str">
        <f ca="1">IFERROR(__xludf.DUMMYFUNCTION("""COMPUTED_VALUE"""),"No")</f>
        <v>No</v>
      </c>
      <c r="AI1444" s="5" t="str">
        <f ca="1">IFERROR(__xludf.DUMMYFUNCTION("""COMPUTED_VALUE"""),"Yes")</f>
        <v>Yes</v>
      </c>
      <c r="AJ1444" s="5"/>
    </row>
    <row r="1445" spans="1:36" ht="13">
      <c r="A1445" s="5" t="str">
        <f ca="1">IFERROR(__xludf.DUMMYFUNCTION("""COMPUTED_VALUE"""),"20051206CASAG")</f>
        <v>20051206CASAG</v>
      </c>
      <c r="B1445" s="5">
        <f ca="1">IFERROR(__xludf.DUMMYFUNCTION("""COMPUTED_VALUE"""),12)</f>
        <v>12</v>
      </c>
      <c r="C1445" s="5">
        <f ca="1">IFERROR(__xludf.DUMMYFUNCTION("""COMPUTED_VALUE"""),6)</f>
        <v>6</v>
      </c>
      <c r="D1445" s="5">
        <f ca="1">IFERROR(__xludf.DUMMYFUNCTION("""COMPUTED_VALUE"""),2005)</f>
        <v>2005</v>
      </c>
      <c r="E1445" s="8">
        <f ca="1">IFERROR(__xludf.DUMMYFUNCTION("""COMPUTED_VALUE"""),38692)</f>
        <v>38692</v>
      </c>
      <c r="F1445" s="5" t="str">
        <f ca="1">IFERROR(__xludf.DUMMYFUNCTION("""COMPUTED_VALUE"""),"Santiago High School")</f>
        <v>Santiago High School</v>
      </c>
      <c r="G1445" s="5">
        <f ca="1">IFERROR(__xludf.DUMMYFUNCTION("""COMPUTED_VALUE"""),1)</f>
        <v>1</v>
      </c>
      <c r="H1445" s="5">
        <f ca="1">IFERROR(__xludf.DUMMYFUNCTION("""COMPUTED_VALUE"""),0)</f>
        <v>0</v>
      </c>
      <c r="I1445" s="5">
        <f ca="1">IFERROR(__xludf.DUMMYFUNCTION("""COMPUTED_VALUE"""),1)</f>
        <v>1</v>
      </c>
      <c r="J1445" s="5">
        <f ca="1">IFERROR(__xludf.DUMMYFUNCTION("""COMPUTED_VALUE"""),0)</f>
        <v>0</v>
      </c>
      <c r="K1445" s="9" t="str">
        <f ca="1">IFERROR(__xludf.DUMMYFUNCTION("""COMPUTED_VALUE"""),"https://www.ocregister.com/2005/12/08/five-arrests-made-in-santiago-high-shooting-death/")</f>
        <v>https://www.ocregister.com/2005/12/08/five-arrests-made-in-santiago-high-shooting-death/</v>
      </c>
      <c r="L1445" s="5"/>
      <c r="M1445" s="5"/>
      <c r="N1445" s="5">
        <f ca="1">IFERROR(__xludf.DUMMYFUNCTION("""COMPUTED_VALUE"""),2)</f>
        <v>2</v>
      </c>
      <c r="O1445" s="5" t="str">
        <f ca="1">IFERROR(__xludf.DUMMYFUNCTION("""COMPUTED_VALUE"""),"Winter")</f>
        <v>Winter</v>
      </c>
      <c r="P1445" s="5" t="str">
        <f ca="1">IFERROR(__xludf.DUMMYFUNCTION("""COMPUTED_VALUE"""),"Garden Grove")</f>
        <v>Garden Grove</v>
      </c>
      <c r="Q1445" s="5" t="str">
        <f ca="1">IFERROR(__xludf.DUMMYFUNCTION("""COMPUTED_VALUE"""),"CA")</f>
        <v>CA</v>
      </c>
      <c r="R1445" s="5" t="str">
        <f ca="1">IFERROR(__xludf.DUMMYFUNCTION("""COMPUTED_VALUE"""),"High")</f>
        <v>High</v>
      </c>
      <c r="S1445" s="5" t="str">
        <f ca="1">IFERROR(__xludf.DUMMYFUNCTION("""COMPUTED_VALUE"""),"Football Field/Track")</f>
        <v>Football Field/Track</v>
      </c>
      <c r="T1445" s="5" t="str">
        <f ca="1">IFERROR(__xludf.DUMMYFUNCTION("""COMPUTED_VALUE"""),"Outside on School Property")</f>
        <v>Outside on School Property</v>
      </c>
      <c r="U1445" s="5" t="str">
        <f ca="1">IFERROR(__xludf.DUMMYFUNCTION("""COMPUTED_VALUE"""),"No")</f>
        <v>No</v>
      </c>
      <c r="V1445" s="5" t="str">
        <f ca="1">IFERROR(__xludf.DUMMYFUNCTION("""COMPUTED_VALUE"""),"After School")</f>
        <v>After School</v>
      </c>
      <c r="W1445" s="10">
        <f ca="1">IFERROR(__xludf.DUMMYFUNCTION("""COMPUTED_VALUE"""),0.625)</f>
        <v>0.625</v>
      </c>
      <c r="X1445" s="5">
        <f ca="1">IFERROR(__xludf.DUMMYFUNCTION("""COMPUTED_VALUE"""),1)</f>
        <v>1</v>
      </c>
      <c r="Y1445" s="5" t="str">
        <f ca="1">IFERROR(__xludf.DUMMYFUNCTION("""COMPUTED_VALUE"""),"Student killed by 5 members of rival gang")</f>
        <v>Student killed by 5 members of rival gang</v>
      </c>
      <c r="Z1445" s="5" t="str">
        <f ca="1">IFERROR(__xludf.DUMMYFUNCTION("""COMPUTED_VALUE"""),"16YOM was shot and killed by 5 members of a rival gang near the school athletic field. Shooter fled and 5 males were later arrested.")</f>
        <v>16YOM was shot and killed by 5 members of a rival gang near the school athletic field. Shooter fled and 5 males were later arrested.</v>
      </c>
      <c r="AA1445" s="5" t="str">
        <f ca="1">IFERROR(__xludf.DUMMYFUNCTION("""COMPUTED_VALUE"""),"Escalation of Dispute")</f>
        <v>Escalation of Dispute</v>
      </c>
      <c r="AB1445" s="5" t="str">
        <f ca="1">IFERROR(__xludf.DUMMYFUNCTION("""COMPUTED_VALUE"""),"Victims Targeted")</f>
        <v>Victims Targeted</v>
      </c>
      <c r="AC1445" s="5" t="str">
        <f ca="1">IFERROR(__xludf.DUMMYFUNCTION("""COMPUTED_VALUE"""),"Yes")</f>
        <v>Yes</v>
      </c>
      <c r="AD1445" s="5" t="str">
        <f ca="1">IFERROR(__xludf.DUMMYFUNCTION("""COMPUTED_VALUE"""),"No")</f>
        <v>No</v>
      </c>
      <c r="AE1445" s="5" t="str">
        <f ca="1">IFERROR(__xludf.DUMMYFUNCTION("""COMPUTED_VALUE"""),"No")</f>
        <v>No</v>
      </c>
      <c r="AF1445" s="5" t="str">
        <f ca="1">IFERROR(__xludf.DUMMYFUNCTION("""COMPUTED_VALUE"""),"No")</f>
        <v>No</v>
      </c>
      <c r="AG1445" s="5" t="str">
        <f ca="1">IFERROR(__xludf.DUMMYFUNCTION("""COMPUTED_VALUE"""),"No")</f>
        <v>No</v>
      </c>
      <c r="AH1445" s="5" t="str">
        <f ca="1">IFERROR(__xludf.DUMMYFUNCTION("""COMPUTED_VALUE"""),"No")</f>
        <v>No</v>
      </c>
      <c r="AI1445" s="5" t="str">
        <f ca="1">IFERROR(__xludf.DUMMYFUNCTION("""COMPUTED_VALUE"""),"Yes")</f>
        <v>Yes</v>
      </c>
      <c r="AJ1445" s="5"/>
    </row>
    <row r="1446" spans="1:36" ht="13">
      <c r="A1446" s="5" t="str">
        <f ca="1">IFERROR(__xludf.DUMMYFUNCTION("""COMPUTED_VALUE"""),"20051206MICED")</f>
        <v>20051206MICED</v>
      </c>
      <c r="B1446" s="5">
        <f ca="1">IFERROR(__xludf.DUMMYFUNCTION("""COMPUTED_VALUE"""),12)</f>
        <v>12</v>
      </c>
      <c r="C1446" s="5">
        <f ca="1">IFERROR(__xludf.DUMMYFUNCTION("""COMPUTED_VALUE"""),6)</f>
        <v>6</v>
      </c>
      <c r="D1446" s="5">
        <f ca="1">IFERROR(__xludf.DUMMYFUNCTION("""COMPUTED_VALUE"""),2005)</f>
        <v>2005</v>
      </c>
      <c r="E1446" s="8">
        <f ca="1">IFERROR(__xludf.DUMMYFUNCTION("""COMPUTED_VALUE"""),38692)</f>
        <v>38692</v>
      </c>
      <c r="F1446" s="5" t="str">
        <f ca="1">IFERROR(__xludf.DUMMYFUNCTION("""COMPUTED_VALUE"""),"Central High School")</f>
        <v>Central High School</v>
      </c>
      <c r="G1446" s="5">
        <f ca="1">IFERROR(__xludf.DUMMYFUNCTION("""COMPUTED_VALUE"""),0)</f>
        <v>0</v>
      </c>
      <c r="H1446" s="5">
        <f ca="1">IFERROR(__xludf.DUMMYFUNCTION("""COMPUTED_VALUE"""),1)</f>
        <v>1</v>
      </c>
      <c r="I1446" s="5">
        <f ca="1">IFERROR(__xludf.DUMMYFUNCTION("""COMPUTED_VALUE"""),1)</f>
        <v>1</v>
      </c>
      <c r="J1446" s="5">
        <f ca="1">IFERROR(__xludf.DUMMYFUNCTION("""COMPUTED_VALUE"""),0)</f>
        <v>0</v>
      </c>
      <c r="K1446" s="5" t="str">
        <f ca="1">IFERROR(__xludf.DUMMYFUNCTION("""COMPUTED_VALUE"""),"https://patch.com/michigan/detroit/1999-these-mi-students-exposed-gun-violence-schools  https://www.columbine-angels.com/School_Violence_2005-2006.htm")</f>
        <v>https://patch.com/michigan/detroit/1999-these-mi-students-exposed-gun-violence-schools  https://www.columbine-angels.com/School_Violence_2005-2006.htm</v>
      </c>
      <c r="L1446" s="5"/>
      <c r="M1446" s="5"/>
      <c r="N1446" s="5">
        <f ca="1">IFERROR(__xludf.DUMMYFUNCTION("""COMPUTED_VALUE"""),1)</f>
        <v>1</v>
      </c>
      <c r="O1446" s="5" t="str">
        <f ca="1">IFERROR(__xludf.DUMMYFUNCTION("""COMPUTED_VALUE"""),"Winter")</f>
        <v>Winter</v>
      </c>
      <c r="P1446" s="5" t="str">
        <f ca="1">IFERROR(__xludf.DUMMYFUNCTION("""COMPUTED_VALUE"""),"Detroit")</f>
        <v>Detroit</v>
      </c>
      <c r="Q1446" s="5" t="str">
        <f ca="1">IFERROR(__xludf.DUMMYFUNCTION("""COMPUTED_VALUE"""),"MI")</f>
        <v>MI</v>
      </c>
      <c r="R1446" s="5" t="str">
        <f ca="1">IFERROR(__xludf.DUMMYFUNCTION("""COMPUTED_VALUE"""),"High")</f>
        <v>High</v>
      </c>
      <c r="S1446" s="5" t="str">
        <f ca="1">IFERROR(__xludf.DUMMYFUNCTION("""COMPUTED_VALUE"""),"Hallway")</f>
        <v>Hallway</v>
      </c>
      <c r="T1446" s="5" t="str">
        <f ca="1">IFERROR(__xludf.DUMMYFUNCTION("""COMPUTED_VALUE"""),"Inside School Building")</f>
        <v>Inside School Building</v>
      </c>
      <c r="U1446" s="5" t="str">
        <f ca="1">IFERROR(__xludf.DUMMYFUNCTION("""COMPUTED_VALUE"""),"Yes")</f>
        <v>Yes</v>
      </c>
      <c r="V1446" s="5" t="str">
        <f ca="1">IFERROR(__xludf.DUMMYFUNCTION("""COMPUTED_VALUE"""),"Afternoon Classes")</f>
        <v>Afternoon Classes</v>
      </c>
      <c r="W1446" s="10">
        <f ca="1">IFERROR(__xludf.DUMMYFUNCTION("""COMPUTED_VALUE"""),0.5625)</f>
        <v>0.5625</v>
      </c>
      <c r="X1446" s="5">
        <f ca="1">IFERROR(__xludf.DUMMYFUNCTION("""COMPUTED_VALUE"""),1)</f>
        <v>1</v>
      </c>
      <c r="Y1446" s="5" t="str">
        <f ca="1">IFERROR(__xludf.DUMMYFUNCTION("""COMPUTED_VALUE"""),"Two non-students shot after entering school")</f>
        <v>Two non-students shot after entering school</v>
      </c>
      <c r="Z1446" s="5" t="str">
        <f ca="1">IFERROR(__xludf.DUMMYFUNCTION("""COMPUTED_VALUE"""),"While the students were leaving the building for first dismissal, two non-students entered the building via a side door that students opened up for them. Unclear who fired shots and one of the non-students was shot.  Pepper spray was also discharged.  The"&amp;" wounded individual was taken to the hospital for treatment. Unknown shooter fled the scene.")</f>
        <v>While the students were leaving the building for first dismissal, two non-students entered the building via a side door that students opened up for them. Unclear who fired shots and one of the non-students was shot.  Pepper spray was also discharged.  The wounded individual was taken to the hospital for treatment. Unknown shooter fled the scene.</v>
      </c>
      <c r="AA1446" s="5" t="str">
        <f ca="1">IFERROR(__xludf.DUMMYFUNCTION("""COMPUTED_VALUE"""),"Escalation of Dispute")</f>
        <v>Escalation of Dispute</v>
      </c>
      <c r="AB1446" s="5" t="str">
        <f ca="1">IFERROR(__xludf.DUMMYFUNCTION("""COMPUTED_VALUE"""),"Victims Targeted")</f>
        <v>Victims Targeted</v>
      </c>
      <c r="AC1446" s="5" t="str">
        <f ca="1">IFERROR(__xludf.DUMMYFUNCTION("""COMPUTED_VALUE"""),"No")</f>
        <v>No</v>
      </c>
      <c r="AD1446" s="5" t="str">
        <f ca="1">IFERROR(__xludf.DUMMYFUNCTION("""COMPUTED_VALUE"""),"No")</f>
        <v>No</v>
      </c>
      <c r="AE1446" s="5" t="str">
        <f ca="1">IFERROR(__xludf.DUMMYFUNCTION("""COMPUTED_VALUE"""),"No")</f>
        <v>No</v>
      </c>
      <c r="AF1446" s="5" t="str">
        <f ca="1">IFERROR(__xludf.DUMMYFUNCTION("""COMPUTED_VALUE"""),"No")</f>
        <v>No</v>
      </c>
      <c r="AG1446" s="5" t="str">
        <f ca="1">IFERROR(__xludf.DUMMYFUNCTION("""COMPUTED_VALUE"""),"No")</f>
        <v>No</v>
      </c>
      <c r="AH1446" s="5" t="str">
        <f ca="1">IFERROR(__xludf.DUMMYFUNCTION("""COMPUTED_VALUE"""),"No")</f>
        <v>No</v>
      </c>
      <c r="AI1446" s="5"/>
      <c r="AJ1446" s="5"/>
    </row>
    <row r="1447" spans="1:36" ht="13">
      <c r="A1447" s="5" t="str">
        <f ca="1">IFERROR(__xludf.DUMMYFUNCTION("""COMPUTED_VALUE"""),"20051205MABOR")</f>
        <v>20051205MABOR</v>
      </c>
      <c r="B1447" s="5">
        <f ca="1">IFERROR(__xludf.DUMMYFUNCTION("""COMPUTED_VALUE"""),12)</f>
        <v>12</v>
      </c>
      <c r="C1447" s="5">
        <f ca="1">IFERROR(__xludf.DUMMYFUNCTION("""COMPUTED_VALUE"""),5)</f>
        <v>5</v>
      </c>
      <c r="D1447" s="5">
        <f ca="1">IFERROR(__xludf.DUMMYFUNCTION("""COMPUTED_VALUE"""),2005)</f>
        <v>2005</v>
      </c>
      <c r="E1447" s="8">
        <f ca="1">IFERROR(__xludf.DUMMYFUNCTION("""COMPUTED_VALUE"""),38691)</f>
        <v>38691</v>
      </c>
      <c r="F1447" s="5" t="str">
        <f ca="1">IFERROR(__xludf.DUMMYFUNCTION("""COMPUTED_VALUE"""),"Boston Day and Evening Academy (High School)")</f>
        <v>Boston Day and Evening Academy (High School)</v>
      </c>
      <c r="G1447" s="5">
        <f ca="1">IFERROR(__xludf.DUMMYFUNCTION("""COMPUTED_VALUE"""),0)</f>
        <v>0</v>
      </c>
      <c r="H1447" s="5">
        <f ca="1">IFERROR(__xludf.DUMMYFUNCTION("""COMPUTED_VALUE"""),0)</f>
        <v>0</v>
      </c>
      <c r="I1447" s="5">
        <f ca="1">IFERROR(__xludf.DUMMYFUNCTION("""COMPUTED_VALUE"""),0)</f>
        <v>0</v>
      </c>
      <c r="J1447" s="5">
        <f ca="1">IFERROR(__xludf.DUMMYFUNCTION("""COMPUTED_VALUE"""),0)</f>
        <v>0</v>
      </c>
      <c r="K1447" s="9" t="str">
        <f ca="1">IFERROR(__xludf.DUMMYFUNCTION("""COMPUTED_VALUE"""),"http://archive.boston.com/news/local/articles/2005/12/07/a_mattapan_teen_gets_stiff_bail_terms/")</f>
        <v>http://archive.boston.com/news/local/articles/2005/12/07/a_mattapan_teen_gets_stiff_bail_terms/</v>
      </c>
      <c r="L1447" s="5"/>
      <c r="M1447" s="5"/>
      <c r="N1447" s="5">
        <f ca="1">IFERROR(__xludf.DUMMYFUNCTION("""COMPUTED_VALUE"""),2)</f>
        <v>2</v>
      </c>
      <c r="O1447" s="5" t="str">
        <f ca="1">IFERROR(__xludf.DUMMYFUNCTION("""COMPUTED_VALUE"""),"Winter")</f>
        <v>Winter</v>
      </c>
      <c r="P1447" s="5" t="str">
        <f ca="1">IFERROR(__xludf.DUMMYFUNCTION("""COMPUTED_VALUE"""),"Roxbury")</f>
        <v>Roxbury</v>
      </c>
      <c r="Q1447" s="5" t="str">
        <f ca="1">IFERROR(__xludf.DUMMYFUNCTION("""COMPUTED_VALUE"""),"MA")</f>
        <v>MA</v>
      </c>
      <c r="R1447" s="5" t="str">
        <f ca="1">IFERROR(__xludf.DUMMYFUNCTION("""COMPUTED_VALUE"""),"High")</f>
        <v>High</v>
      </c>
      <c r="S1447" s="5" t="str">
        <f ca="1">IFERROR(__xludf.DUMMYFUNCTION("""COMPUTED_VALUE"""),"Bathroom")</f>
        <v>Bathroom</v>
      </c>
      <c r="T1447" s="5" t="str">
        <f ca="1">IFERROR(__xludf.DUMMYFUNCTION("""COMPUTED_VALUE"""),"Inside School Building")</f>
        <v>Inside School Building</v>
      </c>
      <c r="U1447" s="5" t="str">
        <f ca="1">IFERROR(__xludf.DUMMYFUNCTION("""COMPUTED_VALUE"""),"Yes")</f>
        <v>Yes</v>
      </c>
      <c r="V1447" s="5" t="str">
        <f ca="1">IFERROR(__xludf.DUMMYFUNCTION("""COMPUTED_VALUE"""),"Afternoon Classes")</f>
        <v>Afternoon Classes</v>
      </c>
      <c r="W1447" s="10">
        <f ca="1">IFERROR(__xludf.DUMMYFUNCTION("""COMPUTED_VALUE"""),0.597222222222222)</f>
        <v>0.59722222222222199</v>
      </c>
      <c r="X1447" s="5">
        <f ca="1">IFERROR(__xludf.DUMMYFUNCTION("""COMPUTED_VALUE"""),1)</f>
        <v>1</v>
      </c>
      <c r="Y1447" s="5" t="str">
        <f ca="1">IFERROR(__xludf.DUMMYFUNCTION("""COMPUTED_VALUE"""),"Fight in bathroom, fired shots and missed then fled")</f>
        <v>Fight in bathroom, fired shots and missed then fled</v>
      </c>
      <c r="Z1447" s="5" t="str">
        <f ca="1">IFERROR(__xludf.DUMMYFUNCTION("""COMPUTED_VALUE"""),"17YOM was involved in fight in the bathroom of the school. Fired shots that missed other students. Fled the scene and later turned himself in the police.")</f>
        <v>17YOM was involved in fight in the bathroom of the school. Fired shots that missed other students. Fled the scene and later turned himself in the police.</v>
      </c>
      <c r="AA1447" s="5" t="str">
        <f ca="1">IFERROR(__xludf.DUMMYFUNCTION("""COMPUTED_VALUE"""),"Escalation of Dispute")</f>
        <v>Escalation of Dispute</v>
      </c>
      <c r="AB1447" s="5" t="str">
        <f ca="1">IFERROR(__xludf.DUMMYFUNCTION("""COMPUTED_VALUE"""),"Neither")</f>
        <v>Neither</v>
      </c>
      <c r="AC1447" s="5" t="str">
        <f ca="1">IFERROR(__xludf.DUMMYFUNCTION("""COMPUTED_VALUE"""),"No")</f>
        <v>No</v>
      </c>
      <c r="AD1447" s="5" t="str">
        <f ca="1">IFERROR(__xludf.DUMMYFUNCTION("""COMPUTED_VALUE"""),"No")</f>
        <v>No</v>
      </c>
      <c r="AE1447" s="5" t="str">
        <f ca="1">IFERROR(__xludf.DUMMYFUNCTION("""COMPUTED_VALUE"""),"No")</f>
        <v>No</v>
      </c>
      <c r="AF1447" s="5" t="str">
        <f ca="1">IFERROR(__xludf.DUMMYFUNCTION("""COMPUTED_VALUE"""),"No")</f>
        <v>No</v>
      </c>
      <c r="AG1447" s="5" t="str">
        <f ca="1">IFERROR(__xludf.DUMMYFUNCTION("""COMPUTED_VALUE"""),"No")</f>
        <v>No</v>
      </c>
      <c r="AH1447" s="5" t="str">
        <f ca="1">IFERROR(__xludf.DUMMYFUNCTION("""COMPUTED_VALUE"""),"No")</f>
        <v>No</v>
      </c>
      <c r="AI1447" s="5" t="str">
        <f ca="1">IFERROR(__xludf.DUMMYFUNCTION("""COMPUTED_VALUE"""),"No")</f>
        <v>No</v>
      </c>
      <c r="AJ1447" s="5"/>
    </row>
    <row r="1448" spans="1:36" ht="13">
      <c r="A1448" s="5" t="str">
        <f ca="1">IFERROR(__xludf.DUMMYFUNCTION("""COMPUTED_VALUE"""),"20051116TXIRS")</f>
        <v>20051116TXIRS</v>
      </c>
      <c r="B1448" s="5">
        <f ca="1">IFERROR(__xludf.DUMMYFUNCTION("""COMPUTED_VALUE"""),11)</f>
        <v>11</v>
      </c>
      <c r="C1448" s="5">
        <f ca="1">IFERROR(__xludf.DUMMYFUNCTION("""COMPUTED_VALUE"""),16)</f>
        <v>16</v>
      </c>
      <c r="D1448" s="5">
        <f ca="1">IFERROR(__xludf.DUMMYFUNCTION("""COMPUTED_VALUE"""),2005)</f>
        <v>2005</v>
      </c>
      <c r="E1448" s="8">
        <f ca="1">IFERROR(__xludf.DUMMYFUNCTION("""COMPUTED_VALUE"""),38672)</f>
        <v>38672</v>
      </c>
      <c r="F1448" s="5" t="str">
        <f ca="1">IFERROR(__xludf.DUMMYFUNCTION("""COMPUTED_VALUE"""),"Irving Middle School")</f>
        <v>Irving Middle School</v>
      </c>
      <c r="G1448" s="5">
        <f ca="1">IFERROR(__xludf.DUMMYFUNCTION("""COMPUTED_VALUE"""),1)</f>
        <v>1</v>
      </c>
      <c r="H1448" s="5">
        <f ca="1">IFERROR(__xludf.DUMMYFUNCTION("""COMPUTED_VALUE"""),0)</f>
        <v>0</v>
      </c>
      <c r="I1448" s="5">
        <f ca="1">IFERROR(__xludf.DUMMYFUNCTION("""COMPUTED_VALUE"""),1)</f>
        <v>1</v>
      </c>
      <c r="J1448" s="5">
        <f ca="1">IFERROR(__xludf.DUMMYFUNCTION("""COMPUTED_VALUE"""),0)</f>
        <v>0</v>
      </c>
      <c r="K1448" s="9" t="str">
        <f ca="1">IFERROR(__xludf.DUMMYFUNCTION("""COMPUTED_VALUE"""),"http://www.kxii.com/home/headlines/1978757.html")</f>
        <v>http://www.kxii.com/home/headlines/1978757.html</v>
      </c>
      <c r="L1448" s="5"/>
      <c r="M1448" s="5"/>
      <c r="N1448" s="5">
        <f ca="1">IFERROR(__xludf.DUMMYFUNCTION("""COMPUTED_VALUE"""),2)</f>
        <v>2</v>
      </c>
      <c r="O1448" s="5" t="str">
        <f ca="1">IFERROR(__xludf.DUMMYFUNCTION("""COMPUTED_VALUE"""),"Fall")</f>
        <v>Fall</v>
      </c>
      <c r="P1448" s="5" t="str">
        <f ca="1">IFERROR(__xludf.DUMMYFUNCTION("""COMPUTED_VALUE"""),"San Antonio")</f>
        <v>San Antonio</v>
      </c>
      <c r="Q1448" s="5" t="str">
        <f ca="1">IFERROR(__xludf.DUMMYFUNCTION("""COMPUTED_VALUE"""),"TX")</f>
        <v>TX</v>
      </c>
      <c r="R1448" s="5" t="str">
        <f ca="1">IFERROR(__xludf.DUMMYFUNCTION("""COMPUTED_VALUE"""),"Middle")</f>
        <v>Middle</v>
      </c>
      <c r="S1448" s="5" t="str">
        <f ca="1">IFERROR(__xludf.DUMMYFUNCTION("""COMPUTED_VALUE"""),"Parking Lot")</f>
        <v>Parking Lot</v>
      </c>
      <c r="T1448" s="5" t="str">
        <f ca="1">IFERROR(__xludf.DUMMYFUNCTION("""COMPUTED_VALUE"""),"Outside on School Property")</f>
        <v>Outside on School Property</v>
      </c>
      <c r="U1448" s="5" t="str">
        <f ca="1">IFERROR(__xludf.DUMMYFUNCTION("""COMPUTED_VALUE"""),"Yes")</f>
        <v>Yes</v>
      </c>
      <c r="V1448" s="5"/>
      <c r="W1448" s="5"/>
      <c r="X1448" s="5">
        <f ca="1">IFERROR(__xludf.DUMMYFUNCTION("""COMPUTED_VALUE"""),1)</f>
        <v>1</v>
      </c>
      <c r="Y1448" s="5" t="str">
        <f ca="1">IFERROR(__xludf.DUMMYFUNCTION("""COMPUTED_VALUE"""),"Officer killed burglary suspect in parking lot")</f>
        <v>Officer killed burglary suspect in parking lot</v>
      </c>
      <c r="Z1448" s="5" t="str">
        <f ca="1">IFERROR(__xludf.DUMMYFUNCTION("""COMPUTED_VALUE"""),"Officer shot and killed burglary suspect in school parking lot. School locked down.")</f>
        <v>Officer shot and killed burglary suspect in school parking lot. School locked down.</v>
      </c>
      <c r="AA1448" s="5" t="str">
        <f ca="1">IFERROR(__xludf.DUMMYFUNCTION("""COMPUTED_VALUE"""),"Illegal Activity")</f>
        <v>Illegal Activity</v>
      </c>
      <c r="AB1448" s="5" t="str">
        <f ca="1">IFERROR(__xludf.DUMMYFUNCTION("""COMPUTED_VALUE"""),"Victims Targeted")</f>
        <v>Victims Targeted</v>
      </c>
      <c r="AC1448" s="5" t="str">
        <f ca="1">IFERROR(__xludf.DUMMYFUNCTION("""COMPUTED_VALUE"""),"No")</f>
        <v>No</v>
      </c>
      <c r="AD1448" s="5" t="str">
        <f ca="1">IFERROR(__xludf.DUMMYFUNCTION("""COMPUTED_VALUE"""),"No")</f>
        <v>No</v>
      </c>
      <c r="AE1448" s="5" t="str">
        <f ca="1">IFERROR(__xludf.DUMMYFUNCTION("""COMPUTED_VALUE"""),"No")</f>
        <v>No</v>
      </c>
      <c r="AF1448" s="5" t="str">
        <f ca="1">IFERROR(__xludf.DUMMYFUNCTION("""COMPUTED_VALUE"""),"Yes")</f>
        <v>Yes</v>
      </c>
      <c r="AG1448" s="5"/>
      <c r="AH1448" s="5"/>
      <c r="AI1448" s="5"/>
      <c r="AJ1448" s="5"/>
    </row>
    <row r="1449" spans="1:36" ht="13">
      <c r="A1449" s="5" t="str">
        <f ca="1">IFERROR(__xludf.DUMMYFUNCTION("""COMPUTED_VALUE"""),"20051115FLPAM")</f>
        <v>20051115FLPAM</v>
      </c>
      <c r="B1449" s="5">
        <f ca="1">IFERROR(__xludf.DUMMYFUNCTION("""COMPUTED_VALUE"""),11)</f>
        <v>11</v>
      </c>
      <c r="C1449" s="5">
        <f ca="1">IFERROR(__xludf.DUMMYFUNCTION("""COMPUTED_VALUE"""),15)</f>
        <v>15</v>
      </c>
      <c r="D1449" s="5">
        <f ca="1">IFERROR(__xludf.DUMMYFUNCTION("""COMPUTED_VALUE"""),2005)</f>
        <v>2005</v>
      </c>
      <c r="E1449" s="8">
        <f ca="1">IFERROR(__xludf.DUMMYFUNCTION("""COMPUTED_VALUE"""),38671)</f>
        <v>38671</v>
      </c>
      <c r="F1449" s="5" t="str">
        <f ca="1">IFERROR(__xludf.DUMMYFUNCTION("""COMPUTED_VALUE"""),"Parkway Academy Charter High School (bus)")</f>
        <v>Parkway Academy Charter High School (bus)</v>
      </c>
      <c r="G1449" s="5">
        <f ca="1">IFERROR(__xludf.DUMMYFUNCTION("""COMPUTED_VALUE"""),0)</f>
        <v>0</v>
      </c>
      <c r="H1449" s="5">
        <f ca="1">IFERROR(__xludf.DUMMYFUNCTION("""COMPUTED_VALUE"""),1)</f>
        <v>1</v>
      </c>
      <c r="I1449" s="5">
        <f ca="1">IFERROR(__xludf.DUMMYFUNCTION("""COMPUTED_VALUE"""),1)</f>
        <v>1</v>
      </c>
      <c r="J1449" s="5">
        <f ca="1">IFERROR(__xludf.DUMMYFUNCTION("""COMPUTED_VALUE"""),0)</f>
        <v>0</v>
      </c>
      <c r="K1449" s="9" t="str">
        <f ca="1">IFERROR(__xludf.DUMMYFUNCTION("""COMPUTED_VALUE"""),"http://www.cnn.com/2005/US/11/15/florida.shooting/index.html")</f>
        <v>http://www.cnn.com/2005/US/11/15/florida.shooting/index.html</v>
      </c>
      <c r="L1449" s="5"/>
      <c r="M1449" s="5"/>
      <c r="N1449" s="5">
        <f ca="1">IFERROR(__xludf.DUMMYFUNCTION("""COMPUTED_VALUE"""),2)</f>
        <v>2</v>
      </c>
      <c r="O1449" s="5" t="str">
        <f ca="1">IFERROR(__xludf.DUMMYFUNCTION("""COMPUTED_VALUE"""),"Fall")</f>
        <v>Fall</v>
      </c>
      <c r="P1449" s="5" t="str">
        <f ca="1">IFERROR(__xludf.DUMMYFUNCTION("""COMPUTED_VALUE"""),"Miramar")</f>
        <v>Miramar</v>
      </c>
      <c r="Q1449" s="5" t="str">
        <f ca="1">IFERROR(__xludf.DUMMYFUNCTION("""COMPUTED_VALUE"""),"FL")</f>
        <v>FL</v>
      </c>
      <c r="R1449" s="5" t="str">
        <f ca="1">IFERROR(__xludf.DUMMYFUNCTION("""COMPUTED_VALUE"""),"High")</f>
        <v>High</v>
      </c>
      <c r="S1449" s="5" t="str">
        <f ca="1">IFERROR(__xludf.DUMMYFUNCTION("""COMPUTED_VALUE"""),"School Bus")</f>
        <v>School Bus</v>
      </c>
      <c r="T1449" s="5" t="str">
        <f ca="1">IFERROR(__xludf.DUMMYFUNCTION("""COMPUTED_VALUE"""),"School Bus")</f>
        <v>School Bus</v>
      </c>
      <c r="U1449" s="5" t="str">
        <f ca="1">IFERROR(__xludf.DUMMYFUNCTION("""COMPUTED_VALUE"""),"Yes")</f>
        <v>Yes</v>
      </c>
      <c r="V1449" s="5" t="str">
        <f ca="1">IFERROR(__xludf.DUMMYFUNCTION("""COMPUTED_VALUE"""),"Before School")</f>
        <v>Before School</v>
      </c>
      <c r="W1449" s="10">
        <f ca="1">IFERROR(__xludf.DUMMYFUNCTION("""COMPUTED_VALUE"""),0.322916666666666)</f>
        <v>0.32291666666666602</v>
      </c>
      <c r="X1449" s="5">
        <f ca="1">IFERROR(__xludf.DUMMYFUNCTION("""COMPUTED_VALUE"""),1)</f>
        <v>1</v>
      </c>
      <c r="Y1449" s="5" t="str">
        <f ca="1">IFERROR(__xludf.DUMMYFUNCTION("""COMPUTED_VALUE"""),"Shooter shot victim on bus due to earlier confrontation")</f>
        <v>Shooter shot victim on bus due to earlier confrontation</v>
      </c>
      <c r="Z1449" s="5" t="str">
        <f ca="1">IFERROR(__xludf.DUMMYFUNCTION("""COMPUTED_VALUE"""),"Fight on a bus between 2 female students involved in ongoing conflict. 17YOF student shot another 17YOF student then fled the scene. She later turned herself in to police.")</f>
        <v>Fight on a bus between 2 female students involved in ongoing conflict. 17YOF student shot another 17YOF student then fled the scene. She later turned herself in to police.</v>
      </c>
      <c r="AA1449" s="5" t="str">
        <f ca="1">IFERROR(__xludf.DUMMYFUNCTION("""COMPUTED_VALUE"""),"Escalation of Dispute")</f>
        <v>Escalation of Dispute</v>
      </c>
      <c r="AB1449" s="5" t="str">
        <f ca="1">IFERROR(__xludf.DUMMYFUNCTION("""COMPUTED_VALUE"""),"Victims Targeted")</f>
        <v>Victims Targeted</v>
      </c>
      <c r="AC1449" s="5" t="str">
        <f ca="1">IFERROR(__xludf.DUMMYFUNCTION("""COMPUTED_VALUE"""),"No")</f>
        <v>No</v>
      </c>
      <c r="AD1449" s="5" t="str">
        <f ca="1">IFERROR(__xludf.DUMMYFUNCTION("""COMPUTED_VALUE"""),"No")</f>
        <v>No</v>
      </c>
      <c r="AE1449" s="5" t="str">
        <f ca="1">IFERROR(__xludf.DUMMYFUNCTION("""COMPUTED_VALUE"""),"No")</f>
        <v>No</v>
      </c>
      <c r="AF1449" s="5" t="str">
        <f ca="1">IFERROR(__xludf.DUMMYFUNCTION("""COMPUTED_VALUE"""),"No")</f>
        <v>No</v>
      </c>
      <c r="AG1449" s="5" t="str">
        <f ca="1">IFERROR(__xludf.DUMMYFUNCTION("""COMPUTED_VALUE"""),"No")</f>
        <v>No</v>
      </c>
      <c r="AH1449" s="5" t="str">
        <f ca="1">IFERROR(__xludf.DUMMYFUNCTION("""COMPUTED_VALUE"""),"No")</f>
        <v>No</v>
      </c>
      <c r="AI1449" s="5" t="str">
        <f ca="1">IFERROR(__xludf.DUMMYFUNCTION("""COMPUTED_VALUE"""),"No")</f>
        <v>No</v>
      </c>
      <c r="AJ1449" s="5"/>
    </row>
    <row r="1450" spans="1:36" ht="13">
      <c r="A1450" s="5" t="str">
        <f ca="1">IFERROR(__xludf.DUMMYFUNCTION("""COMPUTED_VALUE"""),"20051108TNCAJ")</f>
        <v>20051108TNCAJ</v>
      </c>
      <c r="B1450" s="5">
        <f ca="1">IFERROR(__xludf.DUMMYFUNCTION("""COMPUTED_VALUE"""),11)</f>
        <v>11</v>
      </c>
      <c r="C1450" s="5">
        <f ca="1">IFERROR(__xludf.DUMMYFUNCTION("""COMPUTED_VALUE"""),8)</f>
        <v>8</v>
      </c>
      <c r="D1450" s="5">
        <f ca="1">IFERROR(__xludf.DUMMYFUNCTION("""COMPUTED_VALUE"""),2005)</f>
        <v>2005</v>
      </c>
      <c r="E1450" s="8">
        <f ca="1">IFERROR(__xludf.DUMMYFUNCTION("""COMPUTED_VALUE"""),38664)</f>
        <v>38664</v>
      </c>
      <c r="F1450" s="5" t="str">
        <f ca="1">IFERROR(__xludf.DUMMYFUNCTION("""COMPUTED_VALUE"""),"Campbell County High School")</f>
        <v>Campbell County High School</v>
      </c>
      <c r="G1450" s="5">
        <f ca="1">IFERROR(__xludf.DUMMYFUNCTION("""COMPUTED_VALUE"""),1)</f>
        <v>1</v>
      </c>
      <c r="H1450" s="5">
        <f ca="1">IFERROR(__xludf.DUMMYFUNCTION("""COMPUTED_VALUE"""),2)</f>
        <v>2</v>
      </c>
      <c r="I1450" s="5">
        <f ca="1">IFERROR(__xludf.DUMMYFUNCTION("""COMPUTED_VALUE"""),3)</f>
        <v>3</v>
      </c>
      <c r="J1450" s="5">
        <f ca="1">IFERROR(__xludf.DUMMYFUNCTION("""COMPUTED_VALUE"""),0)</f>
        <v>0</v>
      </c>
      <c r="K1450" s="5" t="str">
        <f ca="1">IFERROR(__xludf.DUMMYFUNCTION("""COMPUTED_VALUE"""),"https://www.wate.com/news/top-stories/man-convicted-of-2005-shooting-at-campbell-county-high-school-now-arrested-for-assault-on-an-officer/ https://en.wikipedia.org/wiki/Campbell_County_High_School_shooting")</f>
        <v>https://www.wate.com/news/top-stories/man-convicted-of-2005-shooting-at-campbell-county-high-school-now-arrested-for-assault-on-an-officer/ https://en.wikipedia.org/wiki/Campbell_County_High_School_shooting</v>
      </c>
      <c r="L1450" s="5"/>
      <c r="M1450" s="5" t="str">
        <f ca="1">IFERROR(__xludf.DUMMYFUNCTION("""COMPUTED_VALUE"""),"National")</f>
        <v>National</v>
      </c>
      <c r="N1450" s="5">
        <f ca="1">IFERROR(__xludf.DUMMYFUNCTION("""COMPUTED_VALUE"""),5)</f>
        <v>5</v>
      </c>
      <c r="O1450" s="5" t="str">
        <f ca="1">IFERROR(__xludf.DUMMYFUNCTION("""COMPUTED_VALUE"""),"Fall")</f>
        <v>Fall</v>
      </c>
      <c r="P1450" s="5" t="str">
        <f ca="1">IFERROR(__xludf.DUMMYFUNCTION("""COMPUTED_VALUE"""),"Jacksboro, TN")</f>
        <v>Jacksboro, TN</v>
      </c>
      <c r="Q1450" s="5" t="str">
        <f ca="1">IFERROR(__xludf.DUMMYFUNCTION("""COMPUTED_VALUE"""),"TN")</f>
        <v>TN</v>
      </c>
      <c r="R1450" s="5" t="str">
        <f ca="1">IFERROR(__xludf.DUMMYFUNCTION("""COMPUTED_VALUE"""),"High")</f>
        <v>High</v>
      </c>
      <c r="S1450" s="5" t="str">
        <f ca="1">IFERROR(__xludf.DUMMYFUNCTION("""COMPUTED_VALUE"""),"Hallway")</f>
        <v>Hallway</v>
      </c>
      <c r="T1450" s="5" t="str">
        <f ca="1">IFERROR(__xludf.DUMMYFUNCTION("""COMPUTED_VALUE"""),"Inside School Building")</f>
        <v>Inside School Building</v>
      </c>
      <c r="U1450" s="5" t="str">
        <f ca="1">IFERROR(__xludf.DUMMYFUNCTION("""COMPUTED_VALUE"""),"Yes")</f>
        <v>Yes</v>
      </c>
      <c r="V1450" s="5" t="str">
        <f ca="1">IFERROR(__xludf.DUMMYFUNCTION("""COMPUTED_VALUE"""),"Afternoon Classes")</f>
        <v>Afternoon Classes</v>
      </c>
      <c r="W1450" s="10">
        <f ca="1">IFERROR(__xludf.DUMMYFUNCTION("""COMPUTED_VALUE"""),0.583333333333333)</f>
        <v>0.58333333333333304</v>
      </c>
      <c r="X1450" s="5">
        <f ca="1">IFERROR(__xludf.DUMMYFUNCTION("""COMPUTED_VALUE"""),1)</f>
        <v>1</v>
      </c>
      <c r="Y1450" s="5" t="str">
        <f ca="1">IFERROR(__xludf.DUMMYFUNCTION("""COMPUTED_VALUE"""),"Trading gun for RX drugs")</f>
        <v>Trading gun for RX drugs</v>
      </c>
      <c r="Z1450" s="5" t="str">
        <f ca="1">IFERROR(__xludf.DUMMYFUNCTION("""COMPUTED_VALUE"""),"Shooter stole a .22 handgun from his father and brought it to school to trade for RX drugs. A school administrator found out about the handgun and confronted the shooter. He shot at the principal and 2 other school employees then fled the scene. Shooter h"&amp;"ad snorted multiple xanax prior to the shooting. Shooter had been arrested previously for threatening his father with a firearm at his home and for a seperate assault. Shooter had history of drug and alcohol abuse.")</f>
        <v>Shooter stole a .22 handgun from his father and brought it to school to trade for RX drugs. A school administrator found out about the handgun and confronted the shooter. He shot at the principal and 2 other school employees then fled the scene. Shooter had snorted multiple xanax prior to the shooting. Shooter had been arrested previously for threatening his father with a firearm at his home and for a seperate assault. Shooter had history of drug and alcohol abuse.</v>
      </c>
      <c r="AA1450" s="5" t="str">
        <f ca="1">IFERROR(__xludf.DUMMYFUNCTION("""COMPUTED_VALUE"""),"Illegal Activity")</f>
        <v>Illegal Activity</v>
      </c>
      <c r="AB1450" s="5" t="str">
        <f ca="1">IFERROR(__xludf.DUMMYFUNCTION("""COMPUTED_VALUE"""),"Random Shooting")</f>
        <v>Random Shooting</v>
      </c>
      <c r="AC1450" s="5" t="str">
        <f ca="1">IFERROR(__xludf.DUMMYFUNCTION("""COMPUTED_VALUE"""),"No")</f>
        <v>No</v>
      </c>
      <c r="AD1450" s="5" t="str">
        <f ca="1">IFERROR(__xludf.DUMMYFUNCTION("""COMPUTED_VALUE"""),"No")</f>
        <v>No</v>
      </c>
      <c r="AE1450" s="5" t="str">
        <f ca="1">IFERROR(__xludf.DUMMYFUNCTION("""COMPUTED_VALUE"""),"No")</f>
        <v>No</v>
      </c>
      <c r="AF1450" s="5" t="str">
        <f ca="1">IFERROR(__xludf.DUMMYFUNCTION("""COMPUTED_VALUE"""),"No")</f>
        <v>No</v>
      </c>
      <c r="AG1450" s="5" t="str">
        <f ca="1">IFERROR(__xludf.DUMMYFUNCTION("""COMPUTED_VALUE"""),"No")</f>
        <v>No</v>
      </c>
      <c r="AH1450" s="5" t="str">
        <f ca="1">IFERROR(__xludf.DUMMYFUNCTION("""COMPUTED_VALUE"""),"No")</f>
        <v>No</v>
      </c>
      <c r="AI1450" s="5" t="str">
        <f ca="1">IFERROR(__xludf.DUMMYFUNCTION("""COMPUTED_VALUE"""),"No")</f>
        <v>No</v>
      </c>
      <c r="AJ1450" s="5" t="str">
        <f ca="1">IFERROR(__xludf.DUMMYFUNCTION("""COMPUTED_VALUE"""),"Yes")</f>
        <v>Yes</v>
      </c>
    </row>
    <row r="1451" spans="1:36" ht="13">
      <c r="A1451" s="5" t="str">
        <f ca="1">IFERROR(__xludf.DUMMYFUNCTION("""COMPUTED_VALUE"""),"20051028NYFAF")</f>
        <v>20051028NYFAF</v>
      </c>
      <c r="B1451" s="5">
        <f ca="1">IFERROR(__xludf.DUMMYFUNCTION("""COMPUTED_VALUE"""),10)</f>
        <v>10</v>
      </c>
      <c r="C1451" s="5">
        <f ca="1">IFERROR(__xludf.DUMMYFUNCTION("""COMPUTED_VALUE"""),28)</f>
        <v>28</v>
      </c>
      <c r="D1451" s="5">
        <f ca="1">IFERROR(__xludf.DUMMYFUNCTION("""COMPUTED_VALUE"""),2005)</f>
        <v>2005</v>
      </c>
      <c r="E1451" s="8">
        <f ca="1">IFERROR(__xludf.DUMMYFUNCTION("""COMPUTED_VALUE"""),38653)</f>
        <v>38653</v>
      </c>
      <c r="F1451" s="5" t="str">
        <f ca="1">IFERROR(__xludf.DUMMYFUNCTION("""COMPUTED_VALUE"""),"Farmingdale High School")</f>
        <v>Farmingdale High School</v>
      </c>
      <c r="G1451" s="5">
        <f ca="1">IFERROR(__xludf.DUMMYFUNCTION("""COMPUTED_VALUE"""),0)</f>
        <v>0</v>
      </c>
      <c r="H1451" s="5">
        <f ca="1">IFERROR(__xludf.DUMMYFUNCTION("""COMPUTED_VALUE"""),0)</f>
        <v>0</v>
      </c>
      <c r="I1451" s="5">
        <f ca="1">IFERROR(__xludf.DUMMYFUNCTION("""COMPUTED_VALUE"""),0)</f>
        <v>0</v>
      </c>
      <c r="J1451" s="5">
        <f ca="1">IFERROR(__xludf.DUMMYFUNCTION("""COMPUTED_VALUE"""),0)</f>
        <v>0</v>
      </c>
      <c r="K1451" s="9" t="str">
        <f ca="1">IFERROR(__xludf.DUMMYFUNCTION("""COMPUTED_VALUE"""),"http://plainedgechat.proboards.com/thread/23")</f>
        <v>http://plainedgechat.proboards.com/thread/23</v>
      </c>
      <c r="L1451" s="5"/>
      <c r="M1451" s="5"/>
      <c r="N1451" s="5">
        <f ca="1">IFERROR(__xludf.DUMMYFUNCTION("""COMPUTED_VALUE"""),1)</f>
        <v>1</v>
      </c>
      <c r="O1451" s="5" t="str">
        <f ca="1">IFERROR(__xludf.DUMMYFUNCTION("""COMPUTED_VALUE"""),"Fall")</f>
        <v>Fall</v>
      </c>
      <c r="P1451" s="5" t="str">
        <f ca="1">IFERROR(__xludf.DUMMYFUNCTION("""COMPUTED_VALUE"""),"Farmingdale")</f>
        <v>Farmingdale</v>
      </c>
      <c r="Q1451" s="5" t="str">
        <f ca="1">IFERROR(__xludf.DUMMYFUNCTION("""COMPUTED_VALUE"""),"NY")</f>
        <v>NY</v>
      </c>
      <c r="R1451" s="5" t="str">
        <f ca="1">IFERROR(__xludf.DUMMYFUNCTION("""COMPUTED_VALUE"""),"High")</f>
        <v>High</v>
      </c>
      <c r="S1451" s="5" t="str">
        <f ca="1">IFERROR(__xludf.DUMMYFUNCTION("""COMPUTED_VALUE"""),"Front of School")</f>
        <v>Front of School</v>
      </c>
      <c r="T1451" s="5" t="str">
        <f ca="1">IFERROR(__xludf.DUMMYFUNCTION("""COMPUTED_VALUE"""),"Outside on School Property")</f>
        <v>Outside on School Property</v>
      </c>
      <c r="U1451" s="5" t="str">
        <f ca="1">IFERROR(__xludf.DUMMYFUNCTION("""COMPUTED_VALUE"""),"No")</f>
        <v>No</v>
      </c>
      <c r="V1451" s="5" t="str">
        <f ca="1">IFERROR(__xludf.DUMMYFUNCTION("""COMPUTED_VALUE"""),"School Event")</f>
        <v>School Event</v>
      </c>
      <c r="W1451" s="10">
        <f ca="1">IFERROR(__xludf.DUMMYFUNCTION("""COMPUTED_VALUE"""),0.822916666666666)</f>
        <v>0.82291666666666596</v>
      </c>
      <c r="X1451" s="5">
        <f ca="1">IFERROR(__xludf.DUMMYFUNCTION("""COMPUTED_VALUE"""),1)</f>
        <v>1</v>
      </c>
      <c r="Y1451" s="5" t="str">
        <f ca="1">IFERROR(__xludf.DUMMYFUNCTION("""COMPUTED_VALUE"""),"Group of teens fired multiple shots at school security guard following fight in parking lot")</f>
        <v>Group of teens fired multiple shots at school security guard following fight in parking lot</v>
      </c>
      <c r="Z1451" s="5" t="str">
        <f ca="1">IFERROR(__xludf.DUMMYFUNCTION("""COMPUTED_VALUE"""),"Nassau police are looking for a group of attackers who shot a security guard's car after he followed them from a South Farmingdale High School pep rally. No one was injured in the shooting that occurred Friday at about 7:45 p.m. near the intersection of L"&amp;"incoln Street and Intervale Avenue, police said. Shortly after the football pep rally, the guard drove up to the group after he saw them arguing with students. As the guard approached, the group split up, got into three cars and drove off campus. The guar"&amp;"d, whose name wasn't released, followed them until they stopped at the intersection. The guard told police that the attackers got out of their cars and ran toward him before he heard gunshots. He was uninjured. It remained unclear if the group of men were"&amp;" students.")</f>
        <v>Nassau police are looking for a group of attackers who shot a security guard's car after he followed them from a South Farmingdale High School pep rally. No one was injured in the shooting that occurred Friday at about 7:45 p.m. near the intersection of Lincoln Street and Intervale Avenue, police said. Shortly after the football pep rally, the guard drove up to the group after he saw them arguing with students. As the guard approached, the group split up, got into three cars and drove off campus. The guard, whose name wasn't released, followed them until they stopped at the intersection. The guard told police that the attackers got out of their cars and ran toward him before he heard gunshots. He was uninjured. It remained unclear if the group of men were students.</v>
      </c>
      <c r="AA1451" s="5" t="str">
        <f ca="1">IFERROR(__xludf.DUMMYFUNCTION("""COMPUTED_VALUE"""),"Escalation of Dispute")</f>
        <v>Escalation of Dispute</v>
      </c>
      <c r="AB1451" s="5" t="str">
        <f ca="1">IFERROR(__xludf.DUMMYFUNCTION("""COMPUTED_VALUE"""),"Victims Targeted")</f>
        <v>Victims Targeted</v>
      </c>
      <c r="AC1451" s="5" t="str">
        <f ca="1">IFERROR(__xludf.DUMMYFUNCTION("""COMPUTED_VALUE"""),"Yes")</f>
        <v>Yes</v>
      </c>
      <c r="AD1451" s="5" t="str">
        <f ca="1">IFERROR(__xludf.DUMMYFUNCTION("""COMPUTED_VALUE"""),"No")</f>
        <v>No</v>
      </c>
      <c r="AE1451" s="5" t="str">
        <f ca="1">IFERROR(__xludf.DUMMYFUNCTION("""COMPUTED_VALUE"""),"No")</f>
        <v>No</v>
      </c>
      <c r="AF1451" s="5" t="str">
        <f ca="1">IFERROR(__xludf.DUMMYFUNCTION("""COMPUTED_VALUE"""),"No")</f>
        <v>No</v>
      </c>
      <c r="AG1451" s="5" t="str">
        <f ca="1">IFERROR(__xludf.DUMMYFUNCTION("""COMPUTED_VALUE"""),"No")</f>
        <v>No</v>
      </c>
      <c r="AH1451" s="5" t="str">
        <f ca="1">IFERROR(__xludf.DUMMYFUNCTION("""COMPUTED_VALUE"""),"No")</f>
        <v>No</v>
      </c>
      <c r="AI1451" s="5" t="str">
        <f ca="1">IFERROR(__xludf.DUMMYFUNCTION("""COMPUTED_VALUE"""),"No")</f>
        <v>No</v>
      </c>
      <c r="AJ1451" s="5"/>
    </row>
    <row r="1452" spans="1:36" ht="13">
      <c r="A1452" s="5" t="str">
        <f ca="1">IFERROR(__xludf.DUMMYFUNCTION("""COMPUTED_VALUE"""),"20051028MDANA")</f>
        <v>20051028MDANA</v>
      </c>
      <c r="B1452" s="5">
        <f ca="1">IFERROR(__xludf.DUMMYFUNCTION("""COMPUTED_VALUE"""),10)</f>
        <v>10</v>
      </c>
      <c r="C1452" s="5">
        <f ca="1">IFERROR(__xludf.DUMMYFUNCTION("""COMPUTED_VALUE"""),28)</f>
        <v>28</v>
      </c>
      <c r="D1452" s="5">
        <f ca="1">IFERROR(__xludf.DUMMYFUNCTION("""COMPUTED_VALUE"""),2005)</f>
        <v>2005</v>
      </c>
      <c r="E1452" s="8">
        <f ca="1">IFERROR(__xludf.DUMMYFUNCTION("""COMPUTED_VALUE"""),38653)</f>
        <v>38653</v>
      </c>
      <c r="F1452" s="5" t="str">
        <f ca="1">IFERROR(__xludf.DUMMYFUNCTION("""COMPUTED_VALUE"""),"Annapolis High School")</f>
        <v>Annapolis High School</v>
      </c>
      <c r="G1452" s="5">
        <f ca="1">IFERROR(__xludf.DUMMYFUNCTION("""COMPUTED_VALUE"""),0)</f>
        <v>0</v>
      </c>
      <c r="H1452" s="5">
        <f ca="1">IFERROR(__xludf.DUMMYFUNCTION("""COMPUTED_VALUE"""),1)</f>
        <v>1</v>
      </c>
      <c r="I1452" s="5">
        <f ca="1">IFERROR(__xludf.DUMMYFUNCTION("""COMPUTED_VALUE"""),1)</f>
        <v>1</v>
      </c>
      <c r="J1452" s="5">
        <f ca="1">IFERROR(__xludf.DUMMYFUNCTION("""COMPUTED_VALUE"""),0)</f>
        <v>0</v>
      </c>
      <c r="K1452" s="9" t="str">
        <f ca="1">IFERROR(__xludf.DUMMYFUNCTION("""COMPUTED_VALUE"""),"http://articles.baltimoresun.com/2005-10-30/news/0510300052_1_annapolis-shooting-was-accidental-charged-in-shooting")</f>
        <v>http://articles.baltimoresun.com/2005-10-30/news/0510300052_1_annapolis-shooting-was-accidental-charged-in-shooting</v>
      </c>
      <c r="L1452" s="5"/>
      <c r="M1452" s="5"/>
      <c r="N1452" s="5">
        <f ca="1">IFERROR(__xludf.DUMMYFUNCTION("""COMPUTED_VALUE"""),3)</f>
        <v>3</v>
      </c>
      <c r="O1452" s="5" t="str">
        <f ca="1">IFERROR(__xludf.DUMMYFUNCTION("""COMPUTED_VALUE"""),"Fall")</f>
        <v>Fall</v>
      </c>
      <c r="P1452" s="5" t="str">
        <f ca="1">IFERROR(__xludf.DUMMYFUNCTION("""COMPUTED_VALUE"""),"Annapolis")</f>
        <v>Annapolis</v>
      </c>
      <c r="Q1452" s="5" t="str">
        <f ca="1">IFERROR(__xludf.DUMMYFUNCTION("""COMPUTED_VALUE"""),"MD")</f>
        <v>MD</v>
      </c>
      <c r="R1452" s="5" t="str">
        <f ca="1">IFERROR(__xludf.DUMMYFUNCTION("""COMPUTED_VALUE"""),"High")</f>
        <v>High</v>
      </c>
      <c r="S1452" s="5" t="str">
        <f ca="1">IFERROR(__xludf.DUMMYFUNCTION("""COMPUTED_VALUE"""),"Football Field/Track")</f>
        <v>Football Field/Track</v>
      </c>
      <c r="T1452" s="5" t="str">
        <f ca="1">IFERROR(__xludf.DUMMYFUNCTION("""COMPUTED_VALUE"""),"Outside on School Property")</f>
        <v>Outside on School Property</v>
      </c>
      <c r="U1452" s="5" t="str">
        <f ca="1">IFERROR(__xludf.DUMMYFUNCTION("""COMPUTED_VALUE"""),"No")</f>
        <v>No</v>
      </c>
      <c r="V1452" s="5" t="str">
        <f ca="1">IFERROR(__xludf.DUMMYFUNCTION("""COMPUTED_VALUE"""),"Sport Event")</f>
        <v>Sport Event</v>
      </c>
      <c r="W1452" s="10">
        <f ca="1">IFERROR(__xludf.DUMMYFUNCTION("""COMPUTED_VALUE"""),0.854166666666666)</f>
        <v>0.85416666666666596</v>
      </c>
      <c r="X1452" s="5">
        <f ca="1">IFERROR(__xludf.DUMMYFUNCTION("""COMPUTED_VALUE"""),1)</f>
        <v>1</v>
      </c>
      <c r="Y1452" s="5" t="str">
        <f ca="1">IFERROR(__xludf.DUMMYFUNCTION("""COMPUTED_VALUE"""),"Bystander shot in leg during HS football game, student had gun in pocket")</f>
        <v>Bystander shot in leg during HS football game, student had gun in pocket</v>
      </c>
      <c r="Z1452" s="5" t="str">
        <f ca="1">IFERROR(__xludf.DUMMYFUNCTION("""COMPUTED_VALUE"""),"17YOM student had gun in pocket at football game. Discharged striking the leg of another student. Fled the scene. Found by a police dog.")</f>
        <v>17YOM student had gun in pocket at football game. Discharged striking the leg of another student. Fled the scene. Found by a police dog.</v>
      </c>
      <c r="AA1452" s="5" t="str">
        <f ca="1">IFERROR(__xludf.DUMMYFUNCTION("""COMPUTED_VALUE"""),"Accidental")</f>
        <v>Accidental</v>
      </c>
      <c r="AB1452" s="5" t="str">
        <f ca="1">IFERROR(__xludf.DUMMYFUNCTION("""COMPUTED_VALUE"""),"Random Shooting")</f>
        <v>Random Shooting</v>
      </c>
      <c r="AC1452" s="5" t="str">
        <f ca="1">IFERROR(__xludf.DUMMYFUNCTION("""COMPUTED_VALUE"""),"No")</f>
        <v>No</v>
      </c>
      <c r="AD1452" s="5" t="str">
        <f ca="1">IFERROR(__xludf.DUMMYFUNCTION("""COMPUTED_VALUE"""),"No")</f>
        <v>No</v>
      </c>
      <c r="AE1452" s="5" t="str">
        <f ca="1">IFERROR(__xludf.DUMMYFUNCTION("""COMPUTED_VALUE"""),"No")</f>
        <v>No</v>
      </c>
      <c r="AF1452" s="5" t="str">
        <f ca="1">IFERROR(__xludf.DUMMYFUNCTION("""COMPUTED_VALUE"""),"No")</f>
        <v>No</v>
      </c>
      <c r="AG1452" s="5" t="str">
        <f ca="1">IFERROR(__xludf.DUMMYFUNCTION("""COMPUTED_VALUE"""),"No")</f>
        <v>No</v>
      </c>
      <c r="AH1452" s="5" t="str">
        <f ca="1">IFERROR(__xludf.DUMMYFUNCTION("""COMPUTED_VALUE"""),"No")</f>
        <v>No</v>
      </c>
      <c r="AI1452" s="5" t="str">
        <f ca="1">IFERROR(__xludf.DUMMYFUNCTION("""COMPUTED_VALUE"""),"No")</f>
        <v>No</v>
      </c>
      <c r="AJ1452" s="5"/>
    </row>
    <row r="1453" spans="1:36" ht="13">
      <c r="A1453" s="5" t="str">
        <f ca="1">IFERROR(__xludf.DUMMYFUNCTION("""COMPUTED_VALUE"""),"20051027CABIF")</f>
        <v>20051027CABIF</v>
      </c>
      <c r="B1453" s="5">
        <f ca="1">IFERROR(__xludf.DUMMYFUNCTION("""COMPUTED_VALUE"""),10)</f>
        <v>10</v>
      </c>
      <c r="C1453" s="5">
        <f ca="1">IFERROR(__xludf.DUMMYFUNCTION("""COMPUTED_VALUE"""),27)</f>
        <v>27</v>
      </c>
      <c r="D1453" s="5">
        <f ca="1">IFERROR(__xludf.DUMMYFUNCTION("""COMPUTED_VALUE"""),2005)</f>
        <v>2005</v>
      </c>
      <c r="E1453" s="8">
        <f ca="1">IFERROR(__xludf.DUMMYFUNCTION("""COMPUTED_VALUE"""),38652)</f>
        <v>38652</v>
      </c>
      <c r="F1453" s="5" t="str">
        <f ca="1">IFERROR(__xludf.DUMMYFUNCTION("""COMPUTED_VALUE"""),"Birney Elementary School")</f>
        <v>Birney Elementary School</v>
      </c>
      <c r="G1453" s="5">
        <f ca="1">IFERROR(__xludf.DUMMYFUNCTION("""COMPUTED_VALUE"""),1)</f>
        <v>1</v>
      </c>
      <c r="H1453" s="5">
        <f ca="1">IFERROR(__xludf.DUMMYFUNCTION("""COMPUTED_VALUE"""),0)</f>
        <v>0</v>
      </c>
      <c r="I1453" s="5">
        <f ca="1">IFERROR(__xludf.DUMMYFUNCTION("""COMPUTED_VALUE"""),1)</f>
        <v>1</v>
      </c>
      <c r="J1453" s="5">
        <f ca="1">IFERROR(__xludf.DUMMYFUNCTION("""COMPUTED_VALUE"""),0)</f>
        <v>0</v>
      </c>
      <c r="K1453" s="5" t="str">
        <f ca="1">IFERROR(__xludf.DUMMYFUNCTION("""COMPUTED_VALUE"""),"https://www.newspapers.com/image/284992541/?terms=keith%2Bbreazell  http://www.streetgangs.com/news/071808-police-break-up#sthash.3zWvGUuu.dpbs")</f>
        <v>https://www.newspapers.com/image/284992541/?terms=keith%2Bbreazell  http://www.streetgangs.com/news/071808-police-break-up#sthash.3zWvGUuu.dpbs</v>
      </c>
      <c r="L1453" s="5"/>
      <c r="M1453" s="5"/>
      <c r="N1453" s="5">
        <f ca="1">IFERROR(__xludf.DUMMYFUNCTION("""COMPUTED_VALUE"""),3)</f>
        <v>3</v>
      </c>
      <c r="O1453" s="5" t="str">
        <f ca="1">IFERROR(__xludf.DUMMYFUNCTION("""COMPUTED_VALUE"""),"Fall")</f>
        <v>Fall</v>
      </c>
      <c r="P1453" s="5" t="str">
        <f ca="1">IFERROR(__xludf.DUMMYFUNCTION("""COMPUTED_VALUE"""),"Fresno")</f>
        <v>Fresno</v>
      </c>
      <c r="Q1453" s="5" t="str">
        <f ca="1">IFERROR(__xludf.DUMMYFUNCTION("""COMPUTED_VALUE"""),"CA")</f>
        <v>CA</v>
      </c>
      <c r="R1453" s="5" t="str">
        <f ca="1">IFERROR(__xludf.DUMMYFUNCTION("""COMPUTED_VALUE"""),"Elementary")</f>
        <v>Elementary</v>
      </c>
      <c r="S1453" s="5" t="str">
        <f ca="1">IFERROR(__xludf.DUMMYFUNCTION("""COMPUTED_VALUE"""),"Parking Lot")</f>
        <v>Parking Lot</v>
      </c>
      <c r="T1453" s="5" t="str">
        <f ca="1">IFERROR(__xludf.DUMMYFUNCTION("""COMPUTED_VALUE"""),"Outside on School Property")</f>
        <v>Outside on School Property</v>
      </c>
      <c r="U1453" s="5" t="str">
        <f ca="1">IFERROR(__xludf.DUMMYFUNCTION("""COMPUTED_VALUE"""),"Yes")</f>
        <v>Yes</v>
      </c>
      <c r="V1453" s="5"/>
      <c r="W1453" s="5"/>
      <c r="X1453" s="5">
        <f ca="1">IFERROR(__xludf.DUMMYFUNCTION("""COMPUTED_VALUE"""),1)</f>
        <v>1</v>
      </c>
      <c r="Y1453" s="5" t="str">
        <f ca="1">IFERROR(__xludf.DUMMYFUNCTION("""COMPUTED_VALUE"""),"Victim shot in parking lot of elementary school where son attended - gang related")</f>
        <v>Victim shot in parking lot of elementary school where son attended - gang related</v>
      </c>
      <c r="Z1453" s="5" t="str">
        <f ca="1">IFERROR(__xludf.DUMMYFUNCTION("""COMPUTED_VALUE"""),"37 year old victim - known Villa Posse gang member, was approached in parking lot of his 5-year old son's elementary school - victim shot in torso - later died - suspect still at large.")</f>
        <v>37 year old victim - known Villa Posse gang member, was approached in parking lot of his 5-year old son's elementary school - victim shot in torso - later died - suspect still at large.</v>
      </c>
      <c r="AA1453" s="5" t="str">
        <f ca="1">IFERROR(__xludf.DUMMYFUNCTION("""COMPUTED_VALUE"""),"Escalation of Dispute")</f>
        <v>Escalation of Dispute</v>
      </c>
      <c r="AB1453" s="5" t="str">
        <f ca="1">IFERROR(__xludf.DUMMYFUNCTION("""COMPUTED_VALUE"""),"Victims Targeted")</f>
        <v>Victims Targeted</v>
      </c>
      <c r="AC1453" s="5" t="str">
        <f ca="1">IFERROR(__xludf.DUMMYFUNCTION("""COMPUTED_VALUE"""),"No")</f>
        <v>No</v>
      </c>
      <c r="AD1453" s="5" t="str">
        <f ca="1">IFERROR(__xludf.DUMMYFUNCTION("""COMPUTED_VALUE"""),"No")</f>
        <v>No</v>
      </c>
      <c r="AE1453" s="5" t="str">
        <f ca="1">IFERROR(__xludf.DUMMYFUNCTION("""COMPUTED_VALUE"""),"No")</f>
        <v>No</v>
      </c>
      <c r="AF1453" s="5" t="str">
        <f ca="1">IFERROR(__xludf.DUMMYFUNCTION("""COMPUTED_VALUE"""),"No")</f>
        <v>No</v>
      </c>
      <c r="AG1453" s="5" t="str">
        <f ca="1">IFERROR(__xludf.DUMMYFUNCTION("""COMPUTED_VALUE"""),"No")</f>
        <v>No</v>
      </c>
      <c r="AH1453" s="5" t="str">
        <f ca="1">IFERROR(__xludf.DUMMYFUNCTION("""COMPUTED_VALUE"""),"No")</f>
        <v>No</v>
      </c>
      <c r="AI1453" s="5" t="str">
        <f ca="1">IFERROR(__xludf.DUMMYFUNCTION("""COMPUTED_VALUE"""),"Yes")</f>
        <v>Yes</v>
      </c>
      <c r="AJ1453" s="5"/>
    </row>
    <row r="1454" spans="1:36" ht="13">
      <c r="A1454" s="5" t="str">
        <f ca="1">IFERROR(__xludf.DUMMYFUNCTION("""COMPUTED_VALUE"""),"20051020MISAS")</f>
        <v>20051020MISAS</v>
      </c>
      <c r="B1454" s="5">
        <f ca="1">IFERROR(__xludf.DUMMYFUNCTION("""COMPUTED_VALUE"""),10)</f>
        <v>10</v>
      </c>
      <c r="C1454" s="5">
        <f ca="1">IFERROR(__xludf.DUMMYFUNCTION("""COMPUTED_VALUE"""),20)</f>
        <v>20</v>
      </c>
      <c r="D1454" s="5">
        <f ca="1">IFERROR(__xludf.DUMMYFUNCTION("""COMPUTED_VALUE"""),2005)</f>
        <v>2005</v>
      </c>
      <c r="E1454" s="8">
        <f ca="1">IFERROR(__xludf.DUMMYFUNCTION("""COMPUTED_VALUE"""),38645)</f>
        <v>38645</v>
      </c>
      <c r="F1454" s="5" t="str">
        <f ca="1">IFERROR(__xludf.DUMMYFUNCTION("""COMPUTED_VALUE"""),"Saginaw High School")</f>
        <v>Saginaw High School</v>
      </c>
      <c r="G1454" s="5">
        <f ca="1">IFERROR(__xludf.DUMMYFUNCTION("""COMPUTED_VALUE"""),0)</f>
        <v>0</v>
      </c>
      <c r="H1454" s="5">
        <f ca="1">IFERROR(__xludf.DUMMYFUNCTION("""COMPUTED_VALUE"""),1)</f>
        <v>1</v>
      </c>
      <c r="I1454" s="5">
        <f ca="1">IFERROR(__xludf.DUMMYFUNCTION("""COMPUTED_VALUE"""),1)</f>
        <v>1</v>
      </c>
      <c r="J1454" s="5">
        <f ca="1">IFERROR(__xludf.DUMMYFUNCTION("""COMPUTED_VALUE"""),0)</f>
        <v>0</v>
      </c>
      <c r="K1454" s="9" t="str">
        <f ca="1">IFERROR(__xludf.DUMMYFUNCTION("""COMPUTED_VALUE"""),"https://www.michigandaily.com/content/school-shooting-injures-student")</f>
        <v>https://www.michigandaily.com/content/school-shooting-injures-student</v>
      </c>
      <c r="L1454" s="5"/>
      <c r="M1454" s="5"/>
      <c r="N1454" s="5">
        <f ca="1">IFERROR(__xludf.DUMMYFUNCTION("""COMPUTED_VALUE"""),2)</f>
        <v>2</v>
      </c>
      <c r="O1454" s="5" t="str">
        <f ca="1">IFERROR(__xludf.DUMMYFUNCTION("""COMPUTED_VALUE"""),"Fall")</f>
        <v>Fall</v>
      </c>
      <c r="P1454" s="5" t="str">
        <f ca="1">IFERROR(__xludf.DUMMYFUNCTION("""COMPUTED_VALUE"""),"Saginaw")</f>
        <v>Saginaw</v>
      </c>
      <c r="Q1454" s="5" t="str">
        <f ca="1">IFERROR(__xludf.DUMMYFUNCTION("""COMPUTED_VALUE"""),"MI")</f>
        <v>MI</v>
      </c>
      <c r="R1454" s="5" t="str">
        <f ca="1">IFERROR(__xludf.DUMMYFUNCTION("""COMPUTED_VALUE"""),"High")</f>
        <v>High</v>
      </c>
      <c r="S1454" s="5" t="str">
        <f ca="1">IFERROR(__xludf.DUMMYFUNCTION("""COMPUTED_VALUE"""),"Office")</f>
        <v>Office</v>
      </c>
      <c r="T1454" s="5" t="str">
        <f ca="1">IFERROR(__xludf.DUMMYFUNCTION("""COMPUTED_VALUE"""),"Inside School Building")</f>
        <v>Inside School Building</v>
      </c>
      <c r="U1454" s="5" t="str">
        <f ca="1">IFERROR(__xludf.DUMMYFUNCTION("""COMPUTED_VALUE"""),"Yes")</f>
        <v>Yes</v>
      </c>
      <c r="V1454" s="5" t="str">
        <f ca="1">IFERROR(__xludf.DUMMYFUNCTION("""COMPUTED_VALUE"""),"Lunch")</f>
        <v>Lunch</v>
      </c>
      <c r="W1454" s="10">
        <f ca="1">IFERROR(__xludf.DUMMYFUNCTION("""COMPUTED_VALUE"""),0.5)</f>
        <v>0.5</v>
      </c>
      <c r="X1454" s="5">
        <f ca="1">IFERROR(__xludf.DUMMYFUNCTION("""COMPUTED_VALUE"""),1)</f>
        <v>1</v>
      </c>
      <c r="Y1454" s="5" t="str">
        <f ca="1">IFERROR(__xludf.DUMMYFUNCTION("""COMPUTED_VALUE"""),"15 year old shooter opened fire in cafeteria striking another student in chest")</f>
        <v>15 year old shooter opened fire in cafeteria striking another student in chest</v>
      </c>
      <c r="Z1454" s="5" t="str">
        <f ca="1">IFERROR(__xludf.DUMMYFUNCTION("""COMPUTED_VALUE"""),"Two 15 year old students who knew each other in juvenile detention were involved in a conflict that left one student shot in the chest. The shooter fled but was caught by the school security and the gun was recovered.")</f>
        <v>Two 15 year old students who knew each other in juvenile detention were involved in a conflict that left one student shot in the chest. The shooter fled but was caught by the school security and the gun was recovered.</v>
      </c>
      <c r="AA1454" s="5" t="str">
        <f ca="1">IFERROR(__xludf.DUMMYFUNCTION("""COMPUTED_VALUE"""),"Escalation of Dispute")</f>
        <v>Escalation of Dispute</v>
      </c>
      <c r="AB1454" s="5" t="str">
        <f ca="1">IFERROR(__xludf.DUMMYFUNCTION("""COMPUTED_VALUE"""),"Victims Targeted")</f>
        <v>Victims Targeted</v>
      </c>
      <c r="AC1454" s="5" t="str">
        <f ca="1">IFERROR(__xludf.DUMMYFUNCTION("""COMPUTED_VALUE"""),"No")</f>
        <v>No</v>
      </c>
      <c r="AD1454" s="5" t="str">
        <f ca="1">IFERROR(__xludf.DUMMYFUNCTION("""COMPUTED_VALUE"""),"No")</f>
        <v>No</v>
      </c>
      <c r="AE1454" s="5" t="str">
        <f ca="1">IFERROR(__xludf.DUMMYFUNCTION("""COMPUTED_VALUE"""),"No")</f>
        <v>No</v>
      </c>
      <c r="AF1454" s="5" t="str">
        <f ca="1">IFERROR(__xludf.DUMMYFUNCTION("""COMPUTED_VALUE"""),"No")</f>
        <v>No</v>
      </c>
      <c r="AG1454" s="5"/>
      <c r="AH1454" s="5" t="str">
        <f ca="1">IFERROR(__xludf.DUMMYFUNCTION("""COMPUTED_VALUE"""),"No")</f>
        <v>No</v>
      </c>
      <c r="AI1454" s="5" t="str">
        <f ca="1">IFERROR(__xludf.DUMMYFUNCTION("""COMPUTED_VALUE"""),"Yes")</f>
        <v>Yes</v>
      </c>
      <c r="AJ1454" s="5"/>
    </row>
    <row r="1455" spans="1:36" ht="13">
      <c r="A1455" s="5" t="str">
        <f ca="1">IFERROR(__xludf.DUMMYFUNCTION("""COMPUTED_VALUE"""),"20051019CASAS")</f>
        <v>20051019CASAS</v>
      </c>
      <c r="B1455" s="5">
        <f ca="1">IFERROR(__xludf.DUMMYFUNCTION("""COMPUTED_VALUE"""),10)</f>
        <v>10</v>
      </c>
      <c r="C1455" s="5">
        <f ca="1">IFERROR(__xludf.DUMMYFUNCTION("""COMPUTED_VALUE"""),19)</f>
        <v>19</v>
      </c>
      <c r="D1455" s="5">
        <f ca="1">IFERROR(__xludf.DUMMYFUNCTION("""COMPUTED_VALUE"""),2005)</f>
        <v>2005</v>
      </c>
      <c r="E1455" s="8">
        <f ca="1">IFERROR(__xludf.DUMMYFUNCTION("""COMPUTED_VALUE"""),38644)</f>
        <v>38644</v>
      </c>
      <c r="F1455" s="5" t="str">
        <f ca="1">IFERROR(__xludf.DUMMYFUNCTION("""COMPUTED_VALUE"""),"San Gorgonio High School")</f>
        <v>San Gorgonio High School</v>
      </c>
      <c r="G1455" s="5">
        <f ca="1">IFERROR(__xludf.DUMMYFUNCTION("""COMPUTED_VALUE"""),0)</f>
        <v>0</v>
      </c>
      <c r="H1455" s="5">
        <f ca="1">IFERROR(__xludf.DUMMYFUNCTION("""COMPUTED_VALUE"""),1)</f>
        <v>1</v>
      </c>
      <c r="I1455" s="5">
        <f ca="1">IFERROR(__xludf.DUMMYFUNCTION("""COMPUTED_VALUE"""),1)</f>
        <v>1</v>
      </c>
      <c r="J1455" s="5">
        <f ca="1">IFERROR(__xludf.DUMMYFUNCTION("""COMPUTED_VALUE"""),0)</f>
        <v>0</v>
      </c>
      <c r="K1455" s="9" t="str">
        <f ca="1">IFERROR(__xludf.DUMMYFUNCTION("""COMPUTED_VALUE"""),"http://articles.latimes.com/2005/oct/20/local/me-iebrief20")</f>
        <v>http://articles.latimes.com/2005/oct/20/local/me-iebrief20</v>
      </c>
      <c r="L1455" s="5"/>
      <c r="M1455" s="5"/>
      <c r="N1455" s="5">
        <f ca="1">IFERROR(__xludf.DUMMYFUNCTION("""COMPUTED_VALUE"""),2)</f>
        <v>2</v>
      </c>
      <c r="O1455" s="5" t="str">
        <f ca="1">IFERROR(__xludf.DUMMYFUNCTION("""COMPUTED_VALUE"""),"Fall")</f>
        <v>Fall</v>
      </c>
      <c r="P1455" s="5" t="str">
        <f ca="1">IFERROR(__xludf.DUMMYFUNCTION("""COMPUTED_VALUE"""),"San Bernardino")</f>
        <v>San Bernardino</v>
      </c>
      <c r="Q1455" s="5" t="str">
        <f ca="1">IFERROR(__xludf.DUMMYFUNCTION("""COMPUTED_VALUE"""),"CA")</f>
        <v>CA</v>
      </c>
      <c r="R1455" s="5" t="str">
        <f ca="1">IFERROR(__xludf.DUMMYFUNCTION("""COMPUTED_VALUE"""),"High")</f>
        <v>High</v>
      </c>
      <c r="S1455" s="5" t="str">
        <f ca="1">IFERROR(__xludf.DUMMYFUNCTION("""COMPUTED_VALUE"""),"Parking Lot")</f>
        <v>Parking Lot</v>
      </c>
      <c r="T1455" s="5" t="str">
        <f ca="1">IFERROR(__xludf.DUMMYFUNCTION("""COMPUTED_VALUE"""),"Outside on School Property")</f>
        <v>Outside on School Property</v>
      </c>
      <c r="U1455" s="5" t="str">
        <f ca="1">IFERROR(__xludf.DUMMYFUNCTION("""COMPUTED_VALUE"""),"Yes")</f>
        <v>Yes</v>
      </c>
      <c r="V1455" s="5" t="str">
        <f ca="1">IFERROR(__xludf.DUMMYFUNCTION("""COMPUTED_VALUE"""),"School Start")</f>
        <v>School Start</v>
      </c>
      <c r="W1455" s="10">
        <f ca="1">IFERROR(__xludf.DUMMYFUNCTION("""COMPUTED_VALUE"""),0.319444444444444)</f>
        <v>0.31944444444444398</v>
      </c>
      <c r="X1455" s="5">
        <f ca="1">IFERROR(__xludf.DUMMYFUNCTION("""COMPUTED_VALUE"""),1)</f>
        <v>1</v>
      </c>
      <c r="Y1455" s="5" t="str">
        <f ca="1">IFERROR(__xludf.DUMMYFUNCTION("""COMPUTED_VALUE"""),"Student shot in school parking lot as part of Ongoing conflict")</f>
        <v>Student shot in school parking lot as part of Ongoing conflict</v>
      </c>
      <c r="Z1455" s="5" t="str">
        <f ca="1">IFERROR(__xludf.DUMMYFUNCTION("""COMPUTED_VALUE"""),"16YOM was shot in the parking lot by a 17YOM who got out of vehicle and then fled in the same vehicle. Shooter and the victim knew each other and had Ongoing dispute.")</f>
        <v>16YOM was shot in the parking lot by a 17YOM who got out of vehicle and then fled in the same vehicle. Shooter and the victim knew each other and had Ongoing dispute.</v>
      </c>
      <c r="AA1455" s="5" t="str">
        <f ca="1">IFERROR(__xludf.DUMMYFUNCTION("""COMPUTED_VALUE"""),"Escalation of Dispute")</f>
        <v>Escalation of Dispute</v>
      </c>
      <c r="AB1455" s="5" t="str">
        <f ca="1">IFERROR(__xludf.DUMMYFUNCTION("""COMPUTED_VALUE"""),"Victims Targeted")</f>
        <v>Victims Targeted</v>
      </c>
      <c r="AC1455" s="5" t="str">
        <f ca="1">IFERROR(__xludf.DUMMYFUNCTION("""COMPUTED_VALUE"""),"Yes")</f>
        <v>Yes</v>
      </c>
      <c r="AD1455" s="5" t="str">
        <f ca="1">IFERROR(__xludf.DUMMYFUNCTION("""COMPUTED_VALUE"""),"No")</f>
        <v>No</v>
      </c>
      <c r="AE1455" s="5" t="str">
        <f ca="1">IFERROR(__xludf.DUMMYFUNCTION("""COMPUTED_VALUE"""),"No")</f>
        <v>No</v>
      </c>
      <c r="AF1455" s="5" t="str">
        <f ca="1">IFERROR(__xludf.DUMMYFUNCTION("""COMPUTED_VALUE"""),"No")</f>
        <v>No</v>
      </c>
      <c r="AG1455" s="5" t="str">
        <f ca="1">IFERROR(__xludf.DUMMYFUNCTION("""COMPUTED_VALUE"""),"No")</f>
        <v>No</v>
      </c>
      <c r="AH1455" s="5" t="str">
        <f ca="1">IFERROR(__xludf.DUMMYFUNCTION("""COMPUTED_VALUE"""),"No")</f>
        <v>No</v>
      </c>
      <c r="AI1455" s="5" t="str">
        <f ca="1">IFERROR(__xludf.DUMMYFUNCTION("""COMPUTED_VALUE"""),"No")</f>
        <v>No</v>
      </c>
      <c r="AJ1455" s="5"/>
    </row>
    <row r="1456" spans="1:36" ht="13">
      <c r="A1456" s="5" t="str">
        <f ca="1">IFERROR(__xludf.DUMMYFUNCTION("""COMPUTED_VALUE"""),"20051014NYSAN")</f>
        <v>20051014NYSAN</v>
      </c>
      <c r="B1456" s="5">
        <f ca="1">IFERROR(__xludf.DUMMYFUNCTION("""COMPUTED_VALUE"""),10)</f>
        <v>10</v>
      </c>
      <c r="C1456" s="5">
        <f ca="1">IFERROR(__xludf.DUMMYFUNCTION("""COMPUTED_VALUE"""),14)</f>
        <v>14</v>
      </c>
      <c r="D1456" s="5">
        <f ca="1">IFERROR(__xludf.DUMMYFUNCTION("""COMPUTED_VALUE"""),2005)</f>
        <v>2005</v>
      </c>
      <c r="E1456" s="8">
        <f ca="1">IFERROR(__xludf.DUMMYFUNCTION("""COMPUTED_VALUE"""),38639)</f>
        <v>38639</v>
      </c>
      <c r="F1456" s="5" t="str">
        <f ca="1">IFERROR(__xludf.DUMMYFUNCTION("""COMPUTED_VALUE"""),"Samula Tilden High School")</f>
        <v>Samula Tilden High School</v>
      </c>
      <c r="G1456" s="5">
        <f ca="1">IFERROR(__xludf.DUMMYFUNCTION("""COMPUTED_VALUE"""),0)</f>
        <v>0</v>
      </c>
      <c r="H1456" s="5">
        <f ca="1">IFERROR(__xludf.DUMMYFUNCTION("""COMPUTED_VALUE"""),1)</f>
        <v>1</v>
      </c>
      <c r="I1456" s="5">
        <f ca="1">IFERROR(__xludf.DUMMYFUNCTION("""COMPUTED_VALUE"""),1)</f>
        <v>1</v>
      </c>
      <c r="J1456" s="5">
        <f ca="1">IFERROR(__xludf.DUMMYFUNCTION("""COMPUTED_VALUE"""),0)</f>
        <v>0</v>
      </c>
      <c r="K1456" s="9" t="str">
        <f ca="1">IFERROR(__xludf.DUMMYFUNCTION("""COMPUTED_VALUE"""),"https://nypost.com/2005/10/15/teen-shot-in-hs-madness-leg-hurt-by-punk-at-school/")</f>
        <v>https://nypost.com/2005/10/15/teen-shot-in-hs-madness-leg-hurt-by-punk-at-school/</v>
      </c>
      <c r="L1456" s="5"/>
      <c r="M1456" s="5"/>
      <c r="N1456" s="5">
        <f ca="1">IFERROR(__xludf.DUMMYFUNCTION("""COMPUTED_VALUE"""),2)</f>
        <v>2</v>
      </c>
      <c r="O1456" s="5" t="str">
        <f ca="1">IFERROR(__xludf.DUMMYFUNCTION("""COMPUTED_VALUE"""),"Fall")</f>
        <v>Fall</v>
      </c>
      <c r="P1456" s="5" t="str">
        <f ca="1">IFERROR(__xludf.DUMMYFUNCTION("""COMPUTED_VALUE"""),"New York")</f>
        <v>New York</v>
      </c>
      <c r="Q1456" s="5" t="str">
        <f ca="1">IFERROR(__xludf.DUMMYFUNCTION("""COMPUTED_VALUE"""),"NY")</f>
        <v>NY</v>
      </c>
      <c r="R1456" s="5" t="str">
        <f ca="1">IFERROR(__xludf.DUMMYFUNCTION("""COMPUTED_VALUE"""),"High")</f>
        <v>High</v>
      </c>
      <c r="S1456" s="5" t="str">
        <f ca="1">IFERROR(__xludf.DUMMYFUNCTION("""COMPUTED_VALUE"""),"Beside Building")</f>
        <v>Beside Building</v>
      </c>
      <c r="T1456" s="5" t="str">
        <f ca="1">IFERROR(__xludf.DUMMYFUNCTION("""COMPUTED_VALUE"""),"Outside on School Property")</f>
        <v>Outside on School Property</v>
      </c>
      <c r="U1456" s="5" t="str">
        <f ca="1">IFERROR(__xludf.DUMMYFUNCTION("""COMPUTED_VALUE"""),"Yes")</f>
        <v>Yes</v>
      </c>
      <c r="V1456" s="5" t="str">
        <f ca="1">IFERROR(__xludf.DUMMYFUNCTION("""COMPUTED_VALUE"""),"Morning Classes")</f>
        <v>Morning Classes</v>
      </c>
      <c r="W1456" s="10">
        <f ca="1">IFERROR(__xludf.DUMMYFUNCTION("""COMPUTED_VALUE"""),0.385416666666666)</f>
        <v>0.38541666666666602</v>
      </c>
      <c r="X1456" s="5">
        <f ca="1">IFERROR(__xludf.DUMMYFUNCTION("""COMPUTED_VALUE"""),1)</f>
        <v>1</v>
      </c>
      <c r="Y1456" s="5" t="str">
        <f ca="1">IFERROR(__xludf.DUMMYFUNCTION("""COMPUTED_VALUE"""),"Student shot during fight with 6 other students")</f>
        <v>Student shot during fight with 6 other students</v>
      </c>
      <c r="Z1456" s="5" t="str">
        <f ca="1">IFERROR(__xludf.DUMMYFUNCTION("""COMPUTED_VALUE"""),"16YOM student was approached by a group of 6 students outside of the school. During the fight, he was shot in the leg and the group of teens fled. Police said it was not related to gang activity.")</f>
        <v>16YOM student was approached by a group of 6 students outside of the school. During the fight, he was shot in the leg and the group of teens fled. Police said it was not related to gang activity.</v>
      </c>
      <c r="AA1456" s="5" t="str">
        <f ca="1">IFERROR(__xludf.DUMMYFUNCTION("""COMPUTED_VALUE"""),"Escalation of Dispute")</f>
        <v>Escalation of Dispute</v>
      </c>
      <c r="AB1456" s="5" t="str">
        <f ca="1">IFERROR(__xludf.DUMMYFUNCTION("""COMPUTED_VALUE"""),"Victims Targeted")</f>
        <v>Victims Targeted</v>
      </c>
      <c r="AC1456" s="5" t="str">
        <f ca="1">IFERROR(__xludf.DUMMYFUNCTION("""COMPUTED_VALUE"""),"Yes")</f>
        <v>Yes</v>
      </c>
      <c r="AD1456" s="5" t="str">
        <f ca="1">IFERROR(__xludf.DUMMYFUNCTION("""COMPUTED_VALUE"""),"No")</f>
        <v>No</v>
      </c>
      <c r="AE1456" s="5" t="str">
        <f ca="1">IFERROR(__xludf.DUMMYFUNCTION("""COMPUTED_VALUE"""),"No")</f>
        <v>No</v>
      </c>
      <c r="AF1456" s="5" t="str">
        <f ca="1">IFERROR(__xludf.DUMMYFUNCTION("""COMPUTED_VALUE"""),"No")</f>
        <v>No</v>
      </c>
      <c r="AG1456" s="5" t="str">
        <f ca="1">IFERROR(__xludf.DUMMYFUNCTION("""COMPUTED_VALUE"""),"No")</f>
        <v>No</v>
      </c>
      <c r="AH1456" s="5" t="str">
        <f ca="1">IFERROR(__xludf.DUMMYFUNCTION("""COMPUTED_VALUE"""),"No")</f>
        <v>No</v>
      </c>
      <c r="AI1456" s="5" t="str">
        <f ca="1">IFERROR(__xludf.DUMMYFUNCTION("""COMPUTED_VALUE"""),"No")</f>
        <v>No</v>
      </c>
      <c r="AJ1456" s="5"/>
    </row>
    <row r="1457" spans="1:36" ht="13">
      <c r="A1457" s="5" t="str">
        <f ca="1">IFERROR(__xludf.DUMMYFUNCTION("""COMPUTED_VALUE"""),"20051011MIFAF")</f>
        <v>20051011MIFAF</v>
      </c>
      <c r="B1457" s="5">
        <f ca="1">IFERROR(__xludf.DUMMYFUNCTION("""COMPUTED_VALUE"""),10)</f>
        <v>10</v>
      </c>
      <c r="C1457" s="5">
        <f ca="1">IFERROR(__xludf.DUMMYFUNCTION("""COMPUTED_VALUE"""),11)</f>
        <v>11</v>
      </c>
      <c r="D1457" s="5">
        <f ca="1">IFERROR(__xludf.DUMMYFUNCTION("""COMPUTED_VALUE"""),2005)</f>
        <v>2005</v>
      </c>
      <c r="E1457" s="8">
        <f ca="1">IFERROR(__xludf.DUMMYFUNCTION("""COMPUTED_VALUE"""),38636)</f>
        <v>38636</v>
      </c>
      <c r="F1457" s="5" t="str">
        <f ca="1">IFERROR(__xludf.DUMMYFUNCTION("""COMPUTED_VALUE"""),"Farmington High School")</f>
        <v>Farmington High School</v>
      </c>
      <c r="G1457" s="5">
        <f ca="1">IFERROR(__xludf.DUMMYFUNCTION("""COMPUTED_VALUE"""),0)</f>
        <v>0</v>
      </c>
      <c r="H1457" s="5">
        <f ca="1">IFERROR(__xludf.DUMMYFUNCTION("""COMPUTED_VALUE"""),0)</f>
        <v>0</v>
      </c>
      <c r="I1457" s="5">
        <f ca="1">IFERROR(__xludf.DUMMYFUNCTION("""COMPUTED_VALUE"""),0)</f>
        <v>0</v>
      </c>
      <c r="J1457" s="5">
        <f ca="1">IFERROR(__xludf.DUMMYFUNCTION("""COMPUTED_VALUE"""),0)</f>
        <v>0</v>
      </c>
      <c r="K1457" s="9" t="str">
        <f ca="1">IFERROR(__xludf.DUMMYFUNCTION("""COMPUTED_VALUE"""),"https://dailyjournalonline.com/news/local/farmington-youth-is-headed-for-prison/article_c56ed328-1d5d-5ef6-82a8-d88ae950e9e3.html")</f>
        <v>https://dailyjournalonline.com/news/local/farmington-youth-is-headed-for-prison/article_c56ed328-1d5d-5ef6-82a8-d88ae950e9e3.html</v>
      </c>
      <c r="L1457" s="5"/>
      <c r="M1457" s="5"/>
      <c r="N1457" s="5">
        <f ca="1">IFERROR(__xludf.DUMMYFUNCTION("""COMPUTED_VALUE"""),2)</f>
        <v>2</v>
      </c>
      <c r="O1457" s="5" t="str">
        <f ca="1">IFERROR(__xludf.DUMMYFUNCTION("""COMPUTED_VALUE"""),"Fall")</f>
        <v>Fall</v>
      </c>
      <c r="P1457" s="5" t="str">
        <f ca="1">IFERROR(__xludf.DUMMYFUNCTION("""COMPUTED_VALUE"""),"Farmington")</f>
        <v>Farmington</v>
      </c>
      <c r="Q1457" s="5" t="str">
        <f ca="1">IFERROR(__xludf.DUMMYFUNCTION("""COMPUTED_VALUE"""),"MI")</f>
        <v>MI</v>
      </c>
      <c r="R1457" s="5" t="str">
        <f ca="1">IFERROR(__xludf.DUMMYFUNCTION("""COMPUTED_VALUE"""),"High")</f>
        <v>High</v>
      </c>
      <c r="S1457" s="5" t="str">
        <f ca="1">IFERROR(__xludf.DUMMYFUNCTION("""COMPUTED_VALUE"""),"Bathroom")</f>
        <v>Bathroom</v>
      </c>
      <c r="T1457" s="5" t="str">
        <f ca="1">IFERROR(__xludf.DUMMYFUNCTION("""COMPUTED_VALUE"""),"Inside School Building")</f>
        <v>Inside School Building</v>
      </c>
      <c r="U1457" s="5" t="str">
        <f ca="1">IFERROR(__xludf.DUMMYFUNCTION("""COMPUTED_VALUE"""),"Yes")</f>
        <v>Yes</v>
      </c>
      <c r="V1457" s="5" t="str">
        <f ca="1">IFERROR(__xludf.DUMMYFUNCTION("""COMPUTED_VALUE"""),"School Start")</f>
        <v>School Start</v>
      </c>
      <c r="W1457" s="10">
        <f ca="1">IFERROR(__xludf.DUMMYFUNCTION("""COMPUTED_VALUE"""),0.333333333333333)</f>
        <v>0.33333333333333298</v>
      </c>
      <c r="X1457" s="5">
        <f ca="1">IFERROR(__xludf.DUMMYFUNCTION("""COMPUTED_VALUE"""),1)</f>
        <v>1</v>
      </c>
      <c r="Y1457" s="5" t="str">
        <f ca="1">IFERROR(__xludf.DUMMYFUNCTION("""COMPUTED_VALUE"""),"Fired shot into ceiling then surrendered to school administrator")</f>
        <v>Fired shot into ceiling then surrendered to school administrator</v>
      </c>
      <c r="Z1457" s="5" t="str">
        <f ca="1">IFERROR(__xludf.DUMMYFUNCTION("""COMPUTED_VALUE"""),"17YOM dressed all in black with mask and took disassembled shotgun in bag into bathroom. When shooter put the gun together, other students told him that they didn't believe it was a real gun. Shooter fired into the ceiling and students fled. School princi"&amp;"pal heard the shot, ran to the bathroom, and ordered shooter to surrender. The shooter put down the gun and the principal subdued him. Principal said the shooter has multiple mental health issues and believed the incident was an attempted suicide or cry f"&amp;"or help but other students were not in danger.")</f>
        <v>17YOM dressed all in black with mask and took disassembled shotgun in bag into bathroom. When shooter put the gun together, other students told him that they didn't believe it was a real gun. Shooter fired into the ceiling and students fled. School principal heard the shot, ran to the bathroom, and ordered shooter to surrender. The shooter put down the gun and the principal subdued him. Principal said the shooter has multiple mental health issues and believed the incident was an attempted suicide or cry for help but other students were not in danger.</v>
      </c>
      <c r="AA1457" s="5" t="str">
        <f ca="1">IFERROR(__xludf.DUMMYFUNCTION("""COMPUTED_VALUE"""),"Psychosis")</f>
        <v>Psychosis</v>
      </c>
      <c r="AB1457" s="5" t="str">
        <f ca="1">IFERROR(__xludf.DUMMYFUNCTION("""COMPUTED_VALUE"""),"Neither")</f>
        <v>Neither</v>
      </c>
      <c r="AC1457" s="5" t="str">
        <f ca="1">IFERROR(__xludf.DUMMYFUNCTION("""COMPUTED_VALUE"""),"No")</f>
        <v>No</v>
      </c>
      <c r="AD1457" s="5" t="str">
        <f ca="1">IFERROR(__xludf.DUMMYFUNCTION("""COMPUTED_VALUE"""),"No")</f>
        <v>No</v>
      </c>
      <c r="AE1457" s="5" t="str">
        <f ca="1">IFERROR(__xludf.DUMMYFUNCTION("""COMPUTED_VALUE"""),"No")</f>
        <v>No</v>
      </c>
      <c r="AF1457" s="5" t="str">
        <f ca="1">IFERROR(__xludf.DUMMYFUNCTION("""COMPUTED_VALUE"""),"No")</f>
        <v>No</v>
      </c>
      <c r="AG1457" s="5"/>
      <c r="AH1457" s="5"/>
      <c r="AI1457" s="5" t="str">
        <f ca="1">IFERROR(__xludf.DUMMYFUNCTION("""COMPUTED_VALUE"""),"No")</f>
        <v>No</v>
      </c>
      <c r="AJ1457" s="5" t="str">
        <f ca="1">IFERROR(__xludf.DUMMYFUNCTION("""COMPUTED_VALUE"""),"Yes")</f>
        <v>Yes</v>
      </c>
    </row>
    <row r="1458" spans="1:36" ht="13">
      <c r="A1458" s="5" t="str">
        <f ca="1">IFERROR(__xludf.DUMMYFUNCTION("""COMPUTED_VALUE"""),"20050924MISAS")</f>
        <v>20050924MISAS</v>
      </c>
      <c r="B1458" s="5">
        <f ca="1">IFERROR(__xludf.DUMMYFUNCTION("""COMPUTED_VALUE"""),9)</f>
        <v>9</v>
      </c>
      <c r="C1458" s="5">
        <f ca="1">IFERROR(__xludf.DUMMYFUNCTION("""COMPUTED_VALUE"""),24)</f>
        <v>24</v>
      </c>
      <c r="D1458" s="5">
        <f ca="1">IFERROR(__xludf.DUMMYFUNCTION("""COMPUTED_VALUE"""),2005)</f>
        <v>2005</v>
      </c>
      <c r="E1458" s="8">
        <f ca="1">IFERROR(__xludf.DUMMYFUNCTION("""COMPUTED_VALUE"""),38619)</f>
        <v>38619</v>
      </c>
      <c r="F1458" s="5" t="str">
        <f ca="1">IFERROR(__xludf.DUMMYFUNCTION("""COMPUTED_VALUE"""),"Saginaw High School")</f>
        <v>Saginaw High School</v>
      </c>
      <c r="G1458" s="5">
        <f ca="1">IFERROR(__xludf.DUMMYFUNCTION("""COMPUTED_VALUE"""),0)</f>
        <v>0</v>
      </c>
      <c r="H1458" s="5">
        <f ca="1">IFERROR(__xludf.DUMMYFUNCTION("""COMPUTED_VALUE"""),2)</f>
        <v>2</v>
      </c>
      <c r="I1458" s="5">
        <f ca="1">IFERROR(__xludf.DUMMYFUNCTION("""COMPUTED_VALUE"""),2)</f>
        <v>2</v>
      </c>
      <c r="J1458" s="5">
        <f ca="1">IFERROR(__xludf.DUMMYFUNCTION("""COMPUTED_VALUE"""),0)</f>
        <v>0</v>
      </c>
      <c r="K1458" s="9" t="str">
        <f ca="1">IFERROR(__xludf.DUMMYFUNCTION("""COMPUTED_VALUE"""),"https://www.newspapers.com/image/442838812/?terms=SAGINAW%2BDRIVE-BY%2BSHOOTING")</f>
        <v>https://www.newspapers.com/image/442838812/?terms=SAGINAW%2BDRIVE-BY%2BSHOOTING</v>
      </c>
      <c r="L1458" s="5"/>
      <c r="M1458" s="5"/>
      <c r="N1458" s="5">
        <f ca="1">IFERROR(__xludf.DUMMYFUNCTION("""COMPUTED_VALUE"""),2)</f>
        <v>2</v>
      </c>
      <c r="O1458" s="5" t="str">
        <f ca="1">IFERROR(__xludf.DUMMYFUNCTION("""COMPUTED_VALUE"""),"Fall")</f>
        <v>Fall</v>
      </c>
      <c r="P1458" s="5" t="str">
        <f ca="1">IFERROR(__xludf.DUMMYFUNCTION("""COMPUTED_VALUE"""),"Saginaw")</f>
        <v>Saginaw</v>
      </c>
      <c r="Q1458" s="5" t="str">
        <f ca="1">IFERROR(__xludf.DUMMYFUNCTION("""COMPUTED_VALUE"""),"MI")</f>
        <v>MI</v>
      </c>
      <c r="R1458" s="5" t="str">
        <f ca="1">IFERROR(__xludf.DUMMYFUNCTION("""COMPUTED_VALUE"""),"High")</f>
        <v>High</v>
      </c>
      <c r="S1458" s="5" t="str">
        <f ca="1">IFERROR(__xludf.DUMMYFUNCTION("""COMPUTED_VALUE"""),"Beside Building")</f>
        <v>Beside Building</v>
      </c>
      <c r="T1458" s="5" t="str">
        <f ca="1">IFERROR(__xludf.DUMMYFUNCTION("""COMPUTED_VALUE"""),"Outside on School Property")</f>
        <v>Outside on School Property</v>
      </c>
      <c r="U1458" s="5" t="str">
        <f ca="1">IFERROR(__xludf.DUMMYFUNCTION("""COMPUTED_VALUE"""),"No")</f>
        <v>No</v>
      </c>
      <c r="V1458" s="5" t="str">
        <f ca="1">IFERROR(__xludf.DUMMYFUNCTION("""COMPUTED_VALUE"""),"School Event")</f>
        <v>School Event</v>
      </c>
      <c r="W1458" s="10">
        <f ca="1">IFERROR(__xludf.DUMMYFUNCTION("""COMPUTED_VALUE"""),0.979166666666666)</f>
        <v>0.97916666666666596</v>
      </c>
      <c r="X1458" s="5">
        <f ca="1">IFERROR(__xludf.DUMMYFUNCTION("""COMPUTED_VALUE"""),1)</f>
        <v>1</v>
      </c>
      <c r="Y1458" s="5" t="str">
        <f ca="1">IFERROR(__xludf.DUMMYFUNCTION("""COMPUTED_VALUE"""),"Drive-by shooting. Possible feud or gang escalation")</f>
        <v>Drive-by shooting. Possible feud or gang escalation</v>
      </c>
      <c r="Z1458" s="5" t="str">
        <f ca="1">IFERROR(__xludf.DUMMYFUNCTION("""COMPUTED_VALUE"""),"Drive-by shooting when hundreds of students left homecoming dance. 15YOM shot in leg and 14YOF shot in shoulder.")</f>
        <v>Drive-by shooting when hundreds of students left homecoming dance. 15YOM shot in leg and 14YOF shot in shoulder.</v>
      </c>
      <c r="AA1458" s="5" t="str">
        <f ca="1">IFERROR(__xludf.DUMMYFUNCTION("""COMPUTED_VALUE"""),"Drive-by Shooting")</f>
        <v>Drive-by Shooting</v>
      </c>
      <c r="AB1458" s="5"/>
      <c r="AC1458" s="5" t="str">
        <f ca="1">IFERROR(__xludf.DUMMYFUNCTION("""COMPUTED_VALUE"""),"No")</f>
        <v>No</v>
      </c>
      <c r="AD1458" s="5" t="str">
        <f ca="1">IFERROR(__xludf.DUMMYFUNCTION("""COMPUTED_VALUE"""),"No")</f>
        <v>No</v>
      </c>
      <c r="AE1458" s="5" t="str">
        <f ca="1">IFERROR(__xludf.DUMMYFUNCTION("""COMPUTED_VALUE"""),"No")</f>
        <v>No</v>
      </c>
      <c r="AF1458" s="5" t="str">
        <f ca="1">IFERROR(__xludf.DUMMYFUNCTION("""COMPUTED_VALUE"""),"No")</f>
        <v>No</v>
      </c>
      <c r="AG1458" s="5" t="str">
        <f ca="1">IFERROR(__xludf.DUMMYFUNCTION("""COMPUTED_VALUE"""),"No")</f>
        <v>No</v>
      </c>
      <c r="AH1458" s="5" t="str">
        <f ca="1">IFERROR(__xludf.DUMMYFUNCTION("""COMPUTED_VALUE"""),"No")</f>
        <v>No</v>
      </c>
      <c r="AI1458" s="5" t="str">
        <f ca="1">IFERROR(__xludf.DUMMYFUNCTION("""COMPUTED_VALUE"""),"Yes")</f>
        <v>Yes</v>
      </c>
      <c r="AJ1458" s="5"/>
    </row>
    <row r="1459" spans="1:36" ht="13">
      <c r="A1459" s="5" t="str">
        <f ca="1">IFERROR(__xludf.DUMMYFUNCTION("""COMPUTED_VALUE"""),"20050913ILHAC")</f>
        <v>20050913ILHAC</v>
      </c>
      <c r="B1459" s="5">
        <f ca="1">IFERROR(__xludf.DUMMYFUNCTION("""COMPUTED_VALUE"""),9)</f>
        <v>9</v>
      </c>
      <c r="C1459" s="5">
        <f ca="1">IFERROR(__xludf.DUMMYFUNCTION("""COMPUTED_VALUE"""),13)</f>
        <v>13</v>
      </c>
      <c r="D1459" s="5">
        <f ca="1">IFERROR(__xludf.DUMMYFUNCTION("""COMPUTED_VALUE"""),2005)</f>
        <v>2005</v>
      </c>
      <c r="E1459" s="8">
        <f ca="1">IFERROR(__xludf.DUMMYFUNCTION("""COMPUTED_VALUE"""),38608)</f>
        <v>38608</v>
      </c>
      <c r="F1459" s="5" t="str">
        <f ca="1">IFERROR(__xludf.DUMMYFUNCTION("""COMPUTED_VALUE"""),"Harlan Community Academy High School")</f>
        <v>Harlan Community Academy High School</v>
      </c>
      <c r="G1459" s="5">
        <f ca="1">IFERROR(__xludf.DUMMYFUNCTION("""COMPUTED_VALUE"""),0)</f>
        <v>0</v>
      </c>
      <c r="H1459" s="5">
        <f ca="1">IFERROR(__xludf.DUMMYFUNCTION("""COMPUTED_VALUE"""),1)</f>
        <v>1</v>
      </c>
      <c r="I1459" s="5">
        <f ca="1">IFERROR(__xludf.DUMMYFUNCTION("""COMPUTED_VALUE"""),1)</f>
        <v>1</v>
      </c>
      <c r="J1459" s="5">
        <f ca="1">IFERROR(__xludf.DUMMYFUNCTION("""COMPUTED_VALUE"""),0)</f>
        <v>0</v>
      </c>
      <c r="K1459" s="9" t="str">
        <f ca="1">IFERROR(__xludf.DUMMYFUNCTION("""COMPUTED_VALUE"""),"http://articles.chicagotribune.com/2005-09-14/news/0509140261_1_student-chicago-public-schools-initial-fight")</f>
        <v>http://articles.chicagotribune.com/2005-09-14/news/0509140261_1_student-chicago-public-schools-initial-fight</v>
      </c>
      <c r="L1459" s="5"/>
      <c r="M1459" s="5"/>
      <c r="N1459" s="5">
        <f ca="1">IFERROR(__xludf.DUMMYFUNCTION("""COMPUTED_VALUE"""),2)</f>
        <v>2</v>
      </c>
      <c r="O1459" s="5" t="str">
        <f ca="1">IFERROR(__xludf.DUMMYFUNCTION("""COMPUTED_VALUE"""),"Fall")</f>
        <v>Fall</v>
      </c>
      <c r="P1459" s="5" t="str">
        <f ca="1">IFERROR(__xludf.DUMMYFUNCTION("""COMPUTED_VALUE"""),"Chicago")</f>
        <v>Chicago</v>
      </c>
      <c r="Q1459" s="5" t="str">
        <f ca="1">IFERROR(__xludf.DUMMYFUNCTION("""COMPUTED_VALUE"""),"IL")</f>
        <v>IL</v>
      </c>
      <c r="R1459" s="5" t="str">
        <f ca="1">IFERROR(__xludf.DUMMYFUNCTION("""COMPUTED_VALUE"""),"High")</f>
        <v>High</v>
      </c>
      <c r="S1459" s="5" t="str">
        <f ca="1">IFERROR(__xludf.DUMMYFUNCTION("""COMPUTED_VALUE"""),"Hallway")</f>
        <v>Hallway</v>
      </c>
      <c r="T1459" s="5" t="str">
        <f ca="1">IFERROR(__xludf.DUMMYFUNCTION("""COMPUTED_VALUE"""),"Inside School Building")</f>
        <v>Inside School Building</v>
      </c>
      <c r="U1459" s="5" t="str">
        <f ca="1">IFERROR(__xludf.DUMMYFUNCTION("""COMPUTED_VALUE"""),"Yes")</f>
        <v>Yes</v>
      </c>
      <c r="V1459" s="5" t="str">
        <f ca="1">IFERROR(__xludf.DUMMYFUNCTION("""COMPUTED_VALUE"""),"Dismissal")</f>
        <v>Dismissal</v>
      </c>
      <c r="W1459" s="10">
        <f ca="1">IFERROR(__xludf.DUMMYFUNCTION("""COMPUTED_VALUE"""),0.597222222222222)</f>
        <v>0.59722222222222199</v>
      </c>
      <c r="X1459" s="5">
        <f ca="1">IFERROR(__xludf.DUMMYFUNCTION("""COMPUTED_VALUE"""),1)</f>
        <v>1</v>
      </c>
      <c r="Y1459" s="5" t="str">
        <f ca="1">IFERROR(__xludf.DUMMYFUNCTION("""COMPUTED_VALUE"""),"Fight involving multiple students at end of day")</f>
        <v>Fight involving multiple students at end of day</v>
      </c>
      <c r="Z1459" s="5" t="str">
        <f ca="1">IFERROR(__xludf.DUMMYFUNCTION("""COMPUTED_VALUE"""),"Fight occured at the end of the school day between multiple students. During the fight, the shooter fired a .25 handgun striking another student in the foot. A police officer assigned to the school immediately arrested the shooter.")</f>
        <v>Fight occured at the end of the school day between multiple students. During the fight, the shooter fired a .25 handgun striking another student in the foot. A police officer assigned to the school immediately arrested the shooter.</v>
      </c>
      <c r="AA1459" s="5" t="str">
        <f ca="1">IFERROR(__xludf.DUMMYFUNCTION("""COMPUTED_VALUE"""),"Escalation of Dispute")</f>
        <v>Escalation of Dispute</v>
      </c>
      <c r="AB1459" s="5" t="str">
        <f ca="1">IFERROR(__xludf.DUMMYFUNCTION("""COMPUTED_VALUE"""),"Victims Targeted")</f>
        <v>Victims Targeted</v>
      </c>
      <c r="AC1459" s="5" t="str">
        <f ca="1">IFERROR(__xludf.DUMMYFUNCTION("""COMPUTED_VALUE"""),"No")</f>
        <v>No</v>
      </c>
      <c r="AD1459" s="5" t="str">
        <f ca="1">IFERROR(__xludf.DUMMYFUNCTION("""COMPUTED_VALUE"""),"No")</f>
        <v>No</v>
      </c>
      <c r="AE1459" s="5" t="str">
        <f ca="1">IFERROR(__xludf.DUMMYFUNCTION("""COMPUTED_VALUE"""),"No")</f>
        <v>No</v>
      </c>
      <c r="AF1459" s="5" t="str">
        <f ca="1">IFERROR(__xludf.DUMMYFUNCTION("""COMPUTED_VALUE"""),"No")</f>
        <v>No</v>
      </c>
      <c r="AG1459" s="5"/>
      <c r="AH1459" s="5" t="str">
        <f ca="1">IFERROR(__xludf.DUMMYFUNCTION("""COMPUTED_VALUE"""),"No")</f>
        <v>No</v>
      </c>
      <c r="AI1459" s="5" t="str">
        <f ca="1">IFERROR(__xludf.DUMMYFUNCTION("""COMPUTED_VALUE"""),"No")</f>
        <v>No</v>
      </c>
      <c r="AJ1459" s="5"/>
    </row>
    <row r="1460" spans="1:36" ht="13">
      <c r="A1460" s="5" t="str">
        <f ca="1">IFERROR(__xludf.DUMMYFUNCTION("""COMPUTED_VALUE"""),"20050902FLSOJ")</f>
        <v>20050902FLSOJ</v>
      </c>
      <c r="B1460" s="5">
        <f ca="1">IFERROR(__xludf.DUMMYFUNCTION("""COMPUTED_VALUE"""),9)</f>
        <v>9</v>
      </c>
      <c r="C1460" s="5">
        <f ca="1">IFERROR(__xludf.DUMMYFUNCTION("""COMPUTED_VALUE"""),2)</f>
        <v>2</v>
      </c>
      <c r="D1460" s="5">
        <f ca="1">IFERROR(__xludf.DUMMYFUNCTION("""COMPUTED_VALUE"""),2005)</f>
        <v>2005</v>
      </c>
      <c r="E1460" s="8">
        <f ca="1">IFERROR(__xludf.DUMMYFUNCTION("""COMPUTED_VALUE"""),38597)</f>
        <v>38597</v>
      </c>
      <c r="F1460" s="5" t="str">
        <f ca="1">IFERROR(__xludf.DUMMYFUNCTION("""COMPUTED_VALUE"""),"Sojourner Truth High School")</f>
        <v>Sojourner Truth High School</v>
      </c>
      <c r="G1460" s="5">
        <f ca="1">IFERROR(__xludf.DUMMYFUNCTION("""COMPUTED_VALUE"""),0)</f>
        <v>0</v>
      </c>
      <c r="H1460" s="5">
        <f ca="1">IFERROR(__xludf.DUMMYFUNCTION("""COMPUTED_VALUE"""),1)</f>
        <v>1</v>
      </c>
      <c r="I1460" s="5">
        <f ca="1">IFERROR(__xludf.DUMMYFUNCTION("""COMPUTED_VALUE"""),1)</f>
        <v>1</v>
      </c>
      <c r="J1460" s="5">
        <f ca="1">IFERROR(__xludf.DUMMYFUNCTION("""COMPUTED_VALUE"""),0)</f>
        <v>0</v>
      </c>
      <c r="K1460" s="9" t="str">
        <f ca="1">IFERROR(__xludf.DUMMYFUNCTION("""COMPUTED_VALUE"""),"https://www.questia.com/newspaper/1G1-136174022/student-shot-at-school-police-say-the-shooting-was")</f>
        <v>https://www.questia.com/newspaper/1G1-136174022/student-shot-at-school-police-say-the-shooting-was</v>
      </c>
      <c r="L1460" s="5"/>
      <c r="M1460" s="5"/>
      <c r="N1460" s="5">
        <f ca="1">IFERROR(__xludf.DUMMYFUNCTION("""COMPUTED_VALUE"""),2)</f>
        <v>2</v>
      </c>
      <c r="O1460" s="5" t="str">
        <f ca="1">IFERROR(__xludf.DUMMYFUNCTION("""COMPUTED_VALUE"""),"Fall")</f>
        <v>Fall</v>
      </c>
      <c r="P1460" s="5" t="str">
        <f ca="1">IFERROR(__xludf.DUMMYFUNCTION("""COMPUTED_VALUE"""),"Jacksonville")</f>
        <v>Jacksonville</v>
      </c>
      <c r="Q1460" s="5" t="str">
        <f ca="1">IFERROR(__xludf.DUMMYFUNCTION("""COMPUTED_VALUE"""),"FL")</f>
        <v>FL</v>
      </c>
      <c r="R1460" s="5" t="str">
        <f ca="1">IFERROR(__xludf.DUMMYFUNCTION("""COMPUTED_VALUE"""),"High")</f>
        <v>High</v>
      </c>
      <c r="S1460" s="5" t="str">
        <f ca="1">IFERROR(__xludf.DUMMYFUNCTION("""COMPUTED_VALUE"""),"Beside Building")</f>
        <v>Beside Building</v>
      </c>
      <c r="T1460" s="5" t="str">
        <f ca="1">IFERROR(__xludf.DUMMYFUNCTION("""COMPUTED_VALUE"""),"Outside on School Property")</f>
        <v>Outside on School Property</v>
      </c>
      <c r="U1460" s="5" t="str">
        <f ca="1">IFERROR(__xludf.DUMMYFUNCTION("""COMPUTED_VALUE"""),"Yes")</f>
        <v>Yes</v>
      </c>
      <c r="V1460" s="5" t="str">
        <f ca="1">IFERROR(__xludf.DUMMYFUNCTION("""COMPUTED_VALUE"""),"Dismissal")</f>
        <v>Dismissal</v>
      </c>
      <c r="W1460" s="10">
        <f ca="1">IFERROR(__xludf.DUMMYFUNCTION("""COMPUTED_VALUE"""),0.534722222222222)</f>
        <v>0.53472222222222199</v>
      </c>
      <c r="X1460" s="5">
        <f ca="1">IFERROR(__xludf.DUMMYFUNCTION("""COMPUTED_VALUE"""),1)</f>
        <v>1</v>
      </c>
      <c r="Y1460" s="5" t="str">
        <f ca="1">IFERROR(__xludf.DUMMYFUNCTION("""COMPUTED_VALUE"""),"Shooting stemmed from misunderstanding over a girl")</f>
        <v>Shooting stemmed from misunderstanding over a girl</v>
      </c>
      <c r="Z1460" s="5" t="str">
        <f ca="1">IFERROR(__xludf.DUMMYFUNCTION("""COMPUTED_VALUE"""),"Victim was shot in stomach during early dismissal. Shooter - 21 year old non student shot victim due to girl")</f>
        <v>Victim was shot in stomach during early dismissal. Shooter - 21 year old non student shot victim due to girl</v>
      </c>
      <c r="AA1460" s="5" t="str">
        <f ca="1">IFERROR(__xludf.DUMMYFUNCTION("""COMPUTED_VALUE"""),"Escalation of Dispute")</f>
        <v>Escalation of Dispute</v>
      </c>
      <c r="AB1460" s="5" t="str">
        <f ca="1">IFERROR(__xludf.DUMMYFUNCTION("""COMPUTED_VALUE"""),"Victims Targeted")</f>
        <v>Victims Targeted</v>
      </c>
      <c r="AC1460" s="5" t="str">
        <f ca="1">IFERROR(__xludf.DUMMYFUNCTION("""COMPUTED_VALUE"""),"Yes")</f>
        <v>Yes</v>
      </c>
      <c r="AD1460" s="5" t="str">
        <f ca="1">IFERROR(__xludf.DUMMYFUNCTION("""COMPUTED_VALUE"""),"No")</f>
        <v>No</v>
      </c>
      <c r="AE1460" s="5" t="str">
        <f ca="1">IFERROR(__xludf.DUMMYFUNCTION("""COMPUTED_VALUE"""),"No")</f>
        <v>No</v>
      </c>
      <c r="AF1460" s="5" t="str">
        <f ca="1">IFERROR(__xludf.DUMMYFUNCTION("""COMPUTED_VALUE"""),"No")</f>
        <v>No</v>
      </c>
      <c r="AG1460" s="5"/>
      <c r="AH1460" s="5" t="str">
        <f ca="1">IFERROR(__xludf.DUMMYFUNCTION("""COMPUTED_VALUE"""),"No")</f>
        <v>No</v>
      </c>
      <c r="AI1460" s="5" t="str">
        <f ca="1">IFERROR(__xludf.DUMMYFUNCTION("""COMPUTED_VALUE"""),"No")</f>
        <v>No</v>
      </c>
      <c r="AJ1460" s="5"/>
    </row>
    <row r="1461" spans="1:36" ht="13">
      <c r="A1461" s="5" t="str">
        <f ca="1">IFERROR(__xludf.DUMMYFUNCTION("""COMPUTED_VALUE"""),"20050901AKDIA")</f>
        <v>20050901AKDIA</v>
      </c>
      <c r="B1461" s="5">
        <f ca="1">IFERROR(__xludf.DUMMYFUNCTION("""COMPUTED_VALUE"""),9)</f>
        <v>9</v>
      </c>
      <c r="C1461" s="5">
        <f ca="1">IFERROR(__xludf.DUMMYFUNCTION("""COMPUTED_VALUE"""),1)</f>
        <v>1</v>
      </c>
      <c r="D1461" s="5">
        <f ca="1">IFERROR(__xludf.DUMMYFUNCTION("""COMPUTED_VALUE"""),2005)</f>
        <v>2005</v>
      </c>
      <c r="E1461" s="8">
        <f ca="1">IFERROR(__xludf.DUMMYFUNCTION("""COMPUTED_VALUE"""),38596)</f>
        <v>38596</v>
      </c>
      <c r="F1461" s="5" t="str">
        <f ca="1">IFERROR(__xludf.DUMMYFUNCTION("""COMPUTED_VALUE"""),"Dimond High School")</f>
        <v>Dimond High School</v>
      </c>
      <c r="G1461" s="5">
        <f ca="1">IFERROR(__xludf.DUMMYFUNCTION("""COMPUTED_VALUE"""),0)</f>
        <v>0</v>
      </c>
      <c r="H1461" s="5">
        <f ca="1">IFERROR(__xludf.DUMMYFUNCTION("""COMPUTED_VALUE"""),0)</f>
        <v>0</v>
      </c>
      <c r="I1461" s="5">
        <f ca="1">IFERROR(__xludf.DUMMYFUNCTION("""COMPUTED_VALUE"""),0)</f>
        <v>0</v>
      </c>
      <c r="J1461" s="5">
        <f ca="1">IFERROR(__xludf.DUMMYFUNCTION("""COMPUTED_VALUE"""),0)</f>
        <v>0</v>
      </c>
      <c r="K1461" s="9" t="str">
        <f ca="1">IFERROR(__xludf.DUMMYFUNCTION("""COMPUTED_VALUE"""),"https://www.columbine-angels.com/School_Violence_2005-2006.htm")</f>
        <v>https://www.columbine-angels.com/School_Violence_2005-2006.htm</v>
      </c>
      <c r="L1461" s="5"/>
      <c r="M1461" s="5"/>
      <c r="N1461" s="5">
        <f ca="1">IFERROR(__xludf.DUMMYFUNCTION("""COMPUTED_VALUE"""),1)</f>
        <v>1</v>
      </c>
      <c r="O1461" s="5" t="str">
        <f ca="1">IFERROR(__xludf.DUMMYFUNCTION("""COMPUTED_VALUE"""),"Fall")</f>
        <v>Fall</v>
      </c>
      <c r="P1461" s="5" t="str">
        <f ca="1">IFERROR(__xludf.DUMMYFUNCTION("""COMPUTED_VALUE"""),"Anchorage")</f>
        <v>Anchorage</v>
      </c>
      <c r="Q1461" s="5" t="str">
        <f ca="1">IFERROR(__xludf.DUMMYFUNCTION("""COMPUTED_VALUE"""),"AK")</f>
        <v>AK</v>
      </c>
      <c r="R1461" s="5" t="str">
        <f ca="1">IFERROR(__xludf.DUMMYFUNCTION("""COMPUTED_VALUE"""),"High")</f>
        <v>High</v>
      </c>
      <c r="S1461" s="5" t="str">
        <f ca="1">IFERROR(__xludf.DUMMYFUNCTION("""COMPUTED_VALUE"""),"Parking Lot")</f>
        <v>Parking Lot</v>
      </c>
      <c r="T1461" s="5" t="str">
        <f ca="1">IFERROR(__xludf.DUMMYFUNCTION("""COMPUTED_VALUE"""),"Outside on School Property")</f>
        <v>Outside on School Property</v>
      </c>
      <c r="U1461" s="5" t="str">
        <f ca="1">IFERROR(__xludf.DUMMYFUNCTION("""COMPUTED_VALUE"""),"No")</f>
        <v>No</v>
      </c>
      <c r="V1461" s="5" t="str">
        <f ca="1">IFERROR(__xludf.DUMMYFUNCTION("""COMPUTED_VALUE"""),"Evening")</f>
        <v>Evening</v>
      </c>
      <c r="W1461" s="10">
        <f ca="1">IFERROR(__xludf.DUMMYFUNCTION("""COMPUTED_VALUE"""),0.708333333333333)</f>
        <v>0.70833333333333304</v>
      </c>
      <c r="X1461" s="5">
        <f ca="1">IFERROR(__xludf.DUMMYFUNCTION("""COMPUTED_VALUE"""),1)</f>
        <v>1</v>
      </c>
      <c r="Y1461" s="5" t="str">
        <f ca="1">IFERROR(__xludf.DUMMYFUNCTION("""COMPUTED_VALUE"""),"Shots during fight in parking lot")</f>
        <v>Shots during fight in parking lot</v>
      </c>
      <c r="Z1461" s="5" t="str">
        <f ca="1">IFERROR(__xludf.DUMMYFUNCTION("""COMPUTED_VALUE"""),"Two students were fighting over a girl in the school parking lot. A third student fired multiple shot at them but all of the shots missed. 15YOM arrested the next day.")</f>
        <v>Two students were fighting over a girl in the school parking lot. A third student fired multiple shot at them but all of the shots missed. 15YOM arrested the next day.</v>
      </c>
      <c r="AA1461" s="5" t="str">
        <f ca="1">IFERROR(__xludf.DUMMYFUNCTION("""COMPUTED_VALUE"""),"Escalation of Dispute")</f>
        <v>Escalation of Dispute</v>
      </c>
      <c r="AB1461" s="5" t="str">
        <f ca="1">IFERROR(__xludf.DUMMYFUNCTION("""COMPUTED_VALUE"""),"Victims Targeted")</f>
        <v>Victims Targeted</v>
      </c>
      <c r="AC1461" s="5" t="str">
        <f ca="1">IFERROR(__xludf.DUMMYFUNCTION("""COMPUTED_VALUE"""),"No")</f>
        <v>No</v>
      </c>
      <c r="AD1461" s="5" t="str">
        <f ca="1">IFERROR(__xludf.DUMMYFUNCTION("""COMPUTED_VALUE"""),"No")</f>
        <v>No</v>
      </c>
      <c r="AE1461" s="5" t="str">
        <f ca="1">IFERROR(__xludf.DUMMYFUNCTION("""COMPUTED_VALUE"""),"No")</f>
        <v>No</v>
      </c>
      <c r="AF1461" s="5" t="str">
        <f ca="1">IFERROR(__xludf.DUMMYFUNCTION("""COMPUTED_VALUE"""),"No")</f>
        <v>No</v>
      </c>
      <c r="AG1461" s="5" t="str">
        <f ca="1">IFERROR(__xludf.DUMMYFUNCTION("""COMPUTED_VALUE"""),"No")</f>
        <v>No</v>
      </c>
      <c r="AH1461" s="5" t="str">
        <f ca="1">IFERROR(__xludf.DUMMYFUNCTION("""COMPUTED_VALUE"""),"No")</f>
        <v>No</v>
      </c>
      <c r="AI1461" s="5" t="str">
        <f ca="1">IFERROR(__xludf.DUMMYFUNCTION("""COMPUTED_VALUE"""),"No")</f>
        <v>No</v>
      </c>
      <c r="AJ1461" s="5"/>
    </row>
    <row r="1462" spans="1:36" ht="13">
      <c r="A1462" s="5" t="str">
        <f ca="1">IFERROR(__xludf.DUMMYFUNCTION("""COMPUTED_VALUE"""),"20050825TNMAD")</f>
        <v>20050825TNMAD</v>
      </c>
      <c r="B1462" s="5">
        <f ca="1">IFERROR(__xludf.DUMMYFUNCTION("""COMPUTED_VALUE"""),8)</f>
        <v>8</v>
      </c>
      <c r="C1462" s="5">
        <f ca="1">IFERROR(__xludf.DUMMYFUNCTION("""COMPUTED_VALUE"""),25)</f>
        <v>25</v>
      </c>
      <c r="D1462" s="5">
        <f ca="1">IFERROR(__xludf.DUMMYFUNCTION("""COMPUTED_VALUE"""),2005)</f>
        <v>2005</v>
      </c>
      <c r="E1462" s="8">
        <f ca="1">IFERROR(__xludf.DUMMYFUNCTION("""COMPUTED_VALUE"""),38589)</f>
        <v>38589</v>
      </c>
      <c r="F1462" s="5" t="str">
        <f ca="1">IFERROR(__xludf.DUMMYFUNCTION("""COMPUTED_VALUE"""),"Maury Middle School")</f>
        <v>Maury Middle School</v>
      </c>
      <c r="G1462" s="5">
        <f ca="1">IFERROR(__xludf.DUMMYFUNCTION("""COMPUTED_VALUE"""),0)</f>
        <v>0</v>
      </c>
      <c r="H1462" s="5">
        <f ca="1">IFERROR(__xludf.DUMMYFUNCTION("""COMPUTED_VALUE"""),1)</f>
        <v>1</v>
      </c>
      <c r="I1462" s="5">
        <f ca="1">IFERROR(__xludf.DUMMYFUNCTION("""COMPUTED_VALUE"""),1)</f>
        <v>1</v>
      </c>
      <c r="J1462" s="5">
        <f ca="1">IFERROR(__xludf.DUMMYFUNCTION("""COMPUTED_VALUE"""),0)</f>
        <v>0</v>
      </c>
      <c r="K1462" s="9" t="str">
        <f ca="1">IFERROR(__xludf.DUMMYFUNCTION("""COMPUTED_VALUE"""),"http://www.foxnews.com/story/2005/11/09/principal-praised-as-hero-in-tenn-school-shooting.html")</f>
        <v>http://www.foxnews.com/story/2005/11/09/principal-praised-as-hero-in-tenn-school-shooting.html</v>
      </c>
      <c r="L1462" s="5"/>
      <c r="M1462" s="5"/>
      <c r="N1462" s="5">
        <f ca="1">IFERROR(__xludf.DUMMYFUNCTION("""COMPUTED_VALUE"""),2)</f>
        <v>2</v>
      </c>
      <c r="O1462" s="5" t="str">
        <f ca="1">IFERROR(__xludf.DUMMYFUNCTION("""COMPUTED_VALUE"""),"Summer")</f>
        <v>Summer</v>
      </c>
      <c r="P1462" s="5" t="str">
        <f ca="1">IFERROR(__xludf.DUMMYFUNCTION("""COMPUTED_VALUE"""),"Dandridge")</f>
        <v>Dandridge</v>
      </c>
      <c r="Q1462" s="5" t="str">
        <f ca="1">IFERROR(__xludf.DUMMYFUNCTION("""COMPUTED_VALUE"""),"TN")</f>
        <v>TN</v>
      </c>
      <c r="R1462" s="5" t="str">
        <f ca="1">IFERROR(__xludf.DUMMYFUNCTION("""COMPUTED_VALUE"""),"Middle")</f>
        <v>Middle</v>
      </c>
      <c r="S1462" s="5" t="str">
        <f ca="1">IFERROR(__xludf.DUMMYFUNCTION("""COMPUTED_VALUE"""),"Bathroom")</f>
        <v>Bathroom</v>
      </c>
      <c r="T1462" s="5" t="str">
        <f ca="1">IFERROR(__xludf.DUMMYFUNCTION("""COMPUTED_VALUE"""),"Inside School Building")</f>
        <v>Inside School Building</v>
      </c>
      <c r="U1462" s="5" t="str">
        <f ca="1">IFERROR(__xludf.DUMMYFUNCTION("""COMPUTED_VALUE"""),"Yes")</f>
        <v>Yes</v>
      </c>
      <c r="V1462" s="5" t="str">
        <f ca="1">IFERROR(__xludf.DUMMYFUNCTION("""COMPUTED_VALUE"""),"Morning Classes")</f>
        <v>Morning Classes</v>
      </c>
      <c r="W1462" s="10">
        <f ca="1">IFERROR(__xludf.DUMMYFUNCTION("""COMPUTED_VALUE"""),0.395833333333333)</f>
        <v>0.39583333333333298</v>
      </c>
      <c r="X1462" s="5">
        <f ca="1">IFERROR(__xludf.DUMMYFUNCTION("""COMPUTED_VALUE"""),1)</f>
        <v>1</v>
      </c>
      <c r="Y1462" s="5" t="str">
        <f ca="1">IFERROR(__xludf.DUMMYFUNCTION("""COMPUTED_VALUE"""),"Three students were handling weapon when it accidentally fired striking victim; plotting to kill teacher")</f>
        <v>Three students were handling weapon when it accidentally fired striking victim; plotting to kill teacher</v>
      </c>
      <c r="Z1462" s="5" t="str">
        <f ca="1">IFERROR(__xludf.DUMMYFUNCTION("""COMPUTED_VALUE"""),"Three students were handling a handgun in the boys bathroom when it went off striking another student in the leg - it was later revealed the students had plotted to kill a teacher who earlier disciplined one of the boys.")</f>
        <v>Three students were handling a handgun in the boys bathroom when it went off striking another student in the leg - it was later revealed the students had plotted to kill a teacher who earlier disciplined one of the boys.</v>
      </c>
      <c r="AA1462" s="5" t="str">
        <f ca="1">IFERROR(__xludf.DUMMYFUNCTION("""COMPUTED_VALUE"""),"Accidental")</f>
        <v>Accidental</v>
      </c>
      <c r="AB1462" s="5" t="str">
        <f ca="1">IFERROR(__xludf.DUMMYFUNCTION("""COMPUTED_VALUE"""),"Random Shooting")</f>
        <v>Random Shooting</v>
      </c>
      <c r="AC1462" s="5" t="str">
        <f ca="1">IFERROR(__xludf.DUMMYFUNCTION("""COMPUTED_VALUE"""),"No")</f>
        <v>No</v>
      </c>
      <c r="AD1462" s="5" t="str">
        <f ca="1">IFERROR(__xludf.DUMMYFUNCTION("""COMPUTED_VALUE"""),"No")</f>
        <v>No</v>
      </c>
      <c r="AE1462" s="5" t="str">
        <f ca="1">IFERROR(__xludf.DUMMYFUNCTION("""COMPUTED_VALUE"""),"No")</f>
        <v>No</v>
      </c>
      <c r="AF1462" s="5" t="str">
        <f ca="1">IFERROR(__xludf.DUMMYFUNCTION("""COMPUTED_VALUE"""),"No")</f>
        <v>No</v>
      </c>
      <c r="AG1462" s="5" t="str">
        <f ca="1">IFERROR(__xludf.DUMMYFUNCTION("""COMPUTED_VALUE"""),"No")</f>
        <v>No</v>
      </c>
      <c r="AH1462" s="5" t="str">
        <f ca="1">IFERROR(__xludf.DUMMYFUNCTION("""COMPUTED_VALUE"""),"No")</f>
        <v>No</v>
      </c>
      <c r="AI1462" s="5" t="str">
        <f ca="1">IFERROR(__xludf.DUMMYFUNCTION("""COMPUTED_VALUE"""),"No")</f>
        <v>No</v>
      </c>
      <c r="AJ1462" s="5"/>
    </row>
    <row r="1463" spans="1:36" ht="13">
      <c r="A1463" s="5" t="str">
        <f ca="1">IFERROR(__xludf.DUMMYFUNCTION("""COMPUTED_VALUE"""),"20050819GAMOM")</f>
        <v>20050819GAMOM</v>
      </c>
      <c r="B1463" s="5">
        <f ca="1">IFERROR(__xludf.DUMMYFUNCTION("""COMPUTED_VALUE"""),8)</f>
        <v>8</v>
      </c>
      <c r="C1463" s="5">
        <f ca="1">IFERROR(__xludf.DUMMYFUNCTION("""COMPUTED_VALUE"""),19)</f>
        <v>19</v>
      </c>
      <c r="D1463" s="5">
        <f ca="1">IFERROR(__xludf.DUMMYFUNCTION("""COMPUTED_VALUE"""),2005)</f>
        <v>2005</v>
      </c>
      <c r="E1463" s="8">
        <f ca="1">IFERROR(__xludf.DUMMYFUNCTION("""COMPUTED_VALUE"""),38583)</f>
        <v>38583</v>
      </c>
      <c r="F1463" s="5" t="str">
        <f ca="1">IFERROR(__xludf.DUMMYFUNCTION("""COMPUTED_VALUE"""),"Morrow High School")</f>
        <v>Morrow High School</v>
      </c>
      <c r="G1463" s="5">
        <f ca="1">IFERROR(__xludf.DUMMYFUNCTION("""COMPUTED_VALUE"""),0)</f>
        <v>0</v>
      </c>
      <c r="H1463" s="5">
        <f ca="1">IFERROR(__xludf.DUMMYFUNCTION("""COMPUTED_VALUE"""),2)</f>
        <v>2</v>
      </c>
      <c r="I1463" s="5">
        <f ca="1">IFERROR(__xludf.DUMMYFUNCTION("""COMPUTED_VALUE"""),2)</f>
        <v>2</v>
      </c>
      <c r="J1463" s="5">
        <f ca="1">IFERROR(__xludf.DUMMYFUNCTION("""COMPUTED_VALUE"""),0)</f>
        <v>0</v>
      </c>
      <c r="K1463" s="9" t="str">
        <f ca="1">IFERROR(__xludf.DUMMYFUNCTION("""COMPUTED_VALUE"""),"https://www.columbine-angels.com/School_Violence_2005-2006.htm")</f>
        <v>https://www.columbine-angels.com/School_Violence_2005-2006.htm</v>
      </c>
      <c r="L1463" s="5"/>
      <c r="M1463" s="5"/>
      <c r="N1463" s="5">
        <f ca="1">IFERROR(__xludf.DUMMYFUNCTION("""COMPUTED_VALUE"""),1)</f>
        <v>1</v>
      </c>
      <c r="O1463" s="5" t="str">
        <f ca="1">IFERROR(__xludf.DUMMYFUNCTION("""COMPUTED_VALUE"""),"Summer")</f>
        <v>Summer</v>
      </c>
      <c r="P1463" s="5" t="str">
        <f ca="1">IFERROR(__xludf.DUMMYFUNCTION("""COMPUTED_VALUE"""),"Morrow")</f>
        <v>Morrow</v>
      </c>
      <c r="Q1463" s="5" t="str">
        <f ca="1">IFERROR(__xludf.DUMMYFUNCTION("""COMPUTED_VALUE"""),"GA")</f>
        <v>GA</v>
      </c>
      <c r="R1463" s="5" t="str">
        <f ca="1">IFERROR(__xludf.DUMMYFUNCTION("""COMPUTED_VALUE"""),"High")</f>
        <v>High</v>
      </c>
      <c r="S1463" s="5" t="str">
        <f ca="1">IFERROR(__xludf.DUMMYFUNCTION("""COMPUTED_VALUE"""),"Parking Lot")</f>
        <v>Parking Lot</v>
      </c>
      <c r="T1463" s="5" t="str">
        <f ca="1">IFERROR(__xludf.DUMMYFUNCTION("""COMPUTED_VALUE"""),"Outside on School Property")</f>
        <v>Outside on School Property</v>
      </c>
      <c r="U1463" s="5" t="str">
        <f ca="1">IFERROR(__xludf.DUMMYFUNCTION("""COMPUTED_VALUE"""),"Yes")</f>
        <v>Yes</v>
      </c>
      <c r="V1463" s="5" t="str">
        <f ca="1">IFERROR(__xludf.DUMMYFUNCTION("""COMPUTED_VALUE"""),"Morning Classes")</f>
        <v>Morning Classes</v>
      </c>
      <c r="W1463" s="10">
        <f ca="1">IFERROR(__xludf.DUMMYFUNCTION("""COMPUTED_VALUE"""),0.458333333333333)</f>
        <v>0.45833333333333298</v>
      </c>
      <c r="X1463" s="5">
        <f ca="1">IFERROR(__xludf.DUMMYFUNCTION("""COMPUTED_VALUE"""),1)</f>
        <v>1</v>
      </c>
      <c r="Y1463" s="5" t="str">
        <f ca="1">IFERROR(__xludf.DUMMYFUNCTION("""COMPUTED_VALUE"""),"2 males shot in school parking lot by unknown shooter")</f>
        <v>2 males shot in school parking lot by unknown shooter</v>
      </c>
      <c r="Z1463" s="5" t="str">
        <f ca="1">IFERROR(__xludf.DUMMYFUNCTION("""COMPUTED_VALUE"""),"Unknown shooter fired at a group of students and non-students in the parking lot. 18YOM and 21YOM were injured. Shooter fled.")</f>
        <v>Unknown shooter fired at a group of students and non-students in the parking lot. 18YOM and 21YOM were injured. Shooter fled.</v>
      </c>
      <c r="AA1463" s="5" t="str">
        <f ca="1">IFERROR(__xludf.DUMMYFUNCTION("""COMPUTED_VALUE"""),"Escalation of Dispute")</f>
        <v>Escalation of Dispute</v>
      </c>
      <c r="AB1463" s="5" t="str">
        <f ca="1">IFERROR(__xludf.DUMMYFUNCTION("""COMPUTED_VALUE"""),"Victims Targeted")</f>
        <v>Victims Targeted</v>
      </c>
      <c r="AC1463" s="5" t="str">
        <f ca="1">IFERROR(__xludf.DUMMYFUNCTION("""COMPUTED_VALUE"""),"No")</f>
        <v>No</v>
      </c>
      <c r="AD1463" s="5" t="str">
        <f ca="1">IFERROR(__xludf.DUMMYFUNCTION("""COMPUTED_VALUE"""),"No")</f>
        <v>No</v>
      </c>
      <c r="AE1463" s="5" t="str">
        <f ca="1">IFERROR(__xludf.DUMMYFUNCTION("""COMPUTED_VALUE"""),"No")</f>
        <v>No</v>
      </c>
      <c r="AF1463" s="5" t="str">
        <f ca="1">IFERROR(__xludf.DUMMYFUNCTION("""COMPUTED_VALUE"""),"No")</f>
        <v>No</v>
      </c>
      <c r="AG1463" s="5" t="str">
        <f ca="1">IFERROR(__xludf.DUMMYFUNCTION("""COMPUTED_VALUE"""),"No")</f>
        <v>No</v>
      </c>
      <c r="AH1463" s="5" t="str">
        <f ca="1">IFERROR(__xludf.DUMMYFUNCTION("""COMPUTED_VALUE"""),"No")</f>
        <v>No</v>
      </c>
      <c r="AI1463" s="5"/>
      <c r="AJ1463" s="5"/>
    </row>
    <row r="1464" spans="1:36" ht="13">
      <c r="A1464" s="5" t="str">
        <f ca="1">IFERROR(__xludf.DUMMYFUNCTION("""COMPUTED_VALUE"""),"20050817CAPLB")</f>
        <v>20050817CAPLB</v>
      </c>
      <c r="B1464" s="5">
        <f ca="1">IFERROR(__xludf.DUMMYFUNCTION("""COMPUTED_VALUE"""),8)</f>
        <v>8</v>
      </c>
      <c r="C1464" s="5">
        <f ca="1">IFERROR(__xludf.DUMMYFUNCTION("""COMPUTED_VALUE"""),17)</f>
        <v>17</v>
      </c>
      <c r="D1464" s="5">
        <f ca="1">IFERROR(__xludf.DUMMYFUNCTION("""COMPUTED_VALUE"""),2005)</f>
        <v>2005</v>
      </c>
      <c r="E1464" s="8">
        <f ca="1">IFERROR(__xludf.DUMMYFUNCTION("""COMPUTED_VALUE"""),38581)</f>
        <v>38581</v>
      </c>
      <c r="F1464" s="5" t="str">
        <f ca="1">IFERROR(__xludf.DUMMYFUNCTION("""COMPUTED_VALUE"""),"Planatation Elementary School")</f>
        <v>Planatation Elementary School</v>
      </c>
      <c r="G1464" s="5">
        <f ca="1">IFERROR(__xludf.DUMMYFUNCTION("""COMPUTED_VALUE"""),1)</f>
        <v>1</v>
      </c>
      <c r="H1464" s="5">
        <f ca="1">IFERROR(__xludf.DUMMYFUNCTION("""COMPUTED_VALUE"""),0)</f>
        <v>0</v>
      </c>
      <c r="I1464" s="5">
        <f ca="1">IFERROR(__xludf.DUMMYFUNCTION("""COMPUTED_VALUE"""),1)</f>
        <v>1</v>
      </c>
      <c r="J1464" s="5">
        <f ca="1">IFERROR(__xludf.DUMMYFUNCTION("""COMPUTED_VALUE"""),0)</f>
        <v>0</v>
      </c>
      <c r="K1464" s="9" t="str">
        <f ca="1">IFERROR(__xludf.DUMMYFUNCTION("""COMPUTED_VALUE"""),"https://www.columbine-angels.com/School_Violence_2005-2006.htm")</f>
        <v>https://www.columbine-angels.com/School_Violence_2005-2006.htm</v>
      </c>
      <c r="L1464" s="5"/>
      <c r="M1464" s="5"/>
      <c r="N1464" s="5">
        <f ca="1">IFERROR(__xludf.DUMMYFUNCTION("""COMPUTED_VALUE"""),1)</f>
        <v>1</v>
      </c>
      <c r="O1464" s="5" t="str">
        <f ca="1">IFERROR(__xludf.DUMMYFUNCTION("""COMPUTED_VALUE"""),"Summer")</f>
        <v>Summer</v>
      </c>
      <c r="P1464" s="5" t="str">
        <f ca="1">IFERROR(__xludf.DUMMYFUNCTION("""COMPUTED_VALUE"""),"Bakersfield")</f>
        <v>Bakersfield</v>
      </c>
      <c r="Q1464" s="5" t="str">
        <f ca="1">IFERROR(__xludf.DUMMYFUNCTION("""COMPUTED_VALUE"""),"CA")</f>
        <v>CA</v>
      </c>
      <c r="R1464" s="5" t="str">
        <f ca="1">IFERROR(__xludf.DUMMYFUNCTION("""COMPUTED_VALUE"""),"Elementary")</f>
        <v>Elementary</v>
      </c>
      <c r="S1464" s="5" t="str">
        <f ca="1">IFERROR(__xludf.DUMMYFUNCTION("""COMPUTED_VALUE"""),"Parking Lot")</f>
        <v>Parking Lot</v>
      </c>
      <c r="T1464" s="5" t="str">
        <f ca="1">IFERROR(__xludf.DUMMYFUNCTION("""COMPUTED_VALUE"""),"Outside on School Property")</f>
        <v>Outside on School Property</v>
      </c>
      <c r="U1464" s="5" t="str">
        <f ca="1">IFERROR(__xludf.DUMMYFUNCTION("""COMPUTED_VALUE"""),"No")</f>
        <v>No</v>
      </c>
      <c r="V1464" s="5" t="str">
        <f ca="1">IFERROR(__xludf.DUMMYFUNCTION("""COMPUTED_VALUE"""),"Evening")</f>
        <v>Evening</v>
      </c>
      <c r="W1464" s="10">
        <f ca="1">IFERROR(__xludf.DUMMYFUNCTION("""COMPUTED_VALUE"""),0.75)</f>
        <v>0.75</v>
      </c>
      <c r="X1464" s="5">
        <f ca="1">IFERROR(__xludf.DUMMYFUNCTION("""COMPUTED_VALUE"""),1)</f>
        <v>1</v>
      </c>
      <c r="Y1464" s="5" t="str">
        <f ca="1">IFERROR(__xludf.DUMMYFUNCTION("""COMPUTED_VALUE"""),"Shot during argument outside of school")</f>
        <v>Shot during argument outside of school</v>
      </c>
      <c r="Z1464" s="5" t="str">
        <f ca="1">IFERROR(__xludf.DUMMYFUNCTION("""COMPUTED_VALUE"""),"15YOM walking with 2 other teens outside of school was shot and killed during dispute with 26YOM shooter in vehicle. Shooter fled the scene and was later arrested.")</f>
        <v>15YOM walking with 2 other teens outside of school was shot and killed during dispute with 26YOM shooter in vehicle. Shooter fled the scene and was later arrested.</v>
      </c>
      <c r="AA1464" s="5" t="str">
        <f ca="1">IFERROR(__xludf.DUMMYFUNCTION("""COMPUTED_VALUE"""),"Escalation of Dispute")</f>
        <v>Escalation of Dispute</v>
      </c>
      <c r="AB1464" s="5" t="str">
        <f ca="1">IFERROR(__xludf.DUMMYFUNCTION("""COMPUTED_VALUE"""),"Victims Targeted")</f>
        <v>Victims Targeted</v>
      </c>
      <c r="AC1464" s="5" t="str">
        <f ca="1">IFERROR(__xludf.DUMMYFUNCTION("""COMPUTED_VALUE"""),"No")</f>
        <v>No</v>
      </c>
      <c r="AD1464" s="5" t="str">
        <f ca="1">IFERROR(__xludf.DUMMYFUNCTION("""COMPUTED_VALUE"""),"No")</f>
        <v>No</v>
      </c>
      <c r="AE1464" s="5" t="str">
        <f ca="1">IFERROR(__xludf.DUMMYFUNCTION("""COMPUTED_VALUE"""),"No")</f>
        <v>No</v>
      </c>
      <c r="AF1464" s="5" t="str">
        <f ca="1">IFERROR(__xludf.DUMMYFUNCTION("""COMPUTED_VALUE"""),"No")</f>
        <v>No</v>
      </c>
      <c r="AG1464" s="5" t="str">
        <f ca="1">IFERROR(__xludf.DUMMYFUNCTION("""COMPUTED_VALUE"""),"No")</f>
        <v>No</v>
      </c>
      <c r="AH1464" s="5" t="str">
        <f ca="1">IFERROR(__xludf.DUMMYFUNCTION("""COMPUTED_VALUE"""),"No")</f>
        <v>No</v>
      </c>
      <c r="AI1464" s="5" t="str">
        <f ca="1">IFERROR(__xludf.DUMMYFUNCTION("""COMPUTED_VALUE"""),"No")</f>
        <v>No</v>
      </c>
      <c r="AJ1464" s="5"/>
    </row>
    <row r="1465" spans="1:36" ht="13">
      <c r="A1465" s="5" t="str">
        <f ca="1">IFERROR(__xludf.DUMMYFUNCTION("""COMPUTED_VALUE"""),"20050816VICOE")</f>
        <v>20050816VICOE</v>
      </c>
      <c r="B1465" s="5">
        <f ca="1">IFERROR(__xludf.DUMMYFUNCTION("""COMPUTED_VALUE"""),8)</f>
        <v>8</v>
      </c>
      <c r="C1465" s="5">
        <f ca="1">IFERROR(__xludf.DUMMYFUNCTION("""COMPUTED_VALUE"""),16)</f>
        <v>16</v>
      </c>
      <c r="D1465" s="5">
        <f ca="1">IFERROR(__xludf.DUMMYFUNCTION("""COMPUTED_VALUE"""),2005)</f>
        <v>2005</v>
      </c>
      <c r="E1465" s="8">
        <f ca="1">IFERROR(__xludf.DUMMYFUNCTION("""COMPUTED_VALUE"""),38580)</f>
        <v>38580</v>
      </c>
      <c r="F1465" s="5" t="str">
        <f ca="1">IFERROR(__xludf.DUMMYFUNCTION("""COMPUTED_VALUE"""),"Country Day High School")</f>
        <v>Country Day High School</v>
      </c>
      <c r="G1465" s="5">
        <f ca="1">IFERROR(__xludf.DUMMYFUNCTION("""COMPUTED_VALUE"""),0)</f>
        <v>0</v>
      </c>
      <c r="H1465" s="5">
        <f ca="1">IFERROR(__xludf.DUMMYFUNCTION("""COMPUTED_VALUE"""),1)</f>
        <v>1</v>
      </c>
      <c r="I1465" s="5">
        <f ca="1">IFERROR(__xludf.DUMMYFUNCTION("""COMPUTED_VALUE"""),1)</f>
        <v>1</v>
      </c>
      <c r="J1465" s="5">
        <f ca="1">IFERROR(__xludf.DUMMYFUNCTION("""COMPUTED_VALUE"""),0)</f>
        <v>0</v>
      </c>
      <c r="K1465" s="5" t="str">
        <f ca="1">IFERROR(__xludf.DUMMYFUNCTION("""COMPUTED_VALUE"""),"https://www.columbine-angels.com/School_Violence_2005-2006.htm  https://stthomassource.com/content/2005/08/17/gunmen-shoot-maintenance-man-school/")</f>
        <v>https://www.columbine-angels.com/School_Violence_2005-2006.htm  https://stthomassource.com/content/2005/08/17/gunmen-shoot-maintenance-man-school/</v>
      </c>
      <c r="L1465" s="5"/>
      <c r="M1465" s="5"/>
      <c r="N1465" s="5">
        <f ca="1">IFERROR(__xludf.DUMMYFUNCTION("""COMPUTED_VALUE"""),1)</f>
        <v>1</v>
      </c>
      <c r="O1465" s="5" t="str">
        <f ca="1">IFERROR(__xludf.DUMMYFUNCTION("""COMPUTED_VALUE"""),"Summer")</f>
        <v>Summer</v>
      </c>
      <c r="P1465" s="5" t="str">
        <f ca="1">IFERROR(__xludf.DUMMYFUNCTION("""COMPUTED_VALUE"""),"Estate Concordia")</f>
        <v>Estate Concordia</v>
      </c>
      <c r="Q1465" s="5" t="str">
        <f ca="1">IFERROR(__xludf.DUMMYFUNCTION("""COMPUTED_VALUE"""),"VI")</f>
        <v>VI</v>
      </c>
      <c r="R1465" s="5" t="str">
        <f ca="1">IFERROR(__xludf.DUMMYFUNCTION("""COMPUTED_VALUE"""),"High")</f>
        <v>High</v>
      </c>
      <c r="S1465" s="5" t="str">
        <f ca="1">IFERROR(__xludf.DUMMYFUNCTION("""COMPUTED_VALUE"""),"Other")</f>
        <v>Other</v>
      </c>
      <c r="T1465" s="5" t="str">
        <f ca="1">IFERROR(__xludf.DUMMYFUNCTION("""COMPUTED_VALUE"""),"Inside School Building")</f>
        <v>Inside School Building</v>
      </c>
      <c r="U1465" s="5" t="str">
        <f ca="1">IFERROR(__xludf.DUMMYFUNCTION("""COMPUTED_VALUE"""),"Yes")</f>
        <v>Yes</v>
      </c>
      <c r="V1465" s="5" t="str">
        <f ca="1">IFERROR(__xludf.DUMMYFUNCTION("""COMPUTED_VALUE"""),"Before School")</f>
        <v>Before School</v>
      </c>
      <c r="W1465" s="10">
        <f ca="1">IFERROR(__xludf.DUMMYFUNCTION("""COMPUTED_VALUE"""),0.3125)</f>
        <v>0.3125</v>
      </c>
      <c r="X1465" s="5">
        <f ca="1">IFERROR(__xludf.DUMMYFUNCTION("""COMPUTED_VALUE"""),1)</f>
        <v>1</v>
      </c>
      <c r="Y1465" s="5" t="str">
        <f ca="1">IFERROR(__xludf.DUMMYFUNCTION("""COMPUTED_VALUE"""),"School maintenance worker shot while in school maintenance shop by two masked men")</f>
        <v>School maintenance worker shot while in school maintenance shop by two masked men</v>
      </c>
      <c r="Z1465" s="5" t="str">
        <f ca="1">IFERROR(__xludf.DUMMYFUNCTION("""COMPUTED_VALUE"""),"School maintenance worker was shot when two masked gunmen ran into the maintenance shop at approximately 7:30am and shot the worker. Suspects fled the scene. Police believed the shooter was related to evidence the victim had against someone.")</f>
        <v>School maintenance worker was shot when two masked gunmen ran into the maintenance shop at approximately 7:30am and shot the worker. Suspects fled the scene. Police believed the shooter was related to evidence the victim had against someone.</v>
      </c>
      <c r="AA1465" s="5" t="str">
        <f ca="1">IFERROR(__xludf.DUMMYFUNCTION("""COMPUTED_VALUE"""),"Illegal Activity")</f>
        <v>Illegal Activity</v>
      </c>
      <c r="AB1465" s="5" t="str">
        <f ca="1">IFERROR(__xludf.DUMMYFUNCTION("""COMPUTED_VALUE"""),"Victims Targeted")</f>
        <v>Victims Targeted</v>
      </c>
      <c r="AC1465" s="5" t="str">
        <f ca="1">IFERROR(__xludf.DUMMYFUNCTION("""COMPUTED_VALUE"""),"No")</f>
        <v>No</v>
      </c>
      <c r="AD1465" s="5" t="str">
        <f ca="1">IFERROR(__xludf.DUMMYFUNCTION("""COMPUTED_VALUE"""),"No")</f>
        <v>No</v>
      </c>
      <c r="AE1465" s="5" t="str">
        <f ca="1">IFERROR(__xludf.DUMMYFUNCTION("""COMPUTED_VALUE"""),"No")</f>
        <v>No</v>
      </c>
      <c r="AF1465" s="5" t="str">
        <f ca="1">IFERROR(__xludf.DUMMYFUNCTION("""COMPUTED_VALUE"""),"No")</f>
        <v>No</v>
      </c>
      <c r="AG1465" s="5" t="str">
        <f ca="1">IFERROR(__xludf.DUMMYFUNCTION("""COMPUTED_VALUE"""),"No")</f>
        <v>No</v>
      </c>
      <c r="AH1465" s="5" t="str">
        <f ca="1">IFERROR(__xludf.DUMMYFUNCTION("""COMPUTED_VALUE"""),"No")</f>
        <v>No</v>
      </c>
      <c r="AI1465" s="5" t="str">
        <f ca="1">IFERROR(__xludf.DUMMYFUNCTION("""COMPUTED_VALUE"""),"No")</f>
        <v>No</v>
      </c>
      <c r="AJ1465" s="5"/>
    </row>
    <row r="1466" spans="1:36" ht="13">
      <c r="A1466" s="5" t="str">
        <f ca="1">IFERROR(__xludf.DUMMYFUNCTION("""COMPUTED_VALUE"""),"20050718NJWEN")</f>
        <v>20050718NJWEN</v>
      </c>
      <c r="B1466" s="5">
        <f ca="1">IFERROR(__xludf.DUMMYFUNCTION("""COMPUTED_VALUE"""),7)</f>
        <v>7</v>
      </c>
      <c r="C1466" s="5">
        <f ca="1">IFERROR(__xludf.DUMMYFUNCTION("""COMPUTED_VALUE"""),18)</f>
        <v>18</v>
      </c>
      <c r="D1466" s="5">
        <f ca="1">IFERROR(__xludf.DUMMYFUNCTION("""COMPUTED_VALUE"""),2005)</f>
        <v>2005</v>
      </c>
      <c r="E1466" s="8">
        <f ca="1">IFERROR(__xludf.DUMMYFUNCTION("""COMPUTED_VALUE"""),38551)</f>
        <v>38551</v>
      </c>
      <c r="F1466" s="5" t="str">
        <f ca="1">IFERROR(__xludf.DUMMYFUNCTION("""COMPUTED_VALUE"""),"Weequahic High School")</f>
        <v>Weequahic High School</v>
      </c>
      <c r="G1466" s="5">
        <f ca="1">IFERROR(__xludf.DUMMYFUNCTION("""COMPUTED_VALUE"""),2)</f>
        <v>2</v>
      </c>
      <c r="H1466" s="5">
        <f ca="1">IFERROR(__xludf.DUMMYFUNCTION("""COMPUTED_VALUE"""),0)</f>
        <v>0</v>
      </c>
      <c r="I1466" s="5">
        <f ca="1">IFERROR(__xludf.DUMMYFUNCTION("""COMPUTED_VALUE"""),2)</f>
        <v>2</v>
      </c>
      <c r="J1466" s="5">
        <f ca="1">IFERROR(__xludf.DUMMYFUNCTION("""COMPUTED_VALUE"""),0)</f>
        <v>0</v>
      </c>
      <c r="K1466" s="9" t="str">
        <f ca="1">IFERROR(__xludf.DUMMYFUNCTION("""COMPUTED_VALUE"""),"https://www.nytimes.com/2005/07/20/nyregion/2-men-charged-in-slaying-of-officer-at-newark-school.html")</f>
        <v>https://www.nytimes.com/2005/07/20/nyregion/2-men-charged-in-slaying-of-officer-at-newark-school.html</v>
      </c>
      <c r="L1466" s="5"/>
      <c r="M1466" s="5"/>
      <c r="N1466" s="5">
        <f ca="1">IFERROR(__xludf.DUMMYFUNCTION("""COMPUTED_VALUE"""),2)</f>
        <v>2</v>
      </c>
      <c r="O1466" s="5" t="str">
        <f ca="1">IFERROR(__xludf.DUMMYFUNCTION("""COMPUTED_VALUE"""),"Summer")</f>
        <v>Summer</v>
      </c>
      <c r="P1466" s="5" t="str">
        <f ca="1">IFERROR(__xludf.DUMMYFUNCTION("""COMPUTED_VALUE"""),"Newark")</f>
        <v>Newark</v>
      </c>
      <c r="Q1466" s="5" t="str">
        <f ca="1">IFERROR(__xludf.DUMMYFUNCTION("""COMPUTED_VALUE"""),"NJ")</f>
        <v>NJ</v>
      </c>
      <c r="R1466" s="5" t="str">
        <f ca="1">IFERROR(__xludf.DUMMYFUNCTION("""COMPUTED_VALUE"""),"High")</f>
        <v>High</v>
      </c>
      <c r="S1466" s="5" t="str">
        <f ca="1">IFERROR(__xludf.DUMMYFUNCTION("""COMPUTED_VALUE"""),"Parking Lot")</f>
        <v>Parking Lot</v>
      </c>
      <c r="T1466" s="5" t="str">
        <f ca="1">IFERROR(__xludf.DUMMYFUNCTION("""COMPUTED_VALUE"""),"Outside on School Property")</f>
        <v>Outside on School Property</v>
      </c>
      <c r="U1466" s="5" t="str">
        <f ca="1">IFERROR(__xludf.DUMMYFUNCTION("""COMPUTED_VALUE"""),"Yes")</f>
        <v>Yes</v>
      </c>
      <c r="V1466" s="5" t="str">
        <f ca="1">IFERROR(__xludf.DUMMYFUNCTION("""COMPUTED_VALUE"""),"Afternoon Classes")</f>
        <v>Afternoon Classes</v>
      </c>
      <c r="W1466" s="10">
        <f ca="1">IFERROR(__xludf.DUMMYFUNCTION("""COMPUTED_VALUE"""),0.5625)</f>
        <v>0.5625</v>
      </c>
      <c r="X1466" s="5">
        <f ca="1">IFERROR(__xludf.DUMMYFUNCTION("""COMPUTED_VALUE"""),1)</f>
        <v>1</v>
      </c>
      <c r="Y1466" s="5" t="str">
        <f ca="1">IFERROR(__xludf.DUMMYFUNCTION("""COMPUTED_VALUE"""),"Police tried to break up fight between female students, brother fired at officers killing one")</f>
        <v>Police tried to break up fight between female students, brother fired at officers killing one</v>
      </c>
      <c r="Z1466" s="5" t="str">
        <f ca="1">IFERROR(__xludf.DUMMYFUNCTION("""COMPUTED_VALUE"""),"Two female students were fighting in the parking lot. When police arrived to break up the fight, male students tried to stop them. Shots were fired striking both officers (one fatally). The injured officer was able to return fire striking the shooter who "&amp;"ran away. Shooter and multiple others were arrested in connection with the officer's death.")</f>
        <v>Two female students were fighting in the parking lot. When police arrived to break up the fight, male students tried to stop them. Shots were fired striking both officers (one fatally). The injured officer was able to return fire striking the shooter who ran away. Shooter and multiple others were arrested in connection with the officer's death.</v>
      </c>
      <c r="AA1466" s="5" t="str">
        <f ca="1">IFERROR(__xludf.DUMMYFUNCTION("""COMPUTED_VALUE"""),"Escalation of Dispute")</f>
        <v>Escalation of Dispute</v>
      </c>
      <c r="AB1466" s="5" t="str">
        <f ca="1">IFERROR(__xludf.DUMMYFUNCTION("""COMPUTED_VALUE"""),"Random Shooting")</f>
        <v>Random Shooting</v>
      </c>
      <c r="AC1466" s="5" t="str">
        <f ca="1">IFERROR(__xludf.DUMMYFUNCTION("""COMPUTED_VALUE"""),"Yes")</f>
        <v>Yes</v>
      </c>
      <c r="AD1466" s="5" t="str">
        <f ca="1">IFERROR(__xludf.DUMMYFUNCTION("""COMPUTED_VALUE"""),"No")</f>
        <v>No</v>
      </c>
      <c r="AE1466" s="5" t="str">
        <f ca="1">IFERROR(__xludf.DUMMYFUNCTION("""COMPUTED_VALUE"""),"No")</f>
        <v>No</v>
      </c>
      <c r="AF1466" s="5" t="str">
        <f ca="1">IFERROR(__xludf.DUMMYFUNCTION("""COMPUTED_VALUE"""),"No")</f>
        <v>No</v>
      </c>
      <c r="AG1466" s="5" t="str">
        <f ca="1">IFERROR(__xludf.DUMMYFUNCTION("""COMPUTED_VALUE"""),"No")</f>
        <v>No</v>
      </c>
      <c r="AH1466" s="5" t="str">
        <f ca="1">IFERROR(__xludf.DUMMYFUNCTION("""COMPUTED_VALUE"""),"No")</f>
        <v>No</v>
      </c>
      <c r="AI1466" s="5" t="str">
        <f ca="1">IFERROR(__xludf.DUMMYFUNCTION("""COMPUTED_VALUE"""),"No")</f>
        <v>No</v>
      </c>
      <c r="AJ1466" s="5"/>
    </row>
    <row r="1467" spans="1:36" ht="13">
      <c r="A1467" s="5" t="str">
        <f ca="1">IFERROR(__xludf.DUMMYFUNCTION("""COMPUTED_VALUE"""),"20050612NJBAA")</f>
        <v>20050612NJBAA</v>
      </c>
      <c r="B1467" s="5">
        <f ca="1">IFERROR(__xludf.DUMMYFUNCTION("""COMPUTED_VALUE"""),6)</f>
        <v>6</v>
      </c>
      <c r="C1467" s="5">
        <f ca="1">IFERROR(__xludf.DUMMYFUNCTION("""COMPUTED_VALUE"""),12)</f>
        <v>12</v>
      </c>
      <c r="D1467" s="5">
        <f ca="1">IFERROR(__xludf.DUMMYFUNCTION("""COMPUTED_VALUE"""),2005)</f>
        <v>2005</v>
      </c>
      <c r="E1467" s="8">
        <f ca="1">IFERROR(__xludf.DUMMYFUNCTION("""COMPUTED_VALUE"""),38515)</f>
        <v>38515</v>
      </c>
      <c r="F1467" s="5" t="str">
        <f ca="1">IFERROR(__xludf.DUMMYFUNCTION("""COMPUTED_VALUE"""),"Bangs Avenue Elementary School")</f>
        <v>Bangs Avenue Elementary School</v>
      </c>
      <c r="G1467" s="5">
        <f ca="1">IFERROR(__xludf.DUMMYFUNCTION("""COMPUTED_VALUE"""),0)</f>
        <v>0</v>
      </c>
      <c r="H1467" s="5">
        <f ca="1">IFERROR(__xludf.DUMMYFUNCTION("""COMPUTED_VALUE"""),3)</f>
        <v>3</v>
      </c>
      <c r="I1467" s="5">
        <f ca="1">IFERROR(__xludf.DUMMYFUNCTION("""COMPUTED_VALUE"""),3)</f>
        <v>3</v>
      </c>
      <c r="J1467" s="5">
        <f ca="1">IFERROR(__xludf.DUMMYFUNCTION("""COMPUTED_VALUE"""),0)</f>
        <v>0</v>
      </c>
      <c r="K1467" s="9" t="str">
        <f ca="1">IFERROR(__xludf.DUMMYFUNCTION("""COMPUTED_VALUE"""),"https://www.columbine-angels.com/School_Violence_2004-2005.htm")</f>
        <v>https://www.columbine-angels.com/School_Violence_2004-2005.htm</v>
      </c>
      <c r="L1467" s="5"/>
      <c r="M1467" s="5"/>
      <c r="N1467" s="5">
        <f ca="1">IFERROR(__xludf.DUMMYFUNCTION("""COMPUTED_VALUE"""),1)</f>
        <v>1</v>
      </c>
      <c r="O1467" s="5" t="str">
        <f ca="1">IFERROR(__xludf.DUMMYFUNCTION("""COMPUTED_VALUE"""),"Summer")</f>
        <v>Summer</v>
      </c>
      <c r="P1467" s="5" t="str">
        <f ca="1">IFERROR(__xludf.DUMMYFUNCTION("""COMPUTED_VALUE"""),"Asbury Park")</f>
        <v>Asbury Park</v>
      </c>
      <c r="Q1467" s="5" t="str">
        <f ca="1">IFERROR(__xludf.DUMMYFUNCTION("""COMPUTED_VALUE"""),"NJ")</f>
        <v>NJ</v>
      </c>
      <c r="R1467" s="5" t="str">
        <f ca="1">IFERROR(__xludf.DUMMYFUNCTION("""COMPUTED_VALUE"""),"Elementary")</f>
        <v>Elementary</v>
      </c>
      <c r="S1467" s="5" t="str">
        <f ca="1">IFERROR(__xludf.DUMMYFUNCTION("""COMPUTED_VALUE"""),"Beside Building")</f>
        <v>Beside Building</v>
      </c>
      <c r="T1467" s="5" t="str">
        <f ca="1">IFERROR(__xludf.DUMMYFUNCTION("""COMPUTED_VALUE"""),"Outside on School Property")</f>
        <v>Outside on School Property</v>
      </c>
      <c r="U1467" s="5" t="str">
        <f ca="1">IFERROR(__xludf.DUMMYFUNCTION("""COMPUTED_VALUE"""),"No")</f>
        <v>No</v>
      </c>
      <c r="V1467" s="5" t="str">
        <f ca="1">IFERROR(__xludf.DUMMYFUNCTION("""COMPUTED_VALUE"""),"Evening")</f>
        <v>Evening</v>
      </c>
      <c r="W1467" s="10">
        <f ca="1">IFERROR(__xludf.DUMMYFUNCTION("""COMPUTED_VALUE"""),0.895833333333333)</f>
        <v>0.89583333333333304</v>
      </c>
      <c r="X1467" s="5">
        <f ca="1">IFERROR(__xludf.DUMMYFUNCTION("""COMPUTED_VALUE"""),1)</f>
        <v>1</v>
      </c>
      <c r="Y1467" s="5" t="str">
        <f ca="1">IFERROR(__xludf.DUMMYFUNCTION("""COMPUTED_VALUE"""),"3 shot during fight between 20 people at school")</f>
        <v>3 shot during fight between 20 people at school</v>
      </c>
      <c r="Z1467" s="5" t="str">
        <f ca="1">IFERROR(__xludf.DUMMYFUNCTION("""COMPUTED_VALUE"""),"Three males shot during fight between 20 males outside of school. Fight occured on a Sunday evening and appears unrelated to the school.")</f>
        <v>Three males shot during fight between 20 males outside of school. Fight occured on a Sunday evening and appears unrelated to the school.</v>
      </c>
      <c r="AA1467" s="5" t="str">
        <f ca="1">IFERROR(__xludf.DUMMYFUNCTION("""COMPUTED_VALUE"""),"Escalation of Dispute")</f>
        <v>Escalation of Dispute</v>
      </c>
      <c r="AB1467" s="5"/>
      <c r="AC1467" s="5" t="str">
        <f ca="1">IFERROR(__xludf.DUMMYFUNCTION("""COMPUTED_VALUE"""),"Yes")</f>
        <v>Yes</v>
      </c>
      <c r="AD1467" s="5" t="str">
        <f ca="1">IFERROR(__xludf.DUMMYFUNCTION("""COMPUTED_VALUE"""),"No")</f>
        <v>No</v>
      </c>
      <c r="AE1467" s="5" t="str">
        <f ca="1">IFERROR(__xludf.DUMMYFUNCTION("""COMPUTED_VALUE"""),"No")</f>
        <v>No</v>
      </c>
      <c r="AF1467" s="5" t="str">
        <f ca="1">IFERROR(__xludf.DUMMYFUNCTION("""COMPUTED_VALUE"""),"No")</f>
        <v>No</v>
      </c>
      <c r="AG1467" s="5" t="str">
        <f ca="1">IFERROR(__xludf.DUMMYFUNCTION("""COMPUTED_VALUE"""),"No")</f>
        <v>No</v>
      </c>
      <c r="AH1467" s="5" t="str">
        <f ca="1">IFERROR(__xludf.DUMMYFUNCTION("""COMPUTED_VALUE"""),"No")</f>
        <v>No</v>
      </c>
      <c r="AI1467" s="5" t="str">
        <f ca="1">IFERROR(__xludf.DUMMYFUNCTION("""COMPUTED_VALUE"""),"No")</f>
        <v>No</v>
      </c>
      <c r="AJ1467" s="5"/>
    </row>
    <row r="1468" spans="1:36" ht="13">
      <c r="A1468" s="5" t="str">
        <f ca="1">IFERROR(__xludf.DUMMYFUNCTION("""COMPUTED_VALUE"""),"20050608NYARP")</f>
        <v>20050608NYARP</v>
      </c>
      <c r="B1468" s="5">
        <f ca="1">IFERROR(__xludf.DUMMYFUNCTION("""COMPUTED_VALUE"""),6)</f>
        <v>6</v>
      </c>
      <c r="C1468" s="5">
        <f ca="1">IFERROR(__xludf.DUMMYFUNCTION("""COMPUTED_VALUE"""),8)</f>
        <v>8</v>
      </c>
      <c r="D1468" s="5">
        <f ca="1">IFERROR(__xludf.DUMMYFUNCTION("""COMPUTED_VALUE"""),2005)</f>
        <v>2005</v>
      </c>
      <c r="E1468" s="8">
        <f ca="1">IFERROR(__xludf.DUMMYFUNCTION("""COMPUTED_VALUE"""),38511)</f>
        <v>38511</v>
      </c>
      <c r="F1468" s="5" t="str">
        <f ca="1">IFERROR(__xludf.DUMMYFUNCTION("""COMPUTED_VALUE"""),"Arlington High School")</f>
        <v>Arlington High School</v>
      </c>
      <c r="G1468" s="5">
        <f ca="1">IFERROR(__xludf.DUMMYFUNCTION("""COMPUTED_VALUE"""),0)</f>
        <v>0</v>
      </c>
      <c r="H1468" s="5">
        <f ca="1">IFERROR(__xludf.DUMMYFUNCTION("""COMPUTED_VALUE"""),2)</f>
        <v>2</v>
      </c>
      <c r="I1468" s="5">
        <f ca="1">IFERROR(__xludf.DUMMYFUNCTION("""COMPUTED_VALUE"""),2)</f>
        <v>2</v>
      </c>
      <c r="J1468" s="5">
        <f ca="1">IFERROR(__xludf.DUMMYFUNCTION("""COMPUTED_VALUE"""),0)</f>
        <v>0</v>
      </c>
      <c r="K1468" s="9" t="str">
        <f ca="1">IFERROR(__xludf.DUMMYFUNCTION("""COMPUTED_VALUE"""),"https://www.columbine-angels.com/School_Violence_2004-2005.htm")</f>
        <v>https://www.columbine-angels.com/School_Violence_2004-2005.htm</v>
      </c>
      <c r="L1468" s="5"/>
      <c r="M1468" s="5"/>
      <c r="N1468" s="5">
        <f ca="1">IFERROR(__xludf.DUMMYFUNCTION("""COMPUTED_VALUE"""),1)</f>
        <v>1</v>
      </c>
      <c r="O1468" s="5" t="str">
        <f ca="1">IFERROR(__xludf.DUMMYFUNCTION("""COMPUTED_VALUE"""),"Summer")</f>
        <v>Summer</v>
      </c>
      <c r="P1468" s="5" t="str">
        <f ca="1">IFERROR(__xludf.DUMMYFUNCTION("""COMPUTED_VALUE"""),"Poughkeepsi")</f>
        <v>Poughkeepsi</v>
      </c>
      <c r="Q1468" s="5" t="str">
        <f ca="1">IFERROR(__xludf.DUMMYFUNCTION("""COMPUTED_VALUE"""),"NY")</f>
        <v>NY</v>
      </c>
      <c r="R1468" s="5" t="str">
        <f ca="1">IFERROR(__xludf.DUMMYFUNCTION("""COMPUTED_VALUE"""),"High")</f>
        <v>High</v>
      </c>
      <c r="S1468" s="5" t="str">
        <f ca="1">IFERROR(__xludf.DUMMYFUNCTION("""COMPUTED_VALUE"""),"Front of School")</f>
        <v>Front of School</v>
      </c>
      <c r="T1468" s="5" t="str">
        <f ca="1">IFERROR(__xludf.DUMMYFUNCTION("""COMPUTED_VALUE"""),"Outside on School Property")</f>
        <v>Outside on School Property</v>
      </c>
      <c r="U1468" s="5" t="str">
        <f ca="1">IFERROR(__xludf.DUMMYFUNCTION("""COMPUTED_VALUE"""),"Yes")</f>
        <v>Yes</v>
      </c>
      <c r="V1468" s="5" t="str">
        <f ca="1">IFERROR(__xludf.DUMMYFUNCTION("""COMPUTED_VALUE"""),"Dismissal")</f>
        <v>Dismissal</v>
      </c>
      <c r="W1468" s="10">
        <f ca="1">IFERROR(__xludf.DUMMYFUNCTION("""COMPUTED_VALUE"""),0.605555555555555)</f>
        <v>0.60555555555555496</v>
      </c>
      <c r="X1468" s="5">
        <f ca="1">IFERROR(__xludf.DUMMYFUNCTION("""COMPUTED_VALUE"""),1)</f>
        <v>1</v>
      </c>
      <c r="Y1468" s="5" t="str">
        <f ca="1">IFERROR(__xludf.DUMMYFUNCTION("""COMPUTED_VALUE"""),"Fired BB gun at students during drive-by")</f>
        <v>Fired BB gun at students during drive-by</v>
      </c>
      <c r="Z1468" s="5" t="str">
        <f ca="1">IFERROR(__xludf.DUMMYFUNCTION("""COMPUTED_VALUE"""),"17YOM opened fire on his classmates with a BB gun while he was in a moving vehicle.  Two students received minor wounds from the flying pellets and were taken to Vassar Hospital for treatment.  Jeremy was arrested and charged with criminal possession of a"&amp;" weapon, felony attempted assault, two counts of felony assault and two misdemeanor charges for reckless endangerment.  He bonded out of jail with $10,000 and his court date was scheduled for June 21, 2005 at 3:00.")</f>
        <v>17YOM opened fire on his classmates with a BB gun while he was in a moving vehicle.  Two students received minor wounds from the flying pellets and were taken to Vassar Hospital for treatment.  Jeremy was arrested and charged with criminal possession of a weapon, felony attempted assault, two counts of felony assault and two misdemeanor charges for reckless endangerment.  He bonded out of jail with $10,000 and his court date was scheduled for June 21, 2005 at 3:00.</v>
      </c>
      <c r="AA1468" s="5" t="str">
        <f ca="1">IFERROR(__xludf.DUMMYFUNCTION("""COMPUTED_VALUE"""),"Drive-by Shooting")</f>
        <v>Drive-by Shooting</v>
      </c>
      <c r="AB1468" s="5"/>
      <c r="AC1468" s="5" t="str">
        <f ca="1">IFERROR(__xludf.DUMMYFUNCTION("""COMPUTED_VALUE"""),"Yes")</f>
        <v>Yes</v>
      </c>
      <c r="AD1468" s="5" t="str">
        <f ca="1">IFERROR(__xludf.DUMMYFUNCTION("""COMPUTED_VALUE"""),"No")</f>
        <v>No</v>
      </c>
      <c r="AE1468" s="5" t="str">
        <f ca="1">IFERROR(__xludf.DUMMYFUNCTION("""COMPUTED_VALUE"""),"No")</f>
        <v>No</v>
      </c>
      <c r="AF1468" s="5" t="str">
        <f ca="1">IFERROR(__xludf.DUMMYFUNCTION("""COMPUTED_VALUE"""),"No")</f>
        <v>No</v>
      </c>
      <c r="AG1468" s="5" t="str">
        <f ca="1">IFERROR(__xludf.DUMMYFUNCTION("""COMPUTED_VALUE"""),"No")</f>
        <v>No</v>
      </c>
      <c r="AH1468" s="5" t="str">
        <f ca="1">IFERROR(__xludf.DUMMYFUNCTION("""COMPUTED_VALUE"""),"No")</f>
        <v>No</v>
      </c>
      <c r="AI1468" s="5" t="str">
        <f ca="1">IFERROR(__xludf.DUMMYFUNCTION("""COMPUTED_VALUE"""),"No")</f>
        <v>No</v>
      </c>
      <c r="AJ1468" s="5"/>
    </row>
    <row r="1469" spans="1:36" ht="13">
      <c r="A1469" s="5" t="str">
        <f ca="1">IFERROR(__xludf.DUMMYFUNCTION("""COMPUTED_VALUE"""),"20050524COACD")</f>
        <v>20050524COACD</v>
      </c>
      <c r="B1469" s="5">
        <f ca="1">IFERROR(__xludf.DUMMYFUNCTION("""COMPUTED_VALUE"""),5)</f>
        <v>5</v>
      </c>
      <c r="C1469" s="5">
        <f ca="1">IFERROR(__xludf.DUMMYFUNCTION("""COMPUTED_VALUE"""),24)</f>
        <v>24</v>
      </c>
      <c r="D1469" s="5">
        <f ca="1">IFERROR(__xludf.DUMMYFUNCTION("""COMPUTED_VALUE"""),2005)</f>
        <v>2005</v>
      </c>
      <c r="E1469" s="8">
        <f ca="1">IFERROR(__xludf.DUMMYFUNCTION("""COMPUTED_VALUE"""),38496)</f>
        <v>38496</v>
      </c>
      <c r="F1469" s="5" t="str">
        <f ca="1">IFERROR(__xludf.DUMMYFUNCTION("""COMPUTED_VALUE"""),"Academia Ana Marie Sandoval Montessori School")</f>
        <v>Academia Ana Marie Sandoval Montessori School</v>
      </c>
      <c r="G1469" s="5">
        <f ca="1">IFERROR(__xludf.DUMMYFUNCTION("""COMPUTED_VALUE"""),0)</f>
        <v>0</v>
      </c>
      <c r="H1469" s="5">
        <f ca="1">IFERROR(__xludf.DUMMYFUNCTION("""COMPUTED_VALUE"""),2)</f>
        <v>2</v>
      </c>
      <c r="I1469" s="5">
        <f ca="1">IFERROR(__xludf.DUMMYFUNCTION("""COMPUTED_VALUE"""),2)</f>
        <v>2</v>
      </c>
      <c r="J1469" s="5">
        <f ca="1">IFERROR(__xludf.DUMMYFUNCTION("""COMPUTED_VALUE"""),0)</f>
        <v>0</v>
      </c>
      <c r="K1469" s="9" t="str">
        <f ca="1">IFERROR(__xludf.DUMMYFUNCTION("""COMPUTED_VALUE"""),"https://www.denverpost.com/2005/05/24/pellets-strike-2-adults-on-busy-school-playground/")</f>
        <v>https://www.denverpost.com/2005/05/24/pellets-strike-2-adults-on-busy-school-playground/</v>
      </c>
      <c r="L1469" s="5"/>
      <c r="M1469" s="5"/>
      <c r="N1469" s="5">
        <f ca="1">IFERROR(__xludf.DUMMYFUNCTION("""COMPUTED_VALUE"""),2)</f>
        <v>2</v>
      </c>
      <c r="O1469" s="5" t="str">
        <f ca="1">IFERROR(__xludf.DUMMYFUNCTION("""COMPUTED_VALUE"""),"Spring")</f>
        <v>Spring</v>
      </c>
      <c r="P1469" s="5" t="str">
        <f ca="1">IFERROR(__xludf.DUMMYFUNCTION("""COMPUTED_VALUE"""),"Denver")</f>
        <v>Denver</v>
      </c>
      <c r="Q1469" s="5" t="str">
        <f ca="1">IFERROR(__xludf.DUMMYFUNCTION("""COMPUTED_VALUE"""),"CO")</f>
        <v>CO</v>
      </c>
      <c r="R1469" s="5" t="str">
        <f ca="1">IFERROR(__xludf.DUMMYFUNCTION("""COMPUTED_VALUE"""),"Other")</f>
        <v>Other</v>
      </c>
      <c r="S1469" s="5" t="str">
        <f ca="1">IFERROR(__xludf.DUMMYFUNCTION("""COMPUTED_VALUE"""),"Playground")</f>
        <v>Playground</v>
      </c>
      <c r="T1469" s="5" t="str">
        <f ca="1">IFERROR(__xludf.DUMMYFUNCTION("""COMPUTED_VALUE"""),"Outside on School Property")</f>
        <v>Outside on School Property</v>
      </c>
      <c r="U1469" s="5" t="str">
        <f ca="1">IFERROR(__xludf.DUMMYFUNCTION("""COMPUTED_VALUE"""),"Yes")</f>
        <v>Yes</v>
      </c>
      <c r="V1469" s="5" t="str">
        <f ca="1">IFERROR(__xludf.DUMMYFUNCTION("""COMPUTED_VALUE"""),"Afternoon Classes")</f>
        <v>Afternoon Classes</v>
      </c>
      <c r="W1469" s="10">
        <f ca="1">IFERROR(__xludf.DUMMYFUNCTION("""COMPUTED_VALUE"""),0.541666666666666)</f>
        <v>0.54166666666666596</v>
      </c>
      <c r="X1469" s="5">
        <f ca="1">IFERROR(__xludf.DUMMYFUNCTION("""COMPUTED_VALUE"""),1)</f>
        <v>1</v>
      </c>
      <c r="Y1469" s="5" t="str">
        <f ca="1">IFERROR(__xludf.DUMMYFUNCTION("""COMPUTED_VALUE"""),"Unknown shooter fired BB gun at playground striking teacher in the neck")</f>
        <v>Unknown shooter fired BB gun at playground striking teacher in the neck</v>
      </c>
      <c r="Z1469" s="5" t="str">
        <f ca="1">IFERROR(__xludf.DUMMYFUNCTION("""COMPUTED_VALUE"""),"Unknown gunman fired BB gun at school playground striking on teacher in the neck and another in the leg. Both teacher were transported to the hospital. No info on gunman or motive.")</f>
        <v>Unknown gunman fired BB gun at school playground striking on teacher in the neck and another in the leg. Both teacher were transported to the hospital. No info on gunman or motive.</v>
      </c>
      <c r="AA1469" s="5" t="str">
        <f ca="1">IFERROR(__xludf.DUMMYFUNCTION("""COMPUTED_VALUE"""),"Indiscriminate Shooting")</f>
        <v>Indiscriminate Shooting</v>
      </c>
      <c r="AB1469" s="5" t="str">
        <f ca="1">IFERROR(__xludf.DUMMYFUNCTION("""COMPUTED_VALUE"""),"Random Shooting")</f>
        <v>Random Shooting</v>
      </c>
      <c r="AC1469" s="5" t="str">
        <f ca="1">IFERROR(__xludf.DUMMYFUNCTION("""COMPUTED_VALUE"""),"No")</f>
        <v>No</v>
      </c>
      <c r="AD1469" s="5" t="str">
        <f ca="1">IFERROR(__xludf.DUMMYFUNCTION("""COMPUTED_VALUE"""),"No")</f>
        <v>No</v>
      </c>
      <c r="AE1469" s="5" t="str">
        <f ca="1">IFERROR(__xludf.DUMMYFUNCTION("""COMPUTED_VALUE"""),"No")</f>
        <v>No</v>
      </c>
      <c r="AF1469" s="5" t="str">
        <f ca="1">IFERROR(__xludf.DUMMYFUNCTION("""COMPUTED_VALUE"""),"No")</f>
        <v>No</v>
      </c>
      <c r="AG1469" s="5" t="str">
        <f ca="1">IFERROR(__xludf.DUMMYFUNCTION("""COMPUTED_VALUE"""),"No")</f>
        <v>No</v>
      </c>
      <c r="AH1469" s="5" t="str">
        <f ca="1">IFERROR(__xludf.DUMMYFUNCTION("""COMPUTED_VALUE"""),"No")</f>
        <v>No</v>
      </c>
      <c r="AI1469" s="5" t="str">
        <f ca="1">IFERROR(__xludf.DUMMYFUNCTION("""COMPUTED_VALUE"""),"No")</f>
        <v>No</v>
      </c>
      <c r="AJ1469" s="5"/>
    </row>
    <row r="1470" spans="1:36" ht="13">
      <c r="A1470" s="5" t="str">
        <f ca="1">IFERROR(__xludf.DUMMYFUNCTION("""COMPUTED_VALUE"""),"20050524LABOS")</f>
        <v>20050524LABOS</v>
      </c>
      <c r="B1470" s="5">
        <f ca="1">IFERROR(__xludf.DUMMYFUNCTION("""COMPUTED_VALUE"""),5)</f>
        <v>5</v>
      </c>
      <c r="C1470" s="5">
        <f ca="1">IFERROR(__xludf.DUMMYFUNCTION("""COMPUTED_VALUE"""),24)</f>
        <v>24</v>
      </c>
      <c r="D1470" s="5">
        <f ca="1">IFERROR(__xludf.DUMMYFUNCTION("""COMPUTED_VALUE"""),2005)</f>
        <v>2005</v>
      </c>
      <c r="E1470" s="8">
        <f ca="1">IFERROR(__xludf.DUMMYFUNCTION("""COMPUTED_VALUE"""),38496)</f>
        <v>38496</v>
      </c>
      <c r="F1470" s="5" t="str">
        <f ca="1">IFERROR(__xludf.DUMMYFUNCTION("""COMPUTED_VALUE"""),"Booker T. Washington High School")</f>
        <v>Booker T. Washington High School</v>
      </c>
      <c r="G1470" s="5">
        <f ca="1">IFERROR(__xludf.DUMMYFUNCTION("""COMPUTED_VALUE"""),0)</f>
        <v>0</v>
      </c>
      <c r="H1470" s="5">
        <f ca="1">IFERROR(__xludf.DUMMYFUNCTION("""COMPUTED_VALUE"""),0)</f>
        <v>0</v>
      </c>
      <c r="I1470" s="5">
        <f ca="1">IFERROR(__xludf.DUMMYFUNCTION("""COMPUTED_VALUE"""),0)</f>
        <v>0</v>
      </c>
      <c r="J1470" s="5">
        <f ca="1">IFERROR(__xludf.DUMMYFUNCTION("""COMPUTED_VALUE"""),0)</f>
        <v>0</v>
      </c>
      <c r="K1470" s="9" t="str">
        <f ca="1">IFERROR(__xludf.DUMMYFUNCTION("""COMPUTED_VALUE"""),"https://www.newspapers.com/image/219341527/")</f>
        <v>https://www.newspapers.com/image/219341527/</v>
      </c>
      <c r="L1470" s="5"/>
      <c r="M1470" s="5"/>
      <c r="N1470" s="5">
        <f ca="1">IFERROR(__xludf.DUMMYFUNCTION("""COMPUTED_VALUE"""),2)</f>
        <v>2</v>
      </c>
      <c r="O1470" s="5" t="str">
        <f ca="1">IFERROR(__xludf.DUMMYFUNCTION("""COMPUTED_VALUE"""),"Spring")</f>
        <v>Spring</v>
      </c>
      <c r="P1470" s="5" t="str">
        <f ca="1">IFERROR(__xludf.DUMMYFUNCTION("""COMPUTED_VALUE"""),"Shreveport")</f>
        <v>Shreveport</v>
      </c>
      <c r="Q1470" s="5" t="str">
        <f ca="1">IFERROR(__xludf.DUMMYFUNCTION("""COMPUTED_VALUE"""),"LA")</f>
        <v>LA</v>
      </c>
      <c r="R1470" s="5" t="str">
        <f ca="1">IFERROR(__xludf.DUMMYFUNCTION("""COMPUTED_VALUE"""),"High")</f>
        <v>High</v>
      </c>
      <c r="S1470" s="5" t="str">
        <f ca="1">IFERROR(__xludf.DUMMYFUNCTION("""COMPUTED_VALUE"""),"Beside Building")</f>
        <v>Beside Building</v>
      </c>
      <c r="T1470" s="5" t="str">
        <f ca="1">IFERROR(__xludf.DUMMYFUNCTION("""COMPUTED_VALUE"""),"Outside on School Property")</f>
        <v>Outside on School Property</v>
      </c>
      <c r="U1470" s="5" t="str">
        <f ca="1">IFERROR(__xludf.DUMMYFUNCTION("""COMPUTED_VALUE"""),"Yes")</f>
        <v>Yes</v>
      </c>
      <c r="V1470" s="5" t="str">
        <f ca="1">IFERROR(__xludf.DUMMYFUNCTION("""COMPUTED_VALUE"""),"Dismissal")</f>
        <v>Dismissal</v>
      </c>
      <c r="W1470" s="10">
        <f ca="1">IFERROR(__xludf.DUMMYFUNCTION("""COMPUTED_VALUE"""),0.579861111111111)</f>
        <v>0.57986111111111105</v>
      </c>
      <c r="X1470" s="5">
        <f ca="1">IFERROR(__xludf.DUMMYFUNCTION("""COMPUTED_VALUE"""),1)</f>
        <v>1</v>
      </c>
      <c r="Y1470" s="5" t="str">
        <f ca="1">IFERROR(__xludf.DUMMYFUNCTION("""COMPUTED_VALUE"""),"Student shot self in leg outside of school put pistol into pocket")</f>
        <v>Student shot self in leg outside of school put pistol into pocket</v>
      </c>
      <c r="Z1470" s="5" t="str">
        <f ca="1">IFERROR(__xludf.DUMMYFUNCTION("""COMPUTED_VALUE"""),"16YOM student shot self in leg putting pistol into pocket outside of high school. Student left the gun outside during the day to avoid metal detectors. Student threw the gun over a fence after the shooting.")</f>
        <v>16YOM student shot self in leg putting pistol into pocket outside of high school. Student left the gun outside during the day to avoid metal detectors. Student threw the gun over a fence after the shooting.</v>
      </c>
      <c r="AA1470" s="5" t="str">
        <f ca="1">IFERROR(__xludf.DUMMYFUNCTION("""COMPUTED_VALUE"""),"Accidental")</f>
        <v>Accidental</v>
      </c>
      <c r="AB1470" s="5" t="str">
        <f ca="1">IFERROR(__xludf.DUMMYFUNCTION("""COMPUTED_VALUE"""),"Neither")</f>
        <v>Neither</v>
      </c>
      <c r="AC1470" s="5" t="str">
        <f ca="1">IFERROR(__xludf.DUMMYFUNCTION("""COMPUTED_VALUE"""),"No")</f>
        <v>No</v>
      </c>
      <c r="AD1470" s="5" t="str">
        <f ca="1">IFERROR(__xludf.DUMMYFUNCTION("""COMPUTED_VALUE"""),"No")</f>
        <v>No</v>
      </c>
      <c r="AE1470" s="5" t="str">
        <f ca="1">IFERROR(__xludf.DUMMYFUNCTION("""COMPUTED_VALUE"""),"No")</f>
        <v>No</v>
      </c>
      <c r="AF1470" s="5" t="str">
        <f ca="1">IFERROR(__xludf.DUMMYFUNCTION("""COMPUTED_VALUE"""),"No")</f>
        <v>No</v>
      </c>
      <c r="AG1470" s="5" t="str">
        <f ca="1">IFERROR(__xludf.DUMMYFUNCTION("""COMPUTED_VALUE"""),"No")</f>
        <v>No</v>
      </c>
      <c r="AH1470" s="5" t="str">
        <f ca="1">IFERROR(__xludf.DUMMYFUNCTION("""COMPUTED_VALUE"""),"No")</f>
        <v>No</v>
      </c>
      <c r="AI1470" s="5" t="str">
        <f ca="1">IFERROR(__xludf.DUMMYFUNCTION("""COMPUTED_VALUE"""),"No")</f>
        <v>No</v>
      </c>
      <c r="AJ1470" s="5"/>
    </row>
    <row r="1471" spans="1:36" ht="13">
      <c r="A1471" s="5" t="str">
        <f ca="1">IFERROR(__xludf.DUMMYFUNCTION("""COMPUTED_VALUE"""),"20050520ILLOM")</f>
        <v>20050520ILLOM</v>
      </c>
      <c r="B1471" s="5">
        <f ca="1">IFERROR(__xludf.DUMMYFUNCTION("""COMPUTED_VALUE"""),5)</f>
        <v>5</v>
      </c>
      <c r="C1471" s="5">
        <f ca="1">IFERROR(__xludf.DUMMYFUNCTION("""COMPUTED_VALUE"""),20)</f>
        <v>20</v>
      </c>
      <c r="D1471" s="5">
        <f ca="1">IFERROR(__xludf.DUMMYFUNCTION("""COMPUTED_VALUE"""),2005)</f>
        <v>2005</v>
      </c>
      <c r="E1471" s="8">
        <f ca="1">IFERROR(__xludf.DUMMYFUNCTION("""COMPUTED_VALUE"""),38492)</f>
        <v>38492</v>
      </c>
      <c r="F1471" s="5" t="str">
        <f ca="1">IFERROR(__xludf.DUMMYFUNCTION("""COMPUTED_VALUE"""),"Locust Elementary School")</f>
        <v>Locust Elementary School</v>
      </c>
      <c r="G1471" s="5">
        <f ca="1">IFERROR(__xludf.DUMMYFUNCTION("""COMPUTED_VALUE"""),0)</f>
        <v>0</v>
      </c>
      <c r="H1471" s="5">
        <f ca="1">IFERROR(__xludf.DUMMYFUNCTION("""COMPUTED_VALUE"""),2)</f>
        <v>2</v>
      </c>
      <c r="I1471" s="5">
        <f ca="1">IFERROR(__xludf.DUMMYFUNCTION("""COMPUTED_VALUE"""),2)</f>
        <v>2</v>
      </c>
      <c r="J1471" s="5">
        <f ca="1">IFERROR(__xludf.DUMMYFUNCTION("""COMPUTED_VALUE"""),0)</f>
        <v>0</v>
      </c>
      <c r="K1471" s="9" t="str">
        <f ca="1">IFERROR(__xludf.DUMMYFUNCTION("""COMPUTED_VALUE"""),"http://articles.chicagotribune.com/2005-05-26/news/0505260268_1_hallman-pupils-soft-air-gun")</f>
        <v>http://articles.chicagotribune.com/2005-05-26/news/0505260268_1_hallman-pupils-soft-air-gun</v>
      </c>
      <c r="L1471" s="5"/>
      <c r="M1471" s="5"/>
      <c r="N1471" s="5">
        <f ca="1">IFERROR(__xludf.DUMMYFUNCTION("""COMPUTED_VALUE"""),2)</f>
        <v>2</v>
      </c>
      <c r="O1471" s="5" t="str">
        <f ca="1">IFERROR(__xludf.DUMMYFUNCTION("""COMPUTED_VALUE"""),"Spring")</f>
        <v>Spring</v>
      </c>
      <c r="P1471" s="5" t="str">
        <f ca="1">IFERROR(__xludf.DUMMYFUNCTION("""COMPUTED_VALUE"""),"Marengo")</f>
        <v>Marengo</v>
      </c>
      <c r="Q1471" s="5" t="str">
        <f ca="1">IFERROR(__xludf.DUMMYFUNCTION("""COMPUTED_VALUE"""),"IL")</f>
        <v>IL</v>
      </c>
      <c r="R1471" s="5" t="str">
        <f ca="1">IFERROR(__xludf.DUMMYFUNCTION("""COMPUTED_VALUE"""),"Elementary")</f>
        <v>Elementary</v>
      </c>
      <c r="S1471" s="5" t="str">
        <f ca="1">IFERROR(__xludf.DUMMYFUNCTION("""COMPUTED_VALUE"""),"Parking Lot")</f>
        <v>Parking Lot</v>
      </c>
      <c r="T1471" s="5" t="str">
        <f ca="1">IFERROR(__xludf.DUMMYFUNCTION("""COMPUTED_VALUE"""),"Outside on School Property")</f>
        <v>Outside on School Property</v>
      </c>
      <c r="U1471" s="5" t="str">
        <f ca="1">IFERROR(__xludf.DUMMYFUNCTION("""COMPUTED_VALUE"""),"Yes")</f>
        <v>Yes</v>
      </c>
      <c r="V1471" s="5" t="str">
        <f ca="1">IFERROR(__xludf.DUMMYFUNCTION("""COMPUTED_VALUE"""),"Dismissal")</f>
        <v>Dismissal</v>
      </c>
      <c r="W1471" s="10">
        <f ca="1">IFERROR(__xludf.DUMMYFUNCTION("""COMPUTED_VALUE"""),0.625)</f>
        <v>0.625</v>
      </c>
      <c r="X1471" s="5">
        <f ca="1">IFERROR(__xludf.DUMMYFUNCTION("""COMPUTED_VALUE"""),1)</f>
        <v>1</v>
      </c>
      <c r="Y1471" s="5" t="str">
        <f ca="1">IFERROR(__xludf.DUMMYFUNCTION("""COMPUTED_VALUE"""),"Showing off airsoft gun in parking lot, accidentally fired injuring 2 students")</f>
        <v>Showing off airsoft gun in parking lot, accidentally fired injuring 2 students</v>
      </c>
      <c r="Z1471" s="5" t="str">
        <f ca="1">IFERROR(__xludf.DUMMYFUNCTION("""COMPUTED_VALUE"""),"19YOM was showing off airsoft pistol to two students in the parking lot. Gun discharged causing minor injuries to both. 19YOM was charged with aggravated battery.")</f>
        <v>19YOM was showing off airsoft pistol to two students in the parking lot. Gun discharged causing minor injuries to both. 19YOM was charged with aggravated battery.</v>
      </c>
      <c r="AA1471" s="5" t="str">
        <f ca="1">IFERROR(__xludf.DUMMYFUNCTION("""COMPUTED_VALUE"""),"Accidental")</f>
        <v>Accidental</v>
      </c>
      <c r="AB1471" s="5" t="str">
        <f ca="1">IFERROR(__xludf.DUMMYFUNCTION("""COMPUTED_VALUE"""),"Random Shooting")</f>
        <v>Random Shooting</v>
      </c>
      <c r="AC1471" s="5" t="str">
        <f ca="1">IFERROR(__xludf.DUMMYFUNCTION("""COMPUTED_VALUE"""),"No")</f>
        <v>No</v>
      </c>
      <c r="AD1471" s="5" t="str">
        <f ca="1">IFERROR(__xludf.DUMMYFUNCTION("""COMPUTED_VALUE"""),"No")</f>
        <v>No</v>
      </c>
      <c r="AE1471" s="5" t="str">
        <f ca="1">IFERROR(__xludf.DUMMYFUNCTION("""COMPUTED_VALUE"""),"No")</f>
        <v>No</v>
      </c>
      <c r="AF1471" s="5" t="str">
        <f ca="1">IFERROR(__xludf.DUMMYFUNCTION("""COMPUTED_VALUE"""),"No")</f>
        <v>No</v>
      </c>
      <c r="AG1471" s="5" t="str">
        <f ca="1">IFERROR(__xludf.DUMMYFUNCTION("""COMPUTED_VALUE"""),"No")</f>
        <v>No</v>
      </c>
      <c r="AH1471" s="5" t="str">
        <f ca="1">IFERROR(__xludf.DUMMYFUNCTION("""COMPUTED_VALUE"""),"No")</f>
        <v>No</v>
      </c>
      <c r="AI1471" s="5" t="str">
        <f ca="1">IFERROR(__xludf.DUMMYFUNCTION("""COMPUTED_VALUE"""),"No")</f>
        <v>No</v>
      </c>
      <c r="AJ1471" s="5"/>
    </row>
    <row r="1472" spans="1:36" ht="13">
      <c r="A1472" s="5" t="str">
        <f ca="1">IFERROR(__xludf.DUMMYFUNCTION("""COMPUTED_VALUE"""),"20050517PAHIL")</f>
        <v>20050517PAHIL</v>
      </c>
      <c r="B1472" s="5">
        <f ca="1">IFERROR(__xludf.DUMMYFUNCTION("""COMPUTED_VALUE"""),5)</f>
        <v>5</v>
      </c>
      <c r="C1472" s="5">
        <f ca="1">IFERROR(__xludf.DUMMYFUNCTION("""COMPUTED_VALUE"""),17)</f>
        <v>17</v>
      </c>
      <c r="D1472" s="5">
        <f ca="1">IFERROR(__xludf.DUMMYFUNCTION("""COMPUTED_VALUE"""),2005)</f>
        <v>2005</v>
      </c>
      <c r="E1472" s="8">
        <f ca="1">IFERROR(__xludf.DUMMYFUNCTION("""COMPUTED_VALUE"""),38489)</f>
        <v>38489</v>
      </c>
      <c r="F1472" s="5" t="str">
        <f ca="1">IFERROR(__xludf.DUMMYFUNCTION("""COMPUTED_VALUE"""),"Highland Elementary School")</f>
        <v>Highland Elementary School</v>
      </c>
      <c r="G1472" s="5">
        <f ca="1">IFERROR(__xludf.DUMMYFUNCTION("""COMPUTED_VALUE"""),1)</f>
        <v>1</v>
      </c>
      <c r="H1472" s="5">
        <f ca="1">IFERROR(__xludf.DUMMYFUNCTION("""COMPUTED_VALUE"""),0)</f>
        <v>0</v>
      </c>
      <c r="I1472" s="5">
        <f ca="1">IFERROR(__xludf.DUMMYFUNCTION("""COMPUTED_VALUE"""),1)</f>
        <v>1</v>
      </c>
      <c r="J1472" s="5">
        <f ca="1">IFERROR(__xludf.DUMMYFUNCTION("""COMPUTED_VALUE"""),1)</f>
        <v>1</v>
      </c>
      <c r="K1472" s="9" t="str">
        <f ca="1">IFERROR(__xludf.DUMMYFUNCTION("""COMPUTED_VALUE"""),"https://cumberlink.com/news/murder-suicide-shocks-school/article_f20ad9ba-ef8b-5fc1-bf1e-2507ab486715.html")</f>
        <v>https://cumberlink.com/news/murder-suicide-shocks-school/article_f20ad9ba-ef8b-5fc1-bf1e-2507ab486715.html</v>
      </c>
      <c r="L1472" s="5"/>
      <c r="M1472" s="5"/>
      <c r="N1472" s="5">
        <f ca="1">IFERROR(__xludf.DUMMYFUNCTION("""COMPUTED_VALUE"""),2)</f>
        <v>2</v>
      </c>
      <c r="O1472" s="5" t="str">
        <f ca="1">IFERROR(__xludf.DUMMYFUNCTION("""COMPUTED_VALUE"""),"Spring")</f>
        <v>Spring</v>
      </c>
      <c r="P1472" s="5" t="str">
        <f ca="1">IFERROR(__xludf.DUMMYFUNCTION("""COMPUTED_VALUE"""),"Lower Allen Township")</f>
        <v>Lower Allen Township</v>
      </c>
      <c r="Q1472" s="5" t="str">
        <f ca="1">IFERROR(__xludf.DUMMYFUNCTION("""COMPUTED_VALUE"""),"PA")</f>
        <v>PA</v>
      </c>
      <c r="R1472" s="5" t="str">
        <f ca="1">IFERROR(__xludf.DUMMYFUNCTION("""COMPUTED_VALUE"""),"Elementary")</f>
        <v>Elementary</v>
      </c>
      <c r="S1472" s="5" t="str">
        <f ca="1">IFERROR(__xludf.DUMMYFUNCTION("""COMPUTED_VALUE"""),"Parking Lot")</f>
        <v>Parking Lot</v>
      </c>
      <c r="T1472" s="5" t="str">
        <f ca="1">IFERROR(__xludf.DUMMYFUNCTION("""COMPUTED_VALUE"""),"Outside on School Property")</f>
        <v>Outside on School Property</v>
      </c>
      <c r="U1472" s="5" t="str">
        <f ca="1">IFERROR(__xludf.DUMMYFUNCTION("""COMPUTED_VALUE"""),"Yes")</f>
        <v>Yes</v>
      </c>
      <c r="V1472" s="5" t="str">
        <f ca="1">IFERROR(__xludf.DUMMYFUNCTION("""COMPUTED_VALUE"""),"Dismissal")</f>
        <v>Dismissal</v>
      </c>
      <c r="W1472" s="10">
        <f ca="1">IFERROR(__xludf.DUMMYFUNCTION("""COMPUTED_VALUE"""),0.625)</f>
        <v>0.625</v>
      </c>
      <c r="X1472" s="5">
        <f ca="1">IFERROR(__xludf.DUMMYFUNCTION("""COMPUTED_VALUE"""),1)</f>
        <v>1</v>
      </c>
      <c r="Y1472" s="5" t="str">
        <f ca="1">IFERROR(__xludf.DUMMYFUNCTION("""COMPUTED_VALUE"""),"Student's mother was killed by ex-boyfriend in the parking lot then commit suicide")</f>
        <v>Student's mother was killed by ex-boyfriend in the parking lot then commit suicide</v>
      </c>
      <c r="Z1472" s="5" t="str">
        <f ca="1">IFERROR(__xludf.DUMMYFUNCTION("""COMPUTED_VALUE"""),"While 32YOF (student's mother) was waiting to pick child up in the parking lot, she was shot and killed during a dispute with her ex-boyfriend (47YOM). He then commit suicide.")</f>
        <v>While 32YOF (student's mother) was waiting to pick child up in the parking lot, she was shot and killed during a dispute with her ex-boyfriend (47YOM). He then commit suicide.</v>
      </c>
      <c r="AA1472" s="5" t="str">
        <f ca="1">IFERROR(__xludf.DUMMYFUNCTION("""COMPUTED_VALUE"""),"Murder/Suicide")</f>
        <v>Murder/Suicide</v>
      </c>
      <c r="AB1472" s="5" t="str">
        <f ca="1">IFERROR(__xludf.DUMMYFUNCTION("""COMPUTED_VALUE"""),"Victims Targeted")</f>
        <v>Victims Targeted</v>
      </c>
      <c r="AC1472" s="5" t="str">
        <f ca="1">IFERROR(__xludf.DUMMYFUNCTION("""COMPUTED_VALUE"""),"No")</f>
        <v>No</v>
      </c>
      <c r="AD1472" s="5" t="str">
        <f ca="1">IFERROR(__xludf.DUMMYFUNCTION("""COMPUTED_VALUE"""),"No")</f>
        <v>No</v>
      </c>
      <c r="AE1472" s="5" t="str">
        <f ca="1">IFERROR(__xludf.DUMMYFUNCTION("""COMPUTED_VALUE"""),"No")</f>
        <v>No</v>
      </c>
      <c r="AF1472" s="5" t="str">
        <f ca="1">IFERROR(__xludf.DUMMYFUNCTION("""COMPUTED_VALUE"""),"No")</f>
        <v>No</v>
      </c>
      <c r="AG1472" s="5" t="str">
        <f ca="1">IFERROR(__xludf.DUMMYFUNCTION("""COMPUTED_VALUE"""),"No")</f>
        <v>No</v>
      </c>
      <c r="AH1472" s="5" t="str">
        <f ca="1">IFERROR(__xludf.DUMMYFUNCTION("""COMPUTED_VALUE"""),"Yes")</f>
        <v>Yes</v>
      </c>
      <c r="AI1472" s="5" t="str">
        <f ca="1">IFERROR(__xludf.DUMMYFUNCTION("""COMPUTED_VALUE"""),"No")</f>
        <v>No</v>
      </c>
      <c r="AJ1472" s="5"/>
    </row>
    <row r="1473" spans="1:36" ht="13">
      <c r="A1473" s="5" t="str">
        <f ca="1">IFERROR(__xludf.DUMMYFUNCTION("""COMPUTED_VALUE"""),"20050514TXBER")</f>
        <v>20050514TXBER</v>
      </c>
      <c r="B1473" s="5">
        <f ca="1">IFERROR(__xludf.DUMMYFUNCTION("""COMPUTED_VALUE"""),5)</f>
        <v>5</v>
      </c>
      <c r="C1473" s="5">
        <f ca="1">IFERROR(__xludf.DUMMYFUNCTION("""COMPUTED_VALUE"""),14)</f>
        <v>14</v>
      </c>
      <c r="D1473" s="5">
        <f ca="1">IFERROR(__xludf.DUMMYFUNCTION("""COMPUTED_VALUE"""),2005)</f>
        <v>2005</v>
      </c>
      <c r="E1473" s="8">
        <f ca="1">IFERROR(__xludf.DUMMYFUNCTION("""COMPUTED_VALUE"""),38486)</f>
        <v>38486</v>
      </c>
      <c r="F1473" s="5" t="str">
        <f ca="1">IFERROR(__xludf.DUMMYFUNCTION("""COMPUTED_VALUE"""),"Berkner High School")</f>
        <v>Berkner High School</v>
      </c>
      <c r="G1473" s="5">
        <f ca="1">IFERROR(__xludf.DUMMYFUNCTION("""COMPUTED_VALUE"""),0)</f>
        <v>0</v>
      </c>
      <c r="H1473" s="5">
        <f ca="1">IFERROR(__xludf.DUMMYFUNCTION("""COMPUTED_VALUE"""),1)</f>
        <v>1</v>
      </c>
      <c r="I1473" s="5">
        <f ca="1">IFERROR(__xludf.DUMMYFUNCTION("""COMPUTED_VALUE"""),1)</f>
        <v>1</v>
      </c>
      <c r="J1473" s="5">
        <f ca="1">IFERROR(__xludf.DUMMYFUNCTION("""COMPUTED_VALUE"""),0)</f>
        <v>0</v>
      </c>
      <c r="K1473" s="9" t="str">
        <f ca="1">IFERROR(__xludf.DUMMYFUNCTION("""COMPUTED_VALUE"""),"http://www.freerepublic.com/focus/news/1404328/posts")</f>
        <v>http://www.freerepublic.com/focus/news/1404328/posts</v>
      </c>
      <c r="L1473" s="5"/>
      <c r="M1473" s="5"/>
      <c r="N1473" s="5">
        <f ca="1">IFERROR(__xludf.DUMMYFUNCTION("""COMPUTED_VALUE"""),2)</f>
        <v>2</v>
      </c>
      <c r="O1473" s="5" t="str">
        <f ca="1">IFERROR(__xludf.DUMMYFUNCTION("""COMPUTED_VALUE"""),"Spring")</f>
        <v>Spring</v>
      </c>
      <c r="P1473" s="5" t="str">
        <f ca="1">IFERROR(__xludf.DUMMYFUNCTION("""COMPUTED_VALUE"""),"Richardson")</f>
        <v>Richardson</v>
      </c>
      <c r="Q1473" s="5" t="str">
        <f ca="1">IFERROR(__xludf.DUMMYFUNCTION("""COMPUTED_VALUE"""),"TX")</f>
        <v>TX</v>
      </c>
      <c r="R1473" s="5" t="str">
        <f ca="1">IFERROR(__xludf.DUMMYFUNCTION("""COMPUTED_VALUE"""),"High")</f>
        <v>High</v>
      </c>
      <c r="S1473" s="5" t="str">
        <f ca="1">IFERROR(__xludf.DUMMYFUNCTION("""COMPUTED_VALUE"""),"Parking Lot")</f>
        <v>Parking Lot</v>
      </c>
      <c r="T1473" s="5" t="str">
        <f ca="1">IFERROR(__xludf.DUMMYFUNCTION("""COMPUTED_VALUE"""),"Outside on School Property")</f>
        <v>Outside on School Property</v>
      </c>
      <c r="U1473" s="5" t="str">
        <f ca="1">IFERROR(__xludf.DUMMYFUNCTION("""COMPUTED_VALUE"""),"No")</f>
        <v>No</v>
      </c>
      <c r="V1473" s="5" t="str">
        <f ca="1">IFERROR(__xludf.DUMMYFUNCTION("""COMPUTED_VALUE"""),"Not a School Day")</f>
        <v>Not a School Day</v>
      </c>
      <c r="W1473" s="10">
        <f ca="1">IFERROR(__xludf.DUMMYFUNCTION("""COMPUTED_VALUE"""),0.8125)</f>
        <v>0.8125</v>
      </c>
      <c r="X1473" s="5">
        <f ca="1">IFERROR(__xludf.DUMMYFUNCTION("""COMPUTED_VALUE"""),1)</f>
        <v>1</v>
      </c>
      <c r="Y1473" s="5" t="str">
        <f ca="1">IFERROR(__xludf.DUMMYFUNCTION("""COMPUTED_VALUE"""),"Fight in high school parking lot following earlier fight broken up by police, shots fired")</f>
        <v>Fight in high school parking lot following earlier fight broken up by police, shots fired</v>
      </c>
      <c r="Z1473" s="5" t="str">
        <f ca="1">IFERROR(__xludf.DUMMYFUNCTION("""COMPUTED_VALUE"""),"Fight between two groups of students from different high schools at a skatepark. Police were called and broke it up. Both groups of students met later at the high school parking lot. Shots were fired injuring a 18YOM. 17YOM was later arrested.")</f>
        <v>Fight between two groups of students from different high schools at a skatepark. Police were called and broke it up. Both groups of students met later at the high school parking lot. Shots were fired injuring a 18YOM. 17YOM was later arrested.</v>
      </c>
      <c r="AA1473" s="5" t="str">
        <f ca="1">IFERROR(__xludf.DUMMYFUNCTION("""COMPUTED_VALUE"""),"Escalation of Dispute")</f>
        <v>Escalation of Dispute</v>
      </c>
      <c r="AB1473" s="5" t="str">
        <f ca="1">IFERROR(__xludf.DUMMYFUNCTION("""COMPUTED_VALUE"""),"Victims Targeted")</f>
        <v>Victims Targeted</v>
      </c>
      <c r="AC1473" s="5" t="str">
        <f ca="1">IFERROR(__xludf.DUMMYFUNCTION("""COMPUTED_VALUE"""),"Yes")</f>
        <v>Yes</v>
      </c>
      <c r="AD1473" s="5" t="str">
        <f ca="1">IFERROR(__xludf.DUMMYFUNCTION("""COMPUTED_VALUE"""),"No")</f>
        <v>No</v>
      </c>
      <c r="AE1473" s="5" t="str">
        <f ca="1">IFERROR(__xludf.DUMMYFUNCTION("""COMPUTED_VALUE"""),"No")</f>
        <v>No</v>
      </c>
      <c r="AF1473" s="5" t="str">
        <f ca="1">IFERROR(__xludf.DUMMYFUNCTION("""COMPUTED_VALUE"""),"No")</f>
        <v>No</v>
      </c>
      <c r="AG1473" s="5" t="str">
        <f ca="1">IFERROR(__xludf.DUMMYFUNCTION("""COMPUTED_VALUE"""),"No")</f>
        <v>No</v>
      </c>
      <c r="AH1473" s="5" t="str">
        <f ca="1">IFERROR(__xludf.DUMMYFUNCTION("""COMPUTED_VALUE"""),"No")</f>
        <v>No</v>
      </c>
      <c r="AI1473" s="5" t="str">
        <f ca="1">IFERROR(__xludf.DUMMYFUNCTION("""COMPUTED_VALUE"""),"No")</f>
        <v>No</v>
      </c>
      <c r="AJ1473" s="5"/>
    </row>
    <row r="1474" spans="1:36" ht="13">
      <c r="A1474" s="5" t="str">
        <f ca="1">IFERROR(__xludf.DUMMYFUNCTION("""COMPUTED_VALUE"""),"20050429OHDAC")</f>
        <v>20050429OHDAC</v>
      </c>
      <c r="B1474" s="5">
        <f ca="1">IFERROR(__xludf.DUMMYFUNCTION("""COMPUTED_VALUE"""),4)</f>
        <v>4</v>
      </c>
      <c r="C1474" s="5">
        <f ca="1">IFERROR(__xludf.DUMMYFUNCTION("""COMPUTED_VALUE"""),29)</f>
        <v>29</v>
      </c>
      <c r="D1474" s="5">
        <f ca="1">IFERROR(__xludf.DUMMYFUNCTION("""COMPUTED_VALUE"""),2005)</f>
        <v>2005</v>
      </c>
      <c r="E1474" s="8">
        <f ca="1">IFERROR(__xludf.DUMMYFUNCTION("""COMPUTED_VALUE"""),38471)</f>
        <v>38471</v>
      </c>
      <c r="F1474" s="5" t="str">
        <f ca="1">IFERROR(__xludf.DUMMYFUNCTION("""COMPUTED_VALUE"""),"Daniel E. Morgan Elementary School")</f>
        <v>Daniel E. Morgan Elementary School</v>
      </c>
      <c r="G1474" s="5">
        <f ca="1">IFERROR(__xludf.DUMMYFUNCTION("""COMPUTED_VALUE"""),0)</f>
        <v>0</v>
      </c>
      <c r="H1474" s="5">
        <f ca="1">IFERROR(__xludf.DUMMYFUNCTION("""COMPUTED_VALUE"""),1)</f>
        <v>1</v>
      </c>
      <c r="I1474" s="5">
        <f ca="1">IFERROR(__xludf.DUMMYFUNCTION("""COMPUTED_VALUE"""),1)</f>
        <v>1</v>
      </c>
      <c r="J1474" s="5">
        <f ca="1">IFERROR(__xludf.DUMMYFUNCTION("""COMPUTED_VALUE"""),0)</f>
        <v>0</v>
      </c>
      <c r="K1474" s="9" t="str">
        <f ca="1">IFERROR(__xludf.DUMMYFUNCTION("""COMPUTED_VALUE"""),"https://www.columbine-angels.com/School_Violence_2004-2005.htm")</f>
        <v>https://www.columbine-angels.com/School_Violence_2004-2005.htm</v>
      </c>
      <c r="L1474" s="5"/>
      <c r="M1474" s="5"/>
      <c r="N1474" s="5">
        <f ca="1">IFERROR(__xludf.DUMMYFUNCTION("""COMPUTED_VALUE"""),1)</f>
        <v>1</v>
      </c>
      <c r="O1474" s="5" t="str">
        <f ca="1">IFERROR(__xludf.DUMMYFUNCTION("""COMPUTED_VALUE"""),"Spring")</f>
        <v>Spring</v>
      </c>
      <c r="P1474" s="5" t="str">
        <f ca="1">IFERROR(__xludf.DUMMYFUNCTION("""COMPUTED_VALUE"""),"Cleveland")</f>
        <v>Cleveland</v>
      </c>
      <c r="Q1474" s="5" t="str">
        <f ca="1">IFERROR(__xludf.DUMMYFUNCTION("""COMPUTED_VALUE"""),"OH")</f>
        <v>OH</v>
      </c>
      <c r="R1474" s="5" t="str">
        <f ca="1">IFERROR(__xludf.DUMMYFUNCTION("""COMPUTED_VALUE"""),"High")</f>
        <v>High</v>
      </c>
      <c r="S1474" s="5" t="str">
        <f ca="1">IFERROR(__xludf.DUMMYFUNCTION("""COMPUTED_VALUE"""),"Office")</f>
        <v>Office</v>
      </c>
      <c r="T1474" s="5" t="str">
        <f ca="1">IFERROR(__xludf.DUMMYFUNCTION("""COMPUTED_VALUE"""),"Inside School Building")</f>
        <v>Inside School Building</v>
      </c>
      <c r="U1474" s="5"/>
      <c r="V1474" s="5"/>
      <c r="W1474" s="5"/>
      <c r="X1474" s="5">
        <f ca="1">IFERROR(__xludf.DUMMYFUNCTION("""COMPUTED_VALUE"""),1)</f>
        <v>1</v>
      </c>
      <c r="Y1474" s="5" t="str">
        <f ca="1">IFERROR(__xludf.DUMMYFUNCTION("""COMPUTED_VALUE"""),"Shot fired at window of the school office")</f>
        <v>Shot fired at window of the school office</v>
      </c>
      <c r="Z1474" s="5" t="str">
        <f ca="1">IFERROR(__xludf.DUMMYFUNCTION("""COMPUTED_VALUE"""),"17 year-old male shooter fired a shot at a school window and that struck the secretary.  She was taken to the hospital for treatment.  Police were able to recover a shell casing and later arrested the shooter.")</f>
        <v>17 year-old male shooter fired a shot at a school window and that struck the secretary.  She was taken to the hospital for treatment.  Police were able to recover a shell casing and later arrested the shooter.</v>
      </c>
      <c r="AA1474" s="5" t="str">
        <f ca="1">IFERROR(__xludf.DUMMYFUNCTION("""COMPUTED_VALUE"""),"Intentional Property Damage")</f>
        <v>Intentional Property Damage</v>
      </c>
      <c r="AB1474" s="5"/>
      <c r="AC1474" s="5" t="str">
        <f ca="1">IFERROR(__xludf.DUMMYFUNCTION("""COMPUTED_VALUE"""),"No")</f>
        <v>No</v>
      </c>
      <c r="AD1474" s="5" t="str">
        <f ca="1">IFERROR(__xludf.DUMMYFUNCTION("""COMPUTED_VALUE"""),"No")</f>
        <v>No</v>
      </c>
      <c r="AE1474" s="5" t="str">
        <f ca="1">IFERROR(__xludf.DUMMYFUNCTION("""COMPUTED_VALUE"""),"No")</f>
        <v>No</v>
      </c>
      <c r="AF1474" s="5" t="str">
        <f ca="1">IFERROR(__xludf.DUMMYFUNCTION("""COMPUTED_VALUE"""),"No")</f>
        <v>No</v>
      </c>
      <c r="AG1474" s="5" t="str">
        <f ca="1">IFERROR(__xludf.DUMMYFUNCTION("""COMPUTED_VALUE"""),"No")</f>
        <v>No</v>
      </c>
      <c r="AH1474" s="5" t="str">
        <f ca="1">IFERROR(__xludf.DUMMYFUNCTION("""COMPUTED_VALUE"""),"No")</f>
        <v>No</v>
      </c>
      <c r="AI1474" s="5" t="str">
        <f ca="1">IFERROR(__xludf.DUMMYFUNCTION("""COMPUTED_VALUE"""),"No")</f>
        <v>No</v>
      </c>
      <c r="AJ1474" s="5"/>
    </row>
    <row r="1475" spans="1:36" ht="13">
      <c r="A1475" s="5" t="str">
        <f ca="1">IFERROR(__xludf.DUMMYFUNCTION("""COMPUTED_VALUE"""),"20050427LALER")</f>
        <v>20050427LALER</v>
      </c>
      <c r="B1475" s="5">
        <f ca="1">IFERROR(__xludf.DUMMYFUNCTION("""COMPUTED_VALUE"""),4)</f>
        <v>4</v>
      </c>
      <c r="C1475" s="5">
        <f ca="1">IFERROR(__xludf.DUMMYFUNCTION("""COMPUTED_VALUE"""),27)</f>
        <v>27</v>
      </c>
      <c r="D1475" s="5">
        <f ca="1">IFERROR(__xludf.DUMMYFUNCTION("""COMPUTED_VALUE"""),2005)</f>
        <v>2005</v>
      </c>
      <c r="E1475" s="8">
        <f ca="1">IFERROR(__xludf.DUMMYFUNCTION("""COMPUTED_VALUE"""),38469)</f>
        <v>38469</v>
      </c>
      <c r="F1475" s="5" t="str">
        <f ca="1">IFERROR(__xludf.DUMMYFUNCTION("""COMPUTED_VALUE"""),"Leon Godchaux Junior High School")</f>
        <v>Leon Godchaux Junior High School</v>
      </c>
      <c r="G1475" s="5">
        <f ca="1">IFERROR(__xludf.DUMMYFUNCTION("""COMPUTED_VALUE"""),0)</f>
        <v>0</v>
      </c>
      <c r="H1475" s="5">
        <f ca="1">IFERROR(__xludf.DUMMYFUNCTION("""COMPUTED_VALUE"""),0)</f>
        <v>0</v>
      </c>
      <c r="I1475" s="5">
        <f ca="1">IFERROR(__xludf.DUMMYFUNCTION("""COMPUTED_VALUE"""),0)</f>
        <v>0</v>
      </c>
      <c r="J1475" s="5">
        <f ca="1">IFERROR(__xludf.DUMMYFUNCTION("""COMPUTED_VALUE"""),0)</f>
        <v>0</v>
      </c>
      <c r="K1475" s="9" t="str">
        <f ca="1">IFERROR(__xludf.DUMMYFUNCTION("""COMPUTED_VALUE"""),"https://www.lobservateur.com/2005/05/02/godchaux-student-fires-handgun-in-class/")</f>
        <v>https://www.lobservateur.com/2005/05/02/godchaux-student-fires-handgun-in-class/</v>
      </c>
      <c r="L1475" s="5"/>
      <c r="M1475" s="5"/>
      <c r="N1475" s="5">
        <f ca="1">IFERROR(__xludf.DUMMYFUNCTION("""COMPUTED_VALUE"""),2)</f>
        <v>2</v>
      </c>
      <c r="O1475" s="5" t="str">
        <f ca="1">IFERROR(__xludf.DUMMYFUNCTION("""COMPUTED_VALUE"""),"Spring")</f>
        <v>Spring</v>
      </c>
      <c r="P1475" s="5" t="str">
        <f ca="1">IFERROR(__xludf.DUMMYFUNCTION("""COMPUTED_VALUE"""),"Reserve")</f>
        <v>Reserve</v>
      </c>
      <c r="Q1475" s="5" t="str">
        <f ca="1">IFERROR(__xludf.DUMMYFUNCTION("""COMPUTED_VALUE"""),"LA")</f>
        <v>LA</v>
      </c>
      <c r="R1475" s="5" t="str">
        <f ca="1">IFERROR(__xludf.DUMMYFUNCTION("""COMPUTED_VALUE"""),"High")</f>
        <v>High</v>
      </c>
      <c r="S1475" s="5" t="str">
        <f ca="1">IFERROR(__xludf.DUMMYFUNCTION("""COMPUTED_VALUE"""),"Classroom")</f>
        <v>Classroom</v>
      </c>
      <c r="T1475" s="5" t="str">
        <f ca="1">IFERROR(__xludf.DUMMYFUNCTION("""COMPUTED_VALUE"""),"Inside School Building")</f>
        <v>Inside School Building</v>
      </c>
      <c r="U1475" s="5" t="str">
        <f ca="1">IFERROR(__xludf.DUMMYFUNCTION("""COMPUTED_VALUE"""),"Yes")</f>
        <v>Yes</v>
      </c>
      <c r="V1475" s="5" t="str">
        <f ca="1">IFERROR(__xludf.DUMMYFUNCTION("""COMPUTED_VALUE"""),"Morning Classes")</f>
        <v>Morning Classes</v>
      </c>
      <c r="W1475" s="10">
        <f ca="1">IFERROR(__xludf.DUMMYFUNCTION("""COMPUTED_VALUE"""),0.416666666666666)</f>
        <v>0.41666666666666602</v>
      </c>
      <c r="X1475" s="5">
        <f ca="1">IFERROR(__xludf.DUMMYFUNCTION("""COMPUTED_VALUE"""),1)</f>
        <v>1</v>
      </c>
      <c r="Y1475" s="5" t="str">
        <f ca="1">IFERROR(__xludf.DUMMYFUNCTION("""COMPUTED_VALUE"""),"Student fired gun in pocket, students in the class fled the scene, threw gun in sewer drain")</f>
        <v>Student fired gun in pocket, students in the class fled the scene, threw gun in sewer drain</v>
      </c>
      <c r="Z1475" s="5" t="str">
        <f ca="1">IFERROR(__xludf.DUMMYFUNCTION("""COMPUTED_VALUE"""),"15YOM was playing with gun in pocket when it fired in classroom. Students fled the area. No injured. Student threw gun in sewer drain but it was found by school officials.")</f>
        <v>15YOM was playing with gun in pocket when it fired in classroom. Students fled the area. No injured. Student threw gun in sewer drain but it was found by school officials.</v>
      </c>
      <c r="AA1475" s="5" t="str">
        <f ca="1">IFERROR(__xludf.DUMMYFUNCTION("""COMPUTED_VALUE"""),"Accidental")</f>
        <v>Accidental</v>
      </c>
      <c r="AB1475" s="5" t="str">
        <f ca="1">IFERROR(__xludf.DUMMYFUNCTION("""COMPUTED_VALUE"""),"Neither")</f>
        <v>Neither</v>
      </c>
      <c r="AC1475" s="5" t="str">
        <f ca="1">IFERROR(__xludf.DUMMYFUNCTION("""COMPUTED_VALUE"""),"Yes")</f>
        <v>Yes</v>
      </c>
      <c r="AD1475" s="5" t="str">
        <f ca="1">IFERROR(__xludf.DUMMYFUNCTION("""COMPUTED_VALUE"""),"No")</f>
        <v>No</v>
      </c>
      <c r="AE1475" s="5" t="str">
        <f ca="1">IFERROR(__xludf.DUMMYFUNCTION("""COMPUTED_VALUE"""),"No")</f>
        <v>No</v>
      </c>
      <c r="AF1475" s="5" t="str">
        <f ca="1">IFERROR(__xludf.DUMMYFUNCTION("""COMPUTED_VALUE"""),"No")</f>
        <v>No</v>
      </c>
      <c r="AG1475" s="5" t="str">
        <f ca="1">IFERROR(__xludf.DUMMYFUNCTION("""COMPUTED_VALUE"""),"No")</f>
        <v>No</v>
      </c>
      <c r="AH1475" s="5" t="str">
        <f ca="1">IFERROR(__xludf.DUMMYFUNCTION("""COMPUTED_VALUE"""),"No")</f>
        <v>No</v>
      </c>
      <c r="AI1475" s="5" t="str">
        <f ca="1">IFERROR(__xludf.DUMMYFUNCTION("""COMPUTED_VALUE"""),"No")</f>
        <v>No</v>
      </c>
      <c r="AJ1475" s="5"/>
    </row>
    <row r="1476" spans="1:36" ht="13">
      <c r="A1476" s="5" t="str">
        <f ca="1">IFERROR(__xludf.DUMMYFUNCTION("""COMPUTED_VALUE"""),"20050407TXCAC")</f>
        <v>20050407TXCAC</v>
      </c>
      <c r="B1476" s="5">
        <f ca="1">IFERROR(__xludf.DUMMYFUNCTION("""COMPUTED_VALUE"""),4)</f>
        <v>4</v>
      </c>
      <c r="C1476" s="5">
        <f ca="1">IFERROR(__xludf.DUMMYFUNCTION("""COMPUTED_VALUE"""),7)</f>
        <v>7</v>
      </c>
      <c r="D1476" s="5">
        <f ca="1">IFERROR(__xludf.DUMMYFUNCTION("""COMPUTED_VALUE"""),2005)</f>
        <v>2005</v>
      </c>
      <c r="E1476" s="8">
        <f ca="1">IFERROR(__xludf.DUMMYFUNCTION("""COMPUTED_VALUE"""),38449)</f>
        <v>38449</v>
      </c>
      <c r="F1476" s="5" t="str">
        <f ca="1">IFERROR(__xludf.DUMMYFUNCTION("""COMPUTED_VALUE"""),"Canton High School")</f>
        <v>Canton High School</v>
      </c>
      <c r="G1476" s="5">
        <f ca="1">IFERROR(__xludf.DUMMYFUNCTION("""COMPUTED_VALUE"""),0)</f>
        <v>0</v>
      </c>
      <c r="H1476" s="5">
        <f ca="1">IFERROR(__xludf.DUMMYFUNCTION("""COMPUTED_VALUE"""),1)</f>
        <v>1</v>
      </c>
      <c r="I1476" s="5">
        <f ca="1">IFERROR(__xludf.DUMMYFUNCTION("""COMPUTED_VALUE"""),1)</f>
        <v>1</v>
      </c>
      <c r="J1476" s="5">
        <f ca="1">IFERROR(__xludf.DUMMYFUNCTION("""COMPUTED_VALUE"""),0)</f>
        <v>0</v>
      </c>
      <c r="K1476" s="9" t="str">
        <f ca="1">IFERROR(__xludf.DUMMYFUNCTION("""COMPUTED_VALUE"""),"http://www.nbcnews.com/id/7420306/ns/us_news-crime_and_courts/t/wounded-coach-upset-some-players-parents/#.W2cyndJKiUk")</f>
        <v>http://www.nbcnews.com/id/7420306/ns/us_news-crime_and_courts/t/wounded-coach-upset-some-players-parents/#.W2cyndJKiUk</v>
      </c>
      <c r="L1476" s="5"/>
      <c r="M1476" s="5"/>
      <c r="N1476" s="5">
        <f ca="1">IFERROR(__xludf.DUMMYFUNCTION("""COMPUTED_VALUE"""),2)</f>
        <v>2</v>
      </c>
      <c r="O1476" s="5" t="str">
        <f ca="1">IFERROR(__xludf.DUMMYFUNCTION("""COMPUTED_VALUE"""),"Spring")</f>
        <v>Spring</v>
      </c>
      <c r="P1476" s="5" t="str">
        <f ca="1">IFERROR(__xludf.DUMMYFUNCTION("""COMPUTED_VALUE"""),"Canton")</f>
        <v>Canton</v>
      </c>
      <c r="Q1476" s="5" t="str">
        <f ca="1">IFERROR(__xludf.DUMMYFUNCTION("""COMPUTED_VALUE"""),"TX")</f>
        <v>TX</v>
      </c>
      <c r="R1476" s="5" t="str">
        <f ca="1">IFERROR(__xludf.DUMMYFUNCTION("""COMPUTED_VALUE"""),"High")</f>
        <v>High</v>
      </c>
      <c r="S1476" s="5" t="str">
        <f ca="1">IFERROR(__xludf.DUMMYFUNCTION("""COMPUTED_VALUE"""),"Office")</f>
        <v>Office</v>
      </c>
      <c r="T1476" s="5" t="str">
        <f ca="1">IFERROR(__xludf.DUMMYFUNCTION("""COMPUTED_VALUE"""),"Inside School Building")</f>
        <v>Inside School Building</v>
      </c>
      <c r="U1476" s="5" t="str">
        <f ca="1">IFERROR(__xludf.DUMMYFUNCTION("""COMPUTED_VALUE"""),"Yes")</f>
        <v>Yes</v>
      </c>
      <c r="V1476" s="5" t="str">
        <f ca="1">IFERROR(__xludf.DUMMYFUNCTION("""COMPUTED_VALUE"""),"Morning Classes")</f>
        <v>Morning Classes</v>
      </c>
      <c r="W1476" s="10">
        <f ca="1">IFERROR(__xludf.DUMMYFUNCTION("""COMPUTED_VALUE"""),0.385416666666666)</f>
        <v>0.38541666666666602</v>
      </c>
      <c r="X1476" s="5">
        <f ca="1">IFERROR(__xludf.DUMMYFUNCTION("""COMPUTED_VALUE"""),1)</f>
        <v>1</v>
      </c>
      <c r="Y1476" s="5" t="str">
        <f ca="1">IFERROR(__xludf.DUMMYFUNCTION("""COMPUTED_VALUE"""),"Shot football coach for benching his son")</f>
        <v>Shot football coach for benching his son</v>
      </c>
      <c r="Z1476" s="5" t="str">
        <f ca="1">IFERROR(__xludf.DUMMYFUNCTION("""COMPUTED_VALUE"""),"Father of football player was angry at coach for benching his son and had multiple violent arguments. 44YOM drove to the school, shot coach in the chest, and fled the scene.")</f>
        <v>Father of football player was angry at coach for benching his son and had multiple violent arguments. 44YOM drove to the school, shot coach in the chest, and fled the scene.</v>
      </c>
      <c r="AA1476" s="5" t="str">
        <f ca="1">IFERROR(__xludf.DUMMYFUNCTION("""COMPUTED_VALUE"""),"Escalation of Dispute")</f>
        <v>Escalation of Dispute</v>
      </c>
      <c r="AB1476" s="5" t="str">
        <f ca="1">IFERROR(__xludf.DUMMYFUNCTION("""COMPUTED_VALUE"""),"Victims Targeted")</f>
        <v>Victims Targeted</v>
      </c>
      <c r="AC1476" s="5" t="str">
        <f ca="1">IFERROR(__xludf.DUMMYFUNCTION("""COMPUTED_VALUE"""),"No")</f>
        <v>No</v>
      </c>
      <c r="AD1476" s="5" t="str">
        <f ca="1">IFERROR(__xludf.DUMMYFUNCTION("""COMPUTED_VALUE"""),"No")</f>
        <v>No</v>
      </c>
      <c r="AE1476" s="5" t="str">
        <f ca="1">IFERROR(__xludf.DUMMYFUNCTION("""COMPUTED_VALUE"""),"No")</f>
        <v>No</v>
      </c>
      <c r="AF1476" s="5" t="str">
        <f ca="1">IFERROR(__xludf.DUMMYFUNCTION("""COMPUTED_VALUE"""),"No")</f>
        <v>No</v>
      </c>
      <c r="AG1476" s="5" t="str">
        <f ca="1">IFERROR(__xludf.DUMMYFUNCTION("""COMPUTED_VALUE"""),"No")</f>
        <v>No</v>
      </c>
      <c r="AH1476" s="5" t="str">
        <f ca="1">IFERROR(__xludf.DUMMYFUNCTION("""COMPUTED_VALUE"""),"No")</f>
        <v>No</v>
      </c>
      <c r="AI1476" s="5" t="str">
        <f ca="1">IFERROR(__xludf.DUMMYFUNCTION("""COMPUTED_VALUE"""),"No")</f>
        <v>No</v>
      </c>
      <c r="AJ1476" s="5"/>
    </row>
    <row r="1477" spans="1:36" ht="13">
      <c r="A1477" s="5" t="str">
        <f ca="1">IFERROR(__xludf.DUMMYFUNCTION("""COMPUTED_VALUE"""),"20050330TNEAM")</f>
        <v>20050330TNEAM</v>
      </c>
      <c r="B1477" s="5">
        <f ca="1">IFERROR(__xludf.DUMMYFUNCTION("""COMPUTED_VALUE"""),3)</f>
        <v>3</v>
      </c>
      <c r="C1477" s="5">
        <f ca="1">IFERROR(__xludf.DUMMYFUNCTION("""COMPUTED_VALUE"""),30)</f>
        <v>30</v>
      </c>
      <c r="D1477" s="5">
        <f ca="1">IFERROR(__xludf.DUMMYFUNCTION("""COMPUTED_VALUE"""),2005)</f>
        <v>2005</v>
      </c>
      <c r="E1477" s="8">
        <f ca="1">IFERROR(__xludf.DUMMYFUNCTION("""COMPUTED_VALUE"""),38441)</f>
        <v>38441</v>
      </c>
      <c r="F1477" s="5" t="str">
        <f ca="1">IFERROR(__xludf.DUMMYFUNCTION("""COMPUTED_VALUE"""),"East High School")</f>
        <v>East High School</v>
      </c>
      <c r="G1477" s="5">
        <f ca="1">IFERROR(__xludf.DUMMYFUNCTION("""COMPUTED_VALUE"""),0)</f>
        <v>0</v>
      </c>
      <c r="H1477" s="5">
        <f ca="1">IFERROR(__xludf.DUMMYFUNCTION("""COMPUTED_VALUE"""),0)</f>
        <v>0</v>
      </c>
      <c r="I1477" s="5">
        <f ca="1">IFERROR(__xludf.DUMMYFUNCTION("""COMPUTED_VALUE"""),0)</f>
        <v>0</v>
      </c>
      <c r="J1477" s="5">
        <f ca="1">IFERROR(__xludf.DUMMYFUNCTION("""COMPUTED_VALUE"""),0)</f>
        <v>0</v>
      </c>
      <c r="K1477" s="9" t="str">
        <f ca="1">IFERROR(__xludf.DUMMYFUNCTION("""COMPUTED_VALUE"""),"https://www.columbine-angels.com/School_Violence_2004-2005.htm")</f>
        <v>https://www.columbine-angels.com/School_Violence_2004-2005.htm</v>
      </c>
      <c r="L1477" s="5"/>
      <c r="M1477" s="5"/>
      <c r="N1477" s="5">
        <f ca="1">IFERROR(__xludf.DUMMYFUNCTION("""COMPUTED_VALUE"""),1)</f>
        <v>1</v>
      </c>
      <c r="O1477" s="5" t="str">
        <f ca="1">IFERROR(__xludf.DUMMYFUNCTION("""COMPUTED_VALUE"""),"Spring")</f>
        <v>Spring</v>
      </c>
      <c r="P1477" s="5" t="str">
        <f ca="1">IFERROR(__xludf.DUMMYFUNCTION("""COMPUTED_VALUE"""),"Memphis")</f>
        <v>Memphis</v>
      </c>
      <c r="Q1477" s="5" t="str">
        <f ca="1">IFERROR(__xludf.DUMMYFUNCTION("""COMPUTED_VALUE"""),"TN")</f>
        <v>TN</v>
      </c>
      <c r="R1477" s="5" t="str">
        <f ca="1">IFERROR(__xludf.DUMMYFUNCTION("""COMPUTED_VALUE"""),"High")</f>
        <v>High</v>
      </c>
      <c r="S1477" s="5" t="str">
        <f ca="1">IFERROR(__xludf.DUMMYFUNCTION("""COMPUTED_VALUE"""),"Classroom")</f>
        <v>Classroom</v>
      </c>
      <c r="T1477" s="5" t="str">
        <f ca="1">IFERROR(__xludf.DUMMYFUNCTION("""COMPUTED_VALUE"""),"Inside School Building")</f>
        <v>Inside School Building</v>
      </c>
      <c r="U1477" s="5" t="str">
        <f ca="1">IFERROR(__xludf.DUMMYFUNCTION("""COMPUTED_VALUE"""),"Yes")</f>
        <v>Yes</v>
      </c>
      <c r="V1477" s="5" t="str">
        <f ca="1">IFERROR(__xludf.DUMMYFUNCTION("""COMPUTED_VALUE"""),"Morning Classes")</f>
        <v>Morning Classes</v>
      </c>
      <c r="W1477" s="10">
        <f ca="1">IFERROR(__xludf.DUMMYFUNCTION("""COMPUTED_VALUE"""),0.458333333333333)</f>
        <v>0.45833333333333298</v>
      </c>
      <c r="X1477" s="5">
        <f ca="1">IFERROR(__xludf.DUMMYFUNCTION("""COMPUTED_VALUE"""),1)</f>
        <v>1</v>
      </c>
      <c r="Y1477" s="5" t="str">
        <f ca="1">IFERROR(__xludf.DUMMYFUNCTION("""COMPUTED_VALUE"""),"Accidental discharge in classroom")</f>
        <v>Accidental discharge in classroom</v>
      </c>
      <c r="Z1477" s="5" t="str">
        <f ca="1">IFERROR(__xludf.DUMMYFUNCTION("""COMPUTED_VALUE"""),"Handgun being carried by a 17YOM accidentally went off. Shooter fled the classroom holding his leg, however, he only received a minor powder burn.")</f>
        <v>Handgun being carried by a 17YOM accidentally went off. Shooter fled the classroom holding his leg, however, he only received a minor powder burn.</v>
      </c>
      <c r="AA1477" s="5" t="str">
        <f ca="1">IFERROR(__xludf.DUMMYFUNCTION("""COMPUTED_VALUE"""),"Accidental")</f>
        <v>Accidental</v>
      </c>
      <c r="AB1477" s="5" t="str">
        <f ca="1">IFERROR(__xludf.DUMMYFUNCTION("""COMPUTED_VALUE"""),"Random Shooting")</f>
        <v>Random Shooting</v>
      </c>
      <c r="AC1477" s="5" t="str">
        <f ca="1">IFERROR(__xludf.DUMMYFUNCTION("""COMPUTED_VALUE"""),"No")</f>
        <v>No</v>
      </c>
      <c r="AD1477" s="5" t="str">
        <f ca="1">IFERROR(__xludf.DUMMYFUNCTION("""COMPUTED_VALUE"""),"No")</f>
        <v>No</v>
      </c>
      <c r="AE1477" s="5" t="str">
        <f ca="1">IFERROR(__xludf.DUMMYFUNCTION("""COMPUTED_VALUE"""),"No")</f>
        <v>No</v>
      </c>
      <c r="AF1477" s="5" t="str">
        <f ca="1">IFERROR(__xludf.DUMMYFUNCTION("""COMPUTED_VALUE"""),"No")</f>
        <v>No</v>
      </c>
      <c r="AG1477" s="5" t="str">
        <f ca="1">IFERROR(__xludf.DUMMYFUNCTION("""COMPUTED_VALUE"""),"No")</f>
        <v>No</v>
      </c>
      <c r="AH1477" s="5" t="str">
        <f ca="1">IFERROR(__xludf.DUMMYFUNCTION("""COMPUTED_VALUE"""),"No")</f>
        <v>No</v>
      </c>
      <c r="AI1477" s="5" t="str">
        <f ca="1">IFERROR(__xludf.DUMMYFUNCTION("""COMPUTED_VALUE"""),"No")</f>
        <v>No</v>
      </c>
      <c r="AJ1477" s="5"/>
    </row>
    <row r="1478" spans="1:36" ht="13">
      <c r="A1478" s="5" t="str">
        <f ca="1">IFERROR(__xludf.DUMMYFUNCTION("""COMPUTED_VALUE"""),"20050324TNFAM")</f>
        <v>20050324TNFAM</v>
      </c>
      <c r="B1478" s="5">
        <f ca="1">IFERROR(__xludf.DUMMYFUNCTION("""COMPUTED_VALUE"""),3)</f>
        <v>3</v>
      </c>
      <c r="C1478" s="5">
        <f ca="1">IFERROR(__xludf.DUMMYFUNCTION("""COMPUTED_VALUE"""),24)</f>
        <v>24</v>
      </c>
      <c r="D1478" s="5">
        <f ca="1">IFERROR(__xludf.DUMMYFUNCTION("""COMPUTED_VALUE"""),2005)</f>
        <v>2005</v>
      </c>
      <c r="E1478" s="8">
        <f ca="1">IFERROR(__xludf.DUMMYFUNCTION("""COMPUTED_VALUE"""),38435)</f>
        <v>38435</v>
      </c>
      <c r="F1478" s="5" t="str">
        <f ca="1">IFERROR(__xludf.DUMMYFUNCTION("""COMPUTED_VALUE"""),"Fairly High School")</f>
        <v>Fairly High School</v>
      </c>
      <c r="G1478" s="5">
        <f ca="1">IFERROR(__xludf.DUMMYFUNCTION("""COMPUTED_VALUE"""),0)</f>
        <v>0</v>
      </c>
      <c r="H1478" s="5">
        <f ca="1">IFERROR(__xludf.DUMMYFUNCTION("""COMPUTED_VALUE"""),0)</f>
        <v>0</v>
      </c>
      <c r="I1478" s="5">
        <f ca="1">IFERROR(__xludf.DUMMYFUNCTION("""COMPUTED_VALUE"""),0)</f>
        <v>0</v>
      </c>
      <c r="J1478" s="5">
        <f ca="1">IFERROR(__xludf.DUMMYFUNCTION("""COMPUTED_VALUE"""),0)</f>
        <v>0</v>
      </c>
      <c r="K1478" s="9" t="str">
        <f ca="1">IFERROR(__xludf.DUMMYFUNCTION("""COMPUTED_VALUE"""),"https://www.columbine-angels.com/School_Violence_2004-2005.htm")</f>
        <v>https://www.columbine-angels.com/School_Violence_2004-2005.htm</v>
      </c>
      <c r="L1478" s="5"/>
      <c r="M1478" s="5"/>
      <c r="N1478" s="5">
        <f ca="1">IFERROR(__xludf.DUMMYFUNCTION("""COMPUTED_VALUE"""),1)</f>
        <v>1</v>
      </c>
      <c r="O1478" s="5" t="str">
        <f ca="1">IFERROR(__xludf.DUMMYFUNCTION("""COMPUTED_VALUE"""),"Spring")</f>
        <v>Spring</v>
      </c>
      <c r="P1478" s="5" t="str">
        <f ca="1">IFERROR(__xludf.DUMMYFUNCTION("""COMPUTED_VALUE"""),"Memphis")</f>
        <v>Memphis</v>
      </c>
      <c r="Q1478" s="5" t="str">
        <f ca="1">IFERROR(__xludf.DUMMYFUNCTION("""COMPUTED_VALUE"""),"TN")</f>
        <v>TN</v>
      </c>
      <c r="R1478" s="5" t="str">
        <f ca="1">IFERROR(__xludf.DUMMYFUNCTION("""COMPUTED_VALUE"""),"High")</f>
        <v>High</v>
      </c>
      <c r="S1478" s="5" t="str">
        <f ca="1">IFERROR(__xludf.DUMMYFUNCTION("""COMPUTED_VALUE"""),"Inside School Building")</f>
        <v>Inside School Building</v>
      </c>
      <c r="T1478" s="5" t="str">
        <f ca="1">IFERROR(__xludf.DUMMYFUNCTION("""COMPUTED_VALUE"""),"Inside School Building")</f>
        <v>Inside School Building</v>
      </c>
      <c r="U1478" s="5" t="str">
        <f ca="1">IFERROR(__xludf.DUMMYFUNCTION("""COMPUTED_VALUE"""),"Yes")</f>
        <v>Yes</v>
      </c>
      <c r="V1478" s="5"/>
      <c r="W1478" s="5"/>
      <c r="X1478" s="5">
        <f ca="1">IFERROR(__xludf.DUMMYFUNCTION("""COMPUTED_VALUE"""),1)</f>
        <v>1</v>
      </c>
      <c r="Y1478" s="5" t="str">
        <f ca="1">IFERROR(__xludf.DUMMYFUNCTION("""COMPUTED_VALUE"""),"Accidental discharge of gun in student's purse")</f>
        <v>Accidental discharge of gun in student's purse</v>
      </c>
      <c r="Z1478" s="5" t="str">
        <f ca="1">IFERROR(__xludf.DUMMYFUNCTION("""COMPUTED_VALUE"""),"As 17YOF reached into her purse and the loaded gun she had in there went off.  The bullet struck her in the arm.  She was transported to the Regional Medical Center for treatment of bullet wound and was charged as a juvenile for bringing a weapon onto sch"&amp;"ool property.")</f>
        <v>As 17YOF reached into her purse and the loaded gun she had in there went off.  The bullet struck her in the arm.  She was transported to the Regional Medical Center for treatment of bullet wound and was charged as a juvenile for bringing a weapon onto school property.</v>
      </c>
      <c r="AA1478" s="5" t="str">
        <f ca="1">IFERROR(__xludf.DUMMYFUNCTION("""COMPUTED_VALUE"""),"Accidental")</f>
        <v>Accidental</v>
      </c>
      <c r="AB1478" s="5" t="str">
        <f ca="1">IFERROR(__xludf.DUMMYFUNCTION("""COMPUTED_VALUE"""),"Random Shooting")</f>
        <v>Random Shooting</v>
      </c>
      <c r="AC1478" s="5" t="str">
        <f ca="1">IFERROR(__xludf.DUMMYFUNCTION("""COMPUTED_VALUE"""),"No")</f>
        <v>No</v>
      </c>
      <c r="AD1478" s="5" t="str">
        <f ca="1">IFERROR(__xludf.DUMMYFUNCTION("""COMPUTED_VALUE"""),"No")</f>
        <v>No</v>
      </c>
      <c r="AE1478" s="5" t="str">
        <f ca="1">IFERROR(__xludf.DUMMYFUNCTION("""COMPUTED_VALUE"""),"No")</f>
        <v>No</v>
      </c>
      <c r="AF1478" s="5" t="str">
        <f ca="1">IFERROR(__xludf.DUMMYFUNCTION("""COMPUTED_VALUE"""),"No")</f>
        <v>No</v>
      </c>
      <c r="AG1478" s="5" t="str">
        <f ca="1">IFERROR(__xludf.DUMMYFUNCTION("""COMPUTED_VALUE"""),"No")</f>
        <v>No</v>
      </c>
      <c r="AH1478" s="5" t="str">
        <f ca="1">IFERROR(__xludf.DUMMYFUNCTION("""COMPUTED_VALUE"""),"No")</f>
        <v>No</v>
      </c>
      <c r="AI1478" s="5" t="str">
        <f ca="1">IFERROR(__xludf.DUMMYFUNCTION("""COMPUTED_VALUE"""),"No")</f>
        <v>No</v>
      </c>
      <c r="AJ1478" s="5"/>
    </row>
    <row r="1479" spans="1:36" ht="13">
      <c r="A1479" s="5" t="str">
        <f ca="1">IFERROR(__xludf.DUMMYFUNCTION("""COMPUTED_VALUE"""),"20050321MNRER")</f>
        <v>20050321MNRER</v>
      </c>
      <c r="B1479" s="5">
        <f ca="1">IFERROR(__xludf.DUMMYFUNCTION("""COMPUTED_VALUE"""),3)</f>
        <v>3</v>
      </c>
      <c r="C1479" s="5">
        <f ca="1">IFERROR(__xludf.DUMMYFUNCTION("""COMPUTED_VALUE"""),21)</f>
        <v>21</v>
      </c>
      <c r="D1479" s="5">
        <f ca="1">IFERROR(__xludf.DUMMYFUNCTION("""COMPUTED_VALUE"""),2005)</f>
        <v>2005</v>
      </c>
      <c r="E1479" s="8">
        <f ca="1">IFERROR(__xludf.DUMMYFUNCTION("""COMPUTED_VALUE"""),38432)</f>
        <v>38432</v>
      </c>
      <c r="F1479" s="5" t="str">
        <f ca="1">IFERROR(__xludf.DUMMYFUNCTION("""COMPUTED_VALUE"""),"Red Lake Senior High School")</f>
        <v>Red Lake Senior High School</v>
      </c>
      <c r="G1479" s="5">
        <f ca="1">IFERROR(__xludf.DUMMYFUNCTION("""COMPUTED_VALUE"""),8)</f>
        <v>8</v>
      </c>
      <c r="H1479" s="5">
        <f ca="1">IFERROR(__xludf.DUMMYFUNCTION("""COMPUTED_VALUE"""),5)</f>
        <v>5</v>
      </c>
      <c r="I1479" s="5">
        <f ca="1">IFERROR(__xludf.DUMMYFUNCTION("""COMPUTED_VALUE"""),13)</f>
        <v>13</v>
      </c>
      <c r="J1479" s="5">
        <f ca="1">IFERROR(__xludf.DUMMYFUNCTION("""COMPUTED_VALUE"""),1)</f>
        <v>1</v>
      </c>
      <c r="K1479" s="5" t="str">
        <f ca="1">IFERROR(__xludf.DUMMYFUNCTION("""COMPUTED_VALUE"""),"https://www.mprnews.org/story/2015/03/18/red-lake-shooting-explained https://www.fbi.gov/file-repository/active-shooter-incidents-2000-2017.pdf")</f>
        <v>https://www.mprnews.org/story/2015/03/18/red-lake-shooting-explained https://www.fbi.gov/file-repository/active-shooter-incidents-2000-2017.pdf</v>
      </c>
      <c r="L1479" s="5"/>
      <c r="M1479" s="5"/>
      <c r="N1479" s="5">
        <f ca="1">IFERROR(__xludf.DUMMYFUNCTION("""COMPUTED_VALUE"""),5)</f>
        <v>5</v>
      </c>
      <c r="O1479" s="5" t="str">
        <f ca="1">IFERROR(__xludf.DUMMYFUNCTION("""COMPUTED_VALUE"""),"Spring")</f>
        <v>Spring</v>
      </c>
      <c r="P1479" s="5" t="str">
        <f ca="1">IFERROR(__xludf.DUMMYFUNCTION("""COMPUTED_VALUE"""),"Red Lake")</f>
        <v>Red Lake</v>
      </c>
      <c r="Q1479" s="5" t="str">
        <f ca="1">IFERROR(__xludf.DUMMYFUNCTION("""COMPUTED_VALUE"""),"MN")</f>
        <v>MN</v>
      </c>
      <c r="R1479" s="5" t="str">
        <f ca="1">IFERROR(__xludf.DUMMYFUNCTION("""COMPUTED_VALUE"""),"High")</f>
        <v>High</v>
      </c>
      <c r="S1479" s="5" t="str">
        <f ca="1">IFERROR(__xludf.DUMMYFUNCTION("""COMPUTED_VALUE"""),"Hallway")</f>
        <v>Hallway</v>
      </c>
      <c r="T1479" s="5" t="str">
        <f ca="1">IFERROR(__xludf.DUMMYFUNCTION("""COMPUTED_VALUE"""),"Inside School Building")</f>
        <v>Inside School Building</v>
      </c>
      <c r="U1479" s="5" t="str">
        <f ca="1">IFERROR(__xludf.DUMMYFUNCTION("""COMPUTED_VALUE"""),"Yes")</f>
        <v>Yes</v>
      </c>
      <c r="V1479" s="5" t="str">
        <f ca="1">IFERROR(__xludf.DUMMYFUNCTION("""COMPUTED_VALUE"""),"Afternoon Classes")</f>
        <v>Afternoon Classes</v>
      </c>
      <c r="W1479" s="10">
        <f ca="1">IFERROR(__xludf.DUMMYFUNCTION("""COMPUTED_VALUE"""),0.617361111111111)</f>
        <v>0.61736111111111103</v>
      </c>
      <c r="X1479" s="5"/>
      <c r="Y1479" s="5" t="str">
        <f ca="1">IFERROR(__xludf.DUMMYFUNCTION("""COMPUTED_VALUE"""),"Planned attack on school, studied Columbine, wore trench coat, had been bullied")</f>
        <v>Planned attack on school, studied Columbine, wore trench coat, had been bullied</v>
      </c>
      <c r="Z1479" s="5" t="str">
        <f ca="1">IFERROR(__xludf.DUMMYFUNCTION("""COMPUTED_VALUE"""),"Shooter killed his grandfather who was a tribal police officer and took his department issued shotgun and handgun plus a ballistic vest to the school. Shooter fired in the hallway and a classroom killing and injuring multiple students. When shooter was en"&amp;"gaged by law enforcement, he went into a classroom and commit suicide. The shooter was obsessed with Columbine and other mass shootings. School officials were aware of violent journal entries he wrote about mass shootings. He told other students about his"&amp;" plan to attack the school (one was arrested for conspiracy but charges were dropped). Shooter was bullied and dressed like the Columbine shooters wearing a black trenchcoat and dark makeup. Shooter's father had commit suicide and mother was severely inju"&amp;"red in car accident; placed into custody of grandparents. Shooter was on increased dosage of prozac at the time of the shooting. Weapons: .40 caliber; 12-gauge")</f>
        <v>Shooter killed his grandfather who was a tribal police officer and took his department issued shotgun and handgun plus a ballistic vest to the school. Shooter fired in the hallway and a classroom killing and injuring multiple students. When shooter was engaged by law enforcement, he went into a classroom and commit suicide. The shooter was obsessed with Columbine and other mass shootings. School officials were aware of violent journal entries he wrote about mass shootings. He told other students about his plan to attack the school (one was arrested for conspiracy but charges were dropped). Shooter was bullied and dressed like the Columbine shooters wearing a black trenchcoat and dark makeup. Shooter's father had commit suicide and mother was severely injured in car accident; placed into custody of grandparents. Shooter was on increased dosage of prozac at the time of the shooting. Weapons: .40 caliber; 12-gauge</v>
      </c>
      <c r="AA1479" s="5" t="str">
        <f ca="1">IFERROR(__xludf.DUMMYFUNCTION("""COMPUTED_VALUE"""),"Indiscriminate Shooting")</f>
        <v>Indiscriminate Shooting</v>
      </c>
      <c r="AB1479" s="5" t="str">
        <f ca="1">IFERROR(__xludf.DUMMYFUNCTION("""COMPUTED_VALUE"""),"Random Shooting")</f>
        <v>Random Shooting</v>
      </c>
      <c r="AC1479" s="5" t="str">
        <f ca="1">IFERROR(__xludf.DUMMYFUNCTION("""COMPUTED_VALUE"""),"No")</f>
        <v>No</v>
      </c>
      <c r="AD1479" s="5" t="str">
        <f ca="1">IFERROR(__xludf.DUMMYFUNCTION("""COMPUTED_VALUE"""),"No")</f>
        <v>No</v>
      </c>
      <c r="AE1479" s="5" t="str">
        <f ca="1">IFERROR(__xludf.DUMMYFUNCTION("""COMPUTED_VALUE"""),"No")</f>
        <v>No</v>
      </c>
      <c r="AF1479" s="5" t="str">
        <f ca="1">IFERROR(__xludf.DUMMYFUNCTION("""COMPUTED_VALUE"""),"No")</f>
        <v>No</v>
      </c>
      <c r="AG1479" s="5" t="str">
        <f ca="1">IFERROR(__xludf.DUMMYFUNCTION("""COMPUTED_VALUE"""),"Yes")</f>
        <v>Yes</v>
      </c>
      <c r="AH1479" s="5" t="str">
        <f ca="1">IFERROR(__xludf.DUMMYFUNCTION("""COMPUTED_VALUE"""),"No")</f>
        <v>No</v>
      </c>
      <c r="AI1479" s="5" t="str">
        <f ca="1">IFERROR(__xludf.DUMMYFUNCTION("""COMPUTED_VALUE"""),"No")</f>
        <v>No</v>
      </c>
      <c r="AJ1479" s="5" t="str">
        <f ca="1">IFERROR(__xludf.DUMMYFUNCTION("""COMPUTED_VALUE"""),"Yes")</f>
        <v>Yes</v>
      </c>
    </row>
    <row r="1480" spans="1:36" ht="13">
      <c r="A1480" s="5" t="str">
        <f ca="1">IFERROR(__xludf.DUMMYFUNCTION("""COMPUTED_VALUE"""),"20050321NYNEB")</f>
        <v>20050321NYNEB</v>
      </c>
      <c r="B1480" s="5">
        <f ca="1">IFERROR(__xludf.DUMMYFUNCTION("""COMPUTED_VALUE"""),3)</f>
        <v>3</v>
      </c>
      <c r="C1480" s="5">
        <f ca="1">IFERROR(__xludf.DUMMYFUNCTION("""COMPUTED_VALUE"""),21)</f>
        <v>21</v>
      </c>
      <c r="D1480" s="5">
        <f ca="1">IFERROR(__xludf.DUMMYFUNCTION("""COMPUTED_VALUE"""),2005)</f>
        <v>2005</v>
      </c>
      <c r="E1480" s="8">
        <f ca="1">IFERROR(__xludf.DUMMYFUNCTION("""COMPUTED_VALUE"""),38432)</f>
        <v>38432</v>
      </c>
      <c r="F1480" s="5" t="str">
        <f ca="1">IFERROR(__xludf.DUMMYFUNCTION("""COMPUTED_VALUE"""),"New Utrecht High School")</f>
        <v>New Utrecht High School</v>
      </c>
      <c r="G1480" s="5">
        <f ca="1">IFERROR(__xludf.DUMMYFUNCTION("""COMPUTED_VALUE"""),0)</f>
        <v>0</v>
      </c>
      <c r="H1480" s="5">
        <f ca="1">IFERROR(__xludf.DUMMYFUNCTION("""COMPUTED_VALUE"""),0)</f>
        <v>0</v>
      </c>
      <c r="I1480" s="5">
        <f ca="1">IFERROR(__xludf.DUMMYFUNCTION("""COMPUTED_VALUE"""),0)</f>
        <v>0</v>
      </c>
      <c r="J1480" s="5">
        <f ca="1">IFERROR(__xludf.DUMMYFUNCTION("""COMPUTED_VALUE"""),0)</f>
        <v>0</v>
      </c>
      <c r="K1480" s="9" t="str">
        <f ca="1">IFERROR(__xludf.DUMMYFUNCTION("""COMPUTED_VALUE"""),"http://www.nydailynews.com/archives/news/b-klyn-hs-panic-boy-shoots-leg-article-1.589241")</f>
        <v>http://www.nydailynews.com/archives/news/b-klyn-hs-panic-boy-shoots-leg-article-1.589241</v>
      </c>
      <c r="L1480" s="5">
        <f ca="1">IFERROR(__xludf.DUMMYFUNCTION("""COMPUTED_VALUE"""),1)</f>
        <v>1</v>
      </c>
      <c r="M1480" s="5" t="str">
        <f ca="1">IFERROR(__xludf.DUMMYFUNCTION("""COMPUTED_VALUE"""),"Local")</f>
        <v>Local</v>
      </c>
      <c r="N1480" s="5">
        <f ca="1">IFERROR(__xludf.DUMMYFUNCTION("""COMPUTED_VALUE"""),2)</f>
        <v>2</v>
      </c>
      <c r="O1480" s="5" t="str">
        <f ca="1">IFERROR(__xludf.DUMMYFUNCTION("""COMPUTED_VALUE"""),"Spring")</f>
        <v>Spring</v>
      </c>
      <c r="P1480" s="5" t="str">
        <f ca="1">IFERROR(__xludf.DUMMYFUNCTION("""COMPUTED_VALUE"""),"Brooklyn")</f>
        <v>Brooklyn</v>
      </c>
      <c r="Q1480" s="5" t="str">
        <f ca="1">IFERROR(__xludf.DUMMYFUNCTION("""COMPUTED_VALUE"""),"NY")</f>
        <v>NY</v>
      </c>
      <c r="R1480" s="5" t="str">
        <f ca="1">IFERROR(__xludf.DUMMYFUNCTION("""COMPUTED_VALUE"""),"High")</f>
        <v>High</v>
      </c>
      <c r="S1480" s="5" t="str">
        <f ca="1">IFERROR(__xludf.DUMMYFUNCTION("""COMPUTED_VALUE"""),"Classroom")</f>
        <v>Classroom</v>
      </c>
      <c r="T1480" s="5" t="str">
        <f ca="1">IFERROR(__xludf.DUMMYFUNCTION("""COMPUTED_VALUE"""),"Inside School Building")</f>
        <v>Inside School Building</v>
      </c>
      <c r="U1480" s="5" t="str">
        <f ca="1">IFERROR(__xludf.DUMMYFUNCTION("""COMPUTED_VALUE"""),"Yes")</f>
        <v>Yes</v>
      </c>
      <c r="V1480" s="5" t="str">
        <f ca="1">IFERROR(__xludf.DUMMYFUNCTION("""COMPUTED_VALUE"""),"Morning Classes")</f>
        <v>Morning Classes</v>
      </c>
      <c r="W1480" s="10">
        <f ca="1">IFERROR(__xludf.DUMMYFUNCTION("""COMPUTED_VALUE"""),0.5)</f>
        <v>0.5</v>
      </c>
      <c r="X1480" s="5">
        <f ca="1">IFERROR(__xludf.DUMMYFUNCTION("""COMPUTED_VALUE"""),1)</f>
        <v>1</v>
      </c>
      <c r="Y1480" s="5" t="str">
        <f ca="1">IFERROR(__xludf.DUMMYFUNCTION("""COMPUTED_VALUE"""),"Accidental discharge in pocket during class")</f>
        <v>Accidental discharge in pocket during class</v>
      </c>
      <c r="Z1480" s="5" t="str">
        <f ca="1">IFERROR(__xludf.DUMMYFUNCTION("""COMPUTED_VALUE"""),"Shooter was playing with gun in his pocket and accidentally fired shooting himself in the leg. The shooter told other students not to tell the teacher and tried to blend in with the crowd leaving the school. Shooter gave gun to a classmate to hide (also c"&amp;"harged and expelled following the incident).")</f>
        <v>Shooter was playing with gun in his pocket and accidentally fired shooting himself in the leg. The shooter told other students not to tell the teacher and tried to blend in with the crowd leaving the school. Shooter gave gun to a classmate to hide (also charged and expelled following the incident).</v>
      </c>
      <c r="AA1480" s="5" t="str">
        <f ca="1">IFERROR(__xludf.DUMMYFUNCTION("""COMPUTED_VALUE"""),"Accidental")</f>
        <v>Accidental</v>
      </c>
      <c r="AB1480" s="5" t="str">
        <f ca="1">IFERROR(__xludf.DUMMYFUNCTION("""COMPUTED_VALUE"""),"Random Shooting")</f>
        <v>Random Shooting</v>
      </c>
      <c r="AC1480" s="5" t="str">
        <f ca="1">IFERROR(__xludf.DUMMYFUNCTION("""COMPUTED_VALUE"""),"No")</f>
        <v>No</v>
      </c>
      <c r="AD1480" s="5" t="str">
        <f ca="1">IFERROR(__xludf.DUMMYFUNCTION("""COMPUTED_VALUE"""),"No")</f>
        <v>No</v>
      </c>
      <c r="AE1480" s="5" t="str">
        <f ca="1">IFERROR(__xludf.DUMMYFUNCTION("""COMPUTED_VALUE"""),"No")</f>
        <v>No</v>
      </c>
      <c r="AF1480" s="5" t="str">
        <f ca="1">IFERROR(__xludf.DUMMYFUNCTION("""COMPUTED_VALUE"""),"No")</f>
        <v>No</v>
      </c>
      <c r="AG1480" s="5" t="str">
        <f ca="1">IFERROR(__xludf.DUMMYFUNCTION("""COMPUTED_VALUE"""),"No")</f>
        <v>No</v>
      </c>
      <c r="AH1480" s="5" t="str">
        <f ca="1">IFERROR(__xludf.DUMMYFUNCTION("""COMPUTED_VALUE"""),"No")</f>
        <v>No</v>
      </c>
      <c r="AI1480" s="5" t="str">
        <f ca="1">IFERROR(__xludf.DUMMYFUNCTION("""COMPUTED_VALUE"""),"No")</f>
        <v>No</v>
      </c>
      <c r="AJ1480" s="5"/>
    </row>
    <row r="1481" spans="1:36" ht="13">
      <c r="A1481" s="5" t="str">
        <f ca="1">IFERROR(__xludf.DUMMYFUNCTION("""COMPUTED_VALUE"""),"20050317LAOPA")</f>
        <v>20050317LAOPA</v>
      </c>
      <c r="B1481" s="5">
        <f ca="1">IFERROR(__xludf.DUMMYFUNCTION("""COMPUTED_VALUE"""),3)</f>
        <v>3</v>
      </c>
      <c r="C1481" s="5">
        <f ca="1">IFERROR(__xludf.DUMMYFUNCTION("""COMPUTED_VALUE"""),17)</f>
        <v>17</v>
      </c>
      <c r="D1481" s="5">
        <f ca="1">IFERROR(__xludf.DUMMYFUNCTION("""COMPUTED_VALUE"""),2005)</f>
        <v>2005</v>
      </c>
      <c r="E1481" s="8">
        <f ca="1">IFERROR(__xludf.DUMMYFUNCTION("""COMPUTED_VALUE"""),38428)</f>
        <v>38428</v>
      </c>
      <c r="F1481" s="5" t="str">
        <f ca="1">IFERROR(__xludf.DUMMYFUNCTION("""COMPUTED_VALUE"""),"O Perry Walker High School")</f>
        <v>O Perry Walker High School</v>
      </c>
      <c r="G1481" s="5">
        <f ca="1">IFERROR(__xludf.DUMMYFUNCTION("""COMPUTED_VALUE"""),0)</f>
        <v>0</v>
      </c>
      <c r="H1481" s="5">
        <f ca="1">IFERROR(__xludf.DUMMYFUNCTION("""COMPUTED_VALUE"""),1)</f>
        <v>1</v>
      </c>
      <c r="I1481" s="5">
        <f ca="1">IFERROR(__xludf.DUMMYFUNCTION("""COMPUTED_VALUE"""),1)</f>
        <v>1</v>
      </c>
      <c r="J1481" s="5">
        <f ca="1">IFERROR(__xludf.DUMMYFUNCTION("""COMPUTED_VALUE"""),0)</f>
        <v>0</v>
      </c>
      <c r="K1481" s="9" t="str">
        <f ca="1">IFERROR(__xludf.DUMMYFUNCTION("""COMPUTED_VALUE"""),"https://www.newspapers.com/image/321630892/?terms=o.%2Bperry%2Bhigh%2Bschool")</f>
        <v>https://www.newspapers.com/image/321630892/?terms=o.%2Bperry%2Bhigh%2Bschool</v>
      </c>
      <c r="L1481" s="5"/>
      <c r="M1481" s="5"/>
      <c r="N1481" s="5">
        <f ca="1">IFERROR(__xludf.DUMMYFUNCTION("""COMPUTED_VALUE"""),1)</f>
        <v>1</v>
      </c>
      <c r="O1481" s="5" t="str">
        <f ca="1">IFERROR(__xludf.DUMMYFUNCTION("""COMPUTED_VALUE"""),"Spring")</f>
        <v>Spring</v>
      </c>
      <c r="P1481" s="5" t="str">
        <f ca="1">IFERROR(__xludf.DUMMYFUNCTION("""COMPUTED_VALUE"""),"Algiers")</f>
        <v>Algiers</v>
      </c>
      <c r="Q1481" s="5" t="str">
        <f ca="1">IFERROR(__xludf.DUMMYFUNCTION("""COMPUTED_VALUE"""),"LA")</f>
        <v>LA</v>
      </c>
      <c r="R1481" s="5" t="str">
        <f ca="1">IFERROR(__xludf.DUMMYFUNCTION("""COMPUTED_VALUE"""),"High")</f>
        <v>High</v>
      </c>
      <c r="S1481" s="5" t="str">
        <f ca="1">IFERROR(__xludf.DUMMYFUNCTION("""COMPUTED_VALUE"""),"Hallway")</f>
        <v>Hallway</v>
      </c>
      <c r="T1481" s="5" t="str">
        <f ca="1">IFERROR(__xludf.DUMMYFUNCTION("""COMPUTED_VALUE"""),"Inside School Building")</f>
        <v>Inside School Building</v>
      </c>
      <c r="U1481" s="5" t="str">
        <f ca="1">IFERROR(__xludf.DUMMYFUNCTION("""COMPUTED_VALUE"""),"Yes")</f>
        <v>Yes</v>
      </c>
      <c r="V1481" s="5" t="str">
        <f ca="1">IFERROR(__xludf.DUMMYFUNCTION("""COMPUTED_VALUE"""),"Afternoon Classes")</f>
        <v>Afternoon Classes</v>
      </c>
      <c r="W1481" s="5"/>
      <c r="X1481" s="5">
        <f ca="1">IFERROR(__xludf.DUMMYFUNCTION("""COMPUTED_VALUE"""),1)</f>
        <v>1</v>
      </c>
      <c r="Y1481" s="5" t="str">
        <f ca="1">IFERROR(__xludf.DUMMYFUNCTION("""COMPUTED_VALUE"""),"Bystand student struck when shots were fired during fight")</f>
        <v>Bystand student struck when shots were fired during fight</v>
      </c>
      <c r="Z1481" s="5" t="str">
        <f ca="1">IFERROR(__xludf.DUMMYFUNCTION("""COMPUTED_VALUE"""),"Victim caught in the crossfire of an ongoing dispute. Unidentified shooter fled and gun was not recovered.")</f>
        <v>Victim caught in the crossfire of an ongoing dispute. Unidentified shooter fled and gun was not recovered.</v>
      </c>
      <c r="AA1481" s="5" t="str">
        <f ca="1">IFERROR(__xludf.DUMMYFUNCTION("""COMPUTED_VALUE"""),"Escalation of Dispute")</f>
        <v>Escalation of Dispute</v>
      </c>
      <c r="AB1481" s="5" t="str">
        <f ca="1">IFERROR(__xludf.DUMMYFUNCTION("""COMPUTED_VALUE"""),"Random Shooting")</f>
        <v>Random Shooting</v>
      </c>
      <c r="AC1481" s="5" t="str">
        <f ca="1">IFERROR(__xludf.DUMMYFUNCTION("""COMPUTED_VALUE"""),"Yes")</f>
        <v>Yes</v>
      </c>
      <c r="AD1481" s="5" t="str">
        <f ca="1">IFERROR(__xludf.DUMMYFUNCTION("""COMPUTED_VALUE"""),"No")</f>
        <v>No</v>
      </c>
      <c r="AE1481" s="5" t="str">
        <f ca="1">IFERROR(__xludf.DUMMYFUNCTION("""COMPUTED_VALUE"""),"No")</f>
        <v>No</v>
      </c>
      <c r="AF1481" s="5" t="str">
        <f ca="1">IFERROR(__xludf.DUMMYFUNCTION("""COMPUTED_VALUE"""),"No")</f>
        <v>No</v>
      </c>
      <c r="AG1481" s="5" t="str">
        <f ca="1">IFERROR(__xludf.DUMMYFUNCTION("""COMPUTED_VALUE"""),"No")</f>
        <v>No</v>
      </c>
      <c r="AH1481" s="5" t="str">
        <f ca="1">IFERROR(__xludf.DUMMYFUNCTION("""COMPUTED_VALUE"""),"No")</f>
        <v>No</v>
      </c>
      <c r="AI1481" s="5" t="str">
        <f ca="1">IFERROR(__xludf.DUMMYFUNCTION("""COMPUTED_VALUE"""),"No")</f>
        <v>No</v>
      </c>
      <c r="AJ1481" s="5"/>
    </row>
    <row r="1482" spans="1:36" ht="13">
      <c r="A1482" s="5" t="str">
        <f ca="1">IFERROR(__xludf.DUMMYFUNCTION("""COMPUTED_VALUE"""),"20050317CALOL")</f>
        <v>20050317CALOL</v>
      </c>
      <c r="B1482" s="5">
        <f ca="1">IFERROR(__xludf.DUMMYFUNCTION("""COMPUTED_VALUE"""),3)</f>
        <v>3</v>
      </c>
      <c r="C1482" s="5">
        <f ca="1">IFERROR(__xludf.DUMMYFUNCTION("""COMPUTED_VALUE"""),17)</f>
        <v>17</v>
      </c>
      <c r="D1482" s="5">
        <f ca="1">IFERROR(__xludf.DUMMYFUNCTION("""COMPUTED_VALUE"""),2005)</f>
        <v>2005</v>
      </c>
      <c r="E1482" s="8">
        <f ca="1">IFERROR(__xludf.DUMMYFUNCTION("""COMPUTED_VALUE"""),38428)</f>
        <v>38428</v>
      </c>
      <c r="F1482" s="5" t="str">
        <f ca="1">IFERROR(__xludf.DUMMYFUNCTION("""COMPUTED_VALUE"""),"Locke High School")</f>
        <v>Locke High School</v>
      </c>
      <c r="G1482" s="5">
        <f ca="1">IFERROR(__xludf.DUMMYFUNCTION("""COMPUTED_VALUE"""),1)</f>
        <v>1</v>
      </c>
      <c r="H1482" s="5">
        <f ca="1">IFERROR(__xludf.DUMMYFUNCTION("""COMPUTED_VALUE"""),0)</f>
        <v>0</v>
      </c>
      <c r="I1482" s="5">
        <f ca="1">IFERROR(__xludf.DUMMYFUNCTION("""COMPUTED_VALUE"""),1)</f>
        <v>1</v>
      </c>
      <c r="J1482" s="5">
        <f ca="1">IFERROR(__xludf.DUMMYFUNCTION("""COMPUTED_VALUE"""),0)</f>
        <v>0</v>
      </c>
      <c r="K1482" s="5" t="str">
        <f ca="1">IFERROR(__xludf.DUMMYFUNCTION("""COMPUTED_VALUE"""),"http://www.lapdonline.org/southeast_news/news_view/19955 . http://www.sandiegouniontribune.com/sdut-alleged-gang-member-charged-in-15-year-old-girls-2005mar23-story.html . http://articles.latimes.com/2006/aug/02/local/me-briefs2.5 . https://www.gettyimage"&amp;"s.com/detail/news-photo/dejuan-hines-an-18yearold-alleged-gang-member-is-news-photo/564016599#/dejuan-hines-an-18yearold-alleged-gang-member-is-arraigned-for-in-picture-id564016599")</f>
        <v>http://www.lapdonline.org/southeast_news/news_view/19955 . http://www.sandiegouniontribune.com/sdut-alleged-gang-member-charged-in-15-year-old-girls-2005mar23-story.html . http://articles.latimes.com/2006/aug/02/local/me-briefs2.5 . https://www.gettyimages.com/detail/news-photo/dejuan-hines-an-18yearold-alleged-gang-member-is-news-photo/564016599#/dejuan-hines-an-18yearold-alleged-gang-member-is-arraigned-for-in-picture-id564016599</v>
      </c>
      <c r="L1482" s="5"/>
      <c r="M1482" s="5"/>
      <c r="N1482" s="5">
        <f ca="1">IFERROR(__xludf.DUMMYFUNCTION("""COMPUTED_VALUE"""),3)</f>
        <v>3</v>
      </c>
      <c r="O1482" s="5" t="str">
        <f ca="1">IFERROR(__xludf.DUMMYFUNCTION("""COMPUTED_VALUE"""),"Spring")</f>
        <v>Spring</v>
      </c>
      <c r="P1482" s="5" t="str">
        <f ca="1">IFERROR(__xludf.DUMMYFUNCTION("""COMPUTED_VALUE"""),"Los Angeles")</f>
        <v>Los Angeles</v>
      </c>
      <c r="Q1482" s="5" t="str">
        <f ca="1">IFERROR(__xludf.DUMMYFUNCTION("""COMPUTED_VALUE"""),"CA")</f>
        <v>CA</v>
      </c>
      <c r="R1482" s="5" t="str">
        <f ca="1">IFERROR(__xludf.DUMMYFUNCTION("""COMPUTED_VALUE"""),"High")</f>
        <v>High</v>
      </c>
      <c r="S1482" s="5" t="str">
        <f ca="1">IFERROR(__xludf.DUMMYFUNCTION("""COMPUTED_VALUE"""),"Beside Building")</f>
        <v>Beside Building</v>
      </c>
      <c r="T1482" s="5" t="str">
        <f ca="1">IFERROR(__xludf.DUMMYFUNCTION("""COMPUTED_VALUE"""),"Outside on School Property")</f>
        <v>Outside on School Property</v>
      </c>
      <c r="U1482" s="5" t="str">
        <f ca="1">IFERROR(__xludf.DUMMYFUNCTION("""COMPUTED_VALUE"""),"Yes")</f>
        <v>Yes</v>
      </c>
      <c r="V1482" s="5" t="str">
        <f ca="1">IFERROR(__xludf.DUMMYFUNCTION("""COMPUTED_VALUE"""),"Dismissal")</f>
        <v>Dismissal</v>
      </c>
      <c r="W1482" s="10">
        <f ca="1">IFERROR(__xludf.DUMMYFUNCTION("""COMPUTED_VALUE"""),0.625)</f>
        <v>0.625</v>
      </c>
      <c r="X1482" s="5">
        <f ca="1">IFERROR(__xludf.DUMMYFUNCTION("""COMPUTED_VALUE"""),1)</f>
        <v>1</v>
      </c>
      <c r="Y1482" s="5" t="str">
        <f ca="1">IFERROR(__xludf.DUMMYFUNCTION("""COMPUTED_VALUE"""),"Victim accidentally caught in cross fire of gang related shooting")</f>
        <v>Victim accidentally caught in cross fire of gang related shooting</v>
      </c>
      <c r="Z1482" s="5" t="str">
        <f ca="1">IFERROR(__xludf.DUMMYFUNCTION("""COMPUTED_VALUE"""),"Victim was accidently stuck by a bullet fired from 18 shooter who was involved in a gang related shooting. Shooter later arrested and charged. Victim died 8 days later.")</f>
        <v>Victim was accidently stuck by a bullet fired from 18 shooter who was involved in a gang related shooting. Shooter later arrested and charged. Victim died 8 days later.</v>
      </c>
      <c r="AA1482" s="5" t="str">
        <f ca="1">IFERROR(__xludf.DUMMYFUNCTION("""COMPUTED_VALUE"""),"Escalation of Dispute")</f>
        <v>Escalation of Dispute</v>
      </c>
      <c r="AB1482" s="5"/>
      <c r="AC1482" s="5" t="str">
        <f ca="1">IFERROR(__xludf.DUMMYFUNCTION("""COMPUTED_VALUE"""),"No")</f>
        <v>No</v>
      </c>
      <c r="AD1482" s="5" t="str">
        <f ca="1">IFERROR(__xludf.DUMMYFUNCTION("""COMPUTED_VALUE"""),"No")</f>
        <v>No</v>
      </c>
      <c r="AE1482" s="5" t="str">
        <f ca="1">IFERROR(__xludf.DUMMYFUNCTION("""COMPUTED_VALUE"""),"No")</f>
        <v>No</v>
      </c>
      <c r="AF1482" s="5" t="str">
        <f ca="1">IFERROR(__xludf.DUMMYFUNCTION("""COMPUTED_VALUE"""),"No")</f>
        <v>No</v>
      </c>
      <c r="AG1482" s="5" t="str">
        <f ca="1">IFERROR(__xludf.DUMMYFUNCTION("""COMPUTED_VALUE"""),"No")</f>
        <v>No</v>
      </c>
      <c r="AH1482" s="5" t="str">
        <f ca="1">IFERROR(__xludf.DUMMYFUNCTION("""COMPUTED_VALUE"""),"No")</f>
        <v>No</v>
      </c>
      <c r="AI1482" s="5" t="str">
        <f ca="1">IFERROR(__xludf.DUMMYFUNCTION("""COMPUTED_VALUE"""),"Yes")</f>
        <v>Yes</v>
      </c>
      <c r="AJ1482" s="5"/>
    </row>
    <row r="1483" spans="1:36" ht="13">
      <c r="A1483" s="5" t="str">
        <f ca="1">IFERROR(__xludf.DUMMYFUNCTION("""COMPUTED_VALUE"""),"20050316PACAP")</f>
        <v>20050316PACAP</v>
      </c>
      <c r="B1483" s="5">
        <f ca="1">IFERROR(__xludf.DUMMYFUNCTION("""COMPUTED_VALUE"""),3)</f>
        <v>3</v>
      </c>
      <c r="C1483" s="5">
        <f ca="1">IFERROR(__xludf.DUMMYFUNCTION("""COMPUTED_VALUE"""),16)</f>
        <v>16</v>
      </c>
      <c r="D1483" s="5">
        <f ca="1">IFERROR(__xludf.DUMMYFUNCTION("""COMPUTED_VALUE"""),2005)</f>
        <v>2005</v>
      </c>
      <c r="E1483" s="8">
        <f ca="1">IFERROR(__xludf.DUMMYFUNCTION("""COMPUTED_VALUE"""),38427)</f>
        <v>38427</v>
      </c>
      <c r="F1483" s="5" t="str">
        <f ca="1">IFERROR(__xludf.DUMMYFUNCTION("""COMPUTED_VALUE"""),"Carrick High School")</f>
        <v>Carrick High School</v>
      </c>
      <c r="G1483" s="5">
        <f ca="1">IFERROR(__xludf.DUMMYFUNCTION("""COMPUTED_VALUE"""),1)</f>
        <v>1</v>
      </c>
      <c r="H1483" s="5">
        <f ca="1">IFERROR(__xludf.DUMMYFUNCTION("""COMPUTED_VALUE"""),2)</f>
        <v>2</v>
      </c>
      <c r="I1483" s="5">
        <f ca="1">IFERROR(__xludf.DUMMYFUNCTION("""COMPUTED_VALUE"""),3)</f>
        <v>3</v>
      </c>
      <c r="J1483" s="5">
        <f ca="1">IFERROR(__xludf.DUMMYFUNCTION("""COMPUTED_VALUE"""),0)</f>
        <v>0</v>
      </c>
      <c r="K1483" s="9" t="str">
        <f ca="1">IFERROR(__xludf.DUMMYFUNCTION("""COMPUTED_VALUE"""),"http://www.post-gazette.com/local/city/2007/05/02/Dueling-snitches-muddy-trial-in-Carrick-High-School-killing/stories/200705020345")</f>
        <v>http://www.post-gazette.com/local/city/2007/05/02/Dueling-snitches-muddy-trial-in-Carrick-High-School-killing/stories/200705020345</v>
      </c>
      <c r="L1483" s="5"/>
      <c r="M1483" s="5"/>
      <c r="N1483" s="5">
        <f ca="1">IFERROR(__xludf.DUMMYFUNCTION("""COMPUTED_VALUE"""),2)</f>
        <v>2</v>
      </c>
      <c r="O1483" s="5" t="str">
        <f ca="1">IFERROR(__xludf.DUMMYFUNCTION("""COMPUTED_VALUE"""),"Spring")</f>
        <v>Spring</v>
      </c>
      <c r="P1483" s="5" t="str">
        <f ca="1">IFERROR(__xludf.DUMMYFUNCTION("""COMPUTED_VALUE"""),"Pittsburgh")</f>
        <v>Pittsburgh</v>
      </c>
      <c r="Q1483" s="5" t="str">
        <f ca="1">IFERROR(__xludf.DUMMYFUNCTION("""COMPUTED_VALUE"""),"PA")</f>
        <v>PA</v>
      </c>
      <c r="R1483" s="5" t="str">
        <f ca="1">IFERROR(__xludf.DUMMYFUNCTION("""COMPUTED_VALUE"""),"High")</f>
        <v>High</v>
      </c>
      <c r="S1483" s="5" t="str">
        <f ca="1">IFERROR(__xludf.DUMMYFUNCTION("""COMPUTED_VALUE"""),"Parking Lot")</f>
        <v>Parking Lot</v>
      </c>
      <c r="T1483" s="5" t="str">
        <f ca="1">IFERROR(__xludf.DUMMYFUNCTION("""COMPUTED_VALUE"""),"Outside on School Property")</f>
        <v>Outside on School Property</v>
      </c>
      <c r="U1483" s="5" t="str">
        <f ca="1">IFERROR(__xludf.DUMMYFUNCTION("""COMPUTED_VALUE"""),"Yes")</f>
        <v>Yes</v>
      </c>
      <c r="V1483" s="5" t="str">
        <f ca="1">IFERROR(__xludf.DUMMYFUNCTION("""COMPUTED_VALUE"""),"Dismissal")</f>
        <v>Dismissal</v>
      </c>
      <c r="W1483" s="10">
        <f ca="1">IFERROR(__xludf.DUMMYFUNCTION("""COMPUTED_VALUE"""),0.581944444444444)</f>
        <v>0.58194444444444404</v>
      </c>
      <c r="X1483" s="5">
        <f ca="1">IFERROR(__xludf.DUMMYFUNCTION("""COMPUTED_VALUE"""),1)</f>
        <v>1</v>
      </c>
      <c r="Y1483" s="5" t="str">
        <f ca="1">IFERROR(__xludf.DUMMYFUNCTION("""COMPUTED_VALUE"""),"Drive-by in retaliation for prior shooting")</f>
        <v>Drive-by in retaliation for prior shooting</v>
      </c>
      <c r="Z1483" s="5" t="str">
        <f ca="1">IFERROR(__xludf.DUMMYFUNCTION("""COMPUTED_VALUE"""),"Three males (17, 21, 22) fired an AK47 at a vehicle in the school parking lot occupied by 3 students. Shooting was related to a prior shooting between the groups of males. One student was killed and two were injured. Shooter fled and were later arrested. "&amp;"During the trail, a key witness was murdered. Unclear if gangs are involved.")</f>
        <v>Three males (17, 21, 22) fired an AK47 at a vehicle in the school parking lot occupied by 3 students. Shooting was related to a prior shooting between the groups of males. One student was killed and two were injured. Shooter fled and were later arrested. During the trail, a key witness was murdered. Unclear if gangs are involved.</v>
      </c>
      <c r="AA1483" s="5" t="str">
        <f ca="1">IFERROR(__xludf.DUMMYFUNCTION("""COMPUTED_VALUE"""),"Drive-by Shooting")</f>
        <v>Drive-by Shooting</v>
      </c>
      <c r="AB1483" s="5" t="str">
        <f ca="1">IFERROR(__xludf.DUMMYFUNCTION("""COMPUTED_VALUE"""),"Victims Targeted")</f>
        <v>Victims Targeted</v>
      </c>
      <c r="AC1483" s="5" t="str">
        <f ca="1">IFERROR(__xludf.DUMMYFUNCTION("""COMPUTED_VALUE"""),"Yes")</f>
        <v>Yes</v>
      </c>
      <c r="AD1483" s="5" t="str">
        <f ca="1">IFERROR(__xludf.DUMMYFUNCTION("""COMPUTED_VALUE"""),"No")</f>
        <v>No</v>
      </c>
      <c r="AE1483" s="5" t="str">
        <f ca="1">IFERROR(__xludf.DUMMYFUNCTION("""COMPUTED_VALUE"""),"No")</f>
        <v>No</v>
      </c>
      <c r="AF1483" s="5" t="str">
        <f ca="1">IFERROR(__xludf.DUMMYFUNCTION("""COMPUTED_VALUE"""),"No")</f>
        <v>No</v>
      </c>
      <c r="AG1483" s="5" t="str">
        <f ca="1">IFERROR(__xludf.DUMMYFUNCTION("""COMPUTED_VALUE"""),"No")</f>
        <v>No</v>
      </c>
      <c r="AH1483" s="5" t="str">
        <f ca="1">IFERROR(__xludf.DUMMYFUNCTION("""COMPUTED_VALUE"""),"No")</f>
        <v>No</v>
      </c>
      <c r="AI1483" s="5" t="str">
        <f ca="1">IFERROR(__xludf.DUMMYFUNCTION("""COMPUTED_VALUE"""),"Yes")</f>
        <v>Yes</v>
      </c>
      <c r="AJ1483" s="5"/>
    </row>
    <row r="1484" spans="1:36" ht="13">
      <c r="A1484" s="5" t="str">
        <f ca="1">IFERROR(__xludf.DUMMYFUNCTION("""COMPUTED_VALUE"""),"20050314OHLEC")</f>
        <v>20050314OHLEC</v>
      </c>
      <c r="B1484" s="5">
        <f ca="1">IFERROR(__xludf.DUMMYFUNCTION("""COMPUTED_VALUE"""),3)</f>
        <v>3</v>
      </c>
      <c r="C1484" s="5">
        <f ca="1">IFERROR(__xludf.DUMMYFUNCTION("""COMPUTED_VALUE"""),14)</f>
        <v>14</v>
      </c>
      <c r="D1484" s="5">
        <f ca="1">IFERROR(__xludf.DUMMYFUNCTION("""COMPUTED_VALUE"""),2005)</f>
        <v>2005</v>
      </c>
      <c r="E1484" s="8">
        <f ca="1">IFERROR(__xludf.DUMMYFUNCTION("""COMPUTED_VALUE"""),38425)</f>
        <v>38425</v>
      </c>
      <c r="F1484" s="5" t="str">
        <f ca="1">IFERROR(__xludf.DUMMYFUNCTION("""COMPUTED_VALUE"""),"Leawood Elementary School")</f>
        <v>Leawood Elementary School</v>
      </c>
      <c r="G1484" s="5">
        <f ca="1">IFERROR(__xludf.DUMMYFUNCTION("""COMPUTED_VALUE"""),0)</f>
        <v>0</v>
      </c>
      <c r="H1484" s="5">
        <f ca="1">IFERROR(__xludf.DUMMYFUNCTION("""COMPUTED_VALUE"""),1)</f>
        <v>1</v>
      </c>
      <c r="I1484" s="5">
        <f ca="1">IFERROR(__xludf.DUMMYFUNCTION("""COMPUTED_VALUE"""),1)</f>
        <v>1</v>
      </c>
      <c r="J1484" s="5">
        <f ca="1">IFERROR(__xludf.DUMMYFUNCTION("""COMPUTED_VALUE"""),0)</f>
        <v>0</v>
      </c>
      <c r="K1484" s="9" t="str">
        <f ca="1">IFERROR(__xludf.DUMMYFUNCTION("""COMPUTED_VALUE"""),"https://www.bgfalconmedia.com/fourth-grader-injured-after-toting-gun-to-school/article_b41044bf-61db-5b3a-a623-89b6ca62a191.html")</f>
        <v>https://www.bgfalconmedia.com/fourth-grader-injured-after-toting-gun-to-school/article_b41044bf-61db-5b3a-a623-89b6ca62a191.html</v>
      </c>
      <c r="L1484" s="5"/>
      <c r="M1484" s="5"/>
      <c r="N1484" s="5">
        <f ca="1">IFERROR(__xludf.DUMMYFUNCTION("""COMPUTED_VALUE"""),2)</f>
        <v>2</v>
      </c>
      <c r="O1484" s="5" t="str">
        <f ca="1">IFERROR(__xludf.DUMMYFUNCTION("""COMPUTED_VALUE"""),"Spring")</f>
        <v>Spring</v>
      </c>
      <c r="P1484" s="5" t="str">
        <f ca="1">IFERROR(__xludf.DUMMYFUNCTION("""COMPUTED_VALUE"""),"Columbus")</f>
        <v>Columbus</v>
      </c>
      <c r="Q1484" s="5" t="str">
        <f ca="1">IFERROR(__xludf.DUMMYFUNCTION("""COMPUTED_VALUE"""),"OH")</f>
        <v>OH</v>
      </c>
      <c r="R1484" s="5" t="str">
        <f ca="1">IFERROR(__xludf.DUMMYFUNCTION("""COMPUTED_VALUE"""),"Elementary")</f>
        <v>Elementary</v>
      </c>
      <c r="S1484" s="5" t="str">
        <f ca="1">IFERROR(__xludf.DUMMYFUNCTION("""COMPUTED_VALUE"""),"Classroom")</f>
        <v>Classroom</v>
      </c>
      <c r="T1484" s="5" t="str">
        <f ca="1">IFERROR(__xludf.DUMMYFUNCTION("""COMPUTED_VALUE"""),"Inside School Building")</f>
        <v>Inside School Building</v>
      </c>
      <c r="U1484" s="5" t="str">
        <f ca="1">IFERROR(__xludf.DUMMYFUNCTION("""COMPUTED_VALUE"""),"Yes")</f>
        <v>Yes</v>
      </c>
      <c r="V1484" s="5" t="str">
        <f ca="1">IFERROR(__xludf.DUMMYFUNCTION("""COMPUTED_VALUE"""),"Morning Classes")</f>
        <v>Morning Classes</v>
      </c>
      <c r="W1484" s="10">
        <f ca="1">IFERROR(__xludf.DUMMYFUNCTION("""COMPUTED_VALUE"""),0.375)</f>
        <v>0.375</v>
      </c>
      <c r="X1484" s="5">
        <f ca="1">IFERROR(__xludf.DUMMYFUNCTION("""COMPUTED_VALUE"""),1)</f>
        <v>1</v>
      </c>
      <c r="Y1484" s="5" t="str">
        <f ca="1">IFERROR(__xludf.DUMMYFUNCTION("""COMPUTED_VALUE"""),"Student showing off gun in classroom shot himself in hand")</f>
        <v>Student showing off gun in classroom shot himself in hand</v>
      </c>
      <c r="Z1484" s="5" t="str">
        <f ca="1">IFERROR(__xludf.DUMMYFUNCTION("""COMPUTED_VALUE"""),"7YOM was showing off gun in classroom and shot himself in the hand putting it into his backpack.")</f>
        <v>7YOM was showing off gun in classroom and shot himself in the hand putting it into his backpack.</v>
      </c>
      <c r="AA1484" s="5" t="str">
        <f ca="1">IFERROR(__xludf.DUMMYFUNCTION("""COMPUTED_VALUE"""),"Accidental")</f>
        <v>Accidental</v>
      </c>
      <c r="AB1484" s="5" t="str">
        <f ca="1">IFERROR(__xludf.DUMMYFUNCTION("""COMPUTED_VALUE"""),"Random Shooting")</f>
        <v>Random Shooting</v>
      </c>
      <c r="AC1484" s="5" t="str">
        <f ca="1">IFERROR(__xludf.DUMMYFUNCTION("""COMPUTED_VALUE"""),"No")</f>
        <v>No</v>
      </c>
      <c r="AD1484" s="5" t="str">
        <f ca="1">IFERROR(__xludf.DUMMYFUNCTION("""COMPUTED_VALUE"""),"No")</f>
        <v>No</v>
      </c>
      <c r="AE1484" s="5" t="str">
        <f ca="1">IFERROR(__xludf.DUMMYFUNCTION("""COMPUTED_VALUE"""),"No")</f>
        <v>No</v>
      </c>
      <c r="AF1484" s="5" t="str">
        <f ca="1">IFERROR(__xludf.DUMMYFUNCTION("""COMPUTED_VALUE"""),"No")</f>
        <v>No</v>
      </c>
      <c r="AG1484" s="5" t="str">
        <f ca="1">IFERROR(__xludf.DUMMYFUNCTION("""COMPUTED_VALUE"""),"No")</f>
        <v>No</v>
      </c>
      <c r="AH1484" s="5" t="str">
        <f ca="1">IFERROR(__xludf.DUMMYFUNCTION("""COMPUTED_VALUE"""),"No")</f>
        <v>No</v>
      </c>
      <c r="AI1484" s="5" t="str">
        <f ca="1">IFERROR(__xludf.DUMMYFUNCTION("""COMPUTED_VALUE"""),"No")</f>
        <v>No</v>
      </c>
      <c r="AJ1484" s="5"/>
    </row>
    <row r="1485" spans="1:36" ht="13">
      <c r="A1485" s="5" t="str">
        <f ca="1">IFERROR(__xludf.DUMMYFUNCTION("""COMPUTED_VALUE"""),"20050310TXZAD")</f>
        <v>20050310TXZAD</v>
      </c>
      <c r="B1485" s="5">
        <f ca="1">IFERROR(__xludf.DUMMYFUNCTION("""COMPUTED_VALUE"""),3)</f>
        <v>3</v>
      </c>
      <c r="C1485" s="5">
        <f ca="1">IFERROR(__xludf.DUMMYFUNCTION("""COMPUTED_VALUE"""),10)</f>
        <v>10</v>
      </c>
      <c r="D1485" s="5">
        <f ca="1">IFERROR(__xludf.DUMMYFUNCTION("""COMPUTED_VALUE"""),2005)</f>
        <v>2005</v>
      </c>
      <c r="E1485" s="8">
        <f ca="1">IFERROR(__xludf.DUMMYFUNCTION("""COMPUTED_VALUE"""),38421)</f>
        <v>38421</v>
      </c>
      <c r="F1485" s="5" t="str">
        <f ca="1">IFERROR(__xludf.DUMMYFUNCTION("""COMPUTED_VALUE"""),"Zaragoza Elementary School")</f>
        <v>Zaragoza Elementary School</v>
      </c>
      <c r="G1485" s="5">
        <f ca="1">IFERROR(__xludf.DUMMYFUNCTION("""COMPUTED_VALUE"""),0)</f>
        <v>0</v>
      </c>
      <c r="H1485" s="5">
        <f ca="1">IFERROR(__xludf.DUMMYFUNCTION("""COMPUTED_VALUE"""),1)</f>
        <v>1</v>
      </c>
      <c r="I1485" s="5">
        <f ca="1">IFERROR(__xludf.DUMMYFUNCTION("""COMPUTED_VALUE"""),1)</f>
        <v>1</v>
      </c>
      <c r="J1485" s="5">
        <f ca="1">IFERROR(__xludf.DUMMYFUNCTION("""COMPUTED_VALUE"""),0)</f>
        <v>0</v>
      </c>
      <c r="K1485" s="9" t="str">
        <f ca="1">IFERROR(__xludf.DUMMYFUNCTION("""COMPUTED_VALUE"""),"https://www.columbine-angels.com/School_Violence_2004-2005.htm")</f>
        <v>https://www.columbine-angels.com/School_Violence_2004-2005.htm</v>
      </c>
      <c r="L1485" s="5"/>
      <c r="M1485" s="5"/>
      <c r="N1485" s="5">
        <f ca="1">IFERROR(__xludf.DUMMYFUNCTION("""COMPUTED_VALUE"""),1)</f>
        <v>1</v>
      </c>
      <c r="O1485" s="5" t="str">
        <f ca="1">IFERROR(__xludf.DUMMYFUNCTION("""COMPUTED_VALUE"""),"Spring")</f>
        <v>Spring</v>
      </c>
      <c r="P1485" s="5" t="str">
        <f ca="1">IFERROR(__xludf.DUMMYFUNCTION("""COMPUTED_VALUE"""),"Dallas")</f>
        <v>Dallas</v>
      </c>
      <c r="Q1485" s="5" t="str">
        <f ca="1">IFERROR(__xludf.DUMMYFUNCTION("""COMPUTED_VALUE"""),"TX")</f>
        <v>TX</v>
      </c>
      <c r="R1485" s="5" t="str">
        <f ca="1">IFERROR(__xludf.DUMMYFUNCTION("""COMPUTED_VALUE"""),"Elementary")</f>
        <v>Elementary</v>
      </c>
      <c r="S1485" s="5" t="str">
        <f ca="1">IFERROR(__xludf.DUMMYFUNCTION("""COMPUTED_VALUE"""),"Parking Lot")</f>
        <v>Parking Lot</v>
      </c>
      <c r="T1485" s="5" t="str">
        <f ca="1">IFERROR(__xludf.DUMMYFUNCTION("""COMPUTED_VALUE"""),"Outside on School Property")</f>
        <v>Outside on School Property</v>
      </c>
      <c r="U1485" s="5" t="str">
        <f ca="1">IFERROR(__xludf.DUMMYFUNCTION("""COMPUTED_VALUE"""),"No")</f>
        <v>No</v>
      </c>
      <c r="V1485" s="5" t="str">
        <f ca="1">IFERROR(__xludf.DUMMYFUNCTION("""COMPUTED_VALUE"""),"Evening")</f>
        <v>Evening</v>
      </c>
      <c r="W1485" s="10">
        <f ca="1">IFERROR(__xludf.DUMMYFUNCTION("""COMPUTED_VALUE"""),0.770833333333333)</f>
        <v>0.77083333333333304</v>
      </c>
      <c r="X1485" s="5">
        <f ca="1">IFERROR(__xludf.DUMMYFUNCTION("""COMPUTED_VALUE"""),1)</f>
        <v>1</v>
      </c>
      <c r="Y1485" s="5" t="str">
        <f ca="1">IFERROR(__xludf.DUMMYFUNCTION("""COMPUTED_VALUE"""),"Drive-by when people were leaving meeting at school")</f>
        <v>Drive-by when people were leaving meeting at school</v>
      </c>
      <c r="Z1485" s="5" t="str">
        <f ca="1">IFERROR(__xludf.DUMMYFUNCTION("""COMPUTED_VALUE"""),"After a meeting at the school, the participants walked out onto the grounds and into the parking lot to their vehicles.  As they mingled, a car pulled up on the street and the driver stuck his arm out the window with a handgun and opened fire on one of th"&amp;"e groups. A Dallas City Parks and Recreation Department employee was grazed in the leg leg.")</f>
        <v>After a meeting at the school, the participants walked out onto the grounds and into the parking lot to their vehicles.  As they mingled, a car pulled up on the street and the driver stuck his arm out the window with a handgun and opened fire on one of the groups. A Dallas City Parks and Recreation Department employee was grazed in the leg leg.</v>
      </c>
      <c r="AA1485" s="5" t="str">
        <f ca="1">IFERROR(__xludf.DUMMYFUNCTION("""COMPUTED_VALUE"""),"Drive-by Shooting")</f>
        <v>Drive-by Shooting</v>
      </c>
      <c r="AB1485" s="5"/>
      <c r="AC1485" s="5" t="str">
        <f ca="1">IFERROR(__xludf.DUMMYFUNCTION("""COMPUTED_VALUE"""),"No")</f>
        <v>No</v>
      </c>
      <c r="AD1485" s="5" t="str">
        <f ca="1">IFERROR(__xludf.DUMMYFUNCTION("""COMPUTED_VALUE"""),"No")</f>
        <v>No</v>
      </c>
      <c r="AE1485" s="5" t="str">
        <f ca="1">IFERROR(__xludf.DUMMYFUNCTION("""COMPUTED_VALUE"""),"No")</f>
        <v>No</v>
      </c>
      <c r="AF1485" s="5" t="str">
        <f ca="1">IFERROR(__xludf.DUMMYFUNCTION("""COMPUTED_VALUE"""),"No")</f>
        <v>No</v>
      </c>
      <c r="AG1485" s="5" t="str">
        <f ca="1">IFERROR(__xludf.DUMMYFUNCTION("""COMPUTED_VALUE"""),"No")</f>
        <v>No</v>
      </c>
      <c r="AH1485" s="5" t="str">
        <f ca="1">IFERROR(__xludf.DUMMYFUNCTION("""COMPUTED_VALUE"""),"No")</f>
        <v>No</v>
      </c>
      <c r="AI1485" s="5"/>
      <c r="AJ1485" s="5"/>
    </row>
    <row r="1486" spans="1:36" ht="13">
      <c r="A1486" s="5" t="str">
        <f ca="1">IFERROR(__xludf.DUMMYFUNCTION("""COMPUTED_VALUE"""),"20050309TNMAN")</f>
        <v>20050309TNMAN</v>
      </c>
      <c r="B1486" s="5">
        <f ca="1">IFERROR(__xludf.DUMMYFUNCTION("""COMPUTED_VALUE"""),3)</f>
        <v>3</v>
      </c>
      <c r="C1486" s="5">
        <f ca="1">IFERROR(__xludf.DUMMYFUNCTION("""COMPUTED_VALUE"""),9)</f>
        <v>9</v>
      </c>
      <c r="D1486" s="5">
        <f ca="1">IFERROR(__xludf.DUMMYFUNCTION("""COMPUTED_VALUE"""),2005)</f>
        <v>2005</v>
      </c>
      <c r="E1486" s="8">
        <f ca="1">IFERROR(__xludf.DUMMYFUNCTION("""COMPUTED_VALUE"""),38420)</f>
        <v>38420</v>
      </c>
      <c r="F1486" s="5" t="str">
        <f ca="1">IFERROR(__xludf.DUMMYFUNCTION("""COMPUTED_VALUE"""),"Maplewood Comprehensive High School")</f>
        <v>Maplewood Comprehensive High School</v>
      </c>
      <c r="G1486" s="5">
        <f ca="1">IFERROR(__xludf.DUMMYFUNCTION("""COMPUTED_VALUE"""),0)</f>
        <v>0</v>
      </c>
      <c r="H1486" s="5">
        <f ca="1">IFERROR(__xludf.DUMMYFUNCTION("""COMPUTED_VALUE"""),1)</f>
        <v>1</v>
      </c>
      <c r="I1486" s="5">
        <f ca="1">IFERROR(__xludf.DUMMYFUNCTION("""COMPUTED_VALUE"""),1)</f>
        <v>1</v>
      </c>
      <c r="J1486" s="5">
        <f ca="1">IFERROR(__xludf.DUMMYFUNCTION("""COMPUTED_VALUE"""),0)</f>
        <v>0</v>
      </c>
      <c r="K1486" s="9" t="str">
        <f ca="1">IFERROR(__xludf.DUMMYFUNCTION("""COMPUTED_VALUE"""),"https://www.columbine-angels.com/School_Violence_2004-2005.htm")</f>
        <v>https://www.columbine-angels.com/School_Violence_2004-2005.htm</v>
      </c>
      <c r="L1486" s="5"/>
      <c r="M1486" s="5"/>
      <c r="N1486" s="5">
        <f ca="1">IFERROR(__xludf.DUMMYFUNCTION("""COMPUTED_VALUE"""),1)</f>
        <v>1</v>
      </c>
      <c r="O1486" s="5" t="str">
        <f ca="1">IFERROR(__xludf.DUMMYFUNCTION("""COMPUTED_VALUE"""),"Spring")</f>
        <v>Spring</v>
      </c>
      <c r="P1486" s="5" t="str">
        <f ca="1">IFERROR(__xludf.DUMMYFUNCTION("""COMPUTED_VALUE"""),"Nashville")</f>
        <v>Nashville</v>
      </c>
      <c r="Q1486" s="5" t="str">
        <f ca="1">IFERROR(__xludf.DUMMYFUNCTION("""COMPUTED_VALUE"""),"TN")</f>
        <v>TN</v>
      </c>
      <c r="R1486" s="5" t="str">
        <f ca="1">IFERROR(__xludf.DUMMYFUNCTION("""COMPUTED_VALUE"""),"High")</f>
        <v>High</v>
      </c>
      <c r="S1486" s="5" t="str">
        <f ca="1">IFERROR(__xludf.DUMMYFUNCTION("""COMPUTED_VALUE"""),"Parking Lot")</f>
        <v>Parking Lot</v>
      </c>
      <c r="T1486" s="5" t="str">
        <f ca="1">IFERROR(__xludf.DUMMYFUNCTION("""COMPUTED_VALUE"""),"Outside on School Property")</f>
        <v>Outside on School Property</v>
      </c>
      <c r="U1486" s="5" t="str">
        <f ca="1">IFERROR(__xludf.DUMMYFUNCTION("""COMPUTED_VALUE"""),"Yes")</f>
        <v>Yes</v>
      </c>
      <c r="V1486" s="5" t="str">
        <f ca="1">IFERROR(__xludf.DUMMYFUNCTION("""COMPUTED_VALUE"""),"Dismissal")</f>
        <v>Dismissal</v>
      </c>
      <c r="W1486" s="10">
        <f ca="1">IFERROR(__xludf.DUMMYFUNCTION("""COMPUTED_VALUE"""),0.583333333333333)</f>
        <v>0.58333333333333304</v>
      </c>
      <c r="X1486" s="5">
        <f ca="1">IFERROR(__xludf.DUMMYFUNCTION("""COMPUTED_VALUE"""),1)</f>
        <v>1</v>
      </c>
      <c r="Y1486" s="5" t="str">
        <f ca="1">IFERROR(__xludf.DUMMYFUNCTION("""COMPUTED_VALUE"""),"Shots fired during argument between expelled student (shooter) and other students")</f>
        <v>Shots fired during argument between expelled student (shooter) and other students</v>
      </c>
      <c r="Z1486" s="5" t="str">
        <f ca="1">IFERROR(__xludf.DUMMYFUNCTION("""COMPUTED_VALUE"""),"16YOM shooter had been expelled from school. In the parking lot, he had a confrontation with 3 other students that resulted in a shooting.")</f>
        <v>16YOM shooter had been expelled from school. In the parking lot, he had a confrontation with 3 other students that resulted in a shooting.</v>
      </c>
      <c r="AA1486" s="5" t="str">
        <f ca="1">IFERROR(__xludf.DUMMYFUNCTION("""COMPUTED_VALUE"""),"Escalation of Dispute")</f>
        <v>Escalation of Dispute</v>
      </c>
      <c r="AB1486" s="5" t="str">
        <f ca="1">IFERROR(__xludf.DUMMYFUNCTION("""COMPUTED_VALUE"""),"Victims Targeted")</f>
        <v>Victims Targeted</v>
      </c>
      <c r="AC1486" s="5" t="str">
        <f ca="1">IFERROR(__xludf.DUMMYFUNCTION("""COMPUTED_VALUE"""),"No")</f>
        <v>No</v>
      </c>
      <c r="AD1486" s="5" t="str">
        <f ca="1">IFERROR(__xludf.DUMMYFUNCTION("""COMPUTED_VALUE"""),"No")</f>
        <v>No</v>
      </c>
      <c r="AE1486" s="5" t="str">
        <f ca="1">IFERROR(__xludf.DUMMYFUNCTION("""COMPUTED_VALUE"""),"No")</f>
        <v>No</v>
      </c>
      <c r="AF1486" s="5" t="str">
        <f ca="1">IFERROR(__xludf.DUMMYFUNCTION("""COMPUTED_VALUE"""),"No")</f>
        <v>No</v>
      </c>
      <c r="AG1486" s="5" t="str">
        <f ca="1">IFERROR(__xludf.DUMMYFUNCTION("""COMPUTED_VALUE"""),"No")</f>
        <v>No</v>
      </c>
      <c r="AH1486" s="5" t="str">
        <f ca="1">IFERROR(__xludf.DUMMYFUNCTION("""COMPUTED_VALUE"""),"No")</f>
        <v>No</v>
      </c>
      <c r="AI1486" s="5" t="str">
        <f ca="1">IFERROR(__xludf.DUMMYFUNCTION("""COMPUTED_VALUE"""),"No")</f>
        <v>No</v>
      </c>
      <c r="AJ1486" s="5"/>
    </row>
    <row r="1487" spans="1:36" ht="13">
      <c r="A1487" s="5" t="str">
        <f ca="1">IFERROR(__xludf.DUMMYFUNCTION("""COMPUTED_VALUE"""),"20050302TNSTD")</f>
        <v>20050302TNSTD</v>
      </c>
      <c r="B1487" s="5">
        <f ca="1">IFERROR(__xludf.DUMMYFUNCTION("""COMPUTED_VALUE"""),3)</f>
        <v>3</v>
      </c>
      <c r="C1487" s="5">
        <f ca="1">IFERROR(__xludf.DUMMYFUNCTION("""COMPUTED_VALUE"""),2)</f>
        <v>2</v>
      </c>
      <c r="D1487" s="5">
        <f ca="1">IFERROR(__xludf.DUMMYFUNCTION("""COMPUTED_VALUE"""),2005)</f>
        <v>2005</v>
      </c>
      <c r="E1487" s="8">
        <f ca="1">IFERROR(__xludf.DUMMYFUNCTION("""COMPUTED_VALUE"""),38413)</f>
        <v>38413</v>
      </c>
      <c r="F1487" s="5" t="str">
        <f ca="1">IFERROR(__xludf.DUMMYFUNCTION("""COMPUTED_VALUE"""),"Stewart County High School (bus)")</f>
        <v>Stewart County High School (bus)</v>
      </c>
      <c r="G1487" s="5">
        <f ca="1">IFERROR(__xludf.DUMMYFUNCTION("""COMPUTED_VALUE"""),1)</f>
        <v>1</v>
      </c>
      <c r="H1487" s="5">
        <f ca="1">IFERROR(__xludf.DUMMYFUNCTION("""COMPUTED_VALUE"""),0)</f>
        <v>0</v>
      </c>
      <c r="I1487" s="5">
        <f ca="1">IFERROR(__xludf.DUMMYFUNCTION("""COMPUTED_VALUE"""),1)</f>
        <v>1</v>
      </c>
      <c r="J1487" s="5">
        <f ca="1">IFERROR(__xludf.DUMMYFUNCTION("""COMPUTED_VALUE"""),0)</f>
        <v>0</v>
      </c>
      <c r="K1487" s="9" t="str">
        <f ca="1">IFERROR(__xludf.DUMMYFUNCTION("""COMPUTED_VALUE"""),"https://www.cbsnews.com/news/school-bus-driver-shot-to-death/")</f>
        <v>https://www.cbsnews.com/news/school-bus-driver-shot-to-death/</v>
      </c>
      <c r="L1487" s="5"/>
      <c r="M1487" s="5"/>
      <c r="N1487" s="5">
        <f ca="1">IFERROR(__xludf.DUMMYFUNCTION("""COMPUTED_VALUE"""),2)</f>
        <v>2</v>
      </c>
      <c r="O1487" s="5" t="str">
        <f ca="1">IFERROR(__xludf.DUMMYFUNCTION("""COMPUTED_VALUE"""),"Spring")</f>
        <v>Spring</v>
      </c>
      <c r="P1487" s="5" t="str">
        <f ca="1">IFERROR(__xludf.DUMMYFUNCTION("""COMPUTED_VALUE"""),"Dover")</f>
        <v>Dover</v>
      </c>
      <c r="Q1487" s="5" t="str">
        <f ca="1">IFERROR(__xludf.DUMMYFUNCTION("""COMPUTED_VALUE"""),"TN")</f>
        <v>TN</v>
      </c>
      <c r="R1487" s="5" t="str">
        <f ca="1">IFERROR(__xludf.DUMMYFUNCTION("""COMPUTED_VALUE"""),"High")</f>
        <v>High</v>
      </c>
      <c r="S1487" s="5" t="str">
        <f ca="1">IFERROR(__xludf.DUMMYFUNCTION("""COMPUTED_VALUE"""),"School Bus")</f>
        <v>School Bus</v>
      </c>
      <c r="T1487" s="5" t="str">
        <f ca="1">IFERROR(__xludf.DUMMYFUNCTION("""COMPUTED_VALUE"""),"School Bus")</f>
        <v>School Bus</v>
      </c>
      <c r="U1487" s="5" t="str">
        <f ca="1">IFERROR(__xludf.DUMMYFUNCTION("""COMPUTED_VALUE"""),"No")</f>
        <v>No</v>
      </c>
      <c r="V1487" s="5" t="str">
        <f ca="1">IFERROR(__xludf.DUMMYFUNCTION("""COMPUTED_VALUE"""),"Before School")</f>
        <v>Before School</v>
      </c>
      <c r="W1487" s="10">
        <f ca="1">IFERROR(__xludf.DUMMYFUNCTION("""COMPUTED_VALUE"""),0.260416666666666)</f>
        <v>0.26041666666666602</v>
      </c>
      <c r="X1487" s="5">
        <f ca="1">IFERROR(__xludf.DUMMYFUNCTION("""COMPUTED_VALUE"""),1)</f>
        <v>1</v>
      </c>
      <c r="Y1487" s="5" t="str">
        <f ca="1">IFERROR(__xludf.DUMMYFUNCTION("""COMPUTED_VALUE"""),"Killed bus driver because she had reported his tobacco use")</f>
        <v>Killed bus driver because she had reported his tobacco use</v>
      </c>
      <c r="Z1487" s="5" t="str">
        <f ca="1">IFERROR(__xludf.DUMMYFUNCTION("""COMPUTED_VALUE"""),"Shooter fired multiple shots killing the bus driver while the bus was on the way to school. The bus crashed into a utility pole but nobody was injured. The bus driver had reported the shooter for chewing tobacco on the bus. Shooter was a good student and "&amp;"had no history of violence. Shooter reported he was depressed, suicidal, and hearing voices at the time of the shooting.")</f>
        <v>Shooter fired multiple shots killing the bus driver while the bus was on the way to school. The bus crashed into a utility pole but nobody was injured. The bus driver had reported the shooter for chewing tobacco on the bus. Shooter was a good student and had no history of violence. Shooter reported he was depressed, suicidal, and hearing voices at the time of the shooting.</v>
      </c>
      <c r="AA1487" s="5" t="str">
        <f ca="1">IFERROR(__xludf.DUMMYFUNCTION("""COMPUTED_VALUE"""),"Anger Over Grade/Suspension/Discipline")</f>
        <v>Anger Over Grade/Suspension/Discipline</v>
      </c>
      <c r="AB1487" s="5" t="str">
        <f ca="1">IFERROR(__xludf.DUMMYFUNCTION("""COMPUTED_VALUE"""),"Victims Targeted")</f>
        <v>Victims Targeted</v>
      </c>
      <c r="AC1487" s="5" t="str">
        <f ca="1">IFERROR(__xludf.DUMMYFUNCTION("""COMPUTED_VALUE"""),"No")</f>
        <v>No</v>
      </c>
      <c r="AD1487" s="5" t="str">
        <f ca="1">IFERROR(__xludf.DUMMYFUNCTION("""COMPUTED_VALUE"""),"No")</f>
        <v>No</v>
      </c>
      <c r="AE1487" s="5" t="str">
        <f ca="1">IFERROR(__xludf.DUMMYFUNCTION("""COMPUTED_VALUE"""),"No")</f>
        <v>No</v>
      </c>
      <c r="AF1487" s="5" t="str">
        <f ca="1">IFERROR(__xludf.DUMMYFUNCTION("""COMPUTED_VALUE"""),"No")</f>
        <v>No</v>
      </c>
      <c r="AG1487" s="5" t="str">
        <f ca="1">IFERROR(__xludf.DUMMYFUNCTION("""COMPUTED_VALUE"""),"No")</f>
        <v>No</v>
      </c>
      <c r="AH1487" s="5" t="str">
        <f ca="1">IFERROR(__xludf.DUMMYFUNCTION("""COMPUTED_VALUE"""),"No")</f>
        <v>No</v>
      </c>
      <c r="AI1487" s="5" t="str">
        <f ca="1">IFERROR(__xludf.DUMMYFUNCTION("""COMPUTED_VALUE"""),"No")</f>
        <v>No</v>
      </c>
      <c r="AJ1487" s="5"/>
    </row>
    <row r="1488" spans="1:36" ht="13">
      <c r="A1488" s="5" t="str">
        <f ca="1">IFERROR(__xludf.DUMMYFUNCTION("""COMPUTED_VALUE"""),"20050208ILBOC")</f>
        <v>20050208ILBOC</v>
      </c>
      <c r="B1488" s="5">
        <f ca="1">IFERROR(__xludf.DUMMYFUNCTION("""COMPUTED_VALUE"""),2)</f>
        <v>2</v>
      </c>
      <c r="C1488" s="5">
        <f ca="1">IFERROR(__xludf.DUMMYFUNCTION("""COMPUTED_VALUE"""),8)</f>
        <v>8</v>
      </c>
      <c r="D1488" s="5">
        <f ca="1">IFERROR(__xludf.DUMMYFUNCTION("""COMPUTED_VALUE"""),2005)</f>
        <v>2005</v>
      </c>
      <c r="E1488" s="8">
        <f ca="1">IFERROR(__xludf.DUMMYFUNCTION("""COMPUTED_VALUE"""),38391)</f>
        <v>38391</v>
      </c>
      <c r="F1488" s="5" t="str">
        <f ca="1">IFERROR(__xludf.DUMMYFUNCTION("""COMPUTED_VALUE"""),"Bowen High School")</f>
        <v>Bowen High School</v>
      </c>
      <c r="G1488" s="5">
        <f ca="1">IFERROR(__xludf.DUMMYFUNCTION("""COMPUTED_VALUE"""),0)</f>
        <v>0</v>
      </c>
      <c r="H1488" s="5">
        <f ca="1">IFERROR(__xludf.DUMMYFUNCTION("""COMPUTED_VALUE"""),1)</f>
        <v>1</v>
      </c>
      <c r="I1488" s="5">
        <f ca="1">IFERROR(__xludf.DUMMYFUNCTION("""COMPUTED_VALUE"""),1)</f>
        <v>1</v>
      </c>
      <c r="J1488" s="5">
        <f ca="1">IFERROR(__xludf.DUMMYFUNCTION("""COMPUTED_VALUE"""),0)</f>
        <v>0</v>
      </c>
      <c r="K1488" s="9" t="str">
        <f ca="1">IFERROR(__xludf.DUMMYFUNCTION("""COMPUTED_VALUE"""),"http://articles.chicagotribune.com/2005-02-09/news/0502090400_1_chicago-public-schools-students-exits")</f>
        <v>http://articles.chicagotribune.com/2005-02-09/news/0502090400_1_chicago-public-schools-students-exits</v>
      </c>
      <c r="L1488" s="5"/>
      <c r="M1488" s="5"/>
      <c r="N1488" s="5">
        <f ca="1">IFERROR(__xludf.DUMMYFUNCTION("""COMPUTED_VALUE"""),2)</f>
        <v>2</v>
      </c>
      <c r="O1488" s="5" t="str">
        <f ca="1">IFERROR(__xludf.DUMMYFUNCTION("""COMPUTED_VALUE"""),"Winter")</f>
        <v>Winter</v>
      </c>
      <c r="P1488" s="5" t="str">
        <f ca="1">IFERROR(__xludf.DUMMYFUNCTION("""COMPUTED_VALUE"""),"Chicago")</f>
        <v>Chicago</v>
      </c>
      <c r="Q1488" s="5" t="str">
        <f ca="1">IFERROR(__xludf.DUMMYFUNCTION("""COMPUTED_VALUE"""),"IL")</f>
        <v>IL</v>
      </c>
      <c r="R1488" s="5" t="str">
        <f ca="1">IFERROR(__xludf.DUMMYFUNCTION("""COMPUTED_VALUE"""),"High")</f>
        <v>High</v>
      </c>
      <c r="S1488" s="5" t="str">
        <f ca="1">IFERROR(__xludf.DUMMYFUNCTION("""COMPUTED_VALUE"""),"Beside Building")</f>
        <v>Beside Building</v>
      </c>
      <c r="T1488" s="5" t="str">
        <f ca="1">IFERROR(__xludf.DUMMYFUNCTION("""COMPUTED_VALUE"""),"Outside on School Property")</f>
        <v>Outside on School Property</v>
      </c>
      <c r="U1488" s="5" t="str">
        <f ca="1">IFERROR(__xludf.DUMMYFUNCTION("""COMPUTED_VALUE"""),"Yes")</f>
        <v>Yes</v>
      </c>
      <c r="V1488" s="5" t="str">
        <f ca="1">IFERROR(__xludf.DUMMYFUNCTION("""COMPUTED_VALUE"""),"Dismissal")</f>
        <v>Dismissal</v>
      </c>
      <c r="W1488" s="10">
        <f ca="1">IFERROR(__xludf.DUMMYFUNCTION("""COMPUTED_VALUE"""),0.605555555555555)</f>
        <v>0.60555555555555496</v>
      </c>
      <c r="X1488" s="5">
        <f ca="1">IFERROR(__xludf.DUMMYFUNCTION("""COMPUTED_VALUE"""),1)</f>
        <v>1</v>
      </c>
      <c r="Y1488" s="5" t="str">
        <f ca="1">IFERROR(__xludf.DUMMYFUNCTION("""COMPUTED_VALUE"""),"Fight as school dismissed")</f>
        <v>Fight as school dismissed</v>
      </c>
      <c r="Z1488" s="5" t="str">
        <f ca="1">IFERROR(__xludf.DUMMYFUNCTION("""COMPUTED_VALUE"""),"Student was shot in the leg (caught in the crossfire) during a fight between multiple students when the school was dismissing.")</f>
        <v>Student was shot in the leg (caught in the crossfire) during a fight between multiple students when the school was dismissing.</v>
      </c>
      <c r="AA1488" s="5" t="str">
        <f ca="1">IFERROR(__xludf.DUMMYFUNCTION("""COMPUTED_VALUE"""),"Escalation of Dispute")</f>
        <v>Escalation of Dispute</v>
      </c>
      <c r="AB1488" s="5"/>
      <c r="AC1488" s="5" t="str">
        <f ca="1">IFERROR(__xludf.DUMMYFUNCTION("""COMPUTED_VALUE"""),"No")</f>
        <v>No</v>
      </c>
      <c r="AD1488" s="5" t="str">
        <f ca="1">IFERROR(__xludf.DUMMYFUNCTION("""COMPUTED_VALUE"""),"No")</f>
        <v>No</v>
      </c>
      <c r="AE1488" s="5" t="str">
        <f ca="1">IFERROR(__xludf.DUMMYFUNCTION("""COMPUTED_VALUE"""),"No")</f>
        <v>No</v>
      </c>
      <c r="AF1488" s="5" t="str">
        <f ca="1">IFERROR(__xludf.DUMMYFUNCTION("""COMPUTED_VALUE"""),"No")</f>
        <v>No</v>
      </c>
      <c r="AG1488" s="5"/>
      <c r="AH1488" s="5" t="str">
        <f ca="1">IFERROR(__xludf.DUMMYFUNCTION("""COMPUTED_VALUE"""),"No")</f>
        <v>No</v>
      </c>
      <c r="AI1488" s="5" t="str">
        <f ca="1">IFERROR(__xludf.DUMMYFUNCTION("""COMPUTED_VALUE"""),"No")</f>
        <v>No</v>
      </c>
      <c r="AJ1488" s="5"/>
    </row>
    <row r="1489" spans="1:36" ht="13">
      <c r="A1489" s="5" t="str">
        <f ca="1">IFERROR(__xludf.DUMMYFUNCTION("""COMPUTED_VALUE"""),"20050204GAMCA")</f>
        <v>20050204GAMCA</v>
      </c>
      <c r="B1489" s="5">
        <f ca="1">IFERROR(__xludf.DUMMYFUNCTION("""COMPUTED_VALUE"""),2)</f>
        <v>2</v>
      </c>
      <c r="C1489" s="5">
        <f ca="1">IFERROR(__xludf.DUMMYFUNCTION("""COMPUTED_VALUE"""),4)</f>
        <v>4</v>
      </c>
      <c r="D1489" s="5">
        <f ca="1">IFERROR(__xludf.DUMMYFUNCTION("""COMPUTED_VALUE"""),2005)</f>
        <v>2005</v>
      </c>
      <c r="E1489" s="8">
        <f ca="1">IFERROR(__xludf.DUMMYFUNCTION("""COMPUTED_VALUE"""),38387)</f>
        <v>38387</v>
      </c>
      <c r="F1489" s="5" t="str">
        <f ca="1">IFERROR(__xludf.DUMMYFUNCTION("""COMPUTED_VALUE"""),"McNair High School")</f>
        <v>McNair High School</v>
      </c>
      <c r="G1489" s="5">
        <f ca="1">IFERROR(__xludf.DUMMYFUNCTION("""COMPUTED_VALUE"""),0)</f>
        <v>0</v>
      </c>
      <c r="H1489" s="5">
        <f ca="1">IFERROR(__xludf.DUMMYFUNCTION("""COMPUTED_VALUE"""),1)</f>
        <v>1</v>
      </c>
      <c r="I1489" s="5">
        <f ca="1">IFERROR(__xludf.DUMMYFUNCTION("""COMPUTED_VALUE"""),1)</f>
        <v>1</v>
      </c>
      <c r="J1489" s="5">
        <f ca="1">IFERROR(__xludf.DUMMYFUNCTION("""COMPUTED_VALUE"""),0)</f>
        <v>0</v>
      </c>
      <c r="K1489" s="9" t="str">
        <f ca="1">IFERROR(__xludf.DUMMYFUNCTION("""COMPUTED_VALUE"""),"https://www.columbine-angels.com/School_Violence_2005-2006.htm")</f>
        <v>https://www.columbine-angels.com/School_Violence_2005-2006.htm</v>
      </c>
      <c r="L1489" s="5"/>
      <c r="M1489" s="5"/>
      <c r="N1489" s="5">
        <f ca="1">IFERROR(__xludf.DUMMYFUNCTION("""COMPUTED_VALUE"""),1)</f>
        <v>1</v>
      </c>
      <c r="O1489" s="5" t="str">
        <f ca="1">IFERROR(__xludf.DUMMYFUNCTION("""COMPUTED_VALUE"""),"Winter")</f>
        <v>Winter</v>
      </c>
      <c r="P1489" s="5" t="str">
        <f ca="1">IFERROR(__xludf.DUMMYFUNCTION("""COMPUTED_VALUE"""),"Atlanta")</f>
        <v>Atlanta</v>
      </c>
      <c r="Q1489" s="5" t="str">
        <f ca="1">IFERROR(__xludf.DUMMYFUNCTION("""COMPUTED_VALUE"""),"GA")</f>
        <v>GA</v>
      </c>
      <c r="R1489" s="5" t="str">
        <f ca="1">IFERROR(__xludf.DUMMYFUNCTION("""COMPUTED_VALUE"""),"High")</f>
        <v>High</v>
      </c>
      <c r="S1489" s="5" t="str">
        <f ca="1">IFERROR(__xludf.DUMMYFUNCTION("""COMPUTED_VALUE"""),"Outside on School Property")</f>
        <v>Outside on School Property</v>
      </c>
      <c r="T1489" s="5" t="str">
        <f ca="1">IFERROR(__xludf.DUMMYFUNCTION("""COMPUTED_VALUE"""),"Outside on School Property")</f>
        <v>Outside on School Property</v>
      </c>
      <c r="U1489" s="5"/>
      <c r="V1489" s="5"/>
      <c r="W1489" s="5"/>
      <c r="X1489" s="5">
        <f ca="1">IFERROR(__xludf.DUMMYFUNCTION("""COMPUTED_VALUE"""),1)</f>
        <v>1</v>
      </c>
      <c r="Y1489" s="5" t="str">
        <f ca="1">IFERROR(__xludf.DUMMYFUNCTION("""COMPUTED_VALUE"""),"Gun was dropped and discharged")</f>
        <v>Gun was dropped and discharged</v>
      </c>
      <c r="Z1489" s="5" t="str">
        <f ca="1">IFERROR(__xludf.DUMMYFUNCTION("""COMPUTED_VALUE"""),"15YOF (sister) and 19YOM (brother) were on school grounds. Brother was holding gun, the gun dropped, and it discharged a bullet into Angela's neck.")</f>
        <v>15YOF (sister) and 19YOM (brother) were on school grounds. Brother was holding gun, the gun dropped, and it discharged a bullet into Angela's neck.</v>
      </c>
      <c r="AA1489" s="5" t="str">
        <f ca="1">IFERROR(__xludf.DUMMYFUNCTION("""COMPUTED_VALUE"""),"Accidental")</f>
        <v>Accidental</v>
      </c>
      <c r="AB1489" s="5" t="str">
        <f ca="1">IFERROR(__xludf.DUMMYFUNCTION("""COMPUTED_VALUE"""),"Random Shooting")</f>
        <v>Random Shooting</v>
      </c>
      <c r="AC1489" s="5" t="str">
        <f ca="1">IFERROR(__xludf.DUMMYFUNCTION("""COMPUTED_VALUE"""),"No")</f>
        <v>No</v>
      </c>
      <c r="AD1489" s="5" t="str">
        <f ca="1">IFERROR(__xludf.DUMMYFUNCTION("""COMPUTED_VALUE"""),"No")</f>
        <v>No</v>
      </c>
      <c r="AE1489" s="5" t="str">
        <f ca="1">IFERROR(__xludf.DUMMYFUNCTION("""COMPUTED_VALUE"""),"No")</f>
        <v>No</v>
      </c>
      <c r="AF1489" s="5" t="str">
        <f ca="1">IFERROR(__xludf.DUMMYFUNCTION("""COMPUTED_VALUE"""),"No")</f>
        <v>No</v>
      </c>
      <c r="AG1489" s="5" t="str">
        <f ca="1">IFERROR(__xludf.DUMMYFUNCTION("""COMPUTED_VALUE"""),"No")</f>
        <v>No</v>
      </c>
      <c r="AH1489" s="5" t="str">
        <f ca="1">IFERROR(__xludf.DUMMYFUNCTION("""COMPUTED_VALUE"""),"No")</f>
        <v>No</v>
      </c>
      <c r="AI1489" s="5" t="str">
        <f ca="1">IFERROR(__xludf.DUMMYFUNCTION("""COMPUTED_VALUE"""),"No")</f>
        <v>No</v>
      </c>
      <c r="AJ1489" s="5"/>
    </row>
    <row r="1490" spans="1:36" ht="13">
      <c r="A1490" s="5" t="str">
        <f ca="1">IFERROR(__xludf.DUMMYFUNCTION("""COMPUTED_VALUE"""),"20050126ILWOP")</f>
        <v>20050126ILWOP</v>
      </c>
      <c r="B1490" s="5">
        <f ca="1">IFERROR(__xludf.DUMMYFUNCTION("""COMPUTED_VALUE"""),1)</f>
        <v>1</v>
      </c>
      <c r="C1490" s="5">
        <f ca="1">IFERROR(__xludf.DUMMYFUNCTION("""COMPUTED_VALUE"""),26)</f>
        <v>26</v>
      </c>
      <c r="D1490" s="5">
        <f ca="1">IFERROR(__xludf.DUMMYFUNCTION("""COMPUTED_VALUE"""),2005)</f>
        <v>2005</v>
      </c>
      <c r="E1490" s="8">
        <f ca="1">IFERROR(__xludf.DUMMYFUNCTION("""COMPUTED_VALUE"""),38378)</f>
        <v>38378</v>
      </c>
      <c r="F1490" s="5" t="str">
        <f ca="1">IFERROR(__xludf.DUMMYFUNCTION("""COMPUTED_VALUE"""),"Woodruff High School")</f>
        <v>Woodruff High School</v>
      </c>
      <c r="G1490" s="5">
        <f ca="1">IFERROR(__xludf.DUMMYFUNCTION("""COMPUTED_VALUE"""),0)</f>
        <v>0</v>
      </c>
      <c r="H1490" s="5">
        <f ca="1">IFERROR(__xludf.DUMMYFUNCTION("""COMPUTED_VALUE"""),0)</f>
        <v>0</v>
      </c>
      <c r="I1490" s="5">
        <f ca="1">IFERROR(__xludf.DUMMYFUNCTION("""COMPUTED_VALUE"""),0)</f>
        <v>0</v>
      </c>
      <c r="J1490" s="5">
        <f ca="1">IFERROR(__xludf.DUMMYFUNCTION("""COMPUTED_VALUE"""),0)</f>
        <v>0</v>
      </c>
      <c r="K1490" s="9" t="str">
        <f ca="1">IFERROR(__xludf.DUMMYFUNCTION("""COMPUTED_VALUE"""),"http://www.pjstar.com/article/20131215/news/131219398")</f>
        <v>http://www.pjstar.com/article/20131215/news/131219398</v>
      </c>
      <c r="L1490" s="5"/>
      <c r="M1490" s="5"/>
      <c r="N1490" s="5">
        <f ca="1">IFERROR(__xludf.DUMMYFUNCTION("""COMPUTED_VALUE"""),2)</f>
        <v>2</v>
      </c>
      <c r="O1490" s="5" t="str">
        <f ca="1">IFERROR(__xludf.DUMMYFUNCTION("""COMPUTED_VALUE"""),"Winter")</f>
        <v>Winter</v>
      </c>
      <c r="P1490" s="5" t="str">
        <f ca="1">IFERROR(__xludf.DUMMYFUNCTION("""COMPUTED_VALUE"""),"Peoria")</f>
        <v>Peoria</v>
      </c>
      <c r="Q1490" s="5" t="str">
        <f ca="1">IFERROR(__xludf.DUMMYFUNCTION("""COMPUTED_VALUE"""),"IL")</f>
        <v>IL</v>
      </c>
      <c r="R1490" s="5" t="str">
        <f ca="1">IFERROR(__xludf.DUMMYFUNCTION("""COMPUTED_VALUE"""),"High")</f>
        <v>High</v>
      </c>
      <c r="S1490" s="5" t="str">
        <f ca="1">IFERROR(__xludf.DUMMYFUNCTION("""COMPUTED_VALUE"""),"Hallway")</f>
        <v>Hallway</v>
      </c>
      <c r="T1490" s="5" t="str">
        <f ca="1">IFERROR(__xludf.DUMMYFUNCTION("""COMPUTED_VALUE"""),"Inside School Building")</f>
        <v>Inside School Building</v>
      </c>
      <c r="U1490" s="5" t="str">
        <f ca="1">IFERROR(__xludf.DUMMYFUNCTION("""COMPUTED_VALUE"""),"Yes")</f>
        <v>Yes</v>
      </c>
      <c r="V1490" s="5" t="str">
        <f ca="1">IFERROR(__xludf.DUMMYFUNCTION("""COMPUTED_VALUE"""),"Morning Classes")</f>
        <v>Morning Classes</v>
      </c>
      <c r="W1490" s="5"/>
      <c r="X1490" s="5">
        <f ca="1">IFERROR(__xludf.DUMMYFUNCTION("""COMPUTED_VALUE"""),1)</f>
        <v>1</v>
      </c>
      <c r="Y1490" s="5" t="str">
        <f ca="1">IFERROR(__xludf.DUMMYFUNCTION("""COMPUTED_VALUE"""),"Fired shots at another student in hallway, prior fight with shot fired away from school")</f>
        <v>Fired shots at another student in hallway, prior fight with shot fired away from school</v>
      </c>
      <c r="Z1490" s="5" t="str">
        <f ca="1">IFERROR(__xludf.DUMMYFUNCTION("""COMPUTED_VALUE"""),"15YOM fired 3 shots in the hallway at another student he had an ongoing conflict and prior gun battle with. All of the shots missed. Shooter fled the scene. Shooter was arrested at a relatives house. The gun used was linked to an unsolved homicide in the "&amp;"area.")</f>
        <v>15YOM fired 3 shots in the hallway at another student he had an ongoing conflict and prior gun battle with. All of the shots missed. Shooter fled the scene. Shooter was arrested at a relatives house. The gun used was linked to an unsolved homicide in the area.</v>
      </c>
      <c r="AA1490" s="5" t="str">
        <f ca="1">IFERROR(__xludf.DUMMYFUNCTION("""COMPUTED_VALUE"""),"Escalation of Dispute")</f>
        <v>Escalation of Dispute</v>
      </c>
      <c r="AB1490" s="5" t="str">
        <f ca="1">IFERROR(__xludf.DUMMYFUNCTION("""COMPUTED_VALUE"""),"Victims Targeted")</f>
        <v>Victims Targeted</v>
      </c>
      <c r="AC1490" s="5" t="str">
        <f ca="1">IFERROR(__xludf.DUMMYFUNCTION("""COMPUTED_VALUE"""),"No")</f>
        <v>No</v>
      </c>
      <c r="AD1490" s="5" t="str">
        <f ca="1">IFERROR(__xludf.DUMMYFUNCTION("""COMPUTED_VALUE"""),"No")</f>
        <v>No</v>
      </c>
      <c r="AE1490" s="5" t="str">
        <f ca="1">IFERROR(__xludf.DUMMYFUNCTION("""COMPUTED_VALUE"""),"No")</f>
        <v>No</v>
      </c>
      <c r="AF1490" s="5" t="str">
        <f ca="1">IFERROR(__xludf.DUMMYFUNCTION("""COMPUTED_VALUE"""),"No")</f>
        <v>No</v>
      </c>
      <c r="AG1490" s="5" t="str">
        <f ca="1">IFERROR(__xludf.DUMMYFUNCTION("""COMPUTED_VALUE"""),"No")</f>
        <v>No</v>
      </c>
      <c r="AH1490" s="5" t="str">
        <f ca="1">IFERROR(__xludf.DUMMYFUNCTION("""COMPUTED_VALUE"""),"No")</f>
        <v>No</v>
      </c>
      <c r="AI1490" s="5" t="str">
        <f ca="1">IFERROR(__xludf.DUMMYFUNCTION("""COMPUTED_VALUE"""),"No")</f>
        <v>No</v>
      </c>
      <c r="AJ1490" s="5"/>
    </row>
    <row r="1491" spans="1:36" ht="13">
      <c r="A1491" s="5" t="str">
        <f ca="1">IFERROR(__xludf.DUMMYFUNCTION("""COMPUTED_VALUE"""),"20050105PAMUN")</f>
        <v>20050105PAMUN</v>
      </c>
      <c r="B1491" s="5">
        <f ca="1">IFERROR(__xludf.DUMMYFUNCTION("""COMPUTED_VALUE"""),1)</f>
        <v>1</v>
      </c>
      <c r="C1491" s="5">
        <f ca="1">IFERROR(__xludf.DUMMYFUNCTION("""COMPUTED_VALUE"""),5)</f>
        <v>5</v>
      </c>
      <c r="D1491" s="5">
        <f ca="1">IFERROR(__xludf.DUMMYFUNCTION("""COMPUTED_VALUE"""),2005)</f>
        <v>2005</v>
      </c>
      <c r="E1491" s="8">
        <f ca="1">IFERROR(__xludf.DUMMYFUNCTION("""COMPUTED_VALUE"""),38357)</f>
        <v>38357</v>
      </c>
      <c r="F1491" s="5" t="str">
        <f ca="1">IFERROR(__xludf.DUMMYFUNCTION("""COMPUTED_VALUE"""),"Murrell Dobbins Vocational-Technical High School")</f>
        <v>Murrell Dobbins Vocational-Technical High School</v>
      </c>
      <c r="G1491" s="5">
        <f ca="1">IFERROR(__xludf.DUMMYFUNCTION("""COMPUTED_VALUE"""),1)</f>
        <v>1</v>
      </c>
      <c r="H1491" s="5">
        <f ca="1">IFERROR(__xludf.DUMMYFUNCTION("""COMPUTED_VALUE"""),0)</f>
        <v>0</v>
      </c>
      <c r="I1491" s="5">
        <f ca="1">IFERROR(__xludf.DUMMYFUNCTION("""COMPUTED_VALUE"""),1)</f>
        <v>1</v>
      </c>
      <c r="J1491" s="5">
        <f ca="1">IFERROR(__xludf.DUMMYFUNCTION("""COMPUTED_VALUE"""),0)</f>
        <v>0</v>
      </c>
      <c r="K1491" s="9" t="str">
        <f ca="1">IFERROR(__xludf.DUMMYFUNCTION("""COMPUTED_VALUE"""),"http://www.philadelphiaweekly.com/news/state-of-disgrace/article_86c2a06b-190d-5781-ab53-23c8fb71c94c.html")</f>
        <v>http://www.philadelphiaweekly.com/news/state-of-disgrace/article_86c2a06b-190d-5781-ab53-23c8fb71c94c.html</v>
      </c>
      <c r="L1491" s="5"/>
      <c r="M1491" s="5"/>
      <c r="N1491" s="5">
        <f ca="1">IFERROR(__xludf.DUMMYFUNCTION("""COMPUTED_VALUE"""),2)</f>
        <v>2</v>
      </c>
      <c r="O1491" s="5" t="str">
        <f ca="1">IFERROR(__xludf.DUMMYFUNCTION("""COMPUTED_VALUE"""),"Winter")</f>
        <v>Winter</v>
      </c>
      <c r="P1491" s="5" t="str">
        <f ca="1">IFERROR(__xludf.DUMMYFUNCTION("""COMPUTED_VALUE"""),"North Philadelphia")</f>
        <v>North Philadelphia</v>
      </c>
      <c r="Q1491" s="5" t="str">
        <f ca="1">IFERROR(__xludf.DUMMYFUNCTION("""COMPUTED_VALUE"""),"PA")</f>
        <v>PA</v>
      </c>
      <c r="R1491" s="5" t="str">
        <f ca="1">IFERROR(__xludf.DUMMYFUNCTION("""COMPUTED_VALUE"""),"High")</f>
        <v>High</v>
      </c>
      <c r="S1491" s="5" t="str">
        <f ca="1">IFERROR(__xludf.DUMMYFUNCTION("""COMPUTED_VALUE"""),"Front of School")</f>
        <v>Front of School</v>
      </c>
      <c r="T1491" s="5" t="str">
        <f ca="1">IFERROR(__xludf.DUMMYFUNCTION("""COMPUTED_VALUE"""),"Outside on School Property")</f>
        <v>Outside on School Property</v>
      </c>
      <c r="U1491" s="5" t="str">
        <f ca="1">IFERROR(__xludf.DUMMYFUNCTION("""COMPUTED_VALUE"""),"Yes")</f>
        <v>Yes</v>
      </c>
      <c r="V1491" s="5" t="str">
        <f ca="1">IFERROR(__xludf.DUMMYFUNCTION("""COMPUTED_VALUE"""),"Dismissal")</f>
        <v>Dismissal</v>
      </c>
      <c r="W1491" s="10">
        <f ca="1">IFERROR(__xludf.DUMMYFUNCTION("""COMPUTED_VALUE"""),0.616666666666666)</f>
        <v>0.61666666666666603</v>
      </c>
      <c r="X1491" s="5">
        <f ca="1">IFERROR(__xludf.DUMMYFUNCTION("""COMPUTED_VALUE"""),1)</f>
        <v>1</v>
      </c>
      <c r="Y1491" s="5" t="str">
        <f ca="1">IFERROR(__xludf.DUMMYFUNCTION("""COMPUTED_VALUE"""),"Killed by rival gang member outside of school")</f>
        <v>Killed by rival gang member outside of school</v>
      </c>
      <c r="Z1491" s="5" t="str">
        <f ca="1">IFERROR(__xludf.DUMMYFUNCTION("""COMPUTED_VALUE"""),"18YOM student waiting outside of high school was shot and killed by rival gang member. 4 teens from a rival gang were involved in the shooting and fled together. Group of teens involved attempted to intimidate witnesses following the shooting.")</f>
        <v>18YOM student waiting outside of high school was shot and killed by rival gang member. 4 teens from a rival gang were involved in the shooting and fled together. Group of teens involved attempted to intimidate witnesses following the shooting.</v>
      </c>
      <c r="AA1491" s="5" t="str">
        <f ca="1">IFERROR(__xludf.DUMMYFUNCTION("""COMPUTED_VALUE"""),"Escalation of Dispute")</f>
        <v>Escalation of Dispute</v>
      </c>
      <c r="AB1491" s="5" t="str">
        <f ca="1">IFERROR(__xludf.DUMMYFUNCTION("""COMPUTED_VALUE"""),"Victims Targeted")</f>
        <v>Victims Targeted</v>
      </c>
      <c r="AC1491" s="5" t="str">
        <f ca="1">IFERROR(__xludf.DUMMYFUNCTION("""COMPUTED_VALUE"""),"Yes")</f>
        <v>Yes</v>
      </c>
      <c r="AD1491" s="5" t="str">
        <f ca="1">IFERROR(__xludf.DUMMYFUNCTION("""COMPUTED_VALUE"""),"No")</f>
        <v>No</v>
      </c>
      <c r="AE1491" s="5" t="str">
        <f ca="1">IFERROR(__xludf.DUMMYFUNCTION("""COMPUTED_VALUE"""),"No")</f>
        <v>No</v>
      </c>
      <c r="AF1491" s="5" t="str">
        <f ca="1">IFERROR(__xludf.DUMMYFUNCTION("""COMPUTED_VALUE"""),"No")</f>
        <v>No</v>
      </c>
      <c r="AG1491" s="5" t="str">
        <f ca="1">IFERROR(__xludf.DUMMYFUNCTION("""COMPUTED_VALUE"""),"No")</f>
        <v>No</v>
      </c>
      <c r="AH1491" s="5" t="str">
        <f ca="1">IFERROR(__xludf.DUMMYFUNCTION("""COMPUTED_VALUE"""),"No")</f>
        <v>No</v>
      </c>
      <c r="AI1491" s="5" t="str">
        <f ca="1">IFERROR(__xludf.DUMMYFUNCTION("""COMPUTED_VALUE"""),"Yes")</f>
        <v>Yes</v>
      </c>
      <c r="AJ1491" s="5"/>
    </row>
    <row r="1492" spans="1:36" ht="13">
      <c r="A1492" s="5" t="str">
        <f ca="1">IFERROR(__xludf.DUMMYFUNCTION("""COMPUTED_VALUE"""),"20041231TXRIR")</f>
        <v>20041231TXRIR</v>
      </c>
      <c r="B1492" s="5">
        <f ca="1">IFERROR(__xludf.DUMMYFUNCTION("""COMPUTED_VALUE"""),12)</f>
        <v>12</v>
      </c>
      <c r="C1492" s="5">
        <f ca="1">IFERROR(__xludf.DUMMYFUNCTION("""COMPUTED_VALUE"""),31)</f>
        <v>31</v>
      </c>
      <c r="D1492" s="5">
        <f ca="1">IFERROR(__xludf.DUMMYFUNCTION("""COMPUTED_VALUE"""),2004)</f>
        <v>2004</v>
      </c>
      <c r="E1492" s="8">
        <f ca="1">IFERROR(__xludf.DUMMYFUNCTION("""COMPUTED_VALUE"""),38352)</f>
        <v>38352</v>
      </c>
      <c r="F1492" s="5" t="str">
        <f ca="1">IFERROR(__xludf.DUMMYFUNCTION("""COMPUTED_VALUE"""),"Richmond State School")</f>
        <v>Richmond State School</v>
      </c>
      <c r="G1492" s="5">
        <f ca="1">IFERROR(__xludf.DUMMYFUNCTION("""COMPUTED_VALUE"""),0)</f>
        <v>0</v>
      </c>
      <c r="H1492" s="5">
        <f ca="1">IFERROR(__xludf.DUMMYFUNCTION("""COMPUTED_VALUE"""),1)</f>
        <v>1</v>
      </c>
      <c r="I1492" s="5">
        <f ca="1">IFERROR(__xludf.DUMMYFUNCTION("""COMPUTED_VALUE"""),1)</f>
        <v>1</v>
      </c>
      <c r="J1492" s="5">
        <f ca="1">IFERROR(__xludf.DUMMYFUNCTION("""COMPUTED_VALUE"""),1)</f>
        <v>1</v>
      </c>
      <c r="K1492" s="9" t="str">
        <f ca="1">IFERROR(__xludf.DUMMYFUNCTION("""COMPUTED_VALUE"""),"https://www.chron.com/news/houston-texas/article/1-dead-1-hurt-in-Richmond-State-School-shooting-1938319.php")</f>
        <v>https://www.chron.com/news/houston-texas/article/1-dead-1-hurt-in-Richmond-State-School-shooting-1938319.php</v>
      </c>
      <c r="L1492" s="5"/>
      <c r="M1492" s="5"/>
      <c r="N1492" s="5">
        <f ca="1">IFERROR(__xludf.DUMMYFUNCTION("""COMPUTED_VALUE"""),2)</f>
        <v>2</v>
      </c>
      <c r="O1492" s="5" t="str">
        <f ca="1">IFERROR(__xludf.DUMMYFUNCTION("""COMPUTED_VALUE"""),"Winter")</f>
        <v>Winter</v>
      </c>
      <c r="P1492" s="5" t="str">
        <f ca="1">IFERROR(__xludf.DUMMYFUNCTION("""COMPUTED_VALUE"""),"Richmond")</f>
        <v>Richmond</v>
      </c>
      <c r="Q1492" s="5" t="str">
        <f ca="1">IFERROR(__xludf.DUMMYFUNCTION("""COMPUTED_VALUE"""),"TX")</f>
        <v>TX</v>
      </c>
      <c r="R1492" s="5" t="str">
        <f ca="1">IFERROR(__xludf.DUMMYFUNCTION("""COMPUTED_VALUE"""),"Other")</f>
        <v>Other</v>
      </c>
      <c r="S1492" s="5" t="str">
        <f ca="1">IFERROR(__xludf.DUMMYFUNCTION("""COMPUTED_VALUE"""),"Cafeteria")</f>
        <v>Cafeteria</v>
      </c>
      <c r="T1492" s="5" t="str">
        <f ca="1">IFERROR(__xludf.DUMMYFUNCTION("""COMPUTED_VALUE"""),"Inside School Building")</f>
        <v>Inside School Building</v>
      </c>
      <c r="U1492" s="5" t="str">
        <f ca="1">IFERROR(__xludf.DUMMYFUNCTION("""COMPUTED_VALUE"""),"No")</f>
        <v>No</v>
      </c>
      <c r="V1492" s="5" t="str">
        <f ca="1">IFERROR(__xludf.DUMMYFUNCTION("""COMPUTED_VALUE"""),"Evening")</f>
        <v>Evening</v>
      </c>
      <c r="W1492" s="10">
        <f ca="1">IFERROR(__xludf.DUMMYFUNCTION("""COMPUTED_VALUE"""),0.75)</f>
        <v>0.75</v>
      </c>
      <c r="X1492" s="5">
        <f ca="1">IFERROR(__xludf.DUMMYFUNCTION("""COMPUTED_VALUE"""),1)</f>
        <v>1</v>
      </c>
      <c r="Y1492" s="5" t="str">
        <f ca="1">IFERROR(__xludf.DUMMYFUNCTION("""COMPUTED_VALUE"""),"Cafeteria worker shot coworker and then killed himself")</f>
        <v>Cafeteria worker shot coworker and then killed himself</v>
      </c>
      <c r="Z1492" s="5" t="str">
        <f ca="1">IFERROR(__xludf.DUMMYFUNCTION("""COMPUTED_VALUE"""),"Cafeteria worker shot coworker 3 times and then shot himself. Motive unclear.")</f>
        <v>Cafeteria worker shot coworker 3 times and then shot himself. Motive unclear.</v>
      </c>
      <c r="AA1492" s="5" t="str">
        <f ca="1">IFERROR(__xludf.DUMMYFUNCTION("""COMPUTED_VALUE"""),"Murder/Suicide")</f>
        <v>Murder/Suicide</v>
      </c>
      <c r="AB1492" s="5" t="str">
        <f ca="1">IFERROR(__xludf.DUMMYFUNCTION("""COMPUTED_VALUE"""),"Victims Targeted")</f>
        <v>Victims Targeted</v>
      </c>
      <c r="AC1492" s="5" t="str">
        <f ca="1">IFERROR(__xludf.DUMMYFUNCTION("""COMPUTED_VALUE"""),"No")</f>
        <v>No</v>
      </c>
      <c r="AD1492" s="5" t="str">
        <f ca="1">IFERROR(__xludf.DUMMYFUNCTION("""COMPUTED_VALUE"""),"No")</f>
        <v>No</v>
      </c>
      <c r="AE1492" s="5" t="str">
        <f ca="1">IFERROR(__xludf.DUMMYFUNCTION("""COMPUTED_VALUE"""),"No")</f>
        <v>No</v>
      </c>
      <c r="AF1492" s="5" t="str">
        <f ca="1">IFERROR(__xludf.DUMMYFUNCTION("""COMPUTED_VALUE"""),"No")</f>
        <v>No</v>
      </c>
      <c r="AG1492" s="5" t="str">
        <f ca="1">IFERROR(__xludf.DUMMYFUNCTION("""COMPUTED_VALUE"""),"No")</f>
        <v>No</v>
      </c>
      <c r="AH1492" s="5"/>
      <c r="AI1492" s="5" t="str">
        <f ca="1">IFERROR(__xludf.DUMMYFUNCTION("""COMPUTED_VALUE"""),"No")</f>
        <v>No</v>
      </c>
      <c r="AJ1492" s="5"/>
    </row>
    <row r="1493" spans="1:36" ht="13">
      <c r="A1493" s="5" t="str">
        <f ca="1">IFERROR(__xludf.DUMMYFUNCTION("""COMPUTED_VALUE"""),"20041213LALAL")</f>
        <v>20041213LALAL</v>
      </c>
      <c r="B1493" s="5">
        <f ca="1">IFERROR(__xludf.DUMMYFUNCTION("""COMPUTED_VALUE"""),12)</f>
        <v>12</v>
      </c>
      <c r="C1493" s="5">
        <f ca="1">IFERROR(__xludf.DUMMYFUNCTION("""COMPUTED_VALUE"""),13)</f>
        <v>13</v>
      </c>
      <c r="D1493" s="5">
        <f ca="1">IFERROR(__xludf.DUMMYFUNCTION("""COMPUTED_VALUE"""),2004)</f>
        <v>2004</v>
      </c>
      <c r="E1493" s="8">
        <f ca="1">IFERROR(__xludf.DUMMYFUNCTION("""COMPUTED_VALUE"""),38334)</f>
        <v>38334</v>
      </c>
      <c r="F1493" s="5" t="str">
        <f ca="1">IFERROR(__xludf.DUMMYFUNCTION("""COMPUTED_VALUE"""),"La Grange High School")</f>
        <v>La Grange High School</v>
      </c>
      <c r="G1493" s="5">
        <f ca="1">IFERROR(__xludf.DUMMYFUNCTION("""COMPUTED_VALUE"""),0)</f>
        <v>0</v>
      </c>
      <c r="H1493" s="5">
        <f ca="1">IFERROR(__xludf.DUMMYFUNCTION("""COMPUTED_VALUE"""),1)</f>
        <v>1</v>
      </c>
      <c r="I1493" s="5">
        <f ca="1">IFERROR(__xludf.DUMMYFUNCTION("""COMPUTED_VALUE"""),1)</f>
        <v>1</v>
      </c>
      <c r="J1493" s="5">
        <f ca="1">IFERROR(__xludf.DUMMYFUNCTION("""COMPUTED_VALUE"""),0)</f>
        <v>0</v>
      </c>
      <c r="K1493" s="9" t="str">
        <f ca="1">IFERROR(__xludf.DUMMYFUNCTION("""COMPUTED_VALUE"""),"https://www.columbine-angels.com/School_Violence_2004-2005.htm")</f>
        <v>https://www.columbine-angels.com/School_Violence_2004-2005.htm</v>
      </c>
      <c r="L1493" s="5"/>
      <c r="M1493" s="5"/>
      <c r="N1493" s="5">
        <f ca="1">IFERROR(__xludf.DUMMYFUNCTION("""COMPUTED_VALUE"""),1)</f>
        <v>1</v>
      </c>
      <c r="O1493" s="5" t="str">
        <f ca="1">IFERROR(__xludf.DUMMYFUNCTION("""COMPUTED_VALUE"""),"Winter")</f>
        <v>Winter</v>
      </c>
      <c r="P1493" s="5" t="str">
        <f ca="1">IFERROR(__xludf.DUMMYFUNCTION("""COMPUTED_VALUE"""),"Lake Charles")</f>
        <v>Lake Charles</v>
      </c>
      <c r="Q1493" s="5" t="str">
        <f ca="1">IFERROR(__xludf.DUMMYFUNCTION("""COMPUTED_VALUE"""),"LA")</f>
        <v>LA</v>
      </c>
      <c r="R1493" s="5" t="str">
        <f ca="1">IFERROR(__xludf.DUMMYFUNCTION("""COMPUTED_VALUE"""),"High")</f>
        <v>High</v>
      </c>
      <c r="S1493" s="5" t="str">
        <f ca="1">IFERROR(__xludf.DUMMYFUNCTION("""COMPUTED_VALUE"""),"Parking Lot")</f>
        <v>Parking Lot</v>
      </c>
      <c r="T1493" s="5" t="str">
        <f ca="1">IFERROR(__xludf.DUMMYFUNCTION("""COMPUTED_VALUE"""),"Outside on School Property")</f>
        <v>Outside on School Property</v>
      </c>
      <c r="U1493" s="5" t="str">
        <f ca="1">IFERROR(__xludf.DUMMYFUNCTION("""COMPUTED_VALUE"""),"Yes")</f>
        <v>Yes</v>
      </c>
      <c r="V1493" s="5" t="str">
        <f ca="1">IFERROR(__xludf.DUMMYFUNCTION("""COMPUTED_VALUE"""),"Lunch")</f>
        <v>Lunch</v>
      </c>
      <c r="W1493" s="10">
        <f ca="1">IFERROR(__xludf.DUMMYFUNCTION("""COMPUTED_VALUE"""),0.520833333333333)</f>
        <v>0.52083333333333304</v>
      </c>
      <c r="X1493" s="5">
        <f ca="1">IFERROR(__xludf.DUMMYFUNCTION("""COMPUTED_VALUE"""),1)</f>
        <v>1</v>
      </c>
      <c r="Y1493" s="5" t="str">
        <f ca="1">IFERROR(__xludf.DUMMYFUNCTION("""COMPUTED_VALUE"""),"Shot in parking lot by masked gunman")</f>
        <v>Shot in parking lot by masked gunman</v>
      </c>
      <c r="Z1493" s="5" t="str">
        <f ca="1">IFERROR(__xludf.DUMMYFUNCTION("""COMPUTED_VALUE"""),"18YOM shot in the school parking lot inside his car by a masked gunman. No other information available.")</f>
        <v>18YOM shot in the school parking lot inside his car by a masked gunman. No other information available.</v>
      </c>
      <c r="AA1493" s="5" t="str">
        <f ca="1">IFERROR(__xludf.DUMMYFUNCTION("""COMPUTED_VALUE"""),"Unknown")</f>
        <v>Unknown</v>
      </c>
      <c r="AB1493" s="5" t="str">
        <f ca="1">IFERROR(__xludf.DUMMYFUNCTION("""COMPUTED_VALUE"""),"Victims Targeted")</f>
        <v>Victims Targeted</v>
      </c>
      <c r="AC1493" s="5" t="str">
        <f ca="1">IFERROR(__xludf.DUMMYFUNCTION("""COMPUTED_VALUE"""),"No")</f>
        <v>No</v>
      </c>
      <c r="AD1493" s="5" t="str">
        <f ca="1">IFERROR(__xludf.DUMMYFUNCTION("""COMPUTED_VALUE"""),"No")</f>
        <v>No</v>
      </c>
      <c r="AE1493" s="5" t="str">
        <f ca="1">IFERROR(__xludf.DUMMYFUNCTION("""COMPUTED_VALUE"""),"No")</f>
        <v>No</v>
      </c>
      <c r="AF1493" s="5" t="str">
        <f ca="1">IFERROR(__xludf.DUMMYFUNCTION("""COMPUTED_VALUE"""),"No")</f>
        <v>No</v>
      </c>
      <c r="AG1493" s="5" t="str">
        <f ca="1">IFERROR(__xludf.DUMMYFUNCTION("""COMPUTED_VALUE"""),"No")</f>
        <v>No</v>
      </c>
      <c r="AH1493" s="5" t="str">
        <f ca="1">IFERROR(__xludf.DUMMYFUNCTION("""COMPUTED_VALUE"""),"No")</f>
        <v>No</v>
      </c>
      <c r="AI1493" s="5"/>
      <c r="AJ1493" s="5"/>
    </row>
    <row r="1494" spans="1:36" ht="13">
      <c r="A1494" s="5" t="str">
        <f ca="1">IFERROR(__xludf.DUMMYFUNCTION("""COMPUTED_VALUE"""),"20041209WALAS")</f>
        <v>20041209WALAS</v>
      </c>
      <c r="B1494" s="5">
        <f ca="1">IFERROR(__xludf.DUMMYFUNCTION("""COMPUTED_VALUE"""),12)</f>
        <v>12</v>
      </c>
      <c r="C1494" s="5">
        <f ca="1">IFERROR(__xludf.DUMMYFUNCTION("""COMPUTED_VALUE"""),9)</f>
        <v>9</v>
      </c>
      <c r="D1494" s="5">
        <f ca="1">IFERROR(__xludf.DUMMYFUNCTION("""COMPUTED_VALUE"""),2004)</f>
        <v>2004</v>
      </c>
      <c r="E1494" s="8">
        <f ca="1">IFERROR(__xludf.DUMMYFUNCTION("""COMPUTED_VALUE"""),38330)</f>
        <v>38330</v>
      </c>
      <c r="F1494" s="5" t="str">
        <f ca="1">IFERROR(__xludf.DUMMYFUNCTION("""COMPUTED_VALUE"""),"Lakeside High School")</f>
        <v>Lakeside High School</v>
      </c>
      <c r="G1494" s="5">
        <f ca="1">IFERROR(__xludf.DUMMYFUNCTION("""COMPUTED_VALUE"""),0)</f>
        <v>0</v>
      </c>
      <c r="H1494" s="5">
        <f ca="1">IFERROR(__xludf.DUMMYFUNCTION("""COMPUTED_VALUE"""),0)</f>
        <v>0</v>
      </c>
      <c r="I1494" s="5">
        <f ca="1">IFERROR(__xludf.DUMMYFUNCTION("""COMPUTED_VALUE"""),0)</f>
        <v>0</v>
      </c>
      <c r="J1494" s="5">
        <f ca="1">IFERROR(__xludf.DUMMYFUNCTION("""COMPUTED_VALUE"""),1)</f>
        <v>1</v>
      </c>
      <c r="K1494" s="9" t="str">
        <f ca="1">IFERROR(__xludf.DUMMYFUNCTION("""COMPUTED_VALUE"""),"http://www.spokesman.com/stories/2004/dec/11/skyler-cullitan-remembered-as-caring-outgoing/")</f>
        <v>http://www.spokesman.com/stories/2004/dec/11/skyler-cullitan-remembered-as-caring-outgoing/</v>
      </c>
      <c r="L1494" s="5"/>
      <c r="M1494" s="5"/>
      <c r="N1494" s="5">
        <f ca="1">IFERROR(__xludf.DUMMYFUNCTION("""COMPUTED_VALUE"""),2)</f>
        <v>2</v>
      </c>
      <c r="O1494" s="5" t="str">
        <f ca="1">IFERROR(__xludf.DUMMYFUNCTION("""COMPUTED_VALUE"""),"Winter")</f>
        <v>Winter</v>
      </c>
      <c r="P1494" s="5" t="str">
        <f ca="1">IFERROR(__xludf.DUMMYFUNCTION("""COMPUTED_VALUE"""),"Spokane")</f>
        <v>Spokane</v>
      </c>
      <c r="Q1494" s="5" t="str">
        <f ca="1">IFERROR(__xludf.DUMMYFUNCTION("""COMPUTED_VALUE"""),"WA")</f>
        <v>WA</v>
      </c>
      <c r="R1494" s="5" t="str">
        <f ca="1">IFERROR(__xludf.DUMMYFUNCTION("""COMPUTED_VALUE"""),"High")</f>
        <v>High</v>
      </c>
      <c r="S1494" s="5" t="str">
        <f ca="1">IFERROR(__xludf.DUMMYFUNCTION("""COMPUTED_VALUE"""),"Front of School")</f>
        <v>Front of School</v>
      </c>
      <c r="T1494" s="5" t="str">
        <f ca="1">IFERROR(__xludf.DUMMYFUNCTION("""COMPUTED_VALUE"""),"Outside on School Property")</f>
        <v>Outside on School Property</v>
      </c>
      <c r="U1494" s="5" t="str">
        <f ca="1">IFERROR(__xludf.DUMMYFUNCTION("""COMPUTED_VALUE"""),"Yes")</f>
        <v>Yes</v>
      </c>
      <c r="V1494" s="5" t="str">
        <f ca="1">IFERROR(__xludf.DUMMYFUNCTION("""COMPUTED_VALUE"""),"Afternoon Classes")</f>
        <v>Afternoon Classes</v>
      </c>
      <c r="W1494" s="10">
        <f ca="1">IFERROR(__xludf.DUMMYFUNCTION("""COMPUTED_VALUE"""),0.555555555555555)</f>
        <v>0.55555555555555503</v>
      </c>
      <c r="X1494" s="5">
        <f ca="1">IFERROR(__xludf.DUMMYFUNCTION("""COMPUTED_VALUE"""),1)</f>
        <v>1</v>
      </c>
      <c r="Y1494" s="5" t="str">
        <f ca="1">IFERROR(__xludf.DUMMYFUNCTION("""COMPUTED_VALUE"""),"Shot himself in front of school, reported he had fireworks and multiple types of ammo")</f>
        <v>Shot himself in front of school, reported he had fireworks and multiple types of ammo</v>
      </c>
      <c r="Z1494" s="5" t="str">
        <f ca="1">IFERROR(__xludf.DUMMYFUNCTION("""COMPUTED_VALUE"""),"16YOM student shot and killed himself in front of school. Reported that he had fireworks and multiple types of ammo in his backpack. Online blog had violent imagery and references to shooting and bombing school. Teachers and students said he was a good ki"&amp;"d and varsity athlete. Students reported he had been teased for being queer.")</f>
        <v>16YOM student shot and killed himself in front of school. Reported that he had fireworks and multiple types of ammo in his backpack. Online blog had violent imagery and references to shooting and bombing school. Teachers and students said he was a good kid and varsity athlete. Students reported he had been teased for being queer.</v>
      </c>
      <c r="AA1494" s="5" t="str">
        <f ca="1">IFERROR(__xludf.DUMMYFUNCTION("""COMPUTED_VALUE"""),"Suicide/Attempted")</f>
        <v>Suicide/Attempted</v>
      </c>
      <c r="AB1494" s="5" t="str">
        <f ca="1">IFERROR(__xludf.DUMMYFUNCTION("""COMPUTED_VALUE"""),"Victims Targeted")</f>
        <v>Victims Targeted</v>
      </c>
      <c r="AC1494" s="5" t="str">
        <f ca="1">IFERROR(__xludf.DUMMYFUNCTION("""COMPUTED_VALUE"""),"No")</f>
        <v>No</v>
      </c>
      <c r="AD1494" s="5" t="str">
        <f ca="1">IFERROR(__xludf.DUMMYFUNCTION("""COMPUTED_VALUE"""),"No")</f>
        <v>No</v>
      </c>
      <c r="AE1494" s="5" t="str">
        <f ca="1">IFERROR(__xludf.DUMMYFUNCTION("""COMPUTED_VALUE"""),"No")</f>
        <v>No</v>
      </c>
      <c r="AF1494" s="5" t="str">
        <f ca="1">IFERROR(__xludf.DUMMYFUNCTION("""COMPUTED_VALUE"""),"No")</f>
        <v>No</v>
      </c>
      <c r="AG1494" s="5" t="str">
        <f ca="1">IFERROR(__xludf.DUMMYFUNCTION("""COMPUTED_VALUE"""),"Yes")</f>
        <v>Yes</v>
      </c>
      <c r="AH1494" s="5" t="str">
        <f ca="1">IFERROR(__xludf.DUMMYFUNCTION("""COMPUTED_VALUE"""),"No")</f>
        <v>No</v>
      </c>
      <c r="AI1494" s="5" t="str">
        <f ca="1">IFERROR(__xludf.DUMMYFUNCTION("""COMPUTED_VALUE"""),"No")</f>
        <v>No</v>
      </c>
      <c r="AJ1494" s="5"/>
    </row>
    <row r="1495" spans="1:36" ht="13">
      <c r="A1495" s="5" t="str">
        <f ca="1">IFERROR(__xludf.DUMMYFUNCTION("""COMPUTED_VALUE"""),"20041119FLTEJ")</f>
        <v>20041119FLTEJ</v>
      </c>
      <c r="B1495" s="5">
        <f ca="1">IFERROR(__xludf.DUMMYFUNCTION("""COMPUTED_VALUE"""),11)</f>
        <v>11</v>
      </c>
      <c r="C1495" s="5">
        <f ca="1">IFERROR(__xludf.DUMMYFUNCTION("""COMPUTED_VALUE"""),19)</f>
        <v>19</v>
      </c>
      <c r="D1495" s="5">
        <f ca="1">IFERROR(__xludf.DUMMYFUNCTION("""COMPUTED_VALUE"""),2004)</f>
        <v>2004</v>
      </c>
      <c r="E1495" s="8">
        <f ca="1">IFERROR(__xludf.DUMMYFUNCTION("""COMPUTED_VALUE"""),38310)</f>
        <v>38310</v>
      </c>
      <c r="F1495" s="5" t="str">
        <f ca="1">IFERROR(__xludf.DUMMYFUNCTION("""COMPUTED_VALUE"""),"Terry Parker High School")</f>
        <v>Terry Parker High School</v>
      </c>
      <c r="G1495" s="5">
        <f ca="1">IFERROR(__xludf.DUMMYFUNCTION("""COMPUTED_VALUE"""),0)</f>
        <v>0</v>
      </c>
      <c r="H1495" s="5">
        <f ca="1">IFERROR(__xludf.DUMMYFUNCTION("""COMPUTED_VALUE"""),1)</f>
        <v>1</v>
      </c>
      <c r="I1495" s="5">
        <f ca="1">IFERROR(__xludf.DUMMYFUNCTION("""COMPUTED_VALUE"""),1)</f>
        <v>1</v>
      </c>
      <c r="J1495" s="5">
        <f ca="1">IFERROR(__xludf.DUMMYFUNCTION("""COMPUTED_VALUE"""),0)</f>
        <v>0</v>
      </c>
      <c r="K1495" s="9" t="str">
        <f ca="1">IFERROR(__xludf.DUMMYFUNCTION("""COMPUTED_VALUE"""),"https://www.questia.com/newspaper/1G1-125515131/student-accidentally-shot-1-charged-terry-parker")</f>
        <v>https://www.questia.com/newspaper/1G1-125515131/student-accidentally-shot-1-charged-terry-parker</v>
      </c>
      <c r="L1495" s="5"/>
      <c r="M1495" s="5"/>
      <c r="N1495" s="5">
        <f ca="1">IFERROR(__xludf.DUMMYFUNCTION("""COMPUTED_VALUE"""),2)</f>
        <v>2</v>
      </c>
      <c r="O1495" s="5" t="str">
        <f ca="1">IFERROR(__xludf.DUMMYFUNCTION("""COMPUTED_VALUE"""),"Fall")</f>
        <v>Fall</v>
      </c>
      <c r="P1495" s="5" t="str">
        <f ca="1">IFERROR(__xludf.DUMMYFUNCTION("""COMPUTED_VALUE"""),"Jacksonville")</f>
        <v>Jacksonville</v>
      </c>
      <c r="Q1495" s="5" t="str">
        <f ca="1">IFERROR(__xludf.DUMMYFUNCTION("""COMPUTED_VALUE"""),"FL")</f>
        <v>FL</v>
      </c>
      <c r="R1495" s="5" t="str">
        <f ca="1">IFERROR(__xludf.DUMMYFUNCTION("""COMPUTED_VALUE"""),"High")</f>
        <v>High</v>
      </c>
      <c r="S1495" s="5" t="str">
        <f ca="1">IFERROR(__xludf.DUMMYFUNCTION("""COMPUTED_VALUE"""),"Parking Lot")</f>
        <v>Parking Lot</v>
      </c>
      <c r="T1495" s="5" t="str">
        <f ca="1">IFERROR(__xludf.DUMMYFUNCTION("""COMPUTED_VALUE"""),"Outside on School Property")</f>
        <v>Outside on School Property</v>
      </c>
      <c r="U1495" s="5" t="str">
        <f ca="1">IFERROR(__xludf.DUMMYFUNCTION("""COMPUTED_VALUE"""),"Yes")</f>
        <v>Yes</v>
      </c>
      <c r="V1495" s="5" t="str">
        <f ca="1">IFERROR(__xludf.DUMMYFUNCTION("""COMPUTED_VALUE"""),"School Start")</f>
        <v>School Start</v>
      </c>
      <c r="W1495" s="10">
        <f ca="1">IFERROR(__xludf.DUMMYFUNCTION("""COMPUTED_VALUE"""),0.28125)</f>
        <v>0.28125</v>
      </c>
      <c r="X1495" s="5">
        <f ca="1">IFERROR(__xludf.DUMMYFUNCTION("""COMPUTED_VALUE"""),1)</f>
        <v>1</v>
      </c>
      <c r="Y1495" s="5" t="str">
        <f ca="1">IFERROR(__xludf.DUMMYFUNCTION("""COMPUTED_VALUE"""),"4 students playing with gun in car, one shot in leg, claimed a driveby")</f>
        <v>4 students playing with gun in car, one shot in leg, claimed a driveby</v>
      </c>
      <c r="Z1495" s="5" t="str">
        <f ca="1">IFERROR(__xludf.DUMMYFUNCTION("""COMPUTED_VALUE"""),"4 students were playing with a gun in the car, accidentally fired striking one of the students. Called 911 and told police they had been in a drive by shooting.")</f>
        <v>4 students were playing with a gun in the car, accidentally fired striking one of the students. Called 911 and told police they had been in a drive by shooting.</v>
      </c>
      <c r="AA1495" s="5" t="str">
        <f ca="1">IFERROR(__xludf.DUMMYFUNCTION("""COMPUTED_VALUE"""),"Accidental")</f>
        <v>Accidental</v>
      </c>
      <c r="AB1495" s="5" t="str">
        <f ca="1">IFERROR(__xludf.DUMMYFUNCTION("""COMPUTED_VALUE"""),"Random Shooting")</f>
        <v>Random Shooting</v>
      </c>
      <c r="AC1495" s="5" t="str">
        <f ca="1">IFERROR(__xludf.DUMMYFUNCTION("""COMPUTED_VALUE"""),"Yes")</f>
        <v>Yes</v>
      </c>
      <c r="AD1495" s="5" t="str">
        <f ca="1">IFERROR(__xludf.DUMMYFUNCTION("""COMPUTED_VALUE"""),"No")</f>
        <v>No</v>
      </c>
      <c r="AE1495" s="5" t="str">
        <f ca="1">IFERROR(__xludf.DUMMYFUNCTION("""COMPUTED_VALUE"""),"No")</f>
        <v>No</v>
      </c>
      <c r="AF1495" s="5" t="str">
        <f ca="1">IFERROR(__xludf.DUMMYFUNCTION("""COMPUTED_VALUE"""),"No")</f>
        <v>No</v>
      </c>
      <c r="AG1495" s="5" t="str">
        <f ca="1">IFERROR(__xludf.DUMMYFUNCTION("""COMPUTED_VALUE"""),"No")</f>
        <v>No</v>
      </c>
      <c r="AH1495" s="5" t="str">
        <f ca="1">IFERROR(__xludf.DUMMYFUNCTION("""COMPUTED_VALUE"""),"No")</f>
        <v>No</v>
      </c>
      <c r="AI1495" s="5" t="str">
        <f ca="1">IFERROR(__xludf.DUMMYFUNCTION("""COMPUTED_VALUE"""),"No")</f>
        <v>No</v>
      </c>
      <c r="AJ1495" s="5"/>
    </row>
    <row r="1496" spans="1:36" ht="13">
      <c r="A1496" s="5" t="str">
        <f ca="1">IFERROR(__xludf.DUMMYFUNCTION("""COMPUTED_VALUE"""),"20041117FLAPA")</f>
        <v>20041117FLAPA</v>
      </c>
      <c r="B1496" s="5">
        <f ca="1">IFERROR(__xludf.DUMMYFUNCTION("""COMPUTED_VALUE"""),11)</f>
        <v>11</v>
      </c>
      <c r="C1496" s="5">
        <f ca="1">IFERROR(__xludf.DUMMYFUNCTION("""COMPUTED_VALUE"""),17)</f>
        <v>17</v>
      </c>
      <c r="D1496" s="5">
        <f ca="1">IFERROR(__xludf.DUMMYFUNCTION("""COMPUTED_VALUE"""),2004)</f>
        <v>2004</v>
      </c>
      <c r="E1496" s="8">
        <f ca="1">IFERROR(__xludf.DUMMYFUNCTION("""COMPUTED_VALUE"""),38308)</f>
        <v>38308</v>
      </c>
      <c r="F1496" s="5" t="str">
        <f ca="1">IFERROR(__xludf.DUMMYFUNCTION("""COMPUTED_VALUE"""),"Apopka Memorial Middle School")</f>
        <v>Apopka Memorial Middle School</v>
      </c>
      <c r="G1496" s="5">
        <f ca="1">IFERROR(__xludf.DUMMYFUNCTION("""COMPUTED_VALUE"""),0)</f>
        <v>0</v>
      </c>
      <c r="H1496" s="5">
        <f ca="1">IFERROR(__xludf.DUMMYFUNCTION("""COMPUTED_VALUE"""),0)</f>
        <v>0</v>
      </c>
      <c r="I1496" s="5">
        <f ca="1">IFERROR(__xludf.DUMMYFUNCTION("""COMPUTED_VALUE"""),0)</f>
        <v>0</v>
      </c>
      <c r="J1496" s="5">
        <f ca="1">IFERROR(__xludf.DUMMYFUNCTION("""COMPUTED_VALUE"""),0)</f>
        <v>0</v>
      </c>
      <c r="K1496" s="9" t="str">
        <f ca="1">IFERROR(__xludf.DUMMYFUNCTION("""COMPUTED_VALUE"""),"http://articles.orlandosentinel.com/keyword/gun-to-school/recent/3")</f>
        <v>http://articles.orlandosentinel.com/keyword/gun-to-school/recent/3</v>
      </c>
      <c r="L1496" s="5"/>
      <c r="M1496" s="5"/>
      <c r="N1496" s="5">
        <f ca="1">IFERROR(__xludf.DUMMYFUNCTION("""COMPUTED_VALUE"""),2)</f>
        <v>2</v>
      </c>
      <c r="O1496" s="5" t="str">
        <f ca="1">IFERROR(__xludf.DUMMYFUNCTION("""COMPUTED_VALUE"""),"Fall")</f>
        <v>Fall</v>
      </c>
      <c r="P1496" s="5" t="str">
        <f ca="1">IFERROR(__xludf.DUMMYFUNCTION("""COMPUTED_VALUE"""),"Apopka")</f>
        <v>Apopka</v>
      </c>
      <c r="Q1496" s="5" t="str">
        <f ca="1">IFERROR(__xludf.DUMMYFUNCTION("""COMPUTED_VALUE"""),"FL")</f>
        <v>FL</v>
      </c>
      <c r="R1496" s="5" t="str">
        <f ca="1">IFERROR(__xludf.DUMMYFUNCTION("""COMPUTED_VALUE"""),"Middle")</f>
        <v>Middle</v>
      </c>
      <c r="S1496" s="5" t="str">
        <f ca="1">IFERROR(__xludf.DUMMYFUNCTION("""COMPUTED_VALUE"""),"Classroom")</f>
        <v>Classroom</v>
      </c>
      <c r="T1496" s="5" t="str">
        <f ca="1">IFERROR(__xludf.DUMMYFUNCTION("""COMPUTED_VALUE"""),"Inside School Building")</f>
        <v>Inside School Building</v>
      </c>
      <c r="U1496" s="5" t="str">
        <f ca="1">IFERROR(__xludf.DUMMYFUNCTION("""COMPUTED_VALUE"""),"Yes")</f>
        <v>Yes</v>
      </c>
      <c r="V1496" s="5"/>
      <c r="W1496" s="5"/>
      <c r="X1496" s="5">
        <f ca="1">IFERROR(__xludf.DUMMYFUNCTION("""COMPUTED_VALUE"""),1)</f>
        <v>1</v>
      </c>
      <c r="Y1496" s="5" t="str">
        <f ca="1">IFERROR(__xludf.DUMMYFUNCTION("""COMPUTED_VALUE"""),"Fired gun in bathroom, ran into class with gun, arrested by police")</f>
        <v>Fired gun in bathroom, ran into class with gun, arrested by police</v>
      </c>
      <c r="Z1496" s="5" t="str">
        <f ca="1">IFERROR(__xludf.DUMMYFUNCTION("""COMPUTED_VALUE"""),"14YOM fired gun in bathroom, ran into a classroom, and was arrested by police.")</f>
        <v>14YOM fired gun in bathroom, ran into a classroom, and was arrested by police.</v>
      </c>
      <c r="AA1496" s="5" t="str">
        <f ca="1">IFERROR(__xludf.DUMMYFUNCTION("""COMPUTED_VALUE"""),"Unknown")</f>
        <v>Unknown</v>
      </c>
      <c r="AB1496" s="5" t="str">
        <f ca="1">IFERROR(__xludf.DUMMYFUNCTION("""COMPUTED_VALUE"""),"Neither")</f>
        <v>Neither</v>
      </c>
      <c r="AC1496" s="5" t="str">
        <f ca="1">IFERROR(__xludf.DUMMYFUNCTION("""COMPUTED_VALUE"""),"No")</f>
        <v>No</v>
      </c>
      <c r="AD1496" s="5" t="str">
        <f ca="1">IFERROR(__xludf.DUMMYFUNCTION("""COMPUTED_VALUE"""),"No")</f>
        <v>No</v>
      </c>
      <c r="AE1496" s="5" t="str">
        <f ca="1">IFERROR(__xludf.DUMMYFUNCTION("""COMPUTED_VALUE"""),"No")</f>
        <v>No</v>
      </c>
      <c r="AF1496" s="5" t="str">
        <f ca="1">IFERROR(__xludf.DUMMYFUNCTION("""COMPUTED_VALUE"""),"No")</f>
        <v>No</v>
      </c>
      <c r="AG1496" s="5" t="str">
        <f ca="1">IFERROR(__xludf.DUMMYFUNCTION("""COMPUTED_VALUE"""),"No")</f>
        <v>No</v>
      </c>
      <c r="AH1496" s="5" t="str">
        <f ca="1">IFERROR(__xludf.DUMMYFUNCTION("""COMPUTED_VALUE"""),"No")</f>
        <v>No</v>
      </c>
      <c r="AI1496" s="5" t="str">
        <f ca="1">IFERROR(__xludf.DUMMYFUNCTION("""COMPUTED_VALUE"""),"No")</f>
        <v>No</v>
      </c>
      <c r="AJ1496" s="5"/>
    </row>
    <row r="1497" spans="1:36" ht="13">
      <c r="A1497" s="5" t="str">
        <f ca="1">IFERROR(__xludf.DUMMYFUNCTION("""COMPUTED_VALUE"""),"20041116SCBAB")</f>
        <v>20041116SCBAB</v>
      </c>
      <c r="B1497" s="5">
        <f ca="1">IFERROR(__xludf.DUMMYFUNCTION("""COMPUTED_VALUE"""),11)</f>
        <v>11</v>
      </c>
      <c r="C1497" s="5">
        <f ca="1">IFERROR(__xludf.DUMMYFUNCTION("""COMPUTED_VALUE"""),16)</f>
        <v>16</v>
      </c>
      <c r="D1497" s="5">
        <f ca="1">IFERROR(__xludf.DUMMYFUNCTION("""COMPUTED_VALUE"""),2004)</f>
        <v>2004</v>
      </c>
      <c r="E1497" s="8">
        <f ca="1">IFERROR(__xludf.DUMMYFUNCTION("""COMPUTED_VALUE"""),38307)</f>
        <v>38307</v>
      </c>
      <c r="F1497" s="5" t="str">
        <f ca="1">IFERROR(__xludf.DUMMYFUNCTION("""COMPUTED_VALUE"""),"Battery Creek High School")</f>
        <v>Battery Creek High School</v>
      </c>
      <c r="G1497" s="5">
        <f ca="1">IFERROR(__xludf.DUMMYFUNCTION("""COMPUTED_VALUE"""),0)</f>
        <v>0</v>
      </c>
      <c r="H1497" s="5">
        <f ca="1">IFERROR(__xludf.DUMMYFUNCTION("""COMPUTED_VALUE"""),1)</f>
        <v>1</v>
      </c>
      <c r="I1497" s="5">
        <f ca="1">IFERROR(__xludf.DUMMYFUNCTION("""COMPUTED_VALUE"""),1)</f>
        <v>1</v>
      </c>
      <c r="J1497" s="5">
        <f ca="1">IFERROR(__xludf.DUMMYFUNCTION("""COMPUTED_VALUE"""),0)</f>
        <v>0</v>
      </c>
      <c r="K1497" s="9" t="str">
        <f ca="1">IFERROR(__xludf.DUMMYFUNCTION("""COMPUTED_VALUE"""),"http://www.wtoc.com/story/2578224/gunman-sought-in-battery-creek-high-shooting")</f>
        <v>http://www.wtoc.com/story/2578224/gunman-sought-in-battery-creek-high-shooting</v>
      </c>
      <c r="L1497" s="5"/>
      <c r="M1497" s="5"/>
      <c r="N1497" s="5">
        <f ca="1">IFERROR(__xludf.DUMMYFUNCTION("""COMPUTED_VALUE"""),2)</f>
        <v>2</v>
      </c>
      <c r="O1497" s="5" t="str">
        <f ca="1">IFERROR(__xludf.DUMMYFUNCTION("""COMPUTED_VALUE"""),"Fall")</f>
        <v>Fall</v>
      </c>
      <c r="P1497" s="5" t="str">
        <f ca="1">IFERROR(__xludf.DUMMYFUNCTION("""COMPUTED_VALUE"""),"Beaufort")</f>
        <v>Beaufort</v>
      </c>
      <c r="Q1497" s="5" t="str">
        <f ca="1">IFERROR(__xludf.DUMMYFUNCTION("""COMPUTED_VALUE"""),"SC")</f>
        <v>SC</v>
      </c>
      <c r="R1497" s="5" t="str">
        <f ca="1">IFERROR(__xludf.DUMMYFUNCTION("""COMPUTED_VALUE"""),"High")</f>
        <v>High</v>
      </c>
      <c r="S1497" s="5" t="str">
        <f ca="1">IFERROR(__xludf.DUMMYFUNCTION("""COMPUTED_VALUE"""),"Gym")</f>
        <v>Gym</v>
      </c>
      <c r="T1497" s="5" t="str">
        <f ca="1">IFERROR(__xludf.DUMMYFUNCTION("""COMPUTED_VALUE"""),"Inside School Building")</f>
        <v>Inside School Building</v>
      </c>
      <c r="U1497" s="5" t="str">
        <f ca="1">IFERROR(__xludf.DUMMYFUNCTION("""COMPUTED_VALUE"""),"No")</f>
        <v>No</v>
      </c>
      <c r="V1497" s="5" t="str">
        <f ca="1">IFERROR(__xludf.DUMMYFUNCTION("""COMPUTED_VALUE"""),"Sport Event")</f>
        <v>Sport Event</v>
      </c>
      <c r="W1497" s="10">
        <f ca="1">IFERROR(__xludf.DUMMYFUNCTION("""COMPUTED_VALUE"""),0.770833333333333)</f>
        <v>0.77083333333333304</v>
      </c>
      <c r="X1497" s="5">
        <f ca="1">IFERROR(__xludf.DUMMYFUNCTION("""COMPUTED_VALUE"""),1)</f>
        <v>1</v>
      </c>
      <c r="Y1497" s="5" t="str">
        <f ca="1">IFERROR(__xludf.DUMMYFUNCTION("""COMPUTED_VALUE"""),"Argument during basketball game")</f>
        <v>Argument during basketball game</v>
      </c>
      <c r="Z1497" s="5" t="str">
        <f ca="1">IFERROR(__xludf.DUMMYFUNCTION("""COMPUTED_VALUE"""),"Argument between 20YOM shooter and 19YOM victim escalated into shooting during basketball game. Shooter fired 2 shots and fled the area.")</f>
        <v>Argument between 20YOM shooter and 19YOM victim escalated into shooting during basketball game. Shooter fired 2 shots and fled the area.</v>
      </c>
      <c r="AA1497" s="5" t="str">
        <f ca="1">IFERROR(__xludf.DUMMYFUNCTION("""COMPUTED_VALUE"""),"Escalation of Dispute")</f>
        <v>Escalation of Dispute</v>
      </c>
      <c r="AB1497" s="5" t="str">
        <f ca="1">IFERROR(__xludf.DUMMYFUNCTION("""COMPUTED_VALUE"""),"Victims Targeted")</f>
        <v>Victims Targeted</v>
      </c>
      <c r="AC1497" s="5" t="str">
        <f ca="1">IFERROR(__xludf.DUMMYFUNCTION("""COMPUTED_VALUE"""),"No")</f>
        <v>No</v>
      </c>
      <c r="AD1497" s="5" t="str">
        <f ca="1">IFERROR(__xludf.DUMMYFUNCTION("""COMPUTED_VALUE"""),"No")</f>
        <v>No</v>
      </c>
      <c r="AE1497" s="5" t="str">
        <f ca="1">IFERROR(__xludf.DUMMYFUNCTION("""COMPUTED_VALUE"""),"No")</f>
        <v>No</v>
      </c>
      <c r="AF1497" s="5" t="str">
        <f ca="1">IFERROR(__xludf.DUMMYFUNCTION("""COMPUTED_VALUE"""),"No")</f>
        <v>No</v>
      </c>
      <c r="AG1497" s="5" t="str">
        <f ca="1">IFERROR(__xludf.DUMMYFUNCTION("""COMPUTED_VALUE"""),"No")</f>
        <v>No</v>
      </c>
      <c r="AH1497" s="5" t="str">
        <f ca="1">IFERROR(__xludf.DUMMYFUNCTION("""COMPUTED_VALUE"""),"No")</f>
        <v>No</v>
      </c>
      <c r="AI1497" s="5" t="str">
        <f ca="1">IFERROR(__xludf.DUMMYFUNCTION("""COMPUTED_VALUE"""),"No")</f>
        <v>No</v>
      </c>
      <c r="AJ1497" s="5"/>
    </row>
    <row r="1498" spans="1:36" ht="13">
      <c r="A1498" s="5" t="str">
        <f ca="1">IFERROR(__xludf.DUMMYFUNCTION("""COMPUTED_VALUE"""),"20041115INBRG")</f>
        <v>20041115INBRG</v>
      </c>
      <c r="B1498" s="5">
        <f ca="1">IFERROR(__xludf.DUMMYFUNCTION("""COMPUTED_VALUE"""),11)</f>
        <v>11</v>
      </c>
      <c r="C1498" s="5">
        <f ca="1">IFERROR(__xludf.DUMMYFUNCTION("""COMPUTED_VALUE"""),15)</f>
        <v>15</v>
      </c>
      <c r="D1498" s="5">
        <f ca="1">IFERROR(__xludf.DUMMYFUNCTION("""COMPUTED_VALUE"""),2004)</f>
        <v>2004</v>
      </c>
      <c r="E1498" s="8">
        <f ca="1">IFERROR(__xludf.DUMMYFUNCTION("""COMPUTED_VALUE"""),38306)</f>
        <v>38306</v>
      </c>
      <c r="F1498" s="5" t="str">
        <f ca="1">IFERROR(__xludf.DUMMYFUNCTION("""COMPUTED_VALUE"""),"Brunswick Elementary School")</f>
        <v>Brunswick Elementary School</v>
      </c>
      <c r="G1498" s="5">
        <f ca="1">IFERROR(__xludf.DUMMYFUNCTION("""COMPUTED_VALUE"""),0)</f>
        <v>0</v>
      </c>
      <c r="H1498" s="5">
        <f ca="1">IFERROR(__xludf.DUMMYFUNCTION("""COMPUTED_VALUE"""),1)</f>
        <v>1</v>
      </c>
      <c r="I1498" s="5">
        <f ca="1">IFERROR(__xludf.DUMMYFUNCTION("""COMPUTED_VALUE"""),1)</f>
        <v>1</v>
      </c>
      <c r="J1498" s="5">
        <f ca="1">IFERROR(__xludf.DUMMYFUNCTION("""COMPUTED_VALUE"""),0)</f>
        <v>0</v>
      </c>
      <c r="K1498" s="9" t="str">
        <f ca="1">IFERROR(__xludf.DUMMYFUNCTION("""COMPUTED_VALUE"""),"https://www.nwitimes.com/news/local/suspect-in-school-shooting-in-custody/article_45dbc46d-b19d-5eda-a4e0-8823c211e6cd.html")</f>
        <v>https://www.nwitimes.com/news/local/suspect-in-school-shooting-in-custody/article_45dbc46d-b19d-5eda-a4e0-8823c211e6cd.html</v>
      </c>
      <c r="L1498" s="5"/>
      <c r="M1498" s="5"/>
      <c r="N1498" s="5">
        <f ca="1">IFERROR(__xludf.DUMMYFUNCTION("""COMPUTED_VALUE"""),2)</f>
        <v>2</v>
      </c>
      <c r="O1498" s="5" t="str">
        <f ca="1">IFERROR(__xludf.DUMMYFUNCTION("""COMPUTED_VALUE"""),"Fall")</f>
        <v>Fall</v>
      </c>
      <c r="P1498" s="5" t="str">
        <f ca="1">IFERROR(__xludf.DUMMYFUNCTION("""COMPUTED_VALUE"""),"Gary")</f>
        <v>Gary</v>
      </c>
      <c r="Q1498" s="5" t="str">
        <f ca="1">IFERROR(__xludf.DUMMYFUNCTION("""COMPUTED_VALUE"""),"IN")</f>
        <v>IN</v>
      </c>
      <c r="R1498" s="5" t="str">
        <f ca="1">IFERROR(__xludf.DUMMYFUNCTION("""COMPUTED_VALUE"""),"Elementary")</f>
        <v>Elementary</v>
      </c>
      <c r="S1498" s="5" t="str">
        <f ca="1">IFERROR(__xludf.DUMMYFUNCTION("""COMPUTED_VALUE"""),"Parking Lot")</f>
        <v>Parking Lot</v>
      </c>
      <c r="T1498" s="5" t="str">
        <f ca="1">IFERROR(__xludf.DUMMYFUNCTION("""COMPUTED_VALUE"""),"Outside on School Property")</f>
        <v>Outside on School Property</v>
      </c>
      <c r="U1498" s="5" t="str">
        <f ca="1">IFERROR(__xludf.DUMMYFUNCTION("""COMPUTED_VALUE"""),"Yes")</f>
        <v>Yes</v>
      </c>
      <c r="V1498" s="5" t="str">
        <f ca="1">IFERROR(__xludf.DUMMYFUNCTION("""COMPUTED_VALUE"""),"Dismissal")</f>
        <v>Dismissal</v>
      </c>
      <c r="W1498" s="5"/>
      <c r="X1498" s="5">
        <f ca="1">IFERROR(__xludf.DUMMYFUNCTION("""COMPUTED_VALUE"""),1)</f>
        <v>1</v>
      </c>
      <c r="Y1498" s="5" t="str">
        <f ca="1">IFERROR(__xludf.DUMMYFUNCTION("""COMPUTED_VALUE"""),"Argument between two men, mother picking up child shot in crossfire")</f>
        <v>Argument between two men, mother picking up child shot in crossfire</v>
      </c>
      <c r="Z1498" s="5" t="str">
        <f ca="1">IFERROR(__xludf.DUMMYFUNCTION("""COMPUTED_VALUE"""),"Parent shot picking child up from school. Men in two different vehicles fired at each other as part of ongoing dispute.")</f>
        <v>Parent shot picking child up from school. Men in two different vehicles fired at each other as part of ongoing dispute.</v>
      </c>
      <c r="AA1498" s="5" t="str">
        <f ca="1">IFERROR(__xludf.DUMMYFUNCTION("""COMPUTED_VALUE"""),"Escalation of Dispute")</f>
        <v>Escalation of Dispute</v>
      </c>
      <c r="AB1498" s="5" t="str">
        <f ca="1">IFERROR(__xludf.DUMMYFUNCTION("""COMPUTED_VALUE"""),"Both")</f>
        <v>Both</v>
      </c>
      <c r="AC1498" s="5" t="str">
        <f ca="1">IFERROR(__xludf.DUMMYFUNCTION("""COMPUTED_VALUE"""),"No")</f>
        <v>No</v>
      </c>
      <c r="AD1498" s="5" t="str">
        <f ca="1">IFERROR(__xludf.DUMMYFUNCTION("""COMPUTED_VALUE"""),"No")</f>
        <v>No</v>
      </c>
      <c r="AE1498" s="5" t="str">
        <f ca="1">IFERROR(__xludf.DUMMYFUNCTION("""COMPUTED_VALUE"""),"No")</f>
        <v>No</v>
      </c>
      <c r="AF1498" s="5" t="str">
        <f ca="1">IFERROR(__xludf.DUMMYFUNCTION("""COMPUTED_VALUE"""),"No")</f>
        <v>No</v>
      </c>
      <c r="AG1498" s="5" t="str">
        <f ca="1">IFERROR(__xludf.DUMMYFUNCTION("""COMPUTED_VALUE"""),"No")</f>
        <v>No</v>
      </c>
      <c r="AH1498" s="5" t="str">
        <f ca="1">IFERROR(__xludf.DUMMYFUNCTION("""COMPUTED_VALUE"""),"No")</f>
        <v>No</v>
      </c>
      <c r="AI1498" s="5" t="str">
        <f ca="1">IFERROR(__xludf.DUMMYFUNCTION("""COMPUTED_VALUE"""),"No")</f>
        <v>No</v>
      </c>
      <c r="AJ1498" s="5"/>
    </row>
    <row r="1499" spans="1:36" ht="13">
      <c r="A1499" s="5" t="str">
        <f ca="1">IFERROR(__xludf.DUMMYFUNCTION("""COMPUTED_VALUE"""),"20041115ALPAB")</f>
        <v>20041115ALPAB</v>
      </c>
      <c r="B1499" s="5">
        <f ca="1">IFERROR(__xludf.DUMMYFUNCTION("""COMPUTED_VALUE"""),11)</f>
        <v>11</v>
      </c>
      <c r="C1499" s="5">
        <f ca="1">IFERROR(__xludf.DUMMYFUNCTION("""COMPUTED_VALUE"""),15)</f>
        <v>15</v>
      </c>
      <c r="D1499" s="5">
        <f ca="1">IFERROR(__xludf.DUMMYFUNCTION("""COMPUTED_VALUE"""),2004)</f>
        <v>2004</v>
      </c>
      <c r="E1499" s="8">
        <f ca="1">IFERROR(__xludf.DUMMYFUNCTION("""COMPUTED_VALUE"""),38306)</f>
        <v>38306</v>
      </c>
      <c r="F1499" s="5" t="str">
        <f ca="1">IFERROR(__xludf.DUMMYFUNCTION("""COMPUTED_VALUE"""),"Parker High School")</f>
        <v>Parker High School</v>
      </c>
      <c r="G1499" s="5">
        <f ca="1">IFERROR(__xludf.DUMMYFUNCTION("""COMPUTED_VALUE"""),0)</f>
        <v>0</v>
      </c>
      <c r="H1499" s="5">
        <f ca="1">IFERROR(__xludf.DUMMYFUNCTION("""COMPUTED_VALUE"""),1)</f>
        <v>1</v>
      </c>
      <c r="I1499" s="5">
        <f ca="1">IFERROR(__xludf.DUMMYFUNCTION("""COMPUTED_VALUE"""),1)</f>
        <v>1</v>
      </c>
      <c r="J1499" s="5">
        <f ca="1">IFERROR(__xludf.DUMMYFUNCTION("""COMPUTED_VALUE"""),0)</f>
        <v>0</v>
      </c>
      <c r="K1499" s="9" t="str">
        <f ca="1">IFERROR(__xludf.DUMMYFUNCTION("""COMPUTED_VALUE"""),"http://blog.al.com/spotnews/2009/04/suspect_in_drugrelated_titusvi.html")</f>
        <v>http://blog.al.com/spotnews/2009/04/suspect_in_drugrelated_titusvi.html</v>
      </c>
      <c r="L1499" s="5"/>
      <c r="M1499" s="5"/>
      <c r="N1499" s="5">
        <f ca="1">IFERROR(__xludf.DUMMYFUNCTION("""COMPUTED_VALUE"""),1)</f>
        <v>1</v>
      </c>
      <c r="O1499" s="5" t="str">
        <f ca="1">IFERROR(__xludf.DUMMYFUNCTION("""COMPUTED_VALUE"""),"Fall")</f>
        <v>Fall</v>
      </c>
      <c r="P1499" s="5" t="str">
        <f ca="1">IFERROR(__xludf.DUMMYFUNCTION("""COMPUTED_VALUE"""),"Birmingham")</f>
        <v>Birmingham</v>
      </c>
      <c r="Q1499" s="5" t="str">
        <f ca="1">IFERROR(__xludf.DUMMYFUNCTION("""COMPUTED_VALUE"""),"AL")</f>
        <v>AL</v>
      </c>
      <c r="R1499" s="5" t="str">
        <f ca="1">IFERROR(__xludf.DUMMYFUNCTION("""COMPUTED_VALUE"""),"High")</f>
        <v>High</v>
      </c>
      <c r="S1499" s="5" t="str">
        <f ca="1">IFERROR(__xludf.DUMMYFUNCTION("""COMPUTED_VALUE"""),"Beside Building")</f>
        <v>Beside Building</v>
      </c>
      <c r="T1499" s="5" t="str">
        <f ca="1">IFERROR(__xludf.DUMMYFUNCTION("""COMPUTED_VALUE"""),"Outside on School Property")</f>
        <v>Outside on School Property</v>
      </c>
      <c r="U1499" s="5" t="str">
        <f ca="1">IFERROR(__xludf.DUMMYFUNCTION("""COMPUTED_VALUE"""),"No")</f>
        <v>No</v>
      </c>
      <c r="V1499" s="5" t="str">
        <f ca="1">IFERROR(__xludf.DUMMYFUNCTION("""COMPUTED_VALUE"""),"Sport Event")</f>
        <v>Sport Event</v>
      </c>
      <c r="W1499" s="10">
        <f ca="1">IFERROR(__xludf.DUMMYFUNCTION("""COMPUTED_VALUE"""),0.875)</f>
        <v>0.875</v>
      </c>
      <c r="X1499" s="5">
        <f ca="1">IFERROR(__xludf.DUMMYFUNCTION("""COMPUTED_VALUE"""),1)</f>
        <v>1</v>
      </c>
      <c r="Y1499" s="5" t="str">
        <f ca="1">IFERROR(__xludf.DUMMYFUNCTION("""COMPUTED_VALUE"""),"Shot later after slapping woman")</f>
        <v>Shot later after slapping woman</v>
      </c>
      <c r="Z1499" s="5" t="str">
        <f ca="1">IFERROR(__xludf.DUMMYFUNCTION("""COMPUTED_VALUE"""),"After the basketball game with Ensley High School had wrapped up around 9:00, a female told a group of males that a man had slapped her across her face. She told the group of males that her attacker was a 20YOM.  As Antwin left the gym, the group of males"&amp;" drove by and shot him in the abdomen. Police arrested 20 year-old Obray Carter at the school and charged him with attempted murder.")</f>
        <v>After the basketball game with Ensley High School had wrapped up around 9:00, a female told a group of males that a man had slapped her across her face. She told the group of males that her attacker was a 20YOM.  As Antwin left the gym, the group of males drove by and shot him in the abdomen. Police arrested 20 year-old Obray Carter at the school and charged him with attempted murder.</v>
      </c>
      <c r="AA1499" s="5" t="str">
        <f ca="1">IFERROR(__xludf.DUMMYFUNCTION("""COMPUTED_VALUE"""),"Escalation of Dispute")</f>
        <v>Escalation of Dispute</v>
      </c>
      <c r="AB1499" s="5" t="str">
        <f ca="1">IFERROR(__xludf.DUMMYFUNCTION("""COMPUTED_VALUE"""),"Victims Targeted")</f>
        <v>Victims Targeted</v>
      </c>
      <c r="AC1499" s="5" t="str">
        <f ca="1">IFERROR(__xludf.DUMMYFUNCTION("""COMPUTED_VALUE"""),"Yes")</f>
        <v>Yes</v>
      </c>
      <c r="AD1499" s="5" t="str">
        <f ca="1">IFERROR(__xludf.DUMMYFUNCTION("""COMPUTED_VALUE"""),"No")</f>
        <v>No</v>
      </c>
      <c r="AE1499" s="5" t="str">
        <f ca="1">IFERROR(__xludf.DUMMYFUNCTION("""COMPUTED_VALUE"""),"No")</f>
        <v>No</v>
      </c>
      <c r="AF1499" s="5" t="str">
        <f ca="1">IFERROR(__xludf.DUMMYFUNCTION("""COMPUTED_VALUE"""),"No")</f>
        <v>No</v>
      </c>
      <c r="AG1499" s="5" t="str">
        <f ca="1">IFERROR(__xludf.DUMMYFUNCTION("""COMPUTED_VALUE"""),"No")</f>
        <v>No</v>
      </c>
      <c r="AH1499" s="5" t="str">
        <f ca="1">IFERROR(__xludf.DUMMYFUNCTION("""COMPUTED_VALUE"""),"No")</f>
        <v>No</v>
      </c>
      <c r="AI1499" s="5" t="str">
        <f ca="1">IFERROR(__xludf.DUMMYFUNCTION("""COMPUTED_VALUE"""),"No")</f>
        <v>No</v>
      </c>
      <c r="AJ1499" s="5"/>
    </row>
    <row r="1500" spans="1:36" ht="13">
      <c r="A1500" s="5" t="str">
        <f ca="1">IFERROR(__xludf.DUMMYFUNCTION("""COMPUTED_VALUE"""),"20041022CATYH")</f>
        <v>20041022CATYH</v>
      </c>
      <c r="B1500" s="5">
        <f ca="1">IFERROR(__xludf.DUMMYFUNCTION("""COMPUTED_VALUE"""),10)</f>
        <v>10</v>
      </c>
      <c r="C1500" s="5">
        <f ca="1">IFERROR(__xludf.DUMMYFUNCTION("""COMPUTED_VALUE"""),22)</f>
        <v>22</v>
      </c>
      <c r="D1500" s="5">
        <f ca="1">IFERROR(__xludf.DUMMYFUNCTION("""COMPUTED_VALUE"""),2004)</f>
        <v>2004</v>
      </c>
      <c r="E1500" s="8">
        <f ca="1">IFERROR(__xludf.DUMMYFUNCTION("""COMPUTED_VALUE"""),38282)</f>
        <v>38282</v>
      </c>
      <c r="F1500" s="5" t="str">
        <f ca="1">IFERROR(__xludf.DUMMYFUNCTION("""COMPUTED_VALUE"""),"Tyrrell Elementary School")</f>
        <v>Tyrrell Elementary School</v>
      </c>
      <c r="G1500" s="5">
        <f ca="1">IFERROR(__xludf.DUMMYFUNCTION("""COMPUTED_VALUE"""),1)</f>
        <v>1</v>
      </c>
      <c r="H1500" s="5">
        <f ca="1">IFERROR(__xludf.DUMMYFUNCTION("""COMPUTED_VALUE"""),0)</f>
        <v>0</v>
      </c>
      <c r="I1500" s="5">
        <f ca="1">IFERROR(__xludf.DUMMYFUNCTION("""COMPUTED_VALUE"""),1)</f>
        <v>1</v>
      </c>
      <c r="J1500" s="5">
        <f ca="1">IFERROR(__xludf.DUMMYFUNCTION("""COMPUTED_VALUE"""),0)</f>
        <v>0</v>
      </c>
      <c r="K1500" s="9" t="str">
        <f ca="1">IFERROR(__xludf.DUMMYFUNCTION("""COMPUTED_VALUE"""),"https://www.sfgate.com/bayarea/article/HAYWARD-Man-fatally-shot-at-school-no-arrest-2679598.php")</f>
        <v>https://www.sfgate.com/bayarea/article/HAYWARD-Man-fatally-shot-at-school-no-arrest-2679598.php</v>
      </c>
      <c r="L1500" s="5"/>
      <c r="M1500" s="5"/>
      <c r="N1500" s="5">
        <f ca="1">IFERROR(__xludf.DUMMYFUNCTION("""COMPUTED_VALUE"""),2)</f>
        <v>2</v>
      </c>
      <c r="O1500" s="5" t="str">
        <f ca="1">IFERROR(__xludf.DUMMYFUNCTION("""COMPUTED_VALUE"""),"Fall")</f>
        <v>Fall</v>
      </c>
      <c r="P1500" s="5" t="str">
        <f ca="1">IFERROR(__xludf.DUMMYFUNCTION("""COMPUTED_VALUE"""),"Hayward")</f>
        <v>Hayward</v>
      </c>
      <c r="Q1500" s="5" t="str">
        <f ca="1">IFERROR(__xludf.DUMMYFUNCTION("""COMPUTED_VALUE"""),"CA")</f>
        <v>CA</v>
      </c>
      <c r="R1500" s="5" t="str">
        <f ca="1">IFERROR(__xludf.DUMMYFUNCTION("""COMPUTED_VALUE"""),"Elementary")</f>
        <v>Elementary</v>
      </c>
      <c r="S1500" s="5" t="str">
        <f ca="1">IFERROR(__xludf.DUMMYFUNCTION("""COMPUTED_VALUE"""),"Parking Lot")</f>
        <v>Parking Lot</v>
      </c>
      <c r="T1500" s="5" t="str">
        <f ca="1">IFERROR(__xludf.DUMMYFUNCTION("""COMPUTED_VALUE"""),"Outside on School Property")</f>
        <v>Outside on School Property</v>
      </c>
      <c r="U1500" s="5" t="str">
        <f ca="1">IFERROR(__xludf.DUMMYFUNCTION("""COMPUTED_VALUE"""),"No")</f>
        <v>No</v>
      </c>
      <c r="V1500" s="5" t="str">
        <f ca="1">IFERROR(__xludf.DUMMYFUNCTION("""COMPUTED_VALUE"""),"Evening")</f>
        <v>Evening</v>
      </c>
      <c r="W1500" s="10">
        <f ca="1">IFERROR(__xludf.DUMMYFUNCTION("""COMPUTED_VALUE"""),0.913194444444444)</f>
        <v>0.91319444444444398</v>
      </c>
      <c r="X1500" s="5">
        <f ca="1">IFERROR(__xludf.DUMMYFUNCTION("""COMPUTED_VALUE"""),1)</f>
        <v>1</v>
      </c>
      <c r="Y1500" s="5" t="str">
        <f ca="1">IFERROR(__xludf.DUMMYFUNCTION("""COMPUTED_VALUE"""),"Killed by unknown shooter in parking lot, believed to be gang related")</f>
        <v>Killed by unknown shooter in parking lot, believed to be gang related</v>
      </c>
      <c r="Z1500" s="5" t="str">
        <f ca="1">IFERROR(__xludf.DUMMYFUNCTION("""COMPUTED_VALUE"""),"32YOM found shot dead in the school parking lot. Witnesses reported seeing a car leaving the area but no other info about the shooting. Police believe the shooting is gang related.")</f>
        <v>32YOM found shot dead in the school parking lot. Witnesses reported seeing a car leaving the area but no other info about the shooting. Police believe the shooting is gang related.</v>
      </c>
      <c r="AA1500" s="5" t="str">
        <f ca="1">IFERROR(__xludf.DUMMYFUNCTION("""COMPUTED_VALUE"""),"Escalation of Dispute")</f>
        <v>Escalation of Dispute</v>
      </c>
      <c r="AB1500" s="5" t="str">
        <f ca="1">IFERROR(__xludf.DUMMYFUNCTION("""COMPUTED_VALUE"""),"Victims Targeted")</f>
        <v>Victims Targeted</v>
      </c>
      <c r="AC1500" s="5" t="str">
        <f ca="1">IFERROR(__xludf.DUMMYFUNCTION("""COMPUTED_VALUE"""),"Unknown")</f>
        <v>Unknown</v>
      </c>
      <c r="AD1500" s="5" t="str">
        <f ca="1">IFERROR(__xludf.DUMMYFUNCTION("""COMPUTED_VALUE"""),"No")</f>
        <v>No</v>
      </c>
      <c r="AE1500" s="5" t="str">
        <f ca="1">IFERROR(__xludf.DUMMYFUNCTION("""COMPUTED_VALUE"""),"No")</f>
        <v>No</v>
      </c>
      <c r="AF1500" s="5" t="str">
        <f ca="1">IFERROR(__xludf.DUMMYFUNCTION("""COMPUTED_VALUE"""),"No")</f>
        <v>No</v>
      </c>
      <c r="AG1500" s="5" t="str">
        <f ca="1">IFERROR(__xludf.DUMMYFUNCTION("""COMPUTED_VALUE"""),"No")</f>
        <v>No</v>
      </c>
      <c r="AH1500" s="5" t="str">
        <f ca="1">IFERROR(__xludf.DUMMYFUNCTION("""COMPUTED_VALUE"""),"No")</f>
        <v>No</v>
      </c>
      <c r="AI1500" s="5" t="str">
        <f ca="1">IFERROR(__xludf.DUMMYFUNCTION("""COMPUTED_VALUE"""),"Yes")</f>
        <v>Yes</v>
      </c>
      <c r="AJ1500" s="5"/>
    </row>
    <row r="1501" spans="1:36" ht="13">
      <c r="A1501" s="5" t="str">
        <f ca="1">IFERROR(__xludf.DUMMYFUNCTION("""COMPUTED_VALUE"""),"20041021MDTHB")</f>
        <v>20041021MDTHB</v>
      </c>
      <c r="B1501" s="5">
        <f ca="1">IFERROR(__xludf.DUMMYFUNCTION("""COMPUTED_VALUE"""),10)</f>
        <v>10</v>
      </c>
      <c r="C1501" s="5">
        <f ca="1">IFERROR(__xludf.DUMMYFUNCTION("""COMPUTED_VALUE"""),21)</f>
        <v>21</v>
      </c>
      <c r="D1501" s="5">
        <f ca="1">IFERROR(__xludf.DUMMYFUNCTION("""COMPUTED_VALUE"""),2004)</f>
        <v>2004</v>
      </c>
      <c r="E1501" s="8">
        <f ca="1">IFERROR(__xludf.DUMMYFUNCTION("""COMPUTED_VALUE"""),38281)</f>
        <v>38281</v>
      </c>
      <c r="F1501" s="5" t="str">
        <f ca="1">IFERROR(__xludf.DUMMYFUNCTION("""COMPUTED_VALUE"""),"Thurgood Marshall High School")</f>
        <v>Thurgood Marshall High School</v>
      </c>
      <c r="G1501" s="5">
        <f ca="1">IFERROR(__xludf.DUMMYFUNCTION("""COMPUTED_VALUE"""),0)</f>
        <v>0</v>
      </c>
      <c r="H1501" s="5">
        <f ca="1">IFERROR(__xludf.DUMMYFUNCTION("""COMPUTED_VALUE"""),2)</f>
        <v>2</v>
      </c>
      <c r="I1501" s="5">
        <f ca="1">IFERROR(__xludf.DUMMYFUNCTION("""COMPUTED_VALUE"""),2)</f>
        <v>2</v>
      </c>
      <c r="J1501" s="5">
        <f ca="1">IFERROR(__xludf.DUMMYFUNCTION("""COMPUTED_VALUE"""),0)</f>
        <v>0</v>
      </c>
      <c r="K1501" s="9" t="str">
        <f ca="1">IFERROR(__xludf.DUMMYFUNCTION("""COMPUTED_VALUE"""),"http://articles.baltimoresun.com/2004-10-23/news/0410230240_1_thurgood-marshall-high-school-violence-city-schools")</f>
        <v>http://articles.baltimoresun.com/2004-10-23/news/0410230240_1_thurgood-marshall-high-school-violence-city-schools</v>
      </c>
      <c r="L1501" s="5"/>
      <c r="M1501" s="5"/>
      <c r="N1501" s="5">
        <f ca="1">IFERROR(__xludf.DUMMYFUNCTION("""COMPUTED_VALUE"""),2)</f>
        <v>2</v>
      </c>
      <c r="O1501" s="5" t="str">
        <f ca="1">IFERROR(__xludf.DUMMYFUNCTION("""COMPUTED_VALUE"""),"Fall")</f>
        <v>Fall</v>
      </c>
      <c r="P1501" s="5" t="str">
        <f ca="1">IFERROR(__xludf.DUMMYFUNCTION("""COMPUTED_VALUE"""),"Baltimore")</f>
        <v>Baltimore</v>
      </c>
      <c r="Q1501" s="5" t="str">
        <f ca="1">IFERROR(__xludf.DUMMYFUNCTION("""COMPUTED_VALUE"""),"MD")</f>
        <v>MD</v>
      </c>
      <c r="R1501" s="5" t="str">
        <f ca="1">IFERROR(__xludf.DUMMYFUNCTION("""COMPUTED_VALUE"""),"High")</f>
        <v>High</v>
      </c>
      <c r="S1501" s="5" t="str">
        <f ca="1">IFERROR(__xludf.DUMMYFUNCTION("""COMPUTED_VALUE"""),"Courtyard")</f>
        <v>Courtyard</v>
      </c>
      <c r="T1501" s="5" t="str">
        <f ca="1">IFERROR(__xludf.DUMMYFUNCTION("""COMPUTED_VALUE"""),"Outside on School Property")</f>
        <v>Outside on School Property</v>
      </c>
      <c r="U1501" s="5" t="str">
        <f ca="1">IFERROR(__xludf.DUMMYFUNCTION("""COMPUTED_VALUE"""),"No")</f>
        <v>No</v>
      </c>
      <c r="V1501" s="5" t="str">
        <f ca="1">IFERROR(__xludf.DUMMYFUNCTION("""COMPUTED_VALUE"""),"After School")</f>
        <v>After School</v>
      </c>
      <c r="W1501" s="10">
        <f ca="1">IFERROR(__xludf.DUMMYFUNCTION("""COMPUTED_VALUE"""),0.666666666666666)</f>
        <v>0.66666666666666596</v>
      </c>
      <c r="X1501" s="5">
        <f ca="1">IFERROR(__xludf.DUMMYFUNCTION("""COMPUTED_VALUE"""),1)</f>
        <v>1</v>
      </c>
      <c r="Y1501" s="5" t="str">
        <f ca="1">IFERROR(__xludf.DUMMYFUNCTION("""COMPUTED_VALUE"""),"Fight over girl, two random students were shot")</f>
        <v>Fight over girl, two random students were shot</v>
      </c>
      <c r="Z1501" s="5" t="str">
        <f ca="1">IFERROR(__xludf.DUMMYFUNCTION("""COMPUTED_VALUE"""),"Fight over girl in the school courtyard. 16YOM student fired shots striking two students who were not involved and fled.")</f>
        <v>Fight over girl in the school courtyard. 16YOM student fired shots striking two students who were not involved and fled.</v>
      </c>
      <c r="AA1501" s="5" t="str">
        <f ca="1">IFERROR(__xludf.DUMMYFUNCTION("""COMPUTED_VALUE"""),"Escalation of Dispute")</f>
        <v>Escalation of Dispute</v>
      </c>
      <c r="AB1501" s="5" t="str">
        <f ca="1">IFERROR(__xludf.DUMMYFUNCTION("""COMPUTED_VALUE"""),"Both")</f>
        <v>Both</v>
      </c>
      <c r="AC1501" s="5" t="str">
        <f ca="1">IFERROR(__xludf.DUMMYFUNCTION("""COMPUTED_VALUE"""),"No")</f>
        <v>No</v>
      </c>
      <c r="AD1501" s="5" t="str">
        <f ca="1">IFERROR(__xludf.DUMMYFUNCTION("""COMPUTED_VALUE"""),"No")</f>
        <v>No</v>
      </c>
      <c r="AE1501" s="5" t="str">
        <f ca="1">IFERROR(__xludf.DUMMYFUNCTION("""COMPUTED_VALUE"""),"No")</f>
        <v>No</v>
      </c>
      <c r="AF1501" s="5" t="str">
        <f ca="1">IFERROR(__xludf.DUMMYFUNCTION("""COMPUTED_VALUE"""),"No")</f>
        <v>No</v>
      </c>
      <c r="AG1501" s="5" t="str">
        <f ca="1">IFERROR(__xludf.DUMMYFUNCTION("""COMPUTED_VALUE"""),"No")</f>
        <v>No</v>
      </c>
      <c r="AH1501" s="5" t="str">
        <f ca="1">IFERROR(__xludf.DUMMYFUNCTION("""COMPUTED_VALUE"""),"No")</f>
        <v>No</v>
      </c>
      <c r="AI1501" s="5" t="str">
        <f ca="1">IFERROR(__xludf.DUMMYFUNCTION("""COMPUTED_VALUE"""),"No")</f>
        <v>No</v>
      </c>
      <c r="AJ1501" s="5"/>
    </row>
    <row r="1502" spans="1:36" ht="13">
      <c r="A1502" s="5" t="str">
        <f ca="1">IFERROR(__xludf.DUMMYFUNCTION("""COMPUTED_VALUE"""),"20041015CABIB")</f>
        <v>20041015CABIB</v>
      </c>
      <c r="B1502" s="5">
        <f ca="1">IFERROR(__xludf.DUMMYFUNCTION("""COMPUTED_VALUE"""),10)</f>
        <v>10</v>
      </c>
      <c r="C1502" s="5">
        <f ca="1">IFERROR(__xludf.DUMMYFUNCTION("""COMPUTED_VALUE"""),15)</f>
        <v>15</v>
      </c>
      <c r="D1502" s="5">
        <f ca="1">IFERROR(__xludf.DUMMYFUNCTION("""COMPUTED_VALUE"""),2004)</f>
        <v>2004</v>
      </c>
      <c r="E1502" s="8">
        <f ca="1">IFERROR(__xludf.DUMMYFUNCTION("""COMPUTED_VALUE"""),38275)</f>
        <v>38275</v>
      </c>
      <c r="F1502" s="5" t="str">
        <f ca="1">IFERROR(__xludf.DUMMYFUNCTION("""COMPUTED_VALUE"""),"Biggs High School")</f>
        <v>Biggs High School</v>
      </c>
      <c r="G1502" s="5">
        <f ca="1">IFERROR(__xludf.DUMMYFUNCTION("""COMPUTED_VALUE"""),0)</f>
        <v>0</v>
      </c>
      <c r="H1502" s="5">
        <f ca="1">IFERROR(__xludf.DUMMYFUNCTION("""COMPUTED_VALUE"""),1)</f>
        <v>1</v>
      </c>
      <c r="I1502" s="5">
        <f ca="1">IFERROR(__xludf.DUMMYFUNCTION("""COMPUTED_VALUE"""),1)</f>
        <v>1</v>
      </c>
      <c r="J1502" s="5">
        <f ca="1">IFERROR(__xludf.DUMMYFUNCTION("""COMPUTED_VALUE"""),0)</f>
        <v>0</v>
      </c>
      <c r="K1502" s="9" t="str">
        <f ca="1">IFERROR(__xludf.DUMMYFUNCTION("""COMPUTED_VALUE"""),"http://articles.latimes.com/2004/oct/17/local/me-sbriefs17.2")</f>
        <v>http://articles.latimes.com/2004/oct/17/local/me-sbriefs17.2</v>
      </c>
      <c r="L1502" s="5"/>
      <c r="M1502" s="5"/>
      <c r="N1502" s="5">
        <f ca="1">IFERROR(__xludf.DUMMYFUNCTION("""COMPUTED_VALUE"""),2)</f>
        <v>2</v>
      </c>
      <c r="O1502" s="5" t="str">
        <f ca="1">IFERROR(__xludf.DUMMYFUNCTION("""COMPUTED_VALUE"""),"Fall")</f>
        <v>Fall</v>
      </c>
      <c r="P1502" s="5" t="str">
        <f ca="1">IFERROR(__xludf.DUMMYFUNCTION("""COMPUTED_VALUE"""),"Biggs")</f>
        <v>Biggs</v>
      </c>
      <c r="Q1502" s="5" t="str">
        <f ca="1">IFERROR(__xludf.DUMMYFUNCTION("""COMPUTED_VALUE"""),"CA")</f>
        <v>CA</v>
      </c>
      <c r="R1502" s="5" t="str">
        <f ca="1">IFERROR(__xludf.DUMMYFUNCTION("""COMPUTED_VALUE"""),"High")</f>
        <v>High</v>
      </c>
      <c r="S1502" s="5" t="str">
        <f ca="1">IFERROR(__xludf.DUMMYFUNCTION("""COMPUTED_VALUE"""),"Football Field/Track")</f>
        <v>Football Field/Track</v>
      </c>
      <c r="T1502" s="5" t="str">
        <f ca="1">IFERROR(__xludf.DUMMYFUNCTION("""COMPUTED_VALUE"""),"Outside on School Property")</f>
        <v>Outside on School Property</v>
      </c>
      <c r="U1502" s="5" t="str">
        <f ca="1">IFERROR(__xludf.DUMMYFUNCTION("""COMPUTED_VALUE"""),"No")</f>
        <v>No</v>
      </c>
      <c r="V1502" s="5" t="str">
        <f ca="1">IFERROR(__xludf.DUMMYFUNCTION("""COMPUTED_VALUE"""),"Sport Event")</f>
        <v>Sport Event</v>
      </c>
      <c r="W1502" s="10">
        <f ca="1">IFERROR(__xludf.DUMMYFUNCTION("""COMPUTED_VALUE"""),0.863194444444444)</f>
        <v>0.86319444444444404</v>
      </c>
      <c r="X1502" s="5">
        <f ca="1">IFERROR(__xludf.DUMMYFUNCTION("""COMPUTED_VALUE"""),1)</f>
        <v>1</v>
      </c>
      <c r="Y1502" s="5" t="str">
        <f ca="1">IFERROR(__xludf.DUMMYFUNCTION("""COMPUTED_VALUE"""),"Gang related shooting at football game")</f>
        <v>Gang related shooting at football game</v>
      </c>
      <c r="Z1502" s="5" t="str">
        <f ca="1">IFERROR(__xludf.DUMMYFUNCTION("""COMPUTED_VALUE"""),"19YOM shot at 17YOM during football game. Police said the shooting was gang related. Shooter fled in a vehicle after shooting.")</f>
        <v>19YOM shot at 17YOM during football game. Police said the shooting was gang related. Shooter fled in a vehicle after shooting.</v>
      </c>
      <c r="AA1502" s="5" t="str">
        <f ca="1">IFERROR(__xludf.DUMMYFUNCTION("""COMPUTED_VALUE"""),"Escalation of Dispute")</f>
        <v>Escalation of Dispute</v>
      </c>
      <c r="AB1502" s="5" t="str">
        <f ca="1">IFERROR(__xludf.DUMMYFUNCTION("""COMPUTED_VALUE"""),"Victims Targeted")</f>
        <v>Victims Targeted</v>
      </c>
      <c r="AC1502" s="5" t="str">
        <f ca="1">IFERROR(__xludf.DUMMYFUNCTION("""COMPUTED_VALUE"""),"No")</f>
        <v>No</v>
      </c>
      <c r="AD1502" s="5" t="str">
        <f ca="1">IFERROR(__xludf.DUMMYFUNCTION("""COMPUTED_VALUE"""),"No")</f>
        <v>No</v>
      </c>
      <c r="AE1502" s="5" t="str">
        <f ca="1">IFERROR(__xludf.DUMMYFUNCTION("""COMPUTED_VALUE"""),"No")</f>
        <v>No</v>
      </c>
      <c r="AF1502" s="5" t="str">
        <f ca="1">IFERROR(__xludf.DUMMYFUNCTION("""COMPUTED_VALUE"""),"No")</f>
        <v>No</v>
      </c>
      <c r="AG1502" s="5" t="str">
        <f ca="1">IFERROR(__xludf.DUMMYFUNCTION("""COMPUTED_VALUE"""),"No")</f>
        <v>No</v>
      </c>
      <c r="AH1502" s="5" t="str">
        <f ca="1">IFERROR(__xludf.DUMMYFUNCTION("""COMPUTED_VALUE"""),"No")</f>
        <v>No</v>
      </c>
      <c r="AI1502" s="5" t="str">
        <f ca="1">IFERROR(__xludf.DUMMYFUNCTION("""COMPUTED_VALUE"""),"Yes")</f>
        <v>Yes</v>
      </c>
      <c r="AJ1502" s="5"/>
    </row>
    <row r="1503" spans="1:36" ht="13">
      <c r="A1503" s="5" t="str">
        <f ca="1">IFERROR(__xludf.DUMMYFUNCTION("""COMPUTED_VALUE"""),"20041012CALAS")</f>
        <v>20041012CALAS</v>
      </c>
      <c r="B1503" s="5">
        <f ca="1">IFERROR(__xludf.DUMMYFUNCTION("""COMPUTED_VALUE"""),10)</f>
        <v>10</v>
      </c>
      <c r="C1503" s="5">
        <f ca="1">IFERROR(__xludf.DUMMYFUNCTION("""COMPUTED_VALUE"""),12)</f>
        <v>12</v>
      </c>
      <c r="D1503" s="5">
        <f ca="1">IFERROR(__xludf.DUMMYFUNCTION("""COMPUTED_VALUE"""),2004)</f>
        <v>2004</v>
      </c>
      <c r="E1503" s="8">
        <f ca="1">IFERROR(__xludf.DUMMYFUNCTION("""COMPUTED_VALUE"""),38272)</f>
        <v>38272</v>
      </c>
      <c r="F1503" s="5" t="str">
        <f ca="1">IFERROR(__xludf.DUMMYFUNCTION("""COMPUTED_VALUE"""),"Lakewood Elementary School")</f>
        <v>Lakewood Elementary School</v>
      </c>
      <c r="G1503" s="5">
        <f ca="1">IFERROR(__xludf.DUMMYFUNCTION("""COMPUTED_VALUE"""),0)</f>
        <v>0</v>
      </c>
      <c r="H1503" s="5">
        <f ca="1">IFERROR(__xludf.DUMMYFUNCTION("""COMPUTED_VALUE"""),0)</f>
        <v>0</v>
      </c>
      <c r="I1503" s="5">
        <f ca="1">IFERROR(__xludf.DUMMYFUNCTION("""COMPUTED_VALUE"""),0)</f>
        <v>0</v>
      </c>
      <c r="J1503" s="5">
        <f ca="1">IFERROR(__xludf.DUMMYFUNCTION("""COMPUTED_VALUE"""),2)</f>
        <v>2</v>
      </c>
      <c r="K1503" s="9" t="str">
        <f ca="1">IFERROR(__xludf.DUMMYFUNCTION("""COMPUTED_VALUE"""),"https://www.sfgate.com/bayarea/article/SUNNYVALE-2-killings-at-school-bring-murder-2641374.php")</f>
        <v>https://www.sfgate.com/bayarea/article/SUNNYVALE-2-killings-at-school-bring-murder-2641374.php</v>
      </c>
      <c r="L1503" s="5"/>
      <c r="M1503" s="5"/>
      <c r="N1503" s="5">
        <f ca="1">IFERROR(__xludf.DUMMYFUNCTION("""COMPUTED_VALUE"""),2)</f>
        <v>2</v>
      </c>
      <c r="O1503" s="5" t="str">
        <f ca="1">IFERROR(__xludf.DUMMYFUNCTION("""COMPUTED_VALUE"""),"Fall")</f>
        <v>Fall</v>
      </c>
      <c r="P1503" s="5" t="str">
        <f ca="1">IFERROR(__xludf.DUMMYFUNCTION("""COMPUTED_VALUE"""),"Sunnyvale")</f>
        <v>Sunnyvale</v>
      </c>
      <c r="Q1503" s="5" t="str">
        <f ca="1">IFERROR(__xludf.DUMMYFUNCTION("""COMPUTED_VALUE"""),"CA")</f>
        <v>CA</v>
      </c>
      <c r="R1503" s="5" t="str">
        <f ca="1">IFERROR(__xludf.DUMMYFUNCTION("""COMPUTED_VALUE"""),"Elementary")</f>
        <v>Elementary</v>
      </c>
      <c r="S1503" s="5" t="str">
        <f ca="1">IFERROR(__xludf.DUMMYFUNCTION("""COMPUTED_VALUE"""),"Parking Lot")</f>
        <v>Parking Lot</v>
      </c>
      <c r="T1503" s="5" t="str">
        <f ca="1">IFERROR(__xludf.DUMMYFUNCTION("""COMPUTED_VALUE"""),"Outside on School Property")</f>
        <v>Outside on School Property</v>
      </c>
      <c r="U1503" s="5"/>
      <c r="V1503" s="5"/>
      <c r="W1503" s="5"/>
      <c r="X1503" s="5">
        <f ca="1">IFERROR(__xludf.DUMMYFUNCTION("""COMPUTED_VALUE"""),1)</f>
        <v>1</v>
      </c>
      <c r="Y1503" s="5" t="str">
        <f ca="1">IFERROR(__xludf.DUMMYFUNCTION("""COMPUTED_VALUE"""),"Two men fatally shot each other in dispute over woman")</f>
        <v>Two men fatally shot each other in dispute over woman</v>
      </c>
      <c r="Z1503" s="5" t="str">
        <f ca="1">IFERROR(__xludf.DUMMYFUNCTION("""COMPUTED_VALUE"""),"Two 25YOM shot each other in the school parking lot during a domestic dispute over a woman.")</f>
        <v>Two 25YOM shot each other in the school parking lot during a domestic dispute over a woman.</v>
      </c>
      <c r="AA1503" s="5" t="str">
        <f ca="1">IFERROR(__xludf.DUMMYFUNCTION("""COMPUTED_VALUE"""),"Domestic w/ Targeted Victim")</f>
        <v>Domestic w/ Targeted Victim</v>
      </c>
      <c r="AB1503" s="5" t="str">
        <f ca="1">IFERROR(__xludf.DUMMYFUNCTION("""COMPUTED_VALUE"""),"Victims Targeted")</f>
        <v>Victims Targeted</v>
      </c>
      <c r="AC1503" s="5" t="str">
        <f ca="1">IFERROR(__xludf.DUMMYFUNCTION("""COMPUTED_VALUE"""),"No")</f>
        <v>No</v>
      </c>
      <c r="AD1503" s="5" t="str">
        <f ca="1">IFERROR(__xludf.DUMMYFUNCTION("""COMPUTED_VALUE"""),"No")</f>
        <v>No</v>
      </c>
      <c r="AE1503" s="5" t="str">
        <f ca="1">IFERROR(__xludf.DUMMYFUNCTION("""COMPUTED_VALUE"""),"No")</f>
        <v>No</v>
      </c>
      <c r="AF1503" s="5" t="str">
        <f ca="1">IFERROR(__xludf.DUMMYFUNCTION("""COMPUTED_VALUE"""),"No")</f>
        <v>No</v>
      </c>
      <c r="AG1503" s="5" t="str">
        <f ca="1">IFERROR(__xludf.DUMMYFUNCTION("""COMPUTED_VALUE"""),"No")</f>
        <v>No</v>
      </c>
      <c r="AH1503" s="5" t="str">
        <f ca="1">IFERROR(__xludf.DUMMYFUNCTION("""COMPUTED_VALUE"""),"Yes")</f>
        <v>Yes</v>
      </c>
      <c r="AI1503" s="5" t="str">
        <f ca="1">IFERROR(__xludf.DUMMYFUNCTION("""COMPUTED_VALUE"""),"No")</f>
        <v>No</v>
      </c>
      <c r="AJ1503" s="5"/>
    </row>
    <row r="1504" spans="1:36" ht="13">
      <c r="A1504" s="5" t="str">
        <f ca="1">IFERROR(__xludf.DUMMYFUNCTION("""COMPUTED_VALUE"""),"20041007MANEN")</f>
        <v>20041007MANEN</v>
      </c>
      <c r="B1504" s="5">
        <f ca="1">IFERROR(__xludf.DUMMYFUNCTION("""COMPUTED_VALUE"""),10)</f>
        <v>10</v>
      </c>
      <c r="C1504" s="5">
        <f ca="1">IFERROR(__xludf.DUMMYFUNCTION("""COMPUTED_VALUE"""),7)</f>
        <v>7</v>
      </c>
      <c r="D1504" s="5">
        <f ca="1">IFERROR(__xludf.DUMMYFUNCTION("""COMPUTED_VALUE"""),2004)</f>
        <v>2004</v>
      </c>
      <c r="E1504" s="8">
        <f ca="1">IFERROR(__xludf.DUMMYFUNCTION("""COMPUTED_VALUE"""),38267)</f>
        <v>38267</v>
      </c>
      <c r="F1504" s="5" t="str">
        <f ca="1">IFERROR(__xludf.DUMMYFUNCTION("""COMPUTED_VALUE"""),"Newburyport High School")</f>
        <v>Newburyport High School</v>
      </c>
      <c r="G1504" s="5">
        <f ca="1">IFERROR(__xludf.DUMMYFUNCTION("""COMPUTED_VALUE"""),0)</f>
        <v>0</v>
      </c>
      <c r="H1504" s="5">
        <f ca="1">IFERROR(__xludf.DUMMYFUNCTION("""COMPUTED_VALUE"""),0)</f>
        <v>0</v>
      </c>
      <c r="I1504" s="5">
        <f ca="1">IFERROR(__xludf.DUMMYFUNCTION("""COMPUTED_VALUE"""),0)</f>
        <v>0</v>
      </c>
      <c r="J1504" s="5">
        <f ca="1">IFERROR(__xludf.DUMMYFUNCTION("""COMPUTED_VALUE"""),1)</f>
        <v>1</v>
      </c>
      <c r="K1504" s="9" t="str">
        <f ca="1">IFERROR(__xludf.DUMMYFUNCTION("""COMPUTED_VALUE"""),"https://www.upi.com/Distraught-teen-kills-himself-at-school/59631097364281/")</f>
        <v>https://www.upi.com/Distraught-teen-kills-himself-at-school/59631097364281/</v>
      </c>
      <c r="L1504" s="5"/>
      <c r="M1504" s="5"/>
      <c r="N1504" s="5">
        <f ca="1">IFERROR(__xludf.DUMMYFUNCTION("""COMPUTED_VALUE"""),2)</f>
        <v>2</v>
      </c>
      <c r="O1504" s="5" t="str">
        <f ca="1">IFERROR(__xludf.DUMMYFUNCTION("""COMPUTED_VALUE"""),"Fall")</f>
        <v>Fall</v>
      </c>
      <c r="P1504" s="5" t="str">
        <f ca="1">IFERROR(__xludf.DUMMYFUNCTION("""COMPUTED_VALUE"""),"Newburyport")</f>
        <v>Newburyport</v>
      </c>
      <c r="Q1504" s="5" t="str">
        <f ca="1">IFERROR(__xludf.DUMMYFUNCTION("""COMPUTED_VALUE"""),"MA")</f>
        <v>MA</v>
      </c>
      <c r="R1504" s="5" t="str">
        <f ca="1">IFERROR(__xludf.DUMMYFUNCTION("""COMPUTED_VALUE"""),"High")</f>
        <v>High</v>
      </c>
      <c r="S1504" s="5" t="str">
        <f ca="1">IFERROR(__xludf.DUMMYFUNCTION("""COMPUTED_VALUE"""),"Front of School")</f>
        <v>Front of School</v>
      </c>
      <c r="T1504" s="5" t="str">
        <f ca="1">IFERROR(__xludf.DUMMYFUNCTION("""COMPUTED_VALUE"""),"Outside on School Property")</f>
        <v>Outside on School Property</v>
      </c>
      <c r="U1504" s="5" t="str">
        <f ca="1">IFERROR(__xludf.DUMMYFUNCTION("""COMPUTED_VALUE"""),"No")</f>
        <v>No</v>
      </c>
      <c r="V1504" s="5" t="str">
        <f ca="1">IFERROR(__xludf.DUMMYFUNCTION("""COMPUTED_VALUE"""),"Night")</f>
        <v>Night</v>
      </c>
      <c r="W1504" s="10">
        <f ca="1">IFERROR(__xludf.DUMMYFUNCTION("""COMPUTED_VALUE"""),0.958333333333333)</f>
        <v>0.95833333333333304</v>
      </c>
      <c r="X1504" s="5">
        <f ca="1">IFERROR(__xludf.DUMMYFUNCTION("""COMPUTED_VALUE"""),1)</f>
        <v>1</v>
      </c>
      <c r="Y1504" s="5" t="str">
        <f ca="1">IFERROR(__xludf.DUMMYFUNCTION("""COMPUTED_VALUE"""),"Attempted to get into ex-girlfriend's house, fired 2 shots into air, walked to high school and shot himself")</f>
        <v>Attempted to get into ex-girlfriend's house, fired 2 shots into air, walked to high school and shot himself</v>
      </c>
      <c r="Z1504" s="5" t="str">
        <f ca="1">IFERROR(__xludf.DUMMYFUNCTION("""COMPUTED_VALUE"""),"15YOM was upset about breakup. Went to ex-girlfriend's house with shotgun but parents would not let him inside. He fired two shots into the air. Walked to high school and shot himself on the steps.")</f>
        <v>15YOM was upset about breakup. Went to ex-girlfriend's house with shotgun but parents would not let him inside. He fired two shots into the air. Walked to high school and shot himself on the steps.</v>
      </c>
      <c r="AA1504" s="5" t="str">
        <f ca="1">IFERROR(__xludf.DUMMYFUNCTION("""COMPUTED_VALUE"""),"Suicide/Attempted")</f>
        <v>Suicide/Attempted</v>
      </c>
      <c r="AB1504" s="5" t="str">
        <f ca="1">IFERROR(__xludf.DUMMYFUNCTION("""COMPUTED_VALUE"""),"Victims Targeted")</f>
        <v>Victims Targeted</v>
      </c>
      <c r="AC1504" s="5" t="str">
        <f ca="1">IFERROR(__xludf.DUMMYFUNCTION("""COMPUTED_VALUE"""),"No")</f>
        <v>No</v>
      </c>
      <c r="AD1504" s="5" t="str">
        <f ca="1">IFERROR(__xludf.DUMMYFUNCTION("""COMPUTED_VALUE"""),"No")</f>
        <v>No</v>
      </c>
      <c r="AE1504" s="5" t="str">
        <f ca="1">IFERROR(__xludf.DUMMYFUNCTION("""COMPUTED_VALUE"""),"No")</f>
        <v>No</v>
      </c>
      <c r="AF1504" s="5" t="str">
        <f ca="1">IFERROR(__xludf.DUMMYFUNCTION("""COMPUTED_VALUE"""),"No")</f>
        <v>No</v>
      </c>
      <c r="AG1504" s="5" t="str">
        <f ca="1">IFERROR(__xludf.DUMMYFUNCTION("""COMPUTED_VALUE"""),"No")</f>
        <v>No</v>
      </c>
      <c r="AH1504" s="5" t="str">
        <f ca="1">IFERROR(__xludf.DUMMYFUNCTION("""COMPUTED_VALUE"""),"Yes")</f>
        <v>Yes</v>
      </c>
      <c r="AI1504" s="5" t="str">
        <f ca="1">IFERROR(__xludf.DUMMYFUNCTION("""COMPUTED_VALUE"""),"No")</f>
        <v>No</v>
      </c>
      <c r="AJ1504" s="5"/>
    </row>
    <row r="1505" spans="1:36" ht="13">
      <c r="A1505" s="5" t="str">
        <f ca="1">IFERROR(__xludf.DUMMYFUNCTION("""COMPUTED_VALUE"""),"20041002NEJEG")</f>
        <v>20041002NEJEG</v>
      </c>
      <c r="B1505" s="5">
        <f ca="1">IFERROR(__xludf.DUMMYFUNCTION("""COMPUTED_VALUE"""),10)</f>
        <v>10</v>
      </c>
      <c r="C1505" s="5">
        <f ca="1">IFERROR(__xludf.DUMMYFUNCTION("""COMPUTED_VALUE"""),2)</f>
        <v>2</v>
      </c>
      <c r="D1505" s="5">
        <f ca="1">IFERROR(__xludf.DUMMYFUNCTION("""COMPUTED_VALUE"""),2004)</f>
        <v>2004</v>
      </c>
      <c r="E1505" s="8">
        <f ca="1">IFERROR(__xludf.DUMMYFUNCTION("""COMPUTED_VALUE"""),38262)</f>
        <v>38262</v>
      </c>
      <c r="F1505" s="5" t="str">
        <f ca="1">IFERROR(__xludf.DUMMYFUNCTION("""COMPUTED_VALUE"""),"Jefferson Elementary School")</f>
        <v>Jefferson Elementary School</v>
      </c>
      <c r="G1505" s="5">
        <f ca="1">IFERROR(__xludf.DUMMYFUNCTION("""COMPUTED_VALUE"""),0)</f>
        <v>0</v>
      </c>
      <c r="H1505" s="5">
        <f ca="1">IFERROR(__xludf.DUMMYFUNCTION("""COMPUTED_VALUE"""),1)</f>
        <v>1</v>
      </c>
      <c r="I1505" s="5">
        <f ca="1">IFERROR(__xludf.DUMMYFUNCTION("""COMPUTED_VALUE"""),1)</f>
        <v>1</v>
      </c>
      <c r="J1505" s="5">
        <f ca="1">IFERROR(__xludf.DUMMYFUNCTION("""COMPUTED_VALUE"""),0)</f>
        <v>0</v>
      </c>
      <c r="K1505" s="9" t="str">
        <f ca="1">IFERROR(__xludf.DUMMYFUNCTION("""COMPUTED_VALUE"""),"https://www.theindependent.com/news/man-charged-with-shooting-at-jefferson-school/article_3665f3f8-7aea-525c-b6a2-1d6de44bd561.html")</f>
        <v>https://www.theindependent.com/news/man-charged-with-shooting-at-jefferson-school/article_3665f3f8-7aea-525c-b6a2-1d6de44bd561.html</v>
      </c>
      <c r="L1505" s="5"/>
      <c r="M1505" s="5"/>
      <c r="N1505" s="5">
        <f ca="1">IFERROR(__xludf.DUMMYFUNCTION("""COMPUTED_VALUE"""),2)</f>
        <v>2</v>
      </c>
      <c r="O1505" s="5" t="str">
        <f ca="1">IFERROR(__xludf.DUMMYFUNCTION("""COMPUTED_VALUE"""),"Fall")</f>
        <v>Fall</v>
      </c>
      <c r="P1505" s="5" t="str">
        <f ca="1">IFERROR(__xludf.DUMMYFUNCTION("""COMPUTED_VALUE"""),"Grand Island")</f>
        <v>Grand Island</v>
      </c>
      <c r="Q1505" s="5" t="str">
        <f ca="1">IFERROR(__xludf.DUMMYFUNCTION("""COMPUTED_VALUE"""),"NE")</f>
        <v>NE</v>
      </c>
      <c r="R1505" s="5" t="str">
        <f ca="1">IFERROR(__xludf.DUMMYFUNCTION("""COMPUTED_VALUE"""),"Elementary")</f>
        <v>Elementary</v>
      </c>
      <c r="S1505" s="5" t="str">
        <f ca="1">IFERROR(__xludf.DUMMYFUNCTION("""COMPUTED_VALUE"""),"Parking Lot")</f>
        <v>Parking Lot</v>
      </c>
      <c r="T1505" s="5" t="str">
        <f ca="1">IFERROR(__xludf.DUMMYFUNCTION("""COMPUTED_VALUE"""),"Outside on School Property")</f>
        <v>Outside on School Property</v>
      </c>
      <c r="U1505" s="5" t="str">
        <f ca="1">IFERROR(__xludf.DUMMYFUNCTION("""COMPUTED_VALUE"""),"No")</f>
        <v>No</v>
      </c>
      <c r="V1505" s="5" t="str">
        <f ca="1">IFERROR(__xludf.DUMMYFUNCTION("""COMPUTED_VALUE"""),"Not a School Day")</f>
        <v>Not a School Day</v>
      </c>
      <c r="W1505" s="10">
        <f ca="1">IFERROR(__xludf.DUMMYFUNCTION("""COMPUTED_VALUE"""),0.270833333333333)</f>
        <v>0.27083333333333298</v>
      </c>
      <c r="X1505" s="5">
        <f ca="1">IFERROR(__xludf.DUMMYFUNCTION("""COMPUTED_VALUE"""),1)</f>
        <v>1</v>
      </c>
      <c r="Y1505" s="5" t="str">
        <f ca="1">IFERROR(__xludf.DUMMYFUNCTION("""COMPUTED_VALUE"""),"Shooter called ex-girlfriend, current boyfriend and friends came to school to confront him")</f>
        <v>Shooter called ex-girlfriend, current boyfriend and friends came to school to confront him</v>
      </c>
      <c r="Z1505" s="5" t="str">
        <f ca="1">IFERROR(__xludf.DUMMYFUNCTION("""COMPUTED_VALUE"""),"Early morning fight on the school grounds. Shooter had called his ex-girlfriend angering current boyfriend. They all met at the school parking lot in the morning. Shooter fired 3 shots and drove away. Later arrested. Shooter was using methamphetamine at t"&amp;"he time.")</f>
        <v>Early morning fight on the school grounds. Shooter had called his ex-girlfriend angering current boyfriend. They all met at the school parking lot in the morning. Shooter fired 3 shots and drove away. Later arrested. Shooter was using methamphetamine at the time.</v>
      </c>
      <c r="AA1505" s="5" t="str">
        <f ca="1">IFERROR(__xludf.DUMMYFUNCTION("""COMPUTED_VALUE"""),"Domestic w/ Targeted Victim")</f>
        <v>Domestic w/ Targeted Victim</v>
      </c>
      <c r="AB1505" s="5" t="str">
        <f ca="1">IFERROR(__xludf.DUMMYFUNCTION("""COMPUTED_VALUE"""),"Victims Targeted")</f>
        <v>Victims Targeted</v>
      </c>
      <c r="AC1505" s="5" t="str">
        <f ca="1">IFERROR(__xludf.DUMMYFUNCTION("""COMPUTED_VALUE"""),"No")</f>
        <v>No</v>
      </c>
      <c r="AD1505" s="5" t="str">
        <f ca="1">IFERROR(__xludf.DUMMYFUNCTION("""COMPUTED_VALUE"""),"No")</f>
        <v>No</v>
      </c>
      <c r="AE1505" s="5" t="str">
        <f ca="1">IFERROR(__xludf.DUMMYFUNCTION("""COMPUTED_VALUE"""),"No")</f>
        <v>No</v>
      </c>
      <c r="AF1505" s="5" t="str">
        <f ca="1">IFERROR(__xludf.DUMMYFUNCTION("""COMPUTED_VALUE"""),"No")</f>
        <v>No</v>
      </c>
      <c r="AG1505" s="5" t="str">
        <f ca="1">IFERROR(__xludf.DUMMYFUNCTION("""COMPUTED_VALUE"""),"No")</f>
        <v>No</v>
      </c>
      <c r="AH1505" s="5" t="str">
        <f ca="1">IFERROR(__xludf.DUMMYFUNCTION("""COMPUTED_VALUE"""),"Yes")</f>
        <v>Yes</v>
      </c>
      <c r="AI1505" s="5" t="str">
        <f ca="1">IFERROR(__xludf.DUMMYFUNCTION("""COMPUTED_VALUE"""),"No")</f>
        <v>No</v>
      </c>
      <c r="AJ1505" s="5"/>
    </row>
    <row r="1506" spans="1:36" ht="13">
      <c r="A1506" s="5" t="str">
        <f ca="1">IFERROR(__xludf.DUMMYFUNCTION("""COMPUTED_VALUE"""),"20040915INWIG")</f>
        <v>20040915INWIG</v>
      </c>
      <c r="B1506" s="5">
        <f ca="1">IFERROR(__xludf.DUMMYFUNCTION("""COMPUTED_VALUE"""),9)</f>
        <v>9</v>
      </c>
      <c r="C1506" s="5">
        <f ca="1">IFERROR(__xludf.DUMMYFUNCTION("""COMPUTED_VALUE"""),15)</f>
        <v>15</v>
      </c>
      <c r="D1506" s="5">
        <f ca="1">IFERROR(__xludf.DUMMYFUNCTION("""COMPUTED_VALUE"""),2004)</f>
        <v>2004</v>
      </c>
      <c r="E1506" s="8">
        <f ca="1">IFERROR(__xludf.DUMMYFUNCTION("""COMPUTED_VALUE"""),38245)</f>
        <v>38245</v>
      </c>
      <c r="F1506" s="5" t="str">
        <f ca="1">IFERROR(__xludf.DUMMYFUNCTION("""COMPUTED_VALUE"""),"Wirt High School")</f>
        <v>Wirt High School</v>
      </c>
      <c r="G1506" s="5">
        <f ca="1">IFERROR(__xludf.DUMMYFUNCTION("""COMPUTED_VALUE"""),0)</f>
        <v>0</v>
      </c>
      <c r="H1506" s="5">
        <f ca="1">IFERROR(__xludf.DUMMYFUNCTION("""COMPUTED_VALUE"""),0)</f>
        <v>0</v>
      </c>
      <c r="I1506" s="5">
        <f ca="1">IFERROR(__xludf.DUMMYFUNCTION("""COMPUTED_VALUE"""),0)</f>
        <v>0</v>
      </c>
      <c r="J1506" s="5">
        <f ca="1">IFERROR(__xludf.DUMMYFUNCTION("""COMPUTED_VALUE"""),0)</f>
        <v>0</v>
      </c>
      <c r="K1506" s="9" t="str">
        <f ca="1">IFERROR(__xludf.DUMMYFUNCTION("""COMPUTED_VALUE"""),"https://www.nwitimes.com/news/local/lake-county-news-briefs/article_cc5c39db-4f11-5fc4-8024-c813bc7b21f9.html")</f>
        <v>https://www.nwitimes.com/news/local/lake-county-news-briefs/article_cc5c39db-4f11-5fc4-8024-c813bc7b21f9.html</v>
      </c>
      <c r="L1506" s="5"/>
      <c r="M1506" s="5"/>
      <c r="N1506" s="5">
        <f ca="1">IFERROR(__xludf.DUMMYFUNCTION("""COMPUTED_VALUE"""),2)</f>
        <v>2</v>
      </c>
      <c r="O1506" s="5" t="str">
        <f ca="1">IFERROR(__xludf.DUMMYFUNCTION("""COMPUTED_VALUE"""),"Fall")</f>
        <v>Fall</v>
      </c>
      <c r="P1506" s="5" t="str">
        <f ca="1">IFERROR(__xludf.DUMMYFUNCTION("""COMPUTED_VALUE"""),"Gary")</f>
        <v>Gary</v>
      </c>
      <c r="Q1506" s="5" t="str">
        <f ca="1">IFERROR(__xludf.DUMMYFUNCTION("""COMPUTED_VALUE"""),"IN")</f>
        <v>IN</v>
      </c>
      <c r="R1506" s="5" t="str">
        <f ca="1">IFERROR(__xludf.DUMMYFUNCTION("""COMPUTED_VALUE"""),"High")</f>
        <v>High</v>
      </c>
      <c r="S1506" s="5" t="str">
        <f ca="1">IFERROR(__xludf.DUMMYFUNCTION("""COMPUTED_VALUE"""),"Hallway")</f>
        <v>Hallway</v>
      </c>
      <c r="T1506" s="5" t="str">
        <f ca="1">IFERROR(__xludf.DUMMYFUNCTION("""COMPUTED_VALUE"""),"Inside School Building")</f>
        <v>Inside School Building</v>
      </c>
      <c r="U1506" s="5" t="str">
        <f ca="1">IFERROR(__xludf.DUMMYFUNCTION("""COMPUTED_VALUE"""),"Yes")</f>
        <v>Yes</v>
      </c>
      <c r="V1506" s="5" t="str">
        <f ca="1">IFERROR(__xludf.DUMMYFUNCTION("""COMPUTED_VALUE"""),"Afternoon Classes")</f>
        <v>Afternoon Classes</v>
      </c>
      <c r="W1506" s="5"/>
      <c r="X1506" s="5">
        <f ca="1">IFERROR(__xludf.DUMMYFUNCTION("""COMPUTED_VALUE"""),1)</f>
        <v>1</v>
      </c>
      <c r="Y1506" s="5" t="str">
        <f ca="1">IFERROR(__xludf.DUMMYFUNCTION("""COMPUTED_VALUE"""),"Fired shot into school ceiling during fight between 2 groups of students")</f>
        <v>Fired shot into school ceiling during fight between 2 groups of students</v>
      </c>
      <c r="Z1506" s="5" t="str">
        <f ca="1">IFERROR(__xludf.DUMMYFUNCTION("""COMPUTED_VALUE"""),"16YOM fired handgun into the ceiling during fight between two groups of students then fled the area.")</f>
        <v>16YOM fired handgun into the ceiling during fight between two groups of students then fled the area.</v>
      </c>
      <c r="AA1506" s="5" t="str">
        <f ca="1">IFERROR(__xludf.DUMMYFUNCTION("""COMPUTED_VALUE"""),"Escalation of Dispute")</f>
        <v>Escalation of Dispute</v>
      </c>
      <c r="AB1506" s="5" t="str">
        <f ca="1">IFERROR(__xludf.DUMMYFUNCTION("""COMPUTED_VALUE"""),"Victims Targeted")</f>
        <v>Victims Targeted</v>
      </c>
      <c r="AC1506" s="5" t="str">
        <f ca="1">IFERROR(__xludf.DUMMYFUNCTION("""COMPUTED_VALUE"""),"Yes")</f>
        <v>Yes</v>
      </c>
      <c r="AD1506" s="5" t="str">
        <f ca="1">IFERROR(__xludf.DUMMYFUNCTION("""COMPUTED_VALUE"""),"No")</f>
        <v>No</v>
      </c>
      <c r="AE1506" s="5" t="str">
        <f ca="1">IFERROR(__xludf.DUMMYFUNCTION("""COMPUTED_VALUE"""),"No")</f>
        <v>No</v>
      </c>
      <c r="AF1506" s="5" t="str">
        <f ca="1">IFERROR(__xludf.DUMMYFUNCTION("""COMPUTED_VALUE"""),"No")</f>
        <v>No</v>
      </c>
      <c r="AG1506" s="5" t="str">
        <f ca="1">IFERROR(__xludf.DUMMYFUNCTION("""COMPUTED_VALUE"""),"No")</f>
        <v>No</v>
      </c>
      <c r="AH1506" s="5" t="str">
        <f ca="1">IFERROR(__xludf.DUMMYFUNCTION("""COMPUTED_VALUE"""),"No")</f>
        <v>No</v>
      </c>
      <c r="AI1506" s="5" t="str">
        <f ca="1">IFERROR(__xludf.DUMMYFUNCTION("""COMPUTED_VALUE"""),"No")</f>
        <v>No</v>
      </c>
      <c r="AJ1506" s="5"/>
    </row>
    <row r="1507" spans="1:36" ht="13">
      <c r="A1507" s="5" t="str">
        <f ca="1">IFERROR(__xludf.DUMMYFUNCTION("""COMPUTED_VALUE"""),"20040912LABON")</f>
        <v>20040912LABON</v>
      </c>
      <c r="B1507" s="5">
        <f ca="1">IFERROR(__xludf.DUMMYFUNCTION("""COMPUTED_VALUE"""),9)</f>
        <v>9</v>
      </c>
      <c r="C1507" s="5">
        <f ca="1">IFERROR(__xludf.DUMMYFUNCTION("""COMPUTED_VALUE"""),12)</f>
        <v>12</v>
      </c>
      <c r="D1507" s="5">
        <f ca="1">IFERROR(__xludf.DUMMYFUNCTION("""COMPUTED_VALUE"""),2004)</f>
        <v>2004</v>
      </c>
      <c r="E1507" s="8">
        <f ca="1">IFERROR(__xludf.DUMMYFUNCTION("""COMPUTED_VALUE"""),38242)</f>
        <v>38242</v>
      </c>
      <c r="F1507" s="5" t="str">
        <f ca="1">IFERROR(__xludf.DUMMYFUNCTION("""COMPUTED_VALUE"""),"Booker T. Washington High School")</f>
        <v>Booker T. Washington High School</v>
      </c>
      <c r="G1507" s="5">
        <f ca="1">IFERROR(__xludf.DUMMYFUNCTION("""COMPUTED_VALUE"""),0)</f>
        <v>0</v>
      </c>
      <c r="H1507" s="5">
        <f ca="1">IFERROR(__xludf.DUMMYFUNCTION("""COMPUTED_VALUE"""),1)</f>
        <v>1</v>
      </c>
      <c r="I1507" s="5">
        <f ca="1">IFERROR(__xludf.DUMMYFUNCTION("""COMPUTED_VALUE"""),1)</f>
        <v>1</v>
      </c>
      <c r="J1507" s="5">
        <f ca="1">IFERROR(__xludf.DUMMYFUNCTION("""COMPUTED_VALUE"""),0)</f>
        <v>0</v>
      </c>
      <c r="K1507" s="9" t="str">
        <f ca="1">IFERROR(__xludf.DUMMYFUNCTION("""COMPUTED_VALUE"""),"https://en.wikipedia.org/wiki/List_of_school_shootings_in_the_United_States")</f>
        <v>https://en.wikipedia.org/wiki/List_of_school_shootings_in_the_United_States</v>
      </c>
      <c r="L1507" s="5"/>
      <c r="M1507" s="5"/>
      <c r="N1507" s="5">
        <f ca="1">IFERROR(__xludf.DUMMYFUNCTION("""COMPUTED_VALUE"""),1)</f>
        <v>1</v>
      </c>
      <c r="O1507" s="5" t="str">
        <f ca="1">IFERROR(__xludf.DUMMYFUNCTION("""COMPUTED_VALUE"""),"Fall")</f>
        <v>Fall</v>
      </c>
      <c r="P1507" s="5" t="str">
        <f ca="1">IFERROR(__xludf.DUMMYFUNCTION("""COMPUTED_VALUE"""),"New Orleans")</f>
        <v>New Orleans</v>
      </c>
      <c r="Q1507" s="5" t="str">
        <f ca="1">IFERROR(__xludf.DUMMYFUNCTION("""COMPUTED_VALUE"""),"LA")</f>
        <v>LA</v>
      </c>
      <c r="R1507" s="5" t="str">
        <f ca="1">IFERROR(__xludf.DUMMYFUNCTION("""COMPUTED_VALUE"""),"High")</f>
        <v>High</v>
      </c>
      <c r="S1507" s="5" t="str">
        <f ca="1">IFERROR(__xludf.DUMMYFUNCTION("""COMPUTED_VALUE"""),"Beside Building")</f>
        <v>Beside Building</v>
      </c>
      <c r="T1507" s="5" t="str">
        <f ca="1">IFERROR(__xludf.DUMMYFUNCTION("""COMPUTED_VALUE"""),"Outside on School Property")</f>
        <v>Outside on School Property</v>
      </c>
      <c r="U1507" s="5" t="str">
        <f ca="1">IFERROR(__xludf.DUMMYFUNCTION("""COMPUTED_VALUE"""),"No")</f>
        <v>No</v>
      </c>
      <c r="V1507" s="5" t="str">
        <f ca="1">IFERROR(__xludf.DUMMYFUNCTION("""COMPUTED_VALUE"""),"Not a School Day")</f>
        <v>Not a School Day</v>
      </c>
      <c r="W1507" s="10">
        <f ca="1">IFERROR(__xludf.DUMMYFUNCTION("""COMPUTED_VALUE"""),0.5)</f>
        <v>0.5</v>
      </c>
      <c r="X1507" s="5">
        <f ca="1">IFERROR(__xludf.DUMMYFUNCTION("""COMPUTED_VALUE"""),1)</f>
        <v>1</v>
      </c>
      <c r="Y1507" s="5" t="str">
        <f ca="1">IFERROR(__xludf.DUMMYFUNCTION("""COMPUTED_VALUE"""),"Adult female shot student when he became aggressive and reached for gun")</f>
        <v>Adult female shot student when he became aggressive and reached for gun</v>
      </c>
      <c r="Z1507" s="5" t="str">
        <f ca="1">IFERROR(__xludf.DUMMYFUNCTION("""COMPUTED_VALUE"""),"34YOF (unknown relationship) saw a 16YOM student smoking marijuana at noon behind the school. She approached him and he became belligerent and aggressive. He pushed her away and reached under his shirt for a weapon. Female drew her .38-caliber revolver an"&amp;"d shot the boy in the foot.")</f>
        <v>34YOF (unknown relationship) saw a 16YOM student smoking marijuana at noon behind the school. She approached him and he became belligerent and aggressive. He pushed her away and reached under his shirt for a weapon. Female drew her .38-caliber revolver and shot the boy in the foot.</v>
      </c>
      <c r="AA1507" s="5" t="str">
        <f ca="1">IFERROR(__xludf.DUMMYFUNCTION("""COMPUTED_VALUE"""),"Self-defense")</f>
        <v>Self-defense</v>
      </c>
      <c r="AB1507" s="5" t="str">
        <f ca="1">IFERROR(__xludf.DUMMYFUNCTION("""COMPUTED_VALUE"""),"Victims Targeted")</f>
        <v>Victims Targeted</v>
      </c>
      <c r="AC1507" s="5" t="str">
        <f ca="1">IFERROR(__xludf.DUMMYFUNCTION("""COMPUTED_VALUE"""),"No")</f>
        <v>No</v>
      </c>
      <c r="AD1507" s="5" t="str">
        <f ca="1">IFERROR(__xludf.DUMMYFUNCTION("""COMPUTED_VALUE"""),"No")</f>
        <v>No</v>
      </c>
      <c r="AE1507" s="5" t="str">
        <f ca="1">IFERROR(__xludf.DUMMYFUNCTION("""COMPUTED_VALUE"""),"No")</f>
        <v>No</v>
      </c>
      <c r="AF1507" s="5" t="str">
        <f ca="1">IFERROR(__xludf.DUMMYFUNCTION("""COMPUTED_VALUE"""),"No")</f>
        <v>No</v>
      </c>
      <c r="AG1507" s="5" t="str">
        <f ca="1">IFERROR(__xludf.DUMMYFUNCTION("""COMPUTED_VALUE"""),"No")</f>
        <v>No</v>
      </c>
      <c r="AH1507" s="5" t="str">
        <f ca="1">IFERROR(__xludf.DUMMYFUNCTION("""COMPUTED_VALUE"""),"No")</f>
        <v>No</v>
      </c>
      <c r="AI1507" s="5" t="str">
        <f ca="1">IFERROR(__xludf.DUMMYFUNCTION("""COMPUTED_VALUE"""),"No")</f>
        <v>No</v>
      </c>
      <c r="AJ1507" s="5"/>
    </row>
    <row r="1508" spans="1:36" ht="13">
      <c r="A1508" s="5" t="str">
        <f ca="1">IFERROR(__xludf.DUMMYFUNCTION("""COMPUTED_VALUE"""),"20040830ILPRM")</f>
        <v>20040830ILPRM</v>
      </c>
      <c r="B1508" s="5">
        <f ca="1">IFERROR(__xludf.DUMMYFUNCTION("""COMPUTED_VALUE"""),8)</f>
        <v>8</v>
      </c>
      <c r="C1508" s="5">
        <f ca="1">IFERROR(__xludf.DUMMYFUNCTION("""COMPUTED_VALUE"""),30)</f>
        <v>30</v>
      </c>
      <c r="D1508" s="5">
        <f ca="1">IFERROR(__xludf.DUMMYFUNCTION("""COMPUTED_VALUE"""),2004)</f>
        <v>2004</v>
      </c>
      <c r="E1508" s="8">
        <f ca="1">IFERROR(__xludf.DUMMYFUNCTION("""COMPUTED_VALUE"""),38229)</f>
        <v>38229</v>
      </c>
      <c r="F1508" s="5" t="str">
        <f ca="1">IFERROR(__xludf.DUMMYFUNCTION("""COMPUTED_VALUE"""),"Proviso East High School")</f>
        <v>Proviso East High School</v>
      </c>
      <c r="G1508" s="5">
        <f ca="1">IFERROR(__xludf.DUMMYFUNCTION("""COMPUTED_VALUE"""),1)</f>
        <v>1</v>
      </c>
      <c r="H1508" s="5">
        <f ca="1">IFERROR(__xludf.DUMMYFUNCTION("""COMPUTED_VALUE"""),0)</f>
        <v>0</v>
      </c>
      <c r="I1508" s="5">
        <f ca="1">IFERROR(__xludf.DUMMYFUNCTION("""COMPUTED_VALUE"""),1)</f>
        <v>1</v>
      </c>
      <c r="J1508" s="5">
        <f ca="1">IFERROR(__xludf.DUMMYFUNCTION("""COMPUTED_VALUE"""),0)</f>
        <v>0</v>
      </c>
      <c r="K1508" s="9" t="str">
        <f ca="1">IFERROR(__xludf.DUMMYFUNCTION("""COMPUTED_VALUE"""),"http://articles.chicagotribune.com/2004-08-31/news/0408310214_1_gang-related-shooting-proviso-east-high-school-student-parking-lot")</f>
        <v>http://articles.chicagotribune.com/2004-08-31/news/0408310214_1_gang-related-shooting-proviso-east-high-school-student-parking-lot</v>
      </c>
      <c r="L1508" s="5"/>
      <c r="M1508" s="5"/>
      <c r="N1508" s="5">
        <f ca="1">IFERROR(__xludf.DUMMYFUNCTION("""COMPUTED_VALUE"""),2)</f>
        <v>2</v>
      </c>
      <c r="O1508" s="5" t="str">
        <f ca="1">IFERROR(__xludf.DUMMYFUNCTION("""COMPUTED_VALUE"""),"Summer")</f>
        <v>Summer</v>
      </c>
      <c r="P1508" s="5" t="str">
        <f ca="1">IFERROR(__xludf.DUMMYFUNCTION("""COMPUTED_VALUE"""),"Maywood")</f>
        <v>Maywood</v>
      </c>
      <c r="Q1508" s="5" t="str">
        <f ca="1">IFERROR(__xludf.DUMMYFUNCTION("""COMPUTED_VALUE"""),"IL")</f>
        <v>IL</v>
      </c>
      <c r="R1508" s="5" t="str">
        <f ca="1">IFERROR(__xludf.DUMMYFUNCTION("""COMPUTED_VALUE"""),"High")</f>
        <v>High</v>
      </c>
      <c r="S1508" s="5" t="str">
        <f ca="1">IFERROR(__xludf.DUMMYFUNCTION("""COMPUTED_VALUE"""),"Parking Lot")</f>
        <v>Parking Lot</v>
      </c>
      <c r="T1508" s="5" t="str">
        <f ca="1">IFERROR(__xludf.DUMMYFUNCTION("""COMPUTED_VALUE"""),"Outside on School Property")</f>
        <v>Outside on School Property</v>
      </c>
      <c r="U1508" s="5" t="str">
        <f ca="1">IFERROR(__xludf.DUMMYFUNCTION("""COMPUTED_VALUE"""),"Yes")</f>
        <v>Yes</v>
      </c>
      <c r="V1508" s="5" t="str">
        <f ca="1">IFERROR(__xludf.DUMMYFUNCTION("""COMPUTED_VALUE"""),"Dismissal")</f>
        <v>Dismissal</v>
      </c>
      <c r="W1508" s="10">
        <f ca="1">IFERROR(__xludf.DUMMYFUNCTION("""COMPUTED_VALUE"""),0.604166666666666)</f>
        <v>0.60416666666666596</v>
      </c>
      <c r="X1508" s="5">
        <f ca="1">IFERROR(__xludf.DUMMYFUNCTION("""COMPUTED_VALUE"""),1)</f>
        <v>1</v>
      </c>
      <c r="Y1508" s="5" t="str">
        <f ca="1">IFERROR(__xludf.DUMMYFUNCTION("""COMPUTED_VALUE"""),"Argument in parking lot while victim was waiting to pick up brother, shot in chest")</f>
        <v>Argument in parking lot while victim was waiting to pick up brother, shot in chest</v>
      </c>
      <c r="Z1508" s="5" t="str">
        <f ca="1">IFERROR(__xludf.DUMMYFUNCTION("""COMPUTED_VALUE"""),"22YOM shot while waiting to pick up brother at school. Had argument with another man and was shot in chest. Police said the shooting was gang related.")</f>
        <v>22YOM shot while waiting to pick up brother at school. Had argument with another man and was shot in chest. Police said the shooting was gang related.</v>
      </c>
      <c r="AA1508" s="5" t="str">
        <f ca="1">IFERROR(__xludf.DUMMYFUNCTION("""COMPUTED_VALUE"""),"Escalation of Dispute")</f>
        <v>Escalation of Dispute</v>
      </c>
      <c r="AB1508" s="5" t="str">
        <f ca="1">IFERROR(__xludf.DUMMYFUNCTION("""COMPUTED_VALUE"""),"Victims Targeted")</f>
        <v>Victims Targeted</v>
      </c>
      <c r="AC1508" s="5" t="str">
        <f ca="1">IFERROR(__xludf.DUMMYFUNCTION("""COMPUTED_VALUE"""),"No")</f>
        <v>No</v>
      </c>
      <c r="AD1508" s="5" t="str">
        <f ca="1">IFERROR(__xludf.DUMMYFUNCTION("""COMPUTED_VALUE"""),"No")</f>
        <v>No</v>
      </c>
      <c r="AE1508" s="5" t="str">
        <f ca="1">IFERROR(__xludf.DUMMYFUNCTION("""COMPUTED_VALUE"""),"No")</f>
        <v>No</v>
      </c>
      <c r="AF1508" s="5" t="str">
        <f ca="1">IFERROR(__xludf.DUMMYFUNCTION("""COMPUTED_VALUE"""),"No")</f>
        <v>No</v>
      </c>
      <c r="AG1508" s="5" t="str">
        <f ca="1">IFERROR(__xludf.DUMMYFUNCTION("""COMPUTED_VALUE"""),"No")</f>
        <v>No</v>
      </c>
      <c r="AH1508" s="5" t="str">
        <f ca="1">IFERROR(__xludf.DUMMYFUNCTION("""COMPUTED_VALUE"""),"No")</f>
        <v>No</v>
      </c>
      <c r="AI1508" s="5" t="str">
        <f ca="1">IFERROR(__xludf.DUMMYFUNCTION("""COMPUTED_VALUE"""),"Yes")</f>
        <v>Yes</v>
      </c>
      <c r="AJ1508" s="5"/>
    </row>
    <row r="1509" spans="1:36" ht="13">
      <c r="A1509" s="5" t="str">
        <f ca="1">IFERROR(__xludf.DUMMYFUNCTION("""COMPUTED_VALUE"""),"20040824TNHAM")</f>
        <v>20040824TNHAM</v>
      </c>
      <c r="B1509" s="5">
        <f ca="1">IFERROR(__xludf.DUMMYFUNCTION("""COMPUTED_VALUE"""),8)</f>
        <v>8</v>
      </c>
      <c r="C1509" s="5">
        <f ca="1">IFERROR(__xludf.DUMMYFUNCTION("""COMPUTED_VALUE"""),24)</f>
        <v>24</v>
      </c>
      <c r="D1509" s="5">
        <f ca="1">IFERROR(__xludf.DUMMYFUNCTION("""COMPUTED_VALUE"""),2004)</f>
        <v>2004</v>
      </c>
      <c r="E1509" s="8">
        <f ca="1">IFERROR(__xludf.DUMMYFUNCTION("""COMPUTED_VALUE"""),38223)</f>
        <v>38223</v>
      </c>
      <c r="F1509" s="5" t="str">
        <f ca="1">IFERROR(__xludf.DUMMYFUNCTION("""COMPUTED_VALUE"""),"Hamilton High School")</f>
        <v>Hamilton High School</v>
      </c>
      <c r="G1509" s="5">
        <f ca="1">IFERROR(__xludf.DUMMYFUNCTION("""COMPUTED_VALUE"""),0)</f>
        <v>0</v>
      </c>
      <c r="H1509" s="5">
        <f ca="1">IFERROR(__xludf.DUMMYFUNCTION("""COMPUTED_VALUE"""),0)</f>
        <v>0</v>
      </c>
      <c r="I1509" s="5">
        <f ca="1">IFERROR(__xludf.DUMMYFUNCTION("""COMPUTED_VALUE"""),0)</f>
        <v>0</v>
      </c>
      <c r="J1509" s="5">
        <f ca="1">IFERROR(__xludf.DUMMYFUNCTION("""COMPUTED_VALUE"""),0)</f>
        <v>0</v>
      </c>
      <c r="K1509" s="9" t="str">
        <f ca="1">IFERROR(__xludf.DUMMYFUNCTION("""COMPUTED_VALUE"""),"http://www.wmcactionnews5.com/story/7818497/police-investigate-shooting-inside-classroom-at-hamilton-high/")</f>
        <v>http://www.wmcactionnews5.com/story/7818497/police-investigate-shooting-inside-classroom-at-hamilton-high/</v>
      </c>
      <c r="L1509" s="5"/>
      <c r="M1509" s="5"/>
      <c r="N1509" s="5">
        <f ca="1">IFERROR(__xludf.DUMMYFUNCTION("""COMPUTED_VALUE"""),2)</f>
        <v>2</v>
      </c>
      <c r="O1509" s="5" t="str">
        <f ca="1">IFERROR(__xludf.DUMMYFUNCTION("""COMPUTED_VALUE"""),"Summer")</f>
        <v>Summer</v>
      </c>
      <c r="P1509" s="5" t="str">
        <f ca="1">IFERROR(__xludf.DUMMYFUNCTION("""COMPUTED_VALUE"""),"Memphis")</f>
        <v>Memphis</v>
      </c>
      <c r="Q1509" s="5" t="str">
        <f ca="1">IFERROR(__xludf.DUMMYFUNCTION("""COMPUTED_VALUE"""),"TN")</f>
        <v>TN</v>
      </c>
      <c r="R1509" s="5" t="str">
        <f ca="1">IFERROR(__xludf.DUMMYFUNCTION("""COMPUTED_VALUE"""),"High")</f>
        <v>High</v>
      </c>
      <c r="S1509" s="5" t="str">
        <f ca="1">IFERROR(__xludf.DUMMYFUNCTION("""COMPUTED_VALUE"""),"Hallway")</f>
        <v>Hallway</v>
      </c>
      <c r="T1509" s="5" t="str">
        <f ca="1">IFERROR(__xludf.DUMMYFUNCTION("""COMPUTED_VALUE"""),"Inside School Building")</f>
        <v>Inside School Building</v>
      </c>
      <c r="U1509" s="5" t="str">
        <f ca="1">IFERROR(__xludf.DUMMYFUNCTION("""COMPUTED_VALUE"""),"Yes")</f>
        <v>Yes</v>
      </c>
      <c r="V1509" s="5"/>
      <c r="W1509" s="5"/>
      <c r="X1509" s="5">
        <f ca="1">IFERROR(__xludf.DUMMYFUNCTION("""COMPUTED_VALUE"""),1)</f>
        <v>1</v>
      </c>
      <c r="Y1509" s="5" t="str">
        <f ca="1">IFERROR(__xludf.DUMMYFUNCTION("""COMPUTED_VALUE"""),"Shot fired during fight in classroom")</f>
        <v>Shot fired during fight in classroom</v>
      </c>
      <c r="Z1509" s="5" t="str">
        <f ca="1">IFERROR(__xludf.DUMMYFUNCTION("""COMPUTED_VALUE"""),"17YOM tried to stop a fight between group. 16YOM pulled a handgun and fired a shot at 17YOM. Shot hit the classroom door and no one was injured.")</f>
        <v>17YOM tried to stop a fight between group. 16YOM pulled a handgun and fired a shot at 17YOM. Shot hit the classroom door and no one was injured.</v>
      </c>
      <c r="AA1509" s="5" t="str">
        <f ca="1">IFERROR(__xludf.DUMMYFUNCTION("""COMPUTED_VALUE"""),"Escalation of Dispute")</f>
        <v>Escalation of Dispute</v>
      </c>
      <c r="AB1509" s="5" t="str">
        <f ca="1">IFERROR(__xludf.DUMMYFUNCTION("""COMPUTED_VALUE"""),"Victims Targeted")</f>
        <v>Victims Targeted</v>
      </c>
      <c r="AC1509" s="5" t="str">
        <f ca="1">IFERROR(__xludf.DUMMYFUNCTION("""COMPUTED_VALUE"""),"No")</f>
        <v>No</v>
      </c>
      <c r="AD1509" s="5" t="str">
        <f ca="1">IFERROR(__xludf.DUMMYFUNCTION("""COMPUTED_VALUE"""),"No")</f>
        <v>No</v>
      </c>
      <c r="AE1509" s="5" t="str">
        <f ca="1">IFERROR(__xludf.DUMMYFUNCTION("""COMPUTED_VALUE"""),"No")</f>
        <v>No</v>
      </c>
      <c r="AF1509" s="5" t="str">
        <f ca="1">IFERROR(__xludf.DUMMYFUNCTION("""COMPUTED_VALUE"""),"No")</f>
        <v>No</v>
      </c>
      <c r="AG1509" s="5" t="str">
        <f ca="1">IFERROR(__xludf.DUMMYFUNCTION("""COMPUTED_VALUE"""),"No")</f>
        <v>No</v>
      </c>
      <c r="AH1509" s="5" t="str">
        <f ca="1">IFERROR(__xludf.DUMMYFUNCTION("""COMPUTED_VALUE"""),"No")</f>
        <v>No</v>
      </c>
      <c r="AI1509" s="5" t="str">
        <f ca="1">IFERROR(__xludf.DUMMYFUNCTION("""COMPUTED_VALUE"""),"No")</f>
        <v>No</v>
      </c>
      <c r="AJ1509" s="5"/>
    </row>
    <row r="1510" spans="1:36" ht="13">
      <c r="A1510" s="5" t="str">
        <f ca="1">IFERROR(__xludf.DUMMYFUNCTION("""COMPUTED_VALUE"""),"20040803ALHUB")</f>
        <v>20040803ALHUB</v>
      </c>
      <c r="B1510" s="5">
        <f ca="1">IFERROR(__xludf.DUMMYFUNCTION("""COMPUTED_VALUE"""),8)</f>
        <v>8</v>
      </c>
      <c r="C1510" s="5">
        <f ca="1">IFERROR(__xludf.DUMMYFUNCTION("""COMPUTED_VALUE"""),3)</f>
        <v>3</v>
      </c>
      <c r="D1510" s="5">
        <f ca="1">IFERROR(__xludf.DUMMYFUNCTION("""COMPUTED_VALUE"""),2004)</f>
        <v>2004</v>
      </c>
      <c r="E1510" s="8">
        <f ca="1">IFERROR(__xludf.DUMMYFUNCTION("""COMPUTED_VALUE"""),38202)</f>
        <v>38202</v>
      </c>
      <c r="F1510" s="5" t="str">
        <f ca="1">IFERROR(__xludf.DUMMYFUNCTION("""COMPUTED_VALUE"""),"Huffman High School")</f>
        <v>Huffman High School</v>
      </c>
      <c r="G1510" s="5">
        <f ca="1">IFERROR(__xludf.DUMMYFUNCTION("""COMPUTED_VALUE"""),0)</f>
        <v>0</v>
      </c>
      <c r="H1510" s="5">
        <f ca="1">IFERROR(__xludf.DUMMYFUNCTION("""COMPUTED_VALUE"""),1)</f>
        <v>1</v>
      </c>
      <c r="I1510" s="5">
        <f ca="1">IFERROR(__xludf.DUMMYFUNCTION("""COMPUTED_VALUE"""),1)</f>
        <v>1</v>
      </c>
      <c r="J1510" s="5">
        <f ca="1">IFERROR(__xludf.DUMMYFUNCTION("""COMPUTED_VALUE"""),0)</f>
        <v>0</v>
      </c>
      <c r="K1510" s="9" t="str">
        <f ca="1">IFERROR(__xludf.DUMMYFUNCTION("""COMPUTED_VALUE"""),"http://www.gadsdentimes.com/article/DA/20040804/News/603205688/GT/")</f>
        <v>http://www.gadsdentimes.com/article/DA/20040804/News/603205688/GT/</v>
      </c>
      <c r="L1510" s="5"/>
      <c r="M1510" s="5"/>
      <c r="N1510" s="5">
        <f ca="1">IFERROR(__xludf.DUMMYFUNCTION("""COMPUTED_VALUE"""),2)</f>
        <v>2</v>
      </c>
      <c r="O1510" s="5" t="str">
        <f ca="1">IFERROR(__xludf.DUMMYFUNCTION("""COMPUTED_VALUE"""),"Summer")</f>
        <v>Summer</v>
      </c>
      <c r="P1510" s="5" t="str">
        <f ca="1">IFERROR(__xludf.DUMMYFUNCTION("""COMPUTED_VALUE"""),"Birmingham")</f>
        <v>Birmingham</v>
      </c>
      <c r="Q1510" s="5" t="str">
        <f ca="1">IFERROR(__xludf.DUMMYFUNCTION("""COMPUTED_VALUE"""),"AL")</f>
        <v>AL</v>
      </c>
      <c r="R1510" s="5" t="str">
        <f ca="1">IFERROR(__xludf.DUMMYFUNCTION("""COMPUTED_VALUE"""),"High")</f>
        <v>High</v>
      </c>
      <c r="S1510" s="5" t="str">
        <f ca="1">IFERROR(__xludf.DUMMYFUNCTION("""COMPUTED_VALUE"""),"Parking Lot")</f>
        <v>Parking Lot</v>
      </c>
      <c r="T1510" s="5" t="str">
        <f ca="1">IFERROR(__xludf.DUMMYFUNCTION("""COMPUTED_VALUE"""),"Outside on School Property")</f>
        <v>Outside on School Property</v>
      </c>
      <c r="U1510" s="5" t="str">
        <f ca="1">IFERROR(__xludf.DUMMYFUNCTION("""COMPUTED_VALUE"""),"Yes")</f>
        <v>Yes</v>
      </c>
      <c r="V1510" s="5" t="str">
        <f ca="1">IFERROR(__xludf.DUMMYFUNCTION("""COMPUTED_VALUE"""),"Morning Classes")</f>
        <v>Morning Classes</v>
      </c>
      <c r="W1510" s="10">
        <f ca="1">IFERROR(__xludf.DUMMYFUNCTION("""COMPUTED_VALUE"""),0.364583333333333)</f>
        <v>0.36458333333333298</v>
      </c>
      <c r="X1510" s="5">
        <f ca="1">IFERROR(__xludf.DUMMYFUNCTION("""COMPUTED_VALUE"""),1)</f>
        <v>1</v>
      </c>
      <c r="Y1510" s="5" t="str">
        <f ca="1">IFERROR(__xludf.DUMMYFUNCTION("""COMPUTED_VALUE"""),"Band member shot fellow band member during break")</f>
        <v>Band member shot fellow band member during break</v>
      </c>
      <c r="Z1510" s="5" t="str">
        <f ca="1">IFERROR(__xludf.DUMMYFUNCTION("""COMPUTED_VALUE"""),"16YOM was shot in the shoulder by a fellow band member. The shooting took place on one of the school's parking lots around 8:45 a.m. Police took the unnamed shooter in to custody shortly after the shooting and charged him with attempted murder.")</f>
        <v>16YOM was shot in the shoulder by a fellow band member. The shooting took place on one of the school's parking lots around 8:45 a.m. Police took the unnamed shooter in to custody shortly after the shooting and charged him with attempted murder.</v>
      </c>
      <c r="AA1510" s="5" t="str">
        <f ca="1">IFERROR(__xludf.DUMMYFUNCTION("""COMPUTED_VALUE"""),"Unknown")</f>
        <v>Unknown</v>
      </c>
      <c r="AB1510" s="5" t="str">
        <f ca="1">IFERROR(__xludf.DUMMYFUNCTION("""COMPUTED_VALUE"""),"Victims Targeted")</f>
        <v>Victims Targeted</v>
      </c>
      <c r="AC1510" s="5" t="str">
        <f ca="1">IFERROR(__xludf.DUMMYFUNCTION("""COMPUTED_VALUE"""),"No")</f>
        <v>No</v>
      </c>
      <c r="AD1510" s="5" t="str">
        <f ca="1">IFERROR(__xludf.DUMMYFUNCTION("""COMPUTED_VALUE"""),"No")</f>
        <v>No</v>
      </c>
      <c r="AE1510" s="5" t="str">
        <f ca="1">IFERROR(__xludf.DUMMYFUNCTION("""COMPUTED_VALUE"""),"No")</f>
        <v>No</v>
      </c>
      <c r="AF1510" s="5" t="str">
        <f ca="1">IFERROR(__xludf.DUMMYFUNCTION("""COMPUTED_VALUE"""),"No")</f>
        <v>No</v>
      </c>
      <c r="AG1510" s="5" t="str">
        <f ca="1">IFERROR(__xludf.DUMMYFUNCTION("""COMPUTED_VALUE"""),"No")</f>
        <v>No</v>
      </c>
      <c r="AH1510" s="5" t="str">
        <f ca="1">IFERROR(__xludf.DUMMYFUNCTION("""COMPUTED_VALUE"""),"No")</f>
        <v>No</v>
      </c>
      <c r="AI1510" s="5" t="str">
        <f ca="1">IFERROR(__xludf.DUMMYFUNCTION("""COMPUTED_VALUE"""),"No")</f>
        <v>No</v>
      </c>
      <c r="AJ1510" s="5"/>
    </row>
    <row r="1511" spans="1:36" ht="13">
      <c r="A1511" s="5" t="str">
        <f ca="1">IFERROR(__xludf.DUMMYFUNCTION("""COMPUTED_VALUE"""),"20040609CACAO")</f>
        <v>20040609CACAO</v>
      </c>
      <c r="B1511" s="5">
        <f ca="1">IFERROR(__xludf.DUMMYFUNCTION("""COMPUTED_VALUE"""),6)</f>
        <v>6</v>
      </c>
      <c r="C1511" s="5">
        <f ca="1">IFERROR(__xludf.DUMMYFUNCTION("""COMPUTED_VALUE"""),9)</f>
        <v>9</v>
      </c>
      <c r="D1511" s="5">
        <f ca="1">IFERROR(__xludf.DUMMYFUNCTION("""COMPUTED_VALUE"""),2004)</f>
        <v>2004</v>
      </c>
      <c r="E1511" s="8">
        <f ca="1">IFERROR(__xludf.DUMMYFUNCTION("""COMPUTED_VALUE"""),38147)</f>
        <v>38147</v>
      </c>
      <c r="F1511" s="5" t="str">
        <f ca="1">IFERROR(__xludf.DUMMYFUNCTION("""COMPUTED_VALUE"""),"Castlemont High School")</f>
        <v>Castlemont High School</v>
      </c>
      <c r="G1511" s="5">
        <f ca="1">IFERROR(__xludf.DUMMYFUNCTION("""COMPUTED_VALUE"""),0)</f>
        <v>0</v>
      </c>
      <c r="H1511" s="5">
        <f ca="1">IFERROR(__xludf.DUMMYFUNCTION("""COMPUTED_VALUE"""),2)</f>
        <v>2</v>
      </c>
      <c r="I1511" s="5">
        <f ca="1">IFERROR(__xludf.DUMMYFUNCTION("""COMPUTED_VALUE"""),2)</f>
        <v>2</v>
      </c>
      <c r="J1511" s="5">
        <f ca="1">IFERROR(__xludf.DUMMYFUNCTION("""COMPUTED_VALUE"""),0)</f>
        <v>0</v>
      </c>
      <c r="K1511" s="9" t="str">
        <f ca="1">IFERROR(__xludf.DUMMYFUNCTION("""COMPUTED_VALUE"""),"https://www.eastbaytimes.com/2004/06/10/castlemont-pupils-shot-in-drive-by/")</f>
        <v>https://www.eastbaytimes.com/2004/06/10/castlemont-pupils-shot-in-drive-by/</v>
      </c>
      <c r="L1511" s="5"/>
      <c r="M1511" s="5"/>
      <c r="N1511" s="5">
        <f ca="1">IFERROR(__xludf.DUMMYFUNCTION("""COMPUTED_VALUE"""),2)</f>
        <v>2</v>
      </c>
      <c r="O1511" s="5" t="str">
        <f ca="1">IFERROR(__xludf.DUMMYFUNCTION("""COMPUTED_VALUE"""),"Summer")</f>
        <v>Summer</v>
      </c>
      <c r="P1511" s="5" t="str">
        <f ca="1">IFERROR(__xludf.DUMMYFUNCTION("""COMPUTED_VALUE"""),"Oakland")</f>
        <v>Oakland</v>
      </c>
      <c r="Q1511" s="5" t="str">
        <f ca="1">IFERROR(__xludf.DUMMYFUNCTION("""COMPUTED_VALUE"""),"CA")</f>
        <v>CA</v>
      </c>
      <c r="R1511" s="5" t="str">
        <f ca="1">IFERROR(__xludf.DUMMYFUNCTION("""COMPUTED_VALUE"""),"High")</f>
        <v>High</v>
      </c>
      <c r="S1511" s="5" t="str">
        <f ca="1">IFERROR(__xludf.DUMMYFUNCTION("""COMPUTED_VALUE"""),"Front of School")</f>
        <v>Front of School</v>
      </c>
      <c r="T1511" s="5" t="str">
        <f ca="1">IFERROR(__xludf.DUMMYFUNCTION("""COMPUTED_VALUE"""),"Outside on School Property")</f>
        <v>Outside on School Property</v>
      </c>
      <c r="U1511" s="5" t="str">
        <f ca="1">IFERROR(__xludf.DUMMYFUNCTION("""COMPUTED_VALUE"""),"Yes")</f>
        <v>Yes</v>
      </c>
      <c r="V1511" s="5" t="str">
        <f ca="1">IFERROR(__xludf.DUMMYFUNCTION("""COMPUTED_VALUE"""),"Afternoon Classes")</f>
        <v>Afternoon Classes</v>
      </c>
      <c r="W1511" s="10">
        <f ca="1">IFERROR(__xludf.DUMMYFUNCTION("""COMPUTED_VALUE"""),0.515277777777777)</f>
        <v>0.51527777777777695</v>
      </c>
      <c r="X1511" s="5">
        <f ca="1">IFERROR(__xludf.DUMMYFUNCTION("""COMPUTED_VALUE"""),1)</f>
        <v>1</v>
      </c>
      <c r="Y1511" s="5" t="str">
        <f ca="1">IFERROR(__xludf.DUMMYFUNCTION("""COMPUTED_VALUE"""),"Gang-related drive-by in retaliation for prior fight")</f>
        <v>Gang-related drive-by in retaliation for prior fight</v>
      </c>
      <c r="Z1511" s="5" t="str">
        <f ca="1">IFERROR(__xludf.DUMMYFUNCTION("""COMPUTED_VALUE"""),"Group of students outside of school flashed gang signs and threw bottles at a passing car. The car stopped and fired multiple shot striking two students then fled the area. Police said the shooting was gang related.")</f>
        <v>Group of students outside of school flashed gang signs and threw bottles at a passing car. The car stopped and fired multiple shot striking two students then fled the area. Police said the shooting was gang related.</v>
      </c>
      <c r="AA1511" s="5" t="str">
        <f ca="1">IFERROR(__xludf.DUMMYFUNCTION("""COMPUTED_VALUE"""),"Drive-by Shooting")</f>
        <v>Drive-by Shooting</v>
      </c>
      <c r="AB1511" s="5" t="str">
        <f ca="1">IFERROR(__xludf.DUMMYFUNCTION("""COMPUTED_VALUE"""),"Victims Targeted")</f>
        <v>Victims Targeted</v>
      </c>
      <c r="AC1511" s="5" t="str">
        <f ca="1">IFERROR(__xludf.DUMMYFUNCTION("""COMPUTED_VALUE"""),"Yes")</f>
        <v>Yes</v>
      </c>
      <c r="AD1511" s="5" t="str">
        <f ca="1">IFERROR(__xludf.DUMMYFUNCTION("""COMPUTED_VALUE"""),"No")</f>
        <v>No</v>
      </c>
      <c r="AE1511" s="5" t="str">
        <f ca="1">IFERROR(__xludf.DUMMYFUNCTION("""COMPUTED_VALUE"""),"No")</f>
        <v>No</v>
      </c>
      <c r="AF1511" s="5" t="str">
        <f ca="1">IFERROR(__xludf.DUMMYFUNCTION("""COMPUTED_VALUE"""),"No")</f>
        <v>No</v>
      </c>
      <c r="AG1511" s="5" t="str">
        <f ca="1">IFERROR(__xludf.DUMMYFUNCTION("""COMPUTED_VALUE"""),"No")</f>
        <v>No</v>
      </c>
      <c r="AH1511" s="5" t="str">
        <f ca="1">IFERROR(__xludf.DUMMYFUNCTION("""COMPUTED_VALUE"""),"No")</f>
        <v>No</v>
      </c>
      <c r="AI1511" s="5" t="str">
        <f ca="1">IFERROR(__xludf.DUMMYFUNCTION("""COMPUTED_VALUE"""),"Yes")</f>
        <v>Yes</v>
      </c>
      <c r="AJ1511" s="5"/>
    </row>
    <row r="1512" spans="1:36" ht="13">
      <c r="A1512" s="5" t="str">
        <f ca="1">IFERROR(__xludf.DUMMYFUNCTION("""COMPUTED_VALUE"""),"20040524UTWES")</f>
        <v>20040524UTWES</v>
      </c>
      <c r="B1512" s="5">
        <f ca="1">IFERROR(__xludf.DUMMYFUNCTION("""COMPUTED_VALUE"""),5)</f>
        <v>5</v>
      </c>
      <c r="C1512" s="5">
        <f ca="1">IFERROR(__xludf.DUMMYFUNCTION("""COMPUTED_VALUE"""),24)</f>
        <v>24</v>
      </c>
      <c r="D1512" s="5">
        <f ca="1">IFERROR(__xludf.DUMMYFUNCTION("""COMPUTED_VALUE"""),2004)</f>
        <v>2004</v>
      </c>
      <c r="E1512" s="8">
        <f ca="1">IFERROR(__xludf.DUMMYFUNCTION("""COMPUTED_VALUE"""),38131)</f>
        <v>38131</v>
      </c>
      <c r="F1512" s="5" t="str">
        <f ca="1">IFERROR(__xludf.DUMMYFUNCTION("""COMPUTED_VALUE"""),"West High School")</f>
        <v>West High School</v>
      </c>
      <c r="G1512" s="5">
        <f ca="1">IFERROR(__xludf.DUMMYFUNCTION("""COMPUTED_VALUE"""),1)</f>
        <v>1</v>
      </c>
      <c r="H1512" s="5">
        <f ca="1">IFERROR(__xludf.DUMMYFUNCTION("""COMPUTED_VALUE"""),0)</f>
        <v>0</v>
      </c>
      <c r="I1512" s="5">
        <f ca="1">IFERROR(__xludf.DUMMYFUNCTION("""COMPUTED_VALUE"""),1)</f>
        <v>1</v>
      </c>
      <c r="J1512" s="5">
        <f ca="1">IFERROR(__xludf.DUMMYFUNCTION("""COMPUTED_VALUE"""),1)</f>
        <v>1</v>
      </c>
      <c r="K1512" s="9" t="str">
        <f ca="1">IFERROR(__xludf.DUMMYFUNCTION("""COMPUTED_VALUE"""),"https://www.deseretnews.com/article/595065631/Man-kills-wife-self-at-West-High.html")</f>
        <v>https://www.deseretnews.com/article/595065631/Man-kills-wife-self-at-West-High.html</v>
      </c>
      <c r="L1512" s="5"/>
      <c r="M1512" s="5"/>
      <c r="N1512" s="5">
        <f ca="1">IFERROR(__xludf.DUMMYFUNCTION("""COMPUTED_VALUE"""),2)</f>
        <v>2</v>
      </c>
      <c r="O1512" s="5" t="str">
        <f ca="1">IFERROR(__xludf.DUMMYFUNCTION("""COMPUTED_VALUE"""),"Spring")</f>
        <v>Spring</v>
      </c>
      <c r="P1512" s="5" t="str">
        <f ca="1">IFERROR(__xludf.DUMMYFUNCTION("""COMPUTED_VALUE"""),"Salt Lake City")</f>
        <v>Salt Lake City</v>
      </c>
      <c r="Q1512" s="5" t="str">
        <f ca="1">IFERROR(__xludf.DUMMYFUNCTION("""COMPUTED_VALUE"""),"UT")</f>
        <v>UT</v>
      </c>
      <c r="R1512" s="5" t="str">
        <f ca="1">IFERROR(__xludf.DUMMYFUNCTION("""COMPUTED_VALUE"""),"High")</f>
        <v>High</v>
      </c>
      <c r="S1512" s="5" t="str">
        <f ca="1">IFERROR(__xludf.DUMMYFUNCTION("""COMPUTED_VALUE"""),"Parking Lot")</f>
        <v>Parking Lot</v>
      </c>
      <c r="T1512" s="5" t="str">
        <f ca="1">IFERROR(__xludf.DUMMYFUNCTION("""COMPUTED_VALUE"""),"Outside on School Property")</f>
        <v>Outside on School Property</v>
      </c>
      <c r="U1512" s="5" t="str">
        <f ca="1">IFERROR(__xludf.DUMMYFUNCTION("""COMPUTED_VALUE"""),"No")</f>
        <v>No</v>
      </c>
      <c r="V1512" s="5" t="str">
        <f ca="1">IFERROR(__xludf.DUMMYFUNCTION("""COMPUTED_VALUE"""),"Before School")</f>
        <v>Before School</v>
      </c>
      <c r="W1512" s="10">
        <f ca="1">IFERROR(__xludf.DUMMYFUNCTION("""COMPUTED_VALUE"""),0.25)</f>
        <v>0.25</v>
      </c>
      <c r="X1512" s="5">
        <f ca="1">IFERROR(__xludf.DUMMYFUNCTION("""COMPUTED_VALUE"""),1)</f>
        <v>1</v>
      </c>
      <c r="Y1512" s="5" t="str">
        <f ca="1">IFERROR(__xludf.DUMMYFUNCTION("""COMPUTED_VALUE"""),"Murder suicide of husband killing wife (cafeteria worker)")</f>
        <v>Murder suicide of husband killing wife (cafeteria worker)</v>
      </c>
      <c r="Z1512" s="5" t="str">
        <f ca="1">IFERROR(__xludf.DUMMYFUNCTION("""COMPUTED_VALUE"""),"52YOM shot and killed his 39YOF estranged wife in the parking lot at 6:00 AM. She worked in the cafeteria. No students were present. Shooter immediately commit suicide after shooting her.")</f>
        <v>52YOM shot and killed his 39YOF estranged wife in the parking lot at 6:00 AM. She worked in the cafeteria. No students were present. Shooter immediately commit suicide after shooting her.</v>
      </c>
      <c r="AA1512" s="5" t="str">
        <f ca="1">IFERROR(__xludf.DUMMYFUNCTION("""COMPUTED_VALUE"""),"Murder/Suicide")</f>
        <v>Murder/Suicide</v>
      </c>
      <c r="AB1512" s="5" t="str">
        <f ca="1">IFERROR(__xludf.DUMMYFUNCTION("""COMPUTED_VALUE"""),"Victims Targeted")</f>
        <v>Victims Targeted</v>
      </c>
      <c r="AC1512" s="5" t="str">
        <f ca="1">IFERROR(__xludf.DUMMYFUNCTION("""COMPUTED_VALUE"""),"No")</f>
        <v>No</v>
      </c>
      <c r="AD1512" s="5" t="str">
        <f ca="1">IFERROR(__xludf.DUMMYFUNCTION("""COMPUTED_VALUE"""),"No")</f>
        <v>No</v>
      </c>
      <c r="AE1512" s="5" t="str">
        <f ca="1">IFERROR(__xludf.DUMMYFUNCTION("""COMPUTED_VALUE"""),"No")</f>
        <v>No</v>
      </c>
      <c r="AF1512" s="5" t="str">
        <f ca="1">IFERROR(__xludf.DUMMYFUNCTION("""COMPUTED_VALUE"""),"No")</f>
        <v>No</v>
      </c>
      <c r="AG1512" s="5" t="str">
        <f ca="1">IFERROR(__xludf.DUMMYFUNCTION("""COMPUTED_VALUE"""),"No")</f>
        <v>No</v>
      </c>
      <c r="AH1512" s="5" t="str">
        <f ca="1">IFERROR(__xludf.DUMMYFUNCTION("""COMPUTED_VALUE"""),"Yes")</f>
        <v>Yes</v>
      </c>
      <c r="AI1512" s="5" t="str">
        <f ca="1">IFERROR(__xludf.DUMMYFUNCTION("""COMPUTED_VALUE"""),"No")</f>
        <v>No</v>
      </c>
      <c r="AJ1512" s="5"/>
    </row>
    <row r="1513" spans="1:36" ht="13">
      <c r="A1513" s="5" t="str">
        <f ca="1">IFERROR(__xludf.DUMMYFUNCTION("""COMPUTED_VALUE"""),"20040512CAEAM")</f>
        <v>20040512CAEAM</v>
      </c>
      <c r="B1513" s="5">
        <f ca="1">IFERROR(__xludf.DUMMYFUNCTION("""COMPUTED_VALUE"""),5)</f>
        <v>5</v>
      </c>
      <c r="C1513" s="5">
        <f ca="1">IFERROR(__xludf.DUMMYFUNCTION("""COMPUTED_VALUE"""),12)</f>
        <v>12</v>
      </c>
      <c r="D1513" s="5">
        <f ca="1">IFERROR(__xludf.DUMMYFUNCTION("""COMPUTED_VALUE"""),2004)</f>
        <v>2004</v>
      </c>
      <c r="E1513" s="8">
        <f ca="1">IFERROR(__xludf.DUMMYFUNCTION("""COMPUTED_VALUE"""),38119)</f>
        <v>38119</v>
      </c>
      <c r="F1513" s="5" t="str">
        <f ca="1">IFERROR(__xludf.DUMMYFUNCTION("""COMPUTED_VALUE"""),"East Campus Educational Center")</f>
        <v>East Campus Educational Center</v>
      </c>
      <c r="G1513" s="5">
        <f ca="1">IFERROR(__xludf.DUMMYFUNCTION("""COMPUTED_VALUE"""),0)</f>
        <v>0</v>
      </c>
      <c r="H1513" s="5">
        <f ca="1">IFERROR(__xludf.DUMMYFUNCTION("""COMPUTED_VALUE"""),2)</f>
        <v>2</v>
      </c>
      <c r="I1513" s="5">
        <f ca="1">IFERROR(__xludf.DUMMYFUNCTION("""COMPUTED_VALUE"""),2)</f>
        <v>2</v>
      </c>
      <c r="J1513" s="5">
        <f ca="1">IFERROR(__xludf.DUMMYFUNCTION("""COMPUTED_VALUE"""),0)</f>
        <v>0</v>
      </c>
      <c r="K1513" s="9" t="str">
        <f ca="1">IFERROR(__xludf.DUMMYFUNCTION("""COMPUTED_VALUE"""),"https://www.newspapers.com/image/285023326/?terms=East%2BCampus%2BEducational%2BCenter%2BJulio%2BNajar")</f>
        <v>https://www.newspapers.com/image/285023326/?terms=East%2BCampus%2BEducational%2BCenter%2BJulio%2BNajar</v>
      </c>
      <c r="L1513" s="5"/>
      <c r="M1513" s="5"/>
      <c r="N1513" s="5">
        <f ca="1">IFERROR(__xludf.DUMMYFUNCTION("""COMPUTED_VALUE"""),2)</f>
        <v>2</v>
      </c>
      <c r="O1513" s="5" t="str">
        <f ca="1">IFERROR(__xludf.DUMMYFUNCTION("""COMPUTED_VALUE"""),"Spring")</f>
        <v>Spring</v>
      </c>
      <c r="P1513" s="5" t="str">
        <f ca="1">IFERROR(__xludf.DUMMYFUNCTION("""COMPUTED_VALUE"""),"Merced")</f>
        <v>Merced</v>
      </c>
      <c r="Q1513" s="5" t="str">
        <f ca="1">IFERROR(__xludf.DUMMYFUNCTION("""COMPUTED_VALUE"""),"CA")</f>
        <v>CA</v>
      </c>
      <c r="R1513" s="5" t="str">
        <f ca="1">IFERROR(__xludf.DUMMYFUNCTION("""COMPUTED_VALUE"""),"K-12")</f>
        <v>K-12</v>
      </c>
      <c r="S1513" s="5" t="str">
        <f ca="1">IFERROR(__xludf.DUMMYFUNCTION("""COMPUTED_VALUE"""),"Beside Building")</f>
        <v>Beside Building</v>
      </c>
      <c r="T1513" s="5" t="str">
        <f ca="1">IFERROR(__xludf.DUMMYFUNCTION("""COMPUTED_VALUE"""),"Outside on School Property")</f>
        <v>Outside on School Property</v>
      </c>
      <c r="U1513" s="5" t="str">
        <f ca="1">IFERROR(__xludf.DUMMYFUNCTION("""COMPUTED_VALUE"""),"No")</f>
        <v>No</v>
      </c>
      <c r="V1513" s="5" t="str">
        <f ca="1">IFERROR(__xludf.DUMMYFUNCTION("""COMPUTED_VALUE"""),"Evening")</f>
        <v>Evening</v>
      </c>
      <c r="W1513" s="10">
        <f ca="1">IFERROR(__xludf.DUMMYFUNCTION("""COMPUTED_VALUE"""),0.725694444444444)</f>
        <v>0.72569444444444398</v>
      </c>
      <c r="X1513" s="5">
        <f ca="1">IFERROR(__xludf.DUMMYFUNCTION("""COMPUTED_VALUE"""),1)</f>
        <v>1</v>
      </c>
      <c r="Y1513" s="5" t="str">
        <f ca="1">IFERROR(__xludf.DUMMYFUNCTION("""COMPUTED_VALUE"""),"Gang related shooting outside of school, bystander female student struck")</f>
        <v>Gang related shooting outside of school, bystander female student struck</v>
      </c>
      <c r="Z1513" s="5" t="str">
        <f ca="1">IFERROR(__xludf.DUMMYFUNCTION("""COMPUTED_VALUE"""),"19YOM was shot during confrontation with 3 gang members. Female student was also struck. All three gang members fled and were arrested.")</f>
        <v>19YOM was shot during confrontation with 3 gang members. Female student was also struck. All three gang members fled and were arrested.</v>
      </c>
      <c r="AA1513" s="5" t="str">
        <f ca="1">IFERROR(__xludf.DUMMYFUNCTION("""COMPUTED_VALUE"""),"Escalation of Dispute")</f>
        <v>Escalation of Dispute</v>
      </c>
      <c r="AB1513" s="5" t="str">
        <f ca="1">IFERROR(__xludf.DUMMYFUNCTION("""COMPUTED_VALUE"""),"Both")</f>
        <v>Both</v>
      </c>
      <c r="AC1513" s="5" t="str">
        <f ca="1">IFERROR(__xludf.DUMMYFUNCTION("""COMPUTED_VALUE"""),"Yes")</f>
        <v>Yes</v>
      </c>
      <c r="AD1513" s="5" t="str">
        <f ca="1">IFERROR(__xludf.DUMMYFUNCTION("""COMPUTED_VALUE"""),"No")</f>
        <v>No</v>
      </c>
      <c r="AE1513" s="5" t="str">
        <f ca="1">IFERROR(__xludf.DUMMYFUNCTION("""COMPUTED_VALUE"""),"No")</f>
        <v>No</v>
      </c>
      <c r="AF1513" s="5" t="str">
        <f ca="1">IFERROR(__xludf.DUMMYFUNCTION("""COMPUTED_VALUE"""),"No")</f>
        <v>No</v>
      </c>
      <c r="AG1513" s="5" t="str">
        <f ca="1">IFERROR(__xludf.DUMMYFUNCTION("""COMPUTED_VALUE"""),"No")</f>
        <v>No</v>
      </c>
      <c r="AH1513" s="5" t="str">
        <f ca="1">IFERROR(__xludf.DUMMYFUNCTION("""COMPUTED_VALUE"""),"No")</f>
        <v>No</v>
      </c>
      <c r="AI1513" s="5" t="str">
        <f ca="1">IFERROR(__xludf.DUMMYFUNCTION("""COMPUTED_VALUE"""),"Yes")</f>
        <v>Yes</v>
      </c>
      <c r="AJ1513" s="5"/>
    </row>
    <row r="1514" spans="1:36" ht="13">
      <c r="A1514" s="5" t="str">
        <f ca="1">IFERROR(__xludf.DUMMYFUNCTION("""COMPUTED_VALUE"""),"20040507MDRAR")</f>
        <v>20040507MDRAR</v>
      </c>
      <c r="B1514" s="5">
        <f ca="1">IFERROR(__xludf.DUMMYFUNCTION("""COMPUTED_VALUE"""),5)</f>
        <v>5</v>
      </c>
      <c r="C1514" s="5">
        <f ca="1">IFERROR(__xludf.DUMMYFUNCTION("""COMPUTED_VALUE"""),7)</f>
        <v>7</v>
      </c>
      <c r="D1514" s="5">
        <f ca="1">IFERROR(__xludf.DUMMYFUNCTION("""COMPUTED_VALUE"""),2004)</f>
        <v>2004</v>
      </c>
      <c r="E1514" s="8">
        <f ca="1">IFERROR(__xludf.DUMMYFUNCTION("""COMPUTED_VALUE"""),38114)</f>
        <v>38114</v>
      </c>
      <c r="F1514" s="5" t="str">
        <f ca="1">IFERROR(__xludf.DUMMYFUNCTION("""COMPUTED_VALUE"""),"Randallstown High School")</f>
        <v>Randallstown High School</v>
      </c>
      <c r="G1514" s="5">
        <f ca="1">IFERROR(__xludf.DUMMYFUNCTION("""COMPUTED_VALUE"""),0)</f>
        <v>0</v>
      </c>
      <c r="H1514" s="5">
        <f ca="1">IFERROR(__xludf.DUMMYFUNCTION("""COMPUTED_VALUE"""),4)</f>
        <v>4</v>
      </c>
      <c r="I1514" s="5">
        <f ca="1">IFERROR(__xludf.DUMMYFUNCTION("""COMPUTED_VALUE"""),4)</f>
        <v>4</v>
      </c>
      <c r="J1514" s="5">
        <f ca="1">IFERROR(__xludf.DUMMYFUNCTION("""COMPUTED_VALUE"""),0)</f>
        <v>0</v>
      </c>
      <c r="K1514" s="5" t="str">
        <f ca="1">IFERROR(__xludf.DUMMYFUNCTION("""COMPUTED_VALUE"""),"http://www.baltimoresun.com/bal-te.randallstown28jan28-story.html
https://thedailyrecord.com/2013/07/15/randallstown-high-school-shooting-victim-awarded-21m-in-damages/")</f>
        <v>http://www.baltimoresun.com/bal-te.randallstown28jan28-story.html
https://thedailyrecord.com/2013/07/15/randallstown-high-school-shooting-victim-awarded-21m-in-damages/</v>
      </c>
      <c r="L1514" s="5"/>
      <c r="M1514" s="5"/>
      <c r="N1514" s="5">
        <f ca="1">IFERROR(__xludf.DUMMYFUNCTION("""COMPUTED_VALUE"""),2)</f>
        <v>2</v>
      </c>
      <c r="O1514" s="5" t="str">
        <f ca="1">IFERROR(__xludf.DUMMYFUNCTION("""COMPUTED_VALUE"""),"Spring")</f>
        <v>Spring</v>
      </c>
      <c r="P1514" s="5" t="str">
        <f ca="1">IFERROR(__xludf.DUMMYFUNCTION("""COMPUTED_VALUE"""),"Randallstown")</f>
        <v>Randallstown</v>
      </c>
      <c r="Q1514" s="5" t="str">
        <f ca="1">IFERROR(__xludf.DUMMYFUNCTION("""COMPUTED_VALUE"""),"MD")</f>
        <v>MD</v>
      </c>
      <c r="R1514" s="5" t="str">
        <f ca="1">IFERROR(__xludf.DUMMYFUNCTION("""COMPUTED_VALUE"""),"High")</f>
        <v>High</v>
      </c>
      <c r="S1514" s="5" t="str">
        <f ca="1">IFERROR(__xludf.DUMMYFUNCTION("""COMPUTED_VALUE"""),"Basketball Court")</f>
        <v>Basketball Court</v>
      </c>
      <c r="T1514" s="5" t="str">
        <f ca="1">IFERROR(__xludf.DUMMYFUNCTION("""COMPUTED_VALUE"""),"Outside on School Property")</f>
        <v>Outside on School Property</v>
      </c>
      <c r="U1514" s="5" t="str">
        <f ca="1">IFERROR(__xludf.DUMMYFUNCTION("""COMPUTED_VALUE"""),"No")</f>
        <v>No</v>
      </c>
      <c r="V1514" s="5" t="str">
        <f ca="1">IFERROR(__xludf.DUMMYFUNCTION("""COMPUTED_VALUE"""),"After School")</f>
        <v>After School</v>
      </c>
      <c r="W1514" s="10">
        <f ca="1">IFERROR(__xludf.DUMMYFUNCTION("""COMPUTED_VALUE"""),0.6875)</f>
        <v>0.6875</v>
      </c>
      <c r="X1514" s="5">
        <f ca="1">IFERROR(__xludf.DUMMYFUNCTION("""COMPUTED_VALUE"""),1)</f>
        <v>1</v>
      </c>
      <c r="Y1514" s="5" t="str">
        <f ca="1">IFERROR(__xludf.DUMMYFUNCTION("""COMPUTED_VALUE"""),"Fight after basketball game")</f>
        <v>Fight after basketball game</v>
      </c>
      <c r="Z1514" s="5" t="str">
        <f ca="1">IFERROR(__xludf.DUMMYFUNCTION("""COMPUTED_VALUE"""),"Rival groups of students had multiple fights during the week leading up to a charity basketball game. After the basketball game, a fist fight started and escalated into a shooting. The shooter fired multiple shots into the crowd injuring multiple uninvolv"&amp;"ed students. School administrators were aware of the brewing violence between the groups and had attempted to de-escalate them during the week.")</f>
        <v>Rival groups of students had multiple fights during the week leading up to a charity basketball game. After the basketball game, a fist fight started and escalated into a shooting. The shooter fired multiple shots into the crowd injuring multiple uninvolved students. School administrators were aware of the brewing violence between the groups and had attempted to de-escalate them during the week.</v>
      </c>
      <c r="AA1514" s="5" t="str">
        <f ca="1">IFERROR(__xludf.DUMMYFUNCTION("""COMPUTED_VALUE"""),"Escalation of Dispute")</f>
        <v>Escalation of Dispute</v>
      </c>
      <c r="AB1514" s="5" t="str">
        <f ca="1">IFERROR(__xludf.DUMMYFUNCTION("""COMPUTED_VALUE"""),"Both")</f>
        <v>Both</v>
      </c>
      <c r="AC1514" s="5" t="str">
        <f ca="1">IFERROR(__xludf.DUMMYFUNCTION("""COMPUTED_VALUE"""),"Yes")</f>
        <v>Yes</v>
      </c>
      <c r="AD1514" s="5" t="str">
        <f ca="1">IFERROR(__xludf.DUMMYFUNCTION("""COMPUTED_VALUE"""),"No")</f>
        <v>No</v>
      </c>
      <c r="AE1514" s="5" t="str">
        <f ca="1">IFERROR(__xludf.DUMMYFUNCTION("""COMPUTED_VALUE"""),"No")</f>
        <v>No</v>
      </c>
      <c r="AF1514" s="5" t="str">
        <f ca="1">IFERROR(__xludf.DUMMYFUNCTION("""COMPUTED_VALUE"""),"No")</f>
        <v>No</v>
      </c>
      <c r="AG1514" s="5" t="str">
        <f ca="1">IFERROR(__xludf.DUMMYFUNCTION("""COMPUTED_VALUE"""),"No")</f>
        <v>No</v>
      </c>
      <c r="AH1514" s="5" t="str">
        <f ca="1">IFERROR(__xludf.DUMMYFUNCTION("""COMPUTED_VALUE"""),"No")</f>
        <v>No</v>
      </c>
      <c r="AI1514" s="5" t="str">
        <f ca="1">IFERROR(__xludf.DUMMYFUNCTION("""COMPUTED_VALUE"""),"Yes")</f>
        <v>Yes</v>
      </c>
      <c r="AJ1514" s="5"/>
    </row>
    <row r="1515" spans="1:36" ht="13">
      <c r="A1515" s="5" t="str">
        <f ca="1">IFERROR(__xludf.DUMMYFUNCTION("""COMPUTED_VALUE"""),"20040504TXKAH")</f>
        <v>20040504TXKAH</v>
      </c>
      <c r="B1515" s="5">
        <f ca="1">IFERROR(__xludf.DUMMYFUNCTION("""COMPUTED_VALUE"""),5)</f>
        <v>5</v>
      </c>
      <c r="C1515" s="5">
        <f ca="1">IFERROR(__xludf.DUMMYFUNCTION("""COMPUTED_VALUE"""),4)</f>
        <v>4</v>
      </c>
      <c r="D1515" s="5">
        <f ca="1">IFERROR(__xludf.DUMMYFUNCTION("""COMPUTED_VALUE"""),2004)</f>
        <v>2004</v>
      </c>
      <c r="E1515" s="8">
        <f ca="1">IFERROR(__xludf.DUMMYFUNCTION("""COMPUTED_VALUE"""),38111)</f>
        <v>38111</v>
      </c>
      <c r="F1515" s="5" t="str">
        <f ca="1">IFERROR(__xludf.DUMMYFUNCTION("""COMPUTED_VALUE"""),"Kashmere High School")</f>
        <v>Kashmere High School</v>
      </c>
      <c r="G1515" s="5">
        <f ca="1">IFERROR(__xludf.DUMMYFUNCTION("""COMPUTED_VALUE"""),0)</f>
        <v>0</v>
      </c>
      <c r="H1515" s="5">
        <f ca="1">IFERROR(__xludf.DUMMYFUNCTION("""COMPUTED_VALUE"""),0)</f>
        <v>0</v>
      </c>
      <c r="I1515" s="5">
        <f ca="1">IFERROR(__xludf.DUMMYFUNCTION("""COMPUTED_VALUE"""),0)</f>
        <v>0</v>
      </c>
      <c r="J1515" s="5">
        <f ca="1">IFERROR(__xludf.DUMMYFUNCTION("""COMPUTED_VALUE"""),0)</f>
        <v>0</v>
      </c>
      <c r="K1515" s="9" t="str">
        <f ca="1">IFERROR(__xludf.DUMMYFUNCTION("""COMPUTED_VALUE"""),"https://www.chron.com/news/houston-texas/article/Gunfire-but-no-injuries-at-Kashmere-High-School-1651100.php")</f>
        <v>https://www.chron.com/news/houston-texas/article/Gunfire-but-no-injuries-at-Kashmere-High-School-1651100.php</v>
      </c>
      <c r="L1515" s="5"/>
      <c r="M1515" s="5"/>
      <c r="N1515" s="5">
        <f ca="1">IFERROR(__xludf.DUMMYFUNCTION("""COMPUTED_VALUE"""),2)</f>
        <v>2</v>
      </c>
      <c r="O1515" s="5" t="str">
        <f ca="1">IFERROR(__xludf.DUMMYFUNCTION("""COMPUTED_VALUE"""),"Spring")</f>
        <v>Spring</v>
      </c>
      <c r="P1515" s="5" t="str">
        <f ca="1">IFERROR(__xludf.DUMMYFUNCTION("""COMPUTED_VALUE"""),"Houston")</f>
        <v>Houston</v>
      </c>
      <c r="Q1515" s="5" t="str">
        <f ca="1">IFERROR(__xludf.DUMMYFUNCTION("""COMPUTED_VALUE"""),"TX")</f>
        <v>TX</v>
      </c>
      <c r="R1515" s="5" t="str">
        <f ca="1">IFERROR(__xludf.DUMMYFUNCTION("""COMPUTED_VALUE"""),"High")</f>
        <v>High</v>
      </c>
      <c r="S1515" s="5" t="str">
        <f ca="1">IFERROR(__xludf.DUMMYFUNCTION("""COMPUTED_VALUE"""),"Beside Building")</f>
        <v>Beside Building</v>
      </c>
      <c r="T1515" s="5" t="str">
        <f ca="1">IFERROR(__xludf.DUMMYFUNCTION("""COMPUTED_VALUE"""),"Outside on School Property")</f>
        <v>Outside on School Property</v>
      </c>
      <c r="U1515" s="5" t="str">
        <f ca="1">IFERROR(__xludf.DUMMYFUNCTION("""COMPUTED_VALUE"""),"Yes")</f>
        <v>Yes</v>
      </c>
      <c r="V1515" s="5" t="str">
        <f ca="1">IFERROR(__xludf.DUMMYFUNCTION("""COMPUTED_VALUE"""),"Morning Classes")</f>
        <v>Morning Classes</v>
      </c>
      <c r="W1515" s="10">
        <f ca="1">IFERROR(__xludf.DUMMYFUNCTION("""COMPUTED_VALUE"""),0.333333333333333)</f>
        <v>0.33333333333333298</v>
      </c>
      <c r="X1515" s="5">
        <f ca="1">IFERROR(__xludf.DUMMYFUNCTION("""COMPUTED_VALUE"""),1)</f>
        <v>1</v>
      </c>
      <c r="Y1515" s="5" t="str">
        <f ca="1">IFERROR(__xludf.DUMMYFUNCTION("""COMPUTED_VALUE"""),"Multiple shots fired outside of school, no injuries")</f>
        <v>Multiple shots fired outside of school, no injuries</v>
      </c>
      <c r="Z1515" s="5" t="str">
        <f ca="1">IFERROR(__xludf.DUMMYFUNCTION("""COMPUTED_VALUE"""),"Unknown teen fired multiple shots outside of the school and then fled. No students were injured but school was locked down for 3.5 hours.")</f>
        <v>Unknown teen fired multiple shots outside of the school and then fled. No students were injured but school was locked down for 3.5 hours.</v>
      </c>
      <c r="AA1515" s="5" t="str">
        <f ca="1">IFERROR(__xludf.DUMMYFUNCTION("""COMPUTED_VALUE"""),"Unknown")</f>
        <v>Unknown</v>
      </c>
      <c r="AB1515" s="5"/>
      <c r="AC1515" s="5" t="str">
        <f ca="1">IFERROR(__xludf.DUMMYFUNCTION("""COMPUTED_VALUE"""),"No")</f>
        <v>No</v>
      </c>
      <c r="AD1515" s="5" t="str">
        <f ca="1">IFERROR(__xludf.DUMMYFUNCTION("""COMPUTED_VALUE"""),"No")</f>
        <v>No</v>
      </c>
      <c r="AE1515" s="5" t="str">
        <f ca="1">IFERROR(__xludf.DUMMYFUNCTION("""COMPUTED_VALUE"""),"No")</f>
        <v>No</v>
      </c>
      <c r="AF1515" s="5" t="str">
        <f ca="1">IFERROR(__xludf.DUMMYFUNCTION("""COMPUTED_VALUE"""),"No")</f>
        <v>No</v>
      </c>
      <c r="AG1515" s="5"/>
      <c r="AH1515" s="5"/>
      <c r="AI1515" s="5"/>
      <c r="AJ1515" s="5"/>
    </row>
    <row r="1516" spans="1:36" ht="13">
      <c r="A1516" s="5" t="str">
        <f ca="1">IFERROR(__xludf.DUMMYFUNCTION("""COMPUTED_VALUE"""),"20040317WACRJ")</f>
        <v>20040317WACRJ</v>
      </c>
      <c r="B1516" s="5">
        <f ca="1">IFERROR(__xludf.DUMMYFUNCTION("""COMPUTED_VALUE"""),3)</f>
        <v>3</v>
      </c>
      <c r="C1516" s="5">
        <f ca="1">IFERROR(__xludf.DUMMYFUNCTION("""COMPUTED_VALUE"""),17)</f>
        <v>17</v>
      </c>
      <c r="D1516" s="5">
        <f ca="1">IFERROR(__xludf.DUMMYFUNCTION("""COMPUTED_VALUE"""),2004)</f>
        <v>2004</v>
      </c>
      <c r="E1516" s="8">
        <f ca="1">IFERROR(__xludf.DUMMYFUNCTION("""COMPUTED_VALUE"""),38063)</f>
        <v>38063</v>
      </c>
      <c r="F1516" s="5" t="str">
        <f ca="1">IFERROR(__xludf.DUMMYFUNCTION("""COMPUTED_VALUE"""),"Crescent Junior-Senior High School")</f>
        <v>Crescent Junior-Senior High School</v>
      </c>
      <c r="G1516" s="5">
        <f ca="1">IFERROR(__xludf.DUMMYFUNCTION("""COMPUTED_VALUE"""),0)</f>
        <v>0</v>
      </c>
      <c r="H1516" s="5">
        <f ca="1">IFERROR(__xludf.DUMMYFUNCTION("""COMPUTED_VALUE"""),0)</f>
        <v>0</v>
      </c>
      <c r="I1516" s="5">
        <f ca="1">IFERROR(__xludf.DUMMYFUNCTION("""COMPUTED_VALUE"""),0)</f>
        <v>0</v>
      </c>
      <c r="J1516" s="5">
        <f ca="1">IFERROR(__xludf.DUMMYFUNCTION("""COMPUTED_VALUE"""),1)</f>
        <v>1</v>
      </c>
      <c r="K1516" s="9" t="str">
        <f ca="1">IFERROR(__xludf.DUMMYFUNCTION("""COMPUTED_VALUE"""),"http://community.seattletimes.nwsource.com/archive/?date=20040319&amp;slug=boyshot19m")</f>
        <v>http://community.seattletimes.nwsource.com/archive/?date=20040319&amp;slug=boyshot19m</v>
      </c>
      <c r="L1516" s="5"/>
      <c r="M1516" s="5"/>
      <c r="N1516" s="5">
        <f ca="1">IFERROR(__xludf.DUMMYFUNCTION("""COMPUTED_VALUE"""),2)</f>
        <v>2</v>
      </c>
      <c r="O1516" s="5" t="str">
        <f ca="1">IFERROR(__xludf.DUMMYFUNCTION("""COMPUTED_VALUE"""),"Spring")</f>
        <v>Spring</v>
      </c>
      <c r="P1516" s="5" t="str">
        <f ca="1">IFERROR(__xludf.DUMMYFUNCTION("""COMPUTED_VALUE"""),"Joyce")</f>
        <v>Joyce</v>
      </c>
      <c r="Q1516" s="5" t="str">
        <f ca="1">IFERROR(__xludf.DUMMYFUNCTION("""COMPUTED_VALUE"""),"WA")</f>
        <v>WA</v>
      </c>
      <c r="R1516" s="5" t="str">
        <f ca="1">IFERROR(__xludf.DUMMYFUNCTION("""COMPUTED_VALUE"""),"Junior High")</f>
        <v>Junior High</v>
      </c>
      <c r="S1516" s="5" t="str">
        <f ca="1">IFERROR(__xludf.DUMMYFUNCTION("""COMPUTED_VALUE"""),"Classroom")</f>
        <v>Classroom</v>
      </c>
      <c r="T1516" s="5" t="str">
        <f ca="1">IFERROR(__xludf.DUMMYFUNCTION("""COMPUTED_VALUE"""),"Inside School Building")</f>
        <v>Inside School Building</v>
      </c>
      <c r="U1516" s="5" t="str">
        <f ca="1">IFERROR(__xludf.DUMMYFUNCTION("""COMPUTED_VALUE"""),"Yes")</f>
        <v>Yes</v>
      </c>
      <c r="V1516" s="5" t="str">
        <f ca="1">IFERROR(__xludf.DUMMYFUNCTION("""COMPUTED_VALUE"""),"Morning Classes")</f>
        <v>Morning Classes</v>
      </c>
      <c r="W1516" s="10">
        <f ca="1">IFERROR(__xludf.DUMMYFUNCTION("""COMPUTED_VALUE"""),0.416666666666666)</f>
        <v>0.41666666666666602</v>
      </c>
      <c r="X1516" s="5">
        <f ca="1">IFERROR(__xludf.DUMMYFUNCTION("""COMPUTED_VALUE"""),1)</f>
        <v>1</v>
      </c>
      <c r="Y1516" s="5" t="str">
        <f ca="1">IFERROR(__xludf.DUMMYFUNCTION("""COMPUTED_VALUE"""),"Shot self in class infront of teacher and 18 students")</f>
        <v>Shot self in class infront of teacher and 18 students</v>
      </c>
      <c r="Z1516" s="5" t="str">
        <f ca="1">IFERROR(__xludf.DUMMYFUNCTION("""COMPUTED_VALUE"""),"13YOM student carried gun into class in guitar case. At end of class, he took the gun out and shot himself in the chest.")</f>
        <v>13YOM student carried gun into class in guitar case. At end of class, he took the gun out and shot himself in the chest.</v>
      </c>
      <c r="AA1516" s="5" t="str">
        <f ca="1">IFERROR(__xludf.DUMMYFUNCTION("""COMPUTED_VALUE"""),"Suicide/Attempted")</f>
        <v>Suicide/Attempted</v>
      </c>
      <c r="AB1516" s="5" t="str">
        <f ca="1">IFERROR(__xludf.DUMMYFUNCTION("""COMPUTED_VALUE"""),"Victims Targeted")</f>
        <v>Victims Targeted</v>
      </c>
      <c r="AC1516" s="5" t="str">
        <f ca="1">IFERROR(__xludf.DUMMYFUNCTION("""COMPUTED_VALUE"""),"No")</f>
        <v>No</v>
      </c>
      <c r="AD1516" s="5" t="str">
        <f ca="1">IFERROR(__xludf.DUMMYFUNCTION("""COMPUTED_VALUE"""),"No")</f>
        <v>No</v>
      </c>
      <c r="AE1516" s="5" t="str">
        <f ca="1">IFERROR(__xludf.DUMMYFUNCTION("""COMPUTED_VALUE"""),"No")</f>
        <v>No</v>
      </c>
      <c r="AF1516" s="5" t="str">
        <f ca="1">IFERROR(__xludf.DUMMYFUNCTION("""COMPUTED_VALUE"""),"No")</f>
        <v>No</v>
      </c>
      <c r="AG1516" s="5" t="str">
        <f ca="1">IFERROR(__xludf.DUMMYFUNCTION("""COMPUTED_VALUE"""),"No")</f>
        <v>No</v>
      </c>
      <c r="AH1516" s="5" t="str">
        <f ca="1">IFERROR(__xludf.DUMMYFUNCTION("""COMPUTED_VALUE"""),"No")</f>
        <v>No</v>
      </c>
      <c r="AI1516" s="5" t="str">
        <f ca="1">IFERROR(__xludf.DUMMYFUNCTION("""COMPUTED_VALUE"""),"No")</f>
        <v>No</v>
      </c>
      <c r="AJ1516" s="5"/>
    </row>
    <row r="1517" spans="1:36" ht="13">
      <c r="A1517" s="5" t="str">
        <f ca="1">IFERROR(__xludf.DUMMYFUNCTION("""COMPUTED_VALUE"""),"20040305CASAL")</f>
        <v>20040305CASAL</v>
      </c>
      <c r="B1517" s="5">
        <f ca="1">IFERROR(__xludf.DUMMYFUNCTION("""COMPUTED_VALUE"""),3)</f>
        <v>3</v>
      </c>
      <c r="C1517" s="5">
        <f ca="1">IFERROR(__xludf.DUMMYFUNCTION("""COMPUTED_VALUE"""),5)</f>
        <v>5</v>
      </c>
      <c r="D1517" s="5">
        <f ca="1">IFERROR(__xludf.DUMMYFUNCTION("""COMPUTED_VALUE"""),2004)</f>
        <v>2004</v>
      </c>
      <c r="E1517" s="8">
        <f ca="1">IFERROR(__xludf.DUMMYFUNCTION("""COMPUTED_VALUE"""),38051)</f>
        <v>38051</v>
      </c>
      <c r="F1517" s="5" t="str">
        <f ca="1">IFERROR(__xludf.DUMMYFUNCTION("""COMPUTED_VALUE"""),"Saledad Enrichment Action Charter High School")</f>
        <v>Saledad Enrichment Action Charter High School</v>
      </c>
      <c r="G1517" s="5">
        <f ca="1">IFERROR(__xludf.DUMMYFUNCTION("""COMPUTED_VALUE"""),0)</f>
        <v>0</v>
      </c>
      <c r="H1517" s="5">
        <f ca="1">IFERROR(__xludf.DUMMYFUNCTION("""COMPUTED_VALUE"""),2)</f>
        <v>2</v>
      </c>
      <c r="I1517" s="5">
        <f ca="1">IFERROR(__xludf.DUMMYFUNCTION("""COMPUTED_VALUE"""),2)</f>
        <v>2</v>
      </c>
      <c r="J1517" s="5">
        <f ca="1">IFERROR(__xludf.DUMMYFUNCTION("""COMPUTED_VALUE"""),0)</f>
        <v>0</v>
      </c>
      <c r="K1517" s="9" t="str">
        <f ca="1">IFERROR(__xludf.DUMMYFUNCTION("""COMPUTED_VALUE"""),"https://www.newspapers.com/image/192854243/?terms=Los%2BAngeles%2Bhigh%2Bschool%2Bshooting")</f>
        <v>https://www.newspapers.com/image/192854243/?terms=Los%2BAngeles%2Bhigh%2Bschool%2Bshooting</v>
      </c>
      <c r="L1517" s="5"/>
      <c r="M1517" s="5"/>
      <c r="N1517" s="5">
        <f ca="1">IFERROR(__xludf.DUMMYFUNCTION("""COMPUTED_VALUE"""),2)</f>
        <v>2</v>
      </c>
      <c r="O1517" s="5" t="str">
        <f ca="1">IFERROR(__xludf.DUMMYFUNCTION("""COMPUTED_VALUE"""),"Spring")</f>
        <v>Spring</v>
      </c>
      <c r="P1517" s="5" t="str">
        <f ca="1">IFERROR(__xludf.DUMMYFUNCTION("""COMPUTED_VALUE"""),"Los Angeles")</f>
        <v>Los Angeles</v>
      </c>
      <c r="Q1517" s="5" t="str">
        <f ca="1">IFERROR(__xludf.DUMMYFUNCTION("""COMPUTED_VALUE"""),"CA")</f>
        <v>CA</v>
      </c>
      <c r="R1517" s="5" t="str">
        <f ca="1">IFERROR(__xludf.DUMMYFUNCTION("""COMPUTED_VALUE"""),"High")</f>
        <v>High</v>
      </c>
      <c r="S1517" s="5" t="str">
        <f ca="1">IFERROR(__xludf.DUMMYFUNCTION("""COMPUTED_VALUE"""),"Front of School")</f>
        <v>Front of School</v>
      </c>
      <c r="T1517" s="5" t="str">
        <f ca="1">IFERROR(__xludf.DUMMYFUNCTION("""COMPUTED_VALUE"""),"Outside on School Property")</f>
        <v>Outside on School Property</v>
      </c>
      <c r="U1517" s="5" t="str">
        <f ca="1">IFERROR(__xludf.DUMMYFUNCTION("""COMPUTED_VALUE"""),"Yes")</f>
        <v>Yes</v>
      </c>
      <c r="V1517" s="5" t="str">
        <f ca="1">IFERROR(__xludf.DUMMYFUNCTION("""COMPUTED_VALUE"""),"School Start")</f>
        <v>School Start</v>
      </c>
      <c r="W1517" s="10">
        <f ca="1">IFERROR(__xludf.DUMMYFUNCTION("""COMPUTED_VALUE"""),0.315972222222222)</f>
        <v>0.31597222222222199</v>
      </c>
      <c r="X1517" s="5">
        <f ca="1">IFERROR(__xludf.DUMMYFUNCTION("""COMPUTED_VALUE"""),1)</f>
        <v>1</v>
      </c>
      <c r="Y1517" s="5" t="str">
        <f ca="1">IFERROR(__xludf.DUMMYFUNCTION("""COMPUTED_VALUE"""),"Gang related drive by shooting")</f>
        <v>Gang related drive by shooting</v>
      </c>
      <c r="Z1517" s="5" t="str">
        <f ca="1">IFERROR(__xludf.DUMMYFUNCTION("""COMPUTED_VALUE"""),"20 students were standing in front of the school when shot were fired from a vehicle striking a 17YOM and 16YOM student. Police believed the male student shot was targeted due to gang affiliation.")</f>
        <v>20 students were standing in front of the school when shot were fired from a vehicle striking a 17YOM and 16YOM student. Police believed the male student shot was targeted due to gang affiliation.</v>
      </c>
      <c r="AA1517" s="5" t="str">
        <f ca="1">IFERROR(__xludf.DUMMYFUNCTION("""COMPUTED_VALUE"""),"Drive-by Shooting")</f>
        <v>Drive-by Shooting</v>
      </c>
      <c r="AB1517" s="5" t="str">
        <f ca="1">IFERROR(__xludf.DUMMYFUNCTION("""COMPUTED_VALUE"""),"Both")</f>
        <v>Both</v>
      </c>
      <c r="AC1517" s="5" t="str">
        <f ca="1">IFERROR(__xludf.DUMMYFUNCTION("""COMPUTED_VALUE"""),"Unknown")</f>
        <v>Unknown</v>
      </c>
      <c r="AD1517" s="5" t="str">
        <f ca="1">IFERROR(__xludf.DUMMYFUNCTION("""COMPUTED_VALUE"""),"No")</f>
        <v>No</v>
      </c>
      <c r="AE1517" s="5" t="str">
        <f ca="1">IFERROR(__xludf.DUMMYFUNCTION("""COMPUTED_VALUE"""),"No")</f>
        <v>No</v>
      </c>
      <c r="AF1517" s="5" t="str">
        <f ca="1">IFERROR(__xludf.DUMMYFUNCTION("""COMPUTED_VALUE"""),"No")</f>
        <v>No</v>
      </c>
      <c r="AG1517" s="5" t="str">
        <f ca="1">IFERROR(__xludf.DUMMYFUNCTION("""COMPUTED_VALUE"""),"No")</f>
        <v>No</v>
      </c>
      <c r="AH1517" s="5" t="str">
        <f ca="1">IFERROR(__xludf.DUMMYFUNCTION("""COMPUTED_VALUE"""),"No")</f>
        <v>No</v>
      </c>
      <c r="AI1517" s="5" t="str">
        <f ca="1">IFERROR(__xludf.DUMMYFUNCTION("""COMPUTED_VALUE"""),"Yes")</f>
        <v>Yes</v>
      </c>
      <c r="AJ1517" s="5"/>
    </row>
    <row r="1518" spans="1:36" ht="13">
      <c r="A1518" s="5" t="str">
        <f ca="1">IFERROR(__xludf.DUMMYFUNCTION("""COMPUTED_VALUE"""),"20040220LAGAS")</f>
        <v>20040220LAGAS</v>
      </c>
      <c r="B1518" s="5">
        <f ca="1">IFERROR(__xludf.DUMMYFUNCTION("""COMPUTED_VALUE"""),2)</f>
        <v>2</v>
      </c>
      <c r="C1518" s="5">
        <f ca="1">IFERROR(__xludf.DUMMYFUNCTION("""COMPUTED_VALUE"""),20)</f>
        <v>20</v>
      </c>
      <c r="D1518" s="5">
        <f ca="1">IFERROR(__xludf.DUMMYFUNCTION("""COMPUTED_VALUE"""),2004)</f>
        <v>2004</v>
      </c>
      <c r="E1518" s="8">
        <f ca="1">IFERROR(__xludf.DUMMYFUNCTION("""COMPUTED_VALUE"""),38037)</f>
        <v>38037</v>
      </c>
      <c r="F1518" s="5" t="str">
        <f ca="1">IFERROR(__xludf.DUMMYFUNCTION("""COMPUTED_VALUE"""),"Gathway Christian Academy")</f>
        <v>Gathway Christian Academy</v>
      </c>
      <c r="G1518" s="5">
        <f ca="1">IFERROR(__xludf.DUMMYFUNCTION("""COMPUTED_VALUE"""),1)</f>
        <v>1</v>
      </c>
      <c r="H1518" s="5">
        <f ca="1">IFERROR(__xludf.DUMMYFUNCTION("""COMPUTED_VALUE"""),0)</f>
        <v>0</v>
      </c>
      <c r="I1518" s="5">
        <f ca="1">IFERROR(__xludf.DUMMYFUNCTION("""COMPUTED_VALUE"""),1)</f>
        <v>1</v>
      </c>
      <c r="J1518" s="5">
        <f ca="1">IFERROR(__xludf.DUMMYFUNCTION("""COMPUTED_VALUE"""),1)</f>
        <v>1</v>
      </c>
      <c r="K1518" s="9" t="str">
        <f ca="1">IFERROR(__xludf.DUMMYFUNCTION("""COMPUTED_VALUE"""),"https://www.iberianet.com/news/two-dead-in-friday-murder-suicide/article_6e2281d6-1558-5273-b883-8aa0132a8b2e.html")</f>
        <v>https://www.iberianet.com/news/two-dead-in-friday-murder-suicide/article_6e2281d6-1558-5273-b883-8aa0132a8b2e.html</v>
      </c>
      <c r="L1518" s="5"/>
      <c r="M1518" s="5"/>
      <c r="N1518" s="5">
        <f ca="1">IFERROR(__xludf.DUMMYFUNCTION("""COMPUTED_VALUE"""),2)</f>
        <v>2</v>
      </c>
      <c r="O1518" s="5" t="str">
        <f ca="1">IFERROR(__xludf.DUMMYFUNCTION("""COMPUTED_VALUE"""),"Winter")</f>
        <v>Winter</v>
      </c>
      <c r="P1518" s="5" t="str">
        <f ca="1">IFERROR(__xludf.DUMMYFUNCTION("""COMPUTED_VALUE"""),"St. Martinville")</f>
        <v>St. Martinville</v>
      </c>
      <c r="Q1518" s="5" t="str">
        <f ca="1">IFERROR(__xludf.DUMMYFUNCTION("""COMPUTED_VALUE"""),"LA")</f>
        <v>LA</v>
      </c>
      <c r="R1518" s="5" t="str">
        <f ca="1">IFERROR(__xludf.DUMMYFUNCTION("""COMPUTED_VALUE"""),"K-12")</f>
        <v>K-12</v>
      </c>
      <c r="S1518" s="5" t="str">
        <f ca="1">IFERROR(__xludf.DUMMYFUNCTION("""COMPUTED_VALUE"""),"Classroom")</f>
        <v>Classroom</v>
      </c>
      <c r="T1518" s="5" t="str">
        <f ca="1">IFERROR(__xludf.DUMMYFUNCTION("""COMPUTED_VALUE"""),"Inside School Building")</f>
        <v>Inside School Building</v>
      </c>
      <c r="U1518" s="5" t="str">
        <f ca="1">IFERROR(__xludf.DUMMYFUNCTION("""COMPUTED_VALUE"""),"Yes")</f>
        <v>Yes</v>
      </c>
      <c r="V1518" s="5" t="str">
        <f ca="1">IFERROR(__xludf.DUMMYFUNCTION("""COMPUTED_VALUE"""),"Morning Classes")</f>
        <v>Morning Classes</v>
      </c>
      <c r="W1518" s="10">
        <f ca="1">IFERROR(__xludf.DUMMYFUNCTION("""COMPUTED_VALUE"""),0.46875)</f>
        <v>0.46875</v>
      </c>
      <c r="X1518" s="5">
        <f ca="1">IFERROR(__xludf.DUMMYFUNCTION("""COMPUTED_VALUE"""),1)</f>
        <v>1</v>
      </c>
      <c r="Y1518" s="5" t="str">
        <f ca="1">IFERROR(__xludf.DUMMYFUNCTION("""COMPUTED_VALUE"""),"Teacher shot by fiance, he fled and shot himself 30 minutes later")</f>
        <v>Teacher shot by fiance, he fled and shot himself 30 minutes later</v>
      </c>
      <c r="Z1518" s="5" t="str">
        <f ca="1">IFERROR(__xludf.DUMMYFUNCTION("""COMPUTED_VALUE"""),"41YOM shot and killed his 19YOF fiance who was a teacher at the k-12 Christian school. Fled the scene and killed himself 30 minutes later. Shooter was a reserve police officer.")</f>
        <v>41YOM shot and killed his 19YOF fiance who was a teacher at the k-12 Christian school. Fled the scene and killed himself 30 minutes later. Shooter was a reserve police officer.</v>
      </c>
      <c r="AA1518" s="5" t="str">
        <f ca="1">IFERROR(__xludf.DUMMYFUNCTION("""COMPUTED_VALUE"""),"Domestic w/ Targeted Victim")</f>
        <v>Domestic w/ Targeted Victim</v>
      </c>
      <c r="AB1518" s="5" t="str">
        <f ca="1">IFERROR(__xludf.DUMMYFUNCTION("""COMPUTED_VALUE"""),"Victims Targeted")</f>
        <v>Victims Targeted</v>
      </c>
      <c r="AC1518" s="5" t="str">
        <f ca="1">IFERROR(__xludf.DUMMYFUNCTION("""COMPUTED_VALUE"""),"No")</f>
        <v>No</v>
      </c>
      <c r="AD1518" s="5" t="str">
        <f ca="1">IFERROR(__xludf.DUMMYFUNCTION("""COMPUTED_VALUE"""),"No")</f>
        <v>No</v>
      </c>
      <c r="AE1518" s="5" t="str">
        <f ca="1">IFERROR(__xludf.DUMMYFUNCTION("""COMPUTED_VALUE"""),"No")</f>
        <v>No</v>
      </c>
      <c r="AF1518" s="5" t="str">
        <f ca="1">IFERROR(__xludf.DUMMYFUNCTION("""COMPUTED_VALUE"""),"No")</f>
        <v>No</v>
      </c>
      <c r="AG1518" s="5" t="str">
        <f ca="1">IFERROR(__xludf.DUMMYFUNCTION("""COMPUTED_VALUE"""),"No")</f>
        <v>No</v>
      </c>
      <c r="AH1518" s="5" t="str">
        <f ca="1">IFERROR(__xludf.DUMMYFUNCTION("""COMPUTED_VALUE"""),"Yes")</f>
        <v>Yes</v>
      </c>
      <c r="AI1518" s="5" t="str">
        <f ca="1">IFERROR(__xludf.DUMMYFUNCTION("""COMPUTED_VALUE"""),"No")</f>
        <v>No</v>
      </c>
      <c r="AJ1518" s="5"/>
    </row>
    <row r="1519" spans="1:36" ht="13">
      <c r="A1519" s="5" t="str">
        <f ca="1">IFERROR(__xludf.DUMMYFUNCTION("""COMPUTED_VALUE"""),"20040213OHCOD")</f>
        <v>20040213OHCOD</v>
      </c>
      <c r="B1519" s="5">
        <f ca="1">IFERROR(__xludf.DUMMYFUNCTION("""COMPUTED_VALUE"""),2)</f>
        <v>2</v>
      </c>
      <c r="C1519" s="5">
        <f ca="1">IFERROR(__xludf.DUMMYFUNCTION("""COMPUTED_VALUE"""),13)</f>
        <v>13</v>
      </c>
      <c r="D1519" s="5">
        <f ca="1">IFERROR(__xludf.DUMMYFUNCTION("""COMPUTED_VALUE"""),2004)</f>
        <v>2004</v>
      </c>
      <c r="E1519" s="8">
        <f ca="1">IFERROR(__xludf.DUMMYFUNCTION("""COMPUTED_VALUE"""),38030)</f>
        <v>38030</v>
      </c>
      <c r="F1519" s="5" t="str">
        <f ca="1">IFERROR(__xludf.DUMMYFUNCTION("""COMPUTED_VALUE"""),"Colonel White High School")</f>
        <v>Colonel White High School</v>
      </c>
      <c r="G1519" s="5">
        <f ca="1">IFERROR(__xludf.DUMMYFUNCTION("""COMPUTED_VALUE"""),0)</f>
        <v>0</v>
      </c>
      <c r="H1519" s="5">
        <f ca="1">IFERROR(__xludf.DUMMYFUNCTION("""COMPUTED_VALUE"""),1)</f>
        <v>1</v>
      </c>
      <c r="I1519" s="5">
        <f ca="1">IFERROR(__xludf.DUMMYFUNCTION("""COMPUTED_VALUE"""),1)</f>
        <v>1</v>
      </c>
      <c r="J1519" s="5">
        <f ca="1">IFERROR(__xludf.DUMMYFUNCTION("""COMPUTED_VALUE"""),0)</f>
        <v>0</v>
      </c>
      <c r="K1519" s="9" t="str">
        <f ca="1">IFERROR(__xludf.DUMMYFUNCTION("""COMPUTED_VALUE"""),"https://www.newspapers.com/image/410611502/")</f>
        <v>https://www.newspapers.com/image/410611502/</v>
      </c>
      <c r="L1519" s="5"/>
      <c r="M1519" s="5"/>
      <c r="N1519" s="5">
        <f ca="1">IFERROR(__xludf.DUMMYFUNCTION("""COMPUTED_VALUE"""),2)</f>
        <v>2</v>
      </c>
      <c r="O1519" s="5" t="str">
        <f ca="1">IFERROR(__xludf.DUMMYFUNCTION("""COMPUTED_VALUE"""),"Winter")</f>
        <v>Winter</v>
      </c>
      <c r="P1519" s="5" t="str">
        <f ca="1">IFERROR(__xludf.DUMMYFUNCTION("""COMPUTED_VALUE"""),"Dayton")</f>
        <v>Dayton</v>
      </c>
      <c r="Q1519" s="5" t="str">
        <f ca="1">IFERROR(__xludf.DUMMYFUNCTION("""COMPUTED_VALUE"""),"OH")</f>
        <v>OH</v>
      </c>
      <c r="R1519" s="5" t="str">
        <f ca="1">IFERROR(__xludf.DUMMYFUNCTION("""COMPUTED_VALUE"""),"High")</f>
        <v>High</v>
      </c>
      <c r="S1519" s="5" t="str">
        <f ca="1">IFERROR(__xludf.DUMMYFUNCTION("""COMPUTED_VALUE"""),"Parking Lot")</f>
        <v>Parking Lot</v>
      </c>
      <c r="T1519" s="5" t="str">
        <f ca="1">IFERROR(__xludf.DUMMYFUNCTION("""COMPUTED_VALUE"""),"Outside on School Property")</f>
        <v>Outside on School Property</v>
      </c>
      <c r="U1519" s="5" t="str">
        <f ca="1">IFERROR(__xludf.DUMMYFUNCTION("""COMPUTED_VALUE"""),"Yes")</f>
        <v>Yes</v>
      </c>
      <c r="V1519" s="5" t="str">
        <f ca="1">IFERROR(__xludf.DUMMYFUNCTION("""COMPUTED_VALUE"""),"Lunch")</f>
        <v>Lunch</v>
      </c>
      <c r="W1519" s="10">
        <f ca="1">IFERROR(__xludf.DUMMYFUNCTION("""COMPUTED_VALUE"""),0.541666666666666)</f>
        <v>0.54166666666666596</v>
      </c>
      <c r="X1519" s="5">
        <f ca="1">IFERROR(__xludf.DUMMYFUNCTION("""COMPUTED_VALUE"""),1)</f>
        <v>1</v>
      </c>
      <c r="Y1519" s="5" t="str">
        <f ca="1">IFERROR(__xludf.DUMMYFUNCTION("""COMPUTED_VALUE"""),"Student shot during carjacking in parking lot")</f>
        <v>Student shot during carjacking in parking lot</v>
      </c>
      <c r="Z1519" s="5" t="str">
        <f ca="1">IFERROR(__xludf.DUMMYFUNCTION("""COMPUTED_VALUE"""),"17YOM student shot during attempted carjacking in the school parking lot. Shot fled into school and changed clothes in locker room. Gun was not recovered.")</f>
        <v>17YOM student shot during attempted carjacking in the school parking lot. Shot fled into school and changed clothes in locker room. Gun was not recovered.</v>
      </c>
      <c r="AA1519" s="5" t="str">
        <f ca="1">IFERROR(__xludf.DUMMYFUNCTION("""COMPUTED_VALUE"""),"Illegal Activity")</f>
        <v>Illegal Activity</v>
      </c>
      <c r="AB1519" s="5" t="str">
        <f ca="1">IFERROR(__xludf.DUMMYFUNCTION("""COMPUTED_VALUE"""),"Victims Targeted")</f>
        <v>Victims Targeted</v>
      </c>
      <c r="AC1519" s="5" t="str">
        <f ca="1">IFERROR(__xludf.DUMMYFUNCTION("""COMPUTED_VALUE"""),"Yes")</f>
        <v>Yes</v>
      </c>
      <c r="AD1519" s="5" t="str">
        <f ca="1">IFERROR(__xludf.DUMMYFUNCTION("""COMPUTED_VALUE"""),"No")</f>
        <v>No</v>
      </c>
      <c r="AE1519" s="5" t="str">
        <f ca="1">IFERROR(__xludf.DUMMYFUNCTION("""COMPUTED_VALUE"""),"No")</f>
        <v>No</v>
      </c>
      <c r="AF1519" s="5" t="str">
        <f ca="1">IFERROR(__xludf.DUMMYFUNCTION("""COMPUTED_VALUE"""),"No")</f>
        <v>No</v>
      </c>
      <c r="AG1519" s="5" t="str">
        <f ca="1">IFERROR(__xludf.DUMMYFUNCTION("""COMPUTED_VALUE"""),"No")</f>
        <v>No</v>
      </c>
      <c r="AH1519" s="5" t="str">
        <f ca="1">IFERROR(__xludf.DUMMYFUNCTION("""COMPUTED_VALUE"""),"No")</f>
        <v>No</v>
      </c>
      <c r="AI1519" s="5" t="str">
        <f ca="1">IFERROR(__xludf.DUMMYFUNCTION("""COMPUTED_VALUE"""),"No")</f>
        <v>No</v>
      </c>
      <c r="AJ1519" s="5"/>
    </row>
    <row r="1520" spans="1:36" ht="13">
      <c r="A1520" s="5" t="str">
        <f ca="1">IFERROR(__xludf.DUMMYFUNCTION("""COMPUTED_VALUE"""),"20040211PATMP")</f>
        <v>20040211PATMP</v>
      </c>
      <c r="B1520" s="5">
        <f ca="1">IFERROR(__xludf.DUMMYFUNCTION("""COMPUTED_VALUE"""),2)</f>
        <v>2</v>
      </c>
      <c r="C1520" s="5">
        <f ca="1">IFERROR(__xludf.DUMMYFUNCTION("""COMPUTED_VALUE"""),11)</f>
        <v>11</v>
      </c>
      <c r="D1520" s="5">
        <f ca="1">IFERROR(__xludf.DUMMYFUNCTION("""COMPUTED_VALUE"""),2004)</f>
        <v>2004</v>
      </c>
      <c r="E1520" s="8">
        <f ca="1">IFERROR(__xludf.DUMMYFUNCTION("""COMPUTED_VALUE"""),38028)</f>
        <v>38028</v>
      </c>
      <c r="F1520" s="5" t="str">
        <f ca="1">IFERROR(__xludf.DUMMYFUNCTION("""COMPUTED_VALUE"""),"T M Peirce Elementary School")</f>
        <v>T M Peirce Elementary School</v>
      </c>
      <c r="G1520" s="5">
        <f ca="1">IFERROR(__xludf.DUMMYFUNCTION("""COMPUTED_VALUE"""),1)</f>
        <v>1</v>
      </c>
      <c r="H1520" s="5">
        <f ca="1">IFERROR(__xludf.DUMMYFUNCTION("""COMPUTED_VALUE"""),1)</f>
        <v>1</v>
      </c>
      <c r="I1520" s="5">
        <f ca="1">IFERROR(__xludf.DUMMYFUNCTION("""COMPUTED_VALUE"""),2)</f>
        <v>2</v>
      </c>
      <c r="J1520" s="5">
        <f ca="1">IFERROR(__xludf.DUMMYFUNCTION("""COMPUTED_VALUE"""),0)</f>
        <v>0</v>
      </c>
      <c r="K1520" s="9" t="str">
        <f ca="1">IFERROR(__xludf.DUMMYFUNCTION("""COMPUTED_VALUE"""),"http://www.foxnews.com/story/2006/03/16/two-guilty-in-slaying-philadelphia-boy.html")</f>
        <v>http://www.foxnews.com/story/2006/03/16/two-guilty-in-slaying-philadelphia-boy.html</v>
      </c>
      <c r="L1520" s="5"/>
      <c r="M1520" s="5"/>
      <c r="N1520" s="5">
        <f ca="1">IFERROR(__xludf.DUMMYFUNCTION("""COMPUTED_VALUE"""),2)</f>
        <v>2</v>
      </c>
      <c r="O1520" s="5" t="str">
        <f ca="1">IFERROR(__xludf.DUMMYFUNCTION("""COMPUTED_VALUE"""),"Winter")</f>
        <v>Winter</v>
      </c>
      <c r="P1520" s="5" t="str">
        <f ca="1">IFERROR(__xludf.DUMMYFUNCTION("""COMPUTED_VALUE"""),"Philadelphia")</f>
        <v>Philadelphia</v>
      </c>
      <c r="Q1520" s="5" t="str">
        <f ca="1">IFERROR(__xludf.DUMMYFUNCTION("""COMPUTED_VALUE"""),"PA")</f>
        <v>PA</v>
      </c>
      <c r="R1520" s="5" t="str">
        <f ca="1">IFERROR(__xludf.DUMMYFUNCTION("""COMPUTED_VALUE"""),"Elementary")</f>
        <v>Elementary</v>
      </c>
      <c r="S1520" s="5" t="str">
        <f ca="1">IFERROR(__xludf.DUMMYFUNCTION("""COMPUTED_VALUE"""),"Playground")</f>
        <v>Playground</v>
      </c>
      <c r="T1520" s="5" t="str">
        <f ca="1">IFERROR(__xludf.DUMMYFUNCTION("""COMPUTED_VALUE"""),"Outside on School Property")</f>
        <v>Outside on School Property</v>
      </c>
      <c r="U1520" s="5" t="str">
        <f ca="1">IFERROR(__xludf.DUMMYFUNCTION("""COMPUTED_VALUE"""),"Yes")</f>
        <v>Yes</v>
      </c>
      <c r="V1520" s="5" t="str">
        <f ca="1">IFERROR(__xludf.DUMMYFUNCTION("""COMPUTED_VALUE"""),"School Start")</f>
        <v>School Start</v>
      </c>
      <c r="W1520" s="10">
        <f ca="1">IFERROR(__xludf.DUMMYFUNCTION("""COMPUTED_VALUE"""),0.354166666666666)</f>
        <v>0.35416666666666602</v>
      </c>
      <c r="X1520" s="5">
        <f ca="1">IFERROR(__xludf.DUMMYFUNCTION("""COMPUTED_VALUE"""),1)</f>
        <v>1</v>
      </c>
      <c r="Y1520" s="5" t="str">
        <f ca="1">IFERROR(__xludf.DUMMYFUNCTION("""COMPUTED_VALUE"""),"Shootout between drug deals, student and teacher hit in cross fire")</f>
        <v>Shootout between drug deals, student and teacher hit in cross fire</v>
      </c>
      <c r="Z1520" s="5" t="str">
        <f ca="1">IFERROR(__xludf.DUMMYFUNCTION("""COMPUTED_VALUE"""),"Two drug dealers in a feud over territory fired 90 shots at each other striking a student and teacher on the playground of the elementary school. Both were later arrested. Weapons: carbine rifle, assault weapon")</f>
        <v>Two drug dealers in a feud over territory fired 90 shots at each other striking a student and teacher on the playground of the elementary school. Both were later arrested. Weapons: carbine rifle, assault weapon</v>
      </c>
      <c r="AA1520" s="5" t="str">
        <f ca="1">IFERROR(__xludf.DUMMYFUNCTION("""COMPUTED_VALUE"""),"Illegal Activity")</f>
        <v>Illegal Activity</v>
      </c>
      <c r="AB1520" s="5" t="str">
        <f ca="1">IFERROR(__xludf.DUMMYFUNCTION("""COMPUTED_VALUE"""),"Both")</f>
        <v>Both</v>
      </c>
      <c r="AC1520" s="5" t="str">
        <f ca="1">IFERROR(__xludf.DUMMYFUNCTION("""COMPUTED_VALUE"""),"No")</f>
        <v>No</v>
      </c>
      <c r="AD1520" s="5" t="str">
        <f ca="1">IFERROR(__xludf.DUMMYFUNCTION("""COMPUTED_VALUE"""),"No")</f>
        <v>No</v>
      </c>
      <c r="AE1520" s="5" t="str">
        <f ca="1">IFERROR(__xludf.DUMMYFUNCTION("""COMPUTED_VALUE"""),"No")</f>
        <v>No</v>
      </c>
      <c r="AF1520" s="5" t="str">
        <f ca="1">IFERROR(__xludf.DUMMYFUNCTION("""COMPUTED_VALUE"""),"No")</f>
        <v>No</v>
      </c>
      <c r="AG1520" s="5" t="str">
        <f ca="1">IFERROR(__xludf.DUMMYFUNCTION("""COMPUTED_VALUE"""),"No")</f>
        <v>No</v>
      </c>
      <c r="AH1520" s="5" t="str">
        <f ca="1">IFERROR(__xludf.DUMMYFUNCTION("""COMPUTED_VALUE"""),"No")</f>
        <v>No</v>
      </c>
      <c r="AI1520" s="5" t="str">
        <f ca="1">IFERROR(__xludf.DUMMYFUNCTION("""COMPUTED_VALUE"""),"Yes")</f>
        <v>Yes</v>
      </c>
      <c r="AJ1520" s="5"/>
    </row>
    <row r="1521" spans="1:36" ht="13">
      <c r="A1521" s="5" t="str">
        <f ca="1">IFERROR(__xludf.DUMMYFUNCTION("""COMPUTED_VALUE"""),"20040209NYCOE")</f>
        <v>20040209NYCOE</v>
      </c>
      <c r="B1521" s="5">
        <f ca="1">IFERROR(__xludf.DUMMYFUNCTION("""COMPUTED_VALUE"""),2)</f>
        <v>2</v>
      </c>
      <c r="C1521" s="5">
        <f ca="1">IFERROR(__xludf.DUMMYFUNCTION("""COMPUTED_VALUE"""),9)</f>
        <v>9</v>
      </c>
      <c r="D1521" s="5">
        <f ca="1">IFERROR(__xludf.DUMMYFUNCTION("""COMPUTED_VALUE"""),2004)</f>
        <v>2004</v>
      </c>
      <c r="E1521" s="8">
        <f ca="1">IFERROR(__xludf.DUMMYFUNCTION("""COMPUTED_VALUE"""),38026)</f>
        <v>38026</v>
      </c>
      <c r="F1521" s="5" t="str">
        <f ca="1">IFERROR(__xludf.DUMMYFUNCTION("""COMPUTED_VALUE"""),"Columbia High School")</f>
        <v>Columbia High School</v>
      </c>
      <c r="G1521" s="5">
        <f ca="1">IFERROR(__xludf.DUMMYFUNCTION("""COMPUTED_VALUE"""),0)</f>
        <v>0</v>
      </c>
      <c r="H1521" s="5">
        <f ca="1">IFERROR(__xludf.DUMMYFUNCTION("""COMPUTED_VALUE"""),1)</f>
        <v>1</v>
      </c>
      <c r="I1521" s="5">
        <f ca="1">IFERROR(__xludf.DUMMYFUNCTION("""COMPUTED_VALUE"""),1)</f>
        <v>1</v>
      </c>
      <c r="J1521" s="5">
        <f ca="1">IFERROR(__xludf.DUMMYFUNCTION("""COMPUTED_VALUE"""),0)</f>
        <v>0</v>
      </c>
      <c r="K1521" s="5" t="str">
        <f ca="1">IFERROR(__xludf.DUMMYFUNCTION("""COMPUTED_VALUE"""),"https://www.nytimes.com/2004/12/19/nyregion/student-agrees-to-20year-term-after-nonfatal-shooting-spree-in.html https://www.fbi.gov/file-repository/active-shooter-incidents-2000-2017.pdf")</f>
        <v>https://www.nytimes.com/2004/12/19/nyregion/student-agrees-to-20year-term-after-nonfatal-shooting-spree-in.html https://www.fbi.gov/file-repository/active-shooter-incidents-2000-2017.pdf</v>
      </c>
      <c r="L1521" s="5"/>
      <c r="M1521" s="5"/>
      <c r="N1521" s="5">
        <f ca="1">IFERROR(__xludf.DUMMYFUNCTION("""COMPUTED_VALUE"""),3)</f>
        <v>3</v>
      </c>
      <c r="O1521" s="5" t="str">
        <f ca="1">IFERROR(__xludf.DUMMYFUNCTION("""COMPUTED_VALUE"""),"Winter")</f>
        <v>Winter</v>
      </c>
      <c r="P1521" s="5" t="str">
        <f ca="1">IFERROR(__xludf.DUMMYFUNCTION("""COMPUTED_VALUE"""),"East Greenbush")</f>
        <v>East Greenbush</v>
      </c>
      <c r="Q1521" s="5" t="str">
        <f ca="1">IFERROR(__xludf.DUMMYFUNCTION("""COMPUTED_VALUE"""),"NY")</f>
        <v>NY</v>
      </c>
      <c r="R1521" s="5" t="str">
        <f ca="1">IFERROR(__xludf.DUMMYFUNCTION("""COMPUTED_VALUE"""),"High")</f>
        <v>High</v>
      </c>
      <c r="S1521" s="5" t="str">
        <f ca="1">IFERROR(__xludf.DUMMYFUNCTION("""COMPUTED_VALUE"""),"Bathroom")</f>
        <v>Bathroom</v>
      </c>
      <c r="T1521" s="5" t="str">
        <f ca="1">IFERROR(__xludf.DUMMYFUNCTION("""COMPUTED_VALUE"""),"Inside School Building")</f>
        <v>Inside School Building</v>
      </c>
      <c r="U1521" s="5" t="str">
        <f ca="1">IFERROR(__xludf.DUMMYFUNCTION("""COMPUTED_VALUE"""),"Yes")</f>
        <v>Yes</v>
      </c>
      <c r="V1521" s="5" t="str">
        <f ca="1">IFERROR(__xludf.DUMMYFUNCTION("""COMPUTED_VALUE"""),"Morning Classes")</f>
        <v>Morning Classes</v>
      </c>
      <c r="W1521" s="10">
        <f ca="1">IFERROR(__xludf.DUMMYFUNCTION("""COMPUTED_VALUE"""),0.4375)</f>
        <v>0.4375</v>
      </c>
      <c r="X1521" s="5">
        <f ca="1">IFERROR(__xludf.DUMMYFUNCTION("""COMPUTED_VALUE"""),1)</f>
        <v>1</v>
      </c>
      <c r="Y1521" s="5" t="str">
        <f ca="1">IFERROR(__xludf.DUMMYFUNCTION("""COMPUTED_VALUE"""),"Planned attack, sent texts warning others, tackled after first shot")</f>
        <v>Planned attack, sent texts warning others, tackled after first shot</v>
      </c>
      <c r="Z1521" s="5" t="str">
        <f ca="1">IFERROR(__xludf.DUMMYFUNCTION("""COMPUTED_VALUE"""),"16YOM went into bathroom and sent text message to girl warning her to get out of school. Had been talking about school shooting for past two week including watching ""Bowling for Columbine"". Wore black trench coat. Walked out of bathroom with shotgun and"&amp;" fired at a student but missed. Tackled by the asst principal. Fired again striking another teacher in the leg before being subdued. Shooter was considered a good student and did not have disciplinary issues. Described as shy by classmates. Told other stu"&amp;"dents about his plans to shoot up the school.")</f>
        <v>16YOM went into bathroom and sent text message to girl warning her to get out of school. Had been talking about school shooting for past two week including watching "Bowling for Columbine". Wore black trench coat. Walked out of bathroom with shotgun and fired at a student but missed. Tackled by the asst principal. Fired again striking another teacher in the leg before being subdued. Shooter was considered a good student and did not have disciplinary issues. Described as shy by classmates. Told other students about his plans to shoot up the school.</v>
      </c>
      <c r="AA1521" s="5" t="str">
        <f ca="1">IFERROR(__xludf.DUMMYFUNCTION("""COMPUTED_VALUE"""),"Indiscriminate Shooting")</f>
        <v>Indiscriminate Shooting</v>
      </c>
      <c r="AB1521" s="5"/>
      <c r="AC1521" s="5" t="str">
        <f ca="1">IFERROR(__xludf.DUMMYFUNCTION("""COMPUTED_VALUE"""),"No")</f>
        <v>No</v>
      </c>
      <c r="AD1521" s="5" t="str">
        <f ca="1">IFERROR(__xludf.DUMMYFUNCTION("""COMPUTED_VALUE"""),"No")</f>
        <v>No</v>
      </c>
      <c r="AE1521" s="5" t="str">
        <f ca="1">IFERROR(__xludf.DUMMYFUNCTION("""COMPUTED_VALUE"""),"No")</f>
        <v>No</v>
      </c>
      <c r="AF1521" s="5" t="str">
        <f ca="1">IFERROR(__xludf.DUMMYFUNCTION("""COMPUTED_VALUE"""),"No")</f>
        <v>No</v>
      </c>
      <c r="AG1521" s="5" t="str">
        <f ca="1">IFERROR(__xludf.DUMMYFUNCTION("""COMPUTED_VALUE"""),"No")</f>
        <v>No</v>
      </c>
      <c r="AH1521" s="5" t="str">
        <f ca="1">IFERROR(__xludf.DUMMYFUNCTION("""COMPUTED_VALUE"""),"No")</f>
        <v>No</v>
      </c>
      <c r="AI1521" s="5" t="str">
        <f ca="1">IFERROR(__xludf.DUMMYFUNCTION("""COMPUTED_VALUE"""),"No")</f>
        <v>No</v>
      </c>
      <c r="AJ1521" s="5" t="str">
        <f ca="1">IFERROR(__xludf.DUMMYFUNCTION("""COMPUTED_VALUE"""),"Yes")</f>
        <v>Yes</v>
      </c>
    </row>
    <row r="1522" spans="1:36" ht="13">
      <c r="A1522" s="5" t="str">
        <f ca="1">IFERROR(__xludf.DUMMYFUNCTION("""COMPUTED_VALUE"""),"20040206LAFAS")</f>
        <v>20040206LAFAS</v>
      </c>
      <c r="B1522" s="5">
        <f ca="1">IFERROR(__xludf.DUMMYFUNCTION("""COMPUTED_VALUE"""),2)</f>
        <v>2</v>
      </c>
      <c r="C1522" s="5">
        <f ca="1">IFERROR(__xludf.DUMMYFUNCTION("""COMPUTED_VALUE"""),6)</f>
        <v>6</v>
      </c>
      <c r="D1522" s="5">
        <f ca="1">IFERROR(__xludf.DUMMYFUNCTION("""COMPUTED_VALUE"""),2004)</f>
        <v>2004</v>
      </c>
      <c r="E1522" s="8">
        <f ca="1">IFERROR(__xludf.DUMMYFUNCTION("""COMPUTED_VALUE"""),38023)</f>
        <v>38023</v>
      </c>
      <c r="F1522" s="5" t="str">
        <f ca="1">IFERROR(__xludf.DUMMYFUNCTION("""COMPUTED_VALUE"""),"Fair Park High School")</f>
        <v>Fair Park High School</v>
      </c>
      <c r="G1522" s="5">
        <f ca="1">IFERROR(__xludf.DUMMYFUNCTION("""COMPUTED_VALUE"""),0)</f>
        <v>0</v>
      </c>
      <c r="H1522" s="5">
        <f ca="1">IFERROR(__xludf.DUMMYFUNCTION("""COMPUTED_VALUE"""),0)</f>
        <v>0</v>
      </c>
      <c r="I1522" s="5">
        <f ca="1">IFERROR(__xludf.DUMMYFUNCTION("""COMPUTED_VALUE"""),0)</f>
        <v>0</v>
      </c>
      <c r="J1522" s="5">
        <f ca="1">IFERROR(__xludf.DUMMYFUNCTION("""COMPUTED_VALUE"""),0)</f>
        <v>0</v>
      </c>
      <c r="K1522" s="9" t="str">
        <f ca="1">IFERROR(__xludf.DUMMYFUNCTION("""COMPUTED_VALUE"""),"https://www.shreveporttimes.com/story/news/2017/11/07/times-files-officer-fires-shot-fair-park-high/841429001/")</f>
        <v>https://www.shreveporttimes.com/story/news/2017/11/07/times-files-officer-fires-shot-fair-park-high/841429001/</v>
      </c>
      <c r="L1522" s="5"/>
      <c r="M1522" s="5"/>
      <c r="N1522" s="5">
        <f ca="1">IFERROR(__xludf.DUMMYFUNCTION("""COMPUTED_VALUE"""),2)</f>
        <v>2</v>
      </c>
      <c r="O1522" s="5" t="str">
        <f ca="1">IFERROR(__xludf.DUMMYFUNCTION("""COMPUTED_VALUE"""),"Winter")</f>
        <v>Winter</v>
      </c>
      <c r="P1522" s="5" t="str">
        <f ca="1">IFERROR(__xludf.DUMMYFUNCTION("""COMPUTED_VALUE"""),"Shreveport")</f>
        <v>Shreveport</v>
      </c>
      <c r="Q1522" s="5" t="str">
        <f ca="1">IFERROR(__xludf.DUMMYFUNCTION("""COMPUTED_VALUE"""),"LA")</f>
        <v>LA</v>
      </c>
      <c r="R1522" s="5" t="str">
        <f ca="1">IFERROR(__xludf.DUMMYFUNCTION("""COMPUTED_VALUE"""),"High")</f>
        <v>High</v>
      </c>
      <c r="S1522" s="5" t="str">
        <f ca="1">IFERROR(__xludf.DUMMYFUNCTION("""COMPUTED_VALUE"""),"Parking Lot")</f>
        <v>Parking Lot</v>
      </c>
      <c r="T1522" s="5" t="str">
        <f ca="1">IFERROR(__xludf.DUMMYFUNCTION("""COMPUTED_VALUE"""),"Outside on School Property")</f>
        <v>Outside on School Property</v>
      </c>
      <c r="U1522" s="5" t="str">
        <f ca="1">IFERROR(__xludf.DUMMYFUNCTION("""COMPUTED_VALUE"""),"Yes")</f>
        <v>Yes</v>
      </c>
      <c r="V1522" s="5"/>
      <c r="W1522" s="5"/>
      <c r="X1522" s="5">
        <f ca="1">IFERROR(__xludf.DUMMYFUNCTION("""COMPUTED_VALUE"""),1)</f>
        <v>1</v>
      </c>
      <c r="Y1522" s="5" t="str">
        <f ca="1">IFERROR(__xludf.DUMMYFUNCTION("""COMPUTED_VALUE"""),"Police officer fired at student in vehicle in parking lot")</f>
        <v>Police officer fired at student in vehicle in parking lot</v>
      </c>
      <c r="Z1522" s="5" t="str">
        <f ca="1">IFERROR(__xludf.DUMMYFUNCTION("""COMPUTED_VALUE"""),"Student had been involved in fight with other students. He drove a stolen car into a staff only parking lot. Officer fear his life was in danger at fired at the student in the vehicle. Shots missed and no one was injured.")</f>
        <v>Student had been involved in fight with other students. He drove a stolen car into a staff only parking lot. Officer fear his life was in danger at fired at the student in the vehicle. Shots missed and no one was injured.</v>
      </c>
      <c r="AA1522" s="5" t="str">
        <f ca="1">IFERROR(__xludf.DUMMYFUNCTION("""COMPUTED_VALUE"""),"Illegal Activity")</f>
        <v>Illegal Activity</v>
      </c>
      <c r="AB1522" s="5" t="str">
        <f ca="1">IFERROR(__xludf.DUMMYFUNCTION("""COMPUTED_VALUE"""),"Victims Targeted")</f>
        <v>Victims Targeted</v>
      </c>
      <c r="AC1522" s="5" t="str">
        <f ca="1">IFERROR(__xludf.DUMMYFUNCTION("""COMPUTED_VALUE"""),"No")</f>
        <v>No</v>
      </c>
      <c r="AD1522" s="5" t="str">
        <f ca="1">IFERROR(__xludf.DUMMYFUNCTION("""COMPUTED_VALUE"""),"No")</f>
        <v>No</v>
      </c>
      <c r="AE1522" s="5" t="str">
        <f ca="1">IFERROR(__xludf.DUMMYFUNCTION("""COMPUTED_VALUE"""),"No")</f>
        <v>No</v>
      </c>
      <c r="AF1522" s="5" t="str">
        <f ca="1">IFERROR(__xludf.DUMMYFUNCTION("""COMPUTED_VALUE"""),"Yes")</f>
        <v>Yes</v>
      </c>
      <c r="AG1522" s="5" t="str">
        <f ca="1">IFERROR(__xludf.DUMMYFUNCTION("""COMPUTED_VALUE"""),"N/A")</f>
        <v>N/A</v>
      </c>
      <c r="AH1522" s="5" t="str">
        <f ca="1">IFERROR(__xludf.DUMMYFUNCTION("""COMPUTED_VALUE"""),"N/A")</f>
        <v>N/A</v>
      </c>
      <c r="AI1522" s="5" t="str">
        <f ca="1">IFERROR(__xludf.DUMMYFUNCTION("""COMPUTED_VALUE"""),"N/A")</f>
        <v>N/A</v>
      </c>
      <c r="AJ1522" s="5" t="str">
        <f ca="1">IFERROR(__xludf.DUMMYFUNCTION("""COMPUTED_VALUE"""),"N/A")</f>
        <v>N/A</v>
      </c>
    </row>
    <row r="1523" spans="1:36" ht="13">
      <c r="A1523" s="5" t="str">
        <f ca="1">IFERROR(__xludf.DUMMYFUNCTION("""COMPUTED_VALUE"""),"20040203TXYOH")</f>
        <v>20040203TXYOH</v>
      </c>
      <c r="B1523" s="5">
        <f ca="1">IFERROR(__xludf.DUMMYFUNCTION("""COMPUTED_VALUE"""),2)</f>
        <v>2</v>
      </c>
      <c r="C1523" s="5">
        <f ca="1">IFERROR(__xludf.DUMMYFUNCTION("""COMPUTED_VALUE"""),3)</f>
        <v>3</v>
      </c>
      <c r="D1523" s="5">
        <f ca="1">IFERROR(__xludf.DUMMYFUNCTION("""COMPUTED_VALUE"""),2004)</f>
        <v>2004</v>
      </c>
      <c r="E1523" s="8">
        <f ca="1">IFERROR(__xludf.DUMMYFUNCTION("""COMPUTED_VALUE"""),38020)</f>
        <v>38020</v>
      </c>
      <c r="F1523" s="5" t="str">
        <f ca="1">IFERROR(__xludf.DUMMYFUNCTION("""COMPUTED_VALUE"""),"Youens Elementary School")</f>
        <v>Youens Elementary School</v>
      </c>
      <c r="G1523" s="5">
        <f ca="1">IFERROR(__xludf.DUMMYFUNCTION("""COMPUTED_VALUE"""),0)</f>
        <v>0</v>
      </c>
      <c r="H1523" s="5">
        <f ca="1">IFERROR(__xludf.DUMMYFUNCTION("""COMPUTED_VALUE"""),0)</f>
        <v>0</v>
      </c>
      <c r="I1523" s="5">
        <f ca="1">IFERROR(__xludf.DUMMYFUNCTION("""COMPUTED_VALUE"""),0)</f>
        <v>0</v>
      </c>
      <c r="J1523" s="5">
        <f ca="1">IFERROR(__xludf.DUMMYFUNCTION("""COMPUTED_VALUE"""),0)</f>
        <v>0</v>
      </c>
      <c r="K1523" s="9" t="str">
        <f ca="1">IFERROR(__xludf.DUMMYFUNCTION("""COMPUTED_VALUE"""),"https://www.chron.com/news/houston-texas/article/Fifth-grader-accidentally-shoots-himself-at-school-1979500.php")</f>
        <v>https://www.chron.com/news/houston-texas/article/Fifth-grader-accidentally-shoots-himself-at-school-1979500.php</v>
      </c>
      <c r="L1523" s="5"/>
      <c r="M1523" s="5"/>
      <c r="N1523" s="5">
        <f ca="1">IFERROR(__xludf.DUMMYFUNCTION("""COMPUTED_VALUE"""),2)</f>
        <v>2</v>
      </c>
      <c r="O1523" s="5" t="str">
        <f ca="1">IFERROR(__xludf.DUMMYFUNCTION("""COMPUTED_VALUE"""),"Winter")</f>
        <v>Winter</v>
      </c>
      <c r="P1523" s="5" t="str">
        <f ca="1">IFERROR(__xludf.DUMMYFUNCTION("""COMPUTED_VALUE"""),"Houston")</f>
        <v>Houston</v>
      </c>
      <c r="Q1523" s="5" t="str">
        <f ca="1">IFERROR(__xludf.DUMMYFUNCTION("""COMPUTED_VALUE"""),"TX")</f>
        <v>TX</v>
      </c>
      <c r="R1523" s="5" t="str">
        <f ca="1">IFERROR(__xludf.DUMMYFUNCTION("""COMPUTED_VALUE"""),"Elementary")</f>
        <v>Elementary</v>
      </c>
      <c r="S1523" s="5" t="str">
        <f ca="1">IFERROR(__xludf.DUMMYFUNCTION("""COMPUTED_VALUE"""),"Classroom")</f>
        <v>Classroom</v>
      </c>
      <c r="T1523" s="5" t="str">
        <f ca="1">IFERROR(__xludf.DUMMYFUNCTION("""COMPUTED_VALUE"""),"Inside School Building")</f>
        <v>Inside School Building</v>
      </c>
      <c r="U1523" s="5" t="str">
        <f ca="1">IFERROR(__xludf.DUMMYFUNCTION("""COMPUTED_VALUE"""),"Yes")</f>
        <v>Yes</v>
      </c>
      <c r="V1523" s="5" t="str">
        <f ca="1">IFERROR(__xludf.DUMMYFUNCTION("""COMPUTED_VALUE"""),"Afternoon Classes")</f>
        <v>Afternoon Classes</v>
      </c>
      <c r="W1523" s="10">
        <f ca="1">IFERROR(__xludf.DUMMYFUNCTION("""COMPUTED_VALUE"""),0.4375)</f>
        <v>0.4375</v>
      </c>
      <c r="X1523" s="5">
        <f ca="1">IFERROR(__xludf.DUMMYFUNCTION("""COMPUTED_VALUE"""),1)</f>
        <v>1</v>
      </c>
      <c r="Y1523" s="5" t="str">
        <f ca="1">IFERROR(__xludf.DUMMYFUNCTION("""COMPUTED_VALUE"""),"Showed off gun, fired when he put it into waistband of pants striking himself")</f>
        <v>Showed off gun, fired when he put it into waistband of pants striking himself</v>
      </c>
      <c r="Z1523" s="5" t="str">
        <f ca="1">IFERROR(__xludf.DUMMYFUNCTION("""COMPUTED_VALUE"""),"12YOM student was showing off gun to other students in the classroom. Fired when he put it back into the waistband of his pants.")</f>
        <v>12YOM student was showing off gun to other students in the classroom. Fired when he put it back into the waistband of his pants.</v>
      </c>
      <c r="AA1523" s="5" t="str">
        <f ca="1">IFERROR(__xludf.DUMMYFUNCTION("""COMPUTED_VALUE"""),"Accidental")</f>
        <v>Accidental</v>
      </c>
      <c r="AB1523" s="5" t="str">
        <f ca="1">IFERROR(__xludf.DUMMYFUNCTION("""COMPUTED_VALUE"""),"Neither")</f>
        <v>Neither</v>
      </c>
      <c r="AC1523" s="5" t="str">
        <f ca="1">IFERROR(__xludf.DUMMYFUNCTION("""COMPUTED_VALUE"""),"No")</f>
        <v>No</v>
      </c>
      <c r="AD1523" s="5" t="str">
        <f ca="1">IFERROR(__xludf.DUMMYFUNCTION("""COMPUTED_VALUE"""),"No")</f>
        <v>No</v>
      </c>
      <c r="AE1523" s="5" t="str">
        <f ca="1">IFERROR(__xludf.DUMMYFUNCTION("""COMPUTED_VALUE"""),"No")</f>
        <v>No</v>
      </c>
      <c r="AF1523" s="5" t="str">
        <f ca="1">IFERROR(__xludf.DUMMYFUNCTION("""COMPUTED_VALUE"""),"No")</f>
        <v>No</v>
      </c>
      <c r="AG1523" s="5" t="str">
        <f ca="1">IFERROR(__xludf.DUMMYFUNCTION("""COMPUTED_VALUE"""),"No")</f>
        <v>No</v>
      </c>
      <c r="AH1523" s="5" t="str">
        <f ca="1">IFERROR(__xludf.DUMMYFUNCTION("""COMPUTED_VALUE"""),"No")</f>
        <v>No</v>
      </c>
      <c r="AI1523" s="5" t="str">
        <f ca="1">IFERROR(__xludf.DUMMYFUNCTION("""COMPUTED_VALUE"""),"No")</f>
        <v>No</v>
      </c>
      <c r="AJ1523" s="5"/>
    </row>
    <row r="1524" spans="1:36" ht="13">
      <c r="A1524" s="5" t="str">
        <f ca="1">IFERROR(__xludf.DUMMYFUNCTION("""COMPUTED_VALUE"""),"20040202DCBAW")</f>
        <v>20040202DCBAW</v>
      </c>
      <c r="B1524" s="5">
        <f ca="1">IFERROR(__xludf.DUMMYFUNCTION("""COMPUTED_VALUE"""),2)</f>
        <v>2</v>
      </c>
      <c r="C1524" s="5">
        <f ca="1">IFERROR(__xludf.DUMMYFUNCTION("""COMPUTED_VALUE"""),2)</f>
        <v>2</v>
      </c>
      <c r="D1524" s="5">
        <f ca="1">IFERROR(__xludf.DUMMYFUNCTION("""COMPUTED_VALUE"""),2004)</f>
        <v>2004</v>
      </c>
      <c r="E1524" s="8">
        <f ca="1">IFERROR(__xludf.DUMMYFUNCTION("""COMPUTED_VALUE"""),38019)</f>
        <v>38019</v>
      </c>
      <c r="F1524" s="5" t="str">
        <f ca="1">IFERROR(__xludf.DUMMYFUNCTION("""COMPUTED_VALUE"""),"Ballou Senior High School")</f>
        <v>Ballou Senior High School</v>
      </c>
      <c r="G1524" s="5">
        <f ca="1">IFERROR(__xludf.DUMMYFUNCTION("""COMPUTED_VALUE"""),1)</f>
        <v>1</v>
      </c>
      <c r="H1524" s="5">
        <f ca="1">IFERROR(__xludf.DUMMYFUNCTION("""COMPUTED_VALUE"""),0)</f>
        <v>0</v>
      </c>
      <c r="I1524" s="5">
        <f ca="1">IFERROR(__xludf.DUMMYFUNCTION("""COMPUTED_VALUE"""),1)</f>
        <v>1</v>
      </c>
      <c r="J1524" s="5">
        <f ca="1">IFERROR(__xludf.DUMMYFUNCTION("""COMPUTED_VALUE"""),0)</f>
        <v>0</v>
      </c>
      <c r="K1524" s="9" t="str">
        <f ca="1">IFERROR(__xludf.DUMMYFUNCTION("""COMPUTED_VALUE"""),"http://www.washingtonpost.com/wp-dyn/articles/A13630-2004Feb4.html")</f>
        <v>http://www.washingtonpost.com/wp-dyn/articles/A13630-2004Feb4.html</v>
      </c>
      <c r="L1524" s="5"/>
      <c r="M1524" s="5"/>
      <c r="N1524" s="5">
        <f ca="1">IFERROR(__xludf.DUMMYFUNCTION("""COMPUTED_VALUE"""),2)</f>
        <v>2</v>
      </c>
      <c r="O1524" s="5" t="str">
        <f ca="1">IFERROR(__xludf.DUMMYFUNCTION("""COMPUTED_VALUE"""),"Winter")</f>
        <v>Winter</v>
      </c>
      <c r="P1524" s="5" t="str">
        <f ca="1">IFERROR(__xludf.DUMMYFUNCTION("""COMPUTED_VALUE"""),"Washington")</f>
        <v>Washington</v>
      </c>
      <c r="Q1524" s="5" t="str">
        <f ca="1">IFERROR(__xludf.DUMMYFUNCTION("""COMPUTED_VALUE"""),"DC")</f>
        <v>DC</v>
      </c>
      <c r="R1524" s="5" t="str">
        <f ca="1">IFERROR(__xludf.DUMMYFUNCTION("""COMPUTED_VALUE"""),"High")</f>
        <v>High</v>
      </c>
      <c r="S1524" s="5" t="str">
        <f ca="1">IFERROR(__xludf.DUMMYFUNCTION("""COMPUTED_VALUE"""),"Beside Building")</f>
        <v>Beside Building</v>
      </c>
      <c r="T1524" s="5" t="str">
        <f ca="1">IFERROR(__xludf.DUMMYFUNCTION("""COMPUTED_VALUE"""),"Outside on School Property")</f>
        <v>Outside on School Property</v>
      </c>
      <c r="U1524" s="5" t="str">
        <f ca="1">IFERROR(__xludf.DUMMYFUNCTION("""COMPUTED_VALUE"""),"Yes")</f>
        <v>Yes</v>
      </c>
      <c r="V1524" s="5" t="str">
        <f ca="1">IFERROR(__xludf.DUMMYFUNCTION("""COMPUTED_VALUE"""),"Morning Classes")</f>
        <v>Morning Classes</v>
      </c>
      <c r="W1524" s="10">
        <f ca="1">IFERROR(__xludf.DUMMYFUNCTION("""COMPUTED_VALUE"""),0.4375)</f>
        <v>0.4375</v>
      </c>
      <c r="X1524" s="5">
        <f ca="1">IFERROR(__xludf.DUMMYFUNCTION("""COMPUTED_VALUE"""),1)</f>
        <v>1</v>
      </c>
      <c r="Y1524" s="5" t="str">
        <f ca="1">IFERROR(__xludf.DUMMYFUNCTION("""COMPUTED_VALUE"""),"Multiple fights between shooter and victim")</f>
        <v>Multiple fights between shooter and victim</v>
      </c>
      <c r="Z1524" s="5" t="str">
        <f ca="1">IFERROR(__xludf.DUMMYFUNCTION("""COMPUTED_VALUE"""),"Ongoing dispute between two students had resulted in multiple fist fights. During a fist fight, the shooter pulled a handgun and fired multiple shots killing the victim. The school and the parents were both aware the fights and had attempted resolution.")</f>
        <v>Ongoing dispute between two students had resulted in multiple fist fights. During a fist fight, the shooter pulled a handgun and fired multiple shots killing the victim. The school and the parents were both aware the fights and had attempted resolution.</v>
      </c>
      <c r="AA1524" s="5" t="str">
        <f ca="1">IFERROR(__xludf.DUMMYFUNCTION("""COMPUTED_VALUE"""),"Escalation of Dispute")</f>
        <v>Escalation of Dispute</v>
      </c>
      <c r="AB1524" s="5" t="str">
        <f ca="1">IFERROR(__xludf.DUMMYFUNCTION("""COMPUTED_VALUE"""),"Victims Targeted")</f>
        <v>Victims Targeted</v>
      </c>
      <c r="AC1524" s="5" t="str">
        <f ca="1">IFERROR(__xludf.DUMMYFUNCTION("""COMPUTED_VALUE"""),"No")</f>
        <v>No</v>
      </c>
      <c r="AD1524" s="5" t="str">
        <f ca="1">IFERROR(__xludf.DUMMYFUNCTION("""COMPUTED_VALUE"""),"No")</f>
        <v>No</v>
      </c>
      <c r="AE1524" s="5" t="str">
        <f ca="1">IFERROR(__xludf.DUMMYFUNCTION("""COMPUTED_VALUE"""),"No")</f>
        <v>No</v>
      </c>
      <c r="AF1524" s="5" t="str">
        <f ca="1">IFERROR(__xludf.DUMMYFUNCTION("""COMPUTED_VALUE"""),"No")</f>
        <v>No</v>
      </c>
      <c r="AG1524" s="5" t="str">
        <f ca="1">IFERROR(__xludf.DUMMYFUNCTION("""COMPUTED_VALUE"""),"No")</f>
        <v>No</v>
      </c>
      <c r="AH1524" s="5" t="str">
        <f ca="1">IFERROR(__xludf.DUMMYFUNCTION("""COMPUTED_VALUE"""),"No")</f>
        <v>No</v>
      </c>
      <c r="AI1524" s="5" t="str">
        <f ca="1">IFERROR(__xludf.DUMMYFUNCTION("""COMPUTED_VALUE"""),"No")</f>
        <v>No</v>
      </c>
      <c r="AJ1524" s="5"/>
    </row>
    <row r="1525" spans="1:36" ht="13">
      <c r="A1525" s="5" t="str">
        <f ca="1">IFERROR(__xludf.DUMMYFUNCTION("""COMPUTED_VALUE"""),"20040121NVFAH")</f>
        <v>20040121NVFAH</v>
      </c>
      <c r="B1525" s="5">
        <f ca="1">IFERROR(__xludf.DUMMYFUNCTION("""COMPUTED_VALUE"""),1)</f>
        <v>1</v>
      </c>
      <c r="C1525" s="5">
        <f ca="1">IFERROR(__xludf.DUMMYFUNCTION("""COMPUTED_VALUE"""),21)</f>
        <v>21</v>
      </c>
      <c r="D1525" s="5">
        <f ca="1">IFERROR(__xludf.DUMMYFUNCTION("""COMPUTED_VALUE"""),2004)</f>
        <v>2004</v>
      </c>
      <c r="E1525" s="8">
        <f ca="1">IFERROR(__xludf.DUMMYFUNCTION("""COMPUTED_VALUE"""),38007)</f>
        <v>38007</v>
      </c>
      <c r="F1525" s="5" t="str">
        <f ca="1">IFERROR(__xludf.DUMMYFUNCTION("""COMPUTED_VALUE"""),"Fay Galloway Elementary School")</f>
        <v>Fay Galloway Elementary School</v>
      </c>
      <c r="G1525" s="5">
        <f ca="1">IFERROR(__xludf.DUMMYFUNCTION("""COMPUTED_VALUE"""),1)</f>
        <v>1</v>
      </c>
      <c r="H1525" s="5">
        <f ca="1">IFERROR(__xludf.DUMMYFUNCTION("""COMPUTED_VALUE"""),0)</f>
        <v>0</v>
      </c>
      <c r="I1525" s="5">
        <f ca="1">IFERROR(__xludf.DUMMYFUNCTION("""COMPUTED_VALUE"""),1)</f>
        <v>1</v>
      </c>
      <c r="J1525" s="5">
        <f ca="1">IFERROR(__xludf.DUMMYFUNCTION("""COMPUTED_VALUE"""),1)</f>
        <v>1</v>
      </c>
      <c r="K1525" s="9" t="str">
        <f ca="1">IFERROR(__xludf.DUMMYFUNCTION("""COMPUTED_VALUE"""),"https://lasvegassun.com/news/2004/feb/27/inquest-begins-in-shooting-at-elementary-school/")</f>
        <v>https://lasvegassun.com/news/2004/feb/27/inquest-begins-in-shooting-at-elementary-school/</v>
      </c>
      <c r="L1525" s="5">
        <f ca="1">IFERROR(__xludf.DUMMYFUNCTION("""COMPUTED_VALUE"""),3)</f>
        <v>3</v>
      </c>
      <c r="M1525" s="5" t="str">
        <f ca="1">IFERROR(__xludf.DUMMYFUNCTION("""COMPUTED_VALUE"""),"Local")</f>
        <v>Local</v>
      </c>
      <c r="N1525" s="5">
        <f ca="1">IFERROR(__xludf.DUMMYFUNCTION("""COMPUTED_VALUE"""),2)</f>
        <v>2</v>
      </c>
      <c r="O1525" s="5" t="str">
        <f ca="1">IFERROR(__xludf.DUMMYFUNCTION("""COMPUTED_VALUE"""),"Winter")</f>
        <v>Winter</v>
      </c>
      <c r="P1525" s="5" t="str">
        <f ca="1">IFERROR(__xludf.DUMMYFUNCTION("""COMPUTED_VALUE"""),"Henderson")</f>
        <v>Henderson</v>
      </c>
      <c r="Q1525" s="5" t="str">
        <f ca="1">IFERROR(__xludf.DUMMYFUNCTION("""COMPUTED_VALUE"""),"NV")</f>
        <v>NV</v>
      </c>
      <c r="R1525" s="5" t="str">
        <f ca="1">IFERROR(__xludf.DUMMYFUNCTION("""COMPUTED_VALUE"""),"Elementary")</f>
        <v>Elementary</v>
      </c>
      <c r="S1525" s="5" t="str">
        <f ca="1">IFERROR(__xludf.DUMMYFUNCTION("""COMPUTED_VALUE"""),"Classroom; Parking Lot")</f>
        <v>Classroom; Parking Lot</v>
      </c>
      <c r="T1525" s="5" t="str">
        <f ca="1">IFERROR(__xludf.DUMMYFUNCTION("""COMPUTED_VALUE"""),"Both Inside/Outside")</f>
        <v>Both Inside/Outside</v>
      </c>
      <c r="U1525" s="5" t="str">
        <f ca="1">IFERROR(__xludf.DUMMYFUNCTION("""COMPUTED_VALUE"""),"No")</f>
        <v>No</v>
      </c>
      <c r="V1525" s="5" t="str">
        <f ca="1">IFERROR(__xludf.DUMMYFUNCTION("""COMPUTED_VALUE"""),"After School")</f>
        <v>After School</v>
      </c>
      <c r="W1525" s="10">
        <f ca="1">IFERROR(__xludf.DUMMYFUNCTION("""COMPUTED_VALUE"""),0.701388888888888)</f>
        <v>0.70138888888888795</v>
      </c>
      <c r="X1525" s="5">
        <f ca="1">IFERROR(__xludf.DUMMYFUNCTION("""COMPUTED_VALUE"""),20)</f>
        <v>20</v>
      </c>
      <c r="Y1525" s="5" t="str">
        <f ca="1">IFERROR(__xludf.DUMMYFUNCTION("""COMPUTED_VALUE"""),"Domestic, shooter killed man in parking lot and went into school looking for ex-girlfriend (teacher); took her hostage; confronted by police officer and killed")</f>
        <v>Domestic, shooter killed man in parking lot and went into school looking for ex-girlfriend (teacher); took her hostage; confronted by police officer and killed</v>
      </c>
      <c r="Z1525" s="5" t="str">
        <f ca="1">IFERROR(__xludf.DUMMYFUNCTION("""COMPUTED_VALUE"""),"Shooter had troubled relationship with an ex-girlfriend who was a teacher at the school. Shooter killed an adult male in the parking lot (likely her new boyfriend) and went into the school. Shooter took the ex-girlfriend hostage for 20 minutes before walk"&amp;"ing her out to the parking lot where he was shot and killed by a police officer investigating the shooting. Students were in the school during the incident but were not harmed.")</f>
        <v>Shooter had troubled relationship with an ex-girlfriend who was a teacher at the school. Shooter killed an adult male in the parking lot (likely her new boyfriend) and went into the school. Shooter took the ex-girlfriend hostage for 20 minutes before walking her out to the parking lot where he was shot and killed by a police officer investigating the shooting. Students were in the school during the incident but were not harmed.</v>
      </c>
      <c r="AA1525" s="5" t="str">
        <f ca="1">IFERROR(__xludf.DUMMYFUNCTION("""COMPUTED_VALUE"""),"Domestic w/ Targeted Victim")</f>
        <v>Domestic w/ Targeted Victim</v>
      </c>
      <c r="AB1525" s="5" t="str">
        <f ca="1">IFERROR(__xludf.DUMMYFUNCTION("""COMPUTED_VALUE"""),"Victims Targeted")</f>
        <v>Victims Targeted</v>
      </c>
      <c r="AC1525" s="5" t="str">
        <f ca="1">IFERROR(__xludf.DUMMYFUNCTION("""COMPUTED_VALUE"""),"No")</f>
        <v>No</v>
      </c>
      <c r="AD1525" s="5" t="str">
        <f ca="1">IFERROR(__xludf.DUMMYFUNCTION("""COMPUTED_VALUE"""),"Yes")</f>
        <v>Yes</v>
      </c>
      <c r="AE1525" s="5" t="str">
        <f ca="1">IFERROR(__xludf.DUMMYFUNCTION("""COMPUTED_VALUE"""),"No")</f>
        <v>No</v>
      </c>
      <c r="AF1525" s="5" t="str">
        <f ca="1">IFERROR(__xludf.DUMMYFUNCTION("""COMPUTED_VALUE"""),"No")</f>
        <v>No</v>
      </c>
      <c r="AG1525" s="5" t="str">
        <f ca="1">IFERROR(__xludf.DUMMYFUNCTION("""COMPUTED_VALUE"""),"No")</f>
        <v>No</v>
      </c>
      <c r="AH1525" s="5" t="str">
        <f ca="1">IFERROR(__xludf.DUMMYFUNCTION("""COMPUTED_VALUE"""),"Yes")</f>
        <v>Yes</v>
      </c>
      <c r="AI1525" s="5" t="str">
        <f ca="1">IFERROR(__xludf.DUMMYFUNCTION("""COMPUTED_VALUE"""),"No")</f>
        <v>No</v>
      </c>
      <c r="AJ1525" s="5" t="str">
        <f ca="1">IFERROR(__xludf.DUMMYFUNCTION("""COMPUTED_VALUE"""),"Yes")</f>
        <v>Yes</v>
      </c>
    </row>
    <row r="1526" spans="1:36" ht="13">
      <c r="A1526" s="5" t="str">
        <f ca="1">IFERROR(__xludf.DUMMYFUNCTION("""COMPUTED_VALUE"""),"20040115CAPOP")</f>
        <v>20040115CAPOP</v>
      </c>
      <c r="B1526" s="5">
        <f ca="1">IFERROR(__xludf.DUMMYFUNCTION("""COMPUTED_VALUE"""),1)</f>
        <v>1</v>
      </c>
      <c r="C1526" s="5">
        <f ca="1">IFERROR(__xludf.DUMMYFUNCTION("""COMPUTED_VALUE"""),15)</f>
        <v>15</v>
      </c>
      <c r="D1526" s="5">
        <f ca="1">IFERROR(__xludf.DUMMYFUNCTION("""COMPUTED_VALUE"""),2004)</f>
        <v>2004</v>
      </c>
      <c r="E1526" s="8">
        <f ca="1">IFERROR(__xludf.DUMMYFUNCTION("""COMPUTED_VALUE"""),38001)</f>
        <v>38001</v>
      </c>
      <c r="F1526" s="5" t="str">
        <f ca="1">IFERROR(__xludf.DUMMYFUNCTION("""COMPUTED_VALUE"""),"Pomona High School")</f>
        <v>Pomona High School</v>
      </c>
      <c r="G1526" s="5">
        <f ca="1">IFERROR(__xludf.DUMMYFUNCTION("""COMPUTED_VALUE"""),0)</f>
        <v>0</v>
      </c>
      <c r="H1526" s="5">
        <f ca="1">IFERROR(__xludf.DUMMYFUNCTION("""COMPUTED_VALUE"""),1)</f>
        <v>1</v>
      </c>
      <c r="I1526" s="5">
        <f ca="1">IFERROR(__xludf.DUMMYFUNCTION("""COMPUTED_VALUE"""),1)</f>
        <v>1</v>
      </c>
      <c r="J1526" s="5">
        <f ca="1">IFERROR(__xludf.DUMMYFUNCTION("""COMPUTED_VALUE"""),0)</f>
        <v>0</v>
      </c>
      <c r="K1526" s="9" t="str">
        <f ca="1">IFERROR(__xludf.DUMMYFUNCTION("""COMPUTED_VALUE"""),"https://www.newspapers.com/image/192733466/?terms=Pomona%2BHigh%2BSchool%2Bstudent%2Bshot")</f>
        <v>https://www.newspapers.com/image/192733466/?terms=Pomona%2BHigh%2BSchool%2Bstudent%2Bshot</v>
      </c>
      <c r="L1526" s="5"/>
      <c r="M1526" s="5"/>
      <c r="N1526" s="5">
        <f ca="1">IFERROR(__xludf.DUMMYFUNCTION("""COMPUTED_VALUE"""),2)</f>
        <v>2</v>
      </c>
      <c r="O1526" s="5" t="str">
        <f ca="1">IFERROR(__xludf.DUMMYFUNCTION("""COMPUTED_VALUE"""),"Winter")</f>
        <v>Winter</v>
      </c>
      <c r="P1526" s="5" t="str">
        <f ca="1">IFERROR(__xludf.DUMMYFUNCTION("""COMPUTED_VALUE"""),"Pomona")</f>
        <v>Pomona</v>
      </c>
      <c r="Q1526" s="5" t="str">
        <f ca="1">IFERROR(__xludf.DUMMYFUNCTION("""COMPUTED_VALUE"""),"CA")</f>
        <v>CA</v>
      </c>
      <c r="R1526" s="5" t="str">
        <f ca="1">IFERROR(__xludf.DUMMYFUNCTION("""COMPUTED_VALUE"""),"High")</f>
        <v>High</v>
      </c>
      <c r="S1526" s="5" t="str">
        <f ca="1">IFERROR(__xludf.DUMMYFUNCTION("""COMPUTED_VALUE"""),"Classroom")</f>
        <v>Classroom</v>
      </c>
      <c r="T1526" s="5" t="str">
        <f ca="1">IFERROR(__xludf.DUMMYFUNCTION("""COMPUTED_VALUE"""),"Inside School Building")</f>
        <v>Inside School Building</v>
      </c>
      <c r="U1526" s="5" t="str">
        <f ca="1">IFERROR(__xludf.DUMMYFUNCTION("""COMPUTED_VALUE"""),"Yes")</f>
        <v>Yes</v>
      </c>
      <c r="V1526" s="5" t="str">
        <f ca="1">IFERROR(__xludf.DUMMYFUNCTION("""COMPUTED_VALUE"""),"Morning Classes")</f>
        <v>Morning Classes</v>
      </c>
      <c r="W1526" s="5"/>
      <c r="X1526" s="5">
        <f ca="1">IFERROR(__xludf.DUMMYFUNCTION("""COMPUTED_VALUE"""),1)</f>
        <v>1</v>
      </c>
      <c r="Y1526" s="5" t="str">
        <f ca="1">IFERROR(__xludf.DUMMYFUNCTION("""COMPUTED_VALUE"""),"Students passing .22 pistol, went off, female student shot but didn't notice pain until later, teacher thought it was firecracker")</f>
        <v>Students passing .22 pistol, went off, female student shot but didn't notice pain until later, teacher thought it was firecracker</v>
      </c>
      <c r="Z1526" s="5" t="str">
        <f ca="1">IFERROR(__xludf.DUMMYFUNCTION("""COMPUTED_VALUE"""),"Two 17YOM students were passing a .22 pistol in the classroom. The gun went off striking a 16YOF student. She did not immediately realize she had been struck, later determined the bullet was 2"" from her heart. Teacher thought a firecracker went off. Wasn"&amp;"'t determined to be a shooting until later. Student holding the gun was arrested later.")</f>
        <v>Two 17YOM students were passing a .22 pistol in the classroom. The gun went off striking a 16YOF student. She did not immediately realize she had been struck, later determined the bullet was 2" from her heart. Teacher thought a firecracker went off. Wasn't determined to be a shooting until later. Student holding the gun was arrested later.</v>
      </c>
      <c r="AA1526" s="5" t="str">
        <f ca="1">IFERROR(__xludf.DUMMYFUNCTION("""COMPUTED_VALUE"""),"Accidental")</f>
        <v>Accidental</v>
      </c>
      <c r="AB1526" s="5" t="str">
        <f ca="1">IFERROR(__xludf.DUMMYFUNCTION("""COMPUTED_VALUE"""),"Random Shooting")</f>
        <v>Random Shooting</v>
      </c>
      <c r="AC1526" s="5" t="str">
        <f ca="1">IFERROR(__xludf.DUMMYFUNCTION("""COMPUTED_VALUE"""),"Yes")</f>
        <v>Yes</v>
      </c>
      <c r="AD1526" s="5" t="str">
        <f ca="1">IFERROR(__xludf.DUMMYFUNCTION("""COMPUTED_VALUE"""),"No")</f>
        <v>No</v>
      </c>
      <c r="AE1526" s="5" t="str">
        <f ca="1">IFERROR(__xludf.DUMMYFUNCTION("""COMPUTED_VALUE"""),"No")</f>
        <v>No</v>
      </c>
      <c r="AF1526" s="5" t="str">
        <f ca="1">IFERROR(__xludf.DUMMYFUNCTION("""COMPUTED_VALUE"""),"No")</f>
        <v>No</v>
      </c>
      <c r="AG1526" s="5" t="str">
        <f ca="1">IFERROR(__xludf.DUMMYFUNCTION("""COMPUTED_VALUE"""),"No")</f>
        <v>No</v>
      </c>
      <c r="AH1526" s="5" t="str">
        <f ca="1">IFERROR(__xludf.DUMMYFUNCTION("""COMPUTED_VALUE"""),"No")</f>
        <v>No</v>
      </c>
      <c r="AI1526" s="5" t="str">
        <f ca="1">IFERROR(__xludf.DUMMYFUNCTION("""COMPUTED_VALUE"""),"No")</f>
        <v>No</v>
      </c>
      <c r="AJ1526" s="5"/>
    </row>
    <row r="1527" spans="1:36" ht="13">
      <c r="A1527" s="5" t="str">
        <f ca="1">IFERROR(__xludf.DUMMYFUNCTION("""COMPUTED_VALUE"""),"20031229FLABE")</f>
        <v>20031229FLABE</v>
      </c>
      <c r="B1527" s="5">
        <f ca="1">IFERROR(__xludf.DUMMYFUNCTION("""COMPUTED_VALUE"""),12)</f>
        <v>12</v>
      </c>
      <c r="C1527" s="5">
        <f ca="1">IFERROR(__xludf.DUMMYFUNCTION("""COMPUTED_VALUE"""),29)</f>
        <v>29</v>
      </c>
      <c r="D1527" s="5">
        <f ca="1">IFERROR(__xludf.DUMMYFUNCTION("""COMPUTED_VALUE"""),2003)</f>
        <v>2003</v>
      </c>
      <c r="E1527" s="8">
        <f ca="1">IFERROR(__xludf.DUMMYFUNCTION("""COMPUTED_VALUE"""),37984)</f>
        <v>37984</v>
      </c>
      <c r="F1527" s="5" t="str">
        <f ca="1">IFERROR(__xludf.DUMMYFUNCTION("""COMPUTED_VALUE"""),"Abess Park Elementary School")</f>
        <v>Abess Park Elementary School</v>
      </c>
      <c r="G1527" s="5">
        <f ca="1">IFERROR(__xludf.DUMMYFUNCTION("""COMPUTED_VALUE"""),1)</f>
        <v>1</v>
      </c>
      <c r="H1527" s="5">
        <f ca="1">IFERROR(__xludf.DUMMYFUNCTION("""COMPUTED_VALUE"""),1)</f>
        <v>1</v>
      </c>
      <c r="I1527" s="5">
        <f ca="1">IFERROR(__xludf.DUMMYFUNCTION("""COMPUTED_VALUE"""),2)</f>
        <v>2</v>
      </c>
      <c r="J1527" s="5">
        <f ca="1">IFERROR(__xludf.DUMMYFUNCTION("""COMPUTED_VALUE"""),0)</f>
        <v>0</v>
      </c>
      <c r="K1527" s="9" t="str">
        <f ca="1">IFERROR(__xludf.DUMMYFUNCTION("""COMPUTED_VALUE"""),"https://www.news4jax.com/news/two-brothers-arrested-for-school-lot-shooting")</f>
        <v>https://www.news4jax.com/news/two-brothers-arrested-for-school-lot-shooting</v>
      </c>
      <c r="L1527" s="5"/>
      <c r="M1527" s="5"/>
      <c r="N1527" s="5">
        <f ca="1">IFERROR(__xludf.DUMMYFUNCTION("""COMPUTED_VALUE"""),2)</f>
        <v>2</v>
      </c>
      <c r="O1527" s="5" t="str">
        <f ca="1">IFERROR(__xludf.DUMMYFUNCTION("""COMPUTED_VALUE"""),"Winter")</f>
        <v>Winter</v>
      </c>
      <c r="P1527" s="5" t="str">
        <f ca="1">IFERROR(__xludf.DUMMYFUNCTION("""COMPUTED_VALUE"""),"East Arlington")</f>
        <v>East Arlington</v>
      </c>
      <c r="Q1527" s="5" t="str">
        <f ca="1">IFERROR(__xludf.DUMMYFUNCTION("""COMPUTED_VALUE"""),"FL")</f>
        <v>FL</v>
      </c>
      <c r="R1527" s="5" t="str">
        <f ca="1">IFERROR(__xludf.DUMMYFUNCTION("""COMPUTED_VALUE"""),"Elementary")</f>
        <v>Elementary</v>
      </c>
      <c r="S1527" s="5" t="str">
        <f ca="1">IFERROR(__xludf.DUMMYFUNCTION("""COMPUTED_VALUE"""),"Parking Lot")</f>
        <v>Parking Lot</v>
      </c>
      <c r="T1527" s="5" t="str">
        <f ca="1">IFERROR(__xludf.DUMMYFUNCTION("""COMPUTED_VALUE"""),"Outside on School Property")</f>
        <v>Outside on School Property</v>
      </c>
      <c r="U1527" s="5" t="str">
        <f ca="1">IFERROR(__xludf.DUMMYFUNCTION("""COMPUTED_VALUE"""),"No")</f>
        <v>No</v>
      </c>
      <c r="V1527" s="5" t="str">
        <f ca="1">IFERROR(__xludf.DUMMYFUNCTION("""COMPUTED_VALUE"""),"Night")</f>
        <v>Night</v>
      </c>
      <c r="W1527" s="10">
        <f ca="1">IFERROR(__xludf.DUMMYFUNCTION("""COMPUTED_VALUE"""),0.166666666666666)</f>
        <v>0.16666666666666599</v>
      </c>
      <c r="X1527" s="5">
        <f ca="1">IFERROR(__xludf.DUMMYFUNCTION("""COMPUTED_VALUE"""),1)</f>
        <v>1</v>
      </c>
      <c r="Y1527" s="5" t="str">
        <f ca="1">IFERROR(__xludf.DUMMYFUNCTION("""COMPUTED_VALUE"""),"Shooting between rival gangs in school parking lot")</f>
        <v>Shooting between rival gangs in school parking lot</v>
      </c>
      <c r="Z1527" s="5" t="str">
        <f ca="1">IFERROR(__xludf.DUMMYFUNCTION("""COMPUTED_VALUE"""),"Shooter fired 15 shots at rival gang members in car parked in the school parking lot killing one and injuring one. Shooter then shot himself to make it appear that it was self defense and had his brother drive him to the hospital.")</f>
        <v>Shooter fired 15 shots at rival gang members in car parked in the school parking lot killing one and injuring one. Shooter then shot himself to make it appear that it was self defense and had his brother drive him to the hospital.</v>
      </c>
      <c r="AA1527" s="5" t="str">
        <f ca="1">IFERROR(__xludf.DUMMYFUNCTION("""COMPUTED_VALUE"""),"Escalation of Dispute")</f>
        <v>Escalation of Dispute</v>
      </c>
      <c r="AB1527" s="5" t="str">
        <f ca="1">IFERROR(__xludf.DUMMYFUNCTION("""COMPUTED_VALUE"""),"Victims Targeted")</f>
        <v>Victims Targeted</v>
      </c>
      <c r="AC1527" s="5" t="str">
        <f ca="1">IFERROR(__xludf.DUMMYFUNCTION("""COMPUTED_VALUE"""),"Yes")</f>
        <v>Yes</v>
      </c>
      <c r="AD1527" s="5" t="str">
        <f ca="1">IFERROR(__xludf.DUMMYFUNCTION("""COMPUTED_VALUE"""),"No")</f>
        <v>No</v>
      </c>
      <c r="AE1527" s="5" t="str">
        <f ca="1">IFERROR(__xludf.DUMMYFUNCTION("""COMPUTED_VALUE"""),"No")</f>
        <v>No</v>
      </c>
      <c r="AF1527" s="5" t="str">
        <f ca="1">IFERROR(__xludf.DUMMYFUNCTION("""COMPUTED_VALUE"""),"No")</f>
        <v>No</v>
      </c>
      <c r="AG1527" s="5" t="str">
        <f ca="1">IFERROR(__xludf.DUMMYFUNCTION("""COMPUTED_VALUE"""),"No")</f>
        <v>No</v>
      </c>
      <c r="AH1527" s="5" t="str">
        <f ca="1">IFERROR(__xludf.DUMMYFUNCTION("""COMPUTED_VALUE"""),"No")</f>
        <v>No</v>
      </c>
      <c r="AI1527" s="5" t="str">
        <f ca="1">IFERROR(__xludf.DUMMYFUNCTION("""COMPUTED_VALUE"""),"Yes")</f>
        <v>Yes</v>
      </c>
      <c r="AJ1527" s="5"/>
    </row>
    <row r="1528" spans="1:36" ht="13">
      <c r="A1528" s="5" t="str">
        <f ca="1">IFERROR(__xludf.DUMMYFUNCTION("""COMPUTED_VALUE"""),"20031222NJCOW")</f>
        <v>20031222NJCOW</v>
      </c>
      <c r="B1528" s="5">
        <f ca="1">IFERROR(__xludf.DUMMYFUNCTION("""COMPUTED_VALUE"""),12)</f>
        <v>12</v>
      </c>
      <c r="C1528" s="5">
        <f ca="1">IFERROR(__xludf.DUMMYFUNCTION("""COMPUTED_VALUE"""),22)</f>
        <v>22</v>
      </c>
      <c r="D1528" s="5">
        <f ca="1">IFERROR(__xludf.DUMMYFUNCTION("""COMPUTED_VALUE"""),2003)</f>
        <v>2003</v>
      </c>
      <c r="E1528" s="8">
        <f ca="1">IFERROR(__xludf.DUMMYFUNCTION("""COMPUTED_VALUE"""),37977)</f>
        <v>37977</v>
      </c>
      <c r="F1528" s="5" t="str">
        <f ca="1">IFERROR(__xludf.DUMMYFUNCTION("""COMPUTED_VALUE"""),"Colonia High School")</f>
        <v>Colonia High School</v>
      </c>
      <c r="G1528" s="5">
        <f ca="1">IFERROR(__xludf.DUMMYFUNCTION("""COMPUTED_VALUE"""),0)</f>
        <v>0</v>
      </c>
      <c r="H1528" s="5">
        <f ca="1">IFERROR(__xludf.DUMMYFUNCTION("""COMPUTED_VALUE"""),1)</f>
        <v>1</v>
      </c>
      <c r="I1528" s="5">
        <f ca="1">IFERROR(__xludf.DUMMYFUNCTION("""COMPUTED_VALUE"""),1)</f>
        <v>1</v>
      </c>
      <c r="J1528" s="5">
        <f ca="1">IFERROR(__xludf.DUMMYFUNCTION("""COMPUTED_VALUE"""),0)</f>
        <v>0</v>
      </c>
      <c r="K1528" s="9" t="str">
        <f ca="1">IFERROR(__xludf.DUMMYFUNCTION("""COMPUTED_VALUE"""),"https://www.newspapers.com/image/225032236/?terms=Colonia%2BHigh%2BSchool%2Bhandgun")</f>
        <v>https://www.newspapers.com/image/225032236/?terms=Colonia%2BHigh%2BSchool%2Bhandgun</v>
      </c>
      <c r="L1528" s="5"/>
      <c r="M1528" s="5"/>
      <c r="N1528" s="5">
        <f ca="1">IFERROR(__xludf.DUMMYFUNCTION("""COMPUTED_VALUE"""),2)</f>
        <v>2</v>
      </c>
      <c r="O1528" s="5" t="str">
        <f ca="1">IFERROR(__xludf.DUMMYFUNCTION("""COMPUTED_VALUE"""),"Winter")</f>
        <v>Winter</v>
      </c>
      <c r="P1528" s="5" t="str">
        <f ca="1">IFERROR(__xludf.DUMMYFUNCTION("""COMPUTED_VALUE"""),"Woodbridge")</f>
        <v>Woodbridge</v>
      </c>
      <c r="Q1528" s="5" t="str">
        <f ca="1">IFERROR(__xludf.DUMMYFUNCTION("""COMPUTED_VALUE"""),"NJ")</f>
        <v>NJ</v>
      </c>
      <c r="R1528" s="5" t="str">
        <f ca="1">IFERROR(__xludf.DUMMYFUNCTION("""COMPUTED_VALUE"""),"High")</f>
        <v>High</v>
      </c>
      <c r="S1528" s="5" t="str">
        <f ca="1">IFERROR(__xludf.DUMMYFUNCTION("""COMPUTED_VALUE"""),"Parking Lot")</f>
        <v>Parking Lot</v>
      </c>
      <c r="T1528" s="5" t="str">
        <f ca="1">IFERROR(__xludf.DUMMYFUNCTION("""COMPUTED_VALUE"""),"Outside on School Property")</f>
        <v>Outside on School Property</v>
      </c>
      <c r="U1528" s="5" t="str">
        <f ca="1">IFERROR(__xludf.DUMMYFUNCTION("""COMPUTED_VALUE"""),"No")</f>
        <v>No</v>
      </c>
      <c r="V1528" s="5" t="str">
        <f ca="1">IFERROR(__xludf.DUMMYFUNCTION("""COMPUTED_VALUE"""),"Evening")</f>
        <v>Evening</v>
      </c>
      <c r="W1528" s="10">
        <f ca="1">IFERROR(__xludf.DUMMYFUNCTION("""COMPUTED_VALUE"""),0.916666666666666)</f>
        <v>0.91666666666666596</v>
      </c>
      <c r="X1528" s="5">
        <f ca="1">IFERROR(__xludf.DUMMYFUNCTION("""COMPUTED_VALUE"""),1)</f>
        <v>1</v>
      </c>
      <c r="Y1528" s="5" t="str">
        <f ca="1">IFERROR(__xludf.DUMMYFUNCTION("""COMPUTED_VALUE"""),"Drive-by in school parking lot, Ongoing dispute with target")</f>
        <v>Drive-by in school parking lot, Ongoing dispute with target</v>
      </c>
      <c r="Z1528" s="5" t="str">
        <f ca="1">IFERROR(__xludf.DUMMYFUNCTION("""COMPUTED_VALUE"""),"Shooter and 2 others in a vehicle fired +20 rounds from a Tec-9 machine gun at a 18YOM in a vehicle with 3 of people in the school parking lot. A basketball game had recently ended but police said the shooting was not related to it. The shooter had an ong"&amp;"oing dispute with the target. The shooter fled the scene in the vehicle and was later arrested.")</f>
        <v>Shooter and 2 others in a vehicle fired +20 rounds from a Tec-9 machine gun at a 18YOM in a vehicle with 3 of people in the school parking lot. A basketball game had recently ended but police said the shooting was not related to it. The shooter had an ongoing dispute with the target. The shooter fled the scene in the vehicle and was later arrested.</v>
      </c>
      <c r="AA1528" s="5" t="str">
        <f ca="1">IFERROR(__xludf.DUMMYFUNCTION("""COMPUTED_VALUE"""),"Drive-by Shooting")</f>
        <v>Drive-by Shooting</v>
      </c>
      <c r="AB1528" s="5" t="str">
        <f ca="1">IFERROR(__xludf.DUMMYFUNCTION("""COMPUTED_VALUE"""),"Victims Targeted")</f>
        <v>Victims Targeted</v>
      </c>
      <c r="AC1528" s="5" t="str">
        <f ca="1">IFERROR(__xludf.DUMMYFUNCTION("""COMPUTED_VALUE"""),"Yes")</f>
        <v>Yes</v>
      </c>
      <c r="AD1528" s="5" t="str">
        <f ca="1">IFERROR(__xludf.DUMMYFUNCTION("""COMPUTED_VALUE"""),"No")</f>
        <v>No</v>
      </c>
      <c r="AE1528" s="5" t="str">
        <f ca="1">IFERROR(__xludf.DUMMYFUNCTION("""COMPUTED_VALUE"""),"No")</f>
        <v>No</v>
      </c>
      <c r="AF1528" s="5" t="str">
        <f ca="1">IFERROR(__xludf.DUMMYFUNCTION("""COMPUTED_VALUE"""),"No")</f>
        <v>No</v>
      </c>
      <c r="AG1528" s="5" t="str">
        <f ca="1">IFERROR(__xludf.DUMMYFUNCTION("""COMPUTED_VALUE"""),"No")</f>
        <v>No</v>
      </c>
      <c r="AH1528" s="5" t="str">
        <f ca="1">IFERROR(__xludf.DUMMYFUNCTION("""COMPUTED_VALUE"""),"No")</f>
        <v>No</v>
      </c>
      <c r="AI1528" s="5" t="str">
        <f ca="1">IFERROR(__xludf.DUMMYFUNCTION("""COMPUTED_VALUE"""),"No")</f>
        <v>No</v>
      </c>
      <c r="AJ1528" s="5"/>
    </row>
    <row r="1529" spans="1:36" ht="13">
      <c r="A1529" s="5" t="str">
        <f ca="1">IFERROR(__xludf.DUMMYFUNCTION("""COMPUTED_VALUE"""),"20031217MDOLM")</f>
        <v>20031217MDOLM</v>
      </c>
      <c r="B1529" s="5">
        <f ca="1">IFERROR(__xludf.DUMMYFUNCTION("""COMPUTED_VALUE"""),12)</f>
        <v>12</v>
      </c>
      <c r="C1529" s="5">
        <f ca="1">IFERROR(__xludf.DUMMYFUNCTION("""COMPUTED_VALUE"""),17)</f>
        <v>17</v>
      </c>
      <c r="D1529" s="5">
        <f ca="1">IFERROR(__xludf.DUMMYFUNCTION("""COMPUTED_VALUE"""),2003)</f>
        <v>2003</v>
      </c>
      <c r="E1529" s="8">
        <f ca="1">IFERROR(__xludf.DUMMYFUNCTION("""COMPUTED_VALUE"""),37972)</f>
        <v>37972</v>
      </c>
      <c r="F1529" s="5" t="str">
        <f ca="1">IFERROR(__xludf.DUMMYFUNCTION("""COMPUTED_VALUE"""),"Old Mill High School")</f>
        <v>Old Mill High School</v>
      </c>
      <c r="G1529" s="5">
        <f ca="1">IFERROR(__xludf.DUMMYFUNCTION("""COMPUTED_VALUE"""),0)</f>
        <v>0</v>
      </c>
      <c r="H1529" s="5">
        <f ca="1">IFERROR(__xludf.DUMMYFUNCTION("""COMPUTED_VALUE"""),0)</f>
        <v>0</v>
      </c>
      <c r="I1529" s="5">
        <f ca="1">IFERROR(__xludf.DUMMYFUNCTION("""COMPUTED_VALUE"""),0)</f>
        <v>0</v>
      </c>
      <c r="J1529" s="5">
        <f ca="1">IFERROR(__xludf.DUMMYFUNCTION("""COMPUTED_VALUE"""),0)</f>
        <v>0</v>
      </c>
      <c r="K1529" s="9" t="str">
        <f ca="1">IFERROR(__xludf.DUMMYFUNCTION("""COMPUTED_VALUE"""),"http://articles.baltimoresun.com/2003-12-18/news/0312180341_1_two-middle-schools-school-officials-mill-high")</f>
        <v>http://articles.baltimoresun.com/2003-12-18/news/0312180341_1_two-middle-schools-school-officials-mill-high</v>
      </c>
      <c r="L1529" s="5"/>
      <c r="M1529" s="5"/>
      <c r="N1529" s="5">
        <f ca="1">IFERROR(__xludf.DUMMYFUNCTION("""COMPUTED_VALUE"""),2)</f>
        <v>2</v>
      </c>
      <c r="O1529" s="5" t="str">
        <f ca="1">IFERROR(__xludf.DUMMYFUNCTION("""COMPUTED_VALUE"""),"Winter")</f>
        <v>Winter</v>
      </c>
      <c r="P1529" s="5" t="str">
        <f ca="1">IFERROR(__xludf.DUMMYFUNCTION("""COMPUTED_VALUE"""),"Millersville")</f>
        <v>Millersville</v>
      </c>
      <c r="Q1529" s="5" t="str">
        <f ca="1">IFERROR(__xludf.DUMMYFUNCTION("""COMPUTED_VALUE"""),"MD")</f>
        <v>MD</v>
      </c>
      <c r="R1529" s="5" t="str">
        <f ca="1">IFERROR(__xludf.DUMMYFUNCTION("""COMPUTED_VALUE"""),"High")</f>
        <v>High</v>
      </c>
      <c r="S1529" s="5" t="str">
        <f ca="1">IFERROR(__xludf.DUMMYFUNCTION("""COMPUTED_VALUE"""),"Bathroom")</f>
        <v>Bathroom</v>
      </c>
      <c r="T1529" s="5" t="str">
        <f ca="1">IFERROR(__xludf.DUMMYFUNCTION("""COMPUTED_VALUE"""),"Inside School Building")</f>
        <v>Inside School Building</v>
      </c>
      <c r="U1529" s="5" t="str">
        <f ca="1">IFERROR(__xludf.DUMMYFUNCTION("""COMPUTED_VALUE"""),"Yes")</f>
        <v>Yes</v>
      </c>
      <c r="V1529" s="5" t="str">
        <f ca="1">IFERROR(__xludf.DUMMYFUNCTION("""COMPUTED_VALUE"""),"Morning Classes")</f>
        <v>Morning Classes</v>
      </c>
      <c r="W1529" s="5"/>
      <c r="X1529" s="5">
        <f ca="1">IFERROR(__xludf.DUMMYFUNCTION("""COMPUTED_VALUE"""),1)</f>
        <v>1</v>
      </c>
      <c r="Y1529" s="5" t="str">
        <f ca="1">IFERROR(__xludf.DUMMYFUNCTION("""COMPUTED_VALUE"""),"Shot fired in bathroom by unknown shooter, gun found in stall, no suspect")</f>
        <v>Shot fired in bathroom by unknown shooter, gun found in stall, no suspect</v>
      </c>
      <c r="Z1529" s="5" t="str">
        <f ca="1">IFERROR(__xludf.DUMMYFUNCTION("""COMPUTED_VALUE"""),"Students and teacher heard gunshot. School was locked down. Police found a .38 revolver that had been fired in a bathroom. No suspect identified.")</f>
        <v>Students and teacher heard gunshot. School was locked down. Police found a .38 revolver that had been fired in a bathroom. No suspect identified.</v>
      </c>
      <c r="AA1529" s="5" t="str">
        <f ca="1">IFERROR(__xludf.DUMMYFUNCTION("""COMPUTED_VALUE"""),"Accidental")</f>
        <v>Accidental</v>
      </c>
      <c r="AB1529" s="5"/>
      <c r="AC1529" s="5" t="str">
        <f ca="1">IFERROR(__xludf.DUMMYFUNCTION("""COMPUTED_VALUE"""),"No")</f>
        <v>No</v>
      </c>
      <c r="AD1529" s="5" t="str">
        <f ca="1">IFERROR(__xludf.DUMMYFUNCTION("""COMPUTED_VALUE"""),"No")</f>
        <v>No</v>
      </c>
      <c r="AE1529" s="5" t="str">
        <f ca="1">IFERROR(__xludf.DUMMYFUNCTION("""COMPUTED_VALUE"""),"No")</f>
        <v>No</v>
      </c>
      <c r="AF1529" s="5" t="str">
        <f ca="1">IFERROR(__xludf.DUMMYFUNCTION("""COMPUTED_VALUE"""),"No")</f>
        <v>No</v>
      </c>
      <c r="AG1529" s="5"/>
      <c r="AH1529" s="5"/>
      <c r="AI1529" s="5" t="str">
        <f ca="1">IFERROR(__xludf.DUMMYFUNCTION("""COMPUTED_VALUE"""),"No")</f>
        <v>No</v>
      </c>
      <c r="AJ1529" s="5"/>
    </row>
    <row r="1530" spans="1:36" ht="13">
      <c r="A1530" s="5" t="str">
        <f ca="1">IFERROR(__xludf.DUMMYFUNCTION("""COMPUTED_VALUE"""),"20031205ILCAC")</f>
        <v>20031205ILCAC</v>
      </c>
      <c r="B1530" s="5">
        <f ca="1">IFERROR(__xludf.DUMMYFUNCTION("""COMPUTED_VALUE"""),12)</f>
        <v>12</v>
      </c>
      <c r="C1530" s="5">
        <f ca="1">IFERROR(__xludf.DUMMYFUNCTION("""COMPUTED_VALUE"""),5)</f>
        <v>5</v>
      </c>
      <c r="D1530" s="5">
        <f ca="1">IFERROR(__xludf.DUMMYFUNCTION("""COMPUTED_VALUE"""),2003)</f>
        <v>2003</v>
      </c>
      <c r="E1530" s="8">
        <f ca="1">IFERROR(__xludf.DUMMYFUNCTION("""COMPUTED_VALUE"""),37960)</f>
        <v>37960</v>
      </c>
      <c r="F1530" s="5" t="str">
        <f ca="1">IFERROR(__xludf.DUMMYFUNCTION("""COMPUTED_VALUE"""),"Carbondale Community High School")</f>
        <v>Carbondale Community High School</v>
      </c>
      <c r="G1530" s="5">
        <f ca="1">IFERROR(__xludf.DUMMYFUNCTION("""COMPUTED_VALUE"""),0)</f>
        <v>0</v>
      </c>
      <c r="H1530" s="5">
        <f ca="1">IFERROR(__xludf.DUMMYFUNCTION("""COMPUTED_VALUE"""),1)</f>
        <v>1</v>
      </c>
      <c r="I1530" s="5">
        <f ca="1">IFERROR(__xludf.DUMMYFUNCTION("""COMPUTED_VALUE"""),1)</f>
        <v>1</v>
      </c>
      <c r="J1530" s="5">
        <f ca="1">IFERROR(__xludf.DUMMYFUNCTION("""COMPUTED_VALUE"""),0)</f>
        <v>0</v>
      </c>
      <c r="K1530" s="9" t="str">
        <f ca="1">IFERROR(__xludf.DUMMYFUNCTION("""COMPUTED_VALUE"""),"https://dailyegyptian.com/27496/archives/man-shot-in-leg-cchs-game/")</f>
        <v>https://dailyegyptian.com/27496/archives/man-shot-in-leg-cchs-game/</v>
      </c>
      <c r="L1530" s="5"/>
      <c r="M1530" s="5"/>
      <c r="N1530" s="5">
        <f ca="1">IFERROR(__xludf.DUMMYFUNCTION("""COMPUTED_VALUE"""),2)</f>
        <v>2</v>
      </c>
      <c r="O1530" s="5" t="str">
        <f ca="1">IFERROR(__xludf.DUMMYFUNCTION("""COMPUTED_VALUE"""),"Winter")</f>
        <v>Winter</v>
      </c>
      <c r="P1530" s="5" t="str">
        <f ca="1">IFERROR(__xludf.DUMMYFUNCTION("""COMPUTED_VALUE"""),"Carbondale")</f>
        <v>Carbondale</v>
      </c>
      <c r="Q1530" s="5" t="str">
        <f ca="1">IFERROR(__xludf.DUMMYFUNCTION("""COMPUTED_VALUE"""),"IL")</f>
        <v>IL</v>
      </c>
      <c r="R1530" s="5" t="str">
        <f ca="1">IFERROR(__xludf.DUMMYFUNCTION("""COMPUTED_VALUE"""),"High")</f>
        <v>High</v>
      </c>
      <c r="S1530" s="5" t="str">
        <f ca="1">IFERROR(__xludf.DUMMYFUNCTION("""COMPUTED_VALUE"""),"Parking Lot")</f>
        <v>Parking Lot</v>
      </c>
      <c r="T1530" s="5" t="str">
        <f ca="1">IFERROR(__xludf.DUMMYFUNCTION("""COMPUTED_VALUE"""),"Outside on School Property")</f>
        <v>Outside on School Property</v>
      </c>
      <c r="U1530" s="5" t="str">
        <f ca="1">IFERROR(__xludf.DUMMYFUNCTION("""COMPUTED_VALUE"""),"No")</f>
        <v>No</v>
      </c>
      <c r="V1530" s="5" t="str">
        <f ca="1">IFERROR(__xludf.DUMMYFUNCTION("""COMPUTED_VALUE"""),"Sport Event")</f>
        <v>Sport Event</v>
      </c>
      <c r="W1530" s="5"/>
      <c r="X1530" s="5">
        <f ca="1">IFERROR(__xludf.DUMMYFUNCTION("""COMPUTED_VALUE"""),1)</f>
        <v>1</v>
      </c>
      <c r="Y1530" s="5" t="str">
        <f ca="1">IFERROR(__xludf.DUMMYFUNCTION("""COMPUTED_VALUE"""),"Shooting in parking lot after basketball game during argument that started in gym")</f>
        <v>Shooting in parking lot after basketball game during argument that started in gym</v>
      </c>
      <c r="Z1530" s="5" t="str">
        <f ca="1">IFERROR(__xludf.DUMMYFUNCTION("""COMPUTED_VALUE"""),"17YOM shot 33YOM football coach in the parking lot following an argument they had during a basketball game. Shooter fled but was quickly arrested by a police officer assigned to the school.")</f>
        <v>17YOM shot 33YOM football coach in the parking lot following an argument they had during a basketball game. Shooter fled but was quickly arrested by a police officer assigned to the school.</v>
      </c>
      <c r="AA1530" s="5" t="str">
        <f ca="1">IFERROR(__xludf.DUMMYFUNCTION("""COMPUTED_VALUE"""),"Escalation of Dispute")</f>
        <v>Escalation of Dispute</v>
      </c>
      <c r="AB1530" s="5" t="str">
        <f ca="1">IFERROR(__xludf.DUMMYFUNCTION("""COMPUTED_VALUE"""),"Victims Targeted")</f>
        <v>Victims Targeted</v>
      </c>
      <c r="AC1530" s="5" t="str">
        <f ca="1">IFERROR(__xludf.DUMMYFUNCTION("""COMPUTED_VALUE"""),"No")</f>
        <v>No</v>
      </c>
      <c r="AD1530" s="5" t="str">
        <f ca="1">IFERROR(__xludf.DUMMYFUNCTION("""COMPUTED_VALUE"""),"No")</f>
        <v>No</v>
      </c>
      <c r="AE1530" s="5" t="str">
        <f ca="1">IFERROR(__xludf.DUMMYFUNCTION("""COMPUTED_VALUE"""),"No")</f>
        <v>No</v>
      </c>
      <c r="AF1530" s="5" t="str">
        <f ca="1">IFERROR(__xludf.DUMMYFUNCTION("""COMPUTED_VALUE"""),"No")</f>
        <v>No</v>
      </c>
      <c r="AG1530" s="5" t="str">
        <f ca="1">IFERROR(__xludf.DUMMYFUNCTION("""COMPUTED_VALUE"""),"No")</f>
        <v>No</v>
      </c>
      <c r="AH1530" s="5" t="str">
        <f ca="1">IFERROR(__xludf.DUMMYFUNCTION("""COMPUTED_VALUE"""),"No")</f>
        <v>No</v>
      </c>
      <c r="AI1530" s="5" t="str">
        <f ca="1">IFERROR(__xludf.DUMMYFUNCTION("""COMPUTED_VALUE"""),"No")</f>
        <v>No</v>
      </c>
      <c r="AJ1530" s="5"/>
    </row>
    <row r="1531" spans="1:36" ht="13">
      <c r="A1531" s="5" t="str">
        <f ca="1">IFERROR(__xludf.DUMMYFUNCTION("""COMPUTED_VALUE"""),"20031204OKDOO")</f>
        <v>20031204OKDOO</v>
      </c>
      <c r="B1531" s="5">
        <f ca="1">IFERROR(__xludf.DUMMYFUNCTION("""COMPUTED_VALUE"""),12)</f>
        <v>12</v>
      </c>
      <c r="C1531" s="5">
        <f ca="1">IFERROR(__xludf.DUMMYFUNCTION("""COMPUTED_VALUE"""),4)</f>
        <v>4</v>
      </c>
      <c r="D1531" s="5">
        <f ca="1">IFERROR(__xludf.DUMMYFUNCTION("""COMPUTED_VALUE"""),2003)</f>
        <v>2003</v>
      </c>
      <c r="E1531" s="8">
        <f ca="1">IFERROR(__xludf.DUMMYFUNCTION("""COMPUTED_VALUE"""),37959)</f>
        <v>37959</v>
      </c>
      <c r="F1531" s="5" t="str">
        <f ca="1">IFERROR(__xludf.DUMMYFUNCTION("""COMPUTED_VALUE"""),"Douglas High School")</f>
        <v>Douglas High School</v>
      </c>
      <c r="G1531" s="5">
        <f ca="1">IFERROR(__xludf.DUMMYFUNCTION("""COMPUTED_VALUE"""),0)</f>
        <v>0</v>
      </c>
      <c r="H1531" s="5">
        <f ca="1">IFERROR(__xludf.DUMMYFUNCTION("""COMPUTED_VALUE"""),1)</f>
        <v>1</v>
      </c>
      <c r="I1531" s="5">
        <f ca="1">IFERROR(__xludf.DUMMYFUNCTION("""COMPUTED_VALUE"""),1)</f>
        <v>1</v>
      </c>
      <c r="J1531" s="5">
        <f ca="1">IFERROR(__xludf.DUMMYFUNCTION("""COMPUTED_VALUE"""),0)</f>
        <v>0</v>
      </c>
      <c r="K1531" s="9" t="str">
        <f ca="1">IFERROR(__xludf.DUMMYFUNCTION("""COMPUTED_VALUE"""),"https://newsok.com/article/1961014/arrest-warrant-issued-in-high-school-shooting")</f>
        <v>https://newsok.com/article/1961014/arrest-warrant-issued-in-high-school-shooting</v>
      </c>
      <c r="L1531" s="5"/>
      <c r="M1531" s="5"/>
      <c r="N1531" s="5">
        <f ca="1">IFERROR(__xludf.DUMMYFUNCTION("""COMPUTED_VALUE"""),2)</f>
        <v>2</v>
      </c>
      <c r="O1531" s="5" t="str">
        <f ca="1">IFERROR(__xludf.DUMMYFUNCTION("""COMPUTED_VALUE"""),"Winter")</f>
        <v>Winter</v>
      </c>
      <c r="P1531" s="5" t="str">
        <f ca="1">IFERROR(__xludf.DUMMYFUNCTION("""COMPUTED_VALUE"""),"Oklahoma City")</f>
        <v>Oklahoma City</v>
      </c>
      <c r="Q1531" s="5" t="str">
        <f ca="1">IFERROR(__xludf.DUMMYFUNCTION("""COMPUTED_VALUE"""),"OK")</f>
        <v>OK</v>
      </c>
      <c r="R1531" s="5" t="str">
        <f ca="1">IFERROR(__xludf.DUMMYFUNCTION("""COMPUTED_VALUE"""),"High")</f>
        <v>High</v>
      </c>
      <c r="S1531" s="5" t="str">
        <f ca="1">IFERROR(__xludf.DUMMYFUNCTION("""COMPUTED_VALUE"""),"Beside Building")</f>
        <v>Beside Building</v>
      </c>
      <c r="T1531" s="5" t="str">
        <f ca="1">IFERROR(__xludf.DUMMYFUNCTION("""COMPUTED_VALUE"""),"Outside on School Property")</f>
        <v>Outside on School Property</v>
      </c>
      <c r="U1531" s="5" t="str">
        <f ca="1">IFERROR(__xludf.DUMMYFUNCTION("""COMPUTED_VALUE"""),"Yes")</f>
        <v>Yes</v>
      </c>
      <c r="V1531" s="5" t="str">
        <f ca="1">IFERROR(__xludf.DUMMYFUNCTION("""COMPUTED_VALUE"""),"Afternoon Classes")</f>
        <v>Afternoon Classes</v>
      </c>
      <c r="W1531" s="10">
        <f ca="1">IFERROR(__xludf.DUMMYFUNCTION("""COMPUTED_VALUE"""),0.590277777777777)</f>
        <v>0.59027777777777701</v>
      </c>
      <c r="X1531" s="5">
        <f ca="1">IFERROR(__xludf.DUMMYFUNCTION("""COMPUTED_VALUE"""),1)</f>
        <v>1</v>
      </c>
      <c r="Y1531" s="5" t="str">
        <f ca="1">IFERROR(__xludf.DUMMYFUNCTION("""COMPUTED_VALUE"""),"Fight outside school gym, shot fired striking uninvolved female student")</f>
        <v>Fight outside school gym, shot fired striking uninvolved female student</v>
      </c>
      <c r="Z1531" s="5" t="str">
        <f ca="1">IFERROR(__xludf.DUMMYFUNCTION("""COMPUTED_VALUE"""),"Single shot fired during large fight between multiple students. Female student was struck. First believed she was punched and it was later determined that she had been shot in the nose.")</f>
        <v>Single shot fired during large fight between multiple students. Female student was struck. First believed she was punched and it was later determined that she had been shot in the nose.</v>
      </c>
      <c r="AA1531" s="5" t="str">
        <f ca="1">IFERROR(__xludf.DUMMYFUNCTION("""COMPUTED_VALUE"""),"Escalation of Dispute")</f>
        <v>Escalation of Dispute</v>
      </c>
      <c r="AB1531" s="5" t="str">
        <f ca="1">IFERROR(__xludf.DUMMYFUNCTION("""COMPUTED_VALUE"""),"Random Shooting")</f>
        <v>Random Shooting</v>
      </c>
      <c r="AC1531" s="5" t="str">
        <f ca="1">IFERROR(__xludf.DUMMYFUNCTION("""COMPUTED_VALUE"""),"No")</f>
        <v>No</v>
      </c>
      <c r="AD1531" s="5" t="str">
        <f ca="1">IFERROR(__xludf.DUMMYFUNCTION("""COMPUTED_VALUE"""),"No")</f>
        <v>No</v>
      </c>
      <c r="AE1531" s="5" t="str">
        <f ca="1">IFERROR(__xludf.DUMMYFUNCTION("""COMPUTED_VALUE"""),"No")</f>
        <v>No</v>
      </c>
      <c r="AF1531" s="5" t="str">
        <f ca="1">IFERROR(__xludf.DUMMYFUNCTION("""COMPUTED_VALUE"""),"No")</f>
        <v>No</v>
      </c>
      <c r="AG1531" s="5" t="str">
        <f ca="1">IFERROR(__xludf.DUMMYFUNCTION("""COMPUTED_VALUE"""),"No")</f>
        <v>No</v>
      </c>
      <c r="AH1531" s="5" t="str">
        <f ca="1">IFERROR(__xludf.DUMMYFUNCTION("""COMPUTED_VALUE"""),"No")</f>
        <v>No</v>
      </c>
      <c r="AI1531" s="5" t="str">
        <f ca="1">IFERROR(__xludf.DUMMYFUNCTION("""COMPUTED_VALUE"""),"No")</f>
        <v>No</v>
      </c>
      <c r="AJ1531" s="5"/>
    </row>
    <row r="1532" spans="1:36" ht="13">
      <c r="A1532" s="5" t="str">
        <f ca="1">IFERROR(__xludf.DUMMYFUNCTION("""COMPUTED_VALUE"""),"20031202ILFEC")</f>
        <v>20031202ILFEC</v>
      </c>
      <c r="B1532" s="5">
        <f ca="1">IFERROR(__xludf.DUMMYFUNCTION("""COMPUTED_VALUE"""),12)</f>
        <v>12</v>
      </c>
      <c r="C1532" s="5">
        <f ca="1">IFERROR(__xludf.DUMMYFUNCTION("""COMPUTED_VALUE"""),2)</f>
        <v>2</v>
      </c>
      <c r="D1532" s="5">
        <f ca="1">IFERROR(__xludf.DUMMYFUNCTION("""COMPUTED_VALUE"""),2003)</f>
        <v>2003</v>
      </c>
      <c r="E1532" s="8">
        <f ca="1">IFERROR(__xludf.DUMMYFUNCTION("""COMPUTED_VALUE"""),37957)</f>
        <v>37957</v>
      </c>
      <c r="F1532" s="5" t="str">
        <f ca="1">IFERROR(__xludf.DUMMYFUNCTION("""COMPUTED_VALUE"""),"Fermi Elementary School")</f>
        <v>Fermi Elementary School</v>
      </c>
      <c r="G1532" s="5">
        <f ca="1">IFERROR(__xludf.DUMMYFUNCTION("""COMPUTED_VALUE"""),0)</f>
        <v>0</v>
      </c>
      <c r="H1532" s="5">
        <f ca="1">IFERROR(__xludf.DUMMYFUNCTION("""COMPUTED_VALUE"""),0)</f>
        <v>0</v>
      </c>
      <c r="I1532" s="5">
        <f ca="1">IFERROR(__xludf.DUMMYFUNCTION("""COMPUTED_VALUE"""),0)</f>
        <v>0</v>
      </c>
      <c r="J1532" s="5">
        <f ca="1">IFERROR(__xludf.DUMMYFUNCTION("""COMPUTED_VALUE"""),1)</f>
        <v>1</v>
      </c>
      <c r="K1532" s="5" t="str">
        <f ca="1">IFERROR(__xludf.DUMMYFUNCTION("""COMPUTED_VALUE"""),"https://files.eric.ed.gov/fulltext/ED519244.pdf .  https://www.newspapers.com/image/231250055/?terms=fermi%2Belementary%2Bschool .  https://www.newspapers.com/image/231261973/?terms=fermi%2Belementary%2Bschool")</f>
        <v>https://files.eric.ed.gov/fulltext/ED519244.pdf .  https://www.newspapers.com/image/231250055/?terms=fermi%2Belementary%2Bschool .  https://www.newspapers.com/image/231261973/?terms=fermi%2Belementary%2Bschool</v>
      </c>
      <c r="L1532" s="5"/>
      <c r="M1532" s="5"/>
      <c r="N1532" s="5">
        <f ca="1">IFERROR(__xludf.DUMMYFUNCTION("""COMPUTED_VALUE"""),3)</f>
        <v>3</v>
      </c>
      <c r="O1532" s="5" t="str">
        <f ca="1">IFERROR(__xludf.DUMMYFUNCTION("""COMPUTED_VALUE"""),"Winter")</f>
        <v>Winter</v>
      </c>
      <c r="P1532" s="5" t="str">
        <f ca="1">IFERROR(__xludf.DUMMYFUNCTION("""COMPUTED_VALUE"""),"Chicago")</f>
        <v>Chicago</v>
      </c>
      <c r="Q1532" s="5" t="str">
        <f ca="1">IFERROR(__xludf.DUMMYFUNCTION("""COMPUTED_VALUE"""),"IL")</f>
        <v>IL</v>
      </c>
      <c r="R1532" s="5" t="str">
        <f ca="1">IFERROR(__xludf.DUMMYFUNCTION("""COMPUTED_VALUE"""),"Elementary")</f>
        <v>Elementary</v>
      </c>
      <c r="S1532" s="5" t="str">
        <f ca="1">IFERROR(__xludf.DUMMYFUNCTION("""COMPUTED_VALUE"""),"Field (General)")</f>
        <v>Field (General)</v>
      </c>
      <c r="T1532" s="5" t="str">
        <f ca="1">IFERROR(__xludf.DUMMYFUNCTION("""COMPUTED_VALUE"""),"Outside on School Property")</f>
        <v>Outside on School Property</v>
      </c>
      <c r="U1532" s="5" t="str">
        <f ca="1">IFERROR(__xludf.DUMMYFUNCTION("""COMPUTED_VALUE"""),"No")</f>
        <v>No</v>
      </c>
      <c r="V1532" s="5" t="str">
        <f ca="1">IFERROR(__xludf.DUMMYFUNCTION("""COMPUTED_VALUE"""),"Evening")</f>
        <v>Evening</v>
      </c>
      <c r="W1532" s="10">
        <f ca="1">IFERROR(__xludf.DUMMYFUNCTION("""COMPUTED_VALUE"""),0.902777777777777)</f>
        <v>0.90277777777777701</v>
      </c>
      <c r="X1532" s="5">
        <f ca="1">IFERROR(__xludf.DUMMYFUNCTION("""COMPUTED_VALUE"""),1)</f>
        <v>1</v>
      </c>
      <c r="Y1532" s="5" t="str">
        <f ca="1">IFERROR(__xludf.DUMMYFUNCTION("""COMPUTED_VALUE"""),"Suspect stopped by police on school playground - refused to drop gun - was shot.")</f>
        <v>Suspect stopped by police on school playground - refused to drop gun - was shot.</v>
      </c>
      <c r="Z1532" s="5" t="str">
        <f ca="1">IFERROR(__xludf.DUMMYFUNCTION("""COMPUTED_VALUE"""),"Police officer shot and killed a man who pointed a revolver at the officer on the field of the school.")</f>
        <v>Police officer shot and killed a man who pointed a revolver at the officer on the field of the school.</v>
      </c>
      <c r="AA1532" s="5" t="str">
        <f ca="1">IFERROR(__xludf.DUMMYFUNCTION("""COMPUTED_VALUE"""),"Self-defense")</f>
        <v>Self-defense</v>
      </c>
      <c r="AB1532" s="5" t="str">
        <f ca="1">IFERROR(__xludf.DUMMYFUNCTION("""COMPUTED_VALUE"""),"Victims Targeted")</f>
        <v>Victims Targeted</v>
      </c>
      <c r="AC1532" s="5" t="str">
        <f ca="1">IFERROR(__xludf.DUMMYFUNCTION("""COMPUTED_VALUE"""),"No")</f>
        <v>No</v>
      </c>
      <c r="AD1532" s="5" t="str">
        <f ca="1">IFERROR(__xludf.DUMMYFUNCTION("""COMPUTED_VALUE"""),"No")</f>
        <v>No</v>
      </c>
      <c r="AE1532" s="5" t="str">
        <f ca="1">IFERROR(__xludf.DUMMYFUNCTION("""COMPUTED_VALUE"""),"No")</f>
        <v>No</v>
      </c>
      <c r="AF1532" s="5" t="str">
        <f ca="1">IFERROR(__xludf.DUMMYFUNCTION("""COMPUTED_VALUE"""),"Yes")</f>
        <v>Yes</v>
      </c>
      <c r="AG1532" s="5" t="str">
        <f ca="1">IFERROR(__xludf.DUMMYFUNCTION("""COMPUTED_VALUE"""),"No")</f>
        <v>No</v>
      </c>
      <c r="AH1532" s="5" t="str">
        <f ca="1">IFERROR(__xludf.DUMMYFUNCTION("""COMPUTED_VALUE"""),"No")</f>
        <v>No</v>
      </c>
      <c r="AI1532" s="5"/>
      <c r="AJ1532" s="5"/>
    </row>
    <row r="1533" spans="1:36" ht="13">
      <c r="A1533" s="5" t="str">
        <f ca="1">IFERROR(__xludf.DUMMYFUNCTION("""COMPUTED_VALUE"""),"20031113NCEAC")</f>
        <v>20031113NCEAC</v>
      </c>
      <c r="B1533" s="5">
        <f ca="1">IFERROR(__xludf.DUMMYFUNCTION("""COMPUTED_VALUE"""),11)</f>
        <v>11</v>
      </c>
      <c r="C1533" s="5">
        <f ca="1">IFERROR(__xludf.DUMMYFUNCTION("""COMPUTED_VALUE"""),13)</f>
        <v>13</v>
      </c>
      <c r="D1533" s="5">
        <f ca="1">IFERROR(__xludf.DUMMYFUNCTION("""COMPUTED_VALUE"""),2003)</f>
        <v>2003</v>
      </c>
      <c r="E1533" s="8">
        <f ca="1">IFERROR(__xludf.DUMMYFUNCTION("""COMPUTED_VALUE"""),37938)</f>
        <v>37938</v>
      </c>
      <c r="F1533" s="5" t="str">
        <f ca="1">IFERROR(__xludf.DUMMYFUNCTION("""COMPUTED_VALUE"""),"East Mecklenburg High School")</f>
        <v>East Mecklenburg High School</v>
      </c>
      <c r="G1533" s="5">
        <f ca="1">IFERROR(__xludf.DUMMYFUNCTION("""COMPUTED_VALUE"""),0)</f>
        <v>0</v>
      </c>
      <c r="H1533" s="5">
        <f ca="1">IFERROR(__xludf.DUMMYFUNCTION("""COMPUTED_VALUE"""),2)</f>
        <v>2</v>
      </c>
      <c r="I1533" s="5">
        <f ca="1">IFERROR(__xludf.DUMMYFUNCTION("""COMPUTED_VALUE"""),2)</f>
        <v>2</v>
      </c>
      <c r="J1533" s="5">
        <f ca="1">IFERROR(__xludf.DUMMYFUNCTION("""COMPUTED_VALUE"""),0)</f>
        <v>0</v>
      </c>
      <c r="K1533" s="9" t="str">
        <f ca="1">IFERROR(__xludf.DUMMYFUNCTION("""COMPUTED_VALUE"""),"https://www.columbine-angels.com/School_Violence_2003-2004.htm")</f>
        <v>https://www.columbine-angels.com/School_Violence_2003-2004.htm</v>
      </c>
      <c r="L1533" s="5"/>
      <c r="M1533" s="5"/>
      <c r="N1533" s="5">
        <f ca="1">IFERROR(__xludf.DUMMYFUNCTION("""COMPUTED_VALUE"""),1)</f>
        <v>1</v>
      </c>
      <c r="O1533" s="5" t="str">
        <f ca="1">IFERROR(__xludf.DUMMYFUNCTION("""COMPUTED_VALUE"""),"Fall")</f>
        <v>Fall</v>
      </c>
      <c r="P1533" s="5" t="str">
        <f ca="1">IFERROR(__xludf.DUMMYFUNCTION("""COMPUTED_VALUE"""),"Charlotte")</f>
        <v>Charlotte</v>
      </c>
      <c r="Q1533" s="5" t="str">
        <f ca="1">IFERROR(__xludf.DUMMYFUNCTION("""COMPUTED_VALUE"""),"NC")</f>
        <v>NC</v>
      </c>
      <c r="R1533" s="5" t="str">
        <f ca="1">IFERROR(__xludf.DUMMYFUNCTION("""COMPUTED_VALUE"""),"High")</f>
        <v>High</v>
      </c>
      <c r="S1533" s="5" t="str">
        <f ca="1">IFERROR(__xludf.DUMMYFUNCTION("""COMPUTED_VALUE"""),"Classroom")</f>
        <v>Classroom</v>
      </c>
      <c r="T1533" s="5" t="str">
        <f ca="1">IFERROR(__xludf.DUMMYFUNCTION("""COMPUTED_VALUE"""),"Inside School Building")</f>
        <v>Inside School Building</v>
      </c>
      <c r="U1533" s="5" t="str">
        <f ca="1">IFERROR(__xludf.DUMMYFUNCTION("""COMPUTED_VALUE"""),"Yes")</f>
        <v>Yes</v>
      </c>
      <c r="V1533" s="5" t="str">
        <f ca="1">IFERROR(__xludf.DUMMYFUNCTION("""COMPUTED_VALUE"""),"Morning Classes")</f>
        <v>Morning Classes</v>
      </c>
      <c r="W1533" s="10">
        <f ca="1">IFERROR(__xludf.DUMMYFUNCTION("""COMPUTED_VALUE"""),0.489583333333333)</f>
        <v>0.48958333333333298</v>
      </c>
      <c r="X1533" s="5">
        <f ca="1">IFERROR(__xludf.DUMMYFUNCTION("""COMPUTED_VALUE"""),1)</f>
        <v>1</v>
      </c>
      <c r="Y1533" s="5" t="str">
        <f ca="1">IFERROR(__xludf.DUMMYFUNCTION("""COMPUTED_VALUE"""),"Accidental discharge in students pocket")</f>
        <v>Accidental discharge in students pocket</v>
      </c>
      <c r="Z1533" s="5" t="str">
        <f ca="1">IFERROR(__xludf.DUMMYFUNCTION("""COMPUTED_VALUE"""),"Handgun in a 15YOM students pocket discharged grazing two other students.")</f>
        <v>Handgun in a 15YOM students pocket discharged grazing two other students.</v>
      </c>
      <c r="AA1533" s="5" t="str">
        <f ca="1">IFERROR(__xludf.DUMMYFUNCTION("""COMPUTED_VALUE"""),"Accidental")</f>
        <v>Accidental</v>
      </c>
      <c r="AB1533" s="5" t="str">
        <f ca="1">IFERROR(__xludf.DUMMYFUNCTION("""COMPUTED_VALUE"""),"Neither")</f>
        <v>Neither</v>
      </c>
      <c r="AC1533" s="5" t="str">
        <f ca="1">IFERROR(__xludf.DUMMYFUNCTION("""COMPUTED_VALUE"""),"No")</f>
        <v>No</v>
      </c>
      <c r="AD1533" s="5" t="str">
        <f ca="1">IFERROR(__xludf.DUMMYFUNCTION("""COMPUTED_VALUE"""),"No")</f>
        <v>No</v>
      </c>
      <c r="AE1533" s="5" t="str">
        <f ca="1">IFERROR(__xludf.DUMMYFUNCTION("""COMPUTED_VALUE"""),"No")</f>
        <v>No</v>
      </c>
      <c r="AF1533" s="5" t="str">
        <f ca="1">IFERROR(__xludf.DUMMYFUNCTION("""COMPUTED_VALUE"""),"No")</f>
        <v>No</v>
      </c>
      <c r="AG1533" s="5" t="str">
        <f ca="1">IFERROR(__xludf.DUMMYFUNCTION("""COMPUTED_VALUE"""),"No")</f>
        <v>No</v>
      </c>
      <c r="AH1533" s="5" t="str">
        <f ca="1">IFERROR(__xludf.DUMMYFUNCTION("""COMPUTED_VALUE"""),"No")</f>
        <v>No</v>
      </c>
      <c r="AI1533" s="5" t="str">
        <f ca="1">IFERROR(__xludf.DUMMYFUNCTION("""COMPUTED_VALUE"""),"No")</f>
        <v>No</v>
      </c>
      <c r="AJ1533" s="5"/>
    </row>
    <row r="1534" spans="1:36" ht="13">
      <c r="A1534" s="5" t="str">
        <f ca="1">IFERROR(__xludf.DUMMYFUNCTION("""COMPUTED_VALUE"""),"20031108TXHIS")</f>
        <v>20031108TXHIS</v>
      </c>
      <c r="B1534" s="5">
        <f ca="1">IFERROR(__xludf.DUMMYFUNCTION("""COMPUTED_VALUE"""),11)</f>
        <v>11</v>
      </c>
      <c r="C1534" s="5">
        <f ca="1">IFERROR(__xludf.DUMMYFUNCTION("""COMPUTED_VALUE"""),8)</f>
        <v>8</v>
      </c>
      <c r="D1534" s="5">
        <f ca="1">IFERROR(__xludf.DUMMYFUNCTION("""COMPUTED_VALUE"""),2003)</f>
        <v>2003</v>
      </c>
      <c r="E1534" s="8">
        <f ca="1">IFERROR(__xludf.DUMMYFUNCTION("""COMPUTED_VALUE"""),37933)</f>
        <v>37933</v>
      </c>
      <c r="F1534" s="5" t="str">
        <f ca="1">IFERROR(__xludf.DUMMYFUNCTION("""COMPUTED_VALUE"""),"Hightower High School")</f>
        <v>Hightower High School</v>
      </c>
      <c r="G1534" s="5">
        <f ca="1">IFERROR(__xludf.DUMMYFUNCTION("""COMPUTED_VALUE"""),1)</f>
        <v>1</v>
      </c>
      <c r="H1534" s="5">
        <f ca="1">IFERROR(__xludf.DUMMYFUNCTION("""COMPUTED_VALUE"""),0)</f>
        <v>0</v>
      </c>
      <c r="I1534" s="5">
        <f ca="1">IFERROR(__xludf.DUMMYFUNCTION("""COMPUTED_VALUE"""),1)</f>
        <v>1</v>
      </c>
      <c r="J1534" s="5">
        <f ca="1">IFERROR(__xludf.DUMMYFUNCTION("""COMPUTED_VALUE"""),0)</f>
        <v>0</v>
      </c>
      <c r="K1534" s="9" t="str">
        <f ca="1">IFERROR(__xludf.DUMMYFUNCTION("""COMPUTED_VALUE"""),"https://www.chron.com/news/houston-texas/article/Man-convicted-of-killing-student-outside-stadium-1624934.php")</f>
        <v>https://www.chron.com/news/houston-texas/article/Man-convicted-of-killing-student-outside-stadium-1624934.php</v>
      </c>
      <c r="L1534" s="5"/>
      <c r="M1534" s="5"/>
      <c r="N1534" s="5">
        <f ca="1">IFERROR(__xludf.DUMMYFUNCTION("""COMPUTED_VALUE"""),2)</f>
        <v>2</v>
      </c>
      <c r="O1534" s="5" t="str">
        <f ca="1">IFERROR(__xludf.DUMMYFUNCTION("""COMPUTED_VALUE"""),"Fall")</f>
        <v>Fall</v>
      </c>
      <c r="P1534" s="5" t="str">
        <f ca="1">IFERROR(__xludf.DUMMYFUNCTION("""COMPUTED_VALUE"""),"Sugarland")</f>
        <v>Sugarland</v>
      </c>
      <c r="Q1534" s="5" t="str">
        <f ca="1">IFERROR(__xludf.DUMMYFUNCTION("""COMPUTED_VALUE"""),"TX")</f>
        <v>TX</v>
      </c>
      <c r="R1534" s="5" t="str">
        <f ca="1">IFERROR(__xludf.DUMMYFUNCTION("""COMPUTED_VALUE"""),"High")</f>
        <v>High</v>
      </c>
      <c r="S1534" s="5" t="str">
        <f ca="1">IFERROR(__xludf.DUMMYFUNCTION("""COMPUTED_VALUE"""),"Football Field/Track")</f>
        <v>Football Field/Track</v>
      </c>
      <c r="T1534" s="5" t="str">
        <f ca="1">IFERROR(__xludf.DUMMYFUNCTION("""COMPUTED_VALUE"""),"Outside on School Property")</f>
        <v>Outside on School Property</v>
      </c>
      <c r="U1534" s="5" t="str">
        <f ca="1">IFERROR(__xludf.DUMMYFUNCTION("""COMPUTED_VALUE"""),"No")</f>
        <v>No</v>
      </c>
      <c r="V1534" s="5" t="str">
        <f ca="1">IFERROR(__xludf.DUMMYFUNCTION("""COMPUTED_VALUE"""),"Sport Event")</f>
        <v>Sport Event</v>
      </c>
      <c r="W1534" s="10">
        <f ca="1">IFERROR(__xludf.DUMMYFUNCTION("""COMPUTED_VALUE"""),0.888888888888888)</f>
        <v>0.88888888888888795</v>
      </c>
      <c r="X1534" s="5">
        <f ca="1">IFERROR(__xludf.DUMMYFUNCTION("""COMPUTED_VALUE"""),1)</f>
        <v>1</v>
      </c>
      <c r="Y1534" s="5" t="str">
        <f ca="1">IFERROR(__xludf.DUMMYFUNCTION("""COMPUTED_VALUE"""),"Fight between large group of males following football game, uninvolved female student was shot and killed")</f>
        <v>Fight between large group of males following football game, uninvolved female student was shot and killed</v>
      </c>
      <c r="Z1534" s="5" t="str">
        <f ca="1">IFERROR(__xludf.DUMMYFUNCTION("""COMPUTED_VALUE"""),"21YOM fired shot during large fight after football game striking 17YOF student in the head. Shooter fled the scene and was later arrested.")</f>
        <v>21YOM fired shot during large fight after football game striking 17YOF student in the head. Shooter fled the scene and was later arrested.</v>
      </c>
      <c r="AA1534" s="5" t="str">
        <f ca="1">IFERROR(__xludf.DUMMYFUNCTION("""COMPUTED_VALUE"""),"Escalation of Dispute")</f>
        <v>Escalation of Dispute</v>
      </c>
      <c r="AB1534" s="5" t="str">
        <f ca="1">IFERROR(__xludf.DUMMYFUNCTION("""COMPUTED_VALUE"""),"Random Shooting")</f>
        <v>Random Shooting</v>
      </c>
      <c r="AC1534" s="5" t="str">
        <f ca="1">IFERROR(__xludf.DUMMYFUNCTION("""COMPUTED_VALUE"""),"No")</f>
        <v>No</v>
      </c>
      <c r="AD1534" s="5" t="str">
        <f ca="1">IFERROR(__xludf.DUMMYFUNCTION("""COMPUTED_VALUE"""),"No")</f>
        <v>No</v>
      </c>
      <c r="AE1534" s="5" t="str">
        <f ca="1">IFERROR(__xludf.DUMMYFUNCTION("""COMPUTED_VALUE"""),"No")</f>
        <v>No</v>
      </c>
      <c r="AF1534" s="5" t="str">
        <f ca="1">IFERROR(__xludf.DUMMYFUNCTION("""COMPUTED_VALUE"""),"No")</f>
        <v>No</v>
      </c>
      <c r="AG1534" s="5" t="str">
        <f ca="1">IFERROR(__xludf.DUMMYFUNCTION("""COMPUTED_VALUE"""),"No")</f>
        <v>No</v>
      </c>
      <c r="AH1534" s="5" t="str">
        <f ca="1">IFERROR(__xludf.DUMMYFUNCTION("""COMPUTED_VALUE"""),"No")</f>
        <v>No</v>
      </c>
      <c r="AI1534" s="5" t="str">
        <f ca="1">IFERROR(__xludf.DUMMYFUNCTION("""COMPUTED_VALUE"""),"No")</f>
        <v>No</v>
      </c>
      <c r="AJ1534" s="5"/>
    </row>
    <row r="1535" spans="1:36" ht="13">
      <c r="A1535" s="5" t="str">
        <f ca="1">IFERROR(__xludf.DUMMYFUNCTION("""COMPUTED_VALUE"""),"20031030DCANW")</f>
        <v>20031030DCANW</v>
      </c>
      <c r="B1535" s="5">
        <f ca="1">IFERROR(__xludf.DUMMYFUNCTION("""COMPUTED_VALUE"""),10)</f>
        <v>10</v>
      </c>
      <c r="C1535" s="5">
        <f ca="1">IFERROR(__xludf.DUMMYFUNCTION("""COMPUTED_VALUE"""),30)</f>
        <v>30</v>
      </c>
      <c r="D1535" s="5">
        <f ca="1">IFERROR(__xludf.DUMMYFUNCTION("""COMPUTED_VALUE"""),2003)</f>
        <v>2003</v>
      </c>
      <c r="E1535" s="8">
        <f ca="1">IFERROR(__xludf.DUMMYFUNCTION("""COMPUTED_VALUE"""),37924)</f>
        <v>37924</v>
      </c>
      <c r="F1535" s="5" t="str">
        <f ca="1">IFERROR(__xludf.DUMMYFUNCTION("""COMPUTED_VALUE"""),"Anacostia High School")</f>
        <v>Anacostia High School</v>
      </c>
      <c r="G1535" s="5">
        <f ca="1">IFERROR(__xludf.DUMMYFUNCTION("""COMPUTED_VALUE"""),1)</f>
        <v>1</v>
      </c>
      <c r="H1535" s="5">
        <f ca="1">IFERROR(__xludf.DUMMYFUNCTION("""COMPUTED_VALUE"""),1)</f>
        <v>1</v>
      </c>
      <c r="I1535" s="5">
        <f ca="1">IFERROR(__xludf.DUMMYFUNCTION("""COMPUTED_VALUE"""),2)</f>
        <v>2</v>
      </c>
      <c r="J1535" s="5">
        <f ca="1">IFERROR(__xludf.DUMMYFUNCTION("""COMPUTED_VALUE"""),0)</f>
        <v>0</v>
      </c>
      <c r="K1535" s="9" t="str">
        <f ca="1">IFERROR(__xludf.DUMMYFUNCTION("""COMPUTED_VALUE"""),"https://www.washingtonpost.com/archive/politics/2003/10/31/anacostia-high-student-is-fatally-shot-at-school/a36cda4b-5726-44b6-8658-07f7b3d2c499/?utm_term=.9b19cef0c21d")</f>
        <v>https://www.washingtonpost.com/archive/politics/2003/10/31/anacostia-high-student-is-fatally-shot-at-school/a36cda4b-5726-44b6-8658-07f7b3d2c499/?utm_term=.9b19cef0c21d</v>
      </c>
      <c r="L1535" s="5"/>
      <c r="M1535" s="5"/>
      <c r="N1535" s="5">
        <f ca="1">IFERROR(__xludf.DUMMYFUNCTION("""COMPUTED_VALUE"""),2)</f>
        <v>2</v>
      </c>
      <c r="O1535" s="5" t="str">
        <f ca="1">IFERROR(__xludf.DUMMYFUNCTION("""COMPUTED_VALUE"""),"Fall")</f>
        <v>Fall</v>
      </c>
      <c r="P1535" s="5" t="str">
        <f ca="1">IFERROR(__xludf.DUMMYFUNCTION("""COMPUTED_VALUE"""),"Washington")</f>
        <v>Washington</v>
      </c>
      <c r="Q1535" s="5" t="str">
        <f ca="1">IFERROR(__xludf.DUMMYFUNCTION("""COMPUTED_VALUE"""),"DC")</f>
        <v>DC</v>
      </c>
      <c r="R1535" s="5" t="str">
        <f ca="1">IFERROR(__xludf.DUMMYFUNCTION("""COMPUTED_VALUE"""),"High")</f>
        <v>High</v>
      </c>
      <c r="S1535" s="5" t="str">
        <f ca="1">IFERROR(__xludf.DUMMYFUNCTION("""COMPUTED_VALUE"""),"Beside Building")</f>
        <v>Beside Building</v>
      </c>
      <c r="T1535" s="5" t="str">
        <f ca="1">IFERROR(__xludf.DUMMYFUNCTION("""COMPUTED_VALUE"""),"Outside on School Property")</f>
        <v>Outside on School Property</v>
      </c>
      <c r="U1535" s="5" t="str">
        <f ca="1">IFERROR(__xludf.DUMMYFUNCTION("""COMPUTED_VALUE"""),"No")</f>
        <v>No</v>
      </c>
      <c r="V1535" s="5" t="str">
        <f ca="1">IFERROR(__xludf.DUMMYFUNCTION("""COMPUTED_VALUE"""),"School Event")</f>
        <v>School Event</v>
      </c>
      <c r="W1535" s="10">
        <f ca="1">IFERROR(__xludf.DUMMYFUNCTION("""COMPUTED_VALUE"""),0.635416666666666)</f>
        <v>0.63541666666666596</v>
      </c>
      <c r="X1535" s="5">
        <f ca="1">IFERROR(__xludf.DUMMYFUNCTION("""COMPUTED_VALUE"""),1)</f>
        <v>1</v>
      </c>
      <c r="Y1535" s="5" t="str">
        <f ca="1">IFERROR(__xludf.DUMMYFUNCTION("""COMPUTED_VALUE"""),"Gang related shooting, two bystander students struck")</f>
        <v>Gang related shooting, two bystander students struck</v>
      </c>
      <c r="Z1535" s="5" t="str">
        <f ca="1">IFERROR(__xludf.DUMMYFUNCTION("""COMPUTED_VALUE"""),"Gang related shooting outside of homecoming dance. Two bystander students were struck. Unknown teenage shooter fled the scene.")</f>
        <v>Gang related shooting outside of homecoming dance. Two bystander students were struck. Unknown teenage shooter fled the scene.</v>
      </c>
      <c r="AA1535" s="5" t="str">
        <f ca="1">IFERROR(__xludf.DUMMYFUNCTION("""COMPUTED_VALUE"""),"Escalation of Dispute")</f>
        <v>Escalation of Dispute</v>
      </c>
      <c r="AB1535" s="5" t="str">
        <f ca="1">IFERROR(__xludf.DUMMYFUNCTION("""COMPUTED_VALUE"""),"Both")</f>
        <v>Both</v>
      </c>
      <c r="AC1535" s="5" t="str">
        <f ca="1">IFERROR(__xludf.DUMMYFUNCTION("""COMPUTED_VALUE"""),"No")</f>
        <v>No</v>
      </c>
      <c r="AD1535" s="5" t="str">
        <f ca="1">IFERROR(__xludf.DUMMYFUNCTION("""COMPUTED_VALUE"""),"No")</f>
        <v>No</v>
      </c>
      <c r="AE1535" s="5" t="str">
        <f ca="1">IFERROR(__xludf.DUMMYFUNCTION("""COMPUTED_VALUE"""),"No")</f>
        <v>No</v>
      </c>
      <c r="AF1535" s="5" t="str">
        <f ca="1">IFERROR(__xludf.DUMMYFUNCTION("""COMPUTED_VALUE"""),"No")</f>
        <v>No</v>
      </c>
      <c r="AG1535" s="5" t="str">
        <f ca="1">IFERROR(__xludf.DUMMYFUNCTION("""COMPUTED_VALUE"""),"No")</f>
        <v>No</v>
      </c>
      <c r="AH1535" s="5" t="str">
        <f ca="1">IFERROR(__xludf.DUMMYFUNCTION("""COMPUTED_VALUE"""),"No")</f>
        <v>No</v>
      </c>
      <c r="AI1535" s="5" t="str">
        <f ca="1">IFERROR(__xludf.DUMMYFUNCTION("""COMPUTED_VALUE"""),"Yes")</f>
        <v>Yes</v>
      </c>
      <c r="AJ1535" s="5"/>
    </row>
    <row r="1536" spans="1:36" ht="13">
      <c r="A1536" s="5" t="str">
        <f ca="1">IFERROR(__xludf.DUMMYFUNCTION("""COMPUTED_VALUE"""),"20031029LAMAM")</f>
        <v>20031029LAMAM</v>
      </c>
      <c r="B1536" s="5">
        <f ca="1">IFERROR(__xludf.DUMMYFUNCTION("""COMPUTED_VALUE"""),10)</f>
        <v>10</v>
      </c>
      <c r="C1536" s="5">
        <f ca="1">IFERROR(__xludf.DUMMYFUNCTION("""COMPUTED_VALUE"""),29)</f>
        <v>29</v>
      </c>
      <c r="D1536" s="5">
        <f ca="1">IFERROR(__xludf.DUMMYFUNCTION("""COMPUTED_VALUE"""),2003)</f>
        <v>2003</v>
      </c>
      <c r="E1536" s="8">
        <f ca="1">IFERROR(__xludf.DUMMYFUNCTION("""COMPUTED_VALUE"""),37923)</f>
        <v>37923</v>
      </c>
      <c r="F1536" s="5" t="str">
        <f ca="1">IFERROR(__xludf.DUMMYFUNCTION("""COMPUTED_VALUE"""),"Marion High School")</f>
        <v>Marion High School</v>
      </c>
      <c r="G1536" s="5">
        <f ca="1">IFERROR(__xludf.DUMMYFUNCTION("""COMPUTED_VALUE"""),0)</f>
        <v>0</v>
      </c>
      <c r="H1536" s="5">
        <f ca="1">IFERROR(__xludf.DUMMYFUNCTION("""COMPUTED_VALUE"""),0)</f>
        <v>0</v>
      </c>
      <c r="I1536" s="5">
        <f ca="1">IFERROR(__xludf.DUMMYFUNCTION("""COMPUTED_VALUE"""),0)</f>
        <v>0</v>
      </c>
      <c r="J1536" s="5">
        <f ca="1">IFERROR(__xludf.DUMMYFUNCTION("""COMPUTED_VALUE"""),0)</f>
        <v>0</v>
      </c>
      <c r="K1536" s="9" t="str">
        <f ca="1">IFERROR(__xludf.DUMMYFUNCTION("""COMPUTED_VALUE"""),"https://www.newspapers.com/image/226188784/")</f>
        <v>https://www.newspapers.com/image/226188784/</v>
      </c>
      <c r="L1536" s="5"/>
      <c r="M1536" s="5"/>
      <c r="N1536" s="5">
        <f ca="1">IFERROR(__xludf.DUMMYFUNCTION("""COMPUTED_VALUE"""),2)</f>
        <v>2</v>
      </c>
      <c r="O1536" s="5" t="str">
        <f ca="1">IFERROR(__xludf.DUMMYFUNCTION("""COMPUTED_VALUE"""),"Fall")</f>
        <v>Fall</v>
      </c>
      <c r="P1536" s="5" t="str">
        <f ca="1">IFERROR(__xludf.DUMMYFUNCTION("""COMPUTED_VALUE"""),"Marion")</f>
        <v>Marion</v>
      </c>
      <c r="Q1536" s="5" t="str">
        <f ca="1">IFERROR(__xludf.DUMMYFUNCTION("""COMPUTED_VALUE"""),"LA")</f>
        <v>LA</v>
      </c>
      <c r="R1536" s="5" t="str">
        <f ca="1">IFERROR(__xludf.DUMMYFUNCTION("""COMPUTED_VALUE"""),"High")</f>
        <v>High</v>
      </c>
      <c r="S1536" s="5" t="str">
        <f ca="1">IFERROR(__xludf.DUMMYFUNCTION("""COMPUTED_VALUE"""),"Classroom")</f>
        <v>Classroom</v>
      </c>
      <c r="T1536" s="5" t="str">
        <f ca="1">IFERROR(__xludf.DUMMYFUNCTION("""COMPUTED_VALUE"""),"Inside School Building")</f>
        <v>Inside School Building</v>
      </c>
      <c r="U1536" s="5" t="str">
        <f ca="1">IFERROR(__xludf.DUMMYFUNCTION("""COMPUTED_VALUE"""),"Yes")</f>
        <v>Yes</v>
      </c>
      <c r="V1536" s="5" t="str">
        <f ca="1">IFERROR(__xludf.DUMMYFUNCTION("""COMPUTED_VALUE"""),"Morning Classes")</f>
        <v>Morning Classes</v>
      </c>
      <c r="W1536" s="10">
        <f ca="1">IFERROR(__xludf.DUMMYFUNCTION("""COMPUTED_VALUE"""),0.329861111111111)</f>
        <v>0.32986111111111099</v>
      </c>
      <c r="X1536" s="5"/>
      <c r="Y1536" s="5" t="str">
        <f ca="1">IFERROR(__xludf.DUMMYFUNCTION("""COMPUTED_VALUE"""),"Pulled gun, took teachers car keys, kidnapped other student, drove car in police chase")</f>
        <v>Pulled gun, took teachers car keys, kidnapped other student, drove car in police chase</v>
      </c>
      <c r="Z1536" s="5" t="str">
        <f ca="1">IFERROR(__xludf.DUMMYFUNCTION("""COMPUTED_VALUE"""),"14YOM pulled handgun in classroom and forced teacher to give him car keys. Pointed gun at 12YOM student and took him hostage. Took student to parking lot, got in vehicle, and involved in 14 mile police chase. Shooter surrendered when police blocked highwa"&amp;"y. No injuries.")</f>
        <v>14YOM pulled handgun in classroom and forced teacher to give him car keys. Pointed gun at 12YOM student and took him hostage. Took student to parking lot, got in vehicle, and involved in 14 mile police chase. Shooter surrendered when police blocked highway. No injuries.</v>
      </c>
      <c r="AA1536" s="5" t="str">
        <f ca="1">IFERROR(__xludf.DUMMYFUNCTION("""COMPUTED_VALUE"""),"Hostage/Standoff")</f>
        <v>Hostage/Standoff</v>
      </c>
      <c r="AB1536" s="5"/>
      <c r="AC1536" s="5" t="str">
        <f ca="1">IFERROR(__xludf.DUMMYFUNCTION("""COMPUTED_VALUE"""),"No")</f>
        <v>No</v>
      </c>
      <c r="AD1536" s="5" t="str">
        <f ca="1">IFERROR(__xludf.DUMMYFUNCTION("""COMPUTED_VALUE"""),"Yes")</f>
        <v>Yes</v>
      </c>
      <c r="AE1536" s="5" t="str">
        <f ca="1">IFERROR(__xludf.DUMMYFUNCTION("""COMPUTED_VALUE"""),"No")</f>
        <v>No</v>
      </c>
      <c r="AF1536" s="5" t="str">
        <f ca="1">IFERROR(__xludf.DUMMYFUNCTION("""COMPUTED_VALUE"""),"No")</f>
        <v>No</v>
      </c>
      <c r="AG1536" s="5" t="str">
        <f ca="1">IFERROR(__xludf.DUMMYFUNCTION("""COMPUTED_VALUE"""),"No")</f>
        <v>No</v>
      </c>
      <c r="AH1536" s="5" t="str">
        <f ca="1">IFERROR(__xludf.DUMMYFUNCTION("""COMPUTED_VALUE"""),"No")</f>
        <v>No</v>
      </c>
      <c r="AI1536" s="5" t="str">
        <f ca="1">IFERROR(__xludf.DUMMYFUNCTION("""COMPUTED_VALUE"""),"No")</f>
        <v>No</v>
      </c>
      <c r="AJ1536" s="5" t="str">
        <f ca="1">IFERROR(__xludf.DUMMYFUNCTION("""COMPUTED_VALUE"""),"Yes")</f>
        <v>Yes</v>
      </c>
    </row>
    <row r="1537" spans="1:36" ht="13">
      <c r="A1537" s="5" t="str">
        <f ca="1">IFERROR(__xludf.DUMMYFUNCTION("""COMPUTED_VALUE"""),"20031007OHKEA")</f>
        <v>20031007OHKEA</v>
      </c>
      <c r="B1537" s="5">
        <f ca="1">IFERROR(__xludf.DUMMYFUNCTION("""COMPUTED_VALUE"""),10)</f>
        <v>10</v>
      </c>
      <c r="C1537" s="5">
        <f ca="1">IFERROR(__xludf.DUMMYFUNCTION("""COMPUTED_VALUE"""),7)</f>
        <v>7</v>
      </c>
      <c r="D1537" s="5">
        <f ca="1">IFERROR(__xludf.DUMMYFUNCTION("""COMPUTED_VALUE"""),2003)</f>
        <v>2003</v>
      </c>
      <c r="E1537" s="8">
        <f ca="1">IFERROR(__xludf.DUMMYFUNCTION("""COMPUTED_VALUE"""),37901)</f>
        <v>37901</v>
      </c>
      <c r="F1537" s="5" t="str">
        <f ca="1">IFERROR(__xludf.DUMMYFUNCTION("""COMPUTED_VALUE"""),"Kenmore High School")</f>
        <v>Kenmore High School</v>
      </c>
      <c r="G1537" s="5">
        <f ca="1">IFERROR(__xludf.DUMMYFUNCTION("""COMPUTED_VALUE"""),0)</f>
        <v>0</v>
      </c>
      <c r="H1537" s="5">
        <f ca="1">IFERROR(__xludf.DUMMYFUNCTION("""COMPUTED_VALUE"""),1)</f>
        <v>1</v>
      </c>
      <c r="I1537" s="5">
        <f ca="1">IFERROR(__xludf.DUMMYFUNCTION("""COMPUTED_VALUE"""),1)</f>
        <v>1</v>
      </c>
      <c r="J1537" s="5">
        <f ca="1">IFERROR(__xludf.DUMMYFUNCTION("""COMPUTED_VALUE"""),0)</f>
        <v>0</v>
      </c>
      <c r="K1537" s="9" t="str">
        <f ca="1">IFERROR(__xludf.DUMMYFUNCTION("""COMPUTED_VALUE"""),"http://www.the-daily-record.com/news/20070723/kenmore-grad-remembers-every-detail-of-2003-school-shooting")</f>
        <v>http://www.the-daily-record.com/news/20070723/kenmore-grad-remembers-every-detail-of-2003-school-shooting</v>
      </c>
      <c r="L1537" s="5"/>
      <c r="M1537" s="5"/>
      <c r="N1537" s="5">
        <f ca="1">IFERROR(__xludf.DUMMYFUNCTION("""COMPUTED_VALUE"""),2)</f>
        <v>2</v>
      </c>
      <c r="O1537" s="5" t="str">
        <f ca="1">IFERROR(__xludf.DUMMYFUNCTION("""COMPUTED_VALUE"""),"Fall")</f>
        <v>Fall</v>
      </c>
      <c r="P1537" s="5" t="str">
        <f ca="1">IFERROR(__xludf.DUMMYFUNCTION("""COMPUTED_VALUE"""),"Akron")</f>
        <v>Akron</v>
      </c>
      <c r="Q1537" s="5" t="str">
        <f ca="1">IFERROR(__xludf.DUMMYFUNCTION("""COMPUTED_VALUE"""),"OH")</f>
        <v>OH</v>
      </c>
      <c r="R1537" s="5" t="str">
        <f ca="1">IFERROR(__xludf.DUMMYFUNCTION("""COMPUTED_VALUE"""),"High")</f>
        <v>High</v>
      </c>
      <c r="S1537" s="5" t="str">
        <f ca="1">IFERROR(__xludf.DUMMYFUNCTION("""COMPUTED_VALUE"""),"Parking Lot")</f>
        <v>Parking Lot</v>
      </c>
      <c r="T1537" s="5" t="str">
        <f ca="1">IFERROR(__xludf.DUMMYFUNCTION("""COMPUTED_VALUE"""),"Outside on School Property")</f>
        <v>Outside on School Property</v>
      </c>
      <c r="U1537" s="5" t="str">
        <f ca="1">IFERROR(__xludf.DUMMYFUNCTION("""COMPUTED_VALUE"""),"Yes")</f>
        <v>Yes</v>
      </c>
      <c r="V1537" s="5" t="str">
        <f ca="1">IFERROR(__xludf.DUMMYFUNCTION("""COMPUTED_VALUE"""),"Afternoon Classes")</f>
        <v>Afternoon Classes</v>
      </c>
      <c r="W1537" s="5"/>
      <c r="X1537" s="5">
        <f ca="1">IFERROR(__xludf.DUMMYFUNCTION("""COMPUTED_VALUE"""),1)</f>
        <v>1</v>
      </c>
      <c r="Y1537" s="5" t="str">
        <f ca="1">IFERROR(__xludf.DUMMYFUNCTION("""COMPUTED_VALUE"""),"Argument over car being broken into, third student shot at two arguing")</f>
        <v>Argument over car being broken into, third student shot at two arguing</v>
      </c>
      <c r="Z1537" s="5" t="str">
        <f ca="1">IFERROR(__xludf.DUMMYFUNCTION("""COMPUTED_VALUE"""),"Two students were arguing over a car being broken into in the parking lot. Shooter was friends with one of the students and opened fire severely injuring a 17YOM student.")</f>
        <v>Two students were arguing over a car being broken into in the parking lot. Shooter was friends with one of the students and opened fire severely injuring a 17YOM student.</v>
      </c>
      <c r="AA1537" s="5" t="str">
        <f ca="1">IFERROR(__xludf.DUMMYFUNCTION("""COMPUTED_VALUE"""),"Escalation of Dispute")</f>
        <v>Escalation of Dispute</v>
      </c>
      <c r="AB1537" s="5" t="str">
        <f ca="1">IFERROR(__xludf.DUMMYFUNCTION("""COMPUTED_VALUE"""),"Victims Targeted")</f>
        <v>Victims Targeted</v>
      </c>
      <c r="AC1537" s="5" t="str">
        <f ca="1">IFERROR(__xludf.DUMMYFUNCTION("""COMPUTED_VALUE"""),"No")</f>
        <v>No</v>
      </c>
      <c r="AD1537" s="5" t="str">
        <f ca="1">IFERROR(__xludf.DUMMYFUNCTION("""COMPUTED_VALUE"""),"No")</f>
        <v>No</v>
      </c>
      <c r="AE1537" s="5" t="str">
        <f ca="1">IFERROR(__xludf.DUMMYFUNCTION("""COMPUTED_VALUE"""),"No")</f>
        <v>No</v>
      </c>
      <c r="AF1537" s="5" t="str">
        <f ca="1">IFERROR(__xludf.DUMMYFUNCTION("""COMPUTED_VALUE"""),"No")</f>
        <v>No</v>
      </c>
      <c r="AG1537" s="5" t="str">
        <f ca="1">IFERROR(__xludf.DUMMYFUNCTION("""COMPUTED_VALUE"""),"No")</f>
        <v>No</v>
      </c>
      <c r="AH1537" s="5" t="str">
        <f ca="1">IFERROR(__xludf.DUMMYFUNCTION("""COMPUTED_VALUE"""),"No")</f>
        <v>No</v>
      </c>
      <c r="AI1537" s="5" t="str">
        <f ca="1">IFERROR(__xludf.DUMMYFUNCTION("""COMPUTED_VALUE"""),"No")</f>
        <v>No</v>
      </c>
      <c r="AJ1537" s="5"/>
    </row>
    <row r="1538" spans="1:36" ht="13">
      <c r="A1538" s="5" t="str">
        <f ca="1">IFERROR(__xludf.DUMMYFUNCTION("""COMPUTED_VALUE"""),"20031001CARIS")</f>
        <v>20031001CARIS</v>
      </c>
      <c r="B1538" s="5">
        <f ca="1">IFERROR(__xludf.DUMMYFUNCTION("""COMPUTED_VALUE"""),10)</f>
        <v>10</v>
      </c>
      <c r="C1538" s="5">
        <f ca="1">IFERROR(__xludf.DUMMYFUNCTION("""COMPUTED_VALUE"""),1)</f>
        <v>1</v>
      </c>
      <c r="D1538" s="5">
        <f ca="1">IFERROR(__xludf.DUMMYFUNCTION("""COMPUTED_VALUE"""),2003)</f>
        <v>2003</v>
      </c>
      <c r="E1538" s="8">
        <f ca="1">IFERROR(__xludf.DUMMYFUNCTION("""COMPUTED_VALUE"""),37895)</f>
        <v>37895</v>
      </c>
      <c r="F1538" s="5" t="str">
        <f ca="1">IFERROR(__xludf.DUMMYFUNCTION("""COMPUTED_VALUE"""),"Rio Cazadero High School")</f>
        <v>Rio Cazadero High School</v>
      </c>
      <c r="G1538" s="5">
        <f ca="1">IFERROR(__xludf.DUMMYFUNCTION("""COMPUTED_VALUE"""),0)</f>
        <v>0</v>
      </c>
      <c r="H1538" s="5">
        <f ca="1">IFERROR(__xludf.DUMMYFUNCTION("""COMPUTED_VALUE"""),1)</f>
        <v>1</v>
      </c>
      <c r="I1538" s="5">
        <f ca="1">IFERROR(__xludf.DUMMYFUNCTION("""COMPUTED_VALUE"""),1)</f>
        <v>1</v>
      </c>
      <c r="J1538" s="5">
        <f ca="1">IFERROR(__xludf.DUMMYFUNCTION("""COMPUTED_VALUE"""),0)</f>
        <v>0</v>
      </c>
      <c r="K1538" s="9" t="str">
        <f ca="1">IFERROR(__xludf.DUMMYFUNCTION("""COMPUTED_VALUE"""),"http://articles.latimes.com/2003/oct/02/local/me-shooting2")</f>
        <v>http://articles.latimes.com/2003/oct/02/local/me-shooting2</v>
      </c>
      <c r="L1538" s="5"/>
      <c r="M1538" s="5"/>
      <c r="N1538" s="5">
        <f ca="1">IFERROR(__xludf.DUMMYFUNCTION("""COMPUTED_VALUE"""),2)</f>
        <v>2</v>
      </c>
      <c r="O1538" s="5" t="str">
        <f ca="1">IFERROR(__xludf.DUMMYFUNCTION("""COMPUTED_VALUE"""),"Fall")</f>
        <v>Fall</v>
      </c>
      <c r="P1538" s="5" t="str">
        <f ca="1">IFERROR(__xludf.DUMMYFUNCTION("""COMPUTED_VALUE"""),"Sacramento")</f>
        <v>Sacramento</v>
      </c>
      <c r="Q1538" s="5" t="str">
        <f ca="1">IFERROR(__xludf.DUMMYFUNCTION("""COMPUTED_VALUE"""),"CA")</f>
        <v>CA</v>
      </c>
      <c r="R1538" s="5" t="str">
        <f ca="1">IFERROR(__xludf.DUMMYFUNCTION("""COMPUTED_VALUE"""),"High")</f>
        <v>High</v>
      </c>
      <c r="S1538" s="5" t="str">
        <f ca="1">IFERROR(__xludf.DUMMYFUNCTION("""COMPUTED_VALUE"""),"Classroom; Beside Building")</f>
        <v>Classroom; Beside Building</v>
      </c>
      <c r="T1538" s="5" t="str">
        <f ca="1">IFERROR(__xludf.DUMMYFUNCTION("""COMPUTED_VALUE"""),"Both Inside/Outside")</f>
        <v>Both Inside/Outside</v>
      </c>
      <c r="U1538" s="5" t="str">
        <f ca="1">IFERROR(__xludf.DUMMYFUNCTION("""COMPUTED_VALUE"""),"Yes")</f>
        <v>Yes</v>
      </c>
      <c r="V1538" s="5" t="str">
        <f ca="1">IFERROR(__xludf.DUMMYFUNCTION("""COMPUTED_VALUE"""),"Morning Classes")</f>
        <v>Morning Classes</v>
      </c>
      <c r="W1538" s="10">
        <f ca="1">IFERROR(__xludf.DUMMYFUNCTION("""COMPUTED_VALUE"""),0.375)</f>
        <v>0.375</v>
      </c>
      <c r="X1538" s="5"/>
      <c r="Y1538" s="5" t="str">
        <f ca="1">IFERROR(__xludf.DUMMYFUNCTION("""COMPUTED_VALUE"""),"Suicide by cop, depressed over breakup")</f>
        <v>Suicide by cop, depressed over breakup</v>
      </c>
      <c r="Z1538" s="5" t="str">
        <f ca="1">IFERROR(__xludf.DUMMYFUNCTION("""COMPUTED_VALUE"""),"18YOM brought duffel bag with shotgun, fake pistol, and baseball bat into classroom. Told the students and teacher to leave. Principal entered classroom and tried to talk him down. When police arrived, shooter walked outside to confront them. Principal tr"&amp;"ied to wrestle away shotgun when he pointed it at officers. Shooter was shot by police and principal was hit in leg by round (unclear if it was shooter or from police officer).")</f>
        <v>18YOM brought duffel bag with shotgun, fake pistol, and baseball bat into classroom. Told the students and teacher to leave. Principal entered classroom and tried to talk him down. When police arrived, shooter walked outside to confront them. Principal tried to wrestle away shotgun when he pointed it at officers. Shooter was shot by police and principal was hit in leg by round (unclear if it was shooter or from police officer).</v>
      </c>
      <c r="AA1538" s="5" t="str">
        <f ca="1">IFERROR(__xludf.DUMMYFUNCTION("""COMPUTED_VALUE"""),"Suicide/Attempted")</f>
        <v>Suicide/Attempted</v>
      </c>
      <c r="AB1538" s="5" t="str">
        <f ca="1">IFERROR(__xludf.DUMMYFUNCTION("""COMPUTED_VALUE"""),"Victims Targeted")</f>
        <v>Victims Targeted</v>
      </c>
      <c r="AC1538" s="5" t="str">
        <f ca="1">IFERROR(__xludf.DUMMYFUNCTION("""COMPUTED_VALUE"""),"No")</f>
        <v>No</v>
      </c>
      <c r="AD1538" s="5" t="str">
        <f ca="1">IFERROR(__xludf.DUMMYFUNCTION("""COMPUTED_VALUE"""),"No")</f>
        <v>No</v>
      </c>
      <c r="AE1538" s="5" t="str">
        <f ca="1">IFERROR(__xludf.DUMMYFUNCTION("""COMPUTED_VALUE"""),"No")</f>
        <v>No</v>
      </c>
      <c r="AF1538" s="5" t="str">
        <f ca="1">IFERROR(__xludf.DUMMYFUNCTION("""COMPUTED_VALUE"""),"No")</f>
        <v>No</v>
      </c>
      <c r="AG1538" s="5" t="str">
        <f ca="1">IFERROR(__xludf.DUMMYFUNCTION("""COMPUTED_VALUE"""),"No")</f>
        <v>No</v>
      </c>
      <c r="AH1538" s="5" t="str">
        <f ca="1">IFERROR(__xludf.DUMMYFUNCTION("""COMPUTED_VALUE"""),"Yes")</f>
        <v>Yes</v>
      </c>
      <c r="AI1538" s="5" t="str">
        <f ca="1">IFERROR(__xludf.DUMMYFUNCTION("""COMPUTED_VALUE"""),"No")</f>
        <v>No</v>
      </c>
      <c r="AJ1538" s="5"/>
    </row>
    <row r="1539" spans="1:36" ht="13">
      <c r="A1539" s="5" t="str">
        <f ca="1">IFERROR(__xludf.DUMMYFUNCTION("""COMPUTED_VALUE"""),"20030925NCBUL")</f>
        <v>20030925NCBUL</v>
      </c>
      <c r="B1539" s="5">
        <f ca="1">IFERROR(__xludf.DUMMYFUNCTION("""COMPUTED_VALUE"""),9)</f>
        <v>9</v>
      </c>
      <c r="C1539" s="5">
        <f ca="1">IFERROR(__xludf.DUMMYFUNCTION("""COMPUTED_VALUE"""),25)</f>
        <v>25</v>
      </c>
      <c r="D1539" s="5">
        <f ca="1">IFERROR(__xludf.DUMMYFUNCTION("""COMPUTED_VALUE"""),2003)</f>
        <v>2003</v>
      </c>
      <c r="E1539" s="8">
        <f ca="1">IFERROR(__xludf.DUMMYFUNCTION("""COMPUTED_VALUE"""),37889)</f>
        <v>37889</v>
      </c>
      <c r="F1539" s="5" t="str">
        <f ca="1">IFERROR(__xludf.DUMMYFUNCTION("""COMPUTED_VALUE"""),"Burns Middle School")</f>
        <v>Burns Middle School</v>
      </c>
      <c r="G1539" s="5">
        <f ca="1">IFERROR(__xludf.DUMMYFUNCTION("""COMPUTED_VALUE"""),0)</f>
        <v>0</v>
      </c>
      <c r="H1539" s="5">
        <f ca="1">IFERROR(__xludf.DUMMYFUNCTION("""COMPUTED_VALUE"""),0)</f>
        <v>0</v>
      </c>
      <c r="I1539" s="5">
        <f ca="1">IFERROR(__xludf.DUMMYFUNCTION("""COMPUTED_VALUE"""),0)</f>
        <v>0</v>
      </c>
      <c r="J1539" s="5">
        <f ca="1">IFERROR(__xludf.DUMMYFUNCTION("""COMPUTED_VALUE"""),0)</f>
        <v>0</v>
      </c>
      <c r="K1539" s="5" t="str">
        <f ca="1">IFERROR(__xludf.DUMMYFUNCTION("""COMPUTED_VALUE"""),"https://www.semissourian.com/story/120674.html https://www.wsoctv.com/news/local/former-student-recalls-school-resource-officer-saving-lives-at-local-middle-school/705956061/")</f>
        <v>https://www.semissourian.com/story/120674.html https://www.wsoctv.com/news/local/former-student-recalls-school-resource-officer-saving-lives-at-local-middle-school/705956061/</v>
      </c>
      <c r="L1539" s="5"/>
      <c r="M1539" s="5"/>
      <c r="N1539" s="5">
        <f ca="1">IFERROR(__xludf.DUMMYFUNCTION("""COMPUTED_VALUE"""),4)</f>
        <v>4</v>
      </c>
      <c r="O1539" s="5" t="str">
        <f ca="1">IFERROR(__xludf.DUMMYFUNCTION("""COMPUTED_VALUE"""),"Fall")</f>
        <v>Fall</v>
      </c>
      <c r="P1539" s="5" t="str">
        <f ca="1">IFERROR(__xludf.DUMMYFUNCTION("""COMPUTED_VALUE"""),"Lawndale")</f>
        <v>Lawndale</v>
      </c>
      <c r="Q1539" s="5" t="str">
        <f ca="1">IFERROR(__xludf.DUMMYFUNCTION("""COMPUTED_VALUE"""),"NC")</f>
        <v>NC</v>
      </c>
      <c r="R1539" s="5" t="str">
        <f ca="1">IFERROR(__xludf.DUMMYFUNCTION("""COMPUTED_VALUE"""),"Middle")</f>
        <v>Middle</v>
      </c>
      <c r="S1539" s="5" t="str">
        <f ca="1">IFERROR(__xludf.DUMMYFUNCTION("""COMPUTED_VALUE"""),"Hallway")</f>
        <v>Hallway</v>
      </c>
      <c r="T1539" s="5" t="str">
        <f ca="1">IFERROR(__xludf.DUMMYFUNCTION("""COMPUTED_VALUE"""),"Inside School Building")</f>
        <v>Inside School Building</v>
      </c>
      <c r="U1539" s="5" t="str">
        <f ca="1">IFERROR(__xludf.DUMMYFUNCTION("""COMPUTED_VALUE"""),"Yes")</f>
        <v>Yes</v>
      </c>
      <c r="V1539" s="5" t="str">
        <f ca="1">IFERROR(__xludf.DUMMYFUNCTION("""COMPUTED_VALUE"""),"School Start")</f>
        <v>School Start</v>
      </c>
      <c r="W1539" s="10">
        <f ca="1">IFERROR(__xludf.DUMMYFUNCTION("""COMPUTED_VALUE"""),0.333333333333333)</f>
        <v>0.33333333333333298</v>
      </c>
      <c r="X1539" s="5">
        <f ca="1">IFERROR(__xludf.DUMMYFUNCTION("""COMPUTED_VALUE"""),1)</f>
        <v>1</v>
      </c>
      <c r="Y1539" s="5" t="str">
        <f ca="1">IFERROR(__xludf.DUMMYFUNCTION("""COMPUTED_VALUE"""),"Pulled gun in hallway, fired into classrooms, tackled by SRO")</f>
        <v>Pulled gun in hallway, fired into classrooms, tackled by SRO</v>
      </c>
      <c r="Z1539" s="5" t="str">
        <f ca="1">IFERROR(__xludf.DUMMYFUNCTION("""COMPUTED_VALUE"""),"13YOM called out girls name in hallway, pulled pistol, fired two shots in the air, and fire shots into random classrooms. School was locked down and the shooter tackled by a sheriff's deputy working in the school. The shooter fought the deputy for the gun"&amp;" but he was able to detain him. The shooter had been identified as a possible threat by school officials.")</f>
        <v>13YOM called out girls name in hallway, pulled pistol, fired two shots in the air, and fire shots into random classrooms. School was locked down and the shooter tackled by a sheriff's deputy working in the school. The shooter fought the deputy for the gun but he was able to detain him. The shooter had been identified as a possible threat by school officials.</v>
      </c>
      <c r="AA1539" s="5" t="str">
        <f ca="1">IFERROR(__xludf.DUMMYFUNCTION("""COMPUTED_VALUE"""),"Indiscriminate Shooting")</f>
        <v>Indiscriminate Shooting</v>
      </c>
      <c r="AB1539" s="5" t="str">
        <f ca="1">IFERROR(__xludf.DUMMYFUNCTION("""COMPUTED_VALUE"""),"Victims Targeted")</f>
        <v>Victims Targeted</v>
      </c>
      <c r="AC1539" s="5" t="str">
        <f ca="1">IFERROR(__xludf.DUMMYFUNCTION("""COMPUTED_VALUE"""),"No")</f>
        <v>No</v>
      </c>
      <c r="AD1539" s="5" t="str">
        <f ca="1">IFERROR(__xludf.DUMMYFUNCTION("""COMPUTED_VALUE"""),"No")</f>
        <v>No</v>
      </c>
      <c r="AE1539" s="5" t="str">
        <f ca="1">IFERROR(__xludf.DUMMYFUNCTION("""COMPUTED_VALUE"""),"No")</f>
        <v>No</v>
      </c>
      <c r="AF1539" s="5" t="str">
        <f ca="1">IFERROR(__xludf.DUMMYFUNCTION("""COMPUTED_VALUE"""),"No")</f>
        <v>No</v>
      </c>
      <c r="AG1539" s="5" t="str">
        <f ca="1">IFERROR(__xludf.DUMMYFUNCTION("""COMPUTED_VALUE"""),"No")</f>
        <v>No</v>
      </c>
      <c r="AH1539" s="5"/>
      <c r="AI1539" s="5" t="str">
        <f ca="1">IFERROR(__xludf.DUMMYFUNCTION("""COMPUTED_VALUE"""),"No")</f>
        <v>No</v>
      </c>
      <c r="AJ1539" s="5" t="str">
        <f ca="1">IFERROR(__xludf.DUMMYFUNCTION("""COMPUTED_VALUE"""),"Yes")</f>
        <v>Yes</v>
      </c>
    </row>
    <row r="1540" spans="1:36" ht="13">
      <c r="A1540" s="5" t="str">
        <f ca="1">IFERROR(__xludf.DUMMYFUNCTION("""COMPUTED_VALUE"""),"20030924MNROC")</f>
        <v>20030924MNROC</v>
      </c>
      <c r="B1540" s="5">
        <f ca="1">IFERROR(__xludf.DUMMYFUNCTION("""COMPUTED_VALUE"""),9)</f>
        <v>9</v>
      </c>
      <c r="C1540" s="5">
        <f ca="1">IFERROR(__xludf.DUMMYFUNCTION("""COMPUTED_VALUE"""),24)</f>
        <v>24</v>
      </c>
      <c r="D1540" s="5">
        <f ca="1">IFERROR(__xludf.DUMMYFUNCTION("""COMPUTED_VALUE"""),2003)</f>
        <v>2003</v>
      </c>
      <c r="E1540" s="8">
        <f ca="1">IFERROR(__xludf.DUMMYFUNCTION("""COMPUTED_VALUE"""),37888)</f>
        <v>37888</v>
      </c>
      <c r="F1540" s="5" t="str">
        <f ca="1">IFERROR(__xludf.DUMMYFUNCTION("""COMPUTED_VALUE"""),"Rocori High School")</f>
        <v>Rocori High School</v>
      </c>
      <c r="G1540" s="5">
        <f ca="1">IFERROR(__xludf.DUMMYFUNCTION("""COMPUTED_VALUE"""),2)</f>
        <v>2</v>
      </c>
      <c r="H1540" s="5">
        <f ca="1">IFERROR(__xludf.DUMMYFUNCTION("""COMPUTED_VALUE"""),0)</f>
        <v>0</v>
      </c>
      <c r="I1540" s="5">
        <f ca="1">IFERROR(__xludf.DUMMYFUNCTION("""COMPUTED_VALUE"""),2)</f>
        <v>2</v>
      </c>
      <c r="J1540" s="5">
        <f ca="1">IFERROR(__xludf.DUMMYFUNCTION("""COMPUTED_VALUE"""),0)</f>
        <v>0</v>
      </c>
      <c r="K1540" s="5" t="str">
        <f ca="1">IFERROR(__xludf.DUMMYFUNCTION("""COMPUTED_VALUE"""),"http://news.minnesota.publicradio.org/features/2005/07/18_postt_rocoriverdict/ https://www.fbi.gov/file-repository/active-shooter-incidents-2000-2017.pdf")</f>
        <v>http://news.minnesota.publicradio.org/features/2005/07/18_postt_rocoriverdict/ https://www.fbi.gov/file-repository/active-shooter-incidents-2000-2017.pdf</v>
      </c>
      <c r="L1540" s="5"/>
      <c r="M1540" s="5"/>
      <c r="N1540" s="5">
        <f ca="1">IFERROR(__xludf.DUMMYFUNCTION("""COMPUTED_VALUE"""),5)</f>
        <v>5</v>
      </c>
      <c r="O1540" s="5" t="str">
        <f ca="1">IFERROR(__xludf.DUMMYFUNCTION("""COMPUTED_VALUE"""),"Fall")</f>
        <v>Fall</v>
      </c>
      <c r="P1540" s="5" t="str">
        <f ca="1">IFERROR(__xludf.DUMMYFUNCTION("""COMPUTED_VALUE"""),"Cold Spring")</f>
        <v>Cold Spring</v>
      </c>
      <c r="Q1540" s="5" t="str">
        <f ca="1">IFERROR(__xludf.DUMMYFUNCTION("""COMPUTED_VALUE"""),"MN")</f>
        <v>MN</v>
      </c>
      <c r="R1540" s="5" t="str">
        <f ca="1">IFERROR(__xludf.DUMMYFUNCTION("""COMPUTED_VALUE"""),"High")</f>
        <v>High</v>
      </c>
      <c r="S1540" s="5" t="str">
        <f ca="1">IFERROR(__xludf.DUMMYFUNCTION("""COMPUTED_VALUE"""),"Gym")</f>
        <v>Gym</v>
      </c>
      <c r="T1540" s="5" t="str">
        <f ca="1">IFERROR(__xludf.DUMMYFUNCTION("""COMPUTED_VALUE"""),"Inside School Building")</f>
        <v>Inside School Building</v>
      </c>
      <c r="U1540" s="5" t="str">
        <f ca="1">IFERROR(__xludf.DUMMYFUNCTION("""COMPUTED_VALUE"""),"Yes")</f>
        <v>Yes</v>
      </c>
      <c r="V1540" s="5" t="str">
        <f ca="1">IFERROR(__xludf.DUMMYFUNCTION("""COMPUTED_VALUE"""),"Morning Classes")</f>
        <v>Morning Classes</v>
      </c>
      <c r="W1540" s="10">
        <f ca="1">IFERROR(__xludf.DUMMYFUNCTION("""COMPUTED_VALUE"""),0.484722222222222)</f>
        <v>0.484722222222222</v>
      </c>
      <c r="X1540" s="5">
        <f ca="1">IFERROR(__xludf.DUMMYFUNCTION("""COMPUTED_VALUE"""),2)</f>
        <v>2</v>
      </c>
      <c r="Y1540" s="5" t="str">
        <f ca="1">IFERROR(__xludf.DUMMYFUNCTION("""COMPUTED_VALUE"""),"Targeted two bullies, other students in area were not shot at")</f>
        <v>Targeted two bullies, other students in area were not shot at</v>
      </c>
      <c r="Z1540" s="5" t="str">
        <f ca="1">IFERROR(__xludf.DUMMYFUNCTION("""COMPUTED_VALUE"""),"Shooter had been bullied by victim. Shooter snuck gun past metal detectors and ambushed the victim when he came out of the locker room. Shooter fired multiple rounds, one missed and struck another student in the throat killing him. Victim ran from the sho"&amp;"oter and the shooter chased him, eventually catching him and firing multiple shots to kill him. School officials found the shooter with an empty weapon and detained him until law enforcement arrived. Shooter had schizophrenia and described an imaginary fr"&amp;"iend who wore a black trench coat and told him to plan the shooting.")</f>
        <v>Shooter had been bullied by victim. Shooter snuck gun past metal detectors and ambushed the victim when he came out of the locker room. Shooter fired multiple rounds, one missed and struck another student in the throat killing him. Victim ran from the shooter and the shooter chased him, eventually catching him and firing multiple shots to kill him. School officials found the shooter with an empty weapon and detained him until law enforcement arrived. Shooter had schizophrenia and described an imaginary friend who wore a black trench coat and told him to plan the shooting.</v>
      </c>
      <c r="AA1540" s="5" t="str">
        <f ca="1">IFERROR(__xludf.DUMMYFUNCTION("""COMPUTED_VALUE"""),"Bullying")</f>
        <v>Bullying</v>
      </c>
      <c r="AB1540" s="5" t="str">
        <f ca="1">IFERROR(__xludf.DUMMYFUNCTION("""COMPUTED_VALUE"""),"Victims Targeted")</f>
        <v>Victims Targeted</v>
      </c>
      <c r="AC1540" s="5" t="str">
        <f ca="1">IFERROR(__xludf.DUMMYFUNCTION("""COMPUTED_VALUE"""),"No")</f>
        <v>No</v>
      </c>
      <c r="AD1540" s="5" t="str">
        <f ca="1">IFERROR(__xludf.DUMMYFUNCTION("""COMPUTED_VALUE"""),"No")</f>
        <v>No</v>
      </c>
      <c r="AE1540" s="5" t="str">
        <f ca="1">IFERROR(__xludf.DUMMYFUNCTION("""COMPUTED_VALUE"""),"No")</f>
        <v>No</v>
      </c>
      <c r="AF1540" s="5" t="str">
        <f ca="1">IFERROR(__xludf.DUMMYFUNCTION("""COMPUTED_VALUE"""),"No")</f>
        <v>No</v>
      </c>
      <c r="AG1540" s="5" t="str">
        <f ca="1">IFERROR(__xludf.DUMMYFUNCTION("""COMPUTED_VALUE"""),"Yes")</f>
        <v>Yes</v>
      </c>
      <c r="AH1540" s="5" t="str">
        <f ca="1">IFERROR(__xludf.DUMMYFUNCTION("""COMPUTED_VALUE"""),"No")</f>
        <v>No</v>
      </c>
      <c r="AI1540" s="5" t="str">
        <f ca="1">IFERROR(__xludf.DUMMYFUNCTION("""COMPUTED_VALUE"""),"No")</f>
        <v>No</v>
      </c>
      <c r="AJ1540" s="5" t="str">
        <f ca="1">IFERROR(__xludf.DUMMYFUNCTION("""COMPUTED_VALUE"""),"Yes")</f>
        <v>Yes</v>
      </c>
    </row>
    <row r="1541" spans="1:36" ht="13">
      <c r="A1541" s="5" t="str">
        <f ca="1">IFERROR(__xludf.DUMMYFUNCTION("""COMPUTED_VALUE"""),"20030922WALES")</f>
        <v>20030922WALES</v>
      </c>
      <c r="B1541" s="5">
        <f ca="1">IFERROR(__xludf.DUMMYFUNCTION("""COMPUTED_VALUE"""),9)</f>
        <v>9</v>
      </c>
      <c r="C1541" s="5">
        <f ca="1">IFERROR(__xludf.DUMMYFUNCTION("""COMPUTED_VALUE"""),22)</f>
        <v>22</v>
      </c>
      <c r="D1541" s="5">
        <f ca="1">IFERROR(__xludf.DUMMYFUNCTION("""COMPUTED_VALUE"""),2003)</f>
        <v>2003</v>
      </c>
      <c r="E1541" s="8">
        <f ca="1">IFERROR(__xludf.DUMMYFUNCTION("""COMPUTED_VALUE"""),37886)</f>
        <v>37886</v>
      </c>
      <c r="F1541" s="5" t="str">
        <f ca="1">IFERROR(__xludf.DUMMYFUNCTION("""COMPUTED_VALUE"""),"Lewis and Clark High School")</f>
        <v>Lewis and Clark High School</v>
      </c>
      <c r="G1541" s="5">
        <f ca="1">IFERROR(__xludf.DUMMYFUNCTION("""COMPUTED_VALUE"""),0)</f>
        <v>0</v>
      </c>
      <c r="H1541" s="5">
        <f ca="1">IFERROR(__xludf.DUMMYFUNCTION("""COMPUTED_VALUE"""),1)</f>
        <v>1</v>
      </c>
      <c r="I1541" s="5">
        <f ca="1">IFERROR(__xludf.DUMMYFUNCTION("""COMPUTED_VALUE"""),1)</f>
        <v>1</v>
      </c>
      <c r="J1541" s="5">
        <f ca="1">IFERROR(__xludf.DUMMYFUNCTION("""COMPUTED_VALUE"""),0)</f>
        <v>0</v>
      </c>
      <c r="K1541" s="9" t="str">
        <f ca="1">IFERROR(__xludf.DUMMYFUNCTION("""COMPUTED_VALUE"""),"http://www.spokesman.com/stories/2004/sep/04/father-says-police-too-aggressive-high-school-shoo/")</f>
        <v>http://www.spokesman.com/stories/2004/sep/04/father-says-police-too-aggressive-high-school-shoo/</v>
      </c>
      <c r="L1541" s="5"/>
      <c r="M1541" s="5"/>
      <c r="N1541" s="5">
        <f ca="1">IFERROR(__xludf.DUMMYFUNCTION("""COMPUTED_VALUE"""),2)</f>
        <v>2</v>
      </c>
      <c r="O1541" s="5" t="str">
        <f ca="1">IFERROR(__xludf.DUMMYFUNCTION("""COMPUTED_VALUE"""),"Fall")</f>
        <v>Fall</v>
      </c>
      <c r="P1541" s="5" t="str">
        <f ca="1">IFERROR(__xludf.DUMMYFUNCTION("""COMPUTED_VALUE"""),"Spokane")</f>
        <v>Spokane</v>
      </c>
      <c r="Q1541" s="5" t="str">
        <f ca="1">IFERROR(__xludf.DUMMYFUNCTION("""COMPUTED_VALUE"""),"WA")</f>
        <v>WA</v>
      </c>
      <c r="R1541" s="5" t="str">
        <f ca="1">IFERROR(__xludf.DUMMYFUNCTION("""COMPUTED_VALUE"""),"High")</f>
        <v>High</v>
      </c>
      <c r="S1541" s="5" t="str">
        <f ca="1">IFERROR(__xludf.DUMMYFUNCTION("""COMPUTED_VALUE"""),"Classroom")</f>
        <v>Classroom</v>
      </c>
      <c r="T1541" s="5" t="str">
        <f ca="1">IFERROR(__xludf.DUMMYFUNCTION("""COMPUTED_VALUE"""),"Inside School Building")</f>
        <v>Inside School Building</v>
      </c>
      <c r="U1541" s="5" t="str">
        <f ca="1">IFERROR(__xludf.DUMMYFUNCTION("""COMPUTED_VALUE"""),"Yes")</f>
        <v>Yes</v>
      </c>
      <c r="V1541" s="5" t="str">
        <f ca="1">IFERROR(__xludf.DUMMYFUNCTION("""COMPUTED_VALUE"""),"Lunch")</f>
        <v>Lunch</v>
      </c>
      <c r="W1541" s="10">
        <f ca="1">IFERROR(__xludf.DUMMYFUNCTION("""COMPUTED_VALUE"""),0.465277777777777)</f>
        <v>0.46527777777777701</v>
      </c>
      <c r="X1541" s="5">
        <f ca="1">IFERROR(__xludf.DUMMYFUNCTION("""COMPUTED_VALUE"""),95)</f>
        <v>95</v>
      </c>
      <c r="Y1541" s="5" t="str">
        <f ca="1">IFERROR(__xludf.DUMMYFUNCTION("""COMPUTED_VALUE"""),"Took 3 students hostage in classroom for an hour, shot by police")</f>
        <v>Took 3 students hostage in classroom for an hour, shot by police</v>
      </c>
      <c r="Z1541" s="5" t="str">
        <f ca="1">IFERROR(__xludf.DUMMYFUNCTION("""COMPUTED_VALUE"""),"17YOM walked into classroom during lunch and pulled gun. Told teacher to leave and fired shot at her. Blocked door and held 3 students hostage. Discharged fire extinguisher. Shot by police officers when he climbed on top of a bookcase. Father reported the"&amp;" shooter was hearing voices and on pain medication. Recently watched the movie ""Phone Booth"" about a hostage standoff.")</f>
        <v>17YOM walked into classroom during lunch and pulled gun. Told teacher to leave and fired shot at her. Blocked door and held 3 students hostage. Discharged fire extinguisher. Shot by police officers when he climbed on top of a bookcase. Father reported the shooter was hearing voices and on pain medication. Recently watched the movie "Phone Booth" about a hostage standoff.</v>
      </c>
      <c r="AA1541" s="5" t="str">
        <f ca="1">IFERROR(__xludf.DUMMYFUNCTION("""COMPUTED_VALUE"""),"Hostage/Standoff")</f>
        <v>Hostage/Standoff</v>
      </c>
      <c r="AB1541" s="5"/>
      <c r="AC1541" s="5" t="str">
        <f ca="1">IFERROR(__xludf.DUMMYFUNCTION("""COMPUTED_VALUE"""),"No")</f>
        <v>No</v>
      </c>
      <c r="AD1541" s="5" t="str">
        <f ca="1">IFERROR(__xludf.DUMMYFUNCTION("""COMPUTED_VALUE"""),"Yes")</f>
        <v>Yes</v>
      </c>
      <c r="AE1541" s="5" t="str">
        <f ca="1">IFERROR(__xludf.DUMMYFUNCTION("""COMPUTED_VALUE"""),"Yes")</f>
        <v>Yes</v>
      </c>
      <c r="AF1541" s="5" t="str">
        <f ca="1">IFERROR(__xludf.DUMMYFUNCTION("""COMPUTED_VALUE"""),"No")</f>
        <v>No</v>
      </c>
      <c r="AG1541" s="5"/>
      <c r="AH1541" s="5" t="str">
        <f ca="1">IFERROR(__xludf.DUMMYFUNCTION("""COMPUTED_VALUE"""),"No")</f>
        <v>No</v>
      </c>
      <c r="AI1541" s="5" t="str">
        <f ca="1">IFERROR(__xludf.DUMMYFUNCTION("""COMPUTED_VALUE"""),"No")</f>
        <v>No</v>
      </c>
      <c r="AJ1541" s="5" t="str">
        <f ca="1">IFERROR(__xludf.DUMMYFUNCTION("""COMPUTED_VALUE"""),"Yes")</f>
        <v>Yes</v>
      </c>
    </row>
    <row r="1542" spans="1:36" ht="13">
      <c r="A1542" s="5" t="str">
        <f ca="1">IFERROR(__xludf.DUMMYFUNCTION("""COMPUTED_VALUE"""),"20030917MACHB")</f>
        <v>20030917MACHB</v>
      </c>
      <c r="B1542" s="5">
        <f ca="1">IFERROR(__xludf.DUMMYFUNCTION("""COMPUTED_VALUE"""),9)</f>
        <v>9</v>
      </c>
      <c r="C1542" s="5">
        <f ca="1">IFERROR(__xludf.DUMMYFUNCTION("""COMPUTED_VALUE"""),17)</f>
        <v>17</v>
      </c>
      <c r="D1542" s="5">
        <f ca="1">IFERROR(__xludf.DUMMYFUNCTION("""COMPUTED_VALUE"""),2003)</f>
        <v>2003</v>
      </c>
      <c r="E1542" s="8">
        <f ca="1">IFERROR(__xludf.DUMMYFUNCTION("""COMPUTED_VALUE"""),37881)</f>
        <v>37881</v>
      </c>
      <c r="F1542" s="5" t="str">
        <f ca="1">IFERROR(__xludf.DUMMYFUNCTION("""COMPUTED_VALUE"""),"Charlestown High School")</f>
        <v>Charlestown High School</v>
      </c>
      <c r="G1542" s="5">
        <f ca="1">IFERROR(__xludf.DUMMYFUNCTION("""COMPUTED_VALUE"""),0)</f>
        <v>0</v>
      </c>
      <c r="H1542" s="5">
        <f ca="1">IFERROR(__xludf.DUMMYFUNCTION("""COMPUTED_VALUE"""),2)</f>
        <v>2</v>
      </c>
      <c r="I1542" s="5">
        <f ca="1">IFERROR(__xludf.DUMMYFUNCTION("""COMPUTED_VALUE"""),2)</f>
        <v>2</v>
      </c>
      <c r="J1542" s="5">
        <f ca="1">IFERROR(__xludf.DUMMYFUNCTION("""COMPUTED_VALUE"""),0)</f>
        <v>0</v>
      </c>
      <c r="K1542" s="9" t="str">
        <f ca="1">IFERROR(__xludf.DUMMYFUNCTION("""COMPUTED_VALUE"""),"http://archive.boston.com/news/local/articles/2003/09/18/teen_shot_near_charlestown_high/")</f>
        <v>http://archive.boston.com/news/local/articles/2003/09/18/teen_shot_near_charlestown_high/</v>
      </c>
      <c r="L1542" s="5"/>
      <c r="M1542" s="5"/>
      <c r="N1542" s="5">
        <f ca="1">IFERROR(__xludf.DUMMYFUNCTION("""COMPUTED_VALUE"""),2)</f>
        <v>2</v>
      </c>
      <c r="O1542" s="5" t="str">
        <f ca="1">IFERROR(__xludf.DUMMYFUNCTION("""COMPUTED_VALUE"""),"Fall")</f>
        <v>Fall</v>
      </c>
      <c r="P1542" s="5" t="str">
        <f ca="1">IFERROR(__xludf.DUMMYFUNCTION("""COMPUTED_VALUE"""),"Boston")</f>
        <v>Boston</v>
      </c>
      <c r="Q1542" s="5" t="str">
        <f ca="1">IFERROR(__xludf.DUMMYFUNCTION("""COMPUTED_VALUE"""),"MA")</f>
        <v>MA</v>
      </c>
      <c r="R1542" s="5" t="str">
        <f ca="1">IFERROR(__xludf.DUMMYFUNCTION("""COMPUTED_VALUE"""),"K-12")</f>
        <v>K-12</v>
      </c>
      <c r="S1542" s="5" t="str">
        <f ca="1">IFERROR(__xludf.DUMMYFUNCTION("""COMPUTED_VALUE"""),"Beside Building")</f>
        <v>Beside Building</v>
      </c>
      <c r="T1542" s="5" t="str">
        <f ca="1">IFERROR(__xludf.DUMMYFUNCTION("""COMPUTED_VALUE"""),"Outside on School Property")</f>
        <v>Outside on School Property</v>
      </c>
      <c r="U1542" s="5" t="str">
        <f ca="1">IFERROR(__xludf.DUMMYFUNCTION("""COMPUTED_VALUE"""),"No")</f>
        <v>No</v>
      </c>
      <c r="V1542" s="5" t="str">
        <f ca="1">IFERROR(__xludf.DUMMYFUNCTION("""COMPUTED_VALUE"""),"Dismissal")</f>
        <v>Dismissal</v>
      </c>
      <c r="W1542" s="10">
        <f ca="1">IFERROR(__xludf.DUMMYFUNCTION("""COMPUTED_VALUE"""),0.583333333333333)</f>
        <v>0.58333333333333304</v>
      </c>
      <c r="X1542" s="5">
        <f ca="1">IFERROR(__xludf.DUMMYFUNCTION("""COMPUTED_VALUE"""),1)</f>
        <v>1</v>
      </c>
      <c r="Y1542" s="5" t="str">
        <f ca="1">IFERROR(__xludf.DUMMYFUNCTION("""COMPUTED_VALUE"""),"Shot a specific victim during dismissal, missed hitting other student and police officer")</f>
        <v>Shot a specific victim during dismissal, missed hitting other student and police officer</v>
      </c>
      <c r="Z1542" s="5" t="str">
        <f ca="1">IFERROR(__xludf.DUMMYFUNCTION("""COMPUTED_VALUE"""),"14YOM fired at the crowd leaving the high school aiming for an intended target (possible rival gang members). Bullet struck a bystander student and a school police officer. Shooter fled the scene and was detained a few block away.")</f>
        <v>14YOM fired at the crowd leaving the high school aiming for an intended target (possible rival gang members). Bullet struck a bystander student and a school police officer. Shooter fled the scene and was detained a few block away.</v>
      </c>
      <c r="AA1542" s="5" t="str">
        <f ca="1">IFERROR(__xludf.DUMMYFUNCTION("""COMPUTED_VALUE"""),"Escalation of Dispute")</f>
        <v>Escalation of Dispute</v>
      </c>
      <c r="AB1542" s="5" t="str">
        <f ca="1">IFERROR(__xludf.DUMMYFUNCTION("""COMPUTED_VALUE"""),"Both")</f>
        <v>Both</v>
      </c>
      <c r="AC1542" s="5" t="str">
        <f ca="1">IFERROR(__xludf.DUMMYFUNCTION("""COMPUTED_VALUE"""),"No")</f>
        <v>No</v>
      </c>
      <c r="AD1542" s="5" t="str">
        <f ca="1">IFERROR(__xludf.DUMMYFUNCTION("""COMPUTED_VALUE"""),"No")</f>
        <v>No</v>
      </c>
      <c r="AE1542" s="5" t="str">
        <f ca="1">IFERROR(__xludf.DUMMYFUNCTION("""COMPUTED_VALUE"""),"No")</f>
        <v>No</v>
      </c>
      <c r="AF1542" s="5" t="str">
        <f ca="1">IFERROR(__xludf.DUMMYFUNCTION("""COMPUTED_VALUE"""),"No")</f>
        <v>No</v>
      </c>
      <c r="AG1542" s="5" t="str">
        <f ca="1">IFERROR(__xludf.DUMMYFUNCTION("""COMPUTED_VALUE"""),"No")</f>
        <v>No</v>
      </c>
      <c r="AH1542" s="5" t="str">
        <f ca="1">IFERROR(__xludf.DUMMYFUNCTION("""COMPUTED_VALUE"""),"No")</f>
        <v>No</v>
      </c>
      <c r="AI1542" s="5" t="str">
        <f ca="1">IFERROR(__xludf.DUMMYFUNCTION("""COMPUTED_VALUE"""),"Yes")</f>
        <v>Yes</v>
      </c>
      <c r="AJ1542" s="5"/>
    </row>
    <row r="1543" spans="1:36" ht="13">
      <c r="A1543" s="5" t="str">
        <f ca="1">IFERROR(__xludf.DUMMYFUNCTION("""COMPUTED_VALUE"""),"20030917MDOKE")</f>
        <v>20030917MDOKE</v>
      </c>
      <c r="B1543" s="5">
        <f ca="1">IFERROR(__xludf.DUMMYFUNCTION("""COMPUTED_VALUE"""),9)</f>
        <v>9</v>
      </c>
      <c r="C1543" s="5">
        <f ca="1">IFERROR(__xludf.DUMMYFUNCTION("""COMPUTED_VALUE"""),17)</f>
        <v>17</v>
      </c>
      <c r="D1543" s="5">
        <f ca="1">IFERROR(__xludf.DUMMYFUNCTION("""COMPUTED_VALUE"""),2003)</f>
        <v>2003</v>
      </c>
      <c r="E1543" s="8">
        <f ca="1">IFERROR(__xludf.DUMMYFUNCTION("""COMPUTED_VALUE"""),37881)</f>
        <v>37881</v>
      </c>
      <c r="F1543" s="5" t="str">
        <f ca="1">IFERROR(__xludf.DUMMYFUNCTION("""COMPUTED_VALUE"""),"Oklahoma Road Middle School")</f>
        <v>Oklahoma Road Middle School</v>
      </c>
      <c r="G1543" s="5">
        <f ca="1">IFERROR(__xludf.DUMMYFUNCTION("""COMPUTED_VALUE"""),0)</f>
        <v>0</v>
      </c>
      <c r="H1543" s="5">
        <f ca="1">IFERROR(__xludf.DUMMYFUNCTION("""COMPUTED_VALUE"""),0)</f>
        <v>0</v>
      </c>
      <c r="I1543" s="5">
        <f ca="1">IFERROR(__xludf.DUMMYFUNCTION("""COMPUTED_VALUE"""),0)</f>
        <v>0</v>
      </c>
      <c r="J1543" s="5">
        <f ca="1">IFERROR(__xludf.DUMMYFUNCTION("""COMPUTED_VALUE"""),0)</f>
        <v>0</v>
      </c>
      <c r="K1543" s="9" t="str">
        <f ca="1">IFERROR(__xludf.DUMMYFUNCTION("""COMPUTED_VALUE"""),"https://en.wikipedia.org/wiki/List_of_school_shootings_in_the_United_States")</f>
        <v>https://en.wikipedia.org/wiki/List_of_school_shootings_in_the_United_States</v>
      </c>
      <c r="L1543" s="5"/>
      <c r="M1543" s="5"/>
      <c r="N1543" s="5">
        <f ca="1">IFERROR(__xludf.DUMMYFUNCTION("""COMPUTED_VALUE"""),1)</f>
        <v>1</v>
      </c>
      <c r="O1543" s="5" t="str">
        <f ca="1">IFERROR(__xludf.DUMMYFUNCTION("""COMPUTED_VALUE"""),"Fall")</f>
        <v>Fall</v>
      </c>
      <c r="P1543" s="5" t="str">
        <f ca="1">IFERROR(__xludf.DUMMYFUNCTION("""COMPUTED_VALUE"""),"Eldersburg")</f>
        <v>Eldersburg</v>
      </c>
      <c r="Q1543" s="5" t="str">
        <f ca="1">IFERROR(__xludf.DUMMYFUNCTION("""COMPUTED_VALUE"""),"MD")</f>
        <v>MD</v>
      </c>
      <c r="R1543" s="5" t="str">
        <f ca="1">IFERROR(__xludf.DUMMYFUNCTION("""COMPUTED_VALUE"""),"Middle")</f>
        <v>Middle</v>
      </c>
      <c r="S1543" s="5" t="str">
        <f ca="1">IFERROR(__xludf.DUMMYFUNCTION("""COMPUTED_VALUE"""),"Bathroom")</f>
        <v>Bathroom</v>
      </c>
      <c r="T1543" s="5" t="str">
        <f ca="1">IFERROR(__xludf.DUMMYFUNCTION("""COMPUTED_VALUE"""),"Inside School Building")</f>
        <v>Inside School Building</v>
      </c>
      <c r="U1543" s="5" t="str">
        <f ca="1">IFERROR(__xludf.DUMMYFUNCTION("""COMPUTED_VALUE"""),"Yes")</f>
        <v>Yes</v>
      </c>
      <c r="V1543" s="5" t="str">
        <f ca="1">IFERROR(__xludf.DUMMYFUNCTION("""COMPUTED_VALUE"""),"Morning Classes")</f>
        <v>Morning Classes</v>
      </c>
      <c r="W1543" s="10">
        <f ca="1">IFERROR(__xludf.DUMMYFUNCTION("""COMPUTED_VALUE"""),0.416666666666666)</f>
        <v>0.41666666666666602</v>
      </c>
      <c r="X1543" s="5">
        <f ca="1">IFERROR(__xludf.DUMMYFUNCTION("""COMPUTED_VALUE"""),1)</f>
        <v>1</v>
      </c>
      <c r="Y1543" s="5" t="str">
        <f ca="1">IFERROR(__xludf.DUMMYFUNCTION("""COMPUTED_VALUE"""),"Fired shot in bathroom, surrendered to teacher who investigated")</f>
        <v>Fired shot in bathroom, surrendered to teacher who investigated</v>
      </c>
      <c r="Z1543" s="5" t="str">
        <f ca="1">IFERROR(__xludf.DUMMYFUNCTION("""COMPUTED_VALUE"""),"13YOM fired a .44 revolver in the bathroom of the school. A teacher went to investigate the sound of the gun shot and found the shooter sitting on the floor. The shooter peacefully went with the teacher to the principal's office. Shooter was reported to h"&amp;"ave psychological problems and possible attempted suicide.")</f>
        <v>13YOM fired a .44 revolver in the bathroom of the school. A teacher went to investigate the sound of the gun shot and found the shooter sitting on the floor. The shooter peacefully went with the teacher to the principal's office. Shooter was reported to have psychological problems and possible attempted suicide.</v>
      </c>
      <c r="AA1543" s="5" t="str">
        <f ca="1">IFERROR(__xludf.DUMMYFUNCTION("""COMPUTED_VALUE"""),"Suicide/Attempted")</f>
        <v>Suicide/Attempted</v>
      </c>
      <c r="AB1543" s="5"/>
      <c r="AC1543" s="5" t="str">
        <f ca="1">IFERROR(__xludf.DUMMYFUNCTION("""COMPUTED_VALUE"""),"No")</f>
        <v>No</v>
      </c>
      <c r="AD1543" s="5" t="str">
        <f ca="1">IFERROR(__xludf.DUMMYFUNCTION("""COMPUTED_VALUE"""),"No")</f>
        <v>No</v>
      </c>
      <c r="AE1543" s="5" t="str">
        <f ca="1">IFERROR(__xludf.DUMMYFUNCTION("""COMPUTED_VALUE"""),"No")</f>
        <v>No</v>
      </c>
      <c r="AF1543" s="5" t="str">
        <f ca="1">IFERROR(__xludf.DUMMYFUNCTION("""COMPUTED_VALUE"""),"No")</f>
        <v>No</v>
      </c>
      <c r="AG1543" s="5" t="str">
        <f ca="1">IFERROR(__xludf.DUMMYFUNCTION("""COMPUTED_VALUE"""),"No")</f>
        <v>No</v>
      </c>
      <c r="AH1543" s="5" t="str">
        <f ca="1">IFERROR(__xludf.DUMMYFUNCTION("""COMPUTED_VALUE"""),"No")</f>
        <v>No</v>
      </c>
      <c r="AI1543" s="5" t="str">
        <f ca="1">IFERROR(__xludf.DUMMYFUNCTION("""COMPUTED_VALUE"""),"No")</f>
        <v>No</v>
      </c>
      <c r="AJ1543" s="5"/>
    </row>
    <row r="1544" spans="1:36" ht="13">
      <c r="A1544" s="5" t="str">
        <f ca="1">IFERROR(__xludf.DUMMYFUNCTION("""COMPUTED_VALUE"""),"20030910MSVIV")</f>
        <v>20030910MSVIV</v>
      </c>
      <c r="B1544" s="5">
        <f ca="1">IFERROR(__xludf.DUMMYFUNCTION("""COMPUTED_VALUE"""),9)</f>
        <v>9</v>
      </c>
      <c r="C1544" s="5">
        <f ca="1">IFERROR(__xludf.DUMMYFUNCTION("""COMPUTED_VALUE"""),10)</f>
        <v>10</v>
      </c>
      <c r="D1544" s="5">
        <f ca="1">IFERROR(__xludf.DUMMYFUNCTION("""COMPUTED_VALUE"""),2003)</f>
        <v>2003</v>
      </c>
      <c r="E1544" s="8">
        <f ca="1">IFERROR(__xludf.DUMMYFUNCTION("""COMPUTED_VALUE"""),37874)</f>
        <v>37874</v>
      </c>
      <c r="F1544" s="5" t="str">
        <f ca="1">IFERROR(__xludf.DUMMYFUNCTION("""COMPUTED_VALUE"""),"Vicksburg High School")</f>
        <v>Vicksburg High School</v>
      </c>
      <c r="G1544" s="5">
        <f ca="1">IFERROR(__xludf.DUMMYFUNCTION("""COMPUTED_VALUE"""),1)</f>
        <v>1</v>
      </c>
      <c r="H1544" s="5">
        <f ca="1">IFERROR(__xludf.DUMMYFUNCTION("""COMPUTED_VALUE"""),0)</f>
        <v>0</v>
      </c>
      <c r="I1544" s="5">
        <f ca="1">IFERROR(__xludf.DUMMYFUNCTION("""COMPUTED_VALUE"""),1)</f>
        <v>1</v>
      </c>
      <c r="J1544" s="5">
        <f ca="1">IFERROR(__xludf.DUMMYFUNCTION("""COMPUTED_VALUE"""),0)</f>
        <v>0</v>
      </c>
      <c r="K1544" s="9" t="str">
        <f ca="1">IFERROR(__xludf.DUMMYFUNCTION("""COMPUTED_VALUE"""),"https://www.vicksburgpost.com/2003/09/11/former-vhs-student-shot-dead/")</f>
        <v>https://www.vicksburgpost.com/2003/09/11/former-vhs-student-shot-dead/</v>
      </c>
      <c r="L1544" s="5"/>
      <c r="M1544" s="5"/>
      <c r="N1544" s="5">
        <f ca="1">IFERROR(__xludf.DUMMYFUNCTION("""COMPUTED_VALUE"""),2)</f>
        <v>2</v>
      </c>
      <c r="O1544" s="5" t="str">
        <f ca="1">IFERROR(__xludf.DUMMYFUNCTION("""COMPUTED_VALUE"""),"Fall")</f>
        <v>Fall</v>
      </c>
      <c r="P1544" s="5" t="str">
        <f ca="1">IFERROR(__xludf.DUMMYFUNCTION("""COMPUTED_VALUE"""),"Vicksburg")</f>
        <v>Vicksburg</v>
      </c>
      <c r="Q1544" s="5" t="str">
        <f ca="1">IFERROR(__xludf.DUMMYFUNCTION("""COMPUTED_VALUE"""),"MS")</f>
        <v>MS</v>
      </c>
      <c r="R1544" s="5" t="str">
        <f ca="1">IFERROR(__xludf.DUMMYFUNCTION("""COMPUTED_VALUE"""),"High")</f>
        <v>High</v>
      </c>
      <c r="S1544" s="5" t="str">
        <f ca="1">IFERROR(__xludf.DUMMYFUNCTION("""COMPUTED_VALUE"""),"Football Field/Track")</f>
        <v>Football Field/Track</v>
      </c>
      <c r="T1544" s="5" t="str">
        <f ca="1">IFERROR(__xludf.DUMMYFUNCTION("""COMPUTED_VALUE"""),"Outside on School Property")</f>
        <v>Outside on School Property</v>
      </c>
      <c r="U1544" s="5" t="str">
        <f ca="1">IFERROR(__xludf.DUMMYFUNCTION("""COMPUTED_VALUE"""),"Yes")</f>
        <v>Yes</v>
      </c>
      <c r="V1544" s="5" t="str">
        <f ca="1">IFERROR(__xludf.DUMMYFUNCTION("""COMPUTED_VALUE"""),"Afternoon Classes")</f>
        <v>Afternoon Classes</v>
      </c>
      <c r="W1544" s="10">
        <f ca="1">IFERROR(__xludf.DUMMYFUNCTION("""COMPUTED_VALUE"""),0.604166666666666)</f>
        <v>0.60416666666666596</v>
      </c>
      <c r="X1544" s="5">
        <f ca="1">IFERROR(__xludf.DUMMYFUNCTION("""COMPUTED_VALUE"""),1)</f>
        <v>1</v>
      </c>
      <c r="Y1544" s="5" t="str">
        <f ca="1">IFERROR(__xludf.DUMMYFUNCTION("""COMPUTED_VALUE"""),"Ongoing feud resulted in shooting at school stadium")</f>
        <v>Ongoing feud resulted in shooting at school stadium</v>
      </c>
      <c r="Z1544" s="5" t="str">
        <f ca="1">IFERROR(__xludf.DUMMYFUNCTION("""COMPUTED_VALUE"""),"20YOM shot 20YOM outside of the school stadium as a result of an ongoing dispute. Unclear if either were related to the school. Students were in the area at the time of the shooting. Building was locked down.")</f>
        <v>20YOM shot 20YOM outside of the school stadium as a result of an ongoing dispute. Unclear if either were related to the school. Students were in the area at the time of the shooting. Building was locked down.</v>
      </c>
      <c r="AA1544" s="5" t="str">
        <f ca="1">IFERROR(__xludf.DUMMYFUNCTION("""COMPUTED_VALUE"""),"Escalation of Dispute")</f>
        <v>Escalation of Dispute</v>
      </c>
      <c r="AB1544" s="5" t="str">
        <f ca="1">IFERROR(__xludf.DUMMYFUNCTION("""COMPUTED_VALUE"""),"Victims Targeted")</f>
        <v>Victims Targeted</v>
      </c>
      <c r="AC1544" s="5" t="str">
        <f ca="1">IFERROR(__xludf.DUMMYFUNCTION("""COMPUTED_VALUE"""),"No")</f>
        <v>No</v>
      </c>
      <c r="AD1544" s="5" t="str">
        <f ca="1">IFERROR(__xludf.DUMMYFUNCTION("""COMPUTED_VALUE"""),"No")</f>
        <v>No</v>
      </c>
      <c r="AE1544" s="5" t="str">
        <f ca="1">IFERROR(__xludf.DUMMYFUNCTION("""COMPUTED_VALUE"""),"No")</f>
        <v>No</v>
      </c>
      <c r="AF1544" s="5" t="str">
        <f ca="1">IFERROR(__xludf.DUMMYFUNCTION("""COMPUTED_VALUE"""),"No")</f>
        <v>No</v>
      </c>
      <c r="AG1544" s="5" t="str">
        <f ca="1">IFERROR(__xludf.DUMMYFUNCTION("""COMPUTED_VALUE"""),"No")</f>
        <v>No</v>
      </c>
      <c r="AH1544" s="5" t="str">
        <f ca="1">IFERROR(__xludf.DUMMYFUNCTION("""COMPUTED_VALUE"""),"No")</f>
        <v>No</v>
      </c>
      <c r="AI1544" s="5" t="str">
        <f ca="1">IFERROR(__xludf.DUMMYFUNCTION("""COMPUTED_VALUE"""),"No")</f>
        <v>No</v>
      </c>
      <c r="AJ1544" s="5"/>
    </row>
    <row r="1545" spans="1:36" ht="13">
      <c r="A1545" s="5" t="str">
        <f ca="1">IFERROR(__xludf.DUMMYFUNCTION("""COMPUTED_VALUE"""),"20030604PAROW")</f>
        <v>20030604PAROW</v>
      </c>
      <c r="B1545" s="5">
        <f ca="1">IFERROR(__xludf.DUMMYFUNCTION("""COMPUTED_VALUE"""),6)</f>
        <v>6</v>
      </c>
      <c r="C1545" s="5">
        <f ca="1">IFERROR(__xludf.DUMMYFUNCTION("""COMPUTED_VALUE"""),4)</f>
        <v>4</v>
      </c>
      <c r="D1545" s="5">
        <f ca="1">IFERROR(__xludf.DUMMYFUNCTION("""COMPUTED_VALUE"""),2003)</f>
        <v>2003</v>
      </c>
      <c r="E1545" s="8">
        <f ca="1">IFERROR(__xludf.DUMMYFUNCTION("""COMPUTED_VALUE"""),37776)</f>
        <v>37776</v>
      </c>
      <c r="F1545" s="5" t="str">
        <f ca="1">IFERROR(__xludf.DUMMYFUNCTION("""COMPUTED_VALUE"""),"Rock L. Butler Middle School")</f>
        <v>Rock L. Butler Middle School</v>
      </c>
      <c r="G1545" s="5">
        <f ca="1">IFERROR(__xludf.DUMMYFUNCTION("""COMPUTED_VALUE"""),0)</f>
        <v>0</v>
      </c>
      <c r="H1545" s="5">
        <f ca="1">IFERROR(__xludf.DUMMYFUNCTION("""COMPUTED_VALUE"""),0)</f>
        <v>0</v>
      </c>
      <c r="I1545" s="5">
        <f ca="1">IFERROR(__xludf.DUMMYFUNCTION("""COMPUTED_VALUE"""),0)</f>
        <v>0</v>
      </c>
      <c r="J1545" s="5">
        <f ca="1">IFERROR(__xludf.DUMMYFUNCTION("""COMPUTED_VALUE"""),1)</f>
        <v>1</v>
      </c>
      <c r="K1545" s="5" t="str">
        <f ca="1">IFERROR(__xludf.DUMMYFUNCTION("""COMPUTED_VALUE"""),"http://www.tiogapublishing.com/news/shooting-reported-at-r-l-butler-middle-school/article_46fbda3f-8acf-5505-bbbb-4d2cd4584326.html http://www.tiogapublishing.com/news/police-conclude-investigation-into-suicide-at-middle-school/article_d4b606b9-3e5a-5ec3-"&amp;"9177-b1e3dde204ba.html")</f>
        <v>http://www.tiogapublishing.com/news/shooting-reported-at-r-l-butler-middle-school/article_46fbda3f-8acf-5505-bbbb-4d2cd4584326.html http://www.tiogapublishing.com/news/police-conclude-investigation-into-suicide-at-middle-school/article_d4b606b9-3e5a-5ec3-9177-b1e3dde204ba.html</v>
      </c>
      <c r="L1545" s="5"/>
      <c r="M1545" s="5"/>
      <c r="N1545" s="5">
        <f ca="1">IFERROR(__xludf.DUMMYFUNCTION("""COMPUTED_VALUE"""),2)</f>
        <v>2</v>
      </c>
      <c r="O1545" s="5" t="str">
        <f ca="1">IFERROR(__xludf.DUMMYFUNCTION("""COMPUTED_VALUE"""),"Summer")</f>
        <v>Summer</v>
      </c>
      <c r="P1545" s="5" t="str">
        <f ca="1">IFERROR(__xludf.DUMMYFUNCTION("""COMPUTED_VALUE"""),"Wellsboro")</f>
        <v>Wellsboro</v>
      </c>
      <c r="Q1545" s="5" t="str">
        <f ca="1">IFERROR(__xludf.DUMMYFUNCTION("""COMPUTED_VALUE"""),"PA")</f>
        <v>PA</v>
      </c>
      <c r="R1545" s="5" t="str">
        <f ca="1">IFERROR(__xludf.DUMMYFUNCTION("""COMPUTED_VALUE"""),"Middle")</f>
        <v>Middle</v>
      </c>
      <c r="S1545" s="5" t="str">
        <f ca="1">IFERROR(__xludf.DUMMYFUNCTION("""COMPUTED_VALUE"""),"Bathroom")</f>
        <v>Bathroom</v>
      </c>
      <c r="T1545" s="5" t="str">
        <f ca="1">IFERROR(__xludf.DUMMYFUNCTION("""COMPUTED_VALUE"""),"Inside School Building")</f>
        <v>Inside School Building</v>
      </c>
      <c r="U1545" s="5" t="str">
        <f ca="1">IFERROR(__xludf.DUMMYFUNCTION("""COMPUTED_VALUE"""),"Yes")</f>
        <v>Yes</v>
      </c>
      <c r="V1545" s="5" t="str">
        <f ca="1">IFERROR(__xludf.DUMMYFUNCTION("""COMPUTED_VALUE"""),"School Start")</f>
        <v>School Start</v>
      </c>
      <c r="W1545" s="10">
        <f ca="1">IFERROR(__xludf.DUMMYFUNCTION("""COMPUTED_VALUE"""),0.345138888888888)</f>
        <v>0.345138888888888</v>
      </c>
      <c r="X1545" s="5">
        <f ca="1">IFERROR(__xludf.DUMMYFUNCTION("""COMPUTED_VALUE"""),1)</f>
        <v>1</v>
      </c>
      <c r="Y1545" s="5" t="str">
        <f ca="1">IFERROR(__xludf.DUMMYFUNCTION("""COMPUTED_VALUE"""),"Brought duffel bag with 7 weapons, shot self in bathroom")</f>
        <v>Brought duffel bag with 7 weapons, shot self in bathroom</v>
      </c>
      <c r="Z1545" s="5" t="str">
        <f ca="1">IFERROR(__xludf.DUMMYFUNCTION("""COMPUTED_VALUE"""),"13YOM brought duffel bag with 7 guns (3 rifles, 2 shotguns, 2 handguns), dressed in camo, and hundreds of rounds of ammo to school. Went to school bathroom. Reported he was going to supply three other students with weapons but they backed out at the last "&amp;"second and said they were going to call the police. Police were alerted for a report of a student with weapons in the bathroom. 10 minutes later, the shooter commit suicide when police approached the bathroom.")</f>
        <v>13YOM brought duffel bag with 7 guns (3 rifles, 2 shotguns, 2 handguns), dressed in camo, and hundreds of rounds of ammo to school. Went to school bathroom. Reported he was going to supply three other students with weapons but they backed out at the last second and said they were going to call the police. Police were alerted for a report of a student with weapons in the bathroom. 10 minutes later, the shooter commit suicide when police approached the bathroom.</v>
      </c>
      <c r="AA1545" s="5" t="str">
        <f ca="1">IFERROR(__xludf.DUMMYFUNCTION("""COMPUTED_VALUE"""),"Indiscriminate Shooting")</f>
        <v>Indiscriminate Shooting</v>
      </c>
      <c r="AB1545" s="5"/>
      <c r="AC1545" s="5" t="str">
        <f ca="1">IFERROR(__xludf.DUMMYFUNCTION("""COMPUTED_VALUE"""),"Yes")</f>
        <v>Yes</v>
      </c>
      <c r="AD1545" s="5" t="str">
        <f ca="1">IFERROR(__xludf.DUMMYFUNCTION("""COMPUTED_VALUE"""),"No")</f>
        <v>No</v>
      </c>
      <c r="AE1545" s="5" t="str">
        <f ca="1">IFERROR(__xludf.DUMMYFUNCTION("""COMPUTED_VALUE"""),"No")</f>
        <v>No</v>
      </c>
      <c r="AF1545" s="5" t="str">
        <f ca="1">IFERROR(__xludf.DUMMYFUNCTION("""COMPUTED_VALUE"""),"No")</f>
        <v>No</v>
      </c>
      <c r="AG1545" s="5" t="str">
        <f ca="1">IFERROR(__xludf.DUMMYFUNCTION("""COMPUTED_VALUE"""),"No")</f>
        <v>No</v>
      </c>
      <c r="AH1545" s="5" t="str">
        <f ca="1">IFERROR(__xludf.DUMMYFUNCTION("""COMPUTED_VALUE"""),"No")</f>
        <v>No</v>
      </c>
      <c r="AI1545" s="5" t="str">
        <f ca="1">IFERROR(__xludf.DUMMYFUNCTION("""COMPUTED_VALUE"""),"No")</f>
        <v>No</v>
      </c>
      <c r="AJ1545" s="5" t="str">
        <f ca="1">IFERROR(__xludf.DUMMYFUNCTION("""COMPUTED_VALUE"""),"Yes")</f>
        <v>Yes</v>
      </c>
    </row>
    <row r="1546" spans="1:36" ht="13">
      <c r="A1546" s="5" t="str">
        <f ca="1">IFERROR(__xludf.DUMMYFUNCTION("""COMPUTED_VALUE"""),"20030513PAFOJ")</f>
        <v>20030513PAFOJ</v>
      </c>
      <c r="B1546" s="5">
        <f ca="1">IFERROR(__xludf.DUMMYFUNCTION("""COMPUTED_VALUE"""),5)</f>
        <v>5</v>
      </c>
      <c r="C1546" s="5">
        <f ca="1">IFERROR(__xludf.DUMMYFUNCTION("""COMPUTED_VALUE"""),13)</f>
        <v>13</v>
      </c>
      <c r="D1546" s="5">
        <f ca="1">IFERROR(__xludf.DUMMYFUNCTION("""COMPUTED_VALUE"""),2003)</f>
        <v>2003</v>
      </c>
      <c r="E1546" s="8">
        <f ca="1">IFERROR(__xludf.DUMMYFUNCTION("""COMPUTED_VALUE"""),37754)</f>
        <v>37754</v>
      </c>
      <c r="F1546" s="5" t="str">
        <f ca="1">IFERROR(__xludf.DUMMYFUNCTION("""COMPUTED_VALUE"""),"Forest Hills High School")</f>
        <v>Forest Hills High School</v>
      </c>
      <c r="G1546" s="5">
        <f ca="1">IFERROR(__xludf.DUMMYFUNCTION("""COMPUTED_VALUE"""),0)</f>
        <v>0</v>
      </c>
      <c r="H1546" s="5">
        <f ca="1">IFERROR(__xludf.DUMMYFUNCTION("""COMPUTED_VALUE"""),0)</f>
        <v>0</v>
      </c>
      <c r="I1546" s="5">
        <f ca="1">IFERROR(__xludf.DUMMYFUNCTION("""COMPUTED_VALUE"""),0)</f>
        <v>0</v>
      </c>
      <c r="J1546" s="5">
        <f ca="1">IFERROR(__xludf.DUMMYFUNCTION("""COMPUTED_VALUE"""),1)</f>
        <v>1</v>
      </c>
      <c r="K1546" s="9" t="str">
        <f ca="1">IFERROR(__xludf.DUMMYFUNCTION("""COMPUTED_VALUE"""),"https://newspaperarchive.com/altoona-mirror-may-14-2003-p-11/")</f>
        <v>https://newspaperarchive.com/altoona-mirror-may-14-2003-p-11/</v>
      </c>
      <c r="L1546" s="5"/>
      <c r="M1546" s="5"/>
      <c r="N1546" s="5">
        <f ca="1">IFERROR(__xludf.DUMMYFUNCTION("""COMPUTED_VALUE"""),2)</f>
        <v>2</v>
      </c>
      <c r="O1546" s="5" t="str">
        <f ca="1">IFERROR(__xludf.DUMMYFUNCTION("""COMPUTED_VALUE"""),"Spring")</f>
        <v>Spring</v>
      </c>
      <c r="P1546" s="5" t="str">
        <f ca="1">IFERROR(__xludf.DUMMYFUNCTION("""COMPUTED_VALUE"""),"Johnstown")</f>
        <v>Johnstown</v>
      </c>
      <c r="Q1546" s="5" t="str">
        <f ca="1">IFERROR(__xludf.DUMMYFUNCTION("""COMPUTED_VALUE"""),"PA")</f>
        <v>PA</v>
      </c>
      <c r="R1546" s="5" t="str">
        <f ca="1">IFERROR(__xludf.DUMMYFUNCTION("""COMPUTED_VALUE"""),"High")</f>
        <v>High</v>
      </c>
      <c r="S1546" s="5" t="str">
        <f ca="1">IFERROR(__xludf.DUMMYFUNCTION("""COMPUTED_VALUE"""),"Parking Lot")</f>
        <v>Parking Lot</v>
      </c>
      <c r="T1546" s="5" t="str">
        <f ca="1">IFERROR(__xludf.DUMMYFUNCTION("""COMPUTED_VALUE"""),"Outside on School Property")</f>
        <v>Outside on School Property</v>
      </c>
      <c r="U1546" s="5" t="str">
        <f ca="1">IFERROR(__xludf.DUMMYFUNCTION("""COMPUTED_VALUE"""),"Yes")</f>
        <v>Yes</v>
      </c>
      <c r="V1546" s="5" t="str">
        <f ca="1">IFERROR(__xludf.DUMMYFUNCTION("""COMPUTED_VALUE"""),"Morning Classes")</f>
        <v>Morning Classes</v>
      </c>
      <c r="W1546" s="5"/>
      <c r="X1546" s="5">
        <f ca="1">IFERROR(__xludf.DUMMYFUNCTION("""COMPUTED_VALUE"""),1)</f>
        <v>1</v>
      </c>
      <c r="Y1546" s="5" t="str">
        <f ca="1">IFERROR(__xludf.DUMMYFUNCTION("""COMPUTED_VALUE"""),"Commit suicide in parking lot")</f>
        <v>Commit suicide in parking lot</v>
      </c>
      <c r="Z1546" s="5" t="str">
        <f ca="1">IFERROR(__xludf.DUMMYFUNCTION("""COMPUTED_VALUE"""),"18YOM student commit suicide in parking lot.")</f>
        <v>18YOM student commit suicide in parking lot.</v>
      </c>
      <c r="AA1546" s="5" t="str">
        <f ca="1">IFERROR(__xludf.DUMMYFUNCTION("""COMPUTED_VALUE"""),"Suicide/Attempted")</f>
        <v>Suicide/Attempted</v>
      </c>
      <c r="AB1546" s="5" t="str">
        <f ca="1">IFERROR(__xludf.DUMMYFUNCTION("""COMPUTED_VALUE"""),"Victims Targeted")</f>
        <v>Victims Targeted</v>
      </c>
      <c r="AC1546" s="5" t="str">
        <f ca="1">IFERROR(__xludf.DUMMYFUNCTION("""COMPUTED_VALUE"""),"No")</f>
        <v>No</v>
      </c>
      <c r="AD1546" s="5" t="str">
        <f ca="1">IFERROR(__xludf.DUMMYFUNCTION("""COMPUTED_VALUE"""),"No")</f>
        <v>No</v>
      </c>
      <c r="AE1546" s="5" t="str">
        <f ca="1">IFERROR(__xludf.DUMMYFUNCTION("""COMPUTED_VALUE"""),"No")</f>
        <v>No</v>
      </c>
      <c r="AF1546" s="5" t="str">
        <f ca="1">IFERROR(__xludf.DUMMYFUNCTION("""COMPUTED_VALUE"""),"No")</f>
        <v>No</v>
      </c>
      <c r="AG1546" s="5" t="str">
        <f ca="1">IFERROR(__xludf.DUMMYFUNCTION("""COMPUTED_VALUE"""),"No")</f>
        <v>No</v>
      </c>
      <c r="AH1546" s="5" t="str">
        <f ca="1">IFERROR(__xludf.DUMMYFUNCTION("""COMPUTED_VALUE"""),"No")</f>
        <v>No</v>
      </c>
      <c r="AI1546" s="5" t="str">
        <f ca="1">IFERROR(__xludf.DUMMYFUNCTION("""COMPUTED_VALUE"""),"No")</f>
        <v>No</v>
      </c>
      <c r="AJ1546" s="5"/>
    </row>
    <row r="1547" spans="1:36" ht="13">
      <c r="A1547" s="5" t="str">
        <f ca="1">IFERROR(__xludf.DUMMYFUNCTION("""COMPUTED_VALUE"""),"20030424PARER")</f>
        <v>20030424PARER</v>
      </c>
      <c r="B1547" s="5">
        <f ca="1">IFERROR(__xludf.DUMMYFUNCTION("""COMPUTED_VALUE"""),4)</f>
        <v>4</v>
      </c>
      <c r="C1547" s="5">
        <f ca="1">IFERROR(__xludf.DUMMYFUNCTION("""COMPUTED_VALUE"""),24)</f>
        <v>24</v>
      </c>
      <c r="D1547" s="5">
        <f ca="1">IFERROR(__xludf.DUMMYFUNCTION("""COMPUTED_VALUE"""),2003)</f>
        <v>2003</v>
      </c>
      <c r="E1547" s="8">
        <f ca="1">IFERROR(__xludf.DUMMYFUNCTION("""COMPUTED_VALUE"""),37735)</f>
        <v>37735</v>
      </c>
      <c r="F1547" s="5" t="str">
        <f ca="1">IFERROR(__xludf.DUMMYFUNCTION("""COMPUTED_VALUE"""),"Red Lion Area Junior High School")</f>
        <v>Red Lion Area Junior High School</v>
      </c>
      <c r="G1547" s="5">
        <f ca="1">IFERROR(__xludf.DUMMYFUNCTION("""COMPUTED_VALUE"""),1)</f>
        <v>1</v>
      </c>
      <c r="H1547" s="5">
        <f ca="1">IFERROR(__xludf.DUMMYFUNCTION("""COMPUTED_VALUE"""),0)</f>
        <v>0</v>
      </c>
      <c r="I1547" s="5">
        <f ca="1">IFERROR(__xludf.DUMMYFUNCTION("""COMPUTED_VALUE"""),1)</f>
        <v>1</v>
      </c>
      <c r="J1547" s="5">
        <f ca="1">IFERROR(__xludf.DUMMYFUNCTION("""COMPUTED_VALUE"""),1)</f>
        <v>1</v>
      </c>
      <c r="K1547" s="5" t="str">
        <f ca="1">IFERROR(__xludf.DUMMYFUNCTION("""COMPUTED_VALUE"""),"https://www.ydr.com/story/archives/2012/04/20/former-red-lion-police-chief-segro-shooting-could/75642546/ https://www.fbi.gov/file-repository/active-shooter-incidents-2000-2017.pdf")</f>
        <v>https://www.ydr.com/story/archives/2012/04/20/former-red-lion-police-chief-segro-shooting-could/75642546/ https://www.fbi.gov/file-repository/active-shooter-incidents-2000-2017.pdf</v>
      </c>
      <c r="L1547" s="5"/>
      <c r="M1547" s="5"/>
      <c r="N1547" s="5">
        <f ca="1">IFERROR(__xludf.DUMMYFUNCTION("""COMPUTED_VALUE"""),5)</f>
        <v>5</v>
      </c>
      <c r="O1547" s="5" t="str">
        <f ca="1">IFERROR(__xludf.DUMMYFUNCTION("""COMPUTED_VALUE"""),"Spring")</f>
        <v>Spring</v>
      </c>
      <c r="P1547" s="5" t="str">
        <f ca="1">IFERROR(__xludf.DUMMYFUNCTION("""COMPUTED_VALUE"""),"Red Lion")</f>
        <v>Red Lion</v>
      </c>
      <c r="Q1547" s="5" t="str">
        <f ca="1">IFERROR(__xludf.DUMMYFUNCTION("""COMPUTED_VALUE"""),"PA")</f>
        <v>PA</v>
      </c>
      <c r="R1547" s="5" t="str">
        <f ca="1">IFERROR(__xludf.DUMMYFUNCTION("""COMPUTED_VALUE"""),"Junior High")</f>
        <v>Junior High</v>
      </c>
      <c r="S1547" s="5" t="str">
        <f ca="1">IFERROR(__xludf.DUMMYFUNCTION("""COMPUTED_VALUE"""),"Cafeteria")</f>
        <v>Cafeteria</v>
      </c>
      <c r="T1547" s="5" t="str">
        <f ca="1">IFERROR(__xludf.DUMMYFUNCTION("""COMPUTED_VALUE"""),"Inside School Building")</f>
        <v>Inside School Building</v>
      </c>
      <c r="U1547" s="5" t="str">
        <f ca="1">IFERROR(__xludf.DUMMYFUNCTION("""COMPUTED_VALUE"""),"Yes")</f>
        <v>Yes</v>
      </c>
      <c r="V1547" s="5" t="str">
        <f ca="1">IFERROR(__xludf.DUMMYFUNCTION("""COMPUTED_VALUE"""),"School Start")</f>
        <v>School Start</v>
      </c>
      <c r="W1547" s="10">
        <f ca="1">IFERROR(__xludf.DUMMYFUNCTION("""COMPUTED_VALUE"""),0.315277777777777)</f>
        <v>0.31527777777777699</v>
      </c>
      <c r="X1547" s="5">
        <f ca="1">IFERROR(__xludf.DUMMYFUNCTION("""COMPUTED_VALUE"""),1)</f>
        <v>1</v>
      </c>
      <c r="Y1547" s="5" t="str">
        <f ca="1">IFERROR(__xludf.DUMMYFUNCTION("""COMPUTED_VALUE"""),"Recently disciplined by principal")</f>
        <v>Recently disciplined by principal</v>
      </c>
      <c r="Z1547" s="5" t="str">
        <f ca="1">IFERROR(__xludf.DUMMYFUNCTION("""COMPUTED_VALUE"""),"Students were gathered in cafeteria before the school day. Shooter stood up and fired two close range shots at the principal and then immediately put the gun to his own head and commit suicide. 700 rounds of ammo in backpack and 3 handguns. Good student. "&amp;"Described as quiet and socially isolated. Recent break-up with girlfriend. Recently disciplined by principal for minor issue. No indication of prior planning or statements to other students. No suicide note. Psychologist believed he pulled the gun to show"&amp;" off and it went off by accident. He then killed himself in a panic. Weapons: .44 caliber .22 caliber .357 caliber")</f>
        <v>Students were gathered in cafeteria before the school day. Shooter stood up and fired two close range shots at the principal and then immediately put the gun to his own head and commit suicide. 700 rounds of ammo in backpack and 3 handguns. Good student. Described as quiet and socially isolated. Recent break-up with girlfriend. Recently disciplined by principal for minor issue. No indication of prior planning or statements to other students. No suicide note. Psychologist believed he pulled the gun to show off and it went off by accident. He then killed himself in a panic. Weapons: .44 caliber .22 caliber .357 caliber</v>
      </c>
      <c r="AA1547" s="5" t="str">
        <f ca="1">IFERROR(__xludf.DUMMYFUNCTION("""COMPUTED_VALUE"""),"Anger Over Grade/Suspension/Discipline")</f>
        <v>Anger Over Grade/Suspension/Discipline</v>
      </c>
      <c r="AB1547" s="5" t="str">
        <f ca="1">IFERROR(__xludf.DUMMYFUNCTION("""COMPUTED_VALUE"""),"Victims Targeted")</f>
        <v>Victims Targeted</v>
      </c>
      <c r="AC1547" s="5" t="str">
        <f ca="1">IFERROR(__xludf.DUMMYFUNCTION("""COMPUTED_VALUE"""),"No")</f>
        <v>No</v>
      </c>
      <c r="AD1547" s="5" t="str">
        <f ca="1">IFERROR(__xludf.DUMMYFUNCTION("""COMPUTED_VALUE"""),"No")</f>
        <v>No</v>
      </c>
      <c r="AE1547" s="5" t="str">
        <f ca="1">IFERROR(__xludf.DUMMYFUNCTION("""COMPUTED_VALUE"""),"No")</f>
        <v>No</v>
      </c>
      <c r="AF1547" s="5" t="str">
        <f ca="1">IFERROR(__xludf.DUMMYFUNCTION("""COMPUTED_VALUE"""),"No")</f>
        <v>No</v>
      </c>
      <c r="AG1547" s="5" t="str">
        <f ca="1">IFERROR(__xludf.DUMMYFUNCTION("""COMPUTED_VALUE"""),"No")</f>
        <v>No</v>
      </c>
      <c r="AH1547" s="5" t="str">
        <f ca="1">IFERROR(__xludf.DUMMYFUNCTION("""COMPUTED_VALUE"""),"No")</f>
        <v>No</v>
      </c>
      <c r="AI1547" s="5" t="str">
        <f ca="1">IFERROR(__xludf.DUMMYFUNCTION("""COMPUTED_VALUE"""),"No")</f>
        <v>No</v>
      </c>
      <c r="AJ1547" s="5" t="str">
        <f ca="1">IFERROR(__xludf.DUMMYFUNCTION("""COMPUTED_VALUE"""),"Yes")</f>
        <v>Yes</v>
      </c>
    </row>
    <row r="1548" spans="1:36" ht="13">
      <c r="A1548" s="5" t="str">
        <f ca="1">IFERROR(__xludf.DUMMYFUNCTION("""COMPUTED_VALUE"""),"20030416TXGRA")</f>
        <v>20030416TXGRA</v>
      </c>
      <c r="B1548" s="5">
        <f ca="1">IFERROR(__xludf.DUMMYFUNCTION("""COMPUTED_VALUE"""),4)</f>
        <v>4</v>
      </c>
      <c r="C1548" s="5">
        <f ca="1">IFERROR(__xludf.DUMMYFUNCTION("""COMPUTED_VALUE"""),16)</f>
        <v>16</v>
      </c>
      <c r="D1548" s="5">
        <f ca="1">IFERROR(__xludf.DUMMYFUNCTION("""COMPUTED_VALUE"""),2003)</f>
        <v>2003</v>
      </c>
      <c r="E1548" s="8">
        <f ca="1">IFERROR(__xludf.DUMMYFUNCTION("""COMPUTED_VALUE"""),37727)</f>
        <v>37727</v>
      </c>
      <c r="F1548" s="5" t="str">
        <f ca="1">IFERROR(__xludf.DUMMYFUNCTION("""COMPUTED_VALUE"""),"Greenhill Middle School")</f>
        <v>Greenhill Middle School</v>
      </c>
      <c r="G1548" s="5">
        <f ca="1">IFERROR(__xludf.DUMMYFUNCTION("""COMPUTED_VALUE"""),0)</f>
        <v>0</v>
      </c>
      <c r="H1548" s="5">
        <f ca="1">IFERROR(__xludf.DUMMYFUNCTION("""COMPUTED_VALUE"""),0)</f>
        <v>0</v>
      </c>
      <c r="I1548" s="5">
        <f ca="1">IFERROR(__xludf.DUMMYFUNCTION("""COMPUTED_VALUE"""),0)</f>
        <v>0</v>
      </c>
      <c r="J1548" s="5">
        <f ca="1">IFERROR(__xludf.DUMMYFUNCTION("""COMPUTED_VALUE"""),1)</f>
        <v>1</v>
      </c>
      <c r="K1548" s="9" t="str">
        <f ca="1">IFERROR(__xludf.DUMMYFUNCTION("""COMPUTED_VALUE"""),"http://obits.dallasnews.com/obituaries/dallasmorningnews/obituary.aspx?page=lifestory&amp;pid=950952")</f>
        <v>http://obits.dallasnews.com/obituaries/dallasmorningnews/obituary.aspx?page=lifestory&amp;pid=950952</v>
      </c>
      <c r="L1548" s="5"/>
      <c r="M1548" s="5"/>
      <c r="N1548" s="5">
        <f ca="1">IFERROR(__xludf.DUMMYFUNCTION("""COMPUTED_VALUE"""),2)</f>
        <v>2</v>
      </c>
      <c r="O1548" s="5" t="str">
        <f ca="1">IFERROR(__xludf.DUMMYFUNCTION("""COMPUTED_VALUE"""),"Spring")</f>
        <v>Spring</v>
      </c>
      <c r="P1548" s="5" t="str">
        <f ca="1">IFERROR(__xludf.DUMMYFUNCTION("""COMPUTED_VALUE"""),"Addison")</f>
        <v>Addison</v>
      </c>
      <c r="Q1548" s="5" t="str">
        <f ca="1">IFERROR(__xludf.DUMMYFUNCTION("""COMPUTED_VALUE"""),"TX")</f>
        <v>TX</v>
      </c>
      <c r="R1548" s="5" t="str">
        <f ca="1">IFERROR(__xludf.DUMMYFUNCTION("""COMPUTED_VALUE"""),"Middle")</f>
        <v>Middle</v>
      </c>
      <c r="S1548" s="5" t="str">
        <f ca="1">IFERROR(__xludf.DUMMYFUNCTION("""COMPUTED_VALUE"""),"Bathroom")</f>
        <v>Bathroom</v>
      </c>
      <c r="T1548" s="5" t="str">
        <f ca="1">IFERROR(__xludf.DUMMYFUNCTION("""COMPUTED_VALUE"""),"Inside School Building")</f>
        <v>Inside School Building</v>
      </c>
      <c r="U1548" s="5" t="str">
        <f ca="1">IFERROR(__xludf.DUMMYFUNCTION("""COMPUTED_VALUE"""),"Yes")</f>
        <v>Yes</v>
      </c>
      <c r="V1548" s="5" t="str">
        <f ca="1">IFERROR(__xludf.DUMMYFUNCTION("""COMPUTED_VALUE"""),"After School")</f>
        <v>After School</v>
      </c>
      <c r="W1548" s="10">
        <f ca="1">IFERROR(__xludf.DUMMYFUNCTION("""COMPUTED_VALUE"""),0.631944444444444)</f>
        <v>0.63194444444444398</v>
      </c>
      <c r="X1548" s="5">
        <f ca="1">IFERROR(__xludf.DUMMYFUNCTION("""COMPUTED_VALUE"""),1)</f>
        <v>1</v>
      </c>
      <c r="Y1548" s="5" t="str">
        <f ca="1">IFERROR(__xludf.DUMMYFUNCTION("""COMPUTED_VALUE"""),"Student shot herself in bathroom")</f>
        <v>Student shot herself in bathroom</v>
      </c>
      <c r="Z1548" s="5" t="str">
        <f ca="1">IFERROR(__xludf.DUMMYFUNCTION("""COMPUTED_VALUE"""),"12YOF student shot herself in the school bathroom")</f>
        <v>12YOF student shot herself in the school bathroom</v>
      </c>
      <c r="AA1548" s="5" t="str">
        <f ca="1">IFERROR(__xludf.DUMMYFUNCTION("""COMPUTED_VALUE"""),"Murder/Suicide")</f>
        <v>Murder/Suicide</v>
      </c>
      <c r="AB1548" s="5" t="str">
        <f ca="1">IFERROR(__xludf.DUMMYFUNCTION("""COMPUTED_VALUE"""),"Victims Targeted")</f>
        <v>Victims Targeted</v>
      </c>
      <c r="AC1548" s="5" t="str">
        <f ca="1">IFERROR(__xludf.DUMMYFUNCTION("""COMPUTED_VALUE"""),"No")</f>
        <v>No</v>
      </c>
      <c r="AD1548" s="5" t="str">
        <f ca="1">IFERROR(__xludf.DUMMYFUNCTION("""COMPUTED_VALUE"""),"No")</f>
        <v>No</v>
      </c>
      <c r="AE1548" s="5" t="str">
        <f ca="1">IFERROR(__xludf.DUMMYFUNCTION("""COMPUTED_VALUE"""),"No")</f>
        <v>No</v>
      </c>
      <c r="AF1548" s="5" t="str">
        <f ca="1">IFERROR(__xludf.DUMMYFUNCTION("""COMPUTED_VALUE"""),"No")</f>
        <v>No</v>
      </c>
      <c r="AG1548" s="5"/>
      <c r="AH1548" s="5" t="str">
        <f ca="1">IFERROR(__xludf.DUMMYFUNCTION("""COMPUTED_VALUE"""),"No")</f>
        <v>No</v>
      </c>
      <c r="AI1548" s="5" t="str">
        <f ca="1">IFERROR(__xludf.DUMMYFUNCTION("""COMPUTED_VALUE"""),"No")</f>
        <v>No</v>
      </c>
      <c r="AJ1548" s="5"/>
    </row>
    <row r="1549" spans="1:36" ht="13">
      <c r="A1549" s="5" t="str">
        <f ca="1">IFERROR(__xludf.DUMMYFUNCTION("""COMPUTED_VALUE"""),"20030414LAJON")</f>
        <v>20030414LAJON</v>
      </c>
      <c r="B1549" s="5">
        <f ca="1">IFERROR(__xludf.DUMMYFUNCTION("""COMPUTED_VALUE"""),4)</f>
        <v>4</v>
      </c>
      <c r="C1549" s="5">
        <f ca="1">IFERROR(__xludf.DUMMYFUNCTION("""COMPUTED_VALUE"""),14)</f>
        <v>14</v>
      </c>
      <c r="D1549" s="5">
        <f ca="1">IFERROR(__xludf.DUMMYFUNCTION("""COMPUTED_VALUE"""),2003)</f>
        <v>2003</v>
      </c>
      <c r="E1549" s="8">
        <f ca="1">IFERROR(__xludf.DUMMYFUNCTION("""COMPUTED_VALUE"""),37725)</f>
        <v>37725</v>
      </c>
      <c r="F1549" s="5" t="str">
        <f ca="1">IFERROR(__xludf.DUMMYFUNCTION("""COMPUTED_VALUE"""),"John McDonogh High School")</f>
        <v>John McDonogh High School</v>
      </c>
      <c r="G1549" s="5">
        <f ca="1">IFERROR(__xludf.DUMMYFUNCTION("""COMPUTED_VALUE"""),1)</f>
        <v>1</v>
      </c>
      <c r="H1549" s="5">
        <f ca="1">IFERROR(__xludf.DUMMYFUNCTION("""COMPUTED_VALUE"""),4)</f>
        <v>4</v>
      </c>
      <c r="I1549" s="5">
        <f ca="1">IFERROR(__xludf.DUMMYFUNCTION("""COMPUTED_VALUE"""),5)</f>
        <v>5</v>
      </c>
      <c r="J1549" s="5">
        <f ca="1">IFERROR(__xludf.DUMMYFUNCTION("""COMPUTED_VALUE"""),0)</f>
        <v>0</v>
      </c>
      <c r="K1549" s="9" t="str">
        <f ca="1">IFERROR(__xludf.DUMMYFUNCTION("""COMPUTED_VALUE"""),"https://www.washingtonpost.com/archive/politics/2003/04/15/youth-15-dies-in-shooting-at-new-orleans-high-school/a2b1c00e-b101-4b41-ae45-a150abc01ada/?utm_term=.0ec08f1f82f8")</f>
        <v>https://www.washingtonpost.com/archive/politics/2003/04/15/youth-15-dies-in-shooting-at-new-orleans-high-school/a2b1c00e-b101-4b41-ae45-a150abc01ada/?utm_term=.0ec08f1f82f8</v>
      </c>
      <c r="L1549" s="5"/>
      <c r="M1549" s="5"/>
      <c r="N1549" s="5">
        <f ca="1">IFERROR(__xludf.DUMMYFUNCTION("""COMPUTED_VALUE"""),2)</f>
        <v>2</v>
      </c>
      <c r="O1549" s="5" t="str">
        <f ca="1">IFERROR(__xludf.DUMMYFUNCTION("""COMPUTED_VALUE"""),"Spring")</f>
        <v>Spring</v>
      </c>
      <c r="P1549" s="5" t="str">
        <f ca="1">IFERROR(__xludf.DUMMYFUNCTION("""COMPUTED_VALUE"""),"New Orleans")</f>
        <v>New Orleans</v>
      </c>
      <c r="Q1549" s="5" t="str">
        <f ca="1">IFERROR(__xludf.DUMMYFUNCTION("""COMPUTED_VALUE"""),"LA")</f>
        <v>LA</v>
      </c>
      <c r="R1549" s="5" t="str">
        <f ca="1">IFERROR(__xludf.DUMMYFUNCTION("""COMPUTED_VALUE"""),"High")</f>
        <v>High</v>
      </c>
      <c r="S1549" s="5" t="str">
        <f ca="1">IFERROR(__xludf.DUMMYFUNCTION("""COMPUTED_VALUE"""),"Gym")</f>
        <v>Gym</v>
      </c>
      <c r="T1549" s="5" t="str">
        <f ca="1">IFERROR(__xludf.DUMMYFUNCTION("""COMPUTED_VALUE"""),"Inside School Building")</f>
        <v>Inside School Building</v>
      </c>
      <c r="U1549" s="5" t="str">
        <f ca="1">IFERROR(__xludf.DUMMYFUNCTION("""COMPUTED_VALUE"""),"Yes")</f>
        <v>Yes</v>
      </c>
      <c r="V1549" s="5" t="str">
        <f ca="1">IFERROR(__xludf.DUMMYFUNCTION("""COMPUTED_VALUE"""),"Morning Classes")</f>
        <v>Morning Classes</v>
      </c>
      <c r="W1549" s="10">
        <f ca="1">IFERROR(__xludf.DUMMYFUNCTION("""COMPUTED_VALUE"""),0.427083333333333)</f>
        <v>0.42708333333333298</v>
      </c>
      <c r="X1549" s="5">
        <f ca="1">IFERROR(__xludf.DUMMYFUNCTION("""COMPUTED_VALUE"""),1)</f>
        <v>1</v>
      </c>
      <c r="Y1549" s="5" t="str">
        <f ca="1">IFERROR(__xludf.DUMMYFUNCTION("""COMPUTED_VALUE"""),"Gang members targeted rival gang member in school gym")</f>
        <v>Gang members targeted rival gang member in school gym</v>
      </c>
      <c r="Z1549" s="5" t="str">
        <f ca="1">IFERROR(__xludf.DUMMYFUNCTION("""COMPUTED_VALUE"""),"Three shooters snuck handguns and an AK47 passed metal detectors and armed school guards then opened first on rival gang members in the school gym. Shooter fled the scene after the shooting. Two female students were hit in the crossfire. Victim was target"&amp;"ed. Students and school officials said the shooting was gang related. Weapons: AK-47-style semi automatic rifle, semi automatic handgun")</f>
        <v>Three shooters snuck handguns and an AK47 passed metal detectors and armed school guards then opened first on rival gang members in the school gym. Shooter fled the scene after the shooting. Two female students were hit in the crossfire. Victim was targeted. Students and school officials said the shooting was gang related. Weapons: AK-47-style semi automatic rifle, semi automatic handgun</v>
      </c>
      <c r="AA1549" s="5" t="str">
        <f ca="1">IFERROR(__xludf.DUMMYFUNCTION("""COMPUTED_VALUE"""),"Indiscriminate Shooting")</f>
        <v>Indiscriminate Shooting</v>
      </c>
      <c r="AB1549" s="5" t="str">
        <f ca="1">IFERROR(__xludf.DUMMYFUNCTION("""COMPUTED_VALUE"""),"Both")</f>
        <v>Both</v>
      </c>
      <c r="AC1549" s="5" t="str">
        <f ca="1">IFERROR(__xludf.DUMMYFUNCTION("""COMPUTED_VALUE"""),"Yes")</f>
        <v>Yes</v>
      </c>
      <c r="AD1549" s="5" t="str">
        <f ca="1">IFERROR(__xludf.DUMMYFUNCTION("""COMPUTED_VALUE"""),"No")</f>
        <v>No</v>
      </c>
      <c r="AE1549" s="5" t="str">
        <f ca="1">IFERROR(__xludf.DUMMYFUNCTION("""COMPUTED_VALUE"""),"No")</f>
        <v>No</v>
      </c>
      <c r="AF1549" s="5" t="str">
        <f ca="1">IFERROR(__xludf.DUMMYFUNCTION("""COMPUTED_VALUE"""),"No")</f>
        <v>No</v>
      </c>
      <c r="AG1549" s="5" t="str">
        <f ca="1">IFERROR(__xludf.DUMMYFUNCTION("""COMPUTED_VALUE"""),"No")</f>
        <v>No</v>
      </c>
      <c r="AH1549" s="5" t="str">
        <f ca="1">IFERROR(__xludf.DUMMYFUNCTION("""COMPUTED_VALUE"""),"No")</f>
        <v>No</v>
      </c>
      <c r="AI1549" s="5" t="str">
        <f ca="1">IFERROR(__xludf.DUMMYFUNCTION("""COMPUTED_VALUE"""),"Yes")</f>
        <v>Yes</v>
      </c>
      <c r="AJ1549" s="5" t="str">
        <f ca="1">IFERROR(__xludf.DUMMYFUNCTION("""COMPUTED_VALUE"""),"Yes")</f>
        <v>Yes</v>
      </c>
    </row>
    <row r="1550" spans="1:36" ht="13">
      <c r="A1550" s="5" t="str">
        <f ca="1">IFERROR(__xludf.DUMMYFUNCTION("""COMPUTED_VALUE"""),"20030414LAFAS")</f>
        <v>20030414LAFAS</v>
      </c>
      <c r="B1550" s="5">
        <f ca="1">IFERROR(__xludf.DUMMYFUNCTION("""COMPUTED_VALUE"""),4)</f>
        <v>4</v>
      </c>
      <c r="C1550" s="5">
        <f ca="1">IFERROR(__xludf.DUMMYFUNCTION("""COMPUTED_VALUE"""),14)</f>
        <v>14</v>
      </c>
      <c r="D1550" s="5">
        <f ca="1">IFERROR(__xludf.DUMMYFUNCTION("""COMPUTED_VALUE"""),2003)</f>
        <v>2003</v>
      </c>
      <c r="E1550" s="8">
        <f ca="1">IFERROR(__xludf.DUMMYFUNCTION("""COMPUTED_VALUE"""),37725)</f>
        <v>37725</v>
      </c>
      <c r="F1550" s="5" t="str">
        <f ca="1">IFERROR(__xludf.DUMMYFUNCTION("""COMPUTED_VALUE"""),"Fair Park High School")</f>
        <v>Fair Park High School</v>
      </c>
      <c r="G1550" s="5">
        <f ca="1">IFERROR(__xludf.DUMMYFUNCTION("""COMPUTED_VALUE"""),0)</f>
        <v>0</v>
      </c>
      <c r="H1550" s="5">
        <f ca="1">IFERROR(__xludf.DUMMYFUNCTION("""COMPUTED_VALUE"""),1)</f>
        <v>1</v>
      </c>
      <c r="I1550" s="5">
        <f ca="1">IFERROR(__xludf.DUMMYFUNCTION("""COMPUTED_VALUE"""),1)</f>
        <v>1</v>
      </c>
      <c r="J1550" s="5">
        <f ca="1">IFERROR(__xludf.DUMMYFUNCTION("""COMPUTED_VALUE"""),0)</f>
        <v>0</v>
      </c>
      <c r="K1550" s="9" t="str">
        <f ca="1">IFERROR(__xludf.DUMMYFUNCTION("""COMPUTED_VALUE"""),"https://www.newspapers.com/image/220871722/?terms=Fair%2BPark%2BHigh%2BSchool%2BSteven%2BGreen")</f>
        <v>https://www.newspapers.com/image/220871722/?terms=Fair%2BPark%2BHigh%2BSchool%2BSteven%2BGreen</v>
      </c>
      <c r="L1550" s="5"/>
      <c r="M1550" s="5"/>
      <c r="N1550" s="5">
        <f ca="1">IFERROR(__xludf.DUMMYFUNCTION("""COMPUTED_VALUE"""),2)</f>
        <v>2</v>
      </c>
      <c r="O1550" s="5" t="str">
        <f ca="1">IFERROR(__xludf.DUMMYFUNCTION("""COMPUTED_VALUE"""),"Spring")</f>
        <v>Spring</v>
      </c>
      <c r="P1550" s="5" t="str">
        <f ca="1">IFERROR(__xludf.DUMMYFUNCTION("""COMPUTED_VALUE"""),"Shereveport")</f>
        <v>Shereveport</v>
      </c>
      <c r="Q1550" s="5" t="str">
        <f ca="1">IFERROR(__xludf.DUMMYFUNCTION("""COMPUTED_VALUE"""),"LA")</f>
        <v>LA</v>
      </c>
      <c r="R1550" s="5" t="str">
        <f ca="1">IFERROR(__xludf.DUMMYFUNCTION("""COMPUTED_VALUE"""),"High")</f>
        <v>High</v>
      </c>
      <c r="S1550" s="5" t="str">
        <f ca="1">IFERROR(__xludf.DUMMYFUNCTION("""COMPUTED_VALUE"""),"Classroom")</f>
        <v>Classroom</v>
      </c>
      <c r="T1550" s="5" t="str">
        <f ca="1">IFERROR(__xludf.DUMMYFUNCTION("""COMPUTED_VALUE"""),"Inside School Building")</f>
        <v>Inside School Building</v>
      </c>
      <c r="U1550" s="5" t="str">
        <f ca="1">IFERROR(__xludf.DUMMYFUNCTION("""COMPUTED_VALUE"""),"Yes")</f>
        <v>Yes</v>
      </c>
      <c r="V1550" s="5" t="str">
        <f ca="1">IFERROR(__xludf.DUMMYFUNCTION("""COMPUTED_VALUE"""),"Morning Classes")</f>
        <v>Morning Classes</v>
      </c>
      <c r="W1550" s="10">
        <f ca="1">IFERROR(__xludf.DUMMYFUNCTION("""COMPUTED_VALUE"""),0.4375)</f>
        <v>0.4375</v>
      </c>
      <c r="X1550" s="5">
        <f ca="1">IFERROR(__xludf.DUMMYFUNCTION("""COMPUTED_VALUE"""),1)</f>
        <v>1</v>
      </c>
      <c r="Y1550" s="5" t="str">
        <f ca="1">IFERROR(__xludf.DUMMYFUNCTION("""COMPUTED_VALUE"""),"Showing off gun, struck friend in stomach")</f>
        <v>Showing off gun, struck friend in stomach</v>
      </c>
      <c r="Z1550" s="5" t="str">
        <f ca="1">IFERROR(__xludf.DUMMYFUNCTION("""COMPUTED_VALUE"""),"18YOM student was showing off gun to 18YOM classmate. Discharged and struck him in stomach. Shooter fled the scene and was turned into police later by mother. School had metal detectors in the main building but the shooting occurred in an auxiliary classr"&amp;"oom.")</f>
        <v>18YOM student was showing off gun to 18YOM classmate. Discharged and struck him in stomach. Shooter fled the scene and was turned into police later by mother. School had metal detectors in the main building but the shooting occurred in an auxiliary classroom.</v>
      </c>
      <c r="AA1550" s="5" t="str">
        <f ca="1">IFERROR(__xludf.DUMMYFUNCTION("""COMPUTED_VALUE"""),"Accidental")</f>
        <v>Accidental</v>
      </c>
      <c r="AB1550" s="5" t="str">
        <f ca="1">IFERROR(__xludf.DUMMYFUNCTION("""COMPUTED_VALUE"""),"Random Shooting")</f>
        <v>Random Shooting</v>
      </c>
      <c r="AC1550" s="5" t="str">
        <f ca="1">IFERROR(__xludf.DUMMYFUNCTION("""COMPUTED_VALUE"""),"No")</f>
        <v>No</v>
      </c>
      <c r="AD1550" s="5" t="str">
        <f ca="1">IFERROR(__xludf.DUMMYFUNCTION("""COMPUTED_VALUE"""),"No")</f>
        <v>No</v>
      </c>
      <c r="AE1550" s="5" t="str">
        <f ca="1">IFERROR(__xludf.DUMMYFUNCTION("""COMPUTED_VALUE"""),"No")</f>
        <v>No</v>
      </c>
      <c r="AF1550" s="5" t="str">
        <f ca="1">IFERROR(__xludf.DUMMYFUNCTION("""COMPUTED_VALUE"""),"No")</f>
        <v>No</v>
      </c>
      <c r="AG1550" s="5" t="str">
        <f ca="1">IFERROR(__xludf.DUMMYFUNCTION("""COMPUTED_VALUE"""),"No")</f>
        <v>No</v>
      </c>
      <c r="AH1550" s="5" t="str">
        <f ca="1">IFERROR(__xludf.DUMMYFUNCTION("""COMPUTED_VALUE"""),"No")</f>
        <v>No</v>
      </c>
      <c r="AI1550" s="5" t="str">
        <f ca="1">IFERROR(__xludf.DUMMYFUNCTION("""COMPUTED_VALUE"""),"No")</f>
        <v>No</v>
      </c>
      <c r="AJ1550" s="5"/>
    </row>
    <row r="1551" spans="1:36" ht="13">
      <c r="A1551" s="5" t="str">
        <f ca="1">IFERROR(__xludf.DUMMYFUNCTION("""COMPUTED_VALUE"""),"20030410CAWAW")</f>
        <v>20030410CAWAW</v>
      </c>
      <c r="B1551" s="5">
        <f ca="1">IFERROR(__xludf.DUMMYFUNCTION("""COMPUTED_VALUE"""),4)</f>
        <v>4</v>
      </c>
      <c r="C1551" s="5">
        <f ca="1">IFERROR(__xludf.DUMMYFUNCTION("""COMPUTED_VALUE"""),10)</f>
        <v>10</v>
      </c>
      <c r="D1551" s="5">
        <f ca="1">IFERROR(__xludf.DUMMYFUNCTION("""COMPUTED_VALUE"""),2003)</f>
        <v>2003</v>
      </c>
      <c r="E1551" s="8">
        <f ca="1">IFERROR(__xludf.DUMMYFUNCTION("""COMPUTED_VALUE"""),37721)</f>
        <v>37721</v>
      </c>
      <c r="F1551" s="5" t="str">
        <f ca="1">IFERROR(__xludf.DUMMYFUNCTION("""COMPUTED_VALUE"""),"Walnut High School")</f>
        <v>Walnut High School</v>
      </c>
      <c r="G1551" s="5">
        <f ca="1">IFERROR(__xludf.DUMMYFUNCTION("""COMPUTED_VALUE"""),0)</f>
        <v>0</v>
      </c>
      <c r="H1551" s="5">
        <f ca="1">IFERROR(__xludf.DUMMYFUNCTION("""COMPUTED_VALUE"""),0)</f>
        <v>0</v>
      </c>
      <c r="I1551" s="5">
        <f ca="1">IFERROR(__xludf.DUMMYFUNCTION("""COMPUTED_VALUE"""),0)</f>
        <v>0</v>
      </c>
      <c r="J1551" s="5">
        <f ca="1">IFERROR(__xludf.DUMMYFUNCTION("""COMPUTED_VALUE"""),1)</f>
        <v>1</v>
      </c>
      <c r="K1551" s="9" t="str">
        <f ca="1">IFERROR(__xludf.DUMMYFUNCTION("""COMPUTED_VALUE"""),"https://web.archive.org/web/20050211181322/https://www.nbc4.tv/news/2104581/detail.html")</f>
        <v>https://web.archive.org/web/20050211181322/https://www.nbc4.tv/news/2104581/detail.html</v>
      </c>
      <c r="L1551" s="5">
        <f ca="1">IFERROR(__xludf.DUMMYFUNCTION("""COMPUTED_VALUE"""),4)</f>
        <v>4</v>
      </c>
      <c r="M1551" s="5" t="str">
        <f ca="1">IFERROR(__xludf.DUMMYFUNCTION("""COMPUTED_VALUE"""),"Local")</f>
        <v>Local</v>
      </c>
      <c r="N1551" s="5">
        <f ca="1">IFERROR(__xludf.DUMMYFUNCTION("""COMPUTED_VALUE"""),4)</f>
        <v>4</v>
      </c>
      <c r="O1551" s="5" t="str">
        <f ca="1">IFERROR(__xludf.DUMMYFUNCTION("""COMPUTED_VALUE"""),"Spring")</f>
        <v>Spring</v>
      </c>
      <c r="P1551" s="5" t="str">
        <f ca="1">IFERROR(__xludf.DUMMYFUNCTION("""COMPUTED_VALUE"""),"Walnut")</f>
        <v>Walnut</v>
      </c>
      <c r="Q1551" s="5" t="str">
        <f ca="1">IFERROR(__xludf.DUMMYFUNCTION("""COMPUTED_VALUE"""),"CA")</f>
        <v>CA</v>
      </c>
      <c r="R1551" s="5" t="str">
        <f ca="1">IFERROR(__xludf.DUMMYFUNCTION("""COMPUTED_VALUE"""),"High")</f>
        <v>High</v>
      </c>
      <c r="S1551" s="5" t="str">
        <f ca="1">IFERROR(__xludf.DUMMYFUNCTION("""COMPUTED_VALUE"""),"Cafeteria")</f>
        <v>Cafeteria</v>
      </c>
      <c r="T1551" s="5" t="str">
        <f ca="1">IFERROR(__xludf.DUMMYFUNCTION("""COMPUTED_VALUE"""),"Inside School Building")</f>
        <v>Inside School Building</v>
      </c>
      <c r="U1551" s="5" t="str">
        <f ca="1">IFERROR(__xludf.DUMMYFUNCTION("""COMPUTED_VALUE"""),"Yes")</f>
        <v>Yes</v>
      </c>
      <c r="V1551" s="5" t="str">
        <f ca="1">IFERROR(__xludf.DUMMYFUNCTION("""COMPUTED_VALUE"""),"Lunch")</f>
        <v>Lunch</v>
      </c>
      <c r="W1551" s="10">
        <f ca="1">IFERROR(__xludf.DUMMYFUNCTION("""COMPUTED_VALUE"""),0.506944444444444)</f>
        <v>0.50694444444444398</v>
      </c>
      <c r="X1551" s="5">
        <f ca="1">IFERROR(__xludf.DUMMYFUNCTION("""COMPUTED_VALUE"""),1)</f>
        <v>1</v>
      </c>
      <c r="Y1551" s="5" t="str">
        <f ca="1">IFERROR(__xludf.DUMMYFUNCTION("""COMPUTED_VALUE"""),"Student fatally shot himself inside cafeteria during lunch")</f>
        <v>Student fatally shot himself inside cafeteria during lunch</v>
      </c>
      <c r="Z1551" s="5" t="str">
        <f ca="1">IFERROR(__xludf.DUMMYFUNCTION("""COMPUTED_VALUE"""),"An 18-year-old student who was having issues with his girlfriend fatally shot himself in the school cafeteria during lunch time. Classes were not cancelled. Counselors were available to students.")</f>
        <v>An 18-year-old student who was having issues with his girlfriend fatally shot himself in the school cafeteria during lunch time. Classes were not cancelled. Counselors were available to students.</v>
      </c>
      <c r="AA1551" s="5" t="str">
        <f ca="1">IFERROR(__xludf.DUMMYFUNCTION("""COMPUTED_VALUE"""),"Suicide/Attempted")</f>
        <v>Suicide/Attempted</v>
      </c>
      <c r="AB1551" s="5" t="str">
        <f ca="1">IFERROR(__xludf.DUMMYFUNCTION("""COMPUTED_VALUE"""),"Victims Targeted")</f>
        <v>Victims Targeted</v>
      </c>
      <c r="AC1551" s="5" t="str">
        <f ca="1">IFERROR(__xludf.DUMMYFUNCTION("""COMPUTED_VALUE"""),"No")</f>
        <v>No</v>
      </c>
      <c r="AD1551" s="5" t="str">
        <f ca="1">IFERROR(__xludf.DUMMYFUNCTION("""COMPUTED_VALUE"""),"No")</f>
        <v>No</v>
      </c>
      <c r="AE1551" s="5" t="str">
        <f ca="1">IFERROR(__xludf.DUMMYFUNCTION("""COMPUTED_VALUE"""),"No")</f>
        <v>No</v>
      </c>
      <c r="AF1551" s="5" t="str">
        <f ca="1">IFERROR(__xludf.DUMMYFUNCTION("""COMPUTED_VALUE"""),"No")</f>
        <v>No</v>
      </c>
      <c r="AG1551" s="5" t="str">
        <f ca="1">IFERROR(__xludf.DUMMYFUNCTION("""COMPUTED_VALUE"""),"No")</f>
        <v>No</v>
      </c>
      <c r="AH1551" s="5" t="str">
        <f ca="1">IFERROR(__xludf.DUMMYFUNCTION("""COMPUTED_VALUE"""),"No")</f>
        <v>No</v>
      </c>
      <c r="AI1551" s="5" t="str">
        <f ca="1">IFERROR(__xludf.DUMMYFUNCTION("""COMPUTED_VALUE"""),"No")</f>
        <v>No</v>
      </c>
      <c r="AJ1551" s="5" t="str">
        <f ca="1">IFERROR(__xludf.DUMMYFUNCTION("""COMPUTED_VALUE"""),"No")</f>
        <v>No</v>
      </c>
    </row>
    <row r="1552" spans="1:36" ht="13">
      <c r="A1552" s="5" t="str">
        <f ca="1">IFERROR(__xludf.DUMMYFUNCTION("""COMPUTED_VALUE"""),"20030401DCCAW")</f>
        <v>20030401DCCAW</v>
      </c>
      <c r="B1552" s="5">
        <f ca="1">IFERROR(__xludf.DUMMYFUNCTION("""COMPUTED_VALUE"""),4)</f>
        <v>4</v>
      </c>
      <c r="C1552" s="5">
        <f ca="1">IFERROR(__xludf.DUMMYFUNCTION("""COMPUTED_VALUE"""),1)</f>
        <v>1</v>
      </c>
      <c r="D1552" s="5">
        <f ca="1">IFERROR(__xludf.DUMMYFUNCTION("""COMPUTED_VALUE"""),2003)</f>
        <v>2003</v>
      </c>
      <c r="E1552" s="8">
        <f ca="1">IFERROR(__xludf.DUMMYFUNCTION("""COMPUTED_VALUE"""),37712)</f>
        <v>37712</v>
      </c>
      <c r="F1552" s="5" t="str">
        <f ca="1">IFERROR(__xludf.DUMMYFUNCTION("""COMPUTED_VALUE"""),"Cardozo High School")</f>
        <v>Cardozo High School</v>
      </c>
      <c r="G1552" s="5">
        <f ca="1">IFERROR(__xludf.DUMMYFUNCTION("""COMPUTED_VALUE"""),0)</f>
        <v>0</v>
      </c>
      <c r="H1552" s="5">
        <f ca="1">IFERROR(__xludf.DUMMYFUNCTION("""COMPUTED_VALUE"""),1)</f>
        <v>1</v>
      </c>
      <c r="I1552" s="5">
        <f ca="1">IFERROR(__xludf.DUMMYFUNCTION("""COMPUTED_VALUE"""),1)</f>
        <v>1</v>
      </c>
      <c r="J1552" s="5">
        <f ca="1">IFERROR(__xludf.DUMMYFUNCTION("""COMPUTED_VALUE"""),0)</f>
        <v>0</v>
      </c>
      <c r="K1552" s="9" t="str">
        <f ca="1">IFERROR(__xludf.DUMMYFUNCTION("""COMPUTED_VALUE"""),"https://www.washingtontimes.com/news/2003/apr/4/20030404-090538-6902r/")</f>
        <v>https://www.washingtontimes.com/news/2003/apr/4/20030404-090538-6902r/</v>
      </c>
      <c r="L1552" s="5"/>
      <c r="M1552" s="5"/>
      <c r="N1552" s="5">
        <f ca="1">IFERROR(__xludf.DUMMYFUNCTION("""COMPUTED_VALUE"""),2)</f>
        <v>2</v>
      </c>
      <c r="O1552" s="5" t="str">
        <f ca="1">IFERROR(__xludf.DUMMYFUNCTION("""COMPUTED_VALUE"""),"Spring")</f>
        <v>Spring</v>
      </c>
      <c r="P1552" s="5" t="str">
        <f ca="1">IFERROR(__xludf.DUMMYFUNCTION("""COMPUTED_VALUE"""),"Washington")</f>
        <v>Washington</v>
      </c>
      <c r="Q1552" s="5" t="str">
        <f ca="1">IFERROR(__xludf.DUMMYFUNCTION("""COMPUTED_VALUE"""),"DC")</f>
        <v>DC</v>
      </c>
      <c r="R1552" s="5" t="str">
        <f ca="1">IFERROR(__xludf.DUMMYFUNCTION("""COMPUTED_VALUE"""),"High")</f>
        <v>High</v>
      </c>
      <c r="S1552" s="5" t="str">
        <f ca="1">IFERROR(__xludf.DUMMYFUNCTION("""COMPUTED_VALUE"""),"Hallway")</f>
        <v>Hallway</v>
      </c>
      <c r="T1552" s="5" t="str">
        <f ca="1">IFERROR(__xludf.DUMMYFUNCTION("""COMPUTED_VALUE"""),"Inside School Building")</f>
        <v>Inside School Building</v>
      </c>
      <c r="U1552" s="5" t="str">
        <f ca="1">IFERROR(__xludf.DUMMYFUNCTION("""COMPUTED_VALUE"""),"Yes")</f>
        <v>Yes</v>
      </c>
      <c r="V1552" s="5" t="str">
        <f ca="1">IFERROR(__xludf.DUMMYFUNCTION("""COMPUTED_VALUE"""),"Lunch")</f>
        <v>Lunch</v>
      </c>
      <c r="W1552" s="10">
        <f ca="1">IFERROR(__xludf.DUMMYFUNCTION("""COMPUTED_VALUE"""),0.510416666666666)</f>
        <v>0.51041666666666596</v>
      </c>
      <c r="X1552" s="5">
        <f ca="1">IFERROR(__xludf.DUMMYFUNCTION("""COMPUTED_VALUE"""),1)</f>
        <v>1</v>
      </c>
      <c r="Y1552" s="5" t="str">
        <f ca="1">IFERROR(__xludf.DUMMYFUNCTION("""COMPUTED_VALUE"""),"Gang-related fight in hallway between students")</f>
        <v>Gang-related fight in hallway between students</v>
      </c>
      <c r="Z1552" s="5" t="str">
        <f ca="1">IFERROR(__xludf.DUMMYFUNCTION("""COMPUTED_VALUE"""),"15YOM student shot 16YOM student in the leg during a fight in the hallway. Students were members of rival gangs.")</f>
        <v>15YOM student shot 16YOM student in the leg during a fight in the hallway. Students were members of rival gangs.</v>
      </c>
      <c r="AA1552" s="5" t="str">
        <f ca="1">IFERROR(__xludf.DUMMYFUNCTION("""COMPUTED_VALUE"""),"Escalation of Dispute")</f>
        <v>Escalation of Dispute</v>
      </c>
      <c r="AB1552" s="5" t="str">
        <f ca="1">IFERROR(__xludf.DUMMYFUNCTION("""COMPUTED_VALUE"""),"Victims Targeted")</f>
        <v>Victims Targeted</v>
      </c>
      <c r="AC1552" s="5" t="str">
        <f ca="1">IFERROR(__xludf.DUMMYFUNCTION("""COMPUTED_VALUE"""),"No")</f>
        <v>No</v>
      </c>
      <c r="AD1552" s="5" t="str">
        <f ca="1">IFERROR(__xludf.DUMMYFUNCTION("""COMPUTED_VALUE"""),"No")</f>
        <v>No</v>
      </c>
      <c r="AE1552" s="5" t="str">
        <f ca="1">IFERROR(__xludf.DUMMYFUNCTION("""COMPUTED_VALUE"""),"No")</f>
        <v>No</v>
      </c>
      <c r="AF1552" s="5" t="str">
        <f ca="1">IFERROR(__xludf.DUMMYFUNCTION("""COMPUTED_VALUE"""),"No")</f>
        <v>No</v>
      </c>
      <c r="AG1552" s="5" t="str">
        <f ca="1">IFERROR(__xludf.DUMMYFUNCTION("""COMPUTED_VALUE"""),"No")</f>
        <v>No</v>
      </c>
      <c r="AH1552" s="5" t="str">
        <f ca="1">IFERROR(__xludf.DUMMYFUNCTION("""COMPUTED_VALUE"""),"No")</f>
        <v>No</v>
      </c>
      <c r="AI1552" s="5" t="str">
        <f ca="1">IFERROR(__xludf.DUMMYFUNCTION("""COMPUTED_VALUE"""),"Yes")</f>
        <v>Yes</v>
      </c>
      <c r="AJ1552" s="5"/>
    </row>
    <row r="1553" spans="1:36" ht="13">
      <c r="A1553" s="5" t="str">
        <f ca="1">IFERROR(__xludf.DUMMYFUNCTION("""COMPUTED_VALUE"""),"20030330CAROW")</f>
        <v>20030330CAROW</v>
      </c>
      <c r="B1553" s="5">
        <f ca="1">IFERROR(__xludf.DUMMYFUNCTION("""COMPUTED_VALUE"""),3)</f>
        <v>3</v>
      </c>
      <c r="C1553" s="5">
        <f ca="1">IFERROR(__xludf.DUMMYFUNCTION("""COMPUTED_VALUE"""),30)</f>
        <v>30</v>
      </c>
      <c r="D1553" s="5">
        <f ca="1">IFERROR(__xludf.DUMMYFUNCTION("""COMPUTED_VALUE"""),2003)</f>
        <v>2003</v>
      </c>
      <c r="E1553" s="8">
        <f ca="1">IFERROR(__xludf.DUMMYFUNCTION("""COMPUTED_VALUE"""),37710)</f>
        <v>37710</v>
      </c>
      <c r="F1553" s="5" t="str">
        <f ca="1">IFERROR(__xludf.DUMMYFUNCTION("""COMPUTED_VALUE"""),"Rolling Hills Middle School")</f>
        <v>Rolling Hills Middle School</v>
      </c>
      <c r="G1553" s="5">
        <f ca="1">IFERROR(__xludf.DUMMYFUNCTION("""COMPUTED_VALUE"""),1)</f>
        <v>1</v>
      </c>
      <c r="H1553" s="5">
        <f ca="1">IFERROR(__xludf.DUMMYFUNCTION("""COMPUTED_VALUE"""),0)</f>
        <v>0</v>
      </c>
      <c r="I1553" s="5">
        <f ca="1">IFERROR(__xludf.DUMMYFUNCTION("""COMPUTED_VALUE"""),1)</f>
        <v>1</v>
      </c>
      <c r="J1553" s="5">
        <f ca="1">IFERROR(__xludf.DUMMYFUNCTION("""COMPUTED_VALUE"""),0)</f>
        <v>0</v>
      </c>
      <c r="K1553" s="9" t="str">
        <f ca="1">IFERROR(__xludf.DUMMYFUNCTION("""COMPUTED_VALUE"""),"http://www.santacruzsentinel.com/article/zz/20080625/NEWS/806259869")</f>
        <v>http://www.santacruzsentinel.com/article/zz/20080625/NEWS/806259869</v>
      </c>
      <c r="L1553" s="5"/>
      <c r="M1553" s="5"/>
      <c r="N1553" s="5">
        <f ca="1">IFERROR(__xludf.DUMMYFUNCTION("""COMPUTED_VALUE"""),2)</f>
        <v>2</v>
      </c>
      <c r="O1553" s="5" t="str">
        <f ca="1">IFERROR(__xludf.DUMMYFUNCTION("""COMPUTED_VALUE"""),"Spring")</f>
        <v>Spring</v>
      </c>
      <c r="P1553" s="5" t="str">
        <f ca="1">IFERROR(__xludf.DUMMYFUNCTION("""COMPUTED_VALUE"""),"Watsonville")</f>
        <v>Watsonville</v>
      </c>
      <c r="Q1553" s="5" t="str">
        <f ca="1">IFERROR(__xludf.DUMMYFUNCTION("""COMPUTED_VALUE"""),"CA")</f>
        <v>CA</v>
      </c>
      <c r="R1553" s="5" t="str">
        <f ca="1">IFERROR(__xludf.DUMMYFUNCTION("""COMPUTED_VALUE"""),"High")</f>
        <v>High</v>
      </c>
      <c r="S1553" s="5" t="str">
        <f ca="1">IFERROR(__xludf.DUMMYFUNCTION("""COMPUTED_VALUE"""),"Beside Building")</f>
        <v>Beside Building</v>
      </c>
      <c r="T1553" s="5" t="str">
        <f ca="1">IFERROR(__xludf.DUMMYFUNCTION("""COMPUTED_VALUE"""),"Outside on School Property")</f>
        <v>Outside on School Property</v>
      </c>
      <c r="U1553" s="5" t="str">
        <f ca="1">IFERROR(__xludf.DUMMYFUNCTION("""COMPUTED_VALUE"""),"No")</f>
        <v>No</v>
      </c>
      <c r="V1553" s="5" t="str">
        <f ca="1">IFERROR(__xludf.DUMMYFUNCTION("""COMPUTED_VALUE"""),"Not a School Day")</f>
        <v>Not a School Day</v>
      </c>
      <c r="W1553" s="10">
        <f ca="1">IFERROR(__xludf.DUMMYFUNCTION("""COMPUTED_VALUE"""),0.777777777777777)</f>
        <v>0.77777777777777701</v>
      </c>
      <c r="X1553" s="5">
        <f ca="1">IFERROR(__xludf.DUMMYFUNCTION("""COMPUTED_VALUE"""),1)</f>
        <v>1</v>
      </c>
      <c r="Y1553" s="5" t="str">
        <f ca="1">IFERROR(__xludf.DUMMYFUNCTION("""COMPUTED_VALUE"""),"Man shot during gang dispute because of belt color")</f>
        <v>Man shot during gang dispute because of belt color</v>
      </c>
      <c r="Z1553" s="5" t="str">
        <f ca="1">IFERROR(__xludf.DUMMYFUNCTION("""COMPUTED_VALUE"""),"20YOM shot 30YOM in the head during a gang related dispute outside of the school. The victims had the belt color of a rival gang.")</f>
        <v>20YOM shot 30YOM in the head during a gang related dispute outside of the school. The victims had the belt color of a rival gang.</v>
      </c>
      <c r="AA1553" s="5" t="str">
        <f ca="1">IFERROR(__xludf.DUMMYFUNCTION("""COMPUTED_VALUE"""),"Escalation of Dispute")</f>
        <v>Escalation of Dispute</v>
      </c>
      <c r="AB1553" s="5" t="str">
        <f ca="1">IFERROR(__xludf.DUMMYFUNCTION("""COMPUTED_VALUE"""),"Victims Targeted")</f>
        <v>Victims Targeted</v>
      </c>
      <c r="AC1553" s="5" t="str">
        <f ca="1">IFERROR(__xludf.DUMMYFUNCTION("""COMPUTED_VALUE"""),"No")</f>
        <v>No</v>
      </c>
      <c r="AD1553" s="5" t="str">
        <f ca="1">IFERROR(__xludf.DUMMYFUNCTION("""COMPUTED_VALUE"""),"No")</f>
        <v>No</v>
      </c>
      <c r="AE1553" s="5" t="str">
        <f ca="1">IFERROR(__xludf.DUMMYFUNCTION("""COMPUTED_VALUE"""),"No")</f>
        <v>No</v>
      </c>
      <c r="AF1553" s="5" t="str">
        <f ca="1">IFERROR(__xludf.DUMMYFUNCTION("""COMPUTED_VALUE"""),"No")</f>
        <v>No</v>
      </c>
      <c r="AG1553" s="5" t="str">
        <f ca="1">IFERROR(__xludf.DUMMYFUNCTION("""COMPUTED_VALUE"""),"No")</f>
        <v>No</v>
      </c>
      <c r="AH1553" s="5" t="str">
        <f ca="1">IFERROR(__xludf.DUMMYFUNCTION("""COMPUTED_VALUE"""),"No")</f>
        <v>No</v>
      </c>
      <c r="AI1553" s="5" t="str">
        <f ca="1">IFERROR(__xludf.DUMMYFUNCTION("""COMPUTED_VALUE"""),"Yes")</f>
        <v>Yes</v>
      </c>
      <c r="AJ1553" s="5"/>
    </row>
    <row r="1554" spans="1:36" ht="13">
      <c r="A1554" s="5" t="str">
        <f ca="1">IFERROR(__xludf.DUMMYFUNCTION("""COMPUTED_VALUE"""),"20030321MSNOM")</f>
        <v>20030321MSNOM</v>
      </c>
      <c r="B1554" s="5">
        <f ca="1">IFERROR(__xludf.DUMMYFUNCTION("""COMPUTED_VALUE"""),3)</f>
        <v>3</v>
      </c>
      <c r="C1554" s="5">
        <f ca="1">IFERROR(__xludf.DUMMYFUNCTION("""COMPUTED_VALUE"""),21)</f>
        <v>21</v>
      </c>
      <c r="D1554" s="5">
        <f ca="1">IFERROR(__xludf.DUMMYFUNCTION("""COMPUTED_VALUE"""),2003)</f>
        <v>2003</v>
      </c>
      <c r="E1554" s="8">
        <f ca="1">IFERROR(__xludf.DUMMYFUNCTION("""COMPUTED_VALUE"""),37701)</f>
        <v>37701</v>
      </c>
      <c r="F1554" s="5" t="str">
        <f ca="1">IFERROR(__xludf.DUMMYFUNCTION("""COMPUTED_VALUE"""),"Northeast High School")</f>
        <v>Northeast High School</v>
      </c>
      <c r="G1554" s="5">
        <f ca="1">IFERROR(__xludf.DUMMYFUNCTION("""COMPUTED_VALUE"""),0)</f>
        <v>0</v>
      </c>
      <c r="H1554" s="5">
        <f ca="1">IFERROR(__xludf.DUMMYFUNCTION("""COMPUTED_VALUE"""),0)</f>
        <v>0</v>
      </c>
      <c r="I1554" s="5">
        <f ca="1">IFERROR(__xludf.DUMMYFUNCTION("""COMPUTED_VALUE"""),0)</f>
        <v>0</v>
      </c>
      <c r="J1554" s="5">
        <f ca="1">IFERROR(__xludf.DUMMYFUNCTION("""COMPUTED_VALUE"""),1)</f>
        <v>1</v>
      </c>
      <c r="K1554" s="9" t="str">
        <f ca="1">IFERROR(__xludf.DUMMYFUNCTION("""COMPUTED_VALUE"""),"https://www.franklincountytimes.com/2003/03/26/northeast-high-school-begins-healing-process/")</f>
        <v>https://www.franklincountytimes.com/2003/03/26/northeast-high-school-begins-healing-process/</v>
      </c>
      <c r="L1554" s="5"/>
      <c r="M1554" s="5"/>
      <c r="N1554" s="5">
        <f ca="1">IFERROR(__xludf.DUMMYFUNCTION("""COMPUTED_VALUE"""),2)</f>
        <v>2</v>
      </c>
      <c r="O1554" s="5" t="str">
        <f ca="1">IFERROR(__xludf.DUMMYFUNCTION("""COMPUTED_VALUE"""),"Spring")</f>
        <v>Spring</v>
      </c>
      <c r="P1554" s="5" t="str">
        <f ca="1">IFERROR(__xludf.DUMMYFUNCTION("""COMPUTED_VALUE"""),"Meridian")</f>
        <v>Meridian</v>
      </c>
      <c r="Q1554" s="5" t="str">
        <f ca="1">IFERROR(__xludf.DUMMYFUNCTION("""COMPUTED_VALUE"""),"MS")</f>
        <v>MS</v>
      </c>
      <c r="R1554" s="5" t="str">
        <f ca="1">IFERROR(__xludf.DUMMYFUNCTION("""COMPUTED_VALUE"""),"High")</f>
        <v>High</v>
      </c>
      <c r="S1554" s="5" t="str">
        <f ca="1">IFERROR(__xludf.DUMMYFUNCTION("""COMPUTED_VALUE"""),"Bathroom")</f>
        <v>Bathroom</v>
      </c>
      <c r="T1554" s="5" t="str">
        <f ca="1">IFERROR(__xludf.DUMMYFUNCTION("""COMPUTED_VALUE"""),"Inside School Building")</f>
        <v>Inside School Building</v>
      </c>
      <c r="U1554" s="5" t="str">
        <f ca="1">IFERROR(__xludf.DUMMYFUNCTION("""COMPUTED_VALUE"""),"Yes")</f>
        <v>Yes</v>
      </c>
      <c r="V1554" s="5" t="str">
        <f ca="1">IFERROR(__xludf.DUMMYFUNCTION("""COMPUTED_VALUE"""),"Morning Classes")</f>
        <v>Morning Classes</v>
      </c>
      <c r="W1554" s="10">
        <f ca="1">IFERROR(__xludf.DUMMYFUNCTION("""COMPUTED_VALUE"""),0.333333333333333)</f>
        <v>0.33333333333333298</v>
      </c>
      <c r="X1554" s="5">
        <f ca="1">IFERROR(__xludf.DUMMYFUNCTION("""COMPUTED_VALUE"""),1)</f>
        <v>1</v>
      </c>
      <c r="Y1554" s="5" t="str">
        <f ca="1">IFERROR(__xludf.DUMMYFUNCTION("""COMPUTED_VALUE"""),"Student shot self in bathroom")</f>
        <v>Student shot self in bathroom</v>
      </c>
      <c r="Z1554" s="5" t="str">
        <f ca="1">IFERROR(__xludf.DUMMYFUNCTION("""COMPUTED_VALUE"""),"15YOM student shot himself in the bathroom of the school. His body was found by another student. Shooter had been depressed since his aunt had recently shot and killed his uncle.")</f>
        <v>15YOM student shot himself in the bathroom of the school. His body was found by another student. Shooter had been depressed since his aunt had recently shot and killed his uncle.</v>
      </c>
      <c r="AA1554" s="5" t="str">
        <f ca="1">IFERROR(__xludf.DUMMYFUNCTION("""COMPUTED_VALUE"""),"Suicide/Attempted")</f>
        <v>Suicide/Attempted</v>
      </c>
      <c r="AB1554" s="5" t="str">
        <f ca="1">IFERROR(__xludf.DUMMYFUNCTION("""COMPUTED_VALUE"""),"Victims Targeted")</f>
        <v>Victims Targeted</v>
      </c>
      <c r="AC1554" s="5" t="str">
        <f ca="1">IFERROR(__xludf.DUMMYFUNCTION("""COMPUTED_VALUE"""),"No")</f>
        <v>No</v>
      </c>
      <c r="AD1554" s="5" t="str">
        <f ca="1">IFERROR(__xludf.DUMMYFUNCTION("""COMPUTED_VALUE"""),"No")</f>
        <v>No</v>
      </c>
      <c r="AE1554" s="5" t="str">
        <f ca="1">IFERROR(__xludf.DUMMYFUNCTION("""COMPUTED_VALUE"""),"No")</f>
        <v>No</v>
      </c>
      <c r="AF1554" s="5" t="str">
        <f ca="1">IFERROR(__xludf.DUMMYFUNCTION("""COMPUTED_VALUE"""),"No")</f>
        <v>No</v>
      </c>
      <c r="AG1554" s="5"/>
      <c r="AH1554" s="5" t="str">
        <f ca="1">IFERROR(__xludf.DUMMYFUNCTION("""COMPUTED_VALUE"""),"No")</f>
        <v>No</v>
      </c>
      <c r="AI1554" s="5" t="str">
        <f ca="1">IFERROR(__xludf.DUMMYFUNCTION("""COMPUTED_VALUE"""),"No")</f>
        <v>No</v>
      </c>
      <c r="AJ1554" s="5"/>
    </row>
    <row r="1555" spans="1:36" ht="13">
      <c r="A1555" s="5" t="str">
        <f ca="1">IFERROR(__xludf.DUMMYFUNCTION("""COMPUTED_VALUE"""),"20030318IACLG")</f>
        <v>20030318IACLG</v>
      </c>
      <c r="B1555" s="5">
        <f ca="1">IFERROR(__xludf.DUMMYFUNCTION("""COMPUTED_VALUE"""),3)</f>
        <v>3</v>
      </c>
      <c r="C1555" s="5">
        <f ca="1">IFERROR(__xludf.DUMMYFUNCTION("""COMPUTED_VALUE"""),18)</f>
        <v>18</v>
      </c>
      <c r="D1555" s="5">
        <f ca="1">IFERROR(__xludf.DUMMYFUNCTION("""COMPUTED_VALUE"""),2003)</f>
        <v>2003</v>
      </c>
      <c r="E1555" s="8">
        <f ca="1">IFERROR(__xludf.DUMMYFUNCTION("""COMPUTED_VALUE"""),37698)</f>
        <v>37698</v>
      </c>
      <c r="F1555" s="5" t="str">
        <f ca="1">IFERROR(__xludf.DUMMYFUNCTION("""COMPUTED_VALUE"""),"Clayton Ridge High School")</f>
        <v>Clayton Ridge High School</v>
      </c>
      <c r="G1555" s="5">
        <f ca="1">IFERROR(__xludf.DUMMYFUNCTION("""COMPUTED_VALUE"""),0)</f>
        <v>0</v>
      </c>
      <c r="H1555" s="5">
        <f ca="1">IFERROR(__xludf.DUMMYFUNCTION("""COMPUTED_VALUE"""),0)</f>
        <v>0</v>
      </c>
      <c r="I1555" s="5">
        <f ca="1">IFERROR(__xludf.DUMMYFUNCTION("""COMPUTED_VALUE"""),0)</f>
        <v>0</v>
      </c>
      <c r="J1555" s="5">
        <f ca="1">IFERROR(__xludf.DUMMYFUNCTION("""COMPUTED_VALUE"""),0)</f>
        <v>0</v>
      </c>
      <c r="K1555" s="9" t="str">
        <f ca="1">IFERROR(__xludf.DUMMYFUNCTION("""COMPUTED_VALUE"""),"https://azdailysun.com/teen-shoots-himself-in-principal-s-office/article_4262b5f6-0d4a-536c-9859-fb77384f957a.html")</f>
        <v>https://azdailysun.com/teen-shoots-himself-in-principal-s-office/article_4262b5f6-0d4a-536c-9859-fb77384f957a.html</v>
      </c>
      <c r="L1555" s="5"/>
      <c r="M1555" s="5"/>
      <c r="N1555" s="5">
        <f ca="1">IFERROR(__xludf.DUMMYFUNCTION("""COMPUTED_VALUE"""),2)</f>
        <v>2</v>
      </c>
      <c r="O1555" s="5" t="str">
        <f ca="1">IFERROR(__xludf.DUMMYFUNCTION("""COMPUTED_VALUE"""),"Spring")</f>
        <v>Spring</v>
      </c>
      <c r="P1555" s="5" t="str">
        <f ca="1">IFERROR(__xludf.DUMMYFUNCTION("""COMPUTED_VALUE"""),"Guttenberg")</f>
        <v>Guttenberg</v>
      </c>
      <c r="Q1555" s="5" t="str">
        <f ca="1">IFERROR(__xludf.DUMMYFUNCTION("""COMPUTED_VALUE"""),"IA")</f>
        <v>IA</v>
      </c>
      <c r="R1555" s="5" t="str">
        <f ca="1">IFERROR(__xludf.DUMMYFUNCTION("""COMPUTED_VALUE"""),"High")</f>
        <v>High</v>
      </c>
      <c r="S1555" s="5" t="str">
        <f ca="1">IFERROR(__xludf.DUMMYFUNCTION("""COMPUTED_VALUE"""),"Office")</f>
        <v>Office</v>
      </c>
      <c r="T1555" s="5" t="str">
        <f ca="1">IFERROR(__xludf.DUMMYFUNCTION("""COMPUTED_VALUE"""),"Inside School Building")</f>
        <v>Inside School Building</v>
      </c>
      <c r="U1555" s="5" t="str">
        <f ca="1">IFERROR(__xludf.DUMMYFUNCTION("""COMPUTED_VALUE"""),"Yes")</f>
        <v>Yes</v>
      </c>
      <c r="V1555" s="5" t="str">
        <f ca="1">IFERROR(__xludf.DUMMYFUNCTION("""COMPUTED_VALUE"""),"Afternoon Classes")</f>
        <v>Afternoon Classes</v>
      </c>
      <c r="W1555" s="5"/>
      <c r="X1555" s="5">
        <f ca="1">IFERROR(__xludf.DUMMYFUNCTION("""COMPUTED_VALUE"""),1)</f>
        <v>1</v>
      </c>
      <c r="Y1555" s="5" t="str">
        <f ca="1">IFERROR(__xludf.DUMMYFUNCTION("""COMPUTED_VALUE"""),"Talked with principal, pulled out gun, and shot himself in office")</f>
        <v>Talked with principal, pulled out gun, and shot himself in office</v>
      </c>
      <c r="Z1555" s="5" t="str">
        <f ca="1">IFERROR(__xludf.DUMMYFUNCTION("""COMPUTED_VALUE"""),"17YOM student was talking with the principal in his office about his problems. Student said the principal couldn't help, student pulled out rifle from under jacket and shot himself. Transported to the hospital and survived.")</f>
        <v>17YOM student was talking with the principal in his office about his problems. Student said the principal couldn't help, student pulled out rifle from under jacket and shot himself. Transported to the hospital and survived.</v>
      </c>
      <c r="AA1555" s="5" t="str">
        <f ca="1">IFERROR(__xludf.DUMMYFUNCTION("""COMPUTED_VALUE"""),"Suicide/Attempted")</f>
        <v>Suicide/Attempted</v>
      </c>
      <c r="AB1555" s="5" t="str">
        <f ca="1">IFERROR(__xludf.DUMMYFUNCTION("""COMPUTED_VALUE"""),"Victims Targeted")</f>
        <v>Victims Targeted</v>
      </c>
      <c r="AC1555" s="5" t="str">
        <f ca="1">IFERROR(__xludf.DUMMYFUNCTION("""COMPUTED_VALUE"""),"No")</f>
        <v>No</v>
      </c>
      <c r="AD1555" s="5" t="str">
        <f ca="1">IFERROR(__xludf.DUMMYFUNCTION("""COMPUTED_VALUE"""),"No")</f>
        <v>No</v>
      </c>
      <c r="AE1555" s="5" t="str">
        <f ca="1">IFERROR(__xludf.DUMMYFUNCTION("""COMPUTED_VALUE"""),"No")</f>
        <v>No</v>
      </c>
      <c r="AF1555" s="5" t="str">
        <f ca="1">IFERROR(__xludf.DUMMYFUNCTION("""COMPUTED_VALUE"""),"No")</f>
        <v>No</v>
      </c>
      <c r="AG1555" s="5" t="str">
        <f ca="1">IFERROR(__xludf.DUMMYFUNCTION("""COMPUTED_VALUE"""),"No")</f>
        <v>No</v>
      </c>
      <c r="AH1555" s="5" t="str">
        <f ca="1">IFERROR(__xludf.DUMMYFUNCTION("""COMPUTED_VALUE"""),"No")</f>
        <v>No</v>
      </c>
      <c r="AI1555" s="5" t="str">
        <f ca="1">IFERROR(__xludf.DUMMYFUNCTION("""COMPUTED_VALUE"""),"No")</f>
        <v>No</v>
      </c>
      <c r="AJ1555" s="5"/>
    </row>
    <row r="1556" spans="1:36" ht="13">
      <c r="A1556" s="5" t="str">
        <f ca="1">IFERROR(__xludf.DUMMYFUNCTION("""COMPUTED_VALUE"""),"20030205CORAW")</f>
        <v>20030205CORAW</v>
      </c>
      <c r="B1556" s="5">
        <f ca="1">IFERROR(__xludf.DUMMYFUNCTION("""COMPUTED_VALUE"""),2)</f>
        <v>2</v>
      </c>
      <c r="C1556" s="5">
        <f ca="1">IFERROR(__xludf.DUMMYFUNCTION("""COMPUTED_VALUE"""),5)</f>
        <v>5</v>
      </c>
      <c r="D1556" s="5">
        <f ca="1">IFERROR(__xludf.DUMMYFUNCTION("""COMPUTED_VALUE"""),2003)</f>
        <v>2003</v>
      </c>
      <c r="E1556" s="8">
        <f ca="1">IFERROR(__xludf.DUMMYFUNCTION("""COMPUTED_VALUE"""),37657)</f>
        <v>37657</v>
      </c>
      <c r="F1556" s="5" t="str">
        <f ca="1">IFERROR(__xludf.DUMMYFUNCTION("""COMPUTED_VALUE"""),"Ranum High School")</f>
        <v>Ranum High School</v>
      </c>
      <c r="G1556" s="5">
        <f ca="1">IFERROR(__xludf.DUMMYFUNCTION("""COMPUTED_VALUE"""),0)</f>
        <v>0</v>
      </c>
      <c r="H1556" s="5">
        <f ca="1">IFERROR(__xludf.DUMMYFUNCTION("""COMPUTED_VALUE"""),0)</f>
        <v>0</v>
      </c>
      <c r="I1556" s="5">
        <f ca="1">IFERROR(__xludf.DUMMYFUNCTION("""COMPUTED_VALUE"""),0)</f>
        <v>0</v>
      </c>
      <c r="J1556" s="5">
        <f ca="1">IFERROR(__xludf.DUMMYFUNCTION("""COMPUTED_VALUE"""),0)</f>
        <v>0</v>
      </c>
      <c r="K1556" s="9" t="str">
        <f ca="1">IFERROR(__xludf.DUMMYFUNCTION("""COMPUTED_VALUE"""),"https://trib.com/news/state-and-regional/shots-fired-outside-colorado-high-school/article_6fc1cc83-9e5a-5600-ba1a-d3044ce97ab7.html")</f>
        <v>https://trib.com/news/state-and-regional/shots-fired-outside-colorado-high-school/article_6fc1cc83-9e5a-5600-ba1a-d3044ce97ab7.html</v>
      </c>
      <c r="L1556" s="5"/>
      <c r="M1556" s="5"/>
      <c r="N1556" s="5">
        <f ca="1">IFERROR(__xludf.DUMMYFUNCTION("""COMPUTED_VALUE"""),2)</f>
        <v>2</v>
      </c>
      <c r="O1556" s="5" t="str">
        <f ca="1">IFERROR(__xludf.DUMMYFUNCTION("""COMPUTED_VALUE"""),"Winter")</f>
        <v>Winter</v>
      </c>
      <c r="P1556" s="5" t="str">
        <f ca="1">IFERROR(__xludf.DUMMYFUNCTION("""COMPUTED_VALUE"""),"Westminster")</f>
        <v>Westminster</v>
      </c>
      <c r="Q1556" s="5" t="str">
        <f ca="1">IFERROR(__xludf.DUMMYFUNCTION("""COMPUTED_VALUE"""),"CO")</f>
        <v>CO</v>
      </c>
      <c r="R1556" s="5" t="str">
        <f ca="1">IFERROR(__xludf.DUMMYFUNCTION("""COMPUTED_VALUE"""),"High")</f>
        <v>High</v>
      </c>
      <c r="S1556" s="5" t="str">
        <f ca="1">IFERROR(__xludf.DUMMYFUNCTION("""COMPUTED_VALUE"""),"Outside on School Property")</f>
        <v>Outside on School Property</v>
      </c>
      <c r="T1556" s="5" t="str">
        <f ca="1">IFERROR(__xludf.DUMMYFUNCTION("""COMPUTED_VALUE"""),"Outside on School Property")</f>
        <v>Outside on School Property</v>
      </c>
      <c r="U1556" s="5" t="str">
        <f ca="1">IFERROR(__xludf.DUMMYFUNCTION("""COMPUTED_VALUE"""),"Yes")</f>
        <v>Yes</v>
      </c>
      <c r="V1556" s="5" t="str">
        <f ca="1">IFERROR(__xludf.DUMMYFUNCTION("""COMPUTED_VALUE"""),"Morning Classes")</f>
        <v>Morning Classes</v>
      </c>
      <c r="W1556" s="10">
        <f ca="1">IFERROR(__xludf.DUMMYFUNCTION("""COMPUTED_VALUE"""),0.361111111111111)</f>
        <v>0.36111111111111099</v>
      </c>
      <c r="X1556" s="5">
        <f ca="1">IFERROR(__xludf.DUMMYFUNCTION("""COMPUTED_VALUE"""),1)</f>
        <v>1</v>
      </c>
      <c r="Y1556" s="5" t="str">
        <f ca="1">IFERROR(__xludf.DUMMYFUNCTION("""COMPUTED_VALUE"""),"Shots fired during fight, missed target, shooter fled")</f>
        <v>Shots fired during fight, missed target, shooter fled</v>
      </c>
      <c r="Z1556" s="5" t="str">
        <f ca="1">IFERROR(__xludf.DUMMYFUNCTION("""COMPUTED_VALUE"""),"14YOM fired 4 shots during fight with another 14YOm student. All shots missed and the shooter fled but was chased by a police officer and arrested a few blocks from the school.")</f>
        <v>14YOM fired 4 shots during fight with another 14YOm student. All shots missed and the shooter fled but was chased by a police officer and arrested a few blocks from the school.</v>
      </c>
      <c r="AA1556" s="5" t="str">
        <f ca="1">IFERROR(__xludf.DUMMYFUNCTION("""COMPUTED_VALUE"""),"Escalation of Dispute")</f>
        <v>Escalation of Dispute</v>
      </c>
      <c r="AB1556" s="5" t="str">
        <f ca="1">IFERROR(__xludf.DUMMYFUNCTION("""COMPUTED_VALUE"""),"Victims Targeted")</f>
        <v>Victims Targeted</v>
      </c>
      <c r="AC1556" s="5" t="str">
        <f ca="1">IFERROR(__xludf.DUMMYFUNCTION("""COMPUTED_VALUE"""),"No")</f>
        <v>No</v>
      </c>
      <c r="AD1556" s="5" t="str">
        <f ca="1">IFERROR(__xludf.DUMMYFUNCTION("""COMPUTED_VALUE"""),"No")</f>
        <v>No</v>
      </c>
      <c r="AE1556" s="5" t="str">
        <f ca="1">IFERROR(__xludf.DUMMYFUNCTION("""COMPUTED_VALUE"""),"No")</f>
        <v>No</v>
      </c>
      <c r="AF1556" s="5" t="str">
        <f ca="1">IFERROR(__xludf.DUMMYFUNCTION("""COMPUTED_VALUE"""),"No")</f>
        <v>No</v>
      </c>
      <c r="AG1556" s="5" t="str">
        <f ca="1">IFERROR(__xludf.DUMMYFUNCTION("""COMPUTED_VALUE"""),"No")</f>
        <v>No</v>
      </c>
      <c r="AH1556" s="5" t="str">
        <f ca="1">IFERROR(__xludf.DUMMYFUNCTION("""COMPUTED_VALUE"""),"No")</f>
        <v>No</v>
      </c>
      <c r="AI1556" s="5" t="str">
        <f ca="1">IFERROR(__xludf.DUMMYFUNCTION("""COMPUTED_VALUE"""),"No")</f>
        <v>No</v>
      </c>
      <c r="AJ1556" s="5"/>
    </row>
    <row r="1557" spans="1:36" ht="13">
      <c r="A1557" s="5" t="str">
        <f ca="1">IFERROR(__xludf.DUMMYFUNCTION("""COMPUTED_VALUE"""),"20030130OKJEJ")</f>
        <v>20030130OKJEJ</v>
      </c>
      <c r="B1557" s="5">
        <f ca="1">IFERROR(__xludf.DUMMYFUNCTION("""COMPUTED_VALUE"""),1)</f>
        <v>1</v>
      </c>
      <c r="C1557" s="5">
        <f ca="1">IFERROR(__xludf.DUMMYFUNCTION("""COMPUTED_VALUE"""),30)</f>
        <v>30</v>
      </c>
      <c r="D1557" s="5">
        <f ca="1">IFERROR(__xludf.DUMMYFUNCTION("""COMPUTED_VALUE"""),2003)</f>
        <v>2003</v>
      </c>
      <c r="E1557" s="8">
        <f ca="1">IFERROR(__xludf.DUMMYFUNCTION("""COMPUTED_VALUE"""),37651)</f>
        <v>37651</v>
      </c>
      <c r="F1557" s="5" t="str">
        <f ca="1">IFERROR(__xludf.DUMMYFUNCTION("""COMPUTED_VALUE"""),"Jenks High School")</f>
        <v>Jenks High School</v>
      </c>
      <c r="G1557" s="5">
        <f ca="1">IFERROR(__xludf.DUMMYFUNCTION("""COMPUTED_VALUE"""),0)</f>
        <v>0</v>
      </c>
      <c r="H1557" s="5">
        <f ca="1">IFERROR(__xludf.DUMMYFUNCTION("""COMPUTED_VALUE"""),0)</f>
        <v>0</v>
      </c>
      <c r="I1557" s="5">
        <f ca="1">IFERROR(__xludf.DUMMYFUNCTION("""COMPUTED_VALUE"""),0)</f>
        <v>0</v>
      </c>
      <c r="J1557" s="5">
        <f ca="1">IFERROR(__xludf.DUMMYFUNCTION("""COMPUTED_VALUE"""),0)</f>
        <v>0</v>
      </c>
      <c r="K1557" s="9" t="str">
        <f ca="1">IFERROR(__xludf.DUMMYFUNCTION("""COMPUTED_VALUE"""),"https://www.tulsaworld.com/archives/jenks-student-yields-after-standoff/article_df79f378-452f-5400-9568-28cd4a828fdf.html")</f>
        <v>https://www.tulsaworld.com/archives/jenks-student-yields-after-standoff/article_df79f378-452f-5400-9568-28cd4a828fdf.html</v>
      </c>
      <c r="L1557" s="5"/>
      <c r="M1557" s="5"/>
      <c r="N1557" s="5">
        <f ca="1">IFERROR(__xludf.DUMMYFUNCTION("""COMPUTED_VALUE"""),2)</f>
        <v>2</v>
      </c>
      <c r="O1557" s="5" t="str">
        <f ca="1">IFERROR(__xludf.DUMMYFUNCTION("""COMPUTED_VALUE"""),"Winter")</f>
        <v>Winter</v>
      </c>
      <c r="P1557" s="5" t="str">
        <f ca="1">IFERROR(__xludf.DUMMYFUNCTION("""COMPUTED_VALUE"""),"Jenks")</f>
        <v>Jenks</v>
      </c>
      <c r="Q1557" s="5" t="str">
        <f ca="1">IFERROR(__xludf.DUMMYFUNCTION("""COMPUTED_VALUE"""),"OK")</f>
        <v>OK</v>
      </c>
      <c r="R1557" s="5" t="str">
        <f ca="1">IFERROR(__xludf.DUMMYFUNCTION("""COMPUTED_VALUE"""),"High")</f>
        <v>High</v>
      </c>
      <c r="S1557" s="5" t="str">
        <f ca="1">IFERROR(__xludf.DUMMYFUNCTION("""COMPUTED_VALUE"""),"Other")</f>
        <v>Other</v>
      </c>
      <c r="T1557" s="5" t="str">
        <f ca="1">IFERROR(__xludf.DUMMYFUNCTION("""COMPUTED_VALUE"""),"Outside on School Property")</f>
        <v>Outside on School Property</v>
      </c>
      <c r="U1557" s="5" t="str">
        <f ca="1">IFERROR(__xludf.DUMMYFUNCTION("""COMPUTED_VALUE"""),"Yes")</f>
        <v>Yes</v>
      </c>
      <c r="V1557" s="5" t="str">
        <f ca="1">IFERROR(__xludf.DUMMYFUNCTION("""COMPUTED_VALUE"""),"Dismissal")</f>
        <v>Dismissal</v>
      </c>
      <c r="W1557" s="10">
        <f ca="1">IFERROR(__xludf.DUMMYFUNCTION("""COMPUTED_VALUE"""),0.625)</f>
        <v>0.625</v>
      </c>
      <c r="X1557" s="5">
        <f ca="1">IFERROR(__xludf.DUMMYFUNCTION("""COMPUTED_VALUE"""),120)</f>
        <v>120</v>
      </c>
      <c r="Y1557" s="5" t="str">
        <f ca="1">IFERROR(__xludf.DUMMYFUNCTION("""COMPUTED_VALUE"""),"Student climbed on roof, threatened to shoot himself, surrendered to police after 2 hours")</f>
        <v>Student climbed on roof, threatened to shoot himself, surrendered to police after 2 hours</v>
      </c>
      <c r="Z1557" s="5" t="str">
        <f ca="1">IFERROR(__xludf.DUMMYFUNCTION("""COMPUTED_VALUE"""),"17YOM student climbed on top of school roof with handgun and threatened to kill himself. Student pointed the gun at himself and police officers during the standoff. Student was upset about recent death of father. Surrendered to police officers after 2 hou"&amp;"rs.")</f>
        <v>17YOM student climbed on top of school roof with handgun and threatened to kill himself. Student pointed the gun at himself and police officers during the standoff. Student was upset about recent death of father. Surrendered to police officers after 2 hours.</v>
      </c>
      <c r="AA1557" s="5" t="str">
        <f ca="1">IFERROR(__xludf.DUMMYFUNCTION("""COMPUTED_VALUE"""),"Suicide/Attempted")</f>
        <v>Suicide/Attempted</v>
      </c>
      <c r="AB1557" s="5" t="str">
        <f ca="1">IFERROR(__xludf.DUMMYFUNCTION("""COMPUTED_VALUE"""),"Victims Targeted")</f>
        <v>Victims Targeted</v>
      </c>
      <c r="AC1557" s="5" t="str">
        <f ca="1">IFERROR(__xludf.DUMMYFUNCTION("""COMPUTED_VALUE"""),"No")</f>
        <v>No</v>
      </c>
      <c r="AD1557" s="5" t="str">
        <f ca="1">IFERROR(__xludf.DUMMYFUNCTION("""COMPUTED_VALUE"""),"No")</f>
        <v>No</v>
      </c>
      <c r="AE1557" s="5" t="str">
        <f ca="1">IFERROR(__xludf.DUMMYFUNCTION("""COMPUTED_VALUE"""),"No")</f>
        <v>No</v>
      </c>
      <c r="AF1557" s="5" t="str">
        <f ca="1">IFERROR(__xludf.DUMMYFUNCTION("""COMPUTED_VALUE"""),"No")</f>
        <v>No</v>
      </c>
      <c r="AG1557" s="5"/>
      <c r="AH1557" s="5" t="str">
        <f ca="1">IFERROR(__xludf.DUMMYFUNCTION("""COMPUTED_VALUE"""),"No")</f>
        <v>No</v>
      </c>
      <c r="AI1557" s="5" t="str">
        <f ca="1">IFERROR(__xludf.DUMMYFUNCTION("""COMPUTED_VALUE"""),"No")</f>
        <v>No</v>
      </c>
      <c r="AJ1557" s="5"/>
    </row>
    <row r="1558" spans="1:36" ht="13">
      <c r="A1558" s="5" t="str">
        <f ca="1">IFERROR(__xludf.DUMMYFUNCTION("""COMPUTED_VALUE"""),"20030121KYWEO")</f>
        <v>20030121KYWEO</v>
      </c>
      <c r="B1558" s="5">
        <f ca="1">IFERROR(__xludf.DUMMYFUNCTION("""COMPUTED_VALUE"""),1)</f>
        <v>1</v>
      </c>
      <c r="C1558" s="5">
        <f ca="1">IFERROR(__xludf.DUMMYFUNCTION("""COMPUTED_VALUE"""),21)</f>
        <v>21</v>
      </c>
      <c r="D1558" s="5">
        <f ca="1">IFERROR(__xludf.DUMMYFUNCTION("""COMPUTED_VALUE"""),2003)</f>
        <v>2003</v>
      </c>
      <c r="E1558" s="8">
        <f ca="1">IFERROR(__xludf.DUMMYFUNCTION("""COMPUTED_VALUE"""),37642)</f>
        <v>37642</v>
      </c>
      <c r="F1558" s="5" t="str">
        <f ca="1">IFERROR(__xludf.DUMMYFUNCTION("""COMPUTED_VALUE"""),"West Carter Middle School")</f>
        <v>West Carter Middle School</v>
      </c>
      <c r="G1558" s="5">
        <f ca="1">IFERROR(__xludf.DUMMYFUNCTION("""COMPUTED_VALUE"""),0)</f>
        <v>0</v>
      </c>
      <c r="H1558" s="5">
        <f ca="1">IFERROR(__xludf.DUMMYFUNCTION("""COMPUTED_VALUE"""),0)</f>
        <v>0</v>
      </c>
      <c r="I1558" s="5">
        <f ca="1">IFERROR(__xludf.DUMMYFUNCTION("""COMPUTED_VALUE"""),0)</f>
        <v>0</v>
      </c>
      <c r="J1558" s="5">
        <f ca="1">IFERROR(__xludf.DUMMYFUNCTION("""COMPUTED_VALUE"""),0)</f>
        <v>0</v>
      </c>
      <c r="K1558" s="9" t="str">
        <f ca="1">IFERROR(__xludf.DUMMYFUNCTION("""COMPUTED_VALUE"""),"https://www.newspapers.com/image/362208049/?terms=Olive%2BHill%2Bschool%2Bhostage")</f>
        <v>https://www.newspapers.com/image/362208049/?terms=Olive%2BHill%2Bschool%2Bhostage</v>
      </c>
      <c r="L1558" s="5"/>
      <c r="M1558" s="5"/>
      <c r="N1558" s="5">
        <f ca="1">IFERROR(__xludf.DUMMYFUNCTION("""COMPUTED_VALUE"""),2)</f>
        <v>2</v>
      </c>
      <c r="O1558" s="5" t="str">
        <f ca="1">IFERROR(__xludf.DUMMYFUNCTION("""COMPUTED_VALUE"""),"Winter")</f>
        <v>Winter</v>
      </c>
      <c r="P1558" s="5" t="str">
        <f ca="1">IFERROR(__xludf.DUMMYFUNCTION("""COMPUTED_VALUE"""),"Olive Hill")</f>
        <v>Olive Hill</v>
      </c>
      <c r="Q1558" s="5" t="str">
        <f ca="1">IFERROR(__xludf.DUMMYFUNCTION("""COMPUTED_VALUE"""),"KY")</f>
        <v>KY</v>
      </c>
      <c r="R1558" s="5" t="str">
        <f ca="1">IFERROR(__xludf.DUMMYFUNCTION("""COMPUTED_VALUE"""),"Middle")</f>
        <v>Middle</v>
      </c>
      <c r="S1558" s="5" t="str">
        <f ca="1">IFERROR(__xludf.DUMMYFUNCTION("""COMPUTED_VALUE"""),"Classroom")</f>
        <v>Classroom</v>
      </c>
      <c r="T1558" s="5" t="str">
        <f ca="1">IFERROR(__xludf.DUMMYFUNCTION("""COMPUTED_VALUE"""),"Inside School Building")</f>
        <v>Inside School Building</v>
      </c>
      <c r="U1558" s="5" t="str">
        <f ca="1">IFERROR(__xludf.DUMMYFUNCTION("""COMPUTED_VALUE"""),"Yes")</f>
        <v>Yes</v>
      </c>
      <c r="V1558" s="5" t="str">
        <f ca="1">IFERROR(__xludf.DUMMYFUNCTION("""COMPUTED_VALUE"""),"Morning Classes")</f>
        <v>Morning Classes</v>
      </c>
      <c r="W1558" s="10">
        <f ca="1">IFERROR(__xludf.DUMMYFUNCTION("""COMPUTED_VALUE"""),0.458333333333333)</f>
        <v>0.45833333333333298</v>
      </c>
      <c r="X1558" s="5"/>
      <c r="Y1558" s="5" t="str">
        <f ca="1">IFERROR(__xludf.DUMMYFUNCTION("""COMPUTED_VALUE"""),"Took student hostage, walked him down hallway, surrendered to SRO")</f>
        <v>Took student hostage, walked him down hallway, surrendered to SRO</v>
      </c>
      <c r="Z1558" s="5" t="str">
        <f ca="1">IFERROR(__xludf.DUMMYFUNCTION("""COMPUTED_VALUE"""),"12YOM walked into classroom and told male student to come out to the hallway. He held him hostage at gunpoint and walked down the hallway. Shooter was confronted by SRO and surrendered a few minutes later to SRO and other police officers. Motive is unclea"&amp;"r. Shooter had handgun and knife.")</f>
        <v>12YOM walked into classroom and told male student to come out to the hallway. He held him hostage at gunpoint and walked down the hallway. Shooter was confronted by SRO and surrendered a few minutes later to SRO and other police officers. Motive is unclear. Shooter had handgun and knife.</v>
      </c>
      <c r="AA1558" s="5" t="str">
        <f ca="1">IFERROR(__xludf.DUMMYFUNCTION("""COMPUTED_VALUE"""),"Hostage/Standoff")</f>
        <v>Hostage/Standoff</v>
      </c>
      <c r="AB1558" s="5" t="str">
        <f ca="1">IFERROR(__xludf.DUMMYFUNCTION("""COMPUTED_VALUE"""),"Victims Targeted")</f>
        <v>Victims Targeted</v>
      </c>
      <c r="AC1558" s="5" t="str">
        <f ca="1">IFERROR(__xludf.DUMMYFUNCTION("""COMPUTED_VALUE"""),"No")</f>
        <v>No</v>
      </c>
      <c r="AD1558" s="5" t="str">
        <f ca="1">IFERROR(__xludf.DUMMYFUNCTION("""COMPUTED_VALUE"""),"Yes")</f>
        <v>Yes</v>
      </c>
      <c r="AE1558" s="5" t="str">
        <f ca="1">IFERROR(__xludf.DUMMYFUNCTION("""COMPUTED_VALUE"""),"No")</f>
        <v>No</v>
      </c>
      <c r="AF1558" s="5" t="str">
        <f ca="1">IFERROR(__xludf.DUMMYFUNCTION("""COMPUTED_VALUE"""),"No")</f>
        <v>No</v>
      </c>
      <c r="AG1558" s="5" t="str">
        <f ca="1">IFERROR(__xludf.DUMMYFUNCTION("""COMPUTED_VALUE"""),"No")</f>
        <v>No</v>
      </c>
      <c r="AH1558" s="5" t="str">
        <f ca="1">IFERROR(__xludf.DUMMYFUNCTION("""COMPUTED_VALUE"""),"No")</f>
        <v>No</v>
      </c>
      <c r="AI1558" s="5" t="str">
        <f ca="1">IFERROR(__xludf.DUMMYFUNCTION("""COMPUTED_VALUE"""),"No")</f>
        <v>No</v>
      </c>
      <c r="AJ1558" s="5" t="str">
        <f ca="1">IFERROR(__xludf.DUMMYFUNCTION("""COMPUTED_VALUE"""),"Yes")</f>
        <v>Yes</v>
      </c>
    </row>
    <row r="1559" spans="1:36" ht="13">
      <c r="A1559" s="5" t="str">
        <f ca="1">IFERROR(__xludf.DUMMYFUNCTION("""COMPUTED_VALUE"""),"20021216ILENC")</f>
        <v>20021216ILENC</v>
      </c>
      <c r="B1559" s="5">
        <f ca="1">IFERROR(__xludf.DUMMYFUNCTION("""COMPUTED_VALUE"""),12)</f>
        <v>12</v>
      </c>
      <c r="C1559" s="5">
        <f ca="1">IFERROR(__xludf.DUMMYFUNCTION("""COMPUTED_VALUE"""),16)</f>
        <v>16</v>
      </c>
      <c r="D1559" s="5">
        <f ca="1">IFERROR(__xludf.DUMMYFUNCTION("""COMPUTED_VALUE"""),2002)</f>
        <v>2002</v>
      </c>
      <c r="E1559" s="8">
        <f ca="1">IFERROR(__xludf.DUMMYFUNCTION("""COMPUTED_VALUE"""),37606)</f>
        <v>37606</v>
      </c>
      <c r="F1559" s="5" t="str">
        <f ca="1">IFERROR(__xludf.DUMMYFUNCTION("""COMPUTED_VALUE"""),"Englewood High School")</f>
        <v>Englewood High School</v>
      </c>
      <c r="G1559" s="5">
        <f ca="1">IFERROR(__xludf.DUMMYFUNCTION("""COMPUTED_VALUE"""),1)</f>
        <v>1</v>
      </c>
      <c r="H1559" s="5">
        <f ca="1">IFERROR(__xludf.DUMMYFUNCTION("""COMPUTED_VALUE"""),1)</f>
        <v>1</v>
      </c>
      <c r="I1559" s="5">
        <f ca="1">IFERROR(__xludf.DUMMYFUNCTION("""COMPUTED_VALUE"""),2)</f>
        <v>2</v>
      </c>
      <c r="J1559" s="5">
        <f ca="1">IFERROR(__xludf.DUMMYFUNCTION("""COMPUTED_VALUE"""),0)</f>
        <v>0</v>
      </c>
      <c r="K1559" s="9" t="str">
        <f ca="1">IFERROR(__xludf.DUMMYFUNCTION("""COMPUTED_VALUE"""),"http://articles.chicagotribune.com/2002-12-17/news/0212180098_1_chicago-public-schools-chicago-police-alleged")</f>
        <v>http://articles.chicagotribune.com/2002-12-17/news/0212180098_1_chicago-public-schools-chicago-police-alleged</v>
      </c>
      <c r="L1559" s="5"/>
      <c r="M1559" s="5"/>
      <c r="N1559" s="5">
        <f ca="1">IFERROR(__xludf.DUMMYFUNCTION("""COMPUTED_VALUE"""),2)</f>
        <v>2</v>
      </c>
      <c r="O1559" s="5" t="str">
        <f ca="1">IFERROR(__xludf.DUMMYFUNCTION("""COMPUTED_VALUE"""),"Winter")</f>
        <v>Winter</v>
      </c>
      <c r="P1559" s="5" t="str">
        <f ca="1">IFERROR(__xludf.DUMMYFUNCTION("""COMPUTED_VALUE"""),"Chicago")</f>
        <v>Chicago</v>
      </c>
      <c r="Q1559" s="5" t="str">
        <f ca="1">IFERROR(__xludf.DUMMYFUNCTION("""COMPUTED_VALUE"""),"IL")</f>
        <v>IL</v>
      </c>
      <c r="R1559" s="5" t="str">
        <f ca="1">IFERROR(__xludf.DUMMYFUNCTION("""COMPUTED_VALUE"""),"High")</f>
        <v>High</v>
      </c>
      <c r="S1559" s="5" t="str">
        <f ca="1">IFERROR(__xludf.DUMMYFUNCTION("""COMPUTED_VALUE"""),"Beside Building")</f>
        <v>Beside Building</v>
      </c>
      <c r="T1559" s="5" t="str">
        <f ca="1">IFERROR(__xludf.DUMMYFUNCTION("""COMPUTED_VALUE"""),"Outside on School Property")</f>
        <v>Outside on School Property</v>
      </c>
      <c r="U1559" s="5" t="str">
        <f ca="1">IFERROR(__xludf.DUMMYFUNCTION("""COMPUTED_VALUE"""),"No")</f>
        <v>No</v>
      </c>
      <c r="V1559" s="5" t="str">
        <f ca="1">IFERROR(__xludf.DUMMYFUNCTION("""COMPUTED_VALUE"""),"After School")</f>
        <v>After School</v>
      </c>
      <c r="W1559" s="10">
        <f ca="1">IFERROR(__xludf.DUMMYFUNCTION("""COMPUTED_VALUE"""),0.625)</f>
        <v>0.625</v>
      </c>
      <c r="X1559" s="5">
        <f ca="1">IFERROR(__xludf.DUMMYFUNCTION("""COMPUTED_VALUE"""),1)</f>
        <v>1</v>
      </c>
      <c r="Y1559" s="5" t="str">
        <f ca="1">IFERROR(__xludf.DUMMYFUNCTION("""COMPUTED_VALUE"""),"Shooting outside school following prior altercation")</f>
        <v>Shooting outside school following prior altercation</v>
      </c>
      <c r="Z1559" s="5" t="str">
        <f ca="1">IFERROR(__xludf.DUMMYFUNCTION("""COMPUTED_VALUE"""),"18YOM student was killed protecting his 17YOF student sister during a confrontation outside of the school following a prior altercation with a 17YOM earlier that day in the school.")</f>
        <v>18YOM student was killed protecting his 17YOF student sister during a confrontation outside of the school following a prior altercation with a 17YOM earlier that day in the school.</v>
      </c>
      <c r="AA1559" s="5" t="str">
        <f ca="1">IFERROR(__xludf.DUMMYFUNCTION("""COMPUTED_VALUE"""),"Escalation of Dispute")</f>
        <v>Escalation of Dispute</v>
      </c>
      <c r="AB1559" s="5" t="str">
        <f ca="1">IFERROR(__xludf.DUMMYFUNCTION("""COMPUTED_VALUE"""),"Both")</f>
        <v>Both</v>
      </c>
      <c r="AC1559" s="5" t="str">
        <f ca="1">IFERROR(__xludf.DUMMYFUNCTION("""COMPUTED_VALUE"""),"No")</f>
        <v>No</v>
      </c>
      <c r="AD1559" s="5" t="str">
        <f ca="1">IFERROR(__xludf.DUMMYFUNCTION("""COMPUTED_VALUE"""),"No")</f>
        <v>No</v>
      </c>
      <c r="AE1559" s="5" t="str">
        <f ca="1">IFERROR(__xludf.DUMMYFUNCTION("""COMPUTED_VALUE"""),"No")</f>
        <v>No</v>
      </c>
      <c r="AF1559" s="5" t="str">
        <f ca="1">IFERROR(__xludf.DUMMYFUNCTION("""COMPUTED_VALUE"""),"No")</f>
        <v>No</v>
      </c>
      <c r="AG1559" s="5" t="str">
        <f ca="1">IFERROR(__xludf.DUMMYFUNCTION("""COMPUTED_VALUE"""),"No")</f>
        <v>No</v>
      </c>
      <c r="AH1559" s="5" t="str">
        <f ca="1">IFERROR(__xludf.DUMMYFUNCTION("""COMPUTED_VALUE"""),"Yes")</f>
        <v>Yes</v>
      </c>
      <c r="AI1559" s="5" t="str">
        <f ca="1">IFERROR(__xludf.DUMMYFUNCTION("""COMPUTED_VALUE"""),"No")</f>
        <v>No</v>
      </c>
      <c r="AJ1559" s="5"/>
    </row>
    <row r="1560" spans="1:36" ht="13">
      <c r="A1560" s="5" t="str">
        <f ca="1">IFERROR(__xludf.DUMMYFUNCTION("""COMPUTED_VALUE"""),"20021212WAWIC")</f>
        <v>20021212WAWIC</v>
      </c>
      <c r="B1560" s="5">
        <f ca="1">IFERROR(__xludf.DUMMYFUNCTION("""COMPUTED_VALUE"""),12)</f>
        <v>12</v>
      </c>
      <c r="C1560" s="5">
        <f ca="1">IFERROR(__xludf.DUMMYFUNCTION("""COMPUTED_VALUE"""),12)</f>
        <v>12</v>
      </c>
      <c r="D1560" s="5">
        <f ca="1">IFERROR(__xludf.DUMMYFUNCTION("""COMPUTED_VALUE"""),2002)</f>
        <v>2002</v>
      </c>
      <c r="E1560" s="8">
        <f ca="1">IFERROR(__xludf.DUMMYFUNCTION("""COMPUTED_VALUE"""),37602)</f>
        <v>37602</v>
      </c>
      <c r="F1560" s="5" t="str">
        <f ca="1">IFERROR(__xludf.DUMMYFUNCTION("""COMPUTED_VALUE"""),"Wind River Middle School")</f>
        <v>Wind River Middle School</v>
      </c>
      <c r="G1560" s="5">
        <f ca="1">IFERROR(__xludf.DUMMYFUNCTION("""COMPUTED_VALUE"""),0)</f>
        <v>0</v>
      </c>
      <c r="H1560" s="5">
        <f ca="1">IFERROR(__xludf.DUMMYFUNCTION("""COMPUTED_VALUE"""),0)</f>
        <v>0</v>
      </c>
      <c r="I1560" s="5">
        <f ca="1">IFERROR(__xludf.DUMMYFUNCTION("""COMPUTED_VALUE"""),0)</f>
        <v>0</v>
      </c>
      <c r="J1560" s="5">
        <f ca="1">IFERROR(__xludf.DUMMYFUNCTION("""COMPUTED_VALUE"""),1)</f>
        <v>1</v>
      </c>
      <c r="K1560" s="5" t="str">
        <f ca="1">IFERROR(__xludf.DUMMYFUNCTION("""COMPUTED_VALUE"""),"http://www.hoodrivernews.com/news/2002/dec/18/obituaries-december-18/  http://www.whitesalmonenterprise.com/news/2002/dec/18/bullet-breaks-glass/")</f>
        <v>http://www.hoodrivernews.com/news/2002/dec/18/obituaries-december-18/  http://www.whitesalmonenterprise.com/news/2002/dec/18/bullet-breaks-glass/</v>
      </c>
      <c r="L1560" s="5"/>
      <c r="M1560" s="5"/>
      <c r="N1560" s="5">
        <f ca="1">IFERROR(__xludf.DUMMYFUNCTION("""COMPUTED_VALUE"""),2)</f>
        <v>2</v>
      </c>
      <c r="O1560" s="5" t="str">
        <f ca="1">IFERROR(__xludf.DUMMYFUNCTION("""COMPUTED_VALUE"""),"Winter")</f>
        <v>Winter</v>
      </c>
      <c r="P1560" s="5" t="str">
        <f ca="1">IFERROR(__xludf.DUMMYFUNCTION("""COMPUTED_VALUE"""),"Carson")</f>
        <v>Carson</v>
      </c>
      <c r="Q1560" s="5" t="str">
        <f ca="1">IFERROR(__xludf.DUMMYFUNCTION("""COMPUTED_VALUE"""),"WA")</f>
        <v>WA</v>
      </c>
      <c r="R1560" s="5" t="str">
        <f ca="1">IFERROR(__xludf.DUMMYFUNCTION("""COMPUTED_VALUE"""),"Middle")</f>
        <v>Middle</v>
      </c>
      <c r="S1560" s="5" t="str">
        <f ca="1">IFERROR(__xludf.DUMMYFUNCTION("""COMPUTED_VALUE"""),"Classroom")</f>
        <v>Classroom</v>
      </c>
      <c r="T1560" s="5" t="str">
        <f ca="1">IFERROR(__xludf.DUMMYFUNCTION("""COMPUTED_VALUE"""),"Inside School Building")</f>
        <v>Inside School Building</v>
      </c>
      <c r="U1560" s="5" t="str">
        <f ca="1">IFERROR(__xludf.DUMMYFUNCTION("""COMPUTED_VALUE"""),"No")</f>
        <v>No</v>
      </c>
      <c r="V1560" s="5" t="str">
        <f ca="1">IFERROR(__xludf.DUMMYFUNCTION("""COMPUTED_VALUE"""),"After School")</f>
        <v>After School</v>
      </c>
      <c r="W1560" s="10">
        <f ca="1">IFERROR(__xludf.DUMMYFUNCTION("""COMPUTED_VALUE"""),0.694444444444444)</f>
        <v>0.69444444444444398</v>
      </c>
      <c r="X1560" s="5">
        <f ca="1">IFERROR(__xludf.DUMMYFUNCTION("""COMPUTED_VALUE"""),1)</f>
        <v>1</v>
      </c>
      <c r="Y1560" s="5" t="str">
        <f ca="1">IFERROR(__xludf.DUMMYFUNCTION("""COMPUTED_VALUE"""),"Shot at school window from across the street then shot self")</f>
        <v>Shot at school window from across the street then shot self</v>
      </c>
      <c r="Z1560" s="5" t="str">
        <f ca="1">IFERROR(__xludf.DUMMYFUNCTION("""COMPUTED_VALUE"""),"13 YOM fired rifle at school window (broken glass injured two students inside). Shooter then fired and killed himself.")</f>
        <v>13 YOM fired rifle at school window (broken glass injured two students inside). Shooter then fired and killed himself.</v>
      </c>
      <c r="AA1560" s="5" t="str">
        <f ca="1">IFERROR(__xludf.DUMMYFUNCTION("""COMPUTED_VALUE"""),"Suicide/Attempted")</f>
        <v>Suicide/Attempted</v>
      </c>
      <c r="AB1560" s="5"/>
      <c r="AC1560" s="5" t="str">
        <f ca="1">IFERROR(__xludf.DUMMYFUNCTION("""COMPUTED_VALUE"""),"No")</f>
        <v>No</v>
      </c>
      <c r="AD1560" s="5" t="str">
        <f ca="1">IFERROR(__xludf.DUMMYFUNCTION("""COMPUTED_VALUE"""),"No")</f>
        <v>No</v>
      </c>
      <c r="AE1560" s="5" t="str">
        <f ca="1">IFERROR(__xludf.DUMMYFUNCTION("""COMPUTED_VALUE"""),"No")</f>
        <v>No</v>
      </c>
      <c r="AF1560" s="5" t="str">
        <f ca="1">IFERROR(__xludf.DUMMYFUNCTION("""COMPUTED_VALUE"""),"No")</f>
        <v>No</v>
      </c>
      <c r="AG1560" s="5"/>
      <c r="AH1560" s="5" t="str">
        <f ca="1">IFERROR(__xludf.DUMMYFUNCTION("""COMPUTED_VALUE"""),"No")</f>
        <v>No</v>
      </c>
      <c r="AI1560" s="5" t="str">
        <f ca="1">IFERROR(__xludf.DUMMYFUNCTION("""COMPUTED_VALUE"""),"No")</f>
        <v>No</v>
      </c>
      <c r="AJ1560" s="5"/>
    </row>
    <row r="1561" spans="1:36" ht="13">
      <c r="A1561" s="5" t="str">
        <f ca="1">IFERROR(__xludf.DUMMYFUNCTION("""COMPUTED_VALUE"""),"20021202MIOSD")</f>
        <v>20021202MIOSD</v>
      </c>
      <c r="B1561" s="5">
        <f ca="1">IFERROR(__xludf.DUMMYFUNCTION("""COMPUTED_VALUE"""),12)</f>
        <v>12</v>
      </c>
      <c r="C1561" s="5">
        <f ca="1">IFERROR(__xludf.DUMMYFUNCTION("""COMPUTED_VALUE"""),2)</f>
        <v>2</v>
      </c>
      <c r="D1561" s="5">
        <f ca="1">IFERROR(__xludf.DUMMYFUNCTION("""COMPUTED_VALUE"""),2002)</f>
        <v>2002</v>
      </c>
      <c r="E1561" s="8">
        <f ca="1">IFERROR(__xludf.DUMMYFUNCTION("""COMPUTED_VALUE"""),37592)</f>
        <v>37592</v>
      </c>
      <c r="F1561" s="5" t="str">
        <f ca="1">IFERROR(__xludf.DUMMYFUNCTION("""COMPUTED_VALUE"""),"Osborn High School")</f>
        <v>Osborn High School</v>
      </c>
      <c r="G1561" s="5">
        <f ca="1">IFERROR(__xludf.DUMMYFUNCTION("""COMPUTED_VALUE"""),0)</f>
        <v>0</v>
      </c>
      <c r="H1561" s="5">
        <f ca="1">IFERROR(__xludf.DUMMYFUNCTION("""COMPUTED_VALUE"""),0)</f>
        <v>0</v>
      </c>
      <c r="I1561" s="5">
        <f ca="1">IFERROR(__xludf.DUMMYFUNCTION("""COMPUTED_VALUE"""),0)</f>
        <v>0</v>
      </c>
      <c r="J1561" s="5">
        <f ca="1">IFERROR(__xludf.DUMMYFUNCTION("""COMPUTED_VALUE"""),0)</f>
        <v>0</v>
      </c>
      <c r="K1561" s="9" t="str">
        <f ca="1">IFERROR(__xludf.DUMMYFUNCTION("""COMPUTED_VALUE"""),"https://www.newspapers.com/image/205047710/?terms=student%2Bshoots")</f>
        <v>https://www.newspapers.com/image/205047710/?terms=student%2Bshoots</v>
      </c>
      <c r="L1561" s="5"/>
      <c r="M1561" s="5"/>
      <c r="N1561" s="5">
        <f ca="1">IFERROR(__xludf.DUMMYFUNCTION("""COMPUTED_VALUE"""),2)</f>
        <v>2</v>
      </c>
      <c r="O1561" s="5" t="str">
        <f ca="1">IFERROR(__xludf.DUMMYFUNCTION("""COMPUTED_VALUE"""),"Winter")</f>
        <v>Winter</v>
      </c>
      <c r="P1561" s="5" t="str">
        <f ca="1">IFERROR(__xludf.DUMMYFUNCTION("""COMPUTED_VALUE"""),"Detroit")</f>
        <v>Detroit</v>
      </c>
      <c r="Q1561" s="5" t="str">
        <f ca="1">IFERROR(__xludf.DUMMYFUNCTION("""COMPUTED_VALUE"""),"MI")</f>
        <v>MI</v>
      </c>
      <c r="R1561" s="5" t="str">
        <f ca="1">IFERROR(__xludf.DUMMYFUNCTION("""COMPUTED_VALUE"""),"High")</f>
        <v>High</v>
      </c>
      <c r="S1561" s="5" t="str">
        <f ca="1">IFERROR(__xludf.DUMMYFUNCTION("""COMPUTED_VALUE"""),"Classroom")</f>
        <v>Classroom</v>
      </c>
      <c r="T1561" s="5" t="str">
        <f ca="1">IFERROR(__xludf.DUMMYFUNCTION("""COMPUTED_VALUE"""),"Inside School Building")</f>
        <v>Inside School Building</v>
      </c>
      <c r="U1561" s="5" t="str">
        <f ca="1">IFERROR(__xludf.DUMMYFUNCTION("""COMPUTED_VALUE"""),"Yes")</f>
        <v>Yes</v>
      </c>
      <c r="V1561" s="5" t="str">
        <f ca="1">IFERROR(__xludf.DUMMYFUNCTION("""COMPUTED_VALUE"""),"Morning Classes")</f>
        <v>Morning Classes</v>
      </c>
      <c r="W1561" s="10">
        <f ca="1">IFERROR(__xludf.DUMMYFUNCTION("""COMPUTED_VALUE"""),0.416666666666666)</f>
        <v>0.41666666666666602</v>
      </c>
      <c r="X1561" s="5">
        <f ca="1">IFERROR(__xludf.DUMMYFUNCTION("""COMPUTED_VALUE"""),1)</f>
        <v>1</v>
      </c>
      <c r="Y1561" s="5" t="str">
        <f ca="1">IFERROR(__xludf.DUMMYFUNCTION("""COMPUTED_VALUE"""),"Accidental discharge, shot self")</f>
        <v>Accidental discharge, shot self</v>
      </c>
      <c r="Z1561" s="5" t="str">
        <f ca="1">IFERROR(__xludf.DUMMYFUNCTION("""COMPUTED_VALUE"""),"Shooter accidently shot himself in leg")</f>
        <v>Shooter accidently shot himself in leg</v>
      </c>
      <c r="AA1561" s="5" t="str">
        <f ca="1">IFERROR(__xludf.DUMMYFUNCTION("""COMPUTED_VALUE"""),"Accidental")</f>
        <v>Accidental</v>
      </c>
      <c r="AB1561" s="5" t="str">
        <f ca="1">IFERROR(__xludf.DUMMYFUNCTION("""COMPUTED_VALUE"""),"Neither")</f>
        <v>Neither</v>
      </c>
      <c r="AC1561" s="5" t="str">
        <f ca="1">IFERROR(__xludf.DUMMYFUNCTION("""COMPUTED_VALUE"""),"No")</f>
        <v>No</v>
      </c>
      <c r="AD1561" s="5" t="str">
        <f ca="1">IFERROR(__xludf.DUMMYFUNCTION("""COMPUTED_VALUE"""),"No")</f>
        <v>No</v>
      </c>
      <c r="AE1561" s="5" t="str">
        <f ca="1">IFERROR(__xludf.DUMMYFUNCTION("""COMPUTED_VALUE"""),"No")</f>
        <v>No</v>
      </c>
      <c r="AF1561" s="5" t="str">
        <f ca="1">IFERROR(__xludf.DUMMYFUNCTION("""COMPUTED_VALUE"""),"No")</f>
        <v>No</v>
      </c>
      <c r="AG1561" s="5" t="str">
        <f ca="1">IFERROR(__xludf.DUMMYFUNCTION("""COMPUTED_VALUE"""),"No")</f>
        <v>No</v>
      </c>
      <c r="AH1561" s="5" t="str">
        <f ca="1">IFERROR(__xludf.DUMMYFUNCTION("""COMPUTED_VALUE"""),"No")</f>
        <v>No</v>
      </c>
      <c r="AI1561" s="5" t="str">
        <f ca="1">IFERROR(__xludf.DUMMYFUNCTION("""COMPUTED_VALUE"""),"No")</f>
        <v>No</v>
      </c>
      <c r="AJ1561" s="5"/>
    </row>
    <row r="1562" spans="1:36" ht="13">
      <c r="A1562" s="5" t="str">
        <f ca="1">IFERROR(__xludf.DUMMYFUNCTION("""COMPUTED_VALUE"""),"20021115CAAML")</f>
        <v>20021115CAAML</v>
      </c>
      <c r="B1562" s="5">
        <f ca="1">IFERROR(__xludf.DUMMYFUNCTION("""COMPUTED_VALUE"""),11)</f>
        <v>11</v>
      </c>
      <c r="C1562" s="5">
        <f ca="1">IFERROR(__xludf.DUMMYFUNCTION("""COMPUTED_VALUE"""),15)</f>
        <v>15</v>
      </c>
      <c r="D1562" s="5">
        <f ca="1">IFERROR(__xludf.DUMMYFUNCTION("""COMPUTED_VALUE"""),2002)</f>
        <v>2002</v>
      </c>
      <c r="E1562" s="8">
        <f ca="1">IFERROR(__xludf.DUMMYFUNCTION("""COMPUTED_VALUE"""),37575)</f>
        <v>37575</v>
      </c>
      <c r="F1562" s="5" t="str">
        <f ca="1">IFERROR(__xludf.DUMMYFUNCTION("""COMPUTED_VALUE"""),"Ambler Avenue Elementary School")</f>
        <v>Ambler Avenue Elementary School</v>
      </c>
      <c r="G1562" s="5">
        <f ca="1">IFERROR(__xludf.DUMMYFUNCTION("""COMPUTED_VALUE"""),0)</f>
        <v>0</v>
      </c>
      <c r="H1562" s="5">
        <f ca="1">IFERROR(__xludf.DUMMYFUNCTION("""COMPUTED_VALUE"""),2)</f>
        <v>2</v>
      </c>
      <c r="I1562" s="5">
        <f ca="1">IFERROR(__xludf.DUMMYFUNCTION("""COMPUTED_VALUE"""),2)</f>
        <v>2</v>
      </c>
      <c r="J1562" s="5">
        <f ca="1">IFERROR(__xludf.DUMMYFUNCTION("""COMPUTED_VALUE"""),0)</f>
        <v>0</v>
      </c>
      <c r="K1562" s="9" t="str">
        <f ca="1">IFERROR(__xludf.DUMMYFUNCTION("""COMPUTED_VALUE"""),"http://articles.latimes.com/2002/nov/15/local/me-carson15")</f>
        <v>http://articles.latimes.com/2002/nov/15/local/me-carson15</v>
      </c>
      <c r="L1562" s="5"/>
      <c r="M1562" s="5"/>
      <c r="N1562" s="5">
        <f ca="1">IFERROR(__xludf.DUMMYFUNCTION("""COMPUTED_VALUE"""),2)</f>
        <v>2</v>
      </c>
      <c r="O1562" s="5" t="str">
        <f ca="1">IFERROR(__xludf.DUMMYFUNCTION("""COMPUTED_VALUE"""),"Fall")</f>
        <v>Fall</v>
      </c>
      <c r="P1562" s="5" t="str">
        <f ca="1">IFERROR(__xludf.DUMMYFUNCTION("""COMPUTED_VALUE"""),"Los Angeles")</f>
        <v>Los Angeles</v>
      </c>
      <c r="Q1562" s="5" t="str">
        <f ca="1">IFERROR(__xludf.DUMMYFUNCTION("""COMPUTED_VALUE"""),"CA")</f>
        <v>CA</v>
      </c>
      <c r="R1562" s="5" t="str">
        <f ca="1">IFERROR(__xludf.DUMMYFUNCTION("""COMPUTED_VALUE"""),"Elementary")</f>
        <v>Elementary</v>
      </c>
      <c r="S1562" s="5" t="str">
        <f ca="1">IFERROR(__xludf.DUMMYFUNCTION("""COMPUTED_VALUE"""),"Beside Building")</f>
        <v>Beside Building</v>
      </c>
      <c r="T1562" s="5" t="str">
        <f ca="1">IFERROR(__xludf.DUMMYFUNCTION("""COMPUTED_VALUE"""),"Outside on School Property")</f>
        <v>Outside on School Property</v>
      </c>
      <c r="U1562" s="5" t="str">
        <f ca="1">IFERROR(__xludf.DUMMYFUNCTION("""COMPUTED_VALUE"""),"No")</f>
        <v>No</v>
      </c>
      <c r="V1562" s="5" t="str">
        <f ca="1">IFERROR(__xludf.DUMMYFUNCTION("""COMPUTED_VALUE"""),"Evening")</f>
        <v>Evening</v>
      </c>
      <c r="W1562" s="10">
        <f ca="1">IFERROR(__xludf.DUMMYFUNCTION("""COMPUTED_VALUE"""),0.729166666666666)</f>
        <v>0.72916666666666596</v>
      </c>
      <c r="X1562" s="5">
        <f ca="1">IFERROR(__xludf.DUMMYFUNCTION("""COMPUTED_VALUE"""),1)</f>
        <v>1</v>
      </c>
      <c r="Y1562" s="5" t="str">
        <f ca="1">IFERROR(__xludf.DUMMYFUNCTION("""COMPUTED_VALUE"""),"Multiple shots fired by unknown person on the school grounds, 2 struck")</f>
        <v>Multiple shots fired by unknown person on the school grounds, 2 struck</v>
      </c>
      <c r="Z1562" s="5" t="str">
        <f ca="1">IFERROR(__xludf.DUMMYFUNCTION("""COMPUTED_VALUE"""),"Multiple shots were fired by someone on the school grounds during an after school event. A 12YOM student and a 21YOM standing across the street were both shot (no relation). No shooter was identified.")</f>
        <v>Multiple shots were fired by someone on the school grounds during an after school event. A 12YOM student and a 21YOM standing across the street were both shot (no relation). No shooter was identified.</v>
      </c>
      <c r="AA1562" s="5" t="str">
        <f ca="1">IFERROR(__xludf.DUMMYFUNCTION("""COMPUTED_VALUE"""),"Unknown")</f>
        <v>Unknown</v>
      </c>
      <c r="AB1562" s="5"/>
      <c r="AC1562" s="5" t="str">
        <f ca="1">IFERROR(__xludf.DUMMYFUNCTION("""COMPUTED_VALUE"""),"No")</f>
        <v>No</v>
      </c>
      <c r="AD1562" s="5" t="str">
        <f ca="1">IFERROR(__xludf.DUMMYFUNCTION("""COMPUTED_VALUE"""),"No")</f>
        <v>No</v>
      </c>
      <c r="AE1562" s="5" t="str">
        <f ca="1">IFERROR(__xludf.DUMMYFUNCTION("""COMPUTED_VALUE"""),"No")</f>
        <v>No</v>
      </c>
      <c r="AF1562" s="5" t="str">
        <f ca="1">IFERROR(__xludf.DUMMYFUNCTION("""COMPUTED_VALUE"""),"No")</f>
        <v>No</v>
      </c>
      <c r="AG1562" s="5" t="str">
        <f ca="1">IFERROR(__xludf.DUMMYFUNCTION("""COMPUTED_VALUE"""),"No")</f>
        <v>No</v>
      </c>
      <c r="AH1562" s="5" t="str">
        <f ca="1">IFERROR(__xludf.DUMMYFUNCTION("""COMPUTED_VALUE"""),"No")</f>
        <v>No</v>
      </c>
      <c r="AI1562" s="5"/>
      <c r="AJ1562" s="5" t="str">
        <f ca="1">IFERROR(__xludf.DUMMYFUNCTION("""COMPUTED_VALUE"""),"Yes")</f>
        <v>Yes</v>
      </c>
    </row>
    <row r="1563" spans="1:36" ht="13">
      <c r="A1563" s="5" t="str">
        <f ca="1">IFERROR(__xludf.DUMMYFUNCTION("""COMPUTED_VALUE"""),"20021115TXSCS")</f>
        <v>20021115TXSCS</v>
      </c>
      <c r="B1563" s="5">
        <f ca="1">IFERROR(__xludf.DUMMYFUNCTION("""COMPUTED_VALUE"""),11)</f>
        <v>11</v>
      </c>
      <c r="C1563" s="5">
        <f ca="1">IFERROR(__xludf.DUMMYFUNCTION("""COMPUTED_VALUE"""),15)</f>
        <v>15</v>
      </c>
      <c r="D1563" s="5">
        <f ca="1">IFERROR(__xludf.DUMMYFUNCTION("""COMPUTED_VALUE"""),2002)</f>
        <v>2002</v>
      </c>
      <c r="E1563" s="8">
        <f ca="1">IFERROR(__xludf.DUMMYFUNCTION("""COMPUTED_VALUE"""),37575)</f>
        <v>37575</v>
      </c>
      <c r="F1563" s="5" t="str">
        <f ca="1">IFERROR(__xludf.DUMMYFUNCTION("""COMPUTED_VALUE"""),"Scurry-Rosser High School")</f>
        <v>Scurry-Rosser High School</v>
      </c>
      <c r="G1563" s="5">
        <f ca="1">IFERROR(__xludf.DUMMYFUNCTION("""COMPUTED_VALUE"""),0)</f>
        <v>0</v>
      </c>
      <c r="H1563" s="5">
        <f ca="1">IFERROR(__xludf.DUMMYFUNCTION("""COMPUTED_VALUE"""),0)</f>
        <v>0</v>
      </c>
      <c r="I1563" s="5">
        <f ca="1">IFERROR(__xludf.DUMMYFUNCTION("""COMPUTED_VALUE"""),0)</f>
        <v>0</v>
      </c>
      <c r="J1563" s="5">
        <f ca="1">IFERROR(__xludf.DUMMYFUNCTION("""COMPUTED_VALUE"""),0)</f>
        <v>0</v>
      </c>
      <c r="K1563" s="9" t="str">
        <f ca="1">IFERROR(__xludf.DUMMYFUNCTION("""COMPUTED_VALUE"""),"https://www.myplainview.com/news/article/Scurry-Rosser-faculty-students-subdue-gunman-8787426.php")</f>
        <v>https://www.myplainview.com/news/article/Scurry-Rosser-faculty-students-subdue-gunman-8787426.php</v>
      </c>
      <c r="L1563" s="5"/>
      <c r="M1563" s="5"/>
      <c r="N1563" s="5">
        <f ca="1">IFERROR(__xludf.DUMMYFUNCTION("""COMPUTED_VALUE"""),2)</f>
        <v>2</v>
      </c>
      <c r="O1563" s="5" t="str">
        <f ca="1">IFERROR(__xludf.DUMMYFUNCTION("""COMPUTED_VALUE"""),"Fall")</f>
        <v>Fall</v>
      </c>
      <c r="P1563" s="5" t="str">
        <f ca="1">IFERROR(__xludf.DUMMYFUNCTION("""COMPUTED_VALUE"""),"Scurry")</f>
        <v>Scurry</v>
      </c>
      <c r="Q1563" s="5" t="str">
        <f ca="1">IFERROR(__xludf.DUMMYFUNCTION("""COMPUTED_VALUE"""),"TX")</f>
        <v>TX</v>
      </c>
      <c r="R1563" s="5" t="str">
        <f ca="1">IFERROR(__xludf.DUMMYFUNCTION("""COMPUTED_VALUE"""),"High")</f>
        <v>High</v>
      </c>
      <c r="S1563" s="5" t="str">
        <f ca="1">IFERROR(__xludf.DUMMYFUNCTION("""COMPUTED_VALUE"""),"Hallway")</f>
        <v>Hallway</v>
      </c>
      <c r="T1563" s="5" t="str">
        <f ca="1">IFERROR(__xludf.DUMMYFUNCTION("""COMPUTED_VALUE"""),"Inside School Building")</f>
        <v>Inside School Building</v>
      </c>
      <c r="U1563" s="5" t="str">
        <f ca="1">IFERROR(__xludf.DUMMYFUNCTION("""COMPUTED_VALUE"""),"Yes")</f>
        <v>Yes</v>
      </c>
      <c r="V1563" s="5" t="str">
        <f ca="1">IFERROR(__xludf.DUMMYFUNCTION("""COMPUTED_VALUE"""),"Morning Classes")</f>
        <v>Morning Classes</v>
      </c>
      <c r="W1563" s="10">
        <f ca="1">IFERROR(__xludf.DUMMYFUNCTION("""COMPUTED_VALUE"""),0.354166666666666)</f>
        <v>0.35416666666666602</v>
      </c>
      <c r="X1563" s="5"/>
      <c r="Y1563" s="5" t="str">
        <f ca="1">IFERROR(__xludf.DUMMYFUNCTION("""COMPUTED_VALUE"""),"Former student with shotgun forced students into cafeteria, splashed gasoline, wanted to light school on fire")</f>
        <v>Former student with shotgun forced students into cafeteria, splashed gasoline, wanted to light school on fire</v>
      </c>
      <c r="Z1563" s="5" t="str">
        <f ca="1">IFERROR(__xludf.DUMMYFUNCTION("""COMPUTED_VALUE"""),"18YOM former student who was expelled for stealing a car, walked into the school with a shotgun looking for the principal. When the shooter was told the principal no longer worked there, he splashed gasoline in the halls and forced students into the cafet"&amp;"eria where he splashed gasoline around them. When he attempted to light the gas on fire, he was tackled by school officials and students. Subdued until police arrived. Following his arrest, the shooter claimed to have left bombs at two other school but no"&amp;" explosive devices were found.")</f>
        <v>18YOM former student who was expelled for stealing a car, walked into the school with a shotgun looking for the principal. When the shooter was told the principal no longer worked there, he splashed gasoline in the halls and forced students into the cafeteria where he splashed gasoline around them. When he attempted to light the gas on fire, he was tackled by school officials and students. Subdued until police arrived. Following his arrest, the shooter claimed to have left bombs at two other school but no explosive devices were found.</v>
      </c>
      <c r="AA1563" s="5" t="str">
        <f ca="1">IFERROR(__xludf.DUMMYFUNCTION("""COMPUTED_VALUE"""),"Anger Over Grade/Suspension/Discipline")</f>
        <v>Anger Over Grade/Suspension/Discipline</v>
      </c>
      <c r="AB1563" s="5" t="str">
        <f ca="1">IFERROR(__xludf.DUMMYFUNCTION("""COMPUTED_VALUE"""),"Victims Targeted")</f>
        <v>Victims Targeted</v>
      </c>
      <c r="AC1563" s="5" t="str">
        <f ca="1">IFERROR(__xludf.DUMMYFUNCTION("""COMPUTED_VALUE"""),"No")</f>
        <v>No</v>
      </c>
      <c r="AD1563" s="5" t="str">
        <f ca="1">IFERROR(__xludf.DUMMYFUNCTION("""COMPUTED_VALUE"""),"Yes")</f>
        <v>Yes</v>
      </c>
      <c r="AE1563" s="5" t="str">
        <f ca="1">IFERROR(__xludf.DUMMYFUNCTION("""COMPUTED_VALUE"""),"No")</f>
        <v>No</v>
      </c>
      <c r="AF1563" s="5" t="str">
        <f ca="1">IFERROR(__xludf.DUMMYFUNCTION("""COMPUTED_VALUE"""),"No")</f>
        <v>No</v>
      </c>
      <c r="AG1563" s="5" t="str">
        <f ca="1">IFERROR(__xludf.DUMMYFUNCTION("""COMPUTED_VALUE"""),"No")</f>
        <v>No</v>
      </c>
      <c r="AH1563" s="5" t="str">
        <f ca="1">IFERROR(__xludf.DUMMYFUNCTION("""COMPUTED_VALUE"""),"No")</f>
        <v>No</v>
      </c>
      <c r="AI1563" s="5" t="str">
        <f ca="1">IFERROR(__xludf.DUMMYFUNCTION("""COMPUTED_VALUE"""),"No")</f>
        <v>No</v>
      </c>
      <c r="AJ1563" s="5" t="str">
        <f ca="1">IFERROR(__xludf.DUMMYFUNCTION("""COMPUTED_VALUE"""),"Yes")</f>
        <v>Yes</v>
      </c>
    </row>
    <row r="1564" spans="1:36" ht="13">
      <c r="A1564" s="5" t="str">
        <f ca="1">IFERROR(__xludf.DUMMYFUNCTION("""COMPUTED_VALUE"""),"20021107MOSTL")</f>
        <v>20021107MOSTL</v>
      </c>
      <c r="B1564" s="5">
        <f ca="1">IFERROR(__xludf.DUMMYFUNCTION("""COMPUTED_VALUE"""),11)</f>
        <v>11</v>
      </c>
      <c r="C1564" s="5">
        <f ca="1">IFERROR(__xludf.DUMMYFUNCTION("""COMPUTED_VALUE"""),7)</f>
        <v>7</v>
      </c>
      <c r="D1564" s="5">
        <f ca="1">IFERROR(__xludf.DUMMYFUNCTION("""COMPUTED_VALUE"""),2002)</f>
        <v>2002</v>
      </c>
      <c r="E1564" s="8">
        <f ca="1">IFERROR(__xludf.DUMMYFUNCTION("""COMPUTED_VALUE"""),37567)</f>
        <v>37567</v>
      </c>
      <c r="F1564" s="5" t="str">
        <f ca="1">IFERROR(__xludf.DUMMYFUNCTION("""COMPUTED_VALUE"""),"St. James Catholic School")</f>
        <v>St. James Catholic School</v>
      </c>
      <c r="G1564" s="5">
        <f ca="1">IFERROR(__xludf.DUMMYFUNCTION("""COMPUTED_VALUE"""),1)</f>
        <v>1</v>
      </c>
      <c r="H1564" s="5">
        <f ca="1">IFERROR(__xludf.DUMMYFUNCTION("""COMPUTED_VALUE"""),1)</f>
        <v>1</v>
      </c>
      <c r="I1564" s="5">
        <f ca="1">IFERROR(__xludf.DUMMYFUNCTION("""COMPUTED_VALUE"""),2)</f>
        <v>2</v>
      </c>
      <c r="J1564" s="5">
        <f ca="1">IFERROR(__xludf.DUMMYFUNCTION("""COMPUTED_VALUE"""),0)</f>
        <v>0</v>
      </c>
      <c r="K1564" s="9" t="str">
        <f ca="1">IFERROR(__xludf.DUMMYFUNCTION("""COMPUTED_VALUE"""),"https://www.semissourian.com/story/152973.html")</f>
        <v>https://www.semissourian.com/story/152973.html</v>
      </c>
      <c r="L1564" s="5"/>
      <c r="M1564" s="5"/>
      <c r="N1564" s="5">
        <f ca="1">IFERROR(__xludf.DUMMYFUNCTION("""COMPUTED_VALUE"""),2)</f>
        <v>2</v>
      </c>
      <c r="O1564" s="5" t="str">
        <f ca="1">IFERROR(__xludf.DUMMYFUNCTION("""COMPUTED_VALUE"""),"Fall")</f>
        <v>Fall</v>
      </c>
      <c r="P1564" s="5" t="str">
        <f ca="1">IFERROR(__xludf.DUMMYFUNCTION("""COMPUTED_VALUE"""),"Liberty")</f>
        <v>Liberty</v>
      </c>
      <c r="Q1564" s="5" t="str">
        <f ca="1">IFERROR(__xludf.DUMMYFUNCTION("""COMPUTED_VALUE"""),"MO")</f>
        <v>MO</v>
      </c>
      <c r="R1564" s="5" t="str">
        <f ca="1">IFERROR(__xludf.DUMMYFUNCTION("""COMPUTED_VALUE"""),"K-8")</f>
        <v>K-8</v>
      </c>
      <c r="S1564" s="5" t="str">
        <f ca="1">IFERROR(__xludf.DUMMYFUNCTION("""COMPUTED_VALUE"""),"Parking Lot")</f>
        <v>Parking Lot</v>
      </c>
      <c r="T1564" s="5" t="str">
        <f ca="1">IFERROR(__xludf.DUMMYFUNCTION("""COMPUTED_VALUE"""),"Outside on School Property")</f>
        <v>Outside on School Property</v>
      </c>
      <c r="U1564" s="5" t="str">
        <f ca="1">IFERROR(__xludf.DUMMYFUNCTION("""COMPUTED_VALUE"""),"Yes")</f>
        <v>Yes</v>
      </c>
      <c r="V1564" s="5" t="str">
        <f ca="1">IFERROR(__xludf.DUMMYFUNCTION("""COMPUTED_VALUE"""),"Lunch")</f>
        <v>Lunch</v>
      </c>
      <c r="W1564" s="10">
        <f ca="1">IFERROR(__xludf.DUMMYFUNCTION("""COMPUTED_VALUE"""),0.527777777777777)</f>
        <v>0.52777777777777701</v>
      </c>
      <c r="X1564" s="5">
        <f ca="1">IFERROR(__xludf.DUMMYFUNCTION("""COMPUTED_VALUE"""),1)</f>
        <v>1</v>
      </c>
      <c r="Y1564" s="5" t="str">
        <f ca="1">IFERROR(__xludf.DUMMYFUNCTION("""COMPUTED_VALUE"""),"Shot wife and son in school parking lot")</f>
        <v>Shot wife and son in school parking lot</v>
      </c>
      <c r="Z1564" s="5" t="str">
        <f ca="1">IFERROR(__xludf.DUMMYFUNCTION("""COMPUTED_VALUE"""),"43YOM shot at wife and son in school parking lot then fled the scene.")</f>
        <v>43YOM shot at wife and son in school parking lot then fled the scene.</v>
      </c>
      <c r="AA1564" s="5" t="str">
        <f ca="1">IFERROR(__xludf.DUMMYFUNCTION("""COMPUTED_VALUE"""),"Domestic w/ Targeted Victim")</f>
        <v>Domestic w/ Targeted Victim</v>
      </c>
      <c r="AB1564" s="5" t="str">
        <f ca="1">IFERROR(__xludf.DUMMYFUNCTION("""COMPUTED_VALUE"""),"Victims Targeted")</f>
        <v>Victims Targeted</v>
      </c>
      <c r="AC1564" s="5" t="str">
        <f ca="1">IFERROR(__xludf.DUMMYFUNCTION("""COMPUTED_VALUE"""),"No")</f>
        <v>No</v>
      </c>
      <c r="AD1564" s="5" t="str">
        <f ca="1">IFERROR(__xludf.DUMMYFUNCTION("""COMPUTED_VALUE"""),"No")</f>
        <v>No</v>
      </c>
      <c r="AE1564" s="5" t="str">
        <f ca="1">IFERROR(__xludf.DUMMYFUNCTION("""COMPUTED_VALUE"""),"No")</f>
        <v>No</v>
      </c>
      <c r="AF1564" s="5" t="str">
        <f ca="1">IFERROR(__xludf.DUMMYFUNCTION("""COMPUTED_VALUE"""),"No")</f>
        <v>No</v>
      </c>
      <c r="AG1564" s="5" t="str">
        <f ca="1">IFERROR(__xludf.DUMMYFUNCTION("""COMPUTED_VALUE"""),"No")</f>
        <v>No</v>
      </c>
      <c r="AH1564" s="5" t="str">
        <f ca="1">IFERROR(__xludf.DUMMYFUNCTION("""COMPUTED_VALUE"""),"Yes")</f>
        <v>Yes</v>
      </c>
      <c r="AI1564" s="5" t="str">
        <f ca="1">IFERROR(__xludf.DUMMYFUNCTION("""COMPUTED_VALUE"""),"No")</f>
        <v>No</v>
      </c>
      <c r="AJ1564" s="5"/>
    </row>
    <row r="1565" spans="1:36" ht="13">
      <c r="A1565" s="5" t="str">
        <f ca="1">IFERROR(__xludf.DUMMYFUNCTION("""COMPUTED_VALUE"""),"20021029NJLIJ")</f>
        <v>20021029NJLIJ</v>
      </c>
      <c r="B1565" s="5">
        <f ca="1">IFERROR(__xludf.DUMMYFUNCTION("""COMPUTED_VALUE"""),10)</f>
        <v>10</v>
      </c>
      <c r="C1565" s="5">
        <f ca="1">IFERROR(__xludf.DUMMYFUNCTION("""COMPUTED_VALUE"""),29)</f>
        <v>29</v>
      </c>
      <c r="D1565" s="5">
        <f ca="1">IFERROR(__xludf.DUMMYFUNCTION("""COMPUTED_VALUE"""),2002)</f>
        <v>2002</v>
      </c>
      <c r="E1565" s="8">
        <f ca="1">IFERROR(__xludf.DUMMYFUNCTION("""COMPUTED_VALUE"""),37558)</f>
        <v>37558</v>
      </c>
      <c r="F1565" s="5" t="str">
        <f ca="1">IFERROR(__xludf.DUMMYFUNCTION("""COMPUTED_VALUE"""),"Lincoln High School")</f>
        <v>Lincoln High School</v>
      </c>
      <c r="G1565" s="5">
        <f ca="1">IFERROR(__xludf.DUMMYFUNCTION("""COMPUTED_VALUE"""),0)</f>
        <v>0</v>
      </c>
      <c r="H1565" s="5">
        <f ca="1">IFERROR(__xludf.DUMMYFUNCTION("""COMPUTED_VALUE"""),1)</f>
        <v>1</v>
      </c>
      <c r="I1565" s="5">
        <f ca="1">IFERROR(__xludf.DUMMYFUNCTION("""COMPUTED_VALUE"""),1)</f>
        <v>1</v>
      </c>
      <c r="J1565" s="5">
        <f ca="1">IFERROR(__xludf.DUMMYFUNCTION("""COMPUTED_VALUE"""),0)</f>
        <v>0</v>
      </c>
      <c r="K1565" s="9" t="str">
        <f ca="1">IFERROR(__xludf.DUMMYFUNCTION("""COMPUTED_VALUE"""),"http://www.cnn.com/2002/US/Northeast/10/29/school.shooting/")</f>
        <v>http://www.cnn.com/2002/US/Northeast/10/29/school.shooting/</v>
      </c>
      <c r="L1565" s="5"/>
      <c r="M1565" s="5"/>
      <c r="N1565" s="5">
        <f ca="1">IFERROR(__xludf.DUMMYFUNCTION("""COMPUTED_VALUE"""),2)</f>
        <v>2</v>
      </c>
      <c r="O1565" s="5" t="str">
        <f ca="1">IFERROR(__xludf.DUMMYFUNCTION("""COMPUTED_VALUE"""),"Fall")</f>
        <v>Fall</v>
      </c>
      <c r="P1565" s="5" t="str">
        <f ca="1">IFERROR(__xludf.DUMMYFUNCTION("""COMPUTED_VALUE"""),"Jersey City")</f>
        <v>Jersey City</v>
      </c>
      <c r="Q1565" s="5" t="str">
        <f ca="1">IFERROR(__xludf.DUMMYFUNCTION("""COMPUTED_VALUE"""),"NJ")</f>
        <v>NJ</v>
      </c>
      <c r="R1565" s="5" t="str">
        <f ca="1">IFERROR(__xludf.DUMMYFUNCTION("""COMPUTED_VALUE"""),"High")</f>
        <v>High</v>
      </c>
      <c r="S1565" s="5" t="str">
        <f ca="1">IFERROR(__xludf.DUMMYFUNCTION("""COMPUTED_VALUE"""),"Hallway")</f>
        <v>Hallway</v>
      </c>
      <c r="T1565" s="5" t="str">
        <f ca="1">IFERROR(__xludf.DUMMYFUNCTION("""COMPUTED_VALUE"""),"Inside School Building")</f>
        <v>Inside School Building</v>
      </c>
      <c r="U1565" s="5" t="str">
        <f ca="1">IFERROR(__xludf.DUMMYFUNCTION("""COMPUTED_VALUE"""),"Yes")</f>
        <v>Yes</v>
      </c>
      <c r="V1565" s="5" t="str">
        <f ca="1">IFERROR(__xludf.DUMMYFUNCTION("""COMPUTED_VALUE"""),"Morning Classes")</f>
        <v>Morning Classes</v>
      </c>
      <c r="W1565" s="10">
        <f ca="1">IFERROR(__xludf.DUMMYFUNCTION("""COMPUTED_VALUE"""),0.354166666666666)</f>
        <v>0.35416666666666602</v>
      </c>
      <c r="X1565" s="5">
        <f ca="1">IFERROR(__xludf.DUMMYFUNCTION("""COMPUTED_VALUE"""),1)</f>
        <v>1</v>
      </c>
      <c r="Y1565" s="5" t="str">
        <f ca="1">IFERROR(__xludf.DUMMYFUNCTION("""COMPUTED_VALUE"""),"Shots fired during fight in school hallway")</f>
        <v>Shots fired during fight in school hallway</v>
      </c>
      <c r="Z1565" s="5" t="str">
        <f ca="1">IFERROR(__xludf.DUMMYFUNCTION("""COMPUTED_VALUE"""),"One shot was fired during a physical altercation between two students in the hallway of the school prior to classes starting. Shooter fled the scene. School had metal detectors and armed guards. Two fatal shootings near the school during the same time per"&amp;"iod related to gang activity.")</f>
        <v>One shot was fired during a physical altercation between two students in the hallway of the school prior to classes starting. Shooter fled the scene. School had metal detectors and armed guards. Two fatal shootings near the school during the same time period related to gang activity.</v>
      </c>
      <c r="AA1565" s="5" t="str">
        <f ca="1">IFERROR(__xludf.DUMMYFUNCTION("""COMPUTED_VALUE"""),"Escalation of Dispute")</f>
        <v>Escalation of Dispute</v>
      </c>
      <c r="AB1565" s="5" t="str">
        <f ca="1">IFERROR(__xludf.DUMMYFUNCTION("""COMPUTED_VALUE"""),"Victims Targeted")</f>
        <v>Victims Targeted</v>
      </c>
      <c r="AC1565" s="5" t="str">
        <f ca="1">IFERROR(__xludf.DUMMYFUNCTION("""COMPUTED_VALUE"""),"No")</f>
        <v>No</v>
      </c>
      <c r="AD1565" s="5" t="str">
        <f ca="1">IFERROR(__xludf.DUMMYFUNCTION("""COMPUTED_VALUE"""),"No")</f>
        <v>No</v>
      </c>
      <c r="AE1565" s="5" t="str">
        <f ca="1">IFERROR(__xludf.DUMMYFUNCTION("""COMPUTED_VALUE"""),"No")</f>
        <v>No</v>
      </c>
      <c r="AF1565" s="5" t="str">
        <f ca="1">IFERROR(__xludf.DUMMYFUNCTION("""COMPUTED_VALUE"""),"No")</f>
        <v>No</v>
      </c>
      <c r="AG1565" s="5" t="str">
        <f ca="1">IFERROR(__xludf.DUMMYFUNCTION("""COMPUTED_VALUE"""),"No")</f>
        <v>No</v>
      </c>
      <c r="AH1565" s="5" t="str">
        <f ca="1">IFERROR(__xludf.DUMMYFUNCTION("""COMPUTED_VALUE"""),"No")</f>
        <v>No</v>
      </c>
      <c r="AI1565" s="5" t="str">
        <f ca="1">IFERROR(__xludf.DUMMYFUNCTION("""COMPUTED_VALUE"""),"No")</f>
        <v>No</v>
      </c>
      <c r="AJ1565" s="5"/>
    </row>
    <row r="1566" spans="1:36" ht="13">
      <c r="A1566" s="5" t="str">
        <f ca="1">IFERROR(__xludf.DUMMYFUNCTION("""COMPUTED_VALUE"""),"20021007MDBEB")</f>
        <v>20021007MDBEB</v>
      </c>
      <c r="B1566" s="5">
        <f ca="1">IFERROR(__xludf.DUMMYFUNCTION("""COMPUTED_VALUE"""),10)</f>
        <v>10</v>
      </c>
      <c r="C1566" s="5">
        <f ca="1">IFERROR(__xludf.DUMMYFUNCTION("""COMPUTED_VALUE"""),7)</f>
        <v>7</v>
      </c>
      <c r="D1566" s="5">
        <f ca="1">IFERROR(__xludf.DUMMYFUNCTION("""COMPUTED_VALUE"""),2002)</f>
        <v>2002</v>
      </c>
      <c r="E1566" s="8">
        <f ca="1">IFERROR(__xludf.DUMMYFUNCTION("""COMPUTED_VALUE"""),37536)</f>
        <v>37536</v>
      </c>
      <c r="F1566" s="5" t="str">
        <f ca="1">IFERROR(__xludf.DUMMYFUNCTION("""COMPUTED_VALUE"""),"Benjamin Tasker Middle School")</f>
        <v>Benjamin Tasker Middle School</v>
      </c>
      <c r="G1566" s="5">
        <f ca="1">IFERROR(__xludf.DUMMYFUNCTION("""COMPUTED_VALUE"""),0)</f>
        <v>0</v>
      </c>
      <c r="H1566" s="5">
        <f ca="1">IFERROR(__xludf.DUMMYFUNCTION("""COMPUTED_VALUE"""),1)</f>
        <v>1</v>
      </c>
      <c r="I1566" s="5">
        <f ca="1">IFERROR(__xludf.DUMMYFUNCTION("""COMPUTED_VALUE"""),1)</f>
        <v>1</v>
      </c>
      <c r="J1566" s="5">
        <f ca="1">IFERROR(__xludf.DUMMYFUNCTION("""COMPUTED_VALUE"""),0)</f>
        <v>0</v>
      </c>
      <c r="K1566" s="9" t="str">
        <f ca="1">IFERROR(__xludf.DUMMYFUNCTION("""COMPUTED_VALUE"""),"https://www.theguardian.com/world/2002/oct/08/usgunviolence.usa")</f>
        <v>https://www.theguardian.com/world/2002/oct/08/usgunviolence.usa</v>
      </c>
      <c r="L1566" s="5"/>
      <c r="M1566" s="5"/>
      <c r="N1566" s="5">
        <f ca="1">IFERROR(__xludf.DUMMYFUNCTION("""COMPUTED_VALUE"""),2)</f>
        <v>2</v>
      </c>
      <c r="O1566" s="5" t="str">
        <f ca="1">IFERROR(__xludf.DUMMYFUNCTION("""COMPUTED_VALUE"""),"Fall")</f>
        <v>Fall</v>
      </c>
      <c r="P1566" s="5" t="str">
        <f ca="1">IFERROR(__xludf.DUMMYFUNCTION("""COMPUTED_VALUE"""),"Bowie")</f>
        <v>Bowie</v>
      </c>
      <c r="Q1566" s="5" t="str">
        <f ca="1">IFERROR(__xludf.DUMMYFUNCTION("""COMPUTED_VALUE"""),"MD")</f>
        <v>MD</v>
      </c>
      <c r="R1566" s="5" t="str">
        <f ca="1">IFERROR(__xludf.DUMMYFUNCTION("""COMPUTED_VALUE"""),"Middle")</f>
        <v>Middle</v>
      </c>
      <c r="S1566" s="5" t="str">
        <f ca="1">IFERROR(__xludf.DUMMYFUNCTION("""COMPUTED_VALUE"""),"Front of School")</f>
        <v>Front of School</v>
      </c>
      <c r="T1566" s="5" t="str">
        <f ca="1">IFERROR(__xludf.DUMMYFUNCTION("""COMPUTED_VALUE"""),"Outside on School Property")</f>
        <v>Outside on School Property</v>
      </c>
      <c r="U1566" s="5" t="str">
        <f ca="1">IFERROR(__xludf.DUMMYFUNCTION("""COMPUTED_VALUE"""),"Yes")</f>
        <v>Yes</v>
      </c>
      <c r="V1566" s="5" t="str">
        <f ca="1">IFERROR(__xludf.DUMMYFUNCTION("""COMPUTED_VALUE"""),"School Start")</f>
        <v>School Start</v>
      </c>
      <c r="W1566" s="10">
        <f ca="1">IFERROR(__xludf.DUMMYFUNCTION("""COMPUTED_VALUE"""),0.339583333333333)</f>
        <v>0.33958333333333302</v>
      </c>
      <c r="X1566" s="5">
        <f ca="1">IFERROR(__xludf.DUMMYFUNCTION("""COMPUTED_VALUE"""),1)</f>
        <v>1</v>
      </c>
      <c r="Y1566" s="5" t="str">
        <f ca="1">IFERROR(__xludf.DUMMYFUNCTION("""COMPUTED_VALUE"""),"Serial Sniper Victim")</f>
        <v>Serial Sniper Victim</v>
      </c>
      <c r="Z1566" s="5" t="str">
        <f ca="1">IFERROR(__xludf.DUMMYFUNCTION("""COMPUTED_VALUE"""),"Student shot outside of school by serial sniper who killed 17 random victims")</f>
        <v>Student shot outside of school by serial sniper who killed 17 random victims</v>
      </c>
      <c r="AA1566" s="5" t="str">
        <f ca="1">IFERROR(__xludf.DUMMYFUNCTION("""COMPUTED_VALUE"""),"Indiscriminate Shooting")</f>
        <v>Indiscriminate Shooting</v>
      </c>
      <c r="AB1566" s="5" t="str">
        <f ca="1">IFERROR(__xludf.DUMMYFUNCTION("""COMPUTED_VALUE"""),"Random Shooting")</f>
        <v>Random Shooting</v>
      </c>
      <c r="AC1566" s="5" t="str">
        <f ca="1">IFERROR(__xludf.DUMMYFUNCTION("""COMPUTED_VALUE"""),"Yes")</f>
        <v>Yes</v>
      </c>
      <c r="AD1566" s="5" t="str">
        <f ca="1">IFERROR(__xludf.DUMMYFUNCTION("""COMPUTED_VALUE"""),"No")</f>
        <v>No</v>
      </c>
      <c r="AE1566" s="5" t="str">
        <f ca="1">IFERROR(__xludf.DUMMYFUNCTION("""COMPUTED_VALUE"""),"No")</f>
        <v>No</v>
      </c>
      <c r="AF1566" s="5" t="str">
        <f ca="1">IFERROR(__xludf.DUMMYFUNCTION("""COMPUTED_VALUE"""),"No")</f>
        <v>No</v>
      </c>
      <c r="AG1566" s="5" t="str">
        <f ca="1">IFERROR(__xludf.DUMMYFUNCTION("""COMPUTED_VALUE"""),"No")</f>
        <v>No</v>
      </c>
      <c r="AH1566" s="5" t="str">
        <f ca="1">IFERROR(__xludf.DUMMYFUNCTION("""COMPUTED_VALUE"""),"No")</f>
        <v>No</v>
      </c>
      <c r="AI1566" s="5" t="str">
        <f ca="1">IFERROR(__xludf.DUMMYFUNCTION("""COMPUTED_VALUE"""),"No")</f>
        <v>No</v>
      </c>
      <c r="AJ1566" s="5"/>
    </row>
    <row r="1567" spans="1:36" ht="13">
      <c r="A1567" s="5" t="str">
        <f ca="1">IFERROR(__xludf.DUMMYFUNCTION("""COMPUTED_VALUE"""),"20021004MTCMG")</f>
        <v>20021004MTCMG</v>
      </c>
      <c r="B1567" s="5">
        <f ca="1">IFERROR(__xludf.DUMMYFUNCTION("""COMPUTED_VALUE"""),10)</f>
        <v>10</v>
      </c>
      <c r="C1567" s="5">
        <f ca="1">IFERROR(__xludf.DUMMYFUNCTION("""COMPUTED_VALUE"""),4)</f>
        <v>4</v>
      </c>
      <c r="D1567" s="5">
        <f ca="1">IFERROR(__xludf.DUMMYFUNCTION("""COMPUTED_VALUE"""),2002)</f>
        <v>2002</v>
      </c>
      <c r="E1567" s="8">
        <f ca="1">IFERROR(__xludf.DUMMYFUNCTION("""COMPUTED_VALUE"""),37533)</f>
        <v>37533</v>
      </c>
      <c r="F1567" s="5" t="str">
        <f ca="1">IFERROR(__xludf.DUMMYFUNCTION("""COMPUTED_VALUE"""),"C M Russell HIgh School")</f>
        <v>C M Russell HIgh School</v>
      </c>
      <c r="G1567" s="5">
        <f ca="1">IFERROR(__xludf.DUMMYFUNCTION("""COMPUTED_VALUE"""),0)</f>
        <v>0</v>
      </c>
      <c r="H1567" s="5">
        <f ca="1">IFERROR(__xludf.DUMMYFUNCTION("""COMPUTED_VALUE"""),0)</f>
        <v>0</v>
      </c>
      <c r="I1567" s="5">
        <f ca="1">IFERROR(__xludf.DUMMYFUNCTION("""COMPUTED_VALUE"""),0)</f>
        <v>0</v>
      </c>
      <c r="J1567" s="5">
        <f ca="1">IFERROR(__xludf.DUMMYFUNCTION("""COMPUTED_VALUE"""),0)</f>
        <v>0</v>
      </c>
      <c r="K1567" s="5" t="str">
        <f ca="1">IFERROR(__xludf.DUMMYFUNCTION("""COMPUTED_VALUE"""),"https://www.newspapers.com/image/243744539/?terms=jeffrey%2Bfoss  https://www.newspapers.com/image/351553243/?terms=jeffrey%2Bfoss  https://www.newspapers.com/image/243745536/?terms=jeffrey%2Bfoss")</f>
        <v>https://www.newspapers.com/image/243744539/?terms=jeffrey%2Bfoss  https://www.newspapers.com/image/351553243/?terms=jeffrey%2Bfoss  https://www.newspapers.com/image/243745536/?terms=jeffrey%2Bfoss</v>
      </c>
      <c r="L1567" s="5"/>
      <c r="M1567" s="5"/>
      <c r="N1567" s="5">
        <f ca="1">IFERROR(__xludf.DUMMYFUNCTION("""COMPUTED_VALUE"""),3)</f>
        <v>3</v>
      </c>
      <c r="O1567" s="5" t="str">
        <f ca="1">IFERROR(__xludf.DUMMYFUNCTION("""COMPUTED_VALUE"""),"Fall")</f>
        <v>Fall</v>
      </c>
      <c r="P1567" s="5" t="str">
        <f ca="1">IFERROR(__xludf.DUMMYFUNCTION("""COMPUTED_VALUE"""),"Great Falls")</f>
        <v>Great Falls</v>
      </c>
      <c r="Q1567" s="5" t="str">
        <f ca="1">IFERROR(__xludf.DUMMYFUNCTION("""COMPUTED_VALUE"""),"MT")</f>
        <v>MT</v>
      </c>
      <c r="R1567" s="5" t="str">
        <f ca="1">IFERROR(__xludf.DUMMYFUNCTION("""COMPUTED_VALUE"""),"High")</f>
        <v>High</v>
      </c>
      <c r="S1567" s="5" t="str">
        <f ca="1">IFERROR(__xludf.DUMMYFUNCTION("""COMPUTED_VALUE"""),"Parking Lot")</f>
        <v>Parking Lot</v>
      </c>
      <c r="T1567" s="5" t="str">
        <f ca="1">IFERROR(__xludf.DUMMYFUNCTION("""COMPUTED_VALUE"""),"Outside on School Property")</f>
        <v>Outside on School Property</v>
      </c>
      <c r="U1567" s="5" t="str">
        <f ca="1">IFERROR(__xludf.DUMMYFUNCTION("""COMPUTED_VALUE"""),"Yes")</f>
        <v>Yes</v>
      </c>
      <c r="V1567" s="5" t="str">
        <f ca="1">IFERROR(__xludf.DUMMYFUNCTION("""COMPUTED_VALUE"""),"After School")</f>
        <v>After School</v>
      </c>
      <c r="W1567" s="10">
        <f ca="1">IFERROR(__xludf.DUMMYFUNCTION("""COMPUTED_VALUE"""),0.645833333333333)</f>
        <v>0.64583333333333304</v>
      </c>
      <c r="X1567" s="5">
        <f ca="1">IFERROR(__xludf.DUMMYFUNCTION("""COMPUTED_VALUE"""),1)</f>
        <v>1</v>
      </c>
      <c r="Y1567" s="5" t="str">
        <f ca="1">IFERROR(__xludf.DUMMYFUNCTION("""COMPUTED_VALUE"""),"Gang related shooting in parking lot")</f>
        <v>Gang related shooting in parking lot</v>
      </c>
      <c r="Z1567" s="5" t="str">
        <f ca="1">IFERROR(__xludf.DUMMYFUNCTION("""COMPUTED_VALUE"""),"Shooter pulled into school parking lot at approximately 3:30PM and yelled something at the two victims prior to shooting a small caliber handgun in their direction. The victims were attempting to jump start their car at the time - no one was injured, but "&amp;"students were in the area which caused the suspect to be charged with additional crimes. It was later deemed to be a gang related shooting based on the victims having beaten up the shooter's younger brother on a prior occasion.")</f>
        <v>Shooter pulled into school parking lot at approximately 3:30PM and yelled something at the two victims prior to shooting a small caliber handgun in their direction. The victims were attempting to jump start their car at the time - no one was injured, but students were in the area which caused the suspect to be charged with additional crimes. It was later deemed to be a gang related shooting based on the victims having beaten up the shooter's younger brother on a prior occasion.</v>
      </c>
      <c r="AA1567" s="5" t="str">
        <f ca="1">IFERROR(__xludf.DUMMYFUNCTION("""COMPUTED_VALUE"""),"Drive-by Shooting")</f>
        <v>Drive-by Shooting</v>
      </c>
      <c r="AB1567" s="5" t="str">
        <f ca="1">IFERROR(__xludf.DUMMYFUNCTION("""COMPUTED_VALUE"""),"Victims Targeted")</f>
        <v>Victims Targeted</v>
      </c>
      <c r="AC1567" s="5" t="str">
        <f ca="1">IFERROR(__xludf.DUMMYFUNCTION("""COMPUTED_VALUE"""),"No")</f>
        <v>No</v>
      </c>
      <c r="AD1567" s="5" t="str">
        <f ca="1">IFERROR(__xludf.DUMMYFUNCTION("""COMPUTED_VALUE"""),"No")</f>
        <v>No</v>
      </c>
      <c r="AE1567" s="5" t="str">
        <f ca="1">IFERROR(__xludf.DUMMYFUNCTION("""COMPUTED_VALUE"""),"No")</f>
        <v>No</v>
      </c>
      <c r="AF1567" s="5" t="str">
        <f ca="1">IFERROR(__xludf.DUMMYFUNCTION("""COMPUTED_VALUE"""),"No")</f>
        <v>No</v>
      </c>
      <c r="AG1567" s="5" t="str">
        <f ca="1">IFERROR(__xludf.DUMMYFUNCTION("""COMPUTED_VALUE"""),"No")</f>
        <v>No</v>
      </c>
      <c r="AH1567" s="5" t="str">
        <f ca="1">IFERROR(__xludf.DUMMYFUNCTION("""COMPUTED_VALUE"""),"No")</f>
        <v>No</v>
      </c>
      <c r="AI1567" s="5" t="str">
        <f ca="1">IFERROR(__xludf.DUMMYFUNCTION("""COMPUTED_VALUE"""),"Yes")</f>
        <v>Yes</v>
      </c>
      <c r="AJ1567" s="5"/>
    </row>
    <row r="1568" spans="1:36" ht="13">
      <c r="A1568" s="5" t="str">
        <f ca="1">IFERROR(__xludf.DUMMYFUNCTION("""COMPUTED_VALUE"""),"20021004TXPAS")</f>
        <v>20021004TXPAS</v>
      </c>
      <c r="B1568" s="5">
        <f ca="1">IFERROR(__xludf.DUMMYFUNCTION("""COMPUTED_VALUE"""),10)</f>
        <v>10</v>
      </c>
      <c r="C1568" s="5">
        <f ca="1">IFERROR(__xludf.DUMMYFUNCTION("""COMPUTED_VALUE"""),4)</f>
        <v>4</v>
      </c>
      <c r="D1568" s="5">
        <f ca="1">IFERROR(__xludf.DUMMYFUNCTION("""COMPUTED_VALUE"""),2002)</f>
        <v>2002</v>
      </c>
      <c r="E1568" s="8">
        <f ca="1">IFERROR(__xludf.DUMMYFUNCTION("""COMPUTED_VALUE"""),37533)</f>
        <v>37533</v>
      </c>
      <c r="F1568" s="5" t="str">
        <f ca="1">IFERROR(__xludf.DUMMYFUNCTION("""COMPUTED_VALUE"""),"Page Middle School")</f>
        <v>Page Middle School</v>
      </c>
      <c r="G1568" s="5">
        <f ca="1">IFERROR(__xludf.DUMMYFUNCTION("""COMPUTED_VALUE"""),0)</f>
        <v>0</v>
      </c>
      <c r="H1568" s="5">
        <f ca="1">IFERROR(__xludf.DUMMYFUNCTION("""COMPUTED_VALUE"""),0)</f>
        <v>0</v>
      </c>
      <c r="I1568" s="5">
        <f ca="1">IFERROR(__xludf.DUMMYFUNCTION("""COMPUTED_VALUE"""),0)</f>
        <v>0</v>
      </c>
      <c r="J1568" s="5">
        <f ca="1">IFERROR(__xludf.DUMMYFUNCTION("""COMPUTED_VALUE"""),1)</f>
        <v>1</v>
      </c>
      <c r="K1568" s="9" t="str">
        <f ca="1">IFERROR(__xludf.DUMMYFUNCTION("""COMPUTED_VALUE"""),"http://ssristories.drugawareness.org/archive/showa5f5.html?item=224")</f>
        <v>http://ssristories.drugawareness.org/archive/showa5f5.html?item=224</v>
      </c>
      <c r="L1568" s="5"/>
      <c r="M1568" s="5"/>
      <c r="N1568" s="5">
        <f ca="1">IFERROR(__xludf.DUMMYFUNCTION("""COMPUTED_VALUE"""),2)</f>
        <v>2</v>
      </c>
      <c r="O1568" s="5" t="str">
        <f ca="1">IFERROR(__xludf.DUMMYFUNCTION("""COMPUTED_VALUE"""),"Fall")</f>
        <v>Fall</v>
      </c>
      <c r="P1568" s="5" t="str">
        <f ca="1">IFERROR(__xludf.DUMMYFUNCTION("""COMPUTED_VALUE"""),"San Antonio")</f>
        <v>San Antonio</v>
      </c>
      <c r="Q1568" s="5" t="str">
        <f ca="1">IFERROR(__xludf.DUMMYFUNCTION("""COMPUTED_VALUE"""),"TX")</f>
        <v>TX</v>
      </c>
      <c r="R1568" s="5" t="str">
        <f ca="1">IFERROR(__xludf.DUMMYFUNCTION("""COMPUTED_VALUE"""),"High")</f>
        <v>High</v>
      </c>
      <c r="S1568" s="5" t="str">
        <f ca="1">IFERROR(__xludf.DUMMYFUNCTION("""COMPUTED_VALUE"""),"Parking Lot")</f>
        <v>Parking Lot</v>
      </c>
      <c r="T1568" s="5" t="str">
        <f ca="1">IFERROR(__xludf.DUMMYFUNCTION("""COMPUTED_VALUE"""),"Outside on School Property")</f>
        <v>Outside on School Property</v>
      </c>
      <c r="U1568" s="5" t="str">
        <f ca="1">IFERROR(__xludf.DUMMYFUNCTION("""COMPUTED_VALUE"""),"Yes")</f>
        <v>Yes</v>
      </c>
      <c r="V1568" s="5" t="str">
        <f ca="1">IFERROR(__xludf.DUMMYFUNCTION("""COMPUTED_VALUE"""),"School Start")</f>
        <v>School Start</v>
      </c>
      <c r="W1568" s="10">
        <f ca="1">IFERROR(__xludf.DUMMYFUNCTION("""COMPUTED_VALUE"""),0.34375)</f>
        <v>0.34375</v>
      </c>
      <c r="X1568" s="5">
        <f ca="1">IFERROR(__xludf.DUMMYFUNCTION("""COMPUTED_VALUE"""),1)</f>
        <v>1</v>
      </c>
      <c r="Y1568" s="5" t="str">
        <f ca="1">IFERROR(__xludf.DUMMYFUNCTION("""COMPUTED_VALUE"""),"Shot herself in the school parking lot in front of other students")</f>
        <v>Shot herself in the school parking lot in front of other students</v>
      </c>
      <c r="Z1568" s="5" t="str">
        <f ca="1">IFERROR(__xludf.DUMMYFUNCTION("""COMPUTED_VALUE"""),"13YOF student shot herself in the school parking lot in front of other students. She was being treated for depression and had be admitted to psychiatric hospital. Previous suicide attempts.")</f>
        <v>13YOF student shot herself in the school parking lot in front of other students. She was being treated for depression and had be admitted to psychiatric hospital. Previous suicide attempts.</v>
      </c>
      <c r="AA1568" s="5" t="str">
        <f ca="1">IFERROR(__xludf.DUMMYFUNCTION("""COMPUTED_VALUE"""),"Suicide/Attempted")</f>
        <v>Suicide/Attempted</v>
      </c>
      <c r="AB1568" s="5" t="str">
        <f ca="1">IFERROR(__xludf.DUMMYFUNCTION("""COMPUTED_VALUE"""),"Victims Targeted")</f>
        <v>Victims Targeted</v>
      </c>
      <c r="AC1568" s="5" t="str">
        <f ca="1">IFERROR(__xludf.DUMMYFUNCTION("""COMPUTED_VALUE"""),"No")</f>
        <v>No</v>
      </c>
      <c r="AD1568" s="5" t="str">
        <f ca="1">IFERROR(__xludf.DUMMYFUNCTION("""COMPUTED_VALUE"""),"No")</f>
        <v>No</v>
      </c>
      <c r="AE1568" s="5" t="str">
        <f ca="1">IFERROR(__xludf.DUMMYFUNCTION("""COMPUTED_VALUE"""),"No")</f>
        <v>No</v>
      </c>
      <c r="AF1568" s="5" t="str">
        <f ca="1">IFERROR(__xludf.DUMMYFUNCTION("""COMPUTED_VALUE"""),"No")</f>
        <v>No</v>
      </c>
      <c r="AG1568" s="5" t="str">
        <f ca="1">IFERROR(__xludf.DUMMYFUNCTION("""COMPUTED_VALUE"""),"Yes")</f>
        <v>Yes</v>
      </c>
      <c r="AH1568" s="5" t="str">
        <f ca="1">IFERROR(__xludf.DUMMYFUNCTION("""COMPUTED_VALUE"""),"No")</f>
        <v>No</v>
      </c>
      <c r="AI1568" s="5" t="str">
        <f ca="1">IFERROR(__xludf.DUMMYFUNCTION("""COMPUTED_VALUE"""),"No")</f>
        <v>No</v>
      </c>
      <c r="AJ1568" s="5"/>
    </row>
    <row r="1569" spans="1:36" ht="13">
      <c r="A1569" s="5" t="str">
        <f ca="1">IFERROR(__xludf.DUMMYFUNCTION("""COMPUTED_VALUE"""),"20020426LAABN")</f>
        <v>20020426LAABN</v>
      </c>
      <c r="B1569" s="5">
        <f ca="1">IFERROR(__xludf.DUMMYFUNCTION("""COMPUTED_VALUE"""),4)</f>
        <v>4</v>
      </c>
      <c r="C1569" s="5">
        <f ca="1">IFERROR(__xludf.DUMMYFUNCTION("""COMPUTED_VALUE"""),26)</f>
        <v>26</v>
      </c>
      <c r="D1569" s="5">
        <f ca="1">IFERROR(__xludf.DUMMYFUNCTION("""COMPUTED_VALUE"""),2002)</f>
        <v>2002</v>
      </c>
      <c r="E1569" s="8">
        <f ca="1">IFERROR(__xludf.DUMMYFUNCTION("""COMPUTED_VALUE"""),37372)</f>
        <v>37372</v>
      </c>
      <c r="F1569" s="5" t="str">
        <f ca="1">IFERROR(__xludf.DUMMYFUNCTION("""COMPUTED_VALUE"""),"Abramson High School")</f>
        <v>Abramson High School</v>
      </c>
      <c r="G1569" s="5">
        <f ca="1">IFERROR(__xludf.DUMMYFUNCTION("""COMPUTED_VALUE"""),1)</f>
        <v>1</v>
      </c>
      <c r="H1569" s="5">
        <f ca="1">IFERROR(__xludf.DUMMYFUNCTION("""COMPUTED_VALUE"""),0)</f>
        <v>0</v>
      </c>
      <c r="I1569" s="5">
        <f ca="1">IFERROR(__xludf.DUMMYFUNCTION("""COMPUTED_VALUE"""),1)</f>
        <v>1</v>
      </c>
      <c r="J1569" s="5">
        <f ca="1">IFERROR(__xludf.DUMMYFUNCTION("""COMPUTED_VALUE"""),0)</f>
        <v>0</v>
      </c>
      <c r="K1569" s="9" t="str">
        <f ca="1">IFERROR(__xludf.DUMMYFUNCTION("""COMPUTED_VALUE"""),"https://www.newspapers.com/image/229238117/?terms=Toran%2BJoseph%2BRichard%2BAntoine%2Bschool%2Bdance")</f>
        <v>https://www.newspapers.com/image/229238117/?terms=Toran%2BJoseph%2BRichard%2BAntoine%2Bschool%2Bdance</v>
      </c>
      <c r="L1569" s="5"/>
      <c r="M1569" s="5"/>
      <c r="N1569" s="5">
        <f ca="1">IFERROR(__xludf.DUMMYFUNCTION("""COMPUTED_VALUE"""),2)</f>
        <v>2</v>
      </c>
      <c r="O1569" s="5" t="str">
        <f ca="1">IFERROR(__xludf.DUMMYFUNCTION("""COMPUTED_VALUE"""),"Spring")</f>
        <v>Spring</v>
      </c>
      <c r="P1569" s="5" t="str">
        <f ca="1">IFERROR(__xludf.DUMMYFUNCTION("""COMPUTED_VALUE"""),"New Orleans")</f>
        <v>New Orleans</v>
      </c>
      <c r="Q1569" s="5" t="str">
        <f ca="1">IFERROR(__xludf.DUMMYFUNCTION("""COMPUTED_VALUE"""),"LA")</f>
        <v>LA</v>
      </c>
      <c r="R1569" s="5" t="str">
        <f ca="1">IFERROR(__xludf.DUMMYFUNCTION("""COMPUTED_VALUE"""),"High")</f>
        <v>High</v>
      </c>
      <c r="S1569" s="5" t="str">
        <f ca="1">IFERROR(__xludf.DUMMYFUNCTION("""COMPUTED_VALUE"""),"Beside Building")</f>
        <v>Beside Building</v>
      </c>
      <c r="T1569" s="5" t="str">
        <f ca="1">IFERROR(__xludf.DUMMYFUNCTION("""COMPUTED_VALUE"""),"Outside on School Property")</f>
        <v>Outside on School Property</v>
      </c>
      <c r="U1569" s="5" t="str">
        <f ca="1">IFERROR(__xludf.DUMMYFUNCTION("""COMPUTED_VALUE"""),"No")</f>
        <v>No</v>
      </c>
      <c r="V1569" s="5" t="str">
        <f ca="1">IFERROR(__xludf.DUMMYFUNCTION("""COMPUTED_VALUE"""),"Evening")</f>
        <v>Evening</v>
      </c>
      <c r="W1569" s="10">
        <f ca="1">IFERROR(__xludf.DUMMYFUNCTION("""COMPUTED_VALUE"""),0.90625)</f>
        <v>0.90625</v>
      </c>
      <c r="X1569" s="5">
        <f ca="1">IFERROR(__xludf.DUMMYFUNCTION("""COMPUTED_VALUE"""),1)</f>
        <v>1</v>
      </c>
      <c r="Y1569" s="5" t="str">
        <f ca="1">IFERROR(__xludf.DUMMYFUNCTION("""COMPUTED_VALUE"""),"Armed security guards playing quick draw game, gun went off killing one")</f>
        <v>Armed security guards playing quick draw game, gun went off killing one</v>
      </c>
      <c r="Z1569" s="5" t="str">
        <f ca="1">IFERROR(__xludf.DUMMYFUNCTION("""COMPUTED_VALUE"""),"Two security guards were outside of school dance. They were playing a quick draw game with their guns. One guard pulled his gun and the other karate kicked it out of his hand causing it to fire (struck in the chest and died).")</f>
        <v>Two security guards were outside of school dance. They were playing a quick draw game with their guns. One guard pulled his gun and the other karate kicked it out of his hand causing it to fire (struck in the chest and died).</v>
      </c>
      <c r="AA1569" s="5" t="str">
        <f ca="1">IFERROR(__xludf.DUMMYFUNCTION("""COMPUTED_VALUE"""),"Accidental")</f>
        <v>Accidental</v>
      </c>
      <c r="AB1569" s="5" t="str">
        <f ca="1">IFERROR(__xludf.DUMMYFUNCTION("""COMPUTED_VALUE"""),"Random Shooting")</f>
        <v>Random Shooting</v>
      </c>
      <c r="AC1569" s="5" t="str">
        <f ca="1">IFERROR(__xludf.DUMMYFUNCTION("""COMPUTED_VALUE"""),"No")</f>
        <v>No</v>
      </c>
      <c r="AD1569" s="5" t="str">
        <f ca="1">IFERROR(__xludf.DUMMYFUNCTION("""COMPUTED_VALUE"""),"No")</f>
        <v>No</v>
      </c>
      <c r="AE1569" s="5" t="str">
        <f ca="1">IFERROR(__xludf.DUMMYFUNCTION("""COMPUTED_VALUE"""),"No")</f>
        <v>No</v>
      </c>
      <c r="AF1569" s="5" t="str">
        <f ca="1">IFERROR(__xludf.DUMMYFUNCTION("""COMPUTED_VALUE"""),"No")</f>
        <v>No</v>
      </c>
      <c r="AG1569" s="5" t="str">
        <f ca="1">IFERROR(__xludf.DUMMYFUNCTION("""COMPUTED_VALUE"""),"No")</f>
        <v>No</v>
      </c>
      <c r="AH1569" s="5" t="str">
        <f ca="1">IFERROR(__xludf.DUMMYFUNCTION("""COMPUTED_VALUE"""),"No")</f>
        <v>No</v>
      </c>
      <c r="AI1569" s="5" t="str">
        <f ca="1">IFERROR(__xludf.DUMMYFUNCTION("""COMPUTED_VALUE"""),"No")</f>
        <v>No</v>
      </c>
      <c r="AJ1569" s="5"/>
    </row>
    <row r="1570" spans="1:36" ht="13">
      <c r="A1570" s="5" t="str">
        <f ca="1">IFERROR(__xludf.DUMMYFUNCTION("""COMPUTED_VALUE"""),"20020406MDLEB")</f>
        <v>20020406MDLEB</v>
      </c>
      <c r="B1570" s="5">
        <f ca="1">IFERROR(__xludf.DUMMYFUNCTION("""COMPUTED_VALUE"""),4)</f>
        <v>4</v>
      </c>
      <c r="C1570" s="5">
        <f ca="1">IFERROR(__xludf.DUMMYFUNCTION("""COMPUTED_VALUE"""),6)</f>
        <v>6</v>
      </c>
      <c r="D1570" s="5">
        <f ca="1">IFERROR(__xludf.DUMMYFUNCTION("""COMPUTED_VALUE"""),2002)</f>
        <v>2002</v>
      </c>
      <c r="E1570" s="8">
        <f ca="1">IFERROR(__xludf.DUMMYFUNCTION("""COMPUTED_VALUE"""),37352)</f>
        <v>37352</v>
      </c>
      <c r="F1570" s="5" t="str">
        <f ca="1">IFERROR(__xludf.DUMMYFUNCTION("""COMPUTED_VALUE"""),"Leith Walk Elementary School")</f>
        <v>Leith Walk Elementary School</v>
      </c>
      <c r="G1570" s="5">
        <f ca="1">IFERROR(__xludf.DUMMYFUNCTION("""COMPUTED_VALUE"""),1)</f>
        <v>1</v>
      </c>
      <c r="H1570" s="5">
        <f ca="1">IFERROR(__xludf.DUMMYFUNCTION("""COMPUTED_VALUE"""),0)</f>
        <v>0</v>
      </c>
      <c r="I1570" s="5">
        <f ca="1">IFERROR(__xludf.DUMMYFUNCTION("""COMPUTED_VALUE"""),1)</f>
        <v>1</v>
      </c>
      <c r="J1570" s="5">
        <f ca="1">IFERROR(__xludf.DUMMYFUNCTION("""COMPUTED_VALUE"""),0)</f>
        <v>0</v>
      </c>
      <c r="K1570" s="5" t="str">
        <f ca="1">IFERROR(__xludf.DUMMYFUNCTION("""COMPUTED_VALUE"""),"http://articles.baltimoresun.com/2002-10-23/news/0210230340_1_lynch-samuel-police-officer http://articles.baltimoresun.com/2002-04-10/news/0204100042_1_lynch-samuel-probation-before-judgment")</f>
        <v>http://articles.baltimoresun.com/2002-10-23/news/0210230340_1_lynch-samuel-police-officer http://articles.baltimoresun.com/2002-04-10/news/0204100042_1_lynch-samuel-probation-before-judgment</v>
      </c>
      <c r="L1570" s="5"/>
      <c r="M1570" s="5"/>
      <c r="N1570" s="5">
        <f ca="1">IFERROR(__xludf.DUMMYFUNCTION("""COMPUTED_VALUE"""),4)</f>
        <v>4</v>
      </c>
      <c r="O1570" s="5" t="str">
        <f ca="1">IFERROR(__xludf.DUMMYFUNCTION("""COMPUTED_VALUE"""),"Spring")</f>
        <v>Spring</v>
      </c>
      <c r="P1570" s="5" t="str">
        <f ca="1">IFERROR(__xludf.DUMMYFUNCTION("""COMPUTED_VALUE"""),"Baltimore")</f>
        <v>Baltimore</v>
      </c>
      <c r="Q1570" s="5" t="str">
        <f ca="1">IFERROR(__xludf.DUMMYFUNCTION("""COMPUTED_VALUE"""),"MD")</f>
        <v>MD</v>
      </c>
      <c r="R1570" s="5" t="str">
        <f ca="1">IFERROR(__xludf.DUMMYFUNCTION("""COMPUTED_VALUE"""),"Elementary")</f>
        <v>Elementary</v>
      </c>
      <c r="S1570" s="5" t="str">
        <f ca="1">IFERROR(__xludf.DUMMYFUNCTION("""COMPUTED_VALUE"""),"Playground")</f>
        <v>Playground</v>
      </c>
      <c r="T1570" s="5" t="str">
        <f ca="1">IFERROR(__xludf.DUMMYFUNCTION("""COMPUTED_VALUE"""),"Outside on School Property")</f>
        <v>Outside on School Property</v>
      </c>
      <c r="U1570" s="5" t="str">
        <f ca="1">IFERROR(__xludf.DUMMYFUNCTION("""COMPUTED_VALUE"""),"No")</f>
        <v>No</v>
      </c>
      <c r="V1570" s="5" t="str">
        <f ca="1">IFERROR(__xludf.DUMMYFUNCTION("""COMPUTED_VALUE"""),"Night")</f>
        <v>Night</v>
      </c>
      <c r="W1570" s="10">
        <f ca="1">IFERROR(__xludf.DUMMYFUNCTION("""COMPUTED_VALUE"""),0.0416666666666666)</f>
        <v>4.1666666666666602E-2</v>
      </c>
      <c r="X1570" s="5">
        <f ca="1">IFERROR(__xludf.DUMMYFUNCTION("""COMPUTED_VALUE"""),1)</f>
        <v>1</v>
      </c>
      <c r="Y1570" s="5" t="str">
        <f ca="1">IFERROR(__xludf.DUMMYFUNCTION("""COMPUTED_VALUE"""),"Officer shot teen behind the school")</f>
        <v>Officer shot teen behind the school</v>
      </c>
      <c r="Z1570" s="5" t="str">
        <f ca="1">IFERROR(__xludf.DUMMYFUNCTION("""COMPUTED_VALUE"""),"Officer approached two teens behind the school late at night. During a struggle, 14YOM was fatally shot in the head, second teen fled the area.")</f>
        <v>Officer approached two teens behind the school late at night. During a struggle, 14YOM was fatally shot in the head, second teen fled the area.</v>
      </c>
      <c r="AA1570" s="5" t="str">
        <f ca="1">IFERROR(__xludf.DUMMYFUNCTION("""COMPUTED_VALUE"""),"Illegal Activity")</f>
        <v>Illegal Activity</v>
      </c>
      <c r="AB1570" s="5"/>
      <c r="AC1570" s="5" t="str">
        <f ca="1">IFERROR(__xludf.DUMMYFUNCTION("""COMPUTED_VALUE"""),"No")</f>
        <v>No</v>
      </c>
      <c r="AD1570" s="5" t="str">
        <f ca="1">IFERROR(__xludf.DUMMYFUNCTION("""COMPUTED_VALUE"""),"No")</f>
        <v>No</v>
      </c>
      <c r="AE1570" s="5" t="str">
        <f ca="1">IFERROR(__xludf.DUMMYFUNCTION("""COMPUTED_VALUE"""),"No")</f>
        <v>No</v>
      </c>
      <c r="AF1570" s="5" t="str">
        <f ca="1">IFERROR(__xludf.DUMMYFUNCTION("""COMPUTED_VALUE"""),"Yes")</f>
        <v>Yes</v>
      </c>
      <c r="AG1570" s="5" t="str">
        <f ca="1">IFERROR(__xludf.DUMMYFUNCTION("""COMPUTED_VALUE"""),"N/A")</f>
        <v>N/A</v>
      </c>
      <c r="AH1570" s="5" t="str">
        <f ca="1">IFERROR(__xludf.DUMMYFUNCTION("""COMPUTED_VALUE"""),"N/A")</f>
        <v>N/A</v>
      </c>
      <c r="AI1570" s="5" t="str">
        <f ca="1">IFERROR(__xludf.DUMMYFUNCTION("""COMPUTED_VALUE"""),"N/A")</f>
        <v>N/A</v>
      </c>
      <c r="AJ1570" s="5" t="str">
        <f ca="1">IFERROR(__xludf.DUMMYFUNCTION("""COMPUTED_VALUE"""),"N/A")</f>
        <v>N/A</v>
      </c>
    </row>
    <row r="1571" spans="1:36" ht="13">
      <c r="A1571" s="5" t="str">
        <f ca="1">IFERROR(__xludf.DUMMYFUNCTION("""COMPUTED_VALUE"""),"20020322CAJOC")</f>
        <v>20020322CAJOC</v>
      </c>
      <c r="B1571" s="5">
        <f ca="1">IFERROR(__xludf.DUMMYFUNCTION("""COMPUTED_VALUE"""),3)</f>
        <v>3</v>
      </c>
      <c r="C1571" s="5">
        <f ca="1">IFERROR(__xludf.DUMMYFUNCTION("""COMPUTED_VALUE"""),22)</f>
        <v>22</v>
      </c>
      <c r="D1571" s="5">
        <f ca="1">IFERROR(__xludf.DUMMYFUNCTION("""COMPUTED_VALUE"""),2002)</f>
        <v>2002</v>
      </c>
      <c r="E1571" s="8">
        <f ca="1">IFERROR(__xludf.DUMMYFUNCTION("""COMPUTED_VALUE"""),37337)</f>
        <v>37337</v>
      </c>
      <c r="F1571" s="5" t="str">
        <f ca="1">IFERROR(__xludf.DUMMYFUNCTION("""COMPUTED_VALUE"""),"John Barrett Middle School")</f>
        <v>John Barrett Middle School</v>
      </c>
      <c r="G1571" s="5">
        <f ca="1">IFERROR(__xludf.DUMMYFUNCTION("""COMPUTED_VALUE"""),0)</f>
        <v>0</v>
      </c>
      <c r="H1571" s="5">
        <f ca="1">IFERROR(__xludf.DUMMYFUNCTION("""COMPUTED_VALUE"""),0)</f>
        <v>0</v>
      </c>
      <c r="I1571" s="5">
        <f ca="1">IFERROR(__xludf.DUMMYFUNCTION("""COMPUTED_VALUE"""),0)</f>
        <v>0</v>
      </c>
      <c r="J1571" s="5">
        <f ca="1">IFERROR(__xludf.DUMMYFUNCTION("""COMPUTED_VALUE"""),0)</f>
        <v>0</v>
      </c>
      <c r="K1571" s="9" t="str">
        <f ca="1">IFERROR(__xludf.DUMMYFUNCTION("""COMPUTED_VALUE"""),"https://www.newspapers.com/image/4986183/")</f>
        <v>https://www.newspapers.com/image/4986183/</v>
      </c>
      <c r="L1571" s="5"/>
      <c r="M1571" s="5"/>
      <c r="N1571" s="5">
        <f ca="1">IFERROR(__xludf.DUMMYFUNCTION("""COMPUTED_VALUE"""),2)</f>
        <v>2</v>
      </c>
      <c r="O1571" s="5" t="str">
        <f ca="1">IFERROR(__xludf.DUMMYFUNCTION("""COMPUTED_VALUE"""),"Spring")</f>
        <v>Spring</v>
      </c>
      <c r="P1571" s="5" t="str">
        <f ca="1">IFERROR(__xludf.DUMMYFUNCTION("""COMPUTED_VALUE"""),"Carmichael")</f>
        <v>Carmichael</v>
      </c>
      <c r="Q1571" s="5" t="str">
        <f ca="1">IFERROR(__xludf.DUMMYFUNCTION("""COMPUTED_VALUE"""),"CA")</f>
        <v>CA</v>
      </c>
      <c r="R1571" s="5" t="str">
        <f ca="1">IFERROR(__xludf.DUMMYFUNCTION("""COMPUTED_VALUE"""),"Middle")</f>
        <v>Middle</v>
      </c>
      <c r="S1571" s="5" t="str">
        <f ca="1">IFERROR(__xludf.DUMMYFUNCTION("""COMPUTED_VALUE"""),"Classroom")</f>
        <v>Classroom</v>
      </c>
      <c r="T1571" s="5" t="str">
        <f ca="1">IFERROR(__xludf.DUMMYFUNCTION("""COMPUTED_VALUE"""),"Inside School Building")</f>
        <v>Inside School Building</v>
      </c>
      <c r="U1571" s="5" t="str">
        <f ca="1">IFERROR(__xludf.DUMMYFUNCTION("""COMPUTED_VALUE"""),"Yes")</f>
        <v>Yes</v>
      </c>
      <c r="V1571" s="5" t="str">
        <f ca="1">IFERROR(__xludf.DUMMYFUNCTION("""COMPUTED_VALUE"""),"Morning Classes")</f>
        <v>Morning Classes</v>
      </c>
      <c r="W1571" s="5"/>
      <c r="X1571" s="5"/>
      <c r="Y1571" s="5" t="str">
        <f ca="1">IFERROR(__xludf.DUMMYFUNCTION("""COMPUTED_VALUE"""),"Student had list of 8 teachers to kill and 50 rounds of ammo, surrendered to police officer")</f>
        <v>Student had list of 8 teachers to kill and 50 rounds of ammo, surrendered to police officer</v>
      </c>
      <c r="Z1571" s="5" t="str">
        <f ca="1">IFERROR(__xludf.DUMMYFUNCTION("""COMPUTED_VALUE"""),"13YOM student walked into classroom with 35 students present and pointed gun at the teacher. She fled into the hallway and went to get help. The shooter surrendered a short time later to a police officer. Shooter had a list of 8 teacher's names and 50 rou"&amp;"nds of ammo. Shooter had no prior problems or documented issues at the school. It was reported that the student had issues at prior school he attended. No shots fired.")</f>
        <v>13YOM student walked into classroom with 35 students present and pointed gun at the teacher. She fled into the hallway and went to get help. The shooter surrendered a short time later to a police officer. Shooter had a list of 8 teacher's names and 50 rounds of ammo. Shooter had no prior problems or documented issues at the school. It was reported that the student had issues at prior school he attended. No shots fired.</v>
      </c>
      <c r="AA1571" s="5" t="str">
        <f ca="1">IFERROR(__xludf.DUMMYFUNCTION("""COMPUTED_VALUE"""),"Hostage/Standoff")</f>
        <v>Hostage/Standoff</v>
      </c>
      <c r="AB1571" s="5" t="str">
        <f ca="1">IFERROR(__xludf.DUMMYFUNCTION("""COMPUTED_VALUE"""),"Victims Targeted")</f>
        <v>Victims Targeted</v>
      </c>
      <c r="AC1571" s="5" t="str">
        <f ca="1">IFERROR(__xludf.DUMMYFUNCTION("""COMPUTED_VALUE"""),"No")</f>
        <v>No</v>
      </c>
      <c r="AD1571" s="5" t="str">
        <f ca="1">IFERROR(__xludf.DUMMYFUNCTION("""COMPUTED_VALUE"""),"Yes")</f>
        <v>Yes</v>
      </c>
      <c r="AE1571" s="5" t="str">
        <f ca="1">IFERROR(__xludf.DUMMYFUNCTION("""COMPUTED_VALUE"""),"No")</f>
        <v>No</v>
      </c>
      <c r="AF1571" s="5" t="str">
        <f ca="1">IFERROR(__xludf.DUMMYFUNCTION("""COMPUTED_VALUE"""),"No")</f>
        <v>No</v>
      </c>
      <c r="AG1571" s="5" t="str">
        <f ca="1">IFERROR(__xludf.DUMMYFUNCTION("""COMPUTED_VALUE"""),"No")</f>
        <v>No</v>
      </c>
      <c r="AH1571" s="5" t="str">
        <f ca="1">IFERROR(__xludf.DUMMYFUNCTION("""COMPUTED_VALUE"""),"No")</f>
        <v>No</v>
      </c>
      <c r="AI1571" s="5" t="str">
        <f ca="1">IFERROR(__xludf.DUMMYFUNCTION("""COMPUTED_VALUE"""),"No")</f>
        <v>No</v>
      </c>
      <c r="AJ1571" s="5" t="str">
        <f ca="1">IFERROR(__xludf.DUMMYFUNCTION("""COMPUTED_VALUE"""),"Yes")</f>
        <v>Yes</v>
      </c>
    </row>
    <row r="1572" spans="1:36" ht="13">
      <c r="A1572" s="5" t="str">
        <f ca="1">IFERROR(__xludf.DUMMYFUNCTION("""COMPUTED_VALUE"""),"20020207ILROC")</f>
        <v>20020207ILROC</v>
      </c>
      <c r="B1572" s="5">
        <f ca="1">IFERROR(__xludf.DUMMYFUNCTION("""COMPUTED_VALUE"""),2)</f>
        <v>2</v>
      </c>
      <c r="C1572" s="5">
        <f ca="1">IFERROR(__xludf.DUMMYFUNCTION("""COMPUTED_VALUE"""),7)</f>
        <v>7</v>
      </c>
      <c r="D1572" s="5">
        <f ca="1">IFERROR(__xludf.DUMMYFUNCTION("""COMPUTED_VALUE"""),2002)</f>
        <v>2002</v>
      </c>
      <c r="E1572" s="8">
        <f ca="1">IFERROR(__xludf.DUMMYFUNCTION("""COMPUTED_VALUE"""),37294)</f>
        <v>37294</v>
      </c>
      <c r="F1572" s="5" t="str">
        <f ca="1">IFERROR(__xludf.DUMMYFUNCTION("""COMPUTED_VALUE"""),"Roosevelt High School")</f>
        <v>Roosevelt High School</v>
      </c>
      <c r="G1572" s="5">
        <f ca="1">IFERROR(__xludf.DUMMYFUNCTION("""COMPUTED_VALUE"""),0)</f>
        <v>0</v>
      </c>
      <c r="H1572" s="5">
        <f ca="1">IFERROR(__xludf.DUMMYFUNCTION("""COMPUTED_VALUE"""),3)</f>
        <v>3</v>
      </c>
      <c r="I1572" s="5">
        <f ca="1">IFERROR(__xludf.DUMMYFUNCTION("""COMPUTED_VALUE"""),3)</f>
        <v>3</v>
      </c>
      <c r="J1572" s="5">
        <f ca="1">IFERROR(__xludf.DUMMYFUNCTION("""COMPUTED_VALUE"""),0)</f>
        <v>0</v>
      </c>
      <c r="K1572" s="9" t="str">
        <f ca="1">IFERROR(__xludf.DUMMYFUNCTION("""COMPUTED_VALUE"""),"https://www.newspapers.com/image/390065452/?terms=Roosevelt%2BHigh%2BSchool%2Bshooting%2BJose%2BVela")</f>
        <v>https://www.newspapers.com/image/390065452/?terms=Roosevelt%2BHigh%2BSchool%2Bshooting%2BJose%2BVela</v>
      </c>
      <c r="L1572" s="5"/>
      <c r="M1572" s="5"/>
      <c r="N1572" s="5">
        <f ca="1">IFERROR(__xludf.DUMMYFUNCTION("""COMPUTED_VALUE"""),2)</f>
        <v>2</v>
      </c>
      <c r="O1572" s="5" t="str">
        <f ca="1">IFERROR(__xludf.DUMMYFUNCTION("""COMPUTED_VALUE"""),"Winter")</f>
        <v>Winter</v>
      </c>
      <c r="P1572" s="5" t="str">
        <f ca="1">IFERROR(__xludf.DUMMYFUNCTION("""COMPUTED_VALUE"""),"Chicago")</f>
        <v>Chicago</v>
      </c>
      <c r="Q1572" s="5" t="str">
        <f ca="1">IFERROR(__xludf.DUMMYFUNCTION("""COMPUTED_VALUE"""),"IL")</f>
        <v>IL</v>
      </c>
      <c r="R1572" s="5" t="str">
        <f ca="1">IFERROR(__xludf.DUMMYFUNCTION("""COMPUTED_VALUE"""),"High")</f>
        <v>High</v>
      </c>
      <c r="S1572" s="5" t="str">
        <f ca="1">IFERROR(__xludf.DUMMYFUNCTION("""COMPUTED_VALUE"""),"Beside Building")</f>
        <v>Beside Building</v>
      </c>
      <c r="T1572" s="5" t="str">
        <f ca="1">IFERROR(__xludf.DUMMYFUNCTION("""COMPUTED_VALUE"""),"Outside on School Property")</f>
        <v>Outside on School Property</v>
      </c>
      <c r="U1572" s="5" t="str">
        <f ca="1">IFERROR(__xludf.DUMMYFUNCTION("""COMPUTED_VALUE"""),"Yes")</f>
        <v>Yes</v>
      </c>
      <c r="V1572" s="5" t="str">
        <f ca="1">IFERROR(__xludf.DUMMYFUNCTION("""COMPUTED_VALUE"""),"Dismissal")</f>
        <v>Dismissal</v>
      </c>
      <c r="W1572" s="10">
        <f ca="1">IFERROR(__xludf.DUMMYFUNCTION("""COMPUTED_VALUE"""),0.618055555555555)</f>
        <v>0.61805555555555503</v>
      </c>
      <c r="X1572" s="5">
        <f ca="1">IFERROR(__xludf.DUMMYFUNCTION("""COMPUTED_VALUE"""),1)</f>
        <v>1</v>
      </c>
      <c r="Y1572" s="5" t="str">
        <f ca="1">IFERROR(__xludf.DUMMYFUNCTION("""COMPUTED_VALUE"""),"Fired during a fist fight striking 2 students who were not involved")</f>
        <v>Fired during a fist fight striking 2 students who were not involved</v>
      </c>
      <c r="Z1572" s="5" t="str">
        <f ca="1">IFERROR(__xludf.DUMMYFUNCTION("""COMPUTED_VALUE"""),"15YOM started firing during a fist fight outside of the school. A 21 YOM was also charged in connection with the fight. 2 uninvolved students were struck in the crossfire.")</f>
        <v>15YOM started firing during a fist fight outside of the school. A 21 YOM was also charged in connection with the fight. 2 uninvolved students were struck in the crossfire.</v>
      </c>
      <c r="AA1572" s="5" t="str">
        <f ca="1">IFERROR(__xludf.DUMMYFUNCTION("""COMPUTED_VALUE"""),"Escalation of Dispute")</f>
        <v>Escalation of Dispute</v>
      </c>
      <c r="AB1572" s="5" t="str">
        <f ca="1">IFERROR(__xludf.DUMMYFUNCTION("""COMPUTED_VALUE"""),"Both")</f>
        <v>Both</v>
      </c>
      <c r="AC1572" s="5" t="str">
        <f ca="1">IFERROR(__xludf.DUMMYFUNCTION("""COMPUTED_VALUE"""),"Yes")</f>
        <v>Yes</v>
      </c>
      <c r="AD1572" s="5" t="str">
        <f ca="1">IFERROR(__xludf.DUMMYFUNCTION("""COMPUTED_VALUE"""),"No")</f>
        <v>No</v>
      </c>
      <c r="AE1572" s="5" t="str">
        <f ca="1">IFERROR(__xludf.DUMMYFUNCTION("""COMPUTED_VALUE"""),"No")</f>
        <v>No</v>
      </c>
      <c r="AF1572" s="5" t="str">
        <f ca="1">IFERROR(__xludf.DUMMYFUNCTION("""COMPUTED_VALUE"""),"No")</f>
        <v>No</v>
      </c>
      <c r="AG1572" s="5" t="str">
        <f ca="1">IFERROR(__xludf.DUMMYFUNCTION("""COMPUTED_VALUE"""),"No")</f>
        <v>No</v>
      </c>
      <c r="AH1572" s="5" t="str">
        <f ca="1">IFERROR(__xludf.DUMMYFUNCTION("""COMPUTED_VALUE"""),"No")</f>
        <v>No</v>
      </c>
      <c r="AI1572" s="5" t="str">
        <f ca="1">IFERROR(__xludf.DUMMYFUNCTION("""COMPUTED_VALUE"""),"No")</f>
        <v>No</v>
      </c>
      <c r="AJ1572" s="5"/>
    </row>
    <row r="1573" spans="1:36" ht="13">
      <c r="A1573" s="5" t="str">
        <f ca="1">IFERROR(__xludf.DUMMYFUNCTION("""COMPUTED_VALUE"""),"20020206CAGAL")</f>
        <v>20020206CAGAL</v>
      </c>
      <c r="B1573" s="5">
        <f ca="1">IFERROR(__xludf.DUMMYFUNCTION("""COMPUTED_VALUE"""),2)</f>
        <v>2</v>
      </c>
      <c r="C1573" s="5">
        <f ca="1">IFERROR(__xludf.DUMMYFUNCTION("""COMPUTED_VALUE"""),6)</f>
        <v>6</v>
      </c>
      <c r="D1573" s="5">
        <f ca="1">IFERROR(__xludf.DUMMYFUNCTION("""COMPUTED_VALUE"""),2002)</f>
        <v>2002</v>
      </c>
      <c r="E1573" s="8">
        <f ca="1">IFERROR(__xludf.DUMMYFUNCTION("""COMPUTED_VALUE"""),37293)</f>
        <v>37293</v>
      </c>
      <c r="F1573" s="5" t="str">
        <f ca="1">IFERROR(__xludf.DUMMYFUNCTION("""COMPUTED_VALUE"""),"Gardena High School")</f>
        <v>Gardena High School</v>
      </c>
      <c r="G1573" s="5">
        <f ca="1">IFERROR(__xludf.DUMMYFUNCTION("""COMPUTED_VALUE"""),0)</f>
        <v>0</v>
      </c>
      <c r="H1573" s="5">
        <f ca="1">IFERROR(__xludf.DUMMYFUNCTION("""COMPUTED_VALUE"""),2)</f>
        <v>2</v>
      </c>
      <c r="I1573" s="5">
        <f ca="1">IFERROR(__xludf.DUMMYFUNCTION("""COMPUTED_VALUE"""),2)</f>
        <v>2</v>
      </c>
      <c r="J1573" s="5">
        <f ca="1">IFERROR(__xludf.DUMMYFUNCTION("""COMPUTED_VALUE"""),0)</f>
        <v>0</v>
      </c>
      <c r="K1573" s="9" t="str">
        <f ca="1">IFERROR(__xludf.DUMMYFUNCTION("""COMPUTED_VALUE"""),"http://articles.latimes.com/2002/feb/07/local/me-shot7")</f>
        <v>http://articles.latimes.com/2002/feb/07/local/me-shot7</v>
      </c>
      <c r="L1573" s="5"/>
      <c r="M1573" s="5"/>
      <c r="N1573" s="5">
        <f ca="1">IFERROR(__xludf.DUMMYFUNCTION("""COMPUTED_VALUE"""),2)</f>
        <v>2</v>
      </c>
      <c r="O1573" s="5" t="str">
        <f ca="1">IFERROR(__xludf.DUMMYFUNCTION("""COMPUTED_VALUE"""),"Winter")</f>
        <v>Winter</v>
      </c>
      <c r="P1573" s="5" t="str">
        <f ca="1">IFERROR(__xludf.DUMMYFUNCTION("""COMPUTED_VALUE"""),"Los Angeles")</f>
        <v>Los Angeles</v>
      </c>
      <c r="Q1573" s="5" t="str">
        <f ca="1">IFERROR(__xludf.DUMMYFUNCTION("""COMPUTED_VALUE"""),"CA")</f>
        <v>CA</v>
      </c>
      <c r="R1573" s="5" t="str">
        <f ca="1">IFERROR(__xludf.DUMMYFUNCTION("""COMPUTED_VALUE"""),"High")</f>
        <v>High</v>
      </c>
      <c r="S1573" s="5" t="str">
        <f ca="1">IFERROR(__xludf.DUMMYFUNCTION("""COMPUTED_VALUE"""),"Bathroom")</f>
        <v>Bathroom</v>
      </c>
      <c r="T1573" s="5" t="str">
        <f ca="1">IFERROR(__xludf.DUMMYFUNCTION("""COMPUTED_VALUE"""),"Inside School Building")</f>
        <v>Inside School Building</v>
      </c>
      <c r="U1573" s="5" t="str">
        <f ca="1">IFERROR(__xludf.DUMMYFUNCTION("""COMPUTED_VALUE"""),"Yes")</f>
        <v>Yes</v>
      </c>
      <c r="V1573" s="5" t="str">
        <f ca="1">IFERROR(__xludf.DUMMYFUNCTION("""COMPUTED_VALUE"""),"Afternoon Classes")</f>
        <v>Afternoon Classes</v>
      </c>
      <c r="W1573" s="10">
        <f ca="1">IFERROR(__xludf.DUMMYFUNCTION("""COMPUTED_VALUE"""),0.618055555555555)</f>
        <v>0.61805555555555503</v>
      </c>
      <c r="X1573" s="5">
        <f ca="1">IFERROR(__xludf.DUMMYFUNCTION("""COMPUTED_VALUE"""),1)</f>
        <v>1</v>
      </c>
      <c r="Y1573" s="5" t="str">
        <f ca="1">IFERROR(__xludf.DUMMYFUNCTION("""COMPUTED_VALUE"""),"Botched robbery in school hallway")</f>
        <v>Botched robbery in school hallway</v>
      </c>
      <c r="Z1573" s="5" t="str">
        <f ca="1">IFERROR(__xludf.DUMMYFUNCTION("""COMPUTED_VALUE"""),"Three teenagers attempted to rob 2 students near the bathroom in the school hallway. When the male student refused to give his money, one of the three teens pulled a gun and fired multiple shot hitting both of them. The three suspects fled and were not id"&amp;"entified. The school was locked down.")</f>
        <v>Three teenagers attempted to rob 2 students near the bathroom in the school hallway. When the male student refused to give his money, one of the three teens pulled a gun and fired multiple shot hitting both of them. The three suspects fled and were not identified. The school was locked down.</v>
      </c>
      <c r="AA1573" s="5" t="str">
        <f ca="1">IFERROR(__xludf.DUMMYFUNCTION("""COMPUTED_VALUE"""),"Illegal Activity")</f>
        <v>Illegal Activity</v>
      </c>
      <c r="AB1573" s="5" t="str">
        <f ca="1">IFERROR(__xludf.DUMMYFUNCTION("""COMPUTED_VALUE"""),"Victims Targeted")</f>
        <v>Victims Targeted</v>
      </c>
      <c r="AC1573" s="5" t="str">
        <f ca="1">IFERROR(__xludf.DUMMYFUNCTION("""COMPUTED_VALUE"""),"Yes")</f>
        <v>Yes</v>
      </c>
      <c r="AD1573" s="5" t="str">
        <f ca="1">IFERROR(__xludf.DUMMYFUNCTION("""COMPUTED_VALUE"""),"No")</f>
        <v>No</v>
      </c>
      <c r="AE1573" s="5" t="str">
        <f ca="1">IFERROR(__xludf.DUMMYFUNCTION("""COMPUTED_VALUE"""),"No")</f>
        <v>No</v>
      </c>
      <c r="AF1573" s="5" t="str">
        <f ca="1">IFERROR(__xludf.DUMMYFUNCTION("""COMPUTED_VALUE"""),"No")</f>
        <v>No</v>
      </c>
      <c r="AG1573" s="5" t="str">
        <f ca="1">IFERROR(__xludf.DUMMYFUNCTION("""COMPUTED_VALUE"""),"No")</f>
        <v>No</v>
      </c>
      <c r="AH1573" s="5" t="str">
        <f ca="1">IFERROR(__xludf.DUMMYFUNCTION("""COMPUTED_VALUE"""),"No")</f>
        <v>No</v>
      </c>
      <c r="AI1573" s="5" t="str">
        <f ca="1">IFERROR(__xludf.DUMMYFUNCTION("""COMPUTED_VALUE"""),"No")</f>
        <v>No</v>
      </c>
      <c r="AJ1573" s="5"/>
    </row>
    <row r="1574" spans="1:36" ht="13">
      <c r="A1574" s="5" t="str">
        <f ca="1">IFERROR(__xludf.DUMMYFUNCTION("""COMPUTED_VALUE"""),"20020201TXBRB")</f>
        <v>20020201TXBRB</v>
      </c>
      <c r="B1574" s="5">
        <f ca="1">IFERROR(__xludf.DUMMYFUNCTION("""COMPUTED_VALUE"""),2)</f>
        <v>2</v>
      </c>
      <c r="C1574" s="5">
        <f ca="1">IFERROR(__xludf.DUMMYFUNCTION("""COMPUTED_VALUE"""),1)</f>
        <v>1</v>
      </c>
      <c r="D1574" s="5">
        <f ca="1">IFERROR(__xludf.DUMMYFUNCTION("""COMPUTED_VALUE"""),2002)</f>
        <v>2002</v>
      </c>
      <c r="E1574" s="8">
        <f ca="1">IFERROR(__xludf.DUMMYFUNCTION("""COMPUTED_VALUE"""),37288)</f>
        <v>37288</v>
      </c>
      <c r="F1574" s="5" t="str">
        <f ca="1">IFERROR(__xludf.DUMMYFUNCTION("""COMPUTED_VALUE"""),"Brock High School")</f>
        <v>Brock High School</v>
      </c>
      <c r="G1574" s="5">
        <f ca="1">IFERROR(__xludf.DUMMYFUNCTION("""COMPUTED_VALUE"""),0)</f>
        <v>0</v>
      </c>
      <c r="H1574" s="5">
        <f ca="1">IFERROR(__xludf.DUMMYFUNCTION("""COMPUTED_VALUE"""),2)</f>
        <v>2</v>
      </c>
      <c r="I1574" s="5">
        <f ca="1">IFERROR(__xludf.DUMMYFUNCTION("""COMPUTED_VALUE"""),2)</f>
        <v>2</v>
      </c>
      <c r="J1574" s="5">
        <f ca="1">IFERROR(__xludf.DUMMYFUNCTION("""COMPUTED_VALUE"""),0)</f>
        <v>0</v>
      </c>
      <c r="K1574" s="9" t="str">
        <f ca="1">IFERROR(__xludf.DUMMYFUNCTION("""COMPUTED_VALUE"""),"https://www.newspapers.com/image/434313780/?terms=thomas%2Bmcadams%2Barrested")</f>
        <v>https://www.newspapers.com/image/434313780/?terms=thomas%2Bmcadams%2Barrested</v>
      </c>
      <c r="L1574" s="5"/>
      <c r="M1574" s="5"/>
      <c r="N1574" s="5">
        <f ca="1">IFERROR(__xludf.DUMMYFUNCTION("""COMPUTED_VALUE"""),2)</f>
        <v>2</v>
      </c>
      <c r="O1574" s="5" t="str">
        <f ca="1">IFERROR(__xludf.DUMMYFUNCTION("""COMPUTED_VALUE"""),"Winter")</f>
        <v>Winter</v>
      </c>
      <c r="P1574" s="5" t="str">
        <f ca="1">IFERROR(__xludf.DUMMYFUNCTION("""COMPUTED_VALUE"""),"Brock")</f>
        <v>Brock</v>
      </c>
      <c r="Q1574" s="5" t="str">
        <f ca="1">IFERROR(__xludf.DUMMYFUNCTION("""COMPUTED_VALUE"""),"TX")</f>
        <v>TX</v>
      </c>
      <c r="R1574" s="5" t="str">
        <f ca="1">IFERROR(__xludf.DUMMYFUNCTION("""COMPUTED_VALUE"""),"High")</f>
        <v>High</v>
      </c>
      <c r="S1574" s="5" t="str">
        <f ca="1">IFERROR(__xludf.DUMMYFUNCTION("""COMPUTED_VALUE"""),"Parking Lot")</f>
        <v>Parking Lot</v>
      </c>
      <c r="T1574" s="5" t="str">
        <f ca="1">IFERROR(__xludf.DUMMYFUNCTION("""COMPUTED_VALUE"""),"Outside on School Property")</f>
        <v>Outside on School Property</v>
      </c>
      <c r="U1574" s="5" t="str">
        <f ca="1">IFERROR(__xludf.DUMMYFUNCTION("""COMPUTED_VALUE"""),"No")</f>
        <v>No</v>
      </c>
      <c r="V1574" s="5" t="str">
        <f ca="1">IFERROR(__xludf.DUMMYFUNCTION("""COMPUTED_VALUE"""),"After School")</f>
        <v>After School</v>
      </c>
      <c r="W1574" s="5"/>
      <c r="X1574" s="5"/>
      <c r="Y1574" s="5" t="str">
        <f ca="1">IFERROR(__xludf.DUMMYFUNCTION("""COMPUTED_VALUE"""),"Man having affair with basketball coach's wife, attacked them in school parking lot")</f>
        <v>Man having affair with basketball coach's wife, attacked them in school parking lot</v>
      </c>
      <c r="Z1574" s="5" t="str">
        <f ca="1">IFERROR(__xludf.DUMMYFUNCTION("""COMPUTED_VALUE"""),"39YOM basketball coach shot wife and assistant coach (having an affair with his wife) in the parking lot of the school.")</f>
        <v>39YOM basketball coach shot wife and assistant coach (having an affair with his wife) in the parking lot of the school.</v>
      </c>
      <c r="AA1574" s="5" t="str">
        <f ca="1">IFERROR(__xludf.DUMMYFUNCTION("""COMPUTED_VALUE"""),"Domestic w/ Targeted Victim")</f>
        <v>Domestic w/ Targeted Victim</v>
      </c>
      <c r="AB1574" s="5" t="str">
        <f ca="1">IFERROR(__xludf.DUMMYFUNCTION("""COMPUTED_VALUE"""),"Victims Targeted")</f>
        <v>Victims Targeted</v>
      </c>
      <c r="AC1574" s="5" t="str">
        <f ca="1">IFERROR(__xludf.DUMMYFUNCTION("""COMPUTED_VALUE"""),"No")</f>
        <v>No</v>
      </c>
      <c r="AD1574" s="5" t="str">
        <f ca="1">IFERROR(__xludf.DUMMYFUNCTION("""COMPUTED_VALUE"""),"No")</f>
        <v>No</v>
      </c>
      <c r="AE1574" s="5" t="str">
        <f ca="1">IFERROR(__xludf.DUMMYFUNCTION("""COMPUTED_VALUE"""),"No")</f>
        <v>No</v>
      </c>
      <c r="AF1574" s="5" t="str">
        <f ca="1">IFERROR(__xludf.DUMMYFUNCTION("""COMPUTED_VALUE"""),"No")</f>
        <v>No</v>
      </c>
      <c r="AG1574" s="5" t="str">
        <f ca="1">IFERROR(__xludf.DUMMYFUNCTION("""COMPUTED_VALUE"""),"No")</f>
        <v>No</v>
      </c>
      <c r="AH1574" s="5" t="str">
        <f ca="1">IFERROR(__xludf.DUMMYFUNCTION("""COMPUTED_VALUE"""),"Yes")</f>
        <v>Yes</v>
      </c>
      <c r="AI1574" s="5" t="str">
        <f ca="1">IFERROR(__xludf.DUMMYFUNCTION("""COMPUTED_VALUE"""),"No")</f>
        <v>No</v>
      </c>
      <c r="AJ1574" s="5"/>
    </row>
    <row r="1575" spans="1:36" ht="13">
      <c r="A1575" s="5" t="str">
        <f ca="1">IFERROR(__xludf.DUMMYFUNCTION("""COMPUTED_VALUE"""),"20020124PAOLO")</f>
        <v>20020124PAOLO</v>
      </c>
      <c r="B1575" s="5">
        <f ca="1">IFERROR(__xludf.DUMMYFUNCTION("""COMPUTED_VALUE"""),1)</f>
        <v>1</v>
      </c>
      <c r="C1575" s="5">
        <f ca="1">IFERROR(__xludf.DUMMYFUNCTION("""COMPUTED_VALUE"""),24)</f>
        <v>24</v>
      </c>
      <c r="D1575" s="5">
        <f ca="1">IFERROR(__xludf.DUMMYFUNCTION("""COMPUTED_VALUE"""),2002)</f>
        <v>2002</v>
      </c>
      <c r="E1575" s="8">
        <f ca="1">IFERROR(__xludf.DUMMYFUNCTION("""COMPUTED_VALUE"""),37280)</f>
        <v>37280</v>
      </c>
      <c r="F1575" s="5" t="str">
        <f ca="1">IFERROR(__xludf.DUMMYFUNCTION("""COMPUTED_VALUE"""),"Oley High School (bus)")</f>
        <v>Oley High School (bus)</v>
      </c>
      <c r="G1575" s="5">
        <f ca="1">IFERROR(__xludf.DUMMYFUNCTION("""COMPUTED_VALUE"""),0)</f>
        <v>0</v>
      </c>
      <c r="H1575" s="5">
        <f ca="1">IFERROR(__xludf.DUMMYFUNCTION("""COMPUTED_VALUE"""),0)</f>
        <v>0</v>
      </c>
      <c r="I1575" s="5">
        <f ca="1">IFERROR(__xludf.DUMMYFUNCTION("""COMPUTED_VALUE"""),0)</f>
        <v>0</v>
      </c>
      <c r="J1575" s="5">
        <f ca="1">IFERROR(__xludf.DUMMYFUNCTION("""COMPUTED_VALUE"""),0)</f>
        <v>0</v>
      </c>
      <c r="K1575" s="9" t="str">
        <f ca="1">IFERROR(__xludf.DUMMYFUNCTION("""COMPUTED_VALUE"""),"http://articles.mcall.com/2003-09-24/news/3482461_1_berks-christian-school-otto-nuss-bus-driver")</f>
        <v>http://articles.mcall.com/2003-09-24/news/3482461_1_berks-christian-school-otto-nuss-bus-driver</v>
      </c>
      <c r="L1575" s="5"/>
      <c r="M1575" s="5"/>
      <c r="N1575" s="5">
        <f ca="1">IFERROR(__xludf.DUMMYFUNCTION("""COMPUTED_VALUE"""),2)</f>
        <v>2</v>
      </c>
      <c r="O1575" s="5" t="str">
        <f ca="1">IFERROR(__xludf.DUMMYFUNCTION("""COMPUTED_VALUE"""),"Winter")</f>
        <v>Winter</v>
      </c>
      <c r="P1575" s="5" t="str">
        <f ca="1">IFERROR(__xludf.DUMMYFUNCTION("""COMPUTED_VALUE"""),"Oley")</f>
        <v>Oley</v>
      </c>
      <c r="Q1575" s="5" t="str">
        <f ca="1">IFERROR(__xludf.DUMMYFUNCTION("""COMPUTED_VALUE"""),"PA")</f>
        <v>PA</v>
      </c>
      <c r="R1575" s="5" t="str">
        <f ca="1">IFERROR(__xludf.DUMMYFUNCTION("""COMPUTED_VALUE"""),"High")</f>
        <v>High</v>
      </c>
      <c r="S1575" s="5" t="str">
        <f ca="1">IFERROR(__xludf.DUMMYFUNCTION("""COMPUTED_VALUE"""),"School Bus")</f>
        <v>School Bus</v>
      </c>
      <c r="T1575" s="5" t="str">
        <f ca="1">IFERROR(__xludf.DUMMYFUNCTION("""COMPUTED_VALUE"""),"School Bus")</f>
        <v>School Bus</v>
      </c>
      <c r="U1575" s="5" t="str">
        <f ca="1">IFERROR(__xludf.DUMMYFUNCTION("""COMPUTED_VALUE"""),"Yes")</f>
        <v>Yes</v>
      </c>
      <c r="V1575" s="5" t="str">
        <f ca="1">IFERROR(__xludf.DUMMYFUNCTION("""COMPUTED_VALUE"""),"Before School")</f>
        <v>Before School</v>
      </c>
      <c r="W1575" s="5"/>
      <c r="X1575" s="5">
        <f ca="1">IFERROR(__xludf.DUMMYFUNCTION("""COMPUTED_VALUE"""),360)</f>
        <v>360</v>
      </c>
      <c r="Y1575" s="5" t="str">
        <f ca="1">IFERROR(__xludf.DUMMYFUNCTION("""COMPUTED_VALUE"""),"Bus driver with rifle kidnapped 13 students and drove them 150 miles to area near Washington, DC")</f>
        <v>Bus driver with rifle kidnapped 13 students and drove them 150 miles to area near Washington, DC</v>
      </c>
      <c r="Z1575" s="5" t="str">
        <f ca="1">IFERROR(__xludf.DUMMYFUNCTION("""COMPUTED_VALUE"""),"63 YOM bus driver with semi auto rifle kidnapped 13 students and drove them 150 miles from their school to Landover, MD. Bus driver surrendered to a security guard at a family dollar store. Bus driver had recently stopped taking drugs to control schizophr"&amp;"enia and had become obsessed with the 9/11 attacks.")</f>
        <v>63 YOM bus driver with semi auto rifle kidnapped 13 students and drove them 150 miles from their school to Landover, MD. Bus driver surrendered to a security guard at a family dollar store. Bus driver had recently stopped taking drugs to control schizophrenia and had become obsessed with the 9/11 attacks.</v>
      </c>
      <c r="AA1575" s="5" t="str">
        <f ca="1">IFERROR(__xludf.DUMMYFUNCTION("""COMPUTED_VALUE"""),"Hostage/Standoff")</f>
        <v>Hostage/Standoff</v>
      </c>
      <c r="AB1575" s="5" t="str">
        <f ca="1">IFERROR(__xludf.DUMMYFUNCTION("""COMPUTED_VALUE"""),"Neither")</f>
        <v>Neither</v>
      </c>
      <c r="AC1575" s="5" t="str">
        <f ca="1">IFERROR(__xludf.DUMMYFUNCTION("""COMPUTED_VALUE"""),"No")</f>
        <v>No</v>
      </c>
      <c r="AD1575" s="5" t="str">
        <f ca="1">IFERROR(__xludf.DUMMYFUNCTION("""COMPUTED_VALUE"""),"Yes")</f>
        <v>Yes</v>
      </c>
      <c r="AE1575" s="5" t="str">
        <f ca="1">IFERROR(__xludf.DUMMYFUNCTION("""COMPUTED_VALUE"""),"No")</f>
        <v>No</v>
      </c>
      <c r="AF1575" s="5" t="str">
        <f ca="1">IFERROR(__xludf.DUMMYFUNCTION("""COMPUTED_VALUE"""),"No")</f>
        <v>No</v>
      </c>
      <c r="AG1575" s="5" t="str">
        <f ca="1">IFERROR(__xludf.DUMMYFUNCTION("""COMPUTED_VALUE"""),"No")</f>
        <v>No</v>
      </c>
      <c r="AH1575" s="5" t="str">
        <f ca="1">IFERROR(__xludf.DUMMYFUNCTION("""COMPUTED_VALUE"""),"No")</f>
        <v>No</v>
      </c>
      <c r="AI1575" s="5" t="str">
        <f ca="1">IFERROR(__xludf.DUMMYFUNCTION("""COMPUTED_VALUE"""),"No")</f>
        <v>No</v>
      </c>
      <c r="AJ1575" s="5"/>
    </row>
    <row r="1576" spans="1:36" ht="13">
      <c r="A1576" s="5" t="str">
        <f ca="1">IFERROR(__xludf.DUMMYFUNCTION("""COMPUTED_VALUE"""),"20020115NYMAN")</f>
        <v>20020115NYMAN</v>
      </c>
      <c r="B1576" s="5">
        <f ca="1">IFERROR(__xludf.DUMMYFUNCTION("""COMPUTED_VALUE"""),1)</f>
        <v>1</v>
      </c>
      <c r="C1576" s="5">
        <f ca="1">IFERROR(__xludf.DUMMYFUNCTION("""COMPUTED_VALUE"""),15)</f>
        <v>15</v>
      </c>
      <c r="D1576" s="5">
        <f ca="1">IFERROR(__xludf.DUMMYFUNCTION("""COMPUTED_VALUE"""),2002)</f>
        <v>2002</v>
      </c>
      <c r="E1576" s="8">
        <f ca="1">IFERROR(__xludf.DUMMYFUNCTION("""COMPUTED_VALUE"""),37271)</f>
        <v>37271</v>
      </c>
      <c r="F1576" s="5" t="str">
        <f ca="1">IFERROR(__xludf.DUMMYFUNCTION("""COMPUTED_VALUE"""),"Martin Luther King, Jr. High School")</f>
        <v>Martin Luther King, Jr. High School</v>
      </c>
      <c r="G1576" s="5">
        <f ca="1">IFERROR(__xludf.DUMMYFUNCTION("""COMPUTED_VALUE"""),0)</f>
        <v>0</v>
      </c>
      <c r="H1576" s="5">
        <f ca="1">IFERROR(__xludf.DUMMYFUNCTION("""COMPUTED_VALUE"""),2)</f>
        <v>2</v>
      </c>
      <c r="I1576" s="5">
        <f ca="1">IFERROR(__xludf.DUMMYFUNCTION("""COMPUTED_VALUE"""),2)</f>
        <v>2</v>
      </c>
      <c r="J1576" s="5">
        <f ca="1">IFERROR(__xludf.DUMMYFUNCTION("""COMPUTED_VALUE"""),0)</f>
        <v>0</v>
      </c>
      <c r="K1576" s="9" t="str">
        <f ca="1">IFERROR(__xludf.DUMMYFUNCTION("""COMPUTED_VALUE"""),"https://www.cbsnews.com/news/arrest-in-nyc-school-shooting/")</f>
        <v>https://www.cbsnews.com/news/arrest-in-nyc-school-shooting/</v>
      </c>
      <c r="L1576" s="5"/>
      <c r="M1576" s="5"/>
      <c r="N1576" s="5">
        <f ca="1">IFERROR(__xludf.DUMMYFUNCTION("""COMPUTED_VALUE"""),2)</f>
        <v>2</v>
      </c>
      <c r="O1576" s="5" t="str">
        <f ca="1">IFERROR(__xludf.DUMMYFUNCTION("""COMPUTED_VALUE"""),"Winter")</f>
        <v>Winter</v>
      </c>
      <c r="P1576" s="5" t="str">
        <f ca="1">IFERROR(__xludf.DUMMYFUNCTION("""COMPUTED_VALUE"""),"New York")</f>
        <v>New York</v>
      </c>
      <c r="Q1576" s="5" t="str">
        <f ca="1">IFERROR(__xludf.DUMMYFUNCTION("""COMPUTED_VALUE"""),"NY")</f>
        <v>NY</v>
      </c>
      <c r="R1576" s="5" t="str">
        <f ca="1">IFERROR(__xludf.DUMMYFUNCTION("""COMPUTED_VALUE"""),"High")</f>
        <v>High</v>
      </c>
      <c r="S1576" s="5" t="str">
        <f ca="1">IFERROR(__xludf.DUMMYFUNCTION("""COMPUTED_VALUE"""),"Hallway")</f>
        <v>Hallway</v>
      </c>
      <c r="T1576" s="5" t="str">
        <f ca="1">IFERROR(__xludf.DUMMYFUNCTION("""COMPUTED_VALUE"""),"Inside School Building")</f>
        <v>Inside School Building</v>
      </c>
      <c r="U1576" s="5" t="str">
        <f ca="1">IFERROR(__xludf.DUMMYFUNCTION("""COMPUTED_VALUE"""),"Yes")</f>
        <v>Yes</v>
      </c>
      <c r="V1576" s="5" t="str">
        <f ca="1">IFERROR(__xludf.DUMMYFUNCTION("""COMPUTED_VALUE"""),"Afternoon Classes")</f>
        <v>Afternoon Classes</v>
      </c>
      <c r="W1576" s="10">
        <f ca="1">IFERROR(__xludf.DUMMYFUNCTION("""COMPUTED_VALUE"""),0.583333333333333)</f>
        <v>0.58333333333333304</v>
      </c>
      <c r="X1576" s="5">
        <f ca="1">IFERROR(__xludf.DUMMYFUNCTION("""COMPUTED_VALUE"""),1)</f>
        <v>1</v>
      </c>
      <c r="Y1576" s="5" t="str">
        <f ca="1">IFERROR(__xludf.DUMMYFUNCTION("""COMPUTED_VALUE"""),"Two boys teased a girl and pulled a bandana (gang colors) off her head; shot by her boyfriend")</f>
        <v>Two boys teased a girl and pulled a bandana (gang colors) off her head; shot by her boyfriend</v>
      </c>
      <c r="Z1576" s="5" t="str">
        <f ca="1">IFERROR(__xludf.DUMMYFUNCTION("""COMPUTED_VALUE"""),"Shooter fired 2 shots from .380 handgun at two other students as part of ongoing dispute. The victims had made fun of the shooters girlfriend and taken his bandana. School had metal detectors and armed guards.")</f>
        <v>Shooter fired 2 shots from .380 handgun at two other students as part of ongoing dispute. The victims had made fun of the shooters girlfriend and taken his bandana. School had metal detectors and armed guards.</v>
      </c>
      <c r="AA1576" s="5" t="str">
        <f ca="1">IFERROR(__xludf.DUMMYFUNCTION("""COMPUTED_VALUE"""),"Escalation of Dispute")</f>
        <v>Escalation of Dispute</v>
      </c>
      <c r="AB1576" s="5" t="str">
        <f ca="1">IFERROR(__xludf.DUMMYFUNCTION("""COMPUTED_VALUE"""),"Victims Targeted")</f>
        <v>Victims Targeted</v>
      </c>
      <c r="AC1576" s="5" t="str">
        <f ca="1">IFERROR(__xludf.DUMMYFUNCTION("""COMPUTED_VALUE"""),"No")</f>
        <v>No</v>
      </c>
      <c r="AD1576" s="5" t="str">
        <f ca="1">IFERROR(__xludf.DUMMYFUNCTION("""COMPUTED_VALUE"""),"No")</f>
        <v>No</v>
      </c>
      <c r="AE1576" s="5" t="str">
        <f ca="1">IFERROR(__xludf.DUMMYFUNCTION("""COMPUTED_VALUE"""),"No")</f>
        <v>No</v>
      </c>
      <c r="AF1576" s="5" t="str">
        <f ca="1">IFERROR(__xludf.DUMMYFUNCTION("""COMPUTED_VALUE"""),"No")</f>
        <v>No</v>
      </c>
      <c r="AG1576" s="5" t="str">
        <f ca="1">IFERROR(__xludf.DUMMYFUNCTION("""COMPUTED_VALUE"""),"Yes")</f>
        <v>Yes</v>
      </c>
      <c r="AH1576" s="5" t="str">
        <f ca="1">IFERROR(__xludf.DUMMYFUNCTION("""COMPUTED_VALUE"""),"No")</f>
        <v>No</v>
      </c>
      <c r="AI1576" s="5" t="str">
        <f ca="1">IFERROR(__xludf.DUMMYFUNCTION("""COMPUTED_VALUE"""),"Yes")</f>
        <v>Yes</v>
      </c>
      <c r="AJ1576" s="5"/>
    </row>
    <row r="1577" spans="1:36" ht="13">
      <c r="A1577" s="5" t="str">
        <f ca="1">IFERROR(__xludf.DUMMYFUNCTION("""COMPUTED_VALUE"""),"20020111MSRAJ")</f>
        <v>20020111MSRAJ</v>
      </c>
      <c r="B1577" s="5">
        <f ca="1">IFERROR(__xludf.DUMMYFUNCTION("""COMPUTED_VALUE"""),1)</f>
        <v>1</v>
      </c>
      <c r="C1577" s="5">
        <f ca="1">IFERROR(__xludf.DUMMYFUNCTION("""COMPUTED_VALUE"""),11)</f>
        <v>11</v>
      </c>
      <c r="D1577" s="5">
        <f ca="1">IFERROR(__xludf.DUMMYFUNCTION("""COMPUTED_VALUE"""),2002)</f>
        <v>2002</v>
      </c>
      <c r="E1577" s="8">
        <f ca="1">IFERROR(__xludf.DUMMYFUNCTION("""COMPUTED_VALUE"""),37267)</f>
        <v>37267</v>
      </c>
      <c r="F1577" s="5" t="str">
        <f ca="1">IFERROR(__xludf.DUMMYFUNCTION("""COMPUTED_VALUE"""),"Raymond High School")</f>
        <v>Raymond High School</v>
      </c>
      <c r="G1577" s="5">
        <f ca="1">IFERROR(__xludf.DUMMYFUNCTION("""COMPUTED_VALUE"""),0)</f>
        <v>0</v>
      </c>
      <c r="H1577" s="5">
        <f ca="1">IFERROR(__xludf.DUMMYFUNCTION("""COMPUTED_VALUE"""),0)</f>
        <v>0</v>
      </c>
      <c r="I1577" s="5">
        <f ca="1">IFERROR(__xludf.DUMMYFUNCTION("""COMPUTED_VALUE"""),0)</f>
        <v>0</v>
      </c>
      <c r="J1577" s="5">
        <f ca="1">IFERROR(__xludf.DUMMYFUNCTION("""COMPUTED_VALUE"""),0)</f>
        <v>0</v>
      </c>
      <c r="K1577" s="5" t="str">
        <f ca="1">IFERROR(__xludf.DUMMYFUNCTION("""COMPUTED_VALUE"""),"https://www.newspapers.com/image/185798030/?terms=Claiborne%2BGuice%2BHenderson https://www.wlbt.com/story/1331107/no-trial-date-set-in-hostage-case/")</f>
        <v>https://www.newspapers.com/image/185798030/?terms=Claiborne%2BGuice%2BHenderson https://www.wlbt.com/story/1331107/no-trial-date-set-in-hostage-case/</v>
      </c>
      <c r="L1577" s="5">
        <f ca="1">IFERROR(__xludf.DUMMYFUNCTION("""COMPUTED_VALUE"""),1)</f>
        <v>1</v>
      </c>
      <c r="M1577" s="5" t="str">
        <f ca="1">IFERROR(__xludf.DUMMYFUNCTION("""COMPUTED_VALUE"""),"Local")</f>
        <v>Local</v>
      </c>
      <c r="N1577" s="5">
        <f ca="1">IFERROR(__xludf.DUMMYFUNCTION("""COMPUTED_VALUE"""),4)</f>
        <v>4</v>
      </c>
      <c r="O1577" s="5" t="str">
        <f ca="1">IFERROR(__xludf.DUMMYFUNCTION("""COMPUTED_VALUE"""),"Winter")</f>
        <v>Winter</v>
      </c>
      <c r="P1577" s="5" t="str">
        <f ca="1">IFERROR(__xludf.DUMMYFUNCTION("""COMPUTED_VALUE"""),"Jackson")</f>
        <v>Jackson</v>
      </c>
      <c r="Q1577" s="5" t="str">
        <f ca="1">IFERROR(__xludf.DUMMYFUNCTION("""COMPUTED_VALUE"""),"MS")</f>
        <v>MS</v>
      </c>
      <c r="R1577" s="5" t="str">
        <f ca="1">IFERROR(__xludf.DUMMYFUNCTION("""COMPUTED_VALUE"""),"High")</f>
        <v>High</v>
      </c>
      <c r="S1577" s="5" t="str">
        <f ca="1">IFERROR(__xludf.DUMMYFUNCTION("""COMPUTED_VALUE"""),"Office")</f>
        <v>Office</v>
      </c>
      <c r="T1577" s="5" t="str">
        <f ca="1">IFERROR(__xludf.DUMMYFUNCTION("""COMPUTED_VALUE"""),"Inside School Building")</f>
        <v>Inside School Building</v>
      </c>
      <c r="U1577" s="5" t="str">
        <f ca="1">IFERROR(__xludf.DUMMYFUNCTION("""COMPUTED_VALUE"""),"Yes")</f>
        <v>Yes</v>
      </c>
      <c r="V1577" s="5" t="str">
        <f ca="1">IFERROR(__xludf.DUMMYFUNCTION("""COMPUTED_VALUE"""),"Lunch")</f>
        <v>Lunch</v>
      </c>
      <c r="W1577" s="10">
        <f ca="1">IFERROR(__xludf.DUMMYFUNCTION("""COMPUTED_VALUE"""),0.5)</f>
        <v>0.5</v>
      </c>
      <c r="X1577" s="5">
        <f ca="1">IFERROR(__xludf.DUMMYFUNCTION("""COMPUTED_VALUE"""),240)</f>
        <v>240</v>
      </c>
      <c r="Y1577" s="5" t="str">
        <f ca="1">IFERROR(__xludf.DUMMYFUNCTION("""COMPUTED_VALUE"""),"Made threats about school shooting, suspended, took principal hostage next day")</f>
        <v>Made threats about school shooting, suspended, took principal hostage next day</v>
      </c>
      <c r="Z1577" s="5" t="str">
        <f ca="1">IFERROR(__xludf.DUMMYFUNCTION("""COMPUTED_VALUE"""),"18YOM student made threats to teacher and said ""this will be another Pearl"" in reference to a 1997 school shooting in Mississippi that injured 7. Student was suspended for the comment and escorted off the campus by the principal. The next day, the stude"&amp;"nt came to the school with a gun and held the principal and assistant principal hostage for 4 hours before surrendering.")</f>
        <v>18YOM student made threats to teacher and said "this will be another Pearl" in reference to a 1997 school shooting in Mississippi that injured 7. Student was suspended for the comment and escorted off the campus by the principal. The next day, the student came to the school with a gun and held the principal and assistant principal hostage for 4 hours before surrendering.</v>
      </c>
      <c r="AA1577" s="5" t="str">
        <f ca="1">IFERROR(__xludf.DUMMYFUNCTION("""COMPUTED_VALUE"""),"Hostage/Standoff")</f>
        <v>Hostage/Standoff</v>
      </c>
      <c r="AB1577" s="5" t="str">
        <f ca="1">IFERROR(__xludf.DUMMYFUNCTION("""COMPUTED_VALUE"""),"Victims Targeted")</f>
        <v>Victims Targeted</v>
      </c>
      <c r="AC1577" s="5" t="str">
        <f ca="1">IFERROR(__xludf.DUMMYFUNCTION("""COMPUTED_VALUE"""),"No")</f>
        <v>No</v>
      </c>
      <c r="AD1577" s="5" t="str">
        <f ca="1">IFERROR(__xludf.DUMMYFUNCTION("""COMPUTED_VALUE"""),"Yes")</f>
        <v>Yes</v>
      </c>
      <c r="AE1577" s="5" t="str">
        <f ca="1">IFERROR(__xludf.DUMMYFUNCTION("""COMPUTED_VALUE"""),"Yes")</f>
        <v>Yes</v>
      </c>
      <c r="AF1577" s="5" t="str">
        <f ca="1">IFERROR(__xludf.DUMMYFUNCTION("""COMPUTED_VALUE"""),"No")</f>
        <v>No</v>
      </c>
      <c r="AG1577" s="5" t="str">
        <f ca="1">IFERROR(__xludf.DUMMYFUNCTION("""COMPUTED_VALUE"""),"No")</f>
        <v>No</v>
      </c>
      <c r="AH1577" s="5" t="str">
        <f ca="1">IFERROR(__xludf.DUMMYFUNCTION("""COMPUTED_VALUE"""),"No")</f>
        <v>No</v>
      </c>
      <c r="AI1577" s="5" t="str">
        <f ca="1">IFERROR(__xludf.DUMMYFUNCTION("""COMPUTED_VALUE"""),"No")</f>
        <v>No</v>
      </c>
      <c r="AJ1577" s="5" t="str">
        <f ca="1">IFERROR(__xludf.DUMMYFUNCTION("""COMPUTED_VALUE"""),"Yes")</f>
        <v>Yes</v>
      </c>
    </row>
    <row r="1578" spans="1:36" ht="13">
      <c r="A1578" s="5" t="str">
        <f ca="1">IFERROR(__xludf.DUMMYFUNCTION("""COMPUTED_VALUE"""),"20011130TXFRF")</f>
        <v>20011130TXFRF</v>
      </c>
      <c r="B1578" s="5">
        <f ca="1">IFERROR(__xludf.DUMMYFUNCTION("""COMPUTED_VALUE"""),11)</f>
        <v>11</v>
      </c>
      <c r="C1578" s="5">
        <f ca="1">IFERROR(__xludf.DUMMYFUNCTION("""COMPUTED_VALUE"""),30)</f>
        <v>30</v>
      </c>
      <c r="D1578" s="5">
        <f ca="1">IFERROR(__xludf.DUMMYFUNCTION("""COMPUTED_VALUE"""),2001)</f>
        <v>2001</v>
      </c>
      <c r="E1578" s="8">
        <f ca="1">IFERROR(__xludf.DUMMYFUNCTION("""COMPUTED_VALUE"""),37225)</f>
        <v>37225</v>
      </c>
      <c r="F1578" s="5" t="str">
        <f ca="1">IFERROR(__xludf.DUMMYFUNCTION("""COMPUTED_VALUE"""),"Friendswood Junior High School")</f>
        <v>Friendswood Junior High School</v>
      </c>
      <c r="G1578" s="5">
        <f ca="1">IFERROR(__xludf.DUMMYFUNCTION("""COMPUTED_VALUE"""),0)</f>
        <v>0</v>
      </c>
      <c r="H1578" s="5">
        <f ca="1">IFERROR(__xludf.DUMMYFUNCTION("""COMPUTED_VALUE"""),0)</f>
        <v>0</v>
      </c>
      <c r="I1578" s="5">
        <f ca="1">IFERROR(__xludf.DUMMYFUNCTION("""COMPUTED_VALUE"""),0)</f>
        <v>0</v>
      </c>
      <c r="J1578" s="5">
        <f ca="1">IFERROR(__xludf.DUMMYFUNCTION("""COMPUTED_VALUE"""),0)</f>
        <v>0</v>
      </c>
      <c r="K1578" s="9" t="str">
        <f ca="1">IFERROR(__xludf.DUMMYFUNCTION("""COMPUTED_VALUE"""),"https://www.chron.com/news/houston-texas/article/Friendswood-teacher-indicted-over-gunfire-2059926.php")</f>
        <v>https://www.chron.com/news/houston-texas/article/Friendswood-teacher-indicted-over-gunfire-2059926.php</v>
      </c>
      <c r="L1578" s="5"/>
      <c r="M1578" s="5"/>
      <c r="N1578" s="5">
        <f ca="1">IFERROR(__xludf.DUMMYFUNCTION("""COMPUTED_VALUE"""),2)</f>
        <v>2</v>
      </c>
      <c r="O1578" s="5" t="str">
        <f ca="1">IFERROR(__xludf.DUMMYFUNCTION("""COMPUTED_VALUE"""),"Fall")</f>
        <v>Fall</v>
      </c>
      <c r="P1578" s="5" t="str">
        <f ca="1">IFERROR(__xludf.DUMMYFUNCTION("""COMPUTED_VALUE"""),"Friendswood")</f>
        <v>Friendswood</v>
      </c>
      <c r="Q1578" s="5" t="str">
        <f ca="1">IFERROR(__xludf.DUMMYFUNCTION("""COMPUTED_VALUE"""),"TX")</f>
        <v>TX</v>
      </c>
      <c r="R1578" s="5" t="str">
        <f ca="1">IFERROR(__xludf.DUMMYFUNCTION("""COMPUTED_VALUE"""),"High")</f>
        <v>High</v>
      </c>
      <c r="S1578" s="5" t="str">
        <f ca="1">IFERROR(__xludf.DUMMYFUNCTION("""COMPUTED_VALUE"""),"Classroom")</f>
        <v>Classroom</v>
      </c>
      <c r="T1578" s="5" t="str">
        <f ca="1">IFERROR(__xludf.DUMMYFUNCTION("""COMPUTED_VALUE"""),"Inside School Building")</f>
        <v>Inside School Building</v>
      </c>
      <c r="U1578" s="5" t="str">
        <f ca="1">IFERROR(__xludf.DUMMYFUNCTION("""COMPUTED_VALUE"""),"No")</f>
        <v>No</v>
      </c>
      <c r="V1578" s="5" t="str">
        <f ca="1">IFERROR(__xludf.DUMMYFUNCTION("""COMPUTED_VALUE"""),"Before School")</f>
        <v>Before School</v>
      </c>
      <c r="W1578" s="10">
        <f ca="1">IFERROR(__xludf.DUMMYFUNCTION("""COMPUTED_VALUE"""),0.25)</f>
        <v>0.25</v>
      </c>
      <c r="X1578" s="5">
        <f ca="1">IFERROR(__xludf.DUMMYFUNCTION("""COMPUTED_VALUE"""),1)</f>
        <v>1</v>
      </c>
      <c r="Y1578" s="5" t="str">
        <f ca="1">IFERROR(__xludf.DUMMYFUNCTION("""COMPUTED_VALUE"""),"Teacher fired gun in classroom at 6:00, reported shots were fired at her class room at 9:12 AM")</f>
        <v>Teacher fired gun in classroom at 6:00, reported shots were fired at her class room at 9:12 AM</v>
      </c>
      <c r="Z1578" s="5" t="str">
        <f ca="1">IFERROR(__xludf.DUMMYFUNCTION("""COMPUTED_VALUE"""),"54YOF teacher fired a single gunshot inside her classroom at 6:00 AM. At 9:12 AM she reported her classroom was shot at leading to an extended lockdown of the school. Three months later she was charged with discharging the firearm on school property and a"&amp;" shell casing matching a gun she owned was found in the classroom.")</f>
        <v>54YOF teacher fired a single gunshot inside her classroom at 6:00 AM. At 9:12 AM she reported her classroom was shot at leading to an extended lockdown of the school. Three months later she was charged with discharging the firearm on school property and a shell casing matching a gun she owned was found in the classroom.</v>
      </c>
      <c r="AA1578" s="5" t="str">
        <f ca="1">IFERROR(__xludf.DUMMYFUNCTION("""COMPUTED_VALUE"""),"Unknown")</f>
        <v>Unknown</v>
      </c>
      <c r="AB1578" s="5"/>
      <c r="AC1578" s="5" t="str">
        <f ca="1">IFERROR(__xludf.DUMMYFUNCTION("""COMPUTED_VALUE"""),"No")</f>
        <v>No</v>
      </c>
      <c r="AD1578" s="5" t="str">
        <f ca="1">IFERROR(__xludf.DUMMYFUNCTION("""COMPUTED_VALUE"""),"No")</f>
        <v>No</v>
      </c>
      <c r="AE1578" s="5" t="str">
        <f ca="1">IFERROR(__xludf.DUMMYFUNCTION("""COMPUTED_VALUE"""),"No")</f>
        <v>No</v>
      </c>
      <c r="AF1578" s="5" t="str">
        <f ca="1">IFERROR(__xludf.DUMMYFUNCTION("""COMPUTED_VALUE"""),"No")</f>
        <v>No</v>
      </c>
      <c r="AG1578" s="5" t="str">
        <f ca="1">IFERROR(__xludf.DUMMYFUNCTION("""COMPUTED_VALUE"""),"No")</f>
        <v>No</v>
      </c>
      <c r="AH1578" s="5" t="str">
        <f ca="1">IFERROR(__xludf.DUMMYFUNCTION("""COMPUTED_VALUE"""),"No")</f>
        <v>No</v>
      </c>
      <c r="AI1578" s="5" t="str">
        <f ca="1">IFERROR(__xludf.DUMMYFUNCTION("""COMPUTED_VALUE"""),"No")</f>
        <v>No</v>
      </c>
      <c r="AJ1578" s="5"/>
    </row>
    <row r="1579" spans="1:36" ht="13">
      <c r="A1579" s="5" t="str">
        <f ca="1">IFERROR(__xludf.DUMMYFUNCTION("""COMPUTED_VALUE"""),"20011112MICAC")</f>
        <v>20011112MICAC</v>
      </c>
      <c r="B1579" s="5">
        <f ca="1">IFERROR(__xludf.DUMMYFUNCTION("""COMPUTED_VALUE"""),11)</f>
        <v>11</v>
      </c>
      <c r="C1579" s="5">
        <f ca="1">IFERROR(__xludf.DUMMYFUNCTION("""COMPUTED_VALUE"""),12)</f>
        <v>12</v>
      </c>
      <c r="D1579" s="5">
        <f ca="1">IFERROR(__xludf.DUMMYFUNCTION("""COMPUTED_VALUE"""),2001)</f>
        <v>2001</v>
      </c>
      <c r="E1579" s="8">
        <f ca="1">IFERROR(__xludf.DUMMYFUNCTION("""COMPUTED_VALUE"""),37207)</f>
        <v>37207</v>
      </c>
      <c r="F1579" s="5" t="str">
        <f ca="1">IFERROR(__xludf.DUMMYFUNCTION("""COMPUTED_VALUE"""),"Caro Learning Center")</f>
        <v>Caro Learning Center</v>
      </c>
      <c r="G1579" s="5">
        <f ca="1">IFERROR(__xludf.DUMMYFUNCTION("""COMPUTED_VALUE"""),0)</f>
        <v>0</v>
      </c>
      <c r="H1579" s="5">
        <f ca="1">IFERROR(__xludf.DUMMYFUNCTION("""COMPUTED_VALUE"""),0)</f>
        <v>0</v>
      </c>
      <c r="I1579" s="5">
        <f ca="1">IFERROR(__xludf.DUMMYFUNCTION("""COMPUTED_VALUE"""),0)</f>
        <v>0</v>
      </c>
      <c r="J1579" s="5">
        <f ca="1">IFERROR(__xludf.DUMMYFUNCTION("""COMPUTED_VALUE"""),1)</f>
        <v>1</v>
      </c>
      <c r="K1579" s="9" t="str">
        <f ca="1">IFERROR(__xludf.DUMMYFUNCTION("""COMPUTED_VALUE"""),"https://www.michigandaily.com/content/17-year-old-takes-hostages-school-commits-suicide")</f>
        <v>https://www.michigandaily.com/content/17-year-old-takes-hostages-school-commits-suicide</v>
      </c>
      <c r="L1579" s="5"/>
      <c r="M1579" s="5"/>
      <c r="N1579" s="5">
        <f ca="1">IFERROR(__xludf.DUMMYFUNCTION("""COMPUTED_VALUE"""),2)</f>
        <v>2</v>
      </c>
      <c r="O1579" s="5" t="str">
        <f ca="1">IFERROR(__xludf.DUMMYFUNCTION("""COMPUTED_VALUE"""),"Fall")</f>
        <v>Fall</v>
      </c>
      <c r="P1579" s="5" t="str">
        <f ca="1">IFERROR(__xludf.DUMMYFUNCTION("""COMPUTED_VALUE"""),"Caro")</f>
        <v>Caro</v>
      </c>
      <c r="Q1579" s="5" t="str">
        <f ca="1">IFERROR(__xludf.DUMMYFUNCTION("""COMPUTED_VALUE"""),"MI")</f>
        <v>MI</v>
      </c>
      <c r="R1579" s="5" t="str">
        <f ca="1">IFERROR(__xludf.DUMMYFUNCTION("""COMPUTED_VALUE"""),"High")</f>
        <v>High</v>
      </c>
      <c r="S1579" s="5" t="str">
        <f ca="1">IFERROR(__xludf.DUMMYFUNCTION("""COMPUTED_VALUE"""),"Classroom")</f>
        <v>Classroom</v>
      </c>
      <c r="T1579" s="5" t="str">
        <f ca="1">IFERROR(__xludf.DUMMYFUNCTION("""COMPUTED_VALUE"""),"Inside School Building")</f>
        <v>Inside School Building</v>
      </c>
      <c r="U1579" s="5" t="str">
        <f ca="1">IFERROR(__xludf.DUMMYFUNCTION("""COMPUTED_VALUE"""),"Yes")</f>
        <v>Yes</v>
      </c>
      <c r="V1579" s="5" t="str">
        <f ca="1">IFERROR(__xludf.DUMMYFUNCTION("""COMPUTED_VALUE"""),"Afternoon Classes")</f>
        <v>Afternoon Classes</v>
      </c>
      <c r="W1579" s="10">
        <f ca="1">IFERROR(__xludf.DUMMYFUNCTION("""COMPUTED_VALUE"""),0.611111111111111)</f>
        <v>0.61111111111111105</v>
      </c>
      <c r="X1579" s="5">
        <f ca="1">IFERROR(__xludf.DUMMYFUNCTION("""COMPUTED_VALUE"""),216)</f>
        <v>216</v>
      </c>
      <c r="Y1579" s="5" t="str">
        <f ca="1">IFERROR(__xludf.DUMMYFUNCTION("""COMPUTED_VALUE"""),"Upset about break-up, looking for girlfriend, took other student and teacher hostage, commit suicide")</f>
        <v>Upset about break-up, looking for girlfriend, took other student and teacher hostage, commit suicide</v>
      </c>
      <c r="Z1579" s="5" t="str">
        <f ca="1">IFERROR(__xludf.DUMMYFUNCTION("""COMPUTED_VALUE"""),"17YOM former student (expelled) was upset about breakup with girlfriend 2 days prior. He went to school looking for her but she wasn't there. Had a .22 rifle and shotgun. In the science classroom he took a 15 YOF student and the teacher hostage for almost"&amp;" 3 hours before shooting himself when police entered. Principal said he did not believe the student was violent or worry about him when he was expelled. Weapons: 20-gauge shotgun, .22 rifle")</f>
        <v>17YOM former student (expelled) was upset about breakup with girlfriend 2 days prior. He went to school looking for her but she wasn't there. Had a .22 rifle and shotgun. In the science classroom he took a 15 YOF student and the teacher hostage for almost 3 hours before shooting himself when police entered. Principal said he did not believe the student was violent or worry about him when he was expelled. Weapons: 20-gauge shotgun, .22 rifle</v>
      </c>
      <c r="AA1579" s="5" t="str">
        <f ca="1">IFERROR(__xludf.DUMMYFUNCTION("""COMPUTED_VALUE"""),"Hostage/Standoff")</f>
        <v>Hostage/Standoff</v>
      </c>
      <c r="AB1579" s="5" t="str">
        <f ca="1">IFERROR(__xludf.DUMMYFUNCTION("""COMPUTED_VALUE"""),"Victims Targeted")</f>
        <v>Victims Targeted</v>
      </c>
      <c r="AC1579" s="5" t="str">
        <f ca="1">IFERROR(__xludf.DUMMYFUNCTION("""COMPUTED_VALUE"""),"No")</f>
        <v>No</v>
      </c>
      <c r="AD1579" s="5" t="str">
        <f ca="1">IFERROR(__xludf.DUMMYFUNCTION("""COMPUTED_VALUE"""),"Yes")</f>
        <v>Yes</v>
      </c>
      <c r="AE1579" s="5" t="str">
        <f ca="1">IFERROR(__xludf.DUMMYFUNCTION("""COMPUTED_VALUE"""),"Yes")</f>
        <v>Yes</v>
      </c>
      <c r="AF1579" s="5" t="str">
        <f ca="1">IFERROR(__xludf.DUMMYFUNCTION("""COMPUTED_VALUE"""),"No")</f>
        <v>No</v>
      </c>
      <c r="AG1579" s="5" t="str">
        <f ca="1">IFERROR(__xludf.DUMMYFUNCTION("""COMPUTED_VALUE"""),"No")</f>
        <v>No</v>
      </c>
      <c r="AH1579" s="5" t="str">
        <f ca="1">IFERROR(__xludf.DUMMYFUNCTION("""COMPUTED_VALUE"""),"No")</f>
        <v>No</v>
      </c>
      <c r="AI1579" s="5" t="str">
        <f ca="1">IFERROR(__xludf.DUMMYFUNCTION("""COMPUTED_VALUE"""),"No")</f>
        <v>No</v>
      </c>
      <c r="AJ1579" s="5" t="str">
        <f ca="1">IFERROR(__xludf.DUMMYFUNCTION("""COMPUTED_VALUE"""),"Yes")</f>
        <v>Yes</v>
      </c>
    </row>
    <row r="1580" spans="1:36" ht="13">
      <c r="A1580" s="5" t="str">
        <f ca="1">IFERROR(__xludf.DUMMYFUNCTION("""COMPUTED_VALUE"""),"20011026MIBES")</f>
        <v>20011026MIBES</v>
      </c>
      <c r="B1580" s="5">
        <f ca="1">IFERROR(__xludf.DUMMYFUNCTION("""COMPUTED_VALUE"""),10)</f>
        <v>10</v>
      </c>
      <c r="C1580" s="5">
        <f ca="1">IFERROR(__xludf.DUMMYFUNCTION("""COMPUTED_VALUE"""),26)</f>
        <v>26</v>
      </c>
      <c r="D1580" s="5">
        <f ca="1">IFERROR(__xludf.DUMMYFUNCTION("""COMPUTED_VALUE"""),2001)</f>
        <v>2001</v>
      </c>
      <c r="E1580" s="8">
        <f ca="1">IFERROR(__xludf.DUMMYFUNCTION("""COMPUTED_VALUE"""),37190)</f>
        <v>37190</v>
      </c>
      <c r="F1580" s="5" t="str">
        <f ca="1">IFERROR(__xludf.DUMMYFUNCTION("""COMPUTED_VALUE"""),"Benito Juarez Academy")</f>
        <v>Benito Juarez Academy</v>
      </c>
      <c r="G1580" s="5">
        <f ca="1">IFERROR(__xludf.DUMMYFUNCTION("""COMPUTED_VALUE"""),0)</f>
        <v>0</v>
      </c>
      <c r="H1580" s="5">
        <f ca="1">IFERROR(__xludf.DUMMYFUNCTION("""COMPUTED_VALUE"""),1)</f>
        <v>1</v>
      </c>
      <c r="I1580" s="5">
        <f ca="1">IFERROR(__xludf.DUMMYFUNCTION("""COMPUTED_VALUE"""),1)</f>
        <v>1</v>
      </c>
      <c r="J1580" s="5">
        <f ca="1">IFERROR(__xludf.DUMMYFUNCTION("""COMPUTED_VALUE"""),0)</f>
        <v>0</v>
      </c>
      <c r="K1580" s="9" t="str">
        <f ca="1">IFERROR(__xludf.DUMMYFUNCTION("""COMPUTED_VALUE"""),"https://www.newspapers.com/image/220634008/?terms=High%2BSchool%2BSaginaw%2Bgun%2Bjacket")</f>
        <v>https://www.newspapers.com/image/220634008/?terms=High%2BSchool%2BSaginaw%2Bgun%2Bjacket</v>
      </c>
      <c r="L1580" s="5"/>
      <c r="M1580" s="5"/>
      <c r="N1580" s="5">
        <f ca="1">IFERROR(__xludf.DUMMYFUNCTION("""COMPUTED_VALUE"""),2)</f>
        <v>2</v>
      </c>
      <c r="O1580" s="5" t="str">
        <f ca="1">IFERROR(__xludf.DUMMYFUNCTION("""COMPUTED_VALUE"""),"Fall")</f>
        <v>Fall</v>
      </c>
      <c r="P1580" s="5" t="str">
        <f ca="1">IFERROR(__xludf.DUMMYFUNCTION("""COMPUTED_VALUE"""),"Siginaw")</f>
        <v>Siginaw</v>
      </c>
      <c r="Q1580" s="5" t="str">
        <f ca="1">IFERROR(__xludf.DUMMYFUNCTION("""COMPUTED_VALUE"""),"MI")</f>
        <v>MI</v>
      </c>
      <c r="R1580" s="5" t="str">
        <f ca="1">IFERROR(__xludf.DUMMYFUNCTION("""COMPUTED_VALUE"""),"High")</f>
        <v>High</v>
      </c>
      <c r="S1580" s="5" t="str">
        <f ca="1">IFERROR(__xludf.DUMMYFUNCTION("""COMPUTED_VALUE"""),"Beside Building")</f>
        <v>Beside Building</v>
      </c>
      <c r="T1580" s="5" t="str">
        <f ca="1">IFERROR(__xludf.DUMMYFUNCTION("""COMPUTED_VALUE"""),"Outside on School Property")</f>
        <v>Outside on School Property</v>
      </c>
      <c r="U1580" s="5" t="str">
        <f ca="1">IFERROR(__xludf.DUMMYFUNCTION("""COMPUTED_VALUE"""),"Yes")</f>
        <v>Yes</v>
      </c>
      <c r="V1580" s="5" t="str">
        <f ca="1">IFERROR(__xludf.DUMMYFUNCTION("""COMPUTED_VALUE"""),"Afternoon Classes")</f>
        <v>Afternoon Classes</v>
      </c>
      <c r="W1580" s="10">
        <f ca="1">IFERROR(__xludf.DUMMYFUNCTION("""COMPUTED_VALUE"""),0.572916666666666)</f>
        <v>0.57291666666666596</v>
      </c>
      <c r="X1580" s="5">
        <f ca="1">IFERROR(__xludf.DUMMYFUNCTION("""COMPUTED_VALUE"""),1)</f>
        <v>1</v>
      </c>
      <c r="Y1580" s="5" t="str">
        <f ca="1">IFERROR(__xludf.DUMMYFUNCTION("""COMPUTED_VALUE"""),"Student tossing jacket back and forth, gun in pocket discharged")</f>
        <v>Student tossing jacket back and forth, gun in pocket discharged</v>
      </c>
      <c r="Z1580" s="5" t="str">
        <f ca="1">IFERROR(__xludf.DUMMYFUNCTION("""COMPUTED_VALUE"""),"Students engaged in horseplay were throwing a jacket back and forth. A gun in the pocket discharged striking a student in the leg.")</f>
        <v>Students engaged in horseplay were throwing a jacket back and forth. A gun in the pocket discharged striking a student in the leg.</v>
      </c>
      <c r="AA1580" s="5" t="str">
        <f ca="1">IFERROR(__xludf.DUMMYFUNCTION("""COMPUTED_VALUE"""),"Accidental")</f>
        <v>Accidental</v>
      </c>
      <c r="AB1580" s="5" t="str">
        <f ca="1">IFERROR(__xludf.DUMMYFUNCTION("""COMPUTED_VALUE"""),"Random Shooting")</f>
        <v>Random Shooting</v>
      </c>
      <c r="AC1580" s="5" t="str">
        <f ca="1">IFERROR(__xludf.DUMMYFUNCTION("""COMPUTED_VALUE"""),"No")</f>
        <v>No</v>
      </c>
      <c r="AD1580" s="5" t="str">
        <f ca="1">IFERROR(__xludf.DUMMYFUNCTION("""COMPUTED_VALUE"""),"No")</f>
        <v>No</v>
      </c>
      <c r="AE1580" s="5" t="str">
        <f ca="1">IFERROR(__xludf.DUMMYFUNCTION("""COMPUTED_VALUE"""),"No")</f>
        <v>No</v>
      </c>
      <c r="AF1580" s="5" t="str">
        <f ca="1">IFERROR(__xludf.DUMMYFUNCTION("""COMPUTED_VALUE"""),"No")</f>
        <v>No</v>
      </c>
      <c r="AG1580" s="5" t="str">
        <f ca="1">IFERROR(__xludf.DUMMYFUNCTION("""COMPUTED_VALUE"""),"No")</f>
        <v>No</v>
      </c>
      <c r="AH1580" s="5" t="str">
        <f ca="1">IFERROR(__xludf.DUMMYFUNCTION("""COMPUTED_VALUE"""),"No")</f>
        <v>No</v>
      </c>
      <c r="AI1580" s="5" t="str">
        <f ca="1">IFERROR(__xludf.DUMMYFUNCTION("""COMPUTED_VALUE"""),"No")</f>
        <v>No</v>
      </c>
      <c r="AJ1580" s="5"/>
    </row>
    <row r="1581" spans="1:36" ht="13">
      <c r="A1581" s="5" t="str">
        <f ca="1">IFERROR(__xludf.DUMMYFUNCTION("""COMPUTED_VALUE"""),"20011026CARER")</f>
        <v>20011026CARER</v>
      </c>
      <c r="B1581" s="5">
        <f ca="1">IFERROR(__xludf.DUMMYFUNCTION("""COMPUTED_VALUE"""),10)</f>
        <v>10</v>
      </c>
      <c r="C1581" s="5">
        <f ca="1">IFERROR(__xludf.DUMMYFUNCTION("""COMPUTED_VALUE"""),26)</f>
        <v>26</v>
      </c>
      <c r="D1581" s="5">
        <f ca="1">IFERROR(__xludf.DUMMYFUNCTION("""COMPUTED_VALUE"""),2001)</f>
        <v>2001</v>
      </c>
      <c r="E1581" s="8">
        <f ca="1">IFERROR(__xludf.DUMMYFUNCTION("""COMPUTED_VALUE"""),37190)</f>
        <v>37190</v>
      </c>
      <c r="F1581" s="5" t="str">
        <f ca="1">IFERROR(__xludf.DUMMYFUNCTION("""COMPUTED_VALUE"""),"Redondo Union High School")</f>
        <v>Redondo Union High School</v>
      </c>
      <c r="G1581" s="5">
        <f ca="1">IFERROR(__xludf.DUMMYFUNCTION("""COMPUTED_VALUE"""),0)</f>
        <v>0</v>
      </c>
      <c r="H1581" s="5">
        <f ca="1">IFERROR(__xludf.DUMMYFUNCTION("""COMPUTED_VALUE"""),1)</f>
        <v>1</v>
      </c>
      <c r="I1581" s="5">
        <f ca="1">IFERROR(__xludf.DUMMYFUNCTION("""COMPUTED_VALUE"""),1)</f>
        <v>1</v>
      </c>
      <c r="J1581" s="5">
        <f ca="1">IFERROR(__xludf.DUMMYFUNCTION("""COMPUTED_VALUE"""),0)</f>
        <v>0</v>
      </c>
      <c r="K1581" s="9" t="str">
        <f ca="1">IFERROR(__xludf.DUMMYFUNCTION("""COMPUTED_VALUE"""),"http://articles.latimes.com/2001/oct/27/local/me-62198")</f>
        <v>http://articles.latimes.com/2001/oct/27/local/me-62198</v>
      </c>
      <c r="L1581" s="5"/>
      <c r="M1581" s="5"/>
      <c r="N1581" s="5">
        <f ca="1">IFERROR(__xludf.DUMMYFUNCTION("""COMPUTED_VALUE"""),2)</f>
        <v>2</v>
      </c>
      <c r="O1581" s="5" t="str">
        <f ca="1">IFERROR(__xludf.DUMMYFUNCTION("""COMPUTED_VALUE"""),"Fall")</f>
        <v>Fall</v>
      </c>
      <c r="P1581" s="5" t="str">
        <f ca="1">IFERROR(__xludf.DUMMYFUNCTION("""COMPUTED_VALUE"""),"Redondo Beach")</f>
        <v>Redondo Beach</v>
      </c>
      <c r="Q1581" s="5" t="str">
        <f ca="1">IFERROR(__xludf.DUMMYFUNCTION("""COMPUTED_VALUE"""),"CA")</f>
        <v>CA</v>
      </c>
      <c r="R1581" s="5" t="str">
        <f ca="1">IFERROR(__xludf.DUMMYFUNCTION("""COMPUTED_VALUE"""),"High")</f>
        <v>High</v>
      </c>
      <c r="S1581" s="5" t="str">
        <f ca="1">IFERROR(__xludf.DUMMYFUNCTION("""COMPUTED_VALUE"""),"Courtyard")</f>
        <v>Courtyard</v>
      </c>
      <c r="T1581" s="5" t="str">
        <f ca="1">IFERROR(__xludf.DUMMYFUNCTION("""COMPUTED_VALUE"""),"Outside on School Property")</f>
        <v>Outside on School Property</v>
      </c>
      <c r="U1581" s="5" t="str">
        <f ca="1">IFERROR(__xludf.DUMMYFUNCTION("""COMPUTED_VALUE"""),"Yes")</f>
        <v>Yes</v>
      </c>
      <c r="V1581" s="5" t="str">
        <f ca="1">IFERROR(__xludf.DUMMYFUNCTION("""COMPUTED_VALUE"""),"Morning Classes")</f>
        <v>Morning Classes</v>
      </c>
      <c r="W1581" s="10">
        <f ca="1">IFERROR(__xludf.DUMMYFUNCTION("""COMPUTED_VALUE"""),0.416666666666666)</f>
        <v>0.41666666666666602</v>
      </c>
      <c r="X1581" s="5">
        <f ca="1">IFERROR(__xludf.DUMMYFUNCTION("""COMPUTED_VALUE"""),1)</f>
        <v>1</v>
      </c>
      <c r="Y1581" s="5" t="str">
        <f ca="1">IFERROR(__xludf.DUMMYFUNCTION("""COMPUTED_VALUE"""),"Gun fell out of backpack, fired, and struck student")</f>
        <v>Gun fell out of backpack, fired, and struck student</v>
      </c>
      <c r="Z1581" s="5" t="str">
        <f ca="1">IFERROR(__xludf.DUMMYFUNCTION("""COMPUTED_VALUE"""),"18YOM had a gun in his backpack. It fell out and fired striking another student. 75 students were present in the outdoor quad of the school and thought a cherry bomb had gone off. 45 minutes later it was determined a gun had gone off. Student went to the "&amp;"nurses office and requested treatment for pain. Taken to hospital and doctors found that he had been shot and his lung was punctured.")</f>
        <v>18YOM had a gun in his backpack. It fell out and fired striking another student. 75 students were present in the outdoor quad of the school and thought a cherry bomb had gone off. 45 minutes later it was determined a gun had gone off. Student went to the nurses office and requested treatment for pain. Taken to hospital and doctors found that he had been shot and his lung was punctured.</v>
      </c>
      <c r="AA1581" s="5" t="str">
        <f ca="1">IFERROR(__xludf.DUMMYFUNCTION("""COMPUTED_VALUE"""),"Accidental")</f>
        <v>Accidental</v>
      </c>
      <c r="AB1581" s="5" t="str">
        <f ca="1">IFERROR(__xludf.DUMMYFUNCTION("""COMPUTED_VALUE"""),"Random Shooting")</f>
        <v>Random Shooting</v>
      </c>
      <c r="AC1581" s="5" t="str">
        <f ca="1">IFERROR(__xludf.DUMMYFUNCTION("""COMPUTED_VALUE"""),"No")</f>
        <v>No</v>
      </c>
      <c r="AD1581" s="5" t="str">
        <f ca="1">IFERROR(__xludf.DUMMYFUNCTION("""COMPUTED_VALUE"""),"No")</f>
        <v>No</v>
      </c>
      <c r="AE1581" s="5" t="str">
        <f ca="1">IFERROR(__xludf.DUMMYFUNCTION("""COMPUTED_VALUE"""),"No")</f>
        <v>No</v>
      </c>
      <c r="AF1581" s="5" t="str">
        <f ca="1">IFERROR(__xludf.DUMMYFUNCTION("""COMPUTED_VALUE"""),"No")</f>
        <v>No</v>
      </c>
      <c r="AG1581" s="5" t="str">
        <f ca="1">IFERROR(__xludf.DUMMYFUNCTION("""COMPUTED_VALUE"""),"No")</f>
        <v>No</v>
      </c>
      <c r="AH1581" s="5" t="str">
        <f ca="1">IFERROR(__xludf.DUMMYFUNCTION("""COMPUTED_VALUE"""),"No")</f>
        <v>No</v>
      </c>
      <c r="AI1581" s="5" t="str">
        <f ca="1">IFERROR(__xludf.DUMMYFUNCTION("""COMPUTED_VALUE"""),"No")</f>
        <v>No</v>
      </c>
      <c r="AJ1581" s="5"/>
    </row>
    <row r="1582" spans="1:36" ht="13">
      <c r="A1582" s="5" t="str">
        <f ca="1">IFERROR(__xludf.DUMMYFUNCTION("""COMPUTED_VALUE"""),"20011012UTTAT")</f>
        <v>20011012UTTAT</v>
      </c>
      <c r="B1582" s="5">
        <f ca="1">IFERROR(__xludf.DUMMYFUNCTION("""COMPUTED_VALUE"""),10)</f>
        <v>10</v>
      </c>
      <c r="C1582" s="5">
        <f ca="1">IFERROR(__xludf.DUMMYFUNCTION("""COMPUTED_VALUE"""),12)</f>
        <v>12</v>
      </c>
      <c r="D1582" s="5">
        <f ca="1">IFERROR(__xludf.DUMMYFUNCTION("""COMPUTED_VALUE"""),2001)</f>
        <v>2001</v>
      </c>
      <c r="E1582" s="8">
        <f ca="1">IFERROR(__xludf.DUMMYFUNCTION("""COMPUTED_VALUE"""),37176)</f>
        <v>37176</v>
      </c>
      <c r="F1582" s="5" t="str">
        <f ca="1">IFERROR(__xludf.DUMMYFUNCTION("""COMPUTED_VALUE"""),"Taylorsville High School")</f>
        <v>Taylorsville High School</v>
      </c>
      <c r="G1582" s="5">
        <f ca="1">IFERROR(__xludf.DUMMYFUNCTION("""COMPUTED_VALUE"""),0)</f>
        <v>0</v>
      </c>
      <c r="H1582" s="5">
        <f ca="1">IFERROR(__xludf.DUMMYFUNCTION("""COMPUTED_VALUE"""),0)</f>
        <v>0</v>
      </c>
      <c r="I1582" s="5">
        <f ca="1">IFERROR(__xludf.DUMMYFUNCTION("""COMPUTED_VALUE"""),0)</f>
        <v>0</v>
      </c>
      <c r="J1582" s="5">
        <f ca="1">IFERROR(__xludf.DUMMYFUNCTION("""COMPUTED_VALUE"""),1)</f>
        <v>1</v>
      </c>
      <c r="K1582" s="9" t="str">
        <f ca="1">IFERROR(__xludf.DUMMYFUNCTION("""COMPUTED_VALUE"""),"https://www.deseretnews.com/article/868847/Boy-shoots-self-at-school.html")</f>
        <v>https://www.deseretnews.com/article/868847/Boy-shoots-self-at-school.html</v>
      </c>
      <c r="L1582" s="5"/>
      <c r="M1582" s="5"/>
      <c r="N1582" s="5">
        <f ca="1">IFERROR(__xludf.DUMMYFUNCTION("""COMPUTED_VALUE"""),2)</f>
        <v>2</v>
      </c>
      <c r="O1582" s="5" t="str">
        <f ca="1">IFERROR(__xludf.DUMMYFUNCTION("""COMPUTED_VALUE"""),"Fall")</f>
        <v>Fall</v>
      </c>
      <c r="P1582" s="5" t="str">
        <f ca="1">IFERROR(__xludf.DUMMYFUNCTION("""COMPUTED_VALUE"""),"Taylorsville")</f>
        <v>Taylorsville</v>
      </c>
      <c r="Q1582" s="5" t="str">
        <f ca="1">IFERROR(__xludf.DUMMYFUNCTION("""COMPUTED_VALUE"""),"UT")</f>
        <v>UT</v>
      </c>
      <c r="R1582" s="5" t="str">
        <f ca="1">IFERROR(__xludf.DUMMYFUNCTION("""COMPUTED_VALUE"""),"High")</f>
        <v>High</v>
      </c>
      <c r="S1582" s="5" t="str">
        <f ca="1">IFERROR(__xludf.DUMMYFUNCTION("""COMPUTED_VALUE"""),"Hallway")</f>
        <v>Hallway</v>
      </c>
      <c r="T1582" s="5" t="str">
        <f ca="1">IFERROR(__xludf.DUMMYFUNCTION("""COMPUTED_VALUE"""),"Inside School Building")</f>
        <v>Inside School Building</v>
      </c>
      <c r="U1582" s="5" t="str">
        <f ca="1">IFERROR(__xludf.DUMMYFUNCTION("""COMPUTED_VALUE"""),"Yes")</f>
        <v>Yes</v>
      </c>
      <c r="V1582" s="5" t="str">
        <f ca="1">IFERROR(__xludf.DUMMYFUNCTION("""COMPUTED_VALUE"""),"Afternoon Classes")</f>
        <v>Afternoon Classes</v>
      </c>
      <c r="W1582" s="5"/>
      <c r="X1582" s="5">
        <f ca="1">IFERROR(__xludf.DUMMYFUNCTION("""COMPUTED_VALUE"""),1)</f>
        <v>1</v>
      </c>
      <c r="Y1582" s="5" t="str">
        <f ca="1">IFERROR(__xludf.DUMMYFUNCTION("""COMPUTED_VALUE"""),"Commit suicide in hallway")</f>
        <v>Commit suicide in hallway</v>
      </c>
      <c r="Z1582" s="5" t="str">
        <f ca="1">IFERROR(__xludf.DUMMYFUNCTION("""COMPUTED_VALUE"""),"17YOM student shot himself once in the hallway while classes were being held. No witnesses. School as locked down.")</f>
        <v>17YOM student shot himself once in the hallway while classes were being held. No witnesses. School as locked down.</v>
      </c>
      <c r="AA1582" s="5" t="str">
        <f ca="1">IFERROR(__xludf.DUMMYFUNCTION("""COMPUTED_VALUE"""),"Suicide/Attempted")</f>
        <v>Suicide/Attempted</v>
      </c>
      <c r="AB1582" s="5" t="str">
        <f ca="1">IFERROR(__xludf.DUMMYFUNCTION("""COMPUTED_VALUE"""),"Victims Targeted")</f>
        <v>Victims Targeted</v>
      </c>
      <c r="AC1582" s="5" t="str">
        <f ca="1">IFERROR(__xludf.DUMMYFUNCTION("""COMPUTED_VALUE"""),"No")</f>
        <v>No</v>
      </c>
      <c r="AD1582" s="5" t="str">
        <f ca="1">IFERROR(__xludf.DUMMYFUNCTION("""COMPUTED_VALUE"""),"No")</f>
        <v>No</v>
      </c>
      <c r="AE1582" s="5" t="str">
        <f ca="1">IFERROR(__xludf.DUMMYFUNCTION("""COMPUTED_VALUE"""),"No")</f>
        <v>No</v>
      </c>
      <c r="AF1582" s="5" t="str">
        <f ca="1">IFERROR(__xludf.DUMMYFUNCTION("""COMPUTED_VALUE"""),"No")</f>
        <v>No</v>
      </c>
      <c r="AG1582" s="5" t="str">
        <f ca="1">IFERROR(__xludf.DUMMYFUNCTION("""COMPUTED_VALUE"""),"No")</f>
        <v>No</v>
      </c>
      <c r="AH1582" s="5" t="str">
        <f ca="1">IFERROR(__xludf.DUMMYFUNCTION("""COMPUTED_VALUE"""),"No")</f>
        <v>No</v>
      </c>
      <c r="AI1582" s="5" t="str">
        <f ca="1">IFERROR(__xludf.DUMMYFUNCTION("""COMPUTED_VALUE"""),"No")</f>
        <v>No</v>
      </c>
      <c r="AJ1582" s="5"/>
    </row>
    <row r="1583" spans="1:36" ht="13">
      <c r="A1583" s="5" t="str">
        <f ca="1">IFERROR(__xludf.DUMMYFUNCTION("""COMPUTED_VALUE"""),"20010921MDLAB")</f>
        <v>20010921MDLAB</v>
      </c>
      <c r="B1583" s="5">
        <f ca="1">IFERROR(__xludf.DUMMYFUNCTION("""COMPUTED_VALUE"""),9)</f>
        <v>9</v>
      </c>
      <c r="C1583" s="5">
        <f ca="1">IFERROR(__xludf.DUMMYFUNCTION("""COMPUTED_VALUE"""),21)</f>
        <v>21</v>
      </c>
      <c r="D1583" s="5">
        <f ca="1">IFERROR(__xludf.DUMMYFUNCTION("""COMPUTED_VALUE"""),2001)</f>
        <v>2001</v>
      </c>
      <c r="E1583" s="8">
        <f ca="1">IFERROR(__xludf.DUMMYFUNCTION("""COMPUTED_VALUE"""),37155)</f>
        <v>37155</v>
      </c>
      <c r="F1583" s="5" t="str">
        <f ca="1">IFERROR(__xludf.DUMMYFUNCTION("""COMPUTED_VALUE"""),"Lake Clifton Eastern High School")</f>
        <v>Lake Clifton Eastern High School</v>
      </c>
      <c r="G1583" s="5">
        <f ca="1">IFERROR(__xludf.DUMMYFUNCTION("""COMPUTED_VALUE"""),0)</f>
        <v>0</v>
      </c>
      <c r="H1583" s="5">
        <f ca="1">IFERROR(__xludf.DUMMYFUNCTION("""COMPUTED_VALUE"""),1)</f>
        <v>1</v>
      </c>
      <c r="I1583" s="5">
        <f ca="1">IFERROR(__xludf.DUMMYFUNCTION("""COMPUTED_VALUE"""),1)</f>
        <v>1</v>
      </c>
      <c r="J1583" s="5">
        <f ca="1">IFERROR(__xludf.DUMMYFUNCTION("""COMPUTED_VALUE"""),0)</f>
        <v>0</v>
      </c>
      <c r="K1583" s="9" t="str">
        <f ca="1">IFERROR(__xludf.DUMMYFUNCTION("""COMPUTED_VALUE"""),"http://articles.baltimoresun.com/2001-09-21/news/0109210200_1_lake-clifton-neighborhood-dispute-inside-the-school")</f>
        <v>http://articles.baltimoresun.com/2001-09-21/news/0109210200_1_lake-clifton-neighborhood-dispute-inside-the-school</v>
      </c>
      <c r="L1583" s="5"/>
      <c r="M1583" s="5"/>
      <c r="N1583" s="5">
        <f ca="1">IFERROR(__xludf.DUMMYFUNCTION("""COMPUTED_VALUE"""),2)</f>
        <v>2</v>
      </c>
      <c r="O1583" s="5" t="str">
        <f ca="1">IFERROR(__xludf.DUMMYFUNCTION("""COMPUTED_VALUE"""),"Fall")</f>
        <v>Fall</v>
      </c>
      <c r="P1583" s="5" t="str">
        <f ca="1">IFERROR(__xludf.DUMMYFUNCTION("""COMPUTED_VALUE"""),"Baltimore")</f>
        <v>Baltimore</v>
      </c>
      <c r="Q1583" s="5" t="str">
        <f ca="1">IFERROR(__xludf.DUMMYFUNCTION("""COMPUTED_VALUE"""),"MD")</f>
        <v>MD</v>
      </c>
      <c r="R1583" s="5" t="str">
        <f ca="1">IFERROR(__xludf.DUMMYFUNCTION("""COMPUTED_VALUE"""),"High")</f>
        <v>High</v>
      </c>
      <c r="S1583" s="5" t="str">
        <f ca="1">IFERROR(__xludf.DUMMYFUNCTION("""COMPUTED_VALUE"""),"Cafeteria")</f>
        <v>Cafeteria</v>
      </c>
      <c r="T1583" s="5" t="str">
        <f ca="1">IFERROR(__xludf.DUMMYFUNCTION("""COMPUTED_VALUE"""),"Inside School Building")</f>
        <v>Inside School Building</v>
      </c>
      <c r="U1583" s="5" t="str">
        <f ca="1">IFERROR(__xludf.DUMMYFUNCTION("""COMPUTED_VALUE"""),"Yes")</f>
        <v>Yes</v>
      </c>
      <c r="V1583" s="5" t="str">
        <f ca="1">IFERROR(__xludf.DUMMYFUNCTION("""COMPUTED_VALUE"""),"Lunch")</f>
        <v>Lunch</v>
      </c>
      <c r="W1583" s="10">
        <f ca="1">IFERROR(__xludf.DUMMYFUNCTION("""COMPUTED_VALUE"""),0.541666666666666)</f>
        <v>0.54166666666666596</v>
      </c>
      <c r="X1583" s="5">
        <f ca="1">IFERROR(__xludf.DUMMYFUNCTION("""COMPUTED_VALUE"""),1)</f>
        <v>1</v>
      </c>
      <c r="Y1583" s="5" t="str">
        <f ca="1">IFERROR(__xludf.DUMMYFUNCTION("""COMPUTED_VALUE"""),"Ongoing fight related to neighborhood dispute between students")</f>
        <v>Ongoing fight related to neighborhood dispute between students</v>
      </c>
      <c r="Z1583" s="5" t="str">
        <f ca="1">IFERROR(__xludf.DUMMYFUNCTION("""COMPUTED_VALUE"""),"16YOM fired two shots at a 17YOM student during a fight at lunch. Police said the shooting was related to an ongoing ""neighborhood dispute"".")</f>
        <v>16YOM fired two shots at a 17YOM student during a fight at lunch. Police said the shooting was related to an ongoing "neighborhood dispute".</v>
      </c>
      <c r="AA1583" s="5" t="str">
        <f ca="1">IFERROR(__xludf.DUMMYFUNCTION("""COMPUTED_VALUE"""),"Escalation of Dispute")</f>
        <v>Escalation of Dispute</v>
      </c>
      <c r="AB1583" s="5" t="str">
        <f ca="1">IFERROR(__xludf.DUMMYFUNCTION("""COMPUTED_VALUE"""),"Victims Targeted")</f>
        <v>Victims Targeted</v>
      </c>
      <c r="AC1583" s="5" t="str">
        <f ca="1">IFERROR(__xludf.DUMMYFUNCTION("""COMPUTED_VALUE"""),"No")</f>
        <v>No</v>
      </c>
      <c r="AD1583" s="5" t="str">
        <f ca="1">IFERROR(__xludf.DUMMYFUNCTION("""COMPUTED_VALUE"""),"No")</f>
        <v>No</v>
      </c>
      <c r="AE1583" s="5" t="str">
        <f ca="1">IFERROR(__xludf.DUMMYFUNCTION("""COMPUTED_VALUE"""),"No")</f>
        <v>No</v>
      </c>
      <c r="AF1583" s="5" t="str">
        <f ca="1">IFERROR(__xludf.DUMMYFUNCTION("""COMPUTED_VALUE"""),"No")</f>
        <v>No</v>
      </c>
      <c r="AG1583" s="5" t="str">
        <f ca="1">IFERROR(__xludf.DUMMYFUNCTION("""COMPUTED_VALUE"""),"No")</f>
        <v>No</v>
      </c>
      <c r="AH1583" s="5" t="str">
        <f ca="1">IFERROR(__xludf.DUMMYFUNCTION("""COMPUTED_VALUE"""),"No")</f>
        <v>No</v>
      </c>
      <c r="AI1583" s="5" t="str">
        <f ca="1">IFERROR(__xludf.DUMMYFUNCTION("""COMPUTED_VALUE"""),"Yes")</f>
        <v>Yes</v>
      </c>
      <c r="AJ1583" s="5"/>
    </row>
    <row r="1584" spans="1:36" ht="13">
      <c r="A1584" s="5" t="str">
        <f ca="1">IFERROR(__xludf.DUMMYFUNCTION("""COMPUTED_VALUE"""),"20010912KYLAC")</f>
        <v>20010912KYLAC</v>
      </c>
      <c r="B1584" s="5">
        <f ca="1">IFERROR(__xludf.DUMMYFUNCTION("""COMPUTED_VALUE"""),9)</f>
        <v>9</v>
      </c>
      <c r="C1584" s="5">
        <f ca="1">IFERROR(__xludf.DUMMYFUNCTION("""COMPUTED_VALUE"""),12)</f>
        <v>12</v>
      </c>
      <c r="D1584" s="5">
        <f ca="1">IFERROR(__xludf.DUMMYFUNCTION("""COMPUTED_VALUE"""),2001)</f>
        <v>2001</v>
      </c>
      <c r="E1584" s="8">
        <f ca="1">IFERROR(__xludf.DUMMYFUNCTION("""COMPUTED_VALUE"""),37146)</f>
        <v>37146</v>
      </c>
      <c r="F1584" s="5" t="str">
        <f ca="1">IFERROR(__xludf.DUMMYFUNCTION("""COMPUTED_VALUE"""),"Latonia Elementary School")</f>
        <v>Latonia Elementary School</v>
      </c>
      <c r="G1584" s="5">
        <f ca="1">IFERROR(__xludf.DUMMYFUNCTION("""COMPUTED_VALUE"""),1)</f>
        <v>1</v>
      </c>
      <c r="H1584" s="5">
        <f ca="1">IFERROR(__xludf.DUMMYFUNCTION("""COMPUTED_VALUE"""),0)</f>
        <v>0</v>
      </c>
      <c r="I1584" s="5">
        <f ca="1">IFERROR(__xludf.DUMMYFUNCTION("""COMPUTED_VALUE"""),1)</f>
        <v>1</v>
      </c>
      <c r="J1584" s="5">
        <f ca="1">IFERROR(__xludf.DUMMYFUNCTION("""COMPUTED_VALUE"""),0)</f>
        <v>0</v>
      </c>
      <c r="K1584" s="9" t="str">
        <f ca="1">IFERROR(__xludf.DUMMYFUNCTION("""COMPUTED_VALUE"""),"http://www.enquirer.com/editions/2001/09/14/loc_children_who_saw.html")</f>
        <v>http://www.enquirer.com/editions/2001/09/14/loc_children_who_saw.html</v>
      </c>
      <c r="L1584" s="5"/>
      <c r="M1584" s="5"/>
      <c r="N1584" s="5">
        <f ca="1">IFERROR(__xludf.DUMMYFUNCTION("""COMPUTED_VALUE"""),2)</f>
        <v>2</v>
      </c>
      <c r="O1584" s="5" t="str">
        <f ca="1">IFERROR(__xludf.DUMMYFUNCTION("""COMPUTED_VALUE"""),"Fall")</f>
        <v>Fall</v>
      </c>
      <c r="P1584" s="5" t="str">
        <f ca="1">IFERROR(__xludf.DUMMYFUNCTION("""COMPUTED_VALUE"""),"Covington")</f>
        <v>Covington</v>
      </c>
      <c r="Q1584" s="5" t="str">
        <f ca="1">IFERROR(__xludf.DUMMYFUNCTION("""COMPUTED_VALUE"""),"KY")</f>
        <v>KY</v>
      </c>
      <c r="R1584" s="5" t="str">
        <f ca="1">IFERROR(__xludf.DUMMYFUNCTION("""COMPUTED_VALUE"""),"Elementary")</f>
        <v>Elementary</v>
      </c>
      <c r="S1584" s="5" t="str">
        <f ca="1">IFERROR(__xludf.DUMMYFUNCTION("""COMPUTED_VALUE"""),"Parking Lot")</f>
        <v>Parking Lot</v>
      </c>
      <c r="T1584" s="5" t="str">
        <f ca="1">IFERROR(__xludf.DUMMYFUNCTION("""COMPUTED_VALUE"""),"Outside on School Property")</f>
        <v>Outside on School Property</v>
      </c>
      <c r="U1584" s="5" t="str">
        <f ca="1">IFERROR(__xludf.DUMMYFUNCTION("""COMPUTED_VALUE"""),"Yes")</f>
        <v>Yes</v>
      </c>
      <c r="V1584" s="5" t="str">
        <f ca="1">IFERROR(__xludf.DUMMYFUNCTION("""COMPUTED_VALUE"""),"Dismissal")</f>
        <v>Dismissal</v>
      </c>
      <c r="W1584" s="10">
        <f ca="1">IFERROR(__xludf.DUMMYFUNCTION("""COMPUTED_VALUE"""),0.625)</f>
        <v>0.625</v>
      </c>
      <c r="X1584" s="5">
        <f ca="1">IFERROR(__xludf.DUMMYFUNCTION("""COMPUTED_VALUE"""),1)</f>
        <v>1</v>
      </c>
      <c r="Y1584" s="5" t="str">
        <f ca="1">IFERROR(__xludf.DUMMYFUNCTION("""COMPUTED_VALUE"""),"Fight between parents escalated into shooting in front of students")</f>
        <v>Fight between parents escalated into shooting in front of students</v>
      </c>
      <c r="Z1584" s="5" t="str">
        <f ca="1">IFERROR(__xludf.DUMMYFUNCTION("""COMPUTED_VALUE"""),"Fight between parents in the parking lot as school was dismissing. 30YOF shot 29 YOF in the neck.")</f>
        <v>Fight between parents in the parking lot as school was dismissing. 30YOF shot 29 YOF in the neck.</v>
      </c>
      <c r="AA1584" s="5" t="str">
        <f ca="1">IFERROR(__xludf.DUMMYFUNCTION("""COMPUTED_VALUE"""),"Escalation of Dispute")</f>
        <v>Escalation of Dispute</v>
      </c>
      <c r="AB1584" s="5" t="str">
        <f ca="1">IFERROR(__xludf.DUMMYFUNCTION("""COMPUTED_VALUE"""),"Victims Targeted")</f>
        <v>Victims Targeted</v>
      </c>
      <c r="AC1584" s="5"/>
      <c r="AD1584" s="5" t="str">
        <f ca="1">IFERROR(__xludf.DUMMYFUNCTION("""COMPUTED_VALUE"""),"No")</f>
        <v>No</v>
      </c>
      <c r="AE1584" s="5" t="str">
        <f ca="1">IFERROR(__xludf.DUMMYFUNCTION("""COMPUTED_VALUE"""),"No")</f>
        <v>No</v>
      </c>
      <c r="AF1584" s="5" t="str">
        <f ca="1">IFERROR(__xludf.DUMMYFUNCTION("""COMPUTED_VALUE"""),"No")</f>
        <v>No</v>
      </c>
      <c r="AG1584" s="5" t="str">
        <f ca="1">IFERROR(__xludf.DUMMYFUNCTION("""COMPUTED_VALUE"""),"No")</f>
        <v>No</v>
      </c>
      <c r="AH1584" s="5" t="str">
        <f ca="1">IFERROR(__xludf.DUMMYFUNCTION("""COMPUTED_VALUE"""),"No")</f>
        <v>No</v>
      </c>
      <c r="AI1584" s="5" t="str">
        <f ca="1">IFERROR(__xludf.DUMMYFUNCTION("""COMPUTED_VALUE"""),"No")</f>
        <v>No</v>
      </c>
      <c r="AJ1584" s="5"/>
    </row>
    <row r="1585" spans="1:36" ht="13">
      <c r="A1585" s="5" t="str">
        <f ca="1">IFERROR(__xludf.DUMMYFUNCTION("""COMPUTED_VALUE"""),"20010730CABEL")</f>
        <v>20010730CABEL</v>
      </c>
      <c r="B1585" s="5">
        <f ca="1">IFERROR(__xludf.DUMMYFUNCTION("""COMPUTED_VALUE"""),7)</f>
        <v>7</v>
      </c>
      <c r="C1585" s="5">
        <f ca="1">IFERROR(__xludf.DUMMYFUNCTION("""COMPUTED_VALUE"""),30)</f>
        <v>30</v>
      </c>
      <c r="D1585" s="5">
        <f ca="1">IFERROR(__xludf.DUMMYFUNCTION("""COMPUTED_VALUE"""),2001)</f>
        <v>2001</v>
      </c>
      <c r="E1585" s="8">
        <f ca="1">IFERROR(__xludf.DUMMYFUNCTION("""COMPUTED_VALUE"""),37102)</f>
        <v>37102</v>
      </c>
      <c r="F1585" s="5" t="str">
        <f ca="1">IFERROR(__xludf.DUMMYFUNCTION("""COMPUTED_VALUE"""),"Belmont High School")</f>
        <v>Belmont High School</v>
      </c>
      <c r="G1585" s="5">
        <f ca="1">IFERROR(__xludf.DUMMYFUNCTION("""COMPUTED_VALUE"""),0)</f>
        <v>0</v>
      </c>
      <c r="H1585" s="5">
        <f ca="1">IFERROR(__xludf.DUMMYFUNCTION("""COMPUTED_VALUE"""),1)</f>
        <v>1</v>
      </c>
      <c r="I1585" s="5">
        <f ca="1">IFERROR(__xludf.DUMMYFUNCTION("""COMPUTED_VALUE"""),1)</f>
        <v>1</v>
      </c>
      <c r="J1585" s="5">
        <f ca="1">IFERROR(__xludf.DUMMYFUNCTION("""COMPUTED_VALUE"""),0)</f>
        <v>0</v>
      </c>
      <c r="K1585" s="9" t="str">
        <f ca="1">IFERROR(__xludf.DUMMYFUNCTION("""COMPUTED_VALUE"""),"http://www.ladowntownnews.com/news/lockdown-at-belmont-high/article_cc919569-fc0c-5517-be27-6e7adfd7e46a.html")</f>
        <v>http://www.ladowntownnews.com/news/lockdown-at-belmont-high/article_cc919569-fc0c-5517-be27-6e7adfd7e46a.html</v>
      </c>
      <c r="L1585" s="5"/>
      <c r="M1585" s="5"/>
      <c r="N1585" s="5">
        <f ca="1">IFERROR(__xludf.DUMMYFUNCTION("""COMPUTED_VALUE"""),2)</f>
        <v>2</v>
      </c>
      <c r="O1585" s="5" t="str">
        <f ca="1">IFERROR(__xludf.DUMMYFUNCTION("""COMPUTED_VALUE"""),"Summer")</f>
        <v>Summer</v>
      </c>
      <c r="P1585" s="5" t="str">
        <f ca="1">IFERROR(__xludf.DUMMYFUNCTION("""COMPUTED_VALUE"""),"Los Angeles")</f>
        <v>Los Angeles</v>
      </c>
      <c r="Q1585" s="5" t="str">
        <f ca="1">IFERROR(__xludf.DUMMYFUNCTION("""COMPUTED_VALUE"""),"CA")</f>
        <v>CA</v>
      </c>
      <c r="R1585" s="5" t="str">
        <f ca="1">IFERROR(__xludf.DUMMYFUNCTION("""COMPUTED_VALUE"""),"High")</f>
        <v>High</v>
      </c>
      <c r="S1585" s="5" t="str">
        <f ca="1">IFERROR(__xludf.DUMMYFUNCTION("""COMPUTED_VALUE"""),"Hallway")</f>
        <v>Hallway</v>
      </c>
      <c r="T1585" s="5" t="str">
        <f ca="1">IFERROR(__xludf.DUMMYFUNCTION("""COMPUTED_VALUE"""),"Inside School Building")</f>
        <v>Inside School Building</v>
      </c>
      <c r="U1585" s="5" t="str">
        <f ca="1">IFERROR(__xludf.DUMMYFUNCTION("""COMPUTED_VALUE"""),"Yes")</f>
        <v>Yes</v>
      </c>
      <c r="V1585" s="5" t="str">
        <f ca="1">IFERROR(__xludf.DUMMYFUNCTION("""COMPUTED_VALUE"""),"School Start")</f>
        <v>School Start</v>
      </c>
      <c r="W1585" s="10">
        <f ca="1">IFERROR(__xludf.DUMMYFUNCTION("""COMPUTED_VALUE"""),0.309027777777777)</f>
        <v>0.30902777777777701</v>
      </c>
      <c r="X1585" s="5">
        <f ca="1">IFERROR(__xludf.DUMMYFUNCTION("""COMPUTED_VALUE"""),1)</f>
        <v>1</v>
      </c>
      <c r="Y1585" s="5" t="str">
        <f ca="1">IFERROR(__xludf.DUMMYFUNCTION("""COMPUTED_VALUE"""),"Police officer shot by teen in school")</f>
        <v>Police officer shot by teen in school</v>
      </c>
      <c r="Z1585" s="5" t="str">
        <f ca="1">IFERROR(__xludf.DUMMYFUNCTION("""COMPUTED_VALUE"""),"Police officer tried to stop 2 teens in the hallway of the school. One pulled a gun and shot him then fled the scene. School was locked down for 6 hours but the suspects were not found.")</f>
        <v>Police officer tried to stop 2 teens in the hallway of the school. One pulled a gun and shot him then fled the scene. School was locked down for 6 hours but the suspects were not found.</v>
      </c>
      <c r="AA1585" s="5" t="str">
        <f ca="1">IFERROR(__xludf.DUMMYFUNCTION("""COMPUTED_VALUE"""),"Escalation of Dispute")</f>
        <v>Escalation of Dispute</v>
      </c>
      <c r="AB1585" s="5"/>
      <c r="AC1585" s="5" t="str">
        <f ca="1">IFERROR(__xludf.DUMMYFUNCTION("""COMPUTED_VALUE"""),"Yes")</f>
        <v>Yes</v>
      </c>
      <c r="AD1585" s="5" t="str">
        <f ca="1">IFERROR(__xludf.DUMMYFUNCTION("""COMPUTED_VALUE"""),"No")</f>
        <v>No</v>
      </c>
      <c r="AE1585" s="5" t="str">
        <f ca="1">IFERROR(__xludf.DUMMYFUNCTION("""COMPUTED_VALUE"""),"No")</f>
        <v>No</v>
      </c>
      <c r="AF1585" s="5" t="str">
        <f ca="1">IFERROR(__xludf.DUMMYFUNCTION("""COMPUTED_VALUE"""),"No")</f>
        <v>No</v>
      </c>
      <c r="AG1585" s="5" t="str">
        <f ca="1">IFERROR(__xludf.DUMMYFUNCTION("""COMPUTED_VALUE"""),"No")</f>
        <v>No</v>
      </c>
      <c r="AH1585" s="5" t="str">
        <f ca="1">IFERROR(__xludf.DUMMYFUNCTION("""COMPUTED_VALUE"""),"No")</f>
        <v>No</v>
      </c>
      <c r="AI1585" s="5"/>
      <c r="AJ1585" s="5"/>
    </row>
    <row r="1586" spans="1:36" ht="13">
      <c r="A1586" s="5" t="str">
        <f ca="1">IFERROR(__xludf.DUMMYFUNCTION("""COMPUTED_VALUE"""),"20010607TXOUA")</f>
        <v>20010607TXOUA</v>
      </c>
      <c r="B1586" s="5">
        <f ca="1">IFERROR(__xludf.DUMMYFUNCTION("""COMPUTED_VALUE"""),6)</f>
        <v>6</v>
      </c>
      <c r="C1586" s="5">
        <f ca="1">IFERROR(__xludf.DUMMYFUNCTION("""COMPUTED_VALUE"""),7)</f>
        <v>7</v>
      </c>
      <c r="D1586" s="5">
        <f ca="1">IFERROR(__xludf.DUMMYFUNCTION("""COMPUTED_VALUE"""),2001)</f>
        <v>2001</v>
      </c>
      <c r="E1586" s="8">
        <f ca="1">IFERROR(__xludf.DUMMYFUNCTION("""COMPUTED_VALUE"""),37049)</f>
        <v>37049</v>
      </c>
      <c r="F1586" s="5" t="str">
        <f ca="1">IFERROR(__xludf.DUMMYFUNCTION("""COMPUTED_VALUE"""),"Ousley Junior High School")</f>
        <v>Ousley Junior High School</v>
      </c>
      <c r="G1586" s="5">
        <f ca="1">IFERROR(__xludf.DUMMYFUNCTION("""COMPUTED_VALUE"""),1)</f>
        <v>1</v>
      </c>
      <c r="H1586" s="5">
        <f ca="1">IFERROR(__xludf.DUMMYFUNCTION("""COMPUTED_VALUE"""),0)</f>
        <v>0</v>
      </c>
      <c r="I1586" s="5">
        <f ca="1">IFERROR(__xludf.DUMMYFUNCTION("""COMPUTED_VALUE"""),1)</f>
        <v>1</v>
      </c>
      <c r="J1586" s="5">
        <f ca="1">IFERROR(__xludf.DUMMYFUNCTION("""COMPUTED_VALUE"""),0)</f>
        <v>0</v>
      </c>
      <c r="K1586" s="5" t="str">
        <f ca="1">IFERROR(__xludf.DUMMYFUNCTION("""COMPUTED_VALUE"""),"https://www.deseretnews.com/article/847030/Policeman-dies-after-being-shot-by-fellow-officer-during-training.html http://articles.latimes.com/2001/jun/08/news/mn-7915")</f>
        <v>https://www.deseretnews.com/article/847030/Policeman-dies-after-being-shot-by-fellow-officer-during-training.html http://articles.latimes.com/2001/jun/08/news/mn-7915</v>
      </c>
      <c r="L1586" s="5"/>
      <c r="M1586" s="5"/>
      <c r="N1586" s="5">
        <f ca="1">IFERROR(__xludf.DUMMYFUNCTION("""COMPUTED_VALUE"""),3)</f>
        <v>3</v>
      </c>
      <c r="O1586" s="5" t="str">
        <f ca="1">IFERROR(__xludf.DUMMYFUNCTION("""COMPUTED_VALUE"""),"Summer")</f>
        <v>Summer</v>
      </c>
      <c r="P1586" s="5" t="str">
        <f ca="1">IFERROR(__xludf.DUMMYFUNCTION("""COMPUTED_VALUE"""),"Arlington")</f>
        <v>Arlington</v>
      </c>
      <c r="Q1586" s="5" t="str">
        <f ca="1">IFERROR(__xludf.DUMMYFUNCTION("""COMPUTED_VALUE"""),"TX")</f>
        <v>TX</v>
      </c>
      <c r="R1586" s="5" t="str">
        <f ca="1">IFERROR(__xludf.DUMMYFUNCTION("""COMPUTED_VALUE"""),"High")</f>
        <v>High</v>
      </c>
      <c r="S1586" s="5" t="str">
        <f ca="1">IFERROR(__xludf.DUMMYFUNCTION("""COMPUTED_VALUE"""),"Hallway")</f>
        <v>Hallway</v>
      </c>
      <c r="T1586" s="5" t="str">
        <f ca="1">IFERROR(__xludf.DUMMYFUNCTION("""COMPUTED_VALUE"""),"Inside School Building")</f>
        <v>Inside School Building</v>
      </c>
      <c r="U1586" s="5" t="str">
        <f ca="1">IFERROR(__xludf.DUMMYFUNCTION("""COMPUTED_VALUE"""),"No")</f>
        <v>No</v>
      </c>
      <c r="V1586" s="5" t="str">
        <f ca="1">IFERROR(__xludf.DUMMYFUNCTION("""COMPUTED_VALUE"""),"Not a School Day")</f>
        <v>Not a School Day</v>
      </c>
      <c r="W1586" s="10">
        <f ca="1">IFERROR(__xludf.DUMMYFUNCTION("""COMPUTED_VALUE"""),0.756944444444444)</f>
        <v>0.75694444444444398</v>
      </c>
      <c r="X1586" s="5">
        <f ca="1">IFERROR(__xludf.DUMMYFUNCTION("""COMPUTED_VALUE"""),1)</f>
        <v>1</v>
      </c>
      <c r="Y1586" s="5" t="str">
        <f ca="1">IFERROR(__xludf.DUMMYFUNCTION("""COMPUTED_VALUE"""),"Officer killed during training drill at school")</f>
        <v>Officer killed during training drill at school</v>
      </c>
      <c r="Z1586" s="5" t="str">
        <f ca="1">IFERROR(__xludf.DUMMYFUNCTION("""COMPUTED_VALUE"""),"Police officer was killed by a real round rather than a training round during a drill at the school.")</f>
        <v>Police officer was killed by a real round rather than a training round during a drill at the school.</v>
      </c>
      <c r="AA1586" s="5" t="str">
        <f ca="1">IFERROR(__xludf.DUMMYFUNCTION("""COMPUTED_VALUE"""),"Accidental")</f>
        <v>Accidental</v>
      </c>
      <c r="AB1586" s="5" t="str">
        <f ca="1">IFERROR(__xludf.DUMMYFUNCTION("""COMPUTED_VALUE"""),"Random Shooting")</f>
        <v>Random Shooting</v>
      </c>
      <c r="AC1586" s="5" t="str">
        <f ca="1">IFERROR(__xludf.DUMMYFUNCTION("""COMPUTED_VALUE"""),"No")</f>
        <v>No</v>
      </c>
      <c r="AD1586" s="5" t="str">
        <f ca="1">IFERROR(__xludf.DUMMYFUNCTION("""COMPUTED_VALUE"""),"No")</f>
        <v>No</v>
      </c>
      <c r="AE1586" s="5" t="str">
        <f ca="1">IFERROR(__xludf.DUMMYFUNCTION("""COMPUTED_VALUE"""),"No")</f>
        <v>No</v>
      </c>
      <c r="AF1586" s="5" t="str">
        <f ca="1">IFERROR(__xludf.DUMMYFUNCTION("""COMPUTED_VALUE"""),"Yes")</f>
        <v>Yes</v>
      </c>
      <c r="AG1586" s="5" t="str">
        <f ca="1">IFERROR(__xludf.DUMMYFUNCTION("""COMPUTED_VALUE"""),"N/A")</f>
        <v>N/A</v>
      </c>
      <c r="AH1586" s="5" t="str">
        <f ca="1">IFERROR(__xludf.DUMMYFUNCTION("""COMPUTED_VALUE"""),"N/A")</f>
        <v>N/A</v>
      </c>
      <c r="AI1586" s="5" t="str">
        <f ca="1">IFERROR(__xludf.DUMMYFUNCTION("""COMPUTED_VALUE"""),"N/A")</f>
        <v>N/A</v>
      </c>
      <c r="AJ1586" s="5" t="str">
        <f ca="1">IFERROR(__xludf.DUMMYFUNCTION("""COMPUTED_VALUE"""),"N/A")</f>
        <v>N/A</v>
      </c>
    </row>
    <row r="1587" spans="1:36" ht="13">
      <c r="A1587" s="5" t="str">
        <f ca="1">IFERROR(__xludf.DUMMYFUNCTION("""COMPUTED_VALUE"""),"20010515TXENE")</f>
        <v>20010515TXENE</v>
      </c>
      <c r="B1587" s="5">
        <f ca="1">IFERROR(__xludf.DUMMYFUNCTION("""COMPUTED_VALUE"""),5)</f>
        <v>5</v>
      </c>
      <c r="C1587" s="5">
        <f ca="1">IFERROR(__xludf.DUMMYFUNCTION("""COMPUTED_VALUE"""),15)</f>
        <v>15</v>
      </c>
      <c r="D1587" s="5">
        <f ca="1">IFERROR(__xludf.DUMMYFUNCTION("""COMPUTED_VALUE"""),2001)</f>
        <v>2001</v>
      </c>
      <c r="E1587" s="8">
        <f ca="1">IFERROR(__xludf.DUMMYFUNCTION("""COMPUTED_VALUE"""),37026)</f>
        <v>37026</v>
      </c>
      <c r="F1587" s="5" t="str">
        <f ca="1">IFERROR(__xludf.DUMMYFUNCTION("""COMPUTED_VALUE"""),"Ennis High School")</f>
        <v>Ennis High School</v>
      </c>
      <c r="G1587" s="5">
        <f ca="1">IFERROR(__xludf.DUMMYFUNCTION("""COMPUTED_VALUE"""),0)</f>
        <v>0</v>
      </c>
      <c r="H1587" s="5">
        <f ca="1">IFERROR(__xludf.DUMMYFUNCTION("""COMPUTED_VALUE"""),0)</f>
        <v>0</v>
      </c>
      <c r="I1587" s="5">
        <f ca="1">IFERROR(__xludf.DUMMYFUNCTION("""COMPUTED_VALUE"""),0)</f>
        <v>0</v>
      </c>
      <c r="J1587" s="5">
        <f ca="1">IFERROR(__xludf.DUMMYFUNCTION("""COMPUTED_VALUE"""),1)</f>
        <v>1</v>
      </c>
      <c r="K1587" s="9" t="str">
        <f ca="1">IFERROR(__xludf.DUMMYFUNCTION("""COMPUTED_VALUE"""),"https://www.deseretnews.com/article/843018/Texas-teen-kills-himself-at-school.html")</f>
        <v>https://www.deseretnews.com/article/843018/Texas-teen-kills-himself-at-school.html</v>
      </c>
      <c r="L1587" s="5"/>
      <c r="M1587" s="5"/>
      <c r="N1587" s="5">
        <f ca="1">IFERROR(__xludf.DUMMYFUNCTION("""COMPUTED_VALUE"""),2)</f>
        <v>2</v>
      </c>
      <c r="O1587" s="5" t="str">
        <f ca="1">IFERROR(__xludf.DUMMYFUNCTION("""COMPUTED_VALUE"""),"Spring")</f>
        <v>Spring</v>
      </c>
      <c r="P1587" s="5" t="str">
        <f ca="1">IFERROR(__xludf.DUMMYFUNCTION("""COMPUTED_VALUE"""),"Ennis")</f>
        <v>Ennis</v>
      </c>
      <c r="Q1587" s="5" t="str">
        <f ca="1">IFERROR(__xludf.DUMMYFUNCTION("""COMPUTED_VALUE"""),"TX")</f>
        <v>TX</v>
      </c>
      <c r="R1587" s="5" t="str">
        <f ca="1">IFERROR(__xludf.DUMMYFUNCTION("""COMPUTED_VALUE"""),"High")</f>
        <v>High</v>
      </c>
      <c r="S1587" s="5" t="str">
        <f ca="1">IFERROR(__xludf.DUMMYFUNCTION("""COMPUTED_VALUE"""),"Classroom")</f>
        <v>Classroom</v>
      </c>
      <c r="T1587" s="5" t="str">
        <f ca="1">IFERROR(__xludf.DUMMYFUNCTION("""COMPUTED_VALUE"""),"Inside School Building")</f>
        <v>Inside School Building</v>
      </c>
      <c r="U1587" s="5" t="str">
        <f ca="1">IFERROR(__xludf.DUMMYFUNCTION("""COMPUTED_VALUE"""),"Yes")</f>
        <v>Yes</v>
      </c>
      <c r="V1587" s="5" t="str">
        <f ca="1">IFERROR(__xludf.DUMMYFUNCTION("""COMPUTED_VALUE"""),"Morning Classes")</f>
        <v>Morning Classes</v>
      </c>
      <c r="W1587" s="10">
        <f ca="1">IFERROR(__xludf.DUMMYFUNCTION("""COMPUTED_VALUE"""),0.5)</f>
        <v>0.5</v>
      </c>
      <c r="X1587" s="5"/>
      <c r="Y1587" s="5" t="str">
        <f ca="1">IFERROR(__xludf.DUMMYFUNCTION("""COMPUTED_VALUE"""),"Held class hostage, shot TV, and then shot self")</f>
        <v>Held class hostage, shot TV, and then shot self</v>
      </c>
      <c r="Z1587" s="5" t="str">
        <f ca="1">IFERROR(__xludf.DUMMYFUNCTION("""COMPUTED_VALUE"""),"16YOM pulled gun out of backpack and took class hostage. Released all hostages except for the teacher and a female student. Shooter fired at the TV and then shot himself in the head. Other students reported the shooter talked about guns and had a strong r"&amp;"omantic interest in a girl who was not interested in him. Shooter had no prior disciplinary issues. Father and grandfather worked for school board.")</f>
        <v>16YOM pulled gun out of backpack and took class hostage. Released all hostages except for the teacher and a female student. Shooter fired at the TV and then shot himself in the head. Other students reported the shooter talked about guns and had a strong romantic interest in a girl who was not interested in him. Shooter had no prior disciplinary issues. Father and grandfather worked for school board.</v>
      </c>
      <c r="AA1587" s="5" t="str">
        <f ca="1">IFERROR(__xludf.DUMMYFUNCTION("""COMPUTED_VALUE"""),"Suicide/Attempted")</f>
        <v>Suicide/Attempted</v>
      </c>
      <c r="AB1587" s="5" t="str">
        <f ca="1">IFERROR(__xludf.DUMMYFUNCTION("""COMPUTED_VALUE"""),"Neither")</f>
        <v>Neither</v>
      </c>
      <c r="AC1587" s="5" t="str">
        <f ca="1">IFERROR(__xludf.DUMMYFUNCTION("""COMPUTED_VALUE"""),"No")</f>
        <v>No</v>
      </c>
      <c r="AD1587" s="5" t="str">
        <f ca="1">IFERROR(__xludf.DUMMYFUNCTION("""COMPUTED_VALUE"""),"Yes")</f>
        <v>Yes</v>
      </c>
      <c r="AE1587" s="5" t="str">
        <f ca="1">IFERROR(__xludf.DUMMYFUNCTION("""COMPUTED_VALUE"""),"Yes")</f>
        <v>Yes</v>
      </c>
      <c r="AF1587" s="5" t="str">
        <f ca="1">IFERROR(__xludf.DUMMYFUNCTION("""COMPUTED_VALUE"""),"No")</f>
        <v>No</v>
      </c>
      <c r="AG1587" s="5" t="str">
        <f ca="1">IFERROR(__xludf.DUMMYFUNCTION("""COMPUTED_VALUE"""),"No")</f>
        <v>No</v>
      </c>
      <c r="AH1587" s="5" t="str">
        <f ca="1">IFERROR(__xludf.DUMMYFUNCTION("""COMPUTED_VALUE"""),"No")</f>
        <v>No</v>
      </c>
      <c r="AI1587" s="5" t="str">
        <f ca="1">IFERROR(__xludf.DUMMYFUNCTION("""COMPUTED_VALUE"""),"No")</f>
        <v>No</v>
      </c>
      <c r="AJ1587" s="5" t="str">
        <f ca="1">IFERROR(__xludf.DUMMYFUNCTION("""COMPUTED_VALUE"""),"Yes")</f>
        <v>Yes</v>
      </c>
    </row>
    <row r="1588" spans="1:36" ht="13">
      <c r="A1588" s="5" t="str">
        <f ca="1">IFERROR(__xludf.DUMMYFUNCTION("""COMPUTED_VALUE"""),"20010425OHJOC")</f>
        <v>20010425OHJOC</v>
      </c>
      <c r="B1588" s="5">
        <f ca="1">IFERROR(__xludf.DUMMYFUNCTION("""COMPUTED_VALUE"""),4)</f>
        <v>4</v>
      </c>
      <c r="C1588" s="5">
        <f ca="1">IFERROR(__xludf.DUMMYFUNCTION("""COMPUTED_VALUE"""),25)</f>
        <v>25</v>
      </c>
      <c r="D1588" s="5">
        <f ca="1">IFERROR(__xludf.DUMMYFUNCTION("""COMPUTED_VALUE"""),2001)</f>
        <v>2001</v>
      </c>
      <c r="E1588" s="8">
        <f ca="1">IFERROR(__xludf.DUMMYFUNCTION("""COMPUTED_VALUE"""),37006)</f>
        <v>37006</v>
      </c>
      <c r="F1588" s="5" t="str">
        <f ca="1">IFERROR(__xludf.DUMMYFUNCTION("""COMPUTED_VALUE"""),"John Marshall High School")</f>
        <v>John Marshall High School</v>
      </c>
      <c r="G1588" s="5">
        <f ca="1">IFERROR(__xludf.DUMMYFUNCTION("""COMPUTED_VALUE"""),1)</f>
        <v>1</v>
      </c>
      <c r="H1588" s="5">
        <f ca="1">IFERROR(__xludf.DUMMYFUNCTION("""COMPUTED_VALUE"""),0)</f>
        <v>0</v>
      </c>
      <c r="I1588" s="5">
        <f ca="1">IFERROR(__xludf.DUMMYFUNCTION("""COMPUTED_VALUE"""),1)</f>
        <v>1</v>
      </c>
      <c r="J1588" s="5">
        <f ca="1">IFERROR(__xludf.DUMMYFUNCTION("""COMPUTED_VALUE"""),0)</f>
        <v>0</v>
      </c>
      <c r="K1588" s="9" t="str">
        <f ca="1">IFERROR(__xludf.DUMMYFUNCTION("""COMPUTED_VALUE"""),"https://nthfmemorial.org/mystery-in-ohio-demetrius-minifee/")</f>
        <v>https://nthfmemorial.org/mystery-in-ohio-demetrius-minifee/</v>
      </c>
      <c r="L1588" s="5"/>
      <c r="M1588" s="5"/>
      <c r="N1588" s="5">
        <f ca="1">IFERROR(__xludf.DUMMYFUNCTION("""COMPUTED_VALUE"""),1)</f>
        <v>1</v>
      </c>
      <c r="O1588" s="5" t="str">
        <f ca="1">IFERROR(__xludf.DUMMYFUNCTION("""COMPUTED_VALUE"""),"Spring")</f>
        <v>Spring</v>
      </c>
      <c r="P1588" s="5" t="str">
        <f ca="1">IFERROR(__xludf.DUMMYFUNCTION("""COMPUTED_VALUE"""),"Cleveland")</f>
        <v>Cleveland</v>
      </c>
      <c r="Q1588" s="5" t="str">
        <f ca="1">IFERROR(__xludf.DUMMYFUNCTION("""COMPUTED_VALUE"""),"OH")</f>
        <v>OH</v>
      </c>
      <c r="R1588" s="5" t="str">
        <f ca="1">IFERROR(__xludf.DUMMYFUNCTION("""COMPUTED_VALUE"""),"High")</f>
        <v>High</v>
      </c>
      <c r="S1588" s="5" t="str">
        <f ca="1">IFERROR(__xludf.DUMMYFUNCTION("""COMPUTED_VALUE"""),"Parking Lot")</f>
        <v>Parking Lot</v>
      </c>
      <c r="T1588" s="5" t="str">
        <f ca="1">IFERROR(__xludf.DUMMYFUNCTION("""COMPUTED_VALUE"""),"Outside on School Property")</f>
        <v>Outside on School Property</v>
      </c>
      <c r="U1588" s="5" t="str">
        <f ca="1">IFERROR(__xludf.DUMMYFUNCTION("""COMPUTED_VALUE"""),"No")</f>
        <v>No</v>
      </c>
      <c r="V1588" s="5" t="str">
        <f ca="1">IFERROR(__xludf.DUMMYFUNCTION("""COMPUTED_VALUE"""),"Night")</f>
        <v>Night</v>
      </c>
      <c r="W1588" s="10">
        <f ca="1">IFERROR(__xludf.DUMMYFUNCTION("""COMPUTED_VALUE"""),0.958333333333333)</f>
        <v>0.95833333333333304</v>
      </c>
      <c r="X1588" s="5">
        <f ca="1">IFERROR(__xludf.DUMMYFUNCTION("""COMPUTED_VALUE"""),1)</f>
        <v>1</v>
      </c>
      <c r="Y1588" s="5" t="str">
        <f ca="1">IFERROR(__xludf.DUMMYFUNCTION("""COMPUTED_VALUE"""),"Janitor shot outside of school, no suspects")</f>
        <v>Janitor shot outside of school, no suspects</v>
      </c>
      <c r="Z1588" s="5" t="str">
        <f ca="1">IFERROR(__xludf.DUMMYFUNCTION("""COMPUTED_VALUE"""),"33YOM janitor was shot in the parking lot at 11pm after finishing work. No suspect was identified or motive determined.")</f>
        <v>33YOM janitor was shot in the parking lot at 11pm after finishing work. No suspect was identified or motive determined.</v>
      </c>
      <c r="AA1588" s="5" t="str">
        <f ca="1">IFERROR(__xludf.DUMMYFUNCTION("""COMPUTED_VALUE"""),"Unknown")</f>
        <v>Unknown</v>
      </c>
      <c r="AB1588" s="5"/>
      <c r="AC1588" s="5" t="str">
        <f ca="1">IFERROR(__xludf.DUMMYFUNCTION("""COMPUTED_VALUE"""),"Unknown")</f>
        <v>Unknown</v>
      </c>
      <c r="AD1588" s="5" t="str">
        <f ca="1">IFERROR(__xludf.DUMMYFUNCTION("""COMPUTED_VALUE"""),"No")</f>
        <v>No</v>
      </c>
      <c r="AE1588" s="5" t="str">
        <f ca="1">IFERROR(__xludf.DUMMYFUNCTION("""COMPUTED_VALUE"""),"No")</f>
        <v>No</v>
      </c>
      <c r="AF1588" s="5" t="str">
        <f ca="1">IFERROR(__xludf.DUMMYFUNCTION("""COMPUTED_VALUE"""),"No")</f>
        <v>No</v>
      </c>
      <c r="AG1588" s="5" t="str">
        <f ca="1">IFERROR(__xludf.DUMMYFUNCTION("""COMPUTED_VALUE"""),"No")</f>
        <v>No</v>
      </c>
      <c r="AH1588" s="5" t="str">
        <f ca="1">IFERROR(__xludf.DUMMYFUNCTION("""COMPUTED_VALUE"""),"No")</f>
        <v>No</v>
      </c>
      <c r="AI1588" s="5"/>
      <c r="AJ1588" s="5"/>
    </row>
    <row r="1589" spans="1:36" ht="13">
      <c r="A1589" s="5" t="str">
        <f ca="1">IFERROR(__xludf.DUMMYFUNCTION("""COMPUTED_VALUE"""),"20010420LAMOM")</f>
        <v>20010420LAMOM</v>
      </c>
      <c r="B1589" s="5">
        <f ca="1">IFERROR(__xludf.DUMMYFUNCTION("""COMPUTED_VALUE"""),4)</f>
        <v>4</v>
      </c>
      <c r="C1589" s="5">
        <f ca="1">IFERROR(__xludf.DUMMYFUNCTION("""COMPUTED_VALUE"""),20)</f>
        <v>20</v>
      </c>
      <c r="D1589" s="5">
        <f ca="1">IFERROR(__xludf.DUMMYFUNCTION("""COMPUTED_VALUE"""),2001)</f>
        <v>2001</v>
      </c>
      <c r="E1589" s="8">
        <f ca="1">IFERROR(__xludf.DUMMYFUNCTION("""COMPUTED_VALUE"""),37001)</f>
        <v>37001</v>
      </c>
      <c r="F1589" s="5" t="str">
        <f ca="1">IFERROR(__xludf.DUMMYFUNCTION("""COMPUTED_VALUE"""),"Monroe City Alternative Center")</f>
        <v>Monroe City Alternative Center</v>
      </c>
      <c r="G1589" s="5">
        <f ca="1">IFERROR(__xludf.DUMMYFUNCTION("""COMPUTED_VALUE"""),0)</f>
        <v>0</v>
      </c>
      <c r="H1589" s="5">
        <f ca="1">IFERROR(__xludf.DUMMYFUNCTION("""COMPUTED_VALUE"""),0)</f>
        <v>0</v>
      </c>
      <c r="I1589" s="5">
        <f ca="1">IFERROR(__xludf.DUMMYFUNCTION("""COMPUTED_VALUE"""),0)</f>
        <v>0</v>
      </c>
      <c r="J1589" s="5">
        <f ca="1">IFERROR(__xludf.DUMMYFUNCTION("""COMPUTED_VALUE"""),0)</f>
        <v>0</v>
      </c>
      <c r="K1589" s="9" t="str">
        <f ca="1">IFERROR(__xludf.DUMMYFUNCTION("""COMPUTED_VALUE"""),"https://products.kitsapsun.com/archive/2001/04-21/0043_in_the_headlines.html")</f>
        <v>https://products.kitsapsun.com/archive/2001/04-21/0043_in_the_headlines.html</v>
      </c>
      <c r="L1589" s="5"/>
      <c r="M1589" s="5"/>
      <c r="N1589" s="5">
        <f ca="1">IFERROR(__xludf.DUMMYFUNCTION("""COMPUTED_VALUE"""),2)</f>
        <v>2</v>
      </c>
      <c r="O1589" s="5" t="str">
        <f ca="1">IFERROR(__xludf.DUMMYFUNCTION("""COMPUTED_VALUE"""),"Spring")</f>
        <v>Spring</v>
      </c>
      <c r="P1589" s="5" t="str">
        <f ca="1">IFERROR(__xludf.DUMMYFUNCTION("""COMPUTED_VALUE"""),"Monroe")</f>
        <v>Monroe</v>
      </c>
      <c r="Q1589" s="5" t="str">
        <f ca="1">IFERROR(__xludf.DUMMYFUNCTION("""COMPUTED_VALUE"""),"LA")</f>
        <v>LA</v>
      </c>
      <c r="R1589" s="5" t="str">
        <f ca="1">IFERROR(__xludf.DUMMYFUNCTION("""COMPUTED_VALUE"""),"High")</f>
        <v>High</v>
      </c>
      <c r="S1589" s="5" t="str">
        <f ca="1">IFERROR(__xludf.DUMMYFUNCTION("""COMPUTED_VALUE"""),"Hallway; Beside Building")</f>
        <v>Hallway; Beside Building</v>
      </c>
      <c r="T1589" s="5" t="str">
        <f ca="1">IFERROR(__xludf.DUMMYFUNCTION("""COMPUTED_VALUE"""),"Both Inside/Outside")</f>
        <v>Both Inside/Outside</v>
      </c>
      <c r="U1589" s="5" t="str">
        <f ca="1">IFERROR(__xludf.DUMMYFUNCTION("""COMPUTED_VALUE"""),"Yes")</f>
        <v>Yes</v>
      </c>
      <c r="V1589" s="5" t="str">
        <f ca="1">IFERROR(__xludf.DUMMYFUNCTION("""COMPUTED_VALUE"""),"School Start")</f>
        <v>School Start</v>
      </c>
      <c r="W1589" s="10">
        <f ca="1">IFERROR(__xludf.DUMMYFUNCTION("""COMPUTED_VALUE"""),0.305555555555555)</f>
        <v>0.30555555555555503</v>
      </c>
      <c r="X1589" s="5"/>
      <c r="Y1589" s="5" t="str">
        <f ca="1">IFERROR(__xludf.DUMMYFUNCTION("""COMPUTED_VALUE"""),"Student fired 5 shots that missed, students were able to block doors until police arrived")</f>
        <v>Student fired 5 shots that missed, students were able to block doors until police arrived</v>
      </c>
      <c r="Z1589" s="5" t="str">
        <f ca="1">IFERROR(__xludf.DUMMYFUNCTION("""COMPUTED_VALUE"""),"14YOM had been expelled from other high school and sent to alternative school for troubled youths. Principal heard gun dry fire and saw 14 YOM shooter trying to load handgun. Principal was able to get students inside the school and block the door. The sho"&amp;"oter fired shots into the windows but missed students. Shooter gained entry through another door and fired shots that missed janitor. Police were able to subdue the shooter when he attempted to reload. School had metal detectors at the door.")</f>
        <v>14YOM had been expelled from other high school and sent to alternative school for troubled youths. Principal heard gun dry fire and saw 14 YOM shooter trying to load handgun. Principal was able to get students inside the school and block the door. The shooter fired shots into the windows but missed students. Shooter gained entry through another door and fired shots that missed janitor. Police were able to subdue the shooter when he attempted to reload. School had metal detectors at the door.</v>
      </c>
      <c r="AA1589" s="5" t="str">
        <f ca="1">IFERROR(__xludf.DUMMYFUNCTION("""COMPUTED_VALUE"""),"Anger Over Grade/Suspension/Discipline")</f>
        <v>Anger Over Grade/Suspension/Discipline</v>
      </c>
      <c r="AB1589" s="5"/>
      <c r="AC1589" s="5" t="str">
        <f ca="1">IFERROR(__xludf.DUMMYFUNCTION("""COMPUTED_VALUE"""),"No")</f>
        <v>No</v>
      </c>
      <c r="AD1589" s="5" t="str">
        <f ca="1">IFERROR(__xludf.DUMMYFUNCTION("""COMPUTED_VALUE"""),"No")</f>
        <v>No</v>
      </c>
      <c r="AE1589" s="5" t="str">
        <f ca="1">IFERROR(__xludf.DUMMYFUNCTION("""COMPUTED_VALUE"""),"No")</f>
        <v>No</v>
      </c>
      <c r="AF1589" s="5" t="str">
        <f ca="1">IFERROR(__xludf.DUMMYFUNCTION("""COMPUTED_VALUE"""),"No")</f>
        <v>No</v>
      </c>
      <c r="AG1589" s="5" t="str">
        <f ca="1">IFERROR(__xludf.DUMMYFUNCTION("""COMPUTED_VALUE"""),"No")</f>
        <v>No</v>
      </c>
      <c r="AH1589" s="5" t="str">
        <f ca="1">IFERROR(__xludf.DUMMYFUNCTION("""COMPUTED_VALUE"""),"No")</f>
        <v>No</v>
      </c>
      <c r="AI1589" s="5" t="str">
        <f ca="1">IFERROR(__xludf.DUMMYFUNCTION("""COMPUTED_VALUE"""),"No")</f>
        <v>No</v>
      </c>
      <c r="AJ1589" s="5" t="str">
        <f ca="1">IFERROR(__xludf.DUMMYFUNCTION("""COMPUTED_VALUE"""),"Yes")</f>
        <v>Yes</v>
      </c>
    </row>
    <row r="1590" spans="1:36" ht="13">
      <c r="A1590" s="5" t="str">
        <f ca="1">IFERROR(__xludf.DUMMYFUNCTION("""COMPUTED_VALUE"""),"20010410WAWAM")</f>
        <v>20010410WAWAM</v>
      </c>
      <c r="B1590" s="5">
        <f ca="1">IFERROR(__xludf.DUMMYFUNCTION("""COMPUTED_VALUE"""),4)</f>
        <v>4</v>
      </c>
      <c r="C1590" s="5">
        <f ca="1">IFERROR(__xludf.DUMMYFUNCTION("""COMPUTED_VALUE"""),10)</f>
        <v>10</v>
      </c>
      <c r="D1590" s="5">
        <f ca="1">IFERROR(__xludf.DUMMYFUNCTION("""COMPUTED_VALUE"""),2001)</f>
        <v>2001</v>
      </c>
      <c r="E1590" s="8">
        <f ca="1">IFERROR(__xludf.DUMMYFUNCTION("""COMPUTED_VALUE"""),36991)</f>
        <v>36991</v>
      </c>
      <c r="F1590" s="5" t="str">
        <f ca="1">IFERROR(__xludf.DUMMYFUNCTION("""COMPUTED_VALUE"""),"Wahluke High School")</f>
        <v>Wahluke High School</v>
      </c>
      <c r="G1590" s="5">
        <f ca="1">IFERROR(__xludf.DUMMYFUNCTION("""COMPUTED_VALUE"""),0)</f>
        <v>0</v>
      </c>
      <c r="H1590" s="5">
        <f ca="1">IFERROR(__xludf.DUMMYFUNCTION("""COMPUTED_VALUE"""),0)</f>
        <v>0</v>
      </c>
      <c r="I1590" s="5">
        <f ca="1">IFERROR(__xludf.DUMMYFUNCTION("""COMPUTED_VALUE"""),0)</f>
        <v>0</v>
      </c>
      <c r="J1590" s="5">
        <f ca="1">IFERROR(__xludf.DUMMYFUNCTION("""COMPUTED_VALUE"""),0)</f>
        <v>0</v>
      </c>
      <c r="K1590" s="5" t="str">
        <f ca="1">IFERROR(__xludf.DUMMYFUNCTION("""COMPUTED_VALUE"""),"http://articles.latimes.com/2004/mar/21/nation/na-violent21 http://www.thehealthjournals.com/dark-side-antidepressants/")</f>
        <v>http://articles.latimes.com/2004/mar/21/nation/na-violent21 http://www.thehealthjournals.com/dark-side-antidepressants/</v>
      </c>
      <c r="L1590" s="5"/>
      <c r="M1590" s="5"/>
      <c r="N1590" s="5">
        <f ca="1">IFERROR(__xludf.DUMMYFUNCTION("""COMPUTED_VALUE"""),3)</f>
        <v>3</v>
      </c>
      <c r="O1590" s="5" t="str">
        <f ca="1">IFERROR(__xludf.DUMMYFUNCTION("""COMPUTED_VALUE"""),"Spring")</f>
        <v>Spring</v>
      </c>
      <c r="P1590" s="5" t="str">
        <f ca="1">IFERROR(__xludf.DUMMYFUNCTION("""COMPUTED_VALUE"""),"Mattawa")</f>
        <v>Mattawa</v>
      </c>
      <c r="Q1590" s="5" t="str">
        <f ca="1">IFERROR(__xludf.DUMMYFUNCTION("""COMPUTED_VALUE"""),"WA")</f>
        <v>WA</v>
      </c>
      <c r="R1590" s="5" t="str">
        <f ca="1">IFERROR(__xludf.DUMMYFUNCTION("""COMPUTED_VALUE"""),"High")</f>
        <v>High</v>
      </c>
      <c r="S1590" s="5" t="str">
        <f ca="1">IFERROR(__xludf.DUMMYFUNCTION("""COMPUTED_VALUE"""),"Classroom")</f>
        <v>Classroom</v>
      </c>
      <c r="T1590" s="5" t="str">
        <f ca="1">IFERROR(__xludf.DUMMYFUNCTION("""COMPUTED_VALUE"""),"Inside School Building")</f>
        <v>Inside School Building</v>
      </c>
      <c r="U1590" s="5" t="str">
        <f ca="1">IFERROR(__xludf.DUMMYFUNCTION("""COMPUTED_VALUE"""),"Yes")</f>
        <v>Yes</v>
      </c>
      <c r="V1590" s="5"/>
      <c r="W1590" s="5"/>
      <c r="X1590" s="5">
        <f ca="1">IFERROR(__xludf.DUMMYFUNCTION("""COMPUTED_VALUE"""),45)</f>
        <v>45</v>
      </c>
      <c r="Y1590" s="5" t="str">
        <f ca="1">IFERROR(__xludf.DUMMYFUNCTION("""COMPUTED_VALUE"""),"Held class hostage, recent change in medication")</f>
        <v>Held class hostage, recent change in medication</v>
      </c>
      <c r="Z1590" s="5" t="str">
        <f ca="1">IFERROR(__xludf.DUMMYFUNCTION("""COMPUTED_VALUE"""),"16YOM held english class hostage for 45 minutes with a loaded hunting rifle. Shooter was talking about suicide and killing everyone. Shooter was on antidepressants and medication had been recently changed. Surrendered to principal without firing any shots"&amp;". Shooter was popular student and athlete. Incident resulted in federal probe of the medications he was taking.")</f>
        <v>16YOM held english class hostage for 45 minutes with a loaded hunting rifle. Shooter was talking about suicide and killing everyone. Shooter was on antidepressants and medication had been recently changed. Surrendered to principal without firing any shots. Shooter was popular student and athlete. Incident resulted in federal probe of the medications he was taking.</v>
      </c>
      <c r="AA1590" s="5" t="str">
        <f ca="1">IFERROR(__xludf.DUMMYFUNCTION("""COMPUTED_VALUE"""),"Hostage/Standoff")</f>
        <v>Hostage/Standoff</v>
      </c>
      <c r="AB1590" s="5" t="str">
        <f ca="1">IFERROR(__xludf.DUMMYFUNCTION("""COMPUTED_VALUE"""),"Neither")</f>
        <v>Neither</v>
      </c>
      <c r="AC1590" s="5" t="str">
        <f ca="1">IFERROR(__xludf.DUMMYFUNCTION("""COMPUTED_VALUE"""),"No")</f>
        <v>No</v>
      </c>
      <c r="AD1590" s="5" t="str">
        <f ca="1">IFERROR(__xludf.DUMMYFUNCTION("""COMPUTED_VALUE"""),"Yes")</f>
        <v>Yes</v>
      </c>
      <c r="AE1590" s="5" t="str">
        <f ca="1">IFERROR(__xludf.DUMMYFUNCTION("""COMPUTED_VALUE"""),"No")</f>
        <v>No</v>
      </c>
      <c r="AF1590" s="5" t="str">
        <f ca="1">IFERROR(__xludf.DUMMYFUNCTION("""COMPUTED_VALUE"""),"No")</f>
        <v>No</v>
      </c>
      <c r="AG1590" s="5" t="str">
        <f ca="1">IFERROR(__xludf.DUMMYFUNCTION("""COMPUTED_VALUE"""),"No")</f>
        <v>No</v>
      </c>
      <c r="AH1590" s="5" t="str">
        <f ca="1">IFERROR(__xludf.DUMMYFUNCTION("""COMPUTED_VALUE"""),"No")</f>
        <v>No</v>
      </c>
      <c r="AI1590" s="5" t="str">
        <f ca="1">IFERROR(__xludf.DUMMYFUNCTION("""COMPUTED_VALUE"""),"No")</f>
        <v>No</v>
      </c>
      <c r="AJ1590" s="5" t="str">
        <f ca="1">IFERROR(__xludf.DUMMYFUNCTION("""COMPUTED_VALUE"""),"Yes")</f>
        <v>Yes</v>
      </c>
    </row>
    <row r="1591" spans="1:36" ht="13">
      <c r="A1591" s="5" t="str">
        <f ca="1">IFERROR(__xludf.DUMMYFUNCTION("""COMPUTED_VALUE"""),"20010402TXKLH")</f>
        <v>20010402TXKLH</v>
      </c>
      <c r="B1591" s="5">
        <f ca="1">IFERROR(__xludf.DUMMYFUNCTION("""COMPUTED_VALUE"""),4)</f>
        <v>4</v>
      </c>
      <c r="C1591" s="5">
        <f ca="1">IFERROR(__xludf.DUMMYFUNCTION("""COMPUTED_VALUE"""),2)</f>
        <v>2</v>
      </c>
      <c r="D1591" s="5">
        <f ca="1">IFERROR(__xludf.DUMMYFUNCTION("""COMPUTED_VALUE"""),2001)</f>
        <v>2001</v>
      </c>
      <c r="E1591" s="8">
        <f ca="1">IFERROR(__xludf.DUMMYFUNCTION("""COMPUTED_VALUE"""),36983)</f>
        <v>36983</v>
      </c>
      <c r="F1591" s="5" t="str">
        <f ca="1">IFERROR(__xludf.DUMMYFUNCTION("""COMPUTED_VALUE"""),"Kleb Intermediate School")</f>
        <v>Kleb Intermediate School</v>
      </c>
      <c r="G1591" s="5">
        <f ca="1">IFERROR(__xludf.DUMMYFUNCTION("""COMPUTED_VALUE"""),0)</f>
        <v>0</v>
      </c>
      <c r="H1591" s="5">
        <f ca="1">IFERROR(__xludf.DUMMYFUNCTION("""COMPUTED_VALUE"""),0)</f>
        <v>0</v>
      </c>
      <c r="I1591" s="5">
        <f ca="1">IFERROR(__xludf.DUMMYFUNCTION("""COMPUTED_VALUE"""),0)</f>
        <v>0</v>
      </c>
      <c r="J1591" s="5">
        <f ca="1">IFERROR(__xludf.DUMMYFUNCTION("""COMPUTED_VALUE"""),1)</f>
        <v>1</v>
      </c>
      <c r="K1591" s="9" t="str">
        <f ca="1">IFERROR(__xludf.DUMMYFUNCTION("""COMPUTED_VALUE"""),"https://www.chron.com/news/houston-texas/article/Eighth-grade-girl-dies-after-shooting-herself-at-2012069.php")</f>
        <v>https://www.chron.com/news/houston-texas/article/Eighth-grade-girl-dies-after-shooting-herself-at-2012069.php</v>
      </c>
      <c r="L1591" s="5"/>
      <c r="M1591" s="5"/>
      <c r="N1591" s="5">
        <f ca="1">IFERROR(__xludf.DUMMYFUNCTION("""COMPUTED_VALUE"""),2)</f>
        <v>2</v>
      </c>
      <c r="O1591" s="5" t="str">
        <f ca="1">IFERROR(__xludf.DUMMYFUNCTION("""COMPUTED_VALUE"""),"Spring")</f>
        <v>Spring</v>
      </c>
      <c r="P1591" s="5" t="str">
        <f ca="1">IFERROR(__xludf.DUMMYFUNCTION("""COMPUTED_VALUE"""),"Houston")</f>
        <v>Houston</v>
      </c>
      <c r="Q1591" s="5" t="str">
        <f ca="1">IFERROR(__xludf.DUMMYFUNCTION("""COMPUTED_VALUE"""),"TX")</f>
        <v>TX</v>
      </c>
      <c r="R1591" s="5" t="str">
        <f ca="1">IFERROR(__xludf.DUMMYFUNCTION("""COMPUTED_VALUE"""),"High")</f>
        <v>High</v>
      </c>
      <c r="S1591" s="5" t="str">
        <f ca="1">IFERROR(__xludf.DUMMYFUNCTION("""COMPUTED_VALUE"""),"Bathroom")</f>
        <v>Bathroom</v>
      </c>
      <c r="T1591" s="5" t="str">
        <f ca="1">IFERROR(__xludf.DUMMYFUNCTION("""COMPUTED_VALUE"""),"Inside School Building")</f>
        <v>Inside School Building</v>
      </c>
      <c r="U1591" s="5" t="str">
        <f ca="1">IFERROR(__xludf.DUMMYFUNCTION("""COMPUTED_VALUE"""),"Yes")</f>
        <v>Yes</v>
      </c>
      <c r="V1591" s="5" t="str">
        <f ca="1">IFERROR(__xludf.DUMMYFUNCTION("""COMPUTED_VALUE"""),"Morning Classes")</f>
        <v>Morning Classes</v>
      </c>
      <c r="W1591" s="10">
        <f ca="1">IFERROR(__xludf.DUMMYFUNCTION("""COMPUTED_VALUE"""),0.4375)</f>
        <v>0.4375</v>
      </c>
      <c r="X1591" s="5">
        <f ca="1">IFERROR(__xludf.DUMMYFUNCTION("""COMPUTED_VALUE"""),1)</f>
        <v>1</v>
      </c>
      <c r="Y1591" s="5" t="str">
        <f ca="1">IFERROR(__xludf.DUMMYFUNCTION("""COMPUTED_VALUE"""),"Female student shot herself in bathroom")</f>
        <v>Female student shot herself in bathroom</v>
      </c>
      <c r="Z1591" s="5" t="str">
        <f ca="1">IFERROR(__xludf.DUMMYFUNCTION("""COMPUTED_VALUE"""),"13YOF student excused herself from class, went to her locker to get a .22 handgun, and killed herself in the bathroom.")</f>
        <v>13YOF student excused herself from class, went to her locker to get a .22 handgun, and killed herself in the bathroom.</v>
      </c>
      <c r="AA1591" s="5" t="str">
        <f ca="1">IFERROR(__xludf.DUMMYFUNCTION("""COMPUTED_VALUE"""),"Suicide/Attempted")</f>
        <v>Suicide/Attempted</v>
      </c>
      <c r="AB1591" s="5" t="str">
        <f ca="1">IFERROR(__xludf.DUMMYFUNCTION("""COMPUTED_VALUE"""),"Victims Targeted")</f>
        <v>Victims Targeted</v>
      </c>
      <c r="AC1591" s="5" t="str">
        <f ca="1">IFERROR(__xludf.DUMMYFUNCTION("""COMPUTED_VALUE"""),"No")</f>
        <v>No</v>
      </c>
      <c r="AD1591" s="5" t="str">
        <f ca="1">IFERROR(__xludf.DUMMYFUNCTION("""COMPUTED_VALUE"""),"No")</f>
        <v>No</v>
      </c>
      <c r="AE1591" s="5" t="str">
        <f ca="1">IFERROR(__xludf.DUMMYFUNCTION("""COMPUTED_VALUE"""),"No")</f>
        <v>No</v>
      </c>
      <c r="AF1591" s="5" t="str">
        <f ca="1">IFERROR(__xludf.DUMMYFUNCTION("""COMPUTED_VALUE"""),"No")</f>
        <v>No</v>
      </c>
      <c r="AG1591" s="5" t="str">
        <f ca="1">IFERROR(__xludf.DUMMYFUNCTION("""COMPUTED_VALUE"""),"No")</f>
        <v>No</v>
      </c>
      <c r="AH1591" s="5" t="str">
        <f ca="1">IFERROR(__xludf.DUMMYFUNCTION("""COMPUTED_VALUE"""),"No")</f>
        <v>No</v>
      </c>
      <c r="AI1591" s="5" t="str">
        <f ca="1">IFERROR(__xludf.DUMMYFUNCTION("""COMPUTED_VALUE"""),"No")</f>
        <v>No</v>
      </c>
      <c r="AJ1591" s="5"/>
    </row>
    <row r="1592" spans="1:36" ht="13">
      <c r="A1592" s="5" t="str">
        <f ca="1">IFERROR(__xludf.DUMMYFUNCTION("""COMPUTED_VALUE"""),"20010330INLEG")</f>
        <v>20010330INLEG</v>
      </c>
      <c r="B1592" s="5">
        <f ca="1">IFERROR(__xludf.DUMMYFUNCTION("""COMPUTED_VALUE"""),3)</f>
        <v>3</v>
      </c>
      <c r="C1592" s="5">
        <f ca="1">IFERROR(__xludf.DUMMYFUNCTION("""COMPUTED_VALUE"""),30)</f>
        <v>30</v>
      </c>
      <c r="D1592" s="5">
        <f ca="1">IFERROR(__xludf.DUMMYFUNCTION("""COMPUTED_VALUE"""),2001)</f>
        <v>2001</v>
      </c>
      <c r="E1592" s="8">
        <f ca="1">IFERROR(__xludf.DUMMYFUNCTION("""COMPUTED_VALUE"""),36980)</f>
        <v>36980</v>
      </c>
      <c r="F1592" s="5" t="str">
        <f ca="1">IFERROR(__xludf.DUMMYFUNCTION("""COMPUTED_VALUE"""),"Lew Wallace High School")</f>
        <v>Lew Wallace High School</v>
      </c>
      <c r="G1592" s="5">
        <f ca="1">IFERROR(__xludf.DUMMYFUNCTION("""COMPUTED_VALUE"""),1)</f>
        <v>1</v>
      </c>
      <c r="H1592" s="5">
        <f ca="1">IFERROR(__xludf.DUMMYFUNCTION("""COMPUTED_VALUE"""),0)</f>
        <v>0</v>
      </c>
      <c r="I1592" s="5">
        <f ca="1">IFERROR(__xludf.DUMMYFUNCTION("""COMPUTED_VALUE"""),1)</f>
        <v>1</v>
      </c>
      <c r="J1592" s="5">
        <f ca="1">IFERROR(__xludf.DUMMYFUNCTION("""COMPUTED_VALUE"""),0)</f>
        <v>0</v>
      </c>
      <c r="K1592" s="9" t="str">
        <f ca="1">IFERROR(__xludf.DUMMYFUNCTION("""COMPUTED_VALUE"""),"http://edition.cnn.com/2001/US/03/31/school.shooting/")</f>
        <v>http://edition.cnn.com/2001/US/03/31/school.shooting/</v>
      </c>
      <c r="L1592" s="5"/>
      <c r="M1592" s="5"/>
      <c r="N1592" s="5">
        <f ca="1">IFERROR(__xludf.DUMMYFUNCTION("""COMPUTED_VALUE"""),2)</f>
        <v>2</v>
      </c>
      <c r="O1592" s="5" t="str">
        <f ca="1">IFERROR(__xludf.DUMMYFUNCTION("""COMPUTED_VALUE"""),"Spring")</f>
        <v>Spring</v>
      </c>
      <c r="P1592" s="5" t="str">
        <f ca="1">IFERROR(__xludf.DUMMYFUNCTION("""COMPUTED_VALUE"""),"Gary")</f>
        <v>Gary</v>
      </c>
      <c r="Q1592" s="5" t="str">
        <f ca="1">IFERROR(__xludf.DUMMYFUNCTION("""COMPUTED_VALUE"""),"IN")</f>
        <v>IN</v>
      </c>
      <c r="R1592" s="5" t="str">
        <f ca="1">IFERROR(__xludf.DUMMYFUNCTION("""COMPUTED_VALUE"""),"High")</f>
        <v>High</v>
      </c>
      <c r="S1592" s="5" t="str">
        <f ca="1">IFERROR(__xludf.DUMMYFUNCTION("""COMPUTED_VALUE"""),"Parking Lot")</f>
        <v>Parking Lot</v>
      </c>
      <c r="T1592" s="5" t="str">
        <f ca="1">IFERROR(__xludf.DUMMYFUNCTION("""COMPUTED_VALUE"""),"Outside on School Property")</f>
        <v>Outside on School Property</v>
      </c>
      <c r="U1592" s="5" t="str">
        <f ca="1">IFERROR(__xludf.DUMMYFUNCTION("""COMPUTED_VALUE"""),"No")</f>
        <v>No</v>
      </c>
      <c r="V1592" s="5" t="str">
        <f ca="1">IFERROR(__xludf.DUMMYFUNCTION("""COMPUTED_VALUE"""),"School Start")</f>
        <v>School Start</v>
      </c>
      <c r="W1592" s="10">
        <f ca="1">IFERROR(__xludf.DUMMYFUNCTION("""COMPUTED_VALUE"""),0.34375)</f>
        <v>0.34375</v>
      </c>
      <c r="X1592" s="5">
        <f ca="1">IFERROR(__xludf.DUMMYFUNCTION("""COMPUTED_VALUE"""),1)</f>
        <v>1</v>
      </c>
      <c r="Y1592" s="5" t="str">
        <f ca="1">IFERROR(__xludf.DUMMYFUNCTION("""COMPUTED_VALUE"""),"Ongoing fight relating to both bullying and gangs")</f>
        <v>Ongoing fight relating to both bullying and gangs</v>
      </c>
      <c r="Z1592" s="5" t="str">
        <f ca="1">IFERROR(__xludf.DUMMYFUNCTION("""COMPUTED_VALUE"""),"Shooter had been beat up by victim multiple times resulting in the shooter dropping out of school because of fear of the victim. Victim was involved with gang activity. Victim approached the shooter in the school parking lot and shooter fired handgun kill"&amp;"ing victim then fled the scene. The shooter was small for 17 YOM (5'7"", 130 lbs). Shooter had no history of violence or disciplinary issues.")</f>
        <v>Shooter had been beat up by victim multiple times resulting in the shooter dropping out of school because of fear of the victim. Victim was involved with gang activity. Victim approached the shooter in the school parking lot and shooter fired handgun killing victim then fled the scene. The shooter was small for 17 YOM (5'7", 130 lbs). Shooter had no history of violence or disciplinary issues.</v>
      </c>
      <c r="AA1592" s="5" t="str">
        <f ca="1">IFERROR(__xludf.DUMMYFUNCTION("""COMPUTED_VALUE"""),"Escalation of Dispute")</f>
        <v>Escalation of Dispute</v>
      </c>
      <c r="AB1592" s="5" t="str">
        <f ca="1">IFERROR(__xludf.DUMMYFUNCTION("""COMPUTED_VALUE"""),"Victims Targeted")</f>
        <v>Victims Targeted</v>
      </c>
      <c r="AC1592" s="5" t="str">
        <f ca="1">IFERROR(__xludf.DUMMYFUNCTION("""COMPUTED_VALUE"""),"No")</f>
        <v>No</v>
      </c>
      <c r="AD1592" s="5" t="str">
        <f ca="1">IFERROR(__xludf.DUMMYFUNCTION("""COMPUTED_VALUE"""),"No")</f>
        <v>No</v>
      </c>
      <c r="AE1592" s="5" t="str">
        <f ca="1">IFERROR(__xludf.DUMMYFUNCTION("""COMPUTED_VALUE"""),"No")</f>
        <v>No</v>
      </c>
      <c r="AF1592" s="5" t="str">
        <f ca="1">IFERROR(__xludf.DUMMYFUNCTION("""COMPUTED_VALUE"""),"No")</f>
        <v>No</v>
      </c>
      <c r="AG1592" s="5" t="str">
        <f ca="1">IFERROR(__xludf.DUMMYFUNCTION("""COMPUTED_VALUE"""),"Yes")</f>
        <v>Yes</v>
      </c>
      <c r="AH1592" s="5" t="str">
        <f ca="1">IFERROR(__xludf.DUMMYFUNCTION("""COMPUTED_VALUE"""),"No")</f>
        <v>No</v>
      </c>
      <c r="AI1592" s="5" t="str">
        <f ca="1">IFERROR(__xludf.DUMMYFUNCTION("""COMPUTED_VALUE"""),"Yes")</f>
        <v>Yes</v>
      </c>
      <c r="AJ1592" s="5"/>
    </row>
    <row r="1593" spans="1:36" ht="13">
      <c r="A1593" s="5" t="str">
        <f ca="1">IFERROR(__xludf.DUMMYFUNCTION("""COMPUTED_VALUE"""),"20010322CAGRE")</f>
        <v>20010322CAGRE</v>
      </c>
      <c r="B1593" s="5">
        <f ca="1">IFERROR(__xludf.DUMMYFUNCTION("""COMPUTED_VALUE"""),3)</f>
        <v>3</v>
      </c>
      <c r="C1593" s="5">
        <f ca="1">IFERROR(__xludf.DUMMYFUNCTION("""COMPUTED_VALUE"""),22)</f>
        <v>22</v>
      </c>
      <c r="D1593" s="5">
        <f ca="1">IFERROR(__xludf.DUMMYFUNCTION("""COMPUTED_VALUE"""),2001)</f>
        <v>2001</v>
      </c>
      <c r="E1593" s="8">
        <f ca="1">IFERROR(__xludf.DUMMYFUNCTION("""COMPUTED_VALUE"""),36972)</f>
        <v>36972</v>
      </c>
      <c r="F1593" s="5" t="str">
        <f ca="1">IFERROR(__xludf.DUMMYFUNCTION("""COMPUTED_VALUE"""),"Granite Hills High School")</f>
        <v>Granite Hills High School</v>
      </c>
      <c r="G1593" s="5">
        <f ca="1">IFERROR(__xludf.DUMMYFUNCTION("""COMPUTED_VALUE"""),0)</f>
        <v>0</v>
      </c>
      <c r="H1593" s="5">
        <f ca="1">IFERROR(__xludf.DUMMYFUNCTION("""COMPUTED_VALUE"""),5)</f>
        <v>5</v>
      </c>
      <c r="I1593" s="5">
        <f ca="1">IFERROR(__xludf.DUMMYFUNCTION("""COMPUTED_VALUE"""),5)</f>
        <v>5</v>
      </c>
      <c r="J1593" s="5">
        <f ca="1">IFERROR(__xludf.DUMMYFUNCTION("""COMPUTED_VALUE"""),1)</f>
        <v>1</v>
      </c>
      <c r="K1593" s="5" t="str">
        <f ca="1">IFERROR(__xludf.DUMMYFUNCTION("""COMPUTED_VALUE"""),"https://www.sfgate.com/news/article/El-Cajon-School-Shootout-Injures-5-Campus-cop-2939710.php http://articles.latimes.com/2001/mar/23/news/mn-41660 https://www.fbi.gov/file-repository/active-shooter-incidents-2000-2017.pdf")</f>
        <v>https://www.sfgate.com/news/article/El-Cajon-School-Shootout-Injures-5-Campus-cop-2939710.php http://articles.latimes.com/2001/mar/23/news/mn-41660 https://www.fbi.gov/file-repository/active-shooter-incidents-2000-2017.pdf</v>
      </c>
      <c r="L1593" s="5"/>
      <c r="M1593" s="5"/>
      <c r="N1593" s="5">
        <f ca="1">IFERROR(__xludf.DUMMYFUNCTION("""COMPUTED_VALUE"""),5)</f>
        <v>5</v>
      </c>
      <c r="O1593" s="5" t="str">
        <f ca="1">IFERROR(__xludf.DUMMYFUNCTION("""COMPUTED_VALUE"""),"Spring")</f>
        <v>Spring</v>
      </c>
      <c r="P1593" s="5" t="str">
        <f ca="1">IFERROR(__xludf.DUMMYFUNCTION("""COMPUTED_VALUE"""),"El Cajon")</f>
        <v>El Cajon</v>
      </c>
      <c r="Q1593" s="5" t="str">
        <f ca="1">IFERROR(__xludf.DUMMYFUNCTION("""COMPUTED_VALUE"""),"CA")</f>
        <v>CA</v>
      </c>
      <c r="R1593" s="5" t="str">
        <f ca="1">IFERROR(__xludf.DUMMYFUNCTION("""COMPUTED_VALUE"""),"High")</f>
        <v>High</v>
      </c>
      <c r="S1593" s="5" t="str">
        <f ca="1">IFERROR(__xludf.DUMMYFUNCTION("""COMPUTED_VALUE"""),"Beside Building")</f>
        <v>Beside Building</v>
      </c>
      <c r="T1593" s="5" t="str">
        <f ca="1">IFERROR(__xludf.DUMMYFUNCTION("""COMPUTED_VALUE"""),"Outside on School Property")</f>
        <v>Outside on School Property</v>
      </c>
      <c r="U1593" s="5" t="str">
        <f ca="1">IFERROR(__xludf.DUMMYFUNCTION("""COMPUTED_VALUE"""),"Yes")</f>
        <v>Yes</v>
      </c>
      <c r="V1593" s="5" t="str">
        <f ca="1">IFERROR(__xludf.DUMMYFUNCTION("""COMPUTED_VALUE"""),"Lunch")</f>
        <v>Lunch</v>
      </c>
      <c r="W1593" s="10">
        <f ca="1">IFERROR(__xludf.DUMMYFUNCTION("""COMPUTED_VALUE"""),0.5375)</f>
        <v>0.53749999999999998</v>
      </c>
      <c r="X1593" s="5"/>
      <c r="Y1593" s="5" t="str">
        <f ca="1">IFERROR(__xludf.DUMMYFUNCTION("""COMPUTED_VALUE"""),"Planned attack, SRO at school shot at shooter and detained him")</f>
        <v>Planned attack, SRO at school shot at shooter and detained him</v>
      </c>
      <c r="Z1593" s="5" t="str">
        <f ca="1">IFERROR(__xludf.DUMMYFUNCTION("""COMPUTED_VALUE"""),"Shooter stood outside of school and fired shotgun and .22 rounds at the windows of the building. 4 students were injured by broken glass. A police officer assigned to the school fired at the shooter and arrested him. Shooter commit suicide while in detent"&amp;"ion facility.")</f>
        <v>Shooter stood outside of school and fired shotgun and .22 rounds at the windows of the building. 4 students were injured by broken glass. A police officer assigned to the school fired at the shooter and arrested him. Shooter commit suicide while in detention facility.</v>
      </c>
      <c r="AA1593" s="5" t="str">
        <f ca="1">IFERROR(__xludf.DUMMYFUNCTION("""COMPUTED_VALUE"""),"Indiscriminate Shooting")</f>
        <v>Indiscriminate Shooting</v>
      </c>
      <c r="AB1593" s="5" t="str">
        <f ca="1">IFERROR(__xludf.DUMMYFUNCTION("""COMPUTED_VALUE"""),"Random Shooting")</f>
        <v>Random Shooting</v>
      </c>
      <c r="AC1593" s="5" t="str">
        <f ca="1">IFERROR(__xludf.DUMMYFUNCTION("""COMPUTED_VALUE"""),"No")</f>
        <v>No</v>
      </c>
      <c r="AD1593" s="5" t="str">
        <f ca="1">IFERROR(__xludf.DUMMYFUNCTION("""COMPUTED_VALUE"""),"No")</f>
        <v>No</v>
      </c>
      <c r="AE1593" s="5" t="str">
        <f ca="1">IFERROR(__xludf.DUMMYFUNCTION("""COMPUTED_VALUE"""),"No")</f>
        <v>No</v>
      </c>
      <c r="AF1593" s="5" t="str">
        <f ca="1">IFERROR(__xludf.DUMMYFUNCTION("""COMPUTED_VALUE"""),"No")</f>
        <v>No</v>
      </c>
      <c r="AG1593" s="5" t="str">
        <f ca="1">IFERROR(__xludf.DUMMYFUNCTION("""COMPUTED_VALUE"""),"No")</f>
        <v>No</v>
      </c>
      <c r="AH1593" s="5" t="str">
        <f ca="1">IFERROR(__xludf.DUMMYFUNCTION("""COMPUTED_VALUE"""),"No")</f>
        <v>No</v>
      </c>
      <c r="AI1593" s="5" t="str">
        <f ca="1">IFERROR(__xludf.DUMMYFUNCTION("""COMPUTED_VALUE"""),"No")</f>
        <v>No</v>
      </c>
      <c r="AJ1593" s="5" t="str">
        <f ca="1">IFERROR(__xludf.DUMMYFUNCTION("""COMPUTED_VALUE"""),"Yes")</f>
        <v>Yes</v>
      </c>
    </row>
    <row r="1594" spans="1:36" ht="13">
      <c r="A1594" s="5" t="str">
        <f ca="1">IFERROR(__xludf.DUMMYFUNCTION("""COMPUTED_VALUE"""),"20010307PABIW")</f>
        <v>20010307PABIW</v>
      </c>
      <c r="B1594" s="5">
        <f ca="1">IFERROR(__xludf.DUMMYFUNCTION("""COMPUTED_VALUE"""),3)</f>
        <v>3</v>
      </c>
      <c r="C1594" s="5">
        <f ca="1">IFERROR(__xludf.DUMMYFUNCTION("""COMPUTED_VALUE"""),7)</f>
        <v>7</v>
      </c>
      <c r="D1594" s="5">
        <f ca="1">IFERROR(__xludf.DUMMYFUNCTION("""COMPUTED_VALUE"""),2001)</f>
        <v>2001</v>
      </c>
      <c r="E1594" s="8">
        <f ca="1">IFERROR(__xludf.DUMMYFUNCTION("""COMPUTED_VALUE"""),36957)</f>
        <v>36957</v>
      </c>
      <c r="F1594" s="5" t="str">
        <f ca="1">IFERROR(__xludf.DUMMYFUNCTION("""COMPUTED_VALUE"""),"Bishop Neumann High School")</f>
        <v>Bishop Neumann High School</v>
      </c>
      <c r="G1594" s="5">
        <f ca="1">IFERROR(__xludf.DUMMYFUNCTION("""COMPUTED_VALUE"""),0)</f>
        <v>0</v>
      </c>
      <c r="H1594" s="5">
        <f ca="1">IFERROR(__xludf.DUMMYFUNCTION("""COMPUTED_VALUE"""),1)</f>
        <v>1</v>
      </c>
      <c r="I1594" s="5">
        <f ca="1">IFERROR(__xludf.DUMMYFUNCTION("""COMPUTED_VALUE"""),1)</f>
        <v>1</v>
      </c>
      <c r="J1594" s="5">
        <f ca="1">IFERROR(__xludf.DUMMYFUNCTION("""COMPUTED_VALUE"""),0)</f>
        <v>0</v>
      </c>
      <c r="K1594" s="5" t="str">
        <f ca="1">IFERROR(__xludf.DUMMYFUNCTION("""COMPUTED_VALUE"""),"https://www.nytimes.com/2001/03/08/us/girl-14-arrested-after-a-classmate-is-shot-in-pennsylvania.html  http://www.antidepressantsfacts.com/Elizabeth-Bush-18-released.htm   https://www.newspapers.com/image/454932257/?terms=elizabeth%2Bbush")</f>
        <v>https://www.nytimes.com/2001/03/08/us/girl-14-arrested-after-a-classmate-is-shot-in-pennsylvania.html  http://www.antidepressantsfacts.com/Elizabeth-Bush-18-released.htm   https://www.newspapers.com/image/454932257/?terms=elizabeth%2Bbush</v>
      </c>
      <c r="L1594" s="5"/>
      <c r="M1594" s="5"/>
      <c r="N1594" s="5">
        <f ca="1">IFERROR(__xludf.DUMMYFUNCTION("""COMPUTED_VALUE"""),3)</f>
        <v>3</v>
      </c>
      <c r="O1594" s="5" t="str">
        <f ca="1">IFERROR(__xludf.DUMMYFUNCTION("""COMPUTED_VALUE"""),"Spring")</f>
        <v>Spring</v>
      </c>
      <c r="P1594" s="5" t="str">
        <f ca="1">IFERROR(__xludf.DUMMYFUNCTION("""COMPUTED_VALUE"""),"Williamsport")</f>
        <v>Williamsport</v>
      </c>
      <c r="Q1594" s="5" t="str">
        <f ca="1">IFERROR(__xludf.DUMMYFUNCTION("""COMPUTED_VALUE"""),"PA")</f>
        <v>PA</v>
      </c>
      <c r="R1594" s="5" t="str">
        <f ca="1">IFERROR(__xludf.DUMMYFUNCTION("""COMPUTED_VALUE"""),"High")</f>
        <v>High</v>
      </c>
      <c r="S1594" s="5" t="str">
        <f ca="1">IFERROR(__xludf.DUMMYFUNCTION("""COMPUTED_VALUE"""),"Cafeteria")</f>
        <v>Cafeteria</v>
      </c>
      <c r="T1594" s="5" t="str">
        <f ca="1">IFERROR(__xludf.DUMMYFUNCTION("""COMPUTED_VALUE"""),"Inside School Building")</f>
        <v>Inside School Building</v>
      </c>
      <c r="U1594" s="5" t="str">
        <f ca="1">IFERROR(__xludf.DUMMYFUNCTION("""COMPUTED_VALUE"""),"Yes")</f>
        <v>Yes</v>
      </c>
      <c r="V1594" s="5" t="str">
        <f ca="1">IFERROR(__xludf.DUMMYFUNCTION("""COMPUTED_VALUE"""),"Lunch")</f>
        <v>Lunch</v>
      </c>
      <c r="W1594" s="10">
        <f ca="1">IFERROR(__xludf.DUMMYFUNCTION("""COMPUTED_VALUE"""),0.5)</f>
        <v>0.5</v>
      </c>
      <c r="X1594" s="5">
        <f ca="1">IFERROR(__xludf.DUMMYFUNCTION("""COMPUTED_VALUE"""),1)</f>
        <v>1</v>
      </c>
      <c r="Y1594" s="5" t="str">
        <f ca="1">IFERROR(__xludf.DUMMYFUNCTION("""COMPUTED_VALUE"""),"Bullied student shot head cheerleader")</f>
        <v>Bullied student shot head cheerleader</v>
      </c>
      <c r="Z1594" s="5" t="str">
        <f ca="1">IFERROR(__xludf.DUMMYFUNCTION("""COMPUTED_VALUE"""),"Shooter she was depressed and had taken to cutting her arms with a razor in the months before the shooting. She said she stole a .22-caliber pistol from her father's collection and brought it to school because she wanted people to ""know my pain"" from re"&amp;"peated teasing. She shot the head cheerleader in the shoulder from behind. About 100 students were in the cafeteria when Bush fired. A 14 year-old classmate who rode the bus with her talked her into dropping the gun. She was sentenced to an open-ended ter"&amp;"m at a psychiatric facility and released after 3 years.")</f>
        <v>Shooter she was depressed and had taken to cutting her arms with a razor in the months before the shooting. She said she stole a .22-caliber pistol from her father's collection and brought it to school because she wanted people to "know my pain" from repeated teasing. She shot the head cheerleader in the shoulder from behind. About 100 students were in the cafeteria when Bush fired. A 14 year-old classmate who rode the bus with her talked her into dropping the gun. She was sentenced to an open-ended term at a psychiatric facility and released after 3 years.</v>
      </c>
      <c r="AA1594" s="5" t="str">
        <f ca="1">IFERROR(__xludf.DUMMYFUNCTION("""COMPUTED_VALUE"""),"Bullying")</f>
        <v>Bullying</v>
      </c>
      <c r="AB1594" s="5" t="str">
        <f ca="1">IFERROR(__xludf.DUMMYFUNCTION("""COMPUTED_VALUE"""),"Victims Targeted")</f>
        <v>Victims Targeted</v>
      </c>
      <c r="AC1594" s="5" t="str">
        <f ca="1">IFERROR(__xludf.DUMMYFUNCTION("""COMPUTED_VALUE"""),"No")</f>
        <v>No</v>
      </c>
      <c r="AD1594" s="5" t="str">
        <f ca="1">IFERROR(__xludf.DUMMYFUNCTION("""COMPUTED_VALUE"""),"No")</f>
        <v>No</v>
      </c>
      <c r="AE1594" s="5" t="str">
        <f ca="1">IFERROR(__xludf.DUMMYFUNCTION("""COMPUTED_VALUE"""),"No")</f>
        <v>No</v>
      </c>
      <c r="AF1594" s="5" t="str">
        <f ca="1">IFERROR(__xludf.DUMMYFUNCTION("""COMPUTED_VALUE"""),"No")</f>
        <v>No</v>
      </c>
      <c r="AG1594" s="5" t="str">
        <f ca="1">IFERROR(__xludf.DUMMYFUNCTION("""COMPUTED_VALUE"""),"Yes")</f>
        <v>Yes</v>
      </c>
      <c r="AH1594" s="5" t="str">
        <f ca="1">IFERROR(__xludf.DUMMYFUNCTION("""COMPUTED_VALUE"""),"No")</f>
        <v>No</v>
      </c>
      <c r="AI1594" s="5" t="str">
        <f ca="1">IFERROR(__xludf.DUMMYFUNCTION("""COMPUTED_VALUE"""),"No")</f>
        <v>No</v>
      </c>
      <c r="AJ1594" s="5"/>
    </row>
    <row r="1595" spans="1:36" ht="13">
      <c r="A1595" s="5" t="str">
        <f ca="1">IFERROR(__xludf.DUMMYFUNCTION("""COMPUTED_VALUE"""),"20010307WAKEC")</f>
        <v>20010307WAKEC</v>
      </c>
      <c r="B1595" s="5">
        <f ca="1">IFERROR(__xludf.DUMMYFUNCTION("""COMPUTED_VALUE"""),3)</f>
        <v>3</v>
      </c>
      <c r="C1595" s="5">
        <f ca="1">IFERROR(__xludf.DUMMYFUNCTION("""COMPUTED_VALUE"""),7)</f>
        <v>7</v>
      </c>
      <c r="D1595" s="5">
        <f ca="1">IFERROR(__xludf.DUMMYFUNCTION("""COMPUTED_VALUE"""),2001)</f>
        <v>2001</v>
      </c>
      <c r="E1595" s="8">
        <f ca="1">IFERROR(__xludf.DUMMYFUNCTION("""COMPUTED_VALUE"""),36957)</f>
        <v>36957</v>
      </c>
      <c r="F1595" s="5" t="str">
        <f ca="1">IFERROR(__xludf.DUMMYFUNCTION("""COMPUTED_VALUE"""),"Kentwood High School")</f>
        <v>Kentwood High School</v>
      </c>
      <c r="G1595" s="5">
        <f ca="1">IFERROR(__xludf.DUMMYFUNCTION("""COMPUTED_VALUE"""),0)</f>
        <v>0</v>
      </c>
      <c r="H1595" s="5">
        <f ca="1">IFERROR(__xludf.DUMMYFUNCTION("""COMPUTED_VALUE"""),0)</f>
        <v>0</v>
      </c>
      <c r="I1595" s="5">
        <f ca="1">IFERROR(__xludf.DUMMYFUNCTION("""COMPUTED_VALUE"""),0)</f>
        <v>0</v>
      </c>
      <c r="J1595" s="5">
        <f ca="1">IFERROR(__xludf.DUMMYFUNCTION("""COMPUTED_VALUE"""),0)</f>
        <v>0</v>
      </c>
      <c r="K1595" s="9" t="str">
        <f ca="1">IFERROR(__xludf.DUMMYFUNCTION("""COMPUTED_VALUE"""),"http://community.seattletimes.nwsource.com/archive/?date=20010308&amp;slug=kent08m0")</f>
        <v>http://community.seattletimes.nwsource.com/archive/?date=20010308&amp;slug=kent08m0</v>
      </c>
      <c r="L1595" s="5"/>
      <c r="M1595" s="5"/>
      <c r="N1595" s="5">
        <f ca="1">IFERROR(__xludf.DUMMYFUNCTION("""COMPUTED_VALUE"""),2)</f>
        <v>2</v>
      </c>
      <c r="O1595" s="5" t="str">
        <f ca="1">IFERROR(__xludf.DUMMYFUNCTION("""COMPUTED_VALUE"""),"Spring")</f>
        <v>Spring</v>
      </c>
      <c r="P1595" s="5" t="str">
        <f ca="1">IFERROR(__xludf.DUMMYFUNCTION("""COMPUTED_VALUE"""),"Covington")</f>
        <v>Covington</v>
      </c>
      <c r="Q1595" s="5" t="str">
        <f ca="1">IFERROR(__xludf.DUMMYFUNCTION("""COMPUTED_VALUE"""),"WA")</f>
        <v>WA</v>
      </c>
      <c r="R1595" s="5" t="str">
        <f ca="1">IFERROR(__xludf.DUMMYFUNCTION("""COMPUTED_VALUE"""),"High")</f>
        <v>High</v>
      </c>
      <c r="S1595" s="5" t="str">
        <f ca="1">IFERROR(__xludf.DUMMYFUNCTION("""COMPUTED_VALUE"""),"Classroom")</f>
        <v>Classroom</v>
      </c>
      <c r="T1595" s="5" t="str">
        <f ca="1">IFERROR(__xludf.DUMMYFUNCTION("""COMPUTED_VALUE"""),"Inside School Building")</f>
        <v>Inside School Building</v>
      </c>
      <c r="U1595" s="5" t="str">
        <f ca="1">IFERROR(__xludf.DUMMYFUNCTION("""COMPUTED_VALUE"""),"Yes")</f>
        <v>Yes</v>
      </c>
      <c r="V1595" s="5"/>
      <c r="W1595" s="5"/>
      <c r="X1595" s="5"/>
      <c r="Y1595" s="5" t="str">
        <f ca="1">IFERROR(__xludf.DUMMYFUNCTION("""COMPUTED_VALUE"""),"Student pulled gun in class, talked about suicide, talked into surrendering by two other students")</f>
        <v>Student pulled gun in class, talked about suicide, talked into surrendering by two other students</v>
      </c>
      <c r="Z1595" s="5" t="str">
        <f ca="1">IFERROR(__xludf.DUMMYFUNCTION("""COMPUTED_VALUE"""),"16YOM student had talked to other students about suicide. He pulled a gun in the classroom and was talking about killing himself. Students fled the room but 2 JROTC students remained behind and talked shooter into surrendering to police. No shots fired. N"&amp;"o injuries.")</f>
        <v>16YOM student had talked to other students about suicide. He pulled a gun in the classroom and was talking about killing himself. Students fled the room but 2 JROTC students remained behind and talked shooter into surrendering to police. No shots fired. No injuries.</v>
      </c>
      <c r="AA1595" s="5" t="str">
        <f ca="1">IFERROR(__xludf.DUMMYFUNCTION("""COMPUTED_VALUE"""),"Suicide/Attempted")</f>
        <v>Suicide/Attempted</v>
      </c>
      <c r="AB1595" s="5" t="str">
        <f ca="1">IFERROR(__xludf.DUMMYFUNCTION("""COMPUTED_VALUE"""),"Neither")</f>
        <v>Neither</v>
      </c>
      <c r="AC1595" s="5" t="str">
        <f ca="1">IFERROR(__xludf.DUMMYFUNCTION("""COMPUTED_VALUE"""),"No")</f>
        <v>No</v>
      </c>
      <c r="AD1595" s="5" t="str">
        <f ca="1">IFERROR(__xludf.DUMMYFUNCTION("""COMPUTED_VALUE"""),"No")</f>
        <v>No</v>
      </c>
      <c r="AE1595" s="5" t="str">
        <f ca="1">IFERROR(__xludf.DUMMYFUNCTION("""COMPUTED_VALUE"""),"No")</f>
        <v>No</v>
      </c>
      <c r="AF1595" s="5" t="str">
        <f ca="1">IFERROR(__xludf.DUMMYFUNCTION("""COMPUTED_VALUE"""),"No")</f>
        <v>No</v>
      </c>
      <c r="AG1595" s="5" t="str">
        <f ca="1">IFERROR(__xludf.DUMMYFUNCTION("""COMPUTED_VALUE"""),"No")</f>
        <v>No</v>
      </c>
      <c r="AH1595" s="5" t="str">
        <f ca="1">IFERROR(__xludf.DUMMYFUNCTION("""COMPUTED_VALUE"""),"No")</f>
        <v>No</v>
      </c>
      <c r="AI1595" s="5" t="str">
        <f ca="1">IFERROR(__xludf.DUMMYFUNCTION("""COMPUTED_VALUE"""),"No")</f>
        <v>No</v>
      </c>
      <c r="AJ1595" s="5" t="str">
        <f ca="1">IFERROR(__xludf.DUMMYFUNCTION("""COMPUTED_VALUE"""),"Yes")</f>
        <v>Yes</v>
      </c>
    </row>
    <row r="1596" spans="1:36" ht="13">
      <c r="A1596" s="5" t="str">
        <f ca="1">IFERROR(__xludf.DUMMYFUNCTION("""COMPUTED_VALUE"""),"20010306MDLAL")</f>
        <v>20010306MDLAL</v>
      </c>
      <c r="B1596" s="5">
        <f ca="1">IFERROR(__xludf.DUMMYFUNCTION("""COMPUTED_VALUE"""),3)</f>
        <v>3</v>
      </c>
      <c r="C1596" s="5">
        <f ca="1">IFERROR(__xludf.DUMMYFUNCTION("""COMPUTED_VALUE"""),6)</f>
        <v>6</v>
      </c>
      <c r="D1596" s="5">
        <f ca="1">IFERROR(__xludf.DUMMYFUNCTION("""COMPUTED_VALUE"""),2001)</f>
        <v>2001</v>
      </c>
      <c r="E1596" s="8">
        <f ca="1">IFERROR(__xludf.DUMMYFUNCTION("""COMPUTED_VALUE"""),36956)</f>
        <v>36956</v>
      </c>
      <c r="F1596" s="5" t="str">
        <f ca="1">IFERROR(__xludf.DUMMYFUNCTION("""COMPUTED_VALUE"""),"Largo High School")</f>
        <v>Largo High School</v>
      </c>
      <c r="G1596" s="5">
        <f ca="1">IFERROR(__xludf.DUMMYFUNCTION("""COMPUTED_VALUE"""),0)</f>
        <v>0</v>
      </c>
      <c r="H1596" s="5">
        <f ca="1">IFERROR(__xludf.DUMMYFUNCTION("""COMPUTED_VALUE"""),1)</f>
        <v>1</v>
      </c>
      <c r="I1596" s="5">
        <f ca="1">IFERROR(__xludf.DUMMYFUNCTION("""COMPUTED_VALUE"""),1)</f>
        <v>1</v>
      </c>
      <c r="J1596" s="5">
        <f ca="1">IFERROR(__xludf.DUMMYFUNCTION("""COMPUTED_VALUE"""),0)</f>
        <v>0</v>
      </c>
      <c r="K1596" s="9" t="str">
        <f ca="1">IFERROR(__xludf.DUMMYFUNCTION("""COMPUTED_VALUE"""),"https://www.washingtontimes.com/news/2001/mar/8/20010308-021529-7742r/")</f>
        <v>https://www.washingtontimes.com/news/2001/mar/8/20010308-021529-7742r/</v>
      </c>
      <c r="L1596" s="5"/>
      <c r="M1596" s="5"/>
      <c r="N1596" s="5">
        <f ca="1">IFERROR(__xludf.DUMMYFUNCTION("""COMPUTED_VALUE"""),2)</f>
        <v>2</v>
      </c>
      <c r="O1596" s="5" t="str">
        <f ca="1">IFERROR(__xludf.DUMMYFUNCTION("""COMPUTED_VALUE"""),"Spring")</f>
        <v>Spring</v>
      </c>
      <c r="P1596" s="5" t="str">
        <f ca="1">IFERROR(__xludf.DUMMYFUNCTION("""COMPUTED_VALUE"""),"Largo")</f>
        <v>Largo</v>
      </c>
      <c r="Q1596" s="5" t="str">
        <f ca="1">IFERROR(__xludf.DUMMYFUNCTION("""COMPUTED_VALUE"""),"MD")</f>
        <v>MD</v>
      </c>
      <c r="R1596" s="5" t="str">
        <f ca="1">IFERROR(__xludf.DUMMYFUNCTION("""COMPUTED_VALUE"""),"High")</f>
        <v>High</v>
      </c>
      <c r="S1596" s="5" t="str">
        <f ca="1">IFERROR(__xludf.DUMMYFUNCTION("""COMPUTED_VALUE"""),"Cafeteria")</f>
        <v>Cafeteria</v>
      </c>
      <c r="T1596" s="5" t="str">
        <f ca="1">IFERROR(__xludf.DUMMYFUNCTION("""COMPUTED_VALUE"""),"Inside School Building")</f>
        <v>Inside School Building</v>
      </c>
      <c r="U1596" s="5" t="str">
        <f ca="1">IFERROR(__xludf.DUMMYFUNCTION("""COMPUTED_VALUE"""),"No")</f>
        <v>No</v>
      </c>
      <c r="V1596" s="5" t="str">
        <f ca="1">IFERROR(__xludf.DUMMYFUNCTION("""COMPUTED_VALUE"""),"After School")</f>
        <v>After School</v>
      </c>
      <c r="W1596" s="10">
        <f ca="1">IFERROR(__xludf.DUMMYFUNCTION("""COMPUTED_VALUE"""),0.708333333333333)</f>
        <v>0.70833333333333304</v>
      </c>
      <c r="X1596" s="5">
        <f ca="1">IFERROR(__xludf.DUMMYFUNCTION("""COMPUTED_VALUE"""),1)</f>
        <v>1</v>
      </c>
      <c r="Y1596" s="5" t="str">
        <f ca="1">IFERROR(__xludf.DUMMYFUNCTION("""COMPUTED_VALUE"""),"Two teens went into school looking for student they had conflict with, fired shots")</f>
        <v>Two teens went into school looking for student they had conflict with, fired shots</v>
      </c>
      <c r="Z1596" s="5" t="str">
        <f ca="1">IFERROR(__xludf.DUMMYFUNCTION("""COMPUTED_VALUE"""),"Chronically troubled student who had multiple robbery charges went into the school after hours with another teen. They were looking for a 17 YOM student who they had an ongoing fight with. They found him in the cafeteria and during a fight the 14YOM shoot"&amp;"er fired one shot then fled the scene. He was arrested 2 days later. The school has armed security guards who leave at 4:30PM, shooting occurred just after that. The shooter knew the target would be at the school for a fashion show rehearsal.")</f>
        <v>Chronically troubled student who had multiple robbery charges went into the school after hours with another teen. They were looking for a 17 YOM student who they had an ongoing fight with. They found him in the cafeteria and during a fight the 14YOM shooter fired one shot then fled the scene. He was arrested 2 days later. The school has armed security guards who leave at 4:30PM, shooting occurred just after that. The shooter knew the target would be at the school for a fashion show rehearsal.</v>
      </c>
      <c r="AA1596" s="5" t="str">
        <f ca="1">IFERROR(__xludf.DUMMYFUNCTION("""COMPUTED_VALUE"""),"Escalation of Dispute")</f>
        <v>Escalation of Dispute</v>
      </c>
      <c r="AB1596" s="5" t="str">
        <f ca="1">IFERROR(__xludf.DUMMYFUNCTION("""COMPUTED_VALUE"""),"Victims Targeted")</f>
        <v>Victims Targeted</v>
      </c>
      <c r="AC1596" s="5" t="str">
        <f ca="1">IFERROR(__xludf.DUMMYFUNCTION("""COMPUTED_VALUE"""),"Yes")</f>
        <v>Yes</v>
      </c>
      <c r="AD1596" s="5" t="str">
        <f ca="1">IFERROR(__xludf.DUMMYFUNCTION("""COMPUTED_VALUE"""),"No")</f>
        <v>No</v>
      </c>
      <c r="AE1596" s="5" t="str">
        <f ca="1">IFERROR(__xludf.DUMMYFUNCTION("""COMPUTED_VALUE"""),"No")</f>
        <v>No</v>
      </c>
      <c r="AF1596" s="5" t="str">
        <f ca="1">IFERROR(__xludf.DUMMYFUNCTION("""COMPUTED_VALUE"""),"No")</f>
        <v>No</v>
      </c>
      <c r="AG1596" s="5" t="str">
        <f ca="1">IFERROR(__xludf.DUMMYFUNCTION("""COMPUTED_VALUE"""),"No")</f>
        <v>No</v>
      </c>
      <c r="AH1596" s="5" t="str">
        <f ca="1">IFERROR(__xludf.DUMMYFUNCTION("""COMPUTED_VALUE"""),"No")</f>
        <v>No</v>
      </c>
      <c r="AI1596" s="5" t="str">
        <f ca="1">IFERROR(__xludf.DUMMYFUNCTION("""COMPUTED_VALUE"""),"No")</f>
        <v>No</v>
      </c>
      <c r="AJ1596" s="5"/>
    </row>
    <row r="1597" spans="1:36" ht="13">
      <c r="A1597" s="5" t="str">
        <f ca="1">IFERROR(__xludf.DUMMYFUNCTION("""COMPUTED_VALUE"""),"20010305CASAS")</f>
        <v>20010305CASAS</v>
      </c>
      <c r="B1597" s="5">
        <f ca="1">IFERROR(__xludf.DUMMYFUNCTION("""COMPUTED_VALUE"""),3)</f>
        <v>3</v>
      </c>
      <c r="C1597" s="5">
        <f ca="1">IFERROR(__xludf.DUMMYFUNCTION("""COMPUTED_VALUE"""),5)</f>
        <v>5</v>
      </c>
      <c r="D1597" s="5">
        <f ca="1">IFERROR(__xludf.DUMMYFUNCTION("""COMPUTED_VALUE"""),2001)</f>
        <v>2001</v>
      </c>
      <c r="E1597" s="8">
        <f ca="1">IFERROR(__xludf.DUMMYFUNCTION("""COMPUTED_VALUE"""),36955)</f>
        <v>36955</v>
      </c>
      <c r="F1597" s="5" t="str">
        <f ca="1">IFERROR(__xludf.DUMMYFUNCTION("""COMPUTED_VALUE"""),"Santana High School")</f>
        <v>Santana High School</v>
      </c>
      <c r="G1597" s="5">
        <f ca="1">IFERROR(__xludf.DUMMYFUNCTION("""COMPUTED_VALUE"""),2)</f>
        <v>2</v>
      </c>
      <c r="H1597" s="5">
        <f ca="1">IFERROR(__xludf.DUMMYFUNCTION("""COMPUTED_VALUE"""),13)</f>
        <v>13</v>
      </c>
      <c r="I1597" s="5">
        <f ca="1">IFERROR(__xludf.DUMMYFUNCTION("""COMPUTED_VALUE"""),15)</f>
        <v>15</v>
      </c>
      <c r="J1597" s="5">
        <f ca="1">IFERROR(__xludf.DUMMYFUNCTION("""COMPUTED_VALUE"""),0)</f>
        <v>0</v>
      </c>
      <c r="K1597" s="5" t="str">
        <f ca="1">IFERROR(__xludf.DUMMYFUNCTION("""COMPUTED_VALUE"""),"http://www.sandiegouniontribune.com/news/columnists/sdut-charles-andy-williams-santana-high-school-shooting-2013may10-htmlstory.html https://www.pbs.org/newshour/science/science-jan-june13-andywilliams_02-18 https://www.fbi.gov/file-repository/active-shoo"&amp;"ter-incidents-2000-2017.pdf")</f>
        <v>http://www.sandiegouniontribune.com/news/columnists/sdut-charles-andy-williams-santana-high-school-shooting-2013may10-htmlstory.html https://www.pbs.org/newshour/science/science-jan-june13-andywilliams_02-18 https://www.fbi.gov/file-repository/active-shooter-incidents-2000-2017.pdf</v>
      </c>
      <c r="L1597" s="5"/>
      <c r="M1597" s="5"/>
      <c r="N1597" s="5">
        <f ca="1">IFERROR(__xludf.DUMMYFUNCTION("""COMPUTED_VALUE"""),3)</f>
        <v>3</v>
      </c>
      <c r="O1597" s="5" t="str">
        <f ca="1">IFERROR(__xludf.DUMMYFUNCTION("""COMPUTED_VALUE"""),"Spring")</f>
        <v>Spring</v>
      </c>
      <c r="P1597" s="5" t="str">
        <f ca="1">IFERROR(__xludf.DUMMYFUNCTION("""COMPUTED_VALUE"""),"Santee")</f>
        <v>Santee</v>
      </c>
      <c r="Q1597" s="5" t="str">
        <f ca="1">IFERROR(__xludf.DUMMYFUNCTION("""COMPUTED_VALUE"""),"CA")</f>
        <v>CA</v>
      </c>
      <c r="R1597" s="5" t="str">
        <f ca="1">IFERROR(__xludf.DUMMYFUNCTION("""COMPUTED_VALUE"""),"High")</f>
        <v>High</v>
      </c>
      <c r="S1597" s="5" t="str">
        <f ca="1">IFERROR(__xludf.DUMMYFUNCTION("""COMPUTED_VALUE"""),"Bathroom")</f>
        <v>Bathroom</v>
      </c>
      <c r="T1597" s="5" t="str">
        <f ca="1">IFERROR(__xludf.DUMMYFUNCTION("""COMPUTED_VALUE"""),"Inside School Building")</f>
        <v>Inside School Building</v>
      </c>
      <c r="U1597" s="5" t="str">
        <f ca="1">IFERROR(__xludf.DUMMYFUNCTION("""COMPUTED_VALUE"""),"Yes")</f>
        <v>Yes</v>
      </c>
      <c r="V1597" s="5" t="str">
        <f ca="1">IFERROR(__xludf.DUMMYFUNCTION("""COMPUTED_VALUE"""),"Morning Classes")</f>
        <v>Morning Classes</v>
      </c>
      <c r="W1597" s="10">
        <f ca="1">IFERROR(__xludf.DUMMYFUNCTION("""COMPUTED_VALUE"""),0.388888888888888)</f>
        <v>0.38888888888888801</v>
      </c>
      <c r="X1597" s="5"/>
      <c r="Y1597" s="5" t="str">
        <f ca="1">IFERROR(__xludf.DUMMYFUNCTION("""COMPUTED_VALUE"""),"Bullying, planned attack, planned suicide by cop")</f>
        <v>Bullying, planned attack, planned suicide by cop</v>
      </c>
      <c r="Z1597" s="5" t="str">
        <f ca="1">IFERROR(__xludf.DUMMYFUNCTION("""COMPUTED_VALUE"""),"Shooter was planning attack with 2 other students but they backed out. They had told approximately 50 other people about the plans including adults. Shooter told friends he was going to do it Monday the weekend before the shooting and gave them his posses"&amp;"sions. Shooter had a .22 handgun with 40 rounds, he was worried the gun was not powerful enough to kill people. Shooter fired at multiple students from the bathroom and including firing at two school employees who thought fire crackers were going off. Whe"&amp;"n SWAT entered the bathroom, he had the gun to his head but couldn't pull the trigger. Shooter reported thinking about suicide the night before but decided to do the shooting. Shooter had been seriously bullied for years including beatings and being lit o"&amp;"n fire. Shooter had abused RX drugs, cocaine, and alcohol since age 12. Shooters parents were divorced. He was sexually assaulted by his mother's boyfriend. Unsupervised by father. Moved frequently. Very poor performance in school.")</f>
        <v>Shooter was planning attack with 2 other students but they backed out. They had told approximately 50 other people about the plans including adults. Shooter told friends he was going to do it Monday the weekend before the shooting and gave them his possessions. Shooter had a .22 handgun with 40 rounds, he was worried the gun was not powerful enough to kill people. Shooter fired at multiple students from the bathroom and including firing at two school employees who thought fire crackers were going off. When SWAT entered the bathroom, he had the gun to his head but couldn't pull the trigger. Shooter reported thinking about suicide the night before but decided to do the shooting. Shooter had been seriously bullied for years including beatings and being lit on fire. Shooter had abused RX drugs, cocaine, and alcohol since age 12. Shooters parents were divorced. He was sexually assaulted by his mother's boyfriend. Unsupervised by father. Moved frequently. Very poor performance in school.</v>
      </c>
      <c r="AA1597" s="5" t="str">
        <f ca="1">IFERROR(__xludf.DUMMYFUNCTION("""COMPUTED_VALUE"""),"Bullying")</f>
        <v>Bullying</v>
      </c>
      <c r="AB1597" s="5" t="str">
        <f ca="1">IFERROR(__xludf.DUMMYFUNCTION("""COMPUTED_VALUE"""),"Random Shooting")</f>
        <v>Random Shooting</v>
      </c>
      <c r="AC1597" s="5" t="str">
        <f ca="1">IFERROR(__xludf.DUMMYFUNCTION("""COMPUTED_VALUE"""),"No")</f>
        <v>No</v>
      </c>
      <c r="AD1597" s="5" t="str">
        <f ca="1">IFERROR(__xludf.DUMMYFUNCTION("""COMPUTED_VALUE"""),"No")</f>
        <v>No</v>
      </c>
      <c r="AE1597" s="5" t="str">
        <f ca="1">IFERROR(__xludf.DUMMYFUNCTION("""COMPUTED_VALUE"""),"No")</f>
        <v>No</v>
      </c>
      <c r="AF1597" s="5" t="str">
        <f ca="1">IFERROR(__xludf.DUMMYFUNCTION("""COMPUTED_VALUE"""),"No")</f>
        <v>No</v>
      </c>
      <c r="AG1597" s="5" t="str">
        <f ca="1">IFERROR(__xludf.DUMMYFUNCTION("""COMPUTED_VALUE"""),"Yes")</f>
        <v>Yes</v>
      </c>
      <c r="AH1597" s="5" t="str">
        <f ca="1">IFERROR(__xludf.DUMMYFUNCTION("""COMPUTED_VALUE"""),"No")</f>
        <v>No</v>
      </c>
      <c r="AI1597" s="5" t="str">
        <f ca="1">IFERROR(__xludf.DUMMYFUNCTION("""COMPUTED_VALUE"""),"No")</f>
        <v>No</v>
      </c>
      <c r="AJ1597" s="5" t="str">
        <f ca="1">IFERROR(__xludf.DUMMYFUNCTION("""COMPUTED_VALUE"""),"Yes")</f>
        <v>Yes</v>
      </c>
    </row>
    <row r="1598" spans="1:36" ht="13">
      <c r="A1598" s="5" t="str">
        <f ca="1">IFERROR(__xludf.DUMMYFUNCTION("""COMPUTED_VALUE"""),"20010302CAHOS")</f>
        <v>20010302CAHOS</v>
      </c>
      <c r="B1598" s="5">
        <f ca="1">IFERROR(__xludf.DUMMYFUNCTION("""COMPUTED_VALUE"""),3)</f>
        <v>3</v>
      </c>
      <c r="C1598" s="5">
        <f ca="1">IFERROR(__xludf.DUMMYFUNCTION("""COMPUTED_VALUE"""),2)</f>
        <v>2</v>
      </c>
      <c r="D1598" s="5">
        <f ca="1">IFERROR(__xludf.DUMMYFUNCTION("""COMPUTED_VALUE"""),2001)</f>
        <v>2001</v>
      </c>
      <c r="E1598" s="8">
        <f ca="1">IFERROR(__xludf.DUMMYFUNCTION("""COMPUTED_VALUE"""),36952)</f>
        <v>36952</v>
      </c>
      <c r="F1598" s="5" t="str">
        <f ca="1">IFERROR(__xludf.DUMMYFUNCTION("""COMPUTED_VALUE"""),"Hoover High School")</f>
        <v>Hoover High School</v>
      </c>
      <c r="G1598" s="5">
        <f ca="1">IFERROR(__xludf.DUMMYFUNCTION("""COMPUTED_VALUE"""),0)</f>
        <v>0</v>
      </c>
      <c r="H1598" s="5">
        <f ca="1">IFERROR(__xludf.DUMMYFUNCTION("""COMPUTED_VALUE"""),0)</f>
        <v>0</v>
      </c>
      <c r="I1598" s="5">
        <f ca="1">IFERROR(__xludf.DUMMYFUNCTION("""COMPUTED_VALUE"""),0)</f>
        <v>0</v>
      </c>
      <c r="J1598" s="5">
        <f ca="1">IFERROR(__xludf.DUMMYFUNCTION("""COMPUTED_VALUE"""),1)</f>
        <v>1</v>
      </c>
      <c r="K1598" s="9" t="str">
        <f ca="1">IFERROR(__xludf.DUMMYFUNCTION("""COMPUTED_VALUE"""),"https://www.deseretnews.com/article/831817/School-hopes-suicide-doesnt-put-it-in-spotlight.html")</f>
        <v>https://www.deseretnews.com/article/831817/School-hopes-suicide-doesnt-put-it-in-spotlight.html</v>
      </c>
      <c r="L1598" s="5"/>
      <c r="M1598" s="5"/>
      <c r="N1598" s="5">
        <f ca="1">IFERROR(__xludf.DUMMYFUNCTION("""COMPUTED_VALUE"""),2)</f>
        <v>2</v>
      </c>
      <c r="O1598" s="5" t="str">
        <f ca="1">IFERROR(__xludf.DUMMYFUNCTION("""COMPUTED_VALUE"""),"Spring")</f>
        <v>Spring</v>
      </c>
      <c r="P1598" s="5" t="str">
        <f ca="1">IFERROR(__xludf.DUMMYFUNCTION("""COMPUTED_VALUE"""),"San Diego")</f>
        <v>San Diego</v>
      </c>
      <c r="Q1598" s="5" t="str">
        <f ca="1">IFERROR(__xludf.DUMMYFUNCTION("""COMPUTED_VALUE"""),"CA")</f>
        <v>CA</v>
      </c>
      <c r="R1598" s="5" t="str">
        <f ca="1">IFERROR(__xludf.DUMMYFUNCTION("""COMPUTED_VALUE"""),"High")</f>
        <v>High</v>
      </c>
      <c r="S1598" s="5" t="str">
        <f ca="1">IFERROR(__xludf.DUMMYFUNCTION("""COMPUTED_VALUE"""),"Parking Lot")</f>
        <v>Parking Lot</v>
      </c>
      <c r="T1598" s="5" t="str">
        <f ca="1">IFERROR(__xludf.DUMMYFUNCTION("""COMPUTED_VALUE"""),"Outside on School Property")</f>
        <v>Outside on School Property</v>
      </c>
      <c r="U1598" s="5" t="str">
        <f ca="1">IFERROR(__xludf.DUMMYFUNCTION("""COMPUTED_VALUE"""),"Yes")</f>
        <v>Yes</v>
      </c>
      <c r="V1598" s="5" t="str">
        <f ca="1">IFERROR(__xludf.DUMMYFUNCTION("""COMPUTED_VALUE"""),"Afternoon Classes")</f>
        <v>Afternoon Classes</v>
      </c>
      <c r="W1598" s="5"/>
      <c r="X1598" s="5"/>
      <c r="Y1598" s="5" t="str">
        <f ca="1">IFERROR(__xludf.DUMMYFUNCTION("""COMPUTED_VALUE"""),"Student shot himself in parking lot, upset about breakup")</f>
        <v>Student shot himself in parking lot, upset about breakup</v>
      </c>
      <c r="Z1598" s="5" t="str">
        <f ca="1">IFERROR(__xludf.DUMMYFUNCTION("""COMPUTED_VALUE"""),"18YOM student shot himself in the parking lot after meeting with the school counselor. Shooter had recently broken up with his girlfriend.")</f>
        <v>18YOM student shot himself in the parking lot after meeting with the school counselor. Shooter had recently broken up with his girlfriend.</v>
      </c>
      <c r="AA1598" s="5" t="str">
        <f ca="1">IFERROR(__xludf.DUMMYFUNCTION("""COMPUTED_VALUE"""),"Suicide/Attempted")</f>
        <v>Suicide/Attempted</v>
      </c>
      <c r="AB1598" s="5" t="str">
        <f ca="1">IFERROR(__xludf.DUMMYFUNCTION("""COMPUTED_VALUE"""),"Victims Targeted")</f>
        <v>Victims Targeted</v>
      </c>
      <c r="AC1598" s="5" t="str">
        <f ca="1">IFERROR(__xludf.DUMMYFUNCTION("""COMPUTED_VALUE"""),"No")</f>
        <v>No</v>
      </c>
      <c r="AD1598" s="5" t="str">
        <f ca="1">IFERROR(__xludf.DUMMYFUNCTION("""COMPUTED_VALUE"""),"No")</f>
        <v>No</v>
      </c>
      <c r="AE1598" s="5" t="str">
        <f ca="1">IFERROR(__xludf.DUMMYFUNCTION("""COMPUTED_VALUE"""),"No")</f>
        <v>No</v>
      </c>
      <c r="AF1598" s="5" t="str">
        <f ca="1">IFERROR(__xludf.DUMMYFUNCTION("""COMPUTED_VALUE"""),"No")</f>
        <v>No</v>
      </c>
      <c r="AG1598" s="5" t="str">
        <f ca="1">IFERROR(__xludf.DUMMYFUNCTION("""COMPUTED_VALUE"""),"No")</f>
        <v>No</v>
      </c>
      <c r="AH1598" s="5" t="str">
        <f ca="1">IFERROR(__xludf.DUMMYFUNCTION("""COMPUTED_VALUE"""),"No")</f>
        <v>No</v>
      </c>
      <c r="AI1598" s="5" t="str">
        <f ca="1">IFERROR(__xludf.DUMMYFUNCTION("""COMPUTED_VALUE"""),"No")</f>
        <v>No</v>
      </c>
      <c r="AJ1598" s="5"/>
    </row>
    <row r="1599" spans="1:36" ht="13">
      <c r="A1599" s="5" t="str">
        <f ca="1">IFERROR(__xludf.DUMMYFUNCTION("""COMPUTED_VALUE"""),"20010202MIOSD")</f>
        <v>20010202MIOSD</v>
      </c>
      <c r="B1599" s="5">
        <f ca="1">IFERROR(__xludf.DUMMYFUNCTION("""COMPUTED_VALUE"""),2)</f>
        <v>2</v>
      </c>
      <c r="C1599" s="5">
        <f ca="1">IFERROR(__xludf.DUMMYFUNCTION("""COMPUTED_VALUE"""),2)</f>
        <v>2</v>
      </c>
      <c r="D1599" s="5">
        <f ca="1">IFERROR(__xludf.DUMMYFUNCTION("""COMPUTED_VALUE"""),2001)</f>
        <v>2001</v>
      </c>
      <c r="E1599" s="8">
        <f ca="1">IFERROR(__xludf.DUMMYFUNCTION("""COMPUTED_VALUE"""),36924)</f>
        <v>36924</v>
      </c>
      <c r="F1599" s="5" t="str">
        <f ca="1">IFERROR(__xludf.DUMMYFUNCTION("""COMPUTED_VALUE"""),"Osborn High School")</f>
        <v>Osborn High School</v>
      </c>
      <c r="G1599" s="5">
        <f ca="1">IFERROR(__xludf.DUMMYFUNCTION("""COMPUTED_VALUE"""),0)</f>
        <v>0</v>
      </c>
      <c r="H1599" s="5">
        <f ca="1">IFERROR(__xludf.DUMMYFUNCTION("""COMPUTED_VALUE"""),3)</f>
        <v>3</v>
      </c>
      <c r="I1599" s="5">
        <f ca="1">IFERROR(__xludf.DUMMYFUNCTION("""COMPUTED_VALUE"""),3)</f>
        <v>3</v>
      </c>
      <c r="J1599" s="5">
        <f ca="1">IFERROR(__xludf.DUMMYFUNCTION("""COMPUTED_VALUE"""),0)</f>
        <v>0</v>
      </c>
      <c r="K1599" s="9" t="str">
        <f ca="1">IFERROR(__xludf.DUMMYFUNCTION("""COMPUTED_VALUE"""),"http://edition.cnn.com/2001/US/02/02/detroit.shooting/index.html")</f>
        <v>http://edition.cnn.com/2001/US/02/02/detroit.shooting/index.html</v>
      </c>
      <c r="L1599" s="5"/>
      <c r="M1599" s="5"/>
      <c r="N1599" s="5">
        <f ca="1">IFERROR(__xludf.DUMMYFUNCTION("""COMPUTED_VALUE"""),2)</f>
        <v>2</v>
      </c>
      <c r="O1599" s="5" t="str">
        <f ca="1">IFERROR(__xludf.DUMMYFUNCTION("""COMPUTED_VALUE"""),"Winter")</f>
        <v>Winter</v>
      </c>
      <c r="P1599" s="5" t="str">
        <f ca="1">IFERROR(__xludf.DUMMYFUNCTION("""COMPUTED_VALUE"""),"Detroit")</f>
        <v>Detroit</v>
      </c>
      <c r="Q1599" s="5" t="str">
        <f ca="1">IFERROR(__xludf.DUMMYFUNCTION("""COMPUTED_VALUE"""),"MI")</f>
        <v>MI</v>
      </c>
      <c r="R1599" s="5" t="str">
        <f ca="1">IFERROR(__xludf.DUMMYFUNCTION("""COMPUTED_VALUE"""),"High")</f>
        <v>High</v>
      </c>
      <c r="S1599" s="5" t="str">
        <f ca="1">IFERROR(__xludf.DUMMYFUNCTION("""COMPUTED_VALUE"""),"Classroom")</f>
        <v>Classroom</v>
      </c>
      <c r="T1599" s="5" t="str">
        <f ca="1">IFERROR(__xludf.DUMMYFUNCTION("""COMPUTED_VALUE"""),"Inside School Building")</f>
        <v>Inside School Building</v>
      </c>
      <c r="U1599" s="5" t="str">
        <f ca="1">IFERROR(__xludf.DUMMYFUNCTION("""COMPUTED_VALUE"""),"Yes")</f>
        <v>Yes</v>
      </c>
      <c r="V1599" s="5"/>
      <c r="W1599" s="5"/>
      <c r="X1599" s="5"/>
      <c r="Y1599" s="5" t="str">
        <f ca="1">IFERROR(__xludf.DUMMYFUNCTION("""COMPUTED_VALUE"""),"2 students and 1 teacher shot in bandroom by unknown student, possible to get class dismissed early")</f>
        <v>2 students and 1 teacher shot in bandroom by unknown student, possible to get class dismissed early</v>
      </c>
      <c r="Z1599" s="5" t="str">
        <f ca="1">IFERROR(__xludf.DUMMYFUNCTION("""COMPUTED_VALUE"""),"2 students and 1 teacher shot in the band room by an unknown shooter. A bomb threat had been called in earlier that day. Police believed both were related to trying to get school dismissed for the day.")</f>
        <v>2 students and 1 teacher shot in the band room by an unknown shooter. A bomb threat had been called in earlier that day. Police believed both were related to trying to get school dismissed for the day.</v>
      </c>
      <c r="AA1599" s="5" t="str">
        <f ca="1">IFERROR(__xludf.DUMMYFUNCTION("""COMPUTED_VALUE"""),"Unknown")</f>
        <v>Unknown</v>
      </c>
      <c r="AB1599" s="5"/>
      <c r="AC1599" s="5" t="str">
        <f ca="1">IFERROR(__xludf.DUMMYFUNCTION("""COMPUTED_VALUE"""),"No")</f>
        <v>No</v>
      </c>
      <c r="AD1599" s="5" t="str">
        <f ca="1">IFERROR(__xludf.DUMMYFUNCTION("""COMPUTED_VALUE"""),"No")</f>
        <v>No</v>
      </c>
      <c r="AE1599" s="5" t="str">
        <f ca="1">IFERROR(__xludf.DUMMYFUNCTION("""COMPUTED_VALUE"""),"No")</f>
        <v>No</v>
      </c>
      <c r="AF1599" s="5" t="str">
        <f ca="1">IFERROR(__xludf.DUMMYFUNCTION("""COMPUTED_VALUE"""),"No")</f>
        <v>No</v>
      </c>
      <c r="AG1599" s="5" t="str">
        <f ca="1">IFERROR(__xludf.DUMMYFUNCTION("""COMPUTED_VALUE"""),"No")</f>
        <v>No</v>
      </c>
      <c r="AH1599" s="5" t="str">
        <f ca="1">IFERROR(__xludf.DUMMYFUNCTION("""COMPUTED_VALUE"""),"No")</f>
        <v>No</v>
      </c>
      <c r="AI1599" s="5" t="str">
        <f ca="1">IFERROR(__xludf.DUMMYFUNCTION("""COMPUTED_VALUE"""),"No")</f>
        <v>No</v>
      </c>
      <c r="AJ1599" s="5" t="str">
        <f ca="1">IFERROR(__xludf.DUMMYFUNCTION("""COMPUTED_VALUE"""),"Yes")</f>
        <v>Yes</v>
      </c>
    </row>
    <row r="1600" spans="1:36" ht="13">
      <c r="A1600" s="5" t="str">
        <f ca="1">IFERROR(__xludf.DUMMYFUNCTION("""COMPUTED_VALUE"""),"20010117MDLAB")</f>
        <v>20010117MDLAB</v>
      </c>
      <c r="B1600" s="5">
        <f ca="1">IFERROR(__xludf.DUMMYFUNCTION("""COMPUTED_VALUE"""),1)</f>
        <v>1</v>
      </c>
      <c r="C1600" s="5">
        <f ca="1">IFERROR(__xludf.DUMMYFUNCTION("""COMPUTED_VALUE"""),17)</f>
        <v>17</v>
      </c>
      <c r="D1600" s="5">
        <f ca="1">IFERROR(__xludf.DUMMYFUNCTION("""COMPUTED_VALUE"""),2001)</f>
        <v>2001</v>
      </c>
      <c r="E1600" s="8">
        <f ca="1">IFERROR(__xludf.DUMMYFUNCTION("""COMPUTED_VALUE"""),36908)</f>
        <v>36908</v>
      </c>
      <c r="F1600" s="5" t="str">
        <f ca="1">IFERROR(__xludf.DUMMYFUNCTION("""COMPUTED_VALUE"""),"Lake Clifton Eastern High School")</f>
        <v>Lake Clifton Eastern High School</v>
      </c>
      <c r="G1600" s="5">
        <f ca="1">IFERROR(__xludf.DUMMYFUNCTION("""COMPUTED_VALUE"""),1)</f>
        <v>1</v>
      </c>
      <c r="H1600" s="5">
        <f ca="1">IFERROR(__xludf.DUMMYFUNCTION("""COMPUTED_VALUE"""),0)</f>
        <v>0</v>
      </c>
      <c r="I1600" s="5">
        <f ca="1">IFERROR(__xludf.DUMMYFUNCTION("""COMPUTED_VALUE"""),1)</f>
        <v>1</v>
      </c>
      <c r="J1600" s="5">
        <f ca="1">IFERROR(__xludf.DUMMYFUNCTION("""COMPUTED_VALUE"""),0)</f>
        <v>0</v>
      </c>
      <c r="K1600" s="9" t="str">
        <f ca="1">IFERROR(__xludf.DUMMYFUNCTION("""COMPUTED_VALUE"""),"http://articles.baltimoresun.com/2001-01-19/news/0101190243_1_sanders-inside-the-school-school-shooting")</f>
        <v>http://articles.baltimoresun.com/2001-01-19/news/0101190243_1_sanders-inside-the-school-school-shooting</v>
      </c>
      <c r="L1600" s="5"/>
      <c r="M1600" s="5"/>
      <c r="N1600" s="5">
        <f ca="1">IFERROR(__xludf.DUMMYFUNCTION("""COMPUTED_VALUE"""),2)</f>
        <v>2</v>
      </c>
      <c r="O1600" s="5" t="str">
        <f ca="1">IFERROR(__xludf.DUMMYFUNCTION("""COMPUTED_VALUE"""),"Winter")</f>
        <v>Winter</v>
      </c>
      <c r="P1600" s="5" t="str">
        <f ca="1">IFERROR(__xludf.DUMMYFUNCTION("""COMPUTED_VALUE"""),"Baltimore")</f>
        <v>Baltimore</v>
      </c>
      <c r="Q1600" s="5" t="str">
        <f ca="1">IFERROR(__xludf.DUMMYFUNCTION("""COMPUTED_VALUE"""),"MD")</f>
        <v>MD</v>
      </c>
      <c r="R1600" s="5" t="str">
        <f ca="1">IFERROR(__xludf.DUMMYFUNCTION("""COMPUTED_VALUE"""),"High")</f>
        <v>High</v>
      </c>
      <c r="S1600" s="5" t="str">
        <f ca="1">IFERROR(__xludf.DUMMYFUNCTION("""COMPUTED_VALUE"""),"Front of School")</f>
        <v>Front of School</v>
      </c>
      <c r="T1600" s="5" t="str">
        <f ca="1">IFERROR(__xludf.DUMMYFUNCTION("""COMPUTED_VALUE"""),"Outside on School Property")</f>
        <v>Outside on School Property</v>
      </c>
      <c r="U1600" s="5" t="str">
        <f ca="1">IFERROR(__xludf.DUMMYFUNCTION("""COMPUTED_VALUE"""),"Yes")</f>
        <v>Yes</v>
      </c>
      <c r="V1600" s="5" t="str">
        <f ca="1">IFERROR(__xludf.DUMMYFUNCTION("""COMPUTED_VALUE"""),"Before School")</f>
        <v>Before School</v>
      </c>
      <c r="W1600" s="10">
        <f ca="1">IFERROR(__xludf.DUMMYFUNCTION("""COMPUTED_VALUE"""),0.364583333333333)</f>
        <v>0.36458333333333298</v>
      </c>
      <c r="X1600" s="5">
        <f ca="1">IFERROR(__xludf.DUMMYFUNCTION("""COMPUTED_VALUE"""),1)</f>
        <v>1</v>
      </c>
      <c r="Y1600" s="5" t="str">
        <f ca="1">IFERROR(__xludf.DUMMYFUNCTION("""COMPUTED_VALUE"""),"Shooting stemmed from a fight that occurred a month prior")</f>
        <v>Shooting stemmed from a fight that occurred a month prior</v>
      </c>
      <c r="Z1600" s="5" t="str">
        <f ca="1">IFERROR(__xludf.DUMMYFUNCTION("""COMPUTED_VALUE"""),"Suspect and another man approached victim as victim was walking into school. Victim shot three times - suspects fled the scene - cause of shooting was deemed to be retaliation for previous altercation a month prior.")</f>
        <v>Suspect and another man approached victim as victim was walking into school. Victim shot three times - suspects fled the scene - cause of shooting was deemed to be retaliation for previous altercation a month prior.</v>
      </c>
      <c r="AA1600" s="5" t="str">
        <f ca="1">IFERROR(__xludf.DUMMYFUNCTION("""COMPUTED_VALUE"""),"Escalation of Dispute")</f>
        <v>Escalation of Dispute</v>
      </c>
      <c r="AB1600" s="5" t="str">
        <f ca="1">IFERROR(__xludf.DUMMYFUNCTION("""COMPUTED_VALUE"""),"Victims Targeted")</f>
        <v>Victims Targeted</v>
      </c>
      <c r="AC1600" s="5" t="str">
        <f ca="1">IFERROR(__xludf.DUMMYFUNCTION("""COMPUTED_VALUE"""),"No")</f>
        <v>No</v>
      </c>
      <c r="AD1600" s="5" t="str">
        <f ca="1">IFERROR(__xludf.DUMMYFUNCTION("""COMPUTED_VALUE"""),"No")</f>
        <v>No</v>
      </c>
      <c r="AE1600" s="5" t="str">
        <f ca="1">IFERROR(__xludf.DUMMYFUNCTION("""COMPUTED_VALUE"""),"No")</f>
        <v>No</v>
      </c>
      <c r="AF1600" s="5" t="str">
        <f ca="1">IFERROR(__xludf.DUMMYFUNCTION("""COMPUTED_VALUE"""),"No")</f>
        <v>No</v>
      </c>
      <c r="AG1600" s="5" t="str">
        <f ca="1">IFERROR(__xludf.DUMMYFUNCTION("""COMPUTED_VALUE"""),"No")</f>
        <v>No</v>
      </c>
      <c r="AH1600" s="5" t="str">
        <f ca="1">IFERROR(__xludf.DUMMYFUNCTION("""COMPUTED_VALUE"""),"No")</f>
        <v>No</v>
      </c>
      <c r="AI1600" s="5" t="str">
        <f ca="1">IFERROR(__xludf.DUMMYFUNCTION("""COMPUTED_VALUE"""),"No")</f>
        <v>No</v>
      </c>
      <c r="AJ1600" s="5"/>
    </row>
    <row r="1601" spans="1:36" ht="13">
      <c r="A1601" s="5" t="str">
        <f ca="1">IFERROR(__xludf.DUMMYFUNCTION("""COMPUTED_VALUE"""),"20010110CAHUO")</f>
        <v>20010110CAHUO</v>
      </c>
      <c r="B1601" s="5">
        <f ca="1">IFERROR(__xludf.DUMMYFUNCTION("""COMPUTED_VALUE"""),1)</f>
        <v>1</v>
      </c>
      <c r="C1601" s="5">
        <f ca="1">IFERROR(__xludf.DUMMYFUNCTION("""COMPUTED_VALUE"""),10)</f>
        <v>10</v>
      </c>
      <c r="D1601" s="5">
        <f ca="1">IFERROR(__xludf.DUMMYFUNCTION("""COMPUTED_VALUE"""),2001)</f>
        <v>2001</v>
      </c>
      <c r="E1601" s="8">
        <f ca="1">IFERROR(__xludf.DUMMYFUNCTION("""COMPUTED_VALUE"""),36901)</f>
        <v>36901</v>
      </c>
      <c r="F1601" s="5" t="str">
        <f ca="1">IFERROR(__xludf.DUMMYFUNCTION("""COMPUTED_VALUE"""),"Hueneme High School")</f>
        <v>Hueneme High School</v>
      </c>
      <c r="G1601" s="5">
        <f ca="1">IFERROR(__xludf.DUMMYFUNCTION("""COMPUTED_VALUE"""),0)</f>
        <v>0</v>
      </c>
      <c r="H1601" s="5">
        <f ca="1">IFERROR(__xludf.DUMMYFUNCTION("""COMPUTED_VALUE"""),0)</f>
        <v>0</v>
      </c>
      <c r="I1601" s="5">
        <f ca="1">IFERROR(__xludf.DUMMYFUNCTION("""COMPUTED_VALUE"""),0)</f>
        <v>0</v>
      </c>
      <c r="J1601" s="5">
        <f ca="1">IFERROR(__xludf.DUMMYFUNCTION("""COMPUTED_VALUE"""),1)</f>
        <v>1</v>
      </c>
      <c r="K1601" s="9" t="str">
        <f ca="1">IFERROR(__xludf.DUMMYFUNCTION("""COMPUTED_VALUE"""),"http://articles.latimes.com/2001/jan/11/local/me-11081")</f>
        <v>http://articles.latimes.com/2001/jan/11/local/me-11081</v>
      </c>
      <c r="L1601" s="5"/>
      <c r="M1601" s="5"/>
      <c r="N1601" s="5">
        <f ca="1">IFERROR(__xludf.DUMMYFUNCTION("""COMPUTED_VALUE"""),2)</f>
        <v>2</v>
      </c>
      <c r="O1601" s="5" t="str">
        <f ca="1">IFERROR(__xludf.DUMMYFUNCTION("""COMPUTED_VALUE"""),"Winter")</f>
        <v>Winter</v>
      </c>
      <c r="P1601" s="5" t="str">
        <f ca="1">IFERROR(__xludf.DUMMYFUNCTION("""COMPUTED_VALUE"""),"Oxnard")</f>
        <v>Oxnard</v>
      </c>
      <c r="Q1601" s="5" t="str">
        <f ca="1">IFERROR(__xludf.DUMMYFUNCTION("""COMPUTED_VALUE"""),"CA")</f>
        <v>CA</v>
      </c>
      <c r="R1601" s="5" t="str">
        <f ca="1">IFERROR(__xludf.DUMMYFUNCTION("""COMPUTED_VALUE"""),"High")</f>
        <v>High</v>
      </c>
      <c r="S1601" s="5" t="str">
        <f ca="1">IFERROR(__xludf.DUMMYFUNCTION("""COMPUTED_VALUE"""),"Parking Lot")</f>
        <v>Parking Lot</v>
      </c>
      <c r="T1601" s="5" t="str">
        <f ca="1">IFERROR(__xludf.DUMMYFUNCTION("""COMPUTED_VALUE"""),"Outside on School Property")</f>
        <v>Outside on School Property</v>
      </c>
      <c r="U1601" s="5" t="str">
        <f ca="1">IFERROR(__xludf.DUMMYFUNCTION("""COMPUTED_VALUE"""),"Yes")</f>
        <v>Yes</v>
      </c>
      <c r="V1601" s="5" t="str">
        <f ca="1">IFERROR(__xludf.DUMMYFUNCTION("""COMPUTED_VALUE"""),"Lunch")</f>
        <v>Lunch</v>
      </c>
      <c r="W1601" s="10">
        <f ca="1">IFERROR(__xludf.DUMMYFUNCTION("""COMPUTED_VALUE"""),0.534722222222222)</f>
        <v>0.53472222222222199</v>
      </c>
      <c r="X1601" s="5"/>
      <c r="Y1601" s="5" t="str">
        <f ca="1">IFERROR(__xludf.DUMMYFUNCTION("""COMPUTED_VALUE"""),"Distraught over family issues - wanted to die at the hands of police - took hostage in school")</f>
        <v>Distraught over family issues - wanted to die at the hands of police - took hostage in school</v>
      </c>
      <c r="Z1601" s="5" t="str">
        <f ca="1">IFERROR(__xludf.DUMMYFUNCTION("""COMPUTED_VALUE"""),"17YOM non-student fired shots at a female students car in the parking lot and took her hostage at gunpoint. He had no relation with her. He walked her into an outdoor courtyard between classrooms. He told her he was in a gang and wanted to die from being "&amp;"shot by the police. When the shooter held the gun to the victims head, a police officer fired and killed him. Most students were evacuated but 60 in the area of shooter saw him killed by police.")</f>
        <v>17YOM non-student fired shots at a female students car in the parking lot and took her hostage at gunpoint. He had no relation with her. He walked her into an outdoor courtyard between classrooms. He told her he was in a gang and wanted to die from being shot by the police. When the shooter held the gun to the victims head, a police officer fired and killed him. Most students were evacuated but 60 in the area of shooter saw him killed by police.</v>
      </c>
      <c r="AA1601" s="5" t="str">
        <f ca="1">IFERROR(__xludf.DUMMYFUNCTION("""COMPUTED_VALUE"""),"Hostage/Standoff")</f>
        <v>Hostage/Standoff</v>
      </c>
      <c r="AB1601" s="5" t="str">
        <f ca="1">IFERROR(__xludf.DUMMYFUNCTION("""COMPUTED_VALUE"""),"Random Shooting")</f>
        <v>Random Shooting</v>
      </c>
      <c r="AC1601" s="5" t="str">
        <f ca="1">IFERROR(__xludf.DUMMYFUNCTION("""COMPUTED_VALUE"""),"No")</f>
        <v>No</v>
      </c>
      <c r="AD1601" s="5" t="str">
        <f ca="1">IFERROR(__xludf.DUMMYFUNCTION("""COMPUTED_VALUE"""),"Yes")</f>
        <v>Yes</v>
      </c>
      <c r="AE1601" s="5" t="str">
        <f ca="1">IFERROR(__xludf.DUMMYFUNCTION("""COMPUTED_VALUE"""),"No")</f>
        <v>No</v>
      </c>
      <c r="AF1601" s="5" t="str">
        <f ca="1">IFERROR(__xludf.DUMMYFUNCTION("""COMPUTED_VALUE"""),"No")</f>
        <v>No</v>
      </c>
      <c r="AG1601" s="5" t="str">
        <f ca="1">IFERROR(__xludf.DUMMYFUNCTION("""COMPUTED_VALUE"""),"No")</f>
        <v>No</v>
      </c>
      <c r="AH1601" s="5" t="str">
        <f ca="1">IFERROR(__xludf.DUMMYFUNCTION("""COMPUTED_VALUE"""),"No")</f>
        <v>No</v>
      </c>
      <c r="AI1601" s="5" t="str">
        <f ca="1">IFERROR(__xludf.DUMMYFUNCTION("""COMPUTED_VALUE"""),"Yes")</f>
        <v>Yes</v>
      </c>
      <c r="AJ1601" s="5" t="str">
        <f ca="1">IFERROR(__xludf.DUMMYFUNCTION("""COMPUTED_VALUE"""),"Yes")</f>
        <v>Yes</v>
      </c>
    </row>
    <row r="1602" spans="1:36" ht="13">
      <c r="A1602" s="5" t="str">
        <f ca="1">IFERROR(__xludf.DUMMYFUNCTION("""COMPUTED_VALUE"""),"20010103CABAS")</f>
        <v>20010103CABAS</v>
      </c>
      <c r="B1602" s="5">
        <f ca="1">IFERROR(__xludf.DUMMYFUNCTION("""COMPUTED_VALUE"""),1)</f>
        <v>1</v>
      </c>
      <c r="C1602" s="5">
        <f ca="1">IFERROR(__xludf.DUMMYFUNCTION("""COMPUTED_VALUE"""),3)</f>
        <v>3</v>
      </c>
      <c r="D1602" s="5">
        <f ca="1">IFERROR(__xludf.DUMMYFUNCTION("""COMPUTED_VALUE"""),2001)</f>
        <v>2001</v>
      </c>
      <c r="E1602" s="8">
        <f ca="1">IFERROR(__xludf.DUMMYFUNCTION("""COMPUTED_VALUE"""),36894)</f>
        <v>36894</v>
      </c>
      <c r="F1602" s="5" t="str">
        <f ca="1">IFERROR(__xludf.DUMMYFUNCTION("""COMPUTED_VALUE"""),"Balboa High School")</f>
        <v>Balboa High School</v>
      </c>
      <c r="G1602" s="5">
        <f ca="1">IFERROR(__xludf.DUMMYFUNCTION("""COMPUTED_VALUE"""),0)</f>
        <v>0</v>
      </c>
      <c r="H1602" s="5">
        <f ca="1">IFERROR(__xludf.DUMMYFUNCTION("""COMPUTED_VALUE"""),0)</f>
        <v>0</v>
      </c>
      <c r="I1602" s="5">
        <f ca="1">IFERROR(__xludf.DUMMYFUNCTION("""COMPUTED_VALUE"""),0)</f>
        <v>0</v>
      </c>
      <c r="J1602" s="5">
        <f ca="1">IFERROR(__xludf.DUMMYFUNCTION("""COMPUTED_VALUE"""),0)</f>
        <v>0</v>
      </c>
      <c r="K1602" s="9" t="str">
        <f ca="1">IFERROR(__xludf.DUMMYFUNCTION("""COMPUTED_VALUE"""),"https://www.sfgate.com/news/article/Security-Review-After-Accident-Student-shot-2968986.php")</f>
        <v>https://www.sfgate.com/news/article/Security-Review-After-Accident-Student-shot-2968986.php</v>
      </c>
      <c r="L1602" s="5"/>
      <c r="M1602" s="5"/>
      <c r="N1602" s="5">
        <f ca="1">IFERROR(__xludf.DUMMYFUNCTION("""COMPUTED_VALUE"""),2)</f>
        <v>2</v>
      </c>
      <c r="O1602" s="5" t="str">
        <f ca="1">IFERROR(__xludf.DUMMYFUNCTION("""COMPUTED_VALUE"""),"Winter")</f>
        <v>Winter</v>
      </c>
      <c r="P1602" s="5" t="str">
        <f ca="1">IFERROR(__xludf.DUMMYFUNCTION("""COMPUTED_VALUE"""),"San Francisco")</f>
        <v>San Francisco</v>
      </c>
      <c r="Q1602" s="5" t="str">
        <f ca="1">IFERROR(__xludf.DUMMYFUNCTION("""COMPUTED_VALUE"""),"CA")</f>
        <v>CA</v>
      </c>
      <c r="R1602" s="5" t="str">
        <f ca="1">IFERROR(__xludf.DUMMYFUNCTION("""COMPUTED_VALUE"""),"High")</f>
        <v>High</v>
      </c>
      <c r="S1602" s="5" t="str">
        <f ca="1">IFERROR(__xludf.DUMMYFUNCTION("""COMPUTED_VALUE"""),"Classroom")</f>
        <v>Classroom</v>
      </c>
      <c r="T1602" s="5" t="str">
        <f ca="1">IFERROR(__xludf.DUMMYFUNCTION("""COMPUTED_VALUE"""),"Inside School Building")</f>
        <v>Inside School Building</v>
      </c>
      <c r="U1602" s="5" t="str">
        <f ca="1">IFERROR(__xludf.DUMMYFUNCTION("""COMPUTED_VALUE"""),"Yes")</f>
        <v>Yes</v>
      </c>
      <c r="V1602" s="5" t="str">
        <f ca="1">IFERROR(__xludf.DUMMYFUNCTION("""COMPUTED_VALUE"""),"Morning Classes")</f>
        <v>Morning Classes</v>
      </c>
      <c r="W1602" s="10">
        <f ca="1">IFERROR(__xludf.DUMMYFUNCTION("""COMPUTED_VALUE"""),0.395833333333333)</f>
        <v>0.39583333333333298</v>
      </c>
      <c r="X1602" s="5">
        <f ca="1">IFERROR(__xludf.DUMMYFUNCTION("""COMPUTED_VALUE"""),1)</f>
        <v>1</v>
      </c>
      <c r="Y1602" s="5" t="str">
        <f ca="1">IFERROR(__xludf.DUMMYFUNCTION("""COMPUTED_VALUE"""),"Shot himself in leg during class, fled, ditched gun, then went to nurses office")</f>
        <v>Shot himself in leg during class, fled, ditched gun, then went to nurses office</v>
      </c>
      <c r="Z1602" s="5" t="str">
        <f ca="1">IFERROR(__xludf.DUMMYFUNCTION("""COMPUTED_VALUE"""),"14YOM student shot himself in class, fled the scene, threw the gun outside of the school, and then went to the nurses office for medical assistance. School has 9 full time security officers.")</f>
        <v>14YOM student shot himself in class, fled the scene, threw the gun outside of the school, and then went to the nurses office for medical assistance. School has 9 full time security officers.</v>
      </c>
      <c r="AA1602" s="5" t="str">
        <f ca="1">IFERROR(__xludf.DUMMYFUNCTION("""COMPUTED_VALUE"""),"Accidental")</f>
        <v>Accidental</v>
      </c>
      <c r="AB1602" s="5" t="str">
        <f ca="1">IFERROR(__xludf.DUMMYFUNCTION("""COMPUTED_VALUE"""),"Neither")</f>
        <v>Neither</v>
      </c>
      <c r="AC1602" s="5" t="str">
        <f ca="1">IFERROR(__xludf.DUMMYFUNCTION("""COMPUTED_VALUE"""),"No")</f>
        <v>No</v>
      </c>
      <c r="AD1602" s="5" t="str">
        <f ca="1">IFERROR(__xludf.DUMMYFUNCTION("""COMPUTED_VALUE"""),"No")</f>
        <v>No</v>
      </c>
      <c r="AE1602" s="5" t="str">
        <f ca="1">IFERROR(__xludf.DUMMYFUNCTION("""COMPUTED_VALUE"""),"No")</f>
        <v>No</v>
      </c>
      <c r="AF1602" s="5" t="str">
        <f ca="1">IFERROR(__xludf.DUMMYFUNCTION("""COMPUTED_VALUE"""),"No")</f>
        <v>No</v>
      </c>
      <c r="AG1602" s="5" t="str">
        <f ca="1">IFERROR(__xludf.DUMMYFUNCTION("""COMPUTED_VALUE"""),"No")</f>
        <v>No</v>
      </c>
      <c r="AH1602" s="5" t="str">
        <f ca="1">IFERROR(__xludf.DUMMYFUNCTION("""COMPUTED_VALUE"""),"No")</f>
        <v>No</v>
      </c>
      <c r="AI1602" s="5" t="str">
        <f ca="1">IFERROR(__xludf.DUMMYFUNCTION("""COMPUTED_VALUE"""),"No")</f>
        <v>No</v>
      </c>
      <c r="AJ1602" s="5"/>
    </row>
    <row r="1603" spans="1:36" ht="13">
      <c r="A1603" s="5" t="str">
        <f ca="1">IFERROR(__xludf.DUMMYFUNCTION("""COMPUTED_VALUE"""),"20001221FLNOM")</f>
        <v>20001221FLNOM</v>
      </c>
      <c r="B1603" s="5">
        <f ca="1">IFERROR(__xludf.DUMMYFUNCTION("""COMPUTED_VALUE"""),12)</f>
        <v>12</v>
      </c>
      <c r="C1603" s="5">
        <f ca="1">IFERROR(__xludf.DUMMYFUNCTION("""COMPUTED_VALUE"""),21)</f>
        <v>21</v>
      </c>
      <c r="D1603" s="5">
        <f ca="1">IFERROR(__xludf.DUMMYFUNCTION("""COMPUTED_VALUE"""),2000)</f>
        <v>2000</v>
      </c>
      <c r="E1603" s="8">
        <f ca="1">IFERROR(__xludf.DUMMYFUNCTION("""COMPUTED_VALUE"""),36881)</f>
        <v>36881</v>
      </c>
      <c r="F1603" s="5" t="str">
        <f ca="1">IFERROR(__xludf.DUMMYFUNCTION("""COMPUTED_VALUE"""),"Norland Elementary School")</f>
        <v>Norland Elementary School</v>
      </c>
      <c r="G1603" s="5">
        <f ca="1">IFERROR(__xludf.DUMMYFUNCTION("""COMPUTED_VALUE"""),1)</f>
        <v>1</v>
      </c>
      <c r="H1603" s="5">
        <f ca="1">IFERROR(__xludf.DUMMYFUNCTION("""COMPUTED_VALUE"""),0)</f>
        <v>0</v>
      </c>
      <c r="I1603" s="5">
        <f ca="1">IFERROR(__xludf.DUMMYFUNCTION("""COMPUTED_VALUE"""),1)</f>
        <v>1</v>
      </c>
      <c r="J1603" s="5">
        <f ca="1">IFERROR(__xludf.DUMMYFUNCTION("""COMPUTED_VALUE"""),0)</f>
        <v>0</v>
      </c>
      <c r="K1603" s="9" t="str">
        <f ca="1">IFERROR(__xludf.DUMMYFUNCTION("""COMPUTED_VALUE"""),"http://articles.sun-sentinel.com/2000-12-21/news/0012210472_1_armored-car-armored-guard-routine-pickup")</f>
        <v>http://articles.sun-sentinel.com/2000-12-21/news/0012210472_1_armored-car-armored-guard-routine-pickup</v>
      </c>
      <c r="L1603" s="5"/>
      <c r="M1603" s="5"/>
      <c r="N1603" s="5">
        <f ca="1">IFERROR(__xludf.DUMMYFUNCTION("""COMPUTED_VALUE"""),2)</f>
        <v>2</v>
      </c>
      <c r="O1603" s="5" t="str">
        <f ca="1">IFERROR(__xludf.DUMMYFUNCTION("""COMPUTED_VALUE"""),"Winter")</f>
        <v>Winter</v>
      </c>
      <c r="P1603" s="5" t="str">
        <f ca="1">IFERROR(__xludf.DUMMYFUNCTION("""COMPUTED_VALUE"""),"Miami")</f>
        <v>Miami</v>
      </c>
      <c r="Q1603" s="5" t="str">
        <f ca="1">IFERROR(__xludf.DUMMYFUNCTION("""COMPUTED_VALUE"""),"FL")</f>
        <v>FL</v>
      </c>
      <c r="R1603" s="5" t="str">
        <f ca="1">IFERROR(__xludf.DUMMYFUNCTION("""COMPUTED_VALUE"""),"Elementary")</f>
        <v>Elementary</v>
      </c>
      <c r="S1603" s="5" t="str">
        <f ca="1">IFERROR(__xludf.DUMMYFUNCTION("""COMPUTED_VALUE"""),"Parking Lot")</f>
        <v>Parking Lot</v>
      </c>
      <c r="T1603" s="5" t="str">
        <f ca="1">IFERROR(__xludf.DUMMYFUNCTION("""COMPUTED_VALUE"""),"Outside on School Property")</f>
        <v>Outside on School Property</v>
      </c>
      <c r="U1603" s="5" t="str">
        <f ca="1">IFERROR(__xludf.DUMMYFUNCTION("""COMPUTED_VALUE"""),"Yes")</f>
        <v>Yes</v>
      </c>
      <c r="V1603" s="5" t="str">
        <f ca="1">IFERROR(__xludf.DUMMYFUNCTION("""COMPUTED_VALUE"""),"After School")</f>
        <v>After School</v>
      </c>
      <c r="W1603" s="10">
        <f ca="1">IFERROR(__xludf.DUMMYFUNCTION("""COMPUTED_VALUE"""),0.65625)</f>
        <v>0.65625</v>
      </c>
      <c r="X1603" s="5">
        <f ca="1">IFERROR(__xludf.DUMMYFUNCTION("""COMPUTED_VALUE"""),1)</f>
        <v>1</v>
      </c>
      <c r="Y1603" s="5" t="str">
        <f ca="1">IFERROR(__xludf.DUMMYFUNCTION("""COMPUTED_VALUE"""),"Teens shot armored car guard picking up money from the school")</f>
        <v>Teens shot armored car guard picking up money from the school</v>
      </c>
      <c r="Z1603" s="5" t="str">
        <f ca="1">IFERROR(__xludf.DUMMYFUNCTION("""COMPUTED_VALUE"""),"Two teens shot armored car guard picking up money from the elementary school. Suspects fled and no students were injured.")</f>
        <v>Two teens shot armored car guard picking up money from the elementary school. Suspects fled and no students were injured.</v>
      </c>
      <c r="AA1603" s="5" t="str">
        <f ca="1">IFERROR(__xludf.DUMMYFUNCTION("""COMPUTED_VALUE"""),"Illegal Activity")</f>
        <v>Illegal Activity</v>
      </c>
      <c r="AB1603" s="5" t="str">
        <f ca="1">IFERROR(__xludf.DUMMYFUNCTION("""COMPUTED_VALUE"""),"Victims Targeted")</f>
        <v>Victims Targeted</v>
      </c>
      <c r="AC1603" s="5" t="str">
        <f ca="1">IFERROR(__xludf.DUMMYFUNCTION("""COMPUTED_VALUE"""),"Yes")</f>
        <v>Yes</v>
      </c>
      <c r="AD1603" s="5" t="str">
        <f ca="1">IFERROR(__xludf.DUMMYFUNCTION("""COMPUTED_VALUE"""),"No")</f>
        <v>No</v>
      </c>
      <c r="AE1603" s="5" t="str">
        <f ca="1">IFERROR(__xludf.DUMMYFUNCTION("""COMPUTED_VALUE"""),"No")</f>
        <v>No</v>
      </c>
      <c r="AF1603" s="5" t="str">
        <f ca="1">IFERROR(__xludf.DUMMYFUNCTION("""COMPUTED_VALUE"""),"No")</f>
        <v>No</v>
      </c>
      <c r="AG1603" s="5" t="str">
        <f ca="1">IFERROR(__xludf.DUMMYFUNCTION("""COMPUTED_VALUE"""),"No")</f>
        <v>No</v>
      </c>
      <c r="AH1603" s="5" t="str">
        <f ca="1">IFERROR(__xludf.DUMMYFUNCTION("""COMPUTED_VALUE"""),"No")</f>
        <v>No</v>
      </c>
      <c r="AI1603" s="5" t="str">
        <f ca="1">IFERROR(__xludf.DUMMYFUNCTION("""COMPUTED_VALUE"""),"No")</f>
        <v>No</v>
      </c>
      <c r="AJ1603" s="5"/>
    </row>
    <row r="1604" spans="1:36" ht="13">
      <c r="A1604" s="5" t="str">
        <f ca="1">IFERROR(__xludf.DUMMYFUNCTION("""COMPUTED_VALUE"""),"20001207CARIR")</f>
        <v>20001207CARIR</v>
      </c>
      <c r="B1604" s="5">
        <f ca="1">IFERROR(__xludf.DUMMYFUNCTION("""COMPUTED_VALUE"""),12)</f>
        <v>12</v>
      </c>
      <c r="C1604" s="5">
        <f ca="1">IFERROR(__xludf.DUMMYFUNCTION("""COMPUTED_VALUE"""),7)</f>
        <v>7</v>
      </c>
      <c r="D1604" s="5">
        <f ca="1">IFERROR(__xludf.DUMMYFUNCTION("""COMPUTED_VALUE"""),2000)</f>
        <v>2000</v>
      </c>
      <c r="E1604" s="8">
        <f ca="1">IFERROR(__xludf.DUMMYFUNCTION("""COMPUTED_VALUE"""),36867)</f>
        <v>36867</v>
      </c>
      <c r="F1604" s="5" t="str">
        <f ca="1">IFERROR(__xludf.DUMMYFUNCTION("""COMPUTED_VALUE"""),"Richmond High School")</f>
        <v>Richmond High School</v>
      </c>
      <c r="G1604" s="5">
        <f ca="1">IFERROR(__xludf.DUMMYFUNCTION("""COMPUTED_VALUE"""),1)</f>
        <v>1</v>
      </c>
      <c r="H1604" s="5">
        <f ca="1">IFERROR(__xludf.DUMMYFUNCTION("""COMPUTED_VALUE"""),0)</f>
        <v>0</v>
      </c>
      <c r="I1604" s="5">
        <f ca="1">IFERROR(__xludf.DUMMYFUNCTION("""COMPUTED_VALUE"""),1)</f>
        <v>1</v>
      </c>
      <c r="J1604" s="5">
        <f ca="1">IFERROR(__xludf.DUMMYFUNCTION("""COMPUTED_VALUE"""),0)</f>
        <v>0</v>
      </c>
      <c r="K1604" s="9" t="str">
        <f ca="1">IFERROR(__xludf.DUMMYFUNCTION("""COMPUTED_VALUE"""),"https://www.sfgate.com/bayarea/article/Drive-by-Shooter-Kills-Teen-2692458.php")</f>
        <v>https://www.sfgate.com/bayarea/article/Drive-by-Shooter-Kills-Teen-2692458.php</v>
      </c>
      <c r="L1604" s="5"/>
      <c r="M1604" s="5"/>
      <c r="N1604" s="5">
        <f ca="1">IFERROR(__xludf.DUMMYFUNCTION("""COMPUTED_VALUE"""),2)</f>
        <v>2</v>
      </c>
      <c r="O1604" s="5" t="str">
        <f ca="1">IFERROR(__xludf.DUMMYFUNCTION("""COMPUTED_VALUE"""),"Winter")</f>
        <v>Winter</v>
      </c>
      <c r="P1604" s="5" t="str">
        <f ca="1">IFERROR(__xludf.DUMMYFUNCTION("""COMPUTED_VALUE"""),"Richmond")</f>
        <v>Richmond</v>
      </c>
      <c r="Q1604" s="5" t="str">
        <f ca="1">IFERROR(__xludf.DUMMYFUNCTION("""COMPUTED_VALUE"""),"CA")</f>
        <v>CA</v>
      </c>
      <c r="R1604" s="5" t="str">
        <f ca="1">IFERROR(__xludf.DUMMYFUNCTION("""COMPUTED_VALUE"""),"High")</f>
        <v>High</v>
      </c>
      <c r="S1604" s="5" t="str">
        <f ca="1">IFERROR(__xludf.DUMMYFUNCTION("""COMPUTED_VALUE"""),"Front of School")</f>
        <v>Front of School</v>
      </c>
      <c r="T1604" s="5" t="str">
        <f ca="1">IFERROR(__xludf.DUMMYFUNCTION("""COMPUTED_VALUE"""),"Outside on School Property")</f>
        <v>Outside on School Property</v>
      </c>
      <c r="U1604" s="5" t="str">
        <f ca="1">IFERROR(__xludf.DUMMYFUNCTION("""COMPUTED_VALUE"""),"Yes")</f>
        <v>Yes</v>
      </c>
      <c r="V1604" s="5" t="str">
        <f ca="1">IFERROR(__xludf.DUMMYFUNCTION("""COMPUTED_VALUE"""),"Lunch")</f>
        <v>Lunch</v>
      </c>
      <c r="W1604" s="10">
        <f ca="1">IFERROR(__xludf.DUMMYFUNCTION("""COMPUTED_VALUE"""),0.53125)</f>
        <v>0.53125</v>
      </c>
      <c r="X1604" s="5">
        <f ca="1">IFERROR(__xludf.DUMMYFUNCTION("""COMPUTED_VALUE"""),1)</f>
        <v>1</v>
      </c>
      <c r="Y1604" s="5" t="str">
        <f ca="1">IFERROR(__xludf.DUMMYFUNCTION("""COMPUTED_VALUE"""),"Special education student shot outside school in drive by")</f>
        <v>Special education student shot outside school in drive by</v>
      </c>
      <c r="Z1604" s="5" t="str">
        <f ca="1">IFERROR(__xludf.DUMMYFUNCTION("""COMPUTED_VALUE"""),"Special education student was shot in the neck outside of the school during a drive by. Student ran to the principal's office where he died. Student was well liked and had no connections to gangs or issues with other students. No description of the shoote"&amp;"r or the vehicle.")</f>
        <v>Special education student was shot in the neck outside of the school during a drive by. Student ran to the principal's office where he died. Student was well liked and had no connections to gangs or issues with other students. No description of the shooter or the vehicle.</v>
      </c>
      <c r="AA1604" s="5" t="str">
        <f ca="1">IFERROR(__xludf.DUMMYFUNCTION("""COMPUTED_VALUE"""),"Drive-by Shooting")</f>
        <v>Drive-by Shooting</v>
      </c>
      <c r="AB1604" s="5"/>
      <c r="AC1604" s="5" t="str">
        <f ca="1">IFERROR(__xludf.DUMMYFUNCTION("""COMPUTED_VALUE"""),"Unknown")</f>
        <v>Unknown</v>
      </c>
      <c r="AD1604" s="5" t="str">
        <f ca="1">IFERROR(__xludf.DUMMYFUNCTION("""COMPUTED_VALUE"""),"No")</f>
        <v>No</v>
      </c>
      <c r="AE1604" s="5" t="str">
        <f ca="1">IFERROR(__xludf.DUMMYFUNCTION("""COMPUTED_VALUE"""),"No")</f>
        <v>No</v>
      </c>
      <c r="AF1604" s="5" t="str">
        <f ca="1">IFERROR(__xludf.DUMMYFUNCTION("""COMPUTED_VALUE"""),"No")</f>
        <v>No</v>
      </c>
      <c r="AG1604" s="5" t="str">
        <f ca="1">IFERROR(__xludf.DUMMYFUNCTION("""COMPUTED_VALUE"""),"No")</f>
        <v>No</v>
      </c>
      <c r="AH1604" s="5" t="str">
        <f ca="1">IFERROR(__xludf.DUMMYFUNCTION("""COMPUTED_VALUE"""),"No")</f>
        <v>No</v>
      </c>
      <c r="AI1604" s="5" t="str">
        <f ca="1">IFERROR(__xludf.DUMMYFUNCTION("""COMPUTED_VALUE"""),"Yes")</f>
        <v>Yes</v>
      </c>
      <c r="AJ1604" s="5"/>
    </row>
    <row r="1605" spans="1:36" ht="13">
      <c r="A1605" s="5" t="str">
        <f ca="1">IFERROR(__xludf.DUMMYFUNCTION("""COMPUTED_VALUE"""),"20001201CAGRL")</f>
        <v>20001201CAGRL</v>
      </c>
      <c r="B1605" s="5">
        <f ca="1">IFERROR(__xludf.DUMMYFUNCTION("""COMPUTED_VALUE"""),12)</f>
        <v>12</v>
      </c>
      <c r="C1605" s="5">
        <f ca="1">IFERROR(__xludf.DUMMYFUNCTION("""COMPUTED_VALUE"""),1)</f>
        <v>1</v>
      </c>
      <c r="D1605" s="5">
        <f ca="1">IFERROR(__xludf.DUMMYFUNCTION("""COMPUTED_VALUE"""),2000)</f>
        <v>2000</v>
      </c>
      <c r="E1605" s="8">
        <f ca="1">IFERROR(__xludf.DUMMYFUNCTION("""COMPUTED_VALUE"""),36861)</f>
        <v>36861</v>
      </c>
      <c r="F1605" s="5" t="str">
        <f ca="1">IFERROR(__xludf.DUMMYFUNCTION("""COMPUTED_VALUE"""),"Granada Hills High School")</f>
        <v>Granada Hills High School</v>
      </c>
      <c r="G1605" s="5">
        <f ca="1">IFERROR(__xludf.DUMMYFUNCTION("""COMPUTED_VALUE"""),0)</f>
        <v>0</v>
      </c>
      <c r="H1605" s="5">
        <f ca="1">IFERROR(__xludf.DUMMYFUNCTION("""COMPUTED_VALUE"""),0)</f>
        <v>0</v>
      </c>
      <c r="I1605" s="5">
        <f ca="1">IFERROR(__xludf.DUMMYFUNCTION("""COMPUTED_VALUE"""),0)</f>
        <v>0</v>
      </c>
      <c r="J1605" s="5">
        <f ca="1">IFERROR(__xludf.DUMMYFUNCTION("""COMPUTED_VALUE"""),1)</f>
        <v>1</v>
      </c>
      <c r="K1605" s="9" t="str">
        <f ca="1">IFERROR(__xludf.DUMMYFUNCTION("""COMPUTED_VALUE"""),"http://articles.latimes.com/2000/dec/02/local/me-60380")</f>
        <v>http://articles.latimes.com/2000/dec/02/local/me-60380</v>
      </c>
      <c r="L1605" s="5"/>
      <c r="M1605" s="5"/>
      <c r="N1605" s="5">
        <f ca="1">IFERROR(__xludf.DUMMYFUNCTION("""COMPUTED_VALUE"""),2)</f>
        <v>2</v>
      </c>
      <c r="O1605" s="5" t="str">
        <f ca="1">IFERROR(__xludf.DUMMYFUNCTION("""COMPUTED_VALUE"""),"Winter")</f>
        <v>Winter</v>
      </c>
      <c r="P1605" s="5" t="str">
        <f ca="1">IFERROR(__xludf.DUMMYFUNCTION("""COMPUTED_VALUE"""),"Los Angeles")</f>
        <v>Los Angeles</v>
      </c>
      <c r="Q1605" s="5" t="str">
        <f ca="1">IFERROR(__xludf.DUMMYFUNCTION("""COMPUTED_VALUE"""),"CA")</f>
        <v>CA</v>
      </c>
      <c r="R1605" s="5" t="str">
        <f ca="1">IFERROR(__xludf.DUMMYFUNCTION("""COMPUTED_VALUE"""),"High")</f>
        <v>High</v>
      </c>
      <c r="S1605" s="5" t="str">
        <f ca="1">IFERROR(__xludf.DUMMYFUNCTION("""COMPUTED_VALUE"""),"Parking Lot")</f>
        <v>Parking Lot</v>
      </c>
      <c r="T1605" s="5" t="str">
        <f ca="1">IFERROR(__xludf.DUMMYFUNCTION("""COMPUTED_VALUE"""),"Outside on School Property")</f>
        <v>Outside on School Property</v>
      </c>
      <c r="U1605" s="5" t="str">
        <f ca="1">IFERROR(__xludf.DUMMYFUNCTION("""COMPUTED_VALUE"""),"No")</f>
        <v>No</v>
      </c>
      <c r="V1605" s="5" t="str">
        <f ca="1">IFERROR(__xludf.DUMMYFUNCTION("""COMPUTED_VALUE"""),"Before School")</f>
        <v>Before School</v>
      </c>
      <c r="W1605" s="10">
        <f ca="1">IFERROR(__xludf.DUMMYFUNCTION("""COMPUTED_VALUE"""),0.291666666666666)</f>
        <v>0.29166666666666602</v>
      </c>
      <c r="X1605" s="5">
        <f ca="1">IFERROR(__xludf.DUMMYFUNCTION("""COMPUTED_VALUE"""),1)</f>
        <v>1</v>
      </c>
      <c r="Y1605" s="5" t="str">
        <f ca="1">IFERROR(__xludf.DUMMYFUNCTION("""COMPUTED_VALUE"""),"Setup camera and shot self in parking lot in front of school")</f>
        <v>Setup camera and shot self in parking lot in front of school</v>
      </c>
      <c r="Z1605" s="5" t="str">
        <f ca="1">IFERROR(__xludf.DUMMYFUNCTION("""COMPUTED_VALUE"""),"17YOM student setup camera in the parking lot in front of the school and then shot himself in the head. Multiple students witnessed the suicide occur. Shooter had told older students that he planned to kill himself but they did not take him seriously. Sho"&amp;"oter was into cinema and made short films. Students thought he was filming for a project prior to firing the gun.")</f>
        <v>17YOM student setup camera in the parking lot in front of the school and then shot himself in the head. Multiple students witnessed the suicide occur. Shooter had told older students that he planned to kill himself but they did not take him seriously. Shooter was into cinema and made short films. Students thought he was filming for a project prior to firing the gun.</v>
      </c>
      <c r="AA1605" s="5" t="str">
        <f ca="1">IFERROR(__xludf.DUMMYFUNCTION("""COMPUTED_VALUE"""),"Suicide/Attempted")</f>
        <v>Suicide/Attempted</v>
      </c>
      <c r="AB1605" s="5" t="str">
        <f ca="1">IFERROR(__xludf.DUMMYFUNCTION("""COMPUTED_VALUE"""),"Victims Targeted")</f>
        <v>Victims Targeted</v>
      </c>
      <c r="AC1605" s="5" t="str">
        <f ca="1">IFERROR(__xludf.DUMMYFUNCTION("""COMPUTED_VALUE"""),"No")</f>
        <v>No</v>
      </c>
      <c r="AD1605" s="5" t="str">
        <f ca="1">IFERROR(__xludf.DUMMYFUNCTION("""COMPUTED_VALUE"""),"No")</f>
        <v>No</v>
      </c>
      <c r="AE1605" s="5" t="str">
        <f ca="1">IFERROR(__xludf.DUMMYFUNCTION("""COMPUTED_VALUE"""),"No")</f>
        <v>No</v>
      </c>
      <c r="AF1605" s="5" t="str">
        <f ca="1">IFERROR(__xludf.DUMMYFUNCTION("""COMPUTED_VALUE"""),"No")</f>
        <v>No</v>
      </c>
      <c r="AG1605" s="5" t="str">
        <f ca="1">IFERROR(__xludf.DUMMYFUNCTION("""COMPUTED_VALUE"""),"No")</f>
        <v>No</v>
      </c>
      <c r="AH1605" s="5" t="str">
        <f ca="1">IFERROR(__xludf.DUMMYFUNCTION("""COMPUTED_VALUE"""),"No")</f>
        <v>No</v>
      </c>
      <c r="AI1605" s="5" t="str">
        <f ca="1">IFERROR(__xludf.DUMMYFUNCTION("""COMPUTED_VALUE"""),"No")</f>
        <v>No</v>
      </c>
      <c r="AJ1605" s="5"/>
    </row>
    <row r="1606" spans="1:36" ht="13">
      <c r="A1606" s="5" t="str">
        <f ca="1">IFERROR(__xludf.DUMMYFUNCTION("""COMPUTED_VALUE"""),"20001201CAJUS")</f>
        <v>20001201CAJUS</v>
      </c>
      <c r="B1606" s="5">
        <f ca="1">IFERROR(__xludf.DUMMYFUNCTION("""COMPUTED_VALUE"""),12)</f>
        <v>12</v>
      </c>
      <c r="C1606" s="5">
        <f ca="1">IFERROR(__xludf.DUMMYFUNCTION("""COMPUTED_VALUE"""),1)</f>
        <v>1</v>
      </c>
      <c r="D1606" s="5">
        <f ca="1">IFERROR(__xludf.DUMMYFUNCTION("""COMPUTED_VALUE"""),2000)</f>
        <v>2000</v>
      </c>
      <c r="E1606" s="8">
        <f ca="1">IFERROR(__xludf.DUMMYFUNCTION("""COMPUTED_VALUE"""),36861)</f>
        <v>36861</v>
      </c>
      <c r="F1606" s="5" t="str">
        <f ca="1">IFERROR(__xludf.DUMMYFUNCTION("""COMPUTED_VALUE"""),"Junipero Serra High School")</f>
        <v>Junipero Serra High School</v>
      </c>
      <c r="G1606" s="5">
        <f ca="1">IFERROR(__xludf.DUMMYFUNCTION("""COMPUTED_VALUE"""),0)</f>
        <v>0</v>
      </c>
      <c r="H1606" s="5">
        <f ca="1">IFERROR(__xludf.DUMMYFUNCTION("""COMPUTED_VALUE"""),0)</f>
        <v>0</v>
      </c>
      <c r="I1606" s="5">
        <f ca="1">IFERROR(__xludf.DUMMYFUNCTION("""COMPUTED_VALUE"""),0)</f>
        <v>0</v>
      </c>
      <c r="J1606" s="5">
        <f ca="1">IFERROR(__xludf.DUMMYFUNCTION("""COMPUTED_VALUE"""),0)</f>
        <v>0</v>
      </c>
      <c r="K1606" s="9" t="str">
        <f ca="1">IFERROR(__xludf.DUMMYFUNCTION("""COMPUTED_VALUE"""),"http://www.berkeleydailyplanet.com/issue/2000-12-06/article/2518")</f>
        <v>http://www.berkeleydailyplanet.com/issue/2000-12-06/article/2518</v>
      </c>
      <c r="L1606" s="5"/>
      <c r="M1606" s="5"/>
      <c r="N1606" s="5">
        <f ca="1">IFERROR(__xludf.DUMMYFUNCTION("""COMPUTED_VALUE"""),2)</f>
        <v>2</v>
      </c>
      <c r="O1606" s="5" t="str">
        <f ca="1">IFERROR(__xludf.DUMMYFUNCTION("""COMPUTED_VALUE"""),"Winter")</f>
        <v>Winter</v>
      </c>
      <c r="P1606" s="5" t="str">
        <f ca="1">IFERROR(__xludf.DUMMYFUNCTION("""COMPUTED_VALUE"""),"San Diego")</f>
        <v>San Diego</v>
      </c>
      <c r="Q1606" s="5" t="str">
        <f ca="1">IFERROR(__xludf.DUMMYFUNCTION("""COMPUTED_VALUE"""),"CA")</f>
        <v>CA</v>
      </c>
      <c r="R1606" s="5" t="str">
        <f ca="1">IFERROR(__xludf.DUMMYFUNCTION("""COMPUTED_VALUE"""),"High")</f>
        <v>High</v>
      </c>
      <c r="S1606" s="5" t="str">
        <f ca="1">IFERROR(__xludf.DUMMYFUNCTION("""COMPUTED_VALUE"""),"Inside School Building")</f>
        <v>Inside School Building</v>
      </c>
      <c r="T1606" s="5" t="str">
        <f ca="1">IFERROR(__xludf.DUMMYFUNCTION("""COMPUTED_VALUE"""),"Inside School Building")</f>
        <v>Inside School Building</v>
      </c>
      <c r="U1606" s="5" t="str">
        <f ca="1">IFERROR(__xludf.DUMMYFUNCTION("""COMPUTED_VALUE"""),"Yes")</f>
        <v>Yes</v>
      </c>
      <c r="V1606" s="5" t="str">
        <f ca="1">IFERROR(__xludf.DUMMYFUNCTION("""COMPUTED_VALUE"""),"Unknown")</f>
        <v>Unknown</v>
      </c>
      <c r="W1606" s="5"/>
      <c r="X1606" s="5"/>
      <c r="Y1606" s="5" t="str">
        <f ca="1">IFERROR(__xludf.DUMMYFUNCTION("""COMPUTED_VALUE"""),"Accidental discharge, shot self showing off gun")</f>
        <v>Accidental discharge, shot self showing off gun</v>
      </c>
      <c r="Z1606" s="5" t="str">
        <f ca="1">IFERROR(__xludf.DUMMYFUNCTION("""COMPUTED_VALUE"""),"Shooter was carrying handgun in waistband and showed it to other students during the school day. Shooter said he was planning to shoot another student he had been in a fight with. Gun accidentally discharged injuring the shooter. He was arrested without i"&amp;"ncident.")</f>
        <v>Shooter was carrying handgun in waistband and showed it to other students during the school day. Shooter said he was planning to shoot another student he had been in a fight with. Gun accidentally discharged injuring the shooter. He was arrested without incident.</v>
      </c>
      <c r="AA1606" s="5" t="str">
        <f ca="1">IFERROR(__xludf.DUMMYFUNCTION("""COMPUTED_VALUE"""),"Accidental")</f>
        <v>Accidental</v>
      </c>
      <c r="AB1606" s="5" t="str">
        <f ca="1">IFERROR(__xludf.DUMMYFUNCTION("""COMPUTED_VALUE"""),"Victims Targeted")</f>
        <v>Victims Targeted</v>
      </c>
      <c r="AC1606" s="5"/>
      <c r="AD1606" s="5" t="str">
        <f ca="1">IFERROR(__xludf.DUMMYFUNCTION("""COMPUTED_VALUE"""),"No")</f>
        <v>No</v>
      </c>
      <c r="AE1606" s="5" t="str">
        <f ca="1">IFERROR(__xludf.DUMMYFUNCTION("""COMPUTED_VALUE"""),"No")</f>
        <v>No</v>
      </c>
      <c r="AF1606" s="5" t="str">
        <f ca="1">IFERROR(__xludf.DUMMYFUNCTION("""COMPUTED_VALUE"""),"No")</f>
        <v>No</v>
      </c>
      <c r="AG1606" s="5" t="str">
        <f ca="1">IFERROR(__xludf.DUMMYFUNCTION("""COMPUTED_VALUE"""),"No")</f>
        <v>No</v>
      </c>
      <c r="AH1606" s="5" t="str">
        <f ca="1">IFERROR(__xludf.DUMMYFUNCTION("""COMPUTED_VALUE"""),"No")</f>
        <v>No</v>
      </c>
      <c r="AI1606" s="5" t="str">
        <f ca="1">IFERROR(__xludf.DUMMYFUNCTION("""COMPUTED_VALUE"""),"No")</f>
        <v>No</v>
      </c>
      <c r="AJ1606" s="5"/>
    </row>
    <row r="1607" spans="1:36" ht="13">
      <c r="A1607" s="5" t="str">
        <f ca="1">IFERROR(__xludf.DUMMYFUNCTION("""COMPUTED_VALUE"""),"20001101TXNEC")</f>
        <v>20001101TXNEC</v>
      </c>
      <c r="B1607" s="5">
        <f ca="1">IFERROR(__xludf.DUMMYFUNCTION("""COMPUTED_VALUE"""),11)</f>
        <v>11</v>
      </c>
      <c r="C1607" s="5">
        <f ca="1">IFERROR(__xludf.DUMMYFUNCTION("""COMPUTED_VALUE"""),1)</f>
        <v>1</v>
      </c>
      <c r="D1607" s="5">
        <f ca="1">IFERROR(__xludf.DUMMYFUNCTION("""COMPUTED_VALUE"""),2000)</f>
        <v>2000</v>
      </c>
      <c r="E1607" s="8">
        <f ca="1">IFERROR(__xludf.DUMMYFUNCTION("""COMPUTED_VALUE"""),36831)</f>
        <v>36831</v>
      </c>
      <c r="F1607" s="5" t="str">
        <f ca="1">IFERROR(__xludf.DUMMYFUNCTION("""COMPUTED_VALUE"""),"Newman Smith High School")</f>
        <v>Newman Smith High School</v>
      </c>
      <c r="G1607" s="5">
        <f ca="1">IFERROR(__xludf.DUMMYFUNCTION("""COMPUTED_VALUE"""),0)</f>
        <v>0</v>
      </c>
      <c r="H1607" s="5">
        <f ca="1">IFERROR(__xludf.DUMMYFUNCTION("""COMPUTED_VALUE"""),0)</f>
        <v>0</v>
      </c>
      <c r="I1607" s="5">
        <f ca="1">IFERROR(__xludf.DUMMYFUNCTION("""COMPUTED_VALUE"""),0)</f>
        <v>0</v>
      </c>
      <c r="J1607" s="5">
        <f ca="1">IFERROR(__xludf.DUMMYFUNCTION("""COMPUTED_VALUE"""),0)</f>
        <v>0</v>
      </c>
      <c r="K1607" s="9" t="str">
        <f ca="1">IFERROR(__xludf.DUMMYFUNCTION("""COMPUTED_VALUE"""),"https://www.deseretnews.com/article/791173/Student-takes-class-hostage.html")</f>
        <v>https://www.deseretnews.com/article/791173/Student-takes-class-hostage.html</v>
      </c>
      <c r="L1607" s="5"/>
      <c r="M1607" s="5"/>
      <c r="N1607" s="5">
        <f ca="1">IFERROR(__xludf.DUMMYFUNCTION("""COMPUTED_VALUE"""),2)</f>
        <v>2</v>
      </c>
      <c r="O1607" s="5" t="str">
        <f ca="1">IFERROR(__xludf.DUMMYFUNCTION("""COMPUTED_VALUE"""),"Fall")</f>
        <v>Fall</v>
      </c>
      <c r="P1607" s="5" t="str">
        <f ca="1">IFERROR(__xludf.DUMMYFUNCTION("""COMPUTED_VALUE"""),"Carrollton")</f>
        <v>Carrollton</v>
      </c>
      <c r="Q1607" s="5" t="str">
        <f ca="1">IFERROR(__xludf.DUMMYFUNCTION("""COMPUTED_VALUE"""),"TX")</f>
        <v>TX</v>
      </c>
      <c r="R1607" s="5" t="str">
        <f ca="1">IFERROR(__xludf.DUMMYFUNCTION("""COMPUTED_VALUE"""),"High")</f>
        <v>High</v>
      </c>
      <c r="S1607" s="5" t="str">
        <f ca="1">IFERROR(__xludf.DUMMYFUNCTION("""COMPUTED_VALUE"""),"Classroom")</f>
        <v>Classroom</v>
      </c>
      <c r="T1607" s="5" t="str">
        <f ca="1">IFERROR(__xludf.DUMMYFUNCTION("""COMPUTED_VALUE"""),"Inside School Building")</f>
        <v>Inside School Building</v>
      </c>
      <c r="U1607" s="5" t="str">
        <f ca="1">IFERROR(__xludf.DUMMYFUNCTION("""COMPUTED_VALUE"""),"Yes")</f>
        <v>Yes</v>
      </c>
      <c r="V1607" s="5" t="str">
        <f ca="1">IFERROR(__xludf.DUMMYFUNCTION("""COMPUTED_VALUE"""),"Morning Classes")</f>
        <v>Morning Classes</v>
      </c>
      <c r="W1607" s="10">
        <f ca="1">IFERROR(__xludf.DUMMYFUNCTION("""COMPUTED_VALUE"""),0.34375)</f>
        <v>0.34375</v>
      </c>
      <c r="X1607" s="5">
        <f ca="1">IFERROR(__xludf.DUMMYFUNCTION("""COMPUTED_VALUE"""),25)</f>
        <v>25</v>
      </c>
      <c r="Y1607" s="5" t="str">
        <f ca="1">IFERROR(__xludf.DUMMYFUNCTION("""COMPUTED_VALUE"""),"Held 19 students and teacher hostage for 30 minutes")</f>
        <v>Held 19 students and teacher hostage for 30 minutes</v>
      </c>
      <c r="Z1607" s="5" t="str">
        <f ca="1">IFERROR(__xludf.DUMMYFUNCTION("""COMPUTED_VALUE"""),"15YOM student held class hostage with 9mm handgun for 30 minutes before being subdued by police. Shooter was upset after being scolded by teacher and pulled gun out of backpack.")</f>
        <v>15YOM student held class hostage with 9mm handgun for 30 minutes before being subdued by police. Shooter was upset after being scolded by teacher and pulled gun out of backpack.</v>
      </c>
      <c r="AA1607" s="5" t="str">
        <f ca="1">IFERROR(__xludf.DUMMYFUNCTION("""COMPUTED_VALUE"""),"Hostage/Standoff")</f>
        <v>Hostage/Standoff</v>
      </c>
      <c r="AB1607" s="5"/>
      <c r="AC1607" s="5" t="str">
        <f ca="1">IFERROR(__xludf.DUMMYFUNCTION("""COMPUTED_VALUE"""),"No")</f>
        <v>No</v>
      </c>
      <c r="AD1607" s="5" t="str">
        <f ca="1">IFERROR(__xludf.DUMMYFUNCTION("""COMPUTED_VALUE"""),"Yes")</f>
        <v>Yes</v>
      </c>
      <c r="AE1607" s="5" t="str">
        <f ca="1">IFERROR(__xludf.DUMMYFUNCTION("""COMPUTED_VALUE"""),"Yes")</f>
        <v>Yes</v>
      </c>
      <c r="AF1607" s="5" t="str">
        <f ca="1">IFERROR(__xludf.DUMMYFUNCTION("""COMPUTED_VALUE"""),"No")</f>
        <v>No</v>
      </c>
      <c r="AG1607" s="5" t="str">
        <f ca="1">IFERROR(__xludf.DUMMYFUNCTION("""COMPUTED_VALUE"""),"No")</f>
        <v>No</v>
      </c>
      <c r="AH1607" s="5" t="str">
        <f ca="1">IFERROR(__xludf.DUMMYFUNCTION("""COMPUTED_VALUE"""),"No")</f>
        <v>No</v>
      </c>
      <c r="AI1607" s="5" t="str">
        <f ca="1">IFERROR(__xludf.DUMMYFUNCTION("""COMPUTED_VALUE"""),"No")</f>
        <v>No</v>
      </c>
      <c r="AJ1607" s="5" t="str">
        <f ca="1">IFERROR(__xludf.DUMMYFUNCTION("""COMPUTED_VALUE"""),"Yes")</f>
        <v>Yes</v>
      </c>
    </row>
    <row r="1608" spans="1:36" ht="13">
      <c r="A1608" s="5" t="str">
        <f ca="1">IFERROR(__xludf.DUMMYFUNCTION("""COMPUTED_VALUE"""),"20001024AZPIG")</f>
        <v>20001024AZPIG</v>
      </c>
      <c r="B1608" s="5">
        <f ca="1">IFERROR(__xludf.DUMMYFUNCTION("""COMPUTED_VALUE"""),10)</f>
        <v>10</v>
      </c>
      <c r="C1608" s="5">
        <f ca="1">IFERROR(__xludf.DUMMYFUNCTION("""COMPUTED_VALUE"""),24)</f>
        <v>24</v>
      </c>
      <c r="D1608" s="5">
        <f ca="1">IFERROR(__xludf.DUMMYFUNCTION("""COMPUTED_VALUE"""),2000)</f>
        <v>2000</v>
      </c>
      <c r="E1608" s="8">
        <f ca="1">IFERROR(__xludf.DUMMYFUNCTION("""COMPUTED_VALUE"""),36823)</f>
        <v>36823</v>
      </c>
      <c r="F1608" s="5" t="str">
        <f ca="1">IFERROR(__xludf.DUMMYFUNCTION("""COMPUTED_VALUE"""),"Pioneer Elementary School")</f>
        <v>Pioneer Elementary School</v>
      </c>
      <c r="G1608" s="5">
        <f ca="1">IFERROR(__xludf.DUMMYFUNCTION("""COMPUTED_VALUE"""),0)</f>
        <v>0</v>
      </c>
      <c r="H1608" s="5">
        <f ca="1">IFERROR(__xludf.DUMMYFUNCTION("""COMPUTED_VALUE"""),0)</f>
        <v>0</v>
      </c>
      <c r="I1608" s="5">
        <f ca="1">IFERROR(__xludf.DUMMYFUNCTION("""COMPUTED_VALUE"""),0)</f>
        <v>0</v>
      </c>
      <c r="J1608" s="5">
        <f ca="1">IFERROR(__xludf.DUMMYFUNCTION("""COMPUTED_VALUE"""),0)</f>
        <v>0</v>
      </c>
      <c r="K1608" s="9" t="str">
        <f ca="1">IFERROR(__xludf.DUMMYFUNCTION("""COMPUTED_VALUE"""),"http://tucsoncitizen.com/morgue2/2000/10/25/84611-teen-holds-class-teacher-hostage-at-his-former-glendale-school/")</f>
        <v>http://tucsoncitizen.com/morgue2/2000/10/25/84611-teen-holds-class-teacher-hostage-at-his-former-glendale-school/</v>
      </c>
      <c r="L1608" s="5"/>
      <c r="M1608" s="5"/>
      <c r="N1608" s="5">
        <f ca="1">IFERROR(__xludf.DUMMYFUNCTION("""COMPUTED_VALUE"""),2)</f>
        <v>2</v>
      </c>
      <c r="O1608" s="5" t="str">
        <f ca="1">IFERROR(__xludf.DUMMYFUNCTION("""COMPUTED_VALUE"""),"Fall")</f>
        <v>Fall</v>
      </c>
      <c r="P1608" s="5" t="str">
        <f ca="1">IFERROR(__xludf.DUMMYFUNCTION("""COMPUTED_VALUE"""),"Glendale")</f>
        <v>Glendale</v>
      </c>
      <c r="Q1608" s="5" t="str">
        <f ca="1">IFERROR(__xludf.DUMMYFUNCTION("""COMPUTED_VALUE"""),"AZ")</f>
        <v>AZ</v>
      </c>
      <c r="R1608" s="5" t="str">
        <f ca="1">IFERROR(__xludf.DUMMYFUNCTION("""COMPUTED_VALUE"""),"Elementary")</f>
        <v>Elementary</v>
      </c>
      <c r="S1608" s="5" t="str">
        <f ca="1">IFERROR(__xludf.DUMMYFUNCTION("""COMPUTED_VALUE"""),"Classroom")</f>
        <v>Classroom</v>
      </c>
      <c r="T1608" s="5" t="str">
        <f ca="1">IFERROR(__xludf.DUMMYFUNCTION("""COMPUTED_VALUE"""),"Inside School Building")</f>
        <v>Inside School Building</v>
      </c>
      <c r="U1608" s="5" t="str">
        <f ca="1">IFERROR(__xludf.DUMMYFUNCTION("""COMPUTED_VALUE"""),"Yes")</f>
        <v>Yes</v>
      </c>
      <c r="V1608" s="5" t="str">
        <f ca="1">IFERROR(__xludf.DUMMYFUNCTION("""COMPUTED_VALUE"""),"Morning Classes")</f>
        <v>Morning Classes</v>
      </c>
      <c r="W1608" s="10">
        <f ca="1">IFERROR(__xludf.DUMMYFUNCTION("""COMPUTED_VALUE"""),0.46875)</f>
        <v>0.46875</v>
      </c>
      <c r="X1608" s="5"/>
      <c r="Y1608" s="5" t="str">
        <f ca="1">IFERROR(__xludf.DUMMYFUNCTION("""COMPUTED_VALUE"""),"Held elementary school class hostage until surrendering")</f>
        <v>Held elementary school class hostage until surrendering</v>
      </c>
      <c r="Z1608" s="5" t="str">
        <f ca="1">IFERROR(__xludf.DUMMYFUNCTION("""COMPUTED_VALUE"""),"14YOM male former student dressed in camouflage held elementary school class hostage at gunpoint before releasing the students and then surrendering. Shooter was upset with his family.")</f>
        <v>14YOM male former student dressed in camouflage held elementary school class hostage at gunpoint before releasing the students and then surrendering. Shooter was upset with his family.</v>
      </c>
      <c r="AA1608" s="5" t="str">
        <f ca="1">IFERROR(__xludf.DUMMYFUNCTION("""COMPUTED_VALUE"""),"Hostage/Standoff")</f>
        <v>Hostage/Standoff</v>
      </c>
      <c r="AB1608" s="5" t="str">
        <f ca="1">IFERROR(__xludf.DUMMYFUNCTION("""COMPUTED_VALUE"""),"Random Shooting")</f>
        <v>Random Shooting</v>
      </c>
      <c r="AC1608" s="5" t="str">
        <f ca="1">IFERROR(__xludf.DUMMYFUNCTION("""COMPUTED_VALUE"""),"No")</f>
        <v>No</v>
      </c>
      <c r="AD1608" s="5" t="str">
        <f ca="1">IFERROR(__xludf.DUMMYFUNCTION("""COMPUTED_VALUE"""),"Yes")</f>
        <v>Yes</v>
      </c>
      <c r="AE1608" s="5" t="str">
        <f ca="1">IFERROR(__xludf.DUMMYFUNCTION("""COMPUTED_VALUE"""),"No")</f>
        <v>No</v>
      </c>
      <c r="AF1608" s="5" t="str">
        <f ca="1">IFERROR(__xludf.DUMMYFUNCTION("""COMPUTED_VALUE"""),"No")</f>
        <v>No</v>
      </c>
      <c r="AG1608" s="5" t="str">
        <f ca="1">IFERROR(__xludf.DUMMYFUNCTION("""COMPUTED_VALUE"""),"No")</f>
        <v>No</v>
      </c>
      <c r="AH1608" s="5" t="str">
        <f ca="1">IFERROR(__xludf.DUMMYFUNCTION("""COMPUTED_VALUE"""),"No")</f>
        <v>No</v>
      </c>
      <c r="AI1608" s="5" t="str">
        <f ca="1">IFERROR(__xludf.DUMMYFUNCTION("""COMPUTED_VALUE"""),"No")</f>
        <v>No</v>
      </c>
      <c r="AJ1608" s="5" t="str">
        <f ca="1">IFERROR(__xludf.DUMMYFUNCTION("""COMPUTED_VALUE"""),"Yes")</f>
        <v>Yes</v>
      </c>
    </row>
    <row r="1609" spans="1:36" ht="13">
      <c r="A1609" s="5" t="str">
        <f ca="1">IFERROR(__xludf.DUMMYFUNCTION("""COMPUTED_VALUE"""),"20001005MNMIM")</f>
        <v>20001005MNMIM</v>
      </c>
      <c r="B1609" s="5">
        <f ca="1">IFERROR(__xludf.DUMMYFUNCTION("""COMPUTED_VALUE"""),10)</f>
        <v>10</v>
      </c>
      <c r="C1609" s="5">
        <f ca="1">IFERROR(__xludf.DUMMYFUNCTION("""COMPUTED_VALUE"""),5)</f>
        <v>5</v>
      </c>
      <c r="D1609" s="5">
        <f ca="1">IFERROR(__xludf.DUMMYFUNCTION("""COMPUTED_VALUE"""),2000)</f>
        <v>2000</v>
      </c>
      <c r="E1609" s="8">
        <f ca="1">IFERROR(__xludf.DUMMYFUNCTION("""COMPUTED_VALUE"""),36804)</f>
        <v>36804</v>
      </c>
      <c r="F1609" s="5" t="str">
        <f ca="1">IFERROR(__xludf.DUMMYFUNCTION("""COMPUTED_VALUE"""),"Minneapolis North High School")</f>
        <v>Minneapolis North High School</v>
      </c>
      <c r="G1609" s="5">
        <f ca="1">IFERROR(__xludf.DUMMYFUNCTION("""COMPUTED_VALUE"""),0)</f>
        <v>0</v>
      </c>
      <c r="H1609" s="5">
        <f ca="1">IFERROR(__xludf.DUMMYFUNCTION("""COMPUTED_VALUE"""),2)</f>
        <v>2</v>
      </c>
      <c r="I1609" s="5">
        <f ca="1">IFERROR(__xludf.DUMMYFUNCTION("""COMPUTED_VALUE"""),2)</f>
        <v>2</v>
      </c>
      <c r="J1609" s="5">
        <f ca="1">IFERROR(__xludf.DUMMYFUNCTION("""COMPUTED_VALUE"""),0)</f>
        <v>0</v>
      </c>
      <c r="K1609" s="9" t="str">
        <f ca="1">IFERROR(__xludf.DUMMYFUNCTION("""COMPUTED_VALUE"""),"https://www.newspapers.com/image/195721847/?terms=shooting%2Bhomecoming%2BMinneapolis")</f>
        <v>https://www.newspapers.com/image/195721847/?terms=shooting%2Bhomecoming%2BMinneapolis</v>
      </c>
      <c r="L1609" s="5"/>
      <c r="M1609" s="5"/>
      <c r="N1609" s="5">
        <f ca="1">IFERROR(__xludf.DUMMYFUNCTION("""COMPUTED_VALUE"""),2)</f>
        <v>2</v>
      </c>
      <c r="O1609" s="5" t="str">
        <f ca="1">IFERROR(__xludf.DUMMYFUNCTION("""COMPUTED_VALUE"""),"Fall")</f>
        <v>Fall</v>
      </c>
      <c r="P1609" s="5" t="str">
        <f ca="1">IFERROR(__xludf.DUMMYFUNCTION("""COMPUTED_VALUE"""),"Minneapolis")</f>
        <v>Minneapolis</v>
      </c>
      <c r="Q1609" s="5" t="str">
        <f ca="1">IFERROR(__xludf.DUMMYFUNCTION("""COMPUTED_VALUE"""),"MN")</f>
        <v>MN</v>
      </c>
      <c r="R1609" s="5" t="str">
        <f ca="1">IFERROR(__xludf.DUMMYFUNCTION("""COMPUTED_VALUE"""),"High")</f>
        <v>High</v>
      </c>
      <c r="S1609" s="5" t="str">
        <f ca="1">IFERROR(__xludf.DUMMYFUNCTION("""COMPUTED_VALUE"""),"Beside Building")</f>
        <v>Beside Building</v>
      </c>
      <c r="T1609" s="5" t="str">
        <f ca="1">IFERROR(__xludf.DUMMYFUNCTION("""COMPUTED_VALUE"""),"Outside on School Property")</f>
        <v>Outside on School Property</v>
      </c>
      <c r="U1609" s="5" t="str">
        <f ca="1">IFERROR(__xludf.DUMMYFUNCTION("""COMPUTED_VALUE"""),"No")</f>
        <v>No</v>
      </c>
      <c r="V1609" s="5" t="str">
        <f ca="1">IFERROR(__xludf.DUMMYFUNCTION("""COMPUTED_VALUE"""),"Night")</f>
        <v>Night</v>
      </c>
      <c r="W1609" s="10">
        <f ca="1">IFERROR(__xludf.DUMMYFUNCTION("""COMPUTED_VALUE"""),0.958333333333333)</f>
        <v>0.95833333333333304</v>
      </c>
      <c r="X1609" s="5">
        <f ca="1">IFERROR(__xludf.DUMMYFUNCTION("""COMPUTED_VALUE"""),1)</f>
        <v>1</v>
      </c>
      <c r="Y1609" s="5" t="str">
        <f ca="1">IFERROR(__xludf.DUMMYFUNCTION("""COMPUTED_VALUE"""),"Two non-student shot outside school, likely gang related")</f>
        <v>Two non-student shot outside school, likely gang related</v>
      </c>
      <c r="Z1609" s="5" t="str">
        <f ca="1">IFERROR(__xludf.DUMMYFUNCTION("""COMPUTED_VALUE"""),"Two non-students were refused entry to the homecoming dance. When the dance was ending, they were shot outside of the school by an unknown shooter. 4 police officers were working at the dance. Police said the shooting was likely related to gang activity i"&amp;"n the area.")</f>
        <v>Two non-students were refused entry to the homecoming dance. When the dance was ending, they were shot outside of the school by an unknown shooter. 4 police officers were working at the dance. Police said the shooting was likely related to gang activity in the area.</v>
      </c>
      <c r="AA1609" s="5" t="str">
        <f ca="1">IFERROR(__xludf.DUMMYFUNCTION("""COMPUTED_VALUE"""),"Illegal Activity")</f>
        <v>Illegal Activity</v>
      </c>
      <c r="AB1609" s="5"/>
      <c r="AC1609" s="5" t="str">
        <f ca="1">IFERROR(__xludf.DUMMYFUNCTION("""COMPUTED_VALUE"""),"No")</f>
        <v>No</v>
      </c>
      <c r="AD1609" s="5" t="str">
        <f ca="1">IFERROR(__xludf.DUMMYFUNCTION("""COMPUTED_VALUE"""),"No")</f>
        <v>No</v>
      </c>
      <c r="AE1609" s="5" t="str">
        <f ca="1">IFERROR(__xludf.DUMMYFUNCTION("""COMPUTED_VALUE"""),"No")</f>
        <v>No</v>
      </c>
      <c r="AF1609" s="5" t="str">
        <f ca="1">IFERROR(__xludf.DUMMYFUNCTION("""COMPUTED_VALUE"""),"No")</f>
        <v>No</v>
      </c>
      <c r="AG1609" s="5" t="str">
        <f ca="1">IFERROR(__xludf.DUMMYFUNCTION("""COMPUTED_VALUE"""),"No")</f>
        <v>No</v>
      </c>
      <c r="AH1609" s="5" t="str">
        <f ca="1">IFERROR(__xludf.DUMMYFUNCTION("""COMPUTED_VALUE"""),"No")</f>
        <v>No</v>
      </c>
      <c r="AI1609" s="5" t="str">
        <f ca="1">IFERROR(__xludf.DUMMYFUNCTION("""COMPUTED_VALUE"""),"Yes")</f>
        <v>Yes</v>
      </c>
      <c r="AJ1609" s="5"/>
    </row>
    <row r="1610" spans="1:36" ht="13">
      <c r="A1610" s="5" t="str">
        <f ca="1">IFERROR(__xludf.DUMMYFUNCTION("""COMPUTED_VALUE"""),"20000926LACAN")</f>
        <v>20000926LACAN</v>
      </c>
      <c r="B1610" s="5">
        <f ca="1">IFERROR(__xludf.DUMMYFUNCTION("""COMPUTED_VALUE"""),9)</f>
        <v>9</v>
      </c>
      <c r="C1610" s="5">
        <f ca="1">IFERROR(__xludf.DUMMYFUNCTION("""COMPUTED_VALUE"""),26)</f>
        <v>26</v>
      </c>
      <c r="D1610" s="5">
        <f ca="1">IFERROR(__xludf.DUMMYFUNCTION("""COMPUTED_VALUE"""),2000)</f>
        <v>2000</v>
      </c>
      <c r="E1610" s="8">
        <f ca="1">IFERROR(__xludf.DUMMYFUNCTION("""COMPUTED_VALUE"""),36795)</f>
        <v>36795</v>
      </c>
      <c r="F1610" s="5" t="str">
        <f ca="1">IFERROR(__xludf.DUMMYFUNCTION("""COMPUTED_VALUE"""),"Carter G. Woodson Middle School")</f>
        <v>Carter G. Woodson Middle School</v>
      </c>
      <c r="G1610" s="5">
        <f ca="1">IFERROR(__xludf.DUMMYFUNCTION("""COMPUTED_VALUE"""),0)</f>
        <v>0</v>
      </c>
      <c r="H1610" s="5">
        <f ca="1">IFERROR(__xludf.DUMMYFUNCTION("""COMPUTED_VALUE"""),2)</f>
        <v>2</v>
      </c>
      <c r="I1610" s="5">
        <f ca="1">IFERROR(__xludf.DUMMYFUNCTION("""COMPUTED_VALUE"""),2)</f>
        <v>2</v>
      </c>
      <c r="J1610" s="5">
        <f ca="1">IFERROR(__xludf.DUMMYFUNCTION("""COMPUTED_VALUE"""),0)</f>
        <v>0</v>
      </c>
      <c r="K1610" s="9" t="str">
        <f ca="1">IFERROR(__xludf.DUMMYFUNCTION("""COMPUTED_VALUE"""),"http://abcnews.go.com/US/story?id=95621&amp;page=1")</f>
        <v>http://abcnews.go.com/US/story?id=95621&amp;page=1</v>
      </c>
      <c r="L1610" s="5"/>
      <c r="M1610" s="5"/>
      <c r="N1610" s="5">
        <f ca="1">IFERROR(__xludf.DUMMYFUNCTION("""COMPUTED_VALUE"""),2)</f>
        <v>2</v>
      </c>
      <c r="O1610" s="5" t="str">
        <f ca="1">IFERROR(__xludf.DUMMYFUNCTION("""COMPUTED_VALUE"""),"Fall")</f>
        <v>Fall</v>
      </c>
      <c r="P1610" s="5" t="str">
        <f ca="1">IFERROR(__xludf.DUMMYFUNCTION("""COMPUTED_VALUE"""),"New Orleans")</f>
        <v>New Orleans</v>
      </c>
      <c r="Q1610" s="5" t="str">
        <f ca="1">IFERROR(__xludf.DUMMYFUNCTION("""COMPUTED_VALUE"""),"LA")</f>
        <v>LA</v>
      </c>
      <c r="R1610" s="5" t="str">
        <f ca="1">IFERROR(__xludf.DUMMYFUNCTION("""COMPUTED_VALUE"""),"Middle")</f>
        <v>Middle</v>
      </c>
      <c r="S1610" s="5" t="str">
        <f ca="1">IFERROR(__xludf.DUMMYFUNCTION("""COMPUTED_VALUE"""),"Field (General)")</f>
        <v>Field (General)</v>
      </c>
      <c r="T1610" s="5" t="str">
        <f ca="1">IFERROR(__xludf.DUMMYFUNCTION("""COMPUTED_VALUE"""),"Outside on School Property")</f>
        <v>Outside on School Property</v>
      </c>
      <c r="U1610" s="5" t="str">
        <f ca="1">IFERROR(__xludf.DUMMYFUNCTION("""COMPUTED_VALUE"""),"Yes")</f>
        <v>Yes</v>
      </c>
      <c r="V1610" s="5" t="str">
        <f ca="1">IFERROR(__xludf.DUMMYFUNCTION("""COMPUTED_VALUE"""),"Lunch")</f>
        <v>Lunch</v>
      </c>
      <c r="W1610" s="10">
        <f ca="1">IFERROR(__xludf.DUMMYFUNCTION("""COMPUTED_VALUE"""),0.5)</f>
        <v>0.5</v>
      </c>
      <c r="X1610" s="5">
        <f ca="1">IFERROR(__xludf.DUMMYFUNCTION("""COMPUTED_VALUE"""),1)</f>
        <v>1</v>
      </c>
      <c r="Y1610" s="5" t="str">
        <f ca="1">IFERROR(__xludf.DUMMYFUNCTION("""COMPUTED_VALUE"""),"Multiple prior fights between shooter and victim")</f>
        <v>Multiple prior fights between shooter and victim</v>
      </c>
      <c r="Z1610" s="5" t="str">
        <f ca="1">IFERROR(__xludf.DUMMYFUNCTION("""COMPUTED_VALUE"""),"Two students 13YOM and 15 YOM had been in multiple fights together. The 13 YO got a handgun from another 13 YO who was suspended. The school had metal detectors so they passed the gun through the fence. The 13 YO fired at the 15 YO. The 15 YO took the gun"&amp;" away and fired at the 13 YO. Both were critically injured.")</f>
        <v>Two students 13YOM and 15 YOM had been in multiple fights together. The 13 YO got a handgun from another 13 YO who was suspended. The school had metal detectors so they passed the gun through the fence. The 13 YO fired at the 15 YO. The 15 YO took the gun away and fired at the 13 YO. Both were critically injured.</v>
      </c>
      <c r="AA1610" s="5" t="str">
        <f ca="1">IFERROR(__xludf.DUMMYFUNCTION("""COMPUTED_VALUE"""),"Escalation of Dispute")</f>
        <v>Escalation of Dispute</v>
      </c>
      <c r="AB1610" s="5" t="str">
        <f ca="1">IFERROR(__xludf.DUMMYFUNCTION("""COMPUTED_VALUE"""),"Victims Targeted")</f>
        <v>Victims Targeted</v>
      </c>
      <c r="AC1610" s="5" t="str">
        <f ca="1">IFERROR(__xludf.DUMMYFUNCTION("""COMPUTED_VALUE"""),"Yes")</f>
        <v>Yes</v>
      </c>
      <c r="AD1610" s="5" t="str">
        <f ca="1">IFERROR(__xludf.DUMMYFUNCTION("""COMPUTED_VALUE"""),"No")</f>
        <v>No</v>
      </c>
      <c r="AE1610" s="5" t="str">
        <f ca="1">IFERROR(__xludf.DUMMYFUNCTION("""COMPUTED_VALUE"""),"No")</f>
        <v>No</v>
      </c>
      <c r="AF1610" s="5" t="str">
        <f ca="1">IFERROR(__xludf.DUMMYFUNCTION("""COMPUTED_VALUE"""),"No")</f>
        <v>No</v>
      </c>
      <c r="AG1610" s="5" t="str">
        <f ca="1">IFERROR(__xludf.DUMMYFUNCTION("""COMPUTED_VALUE"""),"No")</f>
        <v>No</v>
      </c>
      <c r="AH1610" s="5" t="str">
        <f ca="1">IFERROR(__xludf.DUMMYFUNCTION("""COMPUTED_VALUE"""),"No")</f>
        <v>No</v>
      </c>
      <c r="AI1610" s="5" t="str">
        <f ca="1">IFERROR(__xludf.DUMMYFUNCTION("""COMPUTED_VALUE"""),"No")</f>
        <v>No</v>
      </c>
      <c r="AJ1610" s="5"/>
    </row>
    <row r="1611" spans="1:36" ht="13">
      <c r="A1611" s="5" t="str">
        <f ca="1">IFERROR(__xludf.DUMMYFUNCTION("""COMPUTED_VALUE"""),"20000918OHMOM")</f>
        <v>20000918OHMOM</v>
      </c>
      <c r="B1611" s="5">
        <f ca="1">IFERROR(__xludf.DUMMYFUNCTION("""COMPUTED_VALUE"""),9)</f>
        <v>9</v>
      </c>
      <c r="C1611" s="5">
        <f ca="1">IFERROR(__xludf.DUMMYFUNCTION("""COMPUTED_VALUE"""),18)</f>
        <v>18</v>
      </c>
      <c r="D1611" s="5">
        <f ca="1">IFERROR(__xludf.DUMMYFUNCTION("""COMPUTED_VALUE"""),2000)</f>
        <v>2000</v>
      </c>
      <c r="E1611" s="8">
        <f ca="1">IFERROR(__xludf.DUMMYFUNCTION("""COMPUTED_VALUE"""),36787)</f>
        <v>36787</v>
      </c>
      <c r="F1611" s="5" t="str">
        <f ca="1">IFERROR(__xludf.DUMMYFUNCTION("""COMPUTED_VALUE"""),"Mount Healthy North Junior High")</f>
        <v>Mount Healthy North Junior High</v>
      </c>
      <c r="G1611" s="5">
        <f ca="1">IFERROR(__xludf.DUMMYFUNCTION("""COMPUTED_VALUE"""),0)</f>
        <v>0</v>
      </c>
      <c r="H1611" s="5">
        <f ca="1">IFERROR(__xludf.DUMMYFUNCTION("""COMPUTED_VALUE"""),0)</f>
        <v>0</v>
      </c>
      <c r="I1611" s="5">
        <f ca="1">IFERROR(__xludf.DUMMYFUNCTION("""COMPUTED_VALUE"""),0)</f>
        <v>0</v>
      </c>
      <c r="J1611" s="5">
        <f ca="1">IFERROR(__xludf.DUMMYFUNCTION("""COMPUTED_VALUE"""),0)</f>
        <v>0</v>
      </c>
      <c r="K1611" s="9" t="str">
        <f ca="1">IFERROR(__xludf.DUMMYFUNCTION("""COMPUTED_VALUE"""),"https://www.newspapers.com/image/324100036/?terms=Mount%2BHealthy%2C%2BOhio%2Bschool%2Bgun")</f>
        <v>https://www.newspapers.com/image/324100036/?terms=Mount%2BHealthy%2C%2BOhio%2Bschool%2Bgun</v>
      </c>
      <c r="L1611" s="5"/>
      <c r="M1611" s="5"/>
      <c r="N1611" s="5">
        <f ca="1">IFERROR(__xludf.DUMMYFUNCTION("""COMPUTED_VALUE"""),2)</f>
        <v>2</v>
      </c>
      <c r="O1611" s="5" t="str">
        <f ca="1">IFERROR(__xludf.DUMMYFUNCTION("""COMPUTED_VALUE"""),"Fall")</f>
        <v>Fall</v>
      </c>
      <c r="P1611" s="5" t="str">
        <f ca="1">IFERROR(__xludf.DUMMYFUNCTION("""COMPUTED_VALUE"""),"Mount Healthy")</f>
        <v>Mount Healthy</v>
      </c>
      <c r="Q1611" s="5" t="str">
        <f ca="1">IFERROR(__xludf.DUMMYFUNCTION("""COMPUTED_VALUE"""),"OH")</f>
        <v>OH</v>
      </c>
      <c r="R1611" s="5" t="str">
        <f ca="1">IFERROR(__xludf.DUMMYFUNCTION("""COMPUTED_VALUE"""),"Junior High")</f>
        <v>Junior High</v>
      </c>
      <c r="S1611" s="5" t="str">
        <f ca="1">IFERROR(__xludf.DUMMYFUNCTION("""COMPUTED_VALUE"""),"Classroom")</f>
        <v>Classroom</v>
      </c>
      <c r="T1611" s="5" t="str">
        <f ca="1">IFERROR(__xludf.DUMMYFUNCTION("""COMPUTED_VALUE"""),"Inside School Building")</f>
        <v>Inside School Building</v>
      </c>
      <c r="U1611" s="5" t="str">
        <f ca="1">IFERROR(__xludf.DUMMYFUNCTION("""COMPUTED_VALUE"""),"Yes")</f>
        <v>Yes</v>
      </c>
      <c r="V1611" s="5"/>
      <c r="W1611" s="5"/>
      <c r="X1611" s="5">
        <f ca="1">IFERROR(__xludf.DUMMYFUNCTION("""COMPUTED_VALUE"""),25)</f>
        <v>25</v>
      </c>
      <c r="Y1611" s="5" t="str">
        <f ca="1">IFERROR(__xludf.DUMMYFUNCTION("""COMPUTED_VALUE"""),"Fired shot into classroom ceiling, surrendered gun to SRO after 25 minutes, motive unclear")</f>
        <v>Fired shot into classroom ceiling, surrendered gun to SRO after 25 minutes, motive unclear</v>
      </c>
      <c r="Z1611" s="5" t="str">
        <f ca="1">IFERROR(__xludf.DUMMYFUNCTION("""COMPUTED_VALUE"""),"14YOM fired shot into the ceiling of the classroom. He was upset about issues with his family. Surrendered the gun to the SRO after 25 minutes. No one was injured. Motive or plan is unknown.")</f>
        <v>14YOM fired shot into the ceiling of the classroom. He was upset about issues with his family. Surrendered the gun to the SRO after 25 minutes. No one was injured. Motive or plan is unknown.</v>
      </c>
      <c r="AA1611" s="5" t="str">
        <f ca="1">IFERROR(__xludf.DUMMYFUNCTION("""COMPUTED_VALUE"""),"Hostage/Standoff")</f>
        <v>Hostage/Standoff</v>
      </c>
      <c r="AB1611" s="5" t="str">
        <f ca="1">IFERROR(__xludf.DUMMYFUNCTION("""COMPUTED_VALUE"""),"Neither")</f>
        <v>Neither</v>
      </c>
      <c r="AC1611" s="5"/>
      <c r="AD1611" s="5" t="str">
        <f ca="1">IFERROR(__xludf.DUMMYFUNCTION("""COMPUTED_VALUE"""),"No")</f>
        <v>No</v>
      </c>
      <c r="AE1611" s="5" t="str">
        <f ca="1">IFERROR(__xludf.DUMMYFUNCTION("""COMPUTED_VALUE"""),"No")</f>
        <v>No</v>
      </c>
      <c r="AF1611" s="5" t="str">
        <f ca="1">IFERROR(__xludf.DUMMYFUNCTION("""COMPUTED_VALUE"""),"No")</f>
        <v>No</v>
      </c>
      <c r="AG1611" s="5" t="str">
        <f ca="1">IFERROR(__xludf.DUMMYFUNCTION("""COMPUTED_VALUE"""),"No")</f>
        <v>No</v>
      </c>
      <c r="AH1611" s="5" t="str">
        <f ca="1">IFERROR(__xludf.DUMMYFUNCTION("""COMPUTED_VALUE"""),"No")</f>
        <v>No</v>
      </c>
      <c r="AI1611" s="5" t="str">
        <f ca="1">IFERROR(__xludf.DUMMYFUNCTION("""COMPUTED_VALUE"""),"No")</f>
        <v>No</v>
      </c>
      <c r="AJ1611" s="5" t="str">
        <f ca="1">IFERROR(__xludf.DUMMYFUNCTION("""COMPUTED_VALUE"""),"Yes")</f>
        <v>Yes</v>
      </c>
    </row>
    <row r="1612" spans="1:36" ht="13">
      <c r="A1612" s="5" t="str">
        <f ca="1">IFERROR(__xludf.DUMMYFUNCTION("""COMPUTED_VALUE"""),"20000907ILLOR")</f>
        <v>20000907ILLOR</v>
      </c>
      <c r="B1612" s="5">
        <f ca="1">IFERROR(__xludf.DUMMYFUNCTION("""COMPUTED_VALUE"""),9)</f>
        <v>9</v>
      </c>
      <c r="C1612" s="5">
        <f ca="1">IFERROR(__xludf.DUMMYFUNCTION("""COMPUTED_VALUE"""),7)</f>
        <v>7</v>
      </c>
      <c r="D1612" s="5">
        <f ca="1">IFERROR(__xludf.DUMMYFUNCTION("""COMPUTED_VALUE"""),2000)</f>
        <v>2000</v>
      </c>
      <c r="E1612" s="8">
        <f ca="1">IFERROR(__xludf.DUMMYFUNCTION("""COMPUTED_VALUE"""),36776)</f>
        <v>36776</v>
      </c>
      <c r="F1612" s="5" t="str">
        <f ca="1">IFERROR(__xludf.DUMMYFUNCTION("""COMPUTED_VALUE"""),"Longfellow Elementary School")</f>
        <v>Longfellow Elementary School</v>
      </c>
      <c r="G1612" s="5">
        <f ca="1">IFERROR(__xludf.DUMMYFUNCTION("""COMPUTED_VALUE"""),1)</f>
        <v>1</v>
      </c>
      <c r="H1612" s="5">
        <f ca="1">IFERROR(__xludf.DUMMYFUNCTION("""COMPUTED_VALUE"""),0)</f>
        <v>0</v>
      </c>
      <c r="I1612" s="5">
        <f ca="1">IFERROR(__xludf.DUMMYFUNCTION("""COMPUTED_VALUE"""),1)</f>
        <v>1</v>
      </c>
      <c r="J1612" s="5">
        <f ca="1">IFERROR(__xludf.DUMMYFUNCTION("""COMPUTED_VALUE"""),0)</f>
        <v>0</v>
      </c>
      <c r="K1612" s="5" t="str">
        <f ca="1">IFERROR(__xludf.DUMMYFUNCTION("""COMPUTED_VALUE"""),"https://qctimes.com/news/local/moline-man-found-guilty-in-ri-slaying/article_30961c01-7d6a-59dc-87db-9e72888bbe7a.html; https://www.newspapers.com/image/307889974/?terms=termaine%2Ba%2Bgilmore; https://www.newspapers.com/image/339216185/?terms=termaine%2B"&amp;"a%2Bgilmore; https://www.newspapers.com/image/340757935/?terms=termaine%2Ba%2Bgilmore")</f>
        <v>https://qctimes.com/news/local/moline-man-found-guilty-in-ri-slaying/article_30961c01-7d6a-59dc-87db-9e72888bbe7a.html; https://www.newspapers.com/image/307889974/?terms=termaine%2Ba%2Bgilmore; https://www.newspapers.com/image/339216185/?terms=termaine%2Ba%2Bgilmore; https://www.newspapers.com/image/340757935/?terms=termaine%2Ba%2Bgilmore</v>
      </c>
      <c r="L1612" s="5"/>
      <c r="M1612" s="5"/>
      <c r="N1612" s="5">
        <f ca="1">IFERROR(__xludf.DUMMYFUNCTION("""COMPUTED_VALUE"""),4)</f>
        <v>4</v>
      </c>
      <c r="O1612" s="5" t="str">
        <f ca="1">IFERROR(__xludf.DUMMYFUNCTION("""COMPUTED_VALUE"""),"Fall")</f>
        <v>Fall</v>
      </c>
      <c r="P1612" s="5" t="str">
        <f ca="1">IFERROR(__xludf.DUMMYFUNCTION("""COMPUTED_VALUE"""),"Rock Island")</f>
        <v>Rock Island</v>
      </c>
      <c r="Q1612" s="5" t="str">
        <f ca="1">IFERROR(__xludf.DUMMYFUNCTION("""COMPUTED_VALUE"""),"IL")</f>
        <v>IL</v>
      </c>
      <c r="R1612" s="5" t="str">
        <f ca="1">IFERROR(__xludf.DUMMYFUNCTION("""COMPUTED_VALUE"""),"Elementary")</f>
        <v>Elementary</v>
      </c>
      <c r="S1612" s="5" t="str">
        <f ca="1">IFERROR(__xludf.DUMMYFUNCTION("""COMPUTED_VALUE"""),"Parking Lot")</f>
        <v>Parking Lot</v>
      </c>
      <c r="T1612" s="5" t="str">
        <f ca="1">IFERROR(__xludf.DUMMYFUNCTION("""COMPUTED_VALUE"""),"Outside on School Property")</f>
        <v>Outside on School Property</v>
      </c>
      <c r="U1612" s="5" t="str">
        <f ca="1">IFERROR(__xludf.DUMMYFUNCTION("""COMPUTED_VALUE"""),"No")</f>
        <v>No</v>
      </c>
      <c r="V1612" s="5" t="str">
        <f ca="1">IFERROR(__xludf.DUMMYFUNCTION("""COMPUTED_VALUE"""),"Evening")</f>
        <v>Evening</v>
      </c>
      <c r="W1612" s="10">
        <f ca="1">IFERROR(__xludf.DUMMYFUNCTION("""COMPUTED_VALUE"""),0.790277777777777)</f>
        <v>0.79027777777777697</v>
      </c>
      <c r="X1612" s="5">
        <f ca="1">IFERROR(__xludf.DUMMYFUNCTION("""COMPUTED_VALUE"""),1)</f>
        <v>1</v>
      </c>
      <c r="Y1612" s="5" t="str">
        <f ca="1">IFERROR(__xludf.DUMMYFUNCTION("""COMPUTED_VALUE"""),"Robbery")</f>
        <v>Robbery</v>
      </c>
      <c r="Z1612" s="5" t="str">
        <f ca="1">IFERROR(__xludf.DUMMYFUNCTION("""COMPUTED_VALUE"""),"Shooter confronted victim in school parking lot over prior robbery. Shooter stated he only meant to rob victim, and the shooting was accidental.")</f>
        <v>Shooter confronted victim in school parking lot over prior robbery. Shooter stated he only meant to rob victim, and the shooting was accidental.</v>
      </c>
      <c r="AA1612" s="5" t="str">
        <f ca="1">IFERROR(__xludf.DUMMYFUNCTION("""COMPUTED_VALUE"""),"Illegal Activity")</f>
        <v>Illegal Activity</v>
      </c>
      <c r="AB1612" s="5" t="str">
        <f ca="1">IFERROR(__xludf.DUMMYFUNCTION("""COMPUTED_VALUE"""),"Victims Targeted")</f>
        <v>Victims Targeted</v>
      </c>
      <c r="AC1612" s="5" t="str">
        <f ca="1">IFERROR(__xludf.DUMMYFUNCTION("""COMPUTED_VALUE"""),"No")</f>
        <v>No</v>
      </c>
      <c r="AD1612" s="5" t="str">
        <f ca="1">IFERROR(__xludf.DUMMYFUNCTION("""COMPUTED_VALUE"""),"No")</f>
        <v>No</v>
      </c>
      <c r="AE1612" s="5" t="str">
        <f ca="1">IFERROR(__xludf.DUMMYFUNCTION("""COMPUTED_VALUE"""),"No")</f>
        <v>No</v>
      </c>
      <c r="AF1612" s="5" t="str">
        <f ca="1">IFERROR(__xludf.DUMMYFUNCTION("""COMPUTED_VALUE"""),"No")</f>
        <v>No</v>
      </c>
      <c r="AG1612" s="5" t="str">
        <f ca="1">IFERROR(__xludf.DUMMYFUNCTION("""COMPUTED_VALUE"""),"No")</f>
        <v>No</v>
      </c>
      <c r="AH1612" s="5" t="str">
        <f ca="1">IFERROR(__xludf.DUMMYFUNCTION("""COMPUTED_VALUE"""),"No")</f>
        <v>No</v>
      </c>
      <c r="AI1612" s="5" t="str">
        <f ca="1">IFERROR(__xludf.DUMMYFUNCTION("""COMPUTED_VALUE"""),"No")</f>
        <v>No</v>
      </c>
      <c r="AJ1612" s="5" t="str">
        <f ca="1">IFERROR(__xludf.DUMMYFUNCTION("""COMPUTED_VALUE"""),"No")</f>
        <v>No</v>
      </c>
    </row>
    <row r="1613" spans="1:36" ht="13">
      <c r="A1613" s="5" t="str">
        <f ca="1">IFERROR(__xludf.DUMMYFUNCTION("""COMPUTED_VALUE"""),"20000905OHBIB")</f>
        <v>20000905OHBIB</v>
      </c>
      <c r="B1613" s="5">
        <f ca="1">IFERROR(__xludf.DUMMYFUNCTION("""COMPUTED_VALUE"""),9)</f>
        <v>9</v>
      </c>
      <c r="C1613" s="5">
        <f ca="1">IFERROR(__xludf.DUMMYFUNCTION("""COMPUTED_VALUE"""),5)</f>
        <v>5</v>
      </c>
      <c r="D1613" s="5">
        <f ca="1">IFERROR(__xludf.DUMMYFUNCTION("""COMPUTED_VALUE"""),2000)</f>
        <v>2000</v>
      </c>
      <c r="E1613" s="8">
        <f ca="1">IFERROR(__xludf.DUMMYFUNCTION("""COMPUTED_VALUE"""),36774)</f>
        <v>36774</v>
      </c>
      <c r="F1613" s="5" t="str">
        <f ca="1">IFERROR(__xludf.DUMMYFUNCTION("""COMPUTED_VALUE"""),"Bidwell Porter Elementary School")</f>
        <v>Bidwell Porter Elementary School</v>
      </c>
      <c r="G1613" s="5">
        <f ca="1">IFERROR(__xludf.DUMMYFUNCTION("""COMPUTED_VALUE"""),1)</f>
        <v>1</v>
      </c>
      <c r="H1613" s="5">
        <f ca="1">IFERROR(__xludf.DUMMYFUNCTION("""COMPUTED_VALUE"""),0)</f>
        <v>0</v>
      </c>
      <c r="I1613" s="5">
        <f ca="1">IFERROR(__xludf.DUMMYFUNCTION("""COMPUTED_VALUE"""),1)</f>
        <v>1</v>
      </c>
      <c r="J1613" s="5">
        <f ca="1">IFERROR(__xludf.DUMMYFUNCTION("""COMPUTED_VALUE"""),1)</f>
        <v>1</v>
      </c>
      <c r="K1613" s="5" t="str">
        <f ca="1">IFERROR(__xludf.DUMMYFUNCTION("""COMPUTED_VALUE"""),"https://www.cbsnews.com/news/school-cook-shot-killed-in-ohio/ https://abcnews.go.com/US/story?id=95885&amp;page=1")</f>
        <v>https://www.cbsnews.com/news/school-cook-shot-killed-in-ohio/ https://abcnews.go.com/US/story?id=95885&amp;page=1</v>
      </c>
      <c r="L1613" s="5"/>
      <c r="M1613" s="5"/>
      <c r="N1613" s="5">
        <f ca="1">IFERROR(__xludf.DUMMYFUNCTION("""COMPUTED_VALUE"""),3)</f>
        <v>3</v>
      </c>
      <c r="O1613" s="5" t="str">
        <f ca="1">IFERROR(__xludf.DUMMYFUNCTION("""COMPUTED_VALUE"""),"Fall")</f>
        <v>Fall</v>
      </c>
      <c r="P1613" s="5" t="str">
        <f ca="1">IFERROR(__xludf.DUMMYFUNCTION("""COMPUTED_VALUE"""),"Bidwell")</f>
        <v>Bidwell</v>
      </c>
      <c r="Q1613" s="5" t="str">
        <f ca="1">IFERROR(__xludf.DUMMYFUNCTION("""COMPUTED_VALUE"""),"OH")</f>
        <v>OH</v>
      </c>
      <c r="R1613" s="5" t="str">
        <f ca="1">IFERROR(__xludf.DUMMYFUNCTION("""COMPUTED_VALUE"""),"Elementary")</f>
        <v>Elementary</v>
      </c>
      <c r="S1613" s="5" t="str">
        <f ca="1">IFERROR(__xludf.DUMMYFUNCTION("""COMPUTED_VALUE"""),"Parking Lot")</f>
        <v>Parking Lot</v>
      </c>
      <c r="T1613" s="5" t="str">
        <f ca="1">IFERROR(__xludf.DUMMYFUNCTION("""COMPUTED_VALUE"""),"Outside on School Property")</f>
        <v>Outside on School Property</v>
      </c>
      <c r="U1613" s="5" t="str">
        <f ca="1">IFERROR(__xludf.DUMMYFUNCTION("""COMPUTED_VALUE"""),"No")</f>
        <v>No</v>
      </c>
      <c r="V1613" s="5" t="str">
        <f ca="1">IFERROR(__xludf.DUMMYFUNCTION("""COMPUTED_VALUE"""),"Before School")</f>
        <v>Before School</v>
      </c>
      <c r="W1613" s="10">
        <f ca="1">IFERROR(__xludf.DUMMYFUNCTION("""COMPUTED_VALUE"""),0.270833333333333)</f>
        <v>0.27083333333333298</v>
      </c>
      <c r="X1613" s="5">
        <f ca="1">IFERROR(__xludf.DUMMYFUNCTION("""COMPUTED_VALUE"""),1)</f>
        <v>1</v>
      </c>
      <c r="Y1613" s="5" t="str">
        <f ca="1">IFERROR(__xludf.DUMMYFUNCTION("""COMPUTED_VALUE"""),"Cafeteria worker shot by estranged husband, fled, later commit suicide at home")</f>
        <v>Cafeteria worker shot by estranged husband, fled, later commit suicide at home</v>
      </c>
      <c r="Z1613" s="5" t="str">
        <f ca="1">IFERROR(__xludf.DUMMYFUNCTION("""COMPUTED_VALUE"""),"66YOM shot his estranged wife in her car in the school parking lot before the school day. He fled and drove to his house where he commit suicide.")</f>
        <v>66YOM shot his estranged wife in her car in the school parking lot before the school day. He fled and drove to his house where he commit suicide.</v>
      </c>
      <c r="AA1613" s="5" t="str">
        <f ca="1">IFERROR(__xludf.DUMMYFUNCTION("""COMPUTED_VALUE"""),"Murder/Suicide")</f>
        <v>Murder/Suicide</v>
      </c>
      <c r="AB1613" s="5" t="str">
        <f ca="1">IFERROR(__xludf.DUMMYFUNCTION("""COMPUTED_VALUE"""),"Victims Targeted")</f>
        <v>Victims Targeted</v>
      </c>
      <c r="AC1613" s="5" t="str">
        <f ca="1">IFERROR(__xludf.DUMMYFUNCTION("""COMPUTED_VALUE"""),"No")</f>
        <v>No</v>
      </c>
      <c r="AD1613" s="5" t="str">
        <f ca="1">IFERROR(__xludf.DUMMYFUNCTION("""COMPUTED_VALUE"""),"No")</f>
        <v>No</v>
      </c>
      <c r="AE1613" s="5" t="str">
        <f ca="1">IFERROR(__xludf.DUMMYFUNCTION("""COMPUTED_VALUE"""),"No")</f>
        <v>No</v>
      </c>
      <c r="AF1613" s="5" t="str">
        <f ca="1">IFERROR(__xludf.DUMMYFUNCTION("""COMPUTED_VALUE"""),"No")</f>
        <v>No</v>
      </c>
      <c r="AG1613" s="5" t="str">
        <f ca="1">IFERROR(__xludf.DUMMYFUNCTION("""COMPUTED_VALUE"""),"No")</f>
        <v>No</v>
      </c>
      <c r="AH1613" s="5" t="str">
        <f ca="1">IFERROR(__xludf.DUMMYFUNCTION("""COMPUTED_VALUE"""),"Yes")</f>
        <v>Yes</v>
      </c>
      <c r="AI1613" s="5" t="str">
        <f ca="1">IFERROR(__xludf.DUMMYFUNCTION("""COMPUTED_VALUE"""),"No")</f>
        <v>No</v>
      </c>
      <c r="AJ1613" s="5"/>
    </row>
    <row r="1614" spans="1:36" ht="13">
      <c r="A1614" s="5" t="str">
        <f ca="1">IFERROR(__xludf.DUMMYFUNCTION("""COMPUTED_VALUE"""),"20000726OHTIC")</f>
        <v>20000726OHTIC</v>
      </c>
      <c r="B1614" s="5">
        <f ca="1">IFERROR(__xludf.DUMMYFUNCTION("""COMPUTED_VALUE"""),7)</f>
        <v>7</v>
      </c>
      <c r="C1614" s="5">
        <f ca="1">IFERROR(__xludf.DUMMYFUNCTION("""COMPUTED_VALUE"""),26)</f>
        <v>26</v>
      </c>
      <c r="D1614" s="5">
        <f ca="1">IFERROR(__xludf.DUMMYFUNCTION("""COMPUTED_VALUE"""),2000)</f>
        <v>2000</v>
      </c>
      <c r="E1614" s="8">
        <f ca="1">IFERROR(__xludf.DUMMYFUNCTION("""COMPUTED_VALUE"""),36733)</f>
        <v>36733</v>
      </c>
      <c r="F1614" s="5" t="str">
        <f ca="1">IFERROR(__xludf.DUMMYFUNCTION("""COMPUTED_VALUE"""),"Timken Senior High School")</f>
        <v>Timken Senior High School</v>
      </c>
      <c r="G1614" s="5">
        <f ca="1">IFERROR(__xludf.DUMMYFUNCTION("""COMPUTED_VALUE"""),1)</f>
        <v>1</v>
      </c>
      <c r="H1614" s="5">
        <f ca="1">IFERROR(__xludf.DUMMYFUNCTION("""COMPUTED_VALUE"""),0)</f>
        <v>0</v>
      </c>
      <c r="I1614" s="5">
        <f ca="1">IFERROR(__xludf.DUMMYFUNCTION("""COMPUTED_VALUE"""),1)</f>
        <v>1</v>
      </c>
      <c r="J1614" s="5">
        <f ca="1">IFERROR(__xludf.DUMMYFUNCTION("""COMPUTED_VALUE"""),0)</f>
        <v>0</v>
      </c>
      <c r="K1614" s="9" t="str">
        <f ca="1">IFERROR(__xludf.DUMMYFUNCTION("""COMPUTED_VALUE"""),"http://enquirer.com/editions/2000/11/14/loc_driver_in_fatal.html")</f>
        <v>http://enquirer.com/editions/2000/11/14/loc_driver_in_fatal.html</v>
      </c>
      <c r="L1614" s="5"/>
      <c r="M1614" s="5"/>
      <c r="N1614" s="5">
        <f ca="1">IFERROR(__xludf.DUMMYFUNCTION("""COMPUTED_VALUE"""),2)</f>
        <v>2</v>
      </c>
      <c r="O1614" s="5" t="str">
        <f ca="1">IFERROR(__xludf.DUMMYFUNCTION("""COMPUTED_VALUE"""),"Summer")</f>
        <v>Summer</v>
      </c>
      <c r="P1614" s="5" t="str">
        <f ca="1">IFERROR(__xludf.DUMMYFUNCTION("""COMPUTED_VALUE"""),"Canton")</f>
        <v>Canton</v>
      </c>
      <c r="Q1614" s="5" t="str">
        <f ca="1">IFERROR(__xludf.DUMMYFUNCTION("""COMPUTED_VALUE"""),"OH")</f>
        <v>OH</v>
      </c>
      <c r="R1614" s="5" t="str">
        <f ca="1">IFERROR(__xludf.DUMMYFUNCTION("""COMPUTED_VALUE"""),"High")</f>
        <v>High</v>
      </c>
      <c r="S1614" s="5" t="str">
        <f ca="1">IFERROR(__xludf.DUMMYFUNCTION("""COMPUTED_VALUE"""),"Parking Lot")</f>
        <v>Parking Lot</v>
      </c>
      <c r="T1614" s="5" t="str">
        <f ca="1">IFERROR(__xludf.DUMMYFUNCTION("""COMPUTED_VALUE"""),"Outside on School Property")</f>
        <v>Outside on School Property</v>
      </c>
      <c r="U1614" s="5" t="str">
        <f ca="1">IFERROR(__xludf.DUMMYFUNCTION("""COMPUTED_VALUE"""),"Yes")</f>
        <v>Yes</v>
      </c>
      <c r="V1614" s="5" t="str">
        <f ca="1">IFERROR(__xludf.DUMMYFUNCTION("""COMPUTED_VALUE"""),"Dismissal")</f>
        <v>Dismissal</v>
      </c>
      <c r="W1614" s="5"/>
      <c r="X1614" s="5">
        <f ca="1">IFERROR(__xludf.DUMMYFUNCTION("""COMPUTED_VALUE"""),1)</f>
        <v>1</v>
      </c>
      <c r="Y1614" s="5" t="str">
        <f ca="1">IFERROR(__xludf.DUMMYFUNCTION("""COMPUTED_VALUE"""),"Ongoing feud with victim, shot him in parking lot of school")</f>
        <v>Ongoing feud with victim, shot him in parking lot of school</v>
      </c>
      <c r="Z1614" s="5" t="str">
        <f ca="1">IFERROR(__xludf.DUMMYFUNCTION("""COMPUTED_VALUE"""),"18YOM had ongoing conflict with 17YOM student. Shot him in parking lot when he knew he was leaving the school. 18YOM who drove him was also charged.")</f>
        <v>18YOM had ongoing conflict with 17YOM student. Shot him in parking lot when he knew he was leaving the school. 18YOM who drove him was also charged.</v>
      </c>
      <c r="AA1614" s="5" t="str">
        <f ca="1">IFERROR(__xludf.DUMMYFUNCTION("""COMPUTED_VALUE"""),"Escalation of Dispute")</f>
        <v>Escalation of Dispute</v>
      </c>
      <c r="AB1614" s="5" t="str">
        <f ca="1">IFERROR(__xludf.DUMMYFUNCTION("""COMPUTED_VALUE"""),"Victims Targeted")</f>
        <v>Victims Targeted</v>
      </c>
      <c r="AC1614" s="5" t="str">
        <f ca="1">IFERROR(__xludf.DUMMYFUNCTION("""COMPUTED_VALUE"""),"Yes")</f>
        <v>Yes</v>
      </c>
      <c r="AD1614" s="5" t="str">
        <f ca="1">IFERROR(__xludf.DUMMYFUNCTION("""COMPUTED_VALUE"""),"No")</f>
        <v>No</v>
      </c>
      <c r="AE1614" s="5" t="str">
        <f ca="1">IFERROR(__xludf.DUMMYFUNCTION("""COMPUTED_VALUE"""),"No")</f>
        <v>No</v>
      </c>
      <c r="AF1614" s="5" t="str">
        <f ca="1">IFERROR(__xludf.DUMMYFUNCTION("""COMPUTED_VALUE"""),"No")</f>
        <v>No</v>
      </c>
      <c r="AG1614" s="5" t="str">
        <f ca="1">IFERROR(__xludf.DUMMYFUNCTION("""COMPUTED_VALUE"""),"No")</f>
        <v>No</v>
      </c>
      <c r="AH1614" s="5" t="str">
        <f ca="1">IFERROR(__xludf.DUMMYFUNCTION("""COMPUTED_VALUE"""),"No")</f>
        <v>No</v>
      </c>
      <c r="AI1614" s="5" t="str">
        <f ca="1">IFERROR(__xludf.DUMMYFUNCTION("""COMPUTED_VALUE"""),"No")</f>
        <v>No</v>
      </c>
      <c r="AJ1614" s="5"/>
    </row>
    <row r="1615" spans="1:36" ht="13">
      <c r="A1615" s="5" t="str">
        <f ca="1">IFERROR(__xludf.DUMMYFUNCTION("""COMPUTED_VALUE"""),"20000717WADIR")</f>
        <v>20000717WADIR</v>
      </c>
      <c r="B1615" s="5">
        <f ca="1">IFERROR(__xludf.DUMMYFUNCTION("""COMPUTED_VALUE"""),7)</f>
        <v>7</v>
      </c>
      <c r="C1615" s="5">
        <f ca="1">IFERROR(__xludf.DUMMYFUNCTION("""COMPUTED_VALUE"""),17)</f>
        <v>17</v>
      </c>
      <c r="D1615" s="5">
        <f ca="1">IFERROR(__xludf.DUMMYFUNCTION("""COMPUTED_VALUE"""),2000)</f>
        <v>2000</v>
      </c>
      <c r="E1615" s="8">
        <f ca="1">IFERROR(__xludf.DUMMYFUNCTION("""COMPUTED_VALUE"""),36724)</f>
        <v>36724</v>
      </c>
      <c r="F1615" s="5" t="str">
        <f ca="1">IFERROR(__xludf.DUMMYFUNCTION("""COMPUTED_VALUE"""),"Dimmitt Middle School")</f>
        <v>Dimmitt Middle School</v>
      </c>
      <c r="G1615" s="5">
        <f ca="1">IFERROR(__xludf.DUMMYFUNCTION("""COMPUTED_VALUE"""),0)</f>
        <v>0</v>
      </c>
      <c r="H1615" s="5">
        <f ca="1">IFERROR(__xludf.DUMMYFUNCTION("""COMPUTED_VALUE"""),0)</f>
        <v>0</v>
      </c>
      <c r="I1615" s="5">
        <f ca="1">IFERROR(__xludf.DUMMYFUNCTION("""COMPUTED_VALUE"""),0)</f>
        <v>0</v>
      </c>
      <c r="J1615" s="5">
        <f ca="1">IFERROR(__xludf.DUMMYFUNCTION("""COMPUTED_VALUE"""),0)</f>
        <v>0</v>
      </c>
      <c r="K1615" s="9" t="str">
        <f ca="1">IFERROR(__xludf.DUMMYFUNCTION("""COMPUTED_VALUE"""),"https://products.kitsapsun.com/archive/2000/10-19/0036_cafeteria__teen_pleads_guilty_to_.html")</f>
        <v>https://products.kitsapsun.com/archive/2000/10-19/0036_cafeteria__teen_pleads_guilty_to_.html</v>
      </c>
      <c r="L1615" s="5"/>
      <c r="M1615" s="5"/>
      <c r="N1615" s="5">
        <f ca="1">IFERROR(__xludf.DUMMYFUNCTION("""COMPUTED_VALUE"""),2)</f>
        <v>2</v>
      </c>
      <c r="O1615" s="5" t="str">
        <f ca="1">IFERROR(__xludf.DUMMYFUNCTION("""COMPUTED_VALUE"""),"Summer")</f>
        <v>Summer</v>
      </c>
      <c r="P1615" s="5" t="str">
        <f ca="1">IFERROR(__xludf.DUMMYFUNCTION("""COMPUTED_VALUE"""),"Renton")</f>
        <v>Renton</v>
      </c>
      <c r="Q1615" s="5" t="str">
        <f ca="1">IFERROR(__xludf.DUMMYFUNCTION("""COMPUTED_VALUE"""),"WA")</f>
        <v>WA</v>
      </c>
      <c r="R1615" s="5" t="str">
        <f ca="1">IFERROR(__xludf.DUMMYFUNCTION("""COMPUTED_VALUE"""),"Middle")</f>
        <v>Middle</v>
      </c>
      <c r="S1615" s="5" t="str">
        <f ca="1">IFERROR(__xludf.DUMMYFUNCTION("""COMPUTED_VALUE"""),"Cafeteria")</f>
        <v>Cafeteria</v>
      </c>
      <c r="T1615" s="5" t="str">
        <f ca="1">IFERROR(__xludf.DUMMYFUNCTION("""COMPUTED_VALUE"""),"Inside School Building")</f>
        <v>Inside School Building</v>
      </c>
      <c r="U1615" s="5" t="str">
        <f ca="1">IFERROR(__xludf.DUMMYFUNCTION("""COMPUTED_VALUE"""),"Yes")</f>
        <v>Yes</v>
      </c>
      <c r="V1615" s="5" t="str">
        <f ca="1">IFERROR(__xludf.DUMMYFUNCTION("""COMPUTED_VALUE"""),"Lunch")</f>
        <v>Lunch</v>
      </c>
      <c r="W1615" s="10">
        <f ca="1">IFERROR(__xludf.DUMMYFUNCTION("""COMPUTED_VALUE"""),0.4375)</f>
        <v>0.4375</v>
      </c>
      <c r="X1615" s="5">
        <f ca="1">IFERROR(__xludf.DUMMYFUNCTION("""COMPUTED_VALUE"""),1)</f>
        <v>1</v>
      </c>
      <c r="Y1615" s="5" t="str">
        <f ca="1">IFERROR(__xludf.DUMMYFUNCTION("""COMPUTED_VALUE"""),"Jumped on cafeteria table, fired one shot into ceiling, ordered students to go to the stage but they fled, then shooter fled")</f>
        <v>Jumped on cafeteria table, fired one shot into ceiling, ordered students to go to the stage but they fled, then shooter fled</v>
      </c>
      <c r="Z1615" s="5" t="str">
        <f ca="1">IFERROR(__xludf.DUMMYFUNCTION("""COMPUTED_VALUE"""),"13YOM got on cafeteria table and fired gun into the ceiling. Made prior warning to students that today was their last day at school. He ordered the students to get on the stage in the cafeteria (possible attempting to take hostages) but the students fled "&amp;"the area. Shooter then fled and was later arrested. Shooter had 116 round of ammunition and a knife. 12YOM student was also arrested. Possible copycat of the movie they had recently seen that involves hostages according to a relative.")</f>
        <v>13YOM got on cafeteria table and fired gun into the ceiling. Made prior warning to students that today was their last day at school. He ordered the students to get on the stage in the cafeteria (possible attempting to take hostages) but the students fled the area. Shooter then fled and was later arrested. Shooter had 116 round of ammunition and a knife. 12YOM student was also arrested. Possible copycat of the movie they had recently seen that involves hostages according to a relative.</v>
      </c>
      <c r="AA1615" s="5" t="str">
        <f ca="1">IFERROR(__xludf.DUMMYFUNCTION("""COMPUTED_VALUE"""),"Hostage/Standoff")</f>
        <v>Hostage/Standoff</v>
      </c>
      <c r="AB1615" s="5" t="str">
        <f ca="1">IFERROR(__xludf.DUMMYFUNCTION("""COMPUTED_VALUE"""),"Neither")</f>
        <v>Neither</v>
      </c>
      <c r="AC1615" s="5" t="str">
        <f ca="1">IFERROR(__xludf.DUMMYFUNCTION("""COMPUTED_VALUE"""),"Yes")</f>
        <v>Yes</v>
      </c>
      <c r="AD1615" s="5" t="str">
        <f ca="1">IFERROR(__xludf.DUMMYFUNCTION("""COMPUTED_VALUE"""),"Yes")</f>
        <v>Yes</v>
      </c>
      <c r="AE1615" s="5" t="str">
        <f ca="1">IFERROR(__xludf.DUMMYFUNCTION("""COMPUTED_VALUE"""),"No")</f>
        <v>No</v>
      </c>
      <c r="AF1615" s="5" t="str">
        <f ca="1">IFERROR(__xludf.DUMMYFUNCTION("""COMPUTED_VALUE"""),"No")</f>
        <v>No</v>
      </c>
      <c r="AG1615" s="5"/>
      <c r="AH1615" s="5" t="str">
        <f ca="1">IFERROR(__xludf.DUMMYFUNCTION("""COMPUTED_VALUE"""),"No")</f>
        <v>No</v>
      </c>
      <c r="AI1615" s="5" t="str">
        <f ca="1">IFERROR(__xludf.DUMMYFUNCTION("""COMPUTED_VALUE"""),"No")</f>
        <v>No</v>
      </c>
      <c r="AJ1615" s="5" t="str">
        <f ca="1">IFERROR(__xludf.DUMMYFUNCTION("""COMPUTED_VALUE"""),"Yes")</f>
        <v>Yes</v>
      </c>
    </row>
    <row r="1616" spans="1:36" ht="13">
      <c r="A1616" s="5" t="str">
        <f ca="1">IFERROR(__xludf.DUMMYFUNCTION("""COMPUTED_VALUE"""),"20000526FLLAL")</f>
        <v>20000526FLLAL</v>
      </c>
      <c r="B1616" s="5">
        <f ca="1">IFERROR(__xludf.DUMMYFUNCTION("""COMPUTED_VALUE"""),5)</f>
        <v>5</v>
      </c>
      <c r="C1616" s="5">
        <f ca="1">IFERROR(__xludf.DUMMYFUNCTION("""COMPUTED_VALUE"""),26)</f>
        <v>26</v>
      </c>
      <c r="D1616" s="5">
        <f ca="1">IFERROR(__xludf.DUMMYFUNCTION("""COMPUTED_VALUE"""),2000)</f>
        <v>2000</v>
      </c>
      <c r="E1616" s="8">
        <f ca="1">IFERROR(__xludf.DUMMYFUNCTION("""COMPUTED_VALUE"""),36672)</f>
        <v>36672</v>
      </c>
      <c r="F1616" s="5" t="str">
        <f ca="1">IFERROR(__xludf.DUMMYFUNCTION("""COMPUTED_VALUE"""),"Lake Worth Middle School")</f>
        <v>Lake Worth Middle School</v>
      </c>
      <c r="G1616" s="5">
        <f ca="1">IFERROR(__xludf.DUMMYFUNCTION("""COMPUTED_VALUE"""),1)</f>
        <v>1</v>
      </c>
      <c r="H1616" s="5">
        <f ca="1">IFERROR(__xludf.DUMMYFUNCTION("""COMPUTED_VALUE"""),0)</f>
        <v>0</v>
      </c>
      <c r="I1616" s="5">
        <f ca="1">IFERROR(__xludf.DUMMYFUNCTION("""COMPUTED_VALUE"""),1)</f>
        <v>1</v>
      </c>
      <c r="J1616" s="5">
        <f ca="1">IFERROR(__xludf.DUMMYFUNCTION("""COMPUTED_VALUE"""),0)</f>
        <v>0</v>
      </c>
      <c r="K1616" s="5" t="str">
        <f ca="1">IFERROR(__xludf.DUMMYFUNCTION("""COMPUTED_VALUE"""),"https://www.palmbeachpost.com/news/crime--law/decade-after-lake-worth-middle-school-shooting-nathaniel-brazill-regretful-ambitious/EzBEbmEMvehutHQ5QXBFEM/ https://www.palmbeachpost.com/news/20200521/teen-teacher-gun-2000-school-shooting-staggered-palm-bea"&amp;"ch-county")</f>
        <v>https://www.palmbeachpost.com/news/crime--law/decade-after-lake-worth-middle-school-shooting-nathaniel-brazill-regretful-ambitious/EzBEbmEMvehutHQ5QXBFEM/ https://www.palmbeachpost.com/news/20200521/teen-teacher-gun-2000-school-shooting-staggered-palm-beach-county</v>
      </c>
      <c r="L1616" s="5"/>
      <c r="M1616" s="5"/>
      <c r="N1616" s="5">
        <f ca="1">IFERROR(__xludf.DUMMYFUNCTION("""COMPUTED_VALUE"""),5)</f>
        <v>5</v>
      </c>
      <c r="O1616" s="5" t="str">
        <f ca="1">IFERROR(__xludf.DUMMYFUNCTION("""COMPUTED_VALUE"""),"Spring")</f>
        <v>Spring</v>
      </c>
      <c r="P1616" s="5" t="str">
        <f ca="1">IFERROR(__xludf.DUMMYFUNCTION("""COMPUTED_VALUE"""),"Lake Worth")</f>
        <v>Lake Worth</v>
      </c>
      <c r="Q1616" s="5" t="str">
        <f ca="1">IFERROR(__xludf.DUMMYFUNCTION("""COMPUTED_VALUE"""),"FL")</f>
        <v>FL</v>
      </c>
      <c r="R1616" s="5" t="str">
        <f ca="1">IFERROR(__xludf.DUMMYFUNCTION("""COMPUTED_VALUE"""),"Middle")</f>
        <v>Middle</v>
      </c>
      <c r="S1616" s="5" t="str">
        <f ca="1">IFERROR(__xludf.DUMMYFUNCTION("""COMPUTED_VALUE"""),"Classroom")</f>
        <v>Classroom</v>
      </c>
      <c r="T1616" s="5" t="str">
        <f ca="1">IFERROR(__xludf.DUMMYFUNCTION("""COMPUTED_VALUE"""),"Inside School Building")</f>
        <v>Inside School Building</v>
      </c>
      <c r="U1616" s="5" t="str">
        <f ca="1">IFERROR(__xludf.DUMMYFUNCTION("""COMPUTED_VALUE"""),"Yes")</f>
        <v>Yes</v>
      </c>
      <c r="V1616" s="5" t="str">
        <f ca="1">IFERROR(__xludf.DUMMYFUNCTION("""COMPUTED_VALUE"""),"After School")</f>
        <v>After School</v>
      </c>
      <c r="W1616" s="10">
        <f ca="1">IFERROR(__xludf.DUMMYFUNCTION("""COMPUTED_VALUE"""),0.625)</f>
        <v>0.625</v>
      </c>
      <c r="X1616" s="5">
        <f ca="1">IFERROR(__xludf.DUMMYFUNCTION("""COMPUTED_VALUE"""),1)</f>
        <v>1</v>
      </c>
      <c r="Y1616" s="5" t="str">
        <f ca="1">IFERROR(__xludf.DUMMYFUNCTION("""COMPUTED_VALUE"""),"Teacher had given F on assignment (possibly throwing water balloons)")</f>
        <v>Teacher had given F on assignment (possibly throwing water balloons)</v>
      </c>
      <c r="Z1616" s="5" t="str">
        <f ca="1">IFERROR(__xludf.DUMMYFUNCTION("""COMPUTED_VALUE"""),"Shooter had received an F on an assignment and been suspended from school earlier that day for throwing a water balloon. Shooter got the gun after leaving the school and returned to the teachers classroom and fired multiple shots killing him. Shooter said"&amp;" it was a stupid decision that he made because he was angry. No history of violence or mental illness. Shooter was an honor student and completed an undergraduate degree while in prison. Shooter's family had frequent domestic issues and police responded t"&amp;"o multiple calls to the home.")</f>
        <v>Shooter had received an F on an assignment and been suspended from school earlier that day for throwing a water balloon. Shooter got the gun after leaving the school and returned to the teachers classroom and fired multiple shots killing him. Shooter said it was a stupid decision that he made because he was angry. No history of violence or mental illness. Shooter was an honor student and completed an undergraduate degree while in prison. Shooter's family had frequent domestic issues and police responded to multiple calls to the home.</v>
      </c>
      <c r="AA1616" s="5" t="str">
        <f ca="1">IFERROR(__xludf.DUMMYFUNCTION("""COMPUTED_VALUE"""),"Anger Over Grade/Suspension/Discipline")</f>
        <v>Anger Over Grade/Suspension/Discipline</v>
      </c>
      <c r="AB1616" s="5" t="str">
        <f ca="1">IFERROR(__xludf.DUMMYFUNCTION("""COMPUTED_VALUE"""),"Victims Targeted")</f>
        <v>Victims Targeted</v>
      </c>
      <c r="AC1616" s="5" t="str">
        <f ca="1">IFERROR(__xludf.DUMMYFUNCTION("""COMPUTED_VALUE"""),"No")</f>
        <v>No</v>
      </c>
      <c r="AD1616" s="5" t="str">
        <f ca="1">IFERROR(__xludf.DUMMYFUNCTION("""COMPUTED_VALUE"""),"No")</f>
        <v>No</v>
      </c>
      <c r="AE1616" s="5" t="str">
        <f ca="1">IFERROR(__xludf.DUMMYFUNCTION("""COMPUTED_VALUE"""),"No")</f>
        <v>No</v>
      </c>
      <c r="AF1616" s="5" t="str">
        <f ca="1">IFERROR(__xludf.DUMMYFUNCTION("""COMPUTED_VALUE"""),"No")</f>
        <v>No</v>
      </c>
      <c r="AG1616" s="5" t="str">
        <f ca="1">IFERROR(__xludf.DUMMYFUNCTION("""COMPUTED_VALUE"""),"No")</f>
        <v>No</v>
      </c>
      <c r="AH1616" s="5" t="str">
        <f ca="1">IFERROR(__xludf.DUMMYFUNCTION("""COMPUTED_VALUE"""),"No")</f>
        <v>No</v>
      </c>
      <c r="AI1616" s="5" t="str">
        <f ca="1">IFERROR(__xludf.DUMMYFUNCTION("""COMPUTED_VALUE"""),"No")</f>
        <v>No</v>
      </c>
      <c r="AJ1616" s="5"/>
    </row>
    <row r="1617" spans="1:36" ht="13">
      <c r="A1617" s="5" t="str">
        <f ca="1">IFERROR(__xludf.DUMMYFUNCTION("""COMPUTED_VALUE"""),"20000510AZCAS")</f>
        <v>20000510AZCAS</v>
      </c>
      <c r="B1617" s="5">
        <f ca="1">IFERROR(__xludf.DUMMYFUNCTION("""COMPUTED_VALUE"""),5)</f>
        <v>5</v>
      </c>
      <c r="C1617" s="5">
        <f ca="1">IFERROR(__xludf.DUMMYFUNCTION("""COMPUTED_VALUE"""),10)</f>
        <v>10</v>
      </c>
      <c r="D1617" s="5">
        <f ca="1">IFERROR(__xludf.DUMMYFUNCTION("""COMPUTED_VALUE"""),2000)</f>
        <v>2000</v>
      </c>
      <c r="E1617" s="8">
        <f ca="1">IFERROR(__xludf.DUMMYFUNCTION("""COMPUTED_VALUE"""),36656)</f>
        <v>36656</v>
      </c>
      <c r="F1617" s="5" t="str">
        <f ca="1">IFERROR(__xludf.DUMMYFUNCTION("""COMPUTED_VALUE"""),"Carmichael Elementary School")</f>
        <v>Carmichael Elementary School</v>
      </c>
      <c r="G1617" s="5">
        <f ca="1">IFERROR(__xludf.DUMMYFUNCTION("""COMPUTED_VALUE"""),1)</f>
        <v>1</v>
      </c>
      <c r="H1617" s="5">
        <f ca="1">IFERROR(__xludf.DUMMYFUNCTION("""COMPUTED_VALUE"""),0)</f>
        <v>0</v>
      </c>
      <c r="I1617" s="5">
        <f ca="1">IFERROR(__xludf.DUMMYFUNCTION("""COMPUTED_VALUE"""),1)</f>
        <v>1</v>
      </c>
      <c r="J1617" s="5">
        <f ca="1">IFERROR(__xludf.DUMMYFUNCTION("""COMPUTED_VALUE"""),1)</f>
        <v>1</v>
      </c>
      <c r="K1617" s="9" t="str">
        <f ca="1">IFERROR(__xludf.DUMMYFUNCTION("""COMPUTED_VALUE"""),"http://tucsoncitizen.com/morgue2/2000/05/11/58653-sierra-vista-shootings-prompt-safety-review/")</f>
        <v>http://tucsoncitizen.com/morgue2/2000/05/11/58653-sierra-vista-shootings-prompt-safety-review/</v>
      </c>
      <c r="L1617" s="5"/>
      <c r="M1617" s="5"/>
      <c r="N1617" s="5">
        <f ca="1">IFERROR(__xludf.DUMMYFUNCTION("""COMPUTED_VALUE"""),2)</f>
        <v>2</v>
      </c>
      <c r="O1617" s="5" t="str">
        <f ca="1">IFERROR(__xludf.DUMMYFUNCTION("""COMPUTED_VALUE"""),"Spring")</f>
        <v>Spring</v>
      </c>
      <c r="P1617" s="5" t="str">
        <f ca="1">IFERROR(__xludf.DUMMYFUNCTION("""COMPUTED_VALUE"""),"Sierra Vista")</f>
        <v>Sierra Vista</v>
      </c>
      <c r="Q1617" s="5" t="str">
        <f ca="1">IFERROR(__xludf.DUMMYFUNCTION("""COMPUTED_VALUE"""),"AZ")</f>
        <v>AZ</v>
      </c>
      <c r="R1617" s="5" t="str">
        <f ca="1">IFERROR(__xludf.DUMMYFUNCTION("""COMPUTED_VALUE"""),"Elementary")</f>
        <v>Elementary</v>
      </c>
      <c r="S1617" s="5" t="str">
        <f ca="1">IFERROR(__xludf.DUMMYFUNCTION("""COMPUTED_VALUE"""),"Classroom")</f>
        <v>Classroom</v>
      </c>
      <c r="T1617" s="5" t="str">
        <f ca="1">IFERROR(__xludf.DUMMYFUNCTION("""COMPUTED_VALUE"""),"Inside School Building")</f>
        <v>Inside School Building</v>
      </c>
      <c r="U1617" s="5" t="str">
        <f ca="1">IFERROR(__xludf.DUMMYFUNCTION("""COMPUTED_VALUE"""),"Yes")</f>
        <v>Yes</v>
      </c>
      <c r="V1617" s="5" t="str">
        <f ca="1">IFERROR(__xludf.DUMMYFUNCTION("""COMPUTED_VALUE"""),"Afternoon Classes")</f>
        <v>Afternoon Classes</v>
      </c>
      <c r="W1617" s="10">
        <f ca="1">IFERROR(__xludf.DUMMYFUNCTION("""COMPUTED_VALUE"""),0.5625)</f>
        <v>0.5625</v>
      </c>
      <c r="X1617" s="5">
        <f ca="1">IFERROR(__xludf.DUMMYFUNCTION("""COMPUTED_VALUE"""),1)</f>
        <v>1</v>
      </c>
      <c r="Y1617" s="5" t="str">
        <f ca="1">IFERROR(__xludf.DUMMYFUNCTION("""COMPUTED_VALUE"""),"Killed estranged wife in preschool classroom, students were present")</f>
        <v>Killed estranged wife in preschool classroom, students were present</v>
      </c>
      <c r="Z1617" s="5" t="str">
        <f ca="1">IFERROR(__xludf.DUMMYFUNCTION("""COMPUTED_VALUE"""),"39YOM killed estranged wife at preschool. Shooter walked into classroom with a gun, struck wife, and forced her into bathroom where he shot her and shot himself. Preschool students were present in the classroom at the time of the shooting.")</f>
        <v>39YOM killed estranged wife at preschool. Shooter walked into classroom with a gun, struck wife, and forced her into bathroom where he shot her and shot himself. Preschool students were present in the classroom at the time of the shooting.</v>
      </c>
      <c r="AA1617" s="5" t="str">
        <f ca="1">IFERROR(__xludf.DUMMYFUNCTION("""COMPUTED_VALUE"""),"Murder/Suicide")</f>
        <v>Murder/Suicide</v>
      </c>
      <c r="AB1617" s="5" t="str">
        <f ca="1">IFERROR(__xludf.DUMMYFUNCTION("""COMPUTED_VALUE"""),"Victims Targeted")</f>
        <v>Victims Targeted</v>
      </c>
      <c r="AC1617" s="5" t="str">
        <f ca="1">IFERROR(__xludf.DUMMYFUNCTION("""COMPUTED_VALUE"""),"No")</f>
        <v>No</v>
      </c>
      <c r="AD1617" s="5" t="str">
        <f ca="1">IFERROR(__xludf.DUMMYFUNCTION("""COMPUTED_VALUE"""),"No")</f>
        <v>No</v>
      </c>
      <c r="AE1617" s="5" t="str">
        <f ca="1">IFERROR(__xludf.DUMMYFUNCTION("""COMPUTED_VALUE"""),"No")</f>
        <v>No</v>
      </c>
      <c r="AF1617" s="5" t="str">
        <f ca="1">IFERROR(__xludf.DUMMYFUNCTION("""COMPUTED_VALUE"""),"No")</f>
        <v>No</v>
      </c>
      <c r="AG1617" s="5" t="str">
        <f ca="1">IFERROR(__xludf.DUMMYFUNCTION("""COMPUTED_VALUE"""),"No")</f>
        <v>No</v>
      </c>
      <c r="AH1617" s="5" t="str">
        <f ca="1">IFERROR(__xludf.DUMMYFUNCTION("""COMPUTED_VALUE"""),"Yes")</f>
        <v>Yes</v>
      </c>
      <c r="AI1617" s="5" t="str">
        <f ca="1">IFERROR(__xludf.DUMMYFUNCTION("""COMPUTED_VALUE"""),"No")</f>
        <v>No</v>
      </c>
      <c r="AJ1617" s="5"/>
    </row>
    <row r="1618" spans="1:36" ht="13">
      <c r="A1618" s="5" t="str">
        <f ca="1">IFERROR(__xludf.DUMMYFUNCTION("""COMPUTED_VALUE"""),"20000502COTHD")</f>
        <v>20000502COTHD</v>
      </c>
      <c r="B1618" s="5">
        <f ca="1">IFERROR(__xludf.DUMMYFUNCTION("""COMPUTED_VALUE"""),5)</f>
        <v>5</v>
      </c>
      <c r="C1618" s="5">
        <f ca="1">IFERROR(__xludf.DUMMYFUNCTION("""COMPUTED_VALUE"""),2)</f>
        <v>2</v>
      </c>
      <c r="D1618" s="5">
        <f ca="1">IFERROR(__xludf.DUMMYFUNCTION("""COMPUTED_VALUE"""),2000)</f>
        <v>2000</v>
      </c>
      <c r="E1618" s="8">
        <f ca="1">IFERROR(__xludf.DUMMYFUNCTION("""COMPUTED_VALUE"""),36648)</f>
        <v>36648</v>
      </c>
      <c r="F1618" s="5" t="str">
        <f ca="1">IFERROR(__xludf.DUMMYFUNCTION("""COMPUTED_VALUE"""),"Thomas Jefferson High School")</f>
        <v>Thomas Jefferson High School</v>
      </c>
      <c r="G1618" s="5">
        <f ca="1">IFERROR(__xludf.DUMMYFUNCTION("""COMPUTED_VALUE"""),0)</f>
        <v>0</v>
      </c>
      <c r="H1618" s="5">
        <f ca="1">IFERROR(__xludf.DUMMYFUNCTION("""COMPUTED_VALUE"""),0)</f>
        <v>0</v>
      </c>
      <c r="I1618" s="5">
        <f ca="1">IFERROR(__xludf.DUMMYFUNCTION("""COMPUTED_VALUE"""),0)</f>
        <v>0</v>
      </c>
      <c r="J1618" s="5">
        <f ca="1">IFERROR(__xludf.DUMMYFUNCTION("""COMPUTED_VALUE"""),0)</f>
        <v>0</v>
      </c>
      <c r="K1618" s="9" t="str">
        <f ca="1">IFERROR(__xludf.DUMMYFUNCTION("""COMPUTED_VALUE"""),"https://www.newspapers.com/image/340040843/?terms=high%2Bschool%2Bsuicide%2Bdenver")</f>
        <v>https://www.newspapers.com/image/340040843/?terms=high%2Bschool%2Bsuicide%2Bdenver</v>
      </c>
      <c r="L1618" s="5"/>
      <c r="M1618" s="5"/>
      <c r="N1618" s="5">
        <f ca="1">IFERROR(__xludf.DUMMYFUNCTION("""COMPUTED_VALUE"""),2)</f>
        <v>2</v>
      </c>
      <c r="O1618" s="5" t="str">
        <f ca="1">IFERROR(__xludf.DUMMYFUNCTION("""COMPUTED_VALUE"""),"Spring")</f>
        <v>Spring</v>
      </c>
      <c r="P1618" s="5" t="str">
        <f ca="1">IFERROR(__xludf.DUMMYFUNCTION("""COMPUTED_VALUE"""),"Denver")</f>
        <v>Denver</v>
      </c>
      <c r="Q1618" s="5" t="str">
        <f ca="1">IFERROR(__xludf.DUMMYFUNCTION("""COMPUTED_VALUE"""),"CO")</f>
        <v>CO</v>
      </c>
      <c r="R1618" s="5" t="str">
        <f ca="1">IFERROR(__xludf.DUMMYFUNCTION("""COMPUTED_VALUE"""),"High")</f>
        <v>High</v>
      </c>
      <c r="S1618" s="5" t="str">
        <f ca="1">IFERROR(__xludf.DUMMYFUNCTION("""COMPUTED_VALUE"""),"Parking Lot")</f>
        <v>Parking Lot</v>
      </c>
      <c r="T1618" s="5" t="str">
        <f ca="1">IFERROR(__xludf.DUMMYFUNCTION("""COMPUTED_VALUE"""),"Outside on School Property")</f>
        <v>Outside on School Property</v>
      </c>
      <c r="U1618" s="5" t="str">
        <f ca="1">IFERROR(__xludf.DUMMYFUNCTION("""COMPUTED_VALUE"""),"Yes")</f>
        <v>Yes</v>
      </c>
      <c r="V1618" s="5"/>
      <c r="W1618" s="5"/>
      <c r="X1618" s="5">
        <f ca="1">IFERROR(__xludf.DUMMYFUNCTION("""COMPUTED_VALUE"""),1)</f>
        <v>1</v>
      </c>
      <c r="Y1618" s="5" t="str">
        <f ca="1">IFERROR(__xludf.DUMMYFUNCTION("""COMPUTED_VALUE"""),"Shot self in parking lot")</f>
        <v>Shot self in parking lot</v>
      </c>
      <c r="Z1618" s="5" t="str">
        <f ca="1">IFERROR(__xludf.DUMMYFUNCTION("""COMPUTED_VALUE"""),"16YOM student shot himself in his car in the school parking lot. In critical condition.")</f>
        <v>16YOM student shot himself in his car in the school parking lot. In critical condition.</v>
      </c>
      <c r="AA1618" s="5" t="str">
        <f ca="1">IFERROR(__xludf.DUMMYFUNCTION("""COMPUTED_VALUE"""),"Murder/Suicide")</f>
        <v>Murder/Suicide</v>
      </c>
      <c r="AB1618" s="5" t="str">
        <f ca="1">IFERROR(__xludf.DUMMYFUNCTION("""COMPUTED_VALUE"""),"Victims Targeted")</f>
        <v>Victims Targeted</v>
      </c>
      <c r="AC1618" s="5" t="str">
        <f ca="1">IFERROR(__xludf.DUMMYFUNCTION("""COMPUTED_VALUE"""),"No")</f>
        <v>No</v>
      </c>
      <c r="AD1618" s="5" t="str">
        <f ca="1">IFERROR(__xludf.DUMMYFUNCTION("""COMPUTED_VALUE"""),"No")</f>
        <v>No</v>
      </c>
      <c r="AE1618" s="5" t="str">
        <f ca="1">IFERROR(__xludf.DUMMYFUNCTION("""COMPUTED_VALUE"""),"No")</f>
        <v>No</v>
      </c>
      <c r="AF1618" s="5" t="str">
        <f ca="1">IFERROR(__xludf.DUMMYFUNCTION("""COMPUTED_VALUE"""),"No")</f>
        <v>No</v>
      </c>
      <c r="AG1618" s="5" t="str">
        <f ca="1">IFERROR(__xludf.DUMMYFUNCTION("""COMPUTED_VALUE"""),"No")</f>
        <v>No</v>
      </c>
      <c r="AH1618" s="5" t="str">
        <f ca="1">IFERROR(__xludf.DUMMYFUNCTION("""COMPUTED_VALUE"""),"No")</f>
        <v>No</v>
      </c>
      <c r="AI1618" s="5" t="str">
        <f ca="1">IFERROR(__xludf.DUMMYFUNCTION("""COMPUTED_VALUE"""),"No")</f>
        <v>No</v>
      </c>
      <c r="AJ1618" s="5"/>
    </row>
    <row r="1619" spans="1:36" ht="13">
      <c r="A1619" s="5" t="str">
        <f ca="1">IFERROR(__xludf.DUMMYFUNCTION("""COMPUTED_VALUE"""),"20000410AZLAT")</f>
        <v>20000410AZLAT</v>
      </c>
      <c r="B1619" s="5">
        <f ca="1">IFERROR(__xludf.DUMMYFUNCTION("""COMPUTED_VALUE"""),4)</f>
        <v>4</v>
      </c>
      <c r="C1619" s="5">
        <f ca="1">IFERROR(__xludf.DUMMYFUNCTION("""COMPUTED_VALUE"""),10)</f>
        <v>10</v>
      </c>
      <c r="D1619" s="5">
        <f ca="1">IFERROR(__xludf.DUMMYFUNCTION("""COMPUTED_VALUE"""),2000)</f>
        <v>2000</v>
      </c>
      <c r="E1619" s="8">
        <f ca="1">IFERROR(__xludf.DUMMYFUNCTION("""COMPUTED_VALUE"""),36626)</f>
        <v>36626</v>
      </c>
      <c r="F1619" s="5" t="str">
        <f ca="1">IFERROR(__xludf.DUMMYFUNCTION("""COMPUTED_VALUE"""),"La Cima Middle School")</f>
        <v>La Cima Middle School</v>
      </c>
      <c r="G1619" s="5">
        <f ca="1">IFERROR(__xludf.DUMMYFUNCTION("""COMPUTED_VALUE"""),0)</f>
        <v>0</v>
      </c>
      <c r="H1619" s="5">
        <f ca="1">IFERROR(__xludf.DUMMYFUNCTION("""COMPUTED_VALUE"""),0)</f>
        <v>0</v>
      </c>
      <c r="I1619" s="5">
        <f ca="1">IFERROR(__xludf.DUMMYFUNCTION("""COMPUTED_VALUE"""),0)</f>
        <v>0</v>
      </c>
      <c r="J1619" s="5">
        <f ca="1">IFERROR(__xludf.DUMMYFUNCTION("""COMPUTED_VALUE"""),0)</f>
        <v>0</v>
      </c>
      <c r="K1619" s="9" t="str">
        <f ca="1">IFERROR(__xludf.DUMMYFUNCTION("""COMPUTED_VALUE"""),"https://www.cbsnews.com/news/fear-turns-to-outrage-at-tucson-school/")</f>
        <v>https://www.cbsnews.com/news/fear-turns-to-outrage-at-tucson-school/</v>
      </c>
      <c r="L1619" s="5"/>
      <c r="M1619" s="5"/>
      <c r="N1619" s="5">
        <f ca="1">IFERROR(__xludf.DUMMYFUNCTION("""COMPUTED_VALUE"""),2)</f>
        <v>2</v>
      </c>
      <c r="O1619" s="5" t="str">
        <f ca="1">IFERROR(__xludf.DUMMYFUNCTION("""COMPUTED_VALUE"""),"Spring")</f>
        <v>Spring</v>
      </c>
      <c r="P1619" s="5" t="str">
        <f ca="1">IFERROR(__xludf.DUMMYFUNCTION("""COMPUTED_VALUE"""),"Tucson")</f>
        <v>Tucson</v>
      </c>
      <c r="Q1619" s="5" t="str">
        <f ca="1">IFERROR(__xludf.DUMMYFUNCTION("""COMPUTED_VALUE"""),"AZ")</f>
        <v>AZ</v>
      </c>
      <c r="R1619" s="5" t="str">
        <f ca="1">IFERROR(__xludf.DUMMYFUNCTION("""COMPUTED_VALUE"""),"Middle")</f>
        <v>Middle</v>
      </c>
      <c r="S1619" s="5" t="str">
        <f ca="1">IFERROR(__xludf.DUMMYFUNCTION("""COMPUTED_VALUE"""),"Classroom")</f>
        <v>Classroom</v>
      </c>
      <c r="T1619" s="5" t="str">
        <f ca="1">IFERROR(__xludf.DUMMYFUNCTION("""COMPUTED_VALUE"""),"Inside School Building")</f>
        <v>Inside School Building</v>
      </c>
      <c r="U1619" s="5" t="str">
        <f ca="1">IFERROR(__xludf.DUMMYFUNCTION("""COMPUTED_VALUE"""),"No")</f>
        <v>No</v>
      </c>
      <c r="V1619" s="5" t="str">
        <f ca="1">IFERROR(__xludf.DUMMYFUNCTION("""COMPUTED_VALUE"""),"Before School")</f>
        <v>Before School</v>
      </c>
      <c r="W1619" s="5"/>
      <c r="X1619" s="5">
        <f ca="1">IFERROR(__xludf.DUMMYFUNCTION("""COMPUTED_VALUE"""),1)</f>
        <v>1</v>
      </c>
      <c r="Y1619" s="5" t="str">
        <f ca="1">IFERROR(__xludf.DUMMYFUNCTION("""COMPUTED_VALUE"""),"Teacher shot herself and made up story about being shot by unknown student")</f>
        <v>Teacher shot herself and made up story about being shot by unknown student</v>
      </c>
      <c r="Z1619" s="5" t="str">
        <f ca="1">IFERROR(__xludf.DUMMYFUNCTION("""COMPUTED_VALUE"""),"35YOF teacher said she was shot by student with a shaved head but it was later determined that she shot herself. She was trying to make a statement about school security. Sent to mental institution following the shooting.")</f>
        <v>35YOF teacher said she was shot by student with a shaved head but it was later determined that she shot herself. She was trying to make a statement about school security. Sent to mental institution following the shooting.</v>
      </c>
      <c r="AA1619" s="5" t="str">
        <f ca="1">IFERROR(__xludf.DUMMYFUNCTION("""COMPUTED_VALUE"""),"Psychosis")</f>
        <v>Psychosis</v>
      </c>
      <c r="AB1619" s="5" t="str">
        <f ca="1">IFERROR(__xludf.DUMMYFUNCTION("""COMPUTED_VALUE"""),"Victims Targeted")</f>
        <v>Victims Targeted</v>
      </c>
      <c r="AC1619" s="5"/>
      <c r="AD1619" s="5" t="str">
        <f ca="1">IFERROR(__xludf.DUMMYFUNCTION("""COMPUTED_VALUE"""),"No")</f>
        <v>No</v>
      </c>
      <c r="AE1619" s="5" t="str">
        <f ca="1">IFERROR(__xludf.DUMMYFUNCTION("""COMPUTED_VALUE"""),"No")</f>
        <v>No</v>
      </c>
      <c r="AF1619" s="5" t="str">
        <f ca="1">IFERROR(__xludf.DUMMYFUNCTION("""COMPUTED_VALUE"""),"No")</f>
        <v>No</v>
      </c>
      <c r="AG1619" s="5" t="str">
        <f ca="1">IFERROR(__xludf.DUMMYFUNCTION("""COMPUTED_VALUE"""),"No")</f>
        <v>No</v>
      </c>
      <c r="AH1619" s="5" t="str">
        <f ca="1">IFERROR(__xludf.DUMMYFUNCTION("""COMPUTED_VALUE"""),"No")</f>
        <v>No</v>
      </c>
      <c r="AI1619" s="5" t="str">
        <f ca="1">IFERROR(__xludf.DUMMYFUNCTION("""COMPUTED_VALUE"""),"No")</f>
        <v>No</v>
      </c>
      <c r="AJ1619" s="5"/>
    </row>
    <row r="1620" spans="1:36" ht="13">
      <c r="A1620" s="5" t="str">
        <f ca="1">IFERROR(__xludf.DUMMYFUNCTION("""COMPUTED_VALUE"""),"20000406OKHUH")</f>
        <v>20000406OKHUH</v>
      </c>
      <c r="B1620" s="5">
        <f ca="1">IFERROR(__xludf.DUMMYFUNCTION("""COMPUTED_VALUE"""),4)</f>
        <v>4</v>
      </c>
      <c r="C1620" s="5">
        <f ca="1">IFERROR(__xludf.DUMMYFUNCTION("""COMPUTED_VALUE"""),6)</f>
        <v>6</v>
      </c>
      <c r="D1620" s="5">
        <f ca="1">IFERROR(__xludf.DUMMYFUNCTION("""COMPUTED_VALUE"""),2000)</f>
        <v>2000</v>
      </c>
      <c r="E1620" s="8">
        <f ca="1">IFERROR(__xludf.DUMMYFUNCTION("""COMPUTED_VALUE"""),36622)</f>
        <v>36622</v>
      </c>
      <c r="F1620" s="5" t="str">
        <f ca="1">IFERROR(__xludf.DUMMYFUNCTION("""COMPUTED_VALUE"""),"Hugo High School")</f>
        <v>Hugo High School</v>
      </c>
      <c r="G1620" s="5">
        <f ca="1">IFERROR(__xludf.DUMMYFUNCTION("""COMPUTED_VALUE"""),0)</f>
        <v>0</v>
      </c>
      <c r="H1620" s="5">
        <f ca="1">IFERROR(__xludf.DUMMYFUNCTION("""COMPUTED_VALUE"""),1)</f>
        <v>1</v>
      </c>
      <c r="I1620" s="5">
        <f ca="1">IFERROR(__xludf.DUMMYFUNCTION("""COMPUTED_VALUE"""),1)</f>
        <v>1</v>
      </c>
      <c r="J1620" s="5">
        <f ca="1">IFERROR(__xludf.DUMMYFUNCTION("""COMPUTED_VALUE"""),0)</f>
        <v>0</v>
      </c>
      <c r="K1620" s="9" t="str">
        <f ca="1">IFERROR(__xludf.DUMMYFUNCTION("""COMPUTED_VALUE"""),"https://www.newspapers.com/image/454563845/?terms=Hugo%2BHigh%2BSchool%2Bshooting")</f>
        <v>https://www.newspapers.com/image/454563845/?terms=Hugo%2BHigh%2BSchool%2Bshooting</v>
      </c>
      <c r="L1620" s="5"/>
      <c r="M1620" s="5"/>
      <c r="N1620" s="5">
        <f ca="1">IFERROR(__xludf.DUMMYFUNCTION("""COMPUTED_VALUE"""),2)</f>
        <v>2</v>
      </c>
      <c r="O1620" s="5" t="str">
        <f ca="1">IFERROR(__xludf.DUMMYFUNCTION("""COMPUTED_VALUE"""),"Spring")</f>
        <v>Spring</v>
      </c>
      <c r="P1620" s="5" t="str">
        <f ca="1">IFERROR(__xludf.DUMMYFUNCTION("""COMPUTED_VALUE"""),"Hugo")</f>
        <v>Hugo</v>
      </c>
      <c r="Q1620" s="5" t="str">
        <f ca="1">IFERROR(__xludf.DUMMYFUNCTION("""COMPUTED_VALUE"""),"OK")</f>
        <v>OK</v>
      </c>
      <c r="R1620" s="5" t="str">
        <f ca="1">IFERROR(__xludf.DUMMYFUNCTION("""COMPUTED_VALUE"""),"High")</f>
        <v>High</v>
      </c>
      <c r="S1620" s="5" t="str">
        <f ca="1">IFERROR(__xludf.DUMMYFUNCTION("""COMPUTED_VALUE"""),"Football Field/Track")</f>
        <v>Football Field/Track</v>
      </c>
      <c r="T1620" s="5" t="str">
        <f ca="1">IFERROR(__xludf.DUMMYFUNCTION("""COMPUTED_VALUE"""),"Outside on School Property")</f>
        <v>Outside on School Property</v>
      </c>
      <c r="U1620" s="5" t="str">
        <f ca="1">IFERROR(__xludf.DUMMYFUNCTION("""COMPUTED_VALUE"""),"Yes")</f>
        <v>Yes</v>
      </c>
      <c r="V1620" s="5" t="str">
        <f ca="1">IFERROR(__xludf.DUMMYFUNCTION("""COMPUTED_VALUE"""),"Sport Event")</f>
        <v>Sport Event</v>
      </c>
      <c r="W1620" s="10">
        <f ca="1">IFERROR(__xludf.DUMMYFUNCTION("""COMPUTED_VALUE"""),0.5)</f>
        <v>0.5</v>
      </c>
      <c r="X1620" s="5">
        <f ca="1">IFERROR(__xludf.DUMMYFUNCTION("""COMPUTED_VALUE"""),1)</f>
        <v>1</v>
      </c>
      <c r="Y1620" s="5" t="str">
        <f ca="1">IFERROR(__xludf.DUMMYFUNCTION("""COMPUTED_VALUE"""),"Feud between parents turned into shooting at track meet.")</f>
        <v>Feud between parents turned into shooting at track meet.</v>
      </c>
      <c r="Z1620" s="5" t="str">
        <f ca="1">IFERROR(__xludf.DUMMYFUNCTION("""COMPUTED_VALUE"""),"Fight between 33 YOF and 35YOF parents in the stands at a track meet turned into a shooting. A police officer was working at the event and grabbed the gun.")</f>
        <v>Fight between 33 YOF and 35YOF parents in the stands at a track meet turned into a shooting. A police officer was working at the event and grabbed the gun.</v>
      </c>
      <c r="AA1620" s="5" t="str">
        <f ca="1">IFERROR(__xludf.DUMMYFUNCTION("""COMPUTED_VALUE"""),"Escalation of Dispute")</f>
        <v>Escalation of Dispute</v>
      </c>
      <c r="AB1620" s="5" t="str">
        <f ca="1">IFERROR(__xludf.DUMMYFUNCTION("""COMPUTED_VALUE"""),"Victims Targeted")</f>
        <v>Victims Targeted</v>
      </c>
      <c r="AC1620" s="5" t="str">
        <f ca="1">IFERROR(__xludf.DUMMYFUNCTION("""COMPUTED_VALUE"""),"No")</f>
        <v>No</v>
      </c>
      <c r="AD1620" s="5" t="str">
        <f ca="1">IFERROR(__xludf.DUMMYFUNCTION("""COMPUTED_VALUE"""),"No")</f>
        <v>No</v>
      </c>
      <c r="AE1620" s="5" t="str">
        <f ca="1">IFERROR(__xludf.DUMMYFUNCTION("""COMPUTED_VALUE"""),"No")</f>
        <v>No</v>
      </c>
      <c r="AF1620" s="5" t="str">
        <f ca="1">IFERROR(__xludf.DUMMYFUNCTION("""COMPUTED_VALUE"""),"No")</f>
        <v>No</v>
      </c>
      <c r="AG1620" s="5" t="str">
        <f ca="1">IFERROR(__xludf.DUMMYFUNCTION("""COMPUTED_VALUE"""),"No")</f>
        <v>No</v>
      </c>
      <c r="AH1620" s="5" t="str">
        <f ca="1">IFERROR(__xludf.DUMMYFUNCTION("""COMPUTED_VALUE"""),"No")</f>
        <v>No</v>
      </c>
      <c r="AI1620" s="5" t="str">
        <f ca="1">IFERROR(__xludf.DUMMYFUNCTION("""COMPUTED_VALUE"""),"No")</f>
        <v>No</v>
      </c>
      <c r="AJ1620" s="5"/>
    </row>
    <row r="1621" spans="1:36" ht="13">
      <c r="A1621" s="5" t="str">
        <f ca="1">IFERROR(__xludf.DUMMYFUNCTION("""COMPUTED_VALUE"""),"20000323OHMCL")</f>
        <v>20000323OHMCL</v>
      </c>
      <c r="B1621" s="5">
        <f ca="1">IFERROR(__xludf.DUMMYFUNCTION("""COMPUTED_VALUE"""),3)</f>
        <v>3</v>
      </c>
      <c r="C1621" s="5">
        <f ca="1">IFERROR(__xludf.DUMMYFUNCTION("""COMPUTED_VALUE"""),23)</f>
        <v>23</v>
      </c>
      <c r="D1621" s="5">
        <f ca="1">IFERROR(__xludf.DUMMYFUNCTION("""COMPUTED_VALUE"""),2000)</f>
        <v>2000</v>
      </c>
      <c r="E1621" s="8">
        <f ca="1">IFERROR(__xludf.DUMMYFUNCTION("""COMPUTED_VALUE"""),36608)</f>
        <v>36608</v>
      </c>
      <c r="F1621" s="5" t="str">
        <f ca="1">IFERROR(__xludf.DUMMYFUNCTION("""COMPUTED_VALUE"""),"McKinley Elementary School")</f>
        <v>McKinley Elementary School</v>
      </c>
      <c r="G1621" s="5">
        <f ca="1">IFERROR(__xludf.DUMMYFUNCTION("""COMPUTED_VALUE"""),0)</f>
        <v>0</v>
      </c>
      <c r="H1621" s="5">
        <f ca="1">IFERROR(__xludf.DUMMYFUNCTION("""COMPUTED_VALUE"""),0)</f>
        <v>0</v>
      </c>
      <c r="I1621" s="5">
        <f ca="1">IFERROR(__xludf.DUMMYFUNCTION("""COMPUTED_VALUE"""),0)</f>
        <v>0</v>
      </c>
      <c r="J1621" s="5">
        <f ca="1">IFERROR(__xludf.DUMMYFUNCTION("""COMPUTED_VALUE"""),0)</f>
        <v>0</v>
      </c>
      <c r="K1621" s="9" t="str">
        <f ca="1">IFERROR(__xludf.DUMMYFUNCTION("""COMPUTED_VALUE"""),"https://www.cbsnews.com/news/boy-charged-in-school-gun-scare/")</f>
        <v>https://www.cbsnews.com/news/boy-charged-in-school-gun-scare/</v>
      </c>
      <c r="L1621" s="5"/>
      <c r="M1621" s="5"/>
      <c r="N1621" s="5">
        <f ca="1">IFERROR(__xludf.DUMMYFUNCTION("""COMPUTED_VALUE"""),2)</f>
        <v>2</v>
      </c>
      <c r="O1621" s="5" t="str">
        <f ca="1">IFERROR(__xludf.DUMMYFUNCTION("""COMPUTED_VALUE"""),"Spring")</f>
        <v>Spring</v>
      </c>
      <c r="P1621" s="5" t="str">
        <f ca="1">IFERROR(__xludf.DUMMYFUNCTION("""COMPUTED_VALUE"""),"Lisbon")</f>
        <v>Lisbon</v>
      </c>
      <c r="Q1621" s="5" t="str">
        <f ca="1">IFERROR(__xludf.DUMMYFUNCTION("""COMPUTED_VALUE"""),"OH")</f>
        <v>OH</v>
      </c>
      <c r="R1621" s="5" t="str">
        <f ca="1">IFERROR(__xludf.DUMMYFUNCTION("""COMPUTED_VALUE"""),"Elementary")</f>
        <v>Elementary</v>
      </c>
      <c r="S1621" s="5" t="str">
        <f ca="1">IFERROR(__xludf.DUMMYFUNCTION("""COMPUTED_VALUE"""),"Classroom")</f>
        <v>Classroom</v>
      </c>
      <c r="T1621" s="5" t="str">
        <f ca="1">IFERROR(__xludf.DUMMYFUNCTION("""COMPUTED_VALUE"""),"Inside School Building")</f>
        <v>Inside School Building</v>
      </c>
      <c r="U1621" s="5" t="str">
        <f ca="1">IFERROR(__xludf.DUMMYFUNCTION("""COMPUTED_VALUE"""),"Yes")</f>
        <v>Yes</v>
      </c>
      <c r="V1621" s="5" t="str">
        <f ca="1">IFERROR(__xludf.DUMMYFUNCTION("""COMPUTED_VALUE"""),"Morning Classes")</f>
        <v>Morning Classes</v>
      </c>
      <c r="W1621" s="10">
        <f ca="1">IFERROR(__xludf.DUMMYFUNCTION("""COMPUTED_VALUE"""),0.364583333333333)</f>
        <v>0.36458333333333298</v>
      </c>
      <c r="X1621" s="5">
        <f ca="1">IFERROR(__xludf.DUMMYFUNCTION("""COMPUTED_VALUE"""),5)</f>
        <v>5</v>
      </c>
      <c r="Y1621" s="5" t="str">
        <f ca="1">IFERROR(__xludf.DUMMYFUNCTION("""COMPUTED_VALUE"""),"Took class hostage, wanted to go to jail to be with mother")</f>
        <v>Took class hostage, wanted to go to jail to be with mother</v>
      </c>
      <c r="Z1621" s="5" t="str">
        <f ca="1">IFERROR(__xludf.DUMMYFUNCTION("""COMPUTED_VALUE"""),"13YOM pointed loaded handgun at teachers and students in classroom and told them to get on the floor. Held them hostage for 5 minutes before surrendering. Shooter's mother was in jail and he wanted to be with her. Gun was locked at home but shooter found "&amp;"the key.")</f>
        <v>13YOM pointed loaded handgun at teachers and students in classroom and told them to get on the floor. Held them hostage for 5 minutes before surrendering. Shooter's mother was in jail and he wanted to be with her. Gun was locked at home but shooter found the key.</v>
      </c>
      <c r="AA1621" s="5" t="str">
        <f ca="1">IFERROR(__xludf.DUMMYFUNCTION("""COMPUTED_VALUE"""),"Hostage/Standoff")</f>
        <v>Hostage/Standoff</v>
      </c>
      <c r="AB1621" s="5"/>
      <c r="AC1621" s="5" t="str">
        <f ca="1">IFERROR(__xludf.DUMMYFUNCTION("""COMPUTED_VALUE"""),"No")</f>
        <v>No</v>
      </c>
      <c r="AD1621" s="5" t="str">
        <f ca="1">IFERROR(__xludf.DUMMYFUNCTION("""COMPUTED_VALUE"""),"Yes")</f>
        <v>Yes</v>
      </c>
      <c r="AE1621" s="5" t="str">
        <f ca="1">IFERROR(__xludf.DUMMYFUNCTION("""COMPUTED_VALUE"""),"No")</f>
        <v>No</v>
      </c>
      <c r="AF1621" s="5" t="str">
        <f ca="1">IFERROR(__xludf.DUMMYFUNCTION("""COMPUTED_VALUE"""),"No")</f>
        <v>No</v>
      </c>
      <c r="AG1621" s="5"/>
      <c r="AH1621" s="5" t="str">
        <f ca="1">IFERROR(__xludf.DUMMYFUNCTION("""COMPUTED_VALUE"""),"No")</f>
        <v>No</v>
      </c>
      <c r="AI1621" s="5" t="str">
        <f ca="1">IFERROR(__xludf.DUMMYFUNCTION("""COMPUTED_VALUE"""),"No")</f>
        <v>No</v>
      </c>
      <c r="AJ1621" s="5" t="str">
        <f ca="1">IFERROR(__xludf.DUMMYFUNCTION("""COMPUTED_VALUE"""),"Yes")</f>
        <v>Yes</v>
      </c>
    </row>
    <row r="1622" spans="1:36" ht="13">
      <c r="A1622" s="5" t="str">
        <f ca="1">IFERROR(__xludf.DUMMYFUNCTION("""COMPUTED_VALUE"""),"20000310GABES")</f>
        <v>20000310GABES</v>
      </c>
      <c r="B1622" s="5">
        <f ca="1">IFERROR(__xludf.DUMMYFUNCTION("""COMPUTED_VALUE"""),3)</f>
        <v>3</v>
      </c>
      <c r="C1622" s="5">
        <f ca="1">IFERROR(__xludf.DUMMYFUNCTION("""COMPUTED_VALUE"""),10)</f>
        <v>10</v>
      </c>
      <c r="D1622" s="5">
        <f ca="1">IFERROR(__xludf.DUMMYFUNCTION("""COMPUTED_VALUE"""),2000)</f>
        <v>2000</v>
      </c>
      <c r="E1622" s="8">
        <f ca="1">IFERROR(__xludf.DUMMYFUNCTION("""COMPUTED_VALUE"""),36595)</f>
        <v>36595</v>
      </c>
      <c r="F1622" s="5" t="str">
        <f ca="1">IFERROR(__xludf.DUMMYFUNCTION("""COMPUTED_VALUE"""),"Beach High School")</f>
        <v>Beach High School</v>
      </c>
      <c r="G1622" s="5">
        <f ca="1">IFERROR(__xludf.DUMMYFUNCTION("""COMPUTED_VALUE"""),2)</f>
        <v>2</v>
      </c>
      <c r="H1622" s="5">
        <f ca="1">IFERROR(__xludf.DUMMYFUNCTION("""COMPUTED_VALUE"""),1)</f>
        <v>1</v>
      </c>
      <c r="I1622" s="5">
        <f ca="1">IFERROR(__xludf.DUMMYFUNCTION("""COMPUTED_VALUE"""),3)</f>
        <v>3</v>
      </c>
      <c r="J1622" s="5">
        <f ca="1">IFERROR(__xludf.DUMMYFUNCTION("""COMPUTED_VALUE"""),0)</f>
        <v>0</v>
      </c>
      <c r="K1622" s="5" t="str">
        <f ca="1">IFERROR(__xludf.DUMMYFUNCTION("""COMPUTED_VALUE"""),"https://www.newspapers.com/image/162901684/?terms=ramone%2Bkimble  https://www.newspapers.com/image/107652223/?terms=student%2Bshoots  https://www.newspapers.com/image/109008981/?terms=ramone%2Bkimble    https://www.newspapers.com/image/70483618/?terms=ra"&amp;"mone%2Bkimble")</f>
        <v>https://www.newspapers.com/image/162901684/?terms=ramone%2Bkimble  https://www.newspapers.com/image/107652223/?terms=student%2Bshoots  https://www.newspapers.com/image/109008981/?terms=ramone%2Bkimble    https://www.newspapers.com/image/70483618/?terms=ramone%2Bkimble</v>
      </c>
      <c r="L1622" s="5"/>
      <c r="M1622" s="5"/>
      <c r="N1622" s="5">
        <f ca="1">IFERROR(__xludf.DUMMYFUNCTION("""COMPUTED_VALUE"""),2)</f>
        <v>2</v>
      </c>
      <c r="O1622" s="5" t="str">
        <f ca="1">IFERROR(__xludf.DUMMYFUNCTION("""COMPUTED_VALUE"""),"Spring")</f>
        <v>Spring</v>
      </c>
      <c r="P1622" s="5" t="str">
        <f ca="1">IFERROR(__xludf.DUMMYFUNCTION("""COMPUTED_VALUE"""),"Savannah")</f>
        <v>Savannah</v>
      </c>
      <c r="Q1622" s="5" t="str">
        <f ca="1">IFERROR(__xludf.DUMMYFUNCTION("""COMPUTED_VALUE"""),"GA")</f>
        <v>GA</v>
      </c>
      <c r="R1622" s="5" t="str">
        <f ca="1">IFERROR(__xludf.DUMMYFUNCTION("""COMPUTED_VALUE"""),"High")</f>
        <v>High</v>
      </c>
      <c r="S1622" s="5" t="str">
        <f ca="1">IFERROR(__xludf.DUMMYFUNCTION("""COMPUTED_VALUE"""),"Gym")</f>
        <v>Gym</v>
      </c>
      <c r="T1622" s="5" t="str">
        <f ca="1">IFERROR(__xludf.DUMMYFUNCTION("""COMPUTED_VALUE"""),"Inside School Building")</f>
        <v>Inside School Building</v>
      </c>
      <c r="U1622" s="5" t="str">
        <f ca="1">IFERROR(__xludf.DUMMYFUNCTION("""COMPUTED_VALUE"""),"No")</f>
        <v>No</v>
      </c>
      <c r="V1622" s="5" t="str">
        <f ca="1">IFERROR(__xludf.DUMMYFUNCTION("""COMPUTED_VALUE"""),"School Event")</f>
        <v>School Event</v>
      </c>
      <c r="W1622" s="10">
        <f ca="1">IFERROR(__xludf.DUMMYFUNCTION("""COMPUTED_VALUE"""),0.96875)</f>
        <v>0.96875</v>
      </c>
      <c r="X1622" s="5">
        <f ca="1">IFERROR(__xludf.DUMMYFUNCTION("""COMPUTED_VALUE"""),1)</f>
        <v>1</v>
      </c>
      <c r="Y1622" s="5" t="str">
        <f ca="1">IFERROR(__xludf.DUMMYFUNCTION("""COMPUTED_VALUE"""),"Shots fired during fight at school dance")</f>
        <v>Shots fired during fight at school dance</v>
      </c>
      <c r="Z1622" s="5" t="str">
        <f ca="1">IFERROR(__xludf.DUMMYFUNCTION("""COMPUTED_VALUE"""),"Argument between two teenage groups during high school dance to celebrate championship game.")</f>
        <v>Argument between two teenage groups during high school dance to celebrate championship game.</v>
      </c>
      <c r="AA1622" s="5" t="str">
        <f ca="1">IFERROR(__xludf.DUMMYFUNCTION("""COMPUTED_VALUE"""),"Escalation of Dispute")</f>
        <v>Escalation of Dispute</v>
      </c>
      <c r="AB1622" s="5"/>
      <c r="AC1622" s="5" t="str">
        <f ca="1">IFERROR(__xludf.DUMMYFUNCTION("""COMPUTED_VALUE"""),"No")</f>
        <v>No</v>
      </c>
      <c r="AD1622" s="5" t="str">
        <f ca="1">IFERROR(__xludf.DUMMYFUNCTION("""COMPUTED_VALUE"""),"No")</f>
        <v>No</v>
      </c>
      <c r="AE1622" s="5" t="str">
        <f ca="1">IFERROR(__xludf.DUMMYFUNCTION("""COMPUTED_VALUE"""),"No")</f>
        <v>No</v>
      </c>
      <c r="AF1622" s="5" t="str">
        <f ca="1">IFERROR(__xludf.DUMMYFUNCTION("""COMPUTED_VALUE"""),"No")</f>
        <v>No</v>
      </c>
      <c r="AG1622" s="5"/>
      <c r="AH1622" s="5" t="str">
        <f ca="1">IFERROR(__xludf.DUMMYFUNCTION("""COMPUTED_VALUE"""),"No")</f>
        <v>No</v>
      </c>
      <c r="AI1622" s="5" t="str">
        <f ca="1">IFERROR(__xludf.DUMMYFUNCTION("""COMPUTED_VALUE"""),"No")</f>
        <v>No</v>
      </c>
      <c r="AJ1622" s="5"/>
    </row>
    <row r="1623" spans="1:36" ht="13">
      <c r="A1623" s="5" t="str">
        <f ca="1">IFERROR(__xludf.DUMMYFUNCTION("""COMPUTED_VALUE"""),"20000229MIBUF")</f>
        <v>20000229MIBUF</v>
      </c>
      <c r="B1623" s="5">
        <f ca="1">IFERROR(__xludf.DUMMYFUNCTION("""COMPUTED_VALUE"""),2)</f>
        <v>2</v>
      </c>
      <c r="C1623" s="5">
        <f ca="1">IFERROR(__xludf.DUMMYFUNCTION("""COMPUTED_VALUE"""),29)</f>
        <v>29</v>
      </c>
      <c r="D1623" s="5">
        <f ca="1">IFERROR(__xludf.DUMMYFUNCTION("""COMPUTED_VALUE"""),2000)</f>
        <v>2000</v>
      </c>
      <c r="E1623" s="8">
        <f ca="1">IFERROR(__xludf.DUMMYFUNCTION("""COMPUTED_VALUE"""),36585)</f>
        <v>36585</v>
      </c>
      <c r="F1623" s="5" t="str">
        <f ca="1">IFERROR(__xludf.DUMMYFUNCTION("""COMPUTED_VALUE"""),"Buell Elementary School")</f>
        <v>Buell Elementary School</v>
      </c>
      <c r="G1623" s="5">
        <f ca="1">IFERROR(__xludf.DUMMYFUNCTION("""COMPUTED_VALUE"""),1)</f>
        <v>1</v>
      </c>
      <c r="H1623" s="5">
        <f ca="1">IFERROR(__xludf.DUMMYFUNCTION("""COMPUTED_VALUE"""),0)</f>
        <v>0</v>
      </c>
      <c r="I1623" s="5">
        <f ca="1">IFERROR(__xludf.DUMMYFUNCTION("""COMPUTED_VALUE"""),1)</f>
        <v>1</v>
      </c>
      <c r="J1623" s="5">
        <f ca="1">IFERROR(__xludf.DUMMYFUNCTION("""COMPUTED_VALUE"""),0)</f>
        <v>0</v>
      </c>
      <c r="K1623" s="5" t="str">
        <f ca="1">IFERROR(__xludf.DUMMYFUNCTION("""COMPUTED_VALUE"""),"https://www.upi.com/Voices/2021/12/21/parents-liable-child-crimes-OXford-school-shooting/5261640091029/ http://content.time.com/time/magazine/article/0,9171,40342,00.html https://www.abc12.com/content/news/20-Years-Later-Revisiting-the-Buell-Elementary-Sc"&amp;"hool-shooting-568359981.html https://www.mlive.com/news/flint/2020/02/first-grader-kayla-rolland-was-fatally-shot-at-school-20-years-ago-heres-how-it-happened.html")</f>
        <v>https://www.upi.com/Voices/2021/12/21/parents-liable-child-crimes-OXford-school-shooting/5261640091029/ http://content.time.com/time/magazine/article/0,9171,40342,00.html https://www.abc12.com/content/news/20-Years-Later-Revisiting-the-Buell-Elementary-School-shooting-568359981.html https://www.mlive.com/news/flint/2020/02/first-grader-kayla-rolland-was-fatally-shot-at-school-20-years-ago-heres-how-it-happened.html</v>
      </c>
      <c r="L1623" s="5">
        <f ca="1">IFERROR(__xludf.DUMMYFUNCTION("""COMPUTED_VALUE"""),100)</f>
        <v>100</v>
      </c>
      <c r="M1623" s="5" t="str">
        <f ca="1">IFERROR(__xludf.DUMMYFUNCTION("""COMPUTED_VALUE"""),"National")</f>
        <v>National</v>
      </c>
      <c r="N1623" s="5">
        <f ca="1">IFERROR(__xludf.DUMMYFUNCTION("""COMPUTED_VALUE"""),4)</f>
        <v>4</v>
      </c>
      <c r="O1623" s="5" t="str">
        <f ca="1">IFERROR(__xludf.DUMMYFUNCTION("""COMPUTED_VALUE"""),"Winter")</f>
        <v>Winter</v>
      </c>
      <c r="P1623" s="5" t="str">
        <f ca="1">IFERROR(__xludf.DUMMYFUNCTION("""COMPUTED_VALUE"""),"Flint")</f>
        <v>Flint</v>
      </c>
      <c r="Q1623" s="5" t="str">
        <f ca="1">IFERROR(__xludf.DUMMYFUNCTION("""COMPUTED_VALUE"""),"MI")</f>
        <v>MI</v>
      </c>
      <c r="R1623" s="5" t="str">
        <f ca="1">IFERROR(__xludf.DUMMYFUNCTION("""COMPUTED_VALUE"""),"Elementary")</f>
        <v>Elementary</v>
      </c>
      <c r="S1623" s="5" t="str">
        <f ca="1">IFERROR(__xludf.DUMMYFUNCTION("""COMPUTED_VALUE"""),"Classroom")</f>
        <v>Classroom</v>
      </c>
      <c r="T1623" s="5" t="str">
        <f ca="1">IFERROR(__xludf.DUMMYFUNCTION("""COMPUTED_VALUE"""),"Inside School Building")</f>
        <v>Inside School Building</v>
      </c>
      <c r="U1623" s="5" t="str">
        <f ca="1">IFERROR(__xludf.DUMMYFUNCTION("""COMPUTED_VALUE"""),"Yes")</f>
        <v>Yes</v>
      </c>
      <c r="V1623" s="5" t="str">
        <f ca="1">IFERROR(__xludf.DUMMYFUNCTION("""COMPUTED_VALUE"""),"Morning Classes")</f>
        <v>Morning Classes</v>
      </c>
      <c r="W1623" s="10">
        <f ca="1">IFERROR(__xludf.DUMMYFUNCTION("""COMPUTED_VALUE"""),0.416666666666666)</f>
        <v>0.41666666666666602</v>
      </c>
      <c r="X1623" s="5">
        <f ca="1">IFERROR(__xludf.DUMMYFUNCTION("""COMPUTED_VALUE"""),1)</f>
        <v>1</v>
      </c>
      <c r="Y1623" s="5" t="str">
        <f ca="1">IFERROR(__xludf.DUMMYFUNCTION("""COMPUTED_VALUE"""),"1st grader shot classmate inside school")</f>
        <v>1st grader shot classmate inside school</v>
      </c>
      <c r="Z1623" s="5" t="str">
        <f ca="1">IFERROR(__xludf.DUMMYFUNCTION("""COMPUTED_VALUE"""),"6 year old shooter shot another 6 year old classmate in the chest with a single shot in their classroom while students were lining up to go to the library. The shooter and victim had an altercation on the playground. The shooter's father was in prison for"&amp;" drug related crimes. The shooters mother was a drug addict and living in a crack house where the boy found the gun in a shoebox. Shooter and brothers were physically abused by mother. Placed in foster care following the shootings. Uncle plead guilty to i"&amp;"nvoluntary manslaughter for leaving the gun in an accessible place.")</f>
        <v>6 year old shooter shot another 6 year old classmate in the chest with a single shot in their classroom while students were lining up to go to the library. The shooter and victim had an altercation on the playground. The shooter's father was in prison for drug related crimes. The shooters mother was a drug addict and living in a crack house where the boy found the gun in a shoebox. Shooter and brothers were physically abused by mother. Placed in foster care following the shootings. Uncle plead guilty to involuntary manslaughter for leaving the gun in an accessible place.</v>
      </c>
      <c r="AA1623" s="5" t="str">
        <f ca="1">IFERROR(__xludf.DUMMYFUNCTION("""COMPUTED_VALUE"""),"Escalation of Dispute")</f>
        <v>Escalation of Dispute</v>
      </c>
      <c r="AB1623" s="5" t="str">
        <f ca="1">IFERROR(__xludf.DUMMYFUNCTION("""COMPUTED_VALUE"""),"Victims Targeted")</f>
        <v>Victims Targeted</v>
      </c>
      <c r="AC1623" s="5" t="str">
        <f ca="1">IFERROR(__xludf.DUMMYFUNCTION("""COMPUTED_VALUE"""),"No")</f>
        <v>No</v>
      </c>
      <c r="AD1623" s="5" t="str">
        <f ca="1">IFERROR(__xludf.DUMMYFUNCTION("""COMPUTED_VALUE"""),"No")</f>
        <v>No</v>
      </c>
      <c r="AE1623" s="5" t="str">
        <f ca="1">IFERROR(__xludf.DUMMYFUNCTION("""COMPUTED_VALUE"""),"No")</f>
        <v>No</v>
      </c>
      <c r="AF1623" s="5" t="str">
        <f ca="1">IFERROR(__xludf.DUMMYFUNCTION("""COMPUTED_VALUE"""),"No")</f>
        <v>No</v>
      </c>
      <c r="AG1623" s="5" t="str">
        <f ca="1">IFERROR(__xludf.DUMMYFUNCTION("""COMPUTED_VALUE"""),"No")</f>
        <v>No</v>
      </c>
      <c r="AH1623" s="5" t="str">
        <f ca="1">IFERROR(__xludf.DUMMYFUNCTION("""COMPUTED_VALUE"""),"No")</f>
        <v>No</v>
      </c>
      <c r="AI1623" s="5" t="str">
        <f ca="1">IFERROR(__xludf.DUMMYFUNCTION("""COMPUTED_VALUE"""),"No")</f>
        <v>No</v>
      </c>
      <c r="AJ1623" s="5" t="str">
        <f ca="1">IFERROR(__xludf.DUMMYFUNCTION("""COMPUTED_VALUE"""),"No")</f>
        <v>No</v>
      </c>
    </row>
    <row r="1624" spans="1:36" ht="13">
      <c r="A1624" s="5" t="str">
        <f ca="1">IFERROR(__xludf.DUMMYFUNCTION("""COMPUTED_VALUE"""),"20000214ILDUC")</f>
        <v>20000214ILDUC</v>
      </c>
      <c r="B1624" s="5">
        <f ca="1">IFERROR(__xludf.DUMMYFUNCTION("""COMPUTED_VALUE"""),2)</f>
        <v>2</v>
      </c>
      <c r="C1624" s="5">
        <f ca="1">IFERROR(__xludf.DUMMYFUNCTION("""COMPUTED_VALUE"""),14)</f>
        <v>14</v>
      </c>
      <c r="D1624" s="5">
        <f ca="1">IFERROR(__xludf.DUMMYFUNCTION("""COMPUTED_VALUE"""),2000)</f>
        <v>2000</v>
      </c>
      <c r="E1624" s="8">
        <f ca="1">IFERROR(__xludf.DUMMYFUNCTION("""COMPUTED_VALUE"""),36570)</f>
        <v>36570</v>
      </c>
      <c r="F1624" s="5" t="str">
        <f ca="1">IFERROR(__xludf.DUMMYFUNCTION("""COMPUTED_VALUE"""),"Duke Ellington Elementary School")</f>
        <v>Duke Ellington Elementary School</v>
      </c>
      <c r="G1624" s="5">
        <f ca="1">IFERROR(__xludf.DUMMYFUNCTION("""COMPUTED_VALUE"""),0)</f>
        <v>0</v>
      </c>
      <c r="H1624" s="5">
        <f ca="1">IFERROR(__xludf.DUMMYFUNCTION("""COMPUTED_VALUE"""),1)</f>
        <v>1</v>
      </c>
      <c r="I1624" s="5">
        <f ca="1">IFERROR(__xludf.DUMMYFUNCTION("""COMPUTED_VALUE"""),1)</f>
        <v>1</v>
      </c>
      <c r="J1624" s="5">
        <f ca="1">IFERROR(__xludf.DUMMYFUNCTION("""COMPUTED_VALUE"""),0)</f>
        <v>0</v>
      </c>
      <c r="K1624" s="9" t="str">
        <f ca="1">IFERROR(__xludf.DUMMYFUNCTION("""COMPUTED_VALUE"""),"http://articles.chicagotribune.com/2000-03-30/news/0003300274_1_metal-detectors-elementary-schools-west-side-school")</f>
        <v>http://articles.chicagotribune.com/2000-03-30/news/0003300274_1_metal-detectors-elementary-schools-west-side-school</v>
      </c>
      <c r="L1624" s="5">
        <f ca="1">IFERROR(__xludf.DUMMYFUNCTION("""COMPUTED_VALUE"""),2)</f>
        <v>2</v>
      </c>
      <c r="M1624" s="5" t="str">
        <f ca="1">IFERROR(__xludf.DUMMYFUNCTION("""COMPUTED_VALUE"""),"Local")</f>
        <v>Local</v>
      </c>
      <c r="N1624" s="5">
        <f ca="1">IFERROR(__xludf.DUMMYFUNCTION("""COMPUTED_VALUE"""),2)</f>
        <v>2</v>
      </c>
      <c r="O1624" s="5" t="str">
        <f ca="1">IFERROR(__xludf.DUMMYFUNCTION("""COMPUTED_VALUE"""),"Winter")</f>
        <v>Winter</v>
      </c>
      <c r="P1624" s="5" t="str">
        <f ca="1">IFERROR(__xludf.DUMMYFUNCTION("""COMPUTED_VALUE"""),"Chicago")</f>
        <v>Chicago</v>
      </c>
      <c r="Q1624" s="5" t="str">
        <f ca="1">IFERROR(__xludf.DUMMYFUNCTION("""COMPUTED_VALUE"""),"IL")</f>
        <v>IL</v>
      </c>
      <c r="R1624" s="5" t="str">
        <f ca="1">IFERROR(__xludf.DUMMYFUNCTION("""COMPUTED_VALUE"""),"Elementary")</f>
        <v>Elementary</v>
      </c>
      <c r="S1624" s="5" t="str">
        <f ca="1">IFERROR(__xludf.DUMMYFUNCTION("""COMPUTED_VALUE"""),"Bathroom")</f>
        <v>Bathroom</v>
      </c>
      <c r="T1624" s="5" t="str">
        <f ca="1">IFERROR(__xludf.DUMMYFUNCTION("""COMPUTED_VALUE"""),"Inside School Building")</f>
        <v>Inside School Building</v>
      </c>
      <c r="U1624" s="5" t="str">
        <f ca="1">IFERROR(__xludf.DUMMYFUNCTION("""COMPUTED_VALUE"""),"Yes")</f>
        <v>Yes</v>
      </c>
      <c r="V1624" s="5" t="str">
        <f ca="1">IFERROR(__xludf.DUMMYFUNCTION("""COMPUTED_VALUE"""),"Afternoon Classes")</f>
        <v>Afternoon Classes</v>
      </c>
      <c r="W1624" s="10">
        <f ca="1">IFERROR(__xludf.DUMMYFUNCTION("""COMPUTED_VALUE"""),0.625)</f>
        <v>0.625</v>
      </c>
      <c r="X1624" s="5">
        <f ca="1">IFERROR(__xludf.DUMMYFUNCTION("""COMPUTED_VALUE"""),1)</f>
        <v>1</v>
      </c>
      <c r="Y1624" s="5" t="str">
        <f ca="1">IFERROR(__xludf.DUMMYFUNCTION("""COMPUTED_VALUE"""),"Accident discharge in bathroom, round went through wall and struck student in a classroom")</f>
        <v>Accident discharge in bathroom, round went through wall and struck student in a classroom</v>
      </c>
      <c r="Z1624" s="5" t="str">
        <f ca="1">IFERROR(__xludf.DUMMYFUNCTION("""COMPUTED_VALUE"""),"Shooter was playing with gun in the bathroom. Accidental discharge. Round when through the wall and struck another student in the classroom next door causing minor injuries. Student ditched the gun in the stairwell and fled the scene.")</f>
        <v>Shooter was playing with gun in the bathroom. Accidental discharge. Round when through the wall and struck another student in the classroom next door causing minor injuries. Student ditched the gun in the stairwell and fled the scene.</v>
      </c>
      <c r="AA1624" s="5" t="str">
        <f ca="1">IFERROR(__xludf.DUMMYFUNCTION("""COMPUTED_VALUE"""),"Accidental")</f>
        <v>Accidental</v>
      </c>
      <c r="AB1624" s="5" t="str">
        <f ca="1">IFERROR(__xludf.DUMMYFUNCTION("""COMPUTED_VALUE"""),"Random Shooting")</f>
        <v>Random Shooting</v>
      </c>
      <c r="AC1624" s="5" t="str">
        <f ca="1">IFERROR(__xludf.DUMMYFUNCTION("""COMPUTED_VALUE"""),"No")</f>
        <v>No</v>
      </c>
      <c r="AD1624" s="5" t="str">
        <f ca="1">IFERROR(__xludf.DUMMYFUNCTION("""COMPUTED_VALUE"""),"No")</f>
        <v>No</v>
      </c>
      <c r="AE1624" s="5" t="str">
        <f ca="1">IFERROR(__xludf.DUMMYFUNCTION("""COMPUTED_VALUE"""),"No")</f>
        <v>No</v>
      </c>
      <c r="AF1624" s="5" t="str">
        <f ca="1">IFERROR(__xludf.DUMMYFUNCTION("""COMPUTED_VALUE"""),"No")</f>
        <v>No</v>
      </c>
      <c r="AG1624" s="5" t="str">
        <f ca="1">IFERROR(__xludf.DUMMYFUNCTION("""COMPUTED_VALUE"""),"No")</f>
        <v>No</v>
      </c>
      <c r="AH1624" s="5" t="str">
        <f ca="1">IFERROR(__xludf.DUMMYFUNCTION("""COMPUTED_VALUE"""),"No")</f>
        <v>No</v>
      </c>
      <c r="AI1624" s="5" t="str">
        <f ca="1">IFERROR(__xludf.DUMMYFUNCTION("""COMPUTED_VALUE"""),"No")</f>
        <v>No</v>
      </c>
      <c r="AJ1624" s="5"/>
    </row>
    <row r="1625" spans="1:36" ht="13">
      <c r="A1625" s="5" t="str">
        <f ca="1">IFERROR(__xludf.DUMMYFUNCTION("""COMPUTED_VALUE"""),"20000210PAPEY")</f>
        <v>20000210PAPEY</v>
      </c>
      <c r="B1625" s="5">
        <f ca="1">IFERROR(__xludf.DUMMYFUNCTION("""COMPUTED_VALUE"""),2)</f>
        <v>2</v>
      </c>
      <c r="C1625" s="5">
        <f ca="1">IFERROR(__xludf.DUMMYFUNCTION("""COMPUTED_VALUE"""),10)</f>
        <v>10</v>
      </c>
      <c r="D1625" s="5">
        <f ca="1">IFERROR(__xludf.DUMMYFUNCTION("""COMPUTED_VALUE"""),2000)</f>
        <v>2000</v>
      </c>
      <c r="E1625" s="8">
        <f ca="1">IFERROR(__xludf.DUMMYFUNCTION("""COMPUTED_VALUE"""),36566)</f>
        <v>36566</v>
      </c>
      <c r="F1625" s="5" t="str">
        <f ca="1">IFERROR(__xludf.DUMMYFUNCTION("""COMPUTED_VALUE"""),"Penn Wood East Junior High School")</f>
        <v>Penn Wood East Junior High School</v>
      </c>
      <c r="G1625" s="5">
        <f ca="1">IFERROR(__xludf.DUMMYFUNCTION("""COMPUTED_VALUE"""),0)</f>
        <v>0</v>
      </c>
      <c r="H1625" s="5">
        <f ca="1">IFERROR(__xludf.DUMMYFUNCTION("""COMPUTED_VALUE"""),0)</f>
        <v>0</v>
      </c>
      <c r="I1625" s="5">
        <f ca="1">IFERROR(__xludf.DUMMYFUNCTION("""COMPUTED_VALUE"""),0)</f>
        <v>0</v>
      </c>
      <c r="J1625" s="5">
        <f ca="1">IFERROR(__xludf.DUMMYFUNCTION("""COMPUTED_VALUE"""),0)</f>
        <v>0</v>
      </c>
      <c r="K1625" s="5" t="str">
        <f ca="1">IFERROR(__xludf.DUMMYFUNCTION("""COMPUTED_VALUE"""),"Philadelphia Inquirer - Man, Still at Large, is Charged with Beating in Delco Schoolyard; https://www.columbine-angels.com/School_Violence_1999-2000.htm")</f>
        <v>Philadelphia Inquirer - Man, Still at Large, is Charged with Beating in Delco Schoolyard; https://www.columbine-angels.com/School_Violence_1999-2000.htm</v>
      </c>
      <c r="L1625" s="5"/>
      <c r="M1625" s="5"/>
      <c r="N1625" s="5">
        <f ca="1">IFERROR(__xludf.DUMMYFUNCTION("""COMPUTED_VALUE"""),1)</f>
        <v>1</v>
      </c>
      <c r="O1625" s="5" t="str">
        <f ca="1">IFERROR(__xludf.DUMMYFUNCTION("""COMPUTED_VALUE"""),"Winter")</f>
        <v>Winter</v>
      </c>
      <c r="P1625" s="5" t="str">
        <f ca="1">IFERROR(__xludf.DUMMYFUNCTION("""COMPUTED_VALUE"""),"Yeadon")</f>
        <v>Yeadon</v>
      </c>
      <c r="Q1625" s="5" t="str">
        <f ca="1">IFERROR(__xludf.DUMMYFUNCTION("""COMPUTED_VALUE"""),"PA")</f>
        <v>PA</v>
      </c>
      <c r="R1625" s="5" t="str">
        <f ca="1">IFERROR(__xludf.DUMMYFUNCTION("""COMPUTED_VALUE"""),"Junior High")</f>
        <v>Junior High</v>
      </c>
      <c r="S1625" s="5" t="str">
        <f ca="1">IFERROR(__xludf.DUMMYFUNCTION("""COMPUTED_VALUE"""),"Beside Building")</f>
        <v>Beside Building</v>
      </c>
      <c r="T1625" s="5" t="str">
        <f ca="1">IFERROR(__xludf.DUMMYFUNCTION("""COMPUTED_VALUE"""),"Outside on School Property")</f>
        <v>Outside on School Property</v>
      </c>
      <c r="U1625" s="5" t="str">
        <f ca="1">IFERROR(__xludf.DUMMYFUNCTION("""COMPUTED_VALUE"""),"Yes")</f>
        <v>Yes</v>
      </c>
      <c r="V1625" s="5" t="str">
        <f ca="1">IFERROR(__xludf.DUMMYFUNCTION("""COMPUTED_VALUE"""),"Dismissal")</f>
        <v>Dismissal</v>
      </c>
      <c r="W1625" s="10">
        <f ca="1">IFERROR(__xludf.DUMMYFUNCTION("""COMPUTED_VALUE"""),0.59375)</f>
        <v>0.59375</v>
      </c>
      <c r="X1625" s="5">
        <f ca="1">IFERROR(__xludf.DUMMYFUNCTION("""COMPUTED_VALUE"""),1)</f>
        <v>1</v>
      </c>
      <c r="Y1625" s="5" t="str">
        <f ca="1">IFERROR(__xludf.DUMMYFUNCTION("""COMPUTED_VALUE"""),"Ongoing fight, fired gun and missed, pointed at principal and misfired")</f>
        <v>Ongoing fight, fired gun and missed, pointed at principal and misfired</v>
      </c>
      <c r="Z1625" s="5" t="str">
        <f ca="1">IFERROR(__xludf.DUMMYFUNCTION("""COMPUTED_VALUE"""),"13YOM had ongoing fight with 14YOM student. Got handgun from 25YOM and confronted 14YOM. Fired shot that hit the ground. Principal heard the shot and ran over. 13YOM pointed the gun at the principal and fired but the gun jammed.")</f>
        <v>13YOM had ongoing fight with 14YOM student. Got handgun from 25YOM and confronted 14YOM. Fired shot that hit the ground. Principal heard the shot and ran over. 13YOM pointed the gun at the principal and fired but the gun jammed.</v>
      </c>
      <c r="AA1625" s="5" t="str">
        <f ca="1">IFERROR(__xludf.DUMMYFUNCTION("""COMPUTED_VALUE"""),"Escalation of Dispute")</f>
        <v>Escalation of Dispute</v>
      </c>
      <c r="AB1625" s="5" t="str">
        <f ca="1">IFERROR(__xludf.DUMMYFUNCTION("""COMPUTED_VALUE"""),"Victims Targeted")</f>
        <v>Victims Targeted</v>
      </c>
      <c r="AC1625" s="5" t="str">
        <f ca="1">IFERROR(__xludf.DUMMYFUNCTION("""COMPUTED_VALUE"""),"Yes")</f>
        <v>Yes</v>
      </c>
      <c r="AD1625" s="5" t="str">
        <f ca="1">IFERROR(__xludf.DUMMYFUNCTION("""COMPUTED_VALUE"""),"No")</f>
        <v>No</v>
      </c>
      <c r="AE1625" s="5" t="str">
        <f ca="1">IFERROR(__xludf.DUMMYFUNCTION("""COMPUTED_VALUE"""),"No")</f>
        <v>No</v>
      </c>
      <c r="AF1625" s="5" t="str">
        <f ca="1">IFERROR(__xludf.DUMMYFUNCTION("""COMPUTED_VALUE"""),"No")</f>
        <v>No</v>
      </c>
      <c r="AG1625" s="5" t="str">
        <f ca="1">IFERROR(__xludf.DUMMYFUNCTION("""COMPUTED_VALUE"""),"No")</f>
        <v>No</v>
      </c>
      <c r="AH1625" s="5" t="str">
        <f ca="1">IFERROR(__xludf.DUMMYFUNCTION("""COMPUTED_VALUE"""),"No")</f>
        <v>No</v>
      </c>
      <c r="AI1625" s="5" t="str">
        <f ca="1">IFERROR(__xludf.DUMMYFUNCTION("""COMPUTED_VALUE"""),"No")</f>
        <v>No</v>
      </c>
      <c r="AJ1625" s="5"/>
    </row>
    <row r="1626" spans="1:36" ht="13">
      <c r="A1626" s="5" t="str">
        <f ca="1">IFERROR(__xludf.DUMMYFUNCTION("""COMPUTED_VALUE"""),"20000126NESOO")</f>
        <v>20000126NESOO</v>
      </c>
      <c r="B1626" s="5">
        <f ca="1">IFERROR(__xludf.DUMMYFUNCTION("""COMPUTED_VALUE"""),1)</f>
        <v>1</v>
      </c>
      <c r="C1626" s="5">
        <f ca="1">IFERROR(__xludf.DUMMYFUNCTION("""COMPUTED_VALUE"""),26)</f>
        <v>26</v>
      </c>
      <c r="D1626" s="5">
        <f ca="1">IFERROR(__xludf.DUMMYFUNCTION("""COMPUTED_VALUE"""),2000)</f>
        <v>2000</v>
      </c>
      <c r="E1626" s="8">
        <f ca="1">IFERROR(__xludf.DUMMYFUNCTION("""COMPUTED_VALUE"""),36551)</f>
        <v>36551</v>
      </c>
      <c r="F1626" s="5" t="str">
        <f ca="1">IFERROR(__xludf.DUMMYFUNCTION("""COMPUTED_VALUE"""),"South High School")</f>
        <v>South High School</v>
      </c>
      <c r="G1626" s="5">
        <f ca="1">IFERROR(__xludf.DUMMYFUNCTION("""COMPUTED_VALUE"""),0)</f>
        <v>0</v>
      </c>
      <c r="H1626" s="5">
        <f ca="1">IFERROR(__xludf.DUMMYFUNCTION("""COMPUTED_VALUE"""),1)</f>
        <v>1</v>
      </c>
      <c r="I1626" s="5">
        <f ca="1">IFERROR(__xludf.DUMMYFUNCTION("""COMPUTED_VALUE"""),1)</f>
        <v>1</v>
      </c>
      <c r="J1626" s="5">
        <f ca="1">IFERROR(__xludf.DUMMYFUNCTION("""COMPUTED_VALUE"""),0)</f>
        <v>0</v>
      </c>
      <c r="K1626" s="5" t="str">
        <f ca="1">IFERROR(__xludf.DUMMYFUNCTION("""COMPUTED_VALUE"""),"Lincoln Journal Star - Omaha Teen Grazed by Gunfire at School; https://www.columbine-angels.com/School_Violence_1999-2000.htm")</f>
        <v>Lincoln Journal Star - Omaha Teen Grazed by Gunfire at School; https://www.columbine-angels.com/School_Violence_1999-2000.htm</v>
      </c>
      <c r="L1626" s="5"/>
      <c r="M1626" s="5"/>
      <c r="N1626" s="5">
        <f ca="1">IFERROR(__xludf.DUMMYFUNCTION("""COMPUTED_VALUE"""),1)</f>
        <v>1</v>
      </c>
      <c r="O1626" s="5" t="str">
        <f ca="1">IFERROR(__xludf.DUMMYFUNCTION("""COMPUTED_VALUE"""),"Winter")</f>
        <v>Winter</v>
      </c>
      <c r="P1626" s="5" t="str">
        <f ca="1">IFERROR(__xludf.DUMMYFUNCTION("""COMPUTED_VALUE"""),"Omaha")</f>
        <v>Omaha</v>
      </c>
      <c r="Q1626" s="5" t="str">
        <f ca="1">IFERROR(__xludf.DUMMYFUNCTION("""COMPUTED_VALUE"""),"NE")</f>
        <v>NE</v>
      </c>
      <c r="R1626" s="5" t="str">
        <f ca="1">IFERROR(__xludf.DUMMYFUNCTION("""COMPUTED_VALUE"""),"High")</f>
        <v>High</v>
      </c>
      <c r="S1626" s="5" t="str">
        <f ca="1">IFERROR(__xludf.DUMMYFUNCTION("""COMPUTED_VALUE"""),"Front of School")</f>
        <v>Front of School</v>
      </c>
      <c r="T1626" s="5" t="str">
        <f ca="1">IFERROR(__xludf.DUMMYFUNCTION("""COMPUTED_VALUE"""),"Outside on School Property")</f>
        <v>Outside on School Property</v>
      </c>
      <c r="U1626" s="5" t="str">
        <f ca="1">IFERROR(__xludf.DUMMYFUNCTION("""COMPUTED_VALUE"""),"Yes")</f>
        <v>Yes</v>
      </c>
      <c r="V1626" s="5" t="str">
        <f ca="1">IFERROR(__xludf.DUMMYFUNCTION("""COMPUTED_VALUE"""),"Dismissal")</f>
        <v>Dismissal</v>
      </c>
      <c r="W1626" s="5"/>
      <c r="X1626" s="5">
        <f ca="1">IFERROR(__xludf.DUMMYFUNCTION("""COMPUTED_VALUE"""),1)</f>
        <v>1</v>
      </c>
      <c r="Y1626" s="5" t="str">
        <f ca="1">IFERROR(__xludf.DUMMYFUNCTION("""COMPUTED_VALUE"""),"Shooter targeted victim he was fighting with, missed and hit female student")</f>
        <v>Shooter targeted victim he was fighting with, missed and hit female student</v>
      </c>
      <c r="Z1626" s="5" t="str">
        <f ca="1">IFERROR(__xludf.DUMMYFUNCTION("""COMPUTED_VALUE"""),"Shooter fired at 17YOM student he had ongoing fight with as students lined up for the school buses. Shot missed striking a female student.")</f>
        <v>Shooter fired at 17YOM student he had ongoing fight with as students lined up for the school buses. Shot missed striking a female student.</v>
      </c>
      <c r="AA1626" s="5" t="str">
        <f ca="1">IFERROR(__xludf.DUMMYFUNCTION("""COMPUTED_VALUE"""),"Escalation of Dispute")</f>
        <v>Escalation of Dispute</v>
      </c>
      <c r="AB1626" s="5" t="str">
        <f ca="1">IFERROR(__xludf.DUMMYFUNCTION("""COMPUTED_VALUE"""),"Both")</f>
        <v>Both</v>
      </c>
      <c r="AC1626" s="5" t="str">
        <f ca="1">IFERROR(__xludf.DUMMYFUNCTION("""COMPUTED_VALUE"""),"No")</f>
        <v>No</v>
      </c>
      <c r="AD1626" s="5" t="str">
        <f ca="1">IFERROR(__xludf.DUMMYFUNCTION("""COMPUTED_VALUE"""),"No")</f>
        <v>No</v>
      </c>
      <c r="AE1626" s="5" t="str">
        <f ca="1">IFERROR(__xludf.DUMMYFUNCTION("""COMPUTED_VALUE"""),"No")</f>
        <v>No</v>
      </c>
      <c r="AF1626" s="5" t="str">
        <f ca="1">IFERROR(__xludf.DUMMYFUNCTION("""COMPUTED_VALUE"""),"No")</f>
        <v>No</v>
      </c>
      <c r="AG1626" s="5" t="str">
        <f ca="1">IFERROR(__xludf.DUMMYFUNCTION("""COMPUTED_VALUE"""),"No")</f>
        <v>No</v>
      </c>
      <c r="AH1626" s="5" t="str">
        <f ca="1">IFERROR(__xludf.DUMMYFUNCTION("""COMPUTED_VALUE"""),"No")</f>
        <v>No</v>
      </c>
      <c r="AI1626" s="5" t="str">
        <f ca="1">IFERROR(__xludf.DUMMYFUNCTION("""COMPUTED_VALUE"""),"No")</f>
        <v>No</v>
      </c>
      <c r="AJ1626" s="5"/>
    </row>
    <row r="1627" spans="1:36" ht="13">
      <c r="A1627" s="5" t="str">
        <f ca="1">IFERROR(__xludf.DUMMYFUNCTION("""COMPUTED_VALUE"""),"20000126CAALM")</f>
        <v>20000126CAALM</v>
      </c>
      <c r="B1627" s="5">
        <f ca="1">IFERROR(__xludf.DUMMYFUNCTION("""COMPUTED_VALUE"""),1)</f>
        <v>1</v>
      </c>
      <c r="C1627" s="5">
        <f ca="1">IFERROR(__xludf.DUMMYFUNCTION("""COMPUTED_VALUE"""),26)</f>
        <v>26</v>
      </c>
      <c r="D1627" s="5">
        <f ca="1">IFERROR(__xludf.DUMMYFUNCTION("""COMPUTED_VALUE"""),2000)</f>
        <v>2000</v>
      </c>
      <c r="E1627" s="8">
        <f ca="1">IFERROR(__xludf.DUMMYFUNCTION("""COMPUTED_VALUE"""),36551)</f>
        <v>36551</v>
      </c>
      <c r="F1627" s="5" t="str">
        <f ca="1">IFERROR(__xludf.DUMMYFUNCTION("""COMPUTED_VALUE"""),"Alicia Reyes Elementary School")</f>
        <v>Alicia Reyes Elementary School</v>
      </c>
      <c r="G1627" s="5">
        <f ca="1">IFERROR(__xludf.DUMMYFUNCTION("""COMPUTED_VALUE"""),0)</f>
        <v>0</v>
      </c>
      <c r="H1627" s="5">
        <f ca="1">IFERROR(__xludf.DUMMYFUNCTION("""COMPUTED_VALUE"""),0)</f>
        <v>0</v>
      </c>
      <c r="I1627" s="5">
        <f ca="1">IFERROR(__xludf.DUMMYFUNCTION("""COMPUTED_VALUE"""),0)</f>
        <v>0</v>
      </c>
      <c r="J1627" s="5">
        <f ca="1">IFERROR(__xludf.DUMMYFUNCTION("""COMPUTED_VALUE"""),0)</f>
        <v>0</v>
      </c>
      <c r="K1627" s="5" t="str">
        <f ca="1">IFERROR(__xludf.DUMMYFUNCTION("""COMPUTED_VALUE"""),"Fresno Bee - Dirty Looks Apparently Spark Shooting at Merced School, 13-Year-Old Boy Shot Twice at an Older Teen and Missed; https://www.columbine-angels.com/School_Violence_1999-2000.htm")</f>
        <v>Fresno Bee - Dirty Looks Apparently Spark Shooting at Merced School, 13-Year-Old Boy Shot Twice at an Older Teen and Missed; https://www.columbine-angels.com/School_Violence_1999-2000.htm</v>
      </c>
      <c r="L1627" s="5"/>
      <c r="M1627" s="5" t="str">
        <f ca="1">IFERROR(__xludf.DUMMYFUNCTION("""COMPUTED_VALUE"""),"Local")</f>
        <v>Local</v>
      </c>
      <c r="N1627" s="5">
        <f ca="1">IFERROR(__xludf.DUMMYFUNCTION("""COMPUTED_VALUE"""),1)</f>
        <v>1</v>
      </c>
      <c r="O1627" s="5" t="str">
        <f ca="1">IFERROR(__xludf.DUMMYFUNCTION("""COMPUTED_VALUE"""),"Winter")</f>
        <v>Winter</v>
      </c>
      <c r="P1627" s="5" t="str">
        <f ca="1">IFERROR(__xludf.DUMMYFUNCTION("""COMPUTED_VALUE"""),"Merced")</f>
        <v>Merced</v>
      </c>
      <c r="Q1627" s="5" t="str">
        <f ca="1">IFERROR(__xludf.DUMMYFUNCTION("""COMPUTED_VALUE"""),"CA")</f>
        <v>CA</v>
      </c>
      <c r="R1627" s="5" t="str">
        <f ca="1">IFERROR(__xludf.DUMMYFUNCTION("""COMPUTED_VALUE"""),"Elementary")</f>
        <v>Elementary</v>
      </c>
      <c r="S1627" s="5" t="str">
        <f ca="1">IFERROR(__xludf.DUMMYFUNCTION("""COMPUTED_VALUE"""),"Parking Lot")</f>
        <v>Parking Lot</v>
      </c>
      <c r="T1627" s="5" t="str">
        <f ca="1">IFERROR(__xludf.DUMMYFUNCTION("""COMPUTED_VALUE"""),"Outside on School Property")</f>
        <v>Outside on School Property</v>
      </c>
      <c r="U1627" s="5" t="str">
        <f ca="1">IFERROR(__xludf.DUMMYFUNCTION("""COMPUTED_VALUE"""),"Yes")</f>
        <v>Yes</v>
      </c>
      <c r="V1627" s="5" t="str">
        <f ca="1">IFERROR(__xludf.DUMMYFUNCTION("""COMPUTED_VALUE"""),"School Start")</f>
        <v>School Start</v>
      </c>
      <c r="W1627" s="10">
        <f ca="1">IFERROR(__xludf.DUMMYFUNCTION("""COMPUTED_VALUE"""),0.356944444444444)</f>
        <v>0.35694444444444401</v>
      </c>
      <c r="X1627" s="5">
        <f ca="1">IFERROR(__xludf.DUMMYFUNCTION("""COMPUTED_VALUE"""),1)</f>
        <v>1</v>
      </c>
      <c r="Y1627" s="5" t="str">
        <f ca="1">IFERROR(__xludf.DUMMYFUNCTION("""COMPUTED_VALUE"""),"Ongoing dispute that escalated")</f>
        <v>Ongoing dispute that escalated</v>
      </c>
      <c r="Z1627" s="5" t="str">
        <f ca="1">IFERROR(__xludf.DUMMYFUNCTION("""COMPUTED_VALUE"""),"13 year old student fired 5 shots at a 17 year old student inside a vehicle in the school parking lot. None of the shots struck anyone. Reported to be Ongoing dispute between students. Shooter immediately fled the scene and was arrested later.")</f>
        <v>13 year old student fired 5 shots at a 17 year old student inside a vehicle in the school parking lot. None of the shots struck anyone. Reported to be Ongoing dispute between students. Shooter immediately fled the scene and was arrested later.</v>
      </c>
      <c r="AA1627" s="5" t="str">
        <f ca="1">IFERROR(__xludf.DUMMYFUNCTION("""COMPUTED_VALUE"""),"Escalation of Dispute")</f>
        <v>Escalation of Dispute</v>
      </c>
      <c r="AB1627" s="5" t="str">
        <f ca="1">IFERROR(__xludf.DUMMYFUNCTION("""COMPUTED_VALUE"""),"Victims Targeted")</f>
        <v>Victims Targeted</v>
      </c>
      <c r="AC1627" s="5" t="str">
        <f ca="1">IFERROR(__xludf.DUMMYFUNCTION("""COMPUTED_VALUE"""),"No")</f>
        <v>No</v>
      </c>
      <c r="AD1627" s="5" t="str">
        <f ca="1">IFERROR(__xludf.DUMMYFUNCTION("""COMPUTED_VALUE"""),"No")</f>
        <v>No</v>
      </c>
      <c r="AE1627" s="5" t="str">
        <f ca="1">IFERROR(__xludf.DUMMYFUNCTION("""COMPUTED_VALUE"""),"No")</f>
        <v>No</v>
      </c>
      <c r="AF1627" s="5" t="str">
        <f ca="1">IFERROR(__xludf.DUMMYFUNCTION("""COMPUTED_VALUE"""),"No")</f>
        <v>No</v>
      </c>
      <c r="AG1627" s="5" t="str">
        <f ca="1">IFERROR(__xludf.DUMMYFUNCTION("""COMPUTED_VALUE"""),"Yes")</f>
        <v>Yes</v>
      </c>
      <c r="AH1627" s="5" t="str">
        <f ca="1">IFERROR(__xludf.DUMMYFUNCTION("""COMPUTED_VALUE"""),"No")</f>
        <v>No</v>
      </c>
      <c r="AI1627" s="5" t="str">
        <f ca="1">IFERROR(__xludf.DUMMYFUNCTION("""COMPUTED_VALUE"""),"No")</f>
        <v>No</v>
      </c>
      <c r="AJ1627" s="5"/>
    </row>
    <row r="1628" spans="1:36" ht="13">
      <c r="A1628" s="5" t="str">
        <f ca="1">IFERROR(__xludf.DUMMYFUNCTION("""COMPUTED_VALUE"""),"20000120NCERA")</f>
        <v>20000120NCERA</v>
      </c>
      <c r="B1628" s="5">
        <f ca="1">IFERROR(__xludf.DUMMYFUNCTION("""COMPUTED_VALUE"""),1)</f>
        <v>1</v>
      </c>
      <c r="C1628" s="5">
        <f ca="1">IFERROR(__xludf.DUMMYFUNCTION("""COMPUTED_VALUE"""),20)</f>
        <v>20</v>
      </c>
      <c r="D1628" s="5">
        <f ca="1">IFERROR(__xludf.DUMMYFUNCTION("""COMPUTED_VALUE"""),2000)</f>
        <v>2000</v>
      </c>
      <c r="E1628" s="8">
        <f ca="1">IFERROR(__xludf.DUMMYFUNCTION("""COMPUTED_VALUE"""),36545)</f>
        <v>36545</v>
      </c>
      <c r="F1628" s="5" t="str">
        <f ca="1">IFERROR(__xludf.DUMMYFUNCTION("""COMPUTED_VALUE"""),"Erwin High School")</f>
        <v>Erwin High School</v>
      </c>
      <c r="G1628" s="5">
        <f ca="1">IFERROR(__xludf.DUMMYFUNCTION("""COMPUTED_VALUE"""),0)</f>
        <v>0</v>
      </c>
      <c r="H1628" s="5">
        <f ca="1">IFERROR(__xludf.DUMMYFUNCTION("""COMPUTED_VALUE"""),0)</f>
        <v>0</v>
      </c>
      <c r="I1628" s="5">
        <f ca="1">IFERROR(__xludf.DUMMYFUNCTION("""COMPUTED_VALUE"""),0)</f>
        <v>0</v>
      </c>
      <c r="J1628" s="5">
        <f ca="1">IFERROR(__xludf.DUMMYFUNCTION("""COMPUTED_VALUE"""),0)</f>
        <v>0</v>
      </c>
      <c r="K1628" s="9" t="str">
        <f ca="1">IFERROR(__xludf.DUMMYFUNCTION("""COMPUTED_VALUE"""),"https://www.newspapers.com/image/197812875/?terms=Erwin%2BHigh%2BSchool%2Bshooting")</f>
        <v>https://www.newspapers.com/image/197812875/?terms=Erwin%2BHigh%2BSchool%2Bshooting</v>
      </c>
      <c r="L1628" s="5"/>
      <c r="M1628" s="5"/>
      <c r="N1628" s="5">
        <f ca="1">IFERROR(__xludf.DUMMYFUNCTION("""COMPUTED_VALUE"""),2)</f>
        <v>2</v>
      </c>
      <c r="O1628" s="5" t="str">
        <f ca="1">IFERROR(__xludf.DUMMYFUNCTION("""COMPUTED_VALUE"""),"Winter")</f>
        <v>Winter</v>
      </c>
      <c r="P1628" s="5" t="str">
        <f ca="1">IFERROR(__xludf.DUMMYFUNCTION("""COMPUTED_VALUE"""),"Asheville")</f>
        <v>Asheville</v>
      </c>
      <c r="Q1628" s="5" t="str">
        <f ca="1">IFERROR(__xludf.DUMMYFUNCTION("""COMPUTED_VALUE"""),"NC")</f>
        <v>NC</v>
      </c>
      <c r="R1628" s="5" t="str">
        <f ca="1">IFERROR(__xludf.DUMMYFUNCTION("""COMPUTED_VALUE"""),"High")</f>
        <v>High</v>
      </c>
      <c r="S1628" s="5" t="str">
        <f ca="1">IFERROR(__xludf.DUMMYFUNCTION("""COMPUTED_VALUE"""),"Gym")</f>
        <v>Gym</v>
      </c>
      <c r="T1628" s="5" t="str">
        <f ca="1">IFERROR(__xludf.DUMMYFUNCTION("""COMPUTED_VALUE"""),"Inside School Building")</f>
        <v>Inside School Building</v>
      </c>
      <c r="U1628" s="5" t="str">
        <f ca="1">IFERROR(__xludf.DUMMYFUNCTION("""COMPUTED_VALUE"""),"No")</f>
        <v>No</v>
      </c>
      <c r="V1628" s="5" t="str">
        <f ca="1">IFERROR(__xludf.DUMMYFUNCTION("""COMPUTED_VALUE"""),"Evening")</f>
        <v>Evening</v>
      </c>
      <c r="W1628" s="5"/>
      <c r="X1628" s="5"/>
      <c r="Y1628" s="5" t="str">
        <f ca="1">IFERROR(__xludf.DUMMYFUNCTION("""COMPUTED_VALUE"""),"Fired rifle into school building, made bomb threat")</f>
        <v>Fired rifle into school building, made bomb threat</v>
      </c>
      <c r="Z1628" s="5" t="str">
        <f ca="1">IFERROR(__xludf.DUMMYFUNCTION("""COMPUTED_VALUE"""),"17YOM dropout fired rifle into the school gym missing students inside. Shooter also made bomb threat. Three other students were charged with conspiracy to plan an attack.")</f>
        <v>17YOM dropout fired rifle into the school gym missing students inside. Shooter also made bomb threat. Three other students were charged with conspiracy to plan an attack.</v>
      </c>
      <c r="AA1628" s="5" t="str">
        <f ca="1">IFERROR(__xludf.DUMMYFUNCTION("""COMPUTED_VALUE"""),"Indiscriminate Shooting")</f>
        <v>Indiscriminate Shooting</v>
      </c>
      <c r="AB1628" s="5" t="str">
        <f ca="1">IFERROR(__xludf.DUMMYFUNCTION("""COMPUTED_VALUE"""),"Random Shooting")</f>
        <v>Random Shooting</v>
      </c>
      <c r="AC1628" s="5" t="str">
        <f ca="1">IFERROR(__xludf.DUMMYFUNCTION("""COMPUTED_VALUE"""),"Yes")</f>
        <v>Yes</v>
      </c>
      <c r="AD1628" s="5" t="str">
        <f ca="1">IFERROR(__xludf.DUMMYFUNCTION("""COMPUTED_VALUE"""),"No")</f>
        <v>No</v>
      </c>
      <c r="AE1628" s="5" t="str">
        <f ca="1">IFERROR(__xludf.DUMMYFUNCTION("""COMPUTED_VALUE"""),"No")</f>
        <v>No</v>
      </c>
      <c r="AF1628" s="5" t="str">
        <f ca="1">IFERROR(__xludf.DUMMYFUNCTION("""COMPUTED_VALUE"""),"No")</f>
        <v>No</v>
      </c>
      <c r="AG1628" s="5" t="str">
        <f ca="1">IFERROR(__xludf.DUMMYFUNCTION("""COMPUTED_VALUE"""),"No")</f>
        <v>No</v>
      </c>
      <c r="AH1628" s="5" t="str">
        <f ca="1">IFERROR(__xludf.DUMMYFUNCTION("""COMPUTED_VALUE"""),"No")</f>
        <v>No</v>
      </c>
      <c r="AI1628" s="5" t="str">
        <f ca="1">IFERROR(__xludf.DUMMYFUNCTION("""COMPUTED_VALUE"""),"No")</f>
        <v>No</v>
      </c>
      <c r="AJ1628" s="5" t="str">
        <f ca="1">IFERROR(__xludf.DUMMYFUNCTION("""COMPUTED_VALUE"""),"Yes")</f>
        <v>Yes</v>
      </c>
    </row>
    <row r="1629" spans="1:36" ht="13">
      <c r="A1629" s="5" t="str">
        <f ca="1">IFERROR(__xludf.DUMMYFUNCTION("""COMPUTED_VALUE"""),"20000119FLRIN")</f>
        <v>20000119FLRIN</v>
      </c>
      <c r="B1629" s="5">
        <f ca="1">IFERROR(__xludf.DUMMYFUNCTION("""COMPUTED_VALUE"""),1)</f>
        <v>1</v>
      </c>
      <c r="C1629" s="5">
        <f ca="1">IFERROR(__xludf.DUMMYFUNCTION("""COMPUTED_VALUE"""),19)</f>
        <v>19</v>
      </c>
      <c r="D1629" s="5">
        <f ca="1">IFERROR(__xludf.DUMMYFUNCTION("""COMPUTED_VALUE"""),2000)</f>
        <v>2000</v>
      </c>
      <c r="E1629" s="8">
        <f ca="1">IFERROR(__xludf.DUMMYFUNCTION("""COMPUTED_VALUE"""),36544)</f>
        <v>36544</v>
      </c>
      <c r="F1629" s="5" t="str">
        <f ca="1">IFERROR(__xludf.DUMMYFUNCTION("""COMPUTED_VALUE"""),"Ridgewood High School")</f>
        <v>Ridgewood High School</v>
      </c>
      <c r="G1629" s="5">
        <f ca="1">IFERROR(__xludf.DUMMYFUNCTION("""COMPUTED_VALUE"""),1)</f>
        <v>1</v>
      </c>
      <c r="H1629" s="5">
        <f ca="1">IFERROR(__xludf.DUMMYFUNCTION("""COMPUTED_VALUE"""),0)</f>
        <v>0</v>
      </c>
      <c r="I1629" s="5">
        <f ca="1">IFERROR(__xludf.DUMMYFUNCTION("""COMPUTED_VALUE"""),1)</f>
        <v>1</v>
      </c>
      <c r="J1629" s="5">
        <f ca="1">IFERROR(__xludf.DUMMYFUNCTION("""COMPUTED_VALUE"""),0)</f>
        <v>0</v>
      </c>
      <c r="K1629" s="9" t="str">
        <f ca="1">IFERROR(__xludf.DUMMYFUNCTION("""COMPUTED_VALUE"""),"http://www.tbo.com/pasco-county/teen-who-accidentally-shot-friend-lands-in-jail-as-adult-87255")</f>
        <v>http://www.tbo.com/pasco-county/teen-who-accidentally-shot-friend-lands-in-jail-as-adult-87255</v>
      </c>
      <c r="L1629" s="5"/>
      <c r="M1629" s="5"/>
      <c r="N1629" s="5">
        <f ca="1">IFERROR(__xludf.DUMMYFUNCTION("""COMPUTED_VALUE"""),2)</f>
        <v>2</v>
      </c>
      <c r="O1629" s="5" t="str">
        <f ca="1">IFERROR(__xludf.DUMMYFUNCTION("""COMPUTED_VALUE"""),"Winter")</f>
        <v>Winter</v>
      </c>
      <c r="P1629" s="5" t="str">
        <f ca="1">IFERROR(__xludf.DUMMYFUNCTION("""COMPUTED_VALUE"""),"New Port Richey")</f>
        <v>New Port Richey</v>
      </c>
      <c r="Q1629" s="5" t="str">
        <f ca="1">IFERROR(__xludf.DUMMYFUNCTION("""COMPUTED_VALUE"""),"FL")</f>
        <v>FL</v>
      </c>
      <c r="R1629" s="5" t="str">
        <f ca="1">IFERROR(__xludf.DUMMYFUNCTION("""COMPUTED_VALUE"""),"High")</f>
        <v>High</v>
      </c>
      <c r="S1629" s="5" t="str">
        <f ca="1">IFERROR(__xludf.DUMMYFUNCTION("""COMPUTED_VALUE"""),"Outside on School Property")</f>
        <v>Outside on School Property</v>
      </c>
      <c r="T1629" s="5" t="str">
        <f ca="1">IFERROR(__xludf.DUMMYFUNCTION("""COMPUTED_VALUE"""),"Outside on School Property")</f>
        <v>Outside on School Property</v>
      </c>
      <c r="U1629" s="5" t="str">
        <f ca="1">IFERROR(__xludf.DUMMYFUNCTION("""COMPUTED_VALUE"""),"Yes")</f>
        <v>Yes</v>
      </c>
      <c r="V1629" s="5" t="str">
        <f ca="1">IFERROR(__xludf.DUMMYFUNCTION("""COMPUTED_VALUE"""),"After School")</f>
        <v>After School</v>
      </c>
      <c r="W1629" s="10">
        <f ca="1">IFERROR(__xludf.DUMMYFUNCTION("""COMPUTED_VALUE"""),0.625)</f>
        <v>0.625</v>
      </c>
      <c r="X1629" s="5">
        <f ca="1">IFERROR(__xludf.DUMMYFUNCTION("""COMPUTED_VALUE"""),1)</f>
        <v>1</v>
      </c>
      <c r="Y1629" s="5" t="str">
        <f ca="1">IFERROR(__xludf.DUMMYFUNCTION("""COMPUTED_VALUE"""),"Accidental discharge while passing pistol to friend in parking lot")</f>
        <v>Accidental discharge while passing pistol to friend in parking lot</v>
      </c>
      <c r="Z1629" s="5" t="str">
        <f ca="1">IFERROR(__xludf.DUMMYFUNCTION("""COMPUTED_VALUE"""),"17YOM killed best friend when pistol he was passing to 16YOM student discharged. Students had been involved in burglaries where pistol was stolen.")</f>
        <v>17YOM killed best friend when pistol he was passing to 16YOM student discharged. Students had been involved in burglaries where pistol was stolen.</v>
      </c>
      <c r="AA1629" s="5" t="str">
        <f ca="1">IFERROR(__xludf.DUMMYFUNCTION("""COMPUTED_VALUE"""),"Accidental")</f>
        <v>Accidental</v>
      </c>
      <c r="AB1629" s="5" t="str">
        <f ca="1">IFERROR(__xludf.DUMMYFUNCTION("""COMPUTED_VALUE"""),"Random Shooting")</f>
        <v>Random Shooting</v>
      </c>
      <c r="AC1629" s="5" t="str">
        <f ca="1">IFERROR(__xludf.DUMMYFUNCTION("""COMPUTED_VALUE"""),"No")</f>
        <v>No</v>
      </c>
      <c r="AD1629" s="5" t="str">
        <f ca="1">IFERROR(__xludf.DUMMYFUNCTION("""COMPUTED_VALUE"""),"No")</f>
        <v>No</v>
      </c>
      <c r="AE1629" s="5" t="str">
        <f ca="1">IFERROR(__xludf.DUMMYFUNCTION("""COMPUTED_VALUE"""),"No")</f>
        <v>No</v>
      </c>
      <c r="AF1629" s="5" t="str">
        <f ca="1">IFERROR(__xludf.DUMMYFUNCTION("""COMPUTED_VALUE"""),"No")</f>
        <v>No</v>
      </c>
      <c r="AG1629" s="5" t="str">
        <f ca="1">IFERROR(__xludf.DUMMYFUNCTION("""COMPUTED_VALUE"""),"No")</f>
        <v>No</v>
      </c>
      <c r="AH1629" s="5" t="str">
        <f ca="1">IFERROR(__xludf.DUMMYFUNCTION("""COMPUTED_VALUE"""),"No")</f>
        <v>No</v>
      </c>
      <c r="AI1629" s="5" t="str">
        <f ca="1">IFERROR(__xludf.DUMMYFUNCTION("""COMPUTED_VALUE"""),"No")</f>
        <v>No</v>
      </c>
      <c r="AJ1629" s="5"/>
    </row>
    <row r="1630" spans="1:36" ht="13">
      <c r="A1630" s="5" t="str">
        <f ca="1">IFERROR(__xludf.DUMMYFUNCTION("""COMPUTED_VALUE"""),"20000113NMALA")</f>
        <v>20000113NMALA</v>
      </c>
      <c r="B1630" s="5">
        <f ca="1">IFERROR(__xludf.DUMMYFUNCTION("""COMPUTED_VALUE"""),1)</f>
        <v>1</v>
      </c>
      <c r="C1630" s="5">
        <f ca="1">IFERROR(__xludf.DUMMYFUNCTION("""COMPUTED_VALUE"""),13)</f>
        <v>13</v>
      </c>
      <c r="D1630" s="5">
        <f ca="1">IFERROR(__xludf.DUMMYFUNCTION("""COMPUTED_VALUE"""),2000)</f>
        <v>2000</v>
      </c>
      <c r="E1630" s="8">
        <f ca="1">IFERROR(__xludf.DUMMYFUNCTION("""COMPUTED_VALUE"""),36538)</f>
        <v>36538</v>
      </c>
      <c r="F1630" s="5" t="str">
        <f ca="1">IFERROR(__xludf.DUMMYFUNCTION("""COMPUTED_VALUE"""),"Albuquerque High School")</f>
        <v>Albuquerque High School</v>
      </c>
      <c r="G1630" s="5">
        <f ca="1">IFERROR(__xludf.DUMMYFUNCTION("""COMPUTED_VALUE"""),0)</f>
        <v>0</v>
      </c>
      <c r="H1630" s="5">
        <f ca="1">IFERROR(__xludf.DUMMYFUNCTION("""COMPUTED_VALUE"""),0)</f>
        <v>0</v>
      </c>
      <c r="I1630" s="5">
        <f ca="1">IFERROR(__xludf.DUMMYFUNCTION("""COMPUTED_VALUE"""),0)</f>
        <v>0</v>
      </c>
      <c r="J1630" s="5">
        <f ca="1">IFERROR(__xludf.DUMMYFUNCTION("""COMPUTED_VALUE"""),0)</f>
        <v>0</v>
      </c>
      <c r="K1630" s="9" t="str">
        <f ca="1">IFERROR(__xludf.DUMMYFUNCTION("""COMPUTED_VALUE"""),"https://www.newspapers.com/image/342081991/?terms=Albuquerque%2BHigh%2BSchool%2Bshooting")</f>
        <v>https://www.newspapers.com/image/342081991/?terms=Albuquerque%2BHigh%2BSchool%2Bshooting</v>
      </c>
      <c r="L1630" s="5"/>
      <c r="M1630" s="5"/>
      <c r="N1630" s="5">
        <f ca="1">IFERROR(__xludf.DUMMYFUNCTION("""COMPUTED_VALUE"""),2)</f>
        <v>2</v>
      </c>
      <c r="O1630" s="5" t="str">
        <f ca="1">IFERROR(__xludf.DUMMYFUNCTION("""COMPUTED_VALUE"""),"Winter")</f>
        <v>Winter</v>
      </c>
      <c r="P1630" s="5" t="str">
        <f ca="1">IFERROR(__xludf.DUMMYFUNCTION("""COMPUTED_VALUE"""),"Albuquerque")</f>
        <v>Albuquerque</v>
      </c>
      <c r="Q1630" s="5" t="str">
        <f ca="1">IFERROR(__xludf.DUMMYFUNCTION("""COMPUTED_VALUE"""),"NM")</f>
        <v>NM</v>
      </c>
      <c r="R1630" s="5" t="str">
        <f ca="1">IFERROR(__xludf.DUMMYFUNCTION("""COMPUTED_VALUE"""),"High")</f>
        <v>High</v>
      </c>
      <c r="S1630" s="5" t="str">
        <f ca="1">IFERROR(__xludf.DUMMYFUNCTION("""COMPUTED_VALUE"""),"Parking Lot")</f>
        <v>Parking Lot</v>
      </c>
      <c r="T1630" s="5" t="str">
        <f ca="1">IFERROR(__xludf.DUMMYFUNCTION("""COMPUTED_VALUE"""),"Outside on School Property")</f>
        <v>Outside on School Property</v>
      </c>
      <c r="U1630" s="5" t="str">
        <f ca="1">IFERROR(__xludf.DUMMYFUNCTION("""COMPUTED_VALUE"""),"Yes")</f>
        <v>Yes</v>
      </c>
      <c r="V1630" s="5" t="str">
        <f ca="1">IFERROR(__xludf.DUMMYFUNCTION("""COMPUTED_VALUE"""),"Lunch")</f>
        <v>Lunch</v>
      </c>
      <c r="W1630" s="10">
        <f ca="1">IFERROR(__xludf.DUMMYFUNCTION("""COMPUTED_VALUE"""),0.520833333333333)</f>
        <v>0.52083333333333304</v>
      </c>
      <c r="X1630" s="5">
        <f ca="1">IFERROR(__xludf.DUMMYFUNCTION("""COMPUTED_VALUE"""),1)</f>
        <v>1</v>
      </c>
      <c r="Y1630" s="5" t="str">
        <f ca="1">IFERROR(__xludf.DUMMYFUNCTION("""COMPUTED_VALUE"""),"Four students from another high school involved in fight in parking lot, shots fired")</f>
        <v>Four students from another high school involved in fight in parking lot, shots fired</v>
      </c>
      <c r="Z1630" s="5" t="str">
        <f ca="1">IFERROR(__xludf.DUMMYFUNCTION("""COMPUTED_VALUE"""),"4 students from another high school (West Mesa) were involved in a fight with Albuquerque High School students in the parking lot at lunch. 5 shots were fired and the students fled the scene in a car.")</f>
        <v>4 students from another high school (West Mesa) were involved in a fight with Albuquerque High School students in the parking lot at lunch. 5 shots were fired and the students fled the scene in a car.</v>
      </c>
      <c r="AA1630" s="5" t="str">
        <f ca="1">IFERROR(__xludf.DUMMYFUNCTION("""COMPUTED_VALUE"""),"Escalation of Dispute")</f>
        <v>Escalation of Dispute</v>
      </c>
      <c r="AB1630" s="5" t="str">
        <f ca="1">IFERROR(__xludf.DUMMYFUNCTION("""COMPUTED_VALUE"""),"Victims Targeted")</f>
        <v>Victims Targeted</v>
      </c>
      <c r="AC1630" s="5" t="str">
        <f ca="1">IFERROR(__xludf.DUMMYFUNCTION("""COMPUTED_VALUE"""),"Yes")</f>
        <v>Yes</v>
      </c>
      <c r="AD1630" s="5" t="str">
        <f ca="1">IFERROR(__xludf.DUMMYFUNCTION("""COMPUTED_VALUE"""),"No")</f>
        <v>No</v>
      </c>
      <c r="AE1630" s="5" t="str">
        <f ca="1">IFERROR(__xludf.DUMMYFUNCTION("""COMPUTED_VALUE"""),"No")</f>
        <v>No</v>
      </c>
      <c r="AF1630" s="5" t="str">
        <f ca="1">IFERROR(__xludf.DUMMYFUNCTION("""COMPUTED_VALUE"""),"No")</f>
        <v>No</v>
      </c>
      <c r="AG1630" s="5" t="str">
        <f ca="1">IFERROR(__xludf.DUMMYFUNCTION("""COMPUTED_VALUE"""),"No")</f>
        <v>No</v>
      </c>
      <c r="AH1630" s="5" t="str">
        <f ca="1">IFERROR(__xludf.DUMMYFUNCTION("""COMPUTED_VALUE"""),"No")</f>
        <v>No</v>
      </c>
      <c r="AI1630" s="5" t="str">
        <f ca="1">IFERROR(__xludf.DUMMYFUNCTION("""COMPUTED_VALUE"""),"Yes")</f>
        <v>Yes</v>
      </c>
      <c r="AJ1630" s="5"/>
    </row>
    <row r="1631" spans="1:36" ht="13">
      <c r="A1631" s="5" t="str">
        <f ca="1">IFERROR(__xludf.DUMMYFUNCTION("""COMPUTED_VALUE"""),"20000110AKBAA")</f>
        <v>20000110AKBAA</v>
      </c>
      <c r="B1631" s="5">
        <f ca="1">IFERROR(__xludf.DUMMYFUNCTION("""COMPUTED_VALUE"""),1)</f>
        <v>1</v>
      </c>
      <c r="C1631" s="5">
        <f ca="1">IFERROR(__xludf.DUMMYFUNCTION("""COMPUTED_VALUE"""),10)</f>
        <v>10</v>
      </c>
      <c r="D1631" s="5">
        <f ca="1">IFERROR(__xludf.DUMMYFUNCTION("""COMPUTED_VALUE"""),2000)</f>
        <v>2000</v>
      </c>
      <c r="E1631" s="8">
        <f ca="1">IFERROR(__xludf.DUMMYFUNCTION("""COMPUTED_VALUE"""),36535)</f>
        <v>36535</v>
      </c>
      <c r="F1631" s="5" t="str">
        <f ca="1">IFERROR(__xludf.DUMMYFUNCTION("""COMPUTED_VALUE"""),"Bartlett High School")</f>
        <v>Bartlett High School</v>
      </c>
      <c r="G1631" s="5">
        <f ca="1">IFERROR(__xludf.DUMMYFUNCTION("""COMPUTED_VALUE"""),0)</f>
        <v>0</v>
      </c>
      <c r="H1631" s="5">
        <f ca="1">IFERROR(__xludf.DUMMYFUNCTION("""COMPUTED_VALUE"""),0)</f>
        <v>0</v>
      </c>
      <c r="I1631" s="5">
        <f ca="1">IFERROR(__xludf.DUMMYFUNCTION("""COMPUTED_VALUE"""),0)</f>
        <v>0</v>
      </c>
      <c r="J1631" s="5">
        <f ca="1">IFERROR(__xludf.DUMMYFUNCTION("""COMPUTED_VALUE"""),0)</f>
        <v>0</v>
      </c>
      <c r="K1631" s="5" t="str">
        <f ca="1">IFERROR(__xludf.DUMMYFUNCTION("""COMPUTED_VALUE"""),"Anchorage Daily News - Fight Leads to Gunshots at School; Anchorage Daily News - Teen Faces Felonies in School Shooting; https://www.columbine-angels.com/School_Violence_1999-2000.htm")</f>
        <v>Anchorage Daily News - Fight Leads to Gunshots at School; Anchorage Daily News - Teen Faces Felonies in School Shooting; https://www.columbine-angels.com/School_Violence_1999-2000.htm</v>
      </c>
      <c r="L1631" s="5"/>
      <c r="M1631" s="5"/>
      <c r="N1631" s="5">
        <f ca="1">IFERROR(__xludf.DUMMYFUNCTION("""COMPUTED_VALUE"""),1)</f>
        <v>1</v>
      </c>
      <c r="O1631" s="5" t="str">
        <f ca="1">IFERROR(__xludf.DUMMYFUNCTION("""COMPUTED_VALUE"""),"Winter")</f>
        <v>Winter</v>
      </c>
      <c r="P1631" s="5" t="str">
        <f ca="1">IFERROR(__xludf.DUMMYFUNCTION("""COMPUTED_VALUE"""),"Anchorage")</f>
        <v>Anchorage</v>
      </c>
      <c r="Q1631" s="5" t="str">
        <f ca="1">IFERROR(__xludf.DUMMYFUNCTION("""COMPUTED_VALUE"""),"AK")</f>
        <v>AK</v>
      </c>
      <c r="R1631" s="5" t="str">
        <f ca="1">IFERROR(__xludf.DUMMYFUNCTION("""COMPUTED_VALUE"""),"High")</f>
        <v>High</v>
      </c>
      <c r="S1631" s="5" t="str">
        <f ca="1">IFERROR(__xludf.DUMMYFUNCTION("""COMPUTED_VALUE"""),"Beside Building")</f>
        <v>Beside Building</v>
      </c>
      <c r="T1631" s="5" t="str">
        <f ca="1">IFERROR(__xludf.DUMMYFUNCTION("""COMPUTED_VALUE"""),"Outside on School Property")</f>
        <v>Outside on School Property</v>
      </c>
      <c r="U1631" s="5" t="str">
        <f ca="1">IFERROR(__xludf.DUMMYFUNCTION("""COMPUTED_VALUE"""),"No")</f>
        <v>No</v>
      </c>
      <c r="V1631" s="5" t="str">
        <f ca="1">IFERROR(__xludf.DUMMYFUNCTION("""COMPUTED_VALUE"""),"After School")</f>
        <v>After School</v>
      </c>
      <c r="W1631" s="5"/>
      <c r="X1631" s="5">
        <f ca="1">IFERROR(__xludf.DUMMYFUNCTION("""COMPUTED_VALUE"""),1)</f>
        <v>1</v>
      </c>
      <c r="Y1631" s="5" t="str">
        <f ca="1">IFERROR(__xludf.DUMMYFUNCTION("""COMPUTED_VALUE"""),"Fight between students, shooter fired two shots that missed target and fled")</f>
        <v>Fight between students, shooter fired two shots that missed target and fled</v>
      </c>
      <c r="Z1631" s="5" t="str">
        <f ca="1">IFERROR(__xludf.DUMMYFUNCTION("""COMPUTED_VALUE"""),"Fight between 2 16YOM students behind the school. One student pulled a handgun, fired two shots that missed, and fled the scene. Shooter was arrested later and charged with felony.")</f>
        <v>Fight between 2 16YOM students behind the school. One student pulled a handgun, fired two shots that missed, and fled the scene. Shooter was arrested later and charged with felony.</v>
      </c>
      <c r="AA1631" s="5" t="str">
        <f ca="1">IFERROR(__xludf.DUMMYFUNCTION("""COMPUTED_VALUE"""),"Escalation of Dispute")</f>
        <v>Escalation of Dispute</v>
      </c>
      <c r="AB1631" s="5" t="str">
        <f ca="1">IFERROR(__xludf.DUMMYFUNCTION("""COMPUTED_VALUE"""),"Victims Targeted")</f>
        <v>Victims Targeted</v>
      </c>
      <c r="AC1631" s="5" t="str">
        <f ca="1">IFERROR(__xludf.DUMMYFUNCTION("""COMPUTED_VALUE"""),"No")</f>
        <v>No</v>
      </c>
      <c r="AD1631" s="5" t="str">
        <f ca="1">IFERROR(__xludf.DUMMYFUNCTION("""COMPUTED_VALUE"""),"No")</f>
        <v>No</v>
      </c>
      <c r="AE1631" s="5" t="str">
        <f ca="1">IFERROR(__xludf.DUMMYFUNCTION("""COMPUTED_VALUE"""),"No")</f>
        <v>No</v>
      </c>
      <c r="AF1631" s="5" t="str">
        <f ca="1">IFERROR(__xludf.DUMMYFUNCTION("""COMPUTED_VALUE"""),"No")</f>
        <v>No</v>
      </c>
      <c r="AG1631" s="5" t="str">
        <f ca="1">IFERROR(__xludf.DUMMYFUNCTION("""COMPUTED_VALUE"""),"No")</f>
        <v>No</v>
      </c>
      <c r="AH1631" s="5" t="str">
        <f ca="1">IFERROR(__xludf.DUMMYFUNCTION("""COMPUTED_VALUE"""),"No")</f>
        <v>No</v>
      </c>
      <c r="AI1631" s="5" t="str">
        <f ca="1">IFERROR(__xludf.DUMMYFUNCTION("""COMPUTED_VALUE"""),"No")</f>
        <v>No</v>
      </c>
      <c r="AJ1631" s="5"/>
    </row>
    <row r="1632" spans="1:36" ht="13">
      <c r="A1632" s="5" t="str">
        <f ca="1">IFERROR(__xludf.DUMMYFUNCTION("""COMPUTED_VALUE"""),"19991206OKFOF")</f>
        <v>19991206OKFOF</v>
      </c>
      <c r="B1632" s="5">
        <f ca="1">IFERROR(__xludf.DUMMYFUNCTION("""COMPUTED_VALUE"""),12)</f>
        <v>12</v>
      </c>
      <c r="C1632" s="5">
        <f ca="1">IFERROR(__xludf.DUMMYFUNCTION("""COMPUTED_VALUE"""),6)</f>
        <v>6</v>
      </c>
      <c r="D1632" s="5">
        <f ca="1">IFERROR(__xludf.DUMMYFUNCTION("""COMPUTED_VALUE"""),1999)</f>
        <v>1999</v>
      </c>
      <c r="E1632" s="8">
        <f ca="1">IFERROR(__xludf.DUMMYFUNCTION("""COMPUTED_VALUE"""),36500)</f>
        <v>36500</v>
      </c>
      <c r="F1632" s="5" t="str">
        <f ca="1">IFERROR(__xludf.DUMMYFUNCTION("""COMPUTED_VALUE"""),"Fort Gibson Middle School")</f>
        <v>Fort Gibson Middle School</v>
      </c>
      <c r="G1632" s="5">
        <f ca="1">IFERROR(__xludf.DUMMYFUNCTION("""COMPUTED_VALUE"""),0)</f>
        <v>0</v>
      </c>
      <c r="H1632" s="5">
        <f ca="1">IFERROR(__xludf.DUMMYFUNCTION("""COMPUTED_VALUE"""),5)</f>
        <v>5</v>
      </c>
      <c r="I1632" s="5">
        <f ca="1">IFERROR(__xludf.DUMMYFUNCTION("""COMPUTED_VALUE"""),5)</f>
        <v>5</v>
      </c>
      <c r="J1632" s="5">
        <f ca="1">IFERROR(__xludf.DUMMYFUNCTION("""COMPUTED_VALUE"""),0)</f>
        <v>0</v>
      </c>
      <c r="K1632" s="5" t="str">
        <f ca="1">IFERROR(__xludf.DUMMYFUNCTION("""COMPUTED_VALUE"""),"http://www.tulsaworld.com/archives/seth-trickey-s-release-final-judge-declares/article_55d68afa-e3c4-54f4-be09-9ec128f7b662.html https://tulsaworld.com/archive/seth-trickeys-release-final-judge-declares/article_55d68afa-e3c4-54f4-be09-9ec128f7b662.html ht"&amp;"tps://tulsaworld.com/news/local/a-dark-day-for-fort-gibson-school-shooting-now-18-years-old-but-still-vivid/article_0f51d05b-999c-575f-bff6-6465404a9d24.html")</f>
        <v>http://www.tulsaworld.com/archives/seth-trickey-s-release-final-judge-declares/article_55d68afa-e3c4-54f4-be09-9ec128f7b662.html https://tulsaworld.com/archive/seth-trickeys-release-final-judge-declares/article_55d68afa-e3c4-54f4-be09-9ec128f7b662.html https://tulsaworld.com/news/local/a-dark-day-for-fort-gibson-school-shooting-now-18-years-old-but-still-vivid/article_0f51d05b-999c-575f-bff6-6465404a9d24.html</v>
      </c>
      <c r="L1632" s="5"/>
      <c r="M1632" s="5"/>
      <c r="N1632" s="5">
        <f ca="1">IFERROR(__xludf.DUMMYFUNCTION("""COMPUTED_VALUE"""),5)</f>
        <v>5</v>
      </c>
      <c r="O1632" s="5" t="str">
        <f ca="1">IFERROR(__xludf.DUMMYFUNCTION("""COMPUTED_VALUE"""),"Winter")</f>
        <v>Winter</v>
      </c>
      <c r="P1632" s="5" t="str">
        <f ca="1">IFERROR(__xludf.DUMMYFUNCTION("""COMPUTED_VALUE"""),"Fort Gibson")</f>
        <v>Fort Gibson</v>
      </c>
      <c r="Q1632" s="5" t="str">
        <f ca="1">IFERROR(__xludf.DUMMYFUNCTION("""COMPUTED_VALUE"""),"OK")</f>
        <v>OK</v>
      </c>
      <c r="R1632" s="5" t="str">
        <f ca="1">IFERROR(__xludf.DUMMYFUNCTION("""COMPUTED_VALUE"""),"Middle")</f>
        <v>Middle</v>
      </c>
      <c r="S1632" s="5" t="str">
        <f ca="1">IFERROR(__xludf.DUMMYFUNCTION("""COMPUTED_VALUE"""),"Front of School")</f>
        <v>Front of School</v>
      </c>
      <c r="T1632" s="5" t="str">
        <f ca="1">IFERROR(__xludf.DUMMYFUNCTION("""COMPUTED_VALUE"""),"Outside on School Property")</f>
        <v>Outside on School Property</v>
      </c>
      <c r="U1632" s="5" t="str">
        <f ca="1">IFERROR(__xludf.DUMMYFUNCTION("""COMPUTED_VALUE"""),"Yes")</f>
        <v>Yes</v>
      </c>
      <c r="V1632" s="5" t="str">
        <f ca="1">IFERROR(__xludf.DUMMYFUNCTION("""COMPUTED_VALUE"""),"School Start")</f>
        <v>School Start</v>
      </c>
      <c r="W1632" s="10">
        <f ca="1">IFERROR(__xludf.DUMMYFUNCTION("""COMPUTED_VALUE"""),0.322916666666666)</f>
        <v>0.32291666666666602</v>
      </c>
      <c r="X1632" s="5">
        <f ca="1">IFERROR(__xludf.DUMMYFUNCTION("""COMPUTED_VALUE"""),1)</f>
        <v>1</v>
      </c>
      <c r="Y1632" s="5" t="str">
        <f ca="1">IFERROR(__xludf.DUMMYFUNCTION("""COMPUTED_VALUE"""),"Fired shots at the crowd outside of the school, tackled by SRO and teacher, inspired by Columbine")</f>
        <v>Fired shots at the crowd outside of the school, tackled by SRO and teacher, inspired by Columbine</v>
      </c>
      <c r="Z1632" s="5" t="str">
        <f ca="1">IFERROR(__xludf.DUMMYFUNCTION("""COMPUTED_VALUE"""),"Shooter was straight A student with lots of friend and no prior mental health issues or history of violence. Shooter fired 13 rounds from a handgun into the crowd of students outside of the school just prior to the school day starting. Did not have any ta"&amp;"rgets or know any the students he fired at. He was tackled by a teacher and police officer. Shooter had been reading about the Columbine shooting. In court he said that he did not know why he committed the shooting. Released from juvenile custody when he "&amp;"was 18 and attended college.")</f>
        <v>Shooter was straight A student with lots of friend and no prior mental health issues or history of violence. Shooter fired 13 rounds from a handgun into the crowd of students outside of the school just prior to the school day starting. Did not have any targets or know any the students he fired at. He was tackled by a teacher and police officer. Shooter had been reading about the Columbine shooting. In court he said that he did not know why he committed the shooting. Released from juvenile custody when he was 18 and attended college.</v>
      </c>
      <c r="AA1632" s="5" t="str">
        <f ca="1">IFERROR(__xludf.DUMMYFUNCTION("""COMPUTED_VALUE"""),"Indiscriminate Shooting")</f>
        <v>Indiscriminate Shooting</v>
      </c>
      <c r="AB1632" s="5" t="str">
        <f ca="1">IFERROR(__xludf.DUMMYFUNCTION("""COMPUTED_VALUE"""),"Random Shooting")</f>
        <v>Random Shooting</v>
      </c>
      <c r="AC1632" s="5" t="str">
        <f ca="1">IFERROR(__xludf.DUMMYFUNCTION("""COMPUTED_VALUE"""),"No")</f>
        <v>No</v>
      </c>
      <c r="AD1632" s="5" t="str">
        <f ca="1">IFERROR(__xludf.DUMMYFUNCTION("""COMPUTED_VALUE"""),"No")</f>
        <v>No</v>
      </c>
      <c r="AE1632" s="5" t="str">
        <f ca="1">IFERROR(__xludf.DUMMYFUNCTION("""COMPUTED_VALUE"""),"No")</f>
        <v>No</v>
      </c>
      <c r="AF1632" s="5" t="str">
        <f ca="1">IFERROR(__xludf.DUMMYFUNCTION("""COMPUTED_VALUE"""),"No")</f>
        <v>No</v>
      </c>
      <c r="AG1632" s="5" t="str">
        <f ca="1">IFERROR(__xludf.DUMMYFUNCTION("""COMPUTED_VALUE"""),"No")</f>
        <v>No</v>
      </c>
      <c r="AH1632" s="5" t="str">
        <f ca="1">IFERROR(__xludf.DUMMYFUNCTION("""COMPUTED_VALUE"""),"No")</f>
        <v>No</v>
      </c>
      <c r="AI1632" s="5" t="str">
        <f ca="1">IFERROR(__xludf.DUMMYFUNCTION("""COMPUTED_VALUE"""),"No")</f>
        <v>No</v>
      </c>
      <c r="AJ1632" s="5" t="str">
        <f ca="1">IFERROR(__xludf.DUMMYFUNCTION("""COMPUTED_VALUE"""),"Yes")</f>
        <v>Yes</v>
      </c>
    </row>
    <row r="1633" spans="1:36" ht="13">
      <c r="A1633" s="5" t="str">
        <f ca="1">IFERROR(__xludf.DUMMYFUNCTION("""COMPUTED_VALUE"""),"19991119NMDED")</f>
        <v>19991119NMDED</v>
      </c>
      <c r="B1633" s="5">
        <f ca="1">IFERROR(__xludf.DUMMYFUNCTION("""COMPUTED_VALUE"""),11)</f>
        <v>11</v>
      </c>
      <c r="C1633" s="5">
        <f ca="1">IFERROR(__xludf.DUMMYFUNCTION("""COMPUTED_VALUE"""),19)</f>
        <v>19</v>
      </c>
      <c r="D1633" s="5">
        <f ca="1">IFERROR(__xludf.DUMMYFUNCTION("""COMPUTED_VALUE"""),1999)</f>
        <v>1999</v>
      </c>
      <c r="E1633" s="8">
        <f ca="1">IFERROR(__xludf.DUMMYFUNCTION("""COMPUTED_VALUE"""),36483)</f>
        <v>36483</v>
      </c>
      <c r="F1633" s="5" t="str">
        <f ca="1">IFERROR(__xludf.DUMMYFUNCTION("""COMPUTED_VALUE"""),"Deming Middle School")</f>
        <v>Deming Middle School</v>
      </c>
      <c r="G1633" s="5">
        <f ca="1">IFERROR(__xludf.DUMMYFUNCTION("""COMPUTED_VALUE"""),1)</f>
        <v>1</v>
      </c>
      <c r="H1633" s="5">
        <f ca="1">IFERROR(__xludf.DUMMYFUNCTION("""COMPUTED_VALUE"""),0)</f>
        <v>0</v>
      </c>
      <c r="I1633" s="5">
        <f ca="1">IFERROR(__xludf.DUMMYFUNCTION("""COMPUTED_VALUE"""),1)</f>
        <v>1</v>
      </c>
      <c r="J1633" s="5">
        <f ca="1">IFERROR(__xludf.DUMMYFUNCTION("""COMPUTED_VALUE"""),0)</f>
        <v>0</v>
      </c>
      <c r="K1633" s="9" t="str">
        <f ca="1">IFERROR(__xludf.DUMMYFUNCTION("""COMPUTED_VALUE"""),"https://www.abqjournal.com/news/state/apteen10-12-04.htm")</f>
        <v>https://www.abqjournal.com/news/state/apteen10-12-04.htm</v>
      </c>
      <c r="L1633" s="5"/>
      <c r="M1633" s="5"/>
      <c r="N1633" s="5">
        <f ca="1">IFERROR(__xludf.DUMMYFUNCTION("""COMPUTED_VALUE"""),2)</f>
        <v>2</v>
      </c>
      <c r="O1633" s="5" t="str">
        <f ca="1">IFERROR(__xludf.DUMMYFUNCTION("""COMPUTED_VALUE"""),"Fall")</f>
        <v>Fall</v>
      </c>
      <c r="P1633" s="5" t="str">
        <f ca="1">IFERROR(__xludf.DUMMYFUNCTION("""COMPUTED_VALUE"""),"Deming")</f>
        <v>Deming</v>
      </c>
      <c r="Q1633" s="5" t="str">
        <f ca="1">IFERROR(__xludf.DUMMYFUNCTION("""COMPUTED_VALUE"""),"NM")</f>
        <v>NM</v>
      </c>
      <c r="R1633" s="5" t="str">
        <f ca="1">IFERROR(__xludf.DUMMYFUNCTION("""COMPUTED_VALUE"""),"Middle")</f>
        <v>Middle</v>
      </c>
      <c r="S1633" s="5" t="str">
        <f ca="1">IFERROR(__xludf.DUMMYFUNCTION("""COMPUTED_VALUE"""),"Outside on School Property")</f>
        <v>Outside on School Property</v>
      </c>
      <c r="T1633" s="5" t="str">
        <f ca="1">IFERROR(__xludf.DUMMYFUNCTION("""COMPUTED_VALUE"""),"Outside on School Property")</f>
        <v>Outside on School Property</v>
      </c>
      <c r="U1633" s="5" t="str">
        <f ca="1">IFERROR(__xludf.DUMMYFUNCTION("""COMPUTED_VALUE"""),"Yes")</f>
        <v>Yes</v>
      </c>
      <c r="V1633" s="5" t="str">
        <f ca="1">IFERROR(__xludf.DUMMYFUNCTION("""COMPUTED_VALUE"""),"Lunch")</f>
        <v>Lunch</v>
      </c>
      <c r="W1633" s="10">
        <f ca="1">IFERROR(__xludf.DUMMYFUNCTION("""COMPUTED_VALUE"""),0.53125)</f>
        <v>0.53125</v>
      </c>
      <c r="X1633" s="5">
        <f ca="1">IFERROR(__xludf.DUMMYFUNCTION("""COMPUTED_VALUE"""),1)</f>
        <v>1</v>
      </c>
      <c r="Y1633" s="5" t="str">
        <f ca="1">IFERROR(__xludf.DUMMYFUNCTION("""COMPUTED_VALUE"""),"Fired shot and then surrendered to school officials")</f>
        <v>Fired shot and then surrendered to school officials</v>
      </c>
      <c r="Z1633" s="5" t="str">
        <f ca="1">IFERROR(__xludf.DUMMYFUNCTION("""COMPUTED_VALUE"""),"Shooter pulled out a handgun and fired a single close range shot striking a 13 YOF student in the head. Shooter was immediately confronted by school officials and surrendered to police. No motive was established. Due to New Mexico's juvenile laws, the max"&amp;" sentence was 2 years. The shooter was arrested at 17 for drug trafficking on the Mexico border.")</f>
        <v>Shooter pulled out a handgun and fired a single close range shot striking a 13 YOF student in the head. Shooter was immediately confronted by school officials and surrendered to police. No motive was established. Due to New Mexico's juvenile laws, the max sentence was 2 years. The shooter was arrested at 17 for drug trafficking on the Mexico border.</v>
      </c>
      <c r="AA1633" s="5" t="str">
        <f ca="1">IFERROR(__xludf.DUMMYFUNCTION("""COMPUTED_VALUE"""),"Unknown")</f>
        <v>Unknown</v>
      </c>
      <c r="AB1633" s="5" t="str">
        <f ca="1">IFERROR(__xludf.DUMMYFUNCTION("""COMPUTED_VALUE"""),"Victims Targeted")</f>
        <v>Victims Targeted</v>
      </c>
      <c r="AC1633" s="5"/>
      <c r="AD1633" s="5" t="str">
        <f ca="1">IFERROR(__xludf.DUMMYFUNCTION("""COMPUTED_VALUE"""),"No")</f>
        <v>No</v>
      </c>
      <c r="AE1633" s="5" t="str">
        <f ca="1">IFERROR(__xludf.DUMMYFUNCTION("""COMPUTED_VALUE"""),"No")</f>
        <v>No</v>
      </c>
      <c r="AF1633" s="5" t="str">
        <f ca="1">IFERROR(__xludf.DUMMYFUNCTION("""COMPUTED_VALUE"""),"No")</f>
        <v>No</v>
      </c>
      <c r="AG1633" s="5" t="str">
        <f ca="1">IFERROR(__xludf.DUMMYFUNCTION("""COMPUTED_VALUE"""),"No")</f>
        <v>No</v>
      </c>
      <c r="AH1633" s="5" t="str">
        <f ca="1">IFERROR(__xludf.DUMMYFUNCTION("""COMPUTED_VALUE"""),"No")</f>
        <v>No</v>
      </c>
      <c r="AI1633" s="5" t="str">
        <f ca="1">IFERROR(__xludf.DUMMYFUNCTION("""COMPUTED_VALUE"""),"No")</f>
        <v>No</v>
      </c>
      <c r="AJ1633" s="5" t="str">
        <f ca="1">IFERROR(__xludf.DUMMYFUNCTION("""COMPUTED_VALUE"""),"Yes")</f>
        <v>Yes</v>
      </c>
    </row>
    <row r="1634" spans="1:36" ht="13">
      <c r="A1634" s="5" t="str">
        <f ca="1">IFERROR(__xludf.DUMMYFUNCTION("""COMPUTED_VALUE"""),"19991117TXDID")</f>
        <v>19991117TXDID</v>
      </c>
      <c r="B1634" s="5">
        <f ca="1">IFERROR(__xludf.DUMMYFUNCTION("""COMPUTED_VALUE"""),11)</f>
        <v>11</v>
      </c>
      <c r="C1634" s="5">
        <f ca="1">IFERROR(__xludf.DUMMYFUNCTION("""COMPUTED_VALUE"""),17)</f>
        <v>17</v>
      </c>
      <c r="D1634" s="5">
        <f ca="1">IFERROR(__xludf.DUMMYFUNCTION("""COMPUTED_VALUE"""),1999)</f>
        <v>1999</v>
      </c>
      <c r="E1634" s="8">
        <f ca="1">IFERROR(__xludf.DUMMYFUNCTION("""COMPUTED_VALUE"""),36481)</f>
        <v>36481</v>
      </c>
      <c r="F1634" s="5" t="str">
        <f ca="1">IFERROR(__xludf.DUMMYFUNCTION("""COMPUTED_VALUE"""),"Dickinson High School")</f>
        <v>Dickinson High School</v>
      </c>
      <c r="G1634" s="5">
        <f ca="1">IFERROR(__xludf.DUMMYFUNCTION("""COMPUTED_VALUE"""),0)</f>
        <v>0</v>
      </c>
      <c r="H1634" s="5">
        <f ca="1">IFERROR(__xludf.DUMMYFUNCTION("""COMPUTED_VALUE"""),1)</f>
        <v>1</v>
      </c>
      <c r="I1634" s="5">
        <f ca="1">IFERROR(__xludf.DUMMYFUNCTION("""COMPUTED_VALUE"""),1)</f>
        <v>1</v>
      </c>
      <c r="J1634" s="5">
        <f ca="1">IFERROR(__xludf.DUMMYFUNCTION("""COMPUTED_VALUE"""),0)</f>
        <v>0</v>
      </c>
      <c r="K1634" s="9" t="str">
        <f ca="1">IFERROR(__xludf.DUMMYFUNCTION("""COMPUTED_VALUE"""),"https://www.newspapers.com/image/13325920/?terms=Dickinson%2BHigh%2BSchool%2Bshooting")</f>
        <v>https://www.newspapers.com/image/13325920/?terms=Dickinson%2BHigh%2BSchool%2Bshooting</v>
      </c>
      <c r="L1634" s="5"/>
      <c r="M1634" s="5"/>
      <c r="N1634" s="5">
        <f ca="1">IFERROR(__xludf.DUMMYFUNCTION("""COMPUTED_VALUE"""),2)</f>
        <v>2</v>
      </c>
      <c r="O1634" s="5" t="str">
        <f ca="1">IFERROR(__xludf.DUMMYFUNCTION("""COMPUTED_VALUE"""),"Fall")</f>
        <v>Fall</v>
      </c>
      <c r="P1634" s="5" t="str">
        <f ca="1">IFERROR(__xludf.DUMMYFUNCTION("""COMPUTED_VALUE"""),"Dickinson")</f>
        <v>Dickinson</v>
      </c>
      <c r="Q1634" s="5" t="str">
        <f ca="1">IFERROR(__xludf.DUMMYFUNCTION("""COMPUTED_VALUE"""),"TX")</f>
        <v>TX</v>
      </c>
      <c r="R1634" s="5" t="str">
        <f ca="1">IFERROR(__xludf.DUMMYFUNCTION("""COMPUTED_VALUE"""),"High")</f>
        <v>High</v>
      </c>
      <c r="S1634" s="5" t="str">
        <f ca="1">IFERROR(__xludf.DUMMYFUNCTION("""COMPUTED_VALUE"""),"Bathroom")</f>
        <v>Bathroom</v>
      </c>
      <c r="T1634" s="5" t="str">
        <f ca="1">IFERROR(__xludf.DUMMYFUNCTION("""COMPUTED_VALUE"""),"Inside School Building")</f>
        <v>Inside School Building</v>
      </c>
      <c r="U1634" s="5" t="str">
        <f ca="1">IFERROR(__xludf.DUMMYFUNCTION("""COMPUTED_VALUE"""),"Yes")</f>
        <v>Yes</v>
      </c>
      <c r="V1634" s="5" t="str">
        <f ca="1">IFERROR(__xludf.DUMMYFUNCTION("""COMPUTED_VALUE"""),"Before School")</f>
        <v>Before School</v>
      </c>
      <c r="W1634" s="10">
        <f ca="1">IFERROR(__xludf.DUMMYFUNCTION("""COMPUTED_VALUE"""),0.333333333333333)</f>
        <v>0.33333333333333298</v>
      </c>
      <c r="X1634" s="5">
        <f ca="1">IFERROR(__xludf.DUMMYFUNCTION("""COMPUTED_VALUE"""),1)</f>
        <v>1</v>
      </c>
      <c r="Y1634" s="5" t="str">
        <f ca="1">IFERROR(__xludf.DUMMYFUNCTION("""COMPUTED_VALUE"""),"Showing off gun in bathroom, accidental discharge")</f>
        <v>Showing off gun in bathroom, accidental discharge</v>
      </c>
      <c r="Z1634" s="5" t="str">
        <f ca="1">IFERROR(__xludf.DUMMYFUNCTION("""COMPUTED_VALUE"""),"16YOM was showing off gun in bathroom. Accidental discharge struck a 15YOM in the head. 16YOM and other 14YOM fled the scene. Ditched the gun in a nearby apartment complex and returned to school. Arrested 2.5 hours later.")</f>
        <v>16YOM was showing off gun in bathroom. Accidental discharge struck a 15YOM in the head. 16YOM and other 14YOM fled the scene. Ditched the gun in a nearby apartment complex and returned to school. Arrested 2.5 hours later.</v>
      </c>
      <c r="AA1634" s="5" t="str">
        <f ca="1">IFERROR(__xludf.DUMMYFUNCTION("""COMPUTED_VALUE"""),"Accidental")</f>
        <v>Accidental</v>
      </c>
      <c r="AB1634" s="5" t="str">
        <f ca="1">IFERROR(__xludf.DUMMYFUNCTION("""COMPUTED_VALUE"""),"Random Shooting")</f>
        <v>Random Shooting</v>
      </c>
      <c r="AC1634" s="5" t="str">
        <f ca="1">IFERROR(__xludf.DUMMYFUNCTION("""COMPUTED_VALUE"""),"Yes")</f>
        <v>Yes</v>
      </c>
      <c r="AD1634" s="5" t="str">
        <f ca="1">IFERROR(__xludf.DUMMYFUNCTION("""COMPUTED_VALUE"""),"No")</f>
        <v>No</v>
      </c>
      <c r="AE1634" s="5" t="str">
        <f ca="1">IFERROR(__xludf.DUMMYFUNCTION("""COMPUTED_VALUE"""),"No")</f>
        <v>No</v>
      </c>
      <c r="AF1634" s="5" t="str">
        <f ca="1">IFERROR(__xludf.DUMMYFUNCTION("""COMPUTED_VALUE"""),"No")</f>
        <v>No</v>
      </c>
      <c r="AG1634" s="5" t="str">
        <f ca="1">IFERROR(__xludf.DUMMYFUNCTION("""COMPUTED_VALUE"""),"No")</f>
        <v>No</v>
      </c>
      <c r="AH1634" s="5" t="str">
        <f ca="1">IFERROR(__xludf.DUMMYFUNCTION("""COMPUTED_VALUE"""),"No")</f>
        <v>No</v>
      </c>
      <c r="AI1634" s="5" t="str">
        <f ca="1">IFERROR(__xludf.DUMMYFUNCTION("""COMPUTED_VALUE"""),"No")</f>
        <v>No</v>
      </c>
      <c r="AJ1634" s="5"/>
    </row>
    <row r="1635" spans="1:36" ht="13">
      <c r="A1635" s="5" t="str">
        <f ca="1">IFERROR(__xludf.DUMMYFUNCTION("""COMPUTED_VALUE"""),"19991026PAMAP")</f>
        <v>19991026PAMAP</v>
      </c>
      <c r="B1635" s="5">
        <f ca="1">IFERROR(__xludf.DUMMYFUNCTION("""COMPUTED_VALUE"""),10)</f>
        <v>10</v>
      </c>
      <c r="C1635" s="5">
        <f ca="1">IFERROR(__xludf.DUMMYFUNCTION("""COMPUTED_VALUE"""),26)</f>
        <v>26</v>
      </c>
      <c r="D1635" s="5">
        <f ca="1">IFERROR(__xludf.DUMMYFUNCTION("""COMPUTED_VALUE"""),1999)</f>
        <v>1999</v>
      </c>
      <c r="E1635" s="8">
        <f ca="1">IFERROR(__xludf.DUMMYFUNCTION("""COMPUTED_VALUE"""),36459)</f>
        <v>36459</v>
      </c>
      <c r="F1635" s="5" t="str">
        <f ca="1">IFERROR(__xludf.DUMMYFUNCTION("""COMPUTED_VALUE"""),"Martin Luther King High School")</f>
        <v>Martin Luther King High School</v>
      </c>
      <c r="G1635" s="5">
        <f ca="1">IFERROR(__xludf.DUMMYFUNCTION("""COMPUTED_VALUE"""),1)</f>
        <v>1</v>
      </c>
      <c r="H1635" s="5">
        <f ca="1">IFERROR(__xludf.DUMMYFUNCTION("""COMPUTED_VALUE"""),0)</f>
        <v>0</v>
      </c>
      <c r="I1635" s="5">
        <f ca="1">IFERROR(__xludf.DUMMYFUNCTION("""COMPUTED_VALUE"""),1)</f>
        <v>1</v>
      </c>
      <c r="J1635" s="5">
        <f ca="1">IFERROR(__xludf.DUMMYFUNCTION("""COMPUTED_VALUE"""),0)</f>
        <v>0</v>
      </c>
      <c r="K1635" s="9" t="str">
        <f ca="1">IFERROR(__xludf.DUMMYFUNCTION("""COMPUTED_VALUE"""),"https://www.newspapers.com/image/184629441/?terms=shooting%2BDonald%2BMcNeil")</f>
        <v>https://www.newspapers.com/image/184629441/?terms=shooting%2BDonald%2BMcNeil</v>
      </c>
      <c r="L1635" s="5"/>
      <c r="M1635" s="5"/>
      <c r="N1635" s="5">
        <f ca="1">IFERROR(__xludf.DUMMYFUNCTION("""COMPUTED_VALUE"""),2)</f>
        <v>2</v>
      </c>
      <c r="O1635" s="5" t="str">
        <f ca="1">IFERROR(__xludf.DUMMYFUNCTION("""COMPUTED_VALUE"""),"Fall")</f>
        <v>Fall</v>
      </c>
      <c r="P1635" s="5" t="str">
        <f ca="1">IFERROR(__xludf.DUMMYFUNCTION("""COMPUTED_VALUE"""),"Philadelphia")</f>
        <v>Philadelphia</v>
      </c>
      <c r="Q1635" s="5" t="str">
        <f ca="1">IFERROR(__xludf.DUMMYFUNCTION("""COMPUTED_VALUE"""),"PA")</f>
        <v>PA</v>
      </c>
      <c r="R1635" s="5" t="str">
        <f ca="1">IFERROR(__xludf.DUMMYFUNCTION("""COMPUTED_VALUE"""),"High")</f>
        <v>High</v>
      </c>
      <c r="S1635" s="5" t="str">
        <f ca="1">IFERROR(__xludf.DUMMYFUNCTION("""COMPUTED_VALUE"""),"Beside Building")</f>
        <v>Beside Building</v>
      </c>
      <c r="T1635" s="5" t="str">
        <f ca="1">IFERROR(__xludf.DUMMYFUNCTION("""COMPUTED_VALUE"""),"Outside on School Property")</f>
        <v>Outside on School Property</v>
      </c>
      <c r="U1635" s="5" t="str">
        <f ca="1">IFERROR(__xludf.DUMMYFUNCTION("""COMPUTED_VALUE"""),"Yes")</f>
        <v>Yes</v>
      </c>
      <c r="V1635" s="5" t="str">
        <f ca="1">IFERROR(__xludf.DUMMYFUNCTION("""COMPUTED_VALUE"""),"Afternoon Classes")</f>
        <v>Afternoon Classes</v>
      </c>
      <c r="W1635" s="10">
        <f ca="1">IFERROR(__xludf.DUMMYFUNCTION("""COMPUTED_VALUE"""),0.5625)</f>
        <v>0.5625</v>
      </c>
      <c r="X1635" s="5">
        <f ca="1">IFERROR(__xludf.DUMMYFUNCTION("""COMPUTED_VALUE"""),1)</f>
        <v>1</v>
      </c>
      <c r="Y1635" s="5" t="str">
        <f ca="1">IFERROR(__xludf.DUMMYFUNCTION("""COMPUTED_VALUE"""),"Shooter thought victim had insulted his girlfriend")</f>
        <v>Shooter thought victim had insulted his girlfriend</v>
      </c>
      <c r="Z1635" s="5" t="str">
        <f ca="1">IFERROR(__xludf.DUMMYFUNCTION("""COMPUTED_VALUE"""),"19YOM former student shot 16YOM outside of the school. Shooter believed the victim had insulted his girlfriend. A 17YOM dropout was also charged with helping to plan the murder.")</f>
        <v>19YOM former student shot 16YOM outside of the school. Shooter believed the victim had insulted his girlfriend. A 17YOM dropout was also charged with helping to plan the murder.</v>
      </c>
      <c r="AA1635" s="5" t="str">
        <f ca="1">IFERROR(__xludf.DUMMYFUNCTION("""COMPUTED_VALUE"""),"Escalation of Dispute")</f>
        <v>Escalation of Dispute</v>
      </c>
      <c r="AB1635" s="5" t="str">
        <f ca="1">IFERROR(__xludf.DUMMYFUNCTION("""COMPUTED_VALUE"""),"Victims Targeted")</f>
        <v>Victims Targeted</v>
      </c>
      <c r="AC1635" s="5" t="str">
        <f ca="1">IFERROR(__xludf.DUMMYFUNCTION("""COMPUTED_VALUE"""),"Yes")</f>
        <v>Yes</v>
      </c>
      <c r="AD1635" s="5" t="str">
        <f ca="1">IFERROR(__xludf.DUMMYFUNCTION("""COMPUTED_VALUE"""),"No")</f>
        <v>No</v>
      </c>
      <c r="AE1635" s="5" t="str">
        <f ca="1">IFERROR(__xludf.DUMMYFUNCTION("""COMPUTED_VALUE"""),"No")</f>
        <v>No</v>
      </c>
      <c r="AF1635" s="5" t="str">
        <f ca="1">IFERROR(__xludf.DUMMYFUNCTION("""COMPUTED_VALUE"""),"No")</f>
        <v>No</v>
      </c>
      <c r="AG1635" s="5" t="str">
        <f ca="1">IFERROR(__xludf.DUMMYFUNCTION("""COMPUTED_VALUE"""),"No")</f>
        <v>No</v>
      </c>
      <c r="AH1635" s="5" t="str">
        <f ca="1">IFERROR(__xludf.DUMMYFUNCTION("""COMPUTED_VALUE"""),"No")</f>
        <v>No</v>
      </c>
      <c r="AI1635" s="5" t="str">
        <f ca="1">IFERROR(__xludf.DUMMYFUNCTION("""COMPUTED_VALUE"""),"No")</f>
        <v>No</v>
      </c>
      <c r="AJ1635" s="5"/>
    </row>
    <row r="1636" spans="1:36" ht="13">
      <c r="A1636" s="5" t="str">
        <f ca="1">IFERROR(__xludf.DUMMYFUNCTION("""COMPUTED_VALUE"""),"19991026WVGUB")</f>
        <v>19991026WVGUB</v>
      </c>
      <c r="B1636" s="5">
        <f ca="1">IFERROR(__xludf.DUMMYFUNCTION("""COMPUTED_VALUE"""),10)</f>
        <v>10</v>
      </c>
      <c r="C1636" s="5">
        <f ca="1">IFERROR(__xludf.DUMMYFUNCTION("""COMPUTED_VALUE"""),26)</f>
        <v>26</v>
      </c>
      <c r="D1636" s="5">
        <f ca="1">IFERROR(__xludf.DUMMYFUNCTION("""COMPUTED_VALUE"""),1999)</f>
        <v>1999</v>
      </c>
      <c r="E1636" s="8">
        <f ca="1">IFERROR(__xludf.DUMMYFUNCTION("""COMPUTED_VALUE"""),36459)</f>
        <v>36459</v>
      </c>
      <c r="F1636" s="5" t="str">
        <f ca="1">IFERROR(__xludf.DUMMYFUNCTION("""COMPUTED_VALUE"""),"Guyan Valley High School")</f>
        <v>Guyan Valley High School</v>
      </c>
      <c r="G1636" s="5">
        <f ca="1">IFERROR(__xludf.DUMMYFUNCTION("""COMPUTED_VALUE"""),1)</f>
        <v>1</v>
      </c>
      <c r="H1636" s="5">
        <f ca="1">IFERROR(__xludf.DUMMYFUNCTION("""COMPUTED_VALUE"""),0)</f>
        <v>0</v>
      </c>
      <c r="I1636" s="5">
        <f ca="1">IFERROR(__xludf.DUMMYFUNCTION("""COMPUTED_VALUE"""),1)</f>
        <v>1</v>
      </c>
      <c r="J1636" s="5">
        <f ca="1">IFERROR(__xludf.DUMMYFUNCTION("""COMPUTED_VALUE"""),1)</f>
        <v>1</v>
      </c>
      <c r="K1636" s="9" t="str">
        <f ca="1">IFERROR(__xludf.DUMMYFUNCTION("""COMPUTED_VALUE"""),"https://www.newspapers.com/image/220395374/?terms=Guyan%2BValley%2BHigh%2BSchool")</f>
        <v>https://www.newspapers.com/image/220395374/?terms=Guyan%2BValley%2BHigh%2BSchool</v>
      </c>
      <c r="L1636" s="5"/>
      <c r="M1636" s="5"/>
      <c r="N1636" s="5">
        <f ca="1">IFERROR(__xludf.DUMMYFUNCTION("""COMPUTED_VALUE"""),2)</f>
        <v>2</v>
      </c>
      <c r="O1636" s="5" t="str">
        <f ca="1">IFERROR(__xludf.DUMMYFUNCTION("""COMPUTED_VALUE"""),"Fall")</f>
        <v>Fall</v>
      </c>
      <c r="P1636" s="5" t="str">
        <f ca="1">IFERROR(__xludf.DUMMYFUNCTION("""COMPUTED_VALUE"""),"Branchland")</f>
        <v>Branchland</v>
      </c>
      <c r="Q1636" s="5" t="str">
        <f ca="1">IFERROR(__xludf.DUMMYFUNCTION("""COMPUTED_VALUE"""),"WV")</f>
        <v>WV</v>
      </c>
      <c r="R1636" s="5" t="str">
        <f ca="1">IFERROR(__xludf.DUMMYFUNCTION("""COMPUTED_VALUE"""),"High")</f>
        <v>High</v>
      </c>
      <c r="S1636" s="5" t="str">
        <f ca="1">IFERROR(__xludf.DUMMYFUNCTION("""COMPUTED_VALUE"""),"Outside on School Property")</f>
        <v>Outside on School Property</v>
      </c>
      <c r="T1636" s="5" t="str">
        <f ca="1">IFERROR(__xludf.DUMMYFUNCTION("""COMPUTED_VALUE"""),"Outside on School Property")</f>
        <v>Outside on School Property</v>
      </c>
      <c r="U1636" s="5" t="str">
        <f ca="1">IFERROR(__xludf.DUMMYFUNCTION("""COMPUTED_VALUE"""),"No")</f>
        <v>No</v>
      </c>
      <c r="V1636" s="5" t="str">
        <f ca="1">IFERROR(__xludf.DUMMYFUNCTION("""COMPUTED_VALUE"""),"Before School")</f>
        <v>Before School</v>
      </c>
      <c r="W1636" s="10">
        <f ca="1">IFERROR(__xludf.DUMMYFUNCTION("""COMPUTED_VALUE"""),0.256944444444444)</f>
        <v>0.25694444444444398</v>
      </c>
      <c r="X1636" s="5"/>
      <c r="Y1636" s="5" t="str">
        <f ca="1">IFERROR(__xludf.DUMMYFUNCTION("""COMPUTED_VALUE"""),"Bus driver killed janitor then self (believed wife was having affair)")</f>
        <v>Bus driver killed janitor then self (believed wife was having affair)</v>
      </c>
      <c r="Z1636" s="5" t="str">
        <f ca="1">IFERROR(__xludf.DUMMYFUNCTION("""COMPUTED_VALUE"""),"Bus driver believed the custodian was having an affair with his wife. Killed him early in the morning at the school then drove away and killed himself.")</f>
        <v>Bus driver believed the custodian was having an affair with his wife. Killed him early in the morning at the school then drove away and killed himself.</v>
      </c>
      <c r="AA1636" s="5" t="str">
        <f ca="1">IFERROR(__xludf.DUMMYFUNCTION("""COMPUTED_VALUE"""),"Domestic w/ Targeted Victim")</f>
        <v>Domestic w/ Targeted Victim</v>
      </c>
      <c r="AB1636" s="5" t="str">
        <f ca="1">IFERROR(__xludf.DUMMYFUNCTION("""COMPUTED_VALUE"""),"Victims Targeted")</f>
        <v>Victims Targeted</v>
      </c>
      <c r="AC1636" s="5" t="str">
        <f ca="1">IFERROR(__xludf.DUMMYFUNCTION("""COMPUTED_VALUE"""),"No")</f>
        <v>No</v>
      </c>
      <c r="AD1636" s="5" t="str">
        <f ca="1">IFERROR(__xludf.DUMMYFUNCTION("""COMPUTED_VALUE"""),"No")</f>
        <v>No</v>
      </c>
      <c r="AE1636" s="5" t="str">
        <f ca="1">IFERROR(__xludf.DUMMYFUNCTION("""COMPUTED_VALUE"""),"No")</f>
        <v>No</v>
      </c>
      <c r="AF1636" s="5" t="str">
        <f ca="1">IFERROR(__xludf.DUMMYFUNCTION("""COMPUTED_VALUE"""),"No")</f>
        <v>No</v>
      </c>
      <c r="AG1636" s="5" t="str">
        <f ca="1">IFERROR(__xludf.DUMMYFUNCTION("""COMPUTED_VALUE"""),"No")</f>
        <v>No</v>
      </c>
      <c r="AH1636" s="5" t="str">
        <f ca="1">IFERROR(__xludf.DUMMYFUNCTION("""COMPUTED_VALUE"""),"Yes")</f>
        <v>Yes</v>
      </c>
      <c r="AI1636" s="5" t="str">
        <f ca="1">IFERROR(__xludf.DUMMYFUNCTION("""COMPUTED_VALUE"""),"No")</f>
        <v>No</v>
      </c>
      <c r="AJ1636" s="5"/>
    </row>
    <row r="1637" spans="1:36" ht="13">
      <c r="A1637" s="5" t="str">
        <f ca="1">IFERROR(__xludf.DUMMYFUNCTION("""COMPUTED_VALUE"""),"19991021CASAP")</f>
        <v>19991021CASAP</v>
      </c>
      <c r="B1637" s="5">
        <f ca="1">IFERROR(__xludf.DUMMYFUNCTION("""COMPUTED_VALUE"""),10)</f>
        <v>10</v>
      </c>
      <c r="C1637" s="5">
        <f ca="1">IFERROR(__xludf.DUMMYFUNCTION("""COMPUTED_VALUE"""),21)</f>
        <v>21</v>
      </c>
      <c r="D1637" s="5">
        <f ca="1">IFERROR(__xludf.DUMMYFUNCTION("""COMPUTED_VALUE"""),1999)</f>
        <v>1999</v>
      </c>
      <c r="E1637" s="8">
        <f ca="1">IFERROR(__xludf.DUMMYFUNCTION("""COMPUTED_VALUE"""),36454)</f>
        <v>36454</v>
      </c>
      <c r="F1637" s="5" t="str">
        <f ca="1">IFERROR(__xludf.DUMMYFUNCTION("""COMPUTED_VALUE"""),"San Fernando High School")</f>
        <v>San Fernando High School</v>
      </c>
      <c r="G1637" s="5">
        <f ca="1">IFERROR(__xludf.DUMMYFUNCTION("""COMPUTED_VALUE"""),0)</f>
        <v>0</v>
      </c>
      <c r="H1637" s="5">
        <f ca="1">IFERROR(__xludf.DUMMYFUNCTION("""COMPUTED_VALUE"""),1)</f>
        <v>1</v>
      </c>
      <c r="I1637" s="5">
        <f ca="1">IFERROR(__xludf.DUMMYFUNCTION("""COMPUTED_VALUE"""),1)</f>
        <v>1</v>
      </c>
      <c r="J1637" s="5">
        <f ca="1">IFERROR(__xludf.DUMMYFUNCTION("""COMPUTED_VALUE"""),0)</f>
        <v>0</v>
      </c>
      <c r="K1637" s="9" t="str">
        <f ca="1">IFERROR(__xludf.DUMMYFUNCTION("""COMPUTED_VALUE"""),"http://articles.latimes.com/1999/oct/22/local/me-24932")</f>
        <v>http://articles.latimes.com/1999/oct/22/local/me-24932</v>
      </c>
      <c r="L1637" s="5"/>
      <c r="M1637" s="5"/>
      <c r="N1637" s="5">
        <f ca="1">IFERROR(__xludf.DUMMYFUNCTION("""COMPUTED_VALUE"""),2)</f>
        <v>2</v>
      </c>
      <c r="O1637" s="5" t="str">
        <f ca="1">IFERROR(__xludf.DUMMYFUNCTION("""COMPUTED_VALUE"""),"Fall")</f>
        <v>Fall</v>
      </c>
      <c r="P1637" s="5" t="str">
        <f ca="1">IFERROR(__xludf.DUMMYFUNCTION("""COMPUTED_VALUE"""),"Pacoima")</f>
        <v>Pacoima</v>
      </c>
      <c r="Q1637" s="5" t="str">
        <f ca="1">IFERROR(__xludf.DUMMYFUNCTION("""COMPUTED_VALUE"""),"CA")</f>
        <v>CA</v>
      </c>
      <c r="R1637" s="5" t="str">
        <f ca="1">IFERROR(__xludf.DUMMYFUNCTION("""COMPUTED_VALUE"""),"High")</f>
        <v>High</v>
      </c>
      <c r="S1637" s="5" t="str">
        <f ca="1">IFERROR(__xludf.DUMMYFUNCTION("""COMPUTED_VALUE"""),"Beside Building")</f>
        <v>Beside Building</v>
      </c>
      <c r="T1637" s="5" t="str">
        <f ca="1">IFERROR(__xludf.DUMMYFUNCTION("""COMPUTED_VALUE"""),"Outside on School Property")</f>
        <v>Outside on School Property</v>
      </c>
      <c r="U1637" s="5" t="str">
        <f ca="1">IFERROR(__xludf.DUMMYFUNCTION("""COMPUTED_VALUE"""),"No")</f>
        <v>No</v>
      </c>
      <c r="V1637" s="5" t="str">
        <f ca="1">IFERROR(__xludf.DUMMYFUNCTION("""COMPUTED_VALUE"""),"After School")</f>
        <v>After School</v>
      </c>
      <c r="W1637" s="10">
        <f ca="1">IFERROR(__xludf.DUMMYFUNCTION("""COMPUTED_VALUE"""),0.611111111111111)</f>
        <v>0.61111111111111105</v>
      </c>
      <c r="X1637" s="5">
        <f ca="1">IFERROR(__xludf.DUMMYFUNCTION("""COMPUTED_VALUE"""),1)</f>
        <v>1</v>
      </c>
      <c r="Y1637" s="5" t="str">
        <f ca="1">IFERROR(__xludf.DUMMYFUNCTION("""COMPUTED_VALUE"""),"Student shot by group of multiple students outside of school")</f>
        <v>Student shot by group of multiple students outside of school</v>
      </c>
      <c r="Z1637" s="5" t="str">
        <f ca="1">IFERROR(__xludf.DUMMYFUNCTION("""COMPUTED_VALUE"""),"17YOM student standing outside of school was approached by a group of teens. Multiple shots were fired and the student was seriously injured. Group of teens fled and were not identified.")</f>
        <v>17YOM student standing outside of school was approached by a group of teens. Multiple shots were fired and the student was seriously injured. Group of teens fled and were not identified.</v>
      </c>
      <c r="AA1637" s="5" t="str">
        <f ca="1">IFERROR(__xludf.DUMMYFUNCTION("""COMPUTED_VALUE"""),"Escalation of Dispute")</f>
        <v>Escalation of Dispute</v>
      </c>
      <c r="AB1637" s="5" t="str">
        <f ca="1">IFERROR(__xludf.DUMMYFUNCTION("""COMPUTED_VALUE"""),"Victims Targeted")</f>
        <v>Victims Targeted</v>
      </c>
      <c r="AC1637" s="5" t="str">
        <f ca="1">IFERROR(__xludf.DUMMYFUNCTION("""COMPUTED_VALUE"""),"Yes")</f>
        <v>Yes</v>
      </c>
      <c r="AD1637" s="5" t="str">
        <f ca="1">IFERROR(__xludf.DUMMYFUNCTION("""COMPUTED_VALUE"""),"No")</f>
        <v>No</v>
      </c>
      <c r="AE1637" s="5" t="str">
        <f ca="1">IFERROR(__xludf.DUMMYFUNCTION("""COMPUTED_VALUE"""),"No")</f>
        <v>No</v>
      </c>
      <c r="AF1637" s="5" t="str">
        <f ca="1">IFERROR(__xludf.DUMMYFUNCTION("""COMPUTED_VALUE"""),"No")</f>
        <v>No</v>
      </c>
      <c r="AG1637" s="5" t="str">
        <f ca="1">IFERROR(__xludf.DUMMYFUNCTION("""COMPUTED_VALUE"""),"No")</f>
        <v>No</v>
      </c>
      <c r="AH1637" s="5" t="str">
        <f ca="1">IFERROR(__xludf.DUMMYFUNCTION("""COMPUTED_VALUE"""),"No")</f>
        <v>No</v>
      </c>
      <c r="AI1637" s="5"/>
      <c r="AJ1637" s="5"/>
    </row>
    <row r="1638" spans="1:36" ht="13">
      <c r="A1638" s="5" t="str">
        <f ca="1">IFERROR(__xludf.DUMMYFUNCTION("""COMPUTED_VALUE"""),"19991011NVCLL")</f>
        <v>19991011NVCLL</v>
      </c>
      <c r="B1638" s="5">
        <f ca="1">IFERROR(__xludf.DUMMYFUNCTION("""COMPUTED_VALUE"""),10)</f>
        <v>10</v>
      </c>
      <c r="C1638" s="5">
        <f ca="1">IFERROR(__xludf.DUMMYFUNCTION("""COMPUTED_VALUE"""),11)</f>
        <v>11</v>
      </c>
      <c r="D1638" s="5">
        <f ca="1">IFERROR(__xludf.DUMMYFUNCTION("""COMPUTED_VALUE"""),1999)</f>
        <v>1999</v>
      </c>
      <c r="E1638" s="8">
        <f ca="1">IFERROR(__xludf.DUMMYFUNCTION("""COMPUTED_VALUE"""),36444)</f>
        <v>36444</v>
      </c>
      <c r="F1638" s="5" t="str">
        <f ca="1">IFERROR(__xludf.DUMMYFUNCTION("""COMPUTED_VALUE"""),"Clark High School")</f>
        <v>Clark High School</v>
      </c>
      <c r="G1638" s="5">
        <f ca="1">IFERROR(__xludf.DUMMYFUNCTION("""COMPUTED_VALUE"""),0)</f>
        <v>0</v>
      </c>
      <c r="H1638" s="5">
        <f ca="1">IFERROR(__xludf.DUMMYFUNCTION("""COMPUTED_VALUE"""),2)</f>
        <v>2</v>
      </c>
      <c r="I1638" s="5">
        <f ca="1">IFERROR(__xludf.DUMMYFUNCTION("""COMPUTED_VALUE"""),2)</f>
        <v>2</v>
      </c>
      <c r="J1638" s="5">
        <f ca="1">IFERROR(__xludf.DUMMYFUNCTION("""COMPUTED_VALUE"""),0)</f>
        <v>0</v>
      </c>
      <c r="K1638" s="9" t="str">
        <f ca="1">IFERROR(__xludf.DUMMYFUNCTION("""COMPUTED_VALUE"""),"https://lasvegassun.com/news/1999/oct/12/security-increased-after-shooting-at-clark-high/")</f>
        <v>https://lasvegassun.com/news/1999/oct/12/security-increased-after-shooting-at-clark-high/</v>
      </c>
      <c r="L1638" s="5"/>
      <c r="M1638" s="5"/>
      <c r="N1638" s="5">
        <f ca="1">IFERROR(__xludf.DUMMYFUNCTION("""COMPUTED_VALUE"""),2)</f>
        <v>2</v>
      </c>
      <c r="O1638" s="5" t="str">
        <f ca="1">IFERROR(__xludf.DUMMYFUNCTION("""COMPUTED_VALUE"""),"Fall")</f>
        <v>Fall</v>
      </c>
      <c r="P1638" s="5" t="str">
        <f ca="1">IFERROR(__xludf.DUMMYFUNCTION("""COMPUTED_VALUE"""),"Las Vegas")</f>
        <v>Las Vegas</v>
      </c>
      <c r="Q1638" s="5" t="str">
        <f ca="1">IFERROR(__xludf.DUMMYFUNCTION("""COMPUTED_VALUE"""),"NV")</f>
        <v>NV</v>
      </c>
      <c r="R1638" s="5" t="str">
        <f ca="1">IFERROR(__xludf.DUMMYFUNCTION("""COMPUTED_VALUE"""),"High")</f>
        <v>High</v>
      </c>
      <c r="S1638" s="5" t="str">
        <f ca="1">IFERROR(__xludf.DUMMYFUNCTION("""COMPUTED_VALUE"""),"Beside Building")</f>
        <v>Beside Building</v>
      </c>
      <c r="T1638" s="5" t="str">
        <f ca="1">IFERROR(__xludf.DUMMYFUNCTION("""COMPUTED_VALUE"""),"Outside on School Property")</f>
        <v>Outside on School Property</v>
      </c>
      <c r="U1638" s="5" t="str">
        <f ca="1">IFERROR(__xludf.DUMMYFUNCTION("""COMPUTED_VALUE"""),"No")</f>
        <v>No</v>
      </c>
      <c r="V1638" s="5" t="str">
        <f ca="1">IFERROR(__xludf.DUMMYFUNCTION("""COMPUTED_VALUE"""),"After School")</f>
        <v>After School</v>
      </c>
      <c r="W1638" s="10">
        <f ca="1">IFERROR(__xludf.DUMMYFUNCTION("""COMPUTED_VALUE"""),0.611111111111111)</f>
        <v>0.61111111111111105</v>
      </c>
      <c r="X1638" s="5">
        <f ca="1">IFERROR(__xludf.DUMMYFUNCTION("""COMPUTED_VALUE"""),1)</f>
        <v>1</v>
      </c>
      <c r="Y1638" s="5" t="str">
        <f ca="1">IFERROR(__xludf.DUMMYFUNCTION("""COMPUTED_VALUE"""),"Gang related shooting outside of school")</f>
        <v>Gang related shooting outside of school</v>
      </c>
      <c r="Z1638" s="5" t="str">
        <f ca="1">IFERROR(__xludf.DUMMYFUNCTION("""COMPUTED_VALUE"""),"Two students standing with a group of other students outside the school were shot by two gang members. The shooting may have involved the theft of a bicycle. A 18 YOM and 14 YOM were arrested shortly after the shooting.")</f>
        <v>Two students standing with a group of other students outside the school were shot by two gang members. The shooting may have involved the theft of a bicycle. A 18 YOM and 14 YOM were arrested shortly after the shooting.</v>
      </c>
      <c r="AA1638" s="5" t="str">
        <f ca="1">IFERROR(__xludf.DUMMYFUNCTION("""COMPUTED_VALUE"""),"Illegal Activity")</f>
        <v>Illegal Activity</v>
      </c>
      <c r="AB1638" s="5" t="str">
        <f ca="1">IFERROR(__xludf.DUMMYFUNCTION("""COMPUTED_VALUE"""),"Both")</f>
        <v>Both</v>
      </c>
      <c r="AC1638" s="5" t="str">
        <f ca="1">IFERROR(__xludf.DUMMYFUNCTION("""COMPUTED_VALUE"""),"Yes")</f>
        <v>Yes</v>
      </c>
      <c r="AD1638" s="5" t="str">
        <f ca="1">IFERROR(__xludf.DUMMYFUNCTION("""COMPUTED_VALUE"""),"No")</f>
        <v>No</v>
      </c>
      <c r="AE1638" s="5" t="str">
        <f ca="1">IFERROR(__xludf.DUMMYFUNCTION("""COMPUTED_VALUE"""),"No")</f>
        <v>No</v>
      </c>
      <c r="AF1638" s="5" t="str">
        <f ca="1">IFERROR(__xludf.DUMMYFUNCTION("""COMPUTED_VALUE"""),"No")</f>
        <v>No</v>
      </c>
      <c r="AG1638" s="5" t="str">
        <f ca="1">IFERROR(__xludf.DUMMYFUNCTION("""COMPUTED_VALUE"""),"No")</f>
        <v>No</v>
      </c>
      <c r="AH1638" s="5" t="str">
        <f ca="1">IFERROR(__xludf.DUMMYFUNCTION("""COMPUTED_VALUE"""),"No")</f>
        <v>No</v>
      </c>
      <c r="AI1638" s="5" t="str">
        <f ca="1">IFERROR(__xludf.DUMMYFUNCTION("""COMPUTED_VALUE"""),"Yes")</f>
        <v>Yes</v>
      </c>
      <c r="AJ1638" s="5"/>
    </row>
    <row r="1639" spans="1:36" ht="13">
      <c r="A1639" s="5" t="str">
        <f ca="1">IFERROR(__xludf.DUMMYFUNCTION("""COMPUTED_VALUE"""),"19991004SDJOP")</f>
        <v>19991004SDJOP</v>
      </c>
      <c r="B1639" s="5">
        <f ca="1">IFERROR(__xludf.DUMMYFUNCTION("""COMPUTED_VALUE"""),10)</f>
        <v>10</v>
      </c>
      <c r="C1639" s="5">
        <f ca="1">IFERROR(__xludf.DUMMYFUNCTION("""COMPUTED_VALUE"""),4)</f>
        <v>4</v>
      </c>
      <c r="D1639" s="5">
        <f ca="1">IFERROR(__xludf.DUMMYFUNCTION("""COMPUTED_VALUE"""),1999)</f>
        <v>1999</v>
      </c>
      <c r="E1639" s="8">
        <f ca="1">IFERROR(__xludf.DUMMYFUNCTION("""COMPUTED_VALUE"""),36437)</f>
        <v>36437</v>
      </c>
      <c r="F1639" s="5" t="str">
        <f ca="1">IFERROR(__xludf.DUMMYFUNCTION("""COMPUTED_VALUE"""),"John Bartram High School")</f>
        <v>John Bartram High School</v>
      </c>
      <c r="G1639" s="5">
        <f ca="1">IFERROR(__xludf.DUMMYFUNCTION("""COMPUTED_VALUE"""),0)</f>
        <v>0</v>
      </c>
      <c r="H1639" s="5">
        <f ca="1">IFERROR(__xludf.DUMMYFUNCTION("""COMPUTED_VALUE"""),1)</f>
        <v>1</v>
      </c>
      <c r="I1639" s="5">
        <f ca="1">IFERROR(__xludf.DUMMYFUNCTION("""COMPUTED_VALUE"""),1)</f>
        <v>1</v>
      </c>
      <c r="J1639" s="5">
        <f ca="1">IFERROR(__xludf.DUMMYFUNCTION("""COMPUTED_VALUE"""),0)</f>
        <v>0</v>
      </c>
      <c r="K1639" s="9" t="str">
        <f ca="1">IFERROR(__xludf.DUMMYFUNCTION("""COMPUTED_VALUE"""),"https://www.cbsnews.com/news/vice-principal-shot-in-scuffle/")</f>
        <v>https://www.cbsnews.com/news/vice-principal-shot-in-scuffle/</v>
      </c>
      <c r="L1639" s="5"/>
      <c r="M1639" s="5"/>
      <c r="N1639" s="5">
        <f ca="1">IFERROR(__xludf.DUMMYFUNCTION("""COMPUTED_VALUE"""),2)</f>
        <v>2</v>
      </c>
      <c r="O1639" s="5" t="str">
        <f ca="1">IFERROR(__xludf.DUMMYFUNCTION("""COMPUTED_VALUE"""),"Fall")</f>
        <v>Fall</v>
      </c>
      <c r="P1639" s="5" t="str">
        <f ca="1">IFERROR(__xludf.DUMMYFUNCTION("""COMPUTED_VALUE"""),"Philadelphia City")</f>
        <v>Philadelphia City</v>
      </c>
      <c r="Q1639" s="5" t="str">
        <f ca="1">IFERROR(__xludf.DUMMYFUNCTION("""COMPUTED_VALUE"""),"SD")</f>
        <v>SD</v>
      </c>
      <c r="R1639" s="5" t="str">
        <f ca="1">IFERROR(__xludf.DUMMYFUNCTION("""COMPUTED_VALUE"""),"High")</f>
        <v>High</v>
      </c>
      <c r="S1639" s="5" t="str">
        <f ca="1">IFERROR(__xludf.DUMMYFUNCTION("""COMPUTED_VALUE"""),"Hallway")</f>
        <v>Hallway</v>
      </c>
      <c r="T1639" s="5" t="str">
        <f ca="1">IFERROR(__xludf.DUMMYFUNCTION("""COMPUTED_VALUE"""),"Inside School Building")</f>
        <v>Inside School Building</v>
      </c>
      <c r="U1639" s="5" t="str">
        <f ca="1">IFERROR(__xludf.DUMMYFUNCTION("""COMPUTED_VALUE"""),"Yes")</f>
        <v>Yes</v>
      </c>
      <c r="V1639" s="5" t="str">
        <f ca="1">IFERROR(__xludf.DUMMYFUNCTION("""COMPUTED_VALUE"""),"Morning Classes")</f>
        <v>Morning Classes</v>
      </c>
      <c r="W1639" s="10">
        <f ca="1">IFERROR(__xludf.DUMMYFUNCTION("""COMPUTED_VALUE"""),0.416666666666666)</f>
        <v>0.41666666666666602</v>
      </c>
      <c r="X1639" s="5">
        <f ca="1">IFERROR(__xludf.DUMMYFUNCTION("""COMPUTED_VALUE"""),1)</f>
        <v>1</v>
      </c>
      <c r="Y1639" s="5" t="str">
        <f ca="1">IFERROR(__xludf.DUMMYFUNCTION("""COMPUTED_VALUE"""),"Principal grabbed gun during fight between student, shot in foot")</f>
        <v>Principal grabbed gun during fight between student, shot in foot</v>
      </c>
      <c r="Z1639" s="5" t="str">
        <f ca="1">IFERROR(__xludf.DUMMYFUNCTION("""COMPUTED_VALUE"""),"Gun was pulled during a fight in the hallway between students. Principal was trying to break up the fight and grabbed the gun. It fired striking him in the foot. Students involved fled the area.")</f>
        <v>Gun was pulled during a fight in the hallway between students. Principal was trying to break up the fight and grabbed the gun. It fired striking him in the foot. Students involved fled the area.</v>
      </c>
      <c r="AA1639" s="5" t="str">
        <f ca="1">IFERROR(__xludf.DUMMYFUNCTION("""COMPUTED_VALUE"""),"Escalation of Dispute")</f>
        <v>Escalation of Dispute</v>
      </c>
      <c r="AB1639" s="5" t="str">
        <f ca="1">IFERROR(__xludf.DUMMYFUNCTION("""COMPUTED_VALUE"""),"Random Shooting")</f>
        <v>Random Shooting</v>
      </c>
      <c r="AC1639" s="5" t="str">
        <f ca="1">IFERROR(__xludf.DUMMYFUNCTION("""COMPUTED_VALUE"""),"No")</f>
        <v>No</v>
      </c>
      <c r="AD1639" s="5" t="str">
        <f ca="1">IFERROR(__xludf.DUMMYFUNCTION("""COMPUTED_VALUE"""),"No")</f>
        <v>No</v>
      </c>
      <c r="AE1639" s="5" t="str">
        <f ca="1">IFERROR(__xludf.DUMMYFUNCTION("""COMPUTED_VALUE"""),"No")</f>
        <v>No</v>
      </c>
      <c r="AF1639" s="5" t="str">
        <f ca="1">IFERROR(__xludf.DUMMYFUNCTION("""COMPUTED_VALUE"""),"No")</f>
        <v>No</v>
      </c>
      <c r="AG1639" s="5" t="str">
        <f ca="1">IFERROR(__xludf.DUMMYFUNCTION("""COMPUTED_VALUE"""),"No")</f>
        <v>No</v>
      </c>
      <c r="AH1639" s="5" t="str">
        <f ca="1">IFERROR(__xludf.DUMMYFUNCTION("""COMPUTED_VALUE"""),"No")</f>
        <v>No</v>
      </c>
      <c r="AI1639" s="5" t="str">
        <f ca="1">IFERROR(__xludf.DUMMYFUNCTION("""COMPUTED_VALUE"""),"No")</f>
        <v>No</v>
      </c>
      <c r="AJ1639" s="5"/>
    </row>
    <row r="1640" spans="1:36" ht="13">
      <c r="A1640" s="5" t="str">
        <f ca="1">IFERROR(__xludf.DUMMYFUNCTION("""COMPUTED_VALUE"""),"19990927FLEGT")</f>
        <v>19990927FLEGT</v>
      </c>
      <c r="B1640" s="5">
        <f ca="1">IFERROR(__xludf.DUMMYFUNCTION("""COMPUTED_VALUE"""),9)</f>
        <v>9</v>
      </c>
      <c r="C1640" s="5">
        <f ca="1">IFERROR(__xludf.DUMMYFUNCTION("""COMPUTED_VALUE"""),27)</f>
        <v>27</v>
      </c>
      <c r="D1640" s="5">
        <f ca="1">IFERROR(__xludf.DUMMYFUNCTION("""COMPUTED_VALUE"""),1999)</f>
        <v>1999</v>
      </c>
      <c r="E1640" s="8">
        <f ca="1">IFERROR(__xludf.DUMMYFUNCTION("""COMPUTED_VALUE"""),36430)</f>
        <v>36430</v>
      </c>
      <c r="F1640" s="5" t="str">
        <f ca="1">IFERROR(__xludf.DUMMYFUNCTION("""COMPUTED_VALUE"""),"Egypt Lake Elementary School")</f>
        <v>Egypt Lake Elementary School</v>
      </c>
      <c r="G1640" s="5">
        <f ca="1">IFERROR(__xludf.DUMMYFUNCTION("""COMPUTED_VALUE"""),0)</f>
        <v>0</v>
      </c>
      <c r="H1640" s="5">
        <f ca="1">IFERROR(__xludf.DUMMYFUNCTION("""COMPUTED_VALUE"""),1)</f>
        <v>1</v>
      </c>
      <c r="I1640" s="5">
        <f ca="1">IFERROR(__xludf.DUMMYFUNCTION("""COMPUTED_VALUE"""),1)</f>
        <v>1</v>
      </c>
      <c r="J1640" s="5">
        <f ca="1">IFERROR(__xludf.DUMMYFUNCTION("""COMPUTED_VALUE"""),0)</f>
        <v>0</v>
      </c>
      <c r="K1640" s="9" t="str">
        <f ca="1">IFERROR(__xludf.DUMMYFUNCTION("""COMPUTED_VALUE"""),"https://www.newspapers.com/image/327236803/?terms=Lauren%2BKlingensmith")</f>
        <v>https://www.newspapers.com/image/327236803/?terms=Lauren%2BKlingensmith</v>
      </c>
      <c r="L1640" s="5"/>
      <c r="M1640" s="5"/>
      <c r="N1640" s="5">
        <f ca="1">IFERROR(__xludf.DUMMYFUNCTION("""COMPUTED_VALUE"""),2)</f>
        <v>2</v>
      </c>
      <c r="O1640" s="5" t="str">
        <f ca="1">IFERROR(__xludf.DUMMYFUNCTION("""COMPUTED_VALUE"""),"Fall")</f>
        <v>Fall</v>
      </c>
      <c r="P1640" s="5" t="str">
        <f ca="1">IFERROR(__xludf.DUMMYFUNCTION("""COMPUTED_VALUE"""),"Tampa")</f>
        <v>Tampa</v>
      </c>
      <c r="Q1640" s="5" t="str">
        <f ca="1">IFERROR(__xludf.DUMMYFUNCTION("""COMPUTED_VALUE"""),"FL")</f>
        <v>FL</v>
      </c>
      <c r="R1640" s="5" t="str">
        <f ca="1">IFERROR(__xludf.DUMMYFUNCTION("""COMPUTED_VALUE"""),"Elementary")</f>
        <v>Elementary</v>
      </c>
      <c r="S1640" s="5" t="str">
        <f ca="1">IFERROR(__xludf.DUMMYFUNCTION("""COMPUTED_VALUE"""),"Beside Building")</f>
        <v>Beside Building</v>
      </c>
      <c r="T1640" s="5" t="str">
        <f ca="1">IFERROR(__xludf.DUMMYFUNCTION("""COMPUTED_VALUE"""),"Outside on School Property")</f>
        <v>Outside on School Property</v>
      </c>
      <c r="U1640" s="5" t="str">
        <f ca="1">IFERROR(__xludf.DUMMYFUNCTION("""COMPUTED_VALUE"""),"Yes")</f>
        <v>Yes</v>
      </c>
      <c r="V1640" s="5" t="str">
        <f ca="1">IFERROR(__xludf.DUMMYFUNCTION("""COMPUTED_VALUE"""),"Before School")</f>
        <v>Before School</v>
      </c>
      <c r="W1640" s="10">
        <f ca="1">IFERROR(__xludf.DUMMYFUNCTION("""COMPUTED_VALUE"""),0.3125)</f>
        <v>0.3125</v>
      </c>
      <c r="X1640" s="5">
        <f ca="1">IFERROR(__xludf.DUMMYFUNCTION("""COMPUTED_VALUE"""),1)</f>
        <v>1</v>
      </c>
      <c r="Y1640" s="5" t="str">
        <f ca="1">IFERROR(__xludf.DUMMYFUNCTION("""COMPUTED_VALUE"""),"Girl shot in head outside of school, long range shot")</f>
        <v>Girl shot in head outside of school, long range shot</v>
      </c>
      <c r="Z1640" s="5" t="str">
        <f ca="1">IFERROR(__xludf.DUMMYFUNCTION("""COMPUTED_VALUE"""),"10YOF safety patrol shot outside of school by single .22 to the head. Police believed the shooting was accidental because of the distance the shot traveled.")</f>
        <v>10YOF safety patrol shot outside of school by single .22 to the head. Police believed the shooting was accidental because of the distance the shot traveled.</v>
      </c>
      <c r="AA1640" s="5" t="str">
        <f ca="1">IFERROR(__xludf.DUMMYFUNCTION("""COMPUTED_VALUE"""),"Accidental")</f>
        <v>Accidental</v>
      </c>
      <c r="AB1640" s="5" t="str">
        <f ca="1">IFERROR(__xludf.DUMMYFUNCTION("""COMPUTED_VALUE"""),"Random Shooting")</f>
        <v>Random Shooting</v>
      </c>
      <c r="AC1640" s="5" t="str">
        <f ca="1">IFERROR(__xludf.DUMMYFUNCTION("""COMPUTED_VALUE"""),"No")</f>
        <v>No</v>
      </c>
      <c r="AD1640" s="5" t="str">
        <f ca="1">IFERROR(__xludf.DUMMYFUNCTION("""COMPUTED_VALUE"""),"No")</f>
        <v>No</v>
      </c>
      <c r="AE1640" s="5" t="str">
        <f ca="1">IFERROR(__xludf.DUMMYFUNCTION("""COMPUTED_VALUE"""),"No")</f>
        <v>No</v>
      </c>
      <c r="AF1640" s="5" t="str">
        <f ca="1">IFERROR(__xludf.DUMMYFUNCTION("""COMPUTED_VALUE"""),"No")</f>
        <v>No</v>
      </c>
      <c r="AG1640" s="5" t="str">
        <f ca="1">IFERROR(__xludf.DUMMYFUNCTION("""COMPUTED_VALUE"""),"No")</f>
        <v>No</v>
      </c>
      <c r="AH1640" s="5" t="str">
        <f ca="1">IFERROR(__xludf.DUMMYFUNCTION("""COMPUTED_VALUE"""),"No")</f>
        <v>No</v>
      </c>
      <c r="AI1640" s="5" t="str">
        <f ca="1">IFERROR(__xludf.DUMMYFUNCTION("""COMPUTED_VALUE"""),"No")</f>
        <v>No</v>
      </c>
      <c r="AJ1640" s="5"/>
    </row>
    <row r="1641" spans="1:36" ht="13">
      <c r="A1641" s="5" t="str">
        <f ca="1">IFERROR(__xludf.DUMMYFUNCTION("""COMPUTED_VALUE"""),"19990909CASAS")</f>
        <v>19990909CASAS</v>
      </c>
      <c r="B1641" s="5">
        <f ca="1">IFERROR(__xludf.DUMMYFUNCTION("""COMPUTED_VALUE"""),9)</f>
        <v>9</v>
      </c>
      <c r="C1641" s="5">
        <f ca="1">IFERROR(__xludf.DUMMYFUNCTION("""COMPUTED_VALUE"""),9)</f>
        <v>9</v>
      </c>
      <c r="D1641" s="5">
        <f ca="1">IFERROR(__xludf.DUMMYFUNCTION("""COMPUTED_VALUE"""),1999)</f>
        <v>1999</v>
      </c>
      <c r="E1641" s="8">
        <f ca="1">IFERROR(__xludf.DUMMYFUNCTION("""COMPUTED_VALUE"""),36412)</f>
        <v>36412</v>
      </c>
      <c r="F1641" s="5" t="str">
        <f ca="1">IFERROR(__xludf.DUMMYFUNCTION("""COMPUTED_VALUE"""),"Santa Teresa High School")</f>
        <v>Santa Teresa High School</v>
      </c>
      <c r="G1641" s="5">
        <f ca="1">IFERROR(__xludf.DUMMYFUNCTION("""COMPUTED_VALUE"""),0)</f>
        <v>0</v>
      </c>
      <c r="H1641" s="5">
        <f ca="1">IFERROR(__xludf.DUMMYFUNCTION("""COMPUTED_VALUE"""),0)</f>
        <v>0</v>
      </c>
      <c r="I1641" s="5">
        <f ca="1">IFERROR(__xludf.DUMMYFUNCTION("""COMPUTED_VALUE"""),0)</f>
        <v>0</v>
      </c>
      <c r="J1641" s="5">
        <f ca="1">IFERROR(__xludf.DUMMYFUNCTION("""COMPUTED_VALUE"""),1)</f>
        <v>1</v>
      </c>
      <c r="K1641" s="9" t="str">
        <f ca="1">IFERROR(__xludf.DUMMYFUNCTION("""COMPUTED_VALUE"""),"https://www.sfgate.com/bayarea/article/San-Jose-Boy-16-Fatally-Shoots-Himself-at-High-2909269.php")</f>
        <v>https://www.sfgate.com/bayarea/article/San-Jose-Boy-16-Fatally-Shoots-Himself-at-High-2909269.php</v>
      </c>
      <c r="L1641" s="5"/>
      <c r="M1641" s="5"/>
      <c r="N1641" s="5">
        <f ca="1">IFERROR(__xludf.DUMMYFUNCTION("""COMPUTED_VALUE"""),2)</f>
        <v>2</v>
      </c>
      <c r="O1641" s="5" t="str">
        <f ca="1">IFERROR(__xludf.DUMMYFUNCTION("""COMPUTED_VALUE"""),"Fall")</f>
        <v>Fall</v>
      </c>
      <c r="P1641" s="5" t="str">
        <f ca="1">IFERROR(__xludf.DUMMYFUNCTION("""COMPUTED_VALUE"""),"San Jose")</f>
        <v>San Jose</v>
      </c>
      <c r="Q1641" s="5" t="str">
        <f ca="1">IFERROR(__xludf.DUMMYFUNCTION("""COMPUTED_VALUE"""),"CA")</f>
        <v>CA</v>
      </c>
      <c r="R1641" s="5" t="str">
        <f ca="1">IFERROR(__xludf.DUMMYFUNCTION("""COMPUTED_VALUE"""),"High")</f>
        <v>High</v>
      </c>
      <c r="S1641" s="5" t="str">
        <f ca="1">IFERROR(__xludf.DUMMYFUNCTION("""COMPUTED_VALUE"""),"Bathroom")</f>
        <v>Bathroom</v>
      </c>
      <c r="T1641" s="5" t="str">
        <f ca="1">IFERROR(__xludf.DUMMYFUNCTION("""COMPUTED_VALUE"""),"Inside School Building")</f>
        <v>Inside School Building</v>
      </c>
      <c r="U1641" s="5" t="str">
        <f ca="1">IFERROR(__xludf.DUMMYFUNCTION("""COMPUTED_VALUE"""),"Yes")</f>
        <v>Yes</v>
      </c>
      <c r="V1641" s="5" t="str">
        <f ca="1">IFERROR(__xludf.DUMMYFUNCTION("""COMPUTED_VALUE"""),"Morning Classes")</f>
        <v>Morning Classes</v>
      </c>
      <c r="W1641" s="10">
        <f ca="1">IFERROR(__xludf.DUMMYFUNCTION("""COMPUTED_VALUE"""),0.354166666666666)</f>
        <v>0.35416666666666602</v>
      </c>
      <c r="X1641" s="5">
        <f ca="1">IFERROR(__xludf.DUMMYFUNCTION("""COMPUTED_VALUE"""),1)</f>
        <v>1</v>
      </c>
      <c r="Y1641" s="5" t="str">
        <f ca="1">IFERROR(__xludf.DUMMYFUNCTION("""COMPUTED_VALUE"""),"Shot self in school bathroom")</f>
        <v>Shot self in school bathroom</v>
      </c>
      <c r="Z1641" s="5" t="str">
        <f ca="1">IFERROR(__xludf.DUMMYFUNCTION("""COMPUTED_VALUE"""),"Well liked student shot himself in the chest in the bathroom.")</f>
        <v>Well liked student shot himself in the chest in the bathroom.</v>
      </c>
      <c r="AA1641" s="5" t="str">
        <f ca="1">IFERROR(__xludf.DUMMYFUNCTION("""COMPUTED_VALUE"""),"Suicide/Attempted")</f>
        <v>Suicide/Attempted</v>
      </c>
      <c r="AB1641" s="5" t="str">
        <f ca="1">IFERROR(__xludf.DUMMYFUNCTION("""COMPUTED_VALUE"""),"Victims Targeted")</f>
        <v>Victims Targeted</v>
      </c>
      <c r="AC1641" s="5" t="str">
        <f ca="1">IFERROR(__xludf.DUMMYFUNCTION("""COMPUTED_VALUE"""),"No")</f>
        <v>No</v>
      </c>
      <c r="AD1641" s="5" t="str">
        <f ca="1">IFERROR(__xludf.DUMMYFUNCTION("""COMPUTED_VALUE"""),"No")</f>
        <v>No</v>
      </c>
      <c r="AE1641" s="5" t="str">
        <f ca="1">IFERROR(__xludf.DUMMYFUNCTION("""COMPUTED_VALUE"""),"No")</f>
        <v>No</v>
      </c>
      <c r="AF1641" s="5" t="str">
        <f ca="1">IFERROR(__xludf.DUMMYFUNCTION("""COMPUTED_VALUE"""),"No")</f>
        <v>No</v>
      </c>
      <c r="AG1641" s="5" t="str">
        <f ca="1">IFERROR(__xludf.DUMMYFUNCTION("""COMPUTED_VALUE"""),"No")</f>
        <v>No</v>
      </c>
      <c r="AH1641" s="5" t="str">
        <f ca="1">IFERROR(__xludf.DUMMYFUNCTION("""COMPUTED_VALUE"""),"No")</f>
        <v>No</v>
      </c>
      <c r="AI1641" s="5" t="str">
        <f ca="1">IFERROR(__xludf.DUMMYFUNCTION("""COMPUTED_VALUE"""),"No")</f>
        <v>No</v>
      </c>
      <c r="AJ1641" s="5"/>
    </row>
    <row r="1642" spans="1:36" ht="13">
      <c r="A1642" s="5" t="str">
        <f ca="1">IFERROR(__xludf.DUMMYFUNCTION("""COMPUTED_VALUE"""),"19990825GAJAM")</f>
        <v>19990825GAJAM</v>
      </c>
      <c r="B1642" s="5">
        <f ca="1">IFERROR(__xludf.DUMMYFUNCTION("""COMPUTED_VALUE"""),8)</f>
        <v>8</v>
      </c>
      <c r="C1642" s="5">
        <f ca="1">IFERROR(__xludf.DUMMYFUNCTION("""COMPUTED_VALUE"""),25)</f>
        <v>25</v>
      </c>
      <c r="D1642" s="5">
        <f ca="1">IFERROR(__xludf.DUMMYFUNCTION("""COMPUTED_VALUE"""),1999)</f>
        <v>1999</v>
      </c>
      <c r="E1642" s="8">
        <f ca="1">IFERROR(__xludf.DUMMYFUNCTION("""COMPUTED_VALUE"""),36397)</f>
        <v>36397</v>
      </c>
      <c r="F1642" s="5" t="str">
        <f ca="1">IFERROR(__xludf.DUMMYFUNCTION("""COMPUTED_VALUE"""),"Jasper County High School")</f>
        <v>Jasper County High School</v>
      </c>
      <c r="G1642" s="5">
        <f ca="1">IFERROR(__xludf.DUMMYFUNCTION("""COMPUTED_VALUE"""),0)</f>
        <v>0</v>
      </c>
      <c r="H1642" s="5">
        <f ca="1">IFERROR(__xludf.DUMMYFUNCTION("""COMPUTED_VALUE"""),0)</f>
        <v>0</v>
      </c>
      <c r="I1642" s="5">
        <f ca="1">IFERROR(__xludf.DUMMYFUNCTION("""COMPUTED_VALUE"""),0)</f>
        <v>0</v>
      </c>
      <c r="J1642" s="5">
        <f ca="1">IFERROR(__xludf.DUMMYFUNCTION("""COMPUTED_VALUE"""),1)</f>
        <v>1</v>
      </c>
      <c r="K1642" s="9" t="str">
        <f ca="1">IFERROR(__xludf.DUMMYFUNCTION("""COMPUTED_VALUE"""),"https://www.cbsnews.com/news/ga-teen-found-dead-in-truck/")</f>
        <v>https://www.cbsnews.com/news/ga-teen-found-dead-in-truck/</v>
      </c>
      <c r="L1642" s="5"/>
      <c r="M1642" s="5"/>
      <c r="N1642" s="5">
        <f ca="1">IFERROR(__xludf.DUMMYFUNCTION("""COMPUTED_VALUE"""),2)</f>
        <v>2</v>
      </c>
      <c r="O1642" s="5" t="str">
        <f ca="1">IFERROR(__xludf.DUMMYFUNCTION("""COMPUTED_VALUE"""),"Summer")</f>
        <v>Summer</v>
      </c>
      <c r="P1642" s="5" t="str">
        <f ca="1">IFERROR(__xludf.DUMMYFUNCTION("""COMPUTED_VALUE"""),"Monticello")</f>
        <v>Monticello</v>
      </c>
      <c r="Q1642" s="5" t="str">
        <f ca="1">IFERROR(__xludf.DUMMYFUNCTION("""COMPUTED_VALUE"""),"GA")</f>
        <v>GA</v>
      </c>
      <c r="R1642" s="5" t="str">
        <f ca="1">IFERROR(__xludf.DUMMYFUNCTION("""COMPUTED_VALUE"""),"High")</f>
        <v>High</v>
      </c>
      <c r="S1642" s="5" t="str">
        <f ca="1">IFERROR(__xludf.DUMMYFUNCTION("""COMPUTED_VALUE"""),"Parking Lot")</f>
        <v>Parking Lot</v>
      </c>
      <c r="T1642" s="5" t="str">
        <f ca="1">IFERROR(__xludf.DUMMYFUNCTION("""COMPUTED_VALUE"""),"Outside on School Property")</f>
        <v>Outside on School Property</v>
      </c>
      <c r="U1642" s="5" t="str">
        <f ca="1">IFERROR(__xludf.DUMMYFUNCTION("""COMPUTED_VALUE"""),"Yes")</f>
        <v>Yes</v>
      </c>
      <c r="V1642" s="5" t="str">
        <f ca="1">IFERROR(__xludf.DUMMYFUNCTION("""COMPUTED_VALUE"""),"Morning Classes")</f>
        <v>Morning Classes</v>
      </c>
      <c r="W1642" s="5"/>
      <c r="X1642" s="5">
        <f ca="1">IFERROR(__xludf.DUMMYFUNCTION("""COMPUTED_VALUE"""),1)</f>
        <v>1</v>
      </c>
      <c r="Y1642" s="5" t="str">
        <f ca="1">IFERROR(__xludf.DUMMYFUNCTION("""COMPUTED_VALUE"""),"Suicide in parking lot of school")</f>
        <v>Suicide in parking lot of school</v>
      </c>
      <c r="Z1642" s="5" t="str">
        <f ca="1">IFERROR(__xludf.DUMMYFUNCTION("""COMPUTED_VALUE"""),"16YOF shot herself in the parking lot of the school.")</f>
        <v>16YOF shot herself in the parking lot of the school.</v>
      </c>
      <c r="AA1642" s="5" t="str">
        <f ca="1">IFERROR(__xludf.DUMMYFUNCTION("""COMPUTED_VALUE"""),"Suicide/Attempted")</f>
        <v>Suicide/Attempted</v>
      </c>
      <c r="AB1642" s="5" t="str">
        <f ca="1">IFERROR(__xludf.DUMMYFUNCTION("""COMPUTED_VALUE"""),"Victims Targeted")</f>
        <v>Victims Targeted</v>
      </c>
      <c r="AC1642" s="5" t="str">
        <f ca="1">IFERROR(__xludf.DUMMYFUNCTION("""COMPUTED_VALUE"""),"No")</f>
        <v>No</v>
      </c>
      <c r="AD1642" s="5" t="str">
        <f ca="1">IFERROR(__xludf.DUMMYFUNCTION("""COMPUTED_VALUE"""),"No")</f>
        <v>No</v>
      </c>
      <c r="AE1642" s="5" t="str">
        <f ca="1">IFERROR(__xludf.DUMMYFUNCTION("""COMPUTED_VALUE"""),"No")</f>
        <v>No</v>
      </c>
      <c r="AF1642" s="5" t="str">
        <f ca="1">IFERROR(__xludf.DUMMYFUNCTION("""COMPUTED_VALUE"""),"No")</f>
        <v>No</v>
      </c>
      <c r="AG1642" s="5" t="str">
        <f ca="1">IFERROR(__xludf.DUMMYFUNCTION("""COMPUTED_VALUE"""),"No")</f>
        <v>No</v>
      </c>
      <c r="AH1642" s="5" t="str">
        <f ca="1">IFERROR(__xludf.DUMMYFUNCTION("""COMPUTED_VALUE"""),"No")</f>
        <v>No</v>
      </c>
      <c r="AI1642" s="5" t="str">
        <f ca="1">IFERROR(__xludf.DUMMYFUNCTION("""COMPUTED_VALUE"""),"No")</f>
        <v>No</v>
      </c>
      <c r="AJ1642" s="5"/>
    </row>
    <row r="1643" spans="1:36" ht="13">
      <c r="A1643" s="5" t="str">
        <f ca="1">IFERROR(__xludf.DUMMYFUNCTION("""COMPUTED_VALUE"""),"19990520GAHEC")</f>
        <v>19990520GAHEC</v>
      </c>
      <c r="B1643" s="5">
        <f ca="1">IFERROR(__xludf.DUMMYFUNCTION("""COMPUTED_VALUE"""),5)</f>
        <v>5</v>
      </c>
      <c r="C1643" s="5">
        <f ca="1">IFERROR(__xludf.DUMMYFUNCTION("""COMPUTED_VALUE"""),20)</f>
        <v>20</v>
      </c>
      <c r="D1643" s="5">
        <f ca="1">IFERROR(__xludf.DUMMYFUNCTION("""COMPUTED_VALUE"""),1999)</f>
        <v>1999</v>
      </c>
      <c r="E1643" s="8">
        <f ca="1">IFERROR(__xludf.DUMMYFUNCTION("""COMPUTED_VALUE"""),36300)</f>
        <v>36300</v>
      </c>
      <c r="F1643" s="5" t="str">
        <f ca="1">IFERROR(__xludf.DUMMYFUNCTION("""COMPUTED_VALUE"""),"Heritage High School")</f>
        <v>Heritage High School</v>
      </c>
      <c r="G1643" s="5">
        <f ca="1">IFERROR(__xludf.DUMMYFUNCTION("""COMPUTED_VALUE"""),0)</f>
        <v>0</v>
      </c>
      <c r="H1643" s="5">
        <f ca="1">IFERROR(__xludf.DUMMYFUNCTION("""COMPUTED_VALUE"""),6)</f>
        <v>6</v>
      </c>
      <c r="I1643" s="5">
        <f ca="1">IFERROR(__xludf.DUMMYFUNCTION("""COMPUTED_VALUE"""),6)</f>
        <v>6</v>
      </c>
      <c r="J1643" s="5">
        <f ca="1">IFERROR(__xludf.DUMMYFUNCTION("""COMPUTED_VALUE"""),0)</f>
        <v>0</v>
      </c>
      <c r="K1643" s="5" t="str">
        <f ca="1">IFERROR(__xludf.DUMMYFUNCTION("""COMPUTED_VALUE"""),"https://www.wsbtv.com/news/local/rockdale-county/heritage-high-school-shooter-tj-solomon-being-released-from-prison/411839036/ https://www.washingtonpost.com/wp-srv/national/longterm/juvmurders/stories/conyers052199.htm
 Exploring Layers: Extended Case Me"&amp;"thod as a Tool for Multilevel Analysis of School Violence. Mercer L. Sullivan Rutgers University. Sociological Methods and Research Vol 31. Number 2. 2002")</f>
        <v>https://www.wsbtv.com/news/local/rockdale-county/heritage-high-school-shooter-tj-solomon-being-released-from-prison/411839036/ https://www.washingtonpost.com/wp-srv/national/longterm/juvmurders/stories/conyers052199.htm
 Exploring Layers: Extended Case Method as a Tool for Multilevel Analysis of School Violence. Mercer L. Sullivan Rutgers University. Sociological Methods and Research Vol 31. Number 2. 2002</v>
      </c>
      <c r="L1643" s="5"/>
      <c r="M1643" s="5"/>
      <c r="N1643" s="5">
        <f ca="1">IFERROR(__xludf.DUMMYFUNCTION("""COMPUTED_VALUE"""),5)</f>
        <v>5</v>
      </c>
      <c r="O1643" s="5" t="str">
        <f ca="1">IFERROR(__xludf.DUMMYFUNCTION("""COMPUTED_VALUE"""),"Spring")</f>
        <v>Spring</v>
      </c>
      <c r="P1643" s="5" t="str">
        <f ca="1">IFERROR(__xludf.DUMMYFUNCTION("""COMPUTED_VALUE"""),"Conyers")</f>
        <v>Conyers</v>
      </c>
      <c r="Q1643" s="5" t="str">
        <f ca="1">IFERROR(__xludf.DUMMYFUNCTION("""COMPUTED_VALUE"""),"GA")</f>
        <v>GA</v>
      </c>
      <c r="R1643" s="5" t="str">
        <f ca="1">IFERROR(__xludf.DUMMYFUNCTION("""COMPUTED_VALUE"""),"High")</f>
        <v>High</v>
      </c>
      <c r="S1643" s="5" t="str">
        <f ca="1">IFERROR(__xludf.DUMMYFUNCTION("""COMPUTED_VALUE"""),"Hallway")</f>
        <v>Hallway</v>
      </c>
      <c r="T1643" s="5" t="str">
        <f ca="1">IFERROR(__xludf.DUMMYFUNCTION("""COMPUTED_VALUE"""),"Inside School Building")</f>
        <v>Inside School Building</v>
      </c>
      <c r="U1643" s="5" t="str">
        <f ca="1">IFERROR(__xludf.DUMMYFUNCTION("""COMPUTED_VALUE"""),"Yes")</f>
        <v>Yes</v>
      </c>
      <c r="V1643" s="5" t="str">
        <f ca="1">IFERROR(__xludf.DUMMYFUNCTION("""COMPUTED_VALUE"""),"Morning Classes")</f>
        <v>Morning Classes</v>
      </c>
      <c r="W1643" s="10">
        <f ca="1">IFERROR(__xludf.DUMMYFUNCTION("""COMPUTED_VALUE"""),0.335416666666666)</f>
        <v>0.33541666666666597</v>
      </c>
      <c r="X1643" s="5">
        <f ca="1">IFERROR(__xludf.DUMMYFUNCTION("""COMPUTED_VALUE"""),2)</f>
        <v>2</v>
      </c>
      <c r="Y1643" s="5" t="str">
        <f ca="1">IFERROR(__xludf.DUMMYFUNCTION("""COMPUTED_VALUE"""),"Columbine inspired, depressed, told other students about desire to commit school shooting")</f>
        <v>Columbine inspired, depressed, told other students about desire to commit school shooting</v>
      </c>
      <c r="Z1643" s="5" t="str">
        <f ca="1">IFERROR(__xludf.DUMMYFUNCTION("""COMPUTED_VALUE"""),"Shooter used a .22 rifle to fire in a crowded common area of the school before classes started. Shooter was tackled by the principal and began crying. Shooter had been good student but his grades had dropped. Other students were worried about him. He was "&amp;"obsessed with Columbine and talked about wanting to shoot up the school. Weapons: .22-caliber rifle, .357-caliber")</f>
        <v>Shooter used a .22 rifle to fire in a crowded common area of the school before classes started. Shooter was tackled by the principal and began crying. Shooter had been good student but his grades had dropped. Other students were worried about him. He was obsessed with Columbine and talked about wanting to shoot up the school. Weapons: .22-caliber rifle, .357-caliber</v>
      </c>
      <c r="AA1643" s="5" t="str">
        <f ca="1">IFERROR(__xludf.DUMMYFUNCTION("""COMPUTED_VALUE"""),"Indiscriminate Shooting")</f>
        <v>Indiscriminate Shooting</v>
      </c>
      <c r="AB1643" s="5" t="str">
        <f ca="1">IFERROR(__xludf.DUMMYFUNCTION("""COMPUTED_VALUE"""),"Random Shooting")</f>
        <v>Random Shooting</v>
      </c>
      <c r="AC1643" s="5" t="str">
        <f ca="1">IFERROR(__xludf.DUMMYFUNCTION("""COMPUTED_VALUE"""),"No")</f>
        <v>No</v>
      </c>
      <c r="AD1643" s="5" t="str">
        <f ca="1">IFERROR(__xludf.DUMMYFUNCTION("""COMPUTED_VALUE"""),"No")</f>
        <v>No</v>
      </c>
      <c r="AE1643" s="5" t="str">
        <f ca="1">IFERROR(__xludf.DUMMYFUNCTION("""COMPUTED_VALUE"""),"No")</f>
        <v>No</v>
      </c>
      <c r="AF1643" s="5" t="str">
        <f ca="1">IFERROR(__xludf.DUMMYFUNCTION("""COMPUTED_VALUE"""),"No")</f>
        <v>No</v>
      </c>
      <c r="AG1643" s="5" t="str">
        <f ca="1">IFERROR(__xludf.DUMMYFUNCTION("""COMPUTED_VALUE"""),"No")</f>
        <v>No</v>
      </c>
      <c r="AH1643" s="5" t="str">
        <f ca="1">IFERROR(__xludf.DUMMYFUNCTION("""COMPUTED_VALUE"""),"No")</f>
        <v>No</v>
      </c>
      <c r="AI1643" s="5" t="str">
        <f ca="1">IFERROR(__xludf.DUMMYFUNCTION("""COMPUTED_VALUE"""),"No")</f>
        <v>No</v>
      </c>
      <c r="AJ1643" s="5" t="str">
        <f ca="1">IFERROR(__xludf.DUMMYFUNCTION("""COMPUTED_VALUE"""),"Yes")</f>
        <v>Yes</v>
      </c>
    </row>
    <row r="1644" spans="1:36" ht="13">
      <c r="A1644" s="5" t="str">
        <f ca="1">IFERROR(__xludf.DUMMYFUNCTION("""COMPUTED_VALUE"""),"19990422GAMAA")</f>
        <v>19990422GAMAA</v>
      </c>
      <c r="B1644" s="5">
        <f ca="1">IFERROR(__xludf.DUMMYFUNCTION("""COMPUTED_VALUE"""),4)</f>
        <v>4</v>
      </c>
      <c r="C1644" s="5">
        <f ca="1">IFERROR(__xludf.DUMMYFUNCTION("""COMPUTED_VALUE"""),22)</f>
        <v>22</v>
      </c>
      <c r="D1644" s="5">
        <f ca="1">IFERROR(__xludf.DUMMYFUNCTION("""COMPUTED_VALUE"""),1999)</f>
        <v>1999</v>
      </c>
      <c r="E1644" s="8">
        <f ca="1">IFERROR(__xludf.DUMMYFUNCTION("""COMPUTED_VALUE"""),36272)</f>
        <v>36272</v>
      </c>
      <c r="F1644" s="5" t="str">
        <f ca="1">IFERROR(__xludf.DUMMYFUNCTION("""COMPUTED_VALUE"""),"Martin Luther King Jr. Middle School")</f>
        <v>Martin Luther King Jr. Middle School</v>
      </c>
      <c r="G1644" s="5">
        <f ca="1">IFERROR(__xludf.DUMMYFUNCTION("""COMPUTED_VALUE"""),1)</f>
        <v>1</v>
      </c>
      <c r="H1644" s="5">
        <f ca="1">IFERROR(__xludf.DUMMYFUNCTION("""COMPUTED_VALUE"""),0)</f>
        <v>0</v>
      </c>
      <c r="I1644" s="5">
        <f ca="1">IFERROR(__xludf.DUMMYFUNCTION("""COMPUTED_VALUE"""),1)</f>
        <v>1</v>
      </c>
      <c r="J1644" s="5">
        <f ca="1">IFERROR(__xludf.DUMMYFUNCTION("""COMPUTED_VALUE"""),0)</f>
        <v>0</v>
      </c>
      <c r="K1644" s="9" t="str">
        <f ca="1">IFERROR(__xludf.DUMMYFUNCTION("""COMPUTED_VALUE"""),"https://www.newspapers.com/image/403219735/?terms=Geno%2BThomas%2Bshooting")</f>
        <v>https://www.newspapers.com/image/403219735/?terms=Geno%2BThomas%2Bshooting</v>
      </c>
      <c r="L1644" s="5"/>
      <c r="M1644" s="5"/>
      <c r="N1644" s="5">
        <f ca="1">IFERROR(__xludf.DUMMYFUNCTION("""COMPUTED_VALUE"""),2)</f>
        <v>2</v>
      </c>
      <c r="O1644" s="5" t="str">
        <f ca="1">IFERROR(__xludf.DUMMYFUNCTION("""COMPUTED_VALUE"""),"Spring")</f>
        <v>Spring</v>
      </c>
      <c r="P1644" s="5" t="str">
        <f ca="1">IFERROR(__xludf.DUMMYFUNCTION("""COMPUTED_VALUE"""),"Atlanta")</f>
        <v>Atlanta</v>
      </c>
      <c r="Q1644" s="5" t="str">
        <f ca="1">IFERROR(__xludf.DUMMYFUNCTION("""COMPUTED_VALUE"""),"GA")</f>
        <v>GA</v>
      </c>
      <c r="R1644" s="5" t="str">
        <f ca="1">IFERROR(__xludf.DUMMYFUNCTION("""COMPUTED_VALUE"""),"Middle")</f>
        <v>Middle</v>
      </c>
      <c r="S1644" s="5" t="str">
        <f ca="1">IFERROR(__xludf.DUMMYFUNCTION("""COMPUTED_VALUE"""),"Parking Lot")</f>
        <v>Parking Lot</v>
      </c>
      <c r="T1644" s="5" t="str">
        <f ca="1">IFERROR(__xludf.DUMMYFUNCTION("""COMPUTED_VALUE"""),"Outside on School Property")</f>
        <v>Outside on School Property</v>
      </c>
      <c r="U1644" s="5" t="str">
        <f ca="1">IFERROR(__xludf.DUMMYFUNCTION("""COMPUTED_VALUE"""),"No")</f>
        <v>No</v>
      </c>
      <c r="V1644" s="5" t="str">
        <f ca="1">IFERROR(__xludf.DUMMYFUNCTION("""COMPUTED_VALUE"""),"Evening")</f>
        <v>Evening</v>
      </c>
      <c r="W1644" s="10">
        <f ca="1">IFERROR(__xludf.DUMMYFUNCTION("""COMPUTED_VALUE"""),0.90625)</f>
        <v>0.90625</v>
      </c>
      <c r="X1644" s="5">
        <f ca="1">IFERROR(__xludf.DUMMYFUNCTION("""COMPUTED_VALUE"""),1)</f>
        <v>1</v>
      </c>
      <c r="Y1644" s="5" t="str">
        <f ca="1">IFERROR(__xludf.DUMMYFUNCTION("""COMPUTED_VALUE"""),"Victim shot in back outside school, shooter and victim had Ongoing dispute")</f>
        <v>Victim shot in back outside school, shooter and victim had Ongoing dispute</v>
      </c>
      <c r="Z1644" s="5" t="str">
        <f ca="1">IFERROR(__xludf.DUMMYFUNCTION("""COMPUTED_VALUE"""),"17YOM fired 3 shots into the back of 13YOM in the school parking lot after band practice. The shooter and victim had an Ongoing dispute. Shooter fled and was arrested the next day.")</f>
        <v>17YOM fired 3 shots into the back of 13YOM in the school parking lot after band practice. The shooter and victim had an Ongoing dispute. Shooter fled and was arrested the next day.</v>
      </c>
      <c r="AA1644" s="5" t="str">
        <f ca="1">IFERROR(__xludf.DUMMYFUNCTION("""COMPUTED_VALUE"""),"Escalation of Dispute")</f>
        <v>Escalation of Dispute</v>
      </c>
      <c r="AB1644" s="5" t="str">
        <f ca="1">IFERROR(__xludf.DUMMYFUNCTION("""COMPUTED_VALUE"""),"Victims Targeted")</f>
        <v>Victims Targeted</v>
      </c>
      <c r="AC1644" s="5" t="str">
        <f ca="1">IFERROR(__xludf.DUMMYFUNCTION("""COMPUTED_VALUE"""),"Yes")</f>
        <v>Yes</v>
      </c>
      <c r="AD1644" s="5" t="str">
        <f ca="1">IFERROR(__xludf.DUMMYFUNCTION("""COMPUTED_VALUE"""),"No")</f>
        <v>No</v>
      </c>
      <c r="AE1644" s="5" t="str">
        <f ca="1">IFERROR(__xludf.DUMMYFUNCTION("""COMPUTED_VALUE"""),"No")</f>
        <v>No</v>
      </c>
      <c r="AF1644" s="5" t="str">
        <f ca="1">IFERROR(__xludf.DUMMYFUNCTION("""COMPUTED_VALUE"""),"No")</f>
        <v>No</v>
      </c>
      <c r="AG1644" s="5" t="str">
        <f ca="1">IFERROR(__xludf.DUMMYFUNCTION("""COMPUTED_VALUE"""),"No")</f>
        <v>No</v>
      </c>
      <c r="AH1644" s="5" t="str">
        <f ca="1">IFERROR(__xludf.DUMMYFUNCTION("""COMPUTED_VALUE"""),"No")</f>
        <v>No</v>
      </c>
      <c r="AI1644" s="5" t="str">
        <f ca="1">IFERROR(__xludf.DUMMYFUNCTION("""COMPUTED_VALUE"""),"No")</f>
        <v>No</v>
      </c>
      <c r="AJ1644" s="5"/>
    </row>
    <row r="1645" spans="1:36" ht="13">
      <c r="A1645" s="5" t="str">
        <f ca="1">IFERROR(__xludf.DUMMYFUNCTION("""COMPUTED_VALUE"""),"19990422LASCB")</f>
        <v>19990422LASCB</v>
      </c>
      <c r="B1645" s="5">
        <f ca="1">IFERROR(__xludf.DUMMYFUNCTION("""COMPUTED_VALUE"""),4)</f>
        <v>4</v>
      </c>
      <c r="C1645" s="5">
        <f ca="1">IFERROR(__xludf.DUMMYFUNCTION("""COMPUTED_VALUE"""),22)</f>
        <v>22</v>
      </c>
      <c r="D1645" s="5">
        <f ca="1">IFERROR(__xludf.DUMMYFUNCTION("""COMPUTED_VALUE"""),1999)</f>
        <v>1999</v>
      </c>
      <c r="E1645" s="8">
        <f ca="1">IFERROR(__xludf.DUMMYFUNCTION("""COMPUTED_VALUE"""),36272)</f>
        <v>36272</v>
      </c>
      <c r="F1645" s="5" t="str">
        <f ca="1">IFERROR(__xludf.DUMMYFUNCTION("""COMPUTED_VALUE"""),"Scotlandville Middle School")</f>
        <v>Scotlandville Middle School</v>
      </c>
      <c r="G1645" s="5">
        <f ca="1">IFERROR(__xludf.DUMMYFUNCTION("""COMPUTED_VALUE"""),0)</f>
        <v>0</v>
      </c>
      <c r="H1645" s="5">
        <f ca="1">IFERROR(__xludf.DUMMYFUNCTION("""COMPUTED_VALUE"""),1)</f>
        <v>1</v>
      </c>
      <c r="I1645" s="5">
        <f ca="1">IFERROR(__xludf.DUMMYFUNCTION("""COMPUTED_VALUE"""),1)</f>
        <v>1</v>
      </c>
      <c r="J1645" s="5">
        <f ca="1">IFERROR(__xludf.DUMMYFUNCTION("""COMPUTED_VALUE"""),0)</f>
        <v>0</v>
      </c>
      <c r="K1645" s="5" t="str">
        <f ca="1">IFERROR(__xludf.DUMMYFUNCTION("""COMPUTED_VALUE"""),"(Baton Rouge) The Advocate - Scotlandville Middle student shot, 2 booked; (Baton Rouge) The Advocate - Teenager Arrested in School Shooting; https://www.columbine-angels.com/School_Violence_1998-1999.htm")</f>
        <v>(Baton Rouge) The Advocate - Scotlandville Middle student shot, 2 booked; (Baton Rouge) The Advocate - Teenager Arrested in School Shooting; https://www.columbine-angels.com/School_Violence_1998-1999.htm</v>
      </c>
      <c r="L1645" s="5"/>
      <c r="M1645" s="5"/>
      <c r="N1645" s="5">
        <f ca="1">IFERROR(__xludf.DUMMYFUNCTION("""COMPUTED_VALUE"""),1)</f>
        <v>1</v>
      </c>
      <c r="O1645" s="5" t="str">
        <f ca="1">IFERROR(__xludf.DUMMYFUNCTION("""COMPUTED_VALUE"""),"Spring")</f>
        <v>Spring</v>
      </c>
      <c r="P1645" s="5" t="str">
        <f ca="1">IFERROR(__xludf.DUMMYFUNCTION("""COMPUTED_VALUE"""),"Baton Rouge")</f>
        <v>Baton Rouge</v>
      </c>
      <c r="Q1645" s="5" t="str">
        <f ca="1">IFERROR(__xludf.DUMMYFUNCTION("""COMPUTED_VALUE"""),"LA")</f>
        <v>LA</v>
      </c>
      <c r="R1645" s="5" t="str">
        <f ca="1">IFERROR(__xludf.DUMMYFUNCTION("""COMPUTED_VALUE"""),"Middle")</f>
        <v>Middle</v>
      </c>
      <c r="S1645" s="5" t="str">
        <f ca="1">IFERROR(__xludf.DUMMYFUNCTION("""COMPUTED_VALUE"""),"Beside Building")</f>
        <v>Beside Building</v>
      </c>
      <c r="T1645" s="5" t="str">
        <f ca="1">IFERROR(__xludf.DUMMYFUNCTION("""COMPUTED_VALUE"""),"Outside on School Property")</f>
        <v>Outside on School Property</v>
      </c>
      <c r="U1645" s="5" t="str">
        <f ca="1">IFERROR(__xludf.DUMMYFUNCTION("""COMPUTED_VALUE"""),"Yes")</f>
        <v>Yes</v>
      </c>
      <c r="V1645" s="5" t="str">
        <f ca="1">IFERROR(__xludf.DUMMYFUNCTION("""COMPUTED_VALUE"""),"Lunch")</f>
        <v>Lunch</v>
      </c>
      <c r="W1645" s="10">
        <f ca="1">IFERROR(__xludf.DUMMYFUNCTION("""COMPUTED_VALUE"""),0.520833333333333)</f>
        <v>0.52083333333333304</v>
      </c>
      <c r="X1645" s="5">
        <f ca="1">IFERROR(__xludf.DUMMYFUNCTION("""COMPUTED_VALUE"""),1)</f>
        <v>1</v>
      </c>
      <c r="Y1645" s="5" t="str">
        <f ca="1">IFERROR(__xludf.DUMMYFUNCTION("""COMPUTED_VALUE"""),"Shooter targeted victim due to prior fight, hit the girl the target was walking with")</f>
        <v>Shooter targeted victim due to prior fight, hit the girl the target was walking with</v>
      </c>
      <c r="Z1645" s="5" t="str">
        <f ca="1">IFERROR(__xludf.DUMMYFUNCTION("""COMPUTED_VALUE"""),"14YOM had prior fights with a 14YOM targeted victim. Shooter was suspended and waiting outside of the school for the victim to exit. Target was walking with a 14 YOF student. Shooter fired at them and struck only the female student then feld.")</f>
        <v>14YOM had prior fights with a 14YOM targeted victim. Shooter was suspended and waiting outside of the school for the victim to exit. Target was walking with a 14 YOF student. Shooter fired at them and struck only the female student then feld.</v>
      </c>
      <c r="AA1645" s="5" t="str">
        <f ca="1">IFERROR(__xludf.DUMMYFUNCTION("""COMPUTED_VALUE"""),"Escalation of Dispute")</f>
        <v>Escalation of Dispute</v>
      </c>
      <c r="AB1645" s="5" t="str">
        <f ca="1">IFERROR(__xludf.DUMMYFUNCTION("""COMPUTED_VALUE"""),"Both")</f>
        <v>Both</v>
      </c>
      <c r="AC1645" s="5" t="str">
        <f ca="1">IFERROR(__xludf.DUMMYFUNCTION("""COMPUTED_VALUE"""),"No")</f>
        <v>No</v>
      </c>
      <c r="AD1645" s="5" t="str">
        <f ca="1">IFERROR(__xludf.DUMMYFUNCTION("""COMPUTED_VALUE"""),"No")</f>
        <v>No</v>
      </c>
      <c r="AE1645" s="5" t="str">
        <f ca="1">IFERROR(__xludf.DUMMYFUNCTION("""COMPUTED_VALUE"""),"No")</f>
        <v>No</v>
      </c>
      <c r="AF1645" s="5" t="str">
        <f ca="1">IFERROR(__xludf.DUMMYFUNCTION("""COMPUTED_VALUE"""),"No")</f>
        <v>No</v>
      </c>
      <c r="AG1645" s="5" t="str">
        <f ca="1">IFERROR(__xludf.DUMMYFUNCTION("""COMPUTED_VALUE"""),"No")</f>
        <v>No</v>
      </c>
      <c r="AH1645" s="5" t="str">
        <f ca="1">IFERROR(__xludf.DUMMYFUNCTION("""COMPUTED_VALUE"""),"No")</f>
        <v>No</v>
      </c>
      <c r="AI1645" s="5" t="str">
        <f ca="1">IFERROR(__xludf.DUMMYFUNCTION("""COMPUTED_VALUE"""),"No")</f>
        <v>No</v>
      </c>
      <c r="AJ1645" s="5"/>
    </row>
    <row r="1646" spans="1:36" ht="13">
      <c r="A1646" s="5" t="str">
        <f ca="1">IFERROR(__xludf.DUMMYFUNCTION("""COMPUTED_VALUE"""),"19990420COCOL")</f>
        <v>19990420COCOL</v>
      </c>
      <c r="B1646" s="5">
        <f ca="1">IFERROR(__xludf.DUMMYFUNCTION("""COMPUTED_VALUE"""),4)</f>
        <v>4</v>
      </c>
      <c r="C1646" s="5">
        <f ca="1">IFERROR(__xludf.DUMMYFUNCTION("""COMPUTED_VALUE"""),20)</f>
        <v>20</v>
      </c>
      <c r="D1646" s="5">
        <f ca="1">IFERROR(__xludf.DUMMYFUNCTION("""COMPUTED_VALUE"""),1999)</f>
        <v>1999</v>
      </c>
      <c r="E1646" s="8">
        <f ca="1">IFERROR(__xludf.DUMMYFUNCTION("""COMPUTED_VALUE"""),36270)</f>
        <v>36270</v>
      </c>
      <c r="F1646" s="5" t="str">
        <f ca="1">IFERROR(__xludf.DUMMYFUNCTION("""COMPUTED_VALUE"""),"Columbine High School")</f>
        <v>Columbine High School</v>
      </c>
      <c r="G1646" s="5">
        <f ca="1">IFERROR(__xludf.DUMMYFUNCTION("""COMPUTED_VALUE"""),13)</f>
        <v>13</v>
      </c>
      <c r="H1646" s="5">
        <f ca="1">IFERROR(__xludf.DUMMYFUNCTION("""COMPUTED_VALUE"""),24)</f>
        <v>24</v>
      </c>
      <c r="I1646" s="5">
        <f ca="1">IFERROR(__xludf.DUMMYFUNCTION("""COMPUTED_VALUE"""),37)</f>
        <v>37</v>
      </c>
      <c r="J1646" s="5">
        <f ca="1">IFERROR(__xludf.DUMMYFUNCTION("""COMPUTED_VALUE"""),2)</f>
        <v>2</v>
      </c>
      <c r="K1646" s="9" t="str">
        <f ca="1">IFERROR(__xludf.DUMMYFUNCTION("""COMPUTED_VALUE"""),"https://www.history.com/topics/columbine-high-school-shootings")</f>
        <v>https://www.history.com/topics/columbine-high-school-shootings</v>
      </c>
      <c r="L1646" s="5"/>
      <c r="M1646" s="5"/>
      <c r="N1646" s="5">
        <f ca="1">IFERROR(__xludf.DUMMYFUNCTION("""COMPUTED_VALUE"""),5)</f>
        <v>5</v>
      </c>
      <c r="O1646" s="5" t="str">
        <f ca="1">IFERROR(__xludf.DUMMYFUNCTION("""COMPUTED_VALUE"""),"Spring")</f>
        <v>Spring</v>
      </c>
      <c r="P1646" s="5" t="str">
        <f ca="1">IFERROR(__xludf.DUMMYFUNCTION("""COMPUTED_VALUE"""),"Littleton")</f>
        <v>Littleton</v>
      </c>
      <c r="Q1646" s="5" t="str">
        <f ca="1">IFERROR(__xludf.DUMMYFUNCTION("""COMPUTED_VALUE"""),"CO")</f>
        <v>CO</v>
      </c>
      <c r="R1646" s="5" t="str">
        <f ca="1">IFERROR(__xludf.DUMMYFUNCTION("""COMPUTED_VALUE"""),"High")</f>
        <v>High</v>
      </c>
      <c r="S1646" s="5" t="str">
        <f ca="1">IFERROR(__xludf.DUMMYFUNCTION("""COMPUTED_VALUE"""),"Cafeteria")</f>
        <v>Cafeteria</v>
      </c>
      <c r="T1646" s="5" t="str">
        <f ca="1">IFERROR(__xludf.DUMMYFUNCTION("""COMPUTED_VALUE"""),"Inside School Building")</f>
        <v>Inside School Building</v>
      </c>
      <c r="U1646" s="5" t="str">
        <f ca="1">IFERROR(__xludf.DUMMYFUNCTION("""COMPUTED_VALUE"""),"Yes")</f>
        <v>Yes</v>
      </c>
      <c r="V1646" s="5" t="str">
        <f ca="1">IFERROR(__xludf.DUMMYFUNCTION("""COMPUTED_VALUE"""),"Morning Classes")</f>
        <v>Morning Classes</v>
      </c>
      <c r="W1646" s="10">
        <f ca="1">IFERROR(__xludf.DUMMYFUNCTION("""COMPUTED_VALUE"""),0.471527777777777)</f>
        <v>0.47152777777777699</v>
      </c>
      <c r="X1646" s="5">
        <f ca="1">IFERROR(__xludf.DUMMYFUNCTION("""COMPUTED_VALUE"""),49)</f>
        <v>49</v>
      </c>
      <c r="Y1646" s="5" t="str">
        <f ca="1">IFERROR(__xludf.DUMMYFUNCTION("""COMPUTED_VALUE"""),"Planned attack and bombing of school")</f>
        <v>Planned attack and bombing of school</v>
      </c>
      <c r="Z1646" s="5" t="str">
        <f ca="1">IFERROR(__xludf.DUMMYFUNCTION("""COMPUTED_VALUE"""),"Shooter planned a bombing of the school that they hoped would rival the Oklahoma City bombing. They placed two propane tank bombs in the school set to detonate at 11:17. When the bombs didn't go off, they entered the school and shot random victims. The sh"&amp;"ooters eventually commit suicide after the building was surrounded by police. They spent more than a year planning the attack. Shooter has contact with law enforcement 15 times before the shootings. Made previous death threats to students. Weapons: 12-gau"&amp;"ge, 9mm, TEC-9, 12-gauge sawed-off shotgun")</f>
        <v>Shooter planned a bombing of the school that they hoped would rival the Oklahoma City bombing. They placed two propane tank bombs in the school set to detonate at 11:17. When the bombs didn't go off, they entered the school and shot random victims. The shooters eventually commit suicide after the building was surrounded by police. They spent more than a year planning the attack. Shooter has contact with law enforcement 15 times before the shootings. Made previous death threats to students. Weapons: 12-gauge, 9mm, TEC-9, 12-gauge sawed-off shotgun</v>
      </c>
      <c r="AA1646" s="5" t="str">
        <f ca="1">IFERROR(__xludf.DUMMYFUNCTION("""COMPUTED_VALUE"""),"Indiscriminate Shooting")</f>
        <v>Indiscriminate Shooting</v>
      </c>
      <c r="AB1646" s="5" t="str">
        <f ca="1">IFERROR(__xludf.DUMMYFUNCTION("""COMPUTED_VALUE"""),"Both")</f>
        <v>Both</v>
      </c>
      <c r="AC1646" s="5" t="str">
        <f ca="1">IFERROR(__xludf.DUMMYFUNCTION("""COMPUTED_VALUE"""),"Yes")</f>
        <v>Yes</v>
      </c>
      <c r="AD1646" s="5" t="str">
        <f ca="1">IFERROR(__xludf.DUMMYFUNCTION("""COMPUTED_VALUE"""),"No")</f>
        <v>No</v>
      </c>
      <c r="AE1646" s="5" t="str">
        <f ca="1">IFERROR(__xludf.DUMMYFUNCTION("""COMPUTED_VALUE"""),"No")</f>
        <v>No</v>
      </c>
      <c r="AF1646" s="5" t="str">
        <f ca="1">IFERROR(__xludf.DUMMYFUNCTION("""COMPUTED_VALUE"""),"No")</f>
        <v>No</v>
      </c>
      <c r="AG1646" s="5" t="str">
        <f ca="1">IFERROR(__xludf.DUMMYFUNCTION("""COMPUTED_VALUE"""),"Yes")</f>
        <v>Yes</v>
      </c>
      <c r="AH1646" s="5" t="str">
        <f ca="1">IFERROR(__xludf.DUMMYFUNCTION("""COMPUTED_VALUE"""),"No")</f>
        <v>No</v>
      </c>
      <c r="AI1646" s="5" t="str">
        <f ca="1">IFERROR(__xludf.DUMMYFUNCTION("""COMPUTED_VALUE"""),"No")</f>
        <v>No</v>
      </c>
      <c r="AJ1646" s="5" t="str">
        <f ca="1">IFERROR(__xludf.DUMMYFUNCTION("""COMPUTED_VALUE"""),"Yes")</f>
        <v>Yes</v>
      </c>
    </row>
    <row r="1647" spans="1:36" ht="13">
      <c r="A1647" s="5" t="str">
        <f ca="1">IFERROR(__xludf.DUMMYFUNCTION("""COMPUTED_VALUE"""),"19990416IDNON")</f>
        <v>19990416IDNON</v>
      </c>
      <c r="B1647" s="5">
        <f ca="1">IFERROR(__xludf.DUMMYFUNCTION("""COMPUTED_VALUE"""),4)</f>
        <v>4</v>
      </c>
      <c r="C1647" s="5">
        <f ca="1">IFERROR(__xludf.DUMMYFUNCTION("""COMPUTED_VALUE"""),16)</f>
        <v>16</v>
      </c>
      <c r="D1647" s="5">
        <f ca="1">IFERROR(__xludf.DUMMYFUNCTION("""COMPUTED_VALUE"""),1999)</f>
        <v>1999</v>
      </c>
      <c r="E1647" s="8">
        <f ca="1">IFERROR(__xludf.DUMMYFUNCTION("""COMPUTED_VALUE"""),36266)</f>
        <v>36266</v>
      </c>
      <c r="F1647" s="5" t="str">
        <f ca="1">IFERROR(__xludf.DUMMYFUNCTION("""COMPUTED_VALUE"""),"Notus Jr. Sr. High School")</f>
        <v>Notus Jr. Sr. High School</v>
      </c>
      <c r="G1647" s="5">
        <f ca="1">IFERROR(__xludf.DUMMYFUNCTION("""COMPUTED_VALUE"""),0)</f>
        <v>0</v>
      </c>
      <c r="H1647" s="5">
        <f ca="1">IFERROR(__xludf.DUMMYFUNCTION("""COMPUTED_VALUE"""),0)</f>
        <v>0</v>
      </c>
      <c r="I1647" s="5">
        <f ca="1">IFERROR(__xludf.DUMMYFUNCTION("""COMPUTED_VALUE"""),0)</f>
        <v>0</v>
      </c>
      <c r="J1647" s="5">
        <f ca="1">IFERROR(__xludf.DUMMYFUNCTION("""COMPUTED_VALUE"""),0)</f>
        <v>0</v>
      </c>
      <c r="K1647" s="9" t="str">
        <f ca="1">IFERROR(__xludf.DUMMYFUNCTION("""COMPUTED_VALUE"""),"https://www.deseretnews.com/article/691987/Did-teen-in-school-shooting-have-hit-list.html")</f>
        <v>https://www.deseretnews.com/article/691987/Did-teen-in-school-shooting-have-hit-list.html</v>
      </c>
      <c r="L1647" s="5"/>
      <c r="M1647" s="5"/>
      <c r="N1647" s="5">
        <f ca="1">IFERROR(__xludf.DUMMYFUNCTION("""COMPUTED_VALUE"""),2)</f>
        <v>2</v>
      </c>
      <c r="O1647" s="5" t="str">
        <f ca="1">IFERROR(__xludf.DUMMYFUNCTION("""COMPUTED_VALUE"""),"Spring")</f>
        <v>Spring</v>
      </c>
      <c r="P1647" s="5" t="str">
        <f ca="1">IFERROR(__xludf.DUMMYFUNCTION("""COMPUTED_VALUE"""),"Notus")</f>
        <v>Notus</v>
      </c>
      <c r="Q1647" s="5" t="str">
        <f ca="1">IFERROR(__xludf.DUMMYFUNCTION("""COMPUTED_VALUE"""),"ID")</f>
        <v>ID</v>
      </c>
      <c r="R1647" s="11">
        <f ca="1">IFERROR(__xludf.DUMMYFUNCTION("""COMPUTED_VALUE"""),44724)</f>
        <v>44724</v>
      </c>
      <c r="S1647" s="5" t="str">
        <f ca="1">IFERROR(__xludf.DUMMYFUNCTION("""COMPUTED_VALUE"""),"Gym")</f>
        <v>Gym</v>
      </c>
      <c r="T1647" s="5" t="str">
        <f ca="1">IFERROR(__xludf.DUMMYFUNCTION("""COMPUTED_VALUE"""),"Inside School Building")</f>
        <v>Inside School Building</v>
      </c>
      <c r="U1647" s="5" t="str">
        <f ca="1">IFERROR(__xludf.DUMMYFUNCTION("""COMPUTED_VALUE"""),"Yes")</f>
        <v>Yes</v>
      </c>
      <c r="V1647" s="5" t="str">
        <f ca="1">IFERROR(__xludf.DUMMYFUNCTION("""COMPUTED_VALUE"""),"Unknown")</f>
        <v>Unknown</v>
      </c>
      <c r="W1647" s="5"/>
      <c r="X1647" s="5"/>
      <c r="Y1647" s="5" t="str">
        <f ca="1">IFERROR(__xludf.DUMMYFUNCTION("""COMPUTED_VALUE"""),"Fired two shots inside school and surrendered when confronted by police")</f>
        <v>Fired two shots inside school and surrendered when confronted by police</v>
      </c>
      <c r="Z1647" s="5" t="str">
        <f ca="1">IFERROR(__xludf.DUMMYFUNCTION("""COMPUTED_VALUE"""),"Shooter brought a shotgun to school wrapped in a blanket and fired two shots into the ceiling and the door of the gym. Nobody was injured. Police officers were nearby, entered the school, and confronted the shooter. He dropped the weapon with 3 unfired sh"&amp;"ells inside. The shooter was incoherent and taken for mental health custody.")</f>
        <v>Shooter brought a shotgun to school wrapped in a blanket and fired two shots into the ceiling and the door of the gym. Nobody was injured. Police officers were nearby, entered the school, and confronted the shooter. He dropped the weapon with 3 unfired shells inside. The shooter was incoherent and taken for mental health custody.</v>
      </c>
      <c r="AA1647" s="5" t="str">
        <f ca="1">IFERROR(__xludf.DUMMYFUNCTION("""COMPUTED_VALUE"""),"Psychosis")</f>
        <v>Psychosis</v>
      </c>
      <c r="AB1647" s="5" t="str">
        <f ca="1">IFERROR(__xludf.DUMMYFUNCTION("""COMPUTED_VALUE"""),"Random Shooting")</f>
        <v>Random Shooting</v>
      </c>
      <c r="AC1647" s="5"/>
      <c r="AD1647" s="5" t="str">
        <f ca="1">IFERROR(__xludf.DUMMYFUNCTION("""COMPUTED_VALUE"""),"No")</f>
        <v>No</v>
      </c>
      <c r="AE1647" s="5" t="str">
        <f ca="1">IFERROR(__xludf.DUMMYFUNCTION("""COMPUTED_VALUE"""),"No")</f>
        <v>No</v>
      </c>
      <c r="AF1647" s="5" t="str">
        <f ca="1">IFERROR(__xludf.DUMMYFUNCTION("""COMPUTED_VALUE"""),"No")</f>
        <v>No</v>
      </c>
      <c r="AG1647" s="5" t="str">
        <f ca="1">IFERROR(__xludf.DUMMYFUNCTION("""COMPUTED_VALUE"""),"No")</f>
        <v>No</v>
      </c>
      <c r="AH1647" s="5" t="str">
        <f ca="1">IFERROR(__xludf.DUMMYFUNCTION("""COMPUTED_VALUE"""),"No")</f>
        <v>No</v>
      </c>
      <c r="AI1647" s="5" t="str">
        <f ca="1">IFERROR(__xludf.DUMMYFUNCTION("""COMPUTED_VALUE"""),"No")</f>
        <v>No</v>
      </c>
      <c r="AJ1647" s="5" t="str">
        <f ca="1">IFERROR(__xludf.DUMMYFUNCTION("""COMPUTED_VALUE"""),"Yes")</f>
        <v>Yes</v>
      </c>
    </row>
    <row r="1648" spans="1:36" ht="13">
      <c r="A1648" s="5" t="str">
        <f ca="1">IFERROR(__xludf.DUMMYFUNCTION("""COMPUTED_VALUE"""),"19990304ILNIS")</f>
        <v>19990304ILNIS</v>
      </c>
      <c r="B1648" s="5">
        <f ca="1">IFERROR(__xludf.DUMMYFUNCTION("""COMPUTED_VALUE"""),3)</f>
        <v>3</v>
      </c>
      <c r="C1648" s="5">
        <f ca="1">IFERROR(__xludf.DUMMYFUNCTION("""COMPUTED_VALUE"""),4)</f>
        <v>4</v>
      </c>
      <c r="D1648" s="5">
        <f ca="1">IFERROR(__xludf.DUMMYFUNCTION("""COMPUTED_VALUE"""),1999)</f>
        <v>1999</v>
      </c>
      <c r="E1648" s="8">
        <f ca="1">IFERROR(__xludf.DUMMYFUNCTION("""COMPUTED_VALUE"""),36223)</f>
        <v>36223</v>
      </c>
      <c r="F1648" s="5" t="str">
        <f ca="1">IFERROR(__xludf.DUMMYFUNCTION("""COMPUTED_VALUE"""),"Niles West High School")</f>
        <v>Niles West High School</v>
      </c>
      <c r="G1648" s="5">
        <f ca="1">IFERROR(__xludf.DUMMYFUNCTION("""COMPUTED_VALUE"""),0)</f>
        <v>0</v>
      </c>
      <c r="H1648" s="5">
        <f ca="1">IFERROR(__xludf.DUMMYFUNCTION("""COMPUTED_VALUE"""),1)</f>
        <v>1</v>
      </c>
      <c r="I1648" s="5">
        <f ca="1">IFERROR(__xludf.DUMMYFUNCTION("""COMPUTED_VALUE"""),1)</f>
        <v>1</v>
      </c>
      <c r="J1648" s="5">
        <f ca="1">IFERROR(__xludf.DUMMYFUNCTION("""COMPUTED_VALUE"""),1)</f>
        <v>1</v>
      </c>
      <c r="K1648" s="9" t="str">
        <f ca="1">IFERROR(__xludf.DUMMYFUNCTION("""COMPUTED_VALUE"""),"http://articles.chicagotribune.com/1999-03-06/news/9903060113_1_hennessy-police-skokie")</f>
        <v>http://articles.chicagotribune.com/1999-03-06/news/9903060113_1_hennessy-police-skokie</v>
      </c>
      <c r="L1648" s="5"/>
      <c r="M1648" s="5"/>
      <c r="N1648" s="5">
        <f ca="1">IFERROR(__xludf.DUMMYFUNCTION("""COMPUTED_VALUE"""),2)</f>
        <v>2</v>
      </c>
      <c r="O1648" s="5" t="str">
        <f ca="1">IFERROR(__xludf.DUMMYFUNCTION("""COMPUTED_VALUE"""),"Spring")</f>
        <v>Spring</v>
      </c>
      <c r="P1648" s="5" t="str">
        <f ca="1">IFERROR(__xludf.DUMMYFUNCTION("""COMPUTED_VALUE"""),"Skokie")</f>
        <v>Skokie</v>
      </c>
      <c r="Q1648" s="5" t="str">
        <f ca="1">IFERROR(__xludf.DUMMYFUNCTION("""COMPUTED_VALUE"""),"IL")</f>
        <v>IL</v>
      </c>
      <c r="R1648" s="5" t="str">
        <f ca="1">IFERROR(__xludf.DUMMYFUNCTION("""COMPUTED_VALUE"""),"High")</f>
        <v>High</v>
      </c>
      <c r="S1648" s="5" t="str">
        <f ca="1">IFERROR(__xludf.DUMMYFUNCTION("""COMPUTED_VALUE"""),"Gym")</f>
        <v>Gym</v>
      </c>
      <c r="T1648" s="5" t="str">
        <f ca="1">IFERROR(__xludf.DUMMYFUNCTION("""COMPUTED_VALUE"""),"Inside School Building")</f>
        <v>Inside School Building</v>
      </c>
      <c r="U1648" s="5" t="str">
        <f ca="1">IFERROR(__xludf.DUMMYFUNCTION("""COMPUTED_VALUE"""),"No")</f>
        <v>No</v>
      </c>
      <c r="V1648" s="5" t="str">
        <f ca="1">IFERROR(__xludf.DUMMYFUNCTION("""COMPUTED_VALUE"""),"Sport Event")</f>
        <v>Sport Event</v>
      </c>
      <c r="W1648" s="10">
        <f ca="1">IFERROR(__xludf.DUMMYFUNCTION("""COMPUTED_VALUE"""),0.916666666666666)</f>
        <v>0.91666666666666596</v>
      </c>
      <c r="X1648" s="5">
        <f ca="1">IFERROR(__xludf.DUMMYFUNCTION("""COMPUTED_VALUE"""),2)</f>
        <v>2</v>
      </c>
      <c r="Y1648" s="5" t="str">
        <f ca="1">IFERROR(__xludf.DUMMYFUNCTION("""COMPUTED_VALUE"""),"Shot security guard in targeted shooting")</f>
        <v>Shot security guard in targeted shooting</v>
      </c>
      <c r="Z1648" s="5" t="str">
        <f ca="1">IFERROR(__xludf.DUMMYFUNCTION("""COMPUTED_VALUE"""),"26 year old male approached a 57 year old school security officer who was working a high school volleyball game. The shooter shot the victim twice in the chest and once in the groin. The shooter then fled - when spotted by the police, the shooter shot him"&amp;"self in the head. He was pronounced dead at the hospital. The shooter had 32 rounds of ammo on him and was not known to have a prior criminal record.")</f>
        <v>26 year old male approached a 57 year old school security officer who was working a high school volleyball game. The shooter shot the victim twice in the chest and once in the groin. The shooter then fled - when spotted by the police, the shooter shot himself in the head. He was pronounced dead at the hospital. The shooter had 32 rounds of ammo on him and was not known to have a prior criminal record.</v>
      </c>
      <c r="AA1648" s="5" t="str">
        <f ca="1">IFERROR(__xludf.DUMMYFUNCTION("""COMPUTED_VALUE"""),"Domestic w/ Targeted Victim")</f>
        <v>Domestic w/ Targeted Victim</v>
      </c>
      <c r="AB1648" s="5" t="str">
        <f ca="1">IFERROR(__xludf.DUMMYFUNCTION("""COMPUTED_VALUE"""),"Victims Targeted")</f>
        <v>Victims Targeted</v>
      </c>
      <c r="AC1648" s="5" t="str">
        <f ca="1">IFERROR(__xludf.DUMMYFUNCTION("""COMPUTED_VALUE"""),"No")</f>
        <v>No</v>
      </c>
      <c r="AD1648" s="5" t="str">
        <f ca="1">IFERROR(__xludf.DUMMYFUNCTION("""COMPUTED_VALUE"""),"No")</f>
        <v>No</v>
      </c>
      <c r="AE1648" s="5" t="str">
        <f ca="1">IFERROR(__xludf.DUMMYFUNCTION("""COMPUTED_VALUE"""),"No")</f>
        <v>No</v>
      </c>
      <c r="AF1648" s="5" t="str">
        <f ca="1">IFERROR(__xludf.DUMMYFUNCTION("""COMPUTED_VALUE"""),"No")</f>
        <v>No</v>
      </c>
      <c r="AG1648" s="5" t="str">
        <f ca="1">IFERROR(__xludf.DUMMYFUNCTION("""COMPUTED_VALUE"""),"No")</f>
        <v>No</v>
      </c>
      <c r="AH1648" s="5" t="str">
        <f ca="1">IFERROR(__xludf.DUMMYFUNCTION("""COMPUTED_VALUE"""),"Yes")</f>
        <v>Yes</v>
      </c>
      <c r="AI1648" s="5" t="str">
        <f ca="1">IFERROR(__xludf.DUMMYFUNCTION("""COMPUTED_VALUE"""),"No")</f>
        <v>No</v>
      </c>
      <c r="AJ1648" s="5"/>
    </row>
    <row r="1649" spans="1:36" ht="13">
      <c r="A1649" s="5" t="str">
        <f ca="1">IFERROR(__xludf.DUMMYFUNCTION("""COMPUTED_VALUE"""),"19990211ILOME")</f>
        <v>19990211ILOME</v>
      </c>
      <c r="B1649" s="5">
        <f ca="1">IFERROR(__xludf.DUMMYFUNCTION("""COMPUTED_VALUE"""),2)</f>
        <v>2</v>
      </c>
      <c r="C1649" s="5">
        <f ca="1">IFERROR(__xludf.DUMMYFUNCTION("""COMPUTED_VALUE"""),11)</f>
        <v>11</v>
      </c>
      <c r="D1649" s="5">
        <f ca="1">IFERROR(__xludf.DUMMYFUNCTION("""COMPUTED_VALUE"""),1999)</f>
        <v>1999</v>
      </c>
      <c r="E1649" s="8">
        <f ca="1">IFERROR(__xludf.DUMMYFUNCTION("""COMPUTED_VALUE"""),36202)</f>
        <v>36202</v>
      </c>
      <c r="F1649" s="5" t="str">
        <f ca="1">IFERROR(__xludf.DUMMYFUNCTION("""COMPUTED_VALUE"""),"Ombudsman Educational Service Center")</f>
        <v>Ombudsman Educational Service Center</v>
      </c>
      <c r="G1649" s="5">
        <f ca="1">IFERROR(__xludf.DUMMYFUNCTION("""COMPUTED_VALUE"""),1)</f>
        <v>1</v>
      </c>
      <c r="H1649" s="5">
        <f ca="1">IFERROR(__xludf.DUMMYFUNCTION("""COMPUTED_VALUE"""),0)</f>
        <v>0</v>
      </c>
      <c r="I1649" s="5">
        <f ca="1">IFERROR(__xludf.DUMMYFUNCTION("""COMPUTED_VALUE"""),1)</f>
        <v>1</v>
      </c>
      <c r="J1649" s="5">
        <f ca="1">IFERROR(__xludf.DUMMYFUNCTION("""COMPUTED_VALUE"""),0)</f>
        <v>0</v>
      </c>
      <c r="K1649" s="9" t="str">
        <f ca="1">IFERROR(__xludf.DUMMYFUNCTION("""COMPUTED_VALUE"""),"http://articles.chicagotribune.com/1999-02-12/news/9902120139_1_shooting-gunman-gang")</f>
        <v>http://articles.chicagotribune.com/1999-02-12/news/9902120139_1_shooting-gunman-gang</v>
      </c>
      <c r="L1649" s="5"/>
      <c r="M1649" s="5"/>
      <c r="N1649" s="5">
        <f ca="1">IFERROR(__xludf.DUMMYFUNCTION("""COMPUTED_VALUE"""),2)</f>
        <v>2</v>
      </c>
      <c r="O1649" s="5" t="str">
        <f ca="1">IFERROR(__xludf.DUMMYFUNCTION("""COMPUTED_VALUE"""),"Winter")</f>
        <v>Winter</v>
      </c>
      <c r="P1649" s="5" t="str">
        <f ca="1">IFERROR(__xludf.DUMMYFUNCTION("""COMPUTED_VALUE"""),"Elgin")</f>
        <v>Elgin</v>
      </c>
      <c r="Q1649" s="5" t="str">
        <f ca="1">IFERROR(__xludf.DUMMYFUNCTION("""COMPUTED_VALUE"""),"IL")</f>
        <v>IL</v>
      </c>
      <c r="R1649" s="5" t="str">
        <f ca="1">IFERROR(__xludf.DUMMYFUNCTION("""COMPUTED_VALUE"""),"High")</f>
        <v>High</v>
      </c>
      <c r="S1649" s="5" t="str">
        <f ca="1">IFERROR(__xludf.DUMMYFUNCTION("""COMPUTED_VALUE"""),"Classroom")</f>
        <v>Classroom</v>
      </c>
      <c r="T1649" s="5" t="str">
        <f ca="1">IFERROR(__xludf.DUMMYFUNCTION("""COMPUTED_VALUE"""),"Inside School Building")</f>
        <v>Inside School Building</v>
      </c>
      <c r="U1649" s="5" t="str">
        <f ca="1">IFERROR(__xludf.DUMMYFUNCTION("""COMPUTED_VALUE"""),"Yes")</f>
        <v>Yes</v>
      </c>
      <c r="V1649" s="5" t="str">
        <f ca="1">IFERROR(__xludf.DUMMYFUNCTION("""COMPUTED_VALUE"""),"Afternoon Classes")</f>
        <v>Afternoon Classes</v>
      </c>
      <c r="W1649" s="10">
        <f ca="1">IFERROR(__xludf.DUMMYFUNCTION("""COMPUTED_VALUE"""),0.520833333333333)</f>
        <v>0.52083333333333304</v>
      </c>
      <c r="X1649" s="5">
        <f ca="1">IFERROR(__xludf.DUMMYFUNCTION("""COMPUTED_VALUE"""),1)</f>
        <v>1</v>
      </c>
      <c r="Y1649" s="5" t="str">
        <f ca="1">IFERROR(__xludf.DUMMYFUNCTION("""COMPUTED_VALUE"""),"Masked shooter entered classroom and fired multiple shots at student")</f>
        <v>Masked shooter entered classroom and fired multiple shots at student</v>
      </c>
      <c r="Z1649" s="5" t="str">
        <f ca="1">IFERROR(__xludf.DUMMYFUNCTION("""COMPUTED_VALUE"""),"14YOM student was shot multiple times by a masked gunman. Gunman fled the scene to a waiting car. Police said the shooting was gang related.")</f>
        <v>14YOM student was shot multiple times by a masked gunman. Gunman fled the scene to a waiting car. Police said the shooting was gang related.</v>
      </c>
      <c r="AA1649" s="5" t="str">
        <f ca="1">IFERROR(__xludf.DUMMYFUNCTION("""COMPUTED_VALUE"""),"Escalation of Dispute")</f>
        <v>Escalation of Dispute</v>
      </c>
      <c r="AB1649" s="5" t="str">
        <f ca="1">IFERROR(__xludf.DUMMYFUNCTION("""COMPUTED_VALUE"""),"Victims Targeted")</f>
        <v>Victims Targeted</v>
      </c>
      <c r="AC1649" s="5" t="str">
        <f ca="1">IFERROR(__xludf.DUMMYFUNCTION("""COMPUTED_VALUE"""),"Yes")</f>
        <v>Yes</v>
      </c>
      <c r="AD1649" s="5" t="str">
        <f ca="1">IFERROR(__xludf.DUMMYFUNCTION("""COMPUTED_VALUE"""),"No")</f>
        <v>No</v>
      </c>
      <c r="AE1649" s="5" t="str">
        <f ca="1">IFERROR(__xludf.DUMMYFUNCTION("""COMPUTED_VALUE"""),"No")</f>
        <v>No</v>
      </c>
      <c r="AF1649" s="5" t="str">
        <f ca="1">IFERROR(__xludf.DUMMYFUNCTION("""COMPUTED_VALUE"""),"No")</f>
        <v>No</v>
      </c>
      <c r="AG1649" s="5" t="str">
        <f ca="1">IFERROR(__xludf.DUMMYFUNCTION("""COMPUTED_VALUE"""),"No")</f>
        <v>No</v>
      </c>
      <c r="AH1649" s="5" t="str">
        <f ca="1">IFERROR(__xludf.DUMMYFUNCTION("""COMPUTED_VALUE"""),"No")</f>
        <v>No</v>
      </c>
      <c r="AI1649" s="5" t="str">
        <f ca="1">IFERROR(__xludf.DUMMYFUNCTION("""COMPUTED_VALUE"""),"Yes")</f>
        <v>Yes</v>
      </c>
      <c r="AJ1649" s="5"/>
    </row>
    <row r="1650" spans="1:36" ht="13">
      <c r="A1650" s="5" t="str">
        <f ca="1">IFERROR(__xludf.DUMMYFUNCTION("""COMPUTED_VALUE"""),"19990211MSJEP")</f>
        <v>19990211MSJEP</v>
      </c>
      <c r="B1650" s="5">
        <f ca="1">IFERROR(__xludf.DUMMYFUNCTION("""COMPUTED_VALUE"""),2)</f>
        <v>2</v>
      </c>
      <c r="C1650" s="5">
        <f ca="1">IFERROR(__xludf.DUMMYFUNCTION("""COMPUTED_VALUE"""),11)</f>
        <v>11</v>
      </c>
      <c r="D1650" s="5">
        <f ca="1">IFERROR(__xludf.DUMMYFUNCTION("""COMPUTED_VALUE"""),1999)</f>
        <v>1999</v>
      </c>
      <c r="E1650" s="8">
        <f ca="1">IFERROR(__xludf.DUMMYFUNCTION("""COMPUTED_VALUE"""),36202)</f>
        <v>36202</v>
      </c>
      <c r="F1650" s="5" t="str">
        <f ca="1">IFERROR(__xludf.DUMMYFUNCTION("""COMPUTED_VALUE"""),"Jefferson-Todd Educational Center")</f>
        <v>Jefferson-Todd Educational Center</v>
      </c>
      <c r="G1650" s="5">
        <f ca="1">IFERROR(__xludf.DUMMYFUNCTION("""COMPUTED_VALUE"""),0)</f>
        <v>0</v>
      </c>
      <c r="H1650" s="5">
        <f ca="1">IFERROR(__xludf.DUMMYFUNCTION("""COMPUTED_VALUE"""),0)</f>
        <v>0</v>
      </c>
      <c r="I1650" s="5">
        <f ca="1">IFERROR(__xludf.DUMMYFUNCTION("""COMPUTED_VALUE"""),0)</f>
        <v>0</v>
      </c>
      <c r="J1650" s="5">
        <f ca="1">IFERROR(__xludf.DUMMYFUNCTION("""COMPUTED_VALUE"""),0)</f>
        <v>0</v>
      </c>
      <c r="K1650" s="9" t="str">
        <f ca="1">IFERROR(__xludf.DUMMYFUNCTION("""COMPUTED_VALUE"""),"https://www.deseretnews.com/article/679792/News-capsules.html")</f>
        <v>https://www.deseretnews.com/article/679792/News-capsules.html</v>
      </c>
      <c r="L1650" s="5"/>
      <c r="M1650" s="5"/>
      <c r="N1650" s="5">
        <f ca="1">IFERROR(__xludf.DUMMYFUNCTION("""COMPUTED_VALUE"""),2)</f>
        <v>2</v>
      </c>
      <c r="O1650" s="5" t="str">
        <f ca="1">IFERROR(__xludf.DUMMYFUNCTION("""COMPUTED_VALUE"""),"Winter")</f>
        <v>Winter</v>
      </c>
      <c r="P1650" s="5" t="str">
        <f ca="1">IFERROR(__xludf.DUMMYFUNCTION("""COMPUTED_VALUE"""),"Purvis")</f>
        <v>Purvis</v>
      </c>
      <c r="Q1650" s="5" t="str">
        <f ca="1">IFERROR(__xludf.DUMMYFUNCTION("""COMPUTED_VALUE"""),"MS")</f>
        <v>MS</v>
      </c>
      <c r="R1650" s="5" t="str">
        <f ca="1">IFERROR(__xludf.DUMMYFUNCTION("""COMPUTED_VALUE"""),"Other")</f>
        <v>Other</v>
      </c>
      <c r="S1650" s="5" t="str">
        <f ca="1">IFERROR(__xludf.DUMMYFUNCTION("""COMPUTED_VALUE"""),"Office")</f>
        <v>Office</v>
      </c>
      <c r="T1650" s="5" t="str">
        <f ca="1">IFERROR(__xludf.DUMMYFUNCTION("""COMPUTED_VALUE"""),"Inside School Building")</f>
        <v>Inside School Building</v>
      </c>
      <c r="U1650" s="5" t="str">
        <f ca="1">IFERROR(__xludf.DUMMYFUNCTION("""COMPUTED_VALUE"""),"Yes")</f>
        <v>Yes</v>
      </c>
      <c r="V1650" s="5"/>
      <c r="W1650" s="5"/>
      <c r="X1650" s="5">
        <f ca="1">IFERROR(__xludf.DUMMYFUNCTION("""COMPUTED_VALUE"""),720)</f>
        <v>720</v>
      </c>
      <c r="Y1650" s="5" t="str">
        <f ca="1">IFERROR(__xludf.DUMMYFUNCTION("""COMPUTED_VALUE"""),"Held 4 teachers hostage for 12 hours, angry about lack of black teachers")</f>
        <v>Held 4 teachers hostage for 12 hours, angry about lack of black teachers</v>
      </c>
      <c r="Z1650" s="5" t="str">
        <f ca="1">IFERROR(__xludf.DUMMYFUNCTION("""COMPUTED_VALUE"""),"44YOM held 4 teachers hostage for 12 hours. Shooter was angry about the lack of black teachers in the school. Shooter also had a history of mental illness. Shooter was subdued when federal agents raided the building.")</f>
        <v>44YOM held 4 teachers hostage for 12 hours. Shooter was angry about the lack of black teachers in the school. Shooter also had a history of mental illness. Shooter was subdued when federal agents raided the building.</v>
      </c>
      <c r="AA1650" s="5" t="str">
        <f ca="1">IFERROR(__xludf.DUMMYFUNCTION("""COMPUTED_VALUE"""),"Hostage/Standoff")</f>
        <v>Hostage/Standoff</v>
      </c>
      <c r="AB1650" s="5" t="str">
        <f ca="1">IFERROR(__xludf.DUMMYFUNCTION("""COMPUTED_VALUE"""),"Random Shooting")</f>
        <v>Random Shooting</v>
      </c>
      <c r="AC1650" s="5" t="str">
        <f ca="1">IFERROR(__xludf.DUMMYFUNCTION("""COMPUTED_VALUE"""),"No")</f>
        <v>No</v>
      </c>
      <c r="AD1650" s="5" t="str">
        <f ca="1">IFERROR(__xludf.DUMMYFUNCTION("""COMPUTED_VALUE"""),"Yes")</f>
        <v>Yes</v>
      </c>
      <c r="AE1650" s="5" t="str">
        <f ca="1">IFERROR(__xludf.DUMMYFUNCTION("""COMPUTED_VALUE"""),"Yes")</f>
        <v>Yes</v>
      </c>
      <c r="AF1650" s="5" t="str">
        <f ca="1">IFERROR(__xludf.DUMMYFUNCTION("""COMPUTED_VALUE"""),"No")</f>
        <v>No</v>
      </c>
      <c r="AG1650" s="5" t="str">
        <f ca="1">IFERROR(__xludf.DUMMYFUNCTION("""COMPUTED_VALUE"""),"No")</f>
        <v>No</v>
      </c>
      <c r="AH1650" s="5" t="str">
        <f ca="1">IFERROR(__xludf.DUMMYFUNCTION("""COMPUTED_VALUE"""),"No")</f>
        <v>No</v>
      </c>
      <c r="AI1650" s="5" t="str">
        <f ca="1">IFERROR(__xludf.DUMMYFUNCTION("""COMPUTED_VALUE"""),"No")</f>
        <v>No</v>
      </c>
      <c r="AJ1650" s="5" t="str">
        <f ca="1">IFERROR(__xludf.DUMMYFUNCTION("""COMPUTED_VALUE"""),"Yes")</f>
        <v>Yes</v>
      </c>
    </row>
    <row r="1651" spans="1:36" ht="13">
      <c r="A1651" s="5" t="str">
        <f ca="1">IFERROR(__xludf.DUMMYFUNCTION("""COMPUTED_VALUE"""),"19990121TXRIN")</f>
        <v>19990121TXRIN</v>
      </c>
      <c r="B1651" s="5">
        <f ca="1">IFERROR(__xludf.DUMMYFUNCTION("""COMPUTED_VALUE"""),1)</f>
        <v>1</v>
      </c>
      <c r="C1651" s="5">
        <f ca="1">IFERROR(__xludf.DUMMYFUNCTION("""COMPUTED_VALUE"""),21)</f>
        <v>21</v>
      </c>
      <c r="D1651" s="5">
        <f ca="1">IFERROR(__xludf.DUMMYFUNCTION("""COMPUTED_VALUE"""),1999)</f>
        <v>1999</v>
      </c>
      <c r="E1651" s="8">
        <f ca="1">IFERROR(__xludf.DUMMYFUNCTION("""COMPUTED_VALUE"""),36181)</f>
        <v>36181</v>
      </c>
      <c r="F1651" s="5" t="str">
        <f ca="1">IFERROR(__xludf.DUMMYFUNCTION("""COMPUTED_VALUE"""),"Richland High School")</f>
        <v>Richland High School</v>
      </c>
      <c r="G1651" s="5">
        <f ca="1">IFERROR(__xludf.DUMMYFUNCTION("""COMPUTED_VALUE"""),0)</f>
        <v>0</v>
      </c>
      <c r="H1651" s="5">
        <f ca="1">IFERROR(__xludf.DUMMYFUNCTION("""COMPUTED_VALUE"""),0)</f>
        <v>0</v>
      </c>
      <c r="I1651" s="5">
        <f ca="1">IFERROR(__xludf.DUMMYFUNCTION("""COMPUTED_VALUE"""),0)</f>
        <v>0</v>
      </c>
      <c r="J1651" s="5">
        <f ca="1">IFERROR(__xludf.DUMMYFUNCTION("""COMPUTED_VALUE"""),1)</f>
        <v>1</v>
      </c>
      <c r="K1651" s="9" t="str">
        <f ca="1">IFERROR(__xludf.DUMMYFUNCTION("""COMPUTED_VALUE"""),"https://www.newspapers.com/image/13671024/")</f>
        <v>https://www.newspapers.com/image/13671024/</v>
      </c>
      <c r="L1651" s="5"/>
      <c r="M1651" s="5"/>
      <c r="N1651" s="5">
        <f ca="1">IFERROR(__xludf.DUMMYFUNCTION("""COMPUTED_VALUE"""),2)</f>
        <v>2</v>
      </c>
      <c r="O1651" s="5" t="str">
        <f ca="1">IFERROR(__xludf.DUMMYFUNCTION("""COMPUTED_VALUE"""),"Winter")</f>
        <v>Winter</v>
      </c>
      <c r="P1651" s="5" t="str">
        <f ca="1">IFERROR(__xludf.DUMMYFUNCTION("""COMPUTED_VALUE"""),"North Richland Hills")</f>
        <v>North Richland Hills</v>
      </c>
      <c r="Q1651" s="5" t="str">
        <f ca="1">IFERROR(__xludf.DUMMYFUNCTION("""COMPUTED_VALUE"""),"TX")</f>
        <v>TX</v>
      </c>
      <c r="R1651" s="5" t="str">
        <f ca="1">IFERROR(__xludf.DUMMYFUNCTION("""COMPUTED_VALUE"""),"High")</f>
        <v>High</v>
      </c>
      <c r="S1651" s="5" t="str">
        <f ca="1">IFERROR(__xludf.DUMMYFUNCTION("""COMPUTED_VALUE"""),"Bathroom")</f>
        <v>Bathroom</v>
      </c>
      <c r="T1651" s="5" t="str">
        <f ca="1">IFERROR(__xludf.DUMMYFUNCTION("""COMPUTED_VALUE"""),"Inside School Building")</f>
        <v>Inside School Building</v>
      </c>
      <c r="U1651" s="5" t="str">
        <f ca="1">IFERROR(__xludf.DUMMYFUNCTION("""COMPUTED_VALUE"""),"Yes")</f>
        <v>Yes</v>
      </c>
      <c r="V1651" s="5" t="str">
        <f ca="1">IFERROR(__xludf.DUMMYFUNCTION("""COMPUTED_VALUE"""),"Morning Classes")</f>
        <v>Morning Classes</v>
      </c>
      <c r="W1651" s="5"/>
      <c r="X1651" s="5">
        <f ca="1">IFERROR(__xludf.DUMMYFUNCTION("""COMPUTED_VALUE"""),1)</f>
        <v>1</v>
      </c>
      <c r="Y1651" s="5" t="str">
        <f ca="1">IFERROR(__xludf.DUMMYFUNCTION("""COMPUTED_VALUE"""),"Shot self in school bathroom")</f>
        <v>Shot self in school bathroom</v>
      </c>
      <c r="Z1651" s="5" t="str">
        <f ca="1">IFERROR(__xludf.DUMMYFUNCTION("""COMPUTED_VALUE"""),"15YOM student shot himself in the school bathroom.")</f>
        <v>15YOM student shot himself in the school bathroom.</v>
      </c>
      <c r="AA1651" s="5" t="str">
        <f ca="1">IFERROR(__xludf.DUMMYFUNCTION("""COMPUTED_VALUE"""),"Suicide/Attempted")</f>
        <v>Suicide/Attempted</v>
      </c>
      <c r="AB1651" s="5" t="str">
        <f ca="1">IFERROR(__xludf.DUMMYFUNCTION("""COMPUTED_VALUE"""),"Victims Targeted")</f>
        <v>Victims Targeted</v>
      </c>
      <c r="AC1651" s="5" t="str">
        <f ca="1">IFERROR(__xludf.DUMMYFUNCTION("""COMPUTED_VALUE"""),"No")</f>
        <v>No</v>
      </c>
      <c r="AD1651" s="5" t="str">
        <f ca="1">IFERROR(__xludf.DUMMYFUNCTION("""COMPUTED_VALUE"""),"No")</f>
        <v>No</v>
      </c>
      <c r="AE1651" s="5" t="str">
        <f ca="1">IFERROR(__xludf.DUMMYFUNCTION("""COMPUTED_VALUE"""),"No")</f>
        <v>No</v>
      </c>
      <c r="AF1651" s="5" t="str">
        <f ca="1">IFERROR(__xludf.DUMMYFUNCTION("""COMPUTED_VALUE"""),"No")</f>
        <v>No</v>
      </c>
      <c r="AG1651" s="5"/>
      <c r="AH1651" s="5" t="str">
        <f ca="1">IFERROR(__xludf.DUMMYFUNCTION("""COMPUTED_VALUE"""),"No")</f>
        <v>No</v>
      </c>
      <c r="AI1651" s="5" t="str">
        <f ca="1">IFERROR(__xludf.DUMMYFUNCTION("""COMPUTED_VALUE"""),"No")</f>
        <v>No</v>
      </c>
      <c r="AJ1651" s="5"/>
    </row>
    <row r="1652" spans="1:36" ht="13">
      <c r="A1652" s="5" t="str">
        <f ca="1">IFERROR(__xludf.DUMMYFUNCTION("""COMPUTED_VALUE"""),"19990114NYHAN")</f>
        <v>19990114NYHAN</v>
      </c>
      <c r="B1652" s="5">
        <f ca="1">IFERROR(__xludf.DUMMYFUNCTION("""COMPUTED_VALUE"""),1)</f>
        <v>1</v>
      </c>
      <c r="C1652" s="5">
        <f ca="1">IFERROR(__xludf.DUMMYFUNCTION("""COMPUTED_VALUE"""),14)</f>
        <v>14</v>
      </c>
      <c r="D1652" s="5">
        <f ca="1">IFERROR(__xludf.DUMMYFUNCTION("""COMPUTED_VALUE"""),1999)</f>
        <v>1999</v>
      </c>
      <c r="E1652" s="8">
        <f ca="1">IFERROR(__xludf.DUMMYFUNCTION("""COMPUTED_VALUE"""),36174)</f>
        <v>36174</v>
      </c>
      <c r="F1652" s="5" t="str">
        <f ca="1">IFERROR(__xludf.DUMMYFUNCTION("""COMPUTED_VALUE"""),"Harry S. Truman High School")</f>
        <v>Harry S. Truman High School</v>
      </c>
      <c r="G1652" s="5">
        <f ca="1">IFERROR(__xludf.DUMMYFUNCTION("""COMPUTED_VALUE"""),0)</f>
        <v>0</v>
      </c>
      <c r="H1652" s="5">
        <f ca="1">IFERROR(__xludf.DUMMYFUNCTION("""COMPUTED_VALUE"""),2)</f>
        <v>2</v>
      </c>
      <c r="I1652" s="5">
        <f ca="1">IFERROR(__xludf.DUMMYFUNCTION("""COMPUTED_VALUE"""),2)</f>
        <v>2</v>
      </c>
      <c r="J1652" s="5">
        <f ca="1">IFERROR(__xludf.DUMMYFUNCTION("""COMPUTED_VALUE"""),0)</f>
        <v>0</v>
      </c>
      <c r="K1652" s="9" t="str">
        <f ca="1">IFERROR(__xludf.DUMMYFUNCTION("""COMPUTED_VALUE"""),"https://www.nytimes.com/1999/01/15/nyregion/2-students-shot-outside-bronx-high-school.html")</f>
        <v>https://www.nytimes.com/1999/01/15/nyregion/2-students-shot-outside-bronx-high-school.html</v>
      </c>
      <c r="L1652" s="5"/>
      <c r="M1652" s="5"/>
      <c r="N1652" s="5">
        <f ca="1">IFERROR(__xludf.DUMMYFUNCTION("""COMPUTED_VALUE"""),2)</f>
        <v>2</v>
      </c>
      <c r="O1652" s="5" t="str">
        <f ca="1">IFERROR(__xludf.DUMMYFUNCTION("""COMPUTED_VALUE"""),"Winter")</f>
        <v>Winter</v>
      </c>
      <c r="P1652" s="5" t="str">
        <f ca="1">IFERROR(__xludf.DUMMYFUNCTION("""COMPUTED_VALUE"""),"New York")</f>
        <v>New York</v>
      </c>
      <c r="Q1652" s="5" t="str">
        <f ca="1">IFERROR(__xludf.DUMMYFUNCTION("""COMPUTED_VALUE"""),"NY")</f>
        <v>NY</v>
      </c>
      <c r="R1652" s="5" t="str">
        <f ca="1">IFERROR(__xludf.DUMMYFUNCTION("""COMPUTED_VALUE"""),"High")</f>
        <v>High</v>
      </c>
      <c r="S1652" s="5" t="str">
        <f ca="1">IFERROR(__xludf.DUMMYFUNCTION("""COMPUTED_VALUE"""),"Front of School")</f>
        <v>Front of School</v>
      </c>
      <c r="T1652" s="5" t="str">
        <f ca="1">IFERROR(__xludf.DUMMYFUNCTION("""COMPUTED_VALUE"""),"Outside on School Property")</f>
        <v>Outside on School Property</v>
      </c>
      <c r="U1652" s="5" t="str">
        <f ca="1">IFERROR(__xludf.DUMMYFUNCTION("""COMPUTED_VALUE"""),"Yes")</f>
        <v>Yes</v>
      </c>
      <c r="V1652" s="5" t="str">
        <f ca="1">IFERROR(__xludf.DUMMYFUNCTION("""COMPUTED_VALUE"""),"Morning Classes")</f>
        <v>Morning Classes</v>
      </c>
      <c r="W1652" s="10">
        <f ca="1">IFERROR(__xludf.DUMMYFUNCTION("""COMPUTED_VALUE"""),0.375)</f>
        <v>0.375</v>
      </c>
      <c r="X1652" s="5">
        <f ca="1">IFERROR(__xludf.DUMMYFUNCTION("""COMPUTED_VALUE"""),1)</f>
        <v>1</v>
      </c>
      <c r="Y1652" s="5" t="str">
        <f ca="1">IFERROR(__xludf.DUMMYFUNCTION("""COMPUTED_VALUE"""),"Retaliation for stabbing the prior day")</f>
        <v>Retaliation for stabbing the prior day</v>
      </c>
      <c r="Z1652" s="5" t="str">
        <f ca="1">IFERROR(__xludf.DUMMYFUNCTION("""COMPUTED_VALUE"""),"18YOM and 16 YOM students were standing outside of the school when they were shot by an 16YOM who fled in a vehicle. Police said the shooting stemmed from a stabbing the prior day.")</f>
        <v>18YOM and 16 YOM students were standing outside of the school when they were shot by an 16YOM who fled in a vehicle. Police said the shooting stemmed from a stabbing the prior day.</v>
      </c>
      <c r="AA1652" s="5" t="str">
        <f ca="1">IFERROR(__xludf.DUMMYFUNCTION("""COMPUTED_VALUE"""),"Escalation of Dispute")</f>
        <v>Escalation of Dispute</v>
      </c>
      <c r="AB1652" s="5" t="str">
        <f ca="1">IFERROR(__xludf.DUMMYFUNCTION("""COMPUTED_VALUE"""),"Victims Targeted")</f>
        <v>Victims Targeted</v>
      </c>
      <c r="AC1652" s="5" t="str">
        <f ca="1">IFERROR(__xludf.DUMMYFUNCTION("""COMPUTED_VALUE"""),"No")</f>
        <v>No</v>
      </c>
      <c r="AD1652" s="5" t="str">
        <f ca="1">IFERROR(__xludf.DUMMYFUNCTION("""COMPUTED_VALUE"""),"No")</f>
        <v>No</v>
      </c>
      <c r="AE1652" s="5" t="str">
        <f ca="1">IFERROR(__xludf.DUMMYFUNCTION("""COMPUTED_VALUE"""),"No")</f>
        <v>No</v>
      </c>
      <c r="AF1652" s="5" t="str">
        <f ca="1">IFERROR(__xludf.DUMMYFUNCTION("""COMPUTED_VALUE"""),"No")</f>
        <v>No</v>
      </c>
      <c r="AG1652" s="5" t="str">
        <f ca="1">IFERROR(__xludf.DUMMYFUNCTION("""COMPUTED_VALUE"""),"No")</f>
        <v>No</v>
      </c>
      <c r="AH1652" s="5" t="str">
        <f ca="1">IFERROR(__xludf.DUMMYFUNCTION("""COMPUTED_VALUE"""),"No")</f>
        <v>No</v>
      </c>
      <c r="AI1652" s="5" t="str">
        <f ca="1">IFERROR(__xludf.DUMMYFUNCTION("""COMPUTED_VALUE"""),"No")</f>
        <v>No</v>
      </c>
      <c r="AJ1652" s="5"/>
    </row>
    <row r="1653" spans="1:36" ht="13">
      <c r="A1653" s="5" t="str">
        <f ca="1">IFERROR(__xludf.DUMMYFUNCTION("""COMPUTED_VALUE"""),"19990108GACEC")</f>
        <v>19990108GACEC</v>
      </c>
      <c r="B1653" s="5">
        <f ca="1">IFERROR(__xludf.DUMMYFUNCTION("""COMPUTED_VALUE"""),1)</f>
        <v>1</v>
      </c>
      <c r="C1653" s="5">
        <f ca="1">IFERROR(__xludf.DUMMYFUNCTION("""COMPUTED_VALUE"""),8)</f>
        <v>8</v>
      </c>
      <c r="D1653" s="5">
        <f ca="1">IFERROR(__xludf.DUMMYFUNCTION("""COMPUTED_VALUE"""),1999)</f>
        <v>1999</v>
      </c>
      <c r="E1653" s="8">
        <f ca="1">IFERROR(__xludf.DUMMYFUNCTION("""COMPUTED_VALUE"""),36168)</f>
        <v>36168</v>
      </c>
      <c r="F1653" s="5" t="str">
        <f ca="1">IFERROR(__xludf.DUMMYFUNCTION("""COMPUTED_VALUE"""),"Central High School")</f>
        <v>Central High School</v>
      </c>
      <c r="G1653" s="5">
        <f ca="1">IFERROR(__xludf.DUMMYFUNCTION("""COMPUTED_VALUE"""),0)</f>
        <v>0</v>
      </c>
      <c r="H1653" s="5">
        <f ca="1">IFERROR(__xludf.DUMMYFUNCTION("""COMPUTED_VALUE"""),0)</f>
        <v>0</v>
      </c>
      <c r="I1653" s="5">
        <f ca="1">IFERROR(__xludf.DUMMYFUNCTION("""COMPUTED_VALUE"""),0)</f>
        <v>0</v>
      </c>
      <c r="J1653" s="5">
        <f ca="1">IFERROR(__xludf.DUMMYFUNCTION("""COMPUTED_VALUE"""),2)</f>
        <v>2</v>
      </c>
      <c r="K1653" s="9" t="str">
        <f ca="1">IFERROR(__xludf.DUMMYFUNCTION("""COMPUTED_VALUE"""),"https://www.cbsnews.com/news/2-teens-shot-at-georgia-school/")</f>
        <v>https://www.cbsnews.com/news/2-teens-shot-at-georgia-school/</v>
      </c>
      <c r="L1653" s="5"/>
      <c r="M1653" s="5"/>
      <c r="N1653" s="5">
        <f ca="1">IFERROR(__xludf.DUMMYFUNCTION("""COMPUTED_VALUE"""),2)</f>
        <v>2</v>
      </c>
      <c r="O1653" s="5" t="str">
        <f ca="1">IFERROR(__xludf.DUMMYFUNCTION("""COMPUTED_VALUE"""),"Winter")</f>
        <v>Winter</v>
      </c>
      <c r="P1653" s="5" t="str">
        <f ca="1">IFERROR(__xludf.DUMMYFUNCTION("""COMPUTED_VALUE"""),"Carrollton")</f>
        <v>Carrollton</v>
      </c>
      <c r="Q1653" s="5" t="str">
        <f ca="1">IFERROR(__xludf.DUMMYFUNCTION("""COMPUTED_VALUE"""),"GA")</f>
        <v>GA</v>
      </c>
      <c r="R1653" s="5" t="str">
        <f ca="1">IFERROR(__xludf.DUMMYFUNCTION("""COMPUTED_VALUE"""),"High")</f>
        <v>High</v>
      </c>
      <c r="S1653" s="5" t="str">
        <f ca="1">IFERROR(__xludf.DUMMYFUNCTION("""COMPUTED_VALUE"""),"Bathroom")</f>
        <v>Bathroom</v>
      </c>
      <c r="T1653" s="5" t="str">
        <f ca="1">IFERROR(__xludf.DUMMYFUNCTION("""COMPUTED_VALUE"""),"Inside School Building")</f>
        <v>Inside School Building</v>
      </c>
      <c r="U1653" s="5" t="str">
        <f ca="1">IFERROR(__xludf.DUMMYFUNCTION("""COMPUTED_VALUE"""),"Yes")</f>
        <v>Yes</v>
      </c>
      <c r="V1653" s="5" t="str">
        <f ca="1">IFERROR(__xludf.DUMMYFUNCTION("""COMPUTED_VALUE"""),"Morning Classes")</f>
        <v>Morning Classes</v>
      </c>
      <c r="W1653" s="5"/>
      <c r="X1653" s="5">
        <f ca="1">IFERROR(__xludf.DUMMYFUNCTION("""COMPUTED_VALUE"""),1)</f>
        <v>1</v>
      </c>
      <c r="Y1653" s="5" t="str">
        <f ca="1">IFERROR(__xludf.DUMMYFUNCTION("""COMPUTED_VALUE"""),"Planned murder/suicide pact")</f>
        <v>Planned murder/suicide pact</v>
      </c>
      <c r="Z1653" s="5" t="str">
        <f ca="1">IFERROR(__xludf.DUMMYFUNCTION("""COMPUTED_VALUE"""),"Male and female students in romantic relationship found shot in school bathroom. Murder-suicide pact.")</f>
        <v>Male and female students in romantic relationship found shot in school bathroom. Murder-suicide pact.</v>
      </c>
      <c r="AA1653" s="5" t="str">
        <f ca="1">IFERROR(__xludf.DUMMYFUNCTION("""COMPUTED_VALUE"""),"Murder/Suicide")</f>
        <v>Murder/Suicide</v>
      </c>
      <c r="AB1653" s="5" t="str">
        <f ca="1">IFERROR(__xludf.DUMMYFUNCTION("""COMPUTED_VALUE"""),"Victims Targeted")</f>
        <v>Victims Targeted</v>
      </c>
      <c r="AC1653" s="5" t="str">
        <f ca="1">IFERROR(__xludf.DUMMYFUNCTION("""COMPUTED_VALUE"""),"Yes")</f>
        <v>Yes</v>
      </c>
      <c r="AD1653" s="5" t="str">
        <f ca="1">IFERROR(__xludf.DUMMYFUNCTION("""COMPUTED_VALUE"""),"No")</f>
        <v>No</v>
      </c>
      <c r="AE1653" s="5" t="str">
        <f ca="1">IFERROR(__xludf.DUMMYFUNCTION("""COMPUTED_VALUE"""),"No")</f>
        <v>No</v>
      </c>
      <c r="AF1653" s="5" t="str">
        <f ca="1">IFERROR(__xludf.DUMMYFUNCTION("""COMPUTED_VALUE"""),"No")</f>
        <v>No</v>
      </c>
      <c r="AG1653" s="5" t="str">
        <f ca="1">IFERROR(__xludf.DUMMYFUNCTION("""COMPUTED_VALUE"""),"No")</f>
        <v>No</v>
      </c>
      <c r="AH1653" s="5" t="str">
        <f ca="1">IFERROR(__xludf.DUMMYFUNCTION("""COMPUTED_VALUE"""),"Yes")</f>
        <v>Yes</v>
      </c>
      <c r="AI1653" s="5" t="str">
        <f ca="1">IFERROR(__xludf.DUMMYFUNCTION("""COMPUTED_VALUE"""),"No")</f>
        <v>No</v>
      </c>
      <c r="AJ1653" s="5"/>
    </row>
    <row r="1654" spans="1:36" ht="13">
      <c r="A1654" s="5" t="str">
        <f ca="1">IFERROR(__xludf.DUMMYFUNCTION("""COMPUTED_VALUE"""),"19981211INBEI")</f>
        <v>19981211INBEI</v>
      </c>
      <c r="B1654" s="5">
        <f ca="1">IFERROR(__xludf.DUMMYFUNCTION("""COMPUTED_VALUE"""),12)</f>
        <v>12</v>
      </c>
      <c r="C1654" s="5">
        <f ca="1">IFERROR(__xludf.DUMMYFUNCTION("""COMPUTED_VALUE"""),11)</f>
        <v>11</v>
      </c>
      <c r="D1654" s="5">
        <f ca="1">IFERROR(__xludf.DUMMYFUNCTION("""COMPUTED_VALUE"""),1998)</f>
        <v>1998</v>
      </c>
      <c r="E1654" s="8">
        <f ca="1">IFERROR(__xludf.DUMMYFUNCTION("""COMPUTED_VALUE"""),36140)</f>
        <v>36140</v>
      </c>
      <c r="F1654" s="5" t="str">
        <f ca="1">IFERROR(__xludf.DUMMYFUNCTION("""COMPUTED_VALUE"""),"Ben Davis Junior High School")</f>
        <v>Ben Davis Junior High School</v>
      </c>
      <c r="G1654" s="5">
        <f ca="1">IFERROR(__xludf.DUMMYFUNCTION("""COMPUTED_VALUE"""),0)</f>
        <v>0</v>
      </c>
      <c r="H1654" s="5">
        <f ca="1">IFERROR(__xludf.DUMMYFUNCTION("""COMPUTED_VALUE"""),1)</f>
        <v>1</v>
      </c>
      <c r="I1654" s="5">
        <f ca="1">IFERROR(__xludf.DUMMYFUNCTION("""COMPUTED_VALUE"""),1)</f>
        <v>1</v>
      </c>
      <c r="J1654" s="5">
        <f ca="1">IFERROR(__xludf.DUMMYFUNCTION("""COMPUTED_VALUE"""),0)</f>
        <v>0</v>
      </c>
      <c r="K1654" s="9" t="str">
        <f ca="1">IFERROR(__xludf.DUMMYFUNCTION("""COMPUTED_VALUE"""),"https://www.newspapers.com/image/156830644/?terms=student%2Bshot")</f>
        <v>https://www.newspapers.com/image/156830644/?terms=student%2Bshot</v>
      </c>
      <c r="L1654" s="5"/>
      <c r="M1654" s="5"/>
      <c r="N1654" s="5">
        <f ca="1">IFERROR(__xludf.DUMMYFUNCTION("""COMPUTED_VALUE"""),2)</f>
        <v>2</v>
      </c>
      <c r="O1654" s="5" t="str">
        <f ca="1">IFERROR(__xludf.DUMMYFUNCTION("""COMPUTED_VALUE"""),"Winter")</f>
        <v>Winter</v>
      </c>
      <c r="P1654" s="5" t="str">
        <f ca="1">IFERROR(__xludf.DUMMYFUNCTION("""COMPUTED_VALUE"""),"Indianapolis")</f>
        <v>Indianapolis</v>
      </c>
      <c r="Q1654" s="5" t="str">
        <f ca="1">IFERROR(__xludf.DUMMYFUNCTION("""COMPUTED_VALUE"""),"IN")</f>
        <v>IN</v>
      </c>
      <c r="R1654" s="5" t="str">
        <f ca="1">IFERROR(__xludf.DUMMYFUNCTION("""COMPUTED_VALUE"""),"Junior High")</f>
        <v>Junior High</v>
      </c>
      <c r="S1654" s="5" t="str">
        <f ca="1">IFERROR(__xludf.DUMMYFUNCTION("""COMPUTED_VALUE"""),"School Bus")</f>
        <v>School Bus</v>
      </c>
      <c r="T1654" s="5" t="str">
        <f ca="1">IFERROR(__xludf.DUMMYFUNCTION("""COMPUTED_VALUE"""),"School Bus")</f>
        <v>School Bus</v>
      </c>
      <c r="U1654" s="5" t="str">
        <f ca="1">IFERROR(__xludf.DUMMYFUNCTION("""COMPUTED_VALUE"""),"Yes")</f>
        <v>Yes</v>
      </c>
      <c r="V1654" s="5" t="str">
        <f ca="1">IFERROR(__xludf.DUMMYFUNCTION("""COMPUTED_VALUE"""),"After School")</f>
        <v>After School</v>
      </c>
      <c r="W1654" s="5"/>
      <c r="X1654" s="5">
        <f ca="1">IFERROR(__xludf.DUMMYFUNCTION("""COMPUTED_VALUE"""),1)</f>
        <v>1</v>
      </c>
      <c r="Y1654" s="5" t="str">
        <f ca="1">IFERROR(__xludf.DUMMYFUNCTION("""COMPUTED_VALUE"""),"Playing with gun on school bus")</f>
        <v>Playing with gun on school bus</v>
      </c>
      <c r="Z1654" s="5" t="str">
        <f ca="1">IFERROR(__xludf.DUMMYFUNCTION("""COMPUTED_VALUE"""),"7th grade boy accidentally shot another boy on the school bus. The shooter had brought a .22 caliber handgun with him and was showing the other student when the gun went off striking the victim in the leg.")</f>
        <v>7th grade boy accidentally shot another boy on the school bus. The shooter had brought a .22 caliber handgun with him and was showing the other student when the gun went off striking the victim in the leg.</v>
      </c>
      <c r="AA1654" s="5" t="str">
        <f ca="1">IFERROR(__xludf.DUMMYFUNCTION("""COMPUTED_VALUE"""),"Accidental")</f>
        <v>Accidental</v>
      </c>
      <c r="AB1654" s="5" t="str">
        <f ca="1">IFERROR(__xludf.DUMMYFUNCTION("""COMPUTED_VALUE"""),"Random Shooting")</f>
        <v>Random Shooting</v>
      </c>
      <c r="AC1654" s="5" t="str">
        <f ca="1">IFERROR(__xludf.DUMMYFUNCTION("""COMPUTED_VALUE"""),"No")</f>
        <v>No</v>
      </c>
      <c r="AD1654" s="5" t="str">
        <f ca="1">IFERROR(__xludf.DUMMYFUNCTION("""COMPUTED_VALUE"""),"No")</f>
        <v>No</v>
      </c>
      <c r="AE1654" s="5" t="str">
        <f ca="1">IFERROR(__xludf.DUMMYFUNCTION("""COMPUTED_VALUE"""),"No")</f>
        <v>No</v>
      </c>
      <c r="AF1654" s="5" t="str">
        <f ca="1">IFERROR(__xludf.DUMMYFUNCTION("""COMPUTED_VALUE"""),"No")</f>
        <v>No</v>
      </c>
      <c r="AG1654" s="5" t="str">
        <f ca="1">IFERROR(__xludf.DUMMYFUNCTION("""COMPUTED_VALUE"""),"No")</f>
        <v>No</v>
      </c>
      <c r="AH1654" s="5" t="str">
        <f ca="1">IFERROR(__xludf.DUMMYFUNCTION("""COMPUTED_VALUE"""),"No")</f>
        <v>No</v>
      </c>
      <c r="AI1654" s="5" t="str">
        <f ca="1">IFERROR(__xludf.DUMMYFUNCTION("""COMPUTED_VALUE"""),"No")</f>
        <v>No</v>
      </c>
      <c r="AJ1654" s="5"/>
    </row>
    <row r="1655" spans="1:36" ht="13">
      <c r="A1655" s="5" t="str">
        <f ca="1">IFERROR(__xludf.DUMMYFUNCTION("""COMPUTED_VALUE"""),"19981203INERG")</f>
        <v>19981203INERG</v>
      </c>
      <c r="B1655" s="5">
        <f ca="1">IFERROR(__xludf.DUMMYFUNCTION("""COMPUTED_VALUE"""),12)</f>
        <v>12</v>
      </c>
      <c r="C1655" s="5">
        <f ca="1">IFERROR(__xludf.DUMMYFUNCTION("""COMPUTED_VALUE"""),3)</f>
        <v>3</v>
      </c>
      <c r="D1655" s="5">
        <f ca="1">IFERROR(__xludf.DUMMYFUNCTION("""COMPUTED_VALUE"""),1998)</f>
        <v>1998</v>
      </c>
      <c r="E1655" s="8">
        <f ca="1">IFERROR(__xludf.DUMMYFUNCTION("""COMPUTED_VALUE"""),36132)</f>
        <v>36132</v>
      </c>
      <c r="F1655" s="5" t="str">
        <f ca="1">IFERROR(__xludf.DUMMYFUNCTION("""COMPUTED_VALUE"""),"Ernie Elementary School")</f>
        <v>Ernie Elementary School</v>
      </c>
      <c r="G1655" s="5">
        <f ca="1">IFERROR(__xludf.DUMMYFUNCTION("""COMPUTED_VALUE"""),0)</f>
        <v>0</v>
      </c>
      <c r="H1655" s="5">
        <f ca="1">IFERROR(__xludf.DUMMYFUNCTION("""COMPUTED_VALUE"""),1)</f>
        <v>1</v>
      </c>
      <c r="I1655" s="5">
        <f ca="1">IFERROR(__xludf.DUMMYFUNCTION("""COMPUTED_VALUE"""),1)</f>
        <v>1</v>
      </c>
      <c r="J1655" s="5">
        <f ca="1">IFERROR(__xludf.DUMMYFUNCTION("""COMPUTED_VALUE"""),0)</f>
        <v>0</v>
      </c>
      <c r="K1655" s="5" t="str">
        <f ca="1">IFERROR(__xludf.DUMMYFUNCTION("""COMPUTED_VALUE"""),"https://www.newspapers.com/image/253666014/?terms=teacher%2Bshot  https://www.newspapers.com/image/264488666/?terms=felicia%2Bstanley")</f>
        <v>https://www.newspapers.com/image/253666014/?terms=teacher%2Bshot  https://www.newspapers.com/image/264488666/?terms=felicia%2Bstanley</v>
      </c>
      <c r="L1655" s="5"/>
      <c r="M1655" s="5"/>
      <c r="N1655" s="5">
        <f ca="1">IFERROR(__xludf.DUMMYFUNCTION("""COMPUTED_VALUE"""),3)</f>
        <v>3</v>
      </c>
      <c r="O1655" s="5" t="str">
        <f ca="1">IFERROR(__xludf.DUMMYFUNCTION("""COMPUTED_VALUE"""),"Winter")</f>
        <v>Winter</v>
      </c>
      <c r="P1655" s="5" t="str">
        <f ca="1">IFERROR(__xludf.DUMMYFUNCTION("""COMPUTED_VALUE"""),"Gary")</f>
        <v>Gary</v>
      </c>
      <c r="Q1655" s="5" t="str">
        <f ca="1">IFERROR(__xludf.DUMMYFUNCTION("""COMPUTED_VALUE"""),"IN")</f>
        <v>IN</v>
      </c>
      <c r="R1655" s="5" t="str">
        <f ca="1">IFERROR(__xludf.DUMMYFUNCTION("""COMPUTED_VALUE"""),"Elementary")</f>
        <v>Elementary</v>
      </c>
      <c r="S1655" s="5" t="str">
        <f ca="1">IFERROR(__xludf.DUMMYFUNCTION("""COMPUTED_VALUE"""),"Gym")</f>
        <v>Gym</v>
      </c>
      <c r="T1655" s="5" t="str">
        <f ca="1">IFERROR(__xludf.DUMMYFUNCTION("""COMPUTED_VALUE"""),"Inside School Building")</f>
        <v>Inside School Building</v>
      </c>
      <c r="U1655" s="5" t="str">
        <f ca="1">IFERROR(__xludf.DUMMYFUNCTION("""COMPUTED_VALUE"""),"No")</f>
        <v>No</v>
      </c>
      <c r="V1655" s="5" t="str">
        <f ca="1">IFERROR(__xludf.DUMMYFUNCTION("""COMPUTED_VALUE"""),"Evening")</f>
        <v>Evening</v>
      </c>
      <c r="W1655" s="5"/>
      <c r="X1655" s="5">
        <f ca="1">IFERROR(__xludf.DUMMYFUNCTION("""COMPUTED_VALUE"""),1)</f>
        <v>1</v>
      </c>
      <c r="Y1655" s="5" t="str">
        <f ca="1">IFERROR(__xludf.DUMMYFUNCTION("""COMPUTED_VALUE"""),"Parent shot teacher during argument at parent-teacher conference")</f>
        <v>Parent shot teacher during argument at parent-teacher conference</v>
      </c>
      <c r="Z1655" s="5" t="str">
        <f ca="1">IFERROR(__xludf.DUMMYFUNCTION("""COMPUTED_VALUE"""),"Shooter, the wife of a Garym IN police detective, shot a female elementary teacher during a parent teacher conference. During the meeting an argument ensued and several shot were fired by the shooter, one of which ricocheted off the floor and hit the teac"&amp;"her - shooter arrested. Other reports state argument occurred in gymnasium after school basketball game.")</f>
        <v>Shooter, the wife of a Garym IN police detective, shot a female elementary teacher during a parent teacher conference. During the meeting an argument ensued and several shot were fired by the shooter, one of which ricocheted off the floor and hit the teacher - shooter arrested. Other reports state argument occurred in gymnasium after school basketball game.</v>
      </c>
      <c r="AA1655" s="5" t="str">
        <f ca="1">IFERROR(__xludf.DUMMYFUNCTION("""COMPUTED_VALUE"""),"Escalation of Dispute")</f>
        <v>Escalation of Dispute</v>
      </c>
      <c r="AB1655" s="5" t="str">
        <f ca="1">IFERROR(__xludf.DUMMYFUNCTION("""COMPUTED_VALUE"""),"Victims Targeted")</f>
        <v>Victims Targeted</v>
      </c>
      <c r="AC1655" s="5" t="str">
        <f ca="1">IFERROR(__xludf.DUMMYFUNCTION("""COMPUTED_VALUE"""),"No")</f>
        <v>No</v>
      </c>
      <c r="AD1655" s="5" t="str">
        <f ca="1">IFERROR(__xludf.DUMMYFUNCTION("""COMPUTED_VALUE"""),"No")</f>
        <v>No</v>
      </c>
      <c r="AE1655" s="5" t="str">
        <f ca="1">IFERROR(__xludf.DUMMYFUNCTION("""COMPUTED_VALUE"""),"No")</f>
        <v>No</v>
      </c>
      <c r="AF1655" s="5" t="str">
        <f ca="1">IFERROR(__xludf.DUMMYFUNCTION("""COMPUTED_VALUE"""),"No")</f>
        <v>No</v>
      </c>
      <c r="AG1655" s="5" t="str">
        <f ca="1">IFERROR(__xludf.DUMMYFUNCTION("""COMPUTED_VALUE"""),"No")</f>
        <v>No</v>
      </c>
      <c r="AH1655" s="5" t="str">
        <f ca="1">IFERROR(__xludf.DUMMYFUNCTION("""COMPUTED_VALUE"""),"No")</f>
        <v>No</v>
      </c>
      <c r="AI1655" s="5" t="str">
        <f ca="1">IFERROR(__xludf.DUMMYFUNCTION("""COMPUTED_VALUE"""),"No")</f>
        <v>No</v>
      </c>
      <c r="AJ1655" s="5"/>
    </row>
    <row r="1656" spans="1:36" ht="13">
      <c r="A1656" s="5" t="str">
        <f ca="1">IFERROR(__xludf.DUMMYFUNCTION("""COMPUTED_VALUE"""),"19981130NYHAH")</f>
        <v>19981130NYHAH</v>
      </c>
      <c r="B1656" s="5">
        <f ca="1">IFERROR(__xludf.DUMMYFUNCTION("""COMPUTED_VALUE"""),11)</f>
        <v>11</v>
      </c>
      <c r="C1656" s="5">
        <f ca="1">IFERROR(__xludf.DUMMYFUNCTION("""COMPUTED_VALUE"""),30)</f>
        <v>30</v>
      </c>
      <c r="D1656" s="5">
        <f ca="1">IFERROR(__xludf.DUMMYFUNCTION("""COMPUTED_VALUE"""),1998)</f>
        <v>1998</v>
      </c>
      <c r="E1656" s="8">
        <f ca="1">IFERROR(__xludf.DUMMYFUNCTION("""COMPUTED_VALUE"""),36129)</f>
        <v>36129</v>
      </c>
      <c r="F1656" s="5" t="str">
        <f ca="1">IFERROR(__xludf.DUMMYFUNCTION("""COMPUTED_VALUE"""),"Hancock Middle High School")</f>
        <v>Hancock Middle High School</v>
      </c>
      <c r="G1656" s="5">
        <f ca="1">IFERROR(__xludf.DUMMYFUNCTION("""COMPUTED_VALUE"""),0)</f>
        <v>0</v>
      </c>
      <c r="H1656" s="5">
        <f ca="1">IFERROR(__xludf.DUMMYFUNCTION("""COMPUTED_VALUE"""),0)</f>
        <v>0</v>
      </c>
      <c r="I1656" s="5">
        <f ca="1">IFERROR(__xludf.DUMMYFUNCTION("""COMPUTED_VALUE"""),0)</f>
        <v>0</v>
      </c>
      <c r="J1656" s="5">
        <f ca="1">IFERROR(__xludf.DUMMYFUNCTION("""COMPUTED_VALUE"""),1)</f>
        <v>1</v>
      </c>
      <c r="K1656" s="5" t="str">
        <f ca="1">IFERROR(__xludf.DUMMYFUNCTION("""COMPUTED_VALUE"""),"https://www.newspapers.com/image/279954606/?terms=student%2Bshot&amp;match=2  https://www.newspapers.com/image/260103883/?terms=student%2Bshot")</f>
        <v>https://www.newspapers.com/image/279954606/?terms=student%2Bshot&amp;match=2  https://www.newspapers.com/image/260103883/?terms=student%2Bshot</v>
      </c>
      <c r="L1656" s="5"/>
      <c r="M1656" s="5"/>
      <c r="N1656" s="5">
        <f ca="1">IFERROR(__xludf.DUMMYFUNCTION("""COMPUTED_VALUE"""),3)</f>
        <v>3</v>
      </c>
      <c r="O1656" s="5" t="str">
        <f ca="1">IFERROR(__xludf.DUMMYFUNCTION("""COMPUTED_VALUE"""),"Fall")</f>
        <v>Fall</v>
      </c>
      <c r="P1656" s="5" t="str">
        <f ca="1">IFERROR(__xludf.DUMMYFUNCTION("""COMPUTED_VALUE"""),"Hancock")</f>
        <v>Hancock</v>
      </c>
      <c r="Q1656" s="5" t="str">
        <f ca="1">IFERROR(__xludf.DUMMYFUNCTION("""COMPUTED_VALUE"""),"NY")</f>
        <v>NY</v>
      </c>
      <c r="R1656" s="5" t="str">
        <f ca="1">IFERROR(__xludf.DUMMYFUNCTION("""COMPUTED_VALUE"""),"Middle")</f>
        <v>Middle</v>
      </c>
      <c r="S1656" s="5" t="str">
        <f ca="1">IFERROR(__xludf.DUMMYFUNCTION("""COMPUTED_VALUE"""),"Bathroom")</f>
        <v>Bathroom</v>
      </c>
      <c r="T1656" s="5" t="str">
        <f ca="1">IFERROR(__xludf.DUMMYFUNCTION("""COMPUTED_VALUE"""),"Inside School Building")</f>
        <v>Inside School Building</v>
      </c>
      <c r="U1656" s="5" t="str">
        <f ca="1">IFERROR(__xludf.DUMMYFUNCTION("""COMPUTED_VALUE"""),"Yes")</f>
        <v>Yes</v>
      </c>
      <c r="V1656" s="5" t="str">
        <f ca="1">IFERROR(__xludf.DUMMYFUNCTION("""COMPUTED_VALUE"""),"Morning Classes")</f>
        <v>Morning Classes</v>
      </c>
      <c r="W1656" s="10">
        <f ca="1">IFERROR(__xludf.DUMMYFUNCTION("""COMPUTED_VALUE"""),0.388888888888888)</f>
        <v>0.38888888888888801</v>
      </c>
      <c r="X1656" s="5">
        <f ca="1">IFERROR(__xludf.DUMMYFUNCTION("""COMPUTED_VALUE"""),1)</f>
        <v>1</v>
      </c>
      <c r="Y1656" s="5" t="str">
        <f ca="1">IFERROR(__xludf.DUMMYFUNCTION("""COMPUTED_VALUE"""),"Suicide in school bathroom")</f>
        <v>Suicide in school bathroom</v>
      </c>
      <c r="Z1656" s="5" t="str">
        <f ca="1">IFERROR(__xludf.DUMMYFUNCTION("""COMPUTED_VALUE"""),"14 year-old teen brought her father's gun to school and shot herself in the head Monday morning in the school's second floor bathroom - she died later that night at hospital - unknown reason - no note left.")</f>
        <v>14 year-old teen brought her father's gun to school and shot herself in the head Monday morning in the school's second floor bathroom - she died later that night at hospital - unknown reason - no note left.</v>
      </c>
      <c r="AA1656" s="5" t="str">
        <f ca="1">IFERROR(__xludf.DUMMYFUNCTION("""COMPUTED_VALUE"""),"Suicide/Attempted")</f>
        <v>Suicide/Attempted</v>
      </c>
      <c r="AB1656" s="5" t="str">
        <f ca="1">IFERROR(__xludf.DUMMYFUNCTION("""COMPUTED_VALUE"""),"Victims Targeted")</f>
        <v>Victims Targeted</v>
      </c>
      <c r="AC1656" s="5" t="str">
        <f ca="1">IFERROR(__xludf.DUMMYFUNCTION("""COMPUTED_VALUE"""),"No")</f>
        <v>No</v>
      </c>
      <c r="AD1656" s="5" t="str">
        <f ca="1">IFERROR(__xludf.DUMMYFUNCTION("""COMPUTED_VALUE"""),"No")</f>
        <v>No</v>
      </c>
      <c r="AE1656" s="5" t="str">
        <f ca="1">IFERROR(__xludf.DUMMYFUNCTION("""COMPUTED_VALUE"""),"No")</f>
        <v>No</v>
      </c>
      <c r="AF1656" s="5" t="str">
        <f ca="1">IFERROR(__xludf.DUMMYFUNCTION("""COMPUTED_VALUE"""),"No")</f>
        <v>No</v>
      </c>
      <c r="AG1656" s="5"/>
      <c r="AH1656" s="5"/>
      <c r="AI1656" s="5" t="str">
        <f ca="1">IFERROR(__xludf.DUMMYFUNCTION("""COMPUTED_VALUE"""),"No")</f>
        <v>No</v>
      </c>
      <c r="AJ1656" s="5"/>
    </row>
    <row r="1657" spans="1:36" ht="13">
      <c r="A1657" s="5" t="str">
        <f ca="1">IFERROR(__xludf.DUMMYFUNCTION("""COMPUTED_VALUE"""),"19981103PAMAP")</f>
        <v>19981103PAMAP</v>
      </c>
      <c r="B1657" s="5">
        <f ca="1">IFERROR(__xludf.DUMMYFUNCTION("""COMPUTED_VALUE"""),11)</f>
        <v>11</v>
      </c>
      <c r="C1657" s="5">
        <f ca="1">IFERROR(__xludf.DUMMYFUNCTION("""COMPUTED_VALUE"""),3)</f>
        <v>3</v>
      </c>
      <c r="D1657" s="5">
        <f ca="1">IFERROR(__xludf.DUMMYFUNCTION("""COMPUTED_VALUE"""),1998)</f>
        <v>1998</v>
      </c>
      <c r="E1657" s="8">
        <f ca="1">IFERROR(__xludf.DUMMYFUNCTION("""COMPUTED_VALUE"""),36102)</f>
        <v>36102</v>
      </c>
      <c r="F1657" s="5" t="str">
        <f ca="1">IFERROR(__xludf.DUMMYFUNCTION("""COMPUTED_VALUE"""),"Martin Luther King High School")</f>
        <v>Martin Luther King High School</v>
      </c>
      <c r="G1657" s="5">
        <f ca="1">IFERROR(__xludf.DUMMYFUNCTION("""COMPUTED_VALUE"""),1)</f>
        <v>1</v>
      </c>
      <c r="H1657" s="5">
        <f ca="1">IFERROR(__xludf.DUMMYFUNCTION("""COMPUTED_VALUE"""),0)</f>
        <v>0</v>
      </c>
      <c r="I1657" s="5">
        <f ca="1">IFERROR(__xludf.DUMMYFUNCTION("""COMPUTED_VALUE"""),1)</f>
        <v>1</v>
      </c>
      <c r="J1657" s="5">
        <f ca="1">IFERROR(__xludf.DUMMYFUNCTION("""COMPUTED_VALUE"""),0)</f>
        <v>0</v>
      </c>
      <c r="K1657" s="5" t="str">
        <f ca="1">IFERROR(__xludf.DUMMYFUNCTION("""COMPUTED_VALUE"""),"https://www.newspapers.com/image/181876991/?terms=donald%2Bmcneil%2Bmartin%2Bluther%2Bking%2Bhigh%2Bschool  https://www.newspapers.com/image/33559139/?terms=student%2Bshot")</f>
        <v>https://www.newspapers.com/image/181876991/?terms=donald%2Bmcneil%2Bmartin%2Bluther%2Bking%2Bhigh%2Bschool  https://www.newspapers.com/image/33559139/?terms=student%2Bshot</v>
      </c>
      <c r="L1657" s="5"/>
      <c r="M1657" s="5"/>
      <c r="N1657" s="5">
        <f ca="1">IFERROR(__xludf.DUMMYFUNCTION("""COMPUTED_VALUE"""),3)</f>
        <v>3</v>
      </c>
      <c r="O1657" s="5" t="str">
        <f ca="1">IFERROR(__xludf.DUMMYFUNCTION("""COMPUTED_VALUE"""),"Fall")</f>
        <v>Fall</v>
      </c>
      <c r="P1657" s="5" t="str">
        <f ca="1">IFERROR(__xludf.DUMMYFUNCTION("""COMPUTED_VALUE"""),"Philadelphia")</f>
        <v>Philadelphia</v>
      </c>
      <c r="Q1657" s="5" t="str">
        <f ca="1">IFERROR(__xludf.DUMMYFUNCTION("""COMPUTED_VALUE"""),"PA")</f>
        <v>PA</v>
      </c>
      <c r="R1657" s="5" t="str">
        <f ca="1">IFERROR(__xludf.DUMMYFUNCTION("""COMPUTED_VALUE"""),"High")</f>
        <v>High</v>
      </c>
      <c r="S1657" s="5" t="str">
        <f ca="1">IFERROR(__xludf.DUMMYFUNCTION("""COMPUTED_VALUE"""),"Beside Building")</f>
        <v>Beside Building</v>
      </c>
      <c r="T1657" s="5" t="str">
        <f ca="1">IFERROR(__xludf.DUMMYFUNCTION("""COMPUTED_VALUE"""),"Outside on School Property")</f>
        <v>Outside on School Property</v>
      </c>
      <c r="U1657" s="5" t="str">
        <f ca="1">IFERROR(__xludf.DUMMYFUNCTION("""COMPUTED_VALUE"""),"Yes")</f>
        <v>Yes</v>
      </c>
      <c r="V1657" s="5" t="str">
        <f ca="1">IFERROR(__xludf.DUMMYFUNCTION("""COMPUTED_VALUE"""),"Dismissal")</f>
        <v>Dismissal</v>
      </c>
      <c r="W1657" s="10">
        <f ca="1">IFERROR(__xludf.DUMMYFUNCTION("""COMPUTED_VALUE"""),0.572916666666666)</f>
        <v>0.57291666666666596</v>
      </c>
      <c r="X1657" s="5">
        <f ca="1">IFERROR(__xludf.DUMMYFUNCTION("""COMPUTED_VALUE"""),1)</f>
        <v>1</v>
      </c>
      <c r="Y1657" s="5" t="str">
        <f ca="1">IFERROR(__xludf.DUMMYFUNCTION("""COMPUTED_VALUE"""),"Dispute over a girl at end of school day")</f>
        <v>Dispute over a girl at end of school day</v>
      </c>
      <c r="Z1657" s="5" t="str">
        <f ca="1">IFERROR(__xludf.DUMMYFUNCTION("""COMPUTED_VALUE"""),"Victim was leaving school after early dismissal when he was approached by two men (19 year-old male and 17 year-old male). One of the men opened up with a semi-automatic assault rifle hitting the victim in the stomach. Victim later died at the hospital. B"&amp;"oth men were later arrested.")</f>
        <v>Victim was leaving school after early dismissal when he was approached by two men (19 year-old male and 17 year-old male). One of the men opened up with a semi-automatic assault rifle hitting the victim in the stomach. Victim later died at the hospital. Both men were later arrested.</v>
      </c>
      <c r="AA1657" s="5" t="str">
        <f ca="1">IFERROR(__xludf.DUMMYFUNCTION("""COMPUTED_VALUE"""),"Escalation of Dispute")</f>
        <v>Escalation of Dispute</v>
      </c>
      <c r="AB1657" s="5" t="str">
        <f ca="1">IFERROR(__xludf.DUMMYFUNCTION("""COMPUTED_VALUE"""),"Victims Targeted")</f>
        <v>Victims Targeted</v>
      </c>
      <c r="AC1657" s="5" t="str">
        <f ca="1">IFERROR(__xludf.DUMMYFUNCTION("""COMPUTED_VALUE"""),"Yes")</f>
        <v>Yes</v>
      </c>
      <c r="AD1657" s="5" t="str">
        <f ca="1">IFERROR(__xludf.DUMMYFUNCTION("""COMPUTED_VALUE"""),"No")</f>
        <v>No</v>
      </c>
      <c r="AE1657" s="5" t="str">
        <f ca="1">IFERROR(__xludf.DUMMYFUNCTION("""COMPUTED_VALUE"""),"No")</f>
        <v>No</v>
      </c>
      <c r="AF1657" s="5" t="str">
        <f ca="1">IFERROR(__xludf.DUMMYFUNCTION("""COMPUTED_VALUE"""),"No")</f>
        <v>No</v>
      </c>
      <c r="AG1657" s="5" t="str">
        <f ca="1">IFERROR(__xludf.DUMMYFUNCTION("""COMPUTED_VALUE"""),"No")</f>
        <v>No</v>
      </c>
      <c r="AH1657" s="5" t="str">
        <f ca="1">IFERROR(__xludf.DUMMYFUNCTION("""COMPUTED_VALUE"""),"No")</f>
        <v>No</v>
      </c>
      <c r="AI1657" s="5" t="str">
        <f ca="1">IFERROR(__xludf.DUMMYFUNCTION("""COMPUTED_VALUE"""),"No")</f>
        <v>No</v>
      </c>
      <c r="AJ1657" s="5"/>
    </row>
    <row r="1658" spans="1:36" ht="13">
      <c r="A1658" s="5" t="str">
        <f ca="1">IFERROR(__xludf.DUMMYFUNCTION("""COMPUTED_VALUE"""),"19980930FLNOM")</f>
        <v>19980930FLNOM</v>
      </c>
      <c r="B1658" s="5">
        <f ca="1">IFERROR(__xludf.DUMMYFUNCTION("""COMPUTED_VALUE"""),9)</f>
        <v>9</v>
      </c>
      <c r="C1658" s="5">
        <f ca="1">IFERROR(__xludf.DUMMYFUNCTION("""COMPUTED_VALUE"""),30)</f>
        <v>30</v>
      </c>
      <c r="D1658" s="5">
        <f ca="1">IFERROR(__xludf.DUMMYFUNCTION("""COMPUTED_VALUE"""),1998)</f>
        <v>1998</v>
      </c>
      <c r="E1658" s="8">
        <f ca="1">IFERROR(__xludf.DUMMYFUNCTION("""COMPUTED_VALUE"""),36068)</f>
        <v>36068</v>
      </c>
      <c r="F1658" s="5" t="str">
        <f ca="1">IFERROR(__xludf.DUMMYFUNCTION("""COMPUTED_VALUE"""),"North Miami High School")</f>
        <v>North Miami High School</v>
      </c>
      <c r="G1658" s="5">
        <f ca="1">IFERROR(__xludf.DUMMYFUNCTION("""COMPUTED_VALUE"""),0)</f>
        <v>0</v>
      </c>
      <c r="H1658" s="5">
        <f ca="1">IFERROR(__xludf.DUMMYFUNCTION("""COMPUTED_VALUE"""),3)</f>
        <v>3</v>
      </c>
      <c r="I1658" s="5">
        <f ca="1">IFERROR(__xludf.DUMMYFUNCTION("""COMPUTED_VALUE"""),3)</f>
        <v>3</v>
      </c>
      <c r="J1658" s="5">
        <f ca="1">IFERROR(__xludf.DUMMYFUNCTION("""COMPUTED_VALUE"""),0)</f>
        <v>0</v>
      </c>
      <c r="K1658" s="5" t="str">
        <f ca="1">IFERROR(__xludf.DUMMYFUNCTION("""COMPUTED_VALUE"""),"http://articles.sun-sentinel.com/1998-09-30/news/9809300032_1_school-cafeteria-school-officials-high-school https://www.newspapers.com/image/238875357 https://www.newspapers.com/image/238925919/?terms=North%2BMiami%2BSenior%2BHigh%2BSchool")</f>
        <v>http://articles.sun-sentinel.com/1998-09-30/news/9809300032_1_school-cafeteria-school-officials-high-school https://www.newspapers.com/image/238875357 https://www.newspapers.com/image/238925919/?terms=North%2BMiami%2BSenior%2BHigh%2BSchool</v>
      </c>
      <c r="L1658" s="5"/>
      <c r="M1658" s="5"/>
      <c r="N1658" s="5">
        <f ca="1">IFERROR(__xludf.DUMMYFUNCTION("""COMPUTED_VALUE"""),2)</f>
        <v>2</v>
      </c>
      <c r="O1658" s="5" t="str">
        <f ca="1">IFERROR(__xludf.DUMMYFUNCTION("""COMPUTED_VALUE"""),"Fall")</f>
        <v>Fall</v>
      </c>
      <c r="P1658" s="5" t="str">
        <f ca="1">IFERROR(__xludf.DUMMYFUNCTION("""COMPUTED_VALUE"""),"Miami")</f>
        <v>Miami</v>
      </c>
      <c r="Q1658" s="5" t="str">
        <f ca="1">IFERROR(__xludf.DUMMYFUNCTION("""COMPUTED_VALUE"""),"FL")</f>
        <v>FL</v>
      </c>
      <c r="R1658" s="5" t="str">
        <f ca="1">IFERROR(__xludf.DUMMYFUNCTION("""COMPUTED_VALUE"""),"High")</f>
        <v>High</v>
      </c>
      <c r="S1658" s="5" t="str">
        <f ca="1">IFERROR(__xludf.DUMMYFUNCTION("""COMPUTED_VALUE"""),"Hallway")</f>
        <v>Hallway</v>
      </c>
      <c r="T1658" s="5" t="str">
        <f ca="1">IFERROR(__xludf.DUMMYFUNCTION("""COMPUTED_VALUE"""),"Inside School Building")</f>
        <v>Inside School Building</v>
      </c>
      <c r="U1658" s="5" t="str">
        <f ca="1">IFERROR(__xludf.DUMMYFUNCTION("""COMPUTED_VALUE"""),"Yes")</f>
        <v>Yes</v>
      </c>
      <c r="V1658" s="5" t="str">
        <f ca="1">IFERROR(__xludf.DUMMYFUNCTION("""COMPUTED_VALUE"""),"Lunch")</f>
        <v>Lunch</v>
      </c>
      <c r="W1658" s="10">
        <f ca="1">IFERROR(__xludf.DUMMYFUNCTION("""COMPUTED_VALUE"""),0.522222222222222)</f>
        <v>0.52222222222222203</v>
      </c>
      <c r="X1658" s="5">
        <f ca="1">IFERROR(__xludf.DUMMYFUNCTION("""COMPUTED_VALUE"""),1)</f>
        <v>1</v>
      </c>
      <c r="Y1658" s="5" t="str">
        <f ca="1">IFERROR(__xludf.DUMMYFUNCTION("""COMPUTED_VALUE"""),"Gang related shooting following prior fight")</f>
        <v>Gang related shooting following prior fight</v>
      </c>
      <c r="Z1658" s="5" t="str">
        <f ca="1">IFERROR(__xludf.DUMMYFUNCTION("""COMPUTED_VALUE"""),"Two student gang members (18 year-old male and 17 year-old male) chased a rival gang member to school and fired multiple shots in the hallway during lunch. Two students and one teacher were struck. Shooters fled the scene.")</f>
        <v>Two student gang members (18 year-old male and 17 year-old male) chased a rival gang member to school and fired multiple shots in the hallway during lunch. Two students and one teacher were struck. Shooters fled the scene.</v>
      </c>
      <c r="AA1658" s="5" t="str">
        <f ca="1">IFERROR(__xludf.DUMMYFUNCTION("""COMPUTED_VALUE"""),"Escalation of Dispute")</f>
        <v>Escalation of Dispute</v>
      </c>
      <c r="AB1658" s="5" t="str">
        <f ca="1">IFERROR(__xludf.DUMMYFUNCTION("""COMPUTED_VALUE"""),"Both")</f>
        <v>Both</v>
      </c>
      <c r="AC1658" s="5" t="str">
        <f ca="1">IFERROR(__xludf.DUMMYFUNCTION("""COMPUTED_VALUE"""),"Yes")</f>
        <v>Yes</v>
      </c>
      <c r="AD1658" s="5" t="str">
        <f ca="1">IFERROR(__xludf.DUMMYFUNCTION("""COMPUTED_VALUE"""),"No")</f>
        <v>No</v>
      </c>
      <c r="AE1658" s="5" t="str">
        <f ca="1">IFERROR(__xludf.DUMMYFUNCTION("""COMPUTED_VALUE"""),"No")</f>
        <v>No</v>
      </c>
      <c r="AF1658" s="5" t="str">
        <f ca="1">IFERROR(__xludf.DUMMYFUNCTION("""COMPUTED_VALUE"""),"No")</f>
        <v>No</v>
      </c>
      <c r="AG1658" s="5" t="str">
        <f ca="1">IFERROR(__xludf.DUMMYFUNCTION("""COMPUTED_VALUE"""),"No")</f>
        <v>No</v>
      </c>
      <c r="AH1658" s="5" t="str">
        <f ca="1">IFERROR(__xludf.DUMMYFUNCTION("""COMPUTED_VALUE"""),"No")</f>
        <v>No</v>
      </c>
      <c r="AI1658" s="5" t="str">
        <f ca="1">IFERROR(__xludf.DUMMYFUNCTION("""COMPUTED_VALUE"""),"Yes")</f>
        <v>Yes</v>
      </c>
      <c r="AJ1658" s="5"/>
    </row>
    <row r="1659" spans="1:36" ht="13">
      <c r="A1659" s="5" t="str">
        <f ca="1">IFERROR(__xludf.DUMMYFUNCTION("""COMPUTED_VALUE"""),"19980930FLLEL")</f>
        <v>19980930FLLEL</v>
      </c>
      <c r="B1659" s="5">
        <f ca="1">IFERROR(__xludf.DUMMYFUNCTION("""COMPUTED_VALUE"""),9)</f>
        <v>9</v>
      </c>
      <c r="C1659" s="5">
        <f ca="1">IFERROR(__xludf.DUMMYFUNCTION("""COMPUTED_VALUE"""),30)</f>
        <v>30</v>
      </c>
      <c r="D1659" s="5">
        <f ca="1">IFERROR(__xludf.DUMMYFUNCTION("""COMPUTED_VALUE"""),1998)</f>
        <v>1998</v>
      </c>
      <c r="E1659" s="8">
        <f ca="1">IFERROR(__xludf.DUMMYFUNCTION("""COMPUTED_VALUE"""),36068)</f>
        <v>36068</v>
      </c>
      <c r="F1659" s="5" t="str">
        <f ca="1">IFERROR(__xludf.DUMMYFUNCTION("""COMPUTED_VALUE"""),"Leesburg High School")</f>
        <v>Leesburg High School</v>
      </c>
      <c r="G1659" s="5">
        <f ca="1">IFERROR(__xludf.DUMMYFUNCTION("""COMPUTED_VALUE"""),0)</f>
        <v>0</v>
      </c>
      <c r="H1659" s="5">
        <f ca="1">IFERROR(__xludf.DUMMYFUNCTION("""COMPUTED_VALUE"""),0)</f>
        <v>0</v>
      </c>
      <c r="I1659" s="5">
        <f ca="1">IFERROR(__xludf.DUMMYFUNCTION("""COMPUTED_VALUE"""),0)</f>
        <v>0</v>
      </c>
      <c r="J1659" s="5">
        <f ca="1">IFERROR(__xludf.DUMMYFUNCTION("""COMPUTED_VALUE"""),0)</f>
        <v>0</v>
      </c>
      <c r="K1659" s="5" t="str">
        <f ca="1">IFERROR(__xludf.DUMMYFUNCTION("""COMPUTED_VALUE"""),"https://www.newspapers.com/image/235593309/?terms=student%2Bshot https://www.tampabay.com/archive/1998/10/01/shootings-injure-teacher-3-students-in-state/")</f>
        <v>https://www.newspapers.com/image/235593309/?terms=student%2Bshot https://www.tampabay.com/archive/1998/10/01/shootings-injure-teacher-3-students-in-state/</v>
      </c>
      <c r="L1659" s="5"/>
      <c r="M1659" s="5"/>
      <c r="N1659" s="5">
        <f ca="1">IFERROR(__xludf.DUMMYFUNCTION("""COMPUTED_VALUE"""),2)</f>
        <v>2</v>
      </c>
      <c r="O1659" s="5" t="str">
        <f ca="1">IFERROR(__xludf.DUMMYFUNCTION("""COMPUTED_VALUE"""),"Fall")</f>
        <v>Fall</v>
      </c>
      <c r="P1659" s="5" t="str">
        <f ca="1">IFERROR(__xludf.DUMMYFUNCTION("""COMPUTED_VALUE"""),"Leesburg")</f>
        <v>Leesburg</v>
      </c>
      <c r="Q1659" s="5" t="str">
        <f ca="1">IFERROR(__xludf.DUMMYFUNCTION("""COMPUTED_VALUE"""),"FL")</f>
        <v>FL</v>
      </c>
      <c r="R1659" s="5" t="str">
        <f ca="1">IFERROR(__xludf.DUMMYFUNCTION("""COMPUTED_VALUE"""),"High")</f>
        <v>High</v>
      </c>
      <c r="S1659" s="5" t="str">
        <f ca="1">IFERROR(__xludf.DUMMYFUNCTION("""COMPUTED_VALUE"""),"Outside on School Property")</f>
        <v>Outside on School Property</v>
      </c>
      <c r="T1659" s="5" t="str">
        <f ca="1">IFERROR(__xludf.DUMMYFUNCTION("""COMPUTED_VALUE"""),"Outside on School Property")</f>
        <v>Outside on School Property</v>
      </c>
      <c r="U1659" s="5" t="str">
        <f ca="1">IFERROR(__xludf.DUMMYFUNCTION("""COMPUTED_VALUE"""),"Yes")</f>
        <v>Yes</v>
      </c>
      <c r="V1659" s="5"/>
      <c r="W1659" s="5"/>
      <c r="X1659" s="5">
        <f ca="1">IFERROR(__xludf.DUMMYFUNCTION("""COMPUTED_VALUE"""),1)</f>
        <v>1</v>
      </c>
      <c r="Y1659" s="5" t="str">
        <f ca="1">IFERROR(__xludf.DUMMYFUNCTION("""COMPUTED_VALUE"""),"Teen shot himself in the arm")</f>
        <v>Teen shot himself in the arm</v>
      </c>
      <c r="Z1659" s="5" t="str">
        <f ca="1">IFERROR(__xludf.DUMMYFUNCTION("""COMPUTED_VALUE"""),"17 year old teen shot himself in arm but blamed another student. Police did not believe his story that another student, who the teen did not know threatened him and then shot him on the school grounds. Police reported that the teen shot himself in the arm"&amp;" because he was unhappy with being sent to public school after being homeschooled.")</f>
        <v>17 year old teen shot himself in arm but blamed another student. Police did not believe his story that another student, who the teen did not know threatened him and then shot him on the school grounds. Police reported that the teen shot himself in the arm because he was unhappy with being sent to public school after being homeschooled.</v>
      </c>
      <c r="AA1659" s="5" t="str">
        <f ca="1">IFERROR(__xludf.DUMMYFUNCTION("""COMPUTED_VALUE"""),"Accidental")</f>
        <v>Accidental</v>
      </c>
      <c r="AB1659" s="5" t="str">
        <f ca="1">IFERROR(__xludf.DUMMYFUNCTION("""COMPUTED_VALUE"""),"Victims Targeted")</f>
        <v>Victims Targeted</v>
      </c>
      <c r="AC1659" s="5" t="str">
        <f ca="1">IFERROR(__xludf.DUMMYFUNCTION("""COMPUTED_VALUE"""),"No")</f>
        <v>No</v>
      </c>
      <c r="AD1659" s="5" t="str">
        <f ca="1">IFERROR(__xludf.DUMMYFUNCTION("""COMPUTED_VALUE"""),"No")</f>
        <v>No</v>
      </c>
      <c r="AE1659" s="5" t="str">
        <f ca="1">IFERROR(__xludf.DUMMYFUNCTION("""COMPUTED_VALUE"""),"No")</f>
        <v>No</v>
      </c>
      <c r="AF1659" s="5" t="str">
        <f ca="1">IFERROR(__xludf.DUMMYFUNCTION("""COMPUTED_VALUE"""),"No")</f>
        <v>No</v>
      </c>
      <c r="AG1659" s="5" t="str">
        <f ca="1">IFERROR(__xludf.DUMMYFUNCTION("""COMPUTED_VALUE"""),"No")</f>
        <v>No</v>
      </c>
      <c r="AH1659" s="5" t="str">
        <f ca="1">IFERROR(__xludf.DUMMYFUNCTION("""COMPUTED_VALUE"""),"No")</f>
        <v>No</v>
      </c>
      <c r="AI1659" s="5" t="str">
        <f ca="1">IFERROR(__xludf.DUMMYFUNCTION("""COMPUTED_VALUE"""),"No")</f>
        <v>No</v>
      </c>
      <c r="AJ1659" s="5"/>
    </row>
    <row r="1660" spans="1:36" ht="13">
      <c r="A1660" s="5" t="str">
        <f ca="1">IFERROR(__xludf.DUMMYFUNCTION("""COMPUTED_VALUE"""),"19980911CAHEG")</f>
        <v>19980911CAHEG</v>
      </c>
      <c r="B1660" s="5">
        <f ca="1">IFERROR(__xludf.DUMMYFUNCTION("""COMPUTED_VALUE"""),9)</f>
        <v>9</v>
      </c>
      <c r="C1660" s="5">
        <f ca="1">IFERROR(__xludf.DUMMYFUNCTION("""COMPUTED_VALUE"""),11)</f>
        <v>11</v>
      </c>
      <c r="D1660" s="5">
        <f ca="1">IFERROR(__xludf.DUMMYFUNCTION("""COMPUTED_VALUE"""),1998)</f>
        <v>1998</v>
      </c>
      <c r="E1660" s="8">
        <f ca="1">IFERROR(__xludf.DUMMYFUNCTION("""COMPUTED_VALUE"""),36049)</f>
        <v>36049</v>
      </c>
      <c r="F1660" s="5" t="str">
        <f ca="1">IFERROR(__xludf.DUMMYFUNCTION("""COMPUTED_VALUE"""),"Herbert Hoover High School")</f>
        <v>Herbert Hoover High School</v>
      </c>
      <c r="G1660" s="5">
        <f ca="1">IFERROR(__xludf.DUMMYFUNCTION("""COMPUTED_VALUE"""),0)</f>
        <v>0</v>
      </c>
      <c r="H1660" s="5">
        <f ca="1">IFERROR(__xludf.DUMMYFUNCTION("""COMPUTED_VALUE"""),1)</f>
        <v>1</v>
      </c>
      <c r="I1660" s="5">
        <f ca="1">IFERROR(__xludf.DUMMYFUNCTION("""COMPUTED_VALUE"""),1)</f>
        <v>1</v>
      </c>
      <c r="J1660" s="5">
        <f ca="1">IFERROR(__xludf.DUMMYFUNCTION("""COMPUTED_VALUE"""),0)</f>
        <v>0</v>
      </c>
      <c r="K1660" s="5" t="str">
        <f ca="1">IFERROR(__xludf.DUMMYFUNCTION("""COMPUTED_VALUE"""),"http://articles.latimes.com/1998/sep/11/local/me-21578 https://www.newspapers.com/image/159940696/?terms=Los%2BAngeles%2BTimes%2BHerbert%2BHoover%2BHigh%2BSchool http://asbarez.com/37240/hoover-high-school-shooting-victim-dies/ https://www.newspapers.com/"&amp;"image/161588840/?terms=Los%2BAngeles%2BTimes%2BHerbert%2BHoover%2BHigh%2BSchool")</f>
        <v>http://articles.latimes.com/1998/sep/11/local/me-21578 https://www.newspapers.com/image/159940696/?terms=Los%2BAngeles%2BTimes%2BHerbert%2BHoover%2BHigh%2BSchool http://asbarez.com/37240/hoover-high-school-shooting-victim-dies/ https://www.newspapers.com/image/161588840/?terms=Los%2BAngeles%2BTimes%2BHerbert%2BHoover%2BHigh%2BSchool</v>
      </c>
      <c r="L1660" s="5"/>
      <c r="M1660" s="5"/>
      <c r="N1660" s="5">
        <f ca="1">IFERROR(__xludf.DUMMYFUNCTION("""COMPUTED_VALUE"""),2)</f>
        <v>2</v>
      </c>
      <c r="O1660" s="5" t="str">
        <f ca="1">IFERROR(__xludf.DUMMYFUNCTION("""COMPUTED_VALUE"""),"Fall")</f>
        <v>Fall</v>
      </c>
      <c r="P1660" s="5" t="str">
        <f ca="1">IFERROR(__xludf.DUMMYFUNCTION("""COMPUTED_VALUE"""),"Glendale")</f>
        <v>Glendale</v>
      </c>
      <c r="Q1660" s="5" t="str">
        <f ca="1">IFERROR(__xludf.DUMMYFUNCTION("""COMPUTED_VALUE"""),"CA")</f>
        <v>CA</v>
      </c>
      <c r="R1660" s="5" t="str">
        <f ca="1">IFERROR(__xludf.DUMMYFUNCTION("""COMPUTED_VALUE"""),"High")</f>
        <v>High</v>
      </c>
      <c r="S1660" s="5" t="str">
        <f ca="1">IFERROR(__xludf.DUMMYFUNCTION("""COMPUTED_VALUE"""),"Parking Lot")</f>
        <v>Parking Lot</v>
      </c>
      <c r="T1660" s="5" t="str">
        <f ca="1">IFERROR(__xludf.DUMMYFUNCTION("""COMPUTED_VALUE"""),"Outside on School Property")</f>
        <v>Outside on School Property</v>
      </c>
      <c r="U1660" s="5" t="str">
        <f ca="1">IFERROR(__xludf.DUMMYFUNCTION("""COMPUTED_VALUE"""),"No")</f>
        <v>No</v>
      </c>
      <c r="V1660" s="5" t="str">
        <f ca="1">IFERROR(__xludf.DUMMYFUNCTION("""COMPUTED_VALUE"""),"After School")</f>
        <v>After School</v>
      </c>
      <c r="W1660" s="5"/>
      <c r="X1660" s="5">
        <f ca="1">IFERROR(__xludf.DUMMYFUNCTION("""COMPUTED_VALUE"""),1)</f>
        <v>1</v>
      </c>
      <c r="Y1660" s="5" t="str">
        <f ca="1">IFERROR(__xludf.DUMMYFUNCTION("""COMPUTED_VALUE"""),"Gang fight in parking lot, one shot (student involved in fight)")</f>
        <v>Gang fight in parking lot, one shot (student involved in fight)</v>
      </c>
      <c r="Z1660" s="5" t="str">
        <f ca="1">IFERROR(__xludf.DUMMYFUNCTION("""COMPUTED_VALUE"""),"Fight between two groups of gang members in the parking lot. FIght started during school, however, participants decided to continue the fight after school. Started as a fist fight but a gun was pulled and shot was fired injuring one student (gang member)."&amp;" Injured victim died a few days later from gunshot wound/failing organs.")</f>
        <v>Fight between two groups of gang members in the parking lot. FIght started during school, however, participants decided to continue the fight after school. Started as a fist fight but a gun was pulled and shot was fired injuring one student (gang member). Injured victim died a few days later from gunshot wound/failing organs.</v>
      </c>
      <c r="AA1660" s="5" t="str">
        <f ca="1">IFERROR(__xludf.DUMMYFUNCTION("""COMPUTED_VALUE"""),"Escalation of Dispute")</f>
        <v>Escalation of Dispute</v>
      </c>
      <c r="AB1660" s="5" t="str">
        <f ca="1">IFERROR(__xludf.DUMMYFUNCTION("""COMPUTED_VALUE"""),"Victims Targeted")</f>
        <v>Victims Targeted</v>
      </c>
      <c r="AC1660" s="5" t="str">
        <f ca="1">IFERROR(__xludf.DUMMYFUNCTION("""COMPUTED_VALUE"""),"No")</f>
        <v>No</v>
      </c>
      <c r="AD1660" s="5" t="str">
        <f ca="1">IFERROR(__xludf.DUMMYFUNCTION("""COMPUTED_VALUE"""),"No")</f>
        <v>No</v>
      </c>
      <c r="AE1660" s="5" t="str">
        <f ca="1">IFERROR(__xludf.DUMMYFUNCTION("""COMPUTED_VALUE"""),"No")</f>
        <v>No</v>
      </c>
      <c r="AF1660" s="5" t="str">
        <f ca="1">IFERROR(__xludf.DUMMYFUNCTION("""COMPUTED_VALUE"""),"No")</f>
        <v>No</v>
      </c>
      <c r="AG1660" s="5" t="str">
        <f ca="1">IFERROR(__xludf.DUMMYFUNCTION("""COMPUTED_VALUE"""),"No")</f>
        <v>No</v>
      </c>
      <c r="AH1660" s="5" t="str">
        <f ca="1">IFERROR(__xludf.DUMMYFUNCTION("""COMPUTED_VALUE"""),"No")</f>
        <v>No</v>
      </c>
      <c r="AI1660" s="5" t="str">
        <f ca="1">IFERROR(__xludf.DUMMYFUNCTION("""COMPUTED_VALUE"""),"Yes")</f>
        <v>Yes</v>
      </c>
      <c r="AJ1660" s="5"/>
    </row>
    <row r="1661" spans="1:36" ht="13">
      <c r="A1661" s="5" t="str">
        <f ca="1">IFERROR(__xludf.DUMMYFUNCTION("""COMPUTED_VALUE"""),"19980615VAARR")</f>
        <v>19980615VAARR</v>
      </c>
      <c r="B1661" s="5">
        <f ca="1">IFERROR(__xludf.DUMMYFUNCTION("""COMPUTED_VALUE"""),6)</f>
        <v>6</v>
      </c>
      <c r="C1661" s="5">
        <f ca="1">IFERROR(__xludf.DUMMYFUNCTION("""COMPUTED_VALUE"""),15)</f>
        <v>15</v>
      </c>
      <c r="D1661" s="5">
        <f ca="1">IFERROR(__xludf.DUMMYFUNCTION("""COMPUTED_VALUE"""),1998)</f>
        <v>1998</v>
      </c>
      <c r="E1661" s="8">
        <f ca="1">IFERROR(__xludf.DUMMYFUNCTION("""COMPUTED_VALUE"""),35961)</f>
        <v>35961</v>
      </c>
      <c r="F1661" s="5" t="str">
        <f ca="1">IFERROR(__xludf.DUMMYFUNCTION("""COMPUTED_VALUE"""),"Armstrong High School")</f>
        <v>Armstrong High School</v>
      </c>
      <c r="G1661" s="5">
        <f ca="1">IFERROR(__xludf.DUMMYFUNCTION("""COMPUTED_VALUE"""),0)</f>
        <v>0</v>
      </c>
      <c r="H1661" s="5">
        <f ca="1">IFERROR(__xludf.DUMMYFUNCTION("""COMPUTED_VALUE"""),2)</f>
        <v>2</v>
      </c>
      <c r="I1661" s="5">
        <f ca="1">IFERROR(__xludf.DUMMYFUNCTION("""COMPUTED_VALUE"""),2)</f>
        <v>2</v>
      </c>
      <c r="J1661" s="5">
        <f ca="1">IFERROR(__xludf.DUMMYFUNCTION("""COMPUTED_VALUE"""),0)</f>
        <v>0</v>
      </c>
      <c r="K1661" s="5" t="str">
        <f ca="1">IFERROR(__xludf.DUMMYFUNCTION("""COMPUTED_VALUE"""),"http://www.cnn.com/US/9806/15/school.shooting.04/ https://www.washingtonpost.com/archive/politics/1998/06/16/2-are-shot-at-school-in-richmond/1d6d5635-2da4-4b2b-b895-c687300ff9a2/ https://www.deseret.com/1998/6/15/19385929/teacher-employee-shot-wounded-at"&amp;"-virginia-high-school https://www.nytimes.com/1998/06/17/us/boy-is-charged-as-adult-in-richmond-shooting.html")</f>
        <v>http://www.cnn.com/US/9806/15/school.shooting.04/ https://www.washingtonpost.com/archive/politics/1998/06/16/2-are-shot-at-school-in-richmond/1d6d5635-2da4-4b2b-b895-c687300ff9a2/ https://www.deseret.com/1998/6/15/19385929/teacher-employee-shot-wounded-at-virginia-high-school https://www.nytimes.com/1998/06/17/us/boy-is-charged-as-adult-in-richmond-shooting.html</v>
      </c>
      <c r="L1661" s="5"/>
      <c r="M1661" s="5"/>
      <c r="N1661" s="5">
        <f ca="1">IFERROR(__xludf.DUMMYFUNCTION("""COMPUTED_VALUE"""),2)</f>
        <v>2</v>
      </c>
      <c r="O1661" s="5" t="str">
        <f ca="1">IFERROR(__xludf.DUMMYFUNCTION("""COMPUTED_VALUE"""),"Summer")</f>
        <v>Summer</v>
      </c>
      <c r="P1661" s="5" t="str">
        <f ca="1">IFERROR(__xludf.DUMMYFUNCTION("""COMPUTED_VALUE"""),"Richmond")</f>
        <v>Richmond</v>
      </c>
      <c r="Q1661" s="5" t="str">
        <f ca="1">IFERROR(__xludf.DUMMYFUNCTION("""COMPUTED_VALUE"""),"VA")</f>
        <v>VA</v>
      </c>
      <c r="R1661" s="5" t="str">
        <f ca="1">IFERROR(__xludf.DUMMYFUNCTION("""COMPUTED_VALUE"""),"High")</f>
        <v>High</v>
      </c>
      <c r="S1661" s="5" t="str">
        <f ca="1">IFERROR(__xludf.DUMMYFUNCTION("""COMPUTED_VALUE"""),"Hallway")</f>
        <v>Hallway</v>
      </c>
      <c r="T1661" s="5" t="str">
        <f ca="1">IFERROR(__xludf.DUMMYFUNCTION("""COMPUTED_VALUE"""),"Inside School Building")</f>
        <v>Inside School Building</v>
      </c>
      <c r="U1661" s="5" t="str">
        <f ca="1">IFERROR(__xludf.DUMMYFUNCTION("""COMPUTED_VALUE"""),"Yes")</f>
        <v>Yes</v>
      </c>
      <c r="V1661" s="5" t="str">
        <f ca="1">IFERROR(__xludf.DUMMYFUNCTION("""COMPUTED_VALUE"""),"Morning Classes")</f>
        <v>Morning Classes</v>
      </c>
      <c r="W1661" s="10">
        <f ca="1">IFERROR(__xludf.DUMMYFUNCTION("""COMPUTED_VALUE"""),0.416666666666666)</f>
        <v>0.41666666666666602</v>
      </c>
      <c r="X1661" s="5">
        <f ca="1">IFERROR(__xludf.DUMMYFUNCTION("""COMPUTED_VALUE"""),1)</f>
        <v>1</v>
      </c>
      <c r="Y1661" s="5" t="str">
        <f ca="1">IFERROR(__xludf.DUMMYFUNCTION("""COMPUTED_VALUE"""),"Fight (escalated) between juveniles, two teachers struck")</f>
        <v>Fight (escalated) between juveniles, two teachers struck</v>
      </c>
      <c r="Z1661" s="5" t="str">
        <f ca="1">IFERROR(__xludf.DUMMYFUNCTION("""COMPUTED_VALUE"""),"Fight between two students inside the school escalated into a shooting. Shooter brought out gun and fired 10 shots into a crowded hallway. A teacher and teacher's aide were hit. A police officer assigned to the school chased the fleeing shooter to a woode"&amp;"d area outside of the school where he was arrested. Media reported the school had an ongoing issue with large fights involving multiple students. These fights were more common at the end of the school year because students from different neighborhoods kne"&amp;"w they wouldn't see each other over summer break.")</f>
        <v>Fight between two students inside the school escalated into a shooting. Shooter brought out gun and fired 10 shots into a crowded hallway. A teacher and teacher's aide were hit. A police officer assigned to the school chased the fleeing shooter to a wooded area outside of the school where he was arrested. Media reported the school had an ongoing issue with large fights involving multiple students. These fights were more common at the end of the school year because students from different neighborhoods knew they wouldn't see each other over summer break.</v>
      </c>
      <c r="AA1661" s="5" t="str">
        <f ca="1">IFERROR(__xludf.DUMMYFUNCTION("""COMPUTED_VALUE"""),"Escalation of Dispute")</f>
        <v>Escalation of Dispute</v>
      </c>
      <c r="AB1661" s="5" t="str">
        <f ca="1">IFERROR(__xludf.DUMMYFUNCTION("""COMPUTED_VALUE"""),"Both")</f>
        <v>Both</v>
      </c>
      <c r="AC1661" s="5" t="str">
        <f ca="1">IFERROR(__xludf.DUMMYFUNCTION("""COMPUTED_VALUE"""),"No")</f>
        <v>No</v>
      </c>
      <c r="AD1661" s="5" t="str">
        <f ca="1">IFERROR(__xludf.DUMMYFUNCTION("""COMPUTED_VALUE"""),"No")</f>
        <v>No</v>
      </c>
      <c r="AE1661" s="5" t="str">
        <f ca="1">IFERROR(__xludf.DUMMYFUNCTION("""COMPUTED_VALUE"""),"No")</f>
        <v>No</v>
      </c>
      <c r="AF1661" s="5" t="str">
        <f ca="1">IFERROR(__xludf.DUMMYFUNCTION("""COMPUTED_VALUE"""),"No")</f>
        <v>No</v>
      </c>
      <c r="AG1661" s="5"/>
      <c r="AH1661" s="5" t="str">
        <f ca="1">IFERROR(__xludf.DUMMYFUNCTION("""COMPUTED_VALUE"""),"No")</f>
        <v>No</v>
      </c>
      <c r="AI1661" s="5" t="str">
        <f ca="1">IFERROR(__xludf.DUMMYFUNCTION("""COMPUTED_VALUE"""),"Yes")</f>
        <v>Yes</v>
      </c>
      <c r="AJ1661" s="5"/>
    </row>
    <row r="1662" spans="1:36" ht="13">
      <c r="A1662" s="5" t="str">
        <f ca="1">IFERROR(__xludf.DUMMYFUNCTION("""COMPUTED_VALUE"""),"19980529FLSTF")</f>
        <v>19980529FLSTF</v>
      </c>
      <c r="B1662" s="5">
        <f ca="1">IFERROR(__xludf.DUMMYFUNCTION("""COMPUTED_VALUE"""),5)</f>
        <v>5</v>
      </c>
      <c r="C1662" s="5">
        <f ca="1">IFERROR(__xludf.DUMMYFUNCTION("""COMPUTED_VALUE"""),29)</f>
        <v>29</v>
      </c>
      <c r="D1662" s="5">
        <f ca="1">IFERROR(__xludf.DUMMYFUNCTION("""COMPUTED_VALUE"""),1998)</f>
        <v>1998</v>
      </c>
      <c r="E1662" s="8">
        <f ca="1">IFERROR(__xludf.DUMMYFUNCTION("""COMPUTED_VALUE"""),35944)</f>
        <v>35944</v>
      </c>
      <c r="F1662" s="5" t="str">
        <f ca="1">IFERROR(__xludf.DUMMYFUNCTION("""COMPUTED_VALUE"""),"Stranahan High School")</f>
        <v>Stranahan High School</v>
      </c>
      <c r="G1662" s="5">
        <f ca="1">IFERROR(__xludf.DUMMYFUNCTION("""COMPUTED_VALUE"""),1)</f>
        <v>1</v>
      </c>
      <c r="H1662" s="5">
        <f ca="1">IFERROR(__xludf.DUMMYFUNCTION("""COMPUTED_VALUE"""),0)</f>
        <v>0</v>
      </c>
      <c r="I1662" s="5">
        <f ca="1">IFERROR(__xludf.DUMMYFUNCTION("""COMPUTED_VALUE"""),1)</f>
        <v>1</v>
      </c>
      <c r="J1662" s="5">
        <f ca="1">IFERROR(__xludf.DUMMYFUNCTION("""COMPUTED_VALUE"""),1)</f>
        <v>1</v>
      </c>
      <c r="K1662" s="5" t="str">
        <f ca="1">IFERROR(__xludf.DUMMYFUNCTION("""COMPUTED_VALUE"""),"http://www.cnn.com/US/9805/29/briefs/school.shooting/index.html  https://www.newspapers.com/image/207867770/?terms=shot%2Bin%2Bhigh%2Bschool%2Bparking%2Blot https://www.newspapers.com/image/239008999/ https://www.chicagotribune.com/news/ct-xpm-1998-05-30-"&amp;"9805300127-story.html")</f>
        <v>http://www.cnn.com/US/9805/29/briefs/school.shooting/index.html  https://www.newspapers.com/image/207867770/?terms=shot%2Bin%2Bhigh%2Bschool%2Bparking%2Blot https://www.newspapers.com/image/239008999/ https://www.chicagotribune.com/news/ct-xpm-1998-05-30-9805300127-story.html</v>
      </c>
      <c r="L1662" s="5"/>
      <c r="M1662" s="5"/>
      <c r="N1662" s="5">
        <f ca="1">IFERROR(__xludf.DUMMYFUNCTION("""COMPUTED_VALUE"""),2)</f>
        <v>2</v>
      </c>
      <c r="O1662" s="5" t="str">
        <f ca="1">IFERROR(__xludf.DUMMYFUNCTION("""COMPUTED_VALUE"""),"Spring")</f>
        <v>Spring</v>
      </c>
      <c r="P1662" s="5" t="str">
        <f ca="1">IFERROR(__xludf.DUMMYFUNCTION("""COMPUTED_VALUE"""),"Ft. Lauderdale")</f>
        <v>Ft. Lauderdale</v>
      </c>
      <c r="Q1662" s="5" t="str">
        <f ca="1">IFERROR(__xludf.DUMMYFUNCTION("""COMPUTED_VALUE"""),"FL")</f>
        <v>FL</v>
      </c>
      <c r="R1662" s="5" t="str">
        <f ca="1">IFERROR(__xludf.DUMMYFUNCTION("""COMPUTED_VALUE"""),"High")</f>
        <v>High</v>
      </c>
      <c r="S1662" s="5" t="str">
        <f ca="1">IFERROR(__xludf.DUMMYFUNCTION("""COMPUTED_VALUE"""),"Parking Lot")</f>
        <v>Parking Lot</v>
      </c>
      <c r="T1662" s="5" t="str">
        <f ca="1">IFERROR(__xludf.DUMMYFUNCTION("""COMPUTED_VALUE"""),"Outside on School Property")</f>
        <v>Outside on School Property</v>
      </c>
      <c r="U1662" s="5" t="str">
        <f ca="1">IFERROR(__xludf.DUMMYFUNCTION("""COMPUTED_VALUE"""),"Yes")</f>
        <v>Yes</v>
      </c>
      <c r="V1662" s="5" t="str">
        <f ca="1">IFERROR(__xludf.DUMMYFUNCTION("""COMPUTED_VALUE"""),"School Start")</f>
        <v>School Start</v>
      </c>
      <c r="W1662" s="10">
        <f ca="1">IFERROR(__xludf.DUMMYFUNCTION("""COMPUTED_VALUE"""),0.313888888888888)</f>
        <v>0.313888888888888</v>
      </c>
      <c r="X1662" s="5">
        <f ca="1">IFERROR(__xludf.DUMMYFUNCTION("""COMPUTED_VALUE"""),1)</f>
        <v>1</v>
      </c>
      <c r="Y1662" s="5" t="str">
        <f ca="1">IFERROR(__xludf.DUMMYFUNCTION("""COMPUTED_VALUE"""),"Murder suicide after breakup, victim was teacher")</f>
        <v>Murder suicide after breakup, victim was teacher</v>
      </c>
      <c r="Z1662" s="5" t="str">
        <f ca="1">IFERROR(__xludf.DUMMYFUNCTION("""COMPUTED_VALUE"""),"29 year-old male waited for 26 year-old ex-girlfriend to arrive in school parking lot. Shooter then proceeded to murder ex-girlfriend and kill himself because of the breakup. Female was a teacher at the school.")</f>
        <v>29 year-old male waited for 26 year-old ex-girlfriend to arrive in school parking lot. Shooter then proceeded to murder ex-girlfriend and kill himself because of the breakup. Female was a teacher at the school.</v>
      </c>
      <c r="AA1662" s="5" t="str">
        <f ca="1">IFERROR(__xludf.DUMMYFUNCTION("""COMPUTED_VALUE"""),"Murder/Suicide")</f>
        <v>Murder/Suicide</v>
      </c>
      <c r="AB1662" s="5" t="str">
        <f ca="1">IFERROR(__xludf.DUMMYFUNCTION("""COMPUTED_VALUE"""),"Victims Targeted")</f>
        <v>Victims Targeted</v>
      </c>
      <c r="AC1662" s="5" t="str">
        <f ca="1">IFERROR(__xludf.DUMMYFUNCTION("""COMPUTED_VALUE"""),"No")</f>
        <v>No</v>
      </c>
      <c r="AD1662" s="5" t="str">
        <f ca="1">IFERROR(__xludf.DUMMYFUNCTION("""COMPUTED_VALUE"""),"No")</f>
        <v>No</v>
      </c>
      <c r="AE1662" s="5" t="str">
        <f ca="1">IFERROR(__xludf.DUMMYFUNCTION("""COMPUTED_VALUE"""),"No")</f>
        <v>No</v>
      </c>
      <c r="AF1662" s="5" t="str">
        <f ca="1">IFERROR(__xludf.DUMMYFUNCTION("""COMPUTED_VALUE"""),"No")</f>
        <v>No</v>
      </c>
      <c r="AG1662" s="5" t="str">
        <f ca="1">IFERROR(__xludf.DUMMYFUNCTION("""COMPUTED_VALUE"""),"No")</f>
        <v>No</v>
      </c>
      <c r="AH1662" s="5" t="str">
        <f ca="1">IFERROR(__xludf.DUMMYFUNCTION("""COMPUTED_VALUE"""),"Yes")</f>
        <v>Yes</v>
      </c>
      <c r="AI1662" s="5" t="str">
        <f ca="1">IFERROR(__xludf.DUMMYFUNCTION("""COMPUTED_VALUE"""),"No")</f>
        <v>No</v>
      </c>
      <c r="AJ1662" s="5" t="str">
        <f ca="1">IFERROR(__xludf.DUMMYFUNCTION("""COMPUTED_VALUE"""),"No")</f>
        <v>No</v>
      </c>
    </row>
    <row r="1663" spans="1:36" ht="13">
      <c r="A1663" s="5" t="str">
        <f ca="1">IFERROR(__xludf.DUMMYFUNCTION("""COMPUTED_VALUE"""),"19980527CAWAP")</f>
        <v>19980527CAWAP</v>
      </c>
      <c r="B1663" s="5">
        <f ca="1">IFERROR(__xludf.DUMMYFUNCTION("""COMPUTED_VALUE"""),5)</f>
        <v>5</v>
      </c>
      <c r="C1663" s="5">
        <f ca="1">IFERROR(__xludf.DUMMYFUNCTION("""COMPUTED_VALUE"""),27)</f>
        <v>27</v>
      </c>
      <c r="D1663" s="5">
        <f ca="1">IFERROR(__xludf.DUMMYFUNCTION("""COMPUTED_VALUE"""),1998)</f>
        <v>1998</v>
      </c>
      <c r="E1663" s="8">
        <f ca="1">IFERROR(__xludf.DUMMYFUNCTION("""COMPUTED_VALUE"""),35942)</f>
        <v>35942</v>
      </c>
      <c r="F1663" s="5" t="str">
        <f ca="1">IFERROR(__xludf.DUMMYFUNCTION("""COMPUTED_VALUE"""),"Washington Middle School")</f>
        <v>Washington Middle School</v>
      </c>
      <c r="G1663" s="5">
        <f ca="1">IFERROR(__xludf.DUMMYFUNCTION("""COMPUTED_VALUE"""),2)</f>
        <v>2</v>
      </c>
      <c r="H1663" s="5">
        <f ca="1">IFERROR(__xludf.DUMMYFUNCTION("""COMPUTED_VALUE"""),0)</f>
        <v>0</v>
      </c>
      <c r="I1663" s="5">
        <f ca="1">IFERROR(__xludf.DUMMYFUNCTION("""COMPUTED_VALUE"""),2)</f>
        <v>2</v>
      </c>
      <c r="J1663" s="5">
        <f ca="1">IFERROR(__xludf.DUMMYFUNCTION("""COMPUTED_VALUE"""),0)</f>
        <v>0</v>
      </c>
      <c r="K1663" s="5" t="str">
        <f ca="1">IFERROR(__xludf.DUMMYFUNCTION("""COMPUTED_VALUE"""),"https://www.newspapers.com/image/158790488/?terms=Washington%2BMiddle%2BSchool%2BLos%2BAngeles%2BTimes https://en.wikipedia.org/wiki/List_of_attacks_related_to_secondary_schools")</f>
        <v>https://www.newspapers.com/image/158790488/?terms=Washington%2BMiddle%2BSchool%2BLos%2BAngeles%2BTimes https://en.wikipedia.org/wiki/List_of_attacks_related_to_secondary_schools</v>
      </c>
      <c r="L1663" s="5"/>
      <c r="M1663" s="5"/>
      <c r="N1663" s="5">
        <f ca="1">IFERROR(__xludf.DUMMYFUNCTION("""COMPUTED_VALUE"""),1)</f>
        <v>1</v>
      </c>
      <c r="O1663" s="5" t="str">
        <f ca="1">IFERROR(__xludf.DUMMYFUNCTION("""COMPUTED_VALUE"""),"Spring")</f>
        <v>Spring</v>
      </c>
      <c r="P1663" s="5" t="str">
        <f ca="1">IFERROR(__xludf.DUMMYFUNCTION("""COMPUTED_VALUE"""),"Pasadena")</f>
        <v>Pasadena</v>
      </c>
      <c r="Q1663" s="5" t="str">
        <f ca="1">IFERROR(__xludf.DUMMYFUNCTION("""COMPUTED_VALUE"""),"CA")</f>
        <v>CA</v>
      </c>
      <c r="R1663" s="5" t="str">
        <f ca="1">IFERROR(__xludf.DUMMYFUNCTION("""COMPUTED_VALUE"""),"Middle")</f>
        <v>Middle</v>
      </c>
      <c r="S1663" s="5" t="str">
        <f ca="1">IFERROR(__xludf.DUMMYFUNCTION("""COMPUTED_VALUE"""),"Beside Building")</f>
        <v>Beside Building</v>
      </c>
      <c r="T1663" s="5" t="str">
        <f ca="1">IFERROR(__xludf.DUMMYFUNCTION("""COMPUTED_VALUE"""),"Outside on School Property")</f>
        <v>Outside on School Property</v>
      </c>
      <c r="U1663" s="5" t="str">
        <f ca="1">IFERROR(__xludf.DUMMYFUNCTION("""COMPUTED_VALUE"""),"No")</f>
        <v>No</v>
      </c>
      <c r="V1663" s="5" t="str">
        <f ca="1">IFERROR(__xludf.DUMMYFUNCTION("""COMPUTED_VALUE"""),"Evening")</f>
        <v>Evening</v>
      </c>
      <c r="W1663" s="10">
        <f ca="1">IFERROR(__xludf.DUMMYFUNCTION("""COMPUTED_VALUE"""),0.760416666666666)</f>
        <v>0.76041666666666596</v>
      </c>
      <c r="X1663" s="5">
        <f ca="1">IFERROR(__xludf.DUMMYFUNCTION("""COMPUTED_VALUE"""),1)</f>
        <v>1</v>
      </c>
      <c r="Y1663" s="5" t="str">
        <f ca="1">IFERROR(__xludf.DUMMYFUNCTION("""COMPUTED_VALUE"""),"Gang related shooting outside of school")</f>
        <v>Gang related shooting outside of school</v>
      </c>
      <c r="Z1663" s="5" t="str">
        <f ca="1">IFERROR(__xludf.DUMMYFUNCTION("""COMPUTED_VALUE"""),"14 year-old male and 20 year-old male killed in gang related shooting outside of middle school during evening. Unclear if either were students. No suspect identified.")</f>
        <v>14 year-old male and 20 year-old male killed in gang related shooting outside of middle school during evening. Unclear if either were students. No suspect identified.</v>
      </c>
      <c r="AA1663" s="5" t="str">
        <f ca="1">IFERROR(__xludf.DUMMYFUNCTION("""COMPUTED_VALUE"""),"Escalation of Dispute")</f>
        <v>Escalation of Dispute</v>
      </c>
      <c r="AB1663" s="5" t="str">
        <f ca="1">IFERROR(__xludf.DUMMYFUNCTION("""COMPUTED_VALUE"""),"Victims Targeted")</f>
        <v>Victims Targeted</v>
      </c>
      <c r="AC1663" s="5" t="str">
        <f ca="1">IFERROR(__xludf.DUMMYFUNCTION("""COMPUTED_VALUE"""),"No")</f>
        <v>No</v>
      </c>
      <c r="AD1663" s="5" t="str">
        <f ca="1">IFERROR(__xludf.DUMMYFUNCTION("""COMPUTED_VALUE"""),"No")</f>
        <v>No</v>
      </c>
      <c r="AE1663" s="5" t="str">
        <f ca="1">IFERROR(__xludf.DUMMYFUNCTION("""COMPUTED_VALUE"""),"No")</f>
        <v>No</v>
      </c>
      <c r="AF1663" s="5" t="str">
        <f ca="1">IFERROR(__xludf.DUMMYFUNCTION("""COMPUTED_VALUE"""),"No")</f>
        <v>No</v>
      </c>
      <c r="AG1663" s="5" t="str">
        <f ca="1">IFERROR(__xludf.DUMMYFUNCTION("""COMPUTED_VALUE"""),"No")</f>
        <v>No</v>
      </c>
      <c r="AH1663" s="5" t="str">
        <f ca="1">IFERROR(__xludf.DUMMYFUNCTION("""COMPUTED_VALUE"""),"No")</f>
        <v>No</v>
      </c>
      <c r="AI1663" s="5" t="str">
        <f ca="1">IFERROR(__xludf.DUMMYFUNCTION("""COMPUTED_VALUE"""),"Yes")</f>
        <v>Yes</v>
      </c>
      <c r="AJ1663" s="5"/>
    </row>
    <row r="1664" spans="1:36" ht="13">
      <c r="A1664" s="5" t="str">
        <f ca="1">IFERROR(__xludf.DUMMYFUNCTION("""COMPUTED_VALUE"""),"19980521WAONO")</f>
        <v>19980521WAONO</v>
      </c>
      <c r="B1664" s="5">
        <f ca="1">IFERROR(__xludf.DUMMYFUNCTION("""COMPUTED_VALUE"""),5)</f>
        <v>5</v>
      </c>
      <c r="C1664" s="5">
        <f ca="1">IFERROR(__xludf.DUMMYFUNCTION("""COMPUTED_VALUE"""),21)</f>
        <v>21</v>
      </c>
      <c r="D1664" s="5">
        <f ca="1">IFERROR(__xludf.DUMMYFUNCTION("""COMPUTED_VALUE"""),1998)</f>
        <v>1998</v>
      </c>
      <c r="E1664" s="8">
        <f ca="1">IFERROR(__xludf.DUMMYFUNCTION("""COMPUTED_VALUE"""),35936)</f>
        <v>35936</v>
      </c>
      <c r="F1664" s="5" t="str">
        <f ca="1">IFERROR(__xludf.DUMMYFUNCTION("""COMPUTED_VALUE"""),"Onalaska High School")</f>
        <v>Onalaska High School</v>
      </c>
      <c r="G1664" s="5">
        <f ca="1">IFERROR(__xludf.DUMMYFUNCTION("""COMPUTED_VALUE"""),0)</f>
        <v>0</v>
      </c>
      <c r="H1664" s="5">
        <f ca="1">IFERROR(__xludf.DUMMYFUNCTION("""COMPUTED_VALUE"""),0)</f>
        <v>0</v>
      </c>
      <c r="I1664" s="5">
        <f ca="1">IFERROR(__xludf.DUMMYFUNCTION("""COMPUTED_VALUE"""),0)</f>
        <v>0</v>
      </c>
      <c r="J1664" s="5">
        <f ca="1">IFERROR(__xludf.DUMMYFUNCTION("""COMPUTED_VALUE"""),1)</f>
        <v>1</v>
      </c>
      <c r="K1664" s="5" t="str">
        <f ca="1">IFERROR(__xludf.DUMMYFUNCTION("""COMPUTED_VALUE"""),"https://products.kitsapsun.com/archive/1998/05-23/0003_onalaska__high_school_suicide_rem.html https://products.kitsapsun.com/archive/1998/05-22/0053_boy_orders_girl_off_school_bus__k.html")</f>
        <v>https://products.kitsapsun.com/archive/1998/05-23/0003_onalaska__high_school_suicide_rem.html https://products.kitsapsun.com/archive/1998/05-22/0053_boy_orders_girl_off_school_bus__k.html</v>
      </c>
      <c r="L1664" s="5"/>
      <c r="M1664" s="5"/>
      <c r="N1664" s="5">
        <f ca="1">IFERROR(__xludf.DUMMYFUNCTION("""COMPUTED_VALUE"""),2)</f>
        <v>2</v>
      </c>
      <c r="O1664" s="5" t="str">
        <f ca="1">IFERROR(__xludf.DUMMYFUNCTION("""COMPUTED_VALUE"""),"Spring")</f>
        <v>Spring</v>
      </c>
      <c r="P1664" s="5" t="str">
        <f ca="1">IFERROR(__xludf.DUMMYFUNCTION("""COMPUTED_VALUE"""),"Onalaska")</f>
        <v>Onalaska</v>
      </c>
      <c r="Q1664" s="5" t="str">
        <f ca="1">IFERROR(__xludf.DUMMYFUNCTION("""COMPUTED_VALUE"""),"WA")</f>
        <v>WA</v>
      </c>
      <c r="R1664" s="5" t="str">
        <f ca="1">IFERROR(__xludf.DUMMYFUNCTION("""COMPUTED_VALUE"""),"High")</f>
        <v>High</v>
      </c>
      <c r="S1664" s="5" t="str">
        <f ca="1">IFERROR(__xludf.DUMMYFUNCTION("""COMPUTED_VALUE"""),"School Bus")</f>
        <v>School Bus</v>
      </c>
      <c r="T1664" s="5" t="str">
        <f ca="1">IFERROR(__xludf.DUMMYFUNCTION("""COMPUTED_VALUE"""),"School Bus")</f>
        <v>School Bus</v>
      </c>
      <c r="U1664" s="5" t="str">
        <f ca="1">IFERROR(__xludf.DUMMYFUNCTION("""COMPUTED_VALUE"""),"No")</f>
        <v>No</v>
      </c>
      <c r="V1664" s="5" t="str">
        <f ca="1">IFERROR(__xludf.DUMMYFUNCTION("""COMPUTED_VALUE"""),"Before School")</f>
        <v>Before School</v>
      </c>
      <c r="W1664" s="5"/>
      <c r="X1664" s="5"/>
      <c r="Y1664" s="5" t="str">
        <f ca="1">IFERROR(__xludf.DUMMYFUNCTION("""COMPUTED_VALUE"""),"Pulled gun on bus, ordered girlfriend to get off then shot himself")</f>
        <v>Pulled gun on bus, ordered girlfriend to get off then shot himself</v>
      </c>
      <c r="Z1664" s="5" t="str">
        <f ca="1">IFERROR(__xludf.DUMMYFUNCTION("""COMPUTED_VALUE"""),"15 year-old male pulled a gun on a bus, ordered his girlfriend to get off the bus. Classmates and bus driver told her not to. She continued to get off the bus and follow the shooter to his house. Bus driver then called the school, police, and her parents."&amp;" Once in the house, shooter shot the wall to show the gun was loaded. The girls father then started trying to break the door down. The shooter then killed himself.")</f>
        <v>15 year-old male pulled a gun on a bus, ordered his girlfriend to get off the bus. Classmates and bus driver told her not to. She continued to get off the bus and follow the shooter to his house. Bus driver then called the school, police, and her parents. Once in the house, shooter shot the wall to show the gun was loaded. The girls father then started trying to break the door down. The shooter then killed himself.</v>
      </c>
      <c r="AA1664" s="5" t="str">
        <f ca="1">IFERROR(__xludf.DUMMYFUNCTION("""COMPUTED_VALUE"""),"Suicide/Attempted")</f>
        <v>Suicide/Attempted</v>
      </c>
      <c r="AB1664" s="5" t="str">
        <f ca="1">IFERROR(__xludf.DUMMYFUNCTION("""COMPUTED_VALUE"""),"Victims Targeted")</f>
        <v>Victims Targeted</v>
      </c>
      <c r="AC1664" s="5" t="str">
        <f ca="1">IFERROR(__xludf.DUMMYFUNCTION("""COMPUTED_VALUE"""),"No")</f>
        <v>No</v>
      </c>
      <c r="AD1664" s="5" t="str">
        <f ca="1">IFERROR(__xludf.DUMMYFUNCTION("""COMPUTED_VALUE"""),"No")</f>
        <v>No</v>
      </c>
      <c r="AE1664" s="5" t="str">
        <f ca="1">IFERROR(__xludf.DUMMYFUNCTION("""COMPUTED_VALUE"""),"No")</f>
        <v>No</v>
      </c>
      <c r="AF1664" s="5" t="str">
        <f ca="1">IFERROR(__xludf.DUMMYFUNCTION("""COMPUTED_VALUE"""),"No")</f>
        <v>No</v>
      </c>
      <c r="AG1664" s="5" t="str">
        <f ca="1">IFERROR(__xludf.DUMMYFUNCTION("""COMPUTED_VALUE"""),"No")</f>
        <v>No</v>
      </c>
      <c r="AH1664" s="5" t="str">
        <f ca="1">IFERROR(__xludf.DUMMYFUNCTION("""COMPUTED_VALUE"""),"Yes")</f>
        <v>Yes</v>
      </c>
      <c r="AI1664" s="5" t="str">
        <f ca="1">IFERROR(__xludf.DUMMYFUNCTION("""COMPUTED_VALUE"""),"No")</f>
        <v>No</v>
      </c>
      <c r="AJ1664" s="5"/>
    </row>
    <row r="1665" spans="1:36" ht="13">
      <c r="A1665" s="5" t="str">
        <f ca="1">IFERROR(__xludf.DUMMYFUNCTION("""COMPUTED_VALUE"""),"19980521ORTHS")</f>
        <v>19980521ORTHS</v>
      </c>
      <c r="B1665" s="5">
        <f ca="1">IFERROR(__xludf.DUMMYFUNCTION("""COMPUTED_VALUE"""),5)</f>
        <v>5</v>
      </c>
      <c r="C1665" s="5">
        <f ca="1">IFERROR(__xludf.DUMMYFUNCTION("""COMPUTED_VALUE"""),21)</f>
        <v>21</v>
      </c>
      <c r="D1665" s="5">
        <f ca="1">IFERROR(__xludf.DUMMYFUNCTION("""COMPUTED_VALUE"""),1998)</f>
        <v>1998</v>
      </c>
      <c r="E1665" s="8">
        <f ca="1">IFERROR(__xludf.DUMMYFUNCTION("""COMPUTED_VALUE"""),35936)</f>
        <v>35936</v>
      </c>
      <c r="F1665" s="5" t="str">
        <f ca="1">IFERROR(__xludf.DUMMYFUNCTION("""COMPUTED_VALUE"""),"Thurston High School")</f>
        <v>Thurston High School</v>
      </c>
      <c r="G1665" s="5">
        <f ca="1">IFERROR(__xludf.DUMMYFUNCTION("""COMPUTED_VALUE"""),2)</f>
        <v>2</v>
      </c>
      <c r="H1665" s="5">
        <f ca="1">IFERROR(__xludf.DUMMYFUNCTION("""COMPUTED_VALUE"""),25)</f>
        <v>25</v>
      </c>
      <c r="I1665" s="5">
        <f ca="1">IFERROR(__xludf.DUMMYFUNCTION("""COMPUTED_VALUE"""),27)</f>
        <v>27</v>
      </c>
      <c r="J1665" s="5">
        <f ca="1">IFERROR(__xludf.DUMMYFUNCTION("""COMPUTED_VALUE"""),0)</f>
        <v>0</v>
      </c>
      <c r="K1665" s="5" t="str">
        <f ca="1">IFERROR(__xludf.DUMMYFUNCTION("""COMPUTED_VALUE"""),"https://www.officer.com/tactical/article/12228005/the-1998-thurston-high-school-attack  https://www.npr.org/2018/05/22/612465197/20-years-ago-oregon-school-shooting-ended-a-bloody-season https://www.klcc.org/post/22-years-later-thurston-school-shooting-su"&amp;"rvivor-helps-others-traumatized-violence https://www.youtube.com/watch?v=eFImEWh497c https://www.dailyemerald.com/archives/8-years-later-thurston-and-kinkel-revisited/article_d898f051-9e58-5621-9417-3d21f4ec946a.html")</f>
        <v>https://www.officer.com/tactical/article/12228005/the-1998-thurston-high-school-attack  https://www.npr.org/2018/05/22/612465197/20-years-ago-oregon-school-shooting-ended-a-bloody-season https://www.klcc.org/post/22-years-later-thurston-school-shooting-survivor-helps-others-traumatized-violence https://www.youtube.com/watch?v=eFImEWh497c https://www.dailyemerald.com/archives/8-years-later-thurston-and-kinkel-revisited/article_d898f051-9e58-5621-9417-3d21f4ec946a.html</v>
      </c>
      <c r="L1665" s="5"/>
      <c r="M1665" s="5"/>
      <c r="N1665" s="5">
        <f ca="1">IFERROR(__xludf.DUMMYFUNCTION("""COMPUTED_VALUE"""),3)</f>
        <v>3</v>
      </c>
      <c r="O1665" s="5" t="str">
        <f ca="1">IFERROR(__xludf.DUMMYFUNCTION("""COMPUTED_VALUE"""),"Spring")</f>
        <v>Spring</v>
      </c>
      <c r="P1665" s="5" t="str">
        <f ca="1">IFERROR(__xludf.DUMMYFUNCTION("""COMPUTED_VALUE"""),"Springfield")</f>
        <v>Springfield</v>
      </c>
      <c r="Q1665" s="5" t="str">
        <f ca="1">IFERROR(__xludf.DUMMYFUNCTION("""COMPUTED_VALUE"""),"OR")</f>
        <v>OR</v>
      </c>
      <c r="R1665" s="5" t="str">
        <f ca="1">IFERROR(__xludf.DUMMYFUNCTION("""COMPUTED_VALUE"""),"High")</f>
        <v>High</v>
      </c>
      <c r="S1665" s="5" t="str">
        <f ca="1">IFERROR(__xludf.DUMMYFUNCTION("""COMPUTED_VALUE"""),"Cafeteria")</f>
        <v>Cafeteria</v>
      </c>
      <c r="T1665" s="5" t="str">
        <f ca="1">IFERROR(__xludf.DUMMYFUNCTION("""COMPUTED_VALUE"""),"Inside School Building")</f>
        <v>Inside School Building</v>
      </c>
      <c r="U1665" s="5" t="str">
        <f ca="1">IFERROR(__xludf.DUMMYFUNCTION("""COMPUTED_VALUE"""),"Yes")</f>
        <v>Yes</v>
      </c>
      <c r="V1665" s="5" t="str">
        <f ca="1">IFERROR(__xludf.DUMMYFUNCTION("""COMPUTED_VALUE"""),"Before School")</f>
        <v>Before School</v>
      </c>
      <c r="W1665" s="10">
        <f ca="1">IFERROR(__xludf.DUMMYFUNCTION("""COMPUTED_VALUE"""),0.326388888888888)</f>
        <v>0.32638888888888801</v>
      </c>
      <c r="X1665" s="5">
        <f ca="1">IFERROR(__xludf.DUMMYFUNCTION("""COMPUTED_VALUE"""),13)</f>
        <v>13</v>
      </c>
      <c r="Y1665" s="5" t="str">
        <f ca="1">IFERROR(__xludf.DUMMYFUNCTION("""COMPUTED_VALUE"""),"Angry over being arrested and facing expulsion for bringing gun to school earlier that day")</f>
        <v>Angry over being arrested and facing expulsion for bringing gun to school earlier that day</v>
      </c>
      <c r="Z1665" s="5" t="str">
        <f ca="1">IFERROR(__xludf.DUMMYFUNCTION("""COMPUTED_VALUE"""),"Day before shooting, the shooter bought a stolen firearm from a friend and brought it to school. The parent who owned the firearm noticed it was missing and police searched school finding it in the shooters locker. He was then suspended pending expulsion "&amp;"from school and arrested (booked and release). He went home, got a pistol from his room and killed his mother and father (both teachers). Said the disappointment of him being expelled would break them. Wrote a suicide note and left it on the table explain"&amp;"ing that voices wouldn't stop telling him to kill people. Wore a trench coat to the school the next day with a rifle and 2 pistols. Fired 51 rounds (had 1100 total with him) into the crowded cafeteria before being tackled by multiple injured students. He "&amp;"screamed 'kill me' while they held him down. When the police arrived, he managed to pull a knife and told the police officers to kill him but he was arrested. Parents had told friends they were scared of their son and didn't know what else to do. Students"&amp;" said he talked often about shootings and violence.")</f>
        <v>Day before shooting, the shooter bought a stolen firearm from a friend and brought it to school. The parent who owned the firearm noticed it was missing and police searched school finding it in the shooters locker. He was then suspended pending expulsion from school and arrested (booked and release). He went home, got a pistol from his room and killed his mother and father (both teachers). Said the disappointment of him being expelled would break them. Wrote a suicide note and left it on the table explaining that voices wouldn't stop telling him to kill people. Wore a trench coat to the school the next day with a rifle and 2 pistols. Fired 51 rounds (had 1100 total with him) into the crowded cafeteria before being tackled by multiple injured students. He screamed 'kill me' while they held him down. When the police arrived, he managed to pull a knife and told the police officers to kill him but he was arrested. Parents had told friends they were scared of their son and didn't know what else to do. Students said he talked often about shootings and violence.</v>
      </c>
      <c r="AA1665" s="5" t="str">
        <f ca="1">IFERROR(__xludf.DUMMYFUNCTION("""COMPUTED_VALUE"""),"Anger Over Grade/Suspension/Discipline")</f>
        <v>Anger Over Grade/Suspension/Discipline</v>
      </c>
      <c r="AB1665" s="5" t="str">
        <f ca="1">IFERROR(__xludf.DUMMYFUNCTION("""COMPUTED_VALUE"""),"Random Shooting")</f>
        <v>Random Shooting</v>
      </c>
      <c r="AC1665" s="5" t="str">
        <f ca="1">IFERROR(__xludf.DUMMYFUNCTION("""COMPUTED_VALUE"""),"No")</f>
        <v>No</v>
      </c>
      <c r="AD1665" s="5" t="str">
        <f ca="1">IFERROR(__xludf.DUMMYFUNCTION("""COMPUTED_VALUE"""),"No")</f>
        <v>No</v>
      </c>
      <c r="AE1665" s="5" t="str">
        <f ca="1">IFERROR(__xludf.DUMMYFUNCTION("""COMPUTED_VALUE"""),"No")</f>
        <v>No</v>
      </c>
      <c r="AF1665" s="5" t="str">
        <f ca="1">IFERROR(__xludf.DUMMYFUNCTION("""COMPUTED_VALUE"""),"No")</f>
        <v>No</v>
      </c>
      <c r="AG1665" s="5" t="str">
        <f ca="1">IFERROR(__xludf.DUMMYFUNCTION("""COMPUTED_VALUE"""),"No")</f>
        <v>No</v>
      </c>
      <c r="AH1665" s="5" t="str">
        <f ca="1">IFERROR(__xludf.DUMMYFUNCTION("""COMPUTED_VALUE"""),"No")</f>
        <v>No</v>
      </c>
      <c r="AI1665" s="5" t="str">
        <f ca="1">IFERROR(__xludf.DUMMYFUNCTION("""COMPUTED_VALUE"""),"No")</f>
        <v>No</v>
      </c>
      <c r="AJ1665" s="5" t="str">
        <f ca="1">IFERROR(__xludf.DUMMYFUNCTION("""COMPUTED_VALUE"""),"Yes")</f>
        <v>Yes</v>
      </c>
    </row>
    <row r="1666" spans="1:36" ht="13">
      <c r="A1666" s="5" t="str">
        <f ca="1">IFERROR(__xludf.DUMMYFUNCTION("""COMPUTED_VALUE"""),"19980521CARIR")</f>
        <v>19980521CARIR</v>
      </c>
      <c r="B1666" s="5">
        <f ca="1">IFERROR(__xludf.DUMMYFUNCTION("""COMPUTED_VALUE"""),5)</f>
        <v>5</v>
      </c>
      <c r="C1666" s="5">
        <f ca="1">IFERROR(__xludf.DUMMYFUNCTION("""COMPUTED_VALUE"""),21)</f>
        <v>21</v>
      </c>
      <c r="D1666" s="5">
        <f ca="1">IFERROR(__xludf.DUMMYFUNCTION("""COMPUTED_VALUE"""),1998)</f>
        <v>1998</v>
      </c>
      <c r="E1666" s="8">
        <f ca="1">IFERROR(__xludf.DUMMYFUNCTION("""COMPUTED_VALUE"""),35936)</f>
        <v>35936</v>
      </c>
      <c r="F1666" s="5" t="str">
        <f ca="1">IFERROR(__xludf.DUMMYFUNCTION("""COMPUTED_VALUE"""),"Rialta High School")</f>
        <v>Rialta High School</v>
      </c>
      <c r="G1666" s="5">
        <f ca="1">IFERROR(__xludf.DUMMYFUNCTION("""COMPUTED_VALUE"""),0)</f>
        <v>0</v>
      </c>
      <c r="H1666" s="5">
        <f ca="1">IFERROR(__xludf.DUMMYFUNCTION("""COMPUTED_VALUE"""),0)</f>
        <v>0</v>
      </c>
      <c r="I1666" s="5">
        <f ca="1">IFERROR(__xludf.DUMMYFUNCTION("""COMPUTED_VALUE"""),0)</f>
        <v>0</v>
      </c>
      <c r="J1666" s="5">
        <f ca="1">IFERROR(__xludf.DUMMYFUNCTION("""COMPUTED_VALUE"""),1)</f>
        <v>1</v>
      </c>
      <c r="K1666" s="5" t="str">
        <f ca="1">IFERROR(__xludf.DUMMYFUNCTION("""COMPUTED_VALUE"""),"http://articles.latimes.com/1998/may/25/news/mn-53368 http://www.columbine-angels.com/School_Violence_1997-1998.htm https://www.newspapers.com/image/577379491/?terms=Rialto%2BHigh%2BSchool%2BLos%2BAngeles%2BTimes https://www.newspapers.com/image/159064604"&amp;"/?terms=Rialto%2BHigh%2BSchool%2BLos%2BAngeles%2BTimes")</f>
        <v>http://articles.latimes.com/1998/may/25/news/mn-53368 http://www.columbine-angels.com/School_Violence_1997-1998.htm https://www.newspapers.com/image/577379491/?terms=Rialto%2BHigh%2BSchool%2BLos%2BAngeles%2BTimes https://www.newspapers.com/image/159064604/?terms=Rialto%2BHigh%2BSchool%2BLos%2BAngeles%2BTimes</v>
      </c>
      <c r="L1666" s="5"/>
      <c r="M1666" s="5"/>
      <c r="N1666" s="5">
        <f ca="1">IFERROR(__xludf.DUMMYFUNCTION("""COMPUTED_VALUE"""),2)</f>
        <v>2</v>
      </c>
      <c r="O1666" s="5" t="str">
        <f ca="1">IFERROR(__xludf.DUMMYFUNCTION("""COMPUTED_VALUE"""),"Spring")</f>
        <v>Spring</v>
      </c>
      <c r="P1666" s="5" t="str">
        <f ca="1">IFERROR(__xludf.DUMMYFUNCTION("""COMPUTED_VALUE"""),"Rialto")</f>
        <v>Rialto</v>
      </c>
      <c r="Q1666" s="5" t="str">
        <f ca="1">IFERROR(__xludf.DUMMYFUNCTION("""COMPUTED_VALUE"""),"CA")</f>
        <v>CA</v>
      </c>
      <c r="R1666" s="5" t="str">
        <f ca="1">IFERROR(__xludf.DUMMYFUNCTION("""COMPUTED_VALUE"""),"High")</f>
        <v>High</v>
      </c>
      <c r="S1666" s="5" t="str">
        <f ca="1">IFERROR(__xludf.DUMMYFUNCTION("""COMPUTED_VALUE"""),"Courtyard")</f>
        <v>Courtyard</v>
      </c>
      <c r="T1666" s="5" t="str">
        <f ca="1">IFERROR(__xludf.DUMMYFUNCTION("""COMPUTED_VALUE"""),"Outside on School Property")</f>
        <v>Outside on School Property</v>
      </c>
      <c r="U1666" s="5" t="str">
        <f ca="1">IFERROR(__xludf.DUMMYFUNCTION("""COMPUTED_VALUE"""),"Yes")</f>
        <v>Yes</v>
      </c>
      <c r="V1666" s="5" t="str">
        <f ca="1">IFERROR(__xludf.DUMMYFUNCTION("""COMPUTED_VALUE"""),"School Start")</f>
        <v>School Start</v>
      </c>
      <c r="W1666" s="5"/>
      <c r="X1666" s="5">
        <f ca="1">IFERROR(__xludf.DUMMYFUNCTION("""COMPUTED_VALUE"""),1)</f>
        <v>1</v>
      </c>
      <c r="Y1666" s="5" t="str">
        <f ca="1">IFERROR(__xludf.DUMMYFUNCTION("""COMPUTED_VALUE"""),"Bullied, told he would need to repeat 9th grade, killed himself")</f>
        <v>Bullied, told he would need to repeat 9th grade, killed himself</v>
      </c>
      <c r="Z1666" s="5" t="str">
        <f ca="1">IFERROR(__xludf.DUMMYFUNCTION("""COMPUTED_VALUE"""),"15 year-old male was frequently bullied. Told that he would need to repeat 9th grade and commit suicide that day.")</f>
        <v>15 year-old male was frequently bullied. Told that he would need to repeat 9th grade and commit suicide that day.</v>
      </c>
      <c r="AA1666" s="5" t="str">
        <f ca="1">IFERROR(__xludf.DUMMYFUNCTION("""COMPUTED_VALUE"""),"Suicide/Attempted")</f>
        <v>Suicide/Attempted</v>
      </c>
      <c r="AB1666" s="5" t="str">
        <f ca="1">IFERROR(__xludf.DUMMYFUNCTION("""COMPUTED_VALUE"""),"Victims Targeted")</f>
        <v>Victims Targeted</v>
      </c>
      <c r="AC1666" s="5" t="str">
        <f ca="1">IFERROR(__xludf.DUMMYFUNCTION("""COMPUTED_VALUE"""),"No")</f>
        <v>No</v>
      </c>
      <c r="AD1666" s="5" t="str">
        <f ca="1">IFERROR(__xludf.DUMMYFUNCTION("""COMPUTED_VALUE"""),"No")</f>
        <v>No</v>
      </c>
      <c r="AE1666" s="5" t="str">
        <f ca="1">IFERROR(__xludf.DUMMYFUNCTION("""COMPUTED_VALUE"""),"No")</f>
        <v>No</v>
      </c>
      <c r="AF1666" s="5" t="str">
        <f ca="1">IFERROR(__xludf.DUMMYFUNCTION("""COMPUTED_VALUE"""),"No")</f>
        <v>No</v>
      </c>
      <c r="AG1666" s="5" t="str">
        <f ca="1">IFERROR(__xludf.DUMMYFUNCTION("""COMPUTED_VALUE"""),"Yes")</f>
        <v>Yes</v>
      </c>
      <c r="AH1666" s="5" t="str">
        <f ca="1">IFERROR(__xludf.DUMMYFUNCTION("""COMPUTED_VALUE"""),"No")</f>
        <v>No</v>
      </c>
      <c r="AI1666" s="5" t="str">
        <f ca="1">IFERROR(__xludf.DUMMYFUNCTION("""COMPUTED_VALUE"""),"No")</f>
        <v>No</v>
      </c>
      <c r="AJ1666" s="5"/>
    </row>
    <row r="1667" spans="1:36" ht="13">
      <c r="A1667" s="5" t="str">
        <f ca="1">IFERROR(__xludf.DUMMYFUNCTION("""COMPUTED_VALUE"""),"19980519TNLIF")</f>
        <v>19980519TNLIF</v>
      </c>
      <c r="B1667" s="5">
        <f ca="1">IFERROR(__xludf.DUMMYFUNCTION("""COMPUTED_VALUE"""),5)</f>
        <v>5</v>
      </c>
      <c r="C1667" s="5">
        <f ca="1">IFERROR(__xludf.DUMMYFUNCTION("""COMPUTED_VALUE"""),19)</f>
        <v>19</v>
      </c>
      <c r="D1667" s="5">
        <f ca="1">IFERROR(__xludf.DUMMYFUNCTION("""COMPUTED_VALUE"""),1998)</f>
        <v>1998</v>
      </c>
      <c r="E1667" s="8">
        <f ca="1">IFERROR(__xludf.DUMMYFUNCTION("""COMPUTED_VALUE"""),35934)</f>
        <v>35934</v>
      </c>
      <c r="F1667" s="5" t="str">
        <f ca="1">IFERROR(__xludf.DUMMYFUNCTION("""COMPUTED_VALUE"""),"Lincoln County High School")</f>
        <v>Lincoln County High School</v>
      </c>
      <c r="G1667" s="5">
        <f ca="1">IFERROR(__xludf.DUMMYFUNCTION("""COMPUTED_VALUE"""),1)</f>
        <v>1</v>
      </c>
      <c r="H1667" s="5">
        <f ca="1">IFERROR(__xludf.DUMMYFUNCTION("""COMPUTED_VALUE"""),0)</f>
        <v>0</v>
      </c>
      <c r="I1667" s="5">
        <f ca="1">IFERROR(__xludf.DUMMYFUNCTION("""COMPUTED_VALUE"""),1)</f>
        <v>1</v>
      </c>
      <c r="J1667" s="5">
        <f ca="1">IFERROR(__xludf.DUMMYFUNCTION("""COMPUTED_VALUE"""),0)</f>
        <v>0</v>
      </c>
      <c r="K1667" s="5" t="str">
        <f ca="1">IFERROR(__xludf.DUMMYFUNCTION("""COMPUTED_VALUE"""),"https://www.cbsnews.com/news/another-fatal-school-shooting/ https://murderpedia.org/male.D/d/davis-jacob-lee.htm")</f>
        <v>https://www.cbsnews.com/news/another-fatal-school-shooting/ https://murderpedia.org/male.D/d/davis-jacob-lee.htm</v>
      </c>
      <c r="L1667" s="5"/>
      <c r="M1667" s="5"/>
      <c r="N1667" s="5">
        <f ca="1">IFERROR(__xludf.DUMMYFUNCTION("""COMPUTED_VALUE"""),2)</f>
        <v>2</v>
      </c>
      <c r="O1667" s="5" t="str">
        <f ca="1">IFERROR(__xludf.DUMMYFUNCTION("""COMPUTED_VALUE"""),"Spring")</f>
        <v>Spring</v>
      </c>
      <c r="P1667" s="5" t="str">
        <f ca="1">IFERROR(__xludf.DUMMYFUNCTION("""COMPUTED_VALUE"""),"Fayetteville")</f>
        <v>Fayetteville</v>
      </c>
      <c r="Q1667" s="5" t="str">
        <f ca="1">IFERROR(__xludf.DUMMYFUNCTION("""COMPUTED_VALUE"""),"TN")</f>
        <v>TN</v>
      </c>
      <c r="R1667" s="5" t="str">
        <f ca="1">IFERROR(__xludf.DUMMYFUNCTION("""COMPUTED_VALUE"""),"High")</f>
        <v>High</v>
      </c>
      <c r="S1667" s="5" t="str">
        <f ca="1">IFERROR(__xludf.DUMMYFUNCTION("""COMPUTED_VALUE"""),"Beside Building")</f>
        <v>Beside Building</v>
      </c>
      <c r="T1667" s="5" t="str">
        <f ca="1">IFERROR(__xludf.DUMMYFUNCTION("""COMPUTED_VALUE"""),"Outside on School Property")</f>
        <v>Outside on School Property</v>
      </c>
      <c r="U1667" s="5" t="str">
        <f ca="1">IFERROR(__xludf.DUMMYFUNCTION("""COMPUTED_VALUE"""),"Yes")</f>
        <v>Yes</v>
      </c>
      <c r="V1667" s="5" t="str">
        <f ca="1">IFERROR(__xludf.DUMMYFUNCTION("""COMPUTED_VALUE"""),"Dismissal")</f>
        <v>Dismissal</v>
      </c>
      <c r="W1667" s="10">
        <f ca="1">IFERROR(__xludf.DUMMYFUNCTION("""COMPUTED_VALUE"""),0.583333333333333)</f>
        <v>0.58333333333333304</v>
      </c>
      <c r="X1667" s="5">
        <f ca="1">IFERROR(__xludf.DUMMYFUNCTION("""COMPUTED_VALUE"""),1)</f>
        <v>1</v>
      </c>
      <c r="Y1667" s="5" t="str">
        <f ca="1">IFERROR(__xludf.DUMMYFUNCTION("""COMPUTED_VALUE"""),"Fight over girl outside of school")</f>
        <v>Fight over girl outside of school</v>
      </c>
      <c r="Z1667" s="5" t="str">
        <f ca="1">IFERROR(__xludf.DUMMYFUNCTION("""COMPUTED_VALUE"""),"Shooter was upset with victim over romantic relationship with a girl. Shooter wrote a to the girl detailing his anger and desire to shoot victim. Once school dismissed a fight over the girl occured behind the school building and escalated into a fatal sho"&amp;"oting. No other students were injured.")</f>
        <v>Shooter was upset with victim over romantic relationship with a girl. Shooter wrote a to the girl detailing his anger and desire to shoot victim. Once school dismissed a fight over the girl occured behind the school building and escalated into a fatal shooting. No other students were injured.</v>
      </c>
      <c r="AA1667" s="5" t="str">
        <f ca="1">IFERROR(__xludf.DUMMYFUNCTION("""COMPUTED_VALUE"""),"Escalation of Dispute")</f>
        <v>Escalation of Dispute</v>
      </c>
      <c r="AB1667" s="5" t="str">
        <f ca="1">IFERROR(__xludf.DUMMYFUNCTION("""COMPUTED_VALUE"""),"Victims Targeted")</f>
        <v>Victims Targeted</v>
      </c>
      <c r="AC1667" s="5" t="str">
        <f ca="1">IFERROR(__xludf.DUMMYFUNCTION("""COMPUTED_VALUE"""),"No")</f>
        <v>No</v>
      </c>
      <c r="AD1667" s="5" t="str">
        <f ca="1">IFERROR(__xludf.DUMMYFUNCTION("""COMPUTED_VALUE"""),"No")</f>
        <v>No</v>
      </c>
      <c r="AE1667" s="5" t="str">
        <f ca="1">IFERROR(__xludf.DUMMYFUNCTION("""COMPUTED_VALUE"""),"No")</f>
        <v>No</v>
      </c>
      <c r="AF1667" s="5" t="str">
        <f ca="1">IFERROR(__xludf.DUMMYFUNCTION("""COMPUTED_VALUE"""),"No")</f>
        <v>No</v>
      </c>
      <c r="AG1667" s="5" t="str">
        <f ca="1">IFERROR(__xludf.DUMMYFUNCTION("""COMPUTED_VALUE"""),"No")</f>
        <v>No</v>
      </c>
      <c r="AH1667" s="5" t="str">
        <f ca="1">IFERROR(__xludf.DUMMYFUNCTION("""COMPUTED_VALUE"""),"Yes")</f>
        <v>Yes</v>
      </c>
      <c r="AI1667" s="5" t="str">
        <f ca="1">IFERROR(__xludf.DUMMYFUNCTION("""COMPUTED_VALUE"""),"No")</f>
        <v>No</v>
      </c>
      <c r="AJ1667" s="5"/>
    </row>
    <row r="1668" spans="1:36" ht="13">
      <c r="A1668" s="5" t="str">
        <f ca="1">IFERROR(__xludf.DUMMYFUNCTION("""COMPUTED_VALUE"""),"19980501FLNOM")</f>
        <v>19980501FLNOM</v>
      </c>
      <c r="B1668" s="5">
        <f ca="1">IFERROR(__xludf.DUMMYFUNCTION("""COMPUTED_VALUE"""),5)</f>
        <v>5</v>
      </c>
      <c r="C1668" s="5">
        <f ca="1">IFERROR(__xludf.DUMMYFUNCTION("""COMPUTED_VALUE"""),1)</f>
        <v>1</v>
      </c>
      <c r="D1668" s="5">
        <f ca="1">IFERROR(__xludf.DUMMYFUNCTION("""COMPUTED_VALUE"""),1998)</f>
        <v>1998</v>
      </c>
      <c r="E1668" s="8">
        <f ca="1">IFERROR(__xludf.DUMMYFUNCTION("""COMPUTED_VALUE"""),35916)</f>
        <v>35916</v>
      </c>
      <c r="F1668" s="5" t="str">
        <f ca="1">IFERROR(__xludf.DUMMYFUNCTION("""COMPUTED_VALUE"""),"North Miami Senior High School")</f>
        <v>North Miami Senior High School</v>
      </c>
      <c r="G1668" s="5">
        <f ca="1">IFERROR(__xludf.DUMMYFUNCTION("""COMPUTED_VALUE"""),0)</f>
        <v>0</v>
      </c>
      <c r="H1668" s="5">
        <f ca="1">IFERROR(__xludf.DUMMYFUNCTION("""COMPUTED_VALUE"""),1)</f>
        <v>1</v>
      </c>
      <c r="I1668" s="5">
        <f ca="1">IFERROR(__xludf.DUMMYFUNCTION("""COMPUTED_VALUE"""),1)</f>
        <v>1</v>
      </c>
      <c r="J1668" s="5">
        <f ca="1">IFERROR(__xludf.DUMMYFUNCTION("""COMPUTED_VALUE"""),0)</f>
        <v>0</v>
      </c>
      <c r="K1668" s="9" t="str">
        <f ca="1">IFERROR(__xludf.DUMMYFUNCTION("""COMPUTED_VALUE"""),"http://articles.sun-sentinel.com/1998-09-30/news/9809300032_1_school-cafeteria-school-officials-high-school")</f>
        <v>http://articles.sun-sentinel.com/1998-09-30/news/9809300032_1_school-cafeteria-school-officials-high-school</v>
      </c>
      <c r="L1668" s="5"/>
      <c r="M1668" s="5"/>
      <c r="N1668" s="5">
        <f ca="1">IFERROR(__xludf.DUMMYFUNCTION("""COMPUTED_VALUE"""),2)</f>
        <v>2</v>
      </c>
      <c r="O1668" s="5" t="str">
        <f ca="1">IFERROR(__xludf.DUMMYFUNCTION("""COMPUTED_VALUE"""),"Spring")</f>
        <v>Spring</v>
      </c>
      <c r="P1668" s="5" t="str">
        <f ca="1">IFERROR(__xludf.DUMMYFUNCTION("""COMPUTED_VALUE"""),"Miami")</f>
        <v>Miami</v>
      </c>
      <c r="Q1668" s="5" t="str">
        <f ca="1">IFERROR(__xludf.DUMMYFUNCTION("""COMPUTED_VALUE"""),"FL")</f>
        <v>FL</v>
      </c>
      <c r="R1668" s="5" t="str">
        <f ca="1">IFERROR(__xludf.DUMMYFUNCTION("""COMPUTED_VALUE"""),"High")</f>
        <v>High</v>
      </c>
      <c r="S1668" s="5" t="str">
        <f ca="1">IFERROR(__xludf.DUMMYFUNCTION("""COMPUTED_VALUE"""),"Beside Building")</f>
        <v>Beside Building</v>
      </c>
      <c r="T1668" s="5" t="str">
        <f ca="1">IFERROR(__xludf.DUMMYFUNCTION("""COMPUTED_VALUE"""),"Outside on School Property")</f>
        <v>Outside on School Property</v>
      </c>
      <c r="U1668" s="5" t="str">
        <f ca="1">IFERROR(__xludf.DUMMYFUNCTION("""COMPUTED_VALUE"""),"No")</f>
        <v>No</v>
      </c>
      <c r="V1668" s="5" t="str">
        <f ca="1">IFERROR(__xludf.DUMMYFUNCTION("""COMPUTED_VALUE"""),"Evening")</f>
        <v>Evening</v>
      </c>
      <c r="W1668" s="5"/>
      <c r="X1668" s="5">
        <f ca="1">IFERROR(__xludf.DUMMYFUNCTION("""COMPUTED_VALUE"""),1)</f>
        <v>1</v>
      </c>
      <c r="Y1668" s="5" t="str">
        <f ca="1">IFERROR(__xludf.DUMMYFUNCTION("""COMPUTED_VALUE"""),"Gang related shooting when student was exiting school at night")</f>
        <v>Gang related shooting when student was exiting school at night</v>
      </c>
      <c r="Z1668" s="5" t="str">
        <f ca="1">IFERROR(__xludf.DUMMYFUNCTION("""COMPUTED_VALUE"""),"Student shot multiple times in the abdomen exiting night school. Police arrested an unidentified teen and said it was gang related.")</f>
        <v>Student shot multiple times in the abdomen exiting night school. Police arrested an unidentified teen and said it was gang related.</v>
      </c>
      <c r="AA1668" s="5" t="str">
        <f ca="1">IFERROR(__xludf.DUMMYFUNCTION("""COMPUTED_VALUE"""),"Escalation of Dispute")</f>
        <v>Escalation of Dispute</v>
      </c>
      <c r="AB1668" s="5" t="str">
        <f ca="1">IFERROR(__xludf.DUMMYFUNCTION("""COMPUTED_VALUE"""),"Victims Targeted")</f>
        <v>Victims Targeted</v>
      </c>
      <c r="AC1668" s="5" t="str">
        <f ca="1">IFERROR(__xludf.DUMMYFUNCTION("""COMPUTED_VALUE"""),"No")</f>
        <v>No</v>
      </c>
      <c r="AD1668" s="5" t="str">
        <f ca="1">IFERROR(__xludf.DUMMYFUNCTION("""COMPUTED_VALUE"""),"No")</f>
        <v>No</v>
      </c>
      <c r="AE1668" s="5" t="str">
        <f ca="1">IFERROR(__xludf.DUMMYFUNCTION("""COMPUTED_VALUE"""),"No")</f>
        <v>No</v>
      </c>
      <c r="AF1668" s="5" t="str">
        <f ca="1">IFERROR(__xludf.DUMMYFUNCTION("""COMPUTED_VALUE"""),"No")</f>
        <v>No</v>
      </c>
      <c r="AG1668" s="5" t="str">
        <f ca="1">IFERROR(__xludf.DUMMYFUNCTION("""COMPUTED_VALUE"""),"No")</f>
        <v>No</v>
      </c>
      <c r="AH1668" s="5" t="str">
        <f ca="1">IFERROR(__xludf.DUMMYFUNCTION("""COMPUTED_VALUE"""),"No")</f>
        <v>No</v>
      </c>
      <c r="AI1668" s="5" t="str">
        <f ca="1">IFERROR(__xludf.DUMMYFUNCTION("""COMPUTED_VALUE"""),"Yes")</f>
        <v>Yes</v>
      </c>
      <c r="AJ1668" s="5"/>
    </row>
    <row r="1669" spans="1:36" ht="13">
      <c r="A1669" s="5" t="str">
        <f ca="1">IFERROR(__xludf.DUMMYFUNCTION("""COMPUTED_VALUE"""),"19980501NYPUB")</f>
        <v>19980501NYPUB</v>
      </c>
      <c r="B1669" s="5">
        <f ca="1">IFERROR(__xludf.DUMMYFUNCTION("""COMPUTED_VALUE"""),5)</f>
        <v>5</v>
      </c>
      <c r="C1669" s="5">
        <f ca="1">IFERROR(__xludf.DUMMYFUNCTION("""COMPUTED_VALUE"""),1)</f>
        <v>1</v>
      </c>
      <c r="D1669" s="5">
        <f ca="1">IFERROR(__xludf.DUMMYFUNCTION("""COMPUTED_VALUE"""),1998)</f>
        <v>1998</v>
      </c>
      <c r="E1669" s="8">
        <f ca="1">IFERROR(__xludf.DUMMYFUNCTION("""COMPUTED_VALUE"""),35916)</f>
        <v>35916</v>
      </c>
      <c r="F1669" s="5" t="str">
        <f ca="1">IFERROR(__xludf.DUMMYFUNCTION("""COMPUTED_VALUE"""),"Public School 18")</f>
        <v>Public School 18</v>
      </c>
      <c r="G1669" s="5">
        <f ca="1">IFERROR(__xludf.DUMMYFUNCTION("""COMPUTED_VALUE"""),1)</f>
        <v>1</v>
      </c>
      <c r="H1669" s="5">
        <f ca="1">IFERROR(__xludf.DUMMYFUNCTION("""COMPUTED_VALUE"""),1)</f>
        <v>1</v>
      </c>
      <c r="I1669" s="5">
        <f ca="1">IFERROR(__xludf.DUMMYFUNCTION("""COMPUTED_VALUE"""),2)</f>
        <v>2</v>
      </c>
      <c r="J1669" s="5">
        <f ca="1">IFERROR(__xludf.DUMMYFUNCTION("""COMPUTED_VALUE"""),0)</f>
        <v>0</v>
      </c>
      <c r="K1669" s="5" t="str">
        <f ca="1">IFERROR(__xludf.DUMMYFUNCTION("""COMPUTED_VALUE"""),"https://www.nytimes.com/1998/05/02/nyregion/deputy-arrested-in-killing-of-wife-at-buffalo-school.html https://buffalonews.com/1998/05/01/school-slaying-deputy-arrested-after-wife-is-shot/")</f>
        <v>https://www.nytimes.com/1998/05/02/nyregion/deputy-arrested-in-killing-of-wife-at-buffalo-school.html https://buffalonews.com/1998/05/01/school-slaying-deputy-arrested-after-wife-is-shot/</v>
      </c>
      <c r="L1669" s="5"/>
      <c r="M1669" s="5"/>
      <c r="N1669" s="5">
        <f ca="1">IFERROR(__xludf.DUMMYFUNCTION("""COMPUTED_VALUE"""),2)</f>
        <v>2</v>
      </c>
      <c r="O1669" s="5" t="str">
        <f ca="1">IFERROR(__xludf.DUMMYFUNCTION("""COMPUTED_VALUE"""),"Spring")</f>
        <v>Spring</v>
      </c>
      <c r="P1669" s="5" t="str">
        <f ca="1">IFERROR(__xludf.DUMMYFUNCTION("""COMPUTED_VALUE"""),"Buffalo")</f>
        <v>Buffalo</v>
      </c>
      <c r="Q1669" s="5" t="str">
        <f ca="1">IFERROR(__xludf.DUMMYFUNCTION("""COMPUTED_VALUE"""),"NY")</f>
        <v>NY</v>
      </c>
      <c r="R1669" s="5" t="str">
        <f ca="1">IFERROR(__xludf.DUMMYFUNCTION("""COMPUTED_VALUE"""),"Elementary")</f>
        <v>Elementary</v>
      </c>
      <c r="S1669" s="5" t="str">
        <f ca="1">IFERROR(__xludf.DUMMYFUNCTION("""COMPUTED_VALUE"""),"Office")</f>
        <v>Office</v>
      </c>
      <c r="T1669" s="5" t="str">
        <f ca="1">IFERROR(__xludf.DUMMYFUNCTION("""COMPUTED_VALUE"""),"Inside School Building")</f>
        <v>Inside School Building</v>
      </c>
      <c r="U1669" s="5" t="str">
        <f ca="1">IFERROR(__xludf.DUMMYFUNCTION("""COMPUTED_VALUE"""),"Yes")</f>
        <v>Yes</v>
      </c>
      <c r="V1669" s="5" t="str">
        <f ca="1">IFERROR(__xludf.DUMMYFUNCTION("""COMPUTED_VALUE"""),"Morning Classes")</f>
        <v>Morning Classes</v>
      </c>
      <c r="W1669" s="10">
        <f ca="1">IFERROR(__xludf.DUMMYFUNCTION("""COMPUTED_VALUE"""),0.388888888888888)</f>
        <v>0.38888888888888801</v>
      </c>
      <c r="X1669" s="5">
        <f ca="1">IFERROR(__xludf.DUMMYFUNCTION("""COMPUTED_VALUE"""),1)</f>
        <v>1</v>
      </c>
      <c r="Y1669" s="5" t="str">
        <f ca="1">IFERROR(__xludf.DUMMYFUNCTION("""COMPUTED_VALUE"""),"Went into school to kill estranged wife, school aid wounded")</f>
        <v>Went into school to kill estranged wife, school aid wounded</v>
      </c>
      <c r="Z1669" s="5" t="str">
        <f ca="1">IFERROR(__xludf.DUMMYFUNCTION("""COMPUTED_VALUE"""),"Victim had an order of protection from Family Court on April 21, 1998. Shooter was required to relinquish 3 personal weapons. Shooter took gun from fellow deputies locker. Deputy Sheriff (shooter) went into children's school to find his estranged wife (vi"&amp;"ctim). She ran from him and took shelter in the school office. He followed her into the office and shot her multiple times in front of staff and students. A school aid in the office was also struck by a bullet. Shooter fled the area and was later arrested"&amp;".")</f>
        <v>Victim had an order of protection from Family Court on April 21, 1998. Shooter was required to relinquish 3 personal weapons. Shooter took gun from fellow deputies locker. Deputy Sheriff (shooter) went into children's school to find his estranged wife (victim). She ran from him and took shelter in the school office. He followed her into the office and shot her multiple times in front of staff and students. A school aid in the office was also struck by a bullet. Shooter fled the area and was later arrested.</v>
      </c>
      <c r="AA1669" s="5" t="str">
        <f ca="1">IFERROR(__xludf.DUMMYFUNCTION("""COMPUTED_VALUE"""),"Domestic w/ Targeted Victim")</f>
        <v>Domestic w/ Targeted Victim</v>
      </c>
      <c r="AB1669" s="5" t="str">
        <f ca="1">IFERROR(__xludf.DUMMYFUNCTION("""COMPUTED_VALUE"""),"Victims Targeted")</f>
        <v>Victims Targeted</v>
      </c>
      <c r="AC1669" s="5" t="str">
        <f ca="1">IFERROR(__xludf.DUMMYFUNCTION("""COMPUTED_VALUE"""),"No")</f>
        <v>No</v>
      </c>
      <c r="AD1669" s="5" t="str">
        <f ca="1">IFERROR(__xludf.DUMMYFUNCTION("""COMPUTED_VALUE"""),"No")</f>
        <v>No</v>
      </c>
      <c r="AE1669" s="5" t="str">
        <f ca="1">IFERROR(__xludf.DUMMYFUNCTION("""COMPUTED_VALUE"""),"No")</f>
        <v>No</v>
      </c>
      <c r="AF1669" s="5" t="str">
        <f ca="1">IFERROR(__xludf.DUMMYFUNCTION("""COMPUTED_VALUE"""),"Yes")</f>
        <v>Yes</v>
      </c>
      <c r="AG1669" s="5" t="str">
        <f ca="1">IFERROR(__xludf.DUMMYFUNCTION("""COMPUTED_VALUE"""),"No")</f>
        <v>No</v>
      </c>
      <c r="AH1669" s="5" t="str">
        <f ca="1">IFERROR(__xludf.DUMMYFUNCTION("""COMPUTED_VALUE"""),"Yes")</f>
        <v>Yes</v>
      </c>
      <c r="AI1669" s="5" t="str">
        <f ca="1">IFERROR(__xludf.DUMMYFUNCTION("""COMPUTED_VALUE"""),"No")</f>
        <v>No</v>
      </c>
      <c r="AJ1669" s="5"/>
    </row>
    <row r="1670" spans="1:36" ht="13">
      <c r="A1670" s="5" t="str">
        <f ca="1">IFERROR(__xludf.DUMMYFUNCTION("""COMPUTED_VALUE"""),"19980428WIPAP")</f>
        <v>19980428WIPAP</v>
      </c>
      <c r="B1670" s="5">
        <f ca="1">IFERROR(__xludf.DUMMYFUNCTION("""COMPUTED_VALUE"""),4)</f>
        <v>4</v>
      </c>
      <c r="C1670" s="5">
        <f ca="1">IFERROR(__xludf.DUMMYFUNCTION("""COMPUTED_VALUE"""),28)</f>
        <v>28</v>
      </c>
      <c r="D1670" s="5">
        <f ca="1">IFERROR(__xludf.DUMMYFUNCTION("""COMPUTED_VALUE"""),1998)</f>
        <v>1998</v>
      </c>
      <c r="E1670" s="8">
        <f ca="1">IFERROR(__xludf.DUMMYFUNCTION("""COMPUTED_VALUE"""),35913)</f>
        <v>35913</v>
      </c>
      <c r="F1670" s="5" t="str">
        <f ca="1">IFERROR(__xludf.DUMMYFUNCTION("""COMPUTED_VALUE"""),"Pardeeville Elementary School")</f>
        <v>Pardeeville Elementary School</v>
      </c>
      <c r="G1670" s="5">
        <f ca="1">IFERROR(__xludf.DUMMYFUNCTION("""COMPUTED_VALUE"""),0)</f>
        <v>0</v>
      </c>
      <c r="H1670" s="5">
        <f ca="1">IFERROR(__xludf.DUMMYFUNCTION("""COMPUTED_VALUE"""),1)</f>
        <v>1</v>
      </c>
      <c r="I1670" s="5">
        <f ca="1">IFERROR(__xludf.DUMMYFUNCTION("""COMPUTED_VALUE"""),1)</f>
        <v>1</v>
      </c>
      <c r="J1670" s="5">
        <f ca="1">IFERROR(__xludf.DUMMYFUNCTION("""COMPUTED_VALUE"""),0)</f>
        <v>0</v>
      </c>
      <c r="K1670" s="5" t="str">
        <f ca="1">IFERROR(__xludf.DUMMYFUNCTION("""COMPUTED_VALUE"""),"https://www.highbeam.com/doc/1G1-69458455.html    https://www.newspapers.com/image/190952500/?terms=Michael%2BLareau https://journaltimes.com/news/local/obituaries/teen-pleads-insanity-to-attempted-murder/article_a7e49db0-924c-5e2c-a4fe-0788ae0d9152.html "&amp;"https://www.newspapers.com/clip/33228611/wisconsin-state-journal/")</f>
        <v>https://www.highbeam.com/doc/1G1-69458455.html    https://www.newspapers.com/image/190952500/?terms=Michael%2BLareau https://journaltimes.com/news/local/obituaries/teen-pleads-insanity-to-attempted-murder/article_a7e49db0-924c-5e2c-a4fe-0788ae0d9152.html https://www.newspapers.com/clip/33228611/wisconsin-state-journal/</v>
      </c>
      <c r="L1670" s="5"/>
      <c r="M1670" s="5"/>
      <c r="N1670" s="5">
        <f ca="1">IFERROR(__xludf.DUMMYFUNCTION("""COMPUTED_VALUE"""),2)</f>
        <v>2</v>
      </c>
      <c r="O1670" s="5" t="str">
        <f ca="1">IFERROR(__xludf.DUMMYFUNCTION("""COMPUTED_VALUE"""),"Spring")</f>
        <v>Spring</v>
      </c>
      <c r="P1670" s="5" t="str">
        <f ca="1">IFERROR(__xludf.DUMMYFUNCTION("""COMPUTED_VALUE"""),"Pardeeville")</f>
        <v>Pardeeville</v>
      </c>
      <c r="Q1670" s="5" t="str">
        <f ca="1">IFERROR(__xludf.DUMMYFUNCTION("""COMPUTED_VALUE"""),"WI")</f>
        <v>WI</v>
      </c>
      <c r="R1670" s="5" t="str">
        <f ca="1">IFERROR(__xludf.DUMMYFUNCTION("""COMPUTED_VALUE"""),"Elementary")</f>
        <v>Elementary</v>
      </c>
      <c r="S1670" s="5" t="str">
        <f ca="1">IFERROR(__xludf.DUMMYFUNCTION("""COMPUTED_VALUE"""),"Parking Lot")</f>
        <v>Parking Lot</v>
      </c>
      <c r="T1670" s="5" t="str">
        <f ca="1">IFERROR(__xludf.DUMMYFUNCTION("""COMPUTED_VALUE"""),"Outside on School Property")</f>
        <v>Outside on School Property</v>
      </c>
      <c r="U1670" s="5" t="str">
        <f ca="1">IFERROR(__xludf.DUMMYFUNCTION("""COMPUTED_VALUE"""),"No")</f>
        <v>No</v>
      </c>
      <c r="V1670" s="5" t="str">
        <f ca="1">IFERROR(__xludf.DUMMYFUNCTION("""COMPUTED_VALUE"""),"After School")</f>
        <v>After School</v>
      </c>
      <c r="W1670" s="10">
        <f ca="1">IFERROR(__xludf.DUMMYFUNCTION("""COMPUTED_VALUE"""),0.875)</f>
        <v>0.875</v>
      </c>
      <c r="X1670" s="5">
        <f ca="1">IFERROR(__xludf.DUMMYFUNCTION("""COMPUTED_VALUE"""),1)</f>
        <v>1</v>
      </c>
      <c r="Y1670" s="5" t="str">
        <f ca="1">IFERROR(__xludf.DUMMYFUNCTION("""COMPUTED_VALUE"""),"Carjacking of janitor, shot him")</f>
        <v>Carjacking of janitor, shot him</v>
      </c>
      <c r="Z1670" s="5" t="str">
        <f ca="1">IFERROR(__xludf.DUMMYFUNCTION("""COMPUTED_VALUE"""),"Group of youths carjacked the school janitor when he was leaving. 15 year-old male shot him in the head during the carjacking.")</f>
        <v>Group of youths carjacked the school janitor when he was leaving. 15 year-old male shot him in the head during the carjacking.</v>
      </c>
      <c r="AA1670" s="5" t="str">
        <f ca="1">IFERROR(__xludf.DUMMYFUNCTION("""COMPUTED_VALUE"""),"Illegal Activity")</f>
        <v>Illegal Activity</v>
      </c>
      <c r="AB1670" s="5" t="str">
        <f ca="1">IFERROR(__xludf.DUMMYFUNCTION("""COMPUTED_VALUE"""),"Victims Targeted")</f>
        <v>Victims Targeted</v>
      </c>
      <c r="AC1670" s="5" t="str">
        <f ca="1">IFERROR(__xludf.DUMMYFUNCTION("""COMPUTED_VALUE"""),"Yes")</f>
        <v>Yes</v>
      </c>
      <c r="AD1670" s="5" t="str">
        <f ca="1">IFERROR(__xludf.DUMMYFUNCTION("""COMPUTED_VALUE"""),"No")</f>
        <v>No</v>
      </c>
      <c r="AE1670" s="5" t="str">
        <f ca="1">IFERROR(__xludf.DUMMYFUNCTION("""COMPUTED_VALUE"""),"No")</f>
        <v>No</v>
      </c>
      <c r="AF1670" s="5" t="str">
        <f ca="1">IFERROR(__xludf.DUMMYFUNCTION("""COMPUTED_VALUE"""),"No")</f>
        <v>No</v>
      </c>
      <c r="AG1670" s="5" t="str">
        <f ca="1">IFERROR(__xludf.DUMMYFUNCTION("""COMPUTED_VALUE"""),"No")</f>
        <v>No</v>
      </c>
      <c r="AH1670" s="5" t="str">
        <f ca="1">IFERROR(__xludf.DUMMYFUNCTION("""COMPUTED_VALUE"""),"No")</f>
        <v>No</v>
      </c>
      <c r="AI1670" s="5" t="str">
        <f ca="1">IFERROR(__xludf.DUMMYFUNCTION("""COMPUTED_VALUE"""),"No")</f>
        <v>No</v>
      </c>
      <c r="AJ1670" s="5"/>
    </row>
    <row r="1671" spans="1:36" ht="13">
      <c r="A1671" s="5" t="str">
        <f ca="1">IFERROR(__xludf.DUMMYFUNCTION("""COMPUTED_VALUE"""),"19980428CAPHP")</f>
        <v>19980428CAPHP</v>
      </c>
      <c r="B1671" s="5">
        <f ca="1">IFERROR(__xludf.DUMMYFUNCTION("""COMPUTED_VALUE"""),4)</f>
        <v>4</v>
      </c>
      <c r="C1671" s="5">
        <f ca="1">IFERROR(__xludf.DUMMYFUNCTION("""COMPUTED_VALUE"""),28)</f>
        <v>28</v>
      </c>
      <c r="D1671" s="5">
        <f ca="1">IFERROR(__xludf.DUMMYFUNCTION("""COMPUTED_VALUE"""),1998)</f>
        <v>1998</v>
      </c>
      <c r="E1671" s="8">
        <f ca="1">IFERROR(__xludf.DUMMYFUNCTION("""COMPUTED_VALUE"""),35913)</f>
        <v>35913</v>
      </c>
      <c r="F1671" s="5" t="str">
        <f ca="1">IFERROR(__xludf.DUMMYFUNCTION("""COMPUTED_VALUE"""),"Philadelphia Elementary School")</f>
        <v>Philadelphia Elementary School</v>
      </c>
      <c r="G1671" s="5">
        <f ca="1">IFERROR(__xludf.DUMMYFUNCTION("""COMPUTED_VALUE"""),1)</f>
        <v>1</v>
      </c>
      <c r="H1671" s="5">
        <f ca="1">IFERROR(__xludf.DUMMYFUNCTION("""COMPUTED_VALUE"""),2)</f>
        <v>2</v>
      </c>
      <c r="I1671" s="5">
        <f ca="1">IFERROR(__xludf.DUMMYFUNCTION("""COMPUTED_VALUE"""),3)</f>
        <v>3</v>
      </c>
      <c r="J1671" s="5">
        <f ca="1">IFERROR(__xludf.DUMMYFUNCTION("""COMPUTED_VALUE"""),0)</f>
        <v>0</v>
      </c>
      <c r="K1671" s="5" t="str">
        <f ca="1">IFERROR(__xludf.DUMMYFUNCTION("""COMPUTED_VALUE"""),"http://articles.latimes.com/1998/may/02/local/me-45493   https://www.newspapers.com/image/266177772/?terms=philadelphia%2Belementary%2Bschool https://www.latimes.com/archives/la-xpm-1998-apr-30-me-44591-story.html https://www.newspapers.com/image/16040230"&amp;"8/?terms=LOs%2BAngeles%2BTimes%2BPomona")</f>
        <v>http://articles.latimes.com/1998/may/02/local/me-45493   https://www.newspapers.com/image/266177772/?terms=philadelphia%2Belementary%2Bschool https://www.latimes.com/archives/la-xpm-1998-apr-30-me-44591-story.html https://www.newspapers.com/image/160402308/?terms=LOs%2BAngeles%2BTimes%2BPomona</v>
      </c>
      <c r="L1671" s="5"/>
      <c r="M1671" s="5"/>
      <c r="N1671" s="5">
        <f ca="1">IFERROR(__xludf.DUMMYFUNCTION("""COMPUTED_VALUE"""),2)</f>
        <v>2</v>
      </c>
      <c r="O1671" s="5" t="str">
        <f ca="1">IFERROR(__xludf.DUMMYFUNCTION("""COMPUTED_VALUE"""),"Spring")</f>
        <v>Spring</v>
      </c>
      <c r="P1671" s="5" t="str">
        <f ca="1">IFERROR(__xludf.DUMMYFUNCTION("""COMPUTED_VALUE"""),"Pomona")</f>
        <v>Pomona</v>
      </c>
      <c r="Q1671" s="5" t="str">
        <f ca="1">IFERROR(__xludf.DUMMYFUNCTION("""COMPUTED_VALUE"""),"CA")</f>
        <v>CA</v>
      </c>
      <c r="R1671" s="5" t="str">
        <f ca="1">IFERROR(__xludf.DUMMYFUNCTION("""COMPUTED_VALUE"""),"Elementary")</f>
        <v>Elementary</v>
      </c>
      <c r="S1671" s="5" t="str">
        <f ca="1">IFERROR(__xludf.DUMMYFUNCTION("""COMPUTED_VALUE"""),"Beside Building")</f>
        <v>Beside Building</v>
      </c>
      <c r="T1671" s="5" t="str">
        <f ca="1">IFERROR(__xludf.DUMMYFUNCTION("""COMPUTED_VALUE"""),"Outside on School Property")</f>
        <v>Outside on School Property</v>
      </c>
      <c r="U1671" s="5" t="str">
        <f ca="1">IFERROR(__xludf.DUMMYFUNCTION("""COMPUTED_VALUE"""),"No")</f>
        <v>No</v>
      </c>
      <c r="V1671" s="5" t="str">
        <f ca="1">IFERROR(__xludf.DUMMYFUNCTION("""COMPUTED_VALUE"""),"After School")</f>
        <v>After School</v>
      </c>
      <c r="W1671" s="5"/>
      <c r="X1671" s="5">
        <f ca="1">IFERROR(__xludf.DUMMYFUNCTION("""COMPUTED_VALUE"""),1)</f>
        <v>1</v>
      </c>
      <c r="Y1671" s="5" t="str">
        <f ca="1">IFERROR(__xludf.DUMMYFUNCTION("""COMPUTED_VALUE"""),"Disagreement between rival gang members")</f>
        <v>Disagreement between rival gang members</v>
      </c>
      <c r="Z1671" s="5" t="str">
        <f ca="1">IFERROR(__xludf.DUMMYFUNCTION("""COMPUTED_VALUE"""),"Dispute between members of rival ""party crews"". To resolve the dispute, agreed to meet behind the elementary school after classes had ended. 14 year-old male killed 17 year-old male and 14 year-old male and injured 15 year-old male then fled the scene.")</f>
        <v>Dispute between members of rival "party crews". To resolve the dispute, agreed to meet behind the elementary school after classes had ended. 14 year-old male killed 17 year-old male and 14 year-old male and injured 15 year-old male then fled the scene.</v>
      </c>
      <c r="AA1671" s="5" t="str">
        <f ca="1">IFERROR(__xludf.DUMMYFUNCTION("""COMPUTED_VALUE"""),"Escalation of Dispute")</f>
        <v>Escalation of Dispute</v>
      </c>
      <c r="AB1671" s="5" t="str">
        <f ca="1">IFERROR(__xludf.DUMMYFUNCTION("""COMPUTED_VALUE"""),"Victims Targeted")</f>
        <v>Victims Targeted</v>
      </c>
      <c r="AC1671" s="5" t="str">
        <f ca="1">IFERROR(__xludf.DUMMYFUNCTION("""COMPUTED_VALUE"""),"No")</f>
        <v>No</v>
      </c>
      <c r="AD1671" s="5" t="str">
        <f ca="1">IFERROR(__xludf.DUMMYFUNCTION("""COMPUTED_VALUE"""),"No")</f>
        <v>No</v>
      </c>
      <c r="AE1671" s="5" t="str">
        <f ca="1">IFERROR(__xludf.DUMMYFUNCTION("""COMPUTED_VALUE"""),"No")</f>
        <v>No</v>
      </c>
      <c r="AF1671" s="5" t="str">
        <f ca="1">IFERROR(__xludf.DUMMYFUNCTION("""COMPUTED_VALUE"""),"No")</f>
        <v>No</v>
      </c>
      <c r="AG1671" s="5" t="str">
        <f ca="1">IFERROR(__xludf.DUMMYFUNCTION("""COMPUTED_VALUE"""),"No")</f>
        <v>No</v>
      </c>
      <c r="AH1671" s="5" t="str">
        <f ca="1">IFERROR(__xludf.DUMMYFUNCTION("""COMPUTED_VALUE"""),"No")</f>
        <v>No</v>
      </c>
      <c r="AI1671" s="5" t="str">
        <f ca="1">IFERROR(__xludf.DUMMYFUNCTION("""COMPUTED_VALUE"""),"Yes")</f>
        <v>Yes</v>
      </c>
      <c r="AJ1671" s="5"/>
    </row>
    <row r="1672" spans="1:36" ht="13">
      <c r="A1672" s="5" t="str">
        <f ca="1">IFERROR(__xludf.DUMMYFUNCTION("""COMPUTED_VALUE"""),"19980424PAPAE")</f>
        <v>19980424PAPAE</v>
      </c>
      <c r="B1672" s="5">
        <f ca="1">IFERROR(__xludf.DUMMYFUNCTION("""COMPUTED_VALUE"""),4)</f>
        <v>4</v>
      </c>
      <c r="C1672" s="5">
        <f ca="1">IFERROR(__xludf.DUMMYFUNCTION("""COMPUTED_VALUE"""),24)</f>
        <v>24</v>
      </c>
      <c r="D1672" s="5">
        <f ca="1">IFERROR(__xludf.DUMMYFUNCTION("""COMPUTED_VALUE"""),1998)</f>
        <v>1998</v>
      </c>
      <c r="E1672" s="8">
        <f ca="1">IFERROR(__xludf.DUMMYFUNCTION("""COMPUTED_VALUE"""),35909)</f>
        <v>35909</v>
      </c>
      <c r="F1672" s="5" t="str">
        <f ca="1">IFERROR(__xludf.DUMMYFUNCTION("""COMPUTED_VALUE"""),"Parker Middle School")</f>
        <v>Parker Middle School</v>
      </c>
      <c r="G1672" s="5">
        <f ca="1">IFERROR(__xludf.DUMMYFUNCTION("""COMPUTED_VALUE"""),1)</f>
        <v>1</v>
      </c>
      <c r="H1672" s="5">
        <f ca="1">IFERROR(__xludf.DUMMYFUNCTION("""COMPUTED_VALUE"""),3)</f>
        <v>3</v>
      </c>
      <c r="I1672" s="5">
        <f ca="1">IFERROR(__xludf.DUMMYFUNCTION("""COMPUTED_VALUE"""),4)</f>
        <v>4</v>
      </c>
      <c r="J1672" s="5">
        <f ca="1">IFERROR(__xludf.DUMMYFUNCTION("""COMPUTED_VALUE"""),0)</f>
        <v>0</v>
      </c>
      <c r="K1672" s="5" t="str">
        <f ca="1">IFERROR(__xludf.DUMMYFUNCTION("""COMPUTED_VALUE"""),"http://www.cnn.com/US/9804/25/school.shooting.pm/ https://www.nytimes.com/1998/04/26/us/student-guns-down-science-teacher-chaperoning-school-dance.html https://old.post-gazette.com/regionstate/19990910teacher1.asp")</f>
        <v>http://www.cnn.com/US/9804/25/school.shooting.pm/ https://www.nytimes.com/1998/04/26/us/student-guns-down-science-teacher-chaperoning-school-dance.html https://old.post-gazette.com/regionstate/19990910teacher1.asp</v>
      </c>
      <c r="L1672" s="5"/>
      <c r="M1672" s="5"/>
      <c r="N1672" s="5">
        <f ca="1">IFERROR(__xludf.DUMMYFUNCTION("""COMPUTED_VALUE"""),2)</f>
        <v>2</v>
      </c>
      <c r="O1672" s="5" t="str">
        <f ca="1">IFERROR(__xludf.DUMMYFUNCTION("""COMPUTED_VALUE"""),"Spring")</f>
        <v>Spring</v>
      </c>
      <c r="P1672" s="5" t="str">
        <f ca="1">IFERROR(__xludf.DUMMYFUNCTION("""COMPUTED_VALUE"""),"Edinboro")</f>
        <v>Edinboro</v>
      </c>
      <c r="Q1672" s="5" t="str">
        <f ca="1">IFERROR(__xludf.DUMMYFUNCTION("""COMPUTED_VALUE"""),"PA")</f>
        <v>PA</v>
      </c>
      <c r="R1672" s="5" t="str">
        <f ca="1">IFERROR(__xludf.DUMMYFUNCTION("""COMPUTED_VALUE"""),"Middle")</f>
        <v>Middle</v>
      </c>
      <c r="S1672" s="5" t="str">
        <f ca="1">IFERROR(__xludf.DUMMYFUNCTION("""COMPUTED_VALUE"""),"Off School Property")</f>
        <v>Off School Property</v>
      </c>
      <c r="T1672" s="5" t="str">
        <f ca="1">IFERROR(__xludf.DUMMYFUNCTION("""COMPUTED_VALUE"""),"Off School Property")</f>
        <v>Off School Property</v>
      </c>
      <c r="U1672" s="5" t="str">
        <f ca="1">IFERROR(__xludf.DUMMYFUNCTION("""COMPUTED_VALUE"""),"No")</f>
        <v>No</v>
      </c>
      <c r="V1672" s="5" t="str">
        <f ca="1">IFERROR(__xludf.DUMMYFUNCTION("""COMPUTED_VALUE"""),"School Event")</f>
        <v>School Event</v>
      </c>
      <c r="W1672" s="10">
        <f ca="1">IFERROR(__xludf.DUMMYFUNCTION("""COMPUTED_VALUE"""),0.916666666666666)</f>
        <v>0.91666666666666596</v>
      </c>
      <c r="X1672" s="5">
        <f ca="1">IFERROR(__xludf.DUMMYFUNCTION("""COMPUTED_VALUE"""),1)</f>
        <v>1</v>
      </c>
      <c r="Y1672" s="5" t="str">
        <f ca="1">IFERROR(__xludf.DUMMYFUNCTION("""COMPUTED_VALUE"""),"Planned attack at school dance")</f>
        <v>Planned attack at school dance</v>
      </c>
      <c r="Z1672" s="5" t="str">
        <f ca="1">IFERROR(__xludf.DUMMYFUNCTION("""COMPUTED_VALUE"""),"End of year dance was at a local restaurant. Shooter shot and killed a teacher standing outside and then fired shots at the dance floor striking 3 students. Restaurant owner armed with a shotgun chased the shooter down and held him until police arrived. S"&amp;"hooter said he wanted to make the night memorable. Shooter had been normal but became distant before the shooting. He told other students he wanted to kill them and commit suicide.")</f>
        <v>End of year dance was at a local restaurant. Shooter shot and killed a teacher standing outside and then fired shots at the dance floor striking 3 students. Restaurant owner armed with a shotgun chased the shooter down and held him until police arrived. Shooter said he wanted to make the night memorable. Shooter had been normal but became distant before the shooting. He told other students he wanted to kill them and commit suicide.</v>
      </c>
      <c r="AA1672" s="5" t="str">
        <f ca="1">IFERROR(__xludf.DUMMYFUNCTION("""COMPUTED_VALUE"""),"Indiscriminate Shooting")</f>
        <v>Indiscriminate Shooting</v>
      </c>
      <c r="AB1672" s="5" t="str">
        <f ca="1">IFERROR(__xludf.DUMMYFUNCTION("""COMPUTED_VALUE"""),"Random Shooting")</f>
        <v>Random Shooting</v>
      </c>
      <c r="AC1672" s="5" t="str">
        <f ca="1">IFERROR(__xludf.DUMMYFUNCTION("""COMPUTED_VALUE"""),"No")</f>
        <v>No</v>
      </c>
      <c r="AD1672" s="5" t="str">
        <f ca="1">IFERROR(__xludf.DUMMYFUNCTION("""COMPUTED_VALUE"""),"No")</f>
        <v>No</v>
      </c>
      <c r="AE1672" s="5" t="str">
        <f ca="1">IFERROR(__xludf.DUMMYFUNCTION("""COMPUTED_VALUE"""),"No")</f>
        <v>No</v>
      </c>
      <c r="AF1672" s="5" t="str">
        <f ca="1">IFERROR(__xludf.DUMMYFUNCTION("""COMPUTED_VALUE"""),"No")</f>
        <v>No</v>
      </c>
      <c r="AG1672" s="5" t="str">
        <f ca="1">IFERROR(__xludf.DUMMYFUNCTION("""COMPUTED_VALUE"""),"No")</f>
        <v>No</v>
      </c>
      <c r="AH1672" s="5" t="str">
        <f ca="1">IFERROR(__xludf.DUMMYFUNCTION("""COMPUTED_VALUE"""),"No")</f>
        <v>No</v>
      </c>
      <c r="AI1672" s="5" t="str">
        <f ca="1">IFERROR(__xludf.DUMMYFUNCTION("""COMPUTED_VALUE"""),"No")</f>
        <v>No</v>
      </c>
      <c r="AJ1672" s="5" t="str">
        <f ca="1">IFERROR(__xludf.DUMMYFUNCTION("""COMPUTED_VALUE"""),"Yes")</f>
        <v>Yes</v>
      </c>
    </row>
    <row r="1673" spans="1:36" ht="13">
      <c r="A1673" s="5" t="str">
        <f ca="1">IFERROR(__xludf.DUMMYFUNCTION("""COMPUTED_VALUE"""),"19980423CACUL")</f>
        <v>19980423CACUL</v>
      </c>
      <c r="B1673" s="5">
        <f ca="1">IFERROR(__xludf.DUMMYFUNCTION("""COMPUTED_VALUE"""),4)</f>
        <v>4</v>
      </c>
      <c r="C1673" s="5">
        <f ca="1">IFERROR(__xludf.DUMMYFUNCTION("""COMPUTED_VALUE"""),23)</f>
        <v>23</v>
      </c>
      <c r="D1673" s="5">
        <f ca="1">IFERROR(__xludf.DUMMYFUNCTION("""COMPUTED_VALUE"""),1998)</f>
        <v>1998</v>
      </c>
      <c r="E1673" s="8">
        <f ca="1">IFERROR(__xludf.DUMMYFUNCTION("""COMPUTED_VALUE"""),35908)</f>
        <v>35908</v>
      </c>
      <c r="F1673" s="5" t="str">
        <f ca="1">IFERROR(__xludf.DUMMYFUNCTION("""COMPUTED_VALUE"""),"Culver City High School")</f>
        <v>Culver City High School</v>
      </c>
      <c r="G1673" s="5">
        <f ca="1">IFERROR(__xludf.DUMMYFUNCTION("""COMPUTED_VALUE"""),0)</f>
        <v>0</v>
      </c>
      <c r="H1673" s="5">
        <f ca="1">IFERROR(__xludf.DUMMYFUNCTION("""COMPUTED_VALUE"""),2)</f>
        <v>2</v>
      </c>
      <c r="I1673" s="5">
        <f ca="1">IFERROR(__xludf.DUMMYFUNCTION("""COMPUTED_VALUE"""),2)</f>
        <v>2</v>
      </c>
      <c r="J1673" s="5">
        <f ca="1">IFERROR(__xludf.DUMMYFUNCTION("""COMPUTED_VALUE"""),0)</f>
        <v>0</v>
      </c>
      <c r="K1673" s="5" t="str">
        <f ca="1">IFERROR(__xludf.DUMMYFUNCTION("""COMPUTED_VALUE"""),"http://articles.latimes.com/1998/apr/23/local/me-42231 http://www.columbine-angels.com/School_Violence_1997-1998.htm https://www.latimes.com/archives/la-xpm-1998-apr-24-me-42504-story.html")</f>
        <v>http://articles.latimes.com/1998/apr/23/local/me-42231 http://www.columbine-angels.com/School_Violence_1997-1998.htm https://www.latimes.com/archives/la-xpm-1998-apr-24-me-42504-story.html</v>
      </c>
      <c r="L1673" s="5"/>
      <c r="M1673" s="5"/>
      <c r="N1673" s="5">
        <f ca="1">IFERROR(__xludf.DUMMYFUNCTION("""COMPUTED_VALUE"""),2)</f>
        <v>2</v>
      </c>
      <c r="O1673" s="5" t="str">
        <f ca="1">IFERROR(__xludf.DUMMYFUNCTION("""COMPUTED_VALUE"""),"Spring")</f>
        <v>Spring</v>
      </c>
      <c r="P1673" s="5" t="str">
        <f ca="1">IFERROR(__xludf.DUMMYFUNCTION("""COMPUTED_VALUE"""),"Los Angeles")</f>
        <v>Los Angeles</v>
      </c>
      <c r="Q1673" s="5" t="str">
        <f ca="1">IFERROR(__xludf.DUMMYFUNCTION("""COMPUTED_VALUE"""),"CA")</f>
        <v>CA</v>
      </c>
      <c r="R1673" s="5" t="str">
        <f ca="1">IFERROR(__xludf.DUMMYFUNCTION("""COMPUTED_VALUE"""),"High")</f>
        <v>High</v>
      </c>
      <c r="S1673" s="5" t="str">
        <f ca="1">IFERROR(__xludf.DUMMYFUNCTION("""COMPUTED_VALUE"""),"Front of School")</f>
        <v>Front of School</v>
      </c>
      <c r="T1673" s="5" t="str">
        <f ca="1">IFERROR(__xludf.DUMMYFUNCTION("""COMPUTED_VALUE"""),"Outside on School Property")</f>
        <v>Outside on School Property</v>
      </c>
      <c r="U1673" s="5" t="str">
        <f ca="1">IFERROR(__xludf.DUMMYFUNCTION("""COMPUTED_VALUE"""),"Yes")</f>
        <v>Yes</v>
      </c>
      <c r="V1673" s="5" t="str">
        <f ca="1">IFERROR(__xludf.DUMMYFUNCTION("""COMPUTED_VALUE"""),"Afternoon Classes")</f>
        <v>Afternoon Classes</v>
      </c>
      <c r="W1673" s="10">
        <f ca="1">IFERROR(__xludf.DUMMYFUNCTION("""COMPUTED_VALUE"""),0.583333333333333)</f>
        <v>0.58333333333333304</v>
      </c>
      <c r="X1673" s="5">
        <f ca="1">IFERROR(__xludf.DUMMYFUNCTION("""COMPUTED_VALUE"""),1)</f>
        <v>1</v>
      </c>
      <c r="Y1673" s="5" t="str">
        <f ca="1">IFERROR(__xludf.DUMMYFUNCTION("""COMPUTED_VALUE"""),"Drive by shooting outside of school")</f>
        <v>Drive by shooting outside of school</v>
      </c>
      <c r="Z1673" s="5" t="str">
        <f ca="1">IFERROR(__xludf.DUMMYFUNCTION("""COMPUTED_VALUE"""),"Two students outside of the school were shot in a drive by shooting. It was unclear if the students were part of a gang or mistaken for gang members. No shooter identified.")</f>
        <v>Two students outside of the school were shot in a drive by shooting. It was unclear if the students were part of a gang or mistaken for gang members. No shooter identified.</v>
      </c>
      <c r="AA1673" s="5" t="str">
        <f ca="1">IFERROR(__xludf.DUMMYFUNCTION("""COMPUTED_VALUE"""),"Drive-by Shooting")</f>
        <v>Drive-by Shooting</v>
      </c>
      <c r="AB1673" s="5"/>
      <c r="AC1673" s="5" t="str">
        <f ca="1">IFERROR(__xludf.DUMMYFUNCTION("""COMPUTED_VALUE"""),"Unknown")</f>
        <v>Unknown</v>
      </c>
      <c r="AD1673" s="5" t="str">
        <f ca="1">IFERROR(__xludf.DUMMYFUNCTION("""COMPUTED_VALUE"""),"No")</f>
        <v>No</v>
      </c>
      <c r="AE1673" s="5" t="str">
        <f ca="1">IFERROR(__xludf.DUMMYFUNCTION("""COMPUTED_VALUE"""),"No")</f>
        <v>No</v>
      </c>
      <c r="AF1673" s="5" t="str">
        <f ca="1">IFERROR(__xludf.DUMMYFUNCTION("""COMPUTED_VALUE"""),"No")</f>
        <v>No</v>
      </c>
      <c r="AG1673" s="5" t="str">
        <f ca="1">IFERROR(__xludf.DUMMYFUNCTION("""COMPUTED_VALUE"""),"No")</f>
        <v>No</v>
      </c>
      <c r="AH1673" s="5" t="str">
        <f ca="1">IFERROR(__xludf.DUMMYFUNCTION("""COMPUTED_VALUE"""),"No")</f>
        <v>No</v>
      </c>
      <c r="AI1673" s="5" t="str">
        <f ca="1">IFERROR(__xludf.DUMMYFUNCTION("""COMPUTED_VALUE"""),"Yes")</f>
        <v>Yes</v>
      </c>
      <c r="AJ1673" s="5"/>
    </row>
    <row r="1674" spans="1:36" ht="13">
      <c r="A1674" s="5" t="str">
        <f ca="1">IFERROR(__xludf.DUMMYFUNCTION("""COMPUTED_VALUE"""),"19980409IDTHA")</f>
        <v>19980409IDTHA</v>
      </c>
      <c r="B1674" s="5">
        <f ca="1">IFERROR(__xludf.DUMMYFUNCTION("""COMPUTED_VALUE"""),4)</f>
        <v>4</v>
      </c>
      <c r="C1674" s="5">
        <f ca="1">IFERROR(__xludf.DUMMYFUNCTION("""COMPUTED_VALUE"""),9)</f>
        <v>9</v>
      </c>
      <c r="D1674" s="5">
        <f ca="1">IFERROR(__xludf.DUMMYFUNCTION("""COMPUTED_VALUE"""),1998)</f>
        <v>1998</v>
      </c>
      <c r="E1674" s="8">
        <f ca="1">IFERROR(__xludf.DUMMYFUNCTION("""COMPUTED_VALUE"""),35894)</f>
        <v>35894</v>
      </c>
      <c r="F1674" s="5" t="str">
        <f ca="1">IFERROR(__xludf.DUMMYFUNCTION("""COMPUTED_VALUE"""),"The Alternate School")</f>
        <v>The Alternate School</v>
      </c>
      <c r="G1674" s="5">
        <f ca="1">IFERROR(__xludf.DUMMYFUNCTION("""COMPUTED_VALUE"""),0)</f>
        <v>0</v>
      </c>
      <c r="H1674" s="5">
        <f ca="1">IFERROR(__xludf.DUMMYFUNCTION("""COMPUTED_VALUE"""),0)</f>
        <v>0</v>
      </c>
      <c r="I1674" s="5">
        <f ca="1">IFERROR(__xludf.DUMMYFUNCTION("""COMPUTED_VALUE"""),0)</f>
        <v>0</v>
      </c>
      <c r="J1674" s="5">
        <f ca="1">IFERROR(__xludf.DUMMYFUNCTION("""COMPUTED_VALUE"""),0)</f>
        <v>0</v>
      </c>
      <c r="K1674" s="9" t="str">
        <f ca="1">IFERROR(__xludf.DUMMYFUNCTION("""COMPUTED_VALUE"""),"https://apnews.com/article/f5000c8983cd4292bc063d213a9015eb
https://greensboro.com/hostage-standoff-at-school-ends-with-pizza-soda/article_d803b03f-8fdb-5188-aaa5-5266f7217080.html")</f>
        <v>https://apnews.com/article/f5000c8983cd4292bc063d213a9015eb
https://greensboro.com/hostage-standoff-at-school-ends-with-pizza-soda/article_d803b03f-8fdb-5188-aaa5-5266f7217080.html</v>
      </c>
      <c r="L1674" s="5">
        <f ca="1">IFERROR(__xludf.DUMMYFUNCTION("""COMPUTED_VALUE"""),100)</f>
        <v>100</v>
      </c>
      <c r="M1674" s="5" t="str">
        <f ca="1">IFERROR(__xludf.DUMMYFUNCTION("""COMPUTED_VALUE"""),"National")</f>
        <v>National</v>
      </c>
      <c r="N1674" s="5">
        <f ca="1">IFERROR(__xludf.DUMMYFUNCTION("""COMPUTED_VALUE"""),4)</f>
        <v>4</v>
      </c>
      <c r="O1674" s="5" t="str">
        <f ca="1">IFERROR(__xludf.DUMMYFUNCTION("""COMPUTED_VALUE"""),"Spring")</f>
        <v>Spring</v>
      </c>
      <c r="P1674" s="5" t="str">
        <f ca="1">IFERROR(__xludf.DUMMYFUNCTION("""COMPUTED_VALUE"""),"Pocatello")</f>
        <v>Pocatello</v>
      </c>
      <c r="Q1674" s="5" t="str">
        <f ca="1">IFERROR(__xludf.DUMMYFUNCTION("""COMPUTED_VALUE"""),"ID")</f>
        <v>ID</v>
      </c>
      <c r="R1674" s="5" t="str">
        <f ca="1">IFERROR(__xludf.DUMMYFUNCTION("""COMPUTED_VALUE"""),"6-12")</f>
        <v>6-12</v>
      </c>
      <c r="S1674" s="5" t="str">
        <f ca="1">IFERROR(__xludf.DUMMYFUNCTION("""COMPUTED_VALUE"""),"Classroom")</f>
        <v>Classroom</v>
      </c>
      <c r="T1674" s="5" t="str">
        <f ca="1">IFERROR(__xludf.DUMMYFUNCTION("""COMPUTED_VALUE"""),"Inside School Building")</f>
        <v>Inside School Building</v>
      </c>
      <c r="U1674" s="5" t="str">
        <f ca="1">IFERROR(__xludf.DUMMYFUNCTION("""COMPUTED_VALUE"""),"Yes")</f>
        <v>Yes</v>
      </c>
      <c r="V1674" s="5" t="str">
        <f ca="1">IFERROR(__xludf.DUMMYFUNCTION("""COMPUTED_VALUE"""),"Morning Classes")</f>
        <v>Morning Classes</v>
      </c>
      <c r="W1674" s="10">
        <f ca="1">IFERROR(__xludf.DUMMYFUNCTION("""COMPUTED_VALUE"""),0.354166666666666)</f>
        <v>0.35416666666666602</v>
      </c>
      <c r="X1674" s="5">
        <f ca="1">IFERROR(__xludf.DUMMYFUNCTION("""COMPUTED_VALUE"""),300)</f>
        <v>300</v>
      </c>
      <c r="Y1674" s="5" t="str">
        <f ca="1">IFERROR(__xludf.DUMMYFUNCTION("""COMPUTED_VALUE"""),"Student fired shot and took 12 students hostage for 5 hours")</f>
        <v>Student fired shot and took 12 students hostage for 5 hours</v>
      </c>
      <c r="Z1674" s="5" t="str">
        <f ca="1">IFERROR(__xludf.DUMMYFUNCTION("""COMPUTED_VALUE"""),"A five-hour standoff between an armed student and police ended peacefully after officers delivered on the 14-year-old gunman’s demands: pizza, soda and cigarettes. 
After initially holding about a dozen students inside The Alternate School for troubled y"&amp;"ouths Thursday, Mitchell Gushwa let them leave. Four students remained with Gushwa voluntarily until he gave up, police said. The standoff began about 8:30 a.m. as principal Paul Matthews, a secretary, three teachers and about 20 students met in the multi"&amp;"purpose room. Matthews had just begun his daily routine of explaining what would be on the students’ agenda when Gushwa pulled a gun. Gushwa ordered the teachers into another room and fired a shot into the ceiling above a door, police said. The principal,"&amp;" secretary, teachers and about half the students made it out of the school after Gushwa pulled the gun. After police refused Gushwa’s initial demand for liquor and cigarettes, he agreed about 90 minutes after the standoff began to trade a .22 semiautomati"&amp;"c for three packs of Marlboros. He later gave up his .45-caliber semiautomatic for a large Domino’s combination pizza, a variety of soda pop, bags of chips and a hat to hide his face when he emerged.")</f>
        <v>A five-hour standoff between an armed student and police ended peacefully after officers delivered on the 14-year-old gunman’s demands: pizza, soda and cigarettes. 
After initially holding about a dozen students inside The Alternate School for troubled youths Thursday, Mitchell Gushwa let them leave. Four students remained with Gushwa voluntarily until he gave up, police said. The standoff began about 8:30 a.m. as principal Paul Matthews, a secretary, three teachers and about 20 students met in the multipurpose room. Matthews had just begun his daily routine of explaining what would be on the students’ agenda when Gushwa pulled a gun. Gushwa ordered the teachers into another room and fired a shot into the ceiling above a door, police said. The principal, secretary, teachers and about half the students made it out of the school after Gushwa pulled the gun. After police refused Gushwa’s initial demand for liquor and cigarettes, he agreed about 90 minutes after the standoff began to trade a .22 semiautomatic for three packs of Marlboros. He later gave up his .45-caliber semiautomatic for a large Domino’s combination pizza, a variety of soda pop, bags of chips and a hat to hide his face when he emerged.</v>
      </c>
      <c r="AA1674" s="5" t="str">
        <f ca="1">IFERROR(__xludf.DUMMYFUNCTION("""COMPUTED_VALUE"""),"Hostage/Standoff")</f>
        <v>Hostage/Standoff</v>
      </c>
      <c r="AB1674" s="5" t="str">
        <f ca="1">IFERROR(__xludf.DUMMYFUNCTION("""COMPUTED_VALUE"""),"Neither")</f>
        <v>Neither</v>
      </c>
      <c r="AC1674" s="5" t="str">
        <f ca="1">IFERROR(__xludf.DUMMYFUNCTION("""COMPUTED_VALUE"""),"No")</f>
        <v>No</v>
      </c>
      <c r="AD1674" s="5" t="str">
        <f ca="1">IFERROR(__xludf.DUMMYFUNCTION("""COMPUTED_VALUE"""),"Yes")</f>
        <v>Yes</v>
      </c>
      <c r="AE1674" s="5" t="str">
        <f ca="1">IFERROR(__xludf.DUMMYFUNCTION("""COMPUTED_VALUE"""),"Yes")</f>
        <v>Yes</v>
      </c>
      <c r="AF1674" s="5" t="str">
        <f ca="1">IFERROR(__xludf.DUMMYFUNCTION("""COMPUTED_VALUE"""),"No")</f>
        <v>No</v>
      </c>
      <c r="AG1674" s="5"/>
      <c r="AH1674" s="5" t="str">
        <f ca="1">IFERROR(__xludf.DUMMYFUNCTION("""COMPUTED_VALUE"""),"No")</f>
        <v>No</v>
      </c>
      <c r="AI1674" s="5" t="str">
        <f ca="1">IFERROR(__xludf.DUMMYFUNCTION("""COMPUTED_VALUE"""),"No")</f>
        <v>No</v>
      </c>
      <c r="AJ1674" s="5" t="str">
        <f ca="1">IFERROR(__xludf.DUMMYFUNCTION("""COMPUTED_VALUE"""),"Yes")</f>
        <v>Yes</v>
      </c>
    </row>
    <row r="1675" spans="1:36" ht="13">
      <c r="A1675" s="5" t="str">
        <f ca="1">IFERROR(__xludf.DUMMYFUNCTION("""COMPUTED_VALUE"""),"19980331WIOAO")</f>
        <v>19980331WIOAO</v>
      </c>
      <c r="B1675" s="5">
        <f ca="1">IFERROR(__xludf.DUMMYFUNCTION("""COMPUTED_VALUE"""),3)</f>
        <v>3</v>
      </c>
      <c r="C1675" s="5">
        <f ca="1">IFERROR(__xludf.DUMMYFUNCTION("""COMPUTED_VALUE"""),31)</f>
        <v>31</v>
      </c>
      <c r="D1675" s="5">
        <f ca="1">IFERROR(__xludf.DUMMYFUNCTION("""COMPUTED_VALUE"""),1998)</f>
        <v>1998</v>
      </c>
      <c r="E1675" s="8">
        <f ca="1">IFERROR(__xludf.DUMMYFUNCTION("""COMPUTED_VALUE"""),35885)</f>
        <v>35885</v>
      </c>
      <c r="F1675" s="5" t="str">
        <f ca="1">IFERROR(__xludf.DUMMYFUNCTION("""COMPUTED_VALUE"""),"Oakfield Middle School")</f>
        <v>Oakfield Middle School</v>
      </c>
      <c r="G1675" s="5">
        <f ca="1">IFERROR(__xludf.DUMMYFUNCTION("""COMPUTED_VALUE"""),0)</f>
        <v>0</v>
      </c>
      <c r="H1675" s="5">
        <f ca="1">IFERROR(__xludf.DUMMYFUNCTION("""COMPUTED_VALUE"""),0)</f>
        <v>0</v>
      </c>
      <c r="I1675" s="5">
        <f ca="1">IFERROR(__xludf.DUMMYFUNCTION("""COMPUTED_VALUE"""),0)</f>
        <v>0</v>
      </c>
      <c r="J1675" s="5">
        <f ca="1">IFERROR(__xludf.DUMMYFUNCTION("""COMPUTED_VALUE"""),0)</f>
        <v>0</v>
      </c>
      <c r="K1675" s="5" t="str">
        <f ca="1">IFERROR(__xludf.DUMMYFUNCTION("""COMPUTED_VALUE"""),"http://articles.chicagotribune.com/1998-04-02/news/9804020160_1_four-pupils-boy-22-caliber-pistol https://www.latimes.com/archives/la-xpm-1998-apr-04-mn-35924-story.html")</f>
        <v>http://articles.chicagotribune.com/1998-04-02/news/9804020160_1_four-pupils-boy-22-caliber-pistol https://www.latimes.com/archives/la-xpm-1998-apr-04-mn-35924-story.html</v>
      </c>
      <c r="L1675" s="5"/>
      <c r="M1675" s="5"/>
      <c r="N1675" s="5">
        <f ca="1">IFERROR(__xludf.DUMMYFUNCTION("""COMPUTED_VALUE"""),2)</f>
        <v>2</v>
      </c>
      <c r="O1675" s="5" t="str">
        <f ca="1">IFERROR(__xludf.DUMMYFUNCTION("""COMPUTED_VALUE"""),"Spring")</f>
        <v>Spring</v>
      </c>
      <c r="P1675" s="5" t="str">
        <f ca="1">IFERROR(__xludf.DUMMYFUNCTION("""COMPUTED_VALUE"""),"Oakfield")</f>
        <v>Oakfield</v>
      </c>
      <c r="Q1675" s="5" t="str">
        <f ca="1">IFERROR(__xludf.DUMMYFUNCTION("""COMPUTED_VALUE"""),"WI")</f>
        <v>WI</v>
      </c>
      <c r="R1675" s="5" t="str">
        <f ca="1">IFERROR(__xludf.DUMMYFUNCTION("""COMPUTED_VALUE"""),"Middle")</f>
        <v>Middle</v>
      </c>
      <c r="S1675" s="5" t="str">
        <f ca="1">IFERROR(__xludf.DUMMYFUNCTION("""COMPUTED_VALUE"""),"Front of School")</f>
        <v>Front of School</v>
      </c>
      <c r="T1675" s="5" t="str">
        <f ca="1">IFERROR(__xludf.DUMMYFUNCTION("""COMPUTED_VALUE"""),"Outside on School Property")</f>
        <v>Outside on School Property</v>
      </c>
      <c r="U1675" s="5" t="str">
        <f ca="1">IFERROR(__xludf.DUMMYFUNCTION("""COMPUTED_VALUE"""),"Yes")</f>
        <v>Yes</v>
      </c>
      <c r="V1675" s="5"/>
      <c r="W1675" s="5"/>
      <c r="X1675" s="5">
        <f ca="1">IFERROR(__xludf.DUMMYFUNCTION("""COMPUTED_VALUE"""),1)</f>
        <v>1</v>
      </c>
      <c r="Y1675" s="5" t="str">
        <f ca="1">IFERROR(__xludf.DUMMYFUNCTION("""COMPUTED_VALUE"""),"Angry about grade, fired 5 shots into the school's front door")</f>
        <v>Angry about grade, fired 5 shots into the school's front door</v>
      </c>
      <c r="Z1675" s="5" t="str">
        <f ca="1">IFERROR(__xludf.DUMMYFUNCTION("""COMPUTED_VALUE"""),"14 year-old male student stole his father's car, drove to school, and fired 5 shots at the front door. Students inside were nearly struck. He was upset about his grades and the report cards were being distributed that day. Fled the scene after the shootin"&amp;"g.")</f>
        <v>14 year-old male student stole his father's car, drove to school, and fired 5 shots at the front door. Students inside were nearly struck. He was upset about his grades and the report cards were being distributed that day. Fled the scene after the shooting.</v>
      </c>
      <c r="AA1675" s="5" t="str">
        <f ca="1">IFERROR(__xludf.DUMMYFUNCTION("""COMPUTED_VALUE"""),"Anger Over Grade/Suspension/Discipline")</f>
        <v>Anger Over Grade/Suspension/Discipline</v>
      </c>
      <c r="AB1675" s="5" t="str">
        <f ca="1">IFERROR(__xludf.DUMMYFUNCTION("""COMPUTED_VALUE"""),"Random Shooting")</f>
        <v>Random Shooting</v>
      </c>
      <c r="AC1675" s="5" t="str">
        <f ca="1">IFERROR(__xludf.DUMMYFUNCTION("""COMPUTED_VALUE"""),"No")</f>
        <v>No</v>
      </c>
      <c r="AD1675" s="5" t="str">
        <f ca="1">IFERROR(__xludf.DUMMYFUNCTION("""COMPUTED_VALUE"""),"No")</f>
        <v>No</v>
      </c>
      <c r="AE1675" s="5" t="str">
        <f ca="1">IFERROR(__xludf.DUMMYFUNCTION("""COMPUTED_VALUE"""),"No")</f>
        <v>No</v>
      </c>
      <c r="AF1675" s="5" t="str">
        <f ca="1">IFERROR(__xludf.DUMMYFUNCTION("""COMPUTED_VALUE"""),"No")</f>
        <v>No</v>
      </c>
      <c r="AG1675" s="5" t="str">
        <f ca="1">IFERROR(__xludf.DUMMYFUNCTION("""COMPUTED_VALUE"""),"No")</f>
        <v>No</v>
      </c>
      <c r="AH1675" s="5" t="str">
        <f ca="1">IFERROR(__xludf.DUMMYFUNCTION("""COMPUTED_VALUE"""),"No")</f>
        <v>No</v>
      </c>
      <c r="AI1675" s="5" t="str">
        <f ca="1">IFERROR(__xludf.DUMMYFUNCTION("""COMPUTED_VALUE"""),"No")</f>
        <v>No</v>
      </c>
      <c r="AJ1675" s="5" t="str">
        <f ca="1">IFERROR(__xludf.DUMMYFUNCTION("""COMPUTED_VALUE"""),"Yes")</f>
        <v>Yes</v>
      </c>
    </row>
    <row r="1676" spans="1:36" ht="13">
      <c r="A1676" s="5" t="str">
        <f ca="1">IFERROR(__xludf.DUMMYFUNCTION("""COMPUTED_VALUE"""),"19980330NCGRC")</f>
        <v>19980330NCGRC</v>
      </c>
      <c r="B1676" s="5">
        <f ca="1">IFERROR(__xludf.DUMMYFUNCTION("""COMPUTED_VALUE"""),3)</f>
        <v>3</v>
      </c>
      <c r="C1676" s="5">
        <f ca="1">IFERROR(__xludf.DUMMYFUNCTION("""COMPUTED_VALUE"""),30)</f>
        <v>30</v>
      </c>
      <c r="D1676" s="5">
        <f ca="1">IFERROR(__xludf.DUMMYFUNCTION("""COMPUTED_VALUE"""),1998)</f>
        <v>1998</v>
      </c>
      <c r="E1676" s="8">
        <f ca="1">IFERROR(__xludf.DUMMYFUNCTION("""COMPUTED_VALUE"""),35884)</f>
        <v>35884</v>
      </c>
      <c r="F1676" s="5" t="str">
        <f ca="1">IFERROR(__xludf.DUMMYFUNCTION("""COMPUTED_VALUE"""),"Grey Culbreth Middle School")</f>
        <v>Grey Culbreth Middle School</v>
      </c>
      <c r="G1676" s="5">
        <f ca="1">IFERROR(__xludf.DUMMYFUNCTION("""COMPUTED_VALUE"""),0)</f>
        <v>0</v>
      </c>
      <c r="H1676" s="5">
        <f ca="1">IFERROR(__xludf.DUMMYFUNCTION("""COMPUTED_VALUE"""),0)</f>
        <v>0</v>
      </c>
      <c r="I1676" s="5">
        <f ca="1">IFERROR(__xludf.DUMMYFUNCTION("""COMPUTED_VALUE"""),0)</f>
        <v>0</v>
      </c>
      <c r="J1676" s="5">
        <f ca="1">IFERROR(__xludf.DUMMYFUNCTION("""COMPUTED_VALUE"""),1)</f>
        <v>1</v>
      </c>
      <c r="K1676" s="5" t="str">
        <f ca="1">IFERROR(__xludf.DUMMYFUNCTION("""COMPUTED_VALUE"""),"https://www.cbsnews.com/news/teen-shot-at-north-carolina-school/ https://apnews.com/2d6fc7d535ddddff3004a378d5431755 https://www.latimes.com/archives/la-xpm-1998-mar-31-mn-34545-story.html")</f>
        <v>https://www.cbsnews.com/news/teen-shot-at-north-carolina-school/ https://apnews.com/2d6fc7d535ddddff3004a378d5431755 https://www.latimes.com/archives/la-xpm-1998-mar-31-mn-34545-story.html</v>
      </c>
      <c r="L1676" s="5"/>
      <c r="M1676" s="5"/>
      <c r="N1676" s="5">
        <f ca="1">IFERROR(__xludf.DUMMYFUNCTION("""COMPUTED_VALUE"""),2)</f>
        <v>2</v>
      </c>
      <c r="O1676" s="5" t="str">
        <f ca="1">IFERROR(__xludf.DUMMYFUNCTION("""COMPUTED_VALUE"""),"Spring")</f>
        <v>Spring</v>
      </c>
      <c r="P1676" s="5" t="str">
        <f ca="1">IFERROR(__xludf.DUMMYFUNCTION("""COMPUTED_VALUE"""),"Chapel Hill")</f>
        <v>Chapel Hill</v>
      </c>
      <c r="Q1676" s="5" t="str">
        <f ca="1">IFERROR(__xludf.DUMMYFUNCTION("""COMPUTED_VALUE"""),"NC")</f>
        <v>NC</v>
      </c>
      <c r="R1676" s="5" t="str">
        <f ca="1">IFERROR(__xludf.DUMMYFUNCTION("""COMPUTED_VALUE"""),"Middle")</f>
        <v>Middle</v>
      </c>
      <c r="S1676" s="5" t="str">
        <f ca="1">IFERROR(__xludf.DUMMYFUNCTION("""COMPUTED_VALUE"""),"Bathroom")</f>
        <v>Bathroom</v>
      </c>
      <c r="T1676" s="5" t="str">
        <f ca="1">IFERROR(__xludf.DUMMYFUNCTION("""COMPUTED_VALUE"""),"Inside School Building")</f>
        <v>Inside School Building</v>
      </c>
      <c r="U1676" s="5" t="str">
        <f ca="1">IFERROR(__xludf.DUMMYFUNCTION("""COMPUTED_VALUE"""),"Yes")</f>
        <v>Yes</v>
      </c>
      <c r="V1676" s="5"/>
      <c r="W1676" s="10">
        <f ca="1">IFERROR(__xludf.DUMMYFUNCTION("""COMPUTED_VALUE"""),0.458333333333333)</f>
        <v>0.45833333333333298</v>
      </c>
      <c r="X1676" s="5">
        <f ca="1">IFERROR(__xludf.DUMMYFUNCTION("""COMPUTED_VALUE"""),1)</f>
        <v>1</v>
      </c>
      <c r="Y1676" s="5" t="str">
        <f ca="1">IFERROR(__xludf.DUMMYFUNCTION("""COMPUTED_VALUE"""),"Shot herself in bathroom")</f>
        <v>Shot herself in bathroom</v>
      </c>
      <c r="Z1676" s="5" t="str">
        <f ca="1">IFERROR(__xludf.DUMMYFUNCTION("""COMPUTED_VALUE"""),"13 year-old female student shot herself in the school bathroom. She was a new student and had trouble at home.")</f>
        <v>13 year-old female student shot herself in the school bathroom. She was a new student and had trouble at home.</v>
      </c>
      <c r="AA1676" s="5" t="str">
        <f ca="1">IFERROR(__xludf.DUMMYFUNCTION("""COMPUTED_VALUE"""),"Suicide/Attempted")</f>
        <v>Suicide/Attempted</v>
      </c>
      <c r="AB1676" s="5" t="str">
        <f ca="1">IFERROR(__xludf.DUMMYFUNCTION("""COMPUTED_VALUE"""),"Victims Targeted")</f>
        <v>Victims Targeted</v>
      </c>
      <c r="AC1676" s="5" t="str">
        <f ca="1">IFERROR(__xludf.DUMMYFUNCTION("""COMPUTED_VALUE"""),"No")</f>
        <v>No</v>
      </c>
      <c r="AD1676" s="5" t="str">
        <f ca="1">IFERROR(__xludf.DUMMYFUNCTION("""COMPUTED_VALUE"""),"No")</f>
        <v>No</v>
      </c>
      <c r="AE1676" s="5" t="str">
        <f ca="1">IFERROR(__xludf.DUMMYFUNCTION("""COMPUTED_VALUE"""),"No")</f>
        <v>No</v>
      </c>
      <c r="AF1676" s="5" t="str">
        <f ca="1">IFERROR(__xludf.DUMMYFUNCTION("""COMPUTED_VALUE"""),"No")</f>
        <v>No</v>
      </c>
      <c r="AG1676" s="5" t="str">
        <f ca="1">IFERROR(__xludf.DUMMYFUNCTION("""COMPUTED_VALUE"""),"No")</f>
        <v>No</v>
      </c>
      <c r="AH1676" s="5" t="str">
        <f ca="1">IFERROR(__xludf.DUMMYFUNCTION("""COMPUTED_VALUE"""),"No")</f>
        <v>No</v>
      </c>
      <c r="AI1676" s="5" t="str">
        <f ca="1">IFERROR(__xludf.DUMMYFUNCTION("""COMPUTED_VALUE"""),"No")</f>
        <v>No</v>
      </c>
      <c r="AJ1676" s="5"/>
    </row>
    <row r="1677" spans="1:36" ht="13">
      <c r="A1677" s="5" t="str">
        <f ca="1">IFERROR(__xludf.DUMMYFUNCTION("""COMPUTED_VALUE"""),"19980325MICOC")</f>
        <v>19980325MICOC</v>
      </c>
      <c r="B1677" s="5">
        <f ca="1">IFERROR(__xludf.DUMMYFUNCTION("""COMPUTED_VALUE"""),3)</f>
        <v>3</v>
      </c>
      <c r="C1677" s="5">
        <f ca="1">IFERROR(__xludf.DUMMYFUNCTION("""COMPUTED_VALUE"""),25)</f>
        <v>25</v>
      </c>
      <c r="D1677" s="5">
        <f ca="1">IFERROR(__xludf.DUMMYFUNCTION("""COMPUTED_VALUE"""),1998)</f>
        <v>1998</v>
      </c>
      <c r="E1677" s="8">
        <f ca="1">IFERROR(__xludf.DUMMYFUNCTION("""COMPUTED_VALUE"""),35879)</f>
        <v>35879</v>
      </c>
      <c r="F1677" s="5" t="str">
        <f ca="1">IFERROR(__xludf.DUMMYFUNCTION("""COMPUTED_VALUE"""),"Coldwater High School")</f>
        <v>Coldwater High School</v>
      </c>
      <c r="G1677" s="5">
        <f ca="1">IFERROR(__xludf.DUMMYFUNCTION("""COMPUTED_VALUE"""),0)</f>
        <v>0</v>
      </c>
      <c r="H1677" s="5">
        <f ca="1">IFERROR(__xludf.DUMMYFUNCTION("""COMPUTED_VALUE"""),0)</f>
        <v>0</v>
      </c>
      <c r="I1677" s="5">
        <f ca="1">IFERROR(__xludf.DUMMYFUNCTION("""COMPUTED_VALUE"""),0)</f>
        <v>0</v>
      </c>
      <c r="J1677" s="5">
        <f ca="1">IFERROR(__xludf.DUMMYFUNCTION("""COMPUTED_VALUE"""),1)</f>
        <v>1</v>
      </c>
      <c r="K1677" s="5" t="str">
        <f ca="1">IFERROR(__xludf.DUMMYFUNCTION("""COMPUTED_VALUE"""),"https://www.newspapers.com/image/207255319/?terms=coldwater%2Bhigh%2Bschool%2Bsuicide https://files.eric.ed.gov/fulltext/ED519244.pdf")</f>
        <v>https://www.newspapers.com/image/207255319/?terms=coldwater%2Bhigh%2Bschool%2Bsuicide https://files.eric.ed.gov/fulltext/ED519244.pdf</v>
      </c>
      <c r="L1677" s="5"/>
      <c r="M1677" s="5"/>
      <c r="N1677" s="5">
        <f ca="1">IFERROR(__xludf.DUMMYFUNCTION("""COMPUTED_VALUE"""),2)</f>
        <v>2</v>
      </c>
      <c r="O1677" s="5" t="str">
        <f ca="1">IFERROR(__xludf.DUMMYFUNCTION("""COMPUTED_VALUE"""),"Spring")</f>
        <v>Spring</v>
      </c>
      <c r="P1677" s="5" t="str">
        <f ca="1">IFERROR(__xludf.DUMMYFUNCTION("""COMPUTED_VALUE"""),"Coldwater")</f>
        <v>Coldwater</v>
      </c>
      <c r="Q1677" s="5" t="str">
        <f ca="1">IFERROR(__xludf.DUMMYFUNCTION("""COMPUTED_VALUE"""),"MI")</f>
        <v>MI</v>
      </c>
      <c r="R1677" s="5" t="str">
        <f ca="1">IFERROR(__xludf.DUMMYFUNCTION("""COMPUTED_VALUE"""),"High")</f>
        <v>High</v>
      </c>
      <c r="S1677" s="5" t="str">
        <f ca="1">IFERROR(__xludf.DUMMYFUNCTION("""COMPUTED_VALUE"""),"Parking Lot")</f>
        <v>Parking Lot</v>
      </c>
      <c r="T1677" s="5" t="str">
        <f ca="1">IFERROR(__xludf.DUMMYFUNCTION("""COMPUTED_VALUE"""),"Outside on School Property")</f>
        <v>Outside on School Property</v>
      </c>
      <c r="U1677" s="5" t="str">
        <f ca="1">IFERROR(__xludf.DUMMYFUNCTION("""COMPUTED_VALUE"""),"Yes")</f>
        <v>Yes</v>
      </c>
      <c r="V1677" s="5" t="str">
        <f ca="1">IFERROR(__xludf.DUMMYFUNCTION("""COMPUTED_VALUE"""),"School Start")</f>
        <v>School Start</v>
      </c>
      <c r="W1677" s="10">
        <f ca="1">IFERROR(__xludf.DUMMYFUNCTION("""COMPUTED_VALUE"""),0.333333333333333)</f>
        <v>0.33333333333333298</v>
      </c>
      <c r="X1677" s="5">
        <f ca="1">IFERROR(__xludf.DUMMYFUNCTION("""COMPUTED_VALUE"""),1)</f>
        <v>1</v>
      </c>
      <c r="Y1677" s="5" t="str">
        <f ca="1">IFERROR(__xludf.DUMMYFUNCTION("""COMPUTED_VALUE"""),"Commit suicide in car in parking lot")</f>
        <v>Commit suicide in car in parking lot</v>
      </c>
      <c r="Z1677" s="5" t="str">
        <f ca="1">IFERROR(__xludf.DUMMYFUNCTION("""COMPUTED_VALUE"""),"18 year-old male pulled up to schools entrance in car, locked car doors, threw a note outside window, and shot himself. Other students witnessed the suicide. Student was well liked and had good grades.")</f>
        <v>18 year-old male pulled up to schools entrance in car, locked car doors, threw a note outside window, and shot himself. Other students witnessed the suicide. Student was well liked and had good grades.</v>
      </c>
      <c r="AA1677" s="5" t="str">
        <f ca="1">IFERROR(__xludf.DUMMYFUNCTION("""COMPUTED_VALUE"""),"Suicide/Attempted")</f>
        <v>Suicide/Attempted</v>
      </c>
      <c r="AB1677" s="5" t="str">
        <f ca="1">IFERROR(__xludf.DUMMYFUNCTION("""COMPUTED_VALUE"""),"Victims Targeted")</f>
        <v>Victims Targeted</v>
      </c>
      <c r="AC1677" s="5" t="str">
        <f ca="1">IFERROR(__xludf.DUMMYFUNCTION("""COMPUTED_VALUE"""),"No")</f>
        <v>No</v>
      </c>
      <c r="AD1677" s="5" t="str">
        <f ca="1">IFERROR(__xludf.DUMMYFUNCTION("""COMPUTED_VALUE"""),"No")</f>
        <v>No</v>
      </c>
      <c r="AE1677" s="5" t="str">
        <f ca="1">IFERROR(__xludf.DUMMYFUNCTION("""COMPUTED_VALUE"""),"No")</f>
        <v>No</v>
      </c>
      <c r="AF1677" s="5" t="str">
        <f ca="1">IFERROR(__xludf.DUMMYFUNCTION("""COMPUTED_VALUE"""),"No")</f>
        <v>No</v>
      </c>
      <c r="AG1677" s="5" t="str">
        <f ca="1">IFERROR(__xludf.DUMMYFUNCTION("""COMPUTED_VALUE"""),"No")</f>
        <v>No</v>
      </c>
      <c r="AH1677" s="5" t="str">
        <f ca="1">IFERROR(__xludf.DUMMYFUNCTION("""COMPUTED_VALUE"""),"No")</f>
        <v>No</v>
      </c>
      <c r="AI1677" s="5" t="str">
        <f ca="1">IFERROR(__xludf.DUMMYFUNCTION("""COMPUTED_VALUE"""),"No")</f>
        <v>No</v>
      </c>
      <c r="AJ1677" s="5"/>
    </row>
    <row r="1678" spans="1:36" ht="13">
      <c r="A1678" s="5" t="str">
        <f ca="1">IFERROR(__xludf.DUMMYFUNCTION("""COMPUTED_VALUE"""),"19980325CAFED")</f>
        <v>19980325CAFED</v>
      </c>
      <c r="B1678" s="5">
        <f ca="1">IFERROR(__xludf.DUMMYFUNCTION("""COMPUTED_VALUE"""),3)</f>
        <v>3</v>
      </c>
      <c r="C1678" s="5">
        <f ca="1">IFERROR(__xludf.DUMMYFUNCTION("""COMPUTED_VALUE"""),25)</f>
        <v>25</v>
      </c>
      <c r="D1678" s="5">
        <f ca="1">IFERROR(__xludf.DUMMYFUNCTION("""COMPUTED_VALUE"""),1998)</f>
        <v>1998</v>
      </c>
      <c r="E1678" s="8">
        <f ca="1">IFERROR(__xludf.DUMMYFUNCTION("""COMPUTED_VALUE"""),35879)</f>
        <v>35879</v>
      </c>
      <c r="F1678" s="5" t="str">
        <f ca="1">IFERROR(__xludf.DUMMYFUNCTION("""COMPUTED_VALUE"""),"Fernando Rivera Middle School")</f>
        <v>Fernando Rivera Middle School</v>
      </c>
      <c r="G1678" s="5">
        <f ca="1">IFERROR(__xludf.DUMMYFUNCTION("""COMPUTED_VALUE"""),0)</f>
        <v>0</v>
      </c>
      <c r="H1678" s="5">
        <f ca="1">IFERROR(__xludf.DUMMYFUNCTION("""COMPUTED_VALUE"""),0)</f>
        <v>0</v>
      </c>
      <c r="I1678" s="5">
        <f ca="1">IFERROR(__xludf.DUMMYFUNCTION("""COMPUTED_VALUE"""),0)</f>
        <v>0</v>
      </c>
      <c r="J1678" s="5">
        <f ca="1">IFERROR(__xludf.DUMMYFUNCTION("""COMPUTED_VALUE"""),0)</f>
        <v>0</v>
      </c>
      <c r="K1678" s="5" t="str">
        <f ca="1">IFERROR(__xludf.DUMMYFUNCTION("""COMPUTED_VALUE"""),"https://www.sfgate.com/news/article/Shot-Fired-At-Principal-In-Daly-City-Bullet-3011076.php https://www.sfgate.com/bayarea/article/Daly-City-Teen-Sentenced-for-Shooting-at-2975073.php")</f>
        <v>https://www.sfgate.com/news/article/Shot-Fired-At-Principal-In-Daly-City-Bullet-3011076.php https://www.sfgate.com/bayarea/article/Daly-City-Teen-Sentenced-for-Shooting-at-2975073.php</v>
      </c>
      <c r="L1678" s="5"/>
      <c r="M1678" s="5"/>
      <c r="N1678" s="5">
        <f ca="1">IFERROR(__xludf.DUMMYFUNCTION("""COMPUTED_VALUE"""),2)</f>
        <v>2</v>
      </c>
      <c r="O1678" s="5" t="str">
        <f ca="1">IFERROR(__xludf.DUMMYFUNCTION("""COMPUTED_VALUE"""),"Spring")</f>
        <v>Spring</v>
      </c>
      <c r="P1678" s="5" t="str">
        <f ca="1">IFERROR(__xludf.DUMMYFUNCTION("""COMPUTED_VALUE"""),"Daly City")</f>
        <v>Daly City</v>
      </c>
      <c r="Q1678" s="5" t="str">
        <f ca="1">IFERROR(__xludf.DUMMYFUNCTION("""COMPUTED_VALUE"""),"CA")</f>
        <v>CA</v>
      </c>
      <c r="R1678" s="5" t="str">
        <f ca="1">IFERROR(__xludf.DUMMYFUNCTION("""COMPUTED_VALUE"""),"Middle")</f>
        <v>Middle</v>
      </c>
      <c r="S1678" s="5" t="str">
        <f ca="1">IFERROR(__xludf.DUMMYFUNCTION("""COMPUTED_VALUE"""),"Courtyard")</f>
        <v>Courtyard</v>
      </c>
      <c r="T1678" s="5" t="str">
        <f ca="1">IFERROR(__xludf.DUMMYFUNCTION("""COMPUTED_VALUE"""),"Outside on School Property")</f>
        <v>Outside on School Property</v>
      </c>
      <c r="U1678" s="5" t="str">
        <f ca="1">IFERROR(__xludf.DUMMYFUNCTION("""COMPUTED_VALUE"""),"Yes")</f>
        <v>Yes</v>
      </c>
      <c r="V1678" s="5" t="str">
        <f ca="1">IFERROR(__xludf.DUMMYFUNCTION("""COMPUTED_VALUE"""),"School Start")</f>
        <v>School Start</v>
      </c>
      <c r="W1678" s="10">
        <f ca="1">IFERROR(__xludf.DUMMYFUNCTION("""COMPUTED_VALUE"""),0.34375)</f>
        <v>0.34375</v>
      </c>
      <c r="X1678" s="5">
        <f ca="1">IFERROR(__xludf.DUMMYFUNCTION("""COMPUTED_VALUE"""),1)</f>
        <v>1</v>
      </c>
      <c r="Y1678" s="5" t="str">
        <f ca="1">IFERROR(__xludf.DUMMYFUNCTION("""COMPUTED_VALUE"""),"Shot at principal, missed, ditched gun, and fled scene")</f>
        <v>Shot at principal, missed, ditched gun, and fled scene</v>
      </c>
      <c r="Z1678" s="5" t="str">
        <f ca="1">IFERROR(__xludf.DUMMYFUNCTION("""COMPUTED_VALUE"""),"13 year-old male student was angry about being sent home. The fired a shot (missed) at the principal in the school courtyard, threw the gun in a bush, and fled the area. Principal said the student had no major disciplinary issues.")</f>
        <v>13 year-old male student was angry about being sent home. The fired a shot (missed) at the principal in the school courtyard, threw the gun in a bush, and fled the area. Principal said the student had no major disciplinary issues.</v>
      </c>
      <c r="AA1678" s="5" t="str">
        <f ca="1">IFERROR(__xludf.DUMMYFUNCTION("""COMPUTED_VALUE"""),"Anger Over Grade/Suspension/Discipline")</f>
        <v>Anger Over Grade/Suspension/Discipline</v>
      </c>
      <c r="AB1678" s="5" t="str">
        <f ca="1">IFERROR(__xludf.DUMMYFUNCTION("""COMPUTED_VALUE"""),"Victims Targeted")</f>
        <v>Victims Targeted</v>
      </c>
      <c r="AC1678" s="5" t="str">
        <f ca="1">IFERROR(__xludf.DUMMYFUNCTION("""COMPUTED_VALUE"""),"No")</f>
        <v>No</v>
      </c>
      <c r="AD1678" s="5" t="str">
        <f ca="1">IFERROR(__xludf.DUMMYFUNCTION("""COMPUTED_VALUE"""),"No")</f>
        <v>No</v>
      </c>
      <c r="AE1678" s="5" t="str">
        <f ca="1">IFERROR(__xludf.DUMMYFUNCTION("""COMPUTED_VALUE"""),"No")</f>
        <v>No</v>
      </c>
      <c r="AF1678" s="5" t="str">
        <f ca="1">IFERROR(__xludf.DUMMYFUNCTION("""COMPUTED_VALUE"""),"No")</f>
        <v>No</v>
      </c>
      <c r="AG1678" s="5" t="str">
        <f ca="1">IFERROR(__xludf.DUMMYFUNCTION("""COMPUTED_VALUE"""),"No")</f>
        <v>No</v>
      </c>
      <c r="AH1678" s="5" t="str">
        <f ca="1">IFERROR(__xludf.DUMMYFUNCTION("""COMPUTED_VALUE"""),"No")</f>
        <v>No</v>
      </c>
      <c r="AI1678" s="5" t="str">
        <f ca="1">IFERROR(__xludf.DUMMYFUNCTION("""COMPUTED_VALUE"""),"No")</f>
        <v>No</v>
      </c>
      <c r="AJ1678" s="5"/>
    </row>
    <row r="1679" spans="1:36" ht="13">
      <c r="A1679" s="5" t="str">
        <f ca="1">IFERROR(__xludf.DUMMYFUNCTION("""COMPUTED_VALUE"""),"19980324ARWEJ")</f>
        <v>19980324ARWEJ</v>
      </c>
      <c r="B1679" s="5">
        <f ca="1">IFERROR(__xludf.DUMMYFUNCTION("""COMPUTED_VALUE"""),3)</f>
        <v>3</v>
      </c>
      <c r="C1679" s="5">
        <f ca="1">IFERROR(__xludf.DUMMYFUNCTION("""COMPUTED_VALUE"""),24)</f>
        <v>24</v>
      </c>
      <c r="D1679" s="5">
        <f ca="1">IFERROR(__xludf.DUMMYFUNCTION("""COMPUTED_VALUE"""),1998)</f>
        <v>1998</v>
      </c>
      <c r="E1679" s="8">
        <f ca="1">IFERROR(__xludf.DUMMYFUNCTION("""COMPUTED_VALUE"""),35878)</f>
        <v>35878</v>
      </c>
      <c r="F1679" s="5" t="str">
        <f ca="1">IFERROR(__xludf.DUMMYFUNCTION("""COMPUTED_VALUE"""),"Westside Middle School")</f>
        <v>Westside Middle School</v>
      </c>
      <c r="G1679" s="5">
        <f ca="1">IFERROR(__xludf.DUMMYFUNCTION("""COMPUTED_VALUE"""),5)</f>
        <v>5</v>
      </c>
      <c r="H1679" s="5">
        <f ca="1">IFERROR(__xludf.DUMMYFUNCTION("""COMPUTED_VALUE"""),10)</f>
        <v>10</v>
      </c>
      <c r="I1679" s="5">
        <f ca="1">IFERROR(__xludf.DUMMYFUNCTION("""COMPUTED_VALUE"""),15)</f>
        <v>15</v>
      </c>
      <c r="J1679" s="5">
        <f ca="1">IFERROR(__xludf.DUMMYFUNCTION("""COMPUTED_VALUE"""),0)</f>
        <v>0</v>
      </c>
      <c r="K1679" s="5" t="str">
        <f ca="1">IFERROR(__xludf.DUMMYFUNCTION("""COMPUTED_VALUE"""),"http://abcnews.go.com/US/living-us-mass-school-shooters-incarcerated/story?id=36986507 https://www.npr.org/2018/03/23/596103091/20-years-later-jonesboro-shooting-survivors-conflicted-over-parkland https://www.huffpost.com/entry/the-ones-that-got-away-jone"&amp;"sboros-survivors-and-the-shooters-recall-a-moment-of-horror_n_5a39780ce4b06d1621b01f37 https://www.arkansasonline.com/news/2018/mar/18/20-years-ago-sad-day-westside/?f=news-arkansas")</f>
        <v>http://abcnews.go.com/US/living-us-mass-school-shooters-incarcerated/story?id=36986507 https://www.npr.org/2018/03/23/596103091/20-years-later-jonesboro-shooting-survivors-conflicted-over-parkland https://www.huffpost.com/entry/the-ones-that-got-away-jonesboros-survivors-and-the-shooters-recall-a-moment-of-horror_n_5a39780ce4b06d1621b01f37 https://www.arkansasonline.com/news/2018/mar/18/20-years-ago-sad-day-westside/?f=news-arkansas</v>
      </c>
      <c r="L1679" s="5"/>
      <c r="M1679" s="5"/>
      <c r="N1679" s="5">
        <f ca="1">IFERROR(__xludf.DUMMYFUNCTION("""COMPUTED_VALUE"""),2)</f>
        <v>2</v>
      </c>
      <c r="O1679" s="5" t="str">
        <f ca="1">IFERROR(__xludf.DUMMYFUNCTION("""COMPUTED_VALUE"""),"Spring")</f>
        <v>Spring</v>
      </c>
      <c r="P1679" s="5" t="str">
        <f ca="1">IFERROR(__xludf.DUMMYFUNCTION("""COMPUTED_VALUE"""),"Jonesboro")</f>
        <v>Jonesboro</v>
      </c>
      <c r="Q1679" s="5" t="str">
        <f ca="1">IFERROR(__xludf.DUMMYFUNCTION("""COMPUTED_VALUE"""),"AR")</f>
        <v>AR</v>
      </c>
      <c r="R1679" s="5" t="str">
        <f ca="1">IFERROR(__xludf.DUMMYFUNCTION("""COMPUTED_VALUE"""),"Middle")</f>
        <v>Middle</v>
      </c>
      <c r="S1679" s="5" t="str">
        <f ca="1">IFERROR(__xludf.DUMMYFUNCTION("""COMPUTED_VALUE"""),"Field (General)")</f>
        <v>Field (General)</v>
      </c>
      <c r="T1679" s="5" t="str">
        <f ca="1">IFERROR(__xludf.DUMMYFUNCTION("""COMPUTED_VALUE"""),"Outside on School Property")</f>
        <v>Outside on School Property</v>
      </c>
      <c r="U1679" s="5" t="str">
        <f ca="1">IFERROR(__xludf.DUMMYFUNCTION("""COMPUTED_VALUE"""),"Yes")</f>
        <v>Yes</v>
      </c>
      <c r="V1679" s="5" t="str">
        <f ca="1">IFERROR(__xludf.DUMMYFUNCTION("""COMPUTED_VALUE"""),"Afternoon Classes")</f>
        <v>Afternoon Classes</v>
      </c>
      <c r="W1679" s="10">
        <f ca="1">IFERROR(__xludf.DUMMYFUNCTION("""COMPUTED_VALUE"""),0.528472222222222)</f>
        <v>0.52847222222222201</v>
      </c>
      <c r="X1679" s="5"/>
      <c r="Y1679" s="5" t="str">
        <f ca="1">IFERROR(__xludf.DUMMYFUNCTION("""COMPUTED_VALUE"""),"Planned attack by two shooter, shot students are pulling fire alarm and fled in stolen vehicle")</f>
        <v>Planned attack by two shooter, shot students are pulling fire alarm and fled in stolen vehicle</v>
      </c>
      <c r="Z1679" s="5" t="str">
        <f ca="1">IFERROR(__xludf.DUMMYFUNCTION("""COMPUTED_VALUE"""),"Johnson (13 year-old male) stole his parents car and went with Golden (11 year-old male) to his grandparents house where they knew guns were unlocked. Drove to the school, pulled the fire alarm, and fired at the students evacuating. Shooters hid in the bu"&amp;"shes/field/forest area next to the school. They had 9 weapons including a 30-06 and .30 M1 carbine and 2000 rounds. They fled the scene in the parent's van but were apprehended by police. Both were known as bullies. Both talked about wanting to be members"&amp;" of ""Bloods"" street gang but had a ""lot of killing to do first"". Golden had frequent fights and shot/killed a female students cat. Johnson was sexually abused at age 6 and abused a 3 year old girl when he was 12. Both were released when they turned 21"&amp;" due to state laws. Johnson was arrested shortly after release for drug possession, unregistered handgun, and theft. All victims were female.")</f>
        <v>Johnson (13 year-old male) stole his parents car and went with Golden (11 year-old male) to his grandparents house where they knew guns were unlocked. Drove to the school, pulled the fire alarm, and fired at the students evacuating. Shooters hid in the bushes/field/forest area next to the school. They had 9 weapons including a 30-06 and .30 M1 carbine and 2000 rounds. They fled the scene in the parent's van but were apprehended by police. Both were known as bullies. Both talked about wanting to be members of "Bloods" street gang but had a "lot of killing to do first". Golden had frequent fights and shot/killed a female students cat. Johnson was sexually abused at age 6 and abused a 3 year old girl when he was 12. Both were released when they turned 21 due to state laws. Johnson was arrested shortly after release for drug possession, unregistered handgun, and theft. All victims were female.</v>
      </c>
      <c r="AA1679" s="5" t="str">
        <f ca="1">IFERROR(__xludf.DUMMYFUNCTION("""COMPUTED_VALUE"""),"Indiscriminate Shooting")</f>
        <v>Indiscriminate Shooting</v>
      </c>
      <c r="AB1679" s="5" t="str">
        <f ca="1">IFERROR(__xludf.DUMMYFUNCTION("""COMPUTED_VALUE"""),"Random Shooting")</f>
        <v>Random Shooting</v>
      </c>
      <c r="AC1679" s="5" t="str">
        <f ca="1">IFERROR(__xludf.DUMMYFUNCTION("""COMPUTED_VALUE"""),"Yes")</f>
        <v>Yes</v>
      </c>
      <c r="AD1679" s="5" t="str">
        <f ca="1">IFERROR(__xludf.DUMMYFUNCTION("""COMPUTED_VALUE"""),"No")</f>
        <v>No</v>
      </c>
      <c r="AE1679" s="5" t="str">
        <f ca="1">IFERROR(__xludf.DUMMYFUNCTION("""COMPUTED_VALUE"""),"No")</f>
        <v>No</v>
      </c>
      <c r="AF1679" s="5" t="str">
        <f ca="1">IFERROR(__xludf.DUMMYFUNCTION("""COMPUTED_VALUE"""),"No")</f>
        <v>No</v>
      </c>
      <c r="AG1679" s="5" t="str">
        <f ca="1">IFERROR(__xludf.DUMMYFUNCTION("""COMPUTED_VALUE"""),"No")</f>
        <v>No</v>
      </c>
      <c r="AH1679" s="5" t="str">
        <f ca="1">IFERROR(__xludf.DUMMYFUNCTION("""COMPUTED_VALUE"""),"No")</f>
        <v>No</v>
      </c>
      <c r="AI1679" s="5" t="str">
        <f ca="1">IFERROR(__xludf.DUMMYFUNCTION("""COMPUTED_VALUE"""),"No")</f>
        <v>No</v>
      </c>
      <c r="AJ1679" s="5" t="str">
        <f ca="1">IFERROR(__xludf.DUMMYFUNCTION("""COMPUTED_VALUE"""),"Yes")</f>
        <v>Yes</v>
      </c>
    </row>
    <row r="1680" spans="1:36" ht="13">
      <c r="A1680" s="5" t="str">
        <f ca="1">IFERROR(__xludf.DUMMYFUNCTION("""COMPUTED_VALUE"""),"19980227VAMAF")</f>
        <v>19980227VAMAF</v>
      </c>
      <c r="B1680" s="5">
        <f ca="1">IFERROR(__xludf.DUMMYFUNCTION("""COMPUTED_VALUE"""),2)</f>
        <v>2</v>
      </c>
      <c r="C1680" s="5">
        <f ca="1">IFERROR(__xludf.DUMMYFUNCTION("""COMPUTED_VALUE"""),27)</f>
        <v>27</v>
      </c>
      <c r="D1680" s="5">
        <f ca="1">IFERROR(__xludf.DUMMYFUNCTION("""COMPUTED_VALUE"""),1998)</f>
        <v>1998</v>
      </c>
      <c r="E1680" s="8">
        <f ca="1">IFERROR(__xludf.DUMMYFUNCTION("""COMPUTED_VALUE"""),35853)</f>
        <v>35853</v>
      </c>
      <c r="F1680" s="5" t="str">
        <f ca="1">IFERROR(__xludf.DUMMYFUNCTION("""COMPUTED_VALUE"""),"Marshall High School")</f>
        <v>Marshall High School</v>
      </c>
      <c r="G1680" s="5">
        <f ca="1">IFERROR(__xludf.DUMMYFUNCTION("""COMPUTED_VALUE"""),1)</f>
        <v>1</v>
      </c>
      <c r="H1680" s="5">
        <f ca="1">IFERROR(__xludf.DUMMYFUNCTION("""COMPUTED_VALUE"""),0)</f>
        <v>0</v>
      </c>
      <c r="I1680" s="5">
        <f ca="1">IFERROR(__xludf.DUMMYFUNCTION("""COMPUTED_VALUE"""),1)</f>
        <v>1</v>
      </c>
      <c r="J1680" s="5">
        <f ca="1">IFERROR(__xludf.DUMMYFUNCTION("""COMPUTED_VALUE"""),0)</f>
        <v>0</v>
      </c>
      <c r="K1680" s="5" t="str">
        <f ca="1">IFERROR(__xludf.DUMMYFUNCTION("""COMPUTED_VALUE"""),"https://www.washingtonpost.com/archive/local/1998/09/19/va-teen-gets-life-for-gang-related-killing-outside-high-school/0e6bbbb7-04c8-4f89-98f7-7419010a70fc/?utm_term=.87aecde2da01 https://www.washingtonpost.com/archive/local/1998/02/28/ex-student-fatally-"&amp;"shot-outside-school/7e6b1b24-e3af-4502-9cca-0072ab5197d7/")</f>
        <v>https://www.washingtonpost.com/archive/local/1998/09/19/va-teen-gets-life-for-gang-related-killing-outside-high-school/0e6bbbb7-04c8-4f89-98f7-7419010a70fc/?utm_term=.87aecde2da01 https://www.washingtonpost.com/archive/local/1998/02/28/ex-student-fatally-shot-outside-school/7e6b1b24-e3af-4502-9cca-0072ab5197d7/</v>
      </c>
      <c r="L1680" s="5"/>
      <c r="M1680" s="5"/>
      <c r="N1680" s="5">
        <f ca="1">IFERROR(__xludf.DUMMYFUNCTION("""COMPUTED_VALUE"""),2)</f>
        <v>2</v>
      </c>
      <c r="O1680" s="5" t="str">
        <f ca="1">IFERROR(__xludf.DUMMYFUNCTION("""COMPUTED_VALUE"""),"Winter")</f>
        <v>Winter</v>
      </c>
      <c r="P1680" s="5" t="str">
        <f ca="1">IFERROR(__xludf.DUMMYFUNCTION("""COMPUTED_VALUE"""),"Fairfax")</f>
        <v>Fairfax</v>
      </c>
      <c r="Q1680" s="5" t="str">
        <f ca="1">IFERROR(__xludf.DUMMYFUNCTION("""COMPUTED_VALUE"""),"VA")</f>
        <v>VA</v>
      </c>
      <c r="R1680" s="5" t="str">
        <f ca="1">IFERROR(__xludf.DUMMYFUNCTION("""COMPUTED_VALUE"""),"High")</f>
        <v>High</v>
      </c>
      <c r="S1680" s="5" t="str">
        <f ca="1">IFERROR(__xludf.DUMMYFUNCTION("""COMPUTED_VALUE"""),"Parking Lot")</f>
        <v>Parking Lot</v>
      </c>
      <c r="T1680" s="5" t="str">
        <f ca="1">IFERROR(__xludf.DUMMYFUNCTION("""COMPUTED_VALUE"""),"Outside on School Property")</f>
        <v>Outside on School Property</v>
      </c>
      <c r="U1680" s="5" t="str">
        <f ca="1">IFERROR(__xludf.DUMMYFUNCTION("""COMPUTED_VALUE"""),"Yes")</f>
        <v>Yes</v>
      </c>
      <c r="V1680" s="5" t="str">
        <f ca="1">IFERROR(__xludf.DUMMYFUNCTION("""COMPUTED_VALUE"""),"Lunch")</f>
        <v>Lunch</v>
      </c>
      <c r="W1680" s="10">
        <f ca="1">IFERROR(__xludf.DUMMYFUNCTION("""COMPUTED_VALUE"""),0.513888888888888)</f>
        <v>0.51388888888888795</v>
      </c>
      <c r="X1680" s="5">
        <f ca="1">IFERROR(__xludf.DUMMYFUNCTION("""COMPUTED_VALUE"""),1)</f>
        <v>1</v>
      </c>
      <c r="Y1680" s="5" t="str">
        <f ca="1">IFERROR(__xludf.DUMMYFUNCTION("""COMPUTED_VALUE"""),"Drive by gang shooting in parking lot")</f>
        <v>Drive by gang shooting in parking lot</v>
      </c>
      <c r="Z1680" s="5" t="str">
        <f ca="1">IFERROR(__xludf.DUMMYFUNCTION("""COMPUTED_VALUE"""),"Argument between 18 year-old female and shooters brother day before shooting. On the day of shooting, 17 year-old male and 18 year-old female student were being chased by another car, then pull into parking lot. Car pulls up next to them with four members"&amp;" of the 'Tiny Rascal Gangsters' inside. One 18 year-old male shooter fired multiple shots killing the 17 year-old male student. Police said the crime was gang related.")</f>
        <v>Argument between 18 year-old female and shooters brother day before shooting. On the day of shooting, 17 year-old male and 18 year-old female student were being chased by another car, then pull into parking lot. Car pulls up next to them with four members of the 'Tiny Rascal Gangsters' inside. One 18 year-old male shooter fired multiple shots killing the 17 year-old male student. Police said the crime was gang related.</v>
      </c>
      <c r="AA1680" s="5" t="str">
        <f ca="1">IFERROR(__xludf.DUMMYFUNCTION("""COMPUTED_VALUE"""),"Drive-by Shooting")</f>
        <v>Drive-by Shooting</v>
      </c>
      <c r="AB1680" s="5" t="str">
        <f ca="1">IFERROR(__xludf.DUMMYFUNCTION("""COMPUTED_VALUE"""),"Victims Targeted")</f>
        <v>Victims Targeted</v>
      </c>
      <c r="AC1680" s="5" t="str">
        <f ca="1">IFERROR(__xludf.DUMMYFUNCTION("""COMPUTED_VALUE"""),"Yes")</f>
        <v>Yes</v>
      </c>
      <c r="AD1680" s="5" t="str">
        <f ca="1">IFERROR(__xludf.DUMMYFUNCTION("""COMPUTED_VALUE"""),"No")</f>
        <v>No</v>
      </c>
      <c r="AE1680" s="5" t="str">
        <f ca="1">IFERROR(__xludf.DUMMYFUNCTION("""COMPUTED_VALUE"""),"No")</f>
        <v>No</v>
      </c>
      <c r="AF1680" s="5" t="str">
        <f ca="1">IFERROR(__xludf.DUMMYFUNCTION("""COMPUTED_VALUE"""),"No")</f>
        <v>No</v>
      </c>
      <c r="AG1680" s="5" t="str">
        <f ca="1">IFERROR(__xludf.DUMMYFUNCTION("""COMPUTED_VALUE"""),"No")</f>
        <v>No</v>
      </c>
      <c r="AH1680" s="5" t="str">
        <f ca="1">IFERROR(__xludf.DUMMYFUNCTION("""COMPUTED_VALUE"""),"No")</f>
        <v>No</v>
      </c>
      <c r="AI1680" s="5" t="str">
        <f ca="1">IFERROR(__xludf.DUMMYFUNCTION("""COMPUTED_VALUE"""),"Yes")</f>
        <v>Yes</v>
      </c>
      <c r="AJ1680" s="5"/>
    </row>
    <row r="1681" spans="1:36" ht="13">
      <c r="A1681" s="5" t="str">
        <f ca="1">IFERROR(__xludf.DUMMYFUNCTION("""COMPUTED_VALUE"""),"19980225MIRER")</f>
        <v>19980225MIRER</v>
      </c>
      <c r="B1681" s="5">
        <f ca="1">IFERROR(__xludf.DUMMYFUNCTION("""COMPUTED_VALUE"""),2)</f>
        <v>2</v>
      </c>
      <c r="C1681" s="5">
        <f ca="1">IFERROR(__xludf.DUMMYFUNCTION("""COMPUTED_VALUE"""),25)</f>
        <v>25</v>
      </c>
      <c r="D1681" s="5">
        <f ca="1">IFERROR(__xludf.DUMMYFUNCTION("""COMPUTED_VALUE"""),1998)</f>
        <v>1998</v>
      </c>
      <c r="E1681" s="8">
        <f ca="1">IFERROR(__xludf.DUMMYFUNCTION("""COMPUTED_VALUE"""),35851)</f>
        <v>35851</v>
      </c>
      <c r="F1681" s="5" t="str">
        <f ca="1">IFERROR(__xludf.DUMMYFUNCTION("""COMPUTED_VALUE"""),"Reed City High School")</f>
        <v>Reed City High School</v>
      </c>
      <c r="G1681" s="5">
        <f ca="1">IFERROR(__xludf.DUMMYFUNCTION("""COMPUTED_VALUE"""),0)</f>
        <v>0</v>
      </c>
      <c r="H1681" s="5">
        <f ca="1">IFERROR(__xludf.DUMMYFUNCTION("""COMPUTED_VALUE"""),0)</f>
        <v>0</v>
      </c>
      <c r="I1681" s="5">
        <f ca="1">IFERROR(__xludf.DUMMYFUNCTION("""COMPUTED_VALUE"""),0)</f>
        <v>0</v>
      </c>
      <c r="J1681" s="5">
        <f ca="1">IFERROR(__xludf.DUMMYFUNCTION("""COMPUTED_VALUE"""),1)</f>
        <v>1</v>
      </c>
      <c r="K1681" s="9" t="str">
        <f ca="1">IFERROR(__xludf.DUMMYFUNCTION("""COMPUTED_VALUE"""),"https://cmuhistory.cmich.edu/?a=d&amp;d=IsabellaCML19980227.1.2&amp;")</f>
        <v>https://cmuhistory.cmich.edu/?a=d&amp;d=IsabellaCML19980227.1.2&amp;</v>
      </c>
      <c r="L1681" s="5"/>
      <c r="M1681" s="5"/>
      <c r="N1681" s="5">
        <f ca="1">IFERROR(__xludf.DUMMYFUNCTION("""COMPUTED_VALUE"""),2)</f>
        <v>2</v>
      </c>
      <c r="O1681" s="5" t="str">
        <f ca="1">IFERROR(__xludf.DUMMYFUNCTION("""COMPUTED_VALUE"""),"Winter")</f>
        <v>Winter</v>
      </c>
      <c r="P1681" s="5" t="str">
        <f ca="1">IFERROR(__xludf.DUMMYFUNCTION("""COMPUTED_VALUE"""),"Reed City")</f>
        <v>Reed City</v>
      </c>
      <c r="Q1681" s="5" t="str">
        <f ca="1">IFERROR(__xludf.DUMMYFUNCTION("""COMPUTED_VALUE"""),"MI")</f>
        <v>MI</v>
      </c>
      <c r="R1681" s="5" t="str">
        <f ca="1">IFERROR(__xludf.DUMMYFUNCTION("""COMPUTED_VALUE"""),"High")</f>
        <v>High</v>
      </c>
      <c r="S1681" s="5" t="str">
        <f ca="1">IFERROR(__xludf.DUMMYFUNCTION("""COMPUTED_VALUE"""),"Hallway")</f>
        <v>Hallway</v>
      </c>
      <c r="T1681" s="5" t="str">
        <f ca="1">IFERROR(__xludf.DUMMYFUNCTION("""COMPUTED_VALUE"""),"Inside School Building")</f>
        <v>Inside School Building</v>
      </c>
      <c r="U1681" s="5" t="str">
        <f ca="1">IFERROR(__xludf.DUMMYFUNCTION("""COMPUTED_VALUE"""),"Yes")</f>
        <v>Yes</v>
      </c>
      <c r="V1681" s="5" t="str">
        <f ca="1">IFERROR(__xludf.DUMMYFUNCTION("""COMPUTED_VALUE"""),"School Start")</f>
        <v>School Start</v>
      </c>
      <c r="W1681" s="10">
        <f ca="1">IFERROR(__xludf.DUMMYFUNCTION("""COMPUTED_VALUE"""),0.333333333333333)</f>
        <v>0.33333333333333298</v>
      </c>
      <c r="X1681" s="5">
        <f ca="1">IFERROR(__xludf.DUMMYFUNCTION("""COMPUTED_VALUE"""),1)</f>
        <v>1</v>
      </c>
      <c r="Y1681" s="5" t="str">
        <f ca="1">IFERROR(__xludf.DUMMYFUNCTION("""COMPUTED_VALUE"""),"Commit suicide in school hallway")</f>
        <v>Commit suicide in school hallway</v>
      </c>
      <c r="Z1681" s="5" t="str">
        <f ca="1">IFERROR(__xludf.DUMMYFUNCTION("""COMPUTED_VALUE"""),"14 year-old male student was standing around in the hallway joking around with friends. Reached into his locker and took out a rifle, then shot himself in the head. Rifle was hidden in a guitar case. Had told his classmates something big would happen that"&amp;" day.")</f>
        <v>14 year-old male student was standing around in the hallway joking around with friends. Reached into his locker and took out a rifle, then shot himself in the head. Rifle was hidden in a guitar case. Had told his classmates something big would happen that day.</v>
      </c>
      <c r="AA1681" s="5" t="str">
        <f ca="1">IFERROR(__xludf.DUMMYFUNCTION("""COMPUTED_VALUE"""),"Suicide/Attempted")</f>
        <v>Suicide/Attempted</v>
      </c>
      <c r="AB1681" s="5" t="str">
        <f ca="1">IFERROR(__xludf.DUMMYFUNCTION("""COMPUTED_VALUE"""),"Victims Targeted")</f>
        <v>Victims Targeted</v>
      </c>
      <c r="AC1681" s="5" t="str">
        <f ca="1">IFERROR(__xludf.DUMMYFUNCTION("""COMPUTED_VALUE"""),"No")</f>
        <v>No</v>
      </c>
      <c r="AD1681" s="5" t="str">
        <f ca="1">IFERROR(__xludf.DUMMYFUNCTION("""COMPUTED_VALUE"""),"No")</f>
        <v>No</v>
      </c>
      <c r="AE1681" s="5" t="str">
        <f ca="1">IFERROR(__xludf.DUMMYFUNCTION("""COMPUTED_VALUE"""),"No")</f>
        <v>No</v>
      </c>
      <c r="AF1681" s="5" t="str">
        <f ca="1">IFERROR(__xludf.DUMMYFUNCTION("""COMPUTED_VALUE"""),"No")</f>
        <v>No</v>
      </c>
      <c r="AG1681" s="5"/>
      <c r="AH1681" s="5" t="str">
        <f ca="1">IFERROR(__xludf.DUMMYFUNCTION("""COMPUTED_VALUE"""),"No")</f>
        <v>No</v>
      </c>
      <c r="AI1681" s="5" t="str">
        <f ca="1">IFERROR(__xludf.DUMMYFUNCTION("""COMPUTED_VALUE"""),"No")</f>
        <v>No</v>
      </c>
      <c r="AJ1681" s="5"/>
    </row>
    <row r="1682" spans="1:36" ht="13">
      <c r="A1682" s="5" t="str">
        <f ca="1">IFERROR(__xludf.DUMMYFUNCTION("""COMPUTED_VALUE"""),"19980212NJHOH")</f>
        <v>19980212NJHOH</v>
      </c>
      <c r="B1682" s="5">
        <f ca="1">IFERROR(__xludf.DUMMYFUNCTION("""COMPUTED_VALUE"""),2)</f>
        <v>2</v>
      </c>
      <c r="C1682" s="5">
        <f ca="1">IFERROR(__xludf.DUMMYFUNCTION("""COMPUTED_VALUE"""),12)</f>
        <v>12</v>
      </c>
      <c r="D1682" s="5">
        <f ca="1">IFERROR(__xludf.DUMMYFUNCTION("""COMPUTED_VALUE"""),1998)</f>
        <v>1998</v>
      </c>
      <c r="E1682" s="8">
        <f ca="1">IFERROR(__xludf.DUMMYFUNCTION("""COMPUTED_VALUE"""),35838)</f>
        <v>35838</v>
      </c>
      <c r="F1682" s="5" t="str">
        <f ca="1">IFERROR(__xludf.DUMMYFUNCTION("""COMPUTED_VALUE"""),"Hoboken High School")</f>
        <v>Hoboken High School</v>
      </c>
      <c r="G1682" s="5">
        <f ca="1">IFERROR(__xludf.DUMMYFUNCTION("""COMPUTED_VALUE"""),1)</f>
        <v>1</v>
      </c>
      <c r="H1682" s="5">
        <f ca="1">IFERROR(__xludf.DUMMYFUNCTION("""COMPUTED_VALUE"""),0)</f>
        <v>0</v>
      </c>
      <c r="I1682" s="5">
        <f ca="1">IFERROR(__xludf.DUMMYFUNCTION("""COMPUTED_VALUE"""),1)</f>
        <v>1</v>
      </c>
      <c r="J1682" s="5">
        <f ca="1">IFERROR(__xludf.DUMMYFUNCTION("""COMPUTED_VALUE"""),1)</f>
        <v>1</v>
      </c>
      <c r="K1682" s="5" t="str">
        <f ca="1">IFERROR(__xludf.DUMMYFUNCTION("""COMPUTED_VALUE"""),"https://www.nytimes.com/1998/02/13/nyregion/gunman-kills-teacher-then-himself-outside-hoboken-high.html https://www.nytimes.com/1998/02/17/nyregion/killer-s-last-call-to-teacher-was-apology-for-harassment.html")</f>
        <v>https://www.nytimes.com/1998/02/13/nyregion/gunman-kills-teacher-then-himself-outside-hoboken-high.html https://www.nytimes.com/1998/02/17/nyregion/killer-s-last-call-to-teacher-was-apology-for-harassment.html</v>
      </c>
      <c r="L1682" s="5"/>
      <c r="M1682" s="5"/>
      <c r="N1682" s="5">
        <f ca="1">IFERROR(__xludf.DUMMYFUNCTION("""COMPUTED_VALUE"""),3)</f>
        <v>3</v>
      </c>
      <c r="O1682" s="5" t="str">
        <f ca="1">IFERROR(__xludf.DUMMYFUNCTION("""COMPUTED_VALUE"""),"Winter")</f>
        <v>Winter</v>
      </c>
      <c r="P1682" s="5" t="str">
        <f ca="1">IFERROR(__xludf.DUMMYFUNCTION("""COMPUTED_VALUE"""),"Hoboken")</f>
        <v>Hoboken</v>
      </c>
      <c r="Q1682" s="5" t="str">
        <f ca="1">IFERROR(__xludf.DUMMYFUNCTION("""COMPUTED_VALUE"""),"NJ")</f>
        <v>NJ</v>
      </c>
      <c r="R1682" s="5" t="str">
        <f ca="1">IFERROR(__xludf.DUMMYFUNCTION("""COMPUTED_VALUE"""),"High")</f>
        <v>High</v>
      </c>
      <c r="S1682" s="5" t="str">
        <f ca="1">IFERROR(__xludf.DUMMYFUNCTION("""COMPUTED_VALUE"""),"Parking Lot")</f>
        <v>Parking Lot</v>
      </c>
      <c r="T1682" s="5" t="str">
        <f ca="1">IFERROR(__xludf.DUMMYFUNCTION("""COMPUTED_VALUE"""),"Outside on School Property")</f>
        <v>Outside on School Property</v>
      </c>
      <c r="U1682" s="5" t="str">
        <f ca="1">IFERROR(__xludf.DUMMYFUNCTION("""COMPUTED_VALUE"""),"No")</f>
        <v>No</v>
      </c>
      <c r="V1682" s="5" t="str">
        <f ca="1">IFERROR(__xludf.DUMMYFUNCTION("""COMPUTED_VALUE"""),"After School")</f>
        <v>After School</v>
      </c>
      <c r="W1682" s="10">
        <f ca="1">IFERROR(__xludf.DUMMYFUNCTION("""COMPUTED_VALUE"""),0.631944444444444)</f>
        <v>0.63194444444444398</v>
      </c>
      <c r="X1682" s="5">
        <f ca="1">IFERROR(__xludf.DUMMYFUNCTION("""COMPUTED_VALUE"""),1)</f>
        <v>1</v>
      </c>
      <c r="Y1682" s="5" t="str">
        <f ca="1">IFERROR(__xludf.DUMMYFUNCTION("""COMPUTED_VALUE"""),"Shooter believed teacher was having affair with his wife, killed teacher and commited suicide.")</f>
        <v>Shooter believed teacher was having affair with his wife, killed teacher and commited suicide.</v>
      </c>
      <c r="Z1682" s="5" t="str">
        <f ca="1">IFERROR(__xludf.DUMMYFUNCTION("""COMPUTED_VALUE"""),"48 year-old male teacher shot 4 times in the parking lot. 61 year-old male shooter then killed self in nearby park. Shooter believe the teacher was having an affair with his wife. Shooter had reportedly been harassing and stalking victim for a year leadin"&amp;"g up to the shooting.")</f>
        <v>48 year-old male teacher shot 4 times in the parking lot. 61 year-old male shooter then killed self in nearby park. Shooter believe the teacher was having an affair with his wife. Shooter had reportedly been harassing and stalking victim for a year leading up to the shooting.</v>
      </c>
      <c r="AA1682" s="5" t="str">
        <f ca="1">IFERROR(__xludf.DUMMYFUNCTION("""COMPUTED_VALUE"""),"Domestic w/ Targeted Victim")</f>
        <v>Domestic w/ Targeted Victim</v>
      </c>
      <c r="AB1682" s="5" t="str">
        <f ca="1">IFERROR(__xludf.DUMMYFUNCTION("""COMPUTED_VALUE"""),"Victims Targeted")</f>
        <v>Victims Targeted</v>
      </c>
      <c r="AC1682" s="5" t="str">
        <f ca="1">IFERROR(__xludf.DUMMYFUNCTION("""COMPUTED_VALUE"""),"No")</f>
        <v>No</v>
      </c>
      <c r="AD1682" s="5" t="str">
        <f ca="1">IFERROR(__xludf.DUMMYFUNCTION("""COMPUTED_VALUE"""),"No")</f>
        <v>No</v>
      </c>
      <c r="AE1682" s="5" t="str">
        <f ca="1">IFERROR(__xludf.DUMMYFUNCTION("""COMPUTED_VALUE"""),"No")</f>
        <v>No</v>
      </c>
      <c r="AF1682" s="5" t="str">
        <f ca="1">IFERROR(__xludf.DUMMYFUNCTION("""COMPUTED_VALUE"""),"No")</f>
        <v>No</v>
      </c>
      <c r="AG1682" s="5" t="str">
        <f ca="1">IFERROR(__xludf.DUMMYFUNCTION("""COMPUTED_VALUE"""),"No")</f>
        <v>No</v>
      </c>
      <c r="AH1682" s="5" t="str">
        <f ca="1">IFERROR(__xludf.DUMMYFUNCTION("""COMPUTED_VALUE"""),"Yes")</f>
        <v>Yes</v>
      </c>
      <c r="AI1682" s="5" t="str">
        <f ca="1">IFERROR(__xludf.DUMMYFUNCTION("""COMPUTED_VALUE"""),"No")</f>
        <v>No</v>
      </c>
      <c r="AJ1682" s="5"/>
    </row>
    <row r="1683" spans="1:36" ht="13">
      <c r="A1683" s="5" t="str">
        <f ca="1">IFERROR(__xludf.DUMMYFUNCTION("""COMPUTED_VALUE"""),"19971215ARSTS")</f>
        <v>19971215ARSTS</v>
      </c>
      <c r="B1683" s="5">
        <f ca="1">IFERROR(__xludf.DUMMYFUNCTION("""COMPUTED_VALUE"""),12)</f>
        <v>12</v>
      </c>
      <c r="C1683" s="5">
        <f ca="1">IFERROR(__xludf.DUMMYFUNCTION("""COMPUTED_VALUE"""),15)</f>
        <v>15</v>
      </c>
      <c r="D1683" s="5">
        <f ca="1">IFERROR(__xludf.DUMMYFUNCTION("""COMPUTED_VALUE"""),1997)</f>
        <v>1997</v>
      </c>
      <c r="E1683" s="8">
        <f ca="1">IFERROR(__xludf.DUMMYFUNCTION("""COMPUTED_VALUE"""),35779)</f>
        <v>35779</v>
      </c>
      <c r="F1683" s="5" t="str">
        <f ca="1">IFERROR(__xludf.DUMMYFUNCTION("""COMPUTED_VALUE"""),"Stamps High School")</f>
        <v>Stamps High School</v>
      </c>
      <c r="G1683" s="5">
        <f ca="1">IFERROR(__xludf.DUMMYFUNCTION("""COMPUTED_VALUE"""),0)</f>
        <v>0</v>
      </c>
      <c r="H1683" s="5">
        <f ca="1">IFERROR(__xludf.DUMMYFUNCTION("""COMPUTED_VALUE"""),2)</f>
        <v>2</v>
      </c>
      <c r="I1683" s="5">
        <f ca="1">IFERROR(__xludf.DUMMYFUNCTION("""COMPUTED_VALUE"""),2)</f>
        <v>2</v>
      </c>
      <c r="J1683" s="5">
        <f ca="1">IFERROR(__xludf.DUMMYFUNCTION("""COMPUTED_VALUE"""),0)</f>
        <v>0</v>
      </c>
      <c r="K1683" s="9" t="str">
        <f ca="1">IFERROR(__xludf.DUMMYFUNCTION("""COMPUTED_VALUE"""),"http://www.cnn.com/US/9712/19/school.shooting/")</f>
        <v>http://www.cnn.com/US/9712/19/school.shooting/</v>
      </c>
      <c r="L1683" s="5"/>
      <c r="M1683" s="5"/>
      <c r="N1683" s="5">
        <f ca="1">IFERROR(__xludf.DUMMYFUNCTION("""COMPUTED_VALUE"""),2)</f>
        <v>2</v>
      </c>
      <c r="O1683" s="5" t="str">
        <f ca="1">IFERROR(__xludf.DUMMYFUNCTION("""COMPUTED_VALUE"""),"Winter")</f>
        <v>Winter</v>
      </c>
      <c r="P1683" s="5" t="str">
        <f ca="1">IFERROR(__xludf.DUMMYFUNCTION("""COMPUTED_VALUE"""),"Stamps")</f>
        <v>Stamps</v>
      </c>
      <c r="Q1683" s="5" t="str">
        <f ca="1">IFERROR(__xludf.DUMMYFUNCTION("""COMPUTED_VALUE"""),"AR")</f>
        <v>AR</v>
      </c>
      <c r="R1683" s="5" t="str">
        <f ca="1">IFERROR(__xludf.DUMMYFUNCTION("""COMPUTED_VALUE"""),"High")</f>
        <v>High</v>
      </c>
      <c r="S1683" s="5" t="str">
        <f ca="1">IFERROR(__xludf.DUMMYFUNCTION("""COMPUTED_VALUE"""),"Parking Lot")</f>
        <v>Parking Lot</v>
      </c>
      <c r="T1683" s="5" t="str">
        <f ca="1">IFERROR(__xludf.DUMMYFUNCTION("""COMPUTED_VALUE"""),"Outside on School Property")</f>
        <v>Outside on School Property</v>
      </c>
      <c r="U1683" s="5" t="str">
        <f ca="1">IFERROR(__xludf.DUMMYFUNCTION("""COMPUTED_VALUE"""),"Yes")</f>
        <v>Yes</v>
      </c>
      <c r="V1683" s="5"/>
      <c r="W1683" s="5"/>
      <c r="X1683" s="5"/>
      <c r="Y1683" s="5" t="str">
        <f ca="1">IFERROR(__xludf.DUMMYFUNCTION("""COMPUTED_VALUE"""),"Planned attack, fired at random students from the woods near the school")</f>
        <v>Planned attack, fired at random students from the woods near the school</v>
      </c>
      <c r="Z1683" s="5" t="str">
        <f ca="1">IFERROR(__xludf.DUMMYFUNCTION("""COMPUTED_VALUE"""),"14 year-old shooter fired from the woods at random students walking in the parking lot with a .22 rifle. Two students were struck and sustained minor injuries. Police dogs tracked the shooter back to house where he was arrested. Shooter said he wanted to "&amp;"target random people to cause pain.")</f>
        <v>14 year-old shooter fired from the woods at random students walking in the parking lot with a .22 rifle. Two students were struck and sustained minor injuries. Police dogs tracked the shooter back to house where he was arrested. Shooter said he wanted to target random people to cause pain.</v>
      </c>
      <c r="AA1683" s="5" t="str">
        <f ca="1">IFERROR(__xludf.DUMMYFUNCTION("""COMPUTED_VALUE"""),"Indiscriminate Shooting")</f>
        <v>Indiscriminate Shooting</v>
      </c>
      <c r="AB1683" s="5" t="str">
        <f ca="1">IFERROR(__xludf.DUMMYFUNCTION("""COMPUTED_VALUE"""),"Random Shooting")</f>
        <v>Random Shooting</v>
      </c>
      <c r="AC1683" s="5" t="str">
        <f ca="1">IFERROR(__xludf.DUMMYFUNCTION("""COMPUTED_VALUE"""),"No")</f>
        <v>No</v>
      </c>
      <c r="AD1683" s="5" t="str">
        <f ca="1">IFERROR(__xludf.DUMMYFUNCTION("""COMPUTED_VALUE"""),"No")</f>
        <v>No</v>
      </c>
      <c r="AE1683" s="5" t="str">
        <f ca="1">IFERROR(__xludf.DUMMYFUNCTION("""COMPUTED_VALUE"""),"No")</f>
        <v>No</v>
      </c>
      <c r="AF1683" s="5" t="str">
        <f ca="1">IFERROR(__xludf.DUMMYFUNCTION("""COMPUTED_VALUE"""),"No")</f>
        <v>No</v>
      </c>
      <c r="AG1683" s="5"/>
      <c r="AH1683" s="5" t="str">
        <f ca="1">IFERROR(__xludf.DUMMYFUNCTION("""COMPUTED_VALUE"""),"No")</f>
        <v>No</v>
      </c>
      <c r="AI1683" s="5" t="str">
        <f ca="1">IFERROR(__xludf.DUMMYFUNCTION("""COMPUTED_VALUE"""),"No")</f>
        <v>No</v>
      </c>
      <c r="AJ1683" s="5" t="str">
        <f ca="1">IFERROR(__xludf.DUMMYFUNCTION("""COMPUTED_VALUE"""),"Yes")</f>
        <v>Yes</v>
      </c>
    </row>
    <row r="1684" spans="1:36" ht="13">
      <c r="A1684" s="5" t="str">
        <f ca="1">IFERROR(__xludf.DUMMYFUNCTION("""COMPUTED_VALUE"""),"19971201KYHEW")</f>
        <v>19971201KYHEW</v>
      </c>
      <c r="B1684" s="5">
        <f ca="1">IFERROR(__xludf.DUMMYFUNCTION("""COMPUTED_VALUE"""),12)</f>
        <v>12</v>
      </c>
      <c r="C1684" s="5">
        <f ca="1">IFERROR(__xludf.DUMMYFUNCTION("""COMPUTED_VALUE"""),1)</f>
        <v>1</v>
      </c>
      <c r="D1684" s="5">
        <f ca="1">IFERROR(__xludf.DUMMYFUNCTION("""COMPUTED_VALUE"""),1997)</f>
        <v>1997</v>
      </c>
      <c r="E1684" s="8">
        <f ca="1">IFERROR(__xludf.DUMMYFUNCTION("""COMPUTED_VALUE"""),35765)</f>
        <v>35765</v>
      </c>
      <c r="F1684" s="5" t="str">
        <f ca="1">IFERROR(__xludf.DUMMYFUNCTION("""COMPUTED_VALUE"""),"Heath High School")</f>
        <v>Heath High School</v>
      </c>
      <c r="G1684" s="5">
        <f ca="1">IFERROR(__xludf.DUMMYFUNCTION("""COMPUTED_VALUE"""),3)</f>
        <v>3</v>
      </c>
      <c r="H1684" s="5">
        <f ca="1">IFERROR(__xludf.DUMMYFUNCTION("""COMPUTED_VALUE"""),5)</f>
        <v>5</v>
      </c>
      <c r="I1684" s="5">
        <f ca="1">IFERROR(__xludf.DUMMYFUNCTION("""COMPUTED_VALUE"""),8)</f>
        <v>8</v>
      </c>
      <c r="J1684" s="5">
        <f ca="1">IFERROR(__xludf.DUMMYFUNCTION("""COMPUTED_VALUE"""),0)</f>
        <v>0</v>
      </c>
      <c r="K1684" s="9" t="str">
        <f ca="1">IFERROR(__xludf.DUMMYFUNCTION("""COMPUTED_VALUE"""),"https://www.theatlantic.com/national/archive/2012/12/memories-of-a-school-shooting-paducah-kentucky-1997/266358/ https://www.history.com/this-day-in-history/a-young-murderer-is-indicted
https://www.washingtonpost.com/nation/2022/08/28/school-shooting-padu"&amp;"cah-kentucky-michael-carneal-parole/")</f>
        <v>https://www.theatlantic.com/national/archive/2012/12/memories-of-a-school-shooting-paducah-kentucky-1997/266358/ https://www.history.com/this-day-in-history/a-young-murderer-is-indicted
https://www.washingtonpost.com/nation/2022/08/28/school-shooting-paducah-kentucky-michael-carneal-parole/</v>
      </c>
      <c r="L1684" s="5"/>
      <c r="M1684" s="5" t="str">
        <f ca="1">IFERROR(__xludf.DUMMYFUNCTION("""COMPUTED_VALUE"""),"National")</f>
        <v>National</v>
      </c>
      <c r="N1684" s="5">
        <f ca="1">IFERROR(__xludf.DUMMYFUNCTION("""COMPUTED_VALUE"""),4)</f>
        <v>4</v>
      </c>
      <c r="O1684" s="5" t="str">
        <f ca="1">IFERROR(__xludf.DUMMYFUNCTION("""COMPUTED_VALUE"""),"Winter")</f>
        <v>Winter</v>
      </c>
      <c r="P1684" s="5" t="str">
        <f ca="1">IFERROR(__xludf.DUMMYFUNCTION("""COMPUTED_VALUE"""),"West Paducah")</f>
        <v>West Paducah</v>
      </c>
      <c r="Q1684" s="5" t="str">
        <f ca="1">IFERROR(__xludf.DUMMYFUNCTION("""COMPUTED_VALUE"""),"KY")</f>
        <v>KY</v>
      </c>
      <c r="R1684" s="5" t="str">
        <f ca="1">IFERROR(__xludf.DUMMYFUNCTION("""COMPUTED_VALUE"""),"High")</f>
        <v>High</v>
      </c>
      <c r="S1684" s="5" t="str">
        <f ca="1">IFERROR(__xludf.DUMMYFUNCTION("""COMPUTED_VALUE"""),"Entryway")</f>
        <v>Entryway</v>
      </c>
      <c r="T1684" s="5" t="str">
        <f ca="1">IFERROR(__xludf.DUMMYFUNCTION("""COMPUTED_VALUE"""),"Outside on School Property")</f>
        <v>Outside on School Property</v>
      </c>
      <c r="U1684" s="5" t="str">
        <f ca="1">IFERROR(__xludf.DUMMYFUNCTION("""COMPUTED_VALUE"""),"Yes")</f>
        <v>Yes</v>
      </c>
      <c r="V1684" s="5" t="str">
        <f ca="1">IFERROR(__xludf.DUMMYFUNCTION("""COMPUTED_VALUE"""),"Before School")</f>
        <v>Before School</v>
      </c>
      <c r="W1684" s="10">
        <f ca="1">IFERROR(__xludf.DUMMYFUNCTION("""COMPUTED_VALUE"""),0.322916666666666)</f>
        <v>0.32291666666666602</v>
      </c>
      <c r="X1684" s="5"/>
      <c r="Y1684" s="5" t="str">
        <f ca="1">IFERROR(__xludf.DUMMYFUNCTION("""COMPUTED_VALUE"""),"Planned attack, fired at multiple students in front of school then sat down and surrendered")</f>
        <v>Planned attack, fired at multiple students in front of school then sat down and surrendered</v>
      </c>
      <c r="Z1684" s="5" t="str">
        <f ca="1">IFERROR(__xludf.DUMMYFUNCTION("""COMPUTED_VALUE"""),"14 year-old shooter took a rifle, shotgun, and .22 pistol to school wrapped in blankets saying it was an art project. He stopped at a prayer circle, took out the pistol, and fired 8 shots killing 3 and wounding 5. He then put the pistol down and stood the"&amp;"re until confronted by school officials. He said ""please kill me, I can't believe what I've done"". Sent to mental health institution where he was diagnosed with schizotypal personality disorder and later paranoid schizophrenia. Shooter had brought a gun"&amp;" to school previously that was taken away by another student. Shooter had stolen guns from a neighbors garage. Shooter warned that something big was going to happen on Monday but students didn't believe him.")</f>
        <v>14 year-old shooter took a rifle, shotgun, and .22 pistol to school wrapped in blankets saying it was an art project. He stopped at a prayer circle, took out the pistol, and fired 8 shots killing 3 and wounding 5. He then put the pistol down and stood there until confronted by school officials. He said "please kill me, I can't believe what I've done". Sent to mental health institution where he was diagnosed with schizotypal personality disorder and later paranoid schizophrenia. Shooter had brought a gun to school previously that was taken away by another student. Shooter had stolen guns from a neighbors garage. Shooter warned that something big was going to happen on Monday but students didn't believe him.</v>
      </c>
      <c r="AA1684" s="5" t="str">
        <f ca="1">IFERROR(__xludf.DUMMYFUNCTION("""COMPUTED_VALUE"""),"Indiscriminate Shooting")</f>
        <v>Indiscriminate Shooting</v>
      </c>
      <c r="AB1684" s="5" t="str">
        <f ca="1">IFERROR(__xludf.DUMMYFUNCTION("""COMPUTED_VALUE"""),"Random Shooting")</f>
        <v>Random Shooting</v>
      </c>
      <c r="AC1684" s="5" t="str">
        <f ca="1">IFERROR(__xludf.DUMMYFUNCTION("""COMPUTED_VALUE"""),"No")</f>
        <v>No</v>
      </c>
      <c r="AD1684" s="5" t="str">
        <f ca="1">IFERROR(__xludf.DUMMYFUNCTION("""COMPUTED_VALUE"""),"No")</f>
        <v>No</v>
      </c>
      <c r="AE1684" s="5" t="str">
        <f ca="1">IFERROR(__xludf.DUMMYFUNCTION("""COMPUTED_VALUE"""),"No")</f>
        <v>No</v>
      </c>
      <c r="AF1684" s="5" t="str">
        <f ca="1">IFERROR(__xludf.DUMMYFUNCTION("""COMPUTED_VALUE"""),"No")</f>
        <v>No</v>
      </c>
      <c r="AG1684" s="5" t="str">
        <f ca="1">IFERROR(__xludf.DUMMYFUNCTION("""COMPUTED_VALUE"""),"Yes")</f>
        <v>Yes</v>
      </c>
      <c r="AH1684" s="5" t="str">
        <f ca="1">IFERROR(__xludf.DUMMYFUNCTION("""COMPUTED_VALUE"""),"No")</f>
        <v>No</v>
      </c>
      <c r="AI1684" s="5" t="str">
        <f ca="1">IFERROR(__xludf.DUMMYFUNCTION("""COMPUTED_VALUE"""),"No")</f>
        <v>No</v>
      </c>
      <c r="AJ1684" s="5" t="str">
        <f ca="1">IFERROR(__xludf.DUMMYFUNCTION("""COMPUTED_VALUE"""),"Yes")</f>
        <v>Yes</v>
      </c>
    </row>
    <row r="1685" spans="1:36" ht="13">
      <c r="A1685" s="5" t="str">
        <f ca="1">IFERROR(__xludf.DUMMYFUNCTION("""COMPUTED_VALUE"""),"19971113CACRS")</f>
        <v>19971113CACRS</v>
      </c>
      <c r="B1685" s="5">
        <f ca="1">IFERROR(__xludf.DUMMYFUNCTION("""COMPUTED_VALUE"""),11)</f>
        <v>11</v>
      </c>
      <c r="C1685" s="5">
        <f ca="1">IFERROR(__xludf.DUMMYFUNCTION("""COMPUTED_VALUE"""),13)</f>
        <v>13</v>
      </c>
      <c r="D1685" s="5">
        <f ca="1">IFERROR(__xludf.DUMMYFUNCTION("""COMPUTED_VALUE"""),1997)</f>
        <v>1997</v>
      </c>
      <c r="E1685" s="8">
        <f ca="1">IFERROR(__xludf.DUMMYFUNCTION("""COMPUTED_VALUE"""),35747)</f>
        <v>35747</v>
      </c>
      <c r="F1685" s="5" t="str">
        <f ca="1">IFERROR(__xludf.DUMMYFUNCTION("""COMPUTED_VALUE"""),"Creekside Elementary School")</f>
        <v>Creekside Elementary School</v>
      </c>
      <c r="G1685" s="5">
        <f ca="1">IFERROR(__xludf.DUMMYFUNCTION("""COMPUTED_VALUE"""),1)</f>
        <v>1</v>
      </c>
      <c r="H1685" s="5">
        <f ca="1">IFERROR(__xludf.DUMMYFUNCTION("""COMPUTED_VALUE"""),0)</f>
        <v>0</v>
      </c>
      <c r="I1685" s="5">
        <f ca="1">IFERROR(__xludf.DUMMYFUNCTION("""COMPUTED_VALUE"""),1)</f>
        <v>1</v>
      </c>
      <c r="J1685" s="5">
        <f ca="1">IFERROR(__xludf.DUMMYFUNCTION("""COMPUTED_VALUE"""),0)</f>
        <v>0</v>
      </c>
      <c r="K1685" s="9" t="str">
        <f ca="1">IFERROR(__xludf.DUMMYFUNCTION("""COMPUTED_VALUE"""),"https://www.apnews.com/4875a8815b27a22d306a61ab83a97d26")</f>
        <v>https://www.apnews.com/4875a8815b27a22d306a61ab83a97d26</v>
      </c>
      <c r="L1685" s="5"/>
      <c r="M1685" s="5"/>
      <c r="N1685" s="5">
        <f ca="1">IFERROR(__xludf.DUMMYFUNCTION("""COMPUTED_VALUE"""),2)</f>
        <v>2</v>
      </c>
      <c r="O1685" s="5" t="str">
        <f ca="1">IFERROR(__xludf.DUMMYFUNCTION("""COMPUTED_VALUE"""),"Fall")</f>
        <v>Fall</v>
      </c>
      <c r="P1685" s="5" t="str">
        <f ca="1">IFERROR(__xludf.DUMMYFUNCTION("""COMPUTED_VALUE"""),"Sacramento")</f>
        <v>Sacramento</v>
      </c>
      <c r="Q1685" s="5" t="str">
        <f ca="1">IFERROR(__xludf.DUMMYFUNCTION("""COMPUTED_VALUE"""),"CA")</f>
        <v>CA</v>
      </c>
      <c r="R1685" s="5" t="str">
        <f ca="1">IFERROR(__xludf.DUMMYFUNCTION("""COMPUTED_VALUE"""),"Elementary")</f>
        <v>Elementary</v>
      </c>
      <c r="S1685" s="5" t="str">
        <f ca="1">IFERROR(__xludf.DUMMYFUNCTION("""COMPUTED_VALUE"""),"Parking Lot")</f>
        <v>Parking Lot</v>
      </c>
      <c r="T1685" s="5" t="str">
        <f ca="1">IFERROR(__xludf.DUMMYFUNCTION("""COMPUTED_VALUE"""),"Outside on School Property")</f>
        <v>Outside on School Property</v>
      </c>
      <c r="U1685" s="5" t="str">
        <f ca="1">IFERROR(__xludf.DUMMYFUNCTION("""COMPUTED_VALUE"""),"Yes")</f>
        <v>Yes</v>
      </c>
      <c r="V1685" s="5" t="str">
        <f ca="1">IFERROR(__xludf.DUMMYFUNCTION("""COMPUTED_VALUE"""),"Dismissal")</f>
        <v>Dismissal</v>
      </c>
      <c r="W1685" s="5"/>
      <c r="X1685" s="5">
        <f ca="1">IFERROR(__xludf.DUMMYFUNCTION("""COMPUTED_VALUE"""),1)</f>
        <v>1</v>
      </c>
      <c r="Y1685" s="5" t="str">
        <f ca="1">IFERROR(__xludf.DUMMYFUNCTION("""COMPUTED_VALUE"""),"Parent killed, related to custody battle with ex-wife")</f>
        <v>Parent killed, related to custody battle with ex-wife</v>
      </c>
      <c r="Z1685" s="5" t="str">
        <f ca="1">IFERROR(__xludf.DUMMYFUNCTION("""COMPUTED_VALUE"""),"47 year-old male shot 4 times in car school parking lot waiting to pick up daughter and her half-brother. Victims girlfriend and 4 year-old daughter were in the car at the time of shooting. After shooting the victim, 39 year-old shooter fled then took 3 p"&amp;"eople hostage in their own home. He ultimately surrendered and was arrested. Victim was in custody battle with ex-wife and had recently threatened her. Shooter was on parole at the time.")</f>
        <v>47 year-old male shot 4 times in car school parking lot waiting to pick up daughter and her half-brother. Victims girlfriend and 4 year-old daughter were in the car at the time of shooting. After shooting the victim, 39 year-old shooter fled then took 3 people hostage in their own home. He ultimately surrendered and was arrested. Victim was in custody battle with ex-wife and had recently threatened her. Shooter was on parole at the time.</v>
      </c>
      <c r="AA1685" s="5" t="str">
        <f ca="1">IFERROR(__xludf.DUMMYFUNCTION("""COMPUTED_VALUE"""),"Domestic w/ Targeted Victim")</f>
        <v>Domestic w/ Targeted Victim</v>
      </c>
      <c r="AB1685" s="5" t="str">
        <f ca="1">IFERROR(__xludf.DUMMYFUNCTION("""COMPUTED_VALUE"""),"Victims Targeted")</f>
        <v>Victims Targeted</v>
      </c>
      <c r="AC1685" s="5" t="str">
        <f ca="1">IFERROR(__xludf.DUMMYFUNCTION("""COMPUTED_VALUE"""),"Unknown")</f>
        <v>Unknown</v>
      </c>
      <c r="AD1685" s="5" t="str">
        <f ca="1">IFERROR(__xludf.DUMMYFUNCTION("""COMPUTED_VALUE"""),"Yes")</f>
        <v>Yes</v>
      </c>
      <c r="AE1685" s="5" t="str">
        <f ca="1">IFERROR(__xludf.DUMMYFUNCTION("""COMPUTED_VALUE"""),"No")</f>
        <v>No</v>
      </c>
      <c r="AF1685" s="5" t="str">
        <f ca="1">IFERROR(__xludf.DUMMYFUNCTION("""COMPUTED_VALUE"""),"No")</f>
        <v>No</v>
      </c>
      <c r="AG1685" s="5" t="str">
        <f ca="1">IFERROR(__xludf.DUMMYFUNCTION("""COMPUTED_VALUE"""),"No")</f>
        <v>No</v>
      </c>
      <c r="AH1685" s="5" t="str">
        <f ca="1">IFERROR(__xludf.DUMMYFUNCTION("""COMPUTED_VALUE"""),"Yes")</f>
        <v>Yes</v>
      </c>
      <c r="AI1685" s="5" t="str">
        <f ca="1">IFERROR(__xludf.DUMMYFUNCTION("""COMPUTED_VALUE"""),"No")</f>
        <v>No</v>
      </c>
      <c r="AJ1685" s="5"/>
    </row>
    <row r="1686" spans="1:36" ht="13">
      <c r="A1686" s="5" t="str">
        <f ca="1">IFERROR(__xludf.DUMMYFUNCTION("""COMPUTED_VALUE"""),"19971107FLRIJ")</f>
        <v>19971107FLRIJ</v>
      </c>
      <c r="B1686" s="5">
        <f ca="1">IFERROR(__xludf.DUMMYFUNCTION("""COMPUTED_VALUE"""),11)</f>
        <v>11</v>
      </c>
      <c r="C1686" s="5">
        <f ca="1">IFERROR(__xludf.DUMMYFUNCTION("""COMPUTED_VALUE"""),7)</f>
        <v>7</v>
      </c>
      <c r="D1686" s="5">
        <f ca="1">IFERROR(__xludf.DUMMYFUNCTION("""COMPUTED_VALUE"""),1997)</f>
        <v>1997</v>
      </c>
      <c r="E1686" s="8">
        <f ca="1">IFERROR(__xludf.DUMMYFUNCTION("""COMPUTED_VALUE"""),35741)</f>
        <v>35741</v>
      </c>
      <c r="F1686" s="5" t="str">
        <f ca="1">IFERROR(__xludf.DUMMYFUNCTION("""COMPUTED_VALUE"""),"Ribault High School")</f>
        <v>Ribault High School</v>
      </c>
      <c r="G1686" s="5">
        <f ca="1">IFERROR(__xludf.DUMMYFUNCTION("""COMPUTED_VALUE"""),1)</f>
        <v>1</v>
      </c>
      <c r="H1686" s="5">
        <f ca="1">IFERROR(__xludf.DUMMYFUNCTION("""COMPUTED_VALUE"""),1)</f>
        <v>1</v>
      </c>
      <c r="I1686" s="5">
        <f ca="1">IFERROR(__xludf.DUMMYFUNCTION("""COMPUTED_VALUE"""),2)</f>
        <v>2</v>
      </c>
      <c r="J1686" s="5">
        <f ca="1">IFERROR(__xludf.DUMMYFUNCTION("""COMPUTED_VALUE"""),0)</f>
        <v>0</v>
      </c>
      <c r="K1686" s="9" t="str">
        <f ca="1">IFERROR(__xludf.DUMMYFUNCTION("""COMPUTED_VALUE"""),"https://www.questia.com/newspaper/1G1-57464504/two-students-shot-1-dead-teens-attacked-near-ribault")</f>
        <v>https://www.questia.com/newspaper/1G1-57464504/two-students-shot-1-dead-teens-attacked-near-ribault</v>
      </c>
      <c r="L1686" s="5"/>
      <c r="M1686" s="5"/>
      <c r="N1686" s="5">
        <f ca="1">IFERROR(__xludf.DUMMYFUNCTION("""COMPUTED_VALUE"""),2)</f>
        <v>2</v>
      </c>
      <c r="O1686" s="5" t="str">
        <f ca="1">IFERROR(__xludf.DUMMYFUNCTION("""COMPUTED_VALUE"""),"Fall")</f>
        <v>Fall</v>
      </c>
      <c r="P1686" s="5" t="str">
        <f ca="1">IFERROR(__xludf.DUMMYFUNCTION("""COMPUTED_VALUE"""),"Jacksonville")</f>
        <v>Jacksonville</v>
      </c>
      <c r="Q1686" s="5" t="str">
        <f ca="1">IFERROR(__xludf.DUMMYFUNCTION("""COMPUTED_VALUE"""),"FL")</f>
        <v>FL</v>
      </c>
      <c r="R1686" s="5" t="str">
        <f ca="1">IFERROR(__xludf.DUMMYFUNCTION("""COMPUTED_VALUE"""),"High")</f>
        <v>High</v>
      </c>
      <c r="S1686" s="5" t="str">
        <f ca="1">IFERROR(__xludf.DUMMYFUNCTION("""COMPUTED_VALUE"""),"Beside Building")</f>
        <v>Beside Building</v>
      </c>
      <c r="T1686" s="5" t="str">
        <f ca="1">IFERROR(__xludf.DUMMYFUNCTION("""COMPUTED_VALUE"""),"Outside on School Property")</f>
        <v>Outside on School Property</v>
      </c>
      <c r="U1686" s="5" t="str">
        <f ca="1">IFERROR(__xludf.DUMMYFUNCTION("""COMPUTED_VALUE"""),"Yes")</f>
        <v>Yes</v>
      </c>
      <c r="V1686" s="5" t="str">
        <f ca="1">IFERROR(__xludf.DUMMYFUNCTION("""COMPUTED_VALUE"""),"School Start")</f>
        <v>School Start</v>
      </c>
      <c r="W1686" s="10">
        <f ca="1">IFERROR(__xludf.DUMMYFUNCTION("""COMPUTED_VALUE"""),0.347222222222222)</f>
        <v>0.34722222222222199</v>
      </c>
      <c r="X1686" s="5">
        <f ca="1">IFERROR(__xludf.DUMMYFUNCTION("""COMPUTED_VALUE"""),1)</f>
        <v>1</v>
      </c>
      <c r="Y1686" s="5" t="str">
        <f ca="1">IFERROR(__xludf.DUMMYFUNCTION("""COMPUTED_VALUE"""),"Two students chased and shot")</f>
        <v>Two students chased and shot</v>
      </c>
      <c r="Z1686" s="5" t="str">
        <f ca="1">IFERROR(__xludf.DUMMYFUNCTION("""COMPUTED_VALUE"""),"18 year-old male student shot 17 year-old male student outside of school and then chased 14 year-old male into neighborhood where he fatally shot him in a residential area.")</f>
        <v>18 year-old male student shot 17 year-old male student outside of school and then chased 14 year-old male into neighborhood where he fatally shot him in a residential area.</v>
      </c>
      <c r="AA1686" s="5" t="str">
        <f ca="1">IFERROR(__xludf.DUMMYFUNCTION("""COMPUTED_VALUE"""),"Escalation of Dispute")</f>
        <v>Escalation of Dispute</v>
      </c>
      <c r="AB1686" s="5" t="str">
        <f ca="1">IFERROR(__xludf.DUMMYFUNCTION("""COMPUTED_VALUE"""),"Victims Targeted")</f>
        <v>Victims Targeted</v>
      </c>
      <c r="AC1686" s="5" t="str">
        <f ca="1">IFERROR(__xludf.DUMMYFUNCTION("""COMPUTED_VALUE"""),"No")</f>
        <v>No</v>
      </c>
      <c r="AD1686" s="5" t="str">
        <f ca="1">IFERROR(__xludf.DUMMYFUNCTION("""COMPUTED_VALUE"""),"No")</f>
        <v>No</v>
      </c>
      <c r="AE1686" s="5" t="str">
        <f ca="1">IFERROR(__xludf.DUMMYFUNCTION("""COMPUTED_VALUE"""),"No")</f>
        <v>No</v>
      </c>
      <c r="AF1686" s="5" t="str">
        <f ca="1">IFERROR(__xludf.DUMMYFUNCTION("""COMPUTED_VALUE"""),"No")</f>
        <v>No</v>
      </c>
      <c r="AG1686" s="5" t="str">
        <f ca="1">IFERROR(__xludf.DUMMYFUNCTION("""COMPUTED_VALUE"""),"No")</f>
        <v>No</v>
      </c>
      <c r="AH1686" s="5" t="str">
        <f ca="1">IFERROR(__xludf.DUMMYFUNCTION("""COMPUTED_VALUE"""),"No")</f>
        <v>No</v>
      </c>
      <c r="AI1686" s="5" t="str">
        <f ca="1">IFERROR(__xludf.DUMMYFUNCTION("""COMPUTED_VALUE"""),"No")</f>
        <v>No</v>
      </c>
      <c r="AJ1686" s="5"/>
    </row>
    <row r="1687" spans="1:36" ht="13">
      <c r="A1687" s="5" t="str">
        <f ca="1">IFERROR(__xludf.DUMMYFUNCTION("""COMPUTED_VALUE"""),"19971022CAJON")</f>
        <v>19971022CAJON</v>
      </c>
      <c r="B1687" s="5">
        <f ca="1">IFERROR(__xludf.DUMMYFUNCTION("""COMPUTED_VALUE"""),10)</f>
        <v>10</v>
      </c>
      <c r="C1687" s="5">
        <f ca="1">IFERROR(__xludf.DUMMYFUNCTION("""COMPUTED_VALUE"""),22)</f>
        <v>22</v>
      </c>
      <c r="D1687" s="5">
        <f ca="1">IFERROR(__xludf.DUMMYFUNCTION("""COMPUTED_VALUE"""),1997)</f>
        <v>1997</v>
      </c>
      <c r="E1687" s="8">
        <f ca="1">IFERROR(__xludf.DUMMYFUNCTION("""COMPUTED_VALUE"""),35725)</f>
        <v>35725</v>
      </c>
      <c r="F1687" s="5" t="str">
        <f ca="1">IFERROR(__xludf.DUMMYFUNCTION("""COMPUTED_VALUE"""),"John Glenn High School")</f>
        <v>John Glenn High School</v>
      </c>
      <c r="G1687" s="5">
        <f ca="1">IFERROR(__xludf.DUMMYFUNCTION("""COMPUTED_VALUE"""),1)</f>
        <v>1</v>
      </c>
      <c r="H1687" s="5">
        <f ca="1">IFERROR(__xludf.DUMMYFUNCTION("""COMPUTED_VALUE"""),0)</f>
        <v>0</v>
      </c>
      <c r="I1687" s="5">
        <f ca="1">IFERROR(__xludf.DUMMYFUNCTION("""COMPUTED_VALUE"""),1)</f>
        <v>1</v>
      </c>
      <c r="J1687" s="5">
        <f ca="1">IFERROR(__xludf.DUMMYFUNCTION("""COMPUTED_VALUE"""),1)</f>
        <v>1</v>
      </c>
      <c r="K1687" s="5" t="str">
        <f ca="1">IFERROR(__xludf.DUMMYFUNCTION("""COMPUTED_VALUE"""),"http://articles.latimes.com/1997/oct/23/news/mn-45878 http://www.columbine-angels.com/School_Violence_1997-1998.htm")</f>
        <v>http://articles.latimes.com/1997/oct/23/news/mn-45878 http://www.columbine-angels.com/School_Violence_1997-1998.htm</v>
      </c>
      <c r="L1687" s="5"/>
      <c r="M1687" s="5"/>
      <c r="N1687" s="5">
        <f ca="1">IFERROR(__xludf.DUMMYFUNCTION("""COMPUTED_VALUE"""),2)</f>
        <v>2</v>
      </c>
      <c r="O1687" s="5" t="str">
        <f ca="1">IFERROR(__xludf.DUMMYFUNCTION("""COMPUTED_VALUE"""),"Fall")</f>
        <v>Fall</v>
      </c>
      <c r="P1687" s="5" t="str">
        <f ca="1">IFERROR(__xludf.DUMMYFUNCTION("""COMPUTED_VALUE"""),"Norwalk")</f>
        <v>Norwalk</v>
      </c>
      <c r="Q1687" s="5" t="str">
        <f ca="1">IFERROR(__xludf.DUMMYFUNCTION("""COMPUTED_VALUE"""),"CA")</f>
        <v>CA</v>
      </c>
      <c r="R1687" s="5" t="str">
        <f ca="1">IFERROR(__xludf.DUMMYFUNCTION("""COMPUTED_VALUE"""),"High")</f>
        <v>High</v>
      </c>
      <c r="S1687" s="5" t="str">
        <f ca="1">IFERROR(__xludf.DUMMYFUNCTION("""COMPUTED_VALUE"""),"Outside on School Property")</f>
        <v>Outside on School Property</v>
      </c>
      <c r="T1687" s="5" t="str">
        <f ca="1">IFERROR(__xludf.DUMMYFUNCTION("""COMPUTED_VALUE"""),"Outside on School Property")</f>
        <v>Outside on School Property</v>
      </c>
      <c r="U1687" s="5" t="str">
        <f ca="1">IFERROR(__xludf.DUMMYFUNCTION("""COMPUTED_VALUE"""),"Yes")</f>
        <v>Yes</v>
      </c>
      <c r="V1687" s="5" t="str">
        <f ca="1">IFERROR(__xludf.DUMMYFUNCTION("""COMPUTED_VALUE"""),"School Start")</f>
        <v>School Start</v>
      </c>
      <c r="W1687" s="10">
        <f ca="1">IFERROR(__xludf.DUMMYFUNCTION("""COMPUTED_VALUE"""),0.322916666666666)</f>
        <v>0.32291666666666602</v>
      </c>
      <c r="X1687" s="5">
        <f ca="1">IFERROR(__xludf.DUMMYFUNCTION("""COMPUTED_VALUE"""),1)</f>
        <v>1</v>
      </c>
      <c r="Y1687" s="5" t="str">
        <f ca="1">IFERROR(__xludf.DUMMYFUNCTION("""COMPUTED_VALUE"""),"Killed ex-girlfriend and self at school")</f>
        <v>Killed ex-girlfriend and self at school</v>
      </c>
      <c r="Z1687" s="5" t="str">
        <f ca="1">IFERROR(__xludf.DUMMYFUNCTION("""COMPUTED_VALUE"""),"21 year-old male (former student) returned to school and shot 16 year-old ex-girlfriend (current student) multiple times, killing her. He then turned the gun on himself and committed suicide. This shooting happened in front of dozens of students. The coup"&amp;"le had a history of cheating and dating abuse. The shooter was an honors student while in high school.")</f>
        <v>21 year-old male (former student) returned to school and shot 16 year-old ex-girlfriend (current student) multiple times, killing her. He then turned the gun on himself and committed suicide. This shooting happened in front of dozens of students. The couple had a history of cheating and dating abuse. The shooter was an honors student while in high school.</v>
      </c>
      <c r="AA1687" s="5" t="str">
        <f ca="1">IFERROR(__xludf.DUMMYFUNCTION("""COMPUTED_VALUE"""),"Murder/Suicide")</f>
        <v>Murder/Suicide</v>
      </c>
      <c r="AB1687" s="5" t="str">
        <f ca="1">IFERROR(__xludf.DUMMYFUNCTION("""COMPUTED_VALUE"""),"Victims Targeted")</f>
        <v>Victims Targeted</v>
      </c>
      <c r="AC1687" s="5" t="str">
        <f ca="1">IFERROR(__xludf.DUMMYFUNCTION("""COMPUTED_VALUE"""),"No")</f>
        <v>No</v>
      </c>
      <c r="AD1687" s="5" t="str">
        <f ca="1">IFERROR(__xludf.DUMMYFUNCTION("""COMPUTED_VALUE"""),"No")</f>
        <v>No</v>
      </c>
      <c r="AE1687" s="5" t="str">
        <f ca="1">IFERROR(__xludf.DUMMYFUNCTION("""COMPUTED_VALUE"""),"No")</f>
        <v>No</v>
      </c>
      <c r="AF1687" s="5" t="str">
        <f ca="1">IFERROR(__xludf.DUMMYFUNCTION("""COMPUTED_VALUE"""),"No")</f>
        <v>No</v>
      </c>
      <c r="AG1687" s="5" t="str">
        <f ca="1">IFERROR(__xludf.DUMMYFUNCTION("""COMPUTED_VALUE"""),"No")</f>
        <v>No</v>
      </c>
      <c r="AH1687" s="5" t="str">
        <f ca="1">IFERROR(__xludf.DUMMYFUNCTION("""COMPUTED_VALUE"""),"Yes")</f>
        <v>Yes</v>
      </c>
      <c r="AI1687" s="5" t="str">
        <f ca="1">IFERROR(__xludf.DUMMYFUNCTION("""COMPUTED_VALUE"""),"No")</f>
        <v>No</v>
      </c>
      <c r="AJ1687" s="5"/>
    </row>
    <row r="1688" spans="1:36" ht="13">
      <c r="A1688" s="5" t="str">
        <f ca="1">IFERROR(__xludf.DUMMYFUNCTION("""COMPUTED_VALUE"""),"19971020CAMCO")</f>
        <v>19971020CAMCO</v>
      </c>
      <c r="B1688" s="5">
        <f ca="1">IFERROR(__xludf.DUMMYFUNCTION("""COMPUTED_VALUE"""),10)</f>
        <v>10</v>
      </c>
      <c r="C1688" s="5">
        <f ca="1">IFERROR(__xludf.DUMMYFUNCTION("""COMPUTED_VALUE"""),20)</f>
        <v>20</v>
      </c>
      <c r="D1688" s="5">
        <f ca="1">IFERROR(__xludf.DUMMYFUNCTION("""COMPUTED_VALUE"""),1997)</f>
        <v>1997</v>
      </c>
      <c r="E1688" s="8">
        <f ca="1">IFERROR(__xludf.DUMMYFUNCTION("""COMPUTED_VALUE"""),35723)</f>
        <v>35723</v>
      </c>
      <c r="F1688" s="5" t="str">
        <f ca="1">IFERROR(__xludf.DUMMYFUNCTION("""COMPUTED_VALUE"""),"McClymonds High School")</f>
        <v>McClymonds High School</v>
      </c>
      <c r="G1688" s="5">
        <f ca="1">IFERROR(__xludf.DUMMYFUNCTION("""COMPUTED_VALUE"""),1)</f>
        <v>1</v>
      </c>
      <c r="H1688" s="5">
        <f ca="1">IFERROR(__xludf.DUMMYFUNCTION("""COMPUTED_VALUE"""),2)</f>
        <v>2</v>
      </c>
      <c r="I1688" s="5">
        <f ca="1">IFERROR(__xludf.DUMMYFUNCTION("""COMPUTED_VALUE"""),3)</f>
        <v>3</v>
      </c>
      <c r="J1688" s="5">
        <f ca="1">IFERROR(__xludf.DUMMYFUNCTION("""COMPUTED_VALUE"""),0)</f>
        <v>0</v>
      </c>
      <c r="K1688" s="5" t="str">
        <f ca="1">IFERROR(__xludf.DUMMYFUNCTION("""COMPUTED_VALUE"""),"http://www.psychceu.com/school_violence/savd.pdf https://www.sfgate.com/news/article/PAGE-ONE-Gunfire-Steals-A-Best-Friend-Fatal-2825176.php")</f>
        <v>http://www.psychceu.com/school_violence/savd.pdf https://www.sfgate.com/news/article/PAGE-ONE-Gunfire-Steals-A-Best-Friend-Fatal-2825176.php</v>
      </c>
      <c r="L1688" s="5"/>
      <c r="M1688" s="5"/>
      <c r="N1688" s="5">
        <f ca="1">IFERROR(__xludf.DUMMYFUNCTION("""COMPUTED_VALUE"""),3)</f>
        <v>3</v>
      </c>
      <c r="O1688" s="5" t="str">
        <f ca="1">IFERROR(__xludf.DUMMYFUNCTION("""COMPUTED_VALUE"""),"Fall")</f>
        <v>Fall</v>
      </c>
      <c r="P1688" s="5" t="str">
        <f ca="1">IFERROR(__xludf.DUMMYFUNCTION("""COMPUTED_VALUE"""),"Oakland")</f>
        <v>Oakland</v>
      </c>
      <c r="Q1688" s="5" t="str">
        <f ca="1">IFERROR(__xludf.DUMMYFUNCTION("""COMPUTED_VALUE"""),"CA")</f>
        <v>CA</v>
      </c>
      <c r="R1688" s="5" t="str">
        <f ca="1">IFERROR(__xludf.DUMMYFUNCTION("""COMPUTED_VALUE"""),"High")</f>
        <v>High</v>
      </c>
      <c r="S1688" s="5" t="str">
        <f ca="1">IFERROR(__xludf.DUMMYFUNCTION("""COMPUTED_VALUE"""),"Parking Lot")</f>
        <v>Parking Lot</v>
      </c>
      <c r="T1688" s="5" t="str">
        <f ca="1">IFERROR(__xludf.DUMMYFUNCTION("""COMPUTED_VALUE"""),"Outside on School Property")</f>
        <v>Outside on School Property</v>
      </c>
      <c r="U1688" s="5" t="str">
        <f ca="1">IFERROR(__xludf.DUMMYFUNCTION("""COMPUTED_VALUE"""),"No")</f>
        <v>No</v>
      </c>
      <c r="V1688" s="5" t="str">
        <f ca="1">IFERROR(__xludf.DUMMYFUNCTION("""COMPUTED_VALUE"""),"Evening")</f>
        <v>Evening</v>
      </c>
      <c r="W1688" s="10">
        <f ca="1">IFERROR(__xludf.DUMMYFUNCTION("""COMPUTED_VALUE"""),0.833333333333333)</f>
        <v>0.83333333333333304</v>
      </c>
      <c r="X1688" s="5">
        <f ca="1">IFERROR(__xludf.DUMMYFUNCTION("""COMPUTED_VALUE"""),1)</f>
        <v>1</v>
      </c>
      <c r="Y1688" s="5" t="str">
        <f ca="1">IFERROR(__xludf.DUMMYFUNCTION("""COMPUTED_VALUE"""),"2 students shot in vehicle outside of school")</f>
        <v>2 students shot in vehicle outside of school</v>
      </c>
      <c r="Z1688" s="5" t="str">
        <f ca="1">IFERROR(__xludf.DUMMYFUNCTION("""COMPUTED_VALUE"""),"Two 16 year-old females and one 22 year-old male were shot in vehicle outside of the school. One 16 year-old female died. The other 16 year-old female and 22 year-old male were injured. Cause unknown. 22 year-old male seems to be the intended target.")</f>
        <v>Two 16 year-old females and one 22 year-old male were shot in vehicle outside of the school. One 16 year-old female died. The other 16 year-old female and 22 year-old male were injured. Cause unknown. 22 year-old male seems to be the intended target.</v>
      </c>
      <c r="AA1688" s="5" t="str">
        <f ca="1">IFERROR(__xludf.DUMMYFUNCTION("""COMPUTED_VALUE"""),"Escalation of Dispute")</f>
        <v>Escalation of Dispute</v>
      </c>
      <c r="AB1688" s="5" t="str">
        <f ca="1">IFERROR(__xludf.DUMMYFUNCTION("""COMPUTED_VALUE"""),"Victims Targeted")</f>
        <v>Victims Targeted</v>
      </c>
      <c r="AC1688" s="5" t="str">
        <f ca="1">IFERROR(__xludf.DUMMYFUNCTION("""COMPUTED_VALUE"""),"Unknown")</f>
        <v>Unknown</v>
      </c>
      <c r="AD1688" s="5" t="str">
        <f ca="1">IFERROR(__xludf.DUMMYFUNCTION("""COMPUTED_VALUE"""),"No")</f>
        <v>No</v>
      </c>
      <c r="AE1688" s="5" t="str">
        <f ca="1">IFERROR(__xludf.DUMMYFUNCTION("""COMPUTED_VALUE"""),"No")</f>
        <v>No</v>
      </c>
      <c r="AF1688" s="5" t="str">
        <f ca="1">IFERROR(__xludf.DUMMYFUNCTION("""COMPUTED_VALUE"""),"No")</f>
        <v>No</v>
      </c>
      <c r="AG1688" s="5" t="str">
        <f ca="1">IFERROR(__xludf.DUMMYFUNCTION("""COMPUTED_VALUE"""),"No")</f>
        <v>No</v>
      </c>
      <c r="AH1688" s="5"/>
      <c r="AI1688" s="5" t="str">
        <f ca="1">IFERROR(__xludf.DUMMYFUNCTION("""COMPUTED_VALUE"""),"No")</f>
        <v>No</v>
      </c>
      <c r="AJ1688" s="5"/>
    </row>
    <row r="1689" spans="1:36" ht="13">
      <c r="A1689" s="5" t="str">
        <f ca="1">IFERROR(__xludf.DUMMYFUNCTION("""COMPUTED_VALUE"""),"19971015FLLIP")</f>
        <v>19971015FLLIP</v>
      </c>
      <c r="B1689" s="5">
        <f ca="1">IFERROR(__xludf.DUMMYFUNCTION("""COMPUTED_VALUE"""),10)</f>
        <v>10</v>
      </c>
      <c r="C1689" s="5">
        <f ca="1">IFERROR(__xludf.DUMMYFUNCTION("""COMPUTED_VALUE"""),15)</f>
        <v>15</v>
      </c>
      <c r="D1689" s="5">
        <f ca="1">IFERROR(__xludf.DUMMYFUNCTION("""COMPUTED_VALUE"""),1997)</f>
        <v>1997</v>
      </c>
      <c r="E1689" s="8">
        <f ca="1">IFERROR(__xludf.DUMMYFUNCTION("""COMPUTED_VALUE"""),35718)</f>
        <v>35718</v>
      </c>
      <c r="F1689" s="5" t="str">
        <f ca="1">IFERROR(__xludf.DUMMYFUNCTION("""COMPUTED_VALUE"""),"Lincoln Middle School")</f>
        <v>Lincoln Middle School</v>
      </c>
      <c r="G1689" s="5">
        <f ca="1">IFERROR(__xludf.DUMMYFUNCTION("""COMPUTED_VALUE"""),0)</f>
        <v>0</v>
      </c>
      <c r="H1689" s="5">
        <f ca="1">IFERROR(__xludf.DUMMYFUNCTION("""COMPUTED_VALUE"""),1)</f>
        <v>1</v>
      </c>
      <c r="I1689" s="5">
        <f ca="1">IFERROR(__xludf.DUMMYFUNCTION("""COMPUTED_VALUE"""),1)</f>
        <v>1</v>
      </c>
      <c r="J1689" s="5">
        <f ca="1">IFERROR(__xludf.DUMMYFUNCTION("""COMPUTED_VALUE"""),0)</f>
        <v>0</v>
      </c>
      <c r="K1689" s="5" t="str">
        <f ca="1">IFERROR(__xludf.DUMMYFUNCTION("""COMPUTED_VALUE"""),"http://www.heraldtribune.com/article/LK/20061018/News/605239769/SH/   https://www.newspapers.com/image/326818791/?terms=brandon%2Blee%2Bhartsoe https://www.tampabay.com/archive/1997/10/17/authorities-review-possible-charges-against-boy-s-mother/")</f>
        <v>http://www.heraldtribune.com/article/LK/20061018/News/605239769/SH/   https://www.newspapers.com/image/326818791/?terms=brandon%2Blee%2Bhartsoe https://www.tampabay.com/archive/1997/10/17/authorities-review-possible-charges-against-boy-s-mother/</v>
      </c>
      <c r="L1689" s="5"/>
      <c r="M1689" s="5"/>
      <c r="N1689" s="5">
        <f ca="1">IFERROR(__xludf.DUMMYFUNCTION("""COMPUTED_VALUE"""),2)</f>
        <v>2</v>
      </c>
      <c r="O1689" s="5" t="str">
        <f ca="1">IFERROR(__xludf.DUMMYFUNCTION("""COMPUTED_VALUE"""),"Fall")</f>
        <v>Fall</v>
      </c>
      <c r="P1689" s="5" t="str">
        <f ca="1">IFERROR(__xludf.DUMMYFUNCTION("""COMPUTED_VALUE"""),"Palmetto")</f>
        <v>Palmetto</v>
      </c>
      <c r="Q1689" s="5" t="str">
        <f ca="1">IFERROR(__xludf.DUMMYFUNCTION("""COMPUTED_VALUE"""),"FL")</f>
        <v>FL</v>
      </c>
      <c r="R1689" s="5" t="str">
        <f ca="1">IFERROR(__xludf.DUMMYFUNCTION("""COMPUTED_VALUE"""),"Middle")</f>
        <v>Middle</v>
      </c>
      <c r="S1689" s="5" t="str">
        <f ca="1">IFERROR(__xludf.DUMMYFUNCTION("""COMPUTED_VALUE"""),"Outside on School Property")</f>
        <v>Outside on School Property</v>
      </c>
      <c r="T1689" s="5" t="str">
        <f ca="1">IFERROR(__xludf.DUMMYFUNCTION("""COMPUTED_VALUE"""),"Outside on School Property")</f>
        <v>Outside on School Property</v>
      </c>
      <c r="U1689" s="5" t="str">
        <f ca="1">IFERROR(__xludf.DUMMYFUNCTION("""COMPUTED_VALUE"""),"Yes")</f>
        <v>Yes</v>
      </c>
      <c r="V1689" s="5" t="str">
        <f ca="1">IFERROR(__xludf.DUMMYFUNCTION("""COMPUTED_VALUE"""),"Unknown")</f>
        <v>Unknown</v>
      </c>
      <c r="W1689" s="5"/>
      <c r="X1689" s="5">
        <f ca="1">IFERROR(__xludf.DUMMYFUNCTION("""COMPUTED_VALUE"""),1)</f>
        <v>1</v>
      </c>
      <c r="Y1689" s="5" t="str">
        <f ca="1">IFERROR(__xludf.DUMMYFUNCTION("""COMPUTED_VALUE"""),"Shots fired during fight")</f>
        <v>Shots fired during fight</v>
      </c>
      <c r="Z1689" s="5" t="str">
        <f ca="1">IFERROR(__xludf.DUMMYFUNCTION("""COMPUTED_VALUE"""),"Shots fired during a fight. 13 year-old male shot fellow student in the back after firing two warning shots in the air and yelling the victims name.")</f>
        <v>Shots fired during a fight. 13 year-old male shot fellow student in the back after firing two warning shots in the air and yelling the victims name.</v>
      </c>
      <c r="AA1689" s="5" t="str">
        <f ca="1">IFERROR(__xludf.DUMMYFUNCTION("""COMPUTED_VALUE"""),"Escalation of Dispute")</f>
        <v>Escalation of Dispute</v>
      </c>
      <c r="AB1689" s="5"/>
      <c r="AC1689" s="5" t="str">
        <f ca="1">IFERROR(__xludf.DUMMYFUNCTION("""COMPUTED_VALUE"""),"No")</f>
        <v>No</v>
      </c>
      <c r="AD1689" s="5" t="str">
        <f ca="1">IFERROR(__xludf.DUMMYFUNCTION("""COMPUTED_VALUE"""),"No")</f>
        <v>No</v>
      </c>
      <c r="AE1689" s="5" t="str">
        <f ca="1">IFERROR(__xludf.DUMMYFUNCTION("""COMPUTED_VALUE"""),"No")</f>
        <v>No</v>
      </c>
      <c r="AF1689" s="5" t="str">
        <f ca="1">IFERROR(__xludf.DUMMYFUNCTION("""COMPUTED_VALUE"""),"No")</f>
        <v>No</v>
      </c>
      <c r="AG1689" s="5"/>
      <c r="AH1689" s="5" t="str">
        <f ca="1">IFERROR(__xludf.DUMMYFUNCTION("""COMPUTED_VALUE"""),"No")</f>
        <v>No</v>
      </c>
      <c r="AI1689" s="5" t="str">
        <f ca="1">IFERROR(__xludf.DUMMYFUNCTION("""COMPUTED_VALUE"""),"No")</f>
        <v>No</v>
      </c>
      <c r="AJ1689" s="5"/>
    </row>
    <row r="1690" spans="1:36" ht="13">
      <c r="A1690" s="5" t="str">
        <f ca="1">IFERROR(__xludf.DUMMYFUNCTION("""COMPUTED_VALUE"""),"19971014TXLAG")</f>
        <v>19971014TXLAG</v>
      </c>
      <c r="B1690" s="5">
        <f ca="1">IFERROR(__xludf.DUMMYFUNCTION("""COMPUTED_VALUE"""),10)</f>
        <v>10</v>
      </c>
      <c r="C1690" s="5">
        <f ca="1">IFERROR(__xludf.DUMMYFUNCTION("""COMPUTED_VALUE"""),14)</f>
        <v>14</v>
      </c>
      <c r="D1690" s="5">
        <f ca="1">IFERROR(__xludf.DUMMYFUNCTION("""COMPUTED_VALUE"""),1997)</f>
        <v>1997</v>
      </c>
      <c r="E1690" s="8">
        <f ca="1">IFERROR(__xludf.DUMMYFUNCTION("""COMPUTED_VALUE"""),35717)</f>
        <v>35717</v>
      </c>
      <c r="F1690" s="5" t="str">
        <f ca="1">IFERROR(__xludf.DUMMYFUNCTION("""COMPUTED_VALUE"""),"Lakeview Centennial High School")</f>
        <v>Lakeview Centennial High School</v>
      </c>
      <c r="G1690" s="5">
        <f ca="1">IFERROR(__xludf.DUMMYFUNCTION("""COMPUTED_VALUE"""),0)</f>
        <v>0</v>
      </c>
      <c r="H1690" s="5">
        <f ca="1">IFERROR(__xludf.DUMMYFUNCTION("""COMPUTED_VALUE"""),0)</f>
        <v>0</v>
      </c>
      <c r="I1690" s="5">
        <f ca="1">IFERROR(__xludf.DUMMYFUNCTION("""COMPUTED_VALUE"""),0)</f>
        <v>0</v>
      </c>
      <c r="J1690" s="5">
        <f ca="1">IFERROR(__xludf.DUMMYFUNCTION("""COMPUTED_VALUE"""),1)</f>
        <v>1</v>
      </c>
      <c r="K1690" s="9" t="str">
        <f ca="1">IFERROR(__xludf.DUMMYFUNCTION("""COMPUTED_VALUE"""),"https://ssristories.org/21-year-old-woman-shoots-herself/")</f>
        <v>https://ssristories.org/21-year-old-woman-shoots-herself/</v>
      </c>
      <c r="L1690" s="5"/>
      <c r="M1690" s="5"/>
      <c r="N1690" s="5">
        <f ca="1">IFERROR(__xludf.DUMMYFUNCTION("""COMPUTED_VALUE"""),1)</f>
        <v>1</v>
      </c>
      <c r="O1690" s="5" t="str">
        <f ca="1">IFERROR(__xludf.DUMMYFUNCTION("""COMPUTED_VALUE"""),"Fall")</f>
        <v>Fall</v>
      </c>
      <c r="P1690" s="5" t="str">
        <f ca="1">IFERROR(__xludf.DUMMYFUNCTION("""COMPUTED_VALUE"""),"Garland")</f>
        <v>Garland</v>
      </c>
      <c r="Q1690" s="5" t="str">
        <f ca="1">IFERROR(__xludf.DUMMYFUNCTION("""COMPUTED_VALUE"""),"TX")</f>
        <v>TX</v>
      </c>
      <c r="R1690" s="5" t="str">
        <f ca="1">IFERROR(__xludf.DUMMYFUNCTION("""COMPUTED_VALUE"""),"High")</f>
        <v>High</v>
      </c>
      <c r="S1690" s="5" t="str">
        <f ca="1">IFERROR(__xludf.DUMMYFUNCTION("""COMPUTED_VALUE"""),"Bathroom")</f>
        <v>Bathroom</v>
      </c>
      <c r="T1690" s="5" t="str">
        <f ca="1">IFERROR(__xludf.DUMMYFUNCTION("""COMPUTED_VALUE"""),"Inside School Building")</f>
        <v>Inside School Building</v>
      </c>
      <c r="U1690" s="5" t="str">
        <f ca="1">IFERROR(__xludf.DUMMYFUNCTION("""COMPUTED_VALUE"""),"Yes")</f>
        <v>Yes</v>
      </c>
      <c r="V1690" s="5"/>
      <c r="W1690" s="5"/>
      <c r="X1690" s="5">
        <f ca="1">IFERROR(__xludf.DUMMYFUNCTION("""COMPUTED_VALUE"""),1)</f>
        <v>1</v>
      </c>
      <c r="Y1690" s="5" t="str">
        <f ca="1">IFERROR(__xludf.DUMMYFUNCTION("""COMPUTED_VALUE"""),"Shot self in school bathroom")</f>
        <v>Shot self in school bathroom</v>
      </c>
      <c r="Z1690" s="5" t="str">
        <f ca="1">IFERROR(__xludf.DUMMYFUNCTION("""COMPUTED_VALUE"""),"19 year-old male committed suicide in school bathroom")</f>
        <v>19 year-old male committed suicide in school bathroom</v>
      </c>
      <c r="AA1690" s="5" t="str">
        <f ca="1">IFERROR(__xludf.DUMMYFUNCTION("""COMPUTED_VALUE"""),"Suicide/Attempted")</f>
        <v>Suicide/Attempted</v>
      </c>
      <c r="AB1690" s="5" t="str">
        <f ca="1">IFERROR(__xludf.DUMMYFUNCTION("""COMPUTED_VALUE"""),"Victims Targeted")</f>
        <v>Victims Targeted</v>
      </c>
      <c r="AC1690" s="5" t="str">
        <f ca="1">IFERROR(__xludf.DUMMYFUNCTION("""COMPUTED_VALUE"""),"No")</f>
        <v>No</v>
      </c>
      <c r="AD1690" s="5" t="str">
        <f ca="1">IFERROR(__xludf.DUMMYFUNCTION("""COMPUTED_VALUE"""),"No")</f>
        <v>No</v>
      </c>
      <c r="AE1690" s="5" t="str">
        <f ca="1">IFERROR(__xludf.DUMMYFUNCTION("""COMPUTED_VALUE"""),"No")</f>
        <v>No</v>
      </c>
      <c r="AF1690" s="5" t="str">
        <f ca="1">IFERROR(__xludf.DUMMYFUNCTION("""COMPUTED_VALUE"""),"No")</f>
        <v>No</v>
      </c>
      <c r="AG1690" s="5" t="str">
        <f ca="1">IFERROR(__xludf.DUMMYFUNCTION("""COMPUTED_VALUE"""),"No")</f>
        <v>No</v>
      </c>
      <c r="AH1690" s="5" t="str">
        <f ca="1">IFERROR(__xludf.DUMMYFUNCTION("""COMPUTED_VALUE"""),"No")</f>
        <v>No</v>
      </c>
      <c r="AI1690" s="5" t="str">
        <f ca="1">IFERROR(__xludf.DUMMYFUNCTION("""COMPUTED_VALUE"""),"No")</f>
        <v>No</v>
      </c>
      <c r="AJ1690" s="5"/>
    </row>
    <row r="1691" spans="1:36" ht="13">
      <c r="A1691" s="5" t="str">
        <f ca="1">IFERROR(__xludf.DUMMYFUNCTION("""COMPUTED_VALUE"""),"19971010INWAG")</f>
        <v>19971010INWAG</v>
      </c>
      <c r="B1691" s="5">
        <f ca="1">IFERROR(__xludf.DUMMYFUNCTION("""COMPUTED_VALUE"""),10)</f>
        <v>10</v>
      </c>
      <c r="C1691" s="5">
        <f ca="1">IFERROR(__xludf.DUMMYFUNCTION("""COMPUTED_VALUE"""),10)</f>
        <v>10</v>
      </c>
      <c r="D1691" s="5">
        <f ca="1">IFERROR(__xludf.DUMMYFUNCTION("""COMPUTED_VALUE"""),1997)</f>
        <v>1997</v>
      </c>
      <c r="E1691" s="8">
        <f ca="1">IFERROR(__xludf.DUMMYFUNCTION("""COMPUTED_VALUE"""),35713)</f>
        <v>35713</v>
      </c>
      <c r="F1691" s="5" t="str">
        <f ca="1">IFERROR(__xludf.DUMMYFUNCTION("""COMPUTED_VALUE"""),"Wallace High School")</f>
        <v>Wallace High School</v>
      </c>
      <c r="G1691" s="5">
        <f ca="1">IFERROR(__xludf.DUMMYFUNCTION("""COMPUTED_VALUE"""),1)</f>
        <v>1</v>
      </c>
      <c r="H1691" s="5">
        <f ca="1">IFERROR(__xludf.DUMMYFUNCTION("""COMPUTED_VALUE"""),2)</f>
        <v>2</v>
      </c>
      <c r="I1691" s="5">
        <f ca="1">IFERROR(__xludf.DUMMYFUNCTION("""COMPUTED_VALUE"""),3)</f>
        <v>3</v>
      </c>
      <c r="J1691" s="5">
        <f ca="1">IFERROR(__xludf.DUMMYFUNCTION("""COMPUTED_VALUE"""),0)</f>
        <v>0</v>
      </c>
      <c r="K1691" s="9" t="str">
        <f ca="1">IFERROR(__xludf.DUMMYFUNCTION("""COMPUTED_VALUE"""),"http://articles.chicagotribune.com/1997-10-12/news/9710120311_1_fatal-shooting-wallace-high-school-police")</f>
        <v>http://articles.chicagotribune.com/1997-10-12/news/9710120311_1_fatal-shooting-wallace-high-school-police</v>
      </c>
      <c r="L1691" s="5"/>
      <c r="M1691" s="5"/>
      <c r="N1691" s="5">
        <f ca="1">IFERROR(__xludf.DUMMYFUNCTION("""COMPUTED_VALUE"""),2)</f>
        <v>2</v>
      </c>
      <c r="O1691" s="5" t="str">
        <f ca="1">IFERROR(__xludf.DUMMYFUNCTION("""COMPUTED_VALUE"""),"Fall")</f>
        <v>Fall</v>
      </c>
      <c r="P1691" s="5" t="str">
        <f ca="1">IFERROR(__xludf.DUMMYFUNCTION("""COMPUTED_VALUE"""),"Gary")</f>
        <v>Gary</v>
      </c>
      <c r="Q1691" s="5" t="str">
        <f ca="1">IFERROR(__xludf.DUMMYFUNCTION("""COMPUTED_VALUE"""),"IN")</f>
        <v>IN</v>
      </c>
      <c r="R1691" s="5" t="str">
        <f ca="1">IFERROR(__xludf.DUMMYFUNCTION("""COMPUTED_VALUE"""),"High")</f>
        <v>High</v>
      </c>
      <c r="S1691" s="5" t="str">
        <f ca="1">IFERROR(__xludf.DUMMYFUNCTION("""COMPUTED_VALUE"""),"Football Field/Track")</f>
        <v>Football Field/Track</v>
      </c>
      <c r="T1691" s="5" t="str">
        <f ca="1">IFERROR(__xludf.DUMMYFUNCTION("""COMPUTED_VALUE"""),"Outside on School Property")</f>
        <v>Outside on School Property</v>
      </c>
      <c r="U1691" s="5" t="str">
        <f ca="1">IFERROR(__xludf.DUMMYFUNCTION("""COMPUTED_VALUE"""),"No")</f>
        <v>No</v>
      </c>
      <c r="V1691" s="5" t="str">
        <f ca="1">IFERROR(__xludf.DUMMYFUNCTION("""COMPUTED_VALUE"""),"Not a School Day")</f>
        <v>Not a School Day</v>
      </c>
      <c r="W1691" s="5"/>
      <c r="X1691" s="5">
        <f ca="1">IFERROR(__xludf.DUMMYFUNCTION("""COMPUTED_VALUE"""),1)</f>
        <v>1</v>
      </c>
      <c r="Y1691" s="5" t="str">
        <f ca="1">IFERROR(__xludf.DUMMYFUNCTION("""COMPUTED_VALUE"""),"Dispute between rival gang members at football game")</f>
        <v>Dispute between rival gang members at football game</v>
      </c>
      <c r="Z1691" s="5" t="str">
        <f ca="1">IFERROR(__xludf.DUMMYFUNCTION("""COMPUTED_VALUE"""),"Shooter walked to the center of the bleacher at a high school's homecoming game and started shooting with an semiautomatic pistol. Shooter was the member of a gang and shot into the crowd while trying to aim at rival gang members.")</f>
        <v>Shooter walked to the center of the bleacher at a high school's homecoming game and started shooting with an semiautomatic pistol. Shooter was the member of a gang and shot into the crowd while trying to aim at rival gang members.</v>
      </c>
      <c r="AA1691" s="5" t="str">
        <f ca="1">IFERROR(__xludf.DUMMYFUNCTION("""COMPUTED_VALUE"""),"Indiscriminate Shooting")</f>
        <v>Indiscriminate Shooting</v>
      </c>
      <c r="AB1691" s="5" t="str">
        <f ca="1">IFERROR(__xludf.DUMMYFUNCTION("""COMPUTED_VALUE"""),"Both")</f>
        <v>Both</v>
      </c>
      <c r="AC1691" s="5" t="str">
        <f ca="1">IFERROR(__xludf.DUMMYFUNCTION("""COMPUTED_VALUE"""),"No")</f>
        <v>No</v>
      </c>
      <c r="AD1691" s="5" t="str">
        <f ca="1">IFERROR(__xludf.DUMMYFUNCTION("""COMPUTED_VALUE"""),"No")</f>
        <v>No</v>
      </c>
      <c r="AE1691" s="5" t="str">
        <f ca="1">IFERROR(__xludf.DUMMYFUNCTION("""COMPUTED_VALUE"""),"No")</f>
        <v>No</v>
      </c>
      <c r="AF1691" s="5" t="str">
        <f ca="1">IFERROR(__xludf.DUMMYFUNCTION("""COMPUTED_VALUE"""),"No")</f>
        <v>No</v>
      </c>
      <c r="AG1691" s="5" t="str">
        <f ca="1">IFERROR(__xludf.DUMMYFUNCTION("""COMPUTED_VALUE"""),"No")</f>
        <v>No</v>
      </c>
      <c r="AH1691" s="5" t="str">
        <f ca="1">IFERROR(__xludf.DUMMYFUNCTION("""COMPUTED_VALUE"""),"No")</f>
        <v>No</v>
      </c>
      <c r="AI1691" s="5" t="str">
        <f ca="1">IFERROR(__xludf.DUMMYFUNCTION("""COMPUTED_VALUE"""),"Yes")</f>
        <v>Yes</v>
      </c>
      <c r="AJ1691" s="5"/>
    </row>
    <row r="1692" spans="1:36" ht="13">
      <c r="A1692" s="5" t="str">
        <f ca="1">IFERROR(__xludf.DUMMYFUNCTION("""COMPUTED_VALUE"""),"19971005OKMOO")</f>
        <v>19971005OKMOO</v>
      </c>
      <c r="B1692" s="5">
        <f ca="1">IFERROR(__xludf.DUMMYFUNCTION("""COMPUTED_VALUE"""),10)</f>
        <v>10</v>
      </c>
      <c r="C1692" s="5">
        <f ca="1">IFERROR(__xludf.DUMMYFUNCTION("""COMPUTED_VALUE"""),5)</f>
        <v>5</v>
      </c>
      <c r="D1692" s="5">
        <f ca="1">IFERROR(__xludf.DUMMYFUNCTION("""COMPUTED_VALUE"""),1997)</f>
        <v>1997</v>
      </c>
      <c r="E1692" s="8">
        <f ca="1">IFERROR(__xludf.DUMMYFUNCTION("""COMPUTED_VALUE"""),35708)</f>
        <v>35708</v>
      </c>
      <c r="F1692" s="5" t="str">
        <f ca="1">IFERROR(__xludf.DUMMYFUNCTION("""COMPUTED_VALUE"""),"Moore West Junior High School")</f>
        <v>Moore West Junior High School</v>
      </c>
      <c r="G1692" s="5">
        <f ca="1">IFERROR(__xludf.DUMMYFUNCTION("""COMPUTED_VALUE"""),0)</f>
        <v>0</v>
      </c>
      <c r="H1692" s="5">
        <f ca="1">IFERROR(__xludf.DUMMYFUNCTION("""COMPUTED_VALUE"""),1)</f>
        <v>1</v>
      </c>
      <c r="I1692" s="5">
        <f ca="1">IFERROR(__xludf.DUMMYFUNCTION("""COMPUTED_VALUE"""),1)</f>
        <v>1</v>
      </c>
      <c r="J1692" s="5">
        <f ca="1">IFERROR(__xludf.DUMMYFUNCTION("""COMPUTED_VALUE"""),0)</f>
        <v>0</v>
      </c>
      <c r="K1692" s="9" t="str">
        <f ca="1">IFERROR(__xludf.DUMMYFUNCTION("""COMPUTED_VALUE"""),"https://www.newspapers.com/image/455228173/?terms=shot%2Bin%2Bschool%2Bparking%2Blot")</f>
        <v>https://www.newspapers.com/image/455228173/?terms=shot%2Bin%2Bschool%2Bparking%2Blot</v>
      </c>
      <c r="L1692" s="5"/>
      <c r="M1692" s="5"/>
      <c r="N1692" s="5">
        <f ca="1">IFERROR(__xludf.DUMMYFUNCTION("""COMPUTED_VALUE"""),2)</f>
        <v>2</v>
      </c>
      <c r="O1692" s="5" t="str">
        <f ca="1">IFERROR(__xludf.DUMMYFUNCTION("""COMPUTED_VALUE"""),"Fall")</f>
        <v>Fall</v>
      </c>
      <c r="P1692" s="5" t="str">
        <f ca="1">IFERROR(__xludf.DUMMYFUNCTION("""COMPUTED_VALUE"""),"Oklahoma City")</f>
        <v>Oklahoma City</v>
      </c>
      <c r="Q1692" s="5" t="str">
        <f ca="1">IFERROR(__xludf.DUMMYFUNCTION("""COMPUTED_VALUE"""),"OK")</f>
        <v>OK</v>
      </c>
      <c r="R1692" s="5" t="str">
        <f ca="1">IFERROR(__xludf.DUMMYFUNCTION("""COMPUTED_VALUE"""),"Junior High")</f>
        <v>Junior High</v>
      </c>
      <c r="S1692" s="5" t="str">
        <f ca="1">IFERROR(__xludf.DUMMYFUNCTION("""COMPUTED_VALUE"""),"Parking Lot")</f>
        <v>Parking Lot</v>
      </c>
      <c r="T1692" s="5" t="str">
        <f ca="1">IFERROR(__xludf.DUMMYFUNCTION("""COMPUTED_VALUE"""),"Outside on School Property")</f>
        <v>Outside on School Property</v>
      </c>
      <c r="U1692" s="5" t="str">
        <f ca="1">IFERROR(__xludf.DUMMYFUNCTION("""COMPUTED_VALUE"""),"No")</f>
        <v>No</v>
      </c>
      <c r="V1692" s="5" t="str">
        <f ca="1">IFERROR(__xludf.DUMMYFUNCTION("""COMPUTED_VALUE"""),"Not a School Day")</f>
        <v>Not a School Day</v>
      </c>
      <c r="W1692" s="10">
        <f ca="1">IFERROR(__xludf.DUMMYFUNCTION("""COMPUTED_VALUE"""),0.621527777777777)</f>
        <v>0.62152777777777701</v>
      </c>
      <c r="X1692" s="5">
        <f ca="1">IFERROR(__xludf.DUMMYFUNCTION("""COMPUTED_VALUE"""),1)</f>
        <v>1</v>
      </c>
      <c r="Y1692" s="5" t="str">
        <f ca="1">IFERROR(__xludf.DUMMYFUNCTION("""COMPUTED_VALUE"""),"Escalation of argument")</f>
        <v>Escalation of argument</v>
      </c>
      <c r="Z1692" s="5" t="str">
        <f ca="1">IFERROR(__xludf.DUMMYFUNCTION("""COMPUTED_VALUE"""),"Victim was riding in car with driver when shooter, who was in school parking lot made obscene gesture to victim. Victim and driver of vehicle pulled into parking lot to confront shooter. Shooter pulled out 9mm handgun and shot victim in the shoulder. Vict"&amp;"im and driver fled and called police.")</f>
        <v>Victim was riding in car with driver when shooter, who was in school parking lot made obscene gesture to victim. Victim and driver of vehicle pulled into parking lot to confront shooter. Shooter pulled out 9mm handgun and shot victim in the shoulder. Victim and driver fled and called police.</v>
      </c>
      <c r="AA1692" s="5" t="str">
        <f ca="1">IFERROR(__xludf.DUMMYFUNCTION("""COMPUTED_VALUE"""),"Escalation of Dispute")</f>
        <v>Escalation of Dispute</v>
      </c>
      <c r="AB1692" s="5" t="str">
        <f ca="1">IFERROR(__xludf.DUMMYFUNCTION("""COMPUTED_VALUE"""),"Victims Targeted")</f>
        <v>Victims Targeted</v>
      </c>
      <c r="AC1692" s="5" t="str">
        <f ca="1">IFERROR(__xludf.DUMMYFUNCTION("""COMPUTED_VALUE"""),"No")</f>
        <v>No</v>
      </c>
      <c r="AD1692" s="5" t="str">
        <f ca="1">IFERROR(__xludf.DUMMYFUNCTION("""COMPUTED_VALUE"""),"No")</f>
        <v>No</v>
      </c>
      <c r="AE1692" s="5" t="str">
        <f ca="1">IFERROR(__xludf.DUMMYFUNCTION("""COMPUTED_VALUE"""),"No")</f>
        <v>No</v>
      </c>
      <c r="AF1692" s="5" t="str">
        <f ca="1">IFERROR(__xludf.DUMMYFUNCTION("""COMPUTED_VALUE"""),"No")</f>
        <v>No</v>
      </c>
      <c r="AG1692" s="5" t="str">
        <f ca="1">IFERROR(__xludf.DUMMYFUNCTION("""COMPUTED_VALUE"""),"No")</f>
        <v>No</v>
      </c>
      <c r="AH1692" s="5" t="str">
        <f ca="1">IFERROR(__xludf.DUMMYFUNCTION("""COMPUTED_VALUE"""),"No")</f>
        <v>No</v>
      </c>
      <c r="AI1692" s="5" t="str">
        <f ca="1">IFERROR(__xludf.DUMMYFUNCTION("""COMPUTED_VALUE"""),"No")</f>
        <v>No</v>
      </c>
      <c r="AJ1692" s="5" t="str">
        <f ca="1">IFERROR(__xludf.DUMMYFUNCTION("""COMPUTED_VALUE"""),"No")</f>
        <v>No</v>
      </c>
    </row>
    <row r="1693" spans="1:36" ht="13">
      <c r="A1693" s="5" t="str">
        <f ca="1">IFERROR(__xludf.DUMMYFUNCTION("""COMPUTED_VALUE"""),"19971001MSPEP")</f>
        <v>19971001MSPEP</v>
      </c>
      <c r="B1693" s="5">
        <f ca="1">IFERROR(__xludf.DUMMYFUNCTION("""COMPUTED_VALUE"""),10)</f>
        <v>10</v>
      </c>
      <c r="C1693" s="5">
        <f ca="1">IFERROR(__xludf.DUMMYFUNCTION("""COMPUTED_VALUE"""),1)</f>
        <v>1</v>
      </c>
      <c r="D1693" s="5">
        <f ca="1">IFERROR(__xludf.DUMMYFUNCTION("""COMPUTED_VALUE"""),1997)</f>
        <v>1997</v>
      </c>
      <c r="E1693" s="8">
        <f ca="1">IFERROR(__xludf.DUMMYFUNCTION("""COMPUTED_VALUE"""),35704)</f>
        <v>35704</v>
      </c>
      <c r="F1693" s="5" t="str">
        <f ca="1">IFERROR(__xludf.DUMMYFUNCTION("""COMPUTED_VALUE"""),"Pearl High School")</f>
        <v>Pearl High School</v>
      </c>
      <c r="G1693" s="5">
        <f ca="1">IFERROR(__xludf.DUMMYFUNCTION("""COMPUTED_VALUE"""),2)</f>
        <v>2</v>
      </c>
      <c r="H1693" s="5">
        <f ca="1">IFERROR(__xludf.DUMMYFUNCTION("""COMPUTED_VALUE"""),7)</f>
        <v>7</v>
      </c>
      <c r="I1693" s="5">
        <f ca="1">IFERROR(__xludf.DUMMYFUNCTION("""COMPUTED_VALUE"""),9)</f>
        <v>9</v>
      </c>
      <c r="J1693" s="5">
        <f ca="1">IFERROR(__xludf.DUMMYFUNCTION("""COMPUTED_VALUE"""),0)</f>
        <v>0</v>
      </c>
      <c r="K1693" s="5" t="str">
        <f ca="1">IFERROR(__xludf.DUMMYFUNCTION("""COMPUTED_VALUE"""),"http://www.cnn.com/US/9710/02/miss.shooting.folo/ http://www.cnn.com/US/9710/01/shooting.update/index.html")</f>
        <v>http://www.cnn.com/US/9710/02/miss.shooting.folo/ http://www.cnn.com/US/9710/01/shooting.update/index.html</v>
      </c>
      <c r="L1693" s="5"/>
      <c r="M1693" s="5"/>
      <c r="N1693" s="5">
        <f ca="1">IFERROR(__xludf.DUMMYFUNCTION("""COMPUTED_VALUE"""),2)</f>
        <v>2</v>
      </c>
      <c r="O1693" s="5" t="str">
        <f ca="1">IFERROR(__xludf.DUMMYFUNCTION("""COMPUTED_VALUE"""),"Fall")</f>
        <v>Fall</v>
      </c>
      <c r="P1693" s="5" t="str">
        <f ca="1">IFERROR(__xludf.DUMMYFUNCTION("""COMPUTED_VALUE"""),"Pearl")</f>
        <v>Pearl</v>
      </c>
      <c r="Q1693" s="5" t="str">
        <f ca="1">IFERROR(__xludf.DUMMYFUNCTION("""COMPUTED_VALUE"""),"MS")</f>
        <v>MS</v>
      </c>
      <c r="R1693" s="5" t="str">
        <f ca="1">IFERROR(__xludf.DUMMYFUNCTION("""COMPUTED_VALUE"""),"High")</f>
        <v>High</v>
      </c>
      <c r="S1693" s="5" t="str">
        <f ca="1">IFERROR(__xludf.DUMMYFUNCTION("""COMPUTED_VALUE"""),"Hallway")</f>
        <v>Hallway</v>
      </c>
      <c r="T1693" s="5" t="str">
        <f ca="1">IFERROR(__xludf.DUMMYFUNCTION("""COMPUTED_VALUE"""),"Inside School Building")</f>
        <v>Inside School Building</v>
      </c>
      <c r="U1693" s="5" t="str">
        <f ca="1">IFERROR(__xludf.DUMMYFUNCTION("""COMPUTED_VALUE"""),"Yes")</f>
        <v>Yes</v>
      </c>
      <c r="V1693" s="5" t="str">
        <f ca="1">IFERROR(__xludf.DUMMYFUNCTION("""COMPUTED_VALUE"""),"Morning Classes")</f>
        <v>Morning Classes</v>
      </c>
      <c r="W1693" s="5"/>
      <c r="X1693" s="5"/>
      <c r="Y1693" s="5" t="str">
        <f ca="1">IFERROR(__xludf.DUMMYFUNCTION("""COMPUTED_VALUE"""),"Planned attack including ex-girlfriend as target")</f>
        <v>Planned attack including ex-girlfriend as target</v>
      </c>
      <c r="Z1693" s="5" t="str">
        <f ca="1">IFERROR(__xludf.DUMMYFUNCTION("""COMPUTED_VALUE"""),"Killed mother, stole her car, and drove to school with rifle. Wore trench coat to conceal the rifle while walking into school. Shot ex-girlfriend and her friend then random students. Car got stuck in the field behind the school while trying to make a geta"&amp;"way and he was held a gunpoint by the assistant principal until police arrived. Talked about his plan to attack the school with multiple other students (5 were charged with conspiracy). Shooter had been bullied. Was a good student and excelled in art.")</f>
        <v>Killed mother, stole her car, and drove to school with rifle. Wore trench coat to conceal the rifle while walking into school. Shot ex-girlfriend and her friend then random students. Car got stuck in the field behind the school while trying to make a getaway and he was held a gunpoint by the assistant principal until police arrived. Talked about his plan to attack the school with multiple other students (5 were charged with conspiracy). Shooter had been bullied. Was a good student and excelled in art.</v>
      </c>
      <c r="AA1693" s="5" t="str">
        <f ca="1">IFERROR(__xludf.DUMMYFUNCTION("""COMPUTED_VALUE"""),"Domestic w/ Targeted Victim")</f>
        <v>Domestic w/ Targeted Victim</v>
      </c>
      <c r="AB1693" s="5" t="str">
        <f ca="1">IFERROR(__xludf.DUMMYFUNCTION("""COMPUTED_VALUE"""),"Both")</f>
        <v>Both</v>
      </c>
      <c r="AC1693" s="5" t="str">
        <f ca="1">IFERROR(__xludf.DUMMYFUNCTION("""COMPUTED_VALUE"""),"No")</f>
        <v>No</v>
      </c>
      <c r="AD1693" s="5" t="str">
        <f ca="1">IFERROR(__xludf.DUMMYFUNCTION("""COMPUTED_VALUE"""),"No")</f>
        <v>No</v>
      </c>
      <c r="AE1693" s="5" t="str">
        <f ca="1">IFERROR(__xludf.DUMMYFUNCTION("""COMPUTED_VALUE"""),"No")</f>
        <v>No</v>
      </c>
      <c r="AF1693" s="5" t="str">
        <f ca="1">IFERROR(__xludf.DUMMYFUNCTION("""COMPUTED_VALUE"""),"No")</f>
        <v>No</v>
      </c>
      <c r="AG1693" s="5" t="str">
        <f ca="1">IFERROR(__xludf.DUMMYFUNCTION("""COMPUTED_VALUE"""),"Yes")</f>
        <v>Yes</v>
      </c>
      <c r="AH1693" s="5" t="str">
        <f ca="1">IFERROR(__xludf.DUMMYFUNCTION("""COMPUTED_VALUE"""),"Yes")</f>
        <v>Yes</v>
      </c>
      <c r="AI1693" s="5" t="str">
        <f ca="1">IFERROR(__xludf.DUMMYFUNCTION("""COMPUTED_VALUE"""),"No")</f>
        <v>No</v>
      </c>
      <c r="AJ1693" s="5" t="str">
        <f ca="1">IFERROR(__xludf.DUMMYFUNCTION("""COMPUTED_VALUE"""),"Yes")</f>
        <v>Yes</v>
      </c>
    </row>
    <row r="1694" spans="1:36" ht="13">
      <c r="A1694" s="5" t="str">
        <f ca="1">IFERROR(__xludf.DUMMYFUNCTION("""COMPUTED_VALUE"""),"19970624ALJEM")</f>
        <v>19970624ALJEM</v>
      </c>
      <c r="B1694" s="5">
        <f ca="1">IFERROR(__xludf.DUMMYFUNCTION("""COMPUTED_VALUE"""),6)</f>
        <v>6</v>
      </c>
      <c r="C1694" s="5">
        <f ca="1">IFERROR(__xludf.DUMMYFUNCTION("""COMPUTED_VALUE"""),24)</f>
        <v>24</v>
      </c>
      <c r="D1694" s="5">
        <f ca="1">IFERROR(__xludf.DUMMYFUNCTION("""COMPUTED_VALUE"""),1997)</f>
        <v>1997</v>
      </c>
      <c r="E1694" s="8">
        <f ca="1">IFERROR(__xludf.DUMMYFUNCTION("""COMPUTED_VALUE"""),35605)</f>
        <v>35605</v>
      </c>
      <c r="F1694" s="5" t="str">
        <f ca="1">IFERROR(__xludf.DUMMYFUNCTION("""COMPUTED_VALUE"""),"Jefferson Davis High School")</f>
        <v>Jefferson Davis High School</v>
      </c>
      <c r="G1694" s="5">
        <f ca="1">IFERROR(__xludf.DUMMYFUNCTION("""COMPUTED_VALUE"""),1)</f>
        <v>1</v>
      </c>
      <c r="H1694" s="5">
        <f ca="1">IFERROR(__xludf.DUMMYFUNCTION("""COMPUTED_VALUE"""),0)</f>
        <v>0</v>
      </c>
      <c r="I1694" s="5">
        <f ca="1">IFERROR(__xludf.DUMMYFUNCTION("""COMPUTED_VALUE"""),1)</f>
        <v>1</v>
      </c>
      <c r="J1694" s="5">
        <f ca="1">IFERROR(__xludf.DUMMYFUNCTION("""COMPUTED_VALUE"""),0)</f>
        <v>0</v>
      </c>
      <c r="K1694" s="5" t="str">
        <f ca="1">IFERROR(__xludf.DUMMYFUNCTION("""COMPUTED_VALUE"""),"https://www.newspapers.com/image/261150331/?terms=Rawland%2BJames; https://www.newspapers.com/image/260520436/?terms=charles%2Blewis%2Bcooper;")</f>
        <v>https://www.newspapers.com/image/261150331/?terms=Rawland%2BJames; https://www.newspapers.com/image/260520436/?terms=charles%2Blewis%2Bcooper;</v>
      </c>
      <c r="L1694" s="5"/>
      <c r="M1694" s="5"/>
      <c r="N1694" s="5">
        <f ca="1">IFERROR(__xludf.DUMMYFUNCTION("""COMPUTED_VALUE"""),3)</f>
        <v>3</v>
      </c>
      <c r="O1694" s="5" t="str">
        <f ca="1">IFERROR(__xludf.DUMMYFUNCTION("""COMPUTED_VALUE"""),"Summer")</f>
        <v>Summer</v>
      </c>
      <c r="P1694" s="5" t="str">
        <f ca="1">IFERROR(__xludf.DUMMYFUNCTION("""COMPUTED_VALUE"""),"Montgomery")</f>
        <v>Montgomery</v>
      </c>
      <c r="Q1694" s="5" t="str">
        <f ca="1">IFERROR(__xludf.DUMMYFUNCTION("""COMPUTED_VALUE"""),"AL")</f>
        <v>AL</v>
      </c>
      <c r="R1694" s="5" t="str">
        <f ca="1">IFERROR(__xludf.DUMMYFUNCTION("""COMPUTED_VALUE"""),"High")</f>
        <v>High</v>
      </c>
      <c r="S1694" s="5" t="str">
        <f ca="1">IFERROR(__xludf.DUMMYFUNCTION("""COMPUTED_VALUE"""),"Parking Lot")</f>
        <v>Parking Lot</v>
      </c>
      <c r="T1694" s="5" t="str">
        <f ca="1">IFERROR(__xludf.DUMMYFUNCTION("""COMPUTED_VALUE"""),"Outside on School Property")</f>
        <v>Outside on School Property</v>
      </c>
      <c r="U1694" s="5" t="str">
        <f ca="1">IFERROR(__xludf.DUMMYFUNCTION("""COMPUTED_VALUE"""),"Yes")</f>
        <v>Yes</v>
      </c>
      <c r="V1694" s="5" t="str">
        <f ca="1">IFERROR(__xludf.DUMMYFUNCTION("""COMPUTED_VALUE"""),"Lunch")</f>
        <v>Lunch</v>
      </c>
      <c r="W1694" s="10">
        <f ca="1">IFERROR(__xludf.DUMMYFUNCTION("""COMPUTED_VALUE"""),0.529861111111111)</f>
        <v>0.52986111111111101</v>
      </c>
      <c r="X1694" s="5">
        <f ca="1">IFERROR(__xludf.DUMMYFUNCTION("""COMPUTED_VALUE"""),1)</f>
        <v>1</v>
      </c>
      <c r="Y1694" s="5" t="str">
        <f ca="1">IFERROR(__xludf.DUMMYFUNCTION("""COMPUTED_VALUE"""),"Escalation of argument")</f>
        <v>Escalation of argument</v>
      </c>
      <c r="Z1694" s="5" t="str">
        <f ca="1">IFERROR(__xludf.DUMMYFUNCTION("""COMPUTED_VALUE"""),"Both shooter and victim were in summer school together. Witnesses say each were bickering at each other all day. At time of shooting, victim was seated in his car. Shooter retrieved .38 caliber handgun from his car, walked over to victim and shot him once"&amp;" in the chest. Shooter then sat on the hood of his vehicle and immediately surrendered to school officials.")</f>
        <v>Both shooter and victim were in summer school together. Witnesses say each were bickering at each other all day. At time of shooting, victim was seated in his car. Shooter retrieved .38 caliber handgun from his car, walked over to victim and shot him once in the chest. Shooter then sat on the hood of his vehicle and immediately surrendered to school officials.</v>
      </c>
      <c r="AA1694" s="5" t="str">
        <f ca="1">IFERROR(__xludf.DUMMYFUNCTION("""COMPUTED_VALUE"""),"Escalation of Dispute")</f>
        <v>Escalation of Dispute</v>
      </c>
      <c r="AB1694" s="5" t="str">
        <f ca="1">IFERROR(__xludf.DUMMYFUNCTION("""COMPUTED_VALUE"""),"Victims Targeted")</f>
        <v>Victims Targeted</v>
      </c>
      <c r="AC1694" s="5" t="str">
        <f ca="1">IFERROR(__xludf.DUMMYFUNCTION("""COMPUTED_VALUE"""),"No")</f>
        <v>No</v>
      </c>
      <c r="AD1694" s="5" t="str">
        <f ca="1">IFERROR(__xludf.DUMMYFUNCTION("""COMPUTED_VALUE"""),"No")</f>
        <v>No</v>
      </c>
      <c r="AE1694" s="5" t="str">
        <f ca="1">IFERROR(__xludf.DUMMYFUNCTION("""COMPUTED_VALUE"""),"No")</f>
        <v>No</v>
      </c>
      <c r="AF1694" s="5" t="str">
        <f ca="1">IFERROR(__xludf.DUMMYFUNCTION("""COMPUTED_VALUE"""),"No")</f>
        <v>No</v>
      </c>
      <c r="AG1694" s="5"/>
      <c r="AH1694" s="5" t="str">
        <f ca="1">IFERROR(__xludf.DUMMYFUNCTION("""COMPUTED_VALUE"""),"No")</f>
        <v>No</v>
      </c>
      <c r="AI1694" s="5" t="str">
        <f ca="1">IFERROR(__xludf.DUMMYFUNCTION("""COMPUTED_VALUE"""),"No")</f>
        <v>No</v>
      </c>
      <c r="AJ1694" s="5" t="str">
        <f ca="1">IFERROR(__xludf.DUMMYFUNCTION("""COMPUTED_VALUE"""),"No")</f>
        <v>No</v>
      </c>
    </row>
    <row r="1695" spans="1:36" ht="13">
      <c r="A1695" s="5" t="str">
        <f ca="1">IFERROR(__xludf.DUMMYFUNCTION("""COMPUTED_VALUE"""),"19970520OHDUD")</f>
        <v>19970520OHDUD</v>
      </c>
      <c r="B1695" s="5">
        <f ca="1">IFERROR(__xludf.DUMMYFUNCTION("""COMPUTED_VALUE"""),5)</f>
        <v>5</v>
      </c>
      <c r="C1695" s="5">
        <f ca="1">IFERROR(__xludf.DUMMYFUNCTION("""COMPUTED_VALUE"""),20)</f>
        <v>20</v>
      </c>
      <c r="D1695" s="5">
        <f ca="1">IFERROR(__xludf.DUMMYFUNCTION("""COMPUTED_VALUE"""),1997)</f>
        <v>1997</v>
      </c>
      <c r="E1695" s="8">
        <f ca="1">IFERROR(__xludf.DUMMYFUNCTION("""COMPUTED_VALUE"""),35570)</f>
        <v>35570</v>
      </c>
      <c r="F1695" s="5" t="str">
        <f ca="1">IFERROR(__xludf.DUMMYFUNCTION("""COMPUTED_VALUE"""),"Dunbar High School")</f>
        <v>Dunbar High School</v>
      </c>
      <c r="G1695" s="5">
        <f ca="1">IFERROR(__xludf.DUMMYFUNCTION("""COMPUTED_VALUE"""),0)</f>
        <v>0</v>
      </c>
      <c r="H1695" s="5">
        <f ca="1">IFERROR(__xludf.DUMMYFUNCTION("""COMPUTED_VALUE"""),1)</f>
        <v>1</v>
      </c>
      <c r="I1695" s="5">
        <f ca="1">IFERROR(__xludf.DUMMYFUNCTION("""COMPUTED_VALUE"""),1)</f>
        <v>1</v>
      </c>
      <c r="J1695" s="5">
        <f ca="1">IFERROR(__xludf.DUMMYFUNCTION("""COMPUTED_VALUE"""),0)</f>
        <v>0</v>
      </c>
      <c r="K1695" s="9" t="str">
        <f ca="1">IFERROR(__xludf.DUMMYFUNCTION("""COMPUTED_VALUE"""),"https://www.newspapers.com/image/295695332/?terms=student%2Bshoots")</f>
        <v>https://www.newspapers.com/image/295695332/?terms=student%2Bshoots</v>
      </c>
      <c r="L1695" s="5"/>
      <c r="M1695" s="5"/>
      <c r="N1695" s="5">
        <f ca="1">IFERROR(__xludf.DUMMYFUNCTION("""COMPUTED_VALUE"""),2)</f>
        <v>2</v>
      </c>
      <c r="O1695" s="5" t="str">
        <f ca="1">IFERROR(__xludf.DUMMYFUNCTION("""COMPUTED_VALUE"""),"Spring")</f>
        <v>Spring</v>
      </c>
      <c r="P1695" s="5" t="str">
        <f ca="1">IFERROR(__xludf.DUMMYFUNCTION("""COMPUTED_VALUE"""),"Dayton")</f>
        <v>Dayton</v>
      </c>
      <c r="Q1695" s="5" t="str">
        <f ca="1">IFERROR(__xludf.DUMMYFUNCTION("""COMPUTED_VALUE"""),"OH")</f>
        <v>OH</v>
      </c>
      <c r="R1695" s="5" t="str">
        <f ca="1">IFERROR(__xludf.DUMMYFUNCTION("""COMPUTED_VALUE"""),"High")</f>
        <v>High</v>
      </c>
      <c r="S1695" s="5" t="str">
        <f ca="1">IFERROR(__xludf.DUMMYFUNCTION("""COMPUTED_VALUE"""),"Cafeteria")</f>
        <v>Cafeteria</v>
      </c>
      <c r="T1695" s="5" t="str">
        <f ca="1">IFERROR(__xludf.DUMMYFUNCTION("""COMPUTED_VALUE"""),"Inside School Building")</f>
        <v>Inside School Building</v>
      </c>
      <c r="U1695" s="5" t="str">
        <f ca="1">IFERROR(__xludf.DUMMYFUNCTION("""COMPUTED_VALUE"""),"Yes")</f>
        <v>Yes</v>
      </c>
      <c r="V1695" s="5" t="str">
        <f ca="1">IFERROR(__xludf.DUMMYFUNCTION("""COMPUTED_VALUE"""),"Lunch")</f>
        <v>Lunch</v>
      </c>
      <c r="W1695" s="5"/>
      <c r="X1695" s="5">
        <f ca="1">IFERROR(__xludf.DUMMYFUNCTION("""COMPUTED_VALUE"""),1)</f>
        <v>1</v>
      </c>
      <c r="Y1695" s="5" t="str">
        <f ca="1">IFERROR(__xludf.DUMMYFUNCTION("""COMPUTED_VALUE"""),"Showing off gun at lunch")</f>
        <v>Showing off gun at lunch</v>
      </c>
      <c r="Z1695" s="5" t="str">
        <f ca="1">IFERROR(__xludf.DUMMYFUNCTION("""COMPUTED_VALUE"""),"16 year-old male came to school with .38 caliber hidden in pants - was in cafeteria showing off gun when he accidentally shot himself in the leg.")</f>
        <v>16 year-old male came to school with .38 caliber hidden in pants - was in cafeteria showing off gun when he accidentally shot himself in the leg.</v>
      </c>
      <c r="AA1695" s="5" t="str">
        <f ca="1">IFERROR(__xludf.DUMMYFUNCTION("""COMPUTED_VALUE"""),"Accidental")</f>
        <v>Accidental</v>
      </c>
      <c r="AB1695" s="5" t="str">
        <f ca="1">IFERROR(__xludf.DUMMYFUNCTION("""COMPUTED_VALUE"""),"Random Shooting")</f>
        <v>Random Shooting</v>
      </c>
      <c r="AC1695" s="5" t="str">
        <f ca="1">IFERROR(__xludf.DUMMYFUNCTION("""COMPUTED_VALUE"""),"No")</f>
        <v>No</v>
      </c>
      <c r="AD1695" s="5" t="str">
        <f ca="1">IFERROR(__xludf.DUMMYFUNCTION("""COMPUTED_VALUE"""),"No")</f>
        <v>No</v>
      </c>
      <c r="AE1695" s="5" t="str">
        <f ca="1">IFERROR(__xludf.DUMMYFUNCTION("""COMPUTED_VALUE"""),"No")</f>
        <v>No</v>
      </c>
      <c r="AF1695" s="5" t="str">
        <f ca="1">IFERROR(__xludf.DUMMYFUNCTION("""COMPUTED_VALUE"""),"No")</f>
        <v>No</v>
      </c>
      <c r="AG1695" s="5" t="str">
        <f ca="1">IFERROR(__xludf.DUMMYFUNCTION("""COMPUTED_VALUE"""),"No")</f>
        <v>No</v>
      </c>
      <c r="AH1695" s="5" t="str">
        <f ca="1">IFERROR(__xludf.DUMMYFUNCTION("""COMPUTED_VALUE"""),"No")</f>
        <v>No</v>
      </c>
      <c r="AI1695" s="5" t="str">
        <f ca="1">IFERROR(__xludf.DUMMYFUNCTION("""COMPUTED_VALUE"""),"No")</f>
        <v>No</v>
      </c>
      <c r="AJ1695" s="5"/>
    </row>
    <row r="1696" spans="1:36" ht="13">
      <c r="A1696" s="5" t="str">
        <f ca="1">IFERROR(__xludf.DUMMYFUNCTION("""COMPUTED_VALUE"""),"19970513FLNOM")</f>
        <v>19970513FLNOM</v>
      </c>
      <c r="B1696" s="5">
        <f ca="1">IFERROR(__xludf.DUMMYFUNCTION("""COMPUTED_VALUE"""),5)</f>
        <v>5</v>
      </c>
      <c r="C1696" s="5">
        <f ca="1">IFERROR(__xludf.DUMMYFUNCTION("""COMPUTED_VALUE"""),13)</f>
        <v>13</v>
      </c>
      <c r="D1696" s="5">
        <f ca="1">IFERROR(__xludf.DUMMYFUNCTION("""COMPUTED_VALUE"""),1997)</f>
        <v>1997</v>
      </c>
      <c r="E1696" s="8">
        <f ca="1">IFERROR(__xludf.DUMMYFUNCTION("""COMPUTED_VALUE"""),35563)</f>
        <v>35563</v>
      </c>
      <c r="F1696" s="5" t="str">
        <f ca="1">IFERROR(__xludf.DUMMYFUNCTION("""COMPUTED_VALUE"""),"Northwestern High School")</f>
        <v>Northwestern High School</v>
      </c>
      <c r="G1696" s="5">
        <f ca="1">IFERROR(__xludf.DUMMYFUNCTION("""COMPUTED_VALUE"""),0)</f>
        <v>0</v>
      </c>
      <c r="H1696" s="5">
        <f ca="1">IFERROR(__xludf.DUMMYFUNCTION("""COMPUTED_VALUE"""),1)</f>
        <v>1</v>
      </c>
      <c r="I1696" s="5">
        <f ca="1">IFERROR(__xludf.DUMMYFUNCTION("""COMPUTED_VALUE"""),1)</f>
        <v>1</v>
      </c>
      <c r="J1696" s="5">
        <f ca="1">IFERROR(__xludf.DUMMYFUNCTION("""COMPUTED_VALUE"""),0)</f>
        <v>0</v>
      </c>
      <c r="K1696" s="9" t="str">
        <f ca="1">IFERROR(__xludf.DUMMYFUNCTION("""COMPUTED_VALUE"""),"https://www.newspapers.com/image/186768947/?terms=student%2Bshoots")</f>
        <v>https://www.newspapers.com/image/186768947/?terms=student%2Bshoots</v>
      </c>
      <c r="L1696" s="5"/>
      <c r="M1696" s="5"/>
      <c r="N1696" s="5">
        <f ca="1">IFERROR(__xludf.DUMMYFUNCTION("""COMPUTED_VALUE"""),2)</f>
        <v>2</v>
      </c>
      <c r="O1696" s="5" t="str">
        <f ca="1">IFERROR(__xludf.DUMMYFUNCTION("""COMPUTED_VALUE"""),"Spring")</f>
        <v>Spring</v>
      </c>
      <c r="P1696" s="5" t="str">
        <f ca="1">IFERROR(__xludf.DUMMYFUNCTION("""COMPUTED_VALUE"""),"Miami")</f>
        <v>Miami</v>
      </c>
      <c r="Q1696" s="5" t="str">
        <f ca="1">IFERROR(__xludf.DUMMYFUNCTION("""COMPUTED_VALUE"""),"FL")</f>
        <v>FL</v>
      </c>
      <c r="R1696" s="5" t="str">
        <f ca="1">IFERROR(__xludf.DUMMYFUNCTION("""COMPUTED_VALUE"""),"High")</f>
        <v>High</v>
      </c>
      <c r="S1696" s="5" t="str">
        <f ca="1">IFERROR(__xludf.DUMMYFUNCTION("""COMPUTED_VALUE"""),"Hallway")</f>
        <v>Hallway</v>
      </c>
      <c r="T1696" s="5" t="str">
        <f ca="1">IFERROR(__xludf.DUMMYFUNCTION("""COMPUTED_VALUE"""),"Inside School Building")</f>
        <v>Inside School Building</v>
      </c>
      <c r="U1696" s="5" t="str">
        <f ca="1">IFERROR(__xludf.DUMMYFUNCTION("""COMPUTED_VALUE"""),"Yes")</f>
        <v>Yes</v>
      </c>
      <c r="V1696" s="5" t="str">
        <f ca="1">IFERROR(__xludf.DUMMYFUNCTION("""COMPUTED_VALUE"""),"Morning Classes")</f>
        <v>Morning Classes</v>
      </c>
      <c r="W1696" s="10">
        <f ca="1">IFERROR(__xludf.DUMMYFUNCTION("""COMPUTED_VALUE"""),0.354166666666666)</f>
        <v>0.35416666666666602</v>
      </c>
      <c r="X1696" s="5">
        <f ca="1">IFERROR(__xludf.DUMMYFUNCTION("""COMPUTED_VALUE"""),1)</f>
        <v>1</v>
      </c>
      <c r="Y1696" s="5" t="str">
        <f ca="1">IFERROR(__xludf.DUMMYFUNCTION("""COMPUTED_VALUE"""),"Shooter lost $20 to victim in poker game at school - shot him in fit of rage")</f>
        <v>Shooter lost $20 to victim in poker game at school - shot him in fit of rage</v>
      </c>
      <c r="Z1696" s="5" t="str">
        <f ca="1">IFERROR(__xludf.DUMMYFUNCTION("""COMPUTED_VALUE"""),"17 year-old male shooter and 14 year-old male victim were playing poker in stairwell of school - shooter lost $20 to victim. When victim refused to return the money, shooter shot victim in thigh. Shooter immediately left school to dispose of gun then retu"&amp;"rned. Eventually cooperated with police and led them to gun.")</f>
        <v>17 year-old male shooter and 14 year-old male victim were playing poker in stairwell of school - shooter lost $20 to victim. When victim refused to return the money, shooter shot victim in thigh. Shooter immediately left school to dispose of gun then returned. Eventually cooperated with police and led them to gun.</v>
      </c>
      <c r="AA1696" s="5" t="str">
        <f ca="1">IFERROR(__xludf.DUMMYFUNCTION("""COMPUTED_VALUE"""),"Escalation of Dispute")</f>
        <v>Escalation of Dispute</v>
      </c>
      <c r="AB1696" s="5" t="str">
        <f ca="1">IFERROR(__xludf.DUMMYFUNCTION("""COMPUTED_VALUE"""),"Victims Targeted")</f>
        <v>Victims Targeted</v>
      </c>
      <c r="AC1696" s="5" t="str">
        <f ca="1">IFERROR(__xludf.DUMMYFUNCTION("""COMPUTED_VALUE"""),"No")</f>
        <v>No</v>
      </c>
      <c r="AD1696" s="5" t="str">
        <f ca="1">IFERROR(__xludf.DUMMYFUNCTION("""COMPUTED_VALUE"""),"No")</f>
        <v>No</v>
      </c>
      <c r="AE1696" s="5" t="str">
        <f ca="1">IFERROR(__xludf.DUMMYFUNCTION("""COMPUTED_VALUE"""),"No")</f>
        <v>No</v>
      </c>
      <c r="AF1696" s="5" t="str">
        <f ca="1">IFERROR(__xludf.DUMMYFUNCTION("""COMPUTED_VALUE"""),"No")</f>
        <v>No</v>
      </c>
      <c r="AG1696" s="5" t="str">
        <f ca="1">IFERROR(__xludf.DUMMYFUNCTION("""COMPUTED_VALUE"""),"No")</f>
        <v>No</v>
      </c>
      <c r="AH1696" s="5" t="str">
        <f ca="1">IFERROR(__xludf.DUMMYFUNCTION("""COMPUTED_VALUE"""),"No")</f>
        <v>No</v>
      </c>
      <c r="AI1696" s="5" t="str">
        <f ca="1">IFERROR(__xludf.DUMMYFUNCTION("""COMPUTED_VALUE"""),"No")</f>
        <v>No</v>
      </c>
      <c r="AJ1696" s="5"/>
    </row>
    <row r="1697" spans="1:36" ht="13">
      <c r="A1697" s="5" t="str">
        <f ca="1">IFERROR(__xludf.DUMMYFUNCTION("""COMPUTED_VALUE"""),"19970430NYCIN")</f>
        <v>19970430NYCIN</v>
      </c>
      <c r="B1697" s="5">
        <f ca="1">IFERROR(__xludf.DUMMYFUNCTION("""COMPUTED_VALUE"""),4)</f>
        <v>4</v>
      </c>
      <c r="C1697" s="5">
        <f ca="1">IFERROR(__xludf.DUMMYFUNCTION("""COMPUTED_VALUE"""),30)</f>
        <v>30</v>
      </c>
      <c r="D1697" s="5">
        <f ca="1">IFERROR(__xludf.DUMMYFUNCTION("""COMPUTED_VALUE"""),1997)</f>
        <v>1997</v>
      </c>
      <c r="E1697" s="8">
        <f ca="1">IFERROR(__xludf.DUMMYFUNCTION("""COMPUTED_VALUE"""),35550)</f>
        <v>35550</v>
      </c>
      <c r="F1697" s="5" t="str">
        <f ca="1">IFERROR(__xludf.DUMMYFUNCTION("""COMPUTED_VALUE"""),"City-as-School High School")</f>
        <v>City-as-School High School</v>
      </c>
      <c r="G1697" s="5">
        <f ca="1">IFERROR(__xludf.DUMMYFUNCTION("""COMPUTED_VALUE"""),1)</f>
        <v>1</v>
      </c>
      <c r="H1697" s="5">
        <f ca="1">IFERROR(__xludf.DUMMYFUNCTION("""COMPUTED_VALUE"""),0)</f>
        <v>0</v>
      </c>
      <c r="I1697" s="5">
        <f ca="1">IFERROR(__xludf.DUMMYFUNCTION("""COMPUTED_VALUE"""),1)</f>
        <v>1</v>
      </c>
      <c r="J1697" s="5">
        <f ca="1">IFERROR(__xludf.DUMMYFUNCTION("""COMPUTED_VALUE"""),0)</f>
        <v>0</v>
      </c>
      <c r="K1697" s="5" t="str">
        <f ca="1">IFERROR(__xludf.DUMMYFUNCTION("""COMPUTED_VALUE"""),"The New York Times - Student is Shot Outside School in Manhattan; https://www.columbine-angels.com/School_Violence_1996-1997.htm")</f>
        <v>The New York Times - Student is Shot Outside School in Manhattan; https://www.columbine-angels.com/School_Violence_1996-1997.htm</v>
      </c>
      <c r="L1697" s="5"/>
      <c r="M1697" s="5"/>
      <c r="N1697" s="5">
        <f ca="1">IFERROR(__xludf.DUMMYFUNCTION("""COMPUTED_VALUE"""),1)</f>
        <v>1</v>
      </c>
      <c r="O1697" s="5" t="str">
        <f ca="1">IFERROR(__xludf.DUMMYFUNCTION("""COMPUTED_VALUE"""),"Spring")</f>
        <v>Spring</v>
      </c>
      <c r="P1697" s="5" t="str">
        <f ca="1">IFERROR(__xludf.DUMMYFUNCTION("""COMPUTED_VALUE"""),"New York")</f>
        <v>New York</v>
      </c>
      <c r="Q1697" s="5" t="str">
        <f ca="1">IFERROR(__xludf.DUMMYFUNCTION("""COMPUTED_VALUE"""),"NY")</f>
        <v>NY</v>
      </c>
      <c r="R1697" s="5" t="str">
        <f ca="1">IFERROR(__xludf.DUMMYFUNCTION("""COMPUTED_VALUE"""),"High")</f>
        <v>High</v>
      </c>
      <c r="S1697" s="5" t="str">
        <f ca="1">IFERROR(__xludf.DUMMYFUNCTION("""COMPUTED_VALUE"""),"Front of School")</f>
        <v>Front of School</v>
      </c>
      <c r="T1697" s="5" t="str">
        <f ca="1">IFERROR(__xludf.DUMMYFUNCTION("""COMPUTED_VALUE"""),"Outside on School Property")</f>
        <v>Outside on School Property</v>
      </c>
      <c r="U1697" s="5" t="str">
        <f ca="1">IFERROR(__xludf.DUMMYFUNCTION("""COMPUTED_VALUE"""),"Yes")</f>
        <v>Yes</v>
      </c>
      <c r="V1697" s="5" t="str">
        <f ca="1">IFERROR(__xludf.DUMMYFUNCTION("""COMPUTED_VALUE"""),"Lunch")</f>
        <v>Lunch</v>
      </c>
      <c r="W1697" s="10">
        <f ca="1">IFERROR(__xludf.DUMMYFUNCTION("""COMPUTED_VALUE"""),0.520833333333333)</f>
        <v>0.52083333333333304</v>
      </c>
      <c r="X1697" s="5">
        <f ca="1">IFERROR(__xludf.DUMMYFUNCTION("""COMPUTED_VALUE"""),1)</f>
        <v>1</v>
      </c>
      <c r="Y1697" s="5" t="str">
        <f ca="1">IFERROR(__xludf.DUMMYFUNCTION("""COMPUTED_VALUE"""),"Shot on steps outside of school")</f>
        <v>Shot on steps outside of school</v>
      </c>
      <c r="Z1697" s="5" t="str">
        <f ca="1">IFERROR(__xludf.DUMMYFUNCTION("""COMPUTED_VALUE"""),"An argument broke out between two students during school. Leading to a 19 year-old male victim shot on the steps of the school by 18 year-old male student.")</f>
        <v>An argument broke out between two students during school. Leading to a 19 year-old male victim shot on the steps of the school by 18 year-old male student.</v>
      </c>
      <c r="AA1697" s="5" t="str">
        <f ca="1">IFERROR(__xludf.DUMMYFUNCTION("""COMPUTED_VALUE"""),"Escalation of Dispute")</f>
        <v>Escalation of Dispute</v>
      </c>
      <c r="AB1697" s="5"/>
      <c r="AC1697" s="5" t="str">
        <f ca="1">IFERROR(__xludf.DUMMYFUNCTION("""COMPUTED_VALUE"""),"No")</f>
        <v>No</v>
      </c>
      <c r="AD1697" s="5" t="str">
        <f ca="1">IFERROR(__xludf.DUMMYFUNCTION("""COMPUTED_VALUE"""),"No")</f>
        <v>No</v>
      </c>
      <c r="AE1697" s="5" t="str">
        <f ca="1">IFERROR(__xludf.DUMMYFUNCTION("""COMPUTED_VALUE"""),"No")</f>
        <v>No</v>
      </c>
      <c r="AF1697" s="5" t="str">
        <f ca="1">IFERROR(__xludf.DUMMYFUNCTION("""COMPUTED_VALUE"""),"No")</f>
        <v>No</v>
      </c>
      <c r="AG1697" s="5"/>
      <c r="AH1697" s="5" t="str">
        <f ca="1">IFERROR(__xludf.DUMMYFUNCTION("""COMPUTED_VALUE"""),"No")</f>
        <v>No</v>
      </c>
      <c r="AI1697" s="5"/>
      <c r="AJ1697" s="5"/>
    </row>
    <row r="1698" spans="1:36" ht="13">
      <c r="A1698" s="5" t="str">
        <f ca="1">IFERROR(__xludf.DUMMYFUNCTION("""COMPUTED_VALUE"""),"19970428CAJOL")</f>
        <v>19970428CAJOL</v>
      </c>
      <c r="B1698" s="5">
        <f ca="1">IFERROR(__xludf.DUMMYFUNCTION("""COMPUTED_VALUE"""),4)</f>
        <v>4</v>
      </c>
      <c r="C1698" s="5">
        <f ca="1">IFERROR(__xludf.DUMMYFUNCTION("""COMPUTED_VALUE"""),28)</f>
        <v>28</v>
      </c>
      <c r="D1698" s="5">
        <f ca="1">IFERROR(__xludf.DUMMYFUNCTION("""COMPUTED_VALUE"""),1997)</f>
        <v>1997</v>
      </c>
      <c r="E1698" s="8">
        <f ca="1">IFERROR(__xludf.DUMMYFUNCTION("""COMPUTED_VALUE"""),35548)</f>
        <v>35548</v>
      </c>
      <c r="F1698" s="5" t="str">
        <f ca="1">IFERROR(__xludf.DUMMYFUNCTION("""COMPUTED_VALUE"""),"John Marshall High School")</f>
        <v>John Marshall High School</v>
      </c>
      <c r="G1698" s="5">
        <f ca="1">IFERROR(__xludf.DUMMYFUNCTION("""COMPUTED_VALUE"""),1)</f>
        <v>1</v>
      </c>
      <c r="H1698" s="5">
        <f ca="1">IFERROR(__xludf.DUMMYFUNCTION("""COMPUTED_VALUE"""),0)</f>
        <v>0</v>
      </c>
      <c r="I1698" s="5">
        <f ca="1">IFERROR(__xludf.DUMMYFUNCTION("""COMPUTED_VALUE"""),1)</f>
        <v>1</v>
      </c>
      <c r="J1698" s="5">
        <f ca="1">IFERROR(__xludf.DUMMYFUNCTION("""COMPUTED_VALUE"""),0)</f>
        <v>0</v>
      </c>
      <c r="K1698" s="9" t="str">
        <f ca="1">IFERROR(__xludf.DUMMYFUNCTION("""COMPUTED_VALUE"""),"http://www.psychceu.com/school_violence/savd.pdf")</f>
        <v>http://www.psychceu.com/school_violence/savd.pdf</v>
      </c>
      <c r="L1698" s="5"/>
      <c r="M1698" s="5"/>
      <c r="N1698" s="5">
        <f ca="1">IFERROR(__xludf.DUMMYFUNCTION("""COMPUTED_VALUE"""),1)</f>
        <v>1</v>
      </c>
      <c r="O1698" s="5" t="str">
        <f ca="1">IFERROR(__xludf.DUMMYFUNCTION("""COMPUTED_VALUE"""),"Spring")</f>
        <v>Spring</v>
      </c>
      <c r="P1698" s="5" t="str">
        <f ca="1">IFERROR(__xludf.DUMMYFUNCTION("""COMPUTED_VALUE"""),"Los Angeles")</f>
        <v>Los Angeles</v>
      </c>
      <c r="Q1698" s="5" t="str">
        <f ca="1">IFERROR(__xludf.DUMMYFUNCTION("""COMPUTED_VALUE"""),"CA")</f>
        <v>CA</v>
      </c>
      <c r="R1698" s="5" t="str">
        <f ca="1">IFERROR(__xludf.DUMMYFUNCTION("""COMPUTED_VALUE"""),"High")</f>
        <v>High</v>
      </c>
      <c r="S1698" s="5" t="str">
        <f ca="1">IFERROR(__xludf.DUMMYFUNCTION("""COMPUTED_VALUE"""),"Beside Building")</f>
        <v>Beside Building</v>
      </c>
      <c r="T1698" s="5" t="str">
        <f ca="1">IFERROR(__xludf.DUMMYFUNCTION("""COMPUTED_VALUE"""),"Outside on School Property")</f>
        <v>Outside on School Property</v>
      </c>
      <c r="U1698" s="5"/>
      <c r="V1698" s="5"/>
      <c r="W1698" s="5"/>
      <c r="X1698" s="5"/>
      <c r="Y1698" s="5" t="str">
        <f ca="1">IFERROR(__xludf.DUMMYFUNCTION("""COMPUTED_VALUE"""),"Student shot by gang members outside of school")</f>
        <v>Student shot by gang members outside of school</v>
      </c>
      <c r="Z1698" s="5" t="str">
        <f ca="1">IFERROR(__xludf.DUMMYFUNCTION("""COMPUTED_VALUE"""),"17 year-old male shot multiple time trying to flee from 2 gang members (15 year-old male and 14-year old male students) outside of school.")</f>
        <v>17 year-old male shot multiple time trying to flee from 2 gang members (15 year-old male and 14-year old male students) outside of school.</v>
      </c>
      <c r="AA1698" s="5" t="str">
        <f ca="1">IFERROR(__xludf.DUMMYFUNCTION("""COMPUTED_VALUE"""),"Escalation of Dispute")</f>
        <v>Escalation of Dispute</v>
      </c>
      <c r="AB1698" s="5" t="str">
        <f ca="1">IFERROR(__xludf.DUMMYFUNCTION("""COMPUTED_VALUE"""),"Victims Targeted")</f>
        <v>Victims Targeted</v>
      </c>
      <c r="AC1698" s="5" t="str">
        <f ca="1">IFERROR(__xludf.DUMMYFUNCTION("""COMPUTED_VALUE"""),"Yes")</f>
        <v>Yes</v>
      </c>
      <c r="AD1698" s="5" t="str">
        <f ca="1">IFERROR(__xludf.DUMMYFUNCTION("""COMPUTED_VALUE"""),"No")</f>
        <v>No</v>
      </c>
      <c r="AE1698" s="5" t="str">
        <f ca="1">IFERROR(__xludf.DUMMYFUNCTION("""COMPUTED_VALUE"""),"No")</f>
        <v>No</v>
      </c>
      <c r="AF1698" s="5" t="str">
        <f ca="1">IFERROR(__xludf.DUMMYFUNCTION("""COMPUTED_VALUE"""),"No")</f>
        <v>No</v>
      </c>
      <c r="AG1698" s="5" t="str">
        <f ca="1">IFERROR(__xludf.DUMMYFUNCTION("""COMPUTED_VALUE"""),"No")</f>
        <v>No</v>
      </c>
      <c r="AH1698" s="5" t="str">
        <f ca="1">IFERROR(__xludf.DUMMYFUNCTION("""COMPUTED_VALUE"""),"No")</f>
        <v>No</v>
      </c>
      <c r="AI1698" s="5" t="str">
        <f ca="1">IFERROR(__xludf.DUMMYFUNCTION("""COMPUTED_VALUE"""),"Yes")</f>
        <v>Yes</v>
      </c>
      <c r="AJ1698" s="5"/>
    </row>
    <row r="1699" spans="1:36" ht="13">
      <c r="A1699" s="5" t="str">
        <f ca="1">IFERROR(__xludf.DUMMYFUNCTION("""COMPUTED_VALUE"""),"19970403CAMAM")</f>
        <v>19970403CAMAM</v>
      </c>
      <c r="B1699" s="5">
        <f ca="1">IFERROR(__xludf.DUMMYFUNCTION("""COMPUTED_VALUE"""),4)</f>
        <v>4</v>
      </c>
      <c r="C1699" s="5">
        <f ca="1">IFERROR(__xludf.DUMMYFUNCTION("""COMPUTED_VALUE"""),3)</f>
        <v>3</v>
      </c>
      <c r="D1699" s="5">
        <f ca="1">IFERROR(__xludf.DUMMYFUNCTION("""COMPUTED_VALUE"""),1997)</f>
        <v>1997</v>
      </c>
      <c r="E1699" s="8">
        <f ca="1">IFERROR(__xludf.DUMMYFUNCTION("""COMPUTED_VALUE"""),35523)</f>
        <v>35523</v>
      </c>
      <c r="F1699" s="5" t="str">
        <f ca="1">IFERROR(__xludf.DUMMYFUNCTION("""COMPUTED_VALUE"""),"Maria Del Rey Junior High School")</f>
        <v>Maria Del Rey Junior High School</v>
      </c>
      <c r="G1699" s="5">
        <f ca="1">IFERROR(__xludf.DUMMYFUNCTION("""COMPUTED_VALUE"""),1)</f>
        <v>1</v>
      </c>
      <c r="H1699" s="5">
        <f ca="1">IFERROR(__xludf.DUMMYFUNCTION("""COMPUTED_VALUE"""),0)</f>
        <v>0</v>
      </c>
      <c r="I1699" s="5">
        <f ca="1">IFERROR(__xludf.DUMMYFUNCTION("""COMPUTED_VALUE"""),1)</f>
        <v>1</v>
      </c>
      <c r="J1699" s="5">
        <f ca="1">IFERROR(__xludf.DUMMYFUNCTION("""COMPUTED_VALUE"""),0)</f>
        <v>0</v>
      </c>
      <c r="K1699" s="5" t="str">
        <f ca="1">IFERROR(__xludf.DUMMYFUNCTION("""COMPUTED_VALUE"""),"http://www.psychceu.com/school_violence/savd.pdf https://www.latimes.com/archives/la-xpm-1997-04-16-ls-49048-story.html")</f>
        <v>http://www.psychceu.com/school_violence/savd.pdf https://www.latimes.com/archives/la-xpm-1997-04-16-ls-49048-story.html</v>
      </c>
      <c r="L1699" s="5"/>
      <c r="M1699" s="5"/>
      <c r="N1699" s="5">
        <f ca="1">IFERROR(__xludf.DUMMYFUNCTION("""COMPUTED_VALUE"""),1)</f>
        <v>1</v>
      </c>
      <c r="O1699" s="5" t="str">
        <f ca="1">IFERROR(__xludf.DUMMYFUNCTION("""COMPUTED_VALUE"""),"Spring")</f>
        <v>Spring</v>
      </c>
      <c r="P1699" s="5" t="str">
        <f ca="1">IFERROR(__xludf.DUMMYFUNCTION("""COMPUTED_VALUE"""),"Mar Vista")</f>
        <v>Mar Vista</v>
      </c>
      <c r="Q1699" s="5" t="str">
        <f ca="1">IFERROR(__xludf.DUMMYFUNCTION("""COMPUTED_VALUE"""),"CA")</f>
        <v>CA</v>
      </c>
      <c r="R1699" s="5" t="str">
        <f ca="1">IFERROR(__xludf.DUMMYFUNCTION("""COMPUTED_VALUE"""),"High")</f>
        <v>High</v>
      </c>
      <c r="S1699" s="5" t="str">
        <f ca="1">IFERROR(__xludf.DUMMYFUNCTION("""COMPUTED_VALUE"""),"Front of School")</f>
        <v>Front of School</v>
      </c>
      <c r="T1699" s="5" t="str">
        <f ca="1">IFERROR(__xludf.DUMMYFUNCTION("""COMPUTED_VALUE"""),"Outside on School Property")</f>
        <v>Outside on School Property</v>
      </c>
      <c r="U1699" s="5"/>
      <c r="V1699" s="5"/>
      <c r="W1699" s="5"/>
      <c r="X1699" s="5"/>
      <c r="Y1699" s="5" t="str">
        <f ca="1">IFERROR(__xludf.DUMMYFUNCTION("""COMPUTED_VALUE"""),"Student shot during drive-by outside of school")</f>
        <v>Student shot during drive-by outside of school</v>
      </c>
      <c r="Z1699" s="5" t="str">
        <f ca="1">IFERROR(__xludf.DUMMYFUNCTION("""COMPUTED_VALUE"""),"14 year-old male shot during drive-by outside of school. Victim had no gang ties and was killed in a drive-by shooting by the Shoreline Crips because of an escalating gang war.")</f>
        <v>14 year-old male shot during drive-by outside of school. Victim had no gang ties and was killed in a drive-by shooting by the Shoreline Crips because of an escalating gang war.</v>
      </c>
      <c r="AA1699" s="5" t="str">
        <f ca="1">IFERROR(__xludf.DUMMYFUNCTION("""COMPUTED_VALUE"""),"Drive-by Shooting")</f>
        <v>Drive-by Shooting</v>
      </c>
      <c r="AB1699" s="5"/>
      <c r="AC1699" s="5" t="str">
        <f ca="1">IFERROR(__xludf.DUMMYFUNCTION("""COMPUTED_VALUE"""),"Unknown")</f>
        <v>Unknown</v>
      </c>
      <c r="AD1699" s="5" t="str">
        <f ca="1">IFERROR(__xludf.DUMMYFUNCTION("""COMPUTED_VALUE"""),"No")</f>
        <v>No</v>
      </c>
      <c r="AE1699" s="5" t="str">
        <f ca="1">IFERROR(__xludf.DUMMYFUNCTION("""COMPUTED_VALUE"""),"No")</f>
        <v>No</v>
      </c>
      <c r="AF1699" s="5" t="str">
        <f ca="1">IFERROR(__xludf.DUMMYFUNCTION("""COMPUTED_VALUE"""),"No")</f>
        <v>No</v>
      </c>
      <c r="AG1699" s="5" t="str">
        <f ca="1">IFERROR(__xludf.DUMMYFUNCTION("""COMPUTED_VALUE"""),"No")</f>
        <v>No</v>
      </c>
      <c r="AH1699" s="5" t="str">
        <f ca="1">IFERROR(__xludf.DUMMYFUNCTION("""COMPUTED_VALUE"""),"No")</f>
        <v>No</v>
      </c>
      <c r="AI1699" s="5" t="str">
        <f ca="1">IFERROR(__xludf.DUMMYFUNCTION("""COMPUTED_VALUE"""),"Yes")</f>
        <v>Yes</v>
      </c>
      <c r="AJ1699" s="5"/>
    </row>
    <row r="1700" spans="1:36" ht="13">
      <c r="A1700" s="5" t="str">
        <f ca="1">IFERROR(__xludf.DUMMYFUNCTION("""COMPUTED_VALUE"""),"19970317MIPED")</f>
        <v>19970317MIPED</v>
      </c>
      <c r="B1700" s="5">
        <f ca="1">IFERROR(__xludf.DUMMYFUNCTION("""COMPUTED_VALUE"""),3)</f>
        <v>3</v>
      </c>
      <c r="C1700" s="5">
        <f ca="1">IFERROR(__xludf.DUMMYFUNCTION("""COMPUTED_VALUE"""),17)</f>
        <v>17</v>
      </c>
      <c r="D1700" s="5">
        <f ca="1">IFERROR(__xludf.DUMMYFUNCTION("""COMPUTED_VALUE"""),1997)</f>
        <v>1997</v>
      </c>
      <c r="E1700" s="8">
        <f ca="1">IFERROR(__xludf.DUMMYFUNCTION("""COMPUTED_VALUE"""),35506)</f>
        <v>35506</v>
      </c>
      <c r="F1700" s="5" t="str">
        <f ca="1">IFERROR(__xludf.DUMMYFUNCTION("""COMPUTED_VALUE"""),"Pershing High School")</f>
        <v>Pershing High School</v>
      </c>
      <c r="G1700" s="5">
        <f ca="1">IFERROR(__xludf.DUMMYFUNCTION("""COMPUTED_VALUE"""),1)</f>
        <v>1</v>
      </c>
      <c r="H1700" s="5">
        <f ca="1">IFERROR(__xludf.DUMMYFUNCTION("""COMPUTED_VALUE"""),0)</f>
        <v>0</v>
      </c>
      <c r="I1700" s="5">
        <f ca="1">IFERROR(__xludf.DUMMYFUNCTION("""COMPUTED_VALUE"""),1)</f>
        <v>1</v>
      </c>
      <c r="J1700" s="5">
        <f ca="1">IFERROR(__xludf.DUMMYFUNCTION("""COMPUTED_VALUE"""),0)</f>
        <v>0</v>
      </c>
      <c r="K1700" s="5" t="str">
        <f ca="1">IFERROR(__xludf.DUMMYFUNCTION("""COMPUTED_VALUE"""),"https://www.newspapers.com/image/99392431/?terms=Kenneth%2BBaumgart https://www.edweek.org/ew/articles/1997/03/26/26briefs.h16.html https://apnews.com/b3b5e852f88ca34f26c1263a9a7e1422")</f>
        <v>https://www.newspapers.com/image/99392431/?terms=Kenneth%2BBaumgart https://www.edweek.org/ew/articles/1997/03/26/26briefs.h16.html https://apnews.com/b3b5e852f88ca34f26c1263a9a7e1422</v>
      </c>
      <c r="L1700" s="5"/>
      <c r="M1700" s="5"/>
      <c r="N1700" s="5">
        <f ca="1">IFERROR(__xludf.DUMMYFUNCTION("""COMPUTED_VALUE"""),2)</f>
        <v>2</v>
      </c>
      <c r="O1700" s="5" t="str">
        <f ca="1">IFERROR(__xludf.DUMMYFUNCTION("""COMPUTED_VALUE"""),"Spring")</f>
        <v>Spring</v>
      </c>
      <c r="P1700" s="5" t="str">
        <f ca="1">IFERROR(__xludf.DUMMYFUNCTION("""COMPUTED_VALUE"""),"Detroit")</f>
        <v>Detroit</v>
      </c>
      <c r="Q1700" s="5" t="str">
        <f ca="1">IFERROR(__xludf.DUMMYFUNCTION("""COMPUTED_VALUE"""),"MI")</f>
        <v>MI</v>
      </c>
      <c r="R1700" s="5" t="str">
        <f ca="1">IFERROR(__xludf.DUMMYFUNCTION("""COMPUTED_VALUE"""),"High")</f>
        <v>High</v>
      </c>
      <c r="S1700" s="5" t="str">
        <f ca="1">IFERROR(__xludf.DUMMYFUNCTION("""COMPUTED_VALUE"""),"Parking Lot")</f>
        <v>Parking Lot</v>
      </c>
      <c r="T1700" s="5" t="str">
        <f ca="1">IFERROR(__xludf.DUMMYFUNCTION("""COMPUTED_VALUE"""),"Outside on School Property")</f>
        <v>Outside on School Property</v>
      </c>
      <c r="U1700" s="5" t="str">
        <f ca="1">IFERROR(__xludf.DUMMYFUNCTION("""COMPUTED_VALUE"""),"Yes")</f>
        <v>Yes</v>
      </c>
      <c r="V1700" s="5" t="str">
        <f ca="1">IFERROR(__xludf.DUMMYFUNCTION("""COMPUTED_VALUE"""),"Dismissal")</f>
        <v>Dismissal</v>
      </c>
      <c r="W1700" s="10">
        <f ca="1">IFERROR(__xludf.DUMMYFUNCTION("""COMPUTED_VALUE"""),0.614583333333333)</f>
        <v>0.61458333333333304</v>
      </c>
      <c r="X1700" s="5">
        <f ca="1">IFERROR(__xludf.DUMMYFUNCTION("""COMPUTED_VALUE"""),1)</f>
        <v>1</v>
      </c>
      <c r="Y1700" s="5" t="str">
        <f ca="1">IFERROR(__xludf.DUMMYFUNCTION("""COMPUTED_VALUE"""),"Argument earlier in day, shooter went to get gun and shot victim involved in conflict")</f>
        <v>Argument earlier in day, shooter went to get gun and shot victim involved in conflict</v>
      </c>
      <c r="Z1700" s="5" t="str">
        <f ca="1">IFERROR(__xludf.DUMMYFUNCTION("""COMPUTED_VALUE"""),"Victim and shooter had ongoing conflict and altercation earlier in the school day. Shooter left to get gun and returned to school to confront victim. Shooter confronted victim in school parking lot and shot the victim as he was walking away from the dispu"&amp;"te. Shooter then fled the scene and multiple students were later arrested.")</f>
        <v>Victim and shooter had ongoing conflict and altercation earlier in the school day. Shooter left to get gun and returned to school to confront victim. Shooter confronted victim in school parking lot and shot the victim as he was walking away from the dispute. Shooter then fled the scene and multiple students were later arrested.</v>
      </c>
      <c r="AA1700" s="5" t="str">
        <f ca="1">IFERROR(__xludf.DUMMYFUNCTION("""COMPUTED_VALUE"""),"Escalation of Dispute")</f>
        <v>Escalation of Dispute</v>
      </c>
      <c r="AB1700" s="5" t="str">
        <f ca="1">IFERROR(__xludf.DUMMYFUNCTION("""COMPUTED_VALUE"""),"Victims Targeted")</f>
        <v>Victims Targeted</v>
      </c>
      <c r="AC1700" s="5" t="str">
        <f ca="1">IFERROR(__xludf.DUMMYFUNCTION("""COMPUTED_VALUE"""),"Yes")</f>
        <v>Yes</v>
      </c>
      <c r="AD1700" s="5" t="str">
        <f ca="1">IFERROR(__xludf.DUMMYFUNCTION("""COMPUTED_VALUE"""),"No")</f>
        <v>No</v>
      </c>
      <c r="AE1700" s="5" t="str">
        <f ca="1">IFERROR(__xludf.DUMMYFUNCTION("""COMPUTED_VALUE"""),"No")</f>
        <v>No</v>
      </c>
      <c r="AF1700" s="5" t="str">
        <f ca="1">IFERROR(__xludf.DUMMYFUNCTION("""COMPUTED_VALUE"""),"No")</f>
        <v>No</v>
      </c>
      <c r="AG1700" s="5" t="str">
        <f ca="1">IFERROR(__xludf.DUMMYFUNCTION("""COMPUTED_VALUE"""),"No")</f>
        <v>No</v>
      </c>
      <c r="AH1700" s="5" t="str">
        <f ca="1">IFERROR(__xludf.DUMMYFUNCTION("""COMPUTED_VALUE"""),"No")</f>
        <v>No</v>
      </c>
      <c r="AI1700" s="5" t="str">
        <f ca="1">IFERROR(__xludf.DUMMYFUNCTION("""COMPUTED_VALUE"""),"No")</f>
        <v>No</v>
      </c>
      <c r="AJ1700" s="5"/>
    </row>
    <row r="1701" spans="1:36" ht="13">
      <c r="A1701" s="5" t="str">
        <f ca="1">IFERROR(__xludf.DUMMYFUNCTION("""COMPUTED_VALUE"""),"19970221NVRAL")</f>
        <v>19970221NVRAL</v>
      </c>
      <c r="B1701" s="5">
        <f ca="1">IFERROR(__xludf.DUMMYFUNCTION("""COMPUTED_VALUE"""),2)</f>
        <v>2</v>
      </c>
      <c r="C1701" s="5">
        <f ca="1">IFERROR(__xludf.DUMMYFUNCTION("""COMPUTED_VALUE"""),21)</f>
        <v>21</v>
      </c>
      <c r="D1701" s="5">
        <f ca="1">IFERROR(__xludf.DUMMYFUNCTION("""COMPUTED_VALUE"""),1997)</f>
        <v>1997</v>
      </c>
      <c r="E1701" s="8">
        <f ca="1">IFERROR(__xludf.DUMMYFUNCTION("""COMPUTED_VALUE"""),35482)</f>
        <v>35482</v>
      </c>
      <c r="F1701" s="5" t="str">
        <f ca="1">IFERROR(__xludf.DUMMYFUNCTION("""COMPUTED_VALUE"""),"Rancho High School")</f>
        <v>Rancho High School</v>
      </c>
      <c r="G1701" s="5">
        <f ca="1">IFERROR(__xludf.DUMMYFUNCTION("""COMPUTED_VALUE"""),0)</f>
        <v>0</v>
      </c>
      <c r="H1701" s="5">
        <f ca="1">IFERROR(__xludf.DUMMYFUNCTION("""COMPUTED_VALUE"""),1)</f>
        <v>1</v>
      </c>
      <c r="I1701" s="5">
        <f ca="1">IFERROR(__xludf.DUMMYFUNCTION("""COMPUTED_VALUE"""),1)</f>
        <v>1</v>
      </c>
      <c r="J1701" s="5">
        <f ca="1">IFERROR(__xludf.DUMMYFUNCTION("""COMPUTED_VALUE"""),0)</f>
        <v>0</v>
      </c>
      <c r="K1701" s="9" t="str">
        <f ca="1">IFERROR(__xludf.DUMMYFUNCTION("""COMPUTED_VALUE"""),"https://m.lasvegassun.com/news/1997/feb/21/rival-gangs-blamed-in-rancho-shooting/")</f>
        <v>https://m.lasvegassun.com/news/1997/feb/21/rival-gangs-blamed-in-rancho-shooting/</v>
      </c>
      <c r="L1701" s="5"/>
      <c r="M1701" s="5"/>
      <c r="N1701" s="5">
        <f ca="1">IFERROR(__xludf.DUMMYFUNCTION("""COMPUTED_VALUE"""),3)</f>
        <v>3</v>
      </c>
      <c r="O1701" s="5" t="str">
        <f ca="1">IFERROR(__xludf.DUMMYFUNCTION("""COMPUTED_VALUE"""),"Winter")</f>
        <v>Winter</v>
      </c>
      <c r="P1701" s="5" t="str">
        <f ca="1">IFERROR(__xludf.DUMMYFUNCTION("""COMPUTED_VALUE"""),"Las Vegas")</f>
        <v>Las Vegas</v>
      </c>
      <c r="Q1701" s="5" t="str">
        <f ca="1">IFERROR(__xludf.DUMMYFUNCTION("""COMPUTED_VALUE"""),"NV")</f>
        <v>NV</v>
      </c>
      <c r="R1701" s="5" t="str">
        <f ca="1">IFERROR(__xludf.DUMMYFUNCTION("""COMPUTED_VALUE"""),"High")</f>
        <v>High</v>
      </c>
      <c r="S1701" s="5" t="str">
        <f ca="1">IFERROR(__xludf.DUMMYFUNCTION("""COMPUTED_VALUE"""),"Parking Lot")</f>
        <v>Parking Lot</v>
      </c>
      <c r="T1701" s="5" t="str">
        <f ca="1">IFERROR(__xludf.DUMMYFUNCTION("""COMPUTED_VALUE"""),"Outside on School Property")</f>
        <v>Outside on School Property</v>
      </c>
      <c r="U1701" s="5" t="str">
        <f ca="1">IFERROR(__xludf.DUMMYFUNCTION("""COMPUTED_VALUE"""),"Yes")</f>
        <v>Yes</v>
      </c>
      <c r="V1701" s="5" t="str">
        <f ca="1">IFERROR(__xludf.DUMMYFUNCTION("""COMPUTED_VALUE"""),"Dismissal")</f>
        <v>Dismissal</v>
      </c>
      <c r="W1701" s="10">
        <f ca="1">IFERROR(__xludf.DUMMYFUNCTION("""COMPUTED_VALUE"""),0.541666666666666)</f>
        <v>0.54166666666666596</v>
      </c>
      <c r="X1701" s="5">
        <f ca="1">IFERROR(__xludf.DUMMYFUNCTION("""COMPUTED_VALUE"""),1)</f>
        <v>1</v>
      </c>
      <c r="Y1701" s="5" t="str">
        <f ca="1">IFERROR(__xludf.DUMMYFUNCTION("""COMPUTED_VALUE"""),"Student shot during dismissal by rival gang members")</f>
        <v>Student shot during dismissal by rival gang members</v>
      </c>
      <c r="Z1701" s="5" t="str">
        <f ca="1">IFERROR(__xludf.DUMMYFUNCTION("""COMPUTED_VALUE"""),"16 year-old male was shot by an unnamed 20 year-old hispanic male after exchanging gang hand signals in the school parking lot during dismissal. The shooter and two female students fled the scene in a vehicle and were later arrested.")</f>
        <v>16 year-old male was shot by an unnamed 20 year-old hispanic male after exchanging gang hand signals in the school parking lot during dismissal. The shooter and two female students fled the scene in a vehicle and were later arrested.</v>
      </c>
      <c r="AA1701" s="5" t="str">
        <f ca="1">IFERROR(__xludf.DUMMYFUNCTION("""COMPUTED_VALUE"""),"Escalation of Dispute")</f>
        <v>Escalation of Dispute</v>
      </c>
      <c r="AB1701" s="5" t="str">
        <f ca="1">IFERROR(__xludf.DUMMYFUNCTION("""COMPUTED_VALUE"""),"Victims Targeted")</f>
        <v>Victims Targeted</v>
      </c>
      <c r="AC1701" s="5" t="str">
        <f ca="1">IFERROR(__xludf.DUMMYFUNCTION("""COMPUTED_VALUE"""),"Yes")</f>
        <v>Yes</v>
      </c>
      <c r="AD1701" s="5" t="str">
        <f ca="1">IFERROR(__xludf.DUMMYFUNCTION("""COMPUTED_VALUE"""),"No")</f>
        <v>No</v>
      </c>
      <c r="AE1701" s="5" t="str">
        <f ca="1">IFERROR(__xludf.DUMMYFUNCTION("""COMPUTED_VALUE"""),"No")</f>
        <v>No</v>
      </c>
      <c r="AF1701" s="5" t="str">
        <f ca="1">IFERROR(__xludf.DUMMYFUNCTION("""COMPUTED_VALUE"""),"No")</f>
        <v>No</v>
      </c>
      <c r="AG1701" s="5" t="str">
        <f ca="1">IFERROR(__xludf.DUMMYFUNCTION("""COMPUTED_VALUE"""),"No")</f>
        <v>No</v>
      </c>
      <c r="AH1701" s="5" t="str">
        <f ca="1">IFERROR(__xludf.DUMMYFUNCTION("""COMPUTED_VALUE"""),"No")</f>
        <v>No</v>
      </c>
      <c r="AI1701" s="5" t="str">
        <f ca="1">IFERROR(__xludf.DUMMYFUNCTION("""COMPUTED_VALUE"""),"Yes")</f>
        <v>Yes</v>
      </c>
      <c r="AJ1701" s="5" t="str">
        <f ca="1">IFERROR(__xludf.DUMMYFUNCTION("""COMPUTED_VALUE"""),"No")</f>
        <v>No</v>
      </c>
    </row>
    <row r="1702" spans="1:36" ht="13">
      <c r="A1702" s="5" t="str">
        <f ca="1">IFERROR(__xludf.DUMMYFUNCTION("""COMPUTED_VALUE"""),"19970220FLFIJ")</f>
        <v>19970220FLFIJ</v>
      </c>
      <c r="B1702" s="5">
        <f ca="1">IFERROR(__xludf.DUMMYFUNCTION("""COMPUTED_VALUE"""),2)</f>
        <v>2</v>
      </c>
      <c r="C1702" s="5">
        <f ca="1">IFERROR(__xludf.DUMMYFUNCTION("""COMPUTED_VALUE"""),20)</f>
        <v>20</v>
      </c>
      <c r="D1702" s="5">
        <f ca="1">IFERROR(__xludf.DUMMYFUNCTION("""COMPUTED_VALUE"""),1997)</f>
        <v>1997</v>
      </c>
      <c r="E1702" s="8">
        <f ca="1">IFERROR(__xludf.DUMMYFUNCTION("""COMPUTED_VALUE"""),35481)</f>
        <v>35481</v>
      </c>
      <c r="F1702" s="5" t="str">
        <f ca="1">IFERROR(__xludf.DUMMYFUNCTION("""COMPUTED_VALUE"""),"First Coast High School")</f>
        <v>First Coast High School</v>
      </c>
      <c r="G1702" s="5">
        <f ca="1">IFERROR(__xludf.DUMMYFUNCTION("""COMPUTED_VALUE"""),0)</f>
        <v>0</v>
      </c>
      <c r="H1702" s="5">
        <f ca="1">IFERROR(__xludf.DUMMYFUNCTION("""COMPUTED_VALUE"""),0)</f>
        <v>0</v>
      </c>
      <c r="I1702" s="5">
        <f ca="1">IFERROR(__xludf.DUMMYFUNCTION("""COMPUTED_VALUE"""),0)</f>
        <v>0</v>
      </c>
      <c r="J1702" s="5">
        <f ca="1">IFERROR(__xludf.DUMMYFUNCTION("""COMPUTED_VALUE"""),1)</f>
        <v>1</v>
      </c>
      <c r="K1702" s="5" t="str">
        <f ca="1">IFERROR(__xludf.DUMMYFUNCTION("""COMPUTED_VALUE"""),"http://www.psychceu.com/school_violence/savd.pdf https://apnews.com/bade25da6294eeec2af67239d55d3bee https://www.greensboro.com/teenager-attempts-suicide-after-argument-with-coach/article_6ef3638a-da88-532f-9482-4f6f1a47f42b.html")</f>
        <v>http://www.psychceu.com/school_violence/savd.pdf https://apnews.com/bade25da6294eeec2af67239d55d3bee https://www.greensboro.com/teenager-attempts-suicide-after-argument-with-coach/article_6ef3638a-da88-532f-9482-4f6f1a47f42b.html</v>
      </c>
      <c r="L1702" s="5"/>
      <c r="M1702" s="5"/>
      <c r="N1702" s="5">
        <f ca="1">IFERROR(__xludf.DUMMYFUNCTION("""COMPUTED_VALUE"""),1)</f>
        <v>1</v>
      </c>
      <c r="O1702" s="5" t="str">
        <f ca="1">IFERROR(__xludf.DUMMYFUNCTION("""COMPUTED_VALUE"""),"Winter")</f>
        <v>Winter</v>
      </c>
      <c r="P1702" s="5" t="str">
        <f ca="1">IFERROR(__xludf.DUMMYFUNCTION("""COMPUTED_VALUE"""),"Jacksonville")</f>
        <v>Jacksonville</v>
      </c>
      <c r="Q1702" s="5" t="str">
        <f ca="1">IFERROR(__xludf.DUMMYFUNCTION("""COMPUTED_VALUE"""),"FL")</f>
        <v>FL</v>
      </c>
      <c r="R1702" s="5" t="str">
        <f ca="1">IFERROR(__xludf.DUMMYFUNCTION("""COMPUTED_VALUE"""),"High")</f>
        <v>High</v>
      </c>
      <c r="S1702" s="5" t="str">
        <f ca="1">IFERROR(__xludf.DUMMYFUNCTION("""COMPUTED_VALUE"""),"Field (General)")</f>
        <v>Field (General)</v>
      </c>
      <c r="T1702" s="5" t="str">
        <f ca="1">IFERROR(__xludf.DUMMYFUNCTION("""COMPUTED_VALUE"""),"Outside on School Property")</f>
        <v>Outside on School Property</v>
      </c>
      <c r="U1702" s="5" t="str">
        <f ca="1">IFERROR(__xludf.DUMMYFUNCTION("""COMPUTED_VALUE"""),"No")</f>
        <v>No</v>
      </c>
      <c r="V1702" s="5" t="str">
        <f ca="1">IFERROR(__xludf.DUMMYFUNCTION("""COMPUTED_VALUE"""),"After School")</f>
        <v>After School</v>
      </c>
      <c r="W1702" s="5"/>
      <c r="X1702" s="5">
        <f ca="1">IFERROR(__xludf.DUMMYFUNCTION("""COMPUTED_VALUE"""),1)</f>
        <v>1</v>
      </c>
      <c r="Y1702" s="5" t="str">
        <f ca="1">IFERROR(__xludf.DUMMYFUNCTION("""COMPUTED_VALUE"""),"Student shot herself on field after sports tryout")</f>
        <v>Student shot herself on field after sports tryout</v>
      </c>
      <c r="Z1702" s="5" t="str">
        <f ca="1">IFERROR(__xludf.DUMMYFUNCTION("""COMPUTED_VALUE"""),"17 year-old female shot herself during an argument with her coach about her poor showing in a recent tryout for an athletic scholarship. Victim first pointed the gun at her coach then proceeded to point it at herself and shoot.")</f>
        <v>17 year-old female shot herself during an argument with her coach about her poor showing in a recent tryout for an athletic scholarship. Victim first pointed the gun at her coach then proceeded to point it at herself and shoot.</v>
      </c>
      <c r="AA1702" s="5" t="str">
        <f ca="1">IFERROR(__xludf.DUMMYFUNCTION("""COMPUTED_VALUE"""),"Suicide/Attempted")</f>
        <v>Suicide/Attempted</v>
      </c>
      <c r="AB1702" s="5" t="str">
        <f ca="1">IFERROR(__xludf.DUMMYFUNCTION("""COMPUTED_VALUE"""),"Victims Targeted")</f>
        <v>Victims Targeted</v>
      </c>
      <c r="AC1702" s="5" t="str">
        <f ca="1">IFERROR(__xludf.DUMMYFUNCTION("""COMPUTED_VALUE"""),"No")</f>
        <v>No</v>
      </c>
      <c r="AD1702" s="5" t="str">
        <f ca="1">IFERROR(__xludf.DUMMYFUNCTION("""COMPUTED_VALUE"""),"No")</f>
        <v>No</v>
      </c>
      <c r="AE1702" s="5" t="str">
        <f ca="1">IFERROR(__xludf.DUMMYFUNCTION("""COMPUTED_VALUE"""),"No")</f>
        <v>No</v>
      </c>
      <c r="AF1702" s="5" t="str">
        <f ca="1">IFERROR(__xludf.DUMMYFUNCTION("""COMPUTED_VALUE"""),"No")</f>
        <v>No</v>
      </c>
      <c r="AG1702" s="5" t="str">
        <f ca="1">IFERROR(__xludf.DUMMYFUNCTION("""COMPUTED_VALUE"""),"No")</f>
        <v>No</v>
      </c>
      <c r="AH1702" s="5" t="str">
        <f ca="1">IFERROR(__xludf.DUMMYFUNCTION("""COMPUTED_VALUE"""),"No")</f>
        <v>No</v>
      </c>
      <c r="AI1702" s="5" t="str">
        <f ca="1">IFERROR(__xludf.DUMMYFUNCTION("""COMPUTED_VALUE"""),"No")</f>
        <v>No</v>
      </c>
      <c r="AJ1702" s="5"/>
    </row>
    <row r="1703" spans="1:36" ht="13">
      <c r="A1703" s="5" t="str">
        <f ca="1">IFERROR(__xludf.DUMMYFUNCTION("""COMPUTED_VALUE"""),"19970219AKBEB")</f>
        <v>19970219AKBEB</v>
      </c>
      <c r="B1703" s="5">
        <f ca="1">IFERROR(__xludf.DUMMYFUNCTION("""COMPUTED_VALUE"""),2)</f>
        <v>2</v>
      </c>
      <c r="C1703" s="5">
        <f ca="1">IFERROR(__xludf.DUMMYFUNCTION("""COMPUTED_VALUE"""),19)</f>
        <v>19</v>
      </c>
      <c r="D1703" s="5">
        <f ca="1">IFERROR(__xludf.DUMMYFUNCTION("""COMPUTED_VALUE"""),1997)</f>
        <v>1997</v>
      </c>
      <c r="E1703" s="8">
        <f ca="1">IFERROR(__xludf.DUMMYFUNCTION("""COMPUTED_VALUE"""),35480)</f>
        <v>35480</v>
      </c>
      <c r="F1703" s="5" t="str">
        <f ca="1">IFERROR(__xludf.DUMMYFUNCTION("""COMPUTED_VALUE"""),"Bethel Regional High School")</f>
        <v>Bethel Regional High School</v>
      </c>
      <c r="G1703" s="5">
        <f ca="1">IFERROR(__xludf.DUMMYFUNCTION("""COMPUTED_VALUE"""),2)</f>
        <v>2</v>
      </c>
      <c r="H1703" s="5">
        <f ca="1">IFERROR(__xludf.DUMMYFUNCTION("""COMPUTED_VALUE"""),2)</f>
        <v>2</v>
      </c>
      <c r="I1703" s="5">
        <f ca="1">IFERROR(__xludf.DUMMYFUNCTION("""COMPUTED_VALUE"""),4)</f>
        <v>4</v>
      </c>
      <c r="J1703" s="5">
        <f ca="1">IFERROR(__xludf.DUMMYFUNCTION("""COMPUTED_VALUE"""),0)</f>
        <v>0</v>
      </c>
      <c r="K1703" s="5" t="str">
        <f ca="1">IFERROR(__xludf.DUMMYFUNCTION("""COMPUTED_VALUE"""),"https://www.adn.com/alaska-news/2017/02/18/evan-ramseys-tattered-life-filled-him-with-rage-then-he-brought-a-shotgun-to-school/  https://www.adn.com/alaska-news/1997/02/20/student-kills-2-in-bethel-frightened-teens-flee-high-school/")</f>
        <v>https://www.adn.com/alaska-news/2017/02/18/evan-ramseys-tattered-life-filled-him-with-rage-then-he-brought-a-shotgun-to-school/  https://www.adn.com/alaska-news/1997/02/20/student-kills-2-in-bethel-frightened-teens-flee-high-school/</v>
      </c>
      <c r="L1703" s="5"/>
      <c r="M1703" s="5"/>
      <c r="N1703" s="5">
        <f ca="1">IFERROR(__xludf.DUMMYFUNCTION("""COMPUTED_VALUE"""),2)</f>
        <v>2</v>
      </c>
      <c r="O1703" s="5" t="str">
        <f ca="1">IFERROR(__xludf.DUMMYFUNCTION("""COMPUTED_VALUE"""),"Winter")</f>
        <v>Winter</v>
      </c>
      <c r="P1703" s="5" t="str">
        <f ca="1">IFERROR(__xludf.DUMMYFUNCTION("""COMPUTED_VALUE"""),"Bethel")</f>
        <v>Bethel</v>
      </c>
      <c r="Q1703" s="5" t="str">
        <f ca="1">IFERROR(__xludf.DUMMYFUNCTION("""COMPUTED_VALUE"""),"AK")</f>
        <v>AK</v>
      </c>
      <c r="R1703" s="5" t="str">
        <f ca="1">IFERROR(__xludf.DUMMYFUNCTION("""COMPUTED_VALUE"""),"High")</f>
        <v>High</v>
      </c>
      <c r="S1703" s="5" t="str">
        <f ca="1">IFERROR(__xludf.DUMMYFUNCTION("""COMPUTED_VALUE"""),"Entryway")</f>
        <v>Entryway</v>
      </c>
      <c r="T1703" s="5" t="str">
        <f ca="1">IFERROR(__xludf.DUMMYFUNCTION("""COMPUTED_VALUE"""),"Inside School Building")</f>
        <v>Inside School Building</v>
      </c>
      <c r="U1703" s="5" t="str">
        <f ca="1">IFERROR(__xludf.DUMMYFUNCTION("""COMPUTED_VALUE"""),"Yes")</f>
        <v>Yes</v>
      </c>
      <c r="V1703" s="5" t="str">
        <f ca="1">IFERROR(__xludf.DUMMYFUNCTION("""COMPUTED_VALUE"""),"School Start")</f>
        <v>School Start</v>
      </c>
      <c r="W1703" s="10">
        <f ca="1">IFERROR(__xludf.DUMMYFUNCTION("""COMPUTED_VALUE"""),0.364583333333333)</f>
        <v>0.36458333333333298</v>
      </c>
      <c r="X1703" s="5"/>
      <c r="Y1703" s="5" t="str">
        <f ca="1">IFERROR(__xludf.DUMMYFUNCTION("""COMPUTED_VALUE"""),"Prolonged bullying, asked teachers for help")</f>
        <v>Prolonged bullying, asked teachers for help</v>
      </c>
      <c r="Z1703" s="5" t="str">
        <f ca="1">IFERROR(__xludf.DUMMYFUNCTION("""COMPUTED_VALUE"""),"Snuck shotgun into the cafeteria of the school and fired at random students. Shooting did not go as a he planned so he started running. He was confronted by teachers who persuaded him to put the gun down. Shooter talked about planning a school shooting an"&amp;"d told multiple students about it. Asked two others to help him learn how to fire a shotgun. Students gathered on the second floor balcony above the cafeteria because he told them that would be where the action was. Shooter left suicide note explaining he"&amp;" was angry and depressed. Girlfriend had recently broken up with him. Abused as a child. Father was in prison for shooting up a newspaper office when they wouldn't print his political rant. Pointed the gun at himself multiple times during the shooting. Bu"&amp;"llied extensively.")</f>
        <v>Snuck shotgun into the cafeteria of the school and fired at random students. Shooting did not go as a he planned so he started running. He was confronted by teachers who persuaded him to put the gun down. Shooter talked about planning a school shooting and told multiple students about it. Asked two others to help him learn how to fire a shotgun. Students gathered on the second floor balcony above the cafeteria because he told them that would be where the action was. Shooter left suicide note explaining he was angry and depressed. Girlfriend had recently broken up with him. Abused as a child. Father was in prison for shooting up a newspaper office when they wouldn't print his political rant. Pointed the gun at himself multiple times during the shooting. Bullied extensively.</v>
      </c>
      <c r="AA1703" s="5" t="str">
        <f ca="1">IFERROR(__xludf.DUMMYFUNCTION("""COMPUTED_VALUE"""),"Bullying")</f>
        <v>Bullying</v>
      </c>
      <c r="AB1703" s="5" t="str">
        <f ca="1">IFERROR(__xludf.DUMMYFUNCTION("""COMPUTED_VALUE"""),"Random Shooting")</f>
        <v>Random Shooting</v>
      </c>
      <c r="AC1703" s="5"/>
      <c r="AD1703" s="5" t="str">
        <f ca="1">IFERROR(__xludf.DUMMYFUNCTION("""COMPUTED_VALUE"""),"No")</f>
        <v>No</v>
      </c>
      <c r="AE1703" s="5" t="str">
        <f ca="1">IFERROR(__xludf.DUMMYFUNCTION("""COMPUTED_VALUE"""),"No")</f>
        <v>No</v>
      </c>
      <c r="AF1703" s="5" t="str">
        <f ca="1">IFERROR(__xludf.DUMMYFUNCTION("""COMPUTED_VALUE"""),"No")</f>
        <v>No</v>
      </c>
      <c r="AG1703" s="5" t="str">
        <f ca="1">IFERROR(__xludf.DUMMYFUNCTION("""COMPUTED_VALUE"""),"Yes")</f>
        <v>Yes</v>
      </c>
      <c r="AH1703" s="5" t="str">
        <f ca="1">IFERROR(__xludf.DUMMYFUNCTION("""COMPUTED_VALUE"""),"No")</f>
        <v>No</v>
      </c>
      <c r="AI1703" s="5" t="str">
        <f ca="1">IFERROR(__xludf.DUMMYFUNCTION("""COMPUTED_VALUE"""),"No")</f>
        <v>No</v>
      </c>
      <c r="AJ1703" s="5" t="str">
        <f ca="1">IFERROR(__xludf.DUMMYFUNCTION("""COMPUTED_VALUE"""),"Yes")</f>
        <v>Yes</v>
      </c>
    </row>
    <row r="1704" spans="1:36" ht="13">
      <c r="A1704" s="5" t="str">
        <f ca="1">IFERROR(__xludf.DUMMYFUNCTION("""COMPUTED_VALUE"""),"19970213NYSAB")</f>
        <v>19970213NYSAB</v>
      </c>
      <c r="B1704" s="5">
        <f ca="1">IFERROR(__xludf.DUMMYFUNCTION("""COMPUTED_VALUE"""),2)</f>
        <v>2</v>
      </c>
      <c r="C1704" s="5">
        <f ca="1">IFERROR(__xludf.DUMMYFUNCTION("""COMPUTED_VALUE"""),13)</f>
        <v>13</v>
      </c>
      <c r="D1704" s="5">
        <f ca="1">IFERROR(__xludf.DUMMYFUNCTION("""COMPUTED_VALUE"""),1997)</f>
        <v>1997</v>
      </c>
      <c r="E1704" s="8">
        <f ca="1">IFERROR(__xludf.DUMMYFUNCTION("""COMPUTED_VALUE"""),35474)</f>
        <v>35474</v>
      </c>
      <c r="F1704" s="5" t="str">
        <f ca="1">IFERROR(__xludf.DUMMYFUNCTION("""COMPUTED_VALUE"""),"Samuel Gompers High School")</f>
        <v>Samuel Gompers High School</v>
      </c>
      <c r="G1704" s="5">
        <f ca="1">IFERROR(__xludf.DUMMYFUNCTION("""COMPUTED_VALUE"""),0)</f>
        <v>0</v>
      </c>
      <c r="H1704" s="5">
        <f ca="1">IFERROR(__xludf.DUMMYFUNCTION("""COMPUTED_VALUE"""),1)</f>
        <v>1</v>
      </c>
      <c r="I1704" s="5">
        <f ca="1">IFERROR(__xludf.DUMMYFUNCTION("""COMPUTED_VALUE"""),1)</f>
        <v>1</v>
      </c>
      <c r="J1704" s="5">
        <f ca="1">IFERROR(__xludf.DUMMYFUNCTION("""COMPUTED_VALUE"""),0)</f>
        <v>0</v>
      </c>
      <c r="K1704" s="9" t="str">
        <f ca="1">IFERROR(__xludf.DUMMYFUNCTION("""COMPUTED_VALUE"""),"https://www.nytimes.com/1997/02/14/nyregion/gunfire-injures-2-students-at-high-schools-in-bronx.html?auth=login-google")</f>
        <v>https://www.nytimes.com/1997/02/14/nyregion/gunfire-injures-2-students-at-high-schools-in-bronx.html?auth=login-google</v>
      </c>
      <c r="L1704" s="5"/>
      <c r="M1704" s="5"/>
      <c r="N1704" s="5">
        <f ca="1">IFERROR(__xludf.DUMMYFUNCTION("""COMPUTED_VALUE"""),3)</f>
        <v>3</v>
      </c>
      <c r="O1704" s="5" t="str">
        <f ca="1">IFERROR(__xludf.DUMMYFUNCTION("""COMPUTED_VALUE"""),"Winter")</f>
        <v>Winter</v>
      </c>
      <c r="P1704" s="5" t="str">
        <f ca="1">IFERROR(__xludf.DUMMYFUNCTION("""COMPUTED_VALUE"""),"Bronx")</f>
        <v>Bronx</v>
      </c>
      <c r="Q1704" s="5" t="str">
        <f ca="1">IFERROR(__xludf.DUMMYFUNCTION("""COMPUTED_VALUE"""),"NY")</f>
        <v>NY</v>
      </c>
      <c r="R1704" s="5" t="str">
        <f ca="1">IFERROR(__xludf.DUMMYFUNCTION("""COMPUTED_VALUE"""),"High")</f>
        <v>High</v>
      </c>
      <c r="S1704" s="5" t="str">
        <f ca="1">IFERROR(__xludf.DUMMYFUNCTION("""COMPUTED_VALUE"""),"Beside Building")</f>
        <v>Beside Building</v>
      </c>
      <c r="T1704" s="5" t="str">
        <f ca="1">IFERROR(__xludf.DUMMYFUNCTION("""COMPUTED_VALUE"""),"Outside on School Property")</f>
        <v>Outside on School Property</v>
      </c>
      <c r="U1704" s="5" t="str">
        <f ca="1">IFERROR(__xludf.DUMMYFUNCTION("""COMPUTED_VALUE"""),"Yes")</f>
        <v>Yes</v>
      </c>
      <c r="V1704" s="5" t="str">
        <f ca="1">IFERROR(__xludf.DUMMYFUNCTION("""COMPUTED_VALUE"""),"Dismissal")</f>
        <v>Dismissal</v>
      </c>
      <c r="W1704" s="5"/>
      <c r="X1704" s="5">
        <f ca="1">IFERROR(__xludf.DUMMYFUNCTION("""COMPUTED_VALUE"""),1)</f>
        <v>1</v>
      </c>
      <c r="Y1704" s="5" t="str">
        <f ca="1">IFERROR(__xludf.DUMMYFUNCTION("""COMPUTED_VALUE"""),"Student shot in leg during fight outside school at dismissal")</f>
        <v>Student shot in leg during fight outside school at dismissal</v>
      </c>
      <c r="Z1704" s="5" t="str">
        <f ca="1">IFERROR(__xludf.DUMMYFUNCTION("""COMPUTED_VALUE"""),"16 year-old male student was shot outside of the school as classes were dismissing during a fight that escalated. Two other students were involved and fled the scene. Police had not made any arrests the evening of the shooting.")</f>
        <v>16 year-old male student was shot outside of the school as classes were dismissing during a fight that escalated. Two other students were involved and fled the scene. Police had not made any arrests the evening of the shooting.</v>
      </c>
      <c r="AA1704" s="5" t="str">
        <f ca="1">IFERROR(__xludf.DUMMYFUNCTION("""COMPUTED_VALUE"""),"Escalation of Dispute")</f>
        <v>Escalation of Dispute</v>
      </c>
      <c r="AB1704" s="5" t="str">
        <f ca="1">IFERROR(__xludf.DUMMYFUNCTION("""COMPUTED_VALUE"""),"Victims Targeted")</f>
        <v>Victims Targeted</v>
      </c>
      <c r="AC1704" s="5" t="str">
        <f ca="1">IFERROR(__xludf.DUMMYFUNCTION("""COMPUTED_VALUE"""),"Yes")</f>
        <v>Yes</v>
      </c>
      <c r="AD1704" s="5" t="str">
        <f ca="1">IFERROR(__xludf.DUMMYFUNCTION("""COMPUTED_VALUE"""),"No")</f>
        <v>No</v>
      </c>
      <c r="AE1704" s="5" t="str">
        <f ca="1">IFERROR(__xludf.DUMMYFUNCTION("""COMPUTED_VALUE"""),"No")</f>
        <v>No</v>
      </c>
      <c r="AF1704" s="5" t="str">
        <f ca="1">IFERROR(__xludf.DUMMYFUNCTION("""COMPUTED_VALUE"""),"No")</f>
        <v>No</v>
      </c>
      <c r="AG1704" s="5" t="str">
        <f ca="1">IFERROR(__xludf.DUMMYFUNCTION("""COMPUTED_VALUE"""),"No")</f>
        <v>No</v>
      </c>
      <c r="AH1704" s="5" t="str">
        <f ca="1">IFERROR(__xludf.DUMMYFUNCTION("""COMPUTED_VALUE"""),"No")</f>
        <v>No</v>
      </c>
      <c r="AI1704" s="5" t="str">
        <f ca="1">IFERROR(__xludf.DUMMYFUNCTION("""COMPUTED_VALUE"""),"No")</f>
        <v>No</v>
      </c>
      <c r="AJ1704" s="5" t="str">
        <f ca="1">IFERROR(__xludf.DUMMYFUNCTION("""COMPUTED_VALUE"""),"No")</f>
        <v>No</v>
      </c>
    </row>
    <row r="1705" spans="1:36" ht="13">
      <c r="A1705" s="5" t="str">
        <f ca="1">IFERROR(__xludf.DUMMYFUNCTION("""COMPUTED_VALUE"""),"19970213NYMOB")</f>
        <v>19970213NYMOB</v>
      </c>
      <c r="B1705" s="5">
        <f ca="1">IFERROR(__xludf.DUMMYFUNCTION("""COMPUTED_VALUE"""),2)</f>
        <v>2</v>
      </c>
      <c r="C1705" s="5">
        <f ca="1">IFERROR(__xludf.DUMMYFUNCTION("""COMPUTED_VALUE"""),13)</f>
        <v>13</v>
      </c>
      <c r="D1705" s="5">
        <f ca="1">IFERROR(__xludf.DUMMYFUNCTION("""COMPUTED_VALUE"""),1997)</f>
        <v>1997</v>
      </c>
      <c r="E1705" s="8">
        <f ca="1">IFERROR(__xludf.DUMMYFUNCTION("""COMPUTED_VALUE"""),35474)</f>
        <v>35474</v>
      </c>
      <c r="F1705" s="5" t="str">
        <f ca="1">IFERROR(__xludf.DUMMYFUNCTION("""COMPUTED_VALUE"""),"Morris High School")</f>
        <v>Morris High School</v>
      </c>
      <c r="G1705" s="5">
        <f ca="1">IFERROR(__xludf.DUMMYFUNCTION("""COMPUTED_VALUE"""),0)</f>
        <v>0</v>
      </c>
      <c r="H1705" s="5">
        <f ca="1">IFERROR(__xludf.DUMMYFUNCTION("""COMPUTED_VALUE"""),1)</f>
        <v>1</v>
      </c>
      <c r="I1705" s="5">
        <f ca="1">IFERROR(__xludf.DUMMYFUNCTION("""COMPUTED_VALUE"""),1)</f>
        <v>1</v>
      </c>
      <c r="J1705" s="5">
        <f ca="1">IFERROR(__xludf.DUMMYFUNCTION("""COMPUTED_VALUE"""),0)</f>
        <v>0</v>
      </c>
      <c r="K1705" s="9" t="str">
        <f ca="1">IFERROR(__xludf.DUMMYFUNCTION("""COMPUTED_VALUE"""),"https://www.nytimes.com/1997/02/14/nyregion/gunfire-injures-2-students-at-high-schools-in-bronx.html?auth=login-google")</f>
        <v>https://www.nytimes.com/1997/02/14/nyregion/gunfire-injures-2-students-at-high-schools-in-bronx.html?auth=login-google</v>
      </c>
      <c r="L1705" s="5"/>
      <c r="M1705" s="5"/>
      <c r="N1705" s="5">
        <f ca="1">IFERROR(__xludf.DUMMYFUNCTION("""COMPUTED_VALUE"""),3)</f>
        <v>3</v>
      </c>
      <c r="O1705" s="5" t="str">
        <f ca="1">IFERROR(__xludf.DUMMYFUNCTION("""COMPUTED_VALUE"""),"Winter")</f>
        <v>Winter</v>
      </c>
      <c r="P1705" s="5" t="str">
        <f ca="1">IFERROR(__xludf.DUMMYFUNCTION("""COMPUTED_VALUE"""),"Bronx")</f>
        <v>Bronx</v>
      </c>
      <c r="Q1705" s="5" t="str">
        <f ca="1">IFERROR(__xludf.DUMMYFUNCTION("""COMPUTED_VALUE"""),"NY")</f>
        <v>NY</v>
      </c>
      <c r="R1705" s="5" t="str">
        <f ca="1">IFERROR(__xludf.DUMMYFUNCTION("""COMPUTED_VALUE"""),"High")</f>
        <v>High</v>
      </c>
      <c r="S1705" s="5" t="str">
        <f ca="1">IFERROR(__xludf.DUMMYFUNCTION("""COMPUTED_VALUE"""),"Hallway")</f>
        <v>Hallway</v>
      </c>
      <c r="T1705" s="5" t="str">
        <f ca="1">IFERROR(__xludf.DUMMYFUNCTION("""COMPUTED_VALUE"""),"Inside School Building")</f>
        <v>Inside School Building</v>
      </c>
      <c r="U1705" s="5" t="str">
        <f ca="1">IFERROR(__xludf.DUMMYFUNCTION("""COMPUTED_VALUE"""),"Yes")</f>
        <v>Yes</v>
      </c>
      <c r="V1705" s="5" t="str">
        <f ca="1">IFERROR(__xludf.DUMMYFUNCTION("""COMPUTED_VALUE"""),"Morning Classes")</f>
        <v>Morning Classes</v>
      </c>
      <c r="W1705" s="5"/>
      <c r="X1705" s="5">
        <f ca="1">IFERROR(__xludf.DUMMYFUNCTION("""COMPUTED_VALUE"""),1)</f>
        <v>1</v>
      </c>
      <c r="Y1705" s="5" t="str">
        <f ca="1">IFERROR(__xludf.DUMMYFUNCTION("""COMPUTED_VALUE"""),"Accidental discharge while showing off gun")</f>
        <v>Accidental discharge while showing off gun</v>
      </c>
      <c r="Z1705" s="5" t="str">
        <f ca="1">IFERROR(__xludf.DUMMYFUNCTION("""COMPUTED_VALUE"""),"17 year-old male student showing off a handgun accidentally shot another 17 year-old male student in the leg. The shooter passed the gun to another student who then gave it to a female student who hid it in her locker. Unknown if the shooter fled the scen"&amp;"e or was arrested at the school.")</f>
        <v>17 year-old male student showing off a handgun accidentally shot another 17 year-old male student in the leg. The shooter passed the gun to another student who then gave it to a female student who hid it in her locker. Unknown if the shooter fled the scene or was arrested at the school.</v>
      </c>
      <c r="AA1705" s="5" t="str">
        <f ca="1">IFERROR(__xludf.DUMMYFUNCTION("""COMPUTED_VALUE"""),"Accidental")</f>
        <v>Accidental</v>
      </c>
      <c r="AB1705" s="5" t="str">
        <f ca="1">IFERROR(__xludf.DUMMYFUNCTION("""COMPUTED_VALUE"""),"Random Shooting")</f>
        <v>Random Shooting</v>
      </c>
      <c r="AC1705" s="5" t="str">
        <f ca="1">IFERROR(__xludf.DUMMYFUNCTION("""COMPUTED_VALUE"""),"Yes")</f>
        <v>Yes</v>
      </c>
      <c r="AD1705" s="5" t="str">
        <f ca="1">IFERROR(__xludf.DUMMYFUNCTION("""COMPUTED_VALUE"""),"No")</f>
        <v>No</v>
      </c>
      <c r="AE1705" s="5" t="str">
        <f ca="1">IFERROR(__xludf.DUMMYFUNCTION("""COMPUTED_VALUE"""),"No")</f>
        <v>No</v>
      </c>
      <c r="AF1705" s="5" t="str">
        <f ca="1">IFERROR(__xludf.DUMMYFUNCTION("""COMPUTED_VALUE"""),"No")</f>
        <v>No</v>
      </c>
      <c r="AG1705" s="5" t="str">
        <f ca="1">IFERROR(__xludf.DUMMYFUNCTION("""COMPUTED_VALUE"""),"No")</f>
        <v>No</v>
      </c>
      <c r="AH1705" s="5" t="str">
        <f ca="1">IFERROR(__xludf.DUMMYFUNCTION("""COMPUTED_VALUE"""),"No")</f>
        <v>No</v>
      </c>
      <c r="AI1705" s="5" t="str">
        <f ca="1">IFERROR(__xludf.DUMMYFUNCTION("""COMPUTED_VALUE"""),"No")</f>
        <v>No</v>
      </c>
      <c r="AJ1705" s="5" t="str">
        <f ca="1">IFERROR(__xludf.DUMMYFUNCTION("""COMPUTED_VALUE"""),"No")</f>
        <v>No</v>
      </c>
    </row>
    <row r="1706" spans="1:36" ht="13">
      <c r="A1706" s="5" t="str">
        <f ca="1">IFERROR(__xludf.DUMMYFUNCTION("""COMPUTED_VALUE"""),"19970206MSWIJ")</f>
        <v>19970206MSWIJ</v>
      </c>
      <c r="B1706" s="5">
        <f ca="1">IFERROR(__xludf.DUMMYFUNCTION("""COMPUTED_VALUE"""),2)</f>
        <v>2</v>
      </c>
      <c r="C1706" s="5">
        <f ca="1">IFERROR(__xludf.DUMMYFUNCTION("""COMPUTED_VALUE"""),6)</f>
        <v>6</v>
      </c>
      <c r="D1706" s="5">
        <f ca="1">IFERROR(__xludf.DUMMYFUNCTION("""COMPUTED_VALUE"""),1997)</f>
        <v>1997</v>
      </c>
      <c r="E1706" s="8">
        <f ca="1">IFERROR(__xludf.DUMMYFUNCTION("""COMPUTED_VALUE"""),35467)</f>
        <v>35467</v>
      </c>
      <c r="F1706" s="5" t="str">
        <f ca="1">IFERROR(__xludf.DUMMYFUNCTION("""COMPUTED_VALUE"""),"Wingfield High School")</f>
        <v>Wingfield High School</v>
      </c>
      <c r="G1706" s="5">
        <f ca="1">IFERROR(__xludf.DUMMYFUNCTION("""COMPUTED_VALUE"""),0)</f>
        <v>0</v>
      </c>
      <c r="H1706" s="5">
        <f ca="1">IFERROR(__xludf.DUMMYFUNCTION("""COMPUTED_VALUE"""),1)</f>
        <v>1</v>
      </c>
      <c r="I1706" s="5">
        <f ca="1">IFERROR(__xludf.DUMMYFUNCTION("""COMPUTED_VALUE"""),1)</f>
        <v>1</v>
      </c>
      <c r="J1706" s="5">
        <f ca="1">IFERROR(__xludf.DUMMYFUNCTION("""COMPUTED_VALUE"""),0)</f>
        <v>0</v>
      </c>
      <c r="K1706" s="5" t="str">
        <f ca="1">IFERROR(__xludf.DUMMYFUNCTION("""COMPUTED_VALUE"""),"https://www.newspapers.com/image/185722691/; https://www.newspapers.com/image/183851723/; https://www.newspapers.com/image/185818590/?terms=elliot%2Bcrosby")</f>
        <v>https://www.newspapers.com/image/185722691/; https://www.newspapers.com/image/183851723/; https://www.newspapers.com/image/185818590/?terms=elliot%2Bcrosby</v>
      </c>
      <c r="L1706" s="5"/>
      <c r="M1706" s="5"/>
      <c r="N1706" s="5">
        <f ca="1">IFERROR(__xludf.DUMMYFUNCTION("""COMPUTED_VALUE"""),3)</f>
        <v>3</v>
      </c>
      <c r="O1706" s="5" t="str">
        <f ca="1">IFERROR(__xludf.DUMMYFUNCTION("""COMPUTED_VALUE"""),"Winter")</f>
        <v>Winter</v>
      </c>
      <c r="P1706" s="5" t="str">
        <f ca="1">IFERROR(__xludf.DUMMYFUNCTION("""COMPUTED_VALUE"""),"Jackson")</f>
        <v>Jackson</v>
      </c>
      <c r="Q1706" s="5" t="str">
        <f ca="1">IFERROR(__xludf.DUMMYFUNCTION("""COMPUTED_VALUE"""),"MS")</f>
        <v>MS</v>
      </c>
      <c r="R1706" s="5" t="str">
        <f ca="1">IFERROR(__xludf.DUMMYFUNCTION("""COMPUTED_VALUE"""),"High")</f>
        <v>High</v>
      </c>
      <c r="S1706" s="5" t="str">
        <f ca="1">IFERROR(__xludf.DUMMYFUNCTION("""COMPUTED_VALUE"""),"Parking Lot")</f>
        <v>Parking Lot</v>
      </c>
      <c r="T1706" s="5" t="str">
        <f ca="1">IFERROR(__xludf.DUMMYFUNCTION("""COMPUTED_VALUE"""),"Off School Property")</f>
        <v>Off School Property</v>
      </c>
      <c r="U1706" s="5" t="str">
        <f ca="1">IFERROR(__xludf.DUMMYFUNCTION("""COMPUTED_VALUE"""),"Yes")</f>
        <v>Yes</v>
      </c>
      <c r="V1706" s="5" t="str">
        <f ca="1">IFERROR(__xludf.DUMMYFUNCTION("""COMPUTED_VALUE"""),"Before School")</f>
        <v>Before School</v>
      </c>
      <c r="W1706" s="10">
        <f ca="1">IFERROR(__xludf.DUMMYFUNCTION("""COMPUTED_VALUE"""),0.354166666666666)</f>
        <v>0.35416666666666602</v>
      </c>
      <c r="X1706" s="5">
        <f ca="1">IFERROR(__xludf.DUMMYFUNCTION("""COMPUTED_VALUE"""),1)</f>
        <v>1</v>
      </c>
      <c r="Y1706" s="5" t="str">
        <f ca="1">IFERROR(__xludf.DUMMYFUNCTION("""COMPUTED_VALUE"""),"Escalation of argument")</f>
        <v>Escalation of argument</v>
      </c>
      <c r="Z1706" s="5" t="str">
        <f ca="1">IFERROR(__xludf.DUMMYFUNCTION("""COMPUTED_VALUE"""),"Victim previously got into altercation with shooter over a stolen radio. On the day of the shooting, victim was walking toward school from the school parking lot across the street. At 8:30 AM the shooter - who was the passenger in a car - pulled up to whe"&amp;"re victim was walking and jumped out, then shooting the victim multiple times. The shooter then fled, but was later arrested and charged.")</f>
        <v>Victim previously got into altercation with shooter over a stolen radio. On the day of the shooting, victim was walking toward school from the school parking lot across the street. At 8:30 AM the shooter - who was the passenger in a car - pulled up to where victim was walking and jumped out, then shooting the victim multiple times. The shooter then fled, but was later arrested and charged.</v>
      </c>
      <c r="AA1706" s="5" t="str">
        <f ca="1">IFERROR(__xludf.DUMMYFUNCTION("""COMPUTED_VALUE"""),"Escalation of Dispute")</f>
        <v>Escalation of Dispute</v>
      </c>
      <c r="AB1706" s="5" t="str">
        <f ca="1">IFERROR(__xludf.DUMMYFUNCTION("""COMPUTED_VALUE"""),"Victims Targeted")</f>
        <v>Victims Targeted</v>
      </c>
      <c r="AC1706" s="5" t="str">
        <f ca="1">IFERROR(__xludf.DUMMYFUNCTION("""COMPUTED_VALUE"""),"No")</f>
        <v>No</v>
      </c>
      <c r="AD1706" s="5" t="str">
        <f ca="1">IFERROR(__xludf.DUMMYFUNCTION("""COMPUTED_VALUE"""),"No")</f>
        <v>No</v>
      </c>
      <c r="AE1706" s="5" t="str">
        <f ca="1">IFERROR(__xludf.DUMMYFUNCTION("""COMPUTED_VALUE"""),"No")</f>
        <v>No</v>
      </c>
      <c r="AF1706" s="5" t="str">
        <f ca="1">IFERROR(__xludf.DUMMYFUNCTION("""COMPUTED_VALUE"""),"No")</f>
        <v>No</v>
      </c>
      <c r="AG1706" s="5" t="str">
        <f ca="1">IFERROR(__xludf.DUMMYFUNCTION("""COMPUTED_VALUE"""),"No")</f>
        <v>No</v>
      </c>
      <c r="AH1706" s="5" t="str">
        <f ca="1">IFERROR(__xludf.DUMMYFUNCTION("""COMPUTED_VALUE"""),"No")</f>
        <v>No</v>
      </c>
      <c r="AI1706" s="5" t="str">
        <f ca="1">IFERROR(__xludf.DUMMYFUNCTION("""COMPUTED_VALUE"""),"No")</f>
        <v>No</v>
      </c>
      <c r="AJ1706" s="5" t="str">
        <f ca="1">IFERROR(__xludf.DUMMYFUNCTION("""COMPUTED_VALUE"""),"No")</f>
        <v>No</v>
      </c>
    </row>
    <row r="1707" spans="1:36" ht="13">
      <c r="A1707" s="5" t="str">
        <f ca="1">IFERROR(__xludf.DUMMYFUNCTION("""COMPUTED_VALUE"""),"19970127FLCOW")</f>
        <v>19970127FLCOW</v>
      </c>
      <c r="B1707" s="5">
        <f ca="1">IFERROR(__xludf.DUMMYFUNCTION("""COMPUTED_VALUE"""),1)</f>
        <v>1</v>
      </c>
      <c r="C1707" s="5">
        <f ca="1">IFERROR(__xludf.DUMMYFUNCTION("""COMPUTED_VALUE"""),27)</f>
        <v>27</v>
      </c>
      <c r="D1707" s="5">
        <f ca="1">IFERROR(__xludf.DUMMYFUNCTION("""COMPUTED_VALUE"""),1997)</f>
        <v>1997</v>
      </c>
      <c r="E1707" s="8">
        <f ca="1">IFERROR(__xludf.DUMMYFUNCTION("""COMPUTED_VALUE"""),35457)</f>
        <v>35457</v>
      </c>
      <c r="F1707" s="5" t="str">
        <f ca="1">IFERROR(__xludf.DUMMYFUNCTION("""COMPUTED_VALUE"""),"Conniston Middle School")</f>
        <v>Conniston Middle School</v>
      </c>
      <c r="G1707" s="5">
        <f ca="1">IFERROR(__xludf.DUMMYFUNCTION("""COMPUTED_VALUE"""),1)</f>
        <v>1</v>
      </c>
      <c r="H1707" s="5">
        <f ca="1">IFERROR(__xludf.DUMMYFUNCTION("""COMPUTED_VALUE"""),0)</f>
        <v>0</v>
      </c>
      <c r="I1707" s="5">
        <f ca="1">IFERROR(__xludf.DUMMYFUNCTION("""COMPUTED_VALUE"""),1)</f>
        <v>1</v>
      </c>
      <c r="J1707" s="5">
        <f ca="1">IFERROR(__xludf.DUMMYFUNCTION("""COMPUTED_VALUE"""),0)</f>
        <v>0</v>
      </c>
      <c r="K1707" s="5" t="str">
        <f ca="1">IFERROR(__xludf.DUMMYFUNCTION("""COMPUTED_VALUE"""),"http://articles.sun-sentinel.com/1997-01-28/news/9701280066_1_school-day-conniston-middle-school-police https://www.sun-sentinel.com/news/florida/fl-reg-claims-bills-2018-story.html")</f>
        <v>http://articles.sun-sentinel.com/1997-01-28/news/9701280066_1_school-day-conniston-middle-school-police https://www.sun-sentinel.com/news/florida/fl-reg-claims-bills-2018-story.html</v>
      </c>
      <c r="L1707" s="5"/>
      <c r="M1707" s="5"/>
      <c r="N1707" s="5">
        <f ca="1">IFERROR(__xludf.DUMMYFUNCTION("""COMPUTED_VALUE"""),2)</f>
        <v>2</v>
      </c>
      <c r="O1707" s="5" t="str">
        <f ca="1">IFERROR(__xludf.DUMMYFUNCTION("""COMPUTED_VALUE"""),"Winter")</f>
        <v>Winter</v>
      </c>
      <c r="P1707" s="5" t="str">
        <f ca="1">IFERROR(__xludf.DUMMYFUNCTION("""COMPUTED_VALUE"""),"West Palm Beach")</f>
        <v>West Palm Beach</v>
      </c>
      <c r="Q1707" s="5" t="str">
        <f ca="1">IFERROR(__xludf.DUMMYFUNCTION("""COMPUTED_VALUE"""),"FL")</f>
        <v>FL</v>
      </c>
      <c r="R1707" s="5" t="str">
        <f ca="1">IFERROR(__xludf.DUMMYFUNCTION("""COMPUTED_VALUE"""),"Middle")</f>
        <v>Middle</v>
      </c>
      <c r="S1707" s="5" t="str">
        <f ca="1">IFERROR(__xludf.DUMMYFUNCTION("""COMPUTED_VALUE"""),"Front of School")</f>
        <v>Front of School</v>
      </c>
      <c r="T1707" s="5" t="str">
        <f ca="1">IFERROR(__xludf.DUMMYFUNCTION("""COMPUTED_VALUE"""),"Outside on School Property")</f>
        <v>Outside on School Property</v>
      </c>
      <c r="U1707" s="5" t="str">
        <f ca="1">IFERROR(__xludf.DUMMYFUNCTION("""COMPUTED_VALUE"""),"Yes")</f>
        <v>Yes</v>
      </c>
      <c r="V1707" s="5" t="str">
        <f ca="1">IFERROR(__xludf.DUMMYFUNCTION("""COMPUTED_VALUE"""),"Before School")</f>
        <v>Before School</v>
      </c>
      <c r="W1707" s="10">
        <f ca="1">IFERROR(__xludf.DUMMYFUNCTION("""COMPUTED_VALUE"""),0.361111111111111)</f>
        <v>0.36111111111111099</v>
      </c>
      <c r="X1707" s="5">
        <f ca="1">IFERROR(__xludf.DUMMYFUNCTION("""COMPUTED_VALUE"""),1)</f>
        <v>1</v>
      </c>
      <c r="Y1707" s="5" t="str">
        <f ca="1">IFERROR(__xludf.DUMMYFUNCTION("""COMPUTED_VALUE"""),"Shooter had a history of bullying victim, ongoing debt, fight over watch, shot victim before school started")</f>
        <v>Shooter had a history of bullying victim, ongoing debt, fight over watch, shot victim before school started</v>
      </c>
      <c r="Z1707" s="5" t="str">
        <f ca="1">IFERROR(__xludf.DUMMYFUNCTION("""COMPUTED_VALUE"""),"Students claim the shooter had brought a gun onto school grounds before incident, however, teachers were not aware. Victim was wearing a watch that his mother had gotten him from India. There was a debt and an ongoing feud between the shooter and the vict"&amp;"im. The shooter wanted the victim's watch as payment for the debt, a fight started, and the shooter killed the victim. Incident happened in the school just before classes started. Shooter fled the area and hid the gun under a portable classroom at the edg"&amp;"e of campus.")</f>
        <v>Students claim the shooter had brought a gun onto school grounds before incident, however, teachers were not aware. Victim was wearing a watch that his mother had gotten him from India. There was a debt and an ongoing feud between the shooter and the victim. The shooter wanted the victim's watch as payment for the debt, a fight started, and the shooter killed the victim. Incident happened in the school just before classes started. Shooter fled the area and hid the gun under a portable classroom at the edge of campus.</v>
      </c>
      <c r="AA1707" s="5" t="str">
        <f ca="1">IFERROR(__xludf.DUMMYFUNCTION("""COMPUTED_VALUE"""),"Escalation of Dispute")</f>
        <v>Escalation of Dispute</v>
      </c>
      <c r="AB1707" s="5" t="str">
        <f ca="1">IFERROR(__xludf.DUMMYFUNCTION("""COMPUTED_VALUE"""),"Victims Targeted")</f>
        <v>Victims Targeted</v>
      </c>
      <c r="AC1707" s="5" t="str">
        <f ca="1">IFERROR(__xludf.DUMMYFUNCTION("""COMPUTED_VALUE"""),"No")</f>
        <v>No</v>
      </c>
      <c r="AD1707" s="5" t="str">
        <f ca="1">IFERROR(__xludf.DUMMYFUNCTION("""COMPUTED_VALUE"""),"No")</f>
        <v>No</v>
      </c>
      <c r="AE1707" s="5" t="str">
        <f ca="1">IFERROR(__xludf.DUMMYFUNCTION("""COMPUTED_VALUE"""),"No")</f>
        <v>No</v>
      </c>
      <c r="AF1707" s="5" t="str">
        <f ca="1">IFERROR(__xludf.DUMMYFUNCTION("""COMPUTED_VALUE"""),"No")</f>
        <v>No</v>
      </c>
      <c r="AG1707" s="5" t="str">
        <f ca="1">IFERROR(__xludf.DUMMYFUNCTION("""COMPUTED_VALUE"""),"No")</f>
        <v>No</v>
      </c>
      <c r="AH1707" s="5" t="str">
        <f ca="1">IFERROR(__xludf.DUMMYFUNCTION("""COMPUTED_VALUE"""),"No")</f>
        <v>No</v>
      </c>
      <c r="AI1707" s="5" t="str">
        <f ca="1">IFERROR(__xludf.DUMMYFUNCTION("""COMPUTED_VALUE"""),"No")</f>
        <v>No</v>
      </c>
      <c r="AJ1707" s="5"/>
    </row>
    <row r="1708" spans="1:36" ht="13">
      <c r="A1708" s="5" t="str">
        <f ca="1">IFERROR(__xludf.DUMMYFUNCTION("""COMPUTED_VALUE"""),"19970108NYCRN")</f>
        <v>19970108NYCRN</v>
      </c>
      <c r="B1708" s="5">
        <f ca="1">IFERROR(__xludf.DUMMYFUNCTION("""COMPUTED_VALUE"""),1)</f>
        <v>1</v>
      </c>
      <c r="C1708" s="5">
        <f ca="1">IFERROR(__xludf.DUMMYFUNCTION("""COMPUTED_VALUE"""),8)</f>
        <v>8</v>
      </c>
      <c r="D1708" s="5">
        <f ca="1">IFERROR(__xludf.DUMMYFUNCTION("""COMPUTED_VALUE"""),1997)</f>
        <v>1997</v>
      </c>
      <c r="E1708" s="8">
        <f ca="1">IFERROR(__xludf.DUMMYFUNCTION("""COMPUTED_VALUE"""),35438)</f>
        <v>35438</v>
      </c>
      <c r="F1708" s="5" t="str">
        <f ca="1">IFERROR(__xludf.DUMMYFUNCTION("""COMPUTED_VALUE"""),"Crown Heights High School")</f>
        <v>Crown Heights High School</v>
      </c>
      <c r="G1708" s="5">
        <f ca="1">IFERROR(__xludf.DUMMYFUNCTION("""COMPUTED_VALUE"""),1)</f>
        <v>1</v>
      </c>
      <c r="H1708" s="5">
        <f ca="1">IFERROR(__xludf.DUMMYFUNCTION("""COMPUTED_VALUE"""),3)</f>
        <v>3</v>
      </c>
      <c r="I1708" s="5">
        <f ca="1">IFERROR(__xludf.DUMMYFUNCTION("""COMPUTED_VALUE"""),4)</f>
        <v>4</v>
      </c>
      <c r="J1708" s="5">
        <f ca="1">IFERROR(__xludf.DUMMYFUNCTION("""COMPUTED_VALUE"""),0)</f>
        <v>0</v>
      </c>
      <c r="K1708" s="5" t="str">
        <f ca="1">IFERROR(__xludf.DUMMYFUNCTION("""COMPUTED_VALUE"""),"https://www.nytimes.com/1997/01/09/nyregion/4-students-shot-near-a-school-in-brooklyn.html https://www.nytimes.com/1997/01/10/nyregion/3-brothers-arrested-in-shooting-near-brooklyn-school.html https://www.nytimes.com/1997/01/11/nyregion/1-youth-dies-3-cou"&amp;"ld-face-murder-counts.html https://casetext.com/case/soto-v-miller")</f>
        <v>https://www.nytimes.com/1997/01/09/nyregion/4-students-shot-near-a-school-in-brooklyn.html https://www.nytimes.com/1997/01/10/nyregion/3-brothers-arrested-in-shooting-near-brooklyn-school.html https://www.nytimes.com/1997/01/11/nyregion/1-youth-dies-3-could-face-murder-counts.html https://casetext.com/case/soto-v-miller</v>
      </c>
      <c r="L1708" s="5"/>
      <c r="M1708" s="5"/>
      <c r="N1708" s="5">
        <f ca="1">IFERROR(__xludf.DUMMYFUNCTION("""COMPUTED_VALUE"""),2)</f>
        <v>2</v>
      </c>
      <c r="O1708" s="5" t="str">
        <f ca="1">IFERROR(__xludf.DUMMYFUNCTION("""COMPUTED_VALUE"""),"Winter")</f>
        <v>Winter</v>
      </c>
      <c r="P1708" s="5" t="str">
        <f ca="1">IFERROR(__xludf.DUMMYFUNCTION("""COMPUTED_VALUE"""),"New York")</f>
        <v>New York</v>
      </c>
      <c r="Q1708" s="5" t="str">
        <f ca="1">IFERROR(__xludf.DUMMYFUNCTION("""COMPUTED_VALUE"""),"NY")</f>
        <v>NY</v>
      </c>
      <c r="R1708" s="5" t="str">
        <f ca="1">IFERROR(__xludf.DUMMYFUNCTION("""COMPUTED_VALUE"""),"High")</f>
        <v>High</v>
      </c>
      <c r="S1708" s="5" t="str">
        <f ca="1">IFERROR(__xludf.DUMMYFUNCTION("""COMPUTED_VALUE"""),"Basketball Court")</f>
        <v>Basketball Court</v>
      </c>
      <c r="T1708" s="5" t="str">
        <f ca="1">IFERROR(__xludf.DUMMYFUNCTION("""COMPUTED_VALUE"""),"Off School Property")</f>
        <v>Off School Property</v>
      </c>
      <c r="U1708" s="5" t="str">
        <f ca="1">IFERROR(__xludf.DUMMYFUNCTION("""COMPUTED_VALUE"""),"Yes")</f>
        <v>Yes</v>
      </c>
      <c r="V1708" s="5" t="str">
        <f ca="1">IFERROR(__xludf.DUMMYFUNCTION("""COMPUTED_VALUE"""),"Afternoon Classes")</f>
        <v>Afternoon Classes</v>
      </c>
      <c r="W1708" s="10">
        <f ca="1">IFERROR(__xludf.DUMMYFUNCTION("""COMPUTED_VALUE"""),0.552083333333333)</f>
        <v>0.55208333333333304</v>
      </c>
      <c r="X1708" s="5">
        <f ca="1">IFERROR(__xludf.DUMMYFUNCTION("""COMPUTED_VALUE"""),1)</f>
        <v>1</v>
      </c>
      <c r="Y1708" s="5" t="str">
        <f ca="1">IFERROR(__xludf.DUMMYFUNCTION("""COMPUTED_VALUE"""),"Argument earlier in the day, continued later that afternoon, shots fired on basketball court (not on school property)")</f>
        <v>Argument earlier in the day, continued later that afternoon, shots fired on basketball court (not on school property)</v>
      </c>
      <c r="Z1708" s="5" t="str">
        <f ca="1">IFERROR(__xludf.DUMMYFUNCTION("""COMPUTED_VALUE"""),"A fight between multiple students from rival high schools (South Shore High school and George W Wingate High School) happened the morning of the shooting. Later that afternoon around 1:15 PM the 4 victims were at a basketball court outside of George W Win"&amp;"gate High School when they were approached by 3 shooters. One 18 year-old male was killed, two 15 year-old males and one 16 year-old male were injured. The 3 shooters  (two 18 year-old males and one 21 year-old male) fled the scene and were brought in by "&amp;"police the next day and charged with attempted murder, assault, reckless endangerment, and criminal possession of a weapon.")</f>
        <v>A fight between multiple students from rival high schools (South Shore High school and George W Wingate High School) happened the morning of the shooting. Later that afternoon around 1:15 PM the 4 victims were at a basketball court outside of George W Wingate High School when they were approached by 3 shooters. One 18 year-old male was killed, two 15 year-old males and one 16 year-old male were injured. The 3 shooters  (two 18 year-old males and one 21 year-old male) fled the scene and were brought in by police the next day and charged with attempted murder, assault, reckless endangerment, and criminal possession of a weapon.</v>
      </c>
      <c r="AA1708" s="5" t="str">
        <f ca="1">IFERROR(__xludf.DUMMYFUNCTION("""COMPUTED_VALUE"""),"Escalation of Dispute")</f>
        <v>Escalation of Dispute</v>
      </c>
      <c r="AB1708" s="5" t="str">
        <f ca="1">IFERROR(__xludf.DUMMYFUNCTION("""COMPUTED_VALUE"""),"Both")</f>
        <v>Both</v>
      </c>
      <c r="AC1708" s="5" t="str">
        <f ca="1">IFERROR(__xludf.DUMMYFUNCTION("""COMPUTED_VALUE"""),"Yes")</f>
        <v>Yes</v>
      </c>
      <c r="AD1708" s="5" t="str">
        <f ca="1">IFERROR(__xludf.DUMMYFUNCTION("""COMPUTED_VALUE"""),"No")</f>
        <v>No</v>
      </c>
      <c r="AE1708" s="5" t="str">
        <f ca="1">IFERROR(__xludf.DUMMYFUNCTION("""COMPUTED_VALUE"""),"N/A")</f>
        <v>N/A</v>
      </c>
      <c r="AF1708" s="5" t="str">
        <f ca="1">IFERROR(__xludf.DUMMYFUNCTION("""COMPUTED_VALUE"""),"No")</f>
        <v>No</v>
      </c>
      <c r="AG1708" s="5" t="str">
        <f ca="1">IFERROR(__xludf.DUMMYFUNCTION("""COMPUTED_VALUE"""),"No")</f>
        <v>No</v>
      </c>
      <c r="AH1708" s="5" t="str">
        <f ca="1">IFERROR(__xludf.DUMMYFUNCTION("""COMPUTED_VALUE"""),"No")</f>
        <v>No</v>
      </c>
      <c r="AI1708" s="5" t="str">
        <f ca="1">IFERROR(__xludf.DUMMYFUNCTION("""COMPUTED_VALUE"""),"Yes")</f>
        <v>Yes</v>
      </c>
      <c r="AJ1708" s="5"/>
    </row>
    <row r="1709" spans="1:36" ht="13">
      <c r="A1709" s="5" t="str">
        <f ca="1">IFERROR(__xludf.DUMMYFUNCTION("""COMPUTED_VALUE"""),"19961127CAHIS")</f>
        <v>19961127CAHIS</v>
      </c>
      <c r="B1709" s="5">
        <f ca="1">IFERROR(__xludf.DUMMYFUNCTION("""COMPUTED_VALUE"""),11)</f>
        <v>11</v>
      </c>
      <c r="C1709" s="5">
        <f ca="1">IFERROR(__xludf.DUMMYFUNCTION("""COMPUTED_VALUE"""),27)</f>
        <v>27</v>
      </c>
      <c r="D1709" s="5">
        <f ca="1">IFERROR(__xludf.DUMMYFUNCTION("""COMPUTED_VALUE"""),1996)</f>
        <v>1996</v>
      </c>
      <c r="E1709" s="8">
        <f ca="1">IFERROR(__xludf.DUMMYFUNCTION("""COMPUTED_VALUE"""),35396)</f>
        <v>35396</v>
      </c>
      <c r="F1709" s="5" t="str">
        <f ca="1">IFERROR(__xludf.DUMMYFUNCTION("""COMPUTED_VALUE"""),"Highlands High School")</f>
        <v>Highlands High School</v>
      </c>
      <c r="G1709" s="5">
        <f ca="1">IFERROR(__xludf.DUMMYFUNCTION("""COMPUTED_VALUE"""),1)</f>
        <v>1</v>
      </c>
      <c r="H1709" s="5">
        <f ca="1">IFERROR(__xludf.DUMMYFUNCTION("""COMPUTED_VALUE"""),0)</f>
        <v>0</v>
      </c>
      <c r="I1709" s="5">
        <f ca="1">IFERROR(__xludf.DUMMYFUNCTION("""COMPUTED_VALUE"""),1)</f>
        <v>1</v>
      </c>
      <c r="J1709" s="5">
        <f ca="1">IFERROR(__xludf.DUMMYFUNCTION("""COMPUTED_VALUE"""),0)</f>
        <v>0</v>
      </c>
      <c r="K1709" s="9" t="str">
        <f ca="1">IFERROR(__xludf.DUMMYFUNCTION("""COMPUTED_VALUE"""),"http://www.psychceu.com/school_violence/savd.pdf")</f>
        <v>http://www.psychceu.com/school_violence/savd.pdf</v>
      </c>
      <c r="L1709" s="5"/>
      <c r="M1709" s="5"/>
      <c r="N1709" s="5">
        <f ca="1">IFERROR(__xludf.DUMMYFUNCTION("""COMPUTED_VALUE"""),1)</f>
        <v>1</v>
      </c>
      <c r="O1709" s="5" t="str">
        <f ca="1">IFERROR(__xludf.DUMMYFUNCTION("""COMPUTED_VALUE"""),"Fall")</f>
        <v>Fall</v>
      </c>
      <c r="P1709" s="5" t="str">
        <f ca="1">IFERROR(__xludf.DUMMYFUNCTION("""COMPUTED_VALUE"""),"Sacramento")</f>
        <v>Sacramento</v>
      </c>
      <c r="Q1709" s="5" t="str">
        <f ca="1">IFERROR(__xludf.DUMMYFUNCTION("""COMPUTED_VALUE"""),"CA")</f>
        <v>CA</v>
      </c>
      <c r="R1709" s="5" t="str">
        <f ca="1">IFERROR(__xludf.DUMMYFUNCTION("""COMPUTED_VALUE"""),"High")</f>
        <v>High</v>
      </c>
      <c r="S1709" s="5" t="str">
        <f ca="1">IFERROR(__xludf.DUMMYFUNCTION("""COMPUTED_VALUE"""),"Basketball Court")</f>
        <v>Basketball Court</v>
      </c>
      <c r="T1709" s="5" t="str">
        <f ca="1">IFERROR(__xludf.DUMMYFUNCTION("""COMPUTED_VALUE"""),"Outside on School Property")</f>
        <v>Outside on School Property</v>
      </c>
      <c r="U1709" s="5" t="str">
        <f ca="1">IFERROR(__xludf.DUMMYFUNCTION("""COMPUTED_VALUE"""),"No")</f>
        <v>No</v>
      </c>
      <c r="V1709" s="5" t="str">
        <f ca="1">IFERROR(__xludf.DUMMYFUNCTION("""COMPUTED_VALUE"""),"Evening")</f>
        <v>Evening</v>
      </c>
      <c r="W1709" s="5"/>
      <c r="X1709" s="5">
        <f ca="1">IFERROR(__xludf.DUMMYFUNCTION("""COMPUTED_VALUE"""),1)</f>
        <v>1</v>
      </c>
      <c r="Y1709" s="5" t="str">
        <f ca="1">IFERROR(__xludf.DUMMYFUNCTION("""COMPUTED_VALUE"""),"Officers gun discharged during fight killing victim")</f>
        <v>Officers gun discharged during fight killing victim</v>
      </c>
      <c r="Z1709" s="5" t="str">
        <f ca="1">IFERROR(__xludf.DUMMYFUNCTION("""COMPUTED_VALUE"""),"Fight after a basketball game at the school. Police officer was trying to detain suspects involved in fight when officer's gun discharged killing 19YOM victim.")</f>
        <v>Fight after a basketball game at the school. Police officer was trying to detain suspects involved in fight when officer's gun discharged killing 19YOM victim.</v>
      </c>
      <c r="AA1709" s="5" t="str">
        <f ca="1">IFERROR(__xludf.DUMMYFUNCTION("""COMPUTED_VALUE"""),"Accidental")</f>
        <v>Accidental</v>
      </c>
      <c r="AB1709" s="5" t="str">
        <f ca="1">IFERROR(__xludf.DUMMYFUNCTION("""COMPUTED_VALUE"""),"Victims Targeted")</f>
        <v>Victims Targeted</v>
      </c>
      <c r="AC1709" s="5" t="str">
        <f ca="1">IFERROR(__xludf.DUMMYFUNCTION("""COMPUTED_VALUE"""),"No")</f>
        <v>No</v>
      </c>
      <c r="AD1709" s="5" t="str">
        <f ca="1">IFERROR(__xludf.DUMMYFUNCTION("""COMPUTED_VALUE"""),"No")</f>
        <v>No</v>
      </c>
      <c r="AE1709" s="5" t="str">
        <f ca="1">IFERROR(__xludf.DUMMYFUNCTION("""COMPUTED_VALUE"""),"No")</f>
        <v>No</v>
      </c>
      <c r="AF1709" s="5" t="str">
        <f ca="1">IFERROR(__xludf.DUMMYFUNCTION("""COMPUTED_VALUE"""),"Yes")</f>
        <v>Yes</v>
      </c>
      <c r="AG1709" s="5" t="str">
        <f ca="1">IFERROR(__xludf.DUMMYFUNCTION("""COMPUTED_VALUE"""),"N/A")</f>
        <v>N/A</v>
      </c>
      <c r="AH1709" s="5" t="str">
        <f ca="1">IFERROR(__xludf.DUMMYFUNCTION("""COMPUTED_VALUE"""),"N/A")</f>
        <v>N/A</v>
      </c>
      <c r="AI1709" s="5" t="str">
        <f ca="1">IFERROR(__xludf.DUMMYFUNCTION("""COMPUTED_VALUE"""),"N/A")</f>
        <v>N/A</v>
      </c>
      <c r="AJ1709" s="5" t="str">
        <f ca="1">IFERROR(__xludf.DUMMYFUNCTION("""COMPUTED_VALUE"""),"N/A")</f>
        <v>N/A</v>
      </c>
    </row>
    <row r="1710" spans="1:36" ht="13">
      <c r="A1710" s="5" t="str">
        <f ca="1">IFERROR(__xludf.DUMMYFUNCTION("""COMPUTED_VALUE"""),"19961014MOSUS")</f>
        <v>19961014MOSUS</v>
      </c>
      <c r="B1710" s="5">
        <f ca="1">IFERROR(__xludf.DUMMYFUNCTION("""COMPUTED_VALUE"""),10)</f>
        <v>10</v>
      </c>
      <c r="C1710" s="5">
        <f ca="1">IFERROR(__xludf.DUMMYFUNCTION("""COMPUTED_VALUE"""),14)</f>
        <v>14</v>
      </c>
      <c r="D1710" s="5">
        <f ca="1">IFERROR(__xludf.DUMMYFUNCTION("""COMPUTED_VALUE"""),1996)</f>
        <v>1996</v>
      </c>
      <c r="E1710" s="8">
        <f ca="1">IFERROR(__xludf.DUMMYFUNCTION("""COMPUTED_VALUE"""),35352)</f>
        <v>35352</v>
      </c>
      <c r="F1710" s="5" t="str">
        <f ca="1">IFERROR(__xludf.DUMMYFUNCTION("""COMPUTED_VALUE"""),"Sumner High School")</f>
        <v>Sumner High School</v>
      </c>
      <c r="G1710" s="5">
        <f ca="1">IFERROR(__xludf.DUMMYFUNCTION("""COMPUTED_VALUE"""),1)</f>
        <v>1</v>
      </c>
      <c r="H1710" s="5">
        <f ca="1">IFERROR(__xludf.DUMMYFUNCTION("""COMPUTED_VALUE"""),0)</f>
        <v>0</v>
      </c>
      <c r="I1710" s="5">
        <f ca="1">IFERROR(__xludf.DUMMYFUNCTION("""COMPUTED_VALUE"""),1)</f>
        <v>1</v>
      </c>
      <c r="J1710" s="5">
        <f ca="1">IFERROR(__xludf.DUMMYFUNCTION("""COMPUTED_VALUE"""),0)</f>
        <v>0</v>
      </c>
      <c r="K1710" s="9" t="str">
        <f ca="1">IFERROR(__xludf.DUMMYFUNCTION("""COMPUTED_VALUE"""),"http://www.psychceu.com/school_violence/savd.pdf")</f>
        <v>http://www.psychceu.com/school_violence/savd.pdf</v>
      </c>
      <c r="L1710" s="5"/>
      <c r="M1710" s="5"/>
      <c r="N1710" s="5">
        <f ca="1">IFERROR(__xludf.DUMMYFUNCTION("""COMPUTED_VALUE"""),1)</f>
        <v>1</v>
      </c>
      <c r="O1710" s="5" t="str">
        <f ca="1">IFERROR(__xludf.DUMMYFUNCTION("""COMPUTED_VALUE"""),"Fall")</f>
        <v>Fall</v>
      </c>
      <c r="P1710" s="5" t="str">
        <f ca="1">IFERROR(__xludf.DUMMYFUNCTION("""COMPUTED_VALUE"""),"St. Louis")</f>
        <v>St. Louis</v>
      </c>
      <c r="Q1710" s="5" t="str">
        <f ca="1">IFERROR(__xludf.DUMMYFUNCTION("""COMPUTED_VALUE"""),"MO")</f>
        <v>MO</v>
      </c>
      <c r="R1710" s="5" t="str">
        <f ca="1">IFERROR(__xludf.DUMMYFUNCTION("""COMPUTED_VALUE"""),"High")</f>
        <v>High</v>
      </c>
      <c r="S1710" s="5" t="str">
        <f ca="1">IFERROR(__xludf.DUMMYFUNCTION("""COMPUTED_VALUE"""),"Inside School Building")</f>
        <v>Inside School Building</v>
      </c>
      <c r="T1710" s="5" t="str">
        <f ca="1">IFERROR(__xludf.DUMMYFUNCTION("""COMPUTED_VALUE"""),"Inside School Building")</f>
        <v>Inside School Building</v>
      </c>
      <c r="U1710" s="5" t="str">
        <f ca="1">IFERROR(__xludf.DUMMYFUNCTION("""COMPUTED_VALUE"""),"Yes")</f>
        <v>Yes</v>
      </c>
      <c r="V1710" s="5"/>
      <c r="W1710" s="5"/>
      <c r="X1710" s="5">
        <f ca="1">IFERROR(__xludf.DUMMYFUNCTION("""COMPUTED_VALUE"""),1)</f>
        <v>1</v>
      </c>
      <c r="Y1710" s="5" t="str">
        <f ca="1">IFERROR(__xludf.DUMMYFUNCTION("""COMPUTED_VALUE"""),"Shots fired during fight in hallway")</f>
        <v>Shots fired during fight in hallway</v>
      </c>
      <c r="Z1710" s="5" t="str">
        <f ca="1">IFERROR(__xludf.DUMMYFUNCTION("""COMPUTED_VALUE"""),"17YOM shot by 15YOM during a fight among several students;")</f>
        <v>17YOM shot by 15YOM during a fight among several students;</v>
      </c>
      <c r="AA1710" s="5" t="str">
        <f ca="1">IFERROR(__xludf.DUMMYFUNCTION("""COMPUTED_VALUE"""),"Escalation of Dispute")</f>
        <v>Escalation of Dispute</v>
      </c>
      <c r="AB1710" s="5" t="str">
        <f ca="1">IFERROR(__xludf.DUMMYFUNCTION("""COMPUTED_VALUE"""),"Victims Targeted")</f>
        <v>Victims Targeted</v>
      </c>
      <c r="AC1710" s="5" t="str">
        <f ca="1">IFERROR(__xludf.DUMMYFUNCTION("""COMPUTED_VALUE"""),"Unknown")</f>
        <v>Unknown</v>
      </c>
      <c r="AD1710" s="5" t="str">
        <f ca="1">IFERROR(__xludf.DUMMYFUNCTION("""COMPUTED_VALUE"""),"No")</f>
        <v>No</v>
      </c>
      <c r="AE1710" s="5" t="str">
        <f ca="1">IFERROR(__xludf.DUMMYFUNCTION("""COMPUTED_VALUE"""),"No")</f>
        <v>No</v>
      </c>
      <c r="AF1710" s="5" t="str">
        <f ca="1">IFERROR(__xludf.DUMMYFUNCTION("""COMPUTED_VALUE"""),"No")</f>
        <v>No</v>
      </c>
      <c r="AG1710" s="5" t="str">
        <f ca="1">IFERROR(__xludf.DUMMYFUNCTION("""COMPUTED_VALUE"""),"No")</f>
        <v>No</v>
      </c>
      <c r="AH1710" s="5" t="str">
        <f ca="1">IFERROR(__xludf.DUMMYFUNCTION("""COMPUTED_VALUE"""),"No")</f>
        <v>No</v>
      </c>
      <c r="AI1710" s="5"/>
      <c r="AJ1710" s="5"/>
    </row>
    <row r="1711" spans="1:36" ht="13">
      <c r="A1711" s="5" t="str">
        <f ca="1">IFERROR(__xludf.DUMMYFUNCTION("""COMPUTED_VALUE"""),"19961009ARJAS")</f>
        <v>19961009ARJAS</v>
      </c>
      <c r="B1711" s="5">
        <f ca="1">IFERROR(__xludf.DUMMYFUNCTION("""COMPUTED_VALUE"""),10)</f>
        <v>10</v>
      </c>
      <c r="C1711" s="5">
        <f ca="1">IFERROR(__xludf.DUMMYFUNCTION("""COMPUTED_VALUE"""),9)</f>
        <v>9</v>
      </c>
      <c r="D1711" s="5">
        <f ca="1">IFERROR(__xludf.DUMMYFUNCTION("""COMPUTED_VALUE"""),1996)</f>
        <v>1996</v>
      </c>
      <c r="E1711" s="8">
        <f ca="1">IFERROR(__xludf.DUMMYFUNCTION("""COMPUTED_VALUE"""),35347)</f>
        <v>35347</v>
      </c>
      <c r="F1711" s="5" t="str">
        <f ca="1">IFERROR(__xludf.DUMMYFUNCTION("""COMPUTED_VALUE"""),"Jacksonville High School bus")</f>
        <v>Jacksonville High School bus</v>
      </c>
      <c r="G1711" s="5">
        <f ca="1">IFERROR(__xludf.DUMMYFUNCTION("""COMPUTED_VALUE"""),1)</f>
        <v>1</v>
      </c>
      <c r="H1711" s="5">
        <f ca="1">IFERROR(__xludf.DUMMYFUNCTION("""COMPUTED_VALUE"""),0)</f>
        <v>0</v>
      </c>
      <c r="I1711" s="5">
        <f ca="1">IFERROR(__xludf.DUMMYFUNCTION("""COMPUTED_VALUE"""),1)</f>
        <v>1</v>
      </c>
      <c r="J1711" s="5">
        <f ca="1">IFERROR(__xludf.DUMMYFUNCTION("""COMPUTED_VALUE"""),0)</f>
        <v>0</v>
      </c>
      <c r="K1711" s="9" t="str">
        <f ca="1">IFERROR(__xludf.DUMMYFUNCTION("""COMPUTED_VALUE"""),"https://www.upi.com/Archives/1996/10/10/Teen-charged-in-school-bus-slaying/5274844920000/")</f>
        <v>https://www.upi.com/Archives/1996/10/10/Teen-charged-in-school-bus-slaying/5274844920000/</v>
      </c>
      <c r="L1711" s="5"/>
      <c r="M1711" s="5"/>
      <c r="N1711" s="5">
        <f ca="1">IFERROR(__xludf.DUMMYFUNCTION("""COMPUTED_VALUE"""),2)</f>
        <v>2</v>
      </c>
      <c r="O1711" s="5" t="str">
        <f ca="1">IFERROR(__xludf.DUMMYFUNCTION("""COMPUTED_VALUE"""),"Fall")</f>
        <v>Fall</v>
      </c>
      <c r="P1711" s="5" t="str">
        <f ca="1">IFERROR(__xludf.DUMMYFUNCTION("""COMPUTED_VALUE"""),"Sherwood")</f>
        <v>Sherwood</v>
      </c>
      <c r="Q1711" s="5" t="str">
        <f ca="1">IFERROR(__xludf.DUMMYFUNCTION("""COMPUTED_VALUE"""),"AR")</f>
        <v>AR</v>
      </c>
      <c r="R1711" s="5" t="str">
        <f ca="1">IFERROR(__xludf.DUMMYFUNCTION("""COMPUTED_VALUE"""),"High")</f>
        <v>High</v>
      </c>
      <c r="S1711" s="5" t="str">
        <f ca="1">IFERROR(__xludf.DUMMYFUNCTION("""COMPUTED_VALUE"""),"School Bus")</f>
        <v>School Bus</v>
      </c>
      <c r="T1711" s="5" t="str">
        <f ca="1">IFERROR(__xludf.DUMMYFUNCTION("""COMPUTED_VALUE"""),"School Bus")</f>
        <v>School Bus</v>
      </c>
      <c r="U1711" s="5" t="str">
        <f ca="1">IFERROR(__xludf.DUMMYFUNCTION("""COMPUTED_VALUE"""),"No")</f>
        <v>No</v>
      </c>
      <c r="V1711" s="5"/>
      <c r="W1711" s="5"/>
      <c r="X1711" s="5">
        <f ca="1">IFERROR(__xludf.DUMMYFUNCTION("""COMPUTED_VALUE"""),1)</f>
        <v>1</v>
      </c>
      <c r="Y1711" s="5" t="str">
        <f ca="1">IFERROR(__xludf.DUMMYFUNCTION("""COMPUTED_VALUE"""),"Fight (escalated)")</f>
        <v>Fight (escalated)</v>
      </c>
      <c r="Z1711" s="5" t="str">
        <f ca="1">IFERROR(__xludf.DUMMYFUNCTION("""COMPUTED_VALUE"""),"Ongoing dispute between the shooter and victim. They were fighting on the bus and had to be seperated. Shooter pulled a .22 handgun and shot the victim once in the neck and fled the scene. Gun was found near his house.")</f>
        <v>Ongoing dispute between the shooter and victim. They were fighting on the bus and had to be seperated. Shooter pulled a .22 handgun and shot the victim once in the neck and fled the scene. Gun was found near his house.</v>
      </c>
      <c r="AA1711" s="5" t="str">
        <f ca="1">IFERROR(__xludf.DUMMYFUNCTION("""COMPUTED_VALUE"""),"Escalation of Dispute")</f>
        <v>Escalation of Dispute</v>
      </c>
      <c r="AB1711" s="5" t="str">
        <f ca="1">IFERROR(__xludf.DUMMYFUNCTION("""COMPUTED_VALUE"""),"Victims Targeted")</f>
        <v>Victims Targeted</v>
      </c>
      <c r="AC1711" s="5" t="str">
        <f ca="1">IFERROR(__xludf.DUMMYFUNCTION("""COMPUTED_VALUE"""),"No")</f>
        <v>No</v>
      </c>
      <c r="AD1711" s="5" t="str">
        <f ca="1">IFERROR(__xludf.DUMMYFUNCTION("""COMPUTED_VALUE"""),"No")</f>
        <v>No</v>
      </c>
      <c r="AE1711" s="5" t="str">
        <f ca="1">IFERROR(__xludf.DUMMYFUNCTION("""COMPUTED_VALUE"""),"No")</f>
        <v>No</v>
      </c>
      <c r="AF1711" s="5" t="str">
        <f ca="1">IFERROR(__xludf.DUMMYFUNCTION("""COMPUTED_VALUE"""),"No")</f>
        <v>No</v>
      </c>
      <c r="AG1711" s="5" t="str">
        <f ca="1">IFERROR(__xludf.DUMMYFUNCTION("""COMPUTED_VALUE"""),"No")</f>
        <v>No</v>
      </c>
      <c r="AH1711" s="5" t="str">
        <f ca="1">IFERROR(__xludf.DUMMYFUNCTION("""COMPUTED_VALUE"""),"No")</f>
        <v>No</v>
      </c>
      <c r="AI1711" s="5" t="str">
        <f ca="1">IFERROR(__xludf.DUMMYFUNCTION("""COMPUTED_VALUE"""),"No")</f>
        <v>No</v>
      </c>
      <c r="AJ1711" s="5"/>
    </row>
    <row r="1712" spans="1:36" ht="13">
      <c r="A1712" s="5" t="str">
        <f ca="1">IFERROR(__xludf.DUMMYFUNCTION("""COMPUTED_VALUE"""),"19961004CASTP")</f>
        <v>19961004CASTP</v>
      </c>
      <c r="B1712" s="5">
        <f ca="1">IFERROR(__xludf.DUMMYFUNCTION("""COMPUTED_VALUE"""),10)</f>
        <v>10</v>
      </c>
      <c r="C1712" s="5">
        <f ca="1">IFERROR(__xludf.DUMMYFUNCTION("""COMPUTED_VALUE"""),4)</f>
        <v>4</v>
      </c>
      <c r="D1712" s="5">
        <f ca="1">IFERROR(__xludf.DUMMYFUNCTION("""COMPUTED_VALUE"""),1996)</f>
        <v>1996</v>
      </c>
      <c r="E1712" s="8">
        <f ca="1">IFERROR(__xludf.DUMMYFUNCTION("""COMPUTED_VALUE"""),35342)</f>
        <v>35342</v>
      </c>
      <c r="F1712" s="5" t="str">
        <f ca="1">IFERROR(__xludf.DUMMYFUNCTION("""COMPUTED_VALUE"""),"St. Bernard High School")</f>
        <v>St. Bernard High School</v>
      </c>
      <c r="G1712" s="5">
        <f ca="1">IFERROR(__xludf.DUMMYFUNCTION("""COMPUTED_VALUE"""),1)</f>
        <v>1</v>
      </c>
      <c r="H1712" s="5">
        <f ca="1">IFERROR(__xludf.DUMMYFUNCTION("""COMPUTED_VALUE"""),1)</f>
        <v>1</v>
      </c>
      <c r="I1712" s="5">
        <f ca="1">IFERROR(__xludf.DUMMYFUNCTION("""COMPUTED_VALUE"""),2)</f>
        <v>2</v>
      </c>
      <c r="J1712" s="5">
        <f ca="1">IFERROR(__xludf.DUMMYFUNCTION("""COMPUTED_VALUE"""),0)</f>
        <v>0</v>
      </c>
      <c r="K1712" s="9" t="str">
        <f ca="1">IFERROR(__xludf.DUMMYFUNCTION("""COMPUTED_VALUE"""),"http://www.psychceu.com/school_violence/savd.pdf")</f>
        <v>http://www.psychceu.com/school_violence/savd.pdf</v>
      </c>
      <c r="L1712" s="5"/>
      <c r="M1712" s="5"/>
      <c r="N1712" s="5">
        <f ca="1">IFERROR(__xludf.DUMMYFUNCTION("""COMPUTED_VALUE"""),1)</f>
        <v>1</v>
      </c>
      <c r="O1712" s="5" t="str">
        <f ca="1">IFERROR(__xludf.DUMMYFUNCTION("""COMPUTED_VALUE"""),"Fall")</f>
        <v>Fall</v>
      </c>
      <c r="P1712" s="5" t="str">
        <f ca="1">IFERROR(__xludf.DUMMYFUNCTION("""COMPUTED_VALUE"""),"Playa Del Rey")</f>
        <v>Playa Del Rey</v>
      </c>
      <c r="Q1712" s="5" t="str">
        <f ca="1">IFERROR(__xludf.DUMMYFUNCTION("""COMPUTED_VALUE"""),"CA")</f>
        <v>CA</v>
      </c>
      <c r="R1712" s="5" t="str">
        <f ca="1">IFERROR(__xludf.DUMMYFUNCTION("""COMPUTED_VALUE"""),"High")</f>
        <v>High</v>
      </c>
      <c r="S1712" s="5" t="str">
        <f ca="1">IFERROR(__xludf.DUMMYFUNCTION("""COMPUTED_VALUE"""),"Football Field/Track")</f>
        <v>Football Field/Track</v>
      </c>
      <c r="T1712" s="5" t="str">
        <f ca="1">IFERROR(__xludf.DUMMYFUNCTION("""COMPUTED_VALUE"""),"Outside on School Property")</f>
        <v>Outside on School Property</v>
      </c>
      <c r="U1712" s="5" t="str">
        <f ca="1">IFERROR(__xludf.DUMMYFUNCTION("""COMPUTED_VALUE"""),"No")</f>
        <v>No</v>
      </c>
      <c r="V1712" s="5" t="str">
        <f ca="1">IFERROR(__xludf.DUMMYFUNCTION("""COMPUTED_VALUE"""),"Sport Event")</f>
        <v>Sport Event</v>
      </c>
      <c r="W1712" s="10">
        <f ca="1">IFERROR(__xludf.DUMMYFUNCTION("""COMPUTED_VALUE"""),0.916666666666666)</f>
        <v>0.91666666666666596</v>
      </c>
      <c r="X1712" s="5">
        <f ca="1">IFERROR(__xludf.DUMMYFUNCTION("""COMPUTED_VALUE"""),1)</f>
        <v>1</v>
      </c>
      <c r="Y1712" s="5" t="str">
        <f ca="1">IFERROR(__xludf.DUMMYFUNCTION("""COMPUTED_VALUE"""),"Shooting on track after football game")</f>
        <v>Shooting on track after football game</v>
      </c>
      <c r="Z1712" s="5" t="str">
        <f ca="1">IFERROR(__xludf.DUMMYFUNCTION("""COMPUTED_VALUE"""),"18YOM near the track at St. Bernard shortly after 10 p.m.; shot by a 17 year-old Jordan High School football player following a football game between the two schools; another youth was also shot and hospitalized")</f>
        <v>18YOM near the track at St. Bernard shortly after 10 p.m.; shot by a 17 year-old Jordan High School football player following a football game between the two schools; another youth was also shot and hospitalized</v>
      </c>
      <c r="AA1712" s="5" t="str">
        <f ca="1">IFERROR(__xludf.DUMMYFUNCTION("""COMPUTED_VALUE"""),"Escalation of Dispute")</f>
        <v>Escalation of Dispute</v>
      </c>
      <c r="AB1712" s="5"/>
      <c r="AC1712" s="5" t="str">
        <f ca="1">IFERROR(__xludf.DUMMYFUNCTION("""COMPUTED_VALUE"""),"No")</f>
        <v>No</v>
      </c>
      <c r="AD1712" s="5" t="str">
        <f ca="1">IFERROR(__xludf.DUMMYFUNCTION("""COMPUTED_VALUE"""),"No")</f>
        <v>No</v>
      </c>
      <c r="AE1712" s="5" t="str">
        <f ca="1">IFERROR(__xludf.DUMMYFUNCTION("""COMPUTED_VALUE"""),"No")</f>
        <v>No</v>
      </c>
      <c r="AF1712" s="5" t="str">
        <f ca="1">IFERROR(__xludf.DUMMYFUNCTION("""COMPUTED_VALUE"""),"No")</f>
        <v>No</v>
      </c>
      <c r="AG1712" s="5" t="str">
        <f ca="1">IFERROR(__xludf.DUMMYFUNCTION("""COMPUTED_VALUE"""),"No")</f>
        <v>No</v>
      </c>
      <c r="AH1712" s="5" t="str">
        <f ca="1">IFERROR(__xludf.DUMMYFUNCTION("""COMPUTED_VALUE"""),"No")</f>
        <v>No</v>
      </c>
      <c r="AI1712" s="5"/>
      <c r="AJ1712" s="5"/>
    </row>
    <row r="1713" spans="1:36" ht="13">
      <c r="A1713" s="5" t="str">
        <f ca="1">IFERROR(__xludf.DUMMYFUNCTION("""COMPUTED_VALUE"""),"19961002PASMP")</f>
        <v>19961002PASMP</v>
      </c>
      <c r="B1713" s="5">
        <f ca="1">IFERROR(__xludf.DUMMYFUNCTION("""COMPUTED_VALUE"""),10)</f>
        <v>10</v>
      </c>
      <c r="C1713" s="5">
        <f ca="1">IFERROR(__xludf.DUMMYFUNCTION("""COMPUTED_VALUE"""),2)</f>
        <v>2</v>
      </c>
      <c r="D1713" s="5">
        <f ca="1">IFERROR(__xludf.DUMMYFUNCTION("""COMPUTED_VALUE"""),1996)</f>
        <v>1996</v>
      </c>
      <c r="E1713" s="8">
        <f ca="1">IFERROR(__xludf.DUMMYFUNCTION("""COMPUTED_VALUE"""),35340)</f>
        <v>35340</v>
      </c>
      <c r="F1713" s="5" t="str">
        <f ca="1">IFERROR(__xludf.DUMMYFUNCTION("""COMPUTED_VALUE"""),"Smedley Elementary School")</f>
        <v>Smedley Elementary School</v>
      </c>
      <c r="G1713" s="5">
        <f ca="1">IFERROR(__xludf.DUMMYFUNCTION("""COMPUTED_VALUE"""),2)</f>
        <v>2</v>
      </c>
      <c r="H1713" s="5">
        <f ca="1">IFERROR(__xludf.DUMMYFUNCTION("""COMPUTED_VALUE"""),0)</f>
        <v>0</v>
      </c>
      <c r="I1713" s="5">
        <f ca="1">IFERROR(__xludf.DUMMYFUNCTION("""COMPUTED_VALUE"""),2)</f>
        <v>2</v>
      </c>
      <c r="J1713" s="5">
        <f ca="1">IFERROR(__xludf.DUMMYFUNCTION("""COMPUTED_VALUE"""),0)</f>
        <v>0</v>
      </c>
      <c r="K1713" s="9" t="str">
        <f ca="1">IFERROR(__xludf.DUMMYFUNCTION("""COMPUTED_VALUE"""),"http://www.psychceu.com/school_violence/savd.pdf")</f>
        <v>http://www.psychceu.com/school_violence/savd.pdf</v>
      </c>
      <c r="L1713" s="5"/>
      <c r="M1713" s="5"/>
      <c r="N1713" s="5">
        <f ca="1">IFERROR(__xludf.DUMMYFUNCTION("""COMPUTED_VALUE"""),1)</f>
        <v>1</v>
      </c>
      <c r="O1713" s="5" t="str">
        <f ca="1">IFERROR(__xludf.DUMMYFUNCTION("""COMPUTED_VALUE"""),"Fall")</f>
        <v>Fall</v>
      </c>
      <c r="P1713" s="5" t="str">
        <f ca="1">IFERROR(__xludf.DUMMYFUNCTION("""COMPUTED_VALUE"""),"Philadelphia")</f>
        <v>Philadelphia</v>
      </c>
      <c r="Q1713" s="5" t="str">
        <f ca="1">IFERROR(__xludf.DUMMYFUNCTION("""COMPUTED_VALUE"""),"PA")</f>
        <v>PA</v>
      </c>
      <c r="R1713" s="5" t="str">
        <f ca="1">IFERROR(__xludf.DUMMYFUNCTION("""COMPUTED_VALUE"""),"Elementary")</f>
        <v>Elementary</v>
      </c>
      <c r="S1713" s="5" t="str">
        <f ca="1">IFERROR(__xludf.DUMMYFUNCTION("""COMPUTED_VALUE"""),"Parking Lot")</f>
        <v>Parking Lot</v>
      </c>
      <c r="T1713" s="5" t="str">
        <f ca="1">IFERROR(__xludf.DUMMYFUNCTION("""COMPUTED_VALUE"""),"Outside on School Property")</f>
        <v>Outside on School Property</v>
      </c>
      <c r="U1713" s="5" t="str">
        <f ca="1">IFERROR(__xludf.DUMMYFUNCTION("""COMPUTED_VALUE"""),"Yes")</f>
        <v>Yes</v>
      </c>
      <c r="V1713" s="5" t="str">
        <f ca="1">IFERROR(__xludf.DUMMYFUNCTION("""COMPUTED_VALUE"""),"Dismissal")</f>
        <v>Dismissal</v>
      </c>
      <c r="W1713" s="5"/>
      <c r="X1713" s="5">
        <f ca="1">IFERROR(__xludf.DUMMYFUNCTION("""COMPUTED_VALUE"""),1)</f>
        <v>1</v>
      </c>
      <c r="Y1713" s="5" t="str">
        <f ca="1">IFERROR(__xludf.DUMMYFUNCTION("""COMPUTED_VALUE"""),"Two women killed outside of school during domestic")</f>
        <v>Two women killed outside of school during domestic</v>
      </c>
      <c r="Z1713" s="5" t="str">
        <f ca="1">IFERROR(__xludf.DUMMYFUNCTION("""COMPUTED_VALUE"""),"Victim was the cousin of Stacy Buxton-Boyd, the estranged wife of Steven Boyd, who shot and killed both women as they waited for Stacy's children to be dismissed from school")</f>
        <v>Victim was the cousin of Stacy Buxton-Boyd, the estranged wife of Steven Boyd, who shot and killed both women as they waited for Stacy's children to be dismissed from school</v>
      </c>
      <c r="AA1713" s="5" t="str">
        <f ca="1">IFERROR(__xludf.DUMMYFUNCTION("""COMPUTED_VALUE"""),"Domestic w/ Targeted Victim")</f>
        <v>Domestic w/ Targeted Victim</v>
      </c>
      <c r="AB1713" s="5" t="str">
        <f ca="1">IFERROR(__xludf.DUMMYFUNCTION("""COMPUTED_VALUE"""),"Victims Targeted")</f>
        <v>Victims Targeted</v>
      </c>
      <c r="AC1713" s="5" t="str">
        <f ca="1">IFERROR(__xludf.DUMMYFUNCTION("""COMPUTED_VALUE"""),"No")</f>
        <v>No</v>
      </c>
      <c r="AD1713" s="5" t="str">
        <f ca="1">IFERROR(__xludf.DUMMYFUNCTION("""COMPUTED_VALUE"""),"No")</f>
        <v>No</v>
      </c>
      <c r="AE1713" s="5" t="str">
        <f ca="1">IFERROR(__xludf.DUMMYFUNCTION("""COMPUTED_VALUE"""),"No")</f>
        <v>No</v>
      </c>
      <c r="AF1713" s="5" t="str">
        <f ca="1">IFERROR(__xludf.DUMMYFUNCTION("""COMPUTED_VALUE"""),"No")</f>
        <v>No</v>
      </c>
      <c r="AG1713" s="5" t="str">
        <f ca="1">IFERROR(__xludf.DUMMYFUNCTION("""COMPUTED_VALUE"""),"No")</f>
        <v>No</v>
      </c>
      <c r="AH1713" s="5" t="str">
        <f ca="1">IFERROR(__xludf.DUMMYFUNCTION("""COMPUTED_VALUE"""),"Yes")</f>
        <v>Yes</v>
      </c>
      <c r="AI1713" s="5" t="str">
        <f ca="1">IFERROR(__xludf.DUMMYFUNCTION("""COMPUTED_VALUE"""),"No")</f>
        <v>No</v>
      </c>
      <c r="AJ1713" s="5"/>
    </row>
    <row r="1714" spans="1:36" ht="13">
      <c r="A1714" s="5" t="str">
        <f ca="1">IFERROR(__xludf.DUMMYFUNCTION("""COMPUTED_VALUE"""),"19960925GADED")</f>
        <v>19960925GADED</v>
      </c>
      <c r="B1714" s="5">
        <f ca="1">IFERROR(__xludf.DUMMYFUNCTION("""COMPUTED_VALUE"""),9)</f>
        <v>9</v>
      </c>
      <c r="C1714" s="5">
        <f ca="1">IFERROR(__xludf.DUMMYFUNCTION("""COMPUTED_VALUE"""),25)</f>
        <v>25</v>
      </c>
      <c r="D1714" s="5">
        <f ca="1">IFERROR(__xludf.DUMMYFUNCTION("""COMPUTED_VALUE"""),1996)</f>
        <v>1996</v>
      </c>
      <c r="E1714" s="8">
        <f ca="1">IFERROR(__xludf.DUMMYFUNCTION("""COMPUTED_VALUE"""),35333)</f>
        <v>35333</v>
      </c>
      <c r="F1714" s="5" t="str">
        <f ca="1">IFERROR(__xludf.DUMMYFUNCTION("""COMPUTED_VALUE"""),"Dekalb Alternative School")</f>
        <v>Dekalb Alternative School</v>
      </c>
      <c r="G1714" s="5">
        <f ca="1">IFERROR(__xludf.DUMMYFUNCTION("""COMPUTED_VALUE"""),1)</f>
        <v>1</v>
      </c>
      <c r="H1714" s="5">
        <f ca="1">IFERROR(__xludf.DUMMYFUNCTION("""COMPUTED_VALUE"""),0)</f>
        <v>0</v>
      </c>
      <c r="I1714" s="5">
        <f ca="1">IFERROR(__xludf.DUMMYFUNCTION("""COMPUTED_VALUE"""),1)</f>
        <v>1</v>
      </c>
      <c r="J1714" s="5">
        <f ca="1">IFERROR(__xludf.DUMMYFUNCTION("""COMPUTED_VALUE"""),0)</f>
        <v>0</v>
      </c>
      <c r="K1714" s="5" t="str">
        <f ca="1">IFERROR(__xludf.DUMMYFUNCTION("""COMPUTED_VALUE"""),"http://articles.chicagotribune.com/1996-09-26/news/9609260133_1_new-teachers-expelled-teacher-s-slaying https://en.wikipedia.org/wiki/List_of_attacks_related_to_secondary_schools#1990s")</f>
        <v>http://articles.chicagotribune.com/1996-09-26/news/9609260133_1_new-teachers-expelled-teacher-s-slaying https://en.wikipedia.org/wiki/List_of_attacks_related_to_secondary_schools#1990s</v>
      </c>
      <c r="L1714" s="5"/>
      <c r="M1714" s="5"/>
      <c r="N1714" s="5">
        <f ca="1">IFERROR(__xludf.DUMMYFUNCTION("""COMPUTED_VALUE"""),2)</f>
        <v>2</v>
      </c>
      <c r="O1714" s="5" t="str">
        <f ca="1">IFERROR(__xludf.DUMMYFUNCTION("""COMPUTED_VALUE"""),"Fall")</f>
        <v>Fall</v>
      </c>
      <c r="P1714" s="5" t="str">
        <f ca="1">IFERROR(__xludf.DUMMYFUNCTION("""COMPUTED_VALUE"""),"Decatur")</f>
        <v>Decatur</v>
      </c>
      <c r="Q1714" s="5" t="str">
        <f ca="1">IFERROR(__xludf.DUMMYFUNCTION("""COMPUTED_VALUE"""),"GA")</f>
        <v>GA</v>
      </c>
      <c r="R1714" s="5" t="str">
        <f ca="1">IFERROR(__xludf.DUMMYFUNCTION("""COMPUTED_VALUE"""),"Unknown")</f>
        <v>Unknown</v>
      </c>
      <c r="S1714" s="5" t="str">
        <f ca="1">IFERROR(__xludf.DUMMYFUNCTION("""COMPUTED_VALUE"""),"Classroom")</f>
        <v>Classroom</v>
      </c>
      <c r="T1714" s="5" t="str">
        <f ca="1">IFERROR(__xludf.DUMMYFUNCTION("""COMPUTED_VALUE"""),"Inside School Building")</f>
        <v>Inside School Building</v>
      </c>
      <c r="U1714" s="5" t="str">
        <f ca="1">IFERROR(__xludf.DUMMYFUNCTION("""COMPUTED_VALUE"""),"Yes")</f>
        <v>Yes</v>
      </c>
      <c r="V1714" s="5" t="str">
        <f ca="1">IFERROR(__xludf.DUMMYFUNCTION("""COMPUTED_VALUE"""),"Unknown")</f>
        <v>Unknown</v>
      </c>
      <c r="W1714" s="5"/>
      <c r="X1714" s="5">
        <f ca="1">IFERROR(__xludf.DUMMYFUNCTION("""COMPUTED_VALUE"""),1)</f>
        <v>1</v>
      </c>
      <c r="Y1714" s="5" t="str">
        <f ca="1">IFERROR(__xludf.DUMMYFUNCTION("""COMPUTED_VALUE"""),"Recently expelled student shot teacher")</f>
        <v>Recently expelled student shot teacher</v>
      </c>
      <c r="Z1714" s="5" t="str">
        <f ca="1">IFERROR(__xludf.DUMMYFUNCTION("""COMPUTED_VALUE"""),"Shooter (student) killed teacher at school for troubled students. Shooter ran from classroom but was detained by other teachers. The shooter had been expelled from another school the week prior. Motive is unknown.")</f>
        <v>Shooter (student) killed teacher at school for troubled students. Shooter ran from classroom but was detained by other teachers. The shooter had been expelled from another school the week prior. Motive is unknown.</v>
      </c>
      <c r="AA1714" s="5" t="str">
        <f ca="1">IFERROR(__xludf.DUMMYFUNCTION("""COMPUTED_VALUE"""),"Anger Over Grade/Suspension/Discipline")</f>
        <v>Anger Over Grade/Suspension/Discipline</v>
      </c>
      <c r="AB1714" s="5" t="str">
        <f ca="1">IFERROR(__xludf.DUMMYFUNCTION("""COMPUTED_VALUE"""),"Victims Targeted")</f>
        <v>Victims Targeted</v>
      </c>
      <c r="AC1714" s="5" t="str">
        <f ca="1">IFERROR(__xludf.DUMMYFUNCTION("""COMPUTED_VALUE"""),"No")</f>
        <v>No</v>
      </c>
      <c r="AD1714" s="5" t="str">
        <f ca="1">IFERROR(__xludf.DUMMYFUNCTION("""COMPUTED_VALUE"""),"No")</f>
        <v>No</v>
      </c>
      <c r="AE1714" s="5" t="str">
        <f ca="1">IFERROR(__xludf.DUMMYFUNCTION("""COMPUTED_VALUE"""),"No")</f>
        <v>No</v>
      </c>
      <c r="AF1714" s="5" t="str">
        <f ca="1">IFERROR(__xludf.DUMMYFUNCTION("""COMPUTED_VALUE"""),"No")</f>
        <v>No</v>
      </c>
      <c r="AG1714" s="5" t="str">
        <f ca="1">IFERROR(__xludf.DUMMYFUNCTION("""COMPUTED_VALUE"""),"No")</f>
        <v>No</v>
      </c>
      <c r="AH1714" s="5" t="str">
        <f ca="1">IFERROR(__xludf.DUMMYFUNCTION("""COMPUTED_VALUE"""),"No")</f>
        <v>No</v>
      </c>
      <c r="AI1714" s="5" t="str">
        <f ca="1">IFERROR(__xludf.DUMMYFUNCTION("""COMPUTED_VALUE"""),"No")</f>
        <v>No</v>
      </c>
      <c r="AJ1714" s="5"/>
    </row>
    <row r="1715" spans="1:36" ht="13">
      <c r="A1715" s="5" t="str">
        <f ca="1">IFERROR(__xludf.DUMMYFUNCTION("""COMPUTED_VALUE"""),"19960726CAJOL")</f>
        <v>19960726CAJOL</v>
      </c>
      <c r="B1715" s="5">
        <f ca="1">IFERROR(__xludf.DUMMYFUNCTION("""COMPUTED_VALUE"""),7)</f>
        <v>7</v>
      </c>
      <c r="C1715" s="5">
        <f ca="1">IFERROR(__xludf.DUMMYFUNCTION("""COMPUTED_VALUE"""),26)</f>
        <v>26</v>
      </c>
      <c r="D1715" s="5">
        <f ca="1">IFERROR(__xludf.DUMMYFUNCTION("""COMPUTED_VALUE"""),1996)</f>
        <v>1996</v>
      </c>
      <c r="E1715" s="8">
        <f ca="1">IFERROR(__xludf.DUMMYFUNCTION("""COMPUTED_VALUE"""),35272)</f>
        <v>35272</v>
      </c>
      <c r="F1715" s="5" t="str">
        <f ca="1">IFERROR(__xludf.DUMMYFUNCTION("""COMPUTED_VALUE"""),"John Marshall High School")</f>
        <v>John Marshall High School</v>
      </c>
      <c r="G1715" s="5">
        <f ca="1">IFERROR(__xludf.DUMMYFUNCTION("""COMPUTED_VALUE"""),0)</f>
        <v>0</v>
      </c>
      <c r="H1715" s="5">
        <f ca="1">IFERROR(__xludf.DUMMYFUNCTION("""COMPUTED_VALUE"""),2)</f>
        <v>2</v>
      </c>
      <c r="I1715" s="5">
        <f ca="1">IFERROR(__xludf.DUMMYFUNCTION("""COMPUTED_VALUE"""),2)</f>
        <v>2</v>
      </c>
      <c r="J1715" s="5">
        <f ca="1">IFERROR(__xludf.DUMMYFUNCTION("""COMPUTED_VALUE"""),0)</f>
        <v>0</v>
      </c>
      <c r="K1715" s="5" t="str">
        <f ca="1">IFERROR(__xludf.DUMMYFUNCTION("""COMPUTED_VALUE"""),"L.A. Times - 2 Students Hurt in Shooting at Marshall High; L.A. Times - Student is Charged in Marshall High Shootings; https://www.columbine-angels.com/School_Violence_1995-1996.htm")</f>
        <v>L.A. Times - 2 Students Hurt in Shooting at Marshall High; L.A. Times - Student is Charged in Marshall High Shootings; https://www.columbine-angels.com/School_Violence_1995-1996.htm</v>
      </c>
      <c r="L1715" s="5"/>
      <c r="M1715" s="5"/>
      <c r="N1715" s="5">
        <f ca="1">IFERROR(__xludf.DUMMYFUNCTION("""COMPUTED_VALUE"""),1)</f>
        <v>1</v>
      </c>
      <c r="O1715" s="5" t="str">
        <f ca="1">IFERROR(__xludf.DUMMYFUNCTION("""COMPUTED_VALUE"""),"Summer")</f>
        <v>Summer</v>
      </c>
      <c r="P1715" s="5" t="str">
        <f ca="1">IFERROR(__xludf.DUMMYFUNCTION("""COMPUTED_VALUE"""),"Los Angeles")</f>
        <v>Los Angeles</v>
      </c>
      <c r="Q1715" s="5" t="str">
        <f ca="1">IFERROR(__xludf.DUMMYFUNCTION("""COMPUTED_VALUE"""),"CA")</f>
        <v>CA</v>
      </c>
      <c r="R1715" s="5" t="str">
        <f ca="1">IFERROR(__xludf.DUMMYFUNCTION("""COMPUTED_VALUE"""),"High")</f>
        <v>High</v>
      </c>
      <c r="S1715" s="5" t="str">
        <f ca="1">IFERROR(__xludf.DUMMYFUNCTION("""COMPUTED_VALUE"""),"Hallway")</f>
        <v>Hallway</v>
      </c>
      <c r="T1715" s="5" t="str">
        <f ca="1">IFERROR(__xludf.DUMMYFUNCTION("""COMPUTED_VALUE"""),"Inside School Building")</f>
        <v>Inside School Building</v>
      </c>
      <c r="U1715" s="5" t="str">
        <f ca="1">IFERROR(__xludf.DUMMYFUNCTION("""COMPUTED_VALUE"""),"Yes")</f>
        <v>Yes</v>
      </c>
      <c r="V1715" s="5" t="str">
        <f ca="1">IFERROR(__xludf.DUMMYFUNCTION("""COMPUTED_VALUE"""),"Afternoon Classes")</f>
        <v>Afternoon Classes</v>
      </c>
      <c r="W1715" s="10">
        <f ca="1">IFERROR(__xludf.DUMMYFUNCTION("""COMPUTED_VALUE"""),0.583333333333333)</f>
        <v>0.58333333333333304</v>
      </c>
      <c r="X1715" s="5">
        <f ca="1">IFERROR(__xludf.DUMMYFUNCTION("""COMPUTED_VALUE"""),1)</f>
        <v>1</v>
      </c>
      <c r="Y1715" s="5" t="str">
        <f ca="1">IFERROR(__xludf.DUMMYFUNCTION("""COMPUTED_VALUE"""),"Missed intended target, hit two other students in stairwell")</f>
        <v>Missed intended target, hit two other students in stairwell</v>
      </c>
      <c r="Z1715" s="5" t="str">
        <f ca="1">IFERROR(__xludf.DUMMYFUNCTION("""COMPUTED_VALUE"""),"18YOM targeted specific victim in school stairwell between classes. Missed victim and struck two other students causing injuries. Ran to next class and was found by police officers based on witness statements. Police officer assigned to school was in the "&amp;"stairwell during the shooting.")</f>
        <v>18YOM targeted specific victim in school stairwell between classes. Missed victim and struck two other students causing injuries. Ran to next class and was found by police officers based on witness statements. Police officer assigned to school was in the stairwell during the shooting.</v>
      </c>
      <c r="AA1715" s="5" t="str">
        <f ca="1">IFERROR(__xludf.DUMMYFUNCTION("""COMPUTED_VALUE"""),"Escalation of Dispute")</f>
        <v>Escalation of Dispute</v>
      </c>
      <c r="AB1715" s="5" t="str">
        <f ca="1">IFERROR(__xludf.DUMMYFUNCTION("""COMPUTED_VALUE"""),"Both")</f>
        <v>Both</v>
      </c>
      <c r="AC1715" s="5" t="str">
        <f ca="1">IFERROR(__xludf.DUMMYFUNCTION("""COMPUTED_VALUE"""),"No")</f>
        <v>No</v>
      </c>
      <c r="AD1715" s="5" t="str">
        <f ca="1">IFERROR(__xludf.DUMMYFUNCTION("""COMPUTED_VALUE"""),"No")</f>
        <v>No</v>
      </c>
      <c r="AE1715" s="5" t="str">
        <f ca="1">IFERROR(__xludf.DUMMYFUNCTION("""COMPUTED_VALUE"""),"No")</f>
        <v>No</v>
      </c>
      <c r="AF1715" s="5" t="str">
        <f ca="1">IFERROR(__xludf.DUMMYFUNCTION("""COMPUTED_VALUE"""),"No")</f>
        <v>No</v>
      </c>
      <c r="AG1715" s="5" t="str">
        <f ca="1">IFERROR(__xludf.DUMMYFUNCTION("""COMPUTED_VALUE"""),"No")</f>
        <v>No</v>
      </c>
      <c r="AH1715" s="5" t="str">
        <f ca="1">IFERROR(__xludf.DUMMYFUNCTION("""COMPUTED_VALUE"""),"No")</f>
        <v>No</v>
      </c>
      <c r="AI1715" s="5" t="str">
        <f ca="1">IFERROR(__xludf.DUMMYFUNCTION("""COMPUTED_VALUE"""),"No")</f>
        <v>No</v>
      </c>
      <c r="AJ1715" s="5"/>
    </row>
    <row r="1716" spans="1:36" ht="13">
      <c r="A1716" s="5" t="str">
        <f ca="1">IFERROR(__xludf.DUMMYFUNCTION("""COMPUTED_VALUE"""),"19960604CAWEH")</f>
        <v>19960604CAWEH</v>
      </c>
      <c r="B1716" s="5">
        <f ca="1">IFERROR(__xludf.DUMMYFUNCTION("""COMPUTED_VALUE"""),6)</f>
        <v>6</v>
      </c>
      <c r="C1716" s="5">
        <f ca="1">IFERROR(__xludf.DUMMYFUNCTION("""COMPUTED_VALUE"""),4)</f>
        <v>4</v>
      </c>
      <c r="D1716" s="5">
        <f ca="1">IFERROR(__xludf.DUMMYFUNCTION("""COMPUTED_VALUE"""),1996)</f>
        <v>1996</v>
      </c>
      <c r="E1716" s="8">
        <f ca="1">IFERROR(__xludf.DUMMYFUNCTION("""COMPUTED_VALUE"""),35220)</f>
        <v>35220</v>
      </c>
      <c r="F1716" s="5" t="str">
        <f ca="1">IFERROR(__xludf.DUMMYFUNCTION("""COMPUTED_VALUE"""),"West Valley High School")</f>
        <v>West Valley High School</v>
      </c>
      <c r="G1716" s="5">
        <f ca="1">IFERROR(__xludf.DUMMYFUNCTION("""COMPUTED_VALUE"""),0)</f>
        <v>0</v>
      </c>
      <c r="H1716" s="5">
        <f ca="1">IFERROR(__xludf.DUMMYFUNCTION("""COMPUTED_VALUE"""),0)</f>
        <v>0</v>
      </c>
      <c r="I1716" s="5">
        <f ca="1">IFERROR(__xludf.DUMMYFUNCTION("""COMPUTED_VALUE"""),0)</f>
        <v>0</v>
      </c>
      <c r="J1716" s="5">
        <f ca="1">IFERROR(__xludf.DUMMYFUNCTION("""COMPUTED_VALUE"""),1)</f>
        <v>1</v>
      </c>
      <c r="K1716" s="9" t="str">
        <f ca="1">IFERROR(__xludf.DUMMYFUNCTION("""COMPUTED_VALUE"""),"https://www.columbine-angels.com/School_Violence_1995-1996.htm")</f>
        <v>https://www.columbine-angels.com/School_Violence_1995-1996.htm</v>
      </c>
      <c r="L1716" s="5"/>
      <c r="M1716" s="5"/>
      <c r="N1716" s="5">
        <f ca="1">IFERROR(__xludf.DUMMYFUNCTION("""COMPUTED_VALUE"""),1)</f>
        <v>1</v>
      </c>
      <c r="O1716" s="5" t="str">
        <f ca="1">IFERROR(__xludf.DUMMYFUNCTION("""COMPUTED_VALUE"""),"Summer")</f>
        <v>Summer</v>
      </c>
      <c r="P1716" s="5" t="str">
        <f ca="1">IFERROR(__xludf.DUMMYFUNCTION("""COMPUTED_VALUE"""),"Hemet")</f>
        <v>Hemet</v>
      </c>
      <c r="Q1716" s="5" t="str">
        <f ca="1">IFERROR(__xludf.DUMMYFUNCTION("""COMPUTED_VALUE"""),"CA")</f>
        <v>CA</v>
      </c>
      <c r="R1716" s="5" t="str">
        <f ca="1">IFERROR(__xludf.DUMMYFUNCTION("""COMPUTED_VALUE"""),"High")</f>
        <v>High</v>
      </c>
      <c r="S1716" s="5" t="str">
        <f ca="1">IFERROR(__xludf.DUMMYFUNCTION("""COMPUTED_VALUE"""),"Inside School Building")</f>
        <v>Inside School Building</v>
      </c>
      <c r="T1716" s="5" t="str">
        <f ca="1">IFERROR(__xludf.DUMMYFUNCTION("""COMPUTED_VALUE"""),"Inside School Building")</f>
        <v>Inside School Building</v>
      </c>
      <c r="U1716" s="5" t="str">
        <f ca="1">IFERROR(__xludf.DUMMYFUNCTION("""COMPUTED_VALUE"""),"Yes")</f>
        <v>Yes</v>
      </c>
      <c r="V1716" s="5" t="str">
        <f ca="1">IFERROR(__xludf.DUMMYFUNCTION("""COMPUTED_VALUE"""),"School Start")</f>
        <v>School Start</v>
      </c>
      <c r="W1716" s="5"/>
      <c r="X1716" s="5">
        <f ca="1">IFERROR(__xludf.DUMMYFUNCTION("""COMPUTED_VALUE"""),1)</f>
        <v>1</v>
      </c>
      <c r="Y1716" s="5" t="str">
        <f ca="1">IFERROR(__xludf.DUMMYFUNCTION("""COMPUTED_VALUE"""),"Shot self prior to classes starting")</f>
        <v>Shot self prior to classes starting</v>
      </c>
      <c r="Z1716" s="5" t="str">
        <f ca="1">IFERROR(__xludf.DUMMYFUNCTION("""COMPUTED_VALUE"""),"16YOM commit suicide as students were arriving for class.")</f>
        <v>16YOM commit suicide as students were arriving for class.</v>
      </c>
      <c r="AA1716" s="5" t="str">
        <f ca="1">IFERROR(__xludf.DUMMYFUNCTION("""COMPUTED_VALUE"""),"Suicide/Attempted")</f>
        <v>Suicide/Attempted</v>
      </c>
      <c r="AB1716" s="5" t="str">
        <f ca="1">IFERROR(__xludf.DUMMYFUNCTION("""COMPUTED_VALUE"""),"Victims Targeted")</f>
        <v>Victims Targeted</v>
      </c>
      <c r="AC1716" s="5" t="str">
        <f ca="1">IFERROR(__xludf.DUMMYFUNCTION("""COMPUTED_VALUE"""),"No")</f>
        <v>No</v>
      </c>
      <c r="AD1716" s="5" t="str">
        <f ca="1">IFERROR(__xludf.DUMMYFUNCTION("""COMPUTED_VALUE"""),"No")</f>
        <v>No</v>
      </c>
      <c r="AE1716" s="5" t="str">
        <f ca="1">IFERROR(__xludf.DUMMYFUNCTION("""COMPUTED_VALUE"""),"No")</f>
        <v>No</v>
      </c>
      <c r="AF1716" s="5" t="str">
        <f ca="1">IFERROR(__xludf.DUMMYFUNCTION("""COMPUTED_VALUE"""),"No")</f>
        <v>No</v>
      </c>
      <c r="AG1716" s="5" t="str">
        <f ca="1">IFERROR(__xludf.DUMMYFUNCTION("""COMPUTED_VALUE"""),"No")</f>
        <v>No</v>
      </c>
      <c r="AH1716" s="5" t="str">
        <f ca="1">IFERROR(__xludf.DUMMYFUNCTION("""COMPUTED_VALUE"""),"No")</f>
        <v>No</v>
      </c>
      <c r="AI1716" s="5" t="str">
        <f ca="1">IFERROR(__xludf.DUMMYFUNCTION("""COMPUTED_VALUE"""),"No")</f>
        <v>No</v>
      </c>
      <c r="AJ1716" s="5"/>
    </row>
    <row r="1717" spans="1:36" ht="13">
      <c r="A1717" s="5" t="str">
        <f ca="1">IFERROR(__xludf.DUMMYFUNCTION("""COMPUTED_VALUE"""),"19960522CACOC")</f>
        <v>19960522CACOC</v>
      </c>
      <c r="B1717" s="5">
        <f ca="1">IFERROR(__xludf.DUMMYFUNCTION("""COMPUTED_VALUE"""),5)</f>
        <v>5</v>
      </c>
      <c r="C1717" s="5">
        <f ca="1">IFERROR(__xludf.DUMMYFUNCTION("""COMPUTED_VALUE"""),22)</f>
        <v>22</v>
      </c>
      <c r="D1717" s="5">
        <f ca="1">IFERROR(__xludf.DUMMYFUNCTION("""COMPUTED_VALUE"""),1996)</f>
        <v>1996</v>
      </c>
      <c r="E1717" s="8">
        <f ca="1">IFERROR(__xludf.DUMMYFUNCTION("""COMPUTED_VALUE"""),35207)</f>
        <v>35207</v>
      </c>
      <c r="F1717" s="5" t="str">
        <f ca="1">IFERROR(__xludf.DUMMYFUNCTION("""COMPUTED_VALUE"""),"Colton High School")</f>
        <v>Colton High School</v>
      </c>
      <c r="G1717" s="5">
        <f ca="1">IFERROR(__xludf.DUMMYFUNCTION("""COMPUTED_VALUE"""),1)</f>
        <v>1</v>
      </c>
      <c r="H1717" s="5">
        <f ca="1">IFERROR(__xludf.DUMMYFUNCTION("""COMPUTED_VALUE"""),0)</f>
        <v>0</v>
      </c>
      <c r="I1717" s="5">
        <f ca="1">IFERROR(__xludf.DUMMYFUNCTION("""COMPUTED_VALUE"""),1)</f>
        <v>1</v>
      </c>
      <c r="J1717" s="5">
        <f ca="1">IFERROR(__xludf.DUMMYFUNCTION("""COMPUTED_VALUE"""),0)</f>
        <v>0</v>
      </c>
      <c r="K1717" s="9" t="str">
        <f ca="1">IFERROR(__xludf.DUMMYFUNCTION("""COMPUTED_VALUE"""),"https://pepperbough.com/features/2012/08/17/who-mourns-for-sexy-x/")</f>
        <v>https://pepperbough.com/features/2012/08/17/who-mourns-for-sexy-x/</v>
      </c>
      <c r="L1717" s="5"/>
      <c r="M1717" s="5"/>
      <c r="N1717" s="5">
        <f ca="1">IFERROR(__xludf.DUMMYFUNCTION("""COMPUTED_VALUE"""),1)</f>
        <v>1</v>
      </c>
      <c r="O1717" s="5" t="str">
        <f ca="1">IFERROR(__xludf.DUMMYFUNCTION("""COMPUTED_VALUE"""),"Spring")</f>
        <v>Spring</v>
      </c>
      <c r="P1717" s="5" t="str">
        <f ca="1">IFERROR(__xludf.DUMMYFUNCTION("""COMPUTED_VALUE"""),"Colton")</f>
        <v>Colton</v>
      </c>
      <c r="Q1717" s="5" t="str">
        <f ca="1">IFERROR(__xludf.DUMMYFUNCTION("""COMPUTED_VALUE"""),"CA")</f>
        <v>CA</v>
      </c>
      <c r="R1717" s="5" t="str">
        <f ca="1">IFERROR(__xludf.DUMMYFUNCTION("""COMPUTED_VALUE"""),"High")</f>
        <v>High</v>
      </c>
      <c r="S1717" s="5" t="str">
        <f ca="1">IFERROR(__xludf.DUMMYFUNCTION("""COMPUTED_VALUE"""),"Outside on School Property")</f>
        <v>Outside on School Property</v>
      </c>
      <c r="T1717" s="5" t="str">
        <f ca="1">IFERROR(__xludf.DUMMYFUNCTION("""COMPUTED_VALUE"""),"Outside on School Property")</f>
        <v>Outside on School Property</v>
      </c>
      <c r="U1717" s="5" t="str">
        <f ca="1">IFERROR(__xludf.DUMMYFUNCTION("""COMPUTED_VALUE"""),"Yes")</f>
        <v>Yes</v>
      </c>
      <c r="V1717" s="5" t="str">
        <f ca="1">IFERROR(__xludf.DUMMYFUNCTION("""COMPUTED_VALUE"""),"Afternoon Classes")</f>
        <v>Afternoon Classes</v>
      </c>
      <c r="W1717" s="10">
        <f ca="1">IFERROR(__xludf.DUMMYFUNCTION("""COMPUTED_VALUE"""),0.597222222222222)</f>
        <v>0.59722222222222199</v>
      </c>
      <c r="X1717" s="5">
        <f ca="1">IFERROR(__xludf.DUMMYFUNCTION("""COMPUTED_VALUE"""),1)</f>
        <v>1</v>
      </c>
      <c r="Y1717" s="5" t="str">
        <f ca="1">IFERROR(__xludf.DUMMYFUNCTION("""COMPUTED_VALUE"""),"Student executed outside of school by another student")</f>
        <v>Student executed outside of school by another student</v>
      </c>
      <c r="Z1717" s="5" t="str">
        <f ca="1">IFERROR(__xludf.DUMMYFUNCTION("""COMPUTED_VALUE"""),"14YOM executed 14YOM student in front of multiple witnesses to increase his ""street cred"" with a gang.")</f>
        <v>14YOM executed 14YOM student in front of multiple witnesses to increase his "street cred" with a gang.</v>
      </c>
      <c r="AA1717" s="5" t="str">
        <f ca="1">IFERROR(__xludf.DUMMYFUNCTION("""COMPUTED_VALUE"""),"Illegal Activity")</f>
        <v>Illegal Activity</v>
      </c>
      <c r="AB1717" s="5" t="str">
        <f ca="1">IFERROR(__xludf.DUMMYFUNCTION("""COMPUTED_VALUE"""),"Victims Targeted")</f>
        <v>Victims Targeted</v>
      </c>
      <c r="AC1717" s="5" t="str">
        <f ca="1">IFERROR(__xludf.DUMMYFUNCTION("""COMPUTED_VALUE"""),"No")</f>
        <v>No</v>
      </c>
      <c r="AD1717" s="5" t="str">
        <f ca="1">IFERROR(__xludf.DUMMYFUNCTION("""COMPUTED_VALUE"""),"No")</f>
        <v>No</v>
      </c>
      <c r="AE1717" s="5" t="str">
        <f ca="1">IFERROR(__xludf.DUMMYFUNCTION("""COMPUTED_VALUE"""),"No")</f>
        <v>No</v>
      </c>
      <c r="AF1717" s="5" t="str">
        <f ca="1">IFERROR(__xludf.DUMMYFUNCTION("""COMPUTED_VALUE"""),"No")</f>
        <v>No</v>
      </c>
      <c r="AG1717" s="5"/>
      <c r="AH1717" s="5" t="str">
        <f ca="1">IFERROR(__xludf.DUMMYFUNCTION("""COMPUTED_VALUE"""),"No")</f>
        <v>No</v>
      </c>
      <c r="AI1717" s="5" t="str">
        <f ca="1">IFERROR(__xludf.DUMMYFUNCTION("""COMPUTED_VALUE"""),"Yes")</f>
        <v>Yes</v>
      </c>
      <c r="AJ1717" s="5"/>
    </row>
    <row r="1718" spans="1:36" ht="13">
      <c r="A1718" s="5" t="str">
        <f ca="1">IFERROR(__xludf.DUMMYFUNCTION("""COMPUTED_VALUE"""),"19960514UTBIT")</f>
        <v>19960514UTBIT</v>
      </c>
      <c r="B1718" s="5">
        <f ca="1">IFERROR(__xludf.DUMMYFUNCTION("""COMPUTED_VALUE"""),5)</f>
        <v>5</v>
      </c>
      <c r="C1718" s="5">
        <f ca="1">IFERROR(__xludf.DUMMYFUNCTION("""COMPUTED_VALUE"""),14)</f>
        <v>14</v>
      </c>
      <c r="D1718" s="5">
        <f ca="1">IFERROR(__xludf.DUMMYFUNCTION("""COMPUTED_VALUE"""),1996)</f>
        <v>1996</v>
      </c>
      <c r="E1718" s="8">
        <f ca="1">IFERROR(__xludf.DUMMYFUNCTION("""COMPUTED_VALUE"""),35199)</f>
        <v>35199</v>
      </c>
      <c r="F1718" s="5" t="str">
        <f ca="1">IFERROR(__xludf.DUMMYFUNCTION("""COMPUTED_VALUE"""),"Bingham Middle School")</f>
        <v>Bingham Middle School</v>
      </c>
      <c r="G1718" s="5">
        <f ca="1">IFERROR(__xludf.DUMMYFUNCTION("""COMPUTED_VALUE"""),0)</f>
        <v>0</v>
      </c>
      <c r="H1718" s="5">
        <f ca="1">IFERROR(__xludf.DUMMYFUNCTION("""COMPUTED_VALUE"""),1)</f>
        <v>1</v>
      </c>
      <c r="I1718" s="5">
        <f ca="1">IFERROR(__xludf.DUMMYFUNCTION("""COMPUTED_VALUE"""),1)</f>
        <v>1</v>
      </c>
      <c r="J1718" s="5">
        <f ca="1">IFERROR(__xludf.DUMMYFUNCTION("""COMPUTED_VALUE"""),1)</f>
        <v>1</v>
      </c>
      <c r="K1718" s="9" t="str">
        <f ca="1">IFERROR(__xludf.DUMMYFUNCTION("""COMPUTED_VALUE"""),"https://www.columbine-angels.com/School_Violence_1995-1996.htm")</f>
        <v>https://www.columbine-angels.com/School_Violence_1995-1996.htm</v>
      </c>
      <c r="L1718" s="5"/>
      <c r="M1718" s="5"/>
      <c r="N1718" s="5">
        <f ca="1">IFERROR(__xludf.DUMMYFUNCTION("""COMPUTED_VALUE"""),1)</f>
        <v>1</v>
      </c>
      <c r="O1718" s="5" t="str">
        <f ca="1">IFERROR(__xludf.DUMMYFUNCTION("""COMPUTED_VALUE"""),"Spring")</f>
        <v>Spring</v>
      </c>
      <c r="P1718" s="5" t="str">
        <f ca="1">IFERROR(__xludf.DUMMYFUNCTION("""COMPUTED_VALUE"""),"Taylorsville")</f>
        <v>Taylorsville</v>
      </c>
      <c r="Q1718" s="5" t="str">
        <f ca="1">IFERROR(__xludf.DUMMYFUNCTION("""COMPUTED_VALUE"""),"UT")</f>
        <v>UT</v>
      </c>
      <c r="R1718" s="5" t="str">
        <f ca="1">IFERROR(__xludf.DUMMYFUNCTION("""COMPUTED_VALUE"""),"High")</f>
        <v>High</v>
      </c>
      <c r="S1718" s="5" t="str">
        <f ca="1">IFERROR(__xludf.DUMMYFUNCTION("""COMPUTED_VALUE"""),"School Bus")</f>
        <v>School Bus</v>
      </c>
      <c r="T1718" s="5" t="str">
        <f ca="1">IFERROR(__xludf.DUMMYFUNCTION("""COMPUTED_VALUE"""),"School Bus")</f>
        <v>School Bus</v>
      </c>
      <c r="U1718" s="5"/>
      <c r="V1718" s="5"/>
      <c r="W1718" s="5"/>
      <c r="X1718" s="5"/>
      <c r="Y1718" s="5" t="str">
        <f ca="1">IFERROR(__xludf.DUMMYFUNCTION("""COMPUTED_VALUE"""),"Shot bus driver, stole bus, crashed bus, killed self")</f>
        <v>Shot bus driver, stole bus, crashed bus, killed self</v>
      </c>
      <c r="Z1718" s="5" t="str">
        <f ca="1">IFERROR(__xludf.DUMMYFUNCTION("""COMPUTED_VALUE"""),"15YOM shot the bus driver, stole the school bus, crashed into multiple cars, crashed into house, and shot himself (suicide).")</f>
        <v>15YOM shot the bus driver, stole the school bus, crashed into multiple cars, crashed into house, and shot himself (suicide).</v>
      </c>
      <c r="AA1718" s="5" t="str">
        <f ca="1">IFERROR(__xludf.DUMMYFUNCTION("""COMPUTED_VALUE"""),"Suicide/Attempted")</f>
        <v>Suicide/Attempted</v>
      </c>
      <c r="AB1718" s="5" t="str">
        <f ca="1">IFERROR(__xludf.DUMMYFUNCTION("""COMPUTED_VALUE"""),"Victims Targeted")</f>
        <v>Victims Targeted</v>
      </c>
      <c r="AC1718" s="5" t="str">
        <f ca="1">IFERROR(__xludf.DUMMYFUNCTION("""COMPUTED_VALUE"""),"No")</f>
        <v>No</v>
      </c>
      <c r="AD1718" s="5" t="str">
        <f ca="1">IFERROR(__xludf.DUMMYFUNCTION("""COMPUTED_VALUE"""),"No")</f>
        <v>No</v>
      </c>
      <c r="AE1718" s="5" t="str">
        <f ca="1">IFERROR(__xludf.DUMMYFUNCTION("""COMPUTED_VALUE"""),"No")</f>
        <v>No</v>
      </c>
      <c r="AF1718" s="5" t="str">
        <f ca="1">IFERROR(__xludf.DUMMYFUNCTION("""COMPUTED_VALUE"""),"No")</f>
        <v>No</v>
      </c>
      <c r="AG1718" s="5" t="str">
        <f ca="1">IFERROR(__xludf.DUMMYFUNCTION("""COMPUTED_VALUE"""),"No")</f>
        <v>No</v>
      </c>
      <c r="AH1718" s="5" t="str">
        <f ca="1">IFERROR(__xludf.DUMMYFUNCTION("""COMPUTED_VALUE"""),"No")</f>
        <v>No</v>
      </c>
      <c r="AI1718" s="5" t="str">
        <f ca="1">IFERROR(__xludf.DUMMYFUNCTION("""COMPUTED_VALUE"""),"No")</f>
        <v>No</v>
      </c>
      <c r="AJ1718" s="5"/>
    </row>
    <row r="1719" spans="1:36" ht="13">
      <c r="A1719" s="5" t="str">
        <f ca="1">IFERROR(__xludf.DUMMYFUNCTION("""COMPUTED_VALUE"""),"19960415DCMCW")</f>
        <v>19960415DCMCW</v>
      </c>
      <c r="B1719" s="5">
        <f ca="1">IFERROR(__xludf.DUMMYFUNCTION("""COMPUTED_VALUE"""),4)</f>
        <v>4</v>
      </c>
      <c r="C1719" s="5">
        <f ca="1">IFERROR(__xludf.DUMMYFUNCTION("""COMPUTED_VALUE"""),15)</f>
        <v>15</v>
      </c>
      <c r="D1719" s="5">
        <f ca="1">IFERROR(__xludf.DUMMYFUNCTION("""COMPUTED_VALUE"""),1996)</f>
        <v>1996</v>
      </c>
      <c r="E1719" s="8">
        <f ca="1">IFERROR(__xludf.DUMMYFUNCTION("""COMPUTED_VALUE"""),35170)</f>
        <v>35170</v>
      </c>
      <c r="F1719" s="5" t="str">
        <f ca="1">IFERROR(__xludf.DUMMYFUNCTION("""COMPUTED_VALUE"""),"McKinley High School")</f>
        <v>McKinley High School</v>
      </c>
      <c r="G1719" s="5">
        <f ca="1">IFERROR(__xludf.DUMMYFUNCTION("""COMPUTED_VALUE"""),1)</f>
        <v>1</v>
      </c>
      <c r="H1719" s="5">
        <f ca="1">IFERROR(__xludf.DUMMYFUNCTION("""COMPUTED_VALUE"""),0)</f>
        <v>0</v>
      </c>
      <c r="I1719" s="5">
        <f ca="1">IFERROR(__xludf.DUMMYFUNCTION("""COMPUTED_VALUE"""),1)</f>
        <v>1</v>
      </c>
      <c r="J1719" s="5">
        <f ca="1">IFERROR(__xludf.DUMMYFUNCTION("""COMPUTED_VALUE"""),0)</f>
        <v>0</v>
      </c>
      <c r="K1719" s="9" t="str">
        <f ca="1">IFERROR(__xludf.DUMMYFUNCTION("""COMPUTED_VALUE"""),"https://www.columbine-angels.com/School_Violence_1995-1996.htm")</f>
        <v>https://www.columbine-angels.com/School_Violence_1995-1996.htm</v>
      </c>
      <c r="L1719" s="5"/>
      <c r="M1719" s="5"/>
      <c r="N1719" s="5">
        <f ca="1">IFERROR(__xludf.DUMMYFUNCTION("""COMPUTED_VALUE"""),1)</f>
        <v>1</v>
      </c>
      <c r="O1719" s="5" t="str">
        <f ca="1">IFERROR(__xludf.DUMMYFUNCTION("""COMPUTED_VALUE"""),"Spring")</f>
        <v>Spring</v>
      </c>
      <c r="P1719" s="5" t="str">
        <f ca="1">IFERROR(__xludf.DUMMYFUNCTION("""COMPUTED_VALUE"""),"Washington")</f>
        <v>Washington</v>
      </c>
      <c r="Q1719" s="5" t="str">
        <f ca="1">IFERROR(__xludf.DUMMYFUNCTION("""COMPUTED_VALUE"""),"DC")</f>
        <v>DC</v>
      </c>
      <c r="R1719" s="5" t="str">
        <f ca="1">IFERROR(__xludf.DUMMYFUNCTION("""COMPUTED_VALUE"""),"High")</f>
        <v>High</v>
      </c>
      <c r="S1719" s="5" t="str">
        <f ca="1">IFERROR(__xludf.DUMMYFUNCTION("""COMPUTED_VALUE"""),"Gym")</f>
        <v>Gym</v>
      </c>
      <c r="T1719" s="5" t="str">
        <f ca="1">IFERROR(__xludf.DUMMYFUNCTION("""COMPUTED_VALUE"""),"Inside School Building")</f>
        <v>Inside School Building</v>
      </c>
      <c r="U1719" s="5" t="str">
        <f ca="1">IFERROR(__xludf.DUMMYFUNCTION("""COMPUTED_VALUE"""),"Yes")</f>
        <v>Yes</v>
      </c>
      <c r="V1719" s="5" t="str">
        <f ca="1">IFERROR(__xludf.DUMMYFUNCTION("""COMPUTED_VALUE"""),"Unknown")</f>
        <v>Unknown</v>
      </c>
      <c r="W1719" s="5"/>
      <c r="X1719" s="5">
        <f ca="1">IFERROR(__xludf.DUMMYFUNCTION("""COMPUTED_VALUE"""),1)</f>
        <v>1</v>
      </c>
      <c r="Y1719" s="5" t="str">
        <f ca="1">IFERROR(__xludf.DUMMYFUNCTION("""COMPUTED_VALUE"""),"Shot in the gym")</f>
        <v>Shot in the gym</v>
      </c>
      <c r="Z1719" s="5" t="str">
        <f ca="1">IFERROR(__xludf.DUMMYFUNCTION("""COMPUTED_VALUE"""),"23YOM shot in the gym of the school. No other information.")</f>
        <v>23YOM shot in the gym of the school. No other information.</v>
      </c>
      <c r="AA1719" s="5" t="str">
        <f ca="1">IFERROR(__xludf.DUMMYFUNCTION("""COMPUTED_VALUE"""),"Escalation of Dispute")</f>
        <v>Escalation of Dispute</v>
      </c>
      <c r="AB1719" s="5"/>
      <c r="AC1719" s="5" t="str">
        <f ca="1">IFERROR(__xludf.DUMMYFUNCTION("""COMPUTED_VALUE"""),"No")</f>
        <v>No</v>
      </c>
      <c r="AD1719" s="5" t="str">
        <f ca="1">IFERROR(__xludf.DUMMYFUNCTION("""COMPUTED_VALUE"""),"No")</f>
        <v>No</v>
      </c>
      <c r="AE1719" s="5" t="str">
        <f ca="1">IFERROR(__xludf.DUMMYFUNCTION("""COMPUTED_VALUE"""),"No")</f>
        <v>No</v>
      </c>
      <c r="AF1719" s="5" t="str">
        <f ca="1">IFERROR(__xludf.DUMMYFUNCTION("""COMPUTED_VALUE"""),"No")</f>
        <v>No</v>
      </c>
      <c r="AG1719" s="5" t="str">
        <f ca="1">IFERROR(__xludf.DUMMYFUNCTION("""COMPUTED_VALUE"""),"No")</f>
        <v>No</v>
      </c>
      <c r="AH1719" s="5" t="str">
        <f ca="1">IFERROR(__xludf.DUMMYFUNCTION("""COMPUTED_VALUE"""),"No")</f>
        <v>No</v>
      </c>
      <c r="AI1719" s="5"/>
      <c r="AJ1719" s="5"/>
    </row>
    <row r="1720" spans="1:36" ht="13">
      <c r="A1720" s="5" t="str">
        <f ca="1">IFERROR(__xludf.DUMMYFUNCTION("""COMPUTED_VALUE"""),"19960411ALTAT")</f>
        <v>19960411ALTAT</v>
      </c>
      <c r="B1720" s="5">
        <f ca="1">IFERROR(__xludf.DUMMYFUNCTION("""COMPUTED_VALUE"""),4)</f>
        <v>4</v>
      </c>
      <c r="C1720" s="5">
        <f ca="1">IFERROR(__xludf.DUMMYFUNCTION("""COMPUTED_VALUE"""),11)</f>
        <v>11</v>
      </c>
      <c r="D1720" s="5">
        <f ca="1">IFERROR(__xludf.DUMMYFUNCTION("""COMPUTED_VALUE"""),1996)</f>
        <v>1996</v>
      </c>
      <c r="E1720" s="8">
        <f ca="1">IFERROR(__xludf.DUMMYFUNCTION("""COMPUTED_VALUE"""),35166)</f>
        <v>35166</v>
      </c>
      <c r="F1720" s="5" t="str">
        <f ca="1">IFERROR(__xludf.DUMMYFUNCTION("""COMPUTED_VALUE"""),"Talladega High School")</f>
        <v>Talladega High School</v>
      </c>
      <c r="G1720" s="5">
        <f ca="1">IFERROR(__xludf.DUMMYFUNCTION("""COMPUTED_VALUE"""),1)</f>
        <v>1</v>
      </c>
      <c r="H1720" s="5">
        <f ca="1">IFERROR(__xludf.DUMMYFUNCTION("""COMPUTED_VALUE"""),0)</f>
        <v>0</v>
      </c>
      <c r="I1720" s="5">
        <f ca="1">IFERROR(__xludf.DUMMYFUNCTION("""COMPUTED_VALUE"""),1)</f>
        <v>1</v>
      </c>
      <c r="J1720" s="5">
        <f ca="1">IFERROR(__xludf.DUMMYFUNCTION("""COMPUTED_VALUE"""),0)</f>
        <v>0</v>
      </c>
      <c r="K1720" s="5" t="str">
        <f ca="1">IFERROR(__xludf.DUMMYFUNCTION("""COMPUTED_VALUE"""),"https://www.columbine-angels.com/School_Violence_1995-1996.htm https://en.wikipedia.org/wiki/List_of_attacks_related_to_secondary_schools#1990s")</f>
        <v>https://www.columbine-angels.com/School_Violence_1995-1996.htm https://en.wikipedia.org/wiki/List_of_attacks_related_to_secondary_schools#1990s</v>
      </c>
      <c r="L1720" s="5"/>
      <c r="M1720" s="5"/>
      <c r="N1720" s="5">
        <f ca="1">IFERROR(__xludf.DUMMYFUNCTION("""COMPUTED_VALUE"""),2)</f>
        <v>2</v>
      </c>
      <c r="O1720" s="5" t="str">
        <f ca="1">IFERROR(__xludf.DUMMYFUNCTION("""COMPUTED_VALUE"""),"Spring")</f>
        <v>Spring</v>
      </c>
      <c r="P1720" s="5" t="str">
        <f ca="1">IFERROR(__xludf.DUMMYFUNCTION("""COMPUTED_VALUE"""),"Talladega")</f>
        <v>Talladega</v>
      </c>
      <c r="Q1720" s="5" t="str">
        <f ca="1">IFERROR(__xludf.DUMMYFUNCTION("""COMPUTED_VALUE"""),"AL")</f>
        <v>AL</v>
      </c>
      <c r="R1720" s="5" t="str">
        <f ca="1">IFERROR(__xludf.DUMMYFUNCTION("""COMPUTED_VALUE"""),"High")</f>
        <v>High</v>
      </c>
      <c r="S1720" s="5" t="str">
        <f ca="1">IFERROR(__xludf.DUMMYFUNCTION("""COMPUTED_VALUE"""),"Parking Lot")</f>
        <v>Parking Lot</v>
      </c>
      <c r="T1720" s="5" t="str">
        <f ca="1">IFERROR(__xludf.DUMMYFUNCTION("""COMPUTED_VALUE"""),"Outside on School Property")</f>
        <v>Outside on School Property</v>
      </c>
      <c r="U1720" s="5"/>
      <c r="V1720" s="5"/>
      <c r="W1720" s="5"/>
      <c r="X1720" s="5">
        <f ca="1">IFERROR(__xludf.DUMMYFUNCTION("""COMPUTED_VALUE"""),1)</f>
        <v>1</v>
      </c>
      <c r="Y1720" s="5" t="str">
        <f ca="1">IFERROR(__xludf.DUMMYFUNCTION("""COMPUTED_VALUE"""),"Fight in parking lot escalated into shooting")</f>
        <v>Fight in parking lot escalated into shooting</v>
      </c>
      <c r="Z1720" s="5" t="str">
        <f ca="1">IFERROR(__xludf.DUMMYFUNCTION("""COMPUTED_VALUE"""),"16 year-old male shot and killed 18 year-old male in school parking lot following a heated argument the day before.")</f>
        <v>16 year-old male shot and killed 18 year-old male in school parking lot following a heated argument the day before.</v>
      </c>
      <c r="AA1720" s="5" t="str">
        <f ca="1">IFERROR(__xludf.DUMMYFUNCTION("""COMPUTED_VALUE"""),"Escalation of Dispute")</f>
        <v>Escalation of Dispute</v>
      </c>
      <c r="AB1720" s="5" t="str">
        <f ca="1">IFERROR(__xludf.DUMMYFUNCTION("""COMPUTED_VALUE"""),"Victims Targeted")</f>
        <v>Victims Targeted</v>
      </c>
      <c r="AC1720" s="5" t="str">
        <f ca="1">IFERROR(__xludf.DUMMYFUNCTION("""COMPUTED_VALUE"""),"No")</f>
        <v>No</v>
      </c>
      <c r="AD1720" s="5" t="str">
        <f ca="1">IFERROR(__xludf.DUMMYFUNCTION("""COMPUTED_VALUE"""),"No")</f>
        <v>No</v>
      </c>
      <c r="AE1720" s="5" t="str">
        <f ca="1">IFERROR(__xludf.DUMMYFUNCTION("""COMPUTED_VALUE"""),"No")</f>
        <v>No</v>
      </c>
      <c r="AF1720" s="5" t="str">
        <f ca="1">IFERROR(__xludf.DUMMYFUNCTION("""COMPUTED_VALUE"""),"No")</f>
        <v>No</v>
      </c>
      <c r="AG1720" s="5" t="str">
        <f ca="1">IFERROR(__xludf.DUMMYFUNCTION("""COMPUTED_VALUE"""),"No")</f>
        <v>No</v>
      </c>
      <c r="AH1720" s="5" t="str">
        <f ca="1">IFERROR(__xludf.DUMMYFUNCTION("""COMPUTED_VALUE"""),"No")</f>
        <v>No</v>
      </c>
      <c r="AI1720" s="5"/>
      <c r="AJ1720" s="5"/>
    </row>
    <row r="1721" spans="1:36" ht="13">
      <c r="A1721" s="5" t="str">
        <f ca="1">IFERROR(__xludf.DUMMYFUNCTION("""COMPUTED_VALUE"""),"19960319NVSWL")</f>
        <v>19960319NVSWL</v>
      </c>
      <c r="B1721" s="5">
        <f ca="1">IFERROR(__xludf.DUMMYFUNCTION("""COMPUTED_VALUE"""),3)</f>
        <v>3</v>
      </c>
      <c r="C1721" s="5">
        <f ca="1">IFERROR(__xludf.DUMMYFUNCTION("""COMPUTED_VALUE"""),19)</f>
        <v>19</v>
      </c>
      <c r="D1721" s="5">
        <f ca="1">IFERROR(__xludf.DUMMYFUNCTION("""COMPUTED_VALUE"""),1996)</f>
        <v>1996</v>
      </c>
      <c r="E1721" s="8">
        <f ca="1">IFERROR(__xludf.DUMMYFUNCTION("""COMPUTED_VALUE"""),35143)</f>
        <v>35143</v>
      </c>
      <c r="F1721" s="5" t="str">
        <f ca="1">IFERROR(__xludf.DUMMYFUNCTION("""COMPUTED_VALUE"""),"Swainston Middle School")</f>
        <v>Swainston Middle School</v>
      </c>
      <c r="G1721" s="5">
        <f ca="1">IFERROR(__xludf.DUMMYFUNCTION("""COMPUTED_VALUE"""),0)</f>
        <v>0</v>
      </c>
      <c r="H1721" s="5">
        <f ca="1">IFERROR(__xludf.DUMMYFUNCTION("""COMPUTED_VALUE"""),0)</f>
        <v>0</v>
      </c>
      <c r="I1721" s="5">
        <f ca="1">IFERROR(__xludf.DUMMYFUNCTION("""COMPUTED_VALUE"""),0)</f>
        <v>0</v>
      </c>
      <c r="J1721" s="5">
        <f ca="1">IFERROR(__xludf.DUMMYFUNCTION("""COMPUTED_VALUE"""),0)</f>
        <v>0</v>
      </c>
      <c r="K1721" s="5" t="str">
        <f ca="1">IFERROR(__xludf.DUMMYFUNCTION("""COMPUTED_VALUE"""),"https://www.columbine-angels.com/School_Violence_1995-1996.htm https://lasvegassun.com/news/1996/mar/20/student-arrested-in-shooting-at-middle-school/")</f>
        <v>https://www.columbine-angels.com/School_Violence_1995-1996.htm https://lasvegassun.com/news/1996/mar/20/student-arrested-in-shooting-at-middle-school/</v>
      </c>
      <c r="L1721" s="5"/>
      <c r="M1721" s="5"/>
      <c r="N1721" s="5">
        <f ca="1">IFERROR(__xludf.DUMMYFUNCTION("""COMPUTED_VALUE"""),2)</f>
        <v>2</v>
      </c>
      <c r="O1721" s="5" t="str">
        <f ca="1">IFERROR(__xludf.DUMMYFUNCTION("""COMPUTED_VALUE"""),"Spring")</f>
        <v>Spring</v>
      </c>
      <c r="P1721" s="5" t="str">
        <f ca="1">IFERROR(__xludf.DUMMYFUNCTION("""COMPUTED_VALUE"""),"Las Vegas")</f>
        <v>Las Vegas</v>
      </c>
      <c r="Q1721" s="5" t="str">
        <f ca="1">IFERROR(__xludf.DUMMYFUNCTION("""COMPUTED_VALUE"""),"NV")</f>
        <v>NV</v>
      </c>
      <c r="R1721" s="5" t="str">
        <f ca="1">IFERROR(__xludf.DUMMYFUNCTION("""COMPUTED_VALUE"""),"Middle")</f>
        <v>Middle</v>
      </c>
      <c r="S1721" s="5" t="str">
        <f ca="1">IFERROR(__xludf.DUMMYFUNCTION("""COMPUTED_VALUE"""),"Beside Building")</f>
        <v>Beside Building</v>
      </c>
      <c r="T1721" s="5" t="str">
        <f ca="1">IFERROR(__xludf.DUMMYFUNCTION("""COMPUTED_VALUE"""),"Outside on School Property")</f>
        <v>Outside on School Property</v>
      </c>
      <c r="U1721" s="5" t="str">
        <f ca="1">IFERROR(__xludf.DUMMYFUNCTION("""COMPUTED_VALUE"""),"Yes")</f>
        <v>Yes</v>
      </c>
      <c r="V1721" s="5" t="str">
        <f ca="1">IFERROR(__xludf.DUMMYFUNCTION("""COMPUTED_VALUE"""),"Morning Classes")</f>
        <v>Morning Classes</v>
      </c>
      <c r="W1721" s="10">
        <f ca="1">IFERROR(__xludf.DUMMYFUNCTION("""COMPUTED_VALUE"""),0.479166666666666)</f>
        <v>0.47916666666666602</v>
      </c>
      <c r="X1721" s="5">
        <f ca="1">IFERROR(__xludf.DUMMYFUNCTION("""COMPUTED_VALUE"""),1)</f>
        <v>1</v>
      </c>
      <c r="Y1721" s="5" t="str">
        <f ca="1">IFERROR(__xludf.DUMMYFUNCTION("""COMPUTED_VALUE"""),"Students shot with pellet gun while walking between classes")</f>
        <v>Students shot with pellet gun while walking between classes</v>
      </c>
      <c r="Z1721" s="5" t="str">
        <f ca="1">IFERROR(__xludf.DUMMYFUNCTION("""COMPUTED_VALUE"""),"Two students were hit by shots from a pellet gun while walking on the northwest side of the campus around 11:30 am. The shooter was at a residence near school when he fired the gun. He had missed school that day. Injuries were minor bruising.")</f>
        <v>Two students were hit by shots from a pellet gun while walking on the northwest side of the campus around 11:30 am. The shooter was at a residence near school when he fired the gun. He had missed school that day. Injuries were minor bruising.</v>
      </c>
      <c r="AA1721" s="5" t="str">
        <f ca="1">IFERROR(__xludf.DUMMYFUNCTION("""COMPUTED_VALUE"""),"Indiscriminate Shooting")</f>
        <v>Indiscriminate Shooting</v>
      </c>
      <c r="AB1721" s="5"/>
      <c r="AC1721" s="5" t="str">
        <f ca="1">IFERROR(__xludf.DUMMYFUNCTION("""COMPUTED_VALUE"""),"No")</f>
        <v>No</v>
      </c>
      <c r="AD1721" s="5" t="str">
        <f ca="1">IFERROR(__xludf.DUMMYFUNCTION("""COMPUTED_VALUE"""),"No")</f>
        <v>No</v>
      </c>
      <c r="AE1721" s="5" t="str">
        <f ca="1">IFERROR(__xludf.DUMMYFUNCTION("""COMPUTED_VALUE"""),"No")</f>
        <v>No</v>
      </c>
      <c r="AF1721" s="5" t="str">
        <f ca="1">IFERROR(__xludf.DUMMYFUNCTION("""COMPUTED_VALUE"""),"No")</f>
        <v>No</v>
      </c>
      <c r="AG1721" s="5"/>
      <c r="AH1721" s="5" t="str">
        <f ca="1">IFERROR(__xludf.DUMMYFUNCTION("""COMPUTED_VALUE"""),"No")</f>
        <v>No</v>
      </c>
      <c r="AI1721" s="5" t="str">
        <f ca="1">IFERROR(__xludf.DUMMYFUNCTION("""COMPUTED_VALUE"""),"No")</f>
        <v>No</v>
      </c>
      <c r="AJ1721" s="5"/>
    </row>
    <row r="1722" spans="1:36" ht="13">
      <c r="A1722" s="5" t="str">
        <f ca="1">IFERROR(__xludf.DUMMYFUNCTION("""COMPUTED_VALUE"""),"19960311NCNON")</f>
        <v>19960311NCNON</v>
      </c>
      <c r="B1722" s="5">
        <f ca="1">IFERROR(__xludf.DUMMYFUNCTION("""COMPUTED_VALUE"""),3)</f>
        <v>3</v>
      </c>
      <c r="C1722" s="5">
        <f ca="1">IFERROR(__xludf.DUMMYFUNCTION("""COMPUTED_VALUE"""),11)</f>
        <v>11</v>
      </c>
      <c r="D1722" s="5">
        <f ca="1">IFERROR(__xludf.DUMMYFUNCTION("""COMPUTED_VALUE"""),1996)</f>
        <v>1996</v>
      </c>
      <c r="E1722" s="8">
        <f ca="1">IFERROR(__xludf.DUMMYFUNCTION("""COMPUTED_VALUE"""),35135)</f>
        <v>35135</v>
      </c>
      <c r="F1722" s="5" t="str">
        <f ca="1">IFERROR(__xludf.DUMMYFUNCTION("""COMPUTED_VALUE"""),"North Stanley High School")</f>
        <v>North Stanley High School</v>
      </c>
      <c r="G1722" s="5">
        <f ca="1">IFERROR(__xludf.DUMMYFUNCTION("""COMPUTED_VALUE"""),0)</f>
        <v>0</v>
      </c>
      <c r="H1722" s="5">
        <f ca="1">IFERROR(__xludf.DUMMYFUNCTION("""COMPUTED_VALUE"""),0)</f>
        <v>0</v>
      </c>
      <c r="I1722" s="5">
        <f ca="1">IFERROR(__xludf.DUMMYFUNCTION("""COMPUTED_VALUE"""),0)</f>
        <v>0</v>
      </c>
      <c r="J1722" s="5">
        <f ca="1">IFERROR(__xludf.DUMMYFUNCTION("""COMPUTED_VALUE"""),1)</f>
        <v>1</v>
      </c>
      <c r="K1722" s="5" t="str">
        <f ca="1">IFERROR(__xludf.DUMMYFUNCTION("""COMPUTED_VALUE"""),"https://www.columbine-angels.com/School_Violence_1995-1996.htm https://apnews.com/520f96a326e5ea865eea69624bcb01a1 https://www.greensboro.com/stanly-students-deal-with-death/article_a38d9b7a-6107-58db-a78d-901b49e0ef61.html")</f>
        <v>https://www.columbine-angels.com/School_Violence_1995-1996.htm https://apnews.com/520f96a326e5ea865eea69624bcb01a1 https://www.greensboro.com/stanly-students-deal-with-death/article_a38d9b7a-6107-58db-a78d-901b49e0ef61.html</v>
      </c>
      <c r="L1722" s="5"/>
      <c r="M1722" s="5"/>
      <c r="N1722" s="5">
        <f ca="1">IFERROR(__xludf.DUMMYFUNCTION("""COMPUTED_VALUE"""),1)</f>
        <v>1</v>
      </c>
      <c r="O1722" s="5" t="str">
        <f ca="1">IFERROR(__xludf.DUMMYFUNCTION("""COMPUTED_VALUE"""),"Spring")</f>
        <v>Spring</v>
      </c>
      <c r="P1722" s="5" t="str">
        <f ca="1">IFERROR(__xludf.DUMMYFUNCTION("""COMPUTED_VALUE"""),"New Longdon")</f>
        <v>New Longdon</v>
      </c>
      <c r="Q1722" s="5" t="str">
        <f ca="1">IFERROR(__xludf.DUMMYFUNCTION("""COMPUTED_VALUE"""),"NC")</f>
        <v>NC</v>
      </c>
      <c r="R1722" s="5" t="str">
        <f ca="1">IFERROR(__xludf.DUMMYFUNCTION("""COMPUTED_VALUE"""),"High")</f>
        <v>High</v>
      </c>
      <c r="S1722" s="5" t="str">
        <f ca="1">IFERROR(__xludf.DUMMYFUNCTION("""COMPUTED_VALUE"""),"Classroom")</f>
        <v>Classroom</v>
      </c>
      <c r="T1722" s="5" t="str">
        <f ca="1">IFERROR(__xludf.DUMMYFUNCTION("""COMPUTED_VALUE"""),"Inside School Building")</f>
        <v>Inside School Building</v>
      </c>
      <c r="U1722" s="5" t="str">
        <f ca="1">IFERROR(__xludf.DUMMYFUNCTION("""COMPUTED_VALUE"""),"Yes")</f>
        <v>Yes</v>
      </c>
      <c r="V1722" s="5" t="str">
        <f ca="1">IFERROR(__xludf.DUMMYFUNCTION("""COMPUTED_VALUE"""),"Afternoon Classes")</f>
        <v>Afternoon Classes</v>
      </c>
      <c r="W1722" s="5"/>
      <c r="X1722" s="5">
        <f ca="1">IFERROR(__xludf.DUMMYFUNCTION("""COMPUTED_VALUE"""),1)</f>
        <v>1</v>
      </c>
      <c r="Y1722" s="5" t="str">
        <f ca="1">IFERROR(__xludf.DUMMYFUNCTION("""COMPUTED_VALUE"""),"Student shot himself during algebra")</f>
        <v>Student shot himself during algebra</v>
      </c>
      <c r="Z1722" s="5" t="str">
        <f ca="1">IFERROR(__xludf.DUMMYFUNCTION("""COMPUTED_VALUE"""),"15 year-old male pulled 9mm pistol out of coat pocket during 4th period algebra class, another student asked if it was real, and student replied ""you betcha"" and waved gun around. Teacher ordered students out of the classroom, they did not get far befor"&amp;"e student shot himself in the head.")</f>
        <v>15 year-old male pulled 9mm pistol out of coat pocket during 4th period algebra class, another student asked if it was real, and student replied "you betcha" and waved gun around. Teacher ordered students out of the classroom, they did not get far before student shot himself in the head.</v>
      </c>
      <c r="AA1722" s="5" t="str">
        <f ca="1">IFERROR(__xludf.DUMMYFUNCTION("""COMPUTED_VALUE"""),"Suicide/Attempted")</f>
        <v>Suicide/Attempted</v>
      </c>
      <c r="AB1722" s="5" t="str">
        <f ca="1">IFERROR(__xludf.DUMMYFUNCTION("""COMPUTED_VALUE"""),"Victims Targeted")</f>
        <v>Victims Targeted</v>
      </c>
      <c r="AC1722" s="5" t="str">
        <f ca="1">IFERROR(__xludf.DUMMYFUNCTION("""COMPUTED_VALUE"""),"No")</f>
        <v>No</v>
      </c>
      <c r="AD1722" s="5" t="str">
        <f ca="1">IFERROR(__xludf.DUMMYFUNCTION("""COMPUTED_VALUE"""),"No")</f>
        <v>No</v>
      </c>
      <c r="AE1722" s="5" t="str">
        <f ca="1">IFERROR(__xludf.DUMMYFUNCTION("""COMPUTED_VALUE"""),"No")</f>
        <v>No</v>
      </c>
      <c r="AF1722" s="5" t="str">
        <f ca="1">IFERROR(__xludf.DUMMYFUNCTION("""COMPUTED_VALUE"""),"No")</f>
        <v>No</v>
      </c>
      <c r="AG1722" s="5" t="str">
        <f ca="1">IFERROR(__xludf.DUMMYFUNCTION("""COMPUTED_VALUE"""),"No")</f>
        <v>No</v>
      </c>
      <c r="AH1722" s="5" t="str">
        <f ca="1">IFERROR(__xludf.DUMMYFUNCTION("""COMPUTED_VALUE"""),"No")</f>
        <v>No</v>
      </c>
      <c r="AI1722" s="5" t="str">
        <f ca="1">IFERROR(__xludf.DUMMYFUNCTION("""COMPUTED_VALUE"""),"No")</f>
        <v>No</v>
      </c>
      <c r="AJ1722" s="5"/>
    </row>
    <row r="1723" spans="1:36" ht="13">
      <c r="A1723" s="5" t="str">
        <f ca="1">IFERROR(__xludf.DUMMYFUNCTION("""COMPUTED_VALUE"""),"19960229MOBES")</f>
        <v>19960229MOBES</v>
      </c>
      <c r="B1723" s="5">
        <f ca="1">IFERROR(__xludf.DUMMYFUNCTION("""COMPUTED_VALUE"""),2)</f>
        <v>2</v>
      </c>
      <c r="C1723" s="5">
        <f ca="1">IFERROR(__xludf.DUMMYFUNCTION("""COMPUTED_VALUE"""),29)</f>
        <v>29</v>
      </c>
      <c r="D1723" s="5">
        <f ca="1">IFERROR(__xludf.DUMMYFUNCTION("""COMPUTED_VALUE"""),1996)</f>
        <v>1996</v>
      </c>
      <c r="E1723" s="8">
        <f ca="1">IFERROR(__xludf.DUMMYFUNCTION("""COMPUTED_VALUE"""),35124)</f>
        <v>35124</v>
      </c>
      <c r="F1723" s="5" t="str">
        <f ca="1">IFERROR(__xludf.DUMMYFUNCTION("""COMPUTED_VALUE"""),"Beaumont High School (bus)")</f>
        <v>Beaumont High School (bus)</v>
      </c>
      <c r="G1723" s="5">
        <f ca="1">IFERROR(__xludf.DUMMYFUNCTION("""COMPUTED_VALUE"""),2)</f>
        <v>2</v>
      </c>
      <c r="H1723" s="5">
        <f ca="1">IFERROR(__xludf.DUMMYFUNCTION("""COMPUTED_VALUE"""),1)</f>
        <v>1</v>
      </c>
      <c r="I1723" s="5">
        <f ca="1">IFERROR(__xludf.DUMMYFUNCTION("""COMPUTED_VALUE"""),3)</f>
        <v>3</v>
      </c>
      <c r="J1723" s="5">
        <f ca="1">IFERROR(__xludf.DUMMYFUNCTION("""COMPUTED_VALUE"""),0)</f>
        <v>0</v>
      </c>
      <c r="K1723" s="5" t="str">
        <f ca="1">IFERROR(__xludf.DUMMYFUNCTION("""COMPUTED_VALUE"""),"https://www.history.com/this-day-in-history/a-pregnant-teenager-is-shot-while-riding-the-bus-to-school https://www.newspapers.com/image/142524916/ https://www.newspapers.com/image/142524981/ https://www.newspapers.com/image/142505625/ https://www.newspape"&amp;"rs.com/image/142505646/ https://apnews.com/a48349cdd1ddff7a3bce6fce5e059816")</f>
        <v>https://www.history.com/this-day-in-history/a-pregnant-teenager-is-shot-while-riding-the-bus-to-school https://www.newspapers.com/image/142524916/ https://www.newspapers.com/image/142524981/ https://www.newspapers.com/image/142505625/ https://www.newspapers.com/image/142505646/ https://apnews.com/a48349cdd1ddff7a3bce6fce5e059816</v>
      </c>
      <c r="L1723" s="5"/>
      <c r="M1723" s="5"/>
      <c r="N1723" s="5">
        <f ca="1">IFERROR(__xludf.DUMMYFUNCTION("""COMPUTED_VALUE"""),3)</f>
        <v>3</v>
      </c>
      <c r="O1723" s="5" t="str">
        <f ca="1">IFERROR(__xludf.DUMMYFUNCTION("""COMPUTED_VALUE"""),"Winter")</f>
        <v>Winter</v>
      </c>
      <c r="P1723" s="5" t="str">
        <f ca="1">IFERROR(__xludf.DUMMYFUNCTION("""COMPUTED_VALUE"""),"St. Louis")</f>
        <v>St. Louis</v>
      </c>
      <c r="Q1723" s="5" t="str">
        <f ca="1">IFERROR(__xludf.DUMMYFUNCTION("""COMPUTED_VALUE"""),"MO")</f>
        <v>MO</v>
      </c>
      <c r="R1723" s="5" t="str">
        <f ca="1">IFERROR(__xludf.DUMMYFUNCTION("""COMPUTED_VALUE"""),"High")</f>
        <v>High</v>
      </c>
      <c r="S1723" s="5" t="str">
        <f ca="1">IFERROR(__xludf.DUMMYFUNCTION("""COMPUTED_VALUE"""),"School Bus")</f>
        <v>School Bus</v>
      </c>
      <c r="T1723" s="5" t="str">
        <f ca="1">IFERROR(__xludf.DUMMYFUNCTION("""COMPUTED_VALUE"""),"School Bus")</f>
        <v>School Bus</v>
      </c>
      <c r="U1723" s="5" t="str">
        <f ca="1">IFERROR(__xludf.DUMMYFUNCTION("""COMPUTED_VALUE"""),"No")</f>
        <v>No</v>
      </c>
      <c r="V1723" s="5" t="str">
        <f ca="1">IFERROR(__xludf.DUMMYFUNCTION("""COMPUTED_VALUE"""),"Before School")</f>
        <v>Before School</v>
      </c>
      <c r="W1723" s="10">
        <f ca="1">IFERROR(__xludf.DUMMYFUNCTION("""COMPUTED_VALUE"""),0.291666666666666)</f>
        <v>0.29166666666666602</v>
      </c>
      <c r="X1723" s="5">
        <f ca="1">IFERROR(__xludf.DUMMYFUNCTION("""COMPUTED_VALUE"""),1)</f>
        <v>1</v>
      </c>
      <c r="Y1723" s="5" t="str">
        <f ca="1">IFERROR(__xludf.DUMMYFUNCTION("""COMPUTED_VALUE"""),"Hitman hired to kill pregnant student")</f>
        <v>Hitman hired to kill pregnant student</v>
      </c>
      <c r="Z1723" s="5" t="str">
        <f ca="1">IFERROR(__xludf.DUMMYFUNCTION("""COMPUTED_VALUE"""),"Hitman (Malik J. Nettles, 21) was hired to kill pregnant student. Shooter shot the bus driver (Richard Lanemann, 60) and the pregnant victim multiple times and fled the scene. 29 year-old male neighbor (Mark Boyd) of the victim had gotten her pregnant and"&amp;" she did not want an abortion. Baby was delivered via C-section, but died later.")</f>
        <v>Hitman (Malik J. Nettles, 21) was hired to kill pregnant student. Shooter shot the bus driver (Richard Lanemann, 60) and the pregnant victim multiple times and fled the scene. 29 year-old male neighbor (Mark Boyd) of the victim had gotten her pregnant and she did not want an abortion. Baby was delivered via C-section, but died later.</v>
      </c>
      <c r="AA1723" s="5" t="str">
        <f ca="1">IFERROR(__xludf.DUMMYFUNCTION("""COMPUTED_VALUE"""),"Domestic w/ Targeted Victim")</f>
        <v>Domestic w/ Targeted Victim</v>
      </c>
      <c r="AB1723" s="5" t="str">
        <f ca="1">IFERROR(__xludf.DUMMYFUNCTION("""COMPUTED_VALUE"""),"Victims Targeted")</f>
        <v>Victims Targeted</v>
      </c>
      <c r="AC1723" s="5" t="str">
        <f ca="1">IFERROR(__xludf.DUMMYFUNCTION("""COMPUTED_VALUE"""),"Yes")</f>
        <v>Yes</v>
      </c>
      <c r="AD1723" s="5" t="str">
        <f ca="1">IFERROR(__xludf.DUMMYFUNCTION("""COMPUTED_VALUE"""),"No")</f>
        <v>No</v>
      </c>
      <c r="AE1723" s="5" t="str">
        <f ca="1">IFERROR(__xludf.DUMMYFUNCTION("""COMPUTED_VALUE"""),"No")</f>
        <v>No</v>
      </c>
      <c r="AF1723" s="5" t="str">
        <f ca="1">IFERROR(__xludf.DUMMYFUNCTION("""COMPUTED_VALUE"""),"No")</f>
        <v>No</v>
      </c>
      <c r="AG1723" s="5" t="str">
        <f ca="1">IFERROR(__xludf.DUMMYFUNCTION("""COMPUTED_VALUE"""),"No")</f>
        <v>No</v>
      </c>
      <c r="AH1723" s="5" t="str">
        <f ca="1">IFERROR(__xludf.DUMMYFUNCTION("""COMPUTED_VALUE"""),"No")</f>
        <v>No</v>
      </c>
      <c r="AI1723" s="5" t="str">
        <f ca="1">IFERROR(__xludf.DUMMYFUNCTION("""COMPUTED_VALUE"""),"No")</f>
        <v>No</v>
      </c>
      <c r="AJ1723" s="5"/>
    </row>
    <row r="1724" spans="1:36" ht="13">
      <c r="A1724" s="5" t="str">
        <f ca="1">IFERROR(__xludf.DUMMYFUNCTION("""COMPUTED_VALUE"""),"19960222GAJES")</f>
        <v>19960222GAJES</v>
      </c>
      <c r="B1724" s="5">
        <f ca="1">IFERROR(__xludf.DUMMYFUNCTION("""COMPUTED_VALUE"""),2)</f>
        <v>2</v>
      </c>
      <c r="C1724" s="5">
        <f ca="1">IFERROR(__xludf.DUMMYFUNCTION("""COMPUTED_VALUE"""),22)</f>
        <v>22</v>
      </c>
      <c r="D1724" s="5">
        <f ca="1">IFERROR(__xludf.DUMMYFUNCTION("""COMPUTED_VALUE"""),1996)</f>
        <v>1996</v>
      </c>
      <c r="E1724" s="8">
        <f ca="1">IFERROR(__xludf.DUMMYFUNCTION("""COMPUTED_VALUE"""),35117)</f>
        <v>35117</v>
      </c>
      <c r="F1724" s="5" t="str">
        <f ca="1">IFERROR(__xludf.DUMMYFUNCTION("""COMPUTED_VALUE"""),"Jenkins High School")</f>
        <v>Jenkins High School</v>
      </c>
      <c r="G1724" s="5">
        <f ca="1">IFERROR(__xludf.DUMMYFUNCTION("""COMPUTED_VALUE"""),1)</f>
        <v>1</v>
      </c>
      <c r="H1724" s="5">
        <f ca="1">IFERROR(__xludf.DUMMYFUNCTION("""COMPUTED_VALUE"""),0)</f>
        <v>0</v>
      </c>
      <c r="I1724" s="5">
        <f ca="1">IFERROR(__xludf.DUMMYFUNCTION("""COMPUTED_VALUE"""),1)</f>
        <v>1</v>
      </c>
      <c r="J1724" s="5">
        <f ca="1">IFERROR(__xludf.DUMMYFUNCTION("""COMPUTED_VALUE"""),0)</f>
        <v>0</v>
      </c>
      <c r="K1724" s="5" t="str">
        <f ca="1">IFERROR(__xludf.DUMMYFUNCTION("""COMPUTED_VALUE"""),"https://www.columbine-angels.com/School_Violence_1995-1996.htm https://www.savannahnow.com/news/20190417/savannah-man-indicted-for-murder-in-january-domestic-violence-case")</f>
        <v>https://www.columbine-angels.com/School_Violence_1995-1996.htm https://www.savannahnow.com/news/20190417/savannah-man-indicted-for-murder-in-january-domestic-violence-case</v>
      </c>
      <c r="L1724" s="5"/>
      <c r="M1724" s="5"/>
      <c r="N1724" s="5">
        <f ca="1">IFERROR(__xludf.DUMMYFUNCTION("""COMPUTED_VALUE"""),2)</f>
        <v>2</v>
      </c>
      <c r="O1724" s="5" t="str">
        <f ca="1">IFERROR(__xludf.DUMMYFUNCTION("""COMPUTED_VALUE"""),"Winter")</f>
        <v>Winter</v>
      </c>
      <c r="P1724" s="5" t="str">
        <f ca="1">IFERROR(__xludf.DUMMYFUNCTION("""COMPUTED_VALUE"""),"Savannah")</f>
        <v>Savannah</v>
      </c>
      <c r="Q1724" s="5" t="str">
        <f ca="1">IFERROR(__xludf.DUMMYFUNCTION("""COMPUTED_VALUE"""),"GA")</f>
        <v>GA</v>
      </c>
      <c r="R1724" s="5" t="str">
        <f ca="1">IFERROR(__xludf.DUMMYFUNCTION("""COMPUTED_VALUE"""),"High")</f>
        <v>High</v>
      </c>
      <c r="S1724" s="5" t="str">
        <f ca="1">IFERROR(__xludf.DUMMYFUNCTION("""COMPUTED_VALUE"""),"Front of School")</f>
        <v>Front of School</v>
      </c>
      <c r="T1724" s="5" t="str">
        <f ca="1">IFERROR(__xludf.DUMMYFUNCTION("""COMPUTED_VALUE"""),"Outside on School Property")</f>
        <v>Outside on School Property</v>
      </c>
      <c r="U1724" s="5" t="str">
        <f ca="1">IFERROR(__xludf.DUMMYFUNCTION("""COMPUTED_VALUE"""),"No")</f>
        <v>No</v>
      </c>
      <c r="V1724" s="5" t="str">
        <f ca="1">IFERROR(__xludf.DUMMYFUNCTION("""COMPUTED_VALUE"""),"Dismissal")</f>
        <v>Dismissal</v>
      </c>
      <c r="W1724" s="5"/>
      <c r="X1724" s="5">
        <f ca="1">IFERROR(__xludf.DUMMYFUNCTION("""COMPUTED_VALUE"""),1)</f>
        <v>1</v>
      </c>
      <c r="Y1724" s="5" t="str">
        <f ca="1">IFERROR(__xludf.DUMMYFUNCTION("""COMPUTED_VALUE"""),"Ongoing argument for 3 days escalated into shooting")</f>
        <v>Ongoing argument for 3 days escalated into shooting</v>
      </c>
      <c r="Z1724" s="5" t="str">
        <f ca="1">IFERROR(__xludf.DUMMYFUNCTION("""COMPUTED_VALUE"""),"15YOM shooter killed victim while students were lining up to get on the school bus. Shooter and victim had been arguing for the past 3 days.")</f>
        <v>15YOM shooter killed victim while students were lining up to get on the school bus. Shooter and victim had been arguing for the past 3 days.</v>
      </c>
      <c r="AA1724" s="5" t="str">
        <f ca="1">IFERROR(__xludf.DUMMYFUNCTION("""COMPUTED_VALUE"""),"Escalation of Dispute")</f>
        <v>Escalation of Dispute</v>
      </c>
      <c r="AB1724" s="5" t="str">
        <f ca="1">IFERROR(__xludf.DUMMYFUNCTION("""COMPUTED_VALUE"""),"Victims Targeted")</f>
        <v>Victims Targeted</v>
      </c>
      <c r="AC1724" s="5" t="str">
        <f ca="1">IFERROR(__xludf.DUMMYFUNCTION("""COMPUTED_VALUE"""),"No")</f>
        <v>No</v>
      </c>
      <c r="AD1724" s="5" t="str">
        <f ca="1">IFERROR(__xludf.DUMMYFUNCTION("""COMPUTED_VALUE"""),"No")</f>
        <v>No</v>
      </c>
      <c r="AE1724" s="5" t="str">
        <f ca="1">IFERROR(__xludf.DUMMYFUNCTION("""COMPUTED_VALUE"""),"No")</f>
        <v>No</v>
      </c>
      <c r="AF1724" s="5" t="str">
        <f ca="1">IFERROR(__xludf.DUMMYFUNCTION("""COMPUTED_VALUE"""),"No")</f>
        <v>No</v>
      </c>
      <c r="AG1724" s="5" t="str">
        <f ca="1">IFERROR(__xludf.DUMMYFUNCTION("""COMPUTED_VALUE"""),"No")</f>
        <v>No</v>
      </c>
      <c r="AH1724" s="5" t="str">
        <f ca="1">IFERROR(__xludf.DUMMYFUNCTION("""COMPUTED_VALUE"""),"No")</f>
        <v>No</v>
      </c>
      <c r="AI1724" s="5" t="str">
        <f ca="1">IFERROR(__xludf.DUMMYFUNCTION("""COMPUTED_VALUE"""),"No")</f>
        <v>No</v>
      </c>
      <c r="AJ1724" s="5"/>
    </row>
    <row r="1725" spans="1:36" ht="13">
      <c r="A1725" s="5" t="str">
        <f ca="1">IFERROR(__xludf.DUMMYFUNCTION("""COMPUTED_VALUE"""),"19960208CAMIM")</f>
        <v>19960208CAMIM</v>
      </c>
      <c r="B1725" s="5">
        <f ca="1">IFERROR(__xludf.DUMMYFUNCTION("""COMPUTED_VALUE"""),2)</f>
        <v>2</v>
      </c>
      <c r="C1725" s="5">
        <f ca="1">IFERROR(__xludf.DUMMYFUNCTION("""COMPUTED_VALUE"""),8)</f>
        <v>8</v>
      </c>
      <c r="D1725" s="5">
        <f ca="1">IFERROR(__xludf.DUMMYFUNCTION("""COMPUTED_VALUE"""),1996)</f>
        <v>1996</v>
      </c>
      <c r="E1725" s="8">
        <f ca="1">IFERROR(__xludf.DUMMYFUNCTION("""COMPUTED_VALUE"""),35103)</f>
        <v>35103</v>
      </c>
      <c r="F1725" s="5" t="str">
        <f ca="1">IFERROR(__xludf.DUMMYFUNCTION("""COMPUTED_VALUE"""),"Mid-Peninsula High School")</f>
        <v>Mid-Peninsula High School</v>
      </c>
      <c r="G1725" s="5">
        <f ca="1">IFERROR(__xludf.DUMMYFUNCTION("""COMPUTED_VALUE"""),0)</f>
        <v>0</v>
      </c>
      <c r="H1725" s="5">
        <f ca="1">IFERROR(__xludf.DUMMYFUNCTION("""COMPUTED_VALUE"""),1)</f>
        <v>1</v>
      </c>
      <c r="I1725" s="5">
        <f ca="1">IFERROR(__xludf.DUMMYFUNCTION("""COMPUTED_VALUE"""),1)</f>
        <v>1</v>
      </c>
      <c r="J1725" s="5">
        <f ca="1">IFERROR(__xludf.DUMMYFUNCTION("""COMPUTED_VALUE"""),1)</f>
        <v>1</v>
      </c>
      <c r="K1725" s="5" t="str">
        <f ca="1">IFERROR(__xludf.DUMMYFUNCTION("""COMPUTED_VALUE"""),"https://www.sfgate.com/news/article/PAGE-ONE-Teen-Fires-on-Classmates-In-Palo-Alto-2995325.php https://napavalleyregister.newspapers.com/image/565670321/ https://en.wikipedia.org/wiki/List_of_attacks_related_to_secondary_schools#1990s https://www.paloalto"&amp;"online.com/weekly/morgue/news/1996_Feb_14.SHOOTING.html https://www.paloaltoonline.com/weekly/morgue/news/1996_Feb_9.SHOOTING.html")</f>
        <v>https://www.sfgate.com/news/article/PAGE-ONE-Teen-Fires-on-Classmates-In-Palo-Alto-2995325.php https://napavalleyregister.newspapers.com/image/565670321/ https://en.wikipedia.org/wiki/List_of_attacks_related_to_secondary_schools#1990s https://www.paloaltoonline.com/weekly/morgue/news/1996_Feb_14.SHOOTING.html https://www.paloaltoonline.com/weekly/morgue/news/1996_Feb_9.SHOOTING.html</v>
      </c>
      <c r="L1725" s="5"/>
      <c r="M1725" s="5"/>
      <c r="N1725" s="5">
        <f ca="1">IFERROR(__xludf.DUMMYFUNCTION("""COMPUTED_VALUE"""),2)</f>
        <v>2</v>
      </c>
      <c r="O1725" s="5" t="str">
        <f ca="1">IFERROR(__xludf.DUMMYFUNCTION("""COMPUTED_VALUE"""),"Winter")</f>
        <v>Winter</v>
      </c>
      <c r="P1725" s="5" t="str">
        <f ca="1">IFERROR(__xludf.DUMMYFUNCTION("""COMPUTED_VALUE"""),"Menlo Park")</f>
        <v>Menlo Park</v>
      </c>
      <c r="Q1725" s="5" t="str">
        <f ca="1">IFERROR(__xludf.DUMMYFUNCTION("""COMPUTED_VALUE"""),"CA")</f>
        <v>CA</v>
      </c>
      <c r="R1725" s="5" t="str">
        <f ca="1">IFERROR(__xludf.DUMMYFUNCTION("""COMPUTED_VALUE"""),"High")</f>
        <v>High</v>
      </c>
      <c r="S1725" s="5" t="str">
        <f ca="1">IFERROR(__xludf.DUMMYFUNCTION("""COMPUTED_VALUE"""),"Basketball Court")</f>
        <v>Basketball Court</v>
      </c>
      <c r="T1725" s="5" t="str">
        <f ca="1">IFERROR(__xludf.DUMMYFUNCTION("""COMPUTED_VALUE"""),"Outside on School Property")</f>
        <v>Outside on School Property</v>
      </c>
      <c r="U1725" s="5" t="str">
        <f ca="1">IFERROR(__xludf.DUMMYFUNCTION("""COMPUTED_VALUE"""),"Yes")</f>
        <v>Yes</v>
      </c>
      <c r="V1725" s="5" t="str">
        <f ca="1">IFERROR(__xludf.DUMMYFUNCTION("""COMPUTED_VALUE"""),"Morning Classes")</f>
        <v>Morning Classes</v>
      </c>
      <c r="W1725" s="10">
        <f ca="1">IFERROR(__xludf.DUMMYFUNCTION("""COMPUTED_VALUE"""),0.458333333333333)</f>
        <v>0.45833333333333298</v>
      </c>
      <c r="X1725" s="5">
        <f ca="1">IFERROR(__xludf.DUMMYFUNCTION("""COMPUTED_VALUE"""),1)</f>
        <v>1</v>
      </c>
      <c r="Y1725" s="5" t="str">
        <f ca="1">IFERROR(__xludf.DUMMYFUNCTION("""COMPUTED_VALUE"""),"Suicidal - shot randomly at students then killed himself")</f>
        <v>Suicidal - shot randomly at students then killed himself</v>
      </c>
      <c r="Z1725" s="5" t="str">
        <f ca="1">IFERROR(__xludf.DUMMYFUNCTION("""COMPUTED_VALUE"""),"16 year old student was depressed over issues with girlfriend - drove his car onto school basketball court and began throwing money out window - when students came to pick up he randomly started shooting at them, shot several bullets into nearby classroom"&amp;" then shot himself.")</f>
        <v>16 year old student was depressed over issues with girlfriend - drove his car onto school basketball court and began throwing money out window - when students came to pick up he randomly started shooting at them, shot several bullets into nearby classroom then shot himself.</v>
      </c>
      <c r="AA1725" s="5" t="str">
        <f ca="1">IFERROR(__xludf.DUMMYFUNCTION("""COMPUTED_VALUE"""),"Indiscriminate Shooting")</f>
        <v>Indiscriminate Shooting</v>
      </c>
      <c r="AB1725" s="5" t="str">
        <f ca="1">IFERROR(__xludf.DUMMYFUNCTION("""COMPUTED_VALUE"""),"Random Shooting")</f>
        <v>Random Shooting</v>
      </c>
      <c r="AC1725" s="5" t="str">
        <f ca="1">IFERROR(__xludf.DUMMYFUNCTION("""COMPUTED_VALUE"""),"No")</f>
        <v>No</v>
      </c>
      <c r="AD1725" s="5" t="str">
        <f ca="1">IFERROR(__xludf.DUMMYFUNCTION("""COMPUTED_VALUE"""),"No")</f>
        <v>No</v>
      </c>
      <c r="AE1725" s="5" t="str">
        <f ca="1">IFERROR(__xludf.DUMMYFUNCTION("""COMPUTED_VALUE"""),"No")</f>
        <v>No</v>
      </c>
      <c r="AF1725" s="5" t="str">
        <f ca="1">IFERROR(__xludf.DUMMYFUNCTION("""COMPUTED_VALUE"""),"No")</f>
        <v>No</v>
      </c>
      <c r="AG1725" s="5" t="str">
        <f ca="1">IFERROR(__xludf.DUMMYFUNCTION("""COMPUTED_VALUE"""),"No")</f>
        <v>No</v>
      </c>
      <c r="AH1725" s="5" t="str">
        <f ca="1">IFERROR(__xludf.DUMMYFUNCTION("""COMPUTED_VALUE"""),"No")</f>
        <v>No</v>
      </c>
      <c r="AI1725" s="5" t="str">
        <f ca="1">IFERROR(__xludf.DUMMYFUNCTION("""COMPUTED_VALUE"""),"No")</f>
        <v>No</v>
      </c>
      <c r="AJ1725" s="5" t="str">
        <f ca="1">IFERROR(__xludf.DUMMYFUNCTION("""COMPUTED_VALUE"""),"Yes")</f>
        <v>Yes</v>
      </c>
    </row>
    <row r="1726" spans="1:36" ht="13">
      <c r="A1726" s="5" t="str">
        <f ca="1">IFERROR(__xludf.DUMMYFUNCTION("""COMPUTED_VALUE"""),"19960202WAFRM")</f>
        <v>19960202WAFRM</v>
      </c>
      <c r="B1726" s="5">
        <f ca="1">IFERROR(__xludf.DUMMYFUNCTION("""COMPUTED_VALUE"""),2)</f>
        <v>2</v>
      </c>
      <c r="C1726" s="5">
        <f ca="1">IFERROR(__xludf.DUMMYFUNCTION("""COMPUTED_VALUE"""),2)</f>
        <v>2</v>
      </c>
      <c r="D1726" s="5">
        <f ca="1">IFERROR(__xludf.DUMMYFUNCTION("""COMPUTED_VALUE"""),1996)</f>
        <v>1996</v>
      </c>
      <c r="E1726" s="8">
        <f ca="1">IFERROR(__xludf.DUMMYFUNCTION("""COMPUTED_VALUE"""),35097)</f>
        <v>35097</v>
      </c>
      <c r="F1726" s="5" t="str">
        <f ca="1">IFERROR(__xludf.DUMMYFUNCTION("""COMPUTED_VALUE"""),"Frontier Middle School")</f>
        <v>Frontier Middle School</v>
      </c>
      <c r="G1726" s="5">
        <f ca="1">IFERROR(__xludf.DUMMYFUNCTION("""COMPUTED_VALUE"""),3)</f>
        <v>3</v>
      </c>
      <c r="H1726" s="5">
        <f ca="1">IFERROR(__xludf.DUMMYFUNCTION("""COMPUTED_VALUE"""),1)</f>
        <v>1</v>
      </c>
      <c r="I1726" s="5">
        <f ca="1">IFERROR(__xludf.DUMMYFUNCTION("""COMPUTED_VALUE"""),4)</f>
        <v>4</v>
      </c>
      <c r="J1726" s="5">
        <f ca="1">IFERROR(__xludf.DUMMYFUNCTION("""COMPUTED_VALUE"""),0)</f>
        <v>0</v>
      </c>
      <c r="K1726" s="5" t="str">
        <f ca="1">IFERROR(__xludf.DUMMYFUNCTION("""COMPUTED_VALUE"""),"https://www.usnews.com/news/best-states/washington/articles/2017-04-19/school-shooter-barry-loukaitis-resentenced-to-189-years http://www.columbine-angels.com/School_Violence_1995-1996.htm https://murderpedia.org/male.L/l/loukaitis-barry.htm https://en.wi"&amp;"kipedia.org/wiki/Frontier_Middle_School_shooting")</f>
        <v>https://www.usnews.com/news/best-states/washington/articles/2017-04-19/school-shooter-barry-loukaitis-resentenced-to-189-years http://www.columbine-angels.com/School_Violence_1995-1996.htm https://murderpedia.org/male.L/l/loukaitis-barry.htm https://en.wikipedia.org/wiki/Frontier_Middle_School_shooting</v>
      </c>
      <c r="L1726" s="5"/>
      <c r="M1726" s="5"/>
      <c r="N1726" s="5">
        <f ca="1">IFERROR(__xludf.DUMMYFUNCTION("""COMPUTED_VALUE"""),3)</f>
        <v>3</v>
      </c>
      <c r="O1726" s="5" t="str">
        <f ca="1">IFERROR(__xludf.DUMMYFUNCTION("""COMPUTED_VALUE"""),"Winter")</f>
        <v>Winter</v>
      </c>
      <c r="P1726" s="5" t="str">
        <f ca="1">IFERROR(__xludf.DUMMYFUNCTION("""COMPUTED_VALUE"""),"Moses Lake")</f>
        <v>Moses Lake</v>
      </c>
      <c r="Q1726" s="5" t="str">
        <f ca="1">IFERROR(__xludf.DUMMYFUNCTION("""COMPUTED_VALUE"""),"WA")</f>
        <v>WA</v>
      </c>
      <c r="R1726" s="5" t="str">
        <f ca="1">IFERROR(__xludf.DUMMYFUNCTION("""COMPUTED_VALUE"""),"Middle")</f>
        <v>Middle</v>
      </c>
      <c r="S1726" s="5" t="str">
        <f ca="1">IFERROR(__xludf.DUMMYFUNCTION("""COMPUTED_VALUE"""),"Classroom")</f>
        <v>Classroom</v>
      </c>
      <c r="T1726" s="5" t="str">
        <f ca="1">IFERROR(__xludf.DUMMYFUNCTION("""COMPUTED_VALUE"""),"Inside School Building")</f>
        <v>Inside School Building</v>
      </c>
      <c r="U1726" s="5" t="str">
        <f ca="1">IFERROR(__xludf.DUMMYFUNCTION("""COMPUTED_VALUE"""),"Yes")</f>
        <v>Yes</v>
      </c>
      <c r="V1726" s="5" t="str">
        <f ca="1">IFERROR(__xludf.DUMMYFUNCTION("""COMPUTED_VALUE"""),"Afternoon Classes")</f>
        <v>Afternoon Classes</v>
      </c>
      <c r="W1726" s="5"/>
      <c r="X1726" s="5"/>
      <c r="Y1726" s="5" t="str">
        <f ca="1">IFERROR(__xludf.DUMMYFUNCTION("""COMPUTED_VALUE"""),"Student dressed as cowboy planned attack/hostages; subdued by teacher")</f>
        <v>Student dressed as cowboy planned attack/hostages; subdued by teacher</v>
      </c>
      <c r="Z1726" s="5" t="str">
        <f ca="1">IFERROR(__xludf.DUMMYFUNCTION("""COMPUTED_VALUE"""),"Shooter was dressed as a cowboy with rifle and two pistols. Walked into classroom and shot the teacher and three students. He took the other students hostage and planned use them to escape. Shooter was tackled by another teacher allowing the students to e"&amp;"scape and held until police arrived. Shooter had planned the shooting and made references to Pearl Jam song about commiting suicide at school, Stephen King book Rage, and the movie Natural Born Killers. Shooter said he tried to model himself after the cha"&amp;"racter in Rage who kills a teacher and two students. Shooting happened during 5th period algebra class. Shooter used a .30-30 rifle, 0.357 Magnum revolver, and .25 ACP pistol")</f>
        <v>Shooter was dressed as a cowboy with rifle and two pistols. Walked into classroom and shot the teacher and three students. He took the other students hostage and planned use them to escape. Shooter was tackled by another teacher allowing the students to escape and held until police arrived. Shooter had planned the shooting and made references to Pearl Jam song about commiting suicide at school, Stephen King book Rage, and the movie Natural Born Killers. Shooter said he tried to model himself after the character in Rage who kills a teacher and two students. Shooting happened during 5th period algebra class. Shooter used a .30-30 rifle, 0.357 Magnum revolver, and .25 ACP pistol</v>
      </c>
      <c r="AA1726" s="5" t="str">
        <f ca="1">IFERROR(__xludf.DUMMYFUNCTION("""COMPUTED_VALUE"""),"Hostage/Standoff")</f>
        <v>Hostage/Standoff</v>
      </c>
      <c r="AB1726" s="5" t="str">
        <f ca="1">IFERROR(__xludf.DUMMYFUNCTION("""COMPUTED_VALUE"""),"Both")</f>
        <v>Both</v>
      </c>
      <c r="AC1726" s="5" t="str">
        <f ca="1">IFERROR(__xludf.DUMMYFUNCTION("""COMPUTED_VALUE"""),"No")</f>
        <v>No</v>
      </c>
      <c r="AD1726" s="5" t="str">
        <f ca="1">IFERROR(__xludf.DUMMYFUNCTION("""COMPUTED_VALUE"""),"Yes")</f>
        <v>Yes</v>
      </c>
      <c r="AE1726" s="5" t="str">
        <f ca="1">IFERROR(__xludf.DUMMYFUNCTION("""COMPUTED_VALUE"""),"No")</f>
        <v>No</v>
      </c>
      <c r="AF1726" s="5" t="str">
        <f ca="1">IFERROR(__xludf.DUMMYFUNCTION("""COMPUTED_VALUE"""),"No")</f>
        <v>No</v>
      </c>
      <c r="AG1726" s="5" t="str">
        <f ca="1">IFERROR(__xludf.DUMMYFUNCTION("""COMPUTED_VALUE"""),"Yes")</f>
        <v>Yes</v>
      </c>
      <c r="AH1726" s="5" t="str">
        <f ca="1">IFERROR(__xludf.DUMMYFUNCTION("""COMPUTED_VALUE"""),"Yes")</f>
        <v>Yes</v>
      </c>
      <c r="AI1726" s="5" t="str">
        <f ca="1">IFERROR(__xludf.DUMMYFUNCTION("""COMPUTED_VALUE"""),"No")</f>
        <v>No</v>
      </c>
      <c r="AJ1726" s="5" t="str">
        <f ca="1">IFERROR(__xludf.DUMMYFUNCTION("""COMPUTED_VALUE"""),"Yes")</f>
        <v>Yes</v>
      </c>
    </row>
    <row r="1727" spans="1:36" ht="13">
      <c r="A1727" s="5" t="str">
        <f ca="1">IFERROR(__xludf.DUMMYFUNCTION("""COMPUTED_VALUE"""),"19960126TNEAM")</f>
        <v>19960126TNEAM</v>
      </c>
      <c r="B1727" s="5">
        <f ca="1">IFERROR(__xludf.DUMMYFUNCTION("""COMPUTED_VALUE"""),1)</f>
        <v>1</v>
      </c>
      <c r="C1727" s="5">
        <f ca="1">IFERROR(__xludf.DUMMYFUNCTION("""COMPUTED_VALUE"""),26)</f>
        <v>26</v>
      </c>
      <c r="D1727" s="5">
        <f ca="1">IFERROR(__xludf.DUMMYFUNCTION("""COMPUTED_VALUE"""),1996)</f>
        <v>1996</v>
      </c>
      <c r="E1727" s="8">
        <f ca="1">IFERROR(__xludf.DUMMYFUNCTION("""COMPUTED_VALUE"""),35090)</f>
        <v>35090</v>
      </c>
      <c r="F1727" s="5" t="str">
        <f ca="1">IFERROR(__xludf.DUMMYFUNCTION("""COMPUTED_VALUE"""),"East High School")</f>
        <v>East High School</v>
      </c>
      <c r="G1727" s="5">
        <f ca="1">IFERROR(__xludf.DUMMYFUNCTION("""COMPUTED_VALUE"""),1)</f>
        <v>1</v>
      </c>
      <c r="H1727" s="5">
        <f ca="1">IFERROR(__xludf.DUMMYFUNCTION("""COMPUTED_VALUE"""),0)</f>
        <v>0</v>
      </c>
      <c r="I1727" s="5">
        <f ca="1">IFERROR(__xludf.DUMMYFUNCTION("""COMPUTED_VALUE"""),1)</f>
        <v>1</v>
      </c>
      <c r="J1727" s="5">
        <f ca="1">IFERROR(__xludf.DUMMYFUNCTION("""COMPUTED_VALUE"""),0)</f>
        <v>0</v>
      </c>
      <c r="K1727" s="5" t="str">
        <f ca="1">IFERROR(__xludf.DUMMYFUNCTION("""COMPUTED_VALUE"""),"https://www.columbine-angels.com/School_Violence_1995-1996.htm https://www.psychceu.com/school_violence/savd.pdf http://www.easthigh.org/fullhist.html")</f>
        <v>https://www.columbine-angels.com/School_Violence_1995-1996.htm https://www.psychceu.com/school_violence/savd.pdf http://www.easthigh.org/fullhist.html</v>
      </c>
      <c r="L1727" s="5"/>
      <c r="M1727" s="5"/>
      <c r="N1727" s="5">
        <f ca="1">IFERROR(__xludf.DUMMYFUNCTION("""COMPUTED_VALUE"""),2)</f>
        <v>2</v>
      </c>
      <c r="O1727" s="5" t="str">
        <f ca="1">IFERROR(__xludf.DUMMYFUNCTION("""COMPUTED_VALUE"""),"Winter")</f>
        <v>Winter</v>
      </c>
      <c r="P1727" s="5" t="str">
        <f ca="1">IFERROR(__xludf.DUMMYFUNCTION("""COMPUTED_VALUE"""),"Memphis")</f>
        <v>Memphis</v>
      </c>
      <c r="Q1727" s="5" t="str">
        <f ca="1">IFERROR(__xludf.DUMMYFUNCTION("""COMPUTED_VALUE"""),"TN")</f>
        <v>TN</v>
      </c>
      <c r="R1727" s="5" t="str">
        <f ca="1">IFERROR(__xludf.DUMMYFUNCTION("""COMPUTED_VALUE"""),"High")</f>
        <v>High</v>
      </c>
      <c r="S1727" s="5" t="str">
        <f ca="1">IFERROR(__xludf.DUMMYFUNCTION("""COMPUTED_VALUE"""),"Parking Lot")</f>
        <v>Parking Lot</v>
      </c>
      <c r="T1727" s="5" t="str">
        <f ca="1">IFERROR(__xludf.DUMMYFUNCTION("""COMPUTED_VALUE"""),"Outside on School Property")</f>
        <v>Outside on School Property</v>
      </c>
      <c r="U1727" s="5" t="str">
        <f ca="1">IFERROR(__xludf.DUMMYFUNCTION("""COMPUTED_VALUE"""),"No")</f>
        <v>No</v>
      </c>
      <c r="V1727" s="5" t="str">
        <f ca="1">IFERROR(__xludf.DUMMYFUNCTION("""COMPUTED_VALUE"""),"Sport Event")</f>
        <v>Sport Event</v>
      </c>
      <c r="W1727" s="10">
        <f ca="1">IFERROR(__xludf.DUMMYFUNCTION("""COMPUTED_VALUE"""),0.90625)</f>
        <v>0.90625</v>
      </c>
      <c r="X1727" s="5">
        <f ca="1">IFERROR(__xludf.DUMMYFUNCTION("""COMPUTED_VALUE"""),1)</f>
        <v>1</v>
      </c>
      <c r="Y1727" s="5" t="str">
        <f ca="1">IFERROR(__xludf.DUMMYFUNCTION("""COMPUTED_VALUE"""),"Shot while trying to break up fight after basketball game")</f>
        <v>Shot while trying to break up fight after basketball game</v>
      </c>
      <c r="Z1727" s="5" t="str">
        <f ca="1">IFERROR(__xludf.DUMMYFUNCTION("""COMPUTED_VALUE"""),"Victim tried to break up a fight between several women around 9:45 pm after a basketball game. Victim was shot and killed by unknown shooter.")</f>
        <v>Victim tried to break up a fight between several women around 9:45 pm after a basketball game. Victim was shot and killed by unknown shooter.</v>
      </c>
      <c r="AA1727" s="5" t="str">
        <f ca="1">IFERROR(__xludf.DUMMYFUNCTION("""COMPUTED_VALUE"""),"Escalation of Dispute")</f>
        <v>Escalation of Dispute</v>
      </c>
      <c r="AB1727" s="5" t="str">
        <f ca="1">IFERROR(__xludf.DUMMYFUNCTION("""COMPUTED_VALUE"""),"Random Shooting")</f>
        <v>Random Shooting</v>
      </c>
      <c r="AC1727" s="5" t="str">
        <f ca="1">IFERROR(__xludf.DUMMYFUNCTION("""COMPUTED_VALUE"""),"No")</f>
        <v>No</v>
      </c>
      <c r="AD1727" s="5" t="str">
        <f ca="1">IFERROR(__xludf.DUMMYFUNCTION("""COMPUTED_VALUE"""),"No")</f>
        <v>No</v>
      </c>
      <c r="AE1727" s="5" t="str">
        <f ca="1">IFERROR(__xludf.DUMMYFUNCTION("""COMPUTED_VALUE"""),"No")</f>
        <v>No</v>
      </c>
      <c r="AF1727" s="5" t="str">
        <f ca="1">IFERROR(__xludf.DUMMYFUNCTION("""COMPUTED_VALUE"""),"No")</f>
        <v>No</v>
      </c>
      <c r="AG1727" s="5" t="str">
        <f ca="1">IFERROR(__xludf.DUMMYFUNCTION("""COMPUTED_VALUE"""),"No")</f>
        <v>No</v>
      </c>
      <c r="AH1727" s="5" t="str">
        <f ca="1">IFERROR(__xludf.DUMMYFUNCTION("""COMPUTED_VALUE"""),"No")</f>
        <v>No</v>
      </c>
      <c r="AI1727" s="5" t="str">
        <f ca="1">IFERROR(__xludf.DUMMYFUNCTION("""COMPUTED_VALUE"""),"No")</f>
        <v>No</v>
      </c>
      <c r="AJ1727" s="5"/>
    </row>
    <row r="1728" spans="1:36" ht="13">
      <c r="A1728" s="5" t="str">
        <f ca="1">IFERROR(__xludf.DUMMYFUNCTION("""COMPUTED_VALUE"""),"19960119DCWIW")</f>
        <v>19960119DCWIW</v>
      </c>
      <c r="B1728" s="5">
        <f ca="1">IFERROR(__xludf.DUMMYFUNCTION("""COMPUTED_VALUE"""),1)</f>
        <v>1</v>
      </c>
      <c r="C1728" s="5">
        <f ca="1">IFERROR(__xludf.DUMMYFUNCTION("""COMPUTED_VALUE"""),19)</f>
        <v>19</v>
      </c>
      <c r="D1728" s="5">
        <f ca="1">IFERROR(__xludf.DUMMYFUNCTION("""COMPUTED_VALUE"""),1996)</f>
        <v>1996</v>
      </c>
      <c r="E1728" s="8">
        <f ca="1">IFERROR(__xludf.DUMMYFUNCTION("""COMPUTED_VALUE"""),35083)</f>
        <v>35083</v>
      </c>
      <c r="F1728" s="5" t="str">
        <f ca="1">IFERROR(__xludf.DUMMYFUNCTION("""COMPUTED_VALUE"""),"Winston Education Center")</f>
        <v>Winston Education Center</v>
      </c>
      <c r="G1728" s="5">
        <f ca="1">IFERROR(__xludf.DUMMYFUNCTION("""COMPUTED_VALUE"""),1)</f>
        <v>1</v>
      </c>
      <c r="H1728" s="5">
        <f ca="1">IFERROR(__xludf.DUMMYFUNCTION("""COMPUTED_VALUE"""),0)</f>
        <v>0</v>
      </c>
      <c r="I1728" s="5">
        <f ca="1">IFERROR(__xludf.DUMMYFUNCTION("""COMPUTED_VALUE"""),1)</f>
        <v>1</v>
      </c>
      <c r="J1728" s="5">
        <f ca="1">IFERROR(__xludf.DUMMYFUNCTION("""COMPUTED_VALUE"""),0)</f>
        <v>0</v>
      </c>
      <c r="K1728" s="5" t="str">
        <f ca="1">IFERROR(__xludf.DUMMYFUNCTION("""COMPUTED_VALUE"""),"https://www.washingtonpost.com/archive/local/1997/06/25/teen-convicted-of-fatally-shooting-boy-at-dc-school/097c0f6e-0e54-42ef-93b4-64c4c8a8cbbd/?utm_term=.27f0b555fa39 https://www.psychceu.com/school_violence/savd.pdf")</f>
        <v>https://www.washingtonpost.com/archive/local/1997/06/25/teen-convicted-of-fatally-shooting-boy-at-dc-school/097c0f6e-0e54-42ef-93b4-64c4c8a8cbbd/?utm_term=.27f0b555fa39 https://www.psychceu.com/school_violence/savd.pdf</v>
      </c>
      <c r="L1728" s="5"/>
      <c r="M1728" s="5"/>
      <c r="N1728" s="5">
        <f ca="1">IFERROR(__xludf.DUMMYFUNCTION("""COMPUTED_VALUE"""),2)</f>
        <v>2</v>
      </c>
      <c r="O1728" s="5" t="str">
        <f ca="1">IFERROR(__xludf.DUMMYFUNCTION("""COMPUTED_VALUE"""),"Winter")</f>
        <v>Winter</v>
      </c>
      <c r="P1728" s="5" t="str">
        <f ca="1">IFERROR(__xludf.DUMMYFUNCTION("""COMPUTED_VALUE"""),"Washington")</f>
        <v>Washington</v>
      </c>
      <c r="Q1728" s="5" t="str">
        <f ca="1">IFERROR(__xludf.DUMMYFUNCTION("""COMPUTED_VALUE"""),"DC")</f>
        <v>DC</v>
      </c>
      <c r="R1728" s="5" t="str">
        <f ca="1">IFERROR(__xludf.DUMMYFUNCTION("""COMPUTED_VALUE"""),"K-8")</f>
        <v>K-8</v>
      </c>
      <c r="S1728" s="5" t="str">
        <f ca="1">IFERROR(__xludf.DUMMYFUNCTION("""COMPUTED_VALUE"""),"Other")</f>
        <v>Other</v>
      </c>
      <c r="T1728" s="5" t="str">
        <f ca="1">IFERROR(__xludf.DUMMYFUNCTION("""COMPUTED_VALUE"""),"Inside School Building")</f>
        <v>Inside School Building</v>
      </c>
      <c r="U1728" s="5" t="str">
        <f ca="1">IFERROR(__xludf.DUMMYFUNCTION("""COMPUTED_VALUE"""),"Yes")</f>
        <v>Yes</v>
      </c>
      <c r="V1728" s="5" t="str">
        <f ca="1">IFERROR(__xludf.DUMMYFUNCTION("""COMPUTED_VALUE"""),"Dismissal")</f>
        <v>Dismissal</v>
      </c>
      <c r="W1728" s="5"/>
      <c r="X1728" s="5">
        <f ca="1">IFERROR(__xludf.DUMMYFUNCTION("""COMPUTED_VALUE"""),1)</f>
        <v>1</v>
      </c>
      <c r="Y1728" s="5" t="str">
        <f ca="1">IFERROR(__xludf.DUMMYFUNCTION("""COMPUTED_VALUE"""),"Shot fired during a chase between non-students inside school, hit bystander victim")</f>
        <v>Shot fired during a chase between non-students inside school, hit bystander victim</v>
      </c>
      <c r="Z1728" s="5" t="str">
        <f ca="1">IFERROR(__xludf.DUMMYFUNCTION("""COMPUTED_VALUE"""),"Victim was a 14 year-old bystander, picking up a 5 year-old cousin in kindergarten at the school after school dismissal. A conflict stemming from an existing dispute between the shooter and the intended target (an unarmed 16 year-old boy) occurred outside"&amp;" the school. The shooter chased the victim from outside into school and fired a shot inside the school that grazed the 16 year-old being pursued and fatally hit an unintended victim instead.")</f>
        <v>Victim was a 14 year-old bystander, picking up a 5 year-old cousin in kindergarten at the school after school dismissal. A conflict stemming from an existing dispute between the shooter and the intended target (an unarmed 16 year-old boy) occurred outside the school. The shooter chased the victim from outside into school and fired a shot inside the school that grazed the 16 year-old being pursued and fatally hit an unintended victim instead.</v>
      </c>
      <c r="AA1728" s="5" t="str">
        <f ca="1">IFERROR(__xludf.DUMMYFUNCTION("""COMPUTED_VALUE"""),"Escalation of Dispute")</f>
        <v>Escalation of Dispute</v>
      </c>
      <c r="AB1728" s="5" t="str">
        <f ca="1">IFERROR(__xludf.DUMMYFUNCTION("""COMPUTED_VALUE"""),"Victims Targeted")</f>
        <v>Victims Targeted</v>
      </c>
      <c r="AC1728" s="5" t="str">
        <f ca="1">IFERROR(__xludf.DUMMYFUNCTION("""COMPUTED_VALUE"""),"Yes")</f>
        <v>Yes</v>
      </c>
      <c r="AD1728" s="5" t="str">
        <f ca="1">IFERROR(__xludf.DUMMYFUNCTION("""COMPUTED_VALUE"""),"No")</f>
        <v>No</v>
      </c>
      <c r="AE1728" s="5" t="str">
        <f ca="1">IFERROR(__xludf.DUMMYFUNCTION("""COMPUTED_VALUE"""),"No")</f>
        <v>No</v>
      </c>
      <c r="AF1728" s="5" t="str">
        <f ca="1">IFERROR(__xludf.DUMMYFUNCTION("""COMPUTED_VALUE"""),"No")</f>
        <v>No</v>
      </c>
      <c r="AG1728" s="5" t="str">
        <f ca="1">IFERROR(__xludf.DUMMYFUNCTION("""COMPUTED_VALUE"""),"No")</f>
        <v>No</v>
      </c>
      <c r="AH1728" s="5" t="str">
        <f ca="1">IFERROR(__xludf.DUMMYFUNCTION("""COMPUTED_VALUE"""),"No")</f>
        <v>No</v>
      </c>
      <c r="AI1728" s="5" t="str">
        <f ca="1">IFERROR(__xludf.DUMMYFUNCTION("""COMPUTED_VALUE"""),"No")</f>
        <v>No</v>
      </c>
      <c r="AJ1728" s="5" t="str">
        <f ca="1">IFERROR(__xludf.DUMMYFUNCTION("""COMPUTED_VALUE"""),"No")</f>
        <v>No</v>
      </c>
    </row>
    <row r="1729" spans="1:36" ht="13">
      <c r="A1729" s="5" t="str">
        <f ca="1">IFERROR(__xludf.DUMMYFUNCTION("""COMPUTED_VALUE"""),"19960102PAGIG")</f>
        <v>19960102PAGIG</v>
      </c>
      <c r="B1729" s="5">
        <f ca="1">IFERROR(__xludf.DUMMYFUNCTION("""COMPUTED_VALUE"""),1)</f>
        <v>1</v>
      </c>
      <c r="C1729" s="5">
        <f ca="1">IFERROR(__xludf.DUMMYFUNCTION("""COMPUTED_VALUE"""),2)</f>
        <v>2</v>
      </c>
      <c r="D1729" s="5">
        <f ca="1">IFERROR(__xludf.DUMMYFUNCTION("""COMPUTED_VALUE"""),1996)</f>
        <v>1996</v>
      </c>
      <c r="E1729" s="8">
        <f ca="1">IFERROR(__xludf.DUMMYFUNCTION("""COMPUTED_VALUE"""),35066)</f>
        <v>35066</v>
      </c>
      <c r="F1729" s="5" t="str">
        <f ca="1">IFERROR(__xludf.DUMMYFUNCTION("""COMPUTED_VALUE"""),"Girard High School")</f>
        <v>Girard High School</v>
      </c>
      <c r="G1729" s="5">
        <f ca="1">IFERROR(__xludf.DUMMYFUNCTION("""COMPUTED_VALUE"""),0)</f>
        <v>0</v>
      </c>
      <c r="H1729" s="5">
        <f ca="1">IFERROR(__xludf.DUMMYFUNCTION("""COMPUTED_VALUE"""),0)</f>
        <v>0</v>
      </c>
      <c r="I1729" s="5">
        <f ca="1">IFERROR(__xludf.DUMMYFUNCTION("""COMPUTED_VALUE"""),0)</f>
        <v>0</v>
      </c>
      <c r="J1729" s="5">
        <f ca="1">IFERROR(__xludf.DUMMYFUNCTION("""COMPUTED_VALUE"""),1)</f>
        <v>1</v>
      </c>
      <c r="K1729" s="5" t="str">
        <f ca="1">IFERROR(__xludf.DUMMYFUNCTION("""COMPUTED_VALUE"""),"https://www.columbine-angels.com/School_Violence_1995-1996.htm  https://www.psychceu.com/school_violence/savd.pdf")</f>
        <v>https://www.columbine-angels.com/School_Violence_1995-1996.htm  https://www.psychceu.com/school_violence/savd.pdf</v>
      </c>
      <c r="L1729" s="5"/>
      <c r="M1729" s="5"/>
      <c r="N1729" s="5">
        <f ca="1">IFERROR(__xludf.DUMMYFUNCTION("""COMPUTED_VALUE"""),1)</f>
        <v>1</v>
      </c>
      <c r="O1729" s="5" t="str">
        <f ca="1">IFERROR(__xludf.DUMMYFUNCTION("""COMPUTED_VALUE"""),"Winter")</f>
        <v>Winter</v>
      </c>
      <c r="P1729" s="5" t="str">
        <f ca="1">IFERROR(__xludf.DUMMYFUNCTION("""COMPUTED_VALUE"""),"Girard")</f>
        <v>Girard</v>
      </c>
      <c r="Q1729" s="5" t="str">
        <f ca="1">IFERROR(__xludf.DUMMYFUNCTION("""COMPUTED_VALUE"""),"PA")</f>
        <v>PA</v>
      </c>
      <c r="R1729" s="5" t="str">
        <f ca="1">IFERROR(__xludf.DUMMYFUNCTION("""COMPUTED_VALUE"""),"High")</f>
        <v>High</v>
      </c>
      <c r="S1729" s="5" t="str">
        <f ca="1">IFERROR(__xludf.DUMMYFUNCTION("""COMPUTED_VALUE"""),"Hallway")</f>
        <v>Hallway</v>
      </c>
      <c r="T1729" s="5" t="str">
        <f ca="1">IFERROR(__xludf.DUMMYFUNCTION("""COMPUTED_VALUE"""),"Inside School Building")</f>
        <v>Inside School Building</v>
      </c>
      <c r="U1729" s="5"/>
      <c r="V1729" s="5"/>
      <c r="W1729" s="5"/>
      <c r="X1729" s="5">
        <f ca="1">IFERROR(__xludf.DUMMYFUNCTION("""COMPUTED_VALUE"""),1)</f>
        <v>1</v>
      </c>
      <c r="Y1729" s="5" t="str">
        <f ca="1">IFERROR(__xludf.DUMMYFUNCTION("""COMPUTED_VALUE"""),"Commit suicide in school hallway")</f>
        <v>Commit suicide in school hallway</v>
      </c>
      <c r="Z1729" s="5" t="str">
        <f ca="1">IFERROR(__xludf.DUMMYFUNCTION("""COMPUTED_VALUE"""),"16 year-old male student committed suicide in school hallway by shooting himself in the head. No other details available.")</f>
        <v>16 year-old male student committed suicide in school hallway by shooting himself in the head. No other details available.</v>
      </c>
      <c r="AA1729" s="5" t="str">
        <f ca="1">IFERROR(__xludf.DUMMYFUNCTION("""COMPUTED_VALUE"""),"Suicide/Attempted")</f>
        <v>Suicide/Attempted</v>
      </c>
      <c r="AB1729" s="5" t="str">
        <f ca="1">IFERROR(__xludf.DUMMYFUNCTION("""COMPUTED_VALUE"""),"Victims Targeted")</f>
        <v>Victims Targeted</v>
      </c>
      <c r="AC1729" s="5" t="str">
        <f ca="1">IFERROR(__xludf.DUMMYFUNCTION("""COMPUTED_VALUE"""),"No")</f>
        <v>No</v>
      </c>
      <c r="AD1729" s="5" t="str">
        <f ca="1">IFERROR(__xludf.DUMMYFUNCTION("""COMPUTED_VALUE"""),"No")</f>
        <v>No</v>
      </c>
      <c r="AE1729" s="5" t="str">
        <f ca="1">IFERROR(__xludf.DUMMYFUNCTION("""COMPUTED_VALUE"""),"N/A")</f>
        <v>N/A</v>
      </c>
      <c r="AF1729" s="5" t="str">
        <f ca="1">IFERROR(__xludf.DUMMYFUNCTION("""COMPUTED_VALUE"""),"No")</f>
        <v>No</v>
      </c>
      <c r="AG1729" s="5"/>
      <c r="AH1729" s="5"/>
      <c r="AI1729" s="5"/>
      <c r="AJ1729" s="5" t="str">
        <f ca="1">IFERROR(__xludf.DUMMYFUNCTION("""COMPUTED_VALUE"""),"No")</f>
        <v>No</v>
      </c>
    </row>
    <row r="1730" spans="1:36" ht="13">
      <c r="A1730" s="5" t="str">
        <f ca="1">IFERROR(__xludf.DUMMYFUNCTION("""COMPUTED_VALUE"""),"19951128NYTHN")</f>
        <v>19951128NYTHN</v>
      </c>
      <c r="B1730" s="5">
        <f ca="1">IFERROR(__xludf.DUMMYFUNCTION("""COMPUTED_VALUE"""),11)</f>
        <v>11</v>
      </c>
      <c r="C1730" s="5">
        <f ca="1">IFERROR(__xludf.DUMMYFUNCTION("""COMPUTED_VALUE"""),28)</f>
        <v>28</v>
      </c>
      <c r="D1730" s="5">
        <f ca="1">IFERROR(__xludf.DUMMYFUNCTION("""COMPUTED_VALUE"""),1995)</f>
        <v>1995</v>
      </c>
      <c r="E1730" s="8">
        <f ca="1">IFERROR(__xludf.DUMMYFUNCTION("""COMPUTED_VALUE"""),35031)</f>
        <v>35031</v>
      </c>
      <c r="F1730" s="5" t="str">
        <f ca="1">IFERROR(__xludf.DUMMYFUNCTION("""COMPUTED_VALUE"""),"Thomas A. Edison Vocational and Technical High School")</f>
        <v>Thomas A. Edison Vocational and Technical High School</v>
      </c>
      <c r="G1730" s="5">
        <f ca="1">IFERROR(__xludf.DUMMYFUNCTION("""COMPUTED_VALUE"""),1)</f>
        <v>1</v>
      </c>
      <c r="H1730" s="5">
        <f ca="1">IFERROR(__xludf.DUMMYFUNCTION("""COMPUTED_VALUE"""),0)</f>
        <v>0</v>
      </c>
      <c r="I1730" s="5">
        <f ca="1">IFERROR(__xludf.DUMMYFUNCTION("""COMPUTED_VALUE"""),1)</f>
        <v>1</v>
      </c>
      <c r="J1730" s="5">
        <f ca="1">IFERROR(__xludf.DUMMYFUNCTION("""COMPUTED_VALUE"""),0)</f>
        <v>0</v>
      </c>
      <c r="K1730" s="5" t="str">
        <f ca="1">IFERROR(__xludf.DUMMYFUNCTION("""COMPUTED_VALUE"""),"https://www.nytimes.com/1995/11/29/nyregion/student-17-is-killed-after-leaving-school-in-queens.html http://www.columbine-angels.com/School_Violence_1995-1996.htm")</f>
        <v>https://www.nytimes.com/1995/11/29/nyregion/student-17-is-killed-after-leaving-school-in-queens.html http://www.columbine-angels.com/School_Violence_1995-1996.htm</v>
      </c>
      <c r="L1730" s="5"/>
      <c r="M1730" s="5"/>
      <c r="N1730" s="5">
        <f ca="1">IFERROR(__xludf.DUMMYFUNCTION("""COMPUTED_VALUE"""),2)</f>
        <v>2</v>
      </c>
      <c r="O1730" s="5" t="str">
        <f ca="1">IFERROR(__xludf.DUMMYFUNCTION("""COMPUTED_VALUE"""),"Fall")</f>
        <v>Fall</v>
      </c>
      <c r="P1730" s="5" t="str">
        <f ca="1">IFERROR(__xludf.DUMMYFUNCTION("""COMPUTED_VALUE"""),"New York")</f>
        <v>New York</v>
      </c>
      <c r="Q1730" s="5" t="str">
        <f ca="1">IFERROR(__xludf.DUMMYFUNCTION("""COMPUTED_VALUE"""),"NY")</f>
        <v>NY</v>
      </c>
      <c r="R1730" s="5" t="str">
        <f ca="1">IFERROR(__xludf.DUMMYFUNCTION("""COMPUTED_VALUE"""),"High")</f>
        <v>High</v>
      </c>
      <c r="S1730" s="5" t="str">
        <f ca="1">IFERROR(__xludf.DUMMYFUNCTION("""COMPUTED_VALUE"""),"Parking Lot")</f>
        <v>Parking Lot</v>
      </c>
      <c r="T1730" s="5" t="str">
        <f ca="1">IFERROR(__xludf.DUMMYFUNCTION("""COMPUTED_VALUE"""),"Outside on School Property")</f>
        <v>Outside on School Property</v>
      </c>
      <c r="U1730" s="5" t="str">
        <f ca="1">IFERROR(__xludf.DUMMYFUNCTION("""COMPUTED_VALUE"""),"Yes")</f>
        <v>Yes</v>
      </c>
      <c r="V1730" s="5" t="str">
        <f ca="1">IFERROR(__xludf.DUMMYFUNCTION("""COMPUTED_VALUE"""),"Morning Classes")</f>
        <v>Morning Classes</v>
      </c>
      <c r="W1730" s="10">
        <f ca="1">IFERROR(__xludf.DUMMYFUNCTION("""COMPUTED_VALUE"""),0.479166666666666)</f>
        <v>0.47916666666666602</v>
      </c>
      <c r="X1730" s="5">
        <f ca="1">IFERROR(__xludf.DUMMYFUNCTION("""COMPUTED_VALUE"""),1)</f>
        <v>1</v>
      </c>
      <c r="Y1730" s="5" t="str">
        <f ca="1">IFERROR(__xludf.DUMMYFUNCTION("""COMPUTED_VALUE"""),"Three suspects pursued victim and shot during robbery for his gold chain.")</f>
        <v>Three suspects pursued victim and shot during robbery for his gold chain.</v>
      </c>
      <c r="Z1730" s="5" t="str">
        <f ca="1">IFERROR(__xludf.DUMMYFUNCTION("""COMPUTED_VALUE"""),"Victim left school without permission Three suspects got out of their car and approached the victim outside of the school and asked him to give them his gold chain. The suspect refused. When one suspect pulled out a .225 pistol and another suspect pulled "&amp;"out a bottle, the victim fled and the three suspects followed. One of the suspects shot him three times then they all fled the scene.")</f>
        <v>Victim left school without permission Three suspects got out of their car and approached the victim outside of the school and asked him to give them his gold chain. The suspect refused. When one suspect pulled out a .225 pistol and another suspect pulled out a bottle, the victim fled and the three suspects followed. One of the suspects shot him three times then they all fled the scene.</v>
      </c>
      <c r="AA1730" s="5" t="str">
        <f ca="1">IFERROR(__xludf.DUMMYFUNCTION("""COMPUTED_VALUE"""),"Illegal Activity")</f>
        <v>Illegal Activity</v>
      </c>
      <c r="AB1730" s="5" t="str">
        <f ca="1">IFERROR(__xludf.DUMMYFUNCTION("""COMPUTED_VALUE"""),"Victims Targeted")</f>
        <v>Victims Targeted</v>
      </c>
      <c r="AC1730" s="5" t="str">
        <f ca="1">IFERROR(__xludf.DUMMYFUNCTION("""COMPUTED_VALUE"""),"Yes")</f>
        <v>Yes</v>
      </c>
      <c r="AD1730" s="5" t="str">
        <f ca="1">IFERROR(__xludf.DUMMYFUNCTION("""COMPUTED_VALUE"""),"No")</f>
        <v>No</v>
      </c>
      <c r="AE1730" s="5" t="str">
        <f ca="1">IFERROR(__xludf.DUMMYFUNCTION("""COMPUTED_VALUE"""),"No")</f>
        <v>No</v>
      </c>
      <c r="AF1730" s="5" t="str">
        <f ca="1">IFERROR(__xludf.DUMMYFUNCTION("""COMPUTED_VALUE"""),"No")</f>
        <v>No</v>
      </c>
      <c r="AG1730" s="5" t="str">
        <f ca="1">IFERROR(__xludf.DUMMYFUNCTION("""COMPUTED_VALUE"""),"No")</f>
        <v>No</v>
      </c>
      <c r="AH1730" s="5" t="str">
        <f ca="1">IFERROR(__xludf.DUMMYFUNCTION("""COMPUTED_VALUE"""),"No")</f>
        <v>No</v>
      </c>
      <c r="AI1730" s="5" t="str">
        <f ca="1">IFERROR(__xludf.DUMMYFUNCTION("""COMPUTED_VALUE"""),"No")</f>
        <v>No</v>
      </c>
      <c r="AJ1730" s="5"/>
    </row>
    <row r="1731" spans="1:36" ht="13">
      <c r="A1731" s="5" t="str">
        <f ca="1">IFERROR(__xludf.DUMMYFUNCTION("""COMPUTED_VALUE"""),"19951115TNRIL")</f>
        <v>19951115TNRIL</v>
      </c>
      <c r="B1731" s="5">
        <f ca="1">IFERROR(__xludf.DUMMYFUNCTION("""COMPUTED_VALUE"""),11)</f>
        <v>11</v>
      </c>
      <c r="C1731" s="5">
        <f ca="1">IFERROR(__xludf.DUMMYFUNCTION("""COMPUTED_VALUE"""),15)</f>
        <v>15</v>
      </c>
      <c r="D1731" s="5">
        <f ca="1">IFERROR(__xludf.DUMMYFUNCTION("""COMPUTED_VALUE"""),1995)</f>
        <v>1995</v>
      </c>
      <c r="E1731" s="8">
        <f ca="1">IFERROR(__xludf.DUMMYFUNCTION("""COMPUTED_VALUE"""),35018)</f>
        <v>35018</v>
      </c>
      <c r="F1731" s="5" t="str">
        <f ca="1">IFERROR(__xludf.DUMMYFUNCTION("""COMPUTED_VALUE"""),"Richland High School")</f>
        <v>Richland High School</v>
      </c>
      <c r="G1731" s="5">
        <f ca="1">IFERROR(__xludf.DUMMYFUNCTION("""COMPUTED_VALUE"""),2)</f>
        <v>2</v>
      </c>
      <c r="H1731" s="5">
        <f ca="1">IFERROR(__xludf.DUMMYFUNCTION("""COMPUTED_VALUE"""),1)</f>
        <v>1</v>
      </c>
      <c r="I1731" s="5">
        <f ca="1">IFERROR(__xludf.DUMMYFUNCTION("""COMPUTED_VALUE"""),3)</f>
        <v>3</v>
      </c>
      <c r="J1731" s="5">
        <f ca="1">IFERROR(__xludf.DUMMYFUNCTION("""COMPUTED_VALUE"""),0)</f>
        <v>0</v>
      </c>
      <c r="K1731" s="5" t="str">
        <f ca="1">IFERROR(__xludf.DUMMYFUNCTION("""COMPUTED_VALUE"""),"https://www.cbsnews.com/news/the-mind-of-a-school-shooter/ https://apnews.com/6adb7feb0f91c42d98a43011bf6f5eee https://www.nytimes.com/1995/11/16/us/student-held-after-2-die-in-shooting-at-school.html")</f>
        <v>https://www.cbsnews.com/news/the-mind-of-a-school-shooter/ https://apnews.com/6adb7feb0f91c42d98a43011bf6f5eee https://www.nytimes.com/1995/11/16/us/student-held-after-2-die-in-shooting-at-school.html</v>
      </c>
      <c r="L1731" s="5"/>
      <c r="M1731" s="5"/>
      <c r="N1731" s="5">
        <f ca="1">IFERROR(__xludf.DUMMYFUNCTION("""COMPUTED_VALUE"""),2)</f>
        <v>2</v>
      </c>
      <c r="O1731" s="5" t="str">
        <f ca="1">IFERROR(__xludf.DUMMYFUNCTION("""COMPUTED_VALUE"""),"Fall")</f>
        <v>Fall</v>
      </c>
      <c r="P1731" s="5" t="str">
        <f ca="1">IFERROR(__xludf.DUMMYFUNCTION("""COMPUTED_VALUE"""),"Lynnville")</f>
        <v>Lynnville</v>
      </c>
      <c r="Q1731" s="5" t="str">
        <f ca="1">IFERROR(__xludf.DUMMYFUNCTION("""COMPUTED_VALUE"""),"TN")</f>
        <v>TN</v>
      </c>
      <c r="R1731" s="5" t="str">
        <f ca="1">IFERROR(__xludf.DUMMYFUNCTION("""COMPUTED_VALUE"""),"High")</f>
        <v>High</v>
      </c>
      <c r="S1731" s="5" t="str">
        <f ca="1">IFERROR(__xludf.DUMMYFUNCTION("""COMPUTED_VALUE"""),"Hallway")</f>
        <v>Hallway</v>
      </c>
      <c r="T1731" s="5" t="str">
        <f ca="1">IFERROR(__xludf.DUMMYFUNCTION("""COMPUTED_VALUE"""),"Inside School Building")</f>
        <v>Inside School Building</v>
      </c>
      <c r="U1731" s="5" t="str">
        <f ca="1">IFERROR(__xludf.DUMMYFUNCTION("""COMPUTED_VALUE"""),"Yes")</f>
        <v>Yes</v>
      </c>
      <c r="V1731" s="5" t="str">
        <f ca="1">IFERROR(__xludf.DUMMYFUNCTION("""COMPUTED_VALUE"""),"School Start")</f>
        <v>School Start</v>
      </c>
      <c r="W1731" s="5"/>
      <c r="X1731" s="5"/>
      <c r="Y1731" s="5" t="str">
        <f ca="1">IFERROR(__xludf.DUMMYFUNCTION("""COMPUTED_VALUE"""),"Planned attack, shot at 3 teachers before being tackled by a teacher and student; blamed teachers for allowing bullying.")</f>
        <v>Planned attack, shot at 3 teachers before being tackled by a teacher and student; blamed teachers for allowing bullying.</v>
      </c>
      <c r="Z1731" s="5" t="str">
        <f ca="1">IFERROR(__xludf.DUMMYFUNCTION("""COMPUTED_VALUE"""),"17 year-old male brought a .22 rifle to school. He entered the north entrance of the school and began to shoot, killing one teacher and injuring a second teacher. He fired at a third and missed, striking a female student. He was tackled by a teacher and 1"&amp;"8 year-old student and restrained with 8 others until police arrived. Shooter was obsessed with the movie Natural Born Killers, dressed in all black, listened to death metal, and abused drugs/alcohol. Shooter said the music made him feel powerful. He was "&amp;"often bullied by classmates for being small and quiet. He blamed the teachers for allowing the bullying to happen. Shooter's cousin said he was angry over a traffic accident involving a female student and her boyfriend, yelling that he'd kill her. His fam"&amp;"ily said he was angry with his girlfriend. Later, his father admits he was physically abusive.")</f>
        <v>17 year-old male brought a .22 rifle to school. He entered the north entrance of the school and began to shoot, killing one teacher and injuring a second teacher. He fired at a third and missed, striking a female student. He was tackled by a teacher and 18 year-old student and restrained with 8 others until police arrived. Shooter was obsessed with the movie Natural Born Killers, dressed in all black, listened to death metal, and abused drugs/alcohol. Shooter said the music made him feel powerful. He was often bullied by classmates for being small and quiet. He blamed the teachers for allowing the bullying to happen. Shooter's cousin said he was angry over a traffic accident involving a female student and her boyfriend, yelling that he'd kill her. His family said he was angry with his girlfriend. Later, his father admits he was physically abusive.</v>
      </c>
      <c r="AA1731" s="5" t="str">
        <f ca="1">IFERROR(__xludf.DUMMYFUNCTION("""COMPUTED_VALUE"""),"Bullying")</f>
        <v>Bullying</v>
      </c>
      <c r="AB1731" s="5" t="str">
        <f ca="1">IFERROR(__xludf.DUMMYFUNCTION("""COMPUTED_VALUE"""),"Both")</f>
        <v>Both</v>
      </c>
      <c r="AC1731" s="5" t="str">
        <f ca="1">IFERROR(__xludf.DUMMYFUNCTION("""COMPUTED_VALUE"""),"No")</f>
        <v>No</v>
      </c>
      <c r="AD1731" s="5" t="str">
        <f ca="1">IFERROR(__xludf.DUMMYFUNCTION("""COMPUTED_VALUE"""),"No")</f>
        <v>No</v>
      </c>
      <c r="AE1731" s="5" t="str">
        <f ca="1">IFERROR(__xludf.DUMMYFUNCTION("""COMPUTED_VALUE"""),"No")</f>
        <v>No</v>
      </c>
      <c r="AF1731" s="5" t="str">
        <f ca="1">IFERROR(__xludf.DUMMYFUNCTION("""COMPUTED_VALUE"""),"No")</f>
        <v>No</v>
      </c>
      <c r="AG1731" s="5" t="str">
        <f ca="1">IFERROR(__xludf.DUMMYFUNCTION("""COMPUTED_VALUE"""),"Yes")</f>
        <v>Yes</v>
      </c>
      <c r="AH1731" s="5" t="str">
        <f ca="1">IFERROR(__xludf.DUMMYFUNCTION("""COMPUTED_VALUE"""),"No")</f>
        <v>No</v>
      </c>
      <c r="AI1731" s="5" t="str">
        <f ca="1">IFERROR(__xludf.DUMMYFUNCTION("""COMPUTED_VALUE"""),"No")</f>
        <v>No</v>
      </c>
      <c r="AJ1731" s="5" t="str">
        <f ca="1">IFERROR(__xludf.DUMMYFUNCTION("""COMPUTED_VALUE"""),"Yes")</f>
        <v>Yes</v>
      </c>
    </row>
    <row r="1732" spans="1:36" ht="13">
      <c r="A1732" s="5" t="str">
        <f ca="1">IFERROR(__xludf.DUMMYFUNCTION("""COMPUTED_VALUE"""),"19951102FLBLM")</f>
        <v>19951102FLBLM</v>
      </c>
      <c r="B1732" s="5">
        <f ca="1">IFERROR(__xludf.DUMMYFUNCTION("""COMPUTED_VALUE"""),11)</f>
        <v>11</v>
      </c>
      <c r="C1732" s="5">
        <f ca="1">IFERROR(__xludf.DUMMYFUNCTION("""COMPUTED_VALUE"""),2)</f>
        <v>2</v>
      </c>
      <c r="D1732" s="5">
        <f ca="1">IFERROR(__xludf.DUMMYFUNCTION("""COMPUTED_VALUE"""),1995)</f>
        <v>1995</v>
      </c>
      <c r="E1732" s="8">
        <f ca="1">IFERROR(__xludf.DUMMYFUNCTION("""COMPUTED_VALUE"""),35005)</f>
        <v>35005</v>
      </c>
      <c r="F1732" s="5" t="str">
        <f ca="1">IFERROR(__xludf.DUMMYFUNCTION("""COMPUTED_VALUE"""),"Blue Lake Elementary School (bus)")</f>
        <v>Blue Lake Elementary School (bus)</v>
      </c>
      <c r="G1732" s="5">
        <f ca="1">IFERROR(__xludf.DUMMYFUNCTION("""COMPUTED_VALUE"""),0)</f>
        <v>0</v>
      </c>
      <c r="H1732" s="5">
        <f ca="1">IFERROR(__xludf.DUMMYFUNCTION("""COMPUTED_VALUE"""),0)</f>
        <v>0</v>
      </c>
      <c r="I1732" s="5">
        <f ca="1">IFERROR(__xludf.DUMMYFUNCTION("""COMPUTED_VALUE"""),0)</f>
        <v>0</v>
      </c>
      <c r="J1732" s="5">
        <f ca="1">IFERROR(__xludf.DUMMYFUNCTION("""COMPUTED_VALUE"""),1)</f>
        <v>1</v>
      </c>
      <c r="K1732" s="5" t="str">
        <f ca="1">IFERROR(__xludf.DUMMYFUNCTION("""COMPUTED_VALUE"""),"http://articles.baltimoresun.com/1995-11-03/news/1995307039_1_hijacker-school-bus-miami-beach-restaurant https://www.latimes.com/archives/la-xpm-1995-11-03-mn-64379-story.html https://www.spokesman.com/stories/1995/nov/03/man-killed-after-hijacking-bus-of"&amp;"-disabled/")</f>
        <v>http://articles.baltimoresun.com/1995-11-03/news/1995307039_1_hijacker-school-bus-miami-beach-restaurant https://www.latimes.com/archives/la-xpm-1995-11-03-mn-64379-story.html https://www.spokesman.com/stories/1995/nov/03/man-killed-after-hijacking-bus-of-disabled/</v>
      </c>
      <c r="L1732" s="5"/>
      <c r="M1732" s="5"/>
      <c r="N1732" s="5">
        <f ca="1">IFERROR(__xludf.DUMMYFUNCTION("""COMPUTED_VALUE"""),2)</f>
        <v>2</v>
      </c>
      <c r="O1732" s="5" t="str">
        <f ca="1">IFERROR(__xludf.DUMMYFUNCTION("""COMPUTED_VALUE"""),"Fall")</f>
        <v>Fall</v>
      </c>
      <c r="P1732" s="5" t="str">
        <f ca="1">IFERROR(__xludf.DUMMYFUNCTION("""COMPUTED_VALUE"""),"Miami Beach")</f>
        <v>Miami Beach</v>
      </c>
      <c r="Q1732" s="5" t="str">
        <f ca="1">IFERROR(__xludf.DUMMYFUNCTION("""COMPUTED_VALUE"""),"FL")</f>
        <v>FL</v>
      </c>
      <c r="R1732" s="5" t="str">
        <f ca="1">IFERROR(__xludf.DUMMYFUNCTION("""COMPUTED_VALUE"""),"Elementary")</f>
        <v>Elementary</v>
      </c>
      <c r="S1732" s="5" t="str">
        <f ca="1">IFERROR(__xludf.DUMMYFUNCTION("""COMPUTED_VALUE"""),"School Bus")</f>
        <v>School Bus</v>
      </c>
      <c r="T1732" s="5" t="str">
        <f ca="1">IFERROR(__xludf.DUMMYFUNCTION("""COMPUTED_VALUE"""),"School Bus")</f>
        <v>School Bus</v>
      </c>
      <c r="U1732" s="5" t="str">
        <f ca="1">IFERROR(__xludf.DUMMYFUNCTION("""COMPUTED_VALUE"""),"No")</f>
        <v>No</v>
      </c>
      <c r="V1732" s="5" t="str">
        <f ca="1">IFERROR(__xludf.DUMMYFUNCTION("""COMPUTED_VALUE"""),"Before School")</f>
        <v>Before School</v>
      </c>
      <c r="W1732" s="10">
        <f ca="1">IFERROR(__xludf.DUMMYFUNCTION("""COMPUTED_VALUE"""),0.34375)</f>
        <v>0.34375</v>
      </c>
      <c r="X1732" s="5"/>
      <c r="Y1732" s="5" t="str">
        <f ca="1">IFERROR(__xludf.DUMMYFUNCTION("""COMPUTED_VALUE"""),"Hijacked a bus full of disabled students and held them hostage.")</f>
        <v>Hijacked a bus full of disabled students and held them hostage.</v>
      </c>
      <c r="Z1732" s="5" t="str">
        <f ca="1">IFERROR(__xludf.DUMMYFUNCTION("""COMPUTED_VALUE"""),"42 year-old male was upset with the IRS over a large debt. He hijacked an elementary school bus with 13 disabled students and 3 adults and held them hostage. He forced the driver to drive 15 miles to a restaurant, where he worked as a waiter but quit the "&amp;"night prior (famous Joe's Stone Crabs). He was in communication with the police and told them he had a bomb on the bus. When hostage negotiations failed, the shooter was killed by police. One child was injured from shattered glass. Likely copycat of movie"&amp;" ""Speed"".")</f>
        <v>42 year-old male was upset with the IRS over a large debt. He hijacked an elementary school bus with 13 disabled students and 3 adults and held them hostage. He forced the driver to drive 15 miles to a restaurant, where he worked as a waiter but quit the night prior (famous Joe's Stone Crabs). He was in communication with the police and told them he had a bomb on the bus. When hostage negotiations failed, the shooter was killed by police. One child was injured from shattered glass. Likely copycat of movie "Speed".</v>
      </c>
      <c r="AA1732" s="5" t="str">
        <f ca="1">IFERROR(__xludf.DUMMYFUNCTION("""COMPUTED_VALUE"""),"Hostage/Standoff")</f>
        <v>Hostage/Standoff</v>
      </c>
      <c r="AB1732" s="5" t="str">
        <f ca="1">IFERROR(__xludf.DUMMYFUNCTION("""COMPUTED_VALUE"""),"Random Shooting")</f>
        <v>Random Shooting</v>
      </c>
      <c r="AC1732" s="5" t="str">
        <f ca="1">IFERROR(__xludf.DUMMYFUNCTION("""COMPUTED_VALUE"""),"No")</f>
        <v>No</v>
      </c>
      <c r="AD1732" s="5" t="str">
        <f ca="1">IFERROR(__xludf.DUMMYFUNCTION("""COMPUTED_VALUE"""),"Yes")</f>
        <v>Yes</v>
      </c>
      <c r="AE1732" s="5" t="str">
        <f ca="1">IFERROR(__xludf.DUMMYFUNCTION("""COMPUTED_VALUE"""),"Yes")</f>
        <v>Yes</v>
      </c>
      <c r="AF1732" s="5" t="str">
        <f ca="1">IFERROR(__xludf.DUMMYFUNCTION("""COMPUTED_VALUE"""),"No")</f>
        <v>No</v>
      </c>
      <c r="AG1732" s="5" t="str">
        <f ca="1">IFERROR(__xludf.DUMMYFUNCTION("""COMPUTED_VALUE"""),"No")</f>
        <v>No</v>
      </c>
      <c r="AH1732" s="5" t="str">
        <f ca="1">IFERROR(__xludf.DUMMYFUNCTION("""COMPUTED_VALUE"""),"No")</f>
        <v>No</v>
      </c>
      <c r="AI1732" s="5" t="str">
        <f ca="1">IFERROR(__xludf.DUMMYFUNCTION("""COMPUTED_VALUE"""),"No")</f>
        <v>No</v>
      </c>
      <c r="AJ1732" s="5"/>
    </row>
    <row r="1733" spans="1:36" ht="13">
      <c r="A1733" s="5" t="str">
        <f ca="1">IFERROR(__xludf.DUMMYFUNCTION("""COMPUTED_VALUE"""),"19951030VAJOR")</f>
        <v>19951030VAJOR</v>
      </c>
      <c r="B1733" s="5">
        <f ca="1">IFERROR(__xludf.DUMMYFUNCTION("""COMPUTED_VALUE"""),10)</f>
        <v>10</v>
      </c>
      <c r="C1733" s="5">
        <f ca="1">IFERROR(__xludf.DUMMYFUNCTION("""COMPUTED_VALUE"""),30)</f>
        <v>30</v>
      </c>
      <c r="D1733" s="5">
        <f ca="1">IFERROR(__xludf.DUMMYFUNCTION("""COMPUTED_VALUE"""),1995)</f>
        <v>1995</v>
      </c>
      <c r="E1733" s="8">
        <f ca="1">IFERROR(__xludf.DUMMYFUNCTION("""COMPUTED_VALUE"""),35002)</f>
        <v>35002</v>
      </c>
      <c r="F1733" s="5" t="str">
        <f ca="1">IFERROR(__xludf.DUMMYFUNCTION("""COMPUTED_VALUE"""),"John F. Kennedy High School")</f>
        <v>John F. Kennedy High School</v>
      </c>
      <c r="G1733" s="5">
        <f ca="1">IFERROR(__xludf.DUMMYFUNCTION("""COMPUTED_VALUE"""),0)</f>
        <v>0</v>
      </c>
      <c r="H1733" s="5">
        <f ca="1">IFERROR(__xludf.DUMMYFUNCTION("""COMPUTED_VALUE"""),4)</f>
        <v>4</v>
      </c>
      <c r="I1733" s="5">
        <f ca="1">IFERROR(__xludf.DUMMYFUNCTION("""COMPUTED_VALUE"""),4)</f>
        <v>4</v>
      </c>
      <c r="J1733" s="5">
        <f ca="1">IFERROR(__xludf.DUMMYFUNCTION("""COMPUTED_VALUE"""),0)</f>
        <v>0</v>
      </c>
      <c r="K1733" s="9" t="str">
        <f ca="1">IFERROR(__xludf.DUMMYFUNCTION("""COMPUTED_VALUE"""),"https://www.columbine-angels.com/School_Violence_1995-1996.htm")</f>
        <v>https://www.columbine-angels.com/School_Violence_1995-1996.htm</v>
      </c>
      <c r="L1733" s="5"/>
      <c r="M1733" s="5"/>
      <c r="N1733" s="5">
        <f ca="1">IFERROR(__xludf.DUMMYFUNCTION("""COMPUTED_VALUE"""),1)</f>
        <v>1</v>
      </c>
      <c r="O1733" s="5" t="str">
        <f ca="1">IFERROR(__xludf.DUMMYFUNCTION("""COMPUTED_VALUE"""),"Fall")</f>
        <v>Fall</v>
      </c>
      <c r="P1733" s="5" t="str">
        <f ca="1">IFERROR(__xludf.DUMMYFUNCTION("""COMPUTED_VALUE"""),"Richmond")</f>
        <v>Richmond</v>
      </c>
      <c r="Q1733" s="5" t="str">
        <f ca="1">IFERROR(__xludf.DUMMYFUNCTION("""COMPUTED_VALUE"""),"VA")</f>
        <v>VA</v>
      </c>
      <c r="R1733" s="5" t="str">
        <f ca="1">IFERROR(__xludf.DUMMYFUNCTION("""COMPUTED_VALUE"""),"High")</f>
        <v>High</v>
      </c>
      <c r="S1733" s="5" t="str">
        <f ca="1">IFERROR(__xludf.DUMMYFUNCTION("""COMPUTED_VALUE"""),"Other")</f>
        <v>Other</v>
      </c>
      <c r="T1733" s="5" t="str">
        <f ca="1">IFERROR(__xludf.DUMMYFUNCTION("""COMPUTED_VALUE"""),"Outside on School Property")</f>
        <v>Outside on School Property</v>
      </c>
      <c r="U1733" s="5" t="str">
        <f ca="1">IFERROR(__xludf.DUMMYFUNCTION("""COMPUTED_VALUE"""),"No")</f>
        <v>No</v>
      </c>
      <c r="V1733" s="5" t="str">
        <f ca="1">IFERROR(__xludf.DUMMYFUNCTION("""COMPUTED_VALUE"""),"Dismissal")</f>
        <v>Dismissal</v>
      </c>
      <c r="W1733" s="10">
        <f ca="1">IFERROR(__xludf.DUMMYFUNCTION("""COMPUTED_VALUE"""),0.586805555555555)</f>
        <v>0.58680555555555503</v>
      </c>
      <c r="X1733" s="5">
        <f ca="1">IFERROR(__xludf.DUMMYFUNCTION("""COMPUTED_VALUE"""),1)</f>
        <v>1</v>
      </c>
      <c r="Y1733" s="5" t="str">
        <f ca="1">IFERROR(__xludf.DUMMYFUNCTION("""COMPUTED_VALUE"""),"Shooter had an ongoing feud for more than a year with the victims.")</f>
        <v>Shooter had an ongoing feud for more than a year with the victims.</v>
      </c>
      <c r="Z1733" s="5" t="str">
        <f ca="1">IFERROR(__xludf.DUMMYFUNCTION("""COMPUTED_VALUE"""),"17 year-old male lived in a housing project near the victims and had ongoing dispute for more than year. At the end of the school day, the shooter was standing across the street from the parking lot. He approached the victims as they were walking home fro"&amp;"m school and called out to grab their attention where he then fired multiple shots, injuring 4 targeted victims. Shooter fled the scene. Police issued an arrest warrant for the shooter and a 15 year-old male. Shortly after the shooter turned himself in an"&amp;"d the other male was apprehended.")</f>
        <v>17 year-old male lived in a housing project near the victims and had ongoing dispute for more than year. At the end of the school day, the shooter was standing across the street from the parking lot. He approached the victims as they were walking home from school and called out to grab their attention where he then fired multiple shots, injuring 4 targeted victims. Shooter fled the scene. Police issued an arrest warrant for the shooter and a 15 year-old male. Shortly after the shooter turned himself in and the other male was apprehended.</v>
      </c>
      <c r="AA1733" s="5" t="str">
        <f ca="1">IFERROR(__xludf.DUMMYFUNCTION("""COMPUTED_VALUE"""),"Escalation of Dispute")</f>
        <v>Escalation of Dispute</v>
      </c>
      <c r="AB1733" s="5" t="str">
        <f ca="1">IFERROR(__xludf.DUMMYFUNCTION("""COMPUTED_VALUE"""),"Victims Targeted")</f>
        <v>Victims Targeted</v>
      </c>
      <c r="AC1733" s="5" t="str">
        <f ca="1">IFERROR(__xludf.DUMMYFUNCTION("""COMPUTED_VALUE"""),"No")</f>
        <v>No</v>
      </c>
      <c r="AD1733" s="5" t="str">
        <f ca="1">IFERROR(__xludf.DUMMYFUNCTION("""COMPUTED_VALUE"""),"No")</f>
        <v>No</v>
      </c>
      <c r="AE1733" s="5" t="str">
        <f ca="1">IFERROR(__xludf.DUMMYFUNCTION("""COMPUTED_VALUE"""),"No")</f>
        <v>No</v>
      </c>
      <c r="AF1733" s="5" t="str">
        <f ca="1">IFERROR(__xludf.DUMMYFUNCTION("""COMPUTED_VALUE"""),"No")</f>
        <v>No</v>
      </c>
      <c r="AG1733" s="5" t="str">
        <f ca="1">IFERROR(__xludf.DUMMYFUNCTION("""COMPUTED_VALUE"""),"No")</f>
        <v>No</v>
      </c>
      <c r="AH1733" s="5" t="str">
        <f ca="1">IFERROR(__xludf.DUMMYFUNCTION("""COMPUTED_VALUE"""),"No")</f>
        <v>No</v>
      </c>
      <c r="AI1733" s="5" t="str">
        <f ca="1">IFERROR(__xludf.DUMMYFUNCTION("""COMPUTED_VALUE"""),"Yes")</f>
        <v>Yes</v>
      </c>
      <c r="AJ1733" s="5"/>
    </row>
    <row r="1734" spans="1:36" ht="13">
      <c r="A1734" s="5" t="str">
        <f ca="1">IFERROR(__xludf.DUMMYFUNCTION("""COMPUTED_VALUE"""),"19951023FLLAC")</f>
        <v>19951023FLLAC</v>
      </c>
      <c r="B1734" s="5">
        <f ca="1">IFERROR(__xludf.DUMMYFUNCTION("""COMPUTED_VALUE"""),10)</f>
        <v>10</v>
      </c>
      <c r="C1734" s="5">
        <f ca="1">IFERROR(__xludf.DUMMYFUNCTION("""COMPUTED_VALUE"""),23)</f>
        <v>23</v>
      </c>
      <c r="D1734" s="5">
        <f ca="1">IFERROR(__xludf.DUMMYFUNCTION("""COMPUTED_VALUE"""),1995)</f>
        <v>1995</v>
      </c>
      <c r="E1734" s="8">
        <f ca="1">IFERROR(__xludf.DUMMYFUNCTION("""COMPUTED_VALUE"""),34995)</f>
        <v>34995</v>
      </c>
      <c r="F1734" s="5" t="str">
        <f ca="1">IFERROR(__xludf.DUMMYFUNCTION("""COMPUTED_VALUE"""),"Lake Howell High School")</f>
        <v>Lake Howell High School</v>
      </c>
      <c r="G1734" s="5">
        <f ca="1">IFERROR(__xludf.DUMMYFUNCTION("""COMPUTED_VALUE"""),0)</f>
        <v>0</v>
      </c>
      <c r="H1734" s="5">
        <f ca="1">IFERROR(__xludf.DUMMYFUNCTION("""COMPUTED_VALUE"""),0)</f>
        <v>0</v>
      </c>
      <c r="I1734" s="5">
        <f ca="1">IFERROR(__xludf.DUMMYFUNCTION("""COMPUTED_VALUE"""),0)</f>
        <v>0</v>
      </c>
      <c r="J1734" s="5">
        <f ca="1">IFERROR(__xludf.DUMMYFUNCTION("""COMPUTED_VALUE"""),0)</f>
        <v>0</v>
      </c>
      <c r="K1734" s="5" t="str">
        <f ca="1">IFERROR(__xludf.DUMMYFUNCTION("""COMPUTED_VALUE"""),"https://www.newspapers.com/image/247247217/?terms=student%2Bshot https://www.upi.com/Archives/1995/10/23/Student-shot-at-Florida-high-school/9697814420800/ https://www.upi.com/Archives/1995/11/15/Shot-Florida-student-faces-charges/7605816411600/")</f>
        <v>https://www.newspapers.com/image/247247217/?terms=student%2Bshot https://www.upi.com/Archives/1995/10/23/Student-shot-at-Florida-high-school/9697814420800/ https://www.upi.com/Archives/1995/11/15/Shot-Florida-student-faces-charges/7605816411600/</v>
      </c>
      <c r="L1734" s="5"/>
      <c r="M1734" s="5"/>
      <c r="N1734" s="5">
        <f ca="1">IFERROR(__xludf.DUMMYFUNCTION("""COMPUTED_VALUE"""),2)</f>
        <v>2</v>
      </c>
      <c r="O1734" s="5" t="str">
        <f ca="1">IFERROR(__xludf.DUMMYFUNCTION("""COMPUTED_VALUE"""),"Fall")</f>
        <v>Fall</v>
      </c>
      <c r="P1734" s="5" t="str">
        <f ca="1">IFERROR(__xludf.DUMMYFUNCTION("""COMPUTED_VALUE"""),"Casselberry")</f>
        <v>Casselberry</v>
      </c>
      <c r="Q1734" s="5" t="str">
        <f ca="1">IFERROR(__xludf.DUMMYFUNCTION("""COMPUTED_VALUE"""),"FL")</f>
        <v>FL</v>
      </c>
      <c r="R1734" s="5" t="str">
        <f ca="1">IFERROR(__xludf.DUMMYFUNCTION("""COMPUTED_VALUE"""),"High")</f>
        <v>High</v>
      </c>
      <c r="S1734" s="5" t="str">
        <f ca="1">IFERROR(__xludf.DUMMYFUNCTION("""COMPUTED_VALUE"""),"Parking Lot")</f>
        <v>Parking Lot</v>
      </c>
      <c r="T1734" s="5" t="str">
        <f ca="1">IFERROR(__xludf.DUMMYFUNCTION("""COMPUTED_VALUE"""),"Outside on School Property")</f>
        <v>Outside on School Property</v>
      </c>
      <c r="U1734" s="5" t="str">
        <f ca="1">IFERROR(__xludf.DUMMYFUNCTION("""COMPUTED_VALUE"""),"Yes")</f>
        <v>Yes</v>
      </c>
      <c r="V1734" s="5" t="str">
        <f ca="1">IFERROR(__xludf.DUMMYFUNCTION("""COMPUTED_VALUE"""),"School Start")</f>
        <v>School Start</v>
      </c>
      <c r="W1734" s="10">
        <f ca="1">IFERROR(__xludf.DUMMYFUNCTION("""COMPUTED_VALUE"""),0.329861111111111)</f>
        <v>0.32986111111111099</v>
      </c>
      <c r="X1734" s="5">
        <f ca="1">IFERROR(__xludf.DUMMYFUNCTION("""COMPUTED_VALUE"""),1)</f>
        <v>1</v>
      </c>
      <c r="Y1734" s="5" t="str">
        <f ca="1">IFERROR(__xludf.DUMMYFUNCTION("""COMPUTED_VALUE"""),"Accidentally shot oneself while hiding weapon.")</f>
        <v>Accidentally shot oneself while hiding weapon.</v>
      </c>
      <c r="Z1734" s="5" t="str">
        <f ca="1">IFERROR(__xludf.DUMMYFUNCTION("""COMPUTED_VALUE"""),"16 year-old female accidentally shot herself in the stomach while hiding the .25 handgun in a dumpster. She was on her way to the principal's office to meet with her mother about her report card. She told authorities that she had been approached by two yo"&amp;"ung men and shot as she was on her way to school. Authorities found a gun in a school's dumpster near where student was shot. Student's mother reported this was the same type of gun missing from her home. Student later admitted to police she accidentally "&amp;"shot herself.")</f>
        <v>16 year-old female accidentally shot herself in the stomach while hiding the .25 handgun in a dumpster. She was on her way to the principal's office to meet with her mother about her report card. She told authorities that she had been approached by two young men and shot as she was on her way to school. Authorities found a gun in a school's dumpster near where student was shot. Student's mother reported this was the same type of gun missing from her home. Student later admitted to police she accidentally shot herself.</v>
      </c>
      <c r="AA1734" s="5" t="str">
        <f ca="1">IFERROR(__xludf.DUMMYFUNCTION("""COMPUTED_VALUE"""),"Accidental")</f>
        <v>Accidental</v>
      </c>
      <c r="AB1734" s="5" t="str">
        <f ca="1">IFERROR(__xludf.DUMMYFUNCTION("""COMPUTED_VALUE"""),"Victims Targeted")</f>
        <v>Victims Targeted</v>
      </c>
      <c r="AC1734" s="5" t="str">
        <f ca="1">IFERROR(__xludf.DUMMYFUNCTION("""COMPUTED_VALUE"""),"No")</f>
        <v>No</v>
      </c>
      <c r="AD1734" s="5" t="str">
        <f ca="1">IFERROR(__xludf.DUMMYFUNCTION("""COMPUTED_VALUE"""),"No")</f>
        <v>No</v>
      </c>
      <c r="AE1734" s="5" t="str">
        <f ca="1">IFERROR(__xludf.DUMMYFUNCTION("""COMPUTED_VALUE"""),"No")</f>
        <v>No</v>
      </c>
      <c r="AF1734" s="5" t="str">
        <f ca="1">IFERROR(__xludf.DUMMYFUNCTION("""COMPUTED_VALUE"""),"No")</f>
        <v>No</v>
      </c>
      <c r="AG1734" s="5" t="str">
        <f ca="1">IFERROR(__xludf.DUMMYFUNCTION("""COMPUTED_VALUE"""),"No")</f>
        <v>No</v>
      </c>
      <c r="AH1734" s="5" t="str">
        <f ca="1">IFERROR(__xludf.DUMMYFUNCTION("""COMPUTED_VALUE"""),"No")</f>
        <v>No</v>
      </c>
      <c r="AI1734" s="5" t="str">
        <f ca="1">IFERROR(__xludf.DUMMYFUNCTION("""COMPUTED_VALUE"""),"No")</f>
        <v>No</v>
      </c>
      <c r="AJ1734" s="5"/>
    </row>
    <row r="1735" spans="1:36" ht="13">
      <c r="A1735" s="5" t="str">
        <f ca="1">IFERROR(__xludf.DUMMYFUNCTION("""COMPUTED_VALUE"""),"19951012SCBLB")</f>
        <v>19951012SCBLB</v>
      </c>
      <c r="B1735" s="5">
        <f ca="1">IFERROR(__xludf.DUMMYFUNCTION("""COMPUTED_VALUE"""),10)</f>
        <v>10</v>
      </c>
      <c r="C1735" s="5">
        <f ca="1">IFERROR(__xludf.DUMMYFUNCTION("""COMPUTED_VALUE"""),12)</f>
        <v>12</v>
      </c>
      <c r="D1735" s="5">
        <f ca="1">IFERROR(__xludf.DUMMYFUNCTION("""COMPUTED_VALUE"""),1995)</f>
        <v>1995</v>
      </c>
      <c r="E1735" s="8">
        <f ca="1">IFERROR(__xludf.DUMMYFUNCTION("""COMPUTED_VALUE"""),34984)</f>
        <v>34984</v>
      </c>
      <c r="F1735" s="5" t="str">
        <f ca="1">IFERROR(__xludf.DUMMYFUNCTION("""COMPUTED_VALUE"""),"Blackville-Hilda High School")</f>
        <v>Blackville-Hilda High School</v>
      </c>
      <c r="G1735" s="5">
        <f ca="1">IFERROR(__xludf.DUMMYFUNCTION("""COMPUTED_VALUE"""),1)</f>
        <v>1</v>
      </c>
      <c r="H1735" s="5">
        <f ca="1">IFERROR(__xludf.DUMMYFUNCTION("""COMPUTED_VALUE"""),1)</f>
        <v>1</v>
      </c>
      <c r="I1735" s="5">
        <f ca="1">IFERROR(__xludf.DUMMYFUNCTION("""COMPUTED_VALUE"""),2)</f>
        <v>2</v>
      </c>
      <c r="J1735" s="5">
        <f ca="1">IFERROR(__xludf.DUMMYFUNCTION("""COMPUTED_VALUE"""),1)</f>
        <v>1</v>
      </c>
      <c r="K1735" s="5" t="str">
        <f ca="1">IFERROR(__xludf.DUMMYFUNCTION("""COMPUTED_VALUE"""),"https://www.upi.com/Archives/1995/10/14/Carolina-teacher-died-from-bullet/5588813643200/ https://apnews.com/cd6df5aa2f5c54b6a8a303ab064bf325 https://www.deseret.com/1995/10/13/19198588/student-shoots-teacher-then-turns-gun-on-himself")</f>
        <v>https://www.upi.com/Archives/1995/10/14/Carolina-teacher-died-from-bullet/5588813643200/ https://apnews.com/cd6df5aa2f5c54b6a8a303ab064bf325 https://www.deseret.com/1995/10/13/19198588/student-shoots-teacher-then-turns-gun-on-himself</v>
      </c>
      <c r="L1735" s="5"/>
      <c r="M1735" s="5"/>
      <c r="N1735" s="5">
        <f ca="1">IFERROR(__xludf.DUMMYFUNCTION("""COMPUTED_VALUE"""),2)</f>
        <v>2</v>
      </c>
      <c r="O1735" s="5" t="str">
        <f ca="1">IFERROR(__xludf.DUMMYFUNCTION("""COMPUTED_VALUE"""),"Fall")</f>
        <v>Fall</v>
      </c>
      <c r="P1735" s="5" t="str">
        <f ca="1">IFERROR(__xludf.DUMMYFUNCTION("""COMPUTED_VALUE"""),"Blackville")</f>
        <v>Blackville</v>
      </c>
      <c r="Q1735" s="5" t="str">
        <f ca="1">IFERROR(__xludf.DUMMYFUNCTION("""COMPUTED_VALUE"""),"SC")</f>
        <v>SC</v>
      </c>
      <c r="R1735" s="5" t="str">
        <f ca="1">IFERROR(__xludf.DUMMYFUNCTION("""COMPUTED_VALUE"""),"High")</f>
        <v>High</v>
      </c>
      <c r="S1735" s="5" t="str">
        <f ca="1">IFERROR(__xludf.DUMMYFUNCTION("""COMPUTED_VALUE"""),"Classroom")</f>
        <v>Classroom</v>
      </c>
      <c r="T1735" s="5" t="str">
        <f ca="1">IFERROR(__xludf.DUMMYFUNCTION("""COMPUTED_VALUE"""),"Inside School Building")</f>
        <v>Inside School Building</v>
      </c>
      <c r="U1735" s="5" t="str">
        <f ca="1">IFERROR(__xludf.DUMMYFUNCTION("""COMPUTED_VALUE"""),"Yes")</f>
        <v>Yes</v>
      </c>
      <c r="V1735" s="5" t="str">
        <f ca="1">IFERROR(__xludf.DUMMYFUNCTION("""COMPUTED_VALUE"""),"Morning Classes")</f>
        <v>Morning Classes</v>
      </c>
      <c r="W1735" s="10">
        <f ca="1">IFERROR(__xludf.DUMMYFUNCTION("""COMPUTED_VALUE"""),0.361111111111111)</f>
        <v>0.36111111111111099</v>
      </c>
      <c r="X1735" s="5"/>
      <c r="Y1735" s="5" t="str">
        <f ca="1">IFERROR(__xludf.DUMMYFUNCTION("""COMPUTED_VALUE"""),"Anger of suspension, shot 2 teachers and himself.")</f>
        <v>Anger of suspension, shot 2 teachers and himself.</v>
      </c>
      <c r="Z1735" s="5" t="str">
        <f ca="1">IFERROR(__xludf.DUMMYFUNCTION("""COMPUTED_VALUE"""),"16 year-old male had been suspended from school the previous day from indecent hand gestures on the back of the school bus. The next day the shooter entered the building with a .32 pistol and walked into a specific classroom and fired the gun at a teacher"&amp;" in the head, leaving him seriously wounded. He moved to the teachers workroom and shot a second teacher (who authorities believed had a heart attack but actually died from a gunshot to the back). He tried to enter the office but it was locked, where he t"&amp;"hen shot himself in the head. Shooter believes he was suspended because he was black and the white students wouldn't be getting the same discipline for making an obscene gesture. The previous school year the shooter had been expelled and readmitted the fo"&amp;"llowing year on a strict probation.")</f>
        <v>16 year-old male had been suspended from school the previous day from indecent hand gestures on the back of the school bus. The next day the shooter entered the building with a .32 pistol and walked into a specific classroom and fired the gun at a teacher in the head, leaving him seriously wounded. He moved to the teachers workroom and shot a second teacher (who authorities believed had a heart attack but actually died from a gunshot to the back). He tried to enter the office but it was locked, where he then shot himself in the head. Shooter believes he was suspended because he was black and the white students wouldn't be getting the same discipline for making an obscene gesture. The previous school year the shooter had been expelled and readmitted the following year on a strict probation.</v>
      </c>
      <c r="AA1735" s="5" t="str">
        <f ca="1">IFERROR(__xludf.DUMMYFUNCTION("""COMPUTED_VALUE"""),"Anger Over Grade/Suspension/Discipline")</f>
        <v>Anger Over Grade/Suspension/Discipline</v>
      </c>
      <c r="AB1735" s="5" t="str">
        <f ca="1">IFERROR(__xludf.DUMMYFUNCTION("""COMPUTED_VALUE"""),"Victims Targeted")</f>
        <v>Victims Targeted</v>
      </c>
      <c r="AC1735" s="5" t="str">
        <f ca="1">IFERROR(__xludf.DUMMYFUNCTION("""COMPUTED_VALUE"""),"No")</f>
        <v>No</v>
      </c>
      <c r="AD1735" s="5" t="str">
        <f ca="1">IFERROR(__xludf.DUMMYFUNCTION("""COMPUTED_VALUE"""),"No")</f>
        <v>No</v>
      </c>
      <c r="AE1735" s="5" t="str">
        <f ca="1">IFERROR(__xludf.DUMMYFUNCTION("""COMPUTED_VALUE"""),"No")</f>
        <v>No</v>
      </c>
      <c r="AF1735" s="5" t="str">
        <f ca="1">IFERROR(__xludf.DUMMYFUNCTION("""COMPUTED_VALUE"""),"No")</f>
        <v>No</v>
      </c>
      <c r="AG1735" s="5" t="str">
        <f ca="1">IFERROR(__xludf.DUMMYFUNCTION("""COMPUTED_VALUE"""),"Yes")</f>
        <v>Yes</v>
      </c>
      <c r="AH1735" s="5" t="str">
        <f ca="1">IFERROR(__xludf.DUMMYFUNCTION("""COMPUTED_VALUE"""),"No")</f>
        <v>No</v>
      </c>
      <c r="AI1735" s="5" t="str">
        <f ca="1">IFERROR(__xludf.DUMMYFUNCTION("""COMPUTED_VALUE"""),"No")</f>
        <v>No</v>
      </c>
      <c r="AJ1735" s="5" t="str">
        <f ca="1">IFERROR(__xludf.DUMMYFUNCTION("""COMPUTED_VALUE"""),"Yes")</f>
        <v>Yes</v>
      </c>
    </row>
    <row r="1736" spans="1:36" ht="13">
      <c r="A1736" s="5" t="str">
        <f ca="1">IFERROR(__xludf.DUMMYFUNCTION("""COMPUTED_VALUE"""),"19950929FLTAT")</f>
        <v>19950929FLTAT</v>
      </c>
      <c r="B1736" s="5">
        <f ca="1">IFERROR(__xludf.DUMMYFUNCTION("""COMPUTED_VALUE"""),9)</f>
        <v>9</v>
      </c>
      <c r="C1736" s="5">
        <f ca="1">IFERROR(__xludf.DUMMYFUNCTION("""COMPUTED_VALUE"""),29)</f>
        <v>29</v>
      </c>
      <c r="D1736" s="5">
        <f ca="1">IFERROR(__xludf.DUMMYFUNCTION("""COMPUTED_VALUE"""),1995)</f>
        <v>1995</v>
      </c>
      <c r="E1736" s="8">
        <f ca="1">IFERROR(__xludf.DUMMYFUNCTION("""COMPUTED_VALUE"""),34971)</f>
        <v>34971</v>
      </c>
      <c r="F1736" s="5" t="str">
        <f ca="1">IFERROR(__xludf.DUMMYFUNCTION("""COMPUTED_VALUE"""),"Tavares Middle School")</f>
        <v>Tavares Middle School</v>
      </c>
      <c r="G1736" s="5">
        <f ca="1">IFERROR(__xludf.DUMMYFUNCTION("""COMPUTED_VALUE"""),1)</f>
        <v>1</v>
      </c>
      <c r="H1736" s="5">
        <f ca="1">IFERROR(__xludf.DUMMYFUNCTION("""COMPUTED_VALUE"""),0)</f>
        <v>0</v>
      </c>
      <c r="I1736" s="5">
        <f ca="1">IFERROR(__xludf.DUMMYFUNCTION("""COMPUTED_VALUE"""),1)</f>
        <v>1</v>
      </c>
      <c r="J1736" s="5">
        <f ca="1">IFERROR(__xludf.DUMMYFUNCTION("""COMPUTED_VALUE"""),0)</f>
        <v>0</v>
      </c>
      <c r="K1736" s="5" t="str">
        <f ca="1">IFERROR(__xludf.DUMMYFUNCTION("""COMPUTED_VALUE"""),"http://www.orlandosentinel.com/news/os-lk-school-shooting-tavares-middle-1995-20150918-story.html https://www.newspapers.com/image/233952285/?terms=Tavares%20Middle%20School&amp;match=1")</f>
        <v>http://www.orlandosentinel.com/news/os-lk-school-shooting-tavares-middle-1995-20150918-story.html https://www.newspapers.com/image/233952285/?terms=Tavares%20Middle%20School&amp;match=1</v>
      </c>
      <c r="L1736" s="5"/>
      <c r="M1736" s="5"/>
      <c r="N1736" s="5">
        <f ca="1">IFERROR(__xludf.DUMMYFUNCTION("""COMPUTED_VALUE"""),2)</f>
        <v>2</v>
      </c>
      <c r="O1736" s="5" t="str">
        <f ca="1">IFERROR(__xludf.DUMMYFUNCTION("""COMPUTED_VALUE"""),"Fall")</f>
        <v>Fall</v>
      </c>
      <c r="P1736" s="5" t="str">
        <f ca="1">IFERROR(__xludf.DUMMYFUNCTION("""COMPUTED_VALUE"""),"Tavares")</f>
        <v>Tavares</v>
      </c>
      <c r="Q1736" s="5" t="str">
        <f ca="1">IFERROR(__xludf.DUMMYFUNCTION("""COMPUTED_VALUE"""),"FL")</f>
        <v>FL</v>
      </c>
      <c r="R1736" s="5" t="str">
        <f ca="1">IFERROR(__xludf.DUMMYFUNCTION("""COMPUTED_VALUE"""),"Middle")</f>
        <v>Middle</v>
      </c>
      <c r="S1736" s="5" t="str">
        <f ca="1">IFERROR(__xludf.DUMMYFUNCTION("""COMPUTED_VALUE"""),"Courtyard")</f>
        <v>Courtyard</v>
      </c>
      <c r="T1736" s="5" t="str">
        <f ca="1">IFERROR(__xludf.DUMMYFUNCTION("""COMPUTED_VALUE"""),"Outside on School Property")</f>
        <v>Outside on School Property</v>
      </c>
      <c r="U1736" s="5" t="str">
        <f ca="1">IFERROR(__xludf.DUMMYFUNCTION("""COMPUTED_VALUE"""),"Yes")</f>
        <v>Yes</v>
      </c>
      <c r="V1736" s="5" t="str">
        <f ca="1">IFERROR(__xludf.DUMMYFUNCTION("""COMPUTED_VALUE"""),"Unknown")</f>
        <v>Unknown</v>
      </c>
      <c r="W1736" s="5"/>
      <c r="X1736" s="5">
        <f ca="1">IFERROR(__xludf.DUMMYFUNCTION("""COMPUTED_VALUE"""),1)</f>
        <v>1</v>
      </c>
      <c r="Y1736" s="5" t="str">
        <f ca="1">IFERROR(__xludf.DUMMYFUNCTION("""COMPUTED_VALUE"""),"Shooter had ongoing conflict with victim (possible bullying was involved)")</f>
        <v>Shooter had ongoing conflict with victim (possible bullying was involved)</v>
      </c>
      <c r="Z1736" s="5" t="str">
        <f ca="1">IFERROR(__xludf.DUMMYFUNCTION("""COMPUTED_VALUE"""),"Shooter stole the handgun from a neighbor and brought it to school. Showed the gun to multiple other students and said he planned to kill somebody on the bus ride to school. None of the students reported this to any of the school staff. Shooter had an ong"&amp;"oing dispute with the victim. During some words exchanged in the courtyard, the shooter pulled the 9mm semiautomatic gun and fired all 13 rounds at the victim. Authorities found the shooter in a wooded area across from the school and arrested him. Some st"&amp;"udents knew of the victim and shooter to be fighting. Shooter stated in court that victim was bullying him. Others thought it involved gangs.")</f>
        <v>Shooter stole the handgun from a neighbor and brought it to school. Showed the gun to multiple other students and said he planned to kill somebody on the bus ride to school. None of the students reported this to any of the school staff. Shooter had an ongoing dispute with the victim. During some words exchanged in the courtyard, the shooter pulled the 9mm semiautomatic gun and fired all 13 rounds at the victim. Authorities found the shooter in a wooded area across from the school and arrested him. Some students knew of the victim and shooter to be fighting. Shooter stated in court that victim was bullying him. Others thought it involved gangs.</v>
      </c>
      <c r="AA1736" s="5" t="str">
        <f ca="1">IFERROR(__xludf.DUMMYFUNCTION("""COMPUTED_VALUE"""),"Escalation of Dispute")</f>
        <v>Escalation of Dispute</v>
      </c>
      <c r="AB1736" s="5" t="str">
        <f ca="1">IFERROR(__xludf.DUMMYFUNCTION("""COMPUTED_VALUE"""),"Victims Targeted")</f>
        <v>Victims Targeted</v>
      </c>
      <c r="AC1736" s="5" t="str">
        <f ca="1">IFERROR(__xludf.DUMMYFUNCTION("""COMPUTED_VALUE"""),"No")</f>
        <v>No</v>
      </c>
      <c r="AD1736" s="5" t="str">
        <f ca="1">IFERROR(__xludf.DUMMYFUNCTION("""COMPUTED_VALUE"""),"No")</f>
        <v>No</v>
      </c>
      <c r="AE1736" s="5" t="str">
        <f ca="1">IFERROR(__xludf.DUMMYFUNCTION("""COMPUTED_VALUE"""),"No")</f>
        <v>No</v>
      </c>
      <c r="AF1736" s="5" t="str">
        <f ca="1">IFERROR(__xludf.DUMMYFUNCTION("""COMPUTED_VALUE"""),"No")</f>
        <v>No</v>
      </c>
      <c r="AG1736" s="5" t="str">
        <f ca="1">IFERROR(__xludf.DUMMYFUNCTION("""COMPUTED_VALUE"""),"Yes")</f>
        <v>Yes</v>
      </c>
      <c r="AH1736" s="5" t="str">
        <f ca="1">IFERROR(__xludf.DUMMYFUNCTION("""COMPUTED_VALUE"""),"No")</f>
        <v>No</v>
      </c>
      <c r="AI1736" s="5" t="str">
        <f ca="1">IFERROR(__xludf.DUMMYFUNCTION("""COMPUTED_VALUE"""),"Yes")</f>
        <v>Yes</v>
      </c>
      <c r="AJ1736" s="5"/>
    </row>
    <row r="1737" spans="1:36" ht="13">
      <c r="A1737" s="5" t="str">
        <f ca="1">IFERROR(__xludf.DUMMYFUNCTION("""COMPUTED_VALUE"""),"19950927ALBLP")</f>
        <v>19950927ALBLP</v>
      </c>
      <c r="B1737" s="5">
        <f ca="1">IFERROR(__xludf.DUMMYFUNCTION("""COMPUTED_VALUE"""),9)</f>
        <v>9</v>
      </c>
      <c r="C1737" s="5">
        <f ca="1">IFERROR(__xludf.DUMMYFUNCTION("""COMPUTED_VALUE"""),27)</f>
        <v>27</v>
      </c>
      <c r="D1737" s="5">
        <f ca="1">IFERROR(__xludf.DUMMYFUNCTION("""COMPUTED_VALUE"""),1995)</f>
        <v>1995</v>
      </c>
      <c r="E1737" s="8">
        <f ca="1">IFERROR(__xludf.DUMMYFUNCTION("""COMPUTED_VALUE"""),34969)</f>
        <v>34969</v>
      </c>
      <c r="F1737" s="5" t="str">
        <f ca="1">IFERROR(__xludf.DUMMYFUNCTION("""COMPUTED_VALUE"""),"Blount High School")</f>
        <v>Blount High School</v>
      </c>
      <c r="G1737" s="5">
        <f ca="1">IFERROR(__xludf.DUMMYFUNCTION("""COMPUTED_VALUE"""),0)</f>
        <v>0</v>
      </c>
      <c r="H1737" s="5">
        <f ca="1">IFERROR(__xludf.DUMMYFUNCTION("""COMPUTED_VALUE"""),1)</f>
        <v>1</v>
      </c>
      <c r="I1737" s="5">
        <f ca="1">IFERROR(__xludf.DUMMYFUNCTION("""COMPUTED_VALUE"""),1)</f>
        <v>1</v>
      </c>
      <c r="J1737" s="5">
        <f ca="1">IFERROR(__xludf.DUMMYFUNCTION("""COMPUTED_VALUE"""),0)</f>
        <v>0</v>
      </c>
      <c r="K1737" s="9" t="str">
        <f ca="1">IFERROR(__xludf.DUMMYFUNCTION("""COMPUTED_VALUE"""),"https://www.newspapers.com/image/106718796/?terms=student%2Bshot")</f>
        <v>https://www.newspapers.com/image/106718796/?terms=student%2Bshot</v>
      </c>
      <c r="L1737" s="5"/>
      <c r="M1737" s="5"/>
      <c r="N1737" s="5">
        <f ca="1">IFERROR(__xludf.DUMMYFUNCTION("""COMPUTED_VALUE"""),2)</f>
        <v>2</v>
      </c>
      <c r="O1737" s="5" t="str">
        <f ca="1">IFERROR(__xludf.DUMMYFUNCTION("""COMPUTED_VALUE"""),"Fall")</f>
        <v>Fall</v>
      </c>
      <c r="P1737" s="5" t="str">
        <f ca="1">IFERROR(__xludf.DUMMYFUNCTION("""COMPUTED_VALUE"""),"Prichard")</f>
        <v>Prichard</v>
      </c>
      <c r="Q1737" s="5" t="str">
        <f ca="1">IFERROR(__xludf.DUMMYFUNCTION("""COMPUTED_VALUE"""),"AL")</f>
        <v>AL</v>
      </c>
      <c r="R1737" s="5" t="str">
        <f ca="1">IFERROR(__xludf.DUMMYFUNCTION("""COMPUTED_VALUE"""),"High")</f>
        <v>High</v>
      </c>
      <c r="S1737" s="5" t="str">
        <f ca="1">IFERROR(__xludf.DUMMYFUNCTION("""COMPUTED_VALUE"""),"Hallway")</f>
        <v>Hallway</v>
      </c>
      <c r="T1737" s="5" t="str">
        <f ca="1">IFERROR(__xludf.DUMMYFUNCTION("""COMPUTED_VALUE"""),"Inside School Building")</f>
        <v>Inside School Building</v>
      </c>
      <c r="U1737" s="5" t="str">
        <f ca="1">IFERROR(__xludf.DUMMYFUNCTION("""COMPUTED_VALUE"""),"Yes")</f>
        <v>Yes</v>
      </c>
      <c r="V1737" s="5" t="str">
        <f ca="1">IFERROR(__xludf.DUMMYFUNCTION("""COMPUTED_VALUE"""),"Morning Classes")</f>
        <v>Morning Classes</v>
      </c>
      <c r="W1737" s="10">
        <f ca="1">IFERROR(__xludf.DUMMYFUNCTION("""COMPUTED_VALUE"""),0.458333333333333)</f>
        <v>0.45833333333333298</v>
      </c>
      <c r="X1737" s="5">
        <f ca="1">IFERROR(__xludf.DUMMYFUNCTION("""COMPUTED_VALUE"""),1)</f>
        <v>1</v>
      </c>
      <c r="Y1737" s="5" t="str">
        <f ca="1">IFERROR(__xludf.DUMMYFUNCTION("""COMPUTED_VALUE"""),"Shots fired during argument between suspect's younger brother and victim.")</f>
        <v>Shots fired during argument between suspect's younger brother and victim.</v>
      </c>
      <c r="Z1737" s="5" t="str">
        <f ca="1">IFERROR(__xludf.DUMMYFUNCTION("""COMPUTED_VALUE"""),"19 year-old male shot victim who was arguing with shooter's younger brother.")</f>
        <v>19 year-old male shot victim who was arguing with shooter's younger brother.</v>
      </c>
      <c r="AA1737" s="5" t="str">
        <f ca="1">IFERROR(__xludf.DUMMYFUNCTION("""COMPUTED_VALUE"""),"Escalation of Dispute")</f>
        <v>Escalation of Dispute</v>
      </c>
      <c r="AB1737" s="5" t="str">
        <f ca="1">IFERROR(__xludf.DUMMYFUNCTION("""COMPUTED_VALUE"""),"Victims Targeted")</f>
        <v>Victims Targeted</v>
      </c>
      <c r="AC1737" s="5" t="str">
        <f ca="1">IFERROR(__xludf.DUMMYFUNCTION("""COMPUTED_VALUE"""),"No")</f>
        <v>No</v>
      </c>
      <c r="AD1737" s="5" t="str">
        <f ca="1">IFERROR(__xludf.DUMMYFUNCTION("""COMPUTED_VALUE"""),"No")</f>
        <v>No</v>
      </c>
      <c r="AE1737" s="5" t="str">
        <f ca="1">IFERROR(__xludf.DUMMYFUNCTION("""COMPUTED_VALUE"""),"No")</f>
        <v>No</v>
      </c>
      <c r="AF1737" s="5" t="str">
        <f ca="1">IFERROR(__xludf.DUMMYFUNCTION("""COMPUTED_VALUE"""),"No")</f>
        <v>No</v>
      </c>
      <c r="AG1737" s="5" t="str">
        <f ca="1">IFERROR(__xludf.DUMMYFUNCTION("""COMPUTED_VALUE"""),"No")</f>
        <v>No</v>
      </c>
      <c r="AH1737" s="5" t="str">
        <f ca="1">IFERROR(__xludf.DUMMYFUNCTION("""COMPUTED_VALUE"""),"No")</f>
        <v>No</v>
      </c>
      <c r="AI1737" s="5" t="str">
        <f ca="1">IFERROR(__xludf.DUMMYFUNCTION("""COMPUTED_VALUE"""),"No")</f>
        <v>No</v>
      </c>
      <c r="AJ1737" s="5"/>
    </row>
    <row r="1738" spans="1:36" ht="13">
      <c r="A1738" s="5" t="str">
        <f ca="1">IFERROR(__xludf.DUMMYFUNCTION("""COMPUTED_VALUE"""),"19950915KYGEW")</f>
        <v>19950915KYGEW</v>
      </c>
      <c r="B1738" s="5">
        <f ca="1">IFERROR(__xludf.DUMMYFUNCTION("""COMPUTED_VALUE"""),9)</f>
        <v>9</v>
      </c>
      <c r="C1738" s="5">
        <f ca="1">IFERROR(__xludf.DUMMYFUNCTION("""COMPUTED_VALUE"""),15)</f>
        <v>15</v>
      </c>
      <c r="D1738" s="5">
        <f ca="1">IFERROR(__xludf.DUMMYFUNCTION("""COMPUTED_VALUE"""),1995)</f>
        <v>1995</v>
      </c>
      <c r="E1738" s="8">
        <f ca="1">IFERROR(__xludf.DUMMYFUNCTION("""COMPUTED_VALUE"""),34957)</f>
        <v>34957</v>
      </c>
      <c r="F1738" s="5" t="str">
        <f ca="1">IFERROR(__xludf.DUMMYFUNCTION("""COMPUTED_VALUE"""),"George Rogers Clark High School")</f>
        <v>George Rogers Clark High School</v>
      </c>
      <c r="G1738" s="5">
        <f ca="1">IFERROR(__xludf.DUMMYFUNCTION("""COMPUTED_VALUE"""),0)</f>
        <v>0</v>
      </c>
      <c r="H1738" s="5">
        <f ca="1">IFERROR(__xludf.DUMMYFUNCTION("""COMPUTED_VALUE"""),0)</f>
        <v>0</v>
      </c>
      <c r="I1738" s="5">
        <f ca="1">IFERROR(__xludf.DUMMYFUNCTION("""COMPUTED_VALUE"""),0)</f>
        <v>0</v>
      </c>
      <c r="J1738" s="5">
        <f ca="1">IFERROR(__xludf.DUMMYFUNCTION("""COMPUTED_VALUE"""),0)</f>
        <v>0</v>
      </c>
      <c r="K1738" s="5" t="str">
        <f ca="1">IFERROR(__xludf.DUMMYFUNCTION("""COMPUTED_VALUE"""),"https://books.google.com/books?id=paCVN9ECUc4C&amp;pg=PA10&amp;lpg=PA10&amp;dq=George+Rogers+Clark+High+School+1995+shooting&amp;source=bl&amp;ots=nnxJbjaRMQ&amp;sig=ACfU3U1h5FLZ_tsjP7gMsufkPZl-4TgtMQ&amp;hl=en&amp;sa=X&amp;ved=2ahUKEwiyu9rB5sDpAhXMHjQIHSCBAYoQ6AEwAXoECAsQAQ#v=onepage&amp;q=Geo"&amp;"rge%20Rogers%20Clark%20High%20School%201995%20shooting&amp;f=false http://www.columbine-angels.com/School_Violence_1995-1996.htm")</f>
        <v>https://books.google.com/books?id=paCVN9ECUc4C&amp;pg=PA10&amp;lpg=PA10&amp;dq=George+Rogers+Clark+High+School+1995+shooting&amp;source=bl&amp;ots=nnxJbjaRMQ&amp;sig=ACfU3U1h5FLZ_tsjP7gMsufkPZl-4TgtMQ&amp;hl=en&amp;sa=X&amp;ved=2ahUKEwiyu9rB5sDpAhXMHjQIHSCBAYoQ6AEwAXoECAsQAQ#v=onepage&amp;q=George%20Rogers%20Clark%20High%20School%201995%20shooting&amp;f=false http://www.columbine-angels.com/School_Violence_1995-1996.htm</v>
      </c>
      <c r="L1738" s="5"/>
      <c r="M1738" s="5"/>
      <c r="N1738" s="5">
        <f ca="1">IFERROR(__xludf.DUMMYFUNCTION("""COMPUTED_VALUE"""),1)</f>
        <v>1</v>
      </c>
      <c r="O1738" s="5" t="str">
        <f ca="1">IFERROR(__xludf.DUMMYFUNCTION("""COMPUTED_VALUE"""),"Fall")</f>
        <v>Fall</v>
      </c>
      <c r="P1738" s="5" t="str">
        <f ca="1">IFERROR(__xludf.DUMMYFUNCTION("""COMPUTED_VALUE"""),"Winchester")</f>
        <v>Winchester</v>
      </c>
      <c r="Q1738" s="5" t="str">
        <f ca="1">IFERROR(__xludf.DUMMYFUNCTION("""COMPUTED_VALUE"""),"KY")</f>
        <v>KY</v>
      </c>
      <c r="R1738" s="5" t="str">
        <f ca="1">IFERROR(__xludf.DUMMYFUNCTION("""COMPUTED_VALUE"""),"High")</f>
        <v>High</v>
      </c>
      <c r="S1738" s="5" t="str">
        <f ca="1">IFERROR(__xludf.DUMMYFUNCTION("""COMPUTED_VALUE"""),"Inside School Building")</f>
        <v>Inside School Building</v>
      </c>
      <c r="T1738" s="5" t="str">
        <f ca="1">IFERROR(__xludf.DUMMYFUNCTION("""COMPUTED_VALUE"""),"Inside School Building")</f>
        <v>Inside School Building</v>
      </c>
      <c r="U1738" s="5" t="str">
        <f ca="1">IFERROR(__xludf.DUMMYFUNCTION("""COMPUTED_VALUE"""),"Yes")</f>
        <v>Yes</v>
      </c>
      <c r="V1738" s="5" t="str">
        <f ca="1">IFERROR(__xludf.DUMMYFUNCTION("""COMPUTED_VALUE"""),"Afternoon Classes")</f>
        <v>Afternoon Classes</v>
      </c>
      <c r="W1738" s="5"/>
      <c r="X1738" s="5"/>
      <c r="Y1738" s="5" t="str">
        <f ca="1">IFERROR(__xludf.DUMMYFUNCTION("""COMPUTED_VALUE"""),"Student took another student hostage at gunpoint after fight earlier in the day")</f>
        <v>Student took another student hostage at gunpoint after fight earlier in the day</v>
      </c>
      <c r="Z1738" s="5" t="str">
        <f ca="1">IFERROR(__xludf.DUMMYFUNCTION("""COMPUTED_VALUE"""),"Student took another student hostage in the school. Shooter had a fight with the student earlier in the day, when home and got two guns, and then returned to the school. No further information.")</f>
        <v>Student took another student hostage in the school. Shooter had a fight with the student earlier in the day, when home and got two guns, and then returned to the school. No further information.</v>
      </c>
      <c r="AA1738" s="5" t="str">
        <f ca="1">IFERROR(__xludf.DUMMYFUNCTION("""COMPUTED_VALUE"""),"Hostage/Standoff")</f>
        <v>Hostage/Standoff</v>
      </c>
      <c r="AB1738" s="5" t="str">
        <f ca="1">IFERROR(__xludf.DUMMYFUNCTION("""COMPUTED_VALUE"""),"Victims Targeted")</f>
        <v>Victims Targeted</v>
      </c>
      <c r="AC1738" s="5" t="str">
        <f ca="1">IFERROR(__xludf.DUMMYFUNCTION("""COMPUTED_VALUE"""),"No")</f>
        <v>No</v>
      </c>
      <c r="AD1738" s="5" t="str">
        <f ca="1">IFERROR(__xludf.DUMMYFUNCTION("""COMPUTED_VALUE"""),"Yes")</f>
        <v>Yes</v>
      </c>
      <c r="AE1738" s="5" t="str">
        <f ca="1">IFERROR(__xludf.DUMMYFUNCTION("""COMPUTED_VALUE"""),"Yes")</f>
        <v>Yes</v>
      </c>
      <c r="AF1738" s="5" t="str">
        <f ca="1">IFERROR(__xludf.DUMMYFUNCTION("""COMPUTED_VALUE"""),"No")</f>
        <v>No</v>
      </c>
      <c r="AG1738" s="5"/>
      <c r="AH1738" s="5" t="str">
        <f ca="1">IFERROR(__xludf.DUMMYFUNCTION("""COMPUTED_VALUE"""),"No")</f>
        <v>No</v>
      </c>
      <c r="AI1738" s="5" t="str">
        <f ca="1">IFERROR(__xludf.DUMMYFUNCTION("""COMPUTED_VALUE"""),"No")</f>
        <v>No</v>
      </c>
      <c r="AJ1738" s="5" t="str">
        <f ca="1">IFERROR(__xludf.DUMMYFUNCTION("""COMPUTED_VALUE"""),"Yes")</f>
        <v>Yes</v>
      </c>
    </row>
    <row r="1739" spans="1:36" ht="13">
      <c r="A1739" s="5" t="str">
        <f ca="1">IFERROR(__xludf.DUMMYFUNCTION("""COMPUTED_VALUE"""),"19950914KSOLO")</f>
        <v>19950914KSOLO</v>
      </c>
      <c r="B1739" s="5">
        <f ca="1">IFERROR(__xludf.DUMMYFUNCTION("""COMPUTED_VALUE"""),9)</f>
        <v>9</v>
      </c>
      <c r="C1739" s="5">
        <f ca="1">IFERROR(__xludf.DUMMYFUNCTION("""COMPUTED_VALUE"""),14)</f>
        <v>14</v>
      </c>
      <c r="D1739" s="5">
        <f ca="1">IFERROR(__xludf.DUMMYFUNCTION("""COMPUTED_VALUE"""),1995)</f>
        <v>1995</v>
      </c>
      <c r="E1739" s="8">
        <f ca="1">IFERROR(__xludf.DUMMYFUNCTION("""COMPUTED_VALUE"""),34956)</f>
        <v>34956</v>
      </c>
      <c r="F1739" s="5" t="str">
        <f ca="1">IFERROR(__xludf.DUMMYFUNCTION("""COMPUTED_VALUE"""),"Olathe North High School")</f>
        <v>Olathe North High School</v>
      </c>
      <c r="G1739" s="5">
        <f ca="1">IFERROR(__xludf.DUMMYFUNCTION("""COMPUTED_VALUE"""),2)</f>
        <v>2</v>
      </c>
      <c r="H1739" s="5">
        <f ca="1">IFERROR(__xludf.DUMMYFUNCTION("""COMPUTED_VALUE"""),4)</f>
        <v>4</v>
      </c>
      <c r="I1739" s="5">
        <f ca="1">IFERROR(__xludf.DUMMYFUNCTION("""COMPUTED_VALUE"""),6)</f>
        <v>6</v>
      </c>
      <c r="J1739" s="5">
        <f ca="1">IFERROR(__xludf.DUMMYFUNCTION("""COMPUTED_VALUE"""),0)</f>
        <v>0</v>
      </c>
      <c r="K1739" s="5" t="str">
        <f ca="1">IFERROR(__xludf.DUMMYFUNCTION("""COMPUTED_VALUE"""),"https://apnews.com/50a40f57fb28f9cec34b9c3f67812308 https://www.deseretnews.com/article/441226/CAPTION-ONLY--VICTIMS-MOURNED-IN-KANSAS-FOOTBALL-SLAYINGS.html http://www.columbine-angels.com/School_Violence_1995-1996.htm")</f>
        <v>https://apnews.com/50a40f57fb28f9cec34b9c3f67812308 https://www.deseretnews.com/article/441226/CAPTION-ONLY--VICTIMS-MOURNED-IN-KANSAS-FOOTBALL-SLAYINGS.html http://www.columbine-angels.com/School_Violence_1995-1996.htm</v>
      </c>
      <c r="L1739" s="5"/>
      <c r="M1739" s="5"/>
      <c r="N1739" s="5">
        <f ca="1">IFERROR(__xludf.DUMMYFUNCTION("""COMPUTED_VALUE"""),2)</f>
        <v>2</v>
      </c>
      <c r="O1739" s="5" t="str">
        <f ca="1">IFERROR(__xludf.DUMMYFUNCTION("""COMPUTED_VALUE"""),"Fall")</f>
        <v>Fall</v>
      </c>
      <c r="P1739" s="5" t="str">
        <f ca="1">IFERROR(__xludf.DUMMYFUNCTION("""COMPUTED_VALUE"""),"Olathe")</f>
        <v>Olathe</v>
      </c>
      <c r="Q1739" s="5" t="str">
        <f ca="1">IFERROR(__xludf.DUMMYFUNCTION("""COMPUTED_VALUE"""),"KS")</f>
        <v>KS</v>
      </c>
      <c r="R1739" s="5" t="str">
        <f ca="1">IFERROR(__xludf.DUMMYFUNCTION("""COMPUTED_VALUE"""),"High")</f>
        <v>High</v>
      </c>
      <c r="S1739" s="5" t="str">
        <f ca="1">IFERROR(__xludf.DUMMYFUNCTION("""COMPUTED_VALUE"""),"Parking Lot")</f>
        <v>Parking Lot</v>
      </c>
      <c r="T1739" s="5" t="str">
        <f ca="1">IFERROR(__xludf.DUMMYFUNCTION("""COMPUTED_VALUE"""),"Outside on School Property")</f>
        <v>Outside on School Property</v>
      </c>
      <c r="U1739" s="5" t="str">
        <f ca="1">IFERROR(__xludf.DUMMYFUNCTION("""COMPUTED_VALUE"""),"No")</f>
        <v>No</v>
      </c>
      <c r="V1739" s="5" t="str">
        <f ca="1">IFERROR(__xludf.DUMMYFUNCTION("""COMPUTED_VALUE"""),"Sport Event")</f>
        <v>Sport Event</v>
      </c>
      <c r="W1739" s="5"/>
      <c r="X1739" s="5">
        <f ca="1">IFERROR(__xludf.DUMMYFUNCTION("""COMPUTED_VALUE"""),1)</f>
        <v>1</v>
      </c>
      <c r="Y1739" s="5" t="str">
        <f ca="1">IFERROR(__xludf.DUMMYFUNCTION("""COMPUTED_VALUE"""),"Drive-by shooting by student from rival school at a football game.")</f>
        <v>Drive-by shooting by student from rival school at a football game.</v>
      </c>
      <c r="Z1739" s="5" t="str">
        <f ca="1">IFERROR(__xludf.DUMMYFUNCTION("""COMPUTED_VALUE"""),"Student and former student killed during drive-by shooting by student from rival school during a football game. Prior to the shooting there was a fist fight between the shooter and victims during the game.")</f>
        <v>Student and former student killed during drive-by shooting by student from rival school during a football game. Prior to the shooting there was a fist fight between the shooter and victims during the game.</v>
      </c>
      <c r="AA1739" s="5" t="str">
        <f ca="1">IFERROR(__xludf.DUMMYFUNCTION("""COMPUTED_VALUE"""),"Drive-by Shooting")</f>
        <v>Drive-by Shooting</v>
      </c>
      <c r="AB1739" s="5" t="str">
        <f ca="1">IFERROR(__xludf.DUMMYFUNCTION("""COMPUTED_VALUE"""),"Victims Targeted")</f>
        <v>Victims Targeted</v>
      </c>
      <c r="AC1739" s="5" t="str">
        <f ca="1">IFERROR(__xludf.DUMMYFUNCTION("""COMPUTED_VALUE"""),"No")</f>
        <v>No</v>
      </c>
      <c r="AD1739" s="5" t="str">
        <f ca="1">IFERROR(__xludf.DUMMYFUNCTION("""COMPUTED_VALUE"""),"No")</f>
        <v>No</v>
      </c>
      <c r="AE1739" s="5" t="str">
        <f ca="1">IFERROR(__xludf.DUMMYFUNCTION("""COMPUTED_VALUE"""),"No")</f>
        <v>No</v>
      </c>
      <c r="AF1739" s="5" t="str">
        <f ca="1">IFERROR(__xludf.DUMMYFUNCTION("""COMPUTED_VALUE"""),"No")</f>
        <v>No</v>
      </c>
      <c r="AG1739" s="5" t="str">
        <f ca="1">IFERROR(__xludf.DUMMYFUNCTION("""COMPUTED_VALUE"""),"No")</f>
        <v>No</v>
      </c>
      <c r="AH1739" s="5" t="str">
        <f ca="1">IFERROR(__xludf.DUMMYFUNCTION("""COMPUTED_VALUE"""),"No")</f>
        <v>No</v>
      </c>
      <c r="AI1739" s="5" t="str">
        <f ca="1">IFERROR(__xludf.DUMMYFUNCTION("""COMPUTED_VALUE"""),"Yes")</f>
        <v>Yes</v>
      </c>
      <c r="AJ1739" s="5"/>
    </row>
    <row r="1740" spans="1:36" ht="13">
      <c r="A1740" s="5" t="str">
        <f ca="1">IFERROR(__xludf.DUMMYFUNCTION("""COMPUTED_VALUE"""),"19950912TNCYM")</f>
        <v>19950912TNCYM</v>
      </c>
      <c r="B1740" s="5">
        <f ca="1">IFERROR(__xludf.DUMMYFUNCTION("""COMPUTED_VALUE"""),9)</f>
        <v>9</v>
      </c>
      <c r="C1740" s="5">
        <f ca="1">IFERROR(__xludf.DUMMYFUNCTION("""COMPUTED_VALUE"""),12)</f>
        <v>12</v>
      </c>
      <c r="D1740" s="5">
        <f ca="1">IFERROR(__xludf.DUMMYFUNCTION("""COMPUTED_VALUE"""),1995)</f>
        <v>1995</v>
      </c>
      <c r="E1740" s="8">
        <f ca="1">IFERROR(__xludf.DUMMYFUNCTION("""COMPUTED_VALUE"""),34954)</f>
        <v>34954</v>
      </c>
      <c r="F1740" s="5" t="str">
        <f ca="1">IFERROR(__xludf.DUMMYFUNCTION("""COMPUTED_VALUE"""),"Cypress Junior High School")</f>
        <v>Cypress Junior High School</v>
      </c>
      <c r="G1740" s="5">
        <f ca="1">IFERROR(__xludf.DUMMYFUNCTION("""COMPUTED_VALUE"""),1)</f>
        <v>1</v>
      </c>
      <c r="H1740" s="5">
        <f ca="1">IFERROR(__xludf.DUMMYFUNCTION("""COMPUTED_VALUE"""),0)</f>
        <v>0</v>
      </c>
      <c r="I1740" s="5">
        <f ca="1">IFERROR(__xludf.DUMMYFUNCTION("""COMPUTED_VALUE"""),1)</f>
        <v>1</v>
      </c>
      <c r="J1740" s="5">
        <f ca="1">IFERROR(__xludf.DUMMYFUNCTION("""COMPUTED_VALUE"""),0)</f>
        <v>0</v>
      </c>
      <c r="K1740" s="9" t="str">
        <f ca="1">IFERROR(__xludf.DUMMYFUNCTION("""COMPUTED_VALUE"""),"https://www.columbine-angels.com/School_Violence_1995-1996.htm")</f>
        <v>https://www.columbine-angels.com/School_Violence_1995-1996.htm</v>
      </c>
      <c r="L1740" s="5"/>
      <c r="M1740" s="5"/>
      <c r="N1740" s="5">
        <f ca="1">IFERROR(__xludf.DUMMYFUNCTION("""COMPUTED_VALUE"""),1)</f>
        <v>1</v>
      </c>
      <c r="O1740" s="5" t="str">
        <f ca="1">IFERROR(__xludf.DUMMYFUNCTION("""COMPUTED_VALUE"""),"Fall")</f>
        <v>Fall</v>
      </c>
      <c r="P1740" s="5" t="str">
        <f ca="1">IFERROR(__xludf.DUMMYFUNCTION("""COMPUTED_VALUE"""),"Memphis")</f>
        <v>Memphis</v>
      </c>
      <c r="Q1740" s="5" t="str">
        <f ca="1">IFERROR(__xludf.DUMMYFUNCTION("""COMPUTED_VALUE"""),"TN")</f>
        <v>TN</v>
      </c>
      <c r="R1740" s="5" t="str">
        <f ca="1">IFERROR(__xludf.DUMMYFUNCTION("""COMPUTED_VALUE"""),"Junior High")</f>
        <v>Junior High</v>
      </c>
      <c r="S1740" s="5" t="str">
        <f ca="1">IFERROR(__xludf.DUMMYFUNCTION("""COMPUTED_VALUE"""),"Hallway")</f>
        <v>Hallway</v>
      </c>
      <c r="T1740" s="5" t="str">
        <f ca="1">IFERROR(__xludf.DUMMYFUNCTION("""COMPUTED_VALUE"""),"Inside School Building")</f>
        <v>Inside School Building</v>
      </c>
      <c r="U1740" s="5" t="str">
        <f ca="1">IFERROR(__xludf.DUMMYFUNCTION("""COMPUTED_VALUE"""),"Yes")</f>
        <v>Yes</v>
      </c>
      <c r="V1740" s="5" t="str">
        <f ca="1">IFERROR(__xludf.DUMMYFUNCTION("""COMPUTED_VALUE"""),"Morning Classes")</f>
        <v>Morning Classes</v>
      </c>
      <c r="W1740" s="10">
        <f ca="1">IFERROR(__xludf.DUMMYFUNCTION("""COMPUTED_VALUE"""),0.354166666666666)</f>
        <v>0.35416666666666602</v>
      </c>
      <c r="X1740" s="5">
        <f ca="1">IFERROR(__xludf.DUMMYFUNCTION("""COMPUTED_VALUE"""),1)</f>
        <v>1</v>
      </c>
      <c r="Y1740" s="5" t="str">
        <f ca="1">IFERROR(__xludf.DUMMYFUNCTION("""COMPUTED_VALUE"""),"Shooter retaliated for previous assault by victim.")</f>
        <v>Shooter retaliated for previous assault by victim.</v>
      </c>
      <c r="Z1740" s="5" t="str">
        <f ca="1">IFERROR(__xludf.DUMMYFUNCTION("""COMPUTED_VALUE"""),"15 year-old male shooter had been jumped by victim and his friend that morning. Shooter shot and killed victim with .38 handgun.")</f>
        <v>15 year-old male shooter had been jumped by victim and his friend that morning. Shooter shot and killed victim with .38 handgun.</v>
      </c>
      <c r="AA1740" s="5" t="str">
        <f ca="1">IFERROR(__xludf.DUMMYFUNCTION("""COMPUTED_VALUE"""),"Escalation of Dispute")</f>
        <v>Escalation of Dispute</v>
      </c>
      <c r="AB1740" s="5" t="str">
        <f ca="1">IFERROR(__xludf.DUMMYFUNCTION("""COMPUTED_VALUE"""),"Victims Targeted")</f>
        <v>Victims Targeted</v>
      </c>
      <c r="AC1740" s="5" t="str">
        <f ca="1">IFERROR(__xludf.DUMMYFUNCTION("""COMPUTED_VALUE"""),"No")</f>
        <v>No</v>
      </c>
      <c r="AD1740" s="5" t="str">
        <f ca="1">IFERROR(__xludf.DUMMYFUNCTION("""COMPUTED_VALUE"""),"No")</f>
        <v>No</v>
      </c>
      <c r="AE1740" s="5" t="str">
        <f ca="1">IFERROR(__xludf.DUMMYFUNCTION("""COMPUTED_VALUE"""),"No")</f>
        <v>No</v>
      </c>
      <c r="AF1740" s="5" t="str">
        <f ca="1">IFERROR(__xludf.DUMMYFUNCTION("""COMPUTED_VALUE"""),"No")</f>
        <v>No</v>
      </c>
      <c r="AG1740" s="5" t="str">
        <f ca="1">IFERROR(__xludf.DUMMYFUNCTION("""COMPUTED_VALUE"""),"No")</f>
        <v>No</v>
      </c>
      <c r="AH1740" s="5" t="str">
        <f ca="1">IFERROR(__xludf.DUMMYFUNCTION("""COMPUTED_VALUE"""),"No")</f>
        <v>No</v>
      </c>
      <c r="AI1740" s="5" t="str">
        <f ca="1">IFERROR(__xludf.DUMMYFUNCTION("""COMPUTED_VALUE"""),"No")</f>
        <v>No</v>
      </c>
      <c r="AJ1740" s="5"/>
    </row>
    <row r="1741" spans="1:36" ht="13">
      <c r="A1741" s="5" t="str">
        <f ca="1">IFERROR(__xludf.DUMMYFUNCTION("""COMPUTED_VALUE"""),"19950829TXMEL")</f>
        <v>19950829TXMEL</v>
      </c>
      <c r="B1741" s="5">
        <f ca="1">IFERROR(__xludf.DUMMYFUNCTION("""COMPUTED_VALUE"""),8)</f>
        <v>8</v>
      </c>
      <c r="C1741" s="5">
        <f ca="1">IFERROR(__xludf.DUMMYFUNCTION("""COMPUTED_VALUE"""),29)</f>
        <v>29</v>
      </c>
      <c r="D1741" s="5">
        <f ca="1">IFERROR(__xludf.DUMMYFUNCTION("""COMPUTED_VALUE"""),1995)</f>
        <v>1995</v>
      </c>
      <c r="E1741" s="8">
        <f ca="1">IFERROR(__xludf.DUMMYFUNCTION("""COMPUTED_VALUE"""),34940)</f>
        <v>34940</v>
      </c>
      <c r="F1741" s="5" t="str">
        <f ca="1">IFERROR(__xludf.DUMMYFUNCTION("""COMPUTED_VALUE"""),"Memorial Middle School")</f>
        <v>Memorial Middle School</v>
      </c>
      <c r="G1741" s="5">
        <f ca="1">IFERROR(__xludf.DUMMYFUNCTION("""COMPUTED_VALUE"""),1)</f>
        <v>1</v>
      </c>
      <c r="H1741" s="5">
        <f ca="1">IFERROR(__xludf.DUMMYFUNCTION("""COMPUTED_VALUE"""),0)</f>
        <v>0</v>
      </c>
      <c r="I1741" s="5">
        <f ca="1">IFERROR(__xludf.DUMMYFUNCTION("""COMPUTED_VALUE"""),1)</f>
        <v>1</v>
      </c>
      <c r="J1741" s="5">
        <f ca="1">IFERROR(__xludf.DUMMYFUNCTION("""COMPUTED_VALUE"""),0)</f>
        <v>0</v>
      </c>
      <c r="K1741" s="9" t="str">
        <f ca="1">IFERROR(__xludf.DUMMYFUNCTION("""COMPUTED_VALUE"""),"http://www.columbine-angels.com/School_Violence_1995-1996.htm")</f>
        <v>http://www.columbine-angels.com/School_Violence_1995-1996.htm</v>
      </c>
      <c r="L1741" s="5"/>
      <c r="M1741" s="5"/>
      <c r="N1741" s="5">
        <f ca="1">IFERROR(__xludf.DUMMYFUNCTION("""COMPUTED_VALUE"""),1)</f>
        <v>1</v>
      </c>
      <c r="O1741" s="5" t="str">
        <f ca="1">IFERROR(__xludf.DUMMYFUNCTION("""COMPUTED_VALUE"""),"Summer")</f>
        <v>Summer</v>
      </c>
      <c r="P1741" s="5" t="str">
        <f ca="1">IFERROR(__xludf.DUMMYFUNCTION("""COMPUTED_VALUE"""),"Laredo")</f>
        <v>Laredo</v>
      </c>
      <c r="Q1741" s="5" t="str">
        <f ca="1">IFERROR(__xludf.DUMMYFUNCTION("""COMPUTED_VALUE"""),"TX")</f>
        <v>TX</v>
      </c>
      <c r="R1741" s="5" t="str">
        <f ca="1">IFERROR(__xludf.DUMMYFUNCTION("""COMPUTED_VALUE"""),"Middle")</f>
        <v>Middle</v>
      </c>
      <c r="S1741" s="5" t="str">
        <f ca="1">IFERROR(__xludf.DUMMYFUNCTION("""COMPUTED_VALUE"""),"Bathroom")</f>
        <v>Bathroom</v>
      </c>
      <c r="T1741" s="5" t="str">
        <f ca="1">IFERROR(__xludf.DUMMYFUNCTION("""COMPUTED_VALUE"""),"Inside School Building")</f>
        <v>Inside School Building</v>
      </c>
      <c r="U1741" s="5" t="str">
        <f ca="1">IFERROR(__xludf.DUMMYFUNCTION("""COMPUTED_VALUE"""),"No")</f>
        <v>No</v>
      </c>
      <c r="V1741" s="5" t="str">
        <f ca="1">IFERROR(__xludf.DUMMYFUNCTION("""COMPUTED_VALUE"""),"After School")</f>
        <v>After School</v>
      </c>
      <c r="W1741" s="10">
        <f ca="1">IFERROR(__xludf.DUMMYFUNCTION("""COMPUTED_VALUE"""),0.677083333333333)</f>
        <v>0.67708333333333304</v>
      </c>
      <c r="X1741" s="5">
        <f ca="1">IFERROR(__xludf.DUMMYFUNCTION("""COMPUTED_VALUE"""),1)</f>
        <v>1</v>
      </c>
      <c r="Y1741" s="5" t="str">
        <f ca="1">IFERROR(__xludf.DUMMYFUNCTION("""COMPUTED_VALUE"""),"Shot victim in the bathroom then fled.")</f>
        <v>Shot victim in the bathroom then fled.</v>
      </c>
      <c r="Z1741" s="5" t="str">
        <f ca="1">IFERROR(__xludf.DUMMYFUNCTION("""COMPUTED_VALUE"""),"12 year-old male shooter was sitting with other students outside of school with a sawed off shotgun. Shooter saw the victim and followed her into the bathroom. He'd previously asked the victim to go out with him and she refused. He pointed the gun at her "&amp;"and shot her in the head and fled the scene. A nearby teacher heard the shot and found the victim in the bathroom. Later that night shooter was arrested in his home.")</f>
        <v>12 year-old male shooter was sitting with other students outside of school with a sawed off shotgun. Shooter saw the victim and followed her into the bathroom. He'd previously asked the victim to go out with him and she refused. He pointed the gun at her and shot her in the head and fled the scene. A nearby teacher heard the shot and found the victim in the bathroom. Later that night shooter was arrested in his home.</v>
      </c>
      <c r="AA1741" s="5" t="str">
        <f ca="1">IFERROR(__xludf.DUMMYFUNCTION("""COMPUTED_VALUE"""),"Domestic w/ Targeted Victim")</f>
        <v>Domestic w/ Targeted Victim</v>
      </c>
      <c r="AB1741" s="5" t="str">
        <f ca="1">IFERROR(__xludf.DUMMYFUNCTION("""COMPUTED_VALUE"""),"Victims Targeted")</f>
        <v>Victims Targeted</v>
      </c>
      <c r="AC1741" s="5" t="str">
        <f ca="1">IFERROR(__xludf.DUMMYFUNCTION("""COMPUTED_VALUE"""),"No")</f>
        <v>No</v>
      </c>
      <c r="AD1741" s="5" t="str">
        <f ca="1">IFERROR(__xludf.DUMMYFUNCTION("""COMPUTED_VALUE"""),"No")</f>
        <v>No</v>
      </c>
      <c r="AE1741" s="5" t="str">
        <f ca="1">IFERROR(__xludf.DUMMYFUNCTION("""COMPUTED_VALUE"""),"No")</f>
        <v>No</v>
      </c>
      <c r="AF1741" s="5" t="str">
        <f ca="1">IFERROR(__xludf.DUMMYFUNCTION("""COMPUTED_VALUE"""),"No")</f>
        <v>No</v>
      </c>
      <c r="AG1741" s="5" t="str">
        <f ca="1">IFERROR(__xludf.DUMMYFUNCTION("""COMPUTED_VALUE"""),"No")</f>
        <v>No</v>
      </c>
      <c r="AH1741" s="5" t="str">
        <f ca="1">IFERROR(__xludf.DUMMYFUNCTION("""COMPUTED_VALUE"""),"Yes")</f>
        <v>Yes</v>
      </c>
      <c r="AI1741" s="5" t="str">
        <f ca="1">IFERROR(__xludf.DUMMYFUNCTION("""COMPUTED_VALUE"""),"No")</f>
        <v>No</v>
      </c>
      <c r="AJ1741" s="5"/>
    </row>
    <row r="1742" spans="1:36" ht="13">
      <c r="A1742" s="5" t="str">
        <f ca="1">IFERROR(__xludf.DUMMYFUNCTION("""COMPUTED_VALUE"""),"19950614FLLAL")</f>
        <v>19950614FLLAL</v>
      </c>
      <c r="B1742" s="5">
        <f ca="1">IFERROR(__xludf.DUMMYFUNCTION("""COMPUTED_VALUE"""),6)</f>
        <v>6</v>
      </c>
      <c r="C1742" s="5">
        <f ca="1">IFERROR(__xludf.DUMMYFUNCTION("""COMPUTED_VALUE"""),14)</f>
        <v>14</v>
      </c>
      <c r="D1742" s="5">
        <f ca="1">IFERROR(__xludf.DUMMYFUNCTION("""COMPUTED_VALUE"""),1995)</f>
        <v>1995</v>
      </c>
      <c r="E1742" s="8">
        <f ca="1">IFERROR(__xludf.DUMMYFUNCTION("""COMPUTED_VALUE"""),34864)</f>
        <v>34864</v>
      </c>
      <c r="F1742" s="5" t="str">
        <f ca="1">IFERROR(__xludf.DUMMYFUNCTION("""COMPUTED_VALUE"""),"Lake Worth High School")</f>
        <v>Lake Worth High School</v>
      </c>
      <c r="G1742" s="5">
        <f ca="1">IFERROR(__xludf.DUMMYFUNCTION("""COMPUTED_VALUE"""),0)</f>
        <v>0</v>
      </c>
      <c r="H1742" s="5">
        <f ca="1">IFERROR(__xludf.DUMMYFUNCTION("""COMPUTED_VALUE"""),2)</f>
        <v>2</v>
      </c>
      <c r="I1742" s="5">
        <f ca="1">IFERROR(__xludf.DUMMYFUNCTION("""COMPUTED_VALUE"""),2)</f>
        <v>2</v>
      </c>
      <c r="J1742" s="5">
        <f ca="1">IFERROR(__xludf.DUMMYFUNCTION("""COMPUTED_VALUE"""),0)</f>
        <v>0</v>
      </c>
      <c r="K1742" s="5" t="str">
        <f ca="1">IFERROR(__xludf.DUMMYFUNCTION("""COMPUTED_VALUE"""),"https://www.columbine-angels.com/School_Violence_1994-1995.htm https://www.sun-sentinel.com/news/fl-xpm-1995-06-15-9506150119-story.html")</f>
        <v>https://www.columbine-angels.com/School_Violence_1994-1995.htm https://www.sun-sentinel.com/news/fl-xpm-1995-06-15-9506150119-story.html</v>
      </c>
      <c r="L1742" s="5"/>
      <c r="M1742" s="5"/>
      <c r="N1742" s="5">
        <f ca="1">IFERROR(__xludf.DUMMYFUNCTION("""COMPUTED_VALUE"""),1)</f>
        <v>1</v>
      </c>
      <c r="O1742" s="5" t="str">
        <f ca="1">IFERROR(__xludf.DUMMYFUNCTION("""COMPUTED_VALUE"""),"Summer")</f>
        <v>Summer</v>
      </c>
      <c r="P1742" s="5" t="str">
        <f ca="1">IFERROR(__xludf.DUMMYFUNCTION("""COMPUTED_VALUE"""),"Lake Worth")</f>
        <v>Lake Worth</v>
      </c>
      <c r="Q1742" s="5" t="str">
        <f ca="1">IFERROR(__xludf.DUMMYFUNCTION("""COMPUTED_VALUE"""),"FL")</f>
        <v>FL</v>
      </c>
      <c r="R1742" s="5" t="str">
        <f ca="1">IFERROR(__xludf.DUMMYFUNCTION("""COMPUTED_VALUE"""),"High")</f>
        <v>High</v>
      </c>
      <c r="S1742" s="5" t="str">
        <f ca="1">IFERROR(__xludf.DUMMYFUNCTION("""COMPUTED_VALUE"""),"Parking Lot")</f>
        <v>Parking Lot</v>
      </c>
      <c r="T1742" s="5" t="str">
        <f ca="1">IFERROR(__xludf.DUMMYFUNCTION("""COMPUTED_VALUE"""),"Outside on School Property")</f>
        <v>Outside on School Property</v>
      </c>
      <c r="U1742" s="5" t="str">
        <f ca="1">IFERROR(__xludf.DUMMYFUNCTION("""COMPUTED_VALUE"""),"No")</f>
        <v>No</v>
      </c>
      <c r="V1742" s="5" t="str">
        <f ca="1">IFERROR(__xludf.DUMMYFUNCTION("""COMPUTED_VALUE"""),"Dismissal")</f>
        <v>Dismissal</v>
      </c>
      <c r="W1742" s="10">
        <f ca="1">IFERROR(__xludf.DUMMYFUNCTION("""COMPUTED_VALUE"""),0.520833333333333)</f>
        <v>0.52083333333333304</v>
      </c>
      <c r="X1742" s="5">
        <f ca="1">IFERROR(__xludf.DUMMYFUNCTION("""COMPUTED_VALUE"""),1)</f>
        <v>1</v>
      </c>
      <c r="Y1742" s="5" t="str">
        <f ca="1">IFERROR(__xludf.DUMMYFUNCTION("""COMPUTED_VALUE"""),"Shooting in parking lot on the last day of school at dismissal time.")</f>
        <v>Shooting in parking lot on the last day of school at dismissal time.</v>
      </c>
      <c r="Z1742" s="5" t="str">
        <f ca="1">IFERROR(__xludf.DUMMYFUNCTION("""COMPUTED_VALUE"""),"A 19 year-old male, former student and dropout went to the school to pick up his girlfriend. He was waiting by the parking lot steps for her. Male victim was also picking up his girlfriend. When he found her, he brought her to his car and started walking "&amp;"back to campus with 3 other friends to look for someone else. As the male victim approached, the suspect pulled out his gun. When victim turned to run the handgun was fired, striking another female student in her knee from the bullet ricocheting off the c"&amp;"ement. Both had went to a different highschool together and were weightlifting buddies. He fled in his friends car - police arrested him several hours later.")</f>
        <v>A 19 year-old male, former student and dropout went to the school to pick up his girlfriend. He was waiting by the parking lot steps for her. Male victim was also picking up his girlfriend. When he found her, he brought her to his car and started walking back to campus with 3 other friends to look for someone else. As the male victim approached, the suspect pulled out his gun. When victim turned to run the handgun was fired, striking another female student in her knee from the bullet ricocheting off the cement. Both had went to a different highschool together and were weightlifting buddies. He fled in his friends car - police arrested him several hours later.</v>
      </c>
      <c r="AA1742" s="5" t="str">
        <f ca="1">IFERROR(__xludf.DUMMYFUNCTION("""COMPUTED_VALUE"""),"Domestic w/ Targeted Victim")</f>
        <v>Domestic w/ Targeted Victim</v>
      </c>
      <c r="AB1742" s="5" t="str">
        <f ca="1">IFERROR(__xludf.DUMMYFUNCTION("""COMPUTED_VALUE"""),"Both")</f>
        <v>Both</v>
      </c>
      <c r="AC1742" s="5" t="str">
        <f ca="1">IFERROR(__xludf.DUMMYFUNCTION("""COMPUTED_VALUE"""),"No")</f>
        <v>No</v>
      </c>
      <c r="AD1742" s="5" t="str">
        <f ca="1">IFERROR(__xludf.DUMMYFUNCTION("""COMPUTED_VALUE"""),"No")</f>
        <v>No</v>
      </c>
      <c r="AE1742" s="5" t="str">
        <f ca="1">IFERROR(__xludf.DUMMYFUNCTION("""COMPUTED_VALUE"""),"No")</f>
        <v>No</v>
      </c>
      <c r="AF1742" s="5" t="str">
        <f ca="1">IFERROR(__xludf.DUMMYFUNCTION("""COMPUTED_VALUE"""),"No")</f>
        <v>No</v>
      </c>
      <c r="AG1742" s="5" t="str">
        <f ca="1">IFERROR(__xludf.DUMMYFUNCTION("""COMPUTED_VALUE"""),"No")</f>
        <v>No</v>
      </c>
      <c r="AH1742" s="5" t="str">
        <f ca="1">IFERROR(__xludf.DUMMYFUNCTION("""COMPUTED_VALUE"""),"No")</f>
        <v>No</v>
      </c>
      <c r="AI1742" s="5" t="str">
        <f ca="1">IFERROR(__xludf.DUMMYFUNCTION("""COMPUTED_VALUE"""),"No")</f>
        <v>No</v>
      </c>
      <c r="AJ1742" s="5"/>
    </row>
    <row r="1743" spans="1:36" ht="13">
      <c r="A1743" s="5" t="str">
        <f ca="1">IFERROR(__xludf.DUMMYFUNCTION("""COMPUTED_VALUE"""),"19950327MIRED")</f>
        <v>19950327MIRED</v>
      </c>
      <c r="B1743" s="5">
        <f ca="1">IFERROR(__xludf.DUMMYFUNCTION("""COMPUTED_VALUE"""),3)</f>
        <v>3</v>
      </c>
      <c r="C1743" s="5">
        <f ca="1">IFERROR(__xludf.DUMMYFUNCTION("""COMPUTED_VALUE"""),27)</f>
        <v>27</v>
      </c>
      <c r="D1743" s="5">
        <f ca="1">IFERROR(__xludf.DUMMYFUNCTION("""COMPUTED_VALUE"""),1995)</f>
        <v>1995</v>
      </c>
      <c r="E1743" s="8">
        <f ca="1">IFERROR(__xludf.DUMMYFUNCTION("""COMPUTED_VALUE"""),34785)</f>
        <v>34785</v>
      </c>
      <c r="F1743" s="5" t="str">
        <f ca="1">IFERROR(__xludf.DUMMYFUNCTION("""COMPUTED_VALUE"""),"Redford High School")</f>
        <v>Redford High School</v>
      </c>
      <c r="G1743" s="5">
        <f ca="1">IFERROR(__xludf.DUMMYFUNCTION("""COMPUTED_VALUE"""),0)</f>
        <v>0</v>
      </c>
      <c r="H1743" s="5">
        <f ca="1">IFERROR(__xludf.DUMMYFUNCTION("""COMPUTED_VALUE"""),1)</f>
        <v>1</v>
      </c>
      <c r="I1743" s="5">
        <f ca="1">IFERROR(__xludf.DUMMYFUNCTION("""COMPUTED_VALUE"""),1)</f>
        <v>1</v>
      </c>
      <c r="J1743" s="5">
        <f ca="1">IFERROR(__xludf.DUMMYFUNCTION("""COMPUTED_VALUE"""),0)</f>
        <v>0</v>
      </c>
      <c r="K1743" s="5" t="str">
        <f ca="1">IFERROR(__xludf.DUMMYFUNCTION("""COMPUTED_VALUE"""),"https://www.newspapers.com/image/99233823/?terms=student%2Bshot https://crimeindetroit.com/documents/Student%20says%20she%20was%20shot%20by%20Suspect's%20Brother.pdf https://www.crimeindetroit.com/documents/Denby.pdf")</f>
        <v>https://www.newspapers.com/image/99233823/?terms=student%2Bshot https://crimeindetroit.com/documents/Student%20says%20she%20was%20shot%20by%20Suspect's%20Brother.pdf https://www.crimeindetroit.com/documents/Denby.pdf</v>
      </c>
      <c r="L1743" s="5"/>
      <c r="M1743" s="5"/>
      <c r="N1743" s="5">
        <f ca="1">IFERROR(__xludf.DUMMYFUNCTION("""COMPUTED_VALUE"""),2)</f>
        <v>2</v>
      </c>
      <c r="O1743" s="5" t="str">
        <f ca="1">IFERROR(__xludf.DUMMYFUNCTION("""COMPUTED_VALUE"""),"Spring")</f>
        <v>Spring</v>
      </c>
      <c r="P1743" s="5" t="str">
        <f ca="1">IFERROR(__xludf.DUMMYFUNCTION("""COMPUTED_VALUE"""),"Detroit")</f>
        <v>Detroit</v>
      </c>
      <c r="Q1743" s="5" t="str">
        <f ca="1">IFERROR(__xludf.DUMMYFUNCTION("""COMPUTED_VALUE"""),"MI")</f>
        <v>MI</v>
      </c>
      <c r="R1743" s="5" t="str">
        <f ca="1">IFERROR(__xludf.DUMMYFUNCTION("""COMPUTED_VALUE"""),"High")</f>
        <v>High</v>
      </c>
      <c r="S1743" s="5" t="str">
        <f ca="1">IFERROR(__xludf.DUMMYFUNCTION("""COMPUTED_VALUE"""),"Hallway")</f>
        <v>Hallway</v>
      </c>
      <c r="T1743" s="5" t="str">
        <f ca="1">IFERROR(__xludf.DUMMYFUNCTION("""COMPUTED_VALUE"""),"Inside School Building")</f>
        <v>Inside School Building</v>
      </c>
      <c r="U1743" s="5" t="str">
        <f ca="1">IFERROR(__xludf.DUMMYFUNCTION("""COMPUTED_VALUE"""),"Yes")</f>
        <v>Yes</v>
      </c>
      <c r="V1743" s="5" t="str">
        <f ca="1">IFERROR(__xludf.DUMMYFUNCTION("""COMPUTED_VALUE"""),"Morning Classes")</f>
        <v>Morning Classes</v>
      </c>
      <c r="W1743" s="10">
        <f ca="1">IFERROR(__xludf.DUMMYFUNCTION("""COMPUTED_VALUE"""),0.416666666666666)</f>
        <v>0.41666666666666602</v>
      </c>
      <c r="X1743" s="5">
        <f ca="1">IFERROR(__xludf.DUMMYFUNCTION("""COMPUTED_VALUE"""),1)</f>
        <v>1</v>
      </c>
      <c r="Y1743" s="5" t="str">
        <f ca="1">IFERROR(__xludf.DUMMYFUNCTION("""COMPUTED_VALUE"""),"A gun was dropped and went off in the hallway.")</f>
        <v>A gun was dropped and went off in the hallway.</v>
      </c>
      <c r="Z1743" s="5" t="str">
        <f ca="1">IFERROR(__xludf.DUMMYFUNCTION("""COMPUTED_VALUE"""),"A 15 year-old female was shot in the leg when a gang member was removing his gun from his locker and dropped it, causing it to go off in the hallway. The person she allegedly identified as the shooter confessed and was charged, but later told police it wa"&amp;"s his brother. She made a false statement to police about the identify of the shooter due to fear of retribution. Police arrested the shooter in school and told police he had disposed of the gun, which was later found in a field nearby.")</f>
        <v>A 15 year-old female was shot in the leg when a gang member was removing his gun from his locker and dropped it, causing it to go off in the hallway. The person she allegedly identified as the shooter confessed and was charged, but later told police it was his brother. She made a false statement to police about the identify of the shooter due to fear of retribution. Police arrested the shooter in school and told police he had disposed of the gun, which was later found in a field nearby.</v>
      </c>
      <c r="AA1743" s="5" t="str">
        <f ca="1">IFERROR(__xludf.DUMMYFUNCTION("""COMPUTED_VALUE"""),"Accidental")</f>
        <v>Accidental</v>
      </c>
      <c r="AB1743" s="5" t="str">
        <f ca="1">IFERROR(__xludf.DUMMYFUNCTION("""COMPUTED_VALUE"""),"Victims Targeted")</f>
        <v>Victims Targeted</v>
      </c>
      <c r="AC1743" s="5" t="str">
        <f ca="1">IFERROR(__xludf.DUMMYFUNCTION("""COMPUTED_VALUE"""),"No")</f>
        <v>No</v>
      </c>
      <c r="AD1743" s="5" t="str">
        <f ca="1">IFERROR(__xludf.DUMMYFUNCTION("""COMPUTED_VALUE"""),"No")</f>
        <v>No</v>
      </c>
      <c r="AE1743" s="5" t="str">
        <f ca="1">IFERROR(__xludf.DUMMYFUNCTION("""COMPUTED_VALUE"""),"No")</f>
        <v>No</v>
      </c>
      <c r="AF1743" s="5" t="str">
        <f ca="1">IFERROR(__xludf.DUMMYFUNCTION("""COMPUTED_VALUE"""),"No")</f>
        <v>No</v>
      </c>
      <c r="AG1743" s="5" t="str">
        <f ca="1">IFERROR(__xludf.DUMMYFUNCTION("""COMPUTED_VALUE"""),"No")</f>
        <v>No</v>
      </c>
      <c r="AH1743" s="5" t="str">
        <f ca="1">IFERROR(__xludf.DUMMYFUNCTION("""COMPUTED_VALUE"""),"No")</f>
        <v>No</v>
      </c>
      <c r="AI1743" s="5" t="str">
        <f ca="1">IFERROR(__xludf.DUMMYFUNCTION("""COMPUTED_VALUE"""),"Yes")</f>
        <v>Yes</v>
      </c>
      <c r="AJ1743" s="5"/>
    </row>
    <row r="1744" spans="1:36" ht="13">
      <c r="A1744" s="5" t="str">
        <f ca="1">IFERROR(__xludf.DUMMYFUNCTION("""COMPUTED_VALUE"""),"19950303MIPED")</f>
        <v>19950303MIPED</v>
      </c>
      <c r="B1744" s="5">
        <f ca="1">IFERROR(__xludf.DUMMYFUNCTION("""COMPUTED_VALUE"""),3)</f>
        <v>3</v>
      </c>
      <c r="C1744" s="5">
        <f ca="1">IFERROR(__xludf.DUMMYFUNCTION("""COMPUTED_VALUE"""),3)</f>
        <v>3</v>
      </c>
      <c r="D1744" s="5">
        <f ca="1">IFERROR(__xludf.DUMMYFUNCTION("""COMPUTED_VALUE"""),1995)</f>
        <v>1995</v>
      </c>
      <c r="E1744" s="8">
        <f ca="1">IFERROR(__xludf.DUMMYFUNCTION("""COMPUTED_VALUE"""),34761)</f>
        <v>34761</v>
      </c>
      <c r="F1744" s="5" t="str">
        <f ca="1">IFERROR(__xludf.DUMMYFUNCTION("""COMPUTED_VALUE"""),"Pershing High School")</f>
        <v>Pershing High School</v>
      </c>
      <c r="G1744" s="5">
        <f ca="1">IFERROR(__xludf.DUMMYFUNCTION("""COMPUTED_VALUE"""),0)</f>
        <v>0</v>
      </c>
      <c r="H1744" s="5">
        <f ca="1">IFERROR(__xludf.DUMMYFUNCTION("""COMPUTED_VALUE"""),1)</f>
        <v>1</v>
      </c>
      <c r="I1744" s="5">
        <f ca="1">IFERROR(__xludf.DUMMYFUNCTION("""COMPUTED_VALUE"""),1)</f>
        <v>1</v>
      </c>
      <c r="J1744" s="5">
        <f ca="1">IFERROR(__xludf.DUMMYFUNCTION("""COMPUTED_VALUE"""),0)</f>
        <v>0</v>
      </c>
      <c r="K1744" s="5" t="str">
        <f ca="1">IFERROR(__xludf.DUMMYFUNCTION("""COMPUTED_VALUE"""),"https://www.crimeindetroit.com/documents/Denby.pdf https://www.newspapers.com/image/99271023/")</f>
        <v>https://www.crimeindetroit.com/documents/Denby.pdf https://www.newspapers.com/image/99271023/</v>
      </c>
      <c r="L1744" s="5"/>
      <c r="M1744" s="5"/>
      <c r="N1744" s="5">
        <f ca="1">IFERROR(__xludf.DUMMYFUNCTION("""COMPUTED_VALUE"""),3)</f>
        <v>3</v>
      </c>
      <c r="O1744" s="5" t="str">
        <f ca="1">IFERROR(__xludf.DUMMYFUNCTION("""COMPUTED_VALUE"""),"Spring")</f>
        <v>Spring</v>
      </c>
      <c r="P1744" s="5" t="str">
        <f ca="1">IFERROR(__xludf.DUMMYFUNCTION("""COMPUTED_VALUE"""),"Detroit")</f>
        <v>Detroit</v>
      </c>
      <c r="Q1744" s="5" t="str">
        <f ca="1">IFERROR(__xludf.DUMMYFUNCTION("""COMPUTED_VALUE"""),"MI")</f>
        <v>MI</v>
      </c>
      <c r="R1744" s="5" t="str">
        <f ca="1">IFERROR(__xludf.DUMMYFUNCTION("""COMPUTED_VALUE"""),"High")</f>
        <v>High</v>
      </c>
      <c r="S1744" s="5" t="str">
        <f ca="1">IFERROR(__xludf.DUMMYFUNCTION("""COMPUTED_VALUE"""),"Hallway")</f>
        <v>Hallway</v>
      </c>
      <c r="T1744" s="5" t="str">
        <f ca="1">IFERROR(__xludf.DUMMYFUNCTION("""COMPUTED_VALUE"""),"Inside School Building")</f>
        <v>Inside School Building</v>
      </c>
      <c r="U1744" s="5" t="str">
        <f ca="1">IFERROR(__xludf.DUMMYFUNCTION("""COMPUTED_VALUE"""),"Yes")</f>
        <v>Yes</v>
      </c>
      <c r="V1744" s="5" t="str">
        <f ca="1">IFERROR(__xludf.DUMMYFUNCTION("""COMPUTED_VALUE"""),"Afternoon Classes")</f>
        <v>Afternoon Classes</v>
      </c>
      <c r="W1744" s="10">
        <f ca="1">IFERROR(__xludf.DUMMYFUNCTION("""COMPUTED_VALUE"""),0.583333333333333)</f>
        <v>0.58333333333333304</v>
      </c>
      <c r="X1744" s="5">
        <f ca="1">IFERROR(__xludf.DUMMYFUNCTION("""COMPUTED_VALUE"""),1)</f>
        <v>1</v>
      </c>
      <c r="Y1744" s="5" t="str">
        <f ca="1">IFERROR(__xludf.DUMMYFUNCTION("""COMPUTED_VALUE"""),"16-year-old student shot 4 times in the chest")</f>
        <v>16-year-old student shot 4 times in the chest</v>
      </c>
      <c r="Z1744" s="5" t="str">
        <f ca="1">IFERROR(__xludf.DUMMYFUNCTION("""COMPUTED_VALUE"""),"16 year-old student was shot 4 times by an unknown shooter in a back hallway of the school. No other details available.")</f>
        <v>16 year-old student was shot 4 times by an unknown shooter in a back hallway of the school. No other details available.</v>
      </c>
      <c r="AA1744" s="5" t="str">
        <f ca="1">IFERROR(__xludf.DUMMYFUNCTION("""COMPUTED_VALUE"""),"Escalation of Dispute")</f>
        <v>Escalation of Dispute</v>
      </c>
      <c r="AB1744" s="5" t="str">
        <f ca="1">IFERROR(__xludf.DUMMYFUNCTION("""COMPUTED_VALUE"""),"Victims Targeted")</f>
        <v>Victims Targeted</v>
      </c>
      <c r="AC1744" s="5" t="str">
        <f ca="1">IFERROR(__xludf.DUMMYFUNCTION("""COMPUTED_VALUE"""),"No")</f>
        <v>No</v>
      </c>
      <c r="AD1744" s="5" t="str">
        <f ca="1">IFERROR(__xludf.DUMMYFUNCTION("""COMPUTED_VALUE"""),"No")</f>
        <v>No</v>
      </c>
      <c r="AE1744" s="5" t="str">
        <f ca="1">IFERROR(__xludf.DUMMYFUNCTION("""COMPUTED_VALUE"""),"No")</f>
        <v>No</v>
      </c>
      <c r="AF1744" s="5" t="str">
        <f ca="1">IFERROR(__xludf.DUMMYFUNCTION("""COMPUTED_VALUE"""),"No")</f>
        <v>No</v>
      </c>
      <c r="AG1744" s="5" t="str">
        <f ca="1">IFERROR(__xludf.DUMMYFUNCTION("""COMPUTED_VALUE"""),"No")</f>
        <v>No</v>
      </c>
      <c r="AH1744" s="5" t="str">
        <f ca="1">IFERROR(__xludf.DUMMYFUNCTION("""COMPUTED_VALUE"""),"No")</f>
        <v>No</v>
      </c>
      <c r="AI1744" s="5"/>
      <c r="AJ1744" s="5" t="str">
        <f ca="1">IFERROR(__xludf.DUMMYFUNCTION("""COMPUTED_VALUE"""),"No")</f>
        <v>No</v>
      </c>
    </row>
    <row r="1745" spans="1:36" ht="13">
      <c r="A1745" s="5" t="str">
        <f ca="1">IFERROR(__xludf.DUMMYFUNCTION("""COMPUTED_VALUE"""),"19950208NECHS")</f>
        <v>19950208NECHS</v>
      </c>
      <c r="B1745" s="5">
        <f ca="1">IFERROR(__xludf.DUMMYFUNCTION("""COMPUTED_VALUE"""),2)</f>
        <v>2</v>
      </c>
      <c r="C1745" s="5">
        <f ca="1">IFERROR(__xludf.DUMMYFUNCTION("""COMPUTED_VALUE"""),8)</f>
        <v>8</v>
      </c>
      <c r="D1745" s="5">
        <f ca="1">IFERROR(__xludf.DUMMYFUNCTION("""COMPUTED_VALUE"""),1995)</f>
        <v>1995</v>
      </c>
      <c r="E1745" s="8">
        <f ca="1">IFERROR(__xludf.DUMMYFUNCTION("""COMPUTED_VALUE"""),34738)</f>
        <v>34738</v>
      </c>
      <c r="F1745" s="5" t="str">
        <f ca="1">IFERROR(__xludf.DUMMYFUNCTION("""COMPUTED_VALUE"""),"Chadron Middle School")</f>
        <v>Chadron Middle School</v>
      </c>
      <c r="G1745" s="5">
        <f ca="1">IFERROR(__xludf.DUMMYFUNCTION("""COMPUTED_VALUE"""),0)</f>
        <v>0</v>
      </c>
      <c r="H1745" s="5">
        <f ca="1">IFERROR(__xludf.DUMMYFUNCTION("""COMPUTED_VALUE"""),1)</f>
        <v>1</v>
      </c>
      <c r="I1745" s="5">
        <f ca="1">IFERROR(__xludf.DUMMYFUNCTION("""COMPUTED_VALUE"""),1)</f>
        <v>1</v>
      </c>
      <c r="J1745" s="5">
        <f ca="1">IFERROR(__xludf.DUMMYFUNCTION("""COMPUTED_VALUE"""),0)</f>
        <v>0</v>
      </c>
      <c r="K1745" s="9" t="str">
        <f ca="1">IFERROR(__xludf.DUMMYFUNCTION("""COMPUTED_VALUE"""),"https://apnews.com/a07c45ae91ad4f448d560abb24e292f1")</f>
        <v>https://apnews.com/a07c45ae91ad4f448d560abb24e292f1</v>
      </c>
      <c r="L1745" s="5"/>
      <c r="M1745" s="5"/>
      <c r="N1745" s="5">
        <f ca="1">IFERROR(__xludf.DUMMYFUNCTION("""COMPUTED_VALUE"""),2)</f>
        <v>2</v>
      </c>
      <c r="O1745" s="5" t="str">
        <f ca="1">IFERROR(__xludf.DUMMYFUNCTION("""COMPUTED_VALUE"""),"Winter")</f>
        <v>Winter</v>
      </c>
      <c r="P1745" s="5" t="str">
        <f ca="1">IFERROR(__xludf.DUMMYFUNCTION("""COMPUTED_VALUE"""),"Scottsbluff")</f>
        <v>Scottsbluff</v>
      </c>
      <c r="Q1745" s="5" t="str">
        <f ca="1">IFERROR(__xludf.DUMMYFUNCTION("""COMPUTED_VALUE"""),"NE")</f>
        <v>NE</v>
      </c>
      <c r="R1745" s="5" t="str">
        <f ca="1">IFERROR(__xludf.DUMMYFUNCTION("""COMPUTED_VALUE"""),"Middle")</f>
        <v>Middle</v>
      </c>
      <c r="S1745" s="5" t="str">
        <f ca="1">IFERROR(__xludf.DUMMYFUNCTION("""COMPUTED_VALUE"""),"Classroom")</f>
        <v>Classroom</v>
      </c>
      <c r="T1745" s="5" t="str">
        <f ca="1">IFERROR(__xludf.DUMMYFUNCTION("""COMPUTED_VALUE"""),"Inside School Building")</f>
        <v>Inside School Building</v>
      </c>
      <c r="U1745" s="5" t="str">
        <f ca="1">IFERROR(__xludf.DUMMYFUNCTION("""COMPUTED_VALUE"""),"Yes")</f>
        <v>Yes</v>
      </c>
      <c r="V1745" s="5" t="str">
        <f ca="1">IFERROR(__xludf.DUMMYFUNCTION("""COMPUTED_VALUE"""),"Morning Classes")</f>
        <v>Morning Classes</v>
      </c>
      <c r="W1745" s="5"/>
      <c r="X1745" s="5">
        <f ca="1">IFERROR(__xludf.DUMMYFUNCTION("""COMPUTED_VALUE"""),1)</f>
        <v>1</v>
      </c>
      <c r="Y1745" s="5" t="str">
        <f ca="1">IFERROR(__xludf.DUMMYFUNCTION("""COMPUTED_VALUE"""),"Student walked in and shot teacher during class.")</f>
        <v>Student walked in and shot teacher during class.</v>
      </c>
      <c r="Z1745" s="5" t="str">
        <f ca="1">IFERROR(__xludf.DUMMYFUNCTION("""COMPUTED_VALUE"""),"A 13 year old walked into a Social Studies class and shot his teacher in the chest, whose class he had later that day. The bullet grazed the teacher's chest and was not seriously injured. A neighboring teacher and policeman on campus took the gun away fro"&amp;"m the student. There were no traces of a bad relationship between the student and teacher.")</f>
        <v>A 13 year old walked into a Social Studies class and shot his teacher in the chest, whose class he had later that day. The bullet grazed the teacher's chest and was not seriously injured. A neighboring teacher and policeman on campus took the gun away from the student. There were no traces of a bad relationship between the student and teacher.</v>
      </c>
      <c r="AA1745" s="5" t="str">
        <f ca="1">IFERROR(__xludf.DUMMYFUNCTION("""COMPUTED_VALUE"""),"Anger Over Grade/Suspension/Discipline")</f>
        <v>Anger Over Grade/Suspension/Discipline</v>
      </c>
      <c r="AB1745" s="5" t="str">
        <f ca="1">IFERROR(__xludf.DUMMYFUNCTION("""COMPUTED_VALUE"""),"Victims Targeted")</f>
        <v>Victims Targeted</v>
      </c>
      <c r="AC1745" s="5" t="str">
        <f ca="1">IFERROR(__xludf.DUMMYFUNCTION("""COMPUTED_VALUE"""),"No")</f>
        <v>No</v>
      </c>
      <c r="AD1745" s="5" t="str">
        <f ca="1">IFERROR(__xludf.DUMMYFUNCTION("""COMPUTED_VALUE"""),"No")</f>
        <v>No</v>
      </c>
      <c r="AE1745" s="5" t="str">
        <f ca="1">IFERROR(__xludf.DUMMYFUNCTION("""COMPUTED_VALUE"""),"No")</f>
        <v>No</v>
      </c>
      <c r="AF1745" s="5" t="str">
        <f ca="1">IFERROR(__xludf.DUMMYFUNCTION("""COMPUTED_VALUE"""),"No")</f>
        <v>No</v>
      </c>
      <c r="AG1745" s="5" t="str">
        <f ca="1">IFERROR(__xludf.DUMMYFUNCTION("""COMPUTED_VALUE"""),"No")</f>
        <v>No</v>
      </c>
      <c r="AH1745" s="5" t="str">
        <f ca="1">IFERROR(__xludf.DUMMYFUNCTION("""COMPUTED_VALUE"""),"No")</f>
        <v>No</v>
      </c>
      <c r="AI1745" s="5" t="str">
        <f ca="1">IFERROR(__xludf.DUMMYFUNCTION("""COMPUTED_VALUE"""),"No")</f>
        <v>No</v>
      </c>
      <c r="AJ1745" s="5"/>
    </row>
    <row r="1746" spans="1:36" ht="13">
      <c r="A1746" s="5" t="str">
        <f ca="1">IFERROR(__xludf.DUMMYFUNCTION("""COMPUTED_VALUE"""),"19950202CAJOL")</f>
        <v>19950202CAJOL</v>
      </c>
      <c r="B1746" s="5">
        <f ca="1">IFERROR(__xludf.DUMMYFUNCTION("""COMPUTED_VALUE"""),2)</f>
        <v>2</v>
      </c>
      <c r="C1746" s="5">
        <f ca="1">IFERROR(__xludf.DUMMYFUNCTION("""COMPUTED_VALUE"""),2)</f>
        <v>2</v>
      </c>
      <c r="D1746" s="5">
        <f ca="1">IFERROR(__xludf.DUMMYFUNCTION("""COMPUTED_VALUE"""),1995)</f>
        <v>1995</v>
      </c>
      <c r="E1746" s="8">
        <f ca="1">IFERROR(__xludf.DUMMYFUNCTION("""COMPUTED_VALUE"""),34732)</f>
        <v>34732</v>
      </c>
      <c r="F1746" s="5" t="str">
        <f ca="1">IFERROR(__xludf.DUMMYFUNCTION("""COMPUTED_VALUE"""),"Jordan High School")</f>
        <v>Jordan High School</v>
      </c>
      <c r="G1746" s="5">
        <f ca="1">IFERROR(__xludf.DUMMYFUNCTION("""COMPUTED_VALUE"""),1)</f>
        <v>1</v>
      </c>
      <c r="H1746" s="5">
        <f ca="1">IFERROR(__xludf.DUMMYFUNCTION("""COMPUTED_VALUE"""),1)</f>
        <v>1</v>
      </c>
      <c r="I1746" s="5">
        <f ca="1">IFERROR(__xludf.DUMMYFUNCTION("""COMPUTED_VALUE"""),2)</f>
        <v>2</v>
      </c>
      <c r="J1746" s="5">
        <f ca="1">IFERROR(__xludf.DUMMYFUNCTION("""COMPUTED_VALUE"""),0)</f>
        <v>0</v>
      </c>
      <c r="K1746" s="9" t="str">
        <f ca="1">IFERROR(__xludf.DUMMYFUNCTION("""COMPUTED_VALUE"""),"https://www.presstelegram.com/2015/10/16/javiers-dream-of-helping-people-lives-on-rich-archbold/")</f>
        <v>https://www.presstelegram.com/2015/10/16/javiers-dream-of-helping-people-lives-on-rich-archbold/</v>
      </c>
      <c r="L1746" s="5"/>
      <c r="M1746" s="5"/>
      <c r="N1746" s="5">
        <f ca="1">IFERROR(__xludf.DUMMYFUNCTION("""COMPUTED_VALUE"""),2)</f>
        <v>2</v>
      </c>
      <c r="O1746" s="5" t="str">
        <f ca="1">IFERROR(__xludf.DUMMYFUNCTION("""COMPUTED_VALUE"""),"Winter")</f>
        <v>Winter</v>
      </c>
      <c r="P1746" s="5" t="str">
        <f ca="1">IFERROR(__xludf.DUMMYFUNCTION("""COMPUTED_VALUE"""),"Long Beach")</f>
        <v>Long Beach</v>
      </c>
      <c r="Q1746" s="5" t="str">
        <f ca="1">IFERROR(__xludf.DUMMYFUNCTION("""COMPUTED_VALUE"""),"CA")</f>
        <v>CA</v>
      </c>
      <c r="R1746" s="5" t="str">
        <f ca="1">IFERROR(__xludf.DUMMYFUNCTION("""COMPUTED_VALUE"""),"High")</f>
        <v>High</v>
      </c>
      <c r="S1746" s="5" t="str">
        <f ca="1">IFERROR(__xludf.DUMMYFUNCTION("""COMPUTED_VALUE"""),"Field (General)")</f>
        <v>Field (General)</v>
      </c>
      <c r="T1746" s="5" t="str">
        <f ca="1">IFERROR(__xludf.DUMMYFUNCTION("""COMPUTED_VALUE"""),"Outside on School Property")</f>
        <v>Outside on School Property</v>
      </c>
      <c r="U1746" s="5" t="str">
        <f ca="1">IFERROR(__xludf.DUMMYFUNCTION("""COMPUTED_VALUE"""),"No")</f>
        <v>No</v>
      </c>
      <c r="V1746" s="5" t="str">
        <f ca="1">IFERROR(__xludf.DUMMYFUNCTION("""COMPUTED_VALUE"""),"Sport Event")</f>
        <v>Sport Event</v>
      </c>
      <c r="W1746" s="5"/>
      <c r="X1746" s="5">
        <f ca="1">IFERROR(__xludf.DUMMYFUNCTION("""COMPUTED_VALUE"""),1)</f>
        <v>1</v>
      </c>
      <c r="Y1746" s="5" t="str">
        <f ca="1">IFERROR(__xludf.DUMMYFUNCTION("""COMPUTED_VALUE"""),"Two students were shot by gang member on an athletic field.")</f>
        <v>Two students were shot by gang member on an athletic field.</v>
      </c>
      <c r="Z1746" s="5" t="str">
        <f ca="1">IFERROR(__xludf.DUMMYFUNCTION("""COMPUTED_VALUE"""),"Two students were walking across an athletic field to watch a school soccer match when they were shot by a gang member. The shooter said he shot them because he gave him dirty looks. The two students were involved in an anti-gang youth group.")</f>
        <v>Two students were walking across an athletic field to watch a school soccer match when they were shot by a gang member. The shooter said he shot them because he gave him dirty looks. The two students were involved in an anti-gang youth group.</v>
      </c>
      <c r="AA1746" s="5" t="str">
        <f ca="1">IFERROR(__xludf.DUMMYFUNCTION("""COMPUTED_VALUE"""),"Escalation of Dispute")</f>
        <v>Escalation of Dispute</v>
      </c>
      <c r="AB1746" s="5" t="str">
        <f ca="1">IFERROR(__xludf.DUMMYFUNCTION("""COMPUTED_VALUE"""),"Victims Targeted")</f>
        <v>Victims Targeted</v>
      </c>
      <c r="AC1746" s="5" t="str">
        <f ca="1">IFERROR(__xludf.DUMMYFUNCTION("""COMPUTED_VALUE"""),"No")</f>
        <v>No</v>
      </c>
      <c r="AD1746" s="5" t="str">
        <f ca="1">IFERROR(__xludf.DUMMYFUNCTION("""COMPUTED_VALUE"""),"No")</f>
        <v>No</v>
      </c>
      <c r="AE1746" s="5" t="str">
        <f ca="1">IFERROR(__xludf.DUMMYFUNCTION("""COMPUTED_VALUE"""),"No")</f>
        <v>No</v>
      </c>
      <c r="AF1746" s="5" t="str">
        <f ca="1">IFERROR(__xludf.DUMMYFUNCTION("""COMPUTED_VALUE"""),"No")</f>
        <v>No</v>
      </c>
      <c r="AG1746" s="5" t="str">
        <f ca="1">IFERROR(__xludf.DUMMYFUNCTION("""COMPUTED_VALUE"""),"No")</f>
        <v>No</v>
      </c>
      <c r="AH1746" s="5" t="str">
        <f ca="1">IFERROR(__xludf.DUMMYFUNCTION("""COMPUTED_VALUE"""),"No")</f>
        <v>No</v>
      </c>
      <c r="AI1746" s="5" t="str">
        <f ca="1">IFERROR(__xludf.DUMMYFUNCTION("""COMPUTED_VALUE"""),"Yes")</f>
        <v>Yes</v>
      </c>
      <c r="AJ1746" s="5"/>
    </row>
    <row r="1747" spans="1:36" ht="13">
      <c r="A1747" s="5" t="str">
        <f ca="1">IFERROR(__xludf.DUMMYFUNCTION("""COMPUTED_VALUE"""),"19950124DCSPW")</f>
        <v>19950124DCSPW</v>
      </c>
      <c r="B1747" s="5">
        <f ca="1">IFERROR(__xludf.DUMMYFUNCTION("""COMPUTED_VALUE"""),1)</f>
        <v>1</v>
      </c>
      <c r="C1747" s="5">
        <f ca="1">IFERROR(__xludf.DUMMYFUNCTION("""COMPUTED_VALUE"""),24)</f>
        <v>24</v>
      </c>
      <c r="D1747" s="5">
        <f ca="1">IFERROR(__xludf.DUMMYFUNCTION("""COMPUTED_VALUE"""),1995)</f>
        <v>1995</v>
      </c>
      <c r="E1747" s="8">
        <f ca="1">IFERROR(__xludf.DUMMYFUNCTION("""COMPUTED_VALUE"""),34723)</f>
        <v>34723</v>
      </c>
      <c r="F1747" s="5" t="str">
        <f ca="1">IFERROR(__xludf.DUMMYFUNCTION("""COMPUTED_VALUE"""),"Spingarn High School")</f>
        <v>Spingarn High School</v>
      </c>
      <c r="G1747" s="5">
        <f ca="1">IFERROR(__xludf.DUMMYFUNCTION("""COMPUTED_VALUE"""),0)</f>
        <v>0</v>
      </c>
      <c r="H1747" s="5">
        <f ca="1">IFERROR(__xludf.DUMMYFUNCTION("""COMPUTED_VALUE"""),1)</f>
        <v>1</v>
      </c>
      <c r="I1747" s="5">
        <f ca="1">IFERROR(__xludf.DUMMYFUNCTION("""COMPUTED_VALUE"""),1)</f>
        <v>1</v>
      </c>
      <c r="J1747" s="5">
        <f ca="1">IFERROR(__xludf.DUMMYFUNCTION("""COMPUTED_VALUE"""),0)</f>
        <v>0</v>
      </c>
      <c r="K1747" s="9" t="str">
        <f ca="1">IFERROR(__xludf.DUMMYFUNCTION("""COMPUTED_VALUE"""),"https://www.washingtonpost.com/archive/local/1995/01/25/student-wounded-in-school-shooting/43b9c1ae-244d-40ed-8bc7-18fec6c338f3/")</f>
        <v>https://www.washingtonpost.com/archive/local/1995/01/25/student-wounded-in-school-shooting/43b9c1ae-244d-40ed-8bc7-18fec6c338f3/</v>
      </c>
      <c r="L1747" s="5"/>
      <c r="M1747" s="5"/>
      <c r="N1747" s="5">
        <f ca="1">IFERROR(__xludf.DUMMYFUNCTION("""COMPUTED_VALUE"""),3)</f>
        <v>3</v>
      </c>
      <c r="O1747" s="5" t="str">
        <f ca="1">IFERROR(__xludf.DUMMYFUNCTION("""COMPUTED_VALUE"""),"Winter")</f>
        <v>Winter</v>
      </c>
      <c r="P1747" s="5" t="str">
        <f ca="1">IFERROR(__xludf.DUMMYFUNCTION("""COMPUTED_VALUE"""),"Washington")</f>
        <v>Washington</v>
      </c>
      <c r="Q1747" s="5" t="str">
        <f ca="1">IFERROR(__xludf.DUMMYFUNCTION("""COMPUTED_VALUE"""),"DC")</f>
        <v>DC</v>
      </c>
      <c r="R1747" s="5" t="str">
        <f ca="1">IFERROR(__xludf.DUMMYFUNCTION("""COMPUTED_VALUE"""),"High")</f>
        <v>High</v>
      </c>
      <c r="S1747" s="5" t="str">
        <f ca="1">IFERROR(__xludf.DUMMYFUNCTION("""COMPUTED_VALUE"""),"Entryway")</f>
        <v>Entryway</v>
      </c>
      <c r="T1747" s="5" t="str">
        <f ca="1">IFERROR(__xludf.DUMMYFUNCTION("""COMPUTED_VALUE"""),"Inside School Building")</f>
        <v>Inside School Building</v>
      </c>
      <c r="U1747" s="5" t="str">
        <f ca="1">IFERROR(__xludf.DUMMYFUNCTION("""COMPUTED_VALUE"""),"Yes")</f>
        <v>Yes</v>
      </c>
      <c r="V1747" s="5" t="str">
        <f ca="1">IFERROR(__xludf.DUMMYFUNCTION("""COMPUTED_VALUE"""),"Lunch")</f>
        <v>Lunch</v>
      </c>
      <c r="W1747" s="10">
        <f ca="1">IFERROR(__xludf.DUMMYFUNCTION("""COMPUTED_VALUE"""),0.5)</f>
        <v>0.5</v>
      </c>
      <c r="X1747" s="5">
        <f ca="1">IFERROR(__xludf.DUMMYFUNCTION("""COMPUTED_VALUE"""),1)</f>
        <v>1</v>
      </c>
      <c r="Y1747" s="5" t="str">
        <f ca="1">IFERROR(__xludf.DUMMYFUNCTION("""COMPUTED_VALUE"""),"Student was shot while sitting on the school exit stairs during lunch by a student from another school.")</f>
        <v>Student was shot while sitting on the school exit stairs during lunch by a student from another school.</v>
      </c>
      <c r="Z1747" s="5" t="str">
        <f ca="1">IFERROR(__xludf.DUMMYFUNCTION("""COMPUTED_VALUE"""),"16 year-old male student was shot 3 times during lunch while sitting on the stairs inside the school. The shooter was a student from another school and entered the school through an exit door that was unlocked or open. Police were looking for a second sus"&amp;"pect who may have opened the doors. Police were unsure of the motive. Police officers are assigned to the school but needed to rotate between multiple school buildings. There are metal detectors at the front door of the school but not at the exit doors. S"&amp;"chool officials had locked exit doors but were required to leave them unlocked due to fire codes. The shooter fled and was hailing a taxi on a nearby street but was stopped by a police officer and then detained.")</f>
        <v>16 year-old male student was shot 3 times during lunch while sitting on the stairs inside the school. The shooter was a student from another school and entered the school through an exit door that was unlocked or open. Police were looking for a second suspect who may have opened the doors. Police were unsure of the motive. Police officers are assigned to the school but needed to rotate between multiple school buildings. There are metal detectors at the front door of the school but not at the exit doors. School officials had locked exit doors but were required to leave them unlocked due to fire codes. The shooter fled and was hailing a taxi on a nearby street but was stopped by a police officer and then detained.</v>
      </c>
      <c r="AA1747" s="5" t="str">
        <f ca="1">IFERROR(__xludf.DUMMYFUNCTION("""COMPUTED_VALUE"""),"Escalation of Dispute")</f>
        <v>Escalation of Dispute</v>
      </c>
      <c r="AB1747" s="5" t="str">
        <f ca="1">IFERROR(__xludf.DUMMYFUNCTION("""COMPUTED_VALUE"""),"Victims Targeted")</f>
        <v>Victims Targeted</v>
      </c>
      <c r="AC1747" s="5" t="str">
        <f ca="1">IFERROR(__xludf.DUMMYFUNCTION("""COMPUTED_VALUE"""),"No")</f>
        <v>No</v>
      </c>
      <c r="AD1747" s="5" t="str">
        <f ca="1">IFERROR(__xludf.DUMMYFUNCTION("""COMPUTED_VALUE"""),"No")</f>
        <v>No</v>
      </c>
      <c r="AE1747" s="5" t="str">
        <f ca="1">IFERROR(__xludf.DUMMYFUNCTION("""COMPUTED_VALUE"""),"No")</f>
        <v>No</v>
      </c>
      <c r="AF1747" s="5" t="str">
        <f ca="1">IFERROR(__xludf.DUMMYFUNCTION("""COMPUTED_VALUE"""),"No")</f>
        <v>No</v>
      </c>
      <c r="AG1747" s="5" t="str">
        <f ca="1">IFERROR(__xludf.DUMMYFUNCTION("""COMPUTED_VALUE"""),"No")</f>
        <v>No</v>
      </c>
      <c r="AH1747" s="5" t="str">
        <f ca="1">IFERROR(__xludf.DUMMYFUNCTION("""COMPUTED_VALUE"""),"No")</f>
        <v>No</v>
      </c>
      <c r="AI1747" s="5"/>
      <c r="AJ1747" s="5" t="str">
        <f ca="1">IFERROR(__xludf.DUMMYFUNCTION("""COMPUTED_VALUE"""),"No")</f>
        <v>No</v>
      </c>
    </row>
    <row r="1748" spans="1:36" ht="13">
      <c r="A1748" s="5" t="str">
        <f ca="1">IFERROR(__xludf.DUMMYFUNCTION("""COMPUTED_VALUE"""),"19950123CASAR")</f>
        <v>19950123CASAR</v>
      </c>
      <c r="B1748" s="5">
        <f ca="1">IFERROR(__xludf.DUMMYFUNCTION("""COMPUTED_VALUE"""),1)</f>
        <v>1</v>
      </c>
      <c r="C1748" s="5">
        <f ca="1">IFERROR(__xludf.DUMMYFUNCTION("""COMPUTED_VALUE"""),23)</f>
        <v>23</v>
      </c>
      <c r="D1748" s="5">
        <f ca="1">IFERROR(__xludf.DUMMYFUNCTION("""COMPUTED_VALUE"""),1995)</f>
        <v>1995</v>
      </c>
      <c r="E1748" s="8">
        <f ca="1">IFERROR(__xludf.DUMMYFUNCTION("""COMPUTED_VALUE"""),34722)</f>
        <v>34722</v>
      </c>
      <c r="F1748" s="5" t="str">
        <f ca="1">IFERROR(__xludf.DUMMYFUNCTION("""COMPUTED_VALUE"""),"Sacred Heart Middle School")</f>
        <v>Sacred Heart Middle School</v>
      </c>
      <c r="G1748" s="5">
        <f ca="1">IFERROR(__xludf.DUMMYFUNCTION("""COMPUTED_VALUE"""),1)</f>
        <v>1</v>
      </c>
      <c r="H1748" s="5">
        <f ca="1">IFERROR(__xludf.DUMMYFUNCTION("""COMPUTED_VALUE"""),0)</f>
        <v>0</v>
      </c>
      <c r="I1748" s="5">
        <f ca="1">IFERROR(__xludf.DUMMYFUNCTION("""COMPUTED_VALUE"""),1)</f>
        <v>1</v>
      </c>
      <c r="J1748" s="5">
        <f ca="1">IFERROR(__xludf.DUMMYFUNCTION("""COMPUTED_VALUE"""),1)</f>
        <v>1</v>
      </c>
      <c r="K1748" s="9" t="str">
        <f ca="1">IFERROR(__xludf.DUMMYFUNCTION("""COMPUTED_VALUE"""),"http://articles.latimes.com/1995-01-25/news/mn-24213_1_attitude-problem")</f>
        <v>http://articles.latimes.com/1995-01-25/news/mn-24213_1_attitude-problem</v>
      </c>
      <c r="L1748" s="5"/>
      <c r="M1748" s="5"/>
      <c r="N1748" s="5">
        <f ca="1">IFERROR(__xludf.DUMMYFUNCTION("""COMPUTED_VALUE"""),2)</f>
        <v>2</v>
      </c>
      <c r="O1748" s="5" t="str">
        <f ca="1">IFERROR(__xludf.DUMMYFUNCTION("""COMPUTED_VALUE"""),"Winter")</f>
        <v>Winter</v>
      </c>
      <c r="P1748" s="5" t="str">
        <f ca="1">IFERROR(__xludf.DUMMYFUNCTION("""COMPUTED_VALUE"""),"Redlands")</f>
        <v>Redlands</v>
      </c>
      <c r="Q1748" s="5" t="str">
        <f ca="1">IFERROR(__xludf.DUMMYFUNCTION("""COMPUTED_VALUE"""),"CA")</f>
        <v>CA</v>
      </c>
      <c r="R1748" s="5" t="str">
        <f ca="1">IFERROR(__xludf.DUMMYFUNCTION("""COMPUTED_VALUE"""),"Middle")</f>
        <v>Middle</v>
      </c>
      <c r="S1748" s="5" t="str">
        <f ca="1">IFERROR(__xludf.DUMMYFUNCTION("""COMPUTED_VALUE"""),"Office; Other")</f>
        <v>Office; Other</v>
      </c>
      <c r="T1748" s="5" t="str">
        <f ca="1">IFERROR(__xludf.DUMMYFUNCTION("""COMPUTED_VALUE"""),"Both Inside/Outside")</f>
        <v>Both Inside/Outside</v>
      </c>
      <c r="U1748" s="5" t="str">
        <f ca="1">IFERROR(__xludf.DUMMYFUNCTION("""COMPUTED_VALUE"""),"Yes")</f>
        <v>Yes</v>
      </c>
      <c r="V1748" s="5"/>
      <c r="W1748" s="5"/>
      <c r="X1748" s="5"/>
      <c r="Y1748" s="5" t="str">
        <f ca="1">IFERROR(__xludf.DUMMYFUNCTION("""COMPUTED_VALUE"""),"Killed his principal after their meeting, discussing how to improve his attitude.")</f>
        <v>Killed his principal after their meeting, discussing how to improve his attitude.</v>
      </c>
      <c r="Z1748" s="5" t="str">
        <f ca="1">IFERROR(__xludf.DUMMYFUNCTION("""COMPUTED_VALUE"""),"13 year-old Male had discipline issues with his attitude and the dress code. The principal and student were meeting to work on a behavioral contract. After their meeting, the student walked home to grab his weapon and came back to the middle school. He wa"&amp;"lked into the principal's office with a sawed off shotgun and killed him. He ran from the scene and dropped the shotgun while running, causing it to fire and killing him (remains unclear if it was accidental or suicide). His fatal wound was in the chest a"&amp;"nd he was found between the school and the church.")</f>
        <v>13 year-old Male had discipline issues with his attitude and the dress code. The principal and student were meeting to work on a behavioral contract. After their meeting, the student walked home to grab his weapon and came back to the middle school. He walked into the principal's office with a sawed off shotgun and killed him. He ran from the scene and dropped the shotgun while running, causing it to fire and killing him (remains unclear if it was accidental or suicide). His fatal wound was in the chest and he was found between the school and the church.</v>
      </c>
      <c r="AA1748" s="5" t="str">
        <f ca="1">IFERROR(__xludf.DUMMYFUNCTION("""COMPUTED_VALUE"""),"Anger Over Grade/Suspension/Discipline")</f>
        <v>Anger Over Grade/Suspension/Discipline</v>
      </c>
      <c r="AB1748" s="5" t="str">
        <f ca="1">IFERROR(__xludf.DUMMYFUNCTION("""COMPUTED_VALUE"""),"Victims Targeted")</f>
        <v>Victims Targeted</v>
      </c>
      <c r="AC1748" s="5" t="str">
        <f ca="1">IFERROR(__xludf.DUMMYFUNCTION("""COMPUTED_VALUE"""),"No")</f>
        <v>No</v>
      </c>
      <c r="AD1748" s="5" t="str">
        <f ca="1">IFERROR(__xludf.DUMMYFUNCTION("""COMPUTED_VALUE"""),"No")</f>
        <v>No</v>
      </c>
      <c r="AE1748" s="5" t="str">
        <f ca="1">IFERROR(__xludf.DUMMYFUNCTION("""COMPUTED_VALUE"""),"No")</f>
        <v>No</v>
      </c>
      <c r="AF1748" s="5" t="str">
        <f ca="1">IFERROR(__xludf.DUMMYFUNCTION("""COMPUTED_VALUE"""),"No")</f>
        <v>No</v>
      </c>
      <c r="AG1748" s="5" t="str">
        <f ca="1">IFERROR(__xludf.DUMMYFUNCTION("""COMPUTED_VALUE"""),"No")</f>
        <v>No</v>
      </c>
      <c r="AH1748" s="5" t="str">
        <f ca="1">IFERROR(__xludf.DUMMYFUNCTION("""COMPUTED_VALUE"""),"No")</f>
        <v>No</v>
      </c>
      <c r="AI1748" s="5" t="str">
        <f ca="1">IFERROR(__xludf.DUMMYFUNCTION("""COMPUTED_VALUE"""),"No")</f>
        <v>No</v>
      </c>
      <c r="AJ1748" s="5"/>
    </row>
    <row r="1749" spans="1:36" ht="13">
      <c r="A1749" s="5" t="str">
        <f ca="1">IFERROR(__xludf.DUMMYFUNCTION("""COMPUTED_VALUE"""),"19950112WAGAS")</f>
        <v>19950112WAGAS</v>
      </c>
      <c r="B1749" s="5">
        <f ca="1">IFERROR(__xludf.DUMMYFUNCTION("""COMPUTED_VALUE"""),1)</f>
        <v>1</v>
      </c>
      <c r="C1749" s="5">
        <f ca="1">IFERROR(__xludf.DUMMYFUNCTION("""COMPUTED_VALUE"""),12)</f>
        <v>12</v>
      </c>
      <c r="D1749" s="5">
        <f ca="1">IFERROR(__xludf.DUMMYFUNCTION("""COMPUTED_VALUE"""),1995)</f>
        <v>1995</v>
      </c>
      <c r="E1749" s="8">
        <f ca="1">IFERROR(__xludf.DUMMYFUNCTION("""COMPUTED_VALUE"""),34711)</f>
        <v>34711</v>
      </c>
      <c r="F1749" s="5" t="str">
        <f ca="1">IFERROR(__xludf.DUMMYFUNCTION("""COMPUTED_VALUE"""),"Garfield High School")</f>
        <v>Garfield High School</v>
      </c>
      <c r="G1749" s="5">
        <f ca="1">IFERROR(__xludf.DUMMYFUNCTION("""COMPUTED_VALUE"""),0)</f>
        <v>0</v>
      </c>
      <c r="H1749" s="5">
        <f ca="1">IFERROR(__xludf.DUMMYFUNCTION("""COMPUTED_VALUE"""),2)</f>
        <v>2</v>
      </c>
      <c r="I1749" s="5">
        <f ca="1">IFERROR(__xludf.DUMMYFUNCTION("""COMPUTED_VALUE"""),2)</f>
        <v>2</v>
      </c>
      <c r="J1749" s="5">
        <f ca="1">IFERROR(__xludf.DUMMYFUNCTION("""COMPUTED_VALUE"""),0)</f>
        <v>0</v>
      </c>
      <c r="K1749" s="9" t="str">
        <f ca="1">IFERROR(__xludf.DUMMYFUNCTION("""COMPUTED_VALUE"""),"http://community.seattletimes.nwsource.com/archive/?date=19950118&amp;slug=2100074")</f>
        <v>http://community.seattletimes.nwsource.com/archive/?date=19950118&amp;slug=2100074</v>
      </c>
      <c r="L1749" s="5"/>
      <c r="M1749" s="5"/>
      <c r="N1749" s="5">
        <f ca="1">IFERROR(__xludf.DUMMYFUNCTION("""COMPUTED_VALUE"""),2)</f>
        <v>2</v>
      </c>
      <c r="O1749" s="5" t="str">
        <f ca="1">IFERROR(__xludf.DUMMYFUNCTION("""COMPUTED_VALUE"""),"Winter")</f>
        <v>Winter</v>
      </c>
      <c r="P1749" s="5" t="str">
        <f ca="1">IFERROR(__xludf.DUMMYFUNCTION("""COMPUTED_VALUE"""),"Seattle")</f>
        <v>Seattle</v>
      </c>
      <c r="Q1749" s="5" t="str">
        <f ca="1">IFERROR(__xludf.DUMMYFUNCTION("""COMPUTED_VALUE"""),"WA")</f>
        <v>WA</v>
      </c>
      <c r="R1749" s="5" t="str">
        <f ca="1">IFERROR(__xludf.DUMMYFUNCTION("""COMPUTED_VALUE"""),"High")</f>
        <v>High</v>
      </c>
      <c r="S1749" s="5" t="str">
        <f ca="1">IFERROR(__xludf.DUMMYFUNCTION("""COMPUTED_VALUE"""),"Cafeteria")</f>
        <v>Cafeteria</v>
      </c>
      <c r="T1749" s="5" t="str">
        <f ca="1">IFERROR(__xludf.DUMMYFUNCTION("""COMPUTED_VALUE"""),"Inside School Building")</f>
        <v>Inside School Building</v>
      </c>
      <c r="U1749" s="5" t="str">
        <f ca="1">IFERROR(__xludf.DUMMYFUNCTION("""COMPUTED_VALUE"""),"Yes")</f>
        <v>Yes</v>
      </c>
      <c r="V1749" s="5"/>
      <c r="W1749" s="5"/>
      <c r="X1749" s="5">
        <f ca="1">IFERROR(__xludf.DUMMYFUNCTION("""COMPUTED_VALUE"""),4)</f>
        <v>4</v>
      </c>
      <c r="Y1749" s="5" t="str">
        <f ca="1">IFERROR(__xludf.DUMMYFUNCTION("""COMPUTED_VALUE"""),"Left school to get gun after fight, returned and shot victim")</f>
        <v>Left school to get gun after fight, returned and shot victim</v>
      </c>
      <c r="Z1749" s="5" t="str">
        <f ca="1">IFERROR(__xludf.DUMMYFUNCTION("""COMPUTED_VALUE"""),"The shooter and victim got into an argument during the morning over marijuana. The shooter left the school and went home to get a handgun he had stolen from his grandfather the prior year. The shooter walked into the cafeteria and fired multiple shots at "&amp;"the victim, striking another girl in the crossfire. The shooter left the school and was arrested by police in a nearby field. It was reported that the shooter was selling marijuana and the victim had stolen some of it from him that morning when he refused"&amp;" to pay. Shooter referred to himself as ""Mr. Murder"" to police.")</f>
        <v>The shooter and victim got into an argument during the morning over marijuana. The shooter left the school and went home to get a handgun he had stolen from his grandfather the prior year. The shooter walked into the cafeteria and fired multiple shots at the victim, striking another girl in the crossfire. The shooter left the school and was arrested by police in a nearby field. It was reported that the shooter was selling marijuana and the victim had stolen some of it from him that morning when he refused to pay. Shooter referred to himself as "Mr. Murder" to police.</v>
      </c>
      <c r="AA1749" s="5" t="str">
        <f ca="1">IFERROR(__xludf.DUMMYFUNCTION("""COMPUTED_VALUE"""),"Escalation of Dispute")</f>
        <v>Escalation of Dispute</v>
      </c>
      <c r="AB1749" s="5" t="str">
        <f ca="1">IFERROR(__xludf.DUMMYFUNCTION("""COMPUTED_VALUE"""),"Victims Targeted")</f>
        <v>Victims Targeted</v>
      </c>
      <c r="AC1749" s="5" t="str">
        <f ca="1">IFERROR(__xludf.DUMMYFUNCTION("""COMPUTED_VALUE"""),"No")</f>
        <v>No</v>
      </c>
      <c r="AD1749" s="5" t="str">
        <f ca="1">IFERROR(__xludf.DUMMYFUNCTION("""COMPUTED_VALUE"""),"No")</f>
        <v>No</v>
      </c>
      <c r="AE1749" s="5" t="str">
        <f ca="1">IFERROR(__xludf.DUMMYFUNCTION("""COMPUTED_VALUE"""),"No")</f>
        <v>No</v>
      </c>
      <c r="AF1749" s="5" t="str">
        <f ca="1">IFERROR(__xludf.DUMMYFUNCTION("""COMPUTED_VALUE"""),"No")</f>
        <v>No</v>
      </c>
      <c r="AG1749" s="5"/>
      <c r="AH1749" s="5" t="str">
        <f ca="1">IFERROR(__xludf.DUMMYFUNCTION("""COMPUTED_VALUE"""),"No")</f>
        <v>No</v>
      </c>
      <c r="AI1749" s="5" t="str">
        <f ca="1">IFERROR(__xludf.DUMMYFUNCTION("""COMPUTED_VALUE"""),"No")</f>
        <v>No</v>
      </c>
      <c r="AJ1749" s="5"/>
    </row>
    <row r="1750" spans="1:36" ht="13">
      <c r="A1750" s="5" t="str">
        <f ca="1">IFERROR(__xludf.DUMMYFUNCTION("""COMPUTED_VALUE"""),"19950110FLPAP")</f>
        <v>19950110FLPAP</v>
      </c>
      <c r="B1750" s="5">
        <f ca="1">IFERROR(__xludf.DUMMYFUNCTION("""COMPUTED_VALUE"""),1)</f>
        <v>1</v>
      </c>
      <c r="C1750" s="5">
        <f ca="1">IFERROR(__xludf.DUMMYFUNCTION("""COMPUTED_VALUE"""),10)</f>
        <v>10</v>
      </c>
      <c r="D1750" s="5">
        <f ca="1">IFERROR(__xludf.DUMMYFUNCTION("""COMPUTED_VALUE"""),1995)</f>
        <v>1995</v>
      </c>
      <c r="E1750" s="8">
        <f ca="1">IFERROR(__xludf.DUMMYFUNCTION("""COMPUTED_VALUE"""),34709)</f>
        <v>34709</v>
      </c>
      <c r="F1750" s="5" t="str">
        <f ca="1">IFERROR(__xludf.DUMMYFUNCTION("""COMPUTED_VALUE"""),"Palm Beach Gardens High School")</f>
        <v>Palm Beach Gardens High School</v>
      </c>
      <c r="G1750" s="5">
        <f ca="1">IFERROR(__xludf.DUMMYFUNCTION("""COMPUTED_VALUE"""),0)</f>
        <v>0</v>
      </c>
      <c r="H1750" s="5">
        <f ca="1">IFERROR(__xludf.DUMMYFUNCTION("""COMPUTED_VALUE"""),0)</f>
        <v>0</v>
      </c>
      <c r="I1750" s="5">
        <f ca="1">IFERROR(__xludf.DUMMYFUNCTION("""COMPUTED_VALUE"""),0)</f>
        <v>0</v>
      </c>
      <c r="J1750" s="5">
        <f ca="1">IFERROR(__xludf.DUMMYFUNCTION("""COMPUTED_VALUE"""),1)</f>
        <v>1</v>
      </c>
      <c r="K1750" s="9" t="str">
        <f ca="1">IFERROR(__xludf.DUMMYFUNCTION("""COMPUTED_VALUE"""),"http://articles.sun-sentinel.com/1995-01-12/news/9501120169_1_high-schools-gun-school-administrators")</f>
        <v>http://articles.sun-sentinel.com/1995-01-12/news/9501120169_1_high-schools-gun-school-administrators</v>
      </c>
      <c r="L1750" s="5"/>
      <c r="M1750" s="5"/>
      <c r="N1750" s="5">
        <f ca="1">IFERROR(__xludf.DUMMYFUNCTION("""COMPUTED_VALUE"""),2)</f>
        <v>2</v>
      </c>
      <c r="O1750" s="5" t="str">
        <f ca="1">IFERROR(__xludf.DUMMYFUNCTION("""COMPUTED_VALUE"""),"Winter")</f>
        <v>Winter</v>
      </c>
      <c r="P1750" s="5" t="str">
        <f ca="1">IFERROR(__xludf.DUMMYFUNCTION("""COMPUTED_VALUE"""),"Palm Beach Gardens")</f>
        <v>Palm Beach Gardens</v>
      </c>
      <c r="Q1750" s="5" t="str">
        <f ca="1">IFERROR(__xludf.DUMMYFUNCTION("""COMPUTED_VALUE"""),"FL")</f>
        <v>FL</v>
      </c>
      <c r="R1750" s="5" t="str">
        <f ca="1">IFERROR(__xludf.DUMMYFUNCTION("""COMPUTED_VALUE"""),"High")</f>
        <v>High</v>
      </c>
      <c r="S1750" s="5" t="str">
        <f ca="1">IFERROR(__xludf.DUMMYFUNCTION("""COMPUTED_VALUE"""),"Courtyard")</f>
        <v>Courtyard</v>
      </c>
      <c r="T1750" s="5" t="str">
        <f ca="1">IFERROR(__xludf.DUMMYFUNCTION("""COMPUTED_VALUE"""),"Outside on School Property")</f>
        <v>Outside on School Property</v>
      </c>
      <c r="U1750" s="5" t="str">
        <f ca="1">IFERROR(__xludf.DUMMYFUNCTION("""COMPUTED_VALUE"""),"Yes")</f>
        <v>Yes</v>
      </c>
      <c r="V1750" s="5" t="str">
        <f ca="1">IFERROR(__xludf.DUMMYFUNCTION("""COMPUTED_VALUE"""),"Morning Classes")</f>
        <v>Morning Classes</v>
      </c>
      <c r="W1750" s="10">
        <f ca="1">IFERROR(__xludf.DUMMYFUNCTION("""COMPUTED_VALUE"""),0.4375)</f>
        <v>0.4375</v>
      </c>
      <c r="X1750" s="5">
        <f ca="1">IFERROR(__xludf.DUMMYFUNCTION("""COMPUTED_VALUE"""),1)</f>
        <v>1</v>
      </c>
      <c r="Y1750" s="5" t="str">
        <f ca="1">IFERROR(__xludf.DUMMYFUNCTION("""COMPUTED_VALUE"""),"Student commit suicide in outdoor hallway")</f>
        <v>Student commit suicide in outdoor hallway</v>
      </c>
      <c r="Z1750" s="5" t="str">
        <f ca="1">IFERROR(__xludf.DUMMYFUNCTION("""COMPUTED_VALUE"""),"15 year-old Male committed suicide in an outdoor hallway with a .25 handgun. He was a well liked student and football player. Other students knew he had the gun and had been distressed over personal problems, but did not want to tell school officials beca"&amp;"use of the zero tolerance policy for weapons, resulting in an expulsion. The male was in critical condition and passed in the hospital the following evening.")</f>
        <v>15 year-old Male committed suicide in an outdoor hallway with a .25 handgun. He was a well liked student and football player. Other students knew he had the gun and had been distressed over personal problems, but did not want to tell school officials because of the zero tolerance policy for weapons, resulting in an expulsion. The male was in critical condition and passed in the hospital the following evening.</v>
      </c>
      <c r="AA1750" s="5" t="str">
        <f ca="1">IFERROR(__xludf.DUMMYFUNCTION("""COMPUTED_VALUE"""),"Suicide/Attempted")</f>
        <v>Suicide/Attempted</v>
      </c>
      <c r="AB1750" s="5" t="str">
        <f ca="1">IFERROR(__xludf.DUMMYFUNCTION("""COMPUTED_VALUE"""),"Victims Targeted")</f>
        <v>Victims Targeted</v>
      </c>
      <c r="AC1750" s="5" t="str">
        <f ca="1">IFERROR(__xludf.DUMMYFUNCTION("""COMPUTED_VALUE"""),"No")</f>
        <v>No</v>
      </c>
      <c r="AD1750" s="5" t="str">
        <f ca="1">IFERROR(__xludf.DUMMYFUNCTION("""COMPUTED_VALUE"""),"No")</f>
        <v>No</v>
      </c>
      <c r="AE1750" s="5" t="str">
        <f ca="1">IFERROR(__xludf.DUMMYFUNCTION("""COMPUTED_VALUE"""),"No")</f>
        <v>No</v>
      </c>
      <c r="AF1750" s="5" t="str">
        <f ca="1">IFERROR(__xludf.DUMMYFUNCTION("""COMPUTED_VALUE"""),"No")</f>
        <v>No</v>
      </c>
      <c r="AG1750" s="5" t="str">
        <f ca="1">IFERROR(__xludf.DUMMYFUNCTION("""COMPUTED_VALUE"""),"No")</f>
        <v>No</v>
      </c>
      <c r="AH1750" s="5" t="str">
        <f ca="1">IFERROR(__xludf.DUMMYFUNCTION("""COMPUTED_VALUE"""),"No")</f>
        <v>No</v>
      </c>
      <c r="AI1750" s="5" t="str">
        <f ca="1">IFERROR(__xludf.DUMMYFUNCTION("""COMPUTED_VALUE"""),"No")</f>
        <v>No</v>
      </c>
      <c r="AJ1750" s="5"/>
    </row>
    <row r="1751" spans="1:36" ht="13">
      <c r="A1751" s="5" t="str">
        <f ca="1">IFERROR(__xludf.DUMMYFUNCTION("""COMPUTED_VALUE"""),"19950105DCCAW")</f>
        <v>19950105DCCAW</v>
      </c>
      <c r="B1751" s="5">
        <f ca="1">IFERROR(__xludf.DUMMYFUNCTION("""COMPUTED_VALUE"""),1)</f>
        <v>1</v>
      </c>
      <c r="C1751" s="5">
        <f ca="1">IFERROR(__xludf.DUMMYFUNCTION("""COMPUTED_VALUE"""),5)</f>
        <v>5</v>
      </c>
      <c r="D1751" s="5">
        <f ca="1">IFERROR(__xludf.DUMMYFUNCTION("""COMPUTED_VALUE"""),1995)</f>
        <v>1995</v>
      </c>
      <c r="E1751" s="8">
        <f ca="1">IFERROR(__xludf.DUMMYFUNCTION("""COMPUTED_VALUE"""),34704)</f>
        <v>34704</v>
      </c>
      <c r="F1751" s="5" t="str">
        <f ca="1">IFERROR(__xludf.DUMMYFUNCTION("""COMPUTED_VALUE"""),"Cardozo Senior High School")</f>
        <v>Cardozo Senior High School</v>
      </c>
      <c r="G1751" s="5">
        <f ca="1">IFERROR(__xludf.DUMMYFUNCTION("""COMPUTED_VALUE"""),1)</f>
        <v>1</v>
      </c>
      <c r="H1751" s="5">
        <f ca="1">IFERROR(__xludf.DUMMYFUNCTION("""COMPUTED_VALUE"""),0)</f>
        <v>0</v>
      </c>
      <c r="I1751" s="5">
        <f ca="1">IFERROR(__xludf.DUMMYFUNCTION("""COMPUTED_VALUE"""),1)</f>
        <v>1</v>
      </c>
      <c r="J1751" s="5">
        <f ca="1">IFERROR(__xludf.DUMMYFUNCTION("""COMPUTED_VALUE"""),0)</f>
        <v>0</v>
      </c>
      <c r="K1751" s="5" t="str">
        <f ca="1">IFERROR(__xludf.DUMMYFUNCTION("""COMPUTED_VALUE"""),"https://www.washingtonpost.com/archive/local/1995/01/25/student-wounded-in-school-shooting/43b9c1ae-244d-40ed-8bc7-18fec6c338f3/?utm_term=.f2d8f748783b  https://www.washingtonpost.com/archive/local/1995/03/17/teen-pleads-guilty-as-juvenile-to-slaying-of-s"&amp;"tudent-at-cardozo-high-school/e88a8130-dbf4-42ff-a0cf-1d3a339d5ac8/")</f>
        <v>https://www.washingtonpost.com/archive/local/1995/01/25/student-wounded-in-school-shooting/43b9c1ae-244d-40ed-8bc7-18fec6c338f3/?utm_term=.f2d8f748783b  https://www.washingtonpost.com/archive/local/1995/03/17/teen-pleads-guilty-as-juvenile-to-slaying-of-student-at-cardozo-high-school/e88a8130-dbf4-42ff-a0cf-1d3a339d5ac8/</v>
      </c>
      <c r="L1751" s="5"/>
      <c r="M1751" s="5"/>
      <c r="N1751" s="5">
        <f ca="1">IFERROR(__xludf.DUMMYFUNCTION("""COMPUTED_VALUE"""),3)</f>
        <v>3</v>
      </c>
      <c r="O1751" s="5" t="str">
        <f ca="1">IFERROR(__xludf.DUMMYFUNCTION("""COMPUTED_VALUE"""),"Winter")</f>
        <v>Winter</v>
      </c>
      <c r="P1751" s="5" t="str">
        <f ca="1">IFERROR(__xludf.DUMMYFUNCTION("""COMPUTED_VALUE"""),"Washington")</f>
        <v>Washington</v>
      </c>
      <c r="Q1751" s="5" t="str">
        <f ca="1">IFERROR(__xludf.DUMMYFUNCTION("""COMPUTED_VALUE"""),"DC")</f>
        <v>DC</v>
      </c>
      <c r="R1751" s="5" t="str">
        <f ca="1">IFERROR(__xludf.DUMMYFUNCTION("""COMPUTED_VALUE"""),"High")</f>
        <v>High</v>
      </c>
      <c r="S1751" s="5" t="str">
        <f ca="1">IFERROR(__xludf.DUMMYFUNCTION("""COMPUTED_VALUE"""),"Entryway")</f>
        <v>Entryway</v>
      </c>
      <c r="T1751" s="5" t="str">
        <f ca="1">IFERROR(__xludf.DUMMYFUNCTION("""COMPUTED_VALUE"""),"Inside School Building")</f>
        <v>Inside School Building</v>
      </c>
      <c r="U1751" s="5" t="str">
        <f ca="1">IFERROR(__xludf.DUMMYFUNCTION("""COMPUTED_VALUE"""),"Yes")</f>
        <v>Yes</v>
      </c>
      <c r="V1751" s="5" t="str">
        <f ca="1">IFERROR(__xludf.DUMMYFUNCTION("""COMPUTED_VALUE"""),"Lunch")</f>
        <v>Lunch</v>
      </c>
      <c r="W1751" s="10">
        <f ca="1">IFERROR(__xludf.DUMMYFUNCTION("""COMPUTED_VALUE"""),0.520833333333333)</f>
        <v>0.52083333333333304</v>
      </c>
      <c r="X1751" s="5">
        <f ca="1">IFERROR(__xludf.DUMMYFUNCTION("""COMPUTED_VALUE"""),1)</f>
        <v>1</v>
      </c>
      <c r="Y1751" s="5" t="str">
        <f ca="1">IFERROR(__xludf.DUMMYFUNCTION("""COMPUTED_VALUE"""),"8 males entered the school seeking victim in retaliation for previous fight.")</f>
        <v>8 males entered the school seeking victim in retaliation for previous fight.</v>
      </c>
      <c r="Z1751" s="5" t="str">
        <f ca="1">IFERROR(__xludf.DUMMYFUNCTION("""COMPUTED_VALUE"""),"8 males entered the school to confront a victim who had assaulted a female friend of theirs the previous week. A 14 year-old in the group was handed a .380 handgun during the fight killing the targeted victim and injuring two other uninvolved students. Su"&amp;"spects fled the scene.")</f>
        <v>8 males entered the school to confront a victim who had assaulted a female friend of theirs the previous week. A 14 year-old in the group was handed a .380 handgun during the fight killing the targeted victim and injuring two other uninvolved students. Suspects fled the scene.</v>
      </c>
      <c r="AA1751" s="5" t="str">
        <f ca="1">IFERROR(__xludf.DUMMYFUNCTION("""COMPUTED_VALUE"""),"Escalation of Dispute")</f>
        <v>Escalation of Dispute</v>
      </c>
      <c r="AB1751" s="5" t="str">
        <f ca="1">IFERROR(__xludf.DUMMYFUNCTION("""COMPUTED_VALUE"""),"Both")</f>
        <v>Both</v>
      </c>
      <c r="AC1751" s="5" t="str">
        <f ca="1">IFERROR(__xludf.DUMMYFUNCTION("""COMPUTED_VALUE"""),"No")</f>
        <v>No</v>
      </c>
      <c r="AD1751" s="5" t="str">
        <f ca="1">IFERROR(__xludf.DUMMYFUNCTION("""COMPUTED_VALUE"""),"No")</f>
        <v>No</v>
      </c>
      <c r="AE1751" s="5" t="str">
        <f ca="1">IFERROR(__xludf.DUMMYFUNCTION("""COMPUTED_VALUE"""),"No")</f>
        <v>No</v>
      </c>
      <c r="AF1751" s="5" t="str">
        <f ca="1">IFERROR(__xludf.DUMMYFUNCTION("""COMPUTED_VALUE"""),"No")</f>
        <v>No</v>
      </c>
      <c r="AG1751" s="5" t="str">
        <f ca="1">IFERROR(__xludf.DUMMYFUNCTION("""COMPUTED_VALUE"""),"No")</f>
        <v>No</v>
      </c>
      <c r="AH1751" s="5" t="str">
        <f ca="1">IFERROR(__xludf.DUMMYFUNCTION("""COMPUTED_VALUE"""),"No")</f>
        <v>No</v>
      </c>
      <c r="AI1751" s="5" t="str">
        <f ca="1">IFERROR(__xludf.DUMMYFUNCTION("""COMPUTED_VALUE"""),"Yes")</f>
        <v>Yes</v>
      </c>
      <c r="AJ1751" s="5" t="str">
        <f ca="1">IFERROR(__xludf.DUMMYFUNCTION("""COMPUTED_VALUE"""),"Yes")</f>
        <v>Yes</v>
      </c>
    </row>
    <row r="1752" spans="1:36" ht="13">
      <c r="A1752" s="5" t="str">
        <f ca="1">IFERROR(__xludf.DUMMYFUNCTION("""COMPUTED_VALUE"""),"19941207FLPAM")</f>
        <v>19941207FLPAM</v>
      </c>
      <c r="B1752" s="5">
        <f ca="1">IFERROR(__xludf.DUMMYFUNCTION("""COMPUTED_VALUE"""),12)</f>
        <v>12</v>
      </c>
      <c r="C1752" s="5">
        <f ca="1">IFERROR(__xludf.DUMMYFUNCTION("""COMPUTED_VALUE"""),7)</f>
        <v>7</v>
      </c>
      <c r="D1752" s="5">
        <f ca="1">IFERROR(__xludf.DUMMYFUNCTION("""COMPUTED_VALUE"""),1994)</f>
        <v>1994</v>
      </c>
      <c r="E1752" s="8">
        <f ca="1">IFERROR(__xludf.DUMMYFUNCTION("""COMPUTED_VALUE"""),34675)</f>
        <v>34675</v>
      </c>
      <c r="F1752" s="5" t="str">
        <f ca="1">IFERROR(__xludf.DUMMYFUNCTION("""COMPUTED_VALUE"""),"Palm Bay High School")</f>
        <v>Palm Bay High School</v>
      </c>
      <c r="G1752" s="5">
        <f ca="1">IFERROR(__xludf.DUMMYFUNCTION("""COMPUTED_VALUE"""),0)</f>
        <v>0</v>
      </c>
      <c r="H1752" s="5">
        <f ca="1">IFERROR(__xludf.DUMMYFUNCTION("""COMPUTED_VALUE"""),0)</f>
        <v>0</v>
      </c>
      <c r="I1752" s="5">
        <f ca="1">IFERROR(__xludf.DUMMYFUNCTION("""COMPUTED_VALUE"""),0)</f>
        <v>0</v>
      </c>
      <c r="J1752" s="5">
        <f ca="1">IFERROR(__xludf.DUMMYFUNCTION("""COMPUTED_VALUE"""),0)</f>
        <v>0</v>
      </c>
      <c r="K1752" s="9" t="str">
        <f ca="1">IFERROR(__xludf.DUMMYFUNCTION("""COMPUTED_VALUE"""),"https://www.orlandosentinel.com/news/os-xpm-1994-12-09-9412080916-story.html")</f>
        <v>https://www.orlandosentinel.com/news/os-xpm-1994-12-09-9412080916-story.html</v>
      </c>
      <c r="L1752" s="5">
        <f ca="1">IFERROR(__xludf.DUMMYFUNCTION("""COMPUTED_VALUE"""),1)</f>
        <v>1</v>
      </c>
      <c r="M1752" s="5" t="str">
        <f ca="1">IFERROR(__xludf.DUMMYFUNCTION("""COMPUTED_VALUE"""),"Local")</f>
        <v>Local</v>
      </c>
      <c r="N1752" s="5">
        <f ca="1">IFERROR(__xludf.DUMMYFUNCTION("""COMPUTED_VALUE"""),2)</f>
        <v>2</v>
      </c>
      <c r="O1752" s="5" t="str">
        <f ca="1">IFERROR(__xludf.DUMMYFUNCTION("""COMPUTED_VALUE"""),"Winter")</f>
        <v>Winter</v>
      </c>
      <c r="P1752" s="5" t="str">
        <f ca="1">IFERROR(__xludf.DUMMYFUNCTION("""COMPUTED_VALUE"""),"Melbourne")</f>
        <v>Melbourne</v>
      </c>
      <c r="Q1752" s="5" t="str">
        <f ca="1">IFERROR(__xludf.DUMMYFUNCTION("""COMPUTED_VALUE"""),"FL")</f>
        <v>FL</v>
      </c>
      <c r="R1752" s="5" t="str">
        <f ca="1">IFERROR(__xludf.DUMMYFUNCTION("""COMPUTED_VALUE"""),"High")</f>
        <v>High</v>
      </c>
      <c r="S1752" s="5" t="str">
        <f ca="1">IFERROR(__xludf.DUMMYFUNCTION("""COMPUTED_VALUE"""),"Courtyard")</f>
        <v>Courtyard</v>
      </c>
      <c r="T1752" s="5" t="str">
        <f ca="1">IFERROR(__xludf.DUMMYFUNCTION("""COMPUTED_VALUE"""),"Outside on School Property")</f>
        <v>Outside on School Property</v>
      </c>
      <c r="U1752" s="5" t="str">
        <f ca="1">IFERROR(__xludf.DUMMYFUNCTION("""COMPUTED_VALUE"""),"Yes")</f>
        <v>Yes</v>
      </c>
      <c r="V1752" s="5" t="str">
        <f ca="1">IFERROR(__xludf.DUMMYFUNCTION("""COMPUTED_VALUE"""),"Afternoon Classes")</f>
        <v>Afternoon Classes</v>
      </c>
      <c r="W1752" s="10">
        <f ca="1">IFERROR(__xludf.DUMMYFUNCTION("""COMPUTED_VALUE"""),0.5)</f>
        <v>0.5</v>
      </c>
      <c r="X1752" s="5">
        <f ca="1">IFERROR(__xludf.DUMMYFUNCTION("""COMPUTED_VALUE"""),1)</f>
        <v>1</v>
      </c>
      <c r="Y1752" s="5" t="str">
        <f ca="1">IFERROR(__xludf.DUMMYFUNCTION("""COMPUTED_VALUE"""),"Teen fired shot during domestic dispute with girlfriend (student)")</f>
        <v>Teen fired shot during domestic dispute with girlfriend (student)</v>
      </c>
      <c r="Z1752" s="5" t="str">
        <f ca="1">IFERROR(__xludf.DUMMYFUNCTION("""COMPUTED_VALUE"""),"19-year-old man fired shot during dispute with girlfriend (student) in the school courtyard. Other students and school resource officer came to her assistance. Shooter arrested.")</f>
        <v>19-year-old man fired shot during dispute with girlfriend (student) in the school courtyard. Other students and school resource officer came to her assistance. Shooter arrested.</v>
      </c>
      <c r="AA1752" s="5" t="str">
        <f ca="1">IFERROR(__xludf.DUMMYFUNCTION("""COMPUTED_VALUE"""),"Domestic w/ Targeted Victim")</f>
        <v>Domestic w/ Targeted Victim</v>
      </c>
      <c r="AB1752" s="5" t="str">
        <f ca="1">IFERROR(__xludf.DUMMYFUNCTION("""COMPUTED_VALUE"""),"Victims Targeted")</f>
        <v>Victims Targeted</v>
      </c>
      <c r="AC1752" s="5" t="str">
        <f ca="1">IFERROR(__xludf.DUMMYFUNCTION("""COMPUTED_VALUE"""),"No")</f>
        <v>No</v>
      </c>
      <c r="AD1752" s="5" t="str">
        <f ca="1">IFERROR(__xludf.DUMMYFUNCTION("""COMPUTED_VALUE"""),"No")</f>
        <v>No</v>
      </c>
      <c r="AE1752" s="5" t="str">
        <f ca="1">IFERROR(__xludf.DUMMYFUNCTION("""COMPUTED_VALUE"""),"No")</f>
        <v>No</v>
      </c>
      <c r="AF1752" s="5" t="str">
        <f ca="1">IFERROR(__xludf.DUMMYFUNCTION("""COMPUTED_VALUE"""),"No")</f>
        <v>No</v>
      </c>
      <c r="AG1752" s="5" t="str">
        <f ca="1">IFERROR(__xludf.DUMMYFUNCTION("""COMPUTED_VALUE"""),"No")</f>
        <v>No</v>
      </c>
      <c r="AH1752" s="5" t="str">
        <f ca="1">IFERROR(__xludf.DUMMYFUNCTION("""COMPUTED_VALUE"""),"Yes")</f>
        <v>Yes</v>
      </c>
      <c r="AI1752" s="5" t="str">
        <f ca="1">IFERROR(__xludf.DUMMYFUNCTION("""COMPUTED_VALUE"""),"No")</f>
        <v>No</v>
      </c>
      <c r="AJ1752" s="5" t="str">
        <f ca="1">IFERROR(__xludf.DUMMYFUNCTION("""COMPUTED_VALUE"""),"No")</f>
        <v>No</v>
      </c>
    </row>
    <row r="1753" spans="1:36" ht="13">
      <c r="A1753" s="5" t="str">
        <f ca="1">IFERROR(__xludf.DUMMYFUNCTION("""COMPUTED_VALUE"""),"19941115WASTT")</f>
        <v>19941115WASTT</v>
      </c>
      <c r="B1753" s="5">
        <f ca="1">IFERROR(__xludf.DUMMYFUNCTION("""COMPUTED_VALUE"""),11)</f>
        <v>11</v>
      </c>
      <c r="C1753" s="5">
        <f ca="1">IFERROR(__xludf.DUMMYFUNCTION("""COMPUTED_VALUE"""),15)</f>
        <v>15</v>
      </c>
      <c r="D1753" s="5">
        <f ca="1">IFERROR(__xludf.DUMMYFUNCTION("""COMPUTED_VALUE"""),1994)</f>
        <v>1994</v>
      </c>
      <c r="E1753" s="8">
        <f ca="1">IFERROR(__xludf.DUMMYFUNCTION("""COMPUTED_VALUE"""),34653)</f>
        <v>34653</v>
      </c>
      <c r="F1753" s="5" t="str">
        <f ca="1">IFERROR(__xludf.DUMMYFUNCTION("""COMPUTED_VALUE"""),"Stadium High School")</f>
        <v>Stadium High School</v>
      </c>
      <c r="G1753" s="5">
        <f ca="1">IFERROR(__xludf.DUMMYFUNCTION("""COMPUTED_VALUE"""),0)</f>
        <v>0</v>
      </c>
      <c r="H1753" s="5">
        <f ca="1">IFERROR(__xludf.DUMMYFUNCTION("""COMPUTED_VALUE"""),0)</f>
        <v>0</v>
      </c>
      <c r="I1753" s="5">
        <f ca="1">IFERROR(__xludf.DUMMYFUNCTION("""COMPUTED_VALUE"""),0)</f>
        <v>0</v>
      </c>
      <c r="J1753" s="5">
        <f ca="1">IFERROR(__xludf.DUMMYFUNCTION("""COMPUTED_VALUE"""),1)</f>
        <v>1</v>
      </c>
      <c r="K1753" s="5" t="str">
        <f ca="1">IFERROR(__xludf.DUMMYFUNCTION("""COMPUTED_VALUE"""),"The News Tribune - 'You'd Never Think He Was Suicidal' Amid Grief, Dead Teen's Family, Friends Ask Themselves Why; https://www.columbine-angels.com/School_Violence_1994-1995.htm")</f>
        <v>The News Tribune - 'You'd Never Think He Was Suicidal' Amid Grief, Dead Teen's Family, Friends Ask Themselves Why; https://www.columbine-angels.com/School_Violence_1994-1995.htm</v>
      </c>
      <c r="L1753" s="5"/>
      <c r="M1753" s="5"/>
      <c r="N1753" s="5">
        <f ca="1">IFERROR(__xludf.DUMMYFUNCTION("""COMPUTED_VALUE"""),1)</f>
        <v>1</v>
      </c>
      <c r="O1753" s="5" t="str">
        <f ca="1">IFERROR(__xludf.DUMMYFUNCTION("""COMPUTED_VALUE"""),"Fall")</f>
        <v>Fall</v>
      </c>
      <c r="P1753" s="5" t="str">
        <f ca="1">IFERROR(__xludf.DUMMYFUNCTION("""COMPUTED_VALUE"""),"Tacoma")</f>
        <v>Tacoma</v>
      </c>
      <c r="Q1753" s="5" t="str">
        <f ca="1">IFERROR(__xludf.DUMMYFUNCTION("""COMPUTED_VALUE"""),"WA")</f>
        <v>WA</v>
      </c>
      <c r="R1753" s="5" t="str">
        <f ca="1">IFERROR(__xludf.DUMMYFUNCTION("""COMPUTED_VALUE"""),"High")</f>
        <v>High</v>
      </c>
      <c r="S1753" s="5" t="str">
        <f ca="1">IFERROR(__xludf.DUMMYFUNCTION("""COMPUTED_VALUE"""),"Hallway")</f>
        <v>Hallway</v>
      </c>
      <c r="T1753" s="5" t="str">
        <f ca="1">IFERROR(__xludf.DUMMYFUNCTION("""COMPUTED_VALUE"""),"Inside School Building")</f>
        <v>Inside School Building</v>
      </c>
      <c r="U1753" s="5" t="str">
        <f ca="1">IFERROR(__xludf.DUMMYFUNCTION("""COMPUTED_VALUE"""),"Yes")</f>
        <v>Yes</v>
      </c>
      <c r="V1753" s="5" t="str">
        <f ca="1">IFERROR(__xludf.DUMMYFUNCTION("""COMPUTED_VALUE"""),"Lunch")</f>
        <v>Lunch</v>
      </c>
      <c r="W1753" s="5"/>
      <c r="X1753" s="5">
        <f ca="1">IFERROR(__xludf.DUMMYFUNCTION("""COMPUTED_VALUE"""),1)</f>
        <v>1</v>
      </c>
      <c r="Y1753" s="5" t="str">
        <f ca="1">IFERROR(__xludf.DUMMYFUNCTION("""COMPUTED_VALUE"""),"Suicide in school hallway")</f>
        <v>Suicide in school hallway</v>
      </c>
      <c r="Z1753" s="5" t="str">
        <f ca="1">IFERROR(__xludf.DUMMYFUNCTION("""COMPUTED_VALUE"""),"Shooter told another student at lunch that he was going to kill himself. Minutes later he shot himself in the school hallway. Shooter was a good student who had recently started to struggle in class.")</f>
        <v>Shooter told another student at lunch that he was going to kill himself. Minutes later he shot himself in the school hallway. Shooter was a good student who had recently started to struggle in class.</v>
      </c>
      <c r="AA1753" s="5" t="str">
        <f ca="1">IFERROR(__xludf.DUMMYFUNCTION("""COMPUTED_VALUE"""),"Suicide/Attempted")</f>
        <v>Suicide/Attempted</v>
      </c>
      <c r="AB1753" s="5" t="str">
        <f ca="1">IFERROR(__xludf.DUMMYFUNCTION("""COMPUTED_VALUE"""),"Victims Targeted")</f>
        <v>Victims Targeted</v>
      </c>
      <c r="AC1753" s="5" t="str">
        <f ca="1">IFERROR(__xludf.DUMMYFUNCTION("""COMPUTED_VALUE"""),"No")</f>
        <v>No</v>
      </c>
      <c r="AD1753" s="5" t="str">
        <f ca="1">IFERROR(__xludf.DUMMYFUNCTION("""COMPUTED_VALUE"""),"No")</f>
        <v>No</v>
      </c>
      <c r="AE1753" s="5" t="str">
        <f ca="1">IFERROR(__xludf.DUMMYFUNCTION("""COMPUTED_VALUE"""),"No")</f>
        <v>No</v>
      </c>
      <c r="AF1753" s="5" t="str">
        <f ca="1">IFERROR(__xludf.DUMMYFUNCTION("""COMPUTED_VALUE"""),"No")</f>
        <v>No</v>
      </c>
      <c r="AG1753" s="5" t="str">
        <f ca="1">IFERROR(__xludf.DUMMYFUNCTION("""COMPUTED_VALUE"""),"No")</f>
        <v>No</v>
      </c>
      <c r="AH1753" s="5" t="str">
        <f ca="1">IFERROR(__xludf.DUMMYFUNCTION("""COMPUTED_VALUE"""),"No")</f>
        <v>No</v>
      </c>
      <c r="AI1753" s="5" t="str">
        <f ca="1">IFERROR(__xludf.DUMMYFUNCTION("""COMPUTED_VALUE"""),"No")</f>
        <v>No</v>
      </c>
      <c r="AJ1753" s="5"/>
    </row>
    <row r="1754" spans="1:36" ht="13">
      <c r="A1754" s="5" t="str">
        <f ca="1">IFERROR(__xludf.DUMMYFUNCTION("""COMPUTED_VALUE"""),"19941108IAWEM")</f>
        <v>19941108IAWEM</v>
      </c>
      <c r="B1754" s="5">
        <f ca="1">IFERROR(__xludf.DUMMYFUNCTION("""COMPUTED_VALUE"""),11)</f>
        <v>11</v>
      </c>
      <c r="C1754" s="5">
        <f ca="1">IFERROR(__xludf.DUMMYFUNCTION("""COMPUTED_VALUE"""),8)</f>
        <v>8</v>
      </c>
      <c r="D1754" s="5">
        <f ca="1">IFERROR(__xludf.DUMMYFUNCTION("""COMPUTED_VALUE"""),1994)</f>
        <v>1994</v>
      </c>
      <c r="E1754" s="8">
        <f ca="1">IFERROR(__xludf.DUMMYFUNCTION("""COMPUTED_VALUE"""),34646)</f>
        <v>34646</v>
      </c>
      <c r="F1754" s="5" t="str">
        <f ca="1">IFERROR(__xludf.DUMMYFUNCTION("""COMPUTED_VALUE"""),"West Delaware High School")</f>
        <v>West Delaware High School</v>
      </c>
      <c r="G1754" s="5">
        <f ca="1">IFERROR(__xludf.DUMMYFUNCTION("""COMPUTED_VALUE"""),0)</f>
        <v>0</v>
      </c>
      <c r="H1754" s="5">
        <f ca="1">IFERROR(__xludf.DUMMYFUNCTION("""COMPUTED_VALUE"""),1)</f>
        <v>1</v>
      </c>
      <c r="I1754" s="5">
        <f ca="1">IFERROR(__xludf.DUMMYFUNCTION("""COMPUTED_VALUE"""),1)</f>
        <v>1</v>
      </c>
      <c r="J1754" s="5">
        <f ca="1">IFERROR(__xludf.DUMMYFUNCTION("""COMPUTED_VALUE"""),0)</f>
        <v>0</v>
      </c>
      <c r="K1754" s="5" t="str">
        <f ca="1">IFERROR(__xludf.DUMMYFUNCTION("""COMPUTED_VALUE"""),"Cedar Rapids-Iowa City Gazette - Shooting Jolts School - W. Delaware Officials Hope for Return to Normalcy; https://www.columbine-angels.com/School_Violence_1994-1995.htm")</f>
        <v>Cedar Rapids-Iowa City Gazette - Shooting Jolts School - W. Delaware Officials Hope for Return to Normalcy; https://www.columbine-angels.com/School_Violence_1994-1995.htm</v>
      </c>
      <c r="L1754" s="5"/>
      <c r="M1754" s="5"/>
      <c r="N1754" s="5">
        <f ca="1">IFERROR(__xludf.DUMMYFUNCTION("""COMPUTED_VALUE"""),1)</f>
        <v>1</v>
      </c>
      <c r="O1754" s="5" t="str">
        <f ca="1">IFERROR(__xludf.DUMMYFUNCTION("""COMPUTED_VALUE"""),"Fall")</f>
        <v>Fall</v>
      </c>
      <c r="P1754" s="5" t="str">
        <f ca="1">IFERROR(__xludf.DUMMYFUNCTION("""COMPUTED_VALUE"""),"Manchester")</f>
        <v>Manchester</v>
      </c>
      <c r="Q1754" s="5" t="str">
        <f ca="1">IFERROR(__xludf.DUMMYFUNCTION("""COMPUTED_VALUE"""),"IA")</f>
        <v>IA</v>
      </c>
      <c r="R1754" s="5" t="str">
        <f ca="1">IFERROR(__xludf.DUMMYFUNCTION("""COMPUTED_VALUE"""),"High")</f>
        <v>High</v>
      </c>
      <c r="S1754" s="5" t="str">
        <f ca="1">IFERROR(__xludf.DUMMYFUNCTION("""COMPUTED_VALUE"""),"Office")</f>
        <v>Office</v>
      </c>
      <c r="T1754" s="5" t="str">
        <f ca="1">IFERROR(__xludf.DUMMYFUNCTION("""COMPUTED_VALUE"""),"Inside School Building")</f>
        <v>Inside School Building</v>
      </c>
      <c r="U1754" s="5" t="str">
        <f ca="1">IFERROR(__xludf.DUMMYFUNCTION("""COMPUTED_VALUE"""),"Yes")</f>
        <v>Yes</v>
      </c>
      <c r="V1754" s="5" t="str">
        <f ca="1">IFERROR(__xludf.DUMMYFUNCTION("""COMPUTED_VALUE"""),"Not a School Day")</f>
        <v>Not a School Day</v>
      </c>
      <c r="W1754" s="10">
        <f ca="1">IFERROR(__xludf.DUMMYFUNCTION("""COMPUTED_VALUE"""),0.583333333333333)</f>
        <v>0.58333333333333304</v>
      </c>
      <c r="X1754" s="5">
        <f ca="1">IFERROR(__xludf.DUMMYFUNCTION("""COMPUTED_VALUE"""),1)</f>
        <v>1</v>
      </c>
      <c r="Y1754" s="5" t="str">
        <f ca="1">IFERROR(__xludf.DUMMYFUNCTION("""COMPUTED_VALUE"""),"Fired two shotgun shells from outside school administrator's office")</f>
        <v>Fired two shotgun shells from outside school administrator's office</v>
      </c>
      <c r="Z1754" s="5" t="str">
        <f ca="1">IFERROR(__xludf.DUMMYFUNCTION("""COMPUTED_VALUE"""),"16YO shooter fired two shots from outside the school office causing minor injuries to the school secretary. School was not in session during the shooting.")</f>
        <v>16YO shooter fired two shots from outside the school office causing minor injuries to the school secretary. School was not in session during the shooting.</v>
      </c>
      <c r="AA1754" s="5" t="str">
        <f ca="1">IFERROR(__xludf.DUMMYFUNCTION("""COMPUTED_VALUE"""),"Intentional Property Damage")</f>
        <v>Intentional Property Damage</v>
      </c>
      <c r="AB1754" s="5" t="str">
        <f ca="1">IFERROR(__xludf.DUMMYFUNCTION("""COMPUTED_VALUE"""),"Random Shooting")</f>
        <v>Random Shooting</v>
      </c>
      <c r="AC1754" s="5" t="str">
        <f ca="1">IFERROR(__xludf.DUMMYFUNCTION("""COMPUTED_VALUE"""),"No")</f>
        <v>No</v>
      </c>
      <c r="AD1754" s="5" t="str">
        <f ca="1">IFERROR(__xludf.DUMMYFUNCTION("""COMPUTED_VALUE"""),"No")</f>
        <v>No</v>
      </c>
      <c r="AE1754" s="5" t="str">
        <f ca="1">IFERROR(__xludf.DUMMYFUNCTION("""COMPUTED_VALUE"""),"No")</f>
        <v>No</v>
      </c>
      <c r="AF1754" s="5" t="str">
        <f ca="1">IFERROR(__xludf.DUMMYFUNCTION("""COMPUTED_VALUE"""),"No")</f>
        <v>No</v>
      </c>
      <c r="AG1754" s="5" t="str">
        <f ca="1">IFERROR(__xludf.DUMMYFUNCTION("""COMPUTED_VALUE"""),"No")</f>
        <v>No</v>
      </c>
      <c r="AH1754" s="5" t="str">
        <f ca="1">IFERROR(__xludf.DUMMYFUNCTION("""COMPUTED_VALUE"""),"No")</f>
        <v>No</v>
      </c>
      <c r="AI1754" s="5" t="str">
        <f ca="1">IFERROR(__xludf.DUMMYFUNCTION("""COMPUTED_VALUE"""),"No")</f>
        <v>No</v>
      </c>
      <c r="AJ1754" s="5"/>
    </row>
    <row r="1755" spans="1:36" ht="13">
      <c r="A1755" s="5" t="str">
        <f ca="1">IFERROR(__xludf.DUMMYFUNCTION("""COMPUTED_VALUE"""),"19941107OHWIW")</f>
        <v>19941107OHWIW</v>
      </c>
      <c r="B1755" s="5">
        <f ca="1">IFERROR(__xludf.DUMMYFUNCTION("""COMPUTED_VALUE"""),11)</f>
        <v>11</v>
      </c>
      <c r="C1755" s="5">
        <f ca="1">IFERROR(__xludf.DUMMYFUNCTION("""COMPUTED_VALUE"""),7)</f>
        <v>7</v>
      </c>
      <c r="D1755" s="5">
        <f ca="1">IFERROR(__xludf.DUMMYFUNCTION("""COMPUTED_VALUE"""),1994)</f>
        <v>1994</v>
      </c>
      <c r="E1755" s="8">
        <f ca="1">IFERROR(__xludf.DUMMYFUNCTION("""COMPUTED_VALUE"""),34645)</f>
        <v>34645</v>
      </c>
      <c r="F1755" s="5" t="str">
        <f ca="1">IFERROR(__xludf.DUMMYFUNCTION("""COMPUTED_VALUE"""),"Wickliffe Middle School")</f>
        <v>Wickliffe Middle School</v>
      </c>
      <c r="G1755" s="5">
        <f ca="1">IFERROR(__xludf.DUMMYFUNCTION("""COMPUTED_VALUE"""),1)</f>
        <v>1</v>
      </c>
      <c r="H1755" s="5">
        <f ca="1">IFERROR(__xludf.DUMMYFUNCTION("""COMPUTED_VALUE"""),4)</f>
        <v>4</v>
      </c>
      <c r="I1755" s="5">
        <f ca="1">IFERROR(__xludf.DUMMYFUNCTION("""COMPUTED_VALUE"""),5)</f>
        <v>5</v>
      </c>
      <c r="J1755" s="5">
        <f ca="1">IFERROR(__xludf.DUMMYFUNCTION("""COMPUTED_VALUE"""),0)</f>
        <v>0</v>
      </c>
      <c r="K1755" s="5" t="str">
        <f ca="1">IFERROR(__xludf.DUMMYFUNCTION("""COMPUTED_VALUE"""),"http://www.cleveland.com/metro/index.ssf/2014/11/1994_wickliffe_school_shooting_terror_enters_middle_school_detailed_description_of_the_shooting_unfolding.html   http://www.news-herald.com/general-news/20120229/remembering-1994-wickliffe-middle-school-sho"&amp;"oter-has-since-died-in-prison")</f>
        <v>http://www.cleveland.com/metro/index.ssf/2014/11/1994_wickliffe_school_shooting_terror_enters_middle_school_detailed_description_of_the_shooting_unfolding.html   http://www.news-herald.com/general-news/20120229/remembering-1994-wickliffe-middle-school-shooter-has-since-died-in-prison</v>
      </c>
      <c r="L1755" s="5"/>
      <c r="M1755" s="5"/>
      <c r="N1755" s="5">
        <f ca="1">IFERROR(__xludf.DUMMYFUNCTION("""COMPUTED_VALUE"""),2)</f>
        <v>2</v>
      </c>
      <c r="O1755" s="5" t="str">
        <f ca="1">IFERROR(__xludf.DUMMYFUNCTION("""COMPUTED_VALUE"""),"Fall")</f>
        <v>Fall</v>
      </c>
      <c r="P1755" s="5" t="str">
        <f ca="1">IFERROR(__xludf.DUMMYFUNCTION("""COMPUTED_VALUE"""),"Wickliffe")</f>
        <v>Wickliffe</v>
      </c>
      <c r="Q1755" s="5" t="str">
        <f ca="1">IFERROR(__xludf.DUMMYFUNCTION("""COMPUTED_VALUE"""),"OH")</f>
        <v>OH</v>
      </c>
      <c r="R1755" s="5" t="str">
        <f ca="1">IFERROR(__xludf.DUMMYFUNCTION("""COMPUTED_VALUE"""),"Middle")</f>
        <v>Middle</v>
      </c>
      <c r="S1755" s="5" t="str">
        <f ca="1">IFERROR(__xludf.DUMMYFUNCTION("""COMPUTED_VALUE"""),"Hallway")</f>
        <v>Hallway</v>
      </c>
      <c r="T1755" s="5" t="str">
        <f ca="1">IFERROR(__xludf.DUMMYFUNCTION("""COMPUTED_VALUE"""),"Inside School Building")</f>
        <v>Inside School Building</v>
      </c>
      <c r="U1755" s="5" t="str">
        <f ca="1">IFERROR(__xludf.DUMMYFUNCTION("""COMPUTED_VALUE"""),"Yes")</f>
        <v>Yes</v>
      </c>
      <c r="V1755" s="5"/>
      <c r="W1755" s="5"/>
      <c r="X1755" s="5"/>
      <c r="Y1755" s="5" t="str">
        <f ca="1">IFERROR(__xludf.DUMMYFUNCTION("""COMPUTED_VALUE"""),"Stopped taking medications, fired at multiple school employees")</f>
        <v>Stopped taking medications, fired at multiple school employees</v>
      </c>
      <c r="Z1755" s="5" t="str">
        <f ca="1">IFERROR(__xludf.DUMMYFUNCTION("""COMPUTED_VALUE"""),"Shooter was a former student at Wickliffe Middle School. He shot and killed a custodian, as well as wounding the assistant principal, a police officer, and two teachers. Relatives reported shooter was diagnosed as having paranoid schizophrenia and had not"&amp;" been taking medications.")</f>
        <v>Shooter was a former student at Wickliffe Middle School. He shot and killed a custodian, as well as wounding the assistant principal, a police officer, and two teachers. Relatives reported shooter was diagnosed as having paranoid schizophrenia and had not been taking medications.</v>
      </c>
      <c r="AA1755" s="5" t="str">
        <f ca="1">IFERROR(__xludf.DUMMYFUNCTION("""COMPUTED_VALUE"""),"Psychosis")</f>
        <v>Psychosis</v>
      </c>
      <c r="AB1755" s="5" t="str">
        <f ca="1">IFERROR(__xludf.DUMMYFUNCTION("""COMPUTED_VALUE"""),"Random Shooting")</f>
        <v>Random Shooting</v>
      </c>
      <c r="AC1755" s="5" t="str">
        <f ca="1">IFERROR(__xludf.DUMMYFUNCTION("""COMPUTED_VALUE"""),"No")</f>
        <v>No</v>
      </c>
      <c r="AD1755" s="5" t="str">
        <f ca="1">IFERROR(__xludf.DUMMYFUNCTION("""COMPUTED_VALUE"""),"No")</f>
        <v>No</v>
      </c>
      <c r="AE1755" s="5" t="str">
        <f ca="1">IFERROR(__xludf.DUMMYFUNCTION("""COMPUTED_VALUE"""),"Yes")</f>
        <v>Yes</v>
      </c>
      <c r="AF1755" s="5" t="str">
        <f ca="1">IFERROR(__xludf.DUMMYFUNCTION("""COMPUTED_VALUE"""),"No")</f>
        <v>No</v>
      </c>
      <c r="AG1755" s="5" t="str">
        <f ca="1">IFERROR(__xludf.DUMMYFUNCTION("""COMPUTED_VALUE"""),"No")</f>
        <v>No</v>
      </c>
      <c r="AH1755" s="5" t="str">
        <f ca="1">IFERROR(__xludf.DUMMYFUNCTION("""COMPUTED_VALUE"""),"No")</f>
        <v>No</v>
      </c>
      <c r="AI1755" s="5" t="str">
        <f ca="1">IFERROR(__xludf.DUMMYFUNCTION("""COMPUTED_VALUE"""),"No")</f>
        <v>No</v>
      </c>
      <c r="AJ1755" s="5" t="str">
        <f ca="1">IFERROR(__xludf.DUMMYFUNCTION("""COMPUTED_VALUE"""),"Yes")</f>
        <v>Yes</v>
      </c>
    </row>
    <row r="1756" spans="1:36" ht="13">
      <c r="A1756" s="5" t="str">
        <f ca="1">IFERROR(__xludf.DUMMYFUNCTION("""COMPUTED_VALUE"""),"19941105CATHS")</f>
        <v>19941105CATHS</v>
      </c>
      <c r="B1756" s="5">
        <f ca="1">IFERROR(__xludf.DUMMYFUNCTION("""COMPUTED_VALUE"""),11)</f>
        <v>11</v>
      </c>
      <c r="C1756" s="5">
        <f ca="1">IFERROR(__xludf.DUMMYFUNCTION("""COMPUTED_VALUE"""),5)</f>
        <v>5</v>
      </c>
      <c r="D1756" s="5">
        <f ca="1">IFERROR(__xludf.DUMMYFUNCTION("""COMPUTED_VALUE"""),1994)</f>
        <v>1994</v>
      </c>
      <c r="E1756" s="8">
        <f ca="1">IFERROR(__xludf.DUMMYFUNCTION("""COMPUTED_VALUE"""),34643)</f>
        <v>34643</v>
      </c>
      <c r="F1756" s="5" t="str">
        <f ca="1">IFERROR(__xludf.DUMMYFUNCTION("""COMPUTED_VALUE"""),"Thomas Jefferson Elementary School")</f>
        <v>Thomas Jefferson Elementary School</v>
      </c>
      <c r="G1756" s="5">
        <f ca="1">IFERROR(__xludf.DUMMYFUNCTION("""COMPUTED_VALUE"""),1)</f>
        <v>1</v>
      </c>
      <c r="H1756" s="5">
        <f ca="1">IFERROR(__xludf.DUMMYFUNCTION("""COMPUTED_VALUE"""),0)</f>
        <v>0</v>
      </c>
      <c r="I1756" s="5">
        <f ca="1">IFERROR(__xludf.DUMMYFUNCTION("""COMPUTED_VALUE"""),1)</f>
        <v>1</v>
      </c>
      <c r="J1756" s="5">
        <f ca="1">IFERROR(__xludf.DUMMYFUNCTION("""COMPUTED_VALUE"""),0)</f>
        <v>0</v>
      </c>
      <c r="K1756" s="9" t="str">
        <f ca="1">IFERROR(__xludf.DUMMYFUNCTION("""COMPUTED_VALUE"""),"https://www.sfgate.com/bayarea/article/SAN-LEANDRO-Suspect-named-in-1994-slaying-2596999.php")</f>
        <v>https://www.sfgate.com/bayarea/article/SAN-LEANDRO-Suspect-named-in-1994-slaying-2596999.php</v>
      </c>
      <c r="L1756" s="5"/>
      <c r="M1756" s="5"/>
      <c r="N1756" s="5">
        <f ca="1">IFERROR(__xludf.DUMMYFUNCTION("""COMPUTED_VALUE"""),4)</f>
        <v>4</v>
      </c>
      <c r="O1756" s="5" t="str">
        <f ca="1">IFERROR(__xludf.DUMMYFUNCTION("""COMPUTED_VALUE"""),"Fall")</f>
        <v>Fall</v>
      </c>
      <c r="P1756" s="5" t="str">
        <f ca="1">IFERROR(__xludf.DUMMYFUNCTION("""COMPUTED_VALUE"""),"San Leandro")</f>
        <v>San Leandro</v>
      </c>
      <c r="Q1756" s="5" t="str">
        <f ca="1">IFERROR(__xludf.DUMMYFUNCTION("""COMPUTED_VALUE"""),"CA")</f>
        <v>CA</v>
      </c>
      <c r="R1756" s="5" t="str">
        <f ca="1">IFERROR(__xludf.DUMMYFUNCTION("""COMPUTED_VALUE"""),"Elementary")</f>
        <v>Elementary</v>
      </c>
      <c r="S1756" s="5" t="str">
        <f ca="1">IFERROR(__xludf.DUMMYFUNCTION("""COMPUTED_VALUE"""),"Field (General)")</f>
        <v>Field (General)</v>
      </c>
      <c r="T1756" s="5" t="str">
        <f ca="1">IFERROR(__xludf.DUMMYFUNCTION("""COMPUTED_VALUE"""),"Outside on School Property")</f>
        <v>Outside on School Property</v>
      </c>
      <c r="U1756" s="5" t="str">
        <f ca="1">IFERROR(__xludf.DUMMYFUNCTION("""COMPUTED_VALUE"""),"No")</f>
        <v>No</v>
      </c>
      <c r="V1756" s="5" t="str">
        <f ca="1">IFERROR(__xludf.DUMMYFUNCTION("""COMPUTED_VALUE"""),"Night")</f>
        <v>Night</v>
      </c>
      <c r="W1756" s="5"/>
      <c r="X1756" s="5"/>
      <c r="Y1756" s="5" t="str">
        <f ca="1">IFERROR(__xludf.DUMMYFUNCTION("""COMPUTED_VALUE"""),"Female teenager (non-student) killed outside of school while walking home by unknown male")</f>
        <v>Female teenager (non-student) killed outside of school while walking home by unknown male</v>
      </c>
      <c r="Z1756" s="5" t="str">
        <f ca="1">IFERROR(__xludf.DUMMYFUNCTION("""COMPUTED_VALUE"""),"Victim was walking home from football game and took shortcut through the elementary school grounds. Unclear if she was walking with an unknown male or being followed. She was found dead from a GSW to the head outside of the school. Victim was sexually ass"&amp;"aulted prior to shooting. Unknown suspect and no arrest made.")</f>
        <v>Victim was walking home from football game and took shortcut through the elementary school grounds. Unclear if she was walking with an unknown male or being followed. She was found dead from a GSW to the head outside of the school. Victim was sexually assaulted prior to shooting. Unknown suspect and no arrest made.</v>
      </c>
      <c r="AA1756" s="5" t="str">
        <f ca="1">IFERROR(__xludf.DUMMYFUNCTION("""COMPUTED_VALUE"""),"Unknown")</f>
        <v>Unknown</v>
      </c>
      <c r="AB1756" s="5" t="str">
        <f ca="1">IFERROR(__xludf.DUMMYFUNCTION("""COMPUTED_VALUE"""),"Victims Targeted")</f>
        <v>Victims Targeted</v>
      </c>
      <c r="AC1756" s="5" t="str">
        <f ca="1">IFERROR(__xludf.DUMMYFUNCTION("""COMPUTED_VALUE"""),"No")</f>
        <v>No</v>
      </c>
      <c r="AD1756" s="5" t="str">
        <f ca="1">IFERROR(__xludf.DUMMYFUNCTION("""COMPUTED_VALUE"""),"No")</f>
        <v>No</v>
      </c>
      <c r="AE1756" s="5" t="str">
        <f ca="1">IFERROR(__xludf.DUMMYFUNCTION("""COMPUTED_VALUE"""),"No")</f>
        <v>No</v>
      </c>
      <c r="AF1756" s="5" t="str">
        <f ca="1">IFERROR(__xludf.DUMMYFUNCTION("""COMPUTED_VALUE"""),"No")</f>
        <v>No</v>
      </c>
      <c r="AG1756" s="5" t="str">
        <f ca="1">IFERROR(__xludf.DUMMYFUNCTION("""COMPUTED_VALUE"""),"No")</f>
        <v>No</v>
      </c>
      <c r="AH1756" s="5"/>
      <c r="AI1756" s="5" t="str">
        <f ca="1">IFERROR(__xludf.DUMMYFUNCTION("""COMPUTED_VALUE"""),"No")</f>
        <v>No</v>
      </c>
      <c r="AJ1756" s="5"/>
    </row>
    <row r="1757" spans="1:36" ht="13">
      <c r="A1757" s="5" t="str">
        <f ca="1">IFERROR(__xludf.DUMMYFUNCTION("""COMPUTED_VALUE"""),"19941031CAALA")</f>
        <v>19941031CAALA</v>
      </c>
      <c r="B1757" s="5">
        <f ca="1">IFERROR(__xludf.DUMMYFUNCTION("""COMPUTED_VALUE"""),10)</f>
        <v>10</v>
      </c>
      <c r="C1757" s="5">
        <f ca="1">IFERROR(__xludf.DUMMYFUNCTION("""COMPUTED_VALUE"""),31)</f>
        <v>31</v>
      </c>
      <c r="D1757" s="5">
        <f ca="1">IFERROR(__xludf.DUMMYFUNCTION("""COMPUTED_VALUE"""),1994)</f>
        <v>1994</v>
      </c>
      <c r="E1757" s="8">
        <f ca="1">IFERROR(__xludf.DUMMYFUNCTION("""COMPUTED_VALUE"""),34638)</f>
        <v>34638</v>
      </c>
      <c r="F1757" s="5" t="str">
        <f ca="1">IFERROR(__xludf.DUMMYFUNCTION("""COMPUTED_VALUE"""),"Aliso Niguel High school")</f>
        <v>Aliso Niguel High school</v>
      </c>
      <c r="G1757" s="5">
        <f ca="1">IFERROR(__xludf.DUMMYFUNCTION("""COMPUTED_VALUE"""),0)</f>
        <v>0</v>
      </c>
      <c r="H1757" s="5">
        <f ca="1">IFERROR(__xludf.DUMMYFUNCTION("""COMPUTED_VALUE"""),0)</f>
        <v>0</v>
      </c>
      <c r="I1757" s="5">
        <f ca="1">IFERROR(__xludf.DUMMYFUNCTION("""COMPUTED_VALUE"""),0)</f>
        <v>0</v>
      </c>
      <c r="J1757" s="5">
        <f ca="1">IFERROR(__xludf.DUMMYFUNCTION("""COMPUTED_VALUE"""),0)</f>
        <v>0</v>
      </c>
      <c r="K1757" s="9" t="str">
        <f ca="1">IFERROR(__xludf.DUMMYFUNCTION("""COMPUTED_VALUE"""),"http://articles.latimes.com/1994-11-01/local/me-57381_1_aliso-niguel-high-student")</f>
        <v>http://articles.latimes.com/1994-11-01/local/me-57381_1_aliso-niguel-high-student</v>
      </c>
      <c r="L1757" s="5"/>
      <c r="M1757" s="5"/>
      <c r="N1757" s="5">
        <f ca="1">IFERROR(__xludf.DUMMYFUNCTION("""COMPUTED_VALUE"""),2)</f>
        <v>2</v>
      </c>
      <c r="O1757" s="5" t="str">
        <f ca="1">IFERROR(__xludf.DUMMYFUNCTION("""COMPUTED_VALUE"""),"Fall")</f>
        <v>Fall</v>
      </c>
      <c r="P1757" s="5" t="str">
        <f ca="1">IFERROR(__xludf.DUMMYFUNCTION("""COMPUTED_VALUE"""),"Aliso Veijo")</f>
        <v>Aliso Veijo</v>
      </c>
      <c r="Q1757" s="5" t="str">
        <f ca="1">IFERROR(__xludf.DUMMYFUNCTION("""COMPUTED_VALUE"""),"CA")</f>
        <v>CA</v>
      </c>
      <c r="R1757" s="5" t="str">
        <f ca="1">IFERROR(__xludf.DUMMYFUNCTION("""COMPUTED_VALUE"""),"High")</f>
        <v>High</v>
      </c>
      <c r="S1757" s="5" t="str">
        <f ca="1">IFERROR(__xludf.DUMMYFUNCTION("""COMPUTED_VALUE"""),"Classroom")</f>
        <v>Classroom</v>
      </c>
      <c r="T1757" s="5" t="str">
        <f ca="1">IFERROR(__xludf.DUMMYFUNCTION("""COMPUTED_VALUE"""),"Inside School Building")</f>
        <v>Inside School Building</v>
      </c>
      <c r="U1757" s="5" t="str">
        <f ca="1">IFERROR(__xludf.DUMMYFUNCTION("""COMPUTED_VALUE"""),"Yes")</f>
        <v>Yes</v>
      </c>
      <c r="V1757" s="5" t="str">
        <f ca="1">IFERROR(__xludf.DUMMYFUNCTION("""COMPUTED_VALUE"""),"Afternoon Classes")</f>
        <v>Afternoon Classes</v>
      </c>
      <c r="W1757" s="10">
        <f ca="1">IFERROR(__xludf.DUMMYFUNCTION("""COMPUTED_VALUE"""),0.530555555555555)</f>
        <v>0.530555555555555</v>
      </c>
      <c r="X1757" s="5">
        <f ca="1">IFERROR(__xludf.DUMMYFUNCTION("""COMPUTED_VALUE"""),1)</f>
        <v>1</v>
      </c>
      <c r="Y1757" s="5" t="str">
        <f ca="1">IFERROR(__xludf.DUMMYFUNCTION("""COMPUTED_VALUE"""),"Distraught over girlfriend breakup - attempted suicide in classroom with weapon")</f>
        <v>Distraught over girlfriend breakup - attempted suicide in classroom with weapon</v>
      </c>
      <c r="Z1757" s="5" t="str">
        <f ca="1">IFERROR(__xludf.DUMMYFUNCTION("""COMPUTED_VALUE"""),"Shooter tried to commit suicide after girlfriend of 18 months broke up with him. He shot himself in front of her during 5 hour photography class. told friends prior he would do it - they didn't believe him as he had made threats in past.")</f>
        <v>Shooter tried to commit suicide after girlfriend of 18 months broke up with him. He shot himself in front of her during 5 hour photography class. told friends prior he would do it - they didn't believe him as he had made threats in past.</v>
      </c>
      <c r="AA1757" s="5" t="str">
        <f ca="1">IFERROR(__xludf.DUMMYFUNCTION("""COMPUTED_VALUE"""),"Suicide/Attempted")</f>
        <v>Suicide/Attempted</v>
      </c>
      <c r="AB1757" s="5" t="str">
        <f ca="1">IFERROR(__xludf.DUMMYFUNCTION("""COMPUTED_VALUE"""),"Victims Targeted")</f>
        <v>Victims Targeted</v>
      </c>
      <c r="AC1757" s="5" t="str">
        <f ca="1">IFERROR(__xludf.DUMMYFUNCTION("""COMPUTED_VALUE"""),"No")</f>
        <v>No</v>
      </c>
      <c r="AD1757" s="5" t="str">
        <f ca="1">IFERROR(__xludf.DUMMYFUNCTION("""COMPUTED_VALUE"""),"No")</f>
        <v>No</v>
      </c>
      <c r="AE1757" s="5" t="str">
        <f ca="1">IFERROR(__xludf.DUMMYFUNCTION("""COMPUTED_VALUE"""),"No")</f>
        <v>No</v>
      </c>
      <c r="AF1757" s="5" t="str">
        <f ca="1">IFERROR(__xludf.DUMMYFUNCTION("""COMPUTED_VALUE"""),"No")</f>
        <v>No</v>
      </c>
      <c r="AG1757" s="5" t="str">
        <f ca="1">IFERROR(__xludf.DUMMYFUNCTION("""COMPUTED_VALUE"""),"No")</f>
        <v>No</v>
      </c>
      <c r="AH1757" s="5" t="str">
        <f ca="1">IFERROR(__xludf.DUMMYFUNCTION("""COMPUTED_VALUE"""),"Yes")</f>
        <v>Yes</v>
      </c>
      <c r="AI1757" s="5" t="str">
        <f ca="1">IFERROR(__xludf.DUMMYFUNCTION("""COMPUTED_VALUE"""),"No")</f>
        <v>No</v>
      </c>
      <c r="AJ1757" s="5"/>
    </row>
    <row r="1758" spans="1:36" ht="13">
      <c r="A1758" s="5" t="str">
        <f ca="1">IFERROR(__xludf.DUMMYFUNCTION("""COMPUTED_VALUE"""),"19941017ILHUC")</f>
        <v>19941017ILHUC</v>
      </c>
      <c r="B1758" s="5">
        <f ca="1">IFERROR(__xludf.DUMMYFUNCTION("""COMPUTED_VALUE"""),10)</f>
        <v>10</v>
      </c>
      <c r="C1758" s="5">
        <f ca="1">IFERROR(__xludf.DUMMYFUNCTION("""COMPUTED_VALUE"""),17)</f>
        <v>17</v>
      </c>
      <c r="D1758" s="5">
        <f ca="1">IFERROR(__xludf.DUMMYFUNCTION("""COMPUTED_VALUE"""),1994)</f>
        <v>1994</v>
      </c>
      <c r="E1758" s="8">
        <f ca="1">IFERROR(__xludf.DUMMYFUNCTION("""COMPUTED_VALUE"""),34624)</f>
        <v>34624</v>
      </c>
      <c r="F1758" s="5" t="str">
        <f ca="1">IFERROR(__xludf.DUMMYFUNCTION("""COMPUTED_VALUE"""),"Hubbard High School")</f>
        <v>Hubbard High School</v>
      </c>
      <c r="G1758" s="5">
        <f ca="1">IFERROR(__xludf.DUMMYFUNCTION("""COMPUTED_VALUE"""),0)</f>
        <v>0</v>
      </c>
      <c r="H1758" s="5">
        <f ca="1">IFERROR(__xludf.DUMMYFUNCTION("""COMPUTED_VALUE"""),1)</f>
        <v>1</v>
      </c>
      <c r="I1758" s="5">
        <f ca="1">IFERROR(__xludf.DUMMYFUNCTION("""COMPUTED_VALUE"""),1)</f>
        <v>1</v>
      </c>
      <c r="J1758" s="5">
        <f ca="1">IFERROR(__xludf.DUMMYFUNCTION("""COMPUTED_VALUE"""),0)</f>
        <v>0</v>
      </c>
      <c r="K1758" s="9" t="str">
        <f ca="1">IFERROR(__xludf.DUMMYFUNCTION("""COMPUTED_VALUE"""),"http://articles.chicagotribune.com/1994-10-18/news/9410180247_1_female-student-was-shot-christ-hospital-flesh-wound")</f>
        <v>http://articles.chicagotribune.com/1994-10-18/news/9410180247_1_female-student-was-shot-christ-hospital-flesh-wound</v>
      </c>
      <c r="L1758" s="5"/>
      <c r="M1758" s="5"/>
      <c r="N1758" s="5">
        <f ca="1">IFERROR(__xludf.DUMMYFUNCTION("""COMPUTED_VALUE"""),2)</f>
        <v>2</v>
      </c>
      <c r="O1758" s="5" t="str">
        <f ca="1">IFERROR(__xludf.DUMMYFUNCTION("""COMPUTED_VALUE"""),"Fall")</f>
        <v>Fall</v>
      </c>
      <c r="P1758" s="5" t="str">
        <f ca="1">IFERROR(__xludf.DUMMYFUNCTION("""COMPUTED_VALUE"""),"Chicago")</f>
        <v>Chicago</v>
      </c>
      <c r="Q1758" s="5" t="str">
        <f ca="1">IFERROR(__xludf.DUMMYFUNCTION("""COMPUTED_VALUE"""),"IL")</f>
        <v>IL</v>
      </c>
      <c r="R1758" s="5" t="str">
        <f ca="1">IFERROR(__xludf.DUMMYFUNCTION("""COMPUTED_VALUE"""),"High")</f>
        <v>High</v>
      </c>
      <c r="S1758" s="5" t="str">
        <f ca="1">IFERROR(__xludf.DUMMYFUNCTION("""COMPUTED_VALUE"""),"Front of School")</f>
        <v>Front of School</v>
      </c>
      <c r="T1758" s="5" t="str">
        <f ca="1">IFERROR(__xludf.DUMMYFUNCTION("""COMPUTED_VALUE"""),"Outside on School Property")</f>
        <v>Outside on School Property</v>
      </c>
      <c r="U1758" s="5" t="str">
        <f ca="1">IFERROR(__xludf.DUMMYFUNCTION("""COMPUTED_VALUE"""),"Yes")</f>
        <v>Yes</v>
      </c>
      <c r="V1758" s="5" t="str">
        <f ca="1">IFERROR(__xludf.DUMMYFUNCTION("""COMPUTED_VALUE"""),"Dismissal")</f>
        <v>Dismissal</v>
      </c>
      <c r="W1758" s="10">
        <f ca="1">IFERROR(__xludf.DUMMYFUNCTION("""COMPUTED_VALUE"""),0.59375)</f>
        <v>0.59375</v>
      </c>
      <c r="X1758" s="5">
        <f ca="1">IFERROR(__xludf.DUMMYFUNCTION("""COMPUTED_VALUE"""),1)</f>
        <v>1</v>
      </c>
      <c r="Y1758" s="5" t="str">
        <f ca="1">IFERROR(__xludf.DUMMYFUNCTION("""COMPUTED_VALUE"""),"Gang related shooting, bystander student hit")</f>
        <v>Gang related shooting, bystander student hit</v>
      </c>
      <c r="Z1758" s="5" t="str">
        <f ca="1">IFERROR(__xludf.DUMMYFUNCTION("""COMPUTED_VALUE"""),"Unknown shooter on bicycle fired at crowd while riding by high school. Bystander female student was struck. Shooter fled. Police said the shooting was gang related.")</f>
        <v>Unknown shooter on bicycle fired at crowd while riding by high school. Bystander female student was struck. Shooter fled. Police said the shooting was gang related.</v>
      </c>
      <c r="AA1758" s="5" t="str">
        <f ca="1">IFERROR(__xludf.DUMMYFUNCTION("""COMPUTED_VALUE"""),"Drive-by Shooting")</f>
        <v>Drive-by Shooting</v>
      </c>
      <c r="AB1758" s="5" t="str">
        <f ca="1">IFERROR(__xludf.DUMMYFUNCTION("""COMPUTED_VALUE"""),"Both")</f>
        <v>Both</v>
      </c>
      <c r="AC1758" s="5" t="str">
        <f ca="1">IFERROR(__xludf.DUMMYFUNCTION("""COMPUTED_VALUE"""),"No")</f>
        <v>No</v>
      </c>
      <c r="AD1758" s="5" t="str">
        <f ca="1">IFERROR(__xludf.DUMMYFUNCTION("""COMPUTED_VALUE"""),"No")</f>
        <v>No</v>
      </c>
      <c r="AE1758" s="5" t="str">
        <f ca="1">IFERROR(__xludf.DUMMYFUNCTION("""COMPUTED_VALUE"""),"No")</f>
        <v>No</v>
      </c>
      <c r="AF1758" s="5" t="str">
        <f ca="1">IFERROR(__xludf.DUMMYFUNCTION("""COMPUTED_VALUE"""),"No")</f>
        <v>No</v>
      </c>
      <c r="AG1758" s="5" t="str">
        <f ca="1">IFERROR(__xludf.DUMMYFUNCTION("""COMPUTED_VALUE"""),"No")</f>
        <v>No</v>
      </c>
      <c r="AH1758" s="5" t="str">
        <f ca="1">IFERROR(__xludf.DUMMYFUNCTION("""COMPUTED_VALUE"""),"No")</f>
        <v>No</v>
      </c>
      <c r="AI1758" s="5" t="str">
        <f ca="1">IFERROR(__xludf.DUMMYFUNCTION("""COMPUTED_VALUE"""),"Yes")</f>
        <v>Yes</v>
      </c>
      <c r="AJ1758" s="5"/>
    </row>
    <row r="1759" spans="1:36" ht="13">
      <c r="A1759" s="5" t="str">
        <f ca="1">IFERROR(__xludf.DUMMYFUNCTION("""COMPUTED_VALUE"""),"19941012NCGRG")</f>
        <v>19941012NCGRG</v>
      </c>
      <c r="B1759" s="5">
        <f ca="1">IFERROR(__xludf.DUMMYFUNCTION("""COMPUTED_VALUE"""),10)</f>
        <v>10</v>
      </c>
      <c r="C1759" s="5">
        <f ca="1">IFERROR(__xludf.DUMMYFUNCTION("""COMPUTED_VALUE"""),12)</f>
        <v>12</v>
      </c>
      <c r="D1759" s="5">
        <f ca="1">IFERROR(__xludf.DUMMYFUNCTION("""COMPUTED_VALUE"""),1994)</f>
        <v>1994</v>
      </c>
      <c r="E1759" s="8">
        <f ca="1">IFERROR(__xludf.DUMMYFUNCTION("""COMPUTED_VALUE"""),34619)</f>
        <v>34619</v>
      </c>
      <c r="F1759" s="5" t="str">
        <f ca="1">IFERROR(__xludf.DUMMYFUNCTION("""COMPUTED_VALUE"""),"Grimsley High School")</f>
        <v>Grimsley High School</v>
      </c>
      <c r="G1759" s="5">
        <f ca="1">IFERROR(__xludf.DUMMYFUNCTION("""COMPUTED_VALUE"""),0)</f>
        <v>0</v>
      </c>
      <c r="H1759" s="5">
        <f ca="1">IFERROR(__xludf.DUMMYFUNCTION("""COMPUTED_VALUE"""),1)</f>
        <v>1</v>
      </c>
      <c r="I1759" s="5">
        <f ca="1">IFERROR(__xludf.DUMMYFUNCTION("""COMPUTED_VALUE"""),1)</f>
        <v>1</v>
      </c>
      <c r="J1759" s="5">
        <f ca="1">IFERROR(__xludf.DUMMYFUNCTION("""COMPUTED_VALUE"""),1)</f>
        <v>1</v>
      </c>
      <c r="K1759" s="5" t="str">
        <f ca="1">IFERROR(__xludf.DUMMYFUNCTION("""COMPUTED_VALUE"""),"http://www.greensboro.com/turmoil-ends-with-tragedy/article_8a983951-14c6-5b87-a82e-e972684a3481.html https://www.wfmynews2.com/article/news/local/2-wants-to-know/greensboros-history-with-school-shootings/83-609608035")</f>
        <v>http://www.greensboro.com/turmoil-ends-with-tragedy/article_8a983951-14c6-5b87-a82e-e972684a3481.html https://www.wfmynews2.com/article/news/local/2-wants-to-know/greensboros-history-with-school-shootings/83-609608035</v>
      </c>
      <c r="L1759" s="5"/>
      <c r="M1759" s="5"/>
      <c r="N1759" s="5">
        <f ca="1">IFERROR(__xludf.DUMMYFUNCTION("""COMPUTED_VALUE"""),3)</f>
        <v>3</v>
      </c>
      <c r="O1759" s="5" t="str">
        <f ca="1">IFERROR(__xludf.DUMMYFUNCTION("""COMPUTED_VALUE"""),"Fall")</f>
        <v>Fall</v>
      </c>
      <c r="P1759" s="5" t="str">
        <f ca="1">IFERROR(__xludf.DUMMYFUNCTION("""COMPUTED_VALUE"""),"Greensboro")</f>
        <v>Greensboro</v>
      </c>
      <c r="Q1759" s="5" t="str">
        <f ca="1">IFERROR(__xludf.DUMMYFUNCTION("""COMPUTED_VALUE"""),"NC")</f>
        <v>NC</v>
      </c>
      <c r="R1759" s="5" t="str">
        <f ca="1">IFERROR(__xludf.DUMMYFUNCTION("""COMPUTED_VALUE"""),"High")</f>
        <v>High</v>
      </c>
      <c r="S1759" s="5" t="str">
        <f ca="1">IFERROR(__xludf.DUMMYFUNCTION("""COMPUTED_VALUE"""),"Parking Lot")</f>
        <v>Parking Lot</v>
      </c>
      <c r="T1759" s="5" t="str">
        <f ca="1">IFERROR(__xludf.DUMMYFUNCTION("""COMPUTED_VALUE"""),"Outside on School Property")</f>
        <v>Outside on School Property</v>
      </c>
      <c r="U1759" s="5" t="str">
        <f ca="1">IFERROR(__xludf.DUMMYFUNCTION("""COMPUTED_VALUE"""),"Yes")</f>
        <v>Yes</v>
      </c>
      <c r="V1759" s="5" t="str">
        <f ca="1">IFERROR(__xludf.DUMMYFUNCTION("""COMPUTED_VALUE"""),"Dismissal")</f>
        <v>Dismissal</v>
      </c>
      <c r="W1759" s="5"/>
      <c r="X1759" s="5">
        <f ca="1">IFERROR(__xludf.DUMMYFUNCTION("""COMPUTED_VALUE"""),1)</f>
        <v>1</v>
      </c>
      <c r="Y1759" s="5" t="str">
        <f ca="1">IFERROR(__xludf.DUMMYFUNCTION("""COMPUTED_VALUE"""),"Anger for being suspended")</f>
        <v>Anger for being suspended</v>
      </c>
      <c r="Z1759" s="5" t="str">
        <f ca="1">IFERROR(__xludf.DUMMYFUNCTION("""COMPUTED_VALUE"""),"Shooter was suspended the prior day for smoking at school. Shooter walked to the school at the end of the school day and shot the principal who was standing in front of the school. He then shot himself in the head. His father was a behavioral specialist a"&amp;"t another school. The shooter was well liked and smart. Shooter drank and smoked cigarettes.")</f>
        <v>Shooter was suspended the prior day for smoking at school. Shooter walked to the school at the end of the school day and shot the principal who was standing in front of the school. He then shot himself in the head. His father was a behavioral specialist at another school. The shooter was well liked and smart. Shooter drank and smoked cigarettes.</v>
      </c>
      <c r="AA1759" s="5" t="str">
        <f ca="1">IFERROR(__xludf.DUMMYFUNCTION("""COMPUTED_VALUE"""),"Anger Over Grade/Suspension/Discipline")</f>
        <v>Anger Over Grade/Suspension/Discipline</v>
      </c>
      <c r="AB1759" s="5" t="str">
        <f ca="1">IFERROR(__xludf.DUMMYFUNCTION("""COMPUTED_VALUE"""),"Victims Targeted")</f>
        <v>Victims Targeted</v>
      </c>
      <c r="AC1759" s="5" t="str">
        <f ca="1">IFERROR(__xludf.DUMMYFUNCTION("""COMPUTED_VALUE"""),"No")</f>
        <v>No</v>
      </c>
      <c r="AD1759" s="5" t="str">
        <f ca="1">IFERROR(__xludf.DUMMYFUNCTION("""COMPUTED_VALUE"""),"No")</f>
        <v>No</v>
      </c>
      <c r="AE1759" s="5" t="str">
        <f ca="1">IFERROR(__xludf.DUMMYFUNCTION("""COMPUTED_VALUE"""),"No")</f>
        <v>No</v>
      </c>
      <c r="AF1759" s="5" t="str">
        <f ca="1">IFERROR(__xludf.DUMMYFUNCTION("""COMPUTED_VALUE"""),"No")</f>
        <v>No</v>
      </c>
      <c r="AG1759" s="5" t="str">
        <f ca="1">IFERROR(__xludf.DUMMYFUNCTION("""COMPUTED_VALUE"""),"No")</f>
        <v>No</v>
      </c>
      <c r="AH1759" s="5" t="str">
        <f ca="1">IFERROR(__xludf.DUMMYFUNCTION("""COMPUTED_VALUE"""),"No")</f>
        <v>No</v>
      </c>
      <c r="AI1759" s="5" t="str">
        <f ca="1">IFERROR(__xludf.DUMMYFUNCTION("""COMPUTED_VALUE"""),"No")</f>
        <v>No</v>
      </c>
      <c r="AJ1759" s="5"/>
    </row>
    <row r="1760" spans="1:36" ht="13">
      <c r="A1760" s="5" t="str">
        <f ca="1">IFERROR(__xludf.DUMMYFUNCTION("""COMPUTED_VALUE"""),"19940922ORLEL")</f>
        <v>19940922ORLEL</v>
      </c>
      <c r="B1760" s="5">
        <f ca="1">IFERROR(__xludf.DUMMYFUNCTION("""COMPUTED_VALUE"""),9)</f>
        <v>9</v>
      </c>
      <c r="C1760" s="5">
        <f ca="1">IFERROR(__xludf.DUMMYFUNCTION("""COMPUTED_VALUE"""),22)</f>
        <v>22</v>
      </c>
      <c r="D1760" s="5">
        <f ca="1">IFERROR(__xludf.DUMMYFUNCTION("""COMPUTED_VALUE"""),1994)</f>
        <v>1994</v>
      </c>
      <c r="E1760" s="8">
        <f ca="1">IFERROR(__xludf.DUMMYFUNCTION("""COMPUTED_VALUE"""),34599)</f>
        <v>34599</v>
      </c>
      <c r="F1760" s="5" t="str">
        <f ca="1">IFERROR(__xludf.DUMMYFUNCTION("""COMPUTED_VALUE"""),"Lebanon Union High School")</f>
        <v>Lebanon Union High School</v>
      </c>
      <c r="G1760" s="5">
        <f ca="1">IFERROR(__xludf.DUMMYFUNCTION("""COMPUTED_VALUE"""),0)</f>
        <v>0</v>
      </c>
      <c r="H1760" s="5">
        <f ca="1">IFERROR(__xludf.DUMMYFUNCTION("""COMPUTED_VALUE"""),1)</f>
        <v>1</v>
      </c>
      <c r="I1760" s="5">
        <f ca="1">IFERROR(__xludf.DUMMYFUNCTION("""COMPUTED_VALUE"""),1)</f>
        <v>1</v>
      </c>
      <c r="J1760" s="5">
        <f ca="1">IFERROR(__xludf.DUMMYFUNCTION("""COMPUTED_VALUE"""),0)</f>
        <v>0</v>
      </c>
      <c r="K1760" s="9" t="str">
        <f ca="1">IFERROR(__xludf.DUMMYFUNCTION("""COMPUTED_VALUE"""),"https://www.gazettetimes.com/news/local/a-history-of-violence/article_54ce32a6-d4e3-5d34-8aa6-09d9437a0439.html")</f>
        <v>https://www.gazettetimes.com/news/local/a-history-of-violence/article_54ce32a6-d4e3-5d34-8aa6-09d9437a0439.html</v>
      </c>
      <c r="L1760" s="5"/>
      <c r="M1760" s="5"/>
      <c r="N1760" s="5">
        <f ca="1">IFERROR(__xludf.DUMMYFUNCTION("""COMPUTED_VALUE"""),2)</f>
        <v>2</v>
      </c>
      <c r="O1760" s="5" t="str">
        <f ca="1">IFERROR(__xludf.DUMMYFUNCTION("""COMPUTED_VALUE"""),"Fall")</f>
        <v>Fall</v>
      </c>
      <c r="P1760" s="5" t="str">
        <f ca="1">IFERROR(__xludf.DUMMYFUNCTION("""COMPUTED_VALUE"""),"Lebanon")</f>
        <v>Lebanon</v>
      </c>
      <c r="Q1760" s="5" t="str">
        <f ca="1">IFERROR(__xludf.DUMMYFUNCTION("""COMPUTED_VALUE"""),"OR")</f>
        <v>OR</v>
      </c>
      <c r="R1760" s="5" t="str">
        <f ca="1">IFERROR(__xludf.DUMMYFUNCTION("""COMPUTED_VALUE"""),"High")</f>
        <v>High</v>
      </c>
      <c r="S1760" s="5" t="str">
        <f ca="1">IFERROR(__xludf.DUMMYFUNCTION("""COMPUTED_VALUE"""),"Parking Lot")</f>
        <v>Parking Lot</v>
      </c>
      <c r="T1760" s="5" t="str">
        <f ca="1">IFERROR(__xludf.DUMMYFUNCTION("""COMPUTED_VALUE"""),"Outside on School Property")</f>
        <v>Outside on School Property</v>
      </c>
      <c r="U1760" s="5" t="str">
        <f ca="1">IFERROR(__xludf.DUMMYFUNCTION("""COMPUTED_VALUE"""),"Yes")</f>
        <v>Yes</v>
      </c>
      <c r="V1760" s="5" t="str">
        <f ca="1">IFERROR(__xludf.DUMMYFUNCTION("""COMPUTED_VALUE"""),"Not a School Day")</f>
        <v>Not a School Day</v>
      </c>
      <c r="W1760" s="5"/>
      <c r="X1760" s="5">
        <f ca="1">IFERROR(__xludf.DUMMYFUNCTION("""COMPUTED_VALUE"""),1)</f>
        <v>1</v>
      </c>
      <c r="Y1760" s="5" t="str">
        <f ca="1">IFERROR(__xludf.DUMMYFUNCTION("""COMPUTED_VALUE"""),"Accidental discharge while looking at gun in vehicle")</f>
        <v>Accidental discharge while looking at gun in vehicle</v>
      </c>
      <c r="Z1760" s="5" t="str">
        <f ca="1">IFERROR(__xludf.DUMMYFUNCTION("""COMPUTED_VALUE"""),"Shooter and victim were examining a handgun in the shooters truck before it accidentally went off and struck the victim in the calf - gun was later determined to be stolen.")</f>
        <v>Shooter and victim were examining a handgun in the shooters truck before it accidentally went off and struck the victim in the calf - gun was later determined to be stolen.</v>
      </c>
      <c r="AA1760" s="5" t="str">
        <f ca="1">IFERROR(__xludf.DUMMYFUNCTION("""COMPUTED_VALUE"""),"Accidental")</f>
        <v>Accidental</v>
      </c>
      <c r="AB1760" s="5" t="str">
        <f ca="1">IFERROR(__xludf.DUMMYFUNCTION("""COMPUTED_VALUE"""),"Random Shooting")</f>
        <v>Random Shooting</v>
      </c>
      <c r="AC1760" s="5" t="str">
        <f ca="1">IFERROR(__xludf.DUMMYFUNCTION("""COMPUTED_VALUE"""),"No")</f>
        <v>No</v>
      </c>
      <c r="AD1760" s="5" t="str">
        <f ca="1">IFERROR(__xludf.DUMMYFUNCTION("""COMPUTED_VALUE"""),"No")</f>
        <v>No</v>
      </c>
      <c r="AE1760" s="5" t="str">
        <f ca="1">IFERROR(__xludf.DUMMYFUNCTION("""COMPUTED_VALUE"""),"No")</f>
        <v>No</v>
      </c>
      <c r="AF1760" s="5" t="str">
        <f ca="1">IFERROR(__xludf.DUMMYFUNCTION("""COMPUTED_VALUE"""),"No")</f>
        <v>No</v>
      </c>
      <c r="AG1760" s="5" t="str">
        <f ca="1">IFERROR(__xludf.DUMMYFUNCTION("""COMPUTED_VALUE"""),"No")</f>
        <v>No</v>
      </c>
      <c r="AH1760" s="5" t="str">
        <f ca="1">IFERROR(__xludf.DUMMYFUNCTION("""COMPUTED_VALUE"""),"No")</f>
        <v>No</v>
      </c>
      <c r="AI1760" s="5" t="str">
        <f ca="1">IFERROR(__xludf.DUMMYFUNCTION("""COMPUTED_VALUE"""),"No")</f>
        <v>No</v>
      </c>
      <c r="AJ1760" s="5"/>
    </row>
    <row r="1761" spans="1:36" ht="13">
      <c r="A1761" s="5" t="str">
        <f ca="1">IFERROR(__xludf.DUMMYFUNCTION("""COMPUTED_VALUE"""),"19940919CALOL")</f>
        <v>19940919CALOL</v>
      </c>
      <c r="B1761" s="5">
        <f ca="1">IFERROR(__xludf.DUMMYFUNCTION("""COMPUTED_VALUE"""),9)</f>
        <v>9</v>
      </c>
      <c r="C1761" s="5">
        <f ca="1">IFERROR(__xludf.DUMMYFUNCTION("""COMPUTED_VALUE"""),19)</f>
        <v>19</v>
      </c>
      <c r="D1761" s="5">
        <f ca="1">IFERROR(__xludf.DUMMYFUNCTION("""COMPUTED_VALUE"""),1994)</f>
        <v>1994</v>
      </c>
      <c r="E1761" s="8">
        <f ca="1">IFERROR(__xludf.DUMMYFUNCTION("""COMPUTED_VALUE"""),34596)</f>
        <v>34596</v>
      </c>
      <c r="F1761" s="5" t="str">
        <f ca="1">IFERROR(__xludf.DUMMYFUNCTION("""COMPUTED_VALUE"""),"Locke High School")</f>
        <v>Locke High School</v>
      </c>
      <c r="G1761" s="5">
        <f ca="1">IFERROR(__xludf.DUMMYFUNCTION("""COMPUTED_VALUE"""),0)</f>
        <v>0</v>
      </c>
      <c r="H1761" s="5">
        <f ca="1">IFERROR(__xludf.DUMMYFUNCTION("""COMPUTED_VALUE"""),3)</f>
        <v>3</v>
      </c>
      <c r="I1761" s="5">
        <f ca="1">IFERROR(__xludf.DUMMYFUNCTION("""COMPUTED_VALUE"""),3)</f>
        <v>3</v>
      </c>
      <c r="J1761" s="5">
        <f ca="1">IFERROR(__xludf.DUMMYFUNCTION("""COMPUTED_VALUE"""),0)</f>
        <v>0</v>
      </c>
      <c r="K1761" s="9" t="str">
        <f ca="1">IFERROR(__xludf.DUMMYFUNCTION("""COMPUTED_VALUE"""),"https://www.newspapers.com/image/159244311/?terms=Hollywood%2BHigh%2BSchool%2Bshooting")</f>
        <v>https://www.newspapers.com/image/159244311/?terms=Hollywood%2BHigh%2BSchool%2Bshooting</v>
      </c>
      <c r="L1761" s="5"/>
      <c r="M1761" s="5"/>
      <c r="N1761" s="5">
        <f ca="1">IFERROR(__xludf.DUMMYFUNCTION("""COMPUTED_VALUE"""),2)</f>
        <v>2</v>
      </c>
      <c r="O1761" s="5" t="str">
        <f ca="1">IFERROR(__xludf.DUMMYFUNCTION("""COMPUTED_VALUE"""),"Fall")</f>
        <v>Fall</v>
      </c>
      <c r="P1761" s="5" t="str">
        <f ca="1">IFERROR(__xludf.DUMMYFUNCTION("""COMPUTED_VALUE"""),"Los Angeles")</f>
        <v>Los Angeles</v>
      </c>
      <c r="Q1761" s="5" t="str">
        <f ca="1">IFERROR(__xludf.DUMMYFUNCTION("""COMPUTED_VALUE"""),"CA")</f>
        <v>CA</v>
      </c>
      <c r="R1761" s="5" t="str">
        <f ca="1">IFERROR(__xludf.DUMMYFUNCTION("""COMPUTED_VALUE"""),"High")</f>
        <v>High</v>
      </c>
      <c r="S1761" s="5" t="str">
        <f ca="1">IFERROR(__xludf.DUMMYFUNCTION("""COMPUTED_VALUE"""),"Front of School")</f>
        <v>Front of School</v>
      </c>
      <c r="T1761" s="5" t="str">
        <f ca="1">IFERROR(__xludf.DUMMYFUNCTION("""COMPUTED_VALUE"""),"Outside on School Property")</f>
        <v>Outside on School Property</v>
      </c>
      <c r="U1761" s="5" t="str">
        <f ca="1">IFERROR(__xludf.DUMMYFUNCTION("""COMPUTED_VALUE"""),"Yes")</f>
        <v>Yes</v>
      </c>
      <c r="V1761" s="5" t="str">
        <f ca="1">IFERROR(__xludf.DUMMYFUNCTION("""COMPUTED_VALUE"""),"Morning Classes")</f>
        <v>Morning Classes</v>
      </c>
      <c r="W1761" s="10">
        <f ca="1">IFERROR(__xludf.DUMMYFUNCTION("""COMPUTED_VALUE"""),0.430555555555555)</f>
        <v>0.43055555555555503</v>
      </c>
      <c r="X1761" s="5">
        <f ca="1">IFERROR(__xludf.DUMMYFUNCTION("""COMPUTED_VALUE"""),1)</f>
        <v>1</v>
      </c>
      <c r="Y1761" s="5" t="str">
        <f ca="1">IFERROR(__xludf.DUMMYFUNCTION("""COMPUTED_VALUE"""),"Gang related drive-by shooting")</f>
        <v>Gang related drive-by shooting</v>
      </c>
      <c r="Z1761" s="5" t="str">
        <f ca="1">IFERROR(__xludf.DUMMYFUNCTION("""COMPUTED_VALUE"""),"16YOF and 2 male students were shot during a gang-related drive by shooting at the school. Law enforcement stated that there have been multiple shootings near the school in a turf battle between gangs.")</f>
        <v>16YOF and 2 male students were shot during a gang-related drive by shooting at the school. Law enforcement stated that there have been multiple shootings near the school in a turf battle between gangs.</v>
      </c>
      <c r="AA1761" s="5" t="str">
        <f ca="1">IFERROR(__xludf.DUMMYFUNCTION("""COMPUTED_VALUE"""),"Drive-by Shooting")</f>
        <v>Drive-by Shooting</v>
      </c>
      <c r="AB1761" s="5" t="str">
        <f ca="1">IFERROR(__xludf.DUMMYFUNCTION("""COMPUTED_VALUE"""),"Both")</f>
        <v>Both</v>
      </c>
      <c r="AC1761" s="5" t="str">
        <f ca="1">IFERROR(__xludf.DUMMYFUNCTION("""COMPUTED_VALUE"""),"Yes")</f>
        <v>Yes</v>
      </c>
      <c r="AD1761" s="5" t="str">
        <f ca="1">IFERROR(__xludf.DUMMYFUNCTION("""COMPUTED_VALUE"""),"No")</f>
        <v>No</v>
      </c>
      <c r="AE1761" s="5" t="str">
        <f ca="1">IFERROR(__xludf.DUMMYFUNCTION("""COMPUTED_VALUE"""),"No")</f>
        <v>No</v>
      </c>
      <c r="AF1761" s="5" t="str">
        <f ca="1">IFERROR(__xludf.DUMMYFUNCTION("""COMPUTED_VALUE"""),"No")</f>
        <v>No</v>
      </c>
      <c r="AG1761" s="5" t="str">
        <f ca="1">IFERROR(__xludf.DUMMYFUNCTION("""COMPUTED_VALUE"""),"No")</f>
        <v>No</v>
      </c>
      <c r="AH1761" s="5" t="str">
        <f ca="1">IFERROR(__xludf.DUMMYFUNCTION("""COMPUTED_VALUE"""),"No")</f>
        <v>No</v>
      </c>
      <c r="AI1761" s="5" t="str">
        <f ca="1">IFERROR(__xludf.DUMMYFUNCTION("""COMPUTED_VALUE"""),"Yes")</f>
        <v>Yes</v>
      </c>
      <c r="AJ1761" s="5"/>
    </row>
    <row r="1762" spans="1:36" ht="13">
      <c r="A1762" s="5" t="str">
        <f ca="1">IFERROR(__xludf.DUMMYFUNCTION("""COMPUTED_VALUE"""),"19940908NYSWA")</f>
        <v>19940908NYSWA</v>
      </c>
      <c r="B1762" s="5">
        <f ca="1">IFERROR(__xludf.DUMMYFUNCTION("""COMPUTED_VALUE"""),9)</f>
        <v>9</v>
      </c>
      <c r="C1762" s="5">
        <f ca="1">IFERROR(__xludf.DUMMYFUNCTION("""COMPUTED_VALUE"""),8)</f>
        <v>8</v>
      </c>
      <c r="D1762" s="5">
        <f ca="1">IFERROR(__xludf.DUMMYFUNCTION("""COMPUTED_VALUE"""),1994)</f>
        <v>1994</v>
      </c>
      <c r="E1762" s="8">
        <f ca="1">IFERROR(__xludf.DUMMYFUNCTION("""COMPUTED_VALUE"""),34585)</f>
        <v>34585</v>
      </c>
      <c r="F1762" s="5" t="str">
        <f ca="1">IFERROR(__xludf.DUMMYFUNCTION("""COMPUTED_VALUE"""),"Sweet Home High School")</f>
        <v>Sweet Home High School</v>
      </c>
      <c r="G1762" s="5">
        <f ca="1">IFERROR(__xludf.DUMMYFUNCTION("""COMPUTED_VALUE"""),0)</f>
        <v>0</v>
      </c>
      <c r="H1762" s="5">
        <f ca="1">IFERROR(__xludf.DUMMYFUNCTION("""COMPUTED_VALUE"""),1)</f>
        <v>1</v>
      </c>
      <c r="I1762" s="5">
        <f ca="1">IFERROR(__xludf.DUMMYFUNCTION("""COMPUTED_VALUE"""),1)</f>
        <v>1</v>
      </c>
      <c r="J1762" s="5">
        <f ca="1">IFERROR(__xludf.DUMMYFUNCTION("""COMPUTED_VALUE"""),0)</f>
        <v>0</v>
      </c>
      <c r="K1762" s="5" t="str">
        <f ca="1">IFERROR(__xludf.DUMMYFUNCTION("""COMPUTED_VALUE"""),"https://www.gazettetimes.com/news/local/a-history-of-violence/article_54ce32a6-d4e3-5d34-8aa6-09d9437a0439.html https://www.newspapers.com/image/200788100/?terms=Lebanon%2BUnion%2BHigh%2BSchool%2Bshooting")</f>
        <v>https://www.gazettetimes.com/news/local/a-history-of-violence/article_54ce32a6-d4e3-5d34-8aa6-09d9437a0439.html https://www.newspapers.com/image/200788100/?terms=Lebanon%2BUnion%2BHigh%2BSchool%2Bshooting</v>
      </c>
      <c r="L1762" s="5"/>
      <c r="M1762" s="5"/>
      <c r="N1762" s="5">
        <f ca="1">IFERROR(__xludf.DUMMYFUNCTION("""COMPUTED_VALUE"""),3)</f>
        <v>3</v>
      </c>
      <c r="O1762" s="5" t="str">
        <f ca="1">IFERROR(__xludf.DUMMYFUNCTION("""COMPUTED_VALUE"""),"Fall")</f>
        <v>Fall</v>
      </c>
      <c r="P1762" s="5" t="str">
        <f ca="1">IFERROR(__xludf.DUMMYFUNCTION("""COMPUTED_VALUE"""),"Albany")</f>
        <v>Albany</v>
      </c>
      <c r="Q1762" s="5" t="str">
        <f ca="1">IFERROR(__xludf.DUMMYFUNCTION("""COMPUTED_VALUE"""),"NY")</f>
        <v>NY</v>
      </c>
      <c r="R1762" s="5" t="str">
        <f ca="1">IFERROR(__xludf.DUMMYFUNCTION("""COMPUTED_VALUE"""),"High")</f>
        <v>High</v>
      </c>
      <c r="S1762" s="5" t="str">
        <f ca="1">IFERROR(__xludf.DUMMYFUNCTION("""COMPUTED_VALUE"""),"Classroom")</f>
        <v>Classroom</v>
      </c>
      <c r="T1762" s="5" t="str">
        <f ca="1">IFERROR(__xludf.DUMMYFUNCTION("""COMPUTED_VALUE"""),"Inside School Building")</f>
        <v>Inside School Building</v>
      </c>
      <c r="U1762" s="5" t="str">
        <f ca="1">IFERROR(__xludf.DUMMYFUNCTION("""COMPUTED_VALUE"""),"Yes")</f>
        <v>Yes</v>
      </c>
      <c r="V1762" s="5" t="str">
        <f ca="1">IFERROR(__xludf.DUMMYFUNCTION("""COMPUTED_VALUE"""),"Morning Classes")</f>
        <v>Morning Classes</v>
      </c>
      <c r="W1762" s="10">
        <f ca="1">IFERROR(__xludf.DUMMYFUNCTION("""COMPUTED_VALUE"""),0.375)</f>
        <v>0.375</v>
      </c>
      <c r="X1762" s="5">
        <f ca="1">IFERROR(__xludf.DUMMYFUNCTION("""COMPUTED_VALUE"""),1)</f>
        <v>1</v>
      </c>
      <c r="Y1762" s="5" t="str">
        <f ca="1">IFERROR(__xludf.DUMMYFUNCTION("""COMPUTED_VALUE"""),"Shot bully after being thrown into locker")</f>
        <v>Shot bully after being thrown into locker</v>
      </c>
      <c r="Z1762" s="5" t="str">
        <f ca="1">IFERROR(__xludf.DUMMYFUNCTION("""COMPUTED_VALUE"""),"14YOM shooter and 14YOM accomplice shot 16YOM bully in classroom and then fled the scene. Shooter had been bullied by target for extended period of time.")</f>
        <v>14YOM shooter and 14YOM accomplice shot 16YOM bully in classroom and then fled the scene. Shooter had been bullied by target for extended period of time.</v>
      </c>
      <c r="AA1762" s="5" t="str">
        <f ca="1">IFERROR(__xludf.DUMMYFUNCTION("""COMPUTED_VALUE"""),"Bullying")</f>
        <v>Bullying</v>
      </c>
      <c r="AB1762" s="5" t="str">
        <f ca="1">IFERROR(__xludf.DUMMYFUNCTION("""COMPUTED_VALUE"""),"Victims Targeted")</f>
        <v>Victims Targeted</v>
      </c>
      <c r="AC1762" s="5" t="str">
        <f ca="1">IFERROR(__xludf.DUMMYFUNCTION("""COMPUTED_VALUE"""),"Yes")</f>
        <v>Yes</v>
      </c>
      <c r="AD1762" s="5" t="str">
        <f ca="1">IFERROR(__xludf.DUMMYFUNCTION("""COMPUTED_VALUE"""),"No")</f>
        <v>No</v>
      </c>
      <c r="AE1762" s="5" t="str">
        <f ca="1">IFERROR(__xludf.DUMMYFUNCTION("""COMPUTED_VALUE"""),"No")</f>
        <v>No</v>
      </c>
      <c r="AF1762" s="5" t="str">
        <f ca="1">IFERROR(__xludf.DUMMYFUNCTION("""COMPUTED_VALUE"""),"No")</f>
        <v>No</v>
      </c>
      <c r="AG1762" s="5" t="str">
        <f ca="1">IFERROR(__xludf.DUMMYFUNCTION("""COMPUTED_VALUE"""),"Yes")</f>
        <v>Yes</v>
      </c>
      <c r="AH1762" s="5" t="str">
        <f ca="1">IFERROR(__xludf.DUMMYFUNCTION("""COMPUTED_VALUE"""),"No")</f>
        <v>No</v>
      </c>
      <c r="AI1762" s="5" t="str">
        <f ca="1">IFERROR(__xludf.DUMMYFUNCTION("""COMPUTED_VALUE"""),"No")</f>
        <v>No</v>
      </c>
      <c r="AJ1762" s="5"/>
    </row>
    <row r="1763" spans="1:36" ht="13">
      <c r="A1763" s="5" t="str">
        <f ca="1">IFERROR(__xludf.DUMMYFUNCTION("""COMPUTED_VALUE"""),"19940907CAHOL")</f>
        <v>19940907CAHOL</v>
      </c>
      <c r="B1763" s="5">
        <f ca="1">IFERROR(__xludf.DUMMYFUNCTION("""COMPUTED_VALUE"""),9)</f>
        <v>9</v>
      </c>
      <c r="C1763" s="5">
        <f ca="1">IFERROR(__xludf.DUMMYFUNCTION("""COMPUTED_VALUE"""),7)</f>
        <v>7</v>
      </c>
      <c r="D1763" s="5">
        <f ca="1">IFERROR(__xludf.DUMMYFUNCTION("""COMPUTED_VALUE"""),1994)</f>
        <v>1994</v>
      </c>
      <c r="E1763" s="8">
        <f ca="1">IFERROR(__xludf.DUMMYFUNCTION("""COMPUTED_VALUE"""),34584)</f>
        <v>34584</v>
      </c>
      <c r="F1763" s="5" t="str">
        <f ca="1">IFERROR(__xludf.DUMMYFUNCTION("""COMPUTED_VALUE"""),"Hollywood High School")</f>
        <v>Hollywood High School</v>
      </c>
      <c r="G1763" s="5">
        <f ca="1">IFERROR(__xludf.DUMMYFUNCTION("""COMPUTED_VALUE"""),1)</f>
        <v>1</v>
      </c>
      <c r="H1763" s="5">
        <f ca="1">IFERROR(__xludf.DUMMYFUNCTION("""COMPUTED_VALUE"""),0)</f>
        <v>0</v>
      </c>
      <c r="I1763" s="5">
        <f ca="1">IFERROR(__xludf.DUMMYFUNCTION("""COMPUTED_VALUE"""),1)</f>
        <v>1</v>
      </c>
      <c r="J1763" s="5">
        <f ca="1">IFERROR(__xludf.DUMMYFUNCTION("""COMPUTED_VALUE"""),0)</f>
        <v>0</v>
      </c>
      <c r="K1763" s="5" t="str">
        <f ca="1">IFERROR(__xludf.DUMMYFUNCTION("""COMPUTED_VALUE"""),"Los Angeles Times - A Very Public Murder; Los Angeles Times - 10th Grader Slain at Hollywood High as Rival Gangs Clash; https://www.columbine-angels.com/School_Violence_1994-1995.htm")</f>
        <v>Los Angeles Times - A Very Public Murder; Los Angeles Times - 10th Grader Slain at Hollywood High as Rival Gangs Clash; https://www.columbine-angels.com/School_Violence_1994-1995.htm</v>
      </c>
      <c r="L1763" s="5"/>
      <c r="M1763" s="5"/>
      <c r="N1763" s="5">
        <f ca="1">IFERROR(__xludf.DUMMYFUNCTION("""COMPUTED_VALUE"""),1)</f>
        <v>1</v>
      </c>
      <c r="O1763" s="5" t="str">
        <f ca="1">IFERROR(__xludf.DUMMYFUNCTION("""COMPUTED_VALUE"""),"Fall")</f>
        <v>Fall</v>
      </c>
      <c r="P1763" s="5" t="str">
        <f ca="1">IFERROR(__xludf.DUMMYFUNCTION("""COMPUTED_VALUE"""),"Los Angeles")</f>
        <v>Los Angeles</v>
      </c>
      <c r="Q1763" s="5" t="str">
        <f ca="1">IFERROR(__xludf.DUMMYFUNCTION("""COMPUTED_VALUE"""),"CA")</f>
        <v>CA</v>
      </c>
      <c r="R1763" s="5" t="str">
        <f ca="1">IFERROR(__xludf.DUMMYFUNCTION("""COMPUTED_VALUE"""),"High")</f>
        <v>High</v>
      </c>
      <c r="S1763" s="5" t="str">
        <f ca="1">IFERROR(__xludf.DUMMYFUNCTION("""COMPUTED_VALUE"""),"Front of School")</f>
        <v>Front of School</v>
      </c>
      <c r="T1763" s="5" t="str">
        <f ca="1">IFERROR(__xludf.DUMMYFUNCTION("""COMPUTED_VALUE"""),"Outside on School Property")</f>
        <v>Outside on School Property</v>
      </c>
      <c r="U1763" s="5" t="str">
        <f ca="1">IFERROR(__xludf.DUMMYFUNCTION("""COMPUTED_VALUE"""),"No")</f>
        <v>No</v>
      </c>
      <c r="V1763" s="5" t="str">
        <f ca="1">IFERROR(__xludf.DUMMYFUNCTION("""COMPUTED_VALUE"""),"After School")</f>
        <v>After School</v>
      </c>
      <c r="W1763" s="10">
        <f ca="1">IFERROR(__xludf.DUMMYFUNCTION("""COMPUTED_VALUE"""),0.645833333333333)</f>
        <v>0.64583333333333304</v>
      </c>
      <c r="X1763" s="5">
        <f ca="1">IFERROR(__xludf.DUMMYFUNCTION("""COMPUTED_VALUE"""),1)</f>
        <v>1</v>
      </c>
      <c r="Y1763" s="5" t="str">
        <f ca="1">IFERROR(__xludf.DUMMYFUNCTION("""COMPUTED_VALUE"""),"Killed by rival gang members")</f>
        <v>Killed by rival gang members</v>
      </c>
      <c r="Z1763" s="5" t="str">
        <f ca="1">IFERROR(__xludf.DUMMYFUNCTION("""COMPUTED_VALUE"""),"Student was outside of high school when car with multiple males pulled up. Exchanged words about rival gang affiliations. Gang members in car fired multiple shots killing student and fled the area.")</f>
        <v>Student was outside of high school when car with multiple males pulled up. Exchanged words about rival gang affiliations. Gang members in car fired multiple shots killing student and fled the area.</v>
      </c>
      <c r="AA1763" s="5" t="str">
        <f ca="1">IFERROR(__xludf.DUMMYFUNCTION("""COMPUTED_VALUE"""),"Drive-by Shooting")</f>
        <v>Drive-by Shooting</v>
      </c>
      <c r="AB1763" s="5" t="str">
        <f ca="1">IFERROR(__xludf.DUMMYFUNCTION("""COMPUTED_VALUE"""),"Victims Targeted")</f>
        <v>Victims Targeted</v>
      </c>
      <c r="AC1763" s="5" t="str">
        <f ca="1">IFERROR(__xludf.DUMMYFUNCTION("""COMPUTED_VALUE"""),"No")</f>
        <v>No</v>
      </c>
      <c r="AD1763" s="5" t="str">
        <f ca="1">IFERROR(__xludf.DUMMYFUNCTION("""COMPUTED_VALUE"""),"No")</f>
        <v>No</v>
      </c>
      <c r="AE1763" s="5" t="str">
        <f ca="1">IFERROR(__xludf.DUMMYFUNCTION("""COMPUTED_VALUE"""),"No")</f>
        <v>No</v>
      </c>
      <c r="AF1763" s="5" t="str">
        <f ca="1">IFERROR(__xludf.DUMMYFUNCTION("""COMPUTED_VALUE"""),"No")</f>
        <v>No</v>
      </c>
      <c r="AG1763" s="5" t="str">
        <f ca="1">IFERROR(__xludf.DUMMYFUNCTION("""COMPUTED_VALUE"""),"No")</f>
        <v>No</v>
      </c>
      <c r="AH1763" s="5" t="str">
        <f ca="1">IFERROR(__xludf.DUMMYFUNCTION("""COMPUTED_VALUE"""),"No")</f>
        <v>No</v>
      </c>
      <c r="AI1763" s="5" t="str">
        <f ca="1">IFERROR(__xludf.DUMMYFUNCTION("""COMPUTED_VALUE"""),"Yes")</f>
        <v>Yes</v>
      </c>
      <c r="AJ1763" s="5"/>
    </row>
    <row r="1764" spans="1:36" ht="13">
      <c r="A1764" s="5" t="str">
        <f ca="1">IFERROR(__xludf.DUMMYFUNCTION("""COMPUTED_VALUE"""),"19940725IAOTO")</f>
        <v>19940725IAOTO</v>
      </c>
      <c r="B1764" s="5">
        <f ca="1">IFERROR(__xludf.DUMMYFUNCTION("""COMPUTED_VALUE"""),7)</f>
        <v>7</v>
      </c>
      <c r="C1764" s="5">
        <f ca="1">IFERROR(__xludf.DUMMYFUNCTION("""COMPUTED_VALUE"""),25)</f>
        <v>25</v>
      </c>
      <c r="D1764" s="5">
        <f ca="1">IFERROR(__xludf.DUMMYFUNCTION("""COMPUTED_VALUE"""),1994)</f>
        <v>1994</v>
      </c>
      <c r="E1764" s="8">
        <f ca="1">IFERROR(__xludf.DUMMYFUNCTION("""COMPUTED_VALUE"""),34540)</f>
        <v>34540</v>
      </c>
      <c r="F1764" s="5" t="str">
        <f ca="1">IFERROR(__xludf.DUMMYFUNCTION("""COMPUTED_VALUE"""),"Ottumwa High School")</f>
        <v>Ottumwa High School</v>
      </c>
      <c r="G1764" s="5">
        <f ca="1">IFERROR(__xludf.DUMMYFUNCTION("""COMPUTED_VALUE"""),1)</f>
        <v>1</v>
      </c>
      <c r="H1764" s="5">
        <f ca="1">IFERROR(__xludf.DUMMYFUNCTION("""COMPUTED_VALUE"""),0)</f>
        <v>0</v>
      </c>
      <c r="I1764" s="5">
        <f ca="1">IFERROR(__xludf.DUMMYFUNCTION("""COMPUTED_VALUE"""),1)</f>
        <v>1</v>
      </c>
      <c r="J1764" s="5">
        <f ca="1">IFERROR(__xludf.DUMMYFUNCTION("""COMPUTED_VALUE"""),0)</f>
        <v>0</v>
      </c>
      <c r="K1764" s="9" t="str">
        <f ca="1">IFERROR(__xludf.DUMMYFUNCTION("""COMPUTED_VALUE"""),"http://ottumwaradio.com/coffman-get-new-sentence-1994-murder-ottumwa-high-school/")</f>
        <v>http://ottumwaradio.com/coffman-get-new-sentence-1994-murder-ottumwa-high-school/</v>
      </c>
      <c r="L1764" s="5"/>
      <c r="M1764" s="5"/>
      <c r="N1764" s="5">
        <f ca="1">IFERROR(__xludf.DUMMYFUNCTION("""COMPUTED_VALUE"""),2)</f>
        <v>2</v>
      </c>
      <c r="O1764" s="5" t="str">
        <f ca="1">IFERROR(__xludf.DUMMYFUNCTION("""COMPUTED_VALUE"""),"Summer")</f>
        <v>Summer</v>
      </c>
      <c r="P1764" s="5" t="str">
        <f ca="1">IFERROR(__xludf.DUMMYFUNCTION("""COMPUTED_VALUE"""),"Ottumwa")</f>
        <v>Ottumwa</v>
      </c>
      <c r="Q1764" s="5" t="str">
        <f ca="1">IFERROR(__xludf.DUMMYFUNCTION("""COMPUTED_VALUE"""),"IA")</f>
        <v>IA</v>
      </c>
      <c r="R1764" s="5" t="str">
        <f ca="1">IFERROR(__xludf.DUMMYFUNCTION("""COMPUTED_VALUE"""),"High")</f>
        <v>High</v>
      </c>
      <c r="S1764" s="5" t="str">
        <f ca="1">IFERROR(__xludf.DUMMYFUNCTION("""COMPUTED_VALUE"""),"Beside Building")</f>
        <v>Beside Building</v>
      </c>
      <c r="T1764" s="5" t="str">
        <f ca="1">IFERROR(__xludf.DUMMYFUNCTION("""COMPUTED_VALUE"""),"Outside on School Property")</f>
        <v>Outside on School Property</v>
      </c>
      <c r="U1764" s="5" t="str">
        <f ca="1">IFERROR(__xludf.DUMMYFUNCTION("""COMPUTED_VALUE"""),"Yes")</f>
        <v>Yes</v>
      </c>
      <c r="V1764" s="5" t="str">
        <f ca="1">IFERROR(__xludf.DUMMYFUNCTION("""COMPUTED_VALUE"""),"Lunch")</f>
        <v>Lunch</v>
      </c>
      <c r="W1764" s="10">
        <f ca="1">IFERROR(__xludf.DUMMYFUNCTION("""COMPUTED_VALUE"""),0.484722222222222)</f>
        <v>0.484722222222222</v>
      </c>
      <c r="X1764" s="5">
        <f ca="1">IFERROR(__xludf.DUMMYFUNCTION("""COMPUTED_VALUE"""),1)</f>
        <v>1</v>
      </c>
      <c r="Y1764" s="5" t="str">
        <f ca="1">IFERROR(__xludf.DUMMYFUNCTION("""COMPUTED_VALUE"""),"Ongoing dispute, shooter warned victim he would kill him")</f>
        <v>Ongoing dispute, shooter warned victim he would kill him</v>
      </c>
      <c r="Z1764" s="5" t="str">
        <f ca="1">IFERROR(__xludf.DUMMYFUNCTION("""COMPUTED_VALUE"""),"17YOM shooter had warned 16YOM victim he was going to kill him. They had ongoing fight. During an argument, shooter fired at victims head, then again while he was on the ground, then walked off.")</f>
        <v>17YOM shooter had warned 16YOM victim he was going to kill him. They had ongoing fight. During an argument, shooter fired at victims head, then again while he was on the ground, then walked off.</v>
      </c>
      <c r="AA1764" s="5" t="str">
        <f ca="1">IFERROR(__xludf.DUMMYFUNCTION("""COMPUTED_VALUE"""),"Escalation of Dispute")</f>
        <v>Escalation of Dispute</v>
      </c>
      <c r="AB1764" s="5" t="str">
        <f ca="1">IFERROR(__xludf.DUMMYFUNCTION("""COMPUTED_VALUE"""),"Victims Targeted")</f>
        <v>Victims Targeted</v>
      </c>
      <c r="AC1764" s="5" t="str">
        <f ca="1">IFERROR(__xludf.DUMMYFUNCTION("""COMPUTED_VALUE"""),"No")</f>
        <v>No</v>
      </c>
      <c r="AD1764" s="5" t="str">
        <f ca="1">IFERROR(__xludf.DUMMYFUNCTION("""COMPUTED_VALUE"""),"No")</f>
        <v>No</v>
      </c>
      <c r="AE1764" s="5" t="str">
        <f ca="1">IFERROR(__xludf.DUMMYFUNCTION("""COMPUTED_VALUE"""),"No")</f>
        <v>No</v>
      </c>
      <c r="AF1764" s="5" t="str">
        <f ca="1">IFERROR(__xludf.DUMMYFUNCTION("""COMPUTED_VALUE"""),"No")</f>
        <v>No</v>
      </c>
      <c r="AG1764" s="5" t="str">
        <f ca="1">IFERROR(__xludf.DUMMYFUNCTION("""COMPUTED_VALUE"""),"No")</f>
        <v>No</v>
      </c>
      <c r="AH1764" s="5" t="str">
        <f ca="1">IFERROR(__xludf.DUMMYFUNCTION("""COMPUTED_VALUE"""),"No")</f>
        <v>No</v>
      </c>
      <c r="AI1764" s="5" t="str">
        <f ca="1">IFERROR(__xludf.DUMMYFUNCTION("""COMPUTED_VALUE"""),"No")</f>
        <v>No</v>
      </c>
      <c r="AJ1764" s="5"/>
    </row>
    <row r="1765" spans="1:36" ht="13">
      <c r="A1765" s="5" t="str">
        <f ca="1">IFERROR(__xludf.DUMMYFUNCTION("""COMPUTED_VALUE"""),"19940724PAMAM")</f>
        <v>19940724PAMAM</v>
      </c>
      <c r="B1765" s="5">
        <f ca="1">IFERROR(__xludf.DUMMYFUNCTION("""COMPUTED_VALUE"""),7)</f>
        <v>7</v>
      </c>
      <c r="C1765" s="5">
        <f ca="1">IFERROR(__xludf.DUMMYFUNCTION("""COMPUTED_VALUE"""),24)</f>
        <v>24</v>
      </c>
      <c r="D1765" s="5">
        <f ca="1">IFERROR(__xludf.DUMMYFUNCTION("""COMPUTED_VALUE"""),1994)</f>
        <v>1994</v>
      </c>
      <c r="E1765" s="8">
        <f ca="1">IFERROR(__xludf.DUMMYFUNCTION("""COMPUTED_VALUE"""),34539)</f>
        <v>34539</v>
      </c>
      <c r="F1765" s="5" t="str">
        <f ca="1">IFERROR(__xludf.DUMMYFUNCTION("""COMPUTED_VALUE"""),"Manchester Elementary School")</f>
        <v>Manchester Elementary School</v>
      </c>
      <c r="G1765" s="5">
        <f ca="1">IFERROR(__xludf.DUMMYFUNCTION("""COMPUTED_VALUE"""),1)</f>
        <v>1</v>
      </c>
      <c r="H1765" s="5">
        <f ca="1">IFERROR(__xludf.DUMMYFUNCTION("""COMPUTED_VALUE"""),0)</f>
        <v>0</v>
      </c>
      <c r="I1765" s="5">
        <f ca="1">IFERROR(__xludf.DUMMYFUNCTION("""COMPUTED_VALUE"""),1)</f>
        <v>1</v>
      </c>
      <c r="J1765" s="5">
        <f ca="1">IFERROR(__xludf.DUMMYFUNCTION("""COMPUTED_VALUE"""),0)</f>
        <v>0</v>
      </c>
      <c r="K1765" s="9" t="str">
        <f ca="1">IFERROR(__xludf.DUMMYFUNCTION("""COMPUTED_VALUE"""),"https://www.publicsource.org/most-of-pennsylvanias-juvenile-lifers-are-still-awaiting-their-new-day-in-court/")</f>
        <v>https://www.publicsource.org/most-of-pennsylvanias-juvenile-lifers-are-still-awaiting-their-new-day-in-court/</v>
      </c>
      <c r="L1765" s="5"/>
      <c r="M1765" s="5"/>
      <c r="N1765" s="5">
        <f ca="1">IFERROR(__xludf.DUMMYFUNCTION("""COMPUTED_VALUE"""),1)</f>
        <v>1</v>
      </c>
      <c r="O1765" s="5" t="str">
        <f ca="1">IFERROR(__xludf.DUMMYFUNCTION("""COMPUTED_VALUE"""),"Summer")</f>
        <v>Summer</v>
      </c>
      <c r="P1765" s="5" t="str">
        <f ca="1">IFERROR(__xludf.DUMMYFUNCTION("""COMPUTED_VALUE"""),"Manchester")</f>
        <v>Manchester</v>
      </c>
      <c r="Q1765" s="5" t="str">
        <f ca="1">IFERROR(__xludf.DUMMYFUNCTION("""COMPUTED_VALUE"""),"PA")</f>
        <v>PA</v>
      </c>
      <c r="R1765" s="5" t="str">
        <f ca="1">IFERROR(__xludf.DUMMYFUNCTION("""COMPUTED_VALUE"""),"Elementary")</f>
        <v>Elementary</v>
      </c>
      <c r="S1765" s="5" t="str">
        <f ca="1">IFERROR(__xludf.DUMMYFUNCTION("""COMPUTED_VALUE"""),"Basketball Court")</f>
        <v>Basketball Court</v>
      </c>
      <c r="T1765" s="5" t="str">
        <f ca="1">IFERROR(__xludf.DUMMYFUNCTION("""COMPUTED_VALUE"""),"Outside on School Property")</f>
        <v>Outside on School Property</v>
      </c>
      <c r="U1765" s="5" t="str">
        <f ca="1">IFERROR(__xludf.DUMMYFUNCTION("""COMPUTED_VALUE"""),"No")</f>
        <v>No</v>
      </c>
      <c r="V1765" s="5" t="str">
        <f ca="1">IFERROR(__xludf.DUMMYFUNCTION("""COMPUTED_VALUE"""),"Not a School Day")</f>
        <v>Not a School Day</v>
      </c>
      <c r="W1765" s="5"/>
      <c r="X1765" s="5">
        <f ca="1">IFERROR(__xludf.DUMMYFUNCTION("""COMPUTED_VALUE"""),1)</f>
        <v>1</v>
      </c>
      <c r="Y1765" s="5" t="str">
        <f ca="1">IFERROR(__xludf.DUMMYFUNCTION("""COMPUTED_VALUE"""),"Shot during basketball game at school")</f>
        <v>Shot during basketball game at school</v>
      </c>
      <c r="Z1765" s="5" t="str">
        <f ca="1">IFERROR(__xludf.DUMMYFUNCTION("""COMPUTED_VALUE"""),"Ongoing feud between 15YOM and 17YOM escalated into shooting during basketball game at the school.")</f>
        <v>Ongoing feud between 15YOM and 17YOM escalated into shooting during basketball game at the school.</v>
      </c>
      <c r="AA1765" s="5" t="str">
        <f ca="1">IFERROR(__xludf.DUMMYFUNCTION("""COMPUTED_VALUE"""),"Escalation of Dispute")</f>
        <v>Escalation of Dispute</v>
      </c>
      <c r="AB1765" s="5" t="str">
        <f ca="1">IFERROR(__xludf.DUMMYFUNCTION("""COMPUTED_VALUE"""),"Victims Targeted")</f>
        <v>Victims Targeted</v>
      </c>
      <c r="AC1765" s="5" t="str">
        <f ca="1">IFERROR(__xludf.DUMMYFUNCTION("""COMPUTED_VALUE"""),"No")</f>
        <v>No</v>
      </c>
      <c r="AD1765" s="5" t="str">
        <f ca="1">IFERROR(__xludf.DUMMYFUNCTION("""COMPUTED_VALUE"""),"No")</f>
        <v>No</v>
      </c>
      <c r="AE1765" s="5" t="str">
        <f ca="1">IFERROR(__xludf.DUMMYFUNCTION("""COMPUTED_VALUE"""),"No")</f>
        <v>No</v>
      </c>
      <c r="AF1765" s="5" t="str">
        <f ca="1">IFERROR(__xludf.DUMMYFUNCTION("""COMPUTED_VALUE"""),"No")</f>
        <v>No</v>
      </c>
      <c r="AG1765" s="5" t="str">
        <f ca="1">IFERROR(__xludf.DUMMYFUNCTION("""COMPUTED_VALUE"""),"No")</f>
        <v>No</v>
      </c>
      <c r="AH1765" s="5" t="str">
        <f ca="1">IFERROR(__xludf.DUMMYFUNCTION("""COMPUTED_VALUE"""),"No")</f>
        <v>No</v>
      </c>
      <c r="AI1765" s="5" t="str">
        <f ca="1">IFERROR(__xludf.DUMMYFUNCTION("""COMPUTED_VALUE"""),"No")</f>
        <v>No</v>
      </c>
      <c r="AJ1765" s="5"/>
    </row>
    <row r="1766" spans="1:36" ht="13">
      <c r="A1766" s="5" t="str">
        <f ca="1">IFERROR(__xludf.DUMMYFUNCTION("""COMPUTED_VALUE"""),"19940526KYLAU")</f>
        <v>19940526KYLAU</v>
      </c>
      <c r="B1766" s="5">
        <f ca="1">IFERROR(__xludf.DUMMYFUNCTION("""COMPUTED_VALUE"""),5)</f>
        <v>5</v>
      </c>
      <c r="C1766" s="5">
        <f ca="1">IFERROR(__xludf.DUMMYFUNCTION("""COMPUTED_VALUE"""),26)</f>
        <v>26</v>
      </c>
      <c r="D1766" s="5">
        <f ca="1">IFERROR(__xludf.DUMMYFUNCTION("""COMPUTED_VALUE"""),1994)</f>
        <v>1994</v>
      </c>
      <c r="E1766" s="8">
        <f ca="1">IFERROR(__xludf.DUMMYFUNCTION("""COMPUTED_VALUE"""),34480)</f>
        <v>34480</v>
      </c>
      <c r="F1766" s="5" t="str">
        <f ca="1">IFERROR(__xludf.DUMMYFUNCTION("""COMPUTED_VALUE"""),"Larry A. Ryle High School")</f>
        <v>Larry A. Ryle High School</v>
      </c>
      <c r="G1766" s="5">
        <f ca="1">IFERROR(__xludf.DUMMYFUNCTION("""COMPUTED_VALUE"""),0)</f>
        <v>0</v>
      </c>
      <c r="H1766" s="5">
        <f ca="1">IFERROR(__xludf.DUMMYFUNCTION("""COMPUTED_VALUE"""),0)</f>
        <v>0</v>
      </c>
      <c r="I1766" s="5">
        <f ca="1">IFERROR(__xludf.DUMMYFUNCTION("""COMPUTED_VALUE"""),0)</f>
        <v>0</v>
      </c>
      <c r="J1766" s="5">
        <f ca="1">IFERROR(__xludf.DUMMYFUNCTION("""COMPUTED_VALUE"""),0)</f>
        <v>0</v>
      </c>
      <c r="K1766" s="5" t="str">
        <f ca="1">IFERROR(__xludf.DUMMYFUNCTION("""COMPUTED_VALUE"""),"https://books.google.com/books?id=paCVN9ECUc4C&amp;pg=PA10&amp;lpg=PA10&amp;dq=George+Rogers+Clark+High+School+hostage+1995&amp;source=bl&amp;ots=nnsA6mfWJP&amp;sig=Eg_GpHVGdpBSqw57FExYfpEPEGg&amp;hl=en&amp;sa=X&amp;ved=0ahUKEwjEzNrvk_7bAhUIpFkKHYajCvgQ6AEIiQEwEg#v=onepage&amp;q=George%20Rogers"&amp;"%20Clark%20High%20School%20hostage%201995&amp;f=false https://www.fox19.com/story/25495272/principal-tells-of-first-hand-experience-with-clay-shrout/ https://www.cincinnati.com/story/news/crime/crime-and-courts/2019/03/10/clay-shrout-killed-his-family-took-cl"&amp;"ass-hostage-and-up-parole/3069610002/")</f>
        <v>https://books.google.com/books?id=paCVN9ECUc4C&amp;pg=PA10&amp;lpg=PA10&amp;dq=George+Rogers+Clark+High+School+hostage+1995&amp;source=bl&amp;ots=nnsA6mfWJP&amp;sig=Eg_GpHVGdpBSqw57FExYfpEPEGg&amp;hl=en&amp;sa=X&amp;ved=0ahUKEwjEzNrvk_7bAhUIpFkKHYajCvgQ6AEIiQEwEg#v=onepage&amp;q=George%20Rogers%20Clark%20High%20School%20hostage%201995&amp;f=false https://www.fox19.com/story/25495272/principal-tells-of-first-hand-experience-with-clay-shrout/ https://www.cincinnati.com/story/news/crime/crime-and-courts/2019/03/10/clay-shrout-killed-his-family-took-class-hostage-and-up-parole/3069610002/</v>
      </c>
      <c r="L1766" s="5"/>
      <c r="M1766" s="5"/>
      <c r="N1766" s="5">
        <f ca="1">IFERROR(__xludf.DUMMYFUNCTION("""COMPUTED_VALUE"""),5)</f>
        <v>5</v>
      </c>
      <c r="O1766" s="5" t="str">
        <f ca="1">IFERROR(__xludf.DUMMYFUNCTION("""COMPUTED_VALUE"""),"Spring")</f>
        <v>Spring</v>
      </c>
      <c r="P1766" s="5" t="str">
        <f ca="1">IFERROR(__xludf.DUMMYFUNCTION("""COMPUTED_VALUE"""),"Union")</f>
        <v>Union</v>
      </c>
      <c r="Q1766" s="5" t="str">
        <f ca="1">IFERROR(__xludf.DUMMYFUNCTION("""COMPUTED_VALUE"""),"KY")</f>
        <v>KY</v>
      </c>
      <c r="R1766" s="5" t="str">
        <f ca="1">IFERROR(__xludf.DUMMYFUNCTION("""COMPUTED_VALUE"""),"High")</f>
        <v>High</v>
      </c>
      <c r="S1766" s="5" t="str">
        <f ca="1">IFERROR(__xludf.DUMMYFUNCTION("""COMPUTED_VALUE"""),"Classroom")</f>
        <v>Classroom</v>
      </c>
      <c r="T1766" s="5" t="str">
        <f ca="1">IFERROR(__xludf.DUMMYFUNCTION("""COMPUTED_VALUE"""),"Inside School Building")</f>
        <v>Inside School Building</v>
      </c>
      <c r="U1766" s="5" t="str">
        <f ca="1">IFERROR(__xludf.DUMMYFUNCTION("""COMPUTED_VALUE"""),"Yes")</f>
        <v>Yes</v>
      </c>
      <c r="V1766" s="5" t="str">
        <f ca="1">IFERROR(__xludf.DUMMYFUNCTION("""COMPUTED_VALUE"""),"Morning Classes")</f>
        <v>Morning Classes</v>
      </c>
      <c r="W1766" s="10">
        <f ca="1">IFERROR(__xludf.DUMMYFUNCTION("""COMPUTED_VALUE"""),0.375)</f>
        <v>0.375</v>
      </c>
      <c r="X1766" s="5">
        <f ca="1">IFERROR(__xludf.DUMMYFUNCTION("""COMPUTED_VALUE"""),30)</f>
        <v>30</v>
      </c>
      <c r="Y1766" s="5" t="str">
        <f ca="1">IFERROR(__xludf.DUMMYFUNCTION("""COMPUTED_VALUE"""),"Killed family, went to school and took class hostage")</f>
        <v>Killed family, went to school and took class hostage</v>
      </c>
      <c r="Z1766" s="5" t="str">
        <f ca="1">IFERROR(__xludf.DUMMYFUNCTION("""COMPUTED_VALUE"""),"17YOM killed parents and two younger sisters and went to his school with gun. During trigonometry class, there was a warning that a student at the school had a gun. The shooter stood up, took out the gun, and said ""it's me, I'm having a bad day and I kil"&amp;"led my parents"". Shooter took classmates hostage for 30 minutes. Teacher approached the shooter, put this hands on the gun, and took it away from the shooter as police officers entered the classroom. Teacher received letter commending his heroism from Fo"&amp;"rmer President Bill Clinton. he was smart, gifted even. He excelled as a student at Ryle High School in suburban Northern Kentucky, but there were signs he was in a spiral. His friends said he had become depressed and obsessed with death and gore. He inex"&amp;"plicably quit his job at Rally's, jumping out of the window mid-shift. He brought a stun gun and bullets to school. His parents took away the keys to his truck, his phone privileges and insisted he stop listening to heavy metal and alternative rock. The s"&amp;"tories about Shrout from the time have all the buzzwords that would later sprinkle coverage of school shooters: Anarchist Cookbook, black trench coat, combat boots.")</f>
        <v>17YOM killed parents and two younger sisters and went to his school with gun. During trigonometry class, there was a warning that a student at the school had a gun. The shooter stood up, took out the gun, and said "it's me, I'm having a bad day and I killed my parents". Shooter took classmates hostage for 30 minutes. Teacher approached the shooter, put this hands on the gun, and took it away from the shooter as police officers entered the classroom. Teacher received letter commending his heroism from Former President Bill Clinton. he was smart, gifted even. He excelled as a student at Ryle High School in suburban Northern Kentucky, but there were signs he was in a spiral. His friends said he had become depressed and obsessed with death and gore. He inexplicably quit his job at Rally's, jumping out of the window mid-shift. He brought a stun gun and bullets to school. His parents took away the keys to his truck, his phone privileges and insisted he stop listening to heavy metal and alternative rock. The stories about Shrout from the time have all the buzzwords that would later sprinkle coverage of school shooters: Anarchist Cookbook, black trench coat, combat boots.</v>
      </c>
      <c r="AA1766" s="5" t="str">
        <f ca="1">IFERROR(__xludf.DUMMYFUNCTION("""COMPUTED_VALUE"""),"Hostage/Standoff")</f>
        <v>Hostage/Standoff</v>
      </c>
      <c r="AB1766" s="5" t="str">
        <f ca="1">IFERROR(__xludf.DUMMYFUNCTION("""COMPUTED_VALUE"""),"Neither")</f>
        <v>Neither</v>
      </c>
      <c r="AC1766" s="5" t="str">
        <f ca="1">IFERROR(__xludf.DUMMYFUNCTION("""COMPUTED_VALUE"""),"No")</f>
        <v>No</v>
      </c>
      <c r="AD1766" s="5" t="str">
        <f ca="1">IFERROR(__xludf.DUMMYFUNCTION("""COMPUTED_VALUE"""),"Yes")</f>
        <v>Yes</v>
      </c>
      <c r="AE1766" s="5" t="str">
        <f ca="1">IFERROR(__xludf.DUMMYFUNCTION("""COMPUTED_VALUE"""),"Yes")</f>
        <v>Yes</v>
      </c>
      <c r="AF1766" s="5" t="str">
        <f ca="1">IFERROR(__xludf.DUMMYFUNCTION("""COMPUTED_VALUE"""),"No")</f>
        <v>No</v>
      </c>
      <c r="AG1766" s="5" t="str">
        <f ca="1">IFERROR(__xludf.DUMMYFUNCTION("""COMPUTED_VALUE"""),"No")</f>
        <v>No</v>
      </c>
      <c r="AH1766" s="5" t="str">
        <f ca="1">IFERROR(__xludf.DUMMYFUNCTION("""COMPUTED_VALUE"""),"No")</f>
        <v>No</v>
      </c>
      <c r="AI1766" s="5" t="str">
        <f ca="1">IFERROR(__xludf.DUMMYFUNCTION("""COMPUTED_VALUE"""),"No")</f>
        <v>No</v>
      </c>
      <c r="AJ1766" s="5" t="str">
        <f ca="1">IFERROR(__xludf.DUMMYFUNCTION("""COMPUTED_VALUE"""),"Yes")</f>
        <v>Yes</v>
      </c>
    </row>
    <row r="1767" spans="1:36" ht="13">
      <c r="A1767" s="5" t="str">
        <f ca="1">IFERROR(__xludf.DUMMYFUNCTION("""COMPUTED_VALUE"""),"19940525INLAS")</f>
        <v>19940525INLAS</v>
      </c>
      <c r="B1767" s="5">
        <f ca="1">IFERROR(__xludf.DUMMYFUNCTION("""COMPUTED_VALUE"""),5)</f>
        <v>5</v>
      </c>
      <c r="C1767" s="5">
        <f ca="1">IFERROR(__xludf.DUMMYFUNCTION("""COMPUTED_VALUE"""),25)</f>
        <v>25</v>
      </c>
      <c r="D1767" s="5">
        <f ca="1">IFERROR(__xludf.DUMMYFUNCTION("""COMPUTED_VALUE"""),1994)</f>
        <v>1994</v>
      </c>
      <c r="E1767" s="8">
        <f ca="1">IFERROR(__xludf.DUMMYFUNCTION("""COMPUTED_VALUE"""),34479)</f>
        <v>34479</v>
      </c>
      <c r="F1767" s="5" t="str">
        <f ca="1">IFERROR(__xludf.DUMMYFUNCTION("""COMPUTED_VALUE"""),"LaSalle High School")</f>
        <v>LaSalle High School</v>
      </c>
      <c r="G1767" s="5">
        <f ca="1">IFERROR(__xludf.DUMMYFUNCTION("""COMPUTED_VALUE"""),0)</f>
        <v>0</v>
      </c>
      <c r="H1767" s="5">
        <f ca="1">IFERROR(__xludf.DUMMYFUNCTION("""COMPUTED_VALUE"""),1)</f>
        <v>1</v>
      </c>
      <c r="I1767" s="5">
        <f ca="1">IFERROR(__xludf.DUMMYFUNCTION("""COMPUTED_VALUE"""),1)</f>
        <v>1</v>
      </c>
      <c r="J1767" s="5">
        <f ca="1">IFERROR(__xludf.DUMMYFUNCTION("""COMPUTED_VALUE"""),0)</f>
        <v>0</v>
      </c>
      <c r="K1767" s="5" t="str">
        <f ca="1">IFERROR(__xludf.DUMMYFUNCTION("""COMPUTED_VALUE"""),"https://www.newspapers.com/image/110204610/?terms=shot%2Bin%2Bschool%2Bparking%2Blot; https://www.newspapers.com/image/520229330/?terms=lasalle%2Bhigh%2Bschool%2Bstudent%2Bshot;")</f>
        <v>https://www.newspapers.com/image/110204610/?terms=shot%2Bin%2Bschool%2Bparking%2Blot; https://www.newspapers.com/image/520229330/?terms=lasalle%2Bhigh%2Bschool%2Bstudent%2Bshot;</v>
      </c>
      <c r="L1767" s="5"/>
      <c r="M1767" s="5"/>
      <c r="N1767" s="5">
        <f ca="1">IFERROR(__xludf.DUMMYFUNCTION("""COMPUTED_VALUE"""),3)</f>
        <v>3</v>
      </c>
      <c r="O1767" s="5" t="str">
        <f ca="1">IFERROR(__xludf.DUMMYFUNCTION("""COMPUTED_VALUE"""),"Spring")</f>
        <v>Spring</v>
      </c>
      <c r="P1767" s="5" t="str">
        <f ca="1">IFERROR(__xludf.DUMMYFUNCTION("""COMPUTED_VALUE"""),"South Bend")</f>
        <v>South Bend</v>
      </c>
      <c r="Q1767" s="5" t="str">
        <f ca="1">IFERROR(__xludf.DUMMYFUNCTION("""COMPUTED_VALUE"""),"IN")</f>
        <v>IN</v>
      </c>
      <c r="R1767" s="5" t="str">
        <f ca="1">IFERROR(__xludf.DUMMYFUNCTION("""COMPUTED_VALUE"""),"High")</f>
        <v>High</v>
      </c>
      <c r="S1767" s="5" t="str">
        <f ca="1">IFERROR(__xludf.DUMMYFUNCTION("""COMPUTED_VALUE"""),"Parking Lot")</f>
        <v>Parking Lot</v>
      </c>
      <c r="T1767" s="5" t="str">
        <f ca="1">IFERROR(__xludf.DUMMYFUNCTION("""COMPUTED_VALUE"""),"Outside on School Property")</f>
        <v>Outside on School Property</v>
      </c>
      <c r="U1767" s="5" t="str">
        <f ca="1">IFERROR(__xludf.DUMMYFUNCTION("""COMPUTED_VALUE"""),"Yes")</f>
        <v>Yes</v>
      </c>
      <c r="V1767" s="5" t="str">
        <f ca="1">IFERROR(__xludf.DUMMYFUNCTION("""COMPUTED_VALUE"""),"Lunch")</f>
        <v>Lunch</v>
      </c>
      <c r="W1767" s="10">
        <f ca="1">IFERROR(__xludf.DUMMYFUNCTION("""COMPUTED_VALUE"""),0.520833333333333)</f>
        <v>0.52083333333333304</v>
      </c>
      <c r="X1767" s="5">
        <f ca="1">IFERROR(__xludf.DUMMYFUNCTION("""COMPUTED_VALUE"""),1)</f>
        <v>1</v>
      </c>
      <c r="Y1767" s="5" t="str">
        <f ca="1">IFERROR(__xludf.DUMMYFUNCTION("""COMPUTED_VALUE"""),"Fight ensued over stolen jewelry")</f>
        <v>Fight ensued over stolen jewelry</v>
      </c>
      <c r="Z1767" s="5" t="str">
        <f ca="1">IFERROR(__xludf.DUMMYFUNCTION("""COMPUTED_VALUE"""),"Shooting happened in parking lot over stolen jewelry. 2 students and another teenager were arrested - all were considered juveniles so names were not released.")</f>
        <v>Shooting happened in parking lot over stolen jewelry. 2 students and another teenager were arrested - all were considered juveniles so names were not released.</v>
      </c>
      <c r="AA1767" s="5" t="str">
        <f ca="1">IFERROR(__xludf.DUMMYFUNCTION("""COMPUTED_VALUE"""),"Illegal Activity")</f>
        <v>Illegal Activity</v>
      </c>
      <c r="AB1767" s="5" t="str">
        <f ca="1">IFERROR(__xludf.DUMMYFUNCTION("""COMPUTED_VALUE"""),"Victims Targeted")</f>
        <v>Victims Targeted</v>
      </c>
      <c r="AC1767" s="5" t="str">
        <f ca="1">IFERROR(__xludf.DUMMYFUNCTION("""COMPUTED_VALUE"""),"Yes")</f>
        <v>Yes</v>
      </c>
      <c r="AD1767" s="5" t="str">
        <f ca="1">IFERROR(__xludf.DUMMYFUNCTION("""COMPUTED_VALUE"""),"No")</f>
        <v>No</v>
      </c>
      <c r="AE1767" s="5" t="str">
        <f ca="1">IFERROR(__xludf.DUMMYFUNCTION("""COMPUTED_VALUE"""),"No")</f>
        <v>No</v>
      </c>
      <c r="AF1767" s="5" t="str">
        <f ca="1">IFERROR(__xludf.DUMMYFUNCTION("""COMPUTED_VALUE"""),"No")</f>
        <v>No</v>
      </c>
      <c r="AG1767" s="5" t="str">
        <f ca="1">IFERROR(__xludf.DUMMYFUNCTION("""COMPUTED_VALUE"""),"No")</f>
        <v>No</v>
      </c>
      <c r="AH1767" s="5" t="str">
        <f ca="1">IFERROR(__xludf.DUMMYFUNCTION("""COMPUTED_VALUE"""),"No")</f>
        <v>No</v>
      </c>
      <c r="AI1767" s="5" t="str">
        <f ca="1">IFERROR(__xludf.DUMMYFUNCTION("""COMPUTED_VALUE"""),"No")</f>
        <v>No</v>
      </c>
      <c r="AJ1767" s="5" t="str">
        <f ca="1">IFERROR(__xludf.DUMMYFUNCTION("""COMPUTED_VALUE"""),"No")</f>
        <v>No</v>
      </c>
    </row>
    <row r="1768" spans="1:36" ht="13">
      <c r="A1768" s="5" t="str">
        <f ca="1">IFERROR(__xludf.DUMMYFUNCTION("""COMPUTED_VALUE"""),"19940525NJLAW")</f>
        <v>19940525NJLAW</v>
      </c>
      <c r="B1768" s="5">
        <f ca="1">IFERROR(__xludf.DUMMYFUNCTION("""COMPUTED_VALUE"""),5)</f>
        <v>5</v>
      </c>
      <c r="C1768" s="5">
        <f ca="1">IFERROR(__xludf.DUMMYFUNCTION("""COMPUTED_VALUE"""),25)</f>
        <v>25</v>
      </c>
      <c r="D1768" s="5">
        <f ca="1">IFERROR(__xludf.DUMMYFUNCTION("""COMPUTED_VALUE"""),1994)</f>
        <v>1994</v>
      </c>
      <c r="E1768" s="8">
        <f ca="1">IFERROR(__xludf.DUMMYFUNCTION("""COMPUTED_VALUE"""),34479)</f>
        <v>34479</v>
      </c>
      <c r="F1768" s="5" t="str">
        <f ca="1">IFERROR(__xludf.DUMMYFUNCTION("""COMPUTED_VALUE"""),"Lakeland Regional High School")</f>
        <v>Lakeland Regional High School</v>
      </c>
      <c r="G1768" s="5">
        <f ca="1">IFERROR(__xludf.DUMMYFUNCTION("""COMPUTED_VALUE"""),0)</f>
        <v>0</v>
      </c>
      <c r="H1768" s="5">
        <f ca="1">IFERROR(__xludf.DUMMYFUNCTION("""COMPUTED_VALUE"""),0)</f>
        <v>0</v>
      </c>
      <c r="I1768" s="5">
        <f ca="1">IFERROR(__xludf.DUMMYFUNCTION("""COMPUTED_VALUE"""),0)</f>
        <v>0</v>
      </c>
      <c r="J1768" s="5">
        <f ca="1">IFERROR(__xludf.DUMMYFUNCTION("""COMPUTED_VALUE"""),1)</f>
        <v>1</v>
      </c>
      <c r="K1768" s="9" t="str">
        <f ca="1">IFERROR(__xludf.DUMMYFUNCTION("""COMPUTED_VALUE"""),"https://www.newspapers.com/image/166926358/?terms=Amy%2BGamarello")</f>
        <v>https://www.newspapers.com/image/166926358/?terms=Amy%2BGamarello</v>
      </c>
      <c r="L1768" s="5"/>
      <c r="M1768" s="5"/>
      <c r="N1768" s="5">
        <f ca="1">IFERROR(__xludf.DUMMYFUNCTION("""COMPUTED_VALUE"""),2)</f>
        <v>2</v>
      </c>
      <c r="O1768" s="5" t="str">
        <f ca="1">IFERROR(__xludf.DUMMYFUNCTION("""COMPUTED_VALUE"""),"Spring")</f>
        <v>Spring</v>
      </c>
      <c r="P1768" s="5" t="str">
        <f ca="1">IFERROR(__xludf.DUMMYFUNCTION("""COMPUTED_VALUE"""),"Wanaque")</f>
        <v>Wanaque</v>
      </c>
      <c r="Q1768" s="5" t="str">
        <f ca="1">IFERROR(__xludf.DUMMYFUNCTION("""COMPUTED_VALUE"""),"NJ")</f>
        <v>NJ</v>
      </c>
      <c r="R1768" s="5" t="str">
        <f ca="1">IFERROR(__xludf.DUMMYFUNCTION("""COMPUTED_VALUE"""),"High")</f>
        <v>High</v>
      </c>
      <c r="S1768" s="5" t="str">
        <f ca="1">IFERROR(__xludf.DUMMYFUNCTION("""COMPUTED_VALUE"""),"Beside Building")</f>
        <v>Beside Building</v>
      </c>
      <c r="T1768" s="5" t="str">
        <f ca="1">IFERROR(__xludf.DUMMYFUNCTION("""COMPUTED_VALUE"""),"Outside on School Property")</f>
        <v>Outside on School Property</v>
      </c>
      <c r="U1768" s="5" t="str">
        <f ca="1">IFERROR(__xludf.DUMMYFUNCTION("""COMPUTED_VALUE"""),"Yes")</f>
        <v>Yes</v>
      </c>
      <c r="V1768" s="5" t="str">
        <f ca="1">IFERROR(__xludf.DUMMYFUNCTION("""COMPUTED_VALUE"""),"Morning Classes")</f>
        <v>Morning Classes</v>
      </c>
      <c r="W1768" s="10">
        <f ca="1">IFERROR(__xludf.DUMMYFUNCTION("""COMPUTED_VALUE"""),0.354166666666666)</f>
        <v>0.35416666666666602</v>
      </c>
      <c r="X1768" s="5">
        <f ca="1">IFERROR(__xludf.DUMMYFUNCTION("""COMPUTED_VALUE"""),1)</f>
        <v>1</v>
      </c>
      <c r="Y1768" s="5" t="str">
        <f ca="1">IFERROR(__xludf.DUMMYFUNCTION("""COMPUTED_VALUE"""),"Shot herself behind the school")</f>
        <v>Shot herself behind the school</v>
      </c>
      <c r="Z1768" s="5" t="str">
        <f ca="1">IFERROR(__xludf.DUMMYFUNCTION("""COMPUTED_VALUE"""),"17YOF student told her friend she had taken pills and needed professional help. While friend went to get help, she went behind the school and killed herself with her father's pistol.")</f>
        <v>17YOF student told her friend she had taken pills and needed professional help. While friend went to get help, she went behind the school and killed herself with her father's pistol.</v>
      </c>
      <c r="AA1768" s="5" t="str">
        <f ca="1">IFERROR(__xludf.DUMMYFUNCTION("""COMPUTED_VALUE"""),"Suicide/Attempted")</f>
        <v>Suicide/Attempted</v>
      </c>
      <c r="AB1768" s="5" t="str">
        <f ca="1">IFERROR(__xludf.DUMMYFUNCTION("""COMPUTED_VALUE"""),"Victims Targeted")</f>
        <v>Victims Targeted</v>
      </c>
      <c r="AC1768" s="5" t="str">
        <f ca="1">IFERROR(__xludf.DUMMYFUNCTION("""COMPUTED_VALUE"""),"No")</f>
        <v>No</v>
      </c>
      <c r="AD1768" s="5" t="str">
        <f ca="1">IFERROR(__xludf.DUMMYFUNCTION("""COMPUTED_VALUE"""),"No")</f>
        <v>No</v>
      </c>
      <c r="AE1768" s="5" t="str">
        <f ca="1">IFERROR(__xludf.DUMMYFUNCTION("""COMPUTED_VALUE"""),"No")</f>
        <v>No</v>
      </c>
      <c r="AF1768" s="5" t="str">
        <f ca="1">IFERROR(__xludf.DUMMYFUNCTION("""COMPUTED_VALUE"""),"No")</f>
        <v>No</v>
      </c>
      <c r="AG1768" s="5" t="str">
        <f ca="1">IFERROR(__xludf.DUMMYFUNCTION("""COMPUTED_VALUE"""),"No")</f>
        <v>No</v>
      </c>
      <c r="AH1768" s="5" t="str">
        <f ca="1">IFERROR(__xludf.DUMMYFUNCTION("""COMPUTED_VALUE"""),"No")</f>
        <v>No</v>
      </c>
      <c r="AI1768" s="5" t="str">
        <f ca="1">IFERROR(__xludf.DUMMYFUNCTION("""COMPUTED_VALUE"""),"No")</f>
        <v>No</v>
      </c>
      <c r="AJ1768" s="5"/>
    </row>
    <row r="1769" spans="1:36" ht="13">
      <c r="A1769" s="5" t="str">
        <f ca="1">IFERROR(__xludf.DUMMYFUNCTION("""COMPUTED_VALUE"""),"19940502FLNON")</f>
        <v>19940502FLNON</v>
      </c>
      <c r="B1769" s="5">
        <f ca="1">IFERROR(__xludf.DUMMYFUNCTION("""COMPUTED_VALUE"""),5)</f>
        <v>5</v>
      </c>
      <c r="C1769" s="5">
        <f ca="1">IFERROR(__xludf.DUMMYFUNCTION("""COMPUTED_VALUE"""),2)</f>
        <v>2</v>
      </c>
      <c r="D1769" s="5">
        <f ca="1">IFERROR(__xludf.DUMMYFUNCTION("""COMPUTED_VALUE"""),1994)</f>
        <v>1994</v>
      </c>
      <c r="E1769" s="8">
        <f ca="1">IFERROR(__xludf.DUMMYFUNCTION("""COMPUTED_VALUE"""),34456)</f>
        <v>34456</v>
      </c>
      <c r="F1769" s="5" t="str">
        <f ca="1">IFERROR(__xludf.DUMMYFUNCTION("""COMPUTED_VALUE"""),"North Miami High School")</f>
        <v>North Miami High School</v>
      </c>
      <c r="G1769" s="5">
        <f ca="1">IFERROR(__xludf.DUMMYFUNCTION("""COMPUTED_VALUE"""),1)</f>
        <v>1</v>
      </c>
      <c r="H1769" s="5">
        <f ca="1">IFERROR(__xludf.DUMMYFUNCTION("""COMPUTED_VALUE"""),0)</f>
        <v>0</v>
      </c>
      <c r="I1769" s="5">
        <f ca="1">IFERROR(__xludf.DUMMYFUNCTION("""COMPUTED_VALUE"""),1)</f>
        <v>1</v>
      </c>
      <c r="J1769" s="5">
        <f ca="1">IFERROR(__xludf.DUMMYFUNCTION("""COMPUTED_VALUE"""),0)</f>
        <v>0</v>
      </c>
      <c r="K1769" s="5" t="str">
        <f ca="1">IFERROR(__xludf.DUMMYFUNCTION("""COMPUTED_VALUE"""),"https://www.newspapers.com/image/133113436/?terms=Edvard%2BAlmonor https://www.sun-sentinel.com/news/fl-xpm-1994-05-05-9405050231-story.html http://www.columbine-angels.com/School_Violence_1993-1994.htm")</f>
        <v>https://www.newspapers.com/image/133113436/?terms=Edvard%2BAlmonor https://www.sun-sentinel.com/news/fl-xpm-1994-05-05-9405050231-story.html http://www.columbine-angels.com/School_Violence_1993-1994.htm</v>
      </c>
      <c r="L1769" s="5"/>
      <c r="M1769" s="5"/>
      <c r="N1769" s="5">
        <f ca="1">IFERROR(__xludf.DUMMYFUNCTION("""COMPUTED_VALUE"""),2)</f>
        <v>2</v>
      </c>
      <c r="O1769" s="5" t="str">
        <f ca="1">IFERROR(__xludf.DUMMYFUNCTION("""COMPUTED_VALUE"""),"Spring")</f>
        <v>Spring</v>
      </c>
      <c r="P1769" s="5" t="str">
        <f ca="1">IFERROR(__xludf.DUMMYFUNCTION("""COMPUTED_VALUE"""),"North Miami")</f>
        <v>North Miami</v>
      </c>
      <c r="Q1769" s="5" t="str">
        <f ca="1">IFERROR(__xludf.DUMMYFUNCTION("""COMPUTED_VALUE"""),"FL")</f>
        <v>FL</v>
      </c>
      <c r="R1769" s="5" t="str">
        <f ca="1">IFERROR(__xludf.DUMMYFUNCTION("""COMPUTED_VALUE"""),"High")</f>
        <v>High</v>
      </c>
      <c r="S1769" s="5" t="str">
        <f ca="1">IFERROR(__xludf.DUMMYFUNCTION("""COMPUTED_VALUE"""),"Parking Lot")</f>
        <v>Parking Lot</v>
      </c>
      <c r="T1769" s="5" t="str">
        <f ca="1">IFERROR(__xludf.DUMMYFUNCTION("""COMPUTED_VALUE"""),"Outside on School Property")</f>
        <v>Outside on School Property</v>
      </c>
      <c r="U1769" s="5" t="str">
        <f ca="1">IFERROR(__xludf.DUMMYFUNCTION("""COMPUTED_VALUE"""),"Yes")</f>
        <v>Yes</v>
      </c>
      <c r="V1769" s="5" t="str">
        <f ca="1">IFERROR(__xludf.DUMMYFUNCTION("""COMPUTED_VALUE"""),"Lunch")</f>
        <v>Lunch</v>
      </c>
      <c r="W1769" s="10">
        <f ca="1">IFERROR(__xludf.DUMMYFUNCTION("""COMPUTED_VALUE"""),0.5)</f>
        <v>0.5</v>
      </c>
      <c r="X1769" s="5">
        <f ca="1">IFERROR(__xludf.DUMMYFUNCTION("""COMPUTED_VALUE"""),1)</f>
        <v>1</v>
      </c>
      <c r="Y1769" s="5" t="str">
        <f ca="1">IFERROR(__xludf.DUMMYFUNCTION("""COMPUTED_VALUE"""),"Showing off gun, discharged and struck female student.")</f>
        <v>Showing off gun, discharged and struck female student.</v>
      </c>
      <c r="Z1769" s="5" t="str">
        <f ca="1">IFERROR(__xludf.DUMMYFUNCTION("""COMPUTED_VALUE"""),"An 18 year-old male student was showing off a .380 handgun during lunch in the school's parking lot. He accidentally discharged the gun, striking an 18 year-old female. She died from her injuries 2 days after the incident.")</f>
        <v>An 18 year-old male student was showing off a .380 handgun during lunch in the school's parking lot. He accidentally discharged the gun, striking an 18 year-old female. She died from her injuries 2 days after the incident.</v>
      </c>
      <c r="AA1769" s="5" t="str">
        <f ca="1">IFERROR(__xludf.DUMMYFUNCTION("""COMPUTED_VALUE"""),"Accidental")</f>
        <v>Accidental</v>
      </c>
      <c r="AB1769" s="5" t="str">
        <f ca="1">IFERROR(__xludf.DUMMYFUNCTION("""COMPUTED_VALUE"""),"Random Shooting")</f>
        <v>Random Shooting</v>
      </c>
      <c r="AC1769" s="5" t="str">
        <f ca="1">IFERROR(__xludf.DUMMYFUNCTION("""COMPUTED_VALUE"""),"No")</f>
        <v>No</v>
      </c>
      <c r="AD1769" s="5" t="str">
        <f ca="1">IFERROR(__xludf.DUMMYFUNCTION("""COMPUTED_VALUE"""),"No")</f>
        <v>No</v>
      </c>
      <c r="AE1769" s="5" t="str">
        <f ca="1">IFERROR(__xludf.DUMMYFUNCTION("""COMPUTED_VALUE"""),"No")</f>
        <v>No</v>
      </c>
      <c r="AF1769" s="5" t="str">
        <f ca="1">IFERROR(__xludf.DUMMYFUNCTION("""COMPUTED_VALUE"""),"No")</f>
        <v>No</v>
      </c>
      <c r="AG1769" s="5" t="str">
        <f ca="1">IFERROR(__xludf.DUMMYFUNCTION("""COMPUTED_VALUE"""),"No")</f>
        <v>No</v>
      </c>
      <c r="AH1769" s="5" t="str">
        <f ca="1">IFERROR(__xludf.DUMMYFUNCTION("""COMPUTED_VALUE"""),"No")</f>
        <v>No</v>
      </c>
      <c r="AI1769" s="5" t="str">
        <f ca="1">IFERROR(__xludf.DUMMYFUNCTION("""COMPUTED_VALUE"""),"No")</f>
        <v>No</v>
      </c>
      <c r="AJ1769" s="5"/>
    </row>
    <row r="1770" spans="1:36" ht="13">
      <c r="A1770" s="5" t="str">
        <f ca="1">IFERROR(__xludf.DUMMYFUNCTION("""COMPUTED_VALUE"""),"19940421TNJTN")</f>
        <v>19940421TNJTN</v>
      </c>
      <c r="B1770" s="5">
        <f ca="1">IFERROR(__xludf.DUMMYFUNCTION("""COMPUTED_VALUE"""),4)</f>
        <v>4</v>
      </c>
      <c r="C1770" s="5">
        <f ca="1">IFERROR(__xludf.DUMMYFUNCTION("""COMPUTED_VALUE"""),21)</f>
        <v>21</v>
      </c>
      <c r="D1770" s="5">
        <f ca="1">IFERROR(__xludf.DUMMYFUNCTION("""COMPUTED_VALUE"""),1994)</f>
        <v>1994</v>
      </c>
      <c r="E1770" s="8">
        <f ca="1">IFERROR(__xludf.DUMMYFUNCTION("""COMPUTED_VALUE"""),34445)</f>
        <v>34445</v>
      </c>
      <c r="F1770" s="5" t="str">
        <f ca="1">IFERROR(__xludf.DUMMYFUNCTION("""COMPUTED_VALUE"""),"J T Moore Middle School")</f>
        <v>J T Moore Middle School</v>
      </c>
      <c r="G1770" s="5">
        <f ca="1">IFERROR(__xludf.DUMMYFUNCTION("""COMPUTED_VALUE"""),1)</f>
        <v>1</v>
      </c>
      <c r="H1770" s="5">
        <f ca="1">IFERROR(__xludf.DUMMYFUNCTION("""COMPUTED_VALUE"""),0)</f>
        <v>0</v>
      </c>
      <c r="I1770" s="5">
        <f ca="1">IFERROR(__xludf.DUMMYFUNCTION("""COMPUTED_VALUE"""),1)</f>
        <v>1</v>
      </c>
      <c r="J1770" s="5">
        <f ca="1">IFERROR(__xludf.DUMMYFUNCTION("""COMPUTED_VALUE"""),0)</f>
        <v>0</v>
      </c>
      <c r="K1770" s="5" t="str">
        <f ca="1">IFERROR(__xludf.DUMMYFUNCTION("""COMPUTED_VALUE"""),"https://www.tennessean.com/story/news/education/2022/02/04/nashville-metro-schools-director-school-shooting-death-guns-john-trotwood-moore/9314780002/ http://articles.orlandosentinel.com/1994-04-22/news/9404250527_1_music-class-video-in-class-shot-to-deat"&amp;"h https://www.tennessean.com/story/news/crime/2018/10/08/1994-nashville-school-shooting/923644002/")</f>
        <v>https://www.tennessean.com/story/news/education/2022/02/04/nashville-metro-schools-director-school-shooting-death-guns-john-trotwood-moore/9314780002/ http://articles.orlandosentinel.com/1994-04-22/news/9404250527_1_music-class-video-in-class-shot-to-death https://www.tennessean.com/story/news/crime/2018/10/08/1994-nashville-school-shooting/923644002/</v>
      </c>
      <c r="L1770" s="5"/>
      <c r="M1770" s="5" t="str">
        <f ca="1">IFERROR(__xludf.DUMMYFUNCTION("""COMPUTED_VALUE"""),"Regional")</f>
        <v>Regional</v>
      </c>
      <c r="N1770" s="5">
        <f ca="1">IFERROR(__xludf.DUMMYFUNCTION("""COMPUTED_VALUE"""),4)</f>
        <v>4</v>
      </c>
      <c r="O1770" s="5" t="str">
        <f ca="1">IFERROR(__xludf.DUMMYFUNCTION("""COMPUTED_VALUE"""),"Spring")</f>
        <v>Spring</v>
      </c>
      <c r="P1770" s="5" t="str">
        <f ca="1">IFERROR(__xludf.DUMMYFUNCTION("""COMPUTED_VALUE"""),"Nashville")</f>
        <v>Nashville</v>
      </c>
      <c r="Q1770" s="5" t="str">
        <f ca="1">IFERROR(__xludf.DUMMYFUNCTION("""COMPUTED_VALUE"""),"TN")</f>
        <v>TN</v>
      </c>
      <c r="R1770" s="5" t="str">
        <f ca="1">IFERROR(__xludf.DUMMYFUNCTION("""COMPUTED_VALUE"""),"Middle")</f>
        <v>Middle</v>
      </c>
      <c r="S1770" s="5" t="str">
        <f ca="1">IFERROR(__xludf.DUMMYFUNCTION("""COMPUTED_VALUE"""),"Classroom")</f>
        <v>Classroom</v>
      </c>
      <c r="T1770" s="5" t="str">
        <f ca="1">IFERROR(__xludf.DUMMYFUNCTION("""COMPUTED_VALUE"""),"Inside School Building")</f>
        <v>Inside School Building</v>
      </c>
      <c r="U1770" s="5" t="str">
        <f ca="1">IFERROR(__xludf.DUMMYFUNCTION("""COMPUTED_VALUE"""),"Yes")</f>
        <v>Yes</v>
      </c>
      <c r="V1770" s="5" t="str">
        <f ca="1">IFERROR(__xludf.DUMMYFUNCTION("""COMPUTED_VALUE"""),"Afternoon Classes")</f>
        <v>Afternoon Classes</v>
      </c>
      <c r="W1770" s="10">
        <f ca="1">IFERROR(__xludf.DUMMYFUNCTION("""COMPUTED_VALUE"""),0.5625)</f>
        <v>0.5625</v>
      </c>
      <c r="X1770" s="5">
        <f ca="1">IFERROR(__xludf.DUMMYFUNCTION("""COMPUTED_VALUE"""),1)</f>
        <v>1</v>
      </c>
      <c r="Y1770" s="5" t="str">
        <f ca="1">IFERROR(__xludf.DUMMYFUNCTION("""COMPUTED_VALUE"""),"Accidental discharge in classroom")</f>
        <v>Accidental discharge in classroom</v>
      </c>
      <c r="Z1770" s="5" t="str">
        <f ca="1">IFERROR(__xludf.DUMMYFUNCTION("""COMPUTED_VALUE"""),"Students were watching a movie during music class in a dark classroom. The 14 year-old male shooter took out the .25 handgun in class when he fired a shot (believed to be accidental), striking the 13 year-old male student in front of him in the head. The "&amp;"gun was found in a school trashcan and the shooter was later apprehended but not identified. Earlier that day, the shooter had been bragging to friends about the gun, who got the gun from a classmate.")</f>
        <v>Students were watching a movie during music class in a dark classroom. The 14 year-old male shooter took out the .25 handgun in class when he fired a shot (believed to be accidental), striking the 13 year-old male student in front of him in the head. The gun was found in a school trashcan and the shooter was later apprehended but not identified. Earlier that day, the shooter had been bragging to friends about the gun, who got the gun from a classmate.</v>
      </c>
      <c r="AA1770" s="5" t="str">
        <f ca="1">IFERROR(__xludf.DUMMYFUNCTION("""COMPUTED_VALUE"""),"Accidental")</f>
        <v>Accidental</v>
      </c>
      <c r="AB1770" s="5" t="str">
        <f ca="1">IFERROR(__xludf.DUMMYFUNCTION("""COMPUTED_VALUE"""),"Neither")</f>
        <v>Neither</v>
      </c>
      <c r="AC1770" s="5" t="str">
        <f ca="1">IFERROR(__xludf.DUMMYFUNCTION("""COMPUTED_VALUE"""),"No")</f>
        <v>No</v>
      </c>
      <c r="AD1770" s="5" t="str">
        <f ca="1">IFERROR(__xludf.DUMMYFUNCTION("""COMPUTED_VALUE"""),"No")</f>
        <v>No</v>
      </c>
      <c r="AE1770" s="5" t="str">
        <f ca="1">IFERROR(__xludf.DUMMYFUNCTION("""COMPUTED_VALUE"""),"No")</f>
        <v>No</v>
      </c>
      <c r="AF1770" s="5" t="str">
        <f ca="1">IFERROR(__xludf.DUMMYFUNCTION("""COMPUTED_VALUE"""),"No")</f>
        <v>No</v>
      </c>
      <c r="AG1770" s="5" t="str">
        <f ca="1">IFERROR(__xludf.DUMMYFUNCTION("""COMPUTED_VALUE"""),"No")</f>
        <v>No</v>
      </c>
      <c r="AH1770" s="5" t="str">
        <f ca="1">IFERROR(__xludf.DUMMYFUNCTION("""COMPUTED_VALUE"""),"No")</f>
        <v>No</v>
      </c>
      <c r="AI1770" s="5" t="str">
        <f ca="1">IFERROR(__xludf.DUMMYFUNCTION("""COMPUTED_VALUE"""),"No")</f>
        <v>No</v>
      </c>
      <c r="AJ1770" s="5" t="str">
        <f ca="1">IFERROR(__xludf.DUMMYFUNCTION("""COMPUTED_VALUE"""),"No")</f>
        <v>No</v>
      </c>
    </row>
    <row r="1771" spans="1:36" ht="13">
      <c r="A1771" s="5" t="str">
        <f ca="1">IFERROR(__xludf.DUMMYFUNCTION("""COMPUTED_VALUE"""),"19940420INDIS")</f>
        <v>19940420INDIS</v>
      </c>
      <c r="B1771" s="5">
        <f ca="1">IFERROR(__xludf.DUMMYFUNCTION("""COMPUTED_VALUE"""),4)</f>
        <v>4</v>
      </c>
      <c r="C1771" s="5">
        <f ca="1">IFERROR(__xludf.DUMMYFUNCTION("""COMPUTED_VALUE"""),20)</f>
        <v>20</v>
      </c>
      <c r="D1771" s="5">
        <f ca="1">IFERROR(__xludf.DUMMYFUNCTION("""COMPUTED_VALUE"""),1994)</f>
        <v>1994</v>
      </c>
      <c r="E1771" s="8">
        <f ca="1">IFERROR(__xludf.DUMMYFUNCTION("""COMPUTED_VALUE"""),34444)</f>
        <v>34444</v>
      </c>
      <c r="F1771" s="5" t="str">
        <f ca="1">IFERROR(__xludf.DUMMYFUNCTION("""COMPUTED_VALUE"""),"Dickinson Middle School")</f>
        <v>Dickinson Middle School</v>
      </c>
      <c r="G1771" s="5">
        <f ca="1">IFERROR(__xludf.DUMMYFUNCTION("""COMPUTED_VALUE"""),0)</f>
        <v>0</v>
      </c>
      <c r="H1771" s="5">
        <f ca="1">IFERROR(__xludf.DUMMYFUNCTION("""COMPUTED_VALUE"""),1)</f>
        <v>1</v>
      </c>
      <c r="I1771" s="5">
        <f ca="1">IFERROR(__xludf.DUMMYFUNCTION("""COMPUTED_VALUE"""),1)</f>
        <v>1</v>
      </c>
      <c r="J1771" s="5">
        <f ca="1">IFERROR(__xludf.DUMMYFUNCTION("""COMPUTED_VALUE"""),0)</f>
        <v>0</v>
      </c>
      <c r="K1771" s="5" t="str">
        <f ca="1">IFERROR(__xludf.DUMMYFUNCTION("""COMPUTED_VALUE"""),"https://www.newspapers.com/image/520596220/?terms=dickinson%2Bmiddle%2Bschool%2Bshooting https://www.newspapers.com/image/179268146/?terms=dickinson%2Bmiddle%2Bschool%2Bshooting https://www.newspapers.com/image/520599455/?terms=dickinson%2Bmiddle%2Bschool"&amp;"%2Bshooting")</f>
        <v>https://www.newspapers.com/image/520596220/?terms=dickinson%2Bmiddle%2Bschool%2Bshooting https://www.newspapers.com/image/179268146/?terms=dickinson%2Bmiddle%2Bschool%2Bshooting https://www.newspapers.com/image/520599455/?terms=dickinson%2Bmiddle%2Bschool%2Bshooting</v>
      </c>
      <c r="L1771" s="5"/>
      <c r="M1771" s="5"/>
      <c r="N1771" s="5">
        <f ca="1">IFERROR(__xludf.DUMMYFUNCTION("""COMPUTED_VALUE"""),2)</f>
        <v>2</v>
      </c>
      <c r="O1771" s="5" t="str">
        <f ca="1">IFERROR(__xludf.DUMMYFUNCTION("""COMPUTED_VALUE"""),"Spring")</f>
        <v>Spring</v>
      </c>
      <c r="P1771" s="5" t="str">
        <f ca="1">IFERROR(__xludf.DUMMYFUNCTION("""COMPUTED_VALUE"""),"South Bend")</f>
        <v>South Bend</v>
      </c>
      <c r="Q1771" s="5" t="str">
        <f ca="1">IFERROR(__xludf.DUMMYFUNCTION("""COMPUTED_VALUE"""),"IN")</f>
        <v>IN</v>
      </c>
      <c r="R1771" s="5" t="str">
        <f ca="1">IFERROR(__xludf.DUMMYFUNCTION("""COMPUTED_VALUE"""),"Middle")</f>
        <v>Middle</v>
      </c>
      <c r="S1771" s="5" t="str">
        <f ca="1">IFERROR(__xludf.DUMMYFUNCTION("""COMPUTED_VALUE"""),"Classroom")</f>
        <v>Classroom</v>
      </c>
      <c r="T1771" s="5" t="str">
        <f ca="1">IFERROR(__xludf.DUMMYFUNCTION("""COMPUTED_VALUE"""),"Inside School Building")</f>
        <v>Inside School Building</v>
      </c>
      <c r="U1771" s="5" t="str">
        <f ca="1">IFERROR(__xludf.DUMMYFUNCTION("""COMPUTED_VALUE"""),"Yes")</f>
        <v>Yes</v>
      </c>
      <c r="V1771" s="5" t="str">
        <f ca="1">IFERROR(__xludf.DUMMYFUNCTION("""COMPUTED_VALUE"""),"Morning Classes")</f>
        <v>Morning Classes</v>
      </c>
      <c r="W1771" s="10">
        <f ca="1">IFERROR(__xludf.DUMMYFUNCTION("""COMPUTED_VALUE"""),0)</f>
        <v>0</v>
      </c>
      <c r="X1771" s="5">
        <f ca="1">IFERROR(__xludf.DUMMYFUNCTION("""COMPUTED_VALUE"""),1)</f>
        <v>1</v>
      </c>
      <c r="Y1771" s="5" t="str">
        <f ca="1">IFERROR(__xludf.DUMMYFUNCTION("""COMPUTED_VALUE"""),"Accidental shooting")</f>
        <v>Accidental shooting</v>
      </c>
      <c r="Z1771" s="5" t="str">
        <f ca="1">IFERROR(__xludf.DUMMYFUNCTION("""COMPUTED_VALUE"""),"Two 13 year-old males and one 14 year-old male were playing with a handgun in class when it accidentally discharged, striking a 14 year-old male student. All three youths were expected to be charged with illegal possession of handgun. Authorities also too"&amp;"k into custody another 12 year-old male and 14 year-old male for handling and concealing the weapon days before the shooting.")</f>
        <v>Two 13 year-old males and one 14 year-old male were playing with a handgun in class when it accidentally discharged, striking a 14 year-old male student. All three youths were expected to be charged with illegal possession of handgun. Authorities also took into custody another 12 year-old male and 14 year-old male for handling and concealing the weapon days before the shooting.</v>
      </c>
      <c r="AA1771" s="5" t="str">
        <f ca="1">IFERROR(__xludf.DUMMYFUNCTION("""COMPUTED_VALUE"""),"Accidental")</f>
        <v>Accidental</v>
      </c>
      <c r="AB1771" s="5" t="str">
        <f ca="1">IFERROR(__xludf.DUMMYFUNCTION("""COMPUTED_VALUE"""),"Random Shooting")</f>
        <v>Random Shooting</v>
      </c>
      <c r="AC1771" s="5" t="str">
        <f ca="1">IFERROR(__xludf.DUMMYFUNCTION("""COMPUTED_VALUE"""),"No")</f>
        <v>No</v>
      </c>
      <c r="AD1771" s="5" t="str">
        <f ca="1">IFERROR(__xludf.DUMMYFUNCTION("""COMPUTED_VALUE"""),"No")</f>
        <v>No</v>
      </c>
      <c r="AE1771" s="5"/>
      <c r="AF1771" s="5" t="str">
        <f ca="1">IFERROR(__xludf.DUMMYFUNCTION("""COMPUTED_VALUE"""),"No")</f>
        <v>No</v>
      </c>
      <c r="AG1771" s="5" t="str">
        <f ca="1">IFERROR(__xludf.DUMMYFUNCTION("""COMPUTED_VALUE"""),"No")</f>
        <v>No</v>
      </c>
      <c r="AH1771" s="5" t="str">
        <f ca="1">IFERROR(__xludf.DUMMYFUNCTION("""COMPUTED_VALUE"""),"No")</f>
        <v>No</v>
      </c>
      <c r="AI1771" s="5"/>
      <c r="AJ1771" s="5" t="str">
        <f ca="1">IFERROR(__xludf.DUMMYFUNCTION("""COMPUTED_VALUE"""),"No")</f>
        <v>No</v>
      </c>
    </row>
    <row r="1772" spans="1:36" ht="13">
      <c r="A1772" s="5" t="str">
        <f ca="1">IFERROR(__xludf.DUMMYFUNCTION("""COMPUTED_VALUE"""),"19940419DCELW")</f>
        <v>19940419DCELW</v>
      </c>
      <c r="B1772" s="5">
        <f ca="1">IFERROR(__xludf.DUMMYFUNCTION("""COMPUTED_VALUE"""),4)</f>
        <v>4</v>
      </c>
      <c r="C1772" s="5">
        <f ca="1">IFERROR(__xludf.DUMMYFUNCTION("""COMPUTED_VALUE"""),19)</f>
        <v>19</v>
      </c>
      <c r="D1772" s="5">
        <f ca="1">IFERROR(__xludf.DUMMYFUNCTION("""COMPUTED_VALUE"""),1994)</f>
        <v>1994</v>
      </c>
      <c r="E1772" s="8">
        <f ca="1">IFERROR(__xludf.DUMMYFUNCTION("""COMPUTED_VALUE"""),34443)</f>
        <v>34443</v>
      </c>
      <c r="F1772" s="5" t="str">
        <f ca="1">IFERROR(__xludf.DUMMYFUNCTION("""COMPUTED_VALUE"""),"Eliot Junior High School")</f>
        <v>Eliot Junior High School</v>
      </c>
      <c r="G1772" s="5">
        <f ca="1">IFERROR(__xludf.DUMMYFUNCTION("""COMPUTED_VALUE"""),1)</f>
        <v>1</v>
      </c>
      <c r="H1772" s="5">
        <f ca="1">IFERROR(__xludf.DUMMYFUNCTION("""COMPUTED_VALUE"""),0)</f>
        <v>0</v>
      </c>
      <c r="I1772" s="5">
        <f ca="1">IFERROR(__xludf.DUMMYFUNCTION("""COMPUTED_VALUE"""),1)</f>
        <v>1</v>
      </c>
      <c r="J1772" s="5">
        <f ca="1">IFERROR(__xludf.DUMMYFUNCTION("""COMPUTED_VALUE"""),0)</f>
        <v>0</v>
      </c>
      <c r="K1772" s="9" t="str">
        <f ca="1">IFERROR(__xludf.DUMMYFUNCTION("""COMPUTED_VALUE"""),"https://www.washingtonpost.com/archive/local/1994/04/20/man-found-slain-at-dc-school/64a705c4-ab7a-43d0-b027-dd0b21ec008b/?utm_term=.21348ca8fd4b")</f>
        <v>https://www.washingtonpost.com/archive/local/1994/04/20/man-found-slain-at-dc-school/64a705c4-ab7a-43d0-b027-dd0b21ec008b/?utm_term=.21348ca8fd4b</v>
      </c>
      <c r="L1772" s="5"/>
      <c r="M1772" s="5"/>
      <c r="N1772" s="5">
        <f ca="1">IFERROR(__xludf.DUMMYFUNCTION("""COMPUTED_VALUE"""),2)</f>
        <v>2</v>
      </c>
      <c r="O1772" s="5" t="str">
        <f ca="1">IFERROR(__xludf.DUMMYFUNCTION("""COMPUTED_VALUE"""),"Spring")</f>
        <v>Spring</v>
      </c>
      <c r="P1772" s="5" t="str">
        <f ca="1">IFERROR(__xludf.DUMMYFUNCTION("""COMPUTED_VALUE"""),"Washington")</f>
        <v>Washington</v>
      </c>
      <c r="Q1772" s="5" t="str">
        <f ca="1">IFERROR(__xludf.DUMMYFUNCTION("""COMPUTED_VALUE"""),"DC")</f>
        <v>DC</v>
      </c>
      <c r="R1772" s="5" t="str">
        <f ca="1">IFERROR(__xludf.DUMMYFUNCTION("""COMPUTED_VALUE"""),"High")</f>
        <v>High</v>
      </c>
      <c r="S1772" s="5" t="str">
        <f ca="1">IFERROR(__xludf.DUMMYFUNCTION("""COMPUTED_VALUE"""),"Front of School")</f>
        <v>Front of School</v>
      </c>
      <c r="T1772" s="5" t="str">
        <f ca="1">IFERROR(__xludf.DUMMYFUNCTION("""COMPUTED_VALUE"""),"Outside on School Property")</f>
        <v>Outside on School Property</v>
      </c>
      <c r="U1772" s="5" t="str">
        <f ca="1">IFERROR(__xludf.DUMMYFUNCTION("""COMPUTED_VALUE"""),"No")</f>
        <v>No</v>
      </c>
      <c r="V1772" s="5" t="str">
        <f ca="1">IFERROR(__xludf.DUMMYFUNCTION("""COMPUTED_VALUE"""),"Night")</f>
        <v>Night</v>
      </c>
      <c r="W1772" s="5"/>
      <c r="X1772" s="5">
        <f ca="1">IFERROR(__xludf.DUMMYFUNCTION("""COMPUTED_VALUE"""),1)</f>
        <v>1</v>
      </c>
      <c r="Y1772" s="5" t="str">
        <f ca="1">IFERROR(__xludf.DUMMYFUNCTION("""COMPUTED_VALUE"""),"Shot overnight, found dead on steps, no suspects")</f>
        <v>Shot overnight, found dead on steps, no suspects</v>
      </c>
      <c r="Z1772" s="5" t="str">
        <f ca="1">IFERROR(__xludf.DUMMYFUNCTION("""COMPUTED_VALUE"""),"A 21 year-old male was found dead at 0530 at the school steps from an overnight shooting. No suspect or motive.")</f>
        <v>A 21 year-old male was found dead at 0530 at the school steps from an overnight shooting. No suspect or motive.</v>
      </c>
      <c r="AA1772" s="5" t="str">
        <f ca="1">IFERROR(__xludf.DUMMYFUNCTION("""COMPUTED_VALUE"""),"Unknown")</f>
        <v>Unknown</v>
      </c>
      <c r="AB1772" s="5"/>
      <c r="AC1772" s="5" t="str">
        <f ca="1">IFERROR(__xludf.DUMMYFUNCTION("""COMPUTED_VALUE"""),"No")</f>
        <v>No</v>
      </c>
      <c r="AD1772" s="5" t="str">
        <f ca="1">IFERROR(__xludf.DUMMYFUNCTION("""COMPUTED_VALUE"""),"No")</f>
        <v>No</v>
      </c>
      <c r="AE1772" s="5" t="str">
        <f ca="1">IFERROR(__xludf.DUMMYFUNCTION("""COMPUTED_VALUE"""),"No")</f>
        <v>No</v>
      </c>
      <c r="AF1772" s="5" t="str">
        <f ca="1">IFERROR(__xludf.DUMMYFUNCTION("""COMPUTED_VALUE"""),"No")</f>
        <v>No</v>
      </c>
      <c r="AG1772" s="5" t="str">
        <f ca="1">IFERROR(__xludf.DUMMYFUNCTION("""COMPUTED_VALUE"""),"No")</f>
        <v>No</v>
      </c>
      <c r="AH1772" s="5" t="str">
        <f ca="1">IFERROR(__xludf.DUMMYFUNCTION("""COMPUTED_VALUE"""),"No")</f>
        <v>No</v>
      </c>
      <c r="AI1772" s="5"/>
      <c r="AJ1772" s="5"/>
    </row>
    <row r="1773" spans="1:36" ht="13">
      <c r="A1773" s="5" t="str">
        <f ca="1">IFERROR(__xludf.DUMMYFUNCTION("""COMPUTED_VALUE"""),"19940413CA49L")</f>
        <v>19940413CA49L</v>
      </c>
      <c r="B1773" s="5">
        <f ca="1">IFERROR(__xludf.DUMMYFUNCTION("""COMPUTED_VALUE"""),4)</f>
        <v>4</v>
      </c>
      <c r="C1773" s="5">
        <f ca="1">IFERROR(__xludf.DUMMYFUNCTION("""COMPUTED_VALUE"""),13)</f>
        <v>13</v>
      </c>
      <c r="D1773" s="5">
        <f ca="1">IFERROR(__xludf.DUMMYFUNCTION("""COMPUTED_VALUE"""),1994)</f>
        <v>1994</v>
      </c>
      <c r="E1773" s="8">
        <f ca="1">IFERROR(__xludf.DUMMYFUNCTION("""COMPUTED_VALUE"""),34437)</f>
        <v>34437</v>
      </c>
      <c r="F1773" s="5" t="str">
        <f ca="1">IFERROR(__xludf.DUMMYFUNCTION("""COMPUTED_VALUE"""),"49th Street Elementary School")</f>
        <v>49th Street Elementary School</v>
      </c>
      <c r="G1773" s="5">
        <f ca="1">IFERROR(__xludf.DUMMYFUNCTION("""COMPUTED_VALUE"""),0)</f>
        <v>0</v>
      </c>
      <c r="H1773" s="5">
        <f ca="1">IFERROR(__xludf.DUMMYFUNCTION("""COMPUTED_VALUE"""),0)</f>
        <v>0</v>
      </c>
      <c r="I1773" s="5">
        <f ca="1">IFERROR(__xludf.DUMMYFUNCTION("""COMPUTED_VALUE"""),0)</f>
        <v>0</v>
      </c>
      <c r="J1773" s="5">
        <f ca="1">IFERROR(__xludf.DUMMYFUNCTION("""COMPUTED_VALUE"""),1)</f>
        <v>1</v>
      </c>
      <c r="K1773" s="5" t="str">
        <f ca="1">IFERROR(__xludf.DUMMYFUNCTION("""COMPUTED_VALUE"""),"https://www.newspapers.com/image/159125452/?terms=Jorge%2BDavid%2BLicea https://www.latimes.com/archives/la-xpm-1994-04-14-me-45733-story.html")</f>
        <v>https://www.newspapers.com/image/159125452/?terms=Jorge%2BDavid%2BLicea https://www.latimes.com/archives/la-xpm-1994-04-14-me-45733-story.html</v>
      </c>
      <c r="L1773" s="5"/>
      <c r="M1773" s="5"/>
      <c r="N1773" s="5">
        <f ca="1">IFERROR(__xludf.DUMMYFUNCTION("""COMPUTED_VALUE"""),2)</f>
        <v>2</v>
      </c>
      <c r="O1773" s="5" t="str">
        <f ca="1">IFERROR(__xludf.DUMMYFUNCTION("""COMPUTED_VALUE"""),"Spring")</f>
        <v>Spring</v>
      </c>
      <c r="P1773" s="5" t="str">
        <f ca="1">IFERROR(__xludf.DUMMYFUNCTION("""COMPUTED_VALUE"""),"Los Angeles")</f>
        <v>Los Angeles</v>
      </c>
      <c r="Q1773" s="5" t="str">
        <f ca="1">IFERROR(__xludf.DUMMYFUNCTION("""COMPUTED_VALUE"""),"CA")</f>
        <v>CA</v>
      </c>
      <c r="R1773" s="5" t="str">
        <f ca="1">IFERROR(__xludf.DUMMYFUNCTION("""COMPUTED_VALUE"""),"Elementary")</f>
        <v>Elementary</v>
      </c>
      <c r="S1773" s="5" t="str">
        <f ca="1">IFERROR(__xludf.DUMMYFUNCTION("""COMPUTED_VALUE"""),"Front of School")</f>
        <v>Front of School</v>
      </c>
      <c r="T1773" s="5" t="str">
        <f ca="1">IFERROR(__xludf.DUMMYFUNCTION("""COMPUTED_VALUE"""),"Outside on School Property")</f>
        <v>Outside on School Property</v>
      </c>
      <c r="U1773" s="5" t="str">
        <f ca="1">IFERROR(__xludf.DUMMYFUNCTION("""COMPUTED_VALUE"""),"Yes")</f>
        <v>Yes</v>
      </c>
      <c r="V1773" s="5" t="str">
        <f ca="1">IFERROR(__xludf.DUMMYFUNCTION("""COMPUTED_VALUE"""),"Before School")</f>
        <v>Before School</v>
      </c>
      <c r="W1773" s="5"/>
      <c r="X1773" s="5">
        <f ca="1">IFERROR(__xludf.DUMMYFUNCTION("""COMPUTED_VALUE"""),1)</f>
        <v>1</v>
      </c>
      <c r="Y1773" s="5" t="str">
        <f ca="1">IFERROR(__xludf.DUMMYFUNCTION("""COMPUTED_VALUE"""),"Commit suicide at school, upset about disciplinary problems")</f>
        <v>Commit suicide at school, upset about disciplinary problems</v>
      </c>
      <c r="Z1773" s="5" t="str">
        <f ca="1">IFERROR(__xludf.DUMMYFUNCTION("""COMPUTED_VALUE"""),"A 10 year-old male student was crying in front of the school 20 minutes before class begun and shot himself in head with a .380 handgun. Shooter had been having disciplinary problems (5 recent notes from teacher for bad behavior, asking the parents to com"&amp;"e in for discussion) and was suspended the day before. He died the following day.")</f>
        <v>A 10 year-old male student was crying in front of the school 20 minutes before class begun and shot himself in head with a .380 handgun. Shooter had been having disciplinary problems (5 recent notes from teacher for bad behavior, asking the parents to come in for discussion) and was suspended the day before. He died the following day.</v>
      </c>
      <c r="AA1773" s="5" t="str">
        <f ca="1">IFERROR(__xludf.DUMMYFUNCTION("""COMPUTED_VALUE"""),"Suicide/Attempted")</f>
        <v>Suicide/Attempted</v>
      </c>
      <c r="AB1773" s="5" t="str">
        <f ca="1">IFERROR(__xludf.DUMMYFUNCTION("""COMPUTED_VALUE"""),"Victims Targeted")</f>
        <v>Victims Targeted</v>
      </c>
      <c r="AC1773" s="5" t="str">
        <f ca="1">IFERROR(__xludf.DUMMYFUNCTION("""COMPUTED_VALUE"""),"No")</f>
        <v>No</v>
      </c>
      <c r="AD1773" s="5" t="str">
        <f ca="1">IFERROR(__xludf.DUMMYFUNCTION("""COMPUTED_VALUE"""),"No")</f>
        <v>No</v>
      </c>
      <c r="AE1773" s="5" t="str">
        <f ca="1">IFERROR(__xludf.DUMMYFUNCTION("""COMPUTED_VALUE"""),"No")</f>
        <v>No</v>
      </c>
      <c r="AF1773" s="5" t="str">
        <f ca="1">IFERROR(__xludf.DUMMYFUNCTION("""COMPUTED_VALUE"""),"No")</f>
        <v>No</v>
      </c>
      <c r="AG1773" s="5" t="str">
        <f ca="1">IFERROR(__xludf.DUMMYFUNCTION("""COMPUTED_VALUE"""),"No")</f>
        <v>No</v>
      </c>
      <c r="AH1773" s="5" t="str">
        <f ca="1">IFERROR(__xludf.DUMMYFUNCTION("""COMPUTED_VALUE"""),"No")</f>
        <v>No</v>
      </c>
      <c r="AI1773" s="5" t="str">
        <f ca="1">IFERROR(__xludf.DUMMYFUNCTION("""COMPUTED_VALUE"""),"No")</f>
        <v>No</v>
      </c>
      <c r="AJ1773" s="5"/>
    </row>
    <row r="1774" spans="1:36" ht="13">
      <c r="A1774" s="5" t="str">
        <f ca="1">IFERROR(__xludf.DUMMYFUNCTION("""COMPUTED_VALUE"""),"19940412MTMAB")</f>
        <v>19940412MTMAB</v>
      </c>
      <c r="B1774" s="5">
        <f ca="1">IFERROR(__xludf.DUMMYFUNCTION("""COMPUTED_VALUE"""),4)</f>
        <v>4</v>
      </c>
      <c r="C1774" s="5">
        <f ca="1">IFERROR(__xludf.DUMMYFUNCTION("""COMPUTED_VALUE"""),12)</f>
        <v>12</v>
      </c>
      <c r="D1774" s="5">
        <f ca="1">IFERROR(__xludf.DUMMYFUNCTION("""COMPUTED_VALUE"""),1994)</f>
        <v>1994</v>
      </c>
      <c r="E1774" s="8">
        <f ca="1">IFERROR(__xludf.DUMMYFUNCTION("""COMPUTED_VALUE"""),34436)</f>
        <v>34436</v>
      </c>
      <c r="F1774" s="5" t="str">
        <f ca="1">IFERROR(__xludf.DUMMYFUNCTION("""COMPUTED_VALUE"""),"Margaret Leary Elementary School")</f>
        <v>Margaret Leary Elementary School</v>
      </c>
      <c r="G1774" s="5">
        <f ca="1">IFERROR(__xludf.DUMMYFUNCTION("""COMPUTED_VALUE"""),1)</f>
        <v>1</v>
      </c>
      <c r="H1774" s="5">
        <f ca="1">IFERROR(__xludf.DUMMYFUNCTION("""COMPUTED_VALUE"""),0)</f>
        <v>0</v>
      </c>
      <c r="I1774" s="5">
        <f ca="1">IFERROR(__xludf.DUMMYFUNCTION("""COMPUTED_VALUE"""),1)</f>
        <v>1</v>
      </c>
      <c r="J1774" s="5">
        <f ca="1">IFERROR(__xludf.DUMMYFUNCTION("""COMPUTED_VALUE"""),0)</f>
        <v>0</v>
      </c>
      <c r="K1774" s="5" t="str">
        <f ca="1">IFERROR(__xludf.DUMMYFUNCTION("""COMPUTED_VALUE"""),"http://billingsgazette.com/news/state-and-regional/montana/help-changed-life-for-young-killer-college-ahead-for-schoolyard/article_5e88e8d0-4d6d-579e-9f12-e357d43a7583.html  https://www.newspapers.com/image/351235895/?terms=james%2Bosmanson   https://www."&amp;"upi.com/Archives/1994/04/13/Child-shot-by-playmate-on-Montana-school-ground-dies/8061766209600/    https://www.newspapers.com/image/351359787/?terms=jeremy%2Bbullock https://mtstandard.com/news/local/years-after-elementary-school-shooting-butte-hosts-scho"&amp;"ol-safety-summit/article_f45262ab-2749-51dc-a908-81fe4503d14c.html")</f>
        <v>http://billingsgazette.com/news/state-and-regional/montana/help-changed-life-for-young-killer-college-ahead-for-schoolyard/article_5e88e8d0-4d6d-579e-9f12-e357d43a7583.html  https://www.newspapers.com/image/351235895/?terms=james%2Bosmanson   https://www.upi.com/Archives/1994/04/13/Child-shot-by-playmate-on-Montana-school-ground-dies/8061766209600/    https://www.newspapers.com/image/351359787/?terms=jeremy%2Bbullock https://mtstandard.com/news/local/years-after-elementary-school-shooting-butte-hosts-school-safety-summit/article_f45262ab-2749-51dc-a908-81fe4503d14c.html</v>
      </c>
      <c r="L1774" s="5"/>
      <c r="M1774" s="5"/>
      <c r="N1774" s="5">
        <f ca="1">IFERROR(__xludf.DUMMYFUNCTION("""COMPUTED_VALUE"""),4)</f>
        <v>4</v>
      </c>
      <c r="O1774" s="5" t="str">
        <f ca="1">IFERROR(__xludf.DUMMYFUNCTION("""COMPUTED_VALUE"""),"Spring")</f>
        <v>Spring</v>
      </c>
      <c r="P1774" s="5" t="str">
        <f ca="1">IFERROR(__xludf.DUMMYFUNCTION("""COMPUTED_VALUE"""),"Butte")</f>
        <v>Butte</v>
      </c>
      <c r="Q1774" s="5" t="str">
        <f ca="1">IFERROR(__xludf.DUMMYFUNCTION("""COMPUTED_VALUE"""),"MT")</f>
        <v>MT</v>
      </c>
      <c r="R1774" s="5" t="str">
        <f ca="1">IFERROR(__xludf.DUMMYFUNCTION("""COMPUTED_VALUE"""),"Elementary")</f>
        <v>Elementary</v>
      </c>
      <c r="S1774" s="5" t="str">
        <f ca="1">IFERROR(__xludf.DUMMYFUNCTION("""COMPUTED_VALUE"""),"Playground")</f>
        <v>Playground</v>
      </c>
      <c r="T1774" s="5" t="str">
        <f ca="1">IFERROR(__xludf.DUMMYFUNCTION("""COMPUTED_VALUE"""),"Outside on School Property")</f>
        <v>Outside on School Property</v>
      </c>
      <c r="U1774" s="5" t="str">
        <f ca="1">IFERROR(__xludf.DUMMYFUNCTION("""COMPUTED_VALUE"""),"Yes")</f>
        <v>Yes</v>
      </c>
      <c r="V1774" s="5" t="str">
        <f ca="1">IFERROR(__xludf.DUMMYFUNCTION("""COMPUTED_VALUE"""),"Before School")</f>
        <v>Before School</v>
      </c>
      <c r="W1774" s="5"/>
      <c r="X1774" s="5">
        <f ca="1">IFERROR(__xludf.DUMMYFUNCTION("""COMPUTED_VALUE"""),1)</f>
        <v>1</v>
      </c>
      <c r="Y1774" s="5" t="str">
        <f ca="1">IFERROR(__xludf.DUMMYFUNCTION("""COMPUTED_VALUE"""),"Shot at bully, missed and struck other student")</f>
        <v>Shot at bully, missed and struck other student</v>
      </c>
      <c r="Z1774" s="5" t="str">
        <f ca="1">IFERROR(__xludf.DUMMYFUNCTION("""COMPUTED_VALUE"""),"A 10 year-old male student was being bullied because his parents have AIDS. The shooter shot a .22 handgun towards the bully on the playground and fired three shots, all missed the intended target. One shot fatally struck an 11 year-old student. The shoot"&amp;"er had been through extreme stress with abuse at home, his brother committing suicide, and his stepfather's murder. The judge ordered the shooter to attend a mental health treatment in juvenile detention facility, but his diagnosis was unknown. Released a"&amp;"nd attended college. The school system created an anti-bullying program in response.")</f>
        <v>A 10 year-old male student was being bullied because his parents have AIDS. The shooter shot a .22 handgun towards the bully on the playground and fired three shots, all missed the intended target. One shot fatally struck an 11 year-old student. The shooter had been through extreme stress with abuse at home, his brother committing suicide, and his stepfather's murder. The judge ordered the shooter to attend a mental health treatment in juvenile detention facility, but his diagnosis was unknown. Released and attended college. The school system created an anti-bullying program in response.</v>
      </c>
      <c r="AA1774" s="5" t="str">
        <f ca="1">IFERROR(__xludf.DUMMYFUNCTION("""COMPUTED_VALUE"""),"Bullying")</f>
        <v>Bullying</v>
      </c>
      <c r="AB1774" s="5" t="str">
        <f ca="1">IFERROR(__xludf.DUMMYFUNCTION("""COMPUTED_VALUE"""),"Random Shooting")</f>
        <v>Random Shooting</v>
      </c>
      <c r="AC1774" s="5" t="str">
        <f ca="1">IFERROR(__xludf.DUMMYFUNCTION("""COMPUTED_VALUE"""),"No")</f>
        <v>No</v>
      </c>
      <c r="AD1774" s="5" t="str">
        <f ca="1">IFERROR(__xludf.DUMMYFUNCTION("""COMPUTED_VALUE"""),"No")</f>
        <v>No</v>
      </c>
      <c r="AE1774" s="5" t="str">
        <f ca="1">IFERROR(__xludf.DUMMYFUNCTION("""COMPUTED_VALUE"""),"No")</f>
        <v>No</v>
      </c>
      <c r="AF1774" s="5" t="str">
        <f ca="1">IFERROR(__xludf.DUMMYFUNCTION("""COMPUTED_VALUE"""),"No")</f>
        <v>No</v>
      </c>
      <c r="AG1774" s="5" t="str">
        <f ca="1">IFERROR(__xludf.DUMMYFUNCTION("""COMPUTED_VALUE"""),"Yes")</f>
        <v>Yes</v>
      </c>
      <c r="AH1774" s="5" t="str">
        <f ca="1">IFERROR(__xludf.DUMMYFUNCTION("""COMPUTED_VALUE"""),"No")</f>
        <v>No</v>
      </c>
      <c r="AI1774" s="5" t="str">
        <f ca="1">IFERROR(__xludf.DUMMYFUNCTION("""COMPUTED_VALUE"""),"No")</f>
        <v>No</v>
      </c>
      <c r="AJ1774" s="5" t="str">
        <f ca="1">IFERROR(__xludf.DUMMYFUNCTION("""COMPUTED_VALUE"""),"No")</f>
        <v>No</v>
      </c>
    </row>
    <row r="1775" spans="1:36" ht="13">
      <c r="A1775" s="5" t="str">
        <f ca="1">IFERROR(__xludf.DUMMYFUNCTION("""COMPUTED_VALUE"""),"19940408MDLAU")</f>
        <v>19940408MDLAU</v>
      </c>
      <c r="B1775" s="5">
        <f ca="1">IFERROR(__xludf.DUMMYFUNCTION("""COMPUTED_VALUE"""),4)</f>
        <v>4</v>
      </c>
      <c r="C1775" s="5">
        <f ca="1">IFERROR(__xludf.DUMMYFUNCTION("""COMPUTED_VALUE"""),8)</f>
        <v>8</v>
      </c>
      <c r="D1775" s="5">
        <f ca="1">IFERROR(__xludf.DUMMYFUNCTION("""COMPUTED_VALUE"""),1994)</f>
        <v>1994</v>
      </c>
      <c r="E1775" s="8">
        <f ca="1">IFERROR(__xludf.DUMMYFUNCTION("""COMPUTED_VALUE"""),34432)</f>
        <v>34432</v>
      </c>
      <c r="F1775" s="5" t="str">
        <f ca="1">IFERROR(__xludf.DUMMYFUNCTION("""COMPUTED_VALUE"""),"Largo High School")</f>
        <v>Largo High School</v>
      </c>
      <c r="G1775" s="5">
        <f ca="1">IFERROR(__xludf.DUMMYFUNCTION("""COMPUTED_VALUE"""),0)</f>
        <v>0</v>
      </c>
      <c r="H1775" s="5">
        <f ca="1">IFERROR(__xludf.DUMMYFUNCTION("""COMPUTED_VALUE"""),1)</f>
        <v>1</v>
      </c>
      <c r="I1775" s="5">
        <f ca="1">IFERROR(__xludf.DUMMYFUNCTION("""COMPUTED_VALUE"""),1)</f>
        <v>1</v>
      </c>
      <c r="J1775" s="5">
        <f ca="1">IFERROR(__xludf.DUMMYFUNCTION("""COMPUTED_VALUE"""),0)</f>
        <v>0</v>
      </c>
      <c r="K1775" s="5" t="str">
        <f ca="1">IFERROR(__xludf.DUMMYFUNCTION("""COMPUTED_VALUE"""),"https://www.washingtonpost.com/archive/politics/1994/04/09/pg-teacher-is-shot/d414ee9d-da1c-47c3-93c2-41a29a9fe9ca/ https://www.columbine-angels.com/School_Violence_1993-1994.htm")</f>
        <v>https://www.washingtonpost.com/archive/politics/1994/04/09/pg-teacher-is-shot/d414ee9d-da1c-47c3-93c2-41a29a9fe9ca/ https://www.columbine-angels.com/School_Violence_1993-1994.htm</v>
      </c>
      <c r="L1775" s="5"/>
      <c r="M1775" s="5"/>
      <c r="N1775" s="5">
        <f ca="1">IFERROR(__xludf.DUMMYFUNCTION("""COMPUTED_VALUE"""),1)</f>
        <v>1</v>
      </c>
      <c r="O1775" s="5" t="str">
        <f ca="1">IFERROR(__xludf.DUMMYFUNCTION("""COMPUTED_VALUE"""),"Spring")</f>
        <v>Spring</v>
      </c>
      <c r="P1775" s="5" t="str">
        <f ca="1">IFERROR(__xludf.DUMMYFUNCTION("""COMPUTED_VALUE"""),"Upper Marlboro")</f>
        <v>Upper Marlboro</v>
      </c>
      <c r="Q1775" s="5" t="str">
        <f ca="1">IFERROR(__xludf.DUMMYFUNCTION("""COMPUTED_VALUE"""),"MD")</f>
        <v>MD</v>
      </c>
      <c r="R1775" s="5" t="str">
        <f ca="1">IFERROR(__xludf.DUMMYFUNCTION("""COMPUTED_VALUE"""),"High")</f>
        <v>High</v>
      </c>
      <c r="S1775" s="5" t="str">
        <f ca="1">IFERROR(__xludf.DUMMYFUNCTION("""COMPUTED_VALUE"""),"Bathroom")</f>
        <v>Bathroom</v>
      </c>
      <c r="T1775" s="5" t="str">
        <f ca="1">IFERROR(__xludf.DUMMYFUNCTION("""COMPUTED_VALUE"""),"Inside School Building")</f>
        <v>Inside School Building</v>
      </c>
      <c r="U1775" s="5" t="str">
        <f ca="1">IFERROR(__xludf.DUMMYFUNCTION("""COMPUTED_VALUE"""),"Yes")</f>
        <v>Yes</v>
      </c>
      <c r="V1775" s="5" t="str">
        <f ca="1">IFERROR(__xludf.DUMMYFUNCTION("""COMPUTED_VALUE"""),"Morning Classes")</f>
        <v>Morning Classes</v>
      </c>
      <c r="W1775" s="10">
        <f ca="1">IFERROR(__xludf.DUMMYFUNCTION("""COMPUTED_VALUE"""),0.375)</f>
        <v>0.375</v>
      </c>
      <c r="X1775" s="5">
        <f ca="1">IFERROR(__xludf.DUMMYFUNCTION("""COMPUTED_VALUE"""),1)</f>
        <v>1</v>
      </c>
      <c r="Y1775" s="5" t="str">
        <f ca="1">IFERROR(__xludf.DUMMYFUNCTION("""COMPUTED_VALUE"""),"Teacher asked student to give him the gun in the bathroom, where student shot the teacher in the chest.")</f>
        <v>Teacher asked student to give him the gun in the bathroom, where student shot the teacher in the chest.</v>
      </c>
      <c r="Z1775" s="5" t="str">
        <f ca="1">IFERROR(__xludf.DUMMYFUNCTION("""COMPUTED_VALUE"""),"A 45 year-old male teacher walked into the bathroom and found 6 boys with a gun. One of the students, a 17 year-old male, was trying to sell a gun he stole from his father, a police officer. The teacher told him to give him the gun and the student shot th"&amp;"e teacher in the chest. The shooter fled the scene to a friends house. Several hours later, he returned to the school and was arrested. The teacher was in critical condition but survived. The gun was recovered in a wooded area.")</f>
        <v>A 45 year-old male teacher walked into the bathroom and found 6 boys with a gun. One of the students, a 17 year-old male, was trying to sell a gun he stole from his father, a police officer. The teacher told him to give him the gun and the student shot the teacher in the chest. The shooter fled the scene to a friends house. Several hours later, he returned to the school and was arrested. The teacher was in critical condition but survived. The gun was recovered in a wooded area.</v>
      </c>
      <c r="AA1775" s="5" t="str">
        <f ca="1">IFERROR(__xludf.DUMMYFUNCTION("""COMPUTED_VALUE"""),"Indiscriminate Shooting")</f>
        <v>Indiscriminate Shooting</v>
      </c>
      <c r="AB1775" s="5" t="str">
        <f ca="1">IFERROR(__xludf.DUMMYFUNCTION("""COMPUTED_VALUE"""),"Random Shooting")</f>
        <v>Random Shooting</v>
      </c>
      <c r="AC1775" s="5" t="str">
        <f ca="1">IFERROR(__xludf.DUMMYFUNCTION("""COMPUTED_VALUE"""),"No")</f>
        <v>No</v>
      </c>
      <c r="AD1775" s="5" t="str">
        <f ca="1">IFERROR(__xludf.DUMMYFUNCTION("""COMPUTED_VALUE"""),"No")</f>
        <v>No</v>
      </c>
      <c r="AE1775" s="5" t="str">
        <f ca="1">IFERROR(__xludf.DUMMYFUNCTION("""COMPUTED_VALUE"""),"No")</f>
        <v>No</v>
      </c>
      <c r="AF1775" s="5" t="str">
        <f ca="1">IFERROR(__xludf.DUMMYFUNCTION("""COMPUTED_VALUE"""),"No")</f>
        <v>No</v>
      </c>
      <c r="AG1775" s="5" t="str">
        <f ca="1">IFERROR(__xludf.DUMMYFUNCTION("""COMPUTED_VALUE"""),"No")</f>
        <v>No</v>
      </c>
      <c r="AH1775" s="5" t="str">
        <f ca="1">IFERROR(__xludf.DUMMYFUNCTION("""COMPUTED_VALUE"""),"No")</f>
        <v>No</v>
      </c>
      <c r="AI1775" s="5" t="str">
        <f ca="1">IFERROR(__xludf.DUMMYFUNCTION("""COMPUTED_VALUE"""),"No")</f>
        <v>No</v>
      </c>
      <c r="AJ1775" s="5"/>
    </row>
    <row r="1776" spans="1:36" ht="13">
      <c r="A1776" s="5" t="str">
        <f ca="1">IFERROR(__xludf.DUMMYFUNCTION("""COMPUTED_VALUE"""),"19940405TXMCA")</f>
        <v>19940405TXMCA</v>
      </c>
      <c r="B1776" s="5">
        <f ca="1">IFERROR(__xludf.DUMMYFUNCTION("""COMPUTED_VALUE"""),4)</f>
        <v>4</v>
      </c>
      <c r="C1776" s="5">
        <f ca="1">IFERROR(__xludf.DUMMYFUNCTION("""COMPUTED_VALUE"""),5)</f>
        <v>5</v>
      </c>
      <c r="D1776" s="5">
        <f ca="1">IFERROR(__xludf.DUMMYFUNCTION("""COMPUTED_VALUE"""),1994)</f>
        <v>1994</v>
      </c>
      <c r="E1776" s="8">
        <f ca="1">IFERROR(__xludf.DUMMYFUNCTION("""COMPUTED_VALUE"""),34429)</f>
        <v>34429</v>
      </c>
      <c r="F1776" s="5" t="str">
        <f ca="1">IFERROR(__xludf.DUMMYFUNCTION("""COMPUTED_VALUE"""),"McNeil High School")</f>
        <v>McNeil High School</v>
      </c>
      <c r="G1776" s="5">
        <f ca="1">IFERROR(__xludf.DUMMYFUNCTION("""COMPUTED_VALUE"""),0)</f>
        <v>0</v>
      </c>
      <c r="H1776" s="5">
        <f ca="1">IFERROR(__xludf.DUMMYFUNCTION("""COMPUTED_VALUE"""),2)</f>
        <v>2</v>
      </c>
      <c r="I1776" s="5">
        <f ca="1">IFERROR(__xludf.DUMMYFUNCTION("""COMPUTED_VALUE"""),2)</f>
        <v>2</v>
      </c>
      <c r="J1776" s="5">
        <f ca="1">IFERROR(__xludf.DUMMYFUNCTION("""COMPUTED_VALUE"""),0)</f>
        <v>0</v>
      </c>
      <c r="K1776" s="5" t="str">
        <f ca="1">IFERROR(__xludf.DUMMYFUNCTION("""COMPUTED_VALUE"""),"https://www.newspapers.com/image/366497672/?terms=McNeil%2BHigh%2BSchool%2Bshooting http://www.columbine-angels.com/School_Violence_1993-1994.htm")</f>
        <v>https://www.newspapers.com/image/366497672/?terms=McNeil%2BHigh%2BSchool%2Bshooting http://www.columbine-angels.com/School_Violence_1993-1994.htm</v>
      </c>
      <c r="L1776" s="5"/>
      <c r="M1776" s="5"/>
      <c r="N1776" s="5">
        <f ca="1">IFERROR(__xludf.DUMMYFUNCTION("""COMPUTED_VALUE"""),2)</f>
        <v>2</v>
      </c>
      <c r="O1776" s="5" t="str">
        <f ca="1">IFERROR(__xludf.DUMMYFUNCTION("""COMPUTED_VALUE"""),"Spring")</f>
        <v>Spring</v>
      </c>
      <c r="P1776" s="5" t="str">
        <f ca="1">IFERROR(__xludf.DUMMYFUNCTION("""COMPUTED_VALUE"""),"Austin")</f>
        <v>Austin</v>
      </c>
      <c r="Q1776" s="5" t="str">
        <f ca="1">IFERROR(__xludf.DUMMYFUNCTION("""COMPUTED_VALUE"""),"TX")</f>
        <v>TX</v>
      </c>
      <c r="R1776" s="5" t="str">
        <f ca="1">IFERROR(__xludf.DUMMYFUNCTION("""COMPUTED_VALUE"""),"High")</f>
        <v>High</v>
      </c>
      <c r="S1776" s="5" t="str">
        <f ca="1">IFERROR(__xludf.DUMMYFUNCTION("""COMPUTED_VALUE"""),"Classroom")</f>
        <v>Classroom</v>
      </c>
      <c r="T1776" s="5" t="str">
        <f ca="1">IFERROR(__xludf.DUMMYFUNCTION("""COMPUTED_VALUE"""),"Inside School Building")</f>
        <v>Inside School Building</v>
      </c>
      <c r="U1776" s="5" t="str">
        <f ca="1">IFERROR(__xludf.DUMMYFUNCTION("""COMPUTED_VALUE"""),"Yes")</f>
        <v>Yes</v>
      </c>
      <c r="V1776" s="5"/>
      <c r="W1776" s="5"/>
      <c r="X1776" s="5">
        <f ca="1">IFERROR(__xludf.DUMMYFUNCTION("""COMPUTED_VALUE"""),1)</f>
        <v>1</v>
      </c>
      <c r="Y1776" s="5" t="str">
        <f ca="1">IFERROR(__xludf.DUMMYFUNCTION("""COMPUTED_VALUE"""),"Accidental discharge in backpack, owner had prior charges of theft/burglary.")</f>
        <v>Accidental discharge in backpack, owner had prior charges of theft/burglary.</v>
      </c>
      <c r="Z1776" s="5" t="str">
        <f ca="1">IFERROR(__xludf.DUMMYFUNCTION("""COMPUTED_VALUE"""),"Three 16 year-old males students were involved in robberies and selling stolen items. One had a stolen gun in his backpack and brought it to school. During biology class, he was showing off the gun to another student. As he placed it back in his backpack "&amp;"it discharged, sending the bullet through wall and struck two female students who were learning CPR. School has metal detectors.")</f>
        <v>Three 16 year-old males students were involved in robberies and selling stolen items. One had a stolen gun in his backpack and brought it to school. During biology class, he was showing off the gun to another student. As he placed it back in his backpack it discharged, sending the bullet through wall and struck two female students who were learning CPR. School has metal detectors.</v>
      </c>
      <c r="AA1776" s="5" t="str">
        <f ca="1">IFERROR(__xludf.DUMMYFUNCTION("""COMPUTED_VALUE"""),"Accidental")</f>
        <v>Accidental</v>
      </c>
      <c r="AB1776" s="5" t="str">
        <f ca="1">IFERROR(__xludf.DUMMYFUNCTION("""COMPUTED_VALUE"""),"Random Shooting")</f>
        <v>Random Shooting</v>
      </c>
      <c r="AC1776" s="5" t="str">
        <f ca="1">IFERROR(__xludf.DUMMYFUNCTION("""COMPUTED_VALUE"""),"Yes")</f>
        <v>Yes</v>
      </c>
      <c r="AD1776" s="5" t="str">
        <f ca="1">IFERROR(__xludf.DUMMYFUNCTION("""COMPUTED_VALUE"""),"No")</f>
        <v>No</v>
      </c>
      <c r="AE1776" s="5" t="str">
        <f ca="1">IFERROR(__xludf.DUMMYFUNCTION("""COMPUTED_VALUE"""),"No")</f>
        <v>No</v>
      </c>
      <c r="AF1776" s="5" t="str">
        <f ca="1">IFERROR(__xludf.DUMMYFUNCTION("""COMPUTED_VALUE"""),"No")</f>
        <v>No</v>
      </c>
      <c r="AG1776" s="5" t="str">
        <f ca="1">IFERROR(__xludf.DUMMYFUNCTION("""COMPUTED_VALUE"""),"No")</f>
        <v>No</v>
      </c>
      <c r="AH1776" s="5" t="str">
        <f ca="1">IFERROR(__xludf.DUMMYFUNCTION("""COMPUTED_VALUE"""),"No")</f>
        <v>No</v>
      </c>
      <c r="AI1776" s="5" t="str">
        <f ca="1">IFERROR(__xludf.DUMMYFUNCTION("""COMPUTED_VALUE"""),"No")</f>
        <v>No</v>
      </c>
      <c r="AJ1776" s="5"/>
    </row>
    <row r="1777" spans="1:36" ht="13">
      <c r="A1777" s="5" t="str">
        <f ca="1">IFERROR(__xludf.DUMMYFUNCTION("""COMPUTED_VALUE"""),"19940325GAETC")</f>
        <v>19940325GAETC</v>
      </c>
      <c r="B1777" s="5">
        <f ca="1">IFERROR(__xludf.DUMMYFUNCTION("""COMPUTED_VALUE"""),3)</f>
        <v>3</v>
      </c>
      <c r="C1777" s="5">
        <f ca="1">IFERROR(__xludf.DUMMYFUNCTION("""COMPUTED_VALUE"""),25)</f>
        <v>25</v>
      </c>
      <c r="D1777" s="5">
        <f ca="1">IFERROR(__xludf.DUMMYFUNCTION("""COMPUTED_VALUE"""),1994)</f>
        <v>1994</v>
      </c>
      <c r="E1777" s="8">
        <f ca="1">IFERROR(__xludf.DUMMYFUNCTION("""COMPUTED_VALUE"""),34418)</f>
        <v>34418</v>
      </c>
      <c r="F1777" s="5" t="str">
        <f ca="1">IFERROR(__xludf.DUMMYFUNCTION("""COMPUTED_VALUE"""),"Etowah High School")</f>
        <v>Etowah High School</v>
      </c>
      <c r="G1777" s="5">
        <f ca="1">IFERROR(__xludf.DUMMYFUNCTION("""COMPUTED_VALUE"""),0)</f>
        <v>0</v>
      </c>
      <c r="H1777" s="5">
        <f ca="1">IFERROR(__xludf.DUMMYFUNCTION("""COMPUTED_VALUE"""),0)</f>
        <v>0</v>
      </c>
      <c r="I1777" s="5">
        <f ca="1">IFERROR(__xludf.DUMMYFUNCTION("""COMPUTED_VALUE"""),0)</f>
        <v>0</v>
      </c>
      <c r="J1777" s="5">
        <f ca="1">IFERROR(__xludf.DUMMYFUNCTION("""COMPUTED_VALUE"""),1)</f>
        <v>1</v>
      </c>
      <c r="K1777" s="5" t="str">
        <f ca="1">IFERROR(__xludf.DUMMYFUNCTION("""COMPUTED_VALUE"""),"https://books.google.com/books?id=EPwmTueA1m0C&amp;pg=PA266&amp;lpg=PA266&amp;dq=ETOWAH+HIGH+SCHOOL+SHOOTING+SUICIDE+1994+brian+head&amp;source=bl&amp;ots=nT5m2L1V8c&amp;sig=A2vvk_lF_40imAbfip3dhCsWfZY&amp;hl=en&amp;sa=X&amp;ved=0ahUKEwivg4jQ_-LbAhXK7YMKHchBAgQQ6AEIZDAI#v=onepage&amp;q=ETOWAH%2"&amp;"0HIGH%20SCHOOL%20SHOOTING%20SUICIDE%201994%20brian%20head&amp;f=false https://apnews.com/4c12287366bc557541ca4191150b24a5")</f>
        <v>https://books.google.com/books?id=EPwmTueA1m0C&amp;pg=PA266&amp;lpg=PA266&amp;dq=ETOWAH+HIGH+SCHOOL+SHOOTING+SUICIDE+1994+brian+head&amp;source=bl&amp;ots=nT5m2L1V8c&amp;sig=A2vvk_lF_40imAbfip3dhCsWfZY&amp;hl=en&amp;sa=X&amp;ved=0ahUKEwivg4jQ_-LbAhXK7YMKHchBAgQQ6AEIZDAI#v=onepage&amp;q=ETOWAH%20HIGH%20SCHOOL%20SHOOTING%20SUICIDE%201994%20brian%20head&amp;f=false https://apnews.com/4c12287366bc557541ca4191150b24a5</v>
      </c>
      <c r="L1777" s="5"/>
      <c r="M1777" s="5"/>
      <c r="N1777" s="5">
        <f ca="1">IFERROR(__xludf.DUMMYFUNCTION("""COMPUTED_VALUE"""),1)</f>
        <v>1</v>
      </c>
      <c r="O1777" s="5" t="str">
        <f ca="1">IFERROR(__xludf.DUMMYFUNCTION("""COMPUTED_VALUE"""),"Spring")</f>
        <v>Spring</v>
      </c>
      <c r="P1777" s="5" t="str">
        <f ca="1">IFERROR(__xludf.DUMMYFUNCTION("""COMPUTED_VALUE"""),"Cherokee County")</f>
        <v>Cherokee County</v>
      </c>
      <c r="Q1777" s="5" t="str">
        <f ca="1">IFERROR(__xludf.DUMMYFUNCTION("""COMPUTED_VALUE"""),"GA")</f>
        <v>GA</v>
      </c>
      <c r="R1777" s="5" t="str">
        <f ca="1">IFERROR(__xludf.DUMMYFUNCTION("""COMPUTED_VALUE"""),"High")</f>
        <v>High</v>
      </c>
      <c r="S1777" s="5" t="str">
        <f ca="1">IFERROR(__xludf.DUMMYFUNCTION("""COMPUTED_VALUE"""),"Classroom")</f>
        <v>Classroom</v>
      </c>
      <c r="T1777" s="5" t="str">
        <f ca="1">IFERROR(__xludf.DUMMYFUNCTION("""COMPUTED_VALUE"""),"Inside School Building")</f>
        <v>Inside School Building</v>
      </c>
      <c r="U1777" s="5" t="str">
        <f ca="1">IFERROR(__xludf.DUMMYFUNCTION("""COMPUTED_VALUE"""),"Yes")</f>
        <v>Yes</v>
      </c>
      <c r="V1777" s="5"/>
      <c r="W1777" s="5"/>
      <c r="X1777" s="5"/>
      <c r="Y1777" s="5" t="str">
        <f ca="1">IFERROR(__xludf.DUMMYFUNCTION("""COMPUTED_VALUE"""),"Suicide in classroom after being bullied")</f>
        <v>Suicide in classroom after being bullied</v>
      </c>
      <c r="Z1777" s="5" t="str">
        <f ca="1">IFERROR(__xludf.DUMMYFUNCTION("""COMPUTED_VALUE"""),"A 15 year-old male had been bullied for some time due to his weight and thick glasses. After being picked on in economics class, he pulled out a 9mm handgun from his waistband and yelled, "" I can't take it anymore,"" shooting himself in the head. The tea"&amp;"cher tried to talk to the student to put the gun down before he shot himself. In response, the father passed a law where schools have to inform the parent if their child is being bullied.")</f>
        <v>A 15 year-old male had been bullied for some time due to his weight and thick glasses. After being picked on in economics class, he pulled out a 9mm handgun from his waistband and yelled, " I can't take it anymore," shooting himself in the head. The teacher tried to talk to the student to put the gun down before he shot himself. In response, the father passed a law where schools have to inform the parent if their child is being bullied.</v>
      </c>
      <c r="AA1777" s="5" t="str">
        <f ca="1">IFERROR(__xludf.DUMMYFUNCTION("""COMPUTED_VALUE"""),"Suicide/Attempted")</f>
        <v>Suicide/Attempted</v>
      </c>
      <c r="AB1777" s="5" t="str">
        <f ca="1">IFERROR(__xludf.DUMMYFUNCTION("""COMPUTED_VALUE"""),"Victims Targeted")</f>
        <v>Victims Targeted</v>
      </c>
      <c r="AC1777" s="5" t="str">
        <f ca="1">IFERROR(__xludf.DUMMYFUNCTION("""COMPUTED_VALUE"""),"No")</f>
        <v>No</v>
      </c>
      <c r="AD1777" s="5" t="str">
        <f ca="1">IFERROR(__xludf.DUMMYFUNCTION("""COMPUTED_VALUE"""),"No")</f>
        <v>No</v>
      </c>
      <c r="AE1777" s="5" t="str">
        <f ca="1">IFERROR(__xludf.DUMMYFUNCTION("""COMPUTED_VALUE"""),"No")</f>
        <v>No</v>
      </c>
      <c r="AF1777" s="5" t="str">
        <f ca="1">IFERROR(__xludf.DUMMYFUNCTION("""COMPUTED_VALUE"""),"No")</f>
        <v>No</v>
      </c>
      <c r="AG1777" s="5" t="str">
        <f ca="1">IFERROR(__xludf.DUMMYFUNCTION("""COMPUTED_VALUE"""),"Yes")</f>
        <v>Yes</v>
      </c>
      <c r="AH1777" s="5" t="str">
        <f ca="1">IFERROR(__xludf.DUMMYFUNCTION("""COMPUTED_VALUE"""),"No")</f>
        <v>No</v>
      </c>
      <c r="AI1777" s="5" t="str">
        <f ca="1">IFERROR(__xludf.DUMMYFUNCTION("""COMPUTED_VALUE"""),"No")</f>
        <v>No</v>
      </c>
      <c r="AJ1777" s="5"/>
    </row>
    <row r="1778" spans="1:36" ht="13">
      <c r="A1778" s="5" t="str">
        <f ca="1">IFERROR(__xludf.DUMMYFUNCTION("""COMPUTED_VALUE"""),"19940323WABAS")</f>
        <v>19940323WABAS</v>
      </c>
      <c r="B1778" s="5">
        <f ca="1">IFERROR(__xludf.DUMMYFUNCTION("""COMPUTED_VALUE"""),3)</f>
        <v>3</v>
      </c>
      <c r="C1778" s="5">
        <f ca="1">IFERROR(__xludf.DUMMYFUNCTION("""COMPUTED_VALUE"""),23)</f>
        <v>23</v>
      </c>
      <c r="D1778" s="5">
        <f ca="1">IFERROR(__xludf.DUMMYFUNCTION("""COMPUTED_VALUE"""),1994)</f>
        <v>1994</v>
      </c>
      <c r="E1778" s="8">
        <f ca="1">IFERROR(__xludf.DUMMYFUNCTION("""COMPUTED_VALUE"""),34416)</f>
        <v>34416</v>
      </c>
      <c r="F1778" s="5" t="str">
        <f ca="1">IFERROR(__xludf.DUMMYFUNCTION("""COMPUTED_VALUE"""),"Ballard High School")</f>
        <v>Ballard High School</v>
      </c>
      <c r="G1778" s="5">
        <f ca="1">IFERROR(__xludf.DUMMYFUNCTION("""COMPUTED_VALUE"""),1)</f>
        <v>1</v>
      </c>
      <c r="H1778" s="5">
        <f ca="1">IFERROR(__xludf.DUMMYFUNCTION("""COMPUTED_VALUE"""),1)</f>
        <v>1</v>
      </c>
      <c r="I1778" s="5">
        <f ca="1">IFERROR(__xludf.DUMMYFUNCTION("""COMPUTED_VALUE"""),2)</f>
        <v>2</v>
      </c>
      <c r="J1778" s="5">
        <f ca="1">IFERROR(__xludf.DUMMYFUNCTION("""COMPUTED_VALUE"""),0)</f>
        <v>0</v>
      </c>
      <c r="K1778" s="5" t="str">
        <f ca="1">IFERROR(__xludf.DUMMYFUNCTION("""COMPUTED_VALUE"""),"https://products.kitsapsun.com/archive/1994/03-28/290986_teen_wanted_in_drive-by_slaying.html https://www.seattletimes.com/seattle-news/emotional-day-killer-of-ballard-student-in-1994-seeks-leniency/")</f>
        <v>https://products.kitsapsun.com/archive/1994/03-28/290986_teen_wanted_in_drive-by_slaying.html https://www.seattletimes.com/seattle-news/emotional-day-killer-of-ballard-student-in-1994-seeks-leniency/</v>
      </c>
      <c r="L1778" s="5"/>
      <c r="M1778" s="5"/>
      <c r="N1778" s="5">
        <f ca="1">IFERROR(__xludf.DUMMYFUNCTION("""COMPUTED_VALUE"""),2)</f>
        <v>2</v>
      </c>
      <c r="O1778" s="5" t="str">
        <f ca="1">IFERROR(__xludf.DUMMYFUNCTION("""COMPUTED_VALUE"""),"Spring")</f>
        <v>Spring</v>
      </c>
      <c r="P1778" s="5" t="str">
        <f ca="1">IFERROR(__xludf.DUMMYFUNCTION("""COMPUTED_VALUE"""),"Seattle")</f>
        <v>Seattle</v>
      </c>
      <c r="Q1778" s="5" t="str">
        <f ca="1">IFERROR(__xludf.DUMMYFUNCTION("""COMPUTED_VALUE"""),"WA")</f>
        <v>WA</v>
      </c>
      <c r="R1778" s="5" t="str">
        <f ca="1">IFERROR(__xludf.DUMMYFUNCTION("""COMPUTED_VALUE"""),"High")</f>
        <v>High</v>
      </c>
      <c r="S1778" s="5" t="str">
        <f ca="1">IFERROR(__xludf.DUMMYFUNCTION("""COMPUTED_VALUE"""),"Parking Lot")</f>
        <v>Parking Lot</v>
      </c>
      <c r="T1778" s="5" t="str">
        <f ca="1">IFERROR(__xludf.DUMMYFUNCTION("""COMPUTED_VALUE"""),"Outside on School Property")</f>
        <v>Outside on School Property</v>
      </c>
      <c r="U1778" s="5" t="str">
        <f ca="1">IFERROR(__xludf.DUMMYFUNCTION("""COMPUTED_VALUE"""),"Yes")</f>
        <v>Yes</v>
      </c>
      <c r="V1778" s="5" t="str">
        <f ca="1">IFERROR(__xludf.DUMMYFUNCTION("""COMPUTED_VALUE"""),"Lunch")</f>
        <v>Lunch</v>
      </c>
      <c r="W1778" s="10">
        <f ca="1">IFERROR(__xludf.DUMMYFUNCTION("""COMPUTED_VALUE"""),0.5)</f>
        <v>0.5</v>
      </c>
      <c r="X1778" s="5">
        <f ca="1">IFERROR(__xludf.DUMMYFUNCTION("""COMPUTED_VALUE"""),1)</f>
        <v>1</v>
      </c>
      <c r="Y1778" s="5" t="str">
        <f ca="1">IFERROR(__xludf.DUMMYFUNCTION("""COMPUTED_VALUE"""),"Bystander student struck during gang drive-by shooting")</f>
        <v>Bystander student struck during gang drive-by shooting</v>
      </c>
      <c r="Z1778" s="5" t="str">
        <f ca="1">IFERROR(__xludf.DUMMYFUNCTION("""COMPUTED_VALUE"""),"One of the 23rd Street Diablos gang members was chased off campus from a rival gang member a few days earlier. A few days later, the 16 year-old shooter was in a car full of the 23rd Street Diablos members when they pulled up to campus around lunch time, "&amp;"but left when they heard Police were on the way. They returned an hour later when the 16 year-old opened fire 8 times into a crowd of students, killing one and injuring another. The 16 year-old victim was not the target. Shooter later turned himself in.")</f>
        <v>One of the 23rd Street Diablos gang members was chased off campus from a rival gang member a few days earlier. A few days later, the 16 year-old shooter was in a car full of the 23rd Street Diablos members when they pulled up to campus around lunch time, but left when they heard Police were on the way. They returned an hour later when the 16 year-old opened fire 8 times into a crowd of students, killing one and injuring another. The 16 year-old victim was not the target. Shooter later turned himself in.</v>
      </c>
      <c r="AA1778" s="5" t="str">
        <f ca="1">IFERROR(__xludf.DUMMYFUNCTION("""COMPUTED_VALUE"""),"Drive-by Shooting")</f>
        <v>Drive-by Shooting</v>
      </c>
      <c r="AB1778" s="5" t="str">
        <f ca="1">IFERROR(__xludf.DUMMYFUNCTION("""COMPUTED_VALUE"""),"Random Shooting")</f>
        <v>Random Shooting</v>
      </c>
      <c r="AC1778" s="5" t="str">
        <f ca="1">IFERROR(__xludf.DUMMYFUNCTION("""COMPUTED_VALUE"""),"No")</f>
        <v>No</v>
      </c>
      <c r="AD1778" s="5" t="str">
        <f ca="1">IFERROR(__xludf.DUMMYFUNCTION("""COMPUTED_VALUE"""),"No")</f>
        <v>No</v>
      </c>
      <c r="AE1778" s="5" t="str">
        <f ca="1">IFERROR(__xludf.DUMMYFUNCTION("""COMPUTED_VALUE"""),"No")</f>
        <v>No</v>
      </c>
      <c r="AF1778" s="5" t="str">
        <f ca="1">IFERROR(__xludf.DUMMYFUNCTION("""COMPUTED_VALUE"""),"No")</f>
        <v>No</v>
      </c>
      <c r="AG1778" s="5" t="str">
        <f ca="1">IFERROR(__xludf.DUMMYFUNCTION("""COMPUTED_VALUE"""),"No")</f>
        <v>No</v>
      </c>
      <c r="AH1778" s="5" t="str">
        <f ca="1">IFERROR(__xludf.DUMMYFUNCTION("""COMPUTED_VALUE"""),"No")</f>
        <v>No</v>
      </c>
      <c r="AI1778" s="5" t="str">
        <f ca="1">IFERROR(__xludf.DUMMYFUNCTION("""COMPUTED_VALUE"""),"Yes")</f>
        <v>Yes</v>
      </c>
      <c r="AJ1778" s="5"/>
    </row>
    <row r="1779" spans="1:36" ht="13">
      <c r="A1779" s="5" t="str">
        <f ca="1">IFERROR(__xludf.DUMMYFUNCTION("""COMPUTED_VALUE"""),"19940315SCGOC")</f>
        <v>19940315SCGOC</v>
      </c>
      <c r="B1779" s="5">
        <f ca="1">IFERROR(__xludf.DUMMYFUNCTION("""COMPUTED_VALUE"""),3)</f>
        <v>3</v>
      </c>
      <c r="C1779" s="5">
        <f ca="1">IFERROR(__xludf.DUMMYFUNCTION("""COMPUTED_VALUE"""),15)</f>
        <v>15</v>
      </c>
      <c r="D1779" s="5">
        <f ca="1">IFERROR(__xludf.DUMMYFUNCTION("""COMPUTED_VALUE"""),1994)</f>
        <v>1994</v>
      </c>
      <c r="E1779" s="8">
        <f ca="1">IFERROR(__xludf.DUMMYFUNCTION("""COMPUTED_VALUE"""),34408)</f>
        <v>34408</v>
      </c>
      <c r="F1779" s="5" t="str">
        <f ca="1">IFERROR(__xludf.DUMMYFUNCTION("""COMPUTED_VALUE"""),"Goose Creek High School")</f>
        <v>Goose Creek High School</v>
      </c>
      <c r="G1779" s="5">
        <f ca="1">IFERROR(__xludf.DUMMYFUNCTION("""COMPUTED_VALUE"""),1)</f>
        <v>1</v>
      </c>
      <c r="H1779" s="5">
        <f ca="1">IFERROR(__xludf.DUMMYFUNCTION("""COMPUTED_VALUE"""),0)</f>
        <v>0</v>
      </c>
      <c r="I1779" s="5">
        <f ca="1">IFERROR(__xludf.DUMMYFUNCTION("""COMPUTED_VALUE"""),1)</f>
        <v>1</v>
      </c>
      <c r="J1779" s="5">
        <f ca="1">IFERROR(__xludf.DUMMYFUNCTION("""COMPUTED_VALUE"""),0)</f>
        <v>0</v>
      </c>
      <c r="K1779" s="9" t="str">
        <f ca="1">IFERROR(__xludf.DUMMYFUNCTION("""COMPUTED_VALUE"""),"http://www.wistv.com/story/23589594/school-shootings-in-south-carolina")</f>
        <v>http://www.wistv.com/story/23589594/school-shootings-in-south-carolina</v>
      </c>
      <c r="L1779" s="5"/>
      <c r="M1779" s="5"/>
      <c r="N1779" s="5">
        <f ca="1">IFERROR(__xludf.DUMMYFUNCTION("""COMPUTED_VALUE"""),2)</f>
        <v>2</v>
      </c>
      <c r="O1779" s="5" t="str">
        <f ca="1">IFERROR(__xludf.DUMMYFUNCTION("""COMPUTED_VALUE"""),"Spring")</f>
        <v>Spring</v>
      </c>
      <c r="P1779" s="5" t="str">
        <f ca="1">IFERROR(__xludf.DUMMYFUNCTION("""COMPUTED_VALUE"""),"Charleston")</f>
        <v>Charleston</v>
      </c>
      <c r="Q1779" s="5" t="str">
        <f ca="1">IFERROR(__xludf.DUMMYFUNCTION("""COMPUTED_VALUE"""),"SC")</f>
        <v>SC</v>
      </c>
      <c r="R1779" s="5" t="str">
        <f ca="1">IFERROR(__xludf.DUMMYFUNCTION("""COMPUTED_VALUE"""),"High")</f>
        <v>High</v>
      </c>
      <c r="S1779" s="5" t="str">
        <f ca="1">IFERROR(__xludf.DUMMYFUNCTION("""COMPUTED_VALUE"""),"Outside on School Property")</f>
        <v>Outside on School Property</v>
      </c>
      <c r="T1779" s="5" t="str">
        <f ca="1">IFERROR(__xludf.DUMMYFUNCTION("""COMPUTED_VALUE"""),"Outside on School Property")</f>
        <v>Outside on School Property</v>
      </c>
      <c r="U1779" s="5" t="str">
        <f ca="1">IFERROR(__xludf.DUMMYFUNCTION("""COMPUTED_VALUE"""),"No")</f>
        <v>No</v>
      </c>
      <c r="V1779" s="5" t="str">
        <f ca="1">IFERROR(__xludf.DUMMYFUNCTION("""COMPUTED_VALUE"""),"After School")</f>
        <v>After School</v>
      </c>
      <c r="W1779" s="5"/>
      <c r="X1779" s="5">
        <f ca="1">IFERROR(__xludf.DUMMYFUNCTION("""COMPUTED_VALUE"""),1)</f>
        <v>1</v>
      </c>
      <c r="Y1779" s="5" t="str">
        <f ca="1">IFERROR(__xludf.DUMMYFUNCTION("""COMPUTED_VALUE"""),"Bystander shot during fight that escalated")</f>
        <v>Bystander shot during fight that escalated</v>
      </c>
      <c r="Z1779" s="5" t="str">
        <f ca="1">IFERROR(__xludf.DUMMYFUNCTION("""COMPUTED_VALUE"""),"Student was shot in the head while watching a fist fight that escalated into a shooting.")</f>
        <v>Student was shot in the head while watching a fist fight that escalated into a shooting.</v>
      </c>
      <c r="AA1779" s="5" t="str">
        <f ca="1">IFERROR(__xludf.DUMMYFUNCTION("""COMPUTED_VALUE"""),"Escalation of Dispute")</f>
        <v>Escalation of Dispute</v>
      </c>
      <c r="AB1779" s="5" t="str">
        <f ca="1">IFERROR(__xludf.DUMMYFUNCTION("""COMPUTED_VALUE"""),"Random Shooting")</f>
        <v>Random Shooting</v>
      </c>
      <c r="AC1779" s="5" t="str">
        <f ca="1">IFERROR(__xludf.DUMMYFUNCTION("""COMPUTED_VALUE"""),"No")</f>
        <v>No</v>
      </c>
      <c r="AD1779" s="5" t="str">
        <f ca="1">IFERROR(__xludf.DUMMYFUNCTION("""COMPUTED_VALUE"""),"No")</f>
        <v>No</v>
      </c>
      <c r="AE1779" s="5" t="str">
        <f ca="1">IFERROR(__xludf.DUMMYFUNCTION("""COMPUTED_VALUE"""),"No")</f>
        <v>No</v>
      </c>
      <c r="AF1779" s="5" t="str">
        <f ca="1">IFERROR(__xludf.DUMMYFUNCTION("""COMPUTED_VALUE"""),"No")</f>
        <v>No</v>
      </c>
      <c r="AG1779" s="5" t="str">
        <f ca="1">IFERROR(__xludf.DUMMYFUNCTION("""COMPUTED_VALUE"""),"No")</f>
        <v>No</v>
      </c>
      <c r="AH1779" s="5" t="str">
        <f ca="1">IFERROR(__xludf.DUMMYFUNCTION("""COMPUTED_VALUE"""),"No")</f>
        <v>No</v>
      </c>
      <c r="AI1779" s="5" t="str">
        <f ca="1">IFERROR(__xludf.DUMMYFUNCTION("""COMPUTED_VALUE"""),"No")</f>
        <v>No</v>
      </c>
      <c r="AJ1779" s="5"/>
    </row>
    <row r="1780" spans="1:36" ht="13">
      <c r="A1780" s="5" t="str">
        <f ca="1">IFERROR(__xludf.DUMMYFUNCTION("""COMPUTED_VALUE"""),"19940309DCEAW")</f>
        <v>19940309DCEAW</v>
      </c>
      <c r="B1780" s="5">
        <f ca="1">IFERROR(__xludf.DUMMYFUNCTION("""COMPUTED_VALUE"""),3)</f>
        <v>3</v>
      </c>
      <c r="C1780" s="5">
        <f ca="1">IFERROR(__xludf.DUMMYFUNCTION("""COMPUTED_VALUE"""),9)</f>
        <v>9</v>
      </c>
      <c r="D1780" s="5">
        <f ca="1">IFERROR(__xludf.DUMMYFUNCTION("""COMPUTED_VALUE"""),1994)</f>
        <v>1994</v>
      </c>
      <c r="E1780" s="8">
        <f ca="1">IFERROR(__xludf.DUMMYFUNCTION("""COMPUTED_VALUE"""),34402)</f>
        <v>34402</v>
      </c>
      <c r="F1780" s="5" t="str">
        <f ca="1">IFERROR(__xludf.DUMMYFUNCTION("""COMPUTED_VALUE"""),"Eastern High School")</f>
        <v>Eastern High School</v>
      </c>
      <c r="G1780" s="5">
        <f ca="1">IFERROR(__xludf.DUMMYFUNCTION("""COMPUTED_VALUE"""),1)</f>
        <v>1</v>
      </c>
      <c r="H1780" s="5">
        <f ca="1">IFERROR(__xludf.DUMMYFUNCTION("""COMPUTED_VALUE"""),0)</f>
        <v>0</v>
      </c>
      <c r="I1780" s="5">
        <f ca="1">IFERROR(__xludf.DUMMYFUNCTION("""COMPUTED_VALUE"""),1)</f>
        <v>1</v>
      </c>
      <c r="J1780" s="5">
        <f ca="1">IFERROR(__xludf.DUMMYFUNCTION("""COMPUTED_VALUE"""),0)</f>
        <v>0</v>
      </c>
      <c r="K1780" s="9" t="str">
        <f ca="1">IFERROR(__xludf.DUMMYFUNCTION("""COMPUTED_VALUE"""),"http://www.columbine-angels.com/School_Violence_1993-1994.htm")</f>
        <v>http://www.columbine-angels.com/School_Violence_1993-1994.htm</v>
      </c>
      <c r="L1780" s="5"/>
      <c r="M1780" s="5"/>
      <c r="N1780" s="5">
        <f ca="1">IFERROR(__xludf.DUMMYFUNCTION("""COMPUTED_VALUE"""),3)</f>
        <v>3</v>
      </c>
      <c r="O1780" s="5" t="str">
        <f ca="1">IFERROR(__xludf.DUMMYFUNCTION("""COMPUTED_VALUE"""),"Spring")</f>
        <v>Spring</v>
      </c>
      <c r="P1780" s="5" t="str">
        <f ca="1">IFERROR(__xludf.DUMMYFUNCTION("""COMPUTED_VALUE"""),"Washington")</f>
        <v>Washington</v>
      </c>
      <c r="Q1780" s="5" t="str">
        <f ca="1">IFERROR(__xludf.DUMMYFUNCTION("""COMPUTED_VALUE"""),"DC")</f>
        <v>DC</v>
      </c>
      <c r="R1780" s="5" t="str">
        <f ca="1">IFERROR(__xludf.DUMMYFUNCTION("""COMPUTED_VALUE"""),"High")</f>
        <v>High</v>
      </c>
      <c r="S1780" s="5" t="str">
        <f ca="1">IFERROR(__xludf.DUMMYFUNCTION("""COMPUTED_VALUE"""),"Cafeteria")</f>
        <v>Cafeteria</v>
      </c>
      <c r="T1780" s="5" t="str">
        <f ca="1">IFERROR(__xludf.DUMMYFUNCTION("""COMPUTED_VALUE"""),"Inside School Building")</f>
        <v>Inside School Building</v>
      </c>
      <c r="U1780" s="5" t="str">
        <f ca="1">IFERROR(__xludf.DUMMYFUNCTION("""COMPUTED_VALUE"""),"Yes")</f>
        <v>Yes</v>
      </c>
      <c r="V1780" s="5" t="str">
        <f ca="1">IFERROR(__xludf.DUMMYFUNCTION("""COMPUTED_VALUE"""),"Lunch")</f>
        <v>Lunch</v>
      </c>
      <c r="W1780" s="10">
        <f ca="1">IFERROR(__xludf.DUMMYFUNCTION("""COMPUTED_VALUE"""),0.458333333333333)</f>
        <v>0.45833333333333298</v>
      </c>
      <c r="X1780" s="5">
        <f ca="1">IFERROR(__xludf.DUMMYFUNCTION("""COMPUTED_VALUE"""),1)</f>
        <v>1</v>
      </c>
      <c r="Y1780" s="5" t="str">
        <f ca="1">IFERROR(__xludf.DUMMYFUNCTION("""COMPUTED_VALUE"""),"Shots fired during fight")</f>
        <v>Shots fired during fight</v>
      </c>
      <c r="Z1780" s="5" t="str">
        <f ca="1">IFERROR(__xludf.DUMMYFUNCTION("""COMPUTED_VALUE"""),"Earlier that day, two 17 year-old male students bumped into one another, starting an all day feud. The dispute continued later in the day, when one of the students shot the other outside the cafeteria. The school has armed police officers assigned and met"&amp;"al detectors. The shooter fled the scene, and later turned himself in to the police.")</f>
        <v>Earlier that day, two 17 year-old male students bumped into one another, starting an all day feud. The dispute continued later in the day, when one of the students shot the other outside the cafeteria. The school has armed police officers assigned and metal detectors. The shooter fled the scene, and later turned himself in to the police.</v>
      </c>
      <c r="AA1780" s="5" t="str">
        <f ca="1">IFERROR(__xludf.DUMMYFUNCTION("""COMPUTED_VALUE"""),"Escalation of Dispute")</f>
        <v>Escalation of Dispute</v>
      </c>
      <c r="AB1780" s="5" t="str">
        <f ca="1">IFERROR(__xludf.DUMMYFUNCTION("""COMPUTED_VALUE"""),"Victims Targeted")</f>
        <v>Victims Targeted</v>
      </c>
      <c r="AC1780" s="5" t="str">
        <f ca="1">IFERROR(__xludf.DUMMYFUNCTION("""COMPUTED_VALUE"""),"No")</f>
        <v>No</v>
      </c>
      <c r="AD1780" s="5" t="str">
        <f ca="1">IFERROR(__xludf.DUMMYFUNCTION("""COMPUTED_VALUE"""),"No")</f>
        <v>No</v>
      </c>
      <c r="AE1780" s="5" t="str">
        <f ca="1">IFERROR(__xludf.DUMMYFUNCTION("""COMPUTED_VALUE"""),"No")</f>
        <v>No</v>
      </c>
      <c r="AF1780" s="5" t="str">
        <f ca="1">IFERROR(__xludf.DUMMYFUNCTION("""COMPUTED_VALUE"""),"No")</f>
        <v>No</v>
      </c>
      <c r="AG1780" s="5" t="str">
        <f ca="1">IFERROR(__xludf.DUMMYFUNCTION("""COMPUTED_VALUE"""),"No")</f>
        <v>No</v>
      </c>
      <c r="AH1780" s="5" t="str">
        <f ca="1">IFERROR(__xludf.DUMMYFUNCTION("""COMPUTED_VALUE"""),"No")</f>
        <v>No</v>
      </c>
      <c r="AI1780" s="5" t="str">
        <f ca="1">IFERROR(__xludf.DUMMYFUNCTION("""COMPUTED_VALUE"""),"No")</f>
        <v>No</v>
      </c>
      <c r="AJ1780" s="5" t="str">
        <f ca="1">IFERROR(__xludf.DUMMYFUNCTION("""COMPUTED_VALUE"""),"No")</f>
        <v>No</v>
      </c>
    </row>
    <row r="1781" spans="1:36" ht="13">
      <c r="A1781" s="5" t="str">
        <f ca="1">IFERROR(__xludf.DUMMYFUNCTION("""COMPUTED_VALUE"""),"19940303ALENB")</f>
        <v>19940303ALENB</v>
      </c>
      <c r="B1781" s="5">
        <f ca="1">IFERROR(__xludf.DUMMYFUNCTION("""COMPUTED_VALUE"""),3)</f>
        <v>3</v>
      </c>
      <c r="C1781" s="5">
        <f ca="1">IFERROR(__xludf.DUMMYFUNCTION("""COMPUTED_VALUE"""),3)</f>
        <v>3</v>
      </c>
      <c r="D1781" s="5">
        <f ca="1">IFERROR(__xludf.DUMMYFUNCTION("""COMPUTED_VALUE"""),1994)</f>
        <v>1994</v>
      </c>
      <c r="E1781" s="8">
        <f ca="1">IFERROR(__xludf.DUMMYFUNCTION("""COMPUTED_VALUE"""),34396)</f>
        <v>34396</v>
      </c>
      <c r="F1781" s="5" t="str">
        <f ca="1">IFERROR(__xludf.DUMMYFUNCTION("""COMPUTED_VALUE"""),"Ensley High School")</f>
        <v>Ensley High School</v>
      </c>
      <c r="G1781" s="5">
        <f ca="1">IFERROR(__xludf.DUMMYFUNCTION("""COMPUTED_VALUE"""),0)</f>
        <v>0</v>
      </c>
      <c r="H1781" s="5">
        <f ca="1">IFERROR(__xludf.DUMMYFUNCTION("""COMPUTED_VALUE"""),1)</f>
        <v>1</v>
      </c>
      <c r="I1781" s="5">
        <f ca="1">IFERROR(__xludf.DUMMYFUNCTION("""COMPUTED_VALUE"""),1)</f>
        <v>1</v>
      </c>
      <c r="J1781" s="5">
        <f ca="1">IFERROR(__xludf.DUMMYFUNCTION("""COMPUTED_VALUE"""),0)</f>
        <v>0</v>
      </c>
      <c r="K1781" s="5" t="str">
        <f ca="1">IFERROR(__xludf.DUMMYFUNCTION("""COMPUTED_VALUE"""),"https://www.newspapers.com/image/260120461/?terms=Ensley%2BHigh%2BSchool%2Bshooting http://www.columbine-angels.com/School_Violence_1993-1994.htm https://law.justia.com/cases/alabama/court-of-appeals-criminal/1998/cr-96-0667-0.html")</f>
        <v>https://www.newspapers.com/image/260120461/?terms=Ensley%2BHigh%2BSchool%2Bshooting http://www.columbine-angels.com/School_Violence_1993-1994.htm https://law.justia.com/cases/alabama/court-of-appeals-criminal/1998/cr-96-0667-0.html</v>
      </c>
      <c r="L1781" s="5"/>
      <c r="M1781" s="5"/>
      <c r="N1781" s="5">
        <f ca="1">IFERROR(__xludf.DUMMYFUNCTION("""COMPUTED_VALUE"""),2)</f>
        <v>2</v>
      </c>
      <c r="O1781" s="5" t="str">
        <f ca="1">IFERROR(__xludf.DUMMYFUNCTION("""COMPUTED_VALUE"""),"Spring")</f>
        <v>Spring</v>
      </c>
      <c r="P1781" s="5" t="str">
        <f ca="1">IFERROR(__xludf.DUMMYFUNCTION("""COMPUTED_VALUE"""),"Birmingham")</f>
        <v>Birmingham</v>
      </c>
      <c r="Q1781" s="5" t="str">
        <f ca="1">IFERROR(__xludf.DUMMYFUNCTION("""COMPUTED_VALUE"""),"AL")</f>
        <v>AL</v>
      </c>
      <c r="R1781" s="5" t="str">
        <f ca="1">IFERROR(__xludf.DUMMYFUNCTION("""COMPUTED_VALUE"""),"High")</f>
        <v>High</v>
      </c>
      <c r="S1781" s="5" t="str">
        <f ca="1">IFERROR(__xludf.DUMMYFUNCTION("""COMPUTED_VALUE"""),"Other")</f>
        <v>Other</v>
      </c>
      <c r="T1781" s="5" t="str">
        <f ca="1">IFERROR(__xludf.DUMMYFUNCTION("""COMPUTED_VALUE"""),"Inside School Building")</f>
        <v>Inside School Building</v>
      </c>
      <c r="U1781" s="5" t="str">
        <f ca="1">IFERROR(__xludf.DUMMYFUNCTION("""COMPUTED_VALUE"""),"Yes")</f>
        <v>Yes</v>
      </c>
      <c r="V1781" s="5" t="str">
        <f ca="1">IFERROR(__xludf.DUMMYFUNCTION("""COMPUTED_VALUE"""),"Lunch")</f>
        <v>Lunch</v>
      </c>
      <c r="W1781" s="5"/>
      <c r="X1781" s="5">
        <f ca="1">IFERROR(__xludf.DUMMYFUNCTION("""COMPUTED_VALUE"""),1)</f>
        <v>1</v>
      </c>
      <c r="Y1781" s="5" t="str">
        <f ca="1">IFERROR(__xludf.DUMMYFUNCTION("""COMPUTED_VALUE"""),"Fight between gang members near the band room.")</f>
        <v>Fight between gang members near the band room.</v>
      </c>
      <c r="Z1781" s="5" t="str">
        <f ca="1">IFERROR(__xludf.DUMMYFUNCTION("""COMPUTED_VALUE"""),"A 15 year-old male of the Crips gang and a 17 year-old male of the Disciples gang got into a fight the day before the shooting. During the school's lunch period, the 17 year-old approached the 15 year-old victim and shot him in the chest outside the schoo"&amp;"l's band room.")</f>
        <v>A 15 year-old male of the Crips gang and a 17 year-old male of the Disciples gang got into a fight the day before the shooting. During the school's lunch period, the 17 year-old approached the 15 year-old victim and shot him in the chest outside the school's band room.</v>
      </c>
      <c r="AA1781" s="5" t="str">
        <f ca="1">IFERROR(__xludf.DUMMYFUNCTION("""COMPUTED_VALUE"""),"Escalation of Dispute")</f>
        <v>Escalation of Dispute</v>
      </c>
      <c r="AB1781" s="5" t="str">
        <f ca="1">IFERROR(__xludf.DUMMYFUNCTION("""COMPUTED_VALUE"""),"Victims Targeted")</f>
        <v>Victims Targeted</v>
      </c>
      <c r="AC1781" s="5" t="str">
        <f ca="1">IFERROR(__xludf.DUMMYFUNCTION("""COMPUTED_VALUE"""),"No")</f>
        <v>No</v>
      </c>
      <c r="AD1781" s="5" t="str">
        <f ca="1">IFERROR(__xludf.DUMMYFUNCTION("""COMPUTED_VALUE"""),"No")</f>
        <v>No</v>
      </c>
      <c r="AE1781" s="5" t="str">
        <f ca="1">IFERROR(__xludf.DUMMYFUNCTION("""COMPUTED_VALUE"""),"No")</f>
        <v>No</v>
      </c>
      <c r="AF1781" s="5" t="str">
        <f ca="1">IFERROR(__xludf.DUMMYFUNCTION("""COMPUTED_VALUE"""),"No")</f>
        <v>No</v>
      </c>
      <c r="AG1781" s="5" t="str">
        <f ca="1">IFERROR(__xludf.DUMMYFUNCTION("""COMPUTED_VALUE"""),"No")</f>
        <v>No</v>
      </c>
      <c r="AH1781" s="5" t="str">
        <f ca="1">IFERROR(__xludf.DUMMYFUNCTION("""COMPUTED_VALUE"""),"No")</f>
        <v>No</v>
      </c>
      <c r="AI1781" s="5" t="str">
        <f ca="1">IFERROR(__xludf.DUMMYFUNCTION("""COMPUTED_VALUE"""),"Yes")</f>
        <v>Yes</v>
      </c>
      <c r="AJ1781" s="5"/>
    </row>
    <row r="1782" spans="1:36" ht="13">
      <c r="A1782" s="5" t="str">
        <f ca="1">IFERROR(__xludf.DUMMYFUNCTION("""COMPUTED_VALUE"""),"19940301MOKEB")</f>
        <v>19940301MOKEB</v>
      </c>
      <c r="B1782" s="5">
        <f ca="1">IFERROR(__xludf.DUMMYFUNCTION("""COMPUTED_VALUE"""),3)</f>
        <v>3</v>
      </c>
      <c r="C1782" s="5">
        <f ca="1">IFERROR(__xludf.DUMMYFUNCTION("""COMPUTED_VALUE"""),1)</f>
        <v>1</v>
      </c>
      <c r="D1782" s="5">
        <f ca="1">IFERROR(__xludf.DUMMYFUNCTION("""COMPUTED_VALUE"""),1994)</f>
        <v>1994</v>
      </c>
      <c r="E1782" s="8">
        <f ca="1">IFERROR(__xludf.DUMMYFUNCTION("""COMPUTED_VALUE"""),34394)</f>
        <v>34394</v>
      </c>
      <c r="F1782" s="5" t="str">
        <f ca="1">IFERROR(__xludf.DUMMYFUNCTION("""COMPUTED_VALUE"""),"Kemper Military School and College")</f>
        <v>Kemper Military School and College</v>
      </c>
      <c r="G1782" s="5">
        <f ca="1">IFERROR(__xludf.DUMMYFUNCTION("""COMPUTED_VALUE"""),2)</f>
        <v>2</v>
      </c>
      <c r="H1782" s="5">
        <f ca="1">IFERROR(__xludf.DUMMYFUNCTION("""COMPUTED_VALUE"""),0)</f>
        <v>0</v>
      </c>
      <c r="I1782" s="5">
        <f ca="1">IFERROR(__xludf.DUMMYFUNCTION("""COMPUTED_VALUE"""),2)</f>
        <v>2</v>
      </c>
      <c r="J1782" s="5">
        <f ca="1">IFERROR(__xludf.DUMMYFUNCTION("""COMPUTED_VALUE"""),0)</f>
        <v>0</v>
      </c>
      <c r="K1782" s="5" t="str">
        <f ca="1">IFERROR(__xludf.DUMMYFUNCTION("""COMPUTED_VALUE"""),"https://www.deseretnews.com/article/339317/GUNMAN-KILLS-2-AT-MISSOURI-MILITARY-SCHOOL.html https://apnews.com/5202b17802cd8ff336ef861b452a77e8 https://www.rapsheetz.com/missouri/doc-prisoner/Hayes_Dante/507510")</f>
        <v>https://www.deseretnews.com/article/339317/GUNMAN-KILLS-2-AT-MISSOURI-MILITARY-SCHOOL.html https://apnews.com/5202b17802cd8ff336ef861b452a77e8 https://www.rapsheetz.com/missouri/doc-prisoner/Hayes_Dante/507510</v>
      </c>
      <c r="L1782" s="5"/>
      <c r="M1782" s="5"/>
      <c r="N1782" s="5">
        <f ca="1">IFERROR(__xludf.DUMMYFUNCTION("""COMPUTED_VALUE"""),2)</f>
        <v>2</v>
      </c>
      <c r="O1782" s="5" t="str">
        <f ca="1">IFERROR(__xludf.DUMMYFUNCTION("""COMPUTED_VALUE"""),"Spring")</f>
        <v>Spring</v>
      </c>
      <c r="P1782" s="5" t="str">
        <f ca="1">IFERROR(__xludf.DUMMYFUNCTION("""COMPUTED_VALUE"""),"Boonville")</f>
        <v>Boonville</v>
      </c>
      <c r="Q1782" s="5" t="str">
        <f ca="1">IFERROR(__xludf.DUMMYFUNCTION("""COMPUTED_VALUE"""),"MO")</f>
        <v>MO</v>
      </c>
      <c r="R1782" s="5" t="str">
        <f ca="1">IFERROR(__xludf.DUMMYFUNCTION("""COMPUTED_VALUE"""),"Other")</f>
        <v>Other</v>
      </c>
      <c r="S1782" s="5" t="str">
        <f ca="1">IFERROR(__xludf.DUMMYFUNCTION("""COMPUTED_VALUE"""),"Cafeteria")</f>
        <v>Cafeteria</v>
      </c>
      <c r="T1782" s="5" t="str">
        <f ca="1">IFERROR(__xludf.DUMMYFUNCTION("""COMPUTED_VALUE"""),"Inside School Building")</f>
        <v>Inside School Building</v>
      </c>
      <c r="U1782" s="5" t="str">
        <f ca="1">IFERROR(__xludf.DUMMYFUNCTION("""COMPUTED_VALUE"""),"Yes")</f>
        <v>Yes</v>
      </c>
      <c r="V1782" s="5" t="str">
        <f ca="1">IFERROR(__xludf.DUMMYFUNCTION("""COMPUTED_VALUE"""),"Morning Classes")</f>
        <v>Morning Classes</v>
      </c>
      <c r="W1782" s="10">
        <f ca="1">IFERROR(__xludf.DUMMYFUNCTION("""COMPUTED_VALUE"""),0.375)</f>
        <v>0.375</v>
      </c>
      <c r="X1782" s="5"/>
      <c r="Y1782" s="5" t="str">
        <f ca="1">IFERROR(__xludf.DUMMYFUNCTION("""COMPUTED_VALUE"""),"Drunk, looking for ex-wife")</f>
        <v>Drunk, looking for ex-wife</v>
      </c>
      <c r="Z1782" s="5" t="str">
        <f ca="1">IFERROR(__xludf.DUMMYFUNCTION("""COMPUTED_VALUE"""),"33 year-old male shooter had been drinking heavily the night prior. He walked into the school cafeteria with a shotgun before the school day looking for his ex-wife. He shot and killed two school cafeteria employees. He went to a nearby apartment building"&amp;" and took two teenagers as hostages before later surrendering to police after hours of negotiation.")</f>
        <v>33 year-old male shooter had been drinking heavily the night prior. He walked into the school cafeteria with a shotgun before the school day looking for his ex-wife. He shot and killed two school cafeteria employees. He went to a nearby apartment building and took two teenagers as hostages before later surrendering to police after hours of negotiation.</v>
      </c>
      <c r="AA1782" s="5" t="str">
        <f ca="1">IFERROR(__xludf.DUMMYFUNCTION("""COMPUTED_VALUE"""),"Domestic w/ Targeted Victim")</f>
        <v>Domestic w/ Targeted Victim</v>
      </c>
      <c r="AB1782" s="5" t="str">
        <f ca="1">IFERROR(__xludf.DUMMYFUNCTION("""COMPUTED_VALUE"""),"Both")</f>
        <v>Both</v>
      </c>
      <c r="AC1782" s="5" t="str">
        <f ca="1">IFERROR(__xludf.DUMMYFUNCTION("""COMPUTED_VALUE"""),"No")</f>
        <v>No</v>
      </c>
      <c r="AD1782" s="5" t="str">
        <f ca="1">IFERROR(__xludf.DUMMYFUNCTION("""COMPUTED_VALUE"""),"Yes")</f>
        <v>Yes</v>
      </c>
      <c r="AE1782" s="5" t="str">
        <f ca="1">IFERROR(__xludf.DUMMYFUNCTION("""COMPUTED_VALUE"""),"No")</f>
        <v>No</v>
      </c>
      <c r="AF1782" s="5" t="str">
        <f ca="1">IFERROR(__xludf.DUMMYFUNCTION("""COMPUTED_VALUE"""),"No")</f>
        <v>No</v>
      </c>
      <c r="AG1782" s="5" t="str">
        <f ca="1">IFERROR(__xludf.DUMMYFUNCTION("""COMPUTED_VALUE"""),"No")</f>
        <v>No</v>
      </c>
      <c r="AH1782" s="5" t="str">
        <f ca="1">IFERROR(__xludf.DUMMYFUNCTION("""COMPUTED_VALUE"""),"Yes")</f>
        <v>Yes</v>
      </c>
      <c r="AI1782" s="5" t="str">
        <f ca="1">IFERROR(__xludf.DUMMYFUNCTION("""COMPUTED_VALUE"""),"No")</f>
        <v>No</v>
      </c>
      <c r="AJ1782" s="5" t="str">
        <f ca="1">IFERROR(__xludf.DUMMYFUNCTION("""COMPUTED_VALUE"""),"Yes")</f>
        <v>Yes</v>
      </c>
    </row>
    <row r="1783" spans="1:36" ht="13">
      <c r="A1783" s="5" t="str">
        <f ca="1">IFERROR(__xludf.DUMMYFUNCTION("""COMPUTED_VALUE"""),"19940218SCSPS")</f>
        <v>19940218SCSPS</v>
      </c>
      <c r="B1783" s="5">
        <f ca="1">IFERROR(__xludf.DUMMYFUNCTION("""COMPUTED_VALUE"""),2)</f>
        <v>2</v>
      </c>
      <c r="C1783" s="5">
        <f ca="1">IFERROR(__xludf.DUMMYFUNCTION("""COMPUTED_VALUE"""),18)</f>
        <v>18</v>
      </c>
      <c r="D1783" s="5">
        <f ca="1">IFERROR(__xludf.DUMMYFUNCTION("""COMPUTED_VALUE"""),1994)</f>
        <v>1994</v>
      </c>
      <c r="E1783" s="8">
        <f ca="1">IFERROR(__xludf.DUMMYFUNCTION("""COMPUTED_VALUE"""),34383)</f>
        <v>34383</v>
      </c>
      <c r="F1783" s="5" t="str">
        <f ca="1">IFERROR(__xludf.DUMMYFUNCTION("""COMPUTED_VALUE"""),"Spartanburg High School")</f>
        <v>Spartanburg High School</v>
      </c>
      <c r="G1783" s="5">
        <f ca="1">IFERROR(__xludf.DUMMYFUNCTION("""COMPUTED_VALUE"""),0)</f>
        <v>0</v>
      </c>
      <c r="H1783" s="5">
        <f ca="1">IFERROR(__xludf.DUMMYFUNCTION("""COMPUTED_VALUE"""),1)</f>
        <v>1</v>
      </c>
      <c r="I1783" s="5">
        <f ca="1">IFERROR(__xludf.DUMMYFUNCTION("""COMPUTED_VALUE"""),1)</f>
        <v>1</v>
      </c>
      <c r="J1783" s="5">
        <f ca="1">IFERROR(__xludf.DUMMYFUNCTION("""COMPUTED_VALUE"""),0)</f>
        <v>0</v>
      </c>
      <c r="K1783" s="9" t="str">
        <f ca="1">IFERROR(__xludf.DUMMYFUNCTION("""COMPUTED_VALUE"""),"http://www.goupstate.com/article/NC/19940219/News/605198620/SJ/")</f>
        <v>http://www.goupstate.com/article/NC/19940219/News/605198620/SJ/</v>
      </c>
      <c r="L1783" s="5"/>
      <c r="M1783" s="5"/>
      <c r="N1783" s="5">
        <f ca="1">IFERROR(__xludf.DUMMYFUNCTION("""COMPUTED_VALUE"""),2)</f>
        <v>2</v>
      </c>
      <c r="O1783" s="5" t="str">
        <f ca="1">IFERROR(__xludf.DUMMYFUNCTION("""COMPUTED_VALUE"""),"Winter")</f>
        <v>Winter</v>
      </c>
      <c r="P1783" s="5" t="str">
        <f ca="1">IFERROR(__xludf.DUMMYFUNCTION("""COMPUTED_VALUE"""),"Spartanburg")</f>
        <v>Spartanburg</v>
      </c>
      <c r="Q1783" s="5" t="str">
        <f ca="1">IFERROR(__xludf.DUMMYFUNCTION("""COMPUTED_VALUE"""),"SC")</f>
        <v>SC</v>
      </c>
      <c r="R1783" s="5" t="str">
        <f ca="1">IFERROR(__xludf.DUMMYFUNCTION("""COMPUTED_VALUE"""),"High")</f>
        <v>High</v>
      </c>
      <c r="S1783" s="5" t="str">
        <f ca="1">IFERROR(__xludf.DUMMYFUNCTION("""COMPUTED_VALUE"""),"Parking Lot")</f>
        <v>Parking Lot</v>
      </c>
      <c r="T1783" s="5" t="str">
        <f ca="1">IFERROR(__xludf.DUMMYFUNCTION("""COMPUTED_VALUE"""),"Outside on School Property")</f>
        <v>Outside on School Property</v>
      </c>
      <c r="U1783" s="5" t="str">
        <f ca="1">IFERROR(__xludf.DUMMYFUNCTION("""COMPUTED_VALUE"""),"No")</f>
        <v>No</v>
      </c>
      <c r="V1783" s="5" t="str">
        <f ca="1">IFERROR(__xludf.DUMMYFUNCTION("""COMPUTED_VALUE"""),"Sport Event")</f>
        <v>Sport Event</v>
      </c>
      <c r="W1783" s="10">
        <f ca="1">IFERROR(__xludf.DUMMYFUNCTION("""COMPUTED_VALUE"""),0.916666666666666)</f>
        <v>0.91666666666666596</v>
      </c>
      <c r="X1783" s="5">
        <f ca="1">IFERROR(__xludf.DUMMYFUNCTION("""COMPUTED_VALUE"""),1)</f>
        <v>1</v>
      </c>
      <c r="Y1783" s="5" t="str">
        <f ca="1">IFERROR(__xludf.DUMMYFUNCTION("""COMPUTED_VALUE"""),"Drive-by after basketball game")</f>
        <v>Drive-by after basketball game</v>
      </c>
      <c r="Z1783" s="5" t="str">
        <f ca="1">IFERROR(__xludf.DUMMYFUNCTION("""COMPUTED_VALUE"""),"Shooter in a pick-up drove up to a group of students leaving a basketball game. After a verbal altercation, the shooter fired a 9mm handgun at the students, striking one of them in the leg. The shooter struck a pole leaving the parking lot and was apprehe"&amp;"nded by police in a nearby field.")</f>
        <v>Shooter in a pick-up drove up to a group of students leaving a basketball game. After a verbal altercation, the shooter fired a 9mm handgun at the students, striking one of them in the leg. The shooter struck a pole leaving the parking lot and was apprehended by police in a nearby field.</v>
      </c>
      <c r="AA1783" s="5" t="str">
        <f ca="1">IFERROR(__xludf.DUMMYFUNCTION("""COMPUTED_VALUE"""),"Drive-by Shooting")</f>
        <v>Drive-by Shooting</v>
      </c>
      <c r="AB1783" s="5" t="str">
        <f ca="1">IFERROR(__xludf.DUMMYFUNCTION("""COMPUTED_VALUE"""),"Victims Targeted")</f>
        <v>Victims Targeted</v>
      </c>
      <c r="AC1783" s="5" t="str">
        <f ca="1">IFERROR(__xludf.DUMMYFUNCTION("""COMPUTED_VALUE"""),"No")</f>
        <v>No</v>
      </c>
      <c r="AD1783" s="5" t="str">
        <f ca="1">IFERROR(__xludf.DUMMYFUNCTION("""COMPUTED_VALUE"""),"No")</f>
        <v>No</v>
      </c>
      <c r="AE1783" s="5" t="str">
        <f ca="1">IFERROR(__xludf.DUMMYFUNCTION("""COMPUTED_VALUE"""),"No")</f>
        <v>No</v>
      </c>
      <c r="AF1783" s="5" t="str">
        <f ca="1">IFERROR(__xludf.DUMMYFUNCTION("""COMPUTED_VALUE"""),"No")</f>
        <v>No</v>
      </c>
      <c r="AG1783" s="5" t="str">
        <f ca="1">IFERROR(__xludf.DUMMYFUNCTION("""COMPUTED_VALUE"""),"No")</f>
        <v>No</v>
      </c>
      <c r="AH1783" s="5" t="str">
        <f ca="1">IFERROR(__xludf.DUMMYFUNCTION("""COMPUTED_VALUE"""),"No")</f>
        <v>No</v>
      </c>
      <c r="AI1783" s="5" t="str">
        <f ca="1">IFERROR(__xludf.DUMMYFUNCTION("""COMPUTED_VALUE"""),"No")</f>
        <v>No</v>
      </c>
      <c r="AJ1783" s="5"/>
    </row>
    <row r="1784" spans="1:36" ht="13">
      <c r="A1784" s="5" t="str">
        <f ca="1">IFERROR(__xludf.DUMMYFUNCTION("""COMPUTED_VALUE"""),"19940208MIOSD")</f>
        <v>19940208MIOSD</v>
      </c>
      <c r="B1784" s="5">
        <f ca="1">IFERROR(__xludf.DUMMYFUNCTION("""COMPUTED_VALUE"""),2)</f>
        <v>2</v>
      </c>
      <c r="C1784" s="5">
        <f ca="1">IFERROR(__xludf.DUMMYFUNCTION("""COMPUTED_VALUE"""),8)</f>
        <v>8</v>
      </c>
      <c r="D1784" s="5">
        <f ca="1">IFERROR(__xludf.DUMMYFUNCTION("""COMPUTED_VALUE"""),1994)</f>
        <v>1994</v>
      </c>
      <c r="E1784" s="8">
        <f ca="1">IFERROR(__xludf.DUMMYFUNCTION("""COMPUTED_VALUE"""),34373)</f>
        <v>34373</v>
      </c>
      <c r="F1784" s="5" t="str">
        <f ca="1">IFERROR(__xludf.DUMMYFUNCTION("""COMPUTED_VALUE"""),"Osborn High School")</f>
        <v>Osborn High School</v>
      </c>
      <c r="G1784" s="5">
        <f ca="1">IFERROR(__xludf.DUMMYFUNCTION("""COMPUTED_VALUE"""),1)</f>
        <v>1</v>
      </c>
      <c r="H1784" s="5">
        <f ca="1">IFERROR(__xludf.DUMMYFUNCTION("""COMPUTED_VALUE"""),0)</f>
        <v>0</v>
      </c>
      <c r="I1784" s="5">
        <f ca="1">IFERROR(__xludf.DUMMYFUNCTION("""COMPUTED_VALUE"""),1)</f>
        <v>1</v>
      </c>
      <c r="J1784" s="5">
        <f ca="1">IFERROR(__xludf.DUMMYFUNCTION("""COMPUTED_VALUE"""),0)</f>
        <v>0</v>
      </c>
      <c r="K1784" s="5" t="str">
        <f ca="1">IFERROR(__xludf.DUMMYFUNCTION("""COMPUTED_VALUE"""),"https://www.newspapers.com/image/97831665/?terms=Steven%2BWatkins http://www.columbine-angels.com/School_Violence_1993-1994.htm")</f>
        <v>https://www.newspapers.com/image/97831665/?terms=Steven%2BWatkins http://www.columbine-angels.com/School_Violence_1993-1994.htm</v>
      </c>
      <c r="L1784" s="5"/>
      <c r="M1784" s="5"/>
      <c r="N1784" s="5">
        <f ca="1">IFERROR(__xludf.DUMMYFUNCTION("""COMPUTED_VALUE"""),2)</f>
        <v>2</v>
      </c>
      <c r="O1784" s="5" t="str">
        <f ca="1">IFERROR(__xludf.DUMMYFUNCTION("""COMPUTED_VALUE"""),"Winter")</f>
        <v>Winter</v>
      </c>
      <c r="P1784" s="5" t="str">
        <f ca="1">IFERROR(__xludf.DUMMYFUNCTION("""COMPUTED_VALUE"""),"Detroit")</f>
        <v>Detroit</v>
      </c>
      <c r="Q1784" s="5" t="str">
        <f ca="1">IFERROR(__xludf.DUMMYFUNCTION("""COMPUTED_VALUE"""),"MI")</f>
        <v>MI</v>
      </c>
      <c r="R1784" s="5" t="str">
        <f ca="1">IFERROR(__xludf.DUMMYFUNCTION("""COMPUTED_VALUE"""),"High")</f>
        <v>High</v>
      </c>
      <c r="S1784" s="5" t="str">
        <f ca="1">IFERROR(__xludf.DUMMYFUNCTION("""COMPUTED_VALUE"""),"Parking Lot")</f>
        <v>Parking Lot</v>
      </c>
      <c r="T1784" s="5" t="str">
        <f ca="1">IFERROR(__xludf.DUMMYFUNCTION("""COMPUTED_VALUE"""),"Outside on School Property")</f>
        <v>Outside on School Property</v>
      </c>
      <c r="U1784" s="5" t="str">
        <f ca="1">IFERROR(__xludf.DUMMYFUNCTION("""COMPUTED_VALUE"""),"Yes")</f>
        <v>Yes</v>
      </c>
      <c r="V1784" s="5"/>
      <c r="W1784" s="5"/>
      <c r="X1784" s="5">
        <f ca="1">IFERROR(__xludf.DUMMYFUNCTION("""COMPUTED_VALUE"""),1)</f>
        <v>1</v>
      </c>
      <c r="Y1784" s="5" t="str">
        <f ca="1">IFERROR(__xludf.DUMMYFUNCTION("""COMPUTED_VALUE"""),"Special ed student shot in parking lot")</f>
        <v>Special ed student shot in parking lot</v>
      </c>
      <c r="Z1784" s="5" t="str">
        <f ca="1">IFERROR(__xludf.DUMMYFUNCTION("""COMPUTED_VALUE"""),"A well-liked, special education student was shot in his car in the parking lot by an unknown gunman. No motive or suspect.")</f>
        <v>A well-liked, special education student was shot in his car in the parking lot by an unknown gunman. No motive or suspect.</v>
      </c>
      <c r="AA1784" s="5" t="str">
        <f ca="1">IFERROR(__xludf.DUMMYFUNCTION("""COMPUTED_VALUE"""),"Unknown")</f>
        <v>Unknown</v>
      </c>
      <c r="AB1784" s="5"/>
      <c r="AC1784" s="5" t="str">
        <f ca="1">IFERROR(__xludf.DUMMYFUNCTION("""COMPUTED_VALUE"""),"No")</f>
        <v>No</v>
      </c>
      <c r="AD1784" s="5" t="str">
        <f ca="1">IFERROR(__xludf.DUMMYFUNCTION("""COMPUTED_VALUE"""),"No")</f>
        <v>No</v>
      </c>
      <c r="AE1784" s="5" t="str">
        <f ca="1">IFERROR(__xludf.DUMMYFUNCTION("""COMPUTED_VALUE"""),"No")</f>
        <v>No</v>
      </c>
      <c r="AF1784" s="5" t="str">
        <f ca="1">IFERROR(__xludf.DUMMYFUNCTION("""COMPUTED_VALUE"""),"No")</f>
        <v>No</v>
      </c>
      <c r="AG1784" s="5" t="str">
        <f ca="1">IFERROR(__xludf.DUMMYFUNCTION("""COMPUTED_VALUE"""),"No")</f>
        <v>No</v>
      </c>
      <c r="AH1784" s="5" t="str">
        <f ca="1">IFERROR(__xludf.DUMMYFUNCTION("""COMPUTED_VALUE"""),"No")</f>
        <v>No</v>
      </c>
      <c r="AI1784" s="5" t="str">
        <f ca="1">IFERROR(__xludf.DUMMYFUNCTION("""COMPUTED_VALUE"""),"No")</f>
        <v>No</v>
      </c>
      <c r="AJ1784" s="5"/>
    </row>
    <row r="1785" spans="1:36" ht="13">
      <c r="A1785" s="5" t="str">
        <f ca="1">IFERROR(__xludf.DUMMYFUNCTION("""COMPUTED_VALUE"""),"19940131WAWHS")</f>
        <v>19940131WAWHS</v>
      </c>
      <c r="B1785" s="5">
        <f ca="1">IFERROR(__xludf.DUMMYFUNCTION("""COMPUTED_VALUE"""),1)</f>
        <v>1</v>
      </c>
      <c r="C1785" s="5">
        <f ca="1">IFERROR(__xludf.DUMMYFUNCTION("""COMPUTED_VALUE"""),31)</f>
        <v>31</v>
      </c>
      <c r="D1785" s="5">
        <f ca="1">IFERROR(__xludf.DUMMYFUNCTION("""COMPUTED_VALUE"""),1994)</f>
        <v>1994</v>
      </c>
      <c r="E1785" s="8">
        <f ca="1">IFERROR(__xludf.DUMMYFUNCTION("""COMPUTED_VALUE"""),34365)</f>
        <v>34365</v>
      </c>
      <c r="F1785" s="5" t="str">
        <f ca="1">IFERROR(__xludf.DUMMYFUNCTION("""COMPUTED_VALUE"""),"Whitman Middle School")</f>
        <v>Whitman Middle School</v>
      </c>
      <c r="G1785" s="5">
        <f ca="1">IFERROR(__xludf.DUMMYFUNCTION("""COMPUTED_VALUE"""),1)</f>
        <v>1</v>
      </c>
      <c r="H1785" s="5">
        <f ca="1">IFERROR(__xludf.DUMMYFUNCTION("""COMPUTED_VALUE"""),0)</f>
        <v>0</v>
      </c>
      <c r="I1785" s="5">
        <f ca="1">IFERROR(__xludf.DUMMYFUNCTION("""COMPUTED_VALUE"""),1)</f>
        <v>1</v>
      </c>
      <c r="J1785" s="5">
        <f ca="1">IFERROR(__xludf.DUMMYFUNCTION("""COMPUTED_VALUE"""),0)</f>
        <v>0</v>
      </c>
      <c r="K1785" s="5" t="str">
        <f ca="1">IFERROR(__xludf.DUMMYFUNCTION("""COMPUTED_VALUE"""),"https://www.seattletimes.com/seattle-news/crime/abuse-victim-who-killed-seattle-teacher-in-1994-now-charged-with-killing-girlfriend-in-spokane/ https://archive.seattletimes.com/archive/?date=19940131&amp;slug=1892799")</f>
        <v>https://www.seattletimes.com/seattle-news/crime/abuse-victim-who-killed-seattle-teacher-in-1994-now-charged-with-killing-girlfriend-in-spokane/ https://archive.seattletimes.com/archive/?date=19940131&amp;slug=1892799</v>
      </c>
      <c r="L1785" s="5"/>
      <c r="M1785" s="5"/>
      <c r="N1785" s="5">
        <f ca="1">IFERROR(__xludf.DUMMYFUNCTION("""COMPUTED_VALUE"""),2)</f>
        <v>2</v>
      </c>
      <c r="O1785" s="5" t="str">
        <f ca="1">IFERROR(__xludf.DUMMYFUNCTION("""COMPUTED_VALUE"""),"Winter")</f>
        <v>Winter</v>
      </c>
      <c r="P1785" s="5" t="str">
        <f ca="1">IFERROR(__xludf.DUMMYFUNCTION("""COMPUTED_VALUE"""),"Seattle")</f>
        <v>Seattle</v>
      </c>
      <c r="Q1785" s="5" t="str">
        <f ca="1">IFERROR(__xludf.DUMMYFUNCTION("""COMPUTED_VALUE"""),"WA")</f>
        <v>WA</v>
      </c>
      <c r="R1785" s="5" t="str">
        <f ca="1">IFERROR(__xludf.DUMMYFUNCTION("""COMPUTED_VALUE"""),"Middle")</f>
        <v>Middle</v>
      </c>
      <c r="S1785" s="5" t="str">
        <f ca="1">IFERROR(__xludf.DUMMYFUNCTION("""COMPUTED_VALUE"""),"Field (General)")</f>
        <v>Field (General)</v>
      </c>
      <c r="T1785" s="5" t="str">
        <f ca="1">IFERROR(__xludf.DUMMYFUNCTION("""COMPUTED_VALUE"""),"Outside on School Property")</f>
        <v>Outside on School Property</v>
      </c>
      <c r="U1785" s="5" t="str">
        <f ca="1">IFERROR(__xludf.DUMMYFUNCTION("""COMPUTED_VALUE"""),"No")</f>
        <v>No</v>
      </c>
      <c r="V1785" s="5" t="str">
        <f ca="1">IFERROR(__xludf.DUMMYFUNCTION("""COMPUTED_VALUE"""),"Before School")</f>
        <v>Before School</v>
      </c>
      <c r="W1785" s="10">
        <f ca="1">IFERROR(__xludf.DUMMYFUNCTION("""COMPUTED_VALUE"""),0.270833333333333)</f>
        <v>0.27083333333333298</v>
      </c>
      <c r="X1785" s="5">
        <f ca="1">IFERROR(__xludf.DUMMYFUNCTION("""COMPUTED_VALUE"""),1)</f>
        <v>1</v>
      </c>
      <c r="Y1785" s="5" t="str">
        <f ca="1">IFERROR(__xludf.DUMMYFUNCTION("""COMPUTED_VALUE"""),"Revenge for sexual abuse by teacher")</f>
        <v>Revenge for sexual abuse by teacher</v>
      </c>
      <c r="Z1785" s="5" t="str">
        <f ca="1">IFERROR(__xludf.DUMMYFUNCTION("""COMPUTED_VALUE"""),"The shooter attended Whitman Middle School in the early 1980s. In January 1994, when he was 24 years old, he hid outside the school with an assault-style rifle and shot his former social-studies teacher, Neal Summers, in the back from about 150 feet away."&amp;" Shooter stated that Summers had been sexually assaulting him since he was 14.")</f>
        <v>The shooter attended Whitman Middle School in the early 1980s. In January 1994, when he was 24 years old, he hid outside the school with an assault-style rifle and shot his former social-studies teacher, Neal Summers, in the back from about 150 feet away. Shooter stated that Summers had been sexually assaulting him since he was 14.</v>
      </c>
      <c r="AA1785" s="5" t="str">
        <f ca="1">IFERROR(__xludf.DUMMYFUNCTION("""COMPUTED_VALUE"""),"Domestic w/ Targeted Victim")</f>
        <v>Domestic w/ Targeted Victim</v>
      </c>
      <c r="AB1785" s="5" t="str">
        <f ca="1">IFERROR(__xludf.DUMMYFUNCTION("""COMPUTED_VALUE"""),"Victims Targeted")</f>
        <v>Victims Targeted</v>
      </c>
      <c r="AC1785" s="5" t="str">
        <f ca="1">IFERROR(__xludf.DUMMYFUNCTION("""COMPUTED_VALUE"""),"No")</f>
        <v>No</v>
      </c>
      <c r="AD1785" s="5" t="str">
        <f ca="1">IFERROR(__xludf.DUMMYFUNCTION("""COMPUTED_VALUE"""),"No")</f>
        <v>No</v>
      </c>
      <c r="AE1785" s="5" t="str">
        <f ca="1">IFERROR(__xludf.DUMMYFUNCTION("""COMPUTED_VALUE"""),"No")</f>
        <v>No</v>
      </c>
      <c r="AF1785" s="5" t="str">
        <f ca="1">IFERROR(__xludf.DUMMYFUNCTION("""COMPUTED_VALUE"""),"No")</f>
        <v>No</v>
      </c>
      <c r="AG1785" s="5" t="str">
        <f ca="1">IFERROR(__xludf.DUMMYFUNCTION("""COMPUTED_VALUE"""),"No")</f>
        <v>No</v>
      </c>
      <c r="AH1785" s="5" t="str">
        <f ca="1">IFERROR(__xludf.DUMMYFUNCTION("""COMPUTED_VALUE"""),"No")</f>
        <v>No</v>
      </c>
      <c r="AI1785" s="5" t="str">
        <f ca="1">IFERROR(__xludf.DUMMYFUNCTION("""COMPUTED_VALUE"""),"No")</f>
        <v>No</v>
      </c>
      <c r="AJ1785" s="5"/>
    </row>
    <row r="1786" spans="1:36" ht="13">
      <c r="A1786" s="5" t="str">
        <f ca="1">IFERROR(__xludf.DUMMYFUNCTION("""COMPUTED_VALUE"""),"19940127CAWAS")</f>
        <v>19940127CAWAS</v>
      </c>
      <c r="B1786" s="5">
        <f ca="1">IFERROR(__xludf.DUMMYFUNCTION("""COMPUTED_VALUE"""),1)</f>
        <v>1</v>
      </c>
      <c r="C1786" s="5">
        <f ca="1">IFERROR(__xludf.DUMMYFUNCTION("""COMPUTED_VALUE"""),27)</f>
        <v>27</v>
      </c>
      <c r="D1786" s="5">
        <f ca="1">IFERROR(__xludf.DUMMYFUNCTION("""COMPUTED_VALUE"""),1994)</f>
        <v>1994</v>
      </c>
      <c r="E1786" s="8">
        <f ca="1">IFERROR(__xludf.DUMMYFUNCTION("""COMPUTED_VALUE"""),34361)</f>
        <v>34361</v>
      </c>
      <c r="F1786" s="5" t="str">
        <f ca="1">IFERROR(__xludf.DUMMYFUNCTION("""COMPUTED_VALUE"""),"Washington Elementary School")</f>
        <v>Washington Elementary School</v>
      </c>
      <c r="G1786" s="5">
        <f ca="1">IFERROR(__xludf.DUMMYFUNCTION("""COMPUTED_VALUE"""),1)</f>
        <v>1</v>
      </c>
      <c r="H1786" s="5">
        <f ca="1">IFERROR(__xludf.DUMMYFUNCTION("""COMPUTED_VALUE"""),0)</f>
        <v>0</v>
      </c>
      <c r="I1786" s="5">
        <f ca="1">IFERROR(__xludf.DUMMYFUNCTION("""COMPUTED_VALUE"""),1)</f>
        <v>1</v>
      </c>
      <c r="J1786" s="5">
        <f ca="1">IFERROR(__xludf.DUMMYFUNCTION("""COMPUTED_VALUE"""),0)</f>
        <v>0</v>
      </c>
      <c r="K1786" s="5" t="str">
        <f ca="1">IFERROR(__xludf.DUMMYFUNCTION("""COMPUTED_VALUE"""),"https://caselaw.findlaw.com/ca-court-of-appeal/1122045.html https://caselaw.findlaw.com/ca-court-of-appeal/1775723.html")</f>
        <v>https://caselaw.findlaw.com/ca-court-of-appeal/1122045.html https://caselaw.findlaw.com/ca-court-of-appeal/1775723.html</v>
      </c>
      <c r="L1786" s="5"/>
      <c r="M1786" s="5"/>
      <c r="N1786" s="5">
        <f ca="1">IFERROR(__xludf.DUMMYFUNCTION("""COMPUTED_VALUE"""),5)</f>
        <v>5</v>
      </c>
      <c r="O1786" s="5" t="str">
        <f ca="1">IFERROR(__xludf.DUMMYFUNCTION("""COMPUTED_VALUE"""),"Winter")</f>
        <v>Winter</v>
      </c>
      <c r="P1786" s="5" t="str">
        <f ca="1">IFERROR(__xludf.DUMMYFUNCTION("""COMPUTED_VALUE"""),"San Jose")</f>
        <v>San Jose</v>
      </c>
      <c r="Q1786" s="5" t="str">
        <f ca="1">IFERROR(__xludf.DUMMYFUNCTION("""COMPUTED_VALUE"""),"CA")</f>
        <v>CA</v>
      </c>
      <c r="R1786" s="5" t="str">
        <f ca="1">IFERROR(__xludf.DUMMYFUNCTION("""COMPUTED_VALUE"""),"Elementary")</f>
        <v>Elementary</v>
      </c>
      <c r="S1786" s="5" t="str">
        <f ca="1">IFERROR(__xludf.DUMMYFUNCTION("""COMPUTED_VALUE"""),"Parking Lot")</f>
        <v>Parking Lot</v>
      </c>
      <c r="T1786" s="5" t="str">
        <f ca="1">IFERROR(__xludf.DUMMYFUNCTION("""COMPUTED_VALUE"""),"Outside on School Property")</f>
        <v>Outside on School Property</v>
      </c>
      <c r="U1786" s="5" t="str">
        <f ca="1">IFERROR(__xludf.DUMMYFUNCTION("""COMPUTED_VALUE"""),"Yes")</f>
        <v>Yes</v>
      </c>
      <c r="V1786" s="5"/>
      <c r="W1786" s="10">
        <f ca="1">IFERROR(__xludf.DUMMYFUNCTION("""COMPUTED_VALUE"""),0.604166666666666)</f>
        <v>0.60416666666666596</v>
      </c>
      <c r="X1786" s="5">
        <f ca="1">IFERROR(__xludf.DUMMYFUNCTION("""COMPUTED_VALUE"""),1)</f>
        <v>1</v>
      </c>
      <c r="Y1786" s="5" t="str">
        <f ca="1">IFERROR(__xludf.DUMMYFUNCTION("""COMPUTED_VALUE"""),"Targeted killing by gang members")</f>
        <v>Targeted killing by gang members</v>
      </c>
      <c r="Z1786" s="5" t="str">
        <f ca="1">IFERROR(__xludf.DUMMYFUNCTION("""COMPUTED_VALUE"""),"A group of gang members known as Surenos were out looking for rival gang members, Nortenos. They spotted the 22 year-old victim and his wife sitting in their car of the schools parking lot waiting to pick up their child. After a brief interaction, the gro"&amp;"up shot and killed the victim while he was sitting in his car.")</f>
        <v>A group of gang members known as Surenos were out looking for rival gang members, Nortenos. They spotted the 22 year-old victim and his wife sitting in their car of the schools parking lot waiting to pick up their child. After a brief interaction, the group shot and killed the victim while he was sitting in his car.</v>
      </c>
      <c r="AA1786" s="5" t="str">
        <f ca="1">IFERROR(__xludf.DUMMYFUNCTION("""COMPUTED_VALUE"""),"Escalation of Dispute")</f>
        <v>Escalation of Dispute</v>
      </c>
      <c r="AB1786" s="5" t="str">
        <f ca="1">IFERROR(__xludf.DUMMYFUNCTION("""COMPUTED_VALUE"""),"Victims Targeted")</f>
        <v>Victims Targeted</v>
      </c>
      <c r="AC1786" s="5" t="str">
        <f ca="1">IFERROR(__xludf.DUMMYFUNCTION("""COMPUTED_VALUE"""),"Yes")</f>
        <v>Yes</v>
      </c>
      <c r="AD1786" s="5" t="str">
        <f ca="1">IFERROR(__xludf.DUMMYFUNCTION("""COMPUTED_VALUE"""),"No")</f>
        <v>No</v>
      </c>
      <c r="AE1786" s="5" t="str">
        <f ca="1">IFERROR(__xludf.DUMMYFUNCTION("""COMPUTED_VALUE"""),"No")</f>
        <v>No</v>
      </c>
      <c r="AF1786" s="5" t="str">
        <f ca="1">IFERROR(__xludf.DUMMYFUNCTION("""COMPUTED_VALUE"""),"No")</f>
        <v>No</v>
      </c>
      <c r="AG1786" s="5" t="str">
        <f ca="1">IFERROR(__xludf.DUMMYFUNCTION("""COMPUTED_VALUE"""),"No")</f>
        <v>No</v>
      </c>
      <c r="AH1786" s="5" t="str">
        <f ca="1">IFERROR(__xludf.DUMMYFUNCTION("""COMPUTED_VALUE"""),"No")</f>
        <v>No</v>
      </c>
      <c r="AI1786" s="5" t="str">
        <f ca="1">IFERROR(__xludf.DUMMYFUNCTION("""COMPUTED_VALUE"""),"Yes")</f>
        <v>Yes</v>
      </c>
      <c r="AJ1786" s="5"/>
    </row>
    <row r="1787" spans="1:36" ht="13">
      <c r="A1787" s="5" t="str">
        <f ca="1">IFERROR(__xludf.DUMMYFUNCTION("""COMPUTED_VALUE"""),"19940126DCELW")</f>
        <v>19940126DCELW</v>
      </c>
      <c r="B1787" s="5">
        <f ca="1">IFERROR(__xludf.DUMMYFUNCTION("""COMPUTED_VALUE"""),1)</f>
        <v>1</v>
      </c>
      <c r="C1787" s="5">
        <f ca="1">IFERROR(__xludf.DUMMYFUNCTION("""COMPUTED_VALUE"""),26)</f>
        <v>26</v>
      </c>
      <c r="D1787" s="5">
        <f ca="1">IFERROR(__xludf.DUMMYFUNCTION("""COMPUTED_VALUE"""),1994)</f>
        <v>1994</v>
      </c>
      <c r="E1787" s="8">
        <f ca="1">IFERROR(__xludf.DUMMYFUNCTION("""COMPUTED_VALUE"""),34360)</f>
        <v>34360</v>
      </c>
      <c r="F1787" s="5" t="str">
        <f ca="1">IFERROR(__xludf.DUMMYFUNCTION("""COMPUTED_VALUE"""),"Eliot Junior High School")</f>
        <v>Eliot Junior High School</v>
      </c>
      <c r="G1787" s="5">
        <f ca="1">IFERROR(__xludf.DUMMYFUNCTION("""COMPUTED_VALUE"""),0)</f>
        <v>0</v>
      </c>
      <c r="H1787" s="5">
        <f ca="1">IFERROR(__xludf.DUMMYFUNCTION("""COMPUTED_VALUE"""),0)</f>
        <v>0</v>
      </c>
      <c r="I1787" s="5">
        <f ca="1">IFERROR(__xludf.DUMMYFUNCTION("""COMPUTED_VALUE"""),0)</f>
        <v>0</v>
      </c>
      <c r="J1787" s="5">
        <f ca="1">IFERROR(__xludf.DUMMYFUNCTION("""COMPUTED_VALUE"""),0)</f>
        <v>0</v>
      </c>
      <c r="K1787" s="5" t="str">
        <f ca="1">IFERROR(__xludf.DUMMYFUNCTION("""COMPUTED_VALUE"""),"Washington Post - School Shootings Break Out in D.C.; https://www.columbine-angels.com/School_Violence_1993-1994.htm")</f>
        <v>Washington Post - School Shootings Break Out in D.C.; https://www.columbine-angels.com/School_Violence_1993-1994.htm</v>
      </c>
      <c r="L1787" s="5"/>
      <c r="M1787" s="5"/>
      <c r="N1787" s="5">
        <f ca="1">IFERROR(__xludf.DUMMYFUNCTION("""COMPUTED_VALUE"""),1)</f>
        <v>1</v>
      </c>
      <c r="O1787" s="5" t="str">
        <f ca="1">IFERROR(__xludf.DUMMYFUNCTION("""COMPUTED_VALUE"""),"Winter")</f>
        <v>Winter</v>
      </c>
      <c r="P1787" s="5" t="str">
        <f ca="1">IFERROR(__xludf.DUMMYFUNCTION("""COMPUTED_VALUE"""),"Washington")</f>
        <v>Washington</v>
      </c>
      <c r="Q1787" s="5" t="str">
        <f ca="1">IFERROR(__xludf.DUMMYFUNCTION("""COMPUTED_VALUE"""),"DC")</f>
        <v>DC</v>
      </c>
      <c r="R1787" s="5" t="str">
        <f ca="1">IFERROR(__xludf.DUMMYFUNCTION("""COMPUTED_VALUE"""),"Junior High")</f>
        <v>Junior High</v>
      </c>
      <c r="S1787" s="5" t="str">
        <f ca="1">IFERROR(__xludf.DUMMYFUNCTION("""COMPUTED_VALUE"""),"Hallway")</f>
        <v>Hallway</v>
      </c>
      <c r="T1787" s="5" t="str">
        <f ca="1">IFERROR(__xludf.DUMMYFUNCTION("""COMPUTED_VALUE"""),"Inside School Building")</f>
        <v>Inside School Building</v>
      </c>
      <c r="U1787" s="5" t="str">
        <f ca="1">IFERROR(__xludf.DUMMYFUNCTION("""COMPUTED_VALUE"""),"Yes")</f>
        <v>Yes</v>
      </c>
      <c r="V1787" s="5" t="str">
        <f ca="1">IFERROR(__xludf.DUMMYFUNCTION("""COMPUTED_VALUE"""),"Dismissal")</f>
        <v>Dismissal</v>
      </c>
      <c r="W1787" s="10">
        <f ca="1">IFERROR(__xludf.DUMMYFUNCTION("""COMPUTED_VALUE"""),0.645833333333333)</f>
        <v>0.64583333333333304</v>
      </c>
      <c r="X1787" s="5">
        <f ca="1">IFERROR(__xludf.DUMMYFUNCTION("""COMPUTED_VALUE"""),1)</f>
        <v>1</v>
      </c>
      <c r="Y1787" s="5" t="str">
        <f ca="1">IFERROR(__xludf.DUMMYFUNCTION("""COMPUTED_VALUE"""),"Unknown gunman fired during dismissal, no injuries")</f>
        <v>Unknown gunman fired during dismissal, no injuries</v>
      </c>
      <c r="Z1787" s="5" t="str">
        <f ca="1">IFERROR(__xludf.DUMMYFUNCTION("""COMPUTED_VALUE"""),"Unknown shooter fired shots during dismissal.")</f>
        <v>Unknown shooter fired shots during dismissal.</v>
      </c>
      <c r="AA1787" s="5" t="str">
        <f ca="1">IFERROR(__xludf.DUMMYFUNCTION("""COMPUTED_VALUE"""),"Unknown")</f>
        <v>Unknown</v>
      </c>
      <c r="AB1787" s="5"/>
      <c r="AC1787" s="5" t="str">
        <f ca="1">IFERROR(__xludf.DUMMYFUNCTION("""COMPUTED_VALUE"""),"No")</f>
        <v>No</v>
      </c>
      <c r="AD1787" s="5" t="str">
        <f ca="1">IFERROR(__xludf.DUMMYFUNCTION("""COMPUTED_VALUE"""),"No")</f>
        <v>No</v>
      </c>
      <c r="AE1787" s="5" t="str">
        <f ca="1">IFERROR(__xludf.DUMMYFUNCTION("""COMPUTED_VALUE"""),"No")</f>
        <v>No</v>
      </c>
      <c r="AF1787" s="5" t="str">
        <f ca="1">IFERROR(__xludf.DUMMYFUNCTION("""COMPUTED_VALUE"""),"No")</f>
        <v>No</v>
      </c>
      <c r="AG1787" s="5" t="str">
        <f ca="1">IFERROR(__xludf.DUMMYFUNCTION("""COMPUTED_VALUE"""),"No")</f>
        <v>No</v>
      </c>
      <c r="AH1787" s="5" t="str">
        <f ca="1">IFERROR(__xludf.DUMMYFUNCTION("""COMPUTED_VALUE"""),"No")</f>
        <v>No</v>
      </c>
      <c r="AI1787" s="5"/>
      <c r="AJ1787" s="5"/>
    </row>
    <row r="1788" spans="1:36" ht="13">
      <c r="A1788" s="5" t="str">
        <f ca="1">IFERROR(__xludf.DUMMYFUNCTION("""COMPUTED_VALUE"""),"19940126DCPAW")</f>
        <v>19940126DCPAW</v>
      </c>
      <c r="B1788" s="5">
        <f ca="1">IFERROR(__xludf.DUMMYFUNCTION("""COMPUTED_VALUE"""),1)</f>
        <v>1</v>
      </c>
      <c r="C1788" s="5">
        <f ca="1">IFERROR(__xludf.DUMMYFUNCTION("""COMPUTED_VALUE"""),26)</f>
        <v>26</v>
      </c>
      <c r="D1788" s="5">
        <f ca="1">IFERROR(__xludf.DUMMYFUNCTION("""COMPUTED_VALUE"""),1994)</f>
        <v>1994</v>
      </c>
      <c r="E1788" s="8">
        <f ca="1">IFERROR(__xludf.DUMMYFUNCTION("""COMPUTED_VALUE"""),34360)</f>
        <v>34360</v>
      </c>
      <c r="F1788" s="5" t="str">
        <f ca="1">IFERROR(__xludf.DUMMYFUNCTION("""COMPUTED_VALUE"""),"Paul Lawrence Dunbar High School")</f>
        <v>Paul Lawrence Dunbar High School</v>
      </c>
      <c r="G1788" s="5">
        <f ca="1">IFERROR(__xludf.DUMMYFUNCTION("""COMPUTED_VALUE"""),0)</f>
        <v>0</v>
      </c>
      <c r="H1788" s="5">
        <f ca="1">IFERROR(__xludf.DUMMYFUNCTION("""COMPUTED_VALUE"""),0)</f>
        <v>0</v>
      </c>
      <c r="I1788" s="5">
        <f ca="1">IFERROR(__xludf.DUMMYFUNCTION("""COMPUTED_VALUE"""),0)</f>
        <v>0</v>
      </c>
      <c r="J1788" s="5">
        <f ca="1">IFERROR(__xludf.DUMMYFUNCTION("""COMPUTED_VALUE"""),0)</f>
        <v>0</v>
      </c>
      <c r="K1788" s="5" t="str">
        <f ca="1">IFERROR(__xludf.DUMMYFUNCTION("""COMPUTED_VALUE"""),"Washington Post - School Shootings Break Out in D.C.; https://www.columbine-angels.com/School_Violence_1993-1994.htm")</f>
        <v>Washington Post - School Shootings Break Out in D.C.; https://www.columbine-angels.com/School_Violence_1993-1994.htm</v>
      </c>
      <c r="L1788" s="5"/>
      <c r="M1788" s="5"/>
      <c r="N1788" s="5">
        <f ca="1">IFERROR(__xludf.DUMMYFUNCTION("""COMPUTED_VALUE"""),1)</f>
        <v>1</v>
      </c>
      <c r="O1788" s="5" t="str">
        <f ca="1">IFERROR(__xludf.DUMMYFUNCTION("""COMPUTED_VALUE"""),"Winter")</f>
        <v>Winter</v>
      </c>
      <c r="P1788" s="5" t="str">
        <f ca="1">IFERROR(__xludf.DUMMYFUNCTION("""COMPUTED_VALUE"""),"Washington")</f>
        <v>Washington</v>
      </c>
      <c r="Q1788" s="5" t="str">
        <f ca="1">IFERROR(__xludf.DUMMYFUNCTION("""COMPUTED_VALUE"""),"DC")</f>
        <v>DC</v>
      </c>
      <c r="R1788" s="5" t="str">
        <f ca="1">IFERROR(__xludf.DUMMYFUNCTION("""COMPUTED_VALUE"""),"High")</f>
        <v>High</v>
      </c>
      <c r="S1788" s="5" t="str">
        <f ca="1">IFERROR(__xludf.DUMMYFUNCTION("""COMPUTED_VALUE"""),"Hallway")</f>
        <v>Hallway</v>
      </c>
      <c r="T1788" s="5" t="str">
        <f ca="1">IFERROR(__xludf.DUMMYFUNCTION("""COMPUTED_VALUE"""),"Inside School Building")</f>
        <v>Inside School Building</v>
      </c>
      <c r="U1788" s="5" t="str">
        <f ca="1">IFERROR(__xludf.DUMMYFUNCTION("""COMPUTED_VALUE"""),"Yes")</f>
        <v>Yes</v>
      </c>
      <c r="V1788" s="5" t="str">
        <f ca="1">IFERROR(__xludf.DUMMYFUNCTION("""COMPUTED_VALUE"""),"Morning Classes")</f>
        <v>Morning Classes</v>
      </c>
      <c r="W1788" s="10">
        <f ca="1">IFERROR(__xludf.DUMMYFUNCTION("""COMPUTED_VALUE"""),0.451388888888888)</f>
        <v>0.45138888888888801</v>
      </c>
      <c r="X1788" s="5"/>
      <c r="Y1788" s="5" t="str">
        <f ca="1">IFERROR(__xludf.DUMMYFUNCTION("""COMPUTED_VALUE"""),"17 shots were fired inside and outside the school, police chased the unknown teen from school.")</f>
        <v>17 shots were fired inside and outside the school, police chased the unknown teen from school.</v>
      </c>
      <c r="Z1788" s="5" t="str">
        <f ca="1">IFERROR(__xludf.DUMMYFUNCTION("""COMPUTED_VALUE"""),"17 shots were fired in and around the school. Three males were arguing over a girl when the shots began inside the school. The shots continued outside the school until the police arrived and chased the unidentified teenager with a 9mm pistol. The shooter "&amp;"was caught and arrested. Nobody was injured.")</f>
        <v>17 shots were fired in and around the school. Three males were arguing over a girl when the shots began inside the school. The shots continued outside the school until the police arrived and chased the unidentified teenager with a 9mm pistol. The shooter was caught and arrested. Nobody was injured.</v>
      </c>
      <c r="AA1788" s="5" t="str">
        <f ca="1">IFERROR(__xludf.DUMMYFUNCTION("""COMPUTED_VALUE"""),"Intentional Property Damage")</f>
        <v>Intentional Property Damage</v>
      </c>
      <c r="AB1788" s="5"/>
      <c r="AC1788" s="5" t="str">
        <f ca="1">IFERROR(__xludf.DUMMYFUNCTION("""COMPUTED_VALUE"""),"Yes")</f>
        <v>Yes</v>
      </c>
      <c r="AD1788" s="5" t="str">
        <f ca="1">IFERROR(__xludf.DUMMYFUNCTION("""COMPUTED_VALUE"""),"No")</f>
        <v>No</v>
      </c>
      <c r="AE1788" s="5" t="str">
        <f ca="1">IFERROR(__xludf.DUMMYFUNCTION("""COMPUTED_VALUE"""),"No")</f>
        <v>No</v>
      </c>
      <c r="AF1788" s="5" t="str">
        <f ca="1">IFERROR(__xludf.DUMMYFUNCTION("""COMPUTED_VALUE"""),"No")</f>
        <v>No</v>
      </c>
      <c r="AG1788" s="5" t="str">
        <f ca="1">IFERROR(__xludf.DUMMYFUNCTION("""COMPUTED_VALUE"""),"No")</f>
        <v>No</v>
      </c>
      <c r="AH1788" s="5" t="str">
        <f ca="1">IFERROR(__xludf.DUMMYFUNCTION("""COMPUTED_VALUE"""),"No")</f>
        <v>No</v>
      </c>
      <c r="AI1788" s="5" t="str">
        <f ca="1">IFERROR(__xludf.DUMMYFUNCTION("""COMPUTED_VALUE"""),"No")</f>
        <v>No</v>
      </c>
      <c r="AJ1788" s="5" t="str">
        <f ca="1">IFERROR(__xludf.DUMMYFUNCTION("""COMPUTED_VALUE"""),"Yes")</f>
        <v>Yes</v>
      </c>
    </row>
    <row r="1789" spans="1:36" ht="13">
      <c r="A1789" s="5" t="str">
        <f ca="1">IFERROR(__xludf.DUMMYFUNCTION("""COMPUTED_VALUE"""),"19940124SCEAC")</f>
        <v>19940124SCEAC</v>
      </c>
      <c r="B1789" s="5">
        <f ca="1">IFERROR(__xludf.DUMMYFUNCTION("""COMPUTED_VALUE"""),1)</f>
        <v>1</v>
      </c>
      <c r="C1789" s="5">
        <f ca="1">IFERROR(__xludf.DUMMYFUNCTION("""COMPUTED_VALUE"""),24)</f>
        <v>24</v>
      </c>
      <c r="D1789" s="5">
        <f ca="1">IFERROR(__xludf.DUMMYFUNCTION("""COMPUTED_VALUE"""),1994)</f>
        <v>1994</v>
      </c>
      <c r="E1789" s="8">
        <f ca="1">IFERROR(__xludf.DUMMYFUNCTION("""COMPUTED_VALUE"""),34358)</f>
        <v>34358</v>
      </c>
      <c r="F1789" s="5" t="str">
        <f ca="1">IFERROR(__xludf.DUMMYFUNCTION("""COMPUTED_VALUE"""),"Eau Claire High School")</f>
        <v>Eau Claire High School</v>
      </c>
      <c r="G1789" s="5">
        <f ca="1">IFERROR(__xludf.DUMMYFUNCTION("""COMPUTED_VALUE"""),1)</f>
        <v>1</v>
      </c>
      <c r="H1789" s="5">
        <f ca="1">IFERROR(__xludf.DUMMYFUNCTION("""COMPUTED_VALUE"""),0)</f>
        <v>0</v>
      </c>
      <c r="I1789" s="5">
        <f ca="1">IFERROR(__xludf.DUMMYFUNCTION("""COMPUTED_VALUE"""),1)</f>
        <v>1</v>
      </c>
      <c r="J1789" s="5">
        <f ca="1">IFERROR(__xludf.DUMMYFUNCTION("""COMPUTED_VALUE"""),0)</f>
        <v>0</v>
      </c>
      <c r="K1789" s="5" t="str">
        <f ca="1">IFERROR(__xludf.DUMMYFUNCTION("""COMPUTED_VALUE"""),"https://www.independentmail.com/story/news/local/2016/09/28/south-carolina-has-history-school-shootings/91236014/ http://www.columbine-angels.com/School_Violence_1993-1994.htm")</f>
        <v>https://www.independentmail.com/story/news/local/2016/09/28/south-carolina-has-history-school-shootings/91236014/ http://www.columbine-angels.com/School_Violence_1993-1994.htm</v>
      </c>
      <c r="L1789" s="5"/>
      <c r="M1789" s="5"/>
      <c r="N1789" s="5">
        <f ca="1">IFERROR(__xludf.DUMMYFUNCTION("""COMPUTED_VALUE"""),2)</f>
        <v>2</v>
      </c>
      <c r="O1789" s="5" t="str">
        <f ca="1">IFERROR(__xludf.DUMMYFUNCTION("""COMPUTED_VALUE"""),"Winter")</f>
        <v>Winter</v>
      </c>
      <c r="P1789" s="5" t="str">
        <f ca="1">IFERROR(__xludf.DUMMYFUNCTION("""COMPUTED_VALUE"""),"Columbia")</f>
        <v>Columbia</v>
      </c>
      <c r="Q1789" s="5" t="str">
        <f ca="1">IFERROR(__xludf.DUMMYFUNCTION("""COMPUTED_VALUE"""),"SC")</f>
        <v>SC</v>
      </c>
      <c r="R1789" s="5" t="str">
        <f ca="1">IFERROR(__xludf.DUMMYFUNCTION("""COMPUTED_VALUE"""),"High")</f>
        <v>High</v>
      </c>
      <c r="S1789" s="5" t="str">
        <f ca="1">IFERROR(__xludf.DUMMYFUNCTION("""COMPUTED_VALUE"""),"Hallway")</f>
        <v>Hallway</v>
      </c>
      <c r="T1789" s="5" t="str">
        <f ca="1">IFERROR(__xludf.DUMMYFUNCTION("""COMPUTED_VALUE"""),"Inside School Building")</f>
        <v>Inside School Building</v>
      </c>
      <c r="U1789" s="5" t="str">
        <f ca="1">IFERROR(__xludf.DUMMYFUNCTION("""COMPUTED_VALUE"""),"Yes")</f>
        <v>Yes</v>
      </c>
      <c r="V1789" s="5" t="str">
        <f ca="1">IFERROR(__xludf.DUMMYFUNCTION("""COMPUTED_VALUE"""),"Unknown")</f>
        <v>Unknown</v>
      </c>
      <c r="W1789" s="5"/>
      <c r="X1789" s="5">
        <f ca="1">IFERROR(__xludf.DUMMYFUNCTION("""COMPUTED_VALUE"""),1)</f>
        <v>1</v>
      </c>
      <c r="Y1789" s="5" t="str">
        <f ca="1">IFERROR(__xludf.DUMMYFUNCTION("""COMPUTED_VALUE"""),"Shot specific victim (bully) in hallway, then fled.")</f>
        <v>Shot specific victim (bully) in hallway, then fled.</v>
      </c>
      <c r="Z1789" s="5" t="str">
        <f ca="1">IFERROR(__xludf.DUMMYFUNCTION("""COMPUTED_VALUE"""),"18 year-old male shot the victim with a .22 handgun in the school hallway in between classes. He fled the scene and was later arrested at his house. The shooter was bullied by the victim. He was later acquitted for murder charge based on the argument that"&amp;" he was vulnerable and defending himself against the victim.")</f>
        <v>18 year-old male shot the victim with a .22 handgun in the school hallway in between classes. He fled the scene and was later arrested at his house. The shooter was bullied by the victim. He was later acquitted for murder charge based on the argument that he was vulnerable and defending himself against the victim.</v>
      </c>
      <c r="AA1789" s="5" t="str">
        <f ca="1">IFERROR(__xludf.DUMMYFUNCTION("""COMPUTED_VALUE"""),"Bullying")</f>
        <v>Bullying</v>
      </c>
      <c r="AB1789" s="5" t="str">
        <f ca="1">IFERROR(__xludf.DUMMYFUNCTION("""COMPUTED_VALUE"""),"Victims Targeted")</f>
        <v>Victims Targeted</v>
      </c>
      <c r="AC1789" s="5" t="str">
        <f ca="1">IFERROR(__xludf.DUMMYFUNCTION("""COMPUTED_VALUE"""),"No")</f>
        <v>No</v>
      </c>
      <c r="AD1789" s="5" t="str">
        <f ca="1">IFERROR(__xludf.DUMMYFUNCTION("""COMPUTED_VALUE"""),"No")</f>
        <v>No</v>
      </c>
      <c r="AE1789" s="5" t="str">
        <f ca="1">IFERROR(__xludf.DUMMYFUNCTION("""COMPUTED_VALUE"""),"No")</f>
        <v>No</v>
      </c>
      <c r="AF1789" s="5" t="str">
        <f ca="1">IFERROR(__xludf.DUMMYFUNCTION("""COMPUTED_VALUE"""),"No")</f>
        <v>No</v>
      </c>
      <c r="AG1789" s="5" t="str">
        <f ca="1">IFERROR(__xludf.DUMMYFUNCTION("""COMPUTED_VALUE"""),"Yes")</f>
        <v>Yes</v>
      </c>
      <c r="AH1789" s="5" t="str">
        <f ca="1">IFERROR(__xludf.DUMMYFUNCTION("""COMPUTED_VALUE"""),"No")</f>
        <v>No</v>
      </c>
      <c r="AI1789" s="5" t="str">
        <f ca="1">IFERROR(__xludf.DUMMYFUNCTION("""COMPUTED_VALUE"""),"No")</f>
        <v>No</v>
      </c>
      <c r="AJ1789" s="5"/>
    </row>
    <row r="1790" spans="1:36" ht="13">
      <c r="A1790" s="5" t="str">
        <f ca="1">IFERROR(__xludf.DUMMYFUNCTION("""COMPUTED_VALUE"""),"19940121TXKEK")</f>
        <v>19940121TXKEK</v>
      </c>
      <c r="B1790" s="5">
        <f ca="1">IFERROR(__xludf.DUMMYFUNCTION("""COMPUTED_VALUE"""),1)</f>
        <v>1</v>
      </c>
      <c r="C1790" s="5">
        <f ca="1">IFERROR(__xludf.DUMMYFUNCTION("""COMPUTED_VALUE"""),21)</f>
        <v>21</v>
      </c>
      <c r="D1790" s="5">
        <f ca="1">IFERROR(__xludf.DUMMYFUNCTION("""COMPUTED_VALUE"""),1994)</f>
        <v>1994</v>
      </c>
      <c r="E1790" s="8">
        <f ca="1">IFERROR(__xludf.DUMMYFUNCTION("""COMPUTED_VALUE"""),34355)</f>
        <v>34355</v>
      </c>
      <c r="F1790" s="5" t="str">
        <f ca="1">IFERROR(__xludf.DUMMYFUNCTION("""COMPUTED_VALUE"""),"Kennard High School")</f>
        <v>Kennard High School</v>
      </c>
      <c r="G1790" s="5">
        <f ca="1">IFERROR(__xludf.DUMMYFUNCTION("""COMPUTED_VALUE"""),0)</f>
        <v>0</v>
      </c>
      <c r="H1790" s="5">
        <f ca="1">IFERROR(__xludf.DUMMYFUNCTION("""COMPUTED_VALUE"""),0)</f>
        <v>0</v>
      </c>
      <c r="I1790" s="5">
        <f ca="1">IFERROR(__xludf.DUMMYFUNCTION("""COMPUTED_VALUE"""),0)</f>
        <v>0</v>
      </c>
      <c r="J1790" s="5">
        <f ca="1">IFERROR(__xludf.DUMMYFUNCTION("""COMPUTED_VALUE"""),1)</f>
        <v>1</v>
      </c>
      <c r="K1790" s="9" t="str">
        <f ca="1">IFERROR(__xludf.DUMMYFUNCTION("""COMPUTED_VALUE"""),"https://www.newspapers.com/image/219396903/?terms=Kennard%2BHigh%2BSchool%2Bsuicide")</f>
        <v>https://www.newspapers.com/image/219396903/?terms=Kennard%2BHigh%2BSchool%2Bsuicide</v>
      </c>
      <c r="L1790" s="5"/>
      <c r="M1790" s="5"/>
      <c r="N1790" s="5">
        <f ca="1">IFERROR(__xludf.DUMMYFUNCTION("""COMPUTED_VALUE"""),2)</f>
        <v>2</v>
      </c>
      <c r="O1790" s="5" t="str">
        <f ca="1">IFERROR(__xludf.DUMMYFUNCTION("""COMPUTED_VALUE"""),"Winter")</f>
        <v>Winter</v>
      </c>
      <c r="P1790" s="5" t="str">
        <f ca="1">IFERROR(__xludf.DUMMYFUNCTION("""COMPUTED_VALUE"""),"Kennard")</f>
        <v>Kennard</v>
      </c>
      <c r="Q1790" s="5" t="str">
        <f ca="1">IFERROR(__xludf.DUMMYFUNCTION("""COMPUTED_VALUE"""),"TX")</f>
        <v>TX</v>
      </c>
      <c r="R1790" s="5" t="str">
        <f ca="1">IFERROR(__xludf.DUMMYFUNCTION("""COMPUTED_VALUE"""),"High")</f>
        <v>High</v>
      </c>
      <c r="S1790" s="5" t="str">
        <f ca="1">IFERROR(__xludf.DUMMYFUNCTION("""COMPUTED_VALUE"""),"Classroom")</f>
        <v>Classroom</v>
      </c>
      <c r="T1790" s="5" t="str">
        <f ca="1">IFERROR(__xludf.DUMMYFUNCTION("""COMPUTED_VALUE"""),"Inside School Building")</f>
        <v>Inside School Building</v>
      </c>
      <c r="U1790" s="5" t="str">
        <f ca="1">IFERROR(__xludf.DUMMYFUNCTION("""COMPUTED_VALUE"""),"Yes")</f>
        <v>Yes</v>
      </c>
      <c r="V1790" s="5" t="str">
        <f ca="1">IFERROR(__xludf.DUMMYFUNCTION("""COMPUTED_VALUE"""),"Morning Classes")</f>
        <v>Morning Classes</v>
      </c>
      <c r="W1790" s="10">
        <f ca="1">IFERROR(__xludf.DUMMYFUNCTION("""COMPUTED_VALUE"""),0.334722222222222)</f>
        <v>0.33472222222222198</v>
      </c>
      <c r="X1790" s="5">
        <f ca="1">IFERROR(__xludf.DUMMYFUNCTION("""COMPUTED_VALUE"""),1)</f>
        <v>1</v>
      </c>
      <c r="Y1790" s="5" t="str">
        <f ca="1">IFERROR(__xludf.DUMMYFUNCTION("""COMPUTED_VALUE"""),"Suicide in school")</f>
        <v>Suicide in school</v>
      </c>
      <c r="Z1790" s="5" t="str">
        <f ca="1">IFERROR(__xludf.DUMMYFUNCTION("""COMPUTED_VALUE"""),"17 year-old male student commit suicide in school. In one of his classes he commanded the teacher and students to exit. An administrator and teacher tried to speak with the student, but he demanded they leave him alone. He shot himself with a .30-30 rifle"&amp;". A note cited personal problems.")</f>
        <v>17 year-old male student commit suicide in school. In one of his classes he commanded the teacher and students to exit. An administrator and teacher tried to speak with the student, but he demanded they leave him alone. He shot himself with a .30-30 rifle. A note cited personal problems.</v>
      </c>
      <c r="AA1790" s="5" t="str">
        <f ca="1">IFERROR(__xludf.DUMMYFUNCTION("""COMPUTED_VALUE"""),"Suicide/Attempted")</f>
        <v>Suicide/Attempted</v>
      </c>
      <c r="AB1790" s="5" t="str">
        <f ca="1">IFERROR(__xludf.DUMMYFUNCTION("""COMPUTED_VALUE"""),"Victims Targeted")</f>
        <v>Victims Targeted</v>
      </c>
      <c r="AC1790" s="5" t="str">
        <f ca="1">IFERROR(__xludf.DUMMYFUNCTION("""COMPUTED_VALUE"""),"No")</f>
        <v>No</v>
      </c>
      <c r="AD1790" s="5" t="str">
        <f ca="1">IFERROR(__xludf.DUMMYFUNCTION("""COMPUTED_VALUE"""),"No")</f>
        <v>No</v>
      </c>
      <c r="AE1790" s="5" t="str">
        <f ca="1">IFERROR(__xludf.DUMMYFUNCTION("""COMPUTED_VALUE"""),"No")</f>
        <v>No</v>
      </c>
      <c r="AF1790" s="5" t="str">
        <f ca="1">IFERROR(__xludf.DUMMYFUNCTION("""COMPUTED_VALUE"""),"No")</f>
        <v>No</v>
      </c>
      <c r="AG1790" s="5" t="str">
        <f ca="1">IFERROR(__xludf.DUMMYFUNCTION("""COMPUTED_VALUE"""),"No")</f>
        <v>No</v>
      </c>
      <c r="AH1790" s="5" t="str">
        <f ca="1">IFERROR(__xludf.DUMMYFUNCTION("""COMPUTED_VALUE"""),"No")</f>
        <v>No</v>
      </c>
      <c r="AI1790" s="5" t="str">
        <f ca="1">IFERROR(__xludf.DUMMYFUNCTION("""COMPUTED_VALUE"""),"No")</f>
        <v>No</v>
      </c>
      <c r="AJ1790" s="5"/>
    </row>
    <row r="1791" spans="1:36" ht="13">
      <c r="A1791" s="5" t="str">
        <f ca="1">IFERROR(__xludf.DUMMYFUNCTION("""COMPUTED_VALUE"""),"19940120CALOH")</f>
        <v>19940120CALOH</v>
      </c>
      <c r="B1791" s="5">
        <f ca="1">IFERROR(__xludf.DUMMYFUNCTION("""COMPUTED_VALUE"""),1)</f>
        <v>1</v>
      </c>
      <c r="C1791" s="5">
        <f ca="1">IFERROR(__xludf.DUMMYFUNCTION("""COMPUTED_VALUE"""),20)</f>
        <v>20</v>
      </c>
      <c r="D1791" s="5">
        <f ca="1">IFERROR(__xludf.DUMMYFUNCTION("""COMPUTED_VALUE"""),1994)</f>
        <v>1994</v>
      </c>
      <c r="E1791" s="8">
        <f ca="1">IFERROR(__xludf.DUMMYFUNCTION("""COMPUTED_VALUE"""),34354)</f>
        <v>34354</v>
      </c>
      <c r="F1791" s="5" t="str">
        <f ca="1">IFERROR(__xludf.DUMMYFUNCTION("""COMPUTED_VALUE"""),"Los Altos High School")</f>
        <v>Los Altos High School</v>
      </c>
      <c r="G1791" s="5">
        <f ca="1">IFERROR(__xludf.DUMMYFUNCTION("""COMPUTED_VALUE"""),1)</f>
        <v>1</v>
      </c>
      <c r="H1791" s="5">
        <f ca="1">IFERROR(__xludf.DUMMYFUNCTION("""COMPUTED_VALUE"""),0)</f>
        <v>0</v>
      </c>
      <c r="I1791" s="5">
        <f ca="1">IFERROR(__xludf.DUMMYFUNCTION("""COMPUTED_VALUE"""),1)</f>
        <v>1</v>
      </c>
      <c r="J1791" s="5">
        <f ca="1">IFERROR(__xludf.DUMMYFUNCTION("""COMPUTED_VALUE"""),0)</f>
        <v>0</v>
      </c>
      <c r="K1791" s="9" t="str">
        <f ca="1">IFERROR(__xludf.DUMMYFUNCTION("""COMPUTED_VALUE"""),"https://www.newspapers.com/image/159190089/?terms=Los%2BAltos%2BHigh%2BSchool")</f>
        <v>https://www.newspapers.com/image/159190089/?terms=Los%2BAltos%2BHigh%2BSchool</v>
      </c>
      <c r="L1791" s="5"/>
      <c r="M1791" s="5"/>
      <c r="N1791" s="5">
        <f ca="1">IFERROR(__xludf.DUMMYFUNCTION("""COMPUTED_VALUE"""),2)</f>
        <v>2</v>
      </c>
      <c r="O1791" s="5" t="str">
        <f ca="1">IFERROR(__xludf.DUMMYFUNCTION("""COMPUTED_VALUE"""),"Winter")</f>
        <v>Winter</v>
      </c>
      <c r="P1791" s="5" t="str">
        <f ca="1">IFERROR(__xludf.DUMMYFUNCTION("""COMPUTED_VALUE"""),"Hacienda Heights")</f>
        <v>Hacienda Heights</v>
      </c>
      <c r="Q1791" s="5" t="str">
        <f ca="1">IFERROR(__xludf.DUMMYFUNCTION("""COMPUTED_VALUE"""),"CA")</f>
        <v>CA</v>
      </c>
      <c r="R1791" s="5" t="str">
        <f ca="1">IFERROR(__xludf.DUMMYFUNCTION("""COMPUTED_VALUE"""),"High")</f>
        <v>High</v>
      </c>
      <c r="S1791" s="5" t="str">
        <f ca="1">IFERROR(__xludf.DUMMYFUNCTION("""COMPUTED_VALUE"""),"Parking Lot")</f>
        <v>Parking Lot</v>
      </c>
      <c r="T1791" s="5" t="str">
        <f ca="1">IFERROR(__xludf.DUMMYFUNCTION("""COMPUTED_VALUE"""),"Outside on School Property")</f>
        <v>Outside on School Property</v>
      </c>
      <c r="U1791" s="5" t="str">
        <f ca="1">IFERROR(__xludf.DUMMYFUNCTION("""COMPUTED_VALUE"""),"No")</f>
        <v>No</v>
      </c>
      <c r="V1791" s="5" t="str">
        <f ca="1">IFERROR(__xludf.DUMMYFUNCTION("""COMPUTED_VALUE"""),"After School")</f>
        <v>After School</v>
      </c>
      <c r="W1791" s="10">
        <f ca="1">IFERROR(__xludf.DUMMYFUNCTION("""COMPUTED_VALUE"""),0.631944444444444)</f>
        <v>0.63194444444444398</v>
      </c>
      <c r="X1791" s="5">
        <f ca="1">IFERROR(__xludf.DUMMYFUNCTION("""COMPUTED_VALUE"""),1)</f>
        <v>1</v>
      </c>
      <c r="Y1791" s="5" t="str">
        <f ca="1">IFERROR(__xludf.DUMMYFUNCTION("""COMPUTED_VALUE"""),"Shot 3 times in parking lot after argument")</f>
        <v>Shot 3 times in parking lot after argument</v>
      </c>
      <c r="Z1791" s="5" t="str">
        <f ca="1">IFERROR(__xludf.DUMMYFUNCTION("""COMPUTED_VALUE"""),"17 year-old male student was shot 3 times in the parking lot after an argument with a car full of unknown males. Some students mentioned that there had been tension between an Asian gang and Latinos students.")</f>
        <v>17 year-old male student was shot 3 times in the parking lot after an argument with a car full of unknown males. Some students mentioned that there had been tension between an Asian gang and Latinos students.</v>
      </c>
      <c r="AA1791" s="5" t="str">
        <f ca="1">IFERROR(__xludf.DUMMYFUNCTION("""COMPUTED_VALUE"""),"Escalation of Dispute")</f>
        <v>Escalation of Dispute</v>
      </c>
      <c r="AB1791" s="5" t="str">
        <f ca="1">IFERROR(__xludf.DUMMYFUNCTION("""COMPUTED_VALUE"""),"Victims Targeted")</f>
        <v>Victims Targeted</v>
      </c>
      <c r="AC1791" s="5" t="str">
        <f ca="1">IFERROR(__xludf.DUMMYFUNCTION("""COMPUTED_VALUE"""),"Yes")</f>
        <v>Yes</v>
      </c>
      <c r="AD1791" s="5" t="str">
        <f ca="1">IFERROR(__xludf.DUMMYFUNCTION("""COMPUTED_VALUE"""),"No")</f>
        <v>No</v>
      </c>
      <c r="AE1791" s="5" t="str">
        <f ca="1">IFERROR(__xludf.DUMMYFUNCTION("""COMPUTED_VALUE"""),"No")</f>
        <v>No</v>
      </c>
      <c r="AF1791" s="5" t="str">
        <f ca="1">IFERROR(__xludf.DUMMYFUNCTION("""COMPUTED_VALUE"""),"No")</f>
        <v>No</v>
      </c>
      <c r="AG1791" s="5" t="str">
        <f ca="1">IFERROR(__xludf.DUMMYFUNCTION("""COMPUTED_VALUE"""),"No")</f>
        <v>No</v>
      </c>
      <c r="AH1791" s="5" t="str">
        <f ca="1">IFERROR(__xludf.DUMMYFUNCTION("""COMPUTED_VALUE"""),"No")</f>
        <v>No</v>
      </c>
      <c r="AI1791" s="5" t="str">
        <f ca="1">IFERROR(__xludf.DUMMYFUNCTION("""COMPUTED_VALUE"""),"Yes")</f>
        <v>Yes</v>
      </c>
      <c r="AJ1791" s="5"/>
    </row>
    <row r="1792" spans="1:36" ht="13">
      <c r="A1792" s="5" t="str">
        <f ca="1">IFERROR(__xludf.DUMMYFUNCTION("""COMPUTED_VALUE"""),"19931217MICHC")</f>
        <v>19931217MICHC</v>
      </c>
      <c r="B1792" s="5">
        <f ca="1">IFERROR(__xludf.DUMMYFUNCTION("""COMPUTED_VALUE"""),12)</f>
        <v>12</v>
      </c>
      <c r="C1792" s="5">
        <f ca="1">IFERROR(__xludf.DUMMYFUNCTION("""COMPUTED_VALUE"""),17)</f>
        <v>17</v>
      </c>
      <c r="D1792" s="5">
        <f ca="1">IFERROR(__xludf.DUMMYFUNCTION("""COMPUTED_VALUE"""),1993)</f>
        <v>1993</v>
      </c>
      <c r="E1792" s="8">
        <f ca="1">IFERROR(__xludf.DUMMYFUNCTION("""COMPUTED_VALUE"""),34320)</f>
        <v>34320</v>
      </c>
      <c r="F1792" s="5" t="str">
        <f ca="1">IFERROR(__xludf.DUMMYFUNCTION("""COMPUTED_VALUE"""),"Chelsea High School")</f>
        <v>Chelsea High School</v>
      </c>
      <c r="G1792" s="5">
        <f ca="1">IFERROR(__xludf.DUMMYFUNCTION("""COMPUTED_VALUE"""),1)</f>
        <v>1</v>
      </c>
      <c r="H1792" s="5">
        <f ca="1">IFERROR(__xludf.DUMMYFUNCTION("""COMPUTED_VALUE"""),2)</f>
        <v>2</v>
      </c>
      <c r="I1792" s="5">
        <f ca="1">IFERROR(__xludf.DUMMYFUNCTION("""COMPUTED_VALUE"""),3)</f>
        <v>3</v>
      </c>
      <c r="J1792" s="5">
        <f ca="1">IFERROR(__xludf.DUMMYFUNCTION("""COMPUTED_VALUE"""),0)</f>
        <v>0</v>
      </c>
      <c r="K1792" s="9" t="str">
        <f ca="1">IFERROR(__xludf.DUMMYFUNCTION("""COMPUTED_VALUE"""),"https://www.mlive.com/politics/index.ssf/2013/04/chelsea_school_shooter_gun_con.html")</f>
        <v>https://www.mlive.com/politics/index.ssf/2013/04/chelsea_school_shooter_gun_con.html</v>
      </c>
      <c r="L1792" s="5"/>
      <c r="M1792" s="5"/>
      <c r="N1792" s="5">
        <f ca="1">IFERROR(__xludf.DUMMYFUNCTION("""COMPUTED_VALUE"""),2)</f>
        <v>2</v>
      </c>
      <c r="O1792" s="5" t="str">
        <f ca="1">IFERROR(__xludf.DUMMYFUNCTION("""COMPUTED_VALUE"""),"Winter")</f>
        <v>Winter</v>
      </c>
      <c r="P1792" s="5" t="str">
        <f ca="1">IFERROR(__xludf.DUMMYFUNCTION("""COMPUTED_VALUE"""),"Chelsea")</f>
        <v>Chelsea</v>
      </c>
      <c r="Q1792" s="5" t="str">
        <f ca="1">IFERROR(__xludf.DUMMYFUNCTION("""COMPUTED_VALUE"""),"MI")</f>
        <v>MI</v>
      </c>
      <c r="R1792" s="5" t="str">
        <f ca="1">IFERROR(__xludf.DUMMYFUNCTION("""COMPUTED_VALUE"""),"High")</f>
        <v>High</v>
      </c>
      <c r="S1792" s="5" t="str">
        <f ca="1">IFERROR(__xludf.DUMMYFUNCTION("""COMPUTED_VALUE"""),"Office")</f>
        <v>Office</v>
      </c>
      <c r="T1792" s="5" t="str">
        <f ca="1">IFERROR(__xludf.DUMMYFUNCTION("""COMPUTED_VALUE"""),"Inside School Building")</f>
        <v>Inside School Building</v>
      </c>
      <c r="U1792" s="5" t="str">
        <f ca="1">IFERROR(__xludf.DUMMYFUNCTION("""COMPUTED_VALUE"""),"No")</f>
        <v>No</v>
      </c>
      <c r="V1792" s="5" t="str">
        <f ca="1">IFERROR(__xludf.DUMMYFUNCTION("""COMPUTED_VALUE"""),"After School")</f>
        <v>After School</v>
      </c>
      <c r="W1792" s="5"/>
      <c r="X1792" s="5"/>
      <c r="Y1792" s="5" t="str">
        <f ca="1">IFERROR(__xludf.DUMMYFUNCTION("""COMPUTED_VALUE"""),"Suspect - science teacher - walked into afterschool staff meeting and shot other staff members")</f>
        <v>Suspect - science teacher - walked into afterschool staff meeting and shot other staff members</v>
      </c>
      <c r="Z1792" s="5" t="str">
        <f ca="1">IFERROR(__xludf.DUMMYFUNCTION("""COMPUTED_VALUE"""),"Suspect was angry for being reprimanded by school admin over his inappropriate remarks related to a student")</f>
        <v>Suspect was angry for being reprimanded by school admin over his inappropriate remarks related to a student</v>
      </c>
      <c r="AA1792" s="5" t="str">
        <f ca="1">IFERROR(__xludf.DUMMYFUNCTION("""COMPUTED_VALUE"""),"Anger Over Grade/Suspension/Discipline")</f>
        <v>Anger Over Grade/Suspension/Discipline</v>
      </c>
      <c r="AB1792" s="5" t="str">
        <f ca="1">IFERROR(__xludf.DUMMYFUNCTION("""COMPUTED_VALUE"""),"Victims Targeted")</f>
        <v>Victims Targeted</v>
      </c>
      <c r="AC1792" s="5"/>
      <c r="AD1792" s="5" t="str">
        <f ca="1">IFERROR(__xludf.DUMMYFUNCTION("""COMPUTED_VALUE"""),"No")</f>
        <v>No</v>
      </c>
      <c r="AE1792" s="5" t="str">
        <f ca="1">IFERROR(__xludf.DUMMYFUNCTION("""COMPUTED_VALUE"""),"No")</f>
        <v>No</v>
      </c>
      <c r="AF1792" s="5" t="str">
        <f ca="1">IFERROR(__xludf.DUMMYFUNCTION("""COMPUTED_VALUE"""),"No")</f>
        <v>No</v>
      </c>
      <c r="AG1792" s="5" t="str">
        <f ca="1">IFERROR(__xludf.DUMMYFUNCTION("""COMPUTED_VALUE"""),"No")</f>
        <v>No</v>
      </c>
      <c r="AH1792" s="5" t="str">
        <f ca="1">IFERROR(__xludf.DUMMYFUNCTION("""COMPUTED_VALUE"""),"No")</f>
        <v>No</v>
      </c>
      <c r="AI1792" s="5" t="str">
        <f ca="1">IFERROR(__xludf.DUMMYFUNCTION("""COMPUTED_VALUE"""),"No")</f>
        <v>No</v>
      </c>
      <c r="AJ1792" s="5" t="str">
        <f ca="1">IFERROR(__xludf.DUMMYFUNCTION("""COMPUTED_VALUE"""),"Yes")</f>
        <v>Yes</v>
      </c>
    </row>
    <row r="1793" spans="1:36" ht="13">
      <c r="A1793" s="5" t="str">
        <f ca="1">IFERROR(__xludf.DUMMYFUNCTION("""COMPUTED_VALUE"""),"19931215CACHS")</f>
        <v>19931215CACHS</v>
      </c>
      <c r="B1793" s="5">
        <f ca="1">IFERROR(__xludf.DUMMYFUNCTION("""COMPUTED_VALUE"""),12)</f>
        <v>12</v>
      </c>
      <c r="C1793" s="5">
        <f ca="1">IFERROR(__xludf.DUMMYFUNCTION("""COMPUTED_VALUE"""),15)</f>
        <v>15</v>
      </c>
      <c r="D1793" s="5">
        <f ca="1">IFERROR(__xludf.DUMMYFUNCTION("""COMPUTED_VALUE"""),1993)</f>
        <v>1993</v>
      </c>
      <c r="E1793" s="8">
        <f ca="1">IFERROR(__xludf.DUMMYFUNCTION("""COMPUTED_VALUE"""),34318)</f>
        <v>34318</v>
      </c>
      <c r="F1793" s="5" t="str">
        <f ca="1">IFERROR(__xludf.DUMMYFUNCTION("""COMPUTED_VALUE"""),"Chatsworth High School")</f>
        <v>Chatsworth High School</v>
      </c>
      <c r="G1793" s="5">
        <f ca="1">IFERROR(__xludf.DUMMYFUNCTION("""COMPUTED_VALUE"""),1)</f>
        <v>1</v>
      </c>
      <c r="H1793" s="5">
        <f ca="1">IFERROR(__xludf.DUMMYFUNCTION("""COMPUTED_VALUE"""),0)</f>
        <v>0</v>
      </c>
      <c r="I1793" s="5">
        <f ca="1">IFERROR(__xludf.DUMMYFUNCTION("""COMPUTED_VALUE"""),1)</f>
        <v>1</v>
      </c>
      <c r="J1793" s="5">
        <f ca="1">IFERROR(__xludf.DUMMYFUNCTION("""COMPUTED_VALUE"""),0)</f>
        <v>0</v>
      </c>
      <c r="K1793" s="5" t="str">
        <f ca="1">IFERROR(__xludf.DUMMYFUNCTION("""COMPUTED_VALUE"""),"; https://www.columbine-angels.com/School_Violence_1993-1994.htm")</f>
        <v>; https://www.columbine-angels.com/School_Violence_1993-1994.htm</v>
      </c>
      <c r="L1793" s="5"/>
      <c r="M1793" s="5"/>
      <c r="N1793" s="5">
        <f ca="1">IFERROR(__xludf.DUMMYFUNCTION("""COMPUTED_VALUE"""),1)</f>
        <v>1</v>
      </c>
      <c r="O1793" s="5" t="str">
        <f ca="1">IFERROR(__xludf.DUMMYFUNCTION("""COMPUTED_VALUE"""),"Winter")</f>
        <v>Winter</v>
      </c>
      <c r="P1793" s="5" t="str">
        <f ca="1">IFERROR(__xludf.DUMMYFUNCTION("""COMPUTED_VALUE"""),"San Fernando Valley")</f>
        <v>San Fernando Valley</v>
      </c>
      <c r="Q1793" s="5" t="str">
        <f ca="1">IFERROR(__xludf.DUMMYFUNCTION("""COMPUTED_VALUE"""),"CA")</f>
        <v>CA</v>
      </c>
      <c r="R1793" s="5" t="str">
        <f ca="1">IFERROR(__xludf.DUMMYFUNCTION("""COMPUTED_VALUE"""),"High")</f>
        <v>High</v>
      </c>
      <c r="S1793" s="5" t="str">
        <f ca="1">IFERROR(__xludf.DUMMYFUNCTION("""COMPUTED_VALUE"""),"Outside on School Property")</f>
        <v>Outside on School Property</v>
      </c>
      <c r="T1793" s="5" t="str">
        <f ca="1">IFERROR(__xludf.DUMMYFUNCTION("""COMPUTED_VALUE"""),"Outside on School Property")</f>
        <v>Outside on School Property</v>
      </c>
      <c r="U1793" s="5" t="str">
        <f ca="1">IFERROR(__xludf.DUMMYFUNCTION("""COMPUTED_VALUE"""),"Yes")</f>
        <v>Yes</v>
      </c>
      <c r="V1793" s="5" t="str">
        <f ca="1">IFERROR(__xludf.DUMMYFUNCTION("""COMPUTED_VALUE"""),"Afternoon Classes")</f>
        <v>Afternoon Classes</v>
      </c>
      <c r="W1793" s="10">
        <f ca="1">IFERROR(__xludf.DUMMYFUNCTION("""COMPUTED_VALUE"""),0.569444444444444)</f>
        <v>0.56944444444444398</v>
      </c>
      <c r="X1793" s="5">
        <f ca="1">IFERROR(__xludf.DUMMYFUNCTION("""COMPUTED_VALUE"""),1)</f>
        <v>1</v>
      </c>
      <c r="Y1793" s="5" t="str">
        <f ca="1">IFERROR(__xludf.DUMMYFUNCTION("""COMPUTED_VALUE"""),"Shot during robbery of backpack")</f>
        <v>Shot during robbery of backpack</v>
      </c>
      <c r="Z1793" s="5" t="str">
        <f ca="1">IFERROR(__xludf.DUMMYFUNCTION("""COMPUTED_VALUE"""),"17YOM student shot during robbery of backpack by 14YOM shooter and 17YOM accomplice. Shooter fled.")</f>
        <v>17YOM student shot during robbery of backpack by 14YOM shooter and 17YOM accomplice. Shooter fled.</v>
      </c>
      <c r="AA1793" s="5" t="str">
        <f ca="1">IFERROR(__xludf.DUMMYFUNCTION("""COMPUTED_VALUE"""),"Illegal Activity")</f>
        <v>Illegal Activity</v>
      </c>
      <c r="AB1793" s="5" t="str">
        <f ca="1">IFERROR(__xludf.DUMMYFUNCTION("""COMPUTED_VALUE"""),"Victims Targeted")</f>
        <v>Victims Targeted</v>
      </c>
      <c r="AC1793" s="5" t="str">
        <f ca="1">IFERROR(__xludf.DUMMYFUNCTION("""COMPUTED_VALUE"""),"Yes")</f>
        <v>Yes</v>
      </c>
      <c r="AD1793" s="5" t="str">
        <f ca="1">IFERROR(__xludf.DUMMYFUNCTION("""COMPUTED_VALUE"""),"No")</f>
        <v>No</v>
      </c>
      <c r="AE1793" s="5" t="str">
        <f ca="1">IFERROR(__xludf.DUMMYFUNCTION("""COMPUTED_VALUE"""),"No")</f>
        <v>No</v>
      </c>
      <c r="AF1793" s="5" t="str">
        <f ca="1">IFERROR(__xludf.DUMMYFUNCTION("""COMPUTED_VALUE"""),"No")</f>
        <v>No</v>
      </c>
      <c r="AG1793" s="5" t="str">
        <f ca="1">IFERROR(__xludf.DUMMYFUNCTION("""COMPUTED_VALUE"""),"No")</f>
        <v>No</v>
      </c>
      <c r="AH1793" s="5" t="str">
        <f ca="1">IFERROR(__xludf.DUMMYFUNCTION("""COMPUTED_VALUE"""),"No")</f>
        <v>No</v>
      </c>
      <c r="AI1793" s="5" t="str">
        <f ca="1">IFERROR(__xludf.DUMMYFUNCTION("""COMPUTED_VALUE"""),"No")</f>
        <v>No</v>
      </c>
      <c r="AJ1793" s="5"/>
    </row>
    <row r="1794" spans="1:36" ht="13">
      <c r="A1794" s="5" t="str">
        <f ca="1">IFERROR(__xludf.DUMMYFUNCTION("""COMPUTED_VALUE"""),"19931208GABES")</f>
        <v>19931208GABES</v>
      </c>
      <c r="B1794" s="5">
        <f ca="1">IFERROR(__xludf.DUMMYFUNCTION("""COMPUTED_VALUE"""),12)</f>
        <v>12</v>
      </c>
      <c r="C1794" s="5">
        <f ca="1">IFERROR(__xludf.DUMMYFUNCTION("""COMPUTED_VALUE"""),8)</f>
        <v>8</v>
      </c>
      <c r="D1794" s="5">
        <f ca="1">IFERROR(__xludf.DUMMYFUNCTION("""COMPUTED_VALUE"""),1993)</f>
        <v>1993</v>
      </c>
      <c r="E1794" s="8">
        <f ca="1">IFERROR(__xludf.DUMMYFUNCTION("""COMPUTED_VALUE"""),34311)</f>
        <v>34311</v>
      </c>
      <c r="F1794" s="5" t="str">
        <f ca="1">IFERROR(__xludf.DUMMYFUNCTION("""COMPUTED_VALUE"""),"Beach High School")</f>
        <v>Beach High School</v>
      </c>
      <c r="G1794" s="5">
        <f ca="1">IFERROR(__xludf.DUMMYFUNCTION("""COMPUTED_VALUE"""),1)</f>
        <v>1</v>
      </c>
      <c r="H1794" s="5">
        <f ca="1">IFERROR(__xludf.DUMMYFUNCTION("""COMPUTED_VALUE"""),0)</f>
        <v>0</v>
      </c>
      <c r="I1794" s="5">
        <f ca="1">IFERROR(__xludf.DUMMYFUNCTION("""COMPUTED_VALUE"""),1)</f>
        <v>1</v>
      </c>
      <c r="J1794" s="5">
        <f ca="1">IFERROR(__xludf.DUMMYFUNCTION("""COMPUTED_VALUE"""),0)</f>
        <v>0</v>
      </c>
      <c r="K1794" s="9" t="str">
        <f ca="1">IFERROR(__xludf.DUMMYFUNCTION("""COMPUTED_VALUE"""),"https://www.newspapers.com/image/403544801/?terms=Aron%2BGilliam")</f>
        <v>https://www.newspapers.com/image/403544801/?terms=Aron%2BGilliam</v>
      </c>
      <c r="L1794" s="5"/>
      <c r="M1794" s="5"/>
      <c r="N1794" s="5">
        <f ca="1">IFERROR(__xludf.DUMMYFUNCTION("""COMPUTED_VALUE"""),2)</f>
        <v>2</v>
      </c>
      <c r="O1794" s="5" t="str">
        <f ca="1">IFERROR(__xludf.DUMMYFUNCTION("""COMPUTED_VALUE"""),"Winter")</f>
        <v>Winter</v>
      </c>
      <c r="P1794" s="5" t="str">
        <f ca="1">IFERROR(__xludf.DUMMYFUNCTION("""COMPUTED_VALUE"""),"Savannah")</f>
        <v>Savannah</v>
      </c>
      <c r="Q1794" s="5" t="str">
        <f ca="1">IFERROR(__xludf.DUMMYFUNCTION("""COMPUTED_VALUE"""),"GA")</f>
        <v>GA</v>
      </c>
      <c r="R1794" s="5" t="str">
        <f ca="1">IFERROR(__xludf.DUMMYFUNCTION("""COMPUTED_VALUE"""),"High")</f>
        <v>High</v>
      </c>
      <c r="S1794" s="5" t="str">
        <f ca="1">IFERROR(__xludf.DUMMYFUNCTION("""COMPUTED_VALUE"""),"Front of School")</f>
        <v>Front of School</v>
      </c>
      <c r="T1794" s="5" t="str">
        <f ca="1">IFERROR(__xludf.DUMMYFUNCTION("""COMPUTED_VALUE"""),"Outside on School Property")</f>
        <v>Outside on School Property</v>
      </c>
      <c r="U1794" s="5" t="str">
        <f ca="1">IFERROR(__xludf.DUMMYFUNCTION("""COMPUTED_VALUE"""),"No")</f>
        <v>No</v>
      </c>
      <c r="V1794" s="5" t="str">
        <f ca="1">IFERROR(__xludf.DUMMYFUNCTION("""COMPUTED_VALUE"""),"Evening")</f>
        <v>Evening</v>
      </c>
      <c r="W1794" s="10">
        <f ca="1">IFERROR(__xludf.DUMMYFUNCTION("""COMPUTED_VALUE"""),0.833333333333333)</f>
        <v>0.83333333333333304</v>
      </c>
      <c r="X1794" s="5">
        <f ca="1">IFERROR(__xludf.DUMMYFUNCTION("""COMPUTED_VALUE"""),1)</f>
        <v>1</v>
      </c>
      <c r="Y1794" s="5" t="str">
        <f ca="1">IFERROR(__xludf.DUMMYFUNCTION("""COMPUTED_VALUE"""),"Gang related shooting at front door of school")</f>
        <v>Gang related shooting at front door of school</v>
      </c>
      <c r="Z1794" s="5" t="str">
        <f ca="1">IFERROR(__xludf.DUMMYFUNCTION("""COMPUTED_VALUE"""),"16YOM shot 15YOM outside of front door of school in gang related shooting.")</f>
        <v>16YOM shot 15YOM outside of front door of school in gang related shooting.</v>
      </c>
      <c r="AA1794" s="5" t="str">
        <f ca="1">IFERROR(__xludf.DUMMYFUNCTION("""COMPUTED_VALUE"""),"Escalation of Dispute")</f>
        <v>Escalation of Dispute</v>
      </c>
      <c r="AB1794" s="5" t="str">
        <f ca="1">IFERROR(__xludf.DUMMYFUNCTION("""COMPUTED_VALUE"""),"Victims Targeted")</f>
        <v>Victims Targeted</v>
      </c>
      <c r="AC1794" s="5" t="str">
        <f ca="1">IFERROR(__xludf.DUMMYFUNCTION("""COMPUTED_VALUE"""),"No")</f>
        <v>No</v>
      </c>
      <c r="AD1794" s="5" t="str">
        <f ca="1">IFERROR(__xludf.DUMMYFUNCTION("""COMPUTED_VALUE"""),"No")</f>
        <v>No</v>
      </c>
      <c r="AE1794" s="5" t="str">
        <f ca="1">IFERROR(__xludf.DUMMYFUNCTION("""COMPUTED_VALUE"""),"No")</f>
        <v>No</v>
      </c>
      <c r="AF1794" s="5" t="str">
        <f ca="1">IFERROR(__xludf.DUMMYFUNCTION("""COMPUTED_VALUE"""),"No")</f>
        <v>No</v>
      </c>
      <c r="AG1794" s="5" t="str">
        <f ca="1">IFERROR(__xludf.DUMMYFUNCTION("""COMPUTED_VALUE"""),"No")</f>
        <v>No</v>
      </c>
      <c r="AH1794" s="5" t="str">
        <f ca="1">IFERROR(__xludf.DUMMYFUNCTION("""COMPUTED_VALUE"""),"No")</f>
        <v>No</v>
      </c>
      <c r="AI1794" s="5" t="str">
        <f ca="1">IFERROR(__xludf.DUMMYFUNCTION("""COMPUTED_VALUE"""),"Yes")</f>
        <v>Yes</v>
      </c>
      <c r="AJ1794" s="5"/>
    </row>
    <row r="1795" spans="1:36" ht="13">
      <c r="A1795" s="5" t="str">
        <f ca="1">IFERROR(__xludf.DUMMYFUNCTION("""COMPUTED_VALUE"""),"19931202CTNEN")</f>
        <v>19931202CTNEN</v>
      </c>
      <c r="B1795" s="5">
        <f ca="1">IFERROR(__xludf.DUMMYFUNCTION("""COMPUTED_VALUE"""),12)</f>
        <v>12</v>
      </c>
      <c r="C1795" s="5">
        <f ca="1">IFERROR(__xludf.DUMMYFUNCTION("""COMPUTED_VALUE"""),2)</f>
        <v>2</v>
      </c>
      <c r="D1795" s="5">
        <f ca="1">IFERROR(__xludf.DUMMYFUNCTION("""COMPUTED_VALUE"""),1993)</f>
        <v>1993</v>
      </c>
      <c r="E1795" s="8">
        <f ca="1">IFERROR(__xludf.DUMMYFUNCTION("""COMPUTED_VALUE"""),34305)</f>
        <v>34305</v>
      </c>
      <c r="F1795" s="5" t="str">
        <f ca="1">IFERROR(__xludf.DUMMYFUNCTION("""COMPUTED_VALUE"""),"New Britain High School")</f>
        <v>New Britain High School</v>
      </c>
      <c r="G1795" s="5">
        <f ca="1">IFERROR(__xludf.DUMMYFUNCTION("""COMPUTED_VALUE"""),1)</f>
        <v>1</v>
      </c>
      <c r="H1795" s="5">
        <f ca="1">IFERROR(__xludf.DUMMYFUNCTION("""COMPUTED_VALUE"""),0)</f>
        <v>0</v>
      </c>
      <c r="I1795" s="5">
        <f ca="1">IFERROR(__xludf.DUMMYFUNCTION("""COMPUTED_VALUE"""),1)</f>
        <v>1</v>
      </c>
      <c r="J1795" s="5">
        <f ca="1">IFERROR(__xludf.DUMMYFUNCTION("""COMPUTED_VALUE"""),0)</f>
        <v>0</v>
      </c>
      <c r="K1795" s="9" t="str">
        <f ca="1">IFERROR(__xludf.DUMMYFUNCTION("""COMPUTED_VALUE"""),"https://www.newspapers.com/image/175645669/?terms=New%2BBritain%2BHigh%2BSchool%2Bshooting")</f>
        <v>https://www.newspapers.com/image/175645669/?terms=New%2BBritain%2BHigh%2BSchool%2Bshooting</v>
      </c>
      <c r="L1795" s="5"/>
      <c r="M1795" s="5"/>
      <c r="N1795" s="5">
        <f ca="1">IFERROR(__xludf.DUMMYFUNCTION("""COMPUTED_VALUE"""),2)</f>
        <v>2</v>
      </c>
      <c r="O1795" s="5" t="str">
        <f ca="1">IFERROR(__xludf.DUMMYFUNCTION("""COMPUTED_VALUE"""),"Winter")</f>
        <v>Winter</v>
      </c>
      <c r="P1795" s="5" t="str">
        <f ca="1">IFERROR(__xludf.DUMMYFUNCTION("""COMPUTED_VALUE"""),"New Britain")</f>
        <v>New Britain</v>
      </c>
      <c r="Q1795" s="5" t="str">
        <f ca="1">IFERROR(__xludf.DUMMYFUNCTION("""COMPUTED_VALUE"""),"CT")</f>
        <v>CT</v>
      </c>
      <c r="R1795" s="5" t="str">
        <f ca="1">IFERROR(__xludf.DUMMYFUNCTION("""COMPUTED_VALUE"""),"High")</f>
        <v>High</v>
      </c>
      <c r="S1795" s="5" t="str">
        <f ca="1">IFERROR(__xludf.DUMMYFUNCTION("""COMPUTED_VALUE"""),"Front of School")</f>
        <v>Front of School</v>
      </c>
      <c r="T1795" s="5" t="str">
        <f ca="1">IFERROR(__xludf.DUMMYFUNCTION("""COMPUTED_VALUE"""),"Outside on School Property")</f>
        <v>Outside on School Property</v>
      </c>
      <c r="U1795" s="5" t="str">
        <f ca="1">IFERROR(__xludf.DUMMYFUNCTION("""COMPUTED_VALUE"""),"No")</f>
        <v>No</v>
      </c>
      <c r="V1795" s="5"/>
      <c r="W1795" s="5"/>
      <c r="X1795" s="5">
        <f ca="1">IFERROR(__xludf.DUMMYFUNCTION("""COMPUTED_VALUE"""),1)</f>
        <v>1</v>
      </c>
      <c r="Y1795" s="5" t="str">
        <f ca="1">IFERROR(__xludf.DUMMYFUNCTION("""COMPUTED_VALUE"""),"Masked gunman shot student on school steps, possible gang related")</f>
        <v>Masked gunman shot student on school steps, possible gang related</v>
      </c>
      <c r="Z1795" s="5" t="str">
        <f ca="1">IFERROR(__xludf.DUMMYFUNCTION("""COMPUTED_VALUE"""),"18YOM student shot on the steps of the high school by a masked gunman who fled the area.")</f>
        <v>18YOM student shot on the steps of the high school by a masked gunman who fled the area.</v>
      </c>
      <c r="AA1795" s="5" t="str">
        <f ca="1">IFERROR(__xludf.DUMMYFUNCTION("""COMPUTED_VALUE"""),"Escalation of Dispute")</f>
        <v>Escalation of Dispute</v>
      </c>
      <c r="AB1795" s="5" t="str">
        <f ca="1">IFERROR(__xludf.DUMMYFUNCTION("""COMPUTED_VALUE"""),"Victims Targeted")</f>
        <v>Victims Targeted</v>
      </c>
      <c r="AC1795" s="5" t="str">
        <f ca="1">IFERROR(__xludf.DUMMYFUNCTION("""COMPUTED_VALUE"""),"No")</f>
        <v>No</v>
      </c>
      <c r="AD1795" s="5" t="str">
        <f ca="1">IFERROR(__xludf.DUMMYFUNCTION("""COMPUTED_VALUE"""),"No")</f>
        <v>No</v>
      </c>
      <c r="AE1795" s="5" t="str">
        <f ca="1">IFERROR(__xludf.DUMMYFUNCTION("""COMPUTED_VALUE"""),"No")</f>
        <v>No</v>
      </c>
      <c r="AF1795" s="5" t="str">
        <f ca="1">IFERROR(__xludf.DUMMYFUNCTION("""COMPUTED_VALUE"""),"No")</f>
        <v>No</v>
      </c>
      <c r="AG1795" s="5" t="str">
        <f ca="1">IFERROR(__xludf.DUMMYFUNCTION("""COMPUTED_VALUE"""),"No")</f>
        <v>No</v>
      </c>
      <c r="AH1795" s="5" t="str">
        <f ca="1">IFERROR(__xludf.DUMMYFUNCTION("""COMPUTED_VALUE"""),"No")</f>
        <v>No</v>
      </c>
      <c r="AI1795" s="5" t="str">
        <f ca="1">IFERROR(__xludf.DUMMYFUNCTION("""COMPUTED_VALUE"""),"Yes")</f>
        <v>Yes</v>
      </c>
      <c r="AJ1795" s="5"/>
    </row>
    <row r="1796" spans="1:36" ht="13">
      <c r="A1796" s="5" t="str">
        <f ca="1">IFERROR(__xludf.DUMMYFUNCTION("""COMPUTED_VALUE"""),"19931201WIWAW")</f>
        <v>19931201WIWAW</v>
      </c>
      <c r="B1796" s="5">
        <f ca="1">IFERROR(__xludf.DUMMYFUNCTION("""COMPUTED_VALUE"""),12)</f>
        <v>12</v>
      </c>
      <c r="C1796" s="5">
        <f ca="1">IFERROR(__xludf.DUMMYFUNCTION("""COMPUTED_VALUE"""),1)</f>
        <v>1</v>
      </c>
      <c r="D1796" s="5">
        <f ca="1">IFERROR(__xludf.DUMMYFUNCTION("""COMPUTED_VALUE"""),1993)</f>
        <v>1993</v>
      </c>
      <c r="E1796" s="8">
        <f ca="1">IFERROR(__xludf.DUMMYFUNCTION("""COMPUTED_VALUE"""),34304)</f>
        <v>34304</v>
      </c>
      <c r="F1796" s="5" t="str">
        <f ca="1">IFERROR(__xludf.DUMMYFUNCTION("""COMPUTED_VALUE"""),"Wauwatosa West High School")</f>
        <v>Wauwatosa West High School</v>
      </c>
      <c r="G1796" s="5">
        <f ca="1">IFERROR(__xludf.DUMMYFUNCTION("""COMPUTED_VALUE"""),1)</f>
        <v>1</v>
      </c>
      <c r="H1796" s="5">
        <f ca="1">IFERROR(__xludf.DUMMYFUNCTION("""COMPUTED_VALUE"""),0)</f>
        <v>0</v>
      </c>
      <c r="I1796" s="5">
        <f ca="1">IFERROR(__xludf.DUMMYFUNCTION("""COMPUTED_VALUE"""),1)</f>
        <v>1</v>
      </c>
      <c r="J1796" s="5">
        <f ca="1">IFERROR(__xludf.DUMMYFUNCTION("""COMPUTED_VALUE"""),0)</f>
        <v>0</v>
      </c>
      <c r="K1796" s="9" t="str">
        <f ca="1">IFERROR(__xludf.DUMMYFUNCTION("""COMPUTED_VALUE"""),"http://journaltimes.com/news/former-student-arrested-in-tosa-west-slaying/article_dfb15b1e-986c-5b2b-ba06-76388109b2cf.html")</f>
        <v>http://journaltimes.com/news/former-student-arrested-in-tosa-west-slaying/article_dfb15b1e-986c-5b2b-ba06-76388109b2cf.html</v>
      </c>
      <c r="L1796" s="5"/>
      <c r="M1796" s="5"/>
      <c r="N1796" s="5">
        <f ca="1">IFERROR(__xludf.DUMMYFUNCTION("""COMPUTED_VALUE"""),2)</f>
        <v>2</v>
      </c>
      <c r="O1796" s="5" t="str">
        <f ca="1">IFERROR(__xludf.DUMMYFUNCTION("""COMPUTED_VALUE"""),"Winter")</f>
        <v>Winter</v>
      </c>
      <c r="P1796" s="5" t="str">
        <f ca="1">IFERROR(__xludf.DUMMYFUNCTION("""COMPUTED_VALUE"""),"Wauwatosa")</f>
        <v>Wauwatosa</v>
      </c>
      <c r="Q1796" s="5" t="str">
        <f ca="1">IFERROR(__xludf.DUMMYFUNCTION("""COMPUTED_VALUE"""),"WI")</f>
        <v>WI</v>
      </c>
      <c r="R1796" s="5" t="str">
        <f ca="1">IFERROR(__xludf.DUMMYFUNCTION("""COMPUTED_VALUE"""),"High")</f>
        <v>High</v>
      </c>
      <c r="S1796" s="5" t="str">
        <f ca="1">IFERROR(__xludf.DUMMYFUNCTION("""COMPUTED_VALUE"""),"Hallway")</f>
        <v>Hallway</v>
      </c>
      <c r="T1796" s="5" t="str">
        <f ca="1">IFERROR(__xludf.DUMMYFUNCTION("""COMPUTED_VALUE"""),"Inside School Building")</f>
        <v>Inside School Building</v>
      </c>
      <c r="U1796" s="5" t="str">
        <f ca="1">IFERROR(__xludf.DUMMYFUNCTION("""COMPUTED_VALUE"""),"Yes")</f>
        <v>Yes</v>
      </c>
      <c r="V1796" s="5" t="str">
        <f ca="1">IFERROR(__xludf.DUMMYFUNCTION("""COMPUTED_VALUE"""),"Unknown")</f>
        <v>Unknown</v>
      </c>
      <c r="W1796" s="5"/>
      <c r="X1796" s="5"/>
      <c r="Y1796" s="5" t="str">
        <f ca="1">IFERROR(__xludf.DUMMYFUNCTION("""COMPUTED_VALUE"""),"Killed principal, history of disciplinary issues")</f>
        <v>Killed principal, history of disciplinary issues</v>
      </c>
      <c r="Z1796" s="5" t="str">
        <f ca="1">IFERROR(__xludf.DUMMYFUNCTION("""COMPUTED_VALUE"""),"Shooter was a former student with a history of disciplinary issues at the school. Shooter lived near school, walked into the school building, fired multiple shots in the hallway killing the principal, and fled to his home where he was arrested without inc"&amp;"ident. Shooter had been arrested for battery a student and loitering around the school building the previous year.")</f>
        <v>Shooter was a former student with a history of disciplinary issues at the school. Shooter lived near school, walked into the school building, fired multiple shots in the hallway killing the principal, and fled to his home where he was arrested without incident. Shooter had been arrested for battery a student and loitering around the school building the previous year.</v>
      </c>
      <c r="AA1796" s="5" t="str">
        <f ca="1">IFERROR(__xludf.DUMMYFUNCTION("""COMPUTED_VALUE"""),"Anger Over Grade/Suspension/Discipline")</f>
        <v>Anger Over Grade/Suspension/Discipline</v>
      </c>
      <c r="AB1796" s="5" t="str">
        <f ca="1">IFERROR(__xludf.DUMMYFUNCTION("""COMPUTED_VALUE"""),"Victims Targeted")</f>
        <v>Victims Targeted</v>
      </c>
      <c r="AC1796" s="5" t="str">
        <f ca="1">IFERROR(__xludf.DUMMYFUNCTION("""COMPUTED_VALUE"""),"No")</f>
        <v>No</v>
      </c>
      <c r="AD1796" s="5" t="str">
        <f ca="1">IFERROR(__xludf.DUMMYFUNCTION("""COMPUTED_VALUE"""),"No")</f>
        <v>No</v>
      </c>
      <c r="AE1796" s="5" t="str">
        <f ca="1">IFERROR(__xludf.DUMMYFUNCTION("""COMPUTED_VALUE"""),"No")</f>
        <v>No</v>
      </c>
      <c r="AF1796" s="5" t="str">
        <f ca="1">IFERROR(__xludf.DUMMYFUNCTION("""COMPUTED_VALUE"""),"No")</f>
        <v>No</v>
      </c>
      <c r="AG1796" s="5" t="str">
        <f ca="1">IFERROR(__xludf.DUMMYFUNCTION("""COMPUTED_VALUE"""),"No")</f>
        <v>No</v>
      </c>
      <c r="AH1796" s="5" t="str">
        <f ca="1">IFERROR(__xludf.DUMMYFUNCTION("""COMPUTED_VALUE"""),"No")</f>
        <v>No</v>
      </c>
      <c r="AI1796" s="5" t="str">
        <f ca="1">IFERROR(__xludf.DUMMYFUNCTION("""COMPUTED_VALUE"""),"No")</f>
        <v>No</v>
      </c>
      <c r="AJ1796" s="5"/>
    </row>
    <row r="1797" spans="1:36" ht="13">
      <c r="A1797" s="5" t="str">
        <f ca="1">IFERROR(__xludf.DUMMYFUNCTION("""COMPUTED_VALUE"""),"19931111ILRIS")</f>
        <v>19931111ILRIS</v>
      </c>
      <c r="B1797" s="5">
        <f ca="1">IFERROR(__xludf.DUMMYFUNCTION("""COMPUTED_VALUE"""),11)</f>
        <v>11</v>
      </c>
      <c r="C1797" s="5">
        <f ca="1">IFERROR(__xludf.DUMMYFUNCTION("""COMPUTED_VALUE"""),11)</f>
        <v>11</v>
      </c>
      <c r="D1797" s="5">
        <f ca="1">IFERROR(__xludf.DUMMYFUNCTION("""COMPUTED_VALUE"""),1993)</f>
        <v>1993</v>
      </c>
      <c r="E1797" s="8">
        <f ca="1">IFERROR(__xludf.DUMMYFUNCTION("""COMPUTED_VALUE"""),34284)</f>
        <v>34284</v>
      </c>
      <c r="F1797" s="5" t="str">
        <f ca="1">IFERROR(__xludf.DUMMYFUNCTION("""COMPUTED_VALUE"""),"Ridgely Elementary School")</f>
        <v>Ridgely Elementary School</v>
      </c>
      <c r="G1797" s="5">
        <f ca="1">IFERROR(__xludf.DUMMYFUNCTION("""COMPUTED_VALUE"""),1)</f>
        <v>1</v>
      </c>
      <c r="H1797" s="5">
        <f ca="1">IFERROR(__xludf.DUMMYFUNCTION("""COMPUTED_VALUE"""),0)</f>
        <v>0</v>
      </c>
      <c r="I1797" s="5">
        <f ca="1">IFERROR(__xludf.DUMMYFUNCTION("""COMPUTED_VALUE"""),1)</f>
        <v>1</v>
      </c>
      <c r="J1797" s="5">
        <f ca="1">IFERROR(__xludf.DUMMYFUNCTION("""COMPUTED_VALUE"""),0)</f>
        <v>0</v>
      </c>
      <c r="K1797" s="9" t="str">
        <f ca="1">IFERROR(__xludf.DUMMYFUNCTION("""COMPUTED_VALUE"""),"https://www.newspapers.com/image/195155455/?terms=Harold%2BPage%2BIII")</f>
        <v>https://www.newspapers.com/image/195155455/?terms=Harold%2BPage%2BIII</v>
      </c>
      <c r="L1797" s="5"/>
      <c r="M1797" s="5"/>
      <c r="N1797" s="5">
        <f ca="1">IFERROR(__xludf.DUMMYFUNCTION("""COMPUTED_VALUE"""),2)</f>
        <v>2</v>
      </c>
      <c r="O1797" s="5" t="str">
        <f ca="1">IFERROR(__xludf.DUMMYFUNCTION("""COMPUTED_VALUE"""),"Fall")</f>
        <v>Fall</v>
      </c>
      <c r="P1797" s="5" t="str">
        <f ca="1">IFERROR(__xludf.DUMMYFUNCTION("""COMPUTED_VALUE"""),"Springfield")</f>
        <v>Springfield</v>
      </c>
      <c r="Q1797" s="5" t="str">
        <f ca="1">IFERROR(__xludf.DUMMYFUNCTION("""COMPUTED_VALUE"""),"IL")</f>
        <v>IL</v>
      </c>
      <c r="R1797" s="5" t="str">
        <f ca="1">IFERROR(__xludf.DUMMYFUNCTION("""COMPUTED_VALUE"""),"High")</f>
        <v>High</v>
      </c>
      <c r="S1797" s="5" t="str">
        <f ca="1">IFERROR(__xludf.DUMMYFUNCTION("""COMPUTED_VALUE"""),"Hallway")</f>
        <v>Hallway</v>
      </c>
      <c r="T1797" s="5" t="str">
        <f ca="1">IFERROR(__xludf.DUMMYFUNCTION("""COMPUTED_VALUE"""),"Inside School Building")</f>
        <v>Inside School Building</v>
      </c>
      <c r="U1797" s="5" t="str">
        <f ca="1">IFERROR(__xludf.DUMMYFUNCTION("""COMPUTED_VALUE"""),"No")</f>
        <v>No</v>
      </c>
      <c r="V1797" s="5" t="str">
        <f ca="1">IFERROR(__xludf.DUMMYFUNCTION("""COMPUTED_VALUE"""),"Night")</f>
        <v>Night</v>
      </c>
      <c r="W1797" s="10">
        <f ca="1">IFERROR(__xludf.DUMMYFUNCTION("""COMPUTED_VALUE"""),0)</f>
        <v>0</v>
      </c>
      <c r="X1797" s="5">
        <f ca="1">IFERROR(__xludf.DUMMYFUNCTION("""COMPUTED_VALUE"""),1)</f>
        <v>1</v>
      </c>
      <c r="Y1797" s="5" t="str">
        <f ca="1">IFERROR(__xludf.DUMMYFUNCTION("""COMPUTED_VALUE"""),"Shot in head in stairwell, found next morning, gang related")</f>
        <v>Shot in head in stairwell, found next morning, gang related</v>
      </c>
      <c r="Z1797" s="5" t="str">
        <f ca="1">IFERROR(__xludf.DUMMYFUNCTION("""COMPUTED_VALUE"""),"14YOM found dead from GSW to the head in the stairwell of the school. Believed to be shot overnight. Police said shooting was gang related. Victim was not student at school. No shooter identified.")</f>
        <v>14YOM found dead from GSW to the head in the stairwell of the school. Believed to be shot overnight. Police said shooting was gang related. Victim was not student at school. No shooter identified.</v>
      </c>
      <c r="AA1797" s="5" t="str">
        <f ca="1">IFERROR(__xludf.DUMMYFUNCTION("""COMPUTED_VALUE"""),"Escalation of Dispute")</f>
        <v>Escalation of Dispute</v>
      </c>
      <c r="AB1797" s="5" t="str">
        <f ca="1">IFERROR(__xludf.DUMMYFUNCTION("""COMPUTED_VALUE"""),"Victims Targeted")</f>
        <v>Victims Targeted</v>
      </c>
      <c r="AC1797" s="5" t="str">
        <f ca="1">IFERROR(__xludf.DUMMYFUNCTION("""COMPUTED_VALUE"""),"No")</f>
        <v>No</v>
      </c>
      <c r="AD1797" s="5" t="str">
        <f ca="1">IFERROR(__xludf.DUMMYFUNCTION("""COMPUTED_VALUE"""),"No")</f>
        <v>No</v>
      </c>
      <c r="AE1797" s="5" t="str">
        <f ca="1">IFERROR(__xludf.DUMMYFUNCTION("""COMPUTED_VALUE"""),"No")</f>
        <v>No</v>
      </c>
      <c r="AF1797" s="5" t="str">
        <f ca="1">IFERROR(__xludf.DUMMYFUNCTION("""COMPUTED_VALUE"""),"No")</f>
        <v>No</v>
      </c>
      <c r="AG1797" s="5" t="str">
        <f ca="1">IFERROR(__xludf.DUMMYFUNCTION("""COMPUTED_VALUE"""),"No")</f>
        <v>No</v>
      </c>
      <c r="AH1797" s="5" t="str">
        <f ca="1">IFERROR(__xludf.DUMMYFUNCTION("""COMPUTED_VALUE"""),"No")</f>
        <v>No</v>
      </c>
      <c r="AI1797" s="5" t="str">
        <f ca="1">IFERROR(__xludf.DUMMYFUNCTION("""COMPUTED_VALUE"""),"Yes")</f>
        <v>Yes</v>
      </c>
      <c r="AJ1797" s="5"/>
    </row>
    <row r="1798" spans="1:36" ht="13">
      <c r="A1798" s="5" t="str">
        <f ca="1">IFERROR(__xludf.DUMMYFUNCTION("""COMPUTED_VALUE"""),"19931104FLTEJ")</f>
        <v>19931104FLTEJ</v>
      </c>
      <c r="B1798" s="5">
        <f ca="1">IFERROR(__xludf.DUMMYFUNCTION("""COMPUTED_VALUE"""),11)</f>
        <v>11</v>
      </c>
      <c r="C1798" s="5">
        <f ca="1">IFERROR(__xludf.DUMMYFUNCTION("""COMPUTED_VALUE"""),4)</f>
        <v>4</v>
      </c>
      <c r="D1798" s="5">
        <f ca="1">IFERROR(__xludf.DUMMYFUNCTION("""COMPUTED_VALUE"""),1993)</f>
        <v>1993</v>
      </c>
      <c r="E1798" s="8">
        <f ca="1">IFERROR(__xludf.DUMMYFUNCTION("""COMPUTED_VALUE"""),34277)</f>
        <v>34277</v>
      </c>
      <c r="F1798" s="5" t="str">
        <f ca="1">IFERROR(__xludf.DUMMYFUNCTION("""COMPUTED_VALUE"""),"Terry Parker High School")</f>
        <v>Terry Parker High School</v>
      </c>
      <c r="G1798" s="5">
        <f ca="1">IFERROR(__xludf.DUMMYFUNCTION("""COMPUTED_VALUE"""),1)</f>
        <v>1</v>
      </c>
      <c r="H1798" s="5">
        <f ca="1">IFERROR(__xludf.DUMMYFUNCTION("""COMPUTED_VALUE"""),0)</f>
        <v>0</v>
      </c>
      <c r="I1798" s="5">
        <f ca="1">IFERROR(__xludf.DUMMYFUNCTION("""COMPUTED_VALUE"""),1)</f>
        <v>1</v>
      </c>
      <c r="J1798" s="5">
        <f ca="1">IFERROR(__xludf.DUMMYFUNCTION("""COMPUTED_VALUE"""),0)</f>
        <v>0</v>
      </c>
      <c r="K1798" s="9" t="str">
        <f ca="1">IFERROR(__xludf.DUMMYFUNCTION("""COMPUTED_VALUE"""),"https://www.newspapers.com/image/179150239/?terms=Richard%2BJefferson%2BMitchell")</f>
        <v>https://www.newspapers.com/image/179150239/?terms=Richard%2BJefferson%2BMitchell</v>
      </c>
      <c r="L1798" s="5"/>
      <c r="M1798" s="5"/>
      <c r="N1798" s="5">
        <f ca="1">IFERROR(__xludf.DUMMYFUNCTION("""COMPUTED_VALUE"""),2)</f>
        <v>2</v>
      </c>
      <c r="O1798" s="5" t="str">
        <f ca="1">IFERROR(__xludf.DUMMYFUNCTION("""COMPUTED_VALUE"""),"Fall")</f>
        <v>Fall</v>
      </c>
      <c r="P1798" s="5" t="str">
        <f ca="1">IFERROR(__xludf.DUMMYFUNCTION("""COMPUTED_VALUE"""),"Jacksonville")</f>
        <v>Jacksonville</v>
      </c>
      <c r="Q1798" s="5" t="str">
        <f ca="1">IFERROR(__xludf.DUMMYFUNCTION("""COMPUTED_VALUE"""),"FL")</f>
        <v>FL</v>
      </c>
      <c r="R1798" s="5" t="str">
        <f ca="1">IFERROR(__xludf.DUMMYFUNCTION("""COMPUTED_VALUE"""),"High")</f>
        <v>High</v>
      </c>
      <c r="S1798" s="5" t="str">
        <f ca="1">IFERROR(__xludf.DUMMYFUNCTION("""COMPUTED_VALUE"""),"Front of School")</f>
        <v>Front of School</v>
      </c>
      <c r="T1798" s="5" t="str">
        <f ca="1">IFERROR(__xludf.DUMMYFUNCTION("""COMPUTED_VALUE"""),"Outside on School Property")</f>
        <v>Outside on School Property</v>
      </c>
      <c r="U1798" s="5" t="str">
        <f ca="1">IFERROR(__xludf.DUMMYFUNCTION("""COMPUTED_VALUE"""),"No")</f>
        <v>No</v>
      </c>
      <c r="V1798" s="5" t="str">
        <f ca="1">IFERROR(__xludf.DUMMYFUNCTION("""COMPUTED_VALUE"""),"After School")</f>
        <v>After School</v>
      </c>
      <c r="W1798" s="5"/>
      <c r="X1798" s="5">
        <f ca="1">IFERROR(__xludf.DUMMYFUNCTION("""COMPUTED_VALUE"""),1)</f>
        <v>1</v>
      </c>
      <c r="Y1798" s="5" t="str">
        <f ca="1">IFERROR(__xludf.DUMMYFUNCTION("""COMPUTED_VALUE"""),"Shot by group of students during robbery")</f>
        <v>Shot by group of students during robbery</v>
      </c>
      <c r="Z1798" s="5" t="str">
        <f ca="1">IFERROR(__xludf.DUMMYFUNCTION("""COMPUTED_VALUE"""),"14YOM student waiting to be picked up from school was shot during a robbery by a group of 9 students. Group of students robbed other people and businesses following shooting.")</f>
        <v>14YOM student waiting to be picked up from school was shot during a robbery by a group of 9 students. Group of students robbed other people and businesses following shooting.</v>
      </c>
      <c r="AA1798" s="5" t="str">
        <f ca="1">IFERROR(__xludf.DUMMYFUNCTION("""COMPUTED_VALUE"""),"Illegal Activity")</f>
        <v>Illegal Activity</v>
      </c>
      <c r="AB1798" s="5" t="str">
        <f ca="1">IFERROR(__xludf.DUMMYFUNCTION("""COMPUTED_VALUE"""),"Victims Targeted")</f>
        <v>Victims Targeted</v>
      </c>
      <c r="AC1798" s="5" t="str">
        <f ca="1">IFERROR(__xludf.DUMMYFUNCTION("""COMPUTED_VALUE"""),"Yes")</f>
        <v>Yes</v>
      </c>
      <c r="AD1798" s="5" t="str">
        <f ca="1">IFERROR(__xludf.DUMMYFUNCTION("""COMPUTED_VALUE"""),"No")</f>
        <v>No</v>
      </c>
      <c r="AE1798" s="5" t="str">
        <f ca="1">IFERROR(__xludf.DUMMYFUNCTION("""COMPUTED_VALUE"""),"No")</f>
        <v>No</v>
      </c>
      <c r="AF1798" s="5" t="str">
        <f ca="1">IFERROR(__xludf.DUMMYFUNCTION("""COMPUTED_VALUE"""),"No")</f>
        <v>No</v>
      </c>
      <c r="AG1798" s="5" t="str">
        <f ca="1">IFERROR(__xludf.DUMMYFUNCTION("""COMPUTED_VALUE"""),"No")</f>
        <v>No</v>
      </c>
      <c r="AH1798" s="5" t="str">
        <f ca="1">IFERROR(__xludf.DUMMYFUNCTION("""COMPUTED_VALUE"""),"No")</f>
        <v>No</v>
      </c>
      <c r="AI1798" s="5" t="str">
        <f ca="1">IFERROR(__xludf.DUMMYFUNCTION("""COMPUTED_VALUE"""),"No")</f>
        <v>No</v>
      </c>
      <c r="AJ1798" s="5"/>
    </row>
    <row r="1799" spans="1:36" ht="13">
      <c r="A1799" s="5" t="str">
        <f ca="1">IFERROR(__xludf.DUMMYFUNCTION("""COMPUTED_VALUE"""),"19931104CTNEN")</f>
        <v>19931104CTNEN</v>
      </c>
      <c r="B1799" s="5">
        <f ca="1">IFERROR(__xludf.DUMMYFUNCTION("""COMPUTED_VALUE"""),11)</f>
        <v>11</v>
      </c>
      <c r="C1799" s="5">
        <f ca="1">IFERROR(__xludf.DUMMYFUNCTION("""COMPUTED_VALUE"""),4)</f>
        <v>4</v>
      </c>
      <c r="D1799" s="5">
        <f ca="1">IFERROR(__xludf.DUMMYFUNCTION("""COMPUTED_VALUE"""),1993)</f>
        <v>1993</v>
      </c>
      <c r="E1799" s="8">
        <f ca="1">IFERROR(__xludf.DUMMYFUNCTION("""COMPUTED_VALUE"""),34277)</f>
        <v>34277</v>
      </c>
      <c r="F1799" s="5" t="str">
        <f ca="1">IFERROR(__xludf.DUMMYFUNCTION("""COMPUTED_VALUE"""),"New Britain High School")</f>
        <v>New Britain High School</v>
      </c>
      <c r="G1799" s="5">
        <f ca="1">IFERROR(__xludf.DUMMYFUNCTION("""COMPUTED_VALUE"""),1)</f>
        <v>1</v>
      </c>
      <c r="H1799" s="5">
        <f ca="1">IFERROR(__xludf.DUMMYFUNCTION("""COMPUTED_VALUE"""),0)</f>
        <v>0</v>
      </c>
      <c r="I1799" s="5">
        <f ca="1">IFERROR(__xludf.DUMMYFUNCTION("""COMPUTED_VALUE"""),1)</f>
        <v>1</v>
      </c>
      <c r="J1799" s="5">
        <f ca="1">IFERROR(__xludf.DUMMYFUNCTION("""COMPUTED_VALUE"""),0)</f>
        <v>0</v>
      </c>
      <c r="K1799" s="9" t="str">
        <f ca="1">IFERROR(__xludf.DUMMYFUNCTION("""COMPUTED_VALUE"""),"http://articles.courant.com/1995-07-21/news/9507210401_1_latin-king-rival-gang-gang-war")</f>
        <v>http://articles.courant.com/1995-07-21/news/9507210401_1_latin-king-rival-gang-gang-war</v>
      </c>
      <c r="L1799" s="5"/>
      <c r="M1799" s="5"/>
      <c r="N1799" s="5">
        <f ca="1">IFERROR(__xludf.DUMMYFUNCTION("""COMPUTED_VALUE"""),2)</f>
        <v>2</v>
      </c>
      <c r="O1799" s="5" t="str">
        <f ca="1">IFERROR(__xludf.DUMMYFUNCTION("""COMPUTED_VALUE"""),"Fall")</f>
        <v>Fall</v>
      </c>
      <c r="P1799" s="5" t="str">
        <f ca="1">IFERROR(__xludf.DUMMYFUNCTION("""COMPUTED_VALUE"""),"New Britain")</f>
        <v>New Britain</v>
      </c>
      <c r="Q1799" s="5" t="str">
        <f ca="1">IFERROR(__xludf.DUMMYFUNCTION("""COMPUTED_VALUE"""),"CT")</f>
        <v>CT</v>
      </c>
      <c r="R1799" s="5" t="str">
        <f ca="1">IFERROR(__xludf.DUMMYFUNCTION("""COMPUTED_VALUE"""),"High")</f>
        <v>High</v>
      </c>
      <c r="S1799" s="5" t="str">
        <f ca="1">IFERROR(__xludf.DUMMYFUNCTION("""COMPUTED_VALUE"""),"Beside Building")</f>
        <v>Beside Building</v>
      </c>
      <c r="T1799" s="5" t="str">
        <f ca="1">IFERROR(__xludf.DUMMYFUNCTION("""COMPUTED_VALUE"""),"Outside on School Property")</f>
        <v>Outside on School Property</v>
      </c>
      <c r="U1799" s="5" t="str">
        <f ca="1">IFERROR(__xludf.DUMMYFUNCTION("""COMPUTED_VALUE"""),"No")</f>
        <v>No</v>
      </c>
      <c r="V1799" s="5" t="str">
        <f ca="1">IFERROR(__xludf.DUMMYFUNCTION("""COMPUTED_VALUE"""),"Unknown")</f>
        <v>Unknown</v>
      </c>
      <c r="W1799" s="5"/>
      <c r="X1799" s="5">
        <f ca="1">IFERROR(__xludf.DUMMYFUNCTION("""COMPUTED_VALUE"""),1)</f>
        <v>1</v>
      </c>
      <c r="Y1799" s="5" t="str">
        <f ca="1">IFERROR(__xludf.DUMMYFUNCTION("""COMPUTED_VALUE"""),"Gang execution style shooting")</f>
        <v>Gang execution style shooting</v>
      </c>
      <c r="Z1799" s="5" t="str">
        <f ca="1">IFERROR(__xludf.DUMMYFUNCTION("""COMPUTED_VALUE"""),"Victim was killed in execution style gang shooting outside of the school. Shooter was recently acquitted in fatal stabbing near the school.")</f>
        <v>Victim was killed in execution style gang shooting outside of the school. Shooter was recently acquitted in fatal stabbing near the school.</v>
      </c>
      <c r="AA1799" s="5" t="str">
        <f ca="1">IFERROR(__xludf.DUMMYFUNCTION("""COMPUTED_VALUE"""),"Illegal Activity")</f>
        <v>Illegal Activity</v>
      </c>
      <c r="AB1799" s="5" t="str">
        <f ca="1">IFERROR(__xludf.DUMMYFUNCTION("""COMPUTED_VALUE"""),"Victims Targeted")</f>
        <v>Victims Targeted</v>
      </c>
      <c r="AC1799" s="5" t="str">
        <f ca="1">IFERROR(__xludf.DUMMYFUNCTION("""COMPUTED_VALUE"""),"No")</f>
        <v>No</v>
      </c>
      <c r="AD1799" s="5" t="str">
        <f ca="1">IFERROR(__xludf.DUMMYFUNCTION("""COMPUTED_VALUE"""),"No")</f>
        <v>No</v>
      </c>
      <c r="AE1799" s="5" t="str">
        <f ca="1">IFERROR(__xludf.DUMMYFUNCTION("""COMPUTED_VALUE"""),"No")</f>
        <v>No</v>
      </c>
      <c r="AF1799" s="5" t="str">
        <f ca="1">IFERROR(__xludf.DUMMYFUNCTION("""COMPUTED_VALUE"""),"No")</f>
        <v>No</v>
      </c>
      <c r="AG1799" s="5" t="str">
        <f ca="1">IFERROR(__xludf.DUMMYFUNCTION("""COMPUTED_VALUE"""),"No")</f>
        <v>No</v>
      </c>
      <c r="AH1799" s="5" t="str">
        <f ca="1">IFERROR(__xludf.DUMMYFUNCTION("""COMPUTED_VALUE"""),"No")</f>
        <v>No</v>
      </c>
      <c r="AI1799" s="5" t="str">
        <f ca="1">IFERROR(__xludf.DUMMYFUNCTION("""COMPUTED_VALUE"""),"Yes")</f>
        <v>Yes</v>
      </c>
      <c r="AJ1799" s="5"/>
    </row>
    <row r="1800" spans="1:36" ht="13">
      <c r="A1800" s="5" t="str">
        <f ca="1">IFERROR(__xludf.DUMMYFUNCTION("""COMPUTED_VALUE"""),"19931104MSBAB")</f>
        <v>19931104MSBAB</v>
      </c>
      <c r="B1800" s="5">
        <f ca="1">IFERROR(__xludf.DUMMYFUNCTION("""COMPUTED_VALUE"""),11)</f>
        <v>11</v>
      </c>
      <c r="C1800" s="5">
        <f ca="1">IFERROR(__xludf.DUMMYFUNCTION("""COMPUTED_VALUE"""),4)</f>
        <v>4</v>
      </c>
      <c r="D1800" s="5">
        <f ca="1">IFERROR(__xludf.DUMMYFUNCTION("""COMPUTED_VALUE"""),1993)</f>
        <v>1993</v>
      </c>
      <c r="E1800" s="8">
        <f ca="1">IFERROR(__xludf.DUMMYFUNCTION("""COMPUTED_VALUE"""),34277)</f>
        <v>34277</v>
      </c>
      <c r="F1800" s="5" t="str">
        <f ca="1">IFERROR(__xludf.DUMMYFUNCTION("""COMPUTED_VALUE"""),"Bay Springs High School")</f>
        <v>Bay Springs High School</v>
      </c>
      <c r="G1800" s="5">
        <f ca="1">IFERROR(__xludf.DUMMYFUNCTION("""COMPUTED_VALUE"""),1)</f>
        <v>1</v>
      </c>
      <c r="H1800" s="5">
        <f ca="1">IFERROR(__xludf.DUMMYFUNCTION("""COMPUTED_VALUE"""),0)</f>
        <v>0</v>
      </c>
      <c r="I1800" s="5">
        <f ca="1">IFERROR(__xludf.DUMMYFUNCTION("""COMPUTED_VALUE"""),1)</f>
        <v>1</v>
      </c>
      <c r="J1800" s="5">
        <f ca="1">IFERROR(__xludf.DUMMYFUNCTION("""COMPUTED_VALUE"""),0)</f>
        <v>0</v>
      </c>
      <c r="K1800" s="9" t="str">
        <f ca="1">IFERROR(__xludf.DUMMYFUNCTION("""COMPUTED_VALUE"""),"https://www.newspapers.com/image/278601708/?terms=Bay%2BSprings%2BHigh%2BSchool%2Bshooting")</f>
        <v>https://www.newspapers.com/image/278601708/?terms=Bay%2BSprings%2BHigh%2BSchool%2Bshooting</v>
      </c>
      <c r="L1800" s="5"/>
      <c r="M1800" s="5"/>
      <c r="N1800" s="5">
        <f ca="1">IFERROR(__xludf.DUMMYFUNCTION("""COMPUTED_VALUE"""),2)</f>
        <v>2</v>
      </c>
      <c r="O1800" s="5" t="str">
        <f ca="1">IFERROR(__xludf.DUMMYFUNCTION("""COMPUTED_VALUE"""),"Fall")</f>
        <v>Fall</v>
      </c>
      <c r="P1800" s="5" t="str">
        <f ca="1">IFERROR(__xludf.DUMMYFUNCTION("""COMPUTED_VALUE"""),"Bay Springs")</f>
        <v>Bay Springs</v>
      </c>
      <c r="Q1800" s="5" t="str">
        <f ca="1">IFERROR(__xludf.DUMMYFUNCTION("""COMPUTED_VALUE"""),"MS")</f>
        <v>MS</v>
      </c>
      <c r="R1800" s="5" t="str">
        <f ca="1">IFERROR(__xludf.DUMMYFUNCTION("""COMPUTED_VALUE"""),"High")</f>
        <v>High</v>
      </c>
      <c r="S1800" s="5" t="str">
        <f ca="1">IFERROR(__xludf.DUMMYFUNCTION("""COMPUTED_VALUE"""),"Classroom")</f>
        <v>Classroom</v>
      </c>
      <c r="T1800" s="5" t="str">
        <f ca="1">IFERROR(__xludf.DUMMYFUNCTION("""COMPUTED_VALUE"""),"Inside School Building")</f>
        <v>Inside School Building</v>
      </c>
      <c r="U1800" s="5" t="str">
        <f ca="1">IFERROR(__xludf.DUMMYFUNCTION("""COMPUTED_VALUE"""),"Yes")</f>
        <v>Yes</v>
      </c>
      <c r="V1800" s="5"/>
      <c r="W1800" s="5"/>
      <c r="X1800" s="5">
        <f ca="1">IFERROR(__xludf.DUMMYFUNCTION("""COMPUTED_VALUE"""),1)</f>
        <v>1</v>
      </c>
      <c r="Y1800" s="5" t="str">
        <f ca="1">IFERROR(__xludf.DUMMYFUNCTION("""COMPUTED_VALUE"""),"Good student killed in band room by unknown shooter")</f>
        <v>Good student killed in band room by unknown shooter</v>
      </c>
      <c r="Z1800" s="5" t="str">
        <f ca="1">IFERROR(__xludf.DUMMYFUNCTION("""COMPUTED_VALUE"""),"Good student and popular athlete killed in bandroom. No suspect identified.")</f>
        <v>Good student and popular athlete killed in bandroom. No suspect identified.</v>
      </c>
      <c r="AA1800" s="5" t="str">
        <f ca="1">IFERROR(__xludf.DUMMYFUNCTION("""COMPUTED_VALUE"""),"Unknown")</f>
        <v>Unknown</v>
      </c>
      <c r="AB1800" s="5" t="str">
        <f ca="1">IFERROR(__xludf.DUMMYFUNCTION("""COMPUTED_VALUE"""),"Victims Targeted")</f>
        <v>Victims Targeted</v>
      </c>
      <c r="AC1800" s="5" t="str">
        <f ca="1">IFERROR(__xludf.DUMMYFUNCTION("""COMPUTED_VALUE"""),"No")</f>
        <v>No</v>
      </c>
      <c r="AD1800" s="5" t="str">
        <f ca="1">IFERROR(__xludf.DUMMYFUNCTION("""COMPUTED_VALUE"""),"No")</f>
        <v>No</v>
      </c>
      <c r="AE1800" s="5" t="str">
        <f ca="1">IFERROR(__xludf.DUMMYFUNCTION("""COMPUTED_VALUE"""),"No")</f>
        <v>No</v>
      </c>
      <c r="AF1800" s="5" t="str">
        <f ca="1">IFERROR(__xludf.DUMMYFUNCTION("""COMPUTED_VALUE"""),"No")</f>
        <v>No</v>
      </c>
      <c r="AG1800" s="5"/>
      <c r="AH1800" s="5"/>
      <c r="AI1800" s="5" t="str">
        <f ca="1">IFERROR(__xludf.DUMMYFUNCTION("""COMPUTED_VALUE"""),"No")</f>
        <v>No</v>
      </c>
      <c r="AJ1800" s="5"/>
    </row>
    <row r="1801" spans="1:36" ht="13">
      <c r="A1801" s="5" t="str">
        <f ca="1">IFERROR(__xludf.DUMMYFUNCTION("""COMPUTED_VALUE"""),"19931101ILSUC")</f>
        <v>19931101ILSUC</v>
      </c>
      <c r="B1801" s="5">
        <f ca="1">IFERROR(__xludf.DUMMYFUNCTION("""COMPUTED_VALUE"""),11)</f>
        <v>11</v>
      </c>
      <c r="C1801" s="5">
        <f ca="1">IFERROR(__xludf.DUMMYFUNCTION("""COMPUTED_VALUE"""),1)</f>
        <v>1</v>
      </c>
      <c r="D1801" s="5">
        <f ca="1">IFERROR(__xludf.DUMMYFUNCTION("""COMPUTED_VALUE"""),1993)</f>
        <v>1993</v>
      </c>
      <c r="E1801" s="8">
        <f ca="1">IFERROR(__xludf.DUMMYFUNCTION("""COMPUTED_VALUE"""),34274)</f>
        <v>34274</v>
      </c>
      <c r="F1801" s="5" t="str">
        <f ca="1">IFERROR(__xludf.DUMMYFUNCTION("""COMPUTED_VALUE"""),"Sullivan High School")</f>
        <v>Sullivan High School</v>
      </c>
      <c r="G1801" s="5">
        <f ca="1">IFERROR(__xludf.DUMMYFUNCTION("""COMPUTED_VALUE"""),1)</f>
        <v>1</v>
      </c>
      <c r="H1801" s="5">
        <f ca="1">IFERROR(__xludf.DUMMYFUNCTION("""COMPUTED_VALUE"""),0)</f>
        <v>0</v>
      </c>
      <c r="I1801" s="5">
        <f ca="1">IFERROR(__xludf.DUMMYFUNCTION("""COMPUTED_VALUE"""),1)</f>
        <v>1</v>
      </c>
      <c r="J1801" s="5">
        <f ca="1">IFERROR(__xludf.DUMMYFUNCTION("""COMPUTED_VALUE"""),0)</f>
        <v>0</v>
      </c>
      <c r="K1801" s="9" t="str">
        <f ca="1">IFERROR(__xludf.DUMMYFUNCTION("""COMPUTED_VALUE"""),"https://www.newspapers.com/image/241267382/?terms=Sullivan%2BHigh%2BSchool%2Bshooting")</f>
        <v>https://www.newspapers.com/image/241267382/?terms=Sullivan%2BHigh%2BSchool%2Bshooting</v>
      </c>
      <c r="L1801" s="5"/>
      <c r="M1801" s="5"/>
      <c r="N1801" s="5">
        <f ca="1">IFERROR(__xludf.DUMMYFUNCTION("""COMPUTED_VALUE"""),2)</f>
        <v>2</v>
      </c>
      <c r="O1801" s="5" t="str">
        <f ca="1">IFERROR(__xludf.DUMMYFUNCTION("""COMPUTED_VALUE"""),"Fall")</f>
        <v>Fall</v>
      </c>
      <c r="P1801" s="5" t="str">
        <f ca="1">IFERROR(__xludf.DUMMYFUNCTION("""COMPUTED_VALUE"""),"Chicago")</f>
        <v>Chicago</v>
      </c>
      <c r="Q1801" s="5" t="str">
        <f ca="1">IFERROR(__xludf.DUMMYFUNCTION("""COMPUTED_VALUE"""),"IL")</f>
        <v>IL</v>
      </c>
      <c r="R1801" s="5" t="str">
        <f ca="1">IFERROR(__xludf.DUMMYFUNCTION("""COMPUTED_VALUE"""),"High")</f>
        <v>High</v>
      </c>
      <c r="S1801" s="5" t="str">
        <f ca="1">IFERROR(__xludf.DUMMYFUNCTION("""COMPUTED_VALUE"""),"Outside on School Property")</f>
        <v>Outside on School Property</v>
      </c>
      <c r="T1801" s="5" t="str">
        <f ca="1">IFERROR(__xludf.DUMMYFUNCTION("""COMPUTED_VALUE"""),"Outside on School Property")</f>
        <v>Outside on School Property</v>
      </c>
      <c r="U1801" s="5" t="str">
        <f ca="1">IFERROR(__xludf.DUMMYFUNCTION("""COMPUTED_VALUE"""),"Yes")</f>
        <v>Yes</v>
      </c>
      <c r="V1801" s="5"/>
      <c r="W1801" s="5"/>
      <c r="X1801" s="5">
        <f ca="1">IFERROR(__xludf.DUMMYFUNCTION("""COMPUTED_VALUE"""),1)</f>
        <v>1</v>
      </c>
      <c r="Y1801" s="5" t="str">
        <f ca="1">IFERROR(__xludf.DUMMYFUNCTION("""COMPUTED_VALUE"""),"Student shot at school, motive unknown")</f>
        <v>Student shot at school, motive unknown</v>
      </c>
      <c r="Z1801" s="5" t="str">
        <f ca="1">IFERROR(__xludf.DUMMYFUNCTION("""COMPUTED_VALUE"""),"13YOM supplied gun to 16YOM (who was already on probation for gun charges). 16YOM shot 15YOM student then fled.")</f>
        <v>13YOM supplied gun to 16YOM (who was already on probation for gun charges). 16YOM shot 15YOM student then fled.</v>
      </c>
      <c r="AA1801" s="5" t="str">
        <f ca="1">IFERROR(__xludf.DUMMYFUNCTION("""COMPUTED_VALUE"""),"Intentional Property Damage")</f>
        <v>Intentional Property Damage</v>
      </c>
      <c r="AB1801" s="5" t="str">
        <f ca="1">IFERROR(__xludf.DUMMYFUNCTION("""COMPUTED_VALUE"""),"Victims Targeted")</f>
        <v>Victims Targeted</v>
      </c>
      <c r="AC1801" s="5" t="str">
        <f ca="1">IFERROR(__xludf.DUMMYFUNCTION("""COMPUTED_VALUE"""),"Yes")</f>
        <v>Yes</v>
      </c>
      <c r="AD1801" s="5" t="str">
        <f ca="1">IFERROR(__xludf.DUMMYFUNCTION("""COMPUTED_VALUE"""),"No")</f>
        <v>No</v>
      </c>
      <c r="AE1801" s="5" t="str">
        <f ca="1">IFERROR(__xludf.DUMMYFUNCTION("""COMPUTED_VALUE"""),"No")</f>
        <v>No</v>
      </c>
      <c r="AF1801" s="5" t="str">
        <f ca="1">IFERROR(__xludf.DUMMYFUNCTION("""COMPUTED_VALUE"""),"No")</f>
        <v>No</v>
      </c>
      <c r="AG1801" s="5" t="str">
        <f ca="1">IFERROR(__xludf.DUMMYFUNCTION("""COMPUTED_VALUE"""),"No")</f>
        <v>No</v>
      </c>
      <c r="AH1801" s="5" t="str">
        <f ca="1">IFERROR(__xludf.DUMMYFUNCTION("""COMPUTED_VALUE"""),"No")</f>
        <v>No</v>
      </c>
      <c r="AI1801" s="5" t="str">
        <f ca="1">IFERROR(__xludf.DUMMYFUNCTION("""COMPUTED_VALUE"""),"No")</f>
        <v>No</v>
      </c>
      <c r="AJ1801" s="5"/>
    </row>
    <row r="1802" spans="1:36" ht="13">
      <c r="A1802" s="5" t="str">
        <f ca="1">IFERROR(__xludf.DUMMYFUNCTION("""COMPUTED_VALUE"""),"19931018DCJHW")</f>
        <v>19931018DCJHW</v>
      </c>
      <c r="B1802" s="5">
        <f ca="1">IFERROR(__xludf.DUMMYFUNCTION("""COMPUTED_VALUE"""),10)</f>
        <v>10</v>
      </c>
      <c r="C1802" s="5">
        <f ca="1">IFERROR(__xludf.DUMMYFUNCTION("""COMPUTED_VALUE"""),18)</f>
        <v>18</v>
      </c>
      <c r="D1802" s="5">
        <f ca="1">IFERROR(__xludf.DUMMYFUNCTION("""COMPUTED_VALUE"""),1993)</f>
        <v>1993</v>
      </c>
      <c r="E1802" s="8">
        <f ca="1">IFERROR(__xludf.DUMMYFUNCTION("""COMPUTED_VALUE"""),34260)</f>
        <v>34260</v>
      </c>
      <c r="F1802" s="5" t="str">
        <f ca="1">IFERROR(__xludf.DUMMYFUNCTION("""COMPUTED_VALUE"""),"J H Johnson Junior High School")</f>
        <v>J H Johnson Junior High School</v>
      </c>
      <c r="G1802" s="5">
        <f ca="1">IFERROR(__xludf.DUMMYFUNCTION("""COMPUTED_VALUE"""),0)</f>
        <v>0</v>
      </c>
      <c r="H1802" s="5">
        <f ca="1">IFERROR(__xludf.DUMMYFUNCTION("""COMPUTED_VALUE"""),1)</f>
        <v>1</v>
      </c>
      <c r="I1802" s="5">
        <f ca="1">IFERROR(__xludf.DUMMYFUNCTION("""COMPUTED_VALUE"""),1)</f>
        <v>1</v>
      </c>
      <c r="J1802" s="5">
        <f ca="1">IFERROR(__xludf.DUMMYFUNCTION("""COMPUTED_VALUE"""),0)</f>
        <v>0</v>
      </c>
      <c r="K1802" s="5" t="str">
        <f ca="1">IFERROR(__xludf.DUMMYFUNCTION("""COMPUTED_VALUE"""),"Washington Post - Student, 13, is Shot Inside SE Junior High - Schoolmate, 15, Charged in Locker Room Wounding; https://www.columbine-angels.com/School_Violence_1993-1994.htm")</f>
        <v>Washington Post - Student, 13, is Shot Inside SE Junior High - Schoolmate, 15, Charged in Locker Room Wounding; https://www.columbine-angels.com/School_Violence_1993-1994.htm</v>
      </c>
      <c r="L1802" s="5"/>
      <c r="M1802" s="5"/>
      <c r="N1802" s="5">
        <f ca="1">IFERROR(__xludf.DUMMYFUNCTION("""COMPUTED_VALUE"""),1)</f>
        <v>1</v>
      </c>
      <c r="O1802" s="5" t="str">
        <f ca="1">IFERROR(__xludf.DUMMYFUNCTION("""COMPUTED_VALUE"""),"Fall")</f>
        <v>Fall</v>
      </c>
      <c r="P1802" s="5" t="str">
        <f ca="1">IFERROR(__xludf.DUMMYFUNCTION("""COMPUTED_VALUE"""),"Washington")</f>
        <v>Washington</v>
      </c>
      <c r="Q1802" s="5" t="str">
        <f ca="1">IFERROR(__xludf.DUMMYFUNCTION("""COMPUTED_VALUE"""),"DC")</f>
        <v>DC</v>
      </c>
      <c r="R1802" s="5" t="str">
        <f ca="1">IFERROR(__xludf.DUMMYFUNCTION("""COMPUTED_VALUE"""),"Junior High")</f>
        <v>Junior High</v>
      </c>
      <c r="S1802" s="5" t="str">
        <f ca="1">IFERROR(__xludf.DUMMYFUNCTION("""COMPUTED_VALUE"""),"Gym")</f>
        <v>Gym</v>
      </c>
      <c r="T1802" s="5" t="str">
        <f ca="1">IFERROR(__xludf.DUMMYFUNCTION("""COMPUTED_VALUE"""),"Inside School Building")</f>
        <v>Inside School Building</v>
      </c>
      <c r="U1802" s="5" t="str">
        <f ca="1">IFERROR(__xludf.DUMMYFUNCTION("""COMPUTED_VALUE"""),"Yes")</f>
        <v>Yes</v>
      </c>
      <c r="V1802" s="5"/>
      <c r="W1802" s="10">
        <f ca="1">IFERROR(__xludf.DUMMYFUNCTION("""COMPUTED_VALUE"""),0.479166666666666)</f>
        <v>0.47916666666666602</v>
      </c>
      <c r="X1802" s="5">
        <f ca="1">IFERROR(__xludf.DUMMYFUNCTION("""COMPUTED_VALUE"""),1)</f>
        <v>1</v>
      </c>
      <c r="Y1802" s="5" t="str">
        <f ca="1">IFERROR(__xludf.DUMMYFUNCTION("""COMPUTED_VALUE"""),"Shooting in locker room")</f>
        <v>Shooting in locker room</v>
      </c>
      <c r="Z1802" s="5" t="str">
        <f ca="1">IFERROR(__xludf.DUMMYFUNCTION("""COMPUTED_VALUE"""),"15YOM student shot 13YOM student in the school locker room. Shooter fled and turned himself in later.")</f>
        <v>15YOM student shot 13YOM student in the school locker room. Shooter fled and turned himself in later.</v>
      </c>
      <c r="AA1802" s="5" t="str">
        <f ca="1">IFERROR(__xludf.DUMMYFUNCTION("""COMPUTED_VALUE"""),"Escalation of Dispute")</f>
        <v>Escalation of Dispute</v>
      </c>
      <c r="AB1802" s="5" t="str">
        <f ca="1">IFERROR(__xludf.DUMMYFUNCTION("""COMPUTED_VALUE"""),"Victims Targeted")</f>
        <v>Victims Targeted</v>
      </c>
      <c r="AC1802" s="5" t="str">
        <f ca="1">IFERROR(__xludf.DUMMYFUNCTION("""COMPUTED_VALUE"""),"No")</f>
        <v>No</v>
      </c>
      <c r="AD1802" s="5" t="str">
        <f ca="1">IFERROR(__xludf.DUMMYFUNCTION("""COMPUTED_VALUE"""),"No")</f>
        <v>No</v>
      </c>
      <c r="AE1802" s="5" t="str">
        <f ca="1">IFERROR(__xludf.DUMMYFUNCTION("""COMPUTED_VALUE"""),"No")</f>
        <v>No</v>
      </c>
      <c r="AF1802" s="5" t="str">
        <f ca="1">IFERROR(__xludf.DUMMYFUNCTION("""COMPUTED_VALUE"""),"No")</f>
        <v>No</v>
      </c>
      <c r="AG1802" s="5"/>
      <c r="AH1802" s="5" t="str">
        <f ca="1">IFERROR(__xludf.DUMMYFUNCTION("""COMPUTED_VALUE"""),"No")</f>
        <v>No</v>
      </c>
      <c r="AI1802" s="5"/>
      <c r="AJ1802" s="5"/>
    </row>
    <row r="1803" spans="1:36" ht="13">
      <c r="A1803" s="5" t="str">
        <f ca="1">IFERROR(__xludf.DUMMYFUNCTION("""COMPUTED_VALUE"""),"19931012DEDON")</f>
        <v>19931012DEDON</v>
      </c>
      <c r="B1803" s="5">
        <f ca="1">IFERROR(__xludf.DUMMYFUNCTION("""COMPUTED_VALUE"""),10)</f>
        <v>10</v>
      </c>
      <c r="C1803" s="5">
        <f ca="1">IFERROR(__xludf.DUMMYFUNCTION("""COMPUTED_VALUE"""),12)</f>
        <v>12</v>
      </c>
      <c r="D1803" s="5">
        <f ca="1">IFERROR(__xludf.DUMMYFUNCTION("""COMPUTED_VALUE"""),1993)</f>
        <v>1993</v>
      </c>
      <c r="E1803" s="8">
        <f ca="1">IFERROR(__xludf.DUMMYFUNCTION("""COMPUTED_VALUE"""),34254)</f>
        <v>34254</v>
      </c>
      <c r="F1803" s="5" t="str">
        <f ca="1">IFERROR(__xludf.DUMMYFUNCTION("""COMPUTED_VALUE"""),"Dover High School")</f>
        <v>Dover High School</v>
      </c>
      <c r="G1803" s="5">
        <f ca="1">IFERROR(__xludf.DUMMYFUNCTION("""COMPUTED_VALUE"""),0)</f>
        <v>0</v>
      </c>
      <c r="H1803" s="5">
        <f ca="1">IFERROR(__xludf.DUMMYFUNCTION("""COMPUTED_VALUE"""),0)</f>
        <v>0</v>
      </c>
      <c r="I1803" s="5">
        <f ca="1">IFERROR(__xludf.DUMMYFUNCTION("""COMPUTED_VALUE"""),0)</f>
        <v>0</v>
      </c>
      <c r="J1803" s="5">
        <f ca="1">IFERROR(__xludf.DUMMYFUNCTION("""COMPUTED_VALUE"""),1)</f>
        <v>1</v>
      </c>
      <c r="K1803" s="9" t="str">
        <f ca="1">IFERROR(__xludf.DUMMYFUNCTION("""COMPUTED_VALUE"""),"https://www.newspapers.com/image/156503737/?terms=Dover%2BHigh%2BSchool%2Bsuicide")</f>
        <v>https://www.newspapers.com/image/156503737/?terms=Dover%2BHigh%2BSchool%2Bsuicide</v>
      </c>
      <c r="L1803" s="5"/>
      <c r="M1803" s="5"/>
      <c r="N1803" s="5">
        <f ca="1">IFERROR(__xludf.DUMMYFUNCTION("""COMPUTED_VALUE"""),2)</f>
        <v>2</v>
      </c>
      <c r="O1803" s="5" t="str">
        <f ca="1">IFERROR(__xludf.DUMMYFUNCTION("""COMPUTED_VALUE"""),"Fall")</f>
        <v>Fall</v>
      </c>
      <c r="P1803" s="5" t="str">
        <f ca="1">IFERROR(__xludf.DUMMYFUNCTION("""COMPUTED_VALUE"""),"New Castle")</f>
        <v>New Castle</v>
      </c>
      <c r="Q1803" s="5" t="str">
        <f ca="1">IFERROR(__xludf.DUMMYFUNCTION("""COMPUTED_VALUE"""),"DE")</f>
        <v>DE</v>
      </c>
      <c r="R1803" s="5" t="str">
        <f ca="1">IFERROR(__xludf.DUMMYFUNCTION("""COMPUTED_VALUE"""),"High")</f>
        <v>High</v>
      </c>
      <c r="S1803" s="5" t="str">
        <f ca="1">IFERROR(__xludf.DUMMYFUNCTION("""COMPUTED_VALUE"""),"Bathroom")</f>
        <v>Bathroom</v>
      </c>
      <c r="T1803" s="5" t="str">
        <f ca="1">IFERROR(__xludf.DUMMYFUNCTION("""COMPUTED_VALUE"""),"Inside School Building")</f>
        <v>Inside School Building</v>
      </c>
      <c r="U1803" s="5" t="str">
        <f ca="1">IFERROR(__xludf.DUMMYFUNCTION("""COMPUTED_VALUE"""),"Yes")</f>
        <v>Yes</v>
      </c>
      <c r="V1803" s="5"/>
      <c r="W1803" s="5"/>
      <c r="X1803" s="5">
        <f ca="1">IFERROR(__xludf.DUMMYFUNCTION("""COMPUTED_VALUE"""),1)</f>
        <v>1</v>
      </c>
      <c r="Y1803" s="5" t="str">
        <f ca="1">IFERROR(__xludf.DUMMYFUNCTION("""COMPUTED_VALUE"""),"Commit suicide in bathroom")</f>
        <v>Commit suicide in bathroom</v>
      </c>
      <c r="Z1803" s="5" t="str">
        <f ca="1">IFERROR(__xludf.DUMMYFUNCTION("""COMPUTED_VALUE"""),"16YOF student commit suicide in bathroom")</f>
        <v>16YOF student commit suicide in bathroom</v>
      </c>
      <c r="AA1803" s="5" t="str">
        <f ca="1">IFERROR(__xludf.DUMMYFUNCTION("""COMPUTED_VALUE"""),"Murder/Suicide")</f>
        <v>Murder/Suicide</v>
      </c>
      <c r="AB1803" s="5" t="str">
        <f ca="1">IFERROR(__xludf.DUMMYFUNCTION("""COMPUTED_VALUE"""),"Victims Targeted")</f>
        <v>Victims Targeted</v>
      </c>
      <c r="AC1803" s="5" t="str">
        <f ca="1">IFERROR(__xludf.DUMMYFUNCTION("""COMPUTED_VALUE"""),"No")</f>
        <v>No</v>
      </c>
      <c r="AD1803" s="5" t="str">
        <f ca="1">IFERROR(__xludf.DUMMYFUNCTION("""COMPUTED_VALUE"""),"No")</f>
        <v>No</v>
      </c>
      <c r="AE1803" s="5" t="str">
        <f ca="1">IFERROR(__xludf.DUMMYFUNCTION("""COMPUTED_VALUE"""),"No")</f>
        <v>No</v>
      </c>
      <c r="AF1803" s="5" t="str">
        <f ca="1">IFERROR(__xludf.DUMMYFUNCTION("""COMPUTED_VALUE"""),"No")</f>
        <v>No</v>
      </c>
      <c r="AG1803" s="5"/>
      <c r="AH1803" s="5" t="str">
        <f ca="1">IFERROR(__xludf.DUMMYFUNCTION("""COMPUTED_VALUE"""),"No")</f>
        <v>No</v>
      </c>
      <c r="AI1803" s="5" t="str">
        <f ca="1">IFERROR(__xludf.DUMMYFUNCTION("""COMPUTED_VALUE"""),"No")</f>
        <v>No</v>
      </c>
      <c r="AJ1803" s="5"/>
    </row>
    <row r="1804" spans="1:36" ht="13">
      <c r="A1804" s="5" t="str">
        <f ca="1">IFERROR(__xludf.DUMMYFUNCTION("""COMPUTED_VALUE"""),"19930928MSCOG")</f>
        <v>19930928MSCOG</v>
      </c>
      <c r="B1804" s="5">
        <f ca="1">IFERROR(__xludf.DUMMYFUNCTION("""COMPUTED_VALUE"""),9)</f>
        <v>9</v>
      </c>
      <c r="C1804" s="5">
        <f ca="1">IFERROR(__xludf.DUMMYFUNCTION("""COMPUTED_VALUE"""),28)</f>
        <v>28</v>
      </c>
      <c r="D1804" s="5">
        <f ca="1">IFERROR(__xludf.DUMMYFUNCTION("""COMPUTED_VALUE"""),1993)</f>
        <v>1993</v>
      </c>
      <c r="E1804" s="8">
        <f ca="1">IFERROR(__xludf.DUMMYFUNCTION("""COMPUTED_VALUE"""),34240)</f>
        <v>34240</v>
      </c>
      <c r="F1804" s="5" t="str">
        <f ca="1">IFERROR(__xludf.DUMMYFUNCTION("""COMPUTED_VALUE"""),"Coleman Junior High School")</f>
        <v>Coleman Junior High School</v>
      </c>
      <c r="G1804" s="5">
        <f ca="1">IFERROR(__xludf.DUMMYFUNCTION("""COMPUTED_VALUE"""),1)</f>
        <v>1</v>
      </c>
      <c r="H1804" s="5">
        <f ca="1">IFERROR(__xludf.DUMMYFUNCTION("""COMPUTED_VALUE"""),0)</f>
        <v>0</v>
      </c>
      <c r="I1804" s="5">
        <f ca="1">IFERROR(__xludf.DUMMYFUNCTION("""COMPUTED_VALUE"""),1)</f>
        <v>1</v>
      </c>
      <c r="J1804" s="5">
        <f ca="1">IFERROR(__xludf.DUMMYFUNCTION("""COMPUTED_VALUE"""),0)</f>
        <v>0</v>
      </c>
      <c r="K1804" s="5" t="str">
        <f ca="1">IFERROR(__xludf.DUMMYFUNCTION("""COMPUTED_VALUE"""),"https://www.newspapers.com/image/181217721/?terms=student%2Bshot  https://www.newspapers.com/image/255947937/?terms=teacher%2Bshot")</f>
        <v>https://www.newspapers.com/image/181217721/?terms=student%2Bshot  https://www.newspapers.com/image/255947937/?terms=teacher%2Bshot</v>
      </c>
      <c r="L1804" s="5"/>
      <c r="M1804" s="5"/>
      <c r="N1804" s="5">
        <f ca="1">IFERROR(__xludf.DUMMYFUNCTION("""COMPUTED_VALUE"""),2)</f>
        <v>2</v>
      </c>
      <c r="O1804" s="5" t="str">
        <f ca="1">IFERROR(__xludf.DUMMYFUNCTION("""COMPUTED_VALUE"""),"Fall")</f>
        <v>Fall</v>
      </c>
      <c r="P1804" s="5" t="str">
        <f ca="1">IFERROR(__xludf.DUMMYFUNCTION("""COMPUTED_VALUE"""),"Greenville")</f>
        <v>Greenville</v>
      </c>
      <c r="Q1804" s="5" t="str">
        <f ca="1">IFERROR(__xludf.DUMMYFUNCTION("""COMPUTED_VALUE"""),"MS")</f>
        <v>MS</v>
      </c>
      <c r="R1804" s="5" t="str">
        <f ca="1">IFERROR(__xludf.DUMMYFUNCTION("""COMPUTED_VALUE"""),"Junior High")</f>
        <v>Junior High</v>
      </c>
      <c r="S1804" s="5" t="str">
        <f ca="1">IFERROR(__xludf.DUMMYFUNCTION("""COMPUTED_VALUE"""),"Classroom")</f>
        <v>Classroom</v>
      </c>
      <c r="T1804" s="5" t="str">
        <f ca="1">IFERROR(__xludf.DUMMYFUNCTION("""COMPUTED_VALUE"""),"Inside School Building")</f>
        <v>Inside School Building</v>
      </c>
      <c r="U1804" s="5" t="str">
        <f ca="1">IFERROR(__xludf.DUMMYFUNCTION("""COMPUTED_VALUE"""),"Yes")</f>
        <v>Yes</v>
      </c>
      <c r="V1804" s="5" t="str">
        <f ca="1">IFERROR(__xludf.DUMMYFUNCTION("""COMPUTED_VALUE"""),"Morning Classes")</f>
        <v>Morning Classes</v>
      </c>
      <c r="W1804" s="10">
        <f ca="1">IFERROR(__xludf.DUMMYFUNCTION("""COMPUTED_VALUE"""),0.340277777777777)</f>
        <v>0.34027777777777701</v>
      </c>
      <c r="X1804" s="5">
        <f ca="1">IFERROR(__xludf.DUMMYFUNCTION("""COMPUTED_VALUE"""),1)</f>
        <v>1</v>
      </c>
      <c r="Y1804" s="5" t="str">
        <f ca="1">IFERROR(__xludf.DUMMYFUNCTION("""COMPUTED_VALUE"""),"Shooter walked into class room and shot victim 4 times over a girl")</f>
        <v>Shooter walked into class room and shot victim 4 times over a girl</v>
      </c>
      <c r="Z1804" s="5" t="str">
        <f ca="1">IFERROR(__xludf.DUMMYFUNCTION("""COMPUTED_VALUE"""),"Shooter walked into classroom and shot victim 4 times - shooting stemmed from students involved in earlier argument possibly over a girl. Student fled - later found at friends house.")</f>
        <v>Shooter walked into classroom and shot victim 4 times - shooting stemmed from students involved in earlier argument possibly over a girl. Student fled - later found at friends house.</v>
      </c>
      <c r="AA1804" s="5" t="str">
        <f ca="1">IFERROR(__xludf.DUMMYFUNCTION("""COMPUTED_VALUE"""),"Escalation of Dispute")</f>
        <v>Escalation of Dispute</v>
      </c>
      <c r="AB1804" s="5" t="str">
        <f ca="1">IFERROR(__xludf.DUMMYFUNCTION("""COMPUTED_VALUE"""),"Victims Targeted")</f>
        <v>Victims Targeted</v>
      </c>
      <c r="AC1804" s="5" t="str">
        <f ca="1">IFERROR(__xludf.DUMMYFUNCTION("""COMPUTED_VALUE"""),"No")</f>
        <v>No</v>
      </c>
      <c r="AD1804" s="5" t="str">
        <f ca="1">IFERROR(__xludf.DUMMYFUNCTION("""COMPUTED_VALUE"""),"No")</f>
        <v>No</v>
      </c>
      <c r="AE1804" s="5" t="str">
        <f ca="1">IFERROR(__xludf.DUMMYFUNCTION("""COMPUTED_VALUE"""),"No")</f>
        <v>No</v>
      </c>
      <c r="AF1804" s="5" t="str">
        <f ca="1">IFERROR(__xludf.DUMMYFUNCTION("""COMPUTED_VALUE"""),"No")</f>
        <v>No</v>
      </c>
      <c r="AG1804" s="5" t="str">
        <f ca="1">IFERROR(__xludf.DUMMYFUNCTION("""COMPUTED_VALUE"""),"No")</f>
        <v>No</v>
      </c>
      <c r="AH1804" s="5" t="str">
        <f ca="1">IFERROR(__xludf.DUMMYFUNCTION("""COMPUTED_VALUE"""),"No")</f>
        <v>No</v>
      </c>
      <c r="AI1804" s="5" t="str">
        <f ca="1">IFERROR(__xludf.DUMMYFUNCTION("""COMPUTED_VALUE"""),"No")</f>
        <v>No</v>
      </c>
      <c r="AJ1804" s="5"/>
    </row>
    <row r="1805" spans="1:36" ht="13">
      <c r="A1805" s="5" t="str">
        <f ca="1">IFERROR(__xludf.DUMMYFUNCTION("""COMPUTED_VALUE"""),"19930925DCWEW")</f>
        <v>19930925DCWEW</v>
      </c>
      <c r="B1805" s="5">
        <f ca="1">IFERROR(__xludf.DUMMYFUNCTION("""COMPUTED_VALUE"""),9)</f>
        <v>9</v>
      </c>
      <c r="C1805" s="5">
        <f ca="1">IFERROR(__xludf.DUMMYFUNCTION("""COMPUTED_VALUE"""),25)</f>
        <v>25</v>
      </c>
      <c r="D1805" s="5">
        <f ca="1">IFERROR(__xludf.DUMMYFUNCTION("""COMPUTED_VALUE"""),1993)</f>
        <v>1993</v>
      </c>
      <c r="E1805" s="8">
        <f ca="1">IFERROR(__xludf.DUMMYFUNCTION("""COMPUTED_VALUE"""),34237)</f>
        <v>34237</v>
      </c>
      <c r="F1805" s="5" t="str">
        <f ca="1">IFERROR(__xludf.DUMMYFUNCTION("""COMPUTED_VALUE"""),"Weatherless Elementary School")</f>
        <v>Weatherless Elementary School</v>
      </c>
      <c r="G1805" s="5">
        <f ca="1">IFERROR(__xludf.DUMMYFUNCTION("""COMPUTED_VALUE"""),2)</f>
        <v>2</v>
      </c>
      <c r="H1805" s="5">
        <f ca="1">IFERROR(__xludf.DUMMYFUNCTION("""COMPUTED_VALUE"""),0)</f>
        <v>0</v>
      </c>
      <c r="I1805" s="5">
        <f ca="1">IFERROR(__xludf.DUMMYFUNCTION("""COMPUTED_VALUE"""),2)</f>
        <v>2</v>
      </c>
      <c r="J1805" s="5">
        <f ca="1">IFERROR(__xludf.DUMMYFUNCTION("""COMPUTED_VALUE"""),0)</f>
        <v>0</v>
      </c>
      <c r="K1805" s="9" t="str">
        <f ca="1">IFERROR(__xludf.DUMMYFUNCTION("""COMPUTED_VALUE"""),"https://www.newspapers.com/image/276635826/?terms=Weatherless%2BElementary%2BSchool%2Bshooting")</f>
        <v>https://www.newspapers.com/image/276635826/?terms=Weatherless%2BElementary%2BSchool%2Bshooting</v>
      </c>
      <c r="L1805" s="5"/>
      <c r="M1805" s="5"/>
      <c r="N1805" s="5">
        <f ca="1">IFERROR(__xludf.DUMMYFUNCTION("""COMPUTED_VALUE"""),2)</f>
        <v>2</v>
      </c>
      <c r="O1805" s="5" t="str">
        <f ca="1">IFERROR(__xludf.DUMMYFUNCTION("""COMPUTED_VALUE"""),"Fall")</f>
        <v>Fall</v>
      </c>
      <c r="P1805" s="5" t="str">
        <f ca="1">IFERROR(__xludf.DUMMYFUNCTION("""COMPUTED_VALUE"""),"Washington")</f>
        <v>Washington</v>
      </c>
      <c r="Q1805" s="5" t="str">
        <f ca="1">IFERROR(__xludf.DUMMYFUNCTION("""COMPUTED_VALUE"""),"DC")</f>
        <v>DC</v>
      </c>
      <c r="R1805" s="5" t="str">
        <f ca="1">IFERROR(__xludf.DUMMYFUNCTION("""COMPUTED_VALUE"""),"Elementary")</f>
        <v>Elementary</v>
      </c>
      <c r="S1805" s="5" t="str">
        <f ca="1">IFERROR(__xludf.DUMMYFUNCTION("""COMPUTED_VALUE"""),"Football Field/Track")</f>
        <v>Football Field/Track</v>
      </c>
      <c r="T1805" s="5" t="str">
        <f ca="1">IFERROR(__xludf.DUMMYFUNCTION("""COMPUTED_VALUE"""),"Outside on School Property")</f>
        <v>Outside on School Property</v>
      </c>
      <c r="U1805" s="5" t="str">
        <f ca="1">IFERROR(__xludf.DUMMYFUNCTION("""COMPUTED_VALUE"""),"No")</f>
        <v>No</v>
      </c>
      <c r="V1805" s="5" t="str">
        <f ca="1">IFERROR(__xludf.DUMMYFUNCTION("""COMPUTED_VALUE"""),"Not a School Day")</f>
        <v>Not a School Day</v>
      </c>
      <c r="W1805" s="5"/>
      <c r="X1805" s="5">
        <f ca="1">IFERROR(__xludf.DUMMYFUNCTION("""COMPUTED_VALUE"""),1)</f>
        <v>1</v>
      </c>
      <c r="Y1805" s="5" t="str">
        <f ca="1">IFERROR(__xludf.DUMMYFUNCTION("""COMPUTED_VALUE"""),"Gang shooting at pick-up football game, bystanders killed")</f>
        <v>Gang shooting at pick-up football game, bystanders killed</v>
      </c>
      <c r="Z1805" s="5" t="str">
        <f ca="1">IFERROR(__xludf.DUMMYFUNCTION("""COMPUTED_VALUE"""),"Gang shooting during pickup football game. Bystanders killed (23YOM and 4 YOF). 23YOM and 15 YOM both arrested for shooting (both had guns and fired).")</f>
        <v>Gang shooting during pickup football game. Bystanders killed (23YOM and 4 YOF). 23YOM and 15 YOM both arrested for shooting (both had guns and fired).</v>
      </c>
      <c r="AA1805" s="5" t="str">
        <f ca="1">IFERROR(__xludf.DUMMYFUNCTION("""COMPUTED_VALUE"""),"Escalation of Dispute")</f>
        <v>Escalation of Dispute</v>
      </c>
      <c r="AB1805" s="5" t="str">
        <f ca="1">IFERROR(__xludf.DUMMYFUNCTION("""COMPUTED_VALUE"""),"Both")</f>
        <v>Both</v>
      </c>
      <c r="AC1805" s="5" t="str">
        <f ca="1">IFERROR(__xludf.DUMMYFUNCTION("""COMPUTED_VALUE"""),"No")</f>
        <v>No</v>
      </c>
      <c r="AD1805" s="5" t="str">
        <f ca="1">IFERROR(__xludf.DUMMYFUNCTION("""COMPUTED_VALUE"""),"No")</f>
        <v>No</v>
      </c>
      <c r="AE1805" s="5" t="str">
        <f ca="1">IFERROR(__xludf.DUMMYFUNCTION("""COMPUTED_VALUE"""),"No")</f>
        <v>No</v>
      </c>
      <c r="AF1805" s="5" t="str">
        <f ca="1">IFERROR(__xludf.DUMMYFUNCTION("""COMPUTED_VALUE"""),"No")</f>
        <v>No</v>
      </c>
      <c r="AG1805" s="5" t="str">
        <f ca="1">IFERROR(__xludf.DUMMYFUNCTION("""COMPUTED_VALUE"""),"No")</f>
        <v>No</v>
      </c>
      <c r="AH1805" s="5" t="str">
        <f ca="1">IFERROR(__xludf.DUMMYFUNCTION("""COMPUTED_VALUE"""),"No")</f>
        <v>No</v>
      </c>
      <c r="AI1805" s="5" t="str">
        <f ca="1">IFERROR(__xludf.DUMMYFUNCTION("""COMPUTED_VALUE"""),"Yes")</f>
        <v>Yes</v>
      </c>
      <c r="AJ1805" s="5"/>
    </row>
    <row r="1806" spans="1:36" ht="13">
      <c r="A1806" s="5" t="str">
        <f ca="1">IFERROR(__xludf.DUMMYFUNCTION("""COMPUTED_VALUE"""),"19930917ILDOD")</f>
        <v>19930917ILDOD</v>
      </c>
      <c r="B1806" s="5">
        <f ca="1">IFERROR(__xludf.DUMMYFUNCTION("""COMPUTED_VALUE"""),9)</f>
        <v>9</v>
      </c>
      <c r="C1806" s="5">
        <f ca="1">IFERROR(__xludf.DUMMYFUNCTION("""COMPUTED_VALUE"""),17)</f>
        <v>17</v>
      </c>
      <c r="D1806" s="5">
        <f ca="1">IFERROR(__xludf.DUMMYFUNCTION("""COMPUTED_VALUE"""),1993)</f>
        <v>1993</v>
      </c>
      <c r="E1806" s="8">
        <f ca="1">IFERROR(__xludf.DUMMYFUNCTION("""COMPUTED_VALUE"""),34229)</f>
        <v>34229</v>
      </c>
      <c r="F1806" s="5" t="str">
        <f ca="1">IFERROR(__xludf.DUMMYFUNCTION("""COMPUTED_VALUE"""),"Downers South High School")</f>
        <v>Downers South High School</v>
      </c>
      <c r="G1806" s="5">
        <f ca="1">IFERROR(__xludf.DUMMYFUNCTION("""COMPUTED_VALUE"""),1)</f>
        <v>1</v>
      </c>
      <c r="H1806" s="5">
        <f ca="1">IFERROR(__xludf.DUMMYFUNCTION("""COMPUTED_VALUE"""),0)</f>
        <v>0</v>
      </c>
      <c r="I1806" s="5">
        <f ca="1">IFERROR(__xludf.DUMMYFUNCTION("""COMPUTED_VALUE"""),1)</f>
        <v>1</v>
      </c>
      <c r="J1806" s="5">
        <f ca="1">IFERROR(__xludf.DUMMYFUNCTION("""COMPUTED_VALUE"""),0)</f>
        <v>0</v>
      </c>
      <c r="K1806" s="9" t="str">
        <f ca="1">IFERROR(__xludf.DUMMYFUNCTION("""COMPUTED_VALUE"""),"http://www.mysuburbanlife.com/2011/12/20/philip-powell-who-murdered-hinsdale-teen-barrett-modisette-after-downers-grove-south-high-school-football-game-released-early-from-prison/za3xo73/")</f>
        <v>http://www.mysuburbanlife.com/2011/12/20/philip-powell-who-murdered-hinsdale-teen-barrett-modisette-after-downers-grove-south-high-school-football-game-released-early-from-prison/za3xo73/</v>
      </c>
      <c r="L1806" s="5"/>
      <c r="M1806" s="5"/>
      <c r="N1806" s="5">
        <f ca="1">IFERROR(__xludf.DUMMYFUNCTION("""COMPUTED_VALUE"""),1)</f>
        <v>1</v>
      </c>
      <c r="O1806" s="5" t="str">
        <f ca="1">IFERROR(__xludf.DUMMYFUNCTION("""COMPUTED_VALUE"""),"Fall")</f>
        <v>Fall</v>
      </c>
      <c r="P1806" s="5" t="str">
        <f ca="1">IFERROR(__xludf.DUMMYFUNCTION("""COMPUTED_VALUE"""),"Downers Grove")</f>
        <v>Downers Grove</v>
      </c>
      <c r="Q1806" s="5" t="str">
        <f ca="1">IFERROR(__xludf.DUMMYFUNCTION("""COMPUTED_VALUE"""),"IL")</f>
        <v>IL</v>
      </c>
      <c r="R1806" s="5" t="str">
        <f ca="1">IFERROR(__xludf.DUMMYFUNCTION("""COMPUTED_VALUE"""),"High")</f>
        <v>High</v>
      </c>
      <c r="S1806" s="5" t="str">
        <f ca="1">IFERROR(__xludf.DUMMYFUNCTION("""COMPUTED_VALUE"""),"Football Field/Track")</f>
        <v>Football Field/Track</v>
      </c>
      <c r="T1806" s="5" t="str">
        <f ca="1">IFERROR(__xludf.DUMMYFUNCTION("""COMPUTED_VALUE"""),"Outside on School Property")</f>
        <v>Outside on School Property</v>
      </c>
      <c r="U1806" s="5" t="str">
        <f ca="1">IFERROR(__xludf.DUMMYFUNCTION("""COMPUTED_VALUE"""),"No")</f>
        <v>No</v>
      </c>
      <c r="V1806" s="5" t="str">
        <f ca="1">IFERROR(__xludf.DUMMYFUNCTION("""COMPUTED_VALUE"""),"Sport Event")</f>
        <v>Sport Event</v>
      </c>
      <c r="W1806" s="5"/>
      <c r="X1806" s="5">
        <f ca="1">IFERROR(__xludf.DUMMYFUNCTION("""COMPUTED_VALUE"""),1)</f>
        <v>1</v>
      </c>
      <c r="Y1806" s="5" t="str">
        <f ca="1">IFERROR(__xludf.DUMMYFUNCTION("""COMPUTED_VALUE"""),"Shot victim in head after prior disputes")</f>
        <v>Shot victim in head after prior disputes</v>
      </c>
      <c r="Z1806" s="5" t="str">
        <f ca="1">IFERROR(__xludf.DUMMYFUNCTION("""COMPUTED_VALUE"""),"Victim was sticking up for his younger brother which caused the victim and suspect to begin feuding. The situation escalated over the next few weeks until the suspect shot the victim in the head after a football game.")</f>
        <v>Victim was sticking up for his younger brother which caused the victim and suspect to begin feuding. The situation escalated over the next few weeks until the suspect shot the victim in the head after a football game.</v>
      </c>
      <c r="AA1806" s="5" t="str">
        <f ca="1">IFERROR(__xludf.DUMMYFUNCTION("""COMPUTED_VALUE"""),"Escalation of Dispute")</f>
        <v>Escalation of Dispute</v>
      </c>
      <c r="AB1806" s="5" t="str">
        <f ca="1">IFERROR(__xludf.DUMMYFUNCTION("""COMPUTED_VALUE"""),"Victims Targeted")</f>
        <v>Victims Targeted</v>
      </c>
      <c r="AC1806" s="5" t="str">
        <f ca="1">IFERROR(__xludf.DUMMYFUNCTION("""COMPUTED_VALUE"""),"No")</f>
        <v>No</v>
      </c>
      <c r="AD1806" s="5" t="str">
        <f ca="1">IFERROR(__xludf.DUMMYFUNCTION("""COMPUTED_VALUE"""),"No")</f>
        <v>No</v>
      </c>
      <c r="AE1806" s="5" t="str">
        <f ca="1">IFERROR(__xludf.DUMMYFUNCTION("""COMPUTED_VALUE"""),"No")</f>
        <v>No</v>
      </c>
      <c r="AF1806" s="5" t="str">
        <f ca="1">IFERROR(__xludf.DUMMYFUNCTION("""COMPUTED_VALUE"""),"No")</f>
        <v>No</v>
      </c>
      <c r="AG1806" s="5" t="str">
        <f ca="1">IFERROR(__xludf.DUMMYFUNCTION("""COMPUTED_VALUE"""),"No")</f>
        <v>No</v>
      </c>
      <c r="AH1806" s="5" t="str">
        <f ca="1">IFERROR(__xludf.DUMMYFUNCTION("""COMPUTED_VALUE"""),"No")</f>
        <v>No</v>
      </c>
      <c r="AI1806" s="5" t="str">
        <f ca="1">IFERROR(__xludf.DUMMYFUNCTION("""COMPUTED_VALUE"""),"No")</f>
        <v>No</v>
      </c>
      <c r="AJ1806" s="5"/>
    </row>
    <row r="1807" spans="1:36" ht="13">
      <c r="A1807" s="5" t="str">
        <f ca="1">IFERROR(__xludf.DUMMYFUNCTION("""COMPUTED_VALUE"""),"19930917WYCES")</f>
        <v>19930917WYCES</v>
      </c>
      <c r="B1807" s="5">
        <f ca="1">IFERROR(__xludf.DUMMYFUNCTION("""COMPUTED_VALUE"""),9)</f>
        <v>9</v>
      </c>
      <c r="C1807" s="5">
        <f ca="1">IFERROR(__xludf.DUMMYFUNCTION("""COMPUTED_VALUE"""),17)</f>
        <v>17</v>
      </c>
      <c r="D1807" s="5">
        <f ca="1">IFERROR(__xludf.DUMMYFUNCTION("""COMPUTED_VALUE"""),1993)</f>
        <v>1993</v>
      </c>
      <c r="E1807" s="8">
        <f ca="1">IFERROR(__xludf.DUMMYFUNCTION("""COMPUTED_VALUE"""),34229)</f>
        <v>34229</v>
      </c>
      <c r="F1807" s="5" t="str">
        <f ca="1">IFERROR(__xludf.DUMMYFUNCTION("""COMPUTED_VALUE"""),"Central Junior High School")</f>
        <v>Central Junior High School</v>
      </c>
      <c r="G1807" s="5">
        <f ca="1">IFERROR(__xludf.DUMMYFUNCTION("""COMPUTED_VALUE"""),0)</f>
        <v>0</v>
      </c>
      <c r="H1807" s="5">
        <f ca="1">IFERROR(__xludf.DUMMYFUNCTION("""COMPUTED_VALUE"""),0)</f>
        <v>0</v>
      </c>
      <c r="I1807" s="5">
        <f ca="1">IFERROR(__xludf.DUMMYFUNCTION("""COMPUTED_VALUE"""),0)</f>
        <v>0</v>
      </c>
      <c r="J1807" s="5">
        <f ca="1">IFERROR(__xludf.DUMMYFUNCTION("""COMPUTED_VALUE"""),1)</f>
        <v>1</v>
      </c>
      <c r="K1807" s="9" t="str">
        <f ca="1">IFERROR(__xludf.DUMMYFUNCTION("""COMPUTED_VALUE"""),"http://buffalonews.com/1993/09/18/gunman-wounds-4-at-school-kills-self-shooting-takes-place-on-football-field/")</f>
        <v>http://buffalonews.com/1993/09/18/gunman-wounds-4-at-school-kills-self-shooting-takes-place-on-football-field/</v>
      </c>
      <c r="L1807" s="5"/>
      <c r="M1807" s="5"/>
      <c r="N1807" s="5">
        <f ca="1">IFERROR(__xludf.DUMMYFUNCTION("""COMPUTED_VALUE"""),2)</f>
        <v>2</v>
      </c>
      <c r="O1807" s="5" t="str">
        <f ca="1">IFERROR(__xludf.DUMMYFUNCTION("""COMPUTED_VALUE"""),"Fall")</f>
        <v>Fall</v>
      </c>
      <c r="P1807" s="5" t="str">
        <f ca="1">IFERROR(__xludf.DUMMYFUNCTION("""COMPUTED_VALUE"""),"Sheridan")</f>
        <v>Sheridan</v>
      </c>
      <c r="Q1807" s="5" t="str">
        <f ca="1">IFERROR(__xludf.DUMMYFUNCTION("""COMPUTED_VALUE"""),"WY")</f>
        <v>WY</v>
      </c>
      <c r="R1807" s="5" t="str">
        <f ca="1">IFERROR(__xludf.DUMMYFUNCTION("""COMPUTED_VALUE"""),"Junior High")</f>
        <v>Junior High</v>
      </c>
      <c r="S1807" s="5" t="str">
        <f ca="1">IFERROR(__xludf.DUMMYFUNCTION("""COMPUTED_VALUE"""),"Football Field/Track")</f>
        <v>Football Field/Track</v>
      </c>
      <c r="T1807" s="5" t="str">
        <f ca="1">IFERROR(__xludf.DUMMYFUNCTION("""COMPUTED_VALUE"""),"Outside on School Property")</f>
        <v>Outside on School Property</v>
      </c>
      <c r="U1807" s="5" t="str">
        <f ca="1">IFERROR(__xludf.DUMMYFUNCTION("""COMPUTED_VALUE"""),"Yes")</f>
        <v>Yes</v>
      </c>
      <c r="V1807" s="5"/>
      <c r="W1807" s="5"/>
      <c r="X1807" s="5">
        <f ca="1">IFERROR(__xludf.DUMMYFUNCTION("""COMPUTED_VALUE"""),1)</f>
        <v>1</v>
      </c>
      <c r="Y1807" s="5" t="str">
        <f ca="1">IFERROR(__xludf.DUMMYFUNCTION("""COMPUTED_VALUE"""),"Depressed - recently received dishonorable discharge from Navy")</f>
        <v>Depressed - recently received dishonorable discharge from Navy</v>
      </c>
      <c r="Z1807" s="5" t="str">
        <f ca="1">IFERROR(__xludf.DUMMYFUNCTION("""COMPUTED_VALUE"""),"Shooter walked onto the football field, fired multiple shots hitting 4 middle school students (minor injuries), and shot himself in the head. Recent dishonorable discharge for Navy. Left suicide note saying he was unhappy with life. No connection or motiv"&amp;"e established with why he fired shots at the students or killed himself at the school.")</f>
        <v>Shooter walked onto the football field, fired multiple shots hitting 4 middle school students (minor injuries), and shot himself in the head. Recent dishonorable discharge for Navy. Left suicide note saying he was unhappy with life. No connection or motive established with why he fired shots at the students or killed himself at the school.</v>
      </c>
      <c r="AA1807" s="5" t="str">
        <f ca="1">IFERROR(__xludf.DUMMYFUNCTION("""COMPUTED_VALUE"""),"Indiscriminate Shooting")</f>
        <v>Indiscriminate Shooting</v>
      </c>
      <c r="AB1807" s="5" t="str">
        <f ca="1">IFERROR(__xludf.DUMMYFUNCTION("""COMPUTED_VALUE"""),"Random Shooting")</f>
        <v>Random Shooting</v>
      </c>
      <c r="AC1807" s="5" t="str">
        <f ca="1">IFERROR(__xludf.DUMMYFUNCTION("""COMPUTED_VALUE"""),"No")</f>
        <v>No</v>
      </c>
      <c r="AD1807" s="5" t="str">
        <f ca="1">IFERROR(__xludf.DUMMYFUNCTION("""COMPUTED_VALUE"""),"No")</f>
        <v>No</v>
      </c>
      <c r="AE1807" s="5" t="str">
        <f ca="1">IFERROR(__xludf.DUMMYFUNCTION("""COMPUTED_VALUE"""),"No")</f>
        <v>No</v>
      </c>
      <c r="AF1807" s="5" t="str">
        <f ca="1">IFERROR(__xludf.DUMMYFUNCTION("""COMPUTED_VALUE"""),"No")</f>
        <v>No</v>
      </c>
      <c r="AG1807" s="5" t="str">
        <f ca="1">IFERROR(__xludf.DUMMYFUNCTION("""COMPUTED_VALUE"""),"No")</f>
        <v>No</v>
      </c>
      <c r="AH1807" s="5" t="str">
        <f ca="1">IFERROR(__xludf.DUMMYFUNCTION("""COMPUTED_VALUE"""),"No")</f>
        <v>No</v>
      </c>
      <c r="AI1807" s="5" t="str">
        <f ca="1">IFERROR(__xludf.DUMMYFUNCTION("""COMPUTED_VALUE"""),"No")</f>
        <v>No</v>
      </c>
      <c r="AJ1807" s="5" t="str">
        <f ca="1">IFERROR(__xludf.DUMMYFUNCTION("""COMPUTED_VALUE"""),"Yes")</f>
        <v>Yes</v>
      </c>
    </row>
    <row r="1808" spans="1:36" ht="13">
      <c r="A1808" s="5" t="str">
        <f ca="1">IFERROR(__xludf.DUMMYFUNCTION("""COMPUTED_VALUE"""),"19930916ILROC")</f>
        <v>19930916ILROC</v>
      </c>
      <c r="B1808" s="5">
        <f ca="1">IFERROR(__xludf.DUMMYFUNCTION("""COMPUTED_VALUE"""),9)</f>
        <v>9</v>
      </c>
      <c r="C1808" s="5">
        <f ca="1">IFERROR(__xludf.DUMMYFUNCTION("""COMPUTED_VALUE"""),16)</f>
        <v>16</v>
      </c>
      <c r="D1808" s="5">
        <f ca="1">IFERROR(__xludf.DUMMYFUNCTION("""COMPUTED_VALUE"""),1993)</f>
        <v>1993</v>
      </c>
      <c r="E1808" s="8">
        <f ca="1">IFERROR(__xludf.DUMMYFUNCTION("""COMPUTED_VALUE"""),34228)</f>
        <v>34228</v>
      </c>
      <c r="F1808" s="5" t="str">
        <f ca="1">IFERROR(__xludf.DUMMYFUNCTION("""COMPUTED_VALUE"""),"Roosevelt High School")</f>
        <v>Roosevelt High School</v>
      </c>
      <c r="G1808" s="5">
        <f ca="1">IFERROR(__xludf.DUMMYFUNCTION("""COMPUTED_VALUE"""),1)</f>
        <v>1</v>
      </c>
      <c r="H1808" s="5">
        <f ca="1">IFERROR(__xludf.DUMMYFUNCTION("""COMPUTED_VALUE"""),0)</f>
        <v>0</v>
      </c>
      <c r="I1808" s="5">
        <f ca="1">IFERROR(__xludf.DUMMYFUNCTION("""COMPUTED_VALUE"""),1)</f>
        <v>1</v>
      </c>
      <c r="J1808" s="5">
        <f ca="1">IFERROR(__xludf.DUMMYFUNCTION("""COMPUTED_VALUE"""),0)</f>
        <v>0</v>
      </c>
      <c r="K1808" s="9" t="str">
        <f ca="1">IFERROR(__xludf.DUMMYFUNCTION("""COMPUTED_VALUE"""),"https://www.newspapers.com/image/241417531/?terms=Roosevelt%2BHigh%2BSchool%2Bshooting")</f>
        <v>https://www.newspapers.com/image/241417531/?terms=Roosevelt%2BHigh%2BSchool%2Bshooting</v>
      </c>
      <c r="L1808" s="5"/>
      <c r="M1808" s="5"/>
      <c r="N1808" s="5">
        <f ca="1">IFERROR(__xludf.DUMMYFUNCTION("""COMPUTED_VALUE"""),2)</f>
        <v>2</v>
      </c>
      <c r="O1808" s="5" t="str">
        <f ca="1">IFERROR(__xludf.DUMMYFUNCTION("""COMPUTED_VALUE"""),"Fall")</f>
        <v>Fall</v>
      </c>
      <c r="P1808" s="5" t="str">
        <f ca="1">IFERROR(__xludf.DUMMYFUNCTION("""COMPUTED_VALUE"""),"Chicago")</f>
        <v>Chicago</v>
      </c>
      <c r="Q1808" s="5" t="str">
        <f ca="1">IFERROR(__xludf.DUMMYFUNCTION("""COMPUTED_VALUE"""),"IL")</f>
        <v>IL</v>
      </c>
      <c r="R1808" s="5" t="str">
        <f ca="1">IFERROR(__xludf.DUMMYFUNCTION("""COMPUTED_VALUE"""),"High")</f>
        <v>High</v>
      </c>
      <c r="S1808" s="5" t="str">
        <f ca="1">IFERROR(__xludf.DUMMYFUNCTION("""COMPUTED_VALUE"""),"Beside Building")</f>
        <v>Beside Building</v>
      </c>
      <c r="T1808" s="5" t="str">
        <f ca="1">IFERROR(__xludf.DUMMYFUNCTION("""COMPUTED_VALUE"""),"Outside on School Property")</f>
        <v>Outside on School Property</v>
      </c>
      <c r="U1808" s="5" t="str">
        <f ca="1">IFERROR(__xludf.DUMMYFUNCTION("""COMPUTED_VALUE"""),"Yes")</f>
        <v>Yes</v>
      </c>
      <c r="V1808" s="5" t="str">
        <f ca="1">IFERROR(__xludf.DUMMYFUNCTION("""COMPUTED_VALUE"""),"Dismissal")</f>
        <v>Dismissal</v>
      </c>
      <c r="W1808" s="10">
        <f ca="1">IFERROR(__xludf.DUMMYFUNCTION("""COMPUTED_VALUE"""),0.625)</f>
        <v>0.625</v>
      </c>
      <c r="X1808" s="5">
        <f ca="1">IFERROR(__xludf.DUMMYFUNCTION("""COMPUTED_VALUE"""),1)</f>
        <v>1</v>
      </c>
      <c r="Y1808" s="5" t="str">
        <f ca="1">IFERROR(__xludf.DUMMYFUNCTION("""COMPUTED_VALUE"""),"Gang related shooting at dismissal outside of school")</f>
        <v>Gang related shooting at dismissal outside of school</v>
      </c>
      <c r="Z1808" s="5" t="str">
        <f ca="1">IFERROR(__xludf.DUMMYFUNCTION("""COMPUTED_VALUE"""),"Gang related shooting. Part of 6 other shootings that occurred just off of school grounds in the first 2 weeks of the school year.")</f>
        <v>Gang related shooting. Part of 6 other shootings that occurred just off of school grounds in the first 2 weeks of the school year.</v>
      </c>
      <c r="AA1808" s="5" t="str">
        <f ca="1">IFERROR(__xludf.DUMMYFUNCTION("""COMPUTED_VALUE"""),"Escalation of Dispute")</f>
        <v>Escalation of Dispute</v>
      </c>
      <c r="AB1808" s="5"/>
      <c r="AC1808" s="5" t="str">
        <f ca="1">IFERROR(__xludf.DUMMYFUNCTION("""COMPUTED_VALUE"""),"No")</f>
        <v>No</v>
      </c>
      <c r="AD1808" s="5" t="str">
        <f ca="1">IFERROR(__xludf.DUMMYFUNCTION("""COMPUTED_VALUE"""),"No")</f>
        <v>No</v>
      </c>
      <c r="AE1808" s="5" t="str">
        <f ca="1">IFERROR(__xludf.DUMMYFUNCTION("""COMPUTED_VALUE"""),"No")</f>
        <v>No</v>
      </c>
      <c r="AF1808" s="5" t="str">
        <f ca="1">IFERROR(__xludf.DUMMYFUNCTION("""COMPUTED_VALUE"""),"No")</f>
        <v>No</v>
      </c>
      <c r="AG1808" s="5"/>
      <c r="AH1808" s="5"/>
      <c r="AI1808" s="5" t="str">
        <f ca="1">IFERROR(__xludf.DUMMYFUNCTION("""COMPUTED_VALUE"""),"Yes")</f>
        <v>Yes</v>
      </c>
      <c r="AJ1808" s="5"/>
    </row>
    <row r="1809" spans="1:36" ht="13">
      <c r="A1809" s="5" t="str">
        <f ca="1">IFERROR(__xludf.DUMMYFUNCTION("""COMPUTED_VALUE"""),"19930912ALFAF")</f>
        <v>19930912ALFAF</v>
      </c>
      <c r="B1809" s="5">
        <f ca="1">IFERROR(__xludf.DUMMYFUNCTION("""COMPUTED_VALUE"""),9)</f>
        <v>9</v>
      </c>
      <c r="C1809" s="5">
        <f ca="1">IFERROR(__xludf.DUMMYFUNCTION("""COMPUTED_VALUE"""),12)</f>
        <v>12</v>
      </c>
      <c r="D1809" s="5">
        <f ca="1">IFERROR(__xludf.DUMMYFUNCTION("""COMPUTED_VALUE"""),1993)</f>
        <v>1993</v>
      </c>
      <c r="E1809" s="8">
        <f ca="1">IFERROR(__xludf.DUMMYFUNCTION("""COMPUTED_VALUE"""),34224)</f>
        <v>34224</v>
      </c>
      <c r="F1809" s="5" t="str">
        <f ca="1">IFERROR(__xludf.DUMMYFUNCTION("""COMPUTED_VALUE"""),"Fairfield High School")</f>
        <v>Fairfield High School</v>
      </c>
      <c r="G1809" s="5">
        <f ca="1">IFERROR(__xludf.DUMMYFUNCTION("""COMPUTED_VALUE"""),0)</f>
        <v>0</v>
      </c>
      <c r="H1809" s="5">
        <f ca="1">IFERROR(__xludf.DUMMYFUNCTION("""COMPUTED_VALUE"""),0)</f>
        <v>0</v>
      </c>
      <c r="I1809" s="5">
        <f ca="1">IFERROR(__xludf.DUMMYFUNCTION("""COMPUTED_VALUE"""),0)</f>
        <v>0</v>
      </c>
      <c r="J1809" s="5">
        <f ca="1">IFERROR(__xludf.DUMMYFUNCTION("""COMPUTED_VALUE"""),0)</f>
        <v>0</v>
      </c>
      <c r="K1809" s="9" t="str">
        <f ca="1">IFERROR(__xludf.DUMMYFUNCTION("""COMPUTED_VALUE"""),"https://www.newspapers.com/image/89590422/?terms=%22shot%20high%20school%20football%22&amp;match=1")</f>
        <v>https://www.newspapers.com/image/89590422/?terms=%22shot%20high%20school%20football%22&amp;match=1</v>
      </c>
      <c r="L1809" s="5">
        <f ca="1">IFERROR(__xludf.DUMMYFUNCTION("""COMPUTED_VALUE"""),1)</f>
        <v>1</v>
      </c>
      <c r="M1809" s="5" t="str">
        <f ca="1">IFERROR(__xludf.DUMMYFUNCTION("""COMPUTED_VALUE"""),"Local")</f>
        <v>Local</v>
      </c>
      <c r="N1809" s="5">
        <f ca="1">IFERROR(__xludf.DUMMYFUNCTION("""COMPUTED_VALUE"""),3)</f>
        <v>3</v>
      </c>
      <c r="O1809" s="5" t="str">
        <f ca="1">IFERROR(__xludf.DUMMYFUNCTION("""COMPUTED_VALUE"""),"Fall")</f>
        <v>Fall</v>
      </c>
      <c r="P1809" s="5" t="str">
        <f ca="1">IFERROR(__xludf.DUMMYFUNCTION("""COMPUTED_VALUE"""),"Fairfield")</f>
        <v>Fairfield</v>
      </c>
      <c r="Q1809" s="5" t="str">
        <f ca="1">IFERROR(__xludf.DUMMYFUNCTION("""COMPUTED_VALUE"""),"AL")</f>
        <v>AL</v>
      </c>
      <c r="R1809" s="5" t="str">
        <f ca="1">IFERROR(__xludf.DUMMYFUNCTION("""COMPUTED_VALUE"""),"High")</f>
        <v>High</v>
      </c>
      <c r="S1809" s="5" t="str">
        <f ca="1">IFERROR(__xludf.DUMMYFUNCTION("""COMPUTED_VALUE"""),"Football Field/Track")</f>
        <v>Football Field/Track</v>
      </c>
      <c r="T1809" s="5" t="str">
        <f ca="1">IFERROR(__xludf.DUMMYFUNCTION("""COMPUTED_VALUE"""),"Outside on School Property")</f>
        <v>Outside on School Property</v>
      </c>
      <c r="U1809" s="5" t="str">
        <f ca="1">IFERROR(__xludf.DUMMYFUNCTION("""COMPUTED_VALUE"""),"No")</f>
        <v>No</v>
      </c>
      <c r="V1809" s="5" t="str">
        <f ca="1">IFERROR(__xludf.DUMMYFUNCTION("""COMPUTED_VALUE"""),"Sport Event")</f>
        <v>Sport Event</v>
      </c>
      <c r="W1809" s="10">
        <f ca="1">IFERROR(__xludf.DUMMYFUNCTION("""COMPUTED_VALUE"""),0.573611111111111)</f>
        <v>0.57361111111111096</v>
      </c>
      <c r="X1809" s="5">
        <f ca="1">IFERROR(__xludf.DUMMYFUNCTION("""COMPUTED_VALUE"""),1)</f>
        <v>1</v>
      </c>
      <c r="Y1809" s="5" t="str">
        <f ca="1">IFERROR(__xludf.DUMMYFUNCTION("""COMPUTED_VALUE"""),"Shots fired into the air during football game")</f>
        <v>Shots fired into the air during football game</v>
      </c>
      <c r="Z1809" s="5"/>
      <c r="AA1809" s="5" t="str">
        <f ca="1">IFERROR(__xludf.DUMMYFUNCTION("""COMPUTED_VALUE"""),"Illegal Activity")</f>
        <v>Illegal Activity</v>
      </c>
      <c r="AB1809" s="5" t="str">
        <f ca="1">IFERROR(__xludf.DUMMYFUNCTION("""COMPUTED_VALUE"""),"Neither")</f>
        <v>Neither</v>
      </c>
      <c r="AC1809" s="5" t="str">
        <f ca="1">IFERROR(__xludf.DUMMYFUNCTION("""COMPUTED_VALUE"""),"No")</f>
        <v>No</v>
      </c>
      <c r="AD1809" s="5" t="str">
        <f ca="1">IFERROR(__xludf.DUMMYFUNCTION("""COMPUTED_VALUE"""),"No")</f>
        <v>No</v>
      </c>
      <c r="AE1809" s="5" t="str">
        <f ca="1">IFERROR(__xludf.DUMMYFUNCTION("""COMPUTED_VALUE"""),"No")</f>
        <v>No</v>
      </c>
      <c r="AF1809" s="5" t="str">
        <f ca="1">IFERROR(__xludf.DUMMYFUNCTION("""COMPUTED_VALUE"""),"No")</f>
        <v>No</v>
      </c>
      <c r="AG1809" s="5" t="str">
        <f ca="1">IFERROR(__xludf.DUMMYFUNCTION("""COMPUTED_VALUE"""),"No")</f>
        <v>No</v>
      </c>
      <c r="AH1809" s="5" t="str">
        <f ca="1">IFERROR(__xludf.DUMMYFUNCTION("""COMPUTED_VALUE"""),"No")</f>
        <v>No</v>
      </c>
      <c r="AI1809" s="5" t="str">
        <f ca="1">IFERROR(__xludf.DUMMYFUNCTION("""COMPUTED_VALUE"""),"No")</f>
        <v>No</v>
      </c>
      <c r="AJ1809" s="5" t="str">
        <f ca="1">IFERROR(__xludf.DUMMYFUNCTION("""COMPUTED_VALUE"""),"No")</f>
        <v>No</v>
      </c>
    </row>
    <row r="1810" spans="1:36" ht="13">
      <c r="A1810" s="5" t="str">
        <f ca="1">IFERROR(__xludf.DUMMYFUNCTION("""COMPUTED_VALUE"""),"19930902TXROD")</f>
        <v>19930902TXROD</v>
      </c>
      <c r="B1810" s="5">
        <f ca="1">IFERROR(__xludf.DUMMYFUNCTION("""COMPUTED_VALUE"""),9)</f>
        <v>9</v>
      </c>
      <c r="C1810" s="5">
        <f ca="1">IFERROR(__xludf.DUMMYFUNCTION("""COMPUTED_VALUE"""),2)</f>
        <v>2</v>
      </c>
      <c r="D1810" s="5">
        <f ca="1">IFERROR(__xludf.DUMMYFUNCTION("""COMPUTED_VALUE"""),1993)</f>
        <v>1993</v>
      </c>
      <c r="E1810" s="8">
        <f ca="1">IFERROR(__xludf.DUMMYFUNCTION("""COMPUTED_VALUE"""),34214)</f>
        <v>34214</v>
      </c>
      <c r="F1810" s="5" t="str">
        <f ca="1">IFERROR(__xludf.DUMMYFUNCTION("""COMPUTED_VALUE"""),"Roosevelt High School")</f>
        <v>Roosevelt High School</v>
      </c>
      <c r="G1810" s="5">
        <f ca="1">IFERROR(__xludf.DUMMYFUNCTION("""COMPUTED_VALUE"""),1)</f>
        <v>1</v>
      </c>
      <c r="H1810" s="5">
        <f ca="1">IFERROR(__xludf.DUMMYFUNCTION("""COMPUTED_VALUE"""),0)</f>
        <v>0</v>
      </c>
      <c r="I1810" s="5">
        <f ca="1">IFERROR(__xludf.DUMMYFUNCTION("""COMPUTED_VALUE"""),1)</f>
        <v>1</v>
      </c>
      <c r="J1810" s="5">
        <f ca="1">IFERROR(__xludf.DUMMYFUNCTION("""COMPUTED_VALUE"""),0)</f>
        <v>0</v>
      </c>
      <c r="K1810" s="5" t="str">
        <f ca="1">IFERROR(__xludf.DUMMYFUNCTION("""COMPUTED_VALUE"""),"Dallas Morning News - Student, 15, Fatally Shot at School - Suspect, 16, Surrenders to Police; Dallas Morning News - Victim was Getting His Life Together; https://www.columbine-angels.com/School_Violence_1993-1994.htm")</f>
        <v>Dallas Morning News - Student, 15, Fatally Shot at School - Suspect, 16, Surrenders to Police; Dallas Morning News - Victim was Getting His Life Together; https://www.columbine-angels.com/School_Violence_1993-1994.htm</v>
      </c>
      <c r="L1810" s="5"/>
      <c r="M1810" s="5"/>
      <c r="N1810" s="5">
        <f ca="1">IFERROR(__xludf.DUMMYFUNCTION("""COMPUTED_VALUE"""),1)</f>
        <v>1</v>
      </c>
      <c r="O1810" s="5" t="str">
        <f ca="1">IFERROR(__xludf.DUMMYFUNCTION("""COMPUTED_VALUE"""),"Fall")</f>
        <v>Fall</v>
      </c>
      <c r="P1810" s="5" t="str">
        <f ca="1">IFERROR(__xludf.DUMMYFUNCTION("""COMPUTED_VALUE"""),"Dallas")</f>
        <v>Dallas</v>
      </c>
      <c r="Q1810" s="5" t="str">
        <f ca="1">IFERROR(__xludf.DUMMYFUNCTION("""COMPUTED_VALUE"""),"TX")</f>
        <v>TX</v>
      </c>
      <c r="R1810" s="5" t="str">
        <f ca="1">IFERROR(__xludf.DUMMYFUNCTION("""COMPUTED_VALUE"""),"High")</f>
        <v>High</v>
      </c>
      <c r="S1810" s="5" t="str">
        <f ca="1">IFERROR(__xludf.DUMMYFUNCTION("""COMPUTED_VALUE"""),"Hallway")</f>
        <v>Hallway</v>
      </c>
      <c r="T1810" s="5" t="str">
        <f ca="1">IFERROR(__xludf.DUMMYFUNCTION("""COMPUTED_VALUE"""),"Inside School Building")</f>
        <v>Inside School Building</v>
      </c>
      <c r="U1810" s="5" t="str">
        <f ca="1">IFERROR(__xludf.DUMMYFUNCTION("""COMPUTED_VALUE"""),"Yes")</f>
        <v>Yes</v>
      </c>
      <c r="V1810" s="5" t="str">
        <f ca="1">IFERROR(__xludf.DUMMYFUNCTION("""COMPUTED_VALUE"""),"Dismissal")</f>
        <v>Dismissal</v>
      </c>
      <c r="W1810" s="10">
        <f ca="1">IFERROR(__xludf.DUMMYFUNCTION("""COMPUTED_VALUE"""),0.614583333333333)</f>
        <v>0.61458333333333304</v>
      </c>
      <c r="X1810" s="5">
        <f ca="1">IFERROR(__xludf.DUMMYFUNCTION("""COMPUTED_VALUE"""),1)</f>
        <v>1</v>
      </c>
      <c r="Y1810" s="5" t="str">
        <f ca="1">IFERROR(__xludf.DUMMYFUNCTION("""COMPUTED_VALUE"""),"Argument over stolen beeper")</f>
        <v>Argument over stolen beeper</v>
      </c>
      <c r="Z1810" s="5" t="str">
        <f ca="1">IFERROR(__xludf.DUMMYFUNCTION("""COMPUTED_VALUE"""),"Victim and shooter had multiple arguments about a stolen beeper. During an argument in the school hallway, 16YOM student shot 15YOM student in the head and fled.")</f>
        <v>Victim and shooter had multiple arguments about a stolen beeper. During an argument in the school hallway, 16YOM student shot 15YOM student in the head and fled.</v>
      </c>
      <c r="AA1810" s="5" t="str">
        <f ca="1">IFERROR(__xludf.DUMMYFUNCTION("""COMPUTED_VALUE"""),"Escalation of Dispute")</f>
        <v>Escalation of Dispute</v>
      </c>
      <c r="AB1810" s="5" t="str">
        <f ca="1">IFERROR(__xludf.DUMMYFUNCTION("""COMPUTED_VALUE"""),"Victims Targeted")</f>
        <v>Victims Targeted</v>
      </c>
      <c r="AC1810" s="5" t="str">
        <f ca="1">IFERROR(__xludf.DUMMYFUNCTION("""COMPUTED_VALUE"""),"No")</f>
        <v>No</v>
      </c>
      <c r="AD1810" s="5" t="str">
        <f ca="1">IFERROR(__xludf.DUMMYFUNCTION("""COMPUTED_VALUE"""),"No")</f>
        <v>No</v>
      </c>
      <c r="AE1810" s="5" t="str">
        <f ca="1">IFERROR(__xludf.DUMMYFUNCTION("""COMPUTED_VALUE"""),"No")</f>
        <v>No</v>
      </c>
      <c r="AF1810" s="5" t="str">
        <f ca="1">IFERROR(__xludf.DUMMYFUNCTION("""COMPUTED_VALUE"""),"No")</f>
        <v>No</v>
      </c>
      <c r="AG1810" s="5" t="str">
        <f ca="1">IFERROR(__xludf.DUMMYFUNCTION("""COMPUTED_VALUE"""),"No")</f>
        <v>No</v>
      </c>
      <c r="AH1810" s="5" t="str">
        <f ca="1">IFERROR(__xludf.DUMMYFUNCTION("""COMPUTED_VALUE"""),"No")</f>
        <v>No</v>
      </c>
      <c r="AI1810" s="5" t="str">
        <f ca="1">IFERROR(__xludf.DUMMYFUNCTION("""COMPUTED_VALUE"""),"No")</f>
        <v>No</v>
      </c>
      <c r="AJ1810" s="5"/>
    </row>
    <row r="1811" spans="1:36" ht="13">
      <c r="A1811" s="5" t="str">
        <f ca="1">IFERROR(__xludf.DUMMYFUNCTION("""COMPUTED_VALUE"""),"19930901KSJUJ")</f>
        <v>19930901KSJUJ</v>
      </c>
      <c r="B1811" s="5">
        <f ca="1">IFERROR(__xludf.DUMMYFUNCTION("""COMPUTED_VALUE"""),9)</f>
        <v>9</v>
      </c>
      <c r="C1811" s="5">
        <f ca="1">IFERROR(__xludf.DUMMYFUNCTION("""COMPUTED_VALUE"""),1)</f>
        <v>1</v>
      </c>
      <c r="D1811" s="5">
        <f ca="1">IFERROR(__xludf.DUMMYFUNCTION("""COMPUTED_VALUE"""),1993)</f>
        <v>1993</v>
      </c>
      <c r="E1811" s="8">
        <f ca="1">IFERROR(__xludf.DUMMYFUNCTION("""COMPUTED_VALUE"""),34213)</f>
        <v>34213</v>
      </c>
      <c r="F1811" s="5" t="str">
        <f ca="1">IFERROR(__xludf.DUMMYFUNCTION("""COMPUTED_VALUE"""),"Junction City High School")</f>
        <v>Junction City High School</v>
      </c>
      <c r="G1811" s="5">
        <f ca="1">IFERROR(__xludf.DUMMYFUNCTION("""COMPUTED_VALUE"""),0)</f>
        <v>0</v>
      </c>
      <c r="H1811" s="5">
        <f ca="1">IFERROR(__xludf.DUMMYFUNCTION("""COMPUTED_VALUE"""),1)</f>
        <v>1</v>
      </c>
      <c r="I1811" s="5">
        <f ca="1">IFERROR(__xludf.DUMMYFUNCTION("""COMPUTED_VALUE"""),1)</f>
        <v>1</v>
      </c>
      <c r="J1811" s="5">
        <f ca="1">IFERROR(__xludf.DUMMYFUNCTION("""COMPUTED_VALUE"""),0)</f>
        <v>0</v>
      </c>
      <c r="K1811" s="9" t="str">
        <f ca="1">IFERROR(__xludf.DUMMYFUNCTION("""COMPUTED_VALUE"""),"https://www.newspapers.com/image/1005267/?terms=Junction%2BCity%2BHigh%2BSchool%2Bshooting")</f>
        <v>https://www.newspapers.com/image/1005267/?terms=Junction%2BCity%2BHigh%2BSchool%2Bshooting</v>
      </c>
      <c r="L1811" s="5"/>
      <c r="M1811" s="5"/>
      <c r="N1811" s="5">
        <f ca="1">IFERROR(__xludf.DUMMYFUNCTION("""COMPUTED_VALUE"""),2)</f>
        <v>2</v>
      </c>
      <c r="O1811" s="5" t="str">
        <f ca="1">IFERROR(__xludf.DUMMYFUNCTION("""COMPUTED_VALUE"""),"Fall")</f>
        <v>Fall</v>
      </c>
      <c r="P1811" s="5" t="str">
        <f ca="1">IFERROR(__xludf.DUMMYFUNCTION("""COMPUTED_VALUE"""),"Junction City")</f>
        <v>Junction City</v>
      </c>
      <c r="Q1811" s="5" t="str">
        <f ca="1">IFERROR(__xludf.DUMMYFUNCTION("""COMPUTED_VALUE"""),"KS")</f>
        <v>KS</v>
      </c>
      <c r="R1811" s="5" t="str">
        <f ca="1">IFERROR(__xludf.DUMMYFUNCTION("""COMPUTED_VALUE"""),"High")</f>
        <v>High</v>
      </c>
      <c r="S1811" s="5" t="str">
        <f ca="1">IFERROR(__xludf.DUMMYFUNCTION("""COMPUTED_VALUE"""),"Cafeteria")</f>
        <v>Cafeteria</v>
      </c>
      <c r="T1811" s="5" t="str">
        <f ca="1">IFERROR(__xludf.DUMMYFUNCTION("""COMPUTED_VALUE"""),"Inside School Building")</f>
        <v>Inside School Building</v>
      </c>
      <c r="U1811" s="5" t="str">
        <f ca="1">IFERROR(__xludf.DUMMYFUNCTION("""COMPUTED_VALUE"""),"Yes")</f>
        <v>Yes</v>
      </c>
      <c r="V1811" s="5" t="str">
        <f ca="1">IFERROR(__xludf.DUMMYFUNCTION("""COMPUTED_VALUE"""),"Lunch")</f>
        <v>Lunch</v>
      </c>
      <c r="W1811" s="5"/>
      <c r="X1811" s="5">
        <f ca="1">IFERROR(__xludf.DUMMYFUNCTION("""COMPUTED_VALUE"""),1)</f>
        <v>1</v>
      </c>
      <c r="Y1811" s="5" t="str">
        <f ca="1">IFERROR(__xludf.DUMMYFUNCTION("""COMPUTED_VALUE"""),"Argument in cafeteria, bystander shot")</f>
        <v>Argument in cafeteria, bystander shot</v>
      </c>
      <c r="Z1811" s="5" t="str">
        <f ca="1">IFERROR(__xludf.DUMMYFUNCTION("""COMPUTED_VALUE"""),"Argument between group of male students in cafeteria. Bystander girl eating lunch was shot. 15YOM shooter fled.")</f>
        <v>Argument between group of male students in cafeteria. Bystander girl eating lunch was shot. 15YOM shooter fled.</v>
      </c>
      <c r="AA1811" s="5" t="str">
        <f ca="1">IFERROR(__xludf.DUMMYFUNCTION("""COMPUTED_VALUE"""),"Escalation of Dispute")</f>
        <v>Escalation of Dispute</v>
      </c>
      <c r="AB1811" s="5" t="str">
        <f ca="1">IFERROR(__xludf.DUMMYFUNCTION("""COMPUTED_VALUE"""),"Both")</f>
        <v>Both</v>
      </c>
      <c r="AC1811" s="5" t="str">
        <f ca="1">IFERROR(__xludf.DUMMYFUNCTION("""COMPUTED_VALUE"""),"No")</f>
        <v>No</v>
      </c>
      <c r="AD1811" s="5" t="str">
        <f ca="1">IFERROR(__xludf.DUMMYFUNCTION("""COMPUTED_VALUE"""),"No")</f>
        <v>No</v>
      </c>
      <c r="AE1811" s="5" t="str">
        <f ca="1">IFERROR(__xludf.DUMMYFUNCTION("""COMPUTED_VALUE"""),"No")</f>
        <v>No</v>
      </c>
      <c r="AF1811" s="5" t="str">
        <f ca="1">IFERROR(__xludf.DUMMYFUNCTION("""COMPUTED_VALUE"""),"No")</f>
        <v>No</v>
      </c>
      <c r="AG1811" s="5" t="str">
        <f ca="1">IFERROR(__xludf.DUMMYFUNCTION("""COMPUTED_VALUE"""),"No")</f>
        <v>No</v>
      </c>
      <c r="AH1811" s="5" t="str">
        <f ca="1">IFERROR(__xludf.DUMMYFUNCTION("""COMPUTED_VALUE"""),"No")</f>
        <v>No</v>
      </c>
      <c r="AI1811" s="5" t="str">
        <f ca="1">IFERROR(__xludf.DUMMYFUNCTION("""COMPUTED_VALUE"""),"No")</f>
        <v>No</v>
      </c>
      <c r="AJ1811" s="5"/>
    </row>
    <row r="1812" spans="1:36" ht="13">
      <c r="A1812" s="5" t="str">
        <f ca="1">IFERROR(__xludf.DUMMYFUNCTION("""COMPUTED_VALUE"""),"19930831GAHAA")</f>
        <v>19930831GAHAA</v>
      </c>
      <c r="B1812" s="5">
        <f ca="1">IFERROR(__xludf.DUMMYFUNCTION("""COMPUTED_VALUE"""),8)</f>
        <v>8</v>
      </c>
      <c r="C1812" s="5">
        <f ca="1">IFERROR(__xludf.DUMMYFUNCTION("""COMPUTED_VALUE"""),31)</f>
        <v>31</v>
      </c>
      <c r="D1812" s="5">
        <f ca="1">IFERROR(__xludf.DUMMYFUNCTION("""COMPUTED_VALUE"""),1993)</f>
        <v>1993</v>
      </c>
      <c r="E1812" s="8">
        <f ca="1">IFERROR(__xludf.DUMMYFUNCTION("""COMPUTED_VALUE"""),34212)</f>
        <v>34212</v>
      </c>
      <c r="F1812" s="5" t="str">
        <f ca="1">IFERROR(__xludf.DUMMYFUNCTION("""COMPUTED_VALUE"""),"Harper High School")</f>
        <v>Harper High School</v>
      </c>
      <c r="G1812" s="5">
        <f ca="1">IFERROR(__xludf.DUMMYFUNCTION("""COMPUTED_VALUE"""),1)</f>
        <v>1</v>
      </c>
      <c r="H1812" s="5">
        <f ca="1">IFERROR(__xludf.DUMMYFUNCTION("""COMPUTED_VALUE"""),0)</f>
        <v>0</v>
      </c>
      <c r="I1812" s="5">
        <f ca="1">IFERROR(__xludf.DUMMYFUNCTION("""COMPUTED_VALUE"""),1)</f>
        <v>1</v>
      </c>
      <c r="J1812" s="5">
        <f ca="1">IFERROR(__xludf.DUMMYFUNCTION("""COMPUTED_VALUE"""),0)</f>
        <v>0</v>
      </c>
      <c r="K1812" s="9" t="str">
        <f ca="1">IFERROR(__xludf.DUMMYFUNCTION("""COMPUTED_VALUE"""),"https://www.newspapers.com/image/403198507/?terms=Marcus%2BTaylor%2Bdied")</f>
        <v>https://www.newspapers.com/image/403198507/?terms=Marcus%2BTaylor%2Bdied</v>
      </c>
      <c r="L1812" s="5"/>
      <c r="M1812" s="5"/>
      <c r="N1812" s="5">
        <f ca="1">IFERROR(__xludf.DUMMYFUNCTION("""COMPUTED_VALUE"""),2)</f>
        <v>2</v>
      </c>
      <c r="O1812" s="5" t="str">
        <f ca="1">IFERROR(__xludf.DUMMYFUNCTION("""COMPUTED_VALUE"""),"Summer")</f>
        <v>Summer</v>
      </c>
      <c r="P1812" s="5" t="str">
        <f ca="1">IFERROR(__xludf.DUMMYFUNCTION("""COMPUTED_VALUE"""),"Atlanta")</f>
        <v>Atlanta</v>
      </c>
      <c r="Q1812" s="5" t="str">
        <f ca="1">IFERROR(__xludf.DUMMYFUNCTION("""COMPUTED_VALUE"""),"GA")</f>
        <v>GA</v>
      </c>
      <c r="R1812" s="5" t="str">
        <f ca="1">IFERROR(__xludf.DUMMYFUNCTION("""COMPUTED_VALUE"""),"High")</f>
        <v>High</v>
      </c>
      <c r="S1812" s="5" t="str">
        <f ca="1">IFERROR(__xludf.DUMMYFUNCTION("""COMPUTED_VALUE"""),"Cafeteria")</f>
        <v>Cafeteria</v>
      </c>
      <c r="T1812" s="5" t="str">
        <f ca="1">IFERROR(__xludf.DUMMYFUNCTION("""COMPUTED_VALUE"""),"Inside School Building")</f>
        <v>Inside School Building</v>
      </c>
      <c r="U1812" s="5" t="str">
        <f ca="1">IFERROR(__xludf.DUMMYFUNCTION("""COMPUTED_VALUE"""),"Yes")</f>
        <v>Yes</v>
      </c>
      <c r="V1812" s="5"/>
      <c r="W1812" s="5"/>
      <c r="X1812" s="5">
        <f ca="1">IFERROR(__xludf.DUMMYFUNCTION("""COMPUTED_VALUE"""),1)</f>
        <v>1</v>
      </c>
      <c r="Y1812" s="5" t="str">
        <f ca="1">IFERROR(__xludf.DUMMYFUNCTION("""COMPUTED_VALUE"""),"Argument in cafeteria")</f>
        <v>Argument in cafeteria</v>
      </c>
      <c r="Z1812" s="5" t="str">
        <f ca="1">IFERROR(__xludf.DUMMYFUNCTION("""COMPUTED_VALUE"""),"Fight between two students in cafeteria escalated into shooting.")</f>
        <v>Fight between two students in cafeteria escalated into shooting.</v>
      </c>
      <c r="AA1812" s="5" t="str">
        <f ca="1">IFERROR(__xludf.DUMMYFUNCTION("""COMPUTED_VALUE"""),"Escalation of Dispute")</f>
        <v>Escalation of Dispute</v>
      </c>
      <c r="AB1812" s="5" t="str">
        <f ca="1">IFERROR(__xludf.DUMMYFUNCTION("""COMPUTED_VALUE"""),"Victims Targeted")</f>
        <v>Victims Targeted</v>
      </c>
      <c r="AC1812" s="5" t="str">
        <f ca="1">IFERROR(__xludf.DUMMYFUNCTION("""COMPUTED_VALUE"""),"No")</f>
        <v>No</v>
      </c>
      <c r="AD1812" s="5" t="str">
        <f ca="1">IFERROR(__xludf.DUMMYFUNCTION("""COMPUTED_VALUE"""),"No")</f>
        <v>No</v>
      </c>
      <c r="AE1812" s="5" t="str">
        <f ca="1">IFERROR(__xludf.DUMMYFUNCTION("""COMPUTED_VALUE"""),"No")</f>
        <v>No</v>
      </c>
      <c r="AF1812" s="5" t="str">
        <f ca="1">IFERROR(__xludf.DUMMYFUNCTION("""COMPUTED_VALUE"""),"No")</f>
        <v>No</v>
      </c>
      <c r="AG1812" s="5"/>
      <c r="AH1812" s="5" t="str">
        <f ca="1">IFERROR(__xludf.DUMMYFUNCTION("""COMPUTED_VALUE"""),"No")</f>
        <v>No</v>
      </c>
      <c r="AI1812" s="5"/>
      <c r="AJ1812" s="5"/>
    </row>
    <row r="1813" spans="1:36" ht="13">
      <c r="A1813" s="5" t="str">
        <f ca="1">IFERROR(__xludf.DUMMYFUNCTION("""COMPUTED_VALUE"""),"19930803NYTHN")</f>
        <v>19930803NYTHN</v>
      </c>
      <c r="B1813" s="5">
        <f ca="1">IFERROR(__xludf.DUMMYFUNCTION("""COMPUTED_VALUE"""),8)</f>
        <v>8</v>
      </c>
      <c r="C1813" s="5">
        <f ca="1">IFERROR(__xludf.DUMMYFUNCTION("""COMPUTED_VALUE"""),3)</f>
        <v>3</v>
      </c>
      <c r="D1813" s="5">
        <f ca="1">IFERROR(__xludf.DUMMYFUNCTION("""COMPUTED_VALUE"""),1993)</f>
        <v>1993</v>
      </c>
      <c r="E1813" s="8">
        <f ca="1">IFERROR(__xludf.DUMMYFUNCTION("""COMPUTED_VALUE"""),34184)</f>
        <v>34184</v>
      </c>
      <c r="F1813" s="5" t="str">
        <f ca="1">IFERROR(__xludf.DUMMYFUNCTION("""COMPUTED_VALUE"""),"Theodore Roosevelt High School")</f>
        <v>Theodore Roosevelt High School</v>
      </c>
      <c r="G1813" s="5">
        <f ca="1">IFERROR(__xludf.DUMMYFUNCTION("""COMPUTED_VALUE"""),0)</f>
        <v>0</v>
      </c>
      <c r="H1813" s="5">
        <f ca="1">IFERROR(__xludf.DUMMYFUNCTION("""COMPUTED_VALUE"""),1)</f>
        <v>1</v>
      </c>
      <c r="I1813" s="5">
        <f ca="1">IFERROR(__xludf.DUMMYFUNCTION("""COMPUTED_VALUE"""),1)</f>
        <v>1</v>
      </c>
      <c r="J1813" s="5">
        <f ca="1">IFERROR(__xludf.DUMMYFUNCTION("""COMPUTED_VALUE"""),0)</f>
        <v>0</v>
      </c>
      <c r="K1813" s="9" t="str">
        <f ca="1">IFERROR(__xludf.DUMMYFUNCTION("""COMPUTED_VALUE"""),"https://www.nytimes.com/1993/08/03/nyregion/student-shot-during-class-in-bronx-high-school.html")</f>
        <v>https://www.nytimes.com/1993/08/03/nyregion/student-shot-during-class-in-bronx-high-school.html</v>
      </c>
      <c r="L1813" s="5"/>
      <c r="M1813" s="5"/>
      <c r="N1813" s="5">
        <f ca="1">IFERROR(__xludf.DUMMYFUNCTION("""COMPUTED_VALUE"""),2)</f>
        <v>2</v>
      </c>
      <c r="O1813" s="5" t="str">
        <f ca="1">IFERROR(__xludf.DUMMYFUNCTION("""COMPUTED_VALUE"""),"Summer")</f>
        <v>Summer</v>
      </c>
      <c r="P1813" s="5" t="str">
        <f ca="1">IFERROR(__xludf.DUMMYFUNCTION("""COMPUTED_VALUE"""),"New York")</f>
        <v>New York</v>
      </c>
      <c r="Q1813" s="5" t="str">
        <f ca="1">IFERROR(__xludf.DUMMYFUNCTION("""COMPUTED_VALUE"""),"NY")</f>
        <v>NY</v>
      </c>
      <c r="R1813" s="5" t="str">
        <f ca="1">IFERROR(__xludf.DUMMYFUNCTION("""COMPUTED_VALUE"""),"High")</f>
        <v>High</v>
      </c>
      <c r="S1813" s="5" t="str">
        <f ca="1">IFERROR(__xludf.DUMMYFUNCTION("""COMPUTED_VALUE"""),"Classroom")</f>
        <v>Classroom</v>
      </c>
      <c r="T1813" s="5" t="str">
        <f ca="1">IFERROR(__xludf.DUMMYFUNCTION("""COMPUTED_VALUE"""),"Inside School Building")</f>
        <v>Inside School Building</v>
      </c>
      <c r="U1813" s="5" t="str">
        <f ca="1">IFERROR(__xludf.DUMMYFUNCTION("""COMPUTED_VALUE"""),"Yes")</f>
        <v>Yes</v>
      </c>
      <c r="V1813" s="5" t="str">
        <f ca="1">IFERROR(__xludf.DUMMYFUNCTION("""COMPUTED_VALUE"""),"Morning Classes")</f>
        <v>Morning Classes</v>
      </c>
      <c r="W1813" s="5"/>
      <c r="X1813" s="5">
        <f ca="1">IFERROR(__xludf.DUMMYFUNCTION("""COMPUTED_VALUE"""),1)</f>
        <v>1</v>
      </c>
      <c r="Y1813" s="5" t="str">
        <f ca="1">IFERROR(__xludf.DUMMYFUNCTION("""COMPUTED_VALUE"""),"Victim shot in classroom by unknown shooter")</f>
        <v>Victim shot in classroom by unknown shooter</v>
      </c>
      <c r="Z1813" s="5" t="str">
        <f ca="1">IFERROR(__xludf.DUMMYFUNCTION("""COMPUTED_VALUE"""),"Unknown shooter walked into classroom, shot 18YOM student, and fled the area. No suspect identified.")</f>
        <v>Unknown shooter walked into classroom, shot 18YOM student, and fled the area. No suspect identified.</v>
      </c>
      <c r="AA1813" s="5" t="str">
        <f ca="1">IFERROR(__xludf.DUMMYFUNCTION("""COMPUTED_VALUE"""),"Escalation of Dispute")</f>
        <v>Escalation of Dispute</v>
      </c>
      <c r="AB1813" s="5" t="str">
        <f ca="1">IFERROR(__xludf.DUMMYFUNCTION("""COMPUTED_VALUE"""),"Victims Targeted")</f>
        <v>Victims Targeted</v>
      </c>
      <c r="AC1813" s="5" t="str">
        <f ca="1">IFERROR(__xludf.DUMMYFUNCTION("""COMPUTED_VALUE"""),"No")</f>
        <v>No</v>
      </c>
      <c r="AD1813" s="5" t="str">
        <f ca="1">IFERROR(__xludf.DUMMYFUNCTION("""COMPUTED_VALUE"""),"No")</f>
        <v>No</v>
      </c>
      <c r="AE1813" s="5" t="str">
        <f ca="1">IFERROR(__xludf.DUMMYFUNCTION("""COMPUTED_VALUE"""),"No")</f>
        <v>No</v>
      </c>
      <c r="AF1813" s="5" t="str">
        <f ca="1">IFERROR(__xludf.DUMMYFUNCTION("""COMPUTED_VALUE"""),"No")</f>
        <v>No</v>
      </c>
      <c r="AG1813" s="5"/>
      <c r="AH1813" s="5"/>
      <c r="AI1813" s="5"/>
      <c r="AJ1813" s="5"/>
    </row>
    <row r="1814" spans="1:36" ht="13">
      <c r="A1814" s="5" t="str">
        <f ca="1">IFERROR(__xludf.DUMMYFUNCTION("""COMPUTED_VALUE"""),"19930707CADOL")</f>
        <v>19930707CADOL</v>
      </c>
      <c r="B1814" s="5">
        <f ca="1">IFERROR(__xludf.DUMMYFUNCTION("""COMPUTED_VALUE"""),7)</f>
        <v>7</v>
      </c>
      <c r="C1814" s="5">
        <f ca="1">IFERROR(__xludf.DUMMYFUNCTION("""COMPUTED_VALUE"""),7)</f>
        <v>7</v>
      </c>
      <c r="D1814" s="5">
        <f ca="1">IFERROR(__xludf.DUMMYFUNCTION("""COMPUTED_VALUE"""),1993)</f>
        <v>1993</v>
      </c>
      <c r="E1814" s="8">
        <f ca="1">IFERROR(__xludf.DUMMYFUNCTION("""COMPUTED_VALUE"""),34157)</f>
        <v>34157</v>
      </c>
      <c r="F1814" s="5" t="str">
        <f ca="1">IFERROR(__xludf.DUMMYFUNCTION("""COMPUTED_VALUE"""),"Dorsey High School")</f>
        <v>Dorsey High School</v>
      </c>
      <c r="G1814" s="5">
        <f ca="1">IFERROR(__xludf.DUMMYFUNCTION("""COMPUTED_VALUE"""),1)</f>
        <v>1</v>
      </c>
      <c r="H1814" s="5">
        <f ca="1">IFERROR(__xludf.DUMMYFUNCTION("""COMPUTED_VALUE"""),0)</f>
        <v>0</v>
      </c>
      <c r="I1814" s="5">
        <f ca="1">IFERROR(__xludf.DUMMYFUNCTION("""COMPUTED_VALUE"""),1)</f>
        <v>1</v>
      </c>
      <c r="J1814" s="5">
        <f ca="1">IFERROR(__xludf.DUMMYFUNCTION("""COMPUTED_VALUE"""),0)</f>
        <v>0</v>
      </c>
      <c r="K1814" s="5" t="str">
        <f ca="1">IFERROR(__xludf.DUMMYFUNCTION("""COMPUTED_VALUE"""),"L. A. Times - Teenager Shot on Dorsey Campus; L. A Times - Gang Member Arrested in Dorsey High Shooting; https://www.columbine-angels.com/School_Violence_1993-1994.htm")</f>
        <v>L. A. Times - Teenager Shot on Dorsey Campus; L. A Times - Gang Member Arrested in Dorsey High Shooting; https://www.columbine-angels.com/School_Violence_1993-1994.htm</v>
      </c>
      <c r="L1814" s="5"/>
      <c r="M1814" s="5"/>
      <c r="N1814" s="5">
        <f ca="1">IFERROR(__xludf.DUMMYFUNCTION("""COMPUTED_VALUE"""),1)</f>
        <v>1</v>
      </c>
      <c r="O1814" s="5" t="str">
        <f ca="1">IFERROR(__xludf.DUMMYFUNCTION("""COMPUTED_VALUE"""),"Summer")</f>
        <v>Summer</v>
      </c>
      <c r="P1814" s="5" t="str">
        <f ca="1">IFERROR(__xludf.DUMMYFUNCTION("""COMPUTED_VALUE"""),"Los Angeles")</f>
        <v>Los Angeles</v>
      </c>
      <c r="Q1814" s="5" t="str">
        <f ca="1">IFERROR(__xludf.DUMMYFUNCTION("""COMPUTED_VALUE"""),"CA")</f>
        <v>CA</v>
      </c>
      <c r="R1814" s="5" t="str">
        <f ca="1">IFERROR(__xludf.DUMMYFUNCTION("""COMPUTED_VALUE"""),"High")</f>
        <v>High</v>
      </c>
      <c r="S1814" s="5" t="str">
        <f ca="1">IFERROR(__xludf.DUMMYFUNCTION("""COMPUTED_VALUE"""),"Beside Building")</f>
        <v>Beside Building</v>
      </c>
      <c r="T1814" s="5" t="str">
        <f ca="1">IFERROR(__xludf.DUMMYFUNCTION("""COMPUTED_VALUE"""),"Outside on School Property")</f>
        <v>Outside on School Property</v>
      </c>
      <c r="U1814" s="5" t="str">
        <f ca="1">IFERROR(__xludf.DUMMYFUNCTION("""COMPUTED_VALUE"""),"Yes")</f>
        <v>Yes</v>
      </c>
      <c r="V1814" s="5" t="str">
        <f ca="1">IFERROR(__xludf.DUMMYFUNCTION("""COMPUTED_VALUE"""),"After School")</f>
        <v>After School</v>
      </c>
      <c r="W1814" s="10">
        <f ca="1">IFERROR(__xludf.DUMMYFUNCTION("""COMPUTED_VALUE"""),0.604166666666666)</f>
        <v>0.60416666666666596</v>
      </c>
      <c r="X1814" s="5">
        <f ca="1">IFERROR(__xludf.DUMMYFUNCTION("""COMPUTED_VALUE"""),1)</f>
        <v>1</v>
      </c>
      <c r="Y1814" s="5" t="str">
        <f ca="1">IFERROR(__xludf.DUMMYFUNCTION("""COMPUTED_VALUE"""),"Fight between other students, bystander fatally shot")</f>
        <v>Fight between other students, bystander fatally shot</v>
      </c>
      <c r="Z1814" s="5" t="str">
        <f ca="1">IFERROR(__xludf.DUMMYFUNCTION("""COMPUTED_VALUE"""),"Group of students were waiting outside of the school. There was an argument between a group of rival gang member students and shots were fired. Bystander student was fatally shot.")</f>
        <v>Group of students were waiting outside of the school. There was an argument between a group of rival gang member students and shots were fired. Bystander student was fatally shot.</v>
      </c>
      <c r="AA1814" s="5" t="str">
        <f ca="1">IFERROR(__xludf.DUMMYFUNCTION("""COMPUTED_VALUE"""),"Escalation of Dispute")</f>
        <v>Escalation of Dispute</v>
      </c>
      <c r="AB1814" s="5" t="str">
        <f ca="1">IFERROR(__xludf.DUMMYFUNCTION("""COMPUTED_VALUE"""),"Both")</f>
        <v>Both</v>
      </c>
      <c r="AC1814" s="5" t="str">
        <f ca="1">IFERROR(__xludf.DUMMYFUNCTION("""COMPUTED_VALUE"""),"No")</f>
        <v>No</v>
      </c>
      <c r="AD1814" s="5" t="str">
        <f ca="1">IFERROR(__xludf.DUMMYFUNCTION("""COMPUTED_VALUE"""),"No")</f>
        <v>No</v>
      </c>
      <c r="AE1814" s="5" t="str">
        <f ca="1">IFERROR(__xludf.DUMMYFUNCTION("""COMPUTED_VALUE"""),"No")</f>
        <v>No</v>
      </c>
      <c r="AF1814" s="5" t="str">
        <f ca="1">IFERROR(__xludf.DUMMYFUNCTION("""COMPUTED_VALUE"""),"No")</f>
        <v>No</v>
      </c>
      <c r="AG1814" s="5" t="str">
        <f ca="1">IFERROR(__xludf.DUMMYFUNCTION("""COMPUTED_VALUE"""),"No")</f>
        <v>No</v>
      </c>
      <c r="AH1814" s="5" t="str">
        <f ca="1">IFERROR(__xludf.DUMMYFUNCTION("""COMPUTED_VALUE"""),"No")</f>
        <v>No</v>
      </c>
      <c r="AI1814" s="5" t="str">
        <f ca="1">IFERROR(__xludf.DUMMYFUNCTION("""COMPUTED_VALUE"""),"Yes")</f>
        <v>Yes</v>
      </c>
      <c r="AJ1814" s="5"/>
    </row>
    <row r="1815" spans="1:36" ht="13">
      <c r="A1815" s="5" t="str">
        <f ca="1">IFERROR(__xludf.DUMMYFUNCTION("""COMPUTED_VALUE"""),"19930527LAFRN")</f>
        <v>19930527LAFRN</v>
      </c>
      <c r="B1815" s="5">
        <f ca="1">IFERROR(__xludf.DUMMYFUNCTION("""COMPUTED_VALUE"""),5)</f>
        <v>5</v>
      </c>
      <c r="C1815" s="5">
        <f ca="1">IFERROR(__xludf.DUMMYFUNCTION("""COMPUTED_VALUE"""),27)</f>
        <v>27</v>
      </c>
      <c r="D1815" s="5">
        <f ca="1">IFERROR(__xludf.DUMMYFUNCTION("""COMPUTED_VALUE"""),1993)</f>
        <v>1993</v>
      </c>
      <c r="E1815" s="8">
        <f ca="1">IFERROR(__xludf.DUMMYFUNCTION("""COMPUTED_VALUE"""),34116)</f>
        <v>34116</v>
      </c>
      <c r="F1815" s="5" t="str">
        <f ca="1">IFERROR(__xludf.DUMMYFUNCTION("""COMPUTED_VALUE"""),"Francis T. Nicholls High School")</f>
        <v>Francis T. Nicholls High School</v>
      </c>
      <c r="G1815" s="5">
        <f ca="1">IFERROR(__xludf.DUMMYFUNCTION("""COMPUTED_VALUE"""),1)</f>
        <v>1</v>
      </c>
      <c r="H1815" s="5">
        <f ca="1">IFERROR(__xludf.DUMMYFUNCTION("""COMPUTED_VALUE"""),0)</f>
        <v>0</v>
      </c>
      <c r="I1815" s="5">
        <f ca="1">IFERROR(__xludf.DUMMYFUNCTION("""COMPUTED_VALUE"""),1)</f>
        <v>1</v>
      </c>
      <c r="J1815" s="5">
        <f ca="1">IFERROR(__xludf.DUMMYFUNCTION("""COMPUTED_VALUE"""),0)</f>
        <v>0</v>
      </c>
      <c r="K1815" s="9" t="str">
        <f ca="1">IFERROR(__xludf.DUMMYFUNCTION("""COMPUTED_VALUE"""),"https://www.newspapers.com/image/278618494/?terms=Francis%2BT.%2BNicholls%2BHigh%2BSchool%2Bshooting")</f>
        <v>https://www.newspapers.com/image/278618494/?terms=Francis%2BT.%2BNicholls%2BHigh%2BSchool%2Bshooting</v>
      </c>
      <c r="L1815" s="5"/>
      <c r="M1815" s="5"/>
      <c r="N1815" s="5">
        <f ca="1">IFERROR(__xludf.DUMMYFUNCTION("""COMPUTED_VALUE"""),2)</f>
        <v>2</v>
      </c>
      <c r="O1815" s="5" t="str">
        <f ca="1">IFERROR(__xludf.DUMMYFUNCTION("""COMPUTED_VALUE"""),"Spring")</f>
        <v>Spring</v>
      </c>
      <c r="P1815" s="5" t="str">
        <f ca="1">IFERROR(__xludf.DUMMYFUNCTION("""COMPUTED_VALUE"""),"New Orleans")</f>
        <v>New Orleans</v>
      </c>
      <c r="Q1815" s="5" t="str">
        <f ca="1">IFERROR(__xludf.DUMMYFUNCTION("""COMPUTED_VALUE"""),"LA")</f>
        <v>LA</v>
      </c>
      <c r="R1815" s="5" t="str">
        <f ca="1">IFERROR(__xludf.DUMMYFUNCTION("""COMPUTED_VALUE"""),"High")</f>
        <v>High</v>
      </c>
      <c r="S1815" s="5" t="str">
        <f ca="1">IFERROR(__xludf.DUMMYFUNCTION("""COMPUTED_VALUE"""),"Hallway")</f>
        <v>Hallway</v>
      </c>
      <c r="T1815" s="5" t="str">
        <f ca="1">IFERROR(__xludf.DUMMYFUNCTION("""COMPUTED_VALUE"""),"Inside School Building")</f>
        <v>Inside School Building</v>
      </c>
      <c r="U1815" s="5" t="str">
        <f ca="1">IFERROR(__xludf.DUMMYFUNCTION("""COMPUTED_VALUE"""),"Yes")</f>
        <v>Yes</v>
      </c>
      <c r="V1815" s="5" t="str">
        <f ca="1">IFERROR(__xludf.DUMMYFUNCTION("""COMPUTED_VALUE"""),"Morning Classes")</f>
        <v>Morning Classes</v>
      </c>
      <c r="W1815" s="5"/>
      <c r="X1815" s="5">
        <f ca="1">IFERROR(__xludf.DUMMYFUNCTION("""COMPUTED_VALUE"""),1)</f>
        <v>1</v>
      </c>
      <c r="Y1815" s="5" t="str">
        <f ca="1">IFERROR(__xludf.DUMMYFUNCTION("""COMPUTED_VALUE"""),"Shooting in hallway related to quarrel")</f>
        <v>Shooting in hallway related to quarrel</v>
      </c>
      <c r="Z1815" s="5" t="str">
        <f ca="1">IFERROR(__xludf.DUMMYFUNCTION("""COMPUTED_VALUE"""),"Victim was former student who was expelled but was in school hallway. Shot by another student during an argument. Suspect fled and was later arrested. School has metal detectors and assigned police officers.")</f>
        <v>Victim was former student who was expelled but was in school hallway. Shot by another student during an argument. Suspect fled and was later arrested. School has metal detectors and assigned police officers.</v>
      </c>
      <c r="AA1815" s="5" t="str">
        <f ca="1">IFERROR(__xludf.DUMMYFUNCTION("""COMPUTED_VALUE"""),"Escalation of Dispute")</f>
        <v>Escalation of Dispute</v>
      </c>
      <c r="AB1815" s="5" t="str">
        <f ca="1">IFERROR(__xludf.DUMMYFUNCTION("""COMPUTED_VALUE"""),"Victims Targeted")</f>
        <v>Victims Targeted</v>
      </c>
      <c r="AC1815" s="5" t="str">
        <f ca="1">IFERROR(__xludf.DUMMYFUNCTION("""COMPUTED_VALUE"""),"No")</f>
        <v>No</v>
      </c>
      <c r="AD1815" s="5" t="str">
        <f ca="1">IFERROR(__xludf.DUMMYFUNCTION("""COMPUTED_VALUE"""),"No")</f>
        <v>No</v>
      </c>
      <c r="AE1815" s="5" t="str">
        <f ca="1">IFERROR(__xludf.DUMMYFUNCTION("""COMPUTED_VALUE"""),"No")</f>
        <v>No</v>
      </c>
      <c r="AF1815" s="5" t="str">
        <f ca="1">IFERROR(__xludf.DUMMYFUNCTION("""COMPUTED_VALUE"""),"No")</f>
        <v>No</v>
      </c>
      <c r="AG1815" s="5" t="str">
        <f ca="1">IFERROR(__xludf.DUMMYFUNCTION("""COMPUTED_VALUE"""),"No")</f>
        <v>No</v>
      </c>
      <c r="AH1815" s="5" t="str">
        <f ca="1">IFERROR(__xludf.DUMMYFUNCTION("""COMPUTED_VALUE"""),"No")</f>
        <v>No</v>
      </c>
      <c r="AI1815" s="5" t="str">
        <f ca="1">IFERROR(__xludf.DUMMYFUNCTION("""COMPUTED_VALUE"""),"No")</f>
        <v>No</v>
      </c>
      <c r="AJ1815" s="5"/>
    </row>
    <row r="1816" spans="1:36" ht="13">
      <c r="A1816" s="5" t="str">
        <f ca="1">IFERROR(__xludf.DUMMYFUNCTION("""COMPUTED_VALUE"""),"19930524PAUPP")</f>
        <v>19930524PAUPP</v>
      </c>
      <c r="B1816" s="5">
        <f ca="1">IFERROR(__xludf.DUMMYFUNCTION("""COMPUTED_VALUE"""),5)</f>
        <v>5</v>
      </c>
      <c r="C1816" s="5">
        <f ca="1">IFERROR(__xludf.DUMMYFUNCTION("""COMPUTED_VALUE"""),24)</f>
        <v>24</v>
      </c>
      <c r="D1816" s="5">
        <f ca="1">IFERROR(__xludf.DUMMYFUNCTION("""COMPUTED_VALUE"""),1993)</f>
        <v>1993</v>
      </c>
      <c r="E1816" s="8">
        <f ca="1">IFERROR(__xludf.DUMMYFUNCTION("""COMPUTED_VALUE"""),34113)</f>
        <v>34113</v>
      </c>
      <c r="F1816" s="5" t="str">
        <f ca="1">IFERROR(__xludf.DUMMYFUNCTION("""COMPUTED_VALUE"""),"Upper Perkiomen High School")</f>
        <v>Upper Perkiomen High School</v>
      </c>
      <c r="G1816" s="5">
        <f ca="1">IFERROR(__xludf.DUMMYFUNCTION("""COMPUTED_VALUE"""),1)</f>
        <v>1</v>
      </c>
      <c r="H1816" s="5">
        <f ca="1">IFERROR(__xludf.DUMMYFUNCTION("""COMPUTED_VALUE"""),0)</f>
        <v>0</v>
      </c>
      <c r="I1816" s="5">
        <f ca="1">IFERROR(__xludf.DUMMYFUNCTION("""COMPUTED_VALUE"""),1)</f>
        <v>1</v>
      </c>
      <c r="J1816" s="5">
        <f ca="1">IFERROR(__xludf.DUMMYFUNCTION("""COMPUTED_VALUE"""),0)</f>
        <v>0</v>
      </c>
      <c r="K1816" s="9" t="str">
        <f ca="1">IFERROR(__xludf.DUMMYFUNCTION("""COMPUTED_VALUE"""),"http://articles.mcall.com/1993-05-25/news/2916043_1_michael-swann-upper-perkiomen-high-school-jason-michael-smith")</f>
        <v>http://articles.mcall.com/1993-05-25/news/2916043_1_michael-swann-upper-perkiomen-high-school-jason-michael-smith</v>
      </c>
      <c r="L1816" s="5"/>
      <c r="M1816" s="5"/>
      <c r="N1816" s="5">
        <f ca="1">IFERROR(__xludf.DUMMYFUNCTION("""COMPUTED_VALUE"""),2)</f>
        <v>2</v>
      </c>
      <c r="O1816" s="5" t="str">
        <f ca="1">IFERROR(__xludf.DUMMYFUNCTION("""COMPUTED_VALUE"""),"Spring")</f>
        <v>Spring</v>
      </c>
      <c r="P1816" s="5" t="str">
        <f ca="1">IFERROR(__xludf.DUMMYFUNCTION("""COMPUTED_VALUE"""),"Pennsburg")</f>
        <v>Pennsburg</v>
      </c>
      <c r="Q1816" s="5" t="str">
        <f ca="1">IFERROR(__xludf.DUMMYFUNCTION("""COMPUTED_VALUE"""),"PA")</f>
        <v>PA</v>
      </c>
      <c r="R1816" s="5" t="str">
        <f ca="1">IFERROR(__xludf.DUMMYFUNCTION("""COMPUTED_VALUE"""),"High")</f>
        <v>High</v>
      </c>
      <c r="S1816" s="5" t="str">
        <f ca="1">IFERROR(__xludf.DUMMYFUNCTION("""COMPUTED_VALUE"""),"Classroom")</f>
        <v>Classroom</v>
      </c>
      <c r="T1816" s="5" t="str">
        <f ca="1">IFERROR(__xludf.DUMMYFUNCTION("""COMPUTED_VALUE"""),"Inside School Building")</f>
        <v>Inside School Building</v>
      </c>
      <c r="U1816" s="5" t="str">
        <f ca="1">IFERROR(__xludf.DUMMYFUNCTION("""COMPUTED_VALUE"""),"Yes")</f>
        <v>Yes</v>
      </c>
      <c r="V1816" s="5"/>
      <c r="W1816" s="5"/>
      <c r="X1816" s="5">
        <f ca="1">IFERROR(__xludf.DUMMYFUNCTION("""COMPUTED_VALUE"""),1)</f>
        <v>1</v>
      </c>
      <c r="Y1816" s="5" t="str">
        <f ca="1">IFERROR(__xludf.DUMMYFUNCTION("""COMPUTED_VALUE"""),"Bullying, much larger bully shot in front of class")</f>
        <v>Bullying, much larger bully shot in front of class</v>
      </c>
      <c r="Z1816" s="5" t="str">
        <f ca="1">IFERROR(__xludf.DUMMYFUNCTION("""COMPUTED_VALUE"""),"Shooter took .22 pistol out of backpack during class. Walked up to victim and said ""bully this"" and shot him multiple times. Shooter walked out of school and sat down next to tree until police arrived. Shooter was 5'3 and victim was 6'4. Victim had bull"&amp;"ied the shooter. Other students described the victim as a frequent bully and a ""big kid who got on people's nerves"". Shooter had stolen the pistol from his mother's boyfriend gun safe and test fired it in his room prior to the shooting.")</f>
        <v>Shooter took .22 pistol out of backpack during class. Walked up to victim and said "bully this" and shot him multiple times. Shooter walked out of school and sat down next to tree until police arrived. Shooter was 5'3 and victim was 6'4. Victim had bullied the shooter. Other students described the victim as a frequent bully and a "big kid who got on people's nerves". Shooter had stolen the pistol from his mother's boyfriend gun safe and test fired it in his room prior to the shooting.</v>
      </c>
      <c r="AA1816" s="5" t="str">
        <f ca="1">IFERROR(__xludf.DUMMYFUNCTION("""COMPUTED_VALUE"""),"Bullying")</f>
        <v>Bullying</v>
      </c>
      <c r="AB1816" s="5" t="str">
        <f ca="1">IFERROR(__xludf.DUMMYFUNCTION("""COMPUTED_VALUE"""),"Victims Targeted")</f>
        <v>Victims Targeted</v>
      </c>
      <c r="AC1816" s="5"/>
      <c r="AD1816" s="5" t="str">
        <f ca="1">IFERROR(__xludf.DUMMYFUNCTION("""COMPUTED_VALUE"""),"No")</f>
        <v>No</v>
      </c>
      <c r="AE1816" s="5" t="str">
        <f ca="1">IFERROR(__xludf.DUMMYFUNCTION("""COMPUTED_VALUE"""),"No")</f>
        <v>No</v>
      </c>
      <c r="AF1816" s="5" t="str">
        <f ca="1">IFERROR(__xludf.DUMMYFUNCTION("""COMPUTED_VALUE"""),"No")</f>
        <v>No</v>
      </c>
      <c r="AG1816" s="5" t="str">
        <f ca="1">IFERROR(__xludf.DUMMYFUNCTION("""COMPUTED_VALUE"""),"Yes")</f>
        <v>Yes</v>
      </c>
      <c r="AH1816" s="5" t="str">
        <f ca="1">IFERROR(__xludf.DUMMYFUNCTION("""COMPUTED_VALUE"""),"No")</f>
        <v>No</v>
      </c>
      <c r="AI1816" s="5" t="str">
        <f ca="1">IFERROR(__xludf.DUMMYFUNCTION("""COMPUTED_VALUE"""),"No")</f>
        <v>No</v>
      </c>
      <c r="AJ1816" s="5"/>
    </row>
    <row r="1817" spans="1:36" ht="13">
      <c r="A1817" s="5" t="str">
        <f ca="1">IFERROR(__xludf.DUMMYFUNCTION("""COMPUTED_VALUE"""),"19930514TXNII")</f>
        <v>19930514TXNII</v>
      </c>
      <c r="B1817" s="5">
        <f ca="1">IFERROR(__xludf.DUMMYFUNCTION("""COMPUTED_VALUE"""),5)</f>
        <v>5</v>
      </c>
      <c r="C1817" s="5">
        <f ca="1">IFERROR(__xludf.DUMMYFUNCTION("""COMPUTED_VALUE"""),14)</f>
        <v>14</v>
      </c>
      <c r="D1817" s="5">
        <f ca="1">IFERROR(__xludf.DUMMYFUNCTION("""COMPUTED_VALUE"""),1993)</f>
        <v>1993</v>
      </c>
      <c r="E1817" s="8">
        <f ca="1">IFERROR(__xludf.DUMMYFUNCTION("""COMPUTED_VALUE"""),34103)</f>
        <v>34103</v>
      </c>
      <c r="F1817" s="5" t="str">
        <f ca="1">IFERROR(__xludf.DUMMYFUNCTION("""COMPUTED_VALUE"""),"Nimitz High School")</f>
        <v>Nimitz High School</v>
      </c>
      <c r="G1817" s="5">
        <f ca="1">IFERROR(__xludf.DUMMYFUNCTION("""COMPUTED_VALUE"""),1)</f>
        <v>1</v>
      </c>
      <c r="H1817" s="5">
        <f ca="1">IFERROR(__xludf.DUMMYFUNCTION("""COMPUTED_VALUE"""),0)</f>
        <v>0</v>
      </c>
      <c r="I1817" s="5">
        <f ca="1">IFERROR(__xludf.DUMMYFUNCTION("""COMPUTED_VALUE"""),1)</f>
        <v>1</v>
      </c>
      <c r="J1817" s="5">
        <f ca="1">IFERROR(__xludf.DUMMYFUNCTION("""COMPUTED_VALUE"""),0)</f>
        <v>0</v>
      </c>
      <c r="K1817" s="5" t="str">
        <f ca="1">IFERROR(__xludf.DUMMYFUNCTION("""COMPUTED_VALUE"""),"https://www.newspapers.com/image/41741473/?terms=shot%20at%20school&amp;match=1 https://www.deseretnews.com/article/290704/TEXAS-TEEN-KILLED-IN-SCHOOL-BY-CLASSMATE.html")</f>
        <v>https://www.newspapers.com/image/41741473/?terms=shot%20at%20school&amp;match=1 https://www.deseretnews.com/article/290704/TEXAS-TEEN-KILLED-IN-SCHOOL-BY-CLASSMATE.html</v>
      </c>
      <c r="L1817" s="5"/>
      <c r="M1817" s="5" t="str">
        <f ca="1">IFERROR(__xludf.DUMMYFUNCTION("""COMPUTED_VALUE"""),"National")</f>
        <v>National</v>
      </c>
      <c r="N1817" s="5">
        <f ca="1">IFERROR(__xludf.DUMMYFUNCTION("""COMPUTED_VALUE"""),4)</f>
        <v>4</v>
      </c>
      <c r="O1817" s="5" t="str">
        <f ca="1">IFERROR(__xludf.DUMMYFUNCTION("""COMPUTED_VALUE"""),"Spring")</f>
        <v>Spring</v>
      </c>
      <c r="P1817" s="5" t="str">
        <f ca="1">IFERROR(__xludf.DUMMYFUNCTION("""COMPUTED_VALUE"""),"Irving")</f>
        <v>Irving</v>
      </c>
      <c r="Q1817" s="5" t="str">
        <f ca="1">IFERROR(__xludf.DUMMYFUNCTION("""COMPUTED_VALUE"""),"TX")</f>
        <v>TX</v>
      </c>
      <c r="R1817" s="5" t="str">
        <f ca="1">IFERROR(__xludf.DUMMYFUNCTION("""COMPUTED_VALUE"""),"High")</f>
        <v>High</v>
      </c>
      <c r="S1817" s="5" t="str">
        <f ca="1">IFERROR(__xludf.DUMMYFUNCTION("""COMPUTED_VALUE"""),"Hallway")</f>
        <v>Hallway</v>
      </c>
      <c r="T1817" s="5" t="str">
        <f ca="1">IFERROR(__xludf.DUMMYFUNCTION("""COMPUTED_VALUE"""),"Inside School Building")</f>
        <v>Inside School Building</v>
      </c>
      <c r="U1817" s="5" t="str">
        <f ca="1">IFERROR(__xludf.DUMMYFUNCTION("""COMPUTED_VALUE"""),"Yes")</f>
        <v>Yes</v>
      </c>
      <c r="V1817" s="5" t="str">
        <f ca="1">IFERROR(__xludf.DUMMYFUNCTION("""COMPUTED_VALUE"""),"Dismissal")</f>
        <v>Dismissal</v>
      </c>
      <c r="W1817" s="10">
        <f ca="1">IFERROR(__xludf.DUMMYFUNCTION("""COMPUTED_VALUE"""),0.625)</f>
        <v>0.625</v>
      </c>
      <c r="X1817" s="5">
        <f ca="1">IFERROR(__xludf.DUMMYFUNCTION("""COMPUTED_VALUE"""),1)</f>
        <v>1</v>
      </c>
      <c r="Y1817" s="5" t="str">
        <f ca="1">IFERROR(__xludf.DUMMYFUNCTION("""COMPUTED_VALUE"""),"Dispute over girl in school hallway at dismissal")</f>
        <v>Dispute over girl in school hallway at dismissal</v>
      </c>
      <c r="Z1817" s="5" t="str">
        <f ca="1">IFERROR(__xludf.DUMMYFUNCTION("""COMPUTED_VALUE"""),"Fight over a girl in the school hallway escalated into a shooting. There had been an ongoing dispute between the shooter and victim. Victim was killed. No other students were involved or injured. Gun was taken from the home of a friend.")</f>
        <v>Fight over a girl in the school hallway escalated into a shooting. There had been an ongoing dispute between the shooter and victim. Victim was killed. No other students were involved or injured. Gun was taken from the home of a friend.</v>
      </c>
      <c r="AA1817" s="5" t="str">
        <f ca="1">IFERROR(__xludf.DUMMYFUNCTION("""COMPUTED_VALUE"""),"Escalation of Dispute")</f>
        <v>Escalation of Dispute</v>
      </c>
      <c r="AB1817" s="5" t="str">
        <f ca="1">IFERROR(__xludf.DUMMYFUNCTION("""COMPUTED_VALUE"""),"Victims Targeted")</f>
        <v>Victims Targeted</v>
      </c>
      <c r="AC1817" s="5" t="str">
        <f ca="1">IFERROR(__xludf.DUMMYFUNCTION("""COMPUTED_VALUE"""),"No")</f>
        <v>No</v>
      </c>
      <c r="AD1817" s="5" t="str">
        <f ca="1">IFERROR(__xludf.DUMMYFUNCTION("""COMPUTED_VALUE"""),"No")</f>
        <v>No</v>
      </c>
      <c r="AE1817" s="5" t="str">
        <f ca="1">IFERROR(__xludf.DUMMYFUNCTION("""COMPUTED_VALUE"""),"No")</f>
        <v>No</v>
      </c>
      <c r="AF1817" s="5" t="str">
        <f ca="1">IFERROR(__xludf.DUMMYFUNCTION("""COMPUTED_VALUE"""),"No")</f>
        <v>No</v>
      </c>
      <c r="AG1817" s="5" t="str">
        <f ca="1">IFERROR(__xludf.DUMMYFUNCTION("""COMPUTED_VALUE"""),"No")</f>
        <v>No</v>
      </c>
      <c r="AH1817" s="5" t="str">
        <f ca="1">IFERROR(__xludf.DUMMYFUNCTION("""COMPUTED_VALUE"""),"No")</f>
        <v>No</v>
      </c>
      <c r="AI1817" s="5" t="str">
        <f ca="1">IFERROR(__xludf.DUMMYFUNCTION("""COMPUTED_VALUE"""),"No")</f>
        <v>No</v>
      </c>
      <c r="AJ1817" s="5" t="str">
        <f ca="1">IFERROR(__xludf.DUMMYFUNCTION("""COMPUTED_VALUE"""),"No")</f>
        <v>No</v>
      </c>
    </row>
    <row r="1818" spans="1:36" ht="13">
      <c r="A1818" s="5" t="str">
        <f ca="1">IFERROR(__xludf.DUMMYFUNCTION("""COMPUTED_VALUE"""),"19930416CAGRS")</f>
        <v>19930416CAGRS</v>
      </c>
      <c r="B1818" s="5">
        <f ca="1">IFERROR(__xludf.DUMMYFUNCTION("""COMPUTED_VALUE"""),4)</f>
        <v>4</v>
      </c>
      <c r="C1818" s="5">
        <f ca="1">IFERROR(__xludf.DUMMYFUNCTION("""COMPUTED_VALUE"""),16)</f>
        <v>16</v>
      </c>
      <c r="D1818" s="5">
        <f ca="1">IFERROR(__xludf.DUMMYFUNCTION("""COMPUTED_VALUE"""),1993)</f>
        <v>1993</v>
      </c>
      <c r="E1818" s="8">
        <f ca="1">IFERROR(__xludf.DUMMYFUNCTION("""COMPUTED_VALUE"""),34075)</f>
        <v>34075</v>
      </c>
      <c r="F1818" s="5" t="str">
        <f ca="1">IFERROR(__xludf.DUMMYFUNCTION("""COMPUTED_VALUE"""),"Grant High School")</f>
        <v>Grant High School</v>
      </c>
      <c r="G1818" s="5">
        <f ca="1">IFERROR(__xludf.DUMMYFUNCTION("""COMPUTED_VALUE"""),1)</f>
        <v>1</v>
      </c>
      <c r="H1818" s="5">
        <f ca="1">IFERROR(__xludf.DUMMYFUNCTION("""COMPUTED_VALUE"""),0)</f>
        <v>0</v>
      </c>
      <c r="I1818" s="5">
        <f ca="1">IFERROR(__xludf.DUMMYFUNCTION("""COMPUTED_VALUE"""),1)</f>
        <v>1</v>
      </c>
      <c r="J1818" s="5">
        <f ca="1">IFERROR(__xludf.DUMMYFUNCTION("""COMPUTED_VALUE"""),0)</f>
        <v>0</v>
      </c>
      <c r="K1818" s="5" t="str">
        <f ca="1">IFERROR(__xludf.DUMMYFUNCTION("""COMPUTED_VALUE"""),"https://www.newspapers.com/image/273363591/?terms=Grant%2BHigh%2BSchool%2Bshooting Sacramento Bee - Little League Coach Killed at Grant High")</f>
        <v>https://www.newspapers.com/image/273363591/?terms=Grant%2BHigh%2BSchool%2Bshooting Sacramento Bee - Little League Coach Killed at Grant High</v>
      </c>
      <c r="L1818" s="5"/>
      <c r="M1818" s="5"/>
      <c r="N1818" s="5">
        <f ca="1">IFERROR(__xludf.DUMMYFUNCTION("""COMPUTED_VALUE"""),3)</f>
        <v>3</v>
      </c>
      <c r="O1818" s="5" t="str">
        <f ca="1">IFERROR(__xludf.DUMMYFUNCTION("""COMPUTED_VALUE"""),"Spring")</f>
        <v>Spring</v>
      </c>
      <c r="P1818" s="5" t="str">
        <f ca="1">IFERROR(__xludf.DUMMYFUNCTION("""COMPUTED_VALUE"""),"Sacramento")</f>
        <v>Sacramento</v>
      </c>
      <c r="Q1818" s="5" t="str">
        <f ca="1">IFERROR(__xludf.DUMMYFUNCTION("""COMPUTED_VALUE"""),"CA")</f>
        <v>CA</v>
      </c>
      <c r="R1818" s="5" t="str">
        <f ca="1">IFERROR(__xludf.DUMMYFUNCTION("""COMPUTED_VALUE"""),"High")</f>
        <v>High</v>
      </c>
      <c r="S1818" s="5" t="str">
        <f ca="1">IFERROR(__xludf.DUMMYFUNCTION("""COMPUTED_VALUE"""),"Field (General)")</f>
        <v>Field (General)</v>
      </c>
      <c r="T1818" s="5" t="str">
        <f ca="1">IFERROR(__xludf.DUMMYFUNCTION("""COMPUTED_VALUE"""),"Outside on School Property")</f>
        <v>Outside on School Property</v>
      </c>
      <c r="U1818" s="5" t="str">
        <f ca="1">IFERROR(__xludf.DUMMYFUNCTION("""COMPUTED_VALUE"""),"No")</f>
        <v>No</v>
      </c>
      <c r="V1818" s="5" t="str">
        <f ca="1">IFERROR(__xludf.DUMMYFUNCTION("""COMPUTED_VALUE"""),"Evening")</f>
        <v>Evening</v>
      </c>
      <c r="W1818" s="10">
        <f ca="1">IFERROR(__xludf.DUMMYFUNCTION("""COMPUTED_VALUE"""),0.725694444444444)</f>
        <v>0.72569444444444398</v>
      </c>
      <c r="X1818" s="5">
        <f ca="1">IFERROR(__xludf.DUMMYFUNCTION("""COMPUTED_VALUE"""),1)</f>
        <v>1</v>
      </c>
      <c r="Y1818" s="5" t="str">
        <f ca="1">IFERROR(__xludf.DUMMYFUNCTION("""COMPUTED_VALUE"""),"Baseball coach struck by handgun fired 820 feet away")</f>
        <v>Baseball coach struck by handgun fired 820 feet away</v>
      </c>
      <c r="Z1818" s="5" t="str">
        <f ca="1">IFERROR(__xludf.DUMMYFUNCTION("""COMPUTED_VALUE"""),"Little league coach on baseball field struck by handgun round fired 820 away. Unknown if he was targeted.")</f>
        <v>Little league coach on baseball field struck by handgun round fired 820 away. Unknown if he was targeted.</v>
      </c>
      <c r="AA1818" s="5" t="str">
        <f ca="1">IFERROR(__xludf.DUMMYFUNCTION("""COMPUTED_VALUE"""),"Accidental")</f>
        <v>Accidental</v>
      </c>
      <c r="AB1818" s="5"/>
      <c r="AC1818" s="5" t="str">
        <f ca="1">IFERROR(__xludf.DUMMYFUNCTION("""COMPUTED_VALUE"""),"No")</f>
        <v>No</v>
      </c>
      <c r="AD1818" s="5" t="str">
        <f ca="1">IFERROR(__xludf.DUMMYFUNCTION("""COMPUTED_VALUE"""),"No")</f>
        <v>No</v>
      </c>
      <c r="AE1818" s="5" t="str">
        <f ca="1">IFERROR(__xludf.DUMMYFUNCTION("""COMPUTED_VALUE"""),"No")</f>
        <v>No</v>
      </c>
      <c r="AF1818" s="5" t="str">
        <f ca="1">IFERROR(__xludf.DUMMYFUNCTION("""COMPUTED_VALUE"""),"No")</f>
        <v>No</v>
      </c>
      <c r="AG1818" s="5" t="str">
        <f ca="1">IFERROR(__xludf.DUMMYFUNCTION("""COMPUTED_VALUE"""),"No")</f>
        <v>No</v>
      </c>
      <c r="AH1818" s="5" t="str">
        <f ca="1">IFERROR(__xludf.DUMMYFUNCTION("""COMPUTED_VALUE"""),"No")</f>
        <v>No</v>
      </c>
      <c r="AI1818" s="5"/>
      <c r="AJ1818" s="5"/>
    </row>
    <row r="1819" spans="1:36" ht="13">
      <c r="A1819" s="5" t="str">
        <f ca="1">IFERROR(__xludf.DUMMYFUNCTION("""COMPUTED_VALUE"""),"19930416WAMOT")</f>
        <v>19930416WAMOT</v>
      </c>
      <c r="B1819" s="5">
        <f ca="1">IFERROR(__xludf.DUMMYFUNCTION("""COMPUTED_VALUE"""),4)</f>
        <v>4</v>
      </c>
      <c r="C1819" s="5">
        <f ca="1">IFERROR(__xludf.DUMMYFUNCTION("""COMPUTED_VALUE"""),16)</f>
        <v>16</v>
      </c>
      <c r="D1819" s="5">
        <f ca="1">IFERROR(__xludf.DUMMYFUNCTION("""COMPUTED_VALUE"""),1993)</f>
        <v>1993</v>
      </c>
      <c r="E1819" s="8">
        <f ca="1">IFERROR(__xludf.DUMMYFUNCTION("""COMPUTED_VALUE"""),34075)</f>
        <v>34075</v>
      </c>
      <c r="F1819" s="5" t="str">
        <f ca="1">IFERROR(__xludf.DUMMYFUNCTION("""COMPUTED_VALUE"""),"Mount Tahoma High School")</f>
        <v>Mount Tahoma High School</v>
      </c>
      <c r="G1819" s="5">
        <f ca="1">IFERROR(__xludf.DUMMYFUNCTION("""COMPUTED_VALUE"""),0)</f>
        <v>0</v>
      </c>
      <c r="H1819" s="5">
        <f ca="1">IFERROR(__xludf.DUMMYFUNCTION("""COMPUTED_VALUE"""),0)</f>
        <v>0</v>
      </c>
      <c r="I1819" s="5">
        <f ca="1">IFERROR(__xludf.DUMMYFUNCTION("""COMPUTED_VALUE"""),0)</f>
        <v>0</v>
      </c>
      <c r="J1819" s="5">
        <f ca="1">IFERROR(__xludf.DUMMYFUNCTION("""COMPUTED_VALUE"""),1)</f>
        <v>1</v>
      </c>
      <c r="K1819" s="9" t="str">
        <f ca="1">IFERROR(__xludf.DUMMYFUNCTION("""COMPUTED_VALUE"""),"https://people.com/archive/roll-call-of-the-dead-vol-39-no-23/")</f>
        <v>https://people.com/archive/roll-call-of-the-dead-vol-39-no-23/</v>
      </c>
      <c r="L1819" s="5"/>
      <c r="M1819" s="5"/>
      <c r="N1819" s="5">
        <f ca="1">IFERROR(__xludf.DUMMYFUNCTION("""COMPUTED_VALUE"""),2)</f>
        <v>2</v>
      </c>
      <c r="O1819" s="5" t="str">
        <f ca="1">IFERROR(__xludf.DUMMYFUNCTION("""COMPUTED_VALUE"""),"Spring")</f>
        <v>Spring</v>
      </c>
      <c r="P1819" s="5" t="str">
        <f ca="1">IFERROR(__xludf.DUMMYFUNCTION("""COMPUTED_VALUE"""),"Tacoma")</f>
        <v>Tacoma</v>
      </c>
      <c r="Q1819" s="5" t="str">
        <f ca="1">IFERROR(__xludf.DUMMYFUNCTION("""COMPUTED_VALUE"""),"WA")</f>
        <v>WA</v>
      </c>
      <c r="R1819" s="5" t="str">
        <f ca="1">IFERROR(__xludf.DUMMYFUNCTION("""COMPUTED_VALUE"""),"High")</f>
        <v>High</v>
      </c>
      <c r="S1819" s="5" t="str">
        <f ca="1">IFERROR(__xludf.DUMMYFUNCTION("""COMPUTED_VALUE"""),"Beside Building")</f>
        <v>Beside Building</v>
      </c>
      <c r="T1819" s="5" t="str">
        <f ca="1">IFERROR(__xludf.DUMMYFUNCTION("""COMPUTED_VALUE"""),"Outside on School Property")</f>
        <v>Outside on School Property</v>
      </c>
      <c r="U1819" s="5"/>
      <c r="V1819" s="5"/>
      <c r="W1819" s="5"/>
      <c r="X1819" s="5"/>
      <c r="Y1819" s="5" t="str">
        <f ca="1">IFERROR(__xludf.DUMMYFUNCTION("""COMPUTED_VALUE"""),"Suicide outside of school")</f>
        <v>Suicide outside of school</v>
      </c>
      <c r="Z1819" s="5" t="str">
        <f ca="1">IFERROR(__xludf.DUMMYFUNCTION("""COMPUTED_VALUE"""),"33YOF commit suicide outside of high school. Father reported she had been depressed.")</f>
        <v>33YOF commit suicide outside of high school. Father reported she had been depressed.</v>
      </c>
      <c r="AA1819" s="5" t="str">
        <f ca="1">IFERROR(__xludf.DUMMYFUNCTION("""COMPUTED_VALUE"""),"Suicide/Attempted")</f>
        <v>Suicide/Attempted</v>
      </c>
      <c r="AB1819" s="5" t="str">
        <f ca="1">IFERROR(__xludf.DUMMYFUNCTION("""COMPUTED_VALUE"""),"Victims Targeted")</f>
        <v>Victims Targeted</v>
      </c>
      <c r="AC1819" s="5" t="str">
        <f ca="1">IFERROR(__xludf.DUMMYFUNCTION("""COMPUTED_VALUE"""),"No")</f>
        <v>No</v>
      </c>
      <c r="AD1819" s="5" t="str">
        <f ca="1">IFERROR(__xludf.DUMMYFUNCTION("""COMPUTED_VALUE"""),"No")</f>
        <v>No</v>
      </c>
      <c r="AE1819" s="5" t="str">
        <f ca="1">IFERROR(__xludf.DUMMYFUNCTION("""COMPUTED_VALUE"""),"No")</f>
        <v>No</v>
      </c>
      <c r="AF1819" s="5" t="str">
        <f ca="1">IFERROR(__xludf.DUMMYFUNCTION("""COMPUTED_VALUE"""),"No")</f>
        <v>No</v>
      </c>
      <c r="AG1819" s="5" t="str">
        <f ca="1">IFERROR(__xludf.DUMMYFUNCTION("""COMPUTED_VALUE"""),"No")</f>
        <v>No</v>
      </c>
      <c r="AH1819" s="5" t="str">
        <f ca="1">IFERROR(__xludf.DUMMYFUNCTION("""COMPUTED_VALUE"""),"No")</f>
        <v>No</v>
      </c>
      <c r="AI1819" s="5" t="str">
        <f ca="1">IFERROR(__xludf.DUMMYFUNCTION("""COMPUTED_VALUE"""),"No")</f>
        <v>No</v>
      </c>
      <c r="AJ1819" s="5"/>
    </row>
    <row r="1820" spans="1:36" ht="13">
      <c r="A1820" s="5" t="str">
        <f ca="1">IFERROR(__xludf.DUMMYFUNCTION("""COMPUTED_VALUE"""),"19930415MAFOA")</f>
        <v>19930415MAFOA</v>
      </c>
      <c r="B1820" s="5">
        <f ca="1">IFERROR(__xludf.DUMMYFUNCTION("""COMPUTED_VALUE"""),4)</f>
        <v>4</v>
      </c>
      <c r="C1820" s="5">
        <f ca="1">IFERROR(__xludf.DUMMYFUNCTION("""COMPUTED_VALUE"""),15)</f>
        <v>15</v>
      </c>
      <c r="D1820" s="5">
        <f ca="1">IFERROR(__xludf.DUMMYFUNCTION("""COMPUTED_VALUE"""),1993)</f>
        <v>1993</v>
      </c>
      <c r="E1820" s="8">
        <f ca="1">IFERROR(__xludf.DUMMYFUNCTION("""COMPUTED_VALUE"""),34074)</f>
        <v>34074</v>
      </c>
      <c r="F1820" s="5" t="str">
        <f ca="1">IFERROR(__xludf.DUMMYFUNCTION("""COMPUTED_VALUE"""),"Ford Middle School")</f>
        <v>Ford Middle School</v>
      </c>
      <c r="G1820" s="5">
        <f ca="1">IFERROR(__xludf.DUMMYFUNCTION("""COMPUTED_VALUE"""),1)</f>
        <v>1</v>
      </c>
      <c r="H1820" s="5">
        <f ca="1">IFERROR(__xludf.DUMMYFUNCTION("""COMPUTED_VALUE"""),0)</f>
        <v>0</v>
      </c>
      <c r="I1820" s="5">
        <f ca="1">IFERROR(__xludf.DUMMYFUNCTION("""COMPUTED_VALUE"""),1)</f>
        <v>1</v>
      </c>
      <c r="J1820" s="5">
        <f ca="1">IFERROR(__xludf.DUMMYFUNCTION("""COMPUTED_VALUE"""),0)</f>
        <v>0</v>
      </c>
      <c r="K1820" s="9" t="str">
        <f ca="1">IFERROR(__xludf.DUMMYFUNCTION("""COMPUTED_VALUE"""),"http://www.southcoasttoday.com/article/20150617/NEWS/150619469")</f>
        <v>http://www.southcoasttoday.com/article/20150617/NEWS/150619469</v>
      </c>
      <c r="L1820" s="5"/>
      <c r="M1820" s="5"/>
      <c r="N1820" s="5">
        <f ca="1">IFERROR(__xludf.DUMMYFUNCTION("""COMPUTED_VALUE"""),4)</f>
        <v>4</v>
      </c>
      <c r="O1820" s="5" t="str">
        <f ca="1">IFERROR(__xludf.DUMMYFUNCTION("""COMPUTED_VALUE"""),"Spring")</f>
        <v>Spring</v>
      </c>
      <c r="P1820" s="5" t="str">
        <f ca="1">IFERROR(__xludf.DUMMYFUNCTION("""COMPUTED_VALUE"""),"Acushnet")</f>
        <v>Acushnet</v>
      </c>
      <c r="Q1820" s="5" t="str">
        <f ca="1">IFERROR(__xludf.DUMMYFUNCTION("""COMPUTED_VALUE"""),"MA")</f>
        <v>MA</v>
      </c>
      <c r="R1820" s="5" t="str">
        <f ca="1">IFERROR(__xludf.DUMMYFUNCTION("""COMPUTED_VALUE"""),"Middle")</f>
        <v>Middle</v>
      </c>
      <c r="S1820" s="5" t="str">
        <f ca="1">IFERROR(__xludf.DUMMYFUNCTION("""COMPUTED_VALUE"""),"Office")</f>
        <v>Office</v>
      </c>
      <c r="T1820" s="5" t="str">
        <f ca="1">IFERROR(__xludf.DUMMYFUNCTION("""COMPUTED_VALUE"""),"Inside School Building")</f>
        <v>Inside School Building</v>
      </c>
      <c r="U1820" s="5" t="str">
        <f ca="1">IFERROR(__xludf.DUMMYFUNCTION("""COMPUTED_VALUE"""),"Yes")</f>
        <v>Yes</v>
      </c>
      <c r="V1820" s="5" t="str">
        <f ca="1">IFERROR(__xludf.DUMMYFUNCTION("""COMPUTED_VALUE"""),"Unknown")</f>
        <v>Unknown</v>
      </c>
      <c r="W1820" s="5"/>
      <c r="X1820" s="5"/>
      <c r="Y1820" s="5" t="str">
        <f ca="1">IFERROR(__xludf.DUMMYFUNCTION("""COMPUTED_VALUE"""),"Burned down house, shot secretary, attempted to take principal hostage - tackled by school staff")</f>
        <v>Burned down house, shot secretary, attempted to take principal hostage - tackled by school staff</v>
      </c>
      <c r="Z1820" s="5" t="str">
        <f ca="1">IFERROR(__xludf.DUMMYFUNCTION("""COMPUTED_VALUE"""),"Shooter became delusional and thought he was being watched by the CIA. He burned down his father's house and went to the school with a shotgun. He fired a shot and killed the school nurse. He attempted to take the principal hostage but was instead tackled"&amp;" by the principal and detained until police arrived. Police reported the shooter was mentally ill. After release from prison, shooter was arrested the following year for assaulting his 88 year-old father.")</f>
        <v>Shooter became delusional and thought he was being watched by the CIA. He burned down his father's house and went to the school with a shotgun. He fired a shot and killed the school nurse. He attempted to take the principal hostage but was instead tackled by the principal and detained until police arrived. Police reported the shooter was mentally ill. After release from prison, shooter was arrested the following year for assaulting his 88 year-old father.</v>
      </c>
      <c r="AA1820" s="5" t="str">
        <f ca="1">IFERROR(__xludf.DUMMYFUNCTION("""COMPUTED_VALUE"""),"Psychosis")</f>
        <v>Psychosis</v>
      </c>
      <c r="AB1820" s="5" t="str">
        <f ca="1">IFERROR(__xludf.DUMMYFUNCTION("""COMPUTED_VALUE"""),"Random Shooting")</f>
        <v>Random Shooting</v>
      </c>
      <c r="AC1820" s="5" t="str">
        <f ca="1">IFERROR(__xludf.DUMMYFUNCTION("""COMPUTED_VALUE"""),"No")</f>
        <v>No</v>
      </c>
      <c r="AD1820" s="5" t="str">
        <f ca="1">IFERROR(__xludf.DUMMYFUNCTION("""COMPUTED_VALUE"""),"No")</f>
        <v>No</v>
      </c>
      <c r="AE1820" s="5" t="str">
        <f ca="1">IFERROR(__xludf.DUMMYFUNCTION("""COMPUTED_VALUE"""),"No")</f>
        <v>No</v>
      </c>
      <c r="AF1820" s="5" t="str">
        <f ca="1">IFERROR(__xludf.DUMMYFUNCTION("""COMPUTED_VALUE"""),"No")</f>
        <v>No</v>
      </c>
      <c r="AG1820" s="5" t="str">
        <f ca="1">IFERROR(__xludf.DUMMYFUNCTION("""COMPUTED_VALUE"""),"No")</f>
        <v>No</v>
      </c>
      <c r="AH1820" s="5" t="str">
        <f ca="1">IFERROR(__xludf.DUMMYFUNCTION("""COMPUTED_VALUE"""),"No")</f>
        <v>No</v>
      </c>
      <c r="AI1820" s="5" t="str">
        <f ca="1">IFERROR(__xludf.DUMMYFUNCTION("""COMPUTED_VALUE"""),"No")</f>
        <v>No</v>
      </c>
      <c r="AJ1820" s="5" t="str">
        <f ca="1">IFERROR(__xludf.DUMMYFUNCTION("""COMPUTED_VALUE"""),"Yes")</f>
        <v>Yes</v>
      </c>
    </row>
    <row r="1821" spans="1:36" ht="13">
      <c r="A1821" s="5" t="str">
        <f ca="1">IFERROR(__xludf.DUMMYFUNCTION("""COMPUTED_VALUE"""),"19930403CAGRS")</f>
        <v>19930403CAGRS</v>
      </c>
      <c r="B1821" s="5">
        <f ca="1">IFERROR(__xludf.DUMMYFUNCTION("""COMPUTED_VALUE"""),4)</f>
        <v>4</v>
      </c>
      <c r="C1821" s="5">
        <f ca="1">IFERROR(__xludf.DUMMYFUNCTION("""COMPUTED_VALUE"""),3)</f>
        <v>3</v>
      </c>
      <c r="D1821" s="5">
        <f ca="1">IFERROR(__xludf.DUMMYFUNCTION("""COMPUTED_VALUE"""),1993)</f>
        <v>1993</v>
      </c>
      <c r="E1821" s="8">
        <f ca="1">IFERROR(__xludf.DUMMYFUNCTION("""COMPUTED_VALUE"""),34062)</f>
        <v>34062</v>
      </c>
      <c r="F1821" s="5" t="str">
        <f ca="1">IFERROR(__xludf.DUMMYFUNCTION("""COMPUTED_VALUE"""),"Grant High School")</f>
        <v>Grant High School</v>
      </c>
      <c r="G1821" s="5">
        <f ca="1">IFERROR(__xludf.DUMMYFUNCTION("""COMPUTED_VALUE"""),1)</f>
        <v>1</v>
      </c>
      <c r="H1821" s="5">
        <f ca="1">IFERROR(__xludf.DUMMYFUNCTION("""COMPUTED_VALUE"""),1)</f>
        <v>1</v>
      </c>
      <c r="I1821" s="5">
        <f ca="1">IFERROR(__xludf.DUMMYFUNCTION("""COMPUTED_VALUE"""),2)</f>
        <v>2</v>
      </c>
      <c r="J1821" s="5">
        <f ca="1">IFERROR(__xludf.DUMMYFUNCTION("""COMPUTED_VALUE"""),0)</f>
        <v>0</v>
      </c>
      <c r="K1821" s="9" t="str">
        <f ca="1">IFERROR(__xludf.DUMMYFUNCTION("""COMPUTED_VALUE"""),"https://www.newspapers.com/image/384227902/?terms=Vodrick%2BJohnson")</f>
        <v>https://www.newspapers.com/image/384227902/?terms=Vodrick%2BJohnson</v>
      </c>
      <c r="L1821" s="5"/>
      <c r="M1821" s="5"/>
      <c r="N1821" s="5">
        <f ca="1">IFERROR(__xludf.DUMMYFUNCTION("""COMPUTED_VALUE"""),2)</f>
        <v>2</v>
      </c>
      <c r="O1821" s="5" t="str">
        <f ca="1">IFERROR(__xludf.DUMMYFUNCTION("""COMPUTED_VALUE"""),"Spring")</f>
        <v>Spring</v>
      </c>
      <c r="P1821" s="5" t="str">
        <f ca="1">IFERROR(__xludf.DUMMYFUNCTION("""COMPUTED_VALUE"""),"Sacramento")</f>
        <v>Sacramento</v>
      </c>
      <c r="Q1821" s="5" t="str">
        <f ca="1">IFERROR(__xludf.DUMMYFUNCTION("""COMPUTED_VALUE"""),"CA")</f>
        <v>CA</v>
      </c>
      <c r="R1821" s="5" t="str">
        <f ca="1">IFERROR(__xludf.DUMMYFUNCTION("""COMPUTED_VALUE"""),"High")</f>
        <v>High</v>
      </c>
      <c r="S1821" s="5" t="str">
        <f ca="1">IFERROR(__xludf.DUMMYFUNCTION("""COMPUTED_VALUE"""),"Field (General)")</f>
        <v>Field (General)</v>
      </c>
      <c r="T1821" s="5" t="str">
        <f ca="1">IFERROR(__xludf.DUMMYFUNCTION("""COMPUTED_VALUE"""),"Outside on School Property")</f>
        <v>Outside on School Property</v>
      </c>
      <c r="U1821" s="5" t="str">
        <f ca="1">IFERROR(__xludf.DUMMYFUNCTION("""COMPUTED_VALUE"""),"No")</f>
        <v>No</v>
      </c>
      <c r="V1821" s="5" t="str">
        <f ca="1">IFERROR(__xludf.DUMMYFUNCTION("""COMPUTED_VALUE"""),"Not a School Day")</f>
        <v>Not a School Day</v>
      </c>
      <c r="W1821" s="5"/>
      <c r="X1821" s="5">
        <f ca="1">IFERROR(__xludf.DUMMYFUNCTION("""COMPUTED_VALUE"""),1)</f>
        <v>1</v>
      </c>
      <c r="Y1821" s="5" t="str">
        <f ca="1">IFERROR(__xludf.DUMMYFUNCTION("""COMPUTED_VALUE"""),"Two students shot walking around school field")</f>
        <v>Two students shot walking around school field</v>
      </c>
      <c r="Z1821" s="5" t="str">
        <f ca="1">IFERROR(__xludf.DUMMYFUNCTION("""COMPUTED_VALUE"""),"Unknown shooter with shotgun fired at two students walking around the school baseball field.")</f>
        <v>Unknown shooter with shotgun fired at two students walking around the school baseball field.</v>
      </c>
      <c r="AA1821" s="5" t="str">
        <f ca="1">IFERROR(__xludf.DUMMYFUNCTION("""COMPUTED_VALUE"""),"Unknown")</f>
        <v>Unknown</v>
      </c>
      <c r="AB1821" s="5"/>
      <c r="AC1821" s="5" t="str">
        <f ca="1">IFERROR(__xludf.DUMMYFUNCTION("""COMPUTED_VALUE"""),"No")</f>
        <v>No</v>
      </c>
      <c r="AD1821" s="5" t="str">
        <f ca="1">IFERROR(__xludf.DUMMYFUNCTION("""COMPUTED_VALUE"""),"No")</f>
        <v>No</v>
      </c>
      <c r="AE1821" s="5" t="str">
        <f ca="1">IFERROR(__xludf.DUMMYFUNCTION("""COMPUTED_VALUE"""),"No")</f>
        <v>No</v>
      </c>
      <c r="AF1821" s="5" t="str">
        <f ca="1">IFERROR(__xludf.DUMMYFUNCTION("""COMPUTED_VALUE"""),"No")</f>
        <v>No</v>
      </c>
      <c r="AG1821" s="5" t="str">
        <f ca="1">IFERROR(__xludf.DUMMYFUNCTION("""COMPUTED_VALUE"""),"No")</f>
        <v>No</v>
      </c>
      <c r="AH1821" s="5" t="str">
        <f ca="1">IFERROR(__xludf.DUMMYFUNCTION("""COMPUTED_VALUE"""),"No")</f>
        <v>No</v>
      </c>
      <c r="AI1821" s="5"/>
      <c r="AJ1821" s="5"/>
    </row>
    <row r="1822" spans="1:36" ht="13">
      <c r="A1822" s="5" t="str">
        <f ca="1">IFERROR(__xludf.DUMMYFUNCTION("""COMPUTED_VALUE"""),"19930325MOSUS")</f>
        <v>19930325MOSUS</v>
      </c>
      <c r="B1822" s="5">
        <f ca="1">IFERROR(__xludf.DUMMYFUNCTION("""COMPUTED_VALUE"""),3)</f>
        <v>3</v>
      </c>
      <c r="C1822" s="5">
        <f ca="1">IFERROR(__xludf.DUMMYFUNCTION("""COMPUTED_VALUE"""),25)</f>
        <v>25</v>
      </c>
      <c r="D1822" s="5">
        <f ca="1">IFERROR(__xludf.DUMMYFUNCTION("""COMPUTED_VALUE"""),1993)</f>
        <v>1993</v>
      </c>
      <c r="E1822" s="8">
        <f ca="1">IFERROR(__xludf.DUMMYFUNCTION("""COMPUTED_VALUE"""),34053)</f>
        <v>34053</v>
      </c>
      <c r="F1822" s="5" t="str">
        <f ca="1">IFERROR(__xludf.DUMMYFUNCTION("""COMPUTED_VALUE"""),"Sumner High School")</f>
        <v>Sumner High School</v>
      </c>
      <c r="G1822" s="5">
        <f ca="1">IFERROR(__xludf.DUMMYFUNCTION("""COMPUTED_VALUE"""),1)</f>
        <v>1</v>
      </c>
      <c r="H1822" s="5">
        <f ca="1">IFERROR(__xludf.DUMMYFUNCTION("""COMPUTED_VALUE"""),0)</f>
        <v>0</v>
      </c>
      <c r="I1822" s="5">
        <f ca="1">IFERROR(__xludf.DUMMYFUNCTION("""COMPUTED_VALUE"""),1)</f>
        <v>1</v>
      </c>
      <c r="J1822" s="5">
        <f ca="1">IFERROR(__xludf.DUMMYFUNCTION("""COMPUTED_VALUE"""),0)</f>
        <v>0</v>
      </c>
      <c r="K1822" s="9" t="str">
        <f ca="1">IFERROR(__xludf.DUMMYFUNCTION("""COMPUTED_VALUE"""),"https://www.newspapers.com/image/141626514/?terms=Sumner%2BHigh%2BSchool")</f>
        <v>https://www.newspapers.com/image/141626514/?terms=Sumner%2BHigh%2BSchool</v>
      </c>
      <c r="L1822" s="5"/>
      <c r="M1822" s="5"/>
      <c r="N1822" s="5">
        <f ca="1">IFERROR(__xludf.DUMMYFUNCTION("""COMPUTED_VALUE"""),2)</f>
        <v>2</v>
      </c>
      <c r="O1822" s="5" t="str">
        <f ca="1">IFERROR(__xludf.DUMMYFUNCTION("""COMPUTED_VALUE"""),"Spring")</f>
        <v>Spring</v>
      </c>
      <c r="P1822" s="5" t="str">
        <f ca="1">IFERROR(__xludf.DUMMYFUNCTION("""COMPUTED_VALUE"""),"St. Louis")</f>
        <v>St. Louis</v>
      </c>
      <c r="Q1822" s="5" t="str">
        <f ca="1">IFERROR(__xludf.DUMMYFUNCTION("""COMPUTED_VALUE"""),"MO")</f>
        <v>MO</v>
      </c>
      <c r="R1822" s="5" t="str">
        <f ca="1">IFERROR(__xludf.DUMMYFUNCTION("""COMPUTED_VALUE"""),"High")</f>
        <v>High</v>
      </c>
      <c r="S1822" s="5" t="str">
        <f ca="1">IFERROR(__xludf.DUMMYFUNCTION("""COMPUTED_VALUE"""),"Hallway")</f>
        <v>Hallway</v>
      </c>
      <c r="T1822" s="5" t="str">
        <f ca="1">IFERROR(__xludf.DUMMYFUNCTION("""COMPUTED_VALUE"""),"Inside School Building")</f>
        <v>Inside School Building</v>
      </c>
      <c r="U1822" s="5" t="str">
        <f ca="1">IFERROR(__xludf.DUMMYFUNCTION("""COMPUTED_VALUE"""),"Yes")</f>
        <v>Yes</v>
      </c>
      <c r="V1822" s="5" t="str">
        <f ca="1">IFERROR(__xludf.DUMMYFUNCTION("""COMPUTED_VALUE"""),"School Start")</f>
        <v>School Start</v>
      </c>
      <c r="W1822" s="10">
        <f ca="1">IFERROR(__xludf.DUMMYFUNCTION("""COMPUTED_VALUE"""),0.333333333333333)</f>
        <v>0.33333333333333298</v>
      </c>
      <c r="X1822" s="5">
        <f ca="1">IFERROR(__xludf.DUMMYFUNCTION("""COMPUTED_VALUE"""),1)</f>
        <v>1</v>
      </c>
      <c r="Y1822" s="5" t="str">
        <f ca="1">IFERROR(__xludf.DUMMYFUNCTION("""COMPUTED_VALUE"""),"Shot ex-boyfriend in back of head in hallway")</f>
        <v>Shot ex-boyfriend in back of head in hallway</v>
      </c>
      <c r="Z1822" s="5" t="str">
        <f ca="1">IFERROR(__xludf.DUMMYFUNCTION("""COMPUTED_VALUE"""),"17YOF shot her ex-boyfriend in the hallway. She had told other students that she planned to kill herself and him prior to the shooting.")</f>
        <v>17YOF shot her ex-boyfriend in the hallway. She had told other students that she planned to kill herself and him prior to the shooting.</v>
      </c>
      <c r="AA1822" s="5" t="str">
        <f ca="1">IFERROR(__xludf.DUMMYFUNCTION("""COMPUTED_VALUE"""),"Domestic w/ Targeted Victim")</f>
        <v>Domestic w/ Targeted Victim</v>
      </c>
      <c r="AB1822" s="5" t="str">
        <f ca="1">IFERROR(__xludf.DUMMYFUNCTION("""COMPUTED_VALUE"""),"Victims Targeted")</f>
        <v>Victims Targeted</v>
      </c>
      <c r="AC1822" s="5" t="str">
        <f ca="1">IFERROR(__xludf.DUMMYFUNCTION("""COMPUTED_VALUE"""),"No")</f>
        <v>No</v>
      </c>
      <c r="AD1822" s="5" t="str">
        <f ca="1">IFERROR(__xludf.DUMMYFUNCTION("""COMPUTED_VALUE"""),"No")</f>
        <v>No</v>
      </c>
      <c r="AE1822" s="5" t="str">
        <f ca="1">IFERROR(__xludf.DUMMYFUNCTION("""COMPUTED_VALUE"""),"No")</f>
        <v>No</v>
      </c>
      <c r="AF1822" s="5" t="str">
        <f ca="1">IFERROR(__xludf.DUMMYFUNCTION("""COMPUTED_VALUE"""),"No")</f>
        <v>No</v>
      </c>
      <c r="AG1822" s="5" t="str">
        <f ca="1">IFERROR(__xludf.DUMMYFUNCTION("""COMPUTED_VALUE"""),"No")</f>
        <v>No</v>
      </c>
      <c r="AH1822" s="5" t="str">
        <f ca="1">IFERROR(__xludf.DUMMYFUNCTION("""COMPUTED_VALUE"""),"Yes")</f>
        <v>Yes</v>
      </c>
      <c r="AI1822" s="5" t="str">
        <f ca="1">IFERROR(__xludf.DUMMYFUNCTION("""COMPUTED_VALUE"""),"No")</f>
        <v>No</v>
      </c>
      <c r="AJ1822" s="5"/>
    </row>
    <row r="1823" spans="1:36" ht="13">
      <c r="A1823" s="5" t="str">
        <f ca="1">IFERROR(__xludf.DUMMYFUNCTION("""COMPUTED_VALUE"""),"19930318GAHAH")</f>
        <v>19930318GAHAH</v>
      </c>
      <c r="B1823" s="5">
        <f ca="1">IFERROR(__xludf.DUMMYFUNCTION("""COMPUTED_VALUE"""),3)</f>
        <v>3</v>
      </c>
      <c r="C1823" s="5">
        <f ca="1">IFERROR(__xludf.DUMMYFUNCTION("""COMPUTED_VALUE"""),18)</f>
        <v>18</v>
      </c>
      <c r="D1823" s="5">
        <f ca="1">IFERROR(__xludf.DUMMYFUNCTION("""COMPUTED_VALUE"""),1993)</f>
        <v>1993</v>
      </c>
      <c r="E1823" s="8">
        <f ca="1">IFERROR(__xludf.DUMMYFUNCTION("""COMPUTED_VALUE"""),34046)</f>
        <v>34046</v>
      </c>
      <c r="F1823" s="5" t="str">
        <f ca="1">IFERROR(__xludf.DUMMYFUNCTION("""COMPUTED_VALUE"""),"Harlem High School")</f>
        <v>Harlem High School</v>
      </c>
      <c r="G1823" s="5">
        <f ca="1">IFERROR(__xludf.DUMMYFUNCTION("""COMPUTED_VALUE"""),1)</f>
        <v>1</v>
      </c>
      <c r="H1823" s="5">
        <f ca="1">IFERROR(__xludf.DUMMYFUNCTION("""COMPUTED_VALUE"""),1)</f>
        <v>1</v>
      </c>
      <c r="I1823" s="5">
        <f ca="1">IFERROR(__xludf.DUMMYFUNCTION("""COMPUTED_VALUE"""),2)</f>
        <v>2</v>
      </c>
      <c r="J1823" s="5">
        <f ca="1">IFERROR(__xludf.DUMMYFUNCTION("""COMPUTED_VALUE"""),0)</f>
        <v>0</v>
      </c>
      <c r="K1823" s="5" t="str">
        <f ca="1">IFERROR(__xludf.DUMMYFUNCTION("""COMPUTED_VALUE"""),"https://www.columbine-angels.com/School_Violence_1992-1993.htm   http://articles.latimes.com/1993-03-19/news/mn-12874_1_school-hallway   https://www.apnews.com/fcddd8b998a732fbcde56819a69833c3")</f>
        <v>https://www.columbine-angels.com/School_Violence_1992-1993.htm   http://articles.latimes.com/1993-03-19/news/mn-12874_1_school-hallway   https://www.apnews.com/fcddd8b998a732fbcde56819a69833c3</v>
      </c>
      <c r="L1823" s="5"/>
      <c r="M1823" s="5"/>
      <c r="N1823" s="5">
        <f ca="1">IFERROR(__xludf.DUMMYFUNCTION("""COMPUTED_VALUE"""),2)</f>
        <v>2</v>
      </c>
      <c r="O1823" s="5" t="str">
        <f ca="1">IFERROR(__xludf.DUMMYFUNCTION("""COMPUTED_VALUE"""),"Spring")</f>
        <v>Spring</v>
      </c>
      <c r="P1823" s="5" t="str">
        <f ca="1">IFERROR(__xludf.DUMMYFUNCTION("""COMPUTED_VALUE"""),"Harlem")</f>
        <v>Harlem</v>
      </c>
      <c r="Q1823" s="5" t="str">
        <f ca="1">IFERROR(__xludf.DUMMYFUNCTION("""COMPUTED_VALUE"""),"GA")</f>
        <v>GA</v>
      </c>
      <c r="R1823" s="5" t="str">
        <f ca="1">IFERROR(__xludf.DUMMYFUNCTION("""COMPUTED_VALUE"""),"High")</f>
        <v>High</v>
      </c>
      <c r="S1823" s="5" t="str">
        <f ca="1">IFERROR(__xludf.DUMMYFUNCTION("""COMPUTED_VALUE"""),"Hallway")</f>
        <v>Hallway</v>
      </c>
      <c r="T1823" s="5" t="str">
        <f ca="1">IFERROR(__xludf.DUMMYFUNCTION("""COMPUTED_VALUE"""),"Inside School Building")</f>
        <v>Inside School Building</v>
      </c>
      <c r="U1823" s="5" t="str">
        <f ca="1">IFERROR(__xludf.DUMMYFUNCTION("""COMPUTED_VALUE"""),"Yes")</f>
        <v>Yes</v>
      </c>
      <c r="V1823" s="5" t="str">
        <f ca="1">IFERROR(__xludf.DUMMYFUNCTION("""COMPUTED_VALUE"""),"School Start")</f>
        <v>School Start</v>
      </c>
      <c r="W1823" s="10">
        <f ca="1">IFERROR(__xludf.DUMMYFUNCTION("""COMPUTED_VALUE"""),0.34375)</f>
        <v>0.34375</v>
      </c>
      <c r="X1823" s="5">
        <f ca="1">IFERROR(__xludf.DUMMYFUNCTION("""COMPUTED_VALUE"""),1)</f>
        <v>1</v>
      </c>
      <c r="Y1823" s="5" t="str">
        <f ca="1">IFERROR(__xludf.DUMMYFUNCTION("""COMPUTED_VALUE"""),"Shot two students who bullied him")</f>
        <v>Shot two students who bullied him</v>
      </c>
      <c r="Z1823" s="5" t="str">
        <f ca="1">IFERROR(__xludf.DUMMYFUNCTION("""COMPUTED_VALUE"""),"Conflicting reports - suspect pulled out .38 revolver from backpack and shot two subjects who had been bullying him - suspect was acquitted at trial but sentenced to 5 years probation for bringing gun to school. Other report stated suspect shot victims du"&amp;"e to them arguing with him about a girl he was dating.")</f>
        <v>Conflicting reports - suspect pulled out .38 revolver from backpack and shot two subjects who had been bullying him - suspect was acquitted at trial but sentenced to 5 years probation for bringing gun to school. Other report stated suspect shot victims due to them arguing with him about a girl he was dating.</v>
      </c>
      <c r="AA1823" s="5" t="str">
        <f ca="1">IFERROR(__xludf.DUMMYFUNCTION("""COMPUTED_VALUE"""),"Bullying")</f>
        <v>Bullying</v>
      </c>
      <c r="AB1823" s="5" t="str">
        <f ca="1">IFERROR(__xludf.DUMMYFUNCTION("""COMPUTED_VALUE"""),"Victims Targeted")</f>
        <v>Victims Targeted</v>
      </c>
      <c r="AC1823" s="5" t="str">
        <f ca="1">IFERROR(__xludf.DUMMYFUNCTION("""COMPUTED_VALUE"""),"No")</f>
        <v>No</v>
      </c>
      <c r="AD1823" s="5" t="str">
        <f ca="1">IFERROR(__xludf.DUMMYFUNCTION("""COMPUTED_VALUE"""),"No")</f>
        <v>No</v>
      </c>
      <c r="AE1823" s="5" t="str">
        <f ca="1">IFERROR(__xludf.DUMMYFUNCTION("""COMPUTED_VALUE"""),"No")</f>
        <v>No</v>
      </c>
      <c r="AF1823" s="5" t="str">
        <f ca="1">IFERROR(__xludf.DUMMYFUNCTION("""COMPUTED_VALUE"""),"No")</f>
        <v>No</v>
      </c>
      <c r="AG1823" s="5" t="str">
        <f ca="1">IFERROR(__xludf.DUMMYFUNCTION("""COMPUTED_VALUE"""),"Yes")</f>
        <v>Yes</v>
      </c>
      <c r="AH1823" s="5" t="str">
        <f ca="1">IFERROR(__xludf.DUMMYFUNCTION("""COMPUTED_VALUE"""),"No")</f>
        <v>No</v>
      </c>
      <c r="AI1823" s="5" t="str">
        <f ca="1">IFERROR(__xludf.DUMMYFUNCTION("""COMPUTED_VALUE"""),"No")</f>
        <v>No</v>
      </c>
      <c r="AJ1823" s="5"/>
    </row>
    <row r="1824" spans="1:36" ht="13">
      <c r="A1824" s="5" t="str">
        <f ca="1">IFERROR(__xludf.DUMMYFUNCTION("""COMPUTED_VALUE"""),"19930308VADOD")</f>
        <v>19930308VADOD</v>
      </c>
      <c r="B1824" s="5">
        <f ca="1">IFERROR(__xludf.DUMMYFUNCTION("""COMPUTED_VALUE"""),3)</f>
        <v>3</v>
      </c>
      <c r="C1824" s="5">
        <f ca="1">IFERROR(__xludf.DUMMYFUNCTION("""COMPUTED_VALUE"""),8)</f>
        <v>8</v>
      </c>
      <c r="D1824" s="5">
        <f ca="1">IFERROR(__xludf.DUMMYFUNCTION("""COMPUTED_VALUE"""),1993)</f>
        <v>1993</v>
      </c>
      <c r="E1824" s="8">
        <f ca="1">IFERROR(__xludf.DUMMYFUNCTION("""COMPUTED_VALUE"""),34036)</f>
        <v>34036</v>
      </c>
      <c r="F1824" s="5" t="str">
        <f ca="1">IFERROR(__xludf.DUMMYFUNCTION("""COMPUTED_VALUE"""),"Dozier Middle School")</f>
        <v>Dozier Middle School</v>
      </c>
      <c r="G1824" s="5">
        <f ca="1">IFERROR(__xludf.DUMMYFUNCTION("""COMPUTED_VALUE"""),1)</f>
        <v>1</v>
      </c>
      <c r="H1824" s="5">
        <f ca="1">IFERROR(__xludf.DUMMYFUNCTION("""COMPUTED_VALUE"""),0)</f>
        <v>0</v>
      </c>
      <c r="I1824" s="5">
        <f ca="1">IFERROR(__xludf.DUMMYFUNCTION("""COMPUTED_VALUE"""),1)</f>
        <v>1</v>
      </c>
      <c r="J1824" s="5">
        <f ca="1">IFERROR(__xludf.DUMMYFUNCTION("""COMPUTED_VALUE"""),0)</f>
        <v>0</v>
      </c>
      <c r="K1824" s="5" t="str">
        <f ca="1">IFERROR(__xludf.DUMMYFUNCTION("""COMPUTED_VALUE"""),"https://www.newspapers.com/image/237313969/?terms=donna%2Bharrison; https://www.newspapers.com/image/237314409/?terms=darryl%2Bquentin%2Bsmith; https://www.newspapers.com/image/236399254; https://www.newspapers.com/image/235999265/?terms=darryl%2Bquentin%"&amp;"2Bsmith")</f>
        <v>https://www.newspapers.com/image/237313969/?terms=donna%2Bharrison; https://www.newspapers.com/image/237314409/?terms=darryl%2Bquentin%2Bsmith; https://www.newspapers.com/image/236399254; https://www.newspapers.com/image/235999265/?terms=darryl%2Bquentin%2Bsmith</v>
      </c>
      <c r="L1824" s="5"/>
      <c r="M1824" s="5"/>
      <c r="N1824" s="5">
        <f ca="1">IFERROR(__xludf.DUMMYFUNCTION("""COMPUTED_VALUE"""),4)</f>
        <v>4</v>
      </c>
      <c r="O1824" s="5" t="str">
        <f ca="1">IFERROR(__xludf.DUMMYFUNCTION("""COMPUTED_VALUE"""),"Spring")</f>
        <v>Spring</v>
      </c>
      <c r="P1824" s="5" t="str">
        <f ca="1">IFERROR(__xludf.DUMMYFUNCTION("""COMPUTED_VALUE"""),"Denbigh")</f>
        <v>Denbigh</v>
      </c>
      <c r="Q1824" s="5" t="str">
        <f ca="1">IFERROR(__xludf.DUMMYFUNCTION("""COMPUTED_VALUE"""),"VA")</f>
        <v>VA</v>
      </c>
      <c r="R1824" s="5" t="str">
        <f ca="1">IFERROR(__xludf.DUMMYFUNCTION("""COMPUTED_VALUE"""),"Middle")</f>
        <v>Middle</v>
      </c>
      <c r="S1824" s="5" t="str">
        <f ca="1">IFERROR(__xludf.DUMMYFUNCTION("""COMPUTED_VALUE"""),"Parking Lot")</f>
        <v>Parking Lot</v>
      </c>
      <c r="T1824" s="5" t="str">
        <f ca="1">IFERROR(__xludf.DUMMYFUNCTION("""COMPUTED_VALUE"""),"Outside on School Property")</f>
        <v>Outside on School Property</v>
      </c>
      <c r="U1824" s="5" t="str">
        <f ca="1">IFERROR(__xludf.DUMMYFUNCTION("""COMPUTED_VALUE"""),"Yes")</f>
        <v>Yes</v>
      </c>
      <c r="V1824" s="5" t="str">
        <f ca="1">IFERROR(__xludf.DUMMYFUNCTION("""COMPUTED_VALUE"""),"School Start")</f>
        <v>School Start</v>
      </c>
      <c r="W1824" s="5"/>
      <c r="X1824" s="5"/>
      <c r="Y1824" s="5" t="str">
        <f ca="1">IFERROR(__xludf.DUMMYFUNCTION("""COMPUTED_VALUE"""),"Ex-school athlete shot teacher in school parking lot")</f>
        <v>Ex-school athlete shot teacher in school parking lot</v>
      </c>
      <c r="Z1824" s="5" t="str">
        <f ca="1">IFERROR(__xludf.DUMMYFUNCTION("""COMPUTED_VALUE"""),"Shooter confronted woman in 7-11 parking lot, shot her several times, then stole her vehicle. Shooter then drove to middle school where he confronted victim #2, shot her several time in the school parking lot. After shooting, shooter, picked up victim #2'"&amp;"s body and placed into the back seat of her vehicle. Shooter then drove away and was later arrested. Motive remained unknown - possible mental health issue.")</f>
        <v>Shooter confronted woman in 7-11 parking lot, shot her several times, then stole her vehicle. Shooter then drove to middle school where he confronted victim #2, shot her several time in the school parking lot. After shooting, shooter, picked up victim #2's body and placed into the back seat of her vehicle. Shooter then drove away and was later arrested. Motive remained unknown - possible mental health issue.</v>
      </c>
      <c r="AA1824" s="5" t="str">
        <f ca="1">IFERROR(__xludf.DUMMYFUNCTION("""COMPUTED_VALUE"""),"Psychosis")</f>
        <v>Psychosis</v>
      </c>
      <c r="AB1824" s="5" t="str">
        <f ca="1">IFERROR(__xludf.DUMMYFUNCTION("""COMPUTED_VALUE"""),"Victims Targeted")</f>
        <v>Victims Targeted</v>
      </c>
      <c r="AC1824" s="5" t="str">
        <f ca="1">IFERROR(__xludf.DUMMYFUNCTION("""COMPUTED_VALUE"""),"No")</f>
        <v>No</v>
      </c>
      <c r="AD1824" s="5" t="str">
        <f ca="1">IFERROR(__xludf.DUMMYFUNCTION("""COMPUTED_VALUE"""),"No")</f>
        <v>No</v>
      </c>
      <c r="AE1824" s="5" t="str">
        <f ca="1">IFERROR(__xludf.DUMMYFUNCTION("""COMPUTED_VALUE"""),"No")</f>
        <v>No</v>
      </c>
      <c r="AF1824" s="5" t="str">
        <f ca="1">IFERROR(__xludf.DUMMYFUNCTION("""COMPUTED_VALUE"""),"No")</f>
        <v>No</v>
      </c>
      <c r="AG1824" s="5" t="str">
        <f ca="1">IFERROR(__xludf.DUMMYFUNCTION("""COMPUTED_VALUE"""),"No")</f>
        <v>No</v>
      </c>
      <c r="AH1824" s="5" t="str">
        <f ca="1">IFERROR(__xludf.DUMMYFUNCTION("""COMPUTED_VALUE"""),"No")</f>
        <v>No</v>
      </c>
      <c r="AI1824" s="5" t="str">
        <f ca="1">IFERROR(__xludf.DUMMYFUNCTION("""COMPUTED_VALUE"""),"No")</f>
        <v>No</v>
      </c>
      <c r="AJ1824" s="5" t="str">
        <f ca="1">IFERROR(__xludf.DUMMYFUNCTION("""COMPUTED_VALUE"""),"No")</f>
        <v>No</v>
      </c>
    </row>
    <row r="1825" spans="1:36" ht="13">
      <c r="A1825" s="5" t="str">
        <f ca="1">IFERROR(__xludf.DUMMYFUNCTION("""COMPUTED_VALUE"""),"19930226MAGLG")</f>
        <v>19930226MAGLG</v>
      </c>
      <c r="B1825" s="5">
        <f ca="1">IFERROR(__xludf.DUMMYFUNCTION("""COMPUTED_VALUE"""),2)</f>
        <v>2</v>
      </c>
      <c r="C1825" s="5">
        <f ca="1">IFERROR(__xludf.DUMMYFUNCTION("""COMPUTED_VALUE"""),26)</f>
        <v>26</v>
      </c>
      <c r="D1825" s="5">
        <f ca="1">IFERROR(__xludf.DUMMYFUNCTION("""COMPUTED_VALUE"""),1993)</f>
        <v>1993</v>
      </c>
      <c r="E1825" s="8">
        <f ca="1">IFERROR(__xludf.DUMMYFUNCTION("""COMPUTED_VALUE"""),34026)</f>
        <v>34026</v>
      </c>
      <c r="F1825" s="5" t="str">
        <f ca="1">IFERROR(__xludf.DUMMYFUNCTION("""COMPUTED_VALUE"""),"Gloucester High School")</f>
        <v>Gloucester High School</v>
      </c>
      <c r="G1825" s="5">
        <f ca="1">IFERROR(__xludf.DUMMYFUNCTION("""COMPUTED_VALUE"""),0)</f>
        <v>0</v>
      </c>
      <c r="H1825" s="5">
        <f ca="1">IFERROR(__xludf.DUMMYFUNCTION("""COMPUTED_VALUE"""),0)</f>
        <v>0</v>
      </c>
      <c r="I1825" s="5">
        <f ca="1">IFERROR(__xludf.DUMMYFUNCTION("""COMPUTED_VALUE"""),0)</f>
        <v>0</v>
      </c>
      <c r="J1825" s="5">
        <f ca="1">IFERROR(__xludf.DUMMYFUNCTION("""COMPUTED_VALUE"""),1)</f>
        <v>1</v>
      </c>
      <c r="K1825" s="9" t="str">
        <f ca="1">IFERROR(__xludf.DUMMYFUNCTION("""COMPUTED_VALUE"""),"https://www.highbeam.com/doc/1P2-8216829.html")</f>
        <v>https://www.highbeam.com/doc/1P2-8216829.html</v>
      </c>
      <c r="L1825" s="5"/>
      <c r="M1825" s="5"/>
      <c r="N1825" s="5">
        <f ca="1">IFERROR(__xludf.DUMMYFUNCTION("""COMPUTED_VALUE"""),2)</f>
        <v>2</v>
      </c>
      <c r="O1825" s="5" t="str">
        <f ca="1">IFERROR(__xludf.DUMMYFUNCTION("""COMPUTED_VALUE"""),"Winter")</f>
        <v>Winter</v>
      </c>
      <c r="P1825" s="5" t="str">
        <f ca="1">IFERROR(__xludf.DUMMYFUNCTION("""COMPUTED_VALUE"""),"Gloucester")</f>
        <v>Gloucester</v>
      </c>
      <c r="Q1825" s="5" t="str">
        <f ca="1">IFERROR(__xludf.DUMMYFUNCTION("""COMPUTED_VALUE"""),"MA")</f>
        <v>MA</v>
      </c>
      <c r="R1825" s="5" t="str">
        <f ca="1">IFERROR(__xludf.DUMMYFUNCTION("""COMPUTED_VALUE"""),"High")</f>
        <v>High</v>
      </c>
      <c r="S1825" s="5" t="str">
        <f ca="1">IFERROR(__xludf.DUMMYFUNCTION("""COMPUTED_VALUE"""),"Cafeteria")</f>
        <v>Cafeteria</v>
      </c>
      <c r="T1825" s="5" t="str">
        <f ca="1">IFERROR(__xludf.DUMMYFUNCTION("""COMPUTED_VALUE"""),"Inside School Building")</f>
        <v>Inside School Building</v>
      </c>
      <c r="U1825" s="5" t="str">
        <f ca="1">IFERROR(__xludf.DUMMYFUNCTION("""COMPUTED_VALUE"""),"Yes")</f>
        <v>Yes</v>
      </c>
      <c r="V1825" s="5" t="str">
        <f ca="1">IFERROR(__xludf.DUMMYFUNCTION("""COMPUTED_VALUE"""),"Lunch")</f>
        <v>Lunch</v>
      </c>
      <c r="W1825" s="5"/>
      <c r="X1825" s="5">
        <f ca="1">IFERROR(__xludf.DUMMYFUNCTION("""COMPUTED_VALUE"""),1)</f>
        <v>1</v>
      </c>
      <c r="Y1825" s="5" t="str">
        <f ca="1">IFERROR(__xludf.DUMMYFUNCTION("""COMPUTED_VALUE"""),"Suicide in cafeteria")</f>
        <v>Suicide in cafeteria</v>
      </c>
      <c r="Z1825" s="5" t="str">
        <f ca="1">IFERROR(__xludf.DUMMYFUNCTION("""COMPUTED_VALUE"""),"15YOM student commit suicide in cafeteria.")</f>
        <v>15YOM student commit suicide in cafeteria.</v>
      </c>
      <c r="AA1825" s="5" t="str">
        <f ca="1">IFERROR(__xludf.DUMMYFUNCTION("""COMPUTED_VALUE"""),"Suicide/Attempted")</f>
        <v>Suicide/Attempted</v>
      </c>
      <c r="AB1825" s="5" t="str">
        <f ca="1">IFERROR(__xludf.DUMMYFUNCTION("""COMPUTED_VALUE"""),"Victims Targeted")</f>
        <v>Victims Targeted</v>
      </c>
      <c r="AC1825" s="5" t="str">
        <f ca="1">IFERROR(__xludf.DUMMYFUNCTION("""COMPUTED_VALUE"""),"No")</f>
        <v>No</v>
      </c>
      <c r="AD1825" s="5" t="str">
        <f ca="1">IFERROR(__xludf.DUMMYFUNCTION("""COMPUTED_VALUE"""),"No")</f>
        <v>No</v>
      </c>
      <c r="AE1825" s="5" t="str">
        <f ca="1">IFERROR(__xludf.DUMMYFUNCTION("""COMPUTED_VALUE"""),"No")</f>
        <v>No</v>
      </c>
      <c r="AF1825" s="5" t="str">
        <f ca="1">IFERROR(__xludf.DUMMYFUNCTION("""COMPUTED_VALUE"""),"No")</f>
        <v>No</v>
      </c>
      <c r="AG1825" s="5" t="str">
        <f ca="1">IFERROR(__xludf.DUMMYFUNCTION("""COMPUTED_VALUE"""),"No")</f>
        <v>No</v>
      </c>
      <c r="AH1825" s="5" t="str">
        <f ca="1">IFERROR(__xludf.DUMMYFUNCTION("""COMPUTED_VALUE"""),"No")</f>
        <v>No</v>
      </c>
      <c r="AI1825" s="5" t="str">
        <f ca="1">IFERROR(__xludf.DUMMYFUNCTION("""COMPUTED_VALUE"""),"No")</f>
        <v>No</v>
      </c>
      <c r="AJ1825" s="5"/>
    </row>
    <row r="1826" spans="1:36" ht="13">
      <c r="A1826" s="5" t="str">
        <f ca="1">IFERROR(__xludf.DUMMYFUNCTION("""COMPUTED_VALUE"""),"19930222CAREL")</f>
        <v>19930222CAREL</v>
      </c>
      <c r="B1826" s="5">
        <f ca="1">IFERROR(__xludf.DUMMYFUNCTION("""COMPUTED_VALUE"""),2)</f>
        <v>2</v>
      </c>
      <c r="C1826" s="5">
        <f ca="1">IFERROR(__xludf.DUMMYFUNCTION("""COMPUTED_VALUE"""),22)</f>
        <v>22</v>
      </c>
      <c r="D1826" s="5">
        <f ca="1">IFERROR(__xludf.DUMMYFUNCTION("""COMPUTED_VALUE"""),1993)</f>
        <v>1993</v>
      </c>
      <c r="E1826" s="8">
        <f ca="1">IFERROR(__xludf.DUMMYFUNCTION("""COMPUTED_VALUE"""),34022)</f>
        <v>34022</v>
      </c>
      <c r="F1826" s="5" t="str">
        <f ca="1">IFERROR(__xludf.DUMMYFUNCTION("""COMPUTED_VALUE"""),"Reseda High School")</f>
        <v>Reseda High School</v>
      </c>
      <c r="G1826" s="5">
        <f ca="1">IFERROR(__xludf.DUMMYFUNCTION("""COMPUTED_VALUE"""),1)</f>
        <v>1</v>
      </c>
      <c r="H1826" s="5">
        <f ca="1">IFERROR(__xludf.DUMMYFUNCTION("""COMPUTED_VALUE"""),0)</f>
        <v>0</v>
      </c>
      <c r="I1826" s="5">
        <f ca="1">IFERROR(__xludf.DUMMYFUNCTION("""COMPUTED_VALUE"""),1)</f>
        <v>1</v>
      </c>
      <c r="J1826" s="5">
        <f ca="1">IFERROR(__xludf.DUMMYFUNCTION("""COMPUTED_VALUE"""),0)</f>
        <v>0</v>
      </c>
      <c r="K1826" s="5" t="str">
        <f ca="1">IFERROR(__xludf.DUMMYFUNCTION("""COMPUTED_VALUE"""),"https://www.newspapers.com/image/712126935/?terms=shot%20at%20school&amp;match=1 http://articles.latimes.com/1993-02-24/local/me-483_1_reseda-high-school    https://www.newspapers.com/image/439677871/?terms=monadnock%2Bhigh%2Bschool%2Bshooting")</f>
        <v>https://www.newspapers.com/image/712126935/?terms=shot%20at%20school&amp;match=1 http://articles.latimes.com/1993-02-24/local/me-483_1_reseda-high-school    https://www.newspapers.com/image/439677871/?terms=monadnock%2Bhigh%2Bschool%2Bshooting</v>
      </c>
      <c r="L1826" s="5"/>
      <c r="M1826" s="5" t="str">
        <f ca="1">IFERROR(__xludf.DUMMYFUNCTION("""COMPUTED_VALUE"""),"Regional")</f>
        <v>Regional</v>
      </c>
      <c r="N1826" s="5">
        <f ca="1">IFERROR(__xludf.DUMMYFUNCTION("""COMPUTED_VALUE"""),4)</f>
        <v>4</v>
      </c>
      <c r="O1826" s="5" t="str">
        <f ca="1">IFERROR(__xludf.DUMMYFUNCTION("""COMPUTED_VALUE"""),"Winter")</f>
        <v>Winter</v>
      </c>
      <c r="P1826" s="5" t="str">
        <f ca="1">IFERROR(__xludf.DUMMYFUNCTION("""COMPUTED_VALUE"""),"Los Angeles")</f>
        <v>Los Angeles</v>
      </c>
      <c r="Q1826" s="5" t="str">
        <f ca="1">IFERROR(__xludf.DUMMYFUNCTION("""COMPUTED_VALUE"""),"CA")</f>
        <v>CA</v>
      </c>
      <c r="R1826" s="5" t="str">
        <f ca="1">IFERROR(__xludf.DUMMYFUNCTION("""COMPUTED_VALUE"""),"High")</f>
        <v>High</v>
      </c>
      <c r="S1826" s="5" t="str">
        <f ca="1">IFERROR(__xludf.DUMMYFUNCTION("""COMPUTED_VALUE"""),"Hallway")</f>
        <v>Hallway</v>
      </c>
      <c r="T1826" s="5" t="str">
        <f ca="1">IFERROR(__xludf.DUMMYFUNCTION("""COMPUTED_VALUE"""),"Inside School Building")</f>
        <v>Inside School Building</v>
      </c>
      <c r="U1826" s="5" t="str">
        <f ca="1">IFERROR(__xludf.DUMMYFUNCTION("""COMPUTED_VALUE"""),"Yes")</f>
        <v>Yes</v>
      </c>
      <c r="V1826" s="5" t="str">
        <f ca="1">IFERROR(__xludf.DUMMYFUNCTION("""COMPUTED_VALUE"""),"Morning Classes")</f>
        <v>Morning Classes</v>
      </c>
      <c r="W1826" s="10">
        <f ca="1">IFERROR(__xludf.DUMMYFUNCTION("""COMPUTED_VALUE"""),0.416666666666666)</f>
        <v>0.41666666666666602</v>
      </c>
      <c r="X1826" s="5">
        <f ca="1">IFERROR(__xludf.DUMMYFUNCTION("""COMPUTED_VALUE"""),1)</f>
        <v>1</v>
      </c>
      <c r="Y1826" s="5" t="str">
        <f ca="1">IFERROR(__xludf.DUMMYFUNCTION("""COMPUTED_VALUE"""),"Gang related shooting in school hallway")</f>
        <v>Gang related shooting in school hallway</v>
      </c>
      <c r="Z1826" s="5" t="str">
        <f ca="1">IFERROR(__xludf.DUMMYFUNCTION("""COMPUTED_VALUE"""),"Shooter had criminal history and gang affiliation. Shot and killed a student who was a rival gang member in a dispute in the school hallway. Shooter then robbed another student at gunpoint before leaving the scene.")</f>
        <v>Shooter had criminal history and gang affiliation. Shot and killed a student who was a rival gang member in a dispute in the school hallway. Shooter then robbed another student at gunpoint before leaving the scene.</v>
      </c>
      <c r="AA1826" s="5" t="str">
        <f ca="1">IFERROR(__xludf.DUMMYFUNCTION("""COMPUTED_VALUE"""),"Escalation of Dispute")</f>
        <v>Escalation of Dispute</v>
      </c>
      <c r="AB1826" s="5" t="str">
        <f ca="1">IFERROR(__xludf.DUMMYFUNCTION("""COMPUTED_VALUE"""),"Victims Targeted")</f>
        <v>Victims Targeted</v>
      </c>
      <c r="AC1826" s="5" t="str">
        <f ca="1">IFERROR(__xludf.DUMMYFUNCTION("""COMPUTED_VALUE"""),"No")</f>
        <v>No</v>
      </c>
      <c r="AD1826" s="5" t="str">
        <f ca="1">IFERROR(__xludf.DUMMYFUNCTION("""COMPUTED_VALUE"""),"No")</f>
        <v>No</v>
      </c>
      <c r="AE1826" s="5" t="str">
        <f ca="1">IFERROR(__xludf.DUMMYFUNCTION("""COMPUTED_VALUE"""),"No")</f>
        <v>No</v>
      </c>
      <c r="AF1826" s="5" t="str">
        <f ca="1">IFERROR(__xludf.DUMMYFUNCTION("""COMPUTED_VALUE"""),"No")</f>
        <v>No</v>
      </c>
      <c r="AG1826" s="5" t="str">
        <f ca="1">IFERROR(__xludf.DUMMYFUNCTION("""COMPUTED_VALUE"""),"No")</f>
        <v>No</v>
      </c>
      <c r="AH1826" s="5" t="str">
        <f ca="1">IFERROR(__xludf.DUMMYFUNCTION("""COMPUTED_VALUE"""),"No")</f>
        <v>No</v>
      </c>
      <c r="AI1826" s="5" t="str">
        <f ca="1">IFERROR(__xludf.DUMMYFUNCTION("""COMPUTED_VALUE"""),"Yes")</f>
        <v>Yes</v>
      </c>
      <c r="AJ1826" s="5" t="str">
        <f ca="1">IFERROR(__xludf.DUMMYFUNCTION("""COMPUTED_VALUE"""),"No")</f>
        <v>No</v>
      </c>
    </row>
    <row r="1827" spans="1:36" ht="13">
      <c r="A1827" s="5" t="str">
        <f ca="1">IFERROR(__xludf.DUMMYFUNCTION("""COMPUTED_VALUE"""),"19930208DCWAW")</f>
        <v>19930208DCWAW</v>
      </c>
      <c r="B1827" s="5">
        <f ca="1">IFERROR(__xludf.DUMMYFUNCTION("""COMPUTED_VALUE"""),2)</f>
        <v>2</v>
      </c>
      <c r="C1827" s="5">
        <f ca="1">IFERROR(__xludf.DUMMYFUNCTION("""COMPUTED_VALUE"""),8)</f>
        <v>8</v>
      </c>
      <c r="D1827" s="5">
        <f ca="1">IFERROR(__xludf.DUMMYFUNCTION("""COMPUTED_VALUE"""),1993)</f>
        <v>1993</v>
      </c>
      <c r="E1827" s="8">
        <f ca="1">IFERROR(__xludf.DUMMYFUNCTION("""COMPUTED_VALUE"""),34008)</f>
        <v>34008</v>
      </c>
      <c r="F1827" s="5" t="str">
        <f ca="1">IFERROR(__xludf.DUMMYFUNCTION("""COMPUTED_VALUE"""),"Washington-Dix Street Academy (High School)")</f>
        <v>Washington-Dix Street Academy (High School)</v>
      </c>
      <c r="G1827" s="5">
        <f ca="1">IFERROR(__xludf.DUMMYFUNCTION("""COMPUTED_VALUE"""),1)</f>
        <v>1</v>
      </c>
      <c r="H1827" s="5">
        <f ca="1">IFERROR(__xludf.DUMMYFUNCTION("""COMPUTED_VALUE"""),0)</f>
        <v>0</v>
      </c>
      <c r="I1827" s="5">
        <f ca="1">IFERROR(__xludf.DUMMYFUNCTION("""COMPUTED_VALUE"""),1)</f>
        <v>1</v>
      </c>
      <c r="J1827" s="5">
        <f ca="1">IFERROR(__xludf.DUMMYFUNCTION("""COMPUTED_VALUE"""),0)</f>
        <v>0</v>
      </c>
      <c r="K1827" s="5" t="str">
        <f ca="1">IFERROR(__xludf.DUMMYFUNCTION("""COMPUTED_VALUE"""),"Washington Post - D.C. Student is Shot Dead at School; https://www.columbine-angels.com/School_Violence_1992-1993.htm")</f>
        <v>Washington Post - D.C. Student is Shot Dead at School; https://www.columbine-angels.com/School_Violence_1992-1993.htm</v>
      </c>
      <c r="L1827" s="5"/>
      <c r="M1827" s="5"/>
      <c r="N1827" s="5">
        <f ca="1">IFERROR(__xludf.DUMMYFUNCTION("""COMPUTED_VALUE"""),1)</f>
        <v>1</v>
      </c>
      <c r="O1827" s="5" t="str">
        <f ca="1">IFERROR(__xludf.DUMMYFUNCTION("""COMPUTED_VALUE"""),"Winter")</f>
        <v>Winter</v>
      </c>
      <c r="P1827" s="5" t="str">
        <f ca="1">IFERROR(__xludf.DUMMYFUNCTION("""COMPUTED_VALUE"""),"Washington")</f>
        <v>Washington</v>
      </c>
      <c r="Q1827" s="5" t="str">
        <f ca="1">IFERROR(__xludf.DUMMYFUNCTION("""COMPUTED_VALUE"""),"DC")</f>
        <v>DC</v>
      </c>
      <c r="R1827" s="5" t="str">
        <f ca="1">IFERROR(__xludf.DUMMYFUNCTION("""COMPUTED_VALUE"""),"High")</f>
        <v>High</v>
      </c>
      <c r="S1827" s="5" t="str">
        <f ca="1">IFERROR(__xludf.DUMMYFUNCTION("""COMPUTED_VALUE"""),"Hallway")</f>
        <v>Hallway</v>
      </c>
      <c r="T1827" s="5" t="str">
        <f ca="1">IFERROR(__xludf.DUMMYFUNCTION("""COMPUTED_VALUE"""),"Inside School Building")</f>
        <v>Inside School Building</v>
      </c>
      <c r="U1827" s="5" t="str">
        <f ca="1">IFERROR(__xludf.DUMMYFUNCTION("""COMPUTED_VALUE"""),"Yes")</f>
        <v>Yes</v>
      </c>
      <c r="V1827" s="5" t="str">
        <f ca="1">IFERROR(__xludf.DUMMYFUNCTION("""COMPUTED_VALUE"""),"Morning Classes")</f>
        <v>Morning Classes</v>
      </c>
      <c r="W1827" s="10">
        <f ca="1">IFERROR(__xludf.DUMMYFUNCTION("""COMPUTED_VALUE"""),0.458333333333333)</f>
        <v>0.45833333333333298</v>
      </c>
      <c r="X1827" s="5">
        <f ca="1">IFERROR(__xludf.DUMMYFUNCTION("""COMPUTED_VALUE"""),1)</f>
        <v>1</v>
      </c>
      <c r="Y1827" s="5" t="str">
        <f ca="1">IFERROR(__xludf.DUMMYFUNCTION("""COMPUTED_VALUE"""),"Shot during robbery")</f>
        <v>Shot during robbery</v>
      </c>
      <c r="Z1827" s="5" t="str">
        <f ca="1">IFERROR(__xludf.DUMMYFUNCTION("""COMPUTED_VALUE"""),"Janitor heard gunshot, looked around but didn't see anything. Later 21YOM student was found dead in hallway by janitor. Victims pockets were turned inside out. No suspect identified.")</f>
        <v>Janitor heard gunshot, looked around but didn't see anything. Later 21YOM student was found dead in hallway by janitor. Victims pockets were turned inside out. No suspect identified.</v>
      </c>
      <c r="AA1827" s="5" t="str">
        <f ca="1">IFERROR(__xludf.DUMMYFUNCTION("""COMPUTED_VALUE"""),"Illegal Activity")</f>
        <v>Illegal Activity</v>
      </c>
      <c r="AB1827" s="5" t="str">
        <f ca="1">IFERROR(__xludf.DUMMYFUNCTION("""COMPUTED_VALUE"""),"Victims Targeted")</f>
        <v>Victims Targeted</v>
      </c>
      <c r="AC1827" s="5" t="str">
        <f ca="1">IFERROR(__xludf.DUMMYFUNCTION("""COMPUTED_VALUE"""),"No")</f>
        <v>No</v>
      </c>
      <c r="AD1827" s="5" t="str">
        <f ca="1">IFERROR(__xludf.DUMMYFUNCTION("""COMPUTED_VALUE"""),"No")</f>
        <v>No</v>
      </c>
      <c r="AE1827" s="5" t="str">
        <f ca="1">IFERROR(__xludf.DUMMYFUNCTION("""COMPUTED_VALUE"""),"No")</f>
        <v>No</v>
      </c>
      <c r="AF1827" s="5" t="str">
        <f ca="1">IFERROR(__xludf.DUMMYFUNCTION("""COMPUTED_VALUE"""),"No")</f>
        <v>No</v>
      </c>
      <c r="AG1827" s="5" t="str">
        <f ca="1">IFERROR(__xludf.DUMMYFUNCTION("""COMPUTED_VALUE"""),"No")</f>
        <v>No</v>
      </c>
      <c r="AH1827" s="5" t="str">
        <f ca="1">IFERROR(__xludf.DUMMYFUNCTION("""COMPUTED_VALUE"""),"No")</f>
        <v>No</v>
      </c>
      <c r="AI1827" s="5" t="str">
        <f ca="1">IFERROR(__xludf.DUMMYFUNCTION("""COMPUTED_VALUE"""),"No")</f>
        <v>No</v>
      </c>
      <c r="AJ1827" s="5"/>
    </row>
    <row r="1828" spans="1:36" ht="13">
      <c r="A1828" s="5" t="str">
        <f ca="1">IFERROR(__xludf.DUMMYFUNCTION("""COMPUTED_VALUE"""),"19930208MNMIM")</f>
        <v>19930208MNMIM</v>
      </c>
      <c r="B1828" s="5">
        <f ca="1">IFERROR(__xludf.DUMMYFUNCTION("""COMPUTED_VALUE"""),2)</f>
        <v>2</v>
      </c>
      <c r="C1828" s="5">
        <f ca="1">IFERROR(__xludf.DUMMYFUNCTION("""COMPUTED_VALUE"""),8)</f>
        <v>8</v>
      </c>
      <c r="D1828" s="5">
        <f ca="1">IFERROR(__xludf.DUMMYFUNCTION("""COMPUTED_VALUE"""),1993)</f>
        <v>1993</v>
      </c>
      <c r="E1828" s="8">
        <f ca="1">IFERROR(__xludf.DUMMYFUNCTION("""COMPUTED_VALUE"""),34008)</f>
        <v>34008</v>
      </c>
      <c r="F1828" s="5" t="str">
        <f ca="1">IFERROR(__xludf.DUMMYFUNCTION("""COMPUTED_VALUE"""),"Middle River Middle School")</f>
        <v>Middle River Middle School</v>
      </c>
      <c r="G1828" s="5">
        <f ca="1">IFERROR(__xludf.DUMMYFUNCTION("""COMPUTED_VALUE"""),0)</f>
        <v>0</v>
      </c>
      <c r="H1828" s="5">
        <f ca="1">IFERROR(__xludf.DUMMYFUNCTION("""COMPUTED_VALUE"""),0)</f>
        <v>0</v>
      </c>
      <c r="I1828" s="5">
        <f ca="1">IFERROR(__xludf.DUMMYFUNCTION("""COMPUTED_VALUE"""),0)</f>
        <v>0</v>
      </c>
      <c r="J1828" s="5">
        <f ca="1">IFERROR(__xludf.DUMMYFUNCTION("""COMPUTED_VALUE"""),1)</f>
        <v>1</v>
      </c>
      <c r="K1828" s="9" t="str">
        <f ca="1">IFERROR(__xludf.DUMMYFUNCTION("""COMPUTED_VALUE"""),"https://mnmarshallus.genweb.io/people/obituaries/melby-eric-john-1979-1993/")</f>
        <v>https://mnmarshallus.genweb.io/people/obituaries/melby-eric-john-1979-1993/</v>
      </c>
      <c r="L1828" s="5"/>
      <c r="M1828" s="5"/>
      <c r="N1828" s="5">
        <f ca="1">IFERROR(__xludf.DUMMYFUNCTION("""COMPUTED_VALUE"""),2)</f>
        <v>2</v>
      </c>
      <c r="O1828" s="5" t="str">
        <f ca="1">IFERROR(__xludf.DUMMYFUNCTION("""COMPUTED_VALUE"""),"Winter")</f>
        <v>Winter</v>
      </c>
      <c r="P1828" s="5" t="str">
        <f ca="1">IFERROR(__xludf.DUMMYFUNCTION("""COMPUTED_VALUE"""),"Middle River")</f>
        <v>Middle River</v>
      </c>
      <c r="Q1828" s="5" t="str">
        <f ca="1">IFERROR(__xludf.DUMMYFUNCTION("""COMPUTED_VALUE"""),"MN")</f>
        <v>MN</v>
      </c>
      <c r="R1828" s="5" t="str">
        <f ca="1">IFERROR(__xludf.DUMMYFUNCTION("""COMPUTED_VALUE"""),"Middle")</f>
        <v>Middle</v>
      </c>
      <c r="S1828" s="5" t="str">
        <f ca="1">IFERROR(__xludf.DUMMYFUNCTION("""COMPUTED_VALUE"""),"Classroom")</f>
        <v>Classroom</v>
      </c>
      <c r="T1828" s="5" t="str">
        <f ca="1">IFERROR(__xludf.DUMMYFUNCTION("""COMPUTED_VALUE"""),"Inside School Building")</f>
        <v>Inside School Building</v>
      </c>
      <c r="U1828" s="5" t="str">
        <f ca="1">IFERROR(__xludf.DUMMYFUNCTION("""COMPUTED_VALUE"""),"Yes")</f>
        <v>Yes</v>
      </c>
      <c r="V1828" s="5"/>
      <c r="W1828" s="5"/>
      <c r="X1828" s="5">
        <f ca="1">IFERROR(__xludf.DUMMYFUNCTION("""COMPUTED_VALUE"""),1)</f>
        <v>1</v>
      </c>
      <c r="Y1828" s="5" t="str">
        <f ca="1">IFERROR(__xludf.DUMMYFUNCTION("""COMPUTED_VALUE"""),"Shot self in classroom")</f>
        <v>Shot self in classroom</v>
      </c>
      <c r="Z1828" s="5" t="str">
        <f ca="1">IFERROR(__xludf.DUMMYFUNCTION("""COMPUTED_VALUE"""),"14YOM shot self in classroom.")</f>
        <v>14YOM shot self in classroom.</v>
      </c>
      <c r="AA1828" s="5" t="str">
        <f ca="1">IFERROR(__xludf.DUMMYFUNCTION("""COMPUTED_VALUE"""),"Suicide/Attempted")</f>
        <v>Suicide/Attempted</v>
      </c>
      <c r="AB1828" s="5" t="str">
        <f ca="1">IFERROR(__xludf.DUMMYFUNCTION("""COMPUTED_VALUE"""),"Victims Targeted")</f>
        <v>Victims Targeted</v>
      </c>
      <c r="AC1828" s="5" t="str">
        <f ca="1">IFERROR(__xludf.DUMMYFUNCTION("""COMPUTED_VALUE"""),"No")</f>
        <v>No</v>
      </c>
      <c r="AD1828" s="5" t="str">
        <f ca="1">IFERROR(__xludf.DUMMYFUNCTION("""COMPUTED_VALUE"""),"No")</f>
        <v>No</v>
      </c>
      <c r="AE1828" s="5" t="str">
        <f ca="1">IFERROR(__xludf.DUMMYFUNCTION("""COMPUTED_VALUE"""),"No")</f>
        <v>No</v>
      </c>
      <c r="AF1828" s="5" t="str">
        <f ca="1">IFERROR(__xludf.DUMMYFUNCTION("""COMPUTED_VALUE"""),"No")</f>
        <v>No</v>
      </c>
      <c r="AG1828" s="5"/>
      <c r="AH1828" s="5" t="str">
        <f ca="1">IFERROR(__xludf.DUMMYFUNCTION("""COMPUTED_VALUE"""),"No")</f>
        <v>No</v>
      </c>
      <c r="AI1828" s="5" t="str">
        <f ca="1">IFERROR(__xludf.DUMMYFUNCTION("""COMPUTED_VALUE"""),"No")</f>
        <v>No</v>
      </c>
      <c r="AJ1828" s="5"/>
    </row>
    <row r="1829" spans="1:36" ht="13">
      <c r="A1829" s="5" t="str">
        <f ca="1">IFERROR(__xludf.DUMMYFUNCTION("""COMPUTED_VALUE"""),"19930204GACLA")</f>
        <v>19930204GACLA</v>
      </c>
      <c r="B1829" s="5">
        <f ca="1">IFERROR(__xludf.DUMMYFUNCTION("""COMPUTED_VALUE"""),2)</f>
        <v>2</v>
      </c>
      <c r="C1829" s="5">
        <f ca="1">IFERROR(__xludf.DUMMYFUNCTION("""COMPUTED_VALUE"""),4)</f>
        <v>4</v>
      </c>
      <c r="D1829" s="5">
        <f ca="1">IFERROR(__xludf.DUMMYFUNCTION("""COMPUTED_VALUE"""),1993)</f>
        <v>1993</v>
      </c>
      <c r="E1829" s="8">
        <f ca="1">IFERROR(__xludf.DUMMYFUNCTION("""COMPUTED_VALUE"""),34004)</f>
        <v>34004</v>
      </c>
      <c r="F1829" s="5" t="str">
        <f ca="1">IFERROR(__xludf.DUMMYFUNCTION("""COMPUTED_VALUE"""),"Clayton High School")</f>
        <v>Clayton High School</v>
      </c>
      <c r="G1829" s="5">
        <f ca="1">IFERROR(__xludf.DUMMYFUNCTION("""COMPUTED_VALUE"""),1)</f>
        <v>1</v>
      </c>
      <c r="H1829" s="5">
        <f ca="1">IFERROR(__xludf.DUMMYFUNCTION("""COMPUTED_VALUE"""),0)</f>
        <v>0</v>
      </c>
      <c r="I1829" s="5">
        <f ca="1">IFERROR(__xludf.DUMMYFUNCTION("""COMPUTED_VALUE"""),1)</f>
        <v>1</v>
      </c>
      <c r="J1829" s="5">
        <f ca="1">IFERROR(__xludf.DUMMYFUNCTION("""COMPUTED_VALUE"""),0)</f>
        <v>0</v>
      </c>
      <c r="K1829" s="9" t="str">
        <f ca="1">IFERROR(__xludf.DUMMYFUNCTION("""COMPUTED_VALUE"""),"https://www.newspapers.com/image/402779742/?terms=North%2BClayton%2BHigh%2BSchool%2Bshooting")</f>
        <v>https://www.newspapers.com/image/402779742/?terms=North%2BClayton%2BHigh%2BSchool%2Bshooting</v>
      </c>
      <c r="L1829" s="5"/>
      <c r="M1829" s="5"/>
      <c r="N1829" s="5">
        <f ca="1">IFERROR(__xludf.DUMMYFUNCTION("""COMPUTED_VALUE"""),2)</f>
        <v>2</v>
      </c>
      <c r="O1829" s="5" t="str">
        <f ca="1">IFERROR(__xludf.DUMMYFUNCTION("""COMPUTED_VALUE"""),"Winter")</f>
        <v>Winter</v>
      </c>
      <c r="P1829" s="5" t="str">
        <f ca="1">IFERROR(__xludf.DUMMYFUNCTION("""COMPUTED_VALUE"""),"Atlanta")</f>
        <v>Atlanta</v>
      </c>
      <c r="Q1829" s="5" t="str">
        <f ca="1">IFERROR(__xludf.DUMMYFUNCTION("""COMPUTED_VALUE"""),"GA")</f>
        <v>GA</v>
      </c>
      <c r="R1829" s="5" t="str">
        <f ca="1">IFERROR(__xludf.DUMMYFUNCTION("""COMPUTED_VALUE"""),"High")</f>
        <v>High</v>
      </c>
      <c r="S1829" s="5" t="str">
        <f ca="1">IFERROR(__xludf.DUMMYFUNCTION("""COMPUTED_VALUE"""),"Parking Lot")</f>
        <v>Parking Lot</v>
      </c>
      <c r="T1829" s="5" t="str">
        <f ca="1">IFERROR(__xludf.DUMMYFUNCTION("""COMPUTED_VALUE"""),"Outside on School Property")</f>
        <v>Outside on School Property</v>
      </c>
      <c r="U1829" s="5" t="str">
        <f ca="1">IFERROR(__xludf.DUMMYFUNCTION("""COMPUTED_VALUE"""),"No")</f>
        <v>No</v>
      </c>
      <c r="V1829" s="5" t="str">
        <f ca="1">IFERROR(__xludf.DUMMYFUNCTION("""COMPUTED_VALUE"""),"After School")</f>
        <v>After School</v>
      </c>
      <c r="W1829" s="10">
        <f ca="1">IFERROR(__xludf.DUMMYFUNCTION("""COMPUTED_VALUE"""),0.645833333333333)</f>
        <v>0.64583333333333304</v>
      </c>
      <c r="X1829" s="5">
        <f ca="1">IFERROR(__xludf.DUMMYFUNCTION("""COMPUTED_VALUE"""),1)</f>
        <v>1</v>
      </c>
      <c r="Y1829" s="5" t="str">
        <f ca="1">IFERROR(__xludf.DUMMYFUNCTION("""COMPUTED_VALUE"""),"Bad blood between two non-students fighting in parking lot after school")</f>
        <v>Bad blood between two non-students fighting in parking lot after school</v>
      </c>
      <c r="Z1829" s="5" t="str">
        <f ca="1">IFERROR(__xludf.DUMMYFUNCTION("""COMPUTED_VALUE"""),"Bad blood escalated into shooting during a fight between 2 non students in the parking lot after school. 20-30 students watched the fight. Shooter surrender to school officials.")</f>
        <v>Bad blood escalated into shooting during a fight between 2 non students in the parking lot after school. 20-30 students watched the fight. Shooter surrender to school officials.</v>
      </c>
      <c r="AA1829" s="5" t="str">
        <f ca="1">IFERROR(__xludf.DUMMYFUNCTION("""COMPUTED_VALUE"""),"Escalation of Dispute")</f>
        <v>Escalation of Dispute</v>
      </c>
      <c r="AB1829" s="5" t="str">
        <f ca="1">IFERROR(__xludf.DUMMYFUNCTION("""COMPUTED_VALUE"""),"Victims Targeted")</f>
        <v>Victims Targeted</v>
      </c>
      <c r="AC1829" s="5"/>
      <c r="AD1829" s="5" t="str">
        <f ca="1">IFERROR(__xludf.DUMMYFUNCTION("""COMPUTED_VALUE"""),"No")</f>
        <v>No</v>
      </c>
      <c r="AE1829" s="5" t="str">
        <f ca="1">IFERROR(__xludf.DUMMYFUNCTION("""COMPUTED_VALUE"""),"No")</f>
        <v>No</v>
      </c>
      <c r="AF1829" s="5" t="str">
        <f ca="1">IFERROR(__xludf.DUMMYFUNCTION("""COMPUTED_VALUE"""),"No")</f>
        <v>No</v>
      </c>
      <c r="AG1829" s="5" t="str">
        <f ca="1">IFERROR(__xludf.DUMMYFUNCTION("""COMPUTED_VALUE"""),"No")</f>
        <v>No</v>
      </c>
      <c r="AH1829" s="5" t="str">
        <f ca="1">IFERROR(__xludf.DUMMYFUNCTION("""COMPUTED_VALUE"""),"No")</f>
        <v>No</v>
      </c>
      <c r="AI1829" s="5" t="str">
        <f ca="1">IFERROR(__xludf.DUMMYFUNCTION("""COMPUTED_VALUE"""),"No")</f>
        <v>No</v>
      </c>
      <c r="AJ1829" s="5"/>
    </row>
    <row r="1830" spans="1:36" ht="13">
      <c r="A1830" s="5" t="str">
        <f ca="1">IFERROR(__xludf.DUMMYFUNCTION("""COMPUTED_VALUE"""),"19930203SCGAC")</f>
        <v>19930203SCGAC</v>
      </c>
      <c r="B1830" s="5">
        <f ca="1">IFERROR(__xludf.DUMMYFUNCTION("""COMPUTED_VALUE"""),2)</f>
        <v>2</v>
      </c>
      <c r="C1830" s="5">
        <f ca="1">IFERROR(__xludf.DUMMYFUNCTION("""COMPUTED_VALUE"""),3)</f>
        <v>3</v>
      </c>
      <c r="D1830" s="5">
        <f ca="1">IFERROR(__xludf.DUMMYFUNCTION("""COMPUTED_VALUE"""),1993)</f>
        <v>1993</v>
      </c>
      <c r="E1830" s="8">
        <f ca="1">IFERROR(__xludf.DUMMYFUNCTION("""COMPUTED_VALUE"""),34003)</f>
        <v>34003</v>
      </c>
      <c r="F1830" s="5" t="str">
        <f ca="1">IFERROR(__xludf.DUMMYFUNCTION("""COMPUTED_VALUE"""),"Garrett High School")</f>
        <v>Garrett High School</v>
      </c>
      <c r="G1830" s="5">
        <f ca="1">IFERROR(__xludf.DUMMYFUNCTION("""COMPUTED_VALUE"""),0)</f>
        <v>0</v>
      </c>
      <c r="H1830" s="5">
        <f ca="1">IFERROR(__xludf.DUMMYFUNCTION("""COMPUTED_VALUE"""),1)</f>
        <v>1</v>
      </c>
      <c r="I1830" s="5">
        <f ca="1">IFERROR(__xludf.DUMMYFUNCTION("""COMPUTED_VALUE"""),1)</f>
        <v>1</v>
      </c>
      <c r="J1830" s="5">
        <f ca="1">IFERROR(__xludf.DUMMYFUNCTION("""COMPUTED_VALUE"""),0)</f>
        <v>0</v>
      </c>
      <c r="K1830" s="9" t="str">
        <f ca="1">IFERROR(__xludf.DUMMYFUNCTION("""COMPUTED_VALUE"""),"https://www.newspapers.com/image/752371201/?terms=shot%20at%20school&amp;match=1")</f>
        <v>https://www.newspapers.com/image/752371201/?terms=shot%20at%20school&amp;match=1</v>
      </c>
      <c r="L1830" s="5">
        <f ca="1">IFERROR(__xludf.DUMMYFUNCTION("""COMPUTED_VALUE"""),1)</f>
        <v>1</v>
      </c>
      <c r="M1830" s="5" t="str">
        <f ca="1">IFERROR(__xludf.DUMMYFUNCTION("""COMPUTED_VALUE"""),"Local")</f>
        <v>Local</v>
      </c>
      <c r="N1830" s="5">
        <f ca="1">IFERROR(__xludf.DUMMYFUNCTION("""COMPUTED_VALUE"""),3)</f>
        <v>3</v>
      </c>
      <c r="O1830" s="5" t="str">
        <f ca="1">IFERROR(__xludf.DUMMYFUNCTION("""COMPUTED_VALUE"""),"Winter")</f>
        <v>Winter</v>
      </c>
      <c r="P1830" s="5" t="str">
        <f ca="1">IFERROR(__xludf.DUMMYFUNCTION("""COMPUTED_VALUE"""),"Charleston")</f>
        <v>Charleston</v>
      </c>
      <c r="Q1830" s="5" t="str">
        <f ca="1">IFERROR(__xludf.DUMMYFUNCTION("""COMPUTED_VALUE"""),"SC")</f>
        <v>SC</v>
      </c>
      <c r="R1830" s="5" t="str">
        <f ca="1">IFERROR(__xludf.DUMMYFUNCTION("""COMPUTED_VALUE"""),"High")</f>
        <v>High</v>
      </c>
      <c r="S1830" s="5" t="str">
        <f ca="1">IFERROR(__xludf.DUMMYFUNCTION("""COMPUTED_VALUE"""),"Front of School")</f>
        <v>Front of School</v>
      </c>
      <c r="T1830" s="5" t="str">
        <f ca="1">IFERROR(__xludf.DUMMYFUNCTION("""COMPUTED_VALUE"""),"Outside on School Property")</f>
        <v>Outside on School Property</v>
      </c>
      <c r="U1830" s="5" t="str">
        <f ca="1">IFERROR(__xludf.DUMMYFUNCTION("""COMPUTED_VALUE"""),"Yes")</f>
        <v>Yes</v>
      </c>
      <c r="V1830" s="5" t="str">
        <f ca="1">IFERROR(__xludf.DUMMYFUNCTION("""COMPUTED_VALUE"""),"Evening")</f>
        <v>Evening</v>
      </c>
      <c r="W1830" s="10">
        <f ca="1">IFERROR(__xludf.DUMMYFUNCTION("""COMPUTED_VALUE"""),0.833333333333333)</f>
        <v>0.83333333333333304</v>
      </c>
      <c r="X1830" s="5">
        <f ca="1">IFERROR(__xludf.DUMMYFUNCTION("""COMPUTED_VALUE"""),1)</f>
        <v>1</v>
      </c>
      <c r="Y1830" s="5" t="str">
        <f ca="1">IFERROR(__xludf.DUMMYFUNCTION("""COMPUTED_VALUE"""),"Student shot outside during break in night classes")</f>
        <v>Student shot outside during break in night classes</v>
      </c>
      <c r="Z1830" s="5" t="str">
        <f ca="1">IFERROR(__xludf.DUMMYFUNCTION("""COMPUTED_VALUE"""),"A 20-year-old student was shot and critically injured while standing in front of the school during night classes. He was shot in the arm, chest, and stomach with a 9mm handgun. Shooter fled.")</f>
        <v>A 20-year-old student was shot and critically injured while standing in front of the school during night classes. He was shot in the arm, chest, and stomach with a 9mm handgun. Shooter fled.</v>
      </c>
      <c r="AA1830" s="5"/>
      <c r="AB1830" s="5" t="str">
        <f ca="1">IFERROR(__xludf.DUMMYFUNCTION("""COMPUTED_VALUE"""),"Victims Targeted")</f>
        <v>Victims Targeted</v>
      </c>
      <c r="AC1830" s="5" t="str">
        <f ca="1">IFERROR(__xludf.DUMMYFUNCTION("""COMPUTED_VALUE"""),"No")</f>
        <v>No</v>
      </c>
      <c r="AD1830" s="5" t="str">
        <f ca="1">IFERROR(__xludf.DUMMYFUNCTION("""COMPUTED_VALUE"""),"No")</f>
        <v>No</v>
      </c>
      <c r="AE1830" s="5" t="str">
        <f ca="1">IFERROR(__xludf.DUMMYFUNCTION("""COMPUTED_VALUE"""),"No")</f>
        <v>No</v>
      </c>
      <c r="AF1830" s="5" t="str">
        <f ca="1">IFERROR(__xludf.DUMMYFUNCTION("""COMPUTED_VALUE"""),"No")</f>
        <v>No</v>
      </c>
      <c r="AG1830" s="5" t="str">
        <f ca="1">IFERROR(__xludf.DUMMYFUNCTION("""COMPUTED_VALUE"""),"No")</f>
        <v>No</v>
      </c>
      <c r="AH1830" s="5" t="str">
        <f ca="1">IFERROR(__xludf.DUMMYFUNCTION("""COMPUTED_VALUE"""),"No")</f>
        <v>No</v>
      </c>
      <c r="AI1830" s="5"/>
      <c r="AJ1830" s="5" t="str">
        <f ca="1">IFERROR(__xludf.DUMMYFUNCTION("""COMPUTED_VALUE"""),"No")</f>
        <v>No</v>
      </c>
    </row>
    <row r="1831" spans="1:36" ht="13">
      <c r="A1831" s="5" t="str">
        <f ca="1">IFERROR(__xludf.DUMMYFUNCTION("""COMPUTED_VALUE"""),"19930203SCLEL")</f>
        <v>19930203SCLEL</v>
      </c>
      <c r="B1831" s="5">
        <f ca="1">IFERROR(__xludf.DUMMYFUNCTION("""COMPUTED_VALUE"""),2)</f>
        <v>2</v>
      </c>
      <c r="C1831" s="5">
        <f ca="1">IFERROR(__xludf.DUMMYFUNCTION("""COMPUTED_VALUE"""),3)</f>
        <v>3</v>
      </c>
      <c r="D1831" s="5">
        <f ca="1">IFERROR(__xludf.DUMMYFUNCTION("""COMPUTED_VALUE"""),1993)</f>
        <v>1993</v>
      </c>
      <c r="E1831" s="8">
        <f ca="1">IFERROR(__xludf.DUMMYFUNCTION("""COMPUTED_VALUE"""),34003)</f>
        <v>34003</v>
      </c>
      <c r="F1831" s="5" t="str">
        <f ca="1">IFERROR(__xludf.DUMMYFUNCTION("""COMPUTED_VALUE"""),"Lexington High School")</f>
        <v>Lexington High School</v>
      </c>
      <c r="G1831" s="5">
        <f ca="1">IFERROR(__xludf.DUMMYFUNCTION("""COMPUTED_VALUE"""),0)</f>
        <v>0</v>
      </c>
      <c r="H1831" s="5">
        <f ca="1">IFERROR(__xludf.DUMMYFUNCTION("""COMPUTED_VALUE"""),1)</f>
        <v>1</v>
      </c>
      <c r="I1831" s="5">
        <f ca="1">IFERROR(__xludf.DUMMYFUNCTION("""COMPUTED_VALUE"""),1)</f>
        <v>1</v>
      </c>
      <c r="J1831" s="5">
        <f ca="1">IFERROR(__xludf.DUMMYFUNCTION("""COMPUTED_VALUE"""),0)</f>
        <v>0</v>
      </c>
      <c r="K1831" s="9" t="str">
        <f ca="1">IFERROR(__xludf.DUMMYFUNCTION("""COMPUTED_VALUE"""),"https://www.newspapers.com/image/752371201/?terms=shot%20at%20school&amp;match=1")</f>
        <v>https://www.newspapers.com/image/752371201/?terms=shot%20at%20school&amp;match=1</v>
      </c>
      <c r="L1831" s="5">
        <f ca="1">IFERROR(__xludf.DUMMYFUNCTION("""COMPUTED_VALUE"""),1)</f>
        <v>1</v>
      </c>
      <c r="M1831" s="5" t="str">
        <f ca="1">IFERROR(__xludf.DUMMYFUNCTION("""COMPUTED_VALUE"""),"Regional")</f>
        <v>Regional</v>
      </c>
      <c r="N1831" s="5">
        <f ca="1">IFERROR(__xludf.DUMMYFUNCTION("""COMPUTED_VALUE"""),3)</f>
        <v>3</v>
      </c>
      <c r="O1831" s="5" t="str">
        <f ca="1">IFERROR(__xludf.DUMMYFUNCTION("""COMPUTED_VALUE"""),"Winter")</f>
        <v>Winter</v>
      </c>
      <c r="P1831" s="5" t="str">
        <f ca="1">IFERROR(__xludf.DUMMYFUNCTION("""COMPUTED_VALUE"""),"Lexington")</f>
        <v>Lexington</v>
      </c>
      <c r="Q1831" s="5" t="str">
        <f ca="1">IFERROR(__xludf.DUMMYFUNCTION("""COMPUTED_VALUE"""),"SC")</f>
        <v>SC</v>
      </c>
      <c r="R1831" s="5" t="str">
        <f ca="1">IFERROR(__xludf.DUMMYFUNCTION("""COMPUTED_VALUE"""),"High")</f>
        <v>High</v>
      </c>
      <c r="S1831" s="5" t="str">
        <f ca="1">IFERROR(__xludf.DUMMYFUNCTION("""COMPUTED_VALUE"""),"Outside on School Property")</f>
        <v>Outside on School Property</v>
      </c>
      <c r="T1831" s="5" t="str">
        <f ca="1">IFERROR(__xludf.DUMMYFUNCTION("""COMPUTED_VALUE"""),"Outside on School Property")</f>
        <v>Outside on School Property</v>
      </c>
      <c r="U1831" s="5" t="str">
        <f ca="1">IFERROR(__xludf.DUMMYFUNCTION("""COMPUTED_VALUE"""),"Yes")</f>
        <v>Yes</v>
      </c>
      <c r="V1831" s="5"/>
      <c r="W1831" s="5"/>
      <c r="X1831" s="5">
        <f ca="1">IFERROR(__xludf.DUMMYFUNCTION("""COMPUTED_VALUE"""),1)</f>
        <v>1</v>
      </c>
      <c r="Y1831" s="5" t="str">
        <f ca="1">IFERROR(__xludf.DUMMYFUNCTION("""COMPUTED_VALUE"""),"Student shot at high school")</f>
        <v>Student shot at high school</v>
      </c>
      <c r="Z1831" s="5" t="str">
        <f ca="1">IFERROR(__xludf.DUMMYFUNCTION("""COMPUTED_VALUE"""),"17-year-old male student was shot by another student at the school. Critically injured. Shooter arrested.")</f>
        <v>17-year-old male student was shot by another student at the school. Critically injured. Shooter arrested.</v>
      </c>
      <c r="AA1831" s="5" t="str">
        <f ca="1">IFERROR(__xludf.DUMMYFUNCTION("""COMPUTED_VALUE"""),"Escalation of Dispute")</f>
        <v>Escalation of Dispute</v>
      </c>
      <c r="AB1831" s="5" t="str">
        <f ca="1">IFERROR(__xludf.DUMMYFUNCTION("""COMPUTED_VALUE"""),"Victims Targeted")</f>
        <v>Victims Targeted</v>
      </c>
      <c r="AC1831" s="5" t="str">
        <f ca="1">IFERROR(__xludf.DUMMYFUNCTION("""COMPUTED_VALUE"""),"No")</f>
        <v>No</v>
      </c>
      <c r="AD1831" s="5" t="str">
        <f ca="1">IFERROR(__xludf.DUMMYFUNCTION("""COMPUTED_VALUE"""),"No")</f>
        <v>No</v>
      </c>
      <c r="AE1831" s="5" t="str">
        <f ca="1">IFERROR(__xludf.DUMMYFUNCTION("""COMPUTED_VALUE"""),"No")</f>
        <v>No</v>
      </c>
      <c r="AF1831" s="5" t="str">
        <f ca="1">IFERROR(__xludf.DUMMYFUNCTION("""COMPUTED_VALUE"""),"No")</f>
        <v>No</v>
      </c>
      <c r="AG1831" s="5" t="str">
        <f ca="1">IFERROR(__xludf.DUMMYFUNCTION("""COMPUTED_VALUE"""),"No")</f>
        <v>No</v>
      </c>
      <c r="AH1831" s="5" t="str">
        <f ca="1">IFERROR(__xludf.DUMMYFUNCTION("""COMPUTED_VALUE"""),"No")</f>
        <v>No</v>
      </c>
      <c r="AI1831" s="5"/>
      <c r="AJ1831" s="5" t="str">
        <f ca="1">IFERROR(__xludf.DUMMYFUNCTION("""COMPUTED_VALUE"""),"No")</f>
        <v>No</v>
      </c>
    </row>
    <row r="1832" spans="1:36" ht="13">
      <c r="A1832" s="5" t="str">
        <f ca="1">IFERROR(__xludf.DUMMYFUNCTION("""COMPUTED_VALUE"""),"19930201NYAMA")</f>
        <v>19930201NYAMA</v>
      </c>
      <c r="B1832" s="5">
        <f ca="1">IFERROR(__xludf.DUMMYFUNCTION("""COMPUTED_VALUE"""),2)</f>
        <v>2</v>
      </c>
      <c r="C1832" s="5">
        <f ca="1">IFERROR(__xludf.DUMMYFUNCTION("""COMPUTED_VALUE"""),1)</f>
        <v>1</v>
      </c>
      <c r="D1832" s="5">
        <f ca="1">IFERROR(__xludf.DUMMYFUNCTION("""COMPUTED_VALUE"""),1993)</f>
        <v>1993</v>
      </c>
      <c r="E1832" s="8">
        <f ca="1">IFERROR(__xludf.DUMMYFUNCTION("""COMPUTED_VALUE"""),34001)</f>
        <v>34001</v>
      </c>
      <c r="F1832" s="5" t="str">
        <f ca="1">IFERROR(__xludf.DUMMYFUNCTION("""COMPUTED_VALUE"""),"Amityville High School")</f>
        <v>Amityville High School</v>
      </c>
      <c r="G1832" s="5">
        <f ca="1">IFERROR(__xludf.DUMMYFUNCTION("""COMPUTED_VALUE"""),1)</f>
        <v>1</v>
      </c>
      <c r="H1832" s="5">
        <f ca="1">IFERROR(__xludf.DUMMYFUNCTION("""COMPUTED_VALUE"""),1)</f>
        <v>1</v>
      </c>
      <c r="I1832" s="5">
        <f ca="1">IFERROR(__xludf.DUMMYFUNCTION("""COMPUTED_VALUE"""),2)</f>
        <v>2</v>
      </c>
      <c r="J1832" s="5">
        <f ca="1">IFERROR(__xludf.DUMMYFUNCTION("""COMPUTED_VALUE"""),0)</f>
        <v>0</v>
      </c>
      <c r="K1832" s="5" t="str">
        <f ca="1">IFERROR(__xludf.DUMMYFUNCTION("""COMPUTED_VALUE"""),"https://www.nytimes.com/1993/02/03/nyregion/youth-arraigned-in-killing-at-amityville-high-school.html   https://www.newspapers.com/image/255754296/?terms=shem%2Bs.%2Bmccoy")</f>
        <v>https://www.nytimes.com/1993/02/03/nyregion/youth-arraigned-in-killing-at-amityville-high-school.html   https://www.newspapers.com/image/255754296/?terms=shem%2Bs.%2Bmccoy</v>
      </c>
      <c r="L1832" s="5"/>
      <c r="M1832" s="5"/>
      <c r="N1832" s="5">
        <f ca="1">IFERROR(__xludf.DUMMYFUNCTION("""COMPUTED_VALUE"""),2)</f>
        <v>2</v>
      </c>
      <c r="O1832" s="5" t="str">
        <f ca="1">IFERROR(__xludf.DUMMYFUNCTION("""COMPUTED_VALUE"""),"Winter")</f>
        <v>Winter</v>
      </c>
      <c r="P1832" s="5" t="str">
        <f ca="1">IFERROR(__xludf.DUMMYFUNCTION("""COMPUTED_VALUE"""),"Amityville")</f>
        <v>Amityville</v>
      </c>
      <c r="Q1832" s="5" t="str">
        <f ca="1">IFERROR(__xludf.DUMMYFUNCTION("""COMPUTED_VALUE"""),"NY")</f>
        <v>NY</v>
      </c>
      <c r="R1832" s="5" t="str">
        <f ca="1">IFERROR(__xludf.DUMMYFUNCTION("""COMPUTED_VALUE"""),"High")</f>
        <v>High</v>
      </c>
      <c r="S1832" s="5" t="str">
        <f ca="1">IFERROR(__xludf.DUMMYFUNCTION("""COMPUTED_VALUE"""),"Beside Building")</f>
        <v>Beside Building</v>
      </c>
      <c r="T1832" s="5" t="str">
        <f ca="1">IFERROR(__xludf.DUMMYFUNCTION("""COMPUTED_VALUE"""),"Outside on School Property")</f>
        <v>Outside on School Property</v>
      </c>
      <c r="U1832" s="5" t="str">
        <f ca="1">IFERROR(__xludf.DUMMYFUNCTION("""COMPUTED_VALUE"""),"Yes")</f>
        <v>Yes</v>
      </c>
      <c r="V1832" s="5" t="str">
        <f ca="1">IFERROR(__xludf.DUMMYFUNCTION("""COMPUTED_VALUE"""),"Afternoon Classes")</f>
        <v>Afternoon Classes</v>
      </c>
      <c r="W1832" s="10">
        <f ca="1">IFERROR(__xludf.DUMMYFUNCTION("""COMPUTED_VALUE"""),0.59375)</f>
        <v>0.59375</v>
      </c>
      <c r="X1832" s="5">
        <f ca="1">IFERROR(__xludf.DUMMYFUNCTION("""COMPUTED_VALUE"""),1)</f>
        <v>1</v>
      </c>
      <c r="Y1832" s="5" t="str">
        <f ca="1">IFERROR(__xludf.DUMMYFUNCTION("""COMPUTED_VALUE"""),"Suspect was in ongoing dispute with victims")</f>
        <v>Suspect was in ongoing dispute with victims</v>
      </c>
      <c r="Z1832" s="5" t="str">
        <f ca="1">IFERROR(__xludf.DUMMYFUNCTION("""COMPUTED_VALUE"""),"17 year-old male shot his 17 year-old male victim and his 17 year-old male cousin behind the school following an ongoing dispute between them.")</f>
        <v>17 year-old male shot his 17 year-old male victim and his 17 year-old male cousin behind the school following an ongoing dispute between them.</v>
      </c>
      <c r="AA1832" s="5" t="str">
        <f ca="1">IFERROR(__xludf.DUMMYFUNCTION("""COMPUTED_VALUE"""),"Escalation of Dispute")</f>
        <v>Escalation of Dispute</v>
      </c>
      <c r="AB1832" s="5" t="str">
        <f ca="1">IFERROR(__xludf.DUMMYFUNCTION("""COMPUTED_VALUE"""),"Victims Targeted")</f>
        <v>Victims Targeted</v>
      </c>
      <c r="AC1832" s="5" t="str">
        <f ca="1">IFERROR(__xludf.DUMMYFUNCTION("""COMPUTED_VALUE"""),"No")</f>
        <v>No</v>
      </c>
      <c r="AD1832" s="5" t="str">
        <f ca="1">IFERROR(__xludf.DUMMYFUNCTION("""COMPUTED_VALUE"""),"No")</f>
        <v>No</v>
      </c>
      <c r="AE1832" s="5" t="str">
        <f ca="1">IFERROR(__xludf.DUMMYFUNCTION("""COMPUTED_VALUE"""),"No")</f>
        <v>No</v>
      </c>
      <c r="AF1832" s="5" t="str">
        <f ca="1">IFERROR(__xludf.DUMMYFUNCTION("""COMPUTED_VALUE"""),"No")</f>
        <v>No</v>
      </c>
      <c r="AG1832" s="5"/>
      <c r="AH1832" s="5" t="str">
        <f ca="1">IFERROR(__xludf.DUMMYFUNCTION("""COMPUTED_VALUE"""),"No")</f>
        <v>No</v>
      </c>
      <c r="AI1832" s="5" t="str">
        <f ca="1">IFERROR(__xludf.DUMMYFUNCTION("""COMPUTED_VALUE"""),"No")</f>
        <v>No</v>
      </c>
      <c r="AJ1832" s="5"/>
    </row>
    <row r="1833" spans="1:36" ht="13">
      <c r="A1833" s="5" t="str">
        <f ca="1">IFERROR(__xludf.DUMMYFUNCTION("""COMPUTED_VALUE"""),"19930201WARER")</f>
        <v>19930201WARER</v>
      </c>
      <c r="B1833" s="5">
        <f ca="1">IFERROR(__xludf.DUMMYFUNCTION("""COMPUTED_VALUE"""),2)</f>
        <v>2</v>
      </c>
      <c r="C1833" s="5">
        <f ca="1">IFERROR(__xludf.DUMMYFUNCTION("""COMPUTED_VALUE"""),1)</f>
        <v>1</v>
      </c>
      <c r="D1833" s="5">
        <f ca="1">IFERROR(__xludf.DUMMYFUNCTION("""COMPUTED_VALUE"""),1993)</f>
        <v>1993</v>
      </c>
      <c r="E1833" s="8">
        <f ca="1">IFERROR(__xludf.DUMMYFUNCTION("""COMPUTED_VALUE"""),34001)</f>
        <v>34001</v>
      </c>
      <c r="F1833" s="5" t="str">
        <f ca="1">IFERROR(__xludf.DUMMYFUNCTION("""COMPUTED_VALUE"""),"Redmond Junior High School")</f>
        <v>Redmond Junior High School</v>
      </c>
      <c r="G1833" s="5">
        <f ca="1">IFERROR(__xludf.DUMMYFUNCTION("""COMPUTED_VALUE"""),0)</f>
        <v>0</v>
      </c>
      <c r="H1833" s="5">
        <f ca="1">IFERROR(__xludf.DUMMYFUNCTION("""COMPUTED_VALUE"""),0)</f>
        <v>0</v>
      </c>
      <c r="I1833" s="5">
        <f ca="1">IFERROR(__xludf.DUMMYFUNCTION("""COMPUTED_VALUE"""),0)</f>
        <v>0</v>
      </c>
      <c r="J1833" s="5">
        <f ca="1">IFERROR(__xludf.DUMMYFUNCTION("""COMPUTED_VALUE"""),1)</f>
        <v>1</v>
      </c>
      <c r="K1833" s="9" t="str">
        <f ca="1">IFERROR(__xludf.DUMMYFUNCTION("""COMPUTED_VALUE"""),"https://people.com/archive/roll-call-of-the-dead-vol-39-no-23/")</f>
        <v>https://people.com/archive/roll-call-of-the-dead-vol-39-no-23/</v>
      </c>
      <c r="L1833" s="5"/>
      <c r="M1833" s="5"/>
      <c r="N1833" s="5">
        <f ca="1">IFERROR(__xludf.DUMMYFUNCTION("""COMPUTED_VALUE"""),2)</f>
        <v>2</v>
      </c>
      <c r="O1833" s="5" t="str">
        <f ca="1">IFERROR(__xludf.DUMMYFUNCTION("""COMPUTED_VALUE"""),"Winter")</f>
        <v>Winter</v>
      </c>
      <c r="P1833" s="5" t="str">
        <f ca="1">IFERROR(__xludf.DUMMYFUNCTION("""COMPUTED_VALUE"""),"Redmond")</f>
        <v>Redmond</v>
      </c>
      <c r="Q1833" s="5" t="str">
        <f ca="1">IFERROR(__xludf.DUMMYFUNCTION("""COMPUTED_VALUE"""),"WA")</f>
        <v>WA</v>
      </c>
      <c r="R1833" s="5" t="str">
        <f ca="1">IFERROR(__xludf.DUMMYFUNCTION("""COMPUTED_VALUE"""),"High")</f>
        <v>High</v>
      </c>
      <c r="S1833" s="5" t="str">
        <f ca="1">IFERROR(__xludf.DUMMYFUNCTION("""COMPUTED_VALUE"""),"Outside on School Property")</f>
        <v>Outside on School Property</v>
      </c>
      <c r="T1833" s="5" t="str">
        <f ca="1">IFERROR(__xludf.DUMMYFUNCTION("""COMPUTED_VALUE"""),"Outside on School Property")</f>
        <v>Outside on School Property</v>
      </c>
      <c r="U1833" s="5" t="str">
        <f ca="1">IFERROR(__xludf.DUMMYFUNCTION("""COMPUTED_VALUE"""),"No")</f>
        <v>No</v>
      </c>
      <c r="V1833" s="5" t="str">
        <f ca="1">IFERROR(__xludf.DUMMYFUNCTION("""COMPUTED_VALUE"""),"Before School")</f>
        <v>Before School</v>
      </c>
      <c r="W1833" s="10">
        <f ca="1">IFERROR(__xludf.DUMMYFUNCTION("""COMPUTED_VALUE"""),0.270833333333333)</f>
        <v>0.27083333333333298</v>
      </c>
      <c r="X1833" s="5">
        <f ca="1">IFERROR(__xludf.DUMMYFUNCTION("""COMPUTED_VALUE"""),1)</f>
        <v>1</v>
      </c>
      <c r="Y1833" s="5" t="str">
        <f ca="1">IFERROR(__xludf.DUMMYFUNCTION("""COMPUTED_VALUE"""),"Suicide on school grounds")</f>
        <v>Suicide on school grounds</v>
      </c>
      <c r="Z1833" s="5" t="str">
        <f ca="1">IFERROR(__xludf.DUMMYFUNCTION("""COMPUTED_VALUE"""),"14YOM student found dead outside of school from self inflicted GSW.")</f>
        <v>14YOM student found dead outside of school from self inflicted GSW.</v>
      </c>
      <c r="AA1833" s="5" t="str">
        <f ca="1">IFERROR(__xludf.DUMMYFUNCTION("""COMPUTED_VALUE"""),"Suicide/Attempted")</f>
        <v>Suicide/Attempted</v>
      </c>
      <c r="AB1833" s="5" t="str">
        <f ca="1">IFERROR(__xludf.DUMMYFUNCTION("""COMPUTED_VALUE"""),"Victims Targeted")</f>
        <v>Victims Targeted</v>
      </c>
      <c r="AC1833" s="5" t="str">
        <f ca="1">IFERROR(__xludf.DUMMYFUNCTION("""COMPUTED_VALUE"""),"No")</f>
        <v>No</v>
      </c>
      <c r="AD1833" s="5" t="str">
        <f ca="1">IFERROR(__xludf.DUMMYFUNCTION("""COMPUTED_VALUE"""),"No")</f>
        <v>No</v>
      </c>
      <c r="AE1833" s="5" t="str">
        <f ca="1">IFERROR(__xludf.DUMMYFUNCTION("""COMPUTED_VALUE"""),"No")</f>
        <v>No</v>
      </c>
      <c r="AF1833" s="5" t="str">
        <f ca="1">IFERROR(__xludf.DUMMYFUNCTION("""COMPUTED_VALUE"""),"No")</f>
        <v>No</v>
      </c>
      <c r="AG1833" s="5"/>
      <c r="AH1833" s="5" t="str">
        <f ca="1">IFERROR(__xludf.DUMMYFUNCTION("""COMPUTED_VALUE"""),"No")</f>
        <v>No</v>
      </c>
      <c r="AI1833" s="5" t="str">
        <f ca="1">IFERROR(__xludf.DUMMYFUNCTION("""COMPUTED_VALUE"""),"No")</f>
        <v>No</v>
      </c>
      <c r="AJ1833" s="5"/>
    </row>
    <row r="1834" spans="1:36" ht="13">
      <c r="A1834" s="5" t="str">
        <f ca="1">IFERROR(__xludf.DUMMYFUNCTION("""COMPUTED_VALUE"""),"19930121CAFAL")</f>
        <v>19930121CAFAL</v>
      </c>
      <c r="B1834" s="5">
        <f ca="1">IFERROR(__xludf.DUMMYFUNCTION("""COMPUTED_VALUE"""),1)</f>
        <v>1</v>
      </c>
      <c r="C1834" s="5">
        <f ca="1">IFERROR(__xludf.DUMMYFUNCTION("""COMPUTED_VALUE"""),21)</f>
        <v>21</v>
      </c>
      <c r="D1834" s="5">
        <f ca="1">IFERROR(__xludf.DUMMYFUNCTION("""COMPUTED_VALUE"""),1993)</f>
        <v>1993</v>
      </c>
      <c r="E1834" s="8">
        <f ca="1">IFERROR(__xludf.DUMMYFUNCTION("""COMPUTED_VALUE"""),33990)</f>
        <v>33990</v>
      </c>
      <c r="F1834" s="5" t="str">
        <f ca="1">IFERROR(__xludf.DUMMYFUNCTION("""COMPUTED_VALUE"""),"Fairfax High School")</f>
        <v>Fairfax High School</v>
      </c>
      <c r="G1834" s="5">
        <f ca="1">IFERROR(__xludf.DUMMYFUNCTION("""COMPUTED_VALUE"""),1)</f>
        <v>1</v>
      </c>
      <c r="H1834" s="5">
        <f ca="1">IFERROR(__xludf.DUMMYFUNCTION("""COMPUTED_VALUE"""),1)</f>
        <v>1</v>
      </c>
      <c r="I1834" s="5">
        <f ca="1">IFERROR(__xludf.DUMMYFUNCTION("""COMPUTED_VALUE"""),2)</f>
        <v>2</v>
      </c>
      <c r="J1834" s="5">
        <f ca="1">IFERROR(__xludf.DUMMYFUNCTION("""COMPUTED_VALUE"""),0)</f>
        <v>0</v>
      </c>
      <c r="K1834" s="9" t="str">
        <f ca="1">IFERROR(__xludf.DUMMYFUNCTION("""COMPUTED_VALUE"""),"http://articles.latimes.com/1993-01-29/local/me-2165_1_student-body")</f>
        <v>http://articles.latimes.com/1993-01-29/local/me-2165_1_student-body</v>
      </c>
      <c r="L1834" s="5"/>
      <c r="M1834" s="5"/>
      <c r="N1834" s="5">
        <f ca="1">IFERROR(__xludf.DUMMYFUNCTION("""COMPUTED_VALUE"""),2)</f>
        <v>2</v>
      </c>
      <c r="O1834" s="5" t="str">
        <f ca="1">IFERROR(__xludf.DUMMYFUNCTION("""COMPUTED_VALUE"""),"Winter")</f>
        <v>Winter</v>
      </c>
      <c r="P1834" s="5" t="str">
        <f ca="1">IFERROR(__xludf.DUMMYFUNCTION("""COMPUTED_VALUE"""),"Los Angeles")</f>
        <v>Los Angeles</v>
      </c>
      <c r="Q1834" s="5" t="str">
        <f ca="1">IFERROR(__xludf.DUMMYFUNCTION("""COMPUTED_VALUE"""),"CA")</f>
        <v>CA</v>
      </c>
      <c r="R1834" s="5" t="str">
        <f ca="1">IFERROR(__xludf.DUMMYFUNCTION("""COMPUTED_VALUE"""),"High")</f>
        <v>High</v>
      </c>
      <c r="S1834" s="5" t="str">
        <f ca="1">IFERROR(__xludf.DUMMYFUNCTION("""COMPUTED_VALUE"""),"Classroom")</f>
        <v>Classroom</v>
      </c>
      <c r="T1834" s="5" t="str">
        <f ca="1">IFERROR(__xludf.DUMMYFUNCTION("""COMPUTED_VALUE"""),"Inside School Building")</f>
        <v>Inside School Building</v>
      </c>
      <c r="U1834" s="5" t="str">
        <f ca="1">IFERROR(__xludf.DUMMYFUNCTION("""COMPUTED_VALUE"""),"Yes")</f>
        <v>Yes</v>
      </c>
      <c r="V1834" s="5"/>
      <c r="W1834" s="5"/>
      <c r="X1834" s="5">
        <f ca="1">IFERROR(__xludf.DUMMYFUNCTION("""COMPUTED_VALUE"""),1)</f>
        <v>1</v>
      </c>
      <c r="Y1834" s="5" t="str">
        <f ca="1">IFERROR(__xludf.DUMMYFUNCTION("""COMPUTED_VALUE"""),"Gun in backpack went off")</f>
        <v>Gun in backpack went off</v>
      </c>
      <c r="Z1834" s="5" t="str">
        <f ca="1">IFERROR(__xludf.DUMMYFUNCTION("""COMPUTED_VALUE"""),"15YOM student had gun in backpack. Gun accidentally discharged striking other student in chest and injuring another. Gun owner tried to aid the injured student.")</f>
        <v>15YOM student had gun in backpack. Gun accidentally discharged striking other student in chest and injuring another. Gun owner tried to aid the injured student.</v>
      </c>
      <c r="AA1834" s="5" t="str">
        <f ca="1">IFERROR(__xludf.DUMMYFUNCTION("""COMPUTED_VALUE"""),"Accidental")</f>
        <v>Accidental</v>
      </c>
      <c r="AB1834" s="5" t="str">
        <f ca="1">IFERROR(__xludf.DUMMYFUNCTION("""COMPUTED_VALUE"""),"Random Shooting")</f>
        <v>Random Shooting</v>
      </c>
      <c r="AC1834" s="5"/>
      <c r="AD1834" s="5" t="str">
        <f ca="1">IFERROR(__xludf.DUMMYFUNCTION("""COMPUTED_VALUE"""),"No")</f>
        <v>No</v>
      </c>
      <c r="AE1834" s="5" t="str">
        <f ca="1">IFERROR(__xludf.DUMMYFUNCTION("""COMPUTED_VALUE"""),"No")</f>
        <v>No</v>
      </c>
      <c r="AF1834" s="5" t="str">
        <f ca="1">IFERROR(__xludf.DUMMYFUNCTION("""COMPUTED_VALUE"""),"No")</f>
        <v>No</v>
      </c>
      <c r="AG1834" s="5" t="str">
        <f ca="1">IFERROR(__xludf.DUMMYFUNCTION("""COMPUTED_VALUE"""),"No")</f>
        <v>No</v>
      </c>
      <c r="AH1834" s="5" t="str">
        <f ca="1">IFERROR(__xludf.DUMMYFUNCTION("""COMPUTED_VALUE"""),"No")</f>
        <v>No</v>
      </c>
      <c r="AI1834" s="5" t="str">
        <f ca="1">IFERROR(__xludf.DUMMYFUNCTION("""COMPUTED_VALUE"""),"No")</f>
        <v>No</v>
      </c>
      <c r="AJ1834" s="5"/>
    </row>
    <row r="1835" spans="1:36" ht="13">
      <c r="A1835" s="5" t="str">
        <f ca="1">IFERROR(__xludf.DUMMYFUNCTION("""COMPUTED_VALUE"""),"19930118KYEAG")</f>
        <v>19930118KYEAG</v>
      </c>
      <c r="B1835" s="5">
        <f ca="1">IFERROR(__xludf.DUMMYFUNCTION("""COMPUTED_VALUE"""),1)</f>
        <v>1</v>
      </c>
      <c r="C1835" s="5">
        <f ca="1">IFERROR(__xludf.DUMMYFUNCTION("""COMPUTED_VALUE"""),18)</f>
        <v>18</v>
      </c>
      <c r="D1835" s="5">
        <f ca="1">IFERROR(__xludf.DUMMYFUNCTION("""COMPUTED_VALUE"""),1993)</f>
        <v>1993</v>
      </c>
      <c r="E1835" s="8">
        <f ca="1">IFERROR(__xludf.DUMMYFUNCTION("""COMPUTED_VALUE"""),33987)</f>
        <v>33987</v>
      </c>
      <c r="F1835" s="5" t="str">
        <f ca="1">IFERROR(__xludf.DUMMYFUNCTION("""COMPUTED_VALUE"""),"East Carter High School")</f>
        <v>East Carter High School</v>
      </c>
      <c r="G1835" s="5">
        <f ca="1">IFERROR(__xludf.DUMMYFUNCTION("""COMPUTED_VALUE"""),2)</f>
        <v>2</v>
      </c>
      <c r="H1835" s="5">
        <f ca="1">IFERROR(__xludf.DUMMYFUNCTION("""COMPUTED_VALUE"""),0)</f>
        <v>0</v>
      </c>
      <c r="I1835" s="5">
        <f ca="1">IFERROR(__xludf.DUMMYFUNCTION("""COMPUTED_VALUE"""),2)</f>
        <v>2</v>
      </c>
      <c r="J1835" s="5">
        <f ca="1">IFERROR(__xludf.DUMMYFUNCTION("""COMPUTED_VALUE"""),0)</f>
        <v>0</v>
      </c>
      <c r="K1835" s="5" t="str">
        <f ca="1">IFERROR(__xludf.DUMMYFUNCTION("""COMPUTED_VALUE"""),"https://www.usnews.com/news/articles/1993/10/31/the-tragedy-in-room-108 http://www.dailyindependent.com/news/local_news/years-later-east-carter-school-shooting/article_d98213db-dedb-5edc-9bf9-efa47c2e7d7b.html")</f>
        <v>https://www.usnews.com/news/articles/1993/10/31/the-tragedy-in-room-108 http://www.dailyindependent.com/news/local_news/years-later-east-carter-school-shooting/article_d98213db-dedb-5edc-9bf9-efa47c2e7d7b.html</v>
      </c>
      <c r="L1835" s="5"/>
      <c r="M1835" s="5"/>
      <c r="N1835" s="5">
        <f ca="1">IFERROR(__xludf.DUMMYFUNCTION("""COMPUTED_VALUE"""),4)</f>
        <v>4</v>
      </c>
      <c r="O1835" s="5" t="str">
        <f ca="1">IFERROR(__xludf.DUMMYFUNCTION("""COMPUTED_VALUE"""),"Winter")</f>
        <v>Winter</v>
      </c>
      <c r="P1835" s="5" t="str">
        <f ca="1">IFERROR(__xludf.DUMMYFUNCTION("""COMPUTED_VALUE"""),"Grayson")</f>
        <v>Grayson</v>
      </c>
      <c r="Q1835" s="5" t="str">
        <f ca="1">IFERROR(__xludf.DUMMYFUNCTION("""COMPUTED_VALUE"""),"KY")</f>
        <v>KY</v>
      </c>
      <c r="R1835" s="5" t="str">
        <f ca="1">IFERROR(__xludf.DUMMYFUNCTION("""COMPUTED_VALUE"""),"High")</f>
        <v>High</v>
      </c>
      <c r="S1835" s="5" t="str">
        <f ca="1">IFERROR(__xludf.DUMMYFUNCTION("""COMPUTED_VALUE"""),"Classroom")</f>
        <v>Classroom</v>
      </c>
      <c r="T1835" s="5" t="str">
        <f ca="1">IFERROR(__xludf.DUMMYFUNCTION("""COMPUTED_VALUE"""),"Inside School Building")</f>
        <v>Inside School Building</v>
      </c>
      <c r="U1835" s="5" t="str">
        <f ca="1">IFERROR(__xludf.DUMMYFUNCTION("""COMPUTED_VALUE"""),"Yes")</f>
        <v>Yes</v>
      </c>
      <c r="V1835" s="5" t="str">
        <f ca="1">IFERROR(__xludf.DUMMYFUNCTION("""COMPUTED_VALUE"""),"Afternoon Classes")</f>
        <v>Afternoon Classes</v>
      </c>
      <c r="W1835" s="10">
        <f ca="1">IFERROR(__xludf.DUMMYFUNCTION("""COMPUTED_VALUE"""),0.611111111111111)</f>
        <v>0.61111111111111105</v>
      </c>
      <c r="X1835" s="5">
        <f ca="1">IFERROR(__xludf.DUMMYFUNCTION("""COMPUTED_VALUE"""),21)</f>
        <v>21</v>
      </c>
      <c r="Y1835" s="5" t="str">
        <f ca="1">IFERROR(__xludf.DUMMYFUNCTION("""COMPUTED_VALUE"""),"Planned attack, took 22 hostages, upset over grade")</f>
        <v>Planned attack, took 22 hostages, upset over grade</v>
      </c>
      <c r="Z1835" s="5" t="str">
        <f ca="1">IFERROR(__xludf.DUMMYFUNCTION("""COMPUTED_VALUE"""),"Shooter took pistol to school in a duffle bag. During class later in the day, the shooter pulled out the pistol and fired at the teacher killing her. Upset over grade from the prior week. Janitor came to investigate the sounds of the shooting and was kill"&amp;"ed by the shooter. Shooter stated he intended to kill 2 people so that he would get the death penalty. Shooter held the students hostage for about 15 minutes until releasing them 2 by 2 then surrendering to police. Shooter was from an extremely poor famil"&amp;"y without running water in their house. Shooter was a very good student and had recently gotten a low grade from the teacher that he was extremely upset about. Students reported he talked about killing himself while holding them hostage. Referenced the bo"&amp;"ok Rage.")</f>
        <v>Shooter took pistol to school in a duffle bag. During class later in the day, the shooter pulled out the pistol and fired at the teacher killing her. Upset over grade from the prior week. Janitor came to investigate the sounds of the shooting and was killed by the shooter. Shooter stated he intended to kill 2 people so that he would get the death penalty. Shooter held the students hostage for about 15 minutes until releasing them 2 by 2 then surrendering to police. Shooter was from an extremely poor family without running water in their house. Shooter was a very good student and had recently gotten a low grade from the teacher that he was extremely upset about. Students reported he talked about killing himself while holding them hostage. Referenced the book Rage.</v>
      </c>
      <c r="AA1835" s="5" t="str">
        <f ca="1">IFERROR(__xludf.DUMMYFUNCTION("""COMPUTED_VALUE"""),"Hostage/Standoff")</f>
        <v>Hostage/Standoff</v>
      </c>
      <c r="AB1835" s="5" t="str">
        <f ca="1">IFERROR(__xludf.DUMMYFUNCTION("""COMPUTED_VALUE"""),"Both")</f>
        <v>Both</v>
      </c>
      <c r="AC1835" s="5" t="str">
        <f ca="1">IFERROR(__xludf.DUMMYFUNCTION("""COMPUTED_VALUE"""),"No")</f>
        <v>No</v>
      </c>
      <c r="AD1835" s="5" t="str">
        <f ca="1">IFERROR(__xludf.DUMMYFUNCTION("""COMPUTED_VALUE"""),"Yes")</f>
        <v>Yes</v>
      </c>
      <c r="AE1835" s="5" t="str">
        <f ca="1">IFERROR(__xludf.DUMMYFUNCTION("""COMPUTED_VALUE"""),"Yes")</f>
        <v>Yes</v>
      </c>
      <c r="AF1835" s="5" t="str">
        <f ca="1">IFERROR(__xludf.DUMMYFUNCTION("""COMPUTED_VALUE"""),"No")</f>
        <v>No</v>
      </c>
      <c r="AG1835" s="5" t="str">
        <f ca="1">IFERROR(__xludf.DUMMYFUNCTION("""COMPUTED_VALUE"""),"Yes")</f>
        <v>Yes</v>
      </c>
      <c r="AH1835" s="5" t="str">
        <f ca="1">IFERROR(__xludf.DUMMYFUNCTION("""COMPUTED_VALUE"""),"No")</f>
        <v>No</v>
      </c>
      <c r="AI1835" s="5" t="str">
        <f ca="1">IFERROR(__xludf.DUMMYFUNCTION("""COMPUTED_VALUE"""),"No")</f>
        <v>No</v>
      </c>
      <c r="AJ1835" s="5" t="str">
        <f ca="1">IFERROR(__xludf.DUMMYFUNCTION("""COMPUTED_VALUE"""),"Yes")</f>
        <v>Yes</v>
      </c>
    </row>
    <row r="1836" spans="1:36" ht="13">
      <c r="A1836" s="5" t="str">
        <f ca="1">IFERROR(__xludf.DUMMYFUNCTION("""COMPUTED_VALUE"""),"19930112FLNOM")</f>
        <v>19930112FLNOM</v>
      </c>
      <c r="B1836" s="5">
        <f ca="1">IFERROR(__xludf.DUMMYFUNCTION("""COMPUTED_VALUE"""),1)</f>
        <v>1</v>
      </c>
      <c r="C1836" s="5">
        <f ca="1">IFERROR(__xludf.DUMMYFUNCTION("""COMPUTED_VALUE"""),12)</f>
        <v>12</v>
      </c>
      <c r="D1836" s="5">
        <f ca="1">IFERROR(__xludf.DUMMYFUNCTION("""COMPUTED_VALUE"""),1993)</f>
        <v>1993</v>
      </c>
      <c r="E1836" s="8">
        <f ca="1">IFERROR(__xludf.DUMMYFUNCTION("""COMPUTED_VALUE"""),33981)</f>
        <v>33981</v>
      </c>
      <c r="F1836" s="5" t="str">
        <f ca="1">IFERROR(__xludf.DUMMYFUNCTION("""COMPUTED_VALUE"""),"Norland Senior High School")</f>
        <v>Norland Senior High School</v>
      </c>
      <c r="G1836" s="5">
        <f ca="1">IFERROR(__xludf.DUMMYFUNCTION("""COMPUTED_VALUE"""),1)</f>
        <v>1</v>
      </c>
      <c r="H1836" s="5">
        <f ca="1">IFERROR(__xludf.DUMMYFUNCTION("""COMPUTED_VALUE"""),0)</f>
        <v>0</v>
      </c>
      <c r="I1836" s="5">
        <f ca="1">IFERROR(__xludf.DUMMYFUNCTION("""COMPUTED_VALUE"""),1)</f>
        <v>1</v>
      </c>
      <c r="J1836" s="5">
        <f ca="1">IFERROR(__xludf.DUMMYFUNCTION("""COMPUTED_VALUE"""),0)</f>
        <v>0</v>
      </c>
      <c r="K1836" s="9" t="str">
        <f ca="1">IFERROR(__xludf.DUMMYFUNCTION("""COMPUTED_VALUE"""),"https://www.newspapers.com/image/238950794/?terms=Norland%2BSenior%2BHigh%2BSchool%2Bshooting")</f>
        <v>https://www.newspapers.com/image/238950794/?terms=Norland%2BSenior%2BHigh%2BSchool%2Bshooting</v>
      </c>
      <c r="L1836" s="5"/>
      <c r="M1836" s="5"/>
      <c r="N1836" s="5">
        <f ca="1">IFERROR(__xludf.DUMMYFUNCTION("""COMPUTED_VALUE"""),2)</f>
        <v>2</v>
      </c>
      <c r="O1836" s="5" t="str">
        <f ca="1">IFERROR(__xludf.DUMMYFUNCTION("""COMPUTED_VALUE"""),"Winter")</f>
        <v>Winter</v>
      </c>
      <c r="P1836" s="5" t="str">
        <f ca="1">IFERROR(__xludf.DUMMYFUNCTION("""COMPUTED_VALUE"""),"Miami")</f>
        <v>Miami</v>
      </c>
      <c r="Q1836" s="5" t="str">
        <f ca="1">IFERROR(__xludf.DUMMYFUNCTION("""COMPUTED_VALUE"""),"FL")</f>
        <v>FL</v>
      </c>
      <c r="R1836" s="5" t="str">
        <f ca="1">IFERROR(__xludf.DUMMYFUNCTION("""COMPUTED_VALUE"""),"High")</f>
        <v>High</v>
      </c>
      <c r="S1836" s="5" t="str">
        <f ca="1">IFERROR(__xludf.DUMMYFUNCTION("""COMPUTED_VALUE"""),"Hallway")</f>
        <v>Hallway</v>
      </c>
      <c r="T1836" s="5" t="str">
        <f ca="1">IFERROR(__xludf.DUMMYFUNCTION("""COMPUTED_VALUE"""),"Inside School Building")</f>
        <v>Inside School Building</v>
      </c>
      <c r="U1836" s="5" t="str">
        <f ca="1">IFERROR(__xludf.DUMMYFUNCTION("""COMPUTED_VALUE"""),"Yes")</f>
        <v>Yes</v>
      </c>
      <c r="V1836" s="5" t="str">
        <f ca="1">IFERROR(__xludf.DUMMYFUNCTION("""COMPUTED_VALUE"""),"After School")</f>
        <v>After School</v>
      </c>
      <c r="W1836" s="10">
        <f ca="1">IFERROR(__xludf.DUMMYFUNCTION("""COMPUTED_VALUE"""),0.635416666666666)</f>
        <v>0.63541666666666596</v>
      </c>
      <c r="X1836" s="5">
        <f ca="1">IFERROR(__xludf.DUMMYFUNCTION("""COMPUTED_VALUE"""),1)</f>
        <v>1</v>
      </c>
      <c r="Y1836" s="5" t="str">
        <f ca="1">IFERROR(__xludf.DUMMYFUNCTION("""COMPUTED_VALUE"""),"Shooting during argument between victim and 3 males over girl")</f>
        <v>Shooting during argument between victim and 3 males over girl</v>
      </c>
      <c r="Z1836" s="5" t="str">
        <f ca="1">IFERROR(__xludf.DUMMYFUNCTION("""COMPUTED_VALUE"""),"18YOM victim shot 10 times while arguing with 3 other students about a girl. Neighborhood is site of frequent gang and racial violence including 2 mass shootings not on school property involving youths the prior year. Police described school as having ser"&amp;"ious gang problem.")</f>
        <v>18YOM victim shot 10 times while arguing with 3 other students about a girl. Neighborhood is site of frequent gang and racial violence including 2 mass shootings not on school property involving youths the prior year. Police described school as having serious gang problem.</v>
      </c>
      <c r="AA1836" s="5" t="str">
        <f ca="1">IFERROR(__xludf.DUMMYFUNCTION("""COMPUTED_VALUE"""),"Escalation of Dispute")</f>
        <v>Escalation of Dispute</v>
      </c>
      <c r="AB1836" s="5" t="str">
        <f ca="1">IFERROR(__xludf.DUMMYFUNCTION("""COMPUTED_VALUE"""),"Victims Targeted")</f>
        <v>Victims Targeted</v>
      </c>
      <c r="AC1836" s="5" t="str">
        <f ca="1">IFERROR(__xludf.DUMMYFUNCTION("""COMPUTED_VALUE"""),"No")</f>
        <v>No</v>
      </c>
      <c r="AD1836" s="5" t="str">
        <f ca="1">IFERROR(__xludf.DUMMYFUNCTION("""COMPUTED_VALUE"""),"No")</f>
        <v>No</v>
      </c>
      <c r="AE1836" s="5" t="str">
        <f ca="1">IFERROR(__xludf.DUMMYFUNCTION("""COMPUTED_VALUE"""),"No")</f>
        <v>No</v>
      </c>
      <c r="AF1836" s="5" t="str">
        <f ca="1">IFERROR(__xludf.DUMMYFUNCTION("""COMPUTED_VALUE"""),"No")</f>
        <v>No</v>
      </c>
      <c r="AG1836" s="5" t="str">
        <f ca="1">IFERROR(__xludf.DUMMYFUNCTION("""COMPUTED_VALUE"""),"No")</f>
        <v>No</v>
      </c>
      <c r="AH1836" s="5" t="str">
        <f ca="1">IFERROR(__xludf.DUMMYFUNCTION("""COMPUTED_VALUE"""),"No")</f>
        <v>No</v>
      </c>
      <c r="AI1836" s="5" t="str">
        <f ca="1">IFERROR(__xludf.DUMMYFUNCTION("""COMPUTED_VALUE"""),"Yes")</f>
        <v>Yes</v>
      </c>
      <c r="AJ1836" s="5"/>
    </row>
    <row r="1837" spans="1:36" ht="13">
      <c r="A1837" s="5" t="str">
        <f ca="1">IFERROR(__xludf.DUMMYFUNCTION("""COMPUTED_VALUE"""),"19930108PACRM")</f>
        <v>19930108PACRM</v>
      </c>
      <c r="B1837" s="5">
        <f ca="1">IFERROR(__xludf.DUMMYFUNCTION("""COMPUTED_VALUE"""),1)</f>
        <v>1</v>
      </c>
      <c r="C1837" s="5">
        <f ca="1">IFERROR(__xludf.DUMMYFUNCTION("""COMPUTED_VALUE"""),8)</f>
        <v>8</v>
      </c>
      <c r="D1837" s="5">
        <f ca="1">IFERROR(__xludf.DUMMYFUNCTION("""COMPUTED_VALUE"""),1993)</f>
        <v>1993</v>
      </c>
      <c r="E1837" s="8">
        <f ca="1">IFERROR(__xludf.DUMMYFUNCTION("""COMPUTED_VALUE"""),33977)</f>
        <v>33977</v>
      </c>
      <c r="F1837" s="5" t="str">
        <f ca="1">IFERROR(__xludf.DUMMYFUNCTION("""COMPUTED_VALUE"""),"Crawford County Joint Vocational Technical School")</f>
        <v>Crawford County Joint Vocational Technical School</v>
      </c>
      <c r="G1837" s="5">
        <f ca="1">IFERROR(__xludf.DUMMYFUNCTION("""COMPUTED_VALUE"""),0)</f>
        <v>0</v>
      </c>
      <c r="H1837" s="5">
        <f ca="1">IFERROR(__xludf.DUMMYFUNCTION("""COMPUTED_VALUE"""),1)</f>
        <v>1</v>
      </c>
      <c r="I1837" s="5">
        <f ca="1">IFERROR(__xludf.DUMMYFUNCTION("""COMPUTED_VALUE"""),1)</f>
        <v>1</v>
      </c>
      <c r="J1837" s="5">
        <f ca="1">IFERROR(__xludf.DUMMYFUNCTION("""COMPUTED_VALUE"""),0)</f>
        <v>0</v>
      </c>
      <c r="K1837" s="9" t="str">
        <f ca="1">IFERROR(__xludf.DUMMYFUNCTION("""COMPUTED_VALUE"""),"https://www.newspapers.com/image/510596731/?terms=shot%20at%20school&amp;match=1")</f>
        <v>https://www.newspapers.com/image/510596731/?terms=shot%20at%20school&amp;match=1</v>
      </c>
      <c r="L1837" s="5">
        <f ca="1">IFERROR(__xludf.DUMMYFUNCTION("""COMPUTED_VALUE"""),1)</f>
        <v>1</v>
      </c>
      <c r="M1837" s="5" t="str">
        <f ca="1">IFERROR(__xludf.DUMMYFUNCTION("""COMPUTED_VALUE"""),"National")</f>
        <v>National</v>
      </c>
      <c r="N1837" s="5">
        <f ca="1">IFERROR(__xludf.DUMMYFUNCTION("""COMPUTED_VALUE"""),3)</f>
        <v>3</v>
      </c>
      <c r="O1837" s="5" t="str">
        <f ca="1">IFERROR(__xludf.DUMMYFUNCTION("""COMPUTED_VALUE"""),"Winter")</f>
        <v>Winter</v>
      </c>
      <c r="P1837" s="5" t="str">
        <f ca="1">IFERROR(__xludf.DUMMYFUNCTION("""COMPUTED_VALUE"""),"Meadville")</f>
        <v>Meadville</v>
      </c>
      <c r="Q1837" s="5" t="str">
        <f ca="1">IFERROR(__xludf.DUMMYFUNCTION("""COMPUTED_VALUE"""),"PA")</f>
        <v>PA</v>
      </c>
      <c r="R1837" s="5" t="str">
        <f ca="1">IFERROR(__xludf.DUMMYFUNCTION("""COMPUTED_VALUE"""),"High")</f>
        <v>High</v>
      </c>
      <c r="S1837" s="5" t="str">
        <f ca="1">IFERROR(__xludf.DUMMYFUNCTION("""COMPUTED_VALUE"""),"Hallway")</f>
        <v>Hallway</v>
      </c>
      <c r="T1837" s="5" t="str">
        <f ca="1">IFERROR(__xludf.DUMMYFUNCTION("""COMPUTED_VALUE"""),"Inside School Building")</f>
        <v>Inside School Building</v>
      </c>
      <c r="U1837" s="5" t="str">
        <f ca="1">IFERROR(__xludf.DUMMYFUNCTION("""COMPUTED_VALUE"""),"Yes")</f>
        <v>Yes</v>
      </c>
      <c r="V1837" s="5" t="str">
        <f ca="1">IFERROR(__xludf.DUMMYFUNCTION("""COMPUTED_VALUE"""),"Morning Classes")</f>
        <v>Morning Classes</v>
      </c>
      <c r="W1837" s="10">
        <f ca="1">IFERROR(__xludf.DUMMYFUNCTION("""COMPUTED_VALUE"""),0.333333333333333)</f>
        <v>0.33333333333333298</v>
      </c>
      <c r="X1837" s="5">
        <f ca="1">IFERROR(__xludf.DUMMYFUNCTION("""COMPUTED_VALUE"""),1)</f>
        <v>1</v>
      </c>
      <c r="Y1837" s="5" t="str">
        <f ca="1">IFERROR(__xludf.DUMMYFUNCTION("""COMPUTED_VALUE"""),"Student shot in the head in hallway by unknown shooter")</f>
        <v>Student shot in the head in hallway by unknown shooter</v>
      </c>
      <c r="Z1837" s="5" t="str">
        <f ca="1">IFERROR(__xludf.DUMMYFUNCTION("""COMPUTED_VALUE"""),"A 15-year-old student was shot in the head by an unknown shooter in the hallway of the school. A bus driver witnessed the shooting. Shooter fled. Student transported in critical condition.")</f>
        <v>A 15-year-old student was shot in the head by an unknown shooter in the hallway of the school. A bus driver witnessed the shooting. Shooter fled. Student transported in critical condition.</v>
      </c>
      <c r="AA1837" s="5"/>
      <c r="AB1837" s="5" t="str">
        <f ca="1">IFERROR(__xludf.DUMMYFUNCTION("""COMPUTED_VALUE"""),"Victims Targeted")</f>
        <v>Victims Targeted</v>
      </c>
      <c r="AC1837" s="5" t="str">
        <f ca="1">IFERROR(__xludf.DUMMYFUNCTION("""COMPUTED_VALUE"""),"No")</f>
        <v>No</v>
      </c>
      <c r="AD1837" s="5" t="str">
        <f ca="1">IFERROR(__xludf.DUMMYFUNCTION("""COMPUTED_VALUE"""),"No")</f>
        <v>No</v>
      </c>
      <c r="AE1837" s="5" t="str">
        <f ca="1">IFERROR(__xludf.DUMMYFUNCTION("""COMPUTED_VALUE"""),"No")</f>
        <v>No</v>
      </c>
      <c r="AF1837" s="5" t="str">
        <f ca="1">IFERROR(__xludf.DUMMYFUNCTION("""COMPUTED_VALUE"""),"No")</f>
        <v>No</v>
      </c>
      <c r="AG1837" s="5" t="str">
        <f ca="1">IFERROR(__xludf.DUMMYFUNCTION("""COMPUTED_VALUE"""),"No")</f>
        <v>No</v>
      </c>
      <c r="AH1837" s="5" t="str">
        <f ca="1">IFERROR(__xludf.DUMMYFUNCTION("""COMPUTED_VALUE"""),"No")</f>
        <v>No</v>
      </c>
      <c r="AI1837" s="5"/>
      <c r="AJ1837" s="5" t="str">
        <f ca="1">IFERROR(__xludf.DUMMYFUNCTION("""COMPUTED_VALUE"""),"No")</f>
        <v>No</v>
      </c>
    </row>
    <row r="1838" spans="1:36" ht="13">
      <c r="A1838" s="5" t="str">
        <f ca="1">IFERROR(__xludf.DUMMYFUNCTION("""COMPUTED_VALUE"""),"19930105NYBRB")</f>
        <v>19930105NYBRB</v>
      </c>
      <c r="B1838" s="5">
        <f ca="1">IFERROR(__xludf.DUMMYFUNCTION("""COMPUTED_VALUE"""),1)</f>
        <v>1</v>
      </c>
      <c r="C1838" s="5">
        <f ca="1">IFERROR(__xludf.DUMMYFUNCTION("""COMPUTED_VALUE"""),5)</f>
        <v>5</v>
      </c>
      <c r="D1838" s="5">
        <f ca="1">IFERROR(__xludf.DUMMYFUNCTION("""COMPUTED_VALUE"""),1993)</f>
        <v>1993</v>
      </c>
      <c r="E1838" s="8">
        <f ca="1">IFERROR(__xludf.DUMMYFUNCTION("""COMPUTED_VALUE"""),33974)</f>
        <v>33974</v>
      </c>
      <c r="F1838" s="5" t="str">
        <f ca="1">IFERROR(__xludf.DUMMYFUNCTION("""COMPUTED_VALUE"""),"Brentwood High School")</f>
        <v>Brentwood High School</v>
      </c>
      <c r="G1838" s="5">
        <f ca="1">IFERROR(__xludf.DUMMYFUNCTION("""COMPUTED_VALUE"""),0)</f>
        <v>0</v>
      </c>
      <c r="H1838" s="5">
        <f ca="1">IFERROR(__xludf.DUMMYFUNCTION("""COMPUTED_VALUE"""),1)</f>
        <v>1</v>
      </c>
      <c r="I1838" s="5">
        <f ca="1">IFERROR(__xludf.DUMMYFUNCTION("""COMPUTED_VALUE"""),1)</f>
        <v>1</v>
      </c>
      <c r="J1838" s="5">
        <f ca="1">IFERROR(__xludf.DUMMYFUNCTION("""COMPUTED_VALUE"""),0)</f>
        <v>0</v>
      </c>
      <c r="K1838" s="9" t="str">
        <f ca="1">IFERROR(__xludf.DUMMYFUNCTION("""COMPUTED_VALUE"""),"https://www.nytimes.com/1993/01/07/nyregion/school-upset-by-shooting-of-teen-ager-during-game.html")</f>
        <v>https://www.nytimes.com/1993/01/07/nyregion/school-upset-by-shooting-of-teen-ager-during-game.html</v>
      </c>
      <c r="L1838" s="5"/>
      <c r="M1838" s="5"/>
      <c r="N1838" s="5">
        <f ca="1">IFERROR(__xludf.DUMMYFUNCTION("""COMPUTED_VALUE"""),2)</f>
        <v>2</v>
      </c>
      <c r="O1838" s="5" t="str">
        <f ca="1">IFERROR(__xludf.DUMMYFUNCTION("""COMPUTED_VALUE"""),"Winter")</f>
        <v>Winter</v>
      </c>
      <c r="P1838" s="5" t="str">
        <f ca="1">IFERROR(__xludf.DUMMYFUNCTION("""COMPUTED_VALUE"""),"Brentwood")</f>
        <v>Brentwood</v>
      </c>
      <c r="Q1838" s="5" t="str">
        <f ca="1">IFERROR(__xludf.DUMMYFUNCTION("""COMPUTED_VALUE"""),"NY")</f>
        <v>NY</v>
      </c>
      <c r="R1838" s="5" t="str">
        <f ca="1">IFERROR(__xludf.DUMMYFUNCTION("""COMPUTED_VALUE"""),"High")</f>
        <v>High</v>
      </c>
      <c r="S1838" s="5" t="str">
        <f ca="1">IFERROR(__xludf.DUMMYFUNCTION("""COMPUTED_VALUE"""),"Gym")</f>
        <v>Gym</v>
      </c>
      <c r="T1838" s="5" t="str">
        <f ca="1">IFERROR(__xludf.DUMMYFUNCTION("""COMPUTED_VALUE"""),"Inside School Building")</f>
        <v>Inside School Building</v>
      </c>
      <c r="U1838" s="5" t="str">
        <f ca="1">IFERROR(__xludf.DUMMYFUNCTION("""COMPUTED_VALUE"""),"No")</f>
        <v>No</v>
      </c>
      <c r="V1838" s="5" t="str">
        <f ca="1">IFERROR(__xludf.DUMMYFUNCTION("""COMPUTED_VALUE"""),"Evening")</f>
        <v>Evening</v>
      </c>
      <c r="W1838" s="10">
        <f ca="1">IFERROR(__xludf.DUMMYFUNCTION("""COMPUTED_VALUE"""),0.727083333333333)</f>
        <v>0.72708333333333297</v>
      </c>
      <c r="X1838" s="5">
        <f ca="1">IFERROR(__xludf.DUMMYFUNCTION("""COMPUTED_VALUE"""),1)</f>
        <v>1</v>
      </c>
      <c r="Y1838" s="5" t="str">
        <f ca="1">IFERROR(__xludf.DUMMYFUNCTION("""COMPUTED_VALUE"""),"Dispute over theft of gold chain")</f>
        <v>Dispute over theft of gold chain</v>
      </c>
      <c r="Z1838" s="5" t="str">
        <f ca="1">IFERROR(__xludf.DUMMYFUNCTION("""COMPUTED_VALUE"""),"During a basketball game between rival schools, shots were fired during a dispute between students from different schools over a gold chain.")</f>
        <v>During a basketball game between rival schools, shots were fired during a dispute between students from different schools over a gold chain.</v>
      </c>
      <c r="AA1838" s="5" t="str">
        <f ca="1">IFERROR(__xludf.DUMMYFUNCTION("""COMPUTED_VALUE"""),"Escalation of Dispute")</f>
        <v>Escalation of Dispute</v>
      </c>
      <c r="AB1838" s="5" t="str">
        <f ca="1">IFERROR(__xludf.DUMMYFUNCTION("""COMPUTED_VALUE"""),"Victims Targeted")</f>
        <v>Victims Targeted</v>
      </c>
      <c r="AC1838" s="5" t="str">
        <f ca="1">IFERROR(__xludf.DUMMYFUNCTION("""COMPUTED_VALUE"""),"No")</f>
        <v>No</v>
      </c>
      <c r="AD1838" s="5" t="str">
        <f ca="1">IFERROR(__xludf.DUMMYFUNCTION("""COMPUTED_VALUE"""),"No")</f>
        <v>No</v>
      </c>
      <c r="AE1838" s="5" t="str">
        <f ca="1">IFERROR(__xludf.DUMMYFUNCTION("""COMPUTED_VALUE"""),"No")</f>
        <v>No</v>
      </c>
      <c r="AF1838" s="5" t="str">
        <f ca="1">IFERROR(__xludf.DUMMYFUNCTION("""COMPUTED_VALUE"""),"No")</f>
        <v>No</v>
      </c>
      <c r="AG1838" s="5" t="str">
        <f ca="1">IFERROR(__xludf.DUMMYFUNCTION("""COMPUTED_VALUE"""),"No")</f>
        <v>No</v>
      </c>
      <c r="AH1838" s="5" t="str">
        <f ca="1">IFERROR(__xludf.DUMMYFUNCTION("""COMPUTED_VALUE"""),"No")</f>
        <v>No</v>
      </c>
      <c r="AI1838" s="5" t="str">
        <f ca="1">IFERROR(__xludf.DUMMYFUNCTION("""COMPUTED_VALUE"""),"Yes")</f>
        <v>Yes</v>
      </c>
      <c r="AJ1838" s="5"/>
    </row>
    <row r="1839" spans="1:36" ht="13">
      <c r="A1839" s="5" t="str">
        <f ca="1">IFERROR(__xludf.DUMMYFUNCTION("""COMPUTED_VALUE"""),"19921214NYWAW")</f>
        <v>19921214NYWAW</v>
      </c>
      <c r="B1839" s="5">
        <f ca="1">IFERROR(__xludf.DUMMYFUNCTION("""COMPUTED_VALUE"""),12)</f>
        <v>12</v>
      </c>
      <c r="C1839" s="5">
        <f ca="1">IFERROR(__xludf.DUMMYFUNCTION("""COMPUTED_VALUE"""),14)</f>
        <v>14</v>
      </c>
      <c r="D1839" s="5">
        <f ca="1">IFERROR(__xludf.DUMMYFUNCTION("""COMPUTED_VALUE"""),1992)</f>
        <v>1992</v>
      </c>
      <c r="E1839" s="8">
        <f ca="1">IFERROR(__xludf.DUMMYFUNCTION("""COMPUTED_VALUE"""),33952)</f>
        <v>33952</v>
      </c>
      <c r="F1839" s="5" t="str">
        <f ca="1">IFERROR(__xludf.DUMMYFUNCTION("""COMPUTED_VALUE"""),"Walton High School")</f>
        <v>Walton High School</v>
      </c>
      <c r="G1839" s="5">
        <f ca="1">IFERROR(__xludf.DUMMYFUNCTION("""COMPUTED_VALUE"""),0)</f>
        <v>0</v>
      </c>
      <c r="H1839" s="5">
        <f ca="1">IFERROR(__xludf.DUMMYFUNCTION("""COMPUTED_VALUE"""),1)</f>
        <v>1</v>
      </c>
      <c r="I1839" s="5">
        <f ca="1">IFERROR(__xludf.DUMMYFUNCTION("""COMPUTED_VALUE"""),1)</f>
        <v>1</v>
      </c>
      <c r="J1839" s="5">
        <f ca="1">IFERROR(__xludf.DUMMYFUNCTION("""COMPUTED_VALUE"""),0)</f>
        <v>0</v>
      </c>
      <c r="K1839" s="9" t="str">
        <f ca="1">IFERROR(__xludf.DUMMYFUNCTION("""COMPUTED_VALUE"""),"https://www.newspapers.com/image/257172973/?terms=Virginia%2BWilcox")</f>
        <v>https://www.newspapers.com/image/257172973/?terms=Virginia%2BWilcox</v>
      </c>
      <c r="L1839" s="5"/>
      <c r="M1839" s="5"/>
      <c r="N1839" s="5">
        <f ca="1">IFERROR(__xludf.DUMMYFUNCTION("""COMPUTED_VALUE"""),2)</f>
        <v>2</v>
      </c>
      <c r="O1839" s="5" t="str">
        <f ca="1">IFERROR(__xludf.DUMMYFUNCTION("""COMPUTED_VALUE"""),"Winter")</f>
        <v>Winter</v>
      </c>
      <c r="P1839" s="5" t="str">
        <f ca="1">IFERROR(__xludf.DUMMYFUNCTION("""COMPUTED_VALUE"""),"Walton")</f>
        <v>Walton</v>
      </c>
      <c r="Q1839" s="5" t="str">
        <f ca="1">IFERROR(__xludf.DUMMYFUNCTION("""COMPUTED_VALUE"""),"NY")</f>
        <v>NY</v>
      </c>
      <c r="R1839" s="5" t="str">
        <f ca="1">IFERROR(__xludf.DUMMYFUNCTION("""COMPUTED_VALUE"""),"High")</f>
        <v>High</v>
      </c>
      <c r="S1839" s="5" t="str">
        <f ca="1">IFERROR(__xludf.DUMMYFUNCTION("""COMPUTED_VALUE"""),"Classroom")</f>
        <v>Classroom</v>
      </c>
      <c r="T1839" s="5" t="str">
        <f ca="1">IFERROR(__xludf.DUMMYFUNCTION("""COMPUTED_VALUE"""),"Inside School Building")</f>
        <v>Inside School Building</v>
      </c>
      <c r="U1839" s="5" t="str">
        <f ca="1">IFERROR(__xludf.DUMMYFUNCTION("""COMPUTED_VALUE"""),"Yes")</f>
        <v>Yes</v>
      </c>
      <c r="V1839" s="5" t="str">
        <f ca="1">IFERROR(__xludf.DUMMYFUNCTION("""COMPUTED_VALUE"""),"Morning Classes")</f>
        <v>Morning Classes</v>
      </c>
      <c r="W1839" s="10">
        <f ca="1">IFERROR(__xludf.DUMMYFUNCTION("""COMPUTED_VALUE"""),0.384722222222222)</f>
        <v>0.38472222222222202</v>
      </c>
      <c r="X1839" s="5">
        <f ca="1">IFERROR(__xludf.DUMMYFUNCTION("""COMPUTED_VALUE"""),1)</f>
        <v>1</v>
      </c>
      <c r="Y1839" s="5" t="str">
        <f ca="1">IFERROR(__xludf.DUMMYFUNCTION("""COMPUTED_VALUE"""),"Shot teacher when she would not let him read poem in class")</f>
        <v>Shot teacher when she would not let him read poem in class</v>
      </c>
      <c r="Z1839" s="5" t="str">
        <f ca="1">IFERROR(__xludf.DUMMYFUNCTION("""COMPUTED_VALUE"""),"Shooter had been writing poems about killing his teachers and suicide. Teacher had reported him to school officials which angered the shooter. During class the shooter asked to read a poem aloud and the teacher refused. The shooter shot the teacher in the"&amp;" face seriously injuring her.")</f>
        <v>Shooter had been writing poems about killing his teachers and suicide. Teacher had reported him to school officials which angered the shooter. During class the shooter asked to read a poem aloud and the teacher refused. The shooter shot the teacher in the face seriously injuring her.</v>
      </c>
      <c r="AA1839" s="5" t="str">
        <f ca="1">IFERROR(__xludf.DUMMYFUNCTION("""COMPUTED_VALUE"""),"Anger Over Grade/Suspension/Discipline")</f>
        <v>Anger Over Grade/Suspension/Discipline</v>
      </c>
      <c r="AB1839" s="5" t="str">
        <f ca="1">IFERROR(__xludf.DUMMYFUNCTION("""COMPUTED_VALUE"""),"Victims Targeted")</f>
        <v>Victims Targeted</v>
      </c>
      <c r="AC1839" s="5"/>
      <c r="AD1839" s="5" t="str">
        <f ca="1">IFERROR(__xludf.DUMMYFUNCTION("""COMPUTED_VALUE"""),"No")</f>
        <v>No</v>
      </c>
      <c r="AE1839" s="5" t="str">
        <f ca="1">IFERROR(__xludf.DUMMYFUNCTION("""COMPUTED_VALUE"""),"No")</f>
        <v>No</v>
      </c>
      <c r="AF1839" s="5" t="str">
        <f ca="1">IFERROR(__xludf.DUMMYFUNCTION("""COMPUTED_VALUE"""),"No")</f>
        <v>No</v>
      </c>
      <c r="AG1839" s="5" t="str">
        <f ca="1">IFERROR(__xludf.DUMMYFUNCTION("""COMPUTED_VALUE"""),"No")</f>
        <v>No</v>
      </c>
      <c r="AH1839" s="5" t="str">
        <f ca="1">IFERROR(__xludf.DUMMYFUNCTION("""COMPUTED_VALUE"""),"No")</f>
        <v>No</v>
      </c>
      <c r="AI1839" s="5" t="str">
        <f ca="1">IFERROR(__xludf.DUMMYFUNCTION("""COMPUTED_VALUE"""),"No")</f>
        <v>No</v>
      </c>
      <c r="AJ1839" s="5"/>
    </row>
    <row r="1840" spans="1:36" ht="13">
      <c r="A1840" s="5" t="str">
        <f ca="1">IFERROR(__xludf.DUMMYFUNCTION("""COMPUTED_VALUE"""),"19921203ILWOC")</f>
        <v>19921203ILWOC</v>
      </c>
      <c r="B1840" s="5">
        <f ca="1">IFERROR(__xludf.DUMMYFUNCTION("""COMPUTED_VALUE"""),12)</f>
        <v>12</v>
      </c>
      <c r="C1840" s="5">
        <f ca="1">IFERROR(__xludf.DUMMYFUNCTION("""COMPUTED_VALUE"""),3)</f>
        <v>3</v>
      </c>
      <c r="D1840" s="5">
        <f ca="1">IFERROR(__xludf.DUMMYFUNCTION("""COMPUTED_VALUE"""),1992)</f>
        <v>1992</v>
      </c>
      <c r="E1840" s="8">
        <f ca="1">IFERROR(__xludf.DUMMYFUNCTION("""COMPUTED_VALUE"""),33941)</f>
        <v>33941</v>
      </c>
      <c r="F1840" s="5" t="str">
        <f ca="1">IFERROR(__xludf.DUMMYFUNCTION("""COMPUTED_VALUE"""),"Woodson High School")</f>
        <v>Woodson High School</v>
      </c>
      <c r="G1840" s="5">
        <f ca="1">IFERROR(__xludf.DUMMYFUNCTION("""COMPUTED_VALUE"""),1)</f>
        <v>1</v>
      </c>
      <c r="H1840" s="5">
        <f ca="1">IFERROR(__xludf.DUMMYFUNCTION("""COMPUTED_VALUE"""),1)</f>
        <v>1</v>
      </c>
      <c r="I1840" s="5">
        <f ca="1">IFERROR(__xludf.DUMMYFUNCTION("""COMPUTED_VALUE"""),2)</f>
        <v>2</v>
      </c>
      <c r="J1840" s="5">
        <f ca="1">IFERROR(__xludf.DUMMYFUNCTION("""COMPUTED_VALUE"""),0)</f>
        <v>0</v>
      </c>
      <c r="K1840" s="9" t="str">
        <f ca="1">IFERROR(__xludf.DUMMYFUNCTION("""COMPUTED_VALUE"""),"https://www.newspapers.com/image/389807433/")</f>
        <v>https://www.newspapers.com/image/389807433/</v>
      </c>
      <c r="L1840" s="5"/>
      <c r="M1840" s="5"/>
      <c r="N1840" s="5">
        <f ca="1">IFERROR(__xludf.DUMMYFUNCTION("""COMPUTED_VALUE"""),2)</f>
        <v>2</v>
      </c>
      <c r="O1840" s="5" t="str">
        <f ca="1">IFERROR(__xludf.DUMMYFUNCTION("""COMPUTED_VALUE"""),"Winter")</f>
        <v>Winter</v>
      </c>
      <c r="P1840" s="5" t="str">
        <f ca="1">IFERROR(__xludf.DUMMYFUNCTION("""COMPUTED_VALUE"""),"Chicago")</f>
        <v>Chicago</v>
      </c>
      <c r="Q1840" s="5" t="str">
        <f ca="1">IFERROR(__xludf.DUMMYFUNCTION("""COMPUTED_VALUE"""),"IL")</f>
        <v>IL</v>
      </c>
      <c r="R1840" s="5" t="str">
        <f ca="1">IFERROR(__xludf.DUMMYFUNCTION("""COMPUTED_VALUE"""),"High")</f>
        <v>High</v>
      </c>
      <c r="S1840" s="5" t="str">
        <f ca="1">IFERROR(__xludf.DUMMYFUNCTION("""COMPUTED_VALUE"""),"Gym")</f>
        <v>Gym</v>
      </c>
      <c r="T1840" s="5" t="str">
        <f ca="1">IFERROR(__xludf.DUMMYFUNCTION("""COMPUTED_VALUE"""),"Inside School Building")</f>
        <v>Inside School Building</v>
      </c>
      <c r="U1840" s="5" t="str">
        <f ca="1">IFERROR(__xludf.DUMMYFUNCTION("""COMPUTED_VALUE"""),"No")</f>
        <v>No</v>
      </c>
      <c r="V1840" s="5" t="str">
        <f ca="1">IFERROR(__xludf.DUMMYFUNCTION("""COMPUTED_VALUE"""),"Sport Event")</f>
        <v>Sport Event</v>
      </c>
      <c r="W1840" s="10">
        <f ca="1">IFERROR(__xludf.DUMMYFUNCTION("""COMPUTED_VALUE"""),0.791666666666666)</f>
        <v>0.79166666666666596</v>
      </c>
      <c r="X1840" s="5">
        <f ca="1">IFERROR(__xludf.DUMMYFUNCTION("""COMPUTED_VALUE"""),1)</f>
        <v>1</v>
      </c>
      <c r="Y1840" s="5" t="str">
        <f ca="1">IFERROR(__xludf.DUMMYFUNCTION("""COMPUTED_VALUE"""),"Shooting during open gym at basketball court")</f>
        <v>Shooting during open gym at basketball court</v>
      </c>
      <c r="Z1840" s="5" t="str">
        <f ca="1">IFERROR(__xludf.DUMMYFUNCTION("""COMPUTED_VALUE"""),"Open gym at the school from 3-7PM for students and adults. 25 people were in the gym and 2 gun man entered firing at 2 targeted victims (19YOM 23 YOM). Gunmen fled and were confronted by police officer assigned to school. Officer fired multiple shots but "&amp;"shooters escaped in vehicle. Police said shooting was gang related.")</f>
        <v>Open gym at the school from 3-7PM for students and adults. 25 people were in the gym and 2 gun man entered firing at 2 targeted victims (19YOM 23 YOM). Gunmen fled and were confronted by police officer assigned to school. Officer fired multiple shots but shooters escaped in vehicle. Police said shooting was gang related.</v>
      </c>
      <c r="AA1840" s="5" t="str">
        <f ca="1">IFERROR(__xludf.DUMMYFUNCTION("""COMPUTED_VALUE"""),"Escalation of Dispute")</f>
        <v>Escalation of Dispute</v>
      </c>
      <c r="AB1840" s="5" t="str">
        <f ca="1">IFERROR(__xludf.DUMMYFUNCTION("""COMPUTED_VALUE"""),"Victims Targeted")</f>
        <v>Victims Targeted</v>
      </c>
      <c r="AC1840" s="5" t="str">
        <f ca="1">IFERROR(__xludf.DUMMYFUNCTION("""COMPUTED_VALUE"""),"Yes")</f>
        <v>Yes</v>
      </c>
      <c r="AD1840" s="5" t="str">
        <f ca="1">IFERROR(__xludf.DUMMYFUNCTION("""COMPUTED_VALUE"""),"No")</f>
        <v>No</v>
      </c>
      <c r="AE1840" s="5" t="str">
        <f ca="1">IFERROR(__xludf.DUMMYFUNCTION("""COMPUTED_VALUE"""),"No")</f>
        <v>No</v>
      </c>
      <c r="AF1840" s="5" t="str">
        <f ca="1">IFERROR(__xludf.DUMMYFUNCTION("""COMPUTED_VALUE"""),"No")</f>
        <v>No</v>
      </c>
      <c r="AG1840" s="5" t="str">
        <f ca="1">IFERROR(__xludf.DUMMYFUNCTION("""COMPUTED_VALUE"""),"No")</f>
        <v>No</v>
      </c>
      <c r="AH1840" s="5" t="str">
        <f ca="1">IFERROR(__xludf.DUMMYFUNCTION("""COMPUTED_VALUE"""),"No")</f>
        <v>No</v>
      </c>
      <c r="AI1840" s="5" t="str">
        <f ca="1">IFERROR(__xludf.DUMMYFUNCTION("""COMPUTED_VALUE"""),"Yes")</f>
        <v>Yes</v>
      </c>
      <c r="AJ1840" s="5"/>
    </row>
    <row r="1841" spans="1:36" ht="13">
      <c r="A1841" s="5" t="str">
        <f ca="1">IFERROR(__xludf.DUMMYFUNCTION("""COMPUTED_VALUE"""),"19921130ILORC")</f>
        <v>19921130ILORC</v>
      </c>
      <c r="B1841" s="5">
        <f ca="1">IFERROR(__xludf.DUMMYFUNCTION("""COMPUTED_VALUE"""),11)</f>
        <v>11</v>
      </c>
      <c r="C1841" s="5">
        <f ca="1">IFERROR(__xludf.DUMMYFUNCTION("""COMPUTED_VALUE"""),30)</f>
        <v>30</v>
      </c>
      <c r="D1841" s="5">
        <f ca="1">IFERROR(__xludf.DUMMYFUNCTION("""COMPUTED_VALUE"""),1992)</f>
        <v>1992</v>
      </c>
      <c r="E1841" s="8">
        <f ca="1">IFERROR(__xludf.DUMMYFUNCTION("""COMPUTED_VALUE"""),33938)</f>
        <v>33938</v>
      </c>
      <c r="F1841" s="5" t="str">
        <f ca="1">IFERROR(__xludf.DUMMYFUNCTION("""COMPUTED_VALUE"""),"Orr High School")</f>
        <v>Orr High School</v>
      </c>
      <c r="G1841" s="5">
        <f ca="1">IFERROR(__xludf.DUMMYFUNCTION("""COMPUTED_VALUE"""),0)</f>
        <v>0</v>
      </c>
      <c r="H1841" s="5">
        <f ca="1">IFERROR(__xludf.DUMMYFUNCTION("""COMPUTED_VALUE"""),1)</f>
        <v>1</v>
      </c>
      <c r="I1841" s="5">
        <f ca="1">IFERROR(__xludf.DUMMYFUNCTION("""COMPUTED_VALUE"""),1)</f>
        <v>1</v>
      </c>
      <c r="J1841" s="5">
        <f ca="1">IFERROR(__xludf.DUMMYFUNCTION("""COMPUTED_VALUE"""),0)</f>
        <v>0</v>
      </c>
      <c r="K1841" s="9" t="str">
        <f ca="1">IFERROR(__xludf.DUMMYFUNCTION("""COMPUTED_VALUE"""),"https://www.newspapers.com/image/389789093/?terms=laroyal%2Bcrowley")</f>
        <v>https://www.newspapers.com/image/389789093/?terms=laroyal%2Bcrowley</v>
      </c>
      <c r="L1841" s="5"/>
      <c r="M1841" s="5"/>
      <c r="N1841" s="5">
        <f ca="1">IFERROR(__xludf.DUMMYFUNCTION("""COMPUTED_VALUE"""),2)</f>
        <v>2</v>
      </c>
      <c r="O1841" s="5" t="str">
        <f ca="1">IFERROR(__xludf.DUMMYFUNCTION("""COMPUTED_VALUE"""),"Fall")</f>
        <v>Fall</v>
      </c>
      <c r="P1841" s="5" t="str">
        <f ca="1">IFERROR(__xludf.DUMMYFUNCTION("""COMPUTED_VALUE"""),"Chicago")</f>
        <v>Chicago</v>
      </c>
      <c r="Q1841" s="5" t="str">
        <f ca="1">IFERROR(__xludf.DUMMYFUNCTION("""COMPUTED_VALUE"""),"IL")</f>
        <v>IL</v>
      </c>
      <c r="R1841" s="5" t="str">
        <f ca="1">IFERROR(__xludf.DUMMYFUNCTION("""COMPUTED_VALUE"""),"High")</f>
        <v>High</v>
      </c>
      <c r="S1841" s="5" t="str">
        <f ca="1">IFERROR(__xludf.DUMMYFUNCTION("""COMPUTED_VALUE"""),"Beside Building")</f>
        <v>Beside Building</v>
      </c>
      <c r="T1841" s="5" t="str">
        <f ca="1">IFERROR(__xludf.DUMMYFUNCTION("""COMPUTED_VALUE"""),"Outside on School Property")</f>
        <v>Outside on School Property</v>
      </c>
      <c r="U1841" s="5" t="str">
        <f ca="1">IFERROR(__xludf.DUMMYFUNCTION("""COMPUTED_VALUE"""),"Yes")</f>
        <v>Yes</v>
      </c>
      <c r="V1841" s="5" t="str">
        <f ca="1">IFERROR(__xludf.DUMMYFUNCTION("""COMPUTED_VALUE"""),"Dismissal")</f>
        <v>Dismissal</v>
      </c>
      <c r="W1841" s="5"/>
      <c r="X1841" s="5"/>
      <c r="Y1841" s="5" t="str">
        <f ca="1">IFERROR(__xludf.DUMMYFUNCTION("""COMPUTED_VALUE"""),"Retaliation for previous beating by victim")</f>
        <v>Retaliation for previous beating by victim</v>
      </c>
      <c r="Z1841" s="5" t="str">
        <f ca="1">IFERROR(__xludf.DUMMYFUNCTION("""COMPUTED_VALUE"""),"17YOM shot 16YOM as he exited high school. Victim had beaten the shooter in a prior incident. Shooter fled the scene.")</f>
        <v>17YOM shot 16YOM as he exited high school. Victim had beaten the shooter in a prior incident. Shooter fled the scene.</v>
      </c>
      <c r="AA1841" s="5" t="str">
        <f ca="1">IFERROR(__xludf.DUMMYFUNCTION("""COMPUTED_VALUE"""),"Escalation of Dispute")</f>
        <v>Escalation of Dispute</v>
      </c>
      <c r="AB1841" s="5" t="str">
        <f ca="1">IFERROR(__xludf.DUMMYFUNCTION("""COMPUTED_VALUE"""),"Victims Targeted")</f>
        <v>Victims Targeted</v>
      </c>
      <c r="AC1841" s="5" t="str">
        <f ca="1">IFERROR(__xludf.DUMMYFUNCTION("""COMPUTED_VALUE"""),"No")</f>
        <v>No</v>
      </c>
      <c r="AD1841" s="5" t="str">
        <f ca="1">IFERROR(__xludf.DUMMYFUNCTION("""COMPUTED_VALUE"""),"No")</f>
        <v>No</v>
      </c>
      <c r="AE1841" s="5" t="str">
        <f ca="1">IFERROR(__xludf.DUMMYFUNCTION("""COMPUTED_VALUE"""),"No")</f>
        <v>No</v>
      </c>
      <c r="AF1841" s="5" t="str">
        <f ca="1">IFERROR(__xludf.DUMMYFUNCTION("""COMPUTED_VALUE"""),"No")</f>
        <v>No</v>
      </c>
      <c r="AG1841" s="5" t="str">
        <f ca="1">IFERROR(__xludf.DUMMYFUNCTION("""COMPUTED_VALUE"""),"No")</f>
        <v>No</v>
      </c>
      <c r="AH1841" s="5" t="str">
        <f ca="1">IFERROR(__xludf.DUMMYFUNCTION("""COMPUTED_VALUE"""),"No")</f>
        <v>No</v>
      </c>
      <c r="AI1841" s="5" t="str">
        <f ca="1">IFERROR(__xludf.DUMMYFUNCTION("""COMPUTED_VALUE"""),"No")</f>
        <v>No</v>
      </c>
      <c r="AJ1841" s="5"/>
    </row>
    <row r="1842" spans="1:36" ht="13">
      <c r="A1842" s="5" t="str">
        <f ca="1">IFERROR(__xludf.DUMMYFUNCTION("""COMPUTED_VALUE"""),"19921124ALROM")</f>
        <v>19921124ALROM</v>
      </c>
      <c r="B1842" s="5">
        <f ca="1">IFERROR(__xludf.DUMMYFUNCTION("""COMPUTED_VALUE"""),11)</f>
        <v>11</v>
      </c>
      <c r="C1842" s="5">
        <f ca="1">IFERROR(__xludf.DUMMYFUNCTION("""COMPUTED_VALUE"""),24)</f>
        <v>24</v>
      </c>
      <c r="D1842" s="5">
        <f ca="1">IFERROR(__xludf.DUMMYFUNCTION("""COMPUTED_VALUE"""),1992)</f>
        <v>1992</v>
      </c>
      <c r="E1842" s="8">
        <f ca="1">IFERROR(__xludf.DUMMYFUNCTION("""COMPUTED_VALUE"""),33932)</f>
        <v>33932</v>
      </c>
      <c r="F1842" s="5" t="str">
        <f ca="1">IFERROR(__xludf.DUMMYFUNCTION("""COMPUTED_VALUE"""),"Robert E. Lee High School")</f>
        <v>Robert E. Lee High School</v>
      </c>
      <c r="G1842" s="5">
        <f ca="1">IFERROR(__xludf.DUMMYFUNCTION("""COMPUTED_VALUE"""),0)</f>
        <v>0</v>
      </c>
      <c r="H1842" s="5">
        <f ca="1">IFERROR(__xludf.DUMMYFUNCTION("""COMPUTED_VALUE"""),1)</f>
        <v>1</v>
      </c>
      <c r="I1842" s="5">
        <f ca="1">IFERROR(__xludf.DUMMYFUNCTION("""COMPUTED_VALUE"""),1)</f>
        <v>1</v>
      </c>
      <c r="J1842" s="5">
        <f ca="1">IFERROR(__xludf.DUMMYFUNCTION("""COMPUTED_VALUE"""),0)</f>
        <v>0</v>
      </c>
      <c r="K1842" s="5" t="str">
        <f ca="1">IFERROR(__xludf.DUMMYFUNCTION("""COMPUTED_VALUE"""),"Mobile Register - Student Shoots Self in Finger; https://www.columbine-angels.com/School_Violence_1992-1993.htm")</f>
        <v>Mobile Register - Student Shoots Self in Finger; https://www.columbine-angels.com/School_Violence_1992-1993.htm</v>
      </c>
      <c r="L1842" s="5"/>
      <c r="M1842" s="5"/>
      <c r="N1842" s="5">
        <f ca="1">IFERROR(__xludf.DUMMYFUNCTION("""COMPUTED_VALUE"""),1)</f>
        <v>1</v>
      </c>
      <c r="O1842" s="5" t="str">
        <f ca="1">IFERROR(__xludf.DUMMYFUNCTION("""COMPUTED_VALUE"""),"Fall")</f>
        <v>Fall</v>
      </c>
      <c r="P1842" s="5" t="str">
        <f ca="1">IFERROR(__xludf.DUMMYFUNCTION("""COMPUTED_VALUE"""),"Montgomery")</f>
        <v>Montgomery</v>
      </c>
      <c r="Q1842" s="5" t="str">
        <f ca="1">IFERROR(__xludf.DUMMYFUNCTION("""COMPUTED_VALUE"""),"AL")</f>
        <v>AL</v>
      </c>
      <c r="R1842" s="5" t="str">
        <f ca="1">IFERROR(__xludf.DUMMYFUNCTION("""COMPUTED_VALUE"""),"High")</f>
        <v>High</v>
      </c>
      <c r="S1842" s="5" t="str">
        <f ca="1">IFERROR(__xludf.DUMMYFUNCTION("""COMPUTED_VALUE"""),"Bathroom")</f>
        <v>Bathroom</v>
      </c>
      <c r="T1842" s="5" t="str">
        <f ca="1">IFERROR(__xludf.DUMMYFUNCTION("""COMPUTED_VALUE"""),"Inside School Building")</f>
        <v>Inside School Building</v>
      </c>
      <c r="U1842" s="5" t="str">
        <f ca="1">IFERROR(__xludf.DUMMYFUNCTION("""COMPUTED_VALUE"""),"Yes")</f>
        <v>Yes</v>
      </c>
      <c r="V1842" s="5"/>
      <c r="W1842" s="5"/>
      <c r="X1842" s="5">
        <f ca="1">IFERROR(__xludf.DUMMYFUNCTION("""COMPUTED_VALUE"""),1)</f>
        <v>1</v>
      </c>
      <c r="Y1842" s="5" t="str">
        <f ca="1">IFERROR(__xludf.DUMMYFUNCTION("""COMPUTED_VALUE"""),"Fight between two girls in school bathroom")</f>
        <v>Fight between two girls in school bathroom</v>
      </c>
      <c r="Z1842" s="5" t="str">
        <f ca="1">IFERROR(__xludf.DUMMYFUNCTION("""COMPUTED_VALUE"""),"Fight between 18YOF and 17YOF in bathroom of school. 18YOF pulled handgun and during struggle shot herself in the finger.")</f>
        <v>Fight between 18YOF and 17YOF in bathroom of school. 18YOF pulled handgun and during struggle shot herself in the finger.</v>
      </c>
      <c r="AA1842" s="5" t="str">
        <f ca="1">IFERROR(__xludf.DUMMYFUNCTION("""COMPUTED_VALUE"""),"Escalation of Dispute")</f>
        <v>Escalation of Dispute</v>
      </c>
      <c r="AB1842" s="5" t="str">
        <f ca="1">IFERROR(__xludf.DUMMYFUNCTION("""COMPUTED_VALUE"""),"Victims Targeted")</f>
        <v>Victims Targeted</v>
      </c>
      <c r="AC1842" s="5" t="str">
        <f ca="1">IFERROR(__xludf.DUMMYFUNCTION("""COMPUTED_VALUE"""),"No")</f>
        <v>No</v>
      </c>
      <c r="AD1842" s="5" t="str">
        <f ca="1">IFERROR(__xludf.DUMMYFUNCTION("""COMPUTED_VALUE"""),"No")</f>
        <v>No</v>
      </c>
      <c r="AE1842" s="5" t="str">
        <f ca="1">IFERROR(__xludf.DUMMYFUNCTION("""COMPUTED_VALUE"""),"No")</f>
        <v>No</v>
      </c>
      <c r="AF1842" s="5" t="str">
        <f ca="1">IFERROR(__xludf.DUMMYFUNCTION("""COMPUTED_VALUE"""),"No")</f>
        <v>No</v>
      </c>
      <c r="AG1842" s="5" t="str">
        <f ca="1">IFERROR(__xludf.DUMMYFUNCTION("""COMPUTED_VALUE"""),"No")</f>
        <v>No</v>
      </c>
      <c r="AH1842" s="5" t="str">
        <f ca="1">IFERROR(__xludf.DUMMYFUNCTION("""COMPUTED_VALUE"""),"No")</f>
        <v>No</v>
      </c>
      <c r="AI1842" s="5" t="str">
        <f ca="1">IFERROR(__xludf.DUMMYFUNCTION("""COMPUTED_VALUE"""),"No")</f>
        <v>No</v>
      </c>
      <c r="AJ1842" s="5"/>
    </row>
    <row r="1843" spans="1:36" ht="13">
      <c r="A1843" s="5" t="str">
        <f ca="1">IFERROR(__xludf.DUMMYFUNCTION("""COMPUTED_VALUE"""),"19921120ILTIC")</f>
        <v>19921120ILTIC</v>
      </c>
      <c r="B1843" s="5">
        <f ca="1">IFERROR(__xludf.DUMMYFUNCTION("""COMPUTED_VALUE"""),11)</f>
        <v>11</v>
      </c>
      <c r="C1843" s="5">
        <f ca="1">IFERROR(__xludf.DUMMYFUNCTION("""COMPUTED_VALUE"""),20)</f>
        <v>20</v>
      </c>
      <c r="D1843" s="5">
        <f ca="1">IFERROR(__xludf.DUMMYFUNCTION("""COMPUTED_VALUE"""),1992)</f>
        <v>1992</v>
      </c>
      <c r="E1843" s="8">
        <f ca="1">IFERROR(__xludf.DUMMYFUNCTION("""COMPUTED_VALUE"""),33928)</f>
        <v>33928</v>
      </c>
      <c r="F1843" s="5" t="str">
        <f ca="1">IFERROR(__xludf.DUMMYFUNCTION("""COMPUTED_VALUE"""),"Tilden High School")</f>
        <v>Tilden High School</v>
      </c>
      <c r="G1843" s="5">
        <f ca="1">IFERROR(__xludf.DUMMYFUNCTION("""COMPUTED_VALUE"""),1)</f>
        <v>1</v>
      </c>
      <c r="H1843" s="5">
        <f ca="1">IFERROR(__xludf.DUMMYFUNCTION("""COMPUTED_VALUE"""),2)</f>
        <v>2</v>
      </c>
      <c r="I1843" s="5">
        <f ca="1">IFERROR(__xludf.DUMMYFUNCTION("""COMPUTED_VALUE"""),3)</f>
        <v>3</v>
      </c>
      <c r="J1843" s="5">
        <f ca="1">IFERROR(__xludf.DUMMYFUNCTION("""COMPUTED_VALUE"""),0)</f>
        <v>0</v>
      </c>
      <c r="K1843" s="9" t="str">
        <f ca="1">IFERROR(__xludf.DUMMYFUNCTION("""COMPUTED_VALUE"""),"https://www.newspapers.com/image/389765443")</f>
        <v>https://www.newspapers.com/image/389765443</v>
      </c>
      <c r="L1843" s="5"/>
      <c r="M1843" s="5"/>
      <c r="N1843" s="5">
        <f ca="1">IFERROR(__xludf.DUMMYFUNCTION("""COMPUTED_VALUE"""),2)</f>
        <v>2</v>
      </c>
      <c r="O1843" s="5" t="str">
        <f ca="1">IFERROR(__xludf.DUMMYFUNCTION("""COMPUTED_VALUE"""),"Fall")</f>
        <v>Fall</v>
      </c>
      <c r="P1843" s="5" t="str">
        <f ca="1">IFERROR(__xludf.DUMMYFUNCTION("""COMPUTED_VALUE"""),"Chicago")</f>
        <v>Chicago</v>
      </c>
      <c r="Q1843" s="5" t="str">
        <f ca="1">IFERROR(__xludf.DUMMYFUNCTION("""COMPUTED_VALUE"""),"IL")</f>
        <v>IL</v>
      </c>
      <c r="R1843" s="5" t="str">
        <f ca="1">IFERROR(__xludf.DUMMYFUNCTION("""COMPUTED_VALUE"""),"High")</f>
        <v>High</v>
      </c>
      <c r="S1843" s="5" t="str">
        <f ca="1">IFERROR(__xludf.DUMMYFUNCTION("""COMPUTED_VALUE"""),"Hallway")</f>
        <v>Hallway</v>
      </c>
      <c r="T1843" s="5" t="str">
        <f ca="1">IFERROR(__xludf.DUMMYFUNCTION("""COMPUTED_VALUE"""),"Inside School Building")</f>
        <v>Inside School Building</v>
      </c>
      <c r="U1843" s="5" t="str">
        <f ca="1">IFERROR(__xludf.DUMMYFUNCTION("""COMPUTED_VALUE"""),"Yes")</f>
        <v>Yes</v>
      </c>
      <c r="V1843" s="5" t="str">
        <f ca="1">IFERROR(__xludf.DUMMYFUNCTION("""COMPUTED_VALUE"""),"Morning Classes")</f>
        <v>Morning Classes</v>
      </c>
      <c r="W1843" s="10">
        <f ca="1">IFERROR(__xludf.DUMMYFUNCTION("""COMPUTED_VALUE"""),0.416666666666666)</f>
        <v>0.41666666666666602</v>
      </c>
      <c r="X1843" s="5">
        <f ca="1">IFERROR(__xludf.DUMMYFUNCTION("""COMPUTED_VALUE"""),1)</f>
        <v>1</v>
      </c>
      <c r="Y1843" s="5" t="str">
        <f ca="1">IFERROR(__xludf.DUMMYFUNCTION("""COMPUTED_VALUE"""),"Fight in the hallway, shooter fired 4 random shots")</f>
        <v>Fight in the hallway, shooter fired 4 random shots</v>
      </c>
      <c r="Z1843" s="5" t="str">
        <f ca="1">IFERROR(__xludf.DUMMYFUNCTION("""COMPUTED_VALUE"""),"During a fight in the hallway, 15YOM shooter fired 4 random shots striking 3 uninvolved students. Shooter fled the scene and was later arrested. School had metal detectors but they were not used everyday.")</f>
        <v>During a fight in the hallway, 15YOM shooter fired 4 random shots striking 3 uninvolved students. Shooter fled the scene and was later arrested. School had metal detectors but they were not used everyday.</v>
      </c>
      <c r="AA1843" s="5" t="str">
        <f ca="1">IFERROR(__xludf.DUMMYFUNCTION("""COMPUTED_VALUE"""),"Escalation of Dispute")</f>
        <v>Escalation of Dispute</v>
      </c>
      <c r="AB1843" s="5" t="str">
        <f ca="1">IFERROR(__xludf.DUMMYFUNCTION("""COMPUTED_VALUE"""),"Random Shooting")</f>
        <v>Random Shooting</v>
      </c>
      <c r="AC1843" s="5" t="str">
        <f ca="1">IFERROR(__xludf.DUMMYFUNCTION("""COMPUTED_VALUE"""),"No")</f>
        <v>No</v>
      </c>
      <c r="AD1843" s="5" t="str">
        <f ca="1">IFERROR(__xludf.DUMMYFUNCTION("""COMPUTED_VALUE"""),"No")</f>
        <v>No</v>
      </c>
      <c r="AE1843" s="5" t="str">
        <f ca="1">IFERROR(__xludf.DUMMYFUNCTION("""COMPUTED_VALUE"""),"No")</f>
        <v>No</v>
      </c>
      <c r="AF1843" s="5" t="str">
        <f ca="1">IFERROR(__xludf.DUMMYFUNCTION("""COMPUTED_VALUE"""),"No")</f>
        <v>No</v>
      </c>
      <c r="AG1843" s="5" t="str">
        <f ca="1">IFERROR(__xludf.DUMMYFUNCTION("""COMPUTED_VALUE"""),"No")</f>
        <v>No</v>
      </c>
      <c r="AH1843" s="5" t="str">
        <f ca="1">IFERROR(__xludf.DUMMYFUNCTION("""COMPUTED_VALUE"""),"No")</f>
        <v>No</v>
      </c>
      <c r="AI1843" s="5" t="str">
        <f ca="1">IFERROR(__xludf.DUMMYFUNCTION("""COMPUTED_VALUE"""),"No")</f>
        <v>No</v>
      </c>
      <c r="AJ1843" s="5"/>
    </row>
    <row r="1844" spans="1:36" ht="13">
      <c r="A1844" s="5" t="str">
        <f ca="1">IFERROR(__xludf.DUMMYFUNCTION("""COMPUTED_VALUE"""),"19921116ALFAB")</f>
        <v>19921116ALFAB</v>
      </c>
      <c r="B1844" s="5">
        <f ca="1">IFERROR(__xludf.DUMMYFUNCTION("""COMPUTED_VALUE"""),11)</f>
        <v>11</v>
      </c>
      <c r="C1844" s="5">
        <f ca="1">IFERROR(__xludf.DUMMYFUNCTION("""COMPUTED_VALUE"""),16)</f>
        <v>16</v>
      </c>
      <c r="D1844" s="5">
        <f ca="1">IFERROR(__xludf.DUMMYFUNCTION("""COMPUTED_VALUE"""),1992)</f>
        <v>1992</v>
      </c>
      <c r="E1844" s="8">
        <f ca="1">IFERROR(__xludf.DUMMYFUNCTION("""COMPUTED_VALUE"""),33924)</f>
        <v>33924</v>
      </c>
      <c r="F1844" s="5" t="str">
        <f ca="1">IFERROR(__xludf.DUMMYFUNCTION("""COMPUTED_VALUE"""),"Fairfield High School")</f>
        <v>Fairfield High School</v>
      </c>
      <c r="G1844" s="5">
        <f ca="1">IFERROR(__xludf.DUMMYFUNCTION("""COMPUTED_VALUE"""),1)</f>
        <v>1</v>
      </c>
      <c r="H1844" s="5">
        <f ca="1">IFERROR(__xludf.DUMMYFUNCTION("""COMPUTED_VALUE"""),0)</f>
        <v>0</v>
      </c>
      <c r="I1844" s="5">
        <f ca="1">IFERROR(__xludf.DUMMYFUNCTION("""COMPUTED_VALUE"""),1)</f>
        <v>1</v>
      </c>
      <c r="J1844" s="5">
        <f ca="1">IFERROR(__xludf.DUMMYFUNCTION("""COMPUTED_VALUE"""),0)</f>
        <v>0</v>
      </c>
      <c r="K1844" s="9" t="str">
        <f ca="1">IFERROR(__xludf.DUMMYFUNCTION("""COMPUTED_VALUE"""),"https://www.newspapers.com/image/106780083/?terms=Michael%2BJackson%2BJr")</f>
        <v>https://www.newspapers.com/image/106780083/?terms=Michael%2BJackson%2BJr</v>
      </c>
      <c r="L1844" s="5"/>
      <c r="M1844" s="5"/>
      <c r="N1844" s="5">
        <f ca="1">IFERROR(__xludf.DUMMYFUNCTION("""COMPUTED_VALUE"""),2)</f>
        <v>2</v>
      </c>
      <c r="O1844" s="5" t="str">
        <f ca="1">IFERROR(__xludf.DUMMYFUNCTION("""COMPUTED_VALUE"""),"Fall")</f>
        <v>Fall</v>
      </c>
      <c r="P1844" s="5" t="str">
        <f ca="1">IFERROR(__xludf.DUMMYFUNCTION("""COMPUTED_VALUE"""),"Birmingham")</f>
        <v>Birmingham</v>
      </c>
      <c r="Q1844" s="5" t="str">
        <f ca="1">IFERROR(__xludf.DUMMYFUNCTION("""COMPUTED_VALUE"""),"AL")</f>
        <v>AL</v>
      </c>
      <c r="R1844" s="5" t="str">
        <f ca="1">IFERROR(__xludf.DUMMYFUNCTION("""COMPUTED_VALUE"""),"High")</f>
        <v>High</v>
      </c>
      <c r="S1844" s="5" t="str">
        <f ca="1">IFERROR(__xludf.DUMMYFUNCTION("""COMPUTED_VALUE"""),"Hallway")</f>
        <v>Hallway</v>
      </c>
      <c r="T1844" s="5" t="str">
        <f ca="1">IFERROR(__xludf.DUMMYFUNCTION("""COMPUTED_VALUE"""),"Inside School Building")</f>
        <v>Inside School Building</v>
      </c>
      <c r="U1844" s="5" t="str">
        <f ca="1">IFERROR(__xludf.DUMMYFUNCTION("""COMPUTED_VALUE"""),"Yes")</f>
        <v>Yes</v>
      </c>
      <c r="V1844" s="5"/>
      <c r="W1844" s="5"/>
      <c r="X1844" s="5">
        <f ca="1">IFERROR(__xludf.DUMMYFUNCTION("""COMPUTED_VALUE"""),1)</f>
        <v>1</v>
      </c>
      <c r="Y1844" s="5" t="str">
        <f ca="1">IFERROR(__xludf.DUMMYFUNCTION("""COMPUTED_VALUE"""),"4 youths shot victim during robbery")</f>
        <v>4 youths shot victim during robbery</v>
      </c>
      <c r="Z1844" s="5" t="str">
        <f ca="1">IFERROR(__xludf.DUMMYFUNCTION("""COMPUTED_VALUE"""),"16YOM shot during robbery. 4 teens were trying to steal his new jacket.")</f>
        <v>16YOM shot during robbery. 4 teens were trying to steal his new jacket.</v>
      </c>
      <c r="AA1844" s="5" t="str">
        <f ca="1">IFERROR(__xludf.DUMMYFUNCTION("""COMPUTED_VALUE"""),"Illegal Activity")</f>
        <v>Illegal Activity</v>
      </c>
      <c r="AB1844" s="5" t="str">
        <f ca="1">IFERROR(__xludf.DUMMYFUNCTION("""COMPUTED_VALUE"""),"Victims Targeted")</f>
        <v>Victims Targeted</v>
      </c>
      <c r="AC1844" s="5" t="str">
        <f ca="1">IFERROR(__xludf.DUMMYFUNCTION("""COMPUTED_VALUE"""),"Yes")</f>
        <v>Yes</v>
      </c>
      <c r="AD1844" s="5" t="str">
        <f ca="1">IFERROR(__xludf.DUMMYFUNCTION("""COMPUTED_VALUE"""),"No")</f>
        <v>No</v>
      </c>
      <c r="AE1844" s="5" t="str">
        <f ca="1">IFERROR(__xludf.DUMMYFUNCTION("""COMPUTED_VALUE"""),"No")</f>
        <v>No</v>
      </c>
      <c r="AF1844" s="5" t="str">
        <f ca="1">IFERROR(__xludf.DUMMYFUNCTION("""COMPUTED_VALUE"""),"No")</f>
        <v>No</v>
      </c>
      <c r="AG1844" s="5" t="str">
        <f ca="1">IFERROR(__xludf.DUMMYFUNCTION("""COMPUTED_VALUE"""),"No")</f>
        <v>No</v>
      </c>
      <c r="AH1844" s="5" t="str">
        <f ca="1">IFERROR(__xludf.DUMMYFUNCTION("""COMPUTED_VALUE"""),"No")</f>
        <v>No</v>
      </c>
      <c r="AI1844" s="5" t="str">
        <f ca="1">IFERROR(__xludf.DUMMYFUNCTION("""COMPUTED_VALUE"""),"No")</f>
        <v>No</v>
      </c>
      <c r="AJ1844" s="5"/>
    </row>
    <row r="1845" spans="1:36" ht="13">
      <c r="A1845" s="5" t="str">
        <f ca="1">IFERROR(__xludf.DUMMYFUNCTION("""COMPUTED_VALUE"""),"19921113TXLAC")</f>
        <v>19921113TXLAC</v>
      </c>
      <c r="B1845" s="5">
        <f ca="1">IFERROR(__xludf.DUMMYFUNCTION("""COMPUTED_VALUE"""),11)</f>
        <v>11</v>
      </c>
      <c r="C1845" s="5">
        <f ca="1">IFERROR(__xludf.DUMMYFUNCTION("""COMPUTED_VALUE"""),13)</f>
        <v>13</v>
      </c>
      <c r="D1845" s="5">
        <f ca="1">IFERROR(__xludf.DUMMYFUNCTION("""COMPUTED_VALUE"""),1992)</f>
        <v>1992</v>
      </c>
      <c r="E1845" s="8">
        <f ca="1">IFERROR(__xludf.DUMMYFUNCTION("""COMPUTED_VALUE"""),33921)</f>
        <v>33921</v>
      </c>
      <c r="F1845" s="5" t="str">
        <f ca="1">IFERROR(__xludf.DUMMYFUNCTION("""COMPUTED_VALUE"""),"Langham Creek High School")</f>
        <v>Langham Creek High School</v>
      </c>
      <c r="G1845" s="5">
        <f ca="1">IFERROR(__xludf.DUMMYFUNCTION("""COMPUTED_VALUE"""),1)</f>
        <v>1</v>
      </c>
      <c r="H1845" s="5">
        <f ca="1">IFERROR(__xludf.DUMMYFUNCTION("""COMPUTED_VALUE"""),0)</f>
        <v>0</v>
      </c>
      <c r="I1845" s="5">
        <f ca="1">IFERROR(__xludf.DUMMYFUNCTION("""COMPUTED_VALUE"""),1)</f>
        <v>1</v>
      </c>
      <c r="J1845" s="5">
        <f ca="1">IFERROR(__xludf.DUMMYFUNCTION("""COMPUTED_VALUE"""),1)</f>
        <v>1</v>
      </c>
      <c r="K1845" s="5" t="str">
        <f ca="1">IFERROR(__xludf.DUMMYFUNCTION("""COMPUTED_VALUE"""),"Houston Chronicle - Man Shoots Wife, Self on Grounds of School; https://www.columbine-angels.com/School_Violence_1992-1993.htm")</f>
        <v>Houston Chronicle - Man Shoots Wife, Self on Grounds of School; https://www.columbine-angels.com/School_Violence_1992-1993.htm</v>
      </c>
      <c r="L1845" s="5"/>
      <c r="M1845" s="5"/>
      <c r="N1845" s="5">
        <f ca="1">IFERROR(__xludf.DUMMYFUNCTION("""COMPUTED_VALUE"""),1)</f>
        <v>1</v>
      </c>
      <c r="O1845" s="5" t="str">
        <f ca="1">IFERROR(__xludf.DUMMYFUNCTION("""COMPUTED_VALUE"""),"Fall")</f>
        <v>Fall</v>
      </c>
      <c r="P1845" s="5" t="str">
        <f ca="1">IFERROR(__xludf.DUMMYFUNCTION("""COMPUTED_VALUE"""),"Cypress")</f>
        <v>Cypress</v>
      </c>
      <c r="Q1845" s="5" t="str">
        <f ca="1">IFERROR(__xludf.DUMMYFUNCTION("""COMPUTED_VALUE"""),"TX")</f>
        <v>TX</v>
      </c>
      <c r="R1845" s="5" t="str">
        <f ca="1">IFERROR(__xludf.DUMMYFUNCTION("""COMPUTED_VALUE"""),"High")</f>
        <v>High</v>
      </c>
      <c r="S1845" s="5" t="str">
        <f ca="1">IFERROR(__xludf.DUMMYFUNCTION("""COMPUTED_VALUE"""),"Parking Lot")</f>
        <v>Parking Lot</v>
      </c>
      <c r="T1845" s="5" t="str">
        <f ca="1">IFERROR(__xludf.DUMMYFUNCTION("""COMPUTED_VALUE"""),"Outside on School Property")</f>
        <v>Outside on School Property</v>
      </c>
      <c r="U1845" s="5" t="str">
        <f ca="1">IFERROR(__xludf.DUMMYFUNCTION("""COMPUTED_VALUE"""),"Yes")</f>
        <v>Yes</v>
      </c>
      <c r="V1845" s="5" t="str">
        <f ca="1">IFERROR(__xludf.DUMMYFUNCTION("""COMPUTED_VALUE"""),"Afternoon Classes")</f>
        <v>Afternoon Classes</v>
      </c>
      <c r="W1845" s="10">
        <f ca="1">IFERROR(__xludf.DUMMYFUNCTION("""COMPUTED_VALUE"""),0.583333333333333)</f>
        <v>0.58333333333333304</v>
      </c>
      <c r="X1845" s="5">
        <f ca="1">IFERROR(__xludf.DUMMYFUNCTION("""COMPUTED_VALUE"""),1)</f>
        <v>1</v>
      </c>
      <c r="Y1845" s="5" t="str">
        <f ca="1">IFERROR(__xludf.DUMMYFUNCTION("""COMPUTED_VALUE"""),"Murder suicide of estranged wife in parking lot")</f>
        <v>Murder suicide of estranged wife in parking lot</v>
      </c>
      <c r="Z1845" s="5" t="str">
        <f ca="1">IFERROR(__xludf.DUMMYFUNCTION("""COMPUTED_VALUE"""),"39YOM went to school where estranged wife worked. She went to parking lot to talk to him. He shot and killed her and then killed himself.")</f>
        <v>39YOM went to school where estranged wife worked. She went to parking lot to talk to him. He shot and killed her and then killed himself.</v>
      </c>
      <c r="AA1845" s="5" t="str">
        <f ca="1">IFERROR(__xludf.DUMMYFUNCTION("""COMPUTED_VALUE"""),"Murder/Suicide")</f>
        <v>Murder/Suicide</v>
      </c>
      <c r="AB1845" s="5" t="str">
        <f ca="1">IFERROR(__xludf.DUMMYFUNCTION("""COMPUTED_VALUE"""),"Victims Targeted")</f>
        <v>Victims Targeted</v>
      </c>
      <c r="AC1845" s="5" t="str">
        <f ca="1">IFERROR(__xludf.DUMMYFUNCTION("""COMPUTED_VALUE"""),"No")</f>
        <v>No</v>
      </c>
      <c r="AD1845" s="5" t="str">
        <f ca="1">IFERROR(__xludf.DUMMYFUNCTION("""COMPUTED_VALUE"""),"No")</f>
        <v>No</v>
      </c>
      <c r="AE1845" s="5" t="str">
        <f ca="1">IFERROR(__xludf.DUMMYFUNCTION("""COMPUTED_VALUE"""),"No")</f>
        <v>No</v>
      </c>
      <c r="AF1845" s="5" t="str">
        <f ca="1">IFERROR(__xludf.DUMMYFUNCTION("""COMPUTED_VALUE"""),"No")</f>
        <v>No</v>
      </c>
      <c r="AG1845" s="5" t="str">
        <f ca="1">IFERROR(__xludf.DUMMYFUNCTION("""COMPUTED_VALUE"""),"No")</f>
        <v>No</v>
      </c>
      <c r="AH1845" s="5" t="str">
        <f ca="1">IFERROR(__xludf.DUMMYFUNCTION("""COMPUTED_VALUE"""),"Yes")</f>
        <v>Yes</v>
      </c>
      <c r="AI1845" s="5" t="str">
        <f ca="1">IFERROR(__xludf.DUMMYFUNCTION("""COMPUTED_VALUE"""),"No")</f>
        <v>No</v>
      </c>
      <c r="AJ1845" s="5"/>
    </row>
    <row r="1846" spans="1:36" ht="13">
      <c r="A1846" s="5" t="str">
        <f ca="1">IFERROR(__xludf.DUMMYFUNCTION("""COMPUTED_VALUE"""),"19921110ILSHC")</f>
        <v>19921110ILSHC</v>
      </c>
      <c r="B1846" s="5">
        <f ca="1">IFERROR(__xludf.DUMMYFUNCTION("""COMPUTED_VALUE"""),11)</f>
        <v>11</v>
      </c>
      <c r="C1846" s="5">
        <f ca="1">IFERROR(__xludf.DUMMYFUNCTION("""COMPUTED_VALUE"""),10)</f>
        <v>10</v>
      </c>
      <c r="D1846" s="5">
        <f ca="1">IFERROR(__xludf.DUMMYFUNCTION("""COMPUTED_VALUE"""),1992)</f>
        <v>1992</v>
      </c>
      <c r="E1846" s="8">
        <f ca="1">IFERROR(__xludf.DUMMYFUNCTION("""COMPUTED_VALUE"""),33918)</f>
        <v>33918</v>
      </c>
      <c r="F1846" s="5" t="str">
        <f ca="1">IFERROR(__xludf.DUMMYFUNCTION("""COMPUTED_VALUE"""),"Sherman Elementary School")</f>
        <v>Sherman Elementary School</v>
      </c>
      <c r="G1846" s="5">
        <f ca="1">IFERROR(__xludf.DUMMYFUNCTION("""COMPUTED_VALUE"""),0)</f>
        <v>0</v>
      </c>
      <c r="H1846" s="5">
        <f ca="1">IFERROR(__xludf.DUMMYFUNCTION("""COMPUTED_VALUE"""),0)</f>
        <v>0</v>
      </c>
      <c r="I1846" s="5">
        <f ca="1">IFERROR(__xludf.DUMMYFUNCTION("""COMPUTED_VALUE"""),0)</f>
        <v>0</v>
      </c>
      <c r="J1846" s="5">
        <f ca="1">IFERROR(__xludf.DUMMYFUNCTION("""COMPUTED_VALUE"""),1)</f>
        <v>1</v>
      </c>
      <c r="K1846" s="9" t="str">
        <f ca="1">IFERROR(__xludf.DUMMYFUNCTION("""COMPUTED_VALUE"""),"https://www.newspapers.com/image/389728711/?terms=Willie%2BClayborn")</f>
        <v>https://www.newspapers.com/image/389728711/?terms=Willie%2BClayborn</v>
      </c>
      <c r="L1846" s="5"/>
      <c r="M1846" s="5"/>
      <c r="N1846" s="5">
        <f ca="1">IFERROR(__xludf.DUMMYFUNCTION("""COMPUTED_VALUE"""),2)</f>
        <v>2</v>
      </c>
      <c r="O1846" s="5" t="str">
        <f ca="1">IFERROR(__xludf.DUMMYFUNCTION("""COMPUTED_VALUE"""),"Fall")</f>
        <v>Fall</v>
      </c>
      <c r="P1846" s="5" t="str">
        <f ca="1">IFERROR(__xludf.DUMMYFUNCTION("""COMPUTED_VALUE"""),"Chicago")</f>
        <v>Chicago</v>
      </c>
      <c r="Q1846" s="5" t="str">
        <f ca="1">IFERROR(__xludf.DUMMYFUNCTION("""COMPUTED_VALUE"""),"IL")</f>
        <v>IL</v>
      </c>
      <c r="R1846" s="5" t="str">
        <f ca="1">IFERROR(__xludf.DUMMYFUNCTION("""COMPUTED_VALUE"""),"Elementary")</f>
        <v>Elementary</v>
      </c>
      <c r="S1846" s="5" t="str">
        <f ca="1">IFERROR(__xludf.DUMMYFUNCTION("""COMPUTED_VALUE"""),"Classroom")</f>
        <v>Classroom</v>
      </c>
      <c r="T1846" s="5" t="str">
        <f ca="1">IFERROR(__xludf.DUMMYFUNCTION("""COMPUTED_VALUE"""),"Inside School Building")</f>
        <v>Inside School Building</v>
      </c>
      <c r="U1846" s="5" t="str">
        <f ca="1">IFERROR(__xludf.DUMMYFUNCTION("""COMPUTED_VALUE"""),"Yes")</f>
        <v>Yes</v>
      </c>
      <c r="V1846" s="5"/>
      <c r="W1846" s="5"/>
      <c r="X1846" s="5">
        <f ca="1">IFERROR(__xludf.DUMMYFUNCTION("""COMPUTED_VALUE"""),1)</f>
        <v>1</v>
      </c>
      <c r="Y1846" s="5" t="str">
        <f ca="1">IFERROR(__xludf.DUMMYFUNCTION("""COMPUTED_VALUE"""),"Playing with gun in classroom, shot himself in the head")</f>
        <v>Playing with gun in classroom, shot himself in the head</v>
      </c>
      <c r="Z1846" s="5" t="str">
        <f ca="1">IFERROR(__xludf.DUMMYFUNCTION("""COMPUTED_VALUE"""),"13YOM student was playing with gun in classroom. Pulled trigger once and it didn't go off. Pointed it at his head and pulled the trigger again killing himself. Student had found gun and carried it with him for protection against gangs. 30 students were in"&amp;" the classroom during the shooting.")</f>
        <v>13YOM student was playing with gun in classroom. Pulled trigger once and it didn't go off. Pointed it at his head and pulled the trigger again killing himself. Student had found gun and carried it with him for protection against gangs. 30 students were in the classroom during the shooting.</v>
      </c>
      <c r="AA1846" s="5" t="str">
        <f ca="1">IFERROR(__xludf.DUMMYFUNCTION("""COMPUTED_VALUE"""),"Accidental")</f>
        <v>Accidental</v>
      </c>
      <c r="AB1846" s="5" t="str">
        <f ca="1">IFERROR(__xludf.DUMMYFUNCTION("""COMPUTED_VALUE"""),"Victims Targeted")</f>
        <v>Victims Targeted</v>
      </c>
      <c r="AC1846" s="5" t="str">
        <f ca="1">IFERROR(__xludf.DUMMYFUNCTION("""COMPUTED_VALUE"""),"No")</f>
        <v>No</v>
      </c>
      <c r="AD1846" s="5" t="str">
        <f ca="1">IFERROR(__xludf.DUMMYFUNCTION("""COMPUTED_VALUE"""),"No")</f>
        <v>No</v>
      </c>
      <c r="AE1846" s="5" t="str">
        <f ca="1">IFERROR(__xludf.DUMMYFUNCTION("""COMPUTED_VALUE"""),"No")</f>
        <v>No</v>
      </c>
      <c r="AF1846" s="5" t="str">
        <f ca="1">IFERROR(__xludf.DUMMYFUNCTION("""COMPUTED_VALUE"""),"No")</f>
        <v>No</v>
      </c>
      <c r="AG1846" s="5" t="str">
        <f ca="1">IFERROR(__xludf.DUMMYFUNCTION("""COMPUTED_VALUE"""),"No")</f>
        <v>No</v>
      </c>
      <c r="AH1846" s="5" t="str">
        <f ca="1">IFERROR(__xludf.DUMMYFUNCTION("""COMPUTED_VALUE"""),"No")</f>
        <v>No</v>
      </c>
      <c r="AI1846" s="5" t="str">
        <f ca="1">IFERROR(__xludf.DUMMYFUNCTION("""COMPUTED_VALUE"""),"No")</f>
        <v>No</v>
      </c>
      <c r="AJ1846" s="5"/>
    </row>
    <row r="1847" spans="1:36" ht="13">
      <c r="A1847" s="5" t="str">
        <f ca="1">IFERROR(__xludf.DUMMYFUNCTION("""COMPUTED_VALUE"""),"19921104MIMUD")</f>
        <v>19921104MIMUD</v>
      </c>
      <c r="B1847" s="5">
        <f ca="1">IFERROR(__xludf.DUMMYFUNCTION("""COMPUTED_VALUE"""),11)</f>
        <v>11</v>
      </c>
      <c r="C1847" s="5">
        <f ca="1">IFERROR(__xludf.DUMMYFUNCTION("""COMPUTED_VALUE"""),4)</f>
        <v>4</v>
      </c>
      <c r="D1847" s="5">
        <f ca="1">IFERROR(__xludf.DUMMYFUNCTION("""COMPUTED_VALUE"""),1992)</f>
        <v>1992</v>
      </c>
      <c r="E1847" s="8">
        <f ca="1">IFERROR(__xludf.DUMMYFUNCTION("""COMPUTED_VALUE"""),33912)</f>
        <v>33912</v>
      </c>
      <c r="F1847" s="5" t="str">
        <f ca="1">IFERROR(__xludf.DUMMYFUNCTION("""COMPUTED_VALUE"""),"Mumford High School")</f>
        <v>Mumford High School</v>
      </c>
      <c r="G1847" s="5">
        <f ca="1">IFERROR(__xludf.DUMMYFUNCTION("""COMPUTED_VALUE"""),0)</f>
        <v>0</v>
      </c>
      <c r="H1847" s="5">
        <f ca="1">IFERROR(__xludf.DUMMYFUNCTION("""COMPUTED_VALUE"""),3)</f>
        <v>3</v>
      </c>
      <c r="I1847" s="5">
        <f ca="1">IFERROR(__xludf.DUMMYFUNCTION("""COMPUTED_VALUE"""),3)</f>
        <v>3</v>
      </c>
      <c r="J1847" s="5">
        <f ca="1">IFERROR(__xludf.DUMMYFUNCTION("""COMPUTED_VALUE"""),0)</f>
        <v>0</v>
      </c>
      <c r="K1847" s="5" t="str">
        <f ca="1">IFERROR(__xludf.DUMMYFUNCTION("""COMPUTED_VALUE"""),"https://www.edweek.org/leadership/detroit-schools-step-up-security-after-student-shootings/1992/11
https://www.newspapers.com/image/366371409/?terms=Robert%2BE.%2BLee%2BHigh%2BSchool%2Bshooting https://www.edweek.org/ew/articles/1992/11/18/11detr.h12.html")</f>
        <v>https://www.edweek.org/leadership/detroit-schools-step-up-security-after-student-shootings/1992/11
https://www.newspapers.com/image/366371409/?terms=Robert%2BE.%2BLee%2BHigh%2BSchool%2Bshooting https://www.edweek.org/ew/articles/1992/11/18/11detr.h12.html</v>
      </c>
      <c r="L1847" s="5"/>
      <c r="M1847" s="5"/>
      <c r="N1847" s="5">
        <f ca="1">IFERROR(__xludf.DUMMYFUNCTION("""COMPUTED_VALUE"""),3)</f>
        <v>3</v>
      </c>
      <c r="O1847" s="5" t="str">
        <f ca="1">IFERROR(__xludf.DUMMYFUNCTION("""COMPUTED_VALUE"""),"Fall")</f>
        <v>Fall</v>
      </c>
      <c r="P1847" s="5" t="str">
        <f ca="1">IFERROR(__xludf.DUMMYFUNCTION("""COMPUTED_VALUE"""),"Detroit")</f>
        <v>Detroit</v>
      </c>
      <c r="Q1847" s="5" t="str">
        <f ca="1">IFERROR(__xludf.DUMMYFUNCTION("""COMPUTED_VALUE"""),"MI")</f>
        <v>MI</v>
      </c>
      <c r="R1847" s="5" t="str">
        <f ca="1">IFERROR(__xludf.DUMMYFUNCTION("""COMPUTED_VALUE"""),"High")</f>
        <v>High</v>
      </c>
      <c r="S1847" s="5" t="str">
        <f ca="1">IFERROR(__xludf.DUMMYFUNCTION("""COMPUTED_VALUE"""),"Front of School")</f>
        <v>Front of School</v>
      </c>
      <c r="T1847" s="5" t="str">
        <f ca="1">IFERROR(__xludf.DUMMYFUNCTION("""COMPUTED_VALUE"""),"Outside on School Property")</f>
        <v>Outside on School Property</v>
      </c>
      <c r="U1847" s="5" t="str">
        <f ca="1">IFERROR(__xludf.DUMMYFUNCTION("""COMPUTED_VALUE"""),"Yes")</f>
        <v>Yes</v>
      </c>
      <c r="V1847" s="5" t="str">
        <f ca="1">IFERROR(__xludf.DUMMYFUNCTION("""COMPUTED_VALUE"""),"Afternoon Classes")</f>
        <v>Afternoon Classes</v>
      </c>
      <c r="W1847" s="10">
        <f ca="1">IFERROR(__xludf.DUMMYFUNCTION("""COMPUTED_VALUE"""),0.614583333333333)</f>
        <v>0.61458333333333304</v>
      </c>
      <c r="X1847" s="5">
        <f ca="1">IFERROR(__xludf.DUMMYFUNCTION("""COMPUTED_VALUE"""),1)</f>
        <v>1</v>
      </c>
      <c r="Y1847" s="5" t="str">
        <f ca="1">IFERROR(__xludf.DUMMYFUNCTION("""COMPUTED_VALUE"""),"Bystander student hit during related drive-by")</f>
        <v>Bystander student hit during related drive-by</v>
      </c>
      <c r="Z1847" s="5" t="str">
        <f ca="1">IFERROR(__xludf.DUMMYFUNCTION("""COMPUTED_VALUE"""),"A 14 year-old boy and two girls, ages 13 and 14, were charged with assault with intent to commit murder and sent to the Wayne County Youth Home after a 3 P.M. Drive-by shooting that injured three youths near Foch Middle School and Marcus Garvey Academy, a"&amp;"n eastside elementary school")</f>
        <v>A 14 year-old boy and two girls, ages 13 and 14, were charged with assault with intent to commit murder and sent to the Wayne County Youth Home after a 3 P.M. Drive-by shooting that injured three youths near Foch Middle School and Marcus Garvey Academy, an eastside elementary school</v>
      </c>
      <c r="AA1847" s="5" t="str">
        <f ca="1">IFERROR(__xludf.DUMMYFUNCTION("""COMPUTED_VALUE"""),"Drive-by Shooting")</f>
        <v>Drive-by Shooting</v>
      </c>
      <c r="AB1847" s="5"/>
      <c r="AC1847" s="5" t="str">
        <f ca="1">IFERROR(__xludf.DUMMYFUNCTION("""COMPUTED_VALUE"""),"Yes")</f>
        <v>Yes</v>
      </c>
      <c r="AD1847" s="5" t="str">
        <f ca="1">IFERROR(__xludf.DUMMYFUNCTION("""COMPUTED_VALUE"""),"No")</f>
        <v>No</v>
      </c>
      <c r="AE1847" s="5" t="str">
        <f ca="1">IFERROR(__xludf.DUMMYFUNCTION("""COMPUTED_VALUE"""),"No")</f>
        <v>No</v>
      </c>
      <c r="AF1847" s="5" t="str">
        <f ca="1">IFERROR(__xludf.DUMMYFUNCTION("""COMPUTED_VALUE"""),"No")</f>
        <v>No</v>
      </c>
      <c r="AG1847" s="5" t="str">
        <f ca="1">IFERROR(__xludf.DUMMYFUNCTION("""COMPUTED_VALUE"""),"No")</f>
        <v>No</v>
      </c>
      <c r="AH1847" s="5" t="str">
        <f ca="1">IFERROR(__xludf.DUMMYFUNCTION("""COMPUTED_VALUE"""),"No")</f>
        <v>No</v>
      </c>
      <c r="AI1847" s="5" t="str">
        <f ca="1">IFERROR(__xludf.DUMMYFUNCTION("""COMPUTED_VALUE"""),"Yes")</f>
        <v>Yes</v>
      </c>
      <c r="AJ1847" s="5"/>
    </row>
    <row r="1848" spans="1:36" ht="13">
      <c r="A1848" s="5" t="str">
        <f ca="1">IFERROR(__xludf.DUMMYFUNCTION("""COMPUTED_VALUE"""),"19921104MIMAD")</f>
        <v>19921104MIMAD</v>
      </c>
      <c r="B1848" s="5">
        <f ca="1">IFERROR(__xludf.DUMMYFUNCTION("""COMPUTED_VALUE"""),11)</f>
        <v>11</v>
      </c>
      <c r="C1848" s="5">
        <f ca="1">IFERROR(__xludf.DUMMYFUNCTION("""COMPUTED_VALUE"""),4)</f>
        <v>4</v>
      </c>
      <c r="D1848" s="5">
        <f ca="1">IFERROR(__xludf.DUMMYFUNCTION("""COMPUTED_VALUE"""),1992)</f>
        <v>1992</v>
      </c>
      <c r="E1848" s="8">
        <f ca="1">IFERROR(__xludf.DUMMYFUNCTION("""COMPUTED_VALUE"""),33912)</f>
        <v>33912</v>
      </c>
      <c r="F1848" s="5" t="str">
        <f ca="1">IFERROR(__xludf.DUMMYFUNCTION("""COMPUTED_VALUE"""),"Marcus Garvey Academy")</f>
        <v>Marcus Garvey Academy</v>
      </c>
      <c r="G1848" s="5">
        <f ca="1">IFERROR(__xludf.DUMMYFUNCTION("""COMPUTED_VALUE"""),0)</f>
        <v>0</v>
      </c>
      <c r="H1848" s="5">
        <f ca="1">IFERROR(__xludf.DUMMYFUNCTION("""COMPUTED_VALUE"""),1)</f>
        <v>1</v>
      </c>
      <c r="I1848" s="5">
        <f ca="1">IFERROR(__xludf.DUMMYFUNCTION("""COMPUTED_VALUE"""),1)</f>
        <v>1</v>
      </c>
      <c r="J1848" s="5">
        <f ca="1">IFERROR(__xludf.DUMMYFUNCTION("""COMPUTED_VALUE"""),0)</f>
        <v>0</v>
      </c>
      <c r="K1848" s="5" t="str">
        <f ca="1">IFERROR(__xludf.DUMMYFUNCTION("""COMPUTED_VALUE"""),"https://www.newspapers.com/image/366371409/?terms=Robert%2BE.%2BLee%2BHigh%2BSchool%2Bshooting https://www.edweek.org/ew/articles/1992/11/18/11detr.h12.html")</f>
        <v>https://www.newspapers.com/image/366371409/?terms=Robert%2BE.%2BLee%2BHigh%2BSchool%2Bshooting https://www.edweek.org/ew/articles/1992/11/18/11detr.h12.html</v>
      </c>
      <c r="L1848" s="5"/>
      <c r="M1848" s="5"/>
      <c r="N1848" s="5">
        <f ca="1">IFERROR(__xludf.DUMMYFUNCTION("""COMPUTED_VALUE"""),3)</f>
        <v>3</v>
      </c>
      <c r="O1848" s="5" t="str">
        <f ca="1">IFERROR(__xludf.DUMMYFUNCTION("""COMPUTED_VALUE"""),"Fall")</f>
        <v>Fall</v>
      </c>
      <c r="P1848" s="5" t="str">
        <f ca="1">IFERROR(__xludf.DUMMYFUNCTION("""COMPUTED_VALUE"""),"Detroit")</f>
        <v>Detroit</v>
      </c>
      <c r="Q1848" s="5" t="str">
        <f ca="1">IFERROR(__xludf.DUMMYFUNCTION("""COMPUTED_VALUE"""),"MI")</f>
        <v>MI</v>
      </c>
      <c r="R1848" s="5" t="str">
        <f ca="1">IFERROR(__xludf.DUMMYFUNCTION("""COMPUTED_VALUE"""),"K-8")</f>
        <v>K-8</v>
      </c>
      <c r="S1848" s="5" t="str">
        <f ca="1">IFERROR(__xludf.DUMMYFUNCTION("""COMPUTED_VALUE"""),"Front of School")</f>
        <v>Front of School</v>
      </c>
      <c r="T1848" s="5" t="str">
        <f ca="1">IFERROR(__xludf.DUMMYFUNCTION("""COMPUTED_VALUE"""),"Outside on School Property")</f>
        <v>Outside on School Property</v>
      </c>
      <c r="U1848" s="5" t="str">
        <f ca="1">IFERROR(__xludf.DUMMYFUNCTION("""COMPUTED_VALUE"""),"Yes")</f>
        <v>Yes</v>
      </c>
      <c r="V1848" s="5" t="str">
        <f ca="1">IFERROR(__xludf.DUMMYFUNCTION("""COMPUTED_VALUE"""),"Dismissal")</f>
        <v>Dismissal</v>
      </c>
      <c r="W1848" s="10">
        <f ca="1">IFERROR(__xludf.DUMMYFUNCTION("""COMPUTED_VALUE"""),0.614583333333333)</f>
        <v>0.61458333333333304</v>
      </c>
      <c r="X1848" s="5">
        <f ca="1">IFERROR(__xludf.DUMMYFUNCTION("""COMPUTED_VALUE"""),1)</f>
        <v>1</v>
      </c>
      <c r="Y1848" s="5" t="str">
        <f ca="1">IFERROR(__xludf.DUMMYFUNCTION("""COMPUTED_VALUE"""),"Bystander student hit during related drive-by")</f>
        <v>Bystander student hit during related drive-by</v>
      </c>
      <c r="Z1848" s="5" t="str">
        <f ca="1">IFERROR(__xludf.DUMMYFUNCTION("""COMPUTED_VALUE"""),"Student was shot outside of the school during a targeted drive by shootings.")</f>
        <v>Student was shot outside of the school during a targeted drive by shootings.</v>
      </c>
      <c r="AA1848" s="5" t="str">
        <f ca="1">IFERROR(__xludf.DUMMYFUNCTION("""COMPUTED_VALUE"""),"Drive-by Shooting")</f>
        <v>Drive-by Shooting</v>
      </c>
      <c r="AB1848" s="5"/>
      <c r="AC1848" s="5" t="str">
        <f ca="1">IFERROR(__xludf.DUMMYFUNCTION("""COMPUTED_VALUE"""),"No")</f>
        <v>No</v>
      </c>
      <c r="AD1848" s="5" t="str">
        <f ca="1">IFERROR(__xludf.DUMMYFUNCTION("""COMPUTED_VALUE"""),"No")</f>
        <v>No</v>
      </c>
      <c r="AE1848" s="5" t="str">
        <f ca="1">IFERROR(__xludf.DUMMYFUNCTION("""COMPUTED_VALUE"""),"No")</f>
        <v>No</v>
      </c>
      <c r="AF1848" s="5" t="str">
        <f ca="1">IFERROR(__xludf.DUMMYFUNCTION("""COMPUTED_VALUE"""),"No")</f>
        <v>No</v>
      </c>
      <c r="AG1848" s="5" t="str">
        <f ca="1">IFERROR(__xludf.DUMMYFUNCTION("""COMPUTED_VALUE"""),"No")</f>
        <v>No</v>
      </c>
      <c r="AH1848" s="5" t="str">
        <f ca="1">IFERROR(__xludf.DUMMYFUNCTION("""COMPUTED_VALUE"""),"No")</f>
        <v>No</v>
      </c>
      <c r="AI1848" s="5" t="str">
        <f ca="1">IFERROR(__xludf.DUMMYFUNCTION("""COMPUTED_VALUE"""),"Yes")</f>
        <v>Yes</v>
      </c>
      <c r="AJ1848" s="5"/>
    </row>
    <row r="1849" spans="1:36" ht="13">
      <c r="A1849" s="5" t="str">
        <f ca="1">IFERROR(__xludf.DUMMYFUNCTION("""COMPUTED_VALUE"""),"19921104MIFID")</f>
        <v>19921104MIFID</v>
      </c>
      <c r="B1849" s="5">
        <f ca="1">IFERROR(__xludf.DUMMYFUNCTION("""COMPUTED_VALUE"""),11)</f>
        <v>11</v>
      </c>
      <c r="C1849" s="5">
        <f ca="1">IFERROR(__xludf.DUMMYFUNCTION("""COMPUTED_VALUE"""),4)</f>
        <v>4</v>
      </c>
      <c r="D1849" s="5">
        <f ca="1">IFERROR(__xludf.DUMMYFUNCTION("""COMPUTED_VALUE"""),1992)</f>
        <v>1992</v>
      </c>
      <c r="E1849" s="8">
        <f ca="1">IFERROR(__xludf.DUMMYFUNCTION("""COMPUTED_VALUE"""),33912)</f>
        <v>33912</v>
      </c>
      <c r="F1849" s="5" t="str">
        <f ca="1">IFERROR(__xludf.DUMMYFUNCTION("""COMPUTED_VALUE"""),"Finney High School")</f>
        <v>Finney High School</v>
      </c>
      <c r="G1849" s="5">
        <f ca="1">IFERROR(__xludf.DUMMYFUNCTION("""COMPUTED_VALUE"""),0)</f>
        <v>0</v>
      </c>
      <c r="H1849" s="5">
        <f ca="1">IFERROR(__xludf.DUMMYFUNCTION("""COMPUTED_VALUE"""),0)</f>
        <v>0</v>
      </c>
      <c r="I1849" s="5">
        <f ca="1">IFERROR(__xludf.DUMMYFUNCTION("""COMPUTED_VALUE"""),0)</f>
        <v>0</v>
      </c>
      <c r="J1849" s="5">
        <f ca="1">IFERROR(__xludf.DUMMYFUNCTION("""COMPUTED_VALUE"""),0)</f>
        <v>0</v>
      </c>
      <c r="K1849" s="5" t="str">
        <f ca="1">IFERROR(__xludf.DUMMYFUNCTION("""COMPUTED_VALUE"""),"https://www.newspapers.com/image/366371409/?terms=Robert%2BE.%2BLee%2BHigh%2BSchool%2Bshooting https://www.edweek.org/ew/articles/1992/11/18/11detr.h12.html")</f>
        <v>https://www.newspapers.com/image/366371409/?terms=Robert%2BE.%2BLee%2BHigh%2BSchool%2Bshooting https://www.edweek.org/ew/articles/1992/11/18/11detr.h12.html</v>
      </c>
      <c r="L1849" s="5"/>
      <c r="M1849" s="5"/>
      <c r="N1849" s="5">
        <f ca="1">IFERROR(__xludf.DUMMYFUNCTION("""COMPUTED_VALUE"""),3)</f>
        <v>3</v>
      </c>
      <c r="O1849" s="5" t="str">
        <f ca="1">IFERROR(__xludf.DUMMYFUNCTION("""COMPUTED_VALUE"""),"Fall")</f>
        <v>Fall</v>
      </c>
      <c r="P1849" s="5" t="str">
        <f ca="1">IFERROR(__xludf.DUMMYFUNCTION("""COMPUTED_VALUE"""),"Detroit")</f>
        <v>Detroit</v>
      </c>
      <c r="Q1849" s="5" t="str">
        <f ca="1">IFERROR(__xludf.DUMMYFUNCTION("""COMPUTED_VALUE"""),"MI")</f>
        <v>MI</v>
      </c>
      <c r="R1849" s="5" t="str">
        <f ca="1">IFERROR(__xludf.DUMMYFUNCTION("""COMPUTED_VALUE"""),"High")</f>
        <v>High</v>
      </c>
      <c r="S1849" s="5" t="str">
        <f ca="1">IFERROR(__xludf.DUMMYFUNCTION("""COMPUTED_VALUE"""),"Hallway")</f>
        <v>Hallway</v>
      </c>
      <c r="T1849" s="5" t="str">
        <f ca="1">IFERROR(__xludf.DUMMYFUNCTION("""COMPUTED_VALUE"""),"Inside School Building")</f>
        <v>Inside School Building</v>
      </c>
      <c r="U1849" s="5" t="str">
        <f ca="1">IFERROR(__xludf.DUMMYFUNCTION("""COMPUTED_VALUE"""),"Yes")</f>
        <v>Yes</v>
      </c>
      <c r="V1849" s="5" t="str">
        <f ca="1">IFERROR(__xludf.DUMMYFUNCTION("""COMPUTED_VALUE"""),"Morning Classes")</f>
        <v>Morning Classes</v>
      </c>
      <c r="W1849" s="10">
        <f ca="1">IFERROR(__xludf.DUMMYFUNCTION("""COMPUTED_VALUE"""),0.4375)</f>
        <v>0.4375</v>
      </c>
      <c r="X1849" s="5">
        <f ca="1">IFERROR(__xludf.DUMMYFUNCTION("""COMPUTED_VALUE"""),1)</f>
        <v>1</v>
      </c>
      <c r="Y1849" s="5" t="str">
        <f ca="1">IFERROR(__xludf.DUMMYFUNCTION("""COMPUTED_VALUE"""),"Gang related shooting in hallway")</f>
        <v>Gang related shooting in hallway</v>
      </c>
      <c r="Z1849" s="5" t="str">
        <f ca="1">IFERROR(__xludf.DUMMYFUNCTION("""COMPUTED_VALUE"""),"Three shooters donned ski masks and began firing into a group in a hallway. Six students were injured by lightweight shot, possibly bird shot, and refused medical treatment")</f>
        <v>Three shooters donned ski masks and began firing into a group in a hallway. Six students were injured by lightweight shot, possibly bird shot, and refused medical treatment</v>
      </c>
      <c r="AA1849" s="5" t="str">
        <f ca="1">IFERROR(__xludf.DUMMYFUNCTION("""COMPUTED_VALUE"""),"Indiscriminate Shooting")</f>
        <v>Indiscriminate Shooting</v>
      </c>
      <c r="AB1849" s="5" t="str">
        <f ca="1">IFERROR(__xludf.DUMMYFUNCTION("""COMPUTED_VALUE"""),"Both")</f>
        <v>Both</v>
      </c>
      <c r="AC1849" s="5" t="str">
        <f ca="1">IFERROR(__xludf.DUMMYFUNCTION("""COMPUTED_VALUE"""),"Yes")</f>
        <v>Yes</v>
      </c>
      <c r="AD1849" s="5" t="str">
        <f ca="1">IFERROR(__xludf.DUMMYFUNCTION("""COMPUTED_VALUE"""),"No")</f>
        <v>No</v>
      </c>
      <c r="AE1849" s="5" t="str">
        <f ca="1">IFERROR(__xludf.DUMMYFUNCTION("""COMPUTED_VALUE"""),"No")</f>
        <v>No</v>
      </c>
      <c r="AF1849" s="5" t="str">
        <f ca="1">IFERROR(__xludf.DUMMYFUNCTION("""COMPUTED_VALUE"""),"No")</f>
        <v>No</v>
      </c>
      <c r="AG1849" s="5" t="str">
        <f ca="1">IFERROR(__xludf.DUMMYFUNCTION("""COMPUTED_VALUE"""),"No")</f>
        <v>No</v>
      </c>
      <c r="AH1849" s="5" t="str">
        <f ca="1">IFERROR(__xludf.DUMMYFUNCTION("""COMPUTED_VALUE"""),"No")</f>
        <v>No</v>
      </c>
      <c r="AI1849" s="5" t="str">
        <f ca="1">IFERROR(__xludf.DUMMYFUNCTION("""COMPUTED_VALUE"""),"Yes")</f>
        <v>Yes</v>
      </c>
      <c r="AJ1849" s="5"/>
    </row>
    <row r="1850" spans="1:36" ht="13">
      <c r="A1850" s="5" t="str">
        <f ca="1">IFERROR(__xludf.DUMMYFUNCTION("""COMPUTED_VALUE"""),"19921019NYEVB")</f>
        <v>19921019NYEVB</v>
      </c>
      <c r="B1850" s="5">
        <f ca="1">IFERROR(__xludf.DUMMYFUNCTION("""COMPUTED_VALUE"""),10)</f>
        <v>10</v>
      </c>
      <c r="C1850" s="5">
        <f ca="1">IFERROR(__xludf.DUMMYFUNCTION("""COMPUTED_VALUE"""),19)</f>
        <v>19</v>
      </c>
      <c r="D1850" s="5">
        <f ca="1">IFERROR(__xludf.DUMMYFUNCTION("""COMPUTED_VALUE"""),1992)</f>
        <v>1992</v>
      </c>
      <c r="E1850" s="8">
        <f ca="1">IFERROR(__xludf.DUMMYFUNCTION("""COMPUTED_VALUE"""),33896)</f>
        <v>33896</v>
      </c>
      <c r="F1850" s="5" t="str">
        <f ca="1">IFERROR(__xludf.DUMMYFUNCTION("""COMPUTED_VALUE"""),"Evander Childs High School")</f>
        <v>Evander Childs High School</v>
      </c>
      <c r="G1850" s="5">
        <f ca="1">IFERROR(__xludf.DUMMYFUNCTION("""COMPUTED_VALUE"""),0)</f>
        <v>0</v>
      </c>
      <c r="H1850" s="5">
        <f ca="1">IFERROR(__xludf.DUMMYFUNCTION("""COMPUTED_VALUE"""),3)</f>
        <v>3</v>
      </c>
      <c r="I1850" s="5">
        <f ca="1">IFERROR(__xludf.DUMMYFUNCTION("""COMPUTED_VALUE"""),3)</f>
        <v>3</v>
      </c>
      <c r="J1850" s="5">
        <f ca="1">IFERROR(__xludf.DUMMYFUNCTION("""COMPUTED_VALUE"""),0)</f>
        <v>0</v>
      </c>
      <c r="K1850" s="9" t="str">
        <f ca="1">IFERROR(__xludf.DUMMYFUNCTION("""COMPUTED_VALUE"""),"https://www.nytimes.com/1992/10/20/nyregion/3-teen-agers-shot-in-bronx-near-a-school.html")</f>
        <v>https://www.nytimes.com/1992/10/20/nyregion/3-teen-agers-shot-in-bronx-near-a-school.html</v>
      </c>
      <c r="L1850" s="5"/>
      <c r="M1850" s="5"/>
      <c r="N1850" s="5">
        <f ca="1">IFERROR(__xludf.DUMMYFUNCTION("""COMPUTED_VALUE"""),2)</f>
        <v>2</v>
      </c>
      <c r="O1850" s="5" t="str">
        <f ca="1">IFERROR(__xludf.DUMMYFUNCTION("""COMPUTED_VALUE"""),"Fall")</f>
        <v>Fall</v>
      </c>
      <c r="P1850" s="5" t="str">
        <f ca="1">IFERROR(__xludf.DUMMYFUNCTION("""COMPUTED_VALUE"""),"Bronx")</f>
        <v>Bronx</v>
      </c>
      <c r="Q1850" s="5" t="str">
        <f ca="1">IFERROR(__xludf.DUMMYFUNCTION("""COMPUTED_VALUE"""),"NY")</f>
        <v>NY</v>
      </c>
      <c r="R1850" s="5" t="str">
        <f ca="1">IFERROR(__xludf.DUMMYFUNCTION("""COMPUTED_VALUE"""),"High")</f>
        <v>High</v>
      </c>
      <c r="S1850" s="5" t="str">
        <f ca="1">IFERROR(__xludf.DUMMYFUNCTION("""COMPUTED_VALUE"""),"Beside Building")</f>
        <v>Beside Building</v>
      </c>
      <c r="T1850" s="5" t="str">
        <f ca="1">IFERROR(__xludf.DUMMYFUNCTION("""COMPUTED_VALUE"""),"Outside on School Property")</f>
        <v>Outside on School Property</v>
      </c>
      <c r="U1850" s="5" t="str">
        <f ca="1">IFERROR(__xludf.DUMMYFUNCTION("""COMPUTED_VALUE"""),"Yes")</f>
        <v>Yes</v>
      </c>
      <c r="V1850" s="5" t="str">
        <f ca="1">IFERROR(__xludf.DUMMYFUNCTION("""COMPUTED_VALUE"""),"Afternoon Classes")</f>
        <v>Afternoon Classes</v>
      </c>
      <c r="W1850" s="10">
        <f ca="1">IFERROR(__xludf.DUMMYFUNCTION("""COMPUTED_VALUE"""),0.574305555555555)</f>
        <v>0.57430555555555496</v>
      </c>
      <c r="X1850" s="5">
        <f ca="1">IFERROR(__xludf.DUMMYFUNCTION("""COMPUTED_VALUE"""),1)</f>
        <v>1</v>
      </c>
      <c r="Y1850" s="5" t="str">
        <f ca="1">IFERROR(__xludf.DUMMYFUNCTION("""COMPUTED_VALUE"""),"Bystander student shot in hallway during gang shooting")</f>
        <v>Bystander student shot in hallway during gang shooting</v>
      </c>
      <c r="Z1850" s="5" t="str">
        <f ca="1">IFERROR(__xludf.DUMMYFUNCTION("""COMPUTED_VALUE"""),"Shooter fired at another male student outside of the school building hitting two female students in the crossfire. The shooter fled the scene. The shooter and targeted victim had a dispute earlier during the school day over hand gestures/gang signs in the"&amp;" hallway. The two female students struck were both honor students.")</f>
        <v>Shooter fired at another male student outside of the school building hitting two female students in the crossfire. The shooter fled the scene. The shooter and targeted victim had a dispute earlier during the school day over hand gestures/gang signs in the hallway. The two female students struck were both honor students.</v>
      </c>
      <c r="AA1850" s="5" t="str">
        <f ca="1">IFERROR(__xludf.DUMMYFUNCTION("""COMPUTED_VALUE"""),"Escalation of Dispute")</f>
        <v>Escalation of Dispute</v>
      </c>
      <c r="AB1850" s="5" t="str">
        <f ca="1">IFERROR(__xludf.DUMMYFUNCTION("""COMPUTED_VALUE"""),"Victims Targeted")</f>
        <v>Victims Targeted</v>
      </c>
      <c r="AC1850" s="5" t="str">
        <f ca="1">IFERROR(__xludf.DUMMYFUNCTION("""COMPUTED_VALUE"""),"No")</f>
        <v>No</v>
      </c>
      <c r="AD1850" s="5" t="str">
        <f ca="1">IFERROR(__xludf.DUMMYFUNCTION("""COMPUTED_VALUE"""),"No")</f>
        <v>No</v>
      </c>
      <c r="AE1850" s="5" t="str">
        <f ca="1">IFERROR(__xludf.DUMMYFUNCTION("""COMPUTED_VALUE"""),"No")</f>
        <v>No</v>
      </c>
      <c r="AF1850" s="5" t="str">
        <f ca="1">IFERROR(__xludf.DUMMYFUNCTION("""COMPUTED_VALUE"""),"No")</f>
        <v>No</v>
      </c>
      <c r="AG1850" s="5" t="str">
        <f ca="1">IFERROR(__xludf.DUMMYFUNCTION("""COMPUTED_VALUE"""),"No")</f>
        <v>No</v>
      </c>
      <c r="AH1850" s="5" t="str">
        <f ca="1">IFERROR(__xludf.DUMMYFUNCTION("""COMPUTED_VALUE"""),"No")</f>
        <v>No</v>
      </c>
      <c r="AI1850" s="5" t="str">
        <f ca="1">IFERROR(__xludf.DUMMYFUNCTION("""COMPUTED_VALUE"""),"Yes")</f>
        <v>Yes</v>
      </c>
      <c r="AJ1850" s="5"/>
    </row>
    <row r="1851" spans="1:36" ht="13">
      <c r="A1851" s="5" t="str">
        <f ca="1">IFERROR(__xludf.DUMMYFUNCTION("""COMPUTED_VALUE"""),"19921013AZDET")</f>
        <v>19921013AZDET</v>
      </c>
      <c r="B1851" s="5">
        <f ca="1">IFERROR(__xludf.DUMMYFUNCTION("""COMPUTED_VALUE"""),10)</f>
        <v>10</v>
      </c>
      <c r="C1851" s="5">
        <f ca="1">IFERROR(__xludf.DUMMYFUNCTION("""COMPUTED_VALUE"""),13)</f>
        <v>13</v>
      </c>
      <c r="D1851" s="5">
        <f ca="1">IFERROR(__xludf.DUMMYFUNCTION("""COMPUTED_VALUE"""),1992)</f>
        <v>1992</v>
      </c>
      <c r="E1851" s="8">
        <f ca="1">IFERROR(__xludf.DUMMYFUNCTION("""COMPUTED_VALUE"""),33890)</f>
        <v>33890</v>
      </c>
      <c r="F1851" s="5" t="str">
        <f ca="1">IFERROR(__xludf.DUMMYFUNCTION("""COMPUTED_VALUE"""),"Desert View High School")</f>
        <v>Desert View High School</v>
      </c>
      <c r="G1851" s="5">
        <f ca="1">IFERROR(__xludf.DUMMYFUNCTION("""COMPUTED_VALUE"""),1)</f>
        <v>1</v>
      </c>
      <c r="H1851" s="5">
        <f ca="1">IFERROR(__xludf.DUMMYFUNCTION("""COMPUTED_VALUE"""),0)</f>
        <v>0</v>
      </c>
      <c r="I1851" s="5">
        <f ca="1">IFERROR(__xludf.DUMMYFUNCTION("""COMPUTED_VALUE"""),1)</f>
        <v>1</v>
      </c>
      <c r="J1851" s="5">
        <f ca="1">IFERROR(__xludf.DUMMYFUNCTION("""COMPUTED_VALUE"""),0)</f>
        <v>0</v>
      </c>
      <c r="K1851" s="5" t="str">
        <f ca="1">IFERROR(__xludf.DUMMYFUNCTION("""COMPUTED_VALUE"""),"https://www.newspapers.com/image/169151413/?terms=Oscar%2BDaniel%2BLeon http://tucsoncitizen.com/morgue2/1994/10/20/168376-triumph-follows-tragedy/")</f>
        <v>https://www.newspapers.com/image/169151413/?terms=Oscar%2BDaniel%2BLeon http://tucsoncitizen.com/morgue2/1994/10/20/168376-triumph-follows-tragedy/</v>
      </c>
      <c r="L1851" s="5"/>
      <c r="M1851" s="5"/>
      <c r="N1851" s="5">
        <f ca="1">IFERROR(__xludf.DUMMYFUNCTION("""COMPUTED_VALUE"""),3)</f>
        <v>3</v>
      </c>
      <c r="O1851" s="5" t="str">
        <f ca="1">IFERROR(__xludf.DUMMYFUNCTION("""COMPUTED_VALUE"""),"Fall")</f>
        <v>Fall</v>
      </c>
      <c r="P1851" s="5" t="str">
        <f ca="1">IFERROR(__xludf.DUMMYFUNCTION("""COMPUTED_VALUE"""),"Tucson")</f>
        <v>Tucson</v>
      </c>
      <c r="Q1851" s="5" t="str">
        <f ca="1">IFERROR(__xludf.DUMMYFUNCTION("""COMPUTED_VALUE"""),"AZ")</f>
        <v>AZ</v>
      </c>
      <c r="R1851" s="5" t="str">
        <f ca="1">IFERROR(__xludf.DUMMYFUNCTION("""COMPUTED_VALUE"""),"High")</f>
        <v>High</v>
      </c>
      <c r="S1851" s="5" t="str">
        <f ca="1">IFERROR(__xludf.DUMMYFUNCTION("""COMPUTED_VALUE"""),"Parking Lot")</f>
        <v>Parking Lot</v>
      </c>
      <c r="T1851" s="5" t="str">
        <f ca="1">IFERROR(__xludf.DUMMYFUNCTION("""COMPUTED_VALUE"""),"Outside on School Property")</f>
        <v>Outside on School Property</v>
      </c>
      <c r="U1851" s="5" t="str">
        <f ca="1">IFERROR(__xludf.DUMMYFUNCTION("""COMPUTED_VALUE"""),"Yes")</f>
        <v>Yes</v>
      </c>
      <c r="V1851" s="5" t="str">
        <f ca="1">IFERROR(__xludf.DUMMYFUNCTION("""COMPUTED_VALUE"""),"Dismissal")</f>
        <v>Dismissal</v>
      </c>
      <c r="W1851" s="5"/>
      <c r="X1851" s="5">
        <f ca="1">IFERROR(__xludf.DUMMYFUNCTION("""COMPUTED_VALUE"""),1)</f>
        <v>1</v>
      </c>
      <c r="Y1851" s="5" t="str">
        <f ca="1">IFERROR(__xludf.DUMMYFUNCTION("""COMPUTED_VALUE"""),"Student flashed gang sign at shooter")</f>
        <v>Student flashed gang sign at shooter</v>
      </c>
      <c r="Z1851" s="5" t="str">
        <f ca="1">IFERROR(__xludf.DUMMYFUNCTION("""COMPUTED_VALUE"""),"16YOM student flashes gang sign at 20YOM in school parking lot. 20YOM was member of rival gang and shot/killed him.")</f>
        <v>16YOM student flashes gang sign at 20YOM in school parking lot. 20YOM was member of rival gang and shot/killed him.</v>
      </c>
      <c r="AA1851" s="5" t="str">
        <f ca="1">IFERROR(__xludf.DUMMYFUNCTION("""COMPUTED_VALUE"""),"Escalation of Dispute")</f>
        <v>Escalation of Dispute</v>
      </c>
      <c r="AB1851" s="5" t="str">
        <f ca="1">IFERROR(__xludf.DUMMYFUNCTION("""COMPUTED_VALUE"""),"Victims Targeted")</f>
        <v>Victims Targeted</v>
      </c>
      <c r="AC1851" s="5" t="str">
        <f ca="1">IFERROR(__xludf.DUMMYFUNCTION("""COMPUTED_VALUE"""),"No")</f>
        <v>No</v>
      </c>
      <c r="AD1851" s="5" t="str">
        <f ca="1">IFERROR(__xludf.DUMMYFUNCTION("""COMPUTED_VALUE"""),"No")</f>
        <v>No</v>
      </c>
      <c r="AE1851" s="5" t="str">
        <f ca="1">IFERROR(__xludf.DUMMYFUNCTION("""COMPUTED_VALUE"""),"No")</f>
        <v>No</v>
      </c>
      <c r="AF1851" s="5" t="str">
        <f ca="1">IFERROR(__xludf.DUMMYFUNCTION("""COMPUTED_VALUE"""),"No")</f>
        <v>No</v>
      </c>
      <c r="AG1851" s="5" t="str">
        <f ca="1">IFERROR(__xludf.DUMMYFUNCTION("""COMPUTED_VALUE"""),"No")</f>
        <v>No</v>
      </c>
      <c r="AH1851" s="5" t="str">
        <f ca="1">IFERROR(__xludf.DUMMYFUNCTION("""COMPUTED_VALUE"""),"No")</f>
        <v>No</v>
      </c>
      <c r="AI1851" s="5" t="str">
        <f ca="1">IFERROR(__xludf.DUMMYFUNCTION("""COMPUTED_VALUE"""),"Yes")</f>
        <v>Yes</v>
      </c>
      <c r="AJ1851" s="5"/>
    </row>
    <row r="1852" spans="1:36" ht="13">
      <c r="A1852" s="5" t="str">
        <f ca="1">IFERROR(__xludf.DUMMYFUNCTION("""COMPUTED_VALUE"""),"19920930CAPAL")</f>
        <v>19920930CAPAL</v>
      </c>
      <c r="B1852" s="5">
        <f ca="1">IFERROR(__xludf.DUMMYFUNCTION("""COMPUTED_VALUE"""),9)</f>
        <v>9</v>
      </c>
      <c r="C1852" s="5">
        <f ca="1">IFERROR(__xludf.DUMMYFUNCTION("""COMPUTED_VALUE"""),30)</f>
        <v>30</v>
      </c>
      <c r="D1852" s="5">
        <f ca="1">IFERROR(__xludf.DUMMYFUNCTION("""COMPUTED_VALUE"""),1992)</f>
        <v>1992</v>
      </c>
      <c r="E1852" s="8">
        <f ca="1">IFERROR(__xludf.DUMMYFUNCTION("""COMPUTED_VALUE"""),33877)</f>
        <v>33877</v>
      </c>
      <c r="F1852" s="5" t="str">
        <f ca="1">IFERROR(__xludf.DUMMYFUNCTION("""COMPUTED_VALUE"""),"Paramount High School")</f>
        <v>Paramount High School</v>
      </c>
      <c r="G1852" s="5">
        <f ca="1">IFERROR(__xludf.DUMMYFUNCTION("""COMPUTED_VALUE"""),1)</f>
        <v>1</v>
      </c>
      <c r="H1852" s="5">
        <f ca="1">IFERROR(__xludf.DUMMYFUNCTION("""COMPUTED_VALUE"""),0)</f>
        <v>0</v>
      </c>
      <c r="I1852" s="5">
        <f ca="1">IFERROR(__xludf.DUMMYFUNCTION("""COMPUTED_VALUE"""),1)</f>
        <v>1</v>
      </c>
      <c r="J1852" s="5">
        <f ca="1">IFERROR(__xludf.DUMMYFUNCTION("""COMPUTED_VALUE"""),0)</f>
        <v>0</v>
      </c>
      <c r="K1852" s="5" t="str">
        <f ca="1">IFERROR(__xludf.DUMMYFUNCTION("""COMPUTED_VALUE"""),"https://www.newspapers.com/image/712126935/?terms=shot%20at%20school&amp;match=1 https://www.latimes.com/archives/la-xpm-1992-10-01-mn-358-story.html")</f>
        <v>https://www.newspapers.com/image/712126935/?terms=shot%20at%20school&amp;match=1 https://www.latimes.com/archives/la-xpm-1992-10-01-mn-358-story.html</v>
      </c>
      <c r="L1852" s="5"/>
      <c r="M1852" s="5" t="str">
        <f ca="1">IFERROR(__xludf.DUMMYFUNCTION("""COMPUTED_VALUE"""),"Regional")</f>
        <v>Regional</v>
      </c>
      <c r="N1852" s="5">
        <f ca="1">IFERROR(__xludf.DUMMYFUNCTION("""COMPUTED_VALUE"""),4)</f>
        <v>4</v>
      </c>
      <c r="O1852" s="5" t="str">
        <f ca="1">IFERROR(__xludf.DUMMYFUNCTION("""COMPUTED_VALUE"""),"Fall")</f>
        <v>Fall</v>
      </c>
      <c r="P1852" s="5" t="str">
        <f ca="1">IFERROR(__xludf.DUMMYFUNCTION("""COMPUTED_VALUE"""),"Los Angeles")</f>
        <v>Los Angeles</v>
      </c>
      <c r="Q1852" s="5" t="str">
        <f ca="1">IFERROR(__xludf.DUMMYFUNCTION("""COMPUTED_VALUE"""),"CA")</f>
        <v>CA</v>
      </c>
      <c r="R1852" s="5" t="str">
        <f ca="1">IFERROR(__xludf.DUMMYFUNCTION("""COMPUTED_VALUE"""),"High")</f>
        <v>High</v>
      </c>
      <c r="S1852" s="5" t="str">
        <f ca="1">IFERROR(__xludf.DUMMYFUNCTION("""COMPUTED_VALUE"""),"Front of School")</f>
        <v>Front of School</v>
      </c>
      <c r="T1852" s="5" t="str">
        <f ca="1">IFERROR(__xludf.DUMMYFUNCTION("""COMPUTED_VALUE"""),"Outside on School Property")</f>
        <v>Outside on School Property</v>
      </c>
      <c r="U1852" s="5" t="str">
        <f ca="1">IFERROR(__xludf.DUMMYFUNCTION("""COMPUTED_VALUE"""),"No")</f>
        <v>No</v>
      </c>
      <c r="V1852" s="5" t="str">
        <f ca="1">IFERROR(__xludf.DUMMYFUNCTION("""COMPUTED_VALUE"""),"After School")</f>
        <v>After School</v>
      </c>
      <c r="W1852" s="10">
        <f ca="1">IFERROR(__xludf.DUMMYFUNCTION("""COMPUTED_VALUE"""),0.625)</f>
        <v>0.625</v>
      </c>
      <c r="X1852" s="5">
        <f ca="1">IFERROR(__xludf.DUMMYFUNCTION("""COMPUTED_VALUE"""),1)</f>
        <v>1</v>
      </c>
      <c r="Y1852" s="5" t="str">
        <f ca="1">IFERROR(__xludf.DUMMYFUNCTION("""COMPUTED_VALUE"""),"Student walking to cheerleading practice was fatally shot")</f>
        <v>Student walking to cheerleading practice was fatally shot</v>
      </c>
      <c r="Z1852" s="5" t="str">
        <f ca="1">IFERROR(__xludf.DUMMYFUNCTION("""COMPUTED_VALUE"""),"A 16-year-old female student was walking in front of the school to cheerleading practice when she was fatally shot in the back of the head. The bullet was fired by a teen on a bike who was shooting at a rival teenage gang member. The victim was not the in"&amp;"tended target. Shooter fled the scene.")</f>
        <v>A 16-year-old female student was walking in front of the school to cheerleading practice when she was fatally shot in the back of the head. The bullet was fired by a teen on a bike who was shooting at a rival teenage gang member. The victim was not the intended target. Shooter fled the scene.</v>
      </c>
      <c r="AA1852" s="5" t="str">
        <f ca="1">IFERROR(__xludf.DUMMYFUNCTION("""COMPUTED_VALUE"""),"Drive-by Shooting")</f>
        <v>Drive-by Shooting</v>
      </c>
      <c r="AB1852" s="5" t="str">
        <f ca="1">IFERROR(__xludf.DUMMYFUNCTION("""COMPUTED_VALUE"""),"Both")</f>
        <v>Both</v>
      </c>
      <c r="AC1852" s="5" t="str">
        <f ca="1">IFERROR(__xludf.DUMMYFUNCTION("""COMPUTED_VALUE"""),"No")</f>
        <v>No</v>
      </c>
      <c r="AD1852" s="5" t="str">
        <f ca="1">IFERROR(__xludf.DUMMYFUNCTION("""COMPUTED_VALUE"""),"No")</f>
        <v>No</v>
      </c>
      <c r="AE1852" s="5" t="str">
        <f ca="1">IFERROR(__xludf.DUMMYFUNCTION("""COMPUTED_VALUE"""),"No")</f>
        <v>No</v>
      </c>
      <c r="AF1852" s="5" t="str">
        <f ca="1">IFERROR(__xludf.DUMMYFUNCTION("""COMPUTED_VALUE"""),"No")</f>
        <v>No</v>
      </c>
      <c r="AG1852" s="5" t="str">
        <f ca="1">IFERROR(__xludf.DUMMYFUNCTION("""COMPUTED_VALUE"""),"No")</f>
        <v>No</v>
      </c>
      <c r="AH1852" s="5" t="str">
        <f ca="1">IFERROR(__xludf.DUMMYFUNCTION("""COMPUTED_VALUE"""),"No")</f>
        <v>No</v>
      </c>
      <c r="AI1852" s="5" t="str">
        <f ca="1">IFERROR(__xludf.DUMMYFUNCTION("""COMPUTED_VALUE"""),"Yes")</f>
        <v>Yes</v>
      </c>
      <c r="AJ1852" s="5" t="str">
        <f ca="1">IFERROR(__xludf.DUMMYFUNCTION("""COMPUTED_VALUE"""),"No")</f>
        <v>No</v>
      </c>
    </row>
    <row r="1853" spans="1:36" ht="13">
      <c r="A1853" s="5" t="str">
        <f ca="1">IFERROR(__xludf.DUMMYFUNCTION("""COMPUTED_VALUE"""),"19920930TXHOH")</f>
        <v>19920930TXHOH</v>
      </c>
      <c r="B1853" s="5">
        <f ca="1">IFERROR(__xludf.DUMMYFUNCTION("""COMPUTED_VALUE"""),9)</f>
        <v>9</v>
      </c>
      <c r="C1853" s="5">
        <f ca="1">IFERROR(__xludf.DUMMYFUNCTION("""COMPUTED_VALUE"""),30)</f>
        <v>30</v>
      </c>
      <c r="D1853" s="5">
        <f ca="1">IFERROR(__xludf.DUMMYFUNCTION("""COMPUTED_VALUE"""),1992)</f>
        <v>1992</v>
      </c>
      <c r="E1853" s="8">
        <f ca="1">IFERROR(__xludf.DUMMYFUNCTION("""COMPUTED_VALUE"""),33877)</f>
        <v>33877</v>
      </c>
      <c r="F1853" s="5" t="str">
        <f ca="1">IFERROR(__xludf.DUMMYFUNCTION("""COMPUTED_VALUE"""),"Hollibrook Elementary School")</f>
        <v>Hollibrook Elementary School</v>
      </c>
      <c r="G1853" s="5">
        <f ca="1">IFERROR(__xludf.DUMMYFUNCTION("""COMPUTED_VALUE"""),1)</f>
        <v>1</v>
      </c>
      <c r="H1853" s="5">
        <f ca="1">IFERROR(__xludf.DUMMYFUNCTION("""COMPUTED_VALUE"""),1)</f>
        <v>1</v>
      </c>
      <c r="I1853" s="5">
        <f ca="1">IFERROR(__xludf.DUMMYFUNCTION("""COMPUTED_VALUE"""),2)</f>
        <v>2</v>
      </c>
      <c r="J1853" s="5">
        <f ca="1">IFERROR(__xludf.DUMMYFUNCTION("""COMPUTED_VALUE"""),0)</f>
        <v>0</v>
      </c>
      <c r="K1853" s="5" t="str">
        <f ca="1">IFERROR(__xludf.DUMMYFUNCTION("""COMPUTED_VALUE"""),"Houston Chronicle - Northbrook High School Student Arrested in Boy's Slaying; https://www.columbine-angels.com/School_Violence_1992-1993.htm")</f>
        <v>Houston Chronicle - Northbrook High School Student Arrested in Boy's Slaying; https://www.columbine-angels.com/School_Violence_1992-1993.htm</v>
      </c>
      <c r="L1853" s="5"/>
      <c r="M1853" s="5"/>
      <c r="N1853" s="5">
        <f ca="1">IFERROR(__xludf.DUMMYFUNCTION("""COMPUTED_VALUE"""),1)</f>
        <v>1</v>
      </c>
      <c r="O1853" s="5" t="str">
        <f ca="1">IFERROR(__xludf.DUMMYFUNCTION("""COMPUTED_VALUE"""),"Fall")</f>
        <v>Fall</v>
      </c>
      <c r="P1853" s="5" t="str">
        <f ca="1">IFERROR(__xludf.DUMMYFUNCTION("""COMPUTED_VALUE"""),"Houston")</f>
        <v>Houston</v>
      </c>
      <c r="Q1853" s="5" t="str">
        <f ca="1">IFERROR(__xludf.DUMMYFUNCTION("""COMPUTED_VALUE"""),"TX")</f>
        <v>TX</v>
      </c>
      <c r="R1853" s="5" t="str">
        <f ca="1">IFERROR(__xludf.DUMMYFUNCTION("""COMPUTED_VALUE"""),"Elementary")</f>
        <v>Elementary</v>
      </c>
      <c r="S1853" s="5" t="str">
        <f ca="1">IFERROR(__xludf.DUMMYFUNCTION("""COMPUTED_VALUE"""),"Outside on School Property")</f>
        <v>Outside on School Property</v>
      </c>
      <c r="T1853" s="5" t="str">
        <f ca="1">IFERROR(__xludf.DUMMYFUNCTION("""COMPUTED_VALUE"""),"Outside on School Property")</f>
        <v>Outside on School Property</v>
      </c>
      <c r="U1853" s="5" t="str">
        <f ca="1">IFERROR(__xludf.DUMMYFUNCTION("""COMPUTED_VALUE"""),"No")</f>
        <v>No</v>
      </c>
      <c r="V1853" s="5" t="str">
        <f ca="1">IFERROR(__xludf.DUMMYFUNCTION("""COMPUTED_VALUE"""),"Night")</f>
        <v>Night</v>
      </c>
      <c r="W1853" s="10">
        <f ca="1">IFERROR(__xludf.DUMMYFUNCTION("""COMPUTED_VALUE"""),0.9375)</f>
        <v>0.9375</v>
      </c>
      <c r="X1853" s="5">
        <f ca="1">IFERROR(__xludf.DUMMYFUNCTION("""COMPUTED_VALUE"""),1)</f>
        <v>1</v>
      </c>
      <c r="Y1853" s="5" t="str">
        <f ca="1">IFERROR(__xludf.DUMMYFUNCTION("""COMPUTED_VALUE"""),"Gang fight at school during night")</f>
        <v>Gang fight at school during night</v>
      </c>
      <c r="Z1853" s="5" t="str">
        <f ca="1">IFERROR(__xludf.DUMMYFUNCTION("""COMPUTED_VALUE"""),"Fight between rival gang members. One killed and one injured by shotgun. 15YOM later charged.")</f>
        <v>Fight between rival gang members. One killed and one injured by shotgun. 15YOM later charged.</v>
      </c>
      <c r="AA1853" s="5" t="str">
        <f ca="1">IFERROR(__xludf.DUMMYFUNCTION("""COMPUTED_VALUE"""),"Escalation of Dispute")</f>
        <v>Escalation of Dispute</v>
      </c>
      <c r="AB1853" s="5" t="str">
        <f ca="1">IFERROR(__xludf.DUMMYFUNCTION("""COMPUTED_VALUE"""),"Victims Targeted")</f>
        <v>Victims Targeted</v>
      </c>
      <c r="AC1853" s="5" t="str">
        <f ca="1">IFERROR(__xludf.DUMMYFUNCTION("""COMPUTED_VALUE"""),"No")</f>
        <v>No</v>
      </c>
      <c r="AD1853" s="5" t="str">
        <f ca="1">IFERROR(__xludf.DUMMYFUNCTION("""COMPUTED_VALUE"""),"No")</f>
        <v>No</v>
      </c>
      <c r="AE1853" s="5" t="str">
        <f ca="1">IFERROR(__xludf.DUMMYFUNCTION("""COMPUTED_VALUE"""),"No")</f>
        <v>No</v>
      </c>
      <c r="AF1853" s="5" t="str">
        <f ca="1">IFERROR(__xludf.DUMMYFUNCTION("""COMPUTED_VALUE"""),"No")</f>
        <v>No</v>
      </c>
      <c r="AG1853" s="5" t="str">
        <f ca="1">IFERROR(__xludf.DUMMYFUNCTION("""COMPUTED_VALUE"""),"No")</f>
        <v>No</v>
      </c>
      <c r="AH1853" s="5" t="str">
        <f ca="1">IFERROR(__xludf.DUMMYFUNCTION("""COMPUTED_VALUE"""),"No")</f>
        <v>No</v>
      </c>
      <c r="AI1853" s="5" t="str">
        <f ca="1">IFERROR(__xludf.DUMMYFUNCTION("""COMPUTED_VALUE"""),"Yes")</f>
        <v>Yes</v>
      </c>
      <c r="AJ1853" s="5"/>
    </row>
    <row r="1854" spans="1:36" ht="13">
      <c r="A1854" s="5" t="str">
        <f ca="1">IFERROR(__xludf.DUMMYFUNCTION("""COMPUTED_VALUE"""),"19920928CAHIS")</f>
        <v>19920928CAHIS</v>
      </c>
      <c r="B1854" s="5">
        <f ca="1">IFERROR(__xludf.DUMMYFUNCTION("""COMPUTED_VALUE"""),9)</f>
        <v>9</v>
      </c>
      <c r="C1854" s="5">
        <f ca="1">IFERROR(__xludf.DUMMYFUNCTION("""COMPUTED_VALUE"""),28)</f>
        <v>28</v>
      </c>
      <c r="D1854" s="5">
        <f ca="1">IFERROR(__xludf.DUMMYFUNCTION("""COMPUTED_VALUE"""),1992)</f>
        <v>1992</v>
      </c>
      <c r="E1854" s="8">
        <f ca="1">IFERROR(__xludf.DUMMYFUNCTION("""COMPUTED_VALUE"""),33875)</f>
        <v>33875</v>
      </c>
      <c r="F1854" s="5" t="str">
        <f ca="1">IFERROR(__xludf.DUMMYFUNCTION("""COMPUTED_VALUE"""),"Hiram Johnson High School")</f>
        <v>Hiram Johnson High School</v>
      </c>
      <c r="G1854" s="5">
        <f ca="1">IFERROR(__xludf.DUMMYFUNCTION("""COMPUTED_VALUE"""),0)</f>
        <v>0</v>
      </c>
      <c r="H1854" s="5">
        <f ca="1">IFERROR(__xludf.DUMMYFUNCTION("""COMPUTED_VALUE"""),2)</f>
        <v>2</v>
      </c>
      <c r="I1854" s="5">
        <f ca="1">IFERROR(__xludf.DUMMYFUNCTION("""COMPUTED_VALUE"""),2)</f>
        <v>2</v>
      </c>
      <c r="J1854" s="5">
        <f ca="1">IFERROR(__xludf.DUMMYFUNCTION("""COMPUTED_VALUE"""),0)</f>
        <v>0</v>
      </c>
      <c r="K1854" s="9" t="str">
        <f ca="1">IFERROR(__xludf.DUMMYFUNCTION("""COMPUTED_VALUE"""),"https://www.newspapers.com/image/384174219/?terms=Hiram%2BJohnson%2BHigh%2BSchool%2Bshooting")</f>
        <v>https://www.newspapers.com/image/384174219/?terms=Hiram%2BJohnson%2BHigh%2BSchool%2Bshooting</v>
      </c>
      <c r="L1854" s="5"/>
      <c r="M1854" s="5"/>
      <c r="N1854" s="5">
        <f ca="1">IFERROR(__xludf.DUMMYFUNCTION("""COMPUTED_VALUE"""),3)</f>
        <v>3</v>
      </c>
      <c r="O1854" s="5" t="str">
        <f ca="1">IFERROR(__xludf.DUMMYFUNCTION("""COMPUTED_VALUE"""),"Fall")</f>
        <v>Fall</v>
      </c>
      <c r="P1854" s="5" t="str">
        <f ca="1">IFERROR(__xludf.DUMMYFUNCTION("""COMPUTED_VALUE"""),"Sacramento")</f>
        <v>Sacramento</v>
      </c>
      <c r="Q1854" s="5" t="str">
        <f ca="1">IFERROR(__xludf.DUMMYFUNCTION("""COMPUTED_VALUE"""),"CA")</f>
        <v>CA</v>
      </c>
      <c r="R1854" s="5" t="str">
        <f ca="1">IFERROR(__xludf.DUMMYFUNCTION("""COMPUTED_VALUE"""),"High")</f>
        <v>High</v>
      </c>
      <c r="S1854" s="5" t="str">
        <f ca="1">IFERROR(__xludf.DUMMYFUNCTION("""COMPUTED_VALUE"""),"Hallway")</f>
        <v>Hallway</v>
      </c>
      <c r="T1854" s="5" t="str">
        <f ca="1">IFERROR(__xludf.DUMMYFUNCTION("""COMPUTED_VALUE"""),"Inside School Building")</f>
        <v>Inside School Building</v>
      </c>
      <c r="U1854" s="5" t="str">
        <f ca="1">IFERROR(__xludf.DUMMYFUNCTION("""COMPUTED_VALUE"""),"Yes")</f>
        <v>Yes</v>
      </c>
      <c r="V1854" s="5" t="str">
        <f ca="1">IFERROR(__xludf.DUMMYFUNCTION("""COMPUTED_VALUE"""),"Dismissal")</f>
        <v>Dismissal</v>
      </c>
      <c r="W1854" s="10">
        <f ca="1">IFERROR(__xludf.DUMMYFUNCTION("""COMPUTED_VALUE"""),0.631944444444444)</f>
        <v>0.63194444444444398</v>
      </c>
      <c r="X1854" s="5">
        <f ca="1">IFERROR(__xludf.DUMMYFUNCTION("""COMPUTED_VALUE"""),1)</f>
        <v>1</v>
      </c>
      <c r="Y1854" s="5" t="str">
        <f ca="1">IFERROR(__xludf.DUMMYFUNCTION("""COMPUTED_VALUE"""),"Fight between Latino and Vietnamese students")</f>
        <v>Fight between Latino and Vietnamese students</v>
      </c>
      <c r="Z1854" s="5" t="str">
        <f ca="1">IFERROR(__xludf.DUMMYFUNCTION("""COMPUTED_VALUE"""),"Fight between three Latino and three Vietnamese student escalated into shooting. When the three Vietnamese students fled the scene, they shot another uninvolved Latino student standing outside.")</f>
        <v>Fight between three Latino and three Vietnamese student escalated into shooting. When the three Vietnamese students fled the scene, they shot another uninvolved Latino student standing outside.</v>
      </c>
      <c r="AA1854" s="5" t="str">
        <f ca="1">IFERROR(__xludf.DUMMYFUNCTION("""COMPUTED_VALUE"""),"Racial")</f>
        <v>Racial</v>
      </c>
      <c r="AB1854" s="5" t="str">
        <f ca="1">IFERROR(__xludf.DUMMYFUNCTION("""COMPUTED_VALUE"""),"Victims Targeted")</f>
        <v>Victims Targeted</v>
      </c>
      <c r="AC1854" s="5" t="str">
        <f ca="1">IFERROR(__xludf.DUMMYFUNCTION("""COMPUTED_VALUE"""),"Yes")</f>
        <v>Yes</v>
      </c>
      <c r="AD1854" s="5" t="str">
        <f ca="1">IFERROR(__xludf.DUMMYFUNCTION("""COMPUTED_VALUE"""),"No")</f>
        <v>No</v>
      </c>
      <c r="AE1854" s="5" t="str">
        <f ca="1">IFERROR(__xludf.DUMMYFUNCTION("""COMPUTED_VALUE"""),"No")</f>
        <v>No</v>
      </c>
      <c r="AF1854" s="5" t="str">
        <f ca="1">IFERROR(__xludf.DUMMYFUNCTION("""COMPUTED_VALUE"""),"No")</f>
        <v>No</v>
      </c>
      <c r="AG1854" s="5" t="str">
        <f ca="1">IFERROR(__xludf.DUMMYFUNCTION("""COMPUTED_VALUE"""),"No")</f>
        <v>No</v>
      </c>
      <c r="AH1854" s="5" t="str">
        <f ca="1">IFERROR(__xludf.DUMMYFUNCTION("""COMPUTED_VALUE"""),"No")</f>
        <v>No</v>
      </c>
      <c r="AI1854" s="5" t="str">
        <f ca="1">IFERROR(__xludf.DUMMYFUNCTION("""COMPUTED_VALUE"""),"No")</f>
        <v>No</v>
      </c>
      <c r="AJ1854" s="5"/>
    </row>
    <row r="1855" spans="1:36" ht="13">
      <c r="A1855" s="5" t="str">
        <f ca="1">IFERROR(__xludf.DUMMYFUNCTION("""COMPUTED_VALUE"""),"19920911TXPAA")</f>
        <v>19920911TXPAA</v>
      </c>
      <c r="B1855" s="5">
        <f ca="1">IFERROR(__xludf.DUMMYFUNCTION("""COMPUTED_VALUE"""),9)</f>
        <v>9</v>
      </c>
      <c r="C1855" s="5">
        <f ca="1">IFERROR(__xludf.DUMMYFUNCTION("""COMPUTED_VALUE"""),11)</f>
        <v>11</v>
      </c>
      <c r="D1855" s="5">
        <f ca="1">IFERROR(__xludf.DUMMYFUNCTION("""COMPUTED_VALUE"""),1992)</f>
        <v>1992</v>
      </c>
      <c r="E1855" s="8">
        <f ca="1">IFERROR(__xludf.DUMMYFUNCTION("""COMPUTED_VALUE"""),33858)</f>
        <v>33858</v>
      </c>
      <c r="F1855" s="5" t="str">
        <f ca="1">IFERROR(__xludf.DUMMYFUNCTION("""COMPUTED_VALUE"""),"Palo Duro High School")</f>
        <v>Palo Duro High School</v>
      </c>
      <c r="G1855" s="5">
        <f ca="1">IFERROR(__xludf.DUMMYFUNCTION("""COMPUTED_VALUE"""),0)</f>
        <v>0</v>
      </c>
      <c r="H1855" s="5">
        <f ca="1">IFERROR(__xludf.DUMMYFUNCTION("""COMPUTED_VALUE"""),7)</f>
        <v>7</v>
      </c>
      <c r="I1855" s="5">
        <f ca="1">IFERROR(__xludf.DUMMYFUNCTION("""COMPUTED_VALUE"""),7)</f>
        <v>7</v>
      </c>
      <c r="J1855" s="5">
        <f ca="1">IFERROR(__xludf.DUMMYFUNCTION("""COMPUTED_VALUE"""),0)</f>
        <v>0</v>
      </c>
      <c r="K1855" s="5" t="str">
        <f ca="1">IFERROR(__xludf.DUMMYFUNCTION("""COMPUTED_VALUE"""),"https://www.nytimes.com/1992/09/12/us/student-wounds-6-at-high-school.html; http://www.amarillo.com/article/20120910/news/309109718 https://www.latimes.com/archives/la-xpm-1992-09-12-mn-275-story.html")</f>
        <v>https://www.nytimes.com/1992/09/12/us/student-wounds-6-at-high-school.html; http://www.amarillo.com/article/20120910/news/309109718 https://www.latimes.com/archives/la-xpm-1992-09-12-mn-275-story.html</v>
      </c>
      <c r="L1855" s="5"/>
      <c r="M1855" s="5"/>
      <c r="N1855" s="5">
        <f ca="1">IFERROR(__xludf.DUMMYFUNCTION("""COMPUTED_VALUE"""),3)</f>
        <v>3</v>
      </c>
      <c r="O1855" s="5" t="str">
        <f ca="1">IFERROR(__xludf.DUMMYFUNCTION("""COMPUTED_VALUE"""),"Fall")</f>
        <v>Fall</v>
      </c>
      <c r="P1855" s="5" t="str">
        <f ca="1">IFERROR(__xludf.DUMMYFUNCTION("""COMPUTED_VALUE"""),"Amarillo")</f>
        <v>Amarillo</v>
      </c>
      <c r="Q1855" s="5" t="str">
        <f ca="1">IFERROR(__xludf.DUMMYFUNCTION("""COMPUTED_VALUE"""),"TX")</f>
        <v>TX</v>
      </c>
      <c r="R1855" s="5" t="str">
        <f ca="1">IFERROR(__xludf.DUMMYFUNCTION("""COMPUTED_VALUE"""),"High")</f>
        <v>High</v>
      </c>
      <c r="S1855" s="5" t="str">
        <f ca="1">IFERROR(__xludf.DUMMYFUNCTION("""COMPUTED_VALUE"""),"Hallway")</f>
        <v>Hallway</v>
      </c>
      <c r="T1855" s="5" t="str">
        <f ca="1">IFERROR(__xludf.DUMMYFUNCTION("""COMPUTED_VALUE"""),"Inside School Building")</f>
        <v>Inside School Building</v>
      </c>
      <c r="U1855" s="5" t="str">
        <f ca="1">IFERROR(__xludf.DUMMYFUNCTION("""COMPUTED_VALUE"""),"Yes")</f>
        <v>Yes</v>
      </c>
      <c r="V1855" s="5" t="str">
        <f ca="1">IFERROR(__xludf.DUMMYFUNCTION("""COMPUTED_VALUE"""),"Morning Classes")</f>
        <v>Morning Classes</v>
      </c>
      <c r="W1855" s="10">
        <f ca="1">IFERROR(__xludf.DUMMYFUNCTION("""COMPUTED_VALUE"""),0.416666666666666)</f>
        <v>0.41666666666666602</v>
      </c>
      <c r="X1855" s="5">
        <f ca="1">IFERROR(__xludf.DUMMYFUNCTION("""COMPUTED_VALUE"""),1)</f>
        <v>1</v>
      </c>
      <c r="Y1855" s="5" t="str">
        <f ca="1">IFERROR(__xludf.DUMMYFUNCTION("""COMPUTED_VALUE"""),"Shooting spurred from earlier fights")</f>
        <v>Shooting spurred from earlier fights</v>
      </c>
      <c r="Z1855" s="5" t="str">
        <f ca="1">IFERROR(__xludf.DUMMYFUNCTION("""COMPUTED_VALUE"""),"Suspect targeted one person but hit 5 other with bullets also another person was injured when students fled scene.")</f>
        <v>Suspect targeted one person but hit 5 other with bullets also another person was injured when students fled scene.</v>
      </c>
      <c r="AA1855" s="5" t="str">
        <f ca="1">IFERROR(__xludf.DUMMYFUNCTION("""COMPUTED_VALUE"""),"Escalation of Dispute")</f>
        <v>Escalation of Dispute</v>
      </c>
      <c r="AB1855" s="5" t="str">
        <f ca="1">IFERROR(__xludf.DUMMYFUNCTION("""COMPUTED_VALUE"""),"Both")</f>
        <v>Both</v>
      </c>
      <c r="AC1855" s="5" t="str">
        <f ca="1">IFERROR(__xludf.DUMMYFUNCTION("""COMPUTED_VALUE"""),"No")</f>
        <v>No</v>
      </c>
      <c r="AD1855" s="5" t="str">
        <f ca="1">IFERROR(__xludf.DUMMYFUNCTION("""COMPUTED_VALUE"""),"No")</f>
        <v>No</v>
      </c>
      <c r="AE1855" s="5" t="str">
        <f ca="1">IFERROR(__xludf.DUMMYFUNCTION("""COMPUTED_VALUE"""),"No")</f>
        <v>No</v>
      </c>
      <c r="AF1855" s="5" t="str">
        <f ca="1">IFERROR(__xludf.DUMMYFUNCTION("""COMPUTED_VALUE"""),"No")</f>
        <v>No</v>
      </c>
      <c r="AG1855" s="5" t="str">
        <f ca="1">IFERROR(__xludf.DUMMYFUNCTION("""COMPUTED_VALUE"""),"No")</f>
        <v>No</v>
      </c>
      <c r="AH1855" s="5" t="str">
        <f ca="1">IFERROR(__xludf.DUMMYFUNCTION("""COMPUTED_VALUE"""),"No")</f>
        <v>No</v>
      </c>
      <c r="AI1855" s="5" t="str">
        <f ca="1">IFERROR(__xludf.DUMMYFUNCTION("""COMPUTED_VALUE"""),"No")</f>
        <v>No</v>
      </c>
      <c r="AJ1855" s="5"/>
    </row>
    <row r="1856" spans="1:36" ht="13">
      <c r="A1856" s="5" t="str">
        <f ca="1">IFERROR(__xludf.DUMMYFUNCTION("""COMPUTED_VALUE"""),"19920606CAMEM")</f>
        <v>19920606CAMEM</v>
      </c>
      <c r="B1856" s="5">
        <f ca="1">IFERROR(__xludf.DUMMYFUNCTION("""COMPUTED_VALUE"""),6)</f>
        <v>6</v>
      </c>
      <c r="C1856" s="5">
        <f ca="1">IFERROR(__xludf.DUMMYFUNCTION("""COMPUTED_VALUE"""),6)</f>
        <v>6</v>
      </c>
      <c r="D1856" s="5">
        <f ca="1">IFERROR(__xludf.DUMMYFUNCTION("""COMPUTED_VALUE"""),1992)</f>
        <v>1992</v>
      </c>
      <c r="E1856" s="8">
        <f ca="1">IFERROR(__xludf.DUMMYFUNCTION("""COMPUTED_VALUE"""),33761)</f>
        <v>33761</v>
      </c>
      <c r="F1856" s="5" t="str">
        <f ca="1">IFERROR(__xludf.DUMMYFUNCTION("""COMPUTED_VALUE"""),"Merced High School")</f>
        <v>Merced High School</v>
      </c>
      <c r="G1856" s="5">
        <f ca="1">IFERROR(__xludf.DUMMYFUNCTION("""COMPUTED_VALUE"""),0)</f>
        <v>0</v>
      </c>
      <c r="H1856" s="5">
        <f ca="1">IFERROR(__xludf.DUMMYFUNCTION("""COMPUTED_VALUE"""),1)</f>
        <v>1</v>
      </c>
      <c r="I1856" s="5">
        <f ca="1">IFERROR(__xludf.DUMMYFUNCTION("""COMPUTED_VALUE"""),1)</f>
        <v>1</v>
      </c>
      <c r="J1856" s="5">
        <f ca="1">IFERROR(__xludf.DUMMYFUNCTION("""COMPUTED_VALUE"""),0)</f>
        <v>0</v>
      </c>
      <c r="K1856" s="5" t="str">
        <f ca="1">IFERROR(__xludf.DUMMYFUNCTION("""COMPUTED_VALUE"""),"Modesto Bee - Boy Held in School Shooting; https://www.columbine-angels.com/School_Violence_1991-1992.htm")</f>
        <v>Modesto Bee - Boy Held in School Shooting; https://www.columbine-angels.com/School_Violence_1991-1992.htm</v>
      </c>
      <c r="L1856" s="5"/>
      <c r="M1856" s="5"/>
      <c r="N1856" s="5">
        <f ca="1">IFERROR(__xludf.DUMMYFUNCTION("""COMPUTED_VALUE"""),1)</f>
        <v>1</v>
      </c>
      <c r="O1856" s="5" t="str">
        <f ca="1">IFERROR(__xludf.DUMMYFUNCTION("""COMPUTED_VALUE"""),"Summer")</f>
        <v>Summer</v>
      </c>
      <c r="P1856" s="5" t="str">
        <f ca="1">IFERROR(__xludf.DUMMYFUNCTION("""COMPUTED_VALUE"""),"Merced")</f>
        <v>Merced</v>
      </c>
      <c r="Q1856" s="5" t="str">
        <f ca="1">IFERROR(__xludf.DUMMYFUNCTION("""COMPUTED_VALUE"""),"CA")</f>
        <v>CA</v>
      </c>
      <c r="R1856" s="5" t="str">
        <f ca="1">IFERROR(__xludf.DUMMYFUNCTION("""COMPUTED_VALUE"""),"High")</f>
        <v>High</v>
      </c>
      <c r="S1856" s="5" t="str">
        <f ca="1">IFERROR(__xludf.DUMMYFUNCTION("""COMPUTED_VALUE"""),"Gym")</f>
        <v>Gym</v>
      </c>
      <c r="T1856" s="5" t="str">
        <f ca="1">IFERROR(__xludf.DUMMYFUNCTION("""COMPUTED_VALUE"""),"Inside School Building")</f>
        <v>Inside School Building</v>
      </c>
      <c r="U1856" s="5" t="str">
        <f ca="1">IFERROR(__xludf.DUMMYFUNCTION("""COMPUTED_VALUE"""),"No")</f>
        <v>No</v>
      </c>
      <c r="V1856" s="5" t="str">
        <f ca="1">IFERROR(__xludf.DUMMYFUNCTION("""COMPUTED_VALUE"""),"School Event")</f>
        <v>School Event</v>
      </c>
      <c r="W1856" s="10">
        <f ca="1">IFERROR(__xludf.DUMMYFUNCTION("""COMPUTED_VALUE"""),0.970833333333333)</f>
        <v>0.97083333333333299</v>
      </c>
      <c r="X1856" s="5">
        <f ca="1">IFERROR(__xludf.DUMMYFUNCTION("""COMPUTED_VALUE"""),1)</f>
        <v>1</v>
      </c>
      <c r="Y1856" s="5" t="str">
        <f ca="1">IFERROR(__xludf.DUMMYFUNCTION("""COMPUTED_VALUE"""),"Fight at school dance escalated into shooting")</f>
        <v>Fight at school dance escalated into shooting</v>
      </c>
      <c r="Z1856" s="5" t="str">
        <f ca="1">IFERROR(__xludf.DUMMYFUNCTION("""COMPUTED_VALUE"""),"Fight between 2 students occurred during school dance that escalated into shooting. Music was so loud that students did not know a shooting had happened. Victim walked across the street to call 911.")</f>
        <v>Fight between 2 students occurred during school dance that escalated into shooting. Music was so loud that students did not know a shooting had happened. Victim walked across the street to call 911.</v>
      </c>
      <c r="AA1856" s="5" t="str">
        <f ca="1">IFERROR(__xludf.DUMMYFUNCTION("""COMPUTED_VALUE"""),"Escalation of Dispute")</f>
        <v>Escalation of Dispute</v>
      </c>
      <c r="AB1856" s="5" t="str">
        <f ca="1">IFERROR(__xludf.DUMMYFUNCTION("""COMPUTED_VALUE"""),"Victims Targeted")</f>
        <v>Victims Targeted</v>
      </c>
      <c r="AC1856" s="5" t="str">
        <f ca="1">IFERROR(__xludf.DUMMYFUNCTION("""COMPUTED_VALUE"""),"No")</f>
        <v>No</v>
      </c>
      <c r="AD1856" s="5" t="str">
        <f ca="1">IFERROR(__xludf.DUMMYFUNCTION("""COMPUTED_VALUE"""),"No")</f>
        <v>No</v>
      </c>
      <c r="AE1856" s="5" t="str">
        <f ca="1">IFERROR(__xludf.DUMMYFUNCTION("""COMPUTED_VALUE"""),"No")</f>
        <v>No</v>
      </c>
      <c r="AF1856" s="5" t="str">
        <f ca="1">IFERROR(__xludf.DUMMYFUNCTION("""COMPUTED_VALUE"""),"No")</f>
        <v>No</v>
      </c>
      <c r="AG1856" s="5" t="str">
        <f ca="1">IFERROR(__xludf.DUMMYFUNCTION("""COMPUTED_VALUE"""),"No")</f>
        <v>No</v>
      </c>
      <c r="AH1856" s="5" t="str">
        <f ca="1">IFERROR(__xludf.DUMMYFUNCTION("""COMPUTED_VALUE"""),"No")</f>
        <v>No</v>
      </c>
      <c r="AI1856" s="5" t="str">
        <f ca="1">IFERROR(__xludf.DUMMYFUNCTION("""COMPUTED_VALUE"""),"No")</f>
        <v>No</v>
      </c>
      <c r="AJ1856" s="5"/>
    </row>
    <row r="1857" spans="1:36" ht="13">
      <c r="A1857" s="5" t="str">
        <f ca="1">IFERROR(__xludf.DUMMYFUNCTION("""COMPUTED_VALUE"""),"19920530DCARW")</f>
        <v>19920530DCARW</v>
      </c>
      <c r="B1857" s="5">
        <f ca="1">IFERROR(__xludf.DUMMYFUNCTION("""COMPUTED_VALUE"""),5)</f>
        <v>5</v>
      </c>
      <c r="C1857" s="5">
        <f ca="1">IFERROR(__xludf.DUMMYFUNCTION("""COMPUTED_VALUE"""),30)</f>
        <v>30</v>
      </c>
      <c r="D1857" s="5">
        <f ca="1">IFERROR(__xludf.DUMMYFUNCTION("""COMPUTED_VALUE"""),1992)</f>
        <v>1992</v>
      </c>
      <c r="E1857" s="8">
        <f ca="1">IFERROR(__xludf.DUMMYFUNCTION("""COMPUTED_VALUE"""),33754)</f>
        <v>33754</v>
      </c>
      <c r="F1857" s="5" t="str">
        <f ca="1">IFERROR(__xludf.DUMMYFUNCTION("""COMPUTED_VALUE"""),"Archbishop Carroll High School")</f>
        <v>Archbishop Carroll High School</v>
      </c>
      <c r="G1857" s="5">
        <f ca="1">IFERROR(__xludf.DUMMYFUNCTION("""COMPUTED_VALUE"""),1)</f>
        <v>1</v>
      </c>
      <c r="H1857" s="5">
        <f ca="1">IFERROR(__xludf.DUMMYFUNCTION("""COMPUTED_VALUE"""),4)</f>
        <v>4</v>
      </c>
      <c r="I1857" s="5">
        <f ca="1">IFERROR(__xludf.DUMMYFUNCTION("""COMPUTED_VALUE"""),5)</f>
        <v>5</v>
      </c>
      <c r="J1857" s="5">
        <f ca="1">IFERROR(__xludf.DUMMYFUNCTION("""COMPUTED_VALUE"""),0)</f>
        <v>0</v>
      </c>
      <c r="K1857" s="9" t="str">
        <f ca="1">IFERROR(__xludf.DUMMYFUNCTION("""COMPUTED_VALUE"""),"https://www.washingtonpost.com/archive/politics/1992/06/01/9-are-slain-in-dc-area-in-2-days/32b3c46c-27dc-45f4-9f60-14ce403dbad5/")</f>
        <v>https://www.washingtonpost.com/archive/politics/1992/06/01/9-are-slain-in-dc-area-in-2-days/32b3c46c-27dc-45f4-9f60-14ce403dbad5/</v>
      </c>
      <c r="L1857" s="5">
        <f ca="1">IFERROR(__xludf.DUMMYFUNCTION("""COMPUTED_VALUE"""),1)</f>
        <v>1</v>
      </c>
      <c r="M1857" s="5" t="str">
        <f ca="1">IFERROR(__xludf.DUMMYFUNCTION("""COMPUTED_VALUE"""),"Local")</f>
        <v>Local</v>
      </c>
      <c r="N1857" s="5">
        <f ca="1">IFERROR(__xludf.DUMMYFUNCTION("""COMPUTED_VALUE"""),3)</f>
        <v>3</v>
      </c>
      <c r="O1857" s="5" t="str">
        <f ca="1">IFERROR(__xludf.DUMMYFUNCTION("""COMPUTED_VALUE"""),"Spring")</f>
        <v>Spring</v>
      </c>
      <c r="P1857" s="5" t="str">
        <f ca="1">IFERROR(__xludf.DUMMYFUNCTION("""COMPUTED_VALUE"""),"Washington")</f>
        <v>Washington</v>
      </c>
      <c r="Q1857" s="5" t="str">
        <f ca="1">IFERROR(__xludf.DUMMYFUNCTION("""COMPUTED_VALUE"""),"DC")</f>
        <v>DC</v>
      </c>
      <c r="R1857" s="5" t="str">
        <f ca="1">IFERROR(__xludf.DUMMYFUNCTION("""COMPUTED_VALUE"""),"High")</f>
        <v>High</v>
      </c>
      <c r="S1857" s="5" t="str">
        <f ca="1">IFERROR(__xludf.DUMMYFUNCTION("""COMPUTED_VALUE"""),"Beside Building")</f>
        <v>Beside Building</v>
      </c>
      <c r="T1857" s="5" t="str">
        <f ca="1">IFERROR(__xludf.DUMMYFUNCTION("""COMPUTED_VALUE"""),"Outside on School Property")</f>
        <v>Outside on School Property</v>
      </c>
      <c r="U1857" s="5" t="str">
        <f ca="1">IFERROR(__xludf.DUMMYFUNCTION("""COMPUTED_VALUE"""),"No")</f>
        <v>No</v>
      </c>
      <c r="V1857" s="5" t="str">
        <f ca="1">IFERROR(__xludf.DUMMYFUNCTION("""COMPUTED_VALUE"""),"School Event")</f>
        <v>School Event</v>
      </c>
      <c r="W1857" s="10">
        <f ca="1">IFERROR(__xludf.DUMMYFUNCTION("""COMPUTED_VALUE"""),0.993055555555555)</f>
        <v>0.99305555555555503</v>
      </c>
      <c r="X1857" s="5">
        <f ca="1">IFERROR(__xludf.DUMMYFUNCTION("""COMPUTED_VALUE"""),1)</f>
        <v>1</v>
      </c>
      <c r="Y1857" s="5" t="str">
        <f ca="1">IFERROR(__xludf.DUMMYFUNCTION("""COMPUTED_VALUE"""),"Five teens shot outside of school dance")</f>
        <v>Five teens shot outside of school dance</v>
      </c>
      <c r="Z1857" s="5" t="str">
        <f ca="1">IFERROR(__xludf.DUMMYFUNCTION("""COMPUTED_VALUE"""),"Five teens were shot outside of the school dance by an unknown shooter who fired 15 shots following a fight that broke out in the gym. The dance was a sports fundraiser that was attended by 850 people including students and adults. Security officers were "&amp;"inside and outside the building, all attendees were patted down when they entered.")</f>
        <v>Five teens were shot outside of the school dance by an unknown shooter who fired 15 shots following a fight that broke out in the gym. The dance was a sports fundraiser that was attended by 850 people including students and adults. Security officers were inside and outside the building, all attendees were patted down when they entered.</v>
      </c>
      <c r="AA1857" s="5" t="str">
        <f ca="1">IFERROR(__xludf.DUMMYFUNCTION("""COMPUTED_VALUE"""),"Escalation of Dispute")</f>
        <v>Escalation of Dispute</v>
      </c>
      <c r="AB1857" s="5" t="str">
        <f ca="1">IFERROR(__xludf.DUMMYFUNCTION("""COMPUTED_VALUE"""),"Both")</f>
        <v>Both</v>
      </c>
      <c r="AC1857" s="5" t="str">
        <f ca="1">IFERROR(__xludf.DUMMYFUNCTION("""COMPUTED_VALUE"""),"No")</f>
        <v>No</v>
      </c>
      <c r="AD1857" s="5" t="str">
        <f ca="1">IFERROR(__xludf.DUMMYFUNCTION("""COMPUTED_VALUE"""),"No")</f>
        <v>No</v>
      </c>
      <c r="AE1857" s="5" t="str">
        <f ca="1">IFERROR(__xludf.DUMMYFUNCTION("""COMPUTED_VALUE"""),"No")</f>
        <v>No</v>
      </c>
      <c r="AF1857" s="5" t="str">
        <f ca="1">IFERROR(__xludf.DUMMYFUNCTION("""COMPUTED_VALUE"""),"No")</f>
        <v>No</v>
      </c>
      <c r="AG1857" s="5" t="str">
        <f ca="1">IFERROR(__xludf.DUMMYFUNCTION("""COMPUTED_VALUE"""),"No")</f>
        <v>No</v>
      </c>
      <c r="AH1857" s="5" t="str">
        <f ca="1">IFERROR(__xludf.DUMMYFUNCTION("""COMPUTED_VALUE"""),"No")</f>
        <v>No</v>
      </c>
      <c r="AI1857" s="5"/>
      <c r="AJ1857" s="5" t="str">
        <f ca="1">IFERROR(__xludf.DUMMYFUNCTION("""COMPUTED_VALUE"""),"No")</f>
        <v>No</v>
      </c>
    </row>
    <row r="1858" spans="1:36" ht="13">
      <c r="A1858" s="5" t="str">
        <f ca="1">IFERROR(__xludf.DUMMYFUNCTION("""COMPUTED_VALUE"""),"19920529CAVEL")</f>
        <v>19920529CAVEL</v>
      </c>
      <c r="B1858" s="5">
        <f ca="1">IFERROR(__xludf.DUMMYFUNCTION("""COMPUTED_VALUE"""),5)</f>
        <v>5</v>
      </c>
      <c r="C1858" s="5">
        <f ca="1">IFERROR(__xludf.DUMMYFUNCTION("""COMPUTED_VALUE"""),29)</f>
        <v>29</v>
      </c>
      <c r="D1858" s="5">
        <f ca="1">IFERROR(__xludf.DUMMYFUNCTION("""COMPUTED_VALUE"""),1992)</f>
        <v>1992</v>
      </c>
      <c r="E1858" s="8">
        <f ca="1">IFERROR(__xludf.DUMMYFUNCTION("""COMPUTED_VALUE"""),33753)</f>
        <v>33753</v>
      </c>
      <c r="F1858" s="5" t="str">
        <f ca="1">IFERROR(__xludf.DUMMYFUNCTION("""COMPUTED_VALUE"""),"Venice High School")</f>
        <v>Venice High School</v>
      </c>
      <c r="G1858" s="5">
        <f ca="1">IFERROR(__xludf.DUMMYFUNCTION("""COMPUTED_VALUE"""),0)</f>
        <v>0</v>
      </c>
      <c r="H1858" s="5">
        <f ca="1">IFERROR(__xludf.DUMMYFUNCTION("""COMPUTED_VALUE"""),3)</f>
        <v>3</v>
      </c>
      <c r="I1858" s="5">
        <f ca="1">IFERROR(__xludf.DUMMYFUNCTION("""COMPUTED_VALUE"""),3)</f>
        <v>3</v>
      </c>
      <c r="J1858" s="5">
        <f ca="1">IFERROR(__xludf.DUMMYFUNCTION("""COMPUTED_VALUE"""),0)</f>
        <v>0</v>
      </c>
      <c r="K1858" s="9" t="str">
        <f ca="1">IFERROR(__xludf.DUMMYFUNCTION("""COMPUTED_VALUE"""),"https://www.newspapers.com/image/177465085")</f>
        <v>https://www.newspapers.com/image/177465085</v>
      </c>
      <c r="L1858" s="5"/>
      <c r="M1858" s="5"/>
      <c r="N1858" s="5">
        <f ca="1">IFERROR(__xludf.DUMMYFUNCTION("""COMPUTED_VALUE"""),2)</f>
        <v>2</v>
      </c>
      <c r="O1858" s="5" t="str">
        <f ca="1">IFERROR(__xludf.DUMMYFUNCTION("""COMPUTED_VALUE"""),"Spring")</f>
        <v>Spring</v>
      </c>
      <c r="P1858" s="5" t="str">
        <f ca="1">IFERROR(__xludf.DUMMYFUNCTION("""COMPUTED_VALUE"""),"Los Angeles")</f>
        <v>Los Angeles</v>
      </c>
      <c r="Q1858" s="5" t="str">
        <f ca="1">IFERROR(__xludf.DUMMYFUNCTION("""COMPUTED_VALUE"""),"CA")</f>
        <v>CA</v>
      </c>
      <c r="R1858" s="5" t="str">
        <f ca="1">IFERROR(__xludf.DUMMYFUNCTION("""COMPUTED_VALUE"""),"High")</f>
        <v>High</v>
      </c>
      <c r="S1858" s="5" t="str">
        <f ca="1">IFERROR(__xludf.DUMMYFUNCTION("""COMPUTED_VALUE"""),"Front of School")</f>
        <v>Front of School</v>
      </c>
      <c r="T1858" s="5" t="str">
        <f ca="1">IFERROR(__xludf.DUMMYFUNCTION("""COMPUTED_VALUE"""),"Outside on School Property")</f>
        <v>Outside on School Property</v>
      </c>
      <c r="U1858" s="5" t="str">
        <f ca="1">IFERROR(__xludf.DUMMYFUNCTION("""COMPUTED_VALUE"""),"Yes")</f>
        <v>Yes</v>
      </c>
      <c r="V1858" s="5"/>
      <c r="W1858" s="5"/>
      <c r="X1858" s="5">
        <f ca="1">IFERROR(__xludf.DUMMYFUNCTION("""COMPUTED_VALUE"""),1)</f>
        <v>1</v>
      </c>
      <c r="Y1858" s="5" t="str">
        <f ca="1">IFERROR(__xludf.DUMMYFUNCTION("""COMPUTED_VALUE"""),"Drive-by, students/shooter yelled gang names")</f>
        <v>Drive-by, students/shooter yelled gang names</v>
      </c>
      <c r="Z1858" s="5" t="str">
        <f ca="1">IFERROR(__xludf.DUMMYFUNCTION("""COMPUTED_VALUE"""),"Four unknown males in a vehicle opened fire on three students outside the school after gang names were yelled.")</f>
        <v>Four unknown males in a vehicle opened fire on three students outside the school after gang names were yelled.</v>
      </c>
      <c r="AA1858" s="5" t="str">
        <f ca="1">IFERROR(__xludf.DUMMYFUNCTION("""COMPUTED_VALUE"""),"Drive-by Shooting")</f>
        <v>Drive-by Shooting</v>
      </c>
      <c r="AB1858" s="5" t="str">
        <f ca="1">IFERROR(__xludf.DUMMYFUNCTION("""COMPUTED_VALUE"""),"Victims Targeted")</f>
        <v>Victims Targeted</v>
      </c>
      <c r="AC1858" s="5" t="str">
        <f ca="1">IFERROR(__xludf.DUMMYFUNCTION("""COMPUTED_VALUE"""),"No")</f>
        <v>No</v>
      </c>
      <c r="AD1858" s="5" t="str">
        <f ca="1">IFERROR(__xludf.DUMMYFUNCTION("""COMPUTED_VALUE"""),"No")</f>
        <v>No</v>
      </c>
      <c r="AE1858" s="5" t="str">
        <f ca="1">IFERROR(__xludf.DUMMYFUNCTION("""COMPUTED_VALUE"""),"No")</f>
        <v>No</v>
      </c>
      <c r="AF1858" s="5" t="str">
        <f ca="1">IFERROR(__xludf.DUMMYFUNCTION("""COMPUTED_VALUE"""),"No")</f>
        <v>No</v>
      </c>
      <c r="AG1858" s="5" t="str">
        <f ca="1">IFERROR(__xludf.DUMMYFUNCTION("""COMPUTED_VALUE"""),"No")</f>
        <v>No</v>
      </c>
      <c r="AH1858" s="5" t="str">
        <f ca="1">IFERROR(__xludf.DUMMYFUNCTION("""COMPUTED_VALUE"""),"No")</f>
        <v>No</v>
      </c>
      <c r="AI1858" s="5" t="str">
        <f ca="1">IFERROR(__xludf.DUMMYFUNCTION("""COMPUTED_VALUE"""),"Yes")</f>
        <v>Yes</v>
      </c>
      <c r="AJ1858" s="5"/>
    </row>
    <row r="1859" spans="1:36" ht="13">
      <c r="A1859" s="5" t="str">
        <f ca="1">IFERROR(__xludf.DUMMYFUNCTION("""COMPUTED_VALUE"""),"19920514CASIN")</f>
        <v>19920514CASIN</v>
      </c>
      <c r="B1859" s="5">
        <f ca="1">IFERROR(__xludf.DUMMYFUNCTION("""COMPUTED_VALUE"""),5)</f>
        <v>5</v>
      </c>
      <c r="C1859" s="5">
        <f ca="1">IFERROR(__xludf.DUMMYFUNCTION("""COMPUTED_VALUE"""),14)</f>
        <v>14</v>
      </c>
      <c r="D1859" s="5">
        <f ca="1">IFERROR(__xludf.DUMMYFUNCTION("""COMPUTED_VALUE"""),1992)</f>
        <v>1992</v>
      </c>
      <c r="E1859" s="8">
        <f ca="1">IFERROR(__xludf.DUMMYFUNCTION("""COMPUTED_VALUE"""),33738)</f>
        <v>33738</v>
      </c>
      <c r="F1859" s="5" t="str">
        <f ca="1">IFERROR(__xludf.DUMMYFUNCTION("""COMPUTED_VALUE"""),"Silverado Middle School")</f>
        <v>Silverado Middle School</v>
      </c>
      <c r="G1859" s="5">
        <f ca="1">IFERROR(__xludf.DUMMYFUNCTION("""COMPUTED_VALUE"""),0)</f>
        <v>0</v>
      </c>
      <c r="H1859" s="5">
        <f ca="1">IFERROR(__xludf.DUMMYFUNCTION("""COMPUTED_VALUE"""),2)</f>
        <v>2</v>
      </c>
      <c r="I1859" s="5">
        <f ca="1">IFERROR(__xludf.DUMMYFUNCTION("""COMPUTED_VALUE"""),2)</f>
        <v>2</v>
      </c>
      <c r="J1859" s="5">
        <f ca="1">IFERROR(__xludf.DUMMYFUNCTION("""COMPUTED_VALUE"""),0)</f>
        <v>0</v>
      </c>
      <c r="K1859" s="9" t="str">
        <f ca="1">IFERROR(__xludf.DUMMYFUNCTION("""COMPUTED_VALUE"""),"https://www.upi.com/Archives/1992/05/14/Student-opens-fire-in-school/6395705816000/")</f>
        <v>https://www.upi.com/Archives/1992/05/14/Student-opens-fire-in-school/6395705816000/</v>
      </c>
      <c r="L1859" s="5"/>
      <c r="M1859" s="5"/>
      <c r="N1859" s="5">
        <f ca="1">IFERROR(__xludf.DUMMYFUNCTION("""COMPUTED_VALUE"""),2)</f>
        <v>2</v>
      </c>
      <c r="O1859" s="5" t="str">
        <f ca="1">IFERROR(__xludf.DUMMYFUNCTION("""COMPUTED_VALUE"""),"Spring")</f>
        <v>Spring</v>
      </c>
      <c r="P1859" s="5" t="str">
        <f ca="1">IFERROR(__xludf.DUMMYFUNCTION("""COMPUTED_VALUE"""),"Napa")</f>
        <v>Napa</v>
      </c>
      <c r="Q1859" s="5" t="str">
        <f ca="1">IFERROR(__xludf.DUMMYFUNCTION("""COMPUTED_VALUE"""),"CA")</f>
        <v>CA</v>
      </c>
      <c r="R1859" s="5" t="str">
        <f ca="1">IFERROR(__xludf.DUMMYFUNCTION("""COMPUTED_VALUE"""),"Junior High")</f>
        <v>Junior High</v>
      </c>
      <c r="S1859" s="5" t="str">
        <f ca="1">IFERROR(__xludf.DUMMYFUNCTION("""COMPUTED_VALUE"""),"Classroom")</f>
        <v>Classroom</v>
      </c>
      <c r="T1859" s="5" t="str">
        <f ca="1">IFERROR(__xludf.DUMMYFUNCTION("""COMPUTED_VALUE"""),"Inside School Building")</f>
        <v>Inside School Building</v>
      </c>
      <c r="U1859" s="5" t="str">
        <f ca="1">IFERROR(__xludf.DUMMYFUNCTION("""COMPUTED_VALUE"""),"Yes")</f>
        <v>Yes</v>
      </c>
      <c r="V1859" s="5" t="str">
        <f ca="1">IFERROR(__xludf.DUMMYFUNCTION("""COMPUTED_VALUE"""),"Morning Classes")</f>
        <v>Morning Classes</v>
      </c>
      <c r="W1859" s="10">
        <f ca="1">IFERROR(__xludf.DUMMYFUNCTION("""COMPUTED_VALUE"""),0.34375)</f>
        <v>0.34375</v>
      </c>
      <c r="X1859" s="5"/>
      <c r="Y1859" s="5" t="str">
        <f ca="1">IFERROR(__xludf.DUMMYFUNCTION("""COMPUTED_VALUE"""),"Bullied - planned attacked - referred to himself as a ""new Jack City Hustler.""")</f>
        <v>Bullied - planned attacked - referred to himself as a "new Jack City Hustler."</v>
      </c>
      <c r="Z1859" s="5" t="str">
        <f ca="1">IFERROR(__xludf.DUMMYFUNCTION("""COMPUTED_VALUE"""),"Suspect was previously picked on. During first period science class, suspect pulled out .357 and shot round striking one student in arm and hitting other student. Suspect then walked through class while students begged not to be shot. Suspect then walked "&amp;"outside and shot round into bush - teachers were able to get the student to surrender.")</f>
        <v>Suspect was previously picked on. During first period science class, suspect pulled out .357 and shot round striking one student in arm and hitting other student. Suspect then walked through class while students begged not to be shot. Suspect then walked outside and shot round into bush - teachers were able to get the student to surrender.</v>
      </c>
      <c r="AA1859" s="5" t="str">
        <f ca="1">IFERROR(__xludf.DUMMYFUNCTION("""COMPUTED_VALUE"""),"Bullying")</f>
        <v>Bullying</v>
      </c>
      <c r="AB1859" s="5"/>
      <c r="AC1859" s="5"/>
      <c r="AD1859" s="5" t="str">
        <f ca="1">IFERROR(__xludf.DUMMYFUNCTION("""COMPUTED_VALUE"""),"No")</f>
        <v>No</v>
      </c>
      <c r="AE1859" s="5" t="str">
        <f ca="1">IFERROR(__xludf.DUMMYFUNCTION("""COMPUTED_VALUE"""),"No")</f>
        <v>No</v>
      </c>
      <c r="AF1859" s="5" t="str">
        <f ca="1">IFERROR(__xludf.DUMMYFUNCTION("""COMPUTED_VALUE"""),"No")</f>
        <v>No</v>
      </c>
      <c r="AG1859" s="5" t="str">
        <f ca="1">IFERROR(__xludf.DUMMYFUNCTION("""COMPUTED_VALUE"""),"Yes")</f>
        <v>Yes</v>
      </c>
      <c r="AH1859" s="5" t="str">
        <f ca="1">IFERROR(__xludf.DUMMYFUNCTION("""COMPUTED_VALUE"""),"No")</f>
        <v>No</v>
      </c>
      <c r="AI1859" s="5" t="str">
        <f ca="1">IFERROR(__xludf.DUMMYFUNCTION("""COMPUTED_VALUE"""),"No")</f>
        <v>No</v>
      </c>
      <c r="AJ1859" s="5" t="str">
        <f ca="1">IFERROR(__xludf.DUMMYFUNCTION("""COMPUTED_VALUE"""),"Yes")</f>
        <v>Yes</v>
      </c>
    </row>
    <row r="1860" spans="1:36" ht="13">
      <c r="A1860" s="5" t="str">
        <f ca="1">IFERROR(__xludf.DUMMYFUNCTION("""COMPUTED_VALUE"""),"19920514TXHUH")</f>
        <v>19920514TXHUH</v>
      </c>
      <c r="B1860" s="5">
        <f ca="1">IFERROR(__xludf.DUMMYFUNCTION("""COMPUTED_VALUE"""),5)</f>
        <v>5</v>
      </c>
      <c r="C1860" s="5">
        <f ca="1">IFERROR(__xludf.DUMMYFUNCTION("""COMPUTED_VALUE"""),14)</f>
        <v>14</v>
      </c>
      <c r="D1860" s="5">
        <f ca="1">IFERROR(__xludf.DUMMYFUNCTION("""COMPUTED_VALUE"""),1992)</f>
        <v>1992</v>
      </c>
      <c r="E1860" s="8">
        <f ca="1">IFERROR(__xludf.DUMMYFUNCTION("""COMPUTED_VALUE"""),33738)</f>
        <v>33738</v>
      </c>
      <c r="F1860" s="5" t="str">
        <f ca="1">IFERROR(__xludf.DUMMYFUNCTION("""COMPUTED_VALUE"""),"Huntsville Junior High School")</f>
        <v>Huntsville Junior High School</v>
      </c>
      <c r="G1860" s="5">
        <f ca="1">IFERROR(__xludf.DUMMYFUNCTION("""COMPUTED_VALUE"""),0)</f>
        <v>0</v>
      </c>
      <c r="H1860" s="5">
        <f ca="1">IFERROR(__xludf.DUMMYFUNCTION("""COMPUTED_VALUE"""),1)</f>
        <v>1</v>
      </c>
      <c r="I1860" s="5">
        <f ca="1">IFERROR(__xludf.DUMMYFUNCTION("""COMPUTED_VALUE"""),1)</f>
        <v>1</v>
      </c>
      <c r="J1860" s="5">
        <f ca="1">IFERROR(__xludf.DUMMYFUNCTION("""COMPUTED_VALUE"""),0)</f>
        <v>0</v>
      </c>
      <c r="K1860" s="9" t="str">
        <f ca="1">IFERROR(__xludf.DUMMYFUNCTION("""COMPUTED_VALUE"""),"https://www.newspapers.com/image/300277708/?terms=Huntsville%2BJunior%2BHigh%2BSchool%2Bshooting")</f>
        <v>https://www.newspapers.com/image/300277708/?terms=Huntsville%2BJunior%2BHigh%2BSchool%2Bshooting</v>
      </c>
      <c r="L1860" s="5"/>
      <c r="M1860" s="5"/>
      <c r="N1860" s="5">
        <f ca="1">IFERROR(__xludf.DUMMYFUNCTION("""COMPUTED_VALUE"""),2)</f>
        <v>2</v>
      </c>
      <c r="O1860" s="5" t="str">
        <f ca="1">IFERROR(__xludf.DUMMYFUNCTION("""COMPUTED_VALUE"""),"Spring")</f>
        <v>Spring</v>
      </c>
      <c r="P1860" s="5" t="str">
        <f ca="1">IFERROR(__xludf.DUMMYFUNCTION("""COMPUTED_VALUE"""),"Huntsville")</f>
        <v>Huntsville</v>
      </c>
      <c r="Q1860" s="5" t="str">
        <f ca="1">IFERROR(__xludf.DUMMYFUNCTION("""COMPUTED_VALUE"""),"TX")</f>
        <v>TX</v>
      </c>
      <c r="R1860" s="5" t="str">
        <f ca="1">IFERROR(__xludf.DUMMYFUNCTION("""COMPUTED_VALUE"""),"Junior High")</f>
        <v>Junior High</v>
      </c>
      <c r="S1860" s="5" t="str">
        <f ca="1">IFERROR(__xludf.DUMMYFUNCTION("""COMPUTED_VALUE"""),"Courtyard")</f>
        <v>Courtyard</v>
      </c>
      <c r="T1860" s="5" t="str">
        <f ca="1">IFERROR(__xludf.DUMMYFUNCTION("""COMPUTED_VALUE"""),"Outside on School Property")</f>
        <v>Outside on School Property</v>
      </c>
      <c r="U1860" s="5" t="str">
        <f ca="1">IFERROR(__xludf.DUMMYFUNCTION("""COMPUTED_VALUE"""),"Yes")</f>
        <v>Yes</v>
      </c>
      <c r="V1860" s="5" t="str">
        <f ca="1">IFERROR(__xludf.DUMMYFUNCTION("""COMPUTED_VALUE"""),"School Start")</f>
        <v>School Start</v>
      </c>
      <c r="W1860" s="10">
        <f ca="1">IFERROR(__xludf.DUMMYFUNCTION("""COMPUTED_VALUE"""),0.322916666666666)</f>
        <v>0.32291666666666602</v>
      </c>
      <c r="X1860" s="5">
        <f ca="1">IFERROR(__xludf.DUMMYFUNCTION("""COMPUTED_VALUE"""),1)</f>
        <v>1</v>
      </c>
      <c r="Y1860" s="5" t="str">
        <f ca="1">IFERROR(__xludf.DUMMYFUNCTION("""COMPUTED_VALUE"""),"Ongoing fight, shooter told victim he was going to kill him tomorrow day prior")</f>
        <v>Ongoing fight, shooter told victim he was going to kill him tomorrow day prior</v>
      </c>
      <c r="Z1860" s="5" t="str">
        <f ca="1">IFERROR(__xludf.DUMMYFUNCTION("""COMPUTED_VALUE"""),"Ongoing conflict between two students. Shooter told the victim he was going to bring a gun and kill him tomorrow. Met in the courtyard before school and the shooter fired a shot at the chest of the victim. Shooter handed the gun to a teacher to arrived to"&amp;" investigate the sounds of the gunshot.")</f>
        <v>Ongoing conflict between two students. Shooter told the victim he was going to bring a gun and kill him tomorrow. Met in the courtyard before school and the shooter fired a shot at the chest of the victim. Shooter handed the gun to a teacher to arrived to investigate the sounds of the gunshot.</v>
      </c>
      <c r="AA1860" s="5" t="str">
        <f ca="1">IFERROR(__xludf.DUMMYFUNCTION("""COMPUTED_VALUE"""),"Escalation of Dispute")</f>
        <v>Escalation of Dispute</v>
      </c>
      <c r="AB1860" s="5" t="str">
        <f ca="1">IFERROR(__xludf.DUMMYFUNCTION("""COMPUTED_VALUE"""),"Victims Targeted")</f>
        <v>Victims Targeted</v>
      </c>
      <c r="AC1860" s="5"/>
      <c r="AD1860" s="5" t="str">
        <f ca="1">IFERROR(__xludf.DUMMYFUNCTION("""COMPUTED_VALUE"""),"No")</f>
        <v>No</v>
      </c>
      <c r="AE1860" s="5" t="str">
        <f ca="1">IFERROR(__xludf.DUMMYFUNCTION("""COMPUTED_VALUE"""),"No")</f>
        <v>No</v>
      </c>
      <c r="AF1860" s="5" t="str">
        <f ca="1">IFERROR(__xludf.DUMMYFUNCTION("""COMPUTED_VALUE"""),"No")</f>
        <v>No</v>
      </c>
      <c r="AG1860" s="5" t="str">
        <f ca="1">IFERROR(__xludf.DUMMYFUNCTION("""COMPUTED_VALUE"""),"No")</f>
        <v>No</v>
      </c>
      <c r="AH1860" s="5" t="str">
        <f ca="1">IFERROR(__xludf.DUMMYFUNCTION("""COMPUTED_VALUE"""),"No")</f>
        <v>No</v>
      </c>
      <c r="AI1860" s="5" t="str">
        <f ca="1">IFERROR(__xludf.DUMMYFUNCTION("""COMPUTED_VALUE"""),"No")</f>
        <v>No</v>
      </c>
      <c r="AJ1860" s="5"/>
    </row>
    <row r="1861" spans="1:36" ht="13">
      <c r="A1861" s="5" t="str">
        <f ca="1">IFERROR(__xludf.DUMMYFUNCTION("""COMPUTED_VALUE"""),"19920501CALIO")</f>
        <v>19920501CALIO</v>
      </c>
      <c r="B1861" s="5">
        <f ca="1">IFERROR(__xludf.DUMMYFUNCTION("""COMPUTED_VALUE"""),5)</f>
        <v>5</v>
      </c>
      <c r="C1861" s="5">
        <f ca="1">IFERROR(__xludf.DUMMYFUNCTION("""COMPUTED_VALUE"""),1)</f>
        <v>1</v>
      </c>
      <c r="D1861" s="5">
        <f ca="1">IFERROR(__xludf.DUMMYFUNCTION("""COMPUTED_VALUE"""),1992)</f>
        <v>1992</v>
      </c>
      <c r="E1861" s="8">
        <f ca="1">IFERROR(__xludf.DUMMYFUNCTION("""COMPUTED_VALUE"""),33725)</f>
        <v>33725</v>
      </c>
      <c r="F1861" s="5" t="str">
        <f ca="1">IFERROR(__xludf.DUMMYFUNCTION("""COMPUTED_VALUE"""),"Lindhurst High School")</f>
        <v>Lindhurst High School</v>
      </c>
      <c r="G1861" s="5">
        <f ca="1">IFERROR(__xludf.DUMMYFUNCTION("""COMPUTED_VALUE"""),4)</f>
        <v>4</v>
      </c>
      <c r="H1861" s="5">
        <f ca="1">IFERROR(__xludf.DUMMYFUNCTION("""COMPUTED_VALUE"""),10)</f>
        <v>10</v>
      </c>
      <c r="I1861" s="5">
        <f ca="1">IFERROR(__xludf.DUMMYFUNCTION("""COMPUTED_VALUE"""),14)</f>
        <v>14</v>
      </c>
      <c r="J1861" s="5">
        <f ca="1">IFERROR(__xludf.DUMMYFUNCTION("""COMPUTED_VALUE"""),0)</f>
        <v>0</v>
      </c>
      <c r="K1861" s="9" t="str">
        <f ca="1">IFERROR(__xludf.DUMMYFUNCTION("""COMPUTED_VALUE"""),"http://sacramento.cbslocal.com/2012/08/02/state-supreme-court-upholds-death-penalty-for-houston-in-lindhurst-high-rampage/")</f>
        <v>http://sacramento.cbslocal.com/2012/08/02/state-supreme-court-upholds-death-penalty-for-houston-in-lindhurst-high-rampage/</v>
      </c>
      <c r="L1861" s="5"/>
      <c r="M1861" s="5"/>
      <c r="N1861" s="5">
        <f ca="1">IFERROR(__xludf.DUMMYFUNCTION("""COMPUTED_VALUE"""),4)</f>
        <v>4</v>
      </c>
      <c r="O1861" s="5" t="str">
        <f ca="1">IFERROR(__xludf.DUMMYFUNCTION("""COMPUTED_VALUE"""),"Spring")</f>
        <v>Spring</v>
      </c>
      <c r="P1861" s="5" t="str">
        <f ca="1">IFERROR(__xludf.DUMMYFUNCTION("""COMPUTED_VALUE"""),"Olivehurst")</f>
        <v>Olivehurst</v>
      </c>
      <c r="Q1861" s="5" t="str">
        <f ca="1">IFERROR(__xludf.DUMMYFUNCTION("""COMPUTED_VALUE"""),"CA")</f>
        <v>CA</v>
      </c>
      <c r="R1861" s="5" t="str">
        <f ca="1">IFERROR(__xludf.DUMMYFUNCTION("""COMPUTED_VALUE"""),"High")</f>
        <v>High</v>
      </c>
      <c r="S1861" s="5" t="str">
        <f ca="1">IFERROR(__xludf.DUMMYFUNCTION("""COMPUTED_VALUE"""),"Hallway")</f>
        <v>Hallway</v>
      </c>
      <c r="T1861" s="5" t="str">
        <f ca="1">IFERROR(__xludf.DUMMYFUNCTION("""COMPUTED_VALUE"""),"Inside School Building")</f>
        <v>Inside School Building</v>
      </c>
      <c r="U1861" s="5" t="str">
        <f ca="1">IFERROR(__xludf.DUMMYFUNCTION("""COMPUTED_VALUE"""),"Yes")</f>
        <v>Yes</v>
      </c>
      <c r="V1861" s="5" t="str">
        <f ca="1">IFERROR(__xludf.DUMMYFUNCTION("""COMPUTED_VALUE"""),"Afternoon Classes")</f>
        <v>Afternoon Classes</v>
      </c>
      <c r="W1861" s="5"/>
      <c r="X1861" s="5">
        <f ca="1">IFERROR(__xludf.DUMMYFUNCTION("""COMPUTED_VALUE"""),480)</f>
        <v>480</v>
      </c>
      <c r="Y1861" s="5" t="str">
        <f ca="1">IFERROR(__xludf.DUMMYFUNCTION("""COMPUTED_VALUE"""),"Planned attack, 80 hostages")</f>
        <v>Planned attack, 80 hostages</v>
      </c>
      <c r="Z1861" s="5" t="str">
        <f ca="1">IFERROR(__xludf.DUMMYFUNCTION("""COMPUTED_VALUE"""),"Shooter (former student) entered the school and killed a targeted victim (teach who had failed him in class) then fired random shots hitting multiple students. Shooter took 80 students hostage for 8 hours before surrendering to police. Shooter had been re"&amp;"cently fired from an assembly line job and blamed the school and the teacher he killed for failing him out. Did not have high school diploma. Shooter had planned the attack, wore a camo vest with ammo belt, and had waited until he got his unemployment che"&amp;"ck to buy more ammo before the shooting. No mental health history.")</f>
        <v>Shooter (former student) entered the school and killed a targeted victim (teach who had failed him in class) then fired random shots hitting multiple students. Shooter took 80 students hostage for 8 hours before surrendering to police. Shooter had been recently fired from an assembly line job and blamed the school and the teacher he killed for failing him out. Did not have high school diploma. Shooter had planned the attack, wore a camo vest with ammo belt, and had waited until he got his unemployment check to buy more ammo before the shooting. No mental health history.</v>
      </c>
      <c r="AA1861" s="5" t="str">
        <f ca="1">IFERROR(__xludf.DUMMYFUNCTION("""COMPUTED_VALUE"""),"Hostage/Standoff")</f>
        <v>Hostage/Standoff</v>
      </c>
      <c r="AB1861" s="5" t="str">
        <f ca="1">IFERROR(__xludf.DUMMYFUNCTION("""COMPUTED_VALUE"""),"Both")</f>
        <v>Both</v>
      </c>
      <c r="AC1861" s="5" t="str">
        <f ca="1">IFERROR(__xludf.DUMMYFUNCTION("""COMPUTED_VALUE"""),"No")</f>
        <v>No</v>
      </c>
      <c r="AD1861" s="5" t="str">
        <f ca="1">IFERROR(__xludf.DUMMYFUNCTION("""COMPUTED_VALUE"""),"Yes")</f>
        <v>Yes</v>
      </c>
      <c r="AE1861" s="5" t="str">
        <f ca="1">IFERROR(__xludf.DUMMYFUNCTION("""COMPUTED_VALUE"""),"Yes")</f>
        <v>Yes</v>
      </c>
      <c r="AF1861" s="5" t="str">
        <f ca="1">IFERROR(__xludf.DUMMYFUNCTION("""COMPUTED_VALUE"""),"No")</f>
        <v>No</v>
      </c>
      <c r="AG1861" s="5" t="str">
        <f ca="1">IFERROR(__xludf.DUMMYFUNCTION("""COMPUTED_VALUE"""),"No")</f>
        <v>No</v>
      </c>
      <c r="AH1861" s="5" t="str">
        <f ca="1">IFERROR(__xludf.DUMMYFUNCTION("""COMPUTED_VALUE"""),"No")</f>
        <v>No</v>
      </c>
      <c r="AI1861" s="5" t="str">
        <f ca="1">IFERROR(__xludf.DUMMYFUNCTION("""COMPUTED_VALUE"""),"No")</f>
        <v>No</v>
      </c>
      <c r="AJ1861" s="5" t="str">
        <f ca="1">IFERROR(__xludf.DUMMYFUNCTION("""COMPUTED_VALUE"""),"Yes")</f>
        <v>Yes</v>
      </c>
    </row>
    <row r="1862" spans="1:36" ht="13">
      <c r="A1862" s="5" t="str">
        <f ca="1">IFERROR(__xludf.DUMMYFUNCTION("""COMPUTED_VALUE"""),"19920417TXLID")</f>
        <v>19920417TXLID</v>
      </c>
      <c r="B1862" s="5">
        <f ca="1">IFERROR(__xludf.DUMMYFUNCTION("""COMPUTED_VALUE"""),4)</f>
        <v>4</v>
      </c>
      <c r="C1862" s="5">
        <f ca="1">IFERROR(__xludf.DUMMYFUNCTION("""COMPUTED_VALUE"""),17)</f>
        <v>17</v>
      </c>
      <c r="D1862" s="5">
        <f ca="1">IFERROR(__xludf.DUMMYFUNCTION("""COMPUTED_VALUE"""),1992)</f>
        <v>1992</v>
      </c>
      <c r="E1862" s="8">
        <f ca="1">IFERROR(__xludf.DUMMYFUNCTION("""COMPUTED_VALUE"""),33711)</f>
        <v>33711</v>
      </c>
      <c r="F1862" s="5" t="str">
        <f ca="1">IFERROR(__xludf.DUMMYFUNCTION("""COMPUTED_VALUE"""),"Lincoln High School")</f>
        <v>Lincoln High School</v>
      </c>
      <c r="G1862" s="5">
        <f ca="1">IFERROR(__xludf.DUMMYFUNCTION("""COMPUTED_VALUE"""),1)</f>
        <v>1</v>
      </c>
      <c r="H1862" s="5">
        <f ca="1">IFERROR(__xludf.DUMMYFUNCTION("""COMPUTED_VALUE"""),0)</f>
        <v>0</v>
      </c>
      <c r="I1862" s="5">
        <f ca="1">IFERROR(__xludf.DUMMYFUNCTION("""COMPUTED_VALUE"""),1)</f>
        <v>1</v>
      </c>
      <c r="J1862" s="5">
        <f ca="1">IFERROR(__xludf.DUMMYFUNCTION("""COMPUTED_VALUE"""),0)</f>
        <v>0</v>
      </c>
      <c r="K1862" s="5" t="str">
        <f ca="1">IFERROR(__xludf.DUMMYFUNCTION("""COMPUTED_VALUE"""),"Dallas Morning News - Man Shot After Dance at School; Dallas Morning News - Man, 18, Shot at School Dies; https://www.columbine-angels.com/School_Violence_1991-1992.htm")</f>
        <v>Dallas Morning News - Man Shot After Dance at School; Dallas Morning News - Man, 18, Shot at School Dies; https://www.columbine-angels.com/School_Violence_1991-1992.htm</v>
      </c>
      <c r="L1862" s="5"/>
      <c r="M1862" s="5"/>
      <c r="N1862" s="5">
        <f ca="1">IFERROR(__xludf.DUMMYFUNCTION("""COMPUTED_VALUE"""),1)</f>
        <v>1</v>
      </c>
      <c r="O1862" s="5" t="str">
        <f ca="1">IFERROR(__xludf.DUMMYFUNCTION("""COMPUTED_VALUE"""),"Spring")</f>
        <v>Spring</v>
      </c>
      <c r="P1862" s="5" t="str">
        <f ca="1">IFERROR(__xludf.DUMMYFUNCTION("""COMPUTED_VALUE"""),"Dallas")</f>
        <v>Dallas</v>
      </c>
      <c r="Q1862" s="5" t="str">
        <f ca="1">IFERROR(__xludf.DUMMYFUNCTION("""COMPUTED_VALUE"""),"TX")</f>
        <v>TX</v>
      </c>
      <c r="R1862" s="5" t="str">
        <f ca="1">IFERROR(__xludf.DUMMYFUNCTION("""COMPUTED_VALUE"""),"High")</f>
        <v>High</v>
      </c>
      <c r="S1862" s="5" t="str">
        <f ca="1">IFERROR(__xludf.DUMMYFUNCTION("""COMPUTED_VALUE"""),"Parking Lot")</f>
        <v>Parking Lot</v>
      </c>
      <c r="T1862" s="5" t="str">
        <f ca="1">IFERROR(__xludf.DUMMYFUNCTION("""COMPUTED_VALUE"""),"Outside on School Property")</f>
        <v>Outside on School Property</v>
      </c>
      <c r="U1862" s="5" t="str">
        <f ca="1">IFERROR(__xludf.DUMMYFUNCTION("""COMPUTED_VALUE"""),"No")</f>
        <v>No</v>
      </c>
      <c r="V1862" s="5" t="str">
        <f ca="1">IFERROR(__xludf.DUMMYFUNCTION("""COMPUTED_VALUE"""),"Night")</f>
        <v>Night</v>
      </c>
      <c r="W1862" s="5"/>
      <c r="X1862" s="5"/>
      <c r="Y1862" s="5" t="str">
        <f ca="1">IFERROR(__xludf.DUMMYFUNCTION("""COMPUTED_VALUE"""),"Accidental, gun fired into air came down and struck 19YOM in head")</f>
        <v>Accidental, gun fired into air came down and struck 19YOM in head</v>
      </c>
      <c r="Z1862" s="5" t="str">
        <f ca="1">IFERROR(__xludf.DUMMYFUNCTION("""COMPUTED_VALUE"""),"Party in the parking lot of the school. Students and former students were drinking and firing guns. Bullet fell and struck former student in the head.")</f>
        <v>Party in the parking lot of the school. Students and former students were drinking and firing guns. Bullet fell and struck former student in the head.</v>
      </c>
      <c r="AA1862" s="5" t="str">
        <f ca="1">IFERROR(__xludf.DUMMYFUNCTION("""COMPUTED_VALUE"""),"Accidental")</f>
        <v>Accidental</v>
      </c>
      <c r="AB1862" s="5" t="str">
        <f ca="1">IFERROR(__xludf.DUMMYFUNCTION("""COMPUTED_VALUE"""),"Random Shooting")</f>
        <v>Random Shooting</v>
      </c>
      <c r="AC1862" s="5"/>
      <c r="AD1862" s="5" t="str">
        <f ca="1">IFERROR(__xludf.DUMMYFUNCTION("""COMPUTED_VALUE"""),"No")</f>
        <v>No</v>
      </c>
      <c r="AE1862" s="5" t="str">
        <f ca="1">IFERROR(__xludf.DUMMYFUNCTION("""COMPUTED_VALUE"""),"No")</f>
        <v>No</v>
      </c>
      <c r="AF1862" s="5" t="str">
        <f ca="1">IFERROR(__xludf.DUMMYFUNCTION("""COMPUTED_VALUE"""),"No")</f>
        <v>No</v>
      </c>
      <c r="AG1862" s="5" t="str">
        <f ca="1">IFERROR(__xludf.DUMMYFUNCTION("""COMPUTED_VALUE"""),"No")</f>
        <v>No</v>
      </c>
      <c r="AH1862" s="5" t="str">
        <f ca="1">IFERROR(__xludf.DUMMYFUNCTION("""COMPUTED_VALUE"""),"No")</f>
        <v>No</v>
      </c>
      <c r="AI1862" s="5" t="str">
        <f ca="1">IFERROR(__xludf.DUMMYFUNCTION("""COMPUTED_VALUE"""),"No")</f>
        <v>No</v>
      </c>
      <c r="AJ1862" s="5"/>
    </row>
    <row r="1863" spans="1:36" ht="13">
      <c r="A1863" s="5" t="str">
        <f ca="1">IFERROR(__xludf.DUMMYFUNCTION("""COMPUTED_VALUE"""),"19920409FLFOF")</f>
        <v>19920409FLFOF</v>
      </c>
      <c r="B1863" s="5">
        <f ca="1">IFERROR(__xludf.DUMMYFUNCTION("""COMPUTED_VALUE"""),4)</f>
        <v>4</v>
      </c>
      <c r="C1863" s="5">
        <f ca="1">IFERROR(__xludf.DUMMYFUNCTION("""COMPUTED_VALUE"""),9)</f>
        <v>9</v>
      </c>
      <c r="D1863" s="5">
        <f ca="1">IFERROR(__xludf.DUMMYFUNCTION("""COMPUTED_VALUE"""),1992)</f>
        <v>1992</v>
      </c>
      <c r="E1863" s="8">
        <f ca="1">IFERROR(__xludf.DUMMYFUNCTION("""COMPUTED_VALUE"""),33703)</f>
        <v>33703</v>
      </c>
      <c r="F1863" s="5" t="str">
        <f ca="1">IFERROR(__xludf.DUMMYFUNCTION("""COMPUTED_VALUE"""),"Fort Myers High School")</f>
        <v>Fort Myers High School</v>
      </c>
      <c r="G1863" s="5">
        <f ca="1">IFERROR(__xludf.DUMMYFUNCTION("""COMPUTED_VALUE"""),0)</f>
        <v>0</v>
      </c>
      <c r="H1863" s="5">
        <f ca="1">IFERROR(__xludf.DUMMYFUNCTION("""COMPUTED_VALUE"""),1)</f>
        <v>1</v>
      </c>
      <c r="I1863" s="5">
        <f ca="1">IFERROR(__xludf.DUMMYFUNCTION("""COMPUTED_VALUE"""),1)</f>
        <v>1</v>
      </c>
      <c r="J1863" s="5">
        <f ca="1">IFERROR(__xludf.DUMMYFUNCTION("""COMPUTED_VALUE"""),0)</f>
        <v>0</v>
      </c>
      <c r="K1863" s="5" t="str">
        <f ca="1">IFERROR(__xludf.DUMMYFUNCTION("""COMPUTED_VALUE"""),"https://www.newspapers.com/image/217388697/?terms=fort%2Bmyers%2Bhigh%2Bschool   https://www.newspapers.com/image/217363834/?terms=fort%2Bmyers%2Bhigh%2Bschool%2Bshooting   https://www.newspapers.com/image/217332689/?terms=Freddie%2BLee%2BJOhnson%2BJr.")</f>
        <v>https://www.newspapers.com/image/217388697/?terms=fort%2Bmyers%2Bhigh%2Bschool   https://www.newspapers.com/image/217363834/?terms=fort%2Bmyers%2Bhigh%2Bschool%2Bshooting   https://www.newspapers.com/image/217332689/?terms=Freddie%2BLee%2BJOhnson%2BJr.</v>
      </c>
      <c r="L1863" s="5"/>
      <c r="M1863" s="5"/>
      <c r="N1863" s="5">
        <f ca="1">IFERROR(__xludf.DUMMYFUNCTION("""COMPUTED_VALUE"""),3)</f>
        <v>3</v>
      </c>
      <c r="O1863" s="5" t="str">
        <f ca="1">IFERROR(__xludf.DUMMYFUNCTION("""COMPUTED_VALUE"""),"Spring")</f>
        <v>Spring</v>
      </c>
      <c r="P1863" s="5" t="str">
        <f ca="1">IFERROR(__xludf.DUMMYFUNCTION("""COMPUTED_VALUE"""),"Fort Myers")</f>
        <v>Fort Myers</v>
      </c>
      <c r="Q1863" s="5" t="str">
        <f ca="1">IFERROR(__xludf.DUMMYFUNCTION("""COMPUTED_VALUE"""),"FL")</f>
        <v>FL</v>
      </c>
      <c r="R1863" s="5" t="str">
        <f ca="1">IFERROR(__xludf.DUMMYFUNCTION("""COMPUTED_VALUE"""),"High")</f>
        <v>High</v>
      </c>
      <c r="S1863" s="5" t="str">
        <f ca="1">IFERROR(__xludf.DUMMYFUNCTION("""COMPUTED_VALUE"""),"Field (General)")</f>
        <v>Field (General)</v>
      </c>
      <c r="T1863" s="5" t="str">
        <f ca="1">IFERROR(__xludf.DUMMYFUNCTION("""COMPUTED_VALUE"""),"Outside on School Property")</f>
        <v>Outside on School Property</v>
      </c>
      <c r="U1863" s="5" t="str">
        <f ca="1">IFERROR(__xludf.DUMMYFUNCTION("""COMPUTED_VALUE"""),"Yes")</f>
        <v>Yes</v>
      </c>
      <c r="V1863" s="5" t="str">
        <f ca="1">IFERROR(__xludf.DUMMYFUNCTION("""COMPUTED_VALUE"""),"Morning Classes")</f>
        <v>Morning Classes</v>
      </c>
      <c r="W1863" s="10">
        <f ca="1">IFERROR(__xludf.DUMMYFUNCTION("""COMPUTED_VALUE"""),0.385416666666666)</f>
        <v>0.38541666666666602</v>
      </c>
      <c r="X1863" s="5">
        <f ca="1">IFERROR(__xludf.DUMMYFUNCTION("""COMPUTED_VALUE"""),1)</f>
        <v>1</v>
      </c>
      <c r="Y1863" s="5" t="str">
        <f ca="1">IFERROR(__xludf.DUMMYFUNCTION("""COMPUTED_VALUE"""),"Shots fired during fight in school hallway")</f>
        <v>Shots fired during fight in school hallway</v>
      </c>
      <c r="Z1863" s="5" t="str">
        <f ca="1">IFERROR(__xludf.DUMMYFUNCTION("""COMPUTED_VALUE"""),"Shooter and victim bumped into each other in school hallway - decided to meet after school to fight. Once they meet to fight a few days later the shooter pulled out a small caliber pistol and shot the victim twice in the stomach. The shooter then fled, bu"&amp;"t was caught the next day and charged with attempted murder.")</f>
        <v>Shooter and victim bumped into each other in school hallway - decided to meet after school to fight. Once they meet to fight a few days later the shooter pulled out a small caliber pistol and shot the victim twice in the stomach. The shooter then fled, but was caught the next day and charged with attempted murder.</v>
      </c>
      <c r="AA1863" s="5" t="str">
        <f ca="1">IFERROR(__xludf.DUMMYFUNCTION("""COMPUTED_VALUE"""),"Escalation of Dispute")</f>
        <v>Escalation of Dispute</v>
      </c>
      <c r="AB1863" s="5" t="str">
        <f ca="1">IFERROR(__xludf.DUMMYFUNCTION("""COMPUTED_VALUE"""),"Victims Targeted")</f>
        <v>Victims Targeted</v>
      </c>
      <c r="AC1863" s="5" t="str">
        <f ca="1">IFERROR(__xludf.DUMMYFUNCTION("""COMPUTED_VALUE"""),"No")</f>
        <v>No</v>
      </c>
      <c r="AD1863" s="5" t="str">
        <f ca="1">IFERROR(__xludf.DUMMYFUNCTION("""COMPUTED_VALUE"""),"No")</f>
        <v>No</v>
      </c>
      <c r="AE1863" s="5" t="str">
        <f ca="1">IFERROR(__xludf.DUMMYFUNCTION("""COMPUTED_VALUE"""),"No")</f>
        <v>No</v>
      </c>
      <c r="AF1863" s="5" t="str">
        <f ca="1">IFERROR(__xludf.DUMMYFUNCTION("""COMPUTED_VALUE"""),"No")</f>
        <v>No</v>
      </c>
      <c r="AG1863" s="5" t="str">
        <f ca="1">IFERROR(__xludf.DUMMYFUNCTION("""COMPUTED_VALUE"""),"No")</f>
        <v>No</v>
      </c>
      <c r="AH1863" s="5" t="str">
        <f ca="1">IFERROR(__xludf.DUMMYFUNCTION("""COMPUTED_VALUE"""),"No")</f>
        <v>No</v>
      </c>
      <c r="AI1863" s="5" t="str">
        <f ca="1">IFERROR(__xludf.DUMMYFUNCTION("""COMPUTED_VALUE"""),"No")</f>
        <v>No</v>
      </c>
      <c r="AJ1863" s="5"/>
    </row>
    <row r="1864" spans="1:36" ht="13">
      <c r="A1864" s="5" t="str">
        <f ca="1">IFERROR(__xludf.DUMMYFUNCTION("""COMPUTED_VALUE"""),"19920331LAOPA")</f>
        <v>19920331LAOPA</v>
      </c>
      <c r="B1864" s="5">
        <f ca="1">IFERROR(__xludf.DUMMYFUNCTION("""COMPUTED_VALUE"""),3)</f>
        <v>3</v>
      </c>
      <c r="C1864" s="5">
        <f ca="1">IFERROR(__xludf.DUMMYFUNCTION("""COMPUTED_VALUE"""),31)</f>
        <v>31</v>
      </c>
      <c r="D1864" s="5">
        <f ca="1">IFERROR(__xludf.DUMMYFUNCTION("""COMPUTED_VALUE"""),1992)</f>
        <v>1992</v>
      </c>
      <c r="E1864" s="8">
        <f ca="1">IFERROR(__xludf.DUMMYFUNCTION("""COMPUTED_VALUE"""),33694)</f>
        <v>33694</v>
      </c>
      <c r="F1864" s="5" t="str">
        <f ca="1">IFERROR(__xludf.DUMMYFUNCTION("""COMPUTED_VALUE"""),"O Perry Walker High School")</f>
        <v>O Perry Walker High School</v>
      </c>
      <c r="G1864" s="5">
        <f ca="1">IFERROR(__xludf.DUMMYFUNCTION("""COMPUTED_VALUE"""),1)</f>
        <v>1</v>
      </c>
      <c r="H1864" s="5">
        <f ca="1">IFERROR(__xludf.DUMMYFUNCTION("""COMPUTED_VALUE"""),0)</f>
        <v>0</v>
      </c>
      <c r="I1864" s="5">
        <f ca="1">IFERROR(__xludf.DUMMYFUNCTION("""COMPUTED_VALUE"""),1)</f>
        <v>1</v>
      </c>
      <c r="J1864" s="5">
        <f ca="1">IFERROR(__xludf.DUMMYFUNCTION("""COMPUTED_VALUE"""),0)</f>
        <v>0</v>
      </c>
      <c r="K1864" s="9" t="str">
        <f ca="1">IFERROR(__xludf.DUMMYFUNCTION("""COMPUTED_VALUE"""),"https://www.nola.com/crime/index.ssf/2017/09/25_years_after_walker_students.html")</f>
        <v>https://www.nola.com/crime/index.ssf/2017/09/25_years_after_walker_students.html</v>
      </c>
      <c r="L1864" s="5"/>
      <c r="M1864" s="5"/>
      <c r="N1864" s="5">
        <f ca="1">IFERROR(__xludf.DUMMYFUNCTION("""COMPUTED_VALUE"""),2)</f>
        <v>2</v>
      </c>
      <c r="O1864" s="5" t="str">
        <f ca="1">IFERROR(__xludf.DUMMYFUNCTION("""COMPUTED_VALUE"""),"Spring")</f>
        <v>Spring</v>
      </c>
      <c r="P1864" s="5" t="str">
        <f ca="1">IFERROR(__xludf.DUMMYFUNCTION("""COMPUTED_VALUE"""),"Algiers")</f>
        <v>Algiers</v>
      </c>
      <c r="Q1864" s="5" t="str">
        <f ca="1">IFERROR(__xludf.DUMMYFUNCTION("""COMPUTED_VALUE"""),"LA")</f>
        <v>LA</v>
      </c>
      <c r="R1864" s="5" t="str">
        <f ca="1">IFERROR(__xludf.DUMMYFUNCTION("""COMPUTED_VALUE"""),"High")</f>
        <v>High</v>
      </c>
      <c r="S1864" s="5" t="str">
        <f ca="1">IFERROR(__xludf.DUMMYFUNCTION("""COMPUTED_VALUE"""),"Hallway")</f>
        <v>Hallway</v>
      </c>
      <c r="T1864" s="5" t="str">
        <f ca="1">IFERROR(__xludf.DUMMYFUNCTION("""COMPUTED_VALUE"""),"Inside School Building")</f>
        <v>Inside School Building</v>
      </c>
      <c r="U1864" s="5" t="str">
        <f ca="1">IFERROR(__xludf.DUMMYFUNCTION("""COMPUTED_VALUE"""),"Yes")</f>
        <v>Yes</v>
      </c>
      <c r="V1864" s="5" t="str">
        <f ca="1">IFERROR(__xludf.DUMMYFUNCTION("""COMPUTED_VALUE"""),"Morning Classes")</f>
        <v>Morning Classes</v>
      </c>
      <c r="W1864" s="10">
        <f ca="1">IFERROR(__xludf.DUMMYFUNCTION("""COMPUTED_VALUE"""),0.34375)</f>
        <v>0.34375</v>
      </c>
      <c r="X1864" s="5">
        <f ca="1">IFERROR(__xludf.DUMMYFUNCTION("""COMPUTED_VALUE"""),1)</f>
        <v>1</v>
      </c>
      <c r="Y1864" s="5" t="str">
        <f ca="1">IFERROR(__xludf.DUMMYFUNCTION("""COMPUTED_VALUE"""),"Fight escalated into shooting in the hallways")</f>
        <v>Fight escalated into shooting in the hallways</v>
      </c>
      <c r="Z1864" s="5" t="str">
        <f ca="1">IFERROR(__xludf.DUMMYFUNCTION("""COMPUTED_VALUE"""),"Shooter pulled out gun during fight with other student striking him once in the head (fatal). Shooter fled and was arrested later.")</f>
        <v>Shooter pulled out gun during fight with other student striking him once in the head (fatal). Shooter fled and was arrested later.</v>
      </c>
      <c r="AA1864" s="5" t="str">
        <f ca="1">IFERROR(__xludf.DUMMYFUNCTION("""COMPUTED_VALUE"""),"Escalation of Dispute")</f>
        <v>Escalation of Dispute</v>
      </c>
      <c r="AB1864" s="5" t="str">
        <f ca="1">IFERROR(__xludf.DUMMYFUNCTION("""COMPUTED_VALUE"""),"Victims Targeted")</f>
        <v>Victims Targeted</v>
      </c>
      <c r="AC1864" s="5"/>
      <c r="AD1864" s="5" t="str">
        <f ca="1">IFERROR(__xludf.DUMMYFUNCTION("""COMPUTED_VALUE"""),"No")</f>
        <v>No</v>
      </c>
      <c r="AE1864" s="5" t="str">
        <f ca="1">IFERROR(__xludf.DUMMYFUNCTION("""COMPUTED_VALUE"""),"No")</f>
        <v>No</v>
      </c>
      <c r="AF1864" s="5" t="str">
        <f ca="1">IFERROR(__xludf.DUMMYFUNCTION("""COMPUTED_VALUE"""),"No")</f>
        <v>No</v>
      </c>
      <c r="AG1864" s="5" t="str">
        <f ca="1">IFERROR(__xludf.DUMMYFUNCTION("""COMPUTED_VALUE"""),"No")</f>
        <v>No</v>
      </c>
      <c r="AH1864" s="5" t="str">
        <f ca="1">IFERROR(__xludf.DUMMYFUNCTION("""COMPUTED_VALUE"""),"No")</f>
        <v>No</v>
      </c>
      <c r="AI1864" s="5" t="str">
        <f ca="1">IFERROR(__xludf.DUMMYFUNCTION("""COMPUTED_VALUE"""),"No")</f>
        <v>No</v>
      </c>
      <c r="AJ1864" s="5"/>
    </row>
    <row r="1865" spans="1:36" ht="13">
      <c r="A1865" s="5" t="str">
        <f ca="1">IFERROR(__xludf.DUMMYFUNCTION("""COMPUTED_VALUE"""),"19920305OHHAO")</f>
        <v>19920305OHHAO</v>
      </c>
      <c r="B1865" s="5">
        <f ca="1">IFERROR(__xludf.DUMMYFUNCTION("""COMPUTED_VALUE"""),3)</f>
        <v>3</v>
      </c>
      <c r="C1865" s="5">
        <f ca="1">IFERROR(__xludf.DUMMYFUNCTION("""COMPUTED_VALUE"""),5)</f>
        <v>5</v>
      </c>
      <c r="D1865" s="5">
        <f ca="1">IFERROR(__xludf.DUMMYFUNCTION("""COMPUTED_VALUE"""),1992)</f>
        <v>1992</v>
      </c>
      <c r="E1865" s="8">
        <f ca="1">IFERROR(__xludf.DUMMYFUNCTION("""COMPUTED_VALUE"""),33668)</f>
        <v>33668</v>
      </c>
      <c r="F1865" s="5" t="str">
        <f ca="1">IFERROR(__xludf.DUMMYFUNCTION("""COMPUTED_VALUE"""),"Hamilton Middle School")</f>
        <v>Hamilton Middle School</v>
      </c>
      <c r="G1865" s="5">
        <f ca="1">IFERROR(__xludf.DUMMYFUNCTION("""COMPUTED_VALUE"""),0)</f>
        <v>0</v>
      </c>
      <c r="H1865" s="5">
        <f ca="1">IFERROR(__xludf.DUMMYFUNCTION("""COMPUTED_VALUE"""),1)</f>
        <v>1</v>
      </c>
      <c r="I1865" s="5">
        <f ca="1">IFERROR(__xludf.DUMMYFUNCTION("""COMPUTED_VALUE"""),1)</f>
        <v>1</v>
      </c>
      <c r="J1865" s="5">
        <f ca="1">IFERROR(__xludf.DUMMYFUNCTION("""COMPUTED_VALUE"""),0)</f>
        <v>0</v>
      </c>
      <c r="K1865" s="9" t="str">
        <f ca="1">IFERROR(__xludf.DUMMYFUNCTION("""COMPUTED_VALUE"""),"https://www.newspapers.com/image/296856537/?terms=Hamilton%2BMiddle%2BSchool%2Bshooting")</f>
        <v>https://www.newspapers.com/image/296856537/?terms=Hamilton%2BMiddle%2BSchool%2Bshooting</v>
      </c>
      <c r="L1865" s="5"/>
      <c r="M1865" s="5"/>
      <c r="N1865" s="5">
        <f ca="1">IFERROR(__xludf.DUMMYFUNCTION("""COMPUTED_VALUE"""),2)</f>
        <v>2</v>
      </c>
      <c r="O1865" s="5" t="str">
        <f ca="1">IFERROR(__xludf.DUMMYFUNCTION("""COMPUTED_VALUE"""),"Spring")</f>
        <v>Spring</v>
      </c>
      <c r="P1865" s="5" t="str">
        <f ca="1">IFERROR(__xludf.DUMMYFUNCTION("""COMPUTED_VALUE"""),"Obetz")</f>
        <v>Obetz</v>
      </c>
      <c r="Q1865" s="5" t="str">
        <f ca="1">IFERROR(__xludf.DUMMYFUNCTION("""COMPUTED_VALUE"""),"OH")</f>
        <v>OH</v>
      </c>
      <c r="R1865" s="5" t="str">
        <f ca="1">IFERROR(__xludf.DUMMYFUNCTION("""COMPUTED_VALUE"""),"Middle")</f>
        <v>Middle</v>
      </c>
      <c r="S1865" s="5" t="str">
        <f ca="1">IFERROR(__xludf.DUMMYFUNCTION("""COMPUTED_VALUE"""),"Cafeteria")</f>
        <v>Cafeteria</v>
      </c>
      <c r="T1865" s="5" t="str">
        <f ca="1">IFERROR(__xludf.DUMMYFUNCTION("""COMPUTED_VALUE"""),"Inside School Building")</f>
        <v>Inside School Building</v>
      </c>
      <c r="U1865" s="5" t="str">
        <f ca="1">IFERROR(__xludf.DUMMYFUNCTION("""COMPUTED_VALUE"""),"Yes")</f>
        <v>Yes</v>
      </c>
      <c r="V1865" s="5" t="str">
        <f ca="1">IFERROR(__xludf.DUMMYFUNCTION("""COMPUTED_VALUE"""),"Lunch")</f>
        <v>Lunch</v>
      </c>
      <c r="W1865" s="5"/>
      <c r="X1865" s="5">
        <f ca="1">IFERROR(__xludf.DUMMYFUNCTION("""COMPUTED_VALUE"""),1)</f>
        <v>1</v>
      </c>
      <c r="Y1865" s="5" t="str">
        <f ca="1">IFERROR(__xludf.DUMMYFUNCTION("""COMPUTED_VALUE"""),"Shot specific victim in school cafeteria")</f>
        <v>Shot specific victim in school cafeteria</v>
      </c>
      <c r="Z1865" s="5" t="str">
        <f ca="1">IFERROR(__xludf.DUMMYFUNCTION("""COMPUTED_VALUE"""),"12YO shooter brought .22 pistol concealed in overalls. During argument with victim in school cafeteria, shooter fired one shot striking the victim in the head and fled the scene.")</f>
        <v>12YO shooter brought .22 pistol concealed in overalls. During argument with victim in school cafeteria, shooter fired one shot striking the victim in the head and fled the scene.</v>
      </c>
      <c r="AA1865" s="5" t="str">
        <f ca="1">IFERROR(__xludf.DUMMYFUNCTION("""COMPUTED_VALUE"""),"Escalation of Dispute")</f>
        <v>Escalation of Dispute</v>
      </c>
      <c r="AB1865" s="5" t="str">
        <f ca="1">IFERROR(__xludf.DUMMYFUNCTION("""COMPUTED_VALUE"""),"Victims Targeted")</f>
        <v>Victims Targeted</v>
      </c>
      <c r="AC1865" s="5" t="str">
        <f ca="1">IFERROR(__xludf.DUMMYFUNCTION("""COMPUTED_VALUE"""),"No")</f>
        <v>No</v>
      </c>
      <c r="AD1865" s="5" t="str">
        <f ca="1">IFERROR(__xludf.DUMMYFUNCTION("""COMPUTED_VALUE"""),"No")</f>
        <v>No</v>
      </c>
      <c r="AE1865" s="5" t="str">
        <f ca="1">IFERROR(__xludf.DUMMYFUNCTION("""COMPUTED_VALUE"""),"No")</f>
        <v>No</v>
      </c>
      <c r="AF1865" s="5" t="str">
        <f ca="1">IFERROR(__xludf.DUMMYFUNCTION("""COMPUTED_VALUE"""),"No")</f>
        <v>No</v>
      </c>
      <c r="AG1865" s="5"/>
      <c r="AH1865" s="5" t="str">
        <f ca="1">IFERROR(__xludf.DUMMYFUNCTION("""COMPUTED_VALUE"""),"No")</f>
        <v>No</v>
      </c>
      <c r="AI1865" s="5" t="str">
        <f ca="1">IFERROR(__xludf.DUMMYFUNCTION("""COMPUTED_VALUE"""),"No")</f>
        <v>No</v>
      </c>
      <c r="AJ1865" s="5"/>
    </row>
    <row r="1866" spans="1:36" ht="13">
      <c r="A1866" s="5" t="str">
        <f ca="1">IFERROR(__xludf.DUMMYFUNCTION("""COMPUTED_VALUE"""),"19920226NYTHB")</f>
        <v>19920226NYTHB</v>
      </c>
      <c r="B1866" s="5">
        <f ca="1">IFERROR(__xludf.DUMMYFUNCTION("""COMPUTED_VALUE"""),2)</f>
        <v>2</v>
      </c>
      <c r="C1866" s="5">
        <f ca="1">IFERROR(__xludf.DUMMYFUNCTION("""COMPUTED_VALUE"""),26)</f>
        <v>26</v>
      </c>
      <c r="D1866" s="5">
        <f ca="1">IFERROR(__xludf.DUMMYFUNCTION("""COMPUTED_VALUE"""),1992)</f>
        <v>1992</v>
      </c>
      <c r="E1866" s="8">
        <f ca="1">IFERROR(__xludf.DUMMYFUNCTION("""COMPUTED_VALUE"""),33660)</f>
        <v>33660</v>
      </c>
      <c r="F1866" s="5" t="str">
        <f ca="1">IFERROR(__xludf.DUMMYFUNCTION("""COMPUTED_VALUE"""),"Thomas Jefferson High School")</f>
        <v>Thomas Jefferson High School</v>
      </c>
      <c r="G1866" s="5">
        <f ca="1">IFERROR(__xludf.DUMMYFUNCTION("""COMPUTED_VALUE"""),2)</f>
        <v>2</v>
      </c>
      <c r="H1866" s="5">
        <f ca="1">IFERROR(__xludf.DUMMYFUNCTION("""COMPUTED_VALUE"""),0)</f>
        <v>0</v>
      </c>
      <c r="I1866" s="5">
        <f ca="1">IFERROR(__xludf.DUMMYFUNCTION("""COMPUTED_VALUE"""),2)</f>
        <v>2</v>
      </c>
      <c r="J1866" s="5">
        <f ca="1">IFERROR(__xludf.DUMMYFUNCTION("""COMPUTED_VALUE"""),0)</f>
        <v>0</v>
      </c>
      <c r="K1866" s="9" t="str">
        <f ca="1">IFERROR(__xludf.DUMMYFUNCTION("""COMPUTED_VALUE"""),"https://www.nytimes.com/1992/02/27/nyregion/2-teen-agers-shot-to-death-in-a-brooklyn-school.html")</f>
        <v>https://www.nytimes.com/1992/02/27/nyregion/2-teen-agers-shot-to-death-in-a-brooklyn-school.html</v>
      </c>
      <c r="L1866" s="5"/>
      <c r="M1866" s="5"/>
      <c r="N1866" s="5">
        <f ca="1">IFERROR(__xludf.DUMMYFUNCTION("""COMPUTED_VALUE"""),2)</f>
        <v>2</v>
      </c>
      <c r="O1866" s="5" t="str">
        <f ca="1">IFERROR(__xludf.DUMMYFUNCTION("""COMPUTED_VALUE"""),"Winter")</f>
        <v>Winter</v>
      </c>
      <c r="P1866" s="5" t="str">
        <f ca="1">IFERROR(__xludf.DUMMYFUNCTION("""COMPUTED_VALUE"""),"Brooklyn")</f>
        <v>Brooklyn</v>
      </c>
      <c r="Q1866" s="5" t="str">
        <f ca="1">IFERROR(__xludf.DUMMYFUNCTION("""COMPUTED_VALUE"""),"NY")</f>
        <v>NY</v>
      </c>
      <c r="R1866" s="5" t="str">
        <f ca="1">IFERROR(__xludf.DUMMYFUNCTION("""COMPUTED_VALUE"""),"High")</f>
        <v>High</v>
      </c>
      <c r="S1866" s="5" t="str">
        <f ca="1">IFERROR(__xludf.DUMMYFUNCTION("""COMPUTED_VALUE"""),"Hallway")</f>
        <v>Hallway</v>
      </c>
      <c r="T1866" s="5" t="str">
        <f ca="1">IFERROR(__xludf.DUMMYFUNCTION("""COMPUTED_VALUE"""),"Inside School Building")</f>
        <v>Inside School Building</v>
      </c>
      <c r="U1866" s="5" t="str">
        <f ca="1">IFERROR(__xludf.DUMMYFUNCTION("""COMPUTED_VALUE"""),"Yes")</f>
        <v>Yes</v>
      </c>
      <c r="V1866" s="5" t="str">
        <f ca="1">IFERROR(__xludf.DUMMYFUNCTION("""COMPUTED_VALUE"""),"Morning Classes")</f>
        <v>Morning Classes</v>
      </c>
      <c r="W1866" s="10">
        <f ca="1">IFERROR(__xludf.DUMMYFUNCTION("""COMPUTED_VALUE"""),0.361111111111111)</f>
        <v>0.36111111111111099</v>
      </c>
      <c r="X1866" s="5">
        <f ca="1">IFERROR(__xludf.DUMMYFUNCTION("""COMPUTED_VALUE"""),1)</f>
        <v>1</v>
      </c>
      <c r="Y1866" s="5" t="str">
        <f ca="1">IFERROR(__xludf.DUMMYFUNCTION("""COMPUTED_VALUE"""),"Shots fired during fight in hallway")</f>
        <v>Shots fired during fight in hallway</v>
      </c>
      <c r="Z1866" s="5" t="str">
        <f ca="1">IFERROR(__xludf.DUMMYFUNCTION("""COMPUTED_VALUE"""),"Shooter fired at two victims in the hallway of the high school during a dispute. Two police officers were approximately 15 feet away. Shooter ran from the scene and was arrested out. Shooter and victim had been arrested for previous armed robbery and only"&amp;" the shooter had been charged creating ongoing dispute. Shooter obtained the gun from a friend the morning of the shooting. This was the second shooting inside the school in 3 months and police officers were assigned to the school at the time of the shoot"&amp;"ing.")</f>
        <v>Shooter fired at two victims in the hallway of the high school during a dispute. Two police officers were approximately 15 feet away. Shooter ran from the scene and was arrested out. Shooter and victim had been arrested for previous armed robbery and only the shooter had been charged creating ongoing dispute. Shooter obtained the gun from a friend the morning of the shooting. This was the second shooting inside the school in 3 months and police officers were assigned to the school at the time of the shooting.</v>
      </c>
      <c r="AA1866" s="5" t="str">
        <f ca="1">IFERROR(__xludf.DUMMYFUNCTION("""COMPUTED_VALUE"""),"Escalation of Dispute")</f>
        <v>Escalation of Dispute</v>
      </c>
      <c r="AB1866" s="5" t="str">
        <f ca="1">IFERROR(__xludf.DUMMYFUNCTION("""COMPUTED_VALUE"""),"Victims Targeted")</f>
        <v>Victims Targeted</v>
      </c>
      <c r="AC1866" s="5" t="str">
        <f ca="1">IFERROR(__xludf.DUMMYFUNCTION("""COMPUTED_VALUE"""),"No")</f>
        <v>No</v>
      </c>
      <c r="AD1866" s="5" t="str">
        <f ca="1">IFERROR(__xludf.DUMMYFUNCTION("""COMPUTED_VALUE"""),"No")</f>
        <v>No</v>
      </c>
      <c r="AE1866" s="5" t="str">
        <f ca="1">IFERROR(__xludf.DUMMYFUNCTION("""COMPUTED_VALUE"""),"No")</f>
        <v>No</v>
      </c>
      <c r="AF1866" s="5" t="str">
        <f ca="1">IFERROR(__xludf.DUMMYFUNCTION("""COMPUTED_VALUE"""),"No")</f>
        <v>No</v>
      </c>
      <c r="AG1866" s="5"/>
      <c r="AH1866" s="5" t="str">
        <f ca="1">IFERROR(__xludf.DUMMYFUNCTION("""COMPUTED_VALUE"""),"No")</f>
        <v>No</v>
      </c>
      <c r="AI1866" s="5" t="str">
        <f ca="1">IFERROR(__xludf.DUMMYFUNCTION("""COMPUTED_VALUE"""),"No")</f>
        <v>No</v>
      </c>
      <c r="AJ1866" s="5"/>
    </row>
    <row r="1867" spans="1:36" ht="13">
      <c r="A1867" s="5" t="str">
        <f ca="1">IFERROR(__xludf.DUMMYFUNCTION("""COMPUTED_VALUE"""),"19920207VABON")</f>
        <v>19920207VABON</v>
      </c>
      <c r="B1867" s="5">
        <f ca="1">IFERROR(__xludf.DUMMYFUNCTION("""COMPUTED_VALUE"""),2)</f>
        <v>2</v>
      </c>
      <c r="C1867" s="5">
        <f ca="1">IFERROR(__xludf.DUMMYFUNCTION("""COMPUTED_VALUE"""),7)</f>
        <v>7</v>
      </c>
      <c r="D1867" s="5">
        <f ca="1">IFERROR(__xludf.DUMMYFUNCTION("""COMPUTED_VALUE"""),1992)</f>
        <v>1992</v>
      </c>
      <c r="E1867" s="8">
        <f ca="1">IFERROR(__xludf.DUMMYFUNCTION("""COMPUTED_VALUE"""),33641)</f>
        <v>33641</v>
      </c>
      <c r="F1867" s="5" t="str">
        <f ca="1">IFERROR(__xludf.DUMMYFUNCTION("""COMPUTED_VALUE"""),"Booker T. Washington High School")</f>
        <v>Booker T. Washington High School</v>
      </c>
      <c r="G1867" s="5">
        <f ca="1">IFERROR(__xludf.DUMMYFUNCTION("""COMPUTED_VALUE"""),1)</f>
        <v>1</v>
      </c>
      <c r="H1867" s="5">
        <f ca="1">IFERROR(__xludf.DUMMYFUNCTION("""COMPUTED_VALUE"""),1)</f>
        <v>1</v>
      </c>
      <c r="I1867" s="5">
        <f ca="1">IFERROR(__xludf.DUMMYFUNCTION("""COMPUTED_VALUE"""),2)</f>
        <v>2</v>
      </c>
      <c r="J1867" s="5">
        <f ca="1">IFERROR(__xludf.DUMMYFUNCTION("""COMPUTED_VALUE"""),0)</f>
        <v>0</v>
      </c>
      <c r="K1867" s="9" t="str">
        <f ca="1">IFERROR(__xludf.DUMMYFUNCTION("""COMPUTED_VALUE"""),"http://articles.dailypress.com/1992-02-08/news/9202080051_1_place-on-school-property-critical-condition-school-officials")</f>
        <v>http://articles.dailypress.com/1992-02-08/news/9202080051_1_place-on-school-property-critical-condition-school-officials</v>
      </c>
      <c r="L1867" s="5"/>
      <c r="M1867" s="5"/>
      <c r="N1867" s="5">
        <f ca="1">IFERROR(__xludf.DUMMYFUNCTION("""COMPUTED_VALUE"""),2)</f>
        <v>2</v>
      </c>
      <c r="O1867" s="5" t="str">
        <f ca="1">IFERROR(__xludf.DUMMYFUNCTION("""COMPUTED_VALUE"""),"Winter")</f>
        <v>Winter</v>
      </c>
      <c r="P1867" s="5" t="str">
        <f ca="1">IFERROR(__xludf.DUMMYFUNCTION("""COMPUTED_VALUE"""),"Norfolk")</f>
        <v>Norfolk</v>
      </c>
      <c r="Q1867" s="5" t="str">
        <f ca="1">IFERROR(__xludf.DUMMYFUNCTION("""COMPUTED_VALUE"""),"VA")</f>
        <v>VA</v>
      </c>
      <c r="R1867" s="5" t="str">
        <f ca="1">IFERROR(__xludf.DUMMYFUNCTION("""COMPUTED_VALUE"""),"High")</f>
        <v>High</v>
      </c>
      <c r="S1867" s="5" t="str">
        <f ca="1">IFERROR(__xludf.DUMMYFUNCTION("""COMPUTED_VALUE"""),"Beside Building")</f>
        <v>Beside Building</v>
      </c>
      <c r="T1867" s="5" t="str">
        <f ca="1">IFERROR(__xludf.DUMMYFUNCTION("""COMPUTED_VALUE"""),"Outside on School Property")</f>
        <v>Outside on School Property</v>
      </c>
      <c r="U1867" s="5" t="str">
        <f ca="1">IFERROR(__xludf.DUMMYFUNCTION("""COMPUTED_VALUE"""),"Yes")</f>
        <v>Yes</v>
      </c>
      <c r="V1867" s="5" t="str">
        <f ca="1">IFERROR(__xludf.DUMMYFUNCTION("""COMPUTED_VALUE"""),"Lunch")</f>
        <v>Lunch</v>
      </c>
      <c r="W1867" s="10">
        <f ca="1">IFERROR(__xludf.DUMMYFUNCTION("""COMPUTED_VALUE"""),0.532638888888888)</f>
        <v>0.532638888888888</v>
      </c>
      <c r="X1867" s="5">
        <f ca="1">IFERROR(__xludf.DUMMYFUNCTION("""COMPUTED_VALUE"""),1)</f>
        <v>1</v>
      </c>
      <c r="Y1867" s="5" t="str">
        <f ca="1">IFERROR(__xludf.DUMMYFUNCTION("""COMPUTED_VALUE"""),"Argument over coat stolen in prior burglary")</f>
        <v>Argument over coat stolen in prior burglary</v>
      </c>
      <c r="Z1867" s="5" t="str">
        <f ca="1">IFERROR(__xludf.DUMMYFUNCTION("""COMPUTED_VALUE"""),"Two teenage students confronted a man outside the school wearing a coat that they believed was stolen in a prior burglary. The unknown male pulled out an automatic pistol and shot both of them.")</f>
        <v>Two teenage students confronted a man outside the school wearing a coat that they believed was stolen in a prior burglary. The unknown male pulled out an automatic pistol and shot both of them.</v>
      </c>
      <c r="AA1867" s="5" t="str">
        <f ca="1">IFERROR(__xludf.DUMMYFUNCTION("""COMPUTED_VALUE"""),"Escalation of Dispute")</f>
        <v>Escalation of Dispute</v>
      </c>
      <c r="AB1867" s="5" t="str">
        <f ca="1">IFERROR(__xludf.DUMMYFUNCTION("""COMPUTED_VALUE"""),"Victims Targeted")</f>
        <v>Victims Targeted</v>
      </c>
      <c r="AC1867" s="5" t="str">
        <f ca="1">IFERROR(__xludf.DUMMYFUNCTION("""COMPUTED_VALUE"""),"No")</f>
        <v>No</v>
      </c>
      <c r="AD1867" s="5" t="str">
        <f ca="1">IFERROR(__xludf.DUMMYFUNCTION("""COMPUTED_VALUE"""),"No")</f>
        <v>No</v>
      </c>
      <c r="AE1867" s="5" t="str">
        <f ca="1">IFERROR(__xludf.DUMMYFUNCTION("""COMPUTED_VALUE"""),"No")</f>
        <v>No</v>
      </c>
      <c r="AF1867" s="5" t="str">
        <f ca="1">IFERROR(__xludf.DUMMYFUNCTION("""COMPUTED_VALUE"""),"No")</f>
        <v>No</v>
      </c>
      <c r="AG1867" s="5" t="str">
        <f ca="1">IFERROR(__xludf.DUMMYFUNCTION("""COMPUTED_VALUE"""),"No")</f>
        <v>No</v>
      </c>
      <c r="AH1867" s="5" t="str">
        <f ca="1">IFERROR(__xludf.DUMMYFUNCTION("""COMPUTED_VALUE"""),"No")</f>
        <v>No</v>
      </c>
      <c r="AI1867" s="5" t="str">
        <f ca="1">IFERROR(__xludf.DUMMYFUNCTION("""COMPUTED_VALUE"""),"No")</f>
        <v>No</v>
      </c>
      <c r="AJ1867" s="5"/>
    </row>
    <row r="1868" spans="1:36" ht="13">
      <c r="A1868" s="5" t="str">
        <f ca="1">IFERROR(__xludf.DUMMYFUNCTION("""COMPUTED_VALUE"""),"19920206OKDOO")</f>
        <v>19920206OKDOO</v>
      </c>
      <c r="B1868" s="5">
        <f ca="1">IFERROR(__xludf.DUMMYFUNCTION("""COMPUTED_VALUE"""),2)</f>
        <v>2</v>
      </c>
      <c r="C1868" s="5">
        <f ca="1">IFERROR(__xludf.DUMMYFUNCTION("""COMPUTED_VALUE"""),6)</f>
        <v>6</v>
      </c>
      <c r="D1868" s="5">
        <f ca="1">IFERROR(__xludf.DUMMYFUNCTION("""COMPUTED_VALUE"""),1992)</f>
        <v>1992</v>
      </c>
      <c r="E1868" s="8">
        <f ca="1">IFERROR(__xludf.DUMMYFUNCTION("""COMPUTED_VALUE"""),33640)</f>
        <v>33640</v>
      </c>
      <c r="F1868" s="5" t="str">
        <f ca="1">IFERROR(__xludf.DUMMYFUNCTION("""COMPUTED_VALUE"""),"Douglass High School")</f>
        <v>Douglass High School</v>
      </c>
      <c r="G1868" s="5">
        <f ca="1">IFERROR(__xludf.DUMMYFUNCTION("""COMPUTED_VALUE"""),1)</f>
        <v>1</v>
      </c>
      <c r="H1868" s="5">
        <f ca="1">IFERROR(__xludf.DUMMYFUNCTION("""COMPUTED_VALUE"""),0)</f>
        <v>0</v>
      </c>
      <c r="I1868" s="5">
        <f ca="1">IFERROR(__xludf.DUMMYFUNCTION("""COMPUTED_VALUE"""),1)</f>
        <v>1</v>
      </c>
      <c r="J1868" s="5">
        <f ca="1">IFERROR(__xludf.DUMMYFUNCTION("""COMPUTED_VALUE"""),0)</f>
        <v>0</v>
      </c>
      <c r="K1868" s="9" t="str">
        <f ca="1">IFERROR(__xludf.DUMMYFUNCTION("""COMPUTED_VALUE"""),"https://newsok.com/article/2384331/city-campuses-close-after-shooting-death-security-searches-stepped-up")</f>
        <v>https://newsok.com/article/2384331/city-campuses-close-after-shooting-death-security-searches-stepped-up</v>
      </c>
      <c r="L1868" s="5"/>
      <c r="M1868" s="5"/>
      <c r="N1868" s="5">
        <f ca="1">IFERROR(__xludf.DUMMYFUNCTION("""COMPUTED_VALUE"""),2)</f>
        <v>2</v>
      </c>
      <c r="O1868" s="5" t="str">
        <f ca="1">IFERROR(__xludf.DUMMYFUNCTION("""COMPUTED_VALUE"""),"Winter")</f>
        <v>Winter</v>
      </c>
      <c r="P1868" s="5" t="str">
        <f ca="1">IFERROR(__xludf.DUMMYFUNCTION("""COMPUTED_VALUE"""),"Oklahoma City")</f>
        <v>Oklahoma City</v>
      </c>
      <c r="Q1868" s="5" t="str">
        <f ca="1">IFERROR(__xludf.DUMMYFUNCTION("""COMPUTED_VALUE"""),"OK")</f>
        <v>OK</v>
      </c>
      <c r="R1868" s="5" t="str">
        <f ca="1">IFERROR(__xludf.DUMMYFUNCTION("""COMPUTED_VALUE"""),"High")</f>
        <v>High</v>
      </c>
      <c r="S1868" s="5" t="str">
        <f ca="1">IFERROR(__xludf.DUMMYFUNCTION("""COMPUTED_VALUE"""),"Inside School Building")</f>
        <v>Inside School Building</v>
      </c>
      <c r="T1868" s="5" t="str">
        <f ca="1">IFERROR(__xludf.DUMMYFUNCTION("""COMPUTED_VALUE"""),"Inside School Building")</f>
        <v>Inside School Building</v>
      </c>
      <c r="U1868" s="5" t="str">
        <f ca="1">IFERROR(__xludf.DUMMYFUNCTION("""COMPUTED_VALUE"""),"Yes")</f>
        <v>Yes</v>
      </c>
      <c r="V1868" s="5" t="str">
        <f ca="1">IFERROR(__xludf.DUMMYFUNCTION("""COMPUTED_VALUE"""),"Afternoon Classes")</f>
        <v>Afternoon Classes</v>
      </c>
      <c r="W1868" s="10">
        <f ca="1">IFERROR(__xludf.DUMMYFUNCTION("""COMPUTED_VALUE"""),0.597222222222222)</f>
        <v>0.59722222222222199</v>
      </c>
      <c r="X1868" s="5">
        <f ca="1">IFERROR(__xludf.DUMMYFUNCTION("""COMPUTED_VALUE"""),1)</f>
        <v>1</v>
      </c>
      <c r="Y1868" s="5" t="str">
        <f ca="1">IFERROR(__xludf.DUMMYFUNCTION("""COMPUTED_VALUE"""),"Shot victim due to jealousy over a girl")</f>
        <v>Shot victim due to jealousy over a girl</v>
      </c>
      <c r="Z1868" s="5" t="str">
        <f ca="1">IFERROR(__xludf.DUMMYFUNCTION("""COMPUTED_VALUE"""),"Suspect shoots victim - on going problems between the two - possibly over a girl")</f>
        <v>Suspect shoots victim - on going problems between the two - possibly over a girl</v>
      </c>
      <c r="AA1868" s="5" t="str">
        <f ca="1">IFERROR(__xludf.DUMMYFUNCTION("""COMPUTED_VALUE"""),"Escalation of Dispute")</f>
        <v>Escalation of Dispute</v>
      </c>
      <c r="AB1868" s="5" t="str">
        <f ca="1">IFERROR(__xludf.DUMMYFUNCTION("""COMPUTED_VALUE"""),"Victims Targeted")</f>
        <v>Victims Targeted</v>
      </c>
      <c r="AC1868" s="5" t="str">
        <f ca="1">IFERROR(__xludf.DUMMYFUNCTION("""COMPUTED_VALUE"""),"No")</f>
        <v>No</v>
      </c>
      <c r="AD1868" s="5" t="str">
        <f ca="1">IFERROR(__xludf.DUMMYFUNCTION("""COMPUTED_VALUE"""),"No")</f>
        <v>No</v>
      </c>
      <c r="AE1868" s="5" t="str">
        <f ca="1">IFERROR(__xludf.DUMMYFUNCTION("""COMPUTED_VALUE"""),"No")</f>
        <v>No</v>
      </c>
      <c r="AF1868" s="5" t="str">
        <f ca="1">IFERROR(__xludf.DUMMYFUNCTION("""COMPUTED_VALUE"""),"No")</f>
        <v>No</v>
      </c>
      <c r="AG1868" s="5" t="str">
        <f ca="1">IFERROR(__xludf.DUMMYFUNCTION("""COMPUTED_VALUE"""),"No")</f>
        <v>No</v>
      </c>
      <c r="AH1868" s="5" t="str">
        <f ca="1">IFERROR(__xludf.DUMMYFUNCTION("""COMPUTED_VALUE"""),"No")</f>
        <v>No</v>
      </c>
      <c r="AI1868" s="5" t="str">
        <f ca="1">IFERROR(__xludf.DUMMYFUNCTION("""COMPUTED_VALUE"""),"No")</f>
        <v>No</v>
      </c>
      <c r="AJ1868" s="5"/>
    </row>
    <row r="1869" spans="1:36" ht="13">
      <c r="A1869" s="5" t="str">
        <f ca="1">IFERROR(__xludf.DUMMYFUNCTION("""COMPUTED_VALUE"""),"19920131LAFRG")</f>
        <v>19920131LAFRG</v>
      </c>
      <c r="B1869" s="5">
        <f ca="1">IFERROR(__xludf.DUMMYFUNCTION("""COMPUTED_VALUE"""),1)</f>
        <v>1</v>
      </c>
      <c r="C1869" s="5">
        <f ca="1">IFERROR(__xludf.DUMMYFUNCTION("""COMPUTED_VALUE"""),31)</f>
        <v>31</v>
      </c>
      <c r="D1869" s="5">
        <f ca="1">IFERROR(__xludf.DUMMYFUNCTION("""COMPUTED_VALUE"""),1992)</f>
        <v>1992</v>
      </c>
      <c r="E1869" s="8">
        <f ca="1">IFERROR(__xludf.DUMMYFUNCTION("""COMPUTED_VALUE"""),33634)</f>
        <v>33634</v>
      </c>
      <c r="F1869" s="5" t="str">
        <f ca="1">IFERROR(__xludf.DUMMYFUNCTION("""COMPUTED_VALUE"""),"Francis W. Gregory Junior High School")</f>
        <v>Francis W. Gregory Junior High School</v>
      </c>
      <c r="G1869" s="5">
        <f ca="1">IFERROR(__xludf.DUMMYFUNCTION("""COMPUTED_VALUE"""),0)</f>
        <v>0</v>
      </c>
      <c r="H1869" s="5">
        <f ca="1">IFERROR(__xludf.DUMMYFUNCTION("""COMPUTED_VALUE"""),1)</f>
        <v>1</v>
      </c>
      <c r="I1869" s="5">
        <f ca="1">IFERROR(__xludf.DUMMYFUNCTION("""COMPUTED_VALUE"""),1)</f>
        <v>1</v>
      </c>
      <c r="J1869" s="5">
        <f ca="1">IFERROR(__xludf.DUMMYFUNCTION("""COMPUTED_VALUE"""),0)</f>
        <v>0</v>
      </c>
      <c r="K1869" s="9" t="str">
        <f ca="1">IFERROR(__xludf.DUMMYFUNCTION("""COMPUTED_VALUE"""),"https://www.newspapers.com/image/218234824/?terms=Francis%2BW.%2BGregory%2BJunior%2BHigh%2BSchool%2Bshooting")</f>
        <v>https://www.newspapers.com/image/218234824/?terms=Francis%2BW.%2BGregory%2BJunior%2BHigh%2BSchool%2Bshooting</v>
      </c>
      <c r="L1869" s="5"/>
      <c r="M1869" s="5"/>
      <c r="N1869" s="5">
        <f ca="1">IFERROR(__xludf.DUMMYFUNCTION("""COMPUTED_VALUE"""),2)</f>
        <v>2</v>
      </c>
      <c r="O1869" s="5" t="str">
        <f ca="1">IFERROR(__xludf.DUMMYFUNCTION("""COMPUTED_VALUE"""),"Winter")</f>
        <v>Winter</v>
      </c>
      <c r="P1869" s="5" t="str">
        <f ca="1">IFERROR(__xludf.DUMMYFUNCTION("""COMPUTED_VALUE"""),"Gentilly")</f>
        <v>Gentilly</v>
      </c>
      <c r="Q1869" s="5" t="str">
        <f ca="1">IFERROR(__xludf.DUMMYFUNCTION("""COMPUTED_VALUE"""),"LA")</f>
        <v>LA</v>
      </c>
      <c r="R1869" s="5" t="str">
        <f ca="1">IFERROR(__xludf.DUMMYFUNCTION("""COMPUTED_VALUE"""),"Junior High")</f>
        <v>Junior High</v>
      </c>
      <c r="S1869" s="5" t="str">
        <f ca="1">IFERROR(__xludf.DUMMYFUNCTION("""COMPUTED_VALUE"""),"Hallway")</f>
        <v>Hallway</v>
      </c>
      <c r="T1869" s="5" t="str">
        <f ca="1">IFERROR(__xludf.DUMMYFUNCTION("""COMPUTED_VALUE"""),"Inside School Building")</f>
        <v>Inside School Building</v>
      </c>
      <c r="U1869" s="5" t="str">
        <f ca="1">IFERROR(__xludf.DUMMYFUNCTION("""COMPUTED_VALUE"""),"Yes")</f>
        <v>Yes</v>
      </c>
      <c r="V1869" s="5" t="str">
        <f ca="1">IFERROR(__xludf.DUMMYFUNCTION("""COMPUTED_VALUE"""),"Afternoon Classes")</f>
        <v>Afternoon Classes</v>
      </c>
      <c r="W1869" s="10">
        <f ca="1">IFERROR(__xludf.DUMMYFUNCTION("""COMPUTED_VALUE"""),0.5625)</f>
        <v>0.5625</v>
      </c>
      <c r="X1869" s="5">
        <f ca="1">IFERROR(__xludf.DUMMYFUNCTION("""COMPUTED_VALUE"""),1)</f>
        <v>1</v>
      </c>
      <c r="Y1869" s="5" t="str">
        <f ca="1">IFERROR(__xludf.DUMMYFUNCTION("""COMPUTED_VALUE"""),"Student shot in hallway during a fight with 3 other students")</f>
        <v>Student shot in hallway during a fight with 3 other students</v>
      </c>
      <c r="Z1869" s="5" t="str">
        <f ca="1">IFERROR(__xludf.DUMMYFUNCTION("""COMPUTED_VALUE"""),"7th grade student in the hallway during class was shot during a conflict with three other students. Three suspects involved in shooting fled. 14 and 15 year old were arrested but shooter was not found.")</f>
        <v>7th grade student in the hallway during class was shot during a conflict with three other students. Three suspects involved in shooting fled. 14 and 15 year old were arrested but shooter was not found.</v>
      </c>
      <c r="AA1869" s="5" t="str">
        <f ca="1">IFERROR(__xludf.DUMMYFUNCTION("""COMPUTED_VALUE"""),"Escalation of Dispute")</f>
        <v>Escalation of Dispute</v>
      </c>
      <c r="AB1869" s="5" t="str">
        <f ca="1">IFERROR(__xludf.DUMMYFUNCTION("""COMPUTED_VALUE"""),"Victims Targeted")</f>
        <v>Victims Targeted</v>
      </c>
      <c r="AC1869" s="5" t="str">
        <f ca="1">IFERROR(__xludf.DUMMYFUNCTION("""COMPUTED_VALUE"""),"Unknown")</f>
        <v>Unknown</v>
      </c>
      <c r="AD1869" s="5" t="str">
        <f ca="1">IFERROR(__xludf.DUMMYFUNCTION("""COMPUTED_VALUE"""),"No")</f>
        <v>No</v>
      </c>
      <c r="AE1869" s="5" t="str">
        <f ca="1">IFERROR(__xludf.DUMMYFUNCTION("""COMPUTED_VALUE"""),"No")</f>
        <v>No</v>
      </c>
      <c r="AF1869" s="5" t="str">
        <f ca="1">IFERROR(__xludf.DUMMYFUNCTION("""COMPUTED_VALUE"""),"No")</f>
        <v>No</v>
      </c>
      <c r="AG1869" s="5" t="str">
        <f ca="1">IFERROR(__xludf.DUMMYFUNCTION("""COMPUTED_VALUE"""),"No")</f>
        <v>No</v>
      </c>
      <c r="AH1869" s="5" t="str">
        <f ca="1">IFERROR(__xludf.DUMMYFUNCTION("""COMPUTED_VALUE"""),"No")</f>
        <v>No</v>
      </c>
      <c r="AI1869" s="5" t="str">
        <f ca="1">IFERROR(__xludf.DUMMYFUNCTION("""COMPUTED_VALUE"""),"No")</f>
        <v>No</v>
      </c>
      <c r="AJ1869" s="5"/>
    </row>
    <row r="1870" spans="1:36" ht="13">
      <c r="A1870" s="5" t="str">
        <f ca="1">IFERROR(__xludf.DUMMYFUNCTION("""COMPUTED_VALUE"""),"19920128LAFRG")</f>
        <v>19920128LAFRG</v>
      </c>
      <c r="B1870" s="5">
        <f ca="1">IFERROR(__xludf.DUMMYFUNCTION("""COMPUTED_VALUE"""),1)</f>
        <v>1</v>
      </c>
      <c r="C1870" s="5">
        <f ca="1">IFERROR(__xludf.DUMMYFUNCTION("""COMPUTED_VALUE"""),28)</f>
        <v>28</v>
      </c>
      <c r="D1870" s="5">
        <f ca="1">IFERROR(__xludf.DUMMYFUNCTION("""COMPUTED_VALUE"""),1992)</f>
        <v>1992</v>
      </c>
      <c r="E1870" s="8">
        <f ca="1">IFERROR(__xludf.DUMMYFUNCTION("""COMPUTED_VALUE"""),33631)</f>
        <v>33631</v>
      </c>
      <c r="F1870" s="5" t="str">
        <f ca="1">IFERROR(__xludf.DUMMYFUNCTION("""COMPUTED_VALUE"""),"Francis W. Gregory Junior High School")</f>
        <v>Francis W. Gregory Junior High School</v>
      </c>
      <c r="G1870" s="5">
        <f ca="1">IFERROR(__xludf.DUMMYFUNCTION("""COMPUTED_VALUE"""),0)</f>
        <v>0</v>
      </c>
      <c r="H1870" s="5">
        <f ca="1">IFERROR(__xludf.DUMMYFUNCTION("""COMPUTED_VALUE"""),1)</f>
        <v>1</v>
      </c>
      <c r="I1870" s="5">
        <f ca="1">IFERROR(__xludf.DUMMYFUNCTION("""COMPUTED_VALUE"""),1)</f>
        <v>1</v>
      </c>
      <c r="J1870" s="5">
        <f ca="1">IFERROR(__xludf.DUMMYFUNCTION("""COMPUTED_VALUE"""),0)</f>
        <v>0</v>
      </c>
      <c r="K1870" s="9" t="str">
        <f ca="1">IFERROR(__xludf.DUMMYFUNCTION("""COMPUTED_VALUE"""),"https://www.newspapers.com/image/218234824/?terms=Francis%2BW.%2BGregory%2BJunior%2BHigh%2BSchool%2Bshooting")</f>
        <v>https://www.newspapers.com/image/218234824/?terms=Francis%2BW.%2BGregory%2BJunior%2BHigh%2BSchool%2Bshooting</v>
      </c>
      <c r="L1870" s="5"/>
      <c r="M1870" s="5"/>
      <c r="N1870" s="5">
        <f ca="1">IFERROR(__xludf.DUMMYFUNCTION("""COMPUTED_VALUE"""),2)</f>
        <v>2</v>
      </c>
      <c r="O1870" s="5" t="str">
        <f ca="1">IFERROR(__xludf.DUMMYFUNCTION("""COMPUTED_VALUE"""),"Winter")</f>
        <v>Winter</v>
      </c>
      <c r="P1870" s="5" t="str">
        <f ca="1">IFERROR(__xludf.DUMMYFUNCTION("""COMPUTED_VALUE"""),"Gentilly")</f>
        <v>Gentilly</v>
      </c>
      <c r="Q1870" s="5" t="str">
        <f ca="1">IFERROR(__xludf.DUMMYFUNCTION("""COMPUTED_VALUE"""),"LA")</f>
        <v>LA</v>
      </c>
      <c r="R1870" s="5" t="str">
        <f ca="1">IFERROR(__xludf.DUMMYFUNCTION("""COMPUTED_VALUE"""),"Junior High")</f>
        <v>Junior High</v>
      </c>
      <c r="S1870" s="5" t="str">
        <f ca="1">IFERROR(__xludf.DUMMYFUNCTION("""COMPUTED_VALUE"""),"Beside Building")</f>
        <v>Beside Building</v>
      </c>
      <c r="T1870" s="5" t="str">
        <f ca="1">IFERROR(__xludf.DUMMYFUNCTION("""COMPUTED_VALUE"""),"Outside on School Property")</f>
        <v>Outside on School Property</v>
      </c>
      <c r="U1870" s="5"/>
      <c r="V1870" s="5"/>
      <c r="W1870" s="5"/>
      <c r="X1870" s="5">
        <f ca="1">IFERROR(__xludf.DUMMYFUNCTION("""COMPUTED_VALUE"""),1)</f>
        <v>1</v>
      </c>
      <c r="Y1870" s="5" t="str">
        <f ca="1">IFERROR(__xludf.DUMMYFUNCTION("""COMPUTED_VALUE"""),"Shot during robbery behind school")</f>
        <v>Shot during robbery behind school</v>
      </c>
      <c r="Z1870" s="5" t="str">
        <f ca="1">IFERROR(__xludf.DUMMYFUNCTION("""COMPUTED_VALUE"""),"14YOM shot behind the school during attempt to steal his jacket.")</f>
        <v>14YOM shot behind the school during attempt to steal his jacket.</v>
      </c>
      <c r="AA1870" s="5" t="str">
        <f ca="1">IFERROR(__xludf.DUMMYFUNCTION("""COMPUTED_VALUE"""),"Illegal Activity")</f>
        <v>Illegal Activity</v>
      </c>
      <c r="AB1870" s="5" t="str">
        <f ca="1">IFERROR(__xludf.DUMMYFUNCTION("""COMPUTED_VALUE"""),"Victims Targeted")</f>
        <v>Victims Targeted</v>
      </c>
      <c r="AC1870" s="5" t="str">
        <f ca="1">IFERROR(__xludf.DUMMYFUNCTION("""COMPUTED_VALUE"""),"No")</f>
        <v>No</v>
      </c>
      <c r="AD1870" s="5" t="str">
        <f ca="1">IFERROR(__xludf.DUMMYFUNCTION("""COMPUTED_VALUE"""),"No")</f>
        <v>No</v>
      </c>
      <c r="AE1870" s="5" t="str">
        <f ca="1">IFERROR(__xludf.DUMMYFUNCTION("""COMPUTED_VALUE"""),"No")</f>
        <v>No</v>
      </c>
      <c r="AF1870" s="5" t="str">
        <f ca="1">IFERROR(__xludf.DUMMYFUNCTION("""COMPUTED_VALUE"""),"No")</f>
        <v>No</v>
      </c>
      <c r="AG1870" s="5" t="str">
        <f ca="1">IFERROR(__xludf.DUMMYFUNCTION("""COMPUTED_VALUE"""),"No")</f>
        <v>No</v>
      </c>
      <c r="AH1870" s="5" t="str">
        <f ca="1">IFERROR(__xludf.DUMMYFUNCTION("""COMPUTED_VALUE"""),"No")</f>
        <v>No</v>
      </c>
      <c r="AI1870" s="5" t="str">
        <f ca="1">IFERROR(__xludf.DUMMYFUNCTION("""COMPUTED_VALUE"""),"No")</f>
        <v>No</v>
      </c>
      <c r="AJ1870" s="5"/>
    </row>
    <row r="1871" spans="1:36" ht="13">
      <c r="A1871" s="5" t="str">
        <f ca="1">IFERROR(__xludf.DUMMYFUNCTION("""COMPUTED_VALUE"""),"19920117SCGRG")</f>
        <v>19920117SCGRG</v>
      </c>
      <c r="B1871" s="5">
        <f ca="1">IFERROR(__xludf.DUMMYFUNCTION("""COMPUTED_VALUE"""),1)</f>
        <v>1</v>
      </c>
      <c r="C1871" s="5">
        <f ca="1">IFERROR(__xludf.DUMMYFUNCTION("""COMPUTED_VALUE"""),17)</f>
        <v>17</v>
      </c>
      <c r="D1871" s="5">
        <f ca="1">IFERROR(__xludf.DUMMYFUNCTION("""COMPUTED_VALUE"""),1992)</f>
        <v>1992</v>
      </c>
      <c r="E1871" s="8">
        <f ca="1">IFERROR(__xludf.DUMMYFUNCTION("""COMPUTED_VALUE"""),33620)</f>
        <v>33620</v>
      </c>
      <c r="F1871" s="5" t="str">
        <f ca="1">IFERROR(__xludf.DUMMYFUNCTION("""COMPUTED_VALUE"""),"Greenwood High School")</f>
        <v>Greenwood High School</v>
      </c>
      <c r="G1871" s="5">
        <f ca="1">IFERROR(__xludf.DUMMYFUNCTION("""COMPUTED_VALUE"""),0)</f>
        <v>0</v>
      </c>
      <c r="H1871" s="5">
        <f ca="1">IFERROR(__xludf.DUMMYFUNCTION("""COMPUTED_VALUE"""),1)</f>
        <v>1</v>
      </c>
      <c r="I1871" s="5">
        <f ca="1">IFERROR(__xludf.DUMMYFUNCTION("""COMPUTED_VALUE"""),1)</f>
        <v>1</v>
      </c>
      <c r="J1871" s="5">
        <f ca="1">IFERROR(__xludf.DUMMYFUNCTION("""COMPUTED_VALUE"""),0)</f>
        <v>0</v>
      </c>
      <c r="K1871" s="5" t="str">
        <f ca="1">IFERROR(__xludf.DUMMYFUNCTION("""COMPUTED_VALUE"""),"https://www.newspapers.com/image/69815372/ https://www.newspapers.com/image/752371201/?terms=shot%20at%20school&amp;match=1")</f>
        <v>https://www.newspapers.com/image/69815372/ https://www.newspapers.com/image/752371201/?terms=shot%20at%20school&amp;match=1</v>
      </c>
      <c r="L1871" s="5">
        <f ca="1">IFERROR(__xludf.DUMMYFUNCTION("""COMPUTED_VALUE"""),2)</f>
        <v>2</v>
      </c>
      <c r="M1871" s="5" t="str">
        <f ca="1">IFERROR(__xludf.DUMMYFUNCTION("""COMPUTED_VALUE"""),"Regional")</f>
        <v>Regional</v>
      </c>
      <c r="N1871" s="5">
        <f ca="1">IFERROR(__xludf.DUMMYFUNCTION("""COMPUTED_VALUE"""),4)</f>
        <v>4</v>
      </c>
      <c r="O1871" s="5" t="str">
        <f ca="1">IFERROR(__xludf.DUMMYFUNCTION("""COMPUTED_VALUE"""),"Winter")</f>
        <v>Winter</v>
      </c>
      <c r="P1871" s="5" t="str">
        <f ca="1">IFERROR(__xludf.DUMMYFUNCTION("""COMPUTED_VALUE"""),"Greenwood")</f>
        <v>Greenwood</v>
      </c>
      <c r="Q1871" s="5" t="str">
        <f ca="1">IFERROR(__xludf.DUMMYFUNCTION("""COMPUTED_VALUE"""),"SC")</f>
        <v>SC</v>
      </c>
      <c r="R1871" s="5" t="str">
        <f ca="1">IFERROR(__xludf.DUMMYFUNCTION("""COMPUTED_VALUE"""),"High")</f>
        <v>High</v>
      </c>
      <c r="S1871" s="5" t="str">
        <f ca="1">IFERROR(__xludf.DUMMYFUNCTION("""COMPUTED_VALUE"""),"Cafeteria")</f>
        <v>Cafeteria</v>
      </c>
      <c r="T1871" s="5" t="str">
        <f ca="1">IFERROR(__xludf.DUMMYFUNCTION("""COMPUTED_VALUE"""),"Inside School Building")</f>
        <v>Inside School Building</v>
      </c>
      <c r="U1871" s="5" t="str">
        <f ca="1">IFERROR(__xludf.DUMMYFUNCTION("""COMPUTED_VALUE"""),"Yes")</f>
        <v>Yes</v>
      </c>
      <c r="V1871" s="5" t="str">
        <f ca="1">IFERROR(__xludf.DUMMYFUNCTION("""COMPUTED_VALUE"""),"Lunch")</f>
        <v>Lunch</v>
      </c>
      <c r="W1871" s="10">
        <f ca="1">IFERROR(__xludf.DUMMYFUNCTION("""COMPUTED_VALUE"""),0.5)</f>
        <v>0.5</v>
      </c>
      <c r="X1871" s="5">
        <f ca="1">IFERROR(__xludf.DUMMYFUNCTION("""COMPUTED_VALUE"""),1)</f>
        <v>1</v>
      </c>
      <c r="Y1871" s="5" t="str">
        <f ca="1">IFERROR(__xludf.DUMMYFUNCTION("""COMPUTED_VALUE"""),"Student shot another student during a dispute near the cafeteria")</f>
        <v>Student shot another student during a dispute near the cafeteria</v>
      </c>
      <c r="Z1871" s="5" t="str">
        <f ca="1">IFERROR(__xludf.DUMMYFUNCTION("""COMPUTED_VALUE"""),"A 16-year-old student shot an 18-year-old student in the stomach and leg during a dispute near the cafeteria. Both students were expelled. Shooter charged as an adult with multiple felonies.")</f>
        <v>A 16-year-old student shot an 18-year-old student in the stomach and leg during a dispute near the cafeteria. Both students were expelled. Shooter charged as an adult with multiple felonies.</v>
      </c>
      <c r="AA1871" s="5" t="str">
        <f ca="1">IFERROR(__xludf.DUMMYFUNCTION("""COMPUTED_VALUE"""),"Escalation of Dispute")</f>
        <v>Escalation of Dispute</v>
      </c>
      <c r="AB1871" s="5" t="str">
        <f ca="1">IFERROR(__xludf.DUMMYFUNCTION("""COMPUTED_VALUE"""),"Victims Targeted")</f>
        <v>Victims Targeted</v>
      </c>
      <c r="AC1871" s="5" t="str">
        <f ca="1">IFERROR(__xludf.DUMMYFUNCTION("""COMPUTED_VALUE"""),"No")</f>
        <v>No</v>
      </c>
      <c r="AD1871" s="5" t="str">
        <f ca="1">IFERROR(__xludf.DUMMYFUNCTION("""COMPUTED_VALUE"""),"No")</f>
        <v>No</v>
      </c>
      <c r="AE1871" s="5" t="str">
        <f ca="1">IFERROR(__xludf.DUMMYFUNCTION("""COMPUTED_VALUE"""),"No")</f>
        <v>No</v>
      </c>
      <c r="AF1871" s="5" t="str">
        <f ca="1">IFERROR(__xludf.DUMMYFUNCTION("""COMPUTED_VALUE"""),"No")</f>
        <v>No</v>
      </c>
      <c r="AG1871" s="5" t="str">
        <f ca="1">IFERROR(__xludf.DUMMYFUNCTION("""COMPUTED_VALUE"""),"No")</f>
        <v>No</v>
      </c>
      <c r="AH1871" s="5" t="str">
        <f ca="1">IFERROR(__xludf.DUMMYFUNCTION("""COMPUTED_VALUE"""),"No")</f>
        <v>No</v>
      </c>
      <c r="AI1871" s="5" t="str">
        <f ca="1">IFERROR(__xludf.DUMMYFUNCTION("""COMPUTED_VALUE"""),"No")</f>
        <v>No</v>
      </c>
      <c r="AJ1871" s="5" t="str">
        <f ca="1">IFERROR(__xludf.DUMMYFUNCTION("""COMPUTED_VALUE"""),"No")</f>
        <v>No</v>
      </c>
    </row>
    <row r="1872" spans="1:36" ht="13">
      <c r="A1872" s="5" t="str">
        <f ca="1">IFERROR(__xludf.DUMMYFUNCTION("""COMPUTED_VALUE"""),"19911226NCWHW")</f>
        <v>19911226NCWHW</v>
      </c>
      <c r="B1872" s="5">
        <f ca="1">IFERROR(__xludf.DUMMYFUNCTION("""COMPUTED_VALUE"""),12)</f>
        <v>12</v>
      </c>
      <c r="C1872" s="5">
        <f ca="1">IFERROR(__xludf.DUMMYFUNCTION("""COMPUTED_VALUE"""),26)</f>
        <v>26</v>
      </c>
      <c r="D1872" s="5">
        <f ca="1">IFERROR(__xludf.DUMMYFUNCTION("""COMPUTED_VALUE"""),1991)</f>
        <v>1991</v>
      </c>
      <c r="E1872" s="8">
        <f ca="1">IFERROR(__xludf.DUMMYFUNCTION("""COMPUTED_VALUE"""),33598)</f>
        <v>33598</v>
      </c>
      <c r="F1872" s="5" t="str">
        <f ca="1">IFERROR(__xludf.DUMMYFUNCTION("""COMPUTED_VALUE"""),"Whiteville High School")</f>
        <v>Whiteville High School</v>
      </c>
      <c r="G1872" s="5">
        <f ca="1">IFERROR(__xludf.DUMMYFUNCTION("""COMPUTED_VALUE"""),0)</f>
        <v>0</v>
      </c>
      <c r="H1872" s="5">
        <f ca="1">IFERROR(__xludf.DUMMYFUNCTION("""COMPUTED_VALUE"""),2)</f>
        <v>2</v>
      </c>
      <c r="I1872" s="5">
        <f ca="1">IFERROR(__xludf.DUMMYFUNCTION("""COMPUTED_VALUE"""),2)</f>
        <v>2</v>
      </c>
      <c r="J1872" s="5">
        <f ca="1">IFERROR(__xludf.DUMMYFUNCTION("""COMPUTED_VALUE"""),0)</f>
        <v>0</v>
      </c>
      <c r="K1872" s="5" t="str">
        <f ca="1">IFERROR(__xludf.DUMMYFUNCTION("""COMPUTED_VALUE"""),"The Fayetteville Observer - Police Seeking Suspect in Whiteville Shootings; The Fayetteville Observer - Man Charged in Shooting at School; https://www.columbine-angels.com/School_Violence_1991-1992.htm")</f>
        <v>The Fayetteville Observer - Police Seeking Suspect in Whiteville Shootings; The Fayetteville Observer - Man Charged in Shooting at School; https://www.columbine-angels.com/School_Violence_1991-1992.htm</v>
      </c>
      <c r="L1872" s="5"/>
      <c r="M1872" s="5"/>
      <c r="N1872" s="5">
        <f ca="1">IFERROR(__xludf.DUMMYFUNCTION("""COMPUTED_VALUE"""),1)</f>
        <v>1</v>
      </c>
      <c r="O1872" s="5" t="str">
        <f ca="1">IFERROR(__xludf.DUMMYFUNCTION("""COMPUTED_VALUE"""),"Winter")</f>
        <v>Winter</v>
      </c>
      <c r="P1872" s="5" t="str">
        <f ca="1">IFERROR(__xludf.DUMMYFUNCTION("""COMPUTED_VALUE"""),"Whiteville")</f>
        <v>Whiteville</v>
      </c>
      <c r="Q1872" s="5" t="str">
        <f ca="1">IFERROR(__xludf.DUMMYFUNCTION("""COMPUTED_VALUE"""),"NC")</f>
        <v>NC</v>
      </c>
      <c r="R1872" s="5" t="str">
        <f ca="1">IFERROR(__xludf.DUMMYFUNCTION("""COMPUTED_VALUE"""),"High")</f>
        <v>High</v>
      </c>
      <c r="S1872" s="5" t="str">
        <f ca="1">IFERROR(__xludf.DUMMYFUNCTION("""COMPUTED_VALUE"""),"Beside Building")</f>
        <v>Beside Building</v>
      </c>
      <c r="T1872" s="5" t="str">
        <f ca="1">IFERROR(__xludf.DUMMYFUNCTION("""COMPUTED_VALUE"""),"Outside on School Property")</f>
        <v>Outside on School Property</v>
      </c>
      <c r="U1872" s="5" t="str">
        <f ca="1">IFERROR(__xludf.DUMMYFUNCTION("""COMPUTED_VALUE"""),"No")</f>
        <v>No</v>
      </c>
      <c r="V1872" s="5" t="str">
        <f ca="1">IFERROR(__xludf.DUMMYFUNCTION("""COMPUTED_VALUE"""),"Sport Event")</f>
        <v>Sport Event</v>
      </c>
      <c r="W1872" s="5"/>
      <c r="X1872" s="5">
        <f ca="1">IFERROR(__xludf.DUMMYFUNCTION("""COMPUTED_VALUE"""),1)</f>
        <v>1</v>
      </c>
      <c r="Y1872" s="5" t="str">
        <f ca="1">IFERROR(__xludf.DUMMYFUNCTION("""COMPUTED_VALUE"""),"Two shot during basketball tournament outside of gym")</f>
        <v>Two shot during basketball tournament outside of gym</v>
      </c>
      <c r="Z1872" s="5" t="str">
        <f ca="1">IFERROR(__xludf.DUMMYFUNCTION("""COMPUTED_VALUE"""),"Shooter was outside of high school during basketball tournament. Approached two victims and fired multiple shots before fleeing.")</f>
        <v>Shooter was outside of high school during basketball tournament. Approached two victims and fired multiple shots before fleeing.</v>
      </c>
      <c r="AA1872" s="5" t="str">
        <f ca="1">IFERROR(__xludf.DUMMYFUNCTION("""COMPUTED_VALUE"""),"Escalation of Dispute")</f>
        <v>Escalation of Dispute</v>
      </c>
      <c r="AB1872" s="5" t="str">
        <f ca="1">IFERROR(__xludf.DUMMYFUNCTION("""COMPUTED_VALUE"""),"Victims Targeted")</f>
        <v>Victims Targeted</v>
      </c>
      <c r="AC1872" s="5" t="str">
        <f ca="1">IFERROR(__xludf.DUMMYFUNCTION("""COMPUTED_VALUE"""),"No")</f>
        <v>No</v>
      </c>
      <c r="AD1872" s="5" t="str">
        <f ca="1">IFERROR(__xludf.DUMMYFUNCTION("""COMPUTED_VALUE"""),"No")</f>
        <v>No</v>
      </c>
      <c r="AE1872" s="5" t="str">
        <f ca="1">IFERROR(__xludf.DUMMYFUNCTION("""COMPUTED_VALUE"""),"No")</f>
        <v>No</v>
      </c>
      <c r="AF1872" s="5" t="str">
        <f ca="1">IFERROR(__xludf.DUMMYFUNCTION("""COMPUTED_VALUE"""),"No")</f>
        <v>No</v>
      </c>
      <c r="AG1872" s="5" t="str">
        <f ca="1">IFERROR(__xludf.DUMMYFUNCTION("""COMPUTED_VALUE"""),"No")</f>
        <v>No</v>
      </c>
      <c r="AH1872" s="5" t="str">
        <f ca="1">IFERROR(__xludf.DUMMYFUNCTION("""COMPUTED_VALUE"""),"No")</f>
        <v>No</v>
      </c>
      <c r="AI1872" s="5"/>
      <c r="AJ1872" s="5"/>
    </row>
    <row r="1873" spans="1:36" ht="13">
      <c r="A1873" s="5" t="str">
        <f ca="1">IFERROR(__xludf.DUMMYFUNCTION("""COMPUTED_VALUE"""),"19911125NYTHB")</f>
        <v>19911125NYTHB</v>
      </c>
      <c r="B1873" s="5">
        <f ca="1">IFERROR(__xludf.DUMMYFUNCTION("""COMPUTED_VALUE"""),11)</f>
        <v>11</v>
      </c>
      <c r="C1873" s="5">
        <f ca="1">IFERROR(__xludf.DUMMYFUNCTION("""COMPUTED_VALUE"""),25)</f>
        <v>25</v>
      </c>
      <c r="D1873" s="5">
        <f ca="1">IFERROR(__xludf.DUMMYFUNCTION("""COMPUTED_VALUE"""),1991)</f>
        <v>1991</v>
      </c>
      <c r="E1873" s="8">
        <f ca="1">IFERROR(__xludf.DUMMYFUNCTION("""COMPUTED_VALUE"""),33567)</f>
        <v>33567</v>
      </c>
      <c r="F1873" s="5" t="str">
        <f ca="1">IFERROR(__xludf.DUMMYFUNCTION("""COMPUTED_VALUE"""),"Thomas Jefferson High School")</f>
        <v>Thomas Jefferson High School</v>
      </c>
      <c r="G1873" s="5">
        <f ca="1">IFERROR(__xludf.DUMMYFUNCTION("""COMPUTED_VALUE"""),1)</f>
        <v>1</v>
      </c>
      <c r="H1873" s="5">
        <f ca="1">IFERROR(__xludf.DUMMYFUNCTION("""COMPUTED_VALUE"""),1)</f>
        <v>1</v>
      </c>
      <c r="I1873" s="5">
        <f ca="1">IFERROR(__xludf.DUMMYFUNCTION("""COMPUTED_VALUE"""),2)</f>
        <v>2</v>
      </c>
      <c r="J1873" s="5">
        <f ca="1">IFERROR(__xludf.DUMMYFUNCTION("""COMPUTED_VALUE"""),0)</f>
        <v>0</v>
      </c>
      <c r="K1873" s="9" t="str">
        <f ca="1">IFERROR(__xludf.DUMMYFUNCTION("""COMPUTED_VALUE"""),"https://www.nytimes.com/1991/11/26/nyregion/16-year-old-is-shot-to-death-in-a-high-school-in-brooklyn.html")</f>
        <v>https://www.nytimes.com/1991/11/26/nyregion/16-year-old-is-shot-to-death-in-a-high-school-in-brooklyn.html</v>
      </c>
      <c r="L1873" s="5"/>
      <c r="M1873" s="5"/>
      <c r="N1873" s="5">
        <f ca="1">IFERROR(__xludf.DUMMYFUNCTION("""COMPUTED_VALUE"""),2)</f>
        <v>2</v>
      </c>
      <c r="O1873" s="5" t="str">
        <f ca="1">IFERROR(__xludf.DUMMYFUNCTION("""COMPUTED_VALUE"""),"Fall")</f>
        <v>Fall</v>
      </c>
      <c r="P1873" s="5" t="str">
        <f ca="1">IFERROR(__xludf.DUMMYFUNCTION("""COMPUTED_VALUE"""),"Brooklyn")</f>
        <v>Brooklyn</v>
      </c>
      <c r="Q1873" s="5" t="str">
        <f ca="1">IFERROR(__xludf.DUMMYFUNCTION("""COMPUTED_VALUE"""),"NY")</f>
        <v>NY</v>
      </c>
      <c r="R1873" s="5" t="str">
        <f ca="1">IFERROR(__xludf.DUMMYFUNCTION("""COMPUTED_VALUE"""),"High")</f>
        <v>High</v>
      </c>
      <c r="S1873" s="5" t="str">
        <f ca="1">IFERROR(__xludf.DUMMYFUNCTION("""COMPUTED_VALUE"""),"Hallway")</f>
        <v>Hallway</v>
      </c>
      <c r="T1873" s="5" t="str">
        <f ca="1">IFERROR(__xludf.DUMMYFUNCTION("""COMPUTED_VALUE"""),"Inside School Building")</f>
        <v>Inside School Building</v>
      </c>
      <c r="U1873" s="5" t="str">
        <f ca="1">IFERROR(__xludf.DUMMYFUNCTION("""COMPUTED_VALUE"""),"Yes")</f>
        <v>Yes</v>
      </c>
      <c r="V1873" s="5" t="str">
        <f ca="1">IFERROR(__xludf.DUMMYFUNCTION("""COMPUTED_VALUE"""),"Morning Classes")</f>
        <v>Morning Classes</v>
      </c>
      <c r="W1873" s="10">
        <f ca="1">IFERROR(__xludf.DUMMYFUNCTION("""COMPUTED_VALUE"""),0.4375)</f>
        <v>0.4375</v>
      </c>
      <c r="X1873" s="5">
        <f ca="1">IFERROR(__xludf.DUMMYFUNCTION("""COMPUTED_VALUE"""),1)</f>
        <v>1</v>
      </c>
      <c r="Y1873" s="5" t="str">
        <f ca="1">IFERROR(__xludf.DUMMYFUNCTION("""COMPUTED_VALUE"""),"Shots fired during fight in hallway")</f>
        <v>Shots fired during fight in hallway</v>
      </c>
      <c r="Z1873" s="5" t="str">
        <f ca="1">IFERROR(__xludf.DUMMYFUNCTION("""COMPUTED_VALUE"""),"Three shots were fired in the hallway during a dispute between students. Another student not involved in the dispute was struck and killed and a teacher was critically injured. Shooter fled the scene and was arrested at his home later that day. The shooti"&amp;"ng was an escalation of a long standing dispute between the shooter's brother and two other students.")</f>
        <v>Three shots were fired in the hallway during a dispute between students. Another student not involved in the dispute was struck and killed and a teacher was critically injured. Shooter fled the scene and was arrested at his home later that day. The shooting was an escalation of a long standing dispute between the shooter's brother and two other students.</v>
      </c>
      <c r="AA1873" s="5" t="str">
        <f ca="1">IFERROR(__xludf.DUMMYFUNCTION("""COMPUTED_VALUE"""),"Escalation of Dispute")</f>
        <v>Escalation of Dispute</v>
      </c>
      <c r="AB1873" s="5" t="str">
        <f ca="1">IFERROR(__xludf.DUMMYFUNCTION("""COMPUTED_VALUE"""),"Both")</f>
        <v>Both</v>
      </c>
      <c r="AC1873" s="5" t="str">
        <f ca="1">IFERROR(__xludf.DUMMYFUNCTION("""COMPUTED_VALUE"""),"No")</f>
        <v>No</v>
      </c>
      <c r="AD1873" s="5" t="str">
        <f ca="1">IFERROR(__xludf.DUMMYFUNCTION("""COMPUTED_VALUE"""),"No")</f>
        <v>No</v>
      </c>
      <c r="AE1873" s="5" t="str">
        <f ca="1">IFERROR(__xludf.DUMMYFUNCTION("""COMPUTED_VALUE"""),"No")</f>
        <v>No</v>
      </c>
      <c r="AF1873" s="5" t="str">
        <f ca="1">IFERROR(__xludf.DUMMYFUNCTION("""COMPUTED_VALUE"""),"No")</f>
        <v>No</v>
      </c>
      <c r="AG1873" s="5" t="str">
        <f ca="1">IFERROR(__xludf.DUMMYFUNCTION("""COMPUTED_VALUE"""),"No")</f>
        <v>No</v>
      </c>
      <c r="AH1873" s="5" t="str">
        <f ca="1">IFERROR(__xludf.DUMMYFUNCTION("""COMPUTED_VALUE"""),"No")</f>
        <v>No</v>
      </c>
      <c r="AI1873" s="5" t="str">
        <f ca="1">IFERROR(__xludf.DUMMYFUNCTION("""COMPUTED_VALUE"""),"No")</f>
        <v>No</v>
      </c>
      <c r="AJ1873" s="5"/>
    </row>
    <row r="1874" spans="1:36" ht="13">
      <c r="A1874" s="5" t="str">
        <f ca="1">IFERROR(__xludf.DUMMYFUNCTION("""COMPUTED_VALUE"""),"19911114TXMIH")</f>
        <v>19911114TXMIH</v>
      </c>
      <c r="B1874" s="5">
        <f ca="1">IFERROR(__xludf.DUMMYFUNCTION("""COMPUTED_VALUE"""),11)</f>
        <v>11</v>
      </c>
      <c r="C1874" s="5">
        <f ca="1">IFERROR(__xludf.DUMMYFUNCTION("""COMPUTED_VALUE"""),14)</f>
        <v>14</v>
      </c>
      <c r="D1874" s="5">
        <f ca="1">IFERROR(__xludf.DUMMYFUNCTION("""COMPUTED_VALUE"""),1991)</f>
        <v>1991</v>
      </c>
      <c r="E1874" s="8">
        <f ca="1">IFERROR(__xludf.DUMMYFUNCTION("""COMPUTED_VALUE"""),33556)</f>
        <v>33556</v>
      </c>
      <c r="F1874" s="5" t="str">
        <f ca="1">IFERROR(__xludf.DUMMYFUNCTION("""COMPUTED_VALUE"""),"Milby High School")</f>
        <v>Milby High School</v>
      </c>
      <c r="G1874" s="5">
        <f ca="1">IFERROR(__xludf.DUMMYFUNCTION("""COMPUTED_VALUE"""),0)</f>
        <v>0</v>
      </c>
      <c r="H1874" s="5">
        <f ca="1">IFERROR(__xludf.DUMMYFUNCTION("""COMPUTED_VALUE"""),1)</f>
        <v>1</v>
      </c>
      <c r="I1874" s="5">
        <f ca="1">IFERROR(__xludf.DUMMYFUNCTION("""COMPUTED_VALUE"""),1)</f>
        <v>1</v>
      </c>
      <c r="J1874" s="5">
        <f ca="1">IFERROR(__xludf.DUMMYFUNCTION("""COMPUTED_VALUE"""),0)</f>
        <v>0</v>
      </c>
      <c r="K1874" s="9" t="str">
        <f ca="1">IFERROR(__xludf.DUMMYFUNCTION("""COMPUTED_VALUE"""),"https://www.newspapers.com/image/17145244/?terms=Milby%2BHIgh%2BSchool%2Bshot")</f>
        <v>https://www.newspapers.com/image/17145244/?terms=Milby%2BHIgh%2BSchool%2Bshot</v>
      </c>
      <c r="L1874" s="5"/>
      <c r="M1874" s="5"/>
      <c r="N1874" s="5">
        <f ca="1">IFERROR(__xludf.DUMMYFUNCTION("""COMPUTED_VALUE"""),2)</f>
        <v>2</v>
      </c>
      <c r="O1874" s="5" t="str">
        <f ca="1">IFERROR(__xludf.DUMMYFUNCTION("""COMPUTED_VALUE"""),"Fall")</f>
        <v>Fall</v>
      </c>
      <c r="P1874" s="5" t="str">
        <f ca="1">IFERROR(__xludf.DUMMYFUNCTION("""COMPUTED_VALUE"""),"Houston")</f>
        <v>Houston</v>
      </c>
      <c r="Q1874" s="5" t="str">
        <f ca="1">IFERROR(__xludf.DUMMYFUNCTION("""COMPUTED_VALUE"""),"TX")</f>
        <v>TX</v>
      </c>
      <c r="R1874" s="5" t="str">
        <f ca="1">IFERROR(__xludf.DUMMYFUNCTION("""COMPUTED_VALUE"""),"High")</f>
        <v>High</v>
      </c>
      <c r="S1874" s="5" t="str">
        <f ca="1">IFERROR(__xludf.DUMMYFUNCTION("""COMPUTED_VALUE"""),"Hallway")</f>
        <v>Hallway</v>
      </c>
      <c r="T1874" s="5" t="str">
        <f ca="1">IFERROR(__xludf.DUMMYFUNCTION("""COMPUTED_VALUE"""),"Inside School Building")</f>
        <v>Inside School Building</v>
      </c>
      <c r="U1874" s="5" t="str">
        <f ca="1">IFERROR(__xludf.DUMMYFUNCTION("""COMPUTED_VALUE"""),"Yes")</f>
        <v>Yes</v>
      </c>
      <c r="V1874" s="5" t="str">
        <f ca="1">IFERROR(__xludf.DUMMYFUNCTION("""COMPUTED_VALUE"""),"Lunch")</f>
        <v>Lunch</v>
      </c>
      <c r="W1874" s="10">
        <f ca="1">IFERROR(__xludf.DUMMYFUNCTION("""COMPUTED_VALUE"""),0)</f>
        <v>0</v>
      </c>
      <c r="X1874" s="5">
        <f ca="1">IFERROR(__xludf.DUMMYFUNCTION("""COMPUTED_VALUE"""),1)</f>
        <v>1</v>
      </c>
      <c r="Y1874" s="5" t="str">
        <f ca="1">IFERROR(__xludf.DUMMYFUNCTION("""COMPUTED_VALUE"""),"18 year old victim was shot 4 time in legs and feet by 16YO student")</f>
        <v>18 year old victim was shot 4 time in legs and feet by 16YO student</v>
      </c>
      <c r="Z1874" s="5" t="str">
        <f ca="1">IFERROR(__xludf.DUMMYFUNCTION("""COMPUTED_VALUE"""),"Victim shot in legs and feet during a fight outside of cafeteria. School security officers arrested the shooter immediately.")</f>
        <v>Victim shot in legs and feet during a fight outside of cafeteria. School security officers arrested the shooter immediately.</v>
      </c>
      <c r="AA1874" s="5" t="str">
        <f ca="1">IFERROR(__xludf.DUMMYFUNCTION("""COMPUTED_VALUE"""),"Escalation of Dispute")</f>
        <v>Escalation of Dispute</v>
      </c>
      <c r="AB1874" s="5"/>
      <c r="AC1874" s="5" t="str">
        <f ca="1">IFERROR(__xludf.DUMMYFUNCTION("""COMPUTED_VALUE"""),"No")</f>
        <v>No</v>
      </c>
      <c r="AD1874" s="5" t="str">
        <f ca="1">IFERROR(__xludf.DUMMYFUNCTION("""COMPUTED_VALUE"""),"No")</f>
        <v>No</v>
      </c>
      <c r="AE1874" s="5" t="str">
        <f ca="1">IFERROR(__xludf.DUMMYFUNCTION("""COMPUTED_VALUE"""),"No")</f>
        <v>No</v>
      </c>
      <c r="AF1874" s="5" t="str">
        <f ca="1">IFERROR(__xludf.DUMMYFUNCTION("""COMPUTED_VALUE"""),"No")</f>
        <v>No</v>
      </c>
      <c r="AG1874" s="5"/>
      <c r="AH1874" s="5" t="str">
        <f ca="1">IFERROR(__xludf.DUMMYFUNCTION("""COMPUTED_VALUE"""),"No")</f>
        <v>No</v>
      </c>
      <c r="AI1874" s="5" t="str">
        <f ca="1">IFERROR(__xludf.DUMMYFUNCTION("""COMPUTED_VALUE"""),"No")</f>
        <v>No</v>
      </c>
      <c r="AJ1874" s="5"/>
    </row>
    <row r="1875" spans="1:36" ht="13">
      <c r="A1875" s="5" t="str">
        <f ca="1">IFERROR(__xludf.DUMMYFUNCTION("""COMPUTED_VALUE"""),"19911111TXYSE")</f>
        <v>19911111TXYSE</v>
      </c>
      <c r="B1875" s="5">
        <f ca="1">IFERROR(__xludf.DUMMYFUNCTION("""COMPUTED_VALUE"""),11)</f>
        <v>11</v>
      </c>
      <c r="C1875" s="5">
        <f ca="1">IFERROR(__xludf.DUMMYFUNCTION("""COMPUTED_VALUE"""),11)</f>
        <v>11</v>
      </c>
      <c r="D1875" s="5">
        <f ca="1">IFERROR(__xludf.DUMMYFUNCTION("""COMPUTED_VALUE"""),1991)</f>
        <v>1991</v>
      </c>
      <c r="E1875" s="8">
        <f ca="1">IFERROR(__xludf.DUMMYFUNCTION("""COMPUTED_VALUE"""),33553)</f>
        <v>33553</v>
      </c>
      <c r="F1875" s="5" t="str">
        <f ca="1">IFERROR(__xludf.DUMMYFUNCTION("""COMPUTED_VALUE"""),"Ysleta High School")</f>
        <v>Ysleta High School</v>
      </c>
      <c r="G1875" s="5">
        <f ca="1">IFERROR(__xludf.DUMMYFUNCTION("""COMPUTED_VALUE"""),1)</f>
        <v>1</v>
      </c>
      <c r="H1875" s="5">
        <f ca="1">IFERROR(__xludf.DUMMYFUNCTION("""COMPUTED_VALUE"""),1)</f>
        <v>1</v>
      </c>
      <c r="I1875" s="5">
        <f ca="1">IFERROR(__xludf.DUMMYFUNCTION("""COMPUTED_VALUE"""),2)</f>
        <v>2</v>
      </c>
      <c r="J1875" s="5">
        <f ca="1">IFERROR(__xludf.DUMMYFUNCTION("""COMPUTED_VALUE"""),0)</f>
        <v>0</v>
      </c>
      <c r="K1875" s="5" t="str">
        <f ca="1">IFERROR(__xludf.DUMMYFUNCTION("""COMPUTED_VALUE"""),"https://www.newspapers.com/image/20139494/?terms=school%2Bshooting   https://www.newspapers.com/image/436346724/?terms=ysleta%2Bhigh%2Bschool")</f>
        <v>https://www.newspapers.com/image/20139494/?terms=school%2Bshooting   https://www.newspapers.com/image/436346724/?terms=ysleta%2Bhigh%2Bschool</v>
      </c>
      <c r="L1875" s="5"/>
      <c r="M1875" s="5"/>
      <c r="N1875" s="5">
        <f ca="1">IFERROR(__xludf.DUMMYFUNCTION("""COMPUTED_VALUE"""),2)</f>
        <v>2</v>
      </c>
      <c r="O1875" s="5" t="str">
        <f ca="1">IFERROR(__xludf.DUMMYFUNCTION("""COMPUTED_VALUE"""),"Fall")</f>
        <v>Fall</v>
      </c>
      <c r="P1875" s="5" t="str">
        <f ca="1">IFERROR(__xludf.DUMMYFUNCTION("""COMPUTED_VALUE"""),"El Paso")</f>
        <v>El Paso</v>
      </c>
      <c r="Q1875" s="5" t="str">
        <f ca="1">IFERROR(__xludf.DUMMYFUNCTION("""COMPUTED_VALUE"""),"TX")</f>
        <v>TX</v>
      </c>
      <c r="R1875" s="5" t="str">
        <f ca="1">IFERROR(__xludf.DUMMYFUNCTION("""COMPUTED_VALUE"""),"High")</f>
        <v>High</v>
      </c>
      <c r="S1875" s="5" t="str">
        <f ca="1">IFERROR(__xludf.DUMMYFUNCTION("""COMPUTED_VALUE"""),"Front of School")</f>
        <v>Front of School</v>
      </c>
      <c r="T1875" s="5" t="str">
        <f ca="1">IFERROR(__xludf.DUMMYFUNCTION("""COMPUTED_VALUE"""),"Outside on School Property")</f>
        <v>Outside on School Property</v>
      </c>
      <c r="U1875" s="5" t="str">
        <f ca="1">IFERROR(__xludf.DUMMYFUNCTION("""COMPUTED_VALUE"""),"Yes")</f>
        <v>Yes</v>
      </c>
      <c r="V1875" s="5" t="str">
        <f ca="1">IFERROR(__xludf.DUMMYFUNCTION("""COMPUTED_VALUE"""),"After School")</f>
        <v>After School</v>
      </c>
      <c r="W1875" s="5"/>
      <c r="X1875" s="5">
        <f ca="1">IFERROR(__xludf.DUMMYFUNCTION("""COMPUTED_VALUE"""),1)</f>
        <v>1</v>
      </c>
      <c r="Y1875" s="5" t="str">
        <f ca="1">IFERROR(__xludf.DUMMYFUNCTION("""COMPUTED_VALUE"""),"Gang related shooting at group outside of high school")</f>
        <v>Gang related shooting at group outside of high school</v>
      </c>
      <c r="Z1875" s="5" t="str">
        <f ca="1">IFERROR(__xludf.DUMMYFUNCTION("""COMPUTED_VALUE"""),"Gang related shooting. Shooters opened fired on a group of students outside high school. Car then left scene, but came back and opened fired again. A student from another school who was at Ysleta was killed and another Ysleta student was wounded. 4 gang m"&amp;"embers charged with murder.")</f>
        <v>Gang related shooting. Shooters opened fired on a group of students outside high school. Car then left scene, but came back and opened fired again. A student from another school who was at Ysleta was killed and another Ysleta student was wounded. 4 gang members charged with murder.</v>
      </c>
      <c r="AA1875" s="5" t="str">
        <f ca="1">IFERROR(__xludf.DUMMYFUNCTION("""COMPUTED_VALUE"""),"Drive-by Shooting")</f>
        <v>Drive-by Shooting</v>
      </c>
      <c r="AB1875" s="5"/>
      <c r="AC1875" s="5" t="str">
        <f ca="1">IFERROR(__xludf.DUMMYFUNCTION("""COMPUTED_VALUE"""),"Yes")</f>
        <v>Yes</v>
      </c>
      <c r="AD1875" s="5" t="str">
        <f ca="1">IFERROR(__xludf.DUMMYFUNCTION("""COMPUTED_VALUE"""),"No")</f>
        <v>No</v>
      </c>
      <c r="AE1875" s="5" t="str">
        <f ca="1">IFERROR(__xludf.DUMMYFUNCTION("""COMPUTED_VALUE"""),"No")</f>
        <v>No</v>
      </c>
      <c r="AF1875" s="5" t="str">
        <f ca="1">IFERROR(__xludf.DUMMYFUNCTION("""COMPUTED_VALUE"""),"No")</f>
        <v>No</v>
      </c>
      <c r="AG1875" s="5" t="str">
        <f ca="1">IFERROR(__xludf.DUMMYFUNCTION("""COMPUTED_VALUE"""),"No")</f>
        <v>No</v>
      </c>
      <c r="AH1875" s="5" t="str">
        <f ca="1">IFERROR(__xludf.DUMMYFUNCTION("""COMPUTED_VALUE"""),"No")</f>
        <v>No</v>
      </c>
      <c r="AI1875" s="5" t="str">
        <f ca="1">IFERROR(__xludf.DUMMYFUNCTION("""COMPUTED_VALUE"""),"Yes")</f>
        <v>Yes</v>
      </c>
      <c r="AJ1875" s="5"/>
    </row>
    <row r="1876" spans="1:36" ht="13">
      <c r="A1876" s="5" t="str">
        <f ca="1">IFERROR(__xludf.DUMMYFUNCTION("""COMPUTED_VALUE"""),"19911106LAWAN")</f>
        <v>19911106LAWAN</v>
      </c>
      <c r="B1876" s="5">
        <f ca="1">IFERROR(__xludf.DUMMYFUNCTION("""COMPUTED_VALUE"""),11)</f>
        <v>11</v>
      </c>
      <c r="C1876" s="5">
        <f ca="1">IFERROR(__xludf.DUMMYFUNCTION("""COMPUTED_VALUE"""),6)</f>
        <v>6</v>
      </c>
      <c r="D1876" s="5">
        <f ca="1">IFERROR(__xludf.DUMMYFUNCTION("""COMPUTED_VALUE"""),1991)</f>
        <v>1991</v>
      </c>
      <c r="E1876" s="8">
        <f ca="1">IFERROR(__xludf.DUMMYFUNCTION("""COMPUTED_VALUE"""),33548)</f>
        <v>33548</v>
      </c>
      <c r="F1876" s="5" t="str">
        <f ca="1">IFERROR(__xludf.DUMMYFUNCTION("""COMPUTED_VALUE"""),"Walter L. Cohen Senior High School")</f>
        <v>Walter L. Cohen Senior High School</v>
      </c>
      <c r="G1876" s="5">
        <f ca="1">IFERROR(__xludf.DUMMYFUNCTION("""COMPUTED_VALUE"""),1)</f>
        <v>1</v>
      </c>
      <c r="H1876" s="5">
        <f ca="1">IFERROR(__xludf.DUMMYFUNCTION("""COMPUTED_VALUE"""),1)</f>
        <v>1</v>
      </c>
      <c r="I1876" s="5">
        <f ca="1">IFERROR(__xludf.DUMMYFUNCTION("""COMPUTED_VALUE"""),2)</f>
        <v>2</v>
      </c>
      <c r="J1876" s="5">
        <f ca="1">IFERROR(__xludf.DUMMYFUNCTION("""COMPUTED_VALUE"""),0)</f>
        <v>0</v>
      </c>
      <c r="K1876" s="5" t="str">
        <f ca="1">IFERROR(__xludf.DUMMYFUNCTION("""COMPUTED_VALUE"""),"New Orleans Times-Picayune - Student Killed, 1 Hurt in Shooting at School; New Orleans Times-Picayune - Teenager Arrested in Student's Slaying at N.O. High School; https://www.columbine-angels.com/School_Violence_1991-1992.htm")</f>
        <v>New Orleans Times-Picayune - Student Killed, 1 Hurt in Shooting at School; New Orleans Times-Picayune - Teenager Arrested in Student's Slaying at N.O. High School; https://www.columbine-angels.com/School_Violence_1991-1992.htm</v>
      </c>
      <c r="L1876" s="5"/>
      <c r="M1876" s="5"/>
      <c r="N1876" s="5">
        <f ca="1">IFERROR(__xludf.DUMMYFUNCTION("""COMPUTED_VALUE"""),1)</f>
        <v>1</v>
      </c>
      <c r="O1876" s="5" t="str">
        <f ca="1">IFERROR(__xludf.DUMMYFUNCTION("""COMPUTED_VALUE"""),"Fall")</f>
        <v>Fall</v>
      </c>
      <c r="P1876" s="5" t="str">
        <f ca="1">IFERROR(__xludf.DUMMYFUNCTION("""COMPUTED_VALUE"""),"New Orleans")</f>
        <v>New Orleans</v>
      </c>
      <c r="Q1876" s="5" t="str">
        <f ca="1">IFERROR(__xludf.DUMMYFUNCTION("""COMPUTED_VALUE"""),"LA")</f>
        <v>LA</v>
      </c>
      <c r="R1876" s="5" t="str">
        <f ca="1">IFERROR(__xludf.DUMMYFUNCTION("""COMPUTED_VALUE"""),"High")</f>
        <v>High</v>
      </c>
      <c r="S1876" s="5" t="str">
        <f ca="1">IFERROR(__xludf.DUMMYFUNCTION("""COMPUTED_VALUE"""),"Parking Lot")</f>
        <v>Parking Lot</v>
      </c>
      <c r="T1876" s="5" t="str">
        <f ca="1">IFERROR(__xludf.DUMMYFUNCTION("""COMPUTED_VALUE"""),"Outside on School Property")</f>
        <v>Outside on School Property</v>
      </c>
      <c r="U1876" s="5" t="str">
        <f ca="1">IFERROR(__xludf.DUMMYFUNCTION("""COMPUTED_VALUE"""),"No")</f>
        <v>No</v>
      </c>
      <c r="V1876" s="5" t="str">
        <f ca="1">IFERROR(__xludf.DUMMYFUNCTION("""COMPUTED_VALUE"""),"After School")</f>
        <v>After School</v>
      </c>
      <c r="W1876" s="10">
        <f ca="1">IFERROR(__xludf.DUMMYFUNCTION("""COMPUTED_VALUE"""),0.645833333333333)</f>
        <v>0.64583333333333304</v>
      </c>
      <c r="X1876" s="5">
        <f ca="1">IFERROR(__xludf.DUMMYFUNCTION("""COMPUTED_VALUE"""),1)</f>
        <v>1</v>
      </c>
      <c r="Y1876" s="5" t="str">
        <f ca="1">IFERROR(__xludf.DUMMYFUNCTION("""COMPUTED_VALUE"""),"Fight between 8 students escalated into shooting outside school")</f>
        <v>Fight between 8 students escalated into shooting outside school</v>
      </c>
      <c r="Z1876" s="5" t="str">
        <f ca="1">IFERROR(__xludf.DUMMYFUNCTION("""COMPUTED_VALUE"""),"Argument between 8 students turned into fight outside of school. Shooter in a vehicle fired multiple shots striking two students and killing one of them.")</f>
        <v>Argument between 8 students turned into fight outside of school. Shooter in a vehicle fired multiple shots striking two students and killing one of them.</v>
      </c>
      <c r="AA1876" s="5" t="str">
        <f ca="1">IFERROR(__xludf.DUMMYFUNCTION("""COMPUTED_VALUE"""),"Drive-by Shooting")</f>
        <v>Drive-by Shooting</v>
      </c>
      <c r="AB1876" s="5" t="str">
        <f ca="1">IFERROR(__xludf.DUMMYFUNCTION("""COMPUTED_VALUE"""),"Victims Targeted")</f>
        <v>Victims Targeted</v>
      </c>
      <c r="AC1876" s="5" t="str">
        <f ca="1">IFERROR(__xludf.DUMMYFUNCTION("""COMPUTED_VALUE"""),"No")</f>
        <v>No</v>
      </c>
      <c r="AD1876" s="5" t="str">
        <f ca="1">IFERROR(__xludf.DUMMYFUNCTION("""COMPUTED_VALUE"""),"No")</f>
        <v>No</v>
      </c>
      <c r="AE1876" s="5" t="str">
        <f ca="1">IFERROR(__xludf.DUMMYFUNCTION("""COMPUTED_VALUE"""),"No")</f>
        <v>No</v>
      </c>
      <c r="AF1876" s="5" t="str">
        <f ca="1">IFERROR(__xludf.DUMMYFUNCTION("""COMPUTED_VALUE"""),"No")</f>
        <v>No</v>
      </c>
      <c r="AG1876" s="5" t="str">
        <f ca="1">IFERROR(__xludf.DUMMYFUNCTION("""COMPUTED_VALUE"""),"No")</f>
        <v>No</v>
      </c>
      <c r="AH1876" s="5" t="str">
        <f ca="1">IFERROR(__xludf.DUMMYFUNCTION("""COMPUTED_VALUE"""),"No")</f>
        <v>No</v>
      </c>
      <c r="AI1876" s="5" t="str">
        <f ca="1">IFERROR(__xludf.DUMMYFUNCTION("""COMPUTED_VALUE"""),"No")</f>
        <v>No</v>
      </c>
      <c r="AJ1876" s="5"/>
    </row>
    <row r="1877" spans="1:36" ht="13">
      <c r="A1877" s="5" t="str">
        <f ca="1">IFERROR(__xludf.DUMMYFUNCTION("""COMPUTED_VALUE"""),"19911023TXOAD")</f>
        <v>19911023TXOAD</v>
      </c>
      <c r="B1877" s="5">
        <f ca="1">IFERROR(__xludf.DUMMYFUNCTION("""COMPUTED_VALUE"""),10)</f>
        <v>10</v>
      </c>
      <c r="C1877" s="5">
        <f ca="1">IFERROR(__xludf.DUMMYFUNCTION("""COMPUTED_VALUE"""),23)</f>
        <v>23</v>
      </c>
      <c r="D1877" s="5">
        <f ca="1">IFERROR(__xludf.DUMMYFUNCTION("""COMPUTED_VALUE"""),1991)</f>
        <v>1991</v>
      </c>
      <c r="E1877" s="8">
        <f ca="1">IFERROR(__xludf.DUMMYFUNCTION("""COMPUTED_VALUE"""),33534)</f>
        <v>33534</v>
      </c>
      <c r="F1877" s="5" t="str">
        <f ca="1">IFERROR(__xludf.DUMMYFUNCTION("""COMPUTED_VALUE"""),"Oak Cliff High School")</f>
        <v>Oak Cliff High School</v>
      </c>
      <c r="G1877" s="5">
        <f ca="1">IFERROR(__xludf.DUMMYFUNCTION("""COMPUTED_VALUE"""),1)</f>
        <v>1</v>
      </c>
      <c r="H1877" s="5">
        <f ca="1">IFERROR(__xludf.DUMMYFUNCTION("""COMPUTED_VALUE"""),0)</f>
        <v>0</v>
      </c>
      <c r="I1877" s="5">
        <f ca="1">IFERROR(__xludf.DUMMYFUNCTION("""COMPUTED_VALUE"""),1)</f>
        <v>1</v>
      </c>
      <c r="J1877" s="5">
        <f ca="1">IFERROR(__xludf.DUMMYFUNCTION("""COMPUTED_VALUE"""),0)</f>
        <v>0</v>
      </c>
      <c r="K1877" s="9" t="str">
        <f ca="1">IFERROR(__xludf.DUMMYFUNCTION("""COMPUTED_VALUE"""),"https://www.newspapers.com/image/300241588/?terms=Spring%2BWoods%2BHigh%2BSchool%2Bstudent%2Bshot")</f>
        <v>https://www.newspapers.com/image/300241588/?terms=Spring%2BWoods%2BHigh%2BSchool%2Bstudent%2Bshot</v>
      </c>
      <c r="L1877" s="5"/>
      <c r="M1877" s="5"/>
      <c r="N1877" s="5">
        <f ca="1">IFERROR(__xludf.DUMMYFUNCTION("""COMPUTED_VALUE"""),2)</f>
        <v>2</v>
      </c>
      <c r="O1877" s="5" t="str">
        <f ca="1">IFERROR(__xludf.DUMMYFUNCTION("""COMPUTED_VALUE"""),"Fall")</f>
        <v>Fall</v>
      </c>
      <c r="P1877" s="5" t="str">
        <f ca="1">IFERROR(__xludf.DUMMYFUNCTION("""COMPUTED_VALUE"""),"Dallas")</f>
        <v>Dallas</v>
      </c>
      <c r="Q1877" s="5" t="str">
        <f ca="1">IFERROR(__xludf.DUMMYFUNCTION("""COMPUTED_VALUE"""),"TX")</f>
        <v>TX</v>
      </c>
      <c r="R1877" s="5" t="str">
        <f ca="1">IFERROR(__xludf.DUMMYFUNCTION("""COMPUTED_VALUE"""),"High")</f>
        <v>High</v>
      </c>
      <c r="S1877" s="5" t="str">
        <f ca="1">IFERROR(__xludf.DUMMYFUNCTION("""COMPUTED_VALUE"""),"Hallway")</f>
        <v>Hallway</v>
      </c>
      <c r="T1877" s="5" t="str">
        <f ca="1">IFERROR(__xludf.DUMMYFUNCTION("""COMPUTED_VALUE"""),"Inside School Building")</f>
        <v>Inside School Building</v>
      </c>
      <c r="U1877" s="5" t="str">
        <f ca="1">IFERROR(__xludf.DUMMYFUNCTION("""COMPUTED_VALUE"""),"Yes")</f>
        <v>Yes</v>
      </c>
      <c r="V1877" s="5" t="str">
        <f ca="1">IFERROR(__xludf.DUMMYFUNCTION("""COMPUTED_VALUE"""),"School Start")</f>
        <v>School Start</v>
      </c>
      <c r="W1877" s="10">
        <f ca="1">IFERROR(__xludf.DUMMYFUNCTION("""COMPUTED_VALUE"""),0.322916666666666)</f>
        <v>0.32291666666666602</v>
      </c>
      <c r="X1877" s="5">
        <f ca="1">IFERROR(__xludf.DUMMYFUNCTION("""COMPUTED_VALUE"""),1)</f>
        <v>1</v>
      </c>
      <c r="Y1877" s="5" t="str">
        <f ca="1">IFERROR(__xludf.DUMMYFUNCTION("""COMPUTED_VALUE"""),"Shooter younger brother was bullied. Shot bully during confrontation.")</f>
        <v>Shooter younger brother was bullied. Shot bully during confrontation.</v>
      </c>
      <c r="Z1877" s="5" t="str">
        <f ca="1">IFERROR(__xludf.DUMMYFUNCTION("""COMPUTED_VALUE"""),"Shooters younger brother was being bullied. Went to school to confront bullies and fired shot killing one during confrontation. Shooter fled the scene.")</f>
        <v>Shooters younger brother was being bullied. Went to school to confront bullies and fired shot killing one during confrontation. Shooter fled the scene.</v>
      </c>
      <c r="AA1877" s="5" t="str">
        <f ca="1">IFERROR(__xludf.DUMMYFUNCTION("""COMPUTED_VALUE"""),"Bullying")</f>
        <v>Bullying</v>
      </c>
      <c r="AB1877" s="5" t="str">
        <f ca="1">IFERROR(__xludf.DUMMYFUNCTION("""COMPUTED_VALUE"""),"Victims Targeted")</f>
        <v>Victims Targeted</v>
      </c>
      <c r="AC1877" s="5" t="str">
        <f ca="1">IFERROR(__xludf.DUMMYFUNCTION("""COMPUTED_VALUE"""),"No")</f>
        <v>No</v>
      </c>
      <c r="AD1877" s="5" t="str">
        <f ca="1">IFERROR(__xludf.DUMMYFUNCTION("""COMPUTED_VALUE"""),"No")</f>
        <v>No</v>
      </c>
      <c r="AE1877" s="5" t="str">
        <f ca="1">IFERROR(__xludf.DUMMYFUNCTION("""COMPUTED_VALUE"""),"No")</f>
        <v>No</v>
      </c>
      <c r="AF1877" s="5" t="str">
        <f ca="1">IFERROR(__xludf.DUMMYFUNCTION("""COMPUTED_VALUE"""),"No")</f>
        <v>No</v>
      </c>
      <c r="AG1877" s="5" t="str">
        <f ca="1">IFERROR(__xludf.DUMMYFUNCTION("""COMPUTED_VALUE"""),"Yes")</f>
        <v>Yes</v>
      </c>
      <c r="AH1877" s="5" t="str">
        <f ca="1">IFERROR(__xludf.DUMMYFUNCTION("""COMPUTED_VALUE"""),"No")</f>
        <v>No</v>
      </c>
      <c r="AI1877" s="5" t="str">
        <f ca="1">IFERROR(__xludf.DUMMYFUNCTION("""COMPUTED_VALUE"""),"No")</f>
        <v>No</v>
      </c>
      <c r="AJ1877" s="5"/>
    </row>
    <row r="1878" spans="1:36" ht="13">
      <c r="A1878" s="5" t="str">
        <f ca="1">IFERROR(__xludf.DUMMYFUNCTION("""COMPUTED_VALUE"""),"19911015TXGEP")</f>
        <v>19911015TXGEP</v>
      </c>
      <c r="B1878" s="5">
        <f ca="1">IFERROR(__xludf.DUMMYFUNCTION("""COMPUTED_VALUE"""),10)</f>
        <v>10</v>
      </c>
      <c r="C1878" s="5">
        <f ca="1">IFERROR(__xludf.DUMMYFUNCTION("""COMPUTED_VALUE"""),15)</f>
        <v>15</v>
      </c>
      <c r="D1878" s="5">
        <f ca="1">IFERROR(__xludf.DUMMYFUNCTION("""COMPUTED_VALUE"""),1991)</f>
        <v>1991</v>
      </c>
      <c r="E1878" s="8">
        <f ca="1">IFERROR(__xludf.DUMMYFUNCTION("""COMPUTED_VALUE"""),33526)</f>
        <v>33526</v>
      </c>
      <c r="F1878" s="5" t="str">
        <f ca="1">IFERROR(__xludf.DUMMYFUNCTION("""COMPUTED_VALUE"""),"Genevieve Sparks Elementary School")</f>
        <v>Genevieve Sparks Elementary School</v>
      </c>
      <c r="G1878" s="5">
        <f ca="1">IFERROR(__xludf.DUMMYFUNCTION("""COMPUTED_VALUE"""),0)</f>
        <v>0</v>
      </c>
      <c r="H1878" s="5">
        <f ca="1">IFERROR(__xludf.DUMMYFUNCTION("""COMPUTED_VALUE"""),1)</f>
        <v>1</v>
      </c>
      <c r="I1878" s="5">
        <f ca="1">IFERROR(__xludf.DUMMYFUNCTION("""COMPUTED_VALUE"""),1)</f>
        <v>1</v>
      </c>
      <c r="J1878" s="5">
        <f ca="1">IFERROR(__xludf.DUMMYFUNCTION("""COMPUTED_VALUE"""),0)</f>
        <v>0</v>
      </c>
      <c r="K1878" s="9" t="str">
        <f ca="1">IFERROR(__xludf.DUMMYFUNCTION("""COMPUTED_VALUE"""),"https://www.newspapers.com/image/300231582/?terms=Genevieve%2BSparks%2BElementary%2BSchool")</f>
        <v>https://www.newspapers.com/image/300231582/?terms=Genevieve%2BSparks%2BElementary%2BSchool</v>
      </c>
      <c r="L1878" s="5"/>
      <c r="M1878" s="5"/>
      <c r="N1878" s="5">
        <f ca="1">IFERROR(__xludf.DUMMYFUNCTION("""COMPUTED_VALUE"""),2)</f>
        <v>2</v>
      </c>
      <c r="O1878" s="5" t="str">
        <f ca="1">IFERROR(__xludf.DUMMYFUNCTION("""COMPUTED_VALUE"""),"Fall")</f>
        <v>Fall</v>
      </c>
      <c r="P1878" s="5" t="str">
        <f ca="1">IFERROR(__xludf.DUMMYFUNCTION("""COMPUTED_VALUE"""),"Pasadena")</f>
        <v>Pasadena</v>
      </c>
      <c r="Q1878" s="5" t="str">
        <f ca="1">IFERROR(__xludf.DUMMYFUNCTION("""COMPUTED_VALUE"""),"TX")</f>
        <v>TX</v>
      </c>
      <c r="R1878" s="5" t="str">
        <f ca="1">IFERROR(__xludf.DUMMYFUNCTION("""COMPUTED_VALUE"""),"Elementary")</f>
        <v>Elementary</v>
      </c>
      <c r="S1878" s="5" t="str">
        <f ca="1">IFERROR(__xludf.DUMMYFUNCTION("""COMPUTED_VALUE"""),"Field (General)")</f>
        <v>Field (General)</v>
      </c>
      <c r="T1878" s="5" t="str">
        <f ca="1">IFERROR(__xludf.DUMMYFUNCTION("""COMPUTED_VALUE"""),"Outside on School Property")</f>
        <v>Outside on School Property</v>
      </c>
      <c r="U1878" s="5" t="str">
        <f ca="1">IFERROR(__xludf.DUMMYFUNCTION("""COMPUTED_VALUE"""),"Yes")</f>
        <v>Yes</v>
      </c>
      <c r="V1878" s="5" t="str">
        <f ca="1">IFERROR(__xludf.DUMMYFUNCTION("""COMPUTED_VALUE"""),"Afternoon Classes")</f>
        <v>Afternoon Classes</v>
      </c>
      <c r="W1878" s="10">
        <f ca="1">IFERROR(__xludf.DUMMYFUNCTION("""COMPUTED_VALUE"""),0.552083333333333)</f>
        <v>0.55208333333333304</v>
      </c>
      <c r="X1878" s="5">
        <f ca="1">IFERROR(__xludf.DUMMYFUNCTION("""COMPUTED_VALUE"""),1)</f>
        <v>1</v>
      </c>
      <c r="Y1878" s="5" t="str">
        <f ca="1">IFERROR(__xludf.DUMMYFUNCTION("""COMPUTED_VALUE"""),"Accidental. 13YO boy in woods nearby was shooting at squirrels, didn't realize how far bullets traveled.")</f>
        <v>Accidental. 13YO boy in woods nearby was shooting at squirrels, didn't realize how far bullets traveled.</v>
      </c>
      <c r="Z1878" s="5" t="str">
        <f ca="1">IFERROR(__xludf.DUMMYFUNCTION("""COMPUTED_VALUE"""),"Victim was struck outside of school during recess by single .22 round. Boy nearby was shooting at squirrels. Didn't realize bullets would travel far enough to reach school.")</f>
        <v>Victim was struck outside of school during recess by single .22 round. Boy nearby was shooting at squirrels. Didn't realize bullets would travel far enough to reach school.</v>
      </c>
      <c r="AA1878" s="5" t="str">
        <f ca="1">IFERROR(__xludf.DUMMYFUNCTION("""COMPUTED_VALUE"""),"Accidental")</f>
        <v>Accidental</v>
      </c>
      <c r="AB1878" s="5" t="str">
        <f ca="1">IFERROR(__xludf.DUMMYFUNCTION("""COMPUTED_VALUE"""),"Random Shooting")</f>
        <v>Random Shooting</v>
      </c>
      <c r="AC1878" s="5" t="str">
        <f ca="1">IFERROR(__xludf.DUMMYFUNCTION("""COMPUTED_VALUE"""),"No")</f>
        <v>No</v>
      </c>
      <c r="AD1878" s="5" t="str">
        <f ca="1">IFERROR(__xludf.DUMMYFUNCTION("""COMPUTED_VALUE"""),"No")</f>
        <v>No</v>
      </c>
      <c r="AE1878" s="5" t="str">
        <f ca="1">IFERROR(__xludf.DUMMYFUNCTION("""COMPUTED_VALUE"""),"No")</f>
        <v>No</v>
      </c>
      <c r="AF1878" s="5" t="str">
        <f ca="1">IFERROR(__xludf.DUMMYFUNCTION("""COMPUTED_VALUE"""),"No")</f>
        <v>No</v>
      </c>
      <c r="AG1878" s="5" t="str">
        <f ca="1">IFERROR(__xludf.DUMMYFUNCTION("""COMPUTED_VALUE"""),"No")</f>
        <v>No</v>
      </c>
      <c r="AH1878" s="5" t="str">
        <f ca="1">IFERROR(__xludf.DUMMYFUNCTION("""COMPUTED_VALUE"""),"No")</f>
        <v>No</v>
      </c>
      <c r="AI1878" s="5" t="str">
        <f ca="1">IFERROR(__xludf.DUMMYFUNCTION("""COMPUTED_VALUE"""),"No")</f>
        <v>No</v>
      </c>
      <c r="AJ1878" s="5"/>
    </row>
    <row r="1879" spans="1:36" ht="13">
      <c r="A1879" s="5" t="str">
        <f ca="1">IFERROR(__xludf.DUMMYFUNCTION("""COMPUTED_VALUE"""),"19911015SCWOW")</f>
        <v>19911015SCWOW</v>
      </c>
      <c r="B1879" s="5">
        <f ca="1">IFERROR(__xludf.DUMMYFUNCTION("""COMPUTED_VALUE"""),10)</f>
        <v>10</v>
      </c>
      <c r="C1879" s="5">
        <f ca="1">IFERROR(__xludf.DUMMYFUNCTION("""COMPUTED_VALUE"""),15)</f>
        <v>15</v>
      </c>
      <c r="D1879" s="5">
        <f ca="1">IFERROR(__xludf.DUMMYFUNCTION("""COMPUTED_VALUE"""),1991)</f>
        <v>1991</v>
      </c>
      <c r="E1879" s="8">
        <f ca="1">IFERROR(__xludf.DUMMYFUNCTION("""COMPUTED_VALUE"""),33526)</f>
        <v>33526</v>
      </c>
      <c r="F1879" s="5" t="str">
        <f ca="1">IFERROR(__xludf.DUMMYFUNCTION("""COMPUTED_VALUE"""),"Woodruff High School")</f>
        <v>Woodruff High School</v>
      </c>
      <c r="G1879" s="5">
        <f ca="1">IFERROR(__xludf.DUMMYFUNCTION("""COMPUTED_VALUE"""),0)</f>
        <v>0</v>
      </c>
      <c r="H1879" s="5">
        <f ca="1">IFERROR(__xludf.DUMMYFUNCTION("""COMPUTED_VALUE"""),0)</f>
        <v>0</v>
      </c>
      <c r="I1879" s="5">
        <f ca="1">IFERROR(__xludf.DUMMYFUNCTION("""COMPUTED_VALUE"""),0)</f>
        <v>0</v>
      </c>
      <c r="J1879" s="5">
        <f ca="1">IFERROR(__xludf.DUMMYFUNCTION("""COMPUTED_VALUE"""),0)</f>
        <v>0</v>
      </c>
      <c r="K1879" s="9" t="str">
        <f ca="1">IFERROR(__xludf.DUMMYFUNCTION("""COMPUTED_VALUE"""),"https://www.newspapers.com/image/191964993/?terms=Woodruff%2BHigh%2BSchool%2Bshooting")</f>
        <v>https://www.newspapers.com/image/191964993/?terms=Woodruff%2BHigh%2BSchool%2Bshooting</v>
      </c>
      <c r="L1879" s="5"/>
      <c r="M1879" s="5"/>
      <c r="N1879" s="5">
        <f ca="1">IFERROR(__xludf.DUMMYFUNCTION("""COMPUTED_VALUE"""),2)</f>
        <v>2</v>
      </c>
      <c r="O1879" s="5" t="str">
        <f ca="1">IFERROR(__xludf.DUMMYFUNCTION("""COMPUTED_VALUE"""),"Fall")</f>
        <v>Fall</v>
      </c>
      <c r="P1879" s="5" t="str">
        <f ca="1">IFERROR(__xludf.DUMMYFUNCTION("""COMPUTED_VALUE"""),"Woodruff")</f>
        <v>Woodruff</v>
      </c>
      <c r="Q1879" s="5" t="str">
        <f ca="1">IFERROR(__xludf.DUMMYFUNCTION("""COMPUTED_VALUE"""),"SC")</f>
        <v>SC</v>
      </c>
      <c r="R1879" s="5" t="str">
        <f ca="1">IFERROR(__xludf.DUMMYFUNCTION("""COMPUTED_VALUE"""),"High")</f>
        <v>High</v>
      </c>
      <c r="S1879" s="5" t="str">
        <f ca="1">IFERROR(__xludf.DUMMYFUNCTION("""COMPUTED_VALUE"""),"Hallway")</f>
        <v>Hallway</v>
      </c>
      <c r="T1879" s="5" t="str">
        <f ca="1">IFERROR(__xludf.DUMMYFUNCTION("""COMPUTED_VALUE"""),"Inside School Building")</f>
        <v>Inside School Building</v>
      </c>
      <c r="U1879" s="5" t="str">
        <f ca="1">IFERROR(__xludf.DUMMYFUNCTION("""COMPUTED_VALUE"""),"Yes")</f>
        <v>Yes</v>
      </c>
      <c r="V1879" s="5" t="str">
        <f ca="1">IFERROR(__xludf.DUMMYFUNCTION("""COMPUTED_VALUE"""),"Lunch")</f>
        <v>Lunch</v>
      </c>
      <c r="W1879" s="10">
        <f ca="1">IFERROR(__xludf.DUMMYFUNCTION("""COMPUTED_VALUE"""),0.520833333333333)</f>
        <v>0.52083333333333304</v>
      </c>
      <c r="X1879" s="5">
        <f ca="1">IFERROR(__xludf.DUMMYFUNCTION("""COMPUTED_VALUE"""),1)</f>
        <v>1</v>
      </c>
      <c r="Y1879" s="5" t="str">
        <f ca="1">IFERROR(__xludf.DUMMYFUNCTION("""COMPUTED_VALUE"""),"Shooter fired shots into the air while being harassed by two bullies. Fled scene after firing.")</f>
        <v>Shooter fired shots into the air while being harassed by two bullies. Fled scene after firing.</v>
      </c>
      <c r="Z1879" s="5" t="str">
        <f ca="1">IFERROR(__xludf.DUMMYFUNCTION("""COMPUTED_VALUE"""),"Two students had bullied shooter. Shooter pulled out pistol and fired shots into the air then fled the scene. Shooter was arrested at a nearby apartment building.")</f>
        <v>Two students had bullied shooter. Shooter pulled out pistol and fired shots into the air then fled the scene. Shooter was arrested at a nearby apartment building.</v>
      </c>
      <c r="AA1879" s="5" t="str">
        <f ca="1">IFERROR(__xludf.DUMMYFUNCTION("""COMPUTED_VALUE"""),"Bullying")</f>
        <v>Bullying</v>
      </c>
      <c r="AB1879" s="5" t="str">
        <f ca="1">IFERROR(__xludf.DUMMYFUNCTION("""COMPUTED_VALUE"""),"Victims Targeted")</f>
        <v>Victims Targeted</v>
      </c>
      <c r="AC1879" s="5" t="str">
        <f ca="1">IFERROR(__xludf.DUMMYFUNCTION("""COMPUTED_VALUE"""),"No")</f>
        <v>No</v>
      </c>
      <c r="AD1879" s="5" t="str">
        <f ca="1">IFERROR(__xludf.DUMMYFUNCTION("""COMPUTED_VALUE"""),"No")</f>
        <v>No</v>
      </c>
      <c r="AE1879" s="5" t="str">
        <f ca="1">IFERROR(__xludf.DUMMYFUNCTION("""COMPUTED_VALUE"""),"No")</f>
        <v>No</v>
      </c>
      <c r="AF1879" s="5" t="str">
        <f ca="1">IFERROR(__xludf.DUMMYFUNCTION("""COMPUTED_VALUE"""),"No")</f>
        <v>No</v>
      </c>
      <c r="AG1879" s="5" t="str">
        <f ca="1">IFERROR(__xludf.DUMMYFUNCTION("""COMPUTED_VALUE"""),"Yes")</f>
        <v>Yes</v>
      </c>
      <c r="AH1879" s="5" t="str">
        <f ca="1">IFERROR(__xludf.DUMMYFUNCTION("""COMPUTED_VALUE"""),"No")</f>
        <v>No</v>
      </c>
      <c r="AI1879" s="5" t="str">
        <f ca="1">IFERROR(__xludf.DUMMYFUNCTION("""COMPUTED_VALUE"""),"No")</f>
        <v>No</v>
      </c>
      <c r="AJ1879" s="5"/>
    </row>
    <row r="1880" spans="1:36" ht="13">
      <c r="A1880" s="5" t="str">
        <f ca="1">IFERROR(__xludf.DUMMYFUNCTION("""COMPUTED_VALUE"""),"19911015NHMOS")</f>
        <v>19911015NHMOS</v>
      </c>
      <c r="B1880" s="5">
        <f ca="1">IFERROR(__xludf.DUMMYFUNCTION("""COMPUTED_VALUE"""),10)</f>
        <v>10</v>
      </c>
      <c r="C1880" s="5">
        <f ca="1">IFERROR(__xludf.DUMMYFUNCTION("""COMPUTED_VALUE"""),15)</f>
        <v>15</v>
      </c>
      <c r="D1880" s="5">
        <f ca="1">IFERROR(__xludf.DUMMYFUNCTION("""COMPUTED_VALUE"""),1991)</f>
        <v>1991</v>
      </c>
      <c r="E1880" s="8">
        <f ca="1">IFERROR(__xludf.DUMMYFUNCTION("""COMPUTED_VALUE"""),33526)</f>
        <v>33526</v>
      </c>
      <c r="F1880" s="5" t="str">
        <f ca="1">IFERROR(__xludf.DUMMYFUNCTION("""COMPUTED_VALUE"""),"Monadnock Regional High School")</f>
        <v>Monadnock Regional High School</v>
      </c>
      <c r="G1880" s="5">
        <f ca="1">IFERROR(__xludf.DUMMYFUNCTION("""COMPUTED_VALUE"""),0)</f>
        <v>0</v>
      </c>
      <c r="H1880" s="5">
        <f ca="1">IFERROR(__xludf.DUMMYFUNCTION("""COMPUTED_VALUE"""),2)</f>
        <v>2</v>
      </c>
      <c r="I1880" s="5">
        <f ca="1">IFERROR(__xludf.DUMMYFUNCTION("""COMPUTED_VALUE"""),2)</f>
        <v>2</v>
      </c>
      <c r="J1880" s="5">
        <f ca="1">IFERROR(__xludf.DUMMYFUNCTION("""COMPUTED_VALUE"""),0)</f>
        <v>0</v>
      </c>
      <c r="K1880" s="5" t="str">
        <f ca="1">IFERROR(__xludf.DUMMYFUNCTION("""COMPUTED_VALUE"""),"http://www.sentinelsource.com/news/local/from-the-files-oct/article_9e9f4e93-7810-5896-aa30-ce17d05e8a68.html   https://www.carnegiehero.org/awardees/profiles/stockwell/")</f>
        <v>http://www.sentinelsource.com/news/local/from-the-files-oct/article_9e9f4e93-7810-5896-aa30-ce17d05e8a68.html   https://www.carnegiehero.org/awardees/profiles/stockwell/</v>
      </c>
      <c r="L1880" s="5"/>
      <c r="M1880" s="5"/>
      <c r="N1880" s="5">
        <f ca="1">IFERROR(__xludf.DUMMYFUNCTION("""COMPUTED_VALUE"""),2)</f>
        <v>2</v>
      </c>
      <c r="O1880" s="5" t="str">
        <f ca="1">IFERROR(__xludf.DUMMYFUNCTION("""COMPUTED_VALUE"""),"Fall")</f>
        <v>Fall</v>
      </c>
      <c r="P1880" s="5" t="str">
        <f ca="1">IFERROR(__xludf.DUMMYFUNCTION("""COMPUTED_VALUE"""),"Swanzey")</f>
        <v>Swanzey</v>
      </c>
      <c r="Q1880" s="5" t="str">
        <f ca="1">IFERROR(__xludf.DUMMYFUNCTION("""COMPUTED_VALUE"""),"NH")</f>
        <v>NH</v>
      </c>
      <c r="R1880" s="5" t="str">
        <f ca="1">IFERROR(__xludf.DUMMYFUNCTION("""COMPUTED_VALUE"""),"High")</f>
        <v>High</v>
      </c>
      <c r="S1880" s="5" t="str">
        <f ca="1">IFERROR(__xludf.DUMMYFUNCTION("""COMPUTED_VALUE"""),"Hallway")</f>
        <v>Hallway</v>
      </c>
      <c r="T1880" s="5" t="str">
        <f ca="1">IFERROR(__xludf.DUMMYFUNCTION("""COMPUTED_VALUE"""),"Inside School Building")</f>
        <v>Inside School Building</v>
      </c>
      <c r="U1880" s="5" t="str">
        <f ca="1">IFERROR(__xludf.DUMMYFUNCTION("""COMPUTED_VALUE"""),"Yes")</f>
        <v>Yes</v>
      </c>
      <c r="V1880" s="5" t="str">
        <f ca="1">IFERROR(__xludf.DUMMYFUNCTION("""COMPUTED_VALUE"""),"Morning Classes")</f>
        <v>Morning Classes</v>
      </c>
      <c r="W1880" s="5"/>
      <c r="X1880" s="5">
        <f ca="1">IFERROR(__xludf.DUMMYFUNCTION("""COMPUTED_VALUE"""),15)</f>
        <v>15</v>
      </c>
      <c r="Y1880" s="5" t="str">
        <f ca="1">IFERROR(__xludf.DUMMYFUNCTION("""COMPUTED_VALUE"""),"Shooter fired rifle shot which broke into pieces and injured two students; subdued by police after 15 minute standoff")</f>
        <v>Shooter fired rifle shot which broke into pieces and injured two students; subdued by police after 15 minute standoff</v>
      </c>
      <c r="Z1880" s="5" t="str">
        <f ca="1">IFERROR(__xludf.DUMMYFUNCTION("""COMPUTED_VALUE"""),"16 year old drop out walked into his former school - shoots rifle  - bullet breaks into fragments and injured two students. 15 minute standoff ensues - police able to sneak in behind him and tackle")</f>
        <v>16 year old drop out walked into his former school - shoots rifle  - bullet breaks into fragments and injured two students. 15 minute standoff ensues - police able to sneak in behind him and tackle</v>
      </c>
      <c r="AA1880" s="5" t="str">
        <f ca="1">IFERROR(__xludf.DUMMYFUNCTION("""COMPUTED_VALUE"""),"Anger Over Grade/Suspension/Discipline")</f>
        <v>Anger Over Grade/Suspension/Discipline</v>
      </c>
      <c r="AB1880" s="5" t="str">
        <f ca="1">IFERROR(__xludf.DUMMYFUNCTION("""COMPUTED_VALUE"""),"Random Shooting")</f>
        <v>Random Shooting</v>
      </c>
      <c r="AC1880" s="5" t="str">
        <f ca="1">IFERROR(__xludf.DUMMYFUNCTION("""COMPUTED_VALUE"""),"No")</f>
        <v>No</v>
      </c>
      <c r="AD1880" s="5" t="str">
        <f ca="1">IFERROR(__xludf.DUMMYFUNCTION("""COMPUTED_VALUE"""),"No")</f>
        <v>No</v>
      </c>
      <c r="AE1880" s="5" t="str">
        <f ca="1">IFERROR(__xludf.DUMMYFUNCTION("""COMPUTED_VALUE"""),"Yes")</f>
        <v>Yes</v>
      </c>
      <c r="AF1880" s="5" t="str">
        <f ca="1">IFERROR(__xludf.DUMMYFUNCTION("""COMPUTED_VALUE"""),"No")</f>
        <v>No</v>
      </c>
      <c r="AG1880" s="5" t="str">
        <f ca="1">IFERROR(__xludf.DUMMYFUNCTION("""COMPUTED_VALUE"""),"No")</f>
        <v>No</v>
      </c>
      <c r="AH1880" s="5"/>
      <c r="AI1880" s="5" t="str">
        <f ca="1">IFERROR(__xludf.DUMMYFUNCTION("""COMPUTED_VALUE"""),"No")</f>
        <v>No</v>
      </c>
      <c r="AJ1880" s="5" t="str">
        <f ca="1">IFERROR(__xludf.DUMMYFUNCTION("""COMPUTED_VALUE"""),"Yes")</f>
        <v>Yes</v>
      </c>
    </row>
    <row r="1881" spans="1:36" ht="13">
      <c r="A1881" s="5" t="str">
        <f ca="1">IFERROR(__xludf.DUMMYFUNCTION("""COMPUTED_VALUE"""),"19911011MAMAR")</f>
        <v>19911011MAMAR</v>
      </c>
      <c r="B1881" s="5">
        <f ca="1">IFERROR(__xludf.DUMMYFUNCTION("""COMPUTED_VALUE"""),10)</f>
        <v>10</v>
      </c>
      <c r="C1881" s="5">
        <f ca="1">IFERROR(__xludf.DUMMYFUNCTION("""COMPUTED_VALUE"""),11)</f>
        <v>11</v>
      </c>
      <c r="D1881" s="5">
        <f ca="1">IFERROR(__xludf.DUMMYFUNCTION("""COMPUTED_VALUE"""),1991)</f>
        <v>1991</v>
      </c>
      <c r="E1881" s="8">
        <f ca="1">IFERROR(__xludf.DUMMYFUNCTION("""COMPUTED_VALUE"""),33522)</f>
        <v>33522</v>
      </c>
      <c r="F1881" s="5" t="str">
        <f ca="1">IFERROR(__xludf.DUMMYFUNCTION("""COMPUTED_VALUE"""),"Madison Park High School")</f>
        <v>Madison Park High School</v>
      </c>
      <c r="G1881" s="5">
        <f ca="1">IFERROR(__xludf.DUMMYFUNCTION("""COMPUTED_VALUE"""),0)</f>
        <v>0</v>
      </c>
      <c r="H1881" s="5">
        <f ca="1">IFERROR(__xludf.DUMMYFUNCTION("""COMPUTED_VALUE"""),1)</f>
        <v>1</v>
      </c>
      <c r="I1881" s="5">
        <f ca="1">IFERROR(__xludf.DUMMYFUNCTION("""COMPUTED_VALUE"""),1)</f>
        <v>1</v>
      </c>
      <c r="J1881" s="5">
        <f ca="1">IFERROR(__xludf.DUMMYFUNCTION("""COMPUTED_VALUE"""),0)</f>
        <v>0</v>
      </c>
      <c r="K1881" s="5" t="str">
        <f ca="1">IFERROR(__xludf.DUMMYFUNCTION("""COMPUTED_VALUE"""),"https://www.newspapers.com/image/169132628/?terms=%22shot%20high%20school%20football%22&amp;match=1 https://www.newspapers.com/image/439652854/?terms=JAMAL%2BDOUGLAS   https://www.newspapers.com/image/439677871/?terms=monadnock%2Bhigh%2Bschool%2Bshooting")</f>
        <v>https://www.newspapers.com/image/169132628/?terms=%22shot%20high%20school%20football%22&amp;match=1 https://www.newspapers.com/image/439652854/?terms=JAMAL%2BDOUGLAS   https://www.newspapers.com/image/439677871/?terms=monadnock%2Bhigh%2Bschool%2Bshooting</v>
      </c>
      <c r="L1881" s="5">
        <f ca="1">IFERROR(__xludf.DUMMYFUNCTION("""COMPUTED_VALUE"""),2)</f>
        <v>2</v>
      </c>
      <c r="M1881" s="5" t="str">
        <f ca="1">IFERROR(__xludf.DUMMYFUNCTION("""COMPUTED_VALUE"""),"National")</f>
        <v>National</v>
      </c>
      <c r="N1881" s="5">
        <f ca="1">IFERROR(__xludf.DUMMYFUNCTION("""COMPUTED_VALUE"""),3)</f>
        <v>3</v>
      </c>
      <c r="O1881" s="5" t="str">
        <f ca="1">IFERROR(__xludf.DUMMYFUNCTION("""COMPUTED_VALUE"""),"Fall")</f>
        <v>Fall</v>
      </c>
      <c r="P1881" s="5" t="str">
        <f ca="1">IFERROR(__xludf.DUMMYFUNCTION("""COMPUTED_VALUE"""),"Roxbury")</f>
        <v>Roxbury</v>
      </c>
      <c r="Q1881" s="5" t="str">
        <f ca="1">IFERROR(__xludf.DUMMYFUNCTION("""COMPUTED_VALUE"""),"MA")</f>
        <v>MA</v>
      </c>
      <c r="R1881" s="5" t="str">
        <f ca="1">IFERROR(__xludf.DUMMYFUNCTION("""COMPUTED_VALUE"""),"High")</f>
        <v>High</v>
      </c>
      <c r="S1881" s="5" t="str">
        <f ca="1">IFERROR(__xludf.DUMMYFUNCTION("""COMPUTED_VALUE"""),"Football Field/Track")</f>
        <v>Football Field/Track</v>
      </c>
      <c r="T1881" s="5" t="str">
        <f ca="1">IFERROR(__xludf.DUMMYFUNCTION("""COMPUTED_VALUE"""),"Outside on School Property")</f>
        <v>Outside on School Property</v>
      </c>
      <c r="U1881" s="5" t="str">
        <f ca="1">IFERROR(__xludf.DUMMYFUNCTION("""COMPUTED_VALUE"""),"Yes")</f>
        <v>Yes</v>
      </c>
      <c r="V1881" s="5" t="str">
        <f ca="1">IFERROR(__xludf.DUMMYFUNCTION("""COMPUTED_VALUE"""),"After School")</f>
        <v>After School</v>
      </c>
      <c r="W1881" s="10">
        <f ca="1">IFERROR(__xludf.DUMMYFUNCTION("""COMPUTED_VALUE"""),0.663194444444444)</f>
        <v>0.66319444444444398</v>
      </c>
      <c r="X1881" s="5">
        <f ca="1">IFERROR(__xludf.DUMMYFUNCTION("""COMPUTED_VALUE"""),1)</f>
        <v>1</v>
      </c>
      <c r="Y1881" s="5" t="str">
        <f ca="1">IFERROR(__xludf.DUMMYFUNCTION("""COMPUTED_VALUE"""),"Teen shot during halftime of football game")</f>
        <v>Teen shot during halftime of football game</v>
      </c>
      <c r="Z1881" s="5" t="str">
        <f ca="1">IFERROR(__xludf.DUMMYFUNCTION("""COMPUTED_VALUE"""),"17-year-old student from rival school was shot during halftime of the football game. Victim was assaulted by 4 teens and shot when he ran away.")</f>
        <v>17-year-old student from rival school was shot during halftime of the football game. Victim was assaulted by 4 teens and shot when he ran away.</v>
      </c>
      <c r="AA1881" s="5" t="str">
        <f ca="1">IFERROR(__xludf.DUMMYFUNCTION("""COMPUTED_VALUE"""),"Escalation of Dispute")</f>
        <v>Escalation of Dispute</v>
      </c>
      <c r="AB1881" s="5" t="str">
        <f ca="1">IFERROR(__xludf.DUMMYFUNCTION("""COMPUTED_VALUE"""),"Victims Targeted")</f>
        <v>Victims Targeted</v>
      </c>
      <c r="AC1881" s="5" t="str">
        <f ca="1">IFERROR(__xludf.DUMMYFUNCTION("""COMPUTED_VALUE"""),"Yes")</f>
        <v>Yes</v>
      </c>
      <c r="AD1881" s="5" t="str">
        <f ca="1">IFERROR(__xludf.DUMMYFUNCTION("""COMPUTED_VALUE"""),"No")</f>
        <v>No</v>
      </c>
      <c r="AE1881" s="5" t="str">
        <f ca="1">IFERROR(__xludf.DUMMYFUNCTION("""COMPUTED_VALUE"""),"No")</f>
        <v>No</v>
      </c>
      <c r="AF1881" s="5" t="str">
        <f ca="1">IFERROR(__xludf.DUMMYFUNCTION("""COMPUTED_VALUE"""),"No")</f>
        <v>No</v>
      </c>
      <c r="AG1881" s="5" t="str">
        <f ca="1">IFERROR(__xludf.DUMMYFUNCTION("""COMPUTED_VALUE"""),"No")</f>
        <v>No</v>
      </c>
      <c r="AH1881" s="5" t="str">
        <f ca="1">IFERROR(__xludf.DUMMYFUNCTION("""COMPUTED_VALUE"""),"No")</f>
        <v>No</v>
      </c>
      <c r="AI1881" s="5" t="str">
        <f ca="1">IFERROR(__xludf.DUMMYFUNCTION("""COMPUTED_VALUE"""),"Yes")</f>
        <v>Yes</v>
      </c>
      <c r="AJ1881" s="5" t="str">
        <f ca="1">IFERROR(__xludf.DUMMYFUNCTION("""COMPUTED_VALUE"""),"No")</f>
        <v>No</v>
      </c>
    </row>
    <row r="1882" spans="1:36" ht="13">
      <c r="A1882" s="5" t="str">
        <f ca="1">IFERROR(__xludf.DUMMYFUNCTION("""COMPUTED_VALUE"""),"19911009NYJAB")</f>
        <v>19911009NYJAB</v>
      </c>
      <c r="B1882" s="5">
        <f ca="1">IFERROR(__xludf.DUMMYFUNCTION("""COMPUTED_VALUE"""),10)</f>
        <v>10</v>
      </c>
      <c r="C1882" s="5">
        <f ca="1">IFERROR(__xludf.DUMMYFUNCTION("""COMPUTED_VALUE"""),9)</f>
        <v>9</v>
      </c>
      <c r="D1882" s="5">
        <f ca="1">IFERROR(__xludf.DUMMYFUNCTION("""COMPUTED_VALUE"""),1991)</f>
        <v>1991</v>
      </c>
      <c r="E1882" s="8">
        <f ca="1">IFERROR(__xludf.DUMMYFUNCTION("""COMPUTED_VALUE"""),33520)</f>
        <v>33520</v>
      </c>
      <c r="F1882" s="5" t="str">
        <f ca="1">IFERROR(__xludf.DUMMYFUNCTION("""COMPUTED_VALUE"""),"James Monroe High School")</f>
        <v>James Monroe High School</v>
      </c>
      <c r="G1882" s="5">
        <f ca="1">IFERROR(__xludf.DUMMYFUNCTION("""COMPUTED_VALUE"""),1)</f>
        <v>1</v>
      </c>
      <c r="H1882" s="5">
        <f ca="1">IFERROR(__xludf.DUMMYFUNCTION("""COMPUTED_VALUE"""),0)</f>
        <v>0</v>
      </c>
      <c r="I1882" s="5">
        <f ca="1">IFERROR(__xludf.DUMMYFUNCTION("""COMPUTED_VALUE"""),1)</f>
        <v>1</v>
      </c>
      <c r="J1882" s="5">
        <f ca="1">IFERROR(__xludf.DUMMYFUNCTION("""COMPUTED_VALUE"""),0)</f>
        <v>0</v>
      </c>
      <c r="K1882" s="9" t="str">
        <f ca="1">IFERROR(__xludf.DUMMYFUNCTION("""COMPUTED_VALUE"""),"https://www.nytimes.com/1991/10/09/nyregion/a-bronx-youth-is-shot-to-death-outside-a-school.html")</f>
        <v>https://www.nytimes.com/1991/10/09/nyregion/a-bronx-youth-is-shot-to-death-outside-a-school.html</v>
      </c>
      <c r="L1882" s="5"/>
      <c r="M1882" s="5"/>
      <c r="N1882" s="5">
        <f ca="1">IFERROR(__xludf.DUMMYFUNCTION("""COMPUTED_VALUE"""),2)</f>
        <v>2</v>
      </c>
      <c r="O1882" s="5" t="str">
        <f ca="1">IFERROR(__xludf.DUMMYFUNCTION("""COMPUTED_VALUE"""),"Fall")</f>
        <v>Fall</v>
      </c>
      <c r="P1882" s="5" t="str">
        <f ca="1">IFERROR(__xludf.DUMMYFUNCTION("""COMPUTED_VALUE"""),"Bronx")</f>
        <v>Bronx</v>
      </c>
      <c r="Q1882" s="5" t="str">
        <f ca="1">IFERROR(__xludf.DUMMYFUNCTION("""COMPUTED_VALUE"""),"NY")</f>
        <v>NY</v>
      </c>
      <c r="R1882" s="5" t="str">
        <f ca="1">IFERROR(__xludf.DUMMYFUNCTION("""COMPUTED_VALUE"""),"High")</f>
        <v>High</v>
      </c>
      <c r="S1882" s="5" t="str">
        <f ca="1">IFERROR(__xludf.DUMMYFUNCTION("""COMPUTED_VALUE"""),"Outside on School Property")</f>
        <v>Outside on School Property</v>
      </c>
      <c r="T1882" s="5" t="str">
        <f ca="1">IFERROR(__xludf.DUMMYFUNCTION("""COMPUTED_VALUE"""),"Outside on School Property")</f>
        <v>Outside on School Property</v>
      </c>
      <c r="U1882" s="5" t="str">
        <f ca="1">IFERROR(__xludf.DUMMYFUNCTION("""COMPUTED_VALUE"""),"Yes")</f>
        <v>Yes</v>
      </c>
      <c r="V1882" s="5" t="str">
        <f ca="1">IFERROR(__xludf.DUMMYFUNCTION("""COMPUTED_VALUE"""),"Morning Classes")</f>
        <v>Morning Classes</v>
      </c>
      <c r="W1882" s="10">
        <f ca="1">IFERROR(__xludf.DUMMYFUNCTION("""COMPUTED_VALUE"""),0.385416666666666)</f>
        <v>0.38541666666666602</v>
      </c>
      <c r="X1882" s="5">
        <f ca="1">IFERROR(__xludf.DUMMYFUNCTION("""COMPUTED_VALUE"""),1)</f>
        <v>1</v>
      </c>
      <c r="Y1882" s="5" t="str">
        <f ca="1">IFERROR(__xludf.DUMMYFUNCTION("""COMPUTED_VALUE"""),"Planned fight outside of school")</f>
        <v>Planned fight outside of school</v>
      </c>
      <c r="Z1882" s="5" t="str">
        <f ca="1">IFERROR(__xludf.DUMMYFUNCTION("""COMPUTED_VALUE"""),"Victim challenge suspect to a fight. Suspect left scene and came back with a gun. Shot and killed victim outside of high school.")</f>
        <v>Victim challenge suspect to a fight. Suspect left scene and came back with a gun. Shot and killed victim outside of high school.</v>
      </c>
      <c r="AA1882" s="5" t="str">
        <f ca="1">IFERROR(__xludf.DUMMYFUNCTION("""COMPUTED_VALUE"""),"Escalation of Dispute")</f>
        <v>Escalation of Dispute</v>
      </c>
      <c r="AB1882" s="5" t="str">
        <f ca="1">IFERROR(__xludf.DUMMYFUNCTION("""COMPUTED_VALUE"""),"Victims Targeted")</f>
        <v>Victims Targeted</v>
      </c>
      <c r="AC1882" s="5" t="str">
        <f ca="1">IFERROR(__xludf.DUMMYFUNCTION("""COMPUTED_VALUE"""),"No")</f>
        <v>No</v>
      </c>
      <c r="AD1882" s="5" t="str">
        <f ca="1">IFERROR(__xludf.DUMMYFUNCTION("""COMPUTED_VALUE"""),"No")</f>
        <v>No</v>
      </c>
      <c r="AE1882" s="5" t="str">
        <f ca="1">IFERROR(__xludf.DUMMYFUNCTION("""COMPUTED_VALUE"""),"No")</f>
        <v>No</v>
      </c>
      <c r="AF1882" s="5" t="str">
        <f ca="1">IFERROR(__xludf.DUMMYFUNCTION("""COMPUTED_VALUE"""),"No")</f>
        <v>No</v>
      </c>
      <c r="AG1882" s="5" t="str">
        <f ca="1">IFERROR(__xludf.DUMMYFUNCTION("""COMPUTED_VALUE"""),"No")</f>
        <v>No</v>
      </c>
      <c r="AH1882" s="5" t="str">
        <f ca="1">IFERROR(__xludf.DUMMYFUNCTION("""COMPUTED_VALUE"""),"No")</f>
        <v>No</v>
      </c>
      <c r="AI1882" s="5" t="str">
        <f ca="1">IFERROR(__xludf.DUMMYFUNCTION("""COMPUTED_VALUE"""),"No")</f>
        <v>No</v>
      </c>
      <c r="AJ1882" s="5"/>
    </row>
    <row r="1883" spans="1:36" ht="13">
      <c r="A1883" s="5" t="str">
        <f ca="1">IFERROR(__xludf.DUMMYFUNCTION("""COMPUTED_VALUE"""),"19911004CAROL")</f>
        <v>19911004CAROL</v>
      </c>
      <c r="B1883" s="5">
        <f ca="1">IFERROR(__xludf.DUMMYFUNCTION("""COMPUTED_VALUE"""),10)</f>
        <v>10</v>
      </c>
      <c r="C1883" s="5">
        <f ca="1">IFERROR(__xludf.DUMMYFUNCTION("""COMPUTED_VALUE"""),4)</f>
        <v>4</v>
      </c>
      <c r="D1883" s="5">
        <f ca="1">IFERROR(__xludf.DUMMYFUNCTION("""COMPUTED_VALUE"""),1991)</f>
        <v>1991</v>
      </c>
      <c r="E1883" s="8">
        <f ca="1">IFERROR(__xludf.DUMMYFUNCTION("""COMPUTED_VALUE"""),33515)</f>
        <v>33515</v>
      </c>
      <c r="F1883" s="5" t="str">
        <f ca="1">IFERROR(__xludf.DUMMYFUNCTION("""COMPUTED_VALUE"""),"Roosevelt High School")</f>
        <v>Roosevelt High School</v>
      </c>
      <c r="G1883" s="5">
        <f ca="1">IFERROR(__xludf.DUMMYFUNCTION("""COMPUTED_VALUE"""),0)</f>
        <v>0</v>
      </c>
      <c r="H1883" s="5">
        <f ca="1">IFERROR(__xludf.DUMMYFUNCTION("""COMPUTED_VALUE"""),0)</f>
        <v>0</v>
      </c>
      <c r="I1883" s="5">
        <f ca="1">IFERROR(__xludf.DUMMYFUNCTION("""COMPUTED_VALUE"""),0)</f>
        <v>0</v>
      </c>
      <c r="J1883" s="5">
        <f ca="1">IFERROR(__xludf.DUMMYFUNCTION("""COMPUTED_VALUE"""),0)</f>
        <v>0</v>
      </c>
      <c r="K1883" s="9" t="str">
        <f ca="1">IFERROR(__xludf.DUMMYFUNCTION("""COMPUTED_VALUE"""),"https://www.newspapers.com/image/176460783/?terms=Dorsey%2BHigh%2BSchool%2Bshooting")</f>
        <v>https://www.newspapers.com/image/176460783/?terms=Dorsey%2BHigh%2BSchool%2Bshooting</v>
      </c>
      <c r="L1883" s="5"/>
      <c r="M1883" s="5"/>
      <c r="N1883" s="5">
        <f ca="1">IFERROR(__xludf.DUMMYFUNCTION("""COMPUTED_VALUE"""),2)</f>
        <v>2</v>
      </c>
      <c r="O1883" s="5" t="str">
        <f ca="1">IFERROR(__xludf.DUMMYFUNCTION("""COMPUTED_VALUE"""),"Fall")</f>
        <v>Fall</v>
      </c>
      <c r="P1883" s="5" t="str">
        <f ca="1">IFERROR(__xludf.DUMMYFUNCTION("""COMPUTED_VALUE"""),"Los Angeles")</f>
        <v>Los Angeles</v>
      </c>
      <c r="Q1883" s="5" t="str">
        <f ca="1">IFERROR(__xludf.DUMMYFUNCTION("""COMPUTED_VALUE"""),"CA")</f>
        <v>CA</v>
      </c>
      <c r="R1883" s="5" t="str">
        <f ca="1">IFERROR(__xludf.DUMMYFUNCTION("""COMPUTED_VALUE"""),"High")</f>
        <v>High</v>
      </c>
      <c r="S1883" s="5" t="str">
        <f ca="1">IFERROR(__xludf.DUMMYFUNCTION("""COMPUTED_VALUE"""),"Football Field/Track")</f>
        <v>Football Field/Track</v>
      </c>
      <c r="T1883" s="5" t="str">
        <f ca="1">IFERROR(__xludf.DUMMYFUNCTION("""COMPUTED_VALUE"""),"Outside on School Property")</f>
        <v>Outside on School Property</v>
      </c>
      <c r="U1883" s="5" t="str">
        <f ca="1">IFERROR(__xludf.DUMMYFUNCTION("""COMPUTED_VALUE"""),"No")</f>
        <v>No</v>
      </c>
      <c r="V1883" s="5" t="str">
        <f ca="1">IFERROR(__xludf.DUMMYFUNCTION("""COMPUTED_VALUE"""),"Sport Event")</f>
        <v>Sport Event</v>
      </c>
      <c r="W1883" s="5"/>
      <c r="X1883" s="5">
        <f ca="1">IFERROR(__xludf.DUMMYFUNCTION("""COMPUTED_VALUE"""),1)</f>
        <v>1</v>
      </c>
      <c r="Y1883" s="5" t="str">
        <f ca="1">IFERROR(__xludf.DUMMYFUNCTION("""COMPUTED_VALUE"""),"Shooting at football game between rival teams")</f>
        <v>Shooting at football game between rival teams</v>
      </c>
      <c r="Z1883" s="5" t="str">
        <f ca="1">IFERROR(__xludf.DUMMYFUNCTION("""COMPUTED_VALUE"""),"Shots fired during fight between fans of rival schools. Game had to be stopped. No injuries reported.")</f>
        <v>Shots fired during fight between fans of rival schools. Game had to be stopped. No injuries reported.</v>
      </c>
      <c r="AA1883" s="5" t="str">
        <f ca="1">IFERROR(__xludf.DUMMYFUNCTION("""COMPUTED_VALUE"""),"Escalation of Dispute")</f>
        <v>Escalation of Dispute</v>
      </c>
      <c r="AB1883" s="5"/>
      <c r="AC1883" s="5" t="str">
        <f ca="1">IFERROR(__xludf.DUMMYFUNCTION("""COMPUTED_VALUE"""),"No")</f>
        <v>No</v>
      </c>
      <c r="AD1883" s="5" t="str">
        <f ca="1">IFERROR(__xludf.DUMMYFUNCTION("""COMPUTED_VALUE"""),"No")</f>
        <v>No</v>
      </c>
      <c r="AE1883" s="5" t="str">
        <f ca="1">IFERROR(__xludf.DUMMYFUNCTION("""COMPUTED_VALUE"""),"No")</f>
        <v>No</v>
      </c>
      <c r="AF1883" s="5" t="str">
        <f ca="1">IFERROR(__xludf.DUMMYFUNCTION("""COMPUTED_VALUE"""),"No")</f>
        <v>No</v>
      </c>
      <c r="AG1883" s="5" t="str">
        <f ca="1">IFERROR(__xludf.DUMMYFUNCTION("""COMPUTED_VALUE"""),"No")</f>
        <v>No</v>
      </c>
      <c r="AH1883" s="5" t="str">
        <f ca="1">IFERROR(__xludf.DUMMYFUNCTION("""COMPUTED_VALUE"""),"No")</f>
        <v>No</v>
      </c>
      <c r="AI1883" s="5" t="str">
        <f ca="1">IFERROR(__xludf.DUMMYFUNCTION("""COMPUTED_VALUE"""),"Yes")</f>
        <v>Yes</v>
      </c>
      <c r="AJ1883" s="5"/>
    </row>
    <row r="1884" spans="1:36" ht="13">
      <c r="A1884" s="5" t="str">
        <f ca="1">IFERROR(__xludf.DUMMYFUNCTION("""COMPUTED_VALUE"""),"19911004CADOL")</f>
        <v>19911004CADOL</v>
      </c>
      <c r="B1884" s="5">
        <f ca="1">IFERROR(__xludf.DUMMYFUNCTION("""COMPUTED_VALUE"""),10)</f>
        <v>10</v>
      </c>
      <c r="C1884" s="5">
        <f ca="1">IFERROR(__xludf.DUMMYFUNCTION("""COMPUTED_VALUE"""),4)</f>
        <v>4</v>
      </c>
      <c r="D1884" s="5">
        <f ca="1">IFERROR(__xludf.DUMMYFUNCTION("""COMPUTED_VALUE"""),1991)</f>
        <v>1991</v>
      </c>
      <c r="E1884" s="8">
        <f ca="1">IFERROR(__xludf.DUMMYFUNCTION("""COMPUTED_VALUE"""),33515)</f>
        <v>33515</v>
      </c>
      <c r="F1884" s="5" t="str">
        <f ca="1">IFERROR(__xludf.DUMMYFUNCTION("""COMPUTED_VALUE"""),"Dorsey High School")</f>
        <v>Dorsey High School</v>
      </c>
      <c r="G1884" s="5">
        <f ca="1">IFERROR(__xludf.DUMMYFUNCTION("""COMPUTED_VALUE"""),0)</f>
        <v>0</v>
      </c>
      <c r="H1884" s="5">
        <f ca="1">IFERROR(__xludf.DUMMYFUNCTION("""COMPUTED_VALUE"""),2)</f>
        <v>2</v>
      </c>
      <c r="I1884" s="5">
        <f ca="1">IFERROR(__xludf.DUMMYFUNCTION("""COMPUTED_VALUE"""),2)</f>
        <v>2</v>
      </c>
      <c r="J1884" s="5">
        <f ca="1">IFERROR(__xludf.DUMMYFUNCTION("""COMPUTED_VALUE"""),0)</f>
        <v>0</v>
      </c>
      <c r="K1884" s="9" t="str">
        <f ca="1">IFERROR(__xludf.DUMMYFUNCTION("""COMPUTED_VALUE"""),"https://www.newspapers.com/image/176460783/?terms=Dorsey%2BHigh%2BSchool%2Bshooting")</f>
        <v>https://www.newspapers.com/image/176460783/?terms=Dorsey%2BHigh%2BSchool%2Bshooting</v>
      </c>
      <c r="L1884" s="5"/>
      <c r="M1884" s="5"/>
      <c r="N1884" s="5">
        <f ca="1">IFERROR(__xludf.DUMMYFUNCTION("""COMPUTED_VALUE"""),2)</f>
        <v>2</v>
      </c>
      <c r="O1884" s="5" t="str">
        <f ca="1">IFERROR(__xludf.DUMMYFUNCTION("""COMPUTED_VALUE"""),"Fall")</f>
        <v>Fall</v>
      </c>
      <c r="P1884" s="5" t="str">
        <f ca="1">IFERROR(__xludf.DUMMYFUNCTION("""COMPUTED_VALUE"""),"Los Angeles")</f>
        <v>Los Angeles</v>
      </c>
      <c r="Q1884" s="5" t="str">
        <f ca="1">IFERROR(__xludf.DUMMYFUNCTION("""COMPUTED_VALUE"""),"CA")</f>
        <v>CA</v>
      </c>
      <c r="R1884" s="5" t="str">
        <f ca="1">IFERROR(__xludf.DUMMYFUNCTION("""COMPUTED_VALUE"""),"High")</f>
        <v>High</v>
      </c>
      <c r="S1884" s="5" t="str">
        <f ca="1">IFERROR(__xludf.DUMMYFUNCTION("""COMPUTED_VALUE"""),"Football Field/Track")</f>
        <v>Football Field/Track</v>
      </c>
      <c r="T1884" s="5" t="str">
        <f ca="1">IFERROR(__xludf.DUMMYFUNCTION("""COMPUTED_VALUE"""),"Outside on School Property")</f>
        <v>Outside on School Property</v>
      </c>
      <c r="U1884" s="5" t="str">
        <f ca="1">IFERROR(__xludf.DUMMYFUNCTION("""COMPUTED_VALUE"""),"No")</f>
        <v>No</v>
      </c>
      <c r="V1884" s="5" t="str">
        <f ca="1">IFERROR(__xludf.DUMMYFUNCTION("""COMPUTED_VALUE"""),"Sport Event")</f>
        <v>Sport Event</v>
      </c>
      <c r="W1884" s="10">
        <f ca="1">IFERROR(__xludf.DUMMYFUNCTION("""COMPUTED_VALUE"""),0.727083333333333)</f>
        <v>0.72708333333333297</v>
      </c>
      <c r="X1884" s="5">
        <f ca="1">IFERROR(__xludf.DUMMYFUNCTION("""COMPUTED_VALUE"""),3)</f>
        <v>3</v>
      </c>
      <c r="Y1884" s="5" t="str">
        <f ca="1">IFERROR(__xludf.DUMMYFUNCTION("""COMPUTED_VALUE"""),"Shooting between 15-20 rival gang members at football game")</f>
        <v>Shooting between 15-20 rival gang members at football game</v>
      </c>
      <c r="Z1884" s="5" t="str">
        <f ca="1">IFERROR(__xludf.DUMMYFUNCTION("""COMPUTED_VALUE"""),"School officials had issues with fights and shooting at previous games. Game time was moved up to 3PM to avoid this. Large fight occured in 4th quarter with gunshots fired by multiple people. 2 students were injured.")</f>
        <v>School officials had issues with fights and shooting at previous games. Game time was moved up to 3PM to avoid this. Large fight occured in 4th quarter with gunshots fired by multiple people. 2 students were injured.</v>
      </c>
      <c r="AA1884" s="5" t="str">
        <f ca="1">IFERROR(__xludf.DUMMYFUNCTION("""COMPUTED_VALUE"""),"Escalation of Dispute")</f>
        <v>Escalation of Dispute</v>
      </c>
      <c r="AB1884" s="5" t="str">
        <f ca="1">IFERROR(__xludf.DUMMYFUNCTION("""COMPUTED_VALUE"""),"Random Shooting")</f>
        <v>Random Shooting</v>
      </c>
      <c r="AC1884" s="5" t="str">
        <f ca="1">IFERROR(__xludf.DUMMYFUNCTION("""COMPUTED_VALUE"""),"No")</f>
        <v>No</v>
      </c>
      <c r="AD1884" s="5" t="str">
        <f ca="1">IFERROR(__xludf.DUMMYFUNCTION("""COMPUTED_VALUE"""),"No")</f>
        <v>No</v>
      </c>
      <c r="AE1884" s="5" t="str">
        <f ca="1">IFERROR(__xludf.DUMMYFUNCTION("""COMPUTED_VALUE"""),"No")</f>
        <v>No</v>
      </c>
      <c r="AF1884" s="5" t="str">
        <f ca="1">IFERROR(__xludf.DUMMYFUNCTION("""COMPUTED_VALUE"""),"No")</f>
        <v>No</v>
      </c>
      <c r="AG1884" s="5" t="str">
        <f ca="1">IFERROR(__xludf.DUMMYFUNCTION("""COMPUTED_VALUE"""),"No")</f>
        <v>No</v>
      </c>
      <c r="AH1884" s="5" t="str">
        <f ca="1">IFERROR(__xludf.DUMMYFUNCTION("""COMPUTED_VALUE"""),"No")</f>
        <v>No</v>
      </c>
      <c r="AI1884" s="5" t="str">
        <f ca="1">IFERROR(__xludf.DUMMYFUNCTION("""COMPUTED_VALUE"""),"Yes")</f>
        <v>Yes</v>
      </c>
      <c r="AJ1884" s="5"/>
    </row>
    <row r="1885" spans="1:36" ht="13">
      <c r="A1885" s="5" t="str">
        <f ca="1">IFERROR(__xludf.DUMMYFUNCTION("""COMPUTED_VALUE"""),"19911002TXSPH")</f>
        <v>19911002TXSPH</v>
      </c>
      <c r="B1885" s="5">
        <f ca="1">IFERROR(__xludf.DUMMYFUNCTION("""COMPUTED_VALUE"""),10)</f>
        <v>10</v>
      </c>
      <c r="C1885" s="5">
        <f ca="1">IFERROR(__xludf.DUMMYFUNCTION("""COMPUTED_VALUE"""),2)</f>
        <v>2</v>
      </c>
      <c r="D1885" s="5">
        <f ca="1">IFERROR(__xludf.DUMMYFUNCTION("""COMPUTED_VALUE"""),1991)</f>
        <v>1991</v>
      </c>
      <c r="E1885" s="8">
        <f ca="1">IFERROR(__xludf.DUMMYFUNCTION("""COMPUTED_VALUE"""),33513)</f>
        <v>33513</v>
      </c>
      <c r="F1885" s="5" t="str">
        <f ca="1">IFERROR(__xludf.DUMMYFUNCTION("""COMPUTED_VALUE"""),"Spring Woods High School (bus)")</f>
        <v>Spring Woods High School (bus)</v>
      </c>
      <c r="G1885" s="5">
        <f ca="1">IFERROR(__xludf.DUMMYFUNCTION("""COMPUTED_VALUE"""),0)</f>
        <v>0</v>
      </c>
      <c r="H1885" s="5">
        <f ca="1">IFERROR(__xludf.DUMMYFUNCTION("""COMPUTED_VALUE"""),1)</f>
        <v>1</v>
      </c>
      <c r="I1885" s="5">
        <f ca="1">IFERROR(__xludf.DUMMYFUNCTION("""COMPUTED_VALUE"""),1)</f>
        <v>1</v>
      </c>
      <c r="J1885" s="5">
        <f ca="1">IFERROR(__xludf.DUMMYFUNCTION("""COMPUTED_VALUE"""),0)</f>
        <v>0</v>
      </c>
      <c r="K1885" s="5" t="str">
        <f ca="1">IFERROR(__xludf.DUMMYFUNCTION("""COMPUTED_VALUE"""),"Houston Chronicle - Spring Branch Student Shot on School Bus; Houston Chronicle - Spring Woods Student Shot; https://www.columbine-angels.com/School_Violence_1990-1991.htm")</f>
        <v>Houston Chronicle - Spring Branch Student Shot on School Bus; Houston Chronicle - Spring Woods Student Shot; https://www.columbine-angels.com/School_Violence_1990-1991.htm</v>
      </c>
      <c r="L1885" s="5"/>
      <c r="M1885" s="5"/>
      <c r="N1885" s="5">
        <f ca="1">IFERROR(__xludf.DUMMYFUNCTION("""COMPUTED_VALUE"""),1)</f>
        <v>1</v>
      </c>
      <c r="O1885" s="5" t="str">
        <f ca="1">IFERROR(__xludf.DUMMYFUNCTION("""COMPUTED_VALUE"""),"Fall")</f>
        <v>Fall</v>
      </c>
      <c r="P1885" s="5" t="str">
        <f ca="1">IFERROR(__xludf.DUMMYFUNCTION("""COMPUTED_VALUE"""),"Houston")</f>
        <v>Houston</v>
      </c>
      <c r="Q1885" s="5" t="str">
        <f ca="1">IFERROR(__xludf.DUMMYFUNCTION("""COMPUTED_VALUE"""),"TX")</f>
        <v>TX</v>
      </c>
      <c r="R1885" s="5" t="str">
        <f ca="1">IFERROR(__xludf.DUMMYFUNCTION("""COMPUTED_VALUE"""),"High")</f>
        <v>High</v>
      </c>
      <c r="S1885" s="5" t="str">
        <f ca="1">IFERROR(__xludf.DUMMYFUNCTION("""COMPUTED_VALUE"""),"School Bus")</f>
        <v>School Bus</v>
      </c>
      <c r="T1885" s="5" t="str">
        <f ca="1">IFERROR(__xludf.DUMMYFUNCTION("""COMPUTED_VALUE"""),"School Bus")</f>
        <v>School Bus</v>
      </c>
      <c r="U1885" s="5" t="str">
        <f ca="1">IFERROR(__xludf.DUMMYFUNCTION("""COMPUTED_VALUE"""),"No")</f>
        <v>No</v>
      </c>
      <c r="V1885" s="5" t="str">
        <f ca="1">IFERROR(__xludf.DUMMYFUNCTION("""COMPUTED_VALUE"""),"Before School")</f>
        <v>Before School</v>
      </c>
      <c r="W1885" s="10">
        <f ca="1">IFERROR(__xludf.DUMMYFUNCTION("""COMPUTED_VALUE"""),0.301388888888888)</f>
        <v>0.30138888888888798</v>
      </c>
      <c r="X1885" s="5">
        <f ca="1">IFERROR(__xludf.DUMMYFUNCTION("""COMPUTED_VALUE"""),1)</f>
        <v>1</v>
      </c>
      <c r="Y1885" s="5" t="str">
        <f ca="1">IFERROR(__xludf.DUMMYFUNCTION("""COMPUTED_VALUE"""),"Accidental while showing off gun")</f>
        <v>Accidental while showing off gun</v>
      </c>
      <c r="Z1885" s="5" t="str">
        <f ca="1">IFERROR(__xludf.DUMMYFUNCTION("""COMPUTED_VALUE"""),"Shooter had purchased the handgun from a friend. He was showing it off on the school bus when it accidentally discharged hitting another student in the leg. Shooter fled the bus and threw the gun in the sewer.")</f>
        <v>Shooter had purchased the handgun from a friend. He was showing it off on the school bus when it accidentally discharged hitting another student in the leg. Shooter fled the bus and threw the gun in the sewer.</v>
      </c>
      <c r="AA1885" s="5" t="str">
        <f ca="1">IFERROR(__xludf.DUMMYFUNCTION("""COMPUTED_VALUE"""),"Accidental")</f>
        <v>Accidental</v>
      </c>
      <c r="AB1885" s="5" t="str">
        <f ca="1">IFERROR(__xludf.DUMMYFUNCTION("""COMPUTED_VALUE"""),"Random Shooting")</f>
        <v>Random Shooting</v>
      </c>
      <c r="AC1885" s="5" t="str">
        <f ca="1">IFERROR(__xludf.DUMMYFUNCTION("""COMPUTED_VALUE"""),"No")</f>
        <v>No</v>
      </c>
      <c r="AD1885" s="5" t="str">
        <f ca="1">IFERROR(__xludf.DUMMYFUNCTION("""COMPUTED_VALUE"""),"No")</f>
        <v>No</v>
      </c>
      <c r="AE1885" s="5" t="str">
        <f ca="1">IFERROR(__xludf.DUMMYFUNCTION("""COMPUTED_VALUE"""),"No")</f>
        <v>No</v>
      </c>
      <c r="AF1885" s="5" t="str">
        <f ca="1">IFERROR(__xludf.DUMMYFUNCTION("""COMPUTED_VALUE"""),"No")</f>
        <v>No</v>
      </c>
      <c r="AG1885" s="5" t="str">
        <f ca="1">IFERROR(__xludf.DUMMYFUNCTION("""COMPUTED_VALUE"""),"No")</f>
        <v>No</v>
      </c>
      <c r="AH1885" s="5" t="str">
        <f ca="1">IFERROR(__xludf.DUMMYFUNCTION("""COMPUTED_VALUE"""),"No")</f>
        <v>No</v>
      </c>
      <c r="AI1885" s="5" t="str">
        <f ca="1">IFERROR(__xludf.DUMMYFUNCTION("""COMPUTED_VALUE"""),"No")</f>
        <v>No</v>
      </c>
      <c r="AJ1885" s="5"/>
    </row>
    <row r="1886" spans="1:36" ht="13">
      <c r="A1886" s="5" t="str">
        <f ca="1">IFERROR(__xludf.DUMMYFUNCTION("""COMPUTED_VALUE"""),"19910918TXCRC")</f>
        <v>19910918TXCRC</v>
      </c>
      <c r="B1886" s="5">
        <f ca="1">IFERROR(__xludf.DUMMYFUNCTION("""COMPUTED_VALUE"""),9)</f>
        <v>9</v>
      </c>
      <c r="C1886" s="5">
        <f ca="1">IFERROR(__xludf.DUMMYFUNCTION("""COMPUTED_VALUE"""),18)</f>
        <v>18</v>
      </c>
      <c r="D1886" s="5">
        <f ca="1">IFERROR(__xludf.DUMMYFUNCTION("""COMPUTED_VALUE"""),1991)</f>
        <v>1991</v>
      </c>
      <c r="E1886" s="8">
        <f ca="1">IFERROR(__xludf.DUMMYFUNCTION("""COMPUTED_VALUE"""),33499)</f>
        <v>33499</v>
      </c>
      <c r="F1886" s="5" t="str">
        <f ca="1">IFERROR(__xludf.DUMMYFUNCTION("""COMPUTED_VALUE"""),"Crosby High School")</f>
        <v>Crosby High School</v>
      </c>
      <c r="G1886" s="5">
        <f ca="1">IFERROR(__xludf.DUMMYFUNCTION("""COMPUTED_VALUE"""),1)</f>
        <v>1</v>
      </c>
      <c r="H1886" s="5">
        <f ca="1">IFERROR(__xludf.DUMMYFUNCTION("""COMPUTED_VALUE"""),0)</f>
        <v>0</v>
      </c>
      <c r="I1886" s="5">
        <f ca="1">IFERROR(__xludf.DUMMYFUNCTION("""COMPUTED_VALUE"""),1)</f>
        <v>1</v>
      </c>
      <c r="J1886" s="5">
        <f ca="1">IFERROR(__xludf.DUMMYFUNCTION("""COMPUTED_VALUE"""),0)</f>
        <v>0</v>
      </c>
      <c r="K1886" s="5" t="str">
        <f ca="1">IFERROR(__xludf.DUMMYFUNCTION("""COMPUTED_VALUE"""),"http://www.newsweek.com/its-not-just-new-york-195928  https://www.newspapers.com/image/193007719/?terms=CROSBY%2BHIGH%2BSCHOOL%2BSHOOTING   https://www.newspapers.com/image/425008822/?terms=lakeeta%2Bcadoree      https://www.newspapers.com/image/453814080"&amp;"/?terms=CROSBY%2BHIGH%2BSCHOOL%2BSHOOTING https://www.newspapers.com/image/9453361/?terms=lakeeta%2Bcadoree   https://www.newspapers.com/image/16810191/?terms=lakeeta%2Bcadoree")</f>
        <v>http://www.newsweek.com/its-not-just-new-york-195928  https://www.newspapers.com/image/193007719/?terms=CROSBY%2BHIGH%2BSCHOOL%2BSHOOTING   https://www.newspapers.com/image/425008822/?terms=lakeeta%2Bcadoree      https://www.newspapers.com/image/453814080/?terms=CROSBY%2BHIGH%2BSCHOOL%2BSHOOTING https://www.newspapers.com/image/9453361/?terms=lakeeta%2Bcadoree   https://www.newspapers.com/image/16810191/?terms=lakeeta%2Bcadoree</v>
      </c>
      <c r="L1886" s="5"/>
      <c r="M1886" s="5"/>
      <c r="N1886" s="5">
        <f ca="1">IFERROR(__xludf.DUMMYFUNCTION("""COMPUTED_VALUE"""),3)</f>
        <v>3</v>
      </c>
      <c r="O1886" s="5" t="str">
        <f ca="1">IFERROR(__xludf.DUMMYFUNCTION("""COMPUTED_VALUE"""),"Fall")</f>
        <v>Fall</v>
      </c>
      <c r="P1886" s="5" t="str">
        <f ca="1">IFERROR(__xludf.DUMMYFUNCTION("""COMPUTED_VALUE"""),"Crosby")</f>
        <v>Crosby</v>
      </c>
      <c r="Q1886" s="5" t="str">
        <f ca="1">IFERROR(__xludf.DUMMYFUNCTION("""COMPUTED_VALUE"""),"TX")</f>
        <v>TX</v>
      </c>
      <c r="R1886" s="5" t="str">
        <f ca="1">IFERROR(__xludf.DUMMYFUNCTION("""COMPUTED_VALUE"""),"High")</f>
        <v>High</v>
      </c>
      <c r="S1886" s="5" t="str">
        <f ca="1">IFERROR(__xludf.DUMMYFUNCTION("""COMPUTED_VALUE"""),"Cafeteria")</f>
        <v>Cafeteria</v>
      </c>
      <c r="T1886" s="5" t="str">
        <f ca="1">IFERROR(__xludf.DUMMYFUNCTION("""COMPUTED_VALUE"""),"Inside School Building")</f>
        <v>Inside School Building</v>
      </c>
      <c r="U1886" s="5" t="str">
        <f ca="1">IFERROR(__xludf.DUMMYFUNCTION("""COMPUTED_VALUE"""),"Yes")</f>
        <v>Yes</v>
      </c>
      <c r="V1886" s="5" t="str">
        <f ca="1">IFERROR(__xludf.DUMMYFUNCTION("""COMPUTED_VALUE"""),"School Start")</f>
        <v>School Start</v>
      </c>
      <c r="W1886" s="5"/>
      <c r="X1886" s="5">
        <f ca="1">IFERROR(__xludf.DUMMYFUNCTION("""COMPUTED_VALUE"""),1)</f>
        <v>1</v>
      </c>
      <c r="Y1886" s="5" t="str">
        <f ca="1">IFERROR(__xludf.DUMMYFUNCTION("""COMPUTED_VALUE"""),"Victim insulted shooter in cafeteria")</f>
        <v>Victim insulted shooter in cafeteria</v>
      </c>
      <c r="Z1886" s="5" t="str">
        <f ca="1">IFERROR(__xludf.DUMMYFUNCTION("""COMPUTED_VALUE"""),"Shooter shot victim in cafeteria after she borrowed a gun from a friend. Shooter heard that victim had called her a ""bitch"" a day prior - waved gun at other students after shooting - no one else was injured.")</f>
        <v>Shooter shot victim in cafeteria after she borrowed a gun from a friend. Shooter heard that victim had called her a "bitch" a day prior - waved gun at other students after shooting - no one else was injured.</v>
      </c>
      <c r="AA1886" s="5" t="str">
        <f ca="1">IFERROR(__xludf.DUMMYFUNCTION("""COMPUTED_VALUE"""),"Escalation of Dispute")</f>
        <v>Escalation of Dispute</v>
      </c>
      <c r="AB1886" s="5" t="str">
        <f ca="1">IFERROR(__xludf.DUMMYFUNCTION("""COMPUTED_VALUE"""),"Victims Targeted")</f>
        <v>Victims Targeted</v>
      </c>
      <c r="AC1886" s="5" t="str">
        <f ca="1">IFERROR(__xludf.DUMMYFUNCTION("""COMPUTED_VALUE"""),"No")</f>
        <v>No</v>
      </c>
      <c r="AD1886" s="5" t="str">
        <f ca="1">IFERROR(__xludf.DUMMYFUNCTION("""COMPUTED_VALUE"""),"No")</f>
        <v>No</v>
      </c>
      <c r="AE1886" s="5" t="str">
        <f ca="1">IFERROR(__xludf.DUMMYFUNCTION("""COMPUTED_VALUE"""),"No")</f>
        <v>No</v>
      </c>
      <c r="AF1886" s="5" t="str">
        <f ca="1">IFERROR(__xludf.DUMMYFUNCTION("""COMPUTED_VALUE"""),"No")</f>
        <v>No</v>
      </c>
      <c r="AG1886" s="5" t="str">
        <f ca="1">IFERROR(__xludf.DUMMYFUNCTION("""COMPUTED_VALUE"""),"No")</f>
        <v>No</v>
      </c>
      <c r="AH1886" s="5" t="str">
        <f ca="1">IFERROR(__xludf.DUMMYFUNCTION("""COMPUTED_VALUE"""),"No")</f>
        <v>No</v>
      </c>
      <c r="AI1886" s="5" t="str">
        <f ca="1">IFERROR(__xludf.DUMMYFUNCTION("""COMPUTED_VALUE"""),"No")</f>
        <v>No</v>
      </c>
      <c r="AJ1886" s="5"/>
    </row>
    <row r="1887" spans="1:36" ht="13">
      <c r="A1887" s="5" t="str">
        <f ca="1">IFERROR(__xludf.DUMMYFUNCTION("""COMPUTED_VALUE"""),"19910917ILWOC")</f>
        <v>19910917ILWOC</v>
      </c>
      <c r="B1887" s="5">
        <f ca="1">IFERROR(__xludf.DUMMYFUNCTION("""COMPUTED_VALUE"""),9)</f>
        <v>9</v>
      </c>
      <c r="C1887" s="5">
        <f ca="1">IFERROR(__xludf.DUMMYFUNCTION("""COMPUTED_VALUE"""),17)</f>
        <v>17</v>
      </c>
      <c r="D1887" s="5">
        <f ca="1">IFERROR(__xludf.DUMMYFUNCTION("""COMPUTED_VALUE"""),1991)</f>
        <v>1991</v>
      </c>
      <c r="E1887" s="8">
        <f ca="1">IFERROR(__xludf.DUMMYFUNCTION("""COMPUTED_VALUE"""),33498)</f>
        <v>33498</v>
      </c>
      <c r="F1887" s="5" t="str">
        <f ca="1">IFERROR(__xludf.DUMMYFUNCTION("""COMPUTED_VALUE"""),"Woodson High School")</f>
        <v>Woodson High School</v>
      </c>
      <c r="G1887" s="5">
        <f ca="1">IFERROR(__xludf.DUMMYFUNCTION("""COMPUTED_VALUE"""),0)</f>
        <v>0</v>
      </c>
      <c r="H1887" s="5">
        <f ca="1">IFERROR(__xludf.DUMMYFUNCTION("""COMPUTED_VALUE"""),1)</f>
        <v>1</v>
      </c>
      <c r="I1887" s="5">
        <f ca="1">IFERROR(__xludf.DUMMYFUNCTION("""COMPUTED_VALUE"""),1)</f>
        <v>1</v>
      </c>
      <c r="J1887" s="5">
        <f ca="1">IFERROR(__xludf.DUMMYFUNCTION("""COMPUTED_VALUE"""),0)</f>
        <v>0</v>
      </c>
      <c r="K1887" s="9" t="str">
        <f ca="1">IFERROR(__xludf.DUMMYFUNCTION("""COMPUTED_VALUE"""),"https://www.newspapers.com/image/389496363/?terms=Woodson%2BHigh%2BSchool%2Bshooting")</f>
        <v>https://www.newspapers.com/image/389496363/?terms=Woodson%2BHigh%2BSchool%2Bshooting</v>
      </c>
      <c r="L1887" s="5"/>
      <c r="M1887" s="5"/>
      <c r="N1887" s="5">
        <f ca="1">IFERROR(__xludf.DUMMYFUNCTION("""COMPUTED_VALUE"""),2)</f>
        <v>2</v>
      </c>
      <c r="O1887" s="5" t="str">
        <f ca="1">IFERROR(__xludf.DUMMYFUNCTION("""COMPUTED_VALUE"""),"Fall")</f>
        <v>Fall</v>
      </c>
      <c r="P1887" s="5" t="str">
        <f ca="1">IFERROR(__xludf.DUMMYFUNCTION("""COMPUTED_VALUE"""),"Chicago")</f>
        <v>Chicago</v>
      </c>
      <c r="Q1887" s="5" t="str">
        <f ca="1">IFERROR(__xludf.DUMMYFUNCTION("""COMPUTED_VALUE"""),"IL")</f>
        <v>IL</v>
      </c>
      <c r="R1887" s="5" t="str">
        <f ca="1">IFERROR(__xludf.DUMMYFUNCTION("""COMPUTED_VALUE"""),"High")</f>
        <v>High</v>
      </c>
      <c r="S1887" s="5" t="str">
        <f ca="1">IFERROR(__xludf.DUMMYFUNCTION("""COMPUTED_VALUE"""),"Gym")</f>
        <v>Gym</v>
      </c>
      <c r="T1887" s="5" t="str">
        <f ca="1">IFERROR(__xludf.DUMMYFUNCTION("""COMPUTED_VALUE"""),"Inside School Building")</f>
        <v>Inside School Building</v>
      </c>
      <c r="U1887" s="5" t="str">
        <f ca="1">IFERROR(__xludf.DUMMYFUNCTION("""COMPUTED_VALUE"""),"No")</f>
        <v>No</v>
      </c>
      <c r="V1887" s="5" t="str">
        <f ca="1">IFERROR(__xludf.DUMMYFUNCTION("""COMPUTED_VALUE"""),"After School")</f>
        <v>After School</v>
      </c>
      <c r="W1887" s="10">
        <f ca="1">IFERROR(__xludf.DUMMYFUNCTION("""COMPUTED_VALUE"""),0.708333333333333)</f>
        <v>0.70833333333333304</v>
      </c>
      <c r="X1887" s="5">
        <f ca="1">IFERROR(__xludf.DUMMYFUNCTION("""COMPUTED_VALUE"""),1)</f>
        <v>1</v>
      </c>
      <c r="Y1887" s="5" t="str">
        <f ca="1">IFERROR(__xludf.DUMMYFUNCTION("""COMPUTED_VALUE"""),"Shooter fired crowd during basketball game in retaliation for previous gang shooting")</f>
        <v>Shooter fired crowd during basketball game in retaliation for previous gang shooting</v>
      </c>
      <c r="Z1887" s="5" t="str">
        <f ca="1">IFERROR(__xludf.DUMMYFUNCTION("""COMPUTED_VALUE"""),"Shooter fired random shots at crowd in gym during basketball game in retaliation for prior gang shooting. One student was injured.")</f>
        <v>Shooter fired random shots at crowd in gym during basketball game in retaliation for prior gang shooting. One student was injured.</v>
      </c>
      <c r="AA1887" s="5" t="str">
        <f ca="1">IFERROR(__xludf.DUMMYFUNCTION("""COMPUTED_VALUE"""),"Indiscriminate Shooting")</f>
        <v>Indiscriminate Shooting</v>
      </c>
      <c r="AB1887" s="5" t="str">
        <f ca="1">IFERROR(__xludf.DUMMYFUNCTION("""COMPUTED_VALUE"""),"Random Shooting")</f>
        <v>Random Shooting</v>
      </c>
      <c r="AC1887" s="5" t="str">
        <f ca="1">IFERROR(__xludf.DUMMYFUNCTION("""COMPUTED_VALUE"""),"No")</f>
        <v>No</v>
      </c>
      <c r="AD1887" s="5" t="str">
        <f ca="1">IFERROR(__xludf.DUMMYFUNCTION("""COMPUTED_VALUE"""),"No")</f>
        <v>No</v>
      </c>
      <c r="AE1887" s="5" t="str">
        <f ca="1">IFERROR(__xludf.DUMMYFUNCTION("""COMPUTED_VALUE"""),"No")</f>
        <v>No</v>
      </c>
      <c r="AF1887" s="5" t="str">
        <f ca="1">IFERROR(__xludf.DUMMYFUNCTION("""COMPUTED_VALUE"""),"No")</f>
        <v>No</v>
      </c>
      <c r="AG1887" s="5" t="str">
        <f ca="1">IFERROR(__xludf.DUMMYFUNCTION("""COMPUTED_VALUE"""),"No")</f>
        <v>No</v>
      </c>
      <c r="AH1887" s="5" t="str">
        <f ca="1">IFERROR(__xludf.DUMMYFUNCTION("""COMPUTED_VALUE"""),"No")</f>
        <v>No</v>
      </c>
      <c r="AI1887" s="5" t="str">
        <f ca="1">IFERROR(__xludf.DUMMYFUNCTION("""COMPUTED_VALUE"""),"Yes")</f>
        <v>Yes</v>
      </c>
      <c r="AJ1887" s="5"/>
    </row>
    <row r="1888" spans="1:36" ht="13">
      <c r="A1888" s="5" t="str">
        <f ca="1">IFERROR(__xludf.DUMMYFUNCTION("""COMPUTED_VALUE"""),"19910913TXMAH")</f>
        <v>19910913TXMAH</v>
      </c>
      <c r="B1888" s="5">
        <f ca="1">IFERROR(__xludf.DUMMYFUNCTION("""COMPUTED_VALUE"""),9)</f>
        <v>9</v>
      </c>
      <c r="C1888" s="5">
        <f ca="1">IFERROR(__xludf.DUMMYFUNCTION("""COMPUTED_VALUE"""),13)</f>
        <v>13</v>
      </c>
      <c r="D1888" s="5">
        <f ca="1">IFERROR(__xludf.DUMMYFUNCTION("""COMPUTED_VALUE"""),1991)</f>
        <v>1991</v>
      </c>
      <c r="E1888" s="8">
        <f ca="1">IFERROR(__xludf.DUMMYFUNCTION("""COMPUTED_VALUE"""),33494)</f>
        <v>33494</v>
      </c>
      <c r="F1888" s="5" t="str">
        <f ca="1">IFERROR(__xludf.DUMMYFUNCTION("""COMPUTED_VALUE"""),"Madison High School")</f>
        <v>Madison High School</v>
      </c>
      <c r="G1888" s="5">
        <f ca="1">IFERROR(__xludf.DUMMYFUNCTION("""COMPUTED_VALUE"""),1)</f>
        <v>1</v>
      </c>
      <c r="H1888" s="5">
        <f ca="1">IFERROR(__xludf.DUMMYFUNCTION("""COMPUTED_VALUE"""),0)</f>
        <v>0</v>
      </c>
      <c r="I1888" s="5">
        <f ca="1">IFERROR(__xludf.DUMMYFUNCTION("""COMPUTED_VALUE"""),1)</f>
        <v>1</v>
      </c>
      <c r="J1888" s="5">
        <f ca="1">IFERROR(__xludf.DUMMYFUNCTION("""COMPUTED_VALUE"""),0)</f>
        <v>0</v>
      </c>
      <c r="K1888" s="9" t="str">
        <f ca="1">IFERROR(__xludf.DUMMYFUNCTION("""COMPUTED_VALUE"""),"https://www.newspapers.com/image/300249662/?terms=Madison%2BHigh%2BSchool%2Bshooting%2Bhouston")</f>
        <v>https://www.newspapers.com/image/300249662/?terms=Madison%2BHigh%2BSchool%2Bshooting%2Bhouston</v>
      </c>
      <c r="L1888" s="5"/>
      <c r="M1888" s="5"/>
      <c r="N1888" s="5">
        <f ca="1">IFERROR(__xludf.DUMMYFUNCTION("""COMPUTED_VALUE"""),2)</f>
        <v>2</v>
      </c>
      <c r="O1888" s="5" t="str">
        <f ca="1">IFERROR(__xludf.DUMMYFUNCTION("""COMPUTED_VALUE"""),"Fall")</f>
        <v>Fall</v>
      </c>
      <c r="P1888" s="5" t="str">
        <f ca="1">IFERROR(__xludf.DUMMYFUNCTION("""COMPUTED_VALUE"""),"Houston")</f>
        <v>Houston</v>
      </c>
      <c r="Q1888" s="5" t="str">
        <f ca="1">IFERROR(__xludf.DUMMYFUNCTION("""COMPUTED_VALUE"""),"TX")</f>
        <v>TX</v>
      </c>
      <c r="R1888" s="5" t="str">
        <f ca="1">IFERROR(__xludf.DUMMYFUNCTION("""COMPUTED_VALUE"""),"High")</f>
        <v>High</v>
      </c>
      <c r="S1888" s="5" t="str">
        <f ca="1">IFERROR(__xludf.DUMMYFUNCTION("""COMPUTED_VALUE"""),"Parking Lot")</f>
        <v>Parking Lot</v>
      </c>
      <c r="T1888" s="5" t="str">
        <f ca="1">IFERROR(__xludf.DUMMYFUNCTION("""COMPUTED_VALUE"""),"Outside on School Property")</f>
        <v>Outside on School Property</v>
      </c>
      <c r="U1888" s="5" t="str">
        <f ca="1">IFERROR(__xludf.DUMMYFUNCTION("""COMPUTED_VALUE"""),"No")</f>
        <v>No</v>
      </c>
      <c r="V1888" s="5" t="str">
        <f ca="1">IFERROR(__xludf.DUMMYFUNCTION("""COMPUTED_VALUE"""),"Sport Event")</f>
        <v>Sport Event</v>
      </c>
      <c r="W1888" s="10">
        <f ca="1">IFERROR(__xludf.DUMMYFUNCTION("""COMPUTED_VALUE"""),0.958333333333333)</f>
        <v>0.95833333333333304</v>
      </c>
      <c r="X1888" s="5">
        <f ca="1">IFERROR(__xludf.DUMMYFUNCTION("""COMPUTED_VALUE"""),1)</f>
        <v>1</v>
      </c>
      <c r="Y1888" s="5" t="str">
        <f ca="1">IFERROR(__xludf.DUMMYFUNCTION("""COMPUTED_VALUE"""),"Shots fired during large fighter between rival football teams")</f>
        <v>Shots fired during large fighter between rival football teams</v>
      </c>
      <c r="Z1888" s="5" t="str">
        <f ca="1">IFERROR(__xludf.DUMMYFUNCTION("""COMPUTED_VALUE"""),"Large fight occurred in parking lot after football game between rival schools. 20 gunshots were fired by multiple shooters. Victim was fatally shot in the crossfire.")</f>
        <v>Large fight occurred in parking lot after football game between rival schools. 20 gunshots were fired by multiple shooters. Victim was fatally shot in the crossfire.</v>
      </c>
      <c r="AA1888" s="5" t="str">
        <f ca="1">IFERROR(__xludf.DUMMYFUNCTION("""COMPUTED_VALUE"""),"Escalation of Dispute")</f>
        <v>Escalation of Dispute</v>
      </c>
      <c r="AB1888" s="5" t="str">
        <f ca="1">IFERROR(__xludf.DUMMYFUNCTION("""COMPUTED_VALUE"""),"Random Shooting")</f>
        <v>Random Shooting</v>
      </c>
      <c r="AC1888" s="5" t="str">
        <f ca="1">IFERROR(__xludf.DUMMYFUNCTION("""COMPUTED_VALUE"""),"No")</f>
        <v>No</v>
      </c>
      <c r="AD1888" s="5" t="str">
        <f ca="1">IFERROR(__xludf.DUMMYFUNCTION("""COMPUTED_VALUE"""),"No")</f>
        <v>No</v>
      </c>
      <c r="AE1888" s="5" t="str">
        <f ca="1">IFERROR(__xludf.DUMMYFUNCTION("""COMPUTED_VALUE"""),"No")</f>
        <v>No</v>
      </c>
      <c r="AF1888" s="5" t="str">
        <f ca="1">IFERROR(__xludf.DUMMYFUNCTION("""COMPUTED_VALUE"""),"No")</f>
        <v>No</v>
      </c>
      <c r="AG1888" s="5" t="str">
        <f ca="1">IFERROR(__xludf.DUMMYFUNCTION("""COMPUTED_VALUE"""),"No")</f>
        <v>No</v>
      </c>
      <c r="AH1888" s="5" t="str">
        <f ca="1">IFERROR(__xludf.DUMMYFUNCTION("""COMPUTED_VALUE"""),"No")</f>
        <v>No</v>
      </c>
      <c r="AI1888" s="5" t="str">
        <f ca="1">IFERROR(__xludf.DUMMYFUNCTION("""COMPUTED_VALUE"""),"Yes")</f>
        <v>Yes</v>
      </c>
      <c r="AJ1888" s="5"/>
    </row>
    <row r="1889" spans="1:36" ht="13">
      <c r="A1889" s="5" t="str">
        <f ca="1">IFERROR(__xludf.DUMMYFUNCTION("""COMPUTED_VALUE"""),"19910730CAENC")</f>
        <v>19910730CAENC</v>
      </c>
      <c r="B1889" s="5">
        <f ca="1">IFERROR(__xludf.DUMMYFUNCTION("""COMPUTED_VALUE"""),7)</f>
        <v>7</v>
      </c>
      <c r="C1889" s="5">
        <f ca="1">IFERROR(__xludf.DUMMYFUNCTION("""COMPUTED_VALUE"""),30)</f>
        <v>30</v>
      </c>
      <c r="D1889" s="5">
        <f ca="1">IFERROR(__xludf.DUMMYFUNCTION("""COMPUTED_VALUE"""),1991)</f>
        <v>1991</v>
      </c>
      <c r="E1889" s="8">
        <f ca="1">IFERROR(__xludf.DUMMYFUNCTION("""COMPUTED_VALUE"""),33449)</f>
        <v>33449</v>
      </c>
      <c r="F1889" s="5" t="str">
        <f ca="1">IFERROR(__xludf.DUMMYFUNCTION("""COMPUTED_VALUE"""),"Enterprise Middle School")</f>
        <v>Enterprise Middle School</v>
      </c>
      <c r="G1889" s="5">
        <f ca="1">IFERROR(__xludf.DUMMYFUNCTION("""COMPUTED_VALUE"""),0)</f>
        <v>0</v>
      </c>
      <c r="H1889" s="5">
        <f ca="1">IFERROR(__xludf.DUMMYFUNCTION("""COMPUTED_VALUE"""),1)</f>
        <v>1</v>
      </c>
      <c r="I1889" s="5">
        <f ca="1">IFERROR(__xludf.DUMMYFUNCTION("""COMPUTED_VALUE"""),1)</f>
        <v>1</v>
      </c>
      <c r="J1889" s="5">
        <f ca="1">IFERROR(__xludf.DUMMYFUNCTION("""COMPUTED_VALUE"""),0)</f>
        <v>0</v>
      </c>
      <c r="K1889" s="9" t="str">
        <f ca="1">IFERROR(__xludf.DUMMYFUNCTION("""COMPUTED_VALUE"""),"https://www.newspapers.com/image/176991255/?terms=Enterprise%2BMiddle%2BSchool%2Bshot%2Bcompton")</f>
        <v>https://www.newspapers.com/image/176991255/?terms=Enterprise%2BMiddle%2BSchool%2Bshot%2Bcompton</v>
      </c>
      <c r="L1889" s="5"/>
      <c r="M1889" s="5"/>
      <c r="N1889" s="5">
        <f ca="1">IFERROR(__xludf.DUMMYFUNCTION("""COMPUTED_VALUE"""),2)</f>
        <v>2</v>
      </c>
      <c r="O1889" s="5" t="str">
        <f ca="1">IFERROR(__xludf.DUMMYFUNCTION("""COMPUTED_VALUE"""),"Summer")</f>
        <v>Summer</v>
      </c>
      <c r="P1889" s="5" t="str">
        <f ca="1">IFERROR(__xludf.DUMMYFUNCTION("""COMPUTED_VALUE"""),"Compton")</f>
        <v>Compton</v>
      </c>
      <c r="Q1889" s="5" t="str">
        <f ca="1">IFERROR(__xludf.DUMMYFUNCTION("""COMPUTED_VALUE"""),"CA")</f>
        <v>CA</v>
      </c>
      <c r="R1889" s="5" t="str">
        <f ca="1">IFERROR(__xludf.DUMMYFUNCTION("""COMPUTED_VALUE"""),"Middle")</f>
        <v>Middle</v>
      </c>
      <c r="S1889" s="5" t="str">
        <f ca="1">IFERROR(__xludf.DUMMYFUNCTION("""COMPUTED_VALUE"""),"Hallway")</f>
        <v>Hallway</v>
      </c>
      <c r="T1889" s="5" t="str">
        <f ca="1">IFERROR(__xludf.DUMMYFUNCTION("""COMPUTED_VALUE"""),"Inside School Building")</f>
        <v>Inside School Building</v>
      </c>
      <c r="U1889" s="5" t="str">
        <f ca="1">IFERROR(__xludf.DUMMYFUNCTION("""COMPUTED_VALUE"""),"Yes")</f>
        <v>Yes</v>
      </c>
      <c r="V1889" s="5" t="str">
        <f ca="1">IFERROR(__xludf.DUMMYFUNCTION("""COMPUTED_VALUE"""),"Afternoon Classes")</f>
        <v>Afternoon Classes</v>
      </c>
      <c r="W1889" s="5"/>
      <c r="X1889" s="5">
        <f ca="1">IFERROR(__xludf.DUMMYFUNCTION("""COMPUTED_VALUE"""),1)</f>
        <v>1</v>
      </c>
      <c r="Y1889" s="5" t="str">
        <f ca="1">IFERROR(__xludf.DUMMYFUNCTION("""COMPUTED_VALUE"""),"Victim was beat and shot by two gang members in school")</f>
        <v>Victim was beat and shot by two gang members in school</v>
      </c>
      <c r="Z1889" s="5" t="str">
        <f ca="1">IFERROR(__xludf.DUMMYFUNCTION("""COMPUTED_VALUE"""),"Victim and friend were challenge by two gang members to a fight. Victim was shot in the leg during the fight.")</f>
        <v>Victim and friend were challenge by two gang members to a fight. Victim was shot in the leg during the fight.</v>
      </c>
      <c r="AA1889" s="5" t="str">
        <f ca="1">IFERROR(__xludf.DUMMYFUNCTION("""COMPUTED_VALUE"""),"Escalation of Dispute")</f>
        <v>Escalation of Dispute</v>
      </c>
      <c r="AB1889" s="5" t="str">
        <f ca="1">IFERROR(__xludf.DUMMYFUNCTION("""COMPUTED_VALUE"""),"Victims Targeted")</f>
        <v>Victims Targeted</v>
      </c>
      <c r="AC1889" s="5" t="str">
        <f ca="1">IFERROR(__xludf.DUMMYFUNCTION("""COMPUTED_VALUE"""),"No")</f>
        <v>No</v>
      </c>
      <c r="AD1889" s="5" t="str">
        <f ca="1">IFERROR(__xludf.DUMMYFUNCTION("""COMPUTED_VALUE"""),"No")</f>
        <v>No</v>
      </c>
      <c r="AE1889" s="5" t="str">
        <f ca="1">IFERROR(__xludf.DUMMYFUNCTION("""COMPUTED_VALUE"""),"No")</f>
        <v>No</v>
      </c>
      <c r="AF1889" s="5" t="str">
        <f ca="1">IFERROR(__xludf.DUMMYFUNCTION("""COMPUTED_VALUE"""),"No")</f>
        <v>No</v>
      </c>
      <c r="AG1889" s="5" t="str">
        <f ca="1">IFERROR(__xludf.DUMMYFUNCTION("""COMPUTED_VALUE"""),"No")</f>
        <v>No</v>
      </c>
      <c r="AH1889" s="5" t="str">
        <f ca="1">IFERROR(__xludf.DUMMYFUNCTION("""COMPUTED_VALUE"""),"No")</f>
        <v>No</v>
      </c>
      <c r="AI1889" s="5" t="str">
        <f ca="1">IFERROR(__xludf.DUMMYFUNCTION("""COMPUTED_VALUE"""),"Yes")</f>
        <v>Yes</v>
      </c>
      <c r="AJ1889" s="5"/>
    </row>
    <row r="1890" spans="1:36" ht="13">
      <c r="A1890" s="5" t="str">
        <f ca="1">IFERROR(__xludf.DUMMYFUNCTION("""COMPUTED_VALUE"""),"19910722CAWEL")</f>
        <v>19910722CAWEL</v>
      </c>
      <c r="B1890" s="5">
        <f ca="1">IFERROR(__xludf.DUMMYFUNCTION("""COMPUTED_VALUE"""),7)</f>
        <v>7</v>
      </c>
      <c r="C1890" s="5">
        <f ca="1">IFERROR(__xludf.DUMMYFUNCTION("""COMPUTED_VALUE"""),22)</f>
        <v>22</v>
      </c>
      <c r="D1890" s="5">
        <f ca="1">IFERROR(__xludf.DUMMYFUNCTION("""COMPUTED_VALUE"""),1991)</f>
        <v>1991</v>
      </c>
      <c r="E1890" s="8">
        <f ca="1">IFERROR(__xludf.DUMMYFUNCTION("""COMPUTED_VALUE"""),33441)</f>
        <v>33441</v>
      </c>
      <c r="F1890" s="5" t="str">
        <f ca="1">IFERROR(__xludf.DUMMYFUNCTION("""COMPUTED_VALUE"""),"Westchester High School")</f>
        <v>Westchester High School</v>
      </c>
      <c r="G1890" s="5">
        <f ca="1">IFERROR(__xludf.DUMMYFUNCTION("""COMPUTED_VALUE"""),0)</f>
        <v>0</v>
      </c>
      <c r="H1890" s="5">
        <f ca="1">IFERROR(__xludf.DUMMYFUNCTION("""COMPUTED_VALUE"""),1)</f>
        <v>1</v>
      </c>
      <c r="I1890" s="5">
        <f ca="1">IFERROR(__xludf.DUMMYFUNCTION("""COMPUTED_VALUE"""),1)</f>
        <v>1</v>
      </c>
      <c r="J1890" s="5">
        <f ca="1">IFERROR(__xludf.DUMMYFUNCTION("""COMPUTED_VALUE"""),0)</f>
        <v>0</v>
      </c>
      <c r="K1890" s="9" t="str">
        <f ca="1">IFERROR(__xludf.DUMMYFUNCTION("""COMPUTED_VALUE"""),"https://www.newspapers.com/image/176655612/?terms=Westchester%2BHigh%2BSchool%2Bshooting")</f>
        <v>https://www.newspapers.com/image/176655612/?terms=Westchester%2BHigh%2BSchool%2Bshooting</v>
      </c>
      <c r="L1890" s="5"/>
      <c r="M1890" s="5"/>
      <c r="N1890" s="5">
        <f ca="1">IFERROR(__xludf.DUMMYFUNCTION("""COMPUTED_VALUE"""),2)</f>
        <v>2</v>
      </c>
      <c r="O1890" s="5" t="str">
        <f ca="1">IFERROR(__xludf.DUMMYFUNCTION("""COMPUTED_VALUE"""),"Summer")</f>
        <v>Summer</v>
      </c>
      <c r="P1890" s="5" t="str">
        <f ca="1">IFERROR(__xludf.DUMMYFUNCTION("""COMPUTED_VALUE"""),"Los Angeles")</f>
        <v>Los Angeles</v>
      </c>
      <c r="Q1890" s="5" t="str">
        <f ca="1">IFERROR(__xludf.DUMMYFUNCTION("""COMPUTED_VALUE"""),"CA")</f>
        <v>CA</v>
      </c>
      <c r="R1890" s="5" t="str">
        <f ca="1">IFERROR(__xludf.DUMMYFUNCTION("""COMPUTED_VALUE"""),"High")</f>
        <v>High</v>
      </c>
      <c r="S1890" s="5" t="str">
        <f ca="1">IFERROR(__xludf.DUMMYFUNCTION("""COMPUTED_VALUE"""),"Front of School")</f>
        <v>Front of School</v>
      </c>
      <c r="T1890" s="5" t="str">
        <f ca="1">IFERROR(__xludf.DUMMYFUNCTION("""COMPUTED_VALUE"""),"Outside on School Property")</f>
        <v>Outside on School Property</v>
      </c>
      <c r="U1890" s="5" t="str">
        <f ca="1">IFERROR(__xludf.DUMMYFUNCTION("""COMPUTED_VALUE"""),"Yes")</f>
        <v>Yes</v>
      </c>
      <c r="V1890" s="5" t="str">
        <f ca="1">IFERROR(__xludf.DUMMYFUNCTION("""COMPUTED_VALUE"""),"Morning Classes")</f>
        <v>Morning Classes</v>
      </c>
      <c r="W1890" s="10">
        <f ca="1">IFERROR(__xludf.DUMMYFUNCTION("""COMPUTED_VALUE"""),0.4375)</f>
        <v>0.4375</v>
      </c>
      <c r="X1890" s="5">
        <f ca="1">IFERROR(__xludf.DUMMYFUNCTION("""COMPUTED_VALUE"""),1)</f>
        <v>1</v>
      </c>
      <c r="Y1890" s="5" t="str">
        <f ca="1">IFERROR(__xludf.DUMMYFUNCTION("""COMPUTED_VALUE"""),"Gang members shot a student outside of school")</f>
        <v>Gang members shot a student outside of school</v>
      </c>
      <c r="Z1890" s="5" t="str">
        <f ca="1">IFERROR(__xludf.DUMMYFUNCTION("""COMPUTED_VALUE"""),"Student was standing outside of school. Car pulled up and student walked over to talk with driver/passenger. Someone in the car pulled a gun and shot the student. Police said the shooting was gang related.")</f>
        <v>Student was standing outside of school. Car pulled up and student walked over to talk with driver/passenger. Someone in the car pulled a gun and shot the student. Police said the shooting was gang related.</v>
      </c>
      <c r="AA1890" s="5" t="str">
        <f ca="1">IFERROR(__xludf.DUMMYFUNCTION("""COMPUTED_VALUE"""),"Drive-by Shooting")</f>
        <v>Drive-by Shooting</v>
      </c>
      <c r="AB1890" s="5" t="str">
        <f ca="1">IFERROR(__xludf.DUMMYFUNCTION("""COMPUTED_VALUE"""),"Victims Targeted")</f>
        <v>Victims Targeted</v>
      </c>
      <c r="AC1890" s="5" t="str">
        <f ca="1">IFERROR(__xludf.DUMMYFUNCTION("""COMPUTED_VALUE"""),"No")</f>
        <v>No</v>
      </c>
      <c r="AD1890" s="5" t="str">
        <f ca="1">IFERROR(__xludf.DUMMYFUNCTION("""COMPUTED_VALUE"""),"No")</f>
        <v>No</v>
      </c>
      <c r="AE1890" s="5" t="str">
        <f ca="1">IFERROR(__xludf.DUMMYFUNCTION("""COMPUTED_VALUE"""),"No")</f>
        <v>No</v>
      </c>
      <c r="AF1890" s="5" t="str">
        <f ca="1">IFERROR(__xludf.DUMMYFUNCTION("""COMPUTED_VALUE"""),"No")</f>
        <v>No</v>
      </c>
      <c r="AG1890" s="5" t="str">
        <f ca="1">IFERROR(__xludf.DUMMYFUNCTION("""COMPUTED_VALUE"""),"No")</f>
        <v>No</v>
      </c>
      <c r="AH1890" s="5" t="str">
        <f ca="1">IFERROR(__xludf.DUMMYFUNCTION("""COMPUTED_VALUE"""),"No")</f>
        <v>No</v>
      </c>
      <c r="AI1890" s="5" t="str">
        <f ca="1">IFERROR(__xludf.DUMMYFUNCTION("""COMPUTED_VALUE"""),"Yes")</f>
        <v>Yes</v>
      </c>
      <c r="AJ1890" s="5"/>
    </row>
    <row r="1891" spans="1:36" ht="13">
      <c r="A1891" s="5" t="str">
        <f ca="1">IFERROR(__xludf.DUMMYFUNCTION("""COMPUTED_VALUE"""),"19910521CAROS")</f>
        <v>19910521CAROS</v>
      </c>
      <c r="B1891" s="5">
        <f ca="1">IFERROR(__xludf.DUMMYFUNCTION("""COMPUTED_VALUE"""),5)</f>
        <v>5</v>
      </c>
      <c r="C1891" s="5">
        <f ca="1">IFERROR(__xludf.DUMMYFUNCTION("""COMPUTED_VALUE"""),21)</f>
        <v>21</v>
      </c>
      <c r="D1891" s="5">
        <f ca="1">IFERROR(__xludf.DUMMYFUNCTION("""COMPUTED_VALUE"""),1991)</f>
        <v>1991</v>
      </c>
      <c r="E1891" s="8">
        <f ca="1">IFERROR(__xludf.DUMMYFUNCTION("""COMPUTED_VALUE"""),33379)</f>
        <v>33379</v>
      </c>
      <c r="F1891" s="5" t="str">
        <f ca="1">IFERROR(__xludf.DUMMYFUNCTION("""COMPUTED_VALUE"""),"Robert A. Millikan Junior High School")</f>
        <v>Robert A. Millikan Junior High School</v>
      </c>
      <c r="G1891" s="5">
        <f ca="1">IFERROR(__xludf.DUMMYFUNCTION("""COMPUTED_VALUE"""),1)</f>
        <v>1</v>
      </c>
      <c r="H1891" s="5">
        <f ca="1">IFERROR(__xludf.DUMMYFUNCTION("""COMPUTED_VALUE"""),0)</f>
        <v>0</v>
      </c>
      <c r="I1891" s="5">
        <f ca="1">IFERROR(__xludf.DUMMYFUNCTION("""COMPUTED_VALUE"""),1)</f>
        <v>1</v>
      </c>
      <c r="J1891" s="5">
        <f ca="1">IFERROR(__xludf.DUMMYFUNCTION("""COMPUTED_VALUE"""),0)</f>
        <v>0</v>
      </c>
      <c r="K1891" s="9" t="str">
        <f ca="1">IFERROR(__xludf.DUMMYFUNCTION("""COMPUTED_VALUE"""),"https://www.newspapers.com/image/176951271/?terms=Robert%2BA.%2BMillikan%2BJunior%2BHigh%2BSchool%2Bshooting")</f>
        <v>https://www.newspapers.com/image/176951271/?terms=Robert%2BA.%2BMillikan%2BJunior%2BHigh%2BSchool%2Bshooting</v>
      </c>
      <c r="L1891" s="5"/>
      <c r="M1891" s="5"/>
      <c r="N1891" s="5">
        <f ca="1">IFERROR(__xludf.DUMMYFUNCTION("""COMPUTED_VALUE"""),2)</f>
        <v>2</v>
      </c>
      <c r="O1891" s="5" t="str">
        <f ca="1">IFERROR(__xludf.DUMMYFUNCTION("""COMPUTED_VALUE"""),"Spring")</f>
        <v>Spring</v>
      </c>
      <c r="P1891" s="5" t="str">
        <f ca="1">IFERROR(__xludf.DUMMYFUNCTION("""COMPUTED_VALUE"""),"Sherman Oaks")</f>
        <v>Sherman Oaks</v>
      </c>
      <c r="Q1891" s="5" t="str">
        <f ca="1">IFERROR(__xludf.DUMMYFUNCTION("""COMPUTED_VALUE"""),"CA")</f>
        <v>CA</v>
      </c>
      <c r="R1891" s="5" t="str">
        <f ca="1">IFERROR(__xludf.DUMMYFUNCTION("""COMPUTED_VALUE"""),"Junior High")</f>
        <v>Junior High</v>
      </c>
      <c r="S1891" s="5" t="str">
        <f ca="1">IFERROR(__xludf.DUMMYFUNCTION("""COMPUTED_VALUE"""),"Front of School")</f>
        <v>Front of School</v>
      </c>
      <c r="T1891" s="5" t="str">
        <f ca="1">IFERROR(__xludf.DUMMYFUNCTION("""COMPUTED_VALUE"""),"Outside on School Property")</f>
        <v>Outside on School Property</v>
      </c>
      <c r="U1891" s="5" t="str">
        <f ca="1">IFERROR(__xludf.DUMMYFUNCTION("""COMPUTED_VALUE"""),"No")</f>
        <v>No</v>
      </c>
      <c r="V1891" s="5" t="str">
        <f ca="1">IFERROR(__xludf.DUMMYFUNCTION("""COMPUTED_VALUE"""),"After School")</f>
        <v>After School</v>
      </c>
      <c r="W1891" s="5"/>
      <c r="X1891" s="5">
        <f ca="1">IFERROR(__xludf.DUMMYFUNCTION("""COMPUTED_VALUE"""),1)</f>
        <v>1</v>
      </c>
      <c r="Y1891" s="5" t="str">
        <f ca="1">IFERROR(__xludf.DUMMYFUNCTION("""COMPUTED_VALUE"""),"Victim flashed gang signs at a male in a van outside of school, shooter fired multiple shots killing him")</f>
        <v>Victim flashed gang signs at a male in a van outside of school, shooter fired multiple shots killing him</v>
      </c>
      <c r="Z1891" s="5" t="str">
        <f ca="1">IFERROR(__xludf.DUMMYFUNCTION("""COMPUTED_VALUE"""),"Student outside of school flashed gang signs at the driver of a van. The van driver was a rival gang members and shot the student to death then drove away.")</f>
        <v>Student outside of school flashed gang signs at the driver of a van. The van driver was a rival gang members and shot the student to death then drove away.</v>
      </c>
      <c r="AA1891" s="5" t="str">
        <f ca="1">IFERROR(__xludf.DUMMYFUNCTION("""COMPUTED_VALUE"""),"Drive-by Shooting")</f>
        <v>Drive-by Shooting</v>
      </c>
      <c r="AB1891" s="5" t="str">
        <f ca="1">IFERROR(__xludf.DUMMYFUNCTION("""COMPUTED_VALUE"""),"Victims Targeted")</f>
        <v>Victims Targeted</v>
      </c>
      <c r="AC1891" s="5" t="str">
        <f ca="1">IFERROR(__xludf.DUMMYFUNCTION("""COMPUTED_VALUE"""),"No")</f>
        <v>No</v>
      </c>
      <c r="AD1891" s="5" t="str">
        <f ca="1">IFERROR(__xludf.DUMMYFUNCTION("""COMPUTED_VALUE"""),"No")</f>
        <v>No</v>
      </c>
      <c r="AE1891" s="5" t="str">
        <f ca="1">IFERROR(__xludf.DUMMYFUNCTION("""COMPUTED_VALUE"""),"No")</f>
        <v>No</v>
      </c>
      <c r="AF1891" s="5" t="str">
        <f ca="1">IFERROR(__xludf.DUMMYFUNCTION("""COMPUTED_VALUE"""),"No")</f>
        <v>No</v>
      </c>
      <c r="AG1891" s="5" t="str">
        <f ca="1">IFERROR(__xludf.DUMMYFUNCTION("""COMPUTED_VALUE"""),"No")</f>
        <v>No</v>
      </c>
      <c r="AH1891" s="5" t="str">
        <f ca="1">IFERROR(__xludf.DUMMYFUNCTION("""COMPUTED_VALUE"""),"No")</f>
        <v>No</v>
      </c>
      <c r="AI1891" s="5" t="str">
        <f ca="1">IFERROR(__xludf.DUMMYFUNCTION("""COMPUTED_VALUE"""),"Yes")</f>
        <v>Yes</v>
      </c>
      <c r="AJ1891" s="5"/>
    </row>
    <row r="1892" spans="1:36" ht="13">
      <c r="A1892" s="5" t="str">
        <f ca="1">IFERROR(__xludf.DUMMYFUNCTION("""COMPUTED_VALUE"""),"19910521FLSCP")</f>
        <v>19910521FLSCP</v>
      </c>
      <c r="B1892" s="5">
        <f ca="1">IFERROR(__xludf.DUMMYFUNCTION("""COMPUTED_VALUE"""),5)</f>
        <v>5</v>
      </c>
      <c r="C1892" s="5">
        <f ca="1">IFERROR(__xludf.DUMMYFUNCTION("""COMPUTED_VALUE"""),21)</f>
        <v>21</v>
      </c>
      <c r="D1892" s="5">
        <f ca="1">IFERROR(__xludf.DUMMYFUNCTION("""COMPUTED_VALUE"""),1991)</f>
        <v>1991</v>
      </c>
      <c r="E1892" s="8">
        <f ca="1">IFERROR(__xludf.DUMMYFUNCTION("""COMPUTED_VALUE"""),33379)</f>
        <v>33379</v>
      </c>
      <c r="F1892" s="5" t="str">
        <f ca="1">IFERROR(__xludf.DUMMYFUNCTION("""COMPUTED_VALUE"""),"School of Choice")</f>
        <v>School of Choice</v>
      </c>
      <c r="G1892" s="5">
        <f ca="1">IFERROR(__xludf.DUMMYFUNCTION("""COMPUTED_VALUE"""),1)</f>
        <v>1</v>
      </c>
      <c r="H1892" s="5">
        <f ca="1">IFERROR(__xludf.DUMMYFUNCTION("""COMPUTED_VALUE"""),2)</f>
        <v>2</v>
      </c>
      <c r="I1892" s="5">
        <f ca="1">IFERROR(__xludf.DUMMYFUNCTION("""COMPUTED_VALUE"""),3)</f>
        <v>3</v>
      </c>
      <c r="J1892" s="5">
        <f ca="1">IFERROR(__xludf.DUMMYFUNCTION("""COMPUTED_VALUE"""),0)</f>
        <v>0</v>
      </c>
      <c r="K1892" s="5" t="str">
        <f ca="1">IFERROR(__xludf.DUMMYFUNCTION("""COMPUTED_VALUE"""),"https://www.sun-sentinel.com/news/fl-xpm-1991-05-21-9102270896-story.html https://www.sun-sentinel.com/news/fl-xpm-1997-01-28-9701280066-story.html")</f>
        <v>https://www.sun-sentinel.com/news/fl-xpm-1991-05-21-9102270896-story.html https://www.sun-sentinel.com/news/fl-xpm-1997-01-28-9701280066-story.html</v>
      </c>
      <c r="L1892" s="5"/>
      <c r="M1892" s="5"/>
      <c r="N1892" s="5">
        <f ca="1">IFERROR(__xludf.DUMMYFUNCTION("""COMPUTED_VALUE"""),3)</f>
        <v>3</v>
      </c>
      <c r="O1892" s="5" t="str">
        <f ca="1">IFERROR(__xludf.DUMMYFUNCTION("""COMPUTED_VALUE"""),"Spring")</f>
        <v>Spring</v>
      </c>
      <c r="P1892" s="5" t="str">
        <f ca="1">IFERROR(__xludf.DUMMYFUNCTION("""COMPUTED_VALUE"""),"Pahokee")</f>
        <v>Pahokee</v>
      </c>
      <c r="Q1892" s="5" t="str">
        <f ca="1">IFERROR(__xludf.DUMMYFUNCTION("""COMPUTED_VALUE"""),"FL")</f>
        <v>FL</v>
      </c>
      <c r="R1892" s="5" t="str">
        <f ca="1">IFERROR(__xludf.DUMMYFUNCTION("""COMPUTED_VALUE"""),"Unknown")</f>
        <v>Unknown</v>
      </c>
      <c r="S1892" s="5" t="str">
        <f ca="1">IFERROR(__xludf.DUMMYFUNCTION("""COMPUTED_VALUE"""),"Beside Building")</f>
        <v>Beside Building</v>
      </c>
      <c r="T1892" s="5" t="str">
        <f ca="1">IFERROR(__xludf.DUMMYFUNCTION("""COMPUTED_VALUE"""),"Outside on School Property")</f>
        <v>Outside on School Property</v>
      </c>
      <c r="U1892" s="5" t="str">
        <f ca="1">IFERROR(__xludf.DUMMYFUNCTION("""COMPUTED_VALUE"""),"Yes")</f>
        <v>Yes</v>
      </c>
      <c r="V1892" s="5" t="str">
        <f ca="1">IFERROR(__xludf.DUMMYFUNCTION("""COMPUTED_VALUE"""),"Morning Classes")</f>
        <v>Morning Classes</v>
      </c>
      <c r="W1892" s="10">
        <f ca="1">IFERROR(__xludf.DUMMYFUNCTION("""COMPUTED_VALUE"""),0.4375)</f>
        <v>0.4375</v>
      </c>
      <c r="X1892" s="5">
        <f ca="1">IFERROR(__xludf.DUMMYFUNCTION("""COMPUTED_VALUE"""),1)</f>
        <v>1</v>
      </c>
      <c r="Y1892" s="5" t="str">
        <f ca="1">IFERROR(__xludf.DUMMYFUNCTION("""COMPUTED_VALUE"""),"Three students shot following fight the prior night")</f>
        <v>Three students shot following fight the prior night</v>
      </c>
      <c r="Z1892" s="5" t="str">
        <f ca="1">IFERROR(__xludf.DUMMYFUNCTION("""COMPUTED_VALUE"""),"A 15 year-old female student and two other male students were shot outside of the school by an 18 year-old male student. The shooter was subdued by teachers and school security guards while trying to reload the handgun. The incident was part of an ongoing"&amp;" dispute and started when the shooter challenged another student to a fight. 30 students were in the area at the time of the shooting. The school is for students who have dropped out of traditional schools.")</f>
        <v>A 15 year-old female student and two other male students were shot outside of the school by an 18 year-old male student. The shooter was subdued by teachers and school security guards while trying to reload the handgun. The incident was part of an ongoing dispute and started when the shooter challenged another student to a fight. 30 students were in the area at the time of the shooting. The school is for students who have dropped out of traditional schools.</v>
      </c>
      <c r="AA1892" s="5" t="str">
        <f ca="1">IFERROR(__xludf.DUMMYFUNCTION("""COMPUTED_VALUE"""),"Escalation of Dispute")</f>
        <v>Escalation of Dispute</v>
      </c>
      <c r="AB1892" s="5" t="str">
        <f ca="1">IFERROR(__xludf.DUMMYFUNCTION("""COMPUTED_VALUE"""),"Both")</f>
        <v>Both</v>
      </c>
      <c r="AC1892" s="5" t="str">
        <f ca="1">IFERROR(__xludf.DUMMYFUNCTION("""COMPUTED_VALUE"""),"No")</f>
        <v>No</v>
      </c>
      <c r="AD1892" s="5" t="str">
        <f ca="1">IFERROR(__xludf.DUMMYFUNCTION("""COMPUTED_VALUE"""),"No")</f>
        <v>No</v>
      </c>
      <c r="AE1892" s="5" t="str">
        <f ca="1">IFERROR(__xludf.DUMMYFUNCTION("""COMPUTED_VALUE"""),"No")</f>
        <v>No</v>
      </c>
      <c r="AF1892" s="5" t="str">
        <f ca="1">IFERROR(__xludf.DUMMYFUNCTION("""COMPUTED_VALUE"""),"No")</f>
        <v>No</v>
      </c>
      <c r="AG1892" s="5" t="str">
        <f ca="1">IFERROR(__xludf.DUMMYFUNCTION("""COMPUTED_VALUE"""),"No")</f>
        <v>No</v>
      </c>
      <c r="AH1892" s="5" t="str">
        <f ca="1">IFERROR(__xludf.DUMMYFUNCTION("""COMPUTED_VALUE"""),"No")</f>
        <v>No</v>
      </c>
      <c r="AI1892" s="5" t="str">
        <f ca="1">IFERROR(__xludf.DUMMYFUNCTION("""COMPUTED_VALUE"""),"No")</f>
        <v>No</v>
      </c>
      <c r="AJ1892" s="5" t="str">
        <f ca="1">IFERROR(__xludf.DUMMYFUNCTION("""COMPUTED_VALUE"""),"No")</f>
        <v>No</v>
      </c>
    </row>
    <row r="1893" spans="1:36" ht="13">
      <c r="A1893" s="5" t="str">
        <f ca="1">IFERROR(__xludf.DUMMYFUNCTION("""COMPUTED_VALUE"""),"19910516KSCOK")</f>
        <v>19910516KSCOK</v>
      </c>
      <c r="B1893" s="5">
        <f ca="1">IFERROR(__xludf.DUMMYFUNCTION("""COMPUTED_VALUE"""),5)</f>
        <v>5</v>
      </c>
      <c r="C1893" s="5">
        <f ca="1">IFERROR(__xludf.DUMMYFUNCTION("""COMPUTED_VALUE"""),16)</f>
        <v>16</v>
      </c>
      <c r="D1893" s="5">
        <f ca="1">IFERROR(__xludf.DUMMYFUNCTION("""COMPUTED_VALUE"""),1991)</f>
        <v>1991</v>
      </c>
      <c r="E1893" s="8">
        <f ca="1">IFERROR(__xludf.DUMMYFUNCTION("""COMPUTED_VALUE"""),33374)</f>
        <v>33374</v>
      </c>
      <c r="F1893" s="5" t="str">
        <f ca="1">IFERROR(__xludf.DUMMYFUNCTION("""COMPUTED_VALUE"""),"Coronado Middle School")</f>
        <v>Coronado Middle School</v>
      </c>
      <c r="G1893" s="5">
        <f ca="1">IFERROR(__xludf.DUMMYFUNCTION("""COMPUTED_VALUE"""),0)</f>
        <v>0</v>
      </c>
      <c r="H1893" s="5">
        <f ca="1">IFERROR(__xludf.DUMMYFUNCTION("""COMPUTED_VALUE"""),2)</f>
        <v>2</v>
      </c>
      <c r="I1893" s="5">
        <f ca="1">IFERROR(__xludf.DUMMYFUNCTION("""COMPUTED_VALUE"""),2)</f>
        <v>2</v>
      </c>
      <c r="J1893" s="5">
        <f ca="1">IFERROR(__xludf.DUMMYFUNCTION("""COMPUTED_VALUE"""),0)</f>
        <v>0</v>
      </c>
      <c r="K1893" s="9" t="str">
        <f ca="1">IFERROR(__xludf.DUMMYFUNCTION("""COMPUTED_VALUE"""),"https://www.newspapers.com/image/424939665/?terms=Coronado%2BMiddle%2BSchool")</f>
        <v>https://www.newspapers.com/image/424939665/?terms=Coronado%2BMiddle%2BSchool</v>
      </c>
      <c r="L1893" s="5"/>
      <c r="M1893" s="5"/>
      <c r="N1893" s="5">
        <f ca="1">IFERROR(__xludf.DUMMYFUNCTION("""COMPUTED_VALUE"""),2)</f>
        <v>2</v>
      </c>
      <c r="O1893" s="5" t="str">
        <f ca="1">IFERROR(__xludf.DUMMYFUNCTION("""COMPUTED_VALUE"""),"Spring")</f>
        <v>Spring</v>
      </c>
      <c r="P1893" s="5" t="str">
        <f ca="1">IFERROR(__xludf.DUMMYFUNCTION("""COMPUTED_VALUE"""),"Kansas City")</f>
        <v>Kansas City</v>
      </c>
      <c r="Q1893" s="5" t="str">
        <f ca="1">IFERROR(__xludf.DUMMYFUNCTION("""COMPUTED_VALUE"""),"KS")</f>
        <v>KS</v>
      </c>
      <c r="R1893" s="5" t="str">
        <f ca="1">IFERROR(__xludf.DUMMYFUNCTION("""COMPUTED_VALUE"""),"Middle")</f>
        <v>Middle</v>
      </c>
      <c r="S1893" s="5" t="str">
        <f ca="1">IFERROR(__xludf.DUMMYFUNCTION("""COMPUTED_VALUE"""),"Inside School Building")</f>
        <v>Inside School Building</v>
      </c>
      <c r="T1893" s="5" t="str">
        <f ca="1">IFERROR(__xludf.DUMMYFUNCTION("""COMPUTED_VALUE"""),"Inside School Building")</f>
        <v>Inside School Building</v>
      </c>
      <c r="U1893" s="5" t="str">
        <f ca="1">IFERROR(__xludf.DUMMYFUNCTION("""COMPUTED_VALUE"""),"Yes")</f>
        <v>Yes</v>
      </c>
      <c r="V1893" s="5"/>
      <c r="W1893" s="5"/>
      <c r="X1893" s="5">
        <f ca="1">IFERROR(__xludf.DUMMYFUNCTION("""COMPUTED_VALUE"""),1)</f>
        <v>1</v>
      </c>
      <c r="Y1893" s="5" t="str">
        <f ca="1">IFERROR(__xludf.DUMMYFUNCTION("""COMPUTED_VALUE"""),"Gang-initiation shooting at school")</f>
        <v>Gang-initiation shooting at school</v>
      </c>
      <c r="Z1893" s="5" t="str">
        <f ca="1">IFERROR(__xludf.DUMMYFUNCTION("""COMPUTED_VALUE"""),"Gang initiation  - a 13 year old and two 15 year olds were charged with attempted murder")</f>
        <v>Gang initiation  - a 13 year old and two 15 year olds were charged with attempted murder</v>
      </c>
      <c r="AA1893" s="5" t="str">
        <f ca="1">IFERROR(__xludf.DUMMYFUNCTION("""COMPUTED_VALUE"""),"Illegal Activity")</f>
        <v>Illegal Activity</v>
      </c>
      <c r="AB1893" s="5"/>
      <c r="AC1893" s="5" t="str">
        <f ca="1">IFERROR(__xludf.DUMMYFUNCTION("""COMPUTED_VALUE"""),"Yes")</f>
        <v>Yes</v>
      </c>
      <c r="AD1893" s="5" t="str">
        <f ca="1">IFERROR(__xludf.DUMMYFUNCTION("""COMPUTED_VALUE"""),"No")</f>
        <v>No</v>
      </c>
      <c r="AE1893" s="5" t="str">
        <f ca="1">IFERROR(__xludf.DUMMYFUNCTION("""COMPUTED_VALUE"""),"No")</f>
        <v>No</v>
      </c>
      <c r="AF1893" s="5" t="str">
        <f ca="1">IFERROR(__xludf.DUMMYFUNCTION("""COMPUTED_VALUE"""),"No")</f>
        <v>No</v>
      </c>
      <c r="AG1893" s="5" t="str">
        <f ca="1">IFERROR(__xludf.DUMMYFUNCTION("""COMPUTED_VALUE"""),"No")</f>
        <v>No</v>
      </c>
      <c r="AH1893" s="5" t="str">
        <f ca="1">IFERROR(__xludf.DUMMYFUNCTION("""COMPUTED_VALUE"""),"No")</f>
        <v>No</v>
      </c>
      <c r="AI1893" s="5" t="str">
        <f ca="1">IFERROR(__xludf.DUMMYFUNCTION("""COMPUTED_VALUE"""),"Yes")</f>
        <v>Yes</v>
      </c>
      <c r="AJ1893" s="5"/>
    </row>
    <row r="1894" spans="1:36" ht="13">
      <c r="A1894" s="5" t="str">
        <f ca="1">IFERROR(__xludf.DUMMYFUNCTION("""COMPUTED_VALUE"""),"19910510OHFRC")</f>
        <v>19910510OHFRC</v>
      </c>
      <c r="B1894" s="5">
        <f ca="1">IFERROR(__xludf.DUMMYFUNCTION("""COMPUTED_VALUE"""),5)</f>
        <v>5</v>
      </c>
      <c r="C1894" s="5">
        <f ca="1">IFERROR(__xludf.DUMMYFUNCTION("""COMPUTED_VALUE"""),10)</f>
        <v>10</v>
      </c>
      <c r="D1894" s="5">
        <f ca="1">IFERROR(__xludf.DUMMYFUNCTION("""COMPUTED_VALUE"""),1991)</f>
        <v>1991</v>
      </c>
      <c r="E1894" s="8">
        <f ca="1">IFERROR(__xludf.DUMMYFUNCTION("""COMPUTED_VALUE"""),33368)</f>
        <v>33368</v>
      </c>
      <c r="F1894" s="5" t="str">
        <f ca="1">IFERROR(__xludf.DUMMYFUNCTION("""COMPUTED_VALUE"""),"Franklin Alternative Middle School")</f>
        <v>Franklin Alternative Middle School</v>
      </c>
      <c r="G1894" s="5">
        <f ca="1">IFERROR(__xludf.DUMMYFUNCTION("""COMPUTED_VALUE"""),1)</f>
        <v>1</v>
      </c>
      <c r="H1894" s="5">
        <f ca="1">IFERROR(__xludf.DUMMYFUNCTION("""COMPUTED_VALUE"""),0)</f>
        <v>0</v>
      </c>
      <c r="I1894" s="5">
        <f ca="1">IFERROR(__xludf.DUMMYFUNCTION("""COMPUTED_VALUE"""),1)</f>
        <v>1</v>
      </c>
      <c r="J1894" s="5">
        <f ca="1">IFERROR(__xludf.DUMMYFUNCTION("""COMPUTED_VALUE"""),0)</f>
        <v>0</v>
      </c>
      <c r="K1894" s="9" t="str">
        <f ca="1">IFERROR(__xludf.DUMMYFUNCTION("""COMPUTED_VALUE"""),"https://www.newspapers.com/image/289233212/?terms=Franklin%2BAlternative%2BMiddle%2BSchool%2Bshooting")</f>
        <v>https://www.newspapers.com/image/289233212/?terms=Franklin%2BAlternative%2BMiddle%2BSchool%2Bshooting</v>
      </c>
      <c r="L1894" s="5"/>
      <c r="M1894" s="5"/>
      <c r="N1894" s="5">
        <f ca="1">IFERROR(__xludf.DUMMYFUNCTION("""COMPUTED_VALUE"""),2)</f>
        <v>2</v>
      </c>
      <c r="O1894" s="5" t="str">
        <f ca="1">IFERROR(__xludf.DUMMYFUNCTION("""COMPUTED_VALUE"""),"Spring")</f>
        <v>Spring</v>
      </c>
      <c r="P1894" s="5" t="str">
        <f ca="1">IFERROR(__xludf.DUMMYFUNCTION("""COMPUTED_VALUE"""),"Columbus")</f>
        <v>Columbus</v>
      </c>
      <c r="Q1894" s="5" t="str">
        <f ca="1">IFERROR(__xludf.DUMMYFUNCTION("""COMPUTED_VALUE"""),"OH")</f>
        <v>OH</v>
      </c>
      <c r="R1894" s="5" t="str">
        <f ca="1">IFERROR(__xludf.DUMMYFUNCTION("""COMPUTED_VALUE"""),"Middle")</f>
        <v>Middle</v>
      </c>
      <c r="S1894" s="5" t="str">
        <f ca="1">IFERROR(__xludf.DUMMYFUNCTION("""COMPUTED_VALUE"""),"Front of School")</f>
        <v>Front of School</v>
      </c>
      <c r="T1894" s="5" t="str">
        <f ca="1">IFERROR(__xludf.DUMMYFUNCTION("""COMPUTED_VALUE"""),"Outside on School Property")</f>
        <v>Outside on School Property</v>
      </c>
      <c r="U1894" s="5" t="str">
        <f ca="1">IFERROR(__xludf.DUMMYFUNCTION("""COMPUTED_VALUE"""),"No")</f>
        <v>No</v>
      </c>
      <c r="V1894" s="5" t="str">
        <f ca="1">IFERROR(__xludf.DUMMYFUNCTION("""COMPUTED_VALUE"""),"After School")</f>
        <v>After School</v>
      </c>
      <c r="W1894" s="10">
        <f ca="1">IFERROR(__xludf.DUMMYFUNCTION("""COMPUTED_VALUE"""),0.583333333333333)</f>
        <v>0.58333333333333304</v>
      </c>
      <c r="X1894" s="5">
        <f ca="1">IFERROR(__xludf.DUMMYFUNCTION("""COMPUTED_VALUE"""),1)</f>
        <v>1</v>
      </c>
      <c r="Y1894" s="5" t="str">
        <f ca="1">IFERROR(__xludf.DUMMYFUNCTION("""COMPUTED_VALUE"""),"Shooter fired at group of students standing outside the school, previous conflict with the group")</f>
        <v>Shooter fired at group of students standing outside the school, previous conflict with the group</v>
      </c>
      <c r="Z1894" s="5" t="str">
        <f ca="1">IFERROR(__xludf.DUMMYFUNCTION("""COMPUTED_VALUE"""),"While a choir concert was being held at the school, a group of teenagers were standing out front. The shooter approached them and fired multiple shots killing one victim.")</f>
        <v>While a choir concert was being held at the school, a group of teenagers were standing out front. The shooter approached them and fired multiple shots killing one victim.</v>
      </c>
      <c r="AA1894" s="5" t="str">
        <f ca="1">IFERROR(__xludf.DUMMYFUNCTION("""COMPUTED_VALUE"""),"Escalation of Dispute")</f>
        <v>Escalation of Dispute</v>
      </c>
      <c r="AB1894" s="5" t="str">
        <f ca="1">IFERROR(__xludf.DUMMYFUNCTION("""COMPUTED_VALUE"""),"Victims Targeted")</f>
        <v>Victims Targeted</v>
      </c>
      <c r="AC1894" s="5" t="str">
        <f ca="1">IFERROR(__xludf.DUMMYFUNCTION("""COMPUTED_VALUE"""),"No")</f>
        <v>No</v>
      </c>
      <c r="AD1894" s="5" t="str">
        <f ca="1">IFERROR(__xludf.DUMMYFUNCTION("""COMPUTED_VALUE"""),"No")</f>
        <v>No</v>
      </c>
      <c r="AE1894" s="5" t="str">
        <f ca="1">IFERROR(__xludf.DUMMYFUNCTION("""COMPUTED_VALUE"""),"No")</f>
        <v>No</v>
      </c>
      <c r="AF1894" s="5" t="str">
        <f ca="1">IFERROR(__xludf.DUMMYFUNCTION("""COMPUTED_VALUE"""),"No")</f>
        <v>No</v>
      </c>
      <c r="AG1894" s="5" t="str">
        <f ca="1">IFERROR(__xludf.DUMMYFUNCTION("""COMPUTED_VALUE"""),"No")</f>
        <v>No</v>
      </c>
      <c r="AH1894" s="5" t="str">
        <f ca="1">IFERROR(__xludf.DUMMYFUNCTION("""COMPUTED_VALUE"""),"No")</f>
        <v>No</v>
      </c>
      <c r="AI1894" s="5"/>
      <c r="AJ1894" s="5"/>
    </row>
    <row r="1895" spans="1:36" ht="13">
      <c r="A1895" s="5" t="str">
        <f ca="1">IFERROR(__xludf.DUMMYFUNCTION("""COMPUTED_VALUE"""),"19910423MSHUB")</f>
        <v>19910423MSHUB</v>
      </c>
      <c r="B1895" s="5">
        <f ca="1">IFERROR(__xludf.DUMMYFUNCTION("""COMPUTED_VALUE"""),4)</f>
        <v>4</v>
      </c>
      <c r="C1895" s="5">
        <f ca="1">IFERROR(__xludf.DUMMYFUNCTION("""COMPUTED_VALUE"""),23)</f>
        <v>23</v>
      </c>
      <c r="D1895" s="5">
        <f ca="1">IFERROR(__xludf.DUMMYFUNCTION("""COMPUTED_VALUE"""),1991)</f>
        <v>1991</v>
      </c>
      <c r="E1895" s="8">
        <f ca="1">IFERROR(__xludf.DUMMYFUNCTION("""COMPUTED_VALUE"""),33351)</f>
        <v>33351</v>
      </c>
      <c r="F1895" s="5" t="str">
        <f ca="1">IFERROR(__xludf.DUMMYFUNCTION("""COMPUTED_VALUE"""),"Humphrey's County High School")</f>
        <v>Humphrey's County High School</v>
      </c>
      <c r="G1895" s="5">
        <f ca="1">IFERROR(__xludf.DUMMYFUNCTION("""COMPUTED_VALUE"""),0)</f>
        <v>0</v>
      </c>
      <c r="H1895" s="5">
        <f ca="1">IFERROR(__xludf.DUMMYFUNCTION("""COMPUTED_VALUE"""),1)</f>
        <v>1</v>
      </c>
      <c r="I1895" s="5">
        <f ca="1">IFERROR(__xludf.DUMMYFUNCTION("""COMPUTED_VALUE"""),1)</f>
        <v>1</v>
      </c>
      <c r="J1895" s="5">
        <f ca="1">IFERROR(__xludf.DUMMYFUNCTION("""COMPUTED_VALUE"""),0)</f>
        <v>0</v>
      </c>
      <c r="K1895" s="5" t="str">
        <f ca="1">IFERROR(__xludf.DUMMYFUNCTION("""COMPUTED_VALUE"""),"https://www.newspapers.com/image/318836247/?terms=school%2Bshooting   https://www.newspapers.com/image/181983489/?terms=DEVERICK%2BWALTON   https://www.newspapers.com/image/237783551/?terms=DEVERICK%2BWALTON")</f>
        <v>https://www.newspapers.com/image/318836247/?terms=school%2Bshooting   https://www.newspapers.com/image/181983489/?terms=DEVERICK%2BWALTON   https://www.newspapers.com/image/237783551/?terms=DEVERICK%2BWALTON</v>
      </c>
      <c r="L1895" s="5"/>
      <c r="M1895" s="5"/>
      <c r="N1895" s="5">
        <f ca="1">IFERROR(__xludf.DUMMYFUNCTION("""COMPUTED_VALUE"""),2)</f>
        <v>2</v>
      </c>
      <c r="O1895" s="5" t="str">
        <f ca="1">IFERROR(__xludf.DUMMYFUNCTION("""COMPUTED_VALUE"""),"Spring")</f>
        <v>Spring</v>
      </c>
      <c r="P1895" s="5" t="str">
        <f ca="1">IFERROR(__xludf.DUMMYFUNCTION("""COMPUTED_VALUE"""),"Belzoni")</f>
        <v>Belzoni</v>
      </c>
      <c r="Q1895" s="5" t="str">
        <f ca="1">IFERROR(__xludf.DUMMYFUNCTION("""COMPUTED_VALUE"""),"MS")</f>
        <v>MS</v>
      </c>
      <c r="R1895" s="5" t="str">
        <f ca="1">IFERROR(__xludf.DUMMYFUNCTION("""COMPUTED_VALUE"""),"High")</f>
        <v>High</v>
      </c>
      <c r="S1895" s="5" t="str">
        <f ca="1">IFERROR(__xludf.DUMMYFUNCTION("""COMPUTED_VALUE"""),"Classroom")</f>
        <v>Classroom</v>
      </c>
      <c r="T1895" s="5" t="str">
        <f ca="1">IFERROR(__xludf.DUMMYFUNCTION("""COMPUTED_VALUE"""),"Inside School Building")</f>
        <v>Inside School Building</v>
      </c>
      <c r="U1895" s="5" t="str">
        <f ca="1">IFERROR(__xludf.DUMMYFUNCTION("""COMPUTED_VALUE"""),"Yes")</f>
        <v>Yes</v>
      </c>
      <c r="V1895" s="5" t="str">
        <f ca="1">IFERROR(__xludf.DUMMYFUNCTION("""COMPUTED_VALUE"""),"Afternoon Classes")</f>
        <v>Afternoon Classes</v>
      </c>
      <c r="W1895" s="5"/>
      <c r="X1895" s="5">
        <f ca="1">IFERROR(__xludf.DUMMYFUNCTION("""COMPUTED_VALUE"""),1)</f>
        <v>1</v>
      </c>
      <c r="Y1895" s="5" t="str">
        <f ca="1">IFERROR(__xludf.DUMMYFUNCTION("""COMPUTED_VALUE"""),"Accidental discharge playing with gun in classroom")</f>
        <v>Accidental discharge playing with gun in classroom</v>
      </c>
      <c r="Z1895" s="5" t="str">
        <f ca="1">IFERROR(__xludf.DUMMYFUNCTION("""COMPUTED_VALUE"""),"16 year old teen accidentally shot his friend during class. Victim refused to testify against shooter.")</f>
        <v>16 year old teen accidentally shot his friend during class. Victim refused to testify against shooter.</v>
      </c>
      <c r="AA1895" s="5" t="str">
        <f ca="1">IFERROR(__xludf.DUMMYFUNCTION("""COMPUTED_VALUE"""),"Accidental")</f>
        <v>Accidental</v>
      </c>
      <c r="AB1895" s="5" t="str">
        <f ca="1">IFERROR(__xludf.DUMMYFUNCTION("""COMPUTED_VALUE"""),"Random Shooting")</f>
        <v>Random Shooting</v>
      </c>
      <c r="AC1895" s="5" t="str">
        <f ca="1">IFERROR(__xludf.DUMMYFUNCTION("""COMPUTED_VALUE"""),"No")</f>
        <v>No</v>
      </c>
      <c r="AD1895" s="5" t="str">
        <f ca="1">IFERROR(__xludf.DUMMYFUNCTION("""COMPUTED_VALUE"""),"No")</f>
        <v>No</v>
      </c>
      <c r="AE1895" s="5" t="str">
        <f ca="1">IFERROR(__xludf.DUMMYFUNCTION("""COMPUTED_VALUE"""),"No")</f>
        <v>No</v>
      </c>
      <c r="AF1895" s="5" t="str">
        <f ca="1">IFERROR(__xludf.DUMMYFUNCTION("""COMPUTED_VALUE"""),"No")</f>
        <v>No</v>
      </c>
      <c r="AG1895" s="5" t="str">
        <f ca="1">IFERROR(__xludf.DUMMYFUNCTION("""COMPUTED_VALUE"""),"No")</f>
        <v>No</v>
      </c>
      <c r="AH1895" s="5" t="str">
        <f ca="1">IFERROR(__xludf.DUMMYFUNCTION("""COMPUTED_VALUE"""),"No")</f>
        <v>No</v>
      </c>
      <c r="AI1895" s="5" t="str">
        <f ca="1">IFERROR(__xludf.DUMMYFUNCTION("""COMPUTED_VALUE"""),"No")</f>
        <v>No</v>
      </c>
      <c r="AJ1895" s="5"/>
    </row>
    <row r="1896" spans="1:36" ht="13">
      <c r="A1896" s="5" t="str">
        <f ca="1">IFERROR(__xludf.DUMMYFUNCTION("""COMPUTED_VALUE"""),"19910423CARAC")</f>
        <v>19910423CARAC</v>
      </c>
      <c r="B1896" s="5">
        <f ca="1">IFERROR(__xludf.DUMMYFUNCTION("""COMPUTED_VALUE"""),4)</f>
        <v>4</v>
      </c>
      <c r="C1896" s="5">
        <f ca="1">IFERROR(__xludf.DUMMYFUNCTION("""COMPUTED_VALUE"""),23)</f>
        <v>23</v>
      </c>
      <c r="D1896" s="5">
        <f ca="1">IFERROR(__xludf.DUMMYFUNCTION("""COMPUTED_VALUE"""),1991)</f>
        <v>1991</v>
      </c>
      <c r="E1896" s="8">
        <f ca="1">IFERROR(__xludf.DUMMYFUNCTION("""COMPUTED_VALUE"""),33351)</f>
        <v>33351</v>
      </c>
      <c r="F1896" s="5" t="str">
        <f ca="1">IFERROR(__xludf.DUMMYFUNCTION("""COMPUTED_VALUE"""),"Ralph J. Bunche Middle School")</f>
        <v>Ralph J. Bunche Middle School</v>
      </c>
      <c r="G1896" s="5">
        <f ca="1">IFERROR(__xludf.DUMMYFUNCTION("""COMPUTED_VALUE"""),1)</f>
        <v>1</v>
      </c>
      <c r="H1896" s="5">
        <f ca="1">IFERROR(__xludf.DUMMYFUNCTION("""COMPUTED_VALUE"""),0)</f>
        <v>0</v>
      </c>
      <c r="I1896" s="5">
        <f ca="1">IFERROR(__xludf.DUMMYFUNCTION("""COMPUTED_VALUE"""),1)</f>
        <v>1</v>
      </c>
      <c r="J1896" s="5">
        <f ca="1">IFERROR(__xludf.DUMMYFUNCTION("""COMPUTED_VALUE"""),0)</f>
        <v>0</v>
      </c>
      <c r="K1896" s="9" t="str">
        <f ca="1">IFERROR(__xludf.DUMMYFUNCTION("""COMPUTED_VALUE"""),"http://articles.latimes.com/1991-04-25/news/mn-828_1_school-district")</f>
        <v>http://articles.latimes.com/1991-04-25/news/mn-828_1_school-district</v>
      </c>
      <c r="L1896" s="5"/>
      <c r="M1896" s="5"/>
      <c r="N1896" s="5">
        <f ca="1">IFERROR(__xludf.DUMMYFUNCTION("""COMPUTED_VALUE"""),2)</f>
        <v>2</v>
      </c>
      <c r="O1896" s="5" t="str">
        <f ca="1">IFERROR(__xludf.DUMMYFUNCTION("""COMPUTED_VALUE"""),"Spring")</f>
        <v>Spring</v>
      </c>
      <c r="P1896" s="5" t="str">
        <f ca="1">IFERROR(__xludf.DUMMYFUNCTION("""COMPUTED_VALUE"""),"Compton")</f>
        <v>Compton</v>
      </c>
      <c r="Q1896" s="5" t="str">
        <f ca="1">IFERROR(__xludf.DUMMYFUNCTION("""COMPUTED_VALUE"""),"CA")</f>
        <v>CA</v>
      </c>
      <c r="R1896" s="5" t="str">
        <f ca="1">IFERROR(__xludf.DUMMYFUNCTION("""COMPUTED_VALUE"""),"Middle")</f>
        <v>Middle</v>
      </c>
      <c r="S1896" s="5" t="str">
        <f ca="1">IFERROR(__xludf.DUMMYFUNCTION("""COMPUTED_VALUE"""),"Beside Building")</f>
        <v>Beside Building</v>
      </c>
      <c r="T1896" s="5" t="str">
        <f ca="1">IFERROR(__xludf.DUMMYFUNCTION("""COMPUTED_VALUE"""),"Outside on School Property")</f>
        <v>Outside on School Property</v>
      </c>
      <c r="U1896" s="5" t="str">
        <f ca="1">IFERROR(__xludf.DUMMYFUNCTION("""COMPUTED_VALUE"""),"Yes")</f>
        <v>Yes</v>
      </c>
      <c r="V1896" s="5"/>
      <c r="W1896" s="5"/>
      <c r="X1896" s="5">
        <f ca="1">IFERROR(__xludf.DUMMYFUNCTION("""COMPUTED_VALUE"""),1)</f>
        <v>1</v>
      </c>
      <c r="Y1896" s="5" t="str">
        <f ca="1">IFERROR(__xludf.DUMMYFUNCTION("""COMPUTED_VALUE"""),"Gang-related shooting in school hallway")</f>
        <v>Gang-related shooting in school hallway</v>
      </c>
      <c r="Z1896" s="5" t="str">
        <f ca="1">IFERROR(__xludf.DUMMYFUNCTION("""COMPUTED_VALUE"""),"A group of 10 youths affiliated with a gang tried to enter the school. When the security guard stopped them, they ran away and fired shots back at the guard. One of the shots hit another student in the head killing him. Two minors were arrested the next d"&amp;"ay but not identified.")</f>
        <v>A group of 10 youths affiliated with a gang tried to enter the school. When the security guard stopped them, they ran away and fired shots back at the guard. One of the shots hit another student in the head killing him. Two minors were arrested the next day but not identified.</v>
      </c>
      <c r="AA1896" s="5" t="str">
        <f ca="1">IFERROR(__xludf.DUMMYFUNCTION("""COMPUTED_VALUE"""),"Illegal Activity")</f>
        <v>Illegal Activity</v>
      </c>
      <c r="AB1896" s="5" t="str">
        <f ca="1">IFERROR(__xludf.DUMMYFUNCTION("""COMPUTED_VALUE"""),"Random Shooting")</f>
        <v>Random Shooting</v>
      </c>
      <c r="AC1896" s="5" t="str">
        <f ca="1">IFERROR(__xludf.DUMMYFUNCTION("""COMPUTED_VALUE"""),"No")</f>
        <v>No</v>
      </c>
      <c r="AD1896" s="5" t="str">
        <f ca="1">IFERROR(__xludf.DUMMYFUNCTION("""COMPUTED_VALUE"""),"No")</f>
        <v>No</v>
      </c>
      <c r="AE1896" s="5" t="str">
        <f ca="1">IFERROR(__xludf.DUMMYFUNCTION("""COMPUTED_VALUE"""),"No")</f>
        <v>No</v>
      </c>
      <c r="AF1896" s="5" t="str">
        <f ca="1">IFERROR(__xludf.DUMMYFUNCTION("""COMPUTED_VALUE"""),"No")</f>
        <v>No</v>
      </c>
      <c r="AG1896" s="5" t="str">
        <f ca="1">IFERROR(__xludf.DUMMYFUNCTION("""COMPUTED_VALUE"""),"No")</f>
        <v>No</v>
      </c>
      <c r="AH1896" s="5" t="str">
        <f ca="1">IFERROR(__xludf.DUMMYFUNCTION("""COMPUTED_VALUE"""),"No")</f>
        <v>No</v>
      </c>
      <c r="AI1896" s="5" t="str">
        <f ca="1">IFERROR(__xludf.DUMMYFUNCTION("""COMPUTED_VALUE"""),"Yes")</f>
        <v>Yes</v>
      </c>
      <c r="AJ1896" s="5"/>
    </row>
    <row r="1897" spans="1:36" ht="13">
      <c r="A1897" s="5" t="str">
        <f ca="1">IFERROR(__xludf.DUMMYFUNCTION("""COMPUTED_VALUE"""),"19910411SCNOR")</f>
        <v>19910411SCNOR</v>
      </c>
      <c r="B1897" s="5">
        <f ca="1">IFERROR(__xludf.DUMMYFUNCTION("""COMPUTED_VALUE"""),4)</f>
        <v>4</v>
      </c>
      <c r="C1897" s="5">
        <f ca="1">IFERROR(__xludf.DUMMYFUNCTION("""COMPUTED_VALUE"""),11)</f>
        <v>11</v>
      </c>
      <c r="D1897" s="5">
        <f ca="1">IFERROR(__xludf.DUMMYFUNCTION("""COMPUTED_VALUE"""),1991)</f>
        <v>1991</v>
      </c>
      <c r="E1897" s="8">
        <f ca="1">IFERROR(__xludf.DUMMYFUNCTION("""COMPUTED_VALUE"""),33339)</f>
        <v>33339</v>
      </c>
      <c r="F1897" s="5" t="str">
        <f ca="1">IFERROR(__xludf.DUMMYFUNCTION("""COMPUTED_VALUE"""),"Northwest High School")</f>
        <v>Northwest High School</v>
      </c>
      <c r="G1897" s="5">
        <f ca="1">IFERROR(__xludf.DUMMYFUNCTION("""COMPUTED_VALUE"""),0)</f>
        <v>0</v>
      </c>
      <c r="H1897" s="5">
        <f ca="1">IFERROR(__xludf.DUMMYFUNCTION("""COMPUTED_VALUE"""),0)</f>
        <v>0</v>
      </c>
      <c r="I1897" s="5">
        <f ca="1">IFERROR(__xludf.DUMMYFUNCTION("""COMPUTED_VALUE"""),0)</f>
        <v>0</v>
      </c>
      <c r="J1897" s="5">
        <f ca="1">IFERROR(__xludf.DUMMYFUNCTION("""COMPUTED_VALUE"""),1)</f>
        <v>1</v>
      </c>
      <c r="K1897" s="5" t="str">
        <f ca="1">IFERROR(__xludf.DUMMYFUNCTION("""COMPUTED_VALUE"""),"The Charlotte Observer - Community Mobilizes at News of School Shooting; https://www.columbine-angels.com/School_Violence_1990-1991.htm")</f>
        <v>The Charlotte Observer - Community Mobilizes at News of School Shooting; https://www.columbine-angels.com/School_Violence_1990-1991.htm</v>
      </c>
      <c r="L1897" s="5"/>
      <c r="M1897" s="5"/>
      <c r="N1897" s="5">
        <f ca="1">IFERROR(__xludf.DUMMYFUNCTION("""COMPUTED_VALUE"""),1)</f>
        <v>1</v>
      </c>
      <c r="O1897" s="5" t="str">
        <f ca="1">IFERROR(__xludf.DUMMYFUNCTION("""COMPUTED_VALUE"""),"Spring")</f>
        <v>Spring</v>
      </c>
      <c r="P1897" s="5" t="str">
        <f ca="1">IFERROR(__xludf.DUMMYFUNCTION("""COMPUTED_VALUE"""),"Rock Hill")</f>
        <v>Rock Hill</v>
      </c>
      <c r="Q1897" s="5" t="str">
        <f ca="1">IFERROR(__xludf.DUMMYFUNCTION("""COMPUTED_VALUE"""),"SC")</f>
        <v>SC</v>
      </c>
      <c r="R1897" s="5" t="str">
        <f ca="1">IFERROR(__xludf.DUMMYFUNCTION("""COMPUTED_VALUE"""),"High")</f>
        <v>High</v>
      </c>
      <c r="S1897" s="5" t="str">
        <f ca="1">IFERROR(__xludf.DUMMYFUNCTION("""COMPUTED_VALUE"""),"Cafeteria")</f>
        <v>Cafeteria</v>
      </c>
      <c r="T1897" s="5" t="str">
        <f ca="1">IFERROR(__xludf.DUMMYFUNCTION("""COMPUTED_VALUE"""),"Inside School Building")</f>
        <v>Inside School Building</v>
      </c>
      <c r="U1897" s="5" t="str">
        <f ca="1">IFERROR(__xludf.DUMMYFUNCTION("""COMPUTED_VALUE"""),"Yes")</f>
        <v>Yes</v>
      </c>
      <c r="V1897" s="5" t="str">
        <f ca="1">IFERROR(__xludf.DUMMYFUNCTION("""COMPUTED_VALUE"""),"School Start")</f>
        <v>School Start</v>
      </c>
      <c r="W1897" s="10">
        <f ca="1">IFERROR(__xludf.DUMMYFUNCTION("""COMPUTED_VALUE"""),0.333333333333333)</f>
        <v>0.33333333333333298</v>
      </c>
      <c r="X1897" s="5">
        <f ca="1">IFERROR(__xludf.DUMMYFUNCTION("""COMPUTED_VALUE"""),1)</f>
        <v>1</v>
      </c>
      <c r="Y1897" s="5" t="str">
        <f ca="1">IFERROR(__xludf.DUMMYFUNCTION("""COMPUTED_VALUE"""),"Student commit suicide in school cafeteria after break-up with gf")</f>
        <v>Student commit suicide in school cafeteria after break-up with gf</v>
      </c>
      <c r="Z1897" s="5" t="str">
        <f ca="1">IFERROR(__xludf.DUMMYFUNCTION("""COMPUTED_VALUE"""),"Shooter had just broken up with girlfriend and we upset. Attempted suicide 2 weeks prior. Took .22 pistol out of his book bag and put it to his head in the cafeteria with about 100 other students present. Student tried to stop him. Shooter pointed the gun"&amp;" at the other student and pulled the trigger but it misfired. Pointed the gun at his own head, pulled trigger second time, and was fatally shot.")</f>
        <v>Shooter had just broken up with girlfriend and we upset. Attempted suicide 2 weeks prior. Took .22 pistol out of his book bag and put it to his head in the cafeteria with about 100 other students present. Student tried to stop him. Shooter pointed the gun at the other student and pulled the trigger but it misfired. Pointed the gun at his own head, pulled trigger second time, and was fatally shot.</v>
      </c>
      <c r="AA1897" s="5" t="str">
        <f ca="1">IFERROR(__xludf.DUMMYFUNCTION("""COMPUTED_VALUE"""),"Suicide/Attempted")</f>
        <v>Suicide/Attempted</v>
      </c>
      <c r="AB1897" s="5" t="str">
        <f ca="1">IFERROR(__xludf.DUMMYFUNCTION("""COMPUTED_VALUE"""),"Victims Targeted")</f>
        <v>Victims Targeted</v>
      </c>
      <c r="AC1897" s="5" t="str">
        <f ca="1">IFERROR(__xludf.DUMMYFUNCTION("""COMPUTED_VALUE"""),"No")</f>
        <v>No</v>
      </c>
      <c r="AD1897" s="5" t="str">
        <f ca="1">IFERROR(__xludf.DUMMYFUNCTION("""COMPUTED_VALUE"""),"No")</f>
        <v>No</v>
      </c>
      <c r="AE1897" s="5" t="str">
        <f ca="1">IFERROR(__xludf.DUMMYFUNCTION("""COMPUTED_VALUE"""),"No")</f>
        <v>No</v>
      </c>
      <c r="AF1897" s="5" t="str">
        <f ca="1">IFERROR(__xludf.DUMMYFUNCTION("""COMPUTED_VALUE"""),"No")</f>
        <v>No</v>
      </c>
      <c r="AG1897" s="5" t="str">
        <f ca="1">IFERROR(__xludf.DUMMYFUNCTION("""COMPUTED_VALUE"""),"No")</f>
        <v>No</v>
      </c>
      <c r="AH1897" s="5" t="str">
        <f ca="1">IFERROR(__xludf.DUMMYFUNCTION("""COMPUTED_VALUE"""),"No")</f>
        <v>No</v>
      </c>
      <c r="AI1897" s="5" t="str">
        <f ca="1">IFERROR(__xludf.DUMMYFUNCTION("""COMPUTED_VALUE"""),"No")</f>
        <v>No</v>
      </c>
      <c r="AJ1897" s="5"/>
    </row>
    <row r="1898" spans="1:36" ht="13">
      <c r="A1898" s="5" t="str">
        <f ca="1">IFERROR(__xludf.DUMMYFUNCTION("""COMPUTED_VALUE"""),"19910325NCGAC")</f>
        <v>19910325NCGAC</v>
      </c>
      <c r="B1898" s="5">
        <f ca="1">IFERROR(__xludf.DUMMYFUNCTION("""COMPUTED_VALUE"""),3)</f>
        <v>3</v>
      </c>
      <c r="C1898" s="5">
        <f ca="1">IFERROR(__xludf.DUMMYFUNCTION("""COMPUTED_VALUE"""),25)</f>
        <v>25</v>
      </c>
      <c r="D1898" s="5">
        <f ca="1">IFERROR(__xludf.DUMMYFUNCTION("""COMPUTED_VALUE"""),1991)</f>
        <v>1991</v>
      </c>
      <c r="E1898" s="8">
        <f ca="1">IFERROR(__xludf.DUMMYFUNCTION("""COMPUTED_VALUE"""),33322)</f>
        <v>33322</v>
      </c>
      <c r="F1898" s="5" t="str">
        <f ca="1">IFERROR(__xludf.DUMMYFUNCTION("""COMPUTED_VALUE"""),"Garinger High School")</f>
        <v>Garinger High School</v>
      </c>
      <c r="G1898" s="5">
        <f ca="1">IFERROR(__xludf.DUMMYFUNCTION("""COMPUTED_VALUE"""),1)</f>
        <v>1</v>
      </c>
      <c r="H1898" s="5">
        <f ca="1">IFERROR(__xludf.DUMMYFUNCTION("""COMPUTED_VALUE"""),0)</f>
        <v>0</v>
      </c>
      <c r="I1898" s="5">
        <f ca="1">IFERROR(__xludf.DUMMYFUNCTION("""COMPUTED_VALUE"""),1)</f>
        <v>1</v>
      </c>
      <c r="J1898" s="5">
        <f ca="1">IFERROR(__xludf.DUMMYFUNCTION("""COMPUTED_VALUE"""),0)</f>
        <v>0</v>
      </c>
      <c r="K1898" s="9" t="str">
        <f ca="1">IFERROR(__xludf.DUMMYFUNCTION("""COMPUTED_VALUE"""),"https://www.newspapers.com/image/200149579/?terms=Garinger%2BHigh%2BSchool%2Bshooting")</f>
        <v>https://www.newspapers.com/image/200149579/?terms=Garinger%2BHigh%2BSchool%2Bshooting</v>
      </c>
      <c r="L1898" s="5"/>
      <c r="M1898" s="5"/>
      <c r="N1898" s="5">
        <f ca="1">IFERROR(__xludf.DUMMYFUNCTION("""COMPUTED_VALUE"""),2)</f>
        <v>2</v>
      </c>
      <c r="O1898" s="5" t="str">
        <f ca="1">IFERROR(__xludf.DUMMYFUNCTION("""COMPUTED_VALUE"""),"Spring")</f>
        <v>Spring</v>
      </c>
      <c r="P1898" s="5" t="str">
        <f ca="1">IFERROR(__xludf.DUMMYFUNCTION("""COMPUTED_VALUE"""),"Charlotte")</f>
        <v>Charlotte</v>
      </c>
      <c r="Q1898" s="5" t="str">
        <f ca="1">IFERROR(__xludf.DUMMYFUNCTION("""COMPUTED_VALUE"""),"NC")</f>
        <v>NC</v>
      </c>
      <c r="R1898" s="5" t="str">
        <f ca="1">IFERROR(__xludf.DUMMYFUNCTION("""COMPUTED_VALUE"""),"High")</f>
        <v>High</v>
      </c>
      <c r="S1898" s="5" t="str">
        <f ca="1">IFERROR(__xludf.DUMMYFUNCTION("""COMPUTED_VALUE"""),"Front of School")</f>
        <v>Front of School</v>
      </c>
      <c r="T1898" s="5" t="str">
        <f ca="1">IFERROR(__xludf.DUMMYFUNCTION("""COMPUTED_VALUE"""),"Outside on School Property")</f>
        <v>Outside on School Property</v>
      </c>
      <c r="U1898" s="5" t="str">
        <f ca="1">IFERROR(__xludf.DUMMYFUNCTION("""COMPUTED_VALUE"""),"No")</f>
        <v>No</v>
      </c>
      <c r="V1898" s="5" t="str">
        <f ca="1">IFERROR(__xludf.DUMMYFUNCTION("""COMPUTED_VALUE"""),"Dismissal")</f>
        <v>Dismissal</v>
      </c>
      <c r="W1898" s="10">
        <f ca="1">IFERROR(__xludf.DUMMYFUNCTION("""COMPUTED_VALUE"""),0.597222222222222)</f>
        <v>0.59722222222222199</v>
      </c>
      <c r="X1898" s="5">
        <f ca="1">IFERROR(__xludf.DUMMYFUNCTION("""COMPUTED_VALUE"""),1)</f>
        <v>1</v>
      </c>
      <c r="Y1898" s="5" t="str">
        <f ca="1">IFERROR(__xludf.DUMMYFUNCTION("""COMPUTED_VALUE"""),"Drive-by shooting at end of school day")</f>
        <v>Drive-by shooting at end of school day</v>
      </c>
      <c r="Z1898" s="5" t="str">
        <f ca="1">IFERROR(__xludf.DUMMYFUNCTION("""COMPUTED_VALUE"""),"21YOM shot in drive by at school while picking up younger sister. Shooting related to prior shooting between former students.")</f>
        <v>21YOM shot in drive by at school while picking up younger sister. Shooting related to prior shooting between former students.</v>
      </c>
      <c r="AA1898" s="5" t="str">
        <f ca="1">IFERROR(__xludf.DUMMYFUNCTION("""COMPUTED_VALUE"""),"Drive-by Shooting")</f>
        <v>Drive-by Shooting</v>
      </c>
      <c r="AB1898" s="5" t="str">
        <f ca="1">IFERROR(__xludf.DUMMYFUNCTION("""COMPUTED_VALUE"""),"Victims Targeted")</f>
        <v>Victims Targeted</v>
      </c>
      <c r="AC1898" s="5" t="str">
        <f ca="1">IFERROR(__xludf.DUMMYFUNCTION("""COMPUTED_VALUE"""),"No")</f>
        <v>No</v>
      </c>
      <c r="AD1898" s="5" t="str">
        <f ca="1">IFERROR(__xludf.DUMMYFUNCTION("""COMPUTED_VALUE"""),"No")</f>
        <v>No</v>
      </c>
      <c r="AE1898" s="5" t="str">
        <f ca="1">IFERROR(__xludf.DUMMYFUNCTION("""COMPUTED_VALUE"""),"No")</f>
        <v>No</v>
      </c>
      <c r="AF1898" s="5" t="str">
        <f ca="1">IFERROR(__xludf.DUMMYFUNCTION("""COMPUTED_VALUE"""),"No")</f>
        <v>No</v>
      </c>
      <c r="AG1898" s="5" t="str">
        <f ca="1">IFERROR(__xludf.DUMMYFUNCTION("""COMPUTED_VALUE"""),"No")</f>
        <v>No</v>
      </c>
      <c r="AH1898" s="5" t="str">
        <f ca="1">IFERROR(__xludf.DUMMYFUNCTION("""COMPUTED_VALUE"""),"No")</f>
        <v>No</v>
      </c>
      <c r="AI1898" s="5"/>
      <c r="AJ1898" s="5"/>
    </row>
    <row r="1899" spans="1:36" ht="13">
      <c r="A1899" s="5" t="str">
        <f ca="1">IFERROR(__xludf.DUMMYFUNCTION("""COMPUTED_VALUE"""),"19910314SCWOP")</f>
        <v>19910314SCWOP</v>
      </c>
      <c r="B1899" s="5">
        <f ca="1">IFERROR(__xludf.DUMMYFUNCTION("""COMPUTED_VALUE"""),3)</f>
        <v>3</v>
      </c>
      <c r="C1899" s="5">
        <f ca="1">IFERROR(__xludf.DUMMYFUNCTION("""COMPUTED_VALUE"""),14)</f>
        <v>14</v>
      </c>
      <c r="D1899" s="5">
        <f ca="1">IFERROR(__xludf.DUMMYFUNCTION("""COMPUTED_VALUE"""),1991)</f>
        <v>1991</v>
      </c>
      <c r="E1899" s="8">
        <f ca="1">IFERROR(__xludf.DUMMYFUNCTION("""COMPUTED_VALUE"""),33311)</f>
        <v>33311</v>
      </c>
      <c r="F1899" s="5" t="str">
        <f ca="1">IFERROR(__xludf.DUMMYFUNCTION("""COMPUTED_VALUE"""),"Woodmont High School")</f>
        <v>Woodmont High School</v>
      </c>
      <c r="G1899" s="5">
        <f ca="1">IFERROR(__xludf.DUMMYFUNCTION("""COMPUTED_VALUE"""),0)</f>
        <v>0</v>
      </c>
      <c r="H1899" s="5">
        <f ca="1">IFERROR(__xludf.DUMMYFUNCTION("""COMPUTED_VALUE"""),4)</f>
        <v>4</v>
      </c>
      <c r="I1899" s="5">
        <f ca="1">IFERROR(__xludf.DUMMYFUNCTION("""COMPUTED_VALUE"""),4)</f>
        <v>4</v>
      </c>
      <c r="J1899" s="5">
        <f ca="1">IFERROR(__xludf.DUMMYFUNCTION("""COMPUTED_VALUE"""),0)</f>
        <v>0</v>
      </c>
      <c r="K1899" s="5" t="str">
        <f ca="1">IFERROR(__xludf.DUMMYFUNCTION("""COMPUTED_VALUE"""),"https://www.newspapers.com/image/192033170/?terms=Woodmont%2BHigh%2BSchool%2Bshooting https://www.newspapers.com/image/192382156/?terms=Lincoln%2BHigh%2BSchool%2Bshooting")</f>
        <v>https://www.newspapers.com/image/192033170/?terms=Woodmont%2BHigh%2BSchool%2Bshooting https://www.newspapers.com/image/192382156/?terms=Lincoln%2BHigh%2BSchool%2Bshooting</v>
      </c>
      <c r="L1899" s="5"/>
      <c r="M1899" s="5"/>
      <c r="N1899" s="5">
        <f ca="1">IFERROR(__xludf.DUMMYFUNCTION("""COMPUTED_VALUE"""),3)</f>
        <v>3</v>
      </c>
      <c r="O1899" s="5" t="str">
        <f ca="1">IFERROR(__xludf.DUMMYFUNCTION("""COMPUTED_VALUE"""),"Spring")</f>
        <v>Spring</v>
      </c>
      <c r="P1899" s="5" t="str">
        <f ca="1">IFERROR(__xludf.DUMMYFUNCTION("""COMPUTED_VALUE"""),"Piedmont")</f>
        <v>Piedmont</v>
      </c>
      <c r="Q1899" s="5" t="str">
        <f ca="1">IFERROR(__xludf.DUMMYFUNCTION("""COMPUTED_VALUE"""),"SC")</f>
        <v>SC</v>
      </c>
      <c r="R1899" s="5" t="str">
        <f ca="1">IFERROR(__xludf.DUMMYFUNCTION("""COMPUTED_VALUE"""),"High")</f>
        <v>High</v>
      </c>
      <c r="S1899" s="5" t="str">
        <f ca="1">IFERROR(__xludf.DUMMYFUNCTION("""COMPUTED_VALUE"""),"Parking Lot")</f>
        <v>Parking Lot</v>
      </c>
      <c r="T1899" s="5" t="str">
        <f ca="1">IFERROR(__xludf.DUMMYFUNCTION("""COMPUTED_VALUE"""),"Outside on School Property")</f>
        <v>Outside on School Property</v>
      </c>
      <c r="U1899" s="5" t="str">
        <f ca="1">IFERROR(__xludf.DUMMYFUNCTION("""COMPUTED_VALUE"""),"No")</f>
        <v>No</v>
      </c>
      <c r="V1899" s="5" t="str">
        <f ca="1">IFERROR(__xludf.DUMMYFUNCTION("""COMPUTED_VALUE"""),"School Event")</f>
        <v>School Event</v>
      </c>
      <c r="W1899" s="5"/>
      <c r="X1899" s="5"/>
      <c r="Y1899" s="5" t="str">
        <f ca="1">IFERROR(__xludf.DUMMYFUNCTION("""COMPUTED_VALUE"""),"Following talent show, large fight broke out in school parking lot. 2 shooters fired during fight.")</f>
        <v>Following talent show, large fight broke out in school parking lot. 2 shooters fired during fight.</v>
      </c>
      <c r="Z1899" s="5" t="str">
        <f ca="1">IFERROR(__xludf.DUMMYFUNCTION("""COMPUTED_VALUE"""),"Large fight broke out over a rap performance at the school talent show. Shots were fired by two shooters who fled the scene. Armed police officers were present before and during the incident.")</f>
        <v>Large fight broke out over a rap performance at the school talent show. Shots were fired by two shooters who fled the scene. Armed police officers were present before and during the incident.</v>
      </c>
      <c r="AA1899" s="5" t="str">
        <f ca="1">IFERROR(__xludf.DUMMYFUNCTION("""COMPUTED_VALUE"""),"Escalation of Dispute")</f>
        <v>Escalation of Dispute</v>
      </c>
      <c r="AB1899" s="5" t="str">
        <f ca="1">IFERROR(__xludf.DUMMYFUNCTION("""COMPUTED_VALUE"""),"Both")</f>
        <v>Both</v>
      </c>
      <c r="AC1899" s="5" t="str">
        <f ca="1">IFERROR(__xludf.DUMMYFUNCTION("""COMPUTED_VALUE"""),"Yes")</f>
        <v>Yes</v>
      </c>
      <c r="AD1899" s="5" t="str">
        <f ca="1">IFERROR(__xludf.DUMMYFUNCTION("""COMPUTED_VALUE"""),"No")</f>
        <v>No</v>
      </c>
      <c r="AE1899" s="5" t="str">
        <f ca="1">IFERROR(__xludf.DUMMYFUNCTION("""COMPUTED_VALUE"""),"No")</f>
        <v>No</v>
      </c>
      <c r="AF1899" s="5" t="str">
        <f ca="1">IFERROR(__xludf.DUMMYFUNCTION("""COMPUTED_VALUE"""),"No")</f>
        <v>No</v>
      </c>
      <c r="AG1899" s="5" t="str">
        <f ca="1">IFERROR(__xludf.DUMMYFUNCTION("""COMPUTED_VALUE"""),"No")</f>
        <v>No</v>
      </c>
      <c r="AH1899" s="5" t="str">
        <f ca="1">IFERROR(__xludf.DUMMYFUNCTION("""COMPUTED_VALUE"""),"No")</f>
        <v>No</v>
      </c>
      <c r="AI1899" s="5" t="str">
        <f ca="1">IFERROR(__xludf.DUMMYFUNCTION("""COMPUTED_VALUE"""),"No")</f>
        <v>No</v>
      </c>
      <c r="AJ1899" s="5"/>
    </row>
    <row r="1900" spans="1:36" ht="13">
      <c r="A1900" s="5" t="str">
        <f ca="1">IFERROR(__xludf.DUMMYFUNCTION("""COMPUTED_VALUE"""),"19910313ALSES")</f>
        <v>19910313ALSES</v>
      </c>
      <c r="B1900" s="5">
        <f ca="1">IFERROR(__xludf.DUMMYFUNCTION("""COMPUTED_VALUE"""),3)</f>
        <v>3</v>
      </c>
      <c r="C1900" s="5">
        <f ca="1">IFERROR(__xludf.DUMMYFUNCTION("""COMPUTED_VALUE"""),13)</f>
        <v>13</v>
      </c>
      <c r="D1900" s="5">
        <f ca="1">IFERROR(__xludf.DUMMYFUNCTION("""COMPUTED_VALUE"""),1991)</f>
        <v>1991</v>
      </c>
      <c r="E1900" s="8">
        <f ca="1">IFERROR(__xludf.DUMMYFUNCTION("""COMPUTED_VALUE"""),33310)</f>
        <v>33310</v>
      </c>
      <c r="F1900" s="5" t="str">
        <f ca="1">IFERROR(__xludf.DUMMYFUNCTION("""COMPUTED_VALUE"""),"Selma High School")</f>
        <v>Selma High School</v>
      </c>
      <c r="G1900" s="5">
        <f ca="1">IFERROR(__xludf.DUMMYFUNCTION("""COMPUTED_VALUE"""),0)</f>
        <v>0</v>
      </c>
      <c r="H1900" s="5">
        <f ca="1">IFERROR(__xludf.DUMMYFUNCTION("""COMPUTED_VALUE"""),2)</f>
        <v>2</v>
      </c>
      <c r="I1900" s="5">
        <f ca="1">IFERROR(__xludf.DUMMYFUNCTION("""COMPUTED_VALUE"""),2)</f>
        <v>2</v>
      </c>
      <c r="J1900" s="5">
        <f ca="1">IFERROR(__xludf.DUMMYFUNCTION("""COMPUTED_VALUE"""),0)</f>
        <v>0</v>
      </c>
      <c r="K1900" s="5" t="str">
        <f ca="1">IFERROR(__xludf.DUMMYFUNCTION("""COMPUTED_VALUE"""),"https://www.newspapers.com/image/106635652/?terms=selma%2Bschool%2Bshooting   https://www.newspapers.com/image/106694680/?terms=school%2Bshooting   https://www.newspapers.com/image/259707038/?terms=selma%2Bschool%2Bshooting")</f>
        <v>https://www.newspapers.com/image/106635652/?terms=selma%2Bschool%2Bshooting   https://www.newspapers.com/image/106694680/?terms=school%2Bshooting   https://www.newspapers.com/image/259707038/?terms=selma%2Bschool%2Bshooting</v>
      </c>
      <c r="L1900" s="5"/>
      <c r="M1900" s="5"/>
      <c r="N1900" s="5">
        <f ca="1">IFERROR(__xludf.DUMMYFUNCTION("""COMPUTED_VALUE"""),3)</f>
        <v>3</v>
      </c>
      <c r="O1900" s="5" t="str">
        <f ca="1">IFERROR(__xludf.DUMMYFUNCTION("""COMPUTED_VALUE"""),"Spring")</f>
        <v>Spring</v>
      </c>
      <c r="P1900" s="5" t="str">
        <f ca="1">IFERROR(__xludf.DUMMYFUNCTION("""COMPUTED_VALUE"""),"Selma")</f>
        <v>Selma</v>
      </c>
      <c r="Q1900" s="5" t="str">
        <f ca="1">IFERROR(__xludf.DUMMYFUNCTION("""COMPUTED_VALUE"""),"AL")</f>
        <v>AL</v>
      </c>
      <c r="R1900" s="5" t="str">
        <f ca="1">IFERROR(__xludf.DUMMYFUNCTION("""COMPUTED_VALUE"""),"High")</f>
        <v>High</v>
      </c>
      <c r="S1900" s="5" t="str">
        <f ca="1">IFERROR(__xludf.DUMMYFUNCTION("""COMPUTED_VALUE"""),"Gym")</f>
        <v>Gym</v>
      </c>
      <c r="T1900" s="5" t="str">
        <f ca="1">IFERROR(__xludf.DUMMYFUNCTION("""COMPUTED_VALUE"""),"Inside School Building")</f>
        <v>Inside School Building</v>
      </c>
      <c r="U1900" s="5" t="str">
        <f ca="1">IFERROR(__xludf.DUMMYFUNCTION("""COMPUTED_VALUE"""),"Yes")</f>
        <v>Yes</v>
      </c>
      <c r="V1900" s="5" t="str">
        <f ca="1">IFERROR(__xludf.DUMMYFUNCTION("""COMPUTED_VALUE"""),"Morning Classes")</f>
        <v>Morning Classes</v>
      </c>
      <c r="W1900" s="10">
        <f ca="1">IFERROR(__xludf.DUMMYFUNCTION("""COMPUTED_VALUE"""),0.399305555555555)</f>
        <v>0.39930555555555503</v>
      </c>
      <c r="X1900" s="5">
        <f ca="1">IFERROR(__xludf.DUMMYFUNCTION("""COMPUTED_VALUE"""),1)</f>
        <v>1</v>
      </c>
      <c r="Y1900" s="5" t="str">
        <f ca="1">IFERROR(__xludf.DUMMYFUNCTION("""COMPUTED_VALUE"""),"Targeted victim after fight the prior weekend")</f>
        <v>Targeted victim after fight the prior weekend</v>
      </c>
      <c r="Z1900" s="5" t="str">
        <f ca="1">IFERROR(__xludf.DUMMYFUNCTION("""COMPUTED_VALUE"""),"Shooter was seeking revenge for fist fight he got into over the weekend with one of the victims. Shooter entered the school's gym around 9:45 am and shot the victim in the face, the bullet ricocheted and struck an innocent bystander. The shooter fled but "&amp;"was later caught and arrested. Charged with attempted murder and 2nd degree assault")</f>
        <v>Shooter was seeking revenge for fist fight he got into over the weekend with one of the victims. Shooter entered the school's gym around 9:45 am and shot the victim in the face, the bullet ricocheted and struck an innocent bystander. The shooter fled but was later caught and arrested. Charged with attempted murder and 2nd degree assault</v>
      </c>
      <c r="AA1900" s="5" t="str">
        <f ca="1">IFERROR(__xludf.DUMMYFUNCTION("""COMPUTED_VALUE"""),"Escalation of Dispute")</f>
        <v>Escalation of Dispute</v>
      </c>
      <c r="AB1900" s="5" t="str">
        <f ca="1">IFERROR(__xludf.DUMMYFUNCTION("""COMPUTED_VALUE"""),"Both")</f>
        <v>Both</v>
      </c>
      <c r="AC1900" s="5" t="str">
        <f ca="1">IFERROR(__xludf.DUMMYFUNCTION("""COMPUTED_VALUE"""),"No")</f>
        <v>No</v>
      </c>
      <c r="AD1900" s="5" t="str">
        <f ca="1">IFERROR(__xludf.DUMMYFUNCTION("""COMPUTED_VALUE"""),"No")</f>
        <v>No</v>
      </c>
      <c r="AE1900" s="5" t="str">
        <f ca="1">IFERROR(__xludf.DUMMYFUNCTION("""COMPUTED_VALUE"""),"No")</f>
        <v>No</v>
      </c>
      <c r="AF1900" s="5" t="str">
        <f ca="1">IFERROR(__xludf.DUMMYFUNCTION("""COMPUTED_VALUE"""),"No")</f>
        <v>No</v>
      </c>
      <c r="AG1900" s="5" t="str">
        <f ca="1">IFERROR(__xludf.DUMMYFUNCTION("""COMPUTED_VALUE"""),"No")</f>
        <v>No</v>
      </c>
      <c r="AH1900" s="5" t="str">
        <f ca="1">IFERROR(__xludf.DUMMYFUNCTION("""COMPUTED_VALUE"""),"No")</f>
        <v>No</v>
      </c>
      <c r="AI1900" s="5" t="str">
        <f ca="1">IFERROR(__xludf.DUMMYFUNCTION("""COMPUTED_VALUE"""),"No")</f>
        <v>No</v>
      </c>
      <c r="AJ1900" s="5"/>
    </row>
    <row r="1901" spans="1:36" ht="13">
      <c r="A1901" s="5" t="str">
        <f ca="1">IFERROR(__xludf.DUMMYFUNCTION("""COMPUTED_VALUE"""),"19910219LABON")</f>
        <v>19910219LABON</v>
      </c>
      <c r="B1901" s="5">
        <f ca="1">IFERROR(__xludf.DUMMYFUNCTION("""COMPUTED_VALUE"""),2)</f>
        <v>2</v>
      </c>
      <c r="C1901" s="5">
        <f ca="1">IFERROR(__xludf.DUMMYFUNCTION("""COMPUTED_VALUE"""),19)</f>
        <v>19</v>
      </c>
      <c r="D1901" s="5">
        <f ca="1">IFERROR(__xludf.DUMMYFUNCTION("""COMPUTED_VALUE"""),1991)</f>
        <v>1991</v>
      </c>
      <c r="E1901" s="8">
        <f ca="1">IFERROR(__xludf.DUMMYFUNCTION("""COMPUTED_VALUE"""),33288)</f>
        <v>33288</v>
      </c>
      <c r="F1901" s="5" t="str">
        <f ca="1">IFERROR(__xludf.DUMMYFUNCTION("""COMPUTED_VALUE"""),"Booker T. Washington High School")</f>
        <v>Booker T. Washington High School</v>
      </c>
      <c r="G1901" s="5">
        <f ca="1">IFERROR(__xludf.DUMMYFUNCTION("""COMPUTED_VALUE"""),1)</f>
        <v>1</v>
      </c>
      <c r="H1901" s="5">
        <f ca="1">IFERROR(__xludf.DUMMYFUNCTION("""COMPUTED_VALUE"""),1)</f>
        <v>1</v>
      </c>
      <c r="I1901" s="5">
        <f ca="1">IFERROR(__xludf.DUMMYFUNCTION("""COMPUTED_VALUE"""),2)</f>
        <v>2</v>
      </c>
      <c r="J1901" s="5">
        <f ca="1">IFERROR(__xludf.DUMMYFUNCTION("""COMPUTED_VALUE"""),0)</f>
        <v>0</v>
      </c>
      <c r="K1901" s="9" t="str">
        <f ca="1">IFERROR(__xludf.DUMMYFUNCTION("""COMPUTED_VALUE"""),"https://www.newspapers.com/image/216895876/?terms=Booker%2BT.%2BWashington%2BHigh%2BSchool%2Bshooting")</f>
        <v>https://www.newspapers.com/image/216895876/?terms=Booker%2BT.%2BWashington%2BHigh%2BSchool%2Bshooting</v>
      </c>
      <c r="L1901" s="5"/>
      <c r="M1901" s="5" t="str">
        <f ca="1">IFERROR(__xludf.DUMMYFUNCTION("""COMPUTED_VALUE"""),"Local")</f>
        <v>Local</v>
      </c>
      <c r="N1901" s="5">
        <f ca="1">IFERROR(__xludf.DUMMYFUNCTION("""COMPUTED_VALUE"""),2)</f>
        <v>2</v>
      </c>
      <c r="O1901" s="5" t="str">
        <f ca="1">IFERROR(__xludf.DUMMYFUNCTION("""COMPUTED_VALUE"""),"Winter")</f>
        <v>Winter</v>
      </c>
      <c r="P1901" s="5" t="str">
        <f ca="1">IFERROR(__xludf.DUMMYFUNCTION("""COMPUTED_VALUE"""),"New Orleans")</f>
        <v>New Orleans</v>
      </c>
      <c r="Q1901" s="5" t="str">
        <f ca="1">IFERROR(__xludf.DUMMYFUNCTION("""COMPUTED_VALUE"""),"LA")</f>
        <v>LA</v>
      </c>
      <c r="R1901" s="5" t="str">
        <f ca="1">IFERROR(__xludf.DUMMYFUNCTION("""COMPUTED_VALUE"""),"High")</f>
        <v>High</v>
      </c>
      <c r="S1901" s="5" t="str">
        <f ca="1">IFERROR(__xludf.DUMMYFUNCTION("""COMPUTED_VALUE"""),"Outside on School Property")</f>
        <v>Outside on School Property</v>
      </c>
      <c r="T1901" s="5" t="str">
        <f ca="1">IFERROR(__xludf.DUMMYFUNCTION("""COMPUTED_VALUE"""),"Outside on School Property")</f>
        <v>Outside on School Property</v>
      </c>
      <c r="U1901" s="5" t="str">
        <f ca="1">IFERROR(__xludf.DUMMYFUNCTION("""COMPUTED_VALUE"""),"Yes")</f>
        <v>Yes</v>
      </c>
      <c r="V1901" s="5" t="str">
        <f ca="1">IFERROR(__xludf.DUMMYFUNCTION("""COMPUTED_VALUE"""),"Lunch")</f>
        <v>Lunch</v>
      </c>
      <c r="W1901" s="10">
        <f ca="1">IFERROR(__xludf.DUMMYFUNCTION("""COMPUTED_VALUE"""),0.541666666666666)</f>
        <v>0.54166666666666596</v>
      </c>
      <c r="X1901" s="5">
        <f ca="1">IFERROR(__xludf.DUMMYFUNCTION("""COMPUTED_VALUE"""),1)</f>
        <v>1</v>
      </c>
      <c r="Y1901" s="5" t="str">
        <f ca="1">IFERROR(__xludf.DUMMYFUNCTION("""COMPUTED_VALUE"""),"Non-student killed on student and injured another in the parking lot. Student killed had 2 grams of crack cocaine in his pocket")</f>
        <v>Non-student killed on student and injured another in the parking lot. Student killed had 2 grams of crack cocaine in his pocket</v>
      </c>
      <c r="Z1901" s="5" t="str">
        <f ca="1">IFERROR(__xludf.DUMMYFUNCTION("""COMPUTED_VALUE"""),"Shooter had long criminal history and had fled juvenile custody. Shooter walked onto school property through broken fence to avoid 2 armed guards. Shooter walked up to a group of students and shot one in the head and injured another. Shooter fled the scen"&amp;"e and was later arrested. Victim had 2 grams of crack cocaine in his pocket packaged for sale.")</f>
        <v>Shooter had long criminal history and had fled juvenile custody. Shooter walked onto school property through broken fence to avoid 2 armed guards. Shooter walked up to a group of students and shot one in the head and injured another. Shooter fled the scene and was later arrested. Victim had 2 grams of crack cocaine in his pocket packaged for sale.</v>
      </c>
      <c r="AA1901" s="5" t="str">
        <f ca="1">IFERROR(__xludf.DUMMYFUNCTION("""COMPUTED_VALUE"""),"Illegal Activity")</f>
        <v>Illegal Activity</v>
      </c>
      <c r="AB1901" s="5" t="str">
        <f ca="1">IFERROR(__xludf.DUMMYFUNCTION("""COMPUTED_VALUE"""),"Both")</f>
        <v>Both</v>
      </c>
      <c r="AC1901" s="5" t="str">
        <f ca="1">IFERROR(__xludf.DUMMYFUNCTION("""COMPUTED_VALUE"""),"No")</f>
        <v>No</v>
      </c>
      <c r="AD1901" s="5" t="str">
        <f ca="1">IFERROR(__xludf.DUMMYFUNCTION("""COMPUTED_VALUE"""),"No")</f>
        <v>No</v>
      </c>
      <c r="AE1901" s="5" t="str">
        <f ca="1">IFERROR(__xludf.DUMMYFUNCTION("""COMPUTED_VALUE"""),"No")</f>
        <v>No</v>
      </c>
      <c r="AF1901" s="5" t="str">
        <f ca="1">IFERROR(__xludf.DUMMYFUNCTION("""COMPUTED_VALUE"""),"No")</f>
        <v>No</v>
      </c>
      <c r="AG1901" s="5" t="str">
        <f ca="1">IFERROR(__xludf.DUMMYFUNCTION("""COMPUTED_VALUE"""),"No")</f>
        <v>No</v>
      </c>
      <c r="AH1901" s="5" t="str">
        <f ca="1">IFERROR(__xludf.DUMMYFUNCTION("""COMPUTED_VALUE"""),"No")</f>
        <v>No</v>
      </c>
      <c r="AI1901" s="5" t="str">
        <f ca="1">IFERROR(__xludf.DUMMYFUNCTION("""COMPUTED_VALUE"""),"No")</f>
        <v>No</v>
      </c>
      <c r="AJ1901" s="5"/>
    </row>
    <row r="1902" spans="1:36" ht="13">
      <c r="A1902" s="5" t="str">
        <f ca="1">IFERROR(__xludf.DUMMYFUNCTION("""COMPUTED_VALUE"""),"19910117TXHOD")</f>
        <v>19910117TXHOD</v>
      </c>
      <c r="B1902" s="5">
        <f ca="1">IFERROR(__xludf.DUMMYFUNCTION("""COMPUTED_VALUE"""),1)</f>
        <v>1</v>
      </c>
      <c r="C1902" s="5">
        <f ca="1">IFERROR(__xludf.DUMMYFUNCTION("""COMPUTED_VALUE"""),17)</f>
        <v>17</v>
      </c>
      <c r="D1902" s="5">
        <f ca="1">IFERROR(__xludf.DUMMYFUNCTION("""COMPUTED_VALUE"""),1991)</f>
        <v>1991</v>
      </c>
      <c r="E1902" s="8">
        <f ca="1">IFERROR(__xludf.DUMMYFUNCTION("""COMPUTED_VALUE"""),33255)</f>
        <v>33255</v>
      </c>
      <c r="F1902" s="5" t="str">
        <f ca="1">IFERROR(__xludf.DUMMYFUNCTION("""COMPUTED_VALUE"""),"Hood Middle School")</f>
        <v>Hood Middle School</v>
      </c>
      <c r="G1902" s="5">
        <f ca="1">IFERROR(__xludf.DUMMYFUNCTION("""COMPUTED_VALUE"""),0)</f>
        <v>0</v>
      </c>
      <c r="H1902" s="5">
        <f ca="1">IFERROR(__xludf.DUMMYFUNCTION("""COMPUTED_VALUE"""),1)</f>
        <v>1</v>
      </c>
      <c r="I1902" s="5">
        <f ca="1">IFERROR(__xludf.DUMMYFUNCTION("""COMPUTED_VALUE"""),1)</f>
        <v>1</v>
      </c>
      <c r="J1902" s="5">
        <f ca="1">IFERROR(__xludf.DUMMYFUNCTION("""COMPUTED_VALUE"""),0)</f>
        <v>0</v>
      </c>
      <c r="K1902" s="5" t="str">
        <f ca="1">IFERROR(__xludf.DUMMYFUNCTION("""COMPUTED_VALUE"""),"Dallas Morning News - Girl, 15, Wounded in Clash of Rival Groups Outside School; https://www.columbine-angels.com/School_Violence_1990-1991.htm")</f>
        <v>Dallas Morning News - Girl, 15, Wounded in Clash of Rival Groups Outside School; https://www.columbine-angels.com/School_Violence_1990-1991.htm</v>
      </c>
      <c r="L1902" s="5"/>
      <c r="M1902" s="5"/>
      <c r="N1902" s="5">
        <f ca="1">IFERROR(__xludf.DUMMYFUNCTION("""COMPUTED_VALUE"""),1)</f>
        <v>1</v>
      </c>
      <c r="O1902" s="5" t="str">
        <f ca="1">IFERROR(__xludf.DUMMYFUNCTION("""COMPUTED_VALUE"""),"Winter")</f>
        <v>Winter</v>
      </c>
      <c r="P1902" s="5" t="str">
        <f ca="1">IFERROR(__xludf.DUMMYFUNCTION("""COMPUTED_VALUE"""),"Dallas")</f>
        <v>Dallas</v>
      </c>
      <c r="Q1902" s="5" t="str">
        <f ca="1">IFERROR(__xludf.DUMMYFUNCTION("""COMPUTED_VALUE"""),"TX")</f>
        <v>TX</v>
      </c>
      <c r="R1902" s="5" t="str">
        <f ca="1">IFERROR(__xludf.DUMMYFUNCTION("""COMPUTED_VALUE"""),"Middle")</f>
        <v>Middle</v>
      </c>
      <c r="S1902" s="5" t="str">
        <f ca="1">IFERROR(__xludf.DUMMYFUNCTION("""COMPUTED_VALUE"""),"Outside on School Property")</f>
        <v>Outside on School Property</v>
      </c>
      <c r="T1902" s="5" t="str">
        <f ca="1">IFERROR(__xludf.DUMMYFUNCTION("""COMPUTED_VALUE"""),"Outside on School Property")</f>
        <v>Outside on School Property</v>
      </c>
      <c r="U1902" s="5" t="str">
        <f ca="1">IFERROR(__xludf.DUMMYFUNCTION("""COMPUTED_VALUE"""),"No")</f>
        <v>No</v>
      </c>
      <c r="V1902" s="5" t="str">
        <f ca="1">IFERROR(__xludf.DUMMYFUNCTION("""COMPUTED_VALUE"""),"Before School")</f>
        <v>Before School</v>
      </c>
      <c r="W1902" s="5"/>
      <c r="X1902" s="5"/>
      <c r="Y1902" s="5" t="str">
        <f ca="1">IFERROR(__xludf.DUMMYFUNCTION("""COMPUTED_VALUE"""),"Large fight occurred between students from rival neighborhood. Shots fired by two students. One was injured.")</f>
        <v>Large fight occurred between students from rival neighborhood. Shots fired by two students. One was injured.</v>
      </c>
      <c r="Z1902" s="5" t="str">
        <f ca="1">IFERROR(__xludf.DUMMYFUNCTION("""COMPUTED_VALUE"""),"Large fight occured between 20-30 students outside of the school. Fight involved students who were bused in from another neighborhood. Shots were fired by two different unidentified shooters. One student was injured by a GSW.")</f>
        <v>Large fight occured between 20-30 students outside of the school. Fight involved students who were bused in from another neighborhood. Shots were fired by two different unidentified shooters. One student was injured by a GSW.</v>
      </c>
      <c r="AA1902" s="5" t="str">
        <f ca="1">IFERROR(__xludf.DUMMYFUNCTION("""COMPUTED_VALUE"""),"Escalation of Dispute")</f>
        <v>Escalation of Dispute</v>
      </c>
      <c r="AB1902" s="5" t="str">
        <f ca="1">IFERROR(__xludf.DUMMYFUNCTION("""COMPUTED_VALUE"""),"Random Shooting")</f>
        <v>Random Shooting</v>
      </c>
      <c r="AC1902" s="5" t="str">
        <f ca="1">IFERROR(__xludf.DUMMYFUNCTION("""COMPUTED_VALUE"""),"Yes")</f>
        <v>Yes</v>
      </c>
      <c r="AD1902" s="5" t="str">
        <f ca="1">IFERROR(__xludf.DUMMYFUNCTION("""COMPUTED_VALUE"""),"No")</f>
        <v>No</v>
      </c>
      <c r="AE1902" s="5" t="str">
        <f ca="1">IFERROR(__xludf.DUMMYFUNCTION("""COMPUTED_VALUE"""),"No")</f>
        <v>No</v>
      </c>
      <c r="AF1902" s="5" t="str">
        <f ca="1">IFERROR(__xludf.DUMMYFUNCTION("""COMPUTED_VALUE"""),"No")</f>
        <v>No</v>
      </c>
      <c r="AG1902" s="5" t="str">
        <f ca="1">IFERROR(__xludf.DUMMYFUNCTION("""COMPUTED_VALUE"""),"No")</f>
        <v>No</v>
      </c>
      <c r="AH1902" s="5" t="str">
        <f ca="1">IFERROR(__xludf.DUMMYFUNCTION("""COMPUTED_VALUE"""),"No")</f>
        <v>No</v>
      </c>
      <c r="AI1902" s="5" t="str">
        <f ca="1">IFERROR(__xludf.DUMMYFUNCTION("""COMPUTED_VALUE"""),"Yes")</f>
        <v>Yes</v>
      </c>
      <c r="AJ1902" s="5"/>
    </row>
    <row r="1903" spans="1:36" ht="13">
      <c r="A1903" s="5" t="str">
        <f ca="1">IFERROR(__xludf.DUMMYFUNCTION("""COMPUTED_VALUE"""),"19910108TXRIR")</f>
        <v>19910108TXRIR</v>
      </c>
      <c r="B1903" s="5">
        <f ca="1">IFERROR(__xludf.DUMMYFUNCTION("""COMPUTED_VALUE"""),1)</f>
        <v>1</v>
      </c>
      <c r="C1903" s="5">
        <f ca="1">IFERROR(__xludf.DUMMYFUNCTION("""COMPUTED_VALUE"""),8)</f>
        <v>8</v>
      </c>
      <c r="D1903" s="5">
        <f ca="1">IFERROR(__xludf.DUMMYFUNCTION("""COMPUTED_VALUE"""),1991)</f>
        <v>1991</v>
      </c>
      <c r="E1903" s="8">
        <f ca="1">IFERROR(__xludf.DUMMYFUNCTION("""COMPUTED_VALUE"""),33246)</f>
        <v>33246</v>
      </c>
      <c r="F1903" s="5" t="str">
        <f ca="1">IFERROR(__xludf.DUMMYFUNCTION("""COMPUTED_VALUE"""),"Richardson High School")</f>
        <v>Richardson High School</v>
      </c>
      <c r="G1903" s="5">
        <f ca="1">IFERROR(__xludf.DUMMYFUNCTION("""COMPUTED_VALUE"""),0)</f>
        <v>0</v>
      </c>
      <c r="H1903" s="5">
        <f ca="1">IFERROR(__xludf.DUMMYFUNCTION("""COMPUTED_VALUE"""),0)</f>
        <v>0</v>
      </c>
      <c r="I1903" s="5">
        <f ca="1">IFERROR(__xludf.DUMMYFUNCTION("""COMPUTED_VALUE"""),0)</f>
        <v>0</v>
      </c>
      <c r="J1903" s="5">
        <f ca="1">IFERROR(__xludf.DUMMYFUNCTION("""COMPUTED_VALUE"""),1)</f>
        <v>1</v>
      </c>
      <c r="K1903" s="5" t="str">
        <f ca="1">IFERROR(__xludf.DUMMYFUNCTION("""COMPUTED_VALUE"""),"http://www.fivehorizons.com/songs/aug99/jeremy_article.shtml  https://www.newspapers.com/image/389640995/?terms=Jeremy%2BWade%2Bdelle   https://www.newspapers.com/image/322789445/?terms=Jeremy%2BWade%2Bdelle    https://www.newspapers.com/image/325679993/?"&amp;"terms=Jeremy%2BWade%2Bdelle")</f>
        <v>http://www.fivehorizons.com/songs/aug99/jeremy_article.shtml  https://www.newspapers.com/image/389640995/?terms=Jeremy%2BWade%2Bdelle   https://www.newspapers.com/image/322789445/?terms=Jeremy%2BWade%2Bdelle    https://www.newspapers.com/image/325679993/?terms=Jeremy%2BWade%2Bdelle</v>
      </c>
      <c r="L1903" s="5"/>
      <c r="M1903" s="5"/>
      <c r="N1903" s="5">
        <f ca="1">IFERROR(__xludf.DUMMYFUNCTION("""COMPUTED_VALUE"""),3)</f>
        <v>3</v>
      </c>
      <c r="O1903" s="5" t="str">
        <f ca="1">IFERROR(__xludf.DUMMYFUNCTION("""COMPUTED_VALUE"""),"Winter")</f>
        <v>Winter</v>
      </c>
      <c r="P1903" s="5" t="str">
        <f ca="1">IFERROR(__xludf.DUMMYFUNCTION("""COMPUTED_VALUE"""),"Richardson")</f>
        <v>Richardson</v>
      </c>
      <c r="Q1903" s="5" t="str">
        <f ca="1">IFERROR(__xludf.DUMMYFUNCTION("""COMPUTED_VALUE"""),"TX")</f>
        <v>TX</v>
      </c>
      <c r="R1903" s="5" t="str">
        <f ca="1">IFERROR(__xludf.DUMMYFUNCTION("""COMPUTED_VALUE"""),"High")</f>
        <v>High</v>
      </c>
      <c r="S1903" s="5" t="str">
        <f ca="1">IFERROR(__xludf.DUMMYFUNCTION("""COMPUTED_VALUE"""),"Classroom")</f>
        <v>Classroom</v>
      </c>
      <c r="T1903" s="5" t="str">
        <f ca="1">IFERROR(__xludf.DUMMYFUNCTION("""COMPUTED_VALUE"""),"Inside School Building")</f>
        <v>Inside School Building</v>
      </c>
      <c r="U1903" s="5" t="str">
        <f ca="1">IFERROR(__xludf.DUMMYFUNCTION("""COMPUTED_VALUE"""),"Yes")</f>
        <v>Yes</v>
      </c>
      <c r="V1903" s="5" t="str">
        <f ca="1">IFERROR(__xludf.DUMMYFUNCTION("""COMPUTED_VALUE"""),"Morning Classes")</f>
        <v>Morning Classes</v>
      </c>
      <c r="W1903" s="10">
        <f ca="1">IFERROR(__xludf.DUMMYFUNCTION("""COMPUTED_VALUE"""),0.40625)</f>
        <v>0.40625</v>
      </c>
      <c r="X1903" s="5">
        <f ca="1">IFERROR(__xludf.DUMMYFUNCTION("""COMPUTED_VALUE"""),1)</f>
        <v>1</v>
      </c>
      <c r="Y1903" s="5" t="str">
        <f ca="1">IFERROR(__xludf.DUMMYFUNCTION("""COMPUTED_VALUE"""),"Student walked into class room, put .357 into mouth, and commit suicide")</f>
        <v>Student walked into class room, put .357 into mouth, and commit suicide</v>
      </c>
      <c r="Z1903" s="5" t="str">
        <f ca="1">IFERROR(__xludf.DUMMYFUNCTION("""COMPUTED_VALUE"""),"Student walked into class and shot himself in the head with a .357. Student was depressed, loaner, and had poor attendance. Gave suicide note to another student prior to the shooting. Inspire the song ""Jeremy"" by Pearl Jam. Some news reports state the w"&amp;"eapon was a .38 caliber. (last source cited).")</f>
        <v>Student walked into class and shot himself in the head with a .357. Student was depressed, loaner, and had poor attendance. Gave suicide note to another student prior to the shooting. Inspire the song "Jeremy" by Pearl Jam. Some news reports state the weapon was a .38 caliber. (last source cited).</v>
      </c>
      <c r="AA1903" s="5" t="str">
        <f ca="1">IFERROR(__xludf.DUMMYFUNCTION("""COMPUTED_VALUE"""),"Suicide/Attempted")</f>
        <v>Suicide/Attempted</v>
      </c>
      <c r="AB1903" s="5" t="str">
        <f ca="1">IFERROR(__xludf.DUMMYFUNCTION("""COMPUTED_VALUE"""),"Victims Targeted")</f>
        <v>Victims Targeted</v>
      </c>
      <c r="AC1903" s="5" t="str">
        <f ca="1">IFERROR(__xludf.DUMMYFUNCTION("""COMPUTED_VALUE"""),"No")</f>
        <v>No</v>
      </c>
      <c r="AD1903" s="5" t="str">
        <f ca="1">IFERROR(__xludf.DUMMYFUNCTION("""COMPUTED_VALUE"""),"No")</f>
        <v>No</v>
      </c>
      <c r="AE1903" s="5" t="str">
        <f ca="1">IFERROR(__xludf.DUMMYFUNCTION("""COMPUTED_VALUE"""),"No")</f>
        <v>No</v>
      </c>
      <c r="AF1903" s="5" t="str">
        <f ca="1">IFERROR(__xludf.DUMMYFUNCTION("""COMPUTED_VALUE"""),"No")</f>
        <v>No</v>
      </c>
      <c r="AG1903" s="5" t="str">
        <f ca="1">IFERROR(__xludf.DUMMYFUNCTION("""COMPUTED_VALUE"""),"No")</f>
        <v>No</v>
      </c>
      <c r="AH1903" s="5" t="str">
        <f ca="1">IFERROR(__xludf.DUMMYFUNCTION("""COMPUTED_VALUE"""),"No")</f>
        <v>No</v>
      </c>
      <c r="AI1903" s="5" t="str">
        <f ca="1">IFERROR(__xludf.DUMMYFUNCTION("""COMPUTED_VALUE"""),"No")</f>
        <v>No</v>
      </c>
      <c r="AJ1903" s="5"/>
    </row>
    <row r="1904" spans="1:36" ht="13">
      <c r="A1904" s="5" t="str">
        <f ca="1">IFERROR(__xludf.DUMMYFUNCTION("""COMPUTED_VALUE"""),"19901213LASAS")</f>
        <v>19901213LASAS</v>
      </c>
      <c r="B1904" s="5">
        <f ca="1">IFERROR(__xludf.DUMMYFUNCTION("""COMPUTED_VALUE"""),12)</f>
        <v>12</v>
      </c>
      <c r="C1904" s="5">
        <f ca="1">IFERROR(__xludf.DUMMYFUNCTION("""COMPUTED_VALUE"""),13)</f>
        <v>13</v>
      </c>
      <c r="D1904" s="5">
        <f ca="1">IFERROR(__xludf.DUMMYFUNCTION("""COMPUTED_VALUE"""),1990)</f>
        <v>1990</v>
      </c>
      <c r="E1904" s="8">
        <f ca="1">IFERROR(__xludf.DUMMYFUNCTION("""COMPUTED_VALUE"""),33220)</f>
        <v>33220</v>
      </c>
      <c r="F1904" s="5" t="str">
        <f ca="1">IFERROR(__xludf.DUMMYFUNCTION("""COMPUTED_VALUE"""),"Salmen High School")</f>
        <v>Salmen High School</v>
      </c>
      <c r="G1904" s="5">
        <f ca="1">IFERROR(__xludf.DUMMYFUNCTION("""COMPUTED_VALUE"""),0)</f>
        <v>0</v>
      </c>
      <c r="H1904" s="5">
        <f ca="1">IFERROR(__xludf.DUMMYFUNCTION("""COMPUTED_VALUE"""),0)</f>
        <v>0</v>
      </c>
      <c r="I1904" s="5">
        <f ca="1">IFERROR(__xludf.DUMMYFUNCTION("""COMPUTED_VALUE"""),0)</f>
        <v>0</v>
      </c>
      <c r="J1904" s="5">
        <f ca="1">IFERROR(__xludf.DUMMYFUNCTION("""COMPUTED_VALUE"""),0)</f>
        <v>0</v>
      </c>
      <c r="K1904" s="5" t="str">
        <f ca="1">IFERROR(__xludf.DUMMYFUNCTION("""COMPUTED_VALUE"""),"New Orleans Times-Picayune - Drug Gangs Fire 50 Shots in Slidell School Shootout; https://www.columbine-angels.com/School_Violence_1990-1991.htm")</f>
        <v>New Orleans Times-Picayune - Drug Gangs Fire 50 Shots in Slidell School Shootout; https://www.columbine-angels.com/School_Violence_1990-1991.htm</v>
      </c>
      <c r="L1904" s="5"/>
      <c r="M1904" s="5"/>
      <c r="N1904" s="5">
        <f ca="1">IFERROR(__xludf.DUMMYFUNCTION("""COMPUTED_VALUE"""),1)</f>
        <v>1</v>
      </c>
      <c r="O1904" s="5" t="str">
        <f ca="1">IFERROR(__xludf.DUMMYFUNCTION("""COMPUTED_VALUE"""),"Winter")</f>
        <v>Winter</v>
      </c>
      <c r="P1904" s="5" t="str">
        <f ca="1">IFERROR(__xludf.DUMMYFUNCTION("""COMPUTED_VALUE"""),"Slidell")</f>
        <v>Slidell</v>
      </c>
      <c r="Q1904" s="5" t="str">
        <f ca="1">IFERROR(__xludf.DUMMYFUNCTION("""COMPUTED_VALUE"""),"LA")</f>
        <v>LA</v>
      </c>
      <c r="R1904" s="5" t="str">
        <f ca="1">IFERROR(__xludf.DUMMYFUNCTION("""COMPUTED_VALUE"""),"High")</f>
        <v>High</v>
      </c>
      <c r="S1904" s="5" t="str">
        <f ca="1">IFERROR(__xludf.DUMMYFUNCTION("""COMPUTED_VALUE"""),"Parking Lot")</f>
        <v>Parking Lot</v>
      </c>
      <c r="T1904" s="5" t="str">
        <f ca="1">IFERROR(__xludf.DUMMYFUNCTION("""COMPUTED_VALUE"""),"Outside on School Property")</f>
        <v>Outside on School Property</v>
      </c>
      <c r="U1904" s="5" t="str">
        <f ca="1">IFERROR(__xludf.DUMMYFUNCTION("""COMPUTED_VALUE"""),"No")</f>
        <v>No</v>
      </c>
      <c r="V1904" s="5" t="str">
        <f ca="1">IFERROR(__xludf.DUMMYFUNCTION("""COMPUTED_VALUE"""),"Sport Event")</f>
        <v>Sport Event</v>
      </c>
      <c r="W1904" s="10">
        <f ca="1">IFERROR(__xludf.DUMMYFUNCTION("""COMPUTED_VALUE"""),0.869444444444444)</f>
        <v>0.86944444444444402</v>
      </c>
      <c r="X1904" s="5">
        <f ca="1">IFERROR(__xludf.DUMMYFUNCTION("""COMPUTED_VALUE"""),1)</f>
        <v>1</v>
      </c>
      <c r="Y1904" s="5" t="str">
        <f ca="1">IFERROR(__xludf.DUMMYFUNCTION("""COMPUTED_VALUE"""),"50 rounds fired in school parking lot outside of basketball game by gang members over a drug debt, no injuries")</f>
        <v>50 rounds fired in school parking lot outside of basketball game by gang members over a drug debt, no injuries</v>
      </c>
      <c r="Z1904" s="5" t="str">
        <f ca="1">IFERROR(__xludf.DUMMYFUNCTION("""COMPUTED_VALUE"""),"Rival gang members fired 50 shots in the school parking lot over a dispute about a cocaine purchase. A basketball game was taking place in the school gym at the time of the shooting. 9 cars were damaged but no injuries occurred.")</f>
        <v>Rival gang members fired 50 shots in the school parking lot over a dispute about a cocaine purchase. A basketball game was taking place in the school gym at the time of the shooting. 9 cars were damaged but no injuries occurred.</v>
      </c>
      <c r="AA1904" s="5" t="str">
        <f ca="1">IFERROR(__xludf.DUMMYFUNCTION("""COMPUTED_VALUE"""),"Illegal Activity")</f>
        <v>Illegal Activity</v>
      </c>
      <c r="AB1904" s="5" t="str">
        <f ca="1">IFERROR(__xludf.DUMMYFUNCTION("""COMPUTED_VALUE"""),"Victims Targeted")</f>
        <v>Victims Targeted</v>
      </c>
      <c r="AC1904" s="5" t="str">
        <f ca="1">IFERROR(__xludf.DUMMYFUNCTION("""COMPUTED_VALUE"""),"No")</f>
        <v>No</v>
      </c>
      <c r="AD1904" s="5" t="str">
        <f ca="1">IFERROR(__xludf.DUMMYFUNCTION("""COMPUTED_VALUE"""),"No")</f>
        <v>No</v>
      </c>
      <c r="AE1904" s="5" t="str">
        <f ca="1">IFERROR(__xludf.DUMMYFUNCTION("""COMPUTED_VALUE"""),"No")</f>
        <v>No</v>
      </c>
      <c r="AF1904" s="5" t="str">
        <f ca="1">IFERROR(__xludf.DUMMYFUNCTION("""COMPUTED_VALUE"""),"No")</f>
        <v>No</v>
      </c>
      <c r="AG1904" s="5" t="str">
        <f ca="1">IFERROR(__xludf.DUMMYFUNCTION("""COMPUTED_VALUE"""),"No")</f>
        <v>No</v>
      </c>
      <c r="AH1904" s="5" t="str">
        <f ca="1">IFERROR(__xludf.DUMMYFUNCTION("""COMPUTED_VALUE"""),"No")</f>
        <v>No</v>
      </c>
      <c r="AI1904" s="5" t="str">
        <f ca="1">IFERROR(__xludf.DUMMYFUNCTION("""COMPUTED_VALUE"""),"Yes")</f>
        <v>Yes</v>
      </c>
      <c r="AJ1904" s="5"/>
    </row>
    <row r="1905" spans="1:36" ht="13">
      <c r="A1905" s="5" t="str">
        <f ca="1">IFERROR(__xludf.DUMMYFUNCTION("""COMPUTED_VALUE"""),"19901110TXJUD")</f>
        <v>19901110TXJUD</v>
      </c>
      <c r="B1905" s="5">
        <f ca="1">IFERROR(__xludf.DUMMYFUNCTION("""COMPUTED_VALUE"""),11)</f>
        <v>11</v>
      </c>
      <c r="C1905" s="5">
        <f ca="1">IFERROR(__xludf.DUMMYFUNCTION("""COMPUTED_VALUE"""),10)</f>
        <v>10</v>
      </c>
      <c r="D1905" s="5">
        <f ca="1">IFERROR(__xludf.DUMMYFUNCTION("""COMPUTED_VALUE"""),1990)</f>
        <v>1990</v>
      </c>
      <c r="E1905" s="8">
        <f ca="1">IFERROR(__xludf.DUMMYFUNCTION("""COMPUTED_VALUE"""),33187)</f>
        <v>33187</v>
      </c>
      <c r="F1905" s="5" t="str">
        <f ca="1">IFERROR(__xludf.DUMMYFUNCTION("""COMPUTED_VALUE"""),"Justin Kimball High School")</f>
        <v>Justin Kimball High School</v>
      </c>
      <c r="G1905" s="5">
        <f ca="1">IFERROR(__xludf.DUMMYFUNCTION("""COMPUTED_VALUE"""),0)</f>
        <v>0</v>
      </c>
      <c r="H1905" s="5">
        <f ca="1">IFERROR(__xludf.DUMMYFUNCTION("""COMPUTED_VALUE"""),1)</f>
        <v>1</v>
      </c>
      <c r="I1905" s="5">
        <f ca="1">IFERROR(__xludf.DUMMYFUNCTION("""COMPUTED_VALUE"""),1)</f>
        <v>1</v>
      </c>
      <c r="J1905" s="5">
        <f ca="1">IFERROR(__xludf.DUMMYFUNCTION("""COMPUTED_VALUE"""),0)</f>
        <v>0</v>
      </c>
      <c r="K1905" s="9" t="str">
        <f ca="1">IFERROR(__xludf.DUMMYFUNCTION("""COMPUTED_VALUE"""),"https://www.newspapers.com/image/16849683/?terms=%22shot%20high%20school%20football%22&amp;match=1")</f>
        <v>https://www.newspapers.com/image/16849683/?terms=%22shot%20high%20school%20football%22&amp;match=1</v>
      </c>
      <c r="L1905" s="5">
        <f ca="1">IFERROR(__xludf.DUMMYFUNCTION("""COMPUTED_VALUE"""),1)</f>
        <v>1</v>
      </c>
      <c r="M1905" s="5" t="str">
        <f ca="1">IFERROR(__xludf.DUMMYFUNCTION("""COMPUTED_VALUE"""),"Regional")</f>
        <v>Regional</v>
      </c>
      <c r="N1905" s="5">
        <f ca="1">IFERROR(__xludf.DUMMYFUNCTION("""COMPUTED_VALUE"""),3)</f>
        <v>3</v>
      </c>
      <c r="O1905" s="5" t="str">
        <f ca="1">IFERROR(__xludf.DUMMYFUNCTION("""COMPUTED_VALUE"""),"Fall")</f>
        <v>Fall</v>
      </c>
      <c r="P1905" s="5" t="str">
        <f ca="1">IFERROR(__xludf.DUMMYFUNCTION("""COMPUTED_VALUE"""),"Dallas")</f>
        <v>Dallas</v>
      </c>
      <c r="Q1905" s="5" t="str">
        <f ca="1">IFERROR(__xludf.DUMMYFUNCTION("""COMPUTED_VALUE"""),"TX")</f>
        <v>TX</v>
      </c>
      <c r="R1905" s="5" t="str">
        <f ca="1">IFERROR(__xludf.DUMMYFUNCTION("""COMPUTED_VALUE"""),"High")</f>
        <v>High</v>
      </c>
      <c r="S1905" s="5" t="str">
        <f ca="1">IFERROR(__xludf.DUMMYFUNCTION("""COMPUTED_VALUE"""),"Football Field/Track")</f>
        <v>Football Field/Track</v>
      </c>
      <c r="T1905" s="5" t="str">
        <f ca="1">IFERROR(__xludf.DUMMYFUNCTION("""COMPUTED_VALUE"""),"Outside on School Property")</f>
        <v>Outside on School Property</v>
      </c>
      <c r="U1905" s="5" t="str">
        <f ca="1">IFERROR(__xludf.DUMMYFUNCTION("""COMPUTED_VALUE"""),"No")</f>
        <v>No</v>
      </c>
      <c r="V1905" s="5" t="str">
        <f ca="1">IFERROR(__xludf.DUMMYFUNCTION("""COMPUTED_VALUE"""),"Sport Event")</f>
        <v>Sport Event</v>
      </c>
      <c r="W1905" s="10">
        <f ca="1">IFERROR(__xludf.DUMMYFUNCTION("""COMPUTED_VALUE"""),0.861111111111111)</f>
        <v>0.86111111111111105</v>
      </c>
      <c r="X1905" s="5">
        <f ca="1">IFERROR(__xludf.DUMMYFUNCTION("""COMPUTED_VALUE"""),1)</f>
        <v>1</v>
      </c>
      <c r="Y1905" s="5" t="str">
        <f ca="1">IFERROR(__xludf.DUMMYFUNCTION("""COMPUTED_VALUE"""),"Teen shot in the neck in the stands during football game")</f>
        <v>Teen shot in the neck in the stands during football game</v>
      </c>
      <c r="Z1905" s="5" t="str">
        <f ca="1">IFERROR(__xludf.DUMMYFUNCTION("""COMPUTED_VALUE"""),"A 19-year-old male was shot in the stands during halftime of the football game. Police said an automatic weapon was fired. Shooting sparked panic in the stands. No other information available.")</f>
        <v>A 19-year-old male was shot in the stands during halftime of the football game. Police said an automatic weapon was fired. Shooting sparked panic in the stands. No other information available.</v>
      </c>
      <c r="AA1905" s="5" t="str">
        <f ca="1">IFERROR(__xludf.DUMMYFUNCTION("""COMPUTED_VALUE"""),"Unknown")</f>
        <v>Unknown</v>
      </c>
      <c r="AB1905" s="5" t="str">
        <f ca="1">IFERROR(__xludf.DUMMYFUNCTION("""COMPUTED_VALUE"""),"Both")</f>
        <v>Both</v>
      </c>
      <c r="AC1905" s="5" t="str">
        <f ca="1">IFERROR(__xludf.DUMMYFUNCTION("""COMPUTED_VALUE"""),"No")</f>
        <v>No</v>
      </c>
      <c r="AD1905" s="5" t="str">
        <f ca="1">IFERROR(__xludf.DUMMYFUNCTION("""COMPUTED_VALUE"""),"No")</f>
        <v>No</v>
      </c>
      <c r="AE1905" s="5" t="str">
        <f ca="1">IFERROR(__xludf.DUMMYFUNCTION("""COMPUTED_VALUE"""),"No")</f>
        <v>No</v>
      </c>
      <c r="AF1905" s="5" t="str">
        <f ca="1">IFERROR(__xludf.DUMMYFUNCTION("""COMPUTED_VALUE"""),"No")</f>
        <v>No</v>
      </c>
      <c r="AG1905" s="5" t="str">
        <f ca="1">IFERROR(__xludf.DUMMYFUNCTION("""COMPUTED_VALUE"""),"No")</f>
        <v>No</v>
      </c>
      <c r="AH1905" s="5" t="str">
        <f ca="1">IFERROR(__xludf.DUMMYFUNCTION("""COMPUTED_VALUE"""),"No")</f>
        <v>No</v>
      </c>
      <c r="AI1905" s="5"/>
      <c r="AJ1905" s="5" t="str">
        <f ca="1">IFERROR(__xludf.DUMMYFUNCTION("""COMPUTED_VALUE"""),"No")</f>
        <v>No</v>
      </c>
    </row>
    <row r="1906" spans="1:36" ht="13">
      <c r="A1906" s="5" t="str">
        <f ca="1">IFERROR(__xludf.DUMMYFUNCTION("""COMPUTED_VALUE"""),"19901030TXNAG")</f>
        <v>19901030TXNAG</v>
      </c>
      <c r="B1906" s="5">
        <f ca="1">IFERROR(__xludf.DUMMYFUNCTION("""COMPUTED_VALUE"""),10)</f>
        <v>10</v>
      </c>
      <c r="C1906" s="5">
        <f ca="1">IFERROR(__xludf.DUMMYFUNCTION("""COMPUTED_VALUE"""),30)</f>
        <v>30</v>
      </c>
      <c r="D1906" s="5">
        <f ca="1">IFERROR(__xludf.DUMMYFUNCTION("""COMPUTED_VALUE"""),1990)</f>
        <v>1990</v>
      </c>
      <c r="E1906" s="8">
        <f ca="1">IFERROR(__xludf.DUMMYFUNCTION("""COMPUTED_VALUE"""),33176)</f>
        <v>33176</v>
      </c>
      <c r="F1906" s="5" t="str">
        <f ca="1">IFERROR(__xludf.DUMMYFUNCTION("""COMPUTED_VALUE"""),"Naaman Forest High School")</f>
        <v>Naaman Forest High School</v>
      </c>
      <c r="G1906" s="5">
        <f ca="1">IFERROR(__xludf.DUMMYFUNCTION("""COMPUTED_VALUE"""),0)</f>
        <v>0</v>
      </c>
      <c r="H1906" s="5">
        <f ca="1">IFERROR(__xludf.DUMMYFUNCTION("""COMPUTED_VALUE"""),1)</f>
        <v>1</v>
      </c>
      <c r="I1906" s="5">
        <f ca="1">IFERROR(__xludf.DUMMYFUNCTION("""COMPUTED_VALUE"""),1)</f>
        <v>1</v>
      </c>
      <c r="J1906" s="5">
        <f ca="1">IFERROR(__xludf.DUMMYFUNCTION("""COMPUTED_VALUE"""),0)</f>
        <v>0</v>
      </c>
      <c r="K1906" s="9" t="str">
        <f ca="1">IFERROR(__xludf.DUMMYFUNCTION("""COMPUTED_VALUE"""),"https://www.newspapers.com/image/300370142/?terms=Naaman%2BForest%2BHigh%2BSchool")</f>
        <v>https://www.newspapers.com/image/300370142/?terms=Naaman%2BForest%2BHigh%2BSchool</v>
      </c>
      <c r="L1906" s="5"/>
      <c r="M1906" s="5"/>
      <c r="N1906" s="5">
        <f ca="1">IFERROR(__xludf.DUMMYFUNCTION("""COMPUTED_VALUE"""),2)</f>
        <v>2</v>
      </c>
      <c r="O1906" s="5" t="str">
        <f ca="1">IFERROR(__xludf.DUMMYFUNCTION("""COMPUTED_VALUE"""),"Fall")</f>
        <v>Fall</v>
      </c>
      <c r="P1906" s="5" t="str">
        <f ca="1">IFERROR(__xludf.DUMMYFUNCTION("""COMPUTED_VALUE"""),"Garland")</f>
        <v>Garland</v>
      </c>
      <c r="Q1906" s="5" t="str">
        <f ca="1">IFERROR(__xludf.DUMMYFUNCTION("""COMPUTED_VALUE"""),"TX")</f>
        <v>TX</v>
      </c>
      <c r="R1906" s="5" t="str">
        <f ca="1">IFERROR(__xludf.DUMMYFUNCTION("""COMPUTED_VALUE"""),"High")</f>
        <v>High</v>
      </c>
      <c r="S1906" s="5" t="str">
        <f ca="1">IFERROR(__xludf.DUMMYFUNCTION("""COMPUTED_VALUE"""),"Office")</f>
        <v>Office</v>
      </c>
      <c r="T1906" s="5" t="str">
        <f ca="1">IFERROR(__xludf.DUMMYFUNCTION("""COMPUTED_VALUE"""),"Inside School Building")</f>
        <v>Inside School Building</v>
      </c>
      <c r="U1906" s="5" t="str">
        <f ca="1">IFERROR(__xludf.DUMMYFUNCTION("""COMPUTED_VALUE"""),"No")</f>
        <v>No</v>
      </c>
      <c r="V1906" s="5" t="str">
        <f ca="1">IFERROR(__xludf.DUMMYFUNCTION("""COMPUTED_VALUE"""),"Morning Classes")</f>
        <v>Morning Classes</v>
      </c>
      <c r="W1906" s="5"/>
      <c r="X1906" s="5">
        <f ca="1">IFERROR(__xludf.DUMMYFUNCTION("""COMPUTED_VALUE"""),1)</f>
        <v>1</v>
      </c>
      <c r="Y1906" s="5" t="str">
        <f ca="1">IFERROR(__xludf.DUMMYFUNCTION("""COMPUTED_VALUE"""),"Mother of student shot principal for suspending son")</f>
        <v>Mother of student shot principal for suspending son</v>
      </c>
      <c r="Z1906" s="5" t="str">
        <f ca="1">IFERROR(__xludf.DUMMYFUNCTION("""COMPUTED_VALUE"""),"Shooter (parent of student) shot principal during an argument about the suspension of her son. Shooter claimed the principal had made a racial slur to her.")</f>
        <v>Shooter (parent of student) shot principal during an argument about the suspension of her son. Shooter claimed the principal had made a racial slur to her.</v>
      </c>
      <c r="AA1906" s="5" t="str">
        <f ca="1">IFERROR(__xludf.DUMMYFUNCTION("""COMPUTED_VALUE"""),"Anger Over Grade/Suspension/Discipline")</f>
        <v>Anger Over Grade/Suspension/Discipline</v>
      </c>
      <c r="AB1906" s="5" t="str">
        <f ca="1">IFERROR(__xludf.DUMMYFUNCTION("""COMPUTED_VALUE"""),"Victims Targeted")</f>
        <v>Victims Targeted</v>
      </c>
      <c r="AC1906" s="5" t="str">
        <f ca="1">IFERROR(__xludf.DUMMYFUNCTION("""COMPUTED_VALUE"""),"No")</f>
        <v>No</v>
      </c>
      <c r="AD1906" s="5" t="str">
        <f ca="1">IFERROR(__xludf.DUMMYFUNCTION("""COMPUTED_VALUE"""),"No")</f>
        <v>No</v>
      </c>
      <c r="AE1906" s="5" t="str">
        <f ca="1">IFERROR(__xludf.DUMMYFUNCTION("""COMPUTED_VALUE"""),"No")</f>
        <v>No</v>
      </c>
      <c r="AF1906" s="5" t="str">
        <f ca="1">IFERROR(__xludf.DUMMYFUNCTION("""COMPUTED_VALUE"""),"No")</f>
        <v>No</v>
      </c>
      <c r="AG1906" s="5" t="str">
        <f ca="1">IFERROR(__xludf.DUMMYFUNCTION("""COMPUTED_VALUE"""),"No")</f>
        <v>No</v>
      </c>
      <c r="AH1906" s="5" t="str">
        <f ca="1">IFERROR(__xludf.DUMMYFUNCTION("""COMPUTED_VALUE"""),"No")</f>
        <v>No</v>
      </c>
      <c r="AI1906" s="5" t="str">
        <f ca="1">IFERROR(__xludf.DUMMYFUNCTION("""COMPUTED_VALUE"""),"No")</f>
        <v>No</v>
      </c>
      <c r="AJ1906" s="5"/>
    </row>
    <row r="1907" spans="1:36" ht="13">
      <c r="A1907" s="5" t="str">
        <f ca="1">IFERROR(__xludf.DUMMYFUNCTION("""COMPUTED_VALUE"""),"19901029INCHC")</f>
        <v>19901029INCHC</v>
      </c>
      <c r="B1907" s="5">
        <f ca="1">IFERROR(__xludf.DUMMYFUNCTION("""COMPUTED_VALUE"""),10)</f>
        <v>10</v>
      </c>
      <c r="C1907" s="5">
        <f ca="1">IFERROR(__xludf.DUMMYFUNCTION("""COMPUTED_VALUE"""),29)</f>
        <v>29</v>
      </c>
      <c r="D1907" s="5">
        <f ca="1">IFERROR(__xludf.DUMMYFUNCTION("""COMPUTED_VALUE"""),1990)</f>
        <v>1990</v>
      </c>
      <c r="E1907" s="8">
        <f ca="1">IFERROR(__xludf.DUMMYFUNCTION("""COMPUTED_VALUE"""),33175)</f>
        <v>33175</v>
      </c>
      <c r="F1907" s="5" t="str">
        <f ca="1">IFERROR(__xludf.DUMMYFUNCTION("""COMPUTED_VALUE"""),"Charlestown High School")</f>
        <v>Charlestown High School</v>
      </c>
      <c r="G1907" s="5">
        <f ca="1">IFERROR(__xludf.DUMMYFUNCTION("""COMPUTED_VALUE"""),0)</f>
        <v>0</v>
      </c>
      <c r="H1907" s="5">
        <f ca="1">IFERROR(__xludf.DUMMYFUNCTION("""COMPUTED_VALUE"""),0)</f>
        <v>0</v>
      </c>
      <c r="I1907" s="5">
        <f ca="1">IFERROR(__xludf.DUMMYFUNCTION("""COMPUTED_VALUE"""),0)</f>
        <v>0</v>
      </c>
      <c r="J1907" s="5">
        <f ca="1">IFERROR(__xludf.DUMMYFUNCTION("""COMPUTED_VALUE"""),0)</f>
        <v>0</v>
      </c>
      <c r="K1907" s="9" t="str">
        <f ca="1">IFERROR(__xludf.DUMMYFUNCTION("""COMPUTED_VALUE"""),"https://www.upi.com/Archives/1990/10/29/Teenager-holds-hostages-at-high-school-for-more-than-8-hours/6921657176400/")</f>
        <v>https://www.upi.com/Archives/1990/10/29/Teenager-holds-hostages-at-high-school-for-more-than-8-hours/6921657176400/</v>
      </c>
      <c r="L1907" s="5"/>
      <c r="M1907" s="5" t="str">
        <f ca="1">IFERROR(__xludf.DUMMYFUNCTION("""COMPUTED_VALUE"""),"Local")</f>
        <v>Local</v>
      </c>
      <c r="N1907" s="5">
        <f ca="1">IFERROR(__xludf.DUMMYFUNCTION("""COMPUTED_VALUE"""),2)</f>
        <v>2</v>
      </c>
      <c r="O1907" s="5" t="str">
        <f ca="1">IFERROR(__xludf.DUMMYFUNCTION("""COMPUTED_VALUE"""),"Fall")</f>
        <v>Fall</v>
      </c>
      <c r="P1907" s="5" t="str">
        <f ca="1">IFERROR(__xludf.DUMMYFUNCTION("""COMPUTED_VALUE"""),"Charlestown")</f>
        <v>Charlestown</v>
      </c>
      <c r="Q1907" s="5" t="str">
        <f ca="1">IFERROR(__xludf.DUMMYFUNCTION("""COMPUTED_VALUE"""),"IN")</f>
        <v>IN</v>
      </c>
      <c r="R1907" s="5" t="str">
        <f ca="1">IFERROR(__xludf.DUMMYFUNCTION("""COMPUTED_VALUE"""),"High")</f>
        <v>High</v>
      </c>
      <c r="S1907" s="5" t="str">
        <f ca="1">IFERROR(__xludf.DUMMYFUNCTION("""COMPUTED_VALUE"""),"Classroom")</f>
        <v>Classroom</v>
      </c>
      <c r="T1907" s="5" t="str">
        <f ca="1">IFERROR(__xludf.DUMMYFUNCTION("""COMPUTED_VALUE"""),"Inside School Building")</f>
        <v>Inside School Building</v>
      </c>
      <c r="U1907" s="5" t="str">
        <f ca="1">IFERROR(__xludf.DUMMYFUNCTION("""COMPUTED_VALUE"""),"Yes")</f>
        <v>Yes</v>
      </c>
      <c r="V1907" s="5" t="str">
        <f ca="1">IFERROR(__xludf.DUMMYFUNCTION("""COMPUTED_VALUE"""),"Morning Classes")</f>
        <v>Morning Classes</v>
      </c>
      <c r="W1907" s="10">
        <f ca="1">IFERROR(__xludf.DUMMYFUNCTION("""COMPUTED_VALUE"""),0.465277777777777)</f>
        <v>0.46527777777777701</v>
      </c>
      <c r="X1907" s="5">
        <f ca="1">IFERROR(__xludf.DUMMYFUNCTION("""COMPUTED_VALUE"""),500)</f>
        <v>500</v>
      </c>
      <c r="Y1907" s="5" t="str">
        <f ca="1">IFERROR(__xludf.DUMMYFUNCTION("""COMPUTED_VALUE"""),"Armed student took teacher and 15 students hostage in classroom for 8 hours")</f>
        <v>Armed student took teacher and 15 students hostage in classroom for 8 hours</v>
      </c>
      <c r="Z1907" s="5" t="str">
        <f ca="1">IFERROR(__xludf.DUMMYFUNCTION("""COMPUTED_VALUE"""),"Good student and well liked. Suspended twice just prior to the shooting for breaking a window and pulling a fire alarm during pranks. Held 15 students and a teach hostage for 8 hours in a classroom. Said that he was upset about the suspension while holdin"&amp;"g students hostage. Other students were in disbelief that it was him and told police he would not hurt anyone. Father is a police officer.")</f>
        <v>Good student and well liked. Suspended twice just prior to the shooting for breaking a window and pulling a fire alarm during pranks. Held 15 students and a teach hostage for 8 hours in a classroom. Said that he was upset about the suspension while holding students hostage. Other students were in disbelief that it was him and told police he would not hurt anyone. Father is a police officer.</v>
      </c>
      <c r="AA1907" s="5" t="str">
        <f ca="1">IFERROR(__xludf.DUMMYFUNCTION("""COMPUTED_VALUE"""),"Hostage/Standoff")</f>
        <v>Hostage/Standoff</v>
      </c>
      <c r="AB1907" s="5" t="str">
        <f ca="1">IFERROR(__xludf.DUMMYFUNCTION("""COMPUTED_VALUE"""),"Neither")</f>
        <v>Neither</v>
      </c>
      <c r="AC1907" s="5" t="str">
        <f ca="1">IFERROR(__xludf.DUMMYFUNCTION("""COMPUTED_VALUE"""),"No")</f>
        <v>No</v>
      </c>
      <c r="AD1907" s="5" t="str">
        <f ca="1">IFERROR(__xludf.DUMMYFUNCTION("""COMPUTED_VALUE"""),"Yes")</f>
        <v>Yes</v>
      </c>
      <c r="AE1907" s="5" t="str">
        <f ca="1">IFERROR(__xludf.DUMMYFUNCTION("""COMPUTED_VALUE"""),"Yes")</f>
        <v>Yes</v>
      </c>
      <c r="AF1907" s="5" t="str">
        <f ca="1">IFERROR(__xludf.DUMMYFUNCTION("""COMPUTED_VALUE"""),"No")</f>
        <v>No</v>
      </c>
      <c r="AG1907" s="5" t="str">
        <f ca="1">IFERROR(__xludf.DUMMYFUNCTION("""COMPUTED_VALUE"""),"No")</f>
        <v>No</v>
      </c>
      <c r="AH1907" s="5" t="str">
        <f ca="1">IFERROR(__xludf.DUMMYFUNCTION("""COMPUTED_VALUE"""),"No")</f>
        <v>No</v>
      </c>
      <c r="AI1907" s="5" t="str">
        <f ca="1">IFERROR(__xludf.DUMMYFUNCTION("""COMPUTED_VALUE"""),"No")</f>
        <v>No</v>
      </c>
      <c r="AJ1907" s="5" t="str">
        <f ca="1">IFERROR(__xludf.DUMMYFUNCTION("""COMPUTED_VALUE"""),"Yes")</f>
        <v>Yes</v>
      </c>
    </row>
    <row r="1908" spans="1:36" ht="13">
      <c r="A1908" s="5" t="str">
        <f ca="1">IFERROR(__xludf.DUMMYFUNCTION("""COMPUTED_VALUE"""),"19901002TXWHD")</f>
        <v>19901002TXWHD</v>
      </c>
      <c r="B1908" s="5">
        <f ca="1">IFERROR(__xludf.DUMMYFUNCTION("""COMPUTED_VALUE"""),10)</f>
        <v>10</v>
      </c>
      <c r="C1908" s="5">
        <f ca="1">IFERROR(__xludf.DUMMYFUNCTION("""COMPUTED_VALUE"""),2)</f>
        <v>2</v>
      </c>
      <c r="D1908" s="5">
        <f ca="1">IFERROR(__xludf.DUMMYFUNCTION("""COMPUTED_VALUE"""),1990)</f>
        <v>1990</v>
      </c>
      <c r="E1908" s="8">
        <f ca="1">IFERROR(__xludf.DUMMYFUNCTION("""COMPUTED_VALUE"""),33148)</f>
        <v>33148</v>
      </c>
      <c r="F1908" s="5" t="str">
        <f ca="1">IFERROR(__xludf.DUMMYFUNCTION("""COMPUTED_VALUE"""),"W H Adamson High School")</f>
        <v>W H Adamson High School</v>
      </c>
      <c r="G1908" s="5">
        <f ca="1">IFERROR(__xludf.DUMMYFUNCTION("""COMPUTED_VALUE"""),0)</f>
        <v>0</v>
      </c>
      <c r="H1908" s="5">
        <f ca="1">IFERROR(__xludf.DUMMYFUNCTION("""COMPUTED_VALUE"""),1)</f>
        <v>1</v>
      </c>
      <c r="I1908" s="5">
        <f ca="1">IFERROR(__xludf.DUMMYFUNCTION("""COMPUTED_VALUE"""),1)</f>
        <v>1</v>
      </c>
      <c r="J1908" s="5">
        <f ca="1">IFERROR(__xludf.DUMMYFUNCTION("""COMPUTED_VALUE"""),0)</f>
        <v>0</v>
      </c>
      <c r="K1908" s="9" t="str">
        <f ca="1">IFERROR(__xludf.DUMMYFUNCTION("""COMPUTED_VALUE"""),"https://www.columbine-angels.com/School_Violence_1990-1991.htm")</f>
        <v>https://www.columbine-angels.com/School_Violence_1990-1991.htm</v>
      </c>
      <c r="L1908" s="5"/>
      <c r="M1908" s="5"/>
      <c r="N1908" s="5">
        <f ca="1">IFERROR(__xludf.DUMMYFUNCTION("""COMPUTED_VALUE"""),1)</f>
        <v>1</v>
      </c>
      <c r="O1908" s="5" t="str">
        <f ca="1">IFERROR(__xludf.DUMMYFUNCTION("""COMPUTED_VALUE"""),"Fall")</f>
        <v>Fall</v>
      </c>
      <c r="P1908" s="5" t="str">
        <f ca="1">IFERROR(__xludf.DUMMYFUNCTION("""COMPUTED_VALUE"""),"Dallas")</f>
        <v>Dallas</v>
      </c>
      <c r="Q1908" s="5" t="str">
        <f ca="1">IFERROR(__xludf.DUMMYFUNCTION("""COMPUTED_VALUE"""),"TX")</f>
        <v>TX</v>
      </c>
      <c r="R1908" s="5" t="str">
        <f ca="1">IFERROR(__xludf.DUMMYFUNCTION("""COMPUTED_VALUE"""),"High")</f>
        <v>High</v>
      </c>
      <c r="S1908" s="5" t="str">
        <f ca="1">IFERROR(__xludf.DUMMYFUNCTION("""COMPUTED_VALUE"""),"Parking Lot")</f>
        <v>Parking Lot</v>
      </c>
      <c r="T1908" s="5" t="str">
        <f ca="1">IFERROR(__xludf.DUMMYFUNCTION("""COMPUTED_VALUE"""),"Outside on School Property")</f>
        <v>Outside on School Property</v>
      </c>
      <c r="U1908" s="5" t="str">
        <f ca="1">IFERROR(__xludf.DUMMYFUNCTION("""COMPUTED_VALUE"""),"No")</f>
        <v>No</v>
      </c>
      <c r="V1908" s="5" t="str">
        <f ca="1">IFERROR(__xludf.DUMMYFUNCTION("""COMPUTED_VALUE"""),"After School")</f>
        <v>After School</v>
      </c>
      <c r="W1908" s="10">
        <f ca="1">IFERROR(__xludf.DUMMYFUNCTION("""COMPUTED_VALUE"""),0.701388888888888)</f>
        <v>0.70138888888888795</v>
      </c>
      <c r="X1908" s="5">
        <f ca="1">IFERROR(__xludf.DUMMYFUNCTION("""COMPUTED_VALUE"""),1)</f>
        <v>1</v>
      </c>
      <c r="Y1908" s="5" t="str">
        <f ca="1">IFERROR(__xludf.DUMMYFUNCTION("""COMPUTED_VALUE"""),"Drive-by in school parking lot, vehicle had covered license plate")</f>
        <v>Drive-by in school parking lot, vehicle had covered license plate</v>
      </c>
      <c r="Z1908" s="5" t="str">
        <f ca="1">IFERROR(__xludf.DUMMYFUNCTION("""COMPUTED_VALUE"""),"Two women in a car drove up to a group of students and opened fire outside of the school. The injured student did not know the shooters.")</f>
        <v>Two women in a car drove up to a group of students and opened fire outside of the school. The injured student did not know the shooters.</v>
      </c>
      <c r="AA1908" s="5" t="str">
        <f ca="1">IFERROR(__xludf.DUMMYFUNCTION("""COMPUTED_VALUE"""),"Drive-by Shooting")</f>
        <v>Drive-by Shooting</v>
      </c>
      <c r="AB1908" s="5" t="str">
        <f ca="1">IFERROR(__xludf.DUMMYFUNCTION("""COMPUTED_VALUE"""),"Random Shooting")</f>
        <v>Random Shooting</v>
      </c>
      <c r="AC1908" s="5" t="str">
        <f ca="1">IFERROR(__xludf.DUMMYFUNCTION("""COMPUTED_VALUE"""),"Yes")</f>
        <v>Yes</v>
      </c>
      <c r="AD1908" s="5" t="str">
        <f ca="1">IFERROR(__xludf.DUMMYFUNCTION("""COMPUTED_VALUE"""),"No")</f>
        <v>No</v>
      </c>
      <c r="AE1908" s="5" t="str">
        <f ca="1">IFERROR(__xludf.DUMMYFUNCTION("""COMPUTED_VALUE"""),"No")</f>
        <v>No</v>
      </c>
      <c r="AF1908" s="5" t="str">
        <f ca="1">IFERROR(__xludf.DUMMYFUNCTION("""COMPUTED_VALUE"""),"No")</f>
        <v>No</v>
      </c>
      <c r="AG1908" s="5" t="str">
        <f ca="1">IFERROR(__xludf.DUMMYFUNCTION("""COMPUTED_VALUE"""),"No")</f>
        <v>No</v>
      </c>
      <c r="AH1908" s="5" t="str">
        <f ca="1">IFERROR(__xludf.DUMMYFUNCTION("""COMPUTED_VALUE"""),"No")</f>
        <v>No</v>
      </c>
      <c r="AI1908" s="5"/>
      <c r="AJ1908" s="5"/>
    </row>
    <row r="1909" spans="1:36" ht="13">
      <c r="A1909" s="5" t="str">
        <f ca="1">IFERROR(__xludf.DUMMYFUNCTION("""COMPUTED_VALUE"""),"19900922ALLEB")</f>
        <v>19900922ALLEB</v>
      </c>
      <c r="B1909" s="5">
        <f ca="1">IFERROR(__xludf.DUMMYFUNCTION("""COMPUTED_VALUE"""),9)</f>
        <v>9</v>
      </c>
      <c r="C1909" s="5">
        <f ca="1">IFERROR(__xludf.DUMMYFUNCTION("""COMPUTED_VALUE"""),22)</f>
        <v>22</v>
      </c>
      <c r="D1909" s="5">
        <f ca="1">IFERROR(__xludf.DUMMYFUNCTION("""COMPUTED_VALUE"""),1990)</f>
        <v>1990</v>
      </c>
      <c r="E1909" s="8">
        <f ca="1">IFERROR(__xludf.DUMMYFUNCTION("""COMPUTED_VALUE"""),33138)</f>
        <v>33138</v>
      </c>
      <c r="F1909" s="5" t="str">
        <f ca="1">IFERROR(__xludf.DUMMYFUNCTION("""COMPUTED_VALUE"""),"Legion Field Statium (high school game)")</f>
        <v>Legion Field Statium (high school game)</v>
      </c>
      <c r="G1909" s="5">
        <f ca="1">IFERROR(__xludf.DUMMYFUNCTION("""COMPUTED_VALUE"""),0)</f>
        <v>0</v>
      </c>
      <c r="H1909" s="5">
        <f ca="1">IFERROR(__xludf.DUMMYFUNCTION("""COMPUTED_VALUE"""),2)</f>
        <v>2</v>
      </c>
      <c r="I1909" s="5">
        <f ca="1">IFERROR(__xludf.DUMMYFUNCTION("""COMPUTED_VALUE"""),2)</f>
        <v>2</v>
      </c>
      <c r="J1909" s="5">
        <f ca="1">IFERROR(__xludf.DUMMYFUNCTION("""COMPUTED_VALUE"""),0)</f>
        <v>0</v>
      </c>
      <c r="K1909" s="9" t="str">
        <f ca="1">IFERROR(__xludf.DUMMYFUNCTION("""COMPUTED_VALUE"""),"https://www.newspapers.com/image/106533912/?terms=shot%2Bat%2Bfootball%2Bgame")</f>
        <v>https://www.newspapers.com/image/106533912/?terms=shot%2Bat%2Bfootball%2Bgame</v>
      </c>
      <c r="L1909" s="5"/>
      <c r="M1909" s="5"/>
      <c r="N1909" s="5">
        <f ca="1">IFERROR(__xludf.DUMMYFUNCTION("""COMPUTED_VALUE"""),3)</f>
        <v>3</v>
      </c>
      <c r="O1909" s="5" t="str">
        <f ca="1">IFERROR(__xludf.DUMMYFUNCTION("""COMPUTED_VALUE"""),"Fall")</f>
        <v>Fall</v>
      </c>
      <c r="P1909" s="5" t="str">
        <f ca="1">IFERROR(__xludf.DUMMYFUNCTION("""COMPUTED_VALUE"""),"Birmingham")</f>
        <v>Birmingham</v>
      </c>
      <c r="Q1909" s="5" t="str">
        <f ca="1">IFERROR(__xludf.DUMMYFUNCTION("""COMPUTED_VALUE"""),"AL")</f>
        <v>AL</v>
      </c>
      <c r="R1909" s="5" t="str">
        <f ca="1">IFERROR(__xludf.DUMMYFUNCTION("""COMPUTED_VALUE"""),"High")</f>
        <v>High</v>
      </c>
      <c r="S1909" s="5" t="str">
        <f ca="1">IFERROR(__xludf.DUMMYFUNCTION("""COMPUTED_VALUE"""),"Football Field/Track")</f>
        <v>Football Field/Track</v>
      </c>
      <c r="T1909" s="5" t="str">
        <f ca="1">IFERROR(__xludf.DUMMYFUNCTION("""COMPUTED_VALUE"""),"Outside on School Property")</f>
        <v>Outside on School Property</v>
      </c>
      <c r="U1909" s="5" t="str">
        <f ca="1">IFERROR(__xludf.DUMMYFUNCTION("""COMPUTED_VALUE"""),"No")</f>
        <v>No</v>
      </c>
      <c r="V1909" s="5" t="str">
        <f ca="1">IFERROR(__xludf.DUMMYFUNCTION("""COMPUTED_VALUE"""),"Sport Event")</f>
        <v>Sport Event</v>
      </c>
      <c r="W1909" s="5"/>
      <c r="X1909" s="5">
        <f ca="1">IFERROR(__xludf.DUMMYFUNCTION("""COMPUTED_VALUE"""),1)</f>
        <v>1</v>
      </c>
      <c r="Y1909" s="5" t="str">
        <f ca="1">IFERROR(__xludf.DUMMYFUNCTION("""COMPUTED_VALUE"""),"Two teens shot during football game inside stadium, remainder of game cancelled.")</f>
        <v>Two teens shot during football game inside stadium, remainder of game cancelled.</v>
      </c>
      <c r="Z1909" s="5" t="str">
        <f ca="1">IFERROR(__xludf.DUMMYFUNCTION("""COMPUTED_VALUE"""),"Two teens (not students of either school) were shot inside the stadium during a high school football game. Shooter was not identified. Police officers were assigned to the stadium and heard the shots. The game was stopped and the fans were told to leave t"&amp;"he stadium")</f>
        <v>Two teens (not students of either school) were shot inside the stadium during a high school football game. Shooter was not identified. Police officers were assigned to the stadium and heard the shots. The game was stopped and the fans were told to leave the stadium</v>
      </c>
      <c r="AA1909" s="5" t="str">
        <f ca="1">IFERROR(__xludf.DUMMYFUNCTION("""COMPUTED_VALUE"""),"Escalation of Dispute")</f>
        <v>Escalation of Dispute</v>
      </c>
      <c r="AB1909" s="5"/>
      <c r="AC1909" s="5" t="str">
        <f ca="1">IFERROR(__xludf.DUMMYFUNCTION("""COMPUTED_VALUE"""),"No")</f>
        <v>No</v>
      </c>
      <c r="AD1909" s="5" t="str">
        <f ca="1">IFERROR(__xludf.DUMMYFUNCTION("""COMPUTED_VALUE"""),"No")</f>
        <v>No</v>
      </c>
      <c r="AE1909" s="5" t="str">
        <f ca="1">IFERROR(__xludf.DUMMYFUNCTION("""COMPUTED_VALUE"""),"No")</f>
        <v>No</v>
      </c>
      <c r="AF1909" s="5" t="str">
        <f ca="1">IFERROR(__xludf.DUMMYFUNCTION("""COMPUTED_VALUE"""),"No")</f>
        <v>No</v>
      </c>
      <c r="AG1909" s="5" t="str">
        <f ca="1">IFERROR(__xludf.DUMMYFUNCTION("""COMPUTED_VALUE"""),"No")</f>
        <v>No</v>
      </c>
      <c r="AH1909" s="5" t="str">
        <f ca="1">IFERROR(__xludf.DUMMYFUNCTION("""COMPUTED_VALUE"""),"No")</f>
        <v>No</v>
      </c>
      <c r="AI1909" s="5"/>
      <c r="AJ1909" s="5" t="str">
        <f ca="1">IFERROR(__xludf.DUMMYFUNCTION("""COMPUTED_VALUE"""),"No")</f>
        <v>No</v>
      </c>
    </row>
    <row r="1910" spans="1:36" ht="13">
      <c r="A1910" s="5" t="str">
        <f ca="1">IFERROR(__xludf.DUMMYFUNCTION("""COMPUTED_VALUE"""),"19900911TXSAS")</f>
        <v>19900911TXSAS</v>
      </c>
      <c r="B1910" s="5">
        <f ca="1">IFERROR(__xludf.DUMMYFUNCTION("""COMPUTED_VALUE"""),9)</f>
        <v>9</v>
      </c>
      <c r="C1910" s="5">
        <f ca="1">IFERROR(__xludf.DUMMYFUNCTION("""COMPUTED_VALUE"""),11)</f>
        <v>11</v>
      </c>
      <c r="D1910" s="5">
        <f ca="1">IFERROR(__xludf.DUMMYFUNCTION("""COMPUTED_VALUE"""),1990)</f>
        <v>1990</v>
      </c>
      <c r="E1910" s="8">
        <f ca="1">IFERROR(__xludf.DUMMYFUNCTION("""COMPUTED_VALUE"""),33127)</f>
        <v>33127</v>
      </c>
      <c r="F1910" s="5" t="str">
        <f ca="1">IFERROR(__xludf.DUMMYFUNCTION("""COMPUTED_VALUE"""),"Sam Houston High School")</f>
        <v>Sam Houston High School</v>
      </c>
      <c r="G1910" s="5">
        <f ca="1">IFERROR(__xludf.DUMMYFUNCTION("""COMPUTED_VALUE"""),0)</f>
        <v>0</v>
      </c>
      <c r="H1910" s="5">
        <f ca="1">IFERROR(__xludf.DUMMYFUNCTION("""COMPUTED_VALUE"""),3)</f>
        <v>3</v>
      </c>
      <c r="I1910" s="5">
        <f ca="1">IFERROR(__xludf.DUMMYFUNCTION("""COMPUTED_VALUE"""),3)</f>
        <v>3</v>
      </c>
      <c r="J1910" s="5">
        <f ca="1">IFERROR(__xludf.DUMMYFUNCTION("""COMPUTED_VALUE"""),0)</f>
        <v>0</v>
      </c>
      <c r="K1910" s="9" t="str">
        <f ca="1">IFERROR(__xludf.DUMMYFUNCTION("""COMPUTED_VALUE"""),"https://www.upi.com/Archives/1990/09/11/Three-shot-wounded-in-confrontation-on-school-grounds/4334653025600/")</f>
        <v>https://www.upi.com/Archives/1990/09/11/Three-shot-wounded-in-confrontation-on-school-grounds/4334653025600/</v>
      </c>
      <c r="L1910" s="5"/>
      <c r="M1910" s="5"/>
      <c r="N1910" s="5">
        <f ca="1">IFERROR(__xludf.DUMMYFUNCTION("""COMPUTED_VALUE"""),2)</f>
        <v>2</v>
      </c>
      <c r="O1910" s="5" t="str">
        <f ca="1">IFERROR(__xludf.DUMMYFUNCTION("""COMPUTED_VALUE"""),"Fall")</f>
        <v>Fall</v>
      </c>
      <c r="P1910" s="5" t="str">
        <f ca="1">IFERROR(__xludf.DUMMYFUNCTION("""COMPUTED_VALUE"""),"San Antonio")</f>
        <v>San Antonio</v>
      </c>
      <c r="Q1910" s="5" t="str">
        <f ca="1">IFERROR(__xludf.DUMMYFUNCTION("""COMPUTED_VALUE"""),"TX")</f>
        <v>TX</v>
      </c>
      <c r="R1910" s="5" t="str">
        <f ca="1">IFERROR(__xludf.DUMMYFUNCTION("""COMPUTED_VALUE"""),"High")</f>
        <v>High</v>
      </c>
      <c r="S1910" s="5" t="str">
        <f ca="1">IFERROR(__xludf.DUMMYFUNCTION("""COMPUTED_VALUE"""),"Beside Building")</f>
        <v>Beside Building</v>
      </c>
      <c r="T1910" s="5" t="str">
        <f ca="1">IFERROR(__xludf.DUMMYFUNCTION("""COMPUTED_VALUE"""),"Outside on School Property")</f>
        <v>Outside on School Property</v>
      </c>
      <c r="U1910" s="5" t="str">
        <f ca="1">IFERROR(__xludf.DUMMYFUNCTION("""COMPUTED_VALUE"""),"Yes")</f>
        <v>Yes</v>
      </c>
      <c r="V1910" s="5" t="str">
        <f ca="1">IFERROR(__xludf.DUMMYFUNCTION("""COMPUTED_VALUE"""),"Lunch")</f>
        <v>Lunch</v>
      </c>
      <c r="W1910" s="10">
        <f ca="1">IFERROR(__xludf.DUMMYFUNCTION("""COMPUTED_VALUE"""),0.496527777777777)</f>
        <v>0.49652777777777701</v>
      </c>
      <c r="X1910" s="5">
        <f ca="1">IFERROR(__xludf.DUMMYFUNCTION("""COMPUTED_VALUE"""),1)</f>
        <v>1</v>
      </c>
      <c r="Y1910" s="5" t="str">
        <f ca="1">IFERROR(__xludf.DUMMYFUNCTION("""COMPUTED_VALUE"""),"Bystander students shot during gang shooting outside of school")</f>
        <v>Bystander students shot during gang shooting outside of school</v>
      </c>
      <c r="Z1910" s="5" t="str">
        <f ca="1">IFERROR(__xludf.DUMMYFUNCTION("""COMPUTED_VALUE"""),"A fight occurred outside of the school involving members from rival gangs. Three students were shot during the fight.")</f>
        <v>A fight occurred outside of the school involving members from rival gangs. Three students were shot during the fight.</v>
      </c>
      <c r="AA1910" s="5" t="str">
        <f ca="1">IFERROR(__xludf.DUMMYFUNCTION("""COMPUTED_VALUE"""),"Escalation of Dispute")</f>
        <v>Escalation of Dispute</v>
      </c>
      <c r="AB1910" s="5" t="str">
        <f ca="1">IFERROR(__xludf.DUMMYFUNCTION("""COMPUTED_VALUE"""),"Victims Targeted")</f>
        <v>Victims Targeted</v>
      </c>
      <c r="AC1910" s="5" t="str">
        <f ca="1">IFERROR(__xludf.DUMMYFUNCTION("""COMPUTED_VALUE"""),"Yes")</f>
        <v>Yes</v>
      </c>
      <c r="AD1910" s="5" t="str">
        <f ca="1">IFERROR(__xludf.DUMMYFUNCTION("""COMPUTED_VALUE"""),"No")</f>
        <v>No</v>
      </c>
      <c r="AE1910" s="5" t="str">
        <f ca="1">IFERROR(__xludf.DUMMYFUNCTION("""COMPUTED_VALUE"""),"No")</f>
        <v>No</v>
      </c>
      <c r="AF1910" s="5" t="str">
        <f ca="1">IFERROR(__xludf.DUMMYFUNCTION("""COMPUTED_VALUE"""),"No")</f>
        <v>No</v>
      </c>
      <c r="AG1910" s="5" t="str">
        <f ca="1">IFERROR(__xludf.DUMMYFUNCTION("""COMPUTED_VALUE"""),"No")</f>
        <v>No</v>
      </c>
      <c r="AH1910" s="5" t="str">
        <f ca="1">IFERROR(__xludf.DUMMYFUNCTION("""COMPUTED_VALUE"""),"No")</f>
        <v>No</v>
      </c>
      <c r="AI1910" s="5" t="str">
        <f ca="1">IFERROR(__xludf.DUMMYFUNCTION("""COMPUTED_VALUE"""),"Yes")</f>
        <v>Yes</v>
      </c>
      <c r="AJ1910" s="5"/>
    </row>
    <row r="1911" spans="1:36" ht="13">
      <c r="A1911" s="5" t="str">
        <f ca="1">IFERROR(__xludf.DUMMYFUNCTION("""COMPUTED_VALUE"""),"19900906GASOC")</f>
        <v>19900906GASOC</v>
      </c>
      <c r="B1911" s="5">
        <f ca="1">IFERROR(__xludf.DUMMYFUNCTION("""COMPUTED_VALUE"""),9)</f>
        <v>9</v>
      </c>
      <c r="C1911" s="5">
        <f ca="1">IFERROR(__xludf.DUMMYFUNCTION("""COMPUTED_VALUE"""),6)</f>
        <v>6</v>
      </c>
      <c r="D1911" s="5">
        <f ca="1">IFERROR(__xludf.DUMMYFUNCTION("""COMPUTED_VALUE"""),1990)</f>
        <v>1990</v>
      </c>
      <c r="E1911" s="8">
        <f ca="1">IFERROR(__xludf.DUMMYFUNCTION("""COMPUTED_VALUE"""),33122)</f>
        <v>33122</v>
      </c>
      <c r="F1911" s="5" t="str">
        <f ca="1">IFERROR(__xludf.DUMMYFUNCTION("""COMPUTED_VALUE"""),"South Forsyth Middle School - High School")</f>
        <v>South Forsyth Middle School - High School</v>
      </c>
      <c r="G1911" s="5">
        <f ca="1">IFERROR(__xludf.DUMMYFUNCTION("""COMPUTED_VALUE"""),0)</f>
        <v>0</v>
      </c>
      <c r="H1911" s="5">
        <f ca="1">IFERROR(__xludf.DUMMYFUNCTION("""COMPUTED_VALUE"""),0)</f>
        <v>0</v>
      </c>
      <c r="I1911" s="5">
        <f ca="1">IFERROR(__xludf.DUMMYFUNCTION("""COMPUTED_VALUE"""),0)</f>
        <v>0</v>
      </c>
      <c r="J1911" s="5">
        <f ca="1">IFERROR(__xludf.DUMMYFUNCTION("""COMPUTED_VALUE"""),0)</f>
        <v>0</v>
      </c>
      <c r="K1911" s="5" t="str">
        <f ca="1">IFERROR(__xludf.DUMMYFUNCTION("""COMPUTED_VALUE"""),"https://www.ajc.com/news/from-1990-hostages-fear-diminished-as-teen-discussed-troubles/OV4MB7PSZZFXPEAU7K3PNIQXJQ/ https://www.ajc.com/education/greene-references-gun-incident-at-her-georgia-high-school/H4IJIIOFOJFFJAIW42LX7COHWE/ https://www.ajc.com/news"&amp;"/from-1990-hostages-fear-diminished-as-teen-discussed-troubles/OV4MB7PSZZFXPEAU7K3PNIQXJQ/ https://www.dailyitem.com/news/under-fire-for-harassing-parkland-survivor-taylor-greene-recounts-experience-with-student-gunman/article_003e7d80-0cc2-53b7-bffd-4276"&amp;"be4abd78.html https://www.upi.com/Archives/1990/09/06/Student-seizes-six-hostages-at-school/2747652593600/ https://apnews.com/article/b41718f3d339dabd4c7d1cf700cc8a45")</f>
        <v>https://www.ajc.com/news/from-1990-hostages-fear-diminished-as-teen-discussed-troubles/OV4MB7PSZZFXPEAU7K3PNIQXJQ/ https://www.ajc.com/education/greene-references-gun-incident-at-her-georgia-high-school/H4IJIIOFOJFFJAIW42LX7COHWE/ https://www.ajc.com/news/from-1990-hostages-fear-diminished-as-teen-discussed-troubles/OV4MB7PSZZFXPEAU7K3PNIQXJQ/ https://www.dailyitem.com/news/under-fire-for-harassing-parkland-survivor-taylor-greene-recounts-experience-with-student-gunman/article_003e7d80-0cc2-53b7-bffd-4276be4abd78.html https://www.upi.com/Archives/1990/09/06/Student-seizes-six-hostages-at-school/2747652593600/ https://apnews.com/article/b41718f3d339dabd4c7d1cf700cc8a45</v>
      </c>
      <c r="L1911" s="5">
        <f ca="1">IFERROR(__xludf.DUMMYFUNCTION("""COMPUTED_VALUE"""),100)</f>
        <v>100</v>
      </c>
      <c r="M1911" s="5" t="str">
        <f ca="1">IFERROR(__xludf.DUMMYFUNCTION("""COMPUTED_VALUE"""),"National")</f>
        <v>National</v>
      </c>
      <c r="N1911" s="5">
        <f ca="1">IFERROR(__xludf.DUMMYFUNCTION("""COMPUTED_VALUE"""),4)</f>
        <v>4</v>
      </c>
      <c r="O1911" s="5" t="str">
        <f ca="1">IFERROR(__xludf.DUMMYFUNCTION("""COMPUTED_VALUE"""),"Fall")</f>
        <v>Fall</v>
      </c>
      <c r="P1911" s="5" t="str">
        <f ca="1">IFERROR(__xludf.DUMMYFUNCTION("""COMPUTED_VALUE"""),"Cumming")</f>
        <v>Cumming</v>
      </c>
      <c r="Q1911" s="5" t="str">
        <f ca="1">IFERROR(__xludf.DUMMYFUNCTION("""COMPUTED_VALUE"""),"GA")</f>
        <v>GA</v>
      </c>
      <c r="R1911" s="11">
        <f ca="1">IFERROR(__xludf.DUMMYFUNCTION("""COMPUTED_VALUE"""),44724)</f>
        <v>44724</v>
      </c>
      <c r="S1911" s="5" t="str">
        <f ca="1">IFERROR(__xludf.DUMMYFUNCTION("""COMPUTED_VALUE"""),"Classroom")</f>
        <v>Classroom</v>
      </c>
      <c r="T1911" s="5" t="str">
        <f ca="1">IFERROR(__xludf.DUMMYFUNCTION("""COMPUTED_VALUE"""),"Inside School Building")</f>
        <v>Inside School Building</v>
      </c>
      <c r="U1911" s="5" t="str">
        <f ca="1">IFERROR(__xludf.DUMMYFUNCTION("""COMPUTED_VALUE"""),"Yes")</f>
        <v>Yes</v>
      </c>
      <c r="V1911" s="5" t="str">
        <f ca="1">IFERROR(__xludf.DUMMYFUNCTION("""COMPUTED_VALUE"""),"Morning Classes")</f>
        <v>Morning Classes</v>
      </c>
      <c r="W1911" s="10">
        <f ca="1">IFERROR(__xludf.DUMMYFUNCTION("""COMPUTED_VALUE"""),0.350694444444444)</f>
        <v>0.35069444444444398</v>
      </c>
      <c r="X1911" s="5">
        <f ca="1">IFERROR(__xludf.DUMMYFUNCTION("""COMPUTED_VALUE"""),330)</f>
        <v>330</v>
      </c>
      <c r="Y1911" s="5" t="str">
        <f ca="1">IFERROR(__xludf.DUMMYFUNCTION("""COMPUTED_VALUE"""),"Student took 53 students hostage at gunpoint in classroom for 5.5 hours")</f>
        <v>Student took 53 students hostage at gunpoint in classroom for 5.5 hours</v>
      </c>
      <c r="Z1911" s="5" t="str">
        <f ca="1">IFERROR(__xludf.DUMMYFUNCTION("""COMPUTED_VALUE"""),"A 17-year-old student took 53 classmates hostage inside a classroom. He was armed with a rifle, shotgun, and handgun. He fired a shot from the rifle inside the classroom and the teacher was able to wrestle the rifle away. He then pulled a handgun and took"&amp;" the students in the class hostage. During a 5.5 hour standoff with police, he exchanged hostages for soda and candy. Shooter demanded $5,000 in cash and a school bus. At 1:45 with 9 hostages left in the classroom, the shooter became dizzy and surrendered"&amp;" to police. Students reported the shooter had a history if seizures and took medication. Court reports cited psychological and emotional problems. Juvenile criminal record. Shooter was taken by police to a psychiatric hospital following the incident. Char"&amp;"ged as an adult with 90 felony charges including 53 counts of kidnapping, aggravated assault, and weapons charges.")</f>
        <v>A 17-year-old student took 53 classmates hostage inside a classroom. He was armed with a rifle, shotgun, and handgun. He fired a shot from the rifle inside the classroom and the teacher was able to wrestle the rifle away. He then pulled a handgun and took the students in the class hostage. During a 5.5 hour standoff with police, he exchanged hostages for soda and candy. Shooter demanded $5,000 in cash and a school bus. At 1:45 with 9 hostages left in the classroom, the shooter became dizzy and surrendered to police. Students reported the shooter had a history if seizures and took medication. Court reports cited psychological and emotional problems. Juvenile criminal record. Shooter was taken by police to a psychiatric hospital following the incident. Charged as an adult with 90 felony charges including 53 counts of kidnapping, aggravated assault, and weapons charges.</v>
      </c>
      <c r="AA1911" s="5" t="str">
        <f ca="1">IFERROR(__xludf.DUMMYFUNCTION("""COMPUTED_VALUE"""),"Hostage/Standoff")</f>
        <v>Hostage/Standoff</v>
      </c>
      <c r="AB1911" s="5" t="str">
        <f ca="1">IFERROR(__xludf.DUMMYFUNCTION("""COMPUTED_VALUE"""),"Both")</f>
        <v>Both</v>
      </c>
      <c r="AC1911" s="5" t="str">
        <f ca="1">IFERROR(__xludf.DUMMYFUNCTION("""COMPUTED_VALUE"""),"No")</f>
        <v>No</v>
      </c>
      <c r="AD1911" s="5" t="str">
        <f ca="1">IFERROR(__xludf.DUMMYFUNCTION("""COMPUTED_VALUE"""),"Yes")</f>
        <v>Yes</v>
      </c>
      <c r="AE1911" s="5" t="str">
        <f ca="1">IFERROR(__xludf.DUMMYFUNCTION("""COMPUTED_VALUE"""),"Yes")</f>
        <v>Yes</v>
      </c>
      <c r="AF1911" s="5" t="str">
        <f ca="1">IFERROR(__xludf.DUMMYFUNCTION("""COMPUTED_VALUE"""),"No")</f>
        <v>No</v>
      </c>
      <c r="AG1911" s="5"/>
      <c r="AH1911" s="5" t="str">
        <f ca="1">IFERROR(__xludf.DUMMYFUNCTION("""COMPUTED_VALUE"""),"No")</f>
        <v>No</v>
      </c>
      <c r="AI1911" s="5" t="str">
        <f ca="1">IFERROR(__xludf.DUMMYFUNCTION("""COMPUTED_VALUE"""),"No")</f>
        <v>No</v>
      </c>
      <c r="AJ1911" s="5" t="str">
        <f ca="1">IFERROR(__xludf.DUMMYFUNCTION("""COMPUTED_VALUE"""),"Yes")</f>
        <v>Yes</v>
      </c>
    </row>
    <row r="1912" spans="1:36" ht="13">
      <c r="A1912" s="5" t="str">
        <f ca="1">IFERROR(__xludf.DUMMYFUNCTION("""COMPUTED_VALUE"""),"19900827NVELL")</f>
        <v>19900827NVELL</v>
      </c>
      <c r="B1912" s="5">
        <f ca="1">IFERROR(__xludf.DUMMYFUNCTION("""COMPUTED_VALUE"""),8)</f>
        <v>8</v>
      </c>
      <c r="C1912" s="5">
        <f ca="1">IFERROR(__xludf.DUMMYFUNCTION("""COMPUTED_VALUE"""),27)</f>
        <v>27</v>
      </c>
      <c r="D1912" s="5">
        <f ca="1">IFERROR(__xludf.DUMMYFUNCTION("""COMPUTED_VALUE"""),1990)</f>
        <v>1990</v>
      </c>
      <c r="E1912" s="8">
        <f ca="1">IFERROR(__xludf.DUMMYFUNCTION("""COMPUTED_VALUE"""),33112)</f>
        <v>33112</v>
      </c>
      <c r="F1912" s="5" t="str">
        <f ca="1">IFERROR(__xludf.DUMMYFUNCTION("""COMPUTED_VALUE"""),"Eldorado High School")</f>
        <v>Eldorado High School</v>
      </c>
      <c r="G1912" s="5">
        <f ca="1">IFERROR(__xludf.DUMMYFUNCTION("""COMPUTED_VALUE"""),1)</f>
        <v>1</v>
      </c>
      <c r="H1912" s="5">
        <f ca="1">IFERROR(__xludf.DUMMYFUNCTION("""COMPUTED_VALUE"""),0)</f>
        <v>0</v>
      </c>
      <c r="I1912" s="5">
        <f ca="1">IFERROR(__xludf.DUMMYFUNCTION("""COMPUTED_VALUE"""),1)</f>
        <v>1</v>
      </c>
      <c r="J1912" s="5">
        <f ca="1">IFERROR(__xludf.DUMMYFUNCTION("""COMPUTED_VALUE"""),0)</f>
        <v>0</v>
      </c>
      <c r="K1912" s="9" t="str">
        <f ca="1">IFERROR(__xludf.DUMMYFUNCTION("""COMPUTED_VALUE"""),"https://lasvegassun.com/news/1998/jun/20/memories-linger-for-victims-mother/")</f>
        <v>https://lasvegassun.com/news/1998/jun/20/memories-linger-for-victims-mother/</v>
      </c>
      <c r="L1912" s="5"/>
      <c r="M1912" s="5"/>
      <c r="N1912" s="5">
        <f ca="1">IFERROR(__xludf.DUMMYFUNCTION("""COMPUTED_VALUE"""),2)</f>
        <v>2</v>
      </c>
      <c r="O1912" s="5" t="str">
        <f ca="1">IFERROR(__xludf.DUMMYFUNCTION("""COMPUTED_VALUE"""),"Summer")</f>
        <v>Summer</v>
      </c>
      <c r="P1912" s="5" t="str">
        <f ca="1">IFERROR(__xludf.DUMMYFUNCTION("""COMPUTED_VALUE"""),"Las Vegas")</f>
        <v>Las Vegas</v>
      </c>
      <c r="Q1912" s="5" t="str">
        <f ca="1">IFERROR(__xludf.DUMMYFUNCTION("""COMPUTED_VALUE"""),"NV")</f>
        <v>NV</v>
      </c>
      <c r="R1912" s="5" t="str">
        <f ca="1">IFERROR(__xludf.DUMMYFUNCTION("""COMPUTED_VALUE"""),"High")</f>
        <v>High</v>
      </c>
      <c r="S1912" s="5" t="str">
        <f ca="1">IFERROR(__xludf.DUMMYFUNCTION("""COMPUTED_VALUE"""),"Hallway")</f>
        <v>Hallway</v>
      </c>
      <c r="T1912" s="5" t="str">
        <f ca="1">IFERROR(__xludf.DUMMYFUNCTION("""COMPUTED_VALUE"""),"Inside School Building")</f>
        <v>Inside School Building</v>
      </c>
      <c r="U1912" s="5" t="str">
        <f ca="1">IFERROR(__xludf.DUMMYFUNCTION("""COMPUTED_VALUE"""),"Yes")</f>
        <v>Yes</v>
      </c>
      <c r="V1912" s="5" t="str">
        <f ca="1">IFERROR(__xludf.DUMMYFUNCTION("""COMPUTED_VALUE"""),"Before School")</f>
        <v>Before School</v>
      </c>
      <c r="W1912" s="10">
        <f ca="1">IFERROR(__xludf.DUMMYFUNCTION("""COMPUTED_VALUE"""),0.302083333333333)</f>
        <v>0.30208333333333298</v>
      </c>
      <c r="X1912" s="5">
        <f ca="1">IFERROR(__xludf.DUMMYFUNCTION("""COMPUTED_VALUE"""),1)</f>
        <v>1</v>
      </c>
      <c r="Y1912" s="5" t="str">
        <f ca="1">IFERROR(__xludf.DUMMYFUNCTION("""COMPUTED_VALUE"""),"Gang related shooting involving large group of students")</f>
        <v>Gang related shooting involving large group of students</v>
      </c>
      <c r="Z1912" s="5" t="str">
        <f ca="1">IFERROR(__xludf.DUMMYFUNCTION("""COMPUTED_VALUE"""),"Gang related - stemmed from previous fights in the past. Bystander student struck and killed.")</f>
        <v>Gang related - stemmed from previous fights in the past. Bystander student struck and killed.</v>
      </c>
      <c r="AA1912" s="5" t="str">
        <f ca="1">IFERROR(__xludf.DUMMYFUNCTION("""COMPUTED_VALUE"""),"Escalation of Dispute")</f>
        <v>Escalation of Dispute</v>
      </c>
      <c r="AB1912" s="5" t="str">
        <f ca="1">IFERROR(__xludf.DUMMYFUNCTION("""COMPUTED_VALUE"""),"Victims Targeted")</f>
        <v>Victims Targeted</v>
      </c>
      <c r="AC1912" s="5" t="str">
        <f ca="1">IFERROR(__xludf.DUMMYFUNCTION("""COMPUTED_VALUE"""),"No")</f>
        <v>No</v>
      </c>
      <c r="AD1912" s="5" t="str">
        <f ca="1">IFERROR(__xludf.DUMMYFUNCTION("""COMPUTED_VALUE"""),"No")</f>
        <v>No</v>
      </c>
      <c r="AE1912" s="5" t="str">
        <f ca="1">IFERROR(__xludf.DUMMYFUNCTION("""COMPUTED_VALUE"""),"No")</f>
        <v>No</v>
      </c>
      <c r="AF1912" s="5" t="str">
        <f ca="1">IFERROR(__xludf.DUMMYFUNCTION("""COMPUTED_VALUE"""),"No")</f>
        <v>No</v>
      </c>
      <c r="AG1912" s="5" t="str">
        <f ca="1">IFERROR(__xludf.DUMMYFUNCTION("""COMPUTED_VALUE"""),"No")</f>
        <v>No</v>
      </c>
      <c r="AH1912" s="5" t="str">
        <f ca="1">IFERROR(__xludf.DUMMYFUNCTION("""COMPUTED_VALUE"""),"No")</f>
        <v>No</v>
      </c>
      <c r="AI1912" s="5" t="str">
        <f ca="1">IFERROR(__xludf.DUMMYFUNCTION("""COMPUTED_VALUE"""),"Yes")</f>
        <v>Yes</v>
      </c>
      <c r="AJ1912" s="5"/>
    </row>
    <row r="1913" spans="1:36" ht="13">
      <c r="A1913" s="5" t="str">
        <f ca="1">IFERROR(__xludf.DUMMYFUNCTION("""COMPUTED_VALUE"""),"19900827TXWHD")</f>
        <v>19900827TXWHD</v>
      </c>
      <c r="B1913" s="5">
        <f ca="1">IFERROR(__xludf.DUMMYFUNCTION("""COMPUTED_VALUE"""),8)</f>
        <v>8</v>
      </c>
      <c r="C1913" s="5">
        <f ca="1">IFERROR(__xludf.DUMMYFUNCTION("""COMPUTED_VALUE"""),27)</f>
        <v>27</v>
      </c>
      <c r="D1913" s="5">
        <f ca="1">IFERROR(__xludf.DUMMYFUNCTION("""COMPUTED_VALUE"""),1990)</f>
        <v>1990</v>
      </c>
      <c r="E1913" s="8">
        <f ca="1">IFERROR(__xludf.DUMMYFUNCTION("""COMPUTED_VALUE"""),33112)</f>
        <v>33112</v>
      </c>
      <c r="F1913" s="5" t="str">
        <f ca="1">IFERROR(__xludf.DUMMYFUNCTION("""COMPUTED_VALUE"""),"W H Adamson High School")</f>
        <v>W H Adamson High School</v>
      </c>
      <c r="G1913" s="5">
        <f ca="1">IFERROR(__xludf.DUMMYFUNCTION("""COMPUTED_VALUE"""),0)</f>
        <v>0</v>
      </c>
      <c r="H1913" s="5">
        <f ca="1">IFERROR(__xludf.DUMMYFUNCTION("""COMPUTED_VALUE"""),0)</f>
        <v>0</v>
      </c>
      <c r="I1913" s="5">
        <f ca="1">IFERROR(__xludf.DUMMYFUNCTION("""COMPUTED_VALUE"""),0)</f>
        <v>0</v>
      </c>
      <c r="J1913" s="5">
        <f ca="1">IFERROR(__xludf.DUMMYFUNCTION("""COMPUTED_VALUE"""),0)</f>
        <v>0</v>
      </c>
      <c r="K1913" s="9" t="str">
        <f ca="1">IFERROR(__xludf.DUMMYFUNCTION("""COMPUTED_VALUE"""),"https://www.columbine-angels.com/School_Violence_1990-1991.htm")</f>
        <v>https://www.columbine-angels.com/School_Violence_1990-1991.htm</v>
      </c>
      <c r="L1913" s="5"/>
      <c r="M1913" s="5"/>
      <c r="N1913" s="5">
        <f ca="1">IFERROR(__xludf.DUMMYFUNCTION("""COMPUTED_VALUE"""),1)</f>
        <v>1</v>
      </c>
      <c r="O1913" s="5" t="str">
        <f ca="1">IFERROR(__xludf.DUMMYFUNCTION("""COMPUTED_VALUE"""),"Summer")</f>
        <v>Summer</v>
      </c>
      <c r="P1913" s="5" t="str">
        <f ca="1">IFERROR(__xludf.DUMMYFUNCTION("""COMPUTED_VALUE"""),"Dallas")</f>
        <v>Dallas</v>
      </c>
      <c r="Q1913" s="5" t="str">
        <f ca="1">IFERROR(__xludf.DUMMYFUNCTION("""COMPUTED_VALUE"""),"TX")</f>
        <v>TX</v>
      </c>
      <c r="R1913" s="5" t="str">
        <f ca="1">IFERROR(__xludf.DUMMYFUNCTION("""COMPUTED_VALUE"""),"High")</f>
        <v>High</v>
      </c>
      <c r="S1913" s="5" t="str">
        <f ca="1">IFERROR(__xludf.DUMMYFUNCTION("""COMPUTED_VALUE"""),"Outside on School Property")</f>
        <v>Outside on School Property</v>
      </c>
      <c r="T1913" s="5" t="str">
        <f ca="1">IFERROR(__xludf.DUMMYFUNCTION("""COMPUTED_VALUE"""),"Outside on School Property")</f>
        <v>Outside on School Property</v>
      </c>
      <c r="U1913" s="5" t="str">
        <f ca="1">IFERROR(__xludf.DUMMYFUNCTION("""COMPUTED_VALUE"""),"Yes")</f>
        <v>Yes</v>
      </c>
      <c r="V1913" s="5" t="str">
        <f ca="1">IFERROR(__xludf.DUMMYFUNCTION("""COMPUTED_VALUE"""),"Morning Classes")</f>
        <v>Morning Classes</v>
      </c>
      <c r="W1913" s="10">
        <f ca="1">IFERROR(__xludf.DUMMYFUNCTION("""COMPUTED_VALUE"""),0.427083333333333)</f>
        <v>0.42708333333333298</v>
      </c>
      <c r="X1913" s="5">
        <f ca="1">IFERROR(__xludf.DUMMYFUNCTION("""COMPUTED_VALUE"""),1)</f>
        <v>1</v>
      </c>
      <c r="Y1913" s="5" t="str">
        <f ca="1">IFERROR(__xludf.DUMMYFUNCTION("""COMPUTED_VALUE"""),"5 gang members fired shots at a student, all shots missed.")</f>
        <v>5 gang members fired shots at a student, all shots missed.</v>
      </c>
      <c r="Z1913" s="5" t="str">
        <f ca="1">IFERROR(__xludf.DUMMYFUNCTION("""COMPUTED_VALUE"""),"5 gang members approached a student outside of the school and fired 3 shots during a confrontation.")</f>
        <v>5 gang members approached a student outside of the school and fired 3 shots during a confrontation.</v>
      </c>
      <c r="AA1913" s="5" t="str">
        <f ca="1">IFERROR(__xludf.DUMMYFUNCTION("""COMPUTED_VALUE"""),"Escalation of Dispute")</f>
        <v>Escalation of Dispute</v>
      </c>
      <c r="AB1913" s="5" t="str">
        <f ca="1">IFERROR(__xludf.DUMMYFUNCTION("""COMPUTED_VALUE"""),"Victims Targeted")</f>
        <v>Victims Targeted</v>
      </c>
      <c r="AC1913" s="5" t="str">
        <f ca="1">IFERROR(__xludf.DUMMYFUNCTION("""COMPUTED_VALUE"""),"Yes")</f>
        <v>Yes</v>
      </c>
      <c r="AD1913" s="5" t="str">
        <f ca="1">IFERROR(__xludf.DUMMYFUNCTION("""COMPUTED_VALUE"""),"No")</f>
        <v>No</v>
      </c>
      <c r="AE1913" s="5" t="str">
        <f ca="1">IFERROR(__xludf.DUMMYFUNCTION("""COMPUTED_VALUE"""),"No")</f>
        <v>No</v>
      </c>
      <c r="AF1913" s="5" t="str">
        <f ca="1">IFERROR(__xludf.DUMMYFUNCTION("""COMPUTED_VALUE"""),"No")</f>
        <v>No</v>
      </c>
      <c r="AG1913" s="5" t="str">
        <f ca="1">IFERROR(__xludf.DUMMYFUNCTION("""COMPUTED_VALUE"""),"No")</f>
        <v>No</v>
      </c>
      <c r="AH1913" s="5" t="str">
        <f ca="1">IFERROR(__xludf.DUMMYFUNCTION("""COMPUTED_VALUE"""),"No")</f>
        <v>No</v>
      </c>
      <c r="AI1913" s="5" t="str">
        <f ca="1">IFERROR(__xludf.DUMMYFUNCTION("""COMPUTED_VALUE"""),"Yes")</f>
        <v>Yes</v>
      </c>
      <c r="AJ1913" s="5"/>
    </row>
    <row r="1914" spans="1:36" ht="13">
      <c r="A1914" s="5" t="str">
        <f ca="1">IFERROR(__xludf.DUMMYFUNCTION("""COMPUTED_VALUE"""),"19900824NCMYC")</f>
        <v>19900824NCMYC</v>
      </c>
      <c r="B1914" s="5">
        <f ca="1">IFERROR(__xludf.DUMMYFUNCTION("""COMPUTED_VALUE"""),8)</f>
        <v>8</v>
      </c>
      <c r="C1914" s="5">
        <f ca="1">IFERROR(__xludf.DUMMYFUNCTION("""COMPUTED_VALUE"""),24)</f>
        <v>24</v>
      </c>
      <c r="D1914" s="5">
        <f ca="1">IFERROR(__xludf.DUMMYFUNCTION("""COMPUTED_VALUE"""),1990)</f>
        <v>1990</v>
      </c>
      <c r="E1914" s="8">
        <f ca="1">IFERROR(__xludf.DUMMYFUNCTION("""COMPUTED_VALUE"""),33109)</f>
        <v>33109</v>
      </c>
      <c r="F1914" s="5" t="str">
        <f ca="1">IFERROR(__xludf.DUMMYFUNCTION("""COMPUTED_VALUE"""),"Myers Park High School")</f>
        <v>Myers Park High School</v>
      </c>
      <c r="G1914" s="5">
        <f ca="1">IFERROR(__xludf.DUMMYFUNCTION("""COMPUTED_VALUE"""),1)</f>
        <v>1</v>
      </c>
      <c r="H1914" s="5">
        <f ca="1">IFERROR(__xludf.DUMMYFUNCTION("""COMPUTED_VALUE"""),0)</f>
        <v>0</v>
      </c>
      <c r="I1914" s="5">
        <f ca="1">IFERROR(__xludf.DUMMYFUNCTION("""COMPUTED_VALUE"""),1)</f>
        <v>1</v>
      </c>
      <c r="J1914" s="5">
        <f ca="1">IFERROR(__xludf.DUMMYFUNCTION("""COMPUTED_VALUE"""),0)</f>
        <v>0</v>
      </c>
      <c r="K1914" s="9" t="str">
        <f ca="1">IFERROR(__xludf.DUMMYFUNCTION("""COMPUTED_VALUE"""),"https://www.newspapers.com/image/400340582/?terms=Myers%2BPark%2BHigh%2BSchool%2Bshooting")</f>
        <v>https://www.newspapers.com/image/400340582/?terms=Myers%2BPark%2BHigh%2BSchool%2Bshooting</v>
      </c>
      <c r="L1914" s="5"/>
      <c r="M1914" s="5"/>
      <c r="N1914" s="5">
        <f ca="1">IFERROR(__xludf.DUMMYFUNCTION("""COMPUTED_VALUE"""),2)</f>
        <v>2</v>
      </c>
      <c r="O1914" s="5" t="str">
        <f ca="1">IFERROR(__xludf.DUMMYFUNCTION("""COMPUTED_VALUE"""),"Summer")</f>
        <v>Summer</v>
      </c>
      <c r="P1914" s="5" t="str">
        <f ca="1">IFERROR(__xludf.DUMMYFUNCTION("""COMPUTED_VALUE"""),"Charlotte")</f>
        <v>Charlotte</v>
      </c>
      <c r="Q1914" s="5" t="str">
        <f ca="1">IFERROR(__xludf.DUMMYFUNCTION("""COMPUTED_VALUE"""),"NC")</f>
        <v>NC</v>
      </c>
      <c r="R1914" s="5" t="str">
        <f ca="1">IFERROR(__xludf.DUMMYFUNCTION("""COMPUTED_VALUE"""),"High")</f>
        <v>High</v>
      </c>
      <c r="S1914" s="5" t="str">
        <f ca="1">IFERROR(__xludf.DUMMYFUNCTION("""COMPUTED_VALUE"""),"Football Field/Track")</f>
        <v>Football Field/Track</v>
      </c>
      <c r="T1914" s="5" t="str">
        <f ca="1">IFERROR(__xludf.DUMMYFUNCTION("""COMPUTED_VALUE"""),"Outside on School Property")</f>
        <v>Outside on School Property</v>
      </c>
      <c r="U1914" s="5" t="str">
        <f ca="1">IFERROR(__xludf.DUMMYFUNCTION("""COMPUTED_VALUE"""),"No")</f>
        <v>No</v>
      </c>
      <c r="V1914" s="5" t="str">
        <f ca="1">IFERROR(__xludf.DUMMYFUNCTION("""COMPUTED_VALUE"""),"Sport Event")</f>
        <v>Sport Event</v>
      </c>
      <c r="W1914" s="5"/>
      <c r="X1914" s="5">
        <f ca="1">IFERROR(__xludf.DUMMYFUNCTION("""COMPUTED_VALUE"""),1)</f>
        <v>1</v>
      </c>
      <c r="Y1914" s="5" t="str">
        <f ca="1">IFERROR(__xludf.DUMMYFUNCTION("""COMPUTED_VALUE"""),"Student shot during football game by unknown shooter who fled")</f>
        <v>Student shot during football game by unknown shooter who fled</v>
      </c>
      <c r="Z1914" s="5" t="str">
        <f ca="1">IFERROR(__xludf.DUMMYFUNCTION("""COMPUTED_VALUE"""),"15 year old student shot and killed during football game by unknown suspect.")</f>
        <v>15 year old student shot and killed during football game by unknown suspect.</v>
      </c>
      <c r="AA1914" s="5" t="str">
        <f ca="1">IFERROR(__xludf.DUMMYFUNCTION("""COMPUTED_VALUE"""),"Unknown")</f>
        <v>Unknown</v>
      </c>
      <c r="AB1914" s="5"/>
      <c r="AC1914" s="5" t="str">
        <f ca="1">IFERROR(__xludf.DUMMYFUNCTION("""COMPUTED_VALUE"""),"No")</f>
        <v>No</v>
      </c>
      <c r="AD1914" s="5" t="str">
        <f ca="1">IFERROR(__xludf.DUMMYFUNCTION("""COMPUTED_VALUE"""),"No")</f>
        <v>No</v>
      </c>
      <c r="AE1914" s="5" t="str">
        <f ca="1">IFERROR(__xludf.DUMMYFUNCTION("""COMPUTED_VALUE"""),"No")</f>
        <v>No</v>
      </c>
      <c r="AF1914" s="5" t="str">
        <f ca="1">IFERROR(__xludf.DUMMYFUNCTION("""COMPUTED_VALUE"""),"No")</f>
        <v>No</v>
      </c>
      <c r="AG1914" s="5" t="str">
        <f ca="1">IFERROR(__xludf.DUMMYFUNCTION("""COMPUTED_VALUE"""),"No")</f>
        <v>No</v>
      </c>
      <c r="AH1914" s="5" t="str">
        <f ca="1">IFERROR(__xludf.DUMMYFUNCTION("""COMPUTED_VALUE"""),"No")</f>
        <v>No</v>
      </c>
      <c r="AI1914" s="5"/>
      <c r="AJ1914" s="5"/>
    </row>
    <row r="1915" spans="1:36" ht="13">
      <c r="A1915" s="5" t="str">
        <f ca="1">IFERROR(__xludf.DUMMYFUNCTION("""COMPUTED_VALUE"""),"19900531TXSUF")</f>
        <v>19900531TXSUF</v>
      </c>
      <c r="B1915" s="5">
        <f ca="1">IFERROR(__xludf.DUMMYFUNCTION("""COMPUTED_VALUE"""),5)</f>
        <v>5</v>
      </c>
      <c r="C1915" s="5">
        <f ca="1">IFERROR(__xludf.DUMMYFUNCTION("""COMPUTED_VALUE"""),31)</f>
        <v>31</v>
      </c>
      <c r="D1915" s="5">
        <f ca="1">IFERROR(__xludf.DUMMYFUNCTION("""COMPUTED_VALUE"""),1990)</f>
        <v>1990</v>
      </c>
      <c r="E1915" s="8">
        <f ca="1">IFERROR(__xludf.DUMMYFUNCTION("""COMPUTED_VALUE"""),33024)</f>
        <v>33024</v>
      </c>
      <c r="F1915" s="5" t="str">
        <f ca="1">IFERROR(__xludf.DUMMYFUNCTION("""COMPUTED_VALUE"""),"Sunrise Elementary School")</f>
        <v>Sunrise Elementary School</v>
      </c>
      <c r="G1915" s="5">
        <f ca="1">IFERROR(__xludf.DUMMYFUNCTION("""COMPUTED_VALUE"""),0)</f>
        <v>0</v>
      </c>
      <c r="H1915" s="5">
        <f ca="1">IFERROR(__xludf.DUMMYFUNCTION("""COMPUTED_VALUE"""),2)</f>
        <v>2</v>
      </c>
      <c r="I1915" s="5">
        <f ca="1">IFERROR(__xludf.DUMMYFUNCTION("""COMPUTED_VALUE"""),2)</f>
        <v>2</v>
      </c>
      <c r="J1915" s="5">
        <f ca="1">IFERROR(__xludf.DUMMYFUNCTION("""COMPUTED_VALUE"""),0)</f>
        <v>0</v>
      </c>
      <c r="K1915" s="5" t="str">
        <f ca="1">IFERROR(__xludf.DUMMYFUNCTION("""COMPUTED_VALUE"""),"https://www.newspapers.com/image/213770638/?terms=Sunrise%2BElementary%2BSchool   https://www.newspapers.com/image/431528264/?terms=sunrise%2Belementary%2Bschool")</f>
        <v>https://www.newspapers.com/image/213770638/?terms=Sunrise%2BElementary%2BSchool   https://www.newspapers.com/image/431528264/?terms=sunrise%2Belementary%2Bschool</v>
      </c>
      <c r="L1915" s="5"/>
      <c r="M1915" s="5"/>
      <c r="N1915" s="5">
        <f ca="1">IFERROR(__xludf.DUMMYFUNCTION("""COMPUTED_VALUE"""),2)</f>
        <v>2</v>
      </c>
      <c r="O1915" s="5" t="str">
        <f ca="1">IFERROR(__xludf.DUMMYFUNCTION("""COMPUTED_VALUE"""),"Spring")</f>
        <v>Spring</v>
      </c>
      <c r="P1915" s="5" t="str">
        <f ca="1">IFERROR(__xludf.DUMMYFUNCTION("""COMPUTED_VALUE"""),"Fort Worth")</f>
        <v>Fort Worth</v>
      </c>
      <c r="Q1915" s="5" t="str">
        <f ca="1">IFERROR(__xludf.DUMMYFUNCTION("""COMPUTED_VALUE"""),"TX")</f>
        <v>TX</v>
      </c>
      <c r="R1915" s="5" t="str">
        <f ca="1">IFERROR(__xludf.DUMMYFUNCTION("""COMPUTED_VALUE"""),"Elementary")</f>
        <v>Elementary</v>
      </c>
      <c r="S1915" s="5" t="str">
        <f ca="1">IFERROR(__xludf.DUMMYFUNCTION("""COMPUTED_VALUE"""),"Playground")</f>
        <v>Playground</v>
      </c>
      <c r="T1915" s="5" t="str">
        <f ca="1">IFERROR(__xludf.DUMMYFUNCTION("""COMPUTED_VALUE"""),"Outside on School Property")</f>
        <v>Outside on School Property</v>
      </c>
      <c r="U1915" s="5" t="str">
        <f ca="1">IFERROR(__xludf.DUMMYFUNCTION("""COMPUTED_VALUE"""),"Yes")</f>
        <v>Yes</v>
      </c>
      <c r="V1915" s="5" t="str">
        <f ca="1">IFERROR(__xludf.DUMMYFUNCTION("""COMPUTED_VALUE"""),"Morning Classes")</f>
        <v>Morning Classes</v>
      </c>
      <c r="W1915" s="10">
        <f ca="1">IFERROR(__xludf.DUMMYFUNCTION("""COMPUTED_VALUE"""),0.427083333333333)</f>
        <v>0.42708333333333298</v>
      </c>
      <c r="X1915" s="5">
        <f ca="1">IFERROR(__xludf.DUMMYFUNCTION("""COMPUTED_VALUE"""),1)</f>
        <v>1</v>
      </c>
      <c r="Y1915" s="5" t="str">
        <f ca="1">IFERROR(__xludf.DUMMYFUNCTION("""COMPUTED_VALUE"""),"Teenagers joyriding fired at two elementary school students on a school playground")</f>
        <v>Teenagers joyriding fired at two elementary school students on a school playground</v>
      </c>
      <c r="Z1915" s="5" t="str">
        <f ca="1">IFERROR(__xludf.DUMMYFUNCTION("""COMPUTED_VALUE"""),"15YOM and 16YOM male driving in vehicle fired shots for .22 handgun at playground striking two elementary school students. The shooters were later caught and said they were playing around. 16YO who fired was released to his father for punishment who brand"&amp;"ed him with a ""2"" to signify the two student he could have killed.")</f>
        <v>15YOM and 16YOM male driving in vehicle fired shots for .22 handgun at playground striking two elementary school students. The shooters were later caught and said they were playing around. 16YO who fired was released to his father for punishment who branded him with a "2" to signify the two student he could have killed.</v>
      </c>
      <c r="AA1915" s="5" t="str">
        <f ca="1">IFERROR(__xludf.DUMMYFUNCTION("""COMPUTED_VALUE"""),"Indiscriminate Shooting")</f>
        <v>Indiscriminate Shooting</v>
      </c>
      <c r="AB1915" s="5" t="str">
        <f ca="1">IFERROR(__xludf.DUMMYFUNCTION("""COMPUTED_VALUE"""),"Random Shooting")</f>
        <v>Random Shooting</v>
      </c>
      <c r="AC1915" s="5" t="str">
        <f ca="1">IFERROR(__xludf.DUMMYFUNCTION("""COMPUTED_VALUE"""),"No")</f>
        <v>No</v>
      </c>
      <c r="AD1915" s="5" t="str">
        <f ca="1">IFERROR(__xludf.DUMMYFUNCTION("""COMPUTED_VALUE"""),"No")</f>
        <v>No</v>
      </c>
      <c r="AE1915" s="5" t="str">
        <f ca="1">IFERROR(__xludf.DUMMYFUNCTION("""COMPUTED_VALUE"""),"No")</f>
        <v>No</v>
      </c>
      <c r="AF1915" s="5" t="str">
        <f ca="1">IFERROR(__xludf.DUMMYFUNCTION("""COMPUTED_VALUE"""),"No")</f>
        <v>No</v>
      </c>
      <c r="AG1915" s="5" t="str">
        <f ca="1">IFERROR(__xludf.DUMMYFUNCTION("""COMPUTED_VALUE"""),"No")</f>
        <v>No</v>
      </c>
      <c r="AH1915" s="5" t="str">
        <f ca="1">IFERROR(__xludf.DUMMYFUNCTION("""COMPUTED_VALUE"""),"No")</f>
        <v>No</v>
      </c>
      <c r="AI1915" s="5" t="str">
        <f ca="1">IFERROR(__xludf.DUMMYFUNCTION("""COMPUTED_VALUE"""),"No")</f>
        <v>No</v>
      </c>
      <c r="AJ1915" s="5"/>
    </row>
    <row r="1916" spans="1:36" ht="13">
      <c r="A1916" s="5" t="str">
        <f ca="1">IFERROR(__xludf.DUMMYFUNCTION("""COMPUTED_VALUE"""),"19900520TNHIC")</f>
        <v>19900520TNHIC</v>
      </c>
      <c r="B1916" s="5">
        <f ca="1">IFERROR(__xludf.DUMMYFUNCTION("""COMPUTED_VALUE"""),5)</f>
        <v>5</v>
      </c>
      <c r="C1916" s="5">
        <f ca="1">IFERROR(__xludf.DUMMYFUNCTION("""COMPUTED_VALUE"""),20)</f>
        <v>20</v>
      </c>
      <c r="D1916" s="5">
        <f ca="1">IFERROR(__xludf.DUMMYFUNCTION("""COMPUTED_VALUE"""),1990)</f>
        <v>1990</v>
      </c>
      <c r="E1916" s="8">
        <f ca="1">IFERROR(__xludf.DUMMYFUNCTION("""COMPUTED_VALUE"""),33013)</f>
        <v>33013</v>
      </c>
      <c r="F1916" s="5" t="str">
        <f ca="1">IFERROR(__xludf.DUMMYFUNCTION("""COMPUTED_VALUE"""),"Hickman County High School")</f>
        <v>Hickman County High School</v>
      </c>
      <c r="G1916" s="5">
        <f ca="1">IFERROR(__xludf.DUMMYFUNCTION("""COMPUTED_VALUE"""),1)</f>
        <v>1</v>
      </c>
      <c r="H1916" s="5">
        <f ca="1">IFERROR(__xludf.DUMMYFUNCTION("""COMPUTED_VALUE"""),0)</f>
        <v>0</v>
      </c>
      <c r="I1916" s="5">
        <f ca="1">IFERROR(__xludf.DUMMYFUNCTION("""COMPUTED_VALUE"""),1)</f>
        <v>1</v>
      </c>
      <c r="J1916" s="5">
        <f ca="1">IFERROR(__xludf.DUMMYFUNCTION("""COMPUTED_VALUE"""),0)</f>
        <v>0</v>
      </c>
      <c r="K1916" s="9" t="str">
        <f ca="1">IFERROR(__xludf.DUMMYFUNCTION("""COMPUTED_VALUE"""),"https://news.google.com/newspapers?nid=1310&amp;dat=19900521&amp;id=wcJWAAAAIBAJ&amp;sjid=0eoDAAAAIBAJ&amp;pg=6655,5338612,")</f>
        <v>https://news.google.com/newspapers?nid=1310&amp;dat=19900521&amp;id=wcJWAAAAIBAJ&amp;sjid=0eoDAAAAIBAJ&amp;pg=6655,5338612,</v>
      </c>
      <c r="L1916" s="5"/>
      <c r="M1916" s="5"/>
      <c r="N1916" s="5">
        <f ca="1">IFERROR(__xludf.DUMMYFUNCTION("""COMPUTED_VALUE"""),2)</f>
        <v>2</v>
      </c>
      <c r="O1916" s="5" t="str">
        <f ca="1">IFERROR(__xludf.DUMMYFUNCTION("""COMPUTED_VALUE"""),"Spring")</f>
        <v>Spring</v>
      </c>
      <c r="P1916" s="5" t="str">
        <f ca="1">IFERROR(__xludf.DUMMYFUNCTION("""COMPUTED_VALUE"""),"Centerville")</f>
        <v>Centerville</v>
      </c>
      <c r="Q1916" s="5" t="str">
        <f ca="1">IFERROR(__xludf.DUMMYFUNCTION("""COMPUTED_VALUE"""),"TN")</f>
        <v>TN</v>
      </c>
      <c r="R1916" s="5" t="str">
        <f ca="1">IFERROR(__xludf.DUMMYFUNCTION("""COMPUTED_VALUE"""),"High")</f>
        <v>High</v>
      </c>
      <c r="S1916" s="5" t="str">
        <f ca="1">IFERROR(__xludf.DUMMYFUNCTION("""COMPUTED_VALUE"""),"Hallway")</f>
        <v>Hallway</v>
      </c>
      <c r="T1916" s="5" t="str">
        <f ca="1">IFERROR(__xludf.DUMMYFUNCTION("""COMPUTED_VALUE"""),"Inside School Building")</f>
        <v>Inside School Building</v>
      </c>
      <c r="U1916" s="5" t="str">
        <f ca="1">IFERROR(__xludf.DUMMYFUNCTION("""COMPUTED_VALUE"""),"No")</f>
        <v>No</v>
      </c>
      <c r="V1916" s="5" t="str">
        <f ca="1">IFERROR(__xludf.DUMMYFUNCTION("""COMPUTED_VALUE"""),"Not a School Day")</f>
        <v>Not a School Day</v>
      </c>
      <c r="W1916" s="10">
        <f ca="1">IFERROR(__xludf.DUMMYFUNCTION("""COMPUTED_VALUE"""),0.375)</f>
        <v>0.375</v>
      </c>
      <c r="X1916" s="5"/>
      <c r="Y1916" s="5" t="str">
        <f ca="1">IFERROR(__xludf.DUMMYFUNCTION("""COMPUTED_VALUE"""),"Caught trying to set fire to school")</f>
        <v>Caught trying to set fire to school</v>
      </c>
      <c r="Z1916" s="5" t="str">
        <f ca="1">IFERROR(__xludf.DUMMYFUNCTION("""COMPUTED_VALUE"""),"Suspect (science teacher) shot assistant principal who caught him trying to set fire to several areas in school.")</f>
        <v>Suspect (science teacher) shot assistant principal who caught him trying to set fire to several areas in school.</v>
      </c>
      <c r="AA1916" s="5" t="str">
        <f ca="1">IFERROR(__xludf.DUMMYFUNCTION("""COMPUTED_VALUE"""),"Psychosis")</f>
        <v>Psychosis</v>
      </c>
      <c r="AB1916" s="5" t="str">
        <f ca="1">IFERROR(__xludf.DUMMYFUNCTION("""COMPUTED_VALUE"""),"Victims Targeted")</f>
        <v>Victims Targeted</v>
      </c>
      <c r="AC1916" s="5" t="str">
        <f ca="1">IFERROR(__xludf.DUMMYFUNCTION("""COMPUTED_VALUE"""),"No")</f>
        <v>No</v>
      </c>
      <c r="AD1916" s="5" t="str">
        <f ca="1">IFERROR(__xludf.DUMMYFUNCTION("""COMPUTED_VALUE"""),"No")</f>
        <v>No</v>
      </c>
      <c r="AE1916" s="5" t="str">
        <f ca="1">IFERROR(__xludf.DUMMYFUNCTION("""COMPUTED_VALUE"""),"No")</f>
        <v>No</v>
      </c>
      <c r="AF1916" s="5" t="str">
        <f ca="1">IFERROR(__xludf.DUMMYFUNCTION("""COMPUTED_VALUE"""),"No")</f>
        <v>No</v>
      </c>
      <c r="AG1916" s="5" t="str">
        <f ca="1">IFERROR(__xludf.DUMMYFUNCTION("""COMPUTED_VALUE"""),"No")</f>
        <v>No</v>
      </c>
      <c r="AH1916" s="5" t="str">
        <f ca="1">IFERROR(__xludf.DUMMYFUNCTION("""COMPUTED_VALUE"""),"No")</f>
        <v>No</v>
      </c>
      <c r="AI1916" s="5" t="str">
        <f ca="1">IFERROR(__xludf.DUMMYFUNCTION("""COMPUTED_VALUE"""),"No")</f>
        <v>No</v>
      </c>
      <c r="AJ1916" s="5"/>
    </row>
    <row r="1917" spans="1:36" ht="13">
      <c r="A1917" s="5" t="str">
        <f ca="1">IFERROR(__xludf.DUMMYFUNCTION("""COMPUTED_VALUE"""),"19900504CAMOE")</f>
        <v>19900504CAMOE</v>
      </c>
      <c r="B1917" s="5">
        <f ca="1">IFERROR(__xludf.DUMMYFUNCTION("""COMPUTED_VALUE"""),5)</f>
        <v>5</v>
      </c>
      <c r="C1917" s="5">
        <f ca="1">IFERROR(__xludf.DUMMYFUNCTION("""COMPUTED_VALUE"""),4)</f>
        <v>4</v>
      </c>
      <c r="D1917" s="5">
        <f ca="1">IFERROR(__xludf.DUMMYFUNCTION("""COMPUTED_VALUE"""),1990)</f>
        <v>1990</v>
      </c>
      <c r="E1917" s="8">
        <f ca="1">IFERROR(__xludf.DUMMYFUNCTION("""COMPUTED_VALUE"""),32997)</f>
        <v>32997</v>
      </c>
      <c r="F1917" s="5" t="str">
        <f ca="1">IFERROR(__xludf.DUMMYFUNCTION("""COMPUTED_VALUE"""),"Mount Pleasant High School")</f>
        <v>Mount Pleasant High School</v>
      </c>
      <c r="G1917" s="5">
        <f ca="1">IFERROR(__xludf.DUMMYFUNCTION("""COMPUTED_VALUE"""),1)</f>
        <v>1</v>
      </c>
      <c r="H1917" s="5">
        <f ca="1">IFERROR(__xludf.DUMMYFUNCTION("""COMPUTED_VALUE"""),1)</f>
        <v>1</v>
      </c>
      <c r="I1917" s="5">
        <f ca="1">IFERROR(__xludf.DUMMYFUNCTION("""COMPUTED_VALUE"""),2)</f>
        <v>2</v>
      </c>
      <c r="J1917" s="5">
        <f ca="1">IFERROR(__xludf.DUMMYFUNCTION("""COMPUTED_VALUE"""),0)</f>
        <v>0</v>
      </c>
      <c r="K1917" s="9" t="str">
        <f ca="1">IFERROR(__xludf.DUMMYFUNCTION("""COMPUTED_VALUE"""),"https://www.newspapers.com/image/462261165/?terms=Mount%2BPleasant%2BHigh%2BSchool%2Bshooting")</f>
        <v>https://www.newspapers.com/image/462261165/?terms=Mount%2BPleasant%2BHigh%2BSchool%2Bshooting</v>
      </c>
      <c r="L1917" s="5"/>
      <c r="M1917" s="5"/>
      <c r="N1917" s="5">
        <f ca="1">IFERROR(__xludf.DUMMYFUNCTION("""COMPUTED_VALUE"""),2)</f>
        <v>2</v>
      </c>
      <c r="O1917" s="5" t="str">
        <f ca="1">IFERROR(__xludf.DUMMYFUNCTION("""COMPUTED_VALUE"""),"Spring")</f>
        <v>Spring</v>
      </c>
      <c r="P1917" s="5" t="str">
        <f ca="1">IFERROR(__xludf.DUMMYFUNCTION("""COMPUTED_VALUE"""),"East San Jose")</f>
        <v>East San Jose</v>
      </c>
      <c r="Q1917" s="5" t="str">
        <f ca="1">IFERROR(__xludf.DUMMYFUNCTION("""COMPUTED_VALUE"""),"CA")</f>
        <v>CA</v>
      </c>
      <c r="R1917" s="5" t="str">
        <f ca="1">IFERROR(__xludf.DUMMYFUNCTION("""COMPUTED_VALUE"""),"High")</f>
        <v>High</v>
      </c>
      <c r="S1917" s="5" t="str">
        <f ca="1">IFERROR(__xludf.DUMMYFUNCTION("""COMPUTED_VALUE"""),"Hallway")</f>
        <v>Hallway</v>
      </c>
      <c r="T1917" s="5" t="str">
        <f ca="1">IFERROR(__xludf.DUMMYFUNCTION("""COMPUTED_VALUE"""),"Inside School Building")</f>
        <v>Inside School Building</v>
      </c>
      <c r="U1917" s="5" t="str">
        <f ca="1">IFERROR(__xludf.DUMMYFUNCTION("""COMPUTED_VALUE"""),"Yes")</f>
        <v>Yes</v>
      </c>
      <c r="V1917" s="5"/>
      <c r="W1917" s="5"/>
      <c r="X1917" s="5">
        <f ca="1">IFERROR(__xludf.DUMMYFUNCTION("""COMPUTED_VALUE"""),1)</f>
        <v>1</v>
      </c>
      <c r="Y1917" s="5" t="str">
        <f ca="1">IFERROR(__xludf.DUMMYFUNCTION("""COMPUTED_VALUE"""),"Group of Vietnamese students had Ongoing argument with group of white students")</f>
        <v>Group of Vietnamese students had Ongoing argument with group of white students</v>
      </c>
      <c r="Z1917" s="5" t="str">
        <f ca="1">IFERROR(__xludf.DUMMYFUNCTION("""COMPUTED_VALUE"""),"Group of Vietnamese students had an ongoing dispute with a group of white students. The group of Vietnamese students yelled slurs at a group of white students in the hallway, they misidentified the students they had the issue with and fired shot striking "&amp;"two uninvolved students.")</f>
        <v>Group of Vietnamese students had an ongoing dispute with a group of white students. The group of Vietnamese students yelled slurs at a group of white students in the hallway, they misidentified the students they had the issue with and fired shot striking two uninvolved students.</v>
      </c>
      <c r="AA1917" s="5" t="str">
        <f ca="1">IFERROR(__xludf.DUMMYFUNCTION("""COMPUTED_VALUE"""),"Racial")</f>
        <v>Racial</v>
      </c>
      <c r="AB1917" s="5" t="str">
        <f ca="1">IFERROR(__xludf.DUMMYFUNCTION("""COMPUTED_VALUE"""),"Both")</f>
        <v>Both</v>
      </c>
      <c r="AC1917" s="5" t="str">
        <f ca="1">IFERROR(__xludf.DUMMYFUNCTION("""COMPUTED_VALUE"""),"Yes")</f>
        <v>Yes</v>
      </c>
      <c r="AD1917" s="5" t="str">
        <f ca="1">IFERROR(__xludf.DUMMYFUNCTION("""COMPUTED_VALUE"""),"No")</f>
        <v>No</v>
      </c>
      <c r="AE1917" s="5" t="str">
        <f ca="1">IFERROR(__xludf.DUMMYFUNCTION("""COMPUTED_VALUE"""),"No")</f>
        <v>No</v>
      </c>
      <c r="AF1917" s="5" t="str">
        <f ca="1">IFERROR(__xludf.DUMMYFUNCTION("""COMPUTED_VALUE"""),"No")</f>
        <v>No</v>
      </c>
      <c r="AG1917" s="5" t="str">
        <f ca="1">IFERROR(__xludf.DUMMYFUNCTION("""COMPUTED_VALUE"""),"No")</f>
        <v>No</v>
      </c>
      <c r="AH1917" s="5" t="str">
        <f ca="1">IFERROR(__xludf.DUMMYFUNCTION("""COMPUTED_VALUE"""),"No")</f>
        <v>No</v>
      </c>
      <c r="AI1917" s="5" t="str">
        <f ca="1">IFERROR(__xludf.DUMMYFUNCTION("""COMPUTED_VALUE"""),"No")</f>
        <v>No</v>
      </c>
      <c r="AJ1917" s="5"/>
    </row>
    <row r="1918" spans="1:36" ht="13">
      <c r="A1918" s="5" t="str">
        <f ca="1">IFERROR(__xludf.DUMMYFUNCTION("""COMPUTED_VALUE"""),"19900403TXSKD")</f>
        <v>19900403TXSKD</v>
      </c>
      <c r="B1918" s="5">
        <f ca="1">IFERROR(__xludf.DUMMYFUNCTION("""COMPUTED_VALUE"""),4)</f>
        <v>4</v>
      </c>
      <c r="C1918" s="5">
        <f ca="1">IFERROR(__xludf.DUMMYFUNCTION("""COMPUTED_VALUE"""),3)</f>
        <v>3</v>
      </c>
      <c r="D1918" s="5">
        <f ca="1">IFERROR(__xludf.DUMMYFUNCTION("""COMPUTED_VALUE"""),1990)</f>
        <v>1990</v>
      </c>
      <c r="E1918" s="8">
        <f ca="1">IFERROR(__xludf.DUMMYFUNCTION("""COMPUTED_VALUE"""),32966)</f>
        <v>32966</v>
      </c>
      <c r="F1918" s="5" t="str">
        <f ca="1">IFERROR(__xludf.DUMMYFUNCTION("""COMPUTED_VALUE"""),"Skyline High School")</f>
        <v>Skyline High School</v>
      </c>
      <c r="G1918" s="5">
        <f ca="1">IFERROR(__xludf.DUMMYFUNCTION("""COMPUTED_VALUE"""),0)</f>
        <v>0</v>
      </c>
      <c r="H1918" s="5">
        <f ca="1">IFERROR(__xludf.DUMMYFUNCTION("""COMPUTED_VALUE"""),1)</f>
        <v>1</v>
      </c>
      <c r="I1918" s="5">
        <f ca="1">IFERROR(__xludf.DUMMYFUNCTION("""COMPUTED_VALUE"""),1)</f>
        <v>1</v>
      </c>
      <c r="J1918" s="5">
        <f ca="1">IFERROR(__xludf.DUMMYFUNCTION("""COMPUTED_VALUE"""),0)</f>
        <v>0</v>
      </c>
      <c r="K1918" s="9" t="str">
        <f ca="1">IFERROR(__xludf.DUMMYFUNCTION("""COMPUTED_VALUE"""),"https://www.newspapers.com/image/13852014/?terms=Skyline%2BHigh%2BSchool%2Bshooting")</f>
        <v>https://www.newspapers.com/image/13852014/?terms=Skyline%2BHigh%2BSchool%2Bshooting</v>
      </c>
      <c r="L1918" s="5"/>
      <c r="M1918" s="5"/>
      <c r="N1918" s="5">
        <f ca="1">IFERROR(__xludf.DUMMYFUNCTION("""COMPUTED_VALUE"""),2)</f>
        <v>2</v>
      </c>
      <c r="O1918" s="5" t="str">
        <f ca="1">IFERROR(__xludf.DUMMYFUNCTION("""COMPUTED_VALUE"""),"Spring")</f>
        <v>Spring</v>
      </c>
      <c r="P1918" s="5" t="str">
        <f ca="1">IFERROR(__xludf.DUMMYFUNCTION("""COMPUTED_VALUE"""),"Dallas")</f>
        <v>Dallas</v>
      </c>
      <c r="Q1918" s="5" t="str">
        <f ca="1">IFERROR(__xludf.DUMMYFUNCTION("""COMPUTED_VALUE"""),"TX")</f>
        <v>TX</v>
      </c>
      <c r="R1918" s="5" t="str">
        <f ca="1">IFERROR(__xludf.DUMMYFUNCTION("""COMPUTED_VALUE"""),"High")</f>
        <v>High</v>
      </c>
      <c r="S1918" s="5" t="str">
        <f ca="1">IFERROR(__xludf.DUMMYFUNCTION("""COMPUTED_VALUE"""),"Hallway")</f>
        <v>Hallway</v>
      </c>
      <c r="T1918" s="5" t="str">
        <f ca="1">IFERROR(__xludf.DUMMYFUNCTION("""COMPUTED_VALUE"""),"Inside School Building")</f>
        <v>Inside School Building</v>
      </c>
      <c r="U1918" s="5" t="str">
        <f ca="1">IFERROR(__xludf.DUMMYFUNCTION("""COMPUTED_VALUE"""),"Yes")</f>
        <v>Yes</v>
      </c>
      <c r="V1918" s="5"/>
      <c r="W1918" s="5"/>
      <c r="X1918" s="5"/>
      <c r="Y1918" s="5" t="str">
        <f ca="1">IFERROR(__xludf.DUMMYFUNCTION("""COMPUTED_VALUE"""),"Earlier fight escalated into shooting in school hallway")</f>
        <v>Earlier fight escalated into shooting in school hallway</v>
      </c>
      <c r="Z1918" s="5" t="str">
        <f ca="1">IFERROR(__xludf.DUMMYFUNCTION("""COMPUTED_VALUE"""),"16YOM (victim) and 17YOM (shooter) had previous fight at apartment complex. Later at the school, the shooter ran into the victim in the main hallway of the school building and shot him. Shooter fled the scene.")</f>
        <v>16YOM (victim) and 17YOM (shooter) had previous fight at apartment complex. Later at the school, the shooter ran into the victim in the main hallway of the school building and shot him. Shooter fled the scene.</v>
      </c>
      <c r="AA1918" s="5" t="str">
        <f ca="1">IFERROR(__xludf.DUMMYFUNCTION("""COMPUTED_VALUE"""),"Escalation of Dispute")</f>
        <v>Escalation of Dispute</v>
      </c>
      <c r="AB1918" s="5" t="str">
        <f ca="1">IFERROR(__xludf.DUMMYFUNCTION("""COMPUTED_VALUE"""),"Victims Targeted")</f>
        <v>Victims Targeted</v>
      </c>
      <c r="AC1918" s="5" t="str">
        <f ca="1">IFERROR(__xludf.DUMMYFUNCTION("""COMPUTED_VALUE"""),"No")</f>
        <v>No</v>
      </c>
      <c r="AD1918" s="5" t="str">
        <f ca="1">IFERROR(__xludf.DUMMYFUNCTION("""COMPUTED_VALUE"""),"No")</f>
        <v>No</v>
      </c>
      <c r="AE1918" s="5" t="str">
        <f ca="1">IFERROR(__xludf.DUMMYFUNCTION("""COMPUTED_VALUE"""),"No")</f>
        <v>No</v>
      </c>
      <c r="AF1918" s="5" t="str">
        <f ca="1">IFERROR(__xludf.DUMMYFUNCTION("""COMPUTED_VALUE"""),"No")</f>
        <v>No</v>
      </c>
      <c r="AG1918" s="5" t="str">
        <f ca="1">IFERROR(__xludf.DUMMYFUNCTION("""COMPUTED_VALUE"""),"No")</f>
        <v>No</v>
      </c>
      <c r="AH1918" s="5" t="str">
        <f ca="1">IFERROR(__xludf.DUMMYFUNCTION("""COMPUTED_VALUE"""),"No")</f>
        <v>No</v>
      </c>
      <c r="AI1918" s="5" t="str">
        <f ca="1">IFERROR(__xludf.DUMMYFUNCTION("""COMPUTED_VALUE"""),"No")</f>
        <v>No</v>
      </c>
      <c r="AJ1918" s="5"/>
    </row>
    <row r="1919" spans="1:36" ht="13">
      <c r="A1919" s="5" t="str">
        <f ca="1">IFERROR(__xludf.DUMMYFUNCTION("""COMPUTED_VALUE"""),"19900327NYNEB")</f>
        <v>19900327NYNEB</v>
      </c>
      <c r="B1919" s="5">
        <f ca="1">IFERROR(__xludf.DUMMYFUNCTION("""COMPUTED_VALUE"""),3)</f>
        <v>3</v>
      </c>
      <c r="C1919" s="5">
        <f ca="1">IFERROR(__xludf.DUMMYFUNCTION("""COMPUTED_VALUE"""),27)</f>
        <v>27</v>
      </c>
      <c r="D1919" s="5">
        <f ca="1">IFERROR(__xludf.DUMMYFUNCTION("""COMPUTED_VALUE"""),1990)</f>
        <v>1990</v>
      </c>
      <c r="E1919" s="8">
        <f ca="1">IFERROR(__xludf.DUMMYFUNCTION("""COMPUTED_VALUE"""),32959)</f>
        <v>32959</v>
      </c>
      <c r="F1919" s="5" t="str">
        <f ca="1">IFERROR(__xludf.DUMMYFUNCTION("""COMPUTED_VALUE"""),"New Utrecht High School")</f>
        <v>New Utrecht High School</v>
      </c>
      <c r="G1919" s="5">
        <f ca="1">IFERROR(__xludf.DUMMYFUNCTION("""COMPUTED_VALUE"""),0)</f>
        <v>0</v>
      </c>
      <c r="H1919" s="5">
        <f ca="1">IFERROR(__xludf.DUMMYFUNCTION("""COMPUTED_VALUE"""),1)</f>
        <v>1</v>
      </c>
      <c r="I1919" s="5">
        <f ca="1">IFERROR(__xludf.DUMMYFUNCTION("""COMPUTED_VALUE"""),1)</f>
        <v>1</v>
      </c>
      <c r="J1919" s="5">
        <f ca="1">IFERROR(__xludf.DUMMYFUNCTION("""COMPUTED_VALUE"""),0)</f>
        <v>0</v>
      </c>
      <c r="K1919" s="9" t="str">
        <f ca="1">IFERROR(__xludf.DUMMYFUNCTION("""COMPUTED_VALUE"""),"https://www.nytimes.com/1990/03/28/nyregion/a-black-is-shot-in-a-high-school-in-bensonshurst.html")</f>
        <v>https://www.nytimes.com/1990/03/28/nyregion/a-black-is-shot-in-a-high-school-in-bensonshurst.html</v>
      </c>
      <c r="L1919" s="5"/>
      <c r="M1919" s="5"/>
      <c r="N1919" s="5">
        <f ca="1">IFERROR(__xludf.DUMMYFUNCTION("""COMPUTED_VALUE"""),2)</f>
        <v>2</v>
      </c>
      <c r="O1919" s="5" t="str">
        <f ca="1">IFERROR(__xludf.DUMMYFUNCTION("""COMPUTED_VALUE"""),"Spring")</f>
        <v>Spring</v>
      </c>
      <c r="P1919" s="5" t="str">
        <f ca="1">IFERROR(__xludf.DUMMYFUNCTION("""COMPUTED_VALUE"""),"Brooklyn")</f>
        <v>Brooklyn</v>
      </c>
      <c r="Q1919" s="5" t="str">
        <f ca="1">IFERROR(__xludf.DUMMYFUNCTION("""COMPUTED_VALUE"""),"NY")</f>
        <v>NY</v>
      </c>
      <c r="R1919" s="5" t="str">
        <f ca="1">IFERROR(__xludf.DUMMYFUNCTION("""COMPUTED_VALUE"""),"High")</f>
        <v>High</v>
      </c>
      <c r="S1919" s="5" t="str">
        <f ca="1">IFERROR(__xludf.DUMMYFUNCTION("""COMPUTED_VALUE"""),"Hallway")</f>
        <v>Hallway</v>
      </c>
      <c r="T1919" s="5" t="str">
        <f ca="1">IFERROR(__xludf.DUMMYFUNCTION("""COMPUTED_VALUE"""),"Inside School Building")</f>
        <v>Inside School Building</v>
      </c>
      <c r="U1919" s="5" t="str">
        <f ca="1">IFERROR(__xludf.DUMMYFUNCTION("""COMPUTED_VALUE"""),"Yes")</f>
        <v>Yes</v>
      </c>
      <c r="V1919" s="5" t="str">
        <f ca="1">IFERROR(__xludf.DUMMYFUNCTION("""COMPUTED_VALUE"""),"Morning Classes")</f>
        <v>Morning Classes</v>
      </c>
      <c r="W1919" s="10">
        <f ca="1">IFERROR(__xludf.DUMMYFUNCTION("""COMPUTED_VALUE"""),0.361111111111111)</f>
        <v>0.36111111111111099</v>
      </c>
      <c r="X1919" s="5">
        <f ca="1">IFERROR(__xludf.DUMMYFUNCTION("""COMPUTED_VALUE"""),1)</f>
        <v>1</v>
      </c>
      <c r="Y1919" s="5" t="str">
        <f ca="1">IFERROR(__xludf.DUMMYFUNCTION("""COMPUTED_VALUE"""),"Racially motivated, three older white students confronted a black student and shot him")</f>
        <v>Racially motivated, three older white students confronted a black student and shot him</v>
      </c>
      <c r="Z1919" s="5" t="str">
        <f ca="1">IFERROR(__xludf.DUMMYFUNCTION("""COMPUTED_VALUE"""),"Three white students made racial slurs at a black student in a stairwell of the high school and fired a single shot striking him in the wrist. The shooting was part of a series of racial issues occuring in the neighborhood following the shooting of a blac"&amp;"k student by white students the prior year.")</f>
        <v>Three white students made racial slurs at a black student in a stairwell of the high school and fired a single shot striking him in the wrist. The shooting was part of a series of racial issues occuring in the neighborhood following the shooting of a black student by white students the prior year.</v>
      </c>
      <c r="AA1919" s="5" t="str">
        <f ca="1">IFERROR(__xludf.DUMMYFUNCTION("""COMPUTED_VALUE"""),"Racial")</f>
        <v>Racial</v>
      </c>
      <c r="AB1919" s="5" t="str">
        <f ca="1">IFERROR(__xludf.DUMMYFUNCTION("""COMPUTED_VALUE"""),"Victims Targeted")</f>
        <v>Victims Targeted</v>
      </c>
      <c r="AC1919" s="5" t="str">
        <f ca="1">IFERROR(__xludf.DUMMYFUNCTION("""COMPUTED_VALUE"""),"Yes")</f>
        <v>Yes</v>
      </c>
      <c r="AD1919" s="5" t="str">
        <f ca="1">IFERROR(__xludf.DUMMYFUNCTION("""COMPUTED_VALUE"""),"No")</f>
        <v>No</v>
      </c>
      <c r="AE1919" s="5" t="str">
        <f ca="1">IFERROR(__xludf.DUMMYFUNCTION("""COMPUTED_VALUE"""),"No")</f>
        <v>No</v>
      </c>
      <c r="AF1919" s="5" t="str">
        <f ca="1">IFERROR(__xludf.DUMMYFUNCTION("""COMPUTED_VALUE"""),"No")</f>
        <v>No</v>
      </c>
      <c r="AG1919" s="5" t="str">
        <f ca="1">IFERROR(__xludf.DUMMYFUNCTION("""COMPUTED_VALUE"""),"No")</f>
        <v>No</v>
      </c>
      <c r="AH1919" s="5" t="str">
        <f ca="1">IFERROR(__xludf.DUMMYFUNCTION("""COMPUTED_VALUE"""),"No")</f>
        <v>No</v>
      </c>
      <c r="AI1919" s="5" t="str">
        <f ca="1">IFERROR(__xludf.DUMMYFUNCTION("""COMPUTED_VALUE"""),"No")</f>
        <v>No</v>
      </c>
      <c r="AJ1919" s="5"/>
    </row>
    <row r="1920" spans="1:36" ht="13">
      <c r="A1920" s="5" t="str">
        <f ca="1">IFERROR(__xludf.DUMMYFUNCTION("""COMPUTED_VALUE"""),"19900220OHTAC")</f>
        <v>19900220OHTAC</v>
      </c>
      <c r="B1920" s="5">
        <f ca="1">IFERROR(__xludf.DUMMYFUNCTION("""COMPUTED_VALUE"""),2)</f>
        <v>2</v>
      </c>
      <c r="C1920" s="5">
        <f ca="1">IFERROR(__xludf.DUMMYFUNCTION("""COMPUTED_VALUE"""),20)</f>
        <v>20</v>
      </c>
      <c r="D1920" s="5">
        <f ca="1">IFERROR(__xludf.DUMMYFUNCTION("""COMPUTED_VALUE"""),1990)</f>
        <v>1990</v>
      </c>
      <c r="E1920" s="8">
        <f ca="1">IFERROR(__xludf.DUMMYFUNCTION("""COMPUTED_VALUE"""),32924)</f>
        <v>32924</v>
      </c>
      <c r="F1920" s="5" t="str">
        <f ca="1">IFERROR(__xludf.DUMMYFUNCTION("""COMPUTED_VALUE"""),"Taft High School")</f>
        <v>Taft High School</v>
      </c>
      <c r="G1920" s="5">
        <f ca="1">IFERROR(__xludf.DUMMYFUNCTION("""COMPUTED_VALUE"""),1)</f>
        <v>1</v>
      </c>
      <c r="H1920" s="5">
        <f ca="1">IFERROR(__xludf.DUMMYFUNCTION("""COMPUTED_VALUE"""),0)</f>
        <v>0</v>
      </c>
      <c r="I1920" s="5">
        <f ca="1">IFERROR(__xludf.DUMMYFUNCTION("""COMPUTED_VALUE"""),1)</f>
        <v>1</v>
      </c>
      <c r="J1920" s="5">
        <f ca="1">IFERROR(__xludf.DUMMYFUNCTION("""COMPUTED_VALUE"""),0)</f>
        <v>0</v>
      </c>
      <c r="K1920" s="9" t="str">
        <f ca="1">IFERROR(__xludf.DUMMYFUNCTION("""COMPUTED_VALUE"""),"https://www.newspapers.com/image/101597966/?terms=Taft%2BHigh%2BSchool%2Bshooting")</f>
        <v>https://www.newspapers.com/image/101597966/?terms=Taft%2BHigh%2BSchool%2Bshooting</v>
      </c>
      <c r="L1920" s="5"/>
      <c r="M1920" s="5"/>
      <c r="N1920" s="5">
        <f ca="1">IFERROR(__xludf.DUMMYFUNCTION("""COMPUTED_VALUE"""),2)</f>
        <v>2</v>
      </c>
      <c r="O1920" s="5" t="str">
        <f ca="1">IFERROR(__xludf.DUMMYFUNCTION("""COMPUTED_VALUE"""),"Winter")</f>
        <v>Winter</v>
      </c>
      <c r="P1920" s="5" t="str">
        <f ca="1">IFERROR(__xludf.DUMMYFUNCTION("""COMPUTED_VALUE"""),"Cincinnati")</f>
        <v>Cincinnati</v>
      </c>
      <c r="Q1920" s="5" t="str">
        <f ca="1">IFERROR(__xludf.DUMMYFUNCTION("""COMPUTED_VALUE"""),"OH")</f>
        <v>OH</v>
      </c>
      <c r="R1920" s="5" t="str">
        <f ca="1">IFERROR(__xludf.DUMMYFUNCTION("""COMPUTED_VALUE"""),"High")</f>
        <v>High</v>
      </c>
      <c r="S1920" s="5" t="str">
        <f ca="1">IFERROR(__xludf.DUMMYFUNCTION("""COMPUTED_VALUE"""),"Outside on School Property")</f>
        <v>Outside on School Property</v>
      </c>
      <c r="T1920" s="5" t="str">
        <f ca="1">IFERROR(__xludf.DUMMYFUNCTION("""COMPUTED_VALUE"""),"Outside on School Property")</f>
        <v>Outside on School Property</v>
      </c>
      <c r="U1920" s="5" t="str">
        <f ca="1">IFERROR(__xludf.DUMMYFUNCTION("""COMPUTED_VALUE"""),"No")</f>
        <v>No</v>
      </c>
      <c r="V1920" s="5" t="str">
        <f ca="1">IFERROR(__xludf.DUMMYFUNCTION("""COMPUTED_VALUE"""),"Dismissal")</f>
        <v>Dismissal</v>
      </c>
      <c r="W1920" s="10">
        <f ca="1">IFERROR(__xludf.DUMMYFUNCTION("""COMPUTED_VALUE"""),0.625)</f>
        <v>0.625</v>
      </c>
      <c r="X1920" s="5">
        <f ca="1">IFERROR(__xludf.DUMMYFUNCTION("""COMPUTED_VALUE"""),1)</f>
        <v>1</v>
      </c>
      <c r="Y1920" s="5" t="str">
        <f ca="1">IFERROR(__xludf.DUMMYFUNCTION("""COMPUTED_VALUE"""),"Struck by bullet while watching fight at school")</f>
        <v>Struck by bullet while watching fight at school</v>
      </c>
      <c r="Z1920" s="5" t="str">
        <f ca="1">IFERROR(__xludf.DUMMYFUNCTION("""COMPUTED_VALUE"""),"Fight outside school escalated into a shooting. Bystander was struck and killed.")</f>
        <v>Fight outside school escalated into a shooting. Bystander was struck and killed.</v>
      </c>
      <c r="AA1920" s="5" t="str">
        <f ca="1">IFERROR(__xludf.DUMMYFUNCTION("""COMPUTED_VALUE"""),"Escalation of Dispute")</f>
        <v>Escalation of Dispute</v>
      </c>
      <c r="AB1920" s="5" t="str">
        <f ca="1">IFERROR(__xludf.DUMMYFUNCTION("""COMPUTED_VALUE"""),"Both")</f>
        <v>Both</v>
      </c>
      <c r="AC1920" s="5" t="str">
        <f ca="1">IFERROR(__xludf.DUMMYFUNCTION("""COMPUTED_VALUE"""),"No")</f>
        <v>No</v>
      </c>
      <c r="AD1920" s="5" t="str">
        <f ca="1">IFERROR(__xludf.DUMMYFUNCTION("""COMPUTED_VALUE"""),"No")</f>
        <v>No</v>
      </c>
      <c r="AE1920" s="5" t="str">
        <f ca="1">IFERROR(__xludf.DUMMYFUNCTION("""COMPUTED_VALUE"""),"No")</f>
        <v>No</v>
      </c>
      <c r="AF1920" s="5" t="str">
        <f ca="1">IFERROR(__xludf.DUMMYFUNCTION("""COMPUTED_VALUE"""),"No")</f>
        <v>No</v>
      </c>
      <c r="AG1920" s="5" t="str">
        <f ca="1">IFERROR(__xludf.DUMMYFUNCTION("""COMPUTED_VALUE"""),"No")</f>
        <v>No</v>
      </c>
      <c r="AH1920" s="5" t="str">
        <f ca="1">IFERROR(__xludf.DUMMYFUNCTION("""COMPUTED_VALUE"""),"No")</f>
        <v>No</v>
      </c>
      <c r="AI1920" s="5" t="str">
        <f ca="1">IFERROR(__xludf.DUMMYFUNCTION("""COMPUTED_VALUE"""),"No")</f>
        <v>No</v>
      </c>
      <c r="AJ1920" s="5"/>
    </row>
    <row r="1921" spans="1:36" ht="13">
      <c r="A1921" s="5" t="str">
        <f ca="1">IFERROR(__xludf.DUMMYFUNCTION("""COMPUTED_VALUE"""),"19900116RICEP")</f>
        <v>19900116RICEP</v>
      </c>
      <c r="B1921" s="5">
        <f ca="1">IFERROR(__xludf.DUMMYFUNCTION("""COMPUTED_VALUE"""),1)</f>
        <v>1</v>
      </c>
      <c r="C1921" s="5">
        <f ca="1">IFERROR(__xludf.DUMMYFUNCTION("""COMPUTED_VALUE"""),16)</f>
        <v>16</v>
      </c>
      <c r="D1921" s="5">
        <f ca="1">IFERROR(__xludf.DUMMYFUNCTION("""COMPUTED_VALUE"""),1990)</f>
        <v>1990</v>
      </c>
      <c r="E1921" s="8">
        <f ca="1">IFERROR(__xludf.DUMMYFUNCTION("""COMPUTED_VALUE"""),32889)</f>
        <v>32889</v>
      </c>
      <c r="F1921" s="5" t="str">
        <f ca="1">IFERROR(__xludf.DUMMYFUNCTION("""COMPUTED_VALUE"""),"Central High School")</f>
        <v>Central High School</v>
      </c>
      <c r="G1921" s="5">
        <f ca="1">IFERROR(__xludf.DUMMYFUNCTION("""COMPUTED_VALUE"""),0)</f>
        <v>0</v>
      </c>
      <c r="H1921" s="5">
        <f ca="1">IFERROR(__xludf.DUMMYFUNCTION("""COMPUTED_VALUE"""),2)</f>
        <v>2</v>
      </c>
      <c r="I1921" s="5">
        <f ca="1">IFERROR(__xludf.DUMMYFUNCTION("""COMPUTED_VALUE"""),2)</f>
        <v>2</v>
      </c>
      <c r="J1921" s="5">
        <f ca="1">IFERROR(__xludf.DUMMYFUNCTION("""COMPUTED_VALUE"""),0)</f>
        <v>0</v>
      </c>
      <c r="K1921" s="9" t="str">
        <f ca="1">IFERROR(__xludf.DUMMYFUNCTION("""COMPUTED_VALUE"""),"https://www.upi.com/Archives/1990/01/16/Two-wounded-in-school-shooting-racial-tensions-blamed/1799632466000/")</f>
        <v>https://www.upi.com/Archives/1990/01/16/Two-wounded-in-school-shooting-racial-tensions-blamed/1799632466000/</v>
      </c>
      <c r="L1921" s="5"/>
      <c r="M1921" s="5"/>
      <c r="N1921" s="5">
        <f ca="1">IFERROR(__xludf.DUMMYFUNCTION("""COMPUTED_VALUE"""),2)</f>
        <v>2</v>
      </c>
      <c r="O1921" s="5" t="str">
        <f ca="1">IFERROR(__xludf.DUMMYFUNCTION("""COMPUTED_VALUE"""),"Winter")</f>
        <v>Winter</v>
      </c>
      <c r="P1921" s="5" t="str">
        <f ca="1">IFERROR(__xludf.DUMMYFUNCTION("""COMPUTED_VALUE"""),"Providence")</f>
        <v>Providence</v>
      </c>
      <c r="Q1921" s="5" t="str">
        <f ca="1">IFERROR(__xludf.DUMMYFUNCTION("""COMPUTED_VALUE"""),"RI")</f>
        <v>RI</v>
      </c>
      <c r="R1921" s="5" t="str">
        <f ca="1">IFERROR(__xludf.DUMMYFUNCTION("""COMPUTED_VALUE"""),"High")</f>
        <v>High</v>
      </c>
      <c r="S1921" s="5" t="str">
        <f ca="1">IFERROR(__xludf.DUMMYFUNCTION("""COMPUTED_VALUE"""),"Beside Building")</f>
        <v>Beside Building</v>
      </c>
      <c r="T1921" s="5" t="str">
        <f ca="1">IFERROR(__xludf.DUMMYFUNCTION("""COMPUTED_VALUE"""),"Outside on School Property")</f>
        <v>Outside on School Property</v>
      </c>
      <c r="U1921" s="5" t="str">
        <f ca="1">IFERROR(__xludf.DUMMYFUNCTION("""COMPUTED_VALUE"""),"Yes")</f>
        <v>Yes</v>
      </c>
      <c r="V1921" s="5" t="str">
        <f ca="1">IFERROR(__xludf.DUMMYFUNCTION("""COMPUTED_VALUE"""),"Lunch")</f>
        <v>Lunch</v>
      </c>
      <c r="W1921" s="5"/>
      <c r="X1921" s="5">
        <f ca="1">IFERROR(__xludf.DUMMYFUNCTION("""COMPUTED_VALUE"""),1)</f>
        <v>1</v>
      </c>
      <c r="Y1921" s="5" t="str">
        <f ca="1">IFERROR(__xludf.DUMMYFUNCTION("""COMPUTED_VALUE"""),"Racial shooting between Asian and White students")</f>
        <v>Racial shooting between Asian and White students</v>
      </c>
      <c r="Z1921" s="5" t="str">
        <f ca="1">IFERROR(__xludf.DUMMYFUNCTION("""COMPUTED_VALUE"""),"Asian student was harassed - looking for revenge to shoot white students - students came out for lunch, suspect shot 4-5 times hit unintended victims - foot chase ensured - suspect caught.")</f>
        <v>Asian student was harassed - looking for revenge to shoot white students - students came out for lunch, suspect shot 4-5 times hit unintended victims - foot chase ensured - suspect caught.</v>
      </c>
      <c r="AA1921" s="5" t="str">
        <f ca="1">IFERROR(__xludf.DUMMYFUNCTION("""COMPUTED_VALUE"""),"Bullying")</f>
        <v>Bullying</v>
      </c>
      <c r="AB1921" s="5" t="str">
        <f ca="1">IFERROR(__xludf.DUMMYFUNCTION("""COMPUTED_VALUE"""),"Random Shooting")</f>
        <v>Random Shooting</v>
      </c>
      <c r="AC1921" s="5" t="str">
        <f ca="1">IFERROR(__xludf.DUMMYFUNCTION("""COMPUTED_VALUE"""),"No")</f>
        <v>No</v>
      </c>
      <c r="AD1921" s="5" t="str">
        <f ca="1">IFERROR(__xludf.DUMMYFUNCTION("""COMPUTED_VALUE"""),"No")</f>
        <v>No</v>
      </c>
      <c r="AE1921" s="5" t="str">
        <f ca="1">IFERROR(__xludf.DUMMYFUNCTION("""COMPUTED_VALUE"""),"No")</f>
        <v>No</v>
      </c>
      <c r="AF1921" s="5" t="str">
        <f ca="1">IFERROR(__xludf.DUMMYFUNCTION("""COMPUTED_VALUE"""),"No")</f>
        <v>No</v>
      </c>
      <c r="AG1921" s="5" t="str">
        <f ca="1">IFERROR(__xludf.DUMMYFUNCTION("""COMPUTED_VALUE"""),"Yes")</f>
        <v>Yes</v>
      </c>
      <c r="AH1921" s="5" t="str">
        <f ca="1">IFERROR(__xludf.DUMMYFUNCTION("""COMPUTED_VALUE"""),"No")</f>
        <v>No</v>
      </c>
      <c r="AI1921" s="5" t="str">
        <f ca="1">IFERROR(__xludf.DUMMYFUNCTION("""COMPUTED_VALUE"""),"No")</f>
        <v>No</v>
      </c>
      <c r="AJ1921" s="5"/>
    </row>
    <row r="1922" spans="1:36" ht="13">
      <c r="A1922" s="5" t="str">
        <f ca="1">IFERROR(__xludf.DUMMYFUNCTION("""COMPUTED_VALUE"""),"19891212SCCHC")</f>
        <v>19891212SCCHC</v>
      </c>
      <c r="B1922" s="5">
        <f ca="1">IFERROR(__xludf.DUMMYFUNCTION("""COMPUTED_VALUE"""),12)</f>
        <v>12</v>
      </c>
      <c r="C1922" s="5">
        <f ca="1">IFERROR(__xludf.DUMMYFUNCTION("""COMPUTED_VALUE"""),12)</f>
        <v>12</v>
      </c>
      <c r="D1922" s="5">
        <f ca="1">IFERROR(__xludf.DUMMYFUNCTION("""COMPUTED_VALUE"""),1989)</f>
        <v>1989</v>
      </c>
      <c r="E1922" s="8">
        <f ca="1">IFERROR(__xludf.DUMMYFUNCTION("""COMPUTED_VALUE"""),32854)</f>
        <v>32854</v>
      </c>
      <c r="F1922" s="5" t="str">
        <f ca="1">IFERROR(__xludf.DUMMYFUNCTION("""COMPUTED_VALUE"""),"Chester High School")</f>
        <v>Chester High School</v>
      </c>
      <c r="G1922" s="5">
        <f ca="1">IFERROR(__xludf.DUMMYFUNCTION("""COMPUTED_VALUE"""),0)</f>
        <v>0</v>
      </c>
      <c r="H1922" s="5">
        <f ca="1">IFERROR(__xludf.DUMMYFUNCTION("""COMPUTED_VALUE"""),1)</f>
        <v>1</v>
      </c>
      <c r="I1922" s="5">
        <f ca="1">IFERROR(__xludf.DUMMYFUNCTION("""COMPUTED_VALUE"""),1)</f>
        <v>1</v>
      </c>
      <c r="J1922" s="5">
        <f ca="1">IFERROR(__xludf.DUMMYFUNCTION("""COMPUTED_VALUE"""),0)</f>
        <v>0</v>
      </c>
      <c r="K1922" s="9" t="str">
        <f ca="1">IFERROR(__xludf.DUMMYFUNCTION("""COMPUTED_VALUE"""),"https://www.newspapers.com/image/192086573/?terms=STUDENT%2BSHOT")</f>
        <v>https://www.newspapers.com/image/192086573/?terms=STUDENT%2BSHOT</v>
      </c>
      <c r="L1922" s="5"/>
      <c r="M1922" s="5"/>
      <c r="N1922" s="5">
        <f ca="1">IFERROR(__xludf.DUMMYFUNCTION("""COMPUTED_VALUE"""),2)</f>
        <v>2</v>
      </c>
      <c r="O1922" s="5" t="str">
        <f ca="1">IFERROR(__xludf.DUMMYFUNCTION("""COMPUTED_VALUE"""),"Winter")</f>
        <v>Winter</v>
      </c>
      <c r="P1922" s="5" t="str">
        <f ca="1">IFERROR(__xludf.DUMMYFUNCTION("""COMPUTED_VALUE"""),"Chester")</f>
        <v>Chester</v>
      </c>
      <c r="Q1922" s="5" t="str">
        <f ca="1">IFERROR(__xludf.DUMMYFUNCTION("""COMPUTED_VALUE"""),"SC")</f>
        <v>SC</v>
      </c>
      <c r="R1922" s="5" t="str">
        <f ca="1">IFERROR(__xludf.DUMMYFUNCTION("""COMPUTED_VALUE"""),"High")</f>
        <v>High</v>
      </c>
      <c r="S1922" s="5" t="str">
        <f ca="1">IFERROR(__xludf.DUMMYFUNCTION("""COMPUTED_VALUE"""),"Courtyard")</f>
        <v>Courtyard</v>
      </c>
      <c r="T1922" s="5" t="str">
        <f ca="1">IFERROR(__xludf.DUMMYFUNCTION("""COMPUTED_VALUE"""),"Outside on School Property")</f>
        <v>Outside on School Property</v>
      </c>
      <c r="U1922" s="5" t="str">
        <f ca="1">IFERROR(__xludf.DUMMYFUNCTION("""COMPUTED_VALUE"""),"Yes")</f>
        <v>Yes</v>
      </c>
      <c r="V1922" s="5" t="str">
        <f ca="1">IFERROR(__xludf.DUMMYFUNCTION("""COMPUTED_VALUE"""),"Dismissal")</f>
        <v>Dismissal</v>
      </c>
      <c r="W1922" s="5"/>
      <c r="X1922" s="5">
        <f ca="1">IFERROR(__xludf.DUMMYFUNCTION("""COMPUTED_VALUE"""),1)</f>
        <v>1</v>
      </c>
      <c r="Y1922" s="5" t="str">
        <f ca="1">IFERROR(__xludf.DUMMYFUNCTION("""COMPUTED_VALUE"""),"Targeted victim after fight")</f>
        <v>Targeted victim after fight</v>
      </c>
      <c r="Z1922" s="5" t="str">
        <f ca="1">IFERROR(__xludf.DUMMYFUNCTION("""COMPUTED_VALUE"""),"Escalation of Ongoing argument - victim was shot in the back with a .45 caliber while he waited in school courtyard for bus - suspect eventually arrested")</f>
        <v>Escalation of Ongoing argument - victim was shot in the back with a .45 caliber while he waited in school courtyard for bus - suspect eventually arrested</v>
      </c>
      <c r="AA1922" s="5" t="str">
        <f ca="1">IFERROR(__xludf.DUMMYFUNCTION("""COMPUTED_VALUE"""),"Escalation of Dispute")</f>
        <v>Escalation of Dispute</v>
      </c>
      <c r="AB1922" s="5" t="str">
        <f ca="1">IFERROR(__xludf.DUMMYFUNCTION("""COMPUTED_VALUE"""),"Victims Targeted")</f>
        <v>Victims Targeted</v>
      </c>
      <c r="AC1922" s="5" t="str">
        <f ca="1">IFERROR(__xludf.DUMMYFUNCTION("""COMPUTED_VALUE"""),"No")</f>
        <v>No</v>
      </c>
      <c r="AD1922" s="5" t="str">
        <f ca="1">IFERROR(__xludf.DUMMYFUNCTION("""COMPUTED_VALUE"""),"No")</f>
        <v>No</v>
      </c>
      <c r="AE1922" s="5" t="str">
        <f ca="1">IFERROR(__xludf.DUMMYFUNCTION("""COMPUTED_VALUE"""),"No")</f>
        <v>No</v>
      </c>
      <c r="AF1922" s="5" t="str">
        <f ca="1">IFERROR(__xludf.DUMMYFUNCTION("""COMPUTED_VALUE"""),"No")</f>
        <v>No</v>
      </c>
      <c r="AG1922" s="5" t="str">
        <f ca="1">IFERROR(__xludf.DUMMYFUNCTION("""COMPUTED_VALUE"""),"No")</f>
        <v>No</v>
      </c>
      <c r="AH1922" s="5" t="str">
        <f ca="1">IFERROR(__xludf.DUMMYFUNCTION("""COMPUTED_VALUE"""),"No")</f>
        <v>No</v>
      </c>
      <c r="AI1922" s="5" t="str">
        <f ca="1">IFERROR(__xludf.DUMMYFUNCTION("""COMPUTED_VALUE"""),"No")</f>
        <v>No</v>
      </c>
      <c r="AJ1922" s="5"/>
    </row>
    <row r="1923" spans="1:36" ht="13">
      <c r="A1923" s="5" t="str">
        <f ca="1">IFERROR(__xludf.DUMMYFUNCTION("""COMPUTED_VALUE"""),"19891205PASEM")</f>
        <v>19891205PASEM</v>
      </c>
      <c r="B1923" s="5">
        <f ca="1">IFERROR(__xludf.DUMMYFUNCTION("""COMPUTED_VALUE"""),12)</f>
        <v>12</v>
      </c>
      <c r="C1923" s="5">
        <f ca="1">IFERROR(__xludf.DUMMYFUNCTION("""COMPUTED_VALUE"""),5)</f>
        <v>5</v>
      </c>
      <c r="D1923" s="5">
        <f ca="1">IFERROR(__xludf.DUMMYFUNCTION("""COMPUTED_VALUE"""),1989)</f>
        <v>1989</v>
      </c>
      <c r="E1923" s="8">
        <f ca="1">IFERROR(__xludf.DUMMYFUNCTION("""COMPUTED_VALUE"""),32847)</f>
        <v>32847</v>
      </c>
      <c r="F1923" s="5" t="str">
        <f ca="1">IFERROR(__xludf.DUMMYFUNCTION("""COMPUTED_VALUE"""),"Serra Catholic High School bus")</f>
        <v>Serra Catholic High School bus</v>
      </c>
      <c r="G1923" s="5">
        <f ca="1">IFERROR(__xludf.DUMMYFUNCTION("""COMPUTED_VALUE"""),0)</f>
        <v>0</v>
      </c>
      <c r="H1923" s="5">
        <f ca="1">IFERROR(__xludf.DUMMYFUNCTION("""COMPUTED_VALUE"""),1)</f>
        <v>1</v>
      </c>
      <c r="I1923" s="5">
        <f ca="1">IFERROR(__xludf.DUMMYFUNCTION("""COMPUTED_VALUE"""),1)</f>
        <v>1</v>
      </c>
      <c r="J1923" s="5">
        <f ca="1">IFERROR(__xludf.DUMMYFUNCTION("""COMPUTED_VALUE"""),1)</f>
        <v>1</v>
      </c>
      <c r="K1923" s="9" t="str">
        <f ca="1">IFERROR(__xludf.DUMMYFUNCTION("""COMPUTED_VALUE"""),"https://www.newspapers.com/image/?spot=18344924&amp;fcfToken=536773687944775732446a58364954534665376d633843482b323739555a426a2f504561364e734836595337333573763434484338504843556571516b5a3172417a344c2b66306a4762733d")</f>
        <v>https://www.newspapers.com/image/?spot=18344924&amp;fcfToken=536773687944775732446a58364954534665376d633843482b323739555a426a2f504561364e734836595337333573763434484338504843556571516b5a3172417a344c2b66306a4762733d</v>
      </c>
      <c r="L1923" s="5">
        <f ca="1">IFERROR(__xludf.DUMMYFUNCTION("""COMPUTED_VALUE"""),1)</f>
        <v>1</v>
      </c>
      <c r="M1923" s="5" t="str">
        <f ca="1">IFERROR(__xludf.DUMMYFUNCTION("""COMPUTED_VALUE"""),"Local")</f>
        <v>Local</v>
      </c>
      <c r="N1923" s="5">
        <f ca="1">IFERROR(__xludf.DUMMYFUNCTION("""COMPUTED_VALUE"""),2)</f>
        <v>2</v>
      </c>
      <c r="O1923" s="5" t="str">
        <f ca="1">IFERROR(__xludf.DUMMYFUNCTION("""COMPUTED_VALUE"""),"Winter")</f>
        <v>Winter</v>
      </c>
      <c r="P1923" s="5" t="str">
        <f ca="1">IFERROR(__xludf.DUMMYFUNCTION("""COMPUTED_VALUE"""),"McKeesport")</f>
        <v>McKeesport</v>
      </c>
      <c r="Q1923" s="5" t="str">
        <f ca="1">IFERROR(__xludf.DUMMYFUNCTION("""COMPUTED_VALUE"""),"PA")</f>
        <v>PA</v>
      </c>
      <c r="R1923" s="5" t="str">
        <f ca="1">IFERROR(__xludf.DUMMYFUNCTION("""COMPUTED_VALUE"""),"High")</f>
        <v>High</v>
      </c>
      <c r="S1923" s="5" t="str">
        <f ca="1">IFERROR(__xludf.DUMMYFUNCTION("""COMPUTED_VALUE"""),"School Bus")</f>
        <v>School Bus</v>
      </c>
      <c r="T1923" s="5" t="str">
        <f ca="1">IFERROR(__xludf.DUMMYFUNCTION("""COMPUTED_VALUE"""),"School Bus")</f>
        <v>School Bus</v>
      </c>
      <c r="U1923" s="5" t="str">
        <f ca="1">IFERROR(__xludf.DUMMYFUNCTION("""COMPUTED_VALUE"""),"No")</f>
        <v>No</v>
      </c>
      <c r="V1923" s="5" t="str">
        <f ca="1">IFERROR(__xludf.DUMMYFUNCTION("""COMPUTED_VALUE"""),"Before School")</f>
        <v>Before School</v>
      </c>
      <c r="W1923" s="5"/>
      <c r="X1923" s="5"/>
      <c r="Y1923" s="5" t="str">
        <f ca="1">IFERROR(__xludf.DUMMYFUNCTION("""COMPUTED_VALUE"""),"Shot student in front of him on bus then killed self")</f>
        <v>Shot student in front of him on bus then killed self</v>
      </c>
      <c r="Z1923" s="5" t="str">
        <f ca="1">IFERROR(__xludf.DUMMYFUNCTION("""COMPUTED_VALUE"""),"Shooter got on the school bus and went to regular seat. During the ride to school, he shot the student in front of him in the back of the head and then shot himself (fatal). Police did not have any motive. Students said the shooter was agitated when he go"&amp;"t on the bus. Shooter did not say anything prior to or during the shooting.")</f>
        <v>Shooter got on the school bus and went to regular seat. During the ride to school, he shot the student in front of him in the back of the head and then shot himself (fatal). Police did not have any motive. Students said the shooter was agitated when he got on the bus. Shooter did not say anything prior to or during the shooting.</v>
      </c>
      <c r="AA1923" s="5" t="str">
        <f ca="1">IFERROR(__xludf.DUMMYFUNCTION("""COMPUTED_VALUE"""),"Murder/Suicide")</f>
        <v>Murder/Suicide</v>
      </c>
      <c r="AB1923" s="5" t="str">
        <f ca="1">IFERROR(__xludf.DUMMYFUNCTION("""COMPUTED_VALUE"""),"Victims Targeted")</f>
        <v>Victims Targeted</v>
      </c>
      <c r="AC1923" s="5" t="str">
        <f ca="1">IFERROR(__xludf.DUMMYFUNCTION("""COMPUTED_VALUE"""),"No")</f>
        <v>No</v>
      </c>
      <c r="AD1923" s="5" t="str">
        <f ca="1">IFERROR(__xludf.DUMMYFUNCTION("""COMPUTED_VALUE"""),"No")</f>
        <v>No</v>
      </c>
      <c r="AE1923" s="5" t="str">
        <f ca="1">IFERROR(__xludf.DUMMYFUNCTION("""COMPUTED_VALUE"""),"No")</f>
        <v>No</v>
      </c>
      <c r="AF1923" s="5" t="str">
        <f ca="1">IFERROR(__xludf.DUMMYFUNCTION("""COMPUTED_VALUE"""),"No")</f>
        <v>No</v>
      </c>
      <c r="AG1923" s="5" t="str">
        <f ca="1">IFERROR(__xludf.DUMMYFUNCTION("""COMPUTED_VALUE"""),"No")</f>
        <v>No</v>
      </c>
      <c r="AH1923" s="5" t="str">
        <f ca="1">IFERROR(__xludf.DUMMYFUNCTION("""COMPUTED_VALUE"""),"No")</f>
        <v>No</v>
      </c>
      <c r="AI1923" s="5" t="str">
        <f ca="1">IFERROR(__xludf.DUMMYFUNCTION("""COMPUTED_VALUE"""),"No")</f>
        <v>No</v>
      </c>
      <c r="AJ1923" s="5"/>
    </row>
    <row r="1924" spans="1:36" ht="13">
      <c r="A1924" s="5" t="str">
        <f ca="1">IFERROR(__xludf.DUMMYFUNCTION("""COMPUTED_VALUE"""),"19891205TXWWD")</f>
        <v>19891205TXWWD</v>
      </c>
      <c r="B1924" s="5">
        <f ca="1">IFERROR(__xludf.DUMMYFUNCTION("""COMPUTED_VALUE"""),12)</f>
        <v>12</v>
      </c>
      <c r="C1924" s="5">
        <f ca="1">IFERROR(__xludf.DUMMYFUNCTION("""COMPUTED_VALUE"""),5)</f>
        <v>5</v>
      </c>
      <c r="D1924" s="5">
        <f ca="1">IFERROR(__xludf.DUMMYFUNCTION("""COMPUTED_VALUE"""),1989)</f>
        <v>1989</v>
      </c>
      <c r="E1924" s="8">
        <f ca="1">IFERROR(__xludf.DUMMYFUNCTION("""COMPUTED_VALUE"""),32847)</f>
        <v>32847</v>
      </c>
      <c r="F1924" s="5" t="str">
        <f ca="1">IFERROR(__xludf.DUMMYFUNCTION("""COMPUTED_VALUE"""),"W W Samuell High School")</f>
        <v>W W Samuell High School</v>
      </c>
      <c r="G1924" s="5">
        <f ca="1">IFERROR(__xludf.DUMMYFUNCTION("""COMPUTED_VALUE"""),0)</f>
        <v>0</v>
      </c>
      <c r="H1924" s="5">
        <f ca="1">IFERROR(__xludf.DUMMYFUNCTION("""COMPUTED_VALUE"""),1)</f>
        <v>1</v>
      </c>
      <c r="I1924" s="5">
        <f ca="1">IFERROR(__xludf.DUMMYFUNCTION("""COMPUTED_VALUE"""),1)</f>
        <v>1</v>
      </c>
      <c r="J1924" s="5">
        <f ca="1">IFERROR(__xludf.DUMMYFUNCTION("""COMPUTED_VALUE"""),0)</f>
        <v>0</v>
      </c>
      <c r="K1924" s="9" t="str">
        <f ca="1">IFERROR(__xludf.DUMMYFUNCTION("""COMPUTED_VALUE"""),"https://www.newspapers.com/image/410785023/?terms=W.%2BW.%2BSamuell%2BHigh%2BSchool")</f>
        <v>https://www.newspapers.com/image/410785023/?terms=W.%2BW.%2BSamuell%2BHigh%2BSchool</v>
      </c>
      <c r="L1924" s="5"/>
      <c r="M1924" s="5"/>
      <c r="N1924" s="5">
        <f ca="1">IFERROR(__xludf.DUMMYFUNCTION("""COMPUTED_VALUE"""),2)</f>
        <v>2</v>
      </c>
      <c r="O1924" s="5" t="str">
        <f ca="1">IFERROR(__xludf.DUMMYFUNCTION("""COMPUTED_VALUE"""),"Winter")</f>
        <v>Winter</v>
      </c>
      <c r="P1924" s="5" t="str">
        <f ca="1">IFERROR(__xludf.DUMMYFUNCTION("""COMPUTED_VALUE"""),"Dallas")</f>
        <v>Dallas</v>
      </c>
      <c r="Q1924" s="5" t="str">
        <f ca="1">IFERROR(__xludf.DUMMYFUNCTION("""COMPUTED_VALUE"""),"TX")</f>
        <v>TX</v>
      </c>
      <c r="R1924" s="5" t="str">
        <f ca="1">IFERROR(__xludf.DUMMYFUNCTION("""COMPUTED_VALUE"""),"High")</f>
        <v>High</v>
      </c>
      <c r="S1924" s="5" t="str">
        <f ca="1">IFERROR(__xludf.DUMMYFUNCTION("""COMPUTED_VALUE"""),"Hallway")</f>
        <v>Hallway</v>
      </c>
      <c r="T1924" s="5" t="str">
        <f ca="1">IFERROR(__xludf.DUMMYFUNCTION("""COMPUTED_VALUE"""),"Inside School Building")</f>
        <v>Inside School Building</v>
      </c>
      <c r="U1924" s="5" t="str">
        <f ca="1">IFERROR(__xludf.DUMMYFUNCTION("""COMPUTED_VALUE"""),"Yes")</f>
        <v>Yes</v>
      </c>
      <c r="V1924" s="5" t="str">
        <f ca="1">IFERROR(__xludf.DUMMYFUNCTION("""COMPUTED_VALUE"""),"Morning Classes")</f>
        <v>Morning Classes</v>
      </c>
      <c r="W1924" s="10">
        <f ca="1">IFERROR(__xludf.DUMMYFUNCTION("""COMPUTED_VALUE"""),0.347222222222222)</f>
        <v>0.34722222222222199</v>
      </c>
      <c r="X1924" s="5">
        <f ca="1">IFERROR(__xludf.DUMMYFUNCTION("""COMPUTED_VALUE"""),1)</f>
        <v>1</v>
      </c>
      <c r="Y1924" s="5" t="str">
        <f ca="1">IFERROR(__xludf.DUMMYFUNCTION("""COMPUTED_VALUE"""),"Gang members fired shots, ricocheted and hit teacher")</f>
        <v>Gang members fired shots, ricocheted and hit teacher</v>
      </c>
      <c r="Z1924" s="5" t="str">
        <f ca="1">IFERROR(__xludf.DUMMYFUNCTION("""COMPUTED_VALUE"""),"7 gang members came into school to fight with members of a rival gang. During the fight, shots were fired and a round ricocheted off the floor then struck a special education teacher. All of the gang members fled the area.")</f>
        <v>7 gang members came into school to fight with members of a rival gang. During the fight, shots were fired and a round ricocheted off the floor then struck a special education teacher. All of the gang members fled the area.</v>
      </c>
      <c r="AA1924" s="5" t="str">
        <f ca="1">IFERROR(__xludf.DUMMYFUNCTION("""COMPUTED_VALUE"""),"Escalation of Dispute")</f>
        <v>Escalation of Dispute</v>
      </c>
      <c r="AB1924" s="5" t="str">
        <f ca="1">IFERROR(__xludf.DUMMYFUNCTION("""COMPUTED_VALUE"""),"Both")</f>
        <v>Both</v>
      </c>
      <c r="AC1924" s="5" t="str">
        <f ca="1">IFERROR(__xludf.DUMMYFUNCTION("""COMPUTED_VALUE"""),"No")</f>
        <v>No</v>
      </c>
      <c r="AD1924" s="5" t="str">
        <f ca="1">IFERROR(__xludf.DUMMYFUNCTION("""COMPUTED_VALUE"""),"No")</f>
        <v>No</v>
      </c>
      <c r="AE1924" s="5" t="str">
        <f ca="1">IFERROR(__xludf.DUMMYFUNCTION("""COMPUTED_VALUE"""),"No")</f>
        <v>No</v>
      </c>
      <c r="AF1924" s="5" t="str">
        <f ca="1">IFERROR(__xludf.DUMMYFUNCTION("""COMPUTED_VALUE"""),"No")</f>
        <v>No</v>
      </c>
      <c r="AG1924" s="5" t="str">
        <f ca="1">IFERROR(__xludf.DUMMYFUNCTION("""COMPUTED_VALUE"""),"No")</f>
        <v>No</v>
      </c>
      <c r="AH1924" s="5" t="str">
        <f ca="1">IFERROR(__xludf.DUMMYFUNCTION("""COMPUTED_VALUE"""),"No")</f>
        <v>No</v>
      </c>
      <c r="AI1924" s="5" t="str">
        <f ca="1">IFERROR(__xludf.DUMMYFUNCTION("""COMPUTED_VALUE"""),"Yes")</f>
        <v>Yes</v>
      </c>
      <c r="AJ1924" s="5"/>
    </row>
    <row r="1925" spans="1:36" ht="13">
      <c r="A1925" s="5" t="str">
        <f ca="1">IFERROR(__xludf.DUMMYFUNCTION("""COMPUTED_VALUE"""),"19891204LACAS")</f>
        <v>19891204LACAS</v>
      </c>
      <c r="B1925" s="5">
        <f ca="1">IFERROR(__xludf.DUMMYFUNCTION("""COMPUTED_VALUE"""),12)</f>
        <v>12</v>
      </c>
      <c r="C1925" s="5">
        <f ca="1">IFERROR(__xludf.DUMMYFUNCTION("""COMPUTED_VALUE"""),4)</f>
        <v>4</v>
      </c>
      <c r="D1925" s="5">
        <f ca="1">IFERROR(__xludf.DUMMYFUNCTION("""COMPUTED_VALUE"""),1989)</f>
        <v>1989</v>
      </c>
      <c r="E1925" s="8">
        <f ca="1">IFERROR(__xludf.DUMMYFUNCTION("""COMPUTED_VALUE"""),32846)</f>
        <v>32846</v>
      </c>
      <c r="F1925" s="5" t="str">
        <f ca="1">IFERROR(__xludf.DUMMYFUNCTION("""COMPUTED_VALUE"""),"Caddo Magnet High School")</f>
        <v>Caddo Magnet High School</v>
      </c>
      <c r="G1925" s="5">
        <f ca="1">IFERROR(__xludf.DUMMYFUNCTION("""COMPUTED_VALUE"""),0)</f>
        <v>0</v>
      </c>
      <c r="H1925" s="5">
        <f ca="1">IFERROR(__xludf.DUMMYFUNCTION("""COMPUTED_VALUE"""),1)</f>
        <v>1</v>
      </c>
      <c r="I1925" s="5">
        <f ca="1">IFERROR(__xludf.DUMMYFUNCTION("""COMPUTED_VALUE"""),1)</f>
        <v>1</v>
      </c>
      <c r="J1925" s="5">
        <f ca="1">IFERROR(__xludf.DUMMYFUNCTION("""COMPUTED_VALUE"""),0)</f>
        <v>0</v>
      </c>
      <c r="K1925" s="9" t="str">
        <f ca="1">IFERROR(__xludf.DUMMYFUNCTION("""COMPUTED_VALUE"""),"https://www.newspapers.com/image/228504621/?terms=student%2Bshot")</f>
        <v>https://www.newspapers.com/image/228504621/?terms=student%2Bshot</v>
      </c>
      <c r="L1925" s="5"/>
      <c r="M1925" s="5"/>
      <c r="N1925" s="5">
        <f ca="1">IFERROR(__xludf.DUMMYFUNCTION("""COMPUTED_VALUE"""),2)</f>
        <v>2</v>
      </c>
      <c r="O1925" s="5" t="str">
        <f ca="1">IFERROR(__xludf.DUMMYFUNCTION("""COMPUTED_VALUE"""),"Winter")</f>
        <v>Winter</v>
      </c>
      <c r="P1925" s="5" t="str">
        <f ca="1">IFERROR(__xludf.DUMMYFUNCTION("""COMPUTED_VALUE"""),"Shreveport")</f>
        <v>Shreveport</v>
      </c>
      <c r="Q1925" s="5" t="str">
        <f ca="1">IFERROR(__xludf.DUMMYFUNCTION("""COMPUTED_VALUE"""),"LA")</f>
        <v>LA</v>
      </c>
      <c r="R1925" s="5" t="str">
        <f ca="1">IFERROR(__xludf.DUMMYFUNCTION("""COMPUTED_VALUE"""),"High")</f>
        <v>High</v>
      </c>
      <c r="S1925" s="5" t="str">
        <f ca="1">IFERROR(__xludf.DUMMYFUNCTION("""COMPUTED_VALUE"""),"School Bus")</f>
        <v>School Bus</v>
      </c>
      <c r="T1925" s="5" t="str">
        <f ca="1">IFERROR(__xludf.DUMMYFUNCTION("""COMPUTED_VALUE"""),"School Bus")</f>
        <v>School Bus</v>
      </c>
      <c r="U1925" s="5" t="str">
        <f ca="1">IFERROR(__xludf.DUMMYFUNCTION("""COMPUTED_VALUE"""),"No")</f>
        <v>No</v>
      </c>
      <c r="V1925" s="5" t="str">
        <f ca="1">IFERROR(__xludf.DUMMYFUNCTION("""COMPUTED_VALUE"""),"After School")</f>
        <v>After School</v>
      </c>
      <c r="W1925" s="5"/>
      <c r="X1925" s="5">
        <f ca="1">IFERROR(__xludf.DUMMYFUNCTION("""COMPUTED_VALUE"""),1)</f>
        <v>1</v>
      </c>
      <c r="Y1925" s="5" t="str">
        <f ca="1">IFERROR(__xludf.DUMMYFUNCTION("""COMPUTED_VALUE"""),"Fight on school bus")</f>
        <v>Fight on school bus</v>
      </c>
      <c r="Z1925" s="5" t="str">
        <f ca="1">IFERROR(__xludf.DUMMYFUNCTION("""COMPUTED_VALUE"""),"Students from different high schools got into a fight on the school bus after in pulled into Caddo Magnet High School. During the fight, a student was shot - no further in archived report")</f>
        <v>Students from different high schools got into a fight on the school bus after in pulled into Caddo Magnet High School. During the fight, a student was shot - no further in archived report</v>
      </c>
      <c r="AA1925" s="5" t="str">
        <f ca="1">IFERROR(__xludf.DUMMYFUNCTION("""COMPUTED_VALUE"""),"Escalation of Dispute")</f>
        <v>Escalation of Dispute</v>
      </c>
      <c r="AB1925" s="5" t="str">
        <f ca="1">IFERROR(__xludf.DUMMYFUNCTION("""COMPUTED_VALUE"""),"Victims Targeted")</f>
        <v>Victims Targeted</v>
      </c>
      <c r="AC1925" s="5" t="str">
        <f ca="1">IFERROR(__xludf.DUMMYFUNCTION("""COMPUTED_VALUE"""),"No")</f>
        <v>No</v>
      </c>
      <c r="AD1925" s="5" t="str">
        <f ca="1">IFERROR(__xludf.DUMMYFUNCTION("""COMPUTED_VALUE"""),"No")</f>
        <v>No</v>
      </c>
      <c r="AE1925" s="5" t="str">
        <f ca="1">IFERROR(__xludf.DUMMYFUNCTION("""COMPUTED_VALUE"""),"No")</f>
        <v>No</v>
      </c>
      <c r="AF1925" s="5" t="str">
        <f ca="1">IFERROR(__xludf.DUMMYFUNCTION("""COMPUTED_VALUE"""),"No")</f>
        <v>No</v>
      </c>
      <c r="AG1925" s="5" t="str">
        <f ca="1">IFERROR(__xludf.DUMMYFUNCTION("""COMPUTED_VALUE"""),"No")</f>
        <v>No</v>
      </c>
      <c r="AH1925" s="5" t="str">
        <f ca="1">IFERROR(__xludf.DUMMYFUNCTION("""COMPUTED_VALUE"""),"No")</f>
        <v>No</v>
      </c>
      <c r="AI1925" s="5" t="str">
        <f ca="1">IFERROR(__xludf.DUMMYFUNCTION("""COMPUTED_VALUE"""),"No")</f>
        <v>No</v>
      </c>
      <c r="AJ1925" s="5"/>
    </row>
    <row r="1926" spans="1:36" ht="13">
      <c r="A1926" s="5" t="str">
        <f ca="1">IFERROR(__xludf.DUMMYFUNCTION("""COMPUTED_VALUE"""),"19891122CACHO")</f>
        <v>19891122CACHO</v>
      </c>
      <c r="B1926" s="5">
        <f ca="1">IFERROR(__xludf.DUMMYFUNCTION("""COMPUTED_VALUE"""),11)</f>
        <v>11</v>
      </c>
      <c r="C1926" s="5">
        <f ca="1">IFERROR(__xludf.DUMMYFUNCTION("""COMPUTED_VALUE"""),22)</f>
        <v>22</v>
      </c>
      <c r="D1926" s="5">
        <f ca="1">IFERROR(__xludf.DUMMYFUNCTION("""COMPUTED_VALUE"""),1989)</f>
        <v>1989</v>
      </c>
      <c r="E1926" s="8">
        <f ca="1">IFERROR(__xludf.DUMMYFUNCTION("""COMPUTED_VALUE"""),32834)</f>
        <v>32834</v>
      </c>
      <c r="F1926" s="5" t="str">
        <f ca="1">IFERROR(__xludf.DUMMYFUNCTION("""COMPUTED_VALUE"""),"Channel Islands High School")</f>
        <v>Channel Islands High School</v>
      </c>
      <c r="G1926" s="5">
        <f ca="1">IFERROR(__xludf.DUMMYFUNCTION("""COMPUTED_VALUE"""),1)</f>
        <v>1</v>
      </c>
      <c r="H1926" s="5">
        <f ca="1">IFERROR(__xludf.DUMMYFUNCTION("""COMPUTED_VALUE"""),0)</f>
        <v>0</v>
      </c>
      <c r="I1926" s="5">
        <f ca="1">IFERROR(__xludf.DUMMYFUNCTION("""COMPUTED_VALUE"""),1)</f>
        <v>1</v>
      </c>
      <c r="J1926" s="5">
        <f ca="1">IFERROR(__xludf.DUMMYFUNCTION("""COMPUTED_VALUE"""),0)</f>
        <v>0</v>
      </c>
      <c r="K1926" s="9" t="str">
        <f ca="1">IFERROR(__xludf.DUMMYFUNCTION("""COMPUTED_VALUE"""),"http://articles.latimes.com/1990-06-15/local/me-106_1_rival-gang-member")</f>
        <v>http://articles.latimes.com/1990-06-15/local/me-106_1_rival-gang-member</v>
      </c>
      <c r="L1926" s="5"/>
      <c r="M1926" s="5"/>
      <c r="N1926" s="5">
        <f ca="1">IFERROR(__xludf.DUMMYFUNCTION("""COMPUTED_VALUE"""),2)</f>
        <v>2</v>
      </c>
      <c r="O1926" s="5" t="str">
        <f ca="1">IFERROR(__xludf.DUMMYFUNCTION("""COMPUTED_VALUE"""),"Fall")</f>
        <v>Fall</v>
      </c>
      <c r="P1926" s="5" t="str">
        <f ca="1">IFERROR(__xludf.DUMMYFUNCTION("""COMPUTED_VALUE"""),"Oxnard")</f>
        <v>Oxnard</v>
      </c>
      <c r="Q1926" s="5" t="str">
        <f ca="1">IFERROR(__xludf.DUMMYFUNCTION("""COMPUTED_VALUE"""),"CA")</f>
        <v>CA</v>
      </c>
      <c r="R1926" s="5" t="str">
        <f ca="1">IFERROR(__xludf.DUMMYFUNCTION("""COMPUTED_VALUE"""),"High")</f>
        <v>High</v>
      </c>
      <c r="S1926" s="5" t="str">
        <f ca="1">IFERROR(__xludf.DUMMYFUNCTION("""COMPUTED_VALUE"""),"Beside Building")</f>
        <v>Beside Building</v>
      </c>
      <c r="T1926" s="5" t="str">
        <f ca="1">IFERROR(__xludf.DUMMYFUNCTION("""COMPUTED_VALUE"""),"Outside on School Property")</f>
        <v>Outside on School Property</v>
      </c>
      <c r="U1926" s="5" t="str">
        <f ca="1">IFERROR(__xludf.DUMMYFUNCTION("""COMPUTED_VALUE"""),"No")</f>
        <v>No</v>
      </c>
      <c r="V1926" s="5" t="str">
        <f ca="1">IFERROR(__xludf.DUMMYFUNCTION("""COMPUTED_VALUE"""),"After School")</f>
        <v>After School</v>
      </c>
      <c r="W1926" s="10">
        <f ca="1">IFERROR(__xludf.DUMMYFUNCTION("""COMPUTED_VALUE"""),0.625)</f>
        <v>0.625</v>
      </c>
      <c r="X1926" s="5">
        <f ca="1">IFERROR(__xludf.DUMMYFUNCTION("""COMPUTED_VALUE"""),1)</f>
        <v>1</v>
      </c>
      <c r="Y1926" s="5" t="str">
        <f ca="1">IFERROR(__xludf.DUMMYFUNCTION("""COMPUTED_VALUE"""),"Fight between rival gang members outside of school")</f>
        <v>Fight between rival gang members outside of school</v>
      </c>
      <c r="Z1926" s="5" t="str">
        <f ca="1">IFERROR(__xludf.DUMMYFUNCTION("""COMPUTED_VALUE"""),"19YOM fatally shot 20YOM outside of school building and fled the scene. Victim was member of rival Latino gang. Shooter fled the scene in a vehicle following the shooting.")</f>
        <v>19YOM fatally shot 20YOM outside of school building and fled the scene. Victim was member of rival Latino gang. Shooter fled the scene in a vehicle following the shooting.</v>
      </c>
      <c r="AA1926" s="5" t="str">
        <f ca="1">IFERROR(__xludf.DUMMYFUNCTION("""COMPUTED_VALUE"""),"Escalation of Dispute")</f>
        <v>Escalation of Dispute</v>
      </c>
      <c r="AB1926" s="5" t="str">
        <f ca="1">IFERROR(__xludf.DUMMYFUNCTION("""COMPUTED_VALUE"""),"Victims Targeted")</f>
        <v>Victims Targeted</v>
      </c>
      <c r="AC1926" s="5" t="str">
        <f ca="1">IFERROR(__xludf.DUMMYFUNCTION("""COMPUTED_VALUE"""),"No")</f>
        <v>No</v>
      </c>
      <c r="AD1926" s="5" t="str">
        <f ca="1">IFERROR(__xludf.DUMMYFUNCTION("""COMPUTED_VALUE"""),"No")</f>
        <v>No</v>
      </c>
      <c r="AE1926" s="5" t="str">
        <f ca="1">IFERROR(__xludf.DUMMYFUNCTION("""COMPUTED_VALUE"""),"No")</f>
        <v>No</v>
      </c>
      <c r="AF1926" s="5" t="str">
        <f ca="1">IFERROR(__xludf.DUMMYFUNCTION("""COMPUTED_VALUE"""),"No")</f>
        <v>No</v>
      </c>
      <c r="AG1926" s="5" t="str">
        <f ca="1">IFERROR(__xludf.DUMMYFUNCTION("""COMPUTED_VALUE"""),"No")</f>
        <v>No</v>
      </c>
      <c r="AH1926" s="5" t="str">
        <f ca="1">IFERROR(__xludf.DUMMYFUNCTION("""COMPUTED_VALUE"""),"No")</f>
        <v>No</v>
      </c>
      <c r="AI1926" s="5" t="str">
        <f ca="1">IFERROR(__xludf.DUMMYFUNCTION("""COMPUTED_VALUE"""),"Yes")</f>
        <v>Yes</v>
      </c>
      <c r="AJ1926" s="5"/>
    </row>
    <row r="1927" spans="1:36" ht="13">
      <c r="A1927" s="5" t="str">
        <f ca="1">IFERROR(__xludf.DUMMYFUNCTION("""COMPUTED_VALUE"""),"19891115TXWOA")</f>
        <v>19891115TXWOA</v>
      </c>
      <c r="B1927" s="5">
        <f ca="1">IFERROR(__xludf.DUMMYFUNCTION("""COMPUTED_VALUE"""),11)</f>
        <v>11</v>
      </c>
      <c r="C1927" s="5">
        <f ca="1">IFERROR(__xludf.DUMMYFUNCTION("""COMPUTED_VALUE"""),15)</f>
        <v>15</v>
      </c>
      <c r="D1927" s="5">
        <f ca="1">IFERROR(__xludf.DUMMYFUNCTION("""COMPUTED_VALUE"""),1989)</f>
        <v>1989</v>
      </c>
      <c r="E1927" s="8">
        <f ca="1">IFERROR(__xludf.DUMMYFUNCTION("""COMPUTED_VALUE"""),32827)</f>
        <v>32827</v>
      </c>
      <c r="F1927" s="5" t="str">
        <f ca="1">IFERROR(__xludf.DUMMYFUNCTION("""COMPUTED_VALUE"""),"Workman Junior High School")</f>
        <v>Workman Junior High School</v>
      </c>
      <c r="G1927" s="5">
        <f ca="1">IFERROR(__xludf.DUMMYFUNCTION("""COMPUTED_VALUE"""),0)</f>
        <v>0</v>
      </c>
      <c r="H1927" s="5">
        <f ca="1">IFERROR(__xludf.DUMMYFUNCTION("""COMPUTED_VALUE"""),1)</f>
        <v>1</v>
      </c>
      <c r="I1927" s="5">
        <f ca="1">IFERROR(__xludf.DUMMYFUNCTION("""COMPUTED_VALUE"""),1)</f>
        <v>1</v>
      </c>
      <c r="J1927" s="5">
        <f ca="1">IFERROR(__xludf.DUMMYFUNCTION("""COMPUTED_VALUE"""),0)</f>
        <v>0</v>
      </c>
      <c r="K1927" s="5" t="str">
        <f ca="1">IFERROR(__xludf.DUMMYFUNCTION("""COMPUTED_VALUE"""),"https://www.newspapers.com/image/132729880/?terms=Workman%2BJunior%2BHigh%2BSchool; https://www.newspapers.com/image/300710884/?terms=Andy%2Bchambers; https://apnews.com/73274954a2b21920074cff0bf55cadb3")</f>
        <v>https://www.newspapers.com/image/132729880/?terms=Workman%2BJunior%2BHigh%2BSchool; https://www.newspapers.com/image/300710884/?terms=Andy%2Bchambers; https://apnews.com/73274954a2b21920074cff0bf55cadb3</v>
      </c>
      <c r="L1927" s="5"/>
      <c r="M1927" s="5"/>
      <c r="N1927" s="5">
        <f ca="1">IFERROR(__xludf.DUMMYFUNCTION("""COMPUTED_VALUE"""),2)</f>
        <v>2</v>
      </c>
      <c r="O1927" s="5" t="str">
        <f ca="1">IFERROR(__xludf.DUMMYFUNCTION("""COMPUTED_VALUE"""),"Fall")</f>
        <v>Fall</v>
      </c>
      <c r="P1927" s="5" t="str">
        <f ca="1">IFERROR(__xludf.DUMMYFUNCTION("""COMPUTED_VALUE"""),"Arlington")</f>
        <v>Arlington</v>
      </c>
      <c r="Q1927" s="5" t="str">
        <f ca="1">IFERROR(__xludf.DUMMYFUNCTION("""COMPUTED_VALUE"""),"TX")</f>
        <v>TX</v>
      </c>
      <c r="R1927" s="5" t="str">
        <f ca="1">IFERROR(__xludf.DUMMYFUNCTION("""COMPUTED_VALUE"""),"Junior High")</f>
        <v>Junior High</v>
      </c>
      <c r="S1927" s="5" t="str">
        <f ca="1">IFERROR(__xludf.DUMMYFUNCTION("""COMPUTED_VALUE"""),"Parking Lot")</f>
        <v>Parking Lot</v>
      </c>
      <c r="T1927" s="5" t="str">
        <f ca="1">IFERROR(__xludf.DUMMYFUNCTION("""COMPUTED_VALUE"""),"Outside on School Property")</f>
        <v>Outside on School Property</v>
      </c>
      <c r="U1927" s="5" t="str">
        <f ca="1">IFERROR(__xludf.DUMMYFUNCTION("""COMPUTED_VALUE"""),"Yes")</f>
        <v>Yes</v>
      </c>
      <c r="V1927" s="5" t="str">
        <f ca="1">IFERROR(__xludf.DUMMYFUNCTION("""COMPUTED_VALUE"""),"Dismissal")</f>
        <v>Dismissal</v>
      </c>
      <c r="W1927" s="10">
        <f ca="1">IFERROR(__xludf.DUMMYFUNCTION("""COMPUTED_VALUE"""),0.65625)</f>
        <v>0.65625</v>
      </c>
      <c r="X1927" s="5">
        <f ca="1">IFERROR(__xludf.DUMMYFUNCTION("""COMPUTED_VALUE"""),1)</f>
        <v>1</v>
      </c>
      <c r="Y1927" s="5" t="str">
        <f ca="1">IFERROR(__xludf.DUMMYFUNCTION("""COMPUTED_VALUE"""),"Shot vice principal in back during dismissal")</f>
        <v>Shot vice principal in back during dismissal</v>
      </c>
      <c r="Z1927" s="5" t="str">
        <f ca="1">IFERROR(__xludf.DUMMYFUNCTION("""COMPUTED_VALUE"""),"13YOM shot vice principal one time in the back during school dismissal. Shooter then fled and was apprehended approximately 1/2 miles away. Shooter told fellow students he was planning on shooting victim.")</f>
        <v>13YOM shot vice principal one time in the back during school dismissal. Shooter then fled and was apprehended approximately 1/2 miles away. Shooter told fellow students he was planning on shooting victim.</v>
      </c>
      <c r="AA1927" s="5" t="str">
        <f ca="1">IFERROR(__xludf.DUMMYFUNCTION("""COMPUTED_VALUE"""),"Anger Over Grade/Suspension/Discipline")</f>
        <v>Anger Over Grade/Suspension/Discipline</v>
      </c>
      <c r="AB1927" s="5" t="str">
        <f ca="1">IFERROR(__xludf.DUMMYFUNCTION("""COMPUTED_VALUE"""),"Victims Targeted")</f>
        <v>Victims Targeted</v>
      </c>
      <c r="AC1927" s="5" t="str">
        <f ca="1">IFERROR(__xludf.DUMMYFUNCTION("""COMPUTED_VALUE"""),"No")</f>
        <v>No</v>
      </c>
      <c r="AD1927" s="5" t="str">
        <f ca="1">IFERROR(__xludf.DUMMYFUNCTION("""COMPUTED_VALUE"""),"No")</f>
        <v>No</v>
      </c>
      <c r="AE1927" s="5" t="str">
        <f ca="1">IFERROR(__xludf.DUMMYFUNCTION("""COMPUTED_VALUE"""),"No")</f>
        <v>No</v>
      </c>
      <c r="AF1927" s="5" t="str">
        <f ca="1">IFERROR(__xludf.DUMMYFUNCTION("""COMPUTED_VALUE"""),"No")</f>
        <v>No</v>
      </c>
      <c r="AG1927" s="5" t="str">
        <f ca="1">IFERROR(__xludf.DUMMYFUNCTION("""COMPUTED_VALUE"""),"No")</f>
        <v>No</v>
      </c>
      <c r="AH1927" s="5" t="str">
        <f ca="1">IFERROR(__xludf.DUMMYFUNCTION("""COMPUTED_VALUE"""),"No")</f>
        <v>No</v>
      </c>
      <c r="AI1927" s="5" t="str">
        <f ca="1">IFERROR(__xludf.DUMMYFUNCTION("""COMPUTED_VALUE"""),"No")</f>
        <v>No</v>
      </c>
      <c r="AJ1927" s="5" t="str">
        <f ca="1">IFERROR(__xludf.DUMMYFUNCTION("""COMPUTED_VALUE"""),"No")</f>
        <v>No</v>
      </c>
    </row>
    <row r="1928" spans="1:36" ht="13">
      <c r="A1928" s="5" t="str">
        <f ca="1">IFERROR(__xludf.DUMMYFUNCTION("""COMPUTED_VALUE"""),"19891113NYALN")</f>
        <v>19891113NYALN</v>
      </c>
      <c r="B1928" s="5">
        <f ca="1">IFERROR(__xludf.DUMMYFUNCTION("""COMPUTED_VALUE"""),11)</f>
        <v>11</v>
      </c>
      <c r="C1928" s="5">
        <f ca="1">IFERROR(__xludf.DUMMYFUNCTION("""COMPUTED_VALUE"""),13)</f>
        <v>13</v>
      </c>
      <c r="D1928" s="5">
        <f ca="1">IFERROR(__xludf.DUMMYFUNCTION("""COMPUTED_VALUE"""),1989)</f>
        <v>1989</v>
      </c>
      <c r="E1928" s="8">
        <f ca="1">IFERROR(__xludf.DUMMYFUNCTION("""COMPUTED_VALUE"""),32825)</f>
        <v>32825</v>
      </c>
      <c r="F1928" s="5" t="str">
        <f ca="1">IFERROR(__xludf.DUMMYFUNCTION("""COMPUTED_VALUE"""),"Alfred E. Smith High School")</f>
        <v>Alfred E. Smith High School</v>
      </c>
      <c r="G1928" s="5">
        <f ca="1">IFERROR(__xludf.DUMMYFUNCTION("""COMPUTED_VALUE"""),1)</f>
        <v>1</v>
      </c>
      <c r="H1928" s="5">
        <f ca="1">IFERROR(__xludf.DUMMYFUNCTION("""COMPUTED_VALUE"""),0)</f>
        <v>0</v>
      </c>
      <c r="I1928" s="5">
        <f ca="1">IFERROR(__xludf.DUMMYFUNCTION("""COMPUTED_VALUE"""),1)</f>
        <v>1</v>
      </c>
      <c r="J1928" s="5">
        <f ca="1">IFERROR(__xludf.DUMMYFUNCTION("""COMPUTED_VALUE"""),0)</f>
        <v>0</v>
      </c>
      <c r="K1928" s="9" t="str">
        <f ca="1">IFERROR(__xludf.DUMMYFUNCTION("""COMPUTED_VALUE"""),"https://www.newspapers.com/image/112524612/?terms=Alfred%2BE.%2BSmith%2BHigh%2BSchool")</f>
        <v>https://www.newspapers.com/image/112524612/?terms=Alfred%2BE.%2BSmith%2BHigh%2BSchool</v>
      </c>
      <c r="L1928" s="5"/>
      <c r="M1928" s="5"/>
      <c r="N1928" s="5">
        <f ca="1">IFERROR(__xludf.DUMMYFUNCTION("""COMPUTED_VALUE"""),2)</f>
        <v>2</v>
      </c>
      <c r="O1928" s="5" t="str">
        <f ca="1">IFERROR(__xludf.DUMMYFUNCTION("""COMPUTED_VALUE"""),"Fall")</f>
        <v>Fall</v>
      </c>
      <c r="P1928" s="5" t="str">
        <f ca="1">IFERROR(__xludf.DUMMYFUNCTION("""COMPUTED_VALUE"""),"New York")</f>
        <v>New York</v>
      </c>
      <c r="Q1928" s="5" t="str">
        <f ca="1">IFERROR(__xludf.DUMMYFUNCTION("""COMPUTED_VALUE"""),"NY")</f>
        <v>NY</v>
      </c>
      <c r="R1928" s="5" t="str">
        <f ca="1">IFERROR(__xludf.DUMMYFUNCTION("""COMPUTED_VALUE"""),"High")</f>
        <v>High</v>
      </c>
      <c r="S1928" s="5" t="str">
        <f ca="1">IFERROR(__xludf.DUMMYFUNCTION("""COMPUTED_VALUE"""),"Inside School Building")</f>
        <v>Inside School Building</v>
      </c>
      <c r="T1928" s="5" t="str">
        <f ca="1">IFERROR(__xludf.DUMMYFUNCTION("""COMPUTED_VALUE"""),"Inside School Building")</f>
        <v>Inside School Building</v>
      </c>
      <c r="U1928" s="5" t="str">
        <f ca="1">IFERROR(__xludf.DUMMYFUNCTION("""COMPUTED_VALUE"""),"Yes")</f>
        <v>Yes</v>
      </c>
      <c r="V1928" s="5" t="str">
        <f ca="1">IFERROR(__xludf.DUMMYFUNCTION("""COMPUTED_VALUE"""),"Afternoon Classes")</f>
        <v>Afternoon Classes</v>
      </c>
      <c r="W1928" s="5"/>
      <c r="X1928" s="5">
        <f ca="1">IFERROR(__xludf.DUMMYFUNCTION("""COMPUTED_VALUE"""),1)</f>
        <v>1</v>
      </c>
      <c r="Y1928" s="5" t="str">
        <f ca="1">IFERROR(__xludf.DUMMYFUNCTION("""COMPUTED_VALUE"""),"Showing off gun, accidental discharge struck victim in chest")</f>
        <v>Showing off gun, accidental discharge struck victim in chest</v>
      </c>
      <c r="Z1928" s="5" t="str">
        <f ca="1">IFERROR(__xludf.DUMMYFUNCTION("""COMPUTED_VALUE"""),"15YOM student was showing off .22 revolver when it accidentally discharged striking the other student in the chest. Student died on way to hospital.")</f>
        <v>15YOM student was showing off .22 revolver when it accidentally discharged striking the other student in the chest. Student died on way to hospital.</v>
      </c>
      <c r="AA1928" s="5" t="str">
        <f ca="1">IFERROR(__xludf.DUMMYFUNCTION("""COMPUTED_VALUE"""),"Accidental")</f>
        <v>Accidental</v>
      </c>
      <c r="AB1928" s="5" t="str">
        <f ca="1">IFERROR(__xludf.DUMMYFUNCTION("""COMPUTED_VALUE"""),"Random Shooting")</f>
        <v>Random Shooting</v>
      </c>
      <c r="AC1928" s="5" t="str">
        <f ca="1">IFERROR(__xludf.DUMMYFUNCTION("""COMPUTED_VALUE"""),"No")</f>
        <v>No</v>
      </c>
      <c r="AD1928" s="5" t="str">
        <f ca="1">IFERROR(__xludf.DUMMYFUNCTION("""COMPUTED_VALUE"""),"No")</f>
        <v>No</v>
      </c>
      <c r="AE1928" s="5" t="str">
        <f ca="1">IFERROR(__xludf.DUMMYFUNCTION("""COMPUTED_VALUE"""),"No")</f>
        <v>No</v>
      </c>
      <c r="AF1928" s="5" t="str">
        <f ca="1">IFERROR(__xludf.DUMMYFUNCTION("""COMPUTED_VALUE"""),"No")</f>
        <v>No</v>
      </c>
      <c r="AG1928" s="5" t="str">
        <f ca="1">IFERROR(__xludf.DUMMYFUNCTION("""COMPUTED_VALUE"""),"No")</f>
        <v>No</v>
      </c>
      <c r="AH1928" s="5" t="str">
        <f ca="1">IFERROR(__xludf.DUMMYFUNCTION("""COMPUTED_VALUE"""),"No")</f>
        <v>No</v>
      </c>
      <c r="AI1928" s="5" t="str">
        <f ca="1">IFERROR(__xludf.DUMMYFUNCTION("""COMPUTED_VALUE"""),"No")</f>
        <v>No</v>
      </c>
      <c r="AJ1928" s="5"/>
    </row>
    <row r="1929" spans="1:36" ht="13">
      <c r="A1929" s="5" t="str">
        <f ca="1">IFERROR(__xludf.DUMMYFUNCTION("""COMPUTED_VALUE"""),"19891031TXOLD")</f>
        <v>19891031TXOLD</v>
      </c>
      <c r="B1929" s="5">
        <f ca="1">IFERROR(__xludf.DUMMYFUNCTION("""COMPUTED_VALUE"""),10)</f>
        <v>10</v>
      </c>
      <c r="C1929" s="5">
        <f ca="1">IFERROR(__xludf.DUMMYFUNCTION("""COMPUTED_VALUE"""),31)</f>
        <v>31</v>
      </c>
      <c r="D1929" s="5">
        <f ca="1">IFERROR(__xludf.DUMMYFUNCTION("""COMPUTED_VALUE"""),1989)</f>
        <v>1989</v>
      </c>
      <c r="E1929" s="8">
        <f ca="1">IFERROR(__xludf.DUMMYFUNCTION("""COMPUTED_VALUE"""),32812)</f>
        <v>32812</v>
      </c>
      <c r="F1929" s="5" t="str">
        <f ca="1">IFERROR(__xludf.DUMMYFUNCTION("""COMPUTED_VALUE"""),"Oliver Wendell Holmes Middle School")</f>
        <v>Oliver Wendell Holmes Middle School</v>
      </c>
      <c r="G1929" s="5">
        <f ca="1">IFERROR(__xludf.DUMMYFUNCTION("""COMPUTED_VALUE"""),0)</f>
        <v>0</v>
      </c>
      <c r="H1929" s="5">
        <f ca="1">IFERROR(__xludf.DUMMYFUNCTION("""COMPUTED_VALUE"""),1)</f>
        <v>1</v>
      </c>
      <c r="I1929" s="5">
        <f ca="1">IFERROR(__xludf.DUMMYFUNCTION("""COMPUTED_VALUE"""),1)</f>
        <v>1</v>
      </c>
      <c r="J1929" s="5">
        <f ca="1">IFERROR(__xludf.DUMMYFUNCTION("""COMPUTED_VALUE"""),0)</f>
        <v>0</v>
      </c>
      <c r="K1929" s="9" t="str">
        <f ca="1">IFERROR(__xludf.DUMMYFUNCTION("""COMPUTED_VALUE"""),"https://www.newspapers.com/image/300055668/?terms=Oliver%2BWendell%2BHolmes%2BMiddle%2BSchool%2Bshooting")</f>
        <v>https://www.newspapers.com/image/300055668/?terms=Oliver%2BWendell%2BHolmes%2BMiddle%2BSchool%2Bshooting</v>
      </c>
      <c r="L1929" s="5"/>
      <c r="M1929" s="5"/>
      <c r="N1929" s="5">
        <f ca="1">IFERROR(__xludf.DUMMYFUNCTION("""COMPUTED_VALUE"""),2)</f>
        <v>2</v>
      </c>
      <c r="O1929" s="5" t="str">
        <f ca="1">IFERROR(__xludf.DUMMYFUNCTION("""COMPUTED_VALUE"""),"Fall")</f>
        <v>Fall</v>
      </c>
      <c r="P1929" s="5" t="str">
        <f ca="1">IFERROR(__xludf.DUMMYFUNCTION("""COMPUTED_VALUE"""),"Dallas")</f>
        <v>Dallas</v>
      </c>
      <c r="Q1929" s="5" t="str">
        <f ca="1">IFERROR(__xludf.DUMMYFUNCTION("""COMPUTED_VALUE"""),"TX")</f>
        <v>TX</v>
      </c>
      <c r="R1929" s="5" t="str">
        <f ca="1">IFERROR(__xludf.DUMMYFUNCTION("""COMPUTED_VALUE"""),"Middle")</f>
        <v>Middle</v>
      </c>
      <c r="S1929" s="5" t="str">
        <f ca="1">IFERROR(__xludf.DUMMYFUNCTION("""COMPUTED_VALUE"""),"Inside School Building")</f>
        <v>Inside School Building</v>
      </c>
      <c r="T1929" s="5" t="str">
        <f ca="1">IFERROR(__xludf.DUMMYFUNCTION("""COMPUTED_VALUE"""),"Inside School Building")</f>
        <v>Inside School Building</v>
      </c>
      <c r="U1929" s="5" t="str">
        <f ca="1">IFERROR(__xludf.DUMMYFUNCTION("""COMPUTED_VALUE"""),"Yes")</f>
        <v>Yes</v>
      </c>
      <c r="V1929" s="5" t="str">
        <f ca="1">IFERROR(__xludf.DUMMYFUNCTION("""COMPUTED_VALUE"""),"School Start")</f>
        <v>School Start</v>
      </c>
      <c r="W1929" s="5"/>
      <c r="X1929" s="5">
        <f ca="1">IFERROR(__xludf.DUMMYFUNCTION("""COMPUTED_VALUE"""),1)</f>
        <v>1</v>
      </c>
      <c r="Y1929" s="5" t="str">
        <f ca="1">IFERROR(__xludf.DUMMYFUNCTION("""COMPUTED_VALUE"""),"Student shot with bb gun in spine")</f>
        <v>Student shot with bb gun in spine</v>
      </c>
      <c r="Z1929" s="5" t="str">
        <f ca="1">IFERROR(__xludf.DUMMYFUNCTION("""COMPUTED_VALUE"""),"14YOM student was dressed a GI Joe for halloween with BB gun as part of costume. Student was playing with gun and it accidentally fired striking another student in the spine. Student fell over and had numbness in legs. Shooter went with the victim (friend"&amp;") to the nurses office.")</f>
        <v>14YOM student was dressed a GI Joe for halloween with BB gun as part of costume. Student was playing with gun and it accidentally fired striking another student in the spine. Student fell over and had numbness in legs. Shooter went with the victim (friend) to the nurses office.</v>
      </c>
      <c r="AA1929" s="5" t="str">
        <f ca="1">IFERROR(__xludf.DUMMYFUNCTION("""COMPUTED_VALUE"""),"Accidental")</f>
        <v>Accidental</v>
      </c>
      <c r="AB1929" s="5" t="str">
        <f ca="1">IFERROR(__xludf.DUMMYFUNCTION("""COMPUTED_VALUE"""),"Random Shooting")</f>
        <v>Random Shooting</v>
      </c>
      <c r="AC1929" s="5"/>
      <c r="AD1929" s="5" t="str">
        <f ca="1">IFERROR(__xludf.DUMMYFUNCTION("""COMPUTED_VALUE"""),"No")</f>
        <v>No</v>
      </c>
      <c r="AE1929" s="5" t="str">
        <f ca="1">IFERROR(__xludf.DUMMYFUNCTION("""COMPUTED_VALUE"""),"No")</f>
        <v>No</v>
      </c>
      <c r="AF1929" s="5" t="str">
        <f ca="1">IFERROR(__xludf.DUMMYFUNCTION("""COMPUTED_VALUE"""),"No")</f>
        <v>No</v>
      </c>
      <c r="AG1929" s="5" t="str">
        <f ca="1">IFERROR(__xludf.DUMMYFUNCTION("""COMPUTED_VALUE"""),"No")</f>
        <v>No</v>
      </c>
      <c r="AH1929" s="5" t="str">
        <f ca="1">IFERROR(__xludf.DUMMYFUNCTION("""COMPUTED_VALUE"""),"No")</f>
        <v>No</v>
      </c>
      <c r="AI1929" s="5" t="str">
        <f ca="1">IFERROR(__xludf.DUMMYFUNCTION("""COMPUTED_VALUE"""),"No")</f>
        <v>No</v>
      </c>
      <c r="AJ1929" s="5"/>
    </row>
    <row r="1930" spans="1:36" ht="13">
      <c r="A1930" s="5" t="str">
        <f ca="1">IFERROR(__xludf.DUMMYFUNCTION("""COMPUTED_VALUE"""),"19891005CALOA")</f>
        <v>19891005CALOA</v>
      </c>
      <c r="B1930" s="5">
        <f ca="1">IFERROR(__xludf.DUMMYFUNCTION("""COMPUTED_VALUE"""),10)</f>
        <v>10</v>
      </c>
      <c r="C1930" s="5">
        <f ca="1">IFERROR(__xludf.DUMMYFUNCTION("""COMPUTED_VALUE"""),5)</f>
        <v>5</v>
      </c>
      <c r="D1930" s="5">
        <f ca="1">IFERROR(__xludf.DUMMYFUNCTION("""COMPUTED_VALUE"""),1989)</f>
        <v>1989</v>
      </c>
      <c r="E1930" s="8">
        <f ca="1">IFERROR(__xludf.DUMMYFUNCTION("""COMPUTED_VALUE"""),32786)</f>
        <v>32786</v>
      </c>
      <c r="F1930" s="5" t="str">
        <f ca="1">IFERROR(__xludf.DUMMYFUNCTION("""COMPUTED_VALUE"""),"Loara High School")</f>
        <v>Loara High School</v>
      </c>
      <c r="G1930" s="5">
        <f ca="1">IFERROR(__xludf.DUMMYFUNCTION("""COMPUTED_VALUE"""),0)</f>
        <v>0</v>
      </c>
      <c r="H1930" s="5">
        <f ca="1">IFERROR(__xludf.DUMMYFUNCTION("""COMPUTED_VALUE"""),1)</f>
        <v>1</v>
      </c>
      <c r="I1930" s="5">
        <f ca="1">IFERROR(__xludf.DUMMYFUNCTION("""COMPUTED_VALUE"""),1)</f>
        <v>1</v>
      </c>
      <c r="J1930" s="5">
        <f ca="1">IFERROR(__xludf.DUMMYFUNCTION("""COMPUTED_VALUE"""),0)</f>
        <v>0</v>
      </c>
      <c r="K1930" s="5" t="str">
        <f ca="1">IFERROR(__xludf.DUMMYFUNCTION("""COMPUTED_VALUE"""),"https://www.newspapers.com/image/181739390/?terms=student%2Bshot https://www.latimes.com/archives/la-xpm-1989-10-06-mn-808-story.html")</f>
        <v>https://www.newspapers.com/image/181739390/?terms=student%2Bshot https://www.latimes.com/archives/la-xpm-1989-10-06-mn-808-story.html</v>
      </c>
      <c r="L1930" s="5"/>
      <c r="M1930" s="5"/>
      <c r="N1930" s="5">
        <f ca="1">IFERROR(__xludf.DUMMYFUNCTION("""COMPUTED_VALUE"""),3)</f>
        <v>3</v>
      </c>
      <c r="O1930" s="5" t="str">
        <f ca="1">IFERROR(__xludf.DUMMYFUNCTION("""COMPUTED_VALUE"""),"Fall")</f>
        <v>Fall</v>
      </c>
      <c r="P1930" s="5" t="str">
        <f ca="1">IFERROR(__xludf.DUMMYFUNCTION("""COMPUTED_VALUE"""),"Anaheim")</f>
        <v>Anaheim</v>
      </c>
      <c r="Q1930" s="5" t="str">
        <f ca="1">IFERROR(__xludf.DUMMYFUNCTION("""COMPUTED_VALUE"""),"CA")</f>
        <v>CA</v>
      </c>
      <c r="R1930" s="5" t="str">
        <f ca="1">IFERROR(__xludf.DUMMYFUNCTION("""COMPUTED_VALUE"""),"High")</f>
        <v>High</v>
      </c>
      <c r="S1930" s="5" t="str">
        <f ca="1">IFERROR(__xludf.DUMMYFUNCTION("""COMPUTED_VALUE"""),"Classroom")</f>
        <v>Classroom</v>
      </c>
      <c r="T1930" s="5" t="str">
        <f ca="1">IFERROR(__xludf.DUMMYFUNCTION("""COMPUTED_VALUE"""),"Inside School Building")</f>
        <v>Inside School Building</v>
      </c>
      <c r="U1930" s="5" t="str">
        <f ca="1">IFERROR(__xludf.DUMMYFUNCTION("""COMPUTED_VALUE"""),"Yes")</f>
        <v>Yes</v>
      </c>
      <c r="V1930" s="5" t="str">
        <f ca="1">IFERROR(__xludf.DUMMYFUNCTION("""COMPUTED_VALUE"""),"Morning Classes")</f>
        <v>Morning Classes</v>
      </c>
      <c r="W1930" s="10">
        <f ca="1">IFERROR(__xludf.DUMMYFUNCTION("""COMPUTED_VALUE"""),0.395833333333333)</f>
        <v>0.39583333333333298</v>
      </c>
      <c r="X1930" s="5">
        <f ca="1">IFERROR(__xludf.DUMMYFUNCTION("""COMPUTED_VALUE"""),40)</f>
        <v>40</v>
      </c>
      <c r="Y1930" s="5" t="str">
        <f ca="1">IFERROR(__xludf.DUMMYFUNCTION("""COMPUTED_VALUE"""),"Suspect held 35 students in drama class hostage for 40 minutes before surrendering to police")</f>
        <v>Suspect held 35 students in drama class hostage for 40 minutes before surrendering to police</v>
      </c>
      <c r="Z1930" s="5" t="str">
        <f ca="1">IFERROR(__xludf.DUMMYFUNCTION("""COMPUTED_VALUE"""),"15 year old suspect entered high school drama class with shotgun and automatic pistol. Shot one male student in the face shattering his jaw. Held all students hostage for about 10 minutes and then let all of the girls leave. Surrendering to police 40 minu"&amp;"tes later. Only one shot fired. Shooter's father was Vietnam veteran who had commit suicide in front of shooter as a child. Shooter was upset about family planning to move away from the area. Made threats about a shooting to other students but it was not "&amp;"taken seriously. Day prior to the shooting, he told another student ""tomorrow is my last day"".")</f>
        <v>15 year old suspect entered high school drama class with shotgun and automatic pistol. Shot one male student in the face shattering his jaw. Held all students hostage for about 10 minutes and then let all of the girls leave. Surrendering to police 40 minutes later. Only one shot fired. Shooter's father was Vietnam veteran who had commit suicide in front of shooter as a child. Shooter was upset about family planning to move away from the area. Made threats about a shooting to other students but it was not taken seriously. Day prior to the shooting, he told another student "tomorrow is my last day".</v>
      </c>
      <c r="AA1930" s="5" t="str">
        <f ca="1">IFERROR(__xludf.DUMMYFUNCTION("""COMPUTED_VALUE"""),"Hostage/Standoff")</f>
        <v>Hostage/Standoff</v>
      </c>
      <c r="AB1930" s="5" t="str">
        <f ca="1">IFERROR(__xludf.DUMMYFUNCTION("""COMPUTED_VALUE"""),"Victims Targeted")</f>
        <v>Victims Targeted</v>
      </c>
      <c r="AC1930" s="5" t="str">
        <f ca="1">IFERROR(__xludf.DUMMYFUNCTION("""COMPUTED_VALUE"""),"No")</f>
        <v>No</v>
      </c>
      <c r="AD1930" s="5" t="str">
        <f ca="1">IFERROR(__xludf.DUMMYFUNCTION("""COMPUTED_VALUE"""),"Yes")</f>
        <v>Yes</v>
      </c>
      <c r="AE1930" s="5" t="str">
        <f ca="1">IFERROR(__xludf.DUMMYFUNCTION("""COMPUTED_VALUE"""),"Yes")</f>
        <v>Yes</v>
      </c>
      <c r="AF1930" s="5" t="str">
        <f ca="1">IFERROR(__xludf.DUMMYFUNCTION("""COMPUTED_VALUE"""),"No")</f>
        <v>No</v>
      </c>
      <c r="AG1930" s="5" t="str">
        <f ca="1">IFERROR(__xludf.DUMMYFUNCTION("""COMPUTED_VALUE"""),"No")</f>
        <v>No</v>
      </c>
      <c r="AH1930" s="5" t="str">
        <f ca="1">IFERROR(__xludf.DUMMYFUNCTION("""COMPUTED_VALUE"""),"No")</f>
        <v>No</v>
      </c>
      <c r="AI1930" s="5" t="str">
        <f ca="1">IFERROR(__xludf.DUMMYFUNCTION("""COMPUTED_VALUE"""),"No")</f>
        <v>No</v>
      </c>
      <c r="AJ1930" s="5" t="str">
        <f ca="1">IFERROR(__xludf.DUMMYFUNCTION("""COMPUTED_VALUE"""),"Yes")</f>
        <v>Yes</v>
      </c>
    </row>
    <row r="1931" spans="1:36" ht="13">
      <c r="A1931" s="5" t="str">
        <f ca="1">IFERROR(__xludf.DUMMYFUNCTION("""COMPUTED_VALUE"""),"19890918KYJAM")</f>
        <v>19890918KYJAM</v>
      </c>
      <c r="B1931" s="5">
        <f ca="1">IFERROR(__xludf.DUMMYFUNCTION("""COMPUTED_VALUE"""),9)</f>
        <v>9</v>
      </c>
      <c r="C1931" s="5">
        <f ca="1">IFERROR(__xludf.DUMMYFUNCTION("""COMPUTED_VALUE"""),18)</f>
        <v>18</v>
      </c>
      <c r="D1931" s="5">
        <f ca="1">IFERROR(__xludf.DUMMYFUNCTION("""COMPUTED_VALUE"""),1989)</f>
        <v>1989</v>
      </c>
      <c r="E1931" s="8">
        <f ca="1">IFERROR(__xludf.DUMMYFUNCTION("""COMPUTED_VALUE"""),32769)</f>
        <v>32769</v>
      </c>
      <c r="F1931" s="5" t="str">
        <f ca="1">IFERROR(__xludf.DUMMYFUNCTION("""COMPUTED_VALUE"""),"Jackson County High School")</f>
        <v>Jackson County High School</v>
      </c>
      <c r="G1931" s="5">
        <f ca="1">IFERROR(__xludf.DUMMYFUNCTION("""COMPUTED_VALUE"""),0)</f>
        <v>0</v>
      </c>
      <c r="H1931" s="5">
        <f ca="1">IFERROR(__xludf.DUMMYFUNCTION("""COMPUTED_VALUE"""),0)</f>
        <v>0</v>
      </c>
      <c r="I1931" s="5">
        <f ca="1">IFERROR(__xludf.DUMMYFUNCTION("""COMPUTED_VALUE"""),0)</f>
        <v>0</v>
      </c>
      <c r="J1931" s="5">
        <f ca="1">IFERROR(__xludf.DUMMYFUNCTION("""COMPUTED_VALUE"""),0)</f>
        <v>0</v>
      </c>
      <c r="K1931" s="9" t="str">
        <f ca="1">IFERROR(__xludf.DUMMYFUNCTION("""COMPUTED_VALUE"""),"https://books.google.com/books?id=paCVN9ECUc4C&amp;pg=PA10&amp;lpg=PA10&amp;dq=George+Rogers+Clark+High+School+hostage+1995&amp;source=bl&amp;ots=nnsA6mfWJP&amp;sig=Eg_GpHVGdpBSqw57FExYfpEPEGg&amp;hl=en&amp;sa=X&amp;ved=0ahUKEwjEzNrvk_7bAhUIpFkKHYajCvgQ6AEIiQEwEg#v=onepage&amp;q=George%20Rogers"&amp;"%20Clark%20High%20School%20hostage%201995&amp;f=false")</f>
        <v>https://books.google.com/books?id=paCVN9ECUc4C&amp;pg=PA10&amp;lpg=PA10&amp;dq=George+Rogers+Clark+High+School+hostage+1995&amp;source=bl&amp;ots=nnsA6mfWJP&amp;sig=Eg_GpHVGdpBSqw57FExYfpEPEGg&amp;hl=en&amp;sa=X&amp;ved=0ahUKEwjEzNrvk_7bAhUIpFkKHYajCvgQ6AEIiQEwEg#v=onepage&amp;q=George%20Rogers%20Clark%20High%20School%20hostage%201995&amp;f=false</v>
      </c>
      <c r="L1931" s="5"/>
      <c r="M1931" s="5"/>
      <c r="N1931" s="5">
        <f ca="1">IFERROR(__xludf.DUMMYFUNCTION("""COMPUTED_VALUE"""),2)</f>
        <v>2</v>
      </c>
      <c r="O1931" s="5" t="str">
        <f ca="1">IFERROR(__xludf.DUMMYFUNCTION("""COMPUTED_VALUE"""),"Fall")</f>
        <v>Fall</v>
      </c>
      <c r="P1931" s="5" t="str">
        <f ca="1">IFERROR(__xludf.DUMMYFUNCTION("""COMPUTED_VALUE"""),"McKee")</f>
        <v>McKee</v>
      </c>
      <c r="Q1931" s="5" t="str">
        <f ca="1">IFERROR(__xludf.DUMMYFUNCTION("""COMPUTED_VALUE"""),"KY")</f>
        <v>KY</v>
      </c>
      <c r="R1931" s="5" t="str">
        <f ca="1">IFERROR(__xludf.DUMMYFUNCTION("""COMPUTED_VALUE"""),"High")</f>
        <v>High</v>
      </c>
      <c r="S1931" s="5" t="str">
        <f ca="1">IFERROR(__xludf.DUMMYFUNCTION("""COMPUTED_VALUE"""),"Classroom")</f>
        <v>Classroom</v>
      </c>
      <c r="T1931" s="5" t="str">
        <f ca="1">IFERROR(__xludf.DUMMYFUNCTION("""COMPUTED_VALUE"""),"Inside School Building")</f>
        <v>Inside School Building</v>
      </c>
      <c r="U1931" s="5" t="str">
        <f ca="1">IFERROR(__xludf.DUMMYFUNCTION("""COMPUTED_VALUE"""),"Yes")</f>
        <v>Yes</v>
      </c>
      <c r="V1931" s="5"/>
      <c r="W1931" s="5"/>
      <c r="X1931" s="5"/>
      <c r="Y1931" s="5" t="str">
        <f ca="1">IFERROR(__xludf.DUMMYFUNCTION("""COMPUTED_VALUE"""),"Took class hostage, fired 2 shots, no injuries")</f>
        <v>Took class hostage, fired 2 shots, no injuries</v>
      </c>
      <c r="Z1931" s="5" t="str">
        <f ca="1">IFERROR(__xludf.DUMMYFUNCTION("""COMPUTED_VALUE"""),"17YOM student took 11 hostages and demanded to see his father who he had not seen in 13 years. Fired two shots. No injuries. Surrendered to police.")</f>
        <v>17YOM student took 11 hostages and demanded to see his father who he had not seen in 13 years. Fired two shots. No injuries. Surrendered to police.</v>
      </c>
      <c r="AA1931" s="5" t="str">
        <f ca="1">IFERROR(__xludf.DUMMYFUNCTION("""COMPUTED_VALUE"""),"Hostage/Standoff")</f>
        <v>Hostage/Standoff</v>
      </c>
      <c r="AB1931" s="5" t="str">
        <f ca="1">IFERROR(__xludf.DUMMYFUNCTION("""COMPUTED_VALUE"""),"Random Shooting")</f>
        <v>Random Shooting</v>
      </c>
      <c r="AC1931" s="5"/>
      <c r="AD1931" s="5" t="str">
        <f ca="1">IFERROR(__xludf.DUMMYFUNCTION("""COMPUTED_VALUE"""),"Yes")</f>
        <v>Yes</v>
      </c>
      <c r="AE1931" s="5" t="str">
        <f ca="1">IFERROR(__xludf.DUMMYFUNCTION("""COMPUTED_VALUE"""),"Yes")</f>
        <v>Yes</v>
      </c>
      <c r="AF1931" s="5" t="str">
        <f ca="1">IFERROR(__xludf.DUMMYFUNCTION("""COMPUTED_VALUE"""),"No")</f>
        <v>No</v>
      </c>
      <c r="AG1931" s="5" t="str">
        <f ca="1">IFERROR(__xludf.DUMMYFUNCTION("""COMPUTED_VALUE"""),"Yes")</f>
        <v>Yes</v>
      </c>
      <c r="AH1931" s="5" t="str">
        <f ca="1">IFERROR(__xludf.DUMMYFUNCTION("""COMPUTED_VALUE"""),"No")</f>
        <v>No</v>
      </c>
      <c r="AI1931" s="5" t="str">
        <f ca="1">IFERROR(__xludf.DUMMYFUNCTION("""COMPUTED_VALUE"""),"No")</f>
        <v>No</v>
      </c>
      <c r="AJ1931" s="5" t="str">
        <f ca="1">IFERROR(__xludf.DUMMYFUNCTION("""COMPUTED_VALUE"""),"Yes")</f>
        <v>Yes</v>
      </c>
    </row>
    <row r="1932" spans="1:36" ht="13">
      <c r="A1932" s="5" t="str">
        <f ca="1">IFERROR(__xludf.DUMMYFUNCTION("""COMPUTED_VALUE"""),"19890911AZDYE")</f>
        <v>19890911AZDYE</v>
      </c>
      <c r="B1932" s="5">
        <f ca="1">IFERROR(__xludf.DUMMYFUNCTION("""COMPUTED_VALUE"""),9)</f>
        <v>9</v>
      </c>
      <c r="C1932" s="5">
        <f ca="1">IFERROR(__xludf.DUMMYFUNCTION("""COMPUTED_VALUE"""),11)</f>
        <v>11</v>
      </c>
      <c r="D1932" s="5">
        <f ca="1">IFERROR(__xludf.DUMMYFUNCTION("""COMPUTED_VALUE"""),1989)</f>
        <v>1989</v>
      </c>
      <c r="E1932" s="8">
        <f ca="1">IFERROR(__xludf.DUMMYFUNCTION("""COMPUTED_VALUE"""),32762)</f>
        <v>32762</v>
      </c>
      <c r="F1932" s="5" t="str">
        <f ca="1">IFERROR(__xludf.DUMMYFUNCTION("""COMPUTED_VALUE"""),"Dysart High School")</f>
        <v>Dysart High School</v>
      </c>
      <c r="G1932" s="5">
        <f ca="1">IFERROR(__xludf.DUMMYFUNCTION("""COMPUTED_VALUE"""),1)</f>
        <v>1</v>
      </c>
      <c r="H1932" s="5">
        <f ca="1">IFERROR(__xludf.DUMMYFUNCTION("""COMPUTED_VALUE"""),0)</f>
        <v>0</v>
      </c>
      <c r="I1932" s="5">
        <f ca="1">IFERROR(__xludf.DUMMYFUNCTION("""COMPUTED_VALUE"""),1)</f>
        <v>1</v>
      </c>
      <c r="J1932" s="5">
        <f ca="1">IFERROR(__xludf.DUMMYFUNCTION("""COMPUTED_VALUE"""),0)</f>
        <v>0</v>
      </c>
      <c r="K1932" s="9" t="str">
        <f ca="1">IFERROR(__xludf.DUMMYFUNCTION("""COMPUTED_VALUE"""),"https://www.newspapers.com/image/121870781/?terms=student%2Bshot")</f>
        <v>https://www.newspapers.com/image/121870781/?terms=student%2Bshot</v>
      </c>
      <c r="L1932" s="5"/>
      <c r="M1932" s="5"/>
      <c r="N1932" s="5">
        <f ca="1">IFERROR(__xludf.DUMMYFUNCTION("""COMPUTED_VALUE"""),2)</f>
        <v>2</v>
      </c>
      <c r="O1932" s="5" t="str">
        <f ca="1">IFERROR(__xludf.DUMMYFUNCTION("""COMPUTED_VALUE"""),"Fall")</f>
        <v>Fall</v>
      </c>
      <c r="P1932" s="5" t="str">
        <f ca="1">IFERROR(__xludf.DUMMYFUNCTION("""COMPUTED_VALUE"""),"El Mirage")</f>
        <v>El Mirage</v>
      </c>
      <c r="Q1932" s="5" t="str">
        <f ca="1">IFERROR(__xludf.DUMMYFUNCTION("""COMPUTED_VALUE"""),"AZ")</f>
        <v>AZ</v>
      </c>
      <c r="R1932" s="5" t="str">
        <f ca="1">IFERROR(__xludf.DUMMYFUNCTION("""COMPUTED_VALUE"""),"High")</f>
        <v>High</v>
      </c>
      <c r="S1932" s="5" t="str">
        <f ca="1">IFERROR(__xludf.DUMMYFUNCTION("""COMPUTED_VALUE"""),"Inside School Building")</f>
        <v>Inside School Building</v>
      </c>
      <c r="T1932" s="5" t="str">
        <f ca="1">IFERROR(__xludf.DUMMYFUNCTION("""COMPUTED_VALUE"""),"Inside School Building")</f>
        <v>Inside School Building</v>
      </c>
      <c r="U1932" s="5" t="str">
        <f ca="1">IFERROR(__xludf.DUMMYFUNCTION("""COMPUTED_VALUE"""),"Yes")</f>
        <v>Yes</v>
      </c>
      <c r="V1932" s="5" t="str">
        <f ca="1">IFERROR(__xludf.DUMMYFUNCTION("""COMPUTED_VALUE"""),"Before School")</f>
        <v>Before School</v>
      </c>
      <c r="W1932" s="10">
        <f ca="1">IFERROR(__xludf.DUMMYFUNCTION("""COMPUTED_VALUE"""),0.3125)</f>
        <v>0.3125</v>
      </c>
      <c r="X1932" s="5">
        <f ca="1">IFERROR(__xludf.DUMMYFUNCTION("""COMPUTED_VALUE"""),1)</f>
        <v>1</v>
      </c>
      <c r="Y1932" s="5" t="str">
        <f ca="1">IFERROR(__xludf.DUMMYFUNCTION("""COMPUTED_VALUE"""),"Accidental discharge while showing off gun in school")</f>
        <v>Accidental discharge while showing off gun in school</v>
      </c>
      <c r="Z1932" s="5" t="str">
        <f ca="1">IFERROR(__xludf.DUMMYFUNCTION("""COMPUTED_VALUE"""),"Gang members looking at gun during school - gun goes off and shoots/kills victim - unknown who shooter was.")</f>
        <v>Gang members looking at gun during school - gun goes off and shoots/kills victim - unknown who shooter was.</v>
      </c>
      <c r="AA1932" s="5" t="str">
        <f ca="1">IFERROR(__xludf.DUMMYFUNCTION("""COMPUTED_VALUE"""),"Accidental")</f>
        <v>Accidental</v>
      </c>
      <c r="AB1932" s="5" t="str">
        <f ca="1">IFERROR(__xludf.DUMMYFUNCTION("""COMPUTED_VALUE"""),"Random Shooting")</f>
        <v>Random Shooting</v>
      </c>
      <c r="AC1932" s="5" t="str">
        <f ca="1">IFERROR(__xludf.DUMMYFUNCTION("""COMPUTED_VALUE"""),"No")</f>
        <v>No</v>
      </c>
      <c r="AD1932" s="5" t="str">
        <f ca="1">IFERROR(__xludf.DUMMYFUNCTION("""COMPUTED_VALUE"""),"No")</f>
        <v>No</v>
      </c>
      <c r="AE1932" s="5" t="str">
        <f ca="1">IFERROR(__xludf.DUMMYFUNCTION("""COMPUTED_VALUE"""),"No")</f>
        <v>No</v>
      </c>
      <c r="AF1932" s="5" t="str">
        <f ca="1">IFERROR(__xludf.DUMMYFUNCTION("""COMPUTED_VALUE"""),"No")</f>
        <v>No</v>
      </c>
      <c r="AG1932" s="5" t="str">
        <f ca="1">IFERROR(__xludf.DUMMYFUNCTION("""COMPUTED_VALUE"""),"No")</f>
        <v>No</v>
      </c>
      <c r="AH1932" s="5" t="str">
        <f ca="1">IFERROR(__xludf.DUMMYFUNCTION("""COMPUTED_VALUE"""),"No")</f>
        <v>No</v>
      </c>
      <c r="AI1932" s="5" t="str">
        <f ca="1">IFERROR(__xludf.DUMMYFUNCTION("""COMPUTED_VALUE"""),"No")</f>
        <v>No</v>
      </c>
      <c r="AJ1932" s="5"/>
    </row>
    <row r="1933" spans="1:36" ht="13">
      <c r="A1933" s="5" t="str">
        <f ca="1">IFERROR(__xludf.DUMMYFUNCTION("""COMPUTED_VALUE"""),"19890901VASAV")</f>
        <v>19890901VASAV</v>
      </c>
      <c r="B1933" s="5">
        <f ca="1">IFERROR(__xludf.DUMMYFUNCTION("""COMPUTED_VALUE"""),9)</f>
        <v>9</v>
      </c>
      <c r="C1933" s="5">
        <f ca="1">IFERROR(__xludf.DUMMYFUNCTION("""COMPUTED_VALUE"""),1)</f>
        <v>1</v>
      </c>
      <c r="D1933" s="5">
        <f ca="1">IFERROR(__xludf.DUMMYFUNCTION("""COMPUTED_VALUE"""),1989)</f>
        <v>1989</v>
      </c>
      <c r="E1933" s="8">
        <f ca="1">IFERROR(__xludf.DUMMYFUNCTION("""COMPUTED_VALUE"""),32752)</f>
        <v>32752</v>
      </c>
      <c r="F1933" s="5" t="str">
        <f ca="1">IFERROR(__xludf.DUMMYFUNCTION("""COMPUTED_VALUE"""),"Salem High School")</f>
        <v>Salem High School</v>
      </c>
      <c r="G1933" s="5">
        <f ca="1">IFERROR(__xludf.DUMMYFUNCTION("""COMPUTED_VALUE"""),0)</f>
        <v>0</v>
      </c>
      <c r="H1933" s="5">
        <f ca="1">IFERROR(__xludf.DUMMYFUNCTION("""COMPUTED_VALUE"""),2)</f>
        <v>2</v>
      </c>
      <c r="I1933" s="5">
        <f ca="1">IFERROR(__xludf.DUMMYFUNCTION("""COMPUTED_VALUE"""),2)</f>
        <v>2</v>
      </c>
      <c r="J1933" s="5">
        <f ca="1">IFERROR(__xludf.DUMMYFUNCTION("""COMPUTED_VALUE"""),0)</f>
        <v>0</v>
      </c>
      <c r="K1933" s="9" t="str">
        <f ca="1">IFERROR(__xludf.DUMMYFUNCTION("""COMPUTED_VALUE"""),"https://www.newspapers.com/image/129470000/?terms=%22shot%20high%20school%20football%22&amp;match=1")</f>
        <v>https://www.newspapers.com/image/129470000/?terms=%22shot%20high%20school%20football%22&amp;match=1</v>
      </c>
      <c r="L1933" s="5">
        <f ca="1">IFERROR(__xludf.DUMMYFUNCTION("""COMPUTED_VALUE"""),1)</f>
        <v>1</v>
      </c>
      <c r="M1933" s="5" t="str">
        <f ca="1">IFERROR(__xludf.DUMMYFUNCTION("""COMPUTED_VALUE"""),"National")</f>
        <v>National</v>
      </c>
      <c r="N1933" s="5">
        <f ca="1">IFERROR(__xludf.DUMMYFUNCTION("""COMPUTED_VALUE"""),3)</f>
        <v>3</v>
      </c>
      <c r="O1933" s="5" t="str">
        <f ca="1">IFERROR(__xludf.DUMMYFUNCTION("""COMPUTED_VALUE"""),"Fall")</f>
        <v>Fall</v>
      </c>
      <c r="P1933" s="5" t="str">
        <f ca="1">IFERROR(__xludf.DUMMYFUNCTION("""COMPUTED_VALUE"""),"Virginia Beach")</f>
        <v>Virginia Beach</v>
      </c>
      <c r="Q1933" s="5" t="str">
        <f ca="1">IFERROR(__xludf.DUMMYFUNCTION("""COMPUTED_VALUE"""),"VA")</f>
        <v>VA</v>
      </c>
      <c r="R1933" s="5" t="str">
        <f ca="1">IFERROR(__xludf.DUMMYFUNCTION("""COMPUTED_VALUE"""),"High")</f>
        <v>High</v>
      </c>
      <c r="S1933" s="5" t="str">
        <f ca="1">IFERROR(__xludf.DUMMYFUNCTION("""COMPUTED_VALUE"""),"Parking Lot")</f>
        <v>Parking Lot</v>
      </c>
      <c r="T1933" s="5" t="str">
        <f ca="1">IFERROR(__xludf.DUMMYFUNCTION("""COMPUTED_VALUE"""),"Outside on School Property")</f>
        <v>Outside on School Property</v>
      </c>
      <c r="U1933" s="5" t="str">
        <f ca="1">IFERROR(__xludf.DUMMYFUNCTION("""COMPUTED_VALUE"""),"No")</f>
        <v>No</v>
      </c>
      <c r="V1933" s="5" t="str">
        <f ca="1">IFERROR(__xludf.DUMMYFUNCTION("""COMPUTED_VALUE"""),"Sport Event")</f>
        <v>Sport Event</v>
      </c>
      <c r="W1933" s="10">
        <f ca="1">IFERROR(__xludf.DUMMYFUNCTION("""COMPUTED_VALUE"""),0.875)</f>
        <v>0.875</v>
      </c>
      <c r="X1933" s="5">
        <f ca="1">IFERROR(__xludf.DUMMYFUNCTION("""COMPUTED_VALUE"""),1)</f>
        <v>1</v>
      </c>
      <c r="Y1933" s="5" t="str">
        <f ca="1">IFERROR(__xludf.DUMMYFUNCTION("""COMPUTED_VALUE"""),"Two teens shot during fight in the parking lot following football game")</f>
        <v>Two teens shot during fight in the parking lot following football game</v>
      </c>
      <c r="Z1933" s="5" t="str">
        <f ca="1">IFERROR(__xludf.DUMMYFUNCTION("""COMPUTED_VALUE"""),"Two teens were shot during a fight between 30 teens in the parking lot following a football game. Two teens fired shots. The teens were from rival neighborhoods but did not have gang affiliation.")</f>
        <v>Two teens were shot during a fight between 30 teens in the parking lot following a football game. Two teens fired shots. The teens were from rival neighborhoods but did not have gang affiliation.</v>
      </c>
      <c r="AA1933" s="5" t="str">
        <f ca="1">IFERROR(__xludf.DUMMYFUNCTION("""COMPUTED_VALUE"""),"Escalation of Dispute")</f>
        <v>Escalation of Dispute</v>
      </c>
      <c r="AB1933" s="5" t="str">
        <f ca="1">IFERROR(__xludf.DUMMYFUNCTION("""COMPUTED_VALUE"""),"Victims Targeted")</f>
        <v>Victims Targeted</v>
      </c>
      <c r="AC1933" s="5" t="str">
        <f ca="1">IFERROR(__xludf.DUMMYFUNCTION("""COMPUTED_VALUE"""),"Yes")</f>
        <v>Yes</v>
      </c>
      <c r="AD1933" s="5" t="str">
        <f ca="1">IFERROR(__xludf.DUMMYFUNCTION("""COMPUTED_VALUE"""),"No")</f>
        <v>No</v>
      </c>
      <c r="AE1933" s="5" t="str">
        <f ca="1">IFERROR(__xludf.DUMMYFUNCTION("""COMPUTED_VALUE"""),"No")</f>
        <v>No</v>
      </c>
      <c r="AF1933" s="5" t="str">
        <f ca="1">IFERROR(__xludf.DUMMYFUNCTION("""COMPUTED_VALUE"""),"No")</f>
        <v>No</v>
      </c>
      <c r="AG1933" s="5" t="str">
        <f ca="1">IFERROR(__xludf.DUMMYFUNCTION("""COMPUTED_VALUE"""),"No")</f>
        <v>No</v>
      </c>
      <c r="AH1933" s="5" t="str">
        <f ca="1">IFERROR(__xludf.DUMMYFUNCTION("""COMPUTED_VALUE"""),"No")</f>
        <v>No</v>
      </c>
      <c r="AI1933" s="5" t="str">
        <f ca="1">IFERROR(__xludf.DUMMYFUNCTION("""COMPUTED_VALUE"""),"No")</f>
        <v>No</v>
      </c>
      <c r="AJ1933" s="5" t="str">
        <f ca="1">IFERROR(__xludf.DUMMYFUNCTION("""COMPUTED_VALUE"""),"No")</f>
        <v>No</v>
      </c>
    </row>
    <row r="1934" spans="1:36" ht="13">
      <c r="A1934" s="5" t="str">
        <f ca="1">IFERROR(__xludf.DUMMYFUNCTION("""COMPUTED_VALUE"""),"19890426TXAMD")</f>
        <v>19890426TXAMD</v>
      </c>
      <c r="B1934" s="5">
        <f ca="1">IFERROR(__xludf.DUMMYFUNCTION("""COMPUTED_VALUE"""),4)</f>
        <v>4</v>
      </c>
      <c r="C1934" s="5">
        <f ca="1">IFERROR(__xludf.DUMMYFUNCTION("""COMPUTED_VALUE"""),26)</f>
        <v>26</v>
      </c>
      <c r="D1934" s="5">
        <f ca="1">IFERROR(__xludf.DUMMYFUNCTION("""COMPUTED_VALUE"""),1989)</f>
        <v>1989</v>
      </c>
      <c r="E1934" s="8">
        <f ca="1">IFERROR(__xludf.DUMMYFUNCTION("""COMPUTED_VALUE"""),32624)</f>
        <v>32624</v>
      </c>
      <c r="F1934" s="5" t="str">
        <f ca="1">IFERROR(__xludf.DUMMYFUNCTION("""COMPUTED_VALUE"""),"A Maceo Smith High School")</f>
        <v>A Maceo Smith High School</v>
      </c>
      <c r="G1934" s="5">
        <f ca="1">IFERROR(__xludf.DUMMYFUNCTION("""COMPUTED_VALUE"""),0)</f>
        <v>0</v>
      </c>
      <c r="H1934" s="5">
        <f ca="1">IFERROR(__xludf.DUMMYFUNCTION("""COMPUTED_VALUE"""),1)</f>
        <v>1</v>
      </c>
      <c r="I1934" s="5">
        <f ca="1">IFERROR(__xludf.DUMMYFUNCTION("""COMPUTED_VALUE"""),1)</f>
        <v>1</v>
      </c>
      <c r="J1934" s="5">
        <f ca="1">IFERROR(__xludf.DUMMYFUNCTION("""COMPUTED_VALUE"""),0)</f>
        <v>0</v>
      </c>
      <c r="K1934" s="5" t="str">
        <f ca="1">IFERROR(__xludf.DUMMYFUNCTION("""COMPUTED_VALUE"""),"Dallas Morning News - Campus Violence / Intruder Shoots High School Student; https://www.columbine-angels.com/School_Violence_1991-1992.htm")</f>
        <v>Dallas Morning News - Campus Violence / Intruder Shoots High School Student; https://www.columbine-angels.com/School_Violence_1991-1992.htm</v>
      </c>
      <c r="L1934" s="5"/>
      <c r="M1934" s="5"/>
      <c r="N1934" s="5">
        <f ca="1">IFERROR(__xludf.DUMMYFUNCTION("""COMPUTED_VALUE"""),1)</f>
        <v>1</v>
      </c>
      <c r="O1934" s="5" t="str">
        <f ca="1">IFERROR(__xludf.DUMMYFUNCTION("""COMPUTED_VALUE"""),"Spring")</f>
        <v>Spring</v>
      </c>
      <c r="P1934" s="5" t="str">
        <f ca="1">IFERROR(__xludf.DUMMYFUNCTION("""COMPUTED_VALUE"""),"Dallas")</f>
        <v>Dallas</v>
      </c>
      <c r="Q1934" s="5" t="str">
        <f ca="1">IFERROR(__xludf.DUMMYFUNCTION("""COMPUTED_VALUE"""),"TX")</f>
        <v>TX</v>
      </c>
      <c r="R1934" s="5" t="str">
        <f ca="1">IFERROR(__xludf.DUMMYFUNCTION("""COMPUTED_VALUE"""),"High")</f>
        <v>High</v>
      </c>
      <c r="S1934" s="5" t="str">
        <f ca="1">IFERROR(__xludf.DUMMYFUNCTION("""COMPUTED_VALUE"""),"Parking Lot")</f>
        <v>Parking Lot</v>
      </c>
      <c r="T1934" s="5" t="str">
        <f ca="1">IFERROR(__xludf.DUMMYFUNCTION("""COMPUTED_VALUE"""),"Outside on School Property")</f>
        <v>Outside on School Property</v>
      </c>
      <c r="U1934" s="5" t="str">
        <f ca="1">IFERROR(__xludf.DUMMYFUNCTION("""COMPUTED_VALUE"""),"Yes")</f>
        <v>Yes</v>
      </c>
      <c r="V1934" s="5" t="str">
        <f ca="1">IFERROR(__xludf.DUMMYFUNCTION("""COMPUTED_VALUE"""),"School Start")</f>
        <v>School Start</v>
      </c>
      <c r="W1934" s="5"/>
      <c r="X1934" s="5">
        <f ca="1">IFERROR(__xludf.DUMMYFUNCTION("""COMPUTED_VALUE"""),1)</f>
        <v>1</v>
      </c>
      <c r="Y1934" s="5" t="str">
        <f ca="1">IFERROR(__xludf.DUMMYFUNCTION("""COMPUTED_VALUE"""),"Argument about shooter female cousin, fired shots")</f>
        <v>Argument about shooter female cousin, fired shots</v>
      </c>
      <c r="Z1934" s="5" t="str">
        <f ca="1">IFERROR(__xludf.DUMMYFUNCTION("""COMPUTED_VALUE"""),"17YOM shooter drove up to victim in vehicle with 2 other teenage males. Argued with victim about his female cousin and shot at victim 5 times then fled the scene.")</f>
        <v>17YOM shooter drove up to victim in vehicle with 2 other teenage males. Argued with victim about his female cousin and shot at victim 5 times then fled the scene.</v>
      </c>
      <c r="AA1934" s="5" t="str">
        <f ca="1">IFERROR(__xludf.DUMMYFUNCTION("""COMPUTED_VALUE"""),"Escalation of Dispute")</f>
        <v>Escalation of Dispute</v>
      </c>
      <c r="AB1934" s="5" t="str">
        <f ca="1">IFERROR(__xludf.DUMMYFUNCTION("""COMPUTED_VALUE"""),"Victims Targeted")</f>
        <v>Victims Targeted</v>
      </c>
      <c r="AC1934" s="5" t="str">
        <f ca="1">IFERROR(__xludf.DUMMYFUNCTION("""COMPUTED_VALUE"""),"Yes")</f>
        <v>Yes</v>
      </c>
      <c r="AD1934" s="5" t="str">
        <f ca="1">IFERROR(__xludf.DUMMYFUNCTION("""COMPUTED_VALUE"""),"No")</f>
        <v>No</v>
      </c>
      <c r="AE1934" s="5" t="str">
        <f ca="1">IFERROR(__xludf.DUMMYFUNCTION("""COMPUTED_VALUE"""),"No")</f>
        <v>No</v>
      </c>
      <c r="AF1934" s="5" t="str">
        <f ca="1">IFERROR(__xludf.DUMMYFUNCTION("""COMPUTED_VALUE"""),"No")</f>
        <v>No</v>
      </c>
      <c r="AG1934" s="5" t="str">
        <f ca="1">IFERROR(__xludf.DUMMYFUNCTION("""COMPUTED_VALUE"""),"No")</f>
        <v>No</v>
      </c>
      <c r="AH1934" s="5" t="str">
        <f ca="1">IFERROR(__xludf.DUMMYFUNCTION("""COMPUTED_VALUE"""),"Yes")</f>
        <v>Yes</v>
      </c>
      <c r="AI1934" s="5" t="str">
        <f ca="1">IFERROR(__xludf.DUMMYFUNCTION("""COMPUTED_VALUE"""),"No")</f>
        <v>No</v>
      </c>
      <c r="AJ1934" s="5"/>
    </row>
    <row r="1935" spans="1:36" ht="13">
      <c r="A1935" s="5" t="str">
        <f ca="1">IFERROR(__xludf.DUMMYFUNCTION("""COMPUTED_VALUE"""),"19890303INWIG")</f>
        <v>19890303INWIG</v>
      </c>
      <c r="B1935" s="5">
        <f ca="1">IFERROR(__xludf.DUMMYFUNCTION("""COMPUTED_VALUE"""),3)</f>
        <v>3</v>
      </c>
      <c r="C1935" s="5">
        <f ca="1">IFERROR(__xludf.DUMMYFUNCTION("""COMPUTED_VALUE"""),3)</f>
        <v>3</v>
      </c>
      <c r="D1935" s="5">
        <f ca="1">IFERROR(__xludf.DUMMYFUNCTION("""COMPUTED_VALUE"""),1989)</f>
        <v>1989</v>
      </c>
      <c r="E1935" s="8">
        <f ca="1">IFERROR(__xludf.DUMMYFUNCTION("""COMPUTED_VALUE"""),32570)</f>
        <v>32570</v>
      </c>
      <c r="F1935" s="5" t="str">
        <f ca="1">IFERROR(__xludf.DUMMYFUNCTION("""COMPUTED_VALUE"""),"Wirt High School")</f>
        <v>Wirt High School</v>
      </c>
      <c r="G1935" s="5">
        <f ca="1">IFERROR(__xludf.DUMMYFUNCTION("""COMPUTED_VALUE"""),1)</f>
        <v>1</v>
      </c>
      <c r="H1935" s="5">
        <f ca="1">IFERROR(__xludf.DUMMYFUNCTION("""COMPUTED_VALUE"""),0)</f>
        <v>0</v>
      </c>
      <c r="I1935" s="5">
        <f ca="1">IFERROR(__xludf.DUMMYFUNCTION("""COMPUTED_VALUE"""),1)</f>
        <v>1</v>
      </c>
      <c r="J1935" s="5">
        <f ca="1">IFERROR(__xludf.DUMMYFUNCTION("""COMPUTED_VALUE"""),0)</f>
        <v>0</v>
      </c>
      <c r="K1935" s="5" t="str">
        <f ca="1">IFERROR(__xludf.DUMMYFUNCTION("""COMPUTED_VALUE"""),"https://www.newspapers.com/image/155005808/?terms=Wirt%2BHigh%2BSchool%2Bshooting   https://www.newspapers.com/image/105134227/?terms=JOcelyn%2Bsims   https://www.newspapers.com/image/389260432/?terms=JOcelyn%2Bsims   https://www.newspapers.com/image/3105"&amp;"84481/?terms=Shannon%2Bbrown 
  https://www.newspapers.com/image/106130499/?terms=STUDENT%2BSHOT; https://www.newspapers.com/image/264345928/?terms=SHANNON%2BBROWN%2BSHOT; https://www.newspapers.com/image/310584481/?terms=SHANNON%2BBROWN%2BSHOT; https://w"&amp;"ww.newspapers.com/image/253205494/?terms=SHANNON%2BBROWN%2BSHOT")</f>
        <v>https://www.newspapers.com/image/155005808/?terms=Wirt%2BHigh%2BSchool%2Bshooting   https://www.newspapers.com/image/105134227/?terms=JOcelyn%2Bsims   https://www.newspapers.com/image/389260432/?terms=JOcelyn%2Bsims   https://www.newspapers.com/image/310584481/?terms=Shannon%2Bbrown 
  https://www.newspapers.com/image/106130499/?terms=STUDENT%2BSHOT; https://www.newspapers.com/image/264345928/?terms=SHANNON%2BBROWN%2BSHOT; https://www.newspapers.com/image/310584481/?terms=SHANNON%2BBROWN%2BSHOT; https://www.newspapers.com/image/253205494/?terms=SHANNON%2BBROWN%2BSHOT</v>
      </c>
      <c r="L1935" s="5"/>
      <c r="M1935" s="5"/>
      <c r="N1935" s="5">
        <f ca="1">IFERROR(__xludf.DUMMYFUNCTION("""COMPUTED_VALUE"""),4)</f>
        <v>4</v>
      </c>
      <c r="O1935" s="5" t="str">
        <f ca="1">IFERROR(__xludf.DUMMYFUNCTION("""COMPUTED_VALUE"""),"Spring")</f>
        <v>Spring</v>
      </c>
      <c r="P1935" s="5" t="str">
        <f ca="1">IFERROR(__xludf.DUMMYFUNCTION("""COMPUTED_VALUE"""),"Gary")</f>
        <v>Gary</v>
      </c>
      <c r="Q1935" s="5" t="str">
        <f ca="1">IFERROR(__xludf.DUMMYFUNCTION("""COMPUTED_VALUE"""),"IN")</f>
        <v>IN</v>
      </c>
      <c r="R1935" s="5" t="str">
        <f ca="1">IFERROR(__xludf.DUMMYFUNCTION("""COMPUTED_VALUE"""),"High")</f>
        <v>High</v>
      </c>
      <c r="S1935" s="5" t="str">
        <f ca="1">IFERROR(__xludf.DUMMYFUNCTION("""COMPUTED_VALUE"""),"Beside Building")</f>
        <v>Beside Building</v>
      </c>
      <c r="T1935" s="5" t="str">
        <f ca="1">IFERROR(__xludf.DUMMYFUNCTION("""COMPUTED_VALUE"""),"Outside on School Property")</f>
        <v>Outside on School Property</v>
      </c>
      <c r="U1935" s="5" t="str">
        <f ca="1">IFERROR(__xludf.DUMMYFUNCTION("""COMPUTED_VALUE"""),"Yes")</f>
        <v>Yes</v>
      </c>
      <c r="V1935" s="5" t="str">
        <f ca="1">IFERROR(__xludf.DUMMYFUNCTION("""COMPUTED_VALUE"""),"Lunch")</f>
        <v>Lunch</v>
      </c>
      <c r="W1935" s="10">
        <f ca="1">IFERROR(__xludf.DUMMYFUNCTION("""COMPUTED_VALUE"""),0.50625)</f>
        <v>0.50624999999999998</v>
      </c>
      <c r="X1935" s="5">
        <f ca="1">IFERROR(__xludf.DUMMYFUNCTION("""COMPUTED_VALUE"""),1)</f>
        <v>1</v>
      </c>
      <c r="Y1935" s="5" t="str">
        <f ca="1">IFERROR(__xludf.DUMMYFUNCTION("""COMPUTED_VALUE"""),"Dispute between students in gym class")</f>
        <v>Dispute between students in gym class</v>
      </c>
      <c r="Z1935" s="5" t="str">
        <f ca="1">IFERROR(__xludf.DUMMYFUNCTION("""COMPUTED_VALUE"""),"Shooter and victim were involved in an argument during gym so decided to further argument outside - possible gang related. Once outside, shooter pulled .22 caliber handgun and shot victim in the head. Shooter then fled, but was later caught by police. Sen"&amp;"tenced to reckless homicide and sentenced to 6 years.")</f>
        <v>Shooter and victim were involved in an argument during gym so decided to further argument outside - possible gang related. Once outside, shooter pulled .22 caliber handgun and shot victim in the head. Shooter then fled, but was later caught by police. Sentenced to reckless homicide and sentenced to 6 years.</v>
      </c>
      <c r="AA1935" s="5" t="str">
        <f ca="1">IFERROR(__xludf.DUMMYFUNCTION("""COMPUTED_VALUE"""),"Escalation of Dispute")</f>
        <v>Escalation of Dispute</v>
      </c>
      <c r="AB1935" s="5" t="str">
        <f ca="1">IFERROR(__xludf.DUMMYFUNCTION("""COMPUTED_VALUE"""),"Victims Targeted")</f>
        <v>Victims Targeted</v>
      </c>
      <c r="AC1935" s="5" t="str">
        <f ca="1">IFERROR(__xludf.DUMMYFUNCTION("""COMPUTED_VALUE"""),"No")</f>
        <v>No</v>
      </c>
      <c r="AD1935" s="5" t="str">
        <f ca="1">IFERROR(__xludf.DUMMYFUNCTION("""COMPUTED_VALUE"""),"No")</f>
        <v>No</v>
      </c>
      <c r="AE1935" s="5" t="str">
        <f ca="1">IFERROR(__xludf.DUMMYFUNCTION("""COMPUTED_VALUE"""),"No")</f>
        <v>No</v>
      </c>
      <c r="AF1935" s="5" t="str">
        <f ca="1">IFERROR(__xludf.DUMMYFUNCTION("""COMPUTED_VALUE"""),"No")</f>
        <v>No</v>
      </c>
      <c r="AG1935" s="5" t="str">
        <f ca="1">IFERROR(__xludf.DUMMYFUNCTION("""COMPUTED_VALUE"""),"No")</f>
        <v>No</v>
      </c>
      <c r="AH1935" s="5" t="str">
        <f ca="1">IFERROR(__xludf.DUMMYFUNCTION("""COMPUTED_VALUE"""),"No")</f>
        <v>No</v>
      </c>
      <c r="AI1935" s="5" t="str">
        <f ca="1">IFERROR(__xludf.DUMMYFUNCTION("""COMPUTED_VALUE"""),"No")</f>
        <v>No</v>
      </c>
      <c r="AJ1935" s="5"/>
    </row>
    <row r="1936" spans="1:36" ht="13">
      <c r="A1936" s="5" t="str">
        <f ca="1">IFERROR(__xludf.DUMMYFUNCTION("""COMPUTED_VALUE"""),"19890210UTTHK")</f>
        <v>19890210UTTHK</v>
      </c>
      <c r="B1936" s="5">
        <f ca="1">IFERROR(__xludf.DUMMYFUNCTION("""COMPUTED_VALUE"""),2)</f>
        <v>2</v>
      </c>
      <c r="C1936" s="5">
        <f ca="1">IFERROR(__xludf.DUMMYFUNCTION("""COMPUTED_VALUE"""),10)</f>
        <v>10</v>
      </c>
      <c r="D1936" s="5">
        <f ca="1">IFERROR(__xludf.DUMMYFUNCTION("""COMPUTED_VALUE"""),1989)</f>
        <v>1989</v>
      </c>
      <c r="E1936" s="8">
        <f ca="1">IFERROR(__xludf.DUMMYFUNCTION("""COMPUTED_VALUE"""),32549)</f>
        <v>32549</v>
      </c>
      <c r="F1936" s="5" t="str">
        <f ca="1">IFERROR(__xludf.DUMMYFUNCTION("""COMPUTED_VALUE"""),"Thomas Jefferson Junior High School")</f>
        <v>Thomas Jefferson Junior High School</v>
      </c>
      <c r="G1936" s="5">
        <f ca="1">IFERROR(__xludf.DUMMYFUNCTION("""COMPUTED_VALUE"""),0)</f>
        <v>0</v>
      </c>
      <c r="H1936" s="5">
        <f ca="1">IFERROR(__xludf.DUMMYFUNCTION("""COMPUTED_VALUE"""),0)</f>
        <v>0</v>
      </c>
      <c r="I1936" s="5">
        <f ca="1">IFERROR(__xludf.DUMMYFUNCTION("""COMPUTED_VALUE"""),0)</f>
        <v>0</v>
      </c>
      <c r="J1936" s="5">
        <f ca="1">IFERROR(__xludf.DUMMYFUNCTION("""COMPUTED_VALUE"""),0)</f>
        <v>0</v>
      </c>
      <c r="K1936" s="9" t="str">
        <f ca="1">IFERROR(__xludf.DUMMYFUNCTION("""COMPUTED_VALUE"""),"https://www.deseretnews.com/article/34103/OFFICERS-SEEKING-ANSWERS-AFTER-JUNIOR-HIGH-SHOOTING.html")</f>
        <v>https://www.deseretnews.com/article/34103/OFFICERS-SEEKING-ANSWERS-AFTER-JUNIOR-HIGH-SHOOTING.html</v>
      </c>
      <c r="L1936" s="5"/>
      <c r="M1936" s="5"/>
      <c r="N1936" s="5">
        <f ca="1">IFERROR(__xludf.DUMMYFUNCTION("""COMPUTED_VALUE"""),2)</f>
        <v>2</v>
      </c>
      <c r="O1936" s="5" t="str">
        <f ca="1">IFERROR(__xludf.DUMMYFUNCTION("""COMPUTED_VALUE"""),"Winter")</f>
        <v>Winter</v>
      </c>
      <c r="P1936" s="5" t="str">
        <f ca="1">IFERROR(__xludf.DUMMYFUNCTION("""COMPUTED_VALUE"""),"Kearns")</f>
        <v>Kearns</v>
      </c>
      <c r="Q1936" s="5" t="str">
        <f ca="1">IFERROR(__xludf.DUMMYFUNCTION("""COMPUTED_VALUE"""),"UT")</f>
        <v>UT</v>
      </c>
      <c r="R1936" s="5" t="str">
        <f ca="1">IFERROR(__xludf.DUMMYFUNCTION("""COMPUTED_VALUE"""),"Junior High")</f>
        <v>Junior High</v>
      </c>
      <c r="S1936" s="5" t="str">
        <f ca="1">IFERROR(__xludf.DUMMYFUNCTION("""COMPUTED_VALUE"""),"Parking Lot")</f>
        <v>Parking Lot</v>
      </c>
      <c r="T1936" s="5" t="str">
        <f ca="1">IFERROR(__xludf.DUMMYFUNCTION("""COMPUTED_VALUE"""),"Outside on School Property")</f>
        <v>Outside on School Property</v>
      </c>
      <c r="U1936" s="5" t="str">
        <f ca="1">IFERROR(__xludf.DUMMYFUNCTION("""COMPUTED_VALUE"""),"Yes")</f>
        <v>Yes</v>
      </c>
      <c r="V1936" s="5"/>
      <c r="W1936" s="5"/>
      <c r="X1936" s="5">
        <f ca="1">IFERROR(__xludf.DUMMYFUNCTION("""COMPUTED_VALUE"""),1)</f>
        <v>1</v>
      </c>
      <c r="Y1936" s="5" t="str">
        <f ca="1">IFERROR(__xludf.DUMMYFUNCTION("""COMPUTED_VALUE"""),"Shooter (12YM) fired twice at principal but missed.")</f>
        <v>Shooter (12YM) fired twice at principal but missed.</v>
      </c>
      <c r="Z1936" s="5" t="str">
        <f ca="1">IFERROR(__xludf.DUMMYFUNCTION("""COMPUTED_VALUE"""),"Teacher noticed student playing with .22 rounds and a knife. When teacher tried to take the student to the principal's office, the shooter ran. The principal chased the student out to the parking lot where the shooter fired multiple shots missing the prin"&amp;"cipal. The shooter fled the scene and was arrested a few block away.")</f>
        <v>Teacher noticed student playing with .22 rounds and a knife. When teacher tried to take the student to the principal's office, the shooter ran. The principal chased the student out to the parking lot where the shooter fired multiple shots missing the principal. The shooter fled the scene and was arrested a few block away.</v>
      </c>
      <c r="AA1936" s="5" t="str">
        <f ca="1">IFERROR(__xludf.DUMMYFUNCTION("""COMPUTED_VALUE"""),"Anger Over Grade/Suspension/Discipline")</f>
        <v>Anger Over Grade/Suspension/Discipline</v>
      </c>
      <c r="AB1936" s="5" t="str">
        <f ca="1">IFERROR(__xludf.DUMMYFUNCTION("""COMPUTED_VALUE"""),"Neither")</f>
        <v>Neither</v>
      </c>
      <c r="AC1936" s="5" t="str">
        <f ca="1">IFERROR(__xludf.DUMMYFUNCTION("""COMPUTED_VALUE"""),"No")</f>
        <v>No</v>
      </c>
      <c r="AD1936" s="5" t="str">
        <f ca="1">IFERROR(__xludf.DUMMYFUNCTION("""COMPUTED_VALUE"""),"No")</f>
        <v>No</v>
      </c>
      <c r="AE1936" s="5" t="str">
        <f ca="1">IFERROR(__xludf.DUMMYFUNCTION("""COMPUTED_VALUE"""),"No")</f>
        <v>No</v>
      </c>
      <c r="AF1936" s="5" t="str">
        <f ca="1">IFERROR(__xludf.DUMMYFUNCTION("""COMPUTED_VALUE"""),"No")</f>
        <v>No</v>
      </c>
      <c r="AG1936" s="5"/>
      <c r="AH1936" s="5" t="str">
        <f ca="1">IFERROR(__xludf.DUMMYFUNCTION("""COMPUTED_VALUE"""),"No")</f>
        <v>No</v>
      </c>
      <c r="AI1936" s="5" t="str">
        <f ca="1">IFERROR(__xludf.DUMMYFUNCTION("""COMPUTED_VALUE"""),"No")</f>
        <v>No</v>
      </c>
      <c r="AJ1936" s="5"/>
    </row>
    <row r="1937" spans="1:36" ht="13">
      <c r="A1937" s="5" t="str">
        <f ca="1">IFERROR(__xludf.DUMMYFUNCTION("""COMPUTED_VALUE"""),"19890209IDRIR")</f>
        <v>19890209IDRIR</v>
      </c>
      <c r="B1937" s="5">
        <f ca="1">IFERROR(__xludf.DUMMYFUNCTION("""COMPUTED_VALUE"""),2)</f>
        <v>2</v>
      </c>
      <c r="C1937" s="5">
        <f ca="1">IFERROR(__xludf.DUMMYFUNCTION("""COMPUTED_VALUE"""),9)</f>
        <v>9</v>
      </c>
      <c r="D1937" s="5">
        <f ca="1">IFERROR(__xludf.DUMMYFUNCTION("""COMPUTED_VALUE"""),1989)</f>
        <v>1989</v>
      </c>
      <c r="E1937" s="8">
        <f ca="1">IFERROR(__xludf.DUMMYFUNCTION("""COMPUTED_VALUE"""),32548)</f>
        <v>32548</v>
      </c>
      <c r="F1937" s="5" t="str">
        <f ca="1">IFERROR(__xludf.DUMMYFUNCTION("""COMPUTED_VALUE"""),"Rigby Junior High School")</f>
        <v>Rigby Junior High School</v>
      </c>
      <c r="G1937" s="5">
        <f ca="1">IFERROR(__xludf.DUMMYFUNCTION("""COMPUTED_VALUE"""),0)</f>
        <v>0</v>
      </c>
      <c r="H1937" s="5">
        <f ca="1">IFERROR(__xludf.DUMMYFUNCTION("""COMPUTED_VALUE"""),0)</f>
        <v>0</v>
      </c>
      <c r="I1937" s="5">
        <f ca="1">IFERROR(__xludf.DUMMYFUNCTION("""COMPUTED_VALUE"""),0)</f>
        <v>0</v>
      </c>
      <c r="J1937" s="5">
        <f ca="1">IFERROR(__xludf.DUMMYFUNCTION("""COMPUTED_VALUE"""),0)</f>
        <v>0</v>
      </c>
      <c r="K1937" s="5" t="str">
        <f ca="1">IFERROR(__xludf.DUMMYFUNCTION("""COMPUTED_VALUE"""),"https://kutv.com/news/nation-world/student-opens-fire-at-rigby-middle-school-injuring-three https://www.deseret.com/1989/2/9/18794568/idaho-boy-14-in-custody-after-taking-hostage?fbclid=IwAR0TwCLhd7_2mvJMqoP9zln4P4hqoLoFWsetQx3WwDkMcWikB2pNy0egEKk")</f>
        <v>https://kutv.com/news/nation-world/student-opens-fire-at-rigby-middle-school-injuring-three https://www.deseret.com/1989/2/9/18794568/idaho-boy-14-in-custody-after-taking-hostage?fbclid=IwAR0TwCLhd7_2mvJMqoP9zln4P4hqoLoFWsetQx3WwDkMcWikB2pNy0egEKk</v>
      </c>
      <c r="L1937" s="5">
        <f ca="1">IFERROR(__xludf.DUMMYFUNCTION("""COMPUTED_VALUE"""),2)</f>
        <v>2</v>
      </c>
      <c r="M1937" s="5" t="str">
        <f ca="1">IFERROR(__xludf.DUMMYFUNCTION("""COMPUTED_VALUE"""),"Local")</f>
        <v>Local</v>
      </c>
      <c r="N1937" s="5">
        <f ca="1">IFERROR(__xludf.DUMMYFUNCTION("""COMPUTED_VALUE"""),3)</f>
        <v>3</v>
      </c>
      <c r="O1937" s="5" t="str">
        <f ca="1">IFERROR(__xludf.DUMMYFUNCTION("""COMPUTED_VALUE"""),"Fall")</f>
        <v>Fall</v>
      </c>
      <c r="P1937" s="5" t="str">
        <f ca="1">IFERROR(__xludf.DUMMYFUNCTION("""COMPUTED_VALUE"""),"Rigby")</f>
        <v>Rigby</v>
      </c>
      <c r="Q1937" s="5" t="str">
        <f ca="1">IFERROR(__xludf.DUMMYFUNCTION("""COMPUTED_VALUE"""),"ID")</f>
        <v>ID</v>
      </c>
      <c r="R1937" s="5"/>
      <c r="S1937" s="5"/>
      <c r="T1937" s="5"/>
      <c r="U1937" s="5"/>
      <c r="V1937" s="5"/>
      <c r="W1937" s="10">
        <f ca="1">IFERROR(__xludf.DUMMYFUNCTION("""COMPUTED_VALUE"""),0.458333333333333)</f>
        <v>0.45833333333333298</v>
      </c>
      <c r="X1937" s="5">
        <f ca="1">IFERROR(__xludf.DUMMYFUNCTION("""COMPUTED_VALUE"""),60)</f>
        <v>60</v>
      </c>
      <c r="Y1937" s="5" t="str">
        <f ca="1">IFERROR(__xludf.DUMMYFUNCTION("""COMPUTED_VALUE"""),"Student threatened class with gun then held female student hostage during 1 hour standoff")</f>
        <v>Student threatened class with gun then held female student hostage during 1 hour standoff</v>
      </c>
      <c r="Z1937" s="5" t="str">
        <f ca="1">IFERROR(__xludf.DUMMYFUNCTION("""COMPUTED_VALUE"""),"A 14 year-old-male student pulled out a revolver in his classroom and threatened the teacher and two other students. The shooter then fled the school with a 14-year-old female student as his hostage. Police found him inside a nearby church and subdued him"&amp;" during a struggle. No shots were fired at the school or the church.")</f>
        <v>A 14 year-old-male student pulled out a revolver in his classroom and threatened the teacher and two other students. The shooter then fled the school with a 14-year-old female student as his hostage. Police found him inside a nearby church and subdued him during a struggle. No shots were fired at the school or the church.</v>
      </c>
      <c r="AA1937" s="5" t="str">
        <f ca="1">IFERROR(__xludf.DUMMYFUNCTION("""COMPUTED_VALUE"""),"Hostage/Standoff")</f>
        <v>Hostage/Standoff</v>
      </c>
      <c r="AB1937" s="5"/>
      <c r="AC1937" s="5" t="str">
        <f ca="1">IFERROR(__xludf.DUMMYFUNCTION("""COMPUTED_VALUE"""),"No")</f>
        <v>No</v>
      </c>
      <c r="AD1937" s="5" t="str">
        <f ca="1">IFERROR(__xludf.DUMMYFUNCTION("""COMPUTED_VALUE"""),"Yes")</f>
        <v>Yes</v>
      </c>
      <c r="AE1937" s="5" t="str">
        <f ca="1">IFERROR(__xludf.DUMMYFUNCTION("""COMPUTED_VALUE"""),"No")</f>
        <v>No</v>
      </c>
      <c r="AF1937" s="5" t="str">
        <f ca="1">IFERROR(__xludf.DUMMYFUNCTION("""COMPUTED_VALUE"""),"No")</f>
        <v>No</v>
      </c>
      <c r="AG1937" s="5"/>
      <c r="AH1937" s="5"/>
      <c r="AI1937" s="5" t="str">
        <f ca="1">IFERROR(__xludf.DUMMYFUNCTION("""COMPUTED_VALUE"""),"No")</f>
        <v>No</v>
      </c>
      <c r="AJ1937" s="5" t="str">
        <f ca="1">IFERROR(__xludf.DUMMYFUNCTION("""COMPUTED_VALUE"""),"Yes")</f>
        <v>Yes</v>
      </c>
    </row>
    <row r="1938" spans="1:36" ht="13">
      <c r="A1938" s="5" t="str">
        <f ca="1">IFERROR(__xludf.DUMMYFUNCTION("""COMPUTED_VALUE"""),"19890126DCWOW")</f>
        <v>19890126DCWOW</v>
      </c>
      <c r="B1938" s="5">
        <f ca="1">IFERROR(__xludf.DUMMYFUNCTION("""COMPUTED_VALUE"""),1)</f>
        <v>1</v>
      </c>
      <c r="C1938" s="5">
        <f ca="1">IFERROR(__xludf.DUMMYFUNCTION("""COMPUTED_VALUE"""),26)</f>
        <v>26</v>
      </c>
      <c r="D1938" s="5">
        <f ca="1">IFERROR(__xludf.DUMMYFUNCTION("""COMPUTED_VALUE"""),1989)</f>
        <v>1989</v>
      </c>
      <c r="E1938" s="8">
        <f ca="1">IFERROR(__xludf.DUMMYFUNCTION("""COMPUTED_VALUE"""),32534)</f>
        <v>32534</v>
      </c>
      <c r="F1938" s="5" t="str">
        <f ca="1">IFERROR(__xludf.DUMMYFUNCTION("""COMPUTED_VALUE"""),"Woodrow Wilson HIgh School")</f>
        <v>Woodrow Wilson HIgh School</v>
      </c>
      <c r="G1938" s="5">
        <f ca="1">IFERROR(__xludf.DUMMYFUNCTION("""COMPUTED_VALUE"""),0)</f>
        <v>0</v>
      </c>
      <c r="H1938" s="5">
        <f ca="1">IFERROR(__xludf.DUMMYFUNCTION("""COMPUTED_VALUE"""),4)</f>
        <v>4</v>
      </c>
      <c r="I1938" s="5">
        <f ca="1">IFERROR(__xludf.DUMMYFUNCTION("""COMPUTED_VALUE"""),4)</f>
        <v>4</v>
      </c>
      <c r="J1938" s="5">
        <f ca="1">IFERROR(__xludf.DUMMYFUNCTION("""COMPUTED_VALUE"""),0)</f>
        <v>0</v>
      </c>
      <c r="K1938" s="5" t="str">
        <f ca="1">IFERROR(__xludf.DUMMYFUNCTION("""COMPUTED_VALUE"""),"https://www.washingtonpost.com/archive/politics/1989/01/27/4-wounded-in-gunfire-at-wilson-high/fe7606be-6f21-4644-84b8-b7b403acbcf2/?noredirect=on&amp;utm_term=.3f35b4735b2c; https://www.washingtonpost.com/archive/local/1989/01/31/second-suspect-is-charged-in"&amp;"-wilson-shootings/19339de2-e88a-4543-86e6-7f09df7644c2/?utm_term=.0eb94ebfb767")</f>
        <v>https://www.washingtonpost.com/archive/politics/1989/01/27/4-wounded-in-gunfire-at-wilson-high/fe7606be-6f21-4644-84b8-b7b403acbcf2/?noredirect=on&amp;utm_term=.3f35b4735b2c; https://www.washingtonpost.com/archive/local/1989/01/31/second-suspect-is-charged-in-wilson-shootings/19339de2-e88a-4543-86e6-7f09df7644c2/?utm_term=.0eb94ebfb767</v>
      </c>
      <c r="L1938" s="5"/>
      <c r="M1938" s="5"/>
      <c r="N1938" s="5">
        <f ca="1">IFERROR(__xludf.DUMMYFUNCTION("""COMPUTED_VALUE"""),3)</f>
        <v>3</v>
      </c>
      <c r="O1938" s="5" t="str">
        <f ca="1">IFERROR(__xludf.DUMMYFUNCTION("""COMPUTED_VALUE"""),"Winter")</f>
        <v>Winter</v>
      </c>
      <c r="P1938" s="5" t="str">
        <f ca="1">IFERROR(__xludf.DUMMYFUNCTION("""COMPUTED_VALUE"""),"Washington")</f>
        <v>Washington</v>
      </c>
      <c r="Q1938" s="5" t="str">
        <f ca="1">IFERROR(__xludf.DUMMYFUNCTION("""COMPUTED_VALUE"""),"DC")</f>
        <v>DC</v>
      </c>
      <c r="R1938" s="5" t="str">
        <f ca="1">IFERROR(__xludf.DUMMYFUNCTION("""COMPUTED_VALUE"""),"High")</f>
        <v>High</v>
      </c>
      <c r="S1938" s="5" t="str">
        <f ca="1">IFERROR(__xludf.DUMMYFUNCTION("""COMPUTED_VALUE"""),"Parking Lot")</f>
        <v>Parking Lot</v>
      </c>
      <c r="T1938" s="5" t="str">
        <f ca="1">IFERROR(__xludf.DUMMYFUNCTION("""COMPUTED_VALUE"""),"Outside on School Property")</f>
        <v>Outside on School Property</v>
      </c>
      <c r="U1938" s="5" t="str">
        <f ca="1">IFERROR(__xludf.DUMMYFUNCTION("""COMPUTED_VALUE"""),"Yes")</f>
        <v>Yes</v>
      </c>
      <c r="V1938" s="5" t="str">
        <f ca="1">IFERROR(__xludf.DUMMYFUNCTION("""COMPUTED_VALUE"""),"Dismissal")</f>
        <v>Dismissal</v>
      </c>
      <c r="W1938" s="10">
        <f ca="1">IFERROR(__xludf.DUMMYFUNCTION("""COMPUTED_VALUE"""),0.600694444444444)</f>
        <v>0.60069444444444398</v>
      </c>
      <c r="X1938" s="5">
        <f ca="1">IFERROR(__xludf.DUMMYFUNCTION("""COMPUTED_VALUE"""),1)</f>
        <v>1</v>
      </c>
      <c r="Y1938" s="5" t="str">
        <f ca="1">IFERROR(__xludf.DUMMYFUNCTION("""COMPUTED_VALUE"""),"Escalation of on going fight about a girl")</f>
        <v>Escalation of on going fight about a girl</v>
      </c>
      <c r="Z1938" s="5" t="str">
        <f ca="1">IFERROR(__xludf.DUMMYFUNCTION("""COMPUTED_VALUE"""),"Argument over a girl that occurred between boyfriend and ex-boyfriend escalated into after school shooting where shooter shot into crowd hitting 4 - shooters fled in vehicle")</f>
        <v>Argument over a girl that occurred between boyfriend and ex-boyfriend escalated into after school shooting where shooter shot into crowd hitting 4 - shooters fled in vehicle</v>
      </c>
      <c r="AA1938" s="5" t="str">
        <f ca="1">IFERROR(__xludf.DUMMYFUNCTION("""COMPUTED_VALUE"""),"Escalation of Dispute")</f>
        <v>Escalation of Dispute</v>
      </c>
      <c r="AB1938" s="5" t="str">
        <f ca="1">IFERROR(__xludf.DUMMYFUNCTION("""COMPUTED_VALUE"""),"Victims Targeted")</f>
        <v>Victims Targeted</v>
      </c>
      <c r="AC1938" s="5" t="str">
        <f ca="1">IFERROR(__xludf.DUMMYFUNCTION("""COMPUTED_VALUE"""),"No")</f>
        <v>No</v>
      </c>
      <c r="AD1938" s="5" t="str">
        <f ca="1">IFERROR(__xludf.DUMMYFUNCTION("""COMPUTED_VALUE"""),"No")</f>
        <v>No</v>
      </c>
      <c r="AE1938" s="5" t="str">
        <f ca="1">IFERROR(__xludf.DUMMYFUNCTION("""COMPUTED_VALUE"""),"No")</f>
        <v>No</v>
      </c>
      <c r="AF1938" s="5" t="str">
        <f ca="1">IFERROR(__xludf.DUMMYFUNCTION("""COMPUTED_VALUE"""),"No")</f>
        <v>No</v>
      </c>
      <c r="AG1938" s="5" t="str">
        <f ca="1">IFERROR(__xludf.DUMMYFUNCTION("""COMPUTED_VALUE"""),"No")</f>
        <v>No</v>
      </c>
      <c r="AH1938" s="5" t="str">
        <f ca="1">IFERROR(__xludf.DUMMYFUNCTION("""COMPUTED_VALUE"""),"No")</f>
        <v>No</v>
      </c>
      <c r="AI1938" s="5" t="str">
        <f ca="1">IFERROR(__xludf.DUMMYFUNCTION("""COMPUTED_VALUE"""),"No")</f>
        <v>No</v>
      </c>
      <c r="AJ1938" s="5"/>
    </row>
    <row r="1939" spans="1:36" ht="13">
      <c r="A1939" s="5" t="str">
        <f ca="1">IFERROR(__xludf.DUMMYFUNCTION("""COMPUTED_VALUE"""),"19890117CACLS")</f>
        <v>19890117CACLS</v>
      </c>
      <c r="B1939" s="5">
        <f ca="1">IFERROR(__xludf.DUMMYFUNCTION("""COMPUTED_VALUE"""),1)</f>
        <v>1</v>
      </c>
      <c r="C1939" s="5">
        <f ca="1">IFERROR(__xludf.DUMMYFUNCTION("""COMPUTED_VALUE"""),17)</f>
        <v>17</v>
      </c>
      <c r="D1939" s="5">
        <f ca="1">IFERROR(__xludf.DUMMYFUNCTION("""COMPUTED_VALUE"""),1989)</f>
        <v>1989</v>
      </c>
      <c r="E1939" s="8">
        <f ca="1">IFERROR(__xludf.DUMMYFUNCTION("""COMPUTED_VALUE"""),32525)</f>
        <v>32525</v>
      </c>
      <c r="F1939" s="5" t="str">
        <f ca="1">IFERROR(__xludf.DUMMYFUNCTION("""COMPUTED_VALUE"""),"Cleveland Elementary School")</f>
        <v>Cleveland Elementary School</v>
      </c>
      <c r="G1939" s="5">
        <f ca="1">IFERROR(__xludf.DUMMYFUNCTION("""COMPUTED_VALUE"""),5)</f>
        <v>5</v>
      </c>
      <c r="H1939" s="5">
        <f ca="1">IFERROR(__xludf.DUMMYFUNCTION("""COMPUTED_VALUE"""),30)</f>
        <v>30</v>
      </c>
      <c r="I1939" s="5">
        <f ca="1">IFERROR(__xludf.DUMMYFUNCTION("""COMPUTED_VALUE"""),35)</f>
        <v>35</v>
      </c>
      <c r="J1939" s="5">
        <f ca="1">IFERROR(__xludf.DUMMYFUNCTION("""COMPUTED_VALUE"""),1)</f>
        <v>1</v>
      </c>
      <c r="K1939" s="5" t="str">
        <f ca="1">IFERROR(__xludf.DUMMYFUNCTION("""COMPUTED_VALUE"""),"https://www.mercurynews.com/2014/01/16/stockton-shooting-25-years-later-city-cant-forget-its-worst-day/; http://nl.newsbank.com/nl-search/we/Archives?p_product=SJ&amp;s_site=mercurynews&amp;p_multi=SJ&amp;p_theme=realcities&amp;p_action=search&amp;p_maxdocs=200&amp;p_topdoc=1&amp;p_"&amp;"text_direct-0=0EB72F352C11F838&amp;p_field_direct-0=document_id&amp;p_perpage=10&amp;p_sort=YMD_date:D&amp;s_trackval=GooglePM")</f>
        <v>https://www.mercurynews.com/2014/01/16/stockton-shooting-25-years-later-city-cant-forget-its-worst-day/; http://nl.newsbank.com/nl-search/we/Archives?p_product=SJ&amp;s_site=mercurynews&amp;p_multi=SJ&amp;p_theme=realcities&amp;p_action=search&amp;p_maxdocs=200&amp;p_topdoc=1&amp;p_text_direct-0=0EB72F352C11F838&amp;p_field_direct-0=document_id&amp;p_perpage=10&amp;p_sort=YMD_date:D&amp;s_trackval=GooglePM</v>
      </c>
      <c r="L1939" s="5"/>
      <c r="M1939" s="5" t="str">
        <f ca="1">IFERROR(__xludf.DUMMYFUNCTION("""COMPUTED_VALUE"""),"National")</f>
        <v>National</v>
      </c>
      <c r="N1939" s="5">
        <f ca="1">IFERROR(__xludf.DUMMYFUNCTION("""COMPUTED_VALUE"""),2)</f>
        <v>2</v>
      </c>
      <c r="O1939" s="5" t="str">
        <f ca="1">IFERROR(__xludf.DUMMYFUNCTION("""COMPUTED_VALUE"""),"Winter")</f>
        <v>Winter</v>
      </c>
      <c r="P1939" s="5" t="str">
        <f ca="1">IFERROR(__xludf.DUMMYFUNCTION("""COMPUTED_VALUE"""),"Stockton")</f>
        <v>Stockton</v>
      </c>
      <c r="Q1939" s="5" t="str">
        <f ca="1">IFERROR(__xludf.DUMMYFUNCTION("""COMPUTED_VALUE"""),"CA")</f>
        <v>CA</v>
      </c>
      <c r="R1939" s="5" t="str">
        <f ca="1">IFERROR(__xludf.DUMMYFUNCTION("""COMPUTED_VALUE"""),"Elementary")</f>
        <v>Elementary</v>
      </c>
      <c r="S1939" s="5" t="str">
        <f ca="1">IFERROR(__xludf.DUMMYFUNCTION("""COMPUTED_VALUE"""),"Beside Building")</f>
        <v>Beside Building</v>
      </c>
      <c r="T1939" s="5" t="str">
        <f ca="1">IFERROR(__xludf.DUMMYFUNCTION("""COMPUTED_VALUE"""),"Outside on School Property")</f>
        <v>Outside on School Property</v>
      </c>
      <c r="U1939" s="5" t="str">
        <f ca="1">IFERROR(__xludf.DUMMYFUNCTION("""COMPUTED_VALUE"""),"Yes")</f>
        <v>Yes</v>
      </c>
      <c r="V1939" s="5"/>
      <c r="W1939" s="10">
        <f ca="1">IFERROR(__xludf.DUMMYFUNCTION("""COMPUTED_VALUE"""),0.499305555555555)</f>
        <v>0.499305555555555</v>
      </c>
      <c r="X1939" s="5">
        <f ca="1">IFERROR(__xludf.DUMMYFUNCTION("""COMPUTED_VALUE"""),3)</f>
        <v>3</v>
      </c>
      <c r="Y1939" s="5" t="str">
        <f ca="1">IFERROR(__xludf.DUMMYFUNCTION("""COMPUTED_VALUE"""),"Planned attack, shooter had severe mental illness")</f>
        <v>Planned attack, shooter had severe mental illness</v>
      </c>
      <c r="Z1939" s="5" t="str">
        <f ca="1">IFERROR(__xludf.DUMMYFUNCTION("""COMPUTED_VALUE"""),"The morning of the shooting, an anonymous threat was called into the school. The shooter parked a van full of fireworks near the building and lit it on fire. When students exited the building, he fired for 3 minutes before fatally shooting himself with a "&amp;"pistol. No connection between the shooter and the school. Shooter was a ""troubled drifter"" and unemployed. Drug addition and multiple criminal charges relating to weapons and drugs. The shooter, later identified as Patrick Purdy had attended Cleveland E"&amp;"lementary School from kindergarten until 7th grade. Ignited fireworks in van then fired 105 rounds from an AK-47 bought legally in Oregon. Massacre killed 5 children and injured 30 more children and teachers. Shooter then shot himself with a handgun.")</f>
        <v>The morning of the shooting, an anonymous threat was called into the school. The shooter parked a van full of fireworks near the building and lit it on fire. When students exited the building, he fired for 3 minutes before fatally shooting himself with a pistol. No connection between the shooter and the school. Shooter was a "troubled drifter" and unemployed. Drug addition and multiple criminal charges relating to weapons and drugs. The shooter, later identified as Patrick Purdy had attended Cleveland Elementary School from kindergarten until 7th grade. Ignited fireworks in van then fired 105 rounds from an AK-47 bought legally in Oregon. Massacre killed 5 children and injured 30 more children and teachers. Shooter then shot himself with a handgun.</v>
      </c>
      <c r="AA1939" s="5" t="str">
        <f ca="1">IFERROR(__xludf.DUMMYFUNCTION("""COMPUTED_VALUE"""),"Indiscriminate Shooting")</f>
        <v>Indiscriminate Shooting</v>
      </c>
      <c r="AB1939" s="5" t="str">
        <f ca="1">IFERROR(__xludf.DUMMYFUNCTION("""COMPUTED_VALUE"""),"Random Shooting")</f>
        <v>Random Shooting</v>
      </c>
      <c r="AC1939" s="5" t="str">
        <f ca="1">IFERROR(__xludf.DUMMYFUNCTION("""COMPUTED_VALUE"""),"No")</f>
        <v>No</v>
      </c>
      <c r="AD1939" s="5" t="str">
        <f ca="1">IFERROR(__xludf.DUMMYFUNCTION("""COMPUTED_VALUE"""),"No")</f>
        <v>No</v>
      </c>
      <c r="AE1939" s="5" t="str">
        <f ca="1">IFERROR(__xludf.DUMMYFUNCTION("""COMPUTED_VALUE"""),"No")</f>
        <v>No</v>
      </c>
      <c r="AF1939" s="5" t="str">
        <f ca="1">IFERROR(__xludf.DUMMYFUNCTION("""COMPUTED_VALUE"""),"No")</f>
        <v>No</v>
      </c>
      <c r="AG1939" s="5"/>
      <c r="AH1939" s="5" t="str">
        <f ca="1">IFERROR(__xludf.DUMMYFUNCTION("""COMPUTED_VALUE"""),"No")</f>
        <v>No</v>
      </c>
      <c r="AI1939" s="5" t="str">
        <f ca="1">IFERROR(__xludf.DUMMYFUNCTION("""COMPUTED_VALUE"""),"No")</f>
        <v>No</v>
      </c>
      <c r="AJ1939" s="5" t="str">
        <f ca="1">IFERROR(__xludf.DUMMYFUNCTION("""COMPUTED_VALUE"""),"Yes")</f>
        <v>Yes</v>
      </c>
    </row>
    <row r="1940" spans="1:36" ht="13">
      <c r="A1940" s="5" t="str">
        <f ca="1">IFERROR(__xludf.DUMMYFUNCTION("""COMPUTED_VALUE"""),"19890105ARHEL")</f>
        <v>19890105ARHEL</v>
      </c>
      <c r="B1940" s="5">
        <f ca="1">IFERROR(__xludf.DUMMYFUNCTION("""COMPUTED_VALUE"""),1)</f>
        <v>1</v>
      </c>
      <c r="C1940" s="5">
        <f ca="1">IFERROR(__xludf.DUMMYFUNCTION("""COMPUTED_VALUE"""),5)</f>
        <v>5</v>
      </c>
      <c r="D1940" s="5">
        <f ca="1">IFERROR(__xludf.DUMMYFUNCTION("""COMPUTED_VALUE"""),1989)</f>
        <v>1989</v>
      </c>
      <c r="E1940" s="8">
        <f ca="1">IFERROR(__xludf.DUMMYFUNCTION("""COMPUTED_VALUE"""),32513)</f>
        <v>32513</v>
      </c>
      <c r="F1940" s="5" t="str">
        <f ca="1">IFERROR(__xludf.DUMMYFUNCTION("""COMPUTED_VALUE"""),"Henderson Junior High School")</f>
        <v>Henderson Junior High School</v>
      </c>
      <c r="G1940" s="5">
        <f ca="1">IFERROR(__xludf.DUMMYFUNCTION("""COMPUTED_VALUE"""),1)</f>
        <v>1</v>
      </c>
      <c r="H1940" s="5">
        <f ca="1">IFERROR(__xludf.DUMMYFUNCTION("""COMPUTED_VALUE"""),0)</f>
        <v>0</v>
      </c>
      <c r="I1940" s="5">
        <f ca="1">IFERROR(__xludf.DUMMYFUNCTION("""COMPUTED_VALUE"""),1)</f>
        <v>1</v>
      </c>
      <c r="J1940" s="5">
        <f ca="1">IFERROR(__xludf.DUMMYFUNCTION("""COMPUTED_VALUE"""),0)</f>
        <v>0</v>
      </c>
      <c r="K1940" s="5" t="str">
        <f ca="1">IFERROR(__xludf.DUMMYFUNCTION("""COMPUTED_VALUE"""),"https://www.tulsaworld.com/archive/arkansas-teen-dies-in-school-shooting/article_4283e8e7-79fa-539a-97b5-10c9d0189b3e.html https://www.pressreader.com/usa/arkansas-democrat-gazette/20180318/284447099346596")</f>
        <v>https://www.tulsaworld.com/archive/arkansas-teen-dies-in-school-shooting/article_4283e8e7-79fa-539a-97b5-10c9d0189b3e.html https://www.pressreader.com/usa/arkansas-democrat-gazette/20180318/284447099346596</v>
      </c>
      <c r="L1940" s="5"/>
      <c r="M1940" s="5"/>
      <c r="N1940" s="5">
        <f ca="1">IFERROR(__xludf.DUMMYFUNCTION("""COMPUTED_VALUE"""),3)</f>
        <v>3</v>
      </c>
      <c r="O1940" s="5" t="str">
        <f ca="1">IFERROR(__xludf.DUMMYFUNCTION("""COMPUTED_VALUE"""),"Winter")</f>
        <v>Winter</v>
      </c>
      <c r="P1940" s="5" t="str">
        <f ca="1">IFERROR(__xludf.DUMMYFUNCTION("""COMPUTED_VALUE"""),"Little Rock")</f>
        <v>Little Rock</v>
      </c>
      <c r="Q1940" s="5" t="str">
        <f ca="1">IFERROR(__xludf.DUMMYFUNCTION("""COMPUTED_VALUE"""),"AR")</f>
        <v>AR</v>
      </c>
      <c r="R1940" s="5" t="str">
        <f ca="1">IFERROR(__xludf.DUMMYFUNCTION("""COMPUTED_VALUE"""),"Middle")</f>
        <v>Middle</v>
      </c>
      <c r="S1940" s="5" t="str">
        <f ca="1">IFERROR(__xludf.DUMMYFUNCTION("""COMPUTED_VALUE"""),"Basketball Court")</f>
        <v>Basketball Court</v>
      </c>
      <c r="T1940" s="5" t="str">
        <f ca="1">IFERROR(__xludf.DUMMYFUNCTION("""COMPUTED_VALUE"""),"Outside on School Property")</f>
        <v>Outside on School Property</v>
      </c>
      <c r="U1940" s="5" t="str">
        <f ca="1">IFERROR(__xludf.DUMMYFUNCTION("""COMPUTED_VALUE"""),"Yes")</f>
        <v>Yes</v>
      </c>
      <c r="V1940" s="5" t="str">
        <f ca="1">IFERROR(__xludf.DUMMYFUNCTION("""COMPUTED_VALUE"""),"School Start")</f>
        <v>School Start</v>
      </c>
      <c r="W1940" s="10">
        <f ca="1">IFERROR(__xludf.DUMMYFUNCTION("""COMPUTED_VALUE"""),0.333333333333333)</f>
        <v>0.33333333333333298</v>
      </c>
      <c r="X1940" s="5">
        <f ca="1">IFERROR(__xludf.DUMMYFUNCTION("""COMPUTED_VALUE"""),1)</f>
        <v>1</v>
      </c>
      <c r="Y1940" s="5" t="str">
        <f ca="1">IFERROR(__xludf.DUMMYFUNCTION("""COMPUTED_VALUE"""),"19-year-old male shot 16-year-old student on the basketball court as school was opening")</f>
        <v>19-year-old male shot 16-year-old student on the basketball court as school was opening</v>
      </c>
      <c r="Z1940" s="5" t="str">
        <f ca="1">IFERROR(__xludf.DUMMYFUNCTION("""COMPUTED_VALUE"""),"19 year-old male shooter shot and killed a 16 year-old male student (Edward Burnett) on the basketball court of the school 10 minutes prior to the school opening. Other students and staff were present and saw the shooting occur. The victim was shot in the"&amp;" chest and died. Police said the motive was unknown.")</f>
        <v>19 year-old male shooter shot and killed a 16 year-old male student (Edward Burnett) on the basketball court of the school 10 minutes prior to the school opening. Other students and staff were present and saw the shooting occur. The victim was shot in the chest and died. Police said the motive was unknown.</v>
      </c>
      <c r="AA1940" s="5" t="str">
        <f ca="1">IFERROR(__xludf.DUMMYFUNCTION("""COMPUTED_VALUE"""),"Escalation of Dispute")</f>
        <v>Escalation of Dispute</v>
      </c>
      <c r="AB1940" s="5" t="str">
        <f ca="1">IFERROR(__xludf.DUMMYFUNCTION("""COMPUTED_VALUE"""),"Victims Targeted")</f>
        <v>Victims Targeted</v>
      </c>
      <c r="AC1940" s="5" t="str">
        <f ca="1">IFERROR(__xludf.DUMMYFUNCTION("""COMPUTED_VALUE"""),"No")</f>
        <v>No</v>
      </c>
      <c r="AD1940" s="5" t="str">
        <f ca="1">IFERROR(__xludf.DUMMYFUNCTION("""COMPUTED_VALUE"""),"No")</f>
        <v>No</v>
      </c>
      <c r="AE1940" s="5"/>
      <c r="AF1940" s="5" t="str">
        <f ca="1">IFERROR(__xludf.DUMMYFUNCTION("""COMPUTED_VALUE"""),"No")</f>
        <v>No</v>
      </c>
      <c r="AG1940" s="5" t="str">
        <f ca="1">IFERROR(__xludf.DUMMYFUNCTION("""COMPUTED_VALUE"""),"No")</f>
        <v>No</v>
      </c>
      <c r="AH1940" s="5" t="str">
        <f ca="1">IFERROR(__xludf.DUMMYFUNCTION("""COMPUTED_VALUE"""),"No")</f>
        <v>No</v>
      </c>
      <c r="AI1940" s="5"/>
      <c r="AJ1940" s="5" t="str">
        <f ca="1">IFERROR(__xludf.DUMMYFUNCTION("""COMPUTED_VALUE"""),"No")</f>
        <v>No</v>
      </c>
    </row>
    <row r="1941" spans="1:36" ht="13">
      <c r="A1941" s="5" t="str">
        <f ca="1">IFERROR(__xludf.DUMMYFUNCTION("""COMPUTED_VALUE"""),"19881216VAATV")</f>
        <v>19881216VAATV</v>
      </c>
      <c r="B1941" s="5">
        <f ca="1">IFERROR(__xludf.DUMMYFUNCTION("""COMPUTED_VALUE"""),12)</f>
        <v>12</v>
      </c>
      <c r="C1941" s="5">
        <f ca="1">IFERROR(__xludf.DUMMYFUNCTION("""COMPUTED_VALUE"""),16)</f>
        <v>16</v>
      </c>
      <c r="D1941" s="5">
        <f ca="1">IFERROR(__xludf.DUMMYFUNCTION("""COMPUTED_VALUE"""),1988)</f>
        <v>1988</v>
      </c>
      <c r="E1941" s="8">
        <f ca="1">IFERROR(__xludf.DUMMYFUNCTION("""COMPUTED_VALUE"""),32493)</f>
        <v>32493</v>
      </c>
      <c r="F1941" s="5" t="str">
        <f ca="1">IFERROR(__xludf.DUMMYFUNCTION("""COMPUTED_VALUE"""),"Atlantic Shores Christian School")</f>
        <v>Atlantic Shores Christian School</v>
      </c>
      <c r="G1941" s="5">
        <f ca="1">IFERROR(__xludf.DUMMYFUNCTION("""COMPUTED_VALUE"""),1)</f>
        <v>1</v>
      </c>
      <c r="H1941" s="5">
        <f ca="1">IFERROR(__xludf.DUMMYFUNCTION("""COMPUTED_VALUE"""),1)</f>
        <v>1</v>
      </c>
      <c r="I1941" s="5">
        <f ca="1">IFERROR(__xludf.DUMMYFUNCTION("""COMPUTED_VALUE"""),2)</f>
        <v>2</v>
      </c>
      <c r="J1941" s="5">
        <f ca="1">IFERROR(__xludf.DUMMYFUNCTION("""COMPUTED_VALUE"""),0)</f>
        <v>0</v>
      </c>
      <c r="K1941" s="5" t="str">
        <f ca="1">IFERROR(__xludf.DUMMYFUNCTION("""COMPUTED_VALUE"""),"http://articles.dailypress.com/1989-12-13/news/8912130120_1_mr-elliott-nicholas-elliott-portable-classroom  https://www.nytimes.com/1988/12/17/us/student-with-pistol-kills-one-teacher-and-injures-another.html;  https://www.newspapers.com/image/232774056/ "&amp;"  https://schoolshooters.info/nicholas-elliott")</f>
        <v>http://articles.dailypress.com/1989-12-13/news/8912130120_1_mr-elliott-nicholas-elliott-portable-classroom  https://www.nytimes.com/1988/12/17/us/student-with-pistol-kills-one-teacher-and-injures-another.html;  https://www.newspapers.com/image/232774056/   https://schoolshooters.info/nicholas-elliott</v>
      </c>
      <c r="L1941" s="5"/>
      <c r="M1941" s="5" t="str">
        <f ca="1">IFERROR(__xludf.DUMMYFUNCTION("""COMPUTED_VALUE"""),"National")</f>
        <v>National</v>
      </c>
      <c r="N1941" s="5">
        <f ca="1">IFERROR(__xludf.DUMMYFUNCTION("""COMPUTED_VALUE"""),3)</f>
        <v>3</v>
      </c>
      <c r="O1941" s="5" t="str">
        <f ca="1">IFERROR(__xludf.DUMMYFUNCTION("""COMPUTED_VALUE"""),"Winter")</f>
        <v>Winter</v>
      </c>
      <c r="P1941" s="5" t="str">
        <f ca="1">IFERROR(__xludf.DUMMYFUNCTION("""COMPUTED_VALUE"""),"Virginia Beach")</f>
        <v>Virginia Beach</v>
      </c>
      <c r="Q1941" s="5" t="str">
        <f ca="1">IFERROR(__xludf.DUMMYFUNCTION("""COMPUTED_VALUE"""),"VA")</f>
        <v>VA</v>
      </c>
      <c r="R1941" s="5" t="str">
        <f ca="1">IFERROR(__xludf.DUMMYFUNCTION("""COMPUTED_VALUE"""),"K-12")</f>
        <v>K-12</v>
      </c>
      <c r="S1941" s="5" t="str">
        <f ca="1">IFERROR(__xludf.DUMMYFUNCTION("""COMPUTED_VALUE"""),"Classroom")</f>
        <v>Classroom</v>
      </c>
      <c r="T1941" s="5" t="str">
        <f ca="1">IFERROR(__xludf.DUMMYFUNCTION("""COMPUTED_VALUE"""),"Inside School Building")</f>
        <v>Inside School Building</v>
      </c>
      <c r="U1941" s="5" t="str">
        <f ca="1">IFERROR(__xludf.DUMMYFUNCTION("""COMPUTED_VALUE"""),"Yes")</f>
        <v>Yes</v>
      </c>
      <c r="V1941" s="5" t="str">
        <f ca="1">IFERROR(__xludf.DUMMYFUNCTION("""COMPUTED_VALUE"""),"Morning Classes")</f>
        <v>Morning Classes</v>
      </c>
      <c r="W1941" s="10">
        <f ca="1">IFERROR(__xludf.DUMMYFUNCTION("""COMPUTED_VALUE"""),0.4375)</f>
        <v>0.4375</v>
      </c>
      <c r="X1941" s="5">
        <f ca="1">IFERROR(__xludf.DUMMYFUNCTION("""COMPUTED_VALUE"""),1)</f>
        <v>1</v>
      </c>
      <c r="Y1941" s="5" t="str">
        <f ca="1">IFERROR(__xludf.DUMMYFUNCTION("""COMPUTED_VALUE"""),"Killed two teachers and pointed gun at class but it jammed; bullied extensively")</f>
        <v>Killed two teachers and pointed gun at class but it jammed; bullied extensively</v>
      </c>
      <c r="Z1941" s="5" t="str">
        <f ca="1">IFERROR(__xludf.DUMMYFUNCTION("""COMPUTED_VALUE"""),"Shooter took a MAC 10 pistol, pipe bombs, and molotov cocktails to school building. Shot and injured one teacher then walked into a classroom. Shot and killed the teacher and pointed the gun at a student saying ""Jake I'm going to kill you"". The gun jamm"&amp;"ed and students and another teacher were able to tackle the shooter. The targeted victim had said racial slurs to the victim the prior day. While in custody, a psychologist evaluated the shooter and said he had multiple mental health issues including atte"&amp;"mpting suicide, depression, and learning disabilities giving him a low emotional intelligence and lack of understanding of events.")</f>
        <v>Shooter took a MAC 10 pistol, pipe bombs, and molotov cocktails to school building. Shot and injured one teacher then walked into a classroom. Shot and killed the teacher and pointed the gun at a student saying "Jake I'm going to kill you". The gun jammed and students and another teacher were able to tackle the shooter. The targeted victim had said racial slurs to the victim the prior day. While in custody, a psychologist evaluated the shooter and said he had multiple mental health issues including attempting suicide, depression, and learning disabilities giving him a low emotional intelligence and lack of understanding of events.</v>
      </c>
      <c r="AA1941" s="5" t="str">
        <f ca="1">IFERROR(__xludf.DUMMYFUNCTION("""COMPUTED_VALUE"""),"Bullying")</f>
        <v>Bullying</v>
      </c>
      <c r="AB1941" s="5" t="str">
        <f ca="1">IFERROR(__xludf.DUMMYFUNCTION("""COMPUTED_VALUE"""),"Both")</f>
        <v>Both</v>
      </c>
      <c r="AC1941" s="5" t="str">
        <f ca="1">IFERROR(__xludf.DUMMYFUNCTION("""COMPUTED_VALUE"""),"No")</f>
        <v>No</v>
      </c>
      <c r="AD1941" s="5" t="str">
        <f ca="1">IFERROR(__xludf.DUMMYFUNCTION("""COMPUTED_VALUE"""),"No")</f>
        <v>No</v>
      </c>
      <c r="AE1941" s="5" t="str">
        <f ca="1">IFERROR(__xludf.DUMMYFUNCTION("""COMPUTED_VALUE"""),"No")</f>
        <v>No</v>
      </c>
      <c r="AF1941" s="5" t="str">
        <f ca="1">IFERROR(__xludf.DUMMYFUNCTION("""COMPUTED_VALUE"""),"No")</f>
        <v>No</v>
      </c>
      <c r="AG1941" s="5" t="str">
        <f ca="1">IFERROR(__xludf.DUMMYFUNCTION("""COMPUTED_VALUE"""),"Yes")</f>
        <v>Yes</v>
      </c>
      <c r="AH1941" s="5" t="str">
        <f ca="1">IFERROR(__xludf.DUMMYFUNCTION("""COMPUTED_VALUE"""),"No")</f>
        <v>No</v>
      </c>
      <c r="AI1941" s="5" t="str">
        <f ca="1">IFERROR(__xludf.DUMMYFUNCTION("""COMPUTED_VALUE"""),"No")</f>
        <v>No</v>
      </c>
      <c r="AJ1941" s="5" t="str">
        <f ca="1">IFERROR(__xludf.DUMMYFUNCTION("""COMPUTED_VALUE"""),"Yes")</f>
        <v>Yes</v>
      </c>
    </row>
    <row r="1942" spans="1:36" ht="13">
      <c r="A1942" s="5" t="str">
        <f ca="1">IFERROR(__xludf.DUMMYFUNCTION("""COMPUTED_VALUE"""),"19881122TXABA")</f>
        <v>19881122TXABA</v>
      </c>
      <c r="B1942" s="5">
        <f ca="1">IFERROR(__xludf.DUMMYFUNCTION("""COMPUTED_VALUE"""),11)</f>
        <v>11</v>
      </c>
      <c r="C1942" s="5">
        <f ca="1">IFERROR(__xludf.DUMMYFUNCTION("""COMPUTED_VALUE"""),22)</f>
        <v>22</v>
      </c>
      <c r="D1942" s="5">
        <f ca="1">IFERROR(__xludf.DUMMYFUNCTION("""COMPUTED_VALUE"""),1988)</f>
        <v>1988</v>
      </c>
      <c r="E1942" s="8">
        <f ca="1">IFERROR(__xludf.DUMMYFUNCTION("""COMPUTED_VALUE"""),32469)</f>
        <v>32469</v>
      </c>
      <c r="F1942" s="5" t="str">
        <f ca="1">IFERROR(__xludf.DUMMYFUNCTION("""COMPUTED_VALUE"""),"Abilene Cooper High School")</f>
        <v>Abilene Cooper High School</v>
      </c>
      <c r="G1942" s="5">
        <f ca="1">IFERROR(__xludf.DUMMYFUNCTION("""COMPUTED_VALUE"""),0)</f>
        <v>0</v>
      </c>
      <c r="H1942" s="5">
        <f ca="1">IFERROR(__xludf.DUMMYFUNCTION("""COMPUTED_VALUE"""),1)</f>
        <v>1</v>
      </c>
      <c r="I1942" s="5">
        <f ca="1">IFERROR(__xludf.DUMMYFUNCTION("""COMPUTED_VALUE"""),1)</f>
        <v>1</v>
      </c>
      <c r="J1942" s="5">
        <f ca="1">IFERROR(__xludf.DUMMYFUNCTION("""COMPUTED_VALUE"""),0)</f>
        <v>0</v>
      </c>
      <c r="K1942" s="9" t="str">
        <f ca="1">IFERROR(__xludf.DUMMYFUNCTION("""COMPUTED_VALUE"""),"https://www.upi.com/Archives/1988/11/22/High-school-student-shoots-history-teacher-in-face/3742596178000/")</f>
        <v>https://www.upi.com/Archives/1988/11/22/High-school-student-shoots-history-teacher-in-face/3742596178000/</v>
      </c>
      <c r="L1942" s="5"/>
      <c r="M1942" s="5"/>
      <c r="N1942" s="5">
        <f ca="1">IFERROR(__xludf.DUMMYFUNCTION("""COMPUTED_VALUE"""),2)</f>
        <v>2</v>
      </c>
      <c r="O1942" s="5" t="str">
        <f ca="1">IFERROR(__xludf.DUMMYFUNCTION("""COMPUTED_VALUE"""),"Fall")</f>
        <v>Fall</v>
      </c>
      <c r="P1942" s="5" t="str">
        <f ca="1">IFERROR(__xludf.DUMMYFUNCTION("""COMPUTED_VALUE"""),"Abilene")</f>
        <v>Abilene</v>
      </c>
      <c r="Q1942" s="5" t="str">
        <f ca="1">IFERROR(__xludf.DUMMYFUNCTION("""COMPUTED_VALUE"""),"TX")</f>
        <v>TX</v>
      </c>
      <c r="R1942" s="5" t="str">
        <f ca="1">IFERROR(__xludf.DUMMYFUNCTION("""COMPUTED_VALUE"""),"High")</f>
        <v>High</v>
      </c>
      <c r="S1942" s="5" t="str">
        <f ca="1">IFERROR(__xludf.DUMMYFUNCTION("""COMPUTED_VALUE"""),"Classroom")</f>
        <v>Classroom</v>
      </c>
      <c r="T1942" s="5" t="str">
        <f ca="1">IFERROR(__xludf.DUMMYFUNCTION("""COMPUTED_VALUE"""),"Inside School Building")</f>
        <v>Inside School Building</v>
      </c>
      <c r="U1942" s="5" t="str">
        <f ca="1">IFERROR(__xludf.DUMMYFUNCTION("""COMPUTED_VALUE"""),"Yes")</f>
        <v>Yes</v>
      </c>
      <c r="V1942" s="5" t="str">
        <f ca="1">IFERROR(__xludf.DUMMYFUNCTION("""COMPUTED_VALUE"""),"Morning Classes")</f>
        <v>Morning Classes</v>
      </c>
      <c r="W1942" s="5"/>
      <c r="X1942" s="5"/>
      <c r="Y1942" s="5" t="str">
        <f ca="1">IFERROR(__xludf.DUMMYFUNCTION("""COMPUTED_VALUE"""),"Student shot teacher in the face and walked out of classroom")</f>
        <v>Student shot teacher in the face and walked out of classroom</v>
      </c>
      <c r="Z1942" s="5" t="str">
        <f ca="1">IFERROR(__xludf.DUMMYFUNCTION("""COMPUTED_VALUE"""),"Shooter walked into the classroom, pulled a pistol, shot the teacher in the face, and walked out of the classroom. Shooter did not say anything.")</f>
        <v>Shooter walked into the classroom, pulled a pistol, shot the teacher in the face, and walked out of the classroom. Shooter did not say anything.</v>
      </c>
      <c r="AA1942" s="5" t="str">
        <f ca="1">IFERROR(__xludf.DUMMYFUNCTION("""COMPUTED_VALUE"""),"Anger Over Grade/Suspension/Discipline")</f>
        <v>Anger Over Grade/Suspension/Discipline</v>
      </c>
      <c r="AB1942" s="5" t="str">
        <f ca="1">IFERROR(__xludf.DUMMYFUNCTION("""COMPUTED_VALUE"""),"Victims Targeted")</f>
        <v>Victims Targeted</v>
      </c>
      <c r="AC1942" s="5" t="str">
        <f ca="1">IFERROR(__xludf.DUMMYFUNCTION("""COMPUTED_VALUE"""),"No")</f>
        <v>No</v>
      </c>
      <c r="AD1942" s="5" t="str">
        <f ca="1">IFERROR(__xludf.DUMMYFUNCTION("""COMPUTED_VALUE"""),"No")</f>
        <v>No</v>
      </c>
      <c r="AE1942" s="5" t="str">
        <f ca="1">IFERROR(__xludf.DUMMYFUNCTION("""COMPUTED_VALUE"""),"No")</f>
        <v>No</v>
      </c>
      <c r="AF1942" s="5" t="str">
        <f ca="1">IFERROR(__xludf.DUMMYFUNCTION("""COMPUTED_VALUE"""),"No")</f>
        <v>No</v>
      </c>
      <c r="AG1942" s="5"/>
      <c r="AH1942" s="5" t="str">
        <f ca="1">IFERROR(__xludf.DUMMYFUNCTION("""COMPUTED_VALUE"""),"No")</f>
        <v>No</v>
      </c>
      <c r="AI1942" s="5" t="str">
        <f ca="1">IFERROR(__xludf.DUMMYFUNCTION("""COMPUTED_VALUE"""),"No")</f>
        <v>No</v>
      </c>
      <c r="AJ1942" s="5"/>
    </row>
    <row r="1943" spans="1:36" ht="13">
      <c r="A1943" s="5" t="str">
        <f ca="1">IFERROR(__xludf.DUMMYFUNCTION("""COMPUTED_VALUE"""),"19881107UTGLS")</f>
        <v>19881107UTGLS</v>
      </c>
      <c r="B1943" s="5">
        <f ca="1">IFERROR(__xludf.DUMMYFUNCTION("""COMPUTED_VALUE"""),11)</f>
        <v>11</v>
      </c>
      <c r="C1943" s="5">
        <f ca="1">IFERROR(__xludf.DUMMYFUNCTION("""COMPUTED_VALUE"""),7)</f>
        <v>7</v>
      </c>
      <c r="D1943" s="5">
        <f ca="1">IFERROR(__xludf.DUMMYFUNCTION("""COMPUTED_VALUE"""),1988)</f>
        <v>1988</v>
      </c>
      <c r="E1943" s="8">
        <f ca="1">IFERROR(__xludf.DUMMYFUNCTION("""COMPUTED_VALUE"""),32454)</f>
        <v>32454</v>
      </c>
      <c r="F1943" s="5" t="str">
        <f ca="1">IFERROR(__xludf.DUMMYFUNCTION("""COMPUTED_VALUE"""),"Glendale Intermediate School")</f>
        <v>Glendale Intermediate School</v>
      </c>
      <c r="G1943" s="5">
        <f ca="1">IFERROR(__xludf.DUMMYFUNCTION("""COMPUTED_VALUE"""),0)</f>
        <v>0</v>
      </c>
      <c r="H1943" s="5">
        <f ca="1">IFERROR(__xludf.DUMMYFUNCTION("""COMPUTED_VALUE"""),1)</f>
        <v>1</v>
      </c>
      <c r="I1943" s="5">
        <f ca="1">IFERROR(__xludf.DUMMYFUNCTION("""COMPUTED_VALUE"""),1)</f>
        <v>1</v>
      </c>
      <c r="J1943" s="5">
        <f ca="1">IFERROR(__xludf.DUMMYFUNCTION("""COMPUTED_VALUE"""),0)</f>
        <v>0</v>
      </c>
      <c r="K1943" s="9" t="str">
        <f ca="1">IFERROR(__xludf.DUMMYFUNCTION("""COMPUTED_VALUE"""),"https://www.deseretnews.com/article/34103/OFFICERS-SEEKING-ANSWERS-AFTER-JUNIOR-HIGH-SHOOTING.html")</f>
        <v>https://www.deseretnews.com/article/34103/OFFICERS-SEEKING-ANSWERS-AFTER-JUNIOR-HIGH-SHOOTING.html</v>
      </c>
      <c r="L1943" s="5"/>
      <c r="M1943" s="5"/>
      <c r="N1943" s="5">
        <f ca="1">IFERROR(__xludf.DUMMYFUNCTION("""COMPUTED_VALUE"""),2)</f>
        <v>2</v>
      </c>
      <c r="O1943" s="5" t="str">
        <f ca="1">IFERROR(__xludf.DUMMYFUNCTION("""COMPUTED_VALUE"""),"Fall")</f>
        <v>Fall</v>
      </c>
      <c r="P1943" s="5" t="str">
        <f ca="1">IFERROR(__xludf.DUMMYFUNCTION("""COMPUTED_VALUE"""),"Salt Lake City")</f>
        <v>Salt Lake City</v>
      </c>
      <c r="Q1943" s="5" t="str">
        <f ca="1">IFERROR(__xludf.DUMMYFUNCTION("""COMPUTED_VALUE"""),"UT")</f>
        <v>UT</v>
      </c>
      <c r="R1943" s="5" t="str">
        <f ca="1">IFERROR(__xludf.DUMMYFUNCTION("""COMPUTED_VALUE"""),"Middle")</f>
        <v>Middle</v>
      </c>
      <c r="S1943" s="5" t="str">
        <f ca="1">IFERROR(__xludf.DUMMYFUNCTION("""COMPUTED_VALUE"""),"Classroom")</f>
        <v>Classroom</v>
      </c>
      <c r="T1943" s="5" t="str">
        <f ca="1">IFERROR(__xludf.DUMMYFUNCTION("""COMPUTED_VALUE"""),"Inside School Building")</f>
        <v>Inside School Building</v>
      </c>
      <c r="U1943" s="5" t="str">
        <f ca="1">IFERROR(__xludf.DUMMYFUNCTION("""COMPUTED_VALUE"""),"Yes")</f>
        <v>Yes</v>
      </c>
      <c r="V1943" s="5"/>
      <c r="W1943" s="5"/>
      <c r="X1943" s="5">
        <f ca="1">IFERROR(__xludf.DUMMYFUNCTION("""COMPUTED_VALUE"""),1)</f>
        <v>1</v>
      </c>
      <c r="Y1943" s="5" t="str">
        <f ca="1">IFERROR(__xludf.DUMMYFUNCTION("""COMPUTED_VALUE"""),"Accidental Discharge while showing the gun off in classroom")</f>
        <v>Accidental Discharge while showing the gun off in classroom</v>
      </c>
      <c r="Z1943" s="5" t="str">
        <f ca="1">IFERROR(__xludf.DUMMYFUNCTION("""COMPUTED_VALUE"""),"Accidental discharge while showing .22 handgun off in classroom.")</f>
        <v>Accidental discharge while showing .22 handgun off in classroom.</v>
      </c>
      <c r="AA1943" s="5" t="str">
        <f ca="1">IFERROR(__xludf.DUMMYFUNCTION("""COMPUTED_VALUE"""),"Accidental")</f>
        <v>Accidental</v>
      </c>
      <c r="AB1943" s="5"/>
      <c r="AC1943" s="5" t="str">
        <f ca="1">IFERROR(__xludf.DUMMYFUNCTION("""COMPUTED_VALUE"""),"No")</f>
        <v>No</v>
      </c>
      <c r="AD1943" s="5" t="str">
        <f ca="1">IFERROR(__xludf.DUMMYFUNCTION("""COMPUTED_VALUE"""),"No")</f>
        <v>No</v>
      </c>
      <c r="AE1943" s="5" t="str">
        <f ca="1">IFERROR(__xludf.DUMMYFUNCTION("""COMPUTED_VALUE"""),"No")</f>
        <v>No</v>
      </c>
      <c r="AF1943" s="5" t="str">
        <f ca="1">IFERROR(__xludf.DUMMYFUNCTION("""COMPUTED_VALUE"""),"No")</f>
        <v>No</v>
      </c>
      <c r="AG1943" s="5"/>
      <c r="AH1943" s="5" t="str">
        <f ca="1">IFERROR(__xludf.DUMMYFUNCTION("""COMPUTED_VALUE"""),"No")</f>
        <v>No</v>
      </c>
      <c r="AI1943" s="5" t="str">
        <f ca="1">IFERROR(__xludf.DUMMYFUNCTION("""COMPUTED_VALUE"""),"No")</f>
        <v>No</v>
      </c>
      <c r="AJ1943" s="5"/>
    </row>
    <row r="1944" spans="1:36" ht="13">
      <c r="A1944" s="5" t="str">
        <f ca="1">IFERROR(__xludf.DUMMYFUNCTION("""COMPUTED_VALUE"""),"19881101FLPAJ")</f>
        <v>19881101FLPAJ</v>
      </c>
      <c r="B1944" s="5">
        <f ca="1">IFERROR(__xludf.DUMMYFUNCTION("""COMPUTED_VALUE"""),11)</f>
        <v>11</v>
      </c>
      <c r="C1944" s="5">
        <f ca="1">IFERROR(__xludf.DUMMYFUNCTION("""COMPUTED_VALUE"""),1)</f>
        <v>1</v>
      </c>
      <c r="D1944" s="5">
        <f ca="1">IFERROR(__xludf.DUMMYFUNCTION("""COMPUTED_VALUE"""),1988)</f>
        <v>1988</v>
      </c>
      <c r="E1944" s="8">
        <f ca="1">IFERROR(__xludf.DUMMYFUNCTION("""COMPUTED_VALUE"""),32448)</f>
        <v>32448</v>
      </c>
      <c r="F1944" s="5" t="str">
        <f ca="1">IFERROR(__xludf.DUMMYFUNCTION("""COMPUTED_VALUE"""),"Paxon High School")</f>
        <v>Paxon High School</v>
      </c>
      <c r="G1944" s="5">
        <f ca="1">IFERROR(__xludf.DUMMYFUNCTION("""COMPUTED_VALUE"""),0)</f>
        <v>0</v>
      </c>
      <c r="H1944" s="5">
        <f ca="1">IFERROR(__xludf.DUMMYFUNCTION("""COMPUTED_VALUE"""),0)</f>
        <v>0</v>
      </c>
      <c r="I1944" s="5">
        <f ca="1">IFERROR(__xludf.DUMMYFUNCTION("""COMPUTED_VALUE"""),0)</f>
        <v>0</v>
      </c>
      <c r="J1944" s="5">
        <f ca="1">IFERROR(__xludf.DUMMYFUNCTION("""COMPUTED_VALUE"""),0)</f>
        <v>0</v>
      </c>
      <c r="K1944" s="9" t="str">
        <f ca="1">IFERROR(__xludf.DUMMYFUNCTION("""COMPUTED_VALUE"""),"https://www.newspapers.com/image/177559696/?terms=jacksonville%2Bhigh%2Bschool%2Bshooting")</f>
        <v>https://www.newspapers.com/image/177559696/?terms=jacksonville%2Bhigh%2Bschool%2Bshooting</v>
      </c>
      <c r="L1944" s="5"/>
      <c r="M1944" s="5"/>
      <c r="N1944" s="5">
        <f ca="1">IFERROR(__xludf.DUMMYFUNCTION("""COMPUTED_VALUE"""),2)</f>
        <v>2</v>
      </c>
      <c r="O1944" s="5" t="str">
        <f ca="1">IFERROR(__xludf.DUMMYFUNCTION("""COMPUTED_VALUE"""),"Fall")</f>
        <v>Fall</v>
      </c>
      <c r="P1944" s="5" t="str">
        <f ca="1">IFERROR(__xludf.DUMMYFUNCTION("""COMPUTED_VALUE"""),"Jacksonville")</f>
        <v>Jacksonville</v>
      </c>
      <c r="Q1944" s="5" t="str">
        <f ca="1">IFERROR(__xludf.DUMMYFUNCTION("""COMPUTED_VALUE"""),"FL")</f>
        <v>FL</v>
      </c>
      <c r="R1944" s="5" t="str">
        <f ca="1">IFERROR(__xludf.DUMMYFUNCTION("""COMPUTED_VALUE"""),"High")</f>
        <v>High</v>
      </c>
      <c r="S1944" s="5" t="str">
        <f ca="1">IFERROR(__xludf.DUMMYFUNCTION("""COMPUTED_VALUE"""),"Inside School Building")</f>
        <v>Inside School Building</v>
      </c>
      <c r="T1944" s="5" t="str">
        <f ca="1">IFERROR(__xludf.DUMMYFUNCTION("""COMPUTED_VALUE"""),"Inside School Building")</f>
        <v>Inside School Building</v>
      </c>
      <c r="U1944" s="5" t="str">
        <f ca="1">IFERROR(__xludf.DUMMYFUNCTION("""COMPUTED_VALUE"""),"Yes")</f>
        <v>Yes</v>
      </c>
      <c r="V1944" s="5"/>
      <c r="W1944" s="5"/>
      <c r="X1944" s="5">
        <f ca="1">IFERROR(__xludf.DUMMYFUNCTION("""COMPUTED_VALUE"""),1)</f>
        <v>1</v>
      </c>
      <c r="Y1944" s="5" t="str">
        <f ca="1">IFERROR(__xludf.DUMMYFUNCTION("""COMPUTED_VALUE"""),"Escalation of ongoing argument")</f>
        <v>Escalation of ongoing argument</v>
      </c>
      <c r="Z1944" s="5" t="str">
        <f ca="1">IFERROR(__xludf.DUMMYFUNCTION("""COMPUTED_VALUE"""),"15 year old shooter charged with possession of firearm and aggravated assault after firing two shots from his .25 caliber handgun. Shooter was pulled out of a fight by 18 year old victim, after which shooter pulled gun from pants and shot at victim.")</f>
        <v>15 year old shooter charged with possession of firearm and aggravated assault after firing two shots from his .25 caliber handgun. Shooter was pulled out of a fight by 18 year old victim, after which shooter pulled gun from pants and shot at victim.</v>
      </c>
      <c r="AA1944" s="5" t="str">
        <f ca="1">IFERROR(__xludf.DUMMYFUNCTION("""COMPUTED_VALUE"""),"Escalation of Dispute")</f>
        <v>Escalation of Dispute</v>
      </c>
      <c r="AB1944" s="5" t="str">
        <f ca="1">IFERROR(__xludf.DUMMYFUNCTION("""COMPUTED_VALUE"""),"Victims Targeted")</f>
        <v>Victims Targeted</v>
      </c>
      <c r="AC1944" s="5" t="str">
        <f ca="1">IFERROR(__xludf.DUMMYFUNCTION("""COMPUTED_VALUE"""),"No")</f>
        <v>No</v>
      </c>
      <c r="AD1944" s="5" t="str">
        <f ca="1">IFERROR(__xludf.DUMMYFUNCTION("""COMPUTED_VALUE"""),"No")</f>
        <v>No</v>
      </c>
      <c r="AE1944" s="5" t="str">
        <f ca="1">IFERROR(__xludf.DUMMYFUNCTION("""COMPUTED_VALUE"""),"No")</f>
        <v>No</v>
      </c>
      <c r="AF1944" s="5" t="str">
        <f ca="1">IFERROR(__xludf.DUMMYFUNCTION("""COMPUTED_VALUE"""),"No")</f>
        <v>No</v>
      </c>
      <c r="AG1944" s="5"/>
      <c r="AH1944" s="5"/>
      <c r="AI1944" s="5" t="str">
        <f ca="1">IFERROR(__xludf.DUMMYFUNCTION("""COMPUTED_VALUE"""),"No")</f>
        <v>No</v>
      </c>
      <c r="AJ1944" s="5"/>
    </row>
    <row r="1945" spans="1:36" ht="13">
      <c r="A1945" s="5" t="str">
        <f ca="1">IFERROR(__xludf.DUMMYFUNCTION("""COMPUTED_VALUE"""),"19881007TXDIP")</f>
        <v>19881007TXDIP</v>
      </c>
      <c r="B1945" s="5">
        <f ca="1">IFERROR(__xludf.DUMMYFUNCTION("""COMPUTED_VALUE"""),10)</f>
        <v>10</v>
      </c>
      <c r="C1945" s="5">
        <f ca="1">IFERROR(__xludf.DUMMYFUNCTION("""COMPUTED_VALUE"""),7)</f>
        <v>7</v>
      </c>
      <c r="D1945" s="5">
        <f ca="1">IFERROR(__xludf.DUMMYFUNCTION("""COMPUTED_VALUE"""),1988)</f>
        <v>1988</v>
      </c>
      <c r="E1945" s="8">
        <f ca="1">IFERROR(__xludf.DUMMYFUNCTION("""COMPUTED_VALUE"""),32423)</f>
        <v>32423</v>
      </c>
      <c r="F1945" s="5" t="str">
        <f ca="1">IFERROR(__xludf.DUMMYFUNCTION("""COMPUTED_VALUE"""),"Dick Dowling Elementary School")</f>
        <v>Dick Dowling Elementary School</v>
      </c>
      <c r="G1945" s="5">
        <f ca="1">IFERROR(__xludf.DUMMYFUNCTION("""COMPUTED_VALUE"""),0)</f>
        <v>0</v>
      </c>
      <c r="H1945" s="5">
        <f ca="1">IFERROR(__xludf.DUMMYFUNCTION("""COMPUTED_VALUE"""),1)</f>
        <v>1</v>
      </c>
      <c r="I1945" s="5">
        <f ca="1">IFERROR(__xludf.DUMMYFUNCTION("""COMPUTED_VALUE"""),1)</f>
        <v>1</v>
      </c>
      <c r="J1945" s="5">
        <f ca="1">IFERROR(__xludf.DUMMYFUNCTION("""COMPUTED_VALUE"""),0)</f>
        <v>0</v>
      </c>
      <c r="K1945" s="5" t="str">
        <f ca="1">IFERROR(__xludf.DUMMYFUNCTION("""COMPUTED_VALUE"""),"https://www.newspapers.com/image/353952540/?terms=port%2Barthur; https://www.newspapers.com/image/364054210/?terms=port%2Barthur")</f>
        <v>https://www.newspapers.com/image/353952540/?terms=port%2Barthur; https://www.newspapers.com/image/364054210/?terms=port%2Barthur</v>
      </c>
      <c r="L1945" s="5"/>
      <c r="M1945" s="5"/>
      <c r="N1945" s="5">
        <f ca="1">IFERROR(__xludf.DUMMYFUNCTION("""COMPUTED_VALUE"""),3)</f>
        <v>3</v>
      </c>
      <c r="O1945" s="5" t="str">
        <f ca="1">IFERROR(__xludf.DUMMYFUNCTION("""COMPUTED_VALUE"""),"Fall")</f>
        <v>Fall</v>
      </c>
      <c r="P1945" s="5" t="str">
        <f ca="1">IFERROR(__xludf.DUMMYFUNCTION("""COMPUTED_VALUE"""),"Port Arthur")</f>
        <v>Port Arthur</v>
      </c>
      <c r="Q1945" s="5" t="str">
        <f ca="1">IFERROR(__xludf.DUMMYFUNCTION("""COMPUTED_VALUE"""),"TX")</f>
        <v>TX</v>
      </c>
      <c r="R1945" s="5" t="str">
        <f ca="1">IFERROR(__xludf.DUMMYFUNCTION("""COMPUTED_VALUE"""),"Elementary")</f>
        <v>Elementary</v>
      </c>
      <c r="S1945" s="5" t="str">
        <f ca="1">IFERROR(__xludf.DUMMYFUNCTION("""COMPUTED_VALUE"""),"School Bus")</f>
        <v>School Bus</v>
      </c>
      <c r="T1945" s="5" t="str">
        <f ca="1">IFERROR(__xludf.DUMMYFUNCTION("""COMPUTED_VALUE"""),"School Bus")</f>
        <v>School Bus</v>
      </c>
      <c r="U1945" s="5" t="str">
        <f ca="1">IFERROR(__xludf.DUMMYFUNCTION("""COMPUTED_VALUE"""),"Yes")</f>
        <v>Yes</v>
      </c>
      <c r="V1945" s="5" t="str">
        <f ca="1">IFERROR(__xludf.DUMMYFUNCTION("""COMPUTED_VALUE"""),"Before School")</f>
        <v>Before School</v>
      </c>
      <c r="W1945" s="10">
        <f ca="1">IFERROR(__xludf.DUMMYFUNCTION("""COMPUTED_VALUE"""),0.347222222222222)</f>
        <v>0.34722222222222199</v>
      </c>
      <c r="X1945" s="5">
        <f ca="1">IFERROR(__xludf.DUMMYFUNCTION("""COMPUTED_VALUE"""),1)</f>
        <v>1</v>
      </c>
      <c r="Y1945" s="5" t="str">
        <f ca="1">IFERROR(__xludf.DUMMYFUNCTION("""COMPUTED_VALUE"""),"Shot bus driver in back of head during trip to school")</f>
        <v>Shot bus driver in back of head during trip to school</v>
      </c>
      <c r="Z1945" s="5" t="str">
        <f ca="1">IFERROR(__xludf.DUMMYFUNCTION("""COMPUTED_VALUE"""),"Shooter missed bus earlier that day but was later picked up by bus driver. On way to school, shooter shot bus driver in back of head then left gun and bike in bus. Shooter walked to his grandparents' house where he was found by police.")</f>
        <v>Shooter missed bus earlier that day but was later picked up by bus driver. On way to school, shooter shot bus driver in back of head then left gun and bike in bus. Shooter walked to his grandparents' house where he was found by police.</v>
      </c>
      <c r="AA1945" s="5" t="str">
        <f ca="1">IFERROR(__xludf.DUMMYFUNCTION("""COMPUTED_VALUE"""),"Unknown")</f>
        <v>Unknown</v>
      </c>
      <c r="AB1945" s="5" t="str">
        <f ca="1">IFERROR(__xludf.DUMMYFUNCTION("""COMPUTED_VALUE"""),"Victims Targeted")</f>
        <v>Victims Targeted</v>
      </c>
      <c r="AC1945" s="5" t="str">
        <f ca="1">IFERROR(__xludf.DUMMYFUNCTION("""COMPUTED_VALUE"""),"No")</f>
        <v>No</v>
      </c>
      <c r="AD1945" s="5" t="str">
        <f ca="1">IFERROR(__xludf.DUMMYFUNCTION("""COMPUTED_VALUE"""),"No")</f>
        <v>No</v>
      </c>
      <c r="AE1945" s="5" t="str">
        <f ca="1">IFERROR(__xludf.DUMMYFUNCTION("""COMPUTED_VALUE"""),"No")</f>
        <v>No</v>
      </c>
      <c r="AF1945" s="5" t="str">
        <f ca="1">IFERROR(__xludf.DUMMYFUNCTION("""COMPUTED_VALUE"""),"No")</f>
        <v>No</v>
      </c>
      <c r="AG1945" s="5" t="str">
        <f ca="1">IFERROR(__xludf.DUMMYFUNCTION("""COMPUTED_VALUE"""),"No")</f>
        <v>No</v>
      </c>
      <c r="AH1945" s="5" t="str">
        <f ca="1">IFERROR(__xludf.DUMMYFUNCTION("""COMPUTED_VALUE"""),"No")</f>
        <v>No</v>
      </c>
      <c r="AI1945" s="5" t="str">
        <f ca="1">IFERROR(__xludf.DUMMYFUNCTION("""COMPUTED_VALUE"""),"No")</f>
        <v>No</v>
      </c>
      <c r="AJ1945" s="5"/>
    </row>
    <row r="1946" spans="1:36" ht="13">
      <c r="A1946" s="5" t="str">
        <f ca="1">IFERROR(__xludf.DUMMYFUNCTION("""COMPUTED_VALUE"""),"19881007MDSOB")</f>
        <v>19881007MDSOB</v>
      </c>
      <c r="B1946" s="5">
        <f ca="1">IFERROR(__xludf.DUMMYFUNCTION("""COMPUTED_VALUE"""),10)</f>
        <v>10</v>
      </c>
      <c r="C1946" s="5">
        <f ca="1">IFERROR(__xludf.DUMMYFUNCTION("""COMPUTED_VALUE"""),7)</f>
        <v>7</v>
      </c>
      <c r="D1946" s="5">
        <f ca="1">IFERROR(__xludf.DUMMYFUNCTION("""COMPUTED_VALUE"""),1988)</f>
        <v>1988</v>
      </c>
      <c r="E1946" s="8">
        <f ca="1">IFERROR(__xludf.DUMMYFUNCTION("""COMPUTED_VALUE"""),32423)</f>
        <v>32423</v>
      </c>
      <c r="F1946" s="5" t="str">
        <f ca="1">IFERROR(__xludf.DUMMYFUNCTION("""COMPUTED_VALUE"""),"Southwestern Senior High School")</f>
        <v>Southwestern Senior High School</v>
      </c>
      <c r="G1946" s="5">
        <f ca="1">IFERROR(__xludf.DUMMYFUNCTION("""COMPUTED_VALUE"""),0)</f>
        <v>0</v>
      </c>
      <c r="H1946" s="5">
        <f ca="1">IFERROR(__xludf.DUMMYFUNCTION("""COMPUTED_VALUE"""),1)</f>
        <v>1</v>
      </c>
      <c r="I1946" s="5">
        <f ca="1">IFERROR(__xludf.DUMMYFUNCTION("""COMPUTED_VALUE"""),1)</f>
        <v>1</v>
      </c>
      <c r="J1946" s="5">
        <f ca="1">IFERROR(__xludf.DUMMYFUNCTION("""COMPUTED_VALUE"""),0)</f>
        <v>0</v>
      </c>
      <c r="K1946" s="5" t="str">
        <f ca="1">IFERROR(__xludf.DUMMYFUNCTION("""COMPUTED_VALUE"""),"https://www.newspapers.com/image/373276076/?terms=JAMES%2BGROOMES; https://www.newspapers.com/image/373280521/?terms=JAMES%2BGROOMES; https://www.newspapers.com/image/373281852/?terms=4th%2Bshooting%2Bincident%2Bat%2Bschools")</f>
        <v>https://www.newspapers.com/image/373276076/?terms=JAMES%2BGROOMES; https://www.newspapers.com/image/373280521/?terms=JAMES%2BGROOMES; https://www.newspapers.com/image/373281852/?terms=4th%2Bshooting%2Bincident%2Bat%2Bschools</v>
      </c>
      <c r="L1946" s="5"/>
      <c r="M1946" s="5"/>
      <c r="N1946" s="5">
        <f ca="1">IFERROR(__xludf.DUMMYFUNCTION("""COMPUTED_VALUE"""),3)</f>
        <v>3</v>
      </c>
      <c r="O1946" s="5" t="str">
        <f ca="1">IFERROR(__xludf.DUMMYFUNCTION("""COMPUTED_VALUE"""),"Fall")</f>
        <v>Fall</v>
      </c>
      <c r="P1946" s="5" t="str">
        <f ca="1">IFERROR(__xludf.DUMMYFUNCTION("""COMPUTED_VALUE"""),"Baltimore")</f>
        <v>Baltimore</v>
      </c>
      <c r="Q1946" s="5" t="str">
        <f ca="1">IFERROR(__xludf.DUMMYFUNCTION("""COMPUTED_VALUE"""),"MD")</f>
        <v>MD</v>
      </c>
      <c r="R1946" s="5" t="str">
        <f ca="1">IFERROR(__xludf.DUMMYFUNCTION("""COMPUTED_VALUE"""),"High")</f>
        <v>High</v>
      </c>
      <c r="S1946" s="5" t="str">
        <f ca="1">IFERROR(__xludf.DUMMYFUNCTION("""COMPUTED_VALUE"""),"Inside School Building")</f>
        <v>Inside School Building</v>
      </c>
      <c r="T1946" s="5" t="str">
        <f ca="1">IFERROR(__xludf.DUMMYFUNCTION("""COMPUTED_VALUE"""),"Inside School Building")</f>
        <v>Inside School Building</v>
      </c>
      <c r="U1946" s="5" t="str">
        <f ca="1">IFERROR(__xludf.DUMMYFUNCTION("""COMPUTED_VALUE"""),"Yes")</f>
        <v>Yes</v>
      </c>
      <c r="V1946" s="5"/>
      <c r="W1946" s="5"/>
      <c r="X1946" s="5">
        <f ca="1">IFERROR(__xludf.DUMMYFUNCTION("""COMPUTED_VALUE"""),1)</f>
        <v>1</v>
      </c>
      <c r="Y1946" s="5" t="str">
        <f ca="1">IFERROR(__xludf.DUMMYFUNCTION("""COMPUTED_VALUE"""),"Escalation of gang related dispute - victim accidentally shot - not intended target, but reports conflict")</f>
        <v>Escalation of gang related dispute - victim accidentally shot - not intended target, but reports conflict</v>
      </c>
      <c r="Z1946" s="5" t="str">
        <f ca="1">IFERROR(__xludf.DUMMYFUNCTION("""COMPUTED_VALUE"""),"On going gang related tension - Victim was not intended target - conflicting reports")</f>
        <v>On going gang related tension - Victim was not intended target - conflicting reports</v>
      </c>
      <c r="AA1946" s="5" t="str">
        <f ca="1">IFERROR(__xludf.DUMMYFUNCTION("""COMPUTED_VALUE"""),"Escalation of Dispute")</f>
        <v>Escalation of Dispute</v>
      </c>
      <c r="AB1946" s="5" t="str">
        <f ca="1">IFERROR(__xludf.DUMMYFUNCTION("""COMPUTED_VALUE"""),"Random Shooting")</f>
        <v>Random Shooting</v>
      </c>
      <c r="AC1946" s="5" t="str">
        <f ca="1">IFERROR(__xludf.DUMMYFUNCTION("""COMPUTED_VALUE"""),"Yes")</f>
        <v>Yes</v>
      </c>
      <c r="AD1946" s="5" t="str">
        <f ca="1">IFERROR(__xludf.DUMMYFUNCTION("""COMPUTED_VALUE"""),"No")</f>
        <v>No</v>
      </c>
      <c r="AE1946" s="5" t="str">
        <f ca="1">IFERROR(__xludf.DUMMYFUNCTION("""COMPUTED_VALUE"""),"No")</f>
        <v>No</v>
      </c>
      <c r="AF1946" s="5" t="str">
        <f ca="1">IFERROR(__xludf.DUMMYFUNCTION("""COMPUTED_VALUE"""),"No")</f>
        <v>No</v>
      </c>
      <c r="AG1946" s="5" t="str">
        <f ca="1">IFERROR(__xludf.DUMMYFUNCTION("""COMPUTED_VALUE"""),"No")</f>
        <v>No</v>
      </c>
      <c r="AH1946" s="5" t="str">
        <f ca="1">IFERROR(__xludf.DUMMYFUNCTION("""COMPUTED_VALUE"""),"No")</f>
        <v>No</v>
      </c>
      <c r="AI1946" s="5" t="str">
        <f ca="1">IFERROR(__xludf.DUMMYFUNCTION("""COMPUTED_VALUE"""),"Yes")</f>
        <v>Yes</v>
      </c>
      <c r="AJ1946" s="5"/>
    </row>
    <row r="1947" spans="1:36" ht="13">
      <c r="A1947" s="5" t="str">
        <f ca="1">IFERROR(__xludf.DUMMYFUNCTION("""COMPUTED_VALUE"""),"19881006ALMOM")</f>
        <v>19881006ALMOM</v>
      </c>
      <c r="B1947" s="5">
        <f ca="1">IFERROR(__xludf.DUMMYFUNCTION("""COMPUTED_VALUE"""),10)</f>
        <v>10</v>
      </c>
      <c r="C1947" s="5">
        <f ca="1">IFERROR(__xludf.DUMMYFUNCTION("""COMPUTED_VALUE"""),6)</f>
        <v>6</v>
      </c>
      <c r="D1947" s="5">
        <f ca="1">IFERROR(__xludf.DUMMYFUNCTION("""COMPUTED_VALUE"""),1988)</f>
        <v>1988</v>
      </c>
      <c r="E1947" s="8">
        <f ca="1">IFERROR(__xludf.DUMMYFUNCTION("""COMPUTED_VALUE"""),32422)</f>
        <v>32422</v>
      </c>
      <c r="F1947" s="5" t="str">
        <f ca="1">IFERROR(__xludf.DUMMYFUNCTION("""COMPUTED_VALUE"""),"Most Pure Heart of Mary School")</f>
        <v>Most Pure Heart of Mary School</v>
      </c>
      <c r="G1947" s="5">
        <f ca="1">IFERROR(__xludf.DUMMYFUNCTION("""COMPUTED_VALUE"""),0)</f>
        <v>0</v>
      </c>
      <c r="H1947" s="5">
        <f ca="1">IFERROR(__xludf.DUMMYFUNCTION("""COMPUTED_VALUE"""),1)</f>
        <v>1</v>
      </c>
      <c r="I1947" s="5">
        <f ca="1">IFERROR(__xludf.DUMMYFUNCTION("""COMPUTED_VALUE"""),1)</f>
        <v>1</v>
      </c>
      <c r="J1947" s="5">
        <f ca="1">IFERROR(__xludf.DUMMYFUNCTION("""COMPUTED_VALUE"""),0)</f>
        <v>0</v>
      </c>
      <c r="K1947" s="9" t="str">
        <f ca="1">IFERROR(__xludf.DUMMYFUNCTION("""COMPUTED_VALUE"""),"https://www.newspapers.com/image/200956524/?terms=arilyn%2Bjean%2BLelande")</f>
        <v>https://www.newspapers.com/image/200956524/?terms=arilyn%2Bjean%2BLelande</v>
      </c>
      <c r="L1947" s="5"/>
      <c r="M1947" s="5"/>
      <c r="N1947" s="5">
        <f ca="1">IFERROR(__xludf.DUMMYFUNCTION("""COMPUTED_VALUE"""),2)</f>
        <v>2</v>
      </c>
      <c r="O1947" s="5" t="str">
        <f ca="1">IFERROR(__xludf.DUMMYFUNCTION("""COMPUTED_VALUE"""),"Fall")</f>
        <v>Fall</v>
      </c>
      <c r="P1947" s="5" t="str">
        <f ca="1">IFERROR(__xludf.DUMMYFUNCTION("""COMPUTED_VALUE"""),"Mobile")</f>
        <v>Mobile</v>
      </c>
      <c r="Q1947" s="5" t="str">
        <f ca="1">IFERROR(__xludf.DUMMYFUNCTION("""COMPUTED_VALUE"""),"AL")</f>
        <v>AL</v>
      </c>
      <c r="R1947" s="5" t="str">
        <f ca="1">IFERROR(__xludf.DUMMYFUNCTION("""COMPUTED_VALUE"""),"Elementary")</f>
        <v>Elementary</v>
      </c>
      <c r="S1947" s="5" t="str">
        <f ca="1">IFERROR(__xludf.DUMMYFUNCTION("""COMPUTED_VALUE"""),"Classroom")</f>
        <v>Classroom</v>
      </c>
      <c r="T1947" s="5" t="str">
        <f ca="1">IFERROR(__xludf.DUMMYFUNCTION("""COMPUTED_VALUE"""),"Inside School Building")</f>
        <v>Inside School Building</v>
      </c>
      <c r="U1947" s="5" t="str">
        <f ca="1">IFERROR(__xludf.DUMMYFUNCTION("""COMPUTED_VALUE"""),"Yes")</f>
        <v>Yes</v>
      </c>
      <c r="V1947" s="5"/>
      <c r="W1947" s="5"/>
      <c r="X1947" s="5">
        <f ca="1">IFERROR(__xludf.DUMMYFUNCTION("""COMPUTED_VALUE"""),1)</f>
        <v>1</v>
      </c>
      <c r="Y1947" s="5" t="str">
        <f ca="1">IFERROR(__xludf.DUMMYFUNCTION("""COMPUTED_VALUE"""),"Shot sister in class over dispute about money")</f>
        <v>Shot sister in class over dispute about money</v>
      </c>
      <c r="Z1947" s="5" t="str">
        <f ca="1">IFERROR(__xludf.DUMMYFUNCTION("""COMPUTED_VALUE"""),"Ongoing family dispute between sisters - Shooter walked into sister's class, told children to get back, yelled ""I want my money, then shot at sister several times hitting her once in stomach.")</f>
        <v>Ongoing family dispute between sisters - Shooter walked into sister's class, told children to get back, yelled "I want my money, then shot at sister several times hitting her once in stomach.</v>
      </c>
      <c r="AA1947" s="5" t="str">
        <f ca="1">IFERROR(__xludf.DUMMYFUNCTION("""COMPUTED_VALUE"""),"Domestic w/ Targeted Victim")</f>
        <v>Domestic w/ Targeted Victim</v>
      </c>
      <c r="AB1947" s="5" t="str">
        <f ca="1">IFERROR(__xludf.DUMMYFUNCTION("""COMPUTED_VALUE"""),"Victims Targeted")</f>
        <v>Victims Targeted</v>
      </c>
      <c r="AC1947" s="5" t="str">
        <f ca="1">IFERROR(__xludf.DUMMYFUNCTION("""COMPUTED_VALUE"""),"No")</f>
        <v>No</v>
      </c>
      <c r="AD1947" s="5" t="str">
        <f ca="1">IFERROR(__xludf.DUMMYFUNCTION("""COMPUTED_VALUE"""),"No")</f>
        <v>No</v>
      </c>
      <c r="AE1947" s="5" t="str">
        <f ca="1">IFERROR(__xludf.DUMMYFUNCTION("""COMPUTED_VALUE"""),"No")</f>
        <v>No</v>
      </c>
      <c r="AF1947" s="5" t="str">
        <f ca="1">IFERROR(__xludf.DUMMYFUNCTION("""COMPUTED_VALUE"""),"No")</f>
        <v>No</v>
      </c>
      <c r="AG1947" s="5" t="str">
        <f ca="1">IFERROR(__xludf.DUMMYFUNCTION("""COMPUTED_VALUE"""),"No")</f>
        <v>No</v>
      </c>
      <c r="AH1947" s="5" t="str">
        <f ca="1">IFERROR(__xludf.DUMMYFUNCTION("""COMPUTED_VALUE"""),"Yes")</f>
        <v>Yes</v>
      </c>
      <c r="AI1947" s="5" t="str">
        <f ca="1">IFERROR(__xludf.DUMMYFUNCTION("""COMPUTED_VALUE"""),"No")</f>
        <v>No</v>
      </c>
      <c r="AJ1947" s="5"/>
    </row>
    <row r="1948" spans="1:36" ht="13">
      <c r="A1948" s="5" t="str">
        <f ca="1">IFERROR(__xludf.DUMMYFUNCTION("""COMPUTED_VALUE"""),"19881005MDEDB")</f>
        <v>19881005MDEDB</v>
      </c>
      <c r="B1948" s="5">
        <f ca="1">IFERROR(__xludf.DUMMYFUNCTION("""COMPUTED_VALUE"""),10)</f>
        <v>10</v>
      </c>
      <c r="C1948" s="5">
        <f ca="1">IFERROR(__xludf.DUMMYFUNCTION("""COMPUTED_VALUE"""),5)</f>
        <v>5</v>
      </c>
      <c r="D1948" s="5">
        <f ca="1">IFERROR(__xludf.DUMMYFUNCTION("""COMPUTED_VALUE"""),1988)</f>
        <v>1988</v>
      </c>
      <c r="E1948" s="8">
        <f ca="1">IFERROR(__xludf.DUMMYFUNCTION("""COMPUTED_VALUE"""),32421)</f>
        <v>32421</v>
      </c>
      <c r="F1948" s="5" t="str">
        <f ca="1">IFERROR(__xludf.DUMMYFUNCTION("""COMPUTED_VALUE"""),"Edmondson Westside Senior High School")</f>
        <v>Edmondson Westside Senior High School</v>
      </c>
      <c r="G1948" s="5">
        <f ca="1">IFERROR(__xludf.DUMMYFUNCTION("""COMPUTED_VALUE"""),0)</f>
        <v>0</v>
      </c>
      <c r="H1948" s="5">
        <f ca="1">IFERROR(__xludf.DUMMYFUNCTION("""COMPUTED_VALUE"""),1)</f>
        <v>1</v>
      </c>
      <c r="I1948" s="5">
        <f ca="1">IFERROR(__xludf.DUMMYFUNCTION("""COMPUTED_VALUE"""),1)</f>
        <v>1</v>
      </c>
      <c r="J1948" s="5">
        <f ca="1">IFERROR(__xludf.DUMMYFUNCTION("""COMPUTED_VALUE"""),0)</f>
        <v>0</v>
      </c>
      <c r="K1948" s="9" t="str">
        <f ca="1">IFERROR(__xludf.DUMMYFUNCTION("""COMPUTED_VALUE"""),"https://www.newspapers.com/image/378123968/?terms=anita%2Bmoore")</f>
        <v>https://www.newspapers.com/image/378123968/?terms=anita%2Bmoore</v>
      </c>
      <c r="L1948" s="5"/>
      <c r="M1948" s="5"/>
      <c r="N1948" s="5">
        <f ca="1">IFERROR(__xludf.DUMMYFUNCTION("""COMPUTED_VALUE"""),2)</f>
        <v>2</v>
      </c>
      <c r="O1948" s="5" t="str">
        <f ca="1">IFERROR(__xludf.DUMMYFUNCTION("""COMPUTED_VALUE"""),"Fall")</f>
        <v>Fall</v>
      </c>
      <c r="P1948" s="5" t="str">
        <f ca="1">IFERROR(__xludf.DUMMYFUNCTION("""COMPUTED_VALUE"""),"Baltimore")</f>
        <v>Baltimore</v>
      </c>
      <c r="Q1948" s="5" t="str">
        <f ca="1">IFERROR(__xludf.DUMMYFUNCTION("""COMPUTED_VALUE"""),"MD")</f>
        <v>MD</v>
      </c>
      <c r="R1948" s="5" t="str">
        <f ca="1">IFERROR(__xludf.DUMMYFUNCTION("""COMPUTED_VALUE"""),"High")</f>
        <v>High</v>
      </c>
      <c r="S1948" s="5" t="str">
        <f ca="1">IFERROR(__xludf.DUMMYFUNCTION("""COMPUTED_VALUE"""),"Inside School Building")</f>
        <v>Inside School Building</v>
      </c>
      <c r="T1948" s="5" t="str">
        <f ca="1">IFERROR(__xludf.DUMMYFUNCTION("""COMPUTED_VALUE"""),"Inside School Building")</f>
        <v>Inside School Building</v>
      </c>
      <c r="U1948" s="5" t="str">
        <f ca="1">IFERROR(__xludf.DUMMYFUNCTION("""COMPUTED_VALUE"""),"Yes")</f>
        <v>Yes</v>
      </c>
      <c r="V1948" s="5" t="str">
        <f ca="1">IFERROR(__xludf.DUMMYFUNCTION("""COMPUTED_VALUE"""),"Lunch")</f>
        <v>Lunch</v>
      </c>
      <c r="W1948" s="10">
        <f ca="1">IFERROR(__xludf.DUMMYFUNCTION("""COMPUTED_VALUE"""),0.5)</f>
        <v>0.5</v>
      </c>
      <c r="X1948" s="5">
        <f ca="1">IFERROR(__xludf.DUMMYFUNCTION("""COMPUTED_VALUE"""),1)</f>
        <v>1</v>
      </c>
      <c r="Y1948" s="5" t="str">
        <f ca="1">IFERROR(__xludf.DUMMYFUNCTION("""COMPUTED_VALUE"""),"Victim was innocent bystander during argument between two boys in which shots were fired")</f>
        <v>Victim was innocent bystander during argument between two boys in which shots were fired</v>
      </c>
      <c r="Z1948" s="5" t="str">
        <f ca="1">IFERROR(__xludf.DUMMYFUNCTION("""COMPUTED_VALUE"""),"Victim hit after fight between two boys erupted into gun fire")</f>
        <v>Victim hit after fight between two boys erupted into gun fire</v>
      </c>
      <c r="AA1948" s="5" t="str">
        <f ca="1">IFERROR(__xludf.DUMMYFUNCTION("""COMPUTED_VALUE"""),"Escalation of Dispute")</f>
        <v>Escalation of Dispute</v>
      </c>
      <c r="AB1948" s="5" t="str">
        <f ca="1">IFERROR(__xludf.DUMMYFUNCTION("""COMPUTED_VALUE"""),"Random Shooting")</f>
        <v>Random Shooting</v>
      </c>
      <c r="AC1948" s="5" t="str">
        <f ca="1">IFERROR(__xludf.DUMMYFUNCTION("""COMPUTED_VALUE"""),"No")</f>
        <v>No</v>
      </c>
      <c r="AD1948" s="5" t="str">
        <f ca="1">IFERROR(__xludf.DUMMYFUNCTION("""COMPUTED_VALUE"""),"No")</f>
        <v>No</v>
      </c>
      <c r="AE1948" s="5" t="str">
        <f ca="1">IFERROR(__xludf.DUMMYFUNCTION("""COMPUTED_VALUE"""),"No")</f>
        <v>No</v>
      </c>
      <c r="AF1948" s="5" t="str">
        <f ca="1">IFERROR(__xludf.DUMMYFUNCTION("""COMPUTED_VALUE"""),"No")</f>
        <v>No</v>
      </c>
      <c r="AG1948" s="5" t="str">
        <f ca="1">IFERROR(__xludf.DUMMYFUNCTION("""COMPUTED_VALUE"""),"No")</f>
        <v>No</v>
      </c>
      <c r="AH1948" s="5" t="str">
        <f ca="1">IFERROR(__xludf.DUMMYFUNCTION("""COMPUTED_VALUE"""),"No")</f>
        <v>No</v>
      </c>
      <c r="AI1948" s="5" t="str">
        <f ca="1">IFERROR(__xludf.DUMMYFUNCTION("""COMPUTED_VALUE"""),"No")</f>
        <v>No</v>
      </c>
      <c r="AJ1948" s="5"/>
    </row>
    <row r="1949" spans="1:36" ht="13">
      <c r="A1949" s="5" t="str">
        <f ca="1">IFERROR(__xludf.DUMMYFUNCTION("""COMPUTED_VALUE"""),"19881004FLJEJ")</f>
        <v>19881004FLJEJ</v>
      </c>
      <c r="B1949" s="5">
        <f ca="1">IFERROR(__xludf.DUMMYFUNCTION("""COMPUTED_VALUE"""),10)</f>
        <v>10</v>
      </c>
      <c r="C1949" s="5">
        <f ca="1">IFERROR(__xludf.DUMMYFUNCTION("""COMPUTED_VALUE"""),4)</f>
        <v>4</v>
      </c>
      <c r="D1949" s="5">
        <f ca="1">IFERROR(__xludf.DUMMYFUNCTION("""COMPUTED_VALUE"""),1988)</f>
        <v>1988</v>
      </c>
      <c r="E1949" s="8">
        <f ca="1">IFERROR(__xludf.DUMMYFUNCTION("""COMPUTED_VALUE"""),32420)</f>
        <v>32420</v>
      </c>
      <c r="F1949" s="5" t="str">
        <f ca="1">IFERROR(__xludf.DUMMYFUNCTION("""COMPUTED_VALUE"""),"J E B Stuart Junior High School (bus)")</f>
        <v>J E B Stuart Junior High School (bus)</v>
      </c>
      <c r="G1949" s="5">
        <f ca="1">IFERROR(__xludf.DUMMYFUNCTION("""COMPUTED_VALUE"""),0)</f>
        <v>0</v>
      </c>
      <c r="H1949" s="5">
        <f ca="1">IFERROR(__xludf.DUMMYFUNCTION("""COMPUTED_VALUE"""),5)</f>
        <v>5</v>
      </c>
      <c r="I1949" s="5">
        <f ca="1">IFERROR(__xludf.DUMMYFUNCTION("""COMPUTED_VALUE"""),5)</f>
        <v>5</v>
      </c>
      <c r="J1949" s="5">
        <f ca="1">IFERROR(__xludf.DUMMYFUNCTION("""COMPUTED_VALUE"""),0)</f>
        <v>0</v>
      </c>
      <c r="K1949" s="9" t="str">
        <f ca="1">IFERROR(__xludf.DUMMYFUNCTION("""COMPUTED_VALUE"""),"https://www.newspapers.com/image/229988989/?terms=J.%2BE.%2BB.%2BStuart%2BJunior%2BHigh%2BSchool%2Bbus%2Bshooting")</f>
        <v>https://www.newspapers.com/image/229988989/?terms=J.%2BE.%2BB.%2BStuart%2BJunior%2BHigh%2BSchool%2Bbus%2Bshooting</v>
      </c>
      <c r="L1949" s="5"/>
      <c r="M1949" s="5"/>
      <c r="N1949" s="5">
        <f ca="1">IFERROR(__xludf.DUMMYFUNCTION("""COMPUTED_VALUE"""),2)</f>
        <v>2</v>
      </c>
      <c r="O1949" s="5" t="str">
        <f ca="1">IFERROR(__xludf.DUMMYFUNCTION("""COMPUTED_VALUE"""),"Fall")</f>
        <v>Fall</v>
      </c>
      <c r="P1949" s="5" t="str">
        <f ca="1">IFERROR(__xludf.DUMMYFUNCTION("""COMPUTED_VALUE"""),"Jacksonville")</f>
        <v>Jacksonville</v>
      </c>
      <c r="Q1949" s="5" t="str">
        <f ca="1">IFERROR(__xludf.DUMMYFUNCTION("""COMPUTED_VALUE"""),"FL")</f>
        <v>FL</v>
      </c>
      <c r="R1949" s="5" t="str">
        <f ca="1">IFERROR(__xludf.DUMMYFUNCTION("""COMPUTED_VALUE"""),"Junior High")</f>
        <v>Junior High</v>
      </c>
      <c r="S1949" s="5" t="str">
        <f ca="1">IFERROR(__xludf.DUMMYFUNCTION("""COMPUTED_VALUE"""),"School Bus")</f>
        <v>School Bus</v>
      </c>
      <c r="T1949" s="5" t="str">
        <f ca="1">IFERROR(__xludf.DUMMYFUNCTION("""COMPUTED_VALUE"""),"School Bus")</f>
        <v>School Bus</v>
      </c>
      <c r="U1949" s="5" t="str">
        <f ca="1">IFERROR(__xludf.DUMMYFUNCTION("""COMPUTED_VALUE"""),"No")</f>
        <v>No</v>
      </c>
      <c r="V1949" s="5" t="str">
        <f ca="1">IFERROR(__xludf.DUMMYFUNCTION("""COMPUTED_VALUE"""),"Sport Event")</f>
        <v>Sport Event</v>
      </c>
      <c r="W1949" s="5"/>
      <c r="X1949" s="5">
        <f ca="1">IFERROR(__xludf.DUMMYFUNCTION("""COMPUTED_VALUE"""),1)</f>
        <v>1</v>
      </c>
      <c r="Y1949" s="5" t="str">
        <f ca="1">IFERROR(__xludf.DUMMYFUNCTION("""COMPUTED_VALUE"""),"Shots fired a bus after football game")</f>
        <v>Shots fired a bus after football game</v>
      </c>
      <c r="Z1949" s="5" t="str">
        <f ca="1">IFERROR(__xludf.DUMMYFUNCTION("""COMPUTED_VALUE"""),"40 staff and students were on a school bus leaving a football game. Shots were fired at the bus injuring 5 students.")</f>
        <v>40 staff and students were on a school bus leaving a football game. Shots were fired at the bus injuring 5 students.</v>
      </c>
      <c r="AA1949" s="5" t="str">
        <f ca="1">IFERROR(__xludf.DUMMYFUNCTION("""COMPUTED_VALUE"""),"Indiscriminate Shooting")</f>
        <v>Indiscriminate Shooting</v>
      </c>
      <c r="AB1949" s="5" t="str">
        <f ca="1">IFERROR(__xludf.DUMMYFUNCTION("""COMPUTED_VALUE"""),"Both")</f>
        <v>Both</v>
      </c>
      <c r="AC1949" s="5" t="str">
        <f ca="1">IFERROR(__xludf.DUMMYFUNCTION("""COMPUTED_VALUE"""),"No")</f>
        <v>No</v>
      </c>
      <c r="AD1949" s="5" t="str">
        <f ca="1">IFERROR(__xludf.DUMMYFUNCTION("""COMPUTED_VALUE"""),"No")</f>
        <v>No</v>
      </c>
      <c r="AE1949" s="5" t="str">
        <f ca="1">IFERROR(__xludf.DUMMYFUNCTION("""COMPUTED_VALUE"""),"No")</f>
        <v>No</v>
      </c>
      <c r="AF1949" s="5" t="str">
        <f ca="1">IFERROR(__xludf.DUMMYFUNCTION("""COMPUTED_VALUE"""),"No")</f>
        <v>No</v>
      </c>
      <c r="AG1949" s="5" t="str">
        <f ca="1">IFERROR(__xludf.DUMMYFUNCTION("""COMPUTED_VALUE"""),"No")</f>
        <v>No</v>
      </c>
      <c r="AH1949" s="5" t="str">
        <f ca="1">IFERROR(__xludf.DUMMYFUNCTION("""COMPUTED_VALUE"""),"No")</f>
        <v>No</v>
      </c>
      <c r="AI1949" s="5"/>
      <c r="AJ1949" s="5"/>
    </row>
    <row r="1950" spans="1:36" ht="13">
      <c r="A1950" s="5" t="str">
        <f ca="1">IFERROR(__xludf.DUMMYFUNCTION("""COMPUTED_VALUE"""),"19881004LAISB")</f>
        <v>19881004LAISB</v>
      </c>
      <c r="B1950" s="5">
        <f ca="1">IFERROR(__xludf.DUMMYFUNCTION("""COMPUTED_VALUE"""),10)</f>
        <v>10</v>
      </c>
      <c r="C1950" s="5">
        <f ca="1">IFERROR(__xludf.DUMMYFUNCTION("""COMPUTED_VALUE"""),4)</f>
        <v>4</v>
      </c>
      <c r="D1950" s="5">
        <f ca="1">IFERROR(__xludf.DUMMYFUNCTION("""COMPUTED_VALUE"""),1988)</f>
        <v>1988</v>
      </c>
      <c r="E1950" s="8">
        <f ca="1">IFERROR(__xludf.DUMMYFUNCTION("""COMPUTED_VALUE"""),32420)</f>
        <v>32420</v>
      </c>
      <c r="F1950" s="5" t="str">
        <f ca="1">IFERROR(__xludf.DUMMYFUNCTION("""COMPUTED_VALUE"""),"Istrouma Senior High School")</f>
        <v>Istrouma Senior High School</v>
      </c>
      <c r="G1950" s="5">
        <f ca="1">IFERROR(__xludf.DUMMYFUNCTION("""COMPUTED_VALUE"""),0)</f>
        <v>0</v>
      </c>
      <c r="H1950" s="5">
        <f ca="1">IFERROR(__xludf.DUMMYFUNCTION("""COMPUTED_VALUE"""),0)</f>
        <v>0</v>
      </c>
      <c r="I1950" s="5">
        <f ca="1">IFERROR(__xludf.DUMMYFUNCTION("""COMPUTED_VALUE"""),0)</f>
        <v>0</v>
      </c>
      <c r="J1950" s="5">
        <f ca="1">IFERROR(__xludf.DUMMYFUNCTION("""COMPUTED_VALUE"""),0)</f>
        <v>0</v>
      </c>
      <c r="K1950" s="5" t="str">
        <f ca="1">IFERROR(__xludf.DUMMYFUNCTION("""COMPUTED_VALUE"""),"The (Baton Rouge) Advocate - Teacher Booked in Shooting Keeps Job; https://www.columbine-angels.com/School_Violence_1988-1989.htm")</f>
        <v>The (Baton Rouge) Advocate - Teacher Booked in Shooting Keeps Job; https://www.columbine-angels.com/School_Violence_1988-1989.htm</v>
      </c>
      <c r="L1950" s="5"/>
      <c r="M1950" s="5"/>
      <c r="N1950" s="5">
        <f ca="1">IFERROR(__xludf.DUMMYFUNCTION("""COMPUTED_VALUE"""),1)</f>
        <v>1</v>
      </c>
      <c r="O1950" s="5" t="str">
        <f ca="1">IFERROR(__xludf.DUMMYFUNCTION("""COMPUTED_VALUE"""),"Fall")</f>
        <v>Fall</v>
      </c>
      <c r="P1950" s="5" t="str">
        <f ca="1">IFERROR(__xludf.DUMMYFUNCTION("""COMPUTED_VALUE"""),"Baton Rouge")</f>
        <v>Baton Rouge</v>
      </c>
      <c r="Q1950" s="5" t="str">
        <f ca="1">IFERROR(__xludf.DUMMYFUNCTION("""COMPUTED_VALUE"""),"LA")</f>
        <v>LA</v>
      </c>
      <c r="R1950" s="5" t="str">
        <f ca="1">IFERROR(__xludf.DUMMYFUNCTION("""COMPUTED_VALUE"""),"High")</f>
        <v>High</v>
      </c>
      <c r="S1950" s="5" t="str">
        <f ca="1">IFERROR(__xludf.DUMMYFUNCTION("""COMPUTED_VALUE"""),"Parking Lot")</f>
        <v>Parking Lot</v>
      </c>
      <c r="T1950" s="5" t="str">
        <f ca="1">IFERROR(__xludf.DUMMYFUNCTION("""COMPUTED_VALUE"""),"Outside on School Property")</f>
        <v>Outside on School Property</v>
      </c>
      <c r="U1950" s="5"/>
      <c r="V1950" s="5"/>
      <c r="W1950" s="5"/>
      <c r="X1950" s="5">
        <f ca="1">IFERROR(__xludf.DUMMYFUNCTION("""COMPUTED_VALUE"""),1)</f>
        <v>1</v>
      </c>
      <c r="Y1950" s="5" t="str">
        <f ca="1">IFERROR(__xludf.DUMMYFUNCTION("""COMPUTED_VALUE"""),"Teacher fired shots at cafeteria worker in parking lot")</f>
        <v>Teacher fired shots at cafeteria worker in parking lot</v>
      </c>
      <c r="Z1950" s="5" t="str">
        <f ca="1">IFERROR(__xludf.DUMMYFUNCTION("""COMPUTED_VALUE"""),"33YOF teacher fired shots at cafeteria worker in the school parking lot. Teacher remained on the job despite charges.")</f>
        <v>33YOF teacher fired shots at cafeteria worker in the school parking lot. Teacher remained on the job despite charges.</v>
      </c>
      <c r="AA1950" s="5" t="str">
        <f ca="1">IFERROR(__xludf.DUMMYFUNCTION("""COMPUTED_VALUE"""),"Escalation of Dispute")</f>
        <v>Escalation of Dispute</v>
      </c>
      <c r="AB1950" s="5" t="str">
        <f ca="1">IFERROR(__xludf.DUMMYFUNCTION("""COMPUTED_VALUE"""),"Victims Targeted")</f>
        <v>Victims Targeted</v>
      </c>
      <c r="AC1950" s="5" t="str">
        <f ca="1">IFERROR(__xludf.DUMMYFUNCTION("""COMPUTED_VALUE"""),"No")</f>
        <v>No</v>
      </c>
      <c r="AD1950" s="5" t="str">
        <f ca="1">IFERROR(__xludf.DUMMYFUNCTION("""COMPUTED_VALUE"""),"No")</f>
        <v>No</v>
      </c>
      <c r="AE1950" s="5" t="str">
        <f ca="1">IFERROR(__xludf.DUMMYFUNCTION("""COMPUTED_VALUE"""),"No")</f>
        <v>No</v>
      </c>
      <c r="AF1950" s="5" t="str">
        <f ca="1">IFERROR(__xludf.DUMMYFUNCTION("""COMPUTED_VALUE"""),"No")</f>
        <v>No</v>
      </c>
      <c r="AG1950" s="5" t="str">
        <f ca="1">IFERROR(__xludf.DUMMYFUNCTION("""COMPUTED_VALUE"""),"No")</f>
        <v>No</v>
      </c>
      <c r="AH1950" s="5" t="str">
        <f ca="1">IFERROR(__xludf.DUMMYFUNCTION("""COMPUTED_VALUE"""),"No")</f>
        <v>No</v>
      </c>
      <c r="AI1950" s="5" t="str">
        <f ca="1">IFERROR(__xludf.DUMMYFUNCTION("""COMPUTED_VALUE"""),"No")</f>
        <v>No</v>
      </c>
      <c r="AJ1950" s="5"/>
    </row>
    <row r="1951" spans="1:36" ht="13">
      <c r="A1951" s="5" t="str">
        <f ca="1">IFERROR(__xludf.DUMMYFUNCTION("""COMPUTED_VALUE"""),"19881003FLMAM")</f>
        <v>19881003FLMAM</v>
      </c>
      <c r="B1951" s="5">
        <f ca="1">IFERROR(__xludf.DUMMYFUNCTION("""COMPUTED_VALUE"""),10)</f>
        <v>10</v>
      </c>
      <c r="C1951" s="5">
        <f ca="1">IFERROR(__xludf.DUMMYFUNCTION("""COMPUTED_VALUE"""),3)</f>
        <v>3</v>
      </c>
      <c r="D1951" s="5">
        <f ca="1">IFERROR(__xludf.DUMMYFUNCTION("""COMPUTED_VALUE"""),1988)</f>
        <v>1988</v>
      </c>
      <c r="E1951" s="8">
        <f ca="1">IFERROR(__xludf.DUMMYFUNCTION("""COMPUTED_VALUE"""),32419)</f>
        <v>32419</v>
      </c>
      <c r="F1951" s="5" t="str">
        <f ca="1">IFERROR(__xludf.DUMMYFUNCTION("""COMPUTED_VALUE"""),"Mascotte Elementary School")</f>
        <v>Mascotte Elementary School</v>
      </c>
      <c r="G1951" s="5">
        <f ca="1">IFERROR(__xludf.DUMMYFUNCTION("""COMPUTED_VALUE"""),0)</f>
        <v>0</v>
      </c>
      <c r="H1951" s="5">
        <f ca="1">IFERROR(__xludf.DUMMYFUNCTION("""COMPUTED_VALUE"""),1)</f>
        <v>1</v>
      </c>
      <c r="I1951" s="5">
        <f ca="1">IFERROR(__xludf.DUMMYFUNCTION("""COMPUTED_VALUE"""),1)</f>
        <v>1</v>
      </c>
      <c r="J1951" s="5">
        <f ca="1">IFERROR(__xludf.DUMMYFUNCTION("""COMPUTED_VALUE"""),0)</f>
        <v>0</v>
      </c>
      <c r="K1951" s="9" t="str">
        <f ca="1">IFERROR(__xludf.DUMMYFUNCTION("""COMPUTED_VALUE"""),"http://articles.latimes.com/1988-10-04/news/mn-3503_1_elementary-school")</f>
        <v>http://articles.latimes.com/1988-10-04/news/mn-3503_1_elementary-school</v>
      </c>
      <c r="L1951" s="5"/>
      <c r="M1951" s="5" t="str">
        <f ca="1">IFERROR(__xludf.DUMMYFUNCTION("""COMPUTED_VALUE"""),"Local")</f>
        <v>Local</v>
      </c>
      <c r="N1951" s="5">
        <f ca="1">IFERROR(__xludf.DUMMYFUNCTION("""COMPUTED_VALUE"""),2)</f>
        <v>2</v>
      </c>
      <c r="O1951" s="5" t="str">
        <f ca="1">IFERROR(__xludf.DUMMYFUNCTION("""COMPUTED_VALUE"""),"Fall")</f>
        <v>Fall</v>
      </c>
      <c r="P1951" s="5" t="str">
        <f ca="1">IFERROR(__xludf.DUMMYFUNCTION("""COMPUTED_VALUE"""),"Mascotte")</f>
        <v>Mascotte</v>
      </c>
      <c r="Q1951" s="5" t="str">
        <f ca="1">IFERROR(__xludf.DUMMYFUNCTION("""COMPUTED_VALUE"""),"FL")</f>
        <v>FL</v>
      </c>
      <c r="R1951" s="5" t="str">
        <f ca="1">IFERROR(__xludf.DUMMYFUNCTION("""COMPUTED_VALUE"""),"Elementary")</f>
        <v>Elementary</v>
      </c>
      <c r="S1951" s="5" t="str">
        <f ca="1">IFERROR(__xludf.DUMMYFUNCTION("""COMPUTED_VALUE"""),"Playground")</f>
        <v>Playground</v>
      </c>
      <c r="T1951" s="5" t="str">
        <f ca="1">IFERROR(__xludf.DUMMYFUNCTION("""COMPUTED_VALUE"""),"Outside on School Property")</f>
        <v>Outside on School Property</v>
      </c>
      <c r="U1951" s="5" t="str">
        <f ca="1">IFERROR(__xludf.DUMMYFUNCTION("""COMPUTED_VALUE"""),"Yes")</f>
        <v>Yes</v>
      </c>
      <c r="V1951" s="5" t="str">
        <f ca="1">IFERROR(__xludf.DUMMYFUNCTION("""COMPUTED_VALUE"""),"Morning Classes")</f>
        <v>Morning Classes</v>
      </c>
      <c r="W1951" s="10">
        <f ca="1">IFERROR(__xludf.DUMMYFUNCTION("""COMPUTED_VALUE"""),0.458333333333333)</f>
        <v>0.45833333333333298</v>
      </c>
      <c r="X1951" s="5">
        <f ca="1">IFERROR(__xludf.DUMMYFUNCTION("""COMPUTED_VALUE"""),1)</f>
        <v>1</v>
      </c>
      <c r="Y1951" s="5" t="str">
        <f ca="1">IFERROR(__xludf.DUMMYFUNCTION("""COMPUTED_VALUE"""),"Gunman in camo fired rifle from woods near school striking a girl on the playground")</f>
        <v>Gunman in camo fired rifle from woods near school striking a girl on the playground</v>
      </c>
      <c r="Z1951" s="5" t="str">
        <f ca="1">IFERROR(__xludf.DUMMYFUNCTION("""COMPUTED_VALUE"""),"A gunman in camo fired three shots from the tree line at the school playground seriously injuring one female student. Police search the area but no gunman was found. No description of the shooter. No arrest made.")</f>
        <v>A gunman in camo fired three shots from the tree line at the school playground seriously injuring one female student. Police search the area but no gunman was found. No description of the shooter. No arrest made.</v>
      </c>
      <c r="AA1951" s="5" t="str">
        <f ca="1">IFERROR(__xludf.DUMMYFUNCTION("""COMPUTED_VALUE"""),"Indiscriminate Shooting")</f>
        <v>Indiscriminate Shooting</v>
      </c>
      <c r="AB1951" s="5"/>
      <c r="AC1951" s="5" t="str">
        <f ca="1">IFERROR(__xludf.DUMMYFUNCTION("""COMPUTED_VALUE"""),"No")</f>
        <v>No</v>
      </c>
      <c r="AD1951" s="5" t="str">
        <f ca="1">IFERROR(__xludf.DUMMYFUNCTION("""COMPUTED_VALUE"""),"No")</f>
        <v>No</v>
      </c>
      <c r="AE1951" s="5" t="str">
        <f ca="1">IFERROR(__xludf.DUMMYFUNCTION("""COMPUTED_VALUE"""),"No")</f>
        <v>No</v>
      </c>
      <c r="AF1951" s="5" t="str">
        <f ca="1">IFERROR(__xludf.DUMMYFUNCTION("""COMPUTED_VALUE"""),"No")</f>
        <v>No</v>
      </c>
      <c r="AG1951" s="5"/>
      <c r="AH1951" s="5" t="str">
        <f ca="1">IFERROR(__xludf.DUMMYFUNCTION("""COMPUTED_VALUE"""),"No")</f>
        <v>No</v>
      </c>
      <c r="AI1951" s="5" t="str">
        <f ca="1">IFERROR(__xludf.DUMMYFUNCTION("""COMPUTED_VALUE"""),"No")</f>
        <v>No</v>
      </c>
      <c r="AJ1951" s="5" t="str">
        <f ca="1">IFERROR(__xludf.DUMMYFUNCTION("""COMPUTED_VALUE"""),"Yes")</f>
        <v>Yes</v>
      </c>
    </row>
    <row r="1952" spans="1:36" ht="13">
      <c r="A1952" s="5" t="str">
        <f ca="1">IFERROR(__xludf.DUMMYFUNCTION("""COMPUTED_VALUE"""),"19880926SCOAG")</f>
        <v>19880926SCOAG</v>
      </c>
      <c r="B1952" s="5">
        <f ca="1">IFERROR(__xludf.DUMMYFUNCTION("""COMPUTED_VALUE"""),9)</f>
        <v>9</v>
      </c>
      <c r="C1952" s="5">
        <f ca="1">IFERROR(__xludf.DUMMYFUNCTION("""COMPUTED_VALUE"""),26)</f>
        <v>26</v>
      </c>
      <c r="D1952" s="5">
        <f ca="1">IFERROR(__xludf.DUMMYFUNCTION("""COMPUTED_VALUE"""),1988)</f>
        <v>1988</v>
      </c>
      <c r="E1952" s="8">
        <f ca="1">IFERROR(__xludf.DUMMYFUNCTION("""COMPUTED_VALUE"""),32412)</f>
        <v>32412</v>
      </c>
      <c r="F1952" s="5" t="str">
        <f ca="1">IFERROR(__xludf.DUMMYFUNCTION("""COMPUTED_VALUE"""),"Oakland Elementary School")</f>
        <v>Oakland Elementary School</v>
      </c>
      <c r="G1952" s="5">
        <f ca="1">IFERROR(__xludf.DUMMYFUNCTION("""COMPUTED_VALUE"""),2)</f>
        <v>2</v>
      </c>
      <c r="H1952" s="5">
        <f ca="1">IFERROR(__xludf.DUMMYFUNCTION("""COMPUTED_VALUE"""),9)</f>
        <v>9</v>
      </c>
      <c r="I1952" s="5">
        <f ca="1">IFERROR(__xludf.DUMMYFUNCTION("""COMPUTED_VALUE"""),11)</f>
        <v>11</v>
      </c>
      <c r="J1952" s="5">
        <f ca="1">IFERROR(__xludf.DUMMYFUNCTION("""COMPUTED_VALUE"""),0)</f>
        <v>0</v>
      </c>
      <c r="K1952" s="5" t="str">
        <f ca="1">IFERROR(__xludf.DUMMYFUNCTION("""COMPUTED_VALUE"""),"https://www.thestate.com/news/local/crime/article262307282.html https://www.nytimes.com/1988/09/30/us/second-victim-dies-after-school-shooting-incident.html https://en.wikipedia.org/wiki/Oakland_Elementary_School_shooting")</f>
        <v>https://www.thestate.com/news/local/crime/article262307282.html https://www.nytimes.com/1988/09/30/us/second-victim-dies-after-school-shooting-incident.html https://en.wikipedia.org/wiki/Oakland_Elementary_School_shooting</v>
      </c>
      <c r="L1952" s="5"/>
      <c r="M1952" s="5" t="str">
        <f ca="1">IFERROR(__xludf.DUMMYFUNCTION("""COMPUTED_VALUE"""),"National")</f>
        <v>National</v>
      </c>
      <c r="N1952" s="5">
        <f ca="1">IFERROR(__xludf.DUMMYFUNCTION("""COMPUTED_VALUE"""),4)</f>
        <v>4</v>
      </c>
      <c r="O1952" s="5" t="str">
        <f ca="1">IFERROR(__xludf.DUMMYFUNCTION("""COMPUTED_VALUE"""),"Fall")</f>
        <v>Fall</v>
      </c>
      <c r="P1952" s="5" t="str">
        <f ca="1">IFERROR(__xludf.DUMMYFUNCTION("""COMPUTED_VALUE"""),"Greenwood")</f>
        <v>Greenwood</v>
      </c>
      <c r="Q1952" s="5" t="str">
        <f ca="1">IFERROR(__xludf.DUMMYFUNCTION("""COMPUTED_VALUE"""),"SC")</f>
        <v>SC</v>
      </c>
      <c r="R1952" s="5" t="str">
        <f ca="1">IFERROR(__xludf.DUMMYFUNCTION("""COMPUTED_VALUE"""),"Elementary")</f>
        <v>Elementary</v>
      </c>
      <c r="S1952" s="5" t="str">
        <f ca="1">IFERROR(__xludf.DUMMYFUNCTION("""COMPUTED_VALUE"""),"Cafeteria")</f>
        <v>Cafeteria</v>
      </c>
      <c r="T1952" s="5" t="str">
        <f ca="1">IFERROR(__xludf.DUMMYFUNCTION("""COMPUTED_VALUE"""),"Inside School Building")</f>
        <v>Inside School Building</v>
      </c>
      <c r="U1952" s="5" t="str">
        <f ca="1">IFERROR(__xludf.DUMMYFUNCTION("""COMPUTED_VALUE"""),"Yes")</f>
        <v>Yes</v>
      </c>
      <c r="V1952" s="5" t="str">
        <f ca="1">IFERROR(__xludf.DUMMYFUNCTION("""COMPUTED_VALUE"""),"Lunch")</f>
        <v>Lunch</v>
      </c>
      <c r="W1952" s="10">
        <f ca="1">IFERROR(__xludf.DUMMYFUNCTION("""COMPUTED_VALUE"""),0.479166666666666)</f>
        <v>0.47916666666666602</v>
      </c>
      <c r="X1952" s="5"/>
      <c r="Y1952" s="5" t="str">
        <f ca="1">IFERROR(__xludf.DUMMYFUNCTION("""COMPUTED_VALUE"""),"Man with gun walked into cafeteria and started shooting")</f>
        <v>Man with gun walked into cafeteria and started shooting</v>
      </c>
      <c r="Z1952" s="5" t="str">
        <f ca="1">IFERROR(__xludf.DUMMYFUNCTION("""COMPUTED_VALUE"""),"19-year-old carried pistol into cafeteria of school and fired at random students. Shooter walked around school firing at random teachers and students until he was detained by police. Shooter had significant mental health history including being institutio"&amp;"nalized. Lived isolated life with grandfather. Unemployed. Shooter had been taking xanax of anxiety and had lost health insurance coverage so he stopped taking medication.")</f>
        <v>19-year-old carried pistol into cafeteria of school and fired at random students. Shooter walked around school firing at random teachers and students until he was detained by police. Shooter had significant mental health history including being institutionalized. Lived isolated life with grandfather. Unemployed. Shooter had been taking xanax of anxiety and had lost health insurance coverage so he stopped taking medication.</v>
      </c>
      <c r="AA1952" s="5" t="str">
        <f ca="1">IFERROR(__xludf.DUMMYFUNCTION("""COMPUTED_VALUE"""),"Psychosis")</f>
        <v>Psychosis</v>
      </c>
      <c r="AB1952" s="5" t="str">
        <f ca="1">IFERROR(__xludf.DUMMYFUNCTION("""COMPUTED_VALUE"""),"Random Shooting")</f>
        <v>Random Shooting</v>
      </c>
      <c r="AC1952" s="5" t="str">
        <f ca="1">IFERROR(__xludf.DUMMYFUNCTION("""COMPUTED_VALUE"""),"No")</f>
        <v>No</v>
      </c>
      <c r="AD1952" s="5" t="str">
        <f ca="1">IFERROR(__xludf.DUMMYFUNCTION("""COMPUTED_VALUE"""),"No")</f>
        <v>No</v>
      </c>
      <c r="AE1952" s="5" t="str">
        <f ca="1">IFERROR(__xludf.DUMMYFUNCTION("""COMPUTED_VALUE"""),"No")</f>
        <v>No</v>
      </c>
      <c r="AF1952" s="5" t="str">
        <f ca="1">IFERROR(__xludf.DUMMYFUNCTION("""COMPUTED_VALUE"""),"No")</f>
        <v>No</v>
      </c>
      <c r="AG1952" s="5" t="str">
        <f ca="1">IFERROR(__xludf.DUMMYFUNCTION("""COMPUTED_VALUE"""),"Yes")</f>
        <v>Yes</v>
      </c>
      <c r="AH1952" s="5" t="str">
        <f ca="1">IFERROR(__xludf.DUMMYFUNCTION("""COMPUTED_VALUE"""),"No")</f>
        <v>No</v>
      </c>
      <c r="AI1952" s="5" t="str">
        <f ca="1">IFERROR(__xludf.DUMMYFUNCTION("""COMPUTED_VALUE"""),"No")</f>
        <v>No</v>
      </c>
      <c r="AJ1952" s="5" t="str">
        <f ca="1">IFERROR(__xludf.DUMMYFUNCTION("""COMPUTED_VALUE"""),"Yes")</f>
        <v>Yes</v>
      </c>
    </row>
    <row r="1953" spans="1:36" ht="13">
      <c r="A1953" s="5" t="str">
        <f ca="1">IFERROR(__xludf.DUMMYFUNCTION("""COMPUTED_VALUE"""),"19880922ILMOC")</f>
        <v>19880922ILMOC</v>
      </c>
      <c r="B1953" s="5">
        <f ca="1">IFERROR(__xludf.DUMMYFUNCTION("""COMPUTED_VALUE"""),9)</f>
        <v>9</v>
      </c>
      <c r="C1953" s="5">
        <f ca="1">IFERROR(__xludf.DUMMYFUNCTION("""COMPUTED_VALUE"""),22)</f>
        <v>22</v>
      </c>
      <c r="D1953" s="5">
        <f ca="1">IFERROR(__xludf.DUMMYFUNCTION("""COMPUTED_VALUE"""),1988)</f>
        <v>1988</v>
      </c>
      <c r="E1953" s="8">
        <f ca="1">IFERROR(__xludf.DUMMYFUNCTION("""COMPUTED_VALUE"""),32408)</f>
        <v>32408</v>
      </c>
      <c r="F1953" s="5" t="str">
        <f ca="1">IFERROR(__xludf.DUMMYFUNCTION("""COMPUTED_VALUE"""),"Moses Montefoire Public School")</f>
        <v>Moses Montefoire Public School</v>
      </c>
      <c r="G1953" s="5">
        <f ca="1">IFERROR(__xludf.DUMMYFUNCTION("""COMPUTED_VALUE"""),4)</f>
        <v>4</v>
      </c>
      <c r="H1953" s="5">
        <f ca="1">IFERROR(__xludf.DUMMYFUNCTION("""COMPUTED_VALUE"""),2)</f>
        <v>2</v>
      </c>
      <c r="I1953" s="5">
        <f ca="1">IFERROR(__xludf.DUMMYFUNCTION("""COMPUTED_VALUE"""),6)</f>
        <v>6</v>
      </c>
      <c r="J1953" s="5">
        <f ca="1">IFERROR(__xludf.DUMMYFUNCTION("""COMPUTED_VALUE"""),1)</f>
        <v>1</v>
      </c>
      <c r="K1953" s="5" t="str">
        <f ca="1">IFERROR(__xludf.DUMMYFUNCTION("""COMPUTED_VALUE"""),"https://www.newspapers.com/image/388358003/ http://www.chicagotribune.com/news/ct-met-irma-ruiz-30-years-20180928-story.html")</f>
        <v>https://www.newspapers.com/image/388358003/ http://www.chicagotribune.com/news/ct-met-irma-ruiz-30-years-20180928-story.html</v>
      </c>
      <c r="L1953" s="5"/>
      <c r="M1953" s="5"/>
      <c r="N1953" s="5">
        <f ca="1">IFERROR(__xludf.DUMMYFUNCTION("""COMPUTED_VALUE"""),3)</f>
        <v>3</v>
      </c>
      <c r="O1953" s="5" t="str">
        <f ca="1">IFERROR(__xludf.DUMMYFUNCTION("""COMPUTED_VALUE"""),"Fall")</f>
        <v>Fall</v>
      </c>
      <c r="P1953" s="5" t="str">
        <f ca="1">IFERROR(__xludf.DUMMYFUNCTION("""COMPUTED_VALUE"""),"Chicago")</f>
        <v>Chicago</v>
      </c>
      <c r="Q1953" s="5" t="str">
        <f ca="1">IFERROR(__xludf.DUMMYFUNCTION("""COMPUTED_VALUE"""),"IL")</f>
        <v>IL</v>
      </c>
      <c r="R1953" s="5" t="str">
        <f ca="1">IFERROR(__xludf.DUMMYFUNCTION("""COMPUTED_VALUE"""),"Elementary")</f>
        <v>Elementary</v>
      </c>
      <c r="S1953" s="5" t="str">
        <f ca="1">IFERROR(__xludf.DUMMYFUNCTION("""COMPUTED_VALUE"""),"Front of School")</f>
        <v>Front of School</v>
      </c>
      <c r="T1953" s="5" t="str">
        <f ca="1">IFERROR(__xludf.DUMMYFUNCTION("""COMPUTED_VALUE"""),"Outside on School Property")</f>
        <v>Outside on School Property</v>
      </c>
      <c r="U1953" s="5" t="str">
        <f ca="1">IFERROR(__xludf.DUMMYFUNCTION("""COMPUTED_VALUE"""),"Yes")</f>
        <v>Yes</v>
      </c>
      <c r="V1953" s="5" t="str">
        <f ca="1">IFERROR(__xludf.DUMMYFUNCTION("""COMPUTED_VALUE"""),"Morning Classes")</f>
        <v>Morning Classes</v>
      </c>
      <c r="W1953" s="10">
        <f ca="1">IFERROR(__xludf.DUMMYFUNCTION("""COMPUTED_VALUE"""),0.416666666666666)</f>
        <v>0.41666666666666602</v>
      </c>
      <c r="X1953" s="5">
        <f ca="1">IFERROR(__xludf.DUMMYFUNCTION("""COMPUTED_VALUE"""),20)</f>
        <v>20</v>
      </c>
      <c r="Y1953" s="5" t="str">
        <f ca="1">IFERROR(__xludf.DUMMYFUNCTION("""COMPUTED_VALUE"""),"Shot 6 people (2 cops, 2 garbage workers, 2 school employees) outside school, killed by wounded officer")</f>
        <v>Shot 6 people (2 cops, 2 garbage workers, 2 school employees) outside school, killed by wounded officer</v>
      </c>
      <c r="Z1953" s="5" t="str">
        <f ca="1">IFERROR(__xludf.DUMMYFUNCTION("""COMPUTED_VALUE"""),"Adult male suspect had frequent criminal charges dating back to 14 years old. Charged 9 times in past 17 years. Vietnam vet. On medication for depression. Said he was going to kill everyone in the school and fired on janitors and city trash collectors out"&amp;"side. Two police were in the area and fired at him. One officer was killed and the other seriously injured. Injured officer shot and killed the shooter. No students were injured.")</f>
        <v>Adult male suspect had frequent criminal charges dating back to 14 years old. Charged 9 times in past 17 years. Vietnam vet. On medication for depression. Said he was going to kill everyone in the school and fired on janitors and city trash collectors outside. Two police were in the area and fired at him. One officer was killed and the other seriously injured. Injured officer shot and killed the shooter. No students were injured.</v>
      </c>
      <c r="AA1953" s="5" t="str">
        <f ca="1">IFERROR(__xludf.DUMMYFUNCTION("""COMPUTED_VALUE"""),"Psychosis")</f>
        <v>Psychosis</v>
      </c>
      <c r="AB1953" s="5" t="str">
        <f ca="1">IFERROR(__xludf.DUMMYFUNCTION("""COMPUTED_VALUE"""),"Random Shooting")</f>
        <v>Random Shooting</v>
      </c>
      <c r="AC1953" s="5" t="str">
        <f ca="1">IFERROR(__xludf.DUMMYFUNCTION("""COMPUTED_VALUE"""),"No")</f>
        <v>No</v>
      </c>
      <c r="AD1953" s="5" t="str">
        <f ca="1">IFERROR(__xludf.DUMMYFUNCTION("""COMPUTED_VALUE"""),"No")</f>
        <v>No</v>
      </c>
      <c r="AE1953" s="5" t="str">
        <f ca="1">IFERROR(__xludf.DUMMYFUNCTION("""COMPUTED_VALUE"""),"No")</f>
        <v>No</v>
      </c>
      <c r="AF1953" s="5" t="str">
        <f ca="1">IFERROR(__xludf.DUMMYFUNCTION("""COMPUTED_VALUE"""),"No")</f>
        <v>No</v>
      </c>
      <c r="AG1953" s="5" t="str">
        <f ca="1">IFERROR(__xludf.DUMMYFUNCTION("""COMPUTED_VALUE"""),"No")</f>
        <v>No</v>
      </c>
      <c r="AH1953" s="5" t="str">
        <f ca="1">IFERROR(__xludf.DUMMYFUNCTION("""COMPUTED_VALUE"""),"No")</f>
        <v>No</v>
      </c>
      <c r="AI1953" s="5" t="str">
        <f ca="1">IFERROR(__xludf.DUMMYFUNCTION("""COMPUTED_VALUE"""),"No")</f>
        <v>No</v>
      </c>
      <c r="AJ1953" s="5" t="str">
        <f ca="1">IFERROR(__xludf.DUMMYFUNCTION("""COMPUTED_VALUE"""),"Yes")</f>
        <v>Yes</v>
      </c>
    </row>
    <row r="1954" spans="1:36" ht="13">
      <c r="A1954" s="5" t="str">
        <f ca="1">IFERROR(__xludf.DUMMYFUNCTION("""COMPUTED_VALUE"""),"19880903TXLID")</f>
        <v>19880903TXLID</v>
      </c>
      <c r="B1954" s="5">
        <f ca="1">IFERROR(__xludf.DUMMYFUNCTION("""COMPUTED_VALUE"""),9)</f>
        <v>9</v>
      </c>
      <c r="C1954" s="5">
        <f ca="1">IFERROR(__xludf.DUMMYFUNCTION("""COMPUTED_VALUE"""),3)</f>
        <v>3</v>
      </c>
      <c r="D1954" s="5">
        <f ca="1">IFERROR(__xludf.DUMMYFUNCTION("""COMPUTED_VALUE"""),1988)</f>
        <v>1988</v>
      </c>
      <c r="E1954" s="8">
        <f ca="1">IFERROR(__xludf.DUMMYFUNCTION("""COMPUTED_VALUE"""),32389)</f>
        <v>32389</v>
      </c>
      <c r="F1954" s="5" t="str">
        <f ca="1">IFERROR(__xludf.DUMMYFUNCTION("""COMPUTED_VALUE"""),"Lincoln High School")</f>
        <v>Lincoln High School</v>
      </c>
      <c r="G1954" s="5">
        <f ca="1">IFERROR(__xludf.DUMMYFUNCTION("""COMPUTED_VALUE"""),0)</f>
        <v>0</v>
      </c>
      <c r="H1954" s="5">
        <f ca="1">IFERROR(__xludf.DUMMYFUNCTION("""COMPUTED_VALUE"""),2)</f>
        <v>2</v>
      </c>
      <c r="I1954" s="5">
        <f ca="1">IFERROR(__xludf.DUMMYFUNCTION("""COMPUTED_VALUE"""),2)</f>
        <v>2</v>
      </c>
      <c r="J1954" s="5">
        <f ca="1">IFERROR(__xludf.DUMMYFUNCTION("""COMPUTED_VALUE"""),0)</f>
        <v>0</v>
      </c>
      <c r="K1954" s="9" t="str">
        <f ca="1">IFERROR(__xludf.DUMMYFUNCTION("""COMPUTED_VALUE"""),"https://www.newspapers.com/image/299882814/?terms=Lincoln%2BHigh%2BSchool%2Bdallas%2Bpep%2Brally")</f>
        <v>https://www.newspapers.com/image/299882814/?terms=Lincoln%2BHigh%2BSchool%2Bdallas%2Bpep%2Brally</v>
      </c>
      <c r="L1954" s="5"/>
      <c r="M1954" s="5"/>
      <c r="N1954" s="5">
        <f ca="1">IFERROR(__xludf.DUMMYFUNCTION("""COMPUTED_VALUE"""),2)</f>
        <v>2</v>
      </c>
      <c r="O1954" s="5" t="str">
        <f ca="1">IFERROR(__xludf.DUMMYFUNCTION("""COMPUTED_VALUE"""),"Fall")</f>
        <v>Fall</v>
      </c>
      <c r="P1954" s="5" t="str">
        <f ca="1">IFERROR(__xludf.DUMMYFUNCTION("""COMPUTED_VALUE"""),"Dallas")</f>
        <v>Dallas</v>
      </c>
      <c r="Q1954" s="5" t="str">
        <f ca="1">IFERROR(__xludf.DUMMYFUNCTION("""COMPUTED_VALUE"""),"TX")</f>
        <v>TX</v>
      </c>
      <c r="R1954" s="5" t="str">
        <f ca="1">IFERROR(__xludf.DUMMYFUNCTION("""COMPUTED_VALUE"""),"High")</f>
        <v>High</v>
      </c>
      <c r="S1954" s="5" t="str">
        <f ca="1">IFERROR(__xludf.DUMMYFUNCTION("""COMPUTED_VALUE"""),"Parking Lot")</f>
        <v>Parking Lot</v>
      </c>
      <c r="T1954" s="5" t="str">
        <f ca="1">IFERROR(__xludf.DUMMYFUNCTION("""COMPUTED_VALUE"""),"Outside on School Property")</f>
        <v>Outside on School Property</v>
      </c>
      <c r="U1954" s="5" t="str">
        <f ca="1">IFERROR(__xludf.DUMMYFUNCTION("""COMPUTED_VALUE"""),"No")</f>
        <v>No</v>
      </c>
      <c r="V1954" s="5" t="str">
        <f ca="1">IFERROR(__xludf.DUMMYFUNCTION("""COMPUTED_VALUE"""),"School Event")</f>
        <v>School Event</v>
      </c>
      <c r="W1954" s="5"/>
      <c r="X1954" s="5">
        <f ca="1">IFERROR(__xludf.DUMMYFUNCTION("""COMPUTED_VALUE"""),1)</f>
        <v>1</v>
      </c>
      <c r="Y1954" s="5" t="str">
        <f ca="1">IFERROR(__xludf.DUMMYFUNCTION("""COMPUTED_VALUE"""),"Bystander students stuck during shooting at pep rally")</f>
        <v>Bystander students stuck during shooting at pep rally</v>
      </c>
      <c r="Z1954" s="5" t="str">
        <f ca="1">IFERROR(__xludf.DUMMYFUNCTION("""COMPUTED_VALUE"""),"Two students were struck by the crossfire of a shooting during an attempted robbery of a gold chain in the parking lot. Four youths with pistols all fired during the incident. Large group of students was outside of the school for a pep rally. Shooters arr"&amp;"ived in a vehicle and fled the scene.")</f>
        <v>Two students were struck by the crossfire of a shooting during an attempted robbery of a gold chain in the parking lot. Four youths with pistols all fired during the incident. Large group of students was outside of the school for a pep rally. Shooters arrived in a vehicle and fled the scene.</v>
      </c>
      <c r="AA1954" s="5" t="str">
        <f ca="1">IFERROR(__xludf.DUMMYFUNCTION("""COMPUTED_VALUE"""),"Illegal Activity")</f>
        <v>Illegal Activity</v>
      </c>
      <c r="AB1954" s="5" t="str">
        <f ca="1">IFERROR(__xludf.DUMMYFUNCTION("""COMPUTED_VALUE"""),"Both")</f>
        <v>Both</v>
      </c>
      <c r="AC1954" s="5" t="str">
        <f ca="1">IFERROR(__xludf.DUMMYFUNCTION("""COMPUTED_VALUE"""),"Yes")</f>
        <v>Yes</v>
      </c>
      <c r="AD1954" s="5" t="str">
        <f ca="1">IFERROR(__xludf.DUMMYFUNCTION("""COMPUTED_VALUE"""),"No")</f>
        <v>No</v>
      </c>
      <c r="AE1954" s="5" t="str">
        <f ca="1">IFERROR(__xludf.DUMMYFUNCTION("""COMPUTED_VALUE"""),"No")</f>
        <v>No</v>
      </c>
      <c r="AF1954" s="5" t="str">
        <f ca="1">IFERROR(__xludf.DUMMYFUNCTION("""COMPUTED_VALUE"""),"No")</f>
        <v>No</v>
      </c>
      <c r="AG1954" s="5" t="str">
        <f ca="1">IFERROR(__xludf.DUMMYFUNCTION("""COMPUTED_VALUE"""),"No")</f>
        <v>No</v>
      </c>
      <c r="AH1954" s="5" t="str">
        <f ca="1">IFERROR(__xludf.DUMMYFUNCTION("""COMPUTED_VALUE"""),"No")</f>
        <v>No</v>
      </c>
      <c r="AI1954" s="5"/>
      <c r="AJ1954" s="5"/>
    </row>
    <row r="1955" spans="1:36" ht="13">
      <c r="A1955" s="5" t="str">
        <f ca="1">IFERROR(__xludf.DUMMYFUNCTION("""COMPUTED_VALUE"""),"19880902NCGAC")</f>
        <v>19880902NCGAC</v>
      </c>
      <c r="B1955" s="5">
        <f ca="1">IFERROR(__xludf.DUMMYFUNCTION("""COMPUTED_VALUE"""),9)</f>
        <v>9</v>
      </c>
      <c r="C1955" s="5">
        <f ca="1">IFERROR(__xludf.DUMMYFUNCTION("""COMPUTED_VALUE"""),2)</f>
        <v>2</v>
      </c>
      <c r="D1955" s="5">
        <f ca="1">IFERROR(__xludf.DUMMYFUNCTION("""COMPUTED_VALUE"""),1988)</f>
        <v>1988</v>
      </c>
      <c r="E1955" s="8">
        <f ca="1">IFERROR(__xludf.DUMMYFUNCTION("""COMPUTED_VALUE"""),32388)</f>
        <v>32388</v>
      </c>
      <c r="F1955" s="5" t="str">
        <f ca="1">IFERROR(__xludf.DUMMYFUNCTION("""COMPUTED_VALUE"""),"Garinger High School")</f>
        <v>Garinger High School</v>
      </c>
      <c r="G1955" s="5">
        <f ca="1">IFERROR(__xludf.DUMMYFUNCTION("""COMPUTED_VALUE"""),0)</f>
        <v>0</v>
      </c>
      <c r="H1955" s="5">
        <f ca="1">IFERROR(__xludf.DUMMYFUNCTION("""COMPUTED_VALUE"""),4)</f>
        <v>4</v>
      </c>
      <c r="I1955" s="5">
        <f ca="1">IFERROR(__xludf.DUMMYFUNCTION("""COMPUTED_VALUE"""),4)</f>
        <v>4</v>
      </c>
      <c r="J1955" s="5">
        <f ca="1">IFERROR(__xludf.DUMMYFUNCTION("""COMPUTED_VALUE"""),0)</f>
        <v>0</v>
      </c>
      <c r="K1955" s="5" t="str">
        <f ca="1">IFERROR(__xludf.DUMMYFUNCTION("""COMPUTED_VALUE"""),"https://www.newspapers.com/image/282970426/?terms=shooting%20high%20school%20football&amp;match=1 https://www.newspapers.com/image/282970426/?terms=Garinger%2BHigh%2BSchool%2Bfootball%2Bgame%2Bshooting")</f>
        <v>https://www.newspapers.com/image/282970426/?terms=shooting%20high%20school%20football&amp;match=1 https://www.newspapers.com/image/282970426/?terms=Garinger%2BHigh%2BSchool%2Bfootball%2Bgame%2Bshooting</v>
      </c>
      <c r="L1955" s="5"/>
      <c r="M1955" s="5" t="str">
        <f ca="1">IFERROR(__xludf.DUMMYFUNCTION("""COMPUTED_VALUE"""),"National")</f>
        <v>National</v>
      </c>
      <c r="N1955" s="5">
        <f ca="1">IFERROR(__xludf.DUMMYFUNCTION("""COMPUTED_VALUE"""),3)</f>
        <v>3</v>
      </c>
      <c r="O1955" s="5" t="str">
        <f ca="1">IFERROR(__xludf.DUMMYFUNCTION("""COMPUTED_VALUE"""),"Fall")</f>
        <v>Fall</v>
      </c>
      <c r="P1955" s="5" t="str">
        <f ca="1">IFERROR(__xludf.DUMMYFUNCTION("""COMPUTED_VALUE"""),"Charlotte")</f>
        <v>Charlotte</v>
      </c>
      <c r="Q1955" s="5" t="str">
        <f ca="1">IFERROR(__xludf.DUMMYFUNCTION("""COMPUTED_VALUE"""),"NC")</f>
        <v>NC</v>
      </c>
      <c r="R1955" s="5" t="str">
        <f ca="1">IFERROR(__xludf.DUMMYFUNCTION("""COMPUTED_VALUE"""),"High")</f>
        <v>High</v>
      </c>
      <c r="S1955" s="5" t="str">
        <f ca="1">IFERROR(__xludf.DUMMYFUNCTION("""COMPUTED_VALUE"""),"Football Field/Track")</f>
        <v>Football Field/Track</v>
      </c>
      <c r="T1955" s="5" t="str">
        <f ca="1">IFERROR(__xludf.DUMMYFUNCTION("""COMPUTED_VALUE"""),"Outside on School Property")</f>
        <v>Outside on School Property</v>
      </c>
      <c r="U1955" s="5" t="str">
        <f ca="1">IFERROR(__xludf.DUMMYFUNCTION("""COMPUTED_VALUE"""),"No")</f>
        <v>No</v>
      </c>
      <c r="V1955" s="5" t="str">
        <f ca="1">IFERROR(__xludf.DUMMYFUNCTION("""COMPUTED_VALUE"""),"Sport Event")</f>
        <v>Sport Event</v>
      </c>
      <c r="W1955" s="10">
        <f ca="1">IFERROR(__xludf.DUMMYFUNCTION("""COMPUTED_VALUE"""),0.895833333333333)</f>
        <v>0.89583333333333304</v>
      </c>
      <c r="X1955" s="5">
        <f ca="1">IFERROR(__xludf.DUMMYFUNCTION("""COMPUTED_VALUE"""),1)</f>
        <v>1</v>
      </c>
      <c r="Y1955" s="5" t="str">
        <f ca="1">IFERROR(__xludf.DUMMYFUNCTION("""COMPUTED_VALUE"""),"4 shot at football game, Ongoing dispute with targets")</f>
        <v>4 shot at football game, Ongoing dispute with targets</v>
      </c>
      <c r="Z1955" s="5" t="str">
        <f ca="1">IFERROR(__xludf.DUMMYFUNCTION("""COMPUTED_VALUE"""),"16YOM student had ongoing dispute with victims at football game. Fight turned into shooting. Father said there was a long running dispute with victims. Three people were arrested with handguns.")</f>
        <v>16YOM student had ongoing dispute with victims at football game. Fight turned into shooting. Father said there was a long running dispute with victims. Three people were arrested with handguns.</v>
      </c>
      <c r="AA1955" s="5" t="str">
        <f ca="1">IFERROR(__xludf.DUMMYFUNCTION("""COMPUTED_VALUE"""),"Escalation of Dispute")</f>
        <v>Escalation of Dispute</v>
      </c>
      <c r="AB1955" s="5" t="str">
        <f ca="1">IFERROR(__xludf.DUMMYFUNCTION("""COMPUTED_VALUE"""),"Both")</f>
        <v>Both</v>
      </c>
      <c r="AC1955" s="5" t="str">
        <f ca="1">IFERROR(__xludf.DUMMYFUNCTION("""COMPUTED_VALUE"""),"No")</f>
        <v>No</v>
      </c>
      <c r="AD1955" s="5" t="str">
        <f ca="1">IFERROR(__xludf.DUMMYFUNCTION("""COMPUTED_VALUE"""),"No")</f>
        <v>No</v>
      </c>
      <c r="AE1955" s="5" t="str">
        <f ca="1">IFERROR(__xludf.DUMMYFUNCTION("""COMPUTED_VALUE"""),"No")</f>
        <v>No</v>
      </c>
      <c r="AF1955" s="5" t="str">
        <f ca="1">IFERROR(__xludf.DUMMYFUNCTION("""COMPUTED_VALUE"""),"No")</f>
        <v>No</v>
      </c>
      <c r="AG1955" s="5" t="str">
        <f ca="1">IFERROR(__xludf.DUMMYFUNCTION("""COMPUTED_VALUE"""),"No")</f>
        <v>No</v>
      </c>
      <c r="AH1955" s="5" t="str">
        <f ca="1">IFERROR(__xludf.DUMMYFUNCTION("""COMPUTED_VALUE"""),"No")</f>
        <v>No</v>
      </c>
      <c r="AI1955" s="5" t="str">
        <f ca="1">IFERROR(__xludf.DUMMYFUNCTION("""COMPUTED_VALUE"""),"No")</f>
        <v>No</v>
      </c>
      <c r="AJ1955" s="5"/>
    </row>
    <row r="1956" spans="1:36" ht="13">
      <c r="A1956" s="5" t="str">
        <f ca="1">IFERROR(__xludf.DUMMYFUNCTION("""COMPUTED_VALUE"""),"19880902GAGLA")</f>
        <v>19880902GAGLA</v>
      </c>
      <c r="B1956" s="5">
        <f ca="1">IFERROR(__xludf.DUMMYFUNCTION("""COMPUTED_VALUE"""),9)</f>
        <v>9</v>
      </c>
      <c r="C1956" s="5">
        <f ca="1">IFERROR(__xludf.DUMMYFUNCTION("""COMPUTED_VALUE"""),2)</f>
        <v>2</v>
      </c>
      <c r="D1956" s="5">
        <f ca="1">IFERROR(__xludf.DUMMYFUNCTION("""COMPUTED_VALUE"""),1988)</f>
        <v>1988</v>
      </c>
      <c r="E1956" s="8">
        <f ca="1">IFERROR(__xludf.DUMMYFUNCTION("""COMPUTED_VALUE"""),32388)</f>
        <v>32388</v>
      </c>
      <c r="F1956" s="5" t="str">
        <f ca="1">IFERROR(__xludf.DUMMYFUNCTION("""COMPUTED_VALUE"""),"Glen Hills High School")</f>
        <v>Glen Hills High School</v>
      </c>
      <c r="G1956" s="5">
        <f ca="1">IFERROR(__xludf.DUMMYFUNCTION("""COMPUTED_VALUE"""),0)</f>
        <v>0</v>
      </c>
      <c r="H1956" s="5">
        <f ca="1">IFERROR(__xludf.DUMMYFUNCTION("""COMPUTED_VALUE"""),2)</f>
        <v>2</v>
      </c>
      <c r="I1956" s="5">
        <f ca="1">IFERROR(__xludf.DUMMYFUNCTION("""COMPUTED_VALUE"""),2)</f>
        <v>2</v>
      </c>
      <c r="J1956" s="5">
        <f ca="1">IFERROR(__xludf.DUMMYFUNCTION("""COMPUTED_VALUE"""),0)</f>
        <v>0</v>
      </c>
      <c r="K1956" s="5" t="str">
        <f ca="1">IFERROR(__xludf.DUMMYFUNCTION("""COMPUTED_VALUE"""),"https://www.newspapers.com/image/282970426/?terms=shooting%20high%20school%20football&amp;match=1 https://www.newspapers.com/image/103140357/?terms=Glen%2BHills%2BHigh%2BSchool%2Bshooting")</f>
        <v>https://www.newspapers.com/image/282970426/?terms=shooting%20high%20school%20football&amp;match=1 https://www.newspapers.com/image/103140357/?terms=Glen%2BHills%2BHigh%2BSchool%2Bshooting</v>
      </c>
      <c r="L1956" s="5"/>
      <c r="M1956" s="5" t="str">
        <f ca="1">IFERROR(__xludf.DUMMYFUNCTION("""COMPUTED_VALUE"""),"National")</f>
        <v>National</v>
      </c>
      <c r="N1956" s="5">
        <f ca="1">IFERROR(__xludf.DUMMYFUNCTION("""COMPUTED_VALUE"""),3)</f>
        <v>3</v>
      </c>
      <c r="O1956" s="5" t="str">
        <f ca="1">IFERROR(__xludf.DUMMYFUNCTION("""COMPUTED_VALUE"""),"Fall")</f>
        <v>Fall</v>
      </c>
      <c r="P1956" s="5" t="str">
        <f ca="1">IFERROR(__xludf.DUMMYFUNCTION("""COMPUTED_VALUE"""),"Augusta")</f>
        <v>Augusta</v>
      </c>
      <c r="Q1956" s="5" t="str">
        <f ca="1">IFERROR(__xludf.DUMMYFUNCTION("""COMPUTED_VALUE"""),"GA")</f>
        <v>GA</v>
      </c>
      <c r="R1956" s="5" t="str">
        <f ca="1">IFERROR(__xludf.DUMMYFUNCTION("""COMPUTED_VALUE"""),"High")</f>
        <v>High</v>
      </c>
      <c r="S1956" s="5" t="str">
        <f ca="1">IFERROR(__xludf.DUMMYFUNCTION("""COMPUTED_VALUE"""),"Football Field/Track")</f>
        <v>Football Field/Track</v>
      </c>
      <c r="T1956" s="5" t="str">
        <f ca="1">IFERROR(__xludf.DUMMYFUNCTION("""COMPUTED_VALUE"""),"Outside on School Property")</f>
        <v>Outside on School Property</v>
      </c>
      <c r="U1956" s="5" t="str">
        <f ca="1">IFERROR(__xludf.DUMMYFUNCTION("""COMPUTED_VALUE"""),"No")</f>
        <v>No</v>
      </c>
      <c r="V1956" s="5" t="str">
        <f ca="1">IFERROR(__xludf.DUMMYFUNCTION("""COMPUTED_VALUE"""),"Sport Event")</f>
        <v>Sport Event</v>
      </c>
      <c r="W1956" s="10">
        <f ca="1">IFERROR(__xludf.DUMMYFUNCTION("""COMPUTED_VALUE"""),0.954861111111111)</f>
        <v>0.95486111111111105</v>
      </c>
      <c r="X1956" s="5">
        <f ca="1">IFERROR(__xludf.DUMMYFUNCTION("""COMPUTED_VALUE"""),1)</f>
        <v>1</v>
      </c>
      <c r="Y1956" s="5" t="str">
        <f ca="1">IFERROR(__xludf.DUMMYFUNCTION("""COMPUTED_VALUE"""),"Shot fired into air during fight, 2 football coaches struck in press box")</f>
        <v>Shot fired into air during fight, 2 football coaches struck in press box</v>
      </c>
      <c r="Z1956" s="5" t="str">
        <f ca="1">IFERROR(__xludf.DUMMYFUNCTION("""COMPUTED_VALUE"""),"Shots fired into air during fight. Two coaches shot in the press box during the football game. Unknown suspect. Shots created panic in the stands.")</f>
        <v>Shots fired into air during fight. Two coaches shot in the press box during the football game. Unknown suspect. Shots created panic in the stands.</v>
      </c>
      <c r="AA1956" s="5" t="str">
        <f ca="1">IFERROR(__xludf.DUMMYFUNCTION("""COMPUTED_VALUE"""),"Escalation of Dispute")</f>
        <v>Escalation of Dispute</v>
      </c>
      <c r="AB1956" s="5" t="str">
        <f ca="1">IFERROR(__xludf.DUMMYFUNCTION("""COMPUTED_VALUE"""),"Both")</f>
        <v>Both</v>
      </c>
      <c r="AC1956" s="5" t="str">
        <f ca="1">IFERROR(__xludf.DUMMYFUNCTION("""COMPUTED_VALUE"""),"No")</f>
        <v>No</v>
      </c>
      <c r="AD1956" s="5" t="str">
        <f ca="1">IFERROR(__xludf.DUMMYFUNCTION("""COMPUTED_VALUE"""),"No")</f>
        <v>No</v>
      </c>
      <c r="AE1956" s="5" t="str">
        <f ca="1">IFERROR(__xludf.DUMMYFUNCTION("""COMPUTED_VALUE"""),"No")</f>
        <v>No</v>
      </c>
      <c r="AF1956" s="5" t="str">
        <f ca="1">IFERROR(__xludf.DUMMYFUNCTION("""COMPUTED_VALUE"""),"No")</f>
        <v>No</v>
      </c>
      <c r="AG1956" s="5" t="str">
        <f ca="1">IFERROR(__xludf.DUMMYFUNCTION("""COMPUTED_VALUE"""),"No")</f>
        <v>No</v>
      </c>
      <c r="AH1956" s="5" t="str">
        <f ca="1">IFERROR(__xludf.DUMMYFUNCTION("""COMPUTED_VALUE"""),"No")</f>
        <v>No</v>
      </c>
      <c r="AI1956" s="5" t="str">
        <f ca="1">IFERROR(__xludf.DUMMYFUNCTION("""COMPUTED_VALUE"""),"No")</f>
        <v>No</v>
      </c>
      <c r="AJ1956" s="5"/>
    </row>
    <row r="1957" spans="1:36" ht="13">
      <c r="A1957" s="5" t="str">
        <f ca="1">IFERROR(__xludf.DUMMYFUNCTION("""COMPUTED_VALUE"""),"19880831MICED")</f>
        <v>19880831MICED</v>
      </c>
      <c r="B1957" s="5">
        <f ca="1">IFERROR(__xludf.DUMMYFUNCTION("""COMPUTED_VALUE"""),8)</f>
        <v>8</v>
      </c>
      <c r="C1957" s="5">
        <f ca="1">IFERROR(__xludf.DUMMYFUNCTION("""COMPUTED_VALUE"""),31)</f>
        <v>31</v>
      </c>
      <c r="D1957" s="5">
        <f ca="1">IFERROR(__xludf.DUMMYFUNCTION("""COMPUTED_VALUE"""),1988)</f>
        <v>1988</v>
      </c>
      <c r="E1957" s="8">
        <f ca="1">IFERROR(__xludf.DUMMYFUNCTION("""COMPUTED_VALUE"""),32386)</f>
        <v>32386</v>
      </c>
      <c r="F1957" s="5" t="str">
        <f ca="1">IFERROR(__xludf.DUMMYFUNCTION("""COMPUTED_VALUE"""),"Central High School")</f>
        <v>Central High School</v>
      </c>
      <c r="G1957" s="5">
        <f ca="1">IFERROR(__xludf.DUMMYFUNCTION("""COMPUTED_VALUE"""),0)</f>
        <v>0</v>
      </c>
      <c r="H1957" s="5">
        <f ca="1">IFERROR(__xludf.DUMMYFUNCTION("""COMPUTED_VALUE"""),1)</f>
        <v>1</v>
      </c>
      <c r="I1957" s="5">
        <f ca="1">IFERROR(__xludf.DUMMYFUNCTION("""COMPUTED_VALUE"""),1)</f>
        <v>1</v>
      </c>
      <c r="J1957" s="5">
        <f ca="1">IFERROR(__xludf.DUMMYFUNCTION("""COMPUTED_VALUE"""),0)</f>
        <v>0</v>
      </c>
      <c r="K1957" s="9" t="str">
        <f ca="1">IFERROR(__xludf.DUMMYFUNCTION("""COMPUTED_VALUE"""),"https://www.newspapers.com/image/99828797/?terms=student%2Bshot")</f>
        <v>https://www.newspapers.com/image/99828797/?terms=student%2Bshot</v>
      </c>
      <c r="L1957" s="5"/>
      <c r="M1957" s="5"/>
      <c r="N1957" s="5">
        <f ca="1">IFERROR(__xludf.DUMMYFUNCTION("""COMPUTED_VALUE"""),2)</f>
        <v>2</v>
      </c>
      <c r="O1957" s="5" t="str">
        <f ca="1">IFERROR(__xludf.DUMMYFUNCTION("""COMPUTED_VALUE"""),"Summer")</f>
        <v>Summer</v>
      </c>
      <c r="P1957" s="5" t="str">
        <f ca="1">IFERROR(__xludf.DUMMYFUNCTION("""COMPUTED_VALUE"""),"Detroit")</f>
        <v>Detroit</v>
      </c>
      <c r="Q1957" s="5" t="str">
        <f ca="1">IFERROR(__xludf.DUMMYFUNCTION("""COMPUTED_VALUE"""),"MI")</f>
        <v>MI</v>
      </c>
      <c r="R1957" s="5" t="str">
        <f ca="1">IFERROR(__xludf.DUMMYFUNCTION("""COMPUTED_VALUE"""),"High")</f>
        <v>High</v>
      </c>
      <c r="S1957" s="5" t="str">
        <f ca="1">IFERROR(__xludf.DUMMYFUNCTION("""COMPUTED_VALUE"""),"Hallway")</f>
        <v>Hallway</v>
      </c>
      <c r="T1957" s="5" t="str">
        <f ca="1">IFERROR(__xludf.DUMMYFUNCTION("""COMPUTED_VALUE"""),"Inside School Building")</f>
        <v>Inside School Building</v>
      </c>
      <c r="U1957" s="5" t="str">
        <f ca="1">IFERROR(__xludf.DUMMYFUNCTION("""COMPUTED_VALUE"""),"Yes")</f>
        <v>Yes</v>
      </c>
      <c r="V1957" s="5" t="str">
        <f ca="1">IFERROR(__xludf.DUMMYFUNCTION("""COMPUTED_VALUE"""),"Morning Classes")</f>
        <v>Morning Classes</v>
      </c>
      <c r="W1957" s="10">
        <f ca="1">IFERROR(__xludf.DUMMYFUNCTION("""COMPUTED_VALUE"""),0.451388888888888)</f>
        <v>0.45138888888888801</v>
      </c>
      <c r="X1957" s="5">
        <f ca="1">IFERROR(__xludf.DUMMYFUNCTION("""COMPUTED_VALUE"""),1)</f>
        <v>1</v>
      </c>
      <c r="Y1957" s="5" t="str">
        <f ca="1">IFERROR(__xludf.DUMMYFUNCTION("""COMPUTED_VALUE"""),"Gang-related shooting in school hallway")</f>
        <v>Gang-related shooting in school hallway</v>
      </c>
      <c r="Z1957" s="5" t="str">
        <f ca="1">IFERROR(__xludf.DUMMYFUNCTION("""COMPUTED_VALUE"""),"Victim was approached by another gang in school hallway, argument ensued stemming from the previous weekend - shooter pulled gun and began shooting at victim and another student.")</f>
        <v>Victim was approached by another gang in school hallway, argument ensued stemming from the previous weekend - shooter pulled gun and began shooting at victim and another student.</v>
      </c>
      <c r="AA1957" s="5" t="str">
        <f ca="1">IFERROR(__xludf.DUMMYFUNCTION("""COMPUTED_VALUE"""),"Escalation of Dispute")</f>
        <v>Escalation of Dispute</v>
      </c>
      <c r="AB1957" s="5" t="str">
        <f ca="1">IFERROR(__xludf.DUMMYFUNCTION("""COMPUTED_VALUE"""),"Victims Targeted")</f>
        <v>Victims Targeted</v>
      </c>
      <c r="AC1957" s="5" t="str">
        <f ca="1">IFERROR(__xludf.DUMMYFUNCTION("""COMPUTED_VALUE"""),"No")</f>
        <v>No</v>
      </c>
      <c r="AD1957" s="5" t="str">
        <f ca="1">IFERROR(__xludf.DUMMYFUNCTION("""COMPUTED_VALUE"""),"No")</f>
        <v>No</v>
      </c>
      <c r="AE1957" s="5" t="str">
        <f ca="1">IFERROR(__xludf.DUMMYFUNCTION("""COMPUTED_VALUE"""),"No")</f>
        <v>No</v>
      </c>
      <c r="AF1957" s="5" t="str">
        <f ca="1">IFERROR(__xludf.DUMMYFUNCTION("""COMPUTED_VALUE"""),"No")</f>
        <v>No</v>
      </c>
      <c r="AG1957" s="5" t="str">
        <f ca="1">IFERROR(__xludf.DUMMYFUNCTION("""COMPUTED_VALUE"""),"No")</f>
        <v>No</v>
      </c>
      <c r="AH1957" s="5" t="str">
        <f ca="1">IFERROR(__xludf.DUMMYFUNCTION("""COMPUTED_VALUE"""),"No")</f>
        <v>No</v>
      </c>
      <c r="AI1957" s="5" t="str">
        <f ca="1">IFERROR(__xludf.DUMMYFUNCTION("""COMPUTED_VALUE"""),"Yes")</f>
        <v>Yes</v>
      </c>
      <c r="AJ1957" s="5"/>
    </row>
    <row r="1958" spans="1:36" ht="13">
      <c r="A1958" s="5" t="str">
        <f ca="1">IFERROR(__xludf.DUMMYFUNCTION("""COMPUTED_VALUE"""),"19880831SCWEA")</f>
        <v>19880831SCWEA</v>
      </c>
      <c r="B1958" s="5">
        <f ca="1">IFERROR(__xludf.DUMMYFUNCTION("""COMPUTED_VALUE"""),8)</f>
        <v>8</v>
      </c>
      <c r="C1958" s="5">
        <f ca="1">IFERROR(__xludf.DUMMYFUNCTION("""COMPUTED_VALUE"""),31)</f>
        <v>31</v>
      </c>
      <c r="D1958" s="5">
        <f ca="1">IFERROR(__xludf.DUMMYFUNCTION("""COMPUTED_VALUE"""),1988)</f>
        <v>1988</v>
      </c>
      <c r="E1958" s="8">
        <f ca="1">IFERROR(__xludf.DUMMYFUNCTION("""COMPUTED_VALUE"""),32386)</f>
        <v>32386</v>
      </c>
      <c r="F1958" s="5" t="str">
        <f ca="1">IFERROR(__xludf.DUMMYFUNCTION("""COMPUTED_VALUE"""),"West Franklin Elementary School")</f>
        <v>West Franklin Elementary School</v>
      </c>
      <c r="G1958" s="5">
        <f ca="1">IFERROR(__xludf.DUMMYFUNCTION("""COMPUTED_VALUE"""),1)</f>
        <v>1</v>
      </c>
      <c r="H1958" s="5">
        <f ca="1">IFERROR(__xludf.DUMMYFUNCTION("""COMPUTED_VALUE"""),0)</f>
        <v>0</v>
      </c>
      <c r="I1958" s="5">
        <f ca="1">IFERROR(__xludf.DUMMYFUNCTION("""COMPUTED_VALUE"""),1)</f>
        <v>1</v>
      </c>
      <c r="J1958" s="5">
        <f ca="1">IFERROR(__xludf.DUMMYFUNCTION("""COMPUTED_VALUE"""),0)</f>
        <v>0</v>
      </c>
      <c r="K1958" s="9" t="str">
        <f ca="1">IFERROR(__xludf.DUMMYFUNCTION("""COMPUTED_VALUE"""),"https://www.newspapers.com/image/69768900/?terms=Dennis%2BRay%2BHepler")</f>
        <v>https://www.newspapers.com/image/69768900/?terms=Dennis%2BRay%2BHepler</v>
      </c>
      <c r="L1958" s="5"/>
      <c r="M1958" s="5"/>
      <c r="N1958" s="5">
        <f ca="1">IFERROR(__xludf.DUMMYFUNCTION("""COMPUTED_VALUE"""),2)</f>
        <v>2</v>
      </c>
      <c r="O1958" s="5" t="str">
        <f ca="1">IFERROR(__xludf.DUMMYFUNCTION("""COMPUTED_VALUE"""),"Summer")</f>
        <v>Summer</v>
      </c>
      <c r="P1958" s="5" t="str">
        <f ca="1">IFERROR(__xludf.DUMMYFUNCTION("""COMPUTED_VALUE"""),"Anderson")</f>
        <v>Anderson</v>
      </c>
      <c r="Q1958" s="5" t="str">
        <f ca="1">IFERROR(__xludf.DUMMYFUNCTION("""COMPUTED_VALUE"""),"SC")</f>
        <v>SC</v>
      </c>
      <c r="R1958" s="5" t="str">
        <f ca="1">IFERROR(__xludf.DUMMYFUNCTION("""COMPUTED_VALUE"""),"Elementary")</f>
        <v>Elementary</v>
      </c>
      <c r="S1958" s="5" t="str">
        <f ca="1">IFERROR(__xludf.DUMMYFUNCTION("""COMPUTED_VALUE"""),"Beside Building")</f>
        <v>Beside Building</v>
      </c>
      <c r="T1958" s="5" t="str">
        <f ca="1">IFERROR(__xludf.DUMMYFUNCTION("""COMPUTED_VALUE"""),"Outside on School Property")</f>
        <v>Outside on School Property</v>
      </c>
      <c r="U1958" s="5" t="str">
        <f ca="1">IFERROR(__xludf.DUMMYFUNCTION("""COMPUTED_VALUE"""),"Yes")</f>
        <v>Yes</v>
      </c>
      <c r="V1958" s="5" t="str">
        <f ca="1">IFERROR(__xludf.DUMMYFUNCTION("""COMPUTED_VALUE"""),"Night")</f>
        <v>Night</v>
      </c>
      <c r="W1958" s="10">
        <f ca="1">IFERROR(__xludf.DUMMYFUNCTION("""COMPUTED_VALUE"""),0.916666666666666)</f>
        <v>0.91666666666666596</v>
      </c>
      <c r="X1958" s="5">
        <f ca="1">IFERROR(__xludf.DUMMYFUNCTION("""COMPUTED_VALUE"""),1)</f>
        <v>1</v>
      </c>
      <c r="Y1958" s="5" t="str">
        <f ca="1">IFERROR(__xludf.DUMMYFUNCTION("""COMPUTED_VALUE"""),"Principal shot during robbery outside of school")</f>
        <v>Principal shot during robbery outside of school</v>
      </c>
      <c r="Z1958" s="5" t="str">
        <f ca="1">IFERROR(__xludf.DUMMYFUNCTION("""COMPUTED_VALUE"""),"Principal shot in the head during robbery outside of school. Three suspects charged. Shooter sentenced to death.")</f>
        <v>Principal shot in the head during robbery outside of school. Three suspects charged. Shooter sentenced to death.</v>
      </c>
      <c r="AA1958" s="5" t="str">
        <f ca="1">IFERROR(__xludf.DUMMYFUNCTION("""COMPUTED_VALUE"""),"Illegal Activity")</f>
        <v>Illegal Activity</v>
      </c>
      <c r="AB1958" s="5" t="str">
        <f ca="1">IFERROR(__xludf.DUMMYFUNCTION("""COMPUTED_VALUE"""),"Victims Targeted")</f>
        <v>Victims Targeted</v>
      </c>
      <c r="AC1958" s="5" t="str">
        <f ca="1">IFERROR(__xludf.DUMMYFUNCTION("""COMPUTED_VALUE"""),"Yes")</f>
        <v>Yes</v>
      </c>
      <c r="AD1958" s="5" t="str">
        <f ca="1">IFERROR(__xludf.DUMMYFUNCTION("""COMPUTED_VALUE"""),"No")</f>
        <v>No</v>
      </c>
      <c r="AE1958" s="5" t="str">
        <f ca="1">IFERROR(__xludf.DUMMYFUNCTION("""COMPUTED_VALUE"""),"No")</f>
        <v>No</v>
      </c>
      <c r="AF1958" s="5" t="str">
        <f ca="1">IFERROR(__xludf.DUMMYFUNCTION("""COMPUTED_VALUE"""),"No")</f>
        <v>No</v>
      </c>
      <c r="AG1958" s="5" t="str">
        <f ca="1">IFERROR(__xludf.DUMMYFUNCTION("""COMPUTED_VALUE"""),"No")</f>
        <v>No</v>
      </c>
      <c r="AH1958" s="5" t="str">
        <f ca="1">IFERROR(__xludf.DUMMYFUNCTION("""COMPUTED_VALUE"""),"No")</f>
        <v>No</v>
      </c>
      <c r="AI1958" s="5" t="str">
        <f ca="1">IFERROR(__xludf.DUMMYFUNCTION("""COMPUTED_VALUE"""),"No")</f>
        <v>No</v>
      </c>
      <c r="AJ1958" s="5"/>
    </row>
    <row r="1959" spans="1:36" ht="13">
      <c r="A1959" s="5" t="str">
        <f ca="1">IFERROR(__xludf.DUMMYFUNCTION("""COMPUTED_VALUE"""),"19880711MSLAJ")</f>
        <v>19880711MSLAJ</v>
      </c>
      <c r="B1959" s="5">
        <f ca="1">IFERROR(__xludf.DUMMYFUNCTION("""COMPUTED_VALUE"""),7)</f>
        <v>7</v>
      </c>
      <c r="C1959" s="5">
        <f ca="1">IFERROR(__xludf.DUMMYFUNCTION("""COMPUTED_VALUE"""),11)</f>
        <v>11</v>
      </c>
      <c r="D1959" s="5">
        <f ca="1">IFERROR(__xludf.DUMMYFUNCTION("""COMPUTED_VALUE"""),1988)</f>
        <v>1988</v>
      </c>
      <c r="E1959" s="8">
        <f ca="1">IFERROR(__xludf.DUMMYFUNCTION("""COMPUTED_VALUE"""),32335)</f>
        <v>32335</v>
      </c>
      <c r="F1959" s="5" t="str">
        <f ca="1">IFERROR(__xludf.DUMMYFUNCTION("""COMPUTED_VALUE"""),"Lanier High School")</f>
        <v>Lanier High School</v>
      </c>
      <c r="G1959" s="5">
        <f ca="1">IFERROR(__xludf.DUMMYFUNCTION("""COMPUTED_VALUE"""),0)</f>
        <v>0</v>
      </c>
      <c r="H1959" s="5">
        <f ca="1">IFERROR(__xludf.DUMMYFUNCTION("""COMPUTED_VALUE"""),1)</f>
        <v>1</v>
      </c>
      <c r="I1959" s="5">
        <f ca="1">IFERROR(__xludf.DUMMYFUNCTION("""COMPUTED_VALUE"""),1)</f>
        <v>1</v>
      </c>
      <c r="J1959" s="5">
        <f ca="1">IFERROR(__xludf.DUMMYFUNCTION("""COMPUTED_VALUE"""),0)</f>
        <v>0</v>
      </c>
      <c r="K1959" s="5" t="str">
        <f ca="1">IFERROR(__xludf.DUMMYFUNCTION("""COMPUTED_VALUE"""),"https://www.newspapers.com/image/184097820/?terms=lanier%2Bhigh%2Bschool%2Bshooting   https://www.newspapers.com/image/181502535/?terms=qutaize%2Bforrest   https://www.newspapers.com/image/181502499/?terms=qutaize%2Bforrest   https://www.newspapers.com/im"&amp;"age/184094077/?terms=lanier%2Bhigh%2Bschool%2Bshooting   https://www.newspapers.com/image/181502535/?terms=qutaize%2Bforrest   https://www.newspapers.com/image/278159911/?terms=qutaize%2Bforrest")</f>
        <v>https://www.newspapers.com/image/184097820/?terms=lanier%2Bhigh%2Bschool%2Bshooting   https://www.newspapers.com/image/181502535/?terms=qutaize%2Bforrest   https://www.newspapers.com/image/181502499/?terms=qutaize%2Bforrest   https://www.newspapers.com/image/184094077/?terms=lanier%2Bhigh%2Bschool%2Bshooting   https://www.newspapers.com/image/181502535/?terms=qutaize%2Bforrest   https://www.newspapers.com/image/278159911/?terms=qutaize%2Bforrest</v>
      </c>
      <c r="L1959" s="5"/>
      <c r="M1959" s="5"/>
      <c r="N1959" s="5">
        <f ca="1">IFERROR(__xludf.DUMMYFUNCTION("""COMPUTED_VALUE"""),3)</f>
        <v>3</v>
      </c>
      <c r="O1959" s="5" t="str">
        <f ca="1">IFERROR(__xludf.DUMMYFUNCTION("""COMPUTED_VALUE"""),"Summer")</f>
        <v>Summer</v>
      </c>
      <c r="P1959" s="5" t="str">
        <f ca="1">IFERROR(__xludf.DUMMYFUNCTION("""COMPUTED_VALUE"""),"Jackson")</f>
        <v>Jackson</v>
      </c>
      <c r="Q1959" s="5" t="str">
        <f ca="1">IFERROR(__xludf.DUMMYFUNCTION("""COMPUTED_VALUE"""),"MS")</f>
        <v>MS</v>
      </c>
      <c r="R1959" s="5" t="str">
        <f ca="1">IFERROR(__xludf.DUMMYFUNCTION("""COMPUTED_VALUE"""),"High")</f>
        <v>High</v>
      </c>
      <c r="S1959" s="5" t="str">
        <f ca="1">IFERROR(__xludf.DUMMYFUNCTION("""COMPUTED_VALUE"""),"Hallway")</f>
        <v>Hallway</v>
      </c>
      <c r="T1959" s="5" t="str">
        <f ca="1">IFERROR(__xludf.DUMMYFUNCTION("""COMPUTED_VALUE"""),"Inside School Building")</f>
        <v>Inside School Building</v>
      </c>
      <c r="U1959" s="5" t="str">
        <f ca="1">IFERROR(__xludf.DUMMYFUNCTION("""COMPUTED_VALUE"""),"Yes")</f>
        <v>Yes</v>
      </c>
      <c r="V1959" s="5" t="str">
        <f ca="1">IFERROR(__xludf.DUMMYFUNCTION("""COMPUTED_VALUE"""),"Morning Classes")</f>
        <v>Morning Classes</v>
      </c>
      <c r="W1959" s="10">
        <f ca="1">IFERROR(__xludf.DUMMYFUNCTION("""COMPUTED_VALUE"""),0.446527777777777)</f>
        <v>0.44652777777777702</v>
      </c>
      <c r="X1959" s="5">
        <f ca="1">IFERROR(__xludf.DUMMYFUNCTION("""COMPUTED_VALUE"""),2)</f>
        <v>2</v>
      </c>
      <c r="Y1959" s="5" t="str">
        <f ca="1">IFERROR(__xludf.DUMMYFUNCTION("""COMPUTED_VALUE"""),"Gang-related targeted shooting at school")</f>
        <v>Gang-related targeted shooting at school</v>
      </c>
      <c r="Z1959" s="5" t="str">
        <f ca="1">IFERROR(__xludf.DUMMYFUNCTION("""COMPUTED_VALUE"""),"16 year victim was shot in head and chest during a gang fight at school. During testimony, shooter said he had been repeatedly harassed by victim and his friends and shot victim in hallway only after he thought victim was reaching for a gun.")</f>
        <v>16 year victim was shot in head and chest during a gang fight at school. During testimony, shooter said he had been repeatedly harassed by victim and his friends and shot victim in hallway only after he thought victim was reaching for a gun.</v>
      </c>
      <c r="AA1959" s="5" t="str">
        <f ca="1">IFERROR(__xludf.DUMMYFUNCTION("""COMPUTED_VALUE"""),"Escalation of Dispute")</f>
        <v>Escalation of Dispute</v>
      </c>
      <c r="AB1959" s="5" t="str">
        <f ca="1">IFERROR(__xludf.DUMMYFUNCTION("""COMPUTED_VALUE"""),"Victims Targeted")</f>
        <v>Victims Targeted</v>
      </c>
      <c r="AC1959" s="5" t="str">
        <f ca="1">IFERROR(__xludf.DUMMYFUNCTION("""COMPUTED_VALUE"""),"No")</f>
        <v>No</v>
      </c>
      <c r="AD1959" s="5" t="str">
        <f ca="1">IFERROR(__xludf.DUMMYFUNCTION("""COMPUTED_VALUE"""),"No")</f>
        <v>No</v>
      </c>
      <c r="AE1959" s="5" t="str">
        <f ca="1">IFERROR(__xludf.DUMMYFUNCTION("""COMPUTED_VALUE"""),"No")</f>
        <v>No</v>
      </c>
      <c r="AF1959" s="5" t="str">
        <f ca="1">IFERROR(__xludf.DUMMYFUNCTION("""COMPUTED_VALUE"""),"No")</f>
        <v>No</v>
      </c>
      <c r="AG1959" s="5"/>
      <c r="AH1959" s="5" t="str">
        <f ca="1">IFERROR(__xludf.DUMMYFUNCTION("""COMPUTED_VALUE"""),"No")</f>
        <v>No</v>
      </c>
      <c r="AI1959" s="5" t="str">
        <f ca="1">IFERROR(__xludf.DUMMYFUNCTION("""COMPUTED_VALUE"""),"Yes")</f>
        <v>Yes</v>
      </c>
      <c r="AJ1959" s="5"/>
    </row>
    <row r="1960" spans="1:36" ht="13">
      <c r="A1960" s="5" t="str">
        <f ca="1">IFERROR(__xludf.DUMMYFUNCTION("""COMPUTED_VALUE"""),"19880710WISIM")</f>
        <v>19880710WISIM</v>
      </c>
      <c r="B1960" s="5">
        <f ca="1">IFERROR(__xludf.DUMMYFUNCTION("""COMPUTED_VALUE"""),7)</f>
        <v>7</v>
      </c>
      <c r="C1960" s="5">
        <f ca="1">IFERROR(__xludf.DUMMYFUNCTION("""COMPUTED_VALUE"""),10)</f>
        <v>10</v>
      </c>
      <c r="D1960" s="5">
        <f ca="1">IFERROR(__xludf.DUMMYFUNCTION("""COMPUTED_VALUE"""),1988)</f>
        <v>1988</v>
      </c>
      <c r="E1960" s="8">
        <f ca="1">IFERROR(__xludf.DUMMYFUNCTION("""COMPUTED_VALUE"""),32334)</f>
        <v>32334</v>
      </c>
      <c r="F1960" s="5" t="str">
        <f ca="1">IFERROR(__xludf.DUMMYFUNCTION("""COMPUTED_VALUE"""),"Siefert Elementary School")</f>
        <v>Siefert Elementary School</v>
      </c>
      <c r="G1960" s="5">
        <f ca="1">IFERROR(__xludf.DUMMYFUNCTION("""COMPUTED_VALUE"""),0)</f>
        <v>0</v>
      </c>
      <c r="H1960" s="5">
        <f ca="1">IFERROR(__xludf.DUMMYFUNCTION("""COMPUTED_VALUE"""),1)</f>
        <v>1</v>
      </c>
      <c r="I1960" s="5">
        <f ca="1">IFERROR(__xludf.DUMMYFUNCTION("""COMPUTED_VALUE"""),1)</f>
        <v>1</v>
      </c>
      <c r="J1960" s="5">
        <f ca="1">IFERROR(__xludf.DUMMYFUNCTION("""COMPUTED_VALUE"""),0)</f>
        <v>0</v>
      </c>
      <c r="K1960" s="9" t="str">
        <f ca="1">IFERROR(__xludf.DUMMYFUNCTION("""COMPUTED_VALUE"""),"https://news.google.com/newspapers?id=zWcaAAAAIBAJ&amp;pg=4608,2375219")</f>
        <v>https://news.google.com/newspapers?id=zWcaAAAAIBAJ&amp;pg=4608,2375219</v>
      </c>
      <c r="L1960" s="5">
        <f ca="1">IFERROR(__xludf.DUMMYFUNCTION("""COMPUTED_VALUE"""),1)</f>
        <v>1</v>
      </c>
      <c r="M1960" s="5" t="str">
        <f ca="1">IFERROR(__xludf.DUMMYFUNCTION("""COMPUTED_VALUE"""),"Local")</f>
        <v>Local</v>
      </c>
      <c r="N1960" s="5">
        <f ca="1">IFERROR(__xludf.DUMMYFUNCTION("""COMPUTED_VALUE"""),2)</f>
        <v>2</v>
      </c>
      <c r="O1960" s="5" t="str">
        <f ca="1">IFERROR(__xludf.DUMMYFUNCTION("""COMPUTED_VALUE"""),"Summer")</f>
        <v>Summer</v>
      </c>
      <c r="P1960" s="5" t="str">
        <f ca="1">IFERROR(__xludf.DUMMYFUNCTION("""COMPUTED_VALUE"""),"Milwaukee")</f>
        <v>Milwaukee</v>
      </c>
      <c r="Q1960" s="5" t="str">
        <f ca="1">IFERROR(__xludf.DUMMYFUNCTION("""COMPUTED_VALUE"""),"WI")</f>
        <v>WI</v>
      </c>
      <c r="R1960" s="5" t="str">
        <f ca="1">IFERROR(__xludf.DUMMYFUNCTION("""COMPUTED_VALUE"""),"Elementary")</f>
        <v>Elementary</v>
      </c>
      <c r="S1960" s="5" t="str">
        <f ca="1">IFERROR(__xludf.DUMMYFUNCTION("""COMPUTED_VALUE"""),"Basketball Court")</f>
        <v>Basketball Court</v>
      </c>
      <c r="T1960" s="5" t="str">
        <f ca="1">IFERROR(__xludf.DUMMYFUNCTION("""COMPUTED_VALUE"""),"Inside School Building")</f>
        <v>Inside School Building</v>
      </c>
      <c r="U1960" s="5" t="str">
        <f ca="1">IFERROR(__xludf.DUMMYFUNCTION("""COMPUTED_VALUE"""),"No")</f>
        <v>No</v>
      </c>
      <c r="V1960" s="5" t="str">
        <f ca="1">IFERROR(__xludf.DUMMYFUNCTION("""COMPUTED_VALUE"""),"Evening")</f>
        <v>Evening</v>
      </c>
      <c r="W1960" s="10">
        <f ca="1">IFERROR(__xludf.DUMMYFUNCTION("""COMPUTED_VALUE"""),0.822916666666666)</f>
        <v>0.82291666666666596</v>
      </c>
      <c r="X1960" s="5">
        <f ca="1">IFERROR(__xludf.DUMMYFUNCTION("""COMPUTED_VALUE"""),1)</f>
        <v>1</v>
      </c>
      <c r="Y1960" s="5" t="str">
        <f ca="1">IFERROR(__xludf.DUMMYFUNCTION("""COMPUTED_VALUE"""),"Adult basketball game at Elementary school turned violent")</f>
        <v>Adult basketball game at Elementary school turned violent</v>
      </c>
      <c r="Z1960" s="5" t="str">
        <f ca="1">IFERROR(__xludf.DUMMYFUNCTION("""COMPUTED_VALUE"""),"Weekend pick-up basketball game at the school turned violent. During an argument, the shooter pulled out an Uzi and fired 4 shots striking the victim in the arm. Shooter fled the scene and was arrested the next day.")</f>
        <v>Weekend pick-up basketball game at the school turned violent. During an argument, the shooter pulled out an Uzi and fired 4 shots striking the victim in the arm. Shooter fled the scene and was arrested the next day.</v>
      </c>
      <c r="AA1960" s="5" t="str">
        <f ca="1">IFERROR(__xludf.DUMMYFUNCTION("""COMPUTED_VALUE"""),"Escalation of Dispute")</f>
        <v>Escalation of Dispute</v>
      </c>
      <c r="AB1960" s="5" t="str">
        <f ca="1">IFERROR(__xludf.DUMMYFUNCTION("""COMPUTED_VALUE"""),"Victims Targeted")</f>
        <v>Victims Targeted</v>
      </c>
      <c r="AC1960" s="5" t="str">
        <f ca="1">IFERROR(__xludf.DUMMYFUNCTION("""COMPUTED_VALUE"""),"No")</f>
        <v>No</v>
      </c>
      <c r="AD1960" s="5" t="str">
        <f ca="1">IFERROR(__xludf.DUMMYFUNCTION("""COMPUTED_VALUE"""),"No")</f>
        <v>No</v>
      </c>
      <c r="AE1960" s="5" t="str">
        <f ca="1">IFERROR(__xludf.DUMMYFUNCTION("""COMPUTED_VALUE"""),"No")</f>
        <v>No</v>
      </c>
      <c r="AF1960" s="5" t="str">
        <f ca="1">IFERROR(__xludf.DUMMYFUNCTION("""COMPUTED_VALUE"""),"No")</f>
        <v>No</v>
      </c>
      <c r="AG1960" s="5"/>
      <c r="AH1960" s="5" t="str">
        <f ca="1">IFERROR(__xludf.DUMMYFUNCTION("""COMPUTED_VALUE"""),"No")</f>
        <v>No</v>
      </c>
      <c r="AI1960" s="5" t="str">
        <f ca="1">IFERROR(__xludf.DUMMYFUNCTION("""COMPUTED_VALUE"""),"Yes")</f>
        <v>Yes</v>
      </c>
      <c r="AJ1960" s="5"/>
    </row>
    <row r="1961" spans="1:36" ht="13">
      <c r="A1961" s="5" t="str">
        <f ca="1">IFERROR(__xludf.DUMMYFUNCTION("""COMPUTED_VALUE"""),"19880630HIAIO")</f>
        <v>19880630HIAIO</v>
      </c>
      <c r="B1961" s="5">
        <f ca="1">IFERROR(__xludf.DUMMYFUNCTION("""COMPUTED_VALUE"""),6)</f>
        <v>6</v>
      </c>
      <c r="C1961" s="5">
        <f ca="1">IFERROR(__xludf.DUMMYFUNCTION("""COMPUTED_VALUE"""),30)</f>
        <v>30</v>
      </c>
      <c r="D1961" s="5">
        <f ca="1">IFERROR(__xludf.DUMMYFUNCTION("""COMPUTED_VALUE"""),1988)</f>
        <v>1988</v>
      </c>
      <c r="E1961" s="8">
        <f ca="1">IFERROR(__xludf.DUMMYFUNCTION("""COMPUTED_VALUE"""),32324)</f>
        <v>32324</v>
      </c>
      <c r="F1961" s="5" t="str">
        <f ca="1">IFERROR(__xludf.DUMMYFUNCTION("""COMPUTED_VALUE"""),"Aiea High School")</f>
        <v>Aiea High School</v>
      </c>
      <c r="G1961" s="5">
        <f ca="1">IFERROR(__xludf.DUMMYFUNCTION("""COMPUTED_VALUE"""),0)</f>
        <v>0</v>
      </c>
      <c r="H1961" s="5">
        <f ca="1">IFERROR(__xludf.DUMMYFUNCTION("""COMPUTED_VALUE"""),1)</f>
        <v>1</v>
      </c>
      <c r="I1961" s="5">
        <f ca="1">IFERROR(__xludf.DUMMYFUNCTION("""COMPUTED_VALUE"""),1)</f>
        <v>1</v>
      </c>
      <c r="J1961" s="5">
        <f ca="1">IFERROR(__xludf.DUMMYFUNCTION("""COMPUTED_VALUE"""),0)</f>
        <v>0</v>
      </c>
      <c r="K1961" s="5" t="str">
        <f ca="1">IFERROR(__xludf.DUMMYFUNCTION("""COMPUTED_VALUE"""),"https://www.newspapers.com/image/263060322/?terms=rosemary%2Bstout; https://www.newspapers.com/image/263060287/?terms=romel%2Bcastro")</f>
        <v>https://www.newspapers.com/image/263060322/?terms=rosemary%2Bstout; https://www.newspapers.com/image/263060287/?terms=romel%2Bcastro</v>
      </c>
      <c r="L1961" s="5"/>
      <c r="M1961" s="5"/>
      <c r="N1961" s="5">
        <f ca="1">IFERROR(__xludf.DUMMYFUNCTION("""COMPUTED_VALUE"""),3)</f>
        <v>3</v>
      </c>
      <c r="O1961" s="5" t="str">
        <f ca="1">IFERROR(__xludf.DUMMYFUNCTION("""COMPUTED_VALUE"""),"Summer")</f>
        <v>Summer</v>
      </c>
      <c r="P1961" s="5" t="str">
        <f ca="1">IFERROR(__xludf.DUMMYFUNCTION("""COMPUTED_VALUE"""),"Oahu")</f>
        <v>Oahu</v>
      </c>
      <c r="Q1961" s="5" t="str">
        <f ca="1">IFERROR(__xludf.DUMMYFUNCTION("""COMPUTED_VALUE"""),"HI")</f>
        <v>HI</v>
      </c>
      <c r="R1961" s="5" t="str">
        <f ca="1">IFERROR(__xludf.DUMMYFUNCTION("""COMPUTED_VALUE"""),"High")</f>
        <v>High</v>
      </c>
      <c r="S1961" s="5" t="str">
        <f ca="1">IFERROR(__xludf.DUMMYFUNCTION("""COMPUTED_VALUE"""),"Classroom")</f>
        <v>Classroom</v>
      </c>
      <c r="T1961" s="5" t="str">
        <f ca="1">IFERROR(__xludf.DUMMYFUNCTION("""COMPUTED_VALUE"""),"Inside School Building")</f>
        <v>Inside School Building</v>
      </c>
      <c r="U1961" s="5" t="str">
        <f ca="1">IFERROR(__xludf.DUMMYFUNCTION("""COMPUTED_VALUE"""),"Yes")</f>
        <v>Yes</v>
      </c>
      <c r="V1961" s="5" t="str">
        <f ca="1">IFERROR(__xludf.DUMMYFUNCTION("""COMPUTED_VALUE"""),"Morning Classes")</f>
        <v>Morning Classes</v>
      </c>
      <c r="W1961" s="10">
        <f ca="1">IFERROR(__xludf.DUMMYFUNCTION("""COMPUTED_VALUE"""),0.434027777777777)</f>
        <v>0.43402777777777701</v>
      </c>
      <c r="X1961" s="5">
        <f ca="1">IFERROR(__xludf.DUMMYFUNCTION("""COMPUTED_VALUE"""),1)</f>
        <v>1</v>
      </c>
      <c r="Y1961" s="5" t="str">
        <f ca="1">IFERROR(__xludf.DUMMYFUNCTION("""COMPUTED_VALUE"""),"Argument with teacher, told students he planned to kill teacher")</f>
        <v>Argument with teacher, told students he planned to kill teacher</v>
      </c>
      <c r="Z1961" s="5" t="str">
        <f ca="1">IFERROR(__xludf.DUMMYFUNCTION("""COMPUTED_VALUE"""),"Shooter had gotten into an argument with the teacher earlier that day when she asked him to get a chair - he returned to class after recess and shot teacher. Had previously told students he planned to kill teacher. Shooter later fled and was caught by pol"&amp;"ice after he wrecked his car.")</f>
        <v>Shooter had gotten into an argument with the teacher earlier that day when she asked him to get a chair - he returned to class after recess and shot teacher. Had previously told students he planned to kill teacher. Shooter later fled and was caught by police after he wrecked his car.</v>
      </c>
      <c r="AA1961" s="5" t="str">
        <f ca="1">IFERROR(__xludf.DUMMYFUNCTION("""COMPUTED_VALUE"""),"Escalation of Dispute")</f>
        <v>Escalation of Dispute</v>
      </c>
      <c r="AB1961" s="5" t="str">
        <f ca="1">IFERROR(__xludf.DUMMYFUNCTION("""COMPUTED_VALUE"""),"Victims Targeted")</f>
        <v>Victims Targeted</v>
      </c>
      <c r="AC1961" s="5" t="str">
        <f ca="1">IFERROR(__xludf.DUMMYFUNCTION("""COMPUTED_VALUE"""),"No")</f>
        <v>No</v>
      </c>
      <c r="AD1961" s="5" t="str">
        <f ca="1">IFERROR(__xludf.DUMMYFUNCTION("""COMPUTED_VALUE"""),"No")</f>
        <v>No</v>
      </c>
      <c r="AE1961" s="5" t="str">
        <f ca="1">IFERROR(__xludf.DUMMYFUNCTION("""COMPUTED_VALUE"""),"No")</f>
        <v>No</v>
      </c>
      <c r="AF1961" s="5" t="str">
        <f ca="1">IFERROR(__xludf.DUMMYFUNCTION("""COMPUTED_VALUE"""),"No")</f>
        <v>No</v>
      </c>
      <c r="AG1961" s="5" t="str">
        <f ca="1">IFERROR(__xludf.DUMMYFUNCTION("""COMPUTED_VALUE"""),"No")</f>
        <v>No</v>
      </c>
      <c r="AH1961" s="5" t="str">
        <f ca="1">IFERROR(__xludf.DUMMYFUNCTION("""COMPUTED_VALUE"""),"No")</f>
        <v>No</v>
      </c>
      <c r="AI1961" s="5" t="str">
        <f ca="1">IFERROR(__xludf.DUMMYFUNCTION("""COMPUTED_VALUE"""),"No")</f>
        <v>No</v>
      </c>
      <c r="AJ1961" s="5"/>
    </row>
    <row r="1962" spans="1:36" ht="13">
      <c r="A1962" s="5" t="str">
        <f ca="1">IFERROR(__xludf.DUMMYFUNCTION("""COMPUTED_VALUE"""),"19880617MIJOD")</f>
        <v>19880617MIJOD</v>
      </c>
      <c r="B1962" s="5">
        <f ca="1">IFERROR(__xludf.DUMMYFUNCTION("""COMPUTED_VALUE"""),6)</f>
        <v>6</v>
      </c>
      <c r="C1962" s="5">
        <f ca="1">IFERROR(__xludf.DUMMYFUNCTION("""COMPUTED_VALUE"""),17)</f>
        <v>17</v>
      </c>
      <c r="D1962" s="5">
        <f ca="1">IFERROR(__xludf.DUMMYFUNCTION("""COMPUTED_VALUE"""),1988)</f>
        <v>1988</v>
      </c>
      <c r="E1962" s="8">
        <f ca="1">IFERROR(__xludf.DUMMYFUNCTION("""COMPUTED_VALUE"""),32311)</f>
        <v>32311</v>
      </c>
      <c r="F1962" s="5" t="str">
        <f ca="1">IFERROR(__xludf.DUMMYFUNCTION("""COMPUTED_VALUE"""),"Joy Middle School")</f>
        <v>Joy Middle School</v>
      </c>
      <c r="G1962" s="5">
        <f ca="1">IFERROR(__xludf.DUMMYFUNCTION("""COMPUTED_VALUE"""),0)</f>
        <v>0</v>
      </c>
      <c r="H1962" s="5">
        <f ca="1">IFERROR(__xludf.DUMMYFUNCTION("""COMPUTED_VALUE"""),1)</f>
        <v>1</v>
      </c>
      <c r="I1962" s="5">
        <f ca="1">IFERROR(__xludf.DUMMYFUNCTION("""COMPUTED_VALUE"""),1)</f>
        <v>1</v>
      </c>
      <c r="J1962" s="5">
        <f ca="1">IFERROR(__xludf.DUMMYFUNCTION("""COMPUTED_VALUE"""),0)</f>
        <v>0</v>
      </c>
      <c r="K1962" s="5" t="str">
        <f ca="1">IFERROR(__xludf.DUMMYFUNCTION("""COMPUTED_VALUE"""),"https://www.newspapers.com/image/99820382/?terms=JOY%2BMIDDLE%2BSCHOOL; https://www.newspapers.com/image/99822477/?terms=joy%2Bmiddle%2Bschool")</f>
        <v>https://www.newspapers.com/image/99820382/?terms=JOY%2BMIDDLE%2BSCHOOL; https://www.newspapers.com/image/99822477/?terms=joy%2Bmiddle%2Bschool</v>
      </c>
      <c r="L1962" s="5"/>
      <c r="M1962" s="5"/>
      <c r="N1962" s="5">
        <f ca="1">IFERROR(__xludf.DUMMYFUNCTION("""COMPUTED_VALUE"""),3)</f>
        <v>3</v>
      </c>
      <c r="O1962" s="5" t="str">
        <f ca="1">IFERROR(__xludf.DUMMYFUNCTION("""COMPUTED_VALUE"""),"Summer")</f>
        <v>Summer</v>
      </c>
      <c r="P1962" s="5" t="str">
        <f ca="1">IFERROR(__xludf.DUMMYFUNCTION("""COMPUTED_VALUE"""),"Detroit")</f>
        <v>Detroit</v>
      </c>
      <c r="Q1962" s="5" t="str">
        <f ca="1">IFERROR(__xludf.DUMMYFUNCTION("""COMPUTED_VALUE"""),"MI")</f>
        <v>MI</v>
      </c>
      <c r="R1962" s="5" t="str">
        <f ca="1">IFERROR(__xludf.DUMMYFUNCTION("""COMPUTED_VALUE"""),"Middle")</f>
        <v>Middle</v>
      </c>
      <c r="S1962" s="5" t="str">
        <f ca="1">IFERROR(__xludf.DUMMYFUNCTION("""COMPUTED_VALUE"""),"Hallway")</f>
        <v>Hallway</v>
      </c>
      <c r="T1962" s="5" t="str">
        <f ca="1">IFERROR(__xludf.DUMMYFUNCTION("""COMPUTED_VALUE"""),"Inside School Building")</f>
        <v>Inside School Building</v>
      </c>
      <c r="U1962" s="5" t="str">
        <f ca="1">IFERROR(__xludf.DUMMYFUNCTION("""COMPUTED_VALUE"""),"Yes")</f>
        <v>Yes</v>
      </c>
      <c r="V1962" s="5" t="str">
        <f ca="1">IFERROR(__xludf.DUMMYFUNCTION("""COMPUTED_VALUE"""),"Morning Classes")</f>
        <v>Morning Classes</v>
      </c>
      <c r="W1962" s="10">
        <f ca="1">IFERROR(__xludf.DUMMYFUNCTION("""COMPUTED_VALUE"""),0.395833333333333)</f>
        <v>0.39583333333333298</v>
      </c>
      <c r="X1962" s="5">
        <f ca="1">IFERROR(__xludf.DUMMYFUNCTION("""COMPUTED_VALUE"""),1)</f>
        <v>1</v>
      </c>
      <c r="Y1962" s="5" t="str">
        <f ca="1">IFERROR(__xludf.DUMMYFUNCTION("""COMPUTED_VALUE"""),"Escalation of ongoing argument")</f>
        <v>Escalation of ongoing argument</v>
      </c>
      <c r="Z1962" s="5" t="str">
        <f ca="1">IFERROR(__xludf.DUMMYFUNCTION("""COMPUTED_VALUE"""),"Earlier fight between victim and shooter broken up by teachers - shooter went home, got gun and came back to school. shot victim in hallway.")</f>
        <v>Earlier fight between victim and shooter broken up by teachers - shooter went home, got gun and came back to school. shot victim in hallway.</v>
      </c>
      <c r="AA1962" s="5" t="str">
        <f ca="1">IFERROR(__xludf.DUMMYFUNCTION("""COMPUTED_VALUE"""),"Escalation of Dispute")</f>
        <v>Escalation of Dispute</v>
      </c>
      <c r="AB1962" s="5" t="str">
        <f ca="1">IFERROR(__xludf.DUMMYFUNCTION("""COMPUTED_VALUE"""),"Victims Targeted")</f>
        <v>Victims Targeted</v>
      </c>
      <c r="AC1962" s="5" t="str">
        <f ca="1">IFERROR(__xludf.DUMMYFUNCTION("""COMPUTED_VALUE"""),"No")</f>
        <v>No</v>
      </c>
      <c r="AD1962" s="5" t="str">
        <f ca="1">IFERROR(__xludf.DUMMYFUNCTION("""COMPUTED_VALUE"""),"No")</f>
        <v>No</v>
      </c>
      <c r="AE1962" s="5" t="str">
        <f ca="1">IFERROR(__xludf.DUMMYFUNCTION("""COMPUTED_VALUE"""),"No")</f>
        <v>No</v>
      </c>
      <c r="AF1962" s="5" t="str">
        <f ca="1">IFERROR(__xludf.DUMMYFUNCTION("""COMPUTED_VALUE"""),"No")</f>
        <v>No</v>
      </c>
      <c r="AG1962" s="5" t="str">
        <f ca="1">IFERROR(__xludf.DUMMYFUNCTION("""COMPUTED_VALUE"""),"No")</f>
        <v>No</v>
      </c>
      <c r="AH1962" s="5" t="str">
        <f ca="1">IFERROR(__xludf.DUMMYFUNCTION("""COMPUTED_VALUE"""),"No")</f>
        <v>No</v>
      </c>
      <c r="AI1962" s="5" t="str">
        <f ca="1">IFERROR(__xludf.DUMMYFUNCTION("""COMPUTED_VALUE"""),"No")</f>
        <v>No</v>
      </c>
      <c r="AJ1962" s="5"/>
    </row>
    <row r="1963" spans="1:36" ht="13">
      <c r="A1963" s="5" t="str">
        <f ca="1">IFERROR(__xludf.DUMMYFUNCTION("""COMPUTED_VALUE"""),"19880602MSWIJ")</f>
        <v>19880602MSWIJ</v>
      </c>
      <c r="B1963" s="5">
        <f ca="1">IFERROR(__xludf.DUMMYFUNCTION("""COMPUTED_VALUE"""),6)</f>
        <v>6</v>
      </c>
      <c r="C1963" s="5">
        <f ca="1">IFERROR(__xludf.DUMMYFUNCTION("""COMPUTED_VALUE"""),2)</f>
        <v>2</v>
      </c>
      <c r="D1963" s="5">
        <f ca="1">IFERROR(__xludf.DUMMYFUNCTION("""COMPUTED_VALUE"""),1988)</f>
        <v>1988</v>
      </c>
      <c r="E1963" s="8">
        <f ca="1">IFERROR(__xludf.DUMMYFUNCTION("""COMPUTED_VALUE"""),32296)</f>
        <v>32296</v>
      </c>
      <c r="F1963" s="5" t="str">
        <f ca="1">IFERROR(__xludf.DUMMYFUNCTION("""COMPUTED_VALUE"""),"Wingfield High School")</f>
        <v>Wingfield High School</v>
      </c>
      <c r="G1963" s="5">
        <f ca="1">IFERROR(__xludf.DUMMYFUNCTION("""COMPUTED_VALUE"""),0)</f>
        <v>0</v>
      </c>
      <c r="H1963" s="5">
        <f ca="1">IFERROR(__xludf.DUMMYFUNCTION("""COMPUTED_VALUE"""),2)</f>
        <v>2</v>
      </c>
      <c r="I1963" s="5">
        <f ca="1">IFERROR(__xludf.DUMMYFUNCTION("""COMPUTED_VALUE"""),2)</f>
        <v>2</v>
      </c>
      <c r="J1963" s="5">
        <f ca="1">IFERROR(__xludf.DUMMYFUNCTION("""COMPUTED_VALUE"""),0)</f>
        <v>0</v>
      </c>
      <c r="K1963" s="5" t="str">
        <f ca="1">IFERROR(__xludf.DUMMYFUNCTION("""COMPUTED_VALUE"""),"https://www.newspapers.com/image/184121404/?terms=11%2Bjackson%2Bhigh%2Bschool%2Bshooting  https://www.newspapers.com/image/184048209/?spot=8868562")</f>
        <v>https://www.newspapers.com/image/184121404/?terms=11%2Bjackson%2Bhigh%2Bschool%2Bshooting  https://www.newspapers.com/image/184048209/?spot=8868562</v>
      </c>
      <c r="L1963" s="5"/>
      <c r="M1963" s="5"/>
      <c r="N1963" s="5">
        <f ca="1">IFERROR(__xludf.DUMMYFUNCTION("""COMPUTED_VALUE"""),3)</f>
        <v>3</v>
      </c>
      <c r="O1963" s="5" t="str">
        <f ca="1">IFERROR(__xludf.DUMMYFUNCTION("""COMPUTED_VALUE"""),"Summer")</f>
        <v>Summer</v>
      </c>
      <c r="P1963" s="5" t="str">
        <f ca="1">IFERROR(__xludf.DUMMYFUNCTION("""COMPUTED_VALUE"""),"Jackson")</f>
        <v>Jackson</v>
      </c>
      <c r="Q1963" s="5" t="str">
        <f ca="1">IFERROR(__xludf.DUMMYFUNCTION("""COMPUTED_VALUE"""),"MS")</f>
        <v>MS</v>
      </c>
      <c r="R1963" s="5" t="str">
        <f ca="1">IFERROR(__xludf.DUMMYFUNCTION("""COMPUTED_VALUE"""),"High")</f>
        <v>High</v>
      </c>
      <c r="S1963" s="5" t="str">
        <f ca="1">IFERROR(__xludf.DUMMYFUNCTION("""COMPUTED_VALUE"""),"Outside on School Property")</f>
        <v>Outside on School Property</v>
      </c>
      <c r="T1963" s="5" t="str">
        <f ca="1">IFERROR(__xludf.DUMMYFUNCTION("""COMPUTED_VALUE"""),"Outside on School Property")</f>
        <v>Outside on School Property</v>
      </c>
      <c r="U1963" s="5" t="str">
        <f ca="1">IFERROR(__xludf.DUMMYFUNCTION("""COMPUTED_VALUE"""),"Yes")</f>
        <v>Yes</v>
      </c>
      <c r="V1963" s="5" t="str">
        <f ca="1">IFERROR(__xludf.DUMMYFUNCTION("""COMPUTED_VALUE"""),"Dismissal")</f>
        <v>Dismissal</v>
      </c>
      <c r="W1963" s="10">
        <f ca="1">IFERROR(__xludf.DUMMYFUNCTION("""COMPUTED_VALUE"""),0.520833333333333)</f>
        <v>0.52083333333333304</v>
      </c>
      <c r="X1963" s="5">
        <f ca="1">IFERROR(__xludf.DUMMYFUNCTION("""COMPUTED_VALUE"""),1)</f>
        <v>1</v>
      </c>
      <c r="Y1963" s="5" t="str">
        <f ca="1">IFERROR(__xludf.DUMMYFUNCTION("""COMPUTED_VALUE"""),"Gang related shooting outside of school")</f>
        <v>Gang related shooting outside of school</v>
      </c>
      <c r="Z1963" s="5" t="str">
        <f ca="1">IFERROR(__xludf.DUMMYFUNCTION("""COMPUTED_VALUE"""),"Gang violence erupted between students of Wingfield who were Vice Lords and three other non students who were Folks. Three suspects were charged with the shooting.")</f>
        <v>Gang violence erupted between students of Wingfield who were Vice Lords and three other non students who were Folks. Three suspects were charged with the shooting.</v>
      </c>
      <c r="AA1963" s="5" t="str">
        <f ca="1">IFERROR(__xludf.DUMMYFUNCTION("""COMPUTED_VALUE"""),"Escalation of Dispute")</f>
        <v>Escalation of Dispute</v>
      </c>
      <c r="AB1963" s="5" t="str">
        <f ca="1">IFERROR(__xludf.DUMMYFUNCTION("""COMPUTED_VALUE"""),"Victims Targeted")</f>
        <v>Victims Targeted</v>
      </c>
      <c r="AC1963" s="5" t="str">
        <f ca="1">IFERROR(__xludf.DUMMYFUNCTION("""COMPUTED_VALUE"""),"Yes")</f>
        <v>Yes</v>
      </c>
      <c r="AD1963" s="5" t="str">
        <f ca="1">IFERROR(__xludf.DUMMYFUNCTION("""COMPUTED_VALUE"""),"No")</f>
        <v>No</v>
      </c>
      <c r="AE1963" s="5" t="str">
        <f ca="1">IFERROR(__xludf.DUMMYFUNCTION("""COMPUTED_VALUE"""),"No")</f>
        <v>No</v>
      </c>
      <c r="AF1963" s="5" t="str">
        <f ca="1">IFERROR(__xludf.DUMMYFUNCTION("""COMPUTED_VALUE"""),"No")</f>
        <v>No</v>
      </c>
      <c r="AG1963" s="5" t="str">
        <f ca="1">IFERROR(__xludf.DUMMYFUNCTION("""COMPUTED_VALUE"""),"No")</f>
        <v>No</v>
      </c>
      <c r="AH1963" s="5" t="str">
        <f ca="1">IFERROR(__xludf.DUMMYFUNCTION("""COMPUTED_VALUE"""),"No")</f>
        <v>No</v>
      </c>
      <c r="AI1963" s="5" t="str">
        <f ca="1">IFERROR(__xludf.DUMMYFUNCTION("""COMPUTED_VALUE"""),"Yes")</f>
        <v>Yes</v>
      </c>
      <c r="AJ1963" s="5"/>
    </row>
    <row r="1964" spans="1:36" ht="13">
      <c r="A1964" s="5" t="str">
        <f ca="1">IFERROR(__xludf.DUMMYFUNCTION("""COMPUTED_VALUE"""),"19880531NYPUB")</f>
        <v>19880531NYPUB</v>
      </c>
      <c r="B1964" s="5">
        <f ca="1">IFERROR(__xludf.DUMMYFUNCTION("""COMPUTED_VALUE"""),5)</f>
        <v>5</v>
      </c>
      <c r="C1964" s="5">
        <f ca="1">IFERROR(__xludf.DUMMYFUNCTION("""COMPUTED_VALUE"""),31)</f>
        <v>31</v>
      </c>
      <c r="D1964" s="5">
        <f ca="1">IFERROR(__xludf.DUMMYFUNCTION("""COMPUTED_VALUE"""),1988)</f>
        <v>1988</v>
      </c>
      <c r="E1964" s="8">
        <f ca="1">IFERROR(__xludf.DUMMYFUNCTION("""COMPUTED_VALUE"""),32294)</f>
        <v>32294</v>
      </c>
      <c r="F1964" s="5" t="str">
        <f ca="1">IFERROR(__xludf.DUMMYFUNCTION("""COMPUTED_VALUE"""),"Public School 67")</f>
        <v>Public School 67</v>
      </c>
      <c r="G1964" s="5">
        <f ca="1">IFERROR(__xludf.DUMMYFUNCTION("""COMPUTED_VALUE"""),0)</f>
        <v>0</v>
      </c>
      <c r="H1964" s="5">
        <f ca="1">IFERROR(__xludf.DUMMYFUNCTION("""COMPUTED_VALUE"""),1)</f>
        <v>1</v>
      </c>
      <c r="I1964" s="5">
        <f ca="1">IFERROR(__xludf.DUMMYFUNCTION("""COMPUTED_VALUE"""),1)</f>
        <v>1</v>
      </c>
      <c r="J1964" s="5">
        <f ca="1">IFERROR(__xludf.DUMMYFUNCTION("""COMPUTED_VALUE"""),0)</f>
        <v>0</v>
      </c>
      <c r="K1964" s="9" t="str">
        <f ca="1">IFERROR(__xludf.DUMMYFUNCTION("""COMPUTED_VALUE"""),"https://www.newspapers.com/image/145067165/?terms=bridget%2Bisaacs")</f>
        <v>https://www.newspapers.com/image/145067165/?terms=bridget%2Bisaacs</v>
      </c>
      <c r="L1964" s="5"/>
      <c r="M1964" s="5"/>
      <c r="N1964" s="5">
        <f ca="1">IFERROR(__xludf.DUMMYFUNCTION("""COMPUTED_VALUE"""),2)</f>
        <v>2</v>
      </c>
      <c r="O1964" s="5" t="str">
        <f ca="1">IFERROR(__xludf.DUMMYFUNCTION("""COMPUTED_VALUE"""),"Spring")</f>
        <v>Spring</v>
      </c>
      <c r="P1964" s="5" t="str">
        <f ca="1">IFERROR(__xludf.DUMMYFUNCTION("""COMPUTED_VALUE"""),"Bronx")</f>
        <v>Bronx</v>
      </c>
      <c r="Q1964" s="5" t="str">
        <f ca="1">IFERROR(__xludf.DUMMYFUNCTION("""COMPUTED_VALUE"""),"NY")</f>
        <v>NY</v>
      </c>
      <c r="R1964" s="5" t="str">
        <f ca="1">IFERROR(__xludf.DUMMYFUNCTION("""COMPUTED_VALUE"""),"Elementary")</f>
        <v>Elementary</v>
      </c>
      <c r="S1964" s="5" t="str">
        <f ca="1">IFERROR(__xludf.DUMMYFUNCTION("""COMPUTED_VALUE"""),"Beside Building")</f>
        <v>Beside Building</v>
      </c>
      <c r="T1964" s="5" t="str">
        <f ca="1">IFERROR(__xludf.DUMMYFUNCTION("""COMPUTED_VALUE"""),"Outside on School Property")</f>
        <v>Outside on School Property</v>
      </c>
      <c r="U1964" s="5" t="str">
        <f ca="1">IFERROR(__xludf.DUMMYFUNCTION("""COMPUTED_VALUE"""),"Yes")</f>
        <v>Yes</v>
      </c>
      <c r="V1964" s="5" t="str">
        <f ca="1">IFERROR(__xludf.DUMMYFUNCTION("""COMPUTED_VALUE"""),"Dismissal")</f>
        <v>Dismissal</v>
      </c>
      <c r="W1964" s="5"/>
      <c r="X1964" s="5">
        <f ca="1">IFERROR(__xludf.DUMMYFUNCTION("""COMPUTED_VALUE"""),1)</f>
        <v>1</v>
      </c>
      <c r="Y1964" s="5" t="str">
        <f ca="1">IFERROR(__xludf.DUMMYFUNCTION("""COMPUTED_VALUE"""),"Bystander teacher shot during fight outside of school")</f>
        <v>Bystander teacher shot during fight outside of school</v>
      </c>
      <c r="Z1964" s="5" t="str">
        <f ca="1">IFERROR(__xludf.DUMMYFUNCTION("""COMPUTED_VALUE"""),"Teacher stepped outside school building after dismissing class - shot in thigh by one of two men who were arguing near by - suspects fled - no arrests made")</f>
        <v>Teacher stepped outside school building after dismissing class - shot in thigh by one of two men who were arguing near by - suspects fled - no arrests made</v>
      </c>
      <c r="AA1964" s="5" t="str">
        <f ca="1">IFERROR(__xludf.DUMMYFUNCTION("""COMPUTED_VALUE"""),"Escalation of Dispute")</f>
        <v>Escalation of Dispute</v>
      </c>
      <c r="AB1964" s="5" t="str">
        <f ca="1">IFERROR(__xludf.DUMMYFUNCTION("""COMPUTED_VALUE"""),"Random Shooting")</f>
        <v>Random Shooting</v>
      </c>
      <c r="AC1964" s="5" t="str">
        <f ca="1">IFERROR(__xludf.DUMMYFUNCTION("""COMPUTED_VALUE"""),"No")</f>
        <v>No</v>
      </c>
      <c r="AD1964" s="5" t="str">
        <f ca="1">IFERROR(__xludf.DUMMYFUNCTION("""COMPUTED_VALUE"""),"No")</f>
        <v>No</v>
      </c>
      <c r="AE1964" s="5" t="str">
        <f ca="1">IFERROR(__xludf.DUMMYFUNCTION("""COMPUTED_VALUE"""),"No")</f>
        <v>No</v>
      </c>
      <c r="AF1964" s="5" t="str">
        <f ca="1">IFERROR(__xludf.DUMMYFUNCTION("""COMPUTED_VALUE"""),"No")</f>
        <v>No</v>
      </c>
      <c r="AG1964" s="5" t="str">
        <f ca="1">IFERROR(__xludf.DUMMYFUNCTION("""COMPUTED_VALUE"""),"No")</f>
        <v>No</v>
      </c>
      <c r="AH1964" s="5" t="str">
        <f ca="1">IFERROR(__xludf.DUMMYFUNCTION("""COMPUTED_VALUE"""),"No")</f>
        <v>No</v>
      </c>
      <c r="AI1964" s="5" t="str">
        <f ca="1">IFERROR(__xludf.DUMMYFUNCTION("""COMPUTED_VALUE"""),"No")</f>
        <v>No</v>
      </c>
      <c r="AJ1964" s="5"/>
    </row>
    <row r="1965" spans="1:36" ht="13">
      <c r="A1965" s="5" t="str">
        <f ca="1">IFERROR(__xludf.DUMMYFUNCTION("""COMPUTED_VALUE"""),"19880520ILHUW")</f>
        <v>19880520ILHUW</v>
      </c>
      <c r="B1965" s="5">
        <f ca="1">IFERROR(__xludf.DUMMYFUNCTION("""COMPUTED_VALUE"""),5)</f>
        <v>5</v>
      </c>
      <c r="C1965" s="5">
        <f ca="1">IFERROR(__xludf.DUMMYFUNCTION("""COMPUTED_VALUE"""),20)</f>
        <v>20</v>
      </c>
      <c r="D1965" s="5">
        <f ca="1">IFERROR(__xludf.DUMMYFUNCTION("""COMPUTED_VALUE"""),1988)</f>
        <v>1988</v>
      </c>
      <c r="E1965" s="8">
        <f ca="1">IFERROR(__xludf.DUMMYFUNCTION("""COMPUTED_VALUE"""),32283)</f>
        <v>32283</v>
      </c>
      <c r="F1965" s="5" t="str">
        <f ca="1">IFERROR(__xludf.DUMMYFUNCTION("""COMPUTED_VALUE"""),"Hubbard Woods Elementary School")</f>
        <v>Hubbard Woods Elementary School</v>
      </c>
      <c r="G1965" s="5">
        <f ca="1">IFERROR(__xludf.DUMMYFUNCTION("""COMPUTED_VALUE"""),1)</f>
        <v>1</v>
      </c>
      <c r="H1965" s="5">
        <f ca="1">IFERROR(__xludf.DUMMYFUNCTION("""COMPUTED_VALUE"""),6)</f>
        <v>6</v>
      </c>
      <c r="I1965" s="5">
        <f ca="1">IFERROR(__xludf.DUMMYFUNCTION("""COMPUTED_VALUE"""),7)</f>
        <v>7</v>
      </c>
      <c r="J1965" s="5">
        <f ca="1">IFERROR(__xludf.DUMMYFUNCTION("""COMPUTED_VALUE"""),1)</f>
        <v>1</v>
      </c>
      <c r="K1965" s="5" t="str">
        <f ca="1">IFERROR(__xludf.DUMMYFUNCTION("""COMPUTED_VALUE"""),"http://articles.chicagotribune.com/2013-05-19/news/ct-met-laurie-dann-25-years-later-20130519_1_school-violence-hubbard-woods-school-school-shootings; https://en.wikipedia.org/wiki/Laurie_Dann")</f>
        <v>http://articles.chicagotribune.com/2013-05-19/news/ct-met-laurie-dann-25-years-later-20130519_1_school-violence-hubbard-woods-school-school-shootings; https://en.wikipedia.org/wiki/Laurie_Dann</v>
      </c>
      <c r="L1965" s="5"/>
      <c r="M1965" s="5"/>
      <c r="N1965" s="5">
        <f ca="1">IFERROR(__xludf.DUMMYFUNCTION("""COMPUTED_VALUE"""),3)</f>
        <v>3</v>
      </c>
      <c r="O1965" s="5" t="str">
        <f ca="1">IFERROR(__xludf.DUMMYFUNCTION("""COMPUTED_VALUE"""),"Spring")</f>
        <v>Spring</v>
      </c>
      <c r="P1965" s="5" t="str">
        <f ca="1">IFERROR(__xludf.DUMMYFUNCTION("""COMPUTED_VALUE"""),"Winnetka")</f>
        <v>Winnetka</v>
      </c>
      <c r="Q1965" s="5" t="str">
        <f ca="1">IFERROR(__xludf.DUMMYFUNCTION("""COMPUTED_VALUE"""),"IL")</f>
        <v>IL</v>
      </c>
      <c r="R1965" s="5" t="str">
        <f ca="1">IFERROR(__xludf.DUMMYFUNCTION("""COMPUTED_VALUE"""),"Elementary")</f>
        <v>Elementary</v>
      </c>
      <c r="S1965" s="5" t="str">
        <f ca="1">IFERROR(__xludf.DUMMYFUNCTION("""COMPUTED_VALUE"""),"Hallway; Beside Building")</f>
        <v>Hallway; Beside Building</v>
      </c>
      <c r="T1965" s="5" t="str">
        <f ca="1">IFERROR(__xludf.DUMMYFUNCTION("""COMPUTED_VALUE"""),"Both Inside/Outside")</f>
        <v>Both Inside/Outside</v>
      </c>
      <c r="U1965" s="5" t="str">
        <f ca="1">IFERROR(__xludf.DUMMYFUNCTION("""COMPUTED_VALUE"""),"Yes")</f>
        <v>Yes</v>
      </c>
      <c r="V1965" s="5" t="str">
        <f ca="1">IFERROR(__xludf.DUMMYFUNCTION("""COMPUTED_VALUE"""),"School Start")</f>
        <v>School Start</v>
      </c>
      <c r="W1965" s="10">
        <f ca="1">IFERROR(__xludf.DUMMYFUNCTION("""COMPUTED_VALUE"""),0.375)</f>
        <v>0.375</v>
      </c>
      <c r="X1965" s="5">
        <f ca="1">IFERROR(__xludf.DUMMYFUNCTION("""COMPUTED_VALUE"""),720)</f>
        <v>720</v>
      </c>
      <c r="Y1965" s="5" t="str">
        <f ca="1">IFERROR(__xludf.DUMMYFUNCTION("""COMPUTED_VALUE"""),"Babysitter attempted to burn down school and shot random students")</f>
        <v>Babysitter attempted to burn down school and shot random students</v>
      </c>
      <c r="Z1965" s="5" t="str">
        <f ca="1">IFERROR(__xludf.DUMMYFUNCTION("""COMPUTED_VALUE"""),"Shooter attempted to poison two children she was babysitting, drove them to a school where she believe her sister in laws children were, attempted to burn down the school, attempted to burn down another house with people inside, went to another school and"&amp;" shot multiple children then attempted to burn it down, fled the scene and took two people hostage in their home. Commit suicide while in custody. Shooter had significant mental health issues and was receiving treatment from multiple mental health provide"&amp;"rs. Condition became worse prior to the shootings as she called in death threats to schools and former babysitting clients. News paper clipping were found in her room describing other shootings. Family was sued for trying to hide her mental health issues.")</f>
        <v>Shooter attempted to poison two children she was babysitting, drove them to a school where she believe her sister in laws children were, attempted to burn down the school, attempted to burn down another house with people inside, went to another school and shot multiple children then attempted to burn it down, fled the scene and took two people hostage in their home. Commit suicide while in custody. Shooter had significant mental health issues and was receiving treatment from multiple mental health providers. Condition became worse prior to the shootings as she called in death threats to schools and former babysitting clients. News paper clipping were found in her room describing other shootings. Family was sued for trying to hide her mental health issues.</v>
      </c>
      <c r="AA1965" s="5" t="str">
        <f ca="1">IFERROR(__xludf.DUMMYFUNCTION("""COMPUTED_VALUE"""),"Psychosis")</f>
        <v>Psychosis</v>
      </c>
      <c r="AB1965" s="5" t="str">
        <f ca="1">IFERROR(__xludf.DUMMYFUNCTION("""COMPUTED_VALUE"""),"Both")</f>
        <v>Both</v>
      </c>
      <c r="AC1965" s="5" t="str">
        <f ca="1">IFERROR(__xludf.DUMMYFUNCTION("""COMPUTED_VALUE"""),"No")</f>
        <v>No</v>
      </c>
      <c r="AD1965" s="5" t="str">
        <f ca="1">IFERROR(__xludf.DUMMYFUNCTION("""COMPUTED_VALUE"""),"No")</f>
        <v>No</v>
      </c>
      <c r="AE1965" s="5" t="str">
        <f ca="1">IFERROR(__xludf.DUMMYFUNCTION("""COMPUTED_VALUE"""),"No")</f>
        <v>No</v>
      </c>
      <c r="AF1965" s="5" t="str">
        <f ca="1">IFERROR(__xludf.DUMMYFUNCTION("""COMPUTED_VALUE"""),"No")</f>
        <v>No</v>
      </c>
      <c r="AG1965" s="5" t="str">
        <f ca="1">IFERROR(__xludf.DUMMYFUNCTION("""COMPUTED_VALUE"""),"No")</f>
        <v>No</v>
      </c>
      <c r="AH1965" s="5" t="str">
        <f ca="1">IFERROR(__xludf.DUMMYFUNCTION("""COMPUTED_VALUE"""),"No")</f>
        <v>No</v>
      </c>
      <c r="AI1965" s="5" t="str">
        <f ca="1">IFERROR(__xludf.DUMMYFUNCTION("""COMPUTED_VALUE"""),"No")</f>
        <v>No</v>
      </c>
      <c r="AJ1965" s="5" t="str">
        <f ca="1">IFERROR(__xludf.DUMMYFUNCTION("""COMPUTED_VALUE"""),"Yes")</f>
        <v>Yes</v>
      </c>
    </row>
    <row r="1966" spans="1:36" ht="13">
      <c r="A1966" s="5" t="str">
        <f ca="1">IFERROR(__xludf.DUMMYFUNCTION("""COMPUTED_VALUE"""),"19880516FLFOF")</f>
        <v>19880516FLFOF</v>
      </c>
      <c r="B1966" s="5">
        <f ca="1">IFERROR(__xludf.DUMMYFUNCTION("""COMPUTED_VALUE"""),5)</f>
        <v>5</v>
      </c>
      <c r="C1966" s="5">
        <f ca="1">IFERROR(__xludf.DUMMYFUNCTION("""COMPUTED_VALUE"""),16)</f>
        <v>16</v>
      </c>
      <c r="D1966" s="5">
        <f ca="1">IFERROR(__xludf.DUMMYFUNCTION("""COMPUTED_VALUE"""),1988)</f>
        <v>1988</v>
      </c>
      <c r="E1966" s="8">
        <f ca="1">IFERROR(__xludf.DUMMYFUNCTION("""COMPUTED_VALUE"""),32279)</f>
        <v>32279</v>
      </c>
      <c r="F1966" s="5" t="str">
        <f ca="1">IFERROR(__xludf.DUMMYFUNCTION("""COMPUTED_VALUE"""),"Fort Myers Middle School")</f>
        <v>Fort Myers Middle School</v>
      </c>
      <c r="G1966" s="5">
        <f ca="1">IFERROR(__xludf.DUMMYFUNCTION("""COMPUTED_VALUE"""),0)</f>
        <v>0</v>
      </c>
      <c r="H1966" s="5">
        <f ca="1">IFERROR(__xludf.DUMMYFUNCTION("""COMPUTED_VALUE"""),1)</f>
        <v>1</v>
      </c>
      <c r="I1966" s="5">
        <f ca="1">IFERROR(__xludf.DUMMYFUNCTION("""COMPUTED_VALUE"""),1)</f>
        <v>1</v>
      </c>
      <c r="J1966" s="5">
        <f ca="1">IFERROR(__xludf.DUMMYFUNCTION("""COMPUTED_VALUE"""),0)</f>
        <v>0</v>
      </c>
      <c r="K1966" s="5" t="str">
        <f ca="1">IFERROR(__xludf.DUMMYFUNCTION("""COMPUTED_VALUE"""),"https://www.newspapers.com/image/215978031/?terms=DEREK%2BSTRONG%2BSTUDENT;  https://www.newspapers.com/image/215978301/   https://www.newspapers.com/image/215580085/?terms=student%2Bshot&amp;match=2")</f>
        <v>https://www.newspapers.com/image/215978031/?terms=DEREK%2BSTRONG%2BSTUDENT;  https://www.newspapers.com/image/215978301/   https://www.newspapers.com/image/215580085/?terms=student%2Bshot&amp;match=2</v>
      </c>
      <c r="L1966" s="5"/>
      <c r="M1966" s="5"/>
      <c r="N1966" s="5">
        <f ca="1">IFERROR(__xludf.DUMMYFUNCTION("""COMPUTED_VALUE"""),3)</f>
        <v>3</v>
      </c>
      <c r="O1966" s="5" t="str">
        <f ca="1">IFERROR(__xludf.DUMMYFUNCTION("""COMPUTED_VALUE"""),"Spring")</f>
        <v>Spring</v>
      </c>
      <c r="P1966" s="5" t="str">
        <f ca="1">IFERROR(__xludf.DUMMYFUNCTION("""COMPUTED_VALUE"""),"Fort Myers")</f>
        <v>Fort Myers</v>
      </c>
      <c r="Q1966" s="5" t="str">
        <f ca="1">IFERROR(__xludf.DUMMYFUNCTION("""COMPUTED_VALUE"""),"FL")</f>
        <v>FL</v>
      </c>
      <c r="R1966" s="5" t="str">
        <f ca="1">IFERROR(__xludf.DUMMYFUNCTION("""COMPUTED_VALUE"""),"Middle")</f>
        <v>Middle</v>
      </c>
      <c r="S1966" s="5" t="str">
        <f ca="1">IFERROR(__xludf.DUMMYFUNCTION("""COMPUTED_VALUE"""),"School Bus")</f>
        <v>School Bus</v>
      </c>
      <c r="T1966" s="5" t="str">
        <f ca="1">IFERROR(__xludf.DUMMYFUNCTION("""COMPUTED_VALUE"""),"School Bus")</f>
        <v>School Bus</v>
      </c>
      <c r="U1966" s="5" t="str">
        <f ca="1">IFERROR(__xludf.DUMMYFUNCTION("""COMPUTED_VALUE"""),"Yes")</f>
        <v>Yes</v>
      </c>
      <c r="V1966" s="5" t="str">
        <f ca="1">IFERROR(__xludf.DUMMYFUNCTION("""COMPUTED_VALUE"""),"After School")</f>
        <v>After School</v>
      </c>
      <c r="W1966" s="10">
        <f ca="1">IFERROR(__xludf.DUMMYFUNCTION("""COMPUTED_VALUE"""),0.654861111111111)</f>
        <v>0.65486111111111101</v>
      </c>
      <c r="X1966" s="5">
        <f ca="1">IFERROR(__xludf.DUMMYFUNCTION("""COMPUTED_VALUE"""),1)</f>
        <v>1</v>
      </c>
      <c r="Y1966" s="5" t="str">
        <f ca="1">IFERROR(__xludf.DUMMYFUNCTION("""COMPUTED_VALUE"""),"Targeted shooting of victim involved in prior fight")</f>
        <v>Targeted shooting of victim involved in prior fight</v>
      </c>
      <c r="Z1966" s="5" t="str">
        <f ca="1">IFERROR(__xludf.DUMMYFUNCTION("""COMPUTED_VALUE"""),"Ongoing feud - last week, victim had beat up suspect pretty bad - suspect retaliated by shooting victim while on school bus ride home")</f>
        <v>Ongoing feud - last week, victim had beat up suspect pretty bad - suspect retaliated by shooting victim while on school bus ride home</v>
      </c>
      <c r="AA1966" s="5" t="str">
        <f ca="1">IFERROR(__xludf.DUMMYFUNCTION("""COMPUTED_VALUE"""),"Escalation of Dispute")</f>
        <v>Escalation of Dispute</v>
      </c>
      <c r="AB1966" s="5" t="str">
        <f ca="1">IFERROR(__xludf.DUMMYFUNCTION("""COMPUTED_VALUE"""),"Victims Targeted")</f>
        <v>Victims Targeted</v>
      </c>
      <c r="AC1966" s="5" t="str">
        <f ca="1">IFERROR(__xludf.DUMMYFUNCTION("""COMPUTED_VALUE"""),"No")</f>
        <v>No</v>
      </c>
      <c r="AD1966" s="5" t="str">
        <f ca="1">IFERROR(__xludf.DUMMYFUNCTION("""COMPUTED_VALUE"""),"No")</f>
        <v>No</v>
      </c>
      <c r="AE1966" s="5" t="str">
        <f ca="1">IFERROR(__xludf.DUMMYFUNCTION("""COMPUTED_VALUE"""),"No")</f>
        <v>No</v>
      </c>
      <c r="AF1966" s="5" t="str">
        <f ca="1">IFERROR(__xludf.DUMMYFUNCTION("""COMPUTED_VALUE"""),"No")</f>
        <v>No</v>
      </c>
      <c r="AG1966" s="5"/>
      <c r="AH1966" s="5" t="str">
        <f ca="1">IFERROR(__xludf.DUMMYFUNCTION("""COMPUTED_VALUE"""),"No")</f>
        <v>No</v>
      </c>
      <c r="AI1966" s="5" t="str">
        <f ca="1">IFERROR(__xludf.DUMMYFUNCTION("""COMPUTED_VALUE"""),"No")</f>
        <v>No</v>
      </c>
      <c r="AJ1966" s="5"/>
    </row>
    <row r="1967" spans="1:36" ht="13">
      <c r="A1967" s="5" t="str">
        <f ca="1">IFERROR(__xludf.DUMMYFUNCTION("""COMPUTED_VALUE"""),"19880505ILMAC")</f>
        <v>19880505ILMAC</v>
      </c>
      <c r="B1967" s="5">
        <f ca="1">IFERROR(__xludf.DUMMYFUNCTION("""COMPUTED_VALUE"""),5)</f>
        <v>5</v>
      </c>
      <c r="C1967" s="5">
        <f ca="1">IFERROR(__xludf.DUMMYFUNCTION("""COMPUTED_VALUE"""),5)</f>
        <v>5</v>
      </c>
      <c r="D1967" s="5">
        <f ca="1">IFERROR(__xludf.DUMMYFUNCTION("""COMPUTED_VALUE"""),1988)</f>
        <v>1988</v>
      </c>
      <c r="E1967" s="8">
        <f ca="1">IFERROR(__xludf.DUMMYFUNCTION("""COMPUTED_VALUE"""),32268)</f>
        <v>32268</v>
      </c>
      <c r="F1967" s="5" t="str">
        <f ca="1">IFERROR(__xludf.DUMMYFUNCTION("""COMPUTED_VALUE"""),"Martin Luther King High School")</f>
        <v>Martin Luther King High School</v>
      </c>
      <c r="G1967" s="5">
        <f ca="1">IFERROR(__xludf.DUMMYFUNCTION("""COMPUTED_VALUE"""),0)</f>
        <v>0</v>
      </c>
      <c r="H1967" s="5">
        <f ca="1">IFERROR(__xludf.DUMMYFUNCTION("""COMPUTED_VALUE"""),1)</f>
        <v>1</v>
      </c>
      <c r="I1967" s="5">
        <f ca="1">IFERROR(__xludf.DUMMYFUNCTION("""COMPUTED_VALUE"""),1)</f>
        <v>1</v>
      </c>
      <c r="J1967" s="5">
        <f ca="1">IFERROR(__xludf.DUMMYFUNCTION("""COMPUTED_VALUE"""),0)</f>
        <v>0</v>
      </c>
      <c r="K1967" s="9" t="str">
        <f ca="1">IFERROR(__xludf.DUMMYFUNCTION("""COMPUTED_VALUE"""),"https://www.newspapers.com/image/388885712/?terms=martin%2Bluther%2Bking%2Bhigh%2Bschool")</f>
        <v>https://www.newspapers.com/image/388885712/?terms=martin%2Bluther%2Bking%2Bhigh%2Bschool</v>
      </c>
      <c r="L1967" s="5"/>
      <c r="M1967" s="5"/>
      <c r="N1967" s="5">
        <f ca="1">IFERROR(__xludf.DUMMYFUNCTION("""COMPUTED_VALUE"""),2)</f>
        <v>2</v>
      </c>
      <c r="O1967" s="5" t="str">
        <f ca="1">IFERROR(__xludf.DUMMYFUNCTION("""COMPUTED_VALUE"""),"Spring")</f>
        <v>Spring</v>
      </c>
      <c r="P1967" s="5" t="str">
        <f ca="1">IFERROR(__xludf.DUMMYFUNCTION("""COMPUTED_VALUE"""),"Chicago")</f>
        <v>Chicago</v>
      </c>
      <c r="Q1967" s="5" t="str">
        <f ca="1">IFERROR(__xludf.DUMMYFUNCTION("""COMPUTED_VALUE"""),"IL")</f>
        <v>IL</v>
      </c>
      <c r="R1967" s="5" t="str">
        <f ca="1">IFERROR(__xludf.DUMMYFUNCTION("""COMPUTED_VALUE"""),"High")</f>
        <v>High</v>
      </c>
      <c r="S1967" s="5" t="str">
        <f ca="1">IFERROR(__xludf.DUMMYFUNCTION("""COMPUTED_VALUE"""),"Classroom")</f>
        <v>Classroom</v>
      </c>
      <c r="T1967" s="5" t="str">
        <f ca="1">IFERROR(__xludf.DUMMYFUNCTION("""COMPUTED_VALUE"""),"Inside School Building")</f>
        <v>Inside School Building</v>
      </c>
      <c r="U1967" s="5" t="str">
        <f ca="1">IFERROR(__xludf.DUMMYFUNCTION("""COMPUTED_VALUE"""),"Yes")</f>
        <v>Yes</v>
      </c>
      <c r="V1967" s="5"/>
      <c r="W1967" s="5"/>
      <c r="X1967" s="5">
        <f ca="1">IFERROR(__xludf.DUMMYFUNCTION("""COMPUTED_VALUE"""),1)</f>
        <v>1</v>
      </c>
      <c r="Y1967" s="5" t="str">
        <f ca="1">IFERROR(__xludf.DUMMYFUNCTION("""COMPUTED_VALUE"""),"Playing with gun in art class")</f>
        <v>Playing with gun in art class</v>
      </c>
      <c r="Z1967" s="5" t="str">
        <f ca="1">IFERROR(__xludf.DUMMYFUNCTION("""COMPUTED_VALUE"""),"Students playing with gun in art class - accidentally discharged - victim shot in right hip -")</f>
        <v>Students playing with gun in art class - accidentally discharged - victim shot in right hip -</v>
      </c>
      <c r="AA1967" s="5" t="str">
        <f ca="1">IFERROR(__xludf.DUMMYFUNCTION("""COMPUTED_VALUE"""),"Accidental")</f>
        <v>Accidental</v>
      </c>
      <c r="AB1967" s="5" t="str">
        <f ca="1">IFERROR(__xludf.DUMMYFUNCTION("""COMPUTED_VALUE"""),"Random Shooting")</f>
        <v>Random Shooting</v>
      </c>
      <c r="AC1967" s="5"/>
      <c r="AD1967" s="5" t="str">
        <f ca="1">IFERROR(__xludf.DUMMYFUNCTION("""COMPUTED_VALUE"""),"No")</f>
        <v>No</v>
      </c>
      <c r="AE1967" s="5" t="str">
        <f ca="1">IFERROR(__xludf.DUMMYFUNCTION("""COMPUTED_VALUE"""),"No")</f>
        <v>No</v>
      </c>
      <c r="AF1967" s="5" t="str">
        <f ca="1">IFERROR(__xludf.DUMMYFUNCTION("""COMPUTED_VALUE"""),"No")</f>
        <v>No</v>
      </c>
      <c r="AG1967" s="5" t="str">
        <f ca="1">IFERROR(__xludf.DUMMYFUNCTION("""COMPUTED_VALUE"""),"No")</f>
        <v>No</v>
      </c>
      <c r="AH1967" s="5" t="str">
        <f ca="1">IFERROR(__xludf.DUMMYFUNCTION("""COMPUTED_VALUE"""),"No")</f>
        <v>No</v>
      </c>
      <c r="AI1967" s="5" t="str">
        <f ca="1">IFERROR(__xludf.DUMMYFUNCTION("""COMPUTED_VALUE"""),"No")</f>
        <v>No</v>
      </c>
      <c r="AJ1967" s="5"/>
    </row>
    <row r="1968" spans="1:36" ht="13">
      <c r="A1968" s="5" t="str">
        <f ca="1">IFERROR(__xludf.DUMMYFUNCTION("""COMPUTED_VALUE"""),"19880324TXTRA")</f>
        <v>19880324TXTRA</v>
      </c>
      <c r="B1968" s="5">
        <f ca="1">IFERROR(__xludf.DUMMYFUNCTION("""COMPUTED_VALUE"""),3)</f>
        <v>3</v>
      </c>
      <c r="C1968" s="5">
        <f ca="1">IFERROR(__xludf.DUMMYFUNCTION("""COMPUTED_VALUE"""),24)</f>
        <v>24</v>
      </c>
      <c r="D1968" s="5">
        <f ca="1">IFERROR(__xludf.DUMMYFUNCTION("""COMPUTED_VALUE"""),1988)</f>
        <v>1988</v>
      </c>
      <c r="E1968" s="8">
        <f ca="1">IFERROR(__xludf.DUMMYFUNCTION("""COMPUTED_VALUE"""),32226)</f>
        <v>32226</v>
      </c>
      <c r="F1968" s="5" t="str">
        <f ca="1">IFERROR(__xludf.DUMMYFUNCTION("""COMPUTED_VALUE"""),"Travis High School")</f>
        <v>Travis High School</v>
      </c>
      <c r="G1968" s="5">
        <f ca="1">IFERROR(__xludf.DUMMYFUNCTION("""COMPUTED_VALUE"""),0)</f>
        <v>0</v>
      </c>
      <c r="H1968" s="5">
        <f ca="1">IFERROR(__xludf.DUMMYFUNCTION("""COMPUTED_VALUE"""),0)</f>
        <v>0</v>
      </c>
      <c r="I1968" s="5">
        <f ca="1">IFERROR(__xludf.DUMMYFUNCTION("""COMPUTED_VALUE"""),0)</f>
        <v>0</v>
      </c>
      <c r="J1968" s="5">
        <f ca="1">IFERROR(__xludf.DUMMYFUNCTION("""COMPUTED_VALUE"""),0)</f>
        <v>0</v>
      </c>
      <c r="K1968" s="9" t="str">
        <f ca="1">IFERROR(__xludf.DUMMYFUNCTION("""COMPUTED_VALUE"""),"https://www.newspapers.com/image/363969550/?terms=school%2Bbus%2Bshooting")</f>
        <v>https://www.newspapers.com/image/363969550/?terms=school%2Bbus%2Bshooting</v>
      </c>
      <c r="L1968" s="5"/>
      <c r="M1968" s="5"/>
      <c r="N1968" s="5">
        <f ca="1">IFERROR(__xludf.DUMMYFUNCTION("""COMPUTED_VALUE"""),2)</f>
        <v>2</v>
      </c>
      <c r="O1968" s="5" t="str">
        <f ca="1">IFERROR(__xludf.DUMMYFUNCTION("""COMPUTED_VALUE"""),"Spring")</f>
        <v>Spring</v>
      </c>
      <c r="P1968" s="5" t="str">
        <f ca="1">IFERROR(__xludf.DUMMYFUNCTION("""COMPUTED_VALUE"""),"Austin")</f>
        <v>Austin</v>
      </c>
      <c r="Q1968" s="5" t="str">
        <f ca="1">IFERROR(__xludf.DUMMYFUNCTION("""COMPUTED_VALUE"""),"TX")</f>
        <v>TX</v>
      </c>
      <c r="R1968" s="5" t="str">
        <f ca="1">IFERROR(__xludf.DUMMYFUNCTION("""COMPUTED_VALUE"""),"High")</f>
        <v>High</v>
      </c>
      <c r="S1968" s="5" t="str">
        <f ca="1">IFERROR(__xludf.DUMMYFUNCTION("""COMPUTED_VALUE"""),"School Bus")</f>
        <v>School Bus</v>
      </c>
      <c r="T1968" s="5" t="str">
        <f ca="1">IFERROR(__xludf.DUMMYFUNCTION("""COMPUTED_VALUE"""),"School Bus")</f>
        <v>School Bus</v>
      </c>
      <c r="U1968" s="5" t="str">
        <f ca="1">IFERROR(__xludf.DUMMYFUNCTION("""COMPUTED_VALUE"""),"Yes")</f>
        <v>Yes</v>
      </c>
      <c r="V1968" s="5" t="str">
        <f ca="1">IFERROR(__xludf.DUMMYFUNCTION("""COMPUTED_VALUE"""),"After School")</f>
        <v>After School</v>
      </c>
      <c r="W1968" s="10">
        <f ca="1">IFERROR(__xludf.DUMMYFUNCTION("""COMPUTED_VALUE"""),0.677083333333333)</f>
        <v>0.67708333333333304</v>
      </c>
      <c r="X1968" s="5">
        <f ca="1">IFERROR(__xludf.DUMMYFUNCTION("""COMPUTED_VALUE"""),1)</f>
        <v>1</v>
      </c>
      <c r="Y1968" s="5" t="str">
        <f ca="1">IFERROR(__xludf.DUMMYFUNCTION("""COMPUTED_VALUE"""),"Student shot at school bus with 9 students - no injuries.")</f>
        <v>Student shot at school bus with 9 students - no injuries.</v>
      </c>
      <c r="Z1968" s="5" t="str">
        <f ca="1">IFERROR(__xludf.DUMMYFUNCTION("""COMPUTED_VALUE"""),"A student who was a passenger in a vehicle shot a BB at a school bus loaded with nine students. the BB broke the window of the bus but no one was injured. The shooter was later arrested and faced charges in juvenile court.")</f>
        <v>A student who was a passenger in a vehicle shot a BB at a school bus loaded with nine students. the BB broke the window of the bus but no one was injured. The shooter was later arrested and faced charges in juvenile court.</v>
      </c>
      <c r="AA1968" s="5" t="str">
        <f ca="1">IFERROR(__xludf.DUMMYFUNCTION("""COMPUTED_VALUE"""),"Drive-by Shooting")</f>
        <v>Drive-by Shooting</v>
      </c>
      <c r="AB1968" s="5"/>
      <c r="AC1968" s="5" t="str">
        <f ca="1">IFERROR(__xludf.DUMMYFUNCTION("""COMPUTED_VALUE"""),"Yes")</f>
        <v>Yes</v>
      </c>
      <c r="AD1968" s="5" t="str">
        <f ca="1">IFERROR(__xludf.DUMMYFUNCTION("""COMPUTED_VALUE"""),"No")</f>
        <v>No</v>
      </c>
      <c r="AE1968" s="5" t="str">
        <f ca="1">IFERROR(__xludf.DUMMYFUNCTION("""COMPUTED_VALUE"""),"No")</f>
        <v>No</v>
      </c>
      <c r="AF1968" s="5" t="str">
        <f ca="1">IFERROR(__xludf.DUMMYFUNCTION("""COMPUTED_VALUE"""),"No")</f>
        <v>No</v>
      </c>
      <c r="AG1968" s="5"/>
      <c r="AH1968" s="5"/>
      <c r="AI1968" s="5" t="str">
        <f ca="1">IFERROR(__xludf.DUMMYFUNCTION("""COMPUTED_VALUE"""),"No")</f>
        <v>No</v>
      </c>
      <c r="AJ1968" s="5"/>
    </row>
    <row r="1969" spans="1:36" ht="13">
      <c r="A1969" s="5" t="str">
        <f ca="1">IFERROR(__xludf.DUMMYFUNCTION("""COMPUTED_VALUE"""),"19880323CACAS")</f>
        <v>19880323CACAS</v>
      </c>
      <c r="B1969" s="5">
        <f ca="1">IFERROR(__xludf.DUMMYFUNCTION("""COMPUTED_VALUE"""),3)</f>
        <v>3</v>
      </c>
      <c r="C1969" s="5">
        <f ca="1">IFERROR(__xludf.DUMMYFUNCTION("""COMPUTED_VALUE"""),23)</f>
        <v>23</v>
      </c>
      <c r="D1969" s="5">
        <f ca="1">IFERROR(__xludf.DUMMYFUNCTION("""COMPUTED_VALUE"""),1988)</f>
        <v>1988</v>
      </c>
      <c r="E1969" s="8">
        <f ca="1">IFERROR(__xludf.DUMMYFUNCTION("""COMPUTED_VALUE"""),32225)</f>
        <v>32225</v>
      </c>
      <c r="F1969" s="5" t="str">
        <f ca="1">IFERROR(__xludf.DUMMYFUNCTION("""COMPUTED_VALUE"""),"Cajon High School")</f>
        <v>Cajon High School</v>
      </c>
      <c r="G1969" s="5">
        <f ca="1">IFERROR(__xludf.DUMMYFUNCTION("""COMPUTED_VALUE"""),0)</f>
        <v>0</v>
      </c>
      <c r="H1969" s="5">
        <f ca="1">IFERROR(__xludf.DUMMYFUNCTION("""COMPUTED_VALUE"""),0)</f>
        <v>0</v>
      </c>
      <c r="I1969" s="5">
        <f ca="1">IFERROR(__xludf.DUMMYFUNCTION("""COMPUTED_VALUE"""),0)</f>
        <v>0</v>
      </c>
      <c r="J1969" s="5">
        <f ca="1">IFERROR(__xludf.DUMMYFUNCTION("""COMPUTED_VALUE"""),0)</f>
        <v>0</v>
      </c>
      <c r="K1969" s="9" t="str">
        <f ca="1">IFERROR(__xludf.DUMMYFUNCTION("""COMPUTED_VALUE"""),"https://www.newspapers.com/image/67975492/?terms=school%2Bbus%2Bshooting")</f>
        <v>https://www.newspapers.com/image/67975492/?terms=school%2Bbus%2Bshooting</v>
      </c>
      <c r="L1969" s="5"/>
      <c r="M1969" s="5"/>
      <c r="N1969" s="5">
        <f ca="1">IFERROR(__xludf.DUMMYFUNCTION("""COMPUTED_VALUE"""),2)</f>
        <v>2</v>
      </c>
      <c r="O1969" s="5" t="str">
        <f ca="1">IFERROR(__xludf.DUMMYFUNCTION("""COMPUTED_VALUE"""),"Spring")</f>
        <v>Spring</v>
      </c>
      <c r="P1969" s="5" t="str">
        <f ca="1">IFERROR(__xludf.DUMMYFUNCTION("""COMPUTED_VALUE"""),"San Bernadino")</f>
        <v>San Bernadino</v>
      </c>
      <c r="Q1969" s="5" t="str">
        <f ca="1">IFERROR(__xludf.DUMMYFUNCTION("""COMPUTED_VALUE"""),"CA")</f>
        <v>CA</v>
      </c>
      <c r="R1969" s="5" t="str">
        <f ca="1">IFERROR(__xludf.DUMMYFUNCTION("""COMPUTED_VALUE"""),"High")</f>
        <v>High</v>
      </c>
      <c r="S1969" s="5" t="str">
        <f ca="1">IFERROR(__xludf.DUMMYFUNCTION("""COMPUTED_VALUE"""),"Parking Lot")</f>
        <v>Parking Lot</v>
      </c>
      <c r="T1969" s="5" t="str">
        <f ca="1">IFERROR(__xludf.DUMMYFUNCTION("""COMPUTED_VALUE"""),"Outside on School Property")</f>
        <v>Outside on School Property</v>
      </c>
      <c r="U1969" s="5" t="str">
        <f ca="1">IFERROR(__xludf.DUMMYFUNCTION("""COMPUTED_VALUE"""),"Yes")</f>
        <v>Yes</v>
      </c>
      <c r="V1969" s="5" t="str">
        <f ca="1">IFERROR(__xludf.DUMMYFUNCTION("""COMPUTED_VALUE"""),"Afternoon Classes")</f>
        <v>Afternoon Classes</v>
      </c>
      <c r="W1969" s="5"/>
      <c r="X1969" s="5">
        <f ca="1">IFERROR(__xludf.DUMMYFUNCTION("""COMPUTED_VALUE"""),1)</f>
        <v>1</v>
      </c>
      <c r="Y1969" s="5" t="str">
        <f ca="1">IFERROR(__xludf.DUMMYFUNCTION("""COMPUTED_VALUE"""),"Shot multiple rounds into vice-principals' cars")</f>
        <v>Shot multiple rounds into vice-principals' cars</v>
      </c>
      <c r="Z1969" s="5" t="str">
        <f ca="1">IFERROR(__xludf.DUMMYFUNCTION("""COMPUTED_VALUE"""),"Several rounds were shot into the vice-principals' cars which were parked on the school parking lot during a drive by shooting. No suspects.")</f>
        <v>Several rounds were shot into the vice-principals' cars which were parked on the school parking lot during a drive by shooting. No suspects.</v>
      </c>
      <c r="AA1969" s="5" t="str">
        <f ca="1">IFERROR(__xludf.DUMMYFUNCTION("""COMPUTED_VALUE"""),"Intentional Property Damage")</f>
        <v>Intentional Property Damage</v>
      </c>
      <c r="AB1969" s="5"/>
      <c r="AC1969" s="5" t="str">
        <f ca="1">IFERROR(__xludf.DUMMYFUNCTION("""COMPUTED_VALUE"""),"No")</f>
        <v>No</v>
      </c>
      <c r="AD1969" s="5" t="str">
        <f ca="1">IFERROR(__xludf.DUMMYFUNCTION("""COMPUTED_VALUE"""),"No")</f>
        <v>No</v>
      </c>
      <c r="AE1969" s="5" t="str">
        <f ca="1">IFERROR(__xludf.DUMMYFUNCTION("""COMPUTED_VALUE"""),"No")</f>
        <v>No</v>
      </c>
      <c r="AF1969" s="5" t="str">
        <f ca="1">IFERROR(__xludf.DUMMYFUNCTION("""COMPUTED_VALUE"""),"No")</f>
        <v>No</v>
      </c>
      <c r="AG1969" s="5"/>
      <c r="AH1969" s="5"/>
      <c r="AI1969" s="5" t="str">
        <f ca="1">IFERROR(__xludf.DUMMYFUNCTION("""COMPUTED_VALUE"""),"No")</f>
        <v>No</v>
      </c>
      <c r="AJ1969" s="5"/>
    </row>
    <row r="1970" spans="1:36" ht="13">
      <c r="A1970" s="5" t="str">
        <f ca="1">IFERROR(__xludf.DUMMYFUNCTION("""COMPUTED_VALUE"""),"19880304MILED")</f>
        <v>19880304MILED</v>
      </c>
      <c r="B1970" s="5">
        <f ca="1">IFERROR(__xludf.DUMMYFUNCTION("""COMPUTED_VALUE"""),3)</f>
        <v>3</v>
      </c>
      <c r="C1970" s="5">
        <f ca="1">IFERROR(__xludf.DUMMYFUNCTION("""COMPUTED_VALUE"""),4)</f>
        <v>4</v>
      </c>
      <c r="D1970" s="5">
        <f ca="1">IFERROR(__xludf.DUMMYFUNCTION("""COMPUTED_VALUE"""),1988)</f>
        <v>1988</v>
      </c>
      <c r="E1970" s="8">
        <f ca="1">IFERROR(__xludf.DUMMYFUNCTION("""COMPUTED_VALUE"""),32206)</f>
        <v>32206</v>
      </c>
      <c r="F1970" s="5" t="str">
        <f ca="1">IFERROR(__xludf.DUMMYFUNCTION("""COMPUTED_VALUE"""),"Lessenger Junior High")</f>
        <v>Lessenger Junior High</v>
      </c>
      <c r="G1970" s="5">
        <f ca="1">IFERROR(__xludf.DUMMYFUNCTION("""COMPUTED_VALUE"""),0)</f>
        <v>0</v>
      </c>
      <c r="H1970" s="5">
        <f ca="1">IFERROR(__xludf.DUMMYFUNCTION("""COMPUTED_VALUE"""),1)</f>
        <v>1</v>
      </c>
      <c r="I1970" s="5">
        <f ca="1">IFERROR(__xludf.DUMMYFUNCTION("""COMPUTED_VALUE"""),1)</f>
        <v>1</v>
      </c>
      <c r="J1970" s="5">
        <f ca="1">IFERROR(__xludf.DUMMYFUNCTION("""COMPUTED_VALUE"""),0)</f>
        <v>0</v>
      </c>
      <c r="K1970" s="9" t="str">
        <f ca="1">IFERROR(__xludf.DUMMYFUNCTION("""COMPUTED_VALUE"""),"https://www.newspapers.com/image/99777421/?terms=lessenger")</f>
        <v>https://www.newspapers.com/image/99777421/?terms=lessenger</v>
      </c>
      <c r="L1970" s="5"/>
      <c r="M1970" s="5"/>
      <c r="N1970" s="5">
        <f ca="1">IFERROR(__xludf.DUMMYFUNCTION("""COMPUTED_VALUE"""),2)</f>
        <v>2</v>
      </c>
      <c r="O1970" s="5" t="str">
        <f ca="1">IFERROR(__xludf.DUMMYFUNCTION("""COMPUTED_VALUE"""),"Spring")</f>
        <v>Spring</v>
      </c>
      <c r="P1970" s="5" t="str">
        <f ca="1">IFERROR(__xludf.DUMMYFUNCTION("""COMPUTED_VALUE"""),"Detroit")</f>
        <v>Detroit</v>
      </c>
      <c r="Q1970" s="5" t="str">
        <f ca="1">IFERROR(__xludf.DUMMYFUNCTION("""COMPUTED_VALUE"""),"MI")</f>
        <v>MI</v>
      </c>
      <c r="R1970" s="5" t="str">
        <f ca="1">IFERROR(__xludf.DUMMYFUNCTION("""COMPUTED_VALUE"""),"Junior High")</f>
        <v>Junior High</v>
      </c>
      <c r="S1970" s="5" t="str">
        <f ca="1">IFERROR(__xludf.DUMMYFUNCTION("""COMPUTED_VALUE"""),"School Bus")</f>
        <v>School Bus</v>
      </c>
      <c r="T1970" s="5" t="str">
        <f ca="1">IFERROR(__xludf.DUMMYFUNCTION("""COMPUTED_VALUE"""),"School Bus")</f>
        <v>School Bus</v>
      </c>
      <c r="U1970" s="5" t="str">
        <f ca="1">IFERROR(__xludf.DUMMYFUNCTION("""COMPUTED_VALUE"""),"Yes")</f>
        <v>Yes</v>
      </c>
      <c r="V1970" s="5"/>
      <c r="W1970" s="5"/>
      <c r="X1970" s="5">
        <f ca="1">IFERROR(__xludf.DUMMYFUNCTION("""COMPUTED_VALUE"""),1)</f>
        <v>1</v>
      </c>
      <c r="Y1970" s="5" t="str">
        <f ca="1">IFERROR(__xludf.DUMMYFUNCTION("""COMPUTED_VALUE"""),"Playing with gun on school bus")</f>
        <v>Playing with gun on school bus</v>
      </c>
      <c r="Z1970" s="5" t="str">
        <f ca="1">IFERROR(__xludf.DUMMYFUNCTION("""COMPUTED_VALUE"""),"Female student playing with gun on bus accidentally shoots classmate in leg")</f>
        <v>Female student playing with gun on bus accidentally shoots classmate in leg</v>
      </c>
      <c r="AA1970" s="5" t="str">
        <f ca="1">IFERROR(__xludf.DUMMYFUNCTION("""COMPUTED_VALUE"""),"Accidental")</f>
        <v>Accidental</v>
      </c>
      <c r="AB1970" s="5" t="str">
        <f ca="1">IFERROR(__xludf.DUMMYFUNCTION("""COMPUTED_VALUE"""),"Random Shooting")</f>
        <v>Random Shooting</v>
      </c>
      <c r="AC1970" s="5" t="str">
        <f ca="1">IFERROR(__xludf.DUMMYFUNCTION("""COMPUTED_VALUE"""),"No")</f>
        <v>No</v>
      </c>
      <c r="AD1970" s="5" t="str">
        <f ca="1">IFERROR(__xludf.DUMMYFUNCTION("""COMPUTED_VALUE"""),"No")</f>
        <v>No</v>
      </c>
      <c r="AE1970" s="5" t="str">
        <f ca="1">IFERROR(__xludf.DUMMYFUNCTION("""COMPUTED_VALUE"""),"No")</f>
        <v>No</v>
      </c>
      <c r="AF1970" s="5" t="str">
        <f ca="1">IFERROR(__xludf.DUMMYFUNCTION("""COMPUTED_VALUE"""),"No")</f>
        <v>No</v>
      </c>
      <c r="AG1970" s="5" t="str">
        <f ca="1">IFERROR(__xludf.DUMMYFUNCTION("""COMPUTED_VALUE"""),"No")</f>
        <v>No</v>
      </c>
      <c r="AH1970" s="5" t="str">
        <f ca="1">IFERROR(__xludf.DUMMYFUNCTION("""COMPUTED_VALUE"""),"No")</f>
        <v>No</v>
      </c>
      <c r="AI1970" s="5" t="str">
        <f ca="1">IFERROR(__xludf.DUMMYFUNCTION("""COMPUTED_VALUE"""),"No")</f>
        <v>No</v>
      </c>
      <c r="AJ1970" s="5"/>
    </row>
    <row r="1971" spans="1:36" ht="13">
      <c r="A1971" s="5" t="str">
        <f ca="1">IFERROR(__xludf.DUMMYFUNCTION("""COMPUTED_VALUE"""),"19880226RIBRB")</f>
        <v>19880226RIBRB</v>
      </c>
      <c r="B1971" s="5">
        <f ca="1">IFERROR(__xludf.DUMMYFUNCTION("""COMPUTED_VALUE"""),2)</f>
        <v>2</v>
      </c>
      <c r="C1971" s="5">
        <f ca="1">IFERROR(__xludf.DUMMYFUNCTION("""COMPUTED_VALUE"""),26)</f>
        <v>26</v>
      </c>
      <c r="D1971" s="5">
        <f ca="1">IFERROR(__xludf.DUMMYFUNCTION("""COMPUTED_VALUE"""),1988)</f>
        <v>1988</v>
      </c>
      <c r="E1971" s="8">
        <f ca="1">IFERROR(__xludf.DUMMYFUNCTION("""COMPUTED_VALUE"""),32199)</f>
        <v>32199</v>
      </c>
      <c r="F1971" s="5" t="str">
        <f ca="1">IFERROR(__xludf.DUMMYFUNCTION("""COMPUTED_VALUE"""),"Bristol High School")</f>
        <v>Bristol High School</v>
      </c>
      <c r="G1971" s="5">
        <f ca="1">IFERROR(__xludf.DUMMYFUNCTION("""COMPUTED_VALUE"""),0)</f>
        <v>0</v>
      </c>
      <c r="H1971" s="5">
        <f ca="1">IFERROR(__xludf.DUMMYFUNCTION("""COMPUTED_VALUE"""),1)</f>
        <v>1</v>
      </c>
      <c r="I1971" s="5">
        <f ca="1">IFERROR(__xludf.DUMMYFUNCTION("""COMPUTED_VALUE"""),1)</f>
        <v>1</v>
      </c>
      <c r="J1971" s="5">
        <f ca="1">IFERROR(__xludf.DUMMYFUNCTION("""COMPUTED_VALUE"""),0)</f>
        <v>0</v>
      </c>
      <c r="K1971" s="5" t="str">
        <f ca="1">IFERROR(__xludf.DUMMYFUNCTION("""COMPUTED_VALUE"""),"https://www.newspapers.com/image/264353534/?terms=BRISTOL%2BHIGH; https://www.newspapers.com/image/373743301/?terms=BRISTOL%2BHIGH")</f>
        <v>https://www.newspapers.com/image/264353534/?terms=BRISTOL%2BHIGH; https://www.newspapers.com/image/373743301/?terms=BRISTOL%2BHIGH</v>
      </c>
      <c r="L1971" s="5"/>
      <c r="M1971" s="5"/>
      <c r="N1971" s="5">
        <f ca="1">IFERROR(__xludf.DUMMYFUNCTION("""COMPUTED_VALUE"""),3)</f>
        <v>3</v>
      </c>
      <c r="O1971" s="5" t="str">
        <f ca="1">IFERROR(__xludf.DUMMYFUNCTION("""COMPUTED_VALUE"""),"Winter")</f>
        <v>Winter</v>
      </c>
      <c r="P1971" s="5" t="str">
        <f ca="1">IFERROR(__xludf.DUMMYFUNCTION("""COMPUTED_VALUE"""),"Bristol")</f>
        <v>Bristol</v>
      </c>
      <c r="Q1971" s="5" t="str">
        <f ca="1">IFERROR(__xludf.DUMMYFUNCTION("""COMPUTED_VALUE"""),"RI")</f>
        <v>RI</v>
      </c>
      <c r="R1971" s="5" t="str">
        <f ca="1">IFERROR(__xludf.DUMMYFUNCTION("""COMPUTED_VALUE"""),"High")</f>
        <v>High</v>
      </c>
      <c r="S1971" s="5" t="str">
        <f ca="1">IFERROR(__xludf.DUMMYFUNCTION("""COMPUTED_VALUE"""),"Courtyard")</f>
        <v>Courtyard</v>
      </c>
      <c r="T1971" s="5" t="str">
        <f ca="1">IFERROR(__xludf.DUMMYFUNCTION("""COMPUTED_VALUE"""),"Outside on School Property")</f>
        <v>Outside on School Property</v>
      </c>
      <c r="U1971" s="5" t="str">
        <f ca="1">IFERROR(__xludf.DUMMYFUNCTION("""COMPUTED_VALUE"""),"Yes")</f>
        <v>Yes</v>
      </c>
      <c r="V1971" s="5" t="str">
        <f ca="1">IFERROR(__xludf.DUMMYFUNCTION("""COMPUTED_VALUE"""),"Lunch")</f>
        <v>Lunch</v>
      </c>
      <c r="W1971" s="10">
        <f ca="1">IFERROR(__xludf.DUMMYFUNCTION("""COMPUTED_VALUE"""),0.49375)</f>
        <v>0.49375000000000002</v>
      </c>
      <c r="X1971" s="5">
        <f ca="1">IFERROR(__xludf.DUMMYFUNCTION("""COMPUTED_VALUE"""),1)</f>
        <v>1</v>
      </c>
      <c r="Y1971" s="5" t="str">
        <f ca="1">IFERROR(__xludf.DUMMYFUNCTION("""COMPUTED_VALUE"""),"Planned fight with victim, prior fights")</f>
        <v>Planned fight with victim, prior fights</v>
      </c>
      <c r="Z1971" s="5" t="str">
        <f ca="1">IFERROR(__xludf.DUMMYFUNCTION("""COMPUTED_VALUE"""),"Ongoing conflict between shooter and victim - they were about to fight in school courtyard. Victim began pulling off his jacket, he was shot in head by suspect with .22. caliber handgun. Students said the two had multiple fights over a the past weeks.")</f>
        <v>Ongoing conflict between shooter and victim - they were about to fight in school courtyard. Victim began pulling off his jacket, he was shot in head by suspect with .22. caliber handgun. Students said the two had multiple fights over a the past weeks.</v>
      </c>
      <c r="AA1971" s="5" t="str">
        <f ca="1">IFERROR(__xludf.DUMMYFUNCTION("""COMPUTED_VALUE"""),"Escalation of Dispute")</f>
        <v>Escalation of Dispute</v>
      </c>
      <c r="AB1971" s="5" t="str">
        <f ca="1">IFERROR(__xludf.DUMMYFUNCTION("""COMPUTED_VALUE"""),"Victims Targeted")</f>
        <v>Victims Targeted</v>
      </c>
      <c r="AC1971" s="5" t="str">
        <f ca="1">IFERROR(__xludf.DUMMYFUNCTION("""COMPUTED_VALUE"""),"No")</f>
        <v>No</v>
      </c>
      <c r="AD1971" s="5" t="str">
        <f ca="1">IFERROR(__xludf.DUMMYFUNCTION("""COMPUTED_VALUE"""),"No")</f>
        <v>No</v>
      </c>
      <c r="AE1971" s="5" t="str">
        <f ca="1">IFERROR(__xludf.DUMMYFUNCTION("""COMPUTED_VALUE"""),"No")</f>
        <v>No</v>
      </c>
      <c r="AF1971" s="5" t="str">
        <f ca="1">IFERROR(__xludf.DUMMYFUNCTION("""COMPUTED_VALUE"""),"No")</f>
        <v>No</v>
      </c>
      <c r="AG1971" s="5" t="str">
        <f ca="1">IFERROR(__xludf.DUMMYFUNCTION("""COMPUTED_VALUE"""),"No")</f>
        <v>No</v>
      </c>
      <c r="AH1971" s="5" t="str">
        <f ca="1">IFERROR(__xludf.DUMMYFUNCTION("""COMPUTED_VALUE"""),"No")</f>
        <v>No</v>
      </c>
      <c r="AI1971" s="5" t="str">
        <f ca="1">IFERROR(__xludf.DUMMYFUNCTION("""COMPUTED_VALUE"""),"No")</f>
        <v>No</v>
      </c>
      <c r="AJ1971" s="5"/>
    </row>
    <row r="1972" spans="1:36" ht="13">
      <c r="A1972" s="5" t="str">
        <f ca="1">IFERROR(__xludf.DUMMYFUNCTION("""COMPUTED_VALUE"""),"19880211FLPIL")</f>
        <v>19880211FLPIL</v>
      </c>
      <c r="B1972" s="5">
        <f ca="1">IFERROR(__xludf.DUMMYFUNCTION("""COMPUTED_VALUE"""),2)</f>
        <v>2</v>
      </c>
      <c r="C1972" s="5">
        <f ca="1">IFERROR(__xludf.DUMMYFUNCTION("""COMPUTED_VALUE"""),11)</f>
        <v>11</v>
      </c>
      <c r="D1972" s="5">
        <f ca="1">IFERROR(__xludf.DUMMYFUNCTION("""COMPUTED_VALUE"""),1988)</f>
        <v>1988</v>
      </c>
      <c r="E1972" s="8">
        <f ca="1">IFERROR(__xludf.DUMMYFUNCTION("""COMPUTED_VALUE"""),32184)</f>
        <v>32184</v>
      </c>
      <c r="F1972" s="5" t="str">
        <f ca="1">IFERROR(__xludf.DUMMYFUNCTION("""COMPUTED_VALUE"""),"Pinellas Park High School")</f>
        <v>Pinellas Park High School</v>
      </c>
      <c r="G1972" s="5">
        <f ca="1">IFERROR(__xludf.DUMMYFUNCTION("""COMPUTED_VALUE"""),1)</f>
        <v>1</v>
      </c>
      <c r="H1972" s="5">
        <f ca="1">IFERROR(__xludf.DUMMYFUNCTION("""COMPUTED_VALUE"""),2)</f>
        <v>2</v>
      </c>
      <c r="I1972" s="5">
        <f ca="1">IFERROR(__xludf.DUMMYFUNCTION("""COMPUTED_VALUE"""),3)</f>
        <v>3</v>
      </c>
      <c r="J1972" s="5">
        <f ca="1">IFERROR(__xludf.DUMMYFUNCTION("""COMPUTED_VALUE"""),0)</f>
        <v>0</v>
      </c>
      <c r="K1972" s="5" t="str">
        <f ca="1">IFERROR(__xludf.DUMMYFUNCTION("""COMPUTED_VALUE"""),"https://www.tampabay.com/florida/2019/02/11/pinellas-park-high-shooting-31-years-ago-today-a-precursor-to-gun-violence-in-schools/ http://www.tampabay.com/news/publicsafety/man-from-1988-pinellas-park-high-school-shooting-there-are-no-preventable/1266574 "&amp;"https://www.tampabay.com/florida/2019/02/11/pinellas-park-high-shooting-31-years-ago-today-a-precursor-to-gun-violence-in-schools/")</f>
        <v>https://www.tampabay.com/florida/2019/02/11/pinellas-park-high-shooting-31-years-ago-today-a-precursor-to-gun-violence-in-schools/ http://www.tampabay.com/news/publicsafety/man-from-1988-pinellas-park-high-school-shooting-there-are-no-preventable/1266574 https://www.tampabay.com/florida/2019/02/11/pinellas-park-high-shooting-31-years-ago-today-a-precursor-to-gun-violence-in-schools/</v>
      </c>
      <c r="L1972" s="5"/>
      <c r="M1972" s="5" t="str">
        <f ca="1">IFERROR(__xludf.DUMMYFUNCTION("""COMPUTED_VALUE"""),"National")</f>
        <v>National</v>
      </c>
      <c r="N1972" s="5">
        <f ca="1">IFERROR(__xludf.DUMMYFUNCTION("""COMPUTED_VALUE"""),4)</f>
        <v>4</v>
      </c>
      <c r="O1972" s="5" t="str">
        <f ca="1">IFERROR(__xludf.DUMMYFUNCTION("""COMPUTED_VALUE"""),"Winter")</f>
        <v>Winter</v>
      </c>
      <c r="P1972" s="5" t="str">
        <f ca="1">IFERROR(__xludf.DUMMYFUNCTION("""COMPUTED_VALUE"""),"Largo")</f>
        <v>Largo</v>
      </c>
      <c r="Q1972" s="5" t="str">
        <f ca="1">IFERROR(__xludf.DUMMYFUNCTION("""COMPUTED_VALUE"""),"FL")</f>
        <v>FL</v>
      </c>
      <c r="R1972" s="5" t="str">
        <f ca="1">IFERROR(__xludf.DUMMYFUNCTION("""COMPUTED_VALUE"""),"High")</f>
        <v>High</v>
      </c>
      <c r="S1972" s="5" t="str">
        <f ca="1">IFERROR(__xludf.DUMMYFUNCTION("""COMPUTED_VALUE"""),"Cafeteria")</f>
        <v>Cafeteria</v>
      </c>
      <c r="T1972" s="5" t="str">
        <f ca="1">IFERROR(__xludf.DUMMYFUNCTION("""COMPUTED_VALUE"""),"Inside School Building")</f>
        <v>Inside School Building</v>
      </c>
      <c r="U1972" s="5" t="str">
        <f ca="1">IFERROR(__xludf.DUMMYFUNCTION("""COMPUTED_VALUE"""),"Yes")</f>
        <v>Yes</v>
      </c>
      <c r="V1972" s="5" t="str">
        <f ca="1">IFERROR(__xludf.DUMMYFUNCTION("""COMPUTED_VALUE"""),"Morning Classes")</f>
        <v>Morning Classes</v>
      </c>
      <c r="W1972" s="5"/>
      <c r="X1972" s="5">
        <f ca="1">IFERROR(__xludf.DUMMYFUNCTION("""COMPUTED_VALUE"""),1)</f>
        <v>1</v>
      </c>
      <c r="Y1972" s="5" t="str">
        <f ca="1">IFERROR(__xludf.DUMMYFUNCTION("""COMPUTED_VALUE"""),"Confronted by school administrator about weapons")</f>
        <v>Confronted by school administrator about weapons</v>
      </c>
      <c r="Z1972" s="5" t="str">
        <f ca="1">IFERROR(__xludf.DUMMYFUNCTION("""COMPUTED_VALUE"""),"The two shooters were planning to run away from home and had stolen pistols for protection. School administrators were notified that the two shooters had guns and confronted them in the cafeteria. Both shooters pulled their guns and one fired multiple sho"&amp;"ts hitting three different school employees. As one shooter ran from the school, he fired shots at police and was shot in the shoulder. The shooters were later apprehended by police. No indication of a motive for the shootings or plan to carry out a shoot"&amp;"ing at the school. One of the shooters had been suspended from school and he went to the campus to say goodbye to his girlfriend and show off the gun to classmates.")</f>
        <v>The two shooters were planning to run away from home and had stolen pistols for protection. School administrators were notified that the two shooters had guns and confronted them in the cafeteria. Both shooters pulled their guns and one fired multiple shots hitting three different school employees. As one shooter ran from the school, he fired shots at police and was shot in the shoulder. The shooters were later apprehended by police. No indication of a motive for the shootings or plan to carry out a shooting at the school. One of the shooters had been suspended from school and he went to the campus to say goodbye to his girlfriend and show off the gun to classmates.</v>
      </c>
      <c r="AA1972" s="5" t="str">
        <f ca="1">IFERROR(__xludf.DUMMYFUNCTION("""COMPUTED_VALUE"""),"Anger Over Grade/Suspension/Discipline")</f>
        <v>Anger Over Grade/Suspension/Discipline</v>
      </c>
      <c r="AB1972" s="5" t="str">
        <f ca="1">IFERROR(__xludf.DUMMYFUNCTION("""COMPUTED_VALUE"""),"Neither")</f>
        <v>Neither</v>
      </c>
      <c r="AC1972" s="5" t="str">
        <f ca="1">IFERROR(__xludf.DUMMYFUNCTION("""COMPUTED_VALUE"""),"Yes")</f>
        <v>Yes</v>
      </c>
      <c r="AD1972" s="5" t="str">
        <f ca="1">IFERROR(__xludf.DUMMYFUNCTION("""COMPUTED_VALUE"""),"No")</f>
        <v>No</v>
      </c>
      <c r="AE1972" s="5" t="str">
        <f ca="1">IFERROR(__xludf.DUMMYFUNCTION("""COMPUTED_VALUE"""),"No")</f>
        <v>No</v>
      </c>
      <c r="AF1972" s="5" t="str">
        <f ca="1">IFERROR(__xludf.DUMMYFUNCTION("""COMPUTED_VALUE"""),"No")</f>
        <v>No</v>
      </c>
      <c r="AG1972" s="5" t="str">
        <f ca="1">IFERROR(__xludf.DUMMYFUNCTION("""COMPUTED_VALUE"""),"No")</f>
        <v>No</v>
      </c>
      <c r="AH1972" s="5" t="str">
        <f ca="1">IFERROR(__xludf.DUMMYFUNCTION("""COMPUTED_VALUE"""),"No")</f>
        <v>No</v>
      </c>
      <c r="AI1972" s="5" t="str">
        <f ca="1">IFERROR(__xludf.DUMMYFUNCTION("""COMPUTED_VALUE"""),"No")</f>
        <v>No</v>
      </c>
      <c r="AJ1972" s="5" t="str">
        <f ca="1">IFERROR(__xludf.DUMMYFUNCTION("""COMPUTED_VALUE"""),"Yes")</f>
        <v>Yes</v>
      </c>
    </row>
    <row r="1973" spans="1:36" ht="13">
      <c r="A1973" s="5" t="str">
        <f ca="1">IFERROR(__xludf.DUMMYFUNCTION("""COMPUTED_VALUE"""),"19880202ALWET")</f>
        <v>19880202ALWET</v>
      </c>
      <c r="B1973" s="5">
        <f ca="1">IFERROR(__xludf.DUMMYFUNCTION("""COMPUTED_VALUE"""),2)</f>
        <v>2</v>
      </c>
      <c r="C1973" s="5">
        <f ca="1">IFERROR(__xludf.DUMMYFUNCTION("""COMPUTED_VALUE"""),2)</f>
        <v>2</v>
      </c>
      <c r="D1973" s="5">
        <f ca="1">IFERROR(__xludf.DUMMYFUNCTION("""COMPUTED_VALUE"""),1988)</f>
        <v>1988</v>
      </c>
      <c r="E1973" s="8">
        <f ca="1">IFERROR(__xludf.DUMMYFUNCTION("""COMPUTED_VALUE"""),32175)</f>
        <v>32175</v>
      </c>
      <c r="F1973" s="5" t="str">
        <f ca="1">IFERROR(__xludf.DUMMYFUNCTION("""COMPUTED_VALUE"""),"West End Christian Elementary School")</f>
        <v>West End Christian Elementary School</v>
      </c>
      <c r="G1973" s="5">
        <f ca="1">IFERROR(__xludf.DUMMYFUNCTION("""COMPUTED_VALUE"""),0)</f>
        <v>0</v>
      </c>
      <c r="H1973" s="5">
        <f ca="1">IFERROR(__xludf.DUMMYFUNCTION("""COMPUTED_VALUE"""),0)</f>
        <v>0</v>
      </c>
      <c r="I1973" s="5">
        <f ca="1">IFERROR(__xludf.DUMMYFUNCTION("""COMPUTED_VALUE"""),0)</f>
        <v>0</v>
      </c>
      <c r="J1973" s="5">
        <f ca="1">IFERROR(__xludf.DUMMYFUNCTION("""COMPUTED_VALUE"""),0)</f>
        <v>0</v>
      </c>
      <c r="K1973" s="9" t="str">
        <f ca="1">IFERROR(__xludf.DUMMYFUNCTION("""COMPUTED_VALUE"""),"https://www.newspapers.com/image/399821731/?terms=West%2BEnd%2BChristian%2BElementary%2BSchool")</f>
        <v>https://www.newspapers.com/image/399821731/?terms=West%2BEnd%2BChristian%2BElementary%2BSchool</v>
      </c>
      <c r="L1973" s="5"/>
      <c r="M1973" s="5"/>
      <c r="N1973" s="5">
        <f ca="1">IFERROR(__xludf.DUMMYFUNCTION("""COMPUTED_VALUE"""),2)</f>
        <v>2</v>
      </c>
      <c r="O1973" s="5" t="str">
        <f ca="1">IFERROR(__xludf.DUMMYFUNCTION("""COMPUTED_VALUE"""),"Winter")</f>
        <v>Winter</v>
      </c>
      <c r="P1973" s="5" t="str">
        <f ca="1">IFERROR(__xludf.DUMMYFUNCTION("""COMPUTED_VALUE"""),"Tuscaloosa")</f>
        <v>Tuscaloosa</v>
      </c>
      <c r="Q1973" s="5" t="str">
        <f ca="1">IFERROR(__xludf.DUMMYFUNCTION("""COMPUTED_VALUE"""),"AL")</f>
        <v>AL</v>
      </c>
      <c r="R1973" s="5" t="str">
        <f ca="1">IFERROR(__xludf.DUMMYFUNCTION("""COMPUTED_VALUE"""),"Elementary")</f>
        <v>Elementary</v>
      </c>
      <c r="S1973" s="5" t="str">
        <f ca="1">IFERROR(__xludf.DUMMYFUNCTION("""COMPUTED_VALUE"""),"Classroom")</f>
        <v>Classroom</v>
      </c>
      <c r="T1973" s="5" t="str">
        <f ca="1">IFERROR(__xludf.DUMMYFUNCTION("""COMPUTED_VALUE"""),"Inside School Building")</f>
        <v>Inside School Building</v>
      </c>
      <c r="U1973" s="5" t="str">
        <f ca="1">IFERROR(__xludf.DUMMYFUNCTION("""COMPUTED_VALUE"""),"Yes")</f>
        <v>Yes</v>
      </c>
      <c r="V1973" s="5" t="str">
        <f ca="1">IFERROR(__xludf.DUMMYFUNCTION("""COMPUTED_VALUE"""),"Morning Classes")</f>
        <v>Morning Classes</v>
      </c>
      <c r="W1973" s="10">
        <f ca="1">IFERROR(__xludf.DUMMYFUNCTION("""COMPUTED_VALUE"""),0.361111111111111)</f>
        <v>0.36111111111111099</v>
      </c>
      <c r="X1973" s="5">
        <f ca="1">IFERROR(__xludf.DUMMYFUNCTION("""COMPUTED_VALUE"""),710)</f>
        <v>710</v>
      </c>
      <c r="Y1973" s="5" t="str">
        <f ca="1">IFERROR(__xludf.DUMMYFUNCTION("""COMPUTED_VALUE"""),"2 men held 84 students and teacher hostage for 12 hours")</f>
        <v>2 men held 84 students and teacher hostage for 12 hours</v>
      </c>
      <c r="Z1973" s="5" t="str">
        <f ca="1">IFERROR(__xludf.DUMMYFUNCTION("""COMPUTED_VALUE"""),"Two heavily armed men (both unemployed) wearing bulletproof vest and ski masks held 84 students and teachers hostage for 12 hours while demanding ransom money and to speak with the President of the United States. Men eventually surrendered without firing "&amp;"any shots. One man was taken to psychiatric facility.")</f>
        <v>Two heavily armed men (both unemployed) wearing bulletproof vest and ski masks held 84 students and teachers hostage for 12 hours while demanding ransom money and to speak with the President of the United States. Men eventually surrendered without firing any shots. One man was taken to psychiatric facility.</v>
      </c>
      <c r="AA1973" s="5" t="str">
        <f ca="1">IFERROR(__xludf.DUMMYFUNCTION("""COMPUTED_VALUE"""),"Psychosis")</f>
        <v>Psychosis</v>
      </c>
      <c r="AB1973" s="5" t="str">
        <f ca="1">IFERROR(__xludf.DUMMYFUNCTION("""COMPUTED_VALUE"""),"Random Shooting")</f>
        <v>Random Shooting</v>
      </c>
      <c r="AC1973" s="5" t="str">
        <f ca="1">IFERROR(__xludf.DUMMYFUNCTION("""COMPUTED_VALUE"""),"Yes")</f>
        <v>Yes</v>
      </c>
      <c r="AD1973" s="5" t="str">
        <f ca="1">IFERROR(__xludf.DUMMYFUNCTION("""COMPUTED_VALUE"""),"Yes")</f>
        <v>Yes</v>
      </c>
      <c r="AE1973" s="5" t="str">
        <f ca="1">IFERROR(__xludf.DUMMYFUNCTION("""COMPUTED_VALUE"""),"Yes")</f>
        <v>Yes</v>
      </c>
      <c r="AF1973" s="5" t="str">
        <f ca="1">IFERROR(__xludf.DUMMYFUNCTION("""COMPUTED_VALUE"""),"No")</f>
        <v>No</v>
      </c>
      <c r="AG1973" s="5" t="str">
        <f ca="1">IFERROR(__xludf.DUMMYFUNCTION("""COMPUTED_VALUE"""),"No")</f>
        <v>No</v>
      </c>
      <c r="AH1973" s="5" t="str">
        <f ca="1">IFERROR(__xludf.DUMMYFUNCTION("""COMPUTED_VALUE"""),"No")</f>
        <v>No</v>
      </c>
      <c r="AI1973" s="5" t="str">
        <f ca="1">IFERROR(__xludf.DUMMYFUNCTION("""COMPUTED_VALUE"""),"No")</f>
        <v>No</v>
      </c>
      <c r="AJ1973" s="5" t="str">
        <f ca="1">IFERROR(__xludf.DUMMYFUNCTION("""COMPUTED_VALUE"""),"Yes")</f>
        <v>Yes</v>
      </c>
    </row>
    <row r="1974" spans="1:36" ht="13">
      <c r="A1974" s="5" t="str">
        <f ca="1">IFERROR(__xludf.DUMMYFUNCTION("""COMPUTED_VALUE"""),"19880129TXREA")</f>
        <v>19880129TXREA</v>
      </c>
      <c r="B1974" s="5">
        <f ca="1">IFERROR(__xludf.DUMMYFUNCTION("""COMPUTED_VALUE"""),1)</f>
        <v>1</v>
      </c>
      <c r="C1974" s="5">
        <f ca="1">IFERROR(__xludf.DUMMYFUNCTION("""COMPUTED_VALUE"""),29)</f>
        <v>29</v>
      </c>
      <c r="D1974" s="5">
        <f ca="1">IFERROR(__xludf.DUMMYFUNCTION("""COMPUTED_VALUE"""),1988)</f>
        <v>1988</v>
      </c>
      <c r="E1974" s="8">
        <f ca="1">IFERROR(__xludf.DUMMYFUNCTION("""COMPUTED_VALUE"""),32171)</f>
        <v>32171</v>
      </c>
      <c r="F1974" s="5" t="str">
        <f ca="1">IFERROR(__xludf.DUMMYFUNCTION("""COMPUTED_VALUE"""),"Reagan High School")</f>
        <v>Reagan High School</v>
      </c>
      <c r="G1974" s="5">
        <f ca="1">IFERROR(__xludf.DUMMYFUNCTION("""COMPUTED_VALUE"""),1)</f>
        <v>1</v>
      </c>
      <c r="H1974" s="5">
        <f ca="1">IFERROR(__xludf.DUMMYFUNCTION("""COMPUTED_VALUE"""),0)</f>
        <v>0</v>
      </c>
      <c r="I1974" s="5">
        <f ca="1">IFERROR(__xludf.DUMMYFUNCTION("""COMPUTED_VALUE"""),1)</f>
        <v>1</v>
      </c>
      <c r="J1974" s="5">
        <f ca="1">IFERROR(__xludf.DUMMYFUNCTION("""COMPUTED_VALUE"""),0)</f>
        <v>0</v>
      </c>
      <c r="K1974" s="9" t="str">
        <f ca="1">IFERROR(__xludf.DUMMYFUNCTION("""COMPUTED_VALUE"""),"https://www.newspapers.com/image/364030604/?terms=consuela%2Breed")</f>
        <v>https://www.newspapers.com/image/364030604/?terms=consuela%2Breed</v>
      </c>
      <c r="L1974" s="5"/>
      <c r="M1974" s="5"/>
      <c r="N1974" s="5">
        <f ca="1">IFERROR(__xludf.DUMMYFUNCTION("""COMPUTED_VALUE"""),2)</f>
        <v>2</v>
      </c>
      <c r="O1974" s="5" t="str">
        <f ca="1">IFERROR(__xludf.DUMMYFUNCTION("""COMPUTED_VALUE"""),"Winter")</f>
        <v>Winter</v>
      </c>
      <c r="P1974" s="5" t="str">
        <f ca="1">IFERROR(__xludf.DUMMYFUNCTION("""COMPUTED_VALUE"""),"Austin")</f>
        <v>Austin</v>
      </c>
      <c r="Q1974" s="5" t="str">
        <f ca="1">IFERROR(__xludf.DUMMYFUNCTION("""COMPUTED_VALUE"""),"TX")</f>
        <v>TX</v>
      </c>
      <c r="R1974" s="5" t="str">
        <f ca="1">IFERROR(__xludf.DUMMYFUNCTION("""COMPUTED_VALUE"""),"High")</f>
        <v>High</v>
      </c>
      <c r="S1974" s="5" t="str">
        <f ca="1">IFERROR(__xludf.DUMMYFUNCTION("""COMPUTED_VALUE"""),"Field (General)")</f>
        <v>Field (General)</v>
      </c>
      <c r="T1974" s="5" t="str">
        <f ca="1">IFERROR(__xludf.DUMMYFUNCTION("""COMPUTED_VALUE"""),"Outside on School Property")</f>
        <v>Outside on School Property</v>
      </c>
      <c r="U1974" s="5" t="str">
        <f ca="1">IFERROR(__xludf.DUMMYFUNCTION("""COMPUTED_VALUE"""),"No")</f>
        <v>No</v>
      </c>
      <c r="V1974" s="5" t="str">
        <f ca="1">IFERROR(__xludf.DUMMYFUNCTION("""COMPUTED_VALUE"""),"Evening")</f>
        <v>Evening</v>
      </c>
      <c r="W1974" s="10">
        <f ca="1">IFERROR(__xludf.DUMMYFUNCTION("""COMPUTED_VALUE"""),0.864583333333333)</f>
        <v>0.86458333333333304</v>
      </c>
      <c r="X1974" s="5">
        <f ca="1">IFERROR(__xludf.DUMMYFUNCTION("""COMPUTED_VALUE"""),1)</f>
        <v>1</v>
      </c>
      <c r="Y1974" s="5" t="str">
        <f ca="1">IFERROR(__xludf.DUMMYFUNCTION("""COMPUTED_VALUE"""),"Dispute between boyfriend and girlfriend outside of school")</f>
        <v>Dispute between boyfriend and girlfriend outside of school</v>
      </c>
      <c r="Z1974" s="5" t="str">
        <f ca="1">IFERROR(__xludf.DUMMYFUNCTION("""COMPUTED_VALUE"""),"Shooter and victim (boyfriend and girlfriend) were seen arguing in baseball field in front of school. Victim found severely injured Thursday evening and alerted security - victim died 45 minutes later.")</f>
        <v>Shooter and victim (boyfriend and girlfriend) were seen arguing in baseball field in front of school. Victim found severely injured Thursday evening and alerted security - victim died 45 minutes later.</v>
      </c>
      <c r="AA1974" s="5" t="str">
        <f ca="1">IFERROR(__xludf.DUMMYFUNCTION("""COMPUTED_VALUE"""),"Domestic w/ Targeted Victim")</f>
        <v>Domestic w/ Targeted Victim</v>
      </c>
      <c r="AB1974" s="5" t="str">
        <f ca="1">IFERROR(__xludf.DUMMYFUNCTION("""COMPUTED_VALUE"""),"Victims Targeted")</f>
        <v>Victims Targeted</v>
      </c>
      <c r="AC1974" s="5" t="str">
        <f ca="1">IFERROR(__xludf.DUMMYFUNCTION("""COMPUTED_VALUE"""),"No")</f>
        <v>No</v>
      </c>
      <c r="AD1974" s="5" t="str">
        <f ca="1">IFERROR(__xludf.DUMMYFUNCTION("""COMPUTED_VALUE"""),"No")</f>
        <v>No</v>
      </c>
      <c r="AE1974" s="5" t="str">
        <f ca="1">IFERROR(__xludf.DUMMYFUNCTION("""COMPUTED_VALUE"""),"No")</f>
        <v>No</v>
      </c>
      <c r="AF1974" s="5" t="str">
        <f ca="1">IFERROR(__xludf.DUMMYFUNCTION("""COMPUTED_VALUE"""),"No")</f>
        <v>No</v>
      </c>
      <c r="AG1974" s="5" t="str">
        <f ca="1">IFERROR(__xludf.DUMMYFUNCTION("""COMPUTED_VALUE"""),"No")</f>
        <v>No</v>
      </c>
      <c r="AH1974" s="5" t="str">
        <f ca="1">IFERROR(__xludf.DUMMYFUNCTION("""COMPUTED_VALUE"""),"No")</f>
        <v>No</v>
      </c>
      <c r="AI1974" s="5" t="str">
        <f ca="1">IFERROR(__xludf.DUMMYFUNCTION("""COMPUTED_VALUE"""),"No")</f>
        <v>No</v>
      </c>
      <c r="AJ1974" s="5"/>
    </row>
    <row r="1975" spans="1:36" ht="13">
      <c r="A1975" s="5" t="str">
        <f ca="1">IFERROR(__xludf.DUMMYFUNCTION("""COMPUTED_VALUE"""),"19880120LASIR")</f>
        <v>19880120LASIR</v>
      </c>
      <c r="B1975" s="5">
        <f ca="1">IFERROR(__xludf.DUMMYFUNCTION("""COMPUTED_VALUE"""),1)</f>
        <v>1</v>
      </c>
      <c r="C1975" s="5">
        <f ca="1">IFERROR(__xludf.DUMMYFUNCTION("""COMPUTED_VALUE"""),20)</f>
        <v>20</v>
      </c>
      <c r="D1975" s="5">
        <f ca="1">IFERROR(__xludf.DUMMYFUNCTION("""COMPUTED_VALUE"""),1988)</f>
        <v>1988</v>
      </c>
      <c r="E1975" s="8">
        <f ca="1">IFERROR(__xludf.DUMMYFUNCTION("""COMPUTED_VALUE"""),32162)</f>
        <v>32162</v>
      </c>
      <c r="F1975" s="5" t="str">
        <f ca="1">IFERROR(__xludf.DUMMYFUNCTION("""COMPUTED_VALUE"""),"Simsboro High School")</f>
        <v>Simsboro High School</v>
      </c>
      <c r="G1975" s="5">
        <f ca="1">IFERROR(__xludf.DUMMYFUNCTION("""COMPUTED_VALUE"""),1)</f>
        <v>1</v>
      </c>
      <c r="H1975" s="5">
        <f ca="1">IFERROR(__xludf.DUMMYFUNCTION("""COMPUTED_VALUE"""),0)</f>
        <v>0</v>
      </c>
      <c r="I1975" s="5">
        <f ca="1">IFERROR(__xludf.DUMMYFUNCTION("""COMPUTED_VALUE"""),1)</f>
        <v>1</v>
      </c>
      <c r="J1975" s="5">
        <f ca="1">IFERROR(__xludf.DUMMYFUNCTION("""COMPUTED_VALUE"""),0)</f>
        <v>0</v>
      </c>
      <c r="K1975" s="5" t="str">
        <f ca="1">IFERROR(__xludf.DUMMYFUNCTION("""COMPUTED_VALUE"""),"https://www.newspapers.com/image/217137074/?terms=student%2Bshot   https://www.newspapers.com/image/211310693/?terms=lori%2Bbeavers")</f>
        <v>https://www.newspapers.com/image/217137074/?terms=student%2Bshot   https://www.newspapers.com/image/211310693/?terms=lori%2Bbeavers</v>
      </c>
      <c r="L1975" s="5"/>
      <c r="M1975" s="5"/>
      <c r="N1975" s="5">
        <f ca="1">IFERROR(__xludf.DUMMYFUNCTION("""COMPUTED_VALUE"""),2)</f>
        <v>2</v>
      </c>
      <c r="O1975" s="5" t="str">
        <f ca="1">IFERROR(__xludf.DUMMYFUNCTION("""COMPUTED_VALUE"""),"Winter")</f>
        <v>Winter</v>
      </c>
      <c r="P1975" s="5" t="str">
        <f ca="1">IFERROR(__xludf.DUMMYFUNCTION("""COMPUTED_VALUE"""),"Ruston")</f>
        <v>Ruston</v>
      </c>
      <c r="Q1975" s="5" t="str">
        <f ca="1">IFERROR(__xludf.DUMMYFUNCTION("""COMPUTED_VALUE"""),"LA")</f>
        <v>LA</v>
      </c>
      <c r="R1975" s="5" t="str">
        <f ca="1">IFERROR(__xludf.DUMMYFUNCTION("""COMPUTED_VALUE"""),"High")</f>
        <v>High</v>
      </c>
      <c r="S1975" s="5" t="str">
        <f ca="1">IFERROR(__xludf.DUMMYFUNCTION("""COMPUTED_VALUE"""),"Parking Lot")</f>
        <v>Parking Lot</v>
      </c>
      <c r="T1975" s="5" t="str">
        <f ca="1">IFERROR(__xludf.DUMMYFUNCTION("""COMPUTED_VALUE"""),"Outside on School Property")</f>
        <v>Outside on School Property</v>
      </c>
      <c r="U1975" s="5" t="str">
        <f ca="1">IFERROR(__xludf.DUMMYFUNCTION("""COMPUTED_VALUE"""),"Yes")</f>
        <v>Yes</v>
      </c>
      <c r="V1975" s="5" t="str">
        <f ca="1">IFERROR(__xludf.DUMMYFUNCTION("""COMPUTED_VALUE"""),"School Start")</f>
        <v>School Start</v>
      </c>
      <c r="W1975" s="10">
        <f ca="1">IFERROR(__xludf.DUMMYFUNCTION("""COMPUTED_VALUE"""),0.333333333333333)</f>
        <v>0.33333333333333298</v>
      </c>
      <c r="X1975" s="5">
        <f ca="1">IFERROR(__xludf.DUMMYFUNCTION("""COMPUTED_VALUE"""),1)</f>
        <v>1</v>
      </c>
      <c r="Y1975" s="5" t="str">
        <f ca="1">IFERROR(__xludf.DUMMYFUNCTION("""COMPUTED_VALUE"""),"Male student shot female student in parking lot")</f>
        <v>Male student shot female student in parking lot</v>
      </c>
      <c r="Z1975" s="5" t="str">
        <f ca="1">IFERROR(__xludf.DUMMYFUNCTION("""COMPUTED_VALUE"""),"18YOM student shot 17YOF student once in the head while she was sitting in her car in the parking lot. Victim gave shooter middle finger and he pointed the gun at her. Shooter claimed he didn't intend for it to go off. Judge determined the shooting to be "&amp;"""idiot act of adolescence""")</f>
        <v>18YOM student shot 17YOF student once in the head while she was sitting in her car in the parking lot. Victim gave shooter middle finger and he pointed the gun at her. Shooter claimed he didn't intend for it to go off. Judge determined the shooting to be "idiot act of adolescence"</v>
      </c>
      <c r="AA1975" s="5" t="str">
        <f ca="1">IFERROR(__xludf.DUMMYFUNCTION("""COMPUTED_VALUE"""),"Accidental")</f>
        <v>Accidental</v>
      </c>
      <c r="AB1975" s="5" t="str">
        <f ca="1">IFERROR(__xludf.DUMMYFUNCTION("""COMPUTED_VALUE"""),"Victims Targeted")</f>
        <v>Victims Targeted</v>
      </c>
      <c r="AC1975" s="5" t="str">
        <f ca="1">IFERROR(__xludf.DUMMYFUNCTION("""COMPUTED_VALUE"""),"No")</f>
        <v>No</v>
      </c>
      <c r="AD1975" s="5" t="str">
        <f ca="1">IFERROR(__xludf.DUMMYFUNCTION("""COMPUTED_VALUE"""),"No")</f>
        <v>No</v>
      </c>
      <c r="AE1975" s="5" t="str">
        <f ca="1">IFERROR(__xludf.DUMMYFUNCTION("""COMPUTED_VALUE"""),"No")</f>
        <v>No</v>
      </c>
      <c r="AF1975" s="5" t="str">
        <f ca="1">IFERROR(__xludf.DUMMYFUNCTION("""COMPUTED_VALUE"""),"No")</f>
        <v>No</v>
      </c>
      <c r="AG1975" s="5" t="str">
        <f ca="1">IFERROR(__xludf.DUMMYFUNCTION("""COMPUTED_VALUE"""),"No")</f>
        <v>No</v>
      </c>
      <c r="AH1975" s="5" t="str">
        <f ca="1">IFERROR(__xludf.DUMMYFUNCTION("""COMPUTED_VALUE"""),"No")</f>
        <v>No</v>
      </c>
      <c r="AI1975" s="5" t="str">
        <f ca="1">IFERROR(__xludf.DUMMYFUNCTION("""COMPUTED_VALUE"""),"No")</f>
        <v>No</v>
      </c>
      <c r="AJ1975" s="5"/>
    </row>
    <row r="1976" spans="1:36" ht="13">
      <c r="A1976" s="5" t="str">
        <f ca="1">IFERROR(__xludf.DUMMYFUNCTION("""COMPUTED_VALUE"""),"19880108PACRM")</f>
        <v>19880108PACRM</v>
      </c>
      <c r="B1976" s="5">
        <f ca="1">IFERROR(__xludf.DUMMYFUNCTION("""COMPUTED_VALUE"""),1)</f>
        <v>1</v>
      </c>
      <c r="C1976" s="5">
        <f ca="1">IFERROR(__xludf.DUMMYFUNCTION("""COMPUTED_VALUE"""),8)</f>
        <v>8</v>
      </c>
      <c r="D1976" s="5">
        <f ca="1">IFERROR(__xludf.DUMMYFUNCTION("""COMPUTED_VALUE"""),1988)</f>
        <v>1988</v>
      </c>
      <c r="E1976" s="8">
        <f ca="1">IFERROR(__xludf.DUMMYFUNCTION("""COMPUTED_VALUE"""),32150)</f>
        <v>32150</v>
      </c>
      <c r="F1976" s="5" t="str">
        <f ca="1">IFERROR(__xludf.DUMMYFUNCTION("""COMPUTED_VALUE"""),"Crawford County Joint Vocational Technical School")</f>
        <v>Crawford County Joint Vocational Technical School</v>
      </c>
      <c r="G1976" s="5">
        <f ca="1">IFERROR(__xludf.DUMMYFUNCTION("""COMPUTED_VALUE"""),0)</f>
        <v>0</v>
      </c>
      <c r="H1976" s="5">
        <f ca="1">IFERROR(__xludf.DUMMYFUNCTION("""COMPUTED_VALUE"""),1)</f>
        <v>1</v>
      </c>
      <c r="I1976" s="5">
        <f ca="1">IFERROR(__xludf.DUMMYFUNCTION("""COMPUTED_VALUE"""),1)</f>
        <v>1</v>
      </c>
      <c r="J1976" s="5">
        <f ca="1">IFERROR(__xludf.DUMMYFUNCTION("""COMPUTED_VALUE"""),0)</f>
        <v>0</v>
      </c>
      <c r="K1976" s="9" t="str">
        <f ca="1">IFERROR(__xludf.DUMMYFUNCTION("""COMPUTED_VALUE"""),"https://www.newspapers.com/image/33621001/?terms=crawford%2Bcounty%2Bjoint%2Bvocational")</f>
        <v>https://www.newspapers.com/image/33621001/?terms=crawford%2Bcounty%2Bjoint%2Bvocational</v>
      </c>
      <c r="L1976" s="5"/>
      <c r="M1976" s="5"/>
      <c r="N1976" s="5">
        <f ca="1">IFERROR(__xludf.DUMMYFUNCTION("""COMPUTED_VALUE"""),2)</f>
        <v>2</v>
      </c>
      <c r="O1976" s="5" t="str">
        <f ca="1">IFERROR(__xludf.DUMMYFUNCTION("""COMPUTED_VALUE"""),"Winter")</f>
        <v>Winter</v>
      </c>
      <c r="P1976" s="5" t="str">
        <f ca="1">IFERROR(__xludf.DUMMYFUNCTION("""COMPUTED_VALUE"""),"Meadville")</f>
        <v>Meadville</v>
      </c>
      <c r="Q1976" s="5" t="str">
        <f ca="1">IFERROR(__xludf.DUMMYFUNCTION("""COMPUTED_VALUE"""),"PA")</f>
        <v>PA</v>
      </c>
      <c r="R1976" s="5" t="str">
        <f ca="1">IFERROR(__xludf.DUMMYFUNCTION("""COMPUTED_VALUE"""),"High")</f>
        <v>High</v>
      </c>
      <c r="S1976" s="5" t="str">
        <f ca="1">IFERROR(__xludf.DUMMYFUNCTION("""COMPUTED_VALUE"""),"Inside School Building")</f>
        <v>Inside School Building</v>
      </c>
      <c r="T1976" s="5" t="str">
        <f ca="1">IFERROR(__xludf.DUMMYFUNCTION("""COMPUTED_VALUE"""),"Inside School Building")</f>
        <v>Inside School Building</v>
      </c>
      <c r="U1976" s="5" t="str">
        <f ca="1">IFERROR(__xludf.DUMMYFUNCTION("""COMPUTED_VALUE"""),"Yes")</f>
        <v>Yes</v>
      </c>
      <c r="V1976" s="5" t="str">
        <f ca="1">IFERROR(__xludf.DUMMYFUNCTION("""COMPUTED_VALUE"""),"Morning Classes")</f>
        <v>Morning Classes</v>
      </c>
      <c r="W1976" s="10">
        <f ca="1">IFERROR(__xludf.DUMMYFUNCTION("""COMPUTED_VALUE"""),0.364583333333333)</f>
        <v>0.36458333333333298</v>
      </c>
      <c r="X1976" s="5">
        <f ca="1">IFERROR(__xludf.DUMMYFUNCTION("""COMPUTED_VALUE"""),1)</f>
        <v>1</v>
      </c>
      <c r="Y1976" s="5" t="str">
        <f ca="1">IFERROR(__xludf.DUMMYFUNCTION("""COMPUTED_VALUE"""),"Reports were unclear - police were not sure if victim was shot by someone else or if he shot himself")</f>
        <v>Reports were unclear - police were not sure if victim was shot by someone else or if he shot himself</v>
      </c>
      <c r="Z1976" s="5" t="str">
        <f ca="1">IFERROR(__xludf.DUMMYFUNCTION("""COMPUTED_VALUE"""),"Police were unsure if victim was shot by someone else or if he shot himself")</f>
        <v>Police were unsure if victim was shot by someone else or if he shot himself</v>
      </c>
      <c r="AA1976" s="5" t="str">
        <f ca="1">IFERROR(__xludf.DUMMYFUNCTION("""COMPUTED_VALUE"""),"Unknown")</f>
        <v>Unknown</v>
      </c>
      <c r="AB1976" s="5"/>
      <c r="AC1976" s="5" t="str">
        <f ca="1">IFERROR(__xludf.DUMMYFUNCTION("""COMPUTED_VALUE"""),"No")</f>
        <v>No</v>
      </c>
      <c r="AD1976" s="5" t="str">
        <f ca="1">IFERROR(__xludf.DUMMYFUNCTION("""COMPUTED_VALUE"""),"No")</f>
        <v>No</v>
      </c>
      <c r="AE1976" s="5" t="str">
        <f ca="1">IFERROR(__xludf.DUMMYFUNCTION("""COMPUTED_VALUE"""),"No")</f>
        <v>No</v>
      </c>
      <c r="AF1976" s="5" t="str">
        <f ca="1">IFERROR(__xludf.DUMMYFUNCTION("""COMPUTED_VALUE"""),"No")</f>
        <v>No</v>
      </c>
      <c r="AG1976" s="5"/>
      <c r="AH1976" s="5"/>
      <c r="AI1976" s="5" t="str">
        <f ca="1">IFERROR(__xludf.DUMMYFUNCTION("""COMPUTED_VALUE"""),"No")</f>
        <v>No</v>
      </c>
      <c r="AJ1976" s="5"/>
    </row>
    <row r="1977" spans="1:36" ht="13">
      <c r="A1977" s="5" t="str">
        <f ca="1">IFERROR(__xludf.DUMMYFUNCTION("""COMPUTED_VALUE"""),"19880106FLGAT")</f>
        <v>19880106FLGAT</v>
      </c>
      <c r="B1977" s="5">
        <f ca="1">IFERROR(__xludf.DUMMYFUNCTION("""COMPUTED_VALUE"""),1)</f>
        <v>1</v>
      </c>
      <c r="C1977" s="5">
        <f ca="1">IFERROR(__xludf.DUMMYFUNCTION("""COMPUTED_VALUE"""),6)</f>
        <v>6</v>
      </c>
      <c r="D1977" s="5">
        <f ca="1">IFERROR(__xludf.DUMMYFUNCTION("""COMPUTED_VALUE"""),1988)</f>
        <v>1988</v>
      </c>
      <c r="E1977" s="8">
        <f ca="1">IFERROR(__xludf.DUMMYFUNCTION("""COMPUTED_VALUE"""),32148)</f>
        <v>32148</v>
      </c>
      <c r="F1977" s="5" t="str">
        <f ca="1">IFERROR(__xludf.DUMMYFUNCTION("""COMPUTED_VALUE"""),"Gaither High School")</f>
        <v>Gaither High School</v>
      </c>
      <c r="G1977" s="5">
        <f ca="1">IFERROR(__xludf.DUMMYFUNCTION("""COMPUTED_VALUE"""),0)</f>
        <v>0</v>
      </c>
      <c r="H1977" s="5">
        <f ca="1">IFERROR(__xludf.DUMMYFUNCTION("""COMPUTED_VALUE"""),0)</f>
        <v>0</v>
      </c>
      <c r="I1977" s="5">
        <f ca="1">IFERROR(__xludf.DUMMYFUNCTION("""COMPUTED_VALUE"""),0)</f>
        <v>0</v>
      </c>
      <c r="J1977" s="5">
        <f ca="1">IFERROR(__xludf.DUMMYFUNCTION("""COMPUTED_VALUE"""),0)</f>
        <v>0</v>
      </c>
      <c r="K1977" s="5" t="str">
        <f ca="1">IFERROR(__xludf.DUMMYFUNCTION("""COMPUTED_VALUE"""),"https://www.newspapers.com/image/337347830/?terms=karen%2Bkeene; https://www.newspapers.com/image/321832403/?terms=karen%2Bkeene")</f>
        <v>https://www.newspapers.com/image/337347830/?terms=karen%2Bkeene; https://www.newspapers.com/image/321832403/?terms=karen%2Bkeene</v>
      </c>
      <c r="L1977" s="5"/>
      <c r="M1977" s="5"/>
      <c r="N1977" s="5">
        <f ca="1">IFERROR(__xludf.DUMMYFUNCTION("""COMPUTED_VALUE"""),3)</f>
        <v>3</v>
      </c>
      <c r="O1977" s="5" t="str">
        <f ca="1">IFERROR(__xludf.DUMMYFUNCTION("""COMPUTED_VALUE"""),"Winter")</f>
        <v>Winter</v>
      </c>
      <c r="P1977" s="5" t="str">
        <f ca="1">IFERROR(__xludf.DUMMYFUNCTION("""COMPUTED_VALUE"""),"Tampa")</f>
        <v>Tampa</v>
      </c>
      <c r="Q1977" s="5" t="str">
        <f ca="1">IFERROR(__xludf.DUMMYFUNCTION("""COMPUTED_VALUE"""),"FL")</f>
        <v>FL</v>
      </c>
      <c r="R1977" s="5" t="str">
        <f ca="1">IFERROR(__xludf.DUMMYFUNCTION("""COMPUTED_VALUE"""),"High")</f>
        <v>High</v>
      </c>
      <c r="S1977" s="5" t="str">
        <f ca="1">IFERROR(__xludf.DUMMYFUNCTION("""COMPUTED_VALUE"""),"Parking Lot")</f>
        <v>Parking Lot</v>
      </c>
      <c r="T1977" s="5" t="str">
        <f ca="1">IFERROR(__xludf.DUMMYFUNCTION("""COMPUTED_VALUE"""),"Outside on School Property")</f>
        <v>Outside on School Property</v>
      </c>
      <c r="U1977" s="5" t="str">
        <f ca="1">IFERROR(__xludf.DUMMYFUNCTION("""COMPUTED_VALUE"""),"Yes")</f>
        <v>Yes</v>
      </c>
      <c r="V1977" s="5" t="str">
        <f ca="1">IFERROR(__xludf.DUMMYFUNCTION("""COMPUTED_VALUE"""),"Morning Classes")</f>
        <v>Morning Classes</v>
      </c>
      <c r="W1977" s="10">
        <f ca="1">IFERROR(__xludf.DUMMYFUNCTION("""COMPUTED_VALUE"""),0.458333333333333)</f>
        <v>0.45833333333333298</v>
      </c>
      <c r="X1977" s="5">
        <f ca="1">IFERROR(__xludf.DUMMYFUNCTION("""COMPUTED_VALUE"""),1)</f>
        <v>1</v>
      </c>
      <c r="Y1977" s="5" t="str">
        <f ca="1">IFERROR(__xludf.DUMMYFUNCTION("""COMPUTED_VALUE"""),"Suicide in school parking lot")</f>
        <v>Suicide in school parking lot</v>
      </c>
      <c r="Z1977" s="5" t="str">
        <f ca="1">IFERROR(__xludf.DUMMYFUNCTION("""COMPUTED_VALUE"""),"Shooter was distraught over a mix up of not returning video tapes to store - though she may be charged with theft. - used step-father's weapon - shot self in school parking lot.")</f>
        <v>Shooter was distraught over a mix up of not returning video tapes to store - though she may be charged with theft. - used step-father's weapon - shot self in school parking lot.</v>
      </c>
      <c r="AA1977" s="5" t="str">
        <f ca="1">IFERROR(__xludf.DUMMYFUNCTION("""COMPUTED_VALUE"""),"Suicide/Attempted")</f>
        <v>Suicide/Attempted</v>
      </c>
      <c r="AB1977" s="5" t="str">
        <f ca="1">IFERROR(__xludf.DUMMYFUNCTION("""COMPUTED_VALUE"""),"Victims Targeted")</f>
        <v>Victims Targeted</v>
      </c>
      <c r="AC1977" s="5" t="str">
        <f ca="1">IFERROR(__xludf.DUMMYFUNCTION("""COMPUTED_VALUE"""),"No")</f>
        <v>No</v>
      </c>
      <c r="AD1977" s="5" t="str">
        <f ca="1">IFERROR(__xludf.DUMMYFUNCTION("""COMPUTED_VALUE"""),"No")</f>
        <v>No</v>
      </c>
      <c r="AE1977" s="5" t="str">
        <f ca="1">IFERROR(__xludf.DUMMYFUNCTION("""COMPUTED_VALUE"""),"No")</f>
        <v>No</v>
      </c>
      <c r="AF1977" s="5" t="str">
        <f ca="1">IFERROR(__xludf.DUMMYFUNCTION("""COMPUTED_VALUE"""),"No")</f>
        <v>No</v>
      </c>
      <c r="AG1977" s="5" t="str">
        <f ca="1">IFERROR(__xludf.DUMMYFUNCTION("""COMPUTED_VALUE"""),"No")</f>
        <v>No</v>
      </c>
      <c r="AH1977" s="5" t="str">
        <f ca="1">IFERROR(__xludf.DUMMYFUNCTION("""COMPUTED_VALUE"""),"No")</f>
        <v>No</v>
      </c>
      <c r="AI1977" s="5" t="str">
        <f ca="1">IFERROR(__xludf.DUMMYFUNCTION("""COMPUTED_VALUE"""),"No")</f>
        <v>No</v>
      </c>
      <c r="AJ1977" s="5"/>
    </row>
    <row r="1978" spans="1:36" ht="13">
      <c r="A1978" s="5" t="str">
        <f ca="1">IFERROR(__xludf.DUMMYFUNCTION("""COMPUTED_VALUE"""),"19880105PASPS")</f>
        <v>19880105PASPS</v>
      </c>
      <c r="B1978" s="5">
        <f ca="1">IFERROR(__xludf.DUMMYFUNCTION("""COMPUTED_VALUE"""),1)</f>
        <v>1</v>
      </c>
      <c r="C1978" s="5">
        <f ca="1">IFERROR(__xludf.DUMMYFUNCTION("""COMPUTED_VALUE"""),5)</f>
        <v>5</v>
      </c>
      <c r="D1978" s="5">
        <f ca="1">IFERROR(__xludf.DUMMYFUNCTION("""COMPUTED_VALUE"""),1988)</f>
        <v>1988</v>
      </c>
      <c r="E1978" s="8">
        <f ca="1">IFERROR(__xludf.DUMMYFUNCTION("""COMPUTED_VALUE"""),32147)</f>
        <v>32147</v>
      </c>
      <c r="F1978" s="5" t="str">
        <f ca="1">IFERROR(__xludf.DUMMYFUNCTION("""COMPUTED_VALUE"""),"Springfield High School")</f>
        <v>Springfield High School</v>
      </c>
      <c r="G1978" s="5">
        <f ca="1">IFERROR(__xludf.DUMMYFUNCTION("""COMPUTED_VALUE"""),0)</f>
        <v>0</v>
      </c>
      <c r="H1978" s="5">
        <f ca="1">IFERROR(__xludf.DUMMYFUNCTION("""COMPUTED_VALUE"""),1)</f>
        <v>1</v>
      </c>
      <c r="I1978" s="5">
        <f ca="1">IFERROR(__xludf.DUMMYFUNCTION("""COMPUTED_VALUE"""),1)</f>
        <v>1</v>
      </c>
      <c r="J1978" s="5">
        <f ca="1">IFERROR(__xludf.DUMMYFUNCTION("""COMPUTED_VALUE"""),0)</f>
        <v>0</v>
      </c>
      <c r="K1978" s="9" t="str">
        <f ca="1">IFERROR(__xludf.DUMMYFUNCTION("""COMPUTED_VALUE"""),"https://www.newspapers.com/image/169515600/?terms=charles%2Bmincey%2Bridley%2Bhigh%2Bschool")</f>
        <v>https://www.newspapers.com/image/169515600/?terms=charles%2Bmincey%2Bridley%2Bhigh%2Bschool</v>
      </c>
      <c r="L1978" s="5"/>
      <c r="M1978" s="5"/>
      <c r="N1978" s="5">
        <f ca="1">IFERROR(__xludf.DUMMYFUNCTION("""COMPUTED_VALUE"""),2)</f>
        <v>2</v>
      </c>
      <c r="O1978" s="5" t="str">
        <f ca="1">IFERROR(__xludf.DUMMYFUNCTION("""COMPUTED_VALUE"""),"Winter")</f>
        <v>Winter</v>
      </c>
      <c r="P1978" s="5" t="str">
        <f ca="1">IFERROR(__xludf.DUMMYFUNCTION("""COMPUTED_VALUE"""),"Springfield")</f>
        <v>Springfield</v>
      </c>
      <c r="Q1978" s="5" t="str">
        <f ca="1">IFERROR(__xludf.DUMMYFUNCTION("""COMPUTED_VALUE"""),"PA")</f>
        <v>PA</v>
      </c>
      <c r="R1978" s="5" t="str">
        <f ca="1">IFERROR(__xludf.DUMMYFUNCTION("""COMPUTED_VALUE"""),"High")</f>
        <v>High</v>
      </c>
      <c r="S1978" s="5" t="str">
        <f ca="1">IFERROR(__xludf.DUMMYFUNCTION("""COMPUTED_VALUE"""),"Basketball Court")</f>
        <v>Basketball Court</v>
      </c>
      <c r="T1978" s="5" t="str">
        <f ca="1">IFERROR(__xludf.DUMMYFUNCTION("""COMPUTED_VALUE"""),"Outside on School Property")</f>
        <v>Outside on School Property</v>
      </c>
      <c r="U1978" s="5" t="str">
        <f ca="1">IFERROR(__xludf.DUMMYFUNCTION("""COMPUTED_VALUE"""),"No")</f>
        <v>No</v>
      </c>
      <c r="V1978" s="5" t="str">
        <f ca="1">IFERROR(__xludf.DUMMYFUNCTION("""COMPUTED_VALUE"""),"Sport Event")</f>
        <v>Sport Event</v>
      </c>
      <c r="W1978" s="10">
        <f ca="1">IFERROR(__xludf.DUMMYFUNCTION("""COMPUTED_VALUE"""),0.875)</f>
        <v>0.875</v>
      </c>
      <c r="X1978" s="5">
        <f ca="1">IFERROR(__xludf.DUMMYFUNCTION("""COMPUTED_VALUE"""),1)</f>
        <v>1</v>
      </c>
      <c r="Y1978" s="5" t="str">
        <f ca="1">IFERROR(__xludf.DUMMYFUNCTION("""COMPUTED_VALUE"""),"Shots fired during basketball game")</f>
        <v>Shots fired during basketball game</v>
      </c>
      <c r="Z1978" s="5" t="str">
        <f ca="1">IFERROR(__xludf.DUMMYFUNCTION("""COMPUTED_VALUE"""),"Escalation of ongoing conflict which took place after basketball game. 20YOM shooter shot 17YOM student.")</f>
        <v>Escalation of ongoing conflict which took place after basketball game. 20YOM shooter shot 17YOM student.</v>
      </c>
      <c r="AA1978" s="5" t="str">
        <f ca="1">IFERROR(__xludf.DUMMYFUNCTION("""COMPUTED_VALUE"""),"Escalation of Dispute")</f>
        <v>Escalation of Dispute</v>
      </c>
      <c r="AB1978" s="5" t="str">
        <f ca="1">IFERROR(__xludf.DUMMYFUNCTION("""COMPUTED_VALUE"""),"Victims Targeted")</f>
        <v>Victims Targeted</v>
      </c>
      <c r="AC1978" s="5" t="str">
        <f ca="1">IFERROR(__xludf.DUMMYFUNCTION("""COMPUTED_VALUE"""),"No")</f>
        <v>No</v>
      </c>
      <c r="AD1978" s="5" t="str">
        <f ca="1">IFERROR(__xludf.DUMMYFUNCTION("""COMPUTED_VALUE"""),"No")</f>
        <v>No</v>
      </c>
      <c r="AE1978" s="5" t="str">
        <f ca="1">IFERROR(__xludf.DUMMYFUNCTION("""COMPUTED_VALUE"""),"No")</f>
        <v>No</v>
      </c>
      <c r="AF1978" s="5" t="str">
        <f ca="1">IFERROR(__xludf.DUMMYFUNCTION("""COMPUTED_VALUE"""),"No")</f>
        <v>No</v>
      </c>
      <c r="AG1978" s="5" t="str">
        <f ca="1">IFERROR(__xludf.DUMMYFUNCTION("""COMPUTED_VALUE"""),"No")</f>
        <v>No</v>
      </c>
      <c r="AH1978" s="5" t="str">
        <f ca="1">IFERROR(__xludf.DUMMYFUNCTION("""COMPUTED_VALUE"""),"No")</f>
        <v>No</v>
      </c>
      <c r="AI1978" s="5" t="str">
        <f ca="1">IFERROR(__xludf.DUMMYFUNCTION("""COMPUTED_VALUE"""),"No")</f>
        <v>No</v>
      </c>
      <c r="AJ1978" s="5"/>
    </row>
    <row r="1979" spans="1:36" ht="13">
      <c r="A1979" s="5" t="str">
        <f ca="1">IFERROR(__xludf.DUMMYFUNCTION("""COMPUTED_VALUE"""),"19871216TXMAK")</f>
        <v>19871216TXMAK</v>
      </c>
      <c r="B1979" s="5">
        <f ca="1">IFERROR(__xludf.DUMMYFUNCTION("""COMPUTED_VALUE"""),12)</f>
        <v>12</v>
      </c>
      <c r="C1979" s="5">
        <f ca="1">IFERROR(__xludf.DUMMYFUNCTION("""COMPUTED_VALUE"""),16)</f>
        <v>16</v>
      </c>
      <c r="D1979" s="5">
        <f ca="1">IFERROR(__xludf.DUMMYFUNCTION("""COMPUTED_VALUE"""),1987)</f>
        <v>1987</v>
      </c>
      <c r="E1979" s="8">
        <f ca="1">IFERROR(__xludf.DUMMYFUNCTION("""COMPUTED_VALUE"""),32127)</f>
        <v>32127</v>
      </c>
      <c r="F1979" s="5" t="str">
        <f ca="1">IFERROR(__xludf.DUMMYFUNCTION("""COMPUTED_VALUE"""),"Mayde Creek High School")</f>
        <v>Mayde Creek High School</v>
      </c>
      <c r="G1979" s="5">
        <f ca="1">IFERROR(__xludf.DUMMYFUNCTION("""COMPUTED_VALUE"""),0)</f>
        <v>0</v>
      </c>
      <c r="H1979" s="5">
        <f ca="1">IFERROR(__xludf.DUMMYFUNCTION("""COMPUTED_VALUE"""),0)</f>
        <v>0</v>
      </c>
      <c r="I1979" s="5">
        <f ca="1">IFERROR(__xludf.DUMMYFUNCTION("""COMPUTED_VALUE"""),0)</f>
        <v>0</v>
      </c>
      <c r="J1979" s="5">
        <f ca="1">IFERROR(__xludf.DUMMYFUNCTION("""COMPUTED_VALUE"""),1)</f>
        <v>1</v>
      </c>
      <c r="K1979" s="9" t="str">
        <f ca="1">IFERROR(__xludf.DUMMYFUNCTION("""COMPUTED_VALUE"""),"https://www.newspapers.com/image/6664149/?terms=student%2Bshot")</f>
        <v>https://www.newspapers.com/image/6664149/?terms=student%2Bshot</v>
      </c>
      <c r="L1979" s="5"/>
      <c r="M1979" s="5"/>
      <c r="N1979" s="5">
        <f ca="1">IFERROR(__xludf.DUMMYFUNCTION("""COMPUTED_VALUE"""),2)</f>
        <v>2</v>
      </c>
      <c r="O1979" s="5" t="str">
        <f ca="1">IFERROR(__xludf.DUMMYFUNCTION("""COMPUTED_VALUE"""),"Winter")</f>
        <v>Winter</v>
      </c>
      <c r="P1979" s="5" t="str">
        <f ca="1">IFERROR(__xludf.DUMMYFUNCTION("""COMPUTED_VALUE"""),"Katy")</f>
        <v>Katy</v>
      </c>
      <c r="Q1979" s="5" t="str">
        <f ca="1">IFERROR(__xludf.DUMMYFUNCTION("""COMPUTED_VALUE"""),"TX")</f>
        <v>TX</v>
      </c>
      <c r="R1979" s="5" t="str">
        <f ca="1">IFERROR(__xludf.DUMMYFUNCTION("""COMPUTED_VALUE"""),"High")</f>
        <v>High</v>
      </c>
      <c r="S1979" s="5" t="str">
        <f ca="1">IFERROR(__xludf.DUMMYFUNCTION("""COMPUTED_VALUE"""),"Classroom")</f>
        <v>Classroom</v>
      </c>
      <c r="T1979" s="5" t="str">
        <f ca="1">IFERROR(__xludf.DUMMYFUNCTION("""COMPUTED_VALUE"""),"Inside School Building")</f>
        <v>Inside School Building</v>
      </c>
      <c r="U1979" s="5" t="str">
        <f ca="1">IFERROR(__xludf.DUMMYFUNCTION("""COMPUTED_VALUE"""),"Yes")</f>
        <v>Yes</v>
      </c>
      <c r="V1979" s="5" t="str">
        <f ca="1">IFERROR(__xludf.DUMMYFUNCTION("""COMPUTED_VALUE"""),"Morning Classes")</f>
        <v>Morning Classes</v>
      </c>
      <c r="W1979" s="10">
        <f ca="1">IFERROR(__xludf.DUMMYFUNCTION("""COMPUTED_VALUE"""),0.416666666666666)</f>
        <v>0.41666666666666602</v>
      </c>
      <c r="X1979" s="5">
        <f ca="1">IFERROR(__xludf.DUMMYFUNCTION("""COMPUTED_VALUE"""),1)</f>
        <v>1</v>
      </c>
      <c r="Y1979" s="5" t="str">
        <f ca="1">IFERROR(__xludf.DUMMYFUNCTION("""COMPUTED_VALUE"""),"Commit suicide in front of class after girl refused to date him")</f>
        <v>Commit suicide in front of class after girl refused to date him</v>
      </c>
      <c r="Z1979" s="5" t="str">
        <f ca="1">IFERROR(__xludf.DUMMYFUNCTION("""COMPUTED_VALUE"""),"Shooter walked to front of algebra class and shot himself with .357 Magnum. Shooter was obsessed with girl and she would not date him. She had told school administrators about him. He told her the night prior he was planning suicide")</f>
        <v>Shooter walked to front of algebra class and shot himself with .357 Magnum. Shooter was obsessed with girl and she would not date him. She had told school administrators about him. He told her the night prior he was planning suicide</v>
      </c>
      <c r="AA1979" s="5" t="str">
        <f ca="1">IFERROR(__xludf.DUMMYFUNCTION("""COMPUTED_VALUE"""),"Suicide/Attempted")</f>
        <v>Suicide/Attempted</v>
      </c>
      <c r="AB1979" s="5"/>
      <c r="AC1979" s="5" t="str">
        <f ca="1">IFERROR(__xludf.DUMMYFUNCTION("""COMPUTED_VALUE"""),"No")</f>
        <v>No</v>
      </c>
      <c r="AD1979" s="5" t="str">
        <f ca="1">IFERROR(__xludf.DUMMYFUNCTION("""COMPUTED_VALUE"""),"No")</f>
        <v>No</v>
      </c>
      <c r="AE1979" s="5" t="str">
        <f ca="1">IFERROR(__xludf.DUMMYFUNCTION("""COMPUTED_VALUE"""),"No")</f>
        <v>No</v>
      </c>
      <c r="AF1979" s="5" t="str">
        <f ca="1">IFERROR(__xludf.DUMMYFUNCTION("""COMPUTED_VALUE"""),"No")</f>
        <v>No</v>
      </c>
      <c r="AG1979" s="5"/>
      <c r="AH1979" s="5" t="str">
        <f ca="1">IFERROR(__xludf.DUMMYFUNCTION("""COMPUTED_VALUE"""),"No")</f>
        <v>No</v>
      </c>
      <c r="AI1979" s="5" t="str">
        <f ca="1">IFERROR(__xludf.DUMMYFUNCTION("""COMPUTED_VALUE"""),"No")</f>
        <v>No</v>
      </c>
      <c r="AJ1979" s="5"/>
    </row>
    <row r="1980" spans="1:36" ht="13">
      <c r="A1980" s="5" t="str">
        <f ca="1">IFERROR(__xludf.DUMMYFUNCTION("""COMPUTED_VALUE"""),"19871215NYGRB")</f>
        <v>19871215NYGRB</v>
      </c>
      <c r="B1980" s="5">
        <f ca="1">IFERROR(__xludf.DUMMYFUNCTION("""COMPUTED_VALUE"""),12)</f>
        <v>12</v>
      </c>
      <c r="C1980" s="5">
        <f ca="1">IFERROR(__xludf.DUMMYFUNCTION("""COMPUTED_VALUE"""),15)</f>
        <v>15</v>
      </c>
      <c r="D1980" s="5">
        <f ca="1">IFERROR(__xludf.DUMMYFUNCTION("""COMPUTED_VALUE"""),1987)</f>
        <v>1987</v>
      </c>
      <c r="E1980" s="8">
        <f ca="1">IFERROR(__xludf.DUMMYFUNCTION("""COMPUTED_VALUE"""),32126)</f>
        <v>32126</v>
      </c>
      <c r="F1980" s="5" t="str">
        <f ca="1">IFERROR(__xludf.DUMMYFUNCTION("""COMPUTED_VALUE"""),"Grady Vocational-Technical School")</f>
        <v>Grady Vocational-Technical School</v>
      </c>
      <c r="G1980" s="5">
        <f ca="1">IFERROR(__xludf.DUMMYFUNCTION("""COMPUTED_VALUE"""),0)</f>
        <v>0</v>
      </c>
      <c r="H1980" s="5">
        <f ca="1">IFERROR(__xludf.DUMMYFUNCTION("""COMPUTED_VALUE"""),1)</f>
        <v>1</v>
      </c>
      <c r="I1980" s="5">
        <f ca="1">IFERROR(__xludf.DUMMYFUNCTION("""COMPUTED_VALUE"""),1)</f>
        <v>1</v>
      </c>
      <c r="J1980" s="5">
        <f ca="1">IFERROR(__xludf.DUMMYFUNCTION("""COMPUTED_VALUE"""),0)</f>
        <v>0</v>
      </c>
      <c r="K1980" s="9" t="str">
        <f ca="1">IFERROR(__xludf.DUMMYFUNCTION("""COMPUTED_VALUE"""),"https://www.newspapers.com/image/406009908/?terms=STUDENT%2BSHOT")</f>
        <v>https://www.newspapers.com/image/406009908/?terms=STUDENT%2BSHOT</v>
      </c>
      <c r="L1980" s="5"/>
      <c r="M1980" s="5"/>
      <c r="N1980" s="5">
        <f ca="1">IFERROR(__xludf.DUMMYFUNCTION("""COMPUTED_VALUE"""),2)</f>
        <v>2</v>
      </c>
      <c r="O1980" s="5" t="str">
        <f ca="1">IFERROR(__xludf.DUMMYFUNCTION("""COMPUTED_VALUE"""),"Winter")</f>
        <v>Winter</v>
      </c>
      <c r="P1980" s="5" t="str">
        <f ca="1">IFERROR(__xludf.DUMMYFUNCTION("""COMPUTED_VALUE"""),"Brighton Beach")</f>
        <v>Brighton Beach</v>
      </c>
      <c r="Q1980" s="5" t="str">
        <f ca="1">IFERROR(__xludf.DUMMYFUNCTION("""COMPUTED_VALUE"""),"NY")</f>
        <v>NY</v>
      </c>
      <c r="R1980" s="5" t="str">
        <f ca="1">IFERROR(__xludf.DUMMYFUNCTION("""COMPUTED_VALUE"""),"High")</f>
        <v>High</v>
      </c>
      <c r="S1980" s="5" t="str">
        <f ca="1">IFERROR(__xludf.DUMMYFUNCTION("""COMPUTED_VALUE"""),"Inside School Building")</f>
        <v>Inside School Building</v>
      </c>
      <c r="T1980" s="5" t="str">
        <f ca="1">IFERROR(__xludf.DUMMYFUNCTION("""COMPUTED_VALUE"""),"Inside School Building")</f>
        <v>Inside School Building</v>
      </c>
      <c r="U1980" s="5" t="str">
        <f ca="1">IFERROR(__xludf.DUMMYFUNCTION("""COMPUTED_VALUE"""),"Yes")</f>
        <v>Yes</v>
      </c>
      <c r="V1980" s="5" t="str">
        <f ca="1">IFERROR(__xludf.DUMMYFUNCTION("""COMPUTED_VALUE"""),"Morning Classes")</f>
        <v>Morning Classes</v>
      </c>
      <c r="W1980" s="10">
        <f ca="1">IFERROR(__xludf.DUMMYFUNCTION("""COMPUTED_VALUE"""),0.40625)</f>
        <v>0.40625</v>
      </c>
      <c r="X1980" s="5">
        <f ca="1">IFERROR(__xludf.DUMMYFUNCTION("""COMPUTED_VALUE"""),1)</f>
        <v>1</v>
      </c>
      <c r="Y1980" s="5" t="str">
        <f ca="1">IFERROR(__xludf.DUMMYFUNCTION("""COMPUTED_VALUE"""),"Accidental discharge showing off gun")</f>
        <v>Accidental discharge showing off gun</v>
      </c>
      <c r="Z1980" s="5" t="str">
        <f ca="1">IFERROR(__xludf.DUMMYFUNCTION("""COMPUTED_VALUE"""),"Victim was shot in the hand by another student who brought gun to school to show off - shooter was later arrested and charged.")</f>
        <v>Victim was shot in the hand by another student who brought gun to school to show off - shooter was later arrested and charged.</v>
      </c>
      <c r="AA1980" s="5" t="str">
        <f ca="1">IFERROR(__xludf.DUMMYFUNCTION("""COMPUTED_VALUE"""),"Accidental")</f>
        <v>Accidental</v>
      </c>
      <c r="AB1980" s="5" t="str">
        <f ca="1">IFERROR(__xludf.DUMMYFUNCTION("""COMPUTED_VALUE"""),"Random Shooting")</f>
        <v>Random Shooting</v>
      </c>
      <c r="AC1980" s="5" t="str">
        <f ca="1">IFERROR(__xludf.DUMMYFUNCTION("""COMPUTED_VALUE"""),"No")</f>
        <v>No</v>
      </c>
      <c r="AD1980" s="5" t="str">
        <f ca="1">IFERROR(__xludf.DUMMYFUNCTION("""COMPUTED_VALUE"""),"No")</f>
        <v>No</v>
      </c>
      <c r="AE1980" s="5" t="str">
        <f ca="1">IFERROR(__xludf.DUMMYFUNCTION("""COMPUTED_VALUE"""),"No")</f>
        <v>No</v>
      </c>
      <c r="AF1980" s="5" t="str">
        <f ca="1">IFERROR(__xludf.DUMMYFUNCTION("""COMPUTED_VALUE"""),"No")</f>
        <v>No</v>
      </c>
      <c r="AG1980" s="5" t="str">
        <f ca="1">IFERROR(__xludf.DUMMYFUNCTION("""COMPUTED_VALUE"""),"No")</f>
        <v>No</v>
      </c>
      <c r="AH1980" s="5" t="str">
        <f ca="1">IFERROR(__xludf.DUMMYFUNCTION("""COMPUTED_VALUE"""),"No")</f>
        <v>No</v>
      </c>
      <c r="AI1980" s="5" t="str">
        <f ca="1">IFERROR(__xludf.DUMMYFUNCTION("""COMPUTED_VALUE"""),"No")</f>
        <v>No</v>
      </c>
      <c r="AJ1980" s="5"/>
    </row>
    <row r="1981" spans="1:36" ht="13">
      <c r="A1981" s="5" t="str">
        <f ca="1">IFERROR(__xludf.DUMMYFUNCTION("""COMPUTED_VALUE"""),"19871204NYEAN")</f>
        <v>19871204NYEAN</v>
      </c>
      <c r="B1981" s="5">
        <f ca="1">IFERROR(__xludf.DUMMYFUNCTION("""COMPUTED_VALUE"""),12)</f>
        <v>12</v>
      </c>
      <c r="C1981" s="5">
        <f ca="1">IFERROR(__xludf.DUMMYFUNCTION("""COMPUTED_VALUE"""),4)</f>
        <v>4</v>
      </c>
      <c r="D1981" s="5">
        <f ca="1">IFERROR(__xludf.DUMMYFUNCTION("""COMPUTED_VALUE"""),1987)</f>
        <v>1987</v>
      </c>
      <c r="E1981" s="8">
        <f ca="1">IFERROR(__xludf.DUMMYFUNCTION("""COMPUTED_VALUE"""),32115)</f>
        <v>32115</v>
      </c>
      <c r="F1981" s="5" t="str">
        <f ca="1">IFERROR(__xludf.DUMMYFUNCTION("""COMPUTED_VALUE"""),"East New York High School of Transit Technology")</f>
        <v>East New York High School of Transit Technology</v>
      </c>
      <c r="G1981" s="5">
        <f ca="1">IFERROR(__xludf.DUMMYFUNCTION("""COMPUTED_VALUE"""),0)</f>
        <v>0</v>
      </c>
      <c r="H1981" s="5">
        <f ca="1">IFERROR(__xludf.DUMMYFUNCTION("""COMPUTED_VALUE"""),1)</f>
        <v>1</v>
      </c>
      <c r="I1981" s="5">
        <f ca="1">IFERROR(__xludf.DUMMYFUNCTION("""COMPUTED_VALUE"""),1)</f>
        <v>1</v>
      </c>
      <c r="J1981" s="5">
        <f ca="1">IFERROR(__xludf.DUMMYFUNCTION("""COMPUTED_VALUE"""),0)</f>
        <v>0</v>
      </c>
      <c r="K1981" s="5" t="str">
        <f ca="1">IFERROR(__xludf.DUMMYFUNCTION("""COMPUTED_VALUE"""),"https://www.newspapers.com/image/33552423/?terms=STUDENT%2BSHOOTS;  https://www.newspapers.com/image/343538114/?terms=LAMAR%2BGOODWINE; https://www.newspapers.com/image/406108544/?terms=barbara%2Bmendez")</f>
        <v>https://www.newspapers.com/image/33552423/?terms=STUDENT%2BSHOOTS;  https://www.newspapers.com/image/343538114/?terms=LAMAR%2BGOODWINE; https://www.newspapers.com/image/406108544/?terms=barbara%2Bmendez</v>
      </c>
      <c r="L1981" s="5"/>
      <c r="M1981" s="5"/>
      <c r="N1981" s="5">
        <f ca="1">IFERROR(__xludf.DUMMYFUNCTION("""COMPUTED_VALUE"""),3)</f>
        <v>3</v>
      </c>
      <c r="O1981" s="5" t="str">
        <f ca="1">IFERROR(__xludf.DUMMYFUNCTION("""COMPUTED_VALUE"""),"Winter")</f>
        <v>Winter</v>
      </c>
      <c r="P1981" s="5" t="str">
        <f ca="1">IFERROR(__xludf.DUMMYFUNCTION("""COMPUTED_VALUE"""),"New York")</f>
        <v>New York</v>
      </c>
      <c r="Q1981" s="5" t="str">
        <f ca="1">IFERROR(__xludf.DUMMYFUNCTION("""COMPUTED_VALUE"""),"NY")</f>
        <v>NY</v>
      </c>
      <c r="R1981" s="5" t="str">
        <f ca="1">IFERROR(__xludf.DUMMYFUNCTION("""COMPUTED_VALUE"""),"High")</f>
        <v>High</v>
      </c>
      <c r="S1981" s="5" t="str">
        <f ca="1">IFERROR(__xludf.DUMMYFUNCTION("""COMPUTED_VALUE"""),"Hallway")</f>
        <v>Hallway</v>
      </c>
      <c r="T1981" s="5" t="str">
        <f ca="1">IFERROR(__xludf.DUMMYFUNCTION("""COMPUTED_VALUE"""),"Inside School Building")</f>
        <v>Inside School Building</v>
      </c>
      <c r="U1981" s="5" t="str">
        <f ca="1">IFERROR(__xludf.DUMMYFUNCTION("""COMPUTED_VALUE"""),"Yes")</f>
        <v>Yes</v>
      </c>
      <c r="V1981" s="5" t="str">
        <f ca="1">IFERROR(__xludf.DUMMYFUNCTION("""COMPUTED_VALUE"""),"Afternoon Classes")</f>
        <v>Afternoon Classes</v>
      </c>
      <c r="W1981" s="10">
        <f ca="1">IFERROR(__xludf.DUMMYFUNCTION("""COMPUTED_VALUE"""),0.538194444444444)</f>
        <v>0.53819444444444398</v>
      </c>
      <c r="X1981" s="5">
        <f ca="1">IFERROR(__xludf.DUMMYFUNCTION("""COMPUTED_VALUE"""),1)</f>
        <v>1</v>
      </c>
      <c r="Y1981" s="5" t="str">
        <f ca="1">IFERROR(__xludf.DUMMYFUNCTION("""COMPUTED_VALUE"""),"Shooter was hired by victim to kill her / failed attempt")</f>
        <v>Shooter was hired by victim to kill her / failed attempt</v>
      </c>
      <c r="Z1981" s="5" t="str">
        <f ca="1">IFERROR(__xludf.DUMMYFUNCTION("""COMPUTED_VALUE"""),"23 year old female student had just been diagnosed with MS - asked 17 year old student to shoot/kill her. After two weeks she talked him into it - gave him $100 to buy gun. He shot her in school stairwell, but only hit her in shoulder. Teacher initially t"&amp;"old police she did not see assailant, but later confessed.")</f>
        <v>23 year old female student had just been diagnosed with MS - asked 17 year old student to shoot/kill her. After two weeks she talked him into it - gave him $100 to buy gun. He shot her in school stairwell, but only hit her in shoulder. Teacher initially told police she did not see assailant, but later confessed.</v>
      </c>
      <c r="AA1981" s="5" t="str">
        <f ca="1">IFERROR(__xludf.DUMMYFUNCTION("""COMPUTED_VALUE"""),"Domestic w/ Targeted Victim")</f>
        <v>Domestic w/ Targeted Victim</v>
      </c>
      <c r="AB1981" s="5" t="str">
        <f ca="1">IFERROR(__xludf.DUMMYFUNCTION("""COMPUTED_VALUE"""),"Victims Targeted")</f>
        <v>Victims Targeted</v>
      </c>
      <c r="AC1981" s="5" t="str">
        <f ca="1">IFERROR(__xludf.DUMMYFUNCTION("""COMPUTED_VALUE"""),"No")</f>
        <v>No</v>
      </c>
      <c r="AD1981" s="5" t="str">
        <f ca="1">IFERROR(__xludf.DUMMYFUNCTION("""COMPUTED_VALUE"""),"No")</f>
        <v>No</v>
      </c>
      <c r="AE1981" s="5" t="str">
        <f ca="1">IFERROR(__xludf.DUMMYFUNCTION("""COMPUTED_VALUE"""),"No")</f>
        <v>No</v>
      </c>
      <c r="AF1981" s="5" t="str">
        <f ca="1">IFERROR(__xludf.DUMMYFUNCTION("""COMPUTED_VALUE"""),"No")</f>
        <v>No</v>
      </c>
      <c r="AG1981" s="5" t="str">
        <f ca="1">IFERROR(__xludf.DUMMYFUNCTION("""COMPUTED_VALUE"""),"No")</f>
        <v>No</v>
      </c>
      <c r="AH1981" s="5" t="str">
        <f ca="1">IFERROR(__xludf.DUMMYFUNCTION("""COMPUTED_VALUE"""),"No")</f>
        <v>No</v>
      </c>
      <c r="AI1981" s="5" t="str">
        <f ca="1">IFERROR(__xludf.DUMMYFUNCTION("""COMPUTED_VALUE"""),"No")</f>
        <v>No</v>
      </c>
      <c r="AJ1981" s="5"/>
    </row>
    <row r="1982" spans="1:36" ht="13">
      <c r="A1982" s="5" t="str">
        <f ca="1">IFERROR(__xludf.DUMMYFUNCTION("""COMPUTED_VALUE"""),"19871202FLENJ")</f>
        <v>19871202FLENJ</v>
      </c>
      <c r="B1982" s="5">
        <f ca="1">IFERROR(__xludf.DUMMYFUNCTION("""COMPUTED_VALUE"""),12)</f>
        <v>12</v>
      </c>
      <c r="C1982" s="5">
        <f ca="1">IFERROR(__xludf.DUMMYFUNCTION("""COMPUTED_VALUE"""),2)</f>
        <v>2</v>
      </c>
      <c r="D1982" s="5">
        <f ca="1">IFERROR(__xludf.DUMMYFUNCTION("""COMPUTED_VALUE"""),1987)</f>
        <v>1987</v>
      </c>
      <c r="E1982" s="8">
        <f ca="1">IFERROR(__xludf.DUMMYFUNCTION("""COMPUTED_VALUE"""),32113)</f>
        <v>32113</v>
      </c>
      <c r="F1982" s="5" t="str">
        <f ca="1">IFERROR(__xludf.DUMMYFUNCTION("""COMPUTED_VALUE"""),"Englewood High School")</f>
        <v>Englewood High School</v>
      </c>
      <c r="G1982" s="5">
        <f ca="1">IFERROR(__xludf.DUMMYFUNCTION("""COMPUTED_VALUE"""),0)</f>
        <v>0</v>
      </c>
      <c r="H1982" s="5">
        <f ca="1">IFERROR(__xludf.DUMMYFUNCTION("""COMPUTED_VALUE"""),0)</f>
        <v>0</v>
      </c>
      <c r="I1982" s="5">
        <f ca="1">IFERROR(__xludf.DUMMYFUNCTION("""COMPUTED_VALUE"""),0)</f>
        <v>0</v>
      </c>
      <c r="J1982" s="5">
        <f ca="1">IFERROR(__xludf.DUMMYFUNCTION("""COMPUTED_VALUE"""),0)</f>
        <v>0</v>
      </c>
      <c r="K1982" s="9" t="str">
        <f ca="1">IFERROR(__xludf.DUMMYFUNCTION("""COMPUTED_VALUE"""),"https://www.newspapers.com/image/321411477/?terms=student%2Bshoots%2Bdean%2Bcar")</f>
        <v>https://www.newspapers.com/image/321411477/?terms=student%2Bshoots%2Bdean%2Bcar</v>
      </c>
      <c r="L1982" s="5"/>
      <c r="M1982" s="5"/>
      <c r="N1982" s="5">
        <f ca="1">IFERROR(__xludf.DUMMYFUNCTION("""COMPUTED_VALUE"""),2)</f>
        <v>2</v>
      </c>
      <c r="O1982" s="5" t="str">
        <f ca="1">IFERROR(__xludf.DUMMYFUNCTION("""COMPUTED_VALUE"""),"Winter")</f>
        <v>Winter</v>
      </c>
      <c r="P1982" s="5" t="str">
        <f ca="1">IFERROR(__xludf.DUMMYFUNCTION("""COMPUTED_VALUE"""),"Jacksonville")</f>
        <v>Jacksonville</v>
      </c>
      <c r="Q1982" s="5" t="str">
        <f ca="1">IFERROR(__xludf.DUMMYFUNCTION("""COMPUTED_VALUE"""),"FL")</f>
        <v>FL</v>
      </c>
      <c r="R1982" s="5" t="str">
        <f ca="1">IFERROR(__xludf.DUMMYFUNCTION("""COMPUTED_VALUE"""),"High")</f>
        <v>High</v>
      </c>
      <c r="S1982" s="5" t="str">
        <f ca="1">IFERROR(__xludf.DUMMYFUNCTION("""COMPUTED_VALUE"""),"Parking Lot")</f>
        <v>Parking Lot</v>
      </c>
      <c r="T1982" s="5" t="str">
        <f ca="1">IFERROR(__xludf.DUMMYFUNCTION("""COMPUTED_VALUE"""),"Outside on School Property")</f>
        <v>Outside on School Property</v>
      </c>
      <c r="U1982" s="5" t="str">
        <f ca="1">IFERROR(__xludf.DUMMYFUNCTION("""COMPUTED_VALUE"""),"Yes")</f>
        <v>Yes</v>
      </c>
      <c r="V1982" s="5"/>
      <c r="W1982" s="5"/>
      <c r="X1982" s="5"/>
      <c r="Y1982" s="5" t="str">
        <f ca="1">IFERROR(__xludf.DUMMYFUNCTION("""COMPUTED_VALUE"""),"Shot principals car in parking lot")</f>
        <v>Shot principals car in parking lot</v>
      </c>
      <c r="Z1982" s="5" t="str">
        <f ca="1">IFERROR(__xludf.DUMMYFUNCTION("""COMPUTED_VALUE"""),"16 year old high school male was arrested after firing two rounds from his .357 magnum into the door of the new car belonging to the dean of the girls at the school")</f>
        <v>16 year old high school male was arrested after firing two rounds from his .357 magnum into the door of the new car belonging to the dean of the girls at the school</v>
      </c>
      <c r="AA1982" s="5" t="str">
        <f ca="1">IFERROR(__xludf.DUMMYFUNCTION("""COMPUTED_VALUE"""),"Intentional Property Damage")</f>
        <v>Intentional Property Damage</v>
      </c>
      <c r="AB1982" s="5" t="str">
        <f ca="1">IFERROR(__xludf.DUMMYFUNCTION("""COMPUTED_VALUE"""),"NA")</f>
        <v>NA</v>
      </c>
      <c r="AC1982" s="5" t="str">
        <f ca="1">IFERROR(__xludf.DUMMYFUNCTION("""COMPUTED_VALUE"""),"No")</f>
        <v>No</v>
      </c>
      <c r="AD1982" s="5" t="str">
        <f ca="1">IFERROR(__xludf.DUMMYFUNCTION("""COMPUTED_VALUE"""),"No")</f>
        <v>No</v>
      </c>
      <c r="AE1982" s="5" t="str">
        <f ca="1">IFERROR(__xludf.DUMMYFUNCTION("""COMPUTED_VALUE"""),"No")</f>
        <v>No</v>
      </c>
      <c r="AF1982" s="5" t="str">
        <f ca="1">IFERROR(__xludf.DUMMYFUNCTION("""COMPUTED_VALUE"""),"No")</f>
        <v>No</v>
      </c>
      <c r="AG1982" s="5"/>
      <c r="AH1982" s="5"/>
      <c r="AI1982" s="5" t="str">
        <f ca="1">IFERROR(__xludf.DUMMYFUNCTION("""COMPUTED_VALUE"""),"No")</f>
        <v>No</v>
      </c>
      <c r="AJ1982" s="5"/>
    </row>
    <row r="1983" spans="1:36" ht="13">
      <c r="A1983" s="5" t="str">
        <f ca="1">IFERROR(__xludf.DUMMYFUNCTION("""COMPUTED_VALUE"""),"19871130TXPES")</f>
        <v>19871130TXPES</v>
      </c>
      <c r="B1983" s="5">
        <f ca="1">IFERROR(__xludf.DUMMYFUNCTION("""COMPUTED_VALUE"""),11)</f>
        <v>11</v>
      </c>
      <c r="C1983" s="5">
        <f ca="1">IFERROR(__xludf.DUMMYFUNCTION("""COMPUTED_VALUE"""),30)</f>
        <v>30</v>
      </c>
      <c r="D1983" s="5">
        <f ca="1">IFERROR(__xludf.DUMMYFUNCTION("""COMPUTED_VALUE"""),1987)</f>
        <v>1987</v>
      </c>
      <c r="E1983" s="8">
        <f ca="1">IFERROR(__xludf.DUMMYFUNCTION("""COMPUTED_VALUE"""),32111)</f>
        <v>32111</v>
      </c>
      <c r="F1983" s="5" t="str">
        <f ca="1">IFERROR(__xludf.DUMMYFUNCTION("""COMPUTED_VALUE"""),"Perales Elementary School")</f>
        <v>Perales Elementary School</v>
      </c>
      <c r="G1983" s="5">
        <f ca="1">IFERROR(__xludf.DUMMYFUNCTION("""COMPUTED_VALUE"""),1)</f>
        <v>1</v>
      </c>
      <c r="H1983" s="5">
        <f ca="1">IFERROR(__xludf.DUMMYFUNCTION("""COMPUTED_VALUE"""),0)</f>
        <v>0</v>
      </c>
      <c r="I1983" s="5">
        <f ca="1">IFERROR(__xludf.DUMMYFUNCTION("""COMPUTED_VALUE"""),1)</f>
        <v>1</v>
      </c>
      <c r="J1983" s="5">
        <f ca="1">IFERROR(__xludf.DUMMYFUNCTION("""COMPUTED_VALUE"""),1)</f>
        <v>1</v>
      </c>
      <c r="K1983" s="9" t="str">
        <f ca="1">IFERROR(__xludf.DUMMYFUNCTION("""COMPUTED_VALUE"""),"https://www.newspapers.com/image/322419384/?terms=MARIA%2BSOLIS")</f>
        <v>https://www.newspapers.com/image/322419384/?terms=MARIA%2BSOLIS</v>
      </c>
      <c r="L1983" s="5"/>
      <c r="M1983" s="5"/>
      <c r="N1983" s="5">
        <f ca="1">IFERROR(__xludf.DUMMYFUNCTION("""COMPUTED_VALUE"""),2)</f>
        <v>2</v>
      </c>
      <c r="O1983" s="5" t="str">
        <f ca="1">IFERROR(__xludf.DUMMYFUNCTION("""COMPUTED_VALUE"""),"Fall")</f>
        <v>Fall</v>
      </c>
      <c r="P1983" s="5" t="str">
        <f ca="1">IFERROR(__xludf.DUMMYFUNCTION("""COMPUTED_VALUE"""),"San Antonio")</f>
        <v>San Antonio</v>
      </c>
      <c r="Q1983" s="5" t="str">
        <f ca="1">IFERROR(__xludf.DUMMYFUNCTION("""COMPUTED_VALUE"""),"TX")</f>
        <v>TX</v>
      </c>
      <c r="R1983" s="5" t="str">
        <f ca="1">IFERROR(__xludf.DUMMYFUNCTION("""COMPUTED_VALUE"""),"Elementary")</f>
        <v>Elementary</v>
      </c>
      <c r="S1983" s="5" t="str">
        <f ca="1">IFERROR(__xludf.DUMMYFUNCTION("""COMPUTED_VALUE"""),"Parking Lot")</f>
        <v>Parking Lot</v>
      </c>
      <c r="T1983" s="5" t="str">
        <f ca="1">IFERROR(__xludf.DUMMYFUNCTION("""COMPUTED_VALUE"""),"Outside on School Property")</f>
        <v>Outside on School Property</v>
      </c>
      <c r="U1983" s="5" t="str">
        <f ca="1">IFERROR(__xludf.DUMMYFUNCTION("""COMPUTED_VALUE"""),"Yes")</f>
        <v>Yes</v>
      </c>
      <c r="V1983" s="5" t="str">
        <f ca="1">IFERROR(__xludf.DUMMYFUNCTION("""COMPUTED_VALUE"""),"Dismissal")</f>
        <v>Dismissal</v>
      </c>
      <c r="W1983" s="10">
        <f ca="1">IFERROR(__xludf.DUMMYFUNCTION("""COMPUTED_VALUE"""),0.659722222222222)</f>
        <v>0.65972222222222199</v>
      </c>
      <c r="X1983" s="5">
        <f ca="1">IFERROR(__xludf.DUMMYFUNCTION("""COMPUTED_VALUE"""),1)</f>
        <v>1</v>
      </c>
      <c r="Y1983" s="5" t="str">
        <f ca="1">IFERROR(__xludf.DUMMYFUNCTION("""COMPUTED_VALUE"""),"Murder of wife, then shot/killed self in school parking lot")</f>
        <v>Murder of wife, then shot/killed self in school parking lot</v>
      </c>
      <c r="Z1983" s="5" t="str">
        <f ca="1">IFERROR(__xludf.DUMMYFUNCTION("""COMPUTED_VALUE"""),"Despondent husband shoots/kills wife in Elementary School parking lot where she was a teacher, then shoots/kills self")</f>
        <v>Despondent husband shoots/kills wife in Elementary School parking lot where she was a teacher, then shoots/kills self</v>
      </c>
      <c r="AA1983" s="5" t="str">
        <f ca="1">IFERROR(__xludf.DUMMYFUNCTION("""COMPUTED_VALUE"""),"Murder/Suicide")</f>
        <v>Murder/Suicide</v>
      </c>
      <c r="AB1983" s="5" t="str">
        <f ca="1">IFERROR(__xludf.DUMMYFUNCTION("""COMPUTED_VALUE"""),"Victims Targeted")</f>
        <v>Victims Targeted</v>
      </c>
      <c r="AC1983" s="5" t="str">
        <f ca="1">IFERROR(__xludf.DUMMYFUNCTION("""COMPUTED_VALUE"""),"No")</f>
        <v>No</v>
      </c>
      <c r="AD1983" s="5" t="str">
        <f ca="1">IFERROR(__xludf.DUMMYFUNCTION("""COMPUTED_VALUE"""),"No")</f>
        <v>No</v>
      </c>
      <c r="AE1983" s="5" t="str">
        <f ca="1">IFERROR(__xludf.DUMMYFUNCTION("""COMPUTED_VALUE"""),"No")</f>
        <v>No</v>
      </c>
      <c r="AF1983" s="5" t="str">
        <f ca="1">IFERROR(__xludf.DUMMYFUNCTION("""COMPUTED_VALUE"""),"No")</f>
        <v>No</v>
      </c>
      <c r="AG1983" s="5" t="str">
        <f ca="1">IFERROR(__xludf.DUMMYFUNCTION("""COMPUTED_VALUE"""),"No")</f>
        <v>No</v>
      </c>
      <c r="AH1983" s="5" t="str">
        <f ca="1">IFERROR(__xludf.DUMMYFUNCTION("""COMPUTED_VALUE"""),"Yes")</f>
        <v>Yes</v>
      </c>
      <c r="AI1983" s="5" t="str">
        <f ca="1">IFERROR(__xludf.DUMMYFUNCTION("""COMPUTED_VALUE"""),"No")</f>
        <v>No</v>
      </c>
      <c r="AJ1983" s="5"/>
    </row>
    <row r="1984" spans="1:36" ht="13">
      <c r="A1984" s="5" t="str">
        <f ca="1">IFERROR(__xludf.DUMMYFUNCTION("""COMPUTED_VALUE"""),"19871114FLCLC")</f>
        <v>19871114FLCLC</v>
      </c>
      <c r="B1984" s="5">
        <f ca="1">IFERROR(__xludf.DUMMYFUNCTION("""COMPUTED_VALUE"""),11)</f>
        <v>11</v>
      </c>
      <c r="C1984" s="5">
        <f ca="1">IFERROR(__xludf.DUMMYFUNCTION("""COMPUTED_VALUE"""),14)</f>
        <v>14</v>
      </c>
      <c r="D1984" s="5">
        <f ca="1">IFERROR(__xludf.DUMMYFUNCTION("""COMPUTED_VALUE"""),1987)</f>
        <v>1987</v>
      </c>
      <c r="E1984" s="8">
        <f ca="1">IFERROR(__xludf.DUMMYFUNCTION("""COMPUTED_VALUE"""),32095)</f>
        <v>32095</v>
      </c>
      <c r="F1984" s="5" t="str">
        <f ca="1">IFERROR(__xludf.DUMMYFUNCTION("""COMPUTED_VALUE"""),"Clearwater High School")</f>
        <v>Clearwater High School</v>
      </c>
      <c r="G1984" s="5">
        <f ca="1">IFERROR(__xludf.DUMMYFUNCTION("""COMPUTED_VALUE"""),0)</f>
        <v>0</v>
      </c>
      <c r="H1984" s="5">
        <f ca="1">IFERROR(__xludf.DUMMYFUNCTION("""COMPUTED_VALUE"""),0)</f>
        <v>0</v>
      </c>
      <c r="I1984" s="5">
        <f ca="1">IFERROR(__xludf.DUMMYFUNCTION("""COMPUTED_VALUE"""),0)</f>
        <v>0</v>
      </c>
      <c r="J1984" s="5">
        <f ca="1">IFERROR(__xludf.DUMMYFUNCTION("""COMPUTED_VALUE"""),1)</f>
        <v>1</v>
      </c>
      <c r="K1984" s="9" t="str">
        <f ca="1">IFERROR(__xludf.DUMMYFUNCTION("""COMPUTED_VALUE"""),"https://www.newspapers.com/image/322900608/?terms=student%2Bshot")</f>
        <v>https://www.newspapers.com/image/322900608/?terms=student%2Bshot</v>
      </c>
      <c r="L1984" s="5"/>
      <c r="M1984" s="5"/>
      <c r="N1984" s="5">
        <f ca="1">IFERROR(__xludf.DUMMYFUNCTION("""COMPUTED_VALUE"""),2)</f>
        <v>2</v>
      </c>
      <c r="O1984" s="5" t="str">
        <f ca="1">IFERROR(__xludf.DUMMYFUNCTION("""COMPUTED_VALUE"""),"Fall")</f>
        <v>Fall</v>
      </c>
      <c r="P1984" s="5" t="str">
        <f ca="1">IFERROR(__xludf.DUMMYFUNCTION("""COMPUTED_VALUE"""),"Clearwater")</f>
        <v>Clearwater</v>
      </c>
      <c r="Q1984" s="5" t="str">
        <f ca="1">IFERROR(__xludf.DUMMYFUNCTION("""COMPUTED_VALUE"""),"FL")</f>
        <v>FL</v>
      </c>
      <c r="R1984" s="5" t="str">
        <f ca="1">IFERROR(__xludf.DUMMYFUNCTION("""COMPUTED_VALUE"""),"High")</f>
        <v>High</v>
      </c>
      <c r="S1984" s="5" t="str">
        <f ca="1">IFERROR(__xludf.DUMMYFUNCTION("""COMPUTED_VALUE"""),"Outside on School Property")</f>
        <v>Outside on School Property</v>
      </c>
      <c r="T1984" s="5" t="str">
        <f ca="1">IFERROR(__xludf.DUMMYFUNCTION("""COMPUTED_VALUE"""),"Outside on School Property")</f>
        <v>Outside on School Property</v>
      </c>
      <c r="U1984" s="5" t="str">
        <f ca="1">IFERROR(__xludf.DUMMYFUNCTION("""COMPUTED_VALUE"""),"No")</f>
        <v>No</v>
      </c>
      <c r="V1984" s="5"/>
      <c r="W1984" s="5"/>
      <c r="X1984" s="5">
        <f ca="1">IFERROR(__xludf.DUMMYFUNCTION("""COMPUTED_VALUE"""),1)</f>
        <v>1</v>
      </c>
      <c r="Y1984" s="5" t="str">
        <f ca="1">IFERROR(__xludf.DUMMYFUNCTION("""COMPUTED_VALUE"""),"Suicide in school parking lot. Found Saturday by maintenance")</f>
        <v>Suicide in school parking lot. Found Saturday by maintenance</v>
      </c>
      <c r="Z1984" s="5" t="str">
        <f ca="1">IFERROR(__xludf.DUMMYFUNCTION("""COMPUTED_VALUE"""),"Student shot himself in the chest - left notes that he was unhappy with his life.")</f>
        <v>Student shot himself in the chest - left notes that he was unhappy with his life.</v>
      </c>
      <c r="AA1984" s="5" t="str">
        <f ca="1">IFERROR(__xludf.DUMMYFUNCTION("""COMPUTED_VALUE"""),"Suicide/Attempted")</f>
        <v>Suicide/Attempted</v>
      </c>
      <c r="AB1984" s="5" t="str">
        <f ca="1">IFERROR(__xludf.DUMMYFUNCTION("""COMPUTED_VALUE"""),"Victims Targeted")</f>
        <v>Victims Targeted</v>
      </c>
      <c r="AC1984" s="5" t="str">
        <f ca="1">IFERROR(__xludf.DUMMYFUNCTION("""COMPUTED_VALUE"""),"No")</f>
        <v>No</v>
      </c>
      <c r="AD1984" s="5" t="str">
        <f ca="1">IFERROR(__xludf.DUMMYFUNCTION("""COMPUTED_VALUE"""),"No")</f>
        <v>No</v>
      </c>
      <c r="AE1984" s="5" t="str">
        <f ca="1">IFERROR(__xludf.DUMMYFUNCTION("""COMPUTED_VALUE"""),"No")</f>
        <v>No</v>
      </c>
      <c r="AF1984" s="5" t="str">
        <f ca="1">IFERROR(__xludf.DUMMYFUNCTION("""COMPUTED_VALUE"""),"No")</f>
        <v>No</v>
      </c>
      <c r="AG1984" s="5" t="str">
        <f ca="1">IFERROR(__xludf.DUMMYFUNCTION("""COMPUTED_VALUE"""),"No")</f>
        <v>No</v>
      </c>
      <c r="AH1984" s="5" t="str">
        <f ca="1">IFERROR(__xludf.DUMMYFUNCTION("""COMPUTED_VALUE"""),"No")</f>
        <v>No</v>
      </c>
      <c r="AI1984" s="5" t="str">
        <f ca="1">IFERROR(__xludf.DUMMYFUNCTION("""COMPUTED_VALUE"""),"No")</f>
        <v>No</v>
      </c>
      <c r="AJ1984" s="5"/>
    </row>
    <row r="1985" spans="1:36" ht="13">
      <c r="A1985" s="5" t="str">
        <f ca="1">IFERROR(__xludf.DUMMYFUNCTION("""COMPUTED_VALUE"""),"19871104MISOD")</f>
        <v>19871104MISOD</v>
      </c>
      <c r="B1985" s="5">
        <f ca="1">IFERROR(__xludf.DUMMYFUNCTION("""COMPUTED_VALUE"""),11)</f>
        <v>11</v>
      </c>
      <c r="C1985" s="5">
        <f ca="1">IFERROR(__xludf.DUMMYFUNCTION("""COMPUTED_VALUE"""),4)</f>
        <v>4</v>
      </c>
      <c r="D1985" s="5">
        <f ca="1">IFERROR(__xludf.DUMMYFUNCTION("""COMPUTED_VALUE"""),1987)</f>
        <v>1987</v>
      </c>
      <c r="E1985" s="8">
        <f ca="1">IFERROR(__xludf.DUMMYFUNCTION("""COMPUTED_VALUE"""),32085)</f>
        <v>32085</v>
      </c>
      <c r="F1985" s="5" t="str">
        <f ca="1">IFERROR(__xludf.DUMMYFUNCTION("""COMPUTED_VALUE"""),"Southwestern High School")</f>
        <v>Southwestern High School</v>
      </c>
      <c r="G1985" s="5">
        <f ca="1">IFERROR(__xludf.DUMMYFUNCTION("""COMPUTED_VALUE"""),0)</f>
        <v>0</v>
      </c>
      <c r="H1985" s="5">
        <f ca="1">IFERROR(__xludf.DUMMYFUNCTION("""COMPUTED_VALUE"""),1)</f>
        <v>1</v>
      </c>
      <c r="I1985" s="5">
        <f ca="1">IFERROR(__xludf.DUMMYFUNCTION("""COMPUTED_VALUE"""),1)</f>
        <v>1</v>
      </c>
      <c r="J1985" s="5">
        <f ca="1">IFERROR(__xludf.DUMMYFUNCTION("""COMPUTED_VALUE"""),0)</f>
        <v>0</v>
      </c>
      <c r="K1985" s="9" t="str">
        <f ca="1">IFERROR(__xludf.DUMMYFUNCTION("""COMPUTED_VALUE"""),"https://www.newspapers.com/image/99920647/?terms=STUDENT%2BSHOT")</f>
        <v>https://www.newspapers.com/image/99920647/?terms=STUDENT%2BSHOT</v>
      </c>
      <c r="L1985" s="5"/>
      <c r="M1985" s="5"/>
      <c r="N1985" s="5">
        <f ca="1">IFERROR(__xludf.DUMMYFUNCTION("""COMPUTED_VALUE"""),2)</f>
        <v>2</v>
      </c>
      <c r="O1985" s="5" t="str">
        <f ca="1">IFERROR(__xludf.DUMMYFUNCTION("""COMPUTED_VALUE"""),"Fall")</f>
        <v>Fall</v>
      </c>
      <c r="P1985" s="5" t="str">
        <f ca="1">IFERROR(__xludf.DUMMYFUNCTION("""COMPUTED_VALUE"""),"Detroit")</f>
        <v>Detroit</v>
      </c>
      <c r="Q1985" s="5" t="str">
        <f ca="1">IFERROR(__xludf.DUMMYFUNCTION("""COMPUTED_VALUE"""),"MI")</f>
        <v>MI</v>
      </c>
      <c r="R1985" s="5" t="str">
        <f ca="1">IFERROR(__xludf.DUMMYFUNCTION("""COMPUTED_VALUE"""),"High")</f>
        <v>High</v>
      </c>
      <c r="S1985" s="5" t="str">
        <f ca="1">IFERROR(__xludf.DUMMYFUNCTION("""COMPUTED_VALUE"""),"Parking Lot")</f>
        <v>Parking Lot</v>
      </c>
      <c r="T1985" s="5" t="str">
        <f ca="1">IFERROR(__xludf.DUMMYFUNCTION("""COMPUTED_VALUE"""),"Outside on School Property")</f>
        <v>Outside on School Property</v>
      </c>
      <c r="U1985" s="5" t="str">
        <f ca="1">IFERROR(__xludf.DUMMYFUNCTION("""COMPUTED_VALUE"""),"Yes")</f>
        <v>Yes</v>
      </c>
      <c r="V1985" s="5" t="str">
        <f ca="1">IFERROR(__xludf.DUMMYFUNCTION("""COMPUTED_VALUE"""),"Morning Classes")</f>
        <v>Morning Classes</v>
      </c>
      <c r="W1985" s="10">
        <f ca="1">IFERROR(__xludf.DUMMYFUNCTION("""COMPUTED_VALUE"""),0.451388888888888)</f>
        <v>0.45138888888888801</v>
      </c>
      <c r="X1985" s="5">
        <f ca="1">IFERROR(__xludf.DUMMYFUNCTION("""COMPUTED_VALUE"""),1)</f>
        <v>1</v>
      </c>
      <c r="Y1985" s="5" t="str">
        <f ca="1">IFERROR(__xludf.DUMMYFUNCTION("""COMPUTED_VALUE"""),"Shot during robbery attempt")</f>
        <v>Shot during robbery attempt</v>
      </c>
      <c r="Z1985" s="5" t="str">
        <f ca="1">IFERROR(__xludf.DUMMYFUNCTION("""COMPUTED_VALUE"""),"Student was sitting in his car in HS parking lot - male walks up carrying gun and asks for money - victim stated he didn't have any - suspect shot victim in face")</f>
        <v>Student was sitting in his car in HS parking lot - male walks up carrying gun and asks for money - victim stated he didn't have any - suspect shot victim in face</v>
      </c>
      <c r="AA1985" s="5" t="str">
        <f ca="1">IFERROR(__xludf.DUMMYFUNCTION("""COMPUTED_VALUE"""),"Illegal Activity")</f>
        <v>Illegal Activity</v>
      </c>
      <c r="AB1985" s="5" t="str">
        <f ca="1">IFERROR(__xludf.DUMMYFUNCTION("""COMPUTED_VALUE"""),"Victims Targeted")</f>
        <v>Victims Targeted</v>
      </c>
      <c r="AC1985" s="5" t="str">
        <f ca="1">IFERROR(__xludf.DUMMYFUNCTION("""COMPUTED_VALUE"""),"No")</f>
        <v>No</v>
      </c>
      <c r="AD1985" s="5" t="str">
        <f ca="1">IFERROR(__xludf.DUMMYFUNCTION("""COMPUTED_VALUE"""),"No")</f>
        <v>No</v>
      </c>
      <c r="AE1985" s="5" t="str">
        <f ca="1">IFERROR(__xludf.DUMMYFUNCTION("""COMPUTED_VALUE"""),"No")</f>
        <v>No</v>
      </c>
      <c r="AF1985" s="5" t="str">
        <f ca="1">IFERROR(__xludf.DUMMYFUNCTION("""COMPUTED_VALUE"""),"No")</f>
        <v>No</v>
      </c>
      <c r="AG1985" s="5" t="str">
        <f ca="1">IFERROR(__xludf.DUMMYFUNCTION("""COMPUTED_VALUE"""),"No")</f>
        <v>No</v>
      </c>
      <c r="AH1985" s="5" t="str">
        <f ca="1">IFERROR(__xludf.DUMMYFUNCTION("""COMPUTED_VALUE"""),"No")</f>
        <v>No</v>
      </c>
      <c r="AI1985" s="5" t="str">
        <f ca="1">IFERROR(__xludf.DUMMYFUNCTION("""COMPUTED_VALUE"""),"No")</f>
        <v>No</v>
      </c>
      <c r="AJ1985" s="5"/>
    </row>
    <row r="1986" spans="1:36" ht="13">
      <c r="A1986" s="5" t="str">
        <f ca="1">IFERROR(__xludf.DUMMYFUNCTION("""COMPUTED_VALUE"""),"19871031SCANA")</f>
        <v>19871031SCANA</v>
      </c>
      <c r="B1986" s="5">
        <f ca="1">IFERROR(__xludf.DUMMYFUNCTION("""COMPUTED_VALUE"""),10)</f>
        <v>10</v>
      </c>
      <c r="C1986" s="5">
        <f ca="1">IFERROR(__xludf.DUMMYFUNCTION("""COMPUTED_VALUE"""),31)</f>
        <v>31</v>
      </c>
      <c r="D1986" s="5">
        <f ca="1">IFERROR(__xludf.DUMMYFUNCTION("""COMPUTED_VALUE"""),1987)</f>
        <v>1987</v>
      </c>
      <c r="E1986" s="8">
        <f ca="1">IFERROR(__xludf.DUMMYFUNCTION("""COMPUTED_VALUE"""),32081)</f>
        <v>32081</v>
      </c>
      <c r="F1986" s="5" t="str">
        <f ca="1">IFERROR(__xludf.DUMMYFUNCTION("""COMPUTED_VALUE"""),"Andrews High School")</f>
        <v>Andrews High School</v>
      </c>
      <c r="G1986" s="5">
        <f ca="1">IFERROR(__xludf.DUMMYFUNCTION("""COMPUTED_VALUE"""),0)</f>
        <v>0</v>
      </c>
      <c r="H1986" s="5">
        <f ca="1">IFERROR(__xludf.DUMMYFUNCTION("""COMPUTED_VALUE"""),8)</f>
        <v>8</v>
      </c>
      <c r="I1986" s="5">
        <f ca="1">IFERROR(__xludf.DUMMYFUNCTION("""COMPUTED_VALUE"""),8)</f>
        <v>8</v>
      </c>
      <c r="J1986" s="5">
        <f ca="1">IFERROR(__xludf.DUMMYFUNCTION("""COMPUTED_VALUE"""),0)</f>
        <v>0</v>
      </c>
      <c r="K1986" s="5" t="str">
        <f ca="1">IFERROR(__xludf.DUMMYFUNCTION("""COMPUTED_VALUE"""),"https://www.newspapers.com/image/594514129/?terms=shooting%20high%20school%20football&amp;match=1 https://www.newspapers.com/image/556002291/?terms=shooting%20high%20school%20football&amp;match=1")</f>
        <v>https://www.newspapers.com/image/594514129/?terms=shooting%20high%20school%20football&amp;match=1 https://www.newspapers.com/image/556002291/?terms=shooting%20high%20school%20football&amp;match=1</v>
      </c>
      <c r="L1986" s="5">
        <f ca="1">IFERROR(__xludf.DUMMYFUNCTION("""COMPUTED_VALUE"""),100)</f>
        <v>100</v>
      </c>
      <c r="M1986" s="5" t="str">
        <f ca="1">IFERROR(__xludf.DUMMYFUNCTION("""COMPUTED_VALUE"""),"National")</f>
        <v>National</v>
      </c>
      <c r="N1986" s="5">
        <f ca="1">IFERROR(__xludf.DUMMYFUNCTION("""COMPUTED_VALUE"""),4)</f>
        <v>4</v>
      </c>
      <c r="O1986" s="5" t="str">
        <f ca="1">IFERROR(__xludf.DUMMYFUNCTION("""COMPUTED_VALUE"""),"Fall")</f>
        <v>Fall</v>
      </c>
      <c r="P1986" s="5" t="str">
        <f ca="1">IFERROR(__xludf.DUMMYFUNCTION("""COMPUTED_VALUE"""),"Andrews")</f>
        <v>Andrews</v>
      </c>
      <c r="Q1986" s="5" t="str">
        <f ca="1">IFERROR(__xludf.DUMMYFUNCTION("""COMPUTED_VALUE"""),"SC")</f>
        <v>SC</v>
      </c>
      <c r="R1986" s="5" t="str">
        <f ca="1">IFERROR(__xludf.DUMMYFUNCTION("""COMPUTED_VALUE"""),"High")</f>
        <v>High</v>
      </c>
      <c r="S1986" s="5" t="str">
        <f ca="1">IFERROR(__xludf.DUMMYFUNCTION("""COMPUTED_VALUE"""),"Football Field/Track")</f>
        <v>Football Field/Track</v>
      </c>
      <c r="T1986" s="5" t="str">
        <f ca="1">IFERROR(__xludf.DUMMYFUNCTION("""COMPUTED_VALUE"""),"Outside on School Property")</f>
        <v>Outside on School Property</v>
      </c>
      <c r="U1986" s="5" t="str">
        <f ca="1">IFERROR(__xludf.DUMMYFUNCTION("""COMPUTED_VALUE"""),"No")</f>
        <v>No</v>
      </c>
      <c r="V1986" s="5" t="str">
        <f ca="1">IFERROR(__xludf.DUMMYFUNCTION("""COMPUTED_VALUE"""),"Sport Event")</f>
        <v>Sport Event</v>
      </c>
      <c r="W1986" s="10">
        <f ca="1">IFERROR(__xludf.DUMMYFUNCTION("""COMPUTED_VALUE"""),0.833333333333333)</f>
        <v>0.83333333333333304</v>
      </c>
      <c r="X1986" s="5">
        <f ca="1">IFERROR(__xludf.DUMMYFUNCTION("""COMPUTED_VALUE"""),1)</f>
        <v>1</v>
      </c>
      <c r="Y1986" s="5" t="str">
        <f ca="1">IFERROR(__xludf.DUMMYFUNCTION("""COMPUTED_VALUE"""),"8 students wounded when someone fired shotgun into bleachers")</f>
        <v>8 students wounded when someone fired shotgun into bleachers</v>
      </c>
      <c r="Z1986" s="5" t="str">
        <f ca="1">IFERROR(__xludf.DUMMYFUNCTION("""COMPUTED_VALUE"""),"A students seated in the band section of the bleachers were wounded when someone fired a shotgun near the end of the high school football game. Shooter fled. No arrests made.")</f>
        <v>A students seated in the band section of the bleachers were wounded when someone fired a shotgun near the end of the high school football game. Shooter fled. No arrests made.</v>
      </c>
      <c r="AA1986" s="5" t="str">
        <f ca="1">IFERROR(__xludf.DUMMYFUNCTION("""COMPUTED_VALUE"""),"Indiscriminate Shooting")</f>
        <v>Indiscriminate Shooting</v>
      </c>
      <c r="AB1986" s="5" t="str">
        <f ca="1">IFERROR(__xludf.DUMMYFUNCTION("""COMPUTED_VALUE"""),"Random Shooting")</f>
        <v>Random Shooting</v>
      </c>
      <c r="AC1986" s="5" t="str">
        <f ca="1">IFERROR(__xludf.DUMMYFUNCTION("""COMPUTED_VALUE"""),"No")</f>
        <v>No</v>
      </c>
      <c r="AD1986" s="5" t="str">
        <f ca="1">IFERROR(__xludf.DUMMYFUNCTION("""COMPUTED_VALUE"""),"No")</f>
        <v>No</v>
      </c>
      <c r="AE1986" s="5" t="str">
        <f ca="1">IFERROR(__xludf.DUMMYFUNCTION("""COMPUTED_VALUE"""),"No")</f>
        <v>No</v>
      </c>
      <c r="AF1986" s="5" t="str">
        <f ca="1">IFERROR(__xludf.DUMMYFUNCTION("""COMPUTED_VALUE"""),"No")</f>
        <v>No</v>
      </c>
      <c r="AG1986" s="5"/>
      <c r="AH1986" s="5" t="str">
        <f ca="1">IFERROR(__xludf.DUMMYFUNCTION("""COMPUTED_VALUE"""),"No")</f>
        <v>No</v>
      </c>
      <c r="AI1986" s="5" t="str">
        <f ca="1">IFERROR(__xludf.DUMMYFUNCTION("""COMPUTED_VALUE"""),"No")</f>
        <v>No</v>
      </c>
      <c r="AJ1986" s="5" t="str">
        <f ca="1">IFERROR(__xludf.DUMMYFUNCTION("""COMPUTED_VALUE"""),"No")</f>
        <v>No</v>
      </c>
    </row>
    <row r="1987" spans="1:36" ht="13">
      <c r="A1987" s="5" t="str">
        <f ca="1">IFERROR(__xludf.DUMMYFUNCTION("""COMPUTED_VALUE"""),"19871030NCSOK")</f>
        <v>19871030NCSOK</v>
      </c>
      <c r="B1987" s="5">
        <f ca="1">IFERROR(__xludf.DUMMYFUNCTION("""COMPUTED_VALUE"""),10)</f>
        <v>10</v>
      </c>
      <c r="C1987" s="5">
        <f ca="1">IFERROR(__xludf.DUMMYFUNCTION("""COMPUTED_VALUE"""),30)</f>
        <v>30</v>
      </c>
      <c r="D1987" s="5">
        <f ca="1">IFERROR(__xludf.DUMMYFUNCTION("""COMPUTED_VALUE"""),1987)</f>
        <v>1987</v>
      </c>
      <c r="E1987" s="8">
        <f ca="1">IFERROR(__xludf.DUMMYFUNCTION("""COMPUTED_VALUE"""),32080)</f>
        <v>32080</v>
      </c>
      <c r="F1987" s="5" t="str">
        <f ca="1">IFERROR(__xludf.DUMMYFUNCTION("""COMPUTED_VALUE"""),"Southwood Elementary School")</f>
        <v>Southwood Elementary School</v>
      </c>
      <c r="G1987" s="5">
        <f ca="1">IFERROR(__xludf.DUMMYFUNCTION("""COMPUTED_VALUE"""),0)</f>
        <v>0</v>
      </c>
      <c r="H1987" s="5">
        <f ca="1">IFERROR(__xludf.DUMMYFUNCTION("""COMPUTED_VALUE"""),2)</f>
        <v>2</v>
      </c>
      <c r="I1987" s="5">
        <f ca="1">IFERROR(__xludf.DUMMYFUNCTION("""COMPUTED_VALUE"""),2)</f>
        <v>2</v>
      </c>
      <c r="J1987" s="5">
        <f ca="1">IFERROR(__xludf.DUMMYFUNCTION("""COMPUTED_VALUE"""),0)</f>
        <v>0</v>
      </c>
      <c r="K1987" s="9" t="str">
        <f ca="1">IFERROR(__xludf.DUMMYFUNCTION("""COMPUTED_VALUE"""),"https://www.newspapers.com/image/196275731/?terms=SOUTHWOOD%2BELEMENTARY%2BSCHOOL%2BSHOOTING")</f>
        <v>https://www.newspapers.com/image/196275731/?terms=SOUTHWOOD%2BELEMENTARY%2BSCHOOL%2BSHOOTING</v>
      </c>
      <c r="L1987" s="5"/>
      <c r="M1987" s="5"/>
      <c r="N1987" s="5">
        <f ca="1">IFERROR(__xludf.DUMMYFUNCTION("""COMPUTED_VALUE"""),2)</f>
        <v>2</v>
      </c>
      <c r="O1987" s="5" t="str">
        <f ca="1">IFERROR(__xludf.DUMMYFUNCTION("""COMPUTED_VALUE"""),"Fall")</f>
        <v>Fall</v>
      </c>
      <c r="P1987" s="5" t="str">
        <f ca="1">IFERROR(__xludf.DUMMYFUNCTION("""COMPUTED_VALUE"""),"Kingston")</f>
        <v>Kingston</v>
      </c>
      <c r="Q1987" s="5" t="str">
        <f ca="1">IFERROR(__xludf.DUMMYFUNCTION("""COMPUTED_VALUE"""),"NC")</f>
        <v>NC</v>
      </c>
      <c r="R1987" s="5" t="str">
        <f ca="1">IFERROR(__xludf.DUMMYFUNCTION("""COMPUTED_VALUE"""),"Elementary")</f>
        <v>Elementary</v>
      </c>
      <c r="S1987" s="5" t="str">
        <f ca="1">IFERROR(__xludf.DUMMYFUNCTION("""COMPUTED_VALUE"""),"Parking Lot")</f>
        <v>Parking Lot</v>
      </c>
      <c r="T1987" s="5" t="str">
        <f ca="1">IFERROR(__xludf.DUMMYFUNCTION("""COMPUTED_VALUE"""),"Outside on School Property")</f>
        <v>Outside on School Property</v>
      </c>
      <c r="U1987" s="5" t="str">
        <f ca="1">IFERROR(__xludf.DUMMYFUNCTION("""COMPUTED_VALUE"""),"No")</f>
        <v>No</v>
      </c>
      <c r="V1987" s="5" t="str">
        <f ca="1">IFERROR(__xludf.DUMMYFUNCTION("""COMPUTED_VALUE"""),"School Event")</f>
        <v>School Event</v>
      </c>
      <c r="W1987" s="10">
        <f ca="1">IFERROR(__xludf.DUMMYFUNCTION("""COMPUTED_VALUE"""),0.875)</f>
        <v>0.875</v>
      </c>
      <c r="X1987" s="5">
        <f ca="1">IFERROR(__xludf.DUMMYFUNCTION("""COMPUTED_VALUE"""),1)</f>
        <v>1</v>
      </c>
      <c r="Y1987" s="5" t="str">
        <f ca="1">IFERROR(__xludf.DUMMYFUNCTION("""COMPUTED_VALUE"""),"Escalation of on going fight about a girl")</f>
        <v>Escalation of on going fight about a girl</v>
      </c>
      <c r="Z1987" s="5" t="str">
        <f ca="1">IFERROR(__xludf.DUMMYFUNCTION("""COMPUTED_VALUE"""),"Several students were attending a Halloween Party at the local elementary school. Two groups of students were in parking lot. One group said something disrespectful to a girl in the other group - someone threw a bottle. The subject who threw bottle was th"&amp;"en shot at along with his two friends - two victims hit.")</f>
        <v>Several students were attending a Halloween Party at the local elementary school. Two groups of students were in parking lot. One group said something disrespectful to a girl in the other group - someone threw a bottle. The subject who threw bottle was then shot at along with his two friends - two victims hit.</v>
      </c>
      <c r="AA1987" s="5" t="str">
        <f ca="1">IFERROR(__xludf.DUMMYFUNCTION("""COMPUTED_VALUE"""),"Escalation of Dispute")</f>
        <v>Escalation of Dispute</v>
      </c>
      <c r="AB1987" s="5"/>
      <c r="AC1987" s="5" t="str">
        <f ca="1">IFERROR(__xludf.DUMMYFUNCTION("""COMPUTED_VALUE"""),"Yes")</f>
        <v>Yes</v>
      </c>
      <c r="AD1987" s="5" t="str">
        <f ca="1">IFERROR(__xludf.DUMMYFUNCTION("""COMPUTED_VALUE"""),"No")</f>
        <v>No</v>
      </c>
      <c r="AE1987" s="5" t="str">
        <f ca="1">IFERROR(__xludf.DUMMYFUNCTION("""COMPUTED_VALUE"""),"No")</f>
        <v>No</v>
      </c>
      <c r="AF1987" s="5" t="str">
        <f ca="1">IFERROR(__xludf.DUMMYFUNCTION("""COMPUTED_VALUE"""),"No")</f>
        <v>No</v>
      </c>
      <c r="AG1987" s="5" t="str">
        <f ca="1">IFERROR(__xludf.DUMMYFUNCTION("""COMPUTED_VALUE"""),"No")</f>
        <v>No</v>
      </c>
      <c r="AH1987" s="5" t="str">
        <f ca="1">IFERROR(__xludf.DUMMYFUNCTION("""COMPUTED_VALUE"""),"No")</f>
        <v>No</v>
      </c>
      <c r="AI1987" s="5" t="str">
        <f ca="1">IFERROR(__xludf.DUMMYFUNCTION("""COMPUTED_VALUE"""),"No")</f>
        <v>No</v>
      </c>
      <c r="AJ1987" s="5"/>
    </row>
    <row r="1988" spans="1:36" ht="13">
      <c r="A1988" s="5" t="str">
        <f ca="1">IFERROR(__xludf.DUMMYFUNCTION("""COMPUTED_VALUE"""),"19871014ILDUC")</f>
        <v>19871014ILDUC</v>
      </c>
      <c r="B1988" s="5">
        <f ca="1">IFERROR(__xludf.DUMMYFUNCTION("""COMPUTED_VALUE"""),10)</f>
        <v>10</v>
      </c>
      <c r="C1988" s="5">
        <f ca="1">IFERROR(__xludf.DUMMYFUNCTION("""COMPUTED_VALUE"""),14)</f>
        <v>14</v>
      </c>
      <c r="D1988" s="5">
        <f ca="1">IFERROR(__xludf.DUMMYFUNCTION("""COMPUTED_VALUE"""),1987)</f>
        <v>1987</v>
      </c>
      <c r="E1988" s="8">
        <f ca="1">IFERROR(__xludf.DUMMYFUNCTION("""COMPUTED_VALUE"""),32064)</f>
        <v>32064</v>
      </c>
      <c r="F1988" s="5" t="str">
        <f ca="1">IFERROR(__xludf.DUMMYFUNCTION("""COMPUTED_VALUE"""),"DuSable High School")</f>
        <v>DuSable High School</v>
      </c>
      <c r="G1988" s="5">
        <f ca="1">IFERROR(__xludf.DUMMYFUNCTION("""COMPUTED_VALUE"""),1)</f>
        <v>1</v>
      </c>
      <c r="H1988" s="5">
        <f ca="1">IFERROR(__xludf.DUMMYFUNCTION("""COMPUTED_VALUE"""),0)</f>
        <v>0</v>
      </c>
      <c r="I1988" s="5">
        <f ca="1">IFERROR(__xludf.DUMMYFUNCTION("""COMPUTED_VALUE"""),1)</f>
        <v>1</v>
      </c>
      <c r="J1988" s="5">
        <f ca="1">IFERROR(__xludf.DUMMYFUNCTION("""COMPUTED_VALUE"""),0)</f>
        <v>0</v>
      </c>
      <c r="K1988" s="5" t="str">
        <f ca="1">IFERROR(__xludf.DUMMYFUNCTION("""COMPUTED_VALUE"""),"https://www.newspapers.com/image/214607586/?terms=student%2Bshot, https://www.newspapers.com/image/87196859/?terms=DuSable%2BHigh%2BSchool")</f>
        <v>https://www.newspapers.com/image/214607586/?terms=student%2Bshot, https://www.newspapers.com/image/87196859/?terms=DuSable%2BHigh%2BSchool</v>
      </c>
      <c r="L1988" s="5"/>
      <c r="M1988" s="5"/>
      <c r="N1988" s="5">
        <f ca="1">IFERROR(__xludf.DUMMYFUNCTION("""COMPUTED_VALUE"""),3)</f>
        <v>3</v>
      </c>
      <c r="O1988" s="5" t="str">
        <f ca="1">IFERROR(__xludf.DUMMYFUNCTION("""COMPUTED_VALUE"""),"Fall")</f>
        <v>Fall</v>
      </c>
      <c r="P1988" s="5" t="str">
        <f ca="1">IFERROR(__xludf.DUMMYFUNCTION("""COMPUTED_VALUE"""),"Chicago")</f>
        <v>Chicago</v>
      </c>
      <c r="Q1988" s="5" t="str">
        <f ca="1">IFERROR(__xludf.DUMMYFUNCTION("""COMPUTED_VALUE"""),"IL")</f>
        <v>IL</v>
      </c>
      <c r="R1988" s="5" t="str">
        <f ca="1">IFERROR(__xludf.DUMMYFUNCTION("""COMPUTED_VALUE"""),"High")</f>
        <v>High</v>
      </c>
      <c r="S1988" s="5" t="str">
        <f ca="1">IFERROR(__xludf.DUMMYFUNCTION("""COMPUTED_VALUE"""),"Hallway")</f>
        <v>Hallway</v>
      </c>
      <c r="T1988" s="5" t="str">
        <f ca="1">IFERROR(__xludf.DUMMYFUNCTION("""COMPUTED_VALUE"""),"Inside School Building")</f>
        <v>Inside School Building</v>
      </c>
      <c r="U1988" s="5" t="str">
        <f ca="1">IFERROR(__xludf.DUMMYFUNCTION("""COMPUTED_VALUE"""),"Yes")</f>
        <v>Yes</v>
      </c>
      <c r="V1988" s="5" t="str">
        <f ca="1">IFERROR(__xludf.DUMMYFUNCTION("""COMPUTED_VALUE"""),"Morning Classes")</f>
        <v>Morning Classes</v>
      </c>
      <c r="W1988" s="10">
        <f ca="1">IFERROR(__xludf.DUMMYFUNCTION("""COMPUTED_VALUE"""),0.333333333333333)</f>
        <v>0.33333333333333298</v>
      </c>
      <c r="X1988" s="5">
        <f ca="1">IFERROR(__xludf.DUMMYFUNCTION("""COMPUTED_VALUE"""),1)</f>
        <v>1</v>
      </c>
      <c r="Y1988" s="5" t="str">
        <f ca="1">IFERROR(__xludf.DUMMYFUNCTION("""COMPUTED_VALUE"""),"Shooting following ongoing dispute.")</f>
        <v>Shooting following ongoing dispute.</v>
      </c>
      <c r="Z1988" s="5" t="str">
        <f ca="1">IFERROR(__xludf.DUMMYFUNCTION("""COMPUTED_VALUE"""),"Student shot in chest, and later died, while walking through third floor hallway in between classes. Suspect later caught. Possible gang related.")</f>
        <v>Student shot in chest, and later died, while walking through third floor hallway in between classes. Suspect later caught. Possible gang related.</v>
      </c>
      <c r="AA1988" s="5" t="str">
        <f ca="1">IFERROR(__xludf.DUMMYFUNCTION("""COMPUTED_VALUE"""),"Escalation of Dispute")</f>
        <v>Escalation of Dispute</v>
      </c>
      <c r="AB1988" s="5"/>
      <c r="AC1988" s="5" t="str">
        <f ca="1">IFERROR(__xludf.DUMMYFUNCTION("""COMPUTED_VALUE"""),"No")</f>
        <v>No</v>
      </c>
      <c r="AD1988" s="5" t="str">
        <f ca="1">IFERROR(__xludf.DUMMYFUNCTION("""COMPUTED_VALUE"""),"No")</f>
        <v>No</v>
      </c>
      <c r="AE1988" s="5" t="str">
        <f ca="1">IFERROR(__xludf.DUMMYFUNCTION("""COMPUTED_VALUE"""),"No")</f>
        <v>No</v>
      </c>
      <c r="AF1988" s="5" t="str">
        <f ca="1">IFERROR(__xludf.DUMMYFUNCTION("""COMPUTED_VALUE"""),"No")</f>
        <v>No</v>
      </c>
      <c r="AG1988" s="5"/>
      <c r="AH1988" s="5"/>
      <c r="AI1988" s="5" t="str">
        <f ca="1">IFERROR(__xludf.DUMMYFUNCTION("""COMPUTED_VALUE"""),"Yes")</f>
        <v>Yes</v>
      </c>
      <c r="AJ1988" s="5"/>
    </row>
    <row r="1989" spans="1:36" ht="13">
      <c r="A1989" s="5" t="str">
        <f ca="1">IFERROR(__xludf.DUMMYFUNCTION("""COMPUTED_VALUE"""),"19870928ILILL")</f>
        <v>19870928ILILL</v>
      </c>
      <c r="B1989" s="5">
        <f ca="1">IFERROR(__xludf.DUMMYFUNCTION("""COMPUTED_VALUE"""),9)</f>
        <v>9</v>
      </c>
      <c r="C1989" s="5">
        <f ca="1">IFERROR(__xludf.DUMMYFUNCTION("""COMPUTED_VALUE"""),28)</f>
        <v>28</v>
      </c>
      <c r="D1989" s="5">
        <f ca="1">IFERROR(__xludf.DUMMYFUNCTION("""COMPUTED_VALUE"""),1987)</f>
        <v>1987</v>
      </c>
      <c r="E1989" s="8">
        <f ca="1">IFERROR(__xludf.DUMMYFUNCTION("""COMPUTED_VALUE"""),32048)</f>
        <v>32048</v>
      </c>
      <c r="F1989" s="5" t="str">
        <f ca="1">IFERROR(__xludf.DUMMYFUNCTION("""COMPUTED_VALUE"""),"Illiana Christian High School")</f>
        <v>Illiana Christian High School</v>
      </c>
      <c r="G1989" s="5">
        <f ca="1">IFERROR(__xludf.DUMMYFUNCTION("""COMPUTED_VALUE"""),0)</f>
        <v>0</v>
      </c>
      <c r="H1989" s="5">
        <f ca="1">IFERROR(__xludf.DUMMYFUNCTION("""COMPUTED_VALUE"""),1)</f>
        <v>1</v>
      </c>
      <c r="I1989" s="5">
        <f ca="1">IFERROR(__xludf.DUMMYFUNCTION("""COMPUTED_VALUE"""),1)</f>
        <v>1</v>
      </c>
      <c r="J1989" s="5">
        <f ca="1">IFERROR(__xludf.DUMMYFUNCTION("""COMPUTED_VALUE"""),0)</f>
        <v>0</v>
      </c>
      <c r="K1989" s="9" t="str">
        <f ca="1">IFERROR(__xludf.DUMMYFUNCTION("""COMPUTED_VALUE"""),"http://articles.chicagotribune.com/1987-09-30/news/8703130825_1_second-floor-classroom-shooting-smoking-on-school-grounds")</f>
        <v>http://articles.chicagotribune.com/1987-09-30/news/8703130825_1_second-floor-classroom-shooting-smoking-on-school-grounds</v>
      </c>
      <c r="L1989" s="5"/>
      <c r="M1989" s="5"/>
      <c r="N1989" s="5">
        <f ca="1">IFERROR(__xludf.DUMMYFUNCTION("""COMPUTED_VALUE"""),2)</f>
        <v>2</v>
      </c>
      <c r="O1989" s="5" t="str">
        <f ca="1">IFERROR(__xludf.DUMMYFUNCTION("""COMPUTED_VALUE"""),"Fall")</f>
        <v>Fall</v>
      </c>
      <c r="P1989" s="5" t="str">
        <f ca="1">IFERROR(__xludf.DUMMYFUNCTION("""COMPUTED_VALUE"""),"Lansing")</f>
        <v>Lansing</v>
      </c>
      <c r="Q1989" s="5" t="str">
        <f ca="1">IFERROR(__xludf.DUMMYFUNCTION("""COMPUTED_VALUE"""),"IL")</f>
        <v>IL</v>
      </c>
      <c r="R1989" s="5" t="str">
        <f ca="1">IFERROR(__xludf.DUMMYFUNCTION("""COMPUTED_VALUE"""),"High")</f>
        <v>High</v>
      </c>
      <c r="S1989" s="5" t="str">
        <f ca="1">IFERROR(__xludf.DUMMYFUNCTION("""COMPUTED_VALUE"""),"Inside School Building")</f>
        <v>Inside School Building</v>
      </c>
      <c r="T1989" s="5" t="str">
        <f ca="1">IFERROR(__xludf.DUMMYFUNCTION("""COMPUTED_VALUE"""),"Inside School Building")</f>
        <v>Inside School Building</v>
      </c>
      <c r="U1989" s="5" t="str">
        <f ca="1">IFERROR(__xludf.DUMMYFUNCTION("""COMPUTED_VALUE"""),"Yes")</f>
        <v>Yes</v>
      </c>
      <c r="V1989" s="5" t="str">
        <f ca="1">IFERROR(__xludf.DUMMYFUNCTION("""COMPUTED_VALUE"""),"Afternoon Classes")</f>
        <v>Afternoon Classes</v>
      </c>
      <c r="W1989" s="5"/>
      <c r="X1989" s="5">
        <f ca="1">IFERROR(__xludf.DUMMYFUNCTION("""COMPUTED_VALUE"""),1)</f>
        <v>1</v>
      </c>
      <c r="Y1989" s="5" t="str">
        <f ca="1">IFERROR(__xludf.DUMMYFUNCTION("""COMPUTED_VALUE"""),"Anger at teacher for reporting him for smoking")</f>
        <v>Anger at teacher for reporting him for smoking</v>
      </c>
      <c r="Z1989" s="5" t="str">
        <f ca="1">IFERROR(__xludf.DUMMYFUNCTION("""COMPUTED_VALUE"""),"Shooter brought a .22 pistol to school and showed it off during the school day to multiple students. Shooter said he was going to shoot another student he had an ongoing dispute with. Shooter had an confrontation with the other student but the weapon was "&amp;"not involved. Shooter had been caught by a teacher for smoking the week prior and kicked off the soccer team. Student left class in the afternoon and confronted the teacher shooting him once in the chest. The student was arrested outside of the school wit"&amp;"h the gun 30 minutes later.")</f>
        <v>Shooter brought a .22 pistol to school and showed it off during the school day to multiple students. Shooter said he was going to shoot another student he had an ongoing dispute with. Shooter had an confrontation with the other student but the weapon was not involved. Shooter had been caught by a teacher for smoking the week prior and kicked off the soccer team. Student left class in the afternoon and confronted the teacher shooting him once in the chest. The student was arrested outside of the school with the gun 30 minutes later.</v>
      </c>
      <c r="AA1989" s="5" t="str">
        <f ca="1">IFERROR(__xludf.DUMMYFUNCTION("""COMPUTED_VALUE"""),"Anger Over Grade/Suspension/Discipline")</f>
        <v>Anger Over Grade/Suspension/Discipline</v>
      </c>
      <c r="AB1989" s="5"/>
      <c r="AC1989" s="5" t="str">
        <f ca="1">IFERROR(__xludf.DUMMYFUNCTION("""COMPUTED_VALUE"""),"No")</f>
        <v>No</v>
      </c>
      <c r="AD1989" s="5" t="str">
        <f ca="1">IFERROR(__xludf.DUMMYFUNCTION("""COMPUTED_VALUE"""),"No")</f>
        <v>No</v>
      </c>
      <c r="AE1989" s="5" t="str">
        <f ca="1">IFERROR(__xludf.DUMMYFUNCTION("""COMPUTED_VALUE"""),"No")</f>
        <v>No</v>
      </c>
      <c r="AF1989" s="5" t="str">
        <f ca="1">IFERROR(__xludf.DUMMYFUNCTION("""COMPUTED_VALUE"""),"No")</f>
        <v>No</v>
      </c>
      <c r="AG1989" s="5"/>
      <c r="AH1989" s="5" t="str">
        <f ca="1">IFERROR(__xludf.DUMMYFUNCTION("""COMPUTED_VALUE"""),"No")</f>
        <v>No</v>
      </c>
      <c r="AI1989" s="5" t="str">
        <f ca="1">IFERROR(__xludf.DUMMYFUNCTION("""COMPUTED_VALUE"""),"No")</f>
        <v>No</v>
      </c>
      <c r="AJ1989" s="5"/>
    </row>
    <row r="1990" spans="1:36" ht="13">
      <c r="A1990" s="5" t="str">
        <f ca="1">IFERROR(__xludf.DUMMYFUNCTION("""COMPUTED_VALUE"""),"19870513ILOAO")</f>
        <v>19870513ILOAO</v>
      </c>
      <c r="B1990" s="5">
        <f ca="1">IFERROR(__xludf.DUMMYFUNCTION("""COMPUTED_VALUE"""),5)</f>
        <v>5</v>
      </c>
      <c r="C1990" s="5">
        <f ca="1">IFERROR(__xludf.DUMMYFUNCTION("""COMPUTED_VALUE"""),13)</f>
        <v>13</v>
      </c>
      <c r="D1990" s="5">
        <f ca="1">IFERROR(__xludf.DUMMYFUNCTION("""COMPUTED_VALUE"""),1987)</f>
        <v>1987</v>
      </c>
      <c r="E1990" s="8">
        <f ca="1">IFERROR(__xludf.DUMMYFUNCTION("""COMPUTED_VALUE"""),31910)</f>
        <v>31910</v>
      </c>
      <c r="F1990" s="5" t="str">
        <f ca="1">IFERROR(__xludf.DUMMYFUNCTION("""COMPUTED_VALUE"""),"Oak Lawn Community High School")</f>
        <v>Oak Lawn Community High School</v>
      </c>
      <c r="G1990" s="5">
        <f ca="1">IFERROR(__xludf.DUMMYFUNCTION("""COMPUTED_VALUE"""),0)</f>
        <v>0</v>
      </c>
      <c r="H1990" s="5">
        <f ca="1">IFERROR(__xludf.DUMMYFUNCTION("""COMPUTED_VALUE"""),0)</f>
        <v>0</v>
      </c>
      <c r="I1990" s="5">
        <f ca="1">IFERROR(__xludf.DUMMYFUNCTION("""COMPUTED_VALUE"""),0)</f>
        <v>0</v>
      </c>
      <c r="J1990" s="5">
        <f ca="1">IFERROR(__xludf.DUMMYFUNCTION("""COMPUTED_VALUE"""),0)</f>
        <v>0</v>
      </c>
      <c r="K1990" s="9" t="str">
        <f ca="1">IFERROR(__xludf.DUMMYFUNCTION("""COMPUTED_VALUE"""),"https://www.newspapers.com/image/388845031/?terms=Dale%2BBruck")</f>
        <v>https://www.newspapers.com/image/388845031/?terms=Dale%2BBruck</v>
      </c>
      <c r="L1990" s="5"/>
      <c r="M1990" s="5"/>
      <c r="N1990" s="5">
        <f ca="1">IFERROR(__xludf.DUMMYFUNCTION("""COMPUTED_VALUE"""),2)</f>
        <v>2</v>
      </c>
      <c r="O1990" s="5" t="str">
        <f ca="1">IFERROR(__xludf.DUMMYFUNCTION("""COMPUTED_VALUE"""),"Spring")</f>
        <v>Spring</v>
      </c>
      <c r="P1990" s="5" t="str">
        <f ca="1">IFERROR(__xludf.DUMMYFUNCTION("""COMPUTED_VALUE"""),"Oak Lawn")</f>
        <v>Oak Lawn</v>
      </c>
      <c r="Q1990" s="5" t="str">
        <f ca="1">IFERROR(__xludf.DUMMYFUNCTION("""COMPUTED_VALUE"""),"IL")</f>
        <v>IL</v>
      </c>
      <c r="R1990" s="5" t="str">
        <f ca="1">IFERROR(__xludf.DUMMYFUNCTION("""COMPUTED_VALUE"""),"High")</f>
        <v>High</v>
      </c>
      <c r="S1990" s="5" t="str">
        <f ca="1">IFERROR(__xludf.DUMMYFUNCTION("""COMPUTED_VALUE"""),"Inside School Building")</f>
        <v>Inside School Building</v>
      </c>
      <c r="T1990" s="5" t="str">
        <f ca="1">IFERROR(__xludf.DUMMYFUNCTION("""COMPUTED_VALUE"""),"Inside School Building")</f>
        <v>Inside School Building</v>
      </c>
      <c r="U1990" s="5" t="str">
        <f ca="1">IFERROR(__xludf.DUMMYFUNCTION("""COMPUTED_VALUE"""),"Yes")</f>
        <v>Yes</v>
      </c>
      <c r="V1990" s="5" t="str">
        <f ca="1">IFERROR(__xludf.DUMMYFUNCTION("""COMPUTED_VALUE"""),"Morning Classes")</f>
        <v>Morning Classes</v>
      </c>
      <c r="W1990" s="5"/>
      <c r="X1990" s="5">
        <f ca="1">IFERROR(__xludf.DUMMYFUNCTION("""COMPUTED_VALUE"""),1)</f>
        <v>1</v>
      </c>
      <c r="Y1990" s="5" t="str">
        <f ca="1">IFERROR(__xludf.DUMMYFUNCTION("""COMPUTED_VALUE"""),"Suicide attempt after being turned down for prom")</f>
        <v>Suicide attempt after being turned down for prom</v>
      </c>
      <c r="Z1990" s="5" t="str">
        <f ca="1">IFERROR(__xludf.DUMMYFUNCTION("""COMPUTED_VALUE"""),"Shooter gave suicide note to girl he had dated briefly but refused to go to prom with him - Shooter also gave pistol to friend and told him of plan - friend secretly removed bullet to keep shooter from attempt but shooter later reloaded - after reading no"&amp;"te, girl went to get school counselor, but shooter shot himself in chest with father's .25 caliber")</f>
        <v>Shooter gave suicide note to girl he had dated briefly but refused to go to prom with him - Shooter also gave pistol to friend and told him of plan - friend secretly removed bullet to keep shooter from attempt but shooter later reloaded - after reading note, girl went to get school counselor, but shooter shot himself in chest with father's .25 caliber</v>
      </c>
      <c r="AA1990" s="5" t="str">
        <f ca="1">IFERROR(__xludf.DUMMYFUNCTION("""COMPUTED_VALUE"""),"Suicide/Attempted")</f>
        <v>Suicide/Attempted</v>
      </c>
      <c r="AB1990" s="5" t="str">
        <f ca="1">IFERROR(__xludf.DUMMYFUNCTION("""COMPUTED_VALUE"""),"Victims Targeted")</f>
        <v>Victims Targeted</v>
      </c>
      <c r="AC1990" s="5" t="str">
        <f ca="1">IFERROR(__xludf.DUMMYFUNCTION("""COMPUTED_VALUE"""),"No")</f>
        <v>No</v>
      </c>
      <c r="AD1990" s="5" t="str">
        <f ca="1">IFERROR(__xludf.DUMMYFUNCTION("""COMPUTED_VALUE"""),"No")</f>
        <v>No</v>
      </c>
      <c r="AE1990" s="5" t="str">
        <f ca="1">IFERROR(__xludf.DUMMYFUNCTION("""COMPUTED_VALUE"""),"No")</f>
        <v>No</v>
      </c>
      <c r="AF1990" s="5" t="str">
        <f ca="1">IFERROR(__xludf.DUMMYFUNCTION("""COMPUTED_VALUE"""),"No")</f>
        <v>No</v>
      </c>
      <c r="AG1990" s="5" t="str">
        <f ca="1">IFERROR(__xludf.DUMMYFUNCTION("""COMPUTED_VALUE"""),"No")</f>
        <v>No</v>
      </c>
      <c r="AH1990" s="5" t="str">
        <f ca="1">IFERROR(__xludf.DUMMYFUNCTION("""COMPUTED_VALUE"""),"No")</f>
        <v>No</v>
      </c>
      <c r="AI1990" s="5" t="str">
        <f ca="1">IFERROR(__xludf.DUMMYFUNCTION("""COMPUTED_VALUE"""),"No")</f>
        <v>No</v>
      </c>
      <c r="AJ1990" s="5"/>
    </row>
    <row r="1991" spans="1:36" ht="13">
      <c r="A1991" s="5" t="str">
        <f ca="1">IFERROR(__xludf.DUMMYFUNCTION("""COMPUTED_VALUE"""),"19870506FLLET")</f>
        <v>19870506FLLET</v>
      </c>
      <c r="B1991" s="5">
        <f ca="1">IFERROR(__xludf.DUMMYFUNCTION("""COMPUTED_VALUE"""),5)</f>
        <v>5</v>
      </c>
      <c r="C1991" s="5">
        <f ca="1">IFERROR(__xludf.DUMMYFUNCTION("""COMPUTED_VALUE"""),6)</f>
        <v>6</v>
      </c>
      <c r="D1991" s="5">
        <f ca="1">IFERROR(__xludf.DUMMYFUNCTION("""COMPUTED_VALUE"""),1987)</f>
        <v>1987</v>
      </c>
      <c r="E1991" s="8">
        <f ca="1">IFERROR(__xludf.DUMMYFUNCTION("""COMPUTED_VALUE"""),31903)</f>
        <v>31903</v>
      </c>
      <c r="F1991" s="5" t="str">
        <f ca="1">IFERROR(__xludf.DUMMYFUNCTION("""COMPUTED_VALUE"""),"Leto High School")</f>
        <v>Leto High School</v>
      </c>
      <c r="G1991" s="5">
        <f ca="1">IFERROR(__xludf.DUMMYFUNCTION("""COMPUTED_VALUE"""),0)</f>
        <v>0</v>
      </c>
      <c r="H1991" s="5">
        <f ca="1">IFERROR(__xludf.DUMMYFUNCTION("""COMPUTED_VALUE"""),0)</f>
        <v>0</v>
      </c>
      <c r="I1991" s="5">
        <f ca="1">IFERROR(__xludf.DUMMYFUNCTION("""COMPUTED_VALUE"""),0)</f>
        <v>0</v>
      </c>
      <c r="J1991" s="5">
        <f ca="1">IFERROR(__xludf.DUMMYFUNCTION("""COMPUTED_VALUE"""),1)</f>
        <v>1</v>
      </c>
      <c r="K1991" s="5" t="str">
        <f ca="1">IFERROR(__xludf.DUMMYFUNCTION("""COMPUTED_VALUE"""),"https://www.newspapers.com/image/321400510/?terms=karl%2Btramer https://www.newspapers.com/image/174030895/?terms=student%2Bshoots")</f>
        <v>https://www.newspapers.com/image/321400510/?terms=karl%2Btramer https://www.newspapers.com/image/174030895/?terms=student%2Bshoots</v>
      </c>
      <c r="L1991" s="5"/>
      <c r="M1991" s="5"/>
      <c r="N1991" s="5">
        <f ca="1">IFERROR(__xludf.DUMMYFUNCTION("""COMPUTED_VALUE"""),2)</f>
        <v>2</v>
      </c>
      <c r="O1991" s="5" t="str">
        <f ca="1">IFERROR(__xludf.DUMMYFUNCTION("""COMPUTED_VALUE"""),"Spring")</f>
        <v>Spring</v>
      </c>
      <c r="P1991" s="5" t="str">
        <f ca="1">IFERROR(__xludf.DUMMYFUNCTION("""COMPUTED_VALUE"""),"Tampa")</f>
        <v>Tampa</v>
      </c>
      <c r="Q1991" s="5" t="str">
        <f ca="1">IFERROR(__xludf.DUMMYFUNCTION("""COMPUTED_VALUE"""),"FL")</f>
        <v>FL</v>
      </c>
      <c r="R1991" s="5" t="str">
        <f ca="1">IFERROR(__xludf.DUMMYFUNCTION("""COMPUTED_VALUE"""),"High")</f>
        <v>High</v>
      </c>
      <c r="S1991" s="5" t="str">
        <f ca="1">IFERROR(__xludf.DUMMYFUNCTION("""COMPUTED_VALUE"""),"Classroom")</f>
        <v>Classroom</v>
      </c>
      <c r="T1991" s="5" t="str">
        <f ca="1">IFERROR(__xludf.DUMMYFUNCTION("""COMPUTED_VALUE"""),"Inside School Building")</f>
        <v>Inside School Building</v>
      </c>
      <c r="U1991" s="5" t="str">
        <f ca="1">IFERROR(__xludf.DUMMYFUNCTION("""COMPUTED_VALUE"""),"Yes")</f>
        <v>Yes</v>
      </c>
      <c r="V1991" s="5" t="str">
        <f ca="1">IFERROR(__xludf.DUMMYFUNCTION("""COMPUTED_VALUE"""),"Morning Classes")</f>
        <v>Morning Classes</v>
      </c>
      <c r="W1991" s="10">
        <f ca="1">IFERROR(__xludf.DUMMYFUNCTION("""COMPUTED_VALUE"""),0.388888888888888)</f>
        <v>0.38888888888888801</v>
      </c>
      <c r="X1991" s="5">
        <f ca="1">IFERROR(__xludf.DUMMYFUNCTION("""COMPUTED_VALUE"""),1)</f>
        <v>1</v>
      </c>
      <c r="Y1991" s="5" t="str">
        <f ca="1">IFERROR(__xludf.DUMMYFUNCTION("""COMPUTED_VALUE"""),"Shooter shot self in English class for doing poorly in school")</f>
        <v>Shooter shot self in English class for doing poorly in school</v>
      </c>
      <c r="Z1991" s="5" t="str">
        <f ca="1">IFERROR(__xludf.DUMMYFUNCTION("""COMPUTED_VALUE"""),"Student who was doing poorly in English literature stood at the end of class and shot himself in the head with his father's .38 caliber handgun - no warnings;")</f>
        <v>Student who was doing poorly in English literature stood at the end of class and shot himself in the head with his father's .38 caliber handgun - no warnings;</v>
      </c>
      <c r="AA1991" s="5" t="str">
        <f ca="1">IFERROR(__xludf.DUMMYFUNCTION("""COMPUTED_VALUE"""),"Suicide/Attempted")</f>
        <v>Suicide/Attempted</v>
      </c>
      <c r="AB1991" s="5" t="str">
        <f ca="1">IFERROR(__xludf.DUMMYFUNCTION("""COMPUTED_VALUE"""),"Victims Targeted")</f>
        <v>Victims Targeted</v>
      </c>
      <c r="AC1991" s="5" t="str">
        <f ca="1">IFERROR(__xludf.DUMMYFUNCTION("""COMPUTED_VALUE"""),"No")</f>
        <v>No</v>
      </c>
      <c r="AD1991" s="5" t="str">
        <f ca="1">IFERROR(__xludf.DUMMYFUNCTION("""COMPUTED_VALUE"""),"No")</f>
        <v>No</v>
      </c>
      <c r="AE1991" s="5" t="str">
        <f ca="1">IFERROR(__xludf.DUMMYFUNCTION("""COMPUTED_VALUE"""),"No")</f>
        <v>No</v>
      </c>
      <c r="AF1991" s="5" t="str">
        <f ca="1">IFERROR(__xludf.DUMMYFUNCTION("""COMPUTED_VALUE"""),"No")</f>
        <v>No</v>
      </c>
      <c r="AG1991" s="5" t="str">
        <f ca="1">IFERROR(__xludf.DUMMYFUNCTION("""COMPUTED_VALUE"""),"No")</f>
        <v>No</v>
      </c>
      <c r="AH1991" s="5" t="str">
        <f ca="1">IFERROR(__xludf.DUMMYFUNCTION("""COMPUTED_VALUE"""),"No")</f>
        <v>No</v>
      </c>
      <c r="AI1991" s="5" t="str">
        <f ca="1">IFERROR(__xludf.DUMMYFUNCTION("""COMPUTED_VALUE"""),"No")</f>
        <v>No</v>
      </c>
      <c r="AJ1991" s="5"/>
    </row>
    <row r="1992" spans="1:36" ht="13">
      <c r="A1992" s="5" t="str">
        <f ca="1">IFERROR(__xludf.DUMMYFUNCTION("""COMPUTED_VALUE"""),"19870506ARMAJ")</f>
        <v>19870506ARMAJ</v>
      </c>
      <c r="B1992" s="5">
        <f ca="1">IFERROR(__xludf.DUMMYFUNCTION("""COMPUTED_VALUE"""),5)</f>
        <v>5</v>
      </c>
      <c r="C1992" s="5">
        <f ca="1">IFERROR(__xludf.DUMMYFUNCTION("""COMPUTED_VALUE"""),6)</f>
        <v>6</v>
      </c>
      <c r="D1992" s="5">
        <f ca="1">IFERROR(__xludf.DUMMYFUNCTION("""COMPUTED_VALUE"""),1987)</f>
        <v>1987</v>
      </c>
      <c r="E1992" s="8">
        <f ca="1">IFERROR(__xludf.DUMMYFUNCTION("""COMPUTED_VALUE"""),31903)</f>
        <v>31903</v>
      </c>
      <c r="F1992" s="5" t="str">
        <f ca="1">IFERROR(__xludf.DUMMYFUNCTION("""COMPUTED_VALUE"""),"MacAuthur Junior High")</f>
        <v>MacAuthur Junior High</v>
      </c>
      <c r="G1992" s="5">
        <f ca="1">IFERROR(__xludf.DUMMYFUNCTION("""COMPUTED_VALUE"""),0)</f>
        <v>0</v>
      </c>
      <c r="H1992" s="5">
        <f ca="1">IFERROR(__xludf.DUMMYFUNCTION("""COMPUTED_VALUE"""),0)</f>
        <v>0</v>
      </c>
      <c r="I1992" s="5">
        <f ca="1">IFERROR(__xludf.DUMMYFUNCTION("""COMPUTED_VALUE"""),0)</f>
        <v>0</v>
      </c>
      <c r="J1992" s="5">
        <f ca="1">IFERROR(__xludf.DUMMYFUNCTION("""COMPUTED_VALUE"""),0)</f>
        <v>0</v>
      </c>
      <c r="K1992" s="9" t="str">
        <f ca="1">IFERROR(__xludf.DUMMYFUNCTION("""COMPUTED_VALUE"""),"https://www.newspapers.com/image/174030895/?terms=student%2Bshoots")</f>
        <v>https://www.newspapers.com/image/174030895/?terms=student%2Bshoots</v>
      </c>
      <c r="L1992" s="5"/>
      <c r="M1992" s="5"/>
      <c r="N1992" s="5">
        <f ca="1">IFERROR(__xludf.DUMMYFUNCTION("""COMPUTED_VALUE"""),2)</f>
        <v>2</v>
      </c>
      <c r="O1992" s="5" t="str">
        <f ca="1">IFERROR(__xludf.DUMMYFUNCTION("""COMPUTED_VALUE"""),"Spring")</f>
        <v>Spring</v>
      </c>
      <c r="P1992" s="5" t="str">
        <f ca="1">IFERROR(__xludf.DUMMYFUNCTION("""COMPUTED_VALUE"""),"Jonesboro")</f>
        <v>Jonesboro</v>
      </c>
      <c r="Q1992" s="5" t="str">
        <f ca="1">IFERROR(__xludf.DUMMYFUNCTION("""COMPUTED_VALUE"""),"AR")</f>
        <v>AR</v>
      </c>
      <c r="R1992" s="5" t="str">
        <f ca="1">IFERROR(__xludf.DUMMYFUNCTION("""COMPUTED_VALUE"""),"Junior High")</f>
        <v>Junior High</v>
      </c>
      <c r="S1992" s="5" t="str">
        <f ca="1">IFERROR(__xludf.DUMMYFUNCTION("""COMPUTED_VALUE"""),"Classroom")</f>
        <v>Classroom</v>
      </c>
      <c r="T1992" s="5" t="str">
        <f ca="1">IFERROR(__xludf.DUMMYFUNCTION("""COMPUTED_VALUE"""),"Inside School Building")</f>
        <v>Inside School Building</v>
      </c>
      <c r="U1992" s="5" t="str">
        <f ca="1">IFERROR(__xludf.DUMMYFUNCTION("""COMPUTED_VALUE"""),"Yes")</f>
        <v>Yes</v>
      </c>
      <c r="V1992" s="5" t="str">
        <f ca="1">IFERROR(__xludf.DUMMYFUNCTION("""COMPUTED_VALUE"""),"Morning Classes")</f>
        <v>Morning Classes</v>
      </c>
      <c r="W1992" s="5"/>
      <c r="X1992" s="5">
        <f ca="1">IFERROR(__xludf.DUMMYFUNCTION("""COMPUTED_VALUE"""),1)</f>
        <v>1</v>
      </c>
      <c r="Y1992" s="5" t="str">
        <f ca="1">IFERROR(__xludf.DUMMYFUNCTION("""COMPUTED_VALUE"""),"Student shot self in front of class.")</f>
        <v>Student shot self in front of class.</v>
      </c>
      <c r="Z1992" s="5" t="str">
        <f ca="1">IFERROR(__xludf.DUMMYFUNCTION("""COMPUTED_VALUE"""),"Shooter pointed pistol at classmate and said ""this should be for you,"" he then turned pistol on himself")</f>
        <v>Shooter pointed pistol at classmate and said "this should be for you," he then turned pistol on himself</v>
      </c>
      <c r="AA1992" s="5" t="str">
        <f ca="1">IFERROR(__xludf.DUMMYFUNCTION("""COMPUTED_VALUE"""),"Suicide/Attempted")</f>
        <v>Suicide/Attempted</v>
      </c>
      <c r="AB1992" s="5" t="str">
        <f ca="1">IFERROR(__xludf.DUMMYFUNCTION("""COMPUTED_VALUE"""),"Victims Targeted")</f>
        <v>Victims Targeted</v>
      </c>
      <c r="AC1992" s="5" t="str">
        <f ca="1">IFERROR(__xludf.DUMMYFUNCTION("""COMPUTED_VALUE"""),"No")</f>
        <v>No</v>
      </c>
      <c r="AD1992" s="5" t="str">
        <f ca="1">IFERROR(__xludf.DUMMYFUNCTION("""COMPUTED_VALUE"""),"No")</f>
        <v>No</v>
      </c>
      <c r="AE1992" s="5" t="str">
        <f ca="1">IFERROR(__xludf.DUMMYFUNCTION("""COMPUTED_VALUE"""),"No")</f>
        <v>No</v>
      </c>
      <c r="AF1992" s="5" t="str">
        <f ca="1">IFERROR(__xludf.DUMMYFUNCTION("""COMPUTED_VALUE"""),"No")</f>
        <v>No</v>
      </c>
      <c r="AG1992" s="5" t="str">
        <f ca="1">IFERROR(__xludf.DUMMYFUNCTION("""COMPUTED_VALUE"""),"No")</f>
        <v>No</v>
      </c>
      <c r="AH1992" s="5" t="str">
        <f ca="1">IFERROR(__xludf.DUMMYFUNCTION("""COMPUTED_VALUE"""),"No")</f>
        <v>No</v>
      </c>
      <c r="AI1992" s="5" t="str">
        <f ca="1">IFERROR(__xludf.DUMMYFUNCTION("""COMPUTED_VALUE"""),"No")</f>
        <v>No</v>
      </c>
      <c r="AJ1992" s="5"/>
    </row>
    <row r="1993" spans="1:36" ht="13">
      <c r="A1993" s="5" t="str">
        <f ca="1">IFERROR(__xludf.DUMMYFUNCTION("""COMPUTED_VALUE"""),"19870503INPII")</f>
        <v>19870503INPII</v>
      </c>
      <c r="B1993" s="5">
        <f ca="1">IFERROR(__xludf.DUMMYFUNCTION("""COMPUTED_VALUE"""),5)</f>
        <v>5</v>
      </c>
      <c r="C1993" s="5">
        <f ca="1">IFERROR(__xludf.DUMMYFUNCTION("""COMPUTED_VALUE"""),3)</f>
        <v>3</v>
      </c>
      <c r="D1993" s="5">
        <f ca="1">IFERROR(__xludf.DUMMYFUNCTION("""COMPUTED_VALUE"""),1987)</f>
        <v>1987</v>
      </c>
      <c r="E1993" s="8">
        <f ca="1">IFERROR(__xludf.DUMMYFUNCTION("""COMPUTED_VALUE"""),31900)</f>
        <v>31900</v>
      </c>
      <c r="F1993" s="5" t="str">
        <f ca="1">IFERROR(__xludf.DUMMYFUNCTION("""COMPUTED_VALUE"""),"Pike Township High School")</f>
        <v>Pike Township High School</v>
      </c>
      <c r="G1993" s="5">
        <f ca="1">IFERROR(__xludf.DUMMYFUNCTION("""COMPUTED_VALUE"""),0)</f>
        <v>0</v>
      </c>
      <c r="H1993" s="5">
        <f ca="1">IFERROR(__xludf.DUMMYFUNCTION("""COMPUTED_VALUE"""),1)</f>
        <v>1</v>
      </c>
      <c r="I1993" s="5">
        <f ca="1">IFERROR(__xludf.DUMMYFUNCTION("""COMPUTED_VALUE"""),1)</f>
        <v>1</v>
      </c>
      <c r="J1993" s="5">
        <f ca="1">IFERROR(__xludf.DUMMYFUNCTION("""COMPUTED_VALUE"""),0)</f>
        <v>0</v>
      </c>
      <c r="K1993" s="5" t="str">
        <f ca="1">IFERROR(__xludf.DUMMYFUNCTION("""COMPUTED_VALUE"""),"https://www.newspapers.com/image/106196148/?terms=TEACHER%2BSHOT; https://www.newspapers.com/image/155243487/?terms=TEACHER%2BSHOT")</f>
        <v>https://www.newspapers.com/image/106196148/?terms=TEACHER%2BSHOT; https://www.newspapers.com/image/155243487/?terms=TEACHER%2BSHOT</v>
      </c>
      <c r="L1993" s="5"/>
      <c r="M1993" s="5"/>
      <c r="N1993" s="5">
        <f ca="1">IFERROR(__xludf.DUMMYFUNCTION("""COMPUTED_VALUE"""),3)</f>
        <v>3</v>
      </c>
      <c r="O1993" s="5" t="str">
        <f ca="1">IFERROR(__xludf.DUMMYFUNCTION("""COMPUTED_VALUE"""),"Spring")</f>
        <v>Spring</v>
      </c>
      <c r="P1993" s="5" t="str">
        <f ca="1">IFERROR(__xludf.DUMMYFUNCTION("""COMPUTED_VALUE"""),"Indianapolis")</f>
        <v>Indianapolis</v>
      </c>
      <c r="Q1993" s="5" t="str">
        <f ca="1">IFERROR(__xludf.DUMMYFUNCTION("""COMPUTED_VALUE"""),"IN")</f>
        <v>IN</v>
      </c>
      <c r="R1993" s="5" t="str">
        <f ca="1">IFERROR(__xludf.DUMMYFUNCTION("""COMPUTED_VALUE"""),"High")</f>
        <v>High</v>
      </c>
      <c r="S1993" s="5" t="str">
        <f ca="1">IFERROR(__xludf.DUMMYFUNCTION("""COMPUTED_VALUE"""),"Hallway")</f>
        <v>Hallway</v>
      </c>
      <c r="T1993" s="5" t="str">
        <f ca="1">IFERROR(__xludf.DUMMYFUNCTION("""COMPUTED_VALUE"""),"Inside School Building")</f>
        <v>Inside School Building</v>
      </c>
      <c r="U1993" s="5" t="str">
        <f ca="1">IFERROR(__xludf.DUMMYFUNCTION("""COMPUTED_VALUE"""),"No")</f>
        <v>No</v>
      </c>
      <c r="V1993" s="5" t="str">
        <f ca="1">IFERROR(__xludf.DUMMYFUNCTION("""COMPUTED_VALUE"""),"Not a School Day")</f>
        <v>Not a School Day</v>
      </c>
      <c r="W1993" s="10">
        <f ca="1">IFERROR(__xludf.DUMMYFUNCTION("""COMPUTED_VALUE"""),0.479166666666666)</f>
        <v>0.47916666666666602</v>
      </c>
      <c r="X1993" s="5">
        <f ca="1">IFERROR(__xludf.DUMMYFUNCTION("""COMPUTED_VALUE"""),1)</f>
        <v>1</v>
      </c>
      <c r="Y1993" s="5" t="str">
        <f ca="1">IFERROR(__xludf.DUMMYFUNCTION("""COMPUTED_VALUE"""),"Shooter shot music teacher during foiled burglary at school over weekend")</f>
        <v>Shooter shot music teacher during foiled burglary at school over weekend</v>
      </c>
      <c r="Z1993" s="5" t="str">
        <f ca="1">IFERROR(__xludf.DUMMYFUNCTION("""COMPUTED_VALUE"""),"Music teacher surprises burglar inside school. Burglar shoots teacher in head and beats him several times with hammer before escaping.")</f>
        <v>Music teacher surprises burglar inside school. Burglar shoots teacher in head and beats him several times with hammer before escaping.</v>
      </c>
      <c r="AA1993" s="5" t="str">
        <f ca="1">IFERROR(__xludf.DUMMYFUNCTION("""COMPUTED_VALUE"""),"Illegal Activity")</f>
        <v>Illegal Activity</v>
      </c>
      <c r="AB1993" s="5" t="str">
        <f ca="1">IFERROR(__xludf.DUMMYFUNCTION("""COMPUTED_VALUE"""),"Random Shooting")</f>
        <v>Random Shooting</v>
      </c>
      <c r="AC1993" s="5" t="str">
        <f ca="1">IFERROR(__xludf.DUMMYFUNCTION("""COMPUTED_VALUE"""),"No")</f>
        <v>No</v>
      </c>
      <c r="AD1993" s="5" t="str">
        <f ca="1">IFERROR(__xludf.DUMMYFUNCTION("""COMPUTED_VALUE"""),"No")</f>
        <v>No</v>
      </c>
      <c r="AE1993" s="5" t="str">
        <f ca="1">IFERROR(__xludf.DUMMYFUNCTION("""COMPUTED_VALUE"""),"No")</f>
        <v>No</v>
      </c>
      <c r="AF1993" s="5" t="str">
        <f ca="1">IFERROR(__xludf.DUMMYFUNCTION("""COMPUTED_VALUE"""),"No")</f>
        <v>No</v>
      </c>
      <c r="AG1993" s="5" t="str">
        <f ca="1">IFERROR(__xludf.DUMMYFUNCTION("""COMPUTED_VALUE"""),"No")</f>
        <v>No</v>
      </c>
      <c r="AH1993" s="5" t="str">
        <f ca="1">IFERROR(__xludf.DUMMYFUNCTION("""COMPUTED_VALUE"""),"No")</f>
        <v>No</v>
      </c>
      <c r="AI1993" s="5" t="str">
        <f ca="1">IFERROR(__xludf.DUMMYFUNCTION("""COMPUTED_VALUE"""),"No")</f>
        <v>No</v>
      </c>
      <c r="AJ1993" s="5"/>
    </row>
    <row r="1994" spans="1:36" ht="13">
      <c r="A1994" s="5" t="str">
        <f ca="1">IFERROR(__xludf.DUMMYFUNCTION("""COMPUTED_VALUE"""),"19870430ORGRP")</f>
        <v>19870430ORGRP</v>
      </c>
      <c r="B1994" s="5">
        <f ca="1">IFERROR(__xludf.DUMMYFUNCTION("""COMPUTED_VALUE"""),4)</f>
        <v>4</v>
      </c>
      <c r="C1994" s="5">
        <f ca="1">IFERROR(__xludf.DUMMYFUNCTION("""COMPUTED_VALUE"""),30)</f>
        <v>30</v>
      </c>
      <c r="D1994" s="5">
        <f ca="1">IFERROR(__xludf.DUMMYFUNCTION("""COMPUTED_VALUE"""),1987)</f>
        <v>1987</v>
      </c>
      <c r="E1994" s="8">
        <f ca="1">IFERROR(__xludf.DUMMYFUNCTION("""COMPUTED_VALUE"""),31897)</f>
        <v>31897</v>
      </c>
      <c r="F1994" s="5" t="str">
        <f ca="1">IFERROR(__xludf.DUMMYFUNCTION("""COMPUTED_VALUE"""),"Grant High School")</f>
        <v>Grant High School</v>
      </c>
      <c r="G1994" s="5">
        <f ca="1">IFERROR(__xludf.DUMMYFUNCTION("""COMPUTED_VALUE"""),1)</f>
        <v>1</v>
      </c>
      <c r="H1994" s="5">
        <f ca="1">IFERROR(__xludf.DUMMYFUNCTION("""COMPUTED_VALUE"""),0)</f>
        <v>0</v>
      </c>
      <c r="I1994" s="5">
        <f ca="1">IFERROR(__xludf.DUMMYFUNCTION("""COMPUTED_VALUE"""),1)</f>
        <v>1</v>
      </c>
      <c r="J1994" s="5">
        <f ca="1">IFERROR(__xludf.DUMMYFUNCTION("""COMPUTED_VALUE"""),0)</f>
        <v>0</v>
      </c>
      <c r="K1994" s="5" t="str">
        <f ca="1">IFERROR(__xludf.DUMMYFUNCTION("""COMPUTED_VALUE"""),"https://www.newspapers.com/image/200761270/?terms=GILBERT%2BMYLES; https://www.newspapers.com/image/199689798/?terms=GILBERT%2BMYLES; https://www.newspapers.com/image/199695087/?terms=JERRY%2BSANDLES")</f>
        <v>https://www.newspapers.com/image/200761270/?terms=GILBERT%2BMYLES; https://www.newspapers.com/image/199689798/?terms=GILBERT%2BMYLES; https://www.newspapers.com/image/199695087/?terms=JERRY%2BSANDLES</v>
      </c>
      <c r="L1994" s="5"/>
      <c r="M1994" s="5"/>
      <c r="N1994" s="5">
        <f ca="1">IFERROR(__xludf.DUMMYFUNCTION("""COMPUTED_VALUE"""),3)</f>
        <v>3</v>
      </c>
      <c r="O1994" s="5" t="str">
        <f ca="1">IFERROR(__xludf.DUMMYFUNCTION("""COMPUTED_VALUE"""),"Spring")</f>
        <v>Spring</v>
      </c>
      <c r="P1994" s="5" t="str">
        <f ca="1">IFERROR(__xludf.DUMMYFUNCTION("""COMPUTED_VALUE"""),"Portland")</f>
        <v>Portland</v>
      </c>
      <c r="Q1994" s="5" t="str">
        <f ca="1">IFERROR(__xludf.DUMMYFUNCTION("""COMPUTED_VALUE"""),"OR")</f>
        <v>OR</v>
      </c>
      <c r="R1994" s="5" t="str">
        <f ca="1">IFERROR(__xludf.DUMMYFUNCTION("""COMPUTED_VALUE"""),"High")</f>
        <v>High</v>
      </c>
      <c r="S1994" s="5" t="str">
        <f ca="1">IFERROR(__xludf.DUMMYFUNCTION("""COMPUTED_VALUE"""),"Outside on School Property")</f>
        <v>Outside on School Property</v>
      </c>
      <c r="T1994" s="5" t="str">
        <f ca="1">IFERROR(__xludf.DUMMYFUNCTION("""COMPUTED_VALUE"""),"Outside on School Property")</f>
        <v>Outside on School Property</v>
      </c>
      <c r="U1994" s="5" t="str">
        <f ca="1">IFERROR(__xludf.DUMMYFUNCTION("""COMPUTED_VALUE"""),"Yes")</f>
        <v>Yes</v>
      </c>
      <c r="V1994" s="5" t="str">
        <f ca="1">IFERROR(__xludf.DUMMYFUNCTION("""COMPUTED_VALUE"""),"Afternoon Classes")</f>
        <v>Afternoon Classes</v>
      </c>
      <c r="W1994" s="10">
        <f ca="1">IFERROR(__xludf.DUMMYFUNCTION("""COMPUTED_VALUE"""),0.59375)</f>
        <v>0.59375</v>
      </c>
      <c r="X1994" s="5">
        <f ca="1">IFERROR(__xludf.DUMMYFUNCTION("""COMPUTED_VALUE"""),1)</f>
        <v>1</v>
      </c>
      <c r="Y1994" s="5" t="str">
        <f ca="1">IFERROR(__xludf.DUMMYFUNCTION("""COMPUTED_VALUE"""),"Shooter shot victim during fight")</f>
        <v>Shooter shot victim during fight</v>
      </c>
      <c r="Z1994" s="5" t="str">
        <f ca="1">IFERROR(__xludf.DUMMYFUNCTION("""COMPUTED_VALUE"""),"Shooter was squared off in a fight with victim. In court, shooter stated he shot victim because he thought victim was reaching for gun")</f>
        <v>Shooter was squared off in a fight with victim. In court, shooter stated he shot victim because he thought victim was reaching for gun</v>
      </c>
      <c r="AA1994" s="5" t="str">
        <f ca="1">IFERROR(__xludf.DUMMYFUNCTION("""COMPUTED_VALUE"""),"Escalation of Dispute")</f>
        <v>Escalation of Dispute</v>
      </c>
      <c r="AB1994" s="5" t="str">
        <f ca="1">IFERROR(__xludf.DUMMYFUNCTION("""COMPUTED_VALUE"""),"Victims Targeted")</f>
        <v>Victims Targeted</v>
      </c>
      <c r="AC1994" s="5" t="str">
        <f ca="1">IFERROR(__xludf.DUMMYFUNCTION("""COMPUTED_VALUE"""),"No")</f>
        <v>No</v>
      </c>
      <c r="AD1994" s="5" t="str">
        <f ca="1">IFERROR(__xludf.DUMMYFUNCTION("""COMPUTED_VALUE"""),"No")</f>
        <v>No</v>
      </c>
      <c r="AE1994" s="5" t="str">
        <f ca="1">IFERROR(__xludf.DUMMYFUNCTION("""COMPUTED_VALUE"""),"No")</f>
        <v>No</v>
      </c>
      <c r="AF1994" s="5" t="str">
        <f ca="1">IFERROR(__xludf.DUMMYFUNCTION("""COMPUTED_VALUE"""),"No")</f>
        <v>No</v>
      </c>
      <c r="AG1994" s="5" t="str">
        <f ca="1">IFERROR(__xludf.DUMMYFUNCTION("""COMPUTED_VALUE"""),"No")</f>
        <v>No</v>
      </c>
      <c r="AH1994" s="5" t="str">
        <f ca="1">IFERROR(__xludf.DUMMYFUNCTION("""COMPUTED_VALUE"""),"No")</f>
        <v>No</v>
      </c>
      <c r="AI1994" s="5" t="str">
        <f ca="1">IFERROR(__xludf.DUMMYFUNCTION("""COMPUTED_VALUE"""),"No")</f>
        <v>No</v>
      </c>
      <c r="AJ1994" s="5"/>
    </row>
    <row r="1995" spans="1:36" ht="13">
      <c r="A1995" s="5" t="str">
        <f ca="1">IFERROR(__xludf.DUMMYFUNCTION("""COMPUTED_VALUE"""),"19870416MIMUD")</f>
        <v>19870416MIMUD</v>
      </c>
      <c r="B1995" s="5">
        <f ca="1">IFERROR(__xludf.DUMMYFUNCTION("""COMPUTED_VALUE"""),4)</f>
        <v>4</v>
      </c>
      <c r="C1995" s="5">
        <f ca="1">IFERROR(__xludf.DUMMYFUNCTION("""COMPUTED_VALUE"""),16)</f>
        <v>16</v>
      </c>
      <c r="D1995" s="5">
        <f ca="1">IFERROR(__xludf.DUMMYFUNCTION("""COMPUTED_VALUE"""),1987)</f>
        <v>1987</v>
      </c>
      <c r="E1995" s="8">
        <f ca="1">IFERROR(__xludf.DUMMYFUNCTION("""COMPUTED_VALUE"""),31883)</f>
        <v>31883</v>
      </c>
      <c r="F1995" s="5" t="str">
        <f ca="1">IFERROR(__xludf.DUMMYFUNCTION("""COMPUTED_VALUE"""),"Murray-Wright High School")</f>
        <v>Murray-Wright High School</v>
      </c>
      <c r="G1995" s="5">
        <f ca="1">IFERROR(__xludf.DUMMYFUNCTION("""COMPUTED_VALUE"""),1)</f>
        <v>1</v>
      </c>
      <c r="H1995" s="5">
        <f ca="1">IFERROR(__xludf.DUMMYFUNCTION("""COMPUTED_VALUE"""),1)</f>
        <v>1</v>
      </c>
      <c r="I1995" s="5">
        <f ca="1">IFERROR(__xludf.DUMMYFUNCTION("""COMPUTED_VALUE"""),2)</f>
        <v>2</v>
      </c>
      <c r="J1995" s="5">
        <f ca="1">IFERROR(__xludf.DUMMYFUNCTION("""COMPUTED_VALUE"""),0)</f>
        <v>0</v>
      </c>
      <c r="K1995" s="9" t="str">
        <f ca="1">IFERROR(__xludf.DUMMYFUNCTION("""COMPUTED_VALUE"""),"https://www.upi.com/Archives/1987/04/16/Gunshots-fired-in-a-high-school-gymnasium-killed-a/4536545544000/")</f>
        <v>https://www.upi.com/Archives/1987/04/16/Gunshots-fired-in-a-high-school-gymnasium-killed-a/4536545544000/</v>
      </c>
      <c r="L1995" s="5"/>
      <c r="M1995" s="5"/>
      <c r="N1995" s="5">
        <f ca="1">IFERROR(__xludf.DUMMYFUNCTION("""COMPUTED_VALUE"""),2)</f>
        <v>2</v>
      </c>
      <c r="O1995" s="5" t="str">
        <f ca="1">IFERROR(__xludf.DUMMYFUNCTION("""COMPUTED_VALUE"""),"Spring")</f>
        <v>Spring</v>
      </c>
      <c r="P1995" s="5" t="str">
        <f ca="1">IFERROR(__xludf.DUMMYFUNCTION("""COMPUTED_VALUE"""),"Detroit")</f>
        <v>Detroit</v>
      </c>
      <c r="Q1995" s="5" t="str">
        <f ca="1">IFERROR(__xludf.DUMMYFUNCTION("""COMPUTED_VALUE"""),"MI")</f>
        <v>MI</v>
      </c>
      <c r="R1995" s="5" t="str">
        <f ca="1">IFERROR(__xludf.DUMMYFUNCTION("""COMPUTED_VALUE"""),"High")</f>
        <v>High</v>
      </c>
      <c r="S1995" s="5" t="str">
        <f ca="1">IFERROR(__xludf.DUMMYFUNCTION("""COMPUTED_VALUE"""),"Inside School Building")</f>
        <v>Inside School Building</v>
      </c>
      <c r="T1995" s="5" t="str">
        <f ca="1">IFERROR(__xludf.DUMMYFUNCTION("""COMPUTED_VALUE"""),"Inside School Building")</f>
        <v>Inside School Building</v>
      </c>
      <c r="U1995" s="5" t="str">
        <f ca="1">IFERROR(__xludf.DUMMYFUNCTION("""COMPUTED_VALUE"""),"Yes")</f>
        <v>Yes</v>
      </c>
      <c r="V1995" s="5" t="str">
        <f ca="1">IFERROR(__xludf.DUMMYFUNCTION("""COMPUTED_VALUE"""),"Lunch")</f>
        <v>Lunch</v>
      </c>
      <c r="W1995" s="10">
        <f ca="1">IFERROR(__xludf.DUMMYFUNCTION("""COMPUTED_VALUE"""),0.5)</f>
        <v>0.5</v>
      </c>
      <c r="X1995" s="5">
        <f ca="1">IFERROR(__xludf.DUMMYFUNCTION("""COMPUTED_VALUE"""),1)</f>
        <v>1</v>
      </c>
      <c r="Y1995" s="5" t="str">
        <f ca="1">IFERROR(__xludf.DUMMYFUNCTION("""COMPUTED_VALUE"""),"Shooter had conflict with two victims a day prior - took gun to school and shot them both")</f>
        <v>Shooter had conflict with two victims a day prior - took gun to school and shot them both</v>
      </c>
      <c r="Z1995" s="5" t="str">
        <f ca="1">IFERROR(__xludf.DUMMYFUNCTION("""COMPUTED_VALUE"""),"The shooter (14YOM) had a fight with the two victims the day prior. The shooter targeted each of the victims during the school day. A female student was hit in the crossfire. This was violent period of time in the Detroit area, 91 students (age 16 or unde"&amp;"r) were shot in the city during 1987.")</f>
        <v>The shooter (14YOM) had a fight with the two victims the day prior. The shooter targeted each of the victims during the school day. A female student was hit in the crossfire. This was violent period of time in the Detroit area, 91 students (age 16 or under) were shot in the city during 1987.</v>
      </c>
      <c r="AA1995" s="5" t="str">
        <f ca="1">IFERROR(__xludf.DUMMYFUNCTION("""COMPUTED_VALUE"""),"Escalation of Dispute")</f>
        <v>Escalation of Dispute</v>
      </c>
      <c r="AB1995" s="5" t="str">
        <f ca="1">IFERROR(__xludf.DUMMYFUNCTION("""COMPUTED_VALUE"""),"Both")</f>
        <v>Both</v>
      </c>
      <c r="AC1995" s="5" t="str">
        <f ca="1">IFERROR(__xludf.DUMMYFUNCTION("""COMPUTED_VALUE"""),"No")</f>
        <v>No</v>
      </c>
      <c r="AD1995" s="5" t="str">
        <f ca="1">IFERROR(__xludf.DUMMYFUNCTION("""COMPUTED_VALUE"""),"No")</f>
        <v>No</v>
      </c>
      <c r="AE1995" s="5" t="str">
        <f ca="1">IFERROR(__xludf.DUMMYFUNCTION("""COMPUTED_VALUE"""),"No")</f>
        <v>No</v>
      </c>
      <c r="AF1995" s="5" t="str">
        <f ca="1">IFERROR(__xludf.DUMMYFUNCTION("""COMPUTED_VALUE"""),"No")</f>
        <v>No</v>
      </c>
      <c r="AG1995" s="5"/>
      <c r="AH1995" s="5" t="str">
        <f ca="1">IFERROR(__xludf.DUMMYFUNCTION("""COMPUTED_VALUE"""),"No")</f>
        <v>No</v>
      </c>
      <c r="AI1995" s="5" t="str">
        <f ca="1">IFERROR(__xludf.DUMMYFUNCTION("""COMPUTED_VALUE"""),"No")</f>
        <v>No</v>
      </c>
      <c r="AJ1995" s="5"/>
    </row>
    <row r="1996" spans="1:36" ht="13">
      <c r="A1996" s="5" t="str">
        <f ca="1">IFERROR(__xludf.DUMMYFUNCTION("""COMPUTED_VALUE"""),"19870330CAPAS")</f>
        <v>19870330CAPAS</v>
      </c>
      <c r="B1996" s="5">
        <f ca="1">IFERROR(__xludf.DUMMYFUNCTION("""COMPUTED_VALUE"""),3)</f>
        <v>3</v>
      </c>
      <c r="C1996" s="5">
        <f ca="1">IFERROR(__xludf.DUMMYFUNCTION("""COMPUTED_VALUE"""),30)</f>
        <v>30</v>
      </c>
      <c r="D1996" s="5">
        <f ca="1">IFERROR(__xludf.DUMMYFUNCTION("""COMPUTED_VALUE"""),1987)</f>
        <v>1987</v>
      </c>
      <c r="E1996" s="8">
        <f ca="1">IFERROR(__xludf.DUMMYFUNCTION("""COMPUTED_VALUE"""),31866)</f>
        <v>31866</v>
      </c>
      <c r="F1996" s="5" t="str">
        <f ca="1">IFERROR(__xludf.DUMMYFUNCTION("""COMPUTED_VALUE"""),"Panorama Elementary School")</f>
        <v>Panorama Elementary School</v>
      </c>
      <c r="G1996" s="5">
        <f ca="1">IFERROR(__xludf.DUMMYFUNCTION("""COMPUTED_VALUE"""),0)</f>
        <v>0</v>
      </c>
      <c r="H1996" s="5">
        <f ca="1">IFERROR(__xludf.DUMMYFUNCTION("""COMPUTED_VALUE"""),0)</f>
        <v>0</v>
      </c>
      <c r="I1996" s="5">
        <f ca="1">IFERROR(__xludf.DUMMYFUNCTION("""COMPUTED_VALUE"""),0)</f>
        <v>0</v>
      </c>
      <c r="J1996" s="5">
        <f ca="1">IFERROR(__xludf.DUMMYFUNCTION("""COMPUTED_VALUE"""),1)</f>
        <v>1</v>
      </c>
      <c r="K1996" s="9" t="str">
        <f ca="1">IFERROR(__xludf.DUMMYFUNCTION("""COMPUTED_VALUE"""),"https://www.newspapers.com/image/404237062/?terms=Panorama%2BElementary%2BSchool%2Bshooting")</f>
        <v>https://www.newspapers.com/image/404237062/?terms=Panorama%2BElementary%2BSchool%2Bshooting</v>
      </c>
      <c r="L1996" s="5"/>
      <c r="M1996" s="5"/>
      <c r="N1996" s="5">
        <f ca="1">IFERROR(__xludf.DUMMYFUNCTION("""COMPUTED_VALUE"""),2)</f>
        <v>2</v>
      </c>
      <c r="O1996" s="5" t="str">
        <f ca="1">IFERROR(__xludf.DUMMYFUNCTION("""COMPUTED_VALUE"""),"Spring")</f>
        <v>Spring</v>
      </c>
      <c r="P1996" s="5" t="str">
        <f ca="1">IFERROR(__xludf.DUMMYFUNCTION("""COMPUTED_VALUE"""),"Santa Ana")</f>
        <v>Santa Ana</v>
      </c>
      <c r="Q1996" s="5" t="str">
        <f ca="1">IFERROR(__xludf.DUMMYFUNCTION("""COMPUTED_VALUE"""),"CA")</f>
        <v>CA</v>
      </c>
      <c r="R1996" s="5" t="str">
        <f ca="1">IFERROR(__xludf.DUMMYFUNCTION("""COMPUTED_VALUE"""),"Elementary")</f>
        <v>Elementary</v>
      </c>
      <c r="S1996" s="5" t="str">
        <f ca="1">IFERROR(__xludf.DUMMYFUNCTION("""COMPUTED_VALUE"""),"Classroom")</f>
        <v>Classroom</v>
      </c>
      <c r="T1996" s="5" t="str">
        <f ca="1">IFERROR(__xludf.DUMMYFUNCTION("""COMPUTED_VALUE"""),"Inside School Building")</f>
        <v>Inside School Building</v>
      </c>
      <c r="U1996" s="5" t="str">
        <f ca="1">IFERROR(__xludf.DUMMYFUNCTION("""COMPUTED_VALUE"""),"Yes")</f>
        <v>Yes</v>
      </c>
      <c r="V1996" s="5" t="str">
        <f ca="1">IFERROR(__xludf.DUMMYFUNCTION("""COMPUTED_VALUE"""),"Morning Classes")</f>
        <v>Morning Classes</v>
      </c>
      <c r="W1996" s="10">
        <f ca="1">IFERROR(__xludf.DUMMYFUNCTION("""COMPUTED_VALUE"""),0.470138888888888)</f>
        <v>0.470138888888888</v>
      </c>
      <c r="X1996" s="5">
        <f ca="1">IFERROR(__xludf.DUMMYFUNCTION("""COMPUTED_VALUE"""),1)</f>
        <v>1</v>
      </c>
      <c r="Y1996" s="5" t="str">
        <f ca="1">IFERROR(__xludf.DUMMYFUNCTION("""COMPUTED_VALUE"""),"Suicide in front of class, no relation to school")</f>
        <v>Suicide in front of class, no relation to school</v>
      </c>
      <c r="Z1996" s="5" t="str">
        <f ca="1">IFERROR(__xludf.DUMMYFUNCTION("""COMPUTED_VALUE"""),"44 YOF with no relation to school within school classroom and killed herself in front of 27 students and 2 teachers. Gun misfired on first shot, point gun at wall, fired, then shot herself in the head. Son said she was emotionally disturbed.")</f>
        <v>44 YOF with no relation to school within school classroom and killed herself in front of 27 students and 2 teachers. Gun misfired on first shot, point gun at wall, fired, then shot herself in the head. Son said she was emotionally disturbed.</v>
      </c>
      <c r="AA1996" s="5" t="str">
        <f ca="1">IFERROR(__xludf.DUMMYFUNCTION("""COMPUTED_VALUE"""),"Suicide/Attempted")</f>
        <v>Suicide/Attempted</v>
      </c>
      <c r="AB1996" s="5" t="str">
        <f ca="1">IFERROR(__xludf.DUMMYFUNCTION("""COMPUTED_VALUE"""),"Victims Targeted")</f>
        <v>Victims Targeted</v>
      </c>
      <c r="AC1996" s="5" t="str">
        <f ca="1">IFERROR(__xludf.DUMMYFUNCTION("""COMPUTED_VALUE"""),"No")</f>
        <v>No</v>
      </c>
      <c r="AD1996" s="5" t="str">
        <f ca="1">IFERROR(__xludf.DUMMYFUNCTION("""COMPUTED_VALUE"""),"No")</f>
        <v>No</v>
      </c>
      <c r="AE1996" s="5" t="str">
        <f ca="1">IFERROR(__xludf.DUMMYFUNCTION("""COMPUTED_VALUE"""),"No")</f>
        <v>No</v>
      </c>
      <c r="AF1996" s="5" t="str">
        <f ca="1">IFERROR(__xludf.DUMMYFUNCTION("""COMPUTED_VALUE"""),"No")</f>
        <v>No</v>
      </c>
      <c r="AG1996" s="5" t="str">
        <f ca="1">IFERROR(__xludf.DUMMYFUNCTION("""COMPUTED_VALUE"""),"No")</f>
        <v>No</v>
      </c>
      <c r="AH1996" s="5" t="str">
        <f ca="1">IFERROR(__xludf.DUMMYFUNCTION("""COMPUTED_VALUE"""),"No")</f>
        <v>No</v>
      </c>
      <c r="AI1996" s="5" t="str">
        <f ca="1">IFERROR(__xludf.DUMMYFUNCTION("""COMPUTED_VALUE"""),"No")</f>
        <v>No</v>
      </c>
      <c r="AJ1996" s="5"/>
    </row>
    <row r="1997" spans="1:36" ht="13">
      <c r="A1997" s="5" t="str">
        <f ca="1">IFERROR(__xludf.DUMMYFUNCTION("""COMPUTED_VALUE"""),"19870306TXRIE")</f>
        <v>19870306TXRIE</v>
      </c>
      <c r="B1997" s="5">
        <f ca="1">IFERROR(__xludf.DUMMYFUNCTION("""COMPUTED_VALUE"""),3)</f>
        <v>3</v>
      </c>
      <c r="C1997" s="5">
        <f ca="1">IFERROR(__xludf.DUMMYFUNCTION("""COMPUTED_VALUE"""),6)</f>
        <v>6</v>
      </c>
      <c r="D1997" s="5">
        <f ca="1">IFERROR(__xludf.DUMMYFUNCTION("""COMPUTED_VALUE"""),1987)</f>
        <v>1987</v>
      </c>
      <c r="E1997" s="8">
        <f ca="1">IFERROR(__xludf.DUMMYFUNCTION("""COMPUTED_VALUE"""),31842)</f>
        <v>31842</v>
      </c>
      <c r="F1997" s="5" t="str">
        <f ca="1">IFERROR(__xludf.DUMMYFUNCTION("""COMPUTED_VALUE"""),"Riverside High School")</f>
        <v>Riverside High School</v>
      </c>
      <c r="G1997" s="5">
        <f ca="1">IFERROR(__xludf.DUMMYFUNCTION("""COMPUTED_VALUE"""),0)</f>
        <v>0</v>
      </c>
      <c r="H1997" s="5">
        <f ca="1">IFERROR(__xludf.DUMMYFUNCTION("""COMPUTED_VALUE"""),1)</f>
        <v>1</v>
      </c>
      <c r="I1997" s="5">
        <f ca="1">IFERROR(__xludf.DUMMYFUNCTION("""COMPUTED_VALUE"""),1)</f>
        <v>1</v>
      </c>
      <c r="J1997" s="5">
        <f ca="1">IFERROR(__xludf.DUMMYFUNCTION("""COMPUTED_VALUE"""),0)</f>
        <v>0</v>
      </c>
      <c r="K1997" s="9" t="str">
        <f ca="1">IFERROR(__xludf.DUMMYFUNCTION("""COMPUTED_VALUE"""),"https://www.newspapers.com/image/430983332/?terms=student%2Bshot")</f>
        <v>https://www.newspapers.com/image/430983332/?terms=student%2Bshot</v>
      </c>
      <c r="L1997" s="5"/>
      <c r="M1997" s="5"/>
      <c r="N1997" s="5">
        <f ca="1">IFERROR(__xludf.DUMMYFUNCTION("""COMPUTED_VALUE"""),2)</f>
        <v>2</v>
      </c>
      <c r="O1997" s="5" t="str">
        <f ca="1">IFERROR(__xludf.DUMMYFUNCTION("""COMPUTED_VALUE"""),"Spring")</f>
        <v>Spring</v>
      </c>
      <c r="P1997" s="5" t="str">
        <f ca="1">IFERROR(__xludf.DUMMYFUNCTION("""COMPUTED_VALUE"""),"El Paso")</f>
        <v>El Paso</v>
      </c>
      <c r="Q1997" s="5" t="str">
        <f ca="1">IFERROR(__xludf.DUMMYFUNCTION("""COMPUTED_VALUE"""),"TX")</f>
        <v>TX</v>
      </c>
      <c r="R1997" s="5" t="str">
        <f ca="1">IFERROR(__xludf.DUMMYFUNCTION("""COMPUTED_VALUE"""),"High")</f>
        <v>High</v>
      </c>
      <c r="S1997" s="5" t="str">
        <f ca="1">IFERROR(__xludf.DUMMYFUNCTION("""COMPUTED_VALUE"""),"Parking Lot")</f>
        <v>Parking Lot</v>
      </c>
      <c r="T1997" s="5" t="str">
        <f ca="1">IFERROR(__xludf.DUMMYFUNCTION("""COMPUTED_VALUE"""),"Outside on School Property")</f>
        <v>Outside on School Property</v>
      </c>
      <c r="U1997" s="5" t="str">
        <f ca="1">IFERROR(__xludf.DUMMYFUNCTION("""COMPUTED_VALUE"""),"Yes")</f>
        <v>Yes</v>
      </c>
      <c r="V1997" s="5" t="str">
        <f ca="1">IFERROR(__xludf.DUMMYFUNCTION("""COMPUTED_VALUE"""),"Lunch")</f>
        <v>Lunch</v>
      </c>
      <c r="W1997" s="5"/>
      <c r="X1997" s="5">
        <f ca="1">IFERROR(__xludf.DUMMYFUNCTION("""COMPUTED_VALUE"""),1)</f>
        <v>1</v>
      </c>
      <c r="Y1997" s="5" t="str">
        <f ca="1">IFERROR(__xludf.DUMMYFUNCTION("""COMPUTED_VALUE"""),"Bystander shot during fight that escalated")</f>
        <v>Bystander shot during fight that escalated</v>
      </c>
      <c r="Z1997" s="5" t="str">
        <f ca="1">IFERROR(__xludf.DUMMYFUNCTION("""COMPUTED_VALUE"""),"Fued between two families - during lunch hour students were outside in parking lot - one student threw a rock at a car passing by. Occupants of car stopped, got out, and fired into crowd. Victim who was shot was not target.")</f>
        <v>Fued between two families - during lunch hour students were outside in parking lot - one student threw a rock at a car passing by. Occupants of car stopped, got out, and fired into crowd. Victim who was shot was not target.</v>
      </c>
      <c r="AA1997" s="5" t="str">
        <f ca="1">IFERROR(__xludf.DUMMYFUNCTION("""COMPUTED_VALUE"""),"Escalation of Dispute")</f>
        <v>Escalation of Dispute</v>
      </c>
      <c r="AB1997" s="5" t="str">
        <f ca="1">IFERROR(__xludf.DUMMYFUNCTION("""COMPUTED_VALUE"""),"Random Shooting")</f>
        <v>Random Shooting</v>
      </c>
      <c r="AC1997" s="5" t="str">
        <f ca="1">IFERROR(__xludf.DUMMYFUNCTION("""COMPUTED_VALUE"""),"No")</f>
        <v>No</v>
      </c>
      <c r="AD1997" s="5" t="str">
        <f ca="1">IFERROR(__xludf.DUMMYFUNCTION("""COMPUTED_VALUE"""),"No")</f>
        <v>No</v>
      </c>
      <c r="AE1997" s="5" t="str">
        <f ca="1">IFERROR(__xludf.DUMMYFUNCTION("""COMPUTED_VALUE"""),"No")</f>
        <v>No</v>
      </c>
      <c r="AF1997" s="5" t="str">
        <f ca="1">IFERROR(__xludf.DUMMYFUNCTION("""COMPUTED_VALUE"""),"No")</f>
        <v>No</v>
      </c>
      <c r="AG1997" s="5" t="str">
        <f ca="1">IFERROR(__xludf.DUMMYFUNCTION("""COMPUTED_VALUE"""),"No")</f>
        <v>No</v>
      </c>
      <c r="AH1997" s="5" t="str">
        <f ca="1">IFERROR(__xludf.DUMMYFUNCTION("""COMPUTED_VALUE"""),"No")</f>
        <v>No</v>
      </c>
      <c r="AI1997" s="5" t="str">
        <f ca="1">IFERROR(__xludf.DUMMYFUNCTION("""COMPUTED_VALUE"""),"No")</f>
        <v>No</v>
      </c>
      <c r="AJ1997" s="5"/>
    </row>
    <row r="1998" spans="1:36" ht="13">
      <c r="A1998" s="5" t="str">
        <f ca="1">IFERROR(__xludf.DUMMYFUNCTION("""COMPUTED_VALUE"""),"19870302MODED")</f>
        <v>19870302MODED</v>
      </c>
      <c r="B1998" s="5">
        <f ca="1">IFERROR(__xludf.DUMMYFUNCTION("""COMPUTED_VALUE"""),3)</f>
        <v>3</v>
      </c>
      <c r="C1998" s="5">
        <f ca="1">IFERROR(__xludf.DUMMYFUNCTION("""COMPUTED_VALUE"""),2)</f>
        <v>2</v>
      </c>
      <c r="D1998" s="5">
        <f ca="1">IFERROR(__xludf.DUMMYFUNCTION("""COMPUTED_VALUE"""),1987)</f>
        <v>1987</v>
      </c>
      <c r="E1998" s="8">
        <f ca="1">IFERROR(__xludf.DUMMYFUNCTION("""COMPUTED_VALUE"""),31838)</f>
        <v>31838</v>
      </c>
      <c r="F1998" s="5" t="str">
        <f ca="1">IFERROR(__xludf.DUMMYFUNCTION("""COMPUTED_VALUE"""),"Dekalb High School")</f>
        <v>Dekalb High School</v>
      </c>
      <c r="G1998" s="5">
        <f ca="1">IFERROR(__xludf.DUMMYFUNCTION("""COMPUTED_VALUE"""),1)</f>
        <v>1</v>
      </c>
      <c r="H1998" s="5">
        <f ca="1">IFERROR(__xludf.DUMMYFUNCTION("""COMPUTED_VALUE"""),0)</f>
        <v>0</v>
      </c>
      <c r="I1998" s="5">
        <f ca="1">IFERROR(__xludf.DUMMYFUNCTION("""COMPUTED_VALUE"""),1)</f>
        <v>1</v>
      </c>
      <c r="J1998" s="5">
        <f ca="1">IFERROR(__xludf.DUMMYFUNCTION("""COMPUTED_VALUE"""),1)</f>
        <v>1</v>
      </c>
      <c r="K1998" s="9" t="str">
        <f ca="1">IFERROR(__xludf.DUMMYFUNCTION("""COMPUTED_VALUE"""),"https://www.upi.com/Archives/1987/03/03/Death-of-unsung-hero-allows-classmates-to-escape/3177541746000/")</f>
        <v>https://www.upi.com/Archives/1987/03/03/Death-of-unsung-hero-allows-classmates-to-escape/3177541746000/</v>
      </c>
      <c r="L1998" s="5"/>
      <c r="M1998" s="5"/>
      <c r="N1998" s="5">
        <f ca="1">IFERROR(__xludf.DUMMYFUNCTION("""COMPUTED_VALUE"""),2)</f>
        <v>2</v>
      </c>
      <c r="O1998" s="5" t="str">
        <f ca="1">IFERROR(__xludf.DUMMYFUNCTION("""COMPUTED_VALUE"""),"Spring")</f>
        <v>Spring</v>
      </c>
      <c r="P1998" s="5" t="str">
        <f ca="1">IFERROR(__xludf.DUMMYFUNCTION("""COMPUTED_VALUE"""),"De Kalb")</f>
        <v>De Kalb</v>
      </c>
      <c r="Q1998" s="5" t="str">
        <f ca="1">IFERROR(__xludf.DUMMYFUNCTION("""COMPUTED_VALUE"""),"MO")</f>
        <v>MO</v>
      </c>
      <c r="R1998" s="5" t="str">
        <f ca="1">IFERROR(__xludf.DUMMYFUNCTION("""COMPUTED_VALUE"""),"High")</f>
        <v>High</v>
      </c>
      <c r="S1998" s="5" t="str">
        <f ca="1">IFERROR(__xludf.DUMMYFUNCTION("""COMPUTED_VALUE"""),"Classroom")</f>
        <v>Classroom</v>
      </c>
      <c r="T1998" s="5" t="str">
        <f ca="1">IFERROR(__xludf.DUMMYFUNCTION("""COMPUTED_VALUE"""),"Inside School Building")</f>
        <v>Inside School Building</v>
      </c>
      <c r="U1998" s="5" t="str">
        <f ca="1">IFERROR(__xludf.DUMMYFUNCTION("""COMPUTED_VALUE"""),"Yes")</f>
        <v>Yes</v>
      </c>
      <c r="V1998" s="5" t="str">
        <f ca="1">IFERROR(__xludf.DUMMYFUNCTION("""COMPUTED_VALUE"""),"Morning Classes")</f>
        <v>Morning Classes</v>
      </c>
      <c r="W1998" s="10">
        <f ca="1">IFERROR(__xludf.DUMMYFUNCTION("""COMPUTED_VALUE"""),0.350694444444444)</f>
        <v>0.35069444444444398</v>
      </c>
      <c r="X1998" s="5"/>
      <c r="Y1998" s="5" t="str">
        <f ca="1">IFERROR(__xludf.DUMMYFUNCTION("""COMPUTED_VALUE"""),"Shooter bullied, took out gun in class, shot friend then self")</f>
        <v>Shooter bullied, took out gun in class, shot friend then self</v>
      </c>
      <c r="Z1998" s="5" t="str">
        <f ca="1">IFERROR(__xludf.DUMMYFUNCTION("""COMPUTED_VALUE"""),"Shooter had been the victim of relentless bullying for being overweight. When the shooter pulled the gun out in the front of the classroom, students heckled him for bringing a toy gun to school. The shooters friend approached him and tried to take the gun"&amp;" away. The shooter fired killing him then killed himself.")</f>
        <v>Shooter had been the victim of relentless bullying for being overweight. When the shooter pulled the gun out in the front of the classroom, students heckled him for bringing a toy gun to school. The shooters friend approached him and tried to take the gun away. The shooter fired killing him then killed himself.</v>
      </c>
      <c r="AA1998" s="5" t="str">
        <f ca="1">IFERROR(__xludf.DUMMYFUNCTION("""COMPUTED_VALUE"""),"Bullying")</f>
        <v>Bullying</v>
      </c>
      <c r="AB1998" s="5" t="str">
        <f ca="1">IFERROR(__xludf.DUMMYFUNCTION("""COMPUTED_VALUE"""),"Neither")</f>
        <v>Neither</v>
      </c>
      <c r="AC1998" s="5" t="str">
        <f ca="1">IFERROR(__xludf.DUMMYFUNCTION("""COMPUTED_VALUE"""),"No")</f>
        <v>No</v>
      </c>
      <c r="AD1998" s="5" t="str">
        <f ca="1">IFERROR(__xludf.DUMMYFUNCTION("""COMPUTED_VALUE"""),"No")</f>
        <v>No</v>
      </c>
      <c r="AE1998" s="5" t="str">
        <f ca="1">IFERROR(__xludf.DUMMYFUNCTION("""COMPUTED_VALUE"""),"No")</f>
        <v>No</v>
      </c>
      <c r="AF1998" s="5" t="str">
        <f ca="1">IFERROR(__xludf.DUMMYFUNCTION("""COMPUTED_VALUE"""),"No")</f>
        <v>No</v>
      </c>
      <c r="AG1998" s="5" t="str">
        <f ca="1">IFERROR(__xludf.DUMMYFUNCTION("""COMPUTED_VALUE"""),"Yes")</f>
        <v>Yes</v>
      </c>
      <c r="AH1998" s="5" t="str">
        <f ca="1">IFERROR(__xludf.DUMMYFUNCTION("""COMPUTED_VALUE"""),"No")</f>
        <v>No</v>
      </c>
      <c r="AI1998" s="5" t="str">
        <f ca="1">IFERROR(__xludf.DUMMYFUNCTION("""COMPUTED_VALUE"""),"No")</f>
        <v>No</v>
      </c>
      <c r="AJ1998" s="5"/>
    </row>
    <row r="1999" spans="1:36" ht="13">
      <c r="A1999" s="5" t="str">
        <f ca="1">IFERROR(__xludf.DUMMYFUNCTION("""COMPUTED_VALUE"""),"19870224NYMON")</f>
        <v>19870224NYMON</v>
      </c>
      <c r="B1999" s="5">
        <f ca="1">IFERROR(__xludf.DUMMYFUNCTION("""COMPUTED_VALUE"""),2)</f>
        <v>2</v>
      </c>
      <c r="C1999" s="5">
        <f ca="1">IFERROR(__xludf.DUMMYFUNCTION("""COMPUTED_VALUE"""),24)</f>
        <v>24</v>
      </c>
      <c r="D1999" s="5">
        <f ca="1">IFERROR(__xludf.DUMMYFUNCTION("""COMPUTED_VALUE"""),1987)</f>
        <v>1987</v>
      </c>
      <c r="E1999" s="8">
        <f ca="1">IFERROR(__xludf.DUMMYFUNCTION("""COMPUTED_VALUE"""),31832)</f>
        <v>31832</v>
      </c>
      <c r="F1999" s="5" t="str">
        <f ca="1">IFERROR(__xludf.DUMMYFUNCTION("""COMPUTED_VALUE"""),"Mount Tom Country Day School")</f>
        <v>Mount Tom Country Day School</v>
      </c>
      <c r="G1999" s="5">
        <f ca="1">IFERROR(__xludf.DUMMYFUNCTION("""COMPUTED_VALUE"""),0)</f>
        <v>0</v>
      </c>
      <c r="H1999" s="5">
        <f ca="1">IFERROR(__xludf.DUMMYFUNCTION("""COMPUTED_VALUE"""),1)</f>
        <v>1</v>
      </c>
      <c r="I1999" s="5">
        <f ca="1">IFERROR(__xludf.DUMMYFUNCTION("""COMPUTED_VALUE"""),1)</f>
        <v>1</v>
      </c>
      <c r="J1999" s="5">
        <f ca="1">IFERROR(__xludf.DUMMYFUNCTION("""COMPUTED_VALUE"""),0)</f>
        <v>0</v>
      </c>
      <c r="K1999" s="5" t="str">
        <f ca="1">IFERROR(__xludf.DUMMYFUNCTION("""COMPUTED_VALUE"""),"https://www.newspapers.com/image/163362811/?terms=leonette%2Btaylor-coleman; https://www.newspapers.com/image/165115502/?terms=Leonette%2BTaylor-Coleman")</f>
        <v>https://www.newspapers.com/image/163362811/?terms=leonette%2Btaylor-coleman; https://www.newspapers.com/image/165115502/?terms=Leonette%2BTaylor-Coleman</v>
      </c>
      <c r="L1999" s="5"/>
      <c r="M1999" s="5"/>
      <c r="N1999" s="5">
        <f ca="1">IFERROR(__xludf.DUMMYFUNCTION("""COMPUTED_VALUE"""),2)</f>
        <v>2</v>
      </c>
      <c r="O1999" s="5" t="str">
        <f ca="1">IFERROR(__xludf.DUMMYFUNCTION("""COMPUTED_VALUE"""),"Winter")</f>
        <v>Winter</v>
      </c>
      <c r="P1999" s="5" t="str">
        <f ca="1">IFERROR(__xludf.DUMMYFUNCTION("""COMPUTED_VALUE"""),"New Rochelle")</f>
        <v>New Rochelle</v>
      </c>
      <c r="Q1999" s="5" t="str">
        <f ca="1">IFERROR(__xludf.DUMMYFUNCTION("""COMPUTED_VALUE"""),"NY")</f>
        <v>NY</v>
      </c>
      <c r="R1999" s="5" t="str">
        <f ca="1">IFERROR(__xludf.DUMMYFUNCTION("""COMPUTED_VALUE"""),"Other")</f>
        <v>Other</v>
      </c>
      <c r="S1999" s="5" t="str">
        <f ca="1">IFERROR(__xludf.DUMMYFUNCTION("""COMPUTED_VALUE"""),"Parking Lot")</f>
        <v>Parking Lot</v>
      </c>
      <c r="T1999" s="5" t="str">
        <f ca="1">IFERROR(__xludf.DUMMYFUNCTION("""COMPUTED_VALUE"""),"Outside on School Property")</f>
        <v>Outside on School Property</v>
      </c>
      <c r="U1999" s="5" t="str">
        <f ca="1">IFERROR(__xludf.DUMMYFUNCTION("""COMPUTED_VALUE"""),"Yes")</f>
        <v>Yes</v>
      </c>
      <c r="V1999" s="5" t="str">
        <f ca="1">IFERROR(__xludf.DUMMYFUNCTION("""COMPUTED_VALUE"""),"School Start")</f>
        <v>School Start</v>
      </c>
      <c r="W1999" s="10">
        <f ca="1">IFERROR(__xludf.DUMMYFUNCTION("""COMPUTED_VALUE"""),0.354166666666666)</f>
        <v>0.35416666666666602</v>
      </c>
      <c r="X1999" s="5">
        <f ca="1">IFERROR(__xludf.DUMMYFUNCTION("""COMPUTED_VALUE"""),1)</f>
        <v>1</v>
      </c>
      <c r="Y1999" s="5" t="str">
        <f ca="1">IFERROR(__xludf.DUMMYFUNCTION("""COMPUTED_VALUE"""),"Parent was target in assassination attempt after dropping daughter off at school")</f>
        <v>Parent was target in assassination attempt after dropping daughter off at school</v>
      </c>
      <c r="Z1999" s="5" t="str">
        <f ca="1">IFERROR(__xludf.DUMMYFUNCTION("""COMPUTED_VALUE"""),"Victim dropped her 4-year old daughter off at day school. When walking back to car, two men approached, yelled ""that's her"", shot her several times, and fled the scene.")</f>
        <v>Victim dropped her 4-year old daughter off at day school. When walking back to car, two men approached, yelled "that's her", shot her several times, and fled the scene.</v>
      </c>
      <c r="AA1999" s="5" t="str">
        <f ca="1">IFERROR(__xludf.DUMMYFUNCTION("""COMPUTED_VALUE"""),"Escalation of Dispute")</f>
        <v>Escalation of Dispute</v>
      </c>
      <c r="AB1999" s="5" t="str">
        <f ca="1">IFERROR(__xludf.DUMMYFUNCTION("""COMPUTED_VALUE"""),"Victims Targeted")</f>
        <v>Victims Targeted</v>
      </c>
      <c r="AC1999" s="5" t="str">
        <f ca="1">IFERROR(__xludf.DUMMYFUNCTION("""COMPUTED_VALUE"""),"No")</f>
        <v>No</v>
      </c>
      <c r="AD1999" s="5" t="str">
        <f ca="1">IFERROR(__xludf.DUMMYFUNCTION("""COMPUTED_VALUE"""),"No")</f>
        <v>No</v>
      </c>
      <c r="AE1999" s="5" t="str">
        <f ca="1">IFERROR(__xludf.DUMMYFUNCTION("""COMPUTED_VALUE"""),"No")</f>
        <v>No</v>
      </c>
      <c r="AF1999" s="5" t="str">
        <f ca="1">IFERROR(__xludf.DUMMYFUNCTION("""COMPUTED_VALUE"""),"No")</f>
        <v>No</v>
      </c>
      <c r="AG1999" s="5" t="str">
        <f ca="1">IFERROR(__xludf.DUMMYFUNCTION("""COMPUTED_VALUE"""),"No")</f>
        <v>No</v>
      </c>
      <c r="AH1999" s="5" t="str">
        <f ca="1">IFERROR(__xludf.DUMMYFUNCTION("""COMPUTED_VALUE"""),"No")</f>
        <v>No</v>
      </c>
      <c r="AI1999" s="5" t="str">
        <f ca="1">IFERROR(__xludf.DUMMYFUNCTION("""COMPUTED_VALUE"""),"No")</f>
        <v>No</v>
      </c>
      <c r="AJ1999" s="5"/>
    </row>
    <row r="2000" spans="1:36" ht="13">
      <c r="A2000" s="5" t="str">
        <f ca="1">IFERROR(__xludf.DUMMYFUNCTION("""COMPUTED_VALUE"""),"19870213AZORM")</f>
        <v>19870213AZORM</v>
      </c>
      <c r="B2000" s="5">
        <f ca="1">IFERROR(__xludf.DUMMYFUNCTION("""COMPUTED_VALUE"""),2)</f>
        <v>2</v>
      </c>
      <c r="C2000" s="5">
        <f ca="1">IFERROR(__xludf.DUMMYFUNCTION("""COMPUTED_VALUE"""),13)</f>
        <v>13</v>
      </c>
      <c r="D2000" s="5">
        <f ca="1">IFERROR(__xludf.DUMMYFUNCTION("""COMPUTED_VALUE"""),1987)</f>
        <v>1987</v>
      </c>
      <c r="E2000" s="8">
        <f ca="1">IFERROR(__xludf.DUMMYFUNCTION("""COMPUTED_VALUE"""),31821)</f>
        <v>31821</v>
      </c>
      <c r="F2000" s="5" t="str">
        <f ca="1">IFERROR(__xludf.DUMMYFUNCTION("""COMPUTED_VALUE"""),"Orme School")</f>
        <v>Orme School</v>
      </c>
      <c r="G2000" s="5">
        <f ca="1">IFERROR(__xludf.DUMMYFUNCTION("""COMPUTED_VALUE"""),1)</f>
        <v>1</v>
      </c>
      <c r="H2000" s="5">
        <f ca="1">IFERROR(__xludf.DUMMYFUNCTION("""COMPUTED_VALUE"""),2)</f>
        <v>2</v>
      </c>
      <c r="I2000" s="5">
        <f ca="1">IFERROR(__xludf.DUMMYFUNCTION("""COMPUTED_VALUE"""),3)</f>
        <v>3</v>
      </c>
      <c r="J2000" s="5">
        <f ca="1">IFERROR(__xludf.DUMMYFUNCTION("""COMPUTED_VALUE"""),0)</f>
        <v>0</v>
      </c>
      <c r="K2000" s="5" t="str">
        <f ca="1">IFERROR(__xludf.DUMMYFUNCTION("""COMPUTED_VALUE"""),"http://articles.latimes.com/1987-02-15/local/me-3520_1_private-orme-school https://www.nytimes.com/1987/02/16/us/student-caught-with-beer-rampages-and-is-slain.html")</f>
        <v>http://articles.latimes.com/1987-02-15/local/me-3520_1_private-orme-school https://www.nytimes.com/1987/02/16/us/student-caught-with-beer-rampages-and-is-slain.html</v>
      </c>
      <c r="L2000" s="5"/>
      <c r="M2000" s="5"/>
      <c r="N2000" s="5">
        <f ca="1">IFERROR(__xludf.DUMMYFUNCTION("""COMPUTED_VALUE"""),2)</f>
        <v>2</v>
      </c>
      <c r="O2000" s="5" t="str">
        <f ca="1">IFERROR(__xludf.DUMMYFUNCTION("""COMPUTED_VALUE"""),"Winter")</f>
        <v>Winter</v>
      </c>
      <c r="P2000" s="5" t="str">
        <f ca="1">IFERROR(__xludf.DUMMYFUNCTION("""COMPUTED_VALUE"""),"Mayer")</f>
        <v>Mayer</v>
      </c>
      <c r="Q2000" s="5" t="str">
        <f ca="1">IFERROR(__xludf.DUMMYFUNCTION("""COMPUTED_VALUE"""),"AZ")</f>
        <v>AZ</v>
      </c>
      <c r="R2000" s="5" t="str">
        <f ca="1">IFERROR(__xludf.DUMMYFUNCTION("""COMPUTED_VALUE"""),"Other")</f>
        <v>Other</v>
      </c>
      <c r="S2000" s="5" t="str">
        <f ca="1">IFERROR(__xludf.DUMMYFUNCTION("""COMPUTED_VALUE"""),"Field (General)")</f>
        <v>Field (General)</v>
      </c>
      <c r="T2000" s="5" t="str">
        <f ca="1">IFERROR(__xludf.DUMMYFUNCTION("""COMPUTED_VALUE"""),"Outside on School Property")</f>
        <v>Outside on School Property</v>
      </c>
      <c r="U2000" s="5" t="str">
        <f ca="1">IFERROR(__xludf.DUMMYFUNCTION("""COMPUTED_VALUE"""),"No")</f>
        <v>No</v>
      </c>
      <c r="V2000" s="5" t="str">
        <f ca="1">IFERROR(__xludf.DUMMYFUNCTION("""COMPUTED_VALUE"""),"Night")</f>
        <v>Night</v>
      </c>
      <c r="W2000" s="10">
        <f ca="1">IFERROR(__xludf.DUMMYFUNCTION("""COMPUTED_VALUE"""),0.854166666666666)</f>
        <v>0.85416666666666596</v>
      </c>
      <c r="X2000" s="5"/>
      <c r="Y2000" s="5" t="str">
        <f ca="1">IFERROR(__xludf.DUMMYFUNCTION("""COMPUTED_VALUE"""),"Anger over possibly being suspended from school")</f>
        <v>Anger over possibly being suspended from school</v>
      </c>
      <c r="Z2000" s="5" t="str">
        <f ca="1">IFERROR(__xludf.DUMMYFUNCTION("""COMPUTED_VALUE"""),"A 17 year-old male shooter was intoxicated at the time of the shooting and identified with fictional character Charles Decker. Shooter was recently suspended. Shooter when to the shooting range of the school (private school with residential campus) and tr"&amp;"icked a teacher into letting him hold one of the guns. Shooter then shot the teacher, grabbed a shotgun, and began running through campus shooting and injuring 3 different teachers. Shooter was killed by police. Weapons: .45 caliber; shotgun. Shooter was "&amp;"to be captain of next year’s football team and was a member of the wrestling team. He was described as an experienced hunter and an avid outdoorsman. Friends said he was not a troublemaker. He was “a genuinely friendly young man and a good athlete, a very"&amp;" able boy, who wasn't working up to his capacity . . . a B-plus student who was making Cs.”")</f>
        <v>A 17 year-old male shooter was intoxicated at the time of the shooting and identified with fictional character Charles Decker. Shooter was recently suspended. Shooter when to the shooting range of the school (private school with residential campus) and tricked a teacher into letting him hold one of the guns. Shooter then shot the teacher, grabbed a shotgun, and began running through campus shooting and injuring 3 different teachers. Shooter was killed by police. Weapons: .45 caliber; shotgun. Shooter was to be captain of next year’s football team and was a member of the wrestling team. He was described as an experienced hunter and an avid outdoorsman. Friends said he was not a troublemaker. He was “a genuinely friendly young man and a good athlete, a very able boy, who wasn't working up to his capacity . . . a B-plus student who was making Cs.”</v>
      </c>
      <c r="AA2000" s="5" t="str">
        <f ca="1">IFERROR(__xludf.DUMMYFUNCTION("""COMPUTED_VALUE"""),"Anger Over Grade/Suspension/Discipline")</f>
        <v>Anger Over Grade/Suspension/Discipline</v>
      </c>
      <c r="AB2000" s="5" t="str">
        <f ca="1">IFERROR(__xludf.DUMMYFUNCTION("""COMPUTED_VALUE"""),"Victims Targeted")</f>
        <v>Victims Targeted</v>
      </c>
      <c r="AC2000" s="5" t="str">
        <f ca="1">IFERROR(__xludf.DUMMYFUNCTION("""COMPUTED_VALUE"""),"No")</f>
        <v>No</v>
      </c>
      <c r="AD2000" s="5" t="str">
        <f ca="1">IFERROR(__xludf.DUMMYFUNCTION("""COMPUTED_VALUE"""),"No")</f>
        <v>No</v>
      </c>
      <c r="AE2000" s="5" t="str">
        <f ca="1">IFERROR(__xludf.DUMMYFUNCTION("""COMPUTED_VALUE"""),"No")</f>
        <v>No</v>
      </c>
      <c r="AF2000" s="5" t="str">
        <f ca="1">IFERROR(__xludf.DUMMYFUNCTION("""COMPUTED_VALUE"""),"No")</f>
        <v>No</v>
      </c>
      <c r="AG2000" s="5" t="str">
        <f ca="1">IFERROR(__xludf.DUMMYFUNCTION("""COMPUTED_VALUE"""),"No")</f>
        <v>No</v>
      </c>
      <c r="AH2000" s="5" t="str">
        <f ca="1">IFERROR(__xludf.DUMMYFUNCTION("""COMPUTED_VALUE"""),"No")</f>
        <v>No</v>
      </c>
      <c r="AI2000" s="5" t="str">
        <f ca="1">IFERROR(__xludf.DUMMYFUNCTION("""COMPUTED_VALUE"""),"No")</f>
        <v>No</v>
      </c>
      <c r="AJ2000" s="5" t="str">
        <f ca="1">IFERROR(__xludf.DUMMYFUNCTION("""COMPUTED_VALUE"""),"Yes")</f>
        <v>Yes</v>
      </c>
    </row>
    <row r="2001" spans="1:36" ht="13">
      <c r="A2001" s="5" t="str">
        <f ca="1">IFERROR(__xludf.DUMMYFUNCTION("""COMPUTED_VALUE"""),"19870210ARDAD")</f>
        <v>19870210ARDAD</v>
      </c>
      <c r="B2001" s="5">
        <f ca="1">IFERROR(__xludf.DUMMYFUNCTION("""COMPUTED_VALUE"""),2)</f>
        <v>2</v>
      </c>
      <c r="C2001" s="5">
        <f ca="1">IFERROR(__xludf.DUMMYFUNCTION("""COMPUTED_VALUE"""),10)</f>
        <v>10</v>
      </c>
      <c r="D2001" s="5">
        <f ca="1">IFERROR(__xludf.DUMMYFUNCTION("""COMPUTED_VALUE"""),1987)</f>
        <v>1987</v>
      </c>
      <c r="E2001" s="8">
        <f ca="1">IFERROR(__xludf.DUMMYFUNCTION("""COMPUTED_VALUE"""),31818)</f>
        <v>31818</v>
      </c>
      <c r="F2001" s="5" t="str">
        <f ca="1">IFERROR(__xludf.DUMMYFUNCTION("""COMPUTED_VALUE"""),"Dardanelle High School")</f>
        <v>Dardanelle High School</v>
      </c>
      <c r="G2001" s="5">
        <f ca="1">IFERROR(__xludf.DUMMYFUNCTION("""COMPUTED_VALUE"""),0)</f>
        <v>0</v>
      </c>
      <c r="H2001" s="5">
        <f ca="1">IFERROR(__xludf.DUMMYFUNCTION("""COMPUTED_VALUE"""),0)</f>
        <v>0</v>
      </c>
      <c r="I2001" s="5">
        <f ca="1">IFERROR(__xludf.DUMMYFUNCTION("""COMPUTED_VALUE"""),0)</f>
        <v>0</v>
      </c>
      <c r="J2001" s="5">
        <f ca="1">IFERROR(__xludf.DUMMYFUNCTION("""COMPUTED_VALUE"""),1)</f>
        <v>1</v>
      </c>
      <c r="K2001" s="9" t="str">
        <f ca="1">IFERROR(__xludf.DUMMYFUNCTION("""COMPUTED_VALUE"""),"https://www.newspapers.com/image/203093088/?terms=roger%2Bjoe%2Bedward%2Bjenkins")</f>
        <v>https://www.newspapers.com/image/203093088/?terms=roger%2Bjoe%2Bedward%2Bjenkins</v>
      </c>
      <c r="L2001" s="5"/>
      <c r="M2001" s="5"/>
      <c r="N2001" s="5">
        <f ca="1">IFERROR(__xludf.DUMMYFUNCTION("""COMPUTED_VALUE"""),2)</f>
        <v>2</v>
      </c>
      <c r="O2001" s="5" t="str">
        <f ca="1">IFERROR(__xludf.DUMMYFUNCTION("""COMPUTED_VALUE"""),"Winter")</f>
        <v>Winter</v>
      </c>
      <c r="P2001" s="5" t="str">
        <f ca="1">IFERROR(__xludf.DUMMYFUNCTION("""COMPUTED_VALUE"""),"Dardanelle")</f>
        <v>Dardanelle</v>
      </c>
      <c r="Q2001" s="5" t="str">
        <f ca="1">IFERROR(__xludf.DUMMYFUNCTION("""COMPUTED_VALUE"""),"AR")</f>
        <v>AR</v>
      </c>
      <c r="R2001" s="5" t="str">
        <f ca="1">IFERROR(__xludf.DUMMYFUNCTION("""COMPUTED_VALUE"""),"High")</f>
        <v>High</v>
      </c>
      <c r="S2001" s="5" t="str">
        <f ca="1">IFERROR(__xludf.DUMMYFUNCTION("""COMPUTED_VALUE"""),"Courtyard")</f>
        <v>Courtyard</v>
      </c>
      <c r="T2001" s="5" t="str">
        <f ca="1">IFERROR(__xludf.DUMMYFUNCTION("""COMPUTED_VALUE"""),"Outside on School Property")</f>
        <v>Outside on School Property</v>
      </c>
      <c r="U2001" s="5" t="str">
        <f ca="1">IFERROR(__xludf.DUMMYFUNCTION("""COMPUTED_VALUE"""),"Yes")</f>
        <v>Yes</v>
      </c>
      <c r="V2001" s="5" t="str">
        <f ca="1">IFERROR(__xludf.DUMMYFUNCTION("""COMPUTED_VALUE"""),"Lunch")</f>
        <v>Lunch</v>
      </c>
      <c r="W2001" s="10">
        <f ca="1">IFERROR(__xludf.DUMMYFUNCTION("""COMPUTED_VALUE"""),0.520833333333333)</f>
        <v>0.52083333333333304</v>
      </c>
      <c r="X2001" s="5">
        <f ca="1">IFERROR(__xludf.DUMMYFUNCTION("""COMPUTED_VALUE"""),1)</f>
        <v>1</v>
      </c>
      <c r="Y2001" s="5" t="str">
        <f ca="1">IFERROR(__xludf.DUMMYFUNCTION("""COMPUTED_VALUE"""),"Shooter shot himself outside during lunch after fight with girlfriend")</f>
        <v>Shooter shot himself outside during lunch after fight with girlfriend</v>
      </c>
      <c r="Z2001" s="5" t="str">
        <f ca="1">IFERROR(__xludf.DUMMYFUNCTION("""COMPUTED_VALUE"""),"Shooter got in fight with girlfriend, left school during lunch, came back to school, gave friend a note, then took rifle from car, walked to popular lunch spot on campus, put rifle to chest and pulled trigger")</f>
        <v>Shooter got in fight with girlfriend, left school during lunch, came back to school, gave friend a note, then took rifle from car, walked to popular lunch spot on campus, put rifle to chest and pulled trigger</v>
      </c>
      <c r="AA2001" s="5" t="str">
        <f ca="1">IFERROR(__xludf.DUMMYFUNCTION("""COMPUTED_VALUE"""),"Suicide/Attempted")</f>
        <v>Suicide/Attempted</v>
      </c>
      <c r="AB2001" s="5" t="str">
        <f ca="1">IFERROR(__xludf.DUMMYFUNCTION("""COMPUTED_VALUE"""),"Victims Targeted")</f>
        <v>Victims Targeted</v>
      </c>
      <c r="AC2001" s="5" t="str">
        <f ca="1">IFERROR(__xludf.DUMMYFUNCTION("""COMPUTED_VALUE"""),"No")</f>
        <v>No</v>
      </c>
      <c r="AD2001" s="5" t="str">
        <f ca="1">IFERROR(__xludf.DUMMYFUNCTION("""COMPUTED_VALUE"""),"No")</f>
        <v>No</v>
      </c>
      <c r="AE2001" s="5" t="str">
        <f ca="1">IFERROR(__xludf.DUMMYFUNCTION("""COMPUTED_VALUE"""),"No")</f>
        <v>No</v>
      </c>
      <c r="AF2001" s="5" t="str">
        <f ca="1">IFERROR(__xludf.DUMMYFUNCTION("""COMPUTED_VALUE"""),"No")</f>
        <v>No</v>
      </c>
      <c r="AG2001" s="5" t="str">
        <f ca="1">IFERROR(__xludf.DUMMYFUNCTION("""COMPUTED_VALUE"""),"No")</f>
        <v>No</v>
      </c>
      <c r="AH2001" s="5" t="str">
        <f ca="1">IFERROR(__xludf.DUMMYFUNCTION("""COMPUTED_VALUE"""),"No")</f>
        <v>No</v>
      </c>
      <c r="AI2001" s="5" t="str">
        <f ca="1">IFERROR(__xludf.DUMMYFUNCTION("""COMPUTED_VALUE"""),"No")</f>
        <v>No</v>
      </c>
      <c r="AJ2001" s="5"/>
    </row>
    <row r="2002" spans="1:36" ht="13">
      <c r="A2002" s="5" t="str">
        <f ca="1">IFERROR(__xludf.DUMMYFUNCTION("""COMPUTED_VALUE"""),"19870123MIRED")</f>
        <v>19870123MIRED</v>
      </c>
      <c r="B2002" s="5">
        <f ca="1">IFERROR(__xludf.DUMMYFUNCTION("""COMPUTED_VALUE"""),1)</f>
        <v>1</v>
      </c>
      <c r="C2002" s="5">
        <f ca="1">IFERROR(__xludf.DUMMYFUNCTION("""COMPUTED_VALUE"""),23)</f>
        <v>23</v>
      </c>
      <c r="D2002" s="5">
        <f ca="1">IFERROR(__xludf.DUMMYFUNCTION("""COMPUTED_VALUE"""),1987)</f>
        <v>1987</v>
      </c>
      <c r="E2002" s="8">
        <f ca="1">IFERROR(__xludf.DUMMYFUNCTION("""COMPUTED_VALUE"""),31800)</f>
        <v>31800</v>
      </c>
      <c r="F2002" s="5" t="str">
        <f ca="1">IFERROR(__xludf.DUMMYFUNCTION("""COMPUTED_VALUE"""),"Redford High School")</f>
        <v>Redford High School</v>
      </c>
      <c r="G2002" s="5">
        <f ca="1">IFERROR(__xludf.DUMMYFUNCTION("""COMPUTED_VALUE"""),0)</f>
        <v>0</v>
      </c>
      <c r="H2002" s="5">
        <f ca="1">IFERROR(__xludf.DUMMYFUNCTION("""COMPUTED_VALUE"""),1)</f>
        <v>1</v>
      </c>
      <c r="I2002" s="5">
        <f ca="1">IFERROR(__xludf.DUMMYFUNCTION("""COMPUTED_VALUE"""),1)</f>
        <v>1</v>
      </c>
      <c r="J2002" s="5">
        <f ca="1">IFERROR(__xludf.DUMMYFUNCTION("""COMPUTED_VALUE"""),0)</f>
        <v>0</v>
      </c>
      <c r="K2002" s="9" t="str">
        <f ca="1">IFERROR(__xludf.DUMMYFUNCTION("""COMPUTED_VALUE"""),"https://www.newspapers.com/image/99552670/?terms=redford%2Bhigh%2Bschool")</f>
        <v>https://www.newspapers.com/image/99552670/?terms=redford%2Bhigh%2Bschool</v>
      </c>
      <c r="L2002" s="5"/>
      <c r="M2002" s="5"/>
      <c r="N2002" s="5">
        <f ca="1">IFERROR(__xludf.DUMMYFUNCTION("""COMPUTED_VALUE"""),2)</f>
        <v>2</v>
      </c>
      <c r="O2002" s="5" t="str">
        <f ca="1">IFERROR(__xludf.DUMMYFUNCTION("""COMPUTED_VALUE"""),"Winter")</f>
        <v>Winter</v>
      </c>
      <c r="P2002" s="5" t="str">
        <f ca="1">IFERROR(__xludf.DUMMYFUNCTION("""COMPUTED_VALUE"""),"Detroit")</f>
        <v>Detroit</v>
      </c>
      <c r="Q2002" s="5" t="str">
        <f ca="1">IFERROR(__xludf.DUMMYFUNCTION("""COMPUTED_VALUE"""),"MI")</f>
        <v>MI</v>
      </c>
      <c r="R2002" s="5" t="str">
        <f ca="1">IFERROR(__xludf.DUMMYFUNCTION("""COMPUTED_VALUE"""),"High")</f>
        <v>High</v>
      </c>
      <c r="S2002" s="5" t="str">
        <f ca="1">IFERROR(__xludf.DUMMYFUNCTION("""COMPUTED_VALUE"""),"Inside School Building")</f>
        <v>Inside School Building</v>
      </c>
      <c r="T2002" s="5" t="str">
        <f ca="1">IFERROR(__xludf.DUMMYFUNCTION("""COMPUTED_VALUE"""),"Inside School Building")</f>
        <v>Inside School Building</v>
      </c>
      <c r="U2002" s="5" t="str">
        <f ca="1">IFERROR(__xludf.DUMMYFUNCTION("""COMPUTED_VALUE"""),"Yes")</f>
        <v>Yes</v>
      </c>
      <c r="V2002" s="5" t="str">
        <f ca="1">IFERROR(__xludf.DUMMYFUNCTION("""COMPUTED_VALUE"""),"Morning Classes")</f>
        <v>Morning Classes</v>
      </c>
      <c r="W2002" s="10">
        <f ca="1">IFERROR(__xludf.DUMMYFUNCTION("""COMPUTED_VALUE"""),0.336805555555555)</f>
        <v>0.33680555555555503</v>
      </c>
      <c r="X2002" s="5">
        <f ca="1">IFERROR(__xludf.DUMMYFUNCTION("""COMPUTED_VALUE"""),1)</f>
        <v>1</v>
      </c>
      <c r="Y2002" s="5" t="str">
        <f ca="1">IFERROR(__xludf.DUMMYFUNCTION("""COMPUTED_VALUE"""),"Ongoing conflict between two students resulted in victim being shot")</f>
        <v>Ongoing conflict between two students resulted in victim being shot</v>
      </c>
      <c r="Z2002" s="5" t="str">
        <f ca="1">IFERROR(__xludf.DUMMYFUNCTION("""COMPUTED_VALUE"""),"Ongoing conflict between students - reports stated shooter walked up to victim, pulled gun from briefcase and shot him five times.")</f>
        <v>Ongoing conflict between students - reports stated shooter walked up to victim, pulled gun from briefcase and shot him five times.</v>
      </c>
      <c r="AA2002" s="5" t="str">
        <f ca="1">IFERROR(__xludf.DUMMYFUNCTION("""COMPUTED_VALUE"""),"Escalation of Dispute")</f>
        <v>Escalation of Dispute</v>
      </c>
      <c r="AB2002" s="5" t="str">
        <f ca="1">IFERROR(__xludf.DUMMYFUNCTION("""COMPUTED_VALUE"""),"Victims Targeted")</f>
        <v>Victims Targeted</v>
      </c>
      <c r="AC2002" s="5" t="str">
        <f ca="1">IFERROR(__xludf.DUMMYFUNCTION("""COMPUTED_VALUE"""),"No")</f>
        <v>No</v>
      </c>
      <c r="AD2002" s="5" t="str">
        <f ca="1">IFERROR(__xludf.DUMMYFUNCTION("""COMPUTED_VALUE"""),"No")</f>
        <v>No</v>
      </c>
      <c r="AE2002" s="5" t="str">
        <f ca="1">IFERROR(__xludf.DUMMYFUNCTION("""COMPUTED_VALUE"""),"No")</f>
        <v>No</v>
      </c>
      <c r="AF2002" s="5" t="str">
        <f ca="1">IFERROR(__xludf.DUMMYFUNCTION("""COMPUTED_VALUE"""),"No")</f>
        <v>No</v>
      </c>
      <c r="AG2002" s="5" t="str">
        <f ca="1">IFERROR(__xludf.DUMMYFUNCTION("""COMPUTED_VALUE"""),"No")</f>
        <v>No</v>
      </c>
      <c r="AH2002" s="5" t="str">
        <f ca="1">IFERROR(__xludf.DUMMYFUNCTION("""COMPUTED_VALUE"""),"No")</f>
        <v>No</v>
      </c>
      <c r="AI2002" s="5" t="str">
        <f ca="1">IFERROR(__xludf.DUMMYFUNCTION("""COMPUTED_VALUE"""),"No")</f>
        <v>No</v>
      </c>
      <c r="AJ2002" s="5"/>
    </row>
    <row r="2003" spans="1:36" ht="13">
      <c r="A2003" s="5" t="str">
        <f ca="1">IFERROR(__xludf.DUMMYFUNCTION("""COMPUTED_VALUE"""),"19870114CALOL")</f>
        <v>19870114CALOL</v>
      </c>
      <c r="B2003" s="5">
        <f ca="1">IFERROR(__xludf.DUMMYFUNCTION("""COMPUTED_VALUE"""),1)</f>
        <v>1</v>
      </c>
      <c r="C2003" s="5">
        <f ca="1">IFERROR(__xludf.DUMMYFUNCTION("""COMPUTED_VALUE"""),14)</f>
        <v>14</v>
      </c>
      <c r="D2003" s="5">
        <f ca="1">IFERROR(__xludf.DUMMYFUNCTION("""COMPUTED_VALUE"""),1987)</f>
        <v>1987</v>
      </c>
      <c r="E2003" s="8">
        <f ca="1">IFERROR(__xludf.DUMMYFUNCTION("""COMPUTED_VALUE"""),31791)</f>
        <v>31791</v>
      </c>
      <c r="F2003" s="5" t="str">
        <f ca="1">IFERROR(__xludf.DUMMYFUNCTION("""COMPUTED_VALUE"""),"Los Angeles High School")</f>
        <v>Los Angeles High School</v>
      </c>
      <c r="G2003" s="5">
        <f ca="1">IFERROR(__xludf.DUMMYFUNCTION("""COMPUTED_VALUE"""),0)</f>
        <v>0</v>
      </c>
      <c r="H2003" s="5">
        <f ca="1">IFERROR(__xludf.DUMMYFUNCTION("""COMPUTED_VALUE"""),0)</f>
        <v>0</v>
      </c>
      <c r="I2003" s="5">
        <f ca="1">IFERROR(__xludf.DUMMYFUNCTION("""COMPUTED_VALUE"""),0)</f>
        <v>0</v>
      </c>
      <c r="J2003" s="5">
        <f ca="1">IFERROR(__xludf.DUMMYFUNCTION("""COMPUTED_VALUE"""),0)</f>
        <v>0</v>
      </c>
      <c r="K2003" s="9" t="str">
        <f ca="1">IFERROR(__xludf.DUMMYFUNCTION("""COMPUTED_VALUE"""),"https://www.newspapers.com/image/229316333/?terms=oscar%2Bmartinez")</f>
        <v>https://www.newspapers.com/image/229316333/?terms=oscar%2Bmartinez</v>
      </c>
      <c r="L2003" s="5"/>
      <c r="M2003" s="5"/>
      <c r="N2003" s="5">
        <f ca="1">IFERROR(__xludf.DUMMYFUNCTION("""COMPUTED_VALUE"""),2)</f>
        <v>2</v>
      </c>
      <c r="O2003" s="5" t="str">
        <f ca="1">IFERROR(__xludf.DUMMYFUNCTION("""COMPUTED_VALUE"""),"Winter")</f>
        <v>Winter</v>
      </c>
      <c r="P2003" s="5" t="str">
        <f ca="1">IFERROR(__xludf.DUMMYFUNCTION("""COMPUTED_VALUE"""),"Los Angeles")</f>
        <v>Los Angeles</v>
      </c>
      <c r="Q2003" s="5" t="str">
        <f ca="1">IFERROR(__xludf.DUMMYFUNCTION("""COMPUTED_VALUE"""),"CA")</f>
        <v>CA</v>
      </c>
      <c r="R2003" s="5" t="str">
        <f ca="1">IFERROR(__xludf.DUMMYFUNCTION("""COMPUTED_VALUE"""),"High")</f>
        <v>High</v>
      </c>
      <c r="S2003" s="5" t="str">
        <f ca="1">IFERROR(__xludf.DUMMYFUNCTION("""COMPUTED_VALUE"""),"Classroom")</f>
        <v>Classroom</v>
      </c>
      <c r="T2003" s="5" t="str">
        <f ca="1">IFERROR(__xludf.DUMMYFUNCTION("""COMPUTED_VALUE"""),"Inside School Building")</f>
        <v>Inside School Building</v>
      </c>
      <c r="U2003" s="5" t="str">
        <f ca="1">IFERROR(__xludf.DUMMYFUNCTION("""COMPUTED_VALUE"""),"Yes")</f>
        <v>Yes</v>
      </c>
      <c r="V2003" s="5"/>
      <c r="W2003" s="5"/>
      <c r="X2003" s="5">
        <f ca="1">IFERROR(__xludf.DUMMYFUNCTION("""COMPUTED_VALUE"""),1)</f>
        <v>1</v>
      </c>
      <c r="Y2003" s="5" t="str">
        <f ca="1">IFERROR(__xludf.DUMMYFUNCTION("""COMPUTED_VALUE"""),"Shooter shot self in head during English class.")</f>
        <v>Shooter shot self in head during English class.</v>
      </c>
      <c r="Z2003" s="5" t="str">
        <f ca="1">IFERROR(__xludf.DUMMYFUNCTION("""COMPUTED_VALUE"""),"Shooter shot self in head during English class in front of 25 other students - no further information given")</f>
        <v>Shooter shot self in head during English class in front of 25 other students - no further information given</v>
      </c>
      <c r="AA2003" s="5" t="str">
        <f ca="1">IFERROR(__xludf.DUMMYFUNCTION("""COMPUTED_VALUE"""),"Suicide/Attempted")</f>
        <v>Suicide/Attempted</v>
      </c>
      <c r="AB2003" s="5" t="str">
        <f ca="1">IFERROR(__xludf.DUMMYFUNCTION("""COMPUTED_VALUE"""),"Victims Targeted")</f>
        <v>Victims Targeted</v>
      </c>
      <c r="AC2003" s="5" t="str">
        <f ca="1">IFERROR(__xludf.DUMMYFUNCTION("""COMPUTED_VALUE"""),"No")</f>
        <v>No</v>
      </c>
      <c r="AD2003" s="5" t="str">
        <f ca="1">IFERROR(__xludf.DUMMYFUNCTION("""COMPUTED_VALUE"""),"No")</f>
        <v>No</v>
      </c>
      <c r="AE2003" s="5" t="str">
        <f ca="1">IFERROR(__xludf.DUMMYFUNCTION("""COMPUTED_VALUE"""),"No")</f>
        <v>No</v>
      </c>
      <c r="AF2003" s="5" t="str">
        <f ca="1">IFERROR(__xludf.DUMMYFUNCTION("""COMPUTED_VALUE"""),"No")</f>
        <v>No</v>
      </c>
      <c r="AG2003" s="5" t="str">
        <f ca="1">IFERROR(__xludf.DUMMYFUNCTION("""COMPUTED_VALUE"""),"No")</f>
        <v>No</v>
      </c>
      <c r="AH2003" s="5" t="str">
        <f ca="1">IFERROR(__xludf.DUMMYFUNCTION("""COMPUTED_VALUE"""),"No")</f>
        <v>No</v>
      </c>
      <c r="AI2003" s="5" t="str">
        <f ca="1">IFERROR(__xludf.DUMMYFUNCTION("""COMPUTED_VALUE"""),"No")</f>
        <v>No</v>
      </c>
      <c r="AJ2003" s="5"/>
    </row>
    <row r="2004" spans="1:36" ht="13">
      <c r="A2004" s="5" t="str">
        <f ca="1">IFERROR(__xludf.DUMMYFUNCTION("""COMPUTED_VALUE"""),"19861204MTFEL")</f>
        <v>19861204MTFEL</v>
      </c>
      <c r="B2004" s="5">
        <f ca="1">IFERROR(__xludf.DUMMYFUNCTION("""COMPUTED_VALUE"""),12)</f>
        <v>12</v>
      </c>
      <c r="C2004" s="5">
        <f ca="1">IFERROR(__xludf.DUMMYFUNCTION("""COMPUTED_VALUE"""),4)</f>
        <v>4</v>
      </c>
      <c r="D2004" s="5">
        <f ca="1">IFERROR(__xludf.DUMMYFUNCTION("""COMPUTED_VALUE"""),1986)</f>
        <v>1986</v>
      </c>
      <c r="E2004" s="8">
        <f ca="1">IFERROR(__xludf.DUMMYFUNCTION("""COMPUTED_VALUE"""),31750)</f>
        <v>31750</v>
      </c>
      <c r="F2004" s="5" t="str">
        <f ca="1">IFERROR(__xludf.DUMMYFUNCTION("""COMPUTED_VALUE"""),"Fergus High School")</f>
        <v>Fergus High School</v>
      </c>
      <c r="G2004" s="5">
        <f ca="1">IFERROR(__xludf.DUMMYFUNCTION("""COMPUTED_VALUE"""),1)</f>
        <v>1</v>
      </c>
      <c r="H2004" s="5">
        <f ca="1">IFERROR(__xludf.DUMMYFUNCTION("""COMPUTED_VALUE"""),1)</f>
        <v>1</v>
      </c>
      <c r="I2004" s="5">
        <f ca="1">IFERROR(__xludf.DUMMYFUNCTION("""COMPUTED_VALUE"""),2)</f>
        <v>2</v>
      </c>
      <c r="J2004" s="5">
        <f ca="1">IFERROR(__xludf.DUMMYFUNCTION("""COMPUTED_VALUE"""),0)</f>
        <v>0</v>
      </c>
      <c r="K2004" s="9" t="str">
        <f ca="1">IFERROR(__xludf.DUMMYFUNCTION("""COMPUTED_VALUE"""),"https://www.nytimes.com/1986/12/06/us/failing-grade-is-linked-to-shooting-of-teacher.html")</f>
        <v>https://www.nytimes.com/1986/12/06/us/failing-grade-is-linked-to-shooting-of-teacher.html</v>
      </c>
      <c r="L2004" s="5"/>
      <c r="M2004" s="5"/>
      <c r="N2004" s="5">
        <f ca="1">IFERROR(__xludf.DUMMYFUNCTION("""COMPUTED_VALUE"""),2)</f>
        <v>2</v>
      </c>
      <c r="O2004" s="5" t="str">
        <f ca="1">IFERROR(__xludf.DUMMYFUNCTION("""COMPUTED_VALUE"""),"Winter")</f>
        <v>Winter</v>
      </c>
      <c r="P2004" s="5" t="str">
        <f ca="1">IFERROR(__xludf.DUMMYFUNCTION("""COMPUTED_VALUE"""),"Lewistown")</f>
        <v>Lewistown</v>
      </c>
      <c r="Q2004" s="5" t="str">
        <f ca="1">IFERROR(__xludf.DUMMYFUNCTION("""COMPUTED_VALUE"""),"MT")</f>
        <v>MT</v>
      </c>
      <c r="R2004" s="5" t="str">
        <f ca="1">IFERROR(__xludf.DUMMYFUNCTION("""COMPUTED_VALUE"""),"High")</f>
        <v>High</v>
      </c>
      <c r="S2004" s="5" t="str">
        <f ca="1">IFERROR(__xludf.DUMMYFUNCTION("""COMPUTED_VALUE"""),"Classroom; Field")</f>
        <v>Classroom; Field</v>
      </c>
      <c r="T2004" s="5" t="str">
        <f ca="1">IFERROR(__xludf.DUMMYFUNCTION("""COMPUTED_VALUE"""),"Both Inside/Outside")</f>
        <v>Both Inside/Outside</v>
      </c>
      <c r="U2004" s="5" t="str">
        <f ca="1">IFERROR(__xludf.DUMMYFUNCTION("""COMPUTED_VALUE"""),"Yes")</f>
        <v>Yes</v>
      </c>
      <c r="V2004" s="5"/>
      <c r="W2004" s="5"/>
      <c r="X2004" s="5">
        <f ca="1">IFERROR(__xludf.DUMMYFUNCTION("""COMPUTED_VALUE"""),1)</f>
        <v>1</v>
      </c>
      <c r="Y2004" s="5" t="str">
        <f ca="1">IFERROR(__xludf.DUMMYFUNCTION("""COMPUTED_VALUE"""),"Shooter shot French teacher for failing grade")</f>
        <v>Shooter shot French teacher for failing grade</v>
      </c>
      <c r="Z2004" s="5" t="str">
        <f ca="1">IFERROR(__xludf.DUMMYFUNCTION("""COMPUTED_VALUE"""),"Shooter was upset for failing french class and had made threats about killing the french teacher the two days prior to the shooting. Shooter knocked on the classroom door and fired when the teacher opened it. The french teacher was not at the school that "&amp;"day and the substitute was killed instead. Shooter then fled through the school and fired at a school administrator and 2 other students who chased him. Shooter was caught at his house a mile from the school.")</f>
        <v>Shooter was upset for failing french class and had made threats about killing the french teacher the two days prior to the shooting. Shooter knocked on the classroom door and fired when the teacher opened it. The french teacher was not at the school that day and the substitute was killed instead. Shooter then fled through the school and fired at a school administrator and 2 other students who chased him. Shooter was caught at his house a mile from the school.</v>
      </c>
      <c r="AA2004" s="5" t="str">
        <f ca="1">IFERROR(__xludf.DUMMYFUNCTION("""COMPUTED_VALUE"""),"Anger Over Grade/Suspension/Discipline")</f>
        <v>Anger Over Grade/Suspension/Discipline</v>
      </c>
      <c r="AB2004" s="5" t="str">
        <f ca="1">IFERROR(__xludf.DUMMYFUNCTION("""COMPUTED_VALUE"""),"Victims Targeted")</f>
        <v>Victims Targeted</v>
      </c>
      <c r="AC2004" s="5" t="str">
        <f ca="1">IFERROR(__xludf.DUMMYFUNCTION("""COMPUTED_VALUE"""),"No")</f>
        <v>No</v>
      </c>
      <c r="AD2004" s="5" t="str">
        <f ca="1">IFERROR(__xludf.DUMMYFUNCTION("""COMPUTED_VALUE"""),"No")</f>
        <v>No</v>
      </c>
      <c r="AE2004" s="5" t="str">
        <f ca="1">IFERROR(__xludf.DUMMYFUNCTION("""COMPUTED_VALUE"""),"No")</f>
        <v>No</v>
      </c>
      <c r="AF2004" s="5" t="str">
        <f ca="1">IFERROR(__xludf.DUMMYFUNCTION("""COMPUTED_VALUE"""),"No")</f>
        <v>No</v>
      </c>
      <c r="AG2004" s="5"/>
      <c r="AH2004" s="5" t="str">
        <f ca="1">IFERROR(__xludf.DUMMYFUNCTION("""COMPUTED_VALUE"""),"No")</f>
        <v>No</v>
      </c>
      <c r="AI2004" s="5" t="str">
        <f ca="1">IFERROR(__xludf.DUMMYFUNCTION("""COMPUTED_VALUE"""),"No")</f>
        <v>No</v>
      </c>
      <c r="AJ2004" s="5"/>
    </row>
    <row r="2005" spans="1:36" ht="13">
      <c r="A2005" s="5" t="str">
        <f ca="1">IFERROR(__xludf.DUMMYFUNCTION("""COMPUTED_VALUE"""),"19861008TXSOD")</f>
        <v>19861008TXSOD</v>
      </c>
      <c r="B2005" s="5">
        <f ca="1">IFERROR(__xludf.DUMMYFUNCTION("""COMPUTED_VALUE"""),10)</f>
        <v>10</v>
      </c>
      <c r="C2005" s="5">
        <f ca="1">IFERROR(__xludf.DUMMYFUNCTION("""COMPUTED_VALUE"""),8)</f>
        <v>8</v>
      </c>
      <c r="D2005" s="5">
        <f ca="1">IFERROR(__xludf.DUMMYFUNCTION("""COMPUTED_VALUE"""),1986)</f>
        <v>1986</v>
      </c>
      <c r="E2005" s="8">
        <f ca="1">IFERROR(__xludf.DUMMYFUNCTION("""COMPUTED_VALUE"""),31693)</f>
        <v>31693</v>
      </c>
      <c r="F2005" s="5" t="str">
        <f ca="1">IFERROR(__xludf.DUMMYFUNCTION("""COMPUTED_VALUE"""),"South Oak Cliff High School")</f>
        <v>South Oak Cliff High School</v>
      </c>
      <c r="G2005" s="5">
        <f ca="1">IFERROR(__xludf.DUMMYFUNCTION("""COMPUTED_VALUE"""),1)</f>
        <v>1</v>
      </c>
      <c r="H2005" s="5">
        <f ca="1">IFERROR(__xludf.DUMMYFUNCTION("""COMPUTED_VALUE"""),0)</f>
        <v>0</v>
      </c>
      <c r="I2005" s="5">
        <f ca="1">IFERROR(__xludf.DUMMYFUNCTION("""COMPUTED_VALUE"""),1)</f>
        <v>1</v>
      </c>
      <c r="J2005" s="5">
        <f ca="1">IFERROR(__xludf.DUMMYFUNCTION("""COMPUTED_VALUE"""),0)</f>
        <v>0</v>
      </c>
      <c r="K2005" s="9" t="str">
        <f ca="1">IFERROR(__xludf.DUMMYFUNCTION("""COMPUTED_VALUE"""),"https://www.newspapers.com/image/195486648/?terms=South%2BOak%2BCliff%2BHigh%2BSchool%2Bshooting")</f>
        <v>https://www.newspapers.com/image/195486648/?terms=South%2BOak%2BCliff%2BHigh%2BSchool%2Bshooting</v>
      </c>
      <c r="L2005" s="5"/>
      <c r="M2005" s="5"/>
      <c r="N2005" s="5">
        <f ca="1">IFERROR(__xludf.DUMMYFUNCTION("""COMPUTED_VALUE"""),2)</f>
        <v>2</v>
      </c>
      <c r="O2005" s="5" t="str">
        <f ca="1">IFERROR(__xludf.DUMMYFUNCTION("""COMPUTED_VALUE"""),"Fall")</f>
        <v>Fall</v>
      </c>
      <c r="P2005" s="5" t="str">
        <f ca="1">IFERROR(__xludf.DUMMYFUNCTION("""COMPUTED_VALUE"""),"Dallas")</f>
        <v>Dallas</v>
      </c>
      <c r="Q2005" s="5" t="str">
        <f ca="1">IFERROR(__xludf.DUMMYFUNCTION("""COMPUTED_VALUE"""),"TX")</f>
        <v>TX</v>
      </c>
      <c r="R2005" s="5" t="str">
        <f ca="1">IFERROR(__xludf.DUMMYFUNCTION("""COMPUTED_VALUE"""),"High")</f>
        <v>High</v>
      </c>
      <c r="S2005" s="5" t="str">
        <f ca="1">IFERROR(__xludf.DUMMYFUNCTION("""COMPUTED_VALUE"""),"School Bus")</f>
        <v>School Bus</v>
      </c>
      <c r="T2005" s="5" t="str">
        <f ca="1">IFERROR(__xludf.DUMMYFUNCTION("""COMPUTED_VALUE"""),"School Bus")</f>
        <v>School Bus</v>
      </c>
      <c r="U2005" s="5" t="str">
        <f ca="1">IFERROR(__xludf.DUMMYFUNCTION("""COMPUTED_VALUE"""),"Yes")</f>
        <v>Yes</v>
      </c>
      <c r="V2005" s="5" t="str">
        <f ca="1">IFERROR(__xludf.DUMMYFUNCTION("""COMPUTED_VALUE"""),"After School")</f>
        <v>After School</v>
      </c>
      <c r="W2005" s="10">
        <f ca="1">IFERROR(__xludf.DUMMYFUNCTION("""COMPUTED_VALUE"""),0.666666666666666)</f>
        <v>0.66666666666666596</v>
      </c>
      <c r="X2005" s="5">
        <f ca="1">IFERROR(__xludf.DUMMYFUNCTION("""COMPUTED_VALUE"""),1)</f>
        <v>1</v>
      </c>
      <c r="Y2005" s="5" t="str">
        <f ca="1">IFERROR(__xludf.DUMMYFUNCTION("""COMPUTED_VALUE"""),"Fight on bus, older brother of one of the fighters shot the other fighter")</f>
        <v>Fight on bus, older brother of one of the fighters shot the other fighter</v>
      </c>
      <c r="Z2005" s="5" t="str">
        <f ca="1">IFERROR(__xludf.DUMMYFUNCTION("""COMPUTED_VALUE"""),"Victim was arguing with another student over a seat on the school bus - older brother stepped in a shot victim in chest - then fled - shooter later turned himself in to police")</f>
        <v>Victim was arguing with another student over a seat on the school bus - older brother stepped in a shot victim in chest - then fled - shooter later turned himself in to police</v>
      </c>
      <c r="AA2005" s="5" t="str">
        <f ca="1">IFERROR(__xludf.DUMMYFUNCTION("""COMPUTED_VALUE"""),"Escalation of Dispute")</f>
        <v>Escalation of Dispute</v>
      </c>
      <c r="AB2005" s="5" t="str">
        <f ca="1">IFERROR(__xludf.DUMMYFUNCTION("""COMPUTED_VALUE"""),"Victims Targeted")</f>
        <v>Victims Targeted</v>
      </c>
      <c r="AC2005" s="5" t="str">
        <f ca="1">IFERROR(__xludf.DUMMYFUNCTION("""COMPUTED_VALUE"""),"Yes")</f>
        <v>Yes</v>
      </c>
      <c r="AD2005" s="5" t="str">
        <f ca="1">IFERROR(__xludf.DUMMYFUNCTION("""COMPUTED_VALUE"""),"No")</f>
        <v>No</v>
      </c>
      <c r="AE2005" s="5" t="str">
        <f ca="1">IFERROR(__xludf.DUMMYFUNCTION("""COMPUTED_VALUE"""),"No")</f>
        <v>No</v>
      </c>
      <c r="AF2005" s="5" t="str">
        <f ca="1">IFERROR(__xludf.DUMMYFUNCTION("""COMPUTED_VALUE"""),"No")</f>
        <v>No</v>
      </c>
      <c r="AG2005" s="5" t="str">
        <f ca="1">IFERROR(__xludf.DUMMYFUNCTION("""COMPUTED_VALUE"""),"No")</f>
        <v>No</v>
      </c>
      <c r="AH2005" s="5" t="str">
        <f ca="1">IFERROR(__xludf.DUMMYFUNCTION("""COMPUTED_VALUE"""),"No")</f>
        <v>No</v>
      </c>
      <c r="AI2005" s="5" t="str">
        <f ca="1">IFERROR(__xludf.DUMMYFUNCTION("""COMPUTED_VALUE"""),"No")</f>
        <v>No</v>
      </c>
      <c r="AJ2005" s="5"/>
    </row>
    <row r="2006" spans="1:36" ht="13">
      <c r="A2006" s="5" t="str">
        <f ca="1">IFERROR(__xludf.DUMMYFUNCTION("""COMPUTED_VALUE"""),"19861003CAMOM")</f>
        <v>19861003CAMOM</v>
      </c>
      <c r="B2006" s="5">
        <f ca="1">IFERROR(__xludf.DUMMYFUNCTION("""COMPUTED_VALUE"""),10)</f>
        <v>10</v>
      </c>
      <c r="C2006" s="5">
        <f ca="1">IFERROR(__xludf.DUMMYFUNCTION("""COMPUTED_VALUE"""),3)</f>
        <v>3</v>
      </c>
      <c r="D2006" s="5">
        <f ca="1">IFERROR(__xludf.DUMMYFUNCTION("""COMPUTED_VALUE"""),1986)</f>
        <v>1986</v>
      </c>
      <c r="E2006" s="8">
        <f ca="1">IFERROR(__xludf.DUMMYFUNCTION("""COMPUTED_VALUE"""),31688)</f>
        <v>31688</v>
      </c>
      <c r="F2006" s="5" t="str">
        <f ca="1">IFERROR(__xludf.DUMMYFUNCTION("""COMPUTED_VALUE"""),"Monrovia High School")</f>
        <v>Monrovia High School</v>
      </c>
      <c r="G2006" s="5">
        <f ca="1">IFERROR(__xludf.DUMMYFUNCTION("""COMPUTED_VALUE"""),0)</f>
        <v>0</v>
      </c>
      <c r="H2006" s="5">
        <f ca="1">IFERROR(__xludf.DUMMYFUNCTION("""COMPUTED_VALUE"""),2)</f>
        <v>2</v>
      </c>
      <c r="I2006" s="5">
        <f ca="1">IFERROR(__xludf.DUMMYFUNCTION("""COMPUTED_VALUE"""),2)</f>
        <v>2</v>
      </c>
      <c r="J2006" s="5">
        <f ca="1">IFERROR(__xludf.DUMMYFUNCTION("""COMPUTED_VALUE"""),0)</f>
        <v>0</v>
      </c>
      <c r="K2006" s="9" t="str">
        <f ca="1">IFERROR(__xludf.DUMMYFUNCTION("""COMPUTED_VALUE"""),"https://www.newspapers.com/image/64897451/?terms=Monrovia%2BHigh%2BSchool%2Bshooting")</f>
        <v>https://www.newspapers.com/image/64897451/?terms=Monrovia%2BHigh%2BSchool%2Bshooting</v>
      </c>
      <c r="L2006" s="5"/>
      <c r="M2006" s="5"/>
      <c r="N2006" s="5">
        <f ca="1">IFERROR(__xludf.DUMMYFUNCTION("""COMPUTED_VALUE"""),2)</f>
        <v>2</v>
      </c>
      <c r="O2006" s="5" t="str">
        <f ca="1">IFERROR(__xludf.DUMMYFUNCTION("""COMPUTED_VALUE"""),"Fall")</f>
        <v>Fall</v>
      </c>
      <c r="P2006" s="5" t="str">
        <f ca="1">IFERROR(__xludf.DUMMYFUNCTION("""COMPUTED_VALUE"""),"Monrovia")</f>
        <v>Monrovia</v>
      </c>
      <c r="Q2006" s="5" t="str">
        <f ca="1">IFERROR(__xludf.DUMMYFUNCTION("""COMPUTED_VALUE"""),"CA")</f>
        <v>CA</v>
      </c>
      <c r="R2006" s="5" t="str">
        <f ca="1">IFERROR(__xludf.DUMMYFUNCTION("""COMPUTED_VALUE"""),"High")</f>
        <v>High</v>
      </c>
      <c r="S2006" s="5" t="str">
        <f ca="1">IFERROR(__xludf.DUMMYFUNCTION("""COMPUTED_VALUE"""),"Football Field/Track")</f>
        <v>Football Field/Track</v>
      </c>
      <c r="T2006" s="5" t="str">
        <f ca="1">IFERROR(__xludf.DUMMYFUNCTION("""COMPUTED_VALUE"""),"Outside on School Property")</f>
        <v>Outside on School Property</v>
      </c>
      <c r="U2006" s="5" t="str">
        <f ca="1">IFERROR(__xludf.DUMMYFUNCTION("""COMPUTED_VALUE"""),"No")</f>
        <v>No</v>
      </c>
      <c r="V2006" s="5" t="str">
        <f ca="1">IFERROR(__xludf.DUMMYFUNCTION("""COMPUTED_VALUE"""),"Sport Event")</f>
        <v>Sport Event</v>
      </c>
      <c r="W2006" s="5"/>
      <c r="X2006" s="5">
        <f ca="1">IFERROR(__xludf.DUMMYFUNCTION("""COMPUTED_VALUE"""),1)</f>
        <v>1</v>
      </c>
      <c r="Y2006" s="5" t="str">
        <f ca="1">IFERROR(__xludf.DUMMYFUNCTION("""COMPUTED_VALUE"""),"Rival gang fight during football game")</f>
        <v>Rival gang fight during football game</v>
      </c>
      <c r="Z2006" s="5" t="str">
        <f ca="1">IFERROR(__xludf.DUMMYFUNCTION("""COMPUTED_VALUE"""),"Shots fired during a gang-related fight at a football game injured two bystanders (student and adult). Panic from the shots caused a 1,200 person stamped that caused 6 minor injuries.")</f>
        <v>Shots fired during a gang-related fight at a football game injured two bystanders (student and adult). Panic from the shots caused a 1,200 person stamped that caused 6 minor injuries.</v>
      </c>
      <c r="AA2006" s="5" t="str">
        <f ca="1">IFERROR(__xludf.DUMMYFUNCTION("""COMPUTED_VALUE"""),"Escalation of Dispute")</f>
        <v>Escalation of Dispute</v>
      </c>
      <c r="AB2006" s="5" t="str">
        <f ca="1">IFERROR(__xludf.DUMMYFUNCTION("""COMPUTED_VALUE"""),"Both")</f>
        <v>Both</v>
      </c>
      <c r="AC2006" s="5" t="str">
        <f ca="1">IFERROR(__xludf.DUMMYFUNCTION("""COMPUTED_VALUE"""),"Yes")</f>
        <v>Yes</v>
      </c>
      <c r="AD2006" s="5" t="str">
        <f ca="1">IFERROR(__xludf.DUMMYFUNCTION("""COMPUTED_VALUE"""),"No")</f>
        <v>No</v>
      </c>
      <c r="AE2006" s="5" t="str">
        <f ca="1">IFERROR(__xludf.DUMMYFUNCTION("""COMPUTED_VALUE"""),"No")</f>
        <v>No</v>
      </c>
      <c r="AF2006" s="5" t="str">
        <f ca="1">IFERROR(__xludf.DUMMYFUNCTION("""COMPUTED_VALUE"""),"No")</f>
        <v>No</v>
      </c>
      <c r="AG2006" s="5" t="str">
        <f ca="1">IFERROR(__xludf.DUMMYFUNCTION("""COMPUTED_VALUE"""),"No")</f>
        <v>No</v>
      </c>
      <c r="AH2006" s="5" t="str">
        <f ca="1">IFERROR(__xludf.DUMMYFUNCTION("""COMPUTED_VALUE"""),"No")</f>
        <v>No</v>
      </c>
      <c r="AI2006" s="5" t="str">
        <f ca="1">IFERROR(__xludf.DUMMYFUNCTION("""COMPUTED_VALUE"""),"Yes")</f>
        <v>Yes</v>
      </c>
      <c r="AJ2006" s="5"/>
    </row>
    <row r="2007" spans="1:36" ht="13">
      <c r="A2007" s="5" t="str">
        <f ca="1">IFERROR(__xludf.DUMMYFUNCTION("""COMPUTED_VALUE"""),"19860918CABEB")</f>
        <v>19860918CABEB</v>
      </c>
      <c r="B2007" s="5">
        <f ca="1">IFERROR(__xludf.DUMMYFUNCTION("""COMPUTED_VALUE"""),9)</f>
        <v>9</v>
      </c>
      <c r="C2007" s="5">
        <f ca="1">IFERROR(__xludf.DUMMYFUNCTION("""COMPUTED_VALUE"""),18)</f>
        <v>18</v>
      </c>
      <c r="D2007" s="5">
        <f ca="1">IFERROR(__xludf.DUMMYFUNCTION("""COMPUTED_VALUE"""),1986)</f>
        <v>1986</v>
      </c>
      <c r="E2007" s="8">
        <f ca="1">IFERROR(__xludf.DUMMYFUNCTION("""COMPUTED_VALUE"""),31673)</f>
        <v>31673</v>
      </c>
      <c r="F2007" s="5" t="str">
        <f ca="1">IFERROR(__xludf.DUMMYFUNCTION("""COMPUTED_VALUE"""),"Benicia High School")</f>
        <v>Benicia High School</v>
      </c>
      <c r="G2007" s="5">
        <f ca="1">IFERROR(__xludf.DUMMYFUNCTION("""COMPUTED_VALUE"""),1)</f>
        <v>1</v>
      </c>
      <c r="H2007" s="5">
        <f ca="1">IFERROR(__xludf.DUMMYFUNCTION("""COMPUTED_VALUE"""),0)</f>
        <v>0</v>
      </c>
      <c r="I2007" s="5">
        <f ca="1">IFERROR(__xludf.DUMMYFUNCTION("""COMPUTED_VALUE"""),1)</f>
        <v>1</v>
      </c>
      <c r="J2007" s="5">
        <f ca="1">IFERROR(__xludf.DUMMYFUNCTION("""COMPUTED_VALUE"""),0)</f>
        <v>0</v>
      </c>
      <c r="K2007" s="9" t="str">
        <f ca="1">IFERROR(__xludf.DUMMYFUNCTION("""COMPUTED_VALUE"""),"https://www.newspapers.com/image/71348642/?terms=Benicia%2BHigh%2BSchool%2Bshooting")</f>
        <v>https://www.newspapers.com/image/71348642/?terms=Benicia%2BHigh%2BSchool%2Bshooting</v>
      </c>
      <c r="L2007" s="5"/>
      <c r="M2007" s="5"/>
      <c r="N2007" s="5">
        <f ca="1">IFERROR(__xludf.DUMMYFUNCTION("""COMPUTED_VALUE"""),2)</f>
        <v>2</v>
      </c>
      <c r="O2007" s="5" t="str">
        <f ca="1">IFERROR(__xludf.DUMMYFUNCTION("""COMPUTED_VALUE"""),"Fall")</f>
        <v>Fall</v>
      </c>
      <c r="P2007" s="5" t="str">
        <f ca="1">IFERROR(__xludf.DUMMYFUNCTION("""COMPUTED_VALUE"""),"Benicia")</f>
        <v>Benicia</v>
      </c>
      <c r="Q2007" s="5" t="str">
        <f ca="1">IFERROR(__xludf.DUMMYFUNCTION("""COMPUTED_VALUE"""),"CA")</f>
        <v>CA</v>
      </c>
      <c r="R2007" s="5" t="str">
        <f ca="1">IFERROR(__xludf.DUMMYFUNCTION("""COMPUTED_VALUE"""),"High")</f>
        <v>High</v>
      </c>
      <c r="S2007" s="5" t="str">
        <f ca="1">IFERROR(__xludf.DUMMYFUNCTION("""COMPUTED_VALUE"""),"Outside on School Property")</f>
        <v>Outside on School Property</v>
      </c>
      <c r="T2007" s="5" t="str">
        <f ca="1">IFERROR(__xludf.DUMMYFUNCTION("""COMPUTED_VALUE"""),"Outside on School Property")</f>
        <v>Outside on School Property</v>
      </c>
      <c r="U2007" s="5" t="str">
        <f ca="1">IFERROR(__xludf.DUMMYFUNCTION("""COMPUTED_VALUE"""),"Yes")</f>
        <v>Yes</v>
      </c>
      <c r="V2007" s="5" t="str">
        <f ca="1">IFERROR(__xludf.DUMMYFUNCTION("""COMPUTED_VALUE"""),"Afternoon Classes")</f>
        <v>Afternoon Classes</v>
      </c>
      <c r="W2007" s="5"/>
      <c r="X2007" s="5">
        <f ca="1">IFERROR(__xludf.DUMMYFUNCTION("""COMPUTED_VALUE"""),1)</f>
        <v>1</v>
      </c>
      <c r="Y2007" s="5" t="str">
        <f ca="1">IFERROR(__xludf.DUMMYFUNCTION("""COMPUTED_VALUE"""),"Victim broke up with boyfriend after school so he shot her in school parking lot")</f>
        <v>Victim broke up with boyfriend after school so he shot her in school parking lot</v>
      </c>
      <c r="Z2007" s="5" t="str">
        <f ca="1">IFERROR(__xludf.DUMMYFUNCTION("""COMPUTED_VALUE"""),"18YOM shot 15YOF during an argument. Shooter was found holding the body of the victim with the gun on the ground nearby. Shooter claimed he didn't think the gun was loaded. Shooter was sent for 72-psych evaluation. Shooter was well liked varsity athlete.")</f>
        <v>18YOM shot 15YOF during an argument. Shooter was found holding the body of the victim with the gun on the ground nearby. Shooter claimed he didn't think the gun was loaded. Shooter was sent for 72-psych evaluation. Shooter was well liked varsity athlete.</v>
      </c>
      <c r="AA2007" s="5" t="str">
        <f ca="1">IFERROR(__xludf.DUMMYFUNCTION("""COMPUTED_VALUE"""),"Domestic w/ Targeted Victim")</f>
        <v>Domestic w/ Targeted Victim</v>
      </c>
      <c r="AB2007" s="5" t="str">
        <f ca="1">IFERROR(__xludf.DUMMYFUNCTION("""COMPUTED_VALUE"""),"Victims Targeted")</f>
        <v>Victims Targeted</v>
      </c>
      <c r="AC2007" s="5" t="str">
        <f ca="1">IFERROR(__xludf.DUMMYFUNCTION("""COMPUTED_VALUE"""),"No")</f>
        <v>No</v>
      </c>
      <c r="AD2007" s="5" t="str">
        <f ca="1">IFERROR(__xludf.DUMMYFUNCTION("""COMPUTED_VALUE"""),"No")</f>
        <v>No</v>
      </c>
      <c r="AE2007" s="5" t="str">
        <f ca="1">IFERROR(__xludf.DUMMYFUNCTION("""COMPUTED_VALUE"""),"No")</f>
        <v>No</v>
      </c>
      <c r="AF2007" s="5" t="str">
        <f ca="1">IFERROR(__xludf.DUMMYFUNCTION("""COMPUTED_VALUE"""),"No")</f>
        <v>No</v>
      </c>
      <c r="AG2007" s="5" t="str">
        <f ca="1">IFERROR(__xludf.DUMMYFUNCTION("""COMPUTED_VALUE"""),"No")</f>
        <v>No</v>
      </c>
      <c r="AH2007" s="5" t="str">
        <f ca="1">IFERROR(__xludf.DUMMYFUNCTION("""COMPUTED_VALUE"""),"Yes")</f>
        <v>Yes</v>
      </c>
      <c r="AI2007" s="5" t="str">
        <f ca="1">IFERROR(__xludf.DUMMYFUNCTION("""COMPUTED_VALUE"""),"No")</f>
        <v>No</v>
      </c>
      <c r="AJ2007" s="5"/>
    </row>
    <row r="2008" spans="1:36" ht="13">
      <c r="A2008" s="5" t="str">
        <f ca="1">IFERROR(__xludf.DUMMYFUNCTION("""COMPUTED_VALUE"""),"19860912CAFAL")</f>
        <v>19860912CAFAL</v>
      </c>
      <c r="B2008" s="5">
        <f ca="1">IFERROR(__xludf.DUMMYFUNCTION("""COMPUTED_VALUE"""),9)</f>
        <v>9</v>
      </c>
      <c r="C2008" s="5">
        <f ca="1">IFERROR(__xludf.DUMMYFUNCTION("""COMPUTED_VALUE"""),12)</f>
        <v>12</v>
      </c>
      <c r="D2008" s="5">
        <f ca="1">IFERROR(__xludf.DUMMYFUNCTION("""COMPUTED_VALUE"""),1986)</f>
        <v>1986</v>
      </c>
      <c r="E2008" s="8">
        <f ca="1">IFERROR(__xludf.DUMMYFUNCTION("""COMPUTED_VALUE"""),31667)</f>
        <v>31667</v>
      </c>
      <c r="F2008" s="5" t="str">
        <f ca="1">IFERROR(__xludf.DUMMYFUNCTION("""COMPUTED_VALUE"""),"Fairfax High School")</f>
        <v>Fairfax High School</v>
      </c>
      <c r="G2008" s="5">
        <f ca="1">IFERROR(__xludf.DUMMYFUNCTION("""COMPUTED_VALUE"""),1)</f>
        <v>1</v>
      </c>
      <c r="H2008" s="5">
        <f ca="1">IFERROR(__xludf.DUMMYFUNCTION("""COMPUTED_VALUE"""),0)</f>
        <v>0</v>
      </c>
      <c r="I2008" s="5">
        <f ca="1">IFERROR(__xludf.DUMMYFUNCTION("""COMPUTED_VALUE"""),1)</f>
        <v>1</v>
      </c>
      <c r="J2008" s="5">
        <f ca="1">IFERROR(__xludf.DUMMYFUNCTION("""COMPUTED_VALUE"""),0)</f>
        <v>0</v>
      </c>
      <c r="K2008" s="9" t="str">
        <f ca="1">IFERROR(__xludf.DUMMYFUNCTION("""COMPUTED_VALUE"""),"https://www.newspapers.com/image/404657287/?terms=Fairfax%2BHigh%2BSchool%2Bshooting")</f>
        <v>https://www.newspapers.com/image/404657287/?terms=Fairfax%2BHigh%2BSchool%2Bshooting</v>
      </c>
      <c r="L2008" s="5"/>
      <c r="M2008" s="5"/>
      <c r="N2008" s="5">
        <f ca="1">IFERROR(__xludf.DUMMYFUNCTION("""COMPUTED_VALUE"""),2)</f>
        <v>2</v>
      </c>
      <c r="O2008" s="5" t="str">
        <f ca="1">IFERROR(__xludf.DUMMYFUNCTION("""COMPUTED_VALUE"""),"Fall")</f>
        <v>Fall</v>
      </c>
      <c r="P2008" s="5" t="str">
        <f ca="1">IFERROR(__xludf.DUMMYFUNCTION("""COMPUTED_VALUE"""),"Los Angeles")</f>
        <v>Los Angeles</v>
      </c>
      <c r="Q2008" s="5" t="str">
        <f ca="1">IFERROR(__xludf.DUMMYFUNCTION("""COMPUTED_VALUE"""),"CA")</f>
        <v>CA</v>
      </c>
      <c r="R2008" s="5" t="str">
        <f ca="1">IFERROR(__xludf.DUMMYFUNCTION("""COMPUTED_VALUE"""),"High")</f>
        <v>High</v>
      </c>
      <c r="S2008" s="5" t="str">
        <f ca="1">IFERROR(__xludf.DUMMYFUNCTION("""COMPUTED_VALUE"""),"Hallway")</f>
        <v>Hallway</v>
      </c>
      <c r="T2008" s="5" t="str">
        <f ca="1">IFERROR(__xludf.DUMMYFUNCTION("""COMPUTED_VALUE"""),"Inside School Building")</f>
        <v>Inside School Building</v>
      </c>
      <c r="U2008" s="5" t="str">
        <f ca="1">IFERROR(__xludf.DUMMYFUNCTION("""COMPUTED_VALUE"""),"Yes")</f>
        <v>Yes</v>
      </c>
      <c r="V2008" s="5" t="str">
        <f ca="1">IFERROR(__xludf.DUMMYFUNCTION("""COMPUTED_VALUE"""),"Afternoon Classes")</f>
        <v>Afternoon Classes</v>
      </c>
      <c r="W2008" s="10">
        <f ca="1">IFERROR(__xludf.DUMMYFUNCTION("""COMPUTED_VALUE"""),0.59375)</f>
        <v>0.59375</v>
      </c>
      <c r="X2008" s="5">
        <f ca="1">IFERROR(__xludf.DUMMYFUNCTION("""COMPUTED_VALUE"""),1)</f>
        <v>1</v>
      </c>
      <c r="Y2008" s="5" t="str">
        <f ca="1">IFERROR(__xludf.DUMMYFUNCTION("""COMPUTED_VALUE"""),"Fight broke out in hallway, victim was inadvertently shot in back and killed")</f>
        <v>Fight broke out in hallway, victim was inadvertently shot in back and killed</v>
      </c>
      <c r="Z2008" s="5" t="str">
        <f ca="1">IFERROR(__xludf.DUMMYFUNCTION("""COMPUTED_VALUE"""),"Gang related shooting in the hallway of the school. A former student visiting the school was in the crossfire and shot in the back. Police were looking for 3 students who were suspects.")</f>
        <v>Gang related shooting in the hallway of the school. A former student visiting the school was in the crossfire and shot in the back. Police were looking for 3 students who were suspects.</v>
      </c>
      <c r="AA2008" s="5" t="str">
        <f ca="1">IFERROR(__xludf.DUMMYFUNCTION("""COMPUTED_VALUE"""),"Escalation of Dispute")</f>
        <v>Escalation of Dispute</v>
      </c>
      <c r="AB2008" s="5" t="str">
        <f ca="1">IFERROR(__xludf.DUMMYFUNCTION("""COMPUTED_VALUE"""),"Both")</f>
        <v>Both</v>
      </c>
      <c r="AC2008" s="5" t="str">
        <f ca="1">IFERROR(__xludf.DUMMYFUNCTION("""COMPUTED_VALUE"""),"Yes")</f>
        <v>Yes</v>
      </c>
      <c r="AD2008" s="5" t="str">
        <f ca="1">IFERROR(__xludf.DUMMYFUNCTION("""COMPUTED_VALUE"""),"No")</f>
        <v>No</v>
      </c>
      <c r="AE2008" s="5" t="str">
        <f ca="1">IFERROR(__xludf.DUMMYFUNCTION("""COMPUTED_VALUE"""),"No")</f>
        <v>No</v>
      </c>
      <c r="AF2008" s="5" t="str">
        <f ca="1">IFERROR(__xludf.DUMMYFUNCTION("""COMPUTED_VALUE"""),"No")</f>
        <v>No</v>
      </c>
      <c r="AG2008" s="5" t="str">
        <f ca="1">IFERROR(__xludf.DUMMYFUNCTION("""COMPUTED_VALUE"""),"No")</f>
        <v>No</v>
      </c>
      <c r="AH2008" s="5" t="str">
        <f ca="1">IFERROR(__xludf.DUMMYFUNCTION("""COMPUTED_VALUE"""),"No")</f>
        <v>No</v>
      </c>
      <c r="AI2008" s="5" t="str">
        <f ca="1">IFERROR(__xludf.DUMMYFUNCTION("""COMPUTED_VALUE"""),"Yes")</f>
        <v>Yes</v>
      </c>
      <c r="AJ2008" s="5"/>
    </row>
    <row r="2009" spans="1:36" ht="13">
      <c r="A2009" s="5" t="str">
        <f ca="1">IFERROR(__xludf.DUMMYFUNCTION("""COMPUTED_VALUE"""),"19860517TNMAN")</f>
        <v>19860517TNMAN</v>
      </c>
      <c r="B2009" s="5">
        <f ca="1">IFERROR(__xludf.DUMMYFUNCTION("""COMPUTED_VALUE"""),5)</f>
        <v>5</v>
      </c>
      <c r="C2009" s="5">
        <f ca="1">IFERROR(__xludf.DUMMYFUNCTION("""COMPUTED_VALUE"""),17)</f>
        <v>17</v>
      </c>
      <c r="D2009" s="5">
        <f ca="1">IFERROR(__xludf.DUMMYFUNCTION("""COMPUTED_VALUE"""),1986)</f>
        <v>1986</v>
      </c>
      <c r="E2009" s="8">
        <f ca="1">IFERROR(__xludf.DUMMYFUNCTION("""COMPUTED_VALUE"""),31549)</f>
        <v>31549</v>
      </c>
      <c r="F2009" s="5" t="str">
        <f ca="1">IFERROR(__xludf.DUMMYFUNCTION("""COMPUTED_VALUE"""),"Maplewood High School")</f>
        <v>Maplewood High School</v>
      </c>
      <c r="G2009" s="5">
        <f ca="1">IFERROR(__xludf.DUMMYFUNCTION("""COMPUTED_VALUE"""),0)</f>
        <v>0</v>
      </c>
      <c r="H2009" s="5">
        <f ca="1">IFERROR(__xludf.DUMMYFUNCTION("""COMPUTED_VALUE"""),1)</f>
        <v>1</v>
      </c>
      <c r="I2009" s="5">
        <f ca="1">IFERROR(__xludf.DUMMYFUNCTION("""COMPUTED_VALUE"""),1)</f>
        <v>1</v>
      </c>
      <c r="J2009" s="5">
        <f ca="1">IFERROR(__xludf.DUMMYFUNCTION("""COMPUTED_VALUE"""),0)</f>
        <v>0</v>
      </c>
      <c r="K2009" s="9" t="str">
        <f ca="1">IFERROR(__xludf.DUMMYFUNCTION("""COMPUTED_VALUE"""),"https://www.newspapers.com/image/321065578/?terms=KERRY%2BDICKENS")</f>
        <v>https://www.newspapers.com/image/321065578/?terms=KERRY%2BDICKENS</v>
      </c>
      <c r="L2009" s="5"/>
      <c r="M2009" s="5"/>
      <c r="N2009" s="5">
        <f ca="1">IFERROR(__xludf.DUMMYFUNCTION("""COMPUTED_VALUE"""),2)</f>
        <v>2</v>
      </c>
      <c r="O2009" s="5" t="str">
        <f ca="1">IFERROR(__xludf.DUMMYFUNCTION("""COMPUTED_VALUE"""),"Spring")</f>
        <v>Spring</v>
      </c>
      <c r="P2009" s="5" t="str">
        <f ca="1">IFERROR(__xludf.DUMMYFUNCTION("""COMPUTED_VALUE"""),"Nashville")</f>
        <v>Nashville</v>
      </c>
      <c r="Q2009" s="5" t="str">
        <f ca="1">IFERROR(__xludf.DUMMYFUNCTION("""COMPUTED_VALUE"""),"TN")</f>
        <v>TN</v>
      </c>
      <c r="R2009" s="5" t="str">
        <f ca="1">IFERROR(__xludf.DUMMYFUNCTION("""COMPUTED_VALUE"""),"High")</f>
        <v>High</v>
      </c>
      <c r="S2009" s="5" t="str">
        <f ca="1">IFERROR(__xludf.DUMMYFUNCTION("""COMPUTED_VALUE"""),"Classroom")</f>
        <v>Classroom</v>
      </c>
      <c r="T2009" s="5" t="str">
        <f ca="1">IFERROR(__xludf.DUMMYFUNCTION("""COMPUTED_VALUE"""),"Inside School Building")</f>
        <v>Inside School Building</v>
      </c>
      <c r="U2009" s="5" t="str">
        <f ca="1">IFERROR(__xludf.DUMMYFUNCTION("""COMPUTED_VALUE"""),"Yes")</f>
        <v>Yes</v>
      </c>
      <c r="V2009" s="5" t="str">
        <f ca="1">IFERROR(__xludf.DUMMYFUNCTION("""COMPUTED_VALUE"""),"Before School")</f>
        <v>Before School</v>
      </c>
      <c r="W2009" s="10">
        <f ca="1">IFERROR(__xludf.DUMMYFUNCTION("""COMPUTED_VALUE"""),0.291666666666666)</f>
        <v>0.29166666666666602</v>
      </c>
      <c r="X2009" s="5">
        <f ca="1">IFERROR(__xludf.DUMMYFUNCTION("""COMPUTED_VALUE"""),1)</f>
        <v>1</v>
      </c>
      <c r="Y2009" s="5" t="str">
        <f ca="1">IFERROR(__xludf.DUMMYFUNCTION("""COMPUTED_VALUE"""),"Angry at teacher for kicking him out of class")</f>
        <v>Angry at teacher for kicking him out of class</v>
      </c>
      <c r="Z2009" s="5" t="str">
        <f ca="1">IFERROR(__xludf.DUMMYFUNCTION("""COMPUTED_VALUE"""),"Shooter was kicked out of class be teacher the day prior. The following day when he showed back up to class, teacher asked him to leave - shooter pulled out gun and shot teacher in chest - shooter fled, but was later caught.")</f>
        <v>Shooter was kicked out of class be teacher the day prior. The following day when he showed back up to class, teacher asked him to leave - shooter pulled out gun and shot teacher in chest - shooter fled, but was later caught.</v>
      </c>
      <c r="AA2009" s="5" t="str">
        <f ca="1">IFERROR(__xludf.DUMMYFUNCTION("""COMPUTED_VALUE"""),"Anger Over Grade/Suspension/Discipline")</f>
        <v>Anger Over Grade/Suspension/Discipline</v>
      </c>
      <c r="AB2009" s="5" t="str">
        <f ca="1">IFERROR(__xludf.DUMMYFUNCTION("""COMPUTED_VALUE"""),"Victims Targeted")</f>
        <v>Victims Targeted</v>
      </c>
      <c r="AC2009" s="5" t="str">
        <f ca="1">IFERROR(__xludf.DUMMYFUNCTION("""COMPUTED_VALUE"""),"No")</f>
        <v>No</v>
      </c>
      <c r="AD2009" s="5" t="str">
        <f ca="1">IFERROR(__xludf.DUMMYFUNCTION("""COMPUTED_VALUE"""),"No")</f>
        <v>No</v>
      </c>
      <c r="AE2009" s="5" t="str">
        <f ca="1">IFERROR(__xludf.DUMMYFUNCTION("""COMPUTED_VALUE"""),"No")</f>
        <v>No</v>
      </c>
      <c r="AF2009" s="5" t="str">
        <f ca="1">IFERROR(__xludf.DUMMYFUNCTION("""COMPUTED_VALUE"""),"No")</f>
        <v>No</v>
      </c>
      <c r="AG2009" s="5" t="str">
        <f ca="1">IFERROR(__xludf.DUMMYFUNCTION("""COMPUTED_VALUE"""),"No")</f>
        <v>No</v>
      </c>
      <c r="AH2009" s="5" t="str">
        <f ca="1">IFERROR(__xludf.DUMMYFUNCTION("""COMPUTED_VALUE"""),"No")</f>
        <v>No</v>
      </c>
      <c r="AI2009" s="5" t="str">
        <f ca="1">IFERROR(__xludf.DUMMYFUNCTION("""COMPUTED_VALUE"""),"No")</f>
        <v>No</v>
      </c>
      <c r="AJ2009" s="5"/>
    </row>
    <row r="2010" spans="1:36" ht="13">
      <c r="A2010" s="5" t="str">
        <f ca="1">IFERROR(__xludf.DUMMYFUNCTION("""COMPUTED_VALUE"""),"19860516WYCOC")</f>
        <v>19860516WYCOC</v>
      </c>
      <c r="B2010" s="5">
        <f ca="1">IFERROR(__xludf.DUMMYFUNCTION("""COMPUTED_VALUE"""),5)</f>
        <v>5</v>
      </c>
      <c r="C2010" s="5">
        <f ca="1">IFERROR(__xludf.DUMMYFUNCTION("""COMPUTED_VALUE"""),16)</f>
        <v>16</v>
      </c>
      <c r="D2010" s="5">
        <f ca="1">IFERROR(__xludf.DUMMYFUNCTION("""COMPUTED_VALUE"""),1986)</f>
        <v>1986</v>
      </c>
      <c r="E2010" s="8">
        <f ca="1">IFERROR(__xludf.DUMMYFUNCTION("""COMPUTED_VALUE"""),31548)</f>
        <v>31548</v>
      </c>
      <c r="F2010" s="5" t="str">
        <f ca="1">IFERROR(__xludf.DUMMYFUNCTION("""COMPUTED_VALUE"""),"Cokeville Elementary School")</f>
        <v>Cokeville Elementary School</v>
      </c>
      <c r="G2010" s="5">
        <f ca="1">IFERROR(__xludf.DUMMYFUNCTION("""COMPUTED_VALUE"""),0)</f>
        <v>0</v>
      </c>
      <c r="H2010" s="5">
        <f ca="1">IFERROR(__xludf.DUMMYFUNCTION("""COMPUTED_VALUE"""),74)</f>
        <v>74</v>
      </c>
      <c r="I2010" s="5">
        <f ca="1">IFERROR(__xludf.DUMMYFUNCTION("""COMPUTED_VALUE"""),74)</f>
        <v>74</v>
      </c>
      <c r="J2010" s="5">
        <f ca="1">IFERROR(__xludf.DUMMYFUNCTION("""COMPUTED_VALUE"""),1)</f>
        <v>1</v>
      </c>
      <c r="K2010" s="5" t="str">
        <f ca="1">IFERROR(__xludf.DUMMYFUNCTION("""COMPUTED_VALUE"""),"https://www.wyohistory.org/encyclopedia/cokeville-elementary-school-bombing https://www.nytimes.com/1986/05/17/us/couple-take-over-school-but-die-after-bomb-blast.html")</f>
        <v>https://www.wyohistory.org/encyclopedia/cokeville-elementary-school-bombing https://www.nytimes.com/1986/05/17/us/couple-take-over-school-but-die-after-bomb-blast.html</v>
      </c>
      <c r="L2010" s="5"/>
      <c r="M2010" s="5"/>
      <c r="N2010" s="5">
        <f ca="1">IFERROR(__xludf.DUMMYFUNCTION("""COMPUTED_VALUE"""),2)</f>
        <v>2</v>
      </c>
      <c r="O2010" s="5" t="str">
        <f ca="1">IFERROR(__xludf.DUMMYFUNCTION("""COMPUTED_VALUE"""),"Spring")</f>
        <v>Spring</v>
      </c>
      <c r="P2010" s="5" t="str">
        <f ca="1">IFERROR(__xludf.DUMMYFUNCTION("""COMPUTED_VALUE"""),"Cokeville")</f>
        <v>Cokeville</v>
      </c>
      <c r="Q2010" s="5" t="str">
        <f ca="1">IFERROR(__xludf.DUMMYFUNCTION("""COMPUTED_VALUE"""),"WY")</f>
        <v>WY</v>
      </c>
      <c r="R2010" s="5" t="str">
        <f ca="1">IFERROR(__xludf.DUMMYFUNCTION("""COMPUTED_VALUE"""),"Elementary")</f>
        <v>Elementary</v>
      </c>
      <c r="S2010" s="5" t="str">
        <f ca="1">IFERROR(__xludf.DUMMYFUNCTION("""COMPUTED_VALUE"""),"Cafeteria")</f>
        <v>Cafeteria</v>
      </c>
      <c r="T2010" s="5" t="str">
        <f ca="1">IFERROR(__xludf.DUMMYFUNCTION("""COMPUTED_VALUE"""),"Inside School Building")</f>
        <v>Inside School Building</v>
      </c>
      <c r="U2010" s="5" t="str">
        <f ca="1">IFERROR(__xludf.DUMMYFUNCTION("""COMPUTED_VALUE"""),"Yes")</f>
        <v>Yes</v>
      </c>
      <c r="V2010" s="5" t="str">
        <f ca="1">IFERROR(__xludf.DUMMYFUNCTION("""COMPUTED_VALUE"""),"Afternoon Classes")</f>
        <v>Afternoon Classes</v>
      </c>
      <c r="W2010" s="10">
        <f ca="1">IFERROR(__xludf.DUMMYFUNCTION("""COMPUTED_VALUE"""),0.5625)</f>
        <v>0.5625</v>
      </c>
      <c r="X2010" s="5">
        <f ca="1">IFERROR(__xludf.DUMMYFUNCTION("""COMPUTED_VALUE"""),150)</f>
        <v>150</v>
      </c>
      <c r="Y2010" s="5" t="str">
        <f ca="1">IFERROR(__xludf.DUMMYFUNCTION("""COMPUTED_VALUE"""),"Adult couple held 150 students and teacher hostage, detonated firebomb in cafeteria")</f>
        <v>Adult couple held 150 students and teacher hostage, detonated firebomb in cafeteria</v>
      </c>
      <c r="Z2010" s="5" t="str">
        <f ca="1">IFERROR(__xludf.DUMMYFUNCTION("""COMPUTED_VALUE"""),"Shooters (husband and wife) took 150 children and teachers hostage in elementary school. Shooters had a gasoline bomb rigged with a dead man switch attached to the wife. The wife accidently set off the gasoline bomb severely injuring herself and 74 studen"&amp;"ts. The husband then fatally shot and killed himself. The husband has previously been the sole police officer in the town but had become socially isolated over the past year. Shooters believed they were leading a revolution.")</f>
        <v>Shooters (husband and wife) took 150 children and teachers hostage in elementary school. Shooters had a gasoline bomb rigged with a dead man switch attached to the wife. The wife accidently set off the gasoline bomb severely injuring herself and 74 students. The husband then fatally shot and killed himself. The husband has previously been the sole police officer in the town but had become socially isolated over the past year. Shooters believed they were leading a revolution.</v>
      </c>
      <c r="AA2010" s="5" t="str">
        <f ca="1">IFERROR(__xludf.DUMMYFUNCTION("""COMPUTED_VALUE"""),"Hostage/Standoff")</f>
        <v>Hostage/Standoff</v>
      </c>
      <c r="AB2010" s="5" t="str">
        <f ca="1">IFERROR(__xludf.DUMMYFUNCTION("""COMPUTED_VALUE"""),"Neither")</f>
        <v>Neither</v>
      </c>
      <c r="AC2010" s="5" t="str">
        <f ca="1">IFERROR(__xludf.DUMMYFUNCTION("""COMPUTED_VALUE"""),"Yes")</f>
        <v>Yes</v>
      </c>
      <c r="AD2010" s="5" t="str">
        <f ca="1">IFERROR(__xludf.DUMMYFUNCTION("""COMPUTED_VALUE"""),"Yes")</f>
        <v>Yes</v>
      </c>
      <c r="AE2010" s="5" t="str">
        <f ca="1">IFERROR(__xludf.DUMMYFUNCTION("""COMPUTED_VALUE"""),"No")</f>
        <v>No</v>
      </c>
      <c r="AF2010" s="5" t="str">
        <f ca="1">IFERROR(__xludf.DUMMYFUNCTION("""COMPUTED_VALUE"""),"No")</f>
        <v>No</v>
      </c>
      <c r="AG2010" s="5" t="str">
        <f ca="1">IFERROR(__xludf.DUMMYFUNCTION("""COMPUTED_VALUE"""),"No")</f>
        <v>No</v>
      </c>
      <c r="AH2010" s="5" t="str">
        <f ca="1">IFERROR(__xludf.DUMMYFUNCTION("""COMPUTED_VALUE"""),"No")</f>
        <v>No</v>
      </c>
      <c r="AI2010" s="5" t="str">
        <f ca="1">IFERROR(__xludf.DUMMYFUNCTION("""COMPUTED_VALUE"""),"No")</f>
        <v>No</v>
      </c>
      <c r="AJ2010" s="5" t="str">
        <f ca="1">IFERROR(__xludf.DUMMYFUNCTION("""COMPUTED_VALUE"""),"Yes")</f>
        <v>Yes</v>
      </c>
    </row>
    <row r="2011" spans="1:36" ht="13">
      <c r="A2011" s="5" t="str">
        <f ca="1">IFERROR(__xludf.DUMMYFUNCTION("""COMPUTED_VALUE"""),"19860515GACAA")</f>
        <v>19860515GACAA</v>
      </c>
      <c r="B2011" s="5">
        <f ca="1">IFERROR(__xludf.DUMMYFUNCTION("""COMPUTED_VALUE"""),5)</f>
        <v>5</v>
      </c>
      <c r="C2011" s="5">
        <f ca="1">IFERROR(__xludf.DUMMYFUNCTION("""COMPUTED_VALUE"""),15)</f>
        <v>15</v>
      </c>
      <c r="D2011" s="5">
        <f ca="1">IFERROR(__xludf.DUMMYFUNCTION("""COMPUTED_VALUE"""),1986)</f>
        <v>1986</v>
      </c>
      <c r="E2011" s="8">
        <f ca="1">IFERROR(__xludf.DUMMYFUNCTION("""COMPUTED_VALUE"""),31547)</f>
        <v>31547</v>
      </c>
      <c r="F2011" s="5" t="str">
        <f ca="1">IFERROR(__xludf.DUMMYFUNCTION("""COMPUTED_VALUE"""),"Carver High School")</f>
        <v>Carver High School</v>
      </c>
      <c r="G2011" s="5">
        <f ca="1">IFERROR(__xludf.DUMMYFUNCTION("""COMPUTED_VALUE"""),0)</f>
        <v>0</v>
      </c>
      <c r="H2011" s="5">
        <f ca="1">IFERROR(__xludf.DUMMYFUNCTION("""COMPUTED_VALUE"""),1)</f>
        <v>1</v>
      </c>
      <c r="I2011" s="5">
        <f ca="1">IFERROR(__xludf.DUMMYFUNCTION("""COMPUTED_VALUE"""),1)</f>
        <v>1</v>
      </c>
      <c r="J2011" s="5">
        <f ca="1">IFERROR(__xludf.DUMMYFUNCTION("""COMPUTED_VALUE"""),0)</f>
        <v>0</v>
      </c>
      <c r="K2011" s="9" t="str">
        <f ca="1">IFERROR(__xludf.DUMMYFUNCTION("""COMPUTED_VALUE"""),"https://www.newspapers.com/image/399571341/?terms=tammy%2Bfowler%2Bcarver")</f>
        <v>https://www.newspapers.com/image/399571341/?terms=tammy%2Bfowler%2Bcarver</v>
      </c>
      <c r="L2011" s="5"/>
      <c r="M2011" s="5"/>
      <c r="N2011" s="5">
        <f ca="1">IFERROR(__xludf.DUMMYFUNCTION("""COMPUTED_VALUE"""),2)</f>
        <v>2</v>
      </c>
      <c r="O2011" s="5" t="str">
        <f ca="1">IFERROR(__xludf.DUMMYFUNCTION("""COMPUTED_VALUE"""),"Spring")</f>
        <v>Spring</v>
      </c>
      <c r="P2011" s="5" t="str">
        <f ca="1">IFERROR(__xludf.DUMMYFUNCTION("""COMPUTED_VALUE"""),"Atlanta")</f>
        <v>Atlanta</v>
      </c>
      <c r="Q2011" s="5" t="str">
        <f ca="1">IFERROR(__xludf.DUMMYFUNCTION("""COMPUTED_VALUE"""),"GA")</f>
        <v>GA</v>
      </c>
      <c r="R2011" s="5" t="str">
        <f ca="1">IFERROR(__xludf.DUMMYFUNCTION("""COMPUTED_VALUE"""),"High")</f>
        <v>High</v>
      </c>
      <c r="S2011" s="5" t="str">
        <f ca="1">IFERROR(__xludf.DUMMYFUNCTION("""COMPUTED_VALUE"""),"Field (General)")</f>
        <v>Field (General)</v>
      </c>
      <c r="T2011" s="5" t="str">
        <f ca="1">IFERROR(__xludf.DUMMYFUNCTION("""COMPUTED_VALUE"""),"Outside on School Property")</f>
        <v>Outside on School Property</v>
      </c>
      <c r="U2011" s="5" t="str">
        <f ca="1">IFERROR(__xludf.DUMMYFUNCTION("""COMPUTED_VALUE"""),"Yes")</f>
        <v>Yes</v>
      </c>
      <c r="V2011" s="5"/>
      <c r="W2011" s="5"/>
      <c r="X2011" s="5">
        <f ca="1">IFERROR(__xludf.DUMMYFUNCTION("""COMPUTED_VALUE"""),1)</f>
        <v>1</v>
      </c>
      <c r="Y2011" s="5" t="str">
        <f ca="1">IFERROR(__xludf.DUMMYFUNCTION("""COMPUTED_VALUE"""),"Accidental - during ROTC rifle practice")</f>
        <v>Accidental - during ROTC rifle practice</v>
      </c>
      <c r="Z2011" s="5" t="str">
        <f ca="1">IFERROR(__xludf.DUMMYFUNCTION("""COMPUTED_VALUE"""),"Accidentally shot during ROTC rifle shooting practice by fellow student while she was down range - hit in lower left leg")</f>
        <v>Accidentally shot during ROTC rifle shooting practice by fellow student while she was down range - hit in lower left leg</v>
      </c>
      <c r="AA2011" s="5" t="str">
        <f ca="1">IFERROR(__xludf.DUMMYFUNCTION("""COMPUTED_VALUE"""),"Accidental")</f>
        <v>Accidental</v>
      </c>
      <c r="AB2011" s="5" t="str">
        <f ca="1">IFERROR(__xludf.DUMMYFUNCTION("""COMPUTED_VALUE"""),"Random Shooting")</f>
        <v>Random Shooting</v>
      </c>
      <c r="AC2011" s="5"/>
      <c r="AD2011" s="5" t="str">
        <f ca="1">IFERROR(__xludf.DUMMYFUNCTION("""COMPUTED_VALUE"""),"No")</f>
        <v>No</v>
      </c>
      <c r="AE2011" s="5" t="str">
        <f ca="1">IFERROR(__xludf.DUMMYFUNCTION("""COMPUTED_VALUE"""),"No")</f>
        <v>No</v>
      </c>
      <c r="AF2011" s="5" t="str">
        <f ca="1">IFERROR(__xludf.DUMMYFUNCTION("""COMPUTED_VALUE"""),"No")</f>
        <v>No</v>
      </c>
      <c r="AG2011" s="5" t="str">
        <f ca="1">IFERROR(__xludf.DUMMYFUNCTION("""COMPUTED_VALUE"""),"No")</f>
        <v>No</v>
      </c>
      <c r="AH2011" s="5" t="str">
        <f ca="1">IFERROR(__xludf.DUMMYFUNCTION("""COMPUTED_VALUE"""),"No")</f>
        <v>No</v>
      </c>
      <c r="AI2011" s="5" t="str">
        <f ca="1">IFERROR(__xludf.DUMMYFUNCTION("""COMPUTED_VALUE"""),"No")</f>
        <v>No</v>
      </c>
      <c r="AJ2011" s="5"/>
    </row>
    <row r="2012" spans="1:36" ht="13">
      <c r="A2012" s="5" t="str">
        <f ca="1">IFERROR(__xludf.DUMMYFUNCTION("""COMPUTED_VALUE"""),"19860509NCPIF")</f>
        <v>19860509NCPIF</v>
      </c>
      <c r="B2012" s="5">
        <f ca="1">IFERROR(__xludf.DUMMYFUNCTION("""COMPUTED_VALUE"""),5)</f>
        <v>5</v>
      </c>
      <c r="C2012" s="5">
        <f ca="1">IFERROR(__xludf.DUMMYFUNCTION("""COMPUTED_VALUE"""),9)</f>
        <v>9</v>
      </c>
      <c r="D2012" s="5">
        <f ca="1">IFERROR(__xludf.DUMMYFUNCTION("""COMPUTED_VALUE"""),1986)</f>
        <v>1986</v>
      </c>
      <c r="E2012" s="8">
        <f ca="1">IFERROR(__xludf.DUMMYFUNCTION("""COMPUTED_VALUE"""),31541)</f>
        <v>31541</v>
      </c>
      <c r="F2012" s="5" t="str">
        <f ca="1">IFERROR(__xludf.DUMMYFUNCTION("""COMPUTED_VALUE"""),"Pine Forest High School")</f>
        <v>Pine Forest High School</v>
      </c>
      <c r="G2012" s="5">
        <f ca="1">IFERROR(__xludf.DUMMYFUNCTION("""COMPUTED_VALUE"""),0)</f>
        <v>0</v>
      </c>
      <c r="H2012" s="5">
        <f ca="1">IFERROR(__xludf.DUMMYFUNCTION("""COMPUTED_VALUE"""),3)</f>
        <v>3</v>
      </c>
      <c r="I2012" s="5">
        <f ca="1">IFERROR(__xludf.DUMMYFUNCTION("""COMPUTED_VALUE"""),3)</f>
        <v>3</v>
      </c>
      <c r="J2012" s="5">
        <f ca="1">IFERROR(__xludf.DUMMYFUNCTION("""COMPUTED_VALUE"""),0)</f>
        <v>0</v>
      </c>
      <c r="K2012" s="9" t="str">
        <f ca="1">IFERROR(__xludf.DUMMYFUNCTION("""COMPUTED_VALUE"""),"https://www.upi.com/Archives/1986/05/09/A-17-year-old-student-opened-fire-with-a-pistol-in/5107515995200/")</f>
        <v>https://www.upi.com/Archives/1986/05/09/A-17-year-old-student-opened-fire-with-a-pistol-in/5107515995200/</v>
      </c>
      <c r="L2012" s="5"/>
      <c r="M2012" s="5"/>
      <c r="N2012" s="5">
        <f ca="1">IFERROR(__xludf.DUMMYFUNCTION("""COMPUTED_VALUE"""),2)</f>
        <v>2</v>
      </c>
      <c r="O2012" s="5" t="str">
        <f ca="1">IFERROR(__xludf.DUMMYFUNCTION("""COMPUTED_VALUE"""),"Spring")</f>
        <v>Spring</v>
      </c>
      <c r="P2012" s="5" t="str">
        <f ca="1">IFERROR(__xludf.DUMMYFUNCTION("""COMPUTED_VALUE"""),"Fayetteville")</f>
        <v>Fayetteville</v>
      </c>
      <c r="Q2012" s="5" t="str">
        <f ca="1">IFERROR(__xludf.DUMMYFUNCTION("""COMPUTED_VALUE"""),"NC")</f>
        <v>NC</v>
      </c>
      <c r="R2012" s="5" t="str">
        <f ca="1">IFERROR(__xludf.DUMMYFUNCTION("""COMPUTED_VALUE"""),"High")</f>
        <v>High</v>
      </c>
      <c r="S2012" s="5" t="str">
        <f ca="1">IFERROR(__xludf.DUMMYFUNCTION("""COMPUTED_VALUE"""),"Inside School Building")</f>
        <v>Inside School Building</v>
      </c>
      <c r="T2012" s="5" t="str">
        <f ca="1">IFERROR(__xludf.DUMMYFUNCTION("""COMPUTED_VALUE"""),"Inside School Building")</f>
        <v>Inside School Building</v>
      </c>
      <c r="U2012" s="5" t="str">
        <f ca="1">IFERROR(__xludf.DUMMYFUNCTION("""COMPUTED_VALUE"""),"Yes")</f>
        <v>Yes</v>
      </c>
      <c r="V2012" s="5" t="str">
        <f ca="1">IFERROR(__xludf.DUMMYFUNCTION("""COMPUTED_VALUE"""),"Morning Classes")</f>
        <v>Morning Classes</v>
      </c>
      <c r="W2012" s="10">
        <f ca="1">IFERROR(__xludf.DUMMYFUNCTION("""COMPUTED_VALUE"""),0.395833333333333)</f>
        <v>0.39583333333333298</v>
      </c>
      <c r="X2012" s="5">
        <f ca="1">IFERROR(__xludf.DUMMYFUNCTION("""COMPUTED_VALUE"""),1)</f>
        <v>1</v>
      </c>
      <c r="Y2012" s="5" t="str">
        <f ca="1">IFERROR(__xludf.DUMMYFUNCTION("""COMPUTED_VALUE"""),"Threats to shooter by one of the victims he shot")</f>
        <v>Threats to shooter by one of the victims he shot</v>
      </c>
      <c r="Z2012" s="5" t="str">
        <f ca="1">IFERROR(__xludf.DUMMYFUNCTION("""COMPUTED_VALUE"""),"Simmons had been threatened by Roundtree, one of victims. Per detective, Simmons had previously tried to get school officials to intervene, but they refused. Simmons served only 90 days in jail.")</f>
        <v>Simmons had been threatened by Roundtree, one of victims. Per detective, Simmons had previously tried to get school officials to intervene, but they refused. Simmons served only 90 days in jail.</v>
      </c>
      <c r="AA2012" s="5" t="str">
        <f ca="1">IFERROR(__xludf.DUMMYFUNCTION("""COMPUTED_VALUE"""),"Escalation of Dispute")</f>
        <v>Escalation of Dispute</v>
      </c>
      <c r="AB2012" s="5" t="str">
        <f ca="1">IFERROR(__xludf.DUMMYFUNCTION("""COMPUTED_VALUE"""),"Both")</f>
        <v>Both</v>
      </c>
      <c r="AC2012" s="5" t="str">
        <f ca="1">IFERROR(__xludf.DUMMYFUNCTION("""COMPUTED_VALUE"""),"No")</f>
        <v>No</v>
      </c>
      <c r="AD2012" s="5" t="str">
        <f ca="1">IFERROR(__xludf.DUMMYFUNCTION("""COMPUTED_VALUE"""),"No")</f>
        <v>No</v>
      </c>
      <c r="AE2012" s="5" t="str">
        <f ca="1">IFERROR(__xludf.DUMMYFUNCTION("""COMPUTED_VALUE"""),"No")</f>
        <v>No</v>
      </c>
      <c r="AF2012" s="5" t="str">
        <f ca="1">IFERROR(__xludf.DUMMYFUNCTION("""COMPUTED_VALUE"""),"No")</f>
        <v>No</v>
      </c>
      <c r="AG2012" s="5" t="str">
        <f ca="1">IFERROR(__xludf.DUMMYFUNCTION("""COMPUTED_VALUE"""),"Yes")</f>
        <v>Yes</v>
      </c>
      <c r="AH2012" s="5" t="str">
        <f ca="1">IFERROR(__xludf.DUMMYFUNCTION("""COMPUTED_VALUE"""),"No")</f>
        <v>No</v>
      </c>
      <c r="AI2012" s="5" t="str">
        <f ca="1">IFERROR(__xludf.DUMMYFUNCTION("""COMPUTED_VALUE"""),"No")</f>
        <v>No</v>
      </c>
      <c r="AJ2012" s="5"/>
    </row>
    <row r="2013" spans="1:36" ht="13">
      <c r="A2013" s="5" t="str">
        <f ca="1">IFERROR(__xludf.DUMMYFUNCTION("""COMPUTED_VALUE"""),"19860506PAMOK")</f>
        <v>19860506PAMOK</v>
      </c>
      <c r="B2013" s="5">
        <f ca="1">IFERROR(__xludf.DUMMYFUNCTION("""COMPUTED_VALUE"""),5)</f>
        <v>5</v>
      </c>
      <c r="C2013" s="5">
        <f ca="1">IFERROR(__xludf.DUMMYFUNCTION("""COMPUTED_VALUE"""),6)</f>
        <v>6</v>
      </c>
      <c r="D2013" s="5">
        <f ca="1">IFERROR(__xludf.DUMMYFUNCTION("""COMPUTED_VALUE"""),1986)</f>
        <v>1986</v>
      </c>
      <c r="E2013" s="8">
        <f ca="1">IFERROR(__xludf.DUMMYFUNCTION("""COMPUTED_VALUE"""),31538)</f>
        <v>31538</v>
      </c>
      <c r="F2013" s="5" t="str">
        <f ca="1">IFERROR(__xludf.DUMMYFUNCTION("""COMPUTED_VALUE"""),"Mountain View High School")</f>
        <v>Mountain View High School</v>
      </c>
      <c r="G2013" s="5">
        <f ca="1">IFERROR(__xludf.DUMMYFUNCTION("""COMPUTED_VALUE"""),0)</f>
        <v>0</v>
      </c>
      <c r="H2013" s="5">
        <f ca="1">IFERROR(__xludf.DUMMYFUNCTION("""COMPUTED_VALUE"""),0)</f>
        <v>0</v>
      </c>
      <c r="I2013" s="5">
        <f ca="1">IFERROR(__xludf.DUMMYFUNCTION("""COMPUTED_VALUE"""),0)</f>
        <v>0</v>
      </c>
      <c r="J2013" s="5">
        <f ca="1">IFERROR(__xludf.DUMMYFUNCTION("""COMPUTED_VALUE"""),0)</f>
        <v>0</v>
      </c>
      <c r="K2013" s="9" t="str">
        <f ca="1">IFERROR(__xludf.DUMMYFUNCTION("""COMPUTED_VALUE"""),"https://www.upi.com/Archives/1986/05/07/Official-says-teenage-hostage-taker-unhappy-with-life/5055515822400/")</f>
        <v>https://www.upi.com/Archives/1986/05/07/Official-says-teenage-hostage-taker-unhappy-with-life/5055515822400/</v>
      </c>
      <c r="L2013" s="5"/>
      <c r="M2013" s="5"/>
      <c r="N2013" s="5">
        <f ca="1">IFERROR(__xludf.DUMMYFUNCTION("""COMPUTED_VALUE"""),5)</f>
        <v>5</v>
      </c>
      <c r="O2013" s="5" t="str">
        <f ca="1">IFERROR(__xludf.DUMMYFUNCTION("""COMPUTED_VALUE"""),"Spring")</f>
        <v>Spring</v>
      </c>
      <c r="P2013" s="5" t="str">
        <f ca="1">IFERROR(__xludf.DUMMYFUNCTION("""COMPUTED_VALUE"""),"Kingsley")</f>
        <v>Kingsley</v>
      </c>
      <c r="Q2013" s="5" t="str">
        <f ca="1">IFERROR(__xludf.DUMMYFUNCTION("""COMPUTED_VALUE"""),"PA")</f>
        <v>PA</v>
      </c>
      <c r="R2013" s="5" t="str">
        <f ca="1">IFERROR(__xludf.DUMMYFUNCTION("""COMPUTED_VALUE"""),"6-12")</f>
        <v>6-12</v>
      </c>
      <c r="S2013" s="5" t="str">
        <f ca="1">IFERROR(__xludf.DUMMYFUNCTION("""COMPUTED_VALUE"""),"Classroom")</f>
        <v>Classroom</v>
      </c>
      <c r="T2013" s="5" t="str">
        <f ca="1">IFERROR(__xludf.DUMMYFUNCTION("""COMPUTED_VALUE"""),"Inside School Building")</f>
        <v>Inside School Building</v>
      </c>
      <c r="U2013" s="5" t="str">
        <f ca="1">IFERROR(__xludf.DUMMYFUNCTION("""COMPUTED_VALUE"""),"Yes")</f>
        <v>Yes</v>
      </c>
      <c r="V2013" s="5" t="str">
        <f ca="1">IFERROR(__xludf.DUMMYFUNCTION("""COMPUTED_VALUE"""),"Morning Classes")</f>
        <v>Morning Classes</v>
      </c>
      <c r="W2013" s="10">
        <f ca="1">IFERROR(__xludf.DUMMYFUNCTION("""COMPUTED_VALUE"""),0.395833333333333)</f>
        <v>0.39583333333333298</v>
      </c>
      <c r="X2013" s="5">
        <f ca="1">IFERROR(__xludf.DUMMYFUNCTION("""COMPUTED_VALUE"""),1)</f>
        <v>1</v>
      </c>
      <c r="Y2013" s="5" t="str">
        <f ca="1">IFERROR(__xludf.DUMMYFUNCTION("""COMPUTED_VALUE"""),"Student with 2 handguns took 28 classmates hostage for 4.5 hours")</f>
        <v>Student with 2 handguns took 28 classmates hostage for 4.5 hours</v>
      </c>
      <c r="Z2013" s="5" t="str">
        <f ca="1">IFERROR(__xludf.DUMMYFUNCTION("""COMPUTED_VALUE""")," A 16-year-old 9th grade student at the school (misreported as 14 year old in initial accounts) entered a classroom of 8th graders and held the teacher and 25 students hostage. He had 2 handguns and ammunition. He requested the principal come to the room;"&amp;" the principal and another teacher arrived moments later (for a total of 28 hostages). Over the course of 4.5 hours, he eventually released all the hostages, the last one being the principal.  Police arrived on the scene about 2 hours into the incident an"&amp;"d, in collaboration with school officials, successfully convinced the perpetrator to surrender.  Perpetrator was described as distraught and disgruntled, but made no specific demands.  Perpetrator was remanded to a mental health facility and eventually ad"&amp;"judicated.  No one was physically harmed or directly threatened by the gunman. ")</f>
        <v xml:space="preserve"> A 16-year-old 9th grade student at the school (misreported as 14 year old in initial accounts) entered a classroom of 8th graders and held the teacher and 25 students hostage. He had 2 handguns and ammunition. He requested the principal come to the room; the principal and another teacher arrived moments later (for a total of 28 hostages). Over the course of 4.5 hours, he eventually released all the hostages, the last one being the principal.  Police arrived on the scene about 2 hours into the incident and, in collaboration with school officials, successfully convinced the perpetrator to surrender.  Perpetrator was described as distraught and disgruntled, but made no specific demands.  Perpetrator was remanded to a mental health facility and eventually adjudicated.  No one was physically harmed or directly threatened by the gunman. </v>
      </c>
      <c r="AA2013" s="5" t="str">
        <f ca="1">IFERROR(__xludf.DUMMYFUNCTION("""COMPUTED_VALUE"""),"Hostage/Standoff")</f>
        <v>Hostage/Standoff</v>
      </c>
      <c r="AB2013" s="5" t="str">
        <f ca="1">IFERROR(__xludf.DUMMYFUNCTION("""COMPUTED_VALUE"""),"Random Shooting")</f>
        <v>Random Shooting</v>
      </c>
      <c r="AC2013" s="5" t="str">
        <f ca="1">IFERROR(__xludf.DUMMYFUNCTION("""COMPUTED_VALUE"""),"No")</f>
        <v>No</v>
      </c>
      <c r="AD2013" s="5" t="str">
        <f ca="1">IFERROR(__xludf.DUMMYFUNCTION("""COMPUTED_VALUE"""),"Yes")</f>
        <v>Yes</v>
      </c>
      <c r="AE2013" s="5" t="str">
        <f ca="1">IFERROR(__xludf.DUMMYFUNCTION("""COMPUTED_VALUE"""),"Yes")</f>
        <v>Yes</v>
      </c>
      <c r="AF2013" s="5" t="str">
        <f ca="1">IFERROR(__xludf.DUMMYFUNCTION("""COMPUTED_VALUE"""),"No")</f>
        <v>No</v>
      </c>
      <c r="AG2013" s="5"/>
      <c r="AH2013" s="5" t="str">
        <f ca="1">IFERROR(__xludf.DUMMYFUNCTION("""COMPUTED_VALUE"""),"No")</f>
        <v>No</v>
      </c>
      <c r="AI2013" s="5" t="str">
        <f ca="1">IFERROR(__xludf.DUMMYFUNCTION("""COMPUTED_VALUE"""),"No")</f>
        <v>No</v>
      </c>
      <c r="AJ2013" s="5" t="str">
        <f ca="1">IFERROR(__xludf.DUMMYFUNCTION("""COMPUTED_VALUE"""),"Yes")</f>
        <v>Yes</v>
      </c>
    </row>
    <row r="2014" spans="1:36" ht="13">
      <c r="A2014" s="5" t="str">
        <f ca="1">IFERROR(__xludf.DUMMYFUNCTION("""COMPUTED_VALUE"""),"19860429MOSES")</f>
        <v>19860429MOSES</v>
      </c>
      <c r="B2014" s="5">
        <f ca="1">IFERROR(__xludf.DUMMYFUNCTION("""COMPUTED_VALUE"""),4)</f>
        <v>4</v>
      </c>
      <c r="C2014" s="5">
        <f ca="1">IFERROR(__xludf.DUMMYFUNCTION("""COMPUTED_VALUE"""),29)</f>
        <v>29</v>
      </c>
      <c r="D2014" s="5">
        <f ca="1">IFERROR(__xludf.DUMMYFUNCTION("""COMPUTED_VALUE"""),1986)</f>
        <v>1986</v>
      </c>
      <c r="E2014" s="8">
        <f ca="1">IFERROR(__xludf.DUMMYFUNCTION("""COMPUTED_VALUE"""),31531)</f>
        <v>31531</v>
      </c>
      <c r="F2014" s="5" t="str">
        <f ca="1">IFERROR(__xludf.DUMMYFUNCTION("""COMPUTED_VALUE"""),"Senath-Hornersville High School")</f>
        <v>Senath-Hornersville High School</v>
      </c>
      <c r="G2014" s="5">
        <f ca="1">IFERROR(__xludf.DUMMYFUNCTION("""COMPUTED_VALUE"""),1)</f>
        <v>1</v>
      </c>
      <c r="H2014" s="5">
        <f ca="1">IFERROR(__xludf.DUMMYFUNCTION("""COMPUTED_VALUE"""),0)</f>
        <v>0</v>
      </c>
      <c r="I2014" s="5">
        <f ca="1">IFERROR(__xludf.DUMMYFUNCTION("""COMPUTED_VALUE"""),1)</f>
        <v>1</v>
      </c>
      <c r="J2014" s="5">
        <f ca="1">IFERROR(__xludf.DUMMYFUNCTION("""COMPUTED_VALUE"""),0)</f>
        <v>0</v>
      </c>
      <c r="K2014" s="9" t="str">
        <f ca="1">IFERROR(__xludf.DUMMYFUNCTION("""COMPUTED_VALUE"""),"http://articles.chicagotribune.com/1986-05-01/news/8601310677_1_science-class-elliott-student")</f>
        <v>http://articles.chicagotribune.com/1986-05-01/news/8601310677_1_science-class-elliott-student</v>
      </c>
      <c r="L2014" s="5"/>
      <c r="M2014" s="5"/>
      <c r="N2014" s="5">
        <f ca="1">IFERROR(__xludf.DUMMYFUNCTION("""COMPUTED_VALUE"""),2)</f>
        <v>2</v>
      </c>
      <c r="O2014" s="5" t="str">
        <f ca="1">IFERROR(__xludf.DUMMYFUNCTION("""COMPUTED_VALUE"""),"Spring")</f>
        <v>Spring</v>
      </c>
      <c r="P2014" s="5" t="str">
        <f ca="1">IFERROR(__xludf.DUMMYFUNCTION("""COMPUTED_VALUE"""),"Senath")</f>
        <v>Senath</v>
      </c>
      <c r="Q2014" s="5" t="str">
        <f ca="1">IFERROR(__xludf.DUMMYFUNCTION("""COMPUTED_VALUE"""),"MO")</f>
        <v>MO</v>
      </c>
      <c r="R2014" s="5" t="str">
        <f ca="1">IFERROR(__xludf.DUMMYFUNCTION("""COMPUTED_VALUE"""),"High")</f>
        <v>High</v>
      </c>
      <c r="S2014" s="5" t="str">
        <f ca="1">IFERROR(__xludf.DUMMYFUNCTION("""COMPUTED_VALUE"""),"Inside School Building")</f>
        <v>Inside School Building</v>
      </c>
      <c r="T2014" s="5" t="str">
        <f ca="1">IFERROR(__xludf.DUMMYFUNCTION("""COMPUTED_VALUE"""),"Inside School Building")</f>
        <v>Inside School Building</v>
      </c>
      <c r="U2014" s="5" t="str">
        <f ca="1">IFERROR(__xludf.DUMMYFUNCTION("""COMPUTED_VALUE"""),"Yes")</f>
        <v>Yes</v>
      </c>
      <c r="V2014" s="5" t="str">
        <f ca="1">IFERROR(__xludf.DUMMYFUNCTION("""COMPUTED_VALUE"""),"Morning Classes")</f>
        <v>Morning Classes</v>
      </c>
      <c r="W2014" s="5"/>
      <c r="X2014" s="5">
        <f ca="1">IFERROR(__xludf.DUMMYFUNCTION("""COMPUTED_VALUE"""),1)</f>
        <v>1</v>
      </c>
      <c r="Y2014" s="5" t="str">
        <f ca="1">IFERROR(__xludf.DUMMYFUNCTION("""COMPUTED_VALUE"""),"Shooter had been previously bullied by victim before shooting her.")</f>
        <v>Shooter had been previously bullied by victim before shooting her.</v>
      </c>
      <c r="Z2014" s="5" t="str">
        <f ca="1">IFERROR(__xludf.DUMMYFUNCTION("""COMPUTED_VALUE"""),"Shooter was victimized by victim prior to shooting. School officials purportedly knew but did not get involved. Surrendered to teacher right after shooting.")</f>
        <v>Shooter was victimized by victim prior to shooting. School officials purportedly knew but did not get involved. Surrendered to teacher right after shooting.</v>
      </c>
      <c r="AA2014" s="5" t="str">
        <f ca="1">IFERROR(__xludf.DUMMYFUNCTION("""COMPUTED_VALUE"""),"Bullying")</f>
        <v>Bullying</v>
      </c>
      <c r="AB2014" s="5" t="str">
        <f ca="1">IFERROR(__xludf.DUMMYFUNCTION("""COMPUTED_VALUE"""),"Victims Targeted")</f>
        <v>Victims Targeted</v>
      </c>
      <c r="AC2014" s="5" t="str">
        <f ca="1">IFERROR(__xludf.DUMMYFUNCTION("""COMPUTED_VALUE"""),"No")</f>
        <v>No</v>
      </c>
      <c r="AD2014" s="5" t="str">
        <f ca="1">IFERROR(__xludf.DUMMYFUNCTION("""COMPUTED_VALUE"""),"No")</f>
        <v>No</v>
      </c>
      <c r="AE2014" s="5" t="str">
        <f ca="1">IFERROR(__xludf.DUMMYFUNCTION("""COMPUTED_VALUE"""),"No")</f>
        <v>No</v>
      </c>
      <c r="AF2014" s="5" t="str">
        <f ca="1">IFERROR(__xludf.DUMMYFUNCTION("""COMPUTED_VALUE"""),"No")</f>
        <v>No</v>
      </c>
      <c r="AG2014" s="5"/>
      <c r="AH2014" s="5" t="str">
        <f ca="1">IFERROR(__xludf.DUMMYFUNCTION("""COMPUTED_VALUE"""),"No")</f>
        <v>No</v>
      </c>
      <c r="AI2014" s="5" t="str">
        <f ca="1">IFERROR(__xludf.DUMMYFUNCTION("""COMPUTED_VALUE"""),"No")</f>
        <v>No</v>
      </c>
      <c r="AJ2014" s="5"/>
    </row>
    <row r="2015" spans="1:36" ht="13">
      <c r="A2015" s="5" t="str">
        <f ca="1">IFERROR(__xludf.DUMMYFUNCTION("""COMPUTED_VALUE"""),"19860423FLCHM")</f>
        <v>19860423FLCHM</v>
      </c>
      <c r="B2015" s="5">
        <f ca="1">IFERROR(__xludf.DUMMYFUNCTION("""COMPUTED_VALUE"""),4)</f>
        <v>4</v>
      </c>
      <c r="C2015" s="5">
        <f ca="1">IFERROR(__xludf.DUMMYFUNCTION("""COMPUTED_VALUE"""),23)</f>
        <v>23</v>
      </c>
      <c r="D2015" s="5">
        <f ca="1">IFERROR(__xludf.DUMMYFUNCTION("""COMPUTED_VALUE"""),1986)</f>
        <v>1986</v>
      </c>
      <c r="E2015" s="8">
        <f ca="1">IFERROR(__xludf.DUMMYFUNCTION("""COMPUTED_VALUE"""),31525)</f>
        <v>31525</v>
      </c>
      <c r="F2015" s="5" t="str">
        <f ca="1">IFERROR(__xludf.DUMMYFUNCTION("""COMPUTED_VALUE"""),"Charles Drew Middle School")</f>
        <v>Charles Drew Middle School</v>
      </c>
      <c r="G2015" s="5">
        <f ca="1">IFERROR(__xludf.DUMMYFUNCTION("""COMPUTED_VALUE"""),0)</f>
        <v>0</v>
      </c>
      <c r="H2015" s="5">
        <f ca="1">IFERROR(__xludf.DUMMYFUNCTION("""COMPUTED_VALUE"""),1)</f>
        <v>1</v>
      </c>
      <c r="I2015" s="5">
        <f ca="1">IFERROR(__xludf.DUMMYFUNCTION("""COMPUTED_VALUE"""),1)</f>
        <v>1</v>
      </c>
      <c r="J2015" s="5">
        <f ca="1">IFERROR(__xludf.DUMMYFUNCTION("""COMPUTED_VALUE"""),0)</f>
        <v>0</v>
      </c>
      <c r="K2015" s="9" t="str">
        <f ca="1">IFERROR(__xludf.DUMMYFUNCTION("""COMPUTED_VALUE"""),"https://www.newspapers.com/image/321178464/?terms=McCauley%2BCharles%2BDrew%2BMiddle%2BSchool")</f>
        <v>https://www.newspapers.com/image/321178464/?terms=McCauley%2BCharles%2BDrew%2BMiddle%2BSchool</v>
      </c>
      <c r="L2015" s="5"/>
      <c r="M2015" s="5"/>
      <c r="N2015" s="5">
        <f ca="1">IFERROR(__xludf.DUMMYFUNCTION("""COMPUTED_VALUE"""),2)</f>
        <v>2</v>
      </c>
      <c r="O2015" s="5" t="str">
        <f ca="1">IFERROR(__xludf.DUMMYFUNCTION("""COMPUTED_VALUE"""),"Spring")</f>
        <v>Spring</v>
      </c>
      <c r="P2015" s="5" t="str">
        <f ca="1">IFERROR(__xludf.DUMMYFUNCTION("""COMPUTED_VALUE"""),"Miami")</f>
        <v>Miami</v>
      </c>
      <c r="Q2015" s="5" t="str">
        <f ca="1">IFERROR(__xludf.DUMMYFUNCTION("""COMPUTED_VALUE"""),"FL")</f>
        <v>FL</v>
      </c>
      <c r="R2015" s="5" t="str">
        <f ca="1">IFERROR(__xludf.DUMMYFUNCTION("""COMPUTED_VALUE"""),"Middle")</f>
        <v>Middle</v>
      </c>
      <c r="S2015" s="5" t="str">
        <f ca="1">IFERROR(__xludf.DUMMYFUNCTION("""COMPUTED_VALUE"""),"Basketball Court")</f>
        <v>Basketball Court</v>
      </c>
      <c r="T2015" s="5" t="str">
        <f ca="1">IFERROR(__xludf.DUMMYFUNCTION("""COMPUTED_VALUE"""),"Outside on School Property")</f>
        <v>Outside on School Property</v>
      </c>
      <c r="U2015" s="5" t="str">
        <f ca="1">IFERROR(__xludf.DUMMYFUNCTION("""COMPUTED_VALUE"""),"Yes")</f>
        <v>Yes</v>
      </c>
      <c r="V2015" s="5" t="str">
        <f ca="1">IFERROR(__xludf.DUMMYFUNCTION("""COMPUTED_VALUE"""),"Before School")</f>
        <v>Before School</v>
      </c>
      <c r="W2015" s="10">
        <f ca="1">IFERROR(__xludf.DUMMYFUNCTION("""COMPUTED_VALUE"""),0.354166666666666)</f>
        <v>0.35416666666666602</v>
      </c>
      <c r="X2015" s="5">
        <f ca="1">IFERROR(__xludf.DUMMYFUNCTION("""COMPUTED_VALUE"""),1)</f>
        <v>1</v>
      </c>
      <c r="Y2015" s="5" t="str">
        <f ca="1">IFERROR(__xludf.DUMMYFUNCTION("""COMPUTED_VALUE"""),"Long standing feud over a girl")</f>
        <v>Long standing feud over a girl</v>
      </c>
      <c r="Z2015" s="5" t="str">
        <f ca="1">IFERROR(__xludf.DUMMYFUNCTION("""COMPUTED_VALUE"""),"Long standing feud over a girl erupted on the school's basketball court before school - student fled but later turned himself in.")</f>
        <v>Long standing feud over a girl erupted on the school's basketball court before school - student fled but later turned himself in.</v>
      </c>
      <c r="AA2015" s="5" t="str">
        <f ca="1">IFERROR(__xludf.DUMMYFUNCTION("""COMPUTED_VALUE"""),"Escalation of Dispute")</f>
        <v>Escalation of Dispute</v>
      </c>
      <c r="AB2015" s="5" t="str">
        <f ca="1">IFERROR(__xludf.DUMMYFUNCTION("""COMPUTED_VALUE"""),"Victims Targeted")</f>
        <v>Victims Targeted</v>
      </c>
      <c r="AC2015" s="5" t="str">
        <f ca="1">IFERROR(__xludf.DUMMYFUNCTION("""COMPUTED_VALUE"""),"No")</f>
        <v>No</v>
      </c>
      <c r="AD2015" s="5" t="str">
        <f ca="1">IFERROR(__xludf.DUMMYFUNCTION("""COMPUTED_VALUE"""),"No")</f>
        <v>No</v>
      </c>
      <c r="AE2015" s="5" t="str">
        <f ca="1">IFERROR(__xludf.DUMMYFUNCTION("""COMPUTED_VALUE"""),"No")</f>
        <v>No</v>
      </c>
      <c r="AF2015" s="5" t="str">
        <f ca="1">IFERROR(__xludf.DUMMYFUNCTION("""COMPUTED_VALUE"""),"No")</f>
        <v>No</v>
      </c>
      <c r="AG2015" s="5" t="str">
        <f ca="1">IFERROR(__xludf.DUMMYFUNCTION("""COMPUTED_VALUE"""),"No")</f>
        <v>No</v>
      </c>
      <c r="AH2015" s="5" t="str">
        <f ca="1">IFERROR(__xludf.DUMMYFUNCTION("""COMPUTED_VALUE"""),"No")</f>
        <v>No</v>
      </c>
      <c r="AI2015" s="5" t="str">
        <f ca="1">IFERROR(__xludf.DUMMYFUNCTION("""COMPUTED_VALUE"""),"No")</f>
        <v>No</v>
      </c>
      <c r="AJ2015" s="5"/>
    </row>
    <row r="2016" spans="1:36" ht="13">
      <c r="A2016" s="5" t="str">
        <f ca="1">IFERROR(__xludf.DUMMYFUNCTION("""COMPUTED_VALUE"""),"19860306ILTHD")</f>
        <v>19860306ILTHD</v>
      </c>
      <c r="B2016" s="5">
        <f ca="1">IFERROR(__xludf.DUMMYFUNCTION("""COMPUTED_VALUE"""),3)</f>
        <v>3</v>
      </c>
      <c r="C2016" s="5">
        <f ca="1">IFERROR(__xludf.DUMMYFUNCTION("""COMPUTED_VALUE"""),6)</f>
        <v>6</v>
      </c>
      <c r="D2016" s="5">
        <f ca="1">IFERROR(__xludf.DUMMYFUNCTION("""COMPUTED_VALUE"""),1986)</f>
        <v>1986</v>
      </c>
      <c r="E2016" s="8">
        <f ca="1">IFERROR(__xludf.DUMMYFUNCTION("""COMPUTED_VALUE"""),31477)</f>
        <v>31477</v>
      </c>
      <c r="F2016" s="5" t="str">
        <f ca="1">IFERROR(__xludf.DUMMYFUNCTION("""COMPUTED_VALUE"""),"Thornridge High School")</f>
        <v>Thornridge High School</v>
      </c>
      <c r="G2016" s="5">
        <f ca="1">IFERROR(__xludf.DUMMYFUNCTION("""COMPUTED_VALUE"""),0)</f>
        <v>0</v>
      </c>
      <c r="H2016" s="5">
        <f ca="1">IFERROR(__xludf.DUMMYFUNCTION("""COMPUTED_VALUE"""),1)</f>
        <v>1</v>
      </c>
      <c r="I2016" s="5">
        <f ca="1">IFERROR(__xludf.DUMMYFUNCTION("""COMPUTED_VALUE"""),1)</f>
        <v>1</v>
      </c>
      <c r="J2016" s="5">
        <f ca="1">IFERROR(__xludf.DUMMYFUNCTION("""COMPUTED_VALUE"""),0)</f>
        <v>0</v>
      </c>
      <c r="K2016" s="9" t="str">
        <f ca="1">IFERROR(__xludf.DUMMYFUNCTION("""COMPUTED_VALUE"""),"http://articles.chicagotribune.com/1986-03-07/news/8601170427_1_second-teacher-third-period-classes-cap-gun")</f>
        <v>http://articles.chicagotribune.com/1986-03-07/news/8601170427_1_second-teacher-third-period-classes-cap-gun</v>
      </c>
      <c r="L2016" s="5"/>
      <c r="M2016" s="5"/>
      <c r="N2016" s="5">
        <f ca="1">IFERROR(__xludf.DUMMYFUNCTION("""COMPUTED_VALUE"""),2)</f>
        <v>2</v>
      </c>
      <c r="O2016" s="5" t="str">
        <f ca="1">IFERROR(__xludf.DUMMYFUNCTION("""COMPUTED_VALUE"""),"Spring")</f>
        <v>Spring</v>
      </c>
      <c r="P2016" s="5" t="str">
        <f ca="1">IFERROR(__xludf.DUMMYFUNCTION("""COMPUTED_VALUE"""),"Dolton")</f>
        <v>Dolton</v>
      </c>
      <c r="Q2016" s="5" t="str">
        <f ca="1">IFERROR(__xludf.DUMMYFUNCTION("""COMPUTED_VALUE"""),"IL")</f>
        <v>IL</v>
      </c>
      <c r="R2016" s="5" t="str">
        <f ca="1">IFERROR(__xludf.DUMMYFUNCTION("""COMPUTED_VALUE"""),"High")</f>
        <v>High</v>
      </c>
      <c r="S2016" s="5" t="str">
        <f ca="1">IFERROR(__xludf.DUMMYFUNCTION("""COMPUTED_VALUE"""),"Classroom")</f>
        <v>Classroom</v>
      </c>
      <c r="T2016" s="5" t="str">
        <f ca="1">IFERROR(__xludf.DUMMYFUNCTION("""COMPUTED_VALUE"""),"Inside School Building")</f>
        <v>Inside School Building</v>
      </c>
      <c r="U2016" s="5" t="str">
        <f ca="1">IFERROR(__xludf.DUMMYFUNCTION("""COMPUTED_VALUE"""),"Yes")</f>
        <v>Yes</v>
      </c>
      <c r="V2016" s="5"/>
      <c r="W2016" s="5"/>
      <c r="X2016" s="5"/>
      <c r="Y2016" s="5" t="str">
        <f ca="1">IFERROR(__xludf.DUMMYFUNCTION("""COMPUTED_VALUE"""),"Shot teacher after argument over grades")</f>
        <v>Shot teacher after argument over grades</v>
      </c>
      <c r="Z2016" s="5" t="str">
        <f ca="1">IFERROR(__xludf.DUMMYFUNCTION("""COMPUTED_VALUE"""),"Prior problems with victim - students math teacher - shooter had previously told other students he planned to shoot teacher - showed them the gun he planned to use - no one believed him so nothing further was reported. Police officer assigned to the schoo"&amp;"l told student to surrender after shooting and he sat down/gave up weapon. Student had just returned from multi-day suspension.")</f>
        <v>Prior problems with victim - students math teacher - shooter had previously told other students he planned to shoot teacher - showed them the gun he planned to use - no one believed him so nothing further was reported. Police officer assigned to the school told student to surrender after shooting and he sat down/gave up weapon. Student had just returned from multi-day suspension.</v>
      </c>
      <c r="AA2016" s="5" t="str">
        <f ca="1">IFERROR(__xludf.DUMMYFUNCTION("""COMPUTED_VALUE"""),"Anger Over Grade/Suspension/Discipline")</f>
        <v>Anger Over Grade/Suspension/Discipline</v>
      </c>
      <c r="AB2016" s="5" t="str">
        <f ca="1">IFERROR(__xludf.DUMMYFUNCTION("""COMPUTED_VALUE"""),"Victims Targeted")</f>
        <v>Victims Targeted</v>
      </c>
      <c r="AC2016" s="5"/>
      <c r="AD2016" s="5" t="str">
        <f ca="1">IFERROR(__xludf.DUMMYFUNCTION("""COMPUTED_VALUE"""),"No")</f>
        <v>No</v>
      </c>
      <c r="AE2016" s="5" t="str">
        <f ca="1">IFERROR(__xludf.DUMMYFUNCTION("""COMPUTED_VALUE"""),"No")</f>
        <v>No</v>
      </c>
      <c r="AF2016" s="5" t="str">
        <f ca="1">IFERROR(__xludf.DUMMYFUNCTION("""COMPUTED_VALUE"""),"No")</f>
        <v>No</v>
      </c>
      <c r="AG2016" s="5"/>
      <c r="AH2016" s="5" t="str">
        <f ca="1">IFERROR(__xludf.DUMMYFUNCTION("""COMPUTED_VALUE"""),"No")</f>
        <v>No</v>
      </c>
      <c r="AI2016" s="5" t="str">
        <f ca="1">IFERROR(__xludf.DUMMYFUNCTION("""COMPUTED_VALUE"""),"No")</f>
        <v>No</v>
      </c>
      <c r="AJ2016" s="5"/>
    </row>
    <row r="2017" spans="1:36" ht="13">
      <c r="A2017" s="5" t="str">
        <f ca="1">IFERROR(__xludf.DUMMYFUNCTION("""COMPUTED_VALUE"""),"19860224LABOS")</f>
        <v>19860224LABOS</v>
      </c>
      <c r="B2017" s="5">
        <f ca="1">IFERROR(__xludf.DUMMYFUNCTION("""COMPUTED_VALUE"""),2)</f>
        <v>2</v>
      </c>
      <c r="C2017" s="5">
        <f ca="1">IFERROR(__xludf.DUMMYFUNCTION("""COMPUTED_VALUE"""),24)</f>
        <v>24</v>
      </c>
      <c r="D2017" s="5">
        <f ca="1">IFERROR(__xludf.DUMMYFUNCTION("""COMPUTED_VALUE"""),1986)</f>
        <v>1986</v>
      </c>
      <c r="E2017" s="8">
        <f ca="1">IFERROR(__xludf.DUMMYFUNCTION("""COMPUTED_VALUE"""),31467)</f>
        <v>31467</v>
      </c>
      <c r="F2017" s="5" t="str">
        <f ca="1">IFERROR(__xludf.DUMMYFUNCTION("""COMPUTED_VALUE"""),"Boyet Junior High School")</f>
        <v>Boyet Junior High School</v>
      </c>
      <c r="G2017" s="5">
        <f ca="1">IFERROR(__xludf.DUMMYFUNCTION("""COMPUTED_VALUE"""),0)</f>
        <v>0</v>
      </c>
      <c r="H2017" s="5">
        <f ca="1">IFERROR(__xludf.DUMMYFUNCTION("""COMPUTED_VALUE"""),0)</f>
        <v>0</v>
      </c>
      <c r="I2017" s="5">
        <f ca="1">IFERROR(__xludf.DUMMYFUNCTION("""COMPUTED_VALUE"""),0)</f>
        <v>0</v>
      </c>
      <c r="J2017" s="5">
        <f ca="1">IFERROR(__xludf.DUMMYFUNCTION("""COMPUTED_VALUE"""),1)</f>
        <v>1</v>
      </c>
      <c r="K2017" s="9" t="str">
        <f ca="1">IFERROR(__xludf.DUMMYFUNCTION("""COMPUTED_VALUE"""),"https://www.newspapers.com/image/216501029/?terms=Boyet%2BJunior%2BHigh%2BSchool%2Bshooting")</f>
        <v>https://www.newspapers.com/image/216501029/?terms=Boyet%2BJunior%2BHigh%2BSchool%2Bshooting</v>
      </c>
      <c r="L2017" s="5"/>
      <c r="M2017" s="5"/>
      <c r="N2017" s="5">
        <f ca="1">IFERROR(__xludf.DUMMYFUNCTION("""COMPUTED_VALUE"""),2)</f>
        <v>2</v>
      </c>
      <c r="O2017" s="5" t="str">
        <f ca="1">IFERROR(__xludf.DUMMYFUNCTION("""COMPUTED_VALUE"""),"Winter")</f>
        <v>Winter</v>
      </c>
      <c r="P2017" s="5" t="str">
        <f ca="1">IFERROR(__xludf.DUMMYFUNCTION("""COMPUTED_VALUE"""),"Slidell")</f>
        <v>Slidell</v>
      </c>
      <c r="Q2017" s="5" t="str">
        <f ca="1">IFERROR(__xludf.DUMMYFUNCTION("""COMPUTED_VALUE"""),"LA")</f>
        <v>LA</v>
      </c>
      <c r="R2017" s="5" t="str">
        <f ca="1">IFERROR(__xludf.DUMMYFUNCTION("""COMPUTED_VALUE"""),"Junior High")</f>
        <v>Junior High</v>
      </c>
      <c r="S2017" s="5" t="str">
        <f ca="1">IFERROR(__xludf.DUMMYFUNCTION("""COMPUTED_VALUE"""),"Classroom")</f>
        <v>Classroom</v>
      </c>
      <c r="T2017" s="5" t="str">
        <f ca="1">IFERROR(__xludf.DUMMYFUNCTION("""COMPUTED_VALUE"""),"Inside School Building")</f>
        <v>Inside School Building</v>
      </c>
      <c r="U2017" s="5" t="str">
        <f ca="1">IFERROR(__xludf.DUMMYFUNCTION("""COMPUTED_VALUE"""),"Yes")</f>
        <v>Yes</v>
      </c>
      <c r="V2017" s="5"/>
      <c r="W2017" s="5"/>
      <c r="X2017" s="5">
        <f ca="1">IFERROR(__xludf.DUMMYFUNCTION("""COMPUTED_VALUE"""),1)</f>
        <v>1</v>
      </c>
      <c r="Y2017" s="5" t="str">
        <f ca="1">IFERROR(__xludf.DUMMYFUNCTION("""COMPUTED_VALUE"""),"Shot himself in head in front of class")</f>
        <v>Shot himself in head in front of class</v>
      </c>
      <c r="Z2017" s="5" t="str">
        <f ca="1">IFERROR(__xludf.DUMMYFUNCTION("""COMPUTED_VALUE"""),"13YOM shot self in the head with .45 handgun in front of 28 other students in classroom. Shooter was basketball player and honors student. Well liked.")</f>
        <v>13YOM shot self in the head with .45 handgun in front of 28 other students in classroom. Shooter was basketball player and honors student. Well liked.</v>
      </c>
      <c r="AA2017" s="5" t="str">
        <f ca="1">IFERROR(__xludf.DUMMYFUNCTION("""COMPUTED_VALUE"""),"Suicide/Attempted")</f>
        <v>Suicide/Attempted</v>
      </c>
      <c r="AB2017" s="5" t="str">
        <f ca="1">IFERROR(__xludf.DUMMYFUNCTION("""COMPUTED_VALUE"""),"Victims Targeted")</f>
        <v>Victims Targeted</v>
      </c>
      <c r="AC2017" s="5" t="str">
        <f ca="1">IFERROR(__xludf.DUMMYFUNCTION("""COMPUTED_VALUE"""),"No")</f>
        <v>No</v>
      </c>
      <c r="AD2017" s="5" t="str">
        <f ca="1">IFERROR(__xludf.DUMMYFUNCTION("""COMPUTED_VALUE"""),"No")</f>
        <v>No</v>
      </c>
      <c r="AE2017" s="5" t="str">
        <f ca="1">IFERROR(__xludf.DUMMYFUNCTION("""COMPUTED_VALUE"""),"No")</f>
        <v>No</v>
      </c>
      <c r="AF2017" s="5" t="str">
        <f ca="1">IFERROR(__xludf.DUMMYFUNCTION("""COMPUTED_VALUE"""),"No")</f>
        <v>No</v>
      </c>
      <c r="AG2017" s="5" t="str">
        <f ca="1">IFERROR(__xludf.DUMMYFUNCTION("""COMPUTED_VALUE"""),"No")</f>
        <v>No</v>
      </c>
      <c r="AH2017" s="5" t="str">
        <f ca="1">IFERROR(__xludf.DUMMYFUNCTION("""COMPUTED_VALUE"""),"No")</f>
        <v>No</v>
      </c>
      <c r="AI2017" s="5" t="str">
        <f ca="1">IFERROR(__xludf.DUMMYFUNCTION("""COMPUTED_VALUE"""),"No")</f>
        <v>No</v>
      </c>
      <c r="AJ2017" s="5"/>
    </row>
    <row r="2018" spans="1:36" ht="13">
      <c r="A2018" s="5" t="str">
        <f ca="1">IFERROR(__xludf.DUMMYFUNCTION("""COMPUTED_VALUE"""),"19860129MDLAB")</f>
        <v>19860129MDLAB</v>
      </c>
      <c r="B2018" s="5">
        <f ca="1">IFERROR(__xludf.DUMMYFUNCTION("""COMPUTED_VALUE"""),1)</f>
        <v>1</v>
      </c>
      <c r="C2018" s="5">
        <f ca="1">IFERROR(__xludf.DUMMYFUNCTION("""COMPUTED_VALUE"""),29)</f>
        <v>29</v>
      </c>
      <c r="D2018" s="5">
        <f ca="1">IFERROR(__xludf.DUMMYFUNCTION("""COMPUTED_VALUE"""),1986)</f>
        <v>1986</v>
      </c>
      <c r="E2018" s="8">
        <f ca="1">IFERROR(__xludf.DUMMYFUNCTION("""COMPUTED_VALUE"""),31441)</f>
        <v>31441</v>
      </c>
      <c r="F2018" s="5" t="str">
        <f ca="1">IFERROR(__xludf.DUMMYFUNCTION("""COMPUTED_VALUE"""),"Lake Clifton High School")</f>
        <v>Lake Clifton High School</v>
      </c>
      <c r="G2018" s="5">
        <f ca="1">IFERROR(__xludf.DUMMYFUNCTION("""COMPUTED_VALUE"""),1)</f>
        <v>1</v>
      </c>
      <c r="H2018" s="5">
        <f ca="1">IFERROR(__xludf.DUMMYFUNCTION("""COMPUTED_VALUE"""),0)</f>
        <v>0</v>
      </c>
      <c r="I2018" s="5">
        <f ca="1">IFERROR(__xludf.DUMMYFUNCTION("""COMPUTED_VALUE"""),1)</f>
        <v>1</v>
      </c>
      <c r="J2018" s="5">
        <f ca="1">IFERROR(__xludf.DUMMYFUNCTION("""COMPUTED_VALUE"""),0)</f>
        <v>0</v>
      </c>
      <c r="K2018" s="9" t="str">
        <f ca="1">IFERROR(__xludf.DUMMYFUNCTION("""COMPUTED_VALUE"""),"https://www.newspapers.com/image/377738432/?terms=Lake%2BClifton%2BHigh%2BSchool%2Bshooting")</f>
        <v>https://www.newspapers.com/image/377738432/?terms=Lake%2BClifton%2BHigh%2BSchool%2Bshooting</v>
      </c>
      <c r="L2018" s="5"/>
      <c r="M2018" s="5"/>
      <c r="N2018" s="5">
        <f ca="1">IFERROR(__xludf.DUMMYFUNCTION("""COMPUTED_VALUE"""),2)</f>
        <v>2</v>
      </c>
      <c r="O2018" s="5" t="str">
        <f ca="1">IFERROR(__xludf.DUMMYFUNCTION("""COMPUTED_VALUE"""),"Winter")</f>
        <v>Winter</v>
      </c>
      <c r="P2018" s="5" t="str">
        <f ca="1">IFERROR(__xludf.DUMMYFUNCTION("""COMPUTED_VALUE"""),"Baltimore")</f>
        <v>Baltimore</v>
      </c>
      <c r="Q2018" s="5" t="str">
        <f ca="1">IFERROR(__xludf.DUMMYFUNCTION("""COMPUTED_VALUE"""),"MD")</f>
        <v>MD</v>
      </c>
      <c r="R2018" s="5" t="str">
        <f ca="1">IFERROR(__xludf.DUMMYFUNCTION("""COMPUTED_VALUE"""),"High")</f>
        <v>High</v>
      </c>
      <c r="S2018" s="5" t="str">
        <f ca="1">IFERROR(__xludf.DUMMYFUNCTION("""COMPUTED_VALUE"""),"Inside School Building")</f>
        <v>Inside School Building</v>
      </c>
      <c r="T2018" s="5" t="str">
        <f ca="1">IFERROR(__xludf.DUMMYFUNCTION("""COMPUTED_VALUE"""),"Inside School Building")</f>
        <v>Inside School Building</v>
      </c>
      <c r="U2018" s="5" t="str">
        <f ca="1">IFERROR(__xludf.DUMMYFUNCTION("""COMPUTED_VALUE"""),"Yes")</f>
        <v>Yes</v>
      </c>
      <c r="V2018" s="5"/>
      <c r="W2018" s="5"/>
      <c r="X2018" s="5">
        <f ca="1">IFERROR(__xludf.DUMMYFUNCTION("""COMPUTED_VALUE"""),1)</f>
        <v>1</v>
      </c>
      <c r="Y2018" s="5" t="str">
        <f ca="1">IFERROR(__xludf.DUMMYFUNCTION("""COMPUTED_VALUE"""),"Shooter had been beat up multiple times, shot victim during attack")</f>
        <v>Shooter had been beat up multiple times, shot victim during attack</v>
      </c>
      <c r="Z2018" s="5" t="str">
        <f ca="1">IFERROR(__xludf.DUMMYFUNCTION("""COMPUTED_VALUE"""),"14YOM Shooter had been beat up by the older and much larger 16YOM victim multiple times. Victim attacked the shooter, shooter fired a pistol killing the victim and fled the scene.")</f>
        <v>14YOM Shooter had been beat up by the older and much larger 16YOM victim multiple times. Victim attacked the shooter, shooter fired a pistol killing the victim and fled the scene.</v>
      </c>
      <c r="AA2018" s="5" t="str">
        <f ca="1">IFERROR(__xludf.DUMMYFUNCTION("""COMPUTED_VALUE"""),"Bullying")</f>
        <v>Bullying</v>
      </c>
      <c r="AB2018" s="5" t="str">
        <f ca="1">IFERROR(__xludf.DUMMYFUNCTION("""COMPUTED_VALUE"""),"Victims Targeted")</f>
        <v>Victims Targeted</v>
      </c>
      <c r="AC2018" s="5" t="str">
        <f ca="1">IFERROR(__xludf.DUMMYFUNCTION("""COMPUTED_VALUE"""),"No")</f>
        <v>No</v>
      </c>
      <c r="AD2018" s="5" t="str">
        <f ca="1">IFERROR(__xludf.DUMMYFUNCTION("""COMPUTED_VALUE"""),"No")</f>
        <v>No</v>
      </c>
      <c r="AE2018" s="5" t="str">
        <f ca="1">IFERROR(__xludf.DUMMYFUNCTION("""COMPUTED_VALUE"""),"No")</f>
        <v>No</v>
      </c>
      <c r="AF2018" s="5" t="str">
        <f ca="1">IFERROR(__xludf.DUMMYFUNCTION("""COMPUTED_VALUE"""),"No")</f>
        <v>No</v>
      </c>
      <c r="AG2018" s="5" t="str">
        <f ca="1">IFERROR(__xludf.DUMMYFUNCTION("""COMPUTED_VALUE"""),"Yes")</f>
        <v>Yes</v>
      </c>
      <c r="AH2018" s="5" t="str">
        <f ca="1">IFERROR(__xludf.DUMMYFUNCTION("""COMPUTED_VALUE"""),"No")</f>
        <v>No</v>
      </c>
      <c r="AI2018" s="5" t="str">
        <f ca="1">IFERROR(__xludf.DUMMYFUNCTION("""COMPUTED_VALUE"""),"No")</f>
        <v>No</v>
      </c>
      <c r="AJ2018" s="5"/>
    </row>
    <row r="2019" spans="1:36" ht="13">
      <c r="A2019" s="5" t="str">
        <f ca="1">IFERROR(__xludf.DUMMYFUNCTION("""COMPUTED_VALUE"""),"19860117CAVAL")</f>
        <v>19860117CAVAL</v>
      </c>
      <c r="B2019" s="5">
        <f ca="1">IFERROR(__xludf.DUMMYFUNCTION("""COMPUTED_VALUE"""),1)</f>
        <v>1</v>
      </c>
      <c r="C2019" s="5">
        <f ca="1">IFERROR(__xludf.DUMMYFUNCTION("""COMPUTED_VALUE"""),17)</f>
        <v>17</v>
      </c>
      <c r="D2019" s="5">
        <f ca="1">IFERROR(__xludf.DUMMYFUNCTION("""COMPUTED_VALUE"""),1986)</f>
        <v>1986</v>
      </c>
      <c r="E2019" s="8">
        <f ca="1">IFERROR(__xludf.DUMMYFUNCTION("""COMPUTED_VALUE"""),31429)</f>
        <v>31429</v>
      </c>
      <c r="F2019" s="5" t="str">
        <f ca="1">IFERROR(__xludf.DUMMYFUNCTION("""COMPUTED_VALUE"""),"Vanguard Junior High School")</f>
        <v>Vanguard Junior High School</v>
      </c>
      <c r="G2019" s="5">
        <f ca="1">IFERROR(__xludf.DUMMYFUNCTION("""COMPUTED_VALUE"""),1)</f>
        <v>1</v>
      </c>
      <c r="H2019" s="5">
        <f ca="1">IFERROR(__xludf.DUMMYFUNCTION("""COMPUTED_VALUE"""),0)</f>
        <v>0</v>
      </c>
      <c r="I2019" s="5">
        <f ca="1">IFERROR(__xludf.DUMMYFUNCTION("""COMPUTED_VALUE"""),1)</f>
        <v>1</v>
      </c>
      <c r="J2019" s="5">
        <f ca="1">IFERROR(__xludf.DUMMYFUNCTION("""COMPUTED_VALUE"""),0)</f>
        <v>0</v>
      </c>
      <c r="K2019" s="9" t="str">
        <f ca="1">IFERROR(__xludf.DUMMYFUNCTION("""COMPUTED_VALUE"""),"https://www.newspapers.com/image/401857837/?terms=Vanguard%2BJunior%2BHigh%2BSchool%2Bshooting")</f>
        <v>https://www.newspapers.com/image/401857837/?terms=Vanguard%2BJunior%2BHigh%2BSchool%2Bshooting</v>
      </c>
      <c r="L2019" s="5"/>
      <c r="M2019" s="5"/>
      <c r="N2019" s="5">
        <f ca="1">IFERROR(__xludf.DUMMYFUNCTION("""COMPUTED_VALUE"""),2)</f>
        <v>2</v>
      </c>
      <c r="O2019" s="5" t="str">
        <f ca="1">IFERROR(__xludf.DUMMYFUNCTION("""COMPUTED_VALUE"""),"Winter")</f>
        <v>Winter</v>
      </c>
      <c r="P2019" s="5" t="str">
        <f ca="1">IFERROR(__xludf.DUMMYFUNCTION("""COMPUTED_VALUE"""),"Los Angeles")</f>
        <v>Los Angeles</v>
      </c>
      <c r="Q2019" s="5" t="str">
        <f ca="1">IFERROR(__xludf.DUMMYFUNCTION("""COMPUTED_VALUE"""),"CA")</f>
        <v>CA</v>
      </c>
      <c r="R2019" s="5" t="str">
        <f ca="1">IFERROR(__xludf.DUMMYFUNCTION("""COMPUTED_VALUE"""),"Junior High")</f>
        <v>Junior High</v>
      </c>
      <c r="S2019" s="5" t="str">
        <f ca="1">IFERROR(__xludf.DUMMYFUNCTION("""COMPUTED_VALUE"""),"Outside on School Property")</f>
        <v>Outside on School Property</v>
      </c>
      <c r="T2019" s="5" t="str">
        <f ca="1">IFERROR(__xludf.DUMMYFUNCTION("""COMPUTED_VALUE"""),"Outside on School Property")</f>
        <v>Outside on School Property</v>
      </c>
      <c r="U2019" s="5" t="str">
        <f ca="1">IFERROR(__xludf.DUMMYFUNCTION("""COMPUTED_VALUE"""),"Yes")</f>
        <v>Yes</v>
      </c>
      <c r="V2019" s="5" t="str">
        <f ca="1">IFERROR(__xludf.DUMMYFUNCTION("""COMPUTED_VALUE"""),"Morning Classes")</f>
        <v>Morning Classes</v>
      </c>
      <c r="W2019" s="5"/>
      <c r="X2019" s="5">
        <f ca="1">IFERROR(__xludf.DUMMYFUNCTION("""COMPUTED_VALUE"""),1)</f>
        <v>1</v>
      </c>
      <c r="Y2019" s="5" t="str">
        <f ca="1">IFERROR(__xludf.DUMMYFUNCTION("""COMPUTED_VALUE"""),"Fight between students turned into shooting")</f>
        <v>Fight between students turned into shooting</v>
      </c>
      <c r="Z2019" s="5" t="str">
        <f ca="1">IFERROR(__xludf.DUMMYFUNCTION("""COMPUTED_VALUE"""),"Argument between 16YOM and 14YOM student. 13YOM handed a pistol to the 14YOM who shot the 16YOM victim. Shooter fled the scene and was turned over to police by his parents.")</f>
        <v>Argument between 16YOM and 14YOM student. 13YOM handed a pistol to the 14YOM who shot the 16YOM victim. Shooter fled the scene and was turned over to police by his parents.</v>
      </c>
      <c r="AA2019" s="5" t="str">
        <f ca="1">IFERROR(__xludf.DUMMYFUNCTION("""COMPUTED_VALUE"""),"Escalation of Dispute")</f>
        <v>Escalation of Dispute</v>
      </c>
      <c r="AB2019" s="5" t="str">
        <f ca="1">IFERROR(__xludf.DUMMYFUNCTION("""COMPUTED_VALUE"""),"Victims Targeted")</f>
        <v>Victims Targeted</v>
      </c>
      <c r="AC2019" s="5" t="str">
        <f ca="1">IFERROR(__xludf.DUMMYFUNCTION("""COMPUTED_VALUE"""),"No")</f>
        <v>No</v>
      </c>
      <c r="AD2019" s="5" t="str">
        <f ca="1">IFERROR(__xludf.DUMMYFUNCTION("""COMPUTED_VALUE"""),"No")</f>
        <v>No</v>
      </c>
      <c r="AE2019" s="5" t="str">
        <f ca="1">IFERROR(__xludf.DUMMYFUNCTION("""COMPUTED_VALUE"""),"No")</f>
        <v>No</v>
      </c>
      <c r="AF2019" s="5" t="str">
        <f ca="1">IFERROR(__xludf.DUMMYFUNCTION("""COMPUTED_VALUE"""),"No")</f>
        <v>No</v>
      </c>
      <c r="AG2019" s="5" t="str">
        <f ca="1">IFERROR(__xludf.DUMMYFUNCTION("""COMPUTED_VALUE"""),"No")</f>
        <v>No</v>
      </c>
      <c r="AH2019" s="5" t="str">
        <f ca="1">IFERROR(__xludf.DUMMYFUNCTION("""COMPUTED_VALUE"""),"No")</f>
        <v>No</v>
      </c>
      <c r="AI2019" s="5" t="str">
        <f ca="1">IFERROR(__xludf.DUMMYFUNCTION("""COMPUTED_VALUE"""),"No")</f>
        <v>No</v>
      </c>
      <c r="AJ2019" s="5"/>
    </row>
    <row r="2020" spans="1:36" ht="13">
      <c r="A2020" s="5" t="str">
        <f ca="1">IFERROR(__xludf.DUMMYFUNCTION("""COMPUTED_VALUE"""),"19860109NCNOD")</f>
        <v>19860109NCNOD</v>
      </c>
      <c r="B2020" s="5">
        <f ca="1">IFERROR(__xludf.DUMMYFUNCTION("""COMPUTED_VALUE"""),1)</f>
        <v>1</v>
      </c>
      <c r="C2020" s="5">
        <f ca="1">IFERROR(__xludf.DUMMYFUNCTION("""COMPUTED_VALUE"""),9)</f>
        <v>9</v>
      </c>
      <c r="D2020" s="5">
        <f ca="1">IFERROR(__xludf.DUMMYFUNCTION("""COMPUTED_VALUE"""),1986)</f>
        <v>1986</v>
      </c>
      <c r="E2020" s="8">
        <f ca="1">IFERROR(__xludf.DUMMYFUNCTION("""COMPUTED_VALUE"""),31421)</f>
        <v>31421</v>
      </c>
      <c r="F2020" s="5" t="str">
        <f ca="1">IFERROR(__xludf.DUMMYFUNCTION("""COMPUTED_VALUE"""),"Northern High School")</f>
        <v>Northern High School</v>
      </c>
      <c r="G2020" s="5">
        <f ca="1">IFERROR(__xludf.DUMMYFUNCTION("""COMPUTED_VALUE"""),1)</f>
        <v>1</v>
      </c>
      <c r="H2020" s="5">
        <f ca="1">IFERROR(__xludf.DUMMYFUNCTION("""COMPUTED_VALUE"""),0)</f>
        <v>0</v>
      </c>
      <c r="I2020" s="5">
        <f ca="1">IFERROR(__xludf.DUMMYFUNCTION("""COMPUTED_VALUE"""),1)</f>
        <v>1</v>
      </c>
      <c r="J2020" s="5">
        <f ca="1">IFERROR(__xludf.DUMMYFUNCTION("""COMPUTED_VALUE"""),0)</f>
        <v>0</v>
      </c>
      <c r="K2020" s="9" t="str">
        <f ca="1">IFERROR(__xludf.DUMMYFUNCTION("""COMPUTED_VALUE"""),"https://www.newspapers.com/image/337579716/?terms=David%2BMancuso")</f>
        <v>https://www.newspapers.com/image/337579716/?terms=David%2BMancuso</v>
      </c>
      <c r="L2020" s="5"/>
      <c r="M2020" s="5"/>
      <c r="N2020" s="5">
        <f ca="1">IFERROR(__xludf.DUMMYFUNCTION("""COMPUTED_VALUE"""),2)</f>
        <v>2</v>
      </c>
      <c r="O2020" s="5" t="str">
        <f ca="1">IFERROR(__xludf.DUMMYFUNCTION("""COMPUTED_VALUE"""),"Winter")</f>
        <v>Winter</v>
      </c>
      <c r="P2020" s="5" t="str">
        <f ca="1">IFERROR(__xludf.DUMMYFUNCTION("""COMPUTED_VALUE"""),"Durham")</f>
        <v>Durham</v>
      </c>
      <c r="Q2020" s="5" t="str">
        <f ca="1">IFERROR(__xludf.DUMMYFUNCTION("""COMPUTED_VALUE"""),"NC")</f>
        <v>NC</v>
      </c>
      <c r="R2020" s="5" t="str">
        <f ca="1">IFERROR(__xludf.DUMMYFUNCTION("""COMPUTED_VALUE"""),"High")</f>
        <v>High</v>
      </c>
      <c r="S2020" s="5" t="str">
        <f ca="1">IFERROR(__xludf.DUMMYFUNCTION("""COMPUTED_VALUE"""),"Parking Lot")</f>
        <v>Parking Lot</v>
      </c>
      <c r="T2020" s="5" t="str">
        <f ca="1">IFERROR(__xludf.DUMMYFUNCTION("""COMPUTED_VALUE"""),"Outside on School Property")</f>
        <v>Outside on School Property</v>
      </c>
      <c r="U2020" s="5" t="str">
        <f ca="1">IFERROR(__xludf.DUMMYFUNCTION("""COMPUTED_VALUE"""),"No")</f>
        <v>No</v>
      </c>
      <c r="V2020" s="5" t="str">
        <f ca="1">IFERROR(__xludf.DUMMYFUNCTION("""COMPUTED_VALUE"""),"After School")</f>
        <v>After School</v>
      </c>
      <c r="W2020" s="10">
        <f ca="1">IFERROR(__xludf.DUMMYFUNCTION("""COMPUTED_VALUE"""),0.666666666666666)</f>
        <v>0.66666666666666596</v>
      </c>
      <c r="X2020" s="5">
        <f ca="1">IFERROR(__xludf.DUMMYFUNCTION("""COMPUTED_VALUE"""),1)</f>
        <v>1</v>
      </c>
      <c r="Y2020" s="5" t="str">
        <f ca="1">IFERROR(__xludf.DUMMYFUNCTION("""COMPUTED_VALUE"""),"Boy infatuated with female classmate kills her in school parking lot")</f>
        <v>Boy infatuated with female classmate kills her in school parking lot</v>
      </c>
      <c r="Z2020" s="5" t="str">
        <f ca="1">IFERROR(__xludf.DUMMYFUNCTION("""COMPUTED_VALUE"""),"17YOM student was stalking 17YOF cheerleader after she told him she was not romantically interested in him. He approached her car in the parking lot after school and fired through the window killing her. Arrest late that night.")</f>
        <v>17YOM student was stalking 17YOF cheerleader after she told him she was not romantically interested in him. He approached her car in the parking lot after school and fired through the window killing her. Arrest late that night.</v>
      </c>
      <c r="AA2020" s="5" t="str">
        <f ca="1">IFERROR(__xludf.DUMMYFUNCTION("""COMPUTED_VALUE"""),"Domestic w/ Targeted Victim")</f>
        <v>Domestic w/ Targeted Victim</v>
      </c>
      <c r="AB2020" s="5" t="str">
        <f ca="1">IFERROR(__xludf.DUMMYFUNCTION("""COMPUTED_VALUE"""),"Victims Targeted")</f>
        <v>Victims Targeted</v>
      </c>
      <c r="AC2020" s="5" t="str">
        <f ca="1">IFERROR(__xludf.DUMMYFUNCTION("""COMPUTED_VALUE"""),"No")</f>
        <v>No</v>
      </c>
      <c r="AD2020" s="5" t="str">
        <f ca="1">IFERROR(__xludf.DUMMYFUNCTION("""COMPUTED_VALUE"""),"No")</f>
        <v>No</v>
      </c>
      <c r="AE2020" s="5" t="str">
        <f ca="1">IFERROR(__xludf.DUMMYFUNCTION("""COMPUTED_VALUE"""),"No")</f>
        <v>No</v>
      </c>
      <c r="AF2020" s="5" t="str">
        <f ca="1">IFERROR(__xludf.DUMMYFUNCTION("""COMPUTED_VALUE"""),"No")</f>
        <v>No</v>
      </c>
      <c r="AG2020" s="5" t="str">
        <f ca="1">IFERROR(__xludf.DUMMYFUNCTION("""COMPUTED_VALUE"""),"No")</f>
        <v>No</v>
      </c>
      <c r="AH2020" s="5" t="str">
        <f ca="1">IFERROR(__xludf.DUMMYFUNCTION("""COMPUTED_VALUE"""),"Yes")</f>
        <v>Yes</v>
      </c>
      <c r="AI2020" s="5" t="str">
        <f ca="1">IFERROR(__xludf.DUMMYFUNCTION("""COMPUTED_VALUE"""),"No")</f>
        <v>No</v>
      </c>
      <c r="AJ2020" s="5"/>
    </row>
    <row r="2021" spans="1:36" ht="13">
      <c r="A2021" s="5" t="str">
        <f ca="1">IFERROR(__xludf.DUMMYFUNCTION("""COMPUTED_VALUE"""),"19851210CTPOP")</f>
        <v>19851210CTPOP</v>
      </c>
      <c r="B2021" s="5">
        <f ca="1">IFERROR(__xludf.DUMMYFUNCTION("""COMPUTED_VALUE"""),12)</f>
        <v>12</v>
      </c>
      <c r="C2021" s="5">
        <f ca="1">IFERROR(__xludf.DUMMYFUNCTION("""COMPUTED_VALUE"""),10)</f>
        <v>10</v>
      </c>
      <c r="D2021" s="5">
        <f ca="1">IFERROR(__xludf.DUMMYFUNCTION("""COMPUTED_VALUE"""),1985)</f>
        <v>1985</v>
      </c>
      <c r="E2021" s="8">
        <f ca="1">IFERROR(__xludf.DUMMYFUNCTION("""COMPUTED_VALUE"""),31391)</f>
        <v>31391</v>
      </c>
      <c r="F2021" s="5" t="str">
        <f ca="1">IFERROR(__xludf.DUMMYFUNCTION("""COMPUTED_VALUE"""),"Portland Junior High School")</f>
        <v>Portland Junior High School</v>
      </c>
      <c r="G2021" s="5">
        <f ca="1">IFERROR(__xludf.DUMMYFUNCTION("""COMPUTED_VALUE"""),1)</f>
        <v>1</v>
      </c>
      <c r="H2021" s="5">
        <f ca="1">IFERROR(__xludf.DUMMYFUNCTION("""COMPUTED_VALUE"""),2)</f>
        <v>2</v>
      </c>
      <c r="I2021" s="5">
        <f ca="1">IFERROR(__xludf.DUMMYFUNCTION("""COMPUTED_VALUE"""),3)</f>
        <v>3</v>
      </c>
      <c r="J2021" s="5">
        <f ca="1">IFERROR(__xludf.DUMMYFUNCTION("""COMPUTED_VALUE"""),0)</f>
        <v>0</v>
      </c>
      <c r="K2021" s="5" t="str">
        <f ca="1">IFERROR(__xludf.DUMMYFUNCTION("""COMPUTED_VALUE"""),"https://www.nytimes.com/1985/12/13/nyregion/at-junior-high-attempt-to-deal-with-shootings.html; https://en.wikipedia.org/wiki/List_of_attacks_related_to_secondary_schools https://apnews.com/4a31863a15b9073e705b275a22eb132d https://www.newspapers.com/image"&amp;"/245620114/?terms=Portland%2BJunior%2BHigh%2BSchool")</f>
        <v>https://www.nytimes.com/1985/12/13/nyregion/at-junior-high-attempt-to-deal-with-shootings.html; https://en.wikipedia.org/wiki/List_of_attacks_related_to_secondary_schools https://apnews.com/4a31863a15b9073e705b275a22eb132d https://www.newspapers.com/image/245620114/?terms=Portland%2BJunior%2BHigh%2BSchool</v>
      </c>
      <c r="L2021" s="5"/>
      <c r="M2021" s="5"/>
      <c r="N2021" s="5">
        <f ca="1">IFERROR(__xludf.DUMMYFUNCTION("""COMPUTED_VALUE"""),3)</f>
        <v>3</v>
      </c>
      <c r="O2021" s="5" t="str">
        <f ca="1">IFERROR(__xludf.DUMMYFUNCTION("""COMPUTED_VALUE"""),"Winter")</f>
        <v>Winter</v>
      </c>
      <c r="P2021" s="5" t="str">
        <f ca="1">IFERROR(__xludf.DUMMYFUNCTION("""COMPUTED_VALUE"""),"Portland")</f>
        <v>Portland</v>
      </c>
      <c r="Q2021" s="5" t="str">
        <f ca="1">IFERROR(__xludf.DUMMYFUNCTION("""COMPUTED_VALUE"""),"CT")</f>
        <v>CT</v>
      </c>
      <c r="R2021" s="5" t="str">
        <f ca="1">IFERROR(__xludf.DUMMYFUNCTION("""COMPUTED_VALUE"""),"Junior High")</f>
        <v>Junior High</v>
      </c>
      <c r="S2021" s="5" t="str">
        <f ca="1">IFERROR(__xludf.DUMMYFUNCTION("""COMPUTED_VALUE"""),"Classroom")</f>
        <v>Classroom</v>
      </c>
      <c r="T2021" s="5" t="str">
        <f ca="1">IFERROR(__xludf.DUMMYFUNCTION("""COMPUTED_VALUE"""),"Inside School Building")</f>
        <v>Inside School Building</v>
      </c>
      <c r="U2021" s="5" t="str">
        <f ca="1">IFERROR(__xludf.DUMMYFUNCTION("""COMPUTED_VALUE"""),"Yes")</f>
        <v>Yes</v>
      </c>
      <c r="V2021" s="5" t="str">
        <f ca="1">IFERROR(__xludf.DUMMYFUNCTION("""COMPUTED_VALUE"""),"Lunch")</f>
        <v>Lunch</v>
      </c>
      <c r="W2021" s="10">
        <f ca="1">IFERROR(__xludf.DUMMYFUNCTION("""COMPUTED_VALUE"""),0.520833333333333)</f>
        <v>0.52083333333333304</v>
      </c>
      <c r="X2021" s="5">
        <f ca="1">IFERROR(__xludf.DUMMYFUNCTION("""COMPUTED_VALUE"""),30)</f>
        <v>30</v>
      </c>
      <c r="Y2021" s="5" t="str">
        <f ca="1">IFERROR(__xludf.DUMMYFUNCTION("""COMPUTED_VALUE"""),"Shooter shot principal after being disciplined for dress code.")</f>
        <v>Shooter shot principal after being disciplined for dress code.</v>
      </c>
      <c r="Z2021" s="5" t="str">
        <f ca="1">IFERROR(__xludf.DUMMYFUNCTION("""COMPUTED_VALUE"""),"Prior suspensions for failing to follow school dress code. Killed janitor and fired at principal. Took hostages in upstairs classroom for 30 minutes before surrendering.")</f>
        <v>Prior suspensions for failing to follow school dress code. Killed janitor and fired at principal. Took hostages in upstairs classroom for 30 minutes before surrendering.</v>
      </c>
      <c r="AA2021" s="5" t="str">
        <f ca="1">IFERROR(__xludf.DUMMYFUNCTION("""COMPUTED_VALUE"""),"Anger Over Grade/Suspension/Discipline")</f>
        <v>Anger Over Grade/Suspension/Discipline</v>
      </c>
      <c r="AB2021" s="5" t="str">
        <f ca="1">IFERROR(__xludf.DUMMYFUNCTION("""COMPUTED_VALUE"""),"Both")</f>
        <v>Both</v>
      </c>
      <c r="AC2021" s="5"/>
      <c r="AD2021" s="5" t="str">
        <f ca="1">IFERROR(__xludf.DUMMYFUNCTION("""COMPUTED_VALUE"""),"Yes")</f>
        <v>Yes</v>
      </c>
      <c r="AE2021" s="5" t="str">
        <f ca="1">IFERROR(__xludf.DUMMYFUNCTION("""COMPUTED_VALUE"""),"Yes")</f>
        <v>Yes</v>
      </c>
      <c r="AF2021" s="5" t="str">
        <f ca="1">IFERROR(__xludf.DUMMYFUNCTION("""COMPUTED_VALUE"""),"No")</f>
        <v>No</v>
      </c>
      <c r="AG2021" s="5" t="str">
        <f ca="1">IFERROR(__xludf.DUMMYFUNCTION("""COMPUTED_VALUE"""),"No")</f>
        <v>No</v>
      </c>
      <c r="AH2021" s="5" t="str">
        <f ca="1">IFERROR(__xludf.DUMMYFUNCTION("""COMPUTED_VALUE"""),"No")</f>
        <v>No</v>
      </c>
      <c r="AI2021" s="5" t="str">
        <f ca="1">IFERROR(__xludf.DUMMYFUNCTION("""COMPUTED_VALUE"""),"No")</f>
        <v>No</v>
      </c>
      <c r="AJ2021" s="5" t="str">
        <f ca="1">IFERROR(__xludf.DUMMYFUNCTION("""COMPUTED_VALUE"""),"Yes")</f>
        <v>Yes</v>
      </c>
    </row>
    <row r="2022" spans="1:36" ht="13">
      <c r="A2022" s="5" t="str">
        <f ca="1">IFERROR(__xludf.DUMMYFUNCTION("""COMPUTED_VALUE"""),"19851209PAARP")</f>
        <v>19851209PAARP</v>
      </c>
      <c r="B2022" s="5">
        <f ca="1">IFERROR(__xludf.DUMMYFUNCTION("""COMPUTED_VALUE"""),12)</f>
        <v>12</v>
      </c>
      <c r="C2022" s="5">
        <f ca="1">IFERROR(__xludf.DUMMYFUNCTION("""COMPUTED_VALUE"""),9)</f>
        <v>9</v>
      </c>
      <c r="D2022" s="5">
        <f ca="1">IFERROR(__xludf.DUMMYFUNCTION("""COMPUTED_VALUE"""),1985)</f>
        <v>1985</v>
      </c>
      <c r="E2022" s="8">
        <f ca="1">IFERROR(__xludf.DUMMYFUNCTION("""COMPUTED_VALUE"""),31390)</f>
        <v>31390</v>
      </c>
      <c r="F2022" s="5" t="str">
        <f ca="1">IFERROR(__xludf.DUMMYFUNCTION("""COMPUTED_VALUE"""),"Archbishop Ryan High School")</f>
        <v>Archbishop Ryan High School</v>
      </c>
      <c r="G2022" s="5">
        <f ca="1">IFERROR(__xludf.DUMMYFUNCTION("""COMPUTED_VALUE"""),0)</f>
        <v>0</v>
      </c>
      <c r="H2022" s="5">
        <f ca="1">IFERROR(__xludf.DUMMYFUNCTION("""COMPUTED_VALUE"""),0)</f>
        <v>0</v>
      </c>
      <c r="I2022" s="5">
        <f ca="1">IFERROR(__xludf.DUMMYFUNCTION("""COMPUTED_VALUE"""),0)</f>
        <v>0</v>
      </c>
      <c r="J2022" s="5">
        <f ca="1">IFERROR(__xludf.DUMMYFUNCTION("""COMPUTED_VALUE"""),0)</f>
        <v>0</v>
      </c>
      <c r="K2022" s="9" t="str">
        <f ca="1">IFERROR(__xludf.DUMMYFUNCTION("""COMPUTED_VALUE"""),"https://www.newspapers.com/image/182776909/?terms=Archbishop%2BRyan%2BHigh%2BSchool%2Bfor%2Bboys%2Bshooting")</f>
        <v>https://www.newspapers.com/image/182776909/?terms=Archbishop%2BRyan%2BHigh%2BSchool%2Bfor%2Bboys%2Bshooting</v>
      </c>
      <c r="L2022" s="5"/>
      <c r="M2022" s="5"/>
      <c r="N2022" s="5">
        <f ca="1">IFERROR(__xludf.DUMMYFUNCTION("""COMPUTED_VALUE"""),2)</f>
        <v>2</v>
      </c>
      <c r="O2022" s="5" t="str">
        <f ca="1">IFERROR(__xludf.DUMMYFUNCTION("""COMPUTED_VALUE"""),"Winter")</f>
        <v>Winter</v>
      </c>
      <c r="P2022" s="5" t="str">
        <f ca="1">IFERROR(__xludf.DUMMYFUNCTION("""COMPUTED_VALUE"""),"Philadelphia")</f>
        <v>Philadelphia</v>
      </c>
      <c r="Q2022" s="5" t="str">
        <f ca="1">IFERROR(__xludf.DUMMYFUNCTION("""COMPUTED_VALUE"""),"PA")</f>
        <v>PA</v>
      </c>
      <c r="R2022" s="5" t="str">
        <f ca="1">IFERROR(__xludf.DUMMYFUNCTION("""COMPUTED_VALUE"""),"High")</f>
        <v>High</v>
      </c>
      <c r="S2022" s="5" t="str">
        <f ca="1">IFERROR(__xludf.DUMMYFUNCTION("""COMPUTED_VALUE"""),"Classroom")</f>
        <v>Classroom</v>
      </c>
      <c r="T2022" s="5" t="str">
        <f ca="1">IFERROR(__xludf.DUMMYFUNCTION("""COMPUTED_VALUE"""),"Inside School Building")</f>
        <v>Inside School Building</v>
      </c>
      <c r="U2022" s="5" t="str">
        <f ca="1">IFERROR(__xludf.DUMMYFUNCTION("""COMPUTED_VALUE"""),"Yes")</f>
        <v>Yes</v>
      </c>
      <c r="V2022" s="5" t="str">
        <f ca="1">IFERROR(__xludf.DUMMYFUNCTION("""COMPUTED_VALUE"""),"Morning Classes")</f>
        <v>Morning Classes</v>
      </c>
      <c r="W2022" s="5"/>
      <c r="X2022" s="5">
        <f ca="1">IFERROR(__xludf.DUMMYFUNCTION("""COMPUTED_VALUE"""),450)</f>
        <v>450</v>
      </c>
      <c r="Y2022" s="5" t="str">
        <f ca="1">IFERROR(__xludf.DUMMYFUNCTION("""COMPUTED_VALUE"""),"Mental patient took 6 people hostage using a starter pistol")</f>
        <v>Mental patient took 6 people hostage using a starter pistol</v>
      </c>
      <c r="Z2022" s="5" t="str">
        <f ca="1">IFERROR(__xludf.DUMMYFUNCTION("""COMPUTED_VALUE"""),"Mental patient held 6 hostages for 7.5 hours. Incident ended when he was overpowered by students. Turned out shooter had a tear gas pistol not a real gun. No shots were fired. Shooter was demanding that President Reagan step down.")</f>
        <v>Mental patient held 6 hostages for 7.5 hours. Incident ended when he was overpowered by students. Turned out shooter had a tear gas pistol not a real gun. No shots were fired. Shooter was demanding that President Reagan step down.</v>
      </c>
      <c r="AA2022" s="5" t="str">
        <f ca="1">IFERROR(__xludf.DUMMYFUNCTION("""COMPUTED_VALUE"""),"Psychosis")</f>
        <v>Psychosis</v>
      </c>
      <c r="AB2022" s="5" t="str">
        <f ca="1">IFERROR(__xludf.DUMMYFUNCTION("""COMPUTED_VALUE"""),"Neither")</f>
        <v>Neither</v>
      </c>
      <c r="AC2022" s="5" t="str">
        <f ca="1">IFERROR(__xludf.DUMMYFUNCTION("""COMPUTED_VALUE"""),"No")</f>
        <v>No</v>
      </c>
      <c r="AD2022" s="5" t="str">
        <f ca="1">IFERROR(__xludf.DUMMYFUNCTION("""COMPUTED_VALUE"""),"Yes")</f>
        <v>Yes</v>
      </c>
      <c r="AE2022" s="5" t="str">
        <f ca="1">IFERROR(__xludf.DUMMYFUNCTION("""COMPUTED_VALUE"""),"Yes")</f>
        <v>Yes</v>
      </c>
      <c r="AF2022" s="5" t="str">
        <f ca="1">IFERROR(__xludf.DUMMYFUNCTION("""COMPUTED_VALUE"""),"No")</f>
        <v>No</v>
      </c>
      <c r="AG2022" s="5"/>
      <c r="AH2022" s="5" t="str">
        <f ca="1">IFERROR(__xludf.DUMMYFUNCTION("""COMPUTED_VALUE"""),"No")</f>
        <v>No</v>
      </c>
      <c r="AI2022" s="5" t="str">
        <f ca="1">IFERROR(__xludf.DUMMYFUNCTION("""COMPUTED_VALUE"""),"No")</f>
        <v>No</v>
      </c>
      <c r="AJ2022" s="5" t="str">
        <f ca="1">IFERROR(__xludf.DUMMYFUNCTION("""COMPUTED_VALUE"""),"Yes")</f>
        <v>Yes</v>
      </c>
    </row>
    <row r="2023" spans="1:36" ht="13">
      <c r="A2023" s="5" t="str">
        <f ca="1">IFERROR(__xludf.DUMMYFUNCTION("""COMPUTED_VALUE"""),"19851203NHCOC")</f>
        <v>19851203NHCOC</v>
      </c>
      <c r="B2023" s="5">
        <f ca="1">IFERROR(__xludf.DUMMYFUNCTION("""COMPUTED_VALUE"""),12)</f>
        <v>12</v>
      </c>
      <c r="C2023" s="5">
        <f ca="1">IFERROR(__xludf.DUMMYFUNCTION("""COMPUTED_VALUE"""),3)</f>
        <v>3</v>
      </c>
      <c r="D2023" s="5">
        <f ca="1">IFERROR(__xludf.DUMMYFUNCTION("""COMPUTED_VALUE"""),1985)</f>
        <v>1985</v>
      </c>
      <c r="E2023" s="8">
        <f ca="1">IFERROR(__xludf.DUMMYFUNCTION("""COMPUTED_VALUE"""),31384)</f>
        <v>31384</v>
      </c>
      <c r="F2023" s="5" t="str">
        <f ca="1">IFERROR(__xludf.DUMMYFUNCTION("""COMPUTED_VALUE"""),"Concord High School")</f>
        <v>Concord High School</v>
      </c>
      <c r="G2023" s="5">
        <f ca="1">IFERROR(__xludf.DUMMYFUNCTION("""COMPUTED_VALUE"""),0)</f>
        <v>0</v>
      </c>
      <c r="H2023" s="5">
        <f ca="1">IFERROR(__xludf.DUMMYFUNCTION("""COMPUTED_VALUE"""),0)</f>
        <v>0</v>
      </c>
      <c r="I2023" s="5">
        <f ca="1">IFERROR(__xludf.DUMMYFUNCTION("""COMPUTED_VALUE"""),0)</f>
        <v>0</v>
      </c>
      <c r="J2023" s="5">
        <f ca="1">IFERROR(__xludf.DUMMYFUNCTION("""COMPUTED_VALUE"""),1)</f>
        <v>1</v>
      </c>
      <c r="K2023" s="5" t="str">
        <f ca="1">IFERROR(__xludf.DUMMYFUNCTION("""COMPUTED_VALUE"""),"https://www.edweek.org/ew/articles/1985/12/11/06130034.h05.html; https://www.upi.com/Archives/1985/12/05/Student-dies-of-gunshot-wounds/2332502606800/; https://narratively.com/before-columbine-there-was-concord-high/")</f>
        <v>https://www.edweek.org/ew/articles/1985/12/11/06130034.h05.html; https://www.upi.com/Archives/1985/12/05/Student-dies-of-gunshot-wounds/2332502606800/; https://narratively.com/before-columbine-there-was-concord-high/</v>
      </c>
      <c r="L2023" s="5"/>
      <c r="M2023" s="5"/>
      <c r="N2023" s="5">
        <f ca="1">IFERROR(__xludf.DUMMYFUNCTION("""COMPUTED_VALUE"""),3)</f>
        <v>3</v>
      </c>
      <c r="O2023" s="5" t="str">
        <f ca="1">IFERROR(__xludf.DUMMYFUNCTION("""COMPUTED_VALUE"""),"Winter")</f>
        <v>Winter</v>
      </c>
      <c r="P2023" s="5" t="str">
        <f ca="1">IFERROR(__xludf.DUMMYFUNCTION("""COMPUTED_VALUE"""),"Concord")</f>
        <v>Concord</v>
      </c>
      <c r="Q2023" s="5" t="str">
        <f ca="1">IFERROR(__xludf.DUMMYFUNCTION("""COMPUTED_VALUE"""),"NH")</f>
        <v>NH</v>
      </c>
      <c r="R2023" s="5" t="str">
        <f ca="1">IFERROR(__xludf.DUMMYFUNCTION("""COMPUTED_VALUE"""),"High")</f>
        <v>High</v>
      </c>
      <c r="S2023" s="5" t="str">
        <f ca="1">IFERROR(__xludf.DUMMYFUNCTION("""COMPUTED_VALUE"""),"Hallway")</f>
        <v>Hallway</v>
      </c>
      <c r="T2023" s="5" t="str">
        <f ca="1">IFERROR(__xludf.DUMMYFUNCTION("""COMPUTED_VALUE"""),"Inside School Building")</f>
        <v>Inside School Building</v>
      </c>
      <c r="U2023" s="5" t="str">
        <f ca="1">IFERROR(__xludf.DUMMYFUNCTION("""COMPUTED_VALUE"""),"Yes")</f>
        <v>Yes</v>
      </c>
      <c r="V2023" s="5" t="str">
        <f ca="1">IFERROR(__xludf.DUMMYFUNCTION("""COMPUTED_VALUE"""),"Morning Classes")</f>
        <v>Morning Classes</v>
      </c>
      <c r="W2023" s="10">
        <f ca="1">IFERROR(__xludf.DUMMYFUNCTION("""COMPUTED_VALUE"""),0.336805555555555)</f>
        <v>0.33680555555555503</v>
      </c>
      <c r="X2023" s="5"/>
      <c r="Y2023" s="5" t="str">
        <f ca="1">IFERROR(__xludf.DUMMYFUNCTION("""COMPUTED_VALUE"""),"Dropout, Teased by other students, took two hostages")</f>
        <v>Dropout, Teased by other students, took two hostages</v>
      </c>
      <c r="Z2023" s="5" t="str">
        <f ca="1">IFERROR(__xludf.DUMMYFUNCTION("""COMPUTED_VALUE"""),"Shooter dropped out of school two weeks prior - came back to school with shotgun and held two students hostage - teacher tried to talk down but didn't work. Police arrived and shot and killed suspect.")</f>
        <v>Shooter dropped out of school two weeks prior - came back to school with shotgun and held two students hostage - teacher tried to talk down but didn't work. Police arrived and shot and killed suspect.</v>
      </c>
      <c r="AA2023" s="5" t="str">
        <f ca="1">IFERROR(__xludf.DUMMYFUNCTION("""COMPUTED_VALUE"""),"Hostage/Standoff")</f>
        <v>Hostage/Standoff</v>
      </c>
      <c r="AB2023" s="5" t="str">
        <f ca="1">IFERROR(__xludf.DUMMYFUNCTION("""COMPUTED_VALUE"""),"Victims Targeted")</f>
        <v>Victims Targeted</v>
      </c>
      <c r="AC2023" s="5" t="str">
        <f ca="1">IFERROR(__xludf.DUMMYFUNCTION("""COMPUTED_VALUE"""),"No")</f>
        <v>No</v>
      </c>
      <c r="AD2023" s="5" t="str">
        <f ca="1">IFERROR(__xludf.DUMMYFUNCTION("""COMPUTED_VALUE"""),"Yes")</f>
        <v>Yes</v>
      </c>
      <c r="AE2023" s="5" t="str">
        <f ca="1">IFERROR(__xludf.DUMMYFUNCTION("""COMPUTED_VALUE"""),"Yes")</f>
        <v>Yes</v>
      </c>
      <c r="AF2023" s="5" t="str">
        <f ca="1">IFERROR(__xludf.DUMMYFUNCTION("""COMPUTED_VALUE"""),"No")</f>
        <v>No</v>
      </c>
      <c r="AG2023" s="5" t="str">
        <f ca="1">IFERROR(__xludf.DUMMYFUNCTION("""COMPUTED_VALUE"""),"Yes")</f>
        <v>Yes</v>
      </c>
      <c r="AH2023" s="5" t="str">
        <f ca="1">IFERROR(__xludf.DUMMYFUNCTION("""COMPUTED_VALUE"""),"No")</f>
        <v>No</v>
      </c>
      <c r="AI2023" s="5" t="str">
        <f ca="1">IFERROR(__xludf.DUMMYFUNCTION("""COMPUTED_VALUE"""),"No")</f>
        <v>No</v>
      </c>
      <c r="AJ2023" s="5" t="str">
        <f ca="1">IFERROR(__xludf.DUMMYFUNCTION("""COMPUTED_VALUE"""),"Yes")</f>
        <v>Yes</v>
      </c>
    </row>
    <row r="2024" spans="1:36" ht="13">
      <c r="A2024" s="5" t="str">
        <f ca="1">IFERROR(__xludf.DUMMYFUNCTION("""COMPUTED_VALUE"""),"19851127ALCHB")</f>
        <v>19851127ALCHB</v>
      </c>
      <c r="B2024" s="5">
        <f ca="1">IFERROR(__xludf.DUMMYFUNCTION("""COMPUTED_VALUE"""),11)</f>
        <v>11</v>
      </c>
      <c r="C2024" s="5">
        <f ca="1">IFERROR(__xludf.DUMMYFUNCTION("""COMPUTED_VALUE"""),27)</f>
        <v>27</v>
      </c>
      <c r="D2024" s="5">
        <f ca="1">IFERROR(__xludf.DUMMYFUNCTION("""COMPUTED_VALUE"""),1985)</f>
        <v>1985</v>
      </c>
      <c r="E2024" s="8">
        <f ca="1">IFERROR(__xludf.DUMMYFUNCTION("""COMPUTED_VALUE"""),31378)</f>
        <v>31378</v>
      </c>
      <c r="F2024" s="5" t="str">
        <f ca="1">IFERROR(__xludf.DUMMYFUNCTION("""COMPUTED_VALUE"""),"Chelsea School")</f>
        <v>Chelsea School</v>
      </c>
      <c r="G2024" s="5">
        <f ca="1">IFERROR(__xludf.DUMMYFUNCTION("""COMPUTED_VALUE"""),0)</f>
        <v>0</v>
      </c>
      <c r="H2024" s="5">
        <f ca="1">IFERROR(__xludf.DUMMYFUNCTION("""COMPUTED_VALUE"""),1)</f>
        <v>1</v>
      </c>
      <c r="I2024" s="5">
        <f ca="1">IFERROR(__xludf.DUMMYFUNCTION("""COMPUTED_VALUE"""),1)</f>
        <v>1</v>
      </c>
      <c r="J2024" s="5">
        <f ca="1">IFERROR(__xludf.DUMMYFUNCTION("""COMPUTED_VALUE"""),1)</f>
        <v>1</v>
      </c>
      <c r="K2024" s="9" t="str">
        <f ca="1">IFERROR(__xludf.DUMMYFUNCTION("""COMPUTED_VALUE"""),"https://people.com/archive/a-16-year-old-alabama-boy-points-a-gun-shoots-a-friend-and-kills-himself-in-remorse-vol-25-no-2/")</f>
        <v>https://people.com/archive/a-16-year-old-alabama-boy-points-a-gun-shoots-a-friend-and-kills-himself-in-remorse-vol-25-no-2/</v>
      </c>
      <c r="L2024" s="5"/>
      <c r="M2024" s="5"/>
      <c r="N2024" s="5">
        <f ca="1">IFERROR(__xludf.DUMMYFUNCTION("""COMPUTED_VALUE"""),2)</f>
        <v>2</v>
      </c>
      <c r="O2024" s="5" t="str">
        <f ca="1">IFERROR(__xludf.DUMMYFUNCTION("""COMPUTED_VALUE"""),"Fall")</f>
        <v>Fall</v>
      </c>
      <c r="P2024" s="5" t="str">
        <f ca="1">IFERROR(__xludf.DUMMYFUNCTION("""COMPUTED_VALUE"""),"Birmingham")</f>
        <v>Birmingham</v>
      </c>
      <c r="Q2024" s="5" t="str">
        <f ca="1">IFERROR(__xludf.DUMMYFUNCTION("""COMPUTED_VALUE"""),"AL")</f>
        <v>AL</v>
      </c>
      <c r="R2024" s="5" t="str">
        <f ca="1">IFERROR(__xludf.DUMMYFUNCTION("""COMPUTED_VALUE"""),"High")</f>
        <v>High</v>
      </c>
      <c r="S2024" s="5" t="str">
        <f ca="1">IFERROR(__xludf.DUMMYFUNCTION("""COMPUTED_VALUE"""),"Parking Lot")</f>
        <v>Parking Lot</v>
      </c>
      <c r="T2024" s="5" t="str">
        <f ca="1">IFERROR(__xludf.DUMMYFUNCTION("""COMPUTED_VALUE"""),"Outside on School Property")</f>
        <v>Outside on School Property</v>
      </c>
      <c r="U2024" s="5" t="str">
        <f ca="1">IFERROR(__xludf.DUMMYFUNCTION("""COMPUTED_VALUE"""),"Yes")</f>
        <v>Yes</v>
      </c>
      <c r="V2024" s="5" t="str">
        <f ca="1">IFERROR(__xludf.DUMMYFUNCTION("""COMPUTED_VALUE"""),"Dismissal")</f>
        <v>Dismissal</v>
      </c>
      <c r="W2024" s="10">
        <f ca="1">IFERROR(__xludf.DUMMYFUNCTION("""COMPUTED_VALUE"""),0.625)</f>
        <v>0.625</v>
      </c>
      <c r="X2024" s="5">
        <f ca="1">IFERROR(__xludf.DUMMYFUNCTION("""COMPUTED_VALUE"""),1)</f>
        <v>1</v>
      </c>
      <c r="Y2024" s="5" t="str">
        <f ca="1">IFERROR(__xludf.DUMMYFUNCTION("""COMPUTED_VALUE"""),"Friend accidentally shoots friend in school parking lot - feels so bad he then shoots himself")</f>
        <v>Friend accidentally shoots friend in school parking lot - feels so bad he then shoots himself</v>
      </c>
      <c r="Z2024" s="5" t="str">
        <f ca="1">IFERROR(__xludf.DUMMYFUNCTION("""COMPUTED_VALUE"""),"Friend accidentally shoots friend in school parking lot - feels so bad he then shoots himself")</f>
        <v>Friend accidentally shoots friend in school parking lot - feels so bad he then shoots himself</v>
      </c>
      <c r="AA2024" s="5" t="str">
        <f ca="1">IFERROR(__xludf.DUMMYFUNCTION("""COMPUTED_VALUE"""),"Accidental")</f>
        <v>Accidental</v>
      </c>
      <c r="AB2024" s="5" t="str">
        <f ca="1">IFERROR(__xludf.DUMMYFUNCTION("""COMPUTED_VALUE"""),"Both")</f>
        <v>Both</v>
      </c>
      <c r="AC2024" s="5" t="str">
        <f ca="1">IFERROR(__xludf.DUMMYFUNCTION("""COMPUTED_VALUE"""),"No")</f>
        <v>No</v>
      </c>
      <c r="AD2024" s="5" t="str">
        <f ca="1">IFERROR(__xludf.DUMMYFUNCTION("""COMPUTED_VALUE"""),"No")</f>
        <v>No</v>
      </c>
      <c r="AE2024" s="5" t="str">
        <f ca="1">IFERROR(__xludf.DUMMYFUNCTION("""COMPUTED_VALUE"""),"No")</f>
        <v>No</v>
      </c>
      <c r="AF2024" s="5" t="str">
        <f ca="1">IFERROR(__xludf.DUMMYFUNCTION("""COMPUTED_VALUE"""),"No")</f>
        <v>No</v>
      </c>
      <c r="AG2024" s="5"/>
      <c r="AH2024" s="5" t="str">
        <f ca="1">IFERROR(__xludf.DUMMYFUNCTION("""COMPUTED_VALUE"""),"No")</f>
        <v>No</v>
      </c>
      <c r="AI2024" s="5" t="str">
        <f ca="1">IFERROR(__xludf.DUMMYFUNCTION("""COMPUTED_VALUE"""),"No")</f>
        <v>No</v>
      </c>
      <c r="AJ2024" s="5"/>
    </row>
    <row r="2025" spans="1:36" ht="13">
      <c r="A2025" s="5" t="str">
        <f ca="1">IFERROR(__xludf.DUMMYFUNCTION("""COMPUTED_VALUE"""),"19851126WASPS")</f>
        <v>19851126WASPS</v>
      </c>
      <c r="B2025" s="5">
        <f ca="1">IFERROR(__xludf.DUMMYFUNCTION("""COMPUTED_VALUE"""),11)</f>
        <v>11</v>
      </c>
      <c r="C2025" s="5">
        <f ca="1">IFERROR(__xludf.DUMMYFUNCTION("""COMPUTED_VALUE"""),26)</f>
        <v>26</v>
      </c>
      <c r="D2025" s="5">
        <f ca="1">IFERROR(__xludf.DUMMYFUNCTION("""COMPUTED_VALUE"""),1985)</f>
        <v>1985</v>
      </c>
      <c r="E2025" s="8">
        <f ca="1">IFERROR(__xludf.DUMMYFUNCTION("""COMPUTED_VALUE"""),31377)</f>
        <v>31377</v>
      </c>
      <c r="F2025" s="5" t="str">
        <f ca="1">IFERROR(__xludf.DUMMYFUNCTION("""COMPUTED_VALUE"""),"Spanaway Junior High School")</f>
        <v>Spanaway Junior High School</v>
      </c>
      <c r="G2025" s="5">
        <f ca="1">IFERROR(__xludf.DUMMYFUNCTION("""COMPUTED_VALUE"""),2)</f>
        <v>2</v>
      </c>
      <c r="H2025" s="5">
        <f ca="1">IFERROR(__xludf.DUMMYFUNCTION("""COMPUTED_VALUE"""),0)</f>
        <v>0</v>
      </c>
      <c r="I2025" s="5">
        <f ca="1">IFERROR(__xludf.DUMMYFUNCTION("""COMPUTED_VALUE"""),2)</f>
        <v>2</v>
      </c>
      <c r="J2025" s="5">
        <f ca="1">IFERROR(__xludf.DUMMYFUNCTION("""COMPUTED_VALUE"""),1)</f>
        <v>1</v>
      </c>
      <c r="K2025" s="9" t="str">
        <f ca="1">IFERROR(__xludf.DUMMYFUNCTION("""COMPUTED_VALUE"""),"http://www.apnewsarchive.com/1985/Distraught-Over-Losing-Boyfriend-Girl-Kills-Two-Then-Herself/id-075d33aa6600d2e6b30d969ba3edaf0d")</f>
        <v>http://www.apnewsarchive.com/1985/Distraught-Over-Losing-Boyfriend-Girl-Kills-Two-Then-Herself/id-075d33aa6600d2e6b30d969ba3edaf0d</v>
      </c>
      <c r="L2025" s="5"/>
      <c r="M2025" s="5"/>
      <c r="N2025" s="5">
        <f ca="1">IFERROR(__xludf.DUMMYFUNCTION("""COMPUTED_VALUE"""),2)</f>
        <v>2</v>
      </c>
      <c r="O2025" s="5" t="str">
        <f ca="1">IFERROR(__xludf.DUMMYFUNCTION("""COMPUTED_VALUE"""),"Fall")</f>
        <v>Fall</v>
      </c>
      <c r="P2025" s="5" t="str">
        <f ca="1">IFERROR(__xludf.DUMMYFUNCTION("""COMPUTED_VALUE"""),"Spanaway")</f>
        <v>Spanaway</v>
      </c>
      <c r="Q2025" s="5" t="str">
        <f ca="1">IFERROR(__xludf.DUMMYFUNCTION("""COMPUTED_VALUE"""),"WA")</f>
        <v>WA</v>
      </c>
      <c r="R2025" s="5" t="str">
        <f ca="1">IFERROR(__xludf.DUMMYFUNCTION("""COMPUTED_VALUE"""),"Junior High")</f>
        <v>Junior High</v>
      </c>
      <c r="S2025" s="5" t="str">
        <f ca="1">IFERROR(__xludf.DUMMYFUNCTION("""COMPUTED_VALUE"""),"Gym")</f>
        <v>Gym</v>
      </c>
      <c r="T2025" s="5" t="str">
        <f ca="1">IFERROR(__xludf.DUMMYFUNCTION("""COMPUTED_VALUE"""),"Outside on School Property")</f>
        <v>Outside on School Property</v>
      </c>
      <c r="U2025" s="5" t="str">
        <f ca="1">IFERROR(__xludf.DUMMYFUNCTION("""COMPUTED_VALUE"""),"Yes")</f>
        <v>Yes</v>
      </c>
      <c r="V2025" s="5" t="str">
        <f ca="1">IFERROR(__xludf.DUMMYFUNCTION("""COMPUTED_VALUE"""),"After School")</f>
        <v>After School</v>
      </c>
      <c r="W2025" s="10">
        <f ca="1">IFERROR(__xludf.DUMMYFUNCTION("""COMPUTED_VALUE"""),0.680555555555555)</f>
        <v>0.68055555555555503</v>
      </c>
      <c r="X2025" s="5">
        <f ca="1">IFERROR(__xludf.DUMMYFUNCTION("""COMPUTED_VALUE"""),1)</f>
        <v>1</v>
      </c>
      <c r="Y2025" s="5" t="str">
        <f ca="1">IFERROR(__xludf.DUMMYFUNCTION("""COMPUTED_VALUE"""),"Break up with boyfriend - 1 of the victims")</f>
        <v>Break up with boyfriend - 1 of the victims</v>
      </c>
      <c r="Z2025" s="5" t="str">
        <f ca="1">IFERROR(__xludf.DUMMYFUNCTION("""COMPUTED_VALUE"""),"Shooter had told friends she planned to shoot ex-boyfriend. Suspect also slit her wrists prior week due to failing grades. Shooter waited outside of gym for ex boyfriend to leave wrestling practice. Two males came out. When she pointed gun, friend jump in"&amp;" front of target. Shooter fired additional shots killing ex boyfriend. Walked away from school and shot herself when confronted by police.")</f>
        <v>Shooter had told friends she planned to shoot ex-boyfriend. Suspect also slit her wrists prior week due to failing grades. Shooter waited outside of gym for ex boyfriend to leave wrestling practice. Two males came out. When she pointed gun, friend jump in front of target. Shooter fired additional shots killing ex boyfriend. Walked away from school and shot herself when confronted by police.</v>
      </c>
      <c r="AA2025" s="5" t="str">
        <f ca="1">IFERROR(__xludf.DUMMYFUNCTION("""COMPUTED_VALUE"""),"Murder/Suicide")</f>
        <v>Murder/Suicide</v>
      </c>
      <c r="AB2025" s="5" t="str">
        <f ca="1">IFERROR(__xludf.DUMMYFUNCTION("""COMPUTED_VALUE"""),"Both")</f>
        <v>Both</v>
      </c>
      <c r="AC2025" s="5" t="str">
        <f ca="1">IFERROR(__xludf.DUMMYFUNCTION("""COMPUTED_VALUE"""),"No")</f>
        <v>No</v>
      </c>
      <c r="AD2025" s="5" t="str">
        <f ca="1">IFERROR(__xludf.DUMMYFUNCTION("""COMPUTED_VALUE"""),"No")</f>
        <v>No</v>
      </c>
      <c r="AE2025" s="5" t="str">
        <f ca="1">IFERROR(__xludf.DUMMYFUNCTION("""COMPUTED_VALUE"""),"No")</f>
        <v>No</v>
      </c>
      <c r="AF2025" s="5" t="str">
        <f ca="1">IFERROR(__xludf.DUMMYFUNCTION("""COMPUTED_VALUE"""),"No")</f>
        <v>No</v>
      </c>
      <c r="AG2025" s="5" t="str">
        <f ca="1">IFERROR(__xludf.DUMMYFUNCTION("""COMPUTED_VALUE"""),"No")</f>
        <v>No</v>
      </c>
      <c r="AH2025" s="5" t="str">
        <f ca="1">IFERROR(__xludf.DUMMYFUNCTION("""COMPUTED_VALUE"""),"No")</f>
        <v>No</v>
      </c>
      <c r="AI2025" s="5" t="str">
        <f ca="1">IFERROR(__xludf.DUMMYFUNCTION("""COMPUTED_VALUE"""),"No")</f>
        <v>No</v>
      </c>
      <c r="AJ2025" s="5"/>
    </row>
    <row r="2026" spans="1:36" ht="13">
      <c r="A2026" s="5" t="str">
        <f ca="1">IFERROR(__xludf.DUMMYFUNCTION("""COMPUTED_VALUE"""),"19851022OHSOG")</f>
        <v>19851022OHSOG</v>
      </c>
      <c r="B2026" s="5">
        <f ca="1">IFERROR(__xludf.DUMMYFUNCTION("""COMPUTED_VALUE"""),10)</f>
        <v>10</v>
      </c>
      <c r="C2026" s="5">
        <f ca="1">IFERROR(__xludf.DUMMYFUNCTION("""COMPUTED_VALUE"""),22)</f>
        <v>22</v>
      </c>
      <c r="D2026" s="5">
        <f ca="1">IFERROR(__xludf.DUMMYFUNCTION("""COMPUTED_VALUE"""),1985)</f>
        <v>1985</v>
      </c>
      <c r="E2026" s="8">
        <f ca="1">IFERROR(__xludf.DUMMYFUNCTION("""COMPUTED_VALUE"""),31342)</f>
        <v>31342</v>
      </c>
      <c r="F2026" s="5" t="str">
        <f ca="1">IFERROR(__xludf.DUMMYFUNCTION("""COMPUTED_VALUE"""),"Southern Hills Joint Vocational High School")</f>
        <v>Southern Hills Joint Vocational High School</v>
      </c>
      <c r="G2026" s="5">
        <f ca="1">IFERROR(__xludf.DUMMYFUNCTION("""COMPUTED_VALUE"""),0)</f>
        <v>0</v>
      </c>
      <c r="H2026" s="5">
        <f ca="1">IFERROR(__xludf.DUMMYFUNCTION("""COMPUTED_VALUE"""),1)</f>
        <v>1</v>
      </c>
      <c r="I2026" s="5">
        <f ca="1">IFERROR(__xludf.DUMMYFUNCTION("""COMPUTED_VALUE"""),1)</f>
        <v>1</v>
      </c>
      <c r="J2026" s="5">
        <f ca="1">IFERROR(__xludf.DUMMYFUNCTION("""COMPUTED_VALUE"""),0)</f>
        <v>0</v>
      </c>
      <c r="K2026" s="9" t="str">
        <f ca="1">IFERROR(__xludf.DUMMYFUNCTION("""COMPUTED_VALUE"""),"https://www.newspapers.com/image/292865629/?terms=Southern%2BHills%2BJoint%2BVocational%2BHigh%2BSchool%2Bshooting")</f>
        <v>https://www.newspapers.com/image/292865629/?terms=Southern%2BHills%2BJoint%2BVocational%2BHigh%2BSchool%2Bshooting</v>
      </c>
      <c r="L2026" s="5"/>
      <c r="M2026" s="5"/>
      <c r="N2026" s="5">
        <f ca="1">IFERROR(__xludf.DUMMYFUNCTION("""COMPUTED_VALUE"""),2)</f>
        <v>2</v>
      </c>
      <c r="O2026" s="5" t="str">
        <f ca="1">IFERROR(__xludf.DUMMYFUNCTION("""COMPUTED_VALUE"""),"Fall")</f>
        <v>Fall</v>
      </c>
      <c r="P2026" s="5" t="str">
        <f ca="1">IFERROR(__xludf.DUMMYFUNCTION("""COMPUTED_VALUE"""),"Georgetown")</f>
        <v>Georgetown</v>
      </c>
      <c r="Q2026" s="5" t="str">
        <f ca="1">IFERROR(__xludf.DUMMYFUNCTION("""COMPUTED_VALUE"""),"OH")</f>
        <v>OH</v>
      </c>
      <c r="R2026" s="5" t="str">
        <f ca="1">IFERROR(__xludf.DUMMYFUNCTION("""COMPUTED_VALUE"""),"High")</f>
        <v>High</v>
      </c>
      <c r="S2026" s="5" t="str">
        <f ca="1">IFERROR(__xludf.DUMMYFUNCTION("""COMPUTED_VALUE"""),"Classroom")</f>
        <v>Classroom</v>
      </c>
      <c r="T2026" s="5" t="str">
        <f ca="1">IFERROR(__xludf.DUMMYFUNCTION("""COMPUTED_VALUE"""),"Inside School Building")</f>
        <v>Inside School Building</v>
      </c>
      <c r="U2026" s="5" t="str">
        <f ca="1">IFERROR(__xludf.DUMMYFUNCTION("""COMPUTED_VALUE"""),"Yes")</f>
        <v>Yes</v>
      </c>
      <c r="V2026" s="5" t="str">
        <f ca="1">IFERROR(__xludf.DUMMYFUNCTION("""COMPUTED_VALUE"""),"Afternoon Classes")</f>
        <v>Afternoon Classes</v>
      </c>
      <c r="W2026" s="5"/>
      <c r="X2026" s="5">
        <f ca="1">IFERROR(__xludf.DUMMYFUNCTION("""COMPUTED_VALUE"""),1)</f>
        <v>1</v>
      </c>
      <c r="Y2026" s="5" t="str">
        <f ca="1">IFERROR(__xludf.DUMMYFUNCTION("""COMPUTED_VALUE"""),"Accidental - Police Officer showing students his weapon - accidental discharge")</f>
        <v>Accidental - Police Officer showing students his weapon - accidental discharge</v>
      </c>
      <c r="Z2026" s="5" t="str">
        <f ca="1">IFERROR(__xludf.DUMMYFUNCTION("""COMPUTED_VALUE"""),"Police officer was doing gun demonstration for class. Gun accidentally discharged striking student.")</f>
        <v>Police officer was doing gun demonstration for class. Gun accidentally discharged striking student.</v>
      </c>
      <c r="AA2026" s="5" t="str">
        <f ca="1">IFERROR(__xludf.DUMMYFUNCTION("""COMPUTED_VALUE"""),"Accidental")</f>
        <v>Accidental</v>
      </c>
      <c r="AB2026" s="5" t="str">
        <f ca="1">IFERROR(__xludf.DUMMYFUNCTION("""COMPUTED_VALUE"""),"Random Shooting")</f>
        <v>Random Shooting</v>
      </c>
      <c r="AC2026" s="5" t="str">
        <f ca="1">IFERROR(__xludf.DUMMYFUNCTION("""COMPUTED_VALUE"""),"No")</f>
        <v>No</v>
      </c>
      <c r="AD2026" s="5" t="str">
        <f ca="1">IFERROR(__xludf.DUMMYFUNCTION("""COMPUTED_VALUE"""),"No")</f>
        <v>No</v>
      </c>
      <c r="AE2026" s="5" t="str">
        <f ca="1">IFERROR(__xludf.DUMMYFUNCTION("""COMPUTED_VALUE"""),"No")</f>
        <v>No</v>
      </c>
      <c r="AF2026" s="5" t="str">
        <f ca="1">IFERROR(__xludf.DUMMYFUNCTION("""COMPUTED_VALUE"""),"Yes")</f>
        <v>Yes</v>
      </c>
      <c r="AG2026" s="5" t="str">
        <f ca="1">IFERROR(__xludf.DUMMYFUNCTION("""COMPUTED_VALUE"""),"N/A")</f>
        <v>N/A</v>
      </c>
      <c r="AH2026" s="5" t="str">
        <f ca="1">IFERROR(__xludf.DUMMYFUNCTION("""COMPUTED_VALUE"""),"N/A")</f>
        <v>N/A</v>
      </c>
      <c r="AI2026" s="5" t="str">
        <f ca="1">IFERROR(__xludf.DUMMYFUNCTION("""COMPUTED_VALUE"""),"N/A")</f>
        <v>N/A</v>
      </c>
      <c r="AJ2026" s="5" t="str">
        <f ca="1">IFERROR(__xludf.DUMMYFUNCTION("""COMPUTED_VALUE"""),"N/A")</f>
        <v>N/A</v>
      </c>
    </row>
    <row r="2027" spans="1:36" ht="13">
      <c r="A2027" s="5" t="str">
        <f ca="1">IFERROR(__xludf.DUMMYFUNCTION("""COMPUTED_VALUE"""),"19851018MIMUD")</f>
        <v>19851018MIMUD</v>
      </c>
      <c r="B2027" s="5">
        <f ca="1">IFERROR(__xludf.DUMMYFUNCTION("""COMPUTED_VALUE"""),10)</f>
        <v>10</v>
      </c>
      <c r="C2027" s="5">
        <f ca="1">IFERROR(__xludf.DUMMYFUNCTION("""COMPUTED_VALUE"""),18)</f>
        <v>18</v>
      </c>
      <c r="D2027" s="5">
        <f ca="1">IFERROR(__xludf.DUMMYFUNCTION("""COMPUTED_VALUE"""),1985)</f>
        <v>1985</v>
      </c>
      <c r="E2027" s="8">
        <f ca="1">IFERROR(__xludf.DUMMYFUNCTION("""COMPUTED_VALUE"""),31338)</f>
        <v>31338</v>
      </c>
      <c r="F2027" s="5" t="str">
        <f ca="1">IFERROR(__xludf.DUMMYFUNCTION("""COMPUTED_VALUE"""),"Murray-Wright High School")</f>
        <v>Murray-Wright High School</v>
      </c>
      <c r="G2027" s="5">
        <f ca="1">IFERROR(__xludf.DUMMYFUNCTION("""COMPUTED_VALUE"""),0)</f>
        <v>0</v>
      </c>
      <c r="H2027" s="5">
        <f ca="1">IFERROR(__xludf.DUMMYFUNCTION("""COMPUTED_VALUE"""),7)</f>
        <v>7</v>
      </c>
      <c r="I2027" s="5">
        <f ca="1">IFERROR(__xludf.DUMMYFUNCTION("""COMPUTED_VALUE"""),7)</f>
        <v>7</v>
      </c>
      <c r="J2027" s="5">
        <f ca="1">IFERROR(__xludf.DUMMYFUNCTION("""COMPUTED_VALUE"""),0)</f>
        <v>0</v>
      </c>
      <c r="K2027" s="9" t="str">
        <f ca="1">IFERROR(__xludf.DUMMYFUNCTION("""COMPUTED_VALUE"""),"https://www.upi.com/Archives/1985/10/18/A-gunman-stepped-out-of-a-car-and-sprayed/5334498456000/")</f>
        <v>https://www.upi.com/Archives/1985/10/18/A-gunman-stepped-out-of-a-car-and-sprayed/5334498456000/</v>
      </c>
      <c r="L2027" s="5"/>
      <c r="M2027" s="5"/>
      <c r="N2027" s="5">
        <f ca="1">IFERROR(__xludf.DUMMYFUNCTION("""COMPUTED_VALUE"""),2)</f>
        <v>2</v>
      </c>
      <c r="O2027" s="5" t="str">
        <f ca="1">IFERROR(__xludf.DUMMYFUNCTION("""COMPUTED_VALUE"""),"Fall")</f>
        <v>Fall</v>
      </c>
      <c r="P2027" s="5" t="str">
        <f ca="1">IFERROR(__xludf.DUMMYFUNCTION("""COMPUTED_VALUE"""),"Detroit")</f>
        <v>Detroit</v>
      </c>
      <c r="Q2027" s="5" t="str">
        <f ca="1">IFERROR(__xludf.DUMMYFUNCTION("""COMPUTED_VALUE"""),"MI")</f>
        <v>MI</v>
      </c>
      <c r="R2027" s="5" t="str">
        <f ca="1">IFERROR(__xludf.DUMMYFUNCTION("""COMPUTED_VALUE"""),"High")</f>
        <v>High</v>
      </c>
      <c r="S2027" s="5" t="str">
        <f ca="1">IFERROR(__xludf.DUMMYFUNCTION("""COMPUTED_VALUE"""),"Parking Lot")</f>
        <v>Parking Lot</v>
      </c>
      <c r="T2027" s="5" t="str">
        <f ca="1">IFERROR(__xludf.DUMMYFUNCTION("""COMPUTED_VALUE"""),"Outside on School Property")</f>
        <v>Outside on School Property</v>
      </c>
      <c r="U2027" s="5" t="str">
        <f ca="1">IFERROR(__xludf.DUMMYFUNCTION("""COMPUTED_VALUE"""),"No")</f>
        <v>No</v>
      </c>
      <c r="V2027" s="5" t="str">
        <f ca="1">IFERROR(__xludf.DUMMYFUNCTION("""COMPUTED_VALUE"""),"Sport Event")</f>
        <v>Sport Event</v>
      </c>
      <c r="W2027" s="5"/>
      <c r="X2027" s="5"/>
      <c r="Y2027" s="5" t="str">
        <f ca="1">IFERROR(__xludf.DUMMYFUNCTION("""COMPUTED_VALUE"""),"Fired shotgun into crowd after football game, involved in earlier fight")</f>
        <v>Fired shotgun into crowd after football game, involved in earlier fight</v>
      </c>
      <c r="Z2027" s="5" t="str">
        <f ca="1">IFERROR(__xludf.DUMMYFUNCTION("""COMPUTED_VALUE"""),"Shooter got out of car with shotgun and fired 6 shells into the crowd outside of a football game. Possibly stemmed from earlier altercation - no suspects listed.")</f>
        <v>Shooter got out of car with shotgun and fired 6 shells into the crowd outside of a football game. Possibly stemmed from earlier altercation - no suspects listed.</v>
      </c>
      <c r="AA2027" s="5" t="str">
        <f ca="1">IFERROR(__xludf.DUMMYFUNCTION("""COMPUTED_VALUE"""),"Escalation of Dispute")</f>
        <v>Escalation of Dispute</v>
      </c>
      <c r="AB2027" s="5"/>
      <c r="AC2027" s="5" t="str">
        <f ca="1">IFERROR(__xludf.DUMMYFUNCTION("""COMPUTED_VALUE"""),"Yes")</f>
        <v>Yes</v>
      </c>
      <c r="AD2027" s="5" t="str">
        <f ca="1">IFERROR(__xludf.DUMMYFUNCTION("""COMPUTED_VALUE"""),"No")</f>
        <v>No</v>
      </c>
      <c r="AE2027" s="5" t="str">
        <f ca="1">IFERROR(__xludf.DUMMYFUNCTION("""COMPUTED_VALUE"""),"No")</f>
        <v>No</v>
      </c>
      <c r="AF2027" s="5" t="str">
        <f ca="1">IFERROR(__xludf.DUMMYFUNCTION("""COMPUTED_VALUE"""),"No")</f>
        <v>No</v>
      </c>
      <c r="AG2027" s="5" t="str">
        <f ca="1">IFERROR(__xludf.DUMMYFUNCTION("""COMPUTED_VALUE"""),"No")</f>
        <v>No</v>
      </c>
      <c r="AH2027" s="5" t="str">
        <f ca="1">IFERROR(__xludf.DUMMYFUNCTION("""COMPUTED_VALUE"""),"No")</f>
        <v>No</v>
      </c>
      <c r="AI2027" s="5" t="str">
        <f ca="1">IFERROR(__xludf.DUMMYFUNCTION("""COMPUTED_VALUE"""),"No")</f>
        <v>No</v>
      </c>
      <c r="AJ2027" s="5" t="str">
        <f ca="1">IFERROR(__xludf.DUMMYFUNCTION("""COMPUTED_VALUE"""),"Yes")</f>
        <v>Yes</v>
      </c>
    </row>
    <row r="2028" spans="1:36" ht="13">
      <c r="A2028" s="5" t="str">
        <f ca="1">IFERROR(__xludf.DUMMYFUNCTION("""COMPUTED_VALUE"""),"19851008MDLAB")</f>
        <v>19851008MDLAB</v>
      </c>
      <c r="B2028" s="5">
        <f ca="1">IFERROR(__xludf.DUMMYFUNCTION("""COMPUTED_VALUE"""),10)</f>
        <v>10</v>
      </c>
      <c r="C2028" s="5">
        <f ca="1">IFERROR(__xludf.DUMMYFUNCTION("""COMPUTED_VALUE"""),8)</f>
        <v>8</v>
      </c>
      <c r="D2028" s="5">
        <f ca="1">IFERROR(__xludf.DUMMYFUNCTION("""COMPUTED_VALUE"""),1985)</f>
        <v>1985</v>
      </c>
      <c r="E2028" s="8">
        <f ca="1">IFERROR(__xludf.DUMMYFUNCTION("""COMPUTED_VALUE"""),31328)</f>
        <v>31328</v>
      </c>
      <c r="F2028" s="5" t="str">
        <f ca="1">IFERROR(__xludf.DUMMYFUNCTION("""COMPUTED_VALUE"""),"Lake Clifton High School")</f>
        <v>Lake Clifton High School</v>
      </c>
      <c r="G2028" s="5">
        <f ca="1">IFERROR(__xludf.DUMMYFUNCTION("""COMPUTED_VALUE"""),1)</f>
        <v>1</v>
      </c>
      <c r="H2028" s="5">
        <f ca="1">IFERROR(__xludf.DUMMYFUNCTION("""COMPUTED_VALUE"""),0)</f>
        <v>0</v>
      </c>
      <c r="I2028" s="5">
        <f ca="1">IFERROR(__xludf.DUMMYFUNCTION("""COMPUTED_VALUE"""),1)</f>
        <v>1</v>
      </c>
      <c r="J2028" s="5">
        <f ca="1">IFERROR(__xludf.DUMMYFUNCTION("""COMPUTED_VALUE"""),0)</f>
        <v>0</v>
      </c>
      <c r="K2028" s="9" t="str">
        <f ca="1">IFERROR(__xludf.DUMMYFUNCTION("""COMPUTED_VALUE"""),"https://www.newspapers.com/image/372547711/?terms=Lake%2BClifton%2BHigh%2BSchool%2Bshooting")</f>
        <v>https://www.newspapers.com/image/372547711/?terms=Lake%2BClifton%2BHigh%2BSchool%2Bshooting</v>
      </c>
      <c r="L2028" s="5"/>
      <c r="M2028" s="5"/>
      <c r="N2028" s="5">
        <f ca="1">IFERROR(__xludf.DUMMYFUNCTION("""COMPUTED_VALUE"""),2)</f>
        <v>2</v>
      </c>
      <c r="O2028" s="5" t="str">
        <f ca="1">IFERROR(__xludf.DUMMYFUNCTION("""COMPUTED_VALUE"""),"Fall")</f>
        <v>Fall</v>
      </c>
      <c r="P2028" s="5" t="str">
        <f ca="1">IFERROR(__xludf.DUMMYFUNCTION("""COMPUTED_VALUE"""),"Baltimore")</f>
        <v>Baltimore</v>
      </c>
      <c r="Q2028" s="5" t="str">
        <f ca="1">IFERROR(__xludf.DUMMYFUNCTION("""COMPUTED_VALUE"""),"MD")</f>
        <v>MD</v>
      </c>
      <c r="R2028" s="5" t="str">
        <f ca="1">IFERROR(__xludf.DUMMYFUNCTION("""COMPUTED_VALUE"""),"High")</f>
        <v>High</v>
      </c>
      <c r="S2028" s="5" t="str">
        <f ca="1">IFERROR(__xludf.DUMMYFUNCTION("""COMPUTED_VALUE"""),"Outside on School Property")</f>
        <v>Outside on School Property</v>
      </c>
      <c r="T2028" s="5" t="str">
        <f ca="1">IFERROR(__xludf.DUMMYFUNCTION("""COMPUTED_VALUE"""),"Outside on School Property")</f>
        <v>Outside on School Property</v>
      </c>
      <c r="U2028" s="5" t="str">
        <f ca="1">IFERROR(__xludf.DUMMYFUNCTION("""COMPUTED_VALUE"""),"No")</f>
        <v>No</v>
      </c>
      <c r="V2028" s="5" t="str">
        <f ca="1">IFERROR(__xludf.DUMMYFUNCTION("""COMPUTED_VALUE"""),"Dismissal")</f>
        <v>Dismissal</v>
      </c>
      <c r="W2028" s="10">
        <f ca="1">IFERROR(__xludf.DUMMYFUNCTION("""COMPUTED_VALUE"""),0.625)</f>
        <v>0.625</v>
      </c>
      <c r="X2028" s="5">
        <f ca="1">IFERROR(__xludf.DUMMYFUNCTION("""COMPUTED_VALUE"""),1)</f>
        <v>1</v>
      </c>
      <c r="Y2028" s="5" t="str">
        <f ca="1">IFERROR(__xludf.DUMMYFUNCTION("""COMPUTED_VALUE"""),"Argument with shooter, victim may have pulled pistol")</f>
        <v>Argument with shooter, victim may have pulled pistol</v>
      </c>
      <c r="Z2028" s="5" t="str">
        <f ca="1">IFERROR(__xludf.DUMMYFUNCTION("""COMPUTED_VALUE"""),"Victim had ongoing confrontation with 3 other males about an unborn child of the victim's non-student girlfriend. During argument, shot was firing killing victim. Unclear if victim also pulled a gun during the dispute.")</f>
        <v>Victim had ongoing confrontation with 3 other males about an unborn child of the victim's non-student girlfriend. During argument, shot was firing killing victim. Unclear if victim also pulled a gun during the dispute.</v>
      </c>
      <c r="AA2028" s="5" t="str">
        <f ca="1">IFERROR(__xludf.DUMMYFUNCTION("""COMPUTED_VALUE"""),"Escalation of Dispute")</f>
        <v>Escalation of Dispute</v>
      </c>
      <c r="AB2028" s="5" t="str">
        <f ca="1">IFERROR(__xludf.DUMMYFUNCTION("""COMPUTED_VALUE"""),"Victims Targeted")</f>
        <v>Victims Targeted</v>
      </c>
      <c r="AC2028" s="5" t="str">
        <f ca="1">IFERROR(__xludf.DUMMYFUNCTION("""COMPUTED_VALUE"""),"No")</f>
        <v>No</v>
      </c>
      <c r="AD2028" s="5" t="str">
        <f ca="1">IFERROR(__xludf.DUMMYFUNCTION("""COMPUTED_VALUE"""),"No")</f>
        <v>No</v>
      </c>
      <c r="AE2028" s="5" t="str">
        <f ca="1">IFERROR(__xludf.DUMMYFUNCTION("""COMPUTED_VALUE"""),"No")</f>
        <v>No</v>
      </c>
      <c r="AF2028" s="5" t="str">
        <f ca="1">IFERROR(__xludf.DUMMYFUNCTION("""COMPUTED_VALUE"""),"No")</f>
        <v>No</v>
      </c>
      <c r="AG2028" s="5" t="str">
        <f ca="1">IFERROR(__xludf.DUMMYFUNCTION("""COMPUTED_VALUE"""),"No")</f>
        <v>No</v>
      </c>
      <c r="AH2028" s="5" t="str">
        <f ca="1">IFERROR(__xludf.DUMMYFUNCTION("""COMPUTED_VALUE"""),"No")</f>
        <v>No</v>
      </c>
      <c r="AI2028" s="5" t="str">
        <f ca="1">IFERROR(__xludf.DUMMYFUNCTION("""COMPUTED_VALUE"""),"No")</f>
        <v>No</v>
      </c>
      <c r="AJ2028" s="5"/>
    </row>
    <row r="2029" spans="1:36" ht="13">
      <c r="A2029" s="5" t="str">
        <f ca="1">IFERROR(__xludf.DUMMYFUNCTION("""COMPUTED_VALUE"""),"19850925OHTRT")</f>
        <v>19850925OHTRT</v>
      </c>
      <c r="B2029" s="5">
        <f ca="1">IFERROR(__xludf.DUMMYFUNCTION("""COMPUTED_VALUE"""),9)</f>
        <v>9</v>
      </c>
      <c r="C2029" s="5">
        <f ca="1">IFERROR(__xludf.DUMMYFUNCTION("""COMPUTED_VALUE"""),25)</f>
        <v>25</v>
      </c>
      <c r="D2029" s="5">
        <f ca="1">IFERROR(__xludf.DUMMYFUNCTION("""COMPUTED_VALUE"""),1985)</f>
        <v>1985</v>
      </c>
      <c r="E2029" s="8">
        <f ca="1">IFERROR(__xludf.DUMMYFUNCTION("""COMPUTED_VALUE"""),31315)</f>
        <v>31315</v>
      </c>
      <c r="F2029" s="5" t="str">
        <f ca="1">IFERROR(__xludf.DUMMYFUNCTION("""COMPUTED_VALUE"""),"Trotwood-Madison Senior High")</f>
        <v>Trotwood-Madison Senior High</v>
      </c>
      <c r="G2029" s="5">
        <f ca="1">IFERROR(__xludf.DUMMYFUNCTION("""COMPUTED_VALUE"""),0)</f>
        <v>0</v>
      </c>
      <c r="H2029" s="5">
        <f ca="1">IFERROR(__xludf.DUMMYFUNCTION("""COMPUTED_VALUE"""),2)</f>
        <v>2</v>
      </c>
      <c r="I2029" s="5">
        <f ca="1">IFERROR(__xludf.DUMMYFUNCTION("""COMPUTED_VALUE"""),2)</f>
        <v>2</v>
      </c>
      <c r="J2029" s="5">
        <f ca="1">IFERROR(__xludf.DUMMYFUNCTION("""COMPUTED_VALUE"""),0)</f>
        <v>0</v>
      </c>
      <c r="K2029" s="9" t="str">
        <f ca="1">IFERROR(__xludf.DUMMYFUNCTION("""COMPUTED_VALUE"""),"https://www.newspapers.com/image/395559841/?terms=TROTWOOD%2BMADISON%2BSCHOOL%2BSHOOTING")</f>
        <v>https://www.newspapers.com/image/395559841/?terms=TROTWOOD%2BMADISON%2BSCHOOL%2BSHOOTING</v>
      </c>
      <c r="L2029" s="5"/>
      <c r="M2029" s="5"/>
      <c r="N2029" s="5">
        <f ca="1">IFERROR(__xludf.DUMMYFUNCTION("""COMPUTED_VALUE"""),2)</f>
        <v>2</v>
      </c>
      <c r="O2029" s="5" t="str">
        <f ca="1">IFERROR(__xludf.DUMMYFUNCTION("""COMPUTED_VALUE"""),"Fall")</f>
        <v>Fall</v>
      </c>
      <c r="P2029" s="5" t="str">
        <f ca="1">IFERROR(__xludf.DUMMYFUNCTION("""COMPUTED_VALUE"""),"Trotwood")</f>
        <v>Trotwood</v>
      </c>
      <c r="Q2029" s="5" t="str">
        <f ca="1">IFERROR(__xludf.DUMMYFUNCTION("""COMPUTED_VALUE"""),"OH")</f>
        <v>OH</v>
      </c>
      <c r="R2029" s="5" t="str">
        <f ca="1">IFERROR(__xludf.DUMMYFUNCTION("""COMPUTED_VALUE"""),"High")</f>
        <v>High</v>
      </c>
      <c r="S2029" s="5" t="str">
        <f ca="1">IFERROR(__xludf.DUMMYFUNCTION("""COMPUTED_VALUE"""),"Inside School Building")</f>
        <v>Inside School Building</v>
      </c>
      <c r="T2029" s="5" t="str">
        <f ca="1">IFERROR(__xludf.DUMMYFUNCTION("""COMPUTED_VALUE"""),"Inside School Building")</f>
        <v>Inside School Building</v>
      </c>
      <c r="U2029" s="5" t="str">
        <f ca="1">IFERROR(__xludf.DUMMYFUNCTION("""COMPUTED_VALUE"""),"Yes")</f>
        <v>Yes</v>
      </c>
      <c r="V2029" s="5" t="str">
        <f ca="1">IFERROR(__xludf.DUMMYFUNCTION("""COMPUTED_VALUE"""),"Afternoon Classes")</f>
        <v>Afternoon Classes</v>
      </c>
      <c r="W2029" s="10">
        <f ca="1">IFERROR(__xludf.DUMMYFUNCTION("""COMPUTED_VALUE"""),0.604166666666666)</f>
        <v>0.60416666666666596</v>
      </c>
      <c r="X2029" s="5">
        <f ca="1">IFERROR(__xludf.DUMMYFUNCTION("""COMPUTED_VALUE"""),1)</f>
        <v>1</v>
      </c>
      <c r="Y2029" s="5" t="str">
        <f ca="1">IFERROR(__xludf.DUMMYFUNCTION("""COMPUTED_VALUE"""),"Shooter accidentally shot two students while showing off gun.")</f>
        <v>Shooter accidentally shot two students while showing off gun.</v>
      </c>
      <c r="Z2029" s="5" t="str">
        <f ca="1">IFERROR(__xludf.DUMMYFUNCTION("""COMPUTED_VALUE"""),"Shooter was showing gun to friends and accidentally shot - Single shot injured two students. Student fled and was later caught by police")</f>
        <v>Shooter was showing gun to friends and accidentally shot - Single shot injured two students. Student fled and was later caught by police</v>
      </c>
      <c r="AA2029" s="5" t="str">
        <f ca="1">IFERROR(__xludf.DUMMYFUNCTION("""COMPUTED_VALUE"""),"Accidental")</f>
        <v>Accidental</v>
      </c>
      <c r="AB2029" s="5" t="str">
        <f ca="1">IFERROR(__xludf.DUMMYFUNCTION("""COMPUTED_VALUE"""),"Random Shooting")</f>
        <v>Random Shooting</v>
      </c>
      <c r="AC2029" s="5" t="str">
        <f ca="1">IFERROR(__xludf.DUMMYFUNCTION("""COMPUTED_VALUE"""),"No")</f>
        <v>No</v>
      </c>
      <c r="AD2029" s="5" t="str">
        <f ca="1">IFERROR(__xludf.DUMMYFUNCTION("""COMPUTED_VALUE"""),"No")</f>
        <v>No</v>
      </c>
      <c r="AE2029" s="5" t="str">
        <f ca="1">IFERROR(__xludf.DUMMYFUNCTION("""COMPUTED_VALUE"""),"No")</f>
        <v>No</v>
      </c>
      <c r="AF2029" s="5" t="str">
        <f ca="1">IFERROR(__xludf.DUMMYFUNCTION("""COMPUTED_VALUE"""),"No")</f>
        <v>No</v>
      </c>
      <c r="AG2029" s="5" t="str">
        <f ca="1">IFERROR(__xludf.DUMMYFUNCTION("""COMPUTED_VALUE"""),"No")</f>
        <v>No</v>
      </c>
      <c r="AH2029" s="5" t="str">
        <f ca="1">IFERROR(__xludf.DUMMYFUNCTION("""COMPUTED_VALUE"""),"No")</f>
        <v>No</v>
      </c>
      <c r="AI2029" s="5" t="str">
        <f ca="1">IFERROR(__xludf.DUMMYFUNCTION("""COMPUTED_VALUE"""),"No")</f>
        <v>No</v>
      </c>
      <c r="AJ2029" s="5"/>
    </row>
    <row r="2030" spans="1:36" ht="13">
      <c r="A2030" s="5" t="str">
        <f ca="1">IFERROR(__xludf.DUMMYFUNCTION("""COMPUTED_VALUE"""),"19850920TXLAC")</f>
        <v>19850920TXLAC</v>
      </c>
      <c r="B2030" s="5">
        <f ca="1">IFERROR(__xludf.DUMMYFUNCTION("""COMPUTED_VALUE"""),9)</f>
        <v>9</v>
      </c>
      <c r="C2030" s="5">
        <f ca="1">IFERROR(__xludf.DUMMYFUNCTION("""COMPUTED_VALUE"""),20)</f>
        <v>20</v>
      </c>
      <c r="D2030" s="5">
        <f ca="1">IFERROR(__xludf.DUMMYFUNCTION("""COMPUTED_VALUE"""),1985)</f>
        <v>1985</v>
      </c>
      <c r="E2030" s="8">
        <f ca="1">IFERROR(__xludf.DUMMYFUNCTION("""COMPUTED_VALUE"""),31310)</f>
        <v>31310</v>
      </c>
      <c r="F2030" s="5" t="str">
        <f ca="1">IFERROR(__xludf.DUMMYFUNCTION("""COMPUTED_VALUE"""),"Langham Creek High School")</f>
        <v>Langham Creek High School</v>
      </c>
      <c r="G2030" s="5">
        <f ca="1">IFERROR(__xludf.DUMMYFUNCTION("""COMPUTED_VALUE"""),0)</f>
        <v>0</v>
      </c>
      <c r="H2030" s="5">
        <f ca="1">IFERROR(__xludf.DUMMYFUNCTION("""COMPUTED_VALUE"""),2)</f>
        <v>2</v>
      </c>
      <c r="I2030" s="5">
        <f ca="1">IFERROR(__xludf.DUMMYFUNCTION("""COMPUTED_VALUE"""),2)</f>
        <v>2</v>
      </c>
      <c r="J2030" s="5">
        <f ca="1">IFERROR(__xludf.DUMMYFUNCTION("""COMPUTED_VALUE"""),0)</f>
        <v>0</v>
      </c>
      <c r="K2030" s="5" t="str">
        <f ca="1">IFERROR(__xludf.DUMMYFUNCTION("""COMPUTED_VALUE"""),"https://www.newspapers.com/image/218127964/?terms=Langham%2BCreek%2BHigh%2BSchool%2Bshooting   https://www.newspapers.com/image/363619920/?terms=marvin%2Bs.%2Bwebster")</f>
        <v>https://www.newspapers.com/image/218127964/?terms=Langham%2BCreek%2BHigh%2BSchool%2Bshooting   https://www.newspapers.com/image/363619920/?terms=marvin%2Bs.%2Bwebster</v>
      </c>
      <c r="L2030" s="5"/>
      <c r="M2030" s="5"/>
      <c r="N2030" s="5">
        <f ca="1">IFERROR(__xludf.DUMMYFUNCTION("""COMPUTED_VALUE"""),2)</f>
        <v>2</v>
      </c>
      <c r="O2030" s="5" t="str">
        <f ca="1">IFERROR(__xludf.DUMMYFUNCTION("""COMPUTED_VALUE"""),"Fall")</f>
        <v>Fall</v>
      </c>
      <c r="P2030" s="5" t="str">
        <f ca="1">IFERROR(__xludf.DUMMYFUNCTION("""COMPUTED_VALUE"""),"Cypress")</f>
        <v>Cypress</v>
      </c>
      <c r="Q2030" s="5" t="str">
        <f ca="1">IFERROR(__xludf.DUMMYFUNCTION("""COMPUTED_VALUE"""),"TX")</f>
        <v>TX</v>
      </c>
      <c r="R2030" s="5" t="str">
        <f ca="1">IFERROR(__xludf.DUMMYFUNCTION("""COMPUTED_VALUE"""),"High")</f>
        <v>High</v>
      </c>
      <c r="S2030" s="5" t="str">
        <f ca="1">IFERROR(__xludf.DUMMYFUNCTION("""COMPUTED_VALUE"""),"Cafeteria")</f>
        <v>Cafeteria</v>
      </c>
      <c r="T2030" s="5" t="str">
        <f ca="1">IFERROR(__xludf.DUMMYFUNCTION("""COMPUTED_VALUE"""),"Inside School Building")</f>
        <v>Inside School Building</v>
      </c>
      <c r="U2030" s="5" t="str">
        <f ca="1">IFERROR(__xludf.DUMMYFUNCTION("""COMPUTED_VALUE"""),"Yes")</f>
        <v>Yes</v>
      </c>
      <c r="V2030" s="5" t="str">
        <f ca="1">IFERROR(__xludf.DUMMYFUNCTION("""COMPUTED_VALUE"""),"Lunch")</f>
        <v>Lunch</v>
      </c>
      <c r="W2030" s="10">
        <f ca="1">IFERROR(__xludf.DUMMYFUNCTION("""COMPUTED_VALUE"""),0.513888888888888)</f>
        <v>0.51388888888888795</v>
      </c>
      <c r="X2030" s="5">
        <f ca="1">IFERROR(__xludf.DUMMYFUNCTION("""COMPUTED_VALUE"""),1)</f>
        <v>1</v>
      </c>
      <c r="Y2030" s="5" t="str">
        <f ca="1">IFERROR(__xludf.DUMMYFUNCTION("""COMPUTED_VALUE"""),"Student fired at principal and another student in cafeteria, bystander struck")</f>
        <v>Student fired at principal and another student in cafeteria, bystander struck</v>
      </c>
      <c r="Z2030" s="5" t="str">
        <f ca="1">IFERROR(__xludf.DUMMYFUNCTION("""COMPUTED_VALUE"""),"16YOM pulled .357 revolver in cafeteria and fired shots at the assistant principal and another student. Shots missed the student and struck another bystander student. Principal was flown to hospital in critical condition. Shooter was arrested and police s"&amp;"aid motive was that shooter was angry school administrators had told him to cut his hair.")</f>
        <v>16YOM pulled .357 revolver in cafeteria and fired shots at the assistant principal and another student. Shots missed the student and struck another bystander student. Principal was flown to hospital in critical condition. Shooter was arrested and police said motive was that shooter was angry school administrators had told him to cut his hair.</v>
      </c>
      <c r="AA2030" s="5" t="str">
        <f ca="1">IFERROR(__xludf.DUMMYFUNCTION("""COMPUTED_VALUE"""),"Anger Over Grade/Suspension/Discipline")</f>
        <v>Anger Over Grade/Suspension/Discipline</v>
      </c>
      <c r="AB2030" s="5" t="str">
        <f ca="1">IFERROR(__xludf.DUMMYFUNCTION("""COMPUTED_VALUE"""),"Both")</f>
        <v>Both</v>
      </c>
      <c r="AC2030" s="5" t="str">
        <f ca="1">IFERROR(__xludf.DUMMYFUNCTION("""COMPUTED_VALUE"""),"No")</f>
        <v>No</v>
      </c>
      <c r="AD2030" s="5" t="str">
        <f ca="1">IFERROR(__xludf.DUMMYFUNCTION("""COMPUTED_VALUE"""),"No")</f>
        <v>No</v>
      </c>
      <c r="AE2030" s="5" t="str">
        <f ca="1">IFERROR(__xludf.DUMMYFUNCTION("""COMPUTED_VALUE"""),"No")</f>
        <v>No</v>
      </c>
      <c r="AF2030" s="5" t="str">
        <f ca="1">IFERROR(__xludf.DUMMYFUNCTION("""COMPUTED_VALUE"""),"No")</f>
        <v>No</v>
      </c>
      <c r="AG2030" s="5" t="str">
        <f ca="1">IFERROR(__xludf.DUMMYFUNCTION("""COMPUTED_VALUE"""),"No")</f>
        <v>No</v>
      </c>
      <c r="AH2030" s="5" t="str">
        <f ca="1">IFERROR(__xludf.DUMMYFUNCTION("""COMPUTED_VALUE"""),"No")</f>
        <v>No</v>
      </c>
      <c r="AI2030" s="5" t="str">
        <f ca="1">IFERROR(__xludf.DUMMYFUNCTION("""COMPUTED_VALUE"""),"No")</f>
        <v>No</v>
      </c>
      <c r="AJ2030" s="5"/>
    </row>
    <row r="2031" spans="1:36" ht="13">
      <c r="A2031" s="5" t="str">
        <f ca="1">IFERROR(__xludf.DUMMYFUNCTION("""COMPUTED_VALUE"""),"19850909TXWHH")</f>
        <v>19850909TXWHH</v>
      </c>
      <c r="B2031" s="5">
        <f ca="1">IFERROR(__xludf.DUMMYFUNCTION("""COMPUTED_VALUE"""),9)</f>
        <v>9</v>
      </c>
      <c r="C2031" s="5">
        <f ca="1">IFERROR(__xludf.DUMMYFUNCTION("""COMPUTED_VALUE"""),9)</f>
        <v>9</v>
      </c>
      <c r="D2031" s="5">
        <f ca="1">IFERROR(__xludf.DUMMYFUNCTION("""COMPUTED_VALUE"""),1985)</f>
        <v>1985</v>
      </c>
      <c r="E2031" s="8">
        <f ca="1">IFERROR(__xludf.DUMMYFUNCTION("""COMPUTED_VALUE"""),31299)</f>
        <v>31299</v>
      </c>
      <c r="F2031" s="5" t="str">
        <f ca="1">IFERROR(__xludf.DUMMYFUNCTION("""COMPUTED_VALUE"""),"Wheatley High School")</f>
        <v>Wheatley High School</v>
      </c>
      <c r="G2031" s="5">
        <f ca="1">IFERROR(__xludf.DUMMYFUNCTION("""COMPUTED_VALUE"""),0)</f>
        <v>0</v>
      </c>
      <c r="H2031" s="5">
        <f ca="1">IFERROR(__xludf.DUMMYFUNCTION("""COMPUTED_VALUE"""),1)</f>
        <v>1</v>
      </c>
      <c r="I2031" s="5">
        <f ca="1">IFERROR(__xludf.DUMMYFUNCTION("""COMPUTED_VALUE"""),1)</f>
        <v>1</v>
      </c>
      <c r="J2031" s="5">
        <f ca="1">IFERROR(__xludf.DUMMYFUNCTION("""COMPUTED_VALUE"""),0)</f>
        <v>0</v>
      </c>
      <c r="K2031" s="9" t="str">
        <f ca="1">IFERROR(__xludf.DUMMYFUNCTION("""COMPUTED_VALUE"""),"https://www.newspapers.com/image/310187745/?terms=Wheatley%2BHigh%2BSchool%2Bshooting")</f>
        <v>https://www.newspapers.com/image/310187745/?terms=Wheatley%2BHigh%2BSchool%2Bshooting</v>
      </c>
      <c r="L2031" s="5"/>
      <c r="M2031" s="5"/>
      <c r="N2031" s="5">
        <f ca="1">IFERROR(__xludf.DUMMYFUNCTION("""COMPUTED_VALUE"""),2)</f>
        <v>2</v>
      </c>
      <c r="O2031" s="5" t="str">
        <f ca="1">IFERROR(__xludf.DUMMYFUNCTION("""COMPUTED_VALUE"""),"Fall")</f>
        <v>Fall</v>
      </c>
      <c r="P2031" s="5" t="str">
        <f ca="1">IFERROR(__xludf.DUMMYFUNCTION("""COMPUTED_VALUE"""),"Houston")</f>
        <v>Houston</v>
      </c>
      <c r="Q2031" s="5" t="str">
        <f ca="1">IFERROR(__xludf.DUMMYFUNCTION("""COMPUTED_VALUE"""),"TX")</f>
        <v>TX</v>
      </c>
      <c r="R2031" s="5" t="str">
        <f ca="1">IFERROR(__xludf.DUMMYFUNCTION("""COMPUTED_VALUE"""),"High")</f>
        <v>High</v>
      </c>
      <c r="S2031" s="5" t="str">
        <f ca="1">IFERROR(__xludf.DUMMYFUNCTION("""COMPUTED_VALUE"""),"Cafeteria")</f>
        <v>Cafeteria</v>
      </c>
      <c r="T2031" s="5" t="str">
        <f ca="1">IFERROR(__xludf.DUMMYFUNCTION("""COMPUTED_VALUE"""),"Inside School Building")</f>
        <v>Inside School Building</v>
      </c>
      <c r="U2031" s="5" t="str">
        <f ca="1">IFERROR(__xludf.DUMMYFUNCTION("""COMPUTED_VALUE"""),"Yes")</f>
        <v>Yes</v>
      </c>
      <c r="V2031" s="5" t="str">
        <f ca="1">IFERROR(__xludf.DUMMYFUNCTION("""COMPUTED_VALUE"""),"After School")</f>
        <v>After School</v>
      </c>
      <c r="W2031" s="5"/>
      <c r="X2031" s="5">
        <f ca="1">IFERROR(__xludf.DUMMYFUNCTION("""COMPUTED_VALUE"""),1)</f>
        <v>1</v>
      </c>
      <c r="Y2031" s="5" t="str">
        <f ca="1">IFERROR(__xludf.DUMMYFUNCTION("""COMPUTED_VALUE"""),"Teacher was shot during confrontation with 3 non-students in cafeteria")</f>
        <v>Teacher was shot during confrontation with 3 non-students in cafeteria</v>
      </c>
      <c r="Z2031" s="5" t="str">
        <f ca="1">IFERROR(__xludf.DUMMYFUNCTION("""COMPUTED_VALUE"""),"3 non-student teens shot a 34YOM teacher in the cafeteria after school during a confrontation in front of 10 other students during drill team practice. The three youths had prior conflicts with the teacher. Shooting occured 10 minutes after school ended.")</f>
        <v>3 non-student teens shot a 34YOM teacher in the cafeteria after school during a confrontation in front of 10 other students during drill team practice. The three youths had prior conflicts with the teacher. Shooting occured 10 minutes after school ended.</v>
      </c>
      <c r="AA2031" s="5" t="str">
        <f ca="1">IFERROR(__xludf.DUMMYFUNCTION("""COMPUTED_VALUE"""),"Escalation of Dispute")</f>
        <v>Escalation of Dispute</v>
      </c>
      <c r="AB2031" s="5" t="str">
        <f ca="1">IFERROR(__xludf.DUMMYFUNCTION("""COMPUTED_VALUE"""),"Victims Targeted")</f>
        <v>Victims Targeted</v>
      </c>
      <c r="AC2031" s="5" t="str">
        <f ca="1">IFERROR(__xludf.DUMMYFUNCTION("""COMPUTED_VALUE"""),"Yes")</f>
        <v>Yes</v>
      </c>
      <c r="AD2031" s="5" t="str">
        <f ca="1">IFERROR(__xludf.DUMMYFUNCTION("""COMPUTED_VALUE"""),"No")</f>
        <v>No</v>
      </c>
      <c r="AE2031" s="5" t="str">
        <f ca="1">IFERROR(__xludf.DUMMYFUNCTION("""COMPUTED_VALUE"""),"No")</f>
        <v>No</v>
      </c>
      <c r="AF2031" s="5" t="str">
        <f ca="1">IFERROR(__xludf.DUMMYFUNCTION("""COMPUTED_VALUE"""),"No")</f>
        <v>No</v>
      </c>
      <c r="AG2031" s="5" t="str">
        <f ca="1">IFERROR(__xludf.DUMMYFUNCTION("""COMPUTED_VALUE"""),"No")</f>
        <v>No</v>
      </c>
      <c r="AH2031" s="5" t="str">
        <f ca="1">IFERROR(__xludf.DUMMYFUNCTION("""COMPUTED_VALUE"""),"No")</f>
        <v>No</v>
      </c>
      <c r="AI2031" s="5" t="str">
        <f ca="1">IFERROR(__xludf.DUMMYFUNCTION("""COMPUTED_VALUE"""),"No")</f>
        <v>No</v>
      </c>
      <c r="AJ2031" s="5"/>
    </row>
    <row r="2032" spans="1:36" ht="13">
      <c r="A2032" s="5" t="str">
        <f ca="1">IFERROR(__xludf.DUMMYFUNCTION("""COMPUTED_VALUE"""),"19850904VAEAR")</f>
        <v>19850904VAEAR</v>
      </c>
      <c r="B2032" s="5">
        <f ca="1">IFERROR(__xludf.DUMMYFUNCTION("""COMPUTED_VALUE"""),9)</f>
        <v>9</v>
      </c>
      <c r="C2032" s="5">
        <f ca="1">IFERROR(__xludf.DUMMYFUNCTION("""COMPUTED_VALUE"""),4)</f>
        <v>4</v>
      </c>
      <c r="D2032" s="5">
        <f ca="1">IFERROR(__xludf.DUMMYFUNCTION("""COMPUTED_VALUE"""),1985)</f>
        <v>1985</v>
      </c>
      <c r="E2032" s="8">
        <f ca="1">IFERROR(__xludf.DUMMYFUNCTION("""COMPUTED_VALUE"""),31294)</f>
        <v>31294</v>
      </c>
      <c r="F2032" s="5" t="str">
        <f ca="1">IFERROR(__xludf.DUMMYFUNCTION("""COMPUTED_VALUE"""),"East End Middle School (bus)")</f>
        <v>East End Middle School (bus)</v>
      </c>
      <c r="G2032" s="5">
        <f ca="1">IFERROR(__xludf.DUMMYFUNCTION("""COMPUTED_VALUE"""),0)</f>
        <v>0</v>
      </c>
      <c r="H2032" s="5">
        <f ca="1">IFERROR(__xludf.DUMMYFUNCTION("""COMPUTED_VALUE"""),1)</f>
        <v>1</v>
      </c>
      <c r="I2032" s="5">
        <f ca="1">IFERROR(__xludf.DUMMYFUNCTION("""COMPUTED_VALUE"""),1)</f>
        <v>1</v>
      </c>
      <c r="J2032" s="5">
        <f ca="1">IFERROR(__xludf.DUMMYFUNCTION("""COMPUTED_VALUE"""),0)</f>
        <v>0</v>
      </c>
      <c r="K2032" s="9" t="str">
        <f ca="1">IFERROR(__xludf.DUMMYFUNCTION("""COMPUTED_VALUE"""),"https://www.apnews.com/2230ba54081db004aff5288eb8885c96")</f>
        <v>https://www.apnews.com/2230ba54081db004aff5288eb8885c96</v>
      </c>
      <c r="L2032" s="5">
        <f ca="1">IFERROR(__xludf.DUMMYFUNCTION("""COMPUTED_VALUE"""),2)</f>
        <v>2</v>
      </c>
      <c r="M2032" s="5" t="str">
        <f ca="1">IFERROR(__xludf.DUMMYFUNCTION("""COMPUTED_VALUE"""),"Local")</f>
        <v>Local</v>
      </c>
      <c r="N2032" s="5">
        <f ca="1">IFERROR(__xludf.DUMMYFUNCTION("""COMPUTED_VALUE"""),2)</f>
        <v>2</v>
      </c>
      <c r="O2032" s="5" t="str">
        <f ca="1">IFERROR(__xludf.DUMMYFUNCTION("""COMPUTED_VALUE"""),"Fall")</f>
        <v>Fall</v>
      </c>
      <c r="P2032" s="5" t="str">
        <f ca="1">IFERROR(__xludf.DUMMYFUNCTION("""COMPUTED_VALUE"""),"Richmond")</f>
        <v>Richmond</v>
      </c>
      <c r="Q2032" s="5" t="str">
        <f ca="1">IFERROR(__xludf.DUMMYFUNCTION("""COMPUTED_VALUE"""),"VA")</f>
        <v>VA</v>
      </c>
      <c r="R2032" s="5" t="str">
        <f ca="1">IFERROR(__xludf.DUMMYFUNCTION("""COMPUTED_VALUE"""),"Middle")</f>
        <v>Middle</v>
      </c>
      <c r="S2032" s="5" t="str">
        <f ca="1">IFERROR(__xludf.DUMMYFUNCTION("""COMPUTED_VALUE"""),"School Bus")</f>
        <v>School Bus</v>
      </c>
      <c r="T2032" s="5" t="str">
        <f ca="1">IFERROR(__xludf.DUMMYFUNCTION("""COMPUTED_VALUE"""),"School Bus")</f>
        <v>School Bus</v>
      </c>
      <c r="U2032" s="5" t="str">
        <f ca="1">IFERROR(__xludf.DUMMYFUNCTION("""COMPUTED_VALUE"""),"No")</f>
        <v>No</v>
      </c>
      <c r="V2032" s="5" t="str">
        <f ca="1">IFERROR(__xludf.DUMMYFUNCTION("""COMPUTED_VALUE"""),"After School")</f>
        <v>After School</v>
      </c>
      <c r="W2032" s="5"/>
      <c r="X2032" s="5">
        <f ca="1">IFERROR(__xludf.DUMMYFUNCTION("""COMPUTED_VALUE"""),1)</f>
        <v>1</v>
      </c>
      <c r="Y2032" s="5" t="str">
        <f ca="1">IFERROR(__xludf.DUMMYFUNCTION("""COMPUTED_VALUE"""),"Student pointed empty gun at multiple students on the bus; they taunted him and said he wouldn't shoot for real; shooter loaded the gun and fired one shot striking a female student")</f>
        <v>Student pointed empty gun at multiple students on the bus; they taunted him and said he wouldn't shoot for real; shooter loaded the gun and fired one shot striking a female student</v>
      </c>
      <c r="Z2032" s="5" t="str">
        <f ca="1">IFERROR(__xludf.DUMMYFUNCTION("""COMPUTED_VALUE"""),"14YOF shot on the school bus by a 12YOM student. Shooter was dry firing the gun on the bus. Female student said ""you won't shoot me"". Shoot pointed gun at her and fired. Shooter yelled ""I shot her 3/8"". Student then shot twice at bus driver and fled o"&amp;"ut of the back door of the bus. Shooter was seeing psychiatrist and mother took him to see the psychiatrist when she learned about the shooting that afternoon rather than telling police. Psychiatrist informed police. Gun was taken from family friend.")</f>
        <v>14YOF shot on the school bus by a 12YOM student. Shooter was dry firing the gun on the bus. Female student said "you won't shoot me". Shoot pointed gun at her and fired. Shooter yelled "I shot her 3/8". Student then shot twice at bus driver and fled out of the back door of the bus. Shooter was seeing psychiatrist and mother took him to see the psychiatrist when she learned about the shooting that afternoon rather than telling police. Psychiatrist informed police. Gun was taken from family friend.</v>
      </c>
      <c r="AA2032" s="5" t="str">
        <f ca="1">IFERROR(__xludf.DUMMYFUNCTION("""COMPUTED_VALUE"""),"Psychosis")</f>
        <v>Psychosis</v>
      </c>
      <c r="AB2032" s="5" t="str">
        <f ca="1">IFERROR(__xludf.DUMMYFUNCTION("""COMPUTED_VALUE"""),"Random Shooting")</f>
        <v>Random Shooting</v>
      </c>
      <c r="AC2032" s="5" t="str">
        <f ca="1">IFERROR(__xludf.DUMMYFUNCTION("""COMPUTED_VALUE"""),"No")</f>
        <v>No</v>
      </c>
      <c r="AD2032" s="5" t="str">
        <f ca="1">IFERROR(__xludf.DUMMYFUNCTION("""COMPUTED_VALUE"""),"No")</f>
        <v>No</v>
      </c>
      <c r="AE2032" s="5" t="str">
        <f ca="1">IFERROR(__xludf.DUMMYFUNCTION("""COMPUTED_VALUE"""),"No")</f>
        <v>No</v>
      </c>
      <c r="AF2032" s="5" t="str">
        <f ca="1">IFERROR(__xludf.DUMMYFUNCTION("""COMPUTED_VALUE"""),"No")</f>
        <v>No</v>
      </c>
      <c r="AG2032" s="5"/>
      <c r="AH2032" s="5" t="str">
        <f ca="1">IFERROR(__xludf.DUMMYFUNCTION("""COMPUTED_VALUE"""),"No")</f>
        <v>No</v>
      </c>
      <c r="AI2032" s="5" t="str">
        <f ca="1">IFERROR(__xludf.DUMMYFUNCTION("""COMPUTED_VALUE"""),"No")</f>
        <v>No</v>
      </c>
      <c r="AJ2032" s="5"/>
    </row>
    <row r="2033" spans="1:36" ht="13">
      <c r="A2033" s="5" t="str">
        <f ca="1">IFERROR(__xludf.DUMMYFUNCTION("""COMPUTED_VALUE"""),"19850724TXHIH")</f>
        <v>19850724TXHIH</v>
      </c>
      <c r="B2033" s="5">
        <f ca="1">IFERROR(__xludf.DUMMYFUNCTION("""COMPUTED_VALUE"""),7)</f>
        <v>7</v>
      </c>
      <c r="C2033" s="5">
        <f ca="1">IFERROR(__xludf.DUMMYFUNCTION("""COMPUTED_VALUE"""),24)</f>
        <v>24</v>
      </c>
      <c r="D2033" s="5">
        <f ca="1">IFERROR(__xludf.DUMMYFUNCTION("""COMPUTED_VALUE"""),1985)</f>
        <v>1985</v>
      </c>
      <c r="E2033" s="8">
        <f ca="1">IFERROR(__xludf.DUMMYFUNCTION("""COMPUTED_VALUE"""),31252)</f>
        <v>31252</v>
      </c>
      <c r="F2033" s="5" t="str">
        <f ca="1">IFERROR(__xludf.DUMMYFUNCTION("""COMPUTED_VALUE"""),"Highland Park High School")</f>
        <v>Highland Park High School</v>
      </c>
      <c r="G2033" s="5">
        <f ca="1">IFERROR(__xludf.DUMMYFUNCTION("""COMPUTED_VALUE"""),0)</f>
        <v>0</v>
      </c>
      <c r="H2033" s="5">
        <f ca="1">IFERROR(__xludf.DUMMYFUNCTION("""COMPUTED_VALUE"""),1)</f>
        <v>1</v>
      </c>
      <c r="I2033" s="5">
        <f ca="1">IFERROR(__xludf.DUMMYFUNCTION("""COMPUTED_VALUE"""),1)</f>
        <v>1</v>
      </c>
      <c r="J2033" s="5">
        <f ca="1">IFERROR(__xludf.DUMMYFUNCTION("""COMPUTED_VALUE"""),0)</f>
        <v>0</v>
      </c>
      <c r="K2033" s="5" t="str">
        <f ca="1">IFERROR(__xludf.DUMMYFUNCTION("""COMPUTED_VALUE"""),"https://www.leagle.com/decision/19761091540sw2d55111042.xml   https://www.newspapers.com/image/378430786/?terms=highland%2Bpark%2Bhigh%2Bschool  https://www.newspapers.com/image/193667885/?terms=huey%2Bward%2BIII")</f>
        <v>https://www.leagle.com/decision/19761091540sw2d55111042.xml   https://www.newspapers.com/image/378430786/?terms=highland%2Bpark%2Bhigh%2Bschool  https://www.newspapers.com/image/193667885/?terms=huey%2Bward%2BIII</v>
      </c>
      <c r="L2033" s="5"/>
      <c r="M2033" s="5"/>
      <c r="N2033" s="5">
        <f ca="1">IFERROR(__xludf.DUMMYFUNCTION("""COMPUTED_VALUE"""),2)</f>
        <v>2</v>
      </c>
      <c r="O2033" s="5" t="str">
        <f ca="1">IFERROR(__xludf.DUMMYFUNCTION("""COMPUTED_VALUE"""),"Summer")</f>
        <v>Summer</v>
      </c>
      <c r="P2033" s="5" t="str">
        <f ca="1">IFERROR(__xludf.DUMMYFUNCTION("""COMPUTED_VALUE"""),"Highland Park")</f>
        <v>Highland Park</v>
      </c>
      <c r="Q2033" s="5" t="str">
        <f ca="1">IFERROR(__xludf.DUMMYFUNCTION("""COMPUTED_VALUE"""),"TX")</f>
        <v>TX</v>
      </c>
      <c r="R2033" s="5" t="str">
        <f ca="1">IFERROR(__xludf.DUMMYFUNCTION("""COMPUTED_VALUE"""),"High")</f>
        <v>High</v>
      </c>
      <c r="S2033" s="5" t="str">
        <f ca="1">IFERROR(__xludf.DUMMYFUNCTION("""COMPUTED_VALUE"""),"Parking Lot")</f>
        <v>Parking Lot</v>
      </c>
      <c r="T2033" s="5" t="str">
        <f ca="1">IFERROR(__xludf.DUMMYFUNCTION("""COMPUTED_VALUE"""),"Outside on School Property")</f>
        <v>Outside on School Property</v>
      </c>
      <c r="U2033" s="5" t="str">
        <f ca="1">IFERROR(__xludf.DUMMYFUNCTION("""COMPUTED_VALUE"""),"Yes")</f>
        <v>Yes</v>
      </c>
      <c r="V2033" s="5" t="str">
        <f ca="1">IFERROR(__xludf.DUMMYFUNCTION("""COMPUTED_VALUE"""),"Morning Classes")</f>
        <v>Morning Classes</v>
      </c>
      <c r="W2033" s="10">
        <f ca="1">IFERROR(__xludf.DUMMYFUNCTION("""COMPUTED_VALUE"""),0.395833333333333)</f>
        <v>0.39583333333333298</v>
      </c>
      <c r="X2033" s="5">
        <f ca="1">IFERROR(__xludf.DUMMYFUNCTION("""COMPUTED_VALUE"""),1)</f>
        <v>1</v>
      </c>
      <c r="Y2033" s="5" t="str">
        <f ca="1">IFERROR(__xludf.DUMMYFUNCTION("""COMPUTED_VALUE"""),"Neighbor was angry about students driving too fast by her house")</f>
        <v>Neighbor was angry about students driving too fast by her house</v>
      </c>
      <c r="Z2033" s="5" t="str">
        <f ca="1">IFERROR(__xludf.DUMMYFUNCTION("""COMPUTED_VALUE"""),"65YOF was angry about students driving too fast by her house. She called school to complain and went to school to yell at students. One day she confronted students in the parking lot and fired a shot striking on in the arm during the dispute. Arrested and"&amp;" charged with attempted murder.")</f>
        <v>65YOF was angry about students driving too fast by her house. She called school to complain and went to school to yell at students. One day she confronted students in the parking lot and fired a shot striking on in the arm during the dispute. Arrested and charged with attempted murder.</v>
      </c>
      <c r="AA2033" s="5" t="str">
        <f ca="1">IFERROR(__xludf.DUMMYFUNCTION("""COMPUTED_VALUE"""),"Escalation of Dispute")</f>
        <v>Escalation of Dispute</v>
      </c>
      <c r="AB2033" s="5" t="str">
        <f ca="1">IFERROR(__xludf.DUMMYFUNCTION("""COMPUTED_VALUE"""),"Victims Targeted")</f>
        <v>Victims Targeted</v>
      </c>
      <c r="AC2033" s="5"/>
      <c r="AD2033" s="5" t="str">
        <f ca="1">IFERROR(__xludf.DUMMYFUNCTION("""COMPUTED_VALUE"""),"No")</f>
        <v>No</v>
      </c>
      <c r="AE2033" s="5" t="str">
        <f ca="1">IFERROR(__xludf.DUMMYFUNCTION("""COMPUTED_VALUE"""),"No")</f>
        <v>No</v>
      </c>
      <c r="AF2033" s="5" t="str">
        <f ca="1">IFERROR(__xludf.DUMMYFUNCTION("""COMPUTED_VALUE"""),"No")</f>
        <v>No</v>
      </c>
      <c r="AG2033" s="5" t="str">
        <f ca="1">IFERROR(__xludf.DUMMYFUNCTION("""COMPUTED_VALUE"""),"No")</f>
        <v>No</v>
      </c>
      <c r="AH2033" s="5" t="str">
        <f ca="1">IFERROR(__xludf.DUMMYFUNCTION("""COMPUTED_VALUE"""),"No")</f>
        <v>No</v>
      </c>
      <c r="AI2033" s="5" t="str">
        <f ca="1">IFERROR(__xludf.DUMMYFUNCTION("""COMPUTED_VALUE"""),"No")</f>
        <v>No</v>
      </c>
      <c r="AJ2033" s="5"/>
    </row>
    <row r="2034" spans="1:36" ht="13">
      <c r="A2034" s="5" t="str">
        <f ca="1">IFERROR(__xludf.DUMMYFUNCTION("""COMPUTED_VALUE"""),"19850516FLPAB")</f>
        <v>19850516FLPAB</v>
      </c>
      <c r="B2034" s="5">
        <f ca="1">IFERROR(__xludf.DUMMYFUNCTION("""COMPUTED_VALUE"""),5)</f>
        <v>5</v>
      </c>
      <c r="C2034" s="5">
        <f ca="1">IFERROR(__xludf.DUMMYFUNCTION("""COMPUTED_VALUE"""),16)</f>
        <v>16</v>
      </c>
      <c r="D2034" s="5">
        <f ca="1">IFERROR(__xludf.DUMMYFUNCTION("""COMPUTED_VALUE"""),1985)</f>
        <v>1985</v>
      </c>
      <c r="E2034" s="8">
        <f ca="1">IFERROR(__xludf.DUMMYFUNCTION("""COMPUTED_VALUE"""),31183)</f>
        <v>31183</v>
      </c>
      <c r="F2034" s="5" t="str">
        <f ca="1">IFERROR(__xludf.DUMMYFUNCTION("""COMPUTED_VALUE"""),"Parrott Junior High School")</f>
        <v>Parrott Junior High School</v>
      </c>
      <c r="G2034" s="5">
        <f ca="1">IFERROR(__xludf.DUMMYFUNCTION("""COMPUTED_VALUE"""),0)</f>
        <v>0</v>
      </c>
      <c r="H2034" s="5">
        <f ca="1">IFERROR(__xludf.DUMMYFUNCTION("""COMPUTED_VALUE"""),0)</f>
        <v>0</v>
      </c>
      <c r="I2034" s="5">
        <f ca="1">IFERROR(__xludf.DUMMYFUNCTION("""COMPUTED_VALUE"""),0)</f>
        <v>0</v>
      </c>
      <c r="J2034" s="5">
        <f ca="1">IFERROR(__xludf.DUMMYFUNCTION("""COMPUTED_VALUE"""),0)</f>
        <v>0</v>
      </c>
      <c r="K2034" s="9" t="str">
        <f ca="1">IFERROR(__xludf.DUMMYFUNCTION("""COMPUTED_VALUE"""),"https://www.newspapers.com/image/320585636/?terms=school%2Bshooting")</f>
        <v>https://www.newspapers.com/image/320585636/?terms=school%2Bshooting</v>
      </c>
      <c r="L2034" s="5"/>
      <c r="M2034" s="5"/>
      <c r="N2034" s="5">
        <f ca="1">IFERROR(__xludf.DUMMYFUNCTION("""COMPUTED_VALUE"""),2)</f>
        <v>2</v>
      </c>
      <c r="O2034" s="5" t="str">
        <f ca="1">IFERROR(__xludf.DUMMYFUNCTION("""COMPUTED_VALUE"""),"Spring")</f>
        <v>Spring</v>
      </c>
      <c r="P2034" s="5" t="str">
        <f ca="1">IFERROR(__xludf.DUMMYFUNCTION("""COMPUTED_VALUE"""),"Brookville")</f>
        <v>Brookville</v>
      </c>
      <c r="Q2034" s="5" t="str">
        <f ca="1">IFERROR(__xludf.DUMMYFUNCTION("""COMPUTED_VALUE"""),"FL")</f>
        <v>FL</v>
      </c>
      <c r="R2034" s="5" t="str">
        <f ca="1">IFERROR(__xludf.DUMMYFUNCTION("""COMPUTED_VALUE"""),"Junior High")</f>
        <v>Junior High</v>
      </c>
      <c r="S2034" s="5" t="str">
        <f ca="1">IFERROR(__xludf.DUMMYFUNCTION("""COMPUTED_VALUE"""),"Classroom")</f>
        <v>Classroom</v>
      </c>
      <c r="T2034" s="5" t="str">
        <f ca="1">IFERROR(__xludf.DUMMYFUNCTION("""COMPUTED_VALUE"""),"Inside School Building")</f>
        <v>Inside School Building</v>
      </c>
      <c r="U2034" s="5" t="str">
        <f ca="1">IFERROR(__xludf.DUMMYFUNCTION("""COMPUTED_VALUE"""),"Yes")</f>
        <v>Yes</v>
      </c>
      <c r="V2034" s="5" t="str">
        <f ca="1">IFERROR(__xludf.DUMMYFUNCTION("""COMPUTED_VALUE"""),"Morning Classes")</f>
        <v>Morning Classes</v>
      </c>
      <c r="W2034" s="10">
        <f ca="1">IFERROR(__xludf.DUMMYFUNCTION("""COMPUTED_VALUE"""),0.333333333333333)</f>
        <v>0.33333333333333298</v>
      </c>
      <c r="X2034" s="5">
        <f ca="1">IFERROR(__xludf.DUMMYFUNCTION("""COMPUTED_VALUE"""),1)</f>
        <v>1</v>
      </c>
      <c r="Y2034" s="5" t="str">
        <f ca="1">IFERROR(__xludf.DUMMYFUNCTION("""COMPUTED_VALUE"""),"Shooter shot herself in classroom, upset by breakup with boyfriend")</f>
        <v>Shooter shot herself in classroom, upset by breakup with boyfriend</v>
      </c>
      <c r="Z2034" s="5" t="str">
        <f ca="1">IFERROR(__xludf.DUMMYFUNCTION("""COMPUTED_VALUE"""),"Female shooter was upset about break up with boyfriend and shot herself in the abdomen during the 1st period class. 21 other students were in the classroom. Gun was taken from drawer in her parents bedroom.")</f>
        <v>Female shooter was upset about break up with boyfriend and shot herself in the abdomen during the 1st period class. 21 other students were in the classroom. Gun was taken from drawer in her parents bedroom.</v>
      </c>
      <c r="AA2034" s="5" t="str">
        <f ca="1">IFERROR(__xludf.DUMMYFUNCTION("""COMPUTED_VALUE"""),"Suicide/Attempted")</f>
        <v>Suicide/Attempted</v>
      </c>
      <c r="AB2034" s="5" t="str">
        <f ca="1">IFERROR(__xludf.DUMMYFUNCTION("""COMPUTED_VALUE"""),"Victims Targeted")</f>
        <v>Victims Targeted</v>
      </c>
      <c r="AC2034" s="5" t="str">
        <f ca="1">IFERROR(__xludf.DUMMYFUNCTION("""COMPUTED_VALUE"""),"No")</f>
        <v>No</v>
      </c>
      <c r="AD2034" s="5" t="str">
        <f ca="1">IFERROR(__xludf.DUMMYFUNCTION("""COMPUTED_VALUE"""),"No")</f>
        <v>No</v>
      </c>
      <c r="AE2034" s="5" t="str">
        <f ca="1">IFERROR(__xludf.DUMMYFUNCTION("""COMPUTED_VALUE"""),"No")</f>
        <v>No</v>
      </c>
      <c r="AF2034" s="5" t="str">
        <f ca="1">IFERROR(__xludf.DUMMYFUNCTION("""COMPUTED_VALUE"""),"No")</f>
        <v>No</v>
      </c>
      <c r="AG2034" s="5" t="str">
        <f ca="1">IFERROR(__xludf.DUMMYFUNCTION("""COMPUTED_VALUE"""),"No")</f>
        <v>No</v>
      </c>
      <c r="AH2034" s="5" t="str">
        <f ca="1">IFERROR(__xludf.DUMMYFUNCTION("""COMPUTED_VALUE"""),"No")</f>
        <v>No</v>
      </c>
      <c r="AI2034" s="5" t="str">
        <f ca="1">IFERROR(__xludf.DUMMYFUNCTION("""COMPUTED_VALUE"""),"No")</f>
        <v>No</v>
      </c>
      <c r="AJ2034" s="5"/>
    </row>
    <row r="2035" spans="1:36" ht="13">
      <c r="A2035" s="5" t="str">
        <f ca="1">IFERROR(__xludf.DUMMYFUNCTION("""COMPUTED_VALUE"""),"19850418TNSOS")</f>
        <v>19850418TNSOS</v>
      </c>
      <c r="B2035" s="5">
        <f ca="1">IFERROR(__xludf.DUMMYFUNCTION("""COMPUTED_VALUE"""),4)</f>
        <v>4</v>
      </c>
      <c r="C2035" s="5">
        <f ca="1">IFERROR(__xludf.DUMMYFUNCTION("""COMPUTED_VALUE"""),18)</f>
        <v>18</v>
      </c>
      <c r="D2035" s="5">
        <f ca="1">IFERROR(__xludf.DUMMYFUNCTION("""COMPUTED_VALUE"""),1985)</f>
        <v>1985</v>
      </c>
      <c r="E2035" s="8">
        <f ca="1">IFERROR(__xludf.DUMMYFUNCTION("""COMPUTED_VALUE"""),31155)</f>
        <v>31155</v>
      </c>
      <c r="F2035" s="5" t="str">
        <f ca="1">IFERROR(__xludf.DUMMYFUNCTION("""COMPUTED_VALUE"""),"South Pittsburg High School")</f>
        <v>South Pittsburg High School</v>
      </c>
      <c r="G2035" s="5">
        <f ca="1">IFERROR(__xludf.DUMMYFUNCTION("""COMPUTED_VALUE"""),0)</f>
        <v>0</v>
      </c>
      <c r="H2035" s="5">
        <f ca="1">IFERROR(__xludf.DUMMYFUNCTION("""COMPUTED_VALUE"""),1)</f>
        <v>1</v>
      </c>
      <c r="I2035" s="5">
        <f ca="1">IFERROR(__xludf.DUMMYFUNCTION("""COMPUTED_VALUE"""),1)</f>
        <v>1</v>
      </c>
      <c r="J2035" s="5">
        <f ca="1">IFERROR(__xludf.DUMMYFUNCTION("""COMPUTED_VALUE"""),0)</f>
        <v>0</v>
      </c>
      <c r="K2035" s="5" t="str">
        <f ca="1">IFERROR(__xludf.DUMMYFUNCTION("""COMPUTED_VALUE"""),"https://www.nytimes.com/1985/04/21/us/teen-ager-who-shot-teacher-says-he-was-in-love-with-her.html?auth=link-dismiss-google1tap https://www.upi.com/Archives/1985/04/19/A-high-school-senior-burst-into-a-school-office/9347482734800/")</f>
        <v>https://www.nytimes.com/1985/04/21/us/teen-ager-who-shot-teacher-says-he-was-in-love-with-her.html?auth=link-dismiss-google1tap https://www.upi.com/Archives/1985/04/19/A-high-school-senior-burst-into-a-school-office/9347482734800/</v>
      </c>
      <c r="L2035" s="5">
        <f ca="1">IFERROR(__xludf.DUMMYFUNCTION("""COMPUTED_VALUE"""),2)</f>
        <v>2</v>
      </c>
      <c r="M2035" s="5" t="str">
        <f ca="1">IFERROR(__xludf.DUMMYFUNCTION("""COMPUTED_VALUE"""),"National")</f>
        <v>National</v>
      </c>
      <c r="N2035" s="5">
        <f ca="1">IFERROR(__xludf.DUMMYFUNCTION("""COMPUTED_VALUE"""),4)</f>
        <v>4</v>
      </c>
      <c r="O2035" s="5" t="str">
        <f ca="1">IFERROR(__xludf.DUMMYFUNCTION("""COMPUTED_VALUE"""),"Spring")</f>
        <v>Spring</v>
      </c>
      <c r="P2035" s="5" t="str">
        <f ca="1">IFERROR(__xludf.DUMMYFUNCTION("""COMPUTED_VALUE"""),"South Pittsburg")</f>
        <v>South Pittsburg</v>
      </c>
      <c r="Q2035" s="5" t="str">
        <f ca="1">IFERROR(__xludf.DUMMYFUNCTION("""COMPUTED_VALUE"""),"TN")</f>
        <v>TN</v>
      </c>
      <c r="R2035" s="5" t="str">
        <f ca="1">IFERROR(__xludf.DUMMYFUNCTION("""COMPUTED_VALUE"""),"High")</f>
        <v>High</v>
      </c>
      <c r="S2035" s="5" t="str">
        <f ca="1">IFERROR(__xludf.DUMMYFUNCTION("""COMPUTED_VALUE"""),"Office")</f>
        <v>Office</v>
      </c>
      <c r="T2035" s="5" t="str">
        <f ca="1">IFERROR(__xludf.DUMMYFUNCTION("""COMPUTED_VALUE"""),"Inside School Building")</f>
        <v>Inside School Building</v>
      </c>
      <c r="U2035" s="5" t="str">
        <f ca="1">IFERROR(__xludf.DUMMYFUNCTION("""COMPUTED_VALUE"""),"Yes")</f>
        <v>Yes</v>
      </c>
      <c r="V2035" s="5" t="str">
        <f ca="1">IFERROR(__xludf.DUMMYFUNCTION("""COMPUTED_VALUE"""),"Morning Classes")</f>
        <v>Morning Classes</v>
      </c>
      <c r="W2035" s="5"/>
      <c r="X2035" s="5">
        <f ca="1">IFERROR(__xludf.DUMMYFUNCTION("""COMPUTED_VALUE"""),1)</f>
        <v>1</v>
      </c>
      <c r="Y2035" s="5" t="str">
        <f ca="1">IFERROR(__xludf.DUMMYFUNCTION("""COMPUTED_VALUE"""),"Student shot teacher (ex-girlfriend) three times in the school office")</f>
        <v>Student shot teacher (ex-girlfriend) three times in the school office</v>
      </c>
      <c r="Z2035" s="5" t="str">
        <f ca="1">IFERROR(__xludf.DUMMYFUNCTION("""COMPUTED_VALUE"""),"18 year-old male student had a romantic relationship with a 33 year-old female teacher. When she ended the relationship, he began stalking her. The morning of the shooting, the principal called the police to the school and when confronted, the student/sho"&amp;"oter ran out of the school to his house 3 block away. He returned with a handgun and shot the teacher 3 times. He then dropped the gun in the hallway and walked out of the school where he was arrested. Straight A student.")</f>
        <v>18 year-old male student had a romantic relationship with a 33 year-old female teacher. When she ended the relationship, he began stalking her. The morning of the shooting, the principal called the police to the school and when confronted, the student/shooter ran out of the school to his house 3 block away. He returned with a handgun and shot the teacher 3 times. He then dropped the gun in the hallway and walked out of the school where he was arrested. Straight A student.</v>
      </c>
      <c r="AA2035" s="5" t="str">
        <f ca="1">IFERROR(__xludf.DUMMYFUNCTION("""COMPUTED_VALUE"""),"Domestic w/ Targeted Victim")</f>
        <v>Domestic w/ Targeted Victim</v>
      </c>
      <c r="AB2035" s="5" t="str">
        <f ca="1">IFERROR(__xludf.DUMMYFUNCTION("""COMPUTED_VALUE"""),"Victims Targeted")</f>
        <v>Victims Targeted</v>
      </c>
      <c r="AC2035" s="5" t="str">
        <f ca="1">IFERROR(__xludf.DUMMYFUNCTION("""COMPUTED_VALUE"""),"No")</f>
        <v>No</v>
      </c>
      <c r="AD2035" s="5" t="str">
        <f ca="1">IFERROR(__xludf.DUMMYFUNCTION("""COMPUTED_VALUE"""),"No")</f>
        <v>No</v>
      </c>
      <c r="AE2035" s="5" t="str">
        <f ca="1">IFERROR(__xludf.DUMMYFUNCTION("""COMPUTED_VALUE"""),"No")</f>
        <v>No</v>
      </c>
      <c r="AF2035" s="5" t="str">
        <f ca="1">IFERROR(__xludf.DUMMYFUNCTION("""COMPUTED_VALUE"""),"No")</f>
        <v>No</v>
      </c>
      <c r="AG2035" s="5" t="str">
        <f ca="1">IFERROR(__xludf.DUMMYFUNCTION("""COMPUTED_VALUE"""),"No")</f>
        <v>No</v>
      </c>
      <c r="AH2035" s="5" t="str">
        <f ca="1">IFERROR(__xludf.DUMMYFUNCTION("""COMPUTED_VALUE"""),"Yes")</f>
        <v>Yes</v>
      </c>
      <c r="AI2035" s="5" t="str">
        <f ca="1">IFERROR(__xludf.DUMMYFUNCTION("""COMPUTED_VALUE"""),"No")</f>
        <v>No</v>
      </c>
      <c r="AJ2035" s="5" t="str">
        <f ca="1">IFERROR(__xludf.DUMMYFUNCTION("""COMPUTED_VALUE"""),"No")</f>
        <v>No</v>
      </c>
    </row>
    <row r="2036" spans="1:36" ht="13">
      <c r="A2036" s="5" t="str">
        <f ca="1">IFERROR(__xludf.DUMMYFUNCTION("""COMPUTED_VALUE"""),"19850416TXMAA")</f>
        <v>19850416TXMAA</v>
      </c>
      <c r="B2036" s="5">
        <f ca="1">IFERROR(__xludf.DUMMYFUNCTION("""COMPUTED_VALUE"""),4)</f>
        <v>4</v>
      </c>
      <c r="C2036" s="5">
        <f ca="1">IFERROR(__xludf.DUMMYFUNCTION("""COMPUTED_VALUE"""),16)</f>
        <v>16</v>
      </c>
      <c r="D2036" s="5">
        <f ca="1">IFERROR(__xludf.DUMMYFUNCTION("""COMPUTED_VALUE"""),1985)</f>
        <v>1985</v>
      </c>
      <c r="E2036" s="8">
        <f ca="1">IFERROR(__xludf.DUMMYFUNCTION("""COMPUTED_VALUE"""),31153)</f>
        <v>31153</v>
      </c>
      <c r="F2036" s="5" t="str">
        <f ca="1">IFERROR(__xludf.DUMMYFUNCTION("""COMPUTED_VALUE"""),"MacArthur Senior High School")</f>
        <v>MacArthur Senior High School</v>
      </c>
      <c r="G2036" s="5">
        <f ca="1">IFERROR(__xludf.DUMMYFUNCTION("""COMPUTED_VALUE"""),0)</f>
        <v>0</v>
      </c>
      <c r="H2036" s="5">
        <f ca="1">IFERROR(__xludf.DUMMYFUNCTION("""COMPUTED_VALUE"""),0)</f>
        <v>0</v>
      </c>
      <c r="I2036" s="5">
        <f ca="1">IFERROR(__xludf.DUMMYFUNCTION("""COMPUTED_VALUE"""),0)</f>
        <v>0</v>
      </c>
      <c r="J2036" s="5">
        <f ca="1">IFERROR(__xludf.DUMMYFUNCTION("""COMPUTED_VALUE"""),0)</f>
        <v>0</v>
      </c>
      <c r="K2036" s="5" t="str">
        <f ca="1">IFERROR(__xludf.DUMMYFUNCTION("""COMPUTED_VALUE"""),"Houston Chronicle - Fired Deputy Charged For Shooting at Student; https://www.columbine-angels.com/School_Violence_1984-1985.htm")</f>
        <v>Houston Chronicle - Fired Deputy Charged For Shooting at Student; https://www.columbine-angels.com/School_Violence_1984-1985.htm</v>
      </c>
      <c r="L2036" s="5"/>
      <c r="M2036" s="5"/>
      <c r="N2036" s="5">
        <f ca="1">IFERROR(__xludf.DUMMYFUNCTION("""COMPUTED_VALUE"""),1)</f>
        <v>1</v>
      </c>
      <c r="O2036" s="5" t="str">
        <f ca="1">IFERROR(__xludf.DUMMYFUNCTION("""COMPUTED_VALUE"""),"Spring")</f>
        <v>Spring</v>
      </c>
      <c r="P2036" s="5" t="str">
        <f ca="1">IFERROR(__xludf.DUMMYFUNCTION("""COMPUTED_VALUE"""),"Aldine")</f>
        <v>Aldine</v>
      </c>
      <c r="Q2036" s="5" t="str">
        <f ca="1">IFERROR(__xludf.DUMMYFUNCTION("""COMPUTED_VALUE"""),"TX")</f>
        <v>TX</v>
      </c>
      <c r="R2036" s="5" t="str">
        <f ca="1">IFERROR(__xludf.DUMMYFUNCTION("""COMPUTED_VALUE"""),"High")</f>
        <v>High</v>
      </c>
      <c r="S2036" s="5" t="str">
        <f ca="1">IFERROR(__xludf.DUMMYFUNCTION("""COMPUTED_VALUE"""),"Parking Lot")</f>
        <v>Parking Lot</v>
      </c>
      <c r="T2036" s="5" t="str">
        <f ca="1">IFERROR(__xludf.DUMMYFUNCTION("""COMPUTED_VALUE"""),"Outside on School Property")</f>
        <v>Outside on School Property</v>
      </c>
      <c r="U2036" s="5" t="str">
        <f ca="1">IFERROR(__xludf.DUMMYFUNCTION("""COMPUTED_VALUE"""),"Yes")</f>
        <v>Yes</v>
      </c>
      <c r="V2036" s="5" t="str">
        <f ca="1">IFERROR(__xludf.DUMMYFUNCTION("""COMPUTED_VALUE"""),"Dismissal")</f>
        <v>Dismissal</v>
      </c>
      <c r="W2036" s="5"/>
      <c r="X2036" s="5"/>
      <c r="Y2036" s="5" t="str">
        <f ca="1">IFERROR(__xludf.DUMMYFUNCTION("""COMPUTED_VALUE"""),"Off duty officer fired at student in dispute over towed car")</f>
        <v>Off duty officer fired at student in dispute over towed car</v>
      </c>
      <c r="Z2036" s="5" t="str">
        <f ca="1">IFERROR(__xludf.DUMMYFUNCTION("""COMPUTED_VALUE"""),"Off duty deputy (did not identify himself as officer) got into argument with 17YOM student about a vehicle that was being towed. Officer pulled gun and student ran away. Officer chased student through group of 300 students and fired a shot striking the wi"&amp;"ndshield of an occupied car driven by a teacher. Uniformed deputy arrived and defused the situation. Officer was fired and charged with aggravated assault.")</f>
        <v>Off duty deputy (did not identify himself as officer) got into argument with 17YOM student about a vehicle that was being towed. Officer pulled gun and student ran away. Officer chased student through group of 300 students and fired a shot striking the windshield of an occupied car driven by a teacher. Uniformed deputy arrived and defused the situation. Officer was fired and charged with aggravated assault.</v>
      </c>
      <c r="AA2036" s="5" t="str">
        <f ca="1">IFERROR(__xludf.DUMMYFUNCTION("""COMPUTED_VALUE"""),"Officer-Involved Shooting")</f>
        <v>Officer-Involved Shooting</v>
      </c>
      <c r="AB2036" s="5" t="str">
        <f ca="1">IFERROR(__xludf.DUMMYFUNCTION("""COMPUTED_VALUE"""),"Victims Targeted")</f>
        <v>Victims Targeted</v>
      </c>
      <c r="AC2036" s="5" t="str">
        <f ca="1">IFERROR(__xludf.DUMMYFUNCTION("""COMPUTED_VALUE"""),"No")</f>
        <v>No</v>
      </c>
      <c r="AD2036" s="5" t="str">
        <f ca="1">IFERROR(__xludf.DUMMYFUNCTION("""COMPUTED_VALUE"""),"No")</f>
        <v>No</v>
      </c>
      <c r="AE2036" s="5" t="str">
        <f ca="1">IFERROR(__xludf.DUMMYFUNCTION("""COMPUTED_VALUE"""),"No")</f>
        <v>No</v>
      </c>
      <c r="AF2036" s="5" t="str">
        <f ca="1">IFERROR(__xludf.DUMMYFUNCTION("""COMPUTED_VALUE"""),"Yes")</f>
        <v>Yes</v>
      </c>
      <c r="AG2036" s="5" t="str">
        <f ca="1">IFERROR(__xludf.DUMMYFUNCTION("""COMPUTED_VALUE"""),"No")</f>
        <v>No</v>
      </c>
      <c r="AH2036" s="5" t="str">
        <f ca="1">IFERROR(__xludf.DUMMYFUNCTION("""COMPUTED_VALUE"""),"No")</f>
        <v>No</v>
      </c>
      <c r="AI2036" s="5" t="str">
        <f ca="1">IFERROR(__xludf.DUMMYFUNCTION("""COMPUTED_VALUE"""),"No")</f>
        <v>No</v>
      </c>
      <c r="AJ2036" s="5"/>
    </row>
    <row r="2037" spans="1:36" ht="13">
      <c r="A2037" s="5" t="str">
        <f ca="1">IFERROR(__xludf.DUMMYFUNCTION("""COMPUTED_VALUE"""),"19850205CTAIH")</f>
        <v>19850205CTAIH</v>
      </c>
      <c r="B2037" s="5">
        <f ca="1">IFERROR(__xludf.DUMMYFUNCTION("""COMPUTED_VALUE"""),2)</f>
        <v>2</v>
      </c>
      <c r="C2037" s="5">
        <f ca="1">IFERROR(__xludf.DUMMYFUNCTION("""COMPUTED_VALUE"""),5)</f>
        <v>5</v>
      </c>
      <c r="D2037" s="5">
        <f ca="1">IFERROR(__xludf.DUMMYFUNCTION("""COMPUTED_VALUE"""),1985)</f>
        <v>1985</v>
      </c>
      <c r="E2037" s="8">
        <f ca="1">IFERROR(__xludf.DUMMYFUNCTION("""COMPUTED_VALUE"""),31083)</f>
        <v>31083</v>
      </c>
      <c r="F2037" s="5" t="str">
        <f ca="1">IFERROR(__xludf.DUMMYFUNCTION("""COMPUTED_VALUE"""),"A I Prince Technical High School")</f>
        <v>A I Prince Technical High School</v>
      </c>
      <c r="G2037" s="5">
        <f ca="1">IFERROR(__xludf.DUMMYFUNCTION("""COMPUTED_VALUE"""),0)</f>
        <v>0</v>
      </c>
      <c r="H2037" s="5">
        <f ca="1">IFERROR(__xludf.DUMMYFUNCTION("""COMPUTED_VALUE"""),1)</f>
        <v>1</v>
      </c>
      <c r="I2037" s="5">
        <f ca="1">IFERROR(__xludf.DUMMYFUNCTION("""COMPUTED_VALUE"""),1)</f>
        <v>1</v>
      </c>
      <c r="J2037" s="5">
        <f ca="1">IFERROR(__xludf.DUMMYFUNCTION("""COMPUTED_VALUE"""),0)</f>
        <v>0</v>
      </c>
      <c r="K2037" s="9" t="str">
        <f ca="1">IFERROR(__xludf.DUMMYFUNCTION("""COMPUTED_VALUE"""),"https://www.newspapers.com/image/245510114/?terms=Prince%2BTechnical%2BHigh%2BSchool")</f>
        <v>https://www.newspapers.com/image/245510114/?terms=Prince%2BTechnical%2BHigh%2BSchool</v>
      </c>
      <c r="L2037" s="5"/>
      <c r="M2037" s="5"/>
      <c r="N2037" s="5">
        <f ca="1">IFERROR(__xludf.DUMMYFUNCTION("""COMPUTED_VALUE"""),2)</f>
        <v>2</v>
      </c>
      <c r="O2037" s="5" t="str">
        <f ca="1">IFERROR(__xludf.DUMMYFUNCTION("""COMPUTED_VALUE"""),"Winter")</f>
        <v>Winter</v>
      </c>
      <c r="P2037" s="5" t="str">
        <f ca="1">IFERROR(__xludf.DUMMYFUNCTION("""COMPUTED_VALUE"""),"Hartford")</f>
        <v>Hartford</v>
      </c>
      <c r="Q2037" s="5" t="str">
        <f ca="1">IFERROR(__xludf.DUMMYFUNCTION("""COMPUTED_VALUE"""),"CT")</f>
        <v>CT</v>
      </c>
      <c r="R2037" s="5" t="str">
        <f ca="1">IFERROR(__xludf.DUMMYFUNCTION("""COMPUTED_VALUE"""),"High")</f>
        <v>High</v>
      </c>
      <c r="S2037" s="5" t="str">
        <f ca="1">IFERROR(__xludf.DUMMYFUNCTION("""COMPUTED_VALUE"""),"Beside Building")</f>
        <v>Beside Building</v>
      </c>
      <c r="T2037" s="5" t="str">
        <f ca="1">IFERROR(__xludf.DUMMYFUNCTION("""COMPUTED_VALUE"""),"Outside on School Property")</f>
        <v>Outside on School Property</v>
      </c>
      <c r="U2037" s="5" t="str">
        <f ca="1">IFERROR(__xludf.DUMMYFUNCTION("""COMPUTED_VALUE"""),"Yes")</f>
        <v>Yes</v>
      </c>
      <c r="V2037" s="5" t="str">
        <f ca="1">IFERROR(__xludf.DUMMYFUNCTION("""COMPUTED_VALUE"""),"Afternoon Classes")</f>
        <v>Afternoon Classes</v>
      </c>
      <c r="W2037" s="10">
        <f ca="1">IFERROR(__xludf.DUMMYFUNCTION("""COMPUTED_VALUE"""),0.604166666666666)</f>
        <v>0.60416666666666596</v>
      </c>
      <c r="X2037" s="5">
        <f ca="1">IFERROR(__xludf.DUMMYFUNCTION("""COMPUTED_VALUE"""),1)</f>
        <v>1</v>
      </c>
      <c r="Y2037" s="5" t="str">
        <f ca="1">IFERROR(__xludf.DUMMYFUNCTION("""COMPUTED_VALUE"""),"Shooting stemmed from ongoing conflict over a girl")</f>
        <v>Shooting stemmed from ongoing conflict over a girl</v>
      </c>
      <c r="Z2037" s="5" t="str">
        <f ca="1">IFERROR(__xludf.DUMMYFUNCTION("""COMPUTED_VALUE"""),"Ongoing fight over a girl - shooter was non-student of the school. Occurred outside the school building")</f>
        <v>Ongoing fight over a girl - shooter was non-student of the school. Occurred outside the school building</v>
      </c>
      <c r="AA2037" s="5" t="str">
        <f ca="1">IFERROR(__xludf.DUMMYFUNCTION("""COMPUTED_VALUE"""),"Escalation of Dispute")</f>
        <v>Escalation of Dispute</v>
      </c>
      <c r="AB2037" s="5" t="str">
        <f ca="1">IFERROR(__xludf.DUMMYFUNCTION("""COMPUTED_VALUE"""),"Victims Targeted")</f>
        <v>Victims Targeted</v>
      </c>
      <c r="AC2037" s="5" t="str">
        <f ca="1">IFERROR(__xludf.DUMMYFUNCTION("""COMPUTED_VALUE"""),"No")</f>
        <v>No</v>
      </c>
      <c r="AD2037" s="5" t="str">
        <f ca="1">IFERROR(__xludf.DUMMYFUNCTION("""COMPUTED_VALUE"""),"No")</f>
        <v>No</v>
      </c>
      <c r="AE2037" s="5" t="str">
        <f ca="1">IFERROR(__xludf.DUMMYFUNCTION("""COMPUTED_VALUE"""),"No")</f>
        <v>No</v>
      </c>
      <c r="AF2037" s="5" t="str">
        <f ca="1">IFERROR(__xludf.DUMMYFUNCTION("""COMPUTED_VALUE"""),"No")</f>
        <v>No</v>
      </c>
      <c r="AG2037" s="5" t="str">
        <f ca="1">IFERROR(__xludf.DUMMYFUNCTION("""COMPUTED_VALUE"""),"No")</f>
        <v>No</v>
      </c>
      <c r="AH2037" s="5" t="str">
        <f ca="1">IFERROR(__xludf.DUMMYFUNCTION("""COMPUTED_VALUE"""),"No")</f>
        <v>No</v>
      </c>
      <c r="AI2037" s="5" t="str">
        <f ca="1">IFERROR(__xludf.DUMMYFUNCTION("""COMPUTED_VALUE"""),"No")</f>
        <v>No</v>
      </c>
      <c r="AJ2037" s="5"/>
    </row>
    <row r="2038" spans="1:36" ht="13">
      <c r="A2038" s="5" t="str">
        <f ca="1">IFERROR(__xludf.DUMMYFUNCTION("""COMPUTED_VALUE"""),"19850126MASTB")</f>
        <v>19850126MASTB</v>
      </c>
      <c r="B2038" s="5">
        <f ca="1">IFERROR(__xludf.DUMMYFUNCTION("""COMPUTED_VALUE"""),1)</f>
        <v>1</v>
      </c>
      <c r="C2038" s="5">
        <f ca="1">IFERROR(__xludf.DUMMYFUNCTION("""COMPUTED_VALUE"""),26)</f>
        <v>26</v>
      </c>
      <c r="D2038" s="5">
        <f ca="1">IFERROR(__xludf.DUMMYFUNCTION("""COMPUTED_VALUE"""),1985)</f>
        <v>1985</v>
      </c>
      <c r="E2038" s="8">
        <f ca="1">IFERROR(__xludf.DUMMYFUNCTION("""COMPUTED_VALUE"""),31073)</f>
        <v>31073</v>
      </c>
      <c r="F2038" s="5" t="str">
        <f ca="1">IFERROR(__xludf.DUMMYFUNCTION("""COMPUTED_VALUE"""),"St. Gregory's High School")</f>
        <v>St. Gregory's High School</v>
      </c>
      <c r="G2038" s="5">
        <f ca="1">IFERROR(__xludf.DUMMYFUNCTION("""COMPUTED_VALUE"""),0)</f>
        <v>0</v>
      </c>
      <c r="H2038" s="5">
        <f ca="1">IFERROR(__xludf.DUMMYFUNCTION("""COMPUTED_VALUE"""),4)</f>
        <v>4</v>
      </c>
      <c r="I2038" s="5">
        <f ca="1">IFERROR(__xludf.DUMMYFUNCTION("""COMPUTED_VALUE"""),4)</f>
        <v>4</v>
      </c>
      <c r="J2038" s="5">
        <f ca="1">IFERROR(__xludf.DUMMYFUNCTION("""COMPUTED_VALUE"""),0)</f>
        <v>0</v>
      </c>
      <c r="K2038" s="9" t="str">
        <f ca="1">IFERROR(__xludf.DUMMYFUNCTION("""COMPUTED_VALUE"""),"https://www.newspapers.com/image/437414203/?terms=school%2Bshooting")</f>
        <v>https://www.newspapers.com/image/437414203/?terms=school%2Bshooting</v>
      </c>
      <c r="L2038" s="5"/>
      <c r="M2038" s="5"/>
      <c r="N2038" s="5">
        <f ca="1">IFERROR(__xludf.DUMMYFUNCTION("""COMPUTED_VALUE"""),2)</f>
        <v>2</v>
      </c>
      <c r="O2038" s="5" t="str">
        <f ca="1">IFERROR(__xludf.DUMMYFUNCTION("""COMPUTED_VALUE"""),"Winter")</f>
        <v>Winter</v>
      </c>
      <c r="P2038" s="5" t="str">
        <f ca="1">IFERROR(__xludf.DUMMYFUNCTION("""COMPUTED_VALUE"""),"Boston")</f>
        <v>Boston</v>
      </c>
      <c r="Q2038" s="5" t="str">
        <f ca="1">IFERROR(__xludf.DUMMYFUNCTION("""COMPUTED_VALUE"""),"MA")</f>
        <v>MA</v>
      </c>
      <c r="R2038" s="5" t="str">
        <f ca="1">IFERROR(__xludf.DUMMYFUNCTION("""COMPUTED_VALUE"""),"High")</f>
        <v>High</v>
      </c>
      <c r="S2038" s="5" t="str">
        <f ca="1">IFERROR(__xludf.DUMMYFUNCTION("""COMPUTED_VALUE"""),"Beside Building")</f>
        <v>Beside Building</v>
      </c>
      <c r="T2038" s="5" t="str">
        <f ca="1">IFERROR(__xludf.DUMMYFUNCTION("""COMPUTED_VALUE"""),"Outside on School Property")</f>
        <v>Outside on School Property</v>
      </c>
      <c r="U2038" s="5" t="str">
        <f ca="1">IFERROR(__xludf.DUMMYFUNCTION("""COMPUTED_VALUE"""),"No")</f>
        <v>No</v>
      </c>
      <c r="V2038" s="5" t="str">
        <f ca="1">IFERROR(__xludf.DUMMYFUNCTION("""COMPUTED_VALUE"""),"School Event")</f>
        <v>School Event</v>
      </c>
      <c r="W2038" s="10">
        <f ca="1">IFERROR(__xludf.DUMMYFUNCTION("""COMPUTED_VALUE"""),0.958333333333333)</f>
        <v>0.95833333333333304</v>
      </c>
      <c r="X2038" s="5">
        <f ca="1">IFERROR(__xludf.DUMMYFUNCTION("""COMPUTED_VALUE"""),1)</f>
        <v>1</v>
      </c>
      <c r="Y2038" s="5" t="str">
        <f ca="1">IFERROR(__xludf.DUMMYFUNCTION("""COMPUTED_VALUE"""),"Shots during fight between dozen black and white students outside dance")</f>
        <v>Shots during fight between dozen black and white students outside dance</v>
      </c>
      <c r="Z2038" s="5" t="str">
        <f ca="1">IFERROR(__xludf.DUMMYFUNCTION("""COMPUTED_VALUE"""),"Shot fired after a group of white students made racial remarks to a group of black students outside of the school dance. Large fight started and 4 students sustained injuries from gunshots.")</f>
        <v>Shot fired after a group of white students made racial remarks to a group of black students outside of the school dance. Large fight started and 4 students sustained injuries from gunshots.</v>
      </c>
      <c r="AA2038" s="5" t="str">
        <f ca="1">IFERROR(__xludf.DUMMYFUNCTION("""COMPUTED_VALUE"""),"Racial")</f>
        <v>Racial</v>
      </c>
      <c r="AB2038" s="5" t="str">
        <f ca="1">IFERROR(__xludf.DUMMYFUNCTION("""COMPUTED_VALUE"""),"Both")</f>
        <v>Both</v>
      </c>
      <c r="AC2038" s="5" t="str">
        <f ca="1">IFERROR(__xludf.DUMMYFUNCTION("""COMPUTED_VALUE"""),"No")</f>
        <v>No</v>
      </c>
      <c r="AD2038" s="5" t="str">
        <f ca="1">IFERROR(__xludf.DUMMYFUNCTION("""COMPUTED_VALUE"""),"No")</f>
        <v>No</v>
      </c>
      <c r="AE2038" s="5" t="str">
        <f ca="1">IFERROR(__xludf.DUMMYFUNCTION("""COMPUTED_VALUE"""),"No")</f>
        <v>No</v>
      </c>
      <c r="AF2038" s="5" t="str">
        <f ca="1">IFERROR(__xludf.DUMMYFUNCTION("""COMPUTED_VALUE"""),"No")</f>
        <v>No</v>
      </c>
      <c r="AG2038" s="5" t="str">
        <f ca="1">IFERROR(__xludf.DUMMYFUNCTION("""COMPUTED_VALUE"""),"No")</f>
        <v>No</v>
      </c>
      <c r="AH2038" s="5" t="str">
        <f ca="1">IFERROR(__xludf.DUMMYFUNCTION("""COMPUTED_VALUE"""),"No")</f>
        <v>No</v>
      </c>
      <c r="AI2038" s="5" t="str">
        <f ca="1">IFERROR(__xludf.DUMMYFUNCTION("""COMPUTED_VALUE"""),"No")</f>
        <v>No</v>
      </c>
      <c r="AJ2038" s="5"/>
    </row>
    <row r="2039" spans="1:36" ht="13">
      <c r="A2039" s="5" t="str">
        <f ca="1">IFERROR(__xludf.DUMMYFUNCTION("""COMPUTED_VALUE"""),"19850121KSGOG")</f>
        <v>19850121KSGOG</v>
      </c>
      <c r="B2039" s="5">
        <f ca="1">IFERROR(__xludf.DUMMYFUNCTION("""COMPUTED_VALUE"""),1)</f>
        <v>1</v>
      </c>
      <c r="C2039" s="5">
        <f ca="1">IFERROR(__xludf.DUMMYFUNCTION("""COMPUTED_VALUE"""),21)</f>
        <v>21</v>
      </c>
      <c r="D2039" s="5">
        <f ca="1">IFERROR(__xludf.DUMMYFUNCTION("""COMPUTED_VALUE"""),1985)</f>
        <v>1985</v>
      </c>
      <c r="E2039" s="8">
        <f ca="1">IFERROR(__xludf.DUMMYFUNCTION("""COMPUTED_VALUE"""),31068)</f>
        <v>31068</v>
      </c>
      <c r="F2039" s="5" t="str">
        <f ca="1">IFERROR(__xludf.DUMMYFUNCTION("""COMPUTED_VALUE"""),"Goddard Junior High School")</f>
        <v>Goddard Junior High School</v>
      </c>
      <c r="G2039" s="5">
        <f ca="1">IFERROR(__xludf.DUMMYFUNCTION("""COMPUTED_VALUE"""),1)</f>
        <v>1</v>
      </c>
      <c r="H2039" s="5">
        <f ca="1">IFERROR(__xludf.DUMMYFUNCTION("""COMPUTED_VALUE"""),3)</f>
        <v>3</v>
      </c>
      <c r="I2039" s="5">
        <f ca="1">IFERROR(__xludf.DUMMYFUNCTION("""COMPUTED_VALUE"""),4)</f>
        <v>4</v>
      </c>
      <c r="J2039" s="5">
        <f ca="1">IFERROR(__xludf.DUMMYFUNCTION("""COMPUTED_VALUE"""),0)</f>
        <v>0</v>
      </c>
      <c r="K2039" s="5" t="str">
        <f ca="1">IFERROR(__xludf.DUMMYFUNCTION("""COMPUTED_VALUE"""),"http://www.kansas.com/news/local/crime/article8073096.html https://www.newspapers.com/image/467980264/?terms=Goddard%2BJunior%2BHigh%2BSchool https://www.nytimes.com/1985/01/23/us/quiet-wichita-suburb-is-bewildered-by-killing-of-popular-principal.html")</f>
        <v>http://www.kansas.com/news/local/crime/article8073096.html https://www.newspapers.com/image/467980264/?terms=Goddard%2BJunior%2BHigh%2BSchool https://www.nytimes.com/1985/01/23/us/quiet-wichita-suburb-is-bewildered-by-killing-of-popular-principal.html</v>
      </c>
      <c r="L2039" s="5"/>
      <c r="M2039" s="5"/>
      <c r="N2039" s="5">
        <f ca="1">IFERROR(__xludf.DUMMYFUNCTION("""COMPUTED_VALUE"""),2)</f>
        <v>2</v>
      </c>
      <c r="O2039" s="5" t="str">
        <f ca="1">IFERROR(__xludf.DUMMYFUNCTION("""COMPUTED_VALUE"""),"Winter")</f>
        <v>Winter</v>
      </c>
      <c r="P2039" s="5" t="str">
        <f ca="1">IFERROR(__xludf.DUMMYFUNCTION("""COMPUTED_VALUE"""),"Goddard")</f>
        <v>Goddard</v>
      </c>
      <c r="Q2039" s="5" t="str">
        <f ca="1">IFERROR(__xludf.DUMMYFUNCTION("""COMPUTED_VALUE"""),"KS")</f>
        <v>KS</v>
      </c>
      <c r="R2039" s="5" t="str">
        <f ca="1">IFERROR(__xludf.DUMMYFUNCTION("""COMPUTED_VALUE"""),"Junior High")</f>
        <v>Junior High</v>
      </c>
      <c r="S2039" s="5" t="str">
        <f ca="1">IFERROR(__xludf.DUMMYFUNCTION("""COMPUTED_VALUE"""),"Hallway")</f>
        <v>Hallway</v>
      </c>
      <c r="T2039" s="5" t="str">
        <f ca="1">IFERROR(__xludf.DUMMYFUNCTION("""COMPUTED_VALUE"""),"Inside School Building")</f>
        <v>Inside School Building</v>
      </c>
      <c r="U2039" s="5" t="str">
        <f ca="1">IFERROR(__xludf.DUMMYFUNCTION("""COMPUTED_VALUE"""),"Yes")</f>
        <v>Yes</v>
      </c>
      <c r="V2039" s="5" t="str">
        <f ca="1">IFERROR(__xludf.DUMMYFUNCTION("""COMPUTED_VALUE"""),"Morning Classes")</f>
        <v>Morning Classes</v>
      </c>
      <c r="W2039" s="10">
        <f ca="1">IFERROR(__xludf.DUMMYFUNCTION("""COMPUTED_VALUE"""),0.461805555555555)</f>
        <v>0.46180555555555503</v>
      </c>
      <c r="X2039" s="5">
        <f ca="1">IFERROR(__xludf.DUMMYFUNCTION("""COMPUTED_VALUE"""),1)</f>
        <v>1</v>
      </c>
      <c r="Y2039" s="5" t="str">
        <f ca="1">IFERROR(__xludf.DUMMYFUNCTION("""COMPUTED_VALUE"""),"Ongoing conflicts with fellow students")</f>
        <v>Ongoing conflicts with fellow students</v>
      </c>
      <c r="Z2039" s="5" t="str">
        <f ca="1">IFERROR(__xludf.DUMMYFUNCTION("""COMPUTED_VALUE"""),"Had made prior threats to kill students - revealed to school counselor that in 1982 he had taken a gun to school to shoot students but backed out of the plan - counselor told principal - parents never informed. Shot targeted teachers and one student in ha"&amp;"llway then ran away from the school. Passed many other students in the hallway while exiting. Police officer found him a mile away and he surrendered. Pockets were full of ammo. Weapons: .308, .357")</f>
        <v>Had made prior threats to kill students - revealed to school counselor that in 1982 he had taken a gun to school to shoot students but backed out of the plan - counselor told principal - parents never informed. Shot targeted teachers and one student in hallway then ran away from the school. Passed many other students in the hallway while exiting. Police officer found him a mile away and he surrendered. Pockets were full of ammo. Weapons: .308, .357</v>
      </c>
      <c r="AA2039" s="5" t="str">
        <f ca="1">IFERROR(__xludf.DUMMYFUNCTION("""COMPUTED_VALUE"""),"Indiscriminate Shooting")</f>
        <v>Indiscriminate Shooting</v>
      </c>
      <c r="AB2039" s="5" t="str">
        <f ca="1">IFERROR(__xludf.DUMMYFUNCTION("""COMPUTED_VALUE"""),"Both")</f>
        <v>Both</v>
      </c>
      <c r="AC2039" s="5" t="str">
        <f ca="1">IFERROR(__xludf.DUMMYFUNCTION("""COMPUTED_VALUE"""),"No")</f>
        <v>No</v>
      </c>
      <c r="AD2039" s="5" t="str">
        <f ca="1">IFERROR(__xludf.DUMMYFUNCTION("""COMPUTED_VALUE"""),"No")</f>
        <v>No</v>
      </c>
      <c r="AE2039" s="5" t="str">
        <f ca="1">IFERROR(__xludf.DUMMYFUNCTION("""COMPUTED_VALUE"""),"No")</f>
        <v>No</v>
      </c>
      <c r="AF2039" s="5" t="str">
        <f ca="1">IFERROR(__xludf.DUMMYFUNCTION("""COMPUTED_VALUE"""),"No")</f>
        <v>No</v>
      </c>
      <c r="AG2039" s="5" t="str">
        <f ca="1">IFERROR(__xludf.DUMMYFUNCTION("""COMPUTED_VALUE"""),"Yes")</f>
        <v>Yes</v>
      </c>
      <c r="AH2039" s="5" t="str">
        <f ca="1">IFERROR(__xludf.DUMMYFUNCTION("""COMPUTED_VALUE"""),"No")</f>
        <v>No</v>
      </c>
      <c r="AI2039" s="5" t="str">
        <f ca="1">IFERROR(__xludf.DUMMYFUNCTION("""COMPUTED_VALUE"""),"No")</f>
        <v>No</v>
      </c>
      <c r="AJ2039" s="5" t="str">
        <f ca="1">IFERROR(__xludf.DUMMYFUNCTION("""COMPUTED_VALUE"""),"Yes")</f>
        <v>Yes</v>
      </c>
    </row>
    <row r="2040" spans="1:36" ht="13">
      <c r="A2040" s="5" t="str">
        <f ca="1">IFERROR(__xludf.DUMMYFUNCTION("""COMPUTED_VALUE"""),"19850118TXARA")</f>
        <v>19850118TXARA</v>
      </c>
      <c r="B2040" s="5">
        <f ca="1">IFERROR(__xludf.DUMMYFUNCTION("""COMPUTED_VALUE"""),1)</f>
        <v>1</v>
      </c>
      <c r="C2040" s="5">
        <f ca="1">IFERROR(__xludf.DUMMYFUNCTION("""COMPUTED_VALUE"""),18)</f>
        <v>18</v>
      </c>
      <c r="D2040" s="5">
        <f ca="1">IFERROR(__xludf.DUMMYFUNCTION("""COMPUTED_VALUE"""),1985)</f>
        <v>1985</v>
      </c>
      <c r="E2040" s="8">
        <f ca="1">IFERROR(__xludf.DUMMYFUNCTION("""COMPUTED_VALUE"""),31065)</f>
        <v>31065</v>
      </c>
      <c r="F2040" s="5" t="str">
        <f ca="1">IFERROR(__xludf.DUMMYFUNCTION("""COMPUTED_VALUE"""),"Arlington High School")</f>
        <v>Arlington High School</v>
      </c>
      <c r="G2040" s="5">
        <f ca="1">IFERROR(__xludf.DUMMYFUNCTION("""COMPUTED_VALUE"""),0)</f>
        <v>0</v>
      </c>
      <c r="H2040" s="5">
        <f ca="1">IFERROR(__xludf.DUMMYFUNCTION("""COMPUTED_VALUE"""),0)</f>
        <v>0</v>
      </c>
      <c r="I2040" s="5">
        <f ca="1">IFERROR(__xludf.DUMMYFUNCTION("""COMPUTED_VALUE"""),0)</f>
        <v>0</v>
      </c>
      <c r="J2040" s="5">
        <f ca="1">IFERROR(__xludf.DUMMYFUNCTION("""COMPUTED_VALUE"""),1)</f>
        <v>1</v>
      </c>
      <c r="K2040" s="5" t="str">
        <f ca="1">IFERROR(__xludf.DUMMYFUNCTION("""COMPUTED_VALUE"""),"https://www.newspapers.com/image/131737540/?terms=James%2BAustin%2BStailey https://www.upi.com/Archives/1985/01/19/School-stunned-by-students-classroom-suicide/3430474958800/")</f>
        <v>https://www.newspapers.com/image/131737540/?terms=James%2BAustin%2BStailey https://www.upi.com/Archives/1985/01/19/School-stunned-by-students-classroom-suicide/3430474958800/</v>
      </c>
      <c r="L2040" s="5"/>
      <c r="M2040" s="5"/>
      <c r="N2040" s="5">
        <f ca="1">IFERROR(__xludf.DUMMYFUNCTION("""COMPUTED_VALUE"""),3)</f>
        <v>3</v>
      </c>
      <c r="O2040" s="5" t="str">
        <f ca="1">IFERROR(__xludf.DUMMYFUNCTION("""COMPUTED_VALUE"""),"Winter")</f>
        <v>Winter</v>
      </c>
      <c r="P2040" s="5" t="str">
        <f ca="1">IFERROR(__xludf.DUMMYFUNCTION("""COMPUTED_VALUE"""),"Arlington")</f>
        <v>Arlington</v>
      </c>
      <c r="Q2040" s="5" t="str">
        <f ca="1">IFERROR(__xludf.DUMMYFUNCTION("""COMPUTED_VALUE"""),"TX")</f>
        <v>TX</v>
      </c>
      <c r="R2040" s="5" t="str">
        <f ca="1">IFERROR(__xludf.DUMMYFUNCTION("""COMPUTED_VALUE"""),"High")</f>
        <v>High</v>
      </c>
      <c r="S2040" s="5" t="str">
        <f ca="1">IFERROR(__xludf.DUMMYFUNCTION("""COMPUTED_VALUE"""),"Auditorium")</f>
        <v>Auditorium</v>
      </c>
      <c r="T2040" s="5" t="str">
        <f ca="1">IFERROR(__xludf.DUMMYFUNCTION("""COMPUTED_VALUE"""),"Inside School Building")</f>
        <v>Inside School Building</v>
      </c>
      <c r="U2040" s="5" t="str">
        <f ca="1">IFERROR(__xludf.DUMMYFUNCTION("""COMPUTED_VALUE"""),"Yes")</f>
        <v>Yes</v>
      </c>
      <c r="V2040" s="5"/>
      <c r="W2040" s="5"/>
      <c r="X2040" s="5">
        <f ca="1">IFERROR(__xludf.DUMMYFUNCTION("""COMPUTED_VALUE"""),1)</f>
        <v>1</v>
      </c>
      <c r="Y2040" s="5" t="str">
        <f ca="1">IFERROR(__xludf.DUMMYFUNCTION("""COMPUTED_VALUE"""),"Shot self on stage in front of drama students and teacher")</f>
        <v>Shot self on stage in front of drama students and teacher</v>
      </c>
      <c r="Z2040" s="5" t="str">
        <f ca="1">IFERROR(__xludf.DUMMYFUNCTION("""COMPUTED_VALUE"""),"17YOM shot himself in the head with a sawed off shotgun on the stage in front of other drama students and the teacher. Asked class a question about the meaning of life before the shooting. Had discussed suicide with other students. Was scheduled to be the"&amp;" lead in the drama production that night.")</f>
        <v>17YOM shot himself in the head with a sawed off shotgun on the stage in front of other drama students and the teacher. Asked class a question about the meaning of life before the shooting. Had discussed suicide with other students. Was scheduled to be the lead in the drama production that night.</v>
      </c>
      <c r="AA2040" s="5" t="str">
        <f ca="1">IFERROR(__xludf.DUMMYFUNCTION("""COMPUTED_VALUE"""),"Suicide/Attempted")</f>
        <v>Suicide/Attempted</v>
      </c>
      <c r="AB2040" s="5" t="str">
        <f ca="1">IFERROR(__xludf.DUMMYFUNCTION("""COMPUTED_VALUE"""),"Victims Targeted")</f>
        <v>Victims Targeted</v>
      </c>
      <c r="AC2040" s="5" t="str">
        <f ca="1">IFERROR(__xludf.DUMMYFUNCTION("""COMPUTED_VALUE"""),"No")</f>
        <v>No</v>
      </c>
      <c r="AD2040" s="5" t="str">
        <f ca="1">IFERROR(__xludf.DUMMYFUNCTION("""COMPUTED_VALUE"""),"No")</f>
        <v>No</v>
      </c>
      <c r="AE2040" s="5" t="str">
        <f ca="1">IFERROR(__xludf.DUMMYFUNCTION("""COMPUTED_VALUE"""),"No")</f>
        <v>No</v>
      </c>
      <c r="AF2040" s="5" t="str">
        <f ca="1">IFERROR(__xludf.DUMMYFUNCTION("""COMPUTED_VALUE"""),"No")</f>
        <v>No</v>
      </c>
      <c r="AG2040" s="5" t="str">
        <f ca="1">IFERROR(__xludf.DUMMYFUNCTION("""COMPUTED_VALUE"""),"No")</f>
        <v>No</v>
      </c>
      <c r="AH2040" s="5" t="str">
        <f ca="1">IFERROR(__xludf.DUMMYFUNCTION("""COMPUTED_VALUE"""),"No")</f>
        <v>No</v>
      </c>
      <c r="AI2040" s="5" t="str">
        <f ca="1">IFERROR(__xludf.DUMMYFUNCTION("""COMPUTED_VALUE"""),"No")</f>
        <v>No</v>
      </c>
      <c r="AJ2040" s="5"/>
    </row>
    <row r="2041" spans="1:36" ht="13">
      <c r="A2041" s="5" t="str">
        <f ca="1">IFERROR(__xludf.DUMMYFUNCTION("""COMPUTED_VALUE"""),"19841207MOEDS")</f>
        <v>19841207MOEDS</v>
      </c>
      <c r="B2041" s="5">
        <f ca="1">IFERROR(__xludf.DUMMYFUNCTION("""COMPUTED_VALUE"""),12)</f>
        <v>12</v>
      </c>
      <c r="C2041" s="5">
        <f ca="1">IFERROR(__xludf.DUMMYFUNCTION("""COMPUTED_VALUE"""),7)</f>
        <v>7</v>
      </c>
      <c r="D2041" s="5">
        <f ca="1">IFERROR(__xludf.DUMMYFUNCTION("""COMPUTED_VALUE"""),1984)</f>
        <v>1984</v>
      </c>
      <c r="E2041" s="8">
        <f ca="1">IFERROR(__xludf.DUMMYFUNCTION("""COMPUTED_VALUE"""),31023)</f>
        <v>31023</v>
      </c>
      <c r="F2041" s="5" t="str">
        <f ca="1">IFERROR(__xludf.DUMMYFUNCTION("""COMPUTED_VALUE"""),"Edwardsville High School")</f>
        <v>Edwardsville High School</v>
      </c>
      <c r="G2041" s="5">
        <f ca="1">IFERROR(__xludf.DUMMYFUNCTION("""COMPUTED_VALUE"""),0)</f>
        <v>0</v>
      </c>
      <c r="H2041" s="5">
        <f ca="1">IFERROR(__xludf.DUMMYFUNCTION("""COMPUTED_VALUE"""),0)</f>
        <v>0</v>
      </c>
      <c r="I2041" s="5">
        <f ca="1">IFERROR(__xludf.DUMMYFUNCTION("""COMPUTED_VALUE"""),0)</f>
        <v>0</v>
      </c>
      <c r="J2041" s="5">
        <f ca="1">IFERROR(__xludf.DUMMYFUNCTION("""COMPUTED_VALUE"""),0)</f>
        <v>0</v>
      </c>
      <c r="K2041" s="9" t="str">
        <f ca="1">IFERROR(__xludf.DUMMYFUNCTION("""COMPUTED_VALUE"""),"https://www.newspapers.com/image/140853530")</f>
        <v>https://www.newspapers.com/image/140853530</v>
      </c>
      <c r="L2041" s="5"/>
      <c r="M2041" s="5"/>
      <c r="N2041" s="5">
        <f ca="1">IFERROR(__xludf.DUMMYFUNCTION("""COMPUTED_VALUE"""),2)</f>
        <v>2</v>
      </c>
      <c r="O2041" s="5" t="str">
        <f ca="1">IFERROR(__xludf.DUMMYFUNCTION("""COMPUTED_VALUE"""),"Winter")</f>
        <v>Winter</v>
      </c>
      <c r="P2041" s="5" t="str">
        <f ca="1">IFERROR(__xludf.DUMMYFUNCTION("""COMPUTED_VALUE"""),"St. Louis")</f>
        <v>St. Louis</v>
      </c>
      <c r="Q2041" s="5" t="str">
        <f ca="1">IFERROR(__xludf.DUMMYFUNCTION("""COMPUTED_VALUE"""),"MO")</f>
        <v>MO</v>
      </c>
      <c r="R2041" s="5" t="str">
        <f ca="1">IFERROR(__xludf.DUMMYFUNCTION("""COMPUTED_VALUE"""),"High")</f>
        <v>High</v>
      </c>
      <c r="S2041" s="5" t="str">
        <f ca="1">IFERROR(__xludf.DUMMYFUNCTION("""COMPUTED_VALUE"""),"Hallway")</f>
        <v>Hallway</v>
      </c>
      <c r="T2041" s="5" t="str">
        <f ca="1">IFERROR(__xludf.DUMMYFUNCTION("""COMPUTED_VALUE"""),"Inside School Building")</f>
        <v>Inside School Building</v>
      </c>
      <c r="U2041" s="5" t="str">
        <f ca="1">IFERROR(__xludf.DUMMYFUNCTION("""COMPUTED_VALUE"""),"Yes")</f>
        <v>Yes</v>
      </c>
      <c r="V2041" s="5" t="str">
        <f ca="1">IFERROR(__xludf.DUMMYFUNCTION("""COMPUTED_VALUE"""),"Before School")</f>
        <v>Before School</v>
      </c>
      <c r="W2041" s="10">
        <f ca="1">IFERROR(__xludf.DUMMYFUNCTION("""COMPUTED_VALUE"""),0.291666666666666)</f>
        <v>0.29166666666666602</v>
      </c>
      <c r="X2041" s="5">
        <f ca="1">IFERROR(__xludf.DUMMYFUNCTION("""COMPUTED_VALUE"""),420)</f>
        <v>420</v>
      </c>
      <c r="Y2041" s="5" t="str">
        <f ca="1">IFERROR(__xludf.DUMMYFUNCTION("""COMPUTED_VALUE"""),"Barricaded inside janitors closet for 7 hours")</f>
        <v>Barricaded inside janitors closet for 7 hours</v>
      </c>
      <c r="Z2041" s="5" t="str">
        <f ca="1">IFERROR(__xludf.DUMMYFUNCTION("""COMPUTED_VALUE"""),"Shooter broke into school before it was open and fired 4 shots in the hallway then barricaded himself inside a janitor's closet for 7 hours. Shooter had a .223 rifle and .44 pistol. Avid hunter and gun user. Surrendered peacefully to police and was taken "&amp;"to psych hospital for evaluation/")</f>
        <v>Shooter broke into school before it was open and fired 4 shots in the hallway then barricaded himself inside a janitor's closet for 7 hours. Shooter had a .223 rifle and .44 pistol. Avid hunter and gun user. Surrendered peacefully to police and was taken to psych hospital for evaluation/</v>
      </c>
      <c r="AA2041" s="5" t="str">
        <f ca="1">IFERROR(__xludf.DUMMYFUNCTION("""COMPUTED_VALUE"""),"Psychosis")</f>
        <v>Psychosis</v>
      </c>
      <c r="AB2041" s="5" t="str">
        <f ca="1">IFERROR(__xludf.DUMMYFUNCTION("""COMPUTED_VALUE"""),"Random Shooting")</f>
        <v>Random Shooting</v>
      </c>
      <c r="AC2041" s="5" t="str">
        <f ca="1">IFERROR(__xludf.DUMMYFUNCTION("""COMPUTED_VALUE"""),"No")</f>
        <v>No</v>
      </c>
      <c r="AD2041" s="5" t="str">
        <f ca="1">IFERROR(__xludf.DUMMYFUNCTION("""COMPUTED_VALUE"""),"No")</f>
        <v>No</v>
      </c>
      <c r="AE2041" s="5" t="str">
        <f ca="1">IFERROR(__xludf.DUMMYFUNCTION("""COMPUTED_VALUE"""),"Yes")</f>
        <v>Yes</v>
      </c>
      <c r="AF2041" s="5" t="str">
        <f ca="1">IFERROR(__xludf.DUMMYFUNCTION("""COMPUTED_VALUE"""),"No")</f>
        <v>No</v>
      </c>
      <c r="AG2041" s="5" t="str">
        <f ca="1">IFERROR(__xludf.DUMMYFUNCTION("""COMPUTED_VALUE"""),"No")</f>
        <v>No</v>
      </c>
      <c r="AH2041" s="5" t="str">
        <f ca="1">IFERROR(__xludf.DUMMYFUNCTION("""COMPUTED_VALUE"""),"No")</f>
        <v>No</v>
      </c>
      <c r="AI2041" s="5" t="str">
        <f ca="1">IFERROR(__xludf.DUMMYFUNCTION("""COMPUTED_VALUE"""),"No")</f>
        <v>No</v>
      </c>
      <c r="AJ2041" s="5" t="str">
        <f ca="1">IFERROR(__xludf.DUMMYFUNCTION("""COMPUTED_VALUE"""),"Yes")</f>
        <v>Yes</v>
      </c>
    </row>
    <row r="2042" spans="1:36" ht="13">
      <c r="A2042" s="5" t="str">
        <f ca="1">IFERROR(__xludf.DUMMYFUNCTION("""COMPUTED_VALUE"""),"19841126MDMIR")</f>
        <v>19841126MDMIR</v>
      </c>
      <c r="B2042" s="5">
        <f ca="1">IFERROR(__xludf.DUMMYFUNCTION("""COMPUTED_VALUE"""),11)</f>
        <v>11</v>
      </c>
      <c r="C2042" s="5">
        <f ca="1">IFERROR(__xludf.DUMMYFUNCTION("""COMPUTED_VALUE"""),26)</f>
        <v>26</v>
      </c>
      <c r="D2042" s="5">
        <f ca="1">IFERROR(__xludf.DUMMYFUNCTION("""COMPUTED_VALUE"""),1984)</f>
        <v>1984</v>
      </c>
      <c r="E2042" s="8">
        <f ca="1">IFERROR(__xludf.DUMMYFUNCTION("""COMPUTED_VALUE"""),31012)</f>
        <v>31012</v>
      </c>
      <c r="F2042" s="5" t="str">
        <f ca="1">IFERROR(__xludf.DUMMYFUNCTION("""COMPUTED_VALUE"""),"Millford Mill High School")</f>
        <v>Millford Mill High School</v>
      </c>
      <c r="G2042" s="5">
        <f ca="1">IFERROR(__xludf.DUMMYFUNCTION("""COMPUTED_VALUE"""),0)</f>
        <v>0</v>
      </c>
      <c r="H2042" s="5">
        <f ca="1">IFERROR(__xludf.DUMMYFUNCTION("""COMPUTED_VALUE"""),1)</f>
        <v>1</v>
      </c>
      <c r="I2042" s="5">
        <f ca="1">IFERROR(__xludf.DUMMYFUNCTION("""COMPUTED_VALUE"""),1)</f>
        <v>1</v>
      </c>
      <c r="J2042" s="5">
        <f ca="1">IFERROR(__xludf.DUMMYFUNCTION("""COMPUTED_VALUE"""),0)</f>
        <v>0</v>
      </c>
      <c r="K2042" s="5" t="str">
        <f ca="1">IFERROR(__xludf.DUMMYFUNCTION("""COMPUTED_VALUE"""),"https://www.newspapers.com/image/91955736/?terms=sean%2Brichardson  https://www.newspapers.com/image/372920571/?terms=sean%2Brichardson https://www.newspapers.com/image/377654052/?terms=steven%2Bgabriel")</f>
        <v>https://www.newspapers.com/image/91955736/?terms=sean%2Brichardson  https://www.newspapers.com/image/372920571/?terms=sean%2Brichardson https://www.newspapers.com/image/377654052/?terms=steven%2Bgabriel</v>
      </c>
      <c r="L2042" s="5"/>
      <c r="M2042" s="5"/>
      <c r="N2042" s="5">
        <f ca="1">IFERROR(__xludf.DUMMYFUNCTION("""COMPUTED_VALUE"""),2)</f>
        <v>2</v>
      </c>
      <c r="O2042" s="5" t="str">
        <f ca="1">IFERROR(__xludf.DUMMYFUNCTION("""COMPUTED_VALUE"""),"Fall")</f>
        <v>Fall</v>
      </c>
      <c r="P2042" s="5" t="str">
        <f ca="1">IFERROR(__xludf.DUMMYFUNCTION("""COMPUTED_VALUE"""),"Rockdale")</f>
        <v>Rockdale</v>
      </c>
      <c r="Q2042" s="5" t="str">
        <f ca="1">IFERROR(__xludf.DUMMYFUNCTION("""COMPUTED_VALUE"""),"MD")</f>
        <v>MD</v>
      </c>
      <c r="R2042" s="5" t="str">
        <f ca="1">IFERROR(__xludf.DUMMYFUNCTION("""COMPUTED_VALUE"""),"High")</f>
        <v>High</v>
      </c>
      <c r="S2042" s="5" t="str">
        <f ca="1">IFERROR(__xludf.DUMMYFUNCTION("""COMPUTED_VALUE"""),"Outside on School Property")</f>
        <v>Outside on School Property</v>
      </c>
      <c r="T2042" s="5" t="str">
        <f ca="1">IFERROR(__xludf.DUMMYFUNCTION("""COMPUTED_VALUE"""),"Outside on School Property")</f>
        <v>Outside on School Property</v>
      </c>
      <c r="U2042" s="5" t="str">
        <f ca="1">IFERROR(__xludf.DUMMYFUNCTION("""COMPUTED_VALUE"""),"Yes")</f>
        <v>Yes</v>
      </c>
      <c r="V2042" s="5" t="str">
        <f ca="1">IFERROR(__xludf.DUMMYFUNCTION("""COMPUTED_VALUE"""),"Lunch")</f>
        <v>Lunch</v>
      </c>
      <c r="W2042" s="10">
        <f ca="1">IFERROR(__xludf.DUMMYFUNCTION("""COMPUTED_VALUE"""),0.53125)</f>
        <v>0.53125</v>
      </c>
      <c r="X2042" s="5">
        <f ca="1">IFERROR(__xludf.DUMMYFUNCTION("""COMPUTED_VALUE"""),1)</f>
        <v>1</v>
      </c>
      <c r="Y2042" s="5" t="str">
        <f ca="1">IFERROR(__xludf.DUMMYFUNCTION("""COMPUTED_VALUE"""),"Attempted robbery of victim during lunch break")</f>
        <v>Attempted robbery of victim during lunch break</v>
      </c>
      <c r="Z2042" s="5" t="str">
        <f ca="1">IFERROR(__xludf.DUMMYFUNCTION("""COMPUTED_VALUE"""),"Victim was on lunch break when two men approached and attempted to rob victim of his jacket - when victim fought back, he was shot.")</f>
        <v>Victim was on lunch break when two men approached and attempted to rob victim of his jacket - when victim fought back, he was shot.</v>
      </c>
      <c r="AA2042" s="5" t="str">
        <f ca="1">IFERROR(__xludf.DUMMYFUNCTION("""COMPUTED_VALUE"""),"Illegal Activity")</f>
        <v>Illegal Activity</v>
      </c>
      <c r="AB2042" s="5" t="str">
        <f ca="1">IFERROR(__xludf.DUMMYFUNCTION("""COMPUTED_VALUE"""),"Victims Targeted")</f>
        <v>Victims Targeted</v>
      </c>
      <c r="AC2042" s="5" t="str">
        <f ca="1">IFERROR(__xludf.DUMMYFUNCTION("""COMPUTED_VALUE"""),"No")</f>
        <v>No</v>
      </c>
      <c r="AD2042" s="5" t="str">
        <f ca="1">IFERROR(__xludf.DUMMYFUNCTION("""COMPUTED_VALUE"""),"No")</f>
        <v>No</v>
      </c>
      <c r="AE2042" s="5" t="str">
        <f ca="1">IFERROR(__xludf.DUMMYFUNCTION("""COMPUTED_VALUE"""),"No")</f>
        <v>No</v>
      </c>
      <c r="AF2042" s="5" t="str">
        <f ca="1">IFERROR(__xludf.DUMMYFUNCTION("""COMPUTED_VALUE"""),"No")</f>
        <v>No</v>
      </c>
      <c r="AG2042" s="5" t="str">
        <f ca="1">IFERROR(__xludf.DUMMYFUNCTION("""COMPUTED_VALUE"""),"No")</f>
        <v>No</v>
      </c>
      <c r="AH2042" s="5" t="str">
        <f ca="1">IFERROR(__xludf.DUMMYFUNCTION("""COMPUTED_VALUE"""),"No")</f>
        <v>No</v>
      </c>
      <c r="AI2042" s="5" t="str">
        <f ca="1">IFERROR(__xludf.DUMMYFUNCTION("""COMPUTED_VALUE"""),"No")</f>
        <v>No</v>
      </c>
      <c r="AJ2042" s="5"/>
    </row>
    <row r="2043" spans="1:36" ht="13">
      <c r="A2043" s="5" t="str">
        <f ca="1">IFERROR(__xludf.DUMMYFUNCTION("""COMPUTED_VALUE"""),"19841109CTWIN")</f>
        <v>19841109CTWIN</v>
      </c>
      <c r="B2043" s="5">
        <f ca="1">IFERROR(__xludf.DUMMYFUNCTION("""COMPUTED_VALUE"""),11)</f>
        <v>11</v>
      </c>
      <c r="C2043" s="5">
        <f ca="1">IFERROR(__xludf.DUMMYFUNCTION("""COMPUTED_VALUE"""),9)</f>
        <v>9</v>
      </c>
      <c r="D2043" s="5">
        <f ca="1">IFERROR(__xludf.DUMMYFUNCTION("""COMPUTED_VALUE"""),1984)</f>
        <v>1984</v>
      </c>
      <c r="E2043" s="8">
        <f ca="1">IFERROR(__xludf.DUMMYFUNCTION("""COMPUTED_VALUE"""),30995)</f>
        <v>30995</v>
      </c>
      <c r="F2043" s="5" t="str">
        <f ca="1">IFERROR(__xludf.DUMMYFUNCTION("""COMPUTED_VALUE"""),"Wilbur Cross High School")</f>
        <v>Wilbur Cross High School</v>
      </c>
      <c r="G2043" s="5">
        <f ca="1">IFERROR(__xludf.DUMMYFUNCTION("""COMPUTED_VALUE"""),0)</f>
        <v>0</v>
      </c>
      <c r="H2043" s="5">
        <f ca="1">IFERROR(__xludf.DUMMYFUNCTION("""COMPUTED_VALUE"""),1)</f>
        <v>1</v>
      </c>
      <c r="I2043" s="5">
        <f ca="1">IFERROR(__xludf.DUMMYFUNCTION("""COMPUTED_VALUE"""),1)</f>
        <v>1</v>
      </c>
      <c r="J2043" s="5">
        <f ca="1">IFERROR(__xludf.DUMMYFUNCTION("""COMPUTED_VALUE"""),0)</f>
        <v>0</v>
      </c>
      <c r="K2043" s="9" t="str">
        <f ca="1">IFERROR(__xludf.DUMMYFUNCTION("""COMPUTED_VALUE"""),"https://www.nytimes.com/1994/11/10/nyregion/student-is-shot-at-a-high-school-in-new-haven.html")</f>
        <v>https://www.nytimes.com/1994/11/10/nyregion/student-is-shot-at-a-high-school-in-new-haven.html</v>
      </c>
      <c r="L2043" s="5"/>
      <c r="M2043" s="5"/>
      <c r="N2043" s="5">
        <f ca="1">IFERROR(__xludf.DUMMYFUNCTION("""COMPUTED_VALUE"""),2)</f>
        <v>2</v>
      </c>
      <c r="O2043" s="5" t="str">
        <f ca="1">IFERROR(__xludf.DUMMYFUNCTION("""COMPUTED_VALUE"""),"Fall")</f>
        <v>Fall</v>
      </c>
      <c r="P2043" s="5" t="str">
        <f ca="1">IFERROR(__xludf.DUMMYFUNCTION("""COMPUTED_VALUE"""),"New Haven")</f>
        <v>New Haven</v>
      </c>
      <c r="Q2043" s="5" t="str">
        <f ca="1">IFERROR(__xludf.DUMMYFUNCTION("""COMPUTED_VALUE"""),"CT")</f>
        <v>CT</v>
      </c>
      <c r="R2043" s="5" t="str">
        <f ca="1">IFERROR(__xludf.DUMMYFUNCTION("""COMPUTED_VALUE"""),"High")</f>
        <v>High</v>
      </c>
      <c r="S2043" s="5" t="str">
        <f ca="1">IFERROR(__xludf.DUMMYFUNCTION("""COMPUTED_VALUE"""),"Hallway")</f>
        <v>Hallway</v>
      </c>
      <c r="T2043" s="5" t="str">
        <f ca="1">IFERROR(__xludf.DUMMYFUNCTION("""COMPUTED_VALUE"""),"Inside School Building")</f>
        <v>Inside School Building</v>
      </c>
      <c r="U2043" s="5" t="str">
        <f ca="1">IFERROR(__xludf.DUMMYFUNCTION("""COMPUTED_VALUE"""),"Yes")</f>
        <v>Yes</v>
      </c>
      <c r="V2043" s="5" t="str">
        <f ca="1">IFERROR(__xludf.DUMMYFUNCTION("""COMPUTED_VALUE"""),"School Start")</f>
        <v>School Start</v>
      </c>
      <c r="W2043" s="10">
        <f ca="1">IFERROR(__xludf.DUMMYFUNCTION("""COMPUTED_VALUE"""),0.375)</f>
        <v>0.375</v>
      </c>
      <c r="X2043" s="5">
        <f ca="1">IFERROR(__xludf.DUMMYFUNCTION("""COMPUTED_VALUE"""),1)</f>
        <v>1</v>
      </c>
      <c r="Y2043" s="5" t="str">
        <f ca="1">IFERROR(__xludf.DUMMYFUNCTION("""COMPUTED_VALUE"""),"Student shot during argument with 4 students")</f>
        <v>Student shot during argument with 4 students</v>
      </c>
      <c r="Z2043" s="5" t="str">
        <f ca="1">IFERROR(__xludf.DUMMYFUNCTION("""COMPUTED_VALUE"""),"16YOM student shot during argument in hallway with 4 other students. Shooter was student with frequent disciplinary issues.")</f>
        <v>16YOM student shot during argument in hallway with 4 other students. Shooter was student with frequent disciplinary issues.</v>
      </c>
      <c r="AA2043" s="5" t="str">
        <f ca="1">IFERROR(__xludf.DUMMYFUNCTION("""COMPUTED_VALUE"""),"Escalation of Dispute")</f>
        <v>Escalation of Dispute</v>
      </c>
      <c r="AB2043" s="5" t="str">
        <f ca="1">IFERROR(__xludf.DUMMYFUNCTION("""COMPUTED_VALUE"""),"Victims Targeted")</f>
        <v>Victims Targeted</v>
      </c>
      <c r="AC2043" s="5" t="str">
        <f ca="1">IFERROR(__xludf.DUMMYFUNCTION("""COMPUTED_VALUE"""),"Yes")</f>
        <v>Yes</v>
      </c>
      <c r="AD2043" s="5" t="str">
        <f ca="1">IFERROR(__xludf.DUMMYFUNCTION("""COMPUTED_VALUE"""),"No")</f>
        <v>No</v>
      </c>
      <c r="AE2043" s="5" t="str">
        <f ca="1">IFERROR(__xludf.DUMMYFUNCTION("""COMPUTED_VALUE"""),"No")</f>
        <v>No</v>
      </c>
      <c r="AF2043" s="5" t="str">
        <f ca="1">IFERROR(__xludf.DUMMYFUNCTION("""COMPUTED_VALUE"""),"No")</f>
        <v>No</v>
      </c>
      <c r="AG2043" s="5" t="str">
        <f ca="1">IFERROR(__xludf.DUMMYFUNCTION("""COMPUTED_VALUE"""),"No")</f>
        <v>No</v>
      </c>
      <c r="AH2043" s="5" t="str">
        <f ca="1">IFERROR(__xludf.DUMMYFUNCTION("""COMPUTED_VALUE"""),"No")</f>
        <v>No</v>
      </c>
      <c r="AI2043" s="5" t="str">
        <f ca="1">IFERROR(__xludf.DUMMYFUNCTION("""COMPUTED_VALUE"""),"No")</f>
        <v>No</v>
      </c>
      <c r="AJ2043" s="5"/>
    </row>
    <row r="2044" spans="1:36" ht="13">
      <c r="A2044" s="5" t="str">
        <f ca="1">IFERROR(__xludf.DUMMYFUNCTION("""COMPUTED_VALUE"""),"19841031LAEAG")</f>
        <v>19841031LAEAG</v>
      </c>
      <c r="B2044" s="5">
        <f ca="1">IFERROR(__xludf.DUMMYFUNCTION("""COMPUTED_VALUE"""),10)</f>
        <v>10</v>
      </c>
      <c r="C2044" s="5">
        <f ca="1">IFERROR(__xludf.DUMMYFUNCTION("""COMPUTED_VALUE"""),31)</f>
        <v>31</v>
      </c>
      <c r="D2044" s="5">
        <f ca="1">IFERROR(__xludf.DUMMYFUNCTION("""COMPUTED_VALUE"""),1984)</f>
        <v>1984</v>
      </c>
      <c r="E2044" s="8">
        <f ca="1">IFERROR(__xludf.DUMMYFUNCTION("""COMPUTED_VALUE"""),30986)</f>
        <v>30986</v>
      </c>
      <c r="F2044" s="5" t="str">
        <f ca="1">IFERROR(__xludf.DUMMYFUNCTION("""COMPUTED_VALUE"""),"East Ascension High School")</f>
        <v>East Ascension High School</v>
      </c>
      <c r="G2044" s="5">
        <f ca="1">IFERROR(__xludf.DUMMYFUNCTION("""COMPUTED_VALUE"""),1)</f>
        <v>1</v>
      </c>
      <c r="H2044" s="5">
        <f ca="1">IFERROR(__xludf.DUMMYFUNCTION("""COMPUTED_VALUE"""),0)</f>
        <v>0</v>
      </c>
      <c r="I2044" s="5">
        <f ca="1">IFERROR(__xludf.DUMMYFUNCTION("""COMPUTED_VALUE"""),1)</f>
        <v>1</v>
      </c>
      <c r="J2044" s="5">
        <f ca="1">IFERROR(__xludf.DUMMYFUNCTION("""COMPUTED_VALUE"""),0)</f>
        <v>0</v>
      </c>
      <c r="K2044" s="5" t="str">
        <f ca="1">IFERROR(__xludf.DUMMYFUNCTION("""COMPUTED_VALUE"""),"https://www.newspapers.com/image/217132871/?terms=student%2Bshot   https://www.newspapers.com/image/216328910/?terms=Ascension%2Bhigh%2Bschool  https://www.newspapers.com/image/228533969/?terms=JOSEPH%2BBUCHANAN")</f>
        <v>https://www.newspapers.com/image/217132871/?terms=student%2Bshot   https://www.newspapers.com/image/216328910/?terms=Ascension%2Bhigh%2Bschool  https://www.newspapers.com/image/228533969/?terms=JOSEPH%2BBUCHANAN</v>
      </c>
      <c r="L2044" s="5"/>
      <c r="M2044" s="5"/>
      <c r="N2044" s="5">
        <f ca="1">IFERROR(__xludf.DUMMYFUNCTION("""COMPUTED_VALUE"""),3)</f>
        <v>3</v>
      </c>
      <c r="O2044" s="5" t="str">
        <f ca="1">IFERROR(__xludf.DUMMYFUNCTION("""COMPUTED_VALUE"""),"Fall")</f>
        <v>Fall</v>
      </c>
      <c r="P2044" s="5" t="str">
        <f ca="1">IFERROR(__xludf.DUMMYFUNCTION("""COMPUTED_VALUE"""),"Gonzales")</f>
        <v>Gonzales</v>
      </c>
      <c r="Q2044" s="5" t="str">
        <f ca="1">IFERROR(__xludf.DUMMYFUNCTION("""COMPUTED_VALUE"""),"LA")</f>
        <v>LA</v>
      </c>
      <c r="R2044" s="5" t="str">
        <f ca="1">IFERROR(__xludf.DUMMYFUNCTION("""COMPUTED_VALUE"""),"High")</f>
        <v>High</v>
      </c>
      <c r="S2044" s="5" t="str">
        <f ca="1">IFERROR(__xludf.DUMMYFUNCTION("""COMPUTED_VALUE"""),"Outside on School Property")</f>
        <v>Outside on School Property</v>
      </c>
      <c r="T2044" s="5" t="str">
        <f ca="1">IFERROR(__xludf.DUMMYFUNCTION("""COMPUTED_VALUE"""),"Outside on School Property")</f>
        <v>Outside on School Property</v>
      </c>
      <c r="U2044" s="5" t="str">
        <f ca="1">IFERROR(__xludf.DUMMYFUNCTION("""COMPUTED_VALUE"""),"Yes")</f>
        <v>Yes</v>
      </c>
      <c r="V2044" s="5" t="str">
        <f ca="1">IFERROR(__xludf.DUMMYFUNCTION("""COMPUTED_VALUE"""),"Before School")</f>
        <v>Before School</v>
      </c>
      <c r="W2044" s="10">
        <f ca="1">IFERROR(__xludf.DUMMYFUNCTION("""COMPUTED_VALUE"""),0.354166666666666)</f>
        <v>0.35416666666666602</v>
      </c>
      <c r="X2044" s="5">
        <f ca="1">IFERROR(__xludf.DUMMYFUNCTION("""COMPUTED_VALUE"""),1)</f>
        <v>1</v>
      </c>
      <c r="Y2044" s="5" t="str">
        <f ca="1">IFERROR(__xludf.DUMMYFUNCTION("""COMPUTED_VALUE"""),"Ongoing conflicts with fellow students")</f>
        <v>Ongoing conflicts with fellow students</v>
      </c>
      <c r="Z2044" s="5" t="str">
        <f ca="1">IFERROR(__xludf.DUMMYFUNCTION("""COMPUTED_VALUE"""),"Two students, one white and the other black, didn't get along. White student shot and killed black student.")</f>
        <v>Two students, one white and the other black, didn't get along. White student shot and killed black student.</v>
      </c>
      <c r="AA2044" s="5" t="str">
        <f ca="1">IFERROR(__xludf.DUMMYFUNCTION("""COMPUTED_VALUE"""),"Escalation of Dispute")</f>
        <v>Escalation of Dispute</v>
      </c>
      <c r="AB2044" s="5" t="str">
        <f ca="1">IFERROR(__xludf.DUMMYFUNCTION("""COMPUTED_VALUE"""),"Victims Targeted")</f>
        <v>Victims Targeted</v>
      </c>
      <c r="AC2044" s="5" t="str">
        <f ca="1">IFERROR(__xludf.DUMMYFUNCTION("""COMPUTED_VALUE"""),"No")</f>
        <v>No</v>
      </c>
      <c r="AD2044" s="5" t="str">
        <f ca="1">IFERROR(__xludf.DUMMYFUNCTION("""COMPUTED_VALUE"""),"No")</f>
        <v>No</v>
      </c>
      <c r="AE2044" s="5" t="str">
        <f ca="1">IFERROR(__xludf.DUMMYFUNCTION("""COMPUTED_VALUE"""),"No")</f>
        <v>No</v>
      </c>
      <c r="AF2044" s="5" t="str">
        <f ca="1">IFERROR(__xludf.DUMMYFUNCTION("""COMPUTED_VALUE"""),"No")</f>
        <v>No</v>
      </c>
      <c r="AG2044" s="5" t="str">
        <f ca="1">IFERROR(__xludf.DUMMYFUNCTION("""COMPUTED_VALUE"""),"No")</f>
        <v>No</v>
      </c>
      <c r="AH2044" s="5" t="str">
        <f ca="1">IFERROR(__xludf.DUMMYFUNCTION("""COMPUTED_VALUE"""),"No")</f>
        <v>No</v>
      </c>
      <c r="AI2044" s="5" t="str">
        <f ca="1">IFERROR(__xludf.DUMMYFUNCTION("""COMPUTED_VALUE"""),"No")</f>
        <v>No</v>
      </c>
      <c r="AJ2044" s="5"/>
    </row>
    <row r="2045" spans="1:36" ht="13">
      <c r="A2045" s="5" t="str">
        <f ca="1">IFERROR(__xludf.DUMMYFUNCTION("""COMPUTED_VALUE"""),"19841030SCPEP")</f>
        <v>19841030SCPEP</v>
      </c>
      <c r="B2045" s="5">
        <f ca="1">IFERROR(__xludf.DUMMYFUNCTION("""COMPUTED_VALUE"""),10)</f>
        <v>10</v>
      </c>
      <c r="C2045" s="5">
        <f ca="1">IFERROR(__xludf.DUMMYFUNCTION("""COMPUTED_VALUE"""),30)</f>
        <v>30</v>
      </c>
      <c r="D2045" s="5">
        <f ca="1">IFERROR(__xludf.DUMMYFUNCTION("""COMPUTED_VALUE"""),1984)</f>
        <v>1984</v>
      </c>
      <c r="E2045" s="8">
        <f ca="1">IFERROR(__xludf.DUMMYFUNCTION("""COMPUTED_VALUE"""),30985)</f>
        <v>30985</v>
      </c>
      <c r="F2045" s="5" t="str">
        <f ca="1">IFERROR(__xludf.DUMMYFUNCTION("""COMPUTED_VALUE"""),"Pendleton High School")</f>
        <v>Pendleton High School</v>
      </c>
      <c r="G2045" s="5">
        <f ca="1">IFERROR(__xludf.DUMMYFUNCTION("""COMPUTED_VALUE"""),0)</f>
        <v>0</v>
      </c>
      <c r="H2045" s="5">
        <f ca="1">IFERROR(__xludf.DUMMYFUNCTION("""COMPUTED_VALUE"""),2)</f>
        <v>2</v>
      </c>
      <c r="I2045" s="5">
        <f ca="1">IFERROR(__xludf.DUMMYFUNCTION("""COMPUTED_VALUE"""),2)</f>
        <v>2</v>
      </c>
      <c r="J2045" s="5">
        <f ca="1">IFERROR(__xludf.DUMMYFUNCTION("""COMPUTED_VALUE"""),0)</f>
        <v>0</v>
      </c>
      <c r="K2045" s="9" t="str">
        <f ca="1">IFERROR(__xludf.DUMMYFUNCTION("""COMPUTED_VALUE"""),"https://www.newspapers.com/image/190761964/?terms=teacher%2Bshot")</f>
        <v>https://www.newspapers.com/image/190761964/?terms=teacher%2Bshot</v>
      </c>
      <c r="L2045" s="5"/>
      <c r="M2045" s="5"/>
      <c r="N2045" s="5">
        <f ca="1">IFERROR(__xludf.DUMMYFUNCTION("""COMPUTED_VALUE"""),2)</f>
        <v>2</v>
      </c>
      <c r="O2045" s="5" t="str">
        <f ca="1">IFERROR(__xludf.DUMMYFUNCTION("""COMPUTED_VALUE"""),"Fall")</f>
        <v>Fall</v>
      </c>
      <c r="P2045" s="5" t="str">
        <f ca="1">IFERROR(__xludf.DUMMYFUNCTION("""COMPUTED_VALUE"""),"Pendleton")</f>
        <v>Pendleton</v>
      </c>
      <c r="Q2045" s="5" t="str">
        <f ca="1">IFERROR(__xludf.DUMMYFUNCTION("""COMPUTED_VALUE"""),"SC")</f>
        <v>SC</v>
      </c>
      <c r="R2045" s="5" t="str">
        <f ca="1">IFERROR(__xludf.DUMMYFUNCTION("""COMPUTED_VALUE"""),"High")</f>
        <v>High</v>
      </c>
      <c r="S2045" s="5" t="str">
        <f ca="1">IFERROR(__xludf.DUMMYFUNCTION("""COMPUTED_VALUE"""),"Hallway")</f>
        <v>Hallway</v>
      </c>
      <c r="T2045" s="5" t="str">
        <f ca="1">IFERROR(__xludf.DUMMYFUNCTION("""COMPUTED_VALUE"""),"Inside School Building")</f>
        <v>Inside School Building</v>
      </c>
      <c r="U2045" s="5" t="str">
        <f ca="1">IFERROR(__xludf.DUMMYFUNCTION("""COMPUTED_VALUE"""),"Yes")</f>
        <v>Yes</v>
      </c>
      <c r="V2045" s="5" t="str">
        <f ca="1">IFERROR(__xludf.DUMMYFUNCTION("""COMPUTED_VALUE"""),"Lunch")</f>
        <v>Lunch</v>
      </c>
      <c r="W2045" s="10">
        <f ca="1">IFERROR(__xludf.DUMMYFUNCTION("""COMPUTED_VALUE"""),0.53125)</f>
        <v>0.53125</v>
      </c>
      <c r="X2045" s="5"/>
      <c r="Y2045" s="5" t="str">
        <f ca="1">IFERROR(__xludf.DUMMYFUNCTION("""COMPUTED_VALUE"""),"Shooter at school to see girlfriend - was told to leave, detained, during fight with teachers he shot gun")</f>
        <v>Shooter at school to see girlfriend - was told to leave, detained, during fight with teachers he shot gun</v>
      </c>
      <c r="Z2045" s="5" t="str">
        <f ca="1">IFERROR(__xludf.DUMMYFUNCTION("""COMPUTED_VALUE"""),"Shooter (non student) was at the school to see his girlfriend (student) - School staff told him to leave as no visitors allowed. He ran down hallway and was detained by school staff who call police. While waiting for police, shooter began to fight with te"&amp;"achers, pulled gun from pants and shot three times, one bullet hit teacher in groin. Another teacher injured his hand when he put it in between hammer of gun.")</f>
        <v>Shooter (non student) was at the school to see his girlfriend (student) - School staff told him to leave as no visitors allowed. He ran down hallway and was detained by school staff who call police. While waiting for police, shooter began to fight with teachers, pulled gun from pants and shot three times, one bullet hit teacher in groin. Another teacher injured his hand when he put it in between hammer of gun.</v>
      </c>
      <c r="AA2045" s="5" t="str">
        <f ca="1">IFERROR(__xludf.DUMMYFUNCTION("""COMPUTED_VALUE"""),"Escalation of Dispute")</f>
        <v>Escalation of Dispute</v>
      </c>
      <c r="AB2045" s="5" t="str">
        <f ca="1">IFERROR(__xludf.DUMMYFUNCTION("""COMPUTED_VALUE"""),"Both")</f>
        <v>Both</v>
      </c>
      <c r="AC2045" s="5" t="str">
        <f ca="1">IFERROR(__xludf.DUMMYFUNCTION("""COMPUTED_VALUE"""),"No")</f>
        <v>No</v>
      </c>
      <c r="AD2045" s="5" t="str">
        <f ca="1">IFERROR(__xludf.DUMMYFUNCTION("""COMPUTED_VALUE"""),"No")</f>
        <v>No</v>
      </c>
      <c r="AE2045" s="5" t="str">
        <f ca="1">IFERROR(__xludf.DUMMYFUNCTION("""COMPUTED_VALUE"""),"No")</f>
        <v>No</v>
      </c>
      <c r="AF2045" s="5" t="str">
        <f ca="1">IFERROR(__xludf.DUMMYFUNCTION("""COMPUTED_VALUE"""),"No")</f>
        <v>No</v>
      </c>
      <c r="AG2045" s="5" t="str">
        <f ca="1">IFERROR(__xludf.DUMMYFUNCTION("""COMPUTED_VALUE"""),"No")</f>
        <v>No</v>
      </c>
      <c r="AH2045" s="5" t="str">
        <f ca="1">IFERROR(__xludf.DUMMYFUNCTION("""COMPUTED_VALUE"""),"No")</f>
        <v>No</v>
      </c>
      <c r="AI2045" s="5" t="str">
        <f ca="1">IFERROR(__xludf.DUMMYFUNCTION("""COMPUTED_VALUE"""),"No")</f>
        <v>No</v>
      </c>
      <c r="AJ2045" s="5"/>
    </row>
    <row r="2046" spans="1:36" ht="13">
      <c r="A2046" s="5" t="str">
        <f ca="1">IFERROR(__xludf.DUMMYFUNCTION("""COMPUTED_VALUE"""),"19841024OHWEC")</f>
        <v>19841024OHWEC</v>
      </c>
      <c r="B2046" s="5">
        <f ca="1">IFERROR(__xludf.DUMMYFUNCTION("""COMPUTED_VALUE"""),10)</f>
        <v>10</v>
      </c>
      <c r="C2046" s="5">
        <f ca="1">IFERROR(__xludf.DUMMYFUNCTION("""COMPUTED_VALUE"""),24)</f>
        <v>24</v>
      </c>
      <c r="D2046" s="5">
        <f ca="1">IFERROR(__xludf.DUMMYFUNCTION("""COMPUTED_VALUE"""),1984)</f>
        <v>1984</v>
      </c>
      <c r="E2046" s="8">
        <f ca="1">IFERROR(__xludf.DUMMYFUNCTION("""COMPUTED_VALUE"""),30979)</f>
        <v>30979</v>
      </c>
      <c r="F2046" s="5" t="str">
        <f ca="1">IFERROR(__xludf.DUMMYFUNCTION("""COMPUTED_VALUE"""),"West Elementary School Bus")</f>
        <v>West Elementary School Bus</v>
      </c>
      <c r="G2046" s="5">
        <f ca="1">IFERROR(__xludf.DUMMYFUNCTION("""COMPUTED_VALUE"""),1)</f>
        <v>1</v>
      </c>
      <c r="H2046" s="5">
        <f ca="1">IFERROR(__xludf.DUMMYFUNCTION("""COMPUTED_VALUE"""),0)</f>
        <v>0</v>
      </c>
      <c r="I2046" s="5">
        <f ca="1">IFERROR(__xludf.DUMMYFUNCTION("""COMPUTED_VALUE"""),1)</f>
        <v>1</v>
      </c>
      <c r="J2046" s="5">
        <f ca="1">IFERROR(__xludf.DUMMYFUNCTION("""COMPUTED_VALUE"""),0)</f>
        <v>0</v>
      </c>
      <c r="K2046" s="5" t="str">
        <f ca="1">IFERROR(__xludf.DUMMYFUNCTION("""COMPUTED_VALUE"""),"https://www.newspapers.com/image/264063397/?terms=shirley%2Bshindeldecker   https://www.newspapers.com/image/406769644/?terms=shirley%2Bshindeldecker   https://www.newspapers.com/image/101738015/?terms=shirley%2Bshindeldecker   https://www.newspapers.com/"&amp;"image/406752680/")</f>
        <v>https://www.newspapers.com/image/264063397/?terms=shirley%2Bshindeldecker   https://www.newspapers.com/image/406769644/?terms=shirley%2Bshindeldecker   https://www.newspapers.com/image/101738015/?terms=shirley%2Bshindeldecker   https://www.newspapers.com/image/406752680/</v>
      </c>
      <c r="L2046" s="5">
        <f ca="1">IFERROR(__xludf.DUMMYFUNCTION("""COMPUTED_VALUE"""),2)</f>
        <v>2</v>
      </c>
      <c r="M2046" s="5" t="str">
        <f ca="1">IFERROR(__xludf.DUMMYFUNCTION("""COMPUTED_VALUE"""),"Local")</f>
        <v>Local</v>
      </c>
      <c r="N2046" s="5">
        <f ca="1">IFERROR(__xludf.DUMMYFUNCTION("""COMPUTED_VALUE"""),2)</f>
        <v>2</v>
      </c>
      <c r="O2046" s="5" t="str">
        <f ca="1">IFERROR(__xludf.DUMMYFUNCTION("""COMPUTED_VALUE"""),"Fall")</f>
        <v>Fall</v>
      </c>
      <c r="P2046" s="5" t="str">
        <f ca="1">IFERROR(__xludf.DUMMYFUNCTION("""COMPUTED_VALUE"""),"Celina")</f>
        <v>Celina</v>
      </c>
      <c r="Q2046" s="5" t="str">
        <f ca="1">IFERROR(__xludf.DUMMYFUNCTION("""COMPUTED_VALUE"""),"OH")</f>
        <v>OH</v>
      </c>
      <c r="R2046" s="5" t="str">
        <f ca="1">IFERROR(__xludf.DUMMYFUNCTION("""COMPUTED_VALUE"""),"Elementary")</f>
        <v>Elementary</v>
      </c>
      <c r="S2046" s="5" t="str">
        <f ca="1">IFERROR(__xludf.DUMMYFUNCTION("""COMPUTED_VALUE"""),"School Bus")</f>
        <v>School Bus</v>
      </c>
      <c r="T2046" s="5" t="str">
        <f ca="1">IFERROR(__xludf.DUMMYFUNCTION("""COMPUTED_VALUE"""),"School Bus")</f>
        <v>School Bus</v>
      </c>
      <c r="U2046" s="5" t="str">
        <f ca="1">IFERROR(__xludf.DUMMYFUNCTION("""COMPUTED_VALUE"""),"No")</f>
        <v>No</v>
      </c>
      <c r="V2046" s="5" t="str">
        <f ca="1">IFERROR(__xludf.DUMMYFUNCTION("""COMPUTED_VALUE"""),"Before School")</f>
        <v>Before School</v>
      </c>
      <c r="W2046" s="5"/>
      <c r="X2046" s="5"/>
      <c r="Y2046" s="5" t="str">
        <f ca="1">IFERROR(__xludf.DUMMYFUNCTION("""COMPUTED_VALUE"""),"Female shooter killed bus driver, fired multiple shots at the bus, and rammed the bus with her car multiple times as a result of a custody dispute")</f>
        <v>Female shooter killed bus driver, fired multiple shots at the bus, and rammed the bus with her car multiple times as a result of a custody dispute</v>
      </c>
      <c r="Z2046" s="5" t="str">
        <f ca="1">IFERROR(__xludf.DUMMYFUNCTION("""COMPUTED_VALUE"""),"Shooter (student's mother) had lost custody of child. While child was getting on the school bus, the mother attempted to get on the bus and take him. The bus driver tried to stop her and she shot the bus driver. The shooter's former brother-in-law jumped "&amp;"on the bus and started to drive it away. The shooter fired multiple shots breaking the windows. Father drove the bus to the police station. Shooter rammed the bus multiple times with her car but was unable to stop it. Shooter fled but later arrested after"&amp;" being stopped for drunk driving later. Shooter found not guilty due to insanity.")</f>
        <v>Shooter (student's mother) had lost custody of child. While child was getting on the school bus, the mother attempted to get on the bus and take him. The bus driver tried to stop her and she shot the bus driver. The shooter's former brother-in-law jumped on the bus and started to drive it away. The shooter fired multiple shots breaking the windows. Father drove the bus to the police station. Shooter rammed the bus multiple times with her car but was unable to stop it. Shooter fled but later arrested after being stopped for drunk driving later. Shooter found not guilty due to insanity.</v>
      </c>
      <c r="AA2046" s="5" t="str">
        <f ca="1">IFERROR(__xludf.DUMMYFUNCTION("""COMPUTED_VALUE"""),"Domestic w/ Targeted Victim")</f>
        <v>Domestic w/ Targeted Victim</v>
      </c>
      <c r="AB2046" s="5" t="str">
        <f ca="1">IFERROR(__xludf.DUMMYFUNCTION("""COMPUTED_VALUE"""),"Victims Targeted")</f>
        <v>Victims Targeted</v>
      </c>
      <c r="AC2046" s="5" t="str">
        <f ca="1">IFERROR(__xludf.DUMMYFUNCTION("""COMPUTED_VALUE"""),"No")</f>
        <v>No</v>
      </c>
      <c r="AD2046" s="5" t="str">
        <f ca="1">IFERROR(__xludf.DUMMYFUNCTION("""COMPUTED_VALUE"""),"No")</f>
        <v>No</v>
      </c>
      <c r="AE2046" s="5" t="str">
        <f ca="1">IFERROR(__xludf.DUMMYFUNCTION("""COMPUTED_VALUE"""),"No")</f>
        <v>No</v>
      </c>
      <c r="AF2046" s="5" t="str">
        <f ca="1">IFERROR(__xludf.DUMMYFUNCTION("""COMPUTED_VALUE"""),"No")</f>
        <v>No</v>
      </c>
      <c r="AG2046" s="5" t="str">
        <f ca="1">IFERROR(__xludf.DUMMYFUNCTION("""COMPUTED_VALUE"""),"No")</f>
        <v>No</v>
      </c>
      <c r="AH2046" s="5" t="str">
        <f ca="1">IFERROR(__xludf.DUMMYFUNCTION("""COMPUTED_VALUE"""),"Yes")</f>
        <v>Yes</v>
      </c>
      <c r="AI2046" s="5" t="str">
        <f ca="1">IFERROR(__xludf.DUMMYFUNCTION("""COMPUTED_VALUE"""),"No")</f>
        <v>No</v>
      </c>
      <c r="AJ2046" s="5"/>
    </row>
    <row r="2047" spans="1:36" ht="13">
      <c r="A2047" s="5" t="str">
        <f ca="1">IFERROR(__xludf.DUMMYFUNCTION("""COMPUTED_VALUE"""),"19841024MISOD")</f>
        <v>19841024MISOD</v>
      </c>
      <c r="B2047" s="5">
        <f ca="1">IFERROR(__xludf.DUMMYFUNCTION("""COMPUTED_VALUE"""),10)</f>
        <v>10</v>
      </c>
      <c r="C2047" s="5">
        <f ca="1">IFERROR(__xludf.DUMMYFUNCTION("""COMPUTED_VALUE"""),24)</f>
        <v>24</v>
      </c>
      <c r="D2047" s="5">
        <f ca="1">IFERROR(__xludf.DUMMYFUNCTION("""COMPUTED_VALUE"""),1984)</f>
        <v>1984</v>
      </c>
      <c r="E2047" s="8">
        <f ca="1">IFERROR(__xludf.DUMMYFUNCTION("""COMPUTED_VALUE"""),30979)</f>
        <v>30979</v>
      </c>
      <c r="F2047" s="5" t="str">
        <f ca="1">IFERROR(__xludf.DUMMYFUNCTION("""COMPUTED_VALUE"""),"Southeastern High School")</f>
        <v>Southeastern High School</v>
      </c>
      <c r="G2047" s="5">
        <f ca="1">IFERROR(__xludf.DUMMYFUNCTION("""COMPUTED_VALUE"""),0)</f>
        <v>0</v>
      </c>
      <c r="H2047" s="5">
        <f ca="1">IFERROR(__xludf.DUMMYFUNCTION("""COMPUTED_VALUE"""),1)</f>
        <v>1</v>
      </c>
      <c r="I2047" s="5">
        <f ca="1">IFERROR(__xludf.DUMMYFUNCTION("""COMPUTED_VALUE"""),1)</f>
        <v>1</v>
      </c>
      <c r="J2047" s="5">
        <f ca="1">IFERROR(__xludf.DUMMYFUNCTION("""COMPUTED_VALUE"""),0)</f>
        <v>0</v>
      </c>
      <c r="K2047" s="5" t="str">
        <f ca="1">IFERROR(__xludf.DUMMYFUNCTION("""COMPUTED_VALUE"""),"https://www.newspapers.com/image/99118139/?terms=student%2Bshot    https://www.newspapers.com/image/99118337/?terms=franklin%2Bross")</f>
        <v>https://www.newspapers.com/image/99118139/?terms=student%2Bshot    https://www.newspapers.com/image/99118337/?terms=franklin%2Bross</v>
      </c>
      <c r="L2047" s="5"/>
      <c r="M2047" s="5"/>
      <c r="N2047" s="5">
        <f ca="1">IFERROR(__xludf.DUMMYFUNCTION("""COMPUTED_VALUE"""),3)</f>
        <v>3</v>
      </c>
      <c r="O2047" s="5" t="str">
        <f ca="1">IFERROR(__xludf.DUMMYFUNCTION("""COMPUTED_VALUE"""),"Fall")</f>
        <v>Fall</v>
      </c>
      <c r="P2047" s="5" t="str">
        <f ca="1">IFERROR(__xludf.DUMMYFUNCTION("""COMPUTED_VALUE"""),"Detroit")</f>
        <v>Detroit</v>
      </c>
      <c r="Q2047" s="5" t="str">
        <f ca="1">IFERROR(__xludf.DUMMYFUNCTION("""COMPUTED_VALUE"""),"MI")</f>
        <v>MI</v>
      </c>
      <c r="R2047" s="5" t="str">
        <f ca="1">IFERROR(__xludf.DUMMYFUNCTION("""COMPUTED_VALUE"""),"High")</f>
        <v>High</v>
      </c>
      <c r="S2047" s="5" t="str">
        <f ca="1">IFERROR(__xludf.DUMMYFUNCTION("""COMPUTED_VALUE"""),"Hallway")</f>
        <v>Hallway</v>
      </c>
      <c r="T2047" s="5" t="str">
        <f ca="1">IFERROR(__xludf.DUMMYFUNCTION("""COMPUTED_VALUE"""),"Inside School Building")</f>
        <v>Inside School Building</v>
      </c>
      <c r="U2047" s="5" t="str">
        <f ca="1">IFERROR(__xludf.DUMMYFUNCTION("""COMPUTED_VALUE"""),"Yes")</f>
        <v>Yes</v>
      </c>
      <c r="V2047" s="5" t="str">
        <f ca="1">IFERROR(__xludf.DUMMYFUNCTION("""COMPUTED_VALUE"""),"Morning Classes")</f>
        <v>Morning Classes</v>
      </c>
      <c r="W2047" s="10">
        <f ca="1">IFERROR(__xludf.DUMMYFUNCTION("""COMPUTED_VALUE"""),0.472222222222222)</f>
        <v>0.47222222222222199</v>
      </c>
      <c r="X2047" s="5">
        <f ca="1">IFERROR(__xludf.DUMMYFUNCTION("""COMPUTED_VALUE"""),1)</f>
        <v>1</v>
      </c>
      <c r="Y2047" s="5" t="str">
        <f ca="1">IFERROR(__xludf.DUMMYFUNCTION("""COMPUTED_VALUE"""),"Victim and shooter involved in fight  - gun falls from pants - accidental discharge - strikes victim in leg")</f>
        <v>Victim and shooter involved in fight  - gun falls from pants - accidental discharge - strikes victim in leg</v>
      </c>
      <c r="Z2047" s="5" t="str">
        <f ca="1">IFERROR(__xludf.DUMMYFUNCTION("""COMPUTED_VALUE"""),"Shooter and victim were involved in a fight, when security officer tried to break up, gun fell from pants of shooter, hit foot of security guard and discharged striking victim in thigh")</f>
        <v>Shooter and victim were involved in a fight, when security officer tried to break up, gun fell from pants of shooter, hit foot of security guard and discharged striking victim in thigh</v>
      </c>
      <c r="AA2047" s="5" t="str">
        <f ca="1">IFERROR(__xludf.DUMMYFUNCTION("""COMPUTED_VALUE"""),"Accidental")</f>
        <v>Accidental</v>
      </c>
      <c r="AB2047" s="5" t="str">
        <f ca="1">IFERROR(__xludf.DUMMYFUNCTION("""COMPUTED_VALUE"""),"Random Shooting")</f>
        <v>Random Shooting</v>
      </c>
      <c r="AC2047" s="5"/>
      <c r="AD2047" s="5" t="str">
        <f ca="1">IFERROR(__xludf.DUMMYFUNCTION("""COMPUTED_VALUE"""),"No")</f>
        <v>No</v>
      </c>
      <c r="AE2047" s="5" t="str">
        <f ca="1">IFERROR(__xludf.DUMMYFUNCTION("""COMPUTED_VALUE"""),"No")</f>
        <v>No</v>
      </c>
      <c r="AF2047" s="5" t="str">
        <f ca="1">IFERROR(__xludf.DUMMYFUNCTION("""COMPUTED_VALUE"""),"No")</f>
        <v>No</v>
      </c>
      <c r="AG2047" s="5" t="str">
        <f ca="1">IFERROR(__xludf.DUMMYFUNCTION("""COMPUTED_VALUE"""),"No")</f>
        <v>No</v>
      </c>
      <c r="AH2047" s="5" t="str">
        <f ca="1">IFERROR(__xludf.DUMMYFUNCTION("""COMPUTED_VALUE"""),"No")</f>
        <v>No</v>
      </c>
      <c r="AI2047" s="5" t="str">
        <f ca="1">IFERROR(__xludf.DUMMYFUNCTION("""COMPUTED_VALUE"""),"No")</f>
        <v>No</v>
      </c>
      <c r="AJ2047" s="5"/>
    </row>
    <row r="2048" spans="1:36" ht="13">
      <c r="A2048" s="5" t="str">
        <f ca="1">IFERROR(__xludf.DUMMYFUNCTION("""COMPUTED_VALUE"""),"19841022MICED")</f>
        <v>19841022MICED</v>
      </c>
      <c r="B2048" s="5">
        <f ca="1">IFERROR(__xludf.DUMMYFUNCTION("""COMPUTED_VALUE"""),10)</f>
        <v>10</v>
      </c>
      <c r="C2048" s="5">
        <f ca="1">IFERROR(__xludf.DUMMYFUNCTION("""COMPUTED_VALUE"""),22)</f>
        <v>22</v>
      </c>
      <c r="D2048" s="5">
        <f ca="1">IFERROR(__xludf.DUMMYFUNCTION("""COMPUTED_VALUE"""),1984)</f>
        <v>1984</v>
      </c>
      <c r="E2048" s="8">
        <f ca="1">IFERROR(__xludf.DUMMYFUNCTION("""COMPUTED_VALUE"""),30977)</f>
        <v>30977</v>
      </c>
      <c r="F2048" s="5" t="str">
        <f ca="1">IFERROR(__xludf.DUMMYFUNCTION("""COMPUTED_VALUE"""),"Central High School")</f>
        <v>Central High School</v>
      </c>
      <c r="G2048" s="5">
        <f ca="1">IFERROR(__xludf.DUMMYFUNCTION("""COMPUTED_VALUE"""),0)</f>
        <v>0</v>
      </c>
      <c r="H2048" s="5">
        <f ca="1">IFERROR(__xludf.DUMMYFUNCTION("""COMPUTED_VALUE"""),2)</f>
        <v>2</v>
      </c>
      <c r="I2048" s="5">
        <f ca="1">IFERROR(__xludf.DUMMYFUNCTION("""COMPUTED_VALUE"""),2)</f>
        <v>2</v>
      </c>
      <c r="J2048" s="5">
        <f ca="1">IFERROR(__xludf.DUMMYFUNCTION("""COMPUTED_VALUE"""),0)</f>
        <v>0</v>
      </c>
      <c r="K2048" s="5" t="str">
        <f ca="1">IFERROR(__xludf.DUMMYFUNCTION("""COMPUTED_VALUE"""),"https://www.newspapers.com/image/99117245/?terms=roscoe%2Bpenny  https://www.newspapers.com/image/99118337/?terms=roscoe%2Bpenny")</f>
        <v>https://www.newspapers.com/image/99117245/?terms=roscoe%2Bpenny  https://www.newspapers.com/image/99118337/?terms=roscoe%2Bpenny</v>
      </c>
      <c r="L2048" s="5"/>
      <c r="M2048" s="5"/>
      <c r="N2048" s="5">
        <f ca="1">IFERROR(__xludf.DUMMYFUNCTION("""COMPUTED_VALUE"""),3)</f>
        <v>3</v>
      </c>
      <c r="O2048" s="5" t="str">
        <f ca="1">IFERROR(__xludf.DUMMYFUNCTION("""COMPUTED_VALUE"""),"Fall")</f>
        <v>Fall</v>
      </c>
      <c r="P2048" s="5" t="str">
        <f ca="1">IFERROR(__xludf.DUMMYFUNCTION("""COMPUTED_VALUE"""),"Detroit")</f>
        <v>Detroit</v>
      </c>
      <c r="Q2048" s="5" t="str">
        <f ca="1">IFERROR(__xludf.DUMMYFUNCTION("""COMPUTED_VALUE"""),"MI")</f>
        <v>MI</v>
      </c>
      <c r="R2048" s="5" t="str">
        <f ca="1">IFERROR(__xludf.DUMMYFUNCTION("""COMPUTED_VALUE"""),"High")</f>
        <v>High</v>
      </c>
      <c r="S2048" s="5" t="str">
        <f ca="1">IFERROR(__xludf.DUMMYFUNCTION("""COMPUTED_VALUE"""),"Hallway")</f>
        <v>Hallway</v>
      </c>
      <c r="T2048" s="5" t="str">
        <f ca="1">IFERROR(__xludf.DUMMYFUNCTION("""COMPUTED_VALUE"""),"Inside School Building")</f>
        <v>Inside School Building</v>
      </c>
      <c r="U2048" s="5" t="str">
        <f ca="1">IFERROR(__xludf.DUMMYFUNCTION("""COMPUTED_VALUE"""),"Yes")</f>
        <v>Yes</v>
      </c>
      <c r="V2048" s="5" t="str">
        <f ca="1">IFERROR(__xludf.DUMMYFUNCTION("""COMPUTED_VALUE"""),"Afternoon Classes")</f>
        <v>Afternoon Classes</v>
      </c>
      <c r="W2048" s="10">
        <f ca="1">IFERROR(__xludf.DUMMYFUNCTION("""COMPUTED_VALUE"""),0.559027777777777)</f>
        <v>0.55902777777777701</v>
      </c>
      <c r="X2048" s="5">
        <f ca="1">IFERROR(__xludf.DUMMYFUNCTION("""COMPUTED_VALUE"""),1)</f>
        <v>1</v>
      </c>
      <c r="Y2048" s="5" t="str">
        <f ca="1">IFERROR(__xludf.DUMMYFUNCTION("""COMPUTED_VALUE"""),"Victims accidentally shot while watching fight at school")</f>
        <v>Victims accidentally shot while watching fight at school</v>
      </c>
      <c r="Z2048" s="5" t="str">
        <f ca="1">IFERROR(__xludf.DUMMYFUNCTION("""COMPUTED_VALUE"""),"Two victims were watching fight at school, when one of the fighters pulled a gun and began shooting striking both victims - suspect later caught.")</f>
        <v>Two victims were watching fight at school, when one of the fighters pulled a gun and began shooting striking both victims - suspect later caught.</v>
      </c>
      <c r="AA2048" s="5" t="str">
        <f ca="1">IFERROR(__xludf.DUMMYFUNCTION("""COMPUTED_VALUE"""),"Escalation of Dispute")</f>
        <v>Escalation of Dispute</v>
      </c>
      <c r="AB2048" s="5" t="str">
        <f ca="1">IFERROR(__xludf.DUMMYFUNCTION("""COMPUTED_VALUE"""),"Random Shooting")</f>
        <v>Random Shooting</v>
      </c>
      <c r="AC2048" s="5" t="str">
        <f ca="1">IFERROR(__xludf.DUMMYFUNCTION("""COMPUTED_VALUE"""),"No")</f>
        <v>No</v>
      </c>
      <c r="AD2048" s="5" t="str">
        <f ca="1">IFERROR(__xludf.DUMMYFUNCTION("""COMPUTED_VALUE"""),"No")</f>
        <v>No</v>
      </c>
      <c r="AE2048" s="5" t="str">
        <f ca="1">IFERROR(__xludf.DUMMYFUNCTION("""COMPUTED_VALUE"""),"No")</f>
        <v>No</v>
      </c>
      <c r="AF2048" s="5" t="str">
        <f ca="1">IFERROR(__xludf.DUMMYFUNCTION("""COMPUTED_VALUE"""),"No")</f>
        <v>No</v>
      </c>
      <c r="AG2048" s="5" t="str">
        <f ca="1">IFERROR(__xludf.DUMMYFUNCTION("""COMPUTED_VALUE"""),"No")</f>
        <v>No</v>
      </c>
      <c r="AH2048" s="5" t="str">
        <f ca="1">IFERROR(__xludf.DUMMYFUNCTION("""COMPUTED_VALUE"""),"No")</f>
        <v>No</v>
      </c>
      <c r="AI2048" s="5" t="str">
        <f ca="1">IFERROR(__xludf.DUMMYFUNCTION("""COMPUTED_VALUE"""),"No")</f>
        <v>No</v>
      </c>
      <c r="AJ2048" s="5"/>
    </row>
    <row r="2049" spans="1:36" ht="13">
      <c r="A2049" s="5" t="str">
        <f ca="1">IFERROR(__xludf.DUMMYFUNCTION("""COMPUTED_VALUE"""),"19841021PAWYE")</f>
        <v>19841021PAWYE</v>
      </c>
      <c r="B2049" s="5">
        <f ca="1">IFERROR(__xludf.DUMMYFUNCTION("""COMPUTED_VALUE"""),10)</f>
        <v>10</v>
      </c>
      <c r="C2049" s="5">
        <f ca="1">IFERROR(__xludf.DUMMYFUNCTION("""COMPUTED_VALUE"""),21)</f>
        <v>21</v>
      </c>
      <c r="D2049" s="5">
        <f ca="1">IFERROR(__xludf.DUMMYFUNCTION("""COMPUTED_VALUE"""),1984)</f>
        <v>1984</v>
      </c>
      <c r="E2049" s="8">
        <f ca="1">IFERROR(__xludf.DUMMYFUNCTION("""COMPUTED_VALUE"""),30976)</f>
        <v>30976</v>
      </c>
      <c r="F2049" s="5" t="str">
        <f ca="1">IFERROR(__xludf.DUMMYFUNCTION("""COMPUTED_VALUE"""),"Wyoming Area High School")</f>
        <v>Wyoming Area High School</v>
      </c>
      <c r="G2049" s="5">
        <f ca="1">IFERROR(__xludf.DUMMYFUNCTION("""COMPUTED_VALUE"""),0)</f>
        <v>0</v>
      </c>
      <c r="H2049" s="5">
        <f ca="1">IFERROR(__xludf.DUMMYFUNCTION("""COMPUTED_VALUE"""),1)</f>
        <v>1</v>
      </c>
      <c r="I2049" s="5">
        <f ca="1">IFERROR(__xludf.DUMMYFUNCTION("""COMPUTED_VALUE"""),1)</f>
        <v>1</v>
      </c>
      <c r="J2049" s="5">
        <f ca="1">IFERROR(__xludf.DUMMYFUNCTION("""COMPUTED_VALUE"""),0)</f>
        <v>0</v>
      </c>
      <c r="K2049" s="9" t="str">
        <f ca="1">IFERROR(__xludf.DUMMYFUNCTION("""COMPUTED_VALUE"""),"https://www.newspapers.com/image/426484373/?terms=student%2Bshot")</f>
        <v>https://www.newspapers.com/image/426484373/?terms=student%2Bshot</v>
      </c>
      <c r="L2049" s="5"/>
      <c r="M2049" s="5"/>
      <c r="N2049" s="5">
        <f ca="1">IFERROR(__xludf.DUMMYFUNCTION("""COMPUTED_VALUE"""),2)</f>
        <v>2</v>
      </c>
      <c r="O2049" s="5" t="str">
        <f ca="1">IFERROR(__xludf.DUMMYFUNCTION("""COMPUTED_VALUE"""),"Fall")</f>
        <v>Fall</v>
      </c>
      <c r="P2049" s="5" t="str">
        <f ca="1">IFERROR(__xludf.DUMMYFUNCTION("""COMPUTED_VALUE"""),"Exeter")</f>
        <v>Exeter</v>
      </c>
      <c r="Q2049" s="5" t="str">
        <f ca="1">IFERROR(__xludf.DUMMYFUNCTION("""COMPUTED_VALUE"""),"PA")</f>
        <v>PA</v>
      </c>
      <c r="R2049" s="5" t="str">
        <f ca="1">IFERROR(__xludf.DUMMYFUNCTION("""COMPUTED_VALUE"""),"High")</f>
        <v>High</v>
      </c>
      <c r="S2049" s="5" t="str">
        <f ca="1">IFERROR(__xludf.DUMMYFUNCTION("""COMPUTED_VALUE"""),"Field (General)")</f>
        <v>Field (General)</v>
      </c>
      <c r="T2049" s="5" t="str">
        <f ca="1">IFERROR(__xludf.DUMMYFUNCTION("""COMPUTED_VALUE"""),"Outside on School Property")</f>
        <v>Outside on School Property</v>
      </c>
      <c r="U2049" s="5" t="str">
        <f ca="1">IFERROR(__xludf.DUMMYFUNCTION("""COMPUTED_VALUE"""),"No")</f>
        <v>No</v>
      </c>
      <c r="V2049" s="5" t="str">
        <f ca="1">IFERROR(__xludf.DUMMYFUNCTION("""COMPUTED_VALUE"""),"Sport Event")</f>
        <v>Sport Event</v>
      </c>
      <c r="W2049" s="5"/>
      <c r="X2049" s="5">
        <f ca="1">IFERROR(__xludf.DUMMYFUNCTION("""COMPUTED_VALUE"""),1)</f>
        <v>1</v>
      </c>
      <c r="Y2049" s="5" t="str">
        <f ca="1">IFERROR(__xludf.DUMMYFUNCTION("""COMPUTED_VALUE"""),"Victim shot with pellet gun while practicing with drill team on high school field")</f>
        <v>Victim shot with pellet gun while practicing with drill team on high school field</v>
      </c>
      <c r="Z2049" s="5" t="str">
        <f ca="1">IFERROR(__xludf.DUMMYFUNCTION("""COMPUTED_VALUE"""),"Victim was practicing with her drill team on the high school field when she was shot with a pellet gun by unknown shooter.")</f>
        <v>Victim was practicing with her drill team on the high school field when she was shot with a pellet gun by unknown shooter.</v>
      </c>
      <c r="AA2049" s="5" t="str">
        <f ca="1">IFERROR(__xludf.DUMMYFUNCTION("""COMPUTED_VALUE"""),"Unknown")</f>
        <v>Unknown</v>
      </c>
      <c r="AB2049" s="5"/>
      <c r="AC2049" s="5" t="str">
        <f ca="1">IFERROR(__xludf.DUMMYFUNCTION("""COMPUTED_VALUE"""),"No")</f>
        <v>No</v>
      </c>
      <c r="AD2049" s="5" t="str">
        <f ca="1">IFERROR(__xludf.DUMMYFUNCTION("""COMPUTED_VALUE"""),"No")</f>
        <v>No</v>
      </c>
      <c r="AE2049" s="5" t="str">
        <f ca="1">IFERROR(__xludf.DUMMYFUNCTION("""COMPUTED_VALUE"""),"No")</f>
        <v>No</v>
      </c>
      <c r="AF2049" s="5" t="str">
        <f ca="1">IFERROR(__xludf.DUMMYFUNCTION("""COMPUTED_VALUE"""),"No")</f>
        <v>No</v>
      </c>
      <c r="AG2049" s="5" t="str">
        <f ca="1">IFERROR(__xludf.DUMMYFUNCTION("""COMPUTED_VALUE"""),"No")</f>
        <v>No</v>
      </c>
      <c r="AH2049" s="5" t="str">
        <f ca="1">IFERROR(__xludf.DUMMYFUNCTION("""COMPUTED_VALUE"""),"No")</f>
        <v>No</v>
      </c>
      <c r="AI2049" s="5" t="str">
        <f ca="1">IFERROR(__xludf.DUMMYFUNCTION("""COMPUTED_VALUE"""),"No")</f>
        <v>No</v>
      </c>
      <c r="AJ2049" s="5"/>
    </row>
    <row r="2050" spans="1:36" ht="13">
      <c r="A2050" s="5" t="str">
        <f ca="1">IFERROR(__xludf.DUMMYFUNCTION("""COMPUTED_VALUE"""),"19840928TXMIH")</f>
        <v>19840928TXMIH</v>
      </c>
      <c r="B2050" s="5">
        <f ca="1">IFERROR(__xludf.DUMMYFUNCTION("""COMPUTED_VALUE"""),9)</f>
        <v>9</v>
      </c>
      <c r="C2050" s="5">
        <f ca="1">IFERROR(__xludf.DUMMYFUNCTION("""COMPUTED_VALUE"""),28)</f>
        <v>28</v>
      </c>
      <c r="D2050" s="5">
        <f ca="1">IFERROR(__xludf.DUMMYFUNCTION("""COMPUTED_VALUE"""),1984)</f>
        <v>1984</v>
      </c>
      <c r="E2050" s="8">
        <f ca="1">IFERROR(__xludf.DUMMYFUNCTION("""COMPUTED_VALUE"""),30953)</f>
        <v>30953</v>
      </c>
      <c r="F2050" s="5" t="str">
        <f ca="1">IFERROR(__xludf.DUMMYFUNCTION("""COMPUTED_VALUE"""),"Millsap Elementary School")</f>
        <v>Millsap Elementary School</v>
      </c>
      <c r="G2050" s="5">
        <f ca="1">IFERROR(__xludf.DUMMYFUNCTION("""COMPUTED_VALUE"""),0)</f>
        <v>0</v>
      </c>
      <c r="H2050" s="5">
        <f ca="1">IFERROR(__xludf.DUMMYFUNCTION("""COMPUTED_VALUE"""),1)</f>
        <v>1</v>
      </c>
      <c r="I2050" s="5">
        <f ca="1">IFERROR(__xludf.DUMMYFUNCTION("""COMPUTED_VALUE"""),1)</f>
        <v>1</v>
      </c>
      <c r="J2050" s="5">
        <f ca="1">IFERROR(__xludf.DUMMYFUNCTION("""COMPUTED_VALUE"""),0)</f>
        <v>0</v>
      </c>
      <c r="K2050" s="9" t="str">
        <f ca="1">IFERROR(__xludf.DUMMYFUNCTION("""COMPUTED_VALUE"""),"https://www.newspapers.com/image/218042406/?terms=student%2Bshot")</f>
        <v>https://www.newspapers.com/image/218042406/?terms=student%2Bshot</v>
      </c>
      <c r="L2050" s="5"/>
      <c r="M2050" s="5"/>
      <c r="N2050" s="5">
        <f ca="1">IFERROR(__xludf.DUMMYFUNCTION("""COMPUTED_VALUE"""),2)</f>
        <v>2</v>
      </c>
      <c r="O2050" s="5" t="str">
        <f ca="1">IFERROR(__xludf.DUMMYFUNCTION("""COMPUTED_VALUE"""),"Fall")</f>
        <v>Fall</v>
      </c>
      <c r="P2050" s="5" t="str">
        <f ca="1">IFERROR(__xludf.DUMMYFUNCTION("""COMPUTED_VALUE"""),"Houston")</f>
        <v>Houston</v>
      </c>
      <c r="Q2050" s="5" t="str">
        <f ca="1">IFERROR(__xludf.DUMMYFUNCTION("""COMPUTED_VALUE"""),"TX")</f>
        <v>TX</v>
      </c>
      <c r="R2050" s="5" t="str">
        <f ca="1">IFERROR(__xludf.DUMMYFUNCTION("""COMPUTED_VALUE"""),"Elementary")</f>
        <v>Elementary</v>
      </c>
      <c r="S2050" s="5" t="str">
        <f ca="1">IFERROR(__xludf.DUMMYFUNCTION("""COMPUTED_VALUE"""),"Front of School")</f>
        <v>Front of School</v>
      </c>
      <c r="T2050" s="5" t="str">
        <f ca="1">IFERROR(__xludf.DUMMYFUNCTION("""COMPUTED_VALUE"""),"Outside on School Property")</f>
        <v>Outside on School Property</v>
      </c>
      <c r="U2050" s="5" t="str">
        <f ca="1">IFERROR(__xludf.DUMMYFUNCTION("""COMPUTED_VALUE"""),"Yes")</f>
        <v>Yes</v>
      </c>
      <c r="V2050" s="5" t="str">
        <f ca="1">IFERROR(__xludf.DUMMYFUNCTION("""COMPUTED_VALUE"""),"Before School")</f>
        <v>Before School</v>
      </c>
      <c r="W2050" s="10">
        <f ca="1">IFERROR(__xludf.DUMMYFUNCTION("""COMPUTED_VALUE"""),0.361111111111111)</f>
        <v>0.36111111111111099</v>
      </c>
      <c r="X2050" s="5">
        <f ca="1">IFERROR(__xludf.DUMMYFUNCTION("""COMPUTED_VALUE"""),1)</f>
        <v>1</v>
      </c>
      <c r="Y2050" s="5" t="str">
        <f ca="1">IFERROR(__xludf.DUMMYFUNCTION("""COMPUTED_VALUE"""),"Unknown shooter shot 5 grader raising flag at school")</f>
        <v>Unknown shooter shot 5 grader raising flag at school</v>
      </c>
      <c r="Z2050" s="5" t="str">
        <f ca="1">IFERROR(__xludf.DUMMYFUNCTION("""COMPUTED_VALUE"""),"5th grade student was shot by high powered rifle while raising flag outside schoolhouse by an unknown shooter. approximately. 15 minutes later a seventh grade boys was shot at while walking to his junior high school about 5 miles away from first shooting."&amp;" No suspect identified.")</f>
        <v>5th grade student was shot by high powered rifle while raising flag outside schoolhouse by an unknown shooter. approximately. 15 minutes later a seventh grade boys was shot at while walking to his junior high school about 5 miles away from first shooting. No suspect identified.</v>
      </c>
      <c r="AA2050" s="5" t="str">
        <f ca="1">IFERROR(__xludf.DUMMYFUNCTION("""COMPUTED_VALUE"""),"Indiscriminate Shooting")</f>
        <v>Indiscriminate Shooting</v>
      </c>
      <c r="AB2050" s="5" t="str">
        <f ca="1">IFERROR(__xludf.DUMMYFUNCTION("""COMPUTED_VALUE"""),"Random Shooting")</f>
        <v>Random Shooting</v>
      </c>
      <c r="AC2050" s="5" t="str">
        <f ca="1">IFERROR(__xludf.DUMMYFUNCTION("""COMPUTED_VALUE"""),"No")</f>
        <v>No</v>
      </c>
      <c r="AD2050" s="5" t="str">
        <f ca="1">IFERROR(__xludf.DUMMYFUNCTION("""COMPUTED_VALUE"""),"No")</f>
        <v>No</v>
      </c>
      <c r="AE2050" s="5" t="str">
        <f ca="1">IFERROR(__xludf.DUMMYFUNCTION("""COMPUTED_VALUE"""),"No")</f>
        <v>No</v>
      </c>
      <c r="AF2050" s="5" t="str">
        <f ca="1">IFERROR(__xludf.DUMMYFUNCTION("""COMPUTED_VALUE"""),"No")</f>
        <v>No</v>
      </c>
      <c r="AG2050" s="5" t="str">
        <f ca="1">IFERROR(__xludf.DUMMYFUNCTION("""COMPUTED_VALUE"""),"No")</f>
        <v>No</v>
      </c>
      <c r="AH2050" s="5" t="str">
        <f ca="1">IFERROR(__xludf.DUMMYFUNCTION("""COMPUTED_VALUE"""),"No")</f>
        <v>No</v>
      </c>
      <c r="AI2050" s="5" t="str">
        <f ca="1">IFERROR(__xludf.DUMMYFUNCTION("""COMPUTED_VALUE"""),"No")</f>
        <v>No</v>
      </c>
      <c r="AJ2050" s="5" t="str">
        <f ca="1">IFERROR(__xludf.DUMMYFUNCTION("""COMPUTED_VALUE"""),"Yes")</f>
        <v>Yes</v>
      </c>
    </row>
    <row r="2051" spans="1:36" ht="13">
      <c r="A2051" s="5" t="str">
        <f ca="1">IFERROR(__xludf.DUMMYFUNCTION("""COMPUTED_VALUE"""),"19840928TXRIN")</f>
        <v>19840928TXRIN</v>
      </c>
      <c r="B2051" s="5">
        <f ca="1">IFERROR(__xludf.DUMMYFUNCTION("""COMPUTED_VALUE"""),9)</f>
        <v>9</v>
      </c>
      <c r="C2051" s="5">
        <f ca="1">IFERROR(__xludf.DUMMYFUNCTION("""COMPUTED_VALUE"""),28)</f>
        <v>28</v>
      </c>
      <c r="D2051" s="5">
        <f ca="1">IFERROR(__xludf.DUMMYFUNCTION("""COMPUTED_VALUE"""),1984)</f>
        <v>1984</v>
      </c>
      <c r="E2051" s="8">
        <f ca="1">IFERROR(__xludf.DUMMYFUNCTION("""COMPUTED_VALUE"""),30953)</f>
        <v>30953</v>
      </c>
      <c r="F2051" s="5" t="str">
        <f ca="1">IFERROR(__xludf.DUMMYFUNCTION("""COMPUTED_VALUE"""),"Richland High School")</f>
        <v>Richland High School</v>
      </c>
      <c r="G2051" s="5">
        <f ca="1">IFERROR(__xludf.DUMMYFUNCTION("""COMPUTED_VALUE"""),0)</f>
        <v>0</v>
      </c>
      <c r="H2051" s="5">
        <f ca="1">IFERROR(__xludf.DUMMYFUNCTION("""COMPUTED_VALUE"""),1)</f>
        <v>1</v>
      </c>
      <c r="I2051" s="5">
        <f ca="1">IFERROR(__xludf.DUMMYFUNCTION("""COMPUTED_VALUE"""),1)</f>
        <v>1</v>
      </c>
      <c r="J2051" s="5">
        <f ca="1">IFERROR(__xludf.DUMMYFUNCTION("""COMPUTED_VALUE"""),0)</f>
        <v>0</v>
      </c>
      <c r="K2051" s="9" t="str">
        <f ca="1">IFERROR(__xludf.DUMMYFUNCTION("""COMPUTED_VALUE"""),"https://www.newspapers.com/newspage/5937341/")</f>
        <v>https://www.newspapers.com/newspage/5937341/</v>
      </c>
      <c r="L2051" s="5"/>
      <c r="M2051" s="5" t="str">
        <f ca="1">IFERROR(__xludf.DUMMYFUNCTION("""COMPUTED_VALUE"""),"Local")</f>
        <v>Local</v>
      </c>
      <c r="N2051" s="5">
        <f ca="1">IFERROR(__xludf.DUMMYFUNCTION("""COMPUTED_VALUE"""),2)</f>
        <v>2</v>
      </c>
      <c r="O2051" s="5" t="str">
        <f ca="1">IFERROR(__xludf.DUMMYFUNCTION("""COMPUTED_VALUE"""),"Fall")</f>
        <v>Fall</v>
      </c>
      <c r="P2051" s="5" t="str">
        <f ca="1">IFERROR(__xludf.DUMMYFUNCTION("""COMPUTED_VALUE"""),"North Richland Hills")</f>
        <v>North Richland Hills</v>
      </c>
      <c r="Q2051" s="5" t="str">
        <f ca="1">IFERROR(__xludf.DUMMYFUNCTION("""COMPUTED_VALUE"""),"TX")</f>
        <v>TX</v>
      </c>
      <c r="R2051" s="5" t="str">
        <f ca="1">IFERROR(__xludf.DUMMYFUNCTION("""COMPUTED_VALUE"""),"High")</f>
        <v>High</v>
      </c>
      <c r="S2051" s="5" t="str">
        <f ca="1">IFERROR(__xludf.DUMMYFUNCTION("""COMPUTED_VALUE"""),"Classroom")</f>
        <v>Classroom</v>
      </c>
      <c r="T2051" s="5" t="str">
        <f ca="1">IFERROR(__xludf.DUMMYFUNCTION("""COMPUTED_VALUE"""),"Inside School Building")</f>
        <v>Inside School Building</v>
      </c>
      <c r="U2051" s="5" t="str">
        <f ca="1">IFERROR(__xludf.DUMMYFUNCTION("""COMPUTED_VALUE"""),"Yes")</f>
        <v>Yes</v>
      </c>
      <c r="V2051" s="5"/>
      <c r="W2051" s="5"/>
      <c r="X2051" s="5"/>
      <c r="Y2051" s="5" t="str">
        <f ca="1">IFERROR(__xludf.DUMMYFUNCTION("""COMPUTED_VALUE"""),"Heavily armed former student fired 30 shots in the school's foyer then surrendered to principal")</f>
        <v>Heavily armed former student fired 30 shots in the school's foyer then surrendered to principal</v>
      </c>
      <c r="Z2051" s="5" t="str">
        <f ca="1">IFERROR(__xludf.DUMMYFUNCTION("""COMPUTED_VALUE"""),"Shooter was former student who walked into school with Uzi, AR-15, and pistol looking for english teacher. The teacher's classroom had moved since he had attended. He walked around the school and was unable to find them. In the main foyer of the school, t"&amp;"he shooter fired 30 rounds breaking windows and damaging the building. There were 12 students in the area, one had minor injuries. Principal confronted the shooter. He threw his weapons down while yelling ""I did it"" and sat quietly until police arrested"&amp;" him. Firearms details: 9mm Uzi, AR-15, .45 pistol.")</f>
        <v>Shooter was former student who walked into school with Uzi, AR-15, and pistol looking for english teacher. The teacher's classroom had moved since he had attended. He walked around the school and was unable to find them. In the main foyer of the school, the shooter fired 30 rounds breaking windows and damaging the building. There were 12 students in the area, one had minor injuries. Principal confronted the shooter. He threw his weapons down while yelling "I did it" and sat quietly until police arrested him. Firearms details: 9mm Uzi, AR-15, .45 pistol.</v>
      </c>
      <c r="AA2051" s="5" t="str">
        <f ca="1">IFERROR(__xludf.DUMMYFUNCTION("""COMPUTED_VALUE"""),"Indiscriminate Shooting")</f>
        <v>Indiscriminate Shooting</v>
      </c>
      <c r="AB2051" s="5" t="str">
        <f ca="1">IFERROR(__xludf.DUMMYFUNCTION("""COMPUTED_VALUE"""),"Both")</f>
        <v>Both</v>
      </c>
      <c r="AC2051" s="5"/>
      <c r="AD2051" s="5" t="str">
        <f ca="1">IFERROR(__xludf.DUMMYFUNCTION("""COMPUTED_VALUE"""),"No")</f>
        <v>No</v>
      </c>
      <c r="AE2051" s="5" t="str">
        <f ca="1">IFERROR(__xludf.DUMMYFUNCTION("""COMPUTED_VALUE"""),"No")</f>
        <v>No</v>
      </c>
      <c r="AF2051" s="5" t="str">
        <f ca="1">IFERROR(__xludf.DUMMYFUNCTION("""COMPUTED_VALUE"""),"No")</f>
        <v>No</v>
      </c>
      <c r="AG2051" s="5"/>
      <c r="AH2051" s="5" t="str">
        <f ca="1">IFERROR(__xludf.DUMMYFUNCTION("""COMPUTED_VALUE"""),"No")</f>
        <v>No</v>
      </c>
      <c r="AI2051" s="5" t="str">
        <f ca="1">IFERROR(__xludf.DUMMYFUNCTION("""COMPUTED_VALUE"""),"No")</f>
        <v>No</v>
      </c>
      <c r="AJ2051" s="5" t="str">
        <f ca="1">IFERROR(__xludf.DUMMYFUNCTION("""COMPUTED_VALUE"""),"Yes")</f>
        <v>Yes</v>
      </c>
    </row>
    <row r="2052" spans="1:36" ht="13">
      <c r="A2052" s="5" t="str">
        <f ca="1">IFERROR(__xludf.DUMMYFUNCTION("""COMPUTED_VALUE"""),"19840831LABOS")</f>
        <v>19840831LABOS</v>
      </c>
      <c r="B2052" s="5">
        <f ca="1">IFERROR(__xludf.DUMMYFUNCTION("""COMPUTED_VALUE"""),8)</f>
        <v>8</v>
      </c>
      <c r="C2052" s="5">
        <f ca="1">IFERROR(__xludf.DUMMYFUNCTION("""COMPUTED_VALUE"""),31)</f>
        <v>31</v>
      </c>
      <c r="D2052" s="5">
        <f ca="1">IFERROR(__xludf.DUMMYFUNCTION("""COMPUTED_VALUE"""),1984)</f>
        <v>1984</v>
      </c>
      <c r="E2052" s="8">
        <f ca="1">IFERROR(__xludf.DUMMYFUNCTION("""COMPUTED_VALUE"""),30925)</f>
        <v>30925</v>
      </c>
      <c r="F2052" s="5" t="str">
        <f ca="1">IFERROR(__xludf.DUMMYFUNCTION("""COMPUTED_VALUE"""),"Booker T. Washington High School")</f>
        <v>Booker T. Washington High School</v>
      </c>
      <c r="G2052" s="5">
        <f ca="1">IFERROR(__xludf.DUMMYFUNCTION("""COMPUTED_VALUE"""),0)</f>
        <v>0</v>
      </c>
      <c r="H2052" s="5">
        <f ca="1">IFERROR(__xludf.DUMMYFUNCTION("""COMPUTED_VALUE"""),1)</f>
        <v>1</v>
      </c>
      <c r="I2052" s="5">
        <f ca="1">IFERROR(__xludf.DUMMYFUNCTION("""COMPUTED_VALUE"""),1)</f>
        <v>1</v>
      </c>
      <c r="J2052" s="5">
        <f ca="1">IFERROR(__xludf.DUMMYFUNCTION("""COMPUTED_VALUE"""),0)</f>
        <v>0</v>
      </c>
      <c r="K2052" s="9" t="str">
        <f ca="1">IFERROR(__xludf.DUMMYFUNCTION("""COMPUTED_VALUE"""),"https://www.newspapers.com/image/217311653/?terms=student%2Bshot")</f>
        <v>https://www.newspapers.com/image/217311653/?terms=student%2Bshot</v>
      </c>
      <c r="L2052" s="5"/>
      <c r="M2052" s="5"/>
      <c r="N2052" s="5">
        <f ca="1">IFERROR(__xludf.DUMMYFUNCTION("""COMPUTED_VALUE"""),2)</f>
        <v>2</v>
      </c>
      <c r="O2052" s="5" t="str">
        <f ca="1">IFERROR(__xludf.DUMMYFUNCTION("""COMPUTED_VALUE"""),"Summer")</f>
        <v>Summer</v>
      </c>
      <c r="P2052" s="5" t="str">
        <f ca="1">IFERROR(__xludf.DUMMYFUNCTION("""COMPUTED_VALUE"""),"Shreveport")</f>
        <v>Shreveport</v>
      </c>
      <c r="Q2052" s="5" t="str">
        <f ca="1">IFERROR(__xludf.DUMMYFUNCTION("""COMPUTED_VALUE"""),"LA")</f>
        <v>LA</v>
      </c>
      <c r="R2052" s="5" t="str">
        <f ca="1">IFERROR(__xludf.DUMMYFUNCTION("""COMPUTED_VALUE"""),"High")</f>
        <v>High</v>
      </c>
      <c r="S2052" s="5" t="str">
        <f ca="1">IFERROR(__xludf.DUMMYFUNCTION("""COMPUTED_VALUE"""),"Football Field/Track")</f>
        <v>Football Field/Track</v>
      </c>
      <c r="T2052" s="5" t="str">
        <f ca="1">IFERROR(__xludf.DUMMYFUNCTION("""COMPUTED_VALUE"""),"Outside on School Property")</f>
        <v>Outside on School Property</v>
      </c>
      <c r="U2052" s="5" t="str">
        <f ca="1">IFERROR(__xludf.DUMMYFUNCTION("""COMPUTED_VALUE"""),"No")</f>
        <v>No</v>
      </c>
      <c r="V2052" s="5" t="str">
        <f ca="1">IFERROR(__xludf.DUMMYFUNCTION("""COMPUTED_VALUE"""),"Sport Event")</f>
        <v>Sport Event</v>
      </c>
      <c r="W2052" s="5"/>
      <c r="X2052" s="5">
        <f ca="1">IFERROR(__xludf.DUMMYFUNCTION("""COMPUTED_VALUE"""),1)</f>
        <v>1</v>
      </c>
      <c r="Y2052" s="5" t="str">
        <f ca="1">IFERROR(__xludf.DUMMYFUNCTION("""COMPUTED_VALUE"""),"Shooting occurred after football game between gang members and students")</f>
        <v>Shooting occurred after football game between gang members and students</v>
      </c>
      <c r="Z2052" s="5" t="str">
        <f ca="1">IFERROR(__xludf.DUMMYFUNCTION("""COMPUTED_VALUE"""),"Several students and gang members got into a fight after a high school football game. The victim was an innocent bystander who was shot with a .22 pistol in the stomach - no suspect information known")</f>
        <v>Several students and gang members got into a fight after a high school football game. The victim was an innocent bystander who was shot with a .22 pistol in the stomach - no suspect information known</v>
      </c>
      <c r="AA2052" s="5" t="str">
        <f ca="1">IFERROR(__xludf.DUMMYFUNCTION("""COMPUTED_VALUE"""),"Escalation of Dispute")</f>
        <v>Escalation of Dispute</v>
      </c>
      <c r="AB2052" s="5" t="str">
        <f ca="1">IFERROR(__xludf.DUMMYFUNCTION("""COMPUTED_VALUE"""),"Random Shooting")</f>
        <v>Random Shooting</v>
      </c>
      <c r="AC2052" s="5" t="str">
        <f ca="1">IFERROR(__xludf.DUMMYFUNCTION("""COMPUTED_VALUE"""),"No")</f>
        <v>No</v>
      </c>
      <c r="AD2052" s="5" t="str">
        <f ca="1">IFERROR(__xludf.DUMMYFUNCTION("""COMPUTED_VALUE"""),"No")</f>
        <v>No</v>
      </c>
      <c r="AE2052" s="5" t="str">
        <f ca="1">IFERROR(__xludf.DUMMYFUNCTION("""COMPUTED_VALUE"""),"No")</f>
        <v>No</v>
      </c>
      <c r="AF2052" s="5" t="str">
        <f ca="1">IFERROR(__xludf.DUMMYFUNCTION("""COMPUTED_VALUE"""),"No")</f>
        <v>No</v>
      </c>
      <c r="AG2052" s="5" t="str">
        <f ca="1">IFERROR(__xludf.DUMMYFUNCTION("""COMPUTED_VALUE"""),"No")</f>
        <v>No</v>
      </c>
      <c r="AH2052" s="5" t="str">
        <f ca="1">IFERROR(__xludf.DUMMYFUNCTION("""COMPUTED_VALUE"""),"No")</f>
        <v>No</v>
      </c>
      <c r="AI2052" s="5" t="str">
        <f ca="1">IFERROR(__xludf.DUMMYFUNCTION("""COMPUTED_VALUE"""),"Yes")</f>
        <v>Yes</v>
      </c>
      <c r="AJ2052" s="5"/>
    </row>
    <row r="2053" spans="1:36" ht="13">
      <c r="A2053" s="5" t="str">
        <f ca="1">IFERROR(__xludf.DUMMYFUNCTION("""COMPUTED_VALUE"""),"19840710MIMUD")</f>
        <v>19840710MIMUD</v>
      </c>
      <c r="B2053" s="5">
        <f ca="1">IFERROR(__xludf.DUMMYFUNCTION("""COMPUTED_VALUE"""),7)</f>
        <v>7</v>
      </c>
      <c r="C2053" s="5">
        <f ca="1">IFERROR(__xludf.DUMMYFUNCTION("""COMPUTED_VALUE"""),10)</f>
        <v>10</v>
      </c>
      <c r="D2053" s="5">
        <f ca="1">IFERROR(__xludf.DUMMYFUNCTION("""COMPUTED_VALUE"""),1984)</f>
        <v>1984</v>
      </c>
      <c r="E2053" s="8">
        <f ca="1">IFERROR(__xludf.DUMMYFUNCTION("""COMPUTED_VALUE"""),30873)</f>
        <v>30873</v>
      </c>
      <c r="F2053" s="5" t="str">
        <f ca="1">IFERROR(__xludf.DUMMYFUNCTION("""COMPUTED_VALUE"""),"Mumford High School")</f>
        <v>Mumford High School</v>
      </c>
      <c r="G2053" s="5">
        <f ca="1">IFERROR(__xludf.DUMMYFUNCTION("""COMPUTED_VALUE"""),0)</f>
        <v>0</v>
      </c>
      <c r="H2053" s="5">
        <f ca="1">IFERROR(__xludf.DUMMYFUNCTION("""COMPUTED_VALUE"""),1)</f>
        <v>1</v>
      </c>
      <c r="I2053" s="5">
        <f ca="1">IFERROR(__xludf.DUMMYFUNCTION("""COMPUTED_VALUE"""),1)</f>
        <v>1</v>
      </c>
      <c r="J2053" s="5">
        <f ca="1">IFERROR(__xludf.DUMMYFUNCTION("""COMPUTED_VALUE"""),0)</f>
        <v>0</v>
      </c>
      <c r="K2053" s="9" t="str">
        <f ca="1">IFERROR(__xludf.DUMMYFUNCTION("""COMPUTED_VALUE"""),"https://www.newspapers.com/image/99155324/?terms=student%2Bshot")</f>
        <v>https://www.newspapers.com/image/99155324/?terms=student%2Bshot</v>
      </c>
      <c r="L2053" s="5"/>
      <c r="M2053" s="5"/>
      <c r="N2053" s="5">
        <f ca="1">IFERROR(__xludf.DUMMYFUNCTION("""COMPUTED_VALUE"""),2)</f>
        <v>2</v>
      </c>
      <c r="O2053" s="5" t="str">
        <f ca="1">IFERROR(__xludf.DUMMYFUNCTION("""COMPUTED_VALUE"""),"Summer")</f>
        <v>Summer</v>
      </c>
      <c r="P2053" s="5" t="str">
        <f ca="1">IFERROR(__xludf.DUMMYFUNCTION("""COMPUTED_VALUE"""),"Detroit")</f>
        <v>Detroit</v>
      </c>
      <c r="Q2053" s="5" t="str">
        <f ca="1">IFERROR(__xludf.DUMMYFUNCTION("""COMPUTED_VALUE"""),"MI")</f>
        <v>MI</v>
      </c>
      <c r="R2053" s="5" t="str">
        <f ca="1">IFERROR(__xludf.DUMMYFUNCTION("""COMPUTED_VALUE"""),"High")</f>
        <v>High</v>
      </c>
      <c r="S2053" s="5" t="str">
        <f ca="1">IFERROR(__xludf.DUMMYFUNCTION("""COMPUTED_VALUE"""),"Beside Building")</f>
        <v>Beside Building</v>
      </c>
      <c r="T2053" s="5" t="str">
        <f ca="1">IFERROR(__xludf.DUMMYFUNCTION("""COMPUTED_VALUE"""),"Outside on School Property")</f>
        <v>Outside on School Property</v>
      </c>
      <c r="U2053" s="5" t="str">
        <f ca="1">IFERROR(__xludf.DUMMYFUNCTION("""COMPUTED_VALUE"""),"Yes")</f>
        <v>Yes</v>
      </c>
      <c r="V2053" s="5" t="str">
        <f ca="1">IFERROR(__xludf.DUMMYFUNCTION("""COMPUTED_VALUE"""),"Lunch")</f>
        <v>Lunch</v>
      </c>
      <c r="W2053" s="10">
        <f ca="1">IFERROR(__xludf.DUMMYFUNCTION("""COMPUTED_VALUE"""),0.46875)</f>
        <v>0.46875</v>
      </c>
      <c r="X2053" s="5">
        <f ca="1">IFERROR(__xludf.DUMMYFUNCTION("""COMPUTED_VALUE"""),1)</f>
        <v>1</v>
      </c>
      <c r="Y2053" s="5" t="str">
        <f ca="1">IFERROR(__xludf.DUMMYFUNCTION("""COMPUTED_VALUE"""),"Mistaken identity related to gang violence")</f>
        <v>Mistaken identity related to gang violence</v>
      </c>
      <c r="Z2053" s="5" t="str">
        <f ca="1">IFERROR(__xludf.DUMMYFUNCTION("""COMPUTED_VALUE"""),"Victim was walking outside on school grounds when he was shot in the arm by a male chasing a group of boys. Police suspect it was gang related and the victim was an innocent bystander.")</f>
        <v>Victim was walking outside on school grounds when he was shot in the arm by a male chasing a group of boys. Police suspect it was gang related and the victim was an innocent bystander.</v>
      </c>
      <c r="AA2053" s="5" t="str">
        <f ca="1">IFERROR(__xludf.DUMMYFUNCTION("""COMPUTED_VALUE"""),"Escalation of Dispute")</f>
        <v>Escalation of Dispute</v>
      </c>
      <c r="AB2053" s="5" t="str">
        <f ca="1">IFERROR(__xludf.DUMMYFUNCTION("""COMPUTED_VALUE"""),"Random Shooting")</f>
        <v>Random Shooting</v>
      </c>
      <c r="AC2053" s="5" t="str">
        <f ca="1">IFERROR(__xludf.DUMMYFUNCTION("""COMPUTED_VALUE"""),"No")</f>
        <v>No</v>
      </c>
      <c r="AD2053" s="5" t="str">
        <f ca="1">IFERROR(__xludf.DUMMYFUNCTION("""COMPUTED_VALUE"""),"No")</f>
        <v>No</v>
      </c>
      <c r="AE2053" s="5" t="str">
        <f ca="1">IFERROR(__xludf.DUMMYFUNCTION("""COMPUTED_VALUE"""),"No")</f>
        <v>No</v>
      </c>
      <c r="AF2053" s="5" t="str">
        <f ca="1">IFERROR(__xludf.DUMMYFUNCTION("""COMPUTED_VALUE"""),"No")</f>
        <v>No</v>
      </c>
      <c r="AG2053" s="5" t="str">
        <f ca="1">IFERROR(__xludf.DUMMYFUNCTION("""COMPUTED_VALUE"""),"No")</f>
        <v>No</v>
      </c>
      <c r="AH2053" s="5" t="str">
        <f ca="1">IFERROR(__xludf.DUMMYFUNCTION("""COMPUTED_VALUE"""),"No")</f>
        <v>No</v>
      </c>
      <c r="AI2053" s="5" t="str">
        <f ca="1">IFERROR(__xludf.DUMMYFUNCTION("""COMPUTED_VALUE"""),"Yes")</f>
        <v>Yes</v>
      </c>
      <c r="AJ2053" s="5"/>
    </row>
    <row r="2054" spans="1:36" ht="13">
      <c r="A2054" s="5" t="str">
        <f ca="1">IFERROR(__xludf.DUMMYFUNCTION("""COMPUTED_VALUE"""),"19840522OHCLC")</f>
        <v>19840522OHCLC</v>
      </c>
      <c r="B2054" s="5">
        <f ca="1">IFERROR(__xludf.DUMMYFUNCTION("""COMPUTED_VALUE"""),5)</f>
        <v>5</v>
      </c>
      <c r="C2054" s="5">
        <f ca="1">IFERROR(__xludf.DUMMYFUNCTION("""COMPUTED_VALUE"""),22)</f>
        <v>22</v>
      </c>
      <c r="D2054" s="5">
        <f ca="1">IFERROR(__xludf.DUMMYFUNCTION("""COMPUTED_VALUE"""),1984)</f>
        <v>1984</v>
      </c>
      <c r="E2054" s="8">
        <f ca="1">IFERROR(__xludf.DUMMYFUNCTION("""COMPUTED_VALUE"""),30824)</f>
        <v>30824</v>
      </c>
      <c r="F2054" s="5" t="str">
        <f ca="1">IFERROR(__xludf.DUMMYFUNCTION("""COMPUTED_VALUE"""),"Cleveland Heights High School")</f>
        <v>Cleveland Heights High School</v>
      </c>
      <c r="G2054" s="5">
        <f ca="1">IFERROR(__xludf.DUMMYFUNCTION("""COMPUTED_VALUE"""),0)</f>
        <v>0</v>
      </c>
      <c r="H2054" s="5">
        <f ca="1">IFERROR(__xludf.DUMMYFUNCTION("""COMPUTED_VALUE"""),1)</f>
        <v>1</v>
      </c>
      <c r="I2054" s="5">
        <f ca="1">IFERROR(__xludf.DUMMYFUNCTION("""COMPUTED_VALUE"""),1)</f>
        <v>1</v>
      </c>
      <c r="J2054" s="5">
        <f ca="1">IFERROR(__xludf.DUMMYFUNCTION("""COMPUTED_VALUE"""),0)</f>
        <v>0</v>
      </c>
      <c r="K2054" s="9" t="str">
        <f ca="1">IFERROR(__xludf.DUMMYFUNCTION("""COMPUTED_VALUE"""),"https://www.newspapers.com/image/153645072/?terms=michael%2Bbrody")</f>
        <v>https://www.newspapers.com/image/153645072/?terms=michael%2Bbrody</v>
      </c>
      <c r="L2054" s="5"/>
      <c r="M2054" s="5"/>
      <c r="N2054" s="5">
        <f ca="1">IFERROR(__xludf.DUMMYFUNCTION("""COMPUTED_VALUE"""),2)</f>
        <v>2</v>
      </c>
      <c r="O2054" s="5" t="str">
        <f ca="1">IFERROR(__xludf.DUMMYFUNCTION("""COMPUTED_VALUE"""),"Spring")</f>
        <v>Spring</v>
      </c>
      <c r="P2054" s="5" t="str">
        <f ca="1">IFERROR(__xludf.DUMMYFUNCTION("""COMPUTED_VALUE"""),"Cleveland Heights")</f>
        <v>Cleveland Heights</v>
      </c>
      <c r="Q2054" s="5" t="str">
        <f ca="1">IFERROR(__xludf.DUMMYFUNCTION("""COMPUTED_VALUE"""),"OH")</f>
        <v>OH</v>
      </c>
      <c r="R2054" s="5" t="str">
        <f ca="1">IFERROR(__xludf.DUMMYFUNCTION("""COMPUTED_VALUE"""),"High")</f>
        <v>High</v>
      </c>
      <c r="S2054" s="5" t="str">
        <f ca="1">IFERROR(__xludf.DUMMYFUNCTION("""COMPUTED_VALUE"""),"Classroom")</f>
        <v>Classroom</v>
      </c>
      <c r="T2054" s="5" t="str">
        <f ca="1">IFERROR(__xludf.DUMMYFUNCTION("""COMPUTED_VALUE"""),"Inside School Building")</f>
        <v>Inside School Building</v>
      </c>
      <c r="U2054" s="5" t="str">
        <f ca="1">IFERROR(__xludf.DUMMYFUNCTION("""COMPUTED_VALUE"""),"Yes")</f>
        <v>Yes</v>
      </c>
      <c r="V2054" s="5"/>
      <c r="W2054" s="5"/>
      <c r="X2054" s="5">
        <f ca="1">IFERROR(__xludf.DUMMYFUNCTION("""COMPUTED_VALUE"""),1)</f>
        <v>1</v>
      </c>
      <c r="Y2054" s="5" t="str">
        <f ca="1">IFERROR(__xludf.DUMMYFUNCTION("""COMPUTED_VALUE"""),"Shooter dropped bag with gun inside. Gun went off striking victim")</f>
        <v>Shooter dropped bag with gun inside. Gun went off striking victim</v>
      </c>
      <c r="Z2054" s="5" t="str">
        <f ca="1">IFERROR(__xludf.DUMMYFUNCTION("""COMPUTED_VALUE"""),"Victim was accidentally shot in the chest by shooter who had gun in bag. Gun went off when shooter dropped his bag on his desk during Spanish class")</f>
        <v>Victim was accidentally shot in the chest by shooter who had gun in bag. Gun went off when shooter dropped his bag on his desk during Spanish class</v>
      </c>
      <c r="AA2054" s="5" t="str">
        <f ca="1">IFERROR(__xludf.DUMMYFUNCTION("""COMPUTED_VALUE"""),"Accidental")</f>
        <v>Accidental</v>
      </c>
      <c r="AB2054" s="5" t="str">
        <f ca="1">IFERROR(__xludf.DUMMYFUNCTION("""COMPUTED_VALUE"""),"Random Shooting")</f>
        <v>Random Shooting</v>
      </c>
      <c r="AC2054" s="5"/>
      <c r="AD2054" s="5" t="str">
        <f ca="1">IFERROR(__xludf.DUMMYFUNCTION("""COMPUTED_VALUE"""),"No")</f>
        <v>No</v>
      </c>
      <c r="AE2054" s="5" t="str">
        <f ca="1">IFERROR(__xludf.DUMMYFUNCTION("""COMPUTED_VALUE"""),"No")</f>
        <v>No</v>
      </c>
      <c r="AF2054" s="5" t="str">
        <f ca="1">IFERROR(__xludf.DUMMYFUNCTION("""COMPUTED_VALUE"""),"No")</f>
        <v>No</v>
      </c>
      <c r="AG2054" s="5" t="str">
        <f ca="1">IFERROR(__xludf.DUMMYFUNCTION("""COMPUTED_VALUE"""),"No")</f>
        <v>No</v>
      </c>
      <c r="AH2054" s="5" t="str">
        <f ca="1">IFERROR(__xludf.DUMMYFUNCTION("""COMPUTED_VALUE"""),"No")</f>
        <v>No</v>
      </c>
      <c r="AI2054" s="5" t="str">
        <f ca="1">IFERROR(__xludf.DUMMYFUNCTION("""COMPUTED_VALUE"""),"No")</f>
        <v>No</v>
      </c>
      <c r="AJ2054" s="5"/>
    </row>
    <row r="2055" spans="1:36" ht="13">
      <c r="A2055" s="5" t="str">
        <f ca="1">IFERROR(__xludf.DUMMYFUNCTION("""COMPUTED_VALUE"""),"19840518CANON")</f>
        <v>19840518CANON</v>
      </c>
      <c r="B2055" s="5">
        <f ca="1">IFERROR(__xludf.DUMMYFUNCTION("""COMPUTED_VALUE"""),5)</f>
        <v>5</v>
      </c>
      <c r="C2055" s="5">
        <f ca="1">IFERROR(__xludf.DUMMYFUNCTION("""COMPUTED_VALUE"""),18)</f>
        <v>18</v>
      </c>
      <c r="D2055" s="5">
        <f ca="1">IFERROR(__xludf.DUMMYFUNCTION("""COMPUTED_VALUE"""),1984)</f>
        <v>1984</v>
      </c>
      <c r="E2055" s="8">
        <f ca="1">IFERROR(__xludf.DUMMYFUNCTION("""COMPUTED_VALUE"""),30820)</f>
        <v>30820</v>
      </c>
      <c r="F2055" s="5" t="str">
        <f ca="1">IFERROR(__xludf.DUMMYFUNCTION("""COMPUTED_VALUE"""),"Norco High School")</f>
        <v>Norco High School</v>
      </c>
      <c r="G2055" s="5">
        <f ca="1">IFERROR(__xludf.DUMMYFUNCTION("""COMPUTED_VALUE"""),0)</f>
        <v>0</v>
      </c>
      <c r="H2055" s="5">
        <f ca="1">IFERROR(__xludf.DUMMYFUNCTION("""COMPUTED_VALUE"""),12)</f>
        <v>12</v>
      </c>
      <c r="I2055" s="5">
        <f ca="1">IFERROR(__xludf.DUMMYFUNCTION("""COMPUTED_VALUE"""),12)</f>
        <v>12</v>
      </c>
      <c r="J2055" s="5">
        <f ca="1">IFERROR(__xludf.DUMMYFUNCTION("""COMPUTED_VALUE"""),0)</f>
        <v>0</v>
      </c>
      <c r="K2055" s="9" t="str">
        <f ca="1">IFERROR(__xludf.DUMMYFUNCTION("""COMPUTED_VALUE"""),"https://www.newspapers.com/image/368938109/?terms=Norco%2BHigh%2BSchool%2Bshooting")</f>
        <v>https://www.newspapers.com/image/368938109/?terms=Norco%2BHigh%2BSchool%2Bshooting</v>
      </c>
      <c r="L2055" s="5"/>
      <c r="M2055" s="5"/>
      <c r="N2055" s="5">
        <f ca="1">IFERROR(__xludf.DUMMYFUNCTION("""COMPUTED_VALUE"""),2)</f>
        <v>2</v>
      </c>
      <c r="O2055" s="5" t="str">
        <f ca="1">IFERROR(__xludf.DUMMYFUNCTION("""COMPUTED_VALUE"""),"Spring")</f>
        <v>Spring</v>
      </c>
      <c r="P2055" s="5" t="str">
        <f ca="1">IFERROR(__xludf.DUMMYFUNCTION("""COMPUTED_VALUE"""),"Norco")</f>
        <v>Norco</v>
      </c>
      <c r="Q2055" s="5" t="str">
        <f ca="1">IFERROR(__xludf.DUMMYFUNCTION("""COMPUTED_VALUE"""),"CA")</f>
        <v>CA</v>
      </c>
      <c r="R2055" s="5" t="str">
        <f ca="1">IFERROR(__xludf.DUMMYFUNCTION("""COMPUTED_VALUE"""),"High")</f>
        <v>High</v>
      </c>
      <c r="S2055" s="5" t="str">
        <f ca="1">IFERROR(__xludf.DUMMYFUNCTION("""COMPUTED_VALUE"""),"Hallway")</f>
        <v>Hallway</v>
      </c>
      <c r="T2055" s="5" t="str">
        <f ca="1">IFERROR(__xludf.DUMMYFUNCTION("""COMPUTED_VALUE"""),"Inside School Building")</f>
        <v>Inside School Building</v>
      </c>
      <c r="U2055" s="5" t="str">
        <f ca="1">IFERROR(__xludf.DUMMYFUNCTION("""COMPUTED_VALUE"""),"Yes")</f>
        <v>Yes</v>
      </c>
      <c r="V2055" s="5" t="str">
        <f ca="1">IFERROR(__xludf.DUMMYFUNCTION("""COMPUTED_VALUE"""),"Morning Classes")</f>
        <v>Morning Classes</v>
      </c>
      <c r="W2055" s="10">
        <f ca="1">IFERROR(__xludf.DUMMYFUNCTION("""COMPUTED_VALUE"""),0.416666666666666)</f>
        <v>0.41666666666666602</v>
      </c>
      <c r="X2055" s="5">
        <f ca="1">IFERROR(__xludf.DUMMYFUNCTION("""COMPUTED_VALUE"""),1)</f>
        <v>1</v>
      </c>
      <c r="Y2055" s="5" t="str">
        <f ca="1">IFERROR(__xludf.DUMMYFUNCTION("""COMPUTED_VALUE"""),"Shooter was trying to settle argument, tackled by students")</f>
        <v>Shooter was trying to settle argument, tackled by students</v>
      </c>
      <c r="Z2055" s="5" t="str">
        <f ca="1">IFERROR(__xludf.DUMMYFUNCTION("""COMPUTED_VALUE"""),"17YOM student had dispute with with a female and male student the day prior. Brought shotgun to settle the dispute. Other students saw him with the gun and tackled the shooter. Shotgun was loaded with light birdshot.")</f>
        <v>17YOM student had dispute with with a female and male student the day prior. Brought shotgun to settle the dispute. Other students saw him with the gun and tackled the shooter. Shotgun was loaded with light birdshot.</v>
      </c>
      <c r="AA2055" s="5" t="str">
        <f ca="1">IFERROR(__xludf.DUMMYFUNCTION("""COMPUTED_VALUE"""),"Escalation of Dispute")</f>
        <v>Escalation of Dispute</v>
      </c>
      <c r="AB2055" s="5" t="str">
        <f ca="1">IFERROR(__xludf.DUMMYFUNCTION("""COMPUTED_VALUE"""),"Both")</f>
        <v>Both</v>
      </c>
      <c r="AC2055" s="5" t="str">
        <f ca="1">IFERROR(__xludf.DUMMYFUNCTION("""COMPUTED_VALUE"""),"No")</f>
        <v>No</v>
      </c>
      <c r="AD2055" s="5" t="str">
        <f ca="1">IFERROR(__xludf.DUMMYFUNCTION("""COMPUTED_VALUE"""),"No")</f>
        <v>No</v>
      </c>
      <c r="AE2055" s="5" t="str">
        <f ca="1">IFERROR(__xludf.DUMMYFUNCTION("""COMPUTED_VALUE"""),"No")</f>
        <v>No</v>
      </c>
      <c r="AF2055" s="5" t="str">
        <f ca="1">IFERROR(__xludf.DUMMYFUNCTION("""COMPUTED_VALUE"""),"No")</f>
        <v>No</v>
      </c>
      <c r="AG2055" s="5" t="str">
        <f ca="1">IFERROR(__xludf.DUMMYFUNCTION("""COMPUTED_VALUE"""),"No")</f>
        <v>No</v>
      </c>
      <c r="AH2055" s="5" t="str">
        <f ca="1">IFERROR(__xludf.DUMMYFUNCTION("""COMPUTED_VALUE"""),"No")</f>
        <v>No</v>
      </c>
      <c r="AI2055" s="5" t="str">
        <f ca="1">IFERROR(__xludf.DUMMYFUNCTION("""COMPUTED_VALUE"""),"No")</f>
        <v>No</v>
      </c>
      <c r="AJ2055" s="5"/>
    </row>
    <row r="2056" spans="1:36" ht="13">
      <c r="A2056" s="5" t="str">
        <f ca="1">IFERROR(__xludf.DUMMYFUNCTION("""COMPUTED_VALUE"""),"19840517TXBOH")</f>
        <v>19840517TXBOH</v>
      </c>
      <c r="B2056" s="5">
        <f ca="1">IFERROR(__xludf.DUMMYFUNCTION("""COMPUTED_VALUE"""),5)</f>
        <v>5</v>
      </c>
      <c r="C2056" s="5">
        <f ca="1">IFERROR(__xludf.DUMMYFUNCTION("""COMPUTED_VALUE"""),17)</f>
        <v>17</v>
      </c>
      <c r="D2056" s="5">
        <f ca="1">IFERROR(__xludf.DUMMYFUNCTION("""COMPUTED_VALUE"""),1984)</f>
        <v>1984</v>
      </c>
      <c r="E2056" s="8">
        <f ca="1">IFERROR(__xludf.DUMMYFUNCTION("""COMPUTED_VALUE"""),30819)</f>
        <v>30819</v>
      </c>
      <c r="F2056" s="5" t="str">
        <f ca="1">IFERROR(__xludf.DUMMYFUNCTION("""COMPUTED_VALUE"""),"Booker T. Washington High School")</f>
        <v>Booker T. Washington High School</v>
      </c>
      <c r="G2056" s="5">
        <f ca="1">IFERROR(__xludf.DUMMYFUNCTION("""COMPUTED_VALUE"""),0)</f>
        <v>0</v>
      </c>
      <c r="H2056" s="5">
        <f ca="1">IFERROR(__xludf.DUMMYFUNCTION("""COMPUTED_VALUE"""),1)</f>
        <v>1</v>
      </c>
      <c r="I2056" s="5">
        <f ca="1">IFERROR(__xludf.DUMMYFUNCTION("""COMPUTED_VALUE"""),1)</f>
        <v>1</v>
      </c>
      <c r="J2056" s="5">
        <f ca="1">IFERROR(__xludf.DUMMYFUNCTION("""COMPUTED_VALUE"""),1)</f>
        <v>1</v>
      </c>
      <c r="K2056" s="5" t="str">
        <f ca="1">IFERROR(__xludf.DUMMYFUNCTION("""COMPUTED_VALUE"""),"https://www.newspapers.com/image/14568393/?terms=student%2Bshot%2Bhouston  https://www.newspapers.com/image/358299085/?terms=christopher%2Bross")</f>
        <v>https://www.newspapers.com/image/14568393/?terms=student%2Bshot%2Bhouston  https://www.newspapers.com/image/358299085/?terms=christopher%2Bross</v>
      </c>
      <c r="L2056" s="5"/>
      <c r="M2056" s="5"/>
      <c r="N2056" s="5">
        <f ca="1">IFERROR(__xludf.DUMMYFUNCTION("""COMPUTED_VALUE"""),2)</f>
        <v>2</v>
      </c>
      <c r="O2056" s="5" t="str">
        <f ca="1">IFERROR(__xludf.DUMMYFUNCTION("""COMPUTED_VALUE"""),"Spring")</f>
        <v>Spring</v>
      </c>
      <c r="P2056" s="5" t="str">
        <f ca="1">IFERROR(__xludf.DUMMYFUNCTION("""COMPUTED_VALUE"""),"Houston")</f>
        <v>Houston</v>
      </c>
      <c r="Q2056" s="5" t="str">
        <f ca="1">IFERROR(__xludf.DUMMYFUNCTION("""COMPUTED_VALUE"""),"TX")</f>
        <v>TX</v>
      </c>
      <c r="R2056" s="5" t="str">
        <f ca="1">IFERROR(__xludf.DUMMYFUNCTION("""COMPUTED_VALUE"""),"High")</f>
        <v>High</v>
      </c>
      <c r="S2056" s="5" t="str">
        <f ca="1">IFERROR(__xludf.DUMMYFUNCTION("""COMPUTED_VALUE"""),"Classroom")</f>
        <v>Classroom</v>
      </c>
      <c r="T2056" s="5" t="str">
        <f ca="1">IFERROR(__xludf.DUMMYFUNCTION("""COMPUTED_VALUE"""),"Inside School Building")</f>
        <v>Inside School Building</v>
      </c>
      <c r="U2056" s="5" t="str">
        <f ca="1">IFERROR(__xludf.DUMMYFUNCTION("""COMPUTED_VALUE"""),"Yes")</f>
        <v>Yes</v>
      </c>
      <c r="V2056" s="5" t="str">
        <f ca="1">IFERROR(__xludf.DUMMYFUNCTION("""COMPUTED_VALUE"""),"Morning Classes")</f>
        <v>Morning Classes</v>
      </c>
      <c r="W2056" s="10">
        <f ca="1">IFERROR(__xludf.DUMMYFUNCTION("""COMPUTED_VALUE"""),0.447916666666666)</f>
        <v>0.44791666666666602</v>
      </c>
      <c r="X2056" s="5">
        <f ca="1">IFERROR(__xludf.DUMMYFUNCTION("""COMPUTED_VALUE"""),1)</f>
        <v>1</v>
      </c>
      <c r="Y2056" s="5" t="str">
        <f ca="1">IFERROR(__xludf.DUMMYFUNCTION("""COMPUTED_VALUE"""),"Anger over suspension / fight with girlfriend")</f>
        <v>Anger over suspension / fight with girlfriend</v>
      </c>
      <c r="Z2056" s="5" t="str">
        <f ca="1">IFERROR(__xludf.DUMMYFUNCTION("""COMPUTED_VALUE"""),"Shooter walked into his girlfriend's typing class, shot at the teacher (no injury) shot his girlfriend (who survived) then shot/killed himself. Shooter was angry over his recent suspension for harassment / fighting with his girlfriend. Was allowed to come"&amp;" back to school after promising school staff he wouldn't fight with her anymore. Had suicide note in pocket.")</f>
        <v>Shooter walked into his girlfriend's typing class, shot at the teacher (no injury) shot his girlfriend (who survived) then shot/killed himself. Shooter was angry over his recent suspension for harassment / fighting with his girlfriend. Was allowed to come back to school after promising school staff he wouldn't fight with her anymore. Had suicide note in pocket.</v>
      </c>
      <c r="AA2056" s="5" t="str">
        <f ca="1">IFERROR(__xludf.DUMMYFUNCTION("""COMPUTED_VALUE"""),"Domestic w/ Targeted Victim")</f>
        <v>Domestic w/ Targeted Victim</v>
      </c>
      <c r="AB2056" s="5" t="str">
        <f ca="1">IFERROR(__xludf.DUMMYFUNCTION("""COMPUTED_VALUE"""),"Victims Targeted")</f>
        <v>Victims Targeted</v>
      </c>
      <c r="AC2056" s="5" t="str">
        <f ca="1">IFERROR(__xludf.DUMMYFUNCTION("""COMPUTED_VALUE"""),"No")</f>
        <v>No</v>
      </c>
      <c r="AD2056" s="5" t="str">
        <f ca="1">IFERROR(__xludf.DUMMYFUNCTION("""COMPUTED_VALUE"""),"No")</f>
        <v>No</v>
      </c>
      <c r="AE2056" s="5" t="str">
        <f ca="1">IFERROR(__xludf.DUMMYFUNCTION("""COMPUTED_VALUE"""),"No")</f>
        <v>No</v>
      </c>
      <c r="AF2056" s="5" t="str">
        <f ca="1">IFERROR(__xludf.DUMMYFUNCTION("""COMPUTED_VALUE"""),"No")</f>
        <v>No</v>
      </c>
      <c r="AG2056" s="5" t="str">
        <f ca="1">IFERROR(__xludf.DUMMYFUNCTION("""COMPUTED_VALUE"""),"No")</f>
        <v>No</v>
      </c>
      <c r="AH2056" s="5" t="str">
        <f ca="1">IFERROR(__xludf.DUMMYFUNCTION("""COMPUTED_VALUE"""),"Yes")</f>
        <v>Yes</v>
      </c>
      <c r="AI2056" s="5" t="str">
        <f ca="1">IFERROR(__xludf.DUMMYFUNCTION("""COMPUTED_VALUE"""),"No")</f>
        <v>No</v>
      </c>
      <c r="AJ2056" s="5" t="str">
        <f ca="1">IFERROR(__xludf.DUMMYFUNCTION("""COMPUTED_VALUE"""),"Yes")</f>
        <v>Yes</v>
      </c>
    </row>
    <row r="2057" spans="1:36" ht="13">
      <c r="A2057" s="5" t="str">
        <f ca="1">IFERROR(__xludf.DUMMYFUNCTION("""COMPUTED_VALUE"""),"19840517IASOP")</f>
        <v>19840517IASOP</v>
      </c>
      <c r="B2057" s="5">
        <f ca="1">IFERROR(__xludf.DUMMYFUNCTION("""COMPUTED_VALUE"""),5)</f>
        <v>5</v>
      </c>
      <c r="C2057" s="5">
        <f ca="1">IFERROR(__xludf.DUMMYFUNCTION("""COMPUTED_VALUE"""),17)</f>
        <v>17</v>
      </c>
      <c r="D2057" s="5">
        <f ca="1">IFERROR(__xludf.DUMMYFUNCTION("""COMPUTED_VALUE"""),1984)</f>
        <v>1984</v>
      </c>
      <c r="E2057" s="8">
        <f ca="1">IFERROR(__xludf.DUMMYFUNCTION("""COMPUTED_VALUE"""),30819)</f>
        <v>30819</v>
      </c>
      <c r="F2057" s="5" t="str">
        <f ca="1">IFERROR(__xludf.DUMMYFUNCTION("""COMPUTED_VALUE"""),"Southeast Polk High School")</f>
        <v>Southeast Polk High School</v>
      </c>
      <c r="G2057" s="5">
        <f ca="1">IFERROR(__xludf.DUMMYFUNCTION("""COMPUTED_VALUE"""),1)</f>
        <v>1</v>
      </c>
      <c r="H2057" s="5">
        <f ca="1">IFERROR(__xludf.DUMMYFUNCTION("""COMPUTED_VALUE"""),0)</f>
        <v>0</v>
      </c>
      <c r="I2057" s="5">
        <f ca="1">IFERROR(__xludf.DUMMYFUNCTION("""COMPUTED_VALUE"""),1)</f>
        <v>1</v>
      </c>
      <c r="J2057" s="5">
        <f ca="1">IFERROR(__xludf.DUMMYFUNCTION("""COMPUTED_VALUE"""),1)</f>
        <v>1</v>
      </c>
      <c r="K2057" s="5" t="str">
        <f ca="1">IFERROR(__xludf.DUMMYFUNCTION("""COMPUTED_VALUE"""),"https://www.upi.com/Archives/1984/06/15/Death-gun-seller-pleads-innocent/6645456120000/  https://www.newspapers.com/image/14568393/?terms=student%2Bshot%2Bhouston")</f>
        <v>https://www.upi.com/Archives/1984/06/15/Death-gun-seller-pleads-innocent/6645456120000/  https://www.newspapers.com/image/14568393/?terms=student%2Bshot%2Bhouston</v>
      </c>
      <c r="L2057" s="5"/>
      <c r="M2057" s="5"/>
      <c r="N2057" s="5">
        <f ca="1">IFERROR(__xludf.DUMMYFUNCTION("""COMPUTED_VALUE"""),2)</f>
        <v>2</v>
      </c>
      <c r="O2057" s="5" t="str">
        <f ca="1">IFERROR(__xludf.DUMMYFUNCTION("""COMPUTED_VALUE"""),"Spring")</f>
        <v>Spring</v>
      </c>
      <c r="P2057" s="5" t="str">
        <f ca="1">IFERROR(__xludf.DUMMYFUNCTION("""COMPUTED_VALUE"""),"Pleasant Hill")</f>
        <v>Pleasant Hill</v>
      </c>
      <c r="Q2057" s="5" t="str">
        <f ca="1">IFERROR(__xludf.DUMMYFUNCTION("""COMPUTED_VALUE"""),"IA")</f>
        <v>IA</v>
      </c>
      <c r="R2057" s="5" t="str">
        <f ca="1">IFERROR(__xludf.DUMMYFUNCTION("""COMPUTED_VALUE"""),"High")</f>
        <v>High</v>
      </c>
      <c r="S2057" s="5" t="str">
        <f ca="1">IFERROR(__xludf.DUMMYFUNCTION("""COMPUTED_VALUE"""),"Classroom")</f>
        <v>Classroom</v>
      </c>
      <c r="T2057" s="5" t="str">
        <f ca="1">IFERROR(__xludf.DUMMYFUNCTION("""COMPUTED_VALUE"""),"Inside School Building")</f>
        <v>Inside School Building</v>
      </c>
      <c r="U2057" s="5" t="str">
        <f ca="1">IFERROR(__xludf.DUMMYFUNCTION("""COMPUTED_VALUE"""),"Yes")</f>
        <v>Yes</v>
      </c>
      <c r="V2057" s="5" t="str">
        <f ca="1">IFERROR(__xludf.DUMMYFUNCTION("""COMPUTED_VALUE"""),"Morning Classes")</f>
        <v>Morning Classes</v>
      </c>
      <c r="W2057" s="10">
        <f ca="1">IFERROR(__xludf.DUMMYFUNCTION("""COMPUTED_VALUE"""),0.447916666666666)</f>
        <v>0.44791666666666602</v>
      </c>
      <c r="X2057" s="5">
        <f ca="1">IFERROR(__xludf.DUMMYFUNCTION("""COMPUTED_VALUE"""),1)</f>
        <v>1</v>
      </c>
      <c r="Y2057" s="5" t="str">
        <f ca="1">IFERROR(__xludf.DUMMYFUNCTION("""COMPUTED_VALUE"""),"Shot girlfriend and then self after break-up")</f>
        <v>Shot girlfriend and then self after break-up</v>
      </c>
      <c r="Z2057" s="5" t="str">
        <f ca="1">IFERROR(__xludf.DUMMYFUNCTION("""COMPUTED_VALUE"""),"Shooter had been stalking victim. Shot her multiple times in classroom and then shot himself. Bought gun from a friend - parents had no idea he had a weapon")</f>
        <v>Shooter had been stalking victim. Shot her multiple times in classroom and then shot himself. Bought gun from a friend - parents had no idea he had a weapon</v>
      </c>
      <c r="AA2057" s="5" t="str">
        <f ca="1">IFERROR(__xludf.DUMMYFUNCTION("""COMPUTED_VALUE"""),"Murder/Suicide")</f>
        <v>Murder/Suicide</v>
      </c>
      <c r="AB2057" s="5" t="str">
        <f ca="1">IFERROR(__xludf.DUMMYFUNCTION("""COMPUTED_VALUE"""),"Victims Targeted")</f>
        <v>Victims Targeted</v>
      </c>
      <c r="AC2057" s="5" t="str">
        <f ca="1">IFERROR(__xludf.DUMMYFUNCTION("""COMPUTED_VALUE"""),"No")</f>
        <v>No</v>
      </c>
      <c r="AD2057" s="5" t="str">
        <f ca="1">IFERROR(__xludf.DUMMYFUNCTION("""COMPUTED_VALUE"""),"No")</f>
        <v>No</v>
      </c>
      <c r="AE2057" s="5" t="str">
        <f ca="1">IFERROR(__xludf.DUMMYFUNCTION("""COMPUTED_VALUE"""),"No")</f>
        <v>No</v>
      </c>
      <c r="AF2057" s="5" t="str">
        <f ca="1">IFERROR(__xludf.DUMMYFUNCTION("""COMPUTED_VALUE"""),"No")</f>
        <v>No</v>
      </c>
      <c r="AG2057" s="5" t="str">
        <f ca="1">IFERROR(__xludf.DUMMYFUNCTION("""COMPUTED_VALUE"""),"No")</f>
        <v>No</v>
      </c>
      <c r="AH2057" s="5" t="str">
        <f ca="1">IFERROR(__xludf.DUMMYFUNCTION("""COMPUTED_VALUE"""),"No")</f>
        <v>No</v>
      </c>
      <c r="AI2057" s="5" t="str">
        <f ca="1">IFERROR(__xludf.DUMMYFUNCTION("""COMPUTED_VALUE"""),"No")</f>
        <v>No</v>
      </c>
      <c r="AJ2057" s="5"/>
    </row>
    <row r="2058" spans="1:36" ht="13">
      <c r="A2058" s="5" t="str">
        <f ca="1">IFERROR(__xludf.DUMMYFUNCTION("""COMPUTED_VALUE"""),"19840515MTCMG")</f>
        <v>19840515MTCMG</v>
      </c>
      <c r="B2058" s="5">
        <f ca="1">IFERROR(__xludf.DUMMYFUNCTION("""COMPUTED_VALUE"""),5)</f>
        <v>5</v>
      </c>
      <c r="C2058" s="5">
        <f ca="1">IFERROR(__xludf.DUMMYFUNCTION("""COMPUTED_VALUE"""),15)</f>
        <v>15</v>
      </c>
      <c r="D2058" s="5">
        <f ca="1">IFERROR(__xludf.DUMMYFUNCTION("""COMPUTED_VALUE"""),1984)</f>
        <v>1984</v>
      </c>
      <c r="E2058" s="8">
        <f ca="1">IFERROR(__xludf.DUMMYFUNCTION("""COMPUTED_VALUE"""),30817)</f>
        <v>30817</v>
      </c>
      <c r="F2058" s="5" t="str">
        <f ca="1">IFERROR(__xludf.DUMMYFUNCTION("""COMPUTED_VALUE"""),"C M Russell High School")</f>
        <v>C M Russell High School</v>
      </c>
      <c r="G2058" s="5">
        <f ca="1">IFERROR(__xludf.DUMMYFUNCTION("""COMPUTED_VALUE"""),0)</f>
        <v>0</v>
      </c>
      <c r="H2058" s="5">
        <f ca="1">IFERROR(__xludf.DUMMYFUNCTION("""COMPUTED_VALUE"""),0)</f>
        <v>0</v>
      </c>
      <c r="I2058" s="5">
        <f ca="1">IFERROR(__xludf.DUMMYFUNCTION("""COMPUTED_VALUE"""),0)</f>
        <v>0</v>
      </c>
      <c r="J2058" s="5">
        <f ca="1">IFERROR(__xludf.DUMMYFUNCTION("""COMPUTED_VALUE"""),0)</f>
        <v>0</v>
      </c>
      <c r="K2058" s="9" t="str">
        <f ca="1">IFERROR(__xludf.DUMMYFUNCTION("""COMPUTED_VALUE"""),"https://www.newspapers.com/image/240845256/?terms=STUDENT%2BSHOOTS")</f>
        <v>https://www.newspapers.com/image/240845256/?terms=STUDENT%2BSHOOTS</v>
      </c>
      <c r="L2058" s="5"/>
      <c r="M2058" s="5"/>
      <c r="N2058" s="5">
        <f ca="1">IFERROR(__xludf.DUMMYFUNCTION("""COMPUTED_VALUE"""),2)</f>
        <v>2</v>
      </c>
      <c r="O2058" s="5" t="str">
        <f ca="1">IFERROR(__xludf.DUMMYFUNCTION("""COMPUTED_VALUE"""),"Spring")</f>
        <v>Spring</v>
      </c>
      <c r="P2058" s="5" t="str">
        <f ca="1">IFERROR(__xludf.DUMMYFUNCTION("""COMPUTED_VALUE"""),"Great Falls")</f>
        <v>Great Falls</v>
      </c>
      <c r="Q2058" s="5" t="str">
        <f ca="1">IFERROR(__xludf.DUMMYFUNCTION("""COMPUTED_VALUE"""),"MT")</f>
        <v>MT</v>
      </c>
      <c r="R2058" s="5" t="str">
        <f ca="1">IFERROR(__xludf.DUMMYFUNCTION("""COMPUTED_VALUE"""),"High")</f>
        <v>High</v>
      </c>
      <c r="S2058" s="5" t="str">
        <f ca="1">IFERROR(__xludf.DUMMYFUNCTION("""COMPUTED_VALUE"""),"Parking Lot")</f>
        <v>Parking Lot</v>
      </c>
      <c r="T2058" s="5" t="str">
        <f ca="1">IFERROR(__xludf.DUMMYFUNCTION("""COMPUTED_VALUE"""),"Outside on School Property")</f>
        <v>Outside on School Property</v>
      </c>
      <c r="U2058" s="5" t="str">
        <f ca="1">IFERROR(__xludf.DUMMYFUNCTION("""COMPUTED_VALUE"""),"Yes")</f>
        <v>Yes</v>
      </c>
      <c r="V2058" s="5" t="str">
        <f ca="1">IFERROR(__xludf.DUMMYFUNCTION("""COMPUTED_VALUE"""),"After School")</f>
        <v>After School</v>
      </c>
      <c r="W2058" s="10">
        <f ca="1">IFERROR(__xludf.DUMMYFUNCTION("""COMPUTED_VALUE"""),0.604166666666666)</f>
        <v>0.60416666666666596</v>
      </c>
      <c r="X2058" s="5">
        <f ca="1">IFERROR(__xludf.DUMMYFUNCTION("""COMPUTED_VALUE"""),1)</f>
        <v>1</v>
      </c>
      <c r="Y2058" s="5" t="str">
        <f ca="1">IFERROR(__xludf.DUMMYFUNCTION("""COMPUTED_VALUE"""),"Student shot self in chest in school parking lot")</f>
        <v>Student shot self in chest in school parking lot</v>
      </c>
      <c r="Z2058" s="5" t="str">
        <f ca="1">IFERROR(__xludf.DUMMYFUNCTION("""COMPUTED_VALUE"""),"Senior shot himself in the chest with a .22 caliber rifle while sitting in his car in school parking lot -")</f>
        <v>Senior shot himself in the chest with a .22 caliber rifle while sitting in his car in school parking lot -</v>
      </c>
      <c r="AA2058" s="5" t="str">
        <f ca="1">IFERROR(__xludf.DUMMYFUNCTION("""COMPUTED_VALUE"""),"Suicide/Attempted")</f>
        <v>Suicide/Attempted</v>
      </c>
      <c r="AB2058" s="5" t="str">
        <f ca="1">IFERROR(__xludf.DUMMYFUNCTION("""COMPUTED_VALUE"""),"Victims Targeted")</f>
        <v>Victims Targeted</v>
      </c>
      <c r="AC2058" s="5" t="str">
        <f ca="1">IFERROR(__xludf.DUMMYFUNCTION("""COMPUTED_VALUE"""),"No")</f>
        <v>No</v>
      </c>
      <c r="AD2058" s="5" t="str">
        <f ca="1">IFERROR(__xludf.DUMMYFUNCTION("""COMPUTED_VALUE"""),"No")</f>
        <v>No</v>
      </c>
      <c r="AE2058" s="5" t="str">
        <f ca="1">IFERROR(__xludf.DUMMYFUNCTION("""COMPUTED_VALUE"""),"No")</f>
        <v>No</v>
      </c>
      <c r="AF2058" s="5" t="str">
        <f ca="1">IFERROR(__xludf.DUMMYFUNCTION("""COMPUTED_VALUE"""),"No")</f>
        <v>No</v>
      </c>
      <c r="AG2058" s="5" t="str">
        <f ca="1">IFERROR(__xludf.DUMMYFUNCTION("""COMPUTED_VALUE"""),"No")</f>
        <v>No</v>
      </c>
      <c r="AH2058" s="5" t="str">
        <f ca="1">IFERROR(__xludf.DUMMYFUNCTION("""COMPUTED_VALUE"""),"No")</f>
        <v>No</v>
      </c>
      <c r="AI2058" s="5" t="str">
        <f ca="1">IFERROR(__xludf.DUMMYFUNCTION("""COMPUTED_VALUE"""),"No")</f>
        <v>No</v>
      </c>
      <c r="AJ2058" s="5"/>
    </row>
    <row r="2059" spans="1:36" ht="13">
      <c r="A2059" s="5" t="str">
        <f ca="1">IFERROR(__xludf.DUMMYFUNCTION("""COMPUTED_VALUE"""),"19840426NCROW")</f>
        <v>19840426NCROW</v>
      </c>
      <c r="B2059" s="5">
        <f ca="1">IFERROR(__xludf.DUMMYFUNCTION("""COMPUTED_VALUE"""),4)</f>
        <v>4</v>
      </c>
      <c r="C2059" s="5">
        <f ca="1">IFERROR(__xludf.DUMMYFUNCTION("""COMPUTED_VALUE"""),26)</f>
        <v>26</v>
      </c>
      <c r="D2059" s="5">
        <f ca="1">IFERROR(__xludf.DUMMYFUNCTION("""COMPUTED_VALUE"""),1984)</f>
        <v>1984</v>
      </c>
      <c r="E2059" s="8">
        <f ca="1">IFERROR(__xludf.DUMMYFUNCTION("""COMPUTED_VALUE"""),30798)</f>
        <v>30798</v>
      </c>
      <c r="F2059" s="5" t="str">
        <f ca="1">IFERROR(__xludf.DUMMYFUNCTION("""COMPUTED_VALUE"""),"Rose Hill Magnolia Elementary School")</f>
        <v>Rose Hill Magnolia Elementary School</v>
      </c>
      <c r="G2059" s="5">
        <f ca="1">IFERROR(__xludf.DUMMYFUNCTION("""COMPUTED_VALUE"""),0)</f>
        <v>0</v>
      </c>
      <c r="H2059" s="5">
        <f ca="1">IFERROR(__xludf.DUMMYFUNCTION("""COMPUTED_VALUE"""),0)</f>
        <v>0</v>
      </c>
      <c r="I2059" s="5">
        <f ca="1">IFERROR(__xludf.DUMMYFUNCTION("""COMPUTED_VALUE"""),0)</f>
        <v>0</v>
      </c>
      <c r="J2059" s="5">
        <f ca="1">IFERROR(__xludf.DUMMYFUNCTION("""COMPUTED_VALUE"""),0)</f>
        <v>0</v>
      </c>
      <c r="K2059" s="9" t="str">
        <f ca="1">IFERROR(__xludf.DUMMYFUNCTION("""COMPUTED_VALUE"""),"https://www.newspapers.com/image/337840295/?terms=STUDENT%2BSHOOTS")</f>
        <v>https://www.newspapers.com/image/337840295/?terms=STUDENT%2BSHOOTS</v>
      </c>
      <c r="L2059" s="5"/>
      <c r="M2059" s="5"/>
      <c r="N2059" s="5">
        <f ca="1">IFERROR(__xludf.DUMMYFUNCTION("""COMPUTED_VALUE"""),2)</f>
        <v>2</v>
      </c>
      <c r="O2059" s="5" t="str">
        <f ca="1">IFERROR(__xludf.DUMMYFUNCTION("""COMPUTED_VALUE"""),"Spring")</f>
        <v>Spring</v>
      </c>
      <c r="P2059" s="5" t="str">
        <f ca="1">IFERROR(__xludf.DUMMYFUNCTION("""COMPUTED_VALUE"""),"Wallace")</f>
        <v>Wallace</v>
      </c>
      <c r="Q2059" s="5" t="str">
        <f ca="1">IFERROR(__xludf.DUMMYFUNCTION("""COMPUTED_VALUE"""),"NC")</f>
        <v>NC</v>
      </c>
      <c r="R2059" s="5" t="str">
        <f ca="1">IFERROR(__xludf.DUMMYFUNCTION("""COMPUTED_VALUE"""),"Elementary")</f>
        <v>Elementary</v>
      </c>
      <c r="S2059" s="5" t="str">
        <f ca="1">IFERROR(__xludf.DUMMYFUNCTION("""COMPUTED_VALUE"""),"Classroom")</f>
        <v>Classroom</v>
      </c>
      <c r="T2059" s="5" t="str">
        <f ca="1">IFERROR(__xludf.DUMMYFUNCTION("""COMPUTED_VALUE"""),"Inside School Building")</f>
        <v>Inside School Building</v>
      </c>
      <c r="U2059" s="5" t="str">
        <f ca="1">IFERROR(__xludf.DUMMYFUNCTION("""COMPUTED_VALUE"""),"Yes")</f>
        <v>Yes</v>
      </c>
      <c r="V2059" s="5"/>
      <c r="W2059" s="5"/>
      <c r="X2059" s="5">
        <f ca="1">IFERROR(__xludf.DUMMYFUNCTION("""COMPUTED_VALUE"""),1)</f>
        <v>1</v>
      </c>
      <c r="Y2059" s="5" t="str">
        <f ca="1">IFERROR(__xludf.DUMMYFUNCTION("""COMPUTED_VALUE"""),"Suicide attempt in front of classroom")</f>
        <v>Suicide attempt in front of classroom</v>
      </c>
      <c r="Z2059" s="5" t="str">
        <f ca="1">IFERROR(__xludf.DUMMYFUNCTION("""COMPUTED_VALUE"""),"Student stood up in front of his fifth grade class, declared no one loved him then shot himself")</f>
        <v>Student stood up in front of his fifth grade class, declared no one loved him then shot himself</v>
      </c>
      <c r="AA2059" s="5" t="str">
        <f ca="1">IFERROR(__xludf.DUMMYFUNCTION("""COMPUTED_VALUE"""),"Suicide/Attempted")</f>
        <v>Suicide/Attempted</v>
      </c>
      <c r="AB2059" s="5" t="str">
        <f ca="1">IFERROR(__xludf.DUMMYFUNCTION("""COMPUTED_VALUE"""),"Victims Targeted")</f>
        <v>Victims Targeted</v>
      </c>
      <c r="AC2059" s="5" t="str">
        <f ca="1">IFERROR(__xludf.DUMMYFUNCTION("""COMPUTED_VALUE"""),"No")</f>
        <v>No</v>
      </c>
      <c r="AD2059" s="5" t="str">
        <f ca="1">IFERROR(__xludf.DUMMYFUNCTION("""COMPUTED_VALUE"""),"No")</f>
        <v>No</v>
      </c>
      <c r="AE2059" s="5" t="str">
        <f ca="1">IFERROR(__xludf.DUMMYFUNCTION("""COMPUTED_VALUE"""),"No")</f>
        <v>No</v>
      </c>
      <c r="AF2059" s="5" t="str">
        <f ca="1">IFERROR(__xludf.DUMMYFUNCTION("""COMPUTED_VALUE"""),"No")</f>
        <v>No</v>
      </c>
      <c r="AG2059" s="5" t="str">
        <f ca="1">IFERROR(__xludf.DUMMYFUNCTION("""COMPUTED_VALUE"""),"No")</f>
        <v>No</v>
      </c>
      <c r="AH2059" s="5" t="str">
        <f ca="1">IFERROR(__xludf.DUMMYFUNCTION("""COMPUTED_VALUE"""),"No")</f>
        <v>No</v>
      </c>
      <c r="AI2059" s="5" t="str">
        <f ca="1">IFERROR(__xludf.DUMMYFUNCTION("""COMPUTED_VALUE"""),"No")</f>
        <v>No</v>
      </c>
      <c r="AJ2059" s="5"/>
    </row>
    <row r="2060" spans="1:36" ht="13">
      <c r="A2060" s="5" t="str">
        <f ca="1">IFERROR(__xludf.DUMMYFUNCTION("""COMPUTED_VALUE"""),"19840420MIPRD")</f>
        <v>19840420MIPRD</v>
      </c>
      <c r="B2060" s="5">
        <f ca="1">IFERROR(__xludf.DUMMYFUNCTION("""COMPUTED_VALUE"""),4)</f>
        <v>4</v>
      </c>
      <c r="C2060" s="5">
        <f ca="1">IFERROR(__xludf.DUMMYFUNCTION("""COMPUTED_VALUE"""),20)</f>
        <v>20</v>
      </c>
      <c r="D2060" s="5">
        <f ca="1">IFERROR(__xludf.DUMMYFUNCTION("""COMPUTED_VALUE"""),1984)</f>
        <v>1984</v>
      </c>
      <c r="E2060" s="8">
        <f ca="1">IFERROR(__xludf.DUMMYFUNCTION("""COMPUTED_VALUE"""),30792)</f>
        <v>30792</v>
      </c>
      <c r="F2060" s="5" t="str">
        <f ca="1">IFERROR(__xludf.DUMMYFUNCTION("""COMPUTED_VALUE"""),"Precious Blood School")</f>
        <v>Precious Blood School</v>
      </c>
      <c r="G2060" s="5">
        <f ca="1">IFERROR(__xludf.DUMMYFUNCTION("""COMPUTED_VALUE"""),1)</f>
        <v>1</v>
      </c>
      <c r="H2060" s="5">
        <f ca="1">IFERROR(__xludf.DUMMYFUNCTION("""COMPUTED_VALUE"""),0)</f>
        <v>0</v>
      </c>
      <c r="I2060" s="5">
        <f ca="1">IFERROR(__xludf.DUMMYFUNCTION("""COMPUTED_VALUE"""),1)</f>
        <v>1</v>
      </c>
      <c r="J2060" s="5">
        <f ca="1">IFERROR(__xludf.DUMMYFUNCTION("""COMPUTED_VALUE"""),0)</f>
        <v>0</v>
      </c>
      <c r="K2060" s="9" t="str">
        <f ca="1">IFERROR(__xludf.DUMMYFUNCTION("""COMPUTED_VALUE"""),"https://www.newspapers.com/newspage/99072089/")</f>
        <v>https://www.newspapers.com/newspage/99072089/</v>
      </c>
      <c r="L2060" s="5"/>
      <c r="M2060" s="5"/>
      <c r="N2060" s="5">
        <f ca="1">IFERROR(__xludf.DUMMYFUNCTION("""COMPUTED_VALUE"""),2)</f>
        <v>2</v>
      </c>
      <c r="O2060" s="5" t="str">
        <f ca="1">IFERROR(__xludf.DUMMYFUNCTION("""COMPUTED_VALUE"""),"Spring")</f>
        <v>Spring</v>
      </c>
      <c r="P2060" s="5" t="str">
        <f ca="1">IFERROR(__xludf.DUMMYFUNCTION("""COMPUTED_VALUE"""),"Detroit")</f>
        <v>Detroit</v>
      </c>
      <c r="Q2060" s="5" t="str">
        <f ca="1">IFERROR(__xludf.DUMMYFUNCTION("""COMPUTED_VALUE"""),"MI")</f>
        <v>MI</v>
      </c>
      <c r="R2060" s="5" t="str">
        <f ca="1">IFERROR(__xludf.DUMMYFUNCTION("""COMPUTED_VALUE"""),"K-12")</f>
        <v>K-12</v>
      </c>
      <c r="S2060" s="5" t="str">
        <f ca="1">IFERROR(__xludf.DUMMYFUNCTION("""COMPUTED_VALUE"""),"Classroom")</f>
        <v>Classroom</v>
      </c>
      <c r="T2060" s="5" t="str">
        <f ca="1">IFERROR(__xludf.DUMMYFUNCTION("""COMPUTED_VALUE"""),"Inside School Building")</f>
        <v>Inside School Building</v>
      </c>
      <c r="U2060" s="5" t="str">
        <f ca="1">IFERROR(__xludf.DUMMYFUNCTION("""COMPUTED_VALUE"""),"Yes")</f>
        <v>Yes</v>
      </c>
      <c r="V2060" s="5"/>
      <c r="W2060" s="5"/>
      <c r="X2060" s="5">
        <f ca="1">IFERROR(__xludf.DUMMYFUNCTION("""COMPUTED_VALUE"""),1)</f>
        <v>1</v>
      </c>
      <c r="Y2060" s="5" t="str">
        <f ca="1">IFERROR(__xludf.DUMMYFUNCTION("""COMPUTED_VALUE"""),"Accidental while showing off gun")</f>
        <v>Accidental while showing off gun</v>
      </c>
      <c r="Z2060" s="5" t="str">
        <f ca="1">IFERROR(__xludf.DUMMYFUNCTION("""COMPUTED_VALUE"""),"8th grade student brought gun to school, friend was looking at it and accidentally fired striking victim in head.")</f>
        <v>8th grade student brought gun to school, friend was looking at it and accidentally fired striking victim in head.</v>
      </c>
      <c r="AA2060" s="5" t="str">
        <f ca="1">IFERROR(__xludf.DUMMYFUNCTION("""COMPUTED_VALUE"""),"Accidental")</f>
        <v>Accidental</v>
      </c>
      <c r="AB2060" s="5" t="str">
        <f ca="1">IFERROR(__xludf.DUMMYFUNCTION("""COMPUTED_VALUE"""),"Random Shooting")</f>
        <v>Random Shooting</v>
      </c>
      <c r="AC2060" s="5" t="str">
        <f ca="1">IFERROR(__xludf.DUMMYFUNCTION("""COMPUTED_VALUE"""),"No")</f>
        <v>No</v>
      </c>
      <c r="AD2060" s="5" t="str">
        <f ca="1">IFERROR(__xludf.DUMMYFUNCTION("""COMPUTED_VALUE"""),"No")</f>
        <v>No</v>
      </c>
      <c r="AE2060" s="5" t="str">
        <f ca="1">IFERROR(__xludf.DUMMYFUNCTION("""COMPUTED_VALUE"""),"No")</f>
        <v>No</v>
      </c>
      <c r="AF2060" s="5" t="str">
        <f ca="1">IFERROR(__xludf.DUMMYFUNCTION("""COMPUTED_VALUE"""),"No")</f>
        <v>No</v>
      </c>
      <c r="AG2060" s="5" t="str">
        <f ca="1">IFERROR(__xludf.DUMMYFUNCTION("""COMPUTED_VALUE"""),"No")</f>
        <v>No</v>
      </c>
      <c r="AH2060" s="5" t="str">
        <f ca="1">IFERROR(__xludf.DUMMYFUNCTION("""COMPUTED_VALUE"""),"No")</f>
        <v>No</v>
      </c>
      <c r="AI2060" s="5" t="str">
        <f ca="1">IFERROR(__xludf.DUMMYFUNCTION("""COMPUTED_VALUE"""),"No")</f>
        <v>No</v>
      </c>
      <c r="AJ2060" s="5"/>
    </row>
    <row r="2061" spans="1:36" ht="13">
      <c r="A2061" s="5" t="str">
        <f ca="1">IFERROR(__xludf.DUMMYFUNCTION("""COMPUTED_VALUE"""),"19840405LACLC")</f>
        <v>19840405LACLC</v>
      </c>
      <c r="B2061" s="5">
        <f ca="1">IFERROR(__xludf.DUMMYFUNCTION("""COMPUTED_VALUE"""),4)</f>
        <v>4</v>
      </c>
      <c r="C2061" s="5">
        <f ca="1">IFERROR(__xludf.DUMMYFUNCTION("""COMPUTED_VALUE"""),5)</f>
        <v>5</v>
      </c>
      <c r="D2061" s="5">
        <f ca="1">IFERROR(__xludf.DUMMYFUNCTION("""COMPUTED_VALUE"""),1984)</f>
        <v>1984</v>
      </c>
      <c r="E2061" s="8">
        <f ca="1">IFERROR(__xludf.DUMMYFUNCTION("""COMPUTED_VALUE"""),30777)</f>
        <v>30777</v>
      </c>
      <c r="F2061" s="5" t="str">
        <f ca="1">IFERROR(__xludf.DUMMYFUNCTION("""COMPUTED_VALUE"""),"Clinton High School")</f>
        <v>Clinton High School</v>
      </c>
      <c r="G2061" s="5">
        <f ca="1">IFERROR(__xludf.DUMMYFUNCTION("""COMPUTED_VALUE"""),0)</f>
        <v>0</v>
      </c>
      <c r="H2061" s="5">
        <f ca="1">IFERROR(__xludf.DUMMYFUNCTION("""COMPUTED_VALUE"""),1)</f>
        <v>1</v>
      </c>
      <c r="I2061" s="5">
        <f ca="1">IFERROR(__xludf.DUMMYFUNCTION("""COMPUTED_VALUE"""),1)</f>
        <v>1</v>
      </c>
      <c r="J2061" s="5">
        <f ca="1">IFERROR(__xludf.DUMMYFUNCTION("""COMPUTED_VALUE"""),0)</f>
        <v>0</v>
      </c>
      <c r="K2061" s="9" t="str">
        <f ca="1">IFERROR(__xludf.DUMMYFUNCTION("""COMPUTED_VALUE"""),"https://www.newspapers.com/image/216585063/?terms=student%2Bshot")</f>
        <v>https://www.newspapers.com/image/216585063/?terms=student%2Bshot</v>
      </c>
      <c r="L2061" s="5"/>
      <c r="M2061" s="5"/>
      <c r="N2061" s="5">
        <f ca="1">IFERROR(__xludf.DUMMYFUNCTION("""COMPUTED_VALUE"""),2)</f>
        <v>2</v>
      </c>
      <c r="O2061" s="5" t="str">
        <f ca="1">IFERROR(__xludf.DUMMYFUNCTION("""COMPUTED_VALUE"""),"Spring")</f>
        <v>Spring</v>
      </c>
      <c r="P2061" s="5" t="str">
        <f ca="1">IFERROR(__xludf.DUMMYFUNCTION("""COMPUTED_VALUE"""),"Clinton")</f>
        <v>Clinton</v>
      </c>
      <c r="Q2061" s="5" t="str">
        <f ca="1">IFERROR(__xludf.DUMMYFUNCTION("""COMPUTED_VALUE"""),"LA")</f>
        <v>LA</v>
      </c>
      <c r="R2061" s="5" t="str">
        <f ca="1">IFERROR(__xludf.DUMMYFUNCTION("""COMPUTED_VALUE"""),"High")</f>
        <v>High</v>
      </c>
      <c r="S2061" s="5" t="str">
        <f ca="1">IFERROR(__xludf.DUMMYFUNCTION("""COMPUTED_VALUE"""),"Auditorium")</f>
        <v>Auditorium</v>
      </c>
      <c r="T2061" s="5" t="str">
        <f ca="1">IFERROR(__xludf.DUMMYFUNCTION("""COMPUTED_VALUE"""),"Inside School Building")</f>
        <v>Inside School Building</v>
      </c>
      <c r="U2061" s="5" t="str">
        <f ca="1">IFERROR(__xludf.DUMMYFUNCTION("""COMPUTED_VALUE"""),"Yes")</f>
        <v>Yes</v>
      </c>
      <c r="V2061" s="5"/>
      <c r="W2061" s="5"/>
      <c r="X2061" s="5">
        <f ca="1">IFERROR(__xludf.DUMMYFUNCTION("""COMPUTED_VALUE"""),1)</f>
        <v>1</v>
      </c>
      <c r="Y2061" s="5" t="str">
        <f ca="1">IFERROR(__xludf.DUMMYFUNCTION("""COMPUTED_VALUE"""),"Ongoing conflicts with fellow students")</f>
        <v>Ongoing conflicts with fellow students</v>
      </c>
      <c r="Z2061" s="5" t="str">
        <f ca="1">IFERROR(__xludf.DUMMYFUNCTION("""COMPUTED_VALUE"""),"Ongoing escalation of conflict between two students - shooting occurred in crowded auditorium")</f>
        <v>Ongoing escalation of conflict between two students - shooting occurred in crowded auditorium</v>
      </c>
      <c r="AA2061" s="5" t="str">
        <f ca="1">IFERROR(__xludf.DUMMYFUNCTION("""COMPUTED_VALUE"""),"Escalation of Dispute")</f>
        <v>Escalation of Dispute</v>
      </c>
      <c r="AB2061" s="5" t="str">
        <f ca="1">IFERROR(__xludf.DUMMYFUNCTION("""COMPUTED_VALUE"""),"Victims Targeted")</f>
        <v>Victims Targeted</v>
      </c>
      <c r="AC2061" s="5" t="str">
        <f ca="1">IFERROR(__xludf.DUMMYFUNCTION("""COMPUTED_VALUE"""),"No")</f>
        <v>No</v>
      </c>
      <c r="AD2061" s="5" t="str">
        <f ca="1">IFERROR(__xludf.DUMMYFUNCTION("""COMPUTED_VALUE"""),"No")</f>
        <v>No</v>
      </c>
      <c r="AE2061" s="5" t="str">
        <f ca="1">IFERROR(__xludf.DUMMYFUNCTION("""COMPUTED_VALUE"""),"No")</f>
        <v>No</v>
      </c>
      <c r="AF2061" s="5" t="str">
        <f ca="1">IFERROR(__xludf.DUMMYFUNCTION("""COMPUTED_VALUE"""),"No")</f>
        <v>No</v>
      </c>
      <c r="AG2061" s="5"/>
      <c r="AH2061" s="5" t="str">
        <f ca="1">IFERROR(__xludf.DUMMYFUNCTION("""COMPUTED_VALUE"""),"No")</f>
        <v>No</v>
      </c>
      <c r="AI2061" s="5" t="str">
        <f ca="1">IFERROR(__xludf.DUMMYFUNCTION("""COMPUTED_VALUE"""),"No")</f>
        <v>No</v>
      </c>
      <c r="AJ2061" s="5"/>
    </row>
    <row r="2062" spans="1:36" ht="13">
      <c r="A2062" s="5" t="str">
        <f ca="1">IFERROR(__xludf.DUMMYFUNCTION("""COMPUTED_VALUE"""),"19840224CA49L")</f>
        <v>19840224CA49L</v>
      </c>
      <c r="B2062" s="5">
        <f ca="1">IFERROR(__xludf.DUMMYFUNCTION("""COMPUTED_VALUE"""),2)</f>
        <v>2</v>
      </c>
      <c r="C2062" s="5">
        <f ca="1">IFERROR(__xludf.DUMMYFUNCTION("""COMPUTED_VALUE"""),24)</f>
        <v>24</v>
      </c>
      <c r="D2062" s="5">
        <f ca="1">IFERROR(__xludf.DUMMYFUNCTION("""COMPUTED_VALUE"""),1984)</f>
        <v>1984</v>
      </c>
      <c r="E2062" s="8">
        <f ca="1">IFERROR(__xludf.DUMMYFUNCTION("""COMPUTED_VALUE"""),30736)</f>
        <v>30736</v>
      </c>
      <c r="F2062" s="5" t="str">
        <f ca="1">IFERROR(__xludf.DUMMYFUNCTION("""COMPUTED_VALUE"""),"49th Street Elementary School")</f>
        <v>49th Street Elementary School</v>
      </c>
      <c r="G2062" s="5">
        <f ca="1">IFERROR(__xludf.DUMMYFUNCTION("""COMPUTED_VALUE"""),2)</f>
        <v>2</v>
      </c>
      <c r="H2062" s="5">
        <f ca="1">IFERROR(__xludf.DUMMYFUNCTION("""COMPUTED_VALUE"""),8)</f>
        <v>8</v>
      </c>
      <c r="I2062" s="5">
        <f ca="1">IFERROR(__xludf.DUMMYFUNCTION("""COMPUTED_VALUE"""),10)</f>
        <v>10</v>
      </c>
      <c r="J2062" s="5">
        <f ca="1">IFERROR(__xludf.DUMMYFUNCTION("""COMPUTED_VALUE"""),1)</f>
        <v>1</v>
      </c>
      <c r="K2062" s="5" t="str">
        <f ca="1">IFERROR(__xludf.DUMMYFUNCTION("""COMPUTED_VALUE"""),"https://www.nytimes.com/1984/02/25/us/girl-killed-11-shot-at-school-on-coast-suspect-found-dead.html, https://en.wikipedia.org/wiki/Tyrone_Mitchell,")</f>
        <v>https://www.nytimes.com/1984/02/25/us/girl-killed-11-shot-at-school-on-coast-suspect-found-dead.html, https://en.wikipedia.org/wiki/Tyrone_Mitchell,</v>
      </c>
      <c r="L2062" s="5"/>
      <c r="M2062" s="5"/>
      <c r="N2062" s="5">
        <f ca="1">IFERROR(__xludf.DUMMYFUNCTION("""COMPUTED_VALUE"""),3)</f>
        <v>3</v>
      </c>
      <c r="O2062" s="5" t="str">
        <f ca="1">IFERROR(__xludf.DUMMYFUNCTION("""COMPUTED_VALUE"""),"Winter")</f>
        <v>Winter</v>
      </c>
      <c r="P2062" s="5" t="str">
        <f ca="1">IFERROR(__xludf.DUMMYFUNCTION("""COMPUTED_VALUE"""),"Los Angeles")</f>
        <v>Los Angeles</v>
      </c>
      <c r="Q2062" s="5" t="str">
        <f ca="1">IFERROR(__xludf.DUMMYFUNCTION("""COMPUTED_VALUE"""),"CA")</f>
        <v>CA</v>
      </c>
      <c r="R2062" s="5" t="str">
        <f ca="1">IFERROR(__xludf.DUMMYFUNCTION("""COMPUTED_VALUE"""),"Elementary")</f>
        <v>Elementary</v>
      </c>
      <c r="S2062" s="5" t="str">
        <f ca="1">IFERROR(__xludf.DUMMYFUNCTION("""COMPUTED_VALUE"""),"Playground")</f>
        <v>Playground</v>
      </c>
      <c r="T2062" s="5" t="str">
        <f ca="1">IFERROR(__xludf.DUMMYFUNCTION("""COMPUTED_VALUE"""),"Off School Property")</f>
        <v>Off School Property</v>
      </c>
      <c r="U2062" s="5" t="str">
        <f ca="1">IFERROR(__xludf.DUMMYFUNCTION("""COMPUTED_VALUE"""),"Yes")</f>
        <v>Yes</v>
      </c>
      <c r="V2062" s="5" t="str">
        <f ca="1">IFERROR(__xludf.DUMMYFUNCTION("""COMPUTED_VALUE"""),"After School")</f>
        <v>After School</v>
      </c>
      <c r="W2062" s="10">
        <f ca="1">IFERROR(__xludf.DUMMYFUNCTION("""COMPUTED_VALUE"""),0.599305555555555)</f>
        <v>0.59930555555555498</v>
      </c>
      <c r="X2062" s="5"/>
      <c r="Y2062" s="5" t="str">
        <f ca="1">IFERROR(__xludf.DUMMYFUNCTION("""COMPUTED_VALUE"""),"Shot multiple students from house across the street during mental breakdown")</f>
        <v>Shot multiple students from house across the street during mental breakdown</v>
      </c>
      <c r="Z2062" s="5" t="str">
        <f ca="1">IFERROR(__xludf.DUMMYFUNCTION("""COMPUTED_VALUE"""),"Lived across the street from school - shot at kids on playground from the second story window of his house. He had previously lost 4 sisters, both parents and a brother in a mass murder/suicide in Jonestown Guyana in 1978. girlfriend said he suffered a me"&amp;"ntal breakdown after this loss.")</f>
        <v>Lived across the street from school - shot at kids on playground from the second story window of his house. He had previously lost 4 sisters, both parents and a brother in a mass murder/suicide in Jonestown Guyana in 1978. girlfriend said he suffered a mental breakdown after this loss.</v>
      </c>
      <c r="AA2062" s="5" t="str">
        <f ca="1">IFERROR(__xludf.DUMMYFUNCTION("""COMPUTED_VALUE"""),"Psychosis")</f>
        <v>Psychosis</v>
      </c>
      <c r="AB2062" s="5" t="str">
        <f ca="1">IFERROR(__xludf.DUMMYFUNCTION("""COMPUTED_VALUE"""),"Random Shooting")</f>
        <v>Random Shooting</v>
      </c>
      <c r="AC2062" s="5" t="str">
        <f ca="1">IFERROR(__xludf.DUMMYFUNCTION("""COMPUTED_VALUE"""),"No")</f>
        <v>No</v>
      </c>
      <c r="AD2062" s="5" t="str">
        <f ca="1">IFERROR(__xludf.DUMMYFUNCTION("""COMPUTED_VALUE"""),"No")</f>
        <v>No</v>
      </c>
      <c r="AE2062" s="5" t="str">
        <f ca="1">IFERROR(__xludf.DUMMYFUNCTION("""COMPUTED_VALUE"""),"No")</f>
        <v>No</v>
      </c>
      <c r="AF2062" s="5" t="str">
        <f ca="1">IFERROR(__xludf.DUMMYFUNCTION("""COMPUTED_VALUE"""),"No")</f>
        <v>No</v>
      </c>
      <c r="AG2062" s="5" t="str">
        <f ca="1">IFERROR(__xludf.DUMMYFUNCTION("""COMPUTED_VALUE"""),"No")</f>
        <v>No</v>
      </c>
      <c r="AH2062" s="5" t="str">
        <f ca="1">IFERROR(__xludf.DUMMYFUNCTION("""COMPUTED_VALUE"""),"No")</f>
        <v>No</v>
      </c>
      <c r="AI2062" s="5" t="str">
        <f ca="1">IFERROR(__xludf.DUMMYFUNCTION("""COMPUTED_VALUE"""),"No")</f>
        <v>No</v>
      </c>
      <c r="AJ2062" s="5" t="str">
        <f ca="1">IFERROR(__xludf.DUMMYFUNCTION("""COMPUTED_VALUE"""),"Yes")</f>
        <v>Yes</v>
      </c>
    </row>
    <row r="2063" spans="1:36" ht="13">
      <c r="A2063" s="5" t="str">
        <f ca="1">IFERROR(__xludf.DUMMYFUNCTION("""COMPUTED_VALUE"""),"19840221TXSHH")</f>
        <v>19840221TXSHH</v>
      </c>
      <c r="B2063" s="5">
        <f ca="1">IFERROR(__xludf.DUMMYFUNCTION("""COMPUTED_VALUE"""),2)</f>
        <v>2</v>
      </c>
      <c r="C2063" s="5">
        <f ca="1">IFERROR(__xludf.DUMMYFUNCTION("""COMPUTED_VALUE"""),21)</f>
        <v>21</v>
      </c>
      <c r="D2063" s="5">
        <f ca="1">IFERROR(__xludf.DUMMYFUNCTION("""COMPUTED_VALUE"""),1984)</f>
        <v>1984</v>
      </c>
      <c r="E2063" s="8">
        <f ca="1">IFERROR(__xludf.DUMMYFUNCTION("""COMPUTED_VALUE"""),30733)</f>
        <v>30733</v>
      </c>
      <c r="F2063" s="5" t="str">
        <f ca="1">IFERROR(__xludf.DUMMYFUNCTION("""COMPUTED_VALUE"""),"Sharpstown High School")</f>
        <v>Sharpstown High School</v>
      </c>
      <c r="G2063" s="5">
        <f ca="1">IFERROR(__xludf.DUMMYFUNCTION("""COMPUTED_VALUE"""),0)</f>
        <v>0</v>
      </c>
      <c r="H2063" s="5">
        <f ca="1">IFERROR(__xludf.DUMMYFUNCTION("""COMPUTED_VALUE"""),1)</f>
        <v>1</v>
      </c>
      <c r="I2063" s="5">
        <f ca="1">IFERROR(__xludf.DUMMYFUNCTION("""COMPUTED_VALUE"""),1)</f>
        <v>1</v>
      </c>
      <c r="J2063" s="5">
        <f ca="1">IFERROR(__xludf.DUMMYFUNCTION("""COMPUTED_VALUE"""),0)</f>
        <v>0</v>
      </c>
      <c r="K2063" s="9" t="str">
        <f ca="1">IFERROR(__xludf.DUMMYFUNCTION("""COMPUTED_VALUE"""),"https://www.newspapers.com/image/439511158/?terms=sharpstown%2Bhigh%2Bschool%2Bteacher")</f>
        <v>https://www.newspapers.com/image/439511158/?terms=sharpstown%2Bhigh%2Bschool%2Bteacher</v>
      </c>
      <c r="L2063" s="5"/>
      <c r="M2063" s="5"/>
      <c r="N2063" s="5">
        <f ca="1">IFERROR(__xludf.DUMMYFUNCTION("""COMPUTED_VALUE"""),2)</f>
        <v>2</v>
      </c>
      <c r="O2063" s="5" t="str">
        <f ca="1">IFERROR(__xludf.DUMMYFUNCTION("""COMPUTED_VALUE"""),"Winter")</f>
        <v>Winter</v>
      </c>
      <c r="P2063" s="5" t="str">
        <f ca="1">IFERROR(__xludf.DUMMYFUNCTION("""COMPUTED_VALUE"""),"Houston")</f>
        <v>Houston</v>
      </c>
      <c r="Q2063" s="5" t="str">
        <f ca="1">IFERROR(__xludf.DUMMYFUNCTION("""COMPUTED_VALUE"""),"TX")</f>
        <v>TX</v>
      </c>
      <c r="R2063" s="5" t="str">
        <f ca="1">IFERROR(__xludf.DUMMYFUNCTION("""COMPUTED_VALUE"""),"High")</f>
        <v>High</v>
      </c>
      <c r="S2063" s="5" t="str">
        <f ca="1">IFERROR(__xludf.DUMMYFUNCTION("""COMPUTED_VALUE"""),"Classroom")</f>
        <v>Classroom</v>
      </c>
      <c r="T2063" s="5" t="str">
        <f ca="1">IFERROR(__xludf.DUMMYFUNCTION("""COMPUTED_VALUE"""),"Inside School Building")</f>
        <v>Inside School Building</v>
      </c>
      <c r="U2063" s="5" t="str">
        <f ca="1">IFERROR(__xludf.DUMMYFUNCTION("""COMPUTED_VALUE"""),"Yes")</f>
        <v>Yes</v>
      </c>
      <c r="V2063" s="5" t="str">
        <f ca="1">IFERROR(__xludf.DUMMYFUNCTION("""COMPUTED_VALUE"""),"Lunch")</f>
        <v>Lunch</v>
      </c>
      <c r="W2063" s="5"/>
      <c r="X2063" s="5">
        <f ca="1">IFERROR(__xludf.DUMMYFUNCTION("""COMPUTED_VALUE"""),1)</f>
        <v>1</v>
      </c>
      <c r="Y2063" s="5" t="str">
        <f ca="1">IFERROR(__xludf.DUMMYFUNCTION("""COMPUTED_VALUE"""),"Shooter shot teacher twice during lunch")</f>
        <v>Shooter shot teacher twice during lunch</v>
      </c>
      <c r="Z2063" s="5" t="str">
        <f ca="1">IFERROR(__xludf.DUMMYFUNCTION("""COMPUTED_VALUE"""),"Shooter shot teacher in teacher's classroom during lunch  period - shooter had previously failed teacher's class and was angry. Defense council stated shooter was stressed over family's expectations he achieve higher.")</f>
        <v>Shooter shot teacher in teacher's classroom during lunch  period - shooter had previously failed teacher's class and was angry. Defense council stated shooter was stressed over family's expectations he achieve higher.</v>
      </c>
      <c r="AA2063" s="5" t="str">
        <f ca="1">IFERROR(__xludf.DUMMYFUNCTION("""COMPUTED_VALUE"""),"Anger Over Grade/Suspension/Discipline")</f>
        <v>Anger Over Grade/Suspension/Discipline</v>
      </c>
      <c r="AB2063" s="5" t="str">
        <f ca="1">IFERROR(__xludf.DUMMYFUNCTION("""COMPUTED_VALUE"""),"Victims Targeted")</f>
        <v>Victims Targeted</v>
      </c>
      <c r="AC2063" s="5"/>
      <c r="AD2063" s="5" t="str">
        <f ca="1">IFERROR(__xludf.DUMMYFUNCTION("""COMPUTED_VALUE"""),"No")</f>
        <v>No</v>
      </c>
      <c r="AE2063" s="5" t="str">
        <f ca="1">IFERROR(__xludf.DUMMYFUNCTION("""COMPUTED_VALUE"""),"No")</f>
        <v>No</v>
      </c>
      <c r="AF2063" s="5" t="str">
        <f ca="1">IFERROR(__xludf.DUMMYFUNCTION("""COMPUTED_VALUE"""),"No")</f>
        <v>No</v>
      </c>
      <c r="AG2063" s="5" t="str">
        <f ca="1">IFERROR(__xludf.DUMMYFUNCTION("""COMPUTED_VALUE"""),"No")</f>
        <v>No</v>
      </c>
      <c r="AH2063" s="5" t="str">
        <f ca="1">IFERROR(__xludf.DUMMYFUNCTION("""COMPUTED_VALUE"""),"No")</f>
        <v>No</v>
      </c>
      <c r="AI2063" s="5" t="str">
        <f ca="1">IFERROR(__xludf.DUMMYFUNCTION("""COMPUTED_VALUE"""),"No")</f>
        <v>No</v>
      </c>
      <c r="AJ2063" s="5"/>
    </row>
    <row r="2064" spans="1:36" ht="13">
      <c r="A2064" s="5" t="str">
        <f ca="1">IFERROR(__xludf.DUMMYFUNCTION("""COMPUTED_VALUE"""),"19840206KYCEL")</f>
        <v>19840206KYCEL</v>
      </c>
      <c r="B2064" s="5">
        <f ca="1">IFERROR(__xludf.DUMMYFUNCTION("""COMPUTED_VALUE"""),2)</f>
        <v>2</v>
      </c>
      <c r="C2064" s="5">
        <f ca="1">IFERROR(__xludf.DUMMYFUNCTION("""COMPUTED_VALUE"""),6)</f>
        <v>6</v>
      </c>
      <c r="D2064" s="5">
        <f ca="1">IFERROR(__xludf.DUMMYFUNCTION("""COMPUTED_VALUE"""),1984)</f>
        <v>1984</v>
      </c>
      <c r="E2064" s="8">
        <f ca="1">IFERROR(__xludf.DUMMYFUNCTION("""COMPUTED_VALUE"""),30718)</f>
        <v>30718</v>
      </c>
      <c r="F2064" s="5" t="str">
        <f ca="1">IFERROR(__xludf.DUMMYFUNCTION("""COMPUTED_VALUE"""),"Central High School")</f>
        <v>Central High School</v>
      </c>
      <c r="G2064" s="5">
        <f ca="1">IFERROR(__xludf.DUMMYFUNCTION("""COMPUTED_VALUE"""),0)</f>
        <v>0</v>
      </c>
      <c r="H2064" s="5">
        <f ca="1">IFERROR(__xludf.DUMMYFUNCTION("""COMPUTED_VALUE"""),1)</f>
        <v>1</v>
      </c>
      <c r="I2064" s="5">
        <f ca="1">IFERROR(__xludf.DUMMYFUNCTION("""COMPUTED_VALUE"""),1)</f>
        <v>1</v>
      </c>
      <c r="J2064" s="5">
        <f ca="1">IFERROR(__xludf.DUMMYFUNCTION("""COMPUTED_VALUE"""),0)</f>
        <v>0</v>
      </c>
      <c r="K2064" s="9" t="str">
        <f ca="1">IFERROR(__xludf.DUMMYFUNCTION("""COMPUTED_VALUE"""),"https://www.newspapers.com/image/109675401/?terms=student%2Bshot")</f>
        <v>https://www.newspapers.com/image/109675401/?terms=student%2Bshot</v>
      </c>
      <c r="L2064" s="5"/>
      <c r="M2064" s="5"/>
      <c r="N2064" s="5">
        <f ca="1">IFERROR(__xludf.DUMMYFUNCTION("""COMPUTED_VALUE"""),2)</f>
        <v>2</v>
      </c>
      <c r="O2064" s="5" t="str">
        <f ca="1">IFERROR(__xludf.DUMMYFUNCTION("""COMPUTED_VALUE"""),"Winter")</f>
        <v>Winter</v>
      </c>
      <c r="P2064" s="5" t="str">
        <f ca="1">IFERROR(__xludf.DUMMYFUNCTION("""COMPUTED_VALUE"""),"Louisville")</f>
        <v>Louisville</v>
      </c>
      <c r="Q2064" s="5" t="str">
        <f ca="1">IFERROR(__xludf.DUMMYFUNCTION("""COMPUTED_VALUE"""),"KY")</f>
        <v>KY</v>
      </c>
      <c r="R2064" s="5" t="str">
        <f ca="1">IFERROR(__xludf.DUMMYFUNCTION("""COMPUTED_VALUE"""),"High")</f>
        <v>High</v>
      </c>
      <c r="S2064" s="5" t="str">
        <f ca="1">IFERROR(__xludf.DUMMYFUNCTION("""COMPUTED_VALUE"""),"Outside on School Property")</f>
        <v>Outside on School Property</v>
      </c>
      <c r="T2064" s="5" t="str">
        <f ca="1">IFERROR(__xludf.DUMMYFUNCTION("""COMPUTED_VALUE"""),"Outside on School Property")</f>
        <v>Outside on School Property</v>
      </c>
      <c r="U2064" s="5" t="str">
        <f ca="1">IFERROR(__xludf.DUMMYFUNCTION("""COMPUTED_VALUE"""),"Yes")</f>
        <v>Yes</v>
      </c>
      <c r="V2064" s="5" t="str">
        <f ca="1">IFERROR(__xludf.DUMMYFUNCTION("""COMPUTED_VALUE"""),"Lunch")</f>
        <v>Lunch</v>
      </c>
      <c r="W2064" s="5"/>
      <c r="X2064" s="5">
        <f ca="1">IFERROR(__xludf.DUMMYFUNCTION("""COMPUTED_VALUE"""),1)</f>
        <v>1</v>
      </c>
      <c r="Y2064" s="5" t="str">
        <f ca="1">IFERROR(__xludf.DUMMYFUNCTION("""COMPUTED_VALUE"""),"Argument in school hallway led to victim being shot")</f>
        <v>Argument in school hallway led to victim being shot</v>
      </c>
      <c r="Z2064" s="5" t="str">
        <f ca="1">IFERROR(__xludf.DUMMYFUNCTION("""COMPUTED_VALUE"""),"Ongoing conflict between students")</f>
        <v>Ongoing conflict between students</v>
      </c>
      <c r="AA2064" s="5" t="str">
        <f ca="1">IFERROR(__xludf.DUMMYFUNCTION("""COMPUTED_VALUE"""),"Escalation of Dispute")</f>
        <v>Escalation of Dispute</v>
      </c>
      <c r="AB2064" s="5" t="str">
        <f ca="1">IFERROR(__xludf.DUMMYFUNCTION("""COMPUTED_VALUE"""),"Victims Targeted")</f>
        <v>Victims Targeted</v>
      </c>
      <c r="AC2064" s="5" t="str">
        <f ca="1">IFERROR(__xludf.DUMMYFUNCTION("""COMPUTED_VALUE"""),"Yes")</f>
        <v>Yes</v>
      </c>
      <c r="AD2064" s="5" t="str">
        <f ca="1">IFERROR(__xludf.DUMMYFUNCTION("""COMPUTED_VALUE"""),"No")</f>
        <v>No</v>
      </c>
      <c r="AE2064" s="5" t="str">
        <f ca="1">IFERROR(__xludf.DUMMYFUNCTION("""COMPUTED_VALUE"""),"No")</f>
        <v>No</v>
      </c>
      <c r="AF2064" s="5" t="str">
        <f ca="1">IFERROR(__xludf.DUMMYFUNCTION("""COMPUTED_VALUE"""),"No")</f>
        <v>No</v>
      </c>
      <c r="AG2064" s="5" t="str">
        <f ca="1">IFERROR(__xludf.DUMMYFUNCTION("""COMPUTED_VALUE"""),"No")</f>
        <v>No</v>
      </c>
      <c r="AH2064" s="5" t="str">
        <f ca="1">IFERROR(__xludf.DUMMYFUNCTION("""COMPUTED_VALUE"""),"No")</f>
        <v>No</v>
      </c>
      <c r="AI2064" s="5" t="str">
        <f ca="1">IFERROR(__xludf.DUMMYFUNCTION("""COMPUTED_VALUE"""),"No")</f>
        <v>No</v>
      </c>
      <c r="AJ2064" s="5"/>
    </row>
    <row r="2065" spans="1:36" ht="13">
      <c r="A2065" s="5" t="str">
        <f ca="1">IFERROR(__xludf.DUMMYFUNCTION("""COMPUTED_VALUE"""),"19840105MDLAB")</f>
        <v>19840105MDLAB</v>
      </c>
      <c r="B2065" s="5">
        <f ca="1">IFERROR(__xludf.DUMMYFUNCTION("""COMPUTED_VALUE"""),1)</f>
        <v>1</v>
      </c>
      <c r="C2065" s="5">
        <f ca="1">IFERROR(__xludf.DUMMYFUNCTION("""COMPUTED_VALUE"""),5)</f>
        <v>5</v>
      </c>
      <c r="D2065" s="5">
        <f ca="1">IFERROR(__xludf.DUMMYFUNCTION("""COMPUTED_VALUE"""),1984)</f>
        <v>1984</v>
      </c>
      <c r="E2065" s="8">
        <f ca="1">IFERROR(__xludf.DUMMYFUNCTION("""COMPUTED_VALUE"""),30686)</f>
        <v>30686</v>
      </c>
      <c r="F2065" s="5" t="str">
        <f ca="1">IFERROR(__xludf.DUMMYFUNCTION("""COMPUTED_VALUE"""),"Lake Clifton Senior HIgh School")</f>
        <v>Lake Clifton Senior HIgh School</v>
      </c>
      <c r="G2065" s="5">
        <f ca="1">IFERROR(__xludf.DUMMYFUNCTION("""COMPUTED_VALUE"""),0)</f>
        <v>0</v>
      </c>
      <c r="H2065" s="5">
        <f ca="1">IFERROR(__xludf.DUMMYFUNCTION("""COMPUTED_VALUE"""),1)</f>
        <v>1</v>
      </c>
      <c r="I2065" s="5">
        <f ca="1">IFERROR(__xludf.DUMMYFUNCTION("""COMPUTED_VALUE"""),1)</f>
        <v>1</v>
      </c>
      <c r="J2065" s="5">
        <f ca="1">IFERROR(__xludf.DUMMYFUNCTION("""COMPUTED_VALUE"""),0)</f>
        <v>0</v>
      </c>
      <c r="K2065" s="5" t="str">
        <f ca="1">IFERROR(__xludf.DUMMYFUNCTION("""COMPUTED_VALUE"""),"https://www.newspapers.com/image/372453227/?terms=clayvon%2Bjones  https://www.newspapers.com/image/99118337/?terms=franklin%2Bross")</f>
        <v>https://www.newspapers.com/image/372453227/?terms=clayvon%2Bjones  https://www.newspapers.com/image/99118337/?terms=franklin%2Bross</v>
      </c>
      <c r="L2065" s="5"/>
      <c r="M2065" s="5"/>
      <c r="N2065" s="5">
        <f ca="1">IFERROR(__xludf.DUMMYFUNCTION("""COMPUTED_VALUE"""),2)</f>
        <v>2</v>
      </c>
      <c r="O2065" s="5" t="str">
        <f ca="1">IFERROR(__xludf.DUMMYFUNCTION("""COMPUTED_VALUE"""),"Winter")</f>
        <v>Winter</v>
      </c>
      <c r="P2065" s="5" t="str">
        <f ca="1">IFERROR(__xludf.DUMMYFUNCTION("""COMPUTED_VALUE"""),"Baltimore")</f>
        <v>Baltimore</v>
      </c>
      <c r="Q2065" s="5" t="str">
        <f ca="1">IFERROR(__xludf.DUMMYFUNCTION("""COMPUTED_VALUE"""),"MD")</f>
        <v>MD</v>
      </c>
      <c r="R2065" s="5" t="str">
        <f ca="1">IFERROR(__xludf.DUMMYFUNCTION("""COMPUTED_VALUE"""),"High")</f>
        <v>High</v>
      </c>
      <c r="S2065" s="5" t="str">
        <f ca="1">IFERROR(__xludf.DUMMYFUNCTION("""COMPUTED_VALUE"""),"Parking Lot")</f>
        <v>Parking Lot</v>
      </c>
      <c r="T2065" s="5" t="str">
        <f ca="1">IFERROR(__xludf.DUMMYFUNCTION("""COMPUTED_VALUE"""),"Outside on School Property")</f>
        <v>Outside on School Property</v>
      </c>
      <c r="U2065" s="5" t="str">
        <f ca="1">IFERROR(__xludf.DUMMYFUNCTION("""COMPUTED_VALUE"""),"No")</f>
        <v>No</v>
      </c>
      <c r="V2065" s="5" t="str">
        <f ca="1">IFERROR(__xludf.DUMMYFUNCTION("""COMPUTED_VALUE"""),"After School")</f>
        <v>After School</v>
      </c>
      <c r="W2065" s="10">
        <f ca="1">IFERROR(__xludf.DUMMYFUNCTION("""COMPUTED_VALUE"""),0.645833333333333)</f>
        <v>0.64583333333333304</v>
      </c>
      <c r="X2065" s="5">
        <f ca="1">IFERROR(__xludf.DUMMYFUNCTION("""COMPUTED_VALUE"""),1)</f>
        <v>1</v>
      </c>
      <c r="Y2065" s="5" t="str">
        <f ca="1">IFERROR(__xludf.DUMMYFUNCTION("""COMPUTED_VALUE"""),"Victim argued with 4 other youths on parking lot before being shot")</f>
        <v>Victim argued with 4 other youths on parking lot before being shot</v>
      </c>
      <c r="Z2065" s="5" t="str">
        <f ca="1">IFERROR(__xludf.DUMMYFUNCTION("""COMPUTED_VALUE"""),"Victim was arguing with four other subjects on school parking lot when one of the subjects pulled at gun and shot victim. Victim would not cooperate with police on identifying shooter.")</f>
        <v>Victim was arguing with four other subjects on school parking lot when one of the subjects pulled at gun and shot victim. Victim would not cooperate with police on identifying shooter.</v>
      </c>
      <c r="AA2065" s="5" t="str">
        <f ca="1">IFERROR(__xludf.DUMMYFUNCTION("""COMPUTED_VALUE"""),"Escalation of Dispute")</f>
        <v>Escalation of Dispute</v>
      </c>
      <c r="AB2065" s="5" t="str">
        <f ca="1">IFERROR(__xludf.DUMMYFUNCTION("""COMPUTED_VALUE"""),"Victims Targeted")</f>
        <v>Victims Targeted</v>
      </c>
      <c r="AC2065" s="5" t="str">
        <f ca="1">IFERROR(__xludf.DUMMYFUNCTION("""COMPUTED_VALUE"""),"No")</f>
        <v>No</v>
      </c>
      <c r="AD2065" s="5" t="str">
        <f ca="1">IFERROR(__xludf.DUMMYFUNCTION("""COMPUTED_VALUE"""),"No")</f>
        <v>No</v>
      </c>
      <c r="AE2065" s="5" t="str">
        <f ca="1">IFERROR(__xludf.DUMMYFUNCTION("""COMPUTED_VALUE"""),"No")</f>
        <v>No</v>
      </c>
      <c r="AF2065" s="5" t="str">
        <f ca="1">IFERROR(__xludf.DUMMYFUNCTION("""COMPUTED_VALUE"""),"No")</f>
        <v>No</v>
      </c>
      <c r="AG2065" s="5" t="str">
        <f ca="1">IFERROR(__xludf.DUMMYFUNCTION("""COMPUTED_VALUE"""),"No")</f>
        <v>No</v>
      </c>
      <c r="AH2065" s="5" t="str">
        <f ca="1">IFERROR(__xludf.DUMMYFUNCTION("""COMPUTED_VALUE"""),"No")</f>
        <v>No</v>
      </c>
      <c r="AI2065" s="5" t="str">
        <f ca="1">IFERROR(__xludf.DUMMYFUNCTION("""COMPUTED_VALUE"""),"No")</f>
        <v>No</v>
      </c>
      <c r="AJ2065" s="5"/>
    </row>
    <row r="2066" spans="1:36" ht="13">
      <c r="A2066" s="5" t="str">
        <f ca="1">IFERROR(__xludf.DUMMYFUNCTION("""COMPUTED_VALUE"""),"19831216ILBOR")</f>
        <v>19831216ILBOR</v>
      </c>
      <c r="B2066" s="5">
        <f ca="1">IFERROR(__xludf.DUMMYFUNCTION("""COMPUTED_VALUE"""),12)</f>
        <v>12</v>
      </c>
      <c r="C2066" s="5">
        <f ca="1">IFERROR(__xludf.DUMMYFUNCTION("""COMPUTED_VALUE"""),16)</f>
        <v>16</v>
      </c>
      <c r="D2066" s="5">
        <f ca="1">IFERROR(__xludf.DUMMYFUNCTION("""COMPUTED_VALUE"""),1983)</f>
        <v>1983</v>
      </c>
      <c r="E2066" s="8">
        <f ca="1">IFERROR(__xludf.DUMMYFUNCTION("""COMPUTED_VALUE"""),30666)</f>
        <v>30666</v>
      </c>
      <c r="F2066" s="5" t="str">
        <f ca="1">IFERROR(__xludf.DUMMYFUNCTION("""COMPUTED_VALUE"""),"Boylan Central Catholic High School")</f>
        <v>Boylan Central Catholic High School</v>
      </c>
      <c r="G2066" s="5">
        <f ca="1">IFERROR(__xludf.DUMMYFUNCTION("""COMPUTED_VALUE"""),0)</f>
        <v>0</v>
      </c>
      <c r="H2066" s="5">
        <f ca="1">IFERROR(__xludf.DUMMYFUNCTION("""COMPUTED_VALUE"""),1)</f>
        <v>1</v>
      </c>
      <c r="I2066" s="5">
        <f ca="1">IFERROR(__xludf.DUMMYFUNCTION("""COMPUTED_VALUE"""),1)</f>
        <v>1</v>
      </c>
      <c r="J2066" s="5">
        <f ca="1">IFERROR(__xludf.DUMMYFUNCTION("""COMPUTED_VALUE"""),0)</f>
        <v>0</v>
      </c>
      <c r="K2066" s="9" t="str">
        <f ca="1">IFERROR(__xludf.DUMMYFUNCTION("""COMPUTED_VALUE"""),"https://news.google.com/newspapers?id=uSEVAAAAIBAJ&amp;sjid=UwYEAAAAIBAJ&amp;pg=3636,1012288&amp;dq=")</f>
        <v>https://news.google.com/newspapers?id=uSEVAAAAIBAJ&amp;sjid=UwYEAAAAIBAJ&amp;pg=3636,1012288&amp;dq=</v>
      </c>
      <c r="L2066" s="5"/>
      <c r="M2066" s="5"/>
      <c r="N2066" s="5">
        <f ca="1">IFERROR(__xludf.DUMMYFUNCTION("""COMPUTED_VALUE"""),2)</f>
        <v>2</v>
      </c>
      <c r="O2066" s="5" t="str">
        <f ca="1">IFERROR(__xludf.DUMMYFUNCTION("""COMPUTED_VALUE"""),"Winter")</f>
        <v>Winter</v>
      </c>
      <c r="P2066" s="5" t="str">
        <f ca="1">IFERROR(__xludf.DUMMYFUNCTION("""COMPUTED_VALUE"""),"Rockford")</f>
        <v>Rockford</v>
      </c>
      <c r="Q2066" s="5" t="str">
        <f ca="1">IFERROR(__xludf.DUMMYFUNCTION("""COMPUTED_VALUE"""),"IL")</f>
        <v>IL</v>
      </c>
      <c r="R2066" s="5" t="str">
        <f ca="1">IFERROR(__xludf.DUMMYFUNCTION("""COMPUTED_VALUE"""),"High")</f>
        <v>High</v>
      </c>
      <c r="S2066" s="5" t="str">
        <f ca="1">IFERROR(__xludf.DUMMYFUNCTION("""COMPUTED_VALUE"""),"Classroom")</f>
        <v>Classroom</v>
      </c>
      <c r="T2066" s="5" t="str">
        <f ca="1">IFERROR(__xludf.DUMMYFUNCTION("""COMPUTED_VALUE"""),"Inside School Building")</f>
        <v>Inside School Building</v>
      </c>
      <c r="U2066" s="5" t="str">
        <f ca="1">IFERROR(__xludf.DUMMYFUNCTION("""COMPUTED_VALUE"""),"Yes")</f>
        <v>Yes</v>
      </c>
      <c r="V2066" s="5" t="str">
        <f ca="1">IFERROR(__xludf.DUMMYFUNCTION("""COMPUTED_VALUE"""),"Morning Classes")</f>
        <v>Morning Classes</v>
      </c>
      <c r="W2066" s="5"/>
      <c r="X2066" s="5">
        <f ca="1">IFERROR(__xludf.DUMMYFUNCTION("""COMPUTED_VALUE"""),1)</f>
        <v>1</v>
      </c>
      <c r="Y2066" s="5" t="str">
        <f ca="1">IFERROR(__xludf.DUMMYFUNCTION("""COMPUTED_VALUE"""),"Suspect shot German teacher due to previously being disciplined by her.")</f>
        <v>Suspect shot German teacher due to previously being disciplined by her.</v>
      </c>
      <c r="Z2066" s="5" t="str">
        <f ca="1">IFERROR(__xludf.DUMMYFUNCTION("""COMPUTED_VALUE"""),"Suspect shot German teacher in neck during class due to prior disciplinary incident. Suspect had previously bragged to other students about shooting but no one took him seriously. On day of shooting suspect came to school in ""gangsta hat"" trench coat an"&amp;"d undershirt - student was looking for attention.")</f>
        <v>Suspect shot German teacher in neck during class due to prior disciplinary incident. Suspect had previously bragged to other students about shooting but no one took him seriously. On day of shooting suspect came to school in "gangsta hat" trench coat and undershirt - student was looking for attention.</v>
      </c>
      <c r="AA2066" s="5" t="str">
        <f ca="1">IFERROR(__xludf.DUMMYFUNCTION("""COMPUTED_VALUE"""),"Anger Over Grade/Suspension/Discipline")</f>
        <v>Anger Over Grade/Suspension/Discipline</v>
      </c>
      <c r="AB2066" s="5" t="str">
        <f ca="1">IFERROR(__xludf.DUMMYFUNCTION("""COMPUTED_VALUE"""),"Victims Targeted")</f>
        <v>Victims Targeted</v>
      </c>
      <c r="AC2066" s="5" t="str">
        <f ca="1">IFERROR(__xludf.DUMMYFUNCTION("""COMPUTED_VALUE"""),"No")</f>
        <v>No</v>
      </c>
      <c r="AD2066" s="5" t="str">
        <f ca="1">IFERROR(__xludf.DUMMYFUNCTION("""COMPUTED_VALUE"""),"No")</f>
        <v>No</v>
      </c>
      <c r="AE2066" s="5" t="str">
        <f ca="1">IFERROR(__xludf.DUMMYFUNCTION("""COMPUTED_VALUE"""),"No")</f>
        <v>No</v>
      </c>
      <c r="AF2066" s="5" t="str">
        <f ca="1">IFERROR(__xludf.DUMMYFUNCTION("""COMPUTED_VALUE"""),"No")</f>
        <v>No</v>
      </c>
      <c r="AG2066" s="5" t="str">
        <f ca="1">IFERROR(__xludf.DUMMYFUNCTION("""COMPUTED_VALUE"""),"No")</f>
        <v>No</v>
      </c>
      <c r="AH2066" s="5" t="str">
        <f ca="1">IFERROR(__xludf.DUMMYFUNCTION("""COMPUTED_VALUE"""),"No")</f>
        <v>No</v>
      </c>
      <c r="AI2066" s="5" t="str">
        <f ca="1">IFERROR(__xludf.DUMMYFUNCTION("""COMPUTED_VALUE"""),"No")</f>
        <v>No</v>
      </c>
      <c r="AJ2066" s="5"/>
    </row>
    <row r="2067" spans="1:36" ht="13">
      <c r="A2067" s="5" t="str">
        <f ca="1">IFERROR(__xludf.DUMMYFUNCTION("""COMPUTED_VALUE"""),"19831202INCRC")</f>
        <v>19831202INCRC</v>
      </c>
      <c r="B2067" s="5">
        <f ca="1">IFERROR(__xludf.DUMMYFUNCTION("""COMPUTED_VALUE"""),12)</f>
        <v>12</v>
      </c>
      <c r="C2067" s="5">
        <f ca="1">IFERROR(__xludf.DUMMYFUNCTION("""COMPUTED_VALUE"""),2)</f>
        <v>2</v>
      </c>
      <c r="D2067" s="5">
        <f ca="1">IFERROR(__xludf.DUMMYFUNCTION("""COMPUTED_VALUE"""),1983)</f>
        <v>1983</v>
      </c>
      <c r="E2067" s="8">
        <f ca="1">IFERROR(__xludf.DUMMYFUNCTION("""COMPUTED_VALUE"""),30652)</f>
        <v>30652</v>
      </c>
      <c r="F2067" s="5" t="str">
        <f ca="1">IFERROR(__xludf.DUMMYFUNCTION("""COMPUTED_VALUE"""),"Crawfordsville High School")</f>
        <v>Crawfordsville High School</v>
      </c>
      <c r="G2067" s="5">
        <f ca="1">IFERROR(__xludf.DUMMYFUNCTION("""COMPUTED_VALUE"""),0)</f>
        <v>0</v>
      </c>
      <c r="H2067" s="5">
        <f ca="1">IFERROR(__xludf.DUMMYFUNCTION("""COMPUTED_VALUE"""),1)</f>
        <v>1</v>
      </c>
      <c r="I2067" s="5">
        <f ca="1">IFERROR(__xludf.DUMMYFUNCTION("""COMPUTED_VALUE"""),1)</f>
        <v>1</v>
      </c>
      <c r="J2067" s="5">
        <f ca="1">IFERROR(__xludf.DUMMYFUNCTION("""COMPUTED_VALUE"""),0)</f>
        <v>0</v>
      </c>
      <c r="K2067" s="9" t="str">
        <f ca="1">IFERROR(__xludf.DUMMYFUNCTION("""COMPUTED_VALUE"""),"https://www.newspapers.com/image/178928817/?terms=student%2Bshot")</f>
        <v>https://www.newspapers.com/image/178928817/?terms=student%2Bshot</v>
      </c>
      <c r="L2067" s="5"/>
      <c r="M2067" s="5"/>
      <c r="N2067" s="5">
        <f ca="1">IFERROR(__xludf.DUMMYFUNCTION("""COMPUTED_VALUE"""),2)</f>
        <v>2</v>
      </c>
      <c r="O2067" s="5" t="str">
        <f ca="1">IFERROR(__xludf.DUMMYFUNCTION("""COMPUTED_VALUE"""),"Winter")</f>
        <v>Winter</v>
      </c>
      <c r="P2067" s="5" t="str">
        <f ca="1">IFERROR(__xludf.DUMMYFUNCTION("""COMPUTED_VALUE"""),"Crawfordsville")</f>
        <v>Crawfordsville</v>
      </c>
      <c r="Q2067" s="5" t="str">
        <f ca="1">IFERROR(__xludf.DUMMYFUNCTION("""COMPUTED_VALUE"""),"IN")</f>
        <v>IN</v>
      </c>
      <c r="R2067" s="5" t="str">
        <f ca="1">IFERROR(__xludf.DUMMYFUNCTION("""COMPUTED_VALUE"""),"High")</f>
        <v>High</v>
      </c>
      <c r="S2067" s="5" t="str">
        <f ca="1">IFERROR(__xludf.DUMMYFUNCTION("""COMPUTED_VALUE"""),"Cafeteria")</f>
        <v>Cafeteria</v>
      </c>
      <c r="T2067" s="5" t="str">
        <f ca="1">IFERROR(__xludf.DUMMYFUNCTION("""COMPUTED_VALUE"""),"Inside School Building")</f>
        <v>Inside School Building</v>
      </c>
      <c r="U2067" s="5" t="str">
        <f ca="1">IFERROR(__xludf.DUMMYFUNCTION("""COMPUTED_VALUE"""),"Yes")</f>
        <v>Yes</v>
      </c>
      <c r="V2067" s="5" t="str">
        <f ca="1">IFERROR(__xludf.DUMMYFUNCTION("""COMPUTED_VALUE"""),"Lunch")</f>
        <v>Lunch</v>
      </c>
      <c r="W2067" s="10">
        <f ca="1">IFERROR(__xludf.DUMMYFUNCTION("""COMPUTED_VALUE"""),0.493055555555555)</f>
        <v>0.49305555555555503</v>
      </c>
      <c r="X2067" s="5">
        <f ca="1">IFERROR(__xludf.DUMMYFUNCTION("""COMPUTED_VALUE"""),1)</f>
        <v>1</v>
      </c>
      <c r="Y2067" s="5" t="str">
        <f ca="1">IFERROR(__xludf.DUMMYFUNCTION("""COMPUTED_VALUE"""),"Shooter shot victim while in cafeteria taking test.")</f>
        <v>Shooter shot victim while in cafeteria taking test.</v>
      </c>
      <c r="Z2067" s="5" t="str">
        <f ca="1">IFERROR(__xludf.DUMMYFUNCTION("""COMPUTED_VALUE"""),"Victim and shooter were arguing over a girl in school - teacher broke up the fight and students went their separate ways. Victim was taking test in cafeteria when suspect walked up and shot him 3 times - fled scene - found in corn field")</f>
        <v>Victim and shooter were arguing over a girl in school - teacher broke up the fight and students went their separate ways. Victim was taking test in cafeteria when suspect walked up and shot him 3 times - fled scene - found in corn field</v>
      </c>
      <c r="AA2067" s="5" t="str">
        <f ca="1">IFERROR(__xludf.DUMMYFUNCTION("""COMPUTED_VALUE"""),"Escalation of Dispute")</f>
        <v>Escalation of Dispute</v>
      </c>
      <c r="AB2067" s="5" t="str">
        <f ca="1">IFERROR(__xludf.DUMMYFUNCTION("""COMPUTED_VALUE"""),"Victims Targeted")</f>
        <v>Victims Targeted</v>
      </c>
      <c r="AC2067" s="5" t="str">
        <f ca="1">IFERROR(__xludf.DUMMYFUNCTION("""COMPUTED_VALUE"""),"No")</f>
        <v>No</v>
      </c>
      <c r="AD2067" s="5" t="str">
        <f ca="1">IFERROR(__xludf.DUMMYFUNCTION("""COMPUTED_VALUE"""),"No")</f>
        <v>No</v>
      </c>
      <c r="AE2067" s="5" t="str">
        <f ca="1">IFERROR(__xludf.DUMMYFUNCTION("""COMPUTED_VALUE"""),"No")</f>
        <v>No</v>
      </c>
      <c r="AF2067" s="5" t="str">
        <f ca="1">IFERROR(__xludf.DUMMYFUNCTION("""COMPUTED_VALUE"""),"No")</f>
        <v>No</v>
      </c>
      <c r="AG2067" s="5" t="str">
        <f ca="1">IFERROR(__xludf.DUMMYFUNCTION("""COMPUTED_VALUE"""),"No")</f>
        <v>No</v>
      </c>
      <c r="AH2067" s="5" t="str">
        <f ca="1">IFERROR(__xludf.DUMMYFUNCTION("""COMPUTED_VALUE"""),"No")</f>
        <v>No</v>
      </c>
      <c r="AI2067" s="5" t="str">
        <f ca="1">IFERROR(__xludf.DUMMYFUNCTION("""COMPUTED_VALUE"""),"No")</f>
        <v>No</v>
      </c>
      <c r="AJ2067" s="5"/>
    </row>
    <row r="2068" spans="1:36" ht="13">
      <c r="A2068" s="5" t="str">
        <f ca="1">IFERROR(__xludf.DUMMYFUNCTION("""COMPUTED_VALUE"""),"19831118MDHAB")</f>
        <v>19831118MDHAB</v>
      </c>
      <c r="B2068" s="5">
        <f ca="1">IFERROR(__xludf.DUMMYFUNCTION("""COMPUTED_VALUE"""),11)</f>
        <v>11</v>
      </c>
      <c r="C2068" s="5">
        <f ca="1">IFERROR(__xludf.DUMMYFUNCTION("""COMPUTED_VALUE"""),18)</f>
        <v>18</v>
      </c>
      <c r="D2068" s="5">
        <f ca="1">IFERROR(__xludf.DUMMYFUNCTION("""COMPUTED_VALUE"""),1983)</f>
        <v>1983</v>
      </c>
      <c r="E2068" s="8">
        <f ca="1">IFERROR(__xludf.DUMMYFUNCTION("""COMPUTED_VALUE"""),30638)</f>
        <v>30638</v>
      </c>
      <c r="F2068" s="5" t="str">
        <f ca="1">IFERROR(__xludf.DUMMYFUNCTION("""COMPUTED_VALUE"""),"Harlem Park Junior High School")</f>
        <v>Harlem Park Junior High School</v>
      </c>
      <c r="G2068" s="5">
        <f ca="1">IFERROR(__xludf.DUMMYFUNCTION("""COMPUTED_VALUE"""),1)</f>
        <v>1</v>
      </c>
      <c r="H2068" s="5">
        <f ca="1">IFERROR(__xludf.DUMMYFUNCTION("""COMPUTED_VALUE"""),0)</f>
        <v>0</v>
      </c>
      <c r="I2068" s="5">
        <f ca="1">IFERROR(__xludf.DUMMYFUNCTION("""COMPUTED_VALUE"""),1)</f>
        <v>1</v>
      </c>
      <c r="J2068" s="5">
        <f ca="1">IFERROR(__xludf.DUMMYFUNCTION("""COMPUTED_VALUE"""),0)</f>
        <v>0</v>
      </c>
      <c r="K2068" s="5" t="str">
        <f ca="1">IFERROR(__xludf.DUMMYFUNCTION("""COMPUTED_VALUE"""),"https://www.newspapers.com/image/370707489/?terms=student%2Bshot https://www.newspapers.com/image/377568116/?terms=student%2Bshot%2Bhouston")</f>
        <v>https://www.newspapers.com/image/370707489/?terms=student%2Bshot https://www.newspapers.com/image/377568116/?terms=student%2Bshot%2Bhouston</v>
      </c>
      <c r="L2068" s="5"/>
      <c r="M2068" s="5"/>
      <c r="N2068" s="5">
        <f ca="1">IFERROR(__xludf.DUMMYFUNCTION("""COMPUTED_VALUE"""),2)</f>
        <v>2</v>
      </c>
      <c r="O2068" s="5" t="str">
        <f ca="1">IFERROR(__xludf.DUMMYFUNCTION("""COMPUTED_VALUE"""),"Fall")</f>
        <v>Fall</v>
      </c>
      <c r="P2068" s="5" t="str">
        <f ca="1">IFERROR(__xludf.DUMMYFUNCTION("""COMPUTED_VALUE"""),"Baltimore")</f>
        <v>Baltimore</v>
      </c>
      <c r="Q2068" s="5" t="str">
        <f ca="1">IFERROR(__xludf.DUMMYFUNCTION("""COMPUTED_VALUE"""),"MD")</f>
        <v>MD</v>
      </c>
      <c r="R2068" s="5" t="str">
        <f ca="1">IFERROR(__xludf.DUMMYFUNCTION("""COMPUTED_VALUE"""),"Junior High")</f>
        <v>Junior High</v>
      </c>
      <c r="S2068" s="5" t="str">
        <f ca="1">IFERROR(__xludf.DUMMYFUNCTION("""COMPUTED_VALUE"""),"Hallway")</f>
        <v>Hallway</v>
      </c>
      <c r="T2068" s="5" t="str">
        <f ca="1">IFERROR(__xludf.DUMMYFUNCTION("""COMPUTED_VALUE"""),"Inside School Building")</f>
        <v>Inside School Building</v>
      </c>
      <c r="U2068" s="5" t="str">
        <f ca="1">IFERROR(__xludf.DUMMYFUNCTION("""COMPUTED_VALUE"""),"Yes")</f>
        <v>Yes</v>
      </c>
      <c r="V2068" s="5" t="str">
        <f ca="1">IFERROR(__xludf.DUMMYFUNCTION("""COMPUTED_VALUE"""),"Afternoon Classes")</f>
        <v>Afternoon Classes</v>
      </c>
      <c r="W2068" s="10">
        <f ca="1">IFERROR(__xludf.DUMMYFUNCTION("""COMPUTED_VALUE"""),0.559027777777777)</f>
        <v>0.55902777777777701</v>
      </c>
      <c r="X2068" s="5">
        <f ca="1">IFERROR(__xludf.DUMMYFUNCTION("""COMPUTED_VALUE"""),1)</f>
        <v>1</v>
      </c>
      <c r="Y2068" s="5" t="str">
        <f ca="1">IFERROR(__xludf.DUMMYFUNCTION("""COMPUTED_VALUE"""),"Robbery of Georgetown jacket in school hallway")</f>
        <v>Robbery of Georgetown jacket in school hallway</v>
      </c>
      <c r="Z2068" s="5" t="str">
        <f ca="1">IFERROR(__xludf.DUMMYFUNCTION("""COMPUTED_VALUE"""),"Victim was walking with friends in second floor hallway when shooter came up behind him and demanded his jacket - as victim was taking jacket off suspect shot him in neck.")</f>
        <v>Victim was walking with friends in second floor hallway when shooter came up behind him and demanded his jacket - as victim was taking jacket off suspect shot him in neck.</v>
      </c>
      <c r="AA2068" s="5" t="str">
        <f ca="1">IFERROR(__xludf.DUMMYFUNCTION("""COMPUTED_VALUE"""),"Illegal Activity")</f>
        <v>Illegal Activity</v>
      </c>
      <c r="AB2068" s="5" t="str">
        <f ca="1">IFERROR(__xludf.DUMMYFUNCTION("""COMPUTED_VALUE"""),"Victims Targeted")</f>
        <v>Victims Targeted</v>
      </c>
      <c r="AC2068" s="5" t="str">
        <f ca="1">IFERROR(__xludf.DUMMYFUNCTION("""COMPUTED_VALUE"""),"No")</f>
        <v>No</v>
      </c>
      <c r="AD2068" s="5" t="str">
        <f ca="1">IFERROR(__xludf.DUMMYFUNCTION("""COMPUTED_VALUE"""),"No")</f>
        <v>No</v>
      </c>
      <c r="AE2068" s="5" t="str">
        <f ca="1">IFERROR(__xludf.DUMMYFUNCTION("""COMPUTED_VALUE"""),"No")</f>
        <v>No</v>
      </c>
      <c r="AF2068" s="5" t="str">
        <f ca="1">IFERROR(__xludf.DUMMYFUNCTION("""COMPUTED_VALUE"""),"No")</f>
        <v>No</v>
      </c>
      <c r="AG2068" s="5" t="str">
        <f ca="1">IFERROR(__xludf.DUMMYFUNCTION("""COMPUTED_VALUE"""),"No")</f>
        <v>No</v>
      </c>
      <c r="AH2068" s="5" t="str">
        <f ca="1">IFERROR(__xludf.DUMMYFUNCTION("""COMPUTED_VALUE"""),"No")</f>
        <v>No</v>
      </c>
      <c r="AI2068" s="5" t="str">
        <f ca="1">IFERROR(__xludf.DUMMYFUNCTION("""COMPUTED_VALUE"""),"No")</f>
        <v>No</v>
      </c>
      <c r="AJ2068" s="5"/>
    </row>
    <row r="2069" spans="1:36" ht="13">
      <c r="A2069" s="5" t="str">
        <f ca="1">IFERROR(__xludf.DUMMYFUNCTION("""COMPUTED_VALUE"""),"19831117ILJAC")</f>
        <v>19831117ILJAC</v>
      </c>
      <c r="B2069" s="5">
        <f ca="1">IFERROR(__xludf.DUMMYFUNCTION("""COMPUTED_VALUE"""),11)</f>
        <v>11</v>
      </c>
      <c r="C2069" s="5">
        <f ca="1">IFERROR(__xludf.DUMMYFUNCTION("""COMPUTED_VALUE"""),17)</f>
        <v>17</v>
      </c>
      <c r="D2069" s="5">
        <f ca="1">IFERROR(__xludf.DUMMYFUNCTION("""COMPUTED_VALUE"""),1983)</f>
        <v>1983</v>
      </c>
      <c r="E2069" s="8">
        <f ca="1">IFERROR(__xludf.DUMMYFUNCTION("""COMPUTED_VALUE"""),30637)</f>
        <v>30637</v>
      </c>
      <c r="F2069" s="5" t="str">
        <f ca="1">IFERROR(__xludf.DUMMYFUNCTION("""COMPUTED_VALUE"""),"James G. Blaine Elementary School")</f>
        <v>James G. Blaine Elementary School</v>
      </c>
      <c r="G2069" s="5">
        <f ca="1">IFERROR(__xludf.DUMMYFUNCTION("""COMPUTED_VALUE"""),1)</f>
        <v>1</v>
      </c>
      <c r="H2069" s="5">
        <f ca="1">IFERROR(__xludf.DUMMYFUNCTION("""COMPUTED_VALUE"""),1)</f>
        <v>1</v>
      </c>
      <c r="I2069" s="5">
        <f ca="1">IFERROR(__xludf.DUMMYFUNCTION("""COMPUTED_VALUE"""),2)</f>
        <v>2</v>
      </c>
      <c r="J2069" s="5">
        <f ca="1">IFERROR(__xludf.DUMMYFUNCTION("""COMPUTED_VALUE"""),0)</f>
        <v>0</v>
      </c>
      <c r="K2069" s="9" t="str">
        <f ca="1">IFERROR(__xludf.DUMMYFUNCTION("""COMPUTED_VALUE"""),"https://www.newspapers.com/image/388094016/?terms=school%2Bshooting")</f>
        <v>https://www.newspapers.com/image/388094016/?terms=school%2Bshooting</v>
      </c>
      <c r="L2069" s="5"/>
      <c r="M2069" s="5"/>
      <c r="N2069" s="5">
        <f ca="1">IFERROR(__xludf.DUMMYFUNCTION("""COMPUTED_VALUE"""),2)</f>
        <v>2</v>
      </c>
      <c r="O2069" s="5" t="str">
        <f ca="1">IFERROR(__xludf.DUMMYFUNCTION("""COMPUTED_VALUE"""),"Fall")</f>
        <v>Fall</v>
      </c>
      <c r="P2069" s="5" t="str">
        <f ca="1">IFERROR(__xludf.DUMMYFUNCTION("""COMPUTED_VALUE"""),"Chicago")</f>
        <v>Chicago</v>
      </c>
      <c r="Q2069" s="5" t="str">
        <f ca="1">IFERROR(__xludf.DUMMYFUNCTION("""COMPUTED_VALUE"""),"IL")</f>
        <v>IL</v>
      </c>
      <c r="R2069" s="5" t="str">
        <f ca="1">IFERROR(__xludf.DUMMYFUNCTION("""COMPUTED_VALUE"""),"Elementary")</f>
        <v>Elementary</v>
      </c>
      <c r="S2069" s="5" t="str">
        <f ca="1">IFERROR(__xludf.DUMMYFUNCTION("""COMPUTED_VALUE"""),"Outside on School Property")</f>
        <v>Outside on School Property</v>
      </c>
      <c r="T2069" s="5" t="str">
        <f ca="1">IFERROR(__xludf.DUMMYFUNCTION("""COMPUTED_VALUE"""),"Outside on School Property")</f>
        <v>Outside on School Property</v>
      </c>
      <c r="U2069" s="5" t="str">
        <f ca="1">IFERROR(__xludf.DUMMYFUNCTION("""COMPUTED_VALUE"""),"Yes")</f>
        <v>Yes</v>
      </c>
      <c r="V2069" s="5" t="str">
        <f ca="1">IFERROR(__xludf.DUMMYFUNCTION("""COMPUTED_VALUE"""),"After School")</f>
        <v>After School</v>
      </c>
      <c r="W2069" s="5"/>
      <c r="X2069" s="5">
        <f ca="1">IFERROR(__xludf.DUMMYFUNCTION("""COMPUTED_VALUE"""),1)</f>
        <v>1</v>
      </c>
      <c r="Y2069" s="5" t="str">
        <f ca="1">IFERROR(__xludf.DUMMYFUNCTION("""COMPUTED_VALUE"""),"Shooter shot rival gang members during argument over a girl's sweater")</f>
        <v>Shooter shot rival gang members during argument over a girl's sweater</v>
      </c>
      <c r="Z2069" s="5" t="str">
        <f ca="1">IFERROR(__xludf.DUMMYFUNCTION("""COMPUTED_VALUE"""),"Argument of sweater girl was wearing - rival gangs involved. Older boys began picking on shooter (from rival gang) - shooter stepped back, pulled out revolver and shot several times. Later arrested at friend's home.")</f>
        <v>Argument of sweater girl was wearing - rival gangs involved. Older boys began picking on shooter (from rival gang) - shooter stepped back, pulled out revolver and shot several times. Later arrested at friend's home.</v>
      </c>
      <c r="AA2069" s="5" t="str">
        <f ca="1">IFERROR(__xludf.DUMMYFUNCTION("""COMPUTED_VALUE"""),"Escalation of Dispute")</f>
        <v>Escalation of Dispute</v>
      </c>
      <c r="AB2069" s="5" t="str">
        <f ca="1">IFERROR(__xludf.DUMMYFUNCTION("""COMPUTED_VALUE"""),"Victims Targeted")</f>
        <v>Victims Targeted</v>
      </c>
      <c r="AC2069" s="5" t="str">
        <f ca="1">IFERROR(__xludf.DUMMYFUNCTION("""COMPUTED_VALUE"""),"No")</f>
        <v>No</v>
      </c>
      <c r="AD2069" s="5" t="str">
        <f ca="1">IFERROR(__xludf.DUMMYFUNCTION("""COMPUTED_VALUE"""),"No")</f>
        <v>No</v>
      </c>
      <c r="AE2069" s="5" t="str">
        <f ca="1">IFERROR(__xludf.DUMMYFUNCTION("""COMPUTED_VALUE"""),"No")</f>
        <v>No</v>
      </c>
      <c r="AF2069" s="5" t="str">
        <f ca="1">IFERROR(__xludf.DUMMYFUNCTION("""COMPUTED_VALUE"""),"No")</f>
        <v>No</v>
      </c>
      <c r="AG2069" s="5" t="str">
        <f ca="1">IFERROR(__xludf.DUMMYFUNCTION("""COMPUTED_VALUE"""),"No")</f>
        <v>No</v>
      </c>
      <c r="AH2069" s="5" t="str">
        <f ca="1">IFERROR(__xludf.DUMMYFUNCTION("""COMPUTED_VALUE"""),"No")</f>
        <v>No</v>
      </c>
      <c r="AI2069" s="5" t="str">
        <f ca="1">IFERROR(__xludf.DUMMYFUNCTION("""COMPUTED_VALUE"""),"Yes")</f>
        <v>Yes</v>
      </c>
      <c r="AJ2069" s="5"/>
    </row>
    <row r="2070" spans="1:36" ht="13">
      <c r="A2070" s="5" t="str">
        <f ca="1">IFERROR(__xludf.DUMMYFUNCTION("""COMPUTED_VALUE"""),"19831108MIHIH")</f>
        <v>19831108MIHIH</v>
      </c>
      <c r="B2070" s="5">
        <f ca="1">IFERROR(__xludf.DUMMYFUNCTION("""COMPUTED_VALUE"""),11)</f>
        <v>11</v>
      </c>
      <c r="C2070" s="5">
        <f ca="1">IFERROR(__xludf.DUMMYFUNCTION("""COMPUTED_VALUE"""),8)</f>
        <v>8</v>
      </c>
      <c r="D2070" s="5">
        <f ca="1">IFERROR(__xludf.DUMMYFUNCTION("""COMPUTED_VALUE"""),1983)</f>
        <v>1983</v>
      </c>
      <c r="E2070" s="8">
        <f ca="1">IFERROR(__xludf.DUMMYFUNCTION("""COMPUTED_VALUE"""),30628)</f>
        <v>30628</v>
      </c>
      <c r="F2070" s="5" t="str">
        <f ca="1">IFERROR(__xludf.DUMMYFUNCTION("""COMPUTED_VALUE"""),"Highland Park High School")</f>
        <v>Highland Park High School</v>
      </c>
      <c r="G2070" s="5">
        <f ca="1">IFERROR(__xludf.DUMMYFUNCTION("""COMPUTED_VALUE"""),1)</f>
        <v>1</v>
      </c>
      <c r="H2070" s="5">
        <f ca="1">IFERROR(__xludf.DUMMYFUNCTION("""COMPUTED_VALUE"""),0)</f>
        <v>0</v>
      </c>
      <c r="I2070" s="5">
        <f ca="1">IFERROR(__xludf.DUMMYFUNCTION("""COMPUTED_VALUE"""),1)</f>
        <v>1</v>
      </c>
      <c r="J2070" s="5">
        <f ca="1">IFERROR(__xludf.DUMMYFUNCTION("""COMPUTED_VALUE"""),0)</f>
        <v>0</v>
      </c>
      <c r="K2070" s="5" t="str">
        <f ca="1">IFERROR(__xludf.DUMMYFUNCTION("""COMPUTED_VALUE"""),"https://www.newspapers.com/image/310953825/?terms=student%2Bshoots, https://www.newspapers.com/image/97622527/?terms=teen%2Bshot%2Bdead%2Bin%2Bfight%2Bat%2Bschool")</f>
        <v>https://www.newspapers.com/image/310953825/?terms=student%2Bshoots, https://www.newspapers.com/image/97622527/?terms=teen%2Bshot%2Bdead%2Bin%2Bfight%2Bat%2Bschool</v>
      </c>
      <c r="L2070" s="5"/>
      <c r="M2070" s="5"/>
      <c r="N2070" s="5">
        <f ca="1">IFERROR(__xludf.DUMMYFUNCTION("""COMPUTED_VALUE"""),2)</f>
        <v>2</v>
      </c>
      <c r="O2070" s="5" t="str">
        <f ca="1">IFERROR(__xludf.DUMMYFUNCTION("""COMPUTED_VALUE"""),"Fall")</f>
        <v>Fall</v>
      </c>
      <c r="P2070" s="5" t="str">
        <f ca="1">IFERROR(__xludf.DUMMYFUNCTION("""COMPUTED_VALUE"""),"Highland Park")</f>
        <v>Highland Park</v>
      </c>
      <c r="Q2070" s="5" t="str">
        <f ca="1">IFERROR(__xludf.DUMMYFUNCTION("""COMPUTED_VALUE"""),"MI")</f>
        <v>MI</v>
      </c>
      <c r="R2070" s="5" t="str">
        <f ca="1">IFERROR(__xludf.DUMMYFUNCTION("""COMPUTED_VALUE"""),"High")</f>
        <v>High</v>
      </c>
      <c r="S2070" s="5" t="str">
        <f ca="1">IFERROR(__xludf.DUMMYFUNCTION("""COMPUTED_VALUE"""),"Inside School Building")</f>
        <v>Inside School Building</v>
      </c>
      <c r="T2070" s="5" t="str">
        <f ca="1">IFERROR(__xludf.DUMMYFUNCTION("""COMPUTED_VALUE"""),"Inside School Building")</f>
        <v>Inside School Building</v>
      </c>
      <c r="U2070" s="5" t="str">
        <f ca="1">IFERROR(__xludf.DUMMYFUNCTION("""COMPUTED_VALUE"""),"Yes")</f>
        <v>Yes</v>
      </c>
      <c r="V2070" s="5" t="str">
        <f ca="1">IFERROR(__xludf.DUMMYFUNCTION("""COMPUTED_VALUE"""),"Before School")</f>
        <v>Before School</v>
      </c>
      <c r="W2070" s="10">
        <f ca="1">IFERROR(__xludf.DUMMYFUNCTION("""COMPUTED_VALUE"""),0.326388888888888)</f>
        <v>0.32638888888888801</v>
      </c>
      <c r="X2070" s="5">
        <f ca="1">IFERROR(__xludf.DUMMYFUNCTION("""COMPUTED_VALUE"""),1)</f>
        <v>1</v>
      </c>
      <c r="Y2070" s="5" t="str">
        <f ca="1">IFERROR(__xludf.DUMMYFUNCTION("""COMPUTED_VALUE"""),"Shooter killed victim with gun after being punched")</f>
        <v>Shooter killed victim with gun after being punched</v>
      </c>
      <c r="Z2070" s="5" t="str">
        <f ca="1">IFERROR(__xludf.DUMMYFUNCTION("""COMPUTED_VALUE"""),"17 year old student sneaked a.38 caliber gun belonging to father passed school guards and shot/killed victim after being punched.")</f>
        <v>17 year old student sneaked a.38 caliber gun belonging to father passed school guards and shot/killed victim after being punched.</v>
      </c>
      <c r="AA2070" s="5" t="str">
        <f ca="1">IFERROR(__xludf.DUMMYFUNCTION("""COMPUTED_VALUE"""),"Escalation of Dispute")</f>
        <v>Escalation of Dispute</v>
      </c>
      <c r="AB2070" s="5" t="str">
        <f ca="1">IFERROR(__xludf.DUMMYFUNCTION("""COMPUTED_VALUE"""),"Victims Targeted")</f>
        <v>Victims Targeted</v>
      </c>
      <c r="AC2070" s="5"/>
      <c r="AD2070" s="5" t="str">
        <f ca="1">IFERROR(__xludf.DUMMYFUNCTION("""COMPUTED_VALUE"""),"No")</f>
        <v>No</v>
      </c>
      <c r="AE2070" s="5" t="str">
        <f ca="1">IFERROR(__xludf.DUMMYFUNCTION("""COMPUTED_VALUE"""),"No")</f>
        <v>No</v>
      </c>
      <c r="AF2070" s="5" t="str">
        <f ca="1">IFERROR(__xludf.DUMMYFUNCTION("""COMPUTED_VALUE"""),"No")</f>
        <v>No</v>
      </c>
      <c r="AG2070" s="5"/>
      <c r="AH2070" s="5" t="str">
        <f ca="1">IFERROR(__xludf.DUMMYFUNCTION("""COMPUTED_VALUE"""),"No")</f>
        <v>No</v>
      </c>
      <c r="AI2070" s="5" t="str">
        <f ca="1">IFERROR(__xludf.DUMMYFUNCTION("""COMPUTED_VALUE"""),"No")</f>
        <v>No</v>
      </c>
      <c r="AJ2070" s="5"/>
    </row>
    <row r="2071" spans="1:36" ht="13">
      <c r="A2071" s="5" t="str">
        <f ca="1">IFERROR(__xludf.DUMMYFUNCTION("""COMPUTED_VALUE"""),"19831022MDCAB")</f>
        <v>19831022MDCAB</v>
      </c>
      <c r="B2071" s="5">
        <f ca="1">IFERROR(__xludf.DUMMYFUNCTION("""COMPUTED_VALUE"""),10)</f>
        <v>10</v>
      </c>
      <c r="C2071" s="5">
        <f ca="1">IFERROR(__xludf.DUMMYFUNCTION("""COMPUTED_VALUE"""),22)</f>
        <v>22</v>
      </c>
      <c r="D2071" s="5">
        <f ca="1">IFERROR(__xludf.DUMMYFUNCTION("""COMPUTED_VALUE"""),1983)</f>
        <v>1983</v>
      </c>
      <c r="E2071" s="8">
        <f ca="1">IFERROR(__xludf.DUMMYFUNCTION("""COMPUTED_VALUE"""),30611)</f>
        <v>30611</v>
      </c>
      <c r="F2071" s="5" t="str">
        <f ca="1">IFERROR(__xludf.DUMMYFUNCTION("""COMPUTED_VALUE"""),"Carver Vocational-Technical Senior High")</f>
        <v>Carver Vocational-Technical Senior High</v>
      </c>
      <c r="G2071" s="5">
        <f ca="1">IFERROR(__xludf.DUMMYFUNCTION("""COMPUTED_VALUE"""),1)</f>
        <v>1</v>
      </c>
      <c r="H2071" s="5">
        <f ca="1">IFERROR(__xludf.DUMMYFUNCTION("""COMPUTED_VALUE"""),0)</f>
        <v>0</v>
      </c>
      <c r="I2071" s="5">
        <f ca="1">IFERROR(__xludf.DUMMYFUNCTION("""COMPUTED_VALUE"""),1)</f>
        <v>1</v>
      </c>
      <c r="J2071" s="5">
        <f ca="1">IFERROR(__xludf.DUMMYFUNCTION("""COMPUTED_VALUE"""),0)</f>
        <v>0</v>
      </c>
      <c r="K2071" s="9" t="str">
        <f ca="1">IFERROR(__xludf.DUMMYFUNCTION("""COMPUTED_VALUE"""),"https://www.newspapers.com/image/371003589/?terms=student%2Bshot&amp;match=10")</f>
        <v>https://www.newspapers.com/image/371003589/?terms=student%2Bshot&amp;match=10</v>
      </c>
      <c r="L2071" s="5"/>
      <c r="M2071" s="5"/>
      <c r="N2071" s="5">
        <f ca="1">IFERROR(__xludf.DUMMYFUNCTION("""COMPUTED_VALUE"""),2)</f>
        <v>2</v>
      </c>
      <c r="O2071" s="5" t="str">
        <f ca="1">IFERROR(__xludf.DUMMYFUNCTION("""COMPUTED_VALUE"""),"Fall")</f>
        <v>Fall</v>
      </c>
      <c r="P2071" s="5" t="str">
        <f ca="1">IFERROR(__xludf.DUMMYFUNCTION("""COMPUTED_VALUE"""),"Baltimore")</f>
        <v>Baltimore</v>
      </c>
      <c r="Q2071" s="5" t="str">
        <f ca="1">IFERROR(__xludf.DUMMYFUNCTION("""COMPUTED_VALUE"""),"MD")</f>
        <v>MD</v>
      </c>
      <c r="R2071" s="5" t="str">
        <f ca="1">IFERROR(__xludf.DUMMYFUNCTION("""COMPUTED_VALUE"""),"High")</f>
        <v>High</v>
      </c>
      <c r="S2071" s="5" t="str">
        <f ca="1">IFERROR(__xludf.DUMMYFUNCTION("""COMPUTED_VALUE"""),"Beside Building")</f>
        <v>Beside Building</v>
      </c>
      <c r="T2071" s="5" t="str">
        <f ca="1">IFERROR(__xludf.DUMMYFUNCTION("""COMPUTED_VALUE"""),"Outside on School Property")</f>
        <v>Outside on School Property</v>
      </c>
      <c r="U2071" s="5" t="str">
        <f ca="1">IFERROR(__xludf.DUMMYFUNCTION("""COMPUTED_VALUE"""),"No")</f>
        <v>No</v>
      </c>
      <c r="V2071" s="5" t="str">
        <f ca="1">IFERROR(__xludf.DUMMYFUNCTION("""COMPUTED_VALUE"""),"School Event")</f>
        <v>School Event</v>
      </c>
      <c r="W2071" s="10">
        <f ca="1">IFERROR(__xludf.DUMMYFUNCTION("""COMPUTED_VALUE"""),0.958333333333333)</f>
        <v>0.95833333333333304</v>
      </c>
      <c r="X2071" s="5">
        <f ca="1">IFERROR(__xludf.DUMMYFUNCTION("""COMPUTED_VALUE"""),1)</f>
        <v>1</v>
      </c>
      <c r="Y2071" s="5" t="str">
        <f ca="1">IFERROR(__xludf.DUMMYFUNCTION("""COMPUTED_VALUE"""),"Victim purposely shot with starter pistol outside school dance.")</f>
        <v>Victim purposely shot with starter pistol outside school dance.</v>
      </c>
      <c r="Z2071" s="5" t="str">
        <f ca="1">IFERROR(__xludf.DUMMYFUNCTION("""COMPUTED_VALUE"""),"Shooter was with a group of men who had shown up late to a dance and were not allowed in. Victim was in that group. Victim pulled out a starter pistol and fired several shots into the air. Shooter then shot victim in back of head. Shooter fled and was lat"&amp;"er caught.")</f>
        <v>Shooter was with a group of men who had shown up late to a dance and were not allowed in. Victim was in that group. Victim pulled out a starter pistol and fired several shots into the air. Shooter then shot victim in back of head. Shooter fled and was later caught.</v>
      </c>
      <c r="AA2071" s="5" t="str">
        <f ca="1">IFERROR(__xludf.DUMMYFUNCTION("""COMPUTED_VALUE"""),"Illegal Activity")</f>
        <v>Illegal Activity</v>
      </c>
      <c r="AB2071" s="5" t="str">
        <f ca="1">IFERROR(__xludf.DUMMYFUNCTION("""COMPUTED_VALUE"""),"Victims Targeted")</f>
        <v>Victims Targeted</v>
      </c>
      <c r="AC2071" s="5" t="str">
        <f ca="1">IFERROR(__xludf.DUMMYFUNCTION("""COMPUTED_VALUE"""),"No")</f>
        <v>No</v>
      </c>
      <c r="AD2071" s="5" t="str">
        <f ca="1">IFERROR(__xludf.DUMMYFUNCTION("""COMPUTED_VALUE"""),"No")</f>
        <v>No</v>
      </c>
      <c r="AE2071" s="5" t="str">
        <f ca="1">IFERROR(__xludf.DUMMYFUNCTION("""COMPUTED_VALUE"""),"No")</f>
        <v>No</v>
      </c>
      <c r="AF2071" s="5" t="str">
        <f ca="1">IFERROR(__xludf.DUMMYFUNCTION("""COMPUTED_VALUE"""),"No")</f>
        <v>No</v>
      </c>
      <c r="AG2071" s="5" t="str">
        <f ca="1">IFERROR(__xludf.DUMMYFUNCTION("""COMPUTED_VALUE"""),"No")</f>
        <v>No</v>
      </c>
      <c r="AH2071" s="5" t="str">
        <f ca="1">IFERROR(__xludf.DUMMYFUNCTION("""COMPUTED_VALUE"""),"No")</f>
        <v>No</v>
      </c>
      <c r="AI2071" s="5" t="str">
        <f ca="1">IFERROR(__xludf.DUMMYFUNCTION("""COMPUTED_VALUE"""),"No")</f>
        <v>No</v>
      </c>
      <c r="AJ2071" s="5"/>
    </row>
    <row r="2072" spans="1:36" ht="13">
      <c r="A2072" s="5" t="str">
        <f ca="1">IFERROR(__xludf.DUMMYFUNCTION("""COMPUTED_VALUE"""),"19831007CACOL")</f>
        <v>19831007CACOL</v>
      </c>
      <c r="B2072" s="5">
        <f ca="1">IFERROR(__xludf.DUMMYFUNCTION("""COMPUTED_VALUE"""),10)</f>
        <v>10</v>
      </c>
      <c r="C2072" s="5">
        <f ca="1">IFERROR(__xludf.DUMMYFUNCTION("""COMPUTED_VALUE"""),7)</f>
        <v>7</v>
      </c>
      <c r="D2072" s="5">
        <f ca="1">IFERROR(__xludf.DUMMYFUNCTION("""COMPUTED_VALUE"""),1983)</f>
        <v>1983</v>
      </c>
      <c r="E2072" s="8">
        <f ca="1">IFERROR(__xludf.DUMMYFUNCTION("""COMPUTED_VALUE"""),30596)</f>
        <v>30596</v>
      </c>
      <c r="F2072" s="5" t="str">
        <f ca="1">IFERROR(__xludf.DUMMYFUNCTION("""COMPUTED_VALUE"""),"Compton High School")</f>
        <v>Compton High School</v>
      </c>
      <c r="G2072" s="5">
        <f ca="1">IFERROR(__xludf.DUMMYFUNCTION("""COMPUTED_VALUE"""),0)</f>
        <v>0</v>
      </c>
      <c r="H2072" s="5">
        <f ca="1">IFERROR(__xludf.DUMMYFUNCTION("""COMPUTED_VALUE"""),1)</f>
        <v>1</v>
      </c>
      <c r="I2072" s="5">
        <f ca="1">IFERROR(__xludf.DUMMYFUNCTION("""COMPUTED_VALUE"""),1)</f>
        <v>1</v>
      </c>
      <c r="J2072" s="5">
        <f ca="1">IFERROR(__xludf.DUMMYFUNCTION("""COMPUTED_VALUE"""),0)</f>
        <v>0</v>
      </c>
      <c r="K2072" s="9" t="str">
        <f ca="1">IFERROR(__xludf.DUMMYFUNCTION("""COMPUTED_VALUE"""),"https://www.newspapers.com/image/390896596/?terms=Compton%2BHigh%2BSchool%2Bshooting")</f>
        <v>https://www.newspapers.com/image/390896596/?terms=Compton%2BHigh%2BSchool%2Bshooting</v>
      </c>
      <c r="L2072" s="5"/>
      <c r="M2072" s="5"/>
      <c r="N2072" s="5">
        <f ca="1">IFERROR(__xludf.DUMMYFUNCTION("""COMPUTED_VALUE"""),2)</f>
        <v>2</v>
      </c>
      <c r="O2072" s="5" t="str">
        <f ca="1">IFERROR(__xludf.DUMMYFUNCTION("""COMPUTED_VALUE"""),"Fall")</f>
        <v>Fall</v>
      </c>
      <c r="P2072" s="5" t="str">
        <f ca="1">IFERROR(__xludf.DUMMYFUNCTION("""COMPUTED_VALUE"""),"Los Angeles")</f>
        <v>Los Angeles</v>
      </c>
      <c r="Q2072" s="5" t="str">
        <f ca="1">IFERROR(__xludf.DUMMYFUNCTION("""COMPUTED_VALUE"""),"CA")</f>
        <v>CA</v>
      </c>
      <c r="R2072" s="5" t="str">
        <f ca="1">IFERROR(__xludf.DUMMYFUNCTION("""COMPUTED_VALUE"""),"High")</f>
        <v>High</v>
      </c>
      <c r="S2072" s="5" t="str">
        <f ca="1">IFERROR(__xludf.DUMMYFUNCTION("""COMPUTED_VALUE"""),"Hallway")</f>
        <v>Hallway</v>
      </c>
      <c r="T2072" s="5" t="str">
        <f ca="1">IFERROR(__xludf.DUMMYFUNCTION("""COMPUTED_VALUE"""),"Inside School Building")</f>
        <v>Inside School Building</v>
      </c>
      <c r="U2072" s="5" t="str">
        <f ca="1">IFERROR(__xludf.DUMMYFUNCTION("""COMPUTED_VALUE"""),"Yes")</f>
        <v>Yes</v>
      </c>
      <c r="V2072" s="5"/>
      <c r="W2072" s="5"/>
      <c r="X2072" s="5">
        <f ca="1">IFERROR(__xludf.DUMMYFUNCTION("""COMPUTED_VALUE"""),1)</f>
        <v>1</v>
      </c>
      <c r="Y2072" s="5" t="str">
        <f ca="1">IFERROR(__xludf.DUMMYFUNCTION("""COMPUTED_VALUE"""),"Victim hit in cross fire of gang shooting")</f>
        <v>Victim hit in cross fire of gang shooting</v>
      </c>
      <c r="Z2072" s="5" t="str">
        <f ca="1">IFERROR(__xludf.DUMMYFUNCTION("""COMPUTED_VALUE"""),"16YOF student hit in crossfire of gang related shooting.")</f>
        <v>16YOF student hit in crossfire of gang related shooting.</v>
      </c>
      <c r="AA2072" s="5" t="str">
        <f ca="1">IFERROR(__xludf.DUMMYFUNCTION("""COMPUTED_VALUE"""),"Escalation of Dispute")</f>
        <v>Escalation of Dispute</v>
      </c>
      <c r="AB2072" s="5" t="str">
        <f ca="1">IFERROR(__xludf.DUMMYFUNCTION("""COMPUTED_VALUE"""),"Random Shooting")</f>
        <v>Random Shooting</v>
      </c>
      <c r="AC2072" s="5" t="str">
        <f ca="1">IFERROR(__xludf.DUMMYFUNCTION("""COMPUTED_VALUE"""),"No")</f>
        <v>No</v>
      </c>
      <c r="AD2072" s="5" t="str">
        <f ca="1">IFERROR(__xludf.DUMMYFUNCTION("""COMPUTED_VALUE"""),"No")</f>
        <v>No</v>
      </c>
      <c r="AE2072" s="5" t="str">
        <f ca="1">IFERROR(__xludf.DUMMYFUNCTION("""COMPUTED_VALUE"""),"No")</f>
        <v>No</v>
      </c>
      <c r="AF2072" s="5" t="str">
        <f ca="1">IFERROR(__xludf.DUMMYFUNCTION("""COMPUTED_VALUE"""),"No")</f>
        <v>No</v>
      </c>
      <c r="AG2072" s="5" t="str">
        <f ca="1">IFERROR(__xludf.DUMMYFUNCTION("""COMPUTED_VALUE"""),"No")</f>
        <v>No</v>
      </c>
      <c r="AH2072" s="5" t="str">
        <f ca="1">IFERROR(__xludf.DUMMYFUNCTION("""COMPUTED_VALUE"""),"No")</f>
        <v>No</v>
      </c>
      <c r="AI2072" s="5" t="str">
        <f ca="1">IFERROR(__xludf.DUMMYFUNCTION("""COMPUTED_VALUE"""),"Yes")</f>
        <v>Yes</v>
      </c>
      <c r="AJ2072" s="5"/>
    </row>
    <row r="2073" spans="1:36" ht="13">
      <c r="A2073" s="5" t="str">
        <f ca="1">IFERROR(__xludf.DUMMYFUNCTION("""COMPUTED_VALUE"""),"19830930TXTET")</f>
        <v>19830930TXTET</v>
      </c>
      <c r="B2073" s="5">
        <f ca="1">IFERROR(__xludf.DUMMYFUNCTION("""COMPUTED_VALUE"""),9)</f>
        <v>9</v>
      </c>
      <c r="C2073" s="5">
        <f ca="1">IFERROR(__xludf.DUMMYFUNCTION("""COMPUTED_VALUE"""),30)</f>
        <v>30</v>
      </c>
      <c r="D2073" s="5">
        <f ca="1">IFERROR(__xludf.DUMMYFUNCTION("""COMPUTED_VALUE"""),1983)</f>
        <v>1983</v>
      </c>
      <c r="E2073" s="8">
        <f ca="1">IFERROR(__xludf.DUMMYFUNCTION("""COMPUTED_VALUE"""),30589)</f>
        <v>30589</v>
      </c>
      <c r="F2073" s="5" t="str">
        <f ca="1">IFERROR(__xludf.DUMMYFUNCTION("""COMPUTED_VALUE"""),"Temple High School")</f>
        <v>Temple High School</v>
      </c>
      <c r="G2073" s="5">
        <f ca="1">IFERROR(__xludf.DUMMYFUNCTION("""COMPUTED_VALUE"""),0)</f>
        <v>0</v>
      </c>
      <c r="H2073" s="5">
        <f ca="1">IFERROR(__xludf.DUMMYFUNCTION("""COMPUTED_VALUE"""),3)</f>
        <v>3</v>
      </c>
      <c r="I2073" s="5">
        <f ca="1">IFERROR(__xludf.DUMMYFUNCTION("""COMPUTED_VALUE"""),3)</f>
        <v>3</v>
      </c>
      <c r="J2073" s="5">
        <f ca="1">IFERROR(__xludf.DUMMYFUNCTION("""COMPUTED_VALUE"""),0)</f>
        <v>0</v>
      </c>
      <c r="K2073" s="9" t="str">
        <f ca="1">IFERROR(__xludf.DUMMYFUNCTION("""COMPUTED_VALUE"""),"https://www.newspapers.com/image/379323248/?terms=temple%2Bhigh%2Bschool%2Bshooting")</f>
        <v>https://www.newspapers.com/image/379323248/?terms=temple%2Bhigh%2Bschool%2Bshooting</v>
      </c>
      <c r="L2073" s="5"/>
      <c r="M2073" s="5"/>
      <c r="N2073" s="5">
        <f ca="1">IFERROR(__xludf.DUMMYFUNCTION("""COMPUTED_VALUE"""),2)</f>
        <v>2</v>
      </c>
      <c r="O2073" s="5" t="str">
        <f ca="1">IFERROR(__xludf.DUMMYFUNCTION("""COMPUTED_VALUE"""),"Fall")</f>
        <v>Fall</v>
      </c>
      <c r="P2073" s="5" t="str">
        <f ca="1">IFERROR(__xludf.DUMMYFUNCTION("""COMPUTED_VALUE"""),"Temple")</f>
        <v>Temple</v>
      </c>
      <c r="Q2073" s="5" t="str">
        <f ca="1">IFERROR(__xludf.DUMMYFUNCTION("""COMPUTED_VALUE"""),"TX")</f>
        <v>TX</v>
      </c>
      <c r="R2073" s="5" t="str">
        <f ca="1">IFERROR(__xludf.DUMMYFUNCTION("""COMPUTED_VALUE"""),"High")</f>
        <v>High</v>
      </c>
      <c r="S2073" s="5" t="str">
        <f ca="1">IFERROR(__xludf.DUMMYFUNCTION("""COMPUTED_VALUE"""),"Football Field/Track")</f>
        <v>Football Field/Track</v>
      </c>
      <c r="T2073" s="5" t="str">
        <f ca="1">IFERROR(__xludf.DUMMYFUNCTION("""COMPUTED_VALUE"""),"Outside on School Property")</f>
        <v>Outside on School Property</v>
      </c>
      <c r="U2073" s="5" t="str">
        <f ca="1">IFERROR(__xludf.DUMMYFUNCTION("""COMPUTED_VALUE"""),"No")</f>
        <v>No</v>
      </c>
      <c r="V2073" s="5" t="str">
        <f ca="1">IFERROR(__xludf.DUMMYFUNCTION("""COMPUTED_VALUE"""),"Sport Event")</f>
        <v>Sport Event</v>
      </c>
      <c r="W2073" s="5"/>
      <c r="X2073" s="5">
        <f ca="1">IFERROR(__xludf.DUMMYFUNCTION("""COMPUTED_VALUE"""),1)</f>
        <v>1</v>
      </c>
      <c r="Y2073" s="5" t="str">
        <f ca="1">IFERROR(__xludf.DUMMYFUNCTION("""COMPUTED_VALUE"""),"Ongoing conflict for multiple days with victims")</f>
        <v>Ongoing conflict for multiple days with victims</v>
      </c>
      <c r="Z2073" s="5" t="str">
        <f ca="1">IFERROR(__xludf.DUMMYFUNCTION("""COMPUTED_VALUE"""),"20YOM former student shot 3 other students during a football game. Shooter and victim had been in Ongoing conflict for multiple days prior to the shooting. 10000 people were at the game during the time of the shooting.")</f>
        <v>20YOM former student shot 3 other students during a football game. Shooter and victim had been in Ongoing conflict for multiple days prior to the shooting. 10000 people were at the game during the time of the shooting.</v>
      </c>
      <c r="AA2073" s="5" t="str">
        <f ca="1">IFERROR(__xludf.DUMMYFUNCTION("""COMPUTED_VALUE"""),"Escalation of Dispute")</f>
        <v>Escalation of Dispute</v>
      </c>
      <c r="AB2073" s="5" t="str">
        <f ca="1">IFERROR(__xludf.DUMMYFUNCTION("""COMPUTED_VALUE"""),"Victims Targeted")</f>
        <v>Victims Targeted</v>
      </c>
      <c r="AC2073" s="5" t="str">
        <f ca="1">IFERROR(__xludf.DUMMYFUNCTION("""COMPUTED_VALUE"""),"No")</f>
        <v>No</v>
      </c>
      <c r="AD2073" s="5" t="str">
        <f ca="1">IFERROR(__xludf.DUMMYFUNCTION("""COMPUTED_VALUE"""),"No")</f>
        <v>No</v>
      </c>
      <c r="AE2073" s="5" t="str">
        <f ca="1">IFERROR(__xludf.DUMMYFUNCTION("""COMPUTED_VALUE"""),"No")</f>
        <v>No</v>
      </c>
      <c r="AF2073" s="5" t="str">
        <f ca="1">IFERROR(__xludf.DUMMYFUNCTION("""COMPUTED_VALUE"""),"No")</f>
        <v>No</v>
      </c>
      <c r="AG2073" s="5" t="str">
        <f ca="1">IFERROR(__xludf.DUMMYFUNCTION("""COMPUTED_VALUE"""),"No")</f>
        <v>No</v>
      </c>
      <c r="AH2073" s="5" t="str">
        <f ca="1">IFERROR(__xludf.DUMMYFUNCTION("""COMPUTED_VALUE"""),"No")</f>
        <v>No</v>
      </c>
      <c r="AI2073" s="5" t="str">
        <f ca="1">IFERROR(__xludf.DUMMYFUNCTION("""COMPUTED_VALUE"""),"No")</f>
        <v>No</v>
      </c>
      <c r="AJ2073" s="5"/>
    </row>
    <row r="2074" spans="1:36" ht="13">
      <c r="A2074" s="5" t="str">
        <f ca="1">IFERROR(__xludf.DUMMYFUNCTION("""COMPUTED_VALUE"""),"19830921MDWAB")</f>
        <v>19830921MDWAB</v>
      </c>
      <c r="B2074" s="5">
        <f ca="1">IFERROR(__xludf.DUMMYFUNCTION("""COMPUTED_VALUE"""),9)</f>
        <v>9</v>
      </c>
      <c r="C2074" s="5">
        <f ca="1">IFERROR(__xludf.DUMMYFUNCTION("""COMPUTED_VALUE"""),21)</f>
        <v>21</v>
      </c>
      <c r="D2074" s="5">
        <f ca="1">IFERROR(__xludf.DUMMYFUNCTION("""COMPUTED_VALUE"""),1983)</f>
        <v>1983</v>
      </c>
      <c r="E2074" s="8">
        <f ca="1">IFERROR(__xludf.DUMMYFUNCTION("""COMPUTED_VALUE"""),30580)</f>
        <v>30580</v>
      </c>
      <c r="F2074" s="5" t="str">
        <f ca="1">IFERROR(__xludf.DUMMYFUNCTION("""COMPUTED_VALUE"""),"Walbrook High School")</f>
        <v>Walbrook High School</v>
      </c>
      <c r="G2074" s="5">
        <f ca="1">IFERROR(__xludf.DUMMYFUNCTION("""COMPUTED_VALUE"""),0)</f>
        <v>0</v>
      </c>
      <c r="H2074" s="5">
        <f ca="1">IFERROR(__xludf.DUMMYFUNCTION("""COMPUTED_VALUE"""),0)</f>
        <v>0</v>
      </c>
      <c r="I2074" s="5">
        <f ca="1">IFERROR(__xludf.DUMMYFUNCTION("""COMPUTED_VALUE"""),0)</f>
        <v>0</v>
      </c>
      <c r="J2074" s="5">
        <f ca="1">IFERROR(__xludf.DUMMYFUNCTION("""COMPUTED_VALUE"""),0)</f>
        <v>0</v>
      </c>
      <c r="K2074" s="9" t="str">
        <f ca="1">IFERROR(__xludf.DUMMYFUNCTION("""COMPUTED_VALUE"""),"https://www.newspapers.com/image/369822289")</f>
        <v>https://www.newspapers.com/image/369822289</v>
      </c>
      <c r="L2074" s="5"/>
      <c r="M2074" s="5"/>
      <c r="N2074" s="5">
        <f ca="1">IFERROR(__xludf.DUMMYFUNCTION("""COMPUTED_VALUE"""),2)</f>
        <v>2</v>
      </c>
      <c r="O2074" s="5" t="str">
        <f ca="1">IFERROR(__xludf.DUMMYFUNCTION("""COMPUTED_VALUE"""),"Fall")</f>
        <v>Fall</v>
      </c>
      <c r="P2074" s="5" t="str">
        <f ca="1">IFERROR(__xludf.DUMMYFUNCTION("""COMPUTED_VALUE"""),"Baltimore")</f>
        <v>Baltimore</v>
      </c>
      <c r="Q2074" s="5" t="str">
        <f ca="1">IFERROR(__xludf.DUMMYFUNCTION("""COMPUTED_VALUE"""),"MD")</f>
        <v>MD</v>
      </c>
      <c r="R2074" s="5" t="str">
        <f ca="1">IFERROR(__xludf.DUMMYFUNCTION("""COMPUTED_VALUE"""),"High")</f>
        <v>High</v>
      </c>
      <c r="S2074" s="5" t="str">
        <f ca="1">IFERROR(__xludf.DUMMYFUNCTION("""COMPUTED_VALUE"""),"Classroom")</f>
        <v>Classroom</v>
      </c>
      <c r="T2074" s="5" t="str">
        <f ca="1">IFERROR(__xludf.DUMMYFUNCTION("""COMPUTED_VALUE"""),"Inside School Building")</f>
        <v>Inside School Building</v>
      </c>
      <c r="U2074" s="5" t="str">
        <f ca="1">IFERROR(__xludf.DUMMYFUNCTION("""COMPUTED_VALUE"""),"Yes")</f>
        <v>Yes</v>
      </c>
      <c r="V2074" s="5" t="str">
        <f ca="1">IFERROR(__xludf.DUMMYFUNCTION("""COMPUTED_VALUE"""),"Morning Classes")</f>
        <v>Morning Classes</v>
      </c>
      <c r="W2074" s="10">
        <f ca="1">IFERROR(__xludf.DUMMYFUNCTION("""COMPUTED_VALUE"""),0.458333333333333)</f>
        <v>0.45833333333333298</v>
      </c>
      <c r="X2074" s="5">
        <f ca="1">IFERROR(__xludf.DUMMYFUNCTION("""COMPUTED_VALUE"""),1)</f>
        <v>1</v>
      </c>
      <c r="Y2074" s="5" t="str">
        <f ca="1">IFERROR(__xludf.DUMMYFUNCTION("""COMPUTED_VALUE"""),"Student accidentally shot self in leg while in class")</f>
        <v>Student accidentally shot self in leg while in class</v>
      </c>
      <c r="Z2074" s="5" t="str">
        <f ca="1">IFERROR(__xludf.DUMMYFUNCTION("""COMPUTED_VALUE"""),"Shooter had small caliber pistol in backpack - accidentally shot himself in leg during class - yelled out ""I shot myself"" then yelled out ""someone shot me - student ran to bathroom then came back to class - school admin treated his wound in class - was"&amp;" later charged")</f>
        <v>Shooter had small caliber pistol in backpack - accidentally shot himself in leg during class - yelled out "I shot myself" then yelled out "someone shot me - student ran to bathroom then came back to class - school admin treated his wound in class - was later charged</v>
      </c>
      <c r="AA2074" s="5" t="str">
        <f ca="1">IFERROR(__xludf.DUMMYFUNCTION("""COMPUTED_VALUE"""),"Accidental")</f>
        <v>Accidental</v>
      </c>
      <c r="AB2074" s="5" t="str">
        <f ca="1">IFERROR(__xludf.DUMMYFUNCTION("""COMPUTED_VALUE"""),"Random Shooting")</f>
        <v>Random Shooting</v>
      </c>
      <c r="AC2074" s="5"/>
      <c r="AD2074" s="5" t="str">
        <f ca="1">IFERROR(__xludf.DUMMYFUNCTION("""COMPUTED_VALUE"""),"No")</f>
        <v>No</v>
      </c>
      <c r="AE2074" s="5" t="str">
        <f ca="1">IFERROR(__xludf.DUMMYFUNCTION("""COMPUTED_VALUE"""),"No")</f>
        <v>No</v>
      </c>
      <c r="AF2074" s="5" t="str">
        <f ca="1">IFERROR(__xludf.DUMMYFUNCTION("""COMPUTED_VALUE"""),"No")</f>
        <v>No</v>
      </c>
      <c r="AG2074" s="5" t="str">
        <f ca="1">IFERROR(__xludf.DUMMYFUNCTION("""COMPUTED_VALUE"""),"No")</f>
        <v>No</v>
      </c>
      <c r="AH2074" s="5" t="str">
        <f ca="1">IFERROR(__xludf.DUMMYFUNCTION("""COMPUTED_VALUE"""),"No")</f>
        <v>No</v>
      </c>
      <c r="AI2074" s="5" t="str">
        <f ca="1">IFERROR(__xludf.DUMMYFUNCTION("""COMPUTED_VALUE"""),"No")</f>
        <v>No</v>
      </c>
      <c r="AJ2074" s="5"/>
    </row>
    <row r="2075" spans="1:36" ht="13">
      <c r="A2075" s="5" t="str">
        <f ca="1">IFERROR(__xludf.DUMMYFUNCTION("""COMPUTED_VALUE"""),"19830912CAMAC")</f>
        <v>19830912CAMAC</v>
      </c>
      <c r="B2075" s="5">
        <f ca="1">IFERROR(__xludf.DUMMYFUNCTION("""COMPUTED_VALUE"""),9)</f>
        <v>9</v>
      </c>
      <c r="C2075" s="5">
        <f ca="1">IFERROR(__xludf.DUMMYFUNCTION("""COMPUTED_VALUE"""),12)</f>
        <v>12</v>
      </c>
      <c r="D2075" s="5">
        <f ca="1">IFERROR(__xludf.DUMMYFUNCTION("""COMPUTED_VALUE"""),1983)</f>
        <v>1983</v>
      </c>
      <c r="E2075" s="8">
        <f ca="1">IFERROR(__xludf.DUMMYFUNCTION("""COMPUTED_VALUE"""),30571)</f>
        <v>30571</v>
      </c>
      <c r="F2075" s="5" t="str">
        <f ca="1">IFERROR(__xludf.DUMMYFUNCTION("""COMPUTED_VALUE"""),"Manuel Dominguez High School")</f>
        <v>Manuel Dominguez High School</v>
      </c>
      <c r="G2075" s="5">
        <f ca="1">IFERROR(__xludf.DUMMYFUNCTION("""COMPUTED_VALUE"""),0)</f>
        <v>0</v>
      </c>
      <c r="H2075" s="5">
        <f ca="1">IFERROR(__xludf.DUMMYFUNCTION("""COMPUTED_VALUE"""),5)</f>
        <v>5</v>
      </c>
      <c r="I2075" s="5">
        <f ca="1">IFERROR(__xludf.DUMMYFUNCTION("""COMPUTED_VALUE"""),5)</f>
        <v>5</v>
      </c>
      <c r="J2075" s="5">
        <f ca="1">IFERROR(__xludf.DUMMYFUNCTION("""COMPUTED_VALUE"""),0)</f>
        <v>0</v>
      </c>
      <c r="K2075" s="9" t="str">
        <f ca="1">IFERROR(__xludf.DUMMYFUNCTION("""COMPUTED_VALUE"""),"https://www.newspapers.com/image/381958766/?terms=student%2Bshot")</f>
        <v>https://www.newspapers.com/image/381958766/?terms=student%2Bshot</v>
      </c>
      <c r="L2075" s="5"/>
      <c r="M2075" s="5"/>
      <c r="N2075" s="5">
        <f ca="1">IFERROR(__xludf.DUMMYFUNCTION("""COMPUTED_VALUE"""),2)</f>
        <v>2</v>
      </c>
      <c r="O2075" s="5" t="str">
        <f ca="1">IFERROR(__xludf.DUMMYFUNCTION("""COMPUTED_VALUE"""),"Fall")</f>
        <v>Fall</v>
      </c>
      <c r="P2075" s="5" t="str">
        <f ca="1">IFERROR(__xludf.DUMMYFUNCTION("""COMPUTED_VALUE"""),"Compton")</f>
        <v>Compton</v>
      </c>
      <c r="Q2075" s="5" t="str">
        <f ca="1">IFERROR(__xludf.DUMMYFUNCTION("""COMPUTED_VALUE"""),"CA")</f>
        <v>CA</v>
      </c>
      <c r="R2075" s="5" t="str">
        <f ca="1">IFERROR(__xludf.DUMMYFUNCTION("""COMPUTED_VALUE"""),"High")</f>
        <v>High</v>
      </c>
      <c r="S2075" s="5" t="str">
        <f ca="1">IFERROR(__xludf.DUMMYFUNCTION("""COMPUTED_VALUE"""),"Hallway")</f>
        <v>Hallway</v>
      </c>
      <c r="T2075" s="5" t="str">
        <f ca="1">IFERROR(__xludf.DUMMYFUNCTION("""COMPUTED_VALUE"""),"Inside School Building")</f>
        <v>Inside School Building</v>
      </c>
      <c r="U2075" s="5" t="str">
        <f ca="1">IFERROR(__xludf.DUMMYFUNCTION("""COMPUTED_VALUE"""),"Yes")</f>
        <v>Yes</v>
      </c>
      <c r="V2075" s="5" t="str">
        <f ca="1">IFERROR(__xludf.DUMMYFUNCTION("""COMPUTED_VALUE"""),"Morning Classes")</f>
        <v>Morning Classes</v>
      </c>
      <c r="W2075" s="5"/>
      <c r="X2075" s="5">
        <f ca="1">IFERROR(__xludf.DUMMYFUNCTION("""COMPUTED_VALUE"""),1)</f>
        <v>1</v>
      </c>
      <c r="Y2075" s="5" t="str">
        <f ca="1">IFERROR(__xludf.DUMMYFUNCTION("""COMPUTED_VALUE"""),"Gang fight stemming from weekend fight")</f>
        <v>Gang fight stemming from weekend fight</v>
      </c>
      <c r="Z2075" s="5" t="str">
        <f ca="1">IFERROR(__xludf.DUMMYFUNCTION("""COMPUTED_VALUE"""),"Rival gang fight first day of school - escalated from weekend fight - all victims were innocent bystanders. At least 6 gang members were involved. 2 guns were recovered.")</f>
        <v>Rival gang fight first day of school - escalated from weekend fight - all victims were innocent bystanders. At least 6 gang members were involved. 2 guns were recovered.</v>
      </c>
      <c r="AA2075" s="5" t="str">
        <f ca="1">IFERROR(__xludf.DUMMYFUNCTION("""COMPUTED_VALUE"""),"Escalation of Dispute")</f>
        <v>Escalation of Dispute</v>
      </c>
      <c r="AB2075" s="5" t="str">
        <f ca="1">IFERROR(__xludf.DUMMYFUNCTION("""COMPUTED_VALUE"""),"Both")</f>
        <v>Both</v>
      </c>
      <c r="AC2075" s="5" t="str">
        <f ca="1">IFERROR(__xludf.DUMMYFUNCTION("""COMPUTED_VALUE"""),"Yes")</f>
        <v>Yes</v>
      </c>
      <c r="AD2075" s="5" t="str">
        <f ca="1">IFERROR(__xludf.DUMMYFUNCTION("""COMPUTED_VALUE"""),"No")</f>
        <v>No</v>
      </c>
      <c r="AE2075" s="5" t="str">
        <f ca="1">IFERROR(__xludf.DUMMYFUNCTION("""COMPUTED_VALUE"""),"No")</f>
        <v>No</v>
      </c>
      <c r="AF2075" s="5" t="str">
        <f ca="1">IFERROR(__xludf.DUMMYFUNCTION("""COMPUTED_VALUE"""),"No")</f>
        <v>No</v>
      </c>
      <c r="AG2075" s="5" t="str">
        <f ca="1">IFERROR(__xludf.DUMMYFUNCTION("""COMPUTED_VALUE"""),"No")</f>
        <v>No</v>
      </c>
      <c r="AH2075" s="5" t="str">
        <f ca="1">IFERROR(__xludf.DUMMYFUNCTION("""COMPUTED_VALUE"""),"No")</f>
        <v>No</v>
      </c>
      <c r="AI2075" s="5" t="str">
        <f ca="1">IFERROR(__xludf.DUMMYFUNCTION("""COMPUTED_VALUE"""),"Yes")</f>
        <v>Yes</v>
      </c>
      <c r="AJ2075" s="5"/>
    </row>
    <row r="2076" spans="1:36" ht="13">
      <c r="A2076" s="5" t="str">
        <f ca="1">IFERROR(__xludf.DUMMYFUNCTION("""COMPUTED_VALUE"""),"19830912MIHED")</f>
        <v>19830912MIHED</v>
      </c>
      <c r="B2076" s="5">
        <f ca="1">IFERROR(__xludf.DUMMYFUNCTION("""COMPUTED_VALUE"""),9)</f>
        <v>9</v>
      </c>
      <c r="C2076" s="5">
        <f ca="1">IFERROR(__xludf.DUMMYFUNCTION("""COMPUTED_VALUE"""),12)</f>
        <v>12</v>
      </c>
      <c r="D2076" s="5">
        <f ca="1">IFERROR(__xludf.DUMMYFUNCTION("""COMPUTED_VALUE"""),1983)</f>
        <v>1983</v>
      </c>
      <c r="E2076" s="8">
        <f ca="1">IFERROR(__xludf.DUMMYFUNCTION("""COMPUTED_VALUE"""),30571)</f>
        <v>30571</v>
      </c>
      <c r="F2076" s="5" t="str">
        <f ca="1">IFERROR(__xludf.DUMMYFUNCTION("""COMPUTED_VALUE"""),"Henry Ford High School")</f>
        <v>Henry Ford High School</v>
      </c>
      <c r="G2076" s="5">
        <f ca="1">IFERROR(__xludf.DUMMYFUNCTION("""COMPUTED_VALUE"""),1)</f>
        <v>1</v>
      </c>
      <c r="H2076" s="5">
        <f ca="1">IFERROR(__xludf.DUMMYFUNCTION("""COMPUTED_VALUE"""),0)</f>
        <v>0</v>
      </c>
      <c r="I2076" s="5">
        <f ca="1">IFERROR(__xludf.DUMMYFUNCTION("""COMPUTED_VALUE"""),1)</f>
        <v>1</v>
      </c>
      <c r="J2076" s="5">
        <f ca="1">IFERROR(__xludf.DUMMYFUNCTION("""COMPUTED_VALUE"""),0)</f>
        <v>0</v>
      </c>
      <c r="K2076" s="9" t="str">
        <f ca="1">IFERROR(__xludf.DUMMYFUNCTION("""COMPUTED_VALUE"""),"https://www.newspapers.com/image/97839646")</f>
        <v>https://www.newspapers.com/image/97839646</v>
      </c>
      <c r="L2076" s="5"/>
      <c r="M2076" s="5"/>
      <c r="N2076" s="5">
        <f ca="1">IFERROR(__xludf.DUMMYFUNCTION("""COMPUTED_VALUE"""),2)</f>
        <v>2</v>
      </c>
      <c r="O2076" s="5" t="str">
        <f ca="1">IFERROR(__xludf.DUMMYFUNCTION("""COMPUTED_VALUE"""),"Fall")</f>
        <v>Fall</v>
      </c>
      <c r="P2076" s="5" t="str">
        <f ca="1">IFERROR(__xludf.DUMMYFUNCTION("""COMPUTED_VALUE"""),"Detroit")</f>
        <v>Detroit</v>
      </c>
      <c r="Q2076" s="5" t="str">
        <f ca="1">IFERROR(__xludf.DUMMYFUNCTION("""COMPUTED_VALUE"""),"MI")</f>
        <v>MI</v>
      </c>
      <c r="R2076" s="5" t="str">
        <f ca="1">IFERROR(__xludf.DUMMYFUNCTION("""COMPUTED_VALUE"""),"High")</f>
        <v>High</v>
      </c>
      <c r="S2076" s="5" t="str">
        <f ca="1">IFERROR(__xludf.DUMMYFUNCTION("""COMPUTED_VALUE"""),"Beside Building")</f>
        <v>Beside Building</v>
      </c>
      <c r="T2076" s="5" t="str">
        <f ca="1">IFERROR(__xludf.DUMMYFUNCTION("""COMPUTED_VALUE"""),"Outside on School Property")</f>
        <v>Outside on School Property</v>
      </c>
      <c r="U2076" s="5" t="str">
        <f ca="1">IFERROR(__xludf.DUMMYFUNCTION("""COMPUTED_VALUE"""),"Yes")</f>
        <v>Yes</v>
      </c>
      <c r="V2076" s="5" t="str">
        <f ca="1">IFERROR(__xludf.DUMMYFUNCTION("""COMPUTED_VALUE"""),"School Start")</f>
        <v>School Start</v>
      </c>
      <c r="W2076" s="10">
        <f ca="1">IFERROR(__xludf.DUMMYFUNCTION("""COMPUTED_VALUE"""),0.364583333333333)</f>
        <v>0.36458333333333298</v>
      </c>
      <c r="X2076" s="5">
        <f ca="1">IFERROR(__xludf.DUMMYFUNCTION("""COMPUTED_VALUE"""),1)</f>
        <v>1</v>
      </c>
      <c r="Y2076" s="5" t="str">
        <f ca="1">IFERROR(__xludf.DUMMYFUNCTION("""COMPUTED_VALUE"""),"Fight outside on school grounds turned into shooting.")</f>
        <v>Fight outside on school grounds turned into shooting.</v>
      </c>
      <c r="Z2076" s="5" t="str">
        <f ca="1">IFERROR(__xludf.DUMMYFUNCTION("""COMPUTED_VALUE"""),"Suspect and victim involved in fight outside school. When the victim grabbed the suspect in a bearhug, the suspect took out a pistol and shot the victim. The victim ran into school and died in hallway.")</f>
        <v>Suspect and victim involved in fight outside school. When the victim grabbed the suspect in a bearhug, the suspect took out a pistol and shot the victim. The victim ran into school and died in hallway.</v>
      </c>
      <c r="AA2076" s="5" t="str">
        <f ca="1">IFERROR(__xludf.DUMMYFUNCTION("""COMPUTED_VALUE"""),"Escalation of Dispute")</f>
        <v>Escalation of Dispute</v>
      </c>
      <c r="AB2076" s="5" t="str">
        <f ca="1">IFERROR(__xludf.DUMMYFUNCTION("""COMPUTED_VALUE"""),"Victims Targeted")</f>
        <v>Victims Targeted</v>
      </c>
      <c r="AC2076" s="5" t="str">
        <f ca="1">IFERROR(__xludf.DUMMYFUNCTION("""COMPUTED_VALUE"""),"No")</f>
        <v>No</v>
      </c>
      <c r="AD2076" s="5" t="str">
        <f ca="1">IFERROR(__xludf.DUMMYFUNCTION("""COMPUTED_VALUE"""),"No")</f>
        <v>No</v>
      </c>
      <c r="AE2076" s="5" t="str">
        <f ca="1">IFERROR(__xludf.DUMMYFUNCTION("""COMPUTED_VALUE"""),"No")</f>
        <v>No</v>
      </c>
      <c r="AF2076" s="5" t="str">
        <f ca="1">IFERROR(__xludf.DUMMYFUNCTION("""COMPUTED_VALUE"""),"No")</f>
        <v>No</v>
      </c>
      <c r="AG2076" s="5" t="str">
        <f ca="1">IFERROR(__xludf.DUMMYFUNCTION("""COMPUTED_VALUE"""),"No")</f>
        <v>No</v>
      </c>
      <c r="AH2076" s="5" t="str">
        <f ca="1">IFERROR(__xludf.DUMMYFUNCTION("""COMPUTED_VALUE"""),"No")</f>
        <v>No</v>
      </c>
      <c r="AI2076" s="5" t="str">
        <f ca="1">IFERROR(__xludf.DUMMYFUNCTION("""COMPUTED_VALUE"""),"No")</f>
        <v>No</v>
      </c>
      <c r="AJ2076" s="5"/>
    </row>
    <row r="2077" spans="1:36" ht="13">
      <c r="A2077" s="5" t="str">
        <f ca="1">IFERROR(__xludf.DUMMYFUNCTION("""COMPUTED_VALUE"""),"19830526PAGRJ")</f>
        <v>19830526PAGRJ</v>
      </c>
      <c r="B2077" s="5">
        <f ca="1">IFERROR(__xludf.DUMMYFUNCTION("""COMPUTED_VALUE"""),5)</f>
        <v>5</v>
      </c>
      <c r="C2077" s="5">
        <f ca="1">IFERROR(__xludf.DUMMYFUNCTION("""COMPUTED_VALUE"""),26)</f>
        <v>26</v>
      </c>
      <c r="D2077" s="5">
        <f ca="1">IFERROR(__xludf.DUMMYFUNCTION("""COMPUTED_VALUE"""),1983)</f>
        <v>1983</v>
      </c>
      <c r="E2077" s="8">
        <f ca="1">IFERROR(__xludf.DUMMYFUNCTION("""COMPUTED_VALUE"""),30462)</f>
        <v>30462</v>
      </c>
      <c r="F2077" s="5" t="str">
        <f ca="1">IFERROR(__xludf.DUMMYFUNCTION("""COMPUTED_VALUE"""),"Greater Johnstown High School")</f>
        <v>Greater Johnstown High School</v>
      </c>
      <c r="G2077" s="5">
        <f ca="1">IFERROR(__xludf.DUMMYFUNCTION("""COMPUTED_VALUE"""),0)</f>
        <v>0</v>
      </c>
      <c r="H2077" s="5">
        <f ca="1">IFERROR(__xludf.DUMMYFUNCTION("""COMPUTED_VALUE"""),0)</f>
        <v>0</v>
      </c>
      <c r="I2077" s="5">
        <f ca="1">IFERROR(__xludf.DUMMYFUNCTION("""COMPUTED_VALUE"""),0)</f>
        <v>0</v>
      </c>
      <c r="J2077" s="5">
        <f ca="1">IFERROR(__xludf.DUMMYFUNCTION("""COMPUTED_VALUE"""),1)</f>
        <v>1</v>
      </c>
      <c r="K2077" s="9" t="str">
        <f ca="1">IFERROR(__xludf.DUMMYFUNCTION("""COMPUTED_VALUE"""),"https://www.newspapers.com/image/89740743/?terms=student%2Bshot")</f>
        <v>https://www.newspapers.com/image/89740743/?terms=student%2Bshot</v>
      </c>
      <c r="L2077" s="5"/>
      <c r="M2077" s="5"/>
      <c r="N2077" s="5">
        <f ca="1">IFERROR(__xludf.DUMMYFUNCTION("""COMPUTED_VALUE"""),2)</f>
        <v>2</v>
      </c>
      <c r="O2077" s="5" t="str">
        <f ca="1">IFERROR(__xludf.DUMMYFUNCTION("""COMPUTED_VALUE"""),"Spring")</f>
        <v>Spring</v>
      </c>
      <c r="P2077" s="5" t="str">
        <f ca="1">IFERROR(__xludf.DUMMYFUNCTION("""COMPUTED_VALUE"""),"Johnstown")</f>
        <v>Johnstown</v>
      </c>
      <c r="Q2077" s="5" t="str">
        <f ca="1">IFERROR(__xludf.DUMMYFUNCTION("""COMPUTED_VALUE"""),"PA")</f>
        <v>PA</v>
      </c>
      <c r="R2077" s="5" t="str">
        <f ca="1">IFERROR(__xludf.DUMMYFUNCTION("""COMPUTED_VALUE"""),"High")</f>
        <v>High</v>
      </c>
      <c r="S2077" s="5" t="str">
        <f ca="1">IFERROR(__xludf.DUMMYFUNCTION("""COMPUTED_VALUE"""),"Other")</f>
        <v>Other</v>
      </c>
      <c r="T2077" s="5" t="str">
        <f ca="1">IFERROR(__xludf.DUMMYFUNCTION("""COMPUTED_VALUE"""),"Inside School Building")</f>
        <v>Inside School Building</v>
      </c>
      <c r="U2077" s="5" t="str">
        <f ca="1">IFERROR(__xludf.DUMMYFUNCTION("""COMPUTED_VALUE"""),"Yes")</f>
        <v>Yes</v>
      </c>
      <c r="V2077" s="5"/>
      <c r="W2077" s="5"/>
      <c r="X2077" s="5">
        <f ca="1">IFERROR(__xludf.DUMMYFUNCTION("""COMPUTED_VALUE"""),1)</f>
        <v>1</v>
      </c>
      <c r="Y2077" s="5" t="str">
        <f ca="1">IFERROR(__xludf.DUMMYFUNCTION("""COMPUTED_VALUE"""),"Accidentally shot self during game of Russian Roulette")</f>
        <v>Accidentally shot self during game of Russian Roulette</v>
      </c>
      <c r="Z2077" s="5" t="str">
        <f ca="1">IFERROR(__xludf.DUMMYFUNCTION("""COMPUTED_VALUE"""),"Playing russian roulette. Shooter brough family car into auto body class to work on. Pulled out .22 revolver from underneath seat and put to head pulled trigger. Gun didn't fire - gave to friend to do, who declined. Shooter took gun back, put to head and "&amp;"pulled trigger again - gun fired killing him")</f>
        <v>Playing russian roulette. Shooter brough family car into auto body class to work on. Pulled out .22 revolver from underneath seat and put to head pulled trigger. Gun didn't fire - gave to friend to do, who declined. Shooter took gun back, put to head and pulled trigger again - gun fired killing him</v>
      </c>
      <c r="AA2077" s="5" t="str">
        <f ca="1">IFERROR(__xludf.DUMMYFUNCTION("""COMPUTED_VALUE"""),"Accidental")</f>
        <v>Accidental</v>
      </c>
      <c r="AB2077" s="5" t="str">
        <f ca="1">IFERROR(__xludf.DUMMYFUNCTION("""COMPUTED_VALUE"""),"Neither")</f>
        <v>Neither</v>
      </c>
      <c r="AC2077" s="5" t="str">
        <f ca="1">IFERROR(__xludf.DUMMYFUNCTION("""COMPUTED_VALUE"""),"No")</f>
        <v>No</v>
      </c>
      <c r="AD2077" s="5" t="str">
        <f ca="1">IFERROR(__xludf.DUMMYFUNCTION("""COMPUTED_VALUE"""),"No")</f>
        <v>No</v>
      </c>
      <c r="AE2077" s="5" t="str">
        <f ca="1">IFERROR(__xludf.DUMMYFUNCTION("""COMPUTED_VALUE"""),"No")</f>
        <v>No</v>
      </c>
      <c r="AF2077" s="5" t="str">
        <f ca="1">IFERROR(__xludf.DUMMYFUNCTION("""COMPUTED_VALUE"""),"No")</f>
        <v>No</v>
      </c>
      <c r="AG2077" s="5" t="str">
        <f ca="1">IFERROR(__xludf.DUMMYFUNCTION("""COMPUTED_VALUE"""),"No")</f>
        <v>No</v>
      </c>
      <c r="AH2077" s="5" t="str">
        <f ca="1">IFERROR(__xludf.DUMMYFUNCTION("""COMPUTED_VALUE"""),"No")</f>
        <v>No</v>
      </c>
      <c r="AI2077" s="5" t="str">
        <f ca="1">IFERROR(__xludf.DUMMYFUNCTION("""COMPUTED_VALUE"""),"No")</f>
        <v>No</v>
      </c>
      <c r="AJ2077" s="5"/>
    </row>
    <row r="2078" spans="1:36" ht="13">
      <c r="A2078" s="5" t="str">
        <f ca="1">IFERROR(__xludf.DUMMYFUNCTION("""COMPUTED_VALUE"""),"19830523OHMAM")</f>
        <v>19830523OHMAM</v>
      </c>
      <c r="B2078" s="5">
        <f ca="1">IFERROR(__xludf.DUMMYFUNCTION("""COMPUTED_VALUE"""),5)</f>
        <v>5</v>
      </c>
      <c r="C2078" s="5">
        <f ca="1">IFERROR(__xludf.DUMMYFUNCTION("""COMPUTED_VALUE"""),23)</f>
        <v>23</v>
      </c>
      <c r="D2078" s="5">
        <f ca="1">IFERROR(__xludf.DUMMYFUNCTION("""COMPUTED_VALUE"""),1983)</f>
        <v>1983</v>
      </c>
      <c r="E2078" s="8">
        <f ca="1">IFERROR(__xludf.DUMMYFUNCTION("""COMPUTED_VALUE"""),30459)</f>
        <v>30459</v>
      </c>
      <c r="F2078" s="5" t="str">
        <f ca="1">IFERROR(__xludf.DUMMYFUNCTION("""COMPUTED_VALUE"""),"Mansfield Senior High School")</f>
        <v>Mansfield Senior High School</v>
      </c>
      <c r="G2078" s="5">
        <f ca="1">IFERROR(__xludf.DUMMYFUNCTION("""COMPUTED_VALUE"""),0)</f>
        <v>0</v>
      </c>
      <c r="H2078" s="5">
        <f ca="1">IFERROR(__xludf.DUMMYFUNCTION("""COMPUTED_VALUE"""),1)</f>
        <v>1</v>
      </c>
      <c r="I2078" s="5">
        <f ca="1">IFERROR(__xludf.DUMMYFUNCTION("""COMPUTED_VALUE"""),1)</f>
        <v>1</v>
      </c>
      <c r="J2078" s="5">
        <f ca="1">IFERROR(__xludf.DUMMYFUNCTION("""COMPUTED_VALUE"""),0)</f>
        <v>0</v>
      </c>
      <c r="K2078" s="9" t="str">
        <f ca="1">IFERROR(__xludf.DUMMYFUNCTION("""COMPUTED_VALUE"""),"https://www.newspapers.com/image/296835492/?terms=mansfield%2Bsenior%2Bhigh%2Bschool")</f>
        <v>https://www.newspapers.com/image/296835492/?terms=mansfield%2Bsenior%2Bhigh%2Bschool</v>
      </c>
      <c r="L2078" s="5"/>
      <c r="M2078" s="5"/>
      <c r="N2078" s="5">
        <f ca="1">IFERROR(__xludf.DUMMYFUNCTION("""COMPUTED_VALUE"""),2)</f>
        <v>2</v>
      </c>
      <c r="O2078" s="5" t="str">
        <f ca="1">IFERROR(__xludf.DUMMYFUNCTION("""COMPUTED_VALUE"""),"Spring")</f>
        <v>Spring</v>
      </c>
      <c r="P2078" s="5" t="str">
        <f ca="1">IFERROR(__xludf.DUMMYFUNCTION("""COMPUTED_VALUE"""),"Mansfield")</f>
        <v>Mansfield</v>
      </c>
      <c r="Q2078" s="5" t="str">
        <f ca="1">IFERROR(__xludf.DUMMYFUNCTION("""COMPUTED_VALUE"""),"OH")</f>
        <v>OH</v>
      </c>
      <c r="R2078" s="5" t="str">
        <f ca="1">IFERROR(__xludf.DUMMYFUNCTION("""COMPUTED_VALUE"""),"High")</f>
        <v>High</v>
      </c>
      <c r="S2078" s="5" t="str">
        <f ca="1">IFERROR(__xludf.DUMMYFUNCTION("""COMPUTED_VALUE"""),"Beside Building")</f>
        <v>Beside Building</v>
      </c>
      <c r="T2078" s="5" t="str">
        <f ca="1">IFERROR(__xludf.DUMMYFUNCTION("""COMPUTED_VALUE"""),"Outside on School Property")</f>
        <v>Outside on School Property</v>
      </c>
      <c r="U2078" s="5" t="str">
        <f ca="1">IFERROR(__xludf.DUMMYFUNCTION("""COMPUTED_VALUE"""),"Yes")</f>
        <v>Yes</v>
      </c>
      <c r="V2078" s="5" t="str">
        <f ca="1">IFERROR(__xludf.DUMMYFUNCTION("""COMPUTED_VALUE"""),"Before School")</f>
        <v>Before School</v>
      </c>
      <c r="W2078" s="10">
        <f ca="1">IFERROR(__xludf.DUMMYFUNCTION("""COMPUTED_VALUE"""),0.336805555555555)</f>
        <v>0.33680555555555503</v>
      </c>
      <c r="X2078" s="5">
        <f ca="1">IFERROR(__xludf.DUMMYFUNCTION("""COMPUTED_VALUE"""),1)</f>
        <v>1</v>
      </c>
      <c r="Y2078" s="5" t="str">
        <f ca="1">IFERROR(__xludf.DUMMYFUNCTION("""COMPUTED_VALUE"""),"Ongoing conflict over a girl ended with victim shot")</f>
        <v>Ongoing conflict over a girl ended with victim shot</v>
      </c>
      <c r="Z2078" s="5" t="str">
        <f ca="1">IFERROR(__xludf.DUMMYFUNCTION("""COMPUTED_VALUE"""),"Shooting escalated from weekend fight - occurred outside of school - shot three times in alley north side of school. After shooting victim went inside school and collapsed")</f>
        <v>Shooting escalated from weekend fight - occurred outside of school - shot three times in alley north side of school. After shooting victim went inside school and collapsed</v>
      </c>
      <c r="AA2078" s="5" t="str">
        <f ca="1">IFERROR(__xludf.DUMMYFUNCTION("""COMPUTED_VALUE"""),"Escalation of Dispute")</f>
        <v>Escalation of Dispute</v>
      </c>
      <c r="AB2078" s="5" t="str">
        <f ca="1">IFERROR(__xludf.DUMMYFUNCTION("""COMPUTED_VALUE"""),"Victims Targeted")</f>
        <v>Victims Targeted</v>
      </c>
      <c r="AC2078" s="5" t="str">
        <f ca="1">IFERROR(__xludf.DUMMYFUNCTION("""COMPUTED_VALUE"""),"No")</f>
        <v>No</v>
      </c>
      <c r="AD2078" s="5" t="str">
        <f ca="1">IFERROR(__xludf.DUMMYFUNCTION("""COMPUTED_VALUE"""),"No")</f>
        <v>No</v>
      </c>
      <c r="AE2078" s="5" t="str">
        <f ca="1">IFERROR(__xludf.DUMMYFUNCTION("""COMPUTED_VALUE"""),"No")</f>
        <v>No</v>
      </c>
      <c r="AF2078" s="5" t="str">
        <f ca="1">IFERROR(__xludf.DUMMYFUNCTION("""COMPUTED_VALUE"""),"No")</f>
        <v>No</v>
      </c>
      <c r="AG2078" s="5" t="str">
        <f ca="1">IFERROR(__xludf.DUMMYFUNCTION("""COMPUTED_VALUE"""),"No")</f>
        <v>No</v>
      </c>
      <c r="AH2078" s="5" t="str">
        <f ca="1">IFERROR(__xludf.DUMMYFUNCTION("""COMPUTED_VALUE"""),"No")</f>
        <v>No</v>
      </c>
      <c r="AI2078" s="5" t="str">
        <f ca="1">IFERROR(__xludf.DUMMYFUNCTION("""COMPUTED_VALUE"""),"No")</f>
        <v>No</v>
      </c>
      <c r="AJ2078" s="5"/>
    </row>
    <row r="2079" spans="1:36" ht="13">
      <c r="A2079" s="5" t="str">
        <f ca="1">IFERROR(__xludf.DUMMYFUNCTION("""COMPUTED_VALUE"""),"19830518FLNOM")</f>
        <v>19830518FLNOM</v>
      </c>
      <c r="B2079" s="5">
        <f ca="1">IFERROR(__xludf.DUMMYFUNCTION("""COMPUTED_VALUE"""),5)</f>
        <v>5</v>
      </c>
      <c r="C2079" s="5">
        <f ca="1">IFERROR(__xludf.DUMMYFUNCTION("""COMPUTED_VALUE"""),18)</f>
        <v>18</v>
      </c>
      <c r="D2079" s="5">
        <f ca="1">IFERROR(__xludf.DUMMYFUNCTION("""COMPUTED_VALUE"""),1983)</f>
        <v>1983</v>
      </c>
      <c r="E2079" s="8">
        <f ca="1">IFERROR(__xludf.DUMMYFUNCTION("""COMPUTED_VALUE"""),30454)</f>
        <v>30454</v>
      </c>
      <c r="F2079" s="5" t="str">
        <f ca="1">IFERROR(__xludf.DUMMYFUNCTION("""COMPUTED_VALUE"""),"North Miami Senior High School")</f>
        <v>North Miami Senior High School</v>
      </c>
      <c r="G2079" s="5">
        <f ca="1">IFERROR(__xludf.DUMMYFUNCTION("""COMPUTED_VALUE"""),0)</f>
        <v>0</v>
      </c>
      <c r="H2079" s="5">
        <f ca="1">IFERROR(__xludf.DUMMYFUNCTION("""COMPUTED_VALUE"""),1)</f>
        <v>1</v>
      </c>
      <c r="I2079" s="5">
        <f ca="1">IFERROR(__xludf.DUMMYFUNCTION("""COMPUTED_VALUE"""),1)</f>
        <v>1</v>
      </c>
      <c r="J2079" s="5">
        <f ca="1">IFERROR(__xludf.DUMMYFUNCTION("""COMPUTED_VALUE"""),0)</f>
        <v>0</v>
      </c>
      <c r="K2079" s="5" t="str">
        <f ca="1">IFERROR(__xludf.DUMMYFUNCTION("""COMPUTED_VALUE"""),"https://www.newspapers.com/image/302228162/?terms=student%2Bshot; https://www.newspapers.com/image/302218252/?terms=george%2Bhernandez")</f>
        <v>https://www.newspapers.com/image/302228162/?terms=student%2Bshot; https://www.newspapers.com/image/302218252/?terms=george%2Bhernandez</v>
      </c>
      <c r="L2079" s="5"/>
      <c r="M2079" s="5"/>
      <c r="N2079" s="5">
        <f ca="1">IFERROR(__xludf.DUMMYFUNCTION("""COMPUTED_VALUE"""),2)</f>
        <v>2</v>
      </c>
      <c r="O2079" s="5" t="str">
        <f ca="1">IFERROR(__xludf.DUMMYFUNCTION("""COMPUTED_VALUE"""),"Spring")</f>
        <v>Spring</v>
      </c>
      <c r="P2079" s="5" t="str">
        <f ca="1">IFERROR(__xludf.DUMMYFUNCTION("""COMPUTED_VALUE"""),"Miami")</f>
        <v>Miami</v>
      </c>
      <c r="Q2079" s="5" t="str">
        <f ca="1">IFERROR(__xludf.DUMMYFUNCTION("""COMPUTED_VALUE"""),"FL")</f>
        <v>FL</v>
      </c>
      <c r="R2079" s="5" t="str">
        <f ca="1">IFERROR(__xludf.DUMMYFUNCTION("""COMPUTED_VALUE"""),"High")</f>
        <v>High</v>
      </c>
      <c r="S2079" s="5" t="str">
        <f ca="1">IFERROR(__xludf.DUMMYFUNCTION("""COMPUTED_VALUE"""),"Hallway")</f>
        <v>Hallway</v>
      </c>
      <c r="T2079" s="5" t="str">
        <f ca="1">IFERROR(__xludf.DUMMYFUNCTION("""COMPUTED_VALUE"""),"Inside School Building")</f>
        <v>Inside School Building</v>
      </c>
      <c r="U2079" s="5" t="str">
        <f ca="1">IFERROR(__xludf.DUMMYFUNCTION("""COMPUTED_VALUE"""),"Yes")</f>
        <v>Yes</v>
      </c>
      <c r="V2079" s="5" t="str">
        <f ca="1">IFERROR(__xludf.DUMMYFUNCTION("""COMPUTED_VALUE"""),"Afternoon Classes")</f>
        <v>Afternoon Classes</v>
      </c>
      <c r="W2079" s="10">
        <f ca="1">IFERROR(__xludf.DUMMYFUNCTION("""COMPUTED_VALUE"""),0.604166666666666)</f>
        <v>0.60416666666666596</v>
      </c>
      <c r="X2079" s="5">
        <f ca="1">IFERROR(__xludf.DUMMYFUNCTION("""COMPUTED_VALUE"""),1)</f>
        <v>1</v>
      </c>
      <c r="Y2079" s="5" t="str">
        <f ca="1">IFERROR(__xludf.DUMMYFUNCTION("""COMPUTED_VALUE"""),"Shooter confronted victim about a girl, fight ensued, victim shot.")</f>
        <v>Shooter confronted victim about a girl, fight ensued, victim shot.</v>
      </c>
      <c r="Z2079" s="5" t="str">
        <f ca="1">IFERROR(__xludf.DUMMYFUNCTION("""COMPUTED_VALUE"""),"Two non-students entered school and confronted victim - possibly over a girl - two men began fighting with victim. Victim, who was school wrestler was winning fight - coaches saw fight and broke up. One shooter then pulled pistol and shot victim - shooter"&amp;" and other man fled scene - later caught.")</f>
        <v>Two non-students entered school and confronted victim - possibly over a girl - two men began fighting with victim. Victim, who was school wrestler was winning fight - coaches saw fight and broke up. One shooter then pulled pistol and shot victim - shooter and other man fled scene - later caught.</v>
      </c>
      <c r="AA2079" s="5" t="str">
        <f ca="1">IFERROR(__xludf.DUMMYFUNCTION("""COMPUTED_VALUE"""),"Escalation of Dispute")</f>
        <v>Escalation of Dispute</v>
      </c>
      <c r="AB2079" s="5" t="str">
        <f ca="1">IFERROR(__xludf.DUMMYFUNCTION("""COMPUTED_VALUE"""),"Victims Targeted")</f>
        <v>Victims Targeted</v>
      </c>
      <c r="AC2079" s="5" t="str">
        <f ca="1">IFERROR(__xludf.DUMMYFUNCTION("""COMPUTED_VALUE"""),"No")</f>
        <v>No</v>
      </c>
      <c r="AD2079" s="5" t="str">
        <f ca="1">IFERROR(__xludf.DUMMYFUNCTION("""COMPUTED_VALUE"""),"No")</f>
        <v>No</v>
      </c>
      <c r="AE2079" s="5" t="str">
        <f ca="1">IFERROR(__xludf.DUMMYFUNCTION("""COMPUTED_VALUE"""),"No")</f>
        <v>No</v>
      </c>
      <c r="AF2079" s="5" t="str">
        <f ca="1">IFERROR(__xludf.DUMMYFUNCTION("""COMPUTED_VALUE"""),"No")</f>
        <v>No</v>
      </c>
      <c r="AG2079" s="5" t="str">
        <f ca="1">IFERROR(__xludf.DUMMYFUNCTION("""COMPUTED_VALUE"""),"No")</f>
        <v>No</v>
      </c>
      <c r="AH2079" s="5" t="str">
        <f ca="1">IFERROR(__xludf.DUMMYFUNCTION("""COMPUTED_VALUE"""),"No")</f>
        <v>No</v>
      </c>
      <c r="AI2079" s="5" t="str">
        <f ca="1">IFERROR(__xludf.DUMMYFUNCTION("""COMPUTED_VALUE"""),"No")</f>
        <v>No</v>
      </c>
      <c r="AJ2079" s="5"/>
    </row>
    <row r="2080" spans="1:36" ht="13">
      <c r="A2080" s="5" t="str">
        <f ca="1">IFERROR(__xludf.DUMMYFUNCTION("""COMPUTED_VALUE"""),"19830516TXLAD")</f>
        <v>19830516TXLAD</v>
      </c>
      <c r="B2080" s="5">
        <f ca="1">IFERROR(__xludf.DUMMYFUNCTION("""COMPUTED_VALUE"""),5)</f>
        <v>5</v>
      </c>
      <c r="C2080" s="5">
        <f ca="1">IFERROR(__xludf.DUMMYFUNCTION("""COMPUTED_VALUE"""),16)</f>
        <v>16</v>
      </c>
      <c r="D2080" s="5">
        <f ca="1">IFERROR(__xludf.DUMMYFUNCTION("""COMPUTED_VALUE"""),1983)</f>
        <v>1983</v>
      </c>
      <c r="E2080" s="8">
        <f ca="1">IFERROR(__xludf.DUMMYFUNCTION("""COMPUTED_VALUE"""),30452)</f>
        <v>30452</v>
      </c>
      <c r="F2080" s="5" t="str">
        <f ca="1">IFERROR(__xludf.DUMMYFUNCTION("""COMPUTED_VALUE"""),"Lake Highland High School")</f>
        <v>Lake Highland High School</v>
      </c>
      <c r="G2080" s="5">
        <f ca="1">IFERROR(__xludf.DUMMYFUNCTION("""COMPUTED_VALUE"""),1)</f>
        <v>1</v>
      </c>
      <c r="H2080" s="5">
        <f ca="1">IFERROR(__xludf.DUMMYFUNCTION("""COMPUTED_VALUE"""),0)</f>
        <v>0</v>
      </c>
      <c r="I2080" s="5">
        <f ca="1">IFERROR(__xludf.DUMMYFUNCTION("""COMPUTED_VALUE"""),1)</f>
        <v>1</v>
      </c>
      <c r="J2080" s="5">
        <f ca="1">IFERROR(__xludf.DUMMYFUNCTION("""COMPUTED_VALUE"""),0)</f>
        <v>0</v>
      </c>
      <c r="K2080" s="9" t="str">
        <f ca="1">IFERROR(__xludf.DUMMYFUNCTION("""COMPUTED_VALUE"""),"https://lakehighlands.advocatemag.com/2014/03/history-shooting-lake-highlands-cafeteria-worker-remembered/")</f>
        <v>https://lakehighlands.advocatemag.com/2014/03/history-shooting-lake-highlands-cafeteria-worker-remembered/</v>
      </c>
      <c r="L2080" s="5"/>
      <c r="M2080" s="5" t="str">
        <f ca="1">IFERROR(__xludf.DUMMYFUNCTION("""COMPUTED_VALUE"""),"Local")</f>
        <v>Local</v>
      </c>
      <c r="N2080" s="5">
        <f ca="1">IFERROR(__xludf.DUMMYFUNCTION("""COMPUTED_VALUE"""),2)</f>
        <v>2</v>
      </c>
      <c r="O2080" s="5" t="str">
        <f ca="1">IFERROR(__xludf.DUMMYFUNCTION("""COMPUTED_VALUE"""),"Spring")</f>
        <v>Spring</v>
      </c>
      <c r="P2080" s="5" t="str">
        <f ca="1">IFERROR(__xludf.DUMMYFUNCTION("""COMPUTED_VALUE"""),"Dallas")</f>
        <v>Dallas</v>
      </c>
      <c r="Q2080" s="5" t="str">
        <f ca="1">IFERROR(__xludf.DUMMYFUNCTION("""COMPUTED_VALUE"""),"TX")</f>
        <v>TX</v>
      </c>
      <c r="R2080" s="5" t="str">
        <f ca="1">IFERROR(__xludf.DUMMYFUNCTION("""COMPUTED_VALUE"""),"High")</f>
        <v>High</v>
      </c>
      <c r="S2080" s="5" t="str">
        <f ca="1">IFERROR(__xludf.DUMMYFUNCTION("""COMPUTED_VALUE"""),"Cafeteria")</f>
        <v>Cafeteria</v>
      </c>
      <c r="T2080" s="5" t="str">
        <f ca="1">IFERROR(__xludf.DUMMYFUNCTION("""COMPUTED_VALUE"""),"Inside School Building")</f>
        <v>Inside School Building</v>
      </c>
      <c r="U2080" s="5" t="str">
        <f ca="1">IFERROR(__xludf.DUMMYFUNCTION("""COMPUTED_VALUE"""),"No")</f>
        <v>No</v>
      </c>
      <c r="V2080" s="5" t="str">
        <f ca="1">IFERROR(__xludf.DUMMYFUNCTION("""COMPUTED_VALUE"""),"After School")</f>
        <v>After School</v>
      </c>
      <c r="W2080" s="5"/>
      <c r="X2080" s="5">
        <f ca="1">IFERROR(__xludf.DUMMYFUNCTION("""COMPUTED_VALUE"""),1)</f>
        <v>1</v>
      </c>
      <c r="Y2080" s="5" t="str">
        <f ca="1">IFERROR(__xludf.DUMMYFUNCTION("""COMPUTED_VALUE"""),"Shot and killed cafeteria worker during robbery")</f>
        <v>Shot and killed cafeteria worker during robbery</v>
      </c>
      <c r="Z2080" s="5" t="str">
        <f ca="1">IFERROR(__xludf.DUMMYFUNCTION("""COMPUTED_VALUE"""),"Shooter robbed school cafeteria while staff member was counting the money. Shot and killed 61 year old female cafeteria worker during robbery. Fled the scene and was later arrested.")</f>
        <v>Shooter robbed school cafeteria while staff member was counting the money. Shot and killed 61 year old female cafeteria worker during robbery. Fled the scene and was later arrested.</v>
      </c>
      <c r="AA2080" s="5" t="str">
        <f ca="1">IFERROR(__xludf.DUMMYFUNCTION("""COMPUTED_VALUE"""),"Illegal Activity")</f>
        <v>Illegal Activity</v>
      </c>
      <c r="AB2080" s="5" t="str">
        <f ca="1">IFERROR(__xludf.DUMMYFUNCTION("""COMPUTED_VALUE"""),"Neither")</f>
        <v>Neither</v>
      </c>
      <c r="AC2080" s="5" t="str">
        <f ca="1">IFERROR(__xludf.DUMMYFUNCTION("""COMPUTED_VALUE"""),"No")</f>
        <v>No</v>
      </c>
      <c r="AD2080" s="5" t="str">
        <f ca="1">IFERROR(__xludf.DUMMYFUNCTION("""COMPUTED_VALUE"""),"No")</f>
        <v>No</v>
      </c>
      <c r="AE2080" s="5" t="str">
        <f ca="1">IFERROR(__xludf.DUMMYFUNCTION("""COMPUTED_VALUE"""),"No")</f>
        <v>No</v>
      </c>
      <c r="AF2080" s="5" t="str">
        <f ca="1">IFERROR(__xludf.DUMMYFUNCTION("""COMPUTED_VALUE"""),"No")</f>
        <v>No</v>
      </c>
      <c r="AG2080" s="5" t="str">
        <f ca="1">IFERROR(__xludf.DUMMYFUNCTION("""COMPUTED_VALUE"""),"No")</f>
        <v>No</v>
      </c>
      <c r="AH2080" s="5" t="str">
        <f ca="1">IFERROR(__xludf.DUMMYFUNCTION("""COMPUTED_VALUE"""),"No")</f>
        <v>No</v>
      </c>
      <c r="AI2080" s="5" t="str">
        <f ca="1">IFERROR(__xludf.DUMMYFUNCTION("""COMPUTED_VALUE"""),"No")</f>
        <v>No</v>
      </c>
      <c r="AJ2080" s="5"/>
    </row>
    <row r="2081" spans="1:36" ht="13">
      <c r="A2081" s="5" t="str">
        <f ca="1">IFERROR(__xludf.DUMMYFUNCTION("""COMPUTED_VALUE"""),"19830516NYBRN")</f>
        <v>19830516NYBRN</v>
      </c>
      <c r="B2081" s="5">
        <f ca="1">IFERROR(__xludf.DUMMYFUNCTION("""COMPUTED_VALUE"""),5)</f>
        <v>5</v>
      </c>
      <c r="C2081" s="5">
        <f ca="1">IFERROR(__xludf.DUMMYFUNCTION("""COMPUTED_VALUE"""),16)</f>
        <v>16</v>
      </c>
      <c r="D2081" s="5">
        <f ca="1">IFERROR(__xludf.DUMMYFUNCTION("""COMPUTED_VALUE"""),1983)</f>
        <v>1983</v>
      </c>
      <c r="E2081" s="8">
        <f ca="1">IFERROR(__xludf.DUMMYFUNCTION("""COMPUTED_VALUE"""),30452)</f>
        <v>30452</v>
      </c>
      <c r="F2081" s="5" t="str">
        <f ca="1">IFERROR(__xludf.DUMMYFUNCTION("""COMPUTED_VALUE"""),"Brentwood High School")</f>
        <v>Brentwood High School</v>
      </c>
      <c r="G2081" s="5">
        <f ca="1">IFERROR(__xludf.DUMMYFUNCTION("""COMPUTED_VALUE"""),0)</f>
        <v>0</v>
      </c>
      <c r="H2081" s="5">
        <f ca="1">IFERROR(__xludf.DUMMYFUNCTION("""COMPUTED_VALUE"""),2)</f>
        <v>2</v>
      </c>
      <c r="I2081" s="5">
        <f ca="1">IFERROR(__xludf.DUMMYFUNCTION("""COMPUTED_VALUE"""),2)</f>
        <v>2</v>
      </c>
      <c r="J2081" s="5">
        <f ca="1">IFERROR(__xludf.DUMMYFUNCTION("""COMPUTED_VALUE"""),1)</f>
        <v>1</v>
      </c>
      <c r="K2081" s="9" t="str">
        <f ca="1">IFERROR(__xludf.DUMMYFUNCTION("""COMPUTED_VALUE"""),"https://www.nytimes.com/1983/05/17/nyregion/hostages-at-li-school-are-freed-and-gunman-then-kills-himself.html")</f>
        <v>https://www.nytimes.com/1983/05/17/nyregion/hostages-at-li-school-are-freed-and-gunman-then-kills-himself.html</v>
      </c>
      <c r="L2081" s="5"/>
      <c r="M2081" s="5"/>
      <c r="N2081" s="5">
        <f ca="1">IFERROR(__xludf.DUMMYFUNCTION("""COMPUTED_VALUE"""),2)</f>
        <v>2</v>
      </c>
      <c r="O2081" s="5" t="str">
        <f ca="1">IFERROR(__xludf.DUMMYFUNCTION("""COMPUTED_VALUE"""),"Spring")</f>
        <v>Spring</v>
      </c>
      <c r="P2081" s="5" t="str">
        <f ca="1">IFERROR(__xludf.DUMMYFUNCTION("""COMPUTED_VALUE"""),"New York")</f>
        <v>New York</v>
      </c>
      <c r="Q2081" s="5" t="str">
        <f ca="1">IFERROR(__xludf.DUMMYFUNCTION("""COMPUTED_VALUE"""),"NY")</f>
        <v>NY</v>
      </c>
      <c r="R2081" s="5" t="str">
        <f ca="1">IFERROR(__xludf.DUMMYFUNCTION("""COMPUTED_VALUE"""),"High")</f>
        <v>High</v>
      </c>
      <c r="S2081" s="5" t="str">
        <f ca="1">IFERROR(__xludf.DUMMYFUNCTION("""COMPUTED_VALUE"""),"Classroom")</f>
        <v>Classroom</v>
      </c>
      <c r="T2081" s="5" t="str">
        <f ca="1">IFERROR(__xludf.DUMMYFUNCTION("""COMPUTED_VALUE"""),"Inside School Building")</f>
        <v>Inside School Building</v>
      </c>
      <c r="U2081" s="5" t="str">
        <f ca="1">IFERROR(__xludf.DUMMYFUNCTION("""COMPUTED_VALUE"""),"Yes")</f>
        <v>Yes</v>
      </c>
      <c r="V2081" s="5" t="str">
        <f ca="1">IFERROR(__xludf.DUMMYFUNCTION("""COMPUTED_VALUE"""),"Lunch")</f>
        <v>Lunch</v>
      </c>
      <c r="W2081" s="10">
        <f ca="1">IFERROR(__xludf.DUMMYFUNCTION("""COMPUTED_VALUE"""),0.53125)</f>
        <v>0.53125</v>
      </c>
      <c r="X2081" s="5"/>
      <c r="Y2081" s="5" t="str">
        <f ca="1">IFERROR(__xludf.DUMMYFUNCTION("""COMPUTED_VALUE"""),"Shooter was former teacher, came back to school, took class hostage, shot victim then self.")</f>
        <v>Shooter was former teacher, came back to school, took class hostage, shot victim then self.</v>
      </c>
      <c r="Z2081" s="5" t="str">
        <f ca="1">IFERROR(__xludf.DUMMYFUNCTION("""COMPUTED_VALUE"""),"Suspect was a substitute teacher who got in physical altercation with one of victims. Suspect was released from his job - sought revenge and came back to school - took a classroom full of hostages and shot victim who was in class. All hostages were later "&amp;"released and suspect killed himself - he was known to make threats to officials including Reagan Cabinet members.")</f>
        <v>Suspect was a substitute teacher who got in physical altercation with one of victims. Suspect was released from his job - sought revenge and came back to school - took a classroom full of hostages and shot victim who was in class. All hostages were later released and suspect killed himself - he was known to make threats to officials including Reagan Cabinet members.</v>
      </c>
      <c r="AA2081" s="5" t="str">
        <f ca="1">IFERROR(__xludf.DUMMYFUNCTION("""COMPUTED_VALUE"""),"Hostage/Standoff")</f>
        <v>Hostage/Standoff</v>
      </c>
      <c r="AB2081" s="5" t="str">
        <f ca="1">IFERROR(__xludf.DUMMYFUNCTION("""COMPUTED_VALUE"""),"Both")</f>
        <v>Both</v>
      </c>
      <c r="AC2081" s="5" t="str">
        <f ca="1">IFERROR(__xludf.DUMMYFUNCTION("""COMPUTED_VALUE"""),"No")</f>
        <v>No</v>
      </c>
      <c r="AD2081" s="5" t="str">
        <f ca="1">IFERROR(__xludf.DUMMYFUNCTION("""COMPUTED_VALUE"""),"Yes")</f>
        <v>Yes</v>
      </c>
      <c r="AE2081" s="5" t="str">
        <f ca="1">IFERROR(__xludf.DUMMYFUNCTION("""COMPUTED_VALUE"""),"Yes")</f>
        <v>Yes</v>
      </c>
      <c r="AF2081" s="5" t="str">
        <f ca="1">IFERROR(__xludf.DUMMYFUNCTION("""COMPUTED_VALUE"""),"No")</f>
        <v>No</v>
      </c>
      <c r="AG2081" s="5" t="str">
        <f ca="1">IFERROR(__xludf.DUMMYFUNCTION("""COMPUTED_VALUE"""),"No")</f>
        <v>No</v>
      </c>
      <c r="AH2081" s="5" t="str">
        <f ca="1">IFERROR(__xludf.DUMMYFUNCTION("""COMPUTED_VALUE"""),"No")</f>
        <v>No</v>
      </c>
      <c r="AI2081" s="5" t="str">
        <f ca="1">IFERROR(__xludf.DUMMYFUNCTION("""COMPUTED_VALUE"""),"No")</f>
        <v>No</v>
      </c>
      <c r="AJ2081" s="5" t="str">
        <f ca="1">IFERROR(__xludf.DUMMYFUNCTION("""COMPUTED_VALUE"""),"Yes")</f>
        <v>Yes</v>
      </c>
    </row>
    <row r="2082" spans="1:36" ht="13">
      <c r="A2082" s="5" t="str">
        <f ca="1">IFERROR(__xludf.DUMMYFUNCTION("""COMPUTED_VALUE"""),"19830421MOBES")</f>
        <v>19830421MOBES</v>
      </c>
      <c r="B2082" s="5">
        <f ca="1">IFERROR(__xludf.DUMMYFUNCTION("""COMPUTED_VALUE"""),4)</f>
        <v>4</v>
      </c>
      <c r="C2082" s="5">
        <f ca="1">IFERROR(__xludf.DUMMYFUNCTION("""COMPUTED_VALUE"""),21)</f>
        <v>21</v>
      </c>
      <c r="D2082" s="5">
        <f ca="1">IFERROR(__xludf.DUMMYFUNCTION("""COMPUTED_VALUE"""),1983)</f>
        <v>1983</v>
      </c>
      <c r="E2082" s="8">
        <f ca="1">IFERROR(__xludf.DUMMYFUNCTION("""COMPUTED_VALUE"""),30427)</f>
        <v>30427</v>
      </c>
      <c r="F2082" s="5" t="str">
        <f ca="1">IFERROR(__xludf.DUMMYFUNCTION("""COMPUTED_VALUE"""),"Beaumont High School")</f>
        <v>Beaumont High School</v>
      </c>
      <c r="G2082" s="5">
        <f ca="1">IFERROR(__xludf.DUMMYFUNCTION("""COMPUTED_VALUE"""),0)</f>
        <v>0</v>
      </c>
      <c r="H2082" s="5">
        <f ca="1">IFERROR(__xludf.DUMMYFUNCTION("""COMPUTED_VALUE"""),1)</f>
        <v>1</v>
      </c>
      <c r="I2082" s="5">
        <f ca="1">IFERROR(__xludf.DUMMYFUNCTION("""COMPUTED_VALUE"""),1)</f>
        <v>1</v>
      </c>
      <c r="J2082" s="5">
        <f ca="1">IFERROR(__xludf.DUMMYFUNCTION("""COMPUTED_VALUE"""),0)</f>
        <v>0</v>
      </c>
      <c r="K2082" s="9" t="str">
        <f ca="1">IFERROR(__xludf.DUMMYFUNCTION("""COMPUTED_VALUE"""),"https://www.newspapers.com/image/139911306/?terms=student%2Bshot")</f>
        <v>https://www.newspapers.com/image/139911306/?terms=student%2Bshot</v>
      </c>
      <c r="L2082" s="5"/>
      <c r="M2082" s="5"/>
      <c r="N2082" s="5">
        <f ca="1">IFERROR(__xludf.DUMMYFUNCTION("""COMPUTED_VALUE"""),2)</f>
        <v>2</v>
      </c>
      <c r="O2082" s="5" t="str">
        <f ca="1">IFERROR(__xludf.DUMMYFUNCTION("""COMPUTED_VALUE"""),"Spring")</f>
        <v>Spring</v>
      </c>
      <c r="P2082" s="5" t="str">
        <f ca="1">IFERROR(__xludf.DUMMYFUNCTION("""COMPUTED_VALUE"""),"St. Louis")</f>
        <v>St. Louis</v>
      </c>
      <c r="Q2082" s="5" t="str">
        <f ca="1">IFERROR(__xludf.DUMMYFUNCTION("""COMPUTED_VALUE"""),"MO")</f>
        <v>MO</v>
      </c>
      <c r="R2082" s="5" t="str">
        <f ca="1">IFERROR(__xludf.DUMMYFUNCTION("""COMPUTED_VALUE"""),"High")</f>
        <v>High</v>
      </c>
      <c r="S2082" s="5" t="str">
        <f ca="1">IFERROR(__xludf.DUMMYFUNCTION("""COMPUTED_VALUE"""),"Hallway")</f>
        <v>Hallway</v>
      </c>
      <c r="T2082" s="5" t="str">
        <f ca="1">IFERROR(__xludf.DUMMYFUNCTION("""COMPUTED_VALUE"""),"Inside School Building")</f>
        <v>Inside School Building</v>
      </c>
      <c r="U2082" s="5" t="str">
        <f ca="1">IFERROR(__xludf.DUMMYFUNCTION("""COMPUTED_VALUE"""),"Yes")</f>
        <v>Yes</v>
      </c>
      <c r="V2082" s="5" t="str">
        <f ca="1">IFERROR(__xludf.DUMMYFUNCTION("""COMPUTED_VALUE"""),"Morning Classes")</f>
        <v>Morning Classes</v>
      </c>
      <c r="W2082" s="10">
        <f ca="1">IFERROR(__xludf.DUMMYFUNCTION("""COMPUTED_VALUE"""),0.458333333333333)</f>
        <v>0.45833333333333298</v>
      </c>
      <c r="X2082" s="5">
        <f ca="1">IFERROR(__xludf.DUMMYFUNCTION("""COMPUTED_VALUE"""),1)</f>
        <v>1</v>
      </c>
      <c r="Y2082" s="5" t="str">
        <f ca="1">IFERROR(__xludf.DUMMYFUNCTION("""COMPUTED_VALUE"""),"Victim accidentally shot after stepping between two quarreling teens in school basement restroom")</f>
        <v>Victim accidentally shot after stepping between two quarreling teens in school basement restroom</v>
      </c>
      <c r="Z2082" s="5" t="str">
        <f ca="1">IFERROR(__xludf.DUMMYFUNCTION("""COMPUTED_VALUE"""),"Victim observed to men arguing in school basement - went to break them up and was accidentally shot in stomach - suspect fled the scene. Police said the shooter was not a student.")</f>
        <v>Victim observed to men arguing in school basement - went to break them up and was accidentally shot in stomach - suspect fled the scene. Police said the shooter was not a student.</v>
      </c>
      <c r="AA2082" s="5" t="str">
        <f ca="1">IFERROR(__xludf.DUMMYFUNCTION("""COMPUTED_VALUE"""),"Escalation of Dispute")</f>
        <v>Escalation of Dispute</v>
      </c>
      <c r="AB2082" s="5" t="str">
        <f ca="1">IFERROR(__xludf.DUMMYFUNCTION("""COMPUTED_VALUE"""),"Random Shooting")</f>
        <v>Random Shooting</v>
      </c>
      <c r="AC2082" s="5" t="str">
        <f ca="1">IFERROR(__xludf.DUMMYFUNCTION("""COMPUTED_VALUE"""),"No")</f>
        <v>No</v>
      </c>
      <c r="AD2082" s="5" t="str">
        <f ca="1">IFERROR(__xludf.DUMMYFUNCTION("""COMPUTED_VALUE"""),"No")</f>
        <v>No</v>
      </c>
      <c r="AE2082" s="5" t="str">
        <f ca="1">IFERROR(__xludf.DUMMYFUNCTION("""COMPUTED_VALUE"""),"No")</f>
        <v>No</v>
      </c>
      <c r="AF2082" s="5" t="str">
        <f ca="1">IFERROR(__xludf.DUMMYFUNCTION("""COMPUTED_VALUE"""),"No")</f>
        <v>No</v>
      </c>
      <c r="AG2082" s="5" t="str">
        <f ca="1">IFERROR(__xludf.DUMMYFUNCTION("""COMPUTED_VALUE"""),"No")</f>
        <v>No</v>
      </c>
      <c r="AH2082" s="5" t="str">
        <f ca="1">IFERROR(__xludf.DUMMYFUNCTION("""COMPUTED_VALUE"""),"No")</f>
        <v>No</v>
      </c>
      <c r="AI2082" s="5" t="str">
        <f ca="1">IFERROR(__xludf.DUMMYFUNCTION("""COMPUTED_VALUE"""),"No")</f>
        <v>No</v>
      </c>
      <c r="AJ2082" s="5"/>
    </row>
    <row r="2083" spans="1:36" ht="13">
      <c r="A2083" s="5" t="str">
        <f ca="1">IFERROR(__xludf.DUMMYFUNCTION("""COMPUTED_VALUE"""),"19830331ILSAC")</f>
        <v>19830331ILSAC</v>
      </c>
      <c r="B2083" s="5">
        <f ca="1">IFERROR(__xludf.DUMMYFUNCTION("""COMPUTED_VALUE"""),3)</f>
        <v>3</v>
      </c>
      <c r="C2083" s="5">
        <f ca="1">IFERROR(__xludf.DUMMYFUNCTION("""COMPUTED_VALUE"""),31)</f>
        <v>31</v>
      </c>
      <c r="D2083" s="5">
        <f ca="1">IFERROR(__xludf.DUMMYFUNCTION("""COMPUTED_VALUE"""),1983)</f>
        <v>1983</v>
      </c>
      <c r="E2083" s="8">
        <f ca="1">IFERROR(__xludf.DUMMYFUNCTION("""COMPUTED_VALUE"""),30406)</f>
        <v>30406</v>
      </c>
      <c r="F2083" s="5" t="str">
        <f ca="1">IFERROR(__xludf.DUMMYFUNCTION("""COMPUTED_VALUE"""),"Santa Maria InCornata-Santa Lucia School")</f>
        <v>Santa Maria InCornata-Santa Lucia School</v>
      </c>
      <c r="G2083" s="5">
        <f ca="1">IFERROR(__xludf.DUMMYFUNCTION("""COMPUTED_VALUE"""),0)</f>
        <v>0</v>
      </c>
      <c r="H2083" s="5">
        <f ca="1">IFERROR(__xludf.DUMMYFUNCTION("""COMPUTED_VALUE"""),0)</f>
        <v>0</v>
      </c>
      <c r="I2083" s="5">
        <f ca="1">IFERROR(__xludf.DUMMYFUNCTION("""COMPUTED_VALUE"""),0)</f>
        <v>0</v>
      </c>
      <c r="J2083" s="5">
        <f ca="1">IFERROR(__xludf.DUMMYFUNCTION("""COMPUTED_VALUE"""),0)</f>
        <v>0</v>
      </c>
      <c r="K2083" s="9" t="str">
        <f ca="1">IFERROR(__xludf.DUMMYFUNCTION("""COMPUTED_VALUE"""),"https://www.newspapers.com/image/277257866/?terms=Santa%2BMaria%2BInCornata-Santa%2BLucia%2BSchool%2Bshooting")</f>
        <v>https://www.newspapers.com/image/277257866/?terms=Santa%2BMaria%2BInCornata-Santa%2BLucia%2BSchool%2Bshooting</v>
      </c>
      <c r="L2083" s="5"/>
      <c r="M2083" s="5"/>
      <c r="N2083" s="5">
        <f ca="1">IFERROR(__xludf.DUMMYFUNCTION("""COMPUTED_VALUE"""),2)</f>
        <v>2</v>
      </c>
      <c r="O2083" s="5" t="str">
        <f ca="1">IFERROR(__xludf.DUMMYFUNCTION("""COMPUTED_VALUE"""),"Spring")</f>
        <v>Spring</v>
      </c>
      <c r="P2083" s="5" t="str">
        <f ca="1">IFERROR(__xludf.DUMMYFUNCTION("""COMPUTED_VALUE"""),"Chicago")</f>
        <v>Chicago</v>
      </c>
      <c r="Q2083" s="5" t="str">
        <f ca="1">IFERROR(__xludf.DUMMYFUNCTION("""COMPUTED_VALUE"""),"IL")</f>
        <v>IL</v>
      </c>
      <c r="R2083" s="5" t="str">
        <f ca="1">IFERROR(__xludf.DUMMYFUNCTION("""COMPUTED_VALUE"""),"Other")</f>
        <v>Other</v>
      </c>
      <c r="S2083" s="5" t="str">
        <f ca="1">IFERROR(__xludf.DUMMYFUNCTION("""COMPUTED_VALUE"""),"Classroom")</f>
        <v>Classroom</v>
      </c>
      <c r="T2083" s="5" t="str">
        <f ca="1">IFERROR(__xludf.DUMMYFUNCTION("""COMPUTED_VALUE"""),"Inside School Building")</f>
        <v>Inside School Building</v>
      </c>
      <c r="U2083" s="5" t="str">
        <f ca="1">IFERROR(__xludf.DUMMYFUNCTION("""COMPUTED_VALUE"""),"Yes")</f>
        <v>Yes</v>
      </c>
      <c r="V2083" s="5" t="str">
        <f ca="1">IFERROR(__xludf.DUMMYFUNCTION("""COMPUTED_VALUE"""),"Morning Classes")</f>
        <v>Morning Classes</v>
      </c>
      <c r="W2083" s="5"/>
      <c r="X2083" s="5">
        <f ca="1">IFERROR(__xludf.DUMMYFUNCTION("""COMPUTED_VALUE"""),1)</f>
        <v>1</v>
      </c>
      <c r="Y2083" s="5" t="str">
        <f ca="1">IFERROR(__xludf.DUMMYFUNCTION("""COMPUTED_VALUE"""),"Shot at teacher in class and missed, angry about discipline")</f>
        <v>Shot at teacher in class and missed, angry about discipline</v>
      </c>
      <c r="Z2083" s="5" t="str">
        <f ca="1">IFERROR(__xludf.DUMMYFUNCTION("""COMPUTED_VALUE"""),"11YOM student was angry with teacher about discipline. While she was taking attendance, he fired a .38 revolver at her and missed. Ran out of classroom and fired a second shot that also missed. Surrendered to janitor and principal. Pistol was taken from t"&amp;"he closet at home.")</f>
        <v>11YOM student was angry with teacher about discipline. While she was taking attendance, he fired a .38 revolver at her and missed. Ran out of classroom and fired a second shot that also missed. Surrendered to janitor and principal. Pistol was taken from the closet at home.</v>
      </c>
      <c r="AA2083" s="5" t="str">
        <f ca="1">IFERROR(__xludf.DUMMYFUNCTION("""COMPUTED_VALUE"""),"Anger Over Grade/Suspension/Discipline")</f>
        <v>Anger Over Grade/Suspension/Discipline</v>
      </c>
      <c r="AB2083" s="5" t="str">
        <f ca="1">IFERROR(__xludf.DUMMYFUNCTION("""COMPUTED_VALUE"""),"Victims Targeted")</f>
        <v>Victims Targeted</v>
      </c>
      <c r="AC2083" s="5"/>
      <c r="AD2083" s="5" t="str">
        <f ca="1">IFERROR(__xludf.DUMMYFUNCTION("""COMPUTED_VALUE"""),"No")</f>
        <v>No</v>
      </c>
      <c r="AE2083" s="5" t="str">
        <f ca="1">IFERROR(__xludf.DUMMYFUNCTION("""COMPUTED_VALUE"""),"No")</f>
        <v>No</v>
      </c>
      <c r="AF2083" s="5" t="str">
        <f ca="1">IFERROR(__xludf.DUMMYFUNCTION("""COMPUTED_VALUE"""),"No")</f>
        <v>No</v>
      </c>
      <c r="AG2083" s="5" t="str">
        <f ca="1">IFERROR(__xludf.DUMMYFUNCTION("""COMPUTED_VALUE"""),"No")</f>
        <v>No</v>
      </c>
      <c r="AH2083" s="5" t="str">
        <f ca="1">IFERROR(__xludf.DUMMYFUNCTION("""COMPUTED_VALUE"""),"No")</f>
        <v>No</v>
      </c>
      <c r="AI2083" s="5" t="str">
        <f ca="1">IFERROR(__xludf.DUMMYFUNCTION("""COMPUTED_VALUE"""),"No")</f>
        <v>No</v>
      </c>
      <c r="AJ2083" s="5"/>
    </row>
    <row r="2084" spans="1:36" ht="13">
      <c r="A2084" s="5" t="str">
        <f ca="1">IFERROR(__xludf.DUMMYFUNCTION("""COMPUTED_VALUE"""),"19830202NMALA")</f>
        <v>19830202NMALA</v>
      </c>
      <c r="B2084" s="5">
        <f ca="1">IFERROR(__xludf.DUMMYFUNCTION("""COMPUTED_VALUE"""),2)</f>
        <v>2</v>
      </c>
      <c r="C2084" s="5">
        <f ca="1">IFERROR(__xludf.DUMMYFUNCTION("""COMPUTED_VALUE"""),2)</f>
        <v>2</v>
      </c>
      <c r="D2084" s="5">
        <f ca="1">IFERROR(__xludf.DUMMYFUNCTION("""COMPUTED_VALUE"""),1983)</f>
        <v>1983</v>
      </c>
      <c r="E2084" s="8">
        <f ca="1">IFERROR(__xludf.DUMMYFUNCTION("""COMPUTED_VALUE"""),30349)</f>
        <v>30349</v>
      </c>
      <c r="F2084" s="5" t="str">
        <f ca="1">IFERROR(__xludf.DUMMYFUNCTION("""COMPUTED_VALUE"""),"Albuquerque High School")</f>
        <v>Albuquerque High School</v>
      </c>
      <c r="G2084" s="5">
        <f ca="1">IFERROR(__xludf.DUMMYFUNCTION("""COMPUTED_VALUE"""),0)</f>
        <v>0</v>
      </c>
      <c r="H2084" s="5">
        <f ca="1">IFERROR(__xludf.DUMMYFUNCTION("""COMPUTED_VALUE"""),1)</f>
        <v>1</v>
      </c>
      <c r="I2084" s="5">
        <f ca="1">IFERROR(__xludf.DUMMYFUNCTION("""COMPUTED_VALUE"""),1)</f>
        <v>1</v>
      </c>
      <c r="J2084" s="5">
        <f ca="1">IFERROR(__xludf.DUMMYFUNCTION("""COMPUTED_VALUE"""),0)</f>
        <v>0</v>
      </c>
      <c r="K2084" s="9" t="str">
        <f ca="1">IFERROR(__xludf.DUMMYFUNCTION("""COMPUTED_VALUE"""),"https://www.newspapers.com/image/157419087/?terms=student%2Bshot")</f>
        <v>https://www.newspapers.com/image/157419087/?terms=student%2Bshot</v>
      </c>
      <c r="L2084" s="5"/>
      <c r="M2084" s="5"/>
      <c r="N2084" s="5">
        <f ca="1">IFERROR(__xludf.DUMMYFUNCTION("""COMPUTED_VALUE"""),2)</f>
        <v>2</v>
      </c>
      <c r="O2084" s="5" t="str">
        <f ca="1">IFERROR(__xludf.DUMMYFUNCTION("""COMPUTED_VALUE"""),"Winter")</f>
        <v>Winter</v>
      </c>
      <c r="P2084" s="5" t="str">
        <f ca="1">IFERROR(__xludf.DUMMYFUNCTION("""COMPUTED_VALUE"""),"Alburquerque")</f>
        <v>Alburquerque</v>
      </c>
      <c r="Q2084" s="5" t="str">
        <f ca="1">IFERROR(__xludf.DUMMYFUNCTION("""COMPUTED_VALUE"""),"NM")</f>
        <v>NM</v>
      </c>
      <c r="R2084" s="5" t="str">
        <f ca="1">IFERROR(__xludf.DUMMYFUNCTION("""COMPUTED_VALUE"""),"High")</f>
        <v>High</v>
      </c>
      <c r="S2084" s="5" t="str">
        <f ca="1">IFERROR(__xludf.DUMMYFUNCTION("""COMPUTED_VALUE"""),"Field (General)")</f>
        <v>Field (General)</v>
      </c>
      <c r="T2084" s="5" t="str">
        <f ca="1">IFERROR(__xludf.DUMMYFUNCTION("""COMPUTED_VALUE"""),"Outside on School Property")</f>
        <v>Outside on School Property</v>
      </c>
      <c r="U2084" s="5" t="str">
        <f ca="1">IFERROR(__xludf.DUMMYFUNCTION("""COMPUTED_VALUE"""),"Yes")</f>
        <v>Yes</v>
      </c>
      <c r="V2084" s="5" t="str">
        <f ca="1">IFERROR(__xludf.DUMMYFUNCTION("""COMPUTED_VALUE"""),"Dismissal")</f>
        <v>Dismissal</v>
      </c>
      <c r="W2084" s="5"/>
      <c r="X2084" s="5">
        <f ca="1">IFERROR(__xludf.DUMMYFUNCTION("""COMPUTED_VALUE"""),1)</f>
        <v>1</v>
      </c>
      <c r="Y2084" s="5" t="str">
        <f ca="1">IFERROR(__xludf.DUMMYFUNCTION("""COMPUTED_VALUE"""),"Victim shot by unknown assailant while on football field")</f>
        <v>Victim shot by unknown assailant while on football field</v>
      </c>
      <c r="Z2084" s="5" t="str">
        <f ca="1">IFERROR(__xludf.DUMMYFUNCTION("""COMPUTED_VALUE"""),"Victim shot in buttocks while walking on football field with friend when an unknown suspect shot girl through fence. No suspect was found or identified.")</f>
        <v>Victim shot in buttocks while walking on football field with friend when an unknown suspect shot girl through fence. No suspect was found or identified.</v>
      </c>
      <c r="AA2084" s="5" t="str">
        <f ca="1">IFERROR(__xludf.DUMMYFUNCTION("""COMPUTED_VALUE"""),"Unknown")</f>
        <v>Unknown</v>
      </c>
      <c r="AB2084" s="5"/>
      <c r="AC2084" s="5" t="str">
        <f ca="1">IFERROR(__xludf.DUMMYFUNCTION("""COMPUTED_VALUE"""),"No")</f>
        <v>No</v>
      </c>
      <c r="AD2084" s="5" t="str">
        <f ca="1">IFERROR(__xludf.DUMMYFUNCTION("""COMPUTED_VALUE"""),"No")</f>
        <v>No</v>
      </c>
      <c r="AE2084" s="5" t="str">
        <f ca="1">IFERROR(__xludf.DUMMYFUNCTION("""COMPUTED_VALUE"""),"No")</f>
        <v>No</v>
      </c>
      <c r="AF2084" s="5" t="str">
        <f ca="1">IFERROR(__xludf.DUMMYFUNCTION("""COMPUTED_VALUE"""),"No")</f>
        <v>No</v>
      </c>
      <c r="AG2084" s="5" t="str">
        <f ca="1">IFERROR(__xludf.DUMMYFUNCTION("""COMPUTED_VALUE"""),"No")</f>
        <v>No</v>
      </c>
      <c r="AH2084" s="5" t="str">
        <f ca="1">IFERROR(__xludf.DUMMYFUNCTION("""COMPUTED_VALUE"""),"No")</f>
        <v>No</v>
      </c>
      <c r="AI2084" s="5"/>
      <c r="AJ2084" s="5"/>
    </row>
    <row r="2085" spans="1:36" ht="13">
      <c r="A2085" s="5" t="str">
        <f ca="1">IFERROR(__xludf.DUMMYFUNCTION("""COMPUTED_VALUE"""),"19830201TNRIM")</f>
        <v>19830201TNRIM</v>
      </c>
      <c r="B2085" s="5">
        <f ca="1">IFERROR(__xludf.DUMMYFUNCTION("""COMPUTED_VALUE"""),2)</f>
        <v>2</v>
      </c>
      <c r="C2085" s="5">
        <f ca="1">IFERROR(__xludf.DUMMYFUNCTION("""COMPUTED_VALUE"""),1)</f>
        <v>1</v>
      </c>
      <c r="D2085" s="5">
        <f ca="1">IFERROR(__xludf.DUMMYFUNCTION("""COMPUTED_VALUE"""),1983)</f>
        <v>1983</v>
      </c>
      <c r="E2085" s="8">
        <f ca="1">IFERROR(__xludf.DUMMYFUNCTION("""COMPUTED_VALUE"""),30348)</f>
        <v>30348</v>
      </c>
      <c r="F2085" s="5" t="str">
        <f ca="1">IFERROR(__xludf.DUMMYFUNCTION("""COMPUTED_VALUE"""),"Riverdale High School")</f>
        <v>Riverdale High School</v>
      </c>
      <c r="G2085" s="5">
        <f ca="1">IFERROR(__xludf.DUMMYFUNCTION("""COMPUTED_VALUE"""),0)</f>
        <v>0</v>
      </c>
      <c r="H2085" s="5">
        <f ca="1">IFERROR(__xludf.DUMMYFUNCTION("""COMPUTED_VALUE"""),0)</f>
        <v>0</v>
      </c>
      <c r="I2085" s="5">
        <f ca="1">IFERROR(__xludf.DUMMYFUNCTION("""COMPUTED_VALUE"""),0)</f>
        <v>0</v>
      </c>
      <c r="J2085" s="5">
        <f ca="1">IFERROR(__xludf.DUMMYFUNCTION("""COMPUTED_VALUE"""),0)</f>
        <v>0</v>
      </c>
      <c r="K2085" s="9" t="str">
        <f ca="1">IFERROR(__xludf.DUMMYFUNCTION("""COMPUTED_VALUE"""),"https://www.newspapers.com/image/112306526/?terms=troy%2Bhale")</f>
        <v>https://www.newspapers.com/image/112306526/?terms=troy%2Bhale</v>
      </c>
      <c r="L2085" s="5"/>
      <c r="M2085" s="5"/>
      <c r="N2085" s="5">
        <f ca="1">IFERROR(__xludf.DUMMYFUNCTION("""COMPUTED_VALUE"""),2)</f>
        <v>2</v>
      </c>
      <c r="O2085" s="5" t="str">
        <f ca="1">IFERROR(__xludf.DUMMYFUNCTION("""COMPUTED_VALUE"""),"Winter")</f>
        <v>Winter</v>
      </c>
      <c r="P2085" s="5" t="str">
        <f ca="1">IFERROR(__xludf.DUMMYFUNCTION("""COMPUTED_VALUE"""),"Murfreesboro")</f>
        <v>Murfreesboro</v>
      </c>
      <c r="Q2085" s="5" t="str">
        <f ca="1">IFERROR(__xludf.DUMMYFUNCTION("""COMPUTED_VALUE"""),"TN")</f>
        <v>TN</v>
      </c>
      <c r="R2085" s="5" t="str">
        <f ca="1">IFERROR(__xludf.DUMMYFUNCTION("""COMPUTED_VALUE"""),"High")</f>
        <v>High</v>
      </c>
      <c r="S2085" s="5" t="str">
        <f ca="1">IFERROR(__xludf.DUMMYFUNCTION("""COMPUTED_VALUE"""),"School Bus")</f>
        <v>School Bus</v>
      </c>
      <c r="T2085" s="5" t="str">
        <f ca="1">IFERROR(__xludf.DUMMYFUNCTION("""COMPUTED_VALUE"""),"School Bus")</f>
        <v>School Bus</v>
      </c>
      <c r="U2085" s="5" t="str">
        <f ca="1">IFERROR(__xludf.DUMMYFUNCTION("""COMPUTED_VALUE"""),"No")</f>
        <v>No</v>
      </c>
      <c r="V2085" s="5" t="str">
        <f ca="1">IFERROR(__xludf.DUMMYFUNCTION("""COMPUTED_VALUE"""),"After School")</f>
        <v>After School</v>
      </c>
      <c r="W2085" s="5"/>
      <c r="X2085" s="5">
        <f ca="1">IFERROR(__xludf.DUMMYFUNCTION("""COMPUTED_VALUE"""),1)</f>
        <v>1</v>
      </c>
      <c r="Y2085" s="5" t="str">
        <f ca="1">IFERROR(__xludf.DUMMYFUNCTION("""COMPUTED_VALUE"""),"Shooter on school bus showing off gun when he accidentally shot self")</f>
        <v>Shooter on school bus showing off gun when he accidentally shot self</v>
      </c>
      <c r="Z2085" s="5" t="str">
        <f ca="1">IFERROR(__xludf.DUMMYFUNCTION("""COMPUTED_VALUE"""),"Shooter was on bus when he accidentally shot himself in the leg and hand while showing off gun. Had taken the gun to school to try and sell for a friend.")</f>
        <v>Shooter was on bus when he accidentally shot himself in the leg and hand while showing off gun. Had taken the gun to school to try and sell for a friend.</v>
      </c>
      <c r="AA2085" s="5" t="str">
        <f ca="1">IFERROR(__xludf.DUMMYFUNCTION("""COMPUTED_VALUE"""),"Accidental")</f>
        <v>Accidental</v>
      </c>
      <c r="AB2085" s="5" t="str">
        <f ca="1">IFERROR(__xludf.DUMMYFUNCTION("""COMPUTED_VALUE"""),"Random Shooting")</f>
        <v>Random Shooting</v>
      </c>
      <c r="AC2085" s="5"/>
      <c r="AD2085" s="5" t="str">
        <f ca="1">IFERROR(__xludf.DUMMYFUNCTION("""COMPUTED_VALUE"""),"No")</f>
        <v>No</v>
      </c>
      <c r="AE2085" s="5" t="str">
        <f ca="1">IFERROR(__xludf.DUMMYFUNCTION("""COMPUTED_VALUE"""),"No")</f>
        <v>No</v>
      </c>
      <c r="AF2085" s="5" t="str">
        <f ca="1">IFERROR(__xludf.DUMMYFUNCTION("""COMPUTED_VALUE"""),"No")</f>
        <v>No</v>
      </c>
      <c r="AG2085" s="5" t="str">
        <f ca="1">IFERROR(__xludf.DUMMYFUNCTION("""COMPUTED_VALUE"""),"No")</f>
        <v>No</v>
      </c>
      <c r="AH2085" s="5" t="str">
        <f ca="1">IFERROR(__xludf.DUMMYFUNCTION("""COMPUTED_VALUE"""),"No")</f>
        <v>No</v>
      </c>
      <c r="AI2085" s="5" t="str">
        <f ca="1">IFERROR(__xludf.DUMMYFUNCTION("""COMPUTED_VALUE"""),"No")</f>
        <v>No</v>
      </c>
      <c r="AJ2085" s="5"/>
    </row>
    <row r="2086" spans="1:36" ht="13">
      <c r="A2086" s="5" t="str">
        <f ca="1">IFERROR(__xludf.DUMMYFUNCTION("""COMPUTED_VALUE"""),"19830131FLDED")</f>
        <v>19830131FLDED</v>
      </c>
      <c r="B2086" s="5">
        <f ca="1">IFERROR(__xludf.DUMMYFUNCTION("""COMPUTED_VALUE"""),1)</f>
        <v>1</v>
      </c>
      <c r="C2086" s="5">
        <f ca="1">IFERROR(__xludf.DUMMYFUNCTION("""COMPUTED_VALUE"""),31)</f>
        <v>31</v>
      </c>
      <c r="D2086" s="5">
        <f ca="1">IFERROR(__xludf.DUMMYFUNCTION("""COMPUTED_VALUE"""),1983)</f>
        <v>1983</v>
      </c>
      <c r="E2086" s="8">
        <f ca="1">IFERROR(__xludf.DUMMYFUNCTION("""COMPUTED_VALUE"""),30347)</f>
        <v>30347</v>
      </c>
      <c r="F2086" s="5" t="str">
        <f ca="1">IFERROR(__xludf.DUMMYFUNCTION("""COMPUTED_VALUE"""),"DeLand High School")</f>
        <v>DeLand High School</v>
      </c>
      <c r="G2086" s="5">
        <f ca="1">IFERROR(__xludf.DUMMYFUNCTION("""COMPUTED_VALUE"""),0)</f>
        <v>0</v>
      </c>
      <c r="H2086" s="5">
        <f ca="1">IFERROR(__xludf.DUMMYFUNCTION("""COMPUTED_VALUE"""),0)</f>
        <v>0</v>
      </c>
      <c r="I2086" s="5">
        <f ca="1">IFERROR(__xludf.DUMMYFUNCTION("""COMPUTED_VALUE"""),0)</f>
        <v>0</v>
      </c>
      <c r="J2086" s="5">
        <f ca="1">IFERROR(__xludf.DUMMYFUNCTION("""COMPUTED_VALUE"""),0)</f>
        <v>0</v>
      </c>
      <c r="K2086" s="9" t="str">
        <f ca="1">IFERROR(__xludf.DUMMYFUNCTION("""COMPUTED_VALUE"""),"https://www.newspapers.com/image/227592168/?terms=student%2Bshoots")</f>
        <v>https://www.newspapers.com/image/227592168/?terms=student%2Bshoots</v>
      </c>
      <c r="L2086" s="5"/>
      <c r="M2086" s="5"/>
      <c r="N2086" s="5">
        <f ca="1">IFERROR(__xludf.DUMMYFUNCTION("""COMPUTED_VALUE"""),2)</f>
        <v>2</v>
      </c>
      <c r="O2086" s="5" t="str">
        <f ca="1">IFERROR(__xludf.DUMMYFUNCTION("""COMPUTED_VALUE"""),"Winter")</f>
        <v>Winter</v>
      </c>
      <c r="P2086" s="5" t="str">
        <f ca="1">IFERROR(__xludf.DUMMYFUNCTION("""COMPUTED_VALUE"""),"DeLand")</f>
        <v>DeLand</v>
      </c>
      <c r="Q2086" s="5" t="str">
        <f ca="1">IFERROR(__xludf.DUMMYFUNCTION("""COMPUTED_VALUE"""),"FL")</f>
        <v>FL</v>
      </c>
      <c r="R2086" s="5" t="str">
        <f ca="1">IFERROR(__xludf.DUMMYFUNCTION("""COMPUTED_VALUE"""),"High")</f>
        <v>High</v>
      </c>
      <c r="S2086" s="5" t="str">
        <f ca="1">IFERROR(__xludf.DUMMYFUNCTION("""COMPUTED_VALUE"""),"Bathroom")</f>
        <v>Bathroom</v>
      </c>
      <c r="T2086" s="5" t="str">
        <f ca="1">IFERROR(__xludf.DUMMYFUNCTION("""COMPUTED_VALUE"""),"Inside School Building")</f>
        <v>Inside School Building</v>
      </c>
      <c r="U2086" s="5" t="str">
        <f ca="1">IFERROR(__xludf.DUMMYFUNCTION("""COMPUTED_VALUE"""),"Yes")</f>
        <v>Yes</v>
      </c>
      <c r="V2086" s="5"/>
      <c r="W2086" s="5"/>
      <c r="X2086" s="5">
        <f ca="1">IFERROR(__xludf.DUMMYFUNCTION("""COMPUTED_VALUE"""),1)</f>
        <v>1</v>
      </c>
      <c r="Y2086" s="5" t="str">
        <f ca="1">IFERROR(__xludf.DUMMYFUNCTION("""COMPUTED_VALUE"""),"Suicidal due to known drug problem")</f>
        <v>Suicidal due to known drug problem</v>
      </c>
      <c r="Z2086" s="5" t="str">
        <f ca="1">IFERROR(__xludf.DUMMYFUNCTION("""COMPUTED_VALUE"""),"Apparent suicide attempt - student was known to have drug problems and school was providing her counseling. Student shot self in bathroom and then collapsed in hallway.")</f>
        <v>Apparent suicide attempt - student was known to have drug problems and school was providing her counseling. Student shot self in bathroom and then collapsed in hallway.</v>
      </c>
      <c r="AA2086" s="5" t="str">
        <f ca="1">IFERROR(__xludf.DUMMYFUNCTION("""COMPUTED_VALUE"""),"Suicide/Attempted")</f>
        <v>Suicide/Attempted</v>
      </c>
      <c r="AB2086" s="5" t="str">
        <f ca="1">IFERROR(__xludf.DUMMYFUNCTION("""COMPUTED_VALUE"""),"Victims Targeted")</f>
        <v>Victims Targeted</v>
      </c>
      <c r="AC2086" s="5" t="str">
        <f ca="1">IFERROR(__xludf.DUMMYFUNCTION("""COMPUTED_VALUE"""),"No")</f>
        <v>No</v>
      </c>
      <c r="AD2086" s="5" t="str">
        <f ca="1">IFERROR(__xludf.DUMMYFUNCTION("""COMPUTED_VALUE"""),"No")</f>
        <v>No</v>
      </c>
      <c r="AE2086" s="5" t="str">
        <f ca="1">IFERROR(__xludf.DUMMYFUNCTION("""COMPUTED_VALUE"""),"No")</f>
        <v>No</v>
      </c>
      <c r="AF2086" s="5" t="str">
        <f ca="1">IFERROR(__xludf.DUMMYFUNCTION("""COMPUTED_VALUE"""),"No")</f>
        <v>No</v>
      </c>
      <c r="AG2086" s="5" t="str">
        <f ca="1">IFERROR(__xludf.DUMMYFUNCTION("""COMPUTED_VALUE"""),"No")</f>
        <v>No</v>
      </c>
      <c r="AH2086" s="5" t="str">
        <f ca="1">IFERROR(__xludf.DUMMYFUNCTION("""COMPUTED_VALUE"""),"No")</f>
        <v>No</v>
      </c>
      <c r="AI2086" s="5" t="str">
        <f ca="1">IFERROR(__xludf.DUMMYFUNCTION("""COMPUTED_VALUE"""),"No")</f>
        <v>No</v>
      </c>
      <c r="AJ2086" s="5"/>
    </row>
    <row r="2087" spans="1:36" ht="13">
      <c r="A2087" s="5" t="str">
        <f ca="1">IFERROR(__xludf.DUMMYFUNCTION("""COMPUTED_VALUE"""),"19830130TXWEC")</f>
        <v>19830130TXWEC</v>
      </c>
      <c r="B2087" s="5">
        <f ca="1">IFERROR(__xludf.DUMMYFUNCTION("""COMPUTED_VALUE"""),1)</f>
        <v>1</v>
      </c>
      <c r="C2087" s="5">
        <f ca="1">IFERROR(__xludf.DUMMYFUNCTION("""COMPUTED_VALUE"""),30)</f>
        <v>30</v>
      </c>
      <c r="D2087" s="5">
        <f ca="1">IFERROR(__xludf.DUMMYFUNCTION("""COMPUTED_VALUE"""),1983)</f>
        <v>1983</v>
      </c>
      <c r="E2087" s="8">
        <f ca="1">IFERROR(__xludf.DUMMYFUNCTION("""COMPUTED_VALUE"""),30346)</f>
        <v>30346</v>
      </c>
      <c r="F2087" s="5" t="str">
        <f ca="1">IFERROR(__xludf.DUMMYFUNCTION("""COMPUTED_VALUE"""),"West Ward School")</f>
        <v>West Ward School</v>
      </c>
      <c r="G2087" s="5">
        <f ca="1">IFERROR(__xludf.DUMMYFUNCTION("""COMPUTED_VALUE"""),1)</f>
        <v>1</v>
      </c>
      <c r="H2087" s="5">
        <f ca="1">IFERROR(__xludf.DUMMYFUNCTION("""COMPUTED_VALUE"""),0)</f>
        <v>0</v>
      </c>
      <c r="I2087" s="5">
        <f ca="1">IFERROR(__xludf.DUMMYFUNCTION("""COMPUTED_VALUE"""),1)</f>
        <v>1</v>
      </c>
      <c r="J2087" s="5">
        <f ca="1">IFERROR(__xludf.DUMMYFUNCTION("""COMPUTED_VALUE"""),0)</f>
        <v>0</v>
      </c>
      <c r="K2087" s="5" t="str">
        <f ca="1">IFERROR(__xludf.DUMMYFUNCTION("""COMPUTED_VALUE"""),"https://www.newspapers.com/image/109519986/?terms=student%2Bshot   https://www.newspapers.com/image/208411067/?terms=david%2Bray%2Bharrel")</f>
        <v>https://www.newspapers.com/image/109519986/?terms=student%2Bshot   https://www.newspapers.com/image/208411067/?terms=david%2Bray%2Bharrel</v>
      </c>
      <c r="L2087" s="5"/>
      <c r="M2087" s="5"/>
      <c r="N2087" s="5">
        <f ca="1">IFERROR(__xludf.DUMMYFUNCTION("""COMPUTED_VALUE"""),2)</f>
        <v>2</v>
      </c>
      <c r="O2087" s="5" t="str">
        <f ca="1">IFERROR(__xludf.DUMMYFUNCTION("""COMPUTED_VALUE"""),"Winter")</f>
        <v>Winter</v>
      </c>
      <c r="P2087" s="5" t="str">
        <f ca="1">IFERROR(__xludf.DUMMYFUNCTION("""COMPUTED_VALUE"""),"Coleman")</f>
        <v>Coleman</v>
      </c>
      <c r="Q2087" s="5" t="str">
        <f ca="1">IFERROR(__xludf.DUMMYFUNCTION("""COMPUTED_VALUE"""),"TX")</f>
        <v>TX</v>
      </c>
      <c r="R2087" s="5" t="str">
        <f ca="1">IFERROR(__xludf.DUMMYFUNCTION("""COMPUTED_VALUE"""),"High")</f>
        <v>High</v>
      </c>
      <c r="S2087" s="5" t="str">
        <f ca="1">IFERROR(__xludf.DUMMYFUNCTION("""COMPUTED_VALUE"""),"Basketball Court")</f>
        <v>Basketball Court</v>
      </c>
      <c r="T2087" s="5"/>
      <c r="U2087" s="5" t="str">
        <f ca="1">IFERROR(__xludf.DUMMYFUNCTION("""COMPUTED_VALUE"""),"No")</f>
        <v>No</v>
      </c>
      <c r="V2087" s="5" t="str">
        <f ca="1">IFERROR(__xludf.DUMMYFUNCTION("""COMPUTED_VALUE"""),"Not a School Day")</f>
        <v>Not a School Day</v>
      </c>
      <c r="W2087" s="10">
        <f ca="1">IFERROR(__xludf.DUMMYFUNCTION("""COMPUTED_VALUE"""),0.486111111111111)</f>
        <v>0.48611111111111099</v>
      </c>
      <c r="X2087" s="5">
        <f ca="1">IFERROR(__xludf.DUMMYFUNCTION("""COMPUTED_VALUE"""),1)</f>
        <v>1</v>
      </c>
      <c r="Y2087" s="5" t="str">
        <f ca="1">IFERROR(__xludf.DUMMYFUNCTION("""COMPUTED_VALUE"""),"Two students were playing basketball at school on Sunday - get in argument - shooter kills victim")</f>
        <v>Two students were playing basketball at school on Sunday - get in argument - shooter kills victim</v>
      </c>
      <c r="Z2087" s="5" t="str">
        <f ca="1">IFERROR(__xludf.DUMMYFUNCTION("""COMPUTED_VALUE"""),"Argument ensued during Sunday pickup game of basketball. The shooter went home, retrieved a gun, and came back to the school then killed the 16 year-old male victim.")</f>
        <v>Argument ensued during Sunday pickup game of basketball. The shooter went home, retrieved a gun, and came back to the school then killed the 16 year-old male victim.</v>
      </c>
      <c r="AA2087" s="5" t="str">
        <f ca="1">IFERROR(__xludf.DUMMYFUNCTION("""COMPUTED_VALUE"""),"Escalation of Dispute")</f>
        <v>Escalation of Dispute</v>
      </c>
      <c r="AB2087" s="5" t="str">
        <f ca="1">IFERROR(__xludf.DUMMYFUNCTION("""COMPUTED_VALUE"""),"Victims Targeted")</f>
        <v>Victims Targeted</v>
      </c>
      <c r="AC2087" s="5" t="str">
        <f ca="1">IFERROR(__xludf.DUMMYFUNCTION("""COMPUTED_VALUE"""),"No")</f>
        <v>No</v>
      </c>
      <c r="AD2087" s="5" t="str">
        <f ca="1">IFERROR(__xludf.DUMMYFUNCTION("""COMPUTED_VALUE"""),"No")</f>
        <v>No</v>
      </c>
      <c r="AE2087" s="5" t="str">
        <f ca="1">IFERROR(__xludf.DUMMYFUNCTION("""COMPUTED_VALUE"""),"No")</f>
        <v>No</v>
      </c>
      <c r="AF2087" s="5" t="str">
        <f ca="1">IFERROR(__xludf.DUMMYFUNCTION("""COMPUTED_VALUE"""),"No")</f>
        <v>No</v>
      </c>
      <c r="AG2087" s="5" t="str">
        <f ca="1">IFERROR(__xludf.DUMMYFUNCTION("""COMPUTED_VALUE"""),"No")</f>
        <v>No</v>
      </c>
      <c r="AH2087" s="5" t="str">
        <f ca="1">IFERROR(__xludf.DUMMYFUNCTION("""COMPUTED_VALUE"""),"No")</f>
        <v>No</v>
      </c>
      <c r="AI2087" s="5" t="str">
        <f ca="1">IFERROR(__xludf.DUMMYFUNCTION("""COMPUTED_VALUE"""),"No")</f>
        <v>No</v>
      </c>
      <c r="AJ2087" s="5"/>
    </row>
    <row r="2088" spans="1:36" ht="13">
      <c r="A2088" s="5" t="str">
        <f ca="1">IFERROR(__xludf.DUMMYFUNCTION("""COMPUTED_VALUE"""),"19830128MDWIB")</f>
        <v>19830128MDWIB</v>
      </c>
      <c r="B2088" s="5">
        <f ca="1">IFERROR(__xludf.DUMMYFUNCTION("""COMPUTED_VALUE"""),1)</f>
        <v>1</v>
      </c>
      <c r="C2088" s="5">
        <f ca="1">IFERROR(__xludf.DUMMYFUNCTION("""COMPUTED_VALUE"""),28)</f>
        <v>28</v>
      </c>
      <c r="D2088" s="5">
        <f ca="1">IFERROR(__xludf.DUMMYFUNCTION("""COMPUTED_VALUE"""),1983)</f>
        <v>1983</v>
      </c>
      <c r="E2088" s="8">
        <f ca="1">IFERROR(__xludf.DUMMYFUNCTION("""COMPUTED_VALUE"""),30344)</f>
        <v>30344</v>
      </c>
      <c r="F2088" s="5" t="str">
        <f ca="1">IFERROR(__xludf.DUMMYFUNCTION("""COMPUTED_VALUE"""),"William H. Lemmel Middle School")</f>
        <v>William H. Lemmel Middle School</v>
      </c>
      <c r="G2088" s="5">
        <f ca="1">IFERROR(__xludf.DUMMYFUNCTION("""COMPUTED_VALUE"""),0)</f>
        <v>0</v>
      </c>
      <c r="H2088" s="5">
        <f ca="1">IFERROR(__xludf.DUMMYFUNCTION("""COMPUTED_VALUE"""),0)</f>
        <v>0</v>
      </c>
      <c r="I2088" s="5">
        <f ca="1">IFERROR(__xludf.DUMMYFUNCTION("""COMPUTED_VALUE"""),0)</f>
        <v>0</v>
      </c>
      <c r="J2088" s="5">
        <f ca="1">IFERROR(__xludf.DUMMYFUNCTION("""COMPUTED_VALUE"""),0)</f>
        <v>0</v>
      </c>
      <c r="K2088" s="9" t="str">
        <f ca="1">IFERROR(__xludf.DUMMYFUNCTION("""COMPUTED_VALUE"""),"https://www.newspapers.com/image/372294245/?terms=lemmel%2Bmiddle%2Bschool")</f>
        <v>https://www.newspapers.com/image/372294245/?terms=lemmel%2Bmiddle%2Bschool</v>
      </c>
      <c r="L2088" s="5"/>
      <c r="M2088" s="5"/>
      <c r="N2088" s="5">
        <f ca="1">IFERROR(__xludf.DUMMYFUNCTION("""COMPUTED_VALUE"""),2)</f>
        <v>2</v>
      </c>
      <c r="O2088" s="5" t="str">
        <f ca="1">IFERROR(__xludf.DUMMYFUNCTION("""COMPUTED_VALUE"""),"Winter")</f>
        <v>Winter</v>
      </c>
      <c r="P2088" s="5" t="str">
        <f ca="1">IFERROR(__xludf.DUMMYFUNCTION("""COMPUTED_VALUE"""),"Baltimore")</f>
        <v>Baltimore</v>
      </c>
      <c r="Q2088" s="5" t="str">
        <f ca="1">IFERROR(__xludf.DUMMYFUNCTION("""COMPUTED_VALUE"""),"MD")</f>
        <v>MD</v>
      </c>
      <c r="R2088" s="5" t="str">
        <f ca="1">IFERROR(__xludf.DUMMYFUNCTION("""COMPUTED_VALUE"""),"Middle")</f>
        <v>Middle</v>
      </c>
      <c r="S2088" s="5" t="str">
        <f ca="1">IFERROR(__xludf.DUMMYFUNCTION("""COMPUTED_VALUE"""),"Classroom")</f>
        <v>Classroom</v>
      </c>
      <c r="T2088" s="5" t="str">
        <f ca="1">IFERROR(__xludf.DUMMYFUNCTION("""COMPUTED_VALUE"""),"Inside School Building")</f>
        <v>Inside School Building</v>
      </c>
      <c r="U2088" s="5" t="str">
        <f ca="1">IFERROR(__xludf.DUMMYFUNCTION("""COMPUTED_VALUE"""),"Yes")</f>
        <v>Yes</v>
      </c>
      <c r="V2088" s="5" t="str">
        <f ca="1">IFERROR(__xludf.DUMMYFUNCTION("""COMPUTED_VALUE"""),"Morning Classes")</f>
        <v>Morning Classes</v>
      </c>
      <c r="W2088" s="5"/>
      <c r="X2088" s="5">
        <f ca="1">IFERROR(__xludf.DUMMYFUNCTION("""COMPUTED_VALUE"""),1)</f>
        <v>1</v>
      </c>
      <c r="Y2088" s="5" t="str">
        <f ca="1">IFERROR(__xludf.DUMMYFUNCTION("""COMPUTED_VALUE"""),"Shooter checked safety on gun in class and accidentally shot self")</f>
        <v>Shooter checked safety on gun in class and accidentally shot self</v>
      </c>
      <c r="Z2088" s="5" t="str">
        <f ca="1">IFERROR(__xludf.DUMMYFUNCTION("""COMPUTED_VALUE"""),"14 year old checked safety on gun while in class and shot himself in the thigh. Shooter had previously received the gun from another student.")</f>
        <v>14 year old checked safety on gun while in class and shot himself in the thigh. Shooter had previously received the gun from another student.</v>
      </c>
      <c r="AA2088" s="5" t="str">
        <f ca="1">IFERROR(__xludf.DUMMYFUNCTION("""COMPUTED_VALUE"""),"Accidental")</f>
        <v>Accidental</v>
      </c>
      <c r="AB2088" s="5" t="str">
        <f ca="1">IFERROR(__xludf.DUMMYFUNCTION("""COMPUTED_VALUE"""),"Random Shooting")</f>
        <v>Random Shooting</v>
      </c>
      <c r="AC2088" s="5"/>
      <c r="AD2088" s="5" t="str">
        <f ca="1">IFERROR(__xludf.DUMMYFUNCTION("""COMPUTED_VALUE"""),"No")</f>
        <v>No</v>
      </c>
      <c r="AE2088" s="5" t="str">
        <f ca="1">IFERROR(__xludf.DUMMYFUNCTION("""COMPUTED_VALUE"""),"No")</f>
        <v>No</v>
      </c>
      <c r="AF2088" s="5" t="str">
        <f ca="1">IFERROR(__xludf.DUMMYFUNCTION("""COMPUTED_VALUE"""),"No")</f>
        <v>No</v>
      </c>
      <c r="AG2088" s="5" t="str">
        <f ca="1">IFERROR(__xludf.DUMMYFUNCTION("""COMPUTED_VALUE"""),"No")</f>
        <v>No</v>
      </c>
      <c r="AH2088" s="5" t="str">
        <f ca="1">IFERROR(__xludf.DUMMYFUNCTION("""COMPUTED_VALUE"""),"No")</f>
        <v>No</v>
      </c>
      <c r="AI2088" s="5" t="str">
        <f ca="1">IFERROR(__xludf.DUMMYFUNCTION("""COMPUTED_VALUE"""),"No")</f>
        <v>No</v>
      </c>
      <c r="AJ2088" s="5"/>
    </row>
    <row r="2089" spans="1:36" ht="13">
      <c r="A2089" s="5" t="str">
        <f ca="1">IFERROR(__xludf.DUMMYFUNCTION("""COMPUTED_VALUE"""),"19830120MOPAB")</f>
        <v>19830120MOPAB</v>
      </c>
      <c r="B2089" s="5">
        <f ca="1">IFERROR(__xludf.DUMMYFUNCTION("""COMPUTED_VALUE"""),1)</f>
        <v>1</v>
      </c>
      <c r="C2089" s="5">
        <f ca="1">IFERROR(__xludf.DUMMYFUNCTION("""COMPUTED_VALUE"""),20)</f>
        <v>20</v>
      </c>
      <c r="D2089" s="5">
        <f ca="1">IFERROR(__xludf.DUMMYFUNCTION("""COMPUTED_VALUE"""),1983)</f>
        <v>1983</v>
      </c>
      <c r="E2089" s="8">
        <f ca="1">IFERROR(__xludf.DUMMYFUNCTION("""COMPUTED_VALUE"""),30336)</f>
        <v>30336</v>
      </c>
      <c r="F2089" s="5" t="str">
        <f ca="1">IFERROR(__xludf.DUMMYFUNCTION("""COMPUTED_VALUE"""),"Parkway South Middle School")</f>
        <v>Parkway South Middle School</v>
      </c>
      <c r="G2089" s="5">
        <f ca="1">IFERROR(__xludf.DUMMYFUNCTION("""COMPUTED_VALUE"""),1)</f>
        <v>1</v>
      </c>
      <c r="H2089" s="5">
        <f ca="1">IFERROR(__xludf.DUMMYFUNCTION("""COMPUTED_VALUE"""),1)</f>
        <v>1</v>
      </c>
      <c r="I2089" s="5">
        <f ca="1">IFERROR(__xludf.DUMMYFUNCTION("""COMPUTED_VALUE"""),2)</f>
        <v>2</v>
      </c>
      <c r="J2089" s="5">
        <f ca="1">IFERROR(__xludf.DUMMYFUNCTION("""COMPUTED_VALUE"""),1)</f>
        <v>1</v>
      </c>
      <c r="K2089" s="9" t="str">
        <f ca="1">IFERROR(__xludf.DUMMYFUNCTION("""COMPUTED_VALUE"""),"http://articles.baltimoresun.com/1999-05-02/topic/9905040373_1_senti-firecracker-beneath")</f>
        <v>http://articles.baltimoresun.com/1999-05-02/topic/9905040373_1_senti-firecracker-beneath</v>
      </c>
      <c r="L2089" s="5"/>
      <c r="M2089" s="5"/>
      <c r="N2089" s="5">
        <f ca="1">IFERROR(__xludf.DUMMYFUNCTION("""COMPUTED_VALUE"""),2)</f>
        <v>2</v>
      </c>
      <c r="O2089" s="5" t="str">
        <f ca="1">IFERROR(__xludf.DUMMYFUNCTION("""COMPUTED_VALUE"""),"Winter")</f>
        <v>Winter</v>
      </c>
      <c r="P2089" s="5" t="str">
        <f ca="1">IFERROR(__xludf.DUMMYFUNCTION("""COMPUTED_VALUE"""),"Baldwin")</f>
        <v>Baldwin</v>
      </c>
      <c r="Q2089" s="5" t="str">
        <f ca="1">IFERROR(__xludf.DUMMYFUNCTION("""COMPUTED_VALUE"""),"MO")</f>
        <v>MO</v>
      </c>
      <c r="R2089" s="5" t="str">
        <f ca="1">IFERROR(__xludf.DUMMYFUNCTION("""COMPUTED_VALUE"""),"Middle")</f>
        <v>Middle</v>
      </c>
      <c r="S2089" s="5" t="str">
        <f ca="1">IFERROR(__xludf.DUMMYFUNCTION("""COMPUTED_VALUE"""),"Inside School Building")</f>
        <v>Inside School Building</v>
      </c>
      <c r="T2089" s="5" t="str">
        <f ca="1">IFERROR(__xludf.DUMMYFUNCTION("""COMPUTED_VALUE"""),"Inside School Building")</f>
        <v>Inside School Building</v>
      </c>
      <c r="U2089" s="5" t="str">
        <f ca="1">IFERROR(__xludf.DUMMYFUNCTION("""COMPUTED_VALUE"""),"Yes")</f>
        <v>Yes</v>
      </c>
      <c r="V2089" s="5" t="str">
        <f ca="1">IFERROR(__xludf.DUMMYFUNCTION("""COMPUTED_VALUE"""),"Morning Classes")</f>
        <v>Morning Classes</v>
      </c>
      <c r="W2089" s="10">
        <f ca="1">IFERROR(__xludf.DUMMYFUNCTION("""COMPUTED_VALUE"""),0.493055555555555)</f>
        <v>0.49305555555555503</v>
      </c>
      <c r="X2089" s="5"/>
      <c r="Y2089" s="5" t="str">
        <f ca="1">IFERROR(__xludf.DUMMYFUNCTION("""COMPUTED_VALUE"""),"Previous fight with victim; brother was bullied by victims")</f>
        <v>Previous fight with victim; brother was bullied by victims</v>
      </c>
      <c r="Z2089" s="5" t="str">
        <f ca="1">IFERROR(__xludf.DUMMYFUNCTION("""COMPUTED_VALUE"""),"Police found suicide note, knife, and 100 rounds of ammo inside duffle bag suspect brought guns into school with. Statement made that suspect was angry at two victims for disparaging remarks made about brother.")</f>
        <v>Police found suicide note, knife, and 100 rounds of ammo inside duffle bag suspect brought guns into school with. Statement made that suspect was angry at two victims for disparaging remarks made about brother.</v>
      </c>
      <c r="AA2089" s="5" t="str">
        <f ca="1">IFERROR(__xludf.DUMMYFUNCTION("""COMPUTED_VALUE"""),"Bullying")</f>
        <v>Bullying</v>
      </c>
      <c r="AB2089" s="5" t="str">
        <f ca="1">IFERROR(__xludf.DUMMYFUNCTION("""COMPUTED_VALUE"""),"Victims Targeted")</f>
        <v>Victims Targeted</v>
      </c>
      <c r="AC2089" s="5" t="str">
        <f ca="1">IFERROR(__xludf.DUMMYFUNCTION("""COMPUTED_VALUE"""),"No")</f>
        <v>No</v>
      </c>
      <c r="AD2089" s="5" t="str">
        <f ca="1">IFERROR(__xludf.DUMMYFUNCTION("""COMPUTED_VALUE"""),"No")</f>
        <v>No</v>
      </c>
      <c r="AE2089" s="5" t="str">
        <f ca="1">IFERROR(__xludf.DUMMYFUNCTION("""COMPUTED_VALUE"""),"No")</f>
        <v>No</v>
      </c>
      <c r="AF2089" s="5" t="str">
        <f ca="1">IFERROR(__xludf.DUMMYFUNCTION("""COMPUTED_VALUE"""),"No")</f>
        <v>No</v>
      </c>
      <c r="AG2089" s="5" t="str">
        <f ca="1">IFERROR(__xludf.DUMMYFUNCTION("""COMPUTED_VALUE"""),"Yes")</f>
        <v>Yes</v>
      </c>
      <c r="AH2089" s="5" t="str">
        <f ca="1">IFERROR(__xludf.DUMMYFUNCTION("""COMPUTED_VALUE"""),"No")</f>
        <v>No</v>
      </c>
      <c r="AI2089" s="5" t="str">
        <f ca="1">IFERROR(__xludf.DUMMYFUNCTION("""COMPUTED_VALUE"""),"No")</f>
        <v>No</v>
      </c>
      <c r="AJ2089" s="5" t="str">
        <f ca="1">IFERROR(__xludf.DUMMYFUNCTION("""COMPUTED_VALUE"""),"Yes")</f>
        <v>Yes</v>
      </c>
    </row>
    <row r="2090" spans="1:36" ht="13">
      <c r="A2090" s="5" t="str">
        <f ca="1">IFERROR(__xludf.DUMMYFUNCTION("""COMPUTED_VALUE"""),"19830118TXJOH")</f>
        <v>19830118TXJOH</v>
      </c>
      <c r="B2090" s="5">
        <f ca="1">IFERROR(__xludf.DUMMYFUNCTION("""COMPUTED_VALUE"""),1)</f>
        <v>1</v>
      </c>
      <c r="C2090" s="5">
        <f ca="1">IFERROR(__xludf.DUMMYFUNCTION("""COMPUTED_VALUE"""),18)</f>
        <v>18</v>
      </c>
      <c r="D2090" s="5">
        <f ca="1">IFERROR(__xludf.DUMMYFUNCTION("""COMPUTED_VALUE"""),1983)</f>
        <v>1983</v>
      </c>
      <c r="E2090" s="8">
        <f ca="1">IFERROR(__xludf.DUMMYFUNCTION("""COMPUTED_VALUE"""),30334)</f>
        <v>30334</v>
      </c>
      <c r="F2090" s="5" t="str">
        <f ca="1">IFERROR(__xludf.DUMMYFUNCTION("""COMPUTED_VALUE"""),"John H. Reagan High School")</f>
        <v>John H. Reagan High School</v>
      </c>
      <c r="G2090" s="5">
        <f ca="1">IFERROR(__xludf.DUMMYFUNCTION("""COMPUTED_VALUE"""),1)</f>
        <v>1</v>
      </c>
      <c r="H2090" s="5">
        <f ca="1">IFERROR(__xludf.DUMMYFUNCTION("""COMPUTED_VALUE"""),0)</f>
        <v>0</v>
      </c>
      <c r="I2090" s="5">
        <f ca="1">IFERROR(__xludf.DUMMYFUNCTION("""COMPUTED_VALUE"""),1)</f>
        <v>1</v>
      </c>
      <c r="J2090" s="5">
        <f ca="1">IFERROR(__xludf.DUMMYFUNCTION("""COMPUTED_VALUE"""),1)</f>
        <v>1</v>
      </c>
      <c r="K2090" s="5" t="str">
        <f ca="1">IFERROR(__xludf.DUMMYFUNCTION("""COMPUTED_VALUE"""),"https://www.newspapers.com/image/149416885/?terms=student%2Bshot; https://www.newspapers.com/image/18080004/?terms=student%2Bshot")</f>
        <v>https://www.newspapers.com/image/149416885/?terms=student%2Bshot; https://www.newspapers.com/image/18080004/?terms=student%2Bshot</v>
      </c>
      <c r="L2090" s="5"/>
      <c r="M2090" s="5"/>
      <c r="N2090" s="5">
        <f ca="1">IFERROR(__xludf.DUMMYFUNCTION("""COMPUTED_VALUE"""),3)</f>
        <v>3</v>
      </c>
      <c r="O2090" s="5" t="str">
        <f ca="1">IFERROR(__xludf.DUMMYFUNCTION("""COMPUTED_VALUE"""),"Winter")</f>
        <v>Winter</v>
      </c>
      <c r="P2090" s="5" t="str">
        <f ca="1">IFERROR(__xludf.DUMMYFUNCTION("""COMPUTED_VALUE"""),"Houston")</f>
        <v>Houston</v>
      </c>
      <c r="Q2090" s="5" t="str">
        <f ca="1">IFERROR(__xludf.DUMMYFUNCTION("""COMPUTED_VALUE"""),"TX")</f>
        <v>TX</v>
      </c>
      <c r="R2090" s="5" t="str">
        <f ca="1">IFERROR(__xludf.DUMMYFUNCTION("""COMPUTED_VALUE"""),"High")</f>
        <v>High</v>
      </c>
      <c r="S2090" s="5" t="str">
        <f ca="1">IFERROR(__xludf.DUMMYFUNCTION("""COMPUTED_VALUE"""),"Office")</f>
        <v>Office</v>
      </c>
      <c r="T2090" s="5" t="str">
        <f ca="1">IFERROR(__xludf.DUMMYFUNCTION("""COMPUTED_VALUE"""),"Inside School Building")</f>
        <v>Inside School Building</v>
      </c>
      <c r="U2090" s="5" t="str">
        <f ca="1">IFERROR(__xludf.DUMMYFUNCTION("""COMPUTED_VALUE"""),"Yes")</f>
        <v>Yes</v>
      </c>
      <c r="V2090" s="5" t="str">
        <f ca="1">IFERROR(__xludf.DUMMYFUNCTION("""COMPUTED_VALUE"""),"Morning Classes")</f>
        <v>Morning Classes</v>
      </c>
      <c r="W2090" s="10">
        <f ca="1">IFERROR(__xludf.DUMMYFUNCTION("""COMPUTED_VALUE"""),0.434027777777777)</f>
        <v>0.43402777777777701</v>
      </c>
      <c r="X2090" s="5">
        <f ca="1">IFERROR(__xludf.DUMMYFUNCTION("""COMPUTED_VALUE"""),1)</f>
        <v>1</v>
      </c>
      <c r="Y2090" s="5" t="str">
        <f ca="1">IFERROR(__xludf.DUMMYFUNCTION("""COMPUTED_VALUE"""),"Shooter killed wife and shot self in counselor's office")</f>
        <v>Shooter killed wife and shot self in counselor's office</v>
      </c>
      <c r="Z2090" s="5" t="str">
        <f ca="1">IFERROR(__xludf.DUMMYFUNCTION("""COMPUTED_VALUE"""),"Shooter shoots wife three times then shoots self while in counselor's office. Wife dies - shooter lives but in critical condition - later dies - father confirmed they were having marital problems and asked school officials to keep them apart.")</f>
        <v>Shooter shoots wife three times then shoots self while in counselor's office. Wife dies - shooter lives but in critical condition - later dies - father confirmed they were having marital problems and asked school officials to keep them apart.</v>
      </c>
      <c r="AA2090" s="5" t="str">
        <f ca="1">IFERROR(__xludf.DUMMYFUNCTION("""COMPUTED_VALUE"""),"Murder/Suicide")</f>
        <v>Murder/Suicide</v>
      </c>
      <c r="AB2090" s="5" t="str">
        <f ca="1">IFERROR(__xludf.DUMMYFUNCTION("""COMPUTED_VALUE"""),"Victims Targeted")</f>
        <v>Victims Targeted</v>
      </c>
      <c r="AC2090" s="5" t="str">
        <f ca="1">IFERROR(__xludf.DUMMYFUNCTION("""COMPUTED_VALUE"""),"No")</f>
        <v>No</v>
      </c>
      <c r="AD2090" s="5" t="str">
        <f ca="1">IFERROR(__xludf.DUMMYFUNCTION("""COMPUTED_VALUE"""),"No")</f>
        <v>No</v>
      </c>
      <c r="AE2090" s="5" t="str">
        <f ca="1">IFERROR(__xludf.DUMMYFUNCTION("""COMPUTED_VALUE"""),"No")</f>
        <v>No</v>
      </c>
      <c r="AF2090" s="5" t="str">
        <f ca="1">IFERROR(__xludf.DUMMYFUNCTION("""COMPUTED_VALUE"""),"No")</f>
        <v>No</v>
      </c>
      <c r="AG2090" s="5" t="str">
        <f ca="1">IFERROR(__xludf.DUMMYFUNCTION("""COMPUTED_VALUE"""),"No")</f>
        <v>No</v>
      </c>
      <c r="AH2090" s="5" t="str">
        <f ca="1">IFERROR(__xludf.DUMMYFUNCTION("""COMPUTED_VALUE"""),"Yes")</f>
        <v>Yes</v>
      </c>
      <c r="AI2090" s="5" t="str">
        <f ca="1">IFERROR(__xludf.DUMMYFUNCTION("""COMPUTED_VALUE"""),"No")</f>
        <v>No</v>
      </c>
      <c r="AJ2090" s="5"/>
    </row>
    <row r="2091" spans="1:36" ht="13">
      <c r="A2091" s="5" t="str">
        <f ca="1">IFERROR(__xludf.DUMMYFUNCTION("""COMPUTED_VALUE"""),"19821220MIFID")</f>
        <v>19821220MIFID</v>
      </c>
      <c r="B2091" s="5">
        <f ca="1">IFERROR(__xludf.DUMMYFUNCTION("""COMPUTED_VALUE"""),12)</f>
        <v>12</v>
      </c>
      <c r="C2091" s="5">
        <f ca="1">IFERROR(__xludf.DUMMYFUNCTION("""COMPUTED_VALUE"""),20)</f>
        <v>20</v>
      </c>
      <c r="D2091" s="5">
        <f ca="1">IFERROR(__xludf.DUMMYFUNCTION("""COMPUTED_VALUE"""),1982)</f>
        <v>1982</v>
      </c>
      <c r="E2091" s="8">
        <f ca="1">IFERROR(__xludf.DUMMYFUNCTION("""COMPUTED_VALUE"""),30305)</f>
        <v>30305</v>
      </c>
      <c r="F2091" s="5" t="str">
        <f ca="1">IFERROR(__xludf.DUMMYFUNCTION("""COMPUTED_VALUE"""),"Finney High School")</f>
        <v>Finney High School</v>
      </c>
      <c r="G2091" s="5">
        <f ca="1">IFERROR(__xludf.DUMMYFUNCTION("""COMPUTED_VALUE"""),0)</f>
        <v>0</v>
      </c>
      <c r="H2091" s="5">
        <f ca="1">IFERROR(__xludf.DUMMYFUNCTION("""COMPUTED_VALUE"""),1)</f>
        <v>1</v>
      </c>
      <c r="I2091" s="5">
        <f ca="1">IFERROR(__xludf.DUMMYFUNCTION("""COMPUTED_VALUE"""),1)</f>
        <v>1</v>
      </c>
      <c r="J2091" s="5">
        <f ca="1">IFERROR(__xludf.DUMMYFUNCTION("""COMPUTED_VALUE"""),0)</f>
        <v>0</v>
      </c>
      <c r="K2091" s="5" t="str">
        <f ca="1">IFERROR(__xludf.DUMMYFUNCTION("""COMPUTED_VALUE"""),"https://www.newspapers.com/image/197202441/?terms=student%2Bshot  https://www.newspapers.com/image/97944028/?terms=kevin%2Bdaniel%2Bdavis")</f>
        <v>https://www.newspapers.com/image/197202441/?terms=student%2Bshot  https://www.newspapers.com/image/97944028/?terms=kevin%2Bdaniel%2Bdavis</v>
      </c>
      <c r="L2091" s="5"/>
      <c r="M2091" s="5"/>
      <c r="N2091" s="5">
        <f ca="1">IFERROR(__xludf.DUMMYFUNCTION("""COMPUTED_VALUE"""),3)</f>
        <v>3</v>
      </c>
      <c r="O2091" s="5" t="str">
        <f ca="1">IFERROR(__xludf.DUMMYFUNCTION("""COMPUTED_VALUE"""),"Winter")</f>
        <v>Winter</v>
      </c>
      <c r="P2091" s="5" t="str">
        <f ca="1">IFERROR(__xludf.DUMMYFUNCTION("""COMPUTED_VALUE"""),"Detroit")</f>
        <v>Detroit</v>
      </c>
      <c r="Q2091" s="5" t="str">
        <f ca="1">IFERROR(__xludf.DUMMYFUNCTION("""COMPUTED_VALUE"""),"MI")</f>
        <v>MI</v>
      </c>
      <c r="R2091" s="5" t="str">
        <f ca="1">IFERROR(__xludf.DUMMYFUNCTION("""COMPUTED_VALUE"""),"High")</f>
        <v>High</v>
      </c>
      <c r="S2091" s="5" t="str">
        <f ca="1">IFERROR(__xludf.DUMMYFUNCTION("""COMPUTED_VALUE"""),"Hallway")</f>
        <v>Hallway</v>
      </c>
      <c r="T2091" s="5" t="str">
        <f ca="1">IFERROR(__xludf.DUMMYFUNCTION("""COMPUTED_VALUE"""),"Inside School Building")</f>
        <v>Inside School Building</v>
      </c>
      <c r="U2091" s="5" t="str">
        <f ca="1">IFERROR(__xludf.DUMMYFUNCTION("""COMPUTED_VALUE"""),"Yes")</f>
        <v>Yes</v>
      </c>
      <c r="V2091" s="5" t="str">
        <f ca="1">IFERROR(__xludf.DUMMYFUNCTION("""COMPUTED_VALUE"""),"School Start")</f>
        <v>School Start</v>
      </c>
      <c r="W2091" s="10">
        <f ca="1">IFERROR(__xludf.DUMMYFUNCTION("""COMPUTED_VALUE"""),0.371527777777777)</f>
        <v>0.37152777777777701</v>
      </c>
      <c r="X2091" s="5">
        <f ca="1">IFERROR(__xludf.DUMMYFUNCTION("""COMPUTED_VALUE"""),1)</f>
        <v>1</v>
      </c>
      <c r="Y2091" s="5" t="str">
        <f ca="1">IFERROR(__xludf.DUMMYFUNCTION("""COMPUTED_VALUE"""),"Robbery for a jacket")</f>
        <v>Robbery for a jacket</v>
      </c>
      <c r="Z2091" s="5" t="str">
        <f ca="1">IFERROR(__xludf.DUMMYFUNCTION("""COMPUTED_VALUE"""),"Victim was robbed of his fur trimmed jacket in hallway of school - Victim was approached by three men all carrying guns - suspects fled school after shooting")</f>
        <v>Victim was robbed of his fur trimmed jacket in hallway of school - Victim was approached by three men all carrying guns - suspects fled school after shooting</v>
      </c>
      <c r="AA2091" s="5" t="str">
        <f ca="1">IFERROR(__xludf.DUMMYFUNCTION("""COMPUTED_VALUE"""),"Illegal Activity")</f>
        <v>Illegal Activity</v>
      </c>
      <c r="AB2091" s="5" t="str">
        <f ca="1">IFERROR(__xludf.DUMMYFUNCTION("""COMPUTED_VALUE"""),"Victims Targeted")</f>
        <v>Victims Targeted</v>
      </c>
      <c r="AC2091" s="5" t="str">
        <f ca="1">IFERROR(__xludf.DUMMYFUNCTION("""COMPUTED_VALUE"""),"Yes")</f>
        <v>Yes</v>
      </c>
      <c r="AD2091" s="5" t="str">
        <f ca="1">IFERROR(__xludf.DUMMYFUNCTION("""COMPUTED_VALUE"""),"No")</f>
        <v>No</v>
      </c>
      <c r="AE2091" s="5" t="str">
        <f ca="1">IFERROR(__xludf.DUMMYFUNCTION("""COMPUTED_VALUE"""),"No")</f>
        <v>No</v>
      </c>
      <c r="AF2091" s="5" t="str">
        <f ca="1">IFERROR(__xludf.DUMMYFUNCTION("""COMPUTED_VALUE"""),"No")</f>
        <v>No</v>
      </c>
      <c r="AG2091" s="5" t="str">
        <f ca="1">IFERROR(__xludf.DUMMYFUNCTION("""COMPUTED_VALUE"""),"No")</f>
        <v>No</v>
      </c>
      <c r="AH2091" s="5" t="str">
        <f ca="1">IFERROR(__xludf.DUMMYFUNCTION("""COMPUTED_VALUE"""),"No")</f>
        <v>No</v>
      </c>
      <c r="AI2091" s="5" t="str">
        <f ca="1">IFERROR(__xludf.DUMMYFUNCTION("""COMPUTED_VALUE"""),"No")</f>
        <v>No</v>
      </c>
      <c r="AJ2091" s="5"/>
    </row>
    <row r="2092" spans="1:36" ht="13">
      <c r="A2092" s="5" t="str">
        <f ca="1">IFERROR(__xludf.DUMMYFUNCTION("""COMPUTED_VALUE"""),"19821206ALHUH")</f>
        <v>19821206ALHUH</v>
      </c>
      <c r="B2092" s="5">
        <f ca="1">IFERROR(__xludf.DUMMYFUNCTION("""COMPUTED_VALUE"""),12)</f>
        <v>12</v>
      </c>
      <c r="C2092" s="5">
        <f ca="1">IFERROR(__xludf.DUMMYFUNCTION("""COMPUTED_VALUE"""),6)</f>
        <v>6</v>
      </c>
      <c r="D2092" s="5">
        <f ca="1">IFERROR(__xludf.DUMMYFUNCTION("""COMPUTED_VALUE"""),1982)</f>
        <v>1982</v>
      </c>
      <c r="E2092" s="8">
        <f ca="1">IFERROR(__xludf.DUMMYFUNCTION("""COMPUTED_VALUE"""),30291)</f>
        <v>30291</v>
      </c>
      <c r="F2092" s="5" t="str">
        <f ca="1">IFERROR(__xludf.DUMMYFUNCTION("""COMPUTED_VALUE"""),"Huntsville High School")</f>
        <v>Huntsville High School</v>
      </c>
      <c r="G2092" s="5">
        <f ca="1">IFERROR(__xludf.DUMMYFUNCTION("""COMPUTED_VALUE"""),0)</f>
        <v>0</v>
      </c>
      <c r="H2092" s="5">
        <f ca="1">IFERROR(__xludf.DUMMYFUNCTION("""COMPUTED_VALUE"""),0)</f>
        <v>0</v>
      </c>
      <c r="I2092" s="5">
        <f ca="1">IFERROR(__xludf.DUMMYFUNCTION("""COMPUTED_VALUE"""),0)</f>
        <v>0</v>
      </c>
      <c r="J2092" s="5">
        <f ca="1">IFERROR(__xludf.DUMMYFUNCTION("""COMPUTED_VALUE"""),1)</f>
        <v>1</v>
      </c>
      <c r="K2092" s="5" t="str">
        <f ca="1">IFERROR(__xludf.DUMMYFUNCTION("""COMPUTED_VALUE"""),"https://www.newspapers.com/image/183567523/?terms=STUDENT%2BSHOOTS  https://www.newspapers.com/image/257723192/?terms=AARON%2BTHOMAS%2Bhuntsville")</f>
        <v>https://www.newspapers.com/image/183567523/?terms=STUDENT%2BSHOOTS  https://www.newspapers.com/image/257723192/?terms=AARON%2BTHOMAS%2Bhuntsville</v>
      </c>
      <c r="L2092" s="5"/>
      <c r="M2092" s="5"/>
      <c r="N2092" s="5">
        <f ca="1">IFERROR(__xludf.DUMMYFUNCTION("""COMPUTED_VALUE"""),3)</f>
        <v>3</v>
      </c>
      <c r="O2092" s="5" t="str">
        <f ca="1">IFERROR(__xludf.DUMMYFUNCTION("""COMPUTED_VALUE"""),"Winter")</f>
        <v>Winter</v>
      </c>
      <c r="P2092" s="5" t="str">
        <f ca="1">IFERROR(__xludf.DUMMYFUNCTION("""COMPUTED_VALUE"""),"Huntsville")</f>
        <v>Huntsville</v>
      </c>
      <c r="Q2092" s="5" t="str">
        <f ca="1">IFERROR(__xludf.DUMMYFUNCTION("""COMPUTED_VALUE"""),"AL")</f>
        <v>AL</v>
      </c>
      <c r="R2092" s="5" t="str">
        <f ca="1">IFERROR(__xludf.DUMMYFUNCTION("""COMPUTED_VALUE"""),"High")</f>
        <v>High</v>
      </c>
      <c r="S2092" s="5" t="str">
        <f ca="1">IFERROR(__xludf.DUMMYFUNCTION("""COMPUTED_VALUE"""),"Classroom")</f>
        <v>Classroom</v>
      </c>
      <c r="T2092" s="5" t="str">
        <f ca="1">IFERROR(__xludf.DUMMYFUNCTION("""COMPUTED_VALUE"""),"Inside School Building")</f>
        <v>Inside School Building</v>
      </c>
      <c r="U2092" s="5" t="str">
        <f ca="1">IFERROR(__xludf.DUMMYFUNCTION("""COMPUTED_VALUE"""),"Yes")</f>
        <v>Yes</v>
      </c>
      <c r="V2092" s="5" t="str">
        <f ca="1">IFERROR(__xludf.DUMMYFUNCTION("""COMPUTED_VALUE"""),"Morning Classes")</f>
        <v>Morning Classes</v>
      </c>
      <c r="W2092" s="10">
        <f ca="1">IFERROR(__xludf.DUMMYFUNCTION("""COMPUTED_VALUE"""),0.489583333333333)</f>
        <v>0.48958333333333298</v>
      </c>
      <c r="X2092" s="5"/>
      <c r="Y2092" s="5" t="str">
        <f ca="1">IFERROR(__xludf.DUMMYFUNCTION("""COMPUTED_VALUE"""),"Shooter took teacher hostage then shot self in head")</f>
        <v>Shooter took teacher hostage then shot self in head</v>
      </c>
      <c r="Z2092" s="5" t="str">
        <f ca="1">IFERROR(__xludf.DUMMYFUNCTION("""COMPUTED_VALUE"""),"Student with known disturbance problems entered teacher's class demanding to talk with her - when she refused because she was teaching, he pulled small caliber gun from umbrella and pointed it at her. All students fled class. Teacher was held hostage unti"&amp;"l student shot self in head. Statements made that he was at risk for failing semester.  Pronounced dead later that evening")</f>
        <v>Student with known disturbance problems entered teacher's class demanding to talk with her - when she refused because she was teaching, he pulled small caliber gun from umbrella and pointed it at her. All students fled class. Teacher was held hostage until student shot self in head. Statements made that he was at risk for failing semester.  Pronounced dead later that evening</v>
      </c>
      <c r="AA2092" s="5" t="str">
        <f ca="1">IFERROR(__xludf.DUMMYFUNCTION("""COMPUTED_VALUE"""),"Suicide/Attempted")</f>
        <v>Suicide/Attempted</v>
      </c>
      <c r="AB2092" s="5" t="str">
        <f ca="1">IFERROR(__xludf.DUMMYFUNCTION("""COMPUTED_VALUE"""),"Victims Targeted")</f>
        <v>Victims Targeted</v>
      </c>
      <c r="AC2092" s="5" t="str">
        <f ca="1">IFERROR(__xludf.DUMMYFUNCTION("""COMPUTED_VALUE"""),"No")</f>
        <v>No</v>
      </c>
      <c r="AD2092" s="5" t="str">
        <f ca="1">IFERROR(__xludf.DUMMYFUNCTION("""COMPUTED_VALUE"""),"Yes")</f>
        <v>Yes</v>
      </c>
      <c r="AE2092" s="5" t="str">
        <f ca="1">IFERROR(__xludf.DUMMYFUNCTION("""COMPUTED_VALUE"""),"Yes")</f>
        <v>Yes</v>
      </c>
      <c r="AF2092" s="5" t="str">
        <f ca="1">IFERROR(__xludf.DUMMYFUNCTION("""COMPUTED_VALUE"""),"No")</f>
        <v>No</v>
      </c>
      <c r="AG2092" s="5" t="str">
        <f ca="1">IFERROR(__xludf.DUMMYFUNCTION("""COMPUTED_VALUE"""),"No")</f>
        <v>No</v>
      </c>
      <c r="AH2092" s="5" t="str">
        <f ca="1">IFERROR(__xludf.DUMMYFUNCTION("""COMPUTED_VALUE"""),"No")</f>
        <v>No</v>
      </c>
      <c r="AI2092" s="5" t="str">
        <f ca="1">IFERROR(__xludf.DUMMYFUNCTION("""COMPUTED_VALUE"""),"No")</f>
        <v>No</v>
      </c>
      <c r="AJ2092" s="5"/>
    </row>
    <row r="2093" spans="1:36" ht="13">
      <c r="A2093" s="5" t="str">
        <f ca="1">IFERROR(__xludf.DUMMYFUNCTION("""COMPUTED_VALUE"""),"19821112MSWIJ")</f>
        <v>19821112MSWIJ</v>
      </c>
      <c r="B2093" s="5">
        <f ca="1">IFERROR(__xludf.DUMMYFUNCTION("""COMPUTED_VALUE"""),11)</f>
        <v>11</v>
      </c>
      <c r="C2093" s="5">
        <f ca="1">IFERROR(__xludf.DUMMYFUNCTION("""COMPUTED_VALUE"""),12)</f>
        <v>12</v>
      </c>
      <c r="D2093" s="5">
        <f ca="1">IFERROR(__xludf.DUMMYFUNCTION("""COMPUTED_VALUE"""),1982)</f>
        <v>1982</v>
      </c>
      <c r="E2093" s="8">
        <f ca="1">IFERROR(__xludf.DUMMYFUNCTION("""COMPUTED_VALUE"""),30267)</f>
        <v>30267</v>
      </c>
      <c r="F2093" s="5" t="str">
        <f ca="1">IFERROR(__xludf.DUMMYFUNCTION("""COMPUTED_VALUE"""),"Wingfield High School")</f>
        <v>Wingfield High School</v>
      </c>
      <c r="G2093" s="5">
        <f ca="1">IFERROR(__xludf.DUMMYFUNCTION("""COMPUTED_VALUE"""),1)</f>
        <v>1</v>
      </c>
      <c r="H2093" s="5">
        <f ca="1">IFERROR(__xludf.DUMMYFUNCTION("""COMPUTED_VALUE"""),0)</f>
        <v>0</v>
      </c>
      <c r="I2093" s="5">
        <f ca="1">IFERROR(__xludf.DUMMYFUNCTION("""COMPUTED_VALUE"""),1)</f>
        <v>1</v>
      </c>
      <c r="J2093" s="5">
        <f ca="1">IFERROR(__xludf.DUMMYFUNCTION("""COMPUTED_VALUE"""),1)</f>
        <v>1</v>
      </c>
      <c r="K2093" s="5" t="str">
        <f ca="1">IFERROR(__xludf.DUMMYFUNCTION("""COMPUTED_VALUE"""),"https://newspaperarchive.com/yuma-sun-nov-14-1982-p-6/   https://www.newspapers.com/image/314230215/?terms=james%2Bhartzog")</f>
        <v>https://newspaperarchive.com/yuma-sun-nov-14-1982-p-6/   https://www.newspapers.com/image/314230215/?terms=james%2Bhartzog</v>
      </c>
      <c r="L2093" s="5"/>
      <c r="M2093" s="5"/>
      <c r="N2093" s="5">
        <f ca="1">IFERROR(__xludf.DUMMYFUNCTION("""COMPUTED_VALUE"""),2)</f>
        <v>2</v>
      </c>
      <c r="O2093" s="5" t="str">
        <f ca="1">IFERROR(__xludf.DUMMYFUNCTION("""COMPUTED_VALUE"""),"Fall")</f>
        <v>Fall</v>
      </c>
      <c r="P2093" s="5" t="str">
        <f ca="1">IFERROR(__xludf.DUMMYFUNCTION("""COMPUTED_VALUE"""),"Jackson")</f>
        <v>Jackson</v>
      </c>
      <c r="Q2093" s="5" t="str">
        <f ca="1">IFERROR(__xludf.DUMMYFUNCTION("""COMPUTED_VALUE"""),"MS")</f>
        <v>MS</v>
      </c>
      <c r="R2093" s="5" t="str">
        <f ca="1">IFERROR(__xludf.DUMMYFUNCTION("""COMPUTED_VALUE"""),"High")</f>
        <v>High</v>
      </c>
      <c r="S2093" s="5" t="str">
        <f ca="1">IFERROR(__xludf.DUMMYFUNCTION("""COMPUTED_VALUE"""),"Classroom")</f>
        <v>Classroom</v>
      </c>
      <c r="T2093" s="5" t="str">
        <f ca="1">IFERROR(__xludf.DUMMYFUNCTION("""COMPUTED_VALUE"""),"Inside School Building")</f>
        <v>Inside School Building</v>
      </c>
      <c r="U2093" s="5" t="str">
        <f ca="1">IFERROR(__xludf.DUMMYFUNCTION("""COMPUTED_VALUE"""),"Yes")</f>
        <v>Yes</v>
      </c>
      <c r="V2093" s="5" t="str">
        <f ca="1">IFERROR(__xludf.DUMMYFUNCTION("""COMPUTED_VALUE"""),"Afternoon Classes")</f>
        <v>Afternoon Classes</v>
      </c>
      <c r="W2093" s="5"/>
      <c r="X2093" s="5">
        <f ca="1">IFERROR(__xludf.DUMMYFUNCTION("""COMPUTED_VALUE"""),1)</f>
        <v>1</v>
      </c>
      <c r="Y2093" s="5" t="str">
        <f ca="1">IFERROR(__xludf.DUMMYFUNCTION("""COMPUTED_VALUE"""),"Boyfriend came into girlfriend's algebra class, shot her with shotgun and killed self")</f>
        <v>Boyfriend came into girlfriend's algebra class, shot her with shotgun and killed self</v>
      </c>
      <c r="Z2093" s="5" t="str">
        <f ca="1">IFERROR(__xludf.DUMMYFUNCTION("""COMPUTED_VALUE"""),"Teacher in classroom tried to talk suspect down, but he waved shotgun and told teacher and everyone else to leave that ""this is between me and her,"" is ex-girlfriend. His mom knew he was upset about the breakup but didn't suspect he would kill anyone.")</f>
        <v>Teacher in classroom tried to talk suspect down, but he waved shotgun and told teacher and everyone else to leave that "this is between me and her," is ex-girlfriend. His mom knew he was upset about the breakup but didn't suspect he would kill anyone.</v>
      </c>
      <c r="AA2093" s="5" t="str">
        <f ca="1">IFERROR(__xludf.DUMMYFUNCTION("""COMPUTED_VALUE"""),"Murder/Suicide")</f>
        <v>Murder/Suicide</v>
      </c>
      <c r="AB2093" s="5" t="str">
        <f ca="1">IFERROR(__xludf.DUMMYFUNCTION("""COMPUTED_VALUE"""),"Victims Targeted")</f>
        <v>Victims Targeted</v>
      </c>
      <c r="AC2093" s="5" t="str">
        <f ca="1">IFERROR(__xludf.DUMMYFUNCTION("""COMPUTED_VALUE"""),"No")</f>
        <v>No</v>
      </c>
      <c r="AD2093" s="5" t="str">
        <f ca="1">IFERROR(__xludf.DUMMYFUNCTION("""COMPUTED_VALUE"""),"No")</f>
        <v>No</v>
      </c>
      <c r="AE2093" s="5" t="str">
        <f ca="1">IFERROR(__xludf.DUMMYFUNCTION("""COMPUTED_VALUE"""),"No")</f>
        <v>No</v>
      </c>
      <c r="AF2093" s="5" t="str">
        <f ca="1">IFERROR(__xludf.DUMMYFUNCTION("""COMPUTED_VALUE"""),"No")</f>
        <v>No</v>
      </c>
      <c r="AG2093" s="5" t="str">
        <f ca="1">IFERROR(__xludf.DUMMYFUNCTION("""COMPUTED_VALUE"""),"No")</f>
        <v>No</v>
      </c>
      <c r="AH2093" s="5" t="str">
        <f ca="1">IFERROR(__xludf.DUMMYFUNCTION("""COMPUTED_VALUE"""),"Yes")</f>
        <v>Yes</v>
      </c>
      <c r="AI2093" s="5" t="str">
        <f ca="1">IFERROR(__xludf.DUMMYFUNCTION("""COMPUTED_VALUE"""),"No")</f>
        <v>No</v>
      </c>
      <c r="AJ2093" s="5"/>
    </row>
    <row r="2094" spans="1:36" ht="13">
      <c r="A2094" s="5" t="str">
        <f ca="1">IFERROR(__xludf.DUMMYFUNCTION("""COMPUTED_VALUE"""),"19821108MICOD")</f>
        <v>19821108MICOD</v>
      </c>
      <c r="B2094" s="5">
        <f ca="1">IFERROR(__xludf.DUMMYFUNCTION("""COMPUTED_VALUE"""),11)</f>
        <v>11</v>
      </c>
      <c r="C2094" s="5">
        <f ca="1">IFERROR(__xludf.DUMMYFUNCTION("""COMPUTED_VALUE"""),8)</f>
        <v>8</v>
      </c>
      <c r="D2094" s="5">
        <f ca="1">IFERROR(__xludf.DUMMYFUNCTION("""COMPUTED_VALUE"""),1982)</f>
        <v>1982</v>
      </c>
      <c r="E2094" s="8">
        <f ca="1">IFERROR(__xludf.DUMMYFUNCTION("""COMPUTED_VALUE"""),30263)</f>
        <v>30263</v>
      </c>
      <c r="F2094" s="5" t="str">
        <f ca="1">IFERROR(__xludf.DUMMYFUNCTION("""COMPUTED_VALUE"""),"Cooley High School")</f>
        <v>Cooley High School</v>
      </c>
      <c r="G2094" s="5">
        <f ca="1">IFERROR(__xludf.DUMMYFUNCTION("""COMPUTED_VALUE"""),0)</f>
        <v>0</v>
      </c>
      <c r="H2094" s="5">
        <f ca="1">IFERROR(__xludf.DUMMYFUNCTION("""COMPUTED_VALUE"""),2)</f>
        <v>2</v>
      </c>
      <c r="I2094" s="5">
        <f ca="1">IFERROR(__xludf.DUMMYFUNCTION("""COMPUTED_VALUE"""),2)</f>
        <v>2</v>
      </c>
      <c r="J2094" s="5">
        <f ca="1">IFERROR(__xludf.DUMMYFUNCTION("""COMPUTED_VALUE"""),0)</f>
        <v>0</v>
      </c>
      <c r="K2094" s="5" t="str">
        <f ca="1">IFERROR(__xludf.DUMMYFUNCTION("""COMPUTED_VALUE"""),"https://www.newspapers.com/image/216218915/?terms=student%2Bshot   https://www.newspapers.com/image/97507481/?terms=cooley%2Bhigh%2Bschool")</f>
        <v>https://www.newspapers.com/image/216218915/?terms=student%2Bshot   https://www.newspapers.com/image/97507481/?terms=cooley%2Bhigh%2Bschool</v>
      </c>
      <c r="L2094" s="5"/>
      <c r="M2094" s="5"/>
      <c r="N2094" s="5">
        <f ca="1">IFERROR(__xludf.DUMMYFUNCTION("""COMPUTED_VALUE"""),2)</f>
        <v>2</v>
      </c>
      <c r="O2094" s="5" t="str">
        <f ca="1">IFERROR(__xludf.DUMMYFUNCTION("""COMPUTED_VALUE"""),"Fall")</f>
        <v>Fall</v>
      </c>
      <c r="P2094" s="5" t="str">
        <f ca="1">IFERROR(__xludf.DUMMYFUNCTION("""COMPUTED_VALUE"""),"Detroit")</f>
        <v>Detroit</v>
      </c>
      <c r="Q2094" s="5" t="str">
        <f ca="1">IFERROR(__xludf.DUMMYFUNCTION("""COMPUTED_VALUE"""),"MI")</f>
        <v>MI</v>
      </c>
      <c r="R2094" s="5" t="str">
        <f ca="1">IFERROR(__xludf.DUMMYFUNCTION("""COMPUTED_VALUE"""),"High")</f>
        <v>High</v>
      </c>
      <c r="S2094" s="5" t="str">
        <f ca="1">IFERROR(__xludf.DUMMYFUNCTION("""COMPUTED_VALUE"""),"Inside School Building")</f>
        <v>Inside School Building</v>
      </c>
      <c r="T2094" s="5" t="str">
        <f ca="1">IFERROR(__xludf.DUMMYFUNCTION("""COMPUTED_VALUE"""),"Inside School Building")</f>
        <v>Inside School Building</v>
      </c>
      <c r="U2094" s="5" t="str">
        <f ca="1">IFERROR(__xludf.DUMMYFUNCTION("""COMPUTED_VALUE"""),"Yes")</f>
        <v>Yes</v>
      </c>
      <c r="V2094" s="5" t="str">
        <f ca="1">IFERROR(__xludf.DUMMYFUNCTION("""COMPUTED_VALUE"""),"Morning Classes")</f>
        <v>Morning Classes</v>
      </c>
      <c r="W2094" s="10">
        <f ca="1">IFERROR(__xludf.DUMMYFUNCTION("""COMPUTED_VALUE"""),0.340277777777777)</f>
        <v>0.34027777777777701</v>
      </c>
      <c r="X2094" s="5">
        <f ca="1">IFERROR(__xludf.DUMMYFUNCTION("""COMPUTED_VALUE"""),1)</f>
        <v>1</v>
      </c>
      <c r="Y2094" s="5" t="str">
        <f ca="1">IFERROR(__xludf.DUMMYFUNCTION("""COMPUTED_VALUE"""),"Shooter showing gun to friends accidentally goes off striking two students")</f>
        <v>Shooter showing gun to friends accidentally goes off striking two students</v>
      </c>
      <c r="Z2094" s="5" t="str">
        <f ca="1">IFERROR(__xludf.DUMMYFUNCTION("""COMPUTED_VALUE"""),"Student showing off .22 pistol to friends - gun accidentally goes off, ricocheted off the wall and struck two students.")</f>
        <v>Student showing off .22 pistol to friends - gun accidentally goes off, ricocheted off the wall and struck two students.</v>
      </c>
      <c r="AA2094" s="5" t="str">
        <f ca="1">IFERROR(__xludf.DUMMYFUNCTION("""COMPUTED_VALUE"""),"Accidental")</f>
        <v>Accidental</v>
      </c>
      <c r="AB2094" s="5" t="str">
        <f ca="1">IFERROR(__xludf.DUMMYFUNCTION("""COMPUTED_VALUE"""),"Random Shooting")</f>
        <v>Random Shooting</v>
      </c>
      <c r="AC2094" s="5"/>
      <c r="AD2094" s="5" t="str">
        <f ca="1">IFERROR(__xludf.DUMMYFUNCTION("""COMPUTED_VALUE"""),"No")</f>
        <v>No</v>
      </c>
      <c r="AE2094" s="5" t="str">
        <f ca="1">IFERROR(__xludf.DUMMYFUNCTION("""COMPUTED_VALUE"""),"No")</f>
        <v>No</v>
      </c>
      <c r="AF2094" s="5" t="str">
        <f ca="1">IFERROR(__xludf.DUMMYFUNCTION("""COMPUTED_VALUE"""),"No")</f>
        <v>No</v>
      </c>
      <c r="AG2094" s="5" t="str">
        <f ca="1">IFERROR(__xludf.DUMMYFUNCTION("""COMPUTED_VALUE"""),"No")</f>
        <v>No</v>
      </c>
      <c r="AH2094" s="5" t="str">
        <f ca="1">IFERROR(__xludf.DUMMYFUNCTION("""COMPUTED_VALUE"""),"No")</f>
        <v>No</v>
      </c>
      <c r="AI2094" s="5" t="str">
        <f ca="1">IFERROR(__xludf.DUMMYFUNCTION("""COMPUTED_VALUE"""),"No")</f>
        <v>No</v>
      </c>
      <c r="AJ2094" s="5"/>
    </row>
    <row r="2095" spans="1:36" ht="13">
      <c r="A2095" s="5" t="str">
        <f ca="1">IFERROR(__xludf.DUMMYFUNCTION("""COMPUTED_VALUE"""),"19821101NYELE")</f>
        <v>19821101NYELE</v>
      </c>
      <c r="B2095" s="5">
        <f ca="1">IFERROR(__xludf.DUMMYFUNCTION("""COMPUTED_VALUE"""),11)</f>
        <v>11</v>
      </c>
      <c r="C2095" s="5">
        <f ca="1">IFERROR(__xludf.DUMMYFUNCTION("""COMPUTED_VALUE"""),1)</f>
        <v>1</v>
      </c>
      <c r="D2095" s="5">
        <f ca="1">IFERROR(__xludf.DUMMYFUNCTION("""COMPUTED_VALUE"""),1982)</f>
        <v>1982</v>
      </c>
      <c r="E2095" s="8">
        <f ca="1">IFERROR(__xludf.DUMMYFUNCTION("""COMPUTED_VALUE"""),30256)</f>
        <v>30256</v>
      </c>
      <c r="F2095" s="5" t="str">
        <f ca="1">IFERROR(__xludf.DUMMYFUNCTION("""COMPUTED_VALUE"""),"Elmont Memorial High School")</f>
        <v>Elmont Memorial High School</v>
      </c>
      <c r="G2095" s="5">
        <f ca="1">IFERROR(__xludf.DUMMYFUNCTION("""COMPUTED_VALUE"""),0)</f>
        <v>0</v>
      </c>
      <c r="H2095" s="5">
        <f ca="1">IFERROR(__xludf.DUMMYFUNCTION("""COMPUTED_VALUE"""),1)</f>
        <v>1</v>
      </c>
      <c r="I2095" s="5">
        <f ca="1">IFERROR(__xludf.DUMMYFUNCTION("""COMPUTED_VALUE"""),1)</f>
        <v>1</v>
      </c>
      <c r="J2095" s="5">
        <f ca="1">IFERROR(__xludf.DUMMYFUNCTION("""COMPUTED_VALUE"""),0)</f>
        <v>0</v>
      </c>
      <c r="K2095" s="9" t="str">
        <f ca="1">IFERROR(__xludf.DUMMYFUNCTION("""COMPUTED_VALUE"""),"https://www.newspapers.com/image/397000389/?terms=student%2Bshot")</f>
        <v>https://www.newspapers.com/image/397000389/?terms=student%2Bshot</v>
      </c>
      <c r="L2095" s="5"/>
      <c r="M2095" s="5"/>
      <c r="N2095" s="5">
        <f ca="1">IFERROR(__xludf.DUMMYFUNCTION("""COMPUTED_VALUE"""),2)</f>
        <v>2</v>
      </c>
      <c r="O2095" s="5" t="str">
        <f ca="1">IFERROR(__xludf.DUMMYFUNCTION("""COMPUTED_VALUE"""),"Fall")</f>
        <v>Fall</v>
      </c>
      <c r="P2095" s="5" t="str">
        <f ca="1">IFERROR(__xludf.DUMMYFUNCTION("""COMPUTED_VALUE"""),"Elmont")</f>
        <v>Elmont</v>
      </c>
      <c r="Q2095" s="5" t="str">
        <f ca="1">IFERROR(__xludf.DUMMYFUNCTION("""COMPUTED_VALUE"""),"NY")</f>
        <v>NY</v>
      </c>
      <c r="R2095" s="5" t="str">
        <f ca="1">IFERROR(__xludf.DUMMYFUNCTION("""COMPUTED_VALUE"""),"High")</f>
        <v>High</v>
      </c>
      <c r="S2095" s="5" t="str">
        <f ca="1">IFERROR(__xludf.DUMMYFUNCTION("""COMPUTED_VALUE"""),"Inside School Building")</f>
        <v>Inside School Building</v>
      </c>
      <c r="T2095" s="5" t="str">
        <f ca="1">IFERROR(__xludf.DUMMYFUNCTION("""COMPUTED_VALUE"""),"Inside School Building")</f>
        <v>Inside School Building</v>
      </c>
      <c r="U2095" s="5" t="str">
        <f ca="1">IFERROR(__xludf.DUMMYFUNCTION("""COMPUTED_VALUE"""),"Yes")</f>
        <v>Yes</v>
      </c>
      <c r="V2095" s="5" t="str">
        <f ca="1">IFERROR(__xludf.DUMMYFUNCTION("""COMPUTED_VALUE"""),"Afternoon Classes")</f>
        <v>Afternoon Classes</v>
      </c>
      <c r="W2095" s="10">
        <f ca="1">IFERROR(__xludf.DUMMYFUNCTION("""COMPUTED_VALUE"""),0.548611111111111)</f>
        <v>0.54861111111111105</v>
      </c>
      <c r="X2095" s="5">
        <f ca="1">IFERROR(__xludf.DUMMYFUNCTION("""COMPUTED_VALUE"""),1)</f>
        <v>1</v>
      </c>
      <c r="Y2095" s="5" t="str">
        <f ca="1">IFERROR(__xludf.DUMMYFUNCTION("""COMPUTED_VALUE"""),"Ongoing conflicts with fellow students")</f>
        <v>Ongoing conflicts with fellow students</v>
      </c>
      <c r="Z2095" s="5" t="str">
        <f ca="1">IFERROR(__xludf.DUMMYFUNCTION("""COMPUTED_VALUE"""),"Ongoing fight led to shooting")</f>
        <v>Ongoing fight led to shooting</v>
      </c>
      <c r="AA2095" s="5" t="str">
        <f ca="1">IFERROR(__xludf.DUMMYFUNCTION("""COMPUTED_VALUE"""),"Escalation of Dispute")</f>
        <v>Escalation of Dispute</v>
      </c>
      <c r="AB2095" s="5" t="str">
        <f ca="1">IFERROR(__xludf.DUMMYFUNCTION("""COMPUTED_VALUE"""),"Victims Targeted")</f>
        <v>Victims Targeted</v>
      </c>
      <c r="AC2095" s="5" t="str">
        <f ca="1">IFERROR(__xludf.DUMMYFUNCTION("""COMPUTED_VALUE"""),"No")</f>
        <v>No</v>
      </c>
      <c r="AD2095" s="5" t="str">
        <f ca="1">IFERROR(__xludf.DUMMYFUNCTION("""COMPUTED_VALUE"""),"No")</f>
        <v>No</v>
      </c>
      <c r="AE2095" s="5" t="str">
        <f ca="1">IFERROR(__xludf.DUMMYFUNCTION("""COMPUTED_VALUE"""),"No")</f>
        <v>No</v>
      </c>
      <c r="AF2095" s="5" t="str">
        <f ca="1">IFERROR(__xludf.DUMMYFUNCTION("""COMPUTED_VALUE"""),"No")</f>
        <v>No</v>
      </c>
      <c r="AG2095" s="5" t="str">
        <f ca="1">IFERROR(__xludf.DUMMYFUNCTION("""COMPUTED_VALUE"""),"No")</f>
        <v>No</v>
      </c>
      <c r="AH2095" s="5" t="str">
        <f ca="1">IFERROR(__xludf.DUMMYFUNCTION("""COMPUTED_VALUE"""),"No")</f>
        <v>No</v>
      </c>
      <c r="AI2095" s="5" t="str">
        <f ca="1">IFERROR(__xludf.DUMMYFUNCTION("""COMPUTED_VALUE"""),"No")</f>
        <v>No</v>
      </c>
      <c r="AJ2095" s="5"/>
    </row>
    <row r="2096" spans="1:36" ht="13">
      <c r="A2096" s="5" t="str">
        <f ca="1">IFERROR(__xludf.DUMMYFUNCTION("""COMPUTED_VALUE"""),"19820915ARSOP")</f>
        <v>19820915ARSOP</v>
      </c>
      <c r="B2096" s="5">
        <f ca="1">IFERROR(__xludf.DUMMYFUNCTION("""COMPUTED_VALUE"""),9)</f>
        <v>9</v>
      </c>
      <c r="C2096" s="5">
        <f ca="1">IFERROR(__xludf.DUMMYFUNCTION("""COMPUTED_VALUE"""),15)</f>
        <v>15</v>
      </c>
      <c r="D2096" s="5">
        <f ca="1">IFERROR(__xludf.DUMMYFUNCTION("""COMPUTED_VALUE"""),1982)</f>
        <v>1982</v>
      </c>
      <c r="E2096" s="8">
        <f ca="1">IFERROR(__xludf.DUMMYFUNCTION("""COMPUTED_VALUE"""),30209)</f>
        <v>30209</v>
      </c>
      <c r="F2096" s="5" t="str">
        <f ca="1">IFERROR(__xludf.DUMMYFUNCTION("""COMPUTED_VALUE"""),"South West Middle School")</f>
        <v>South West Middle School</v>
      </c>
      <c r="G2096" s="5">
        <f ca="1">IFERROR(__xludf.DUMMYFUNCTION("""COMPUTED_VALUE"""),0)</f>
        <v>0</v>
      </c>
      <c r="H2096" s="5">
        <f ca="1">IFERROR(__xludf.DUMMYFUNCTION("""COMPUTED_VALUE"""),0)</f>
        <v>0</v>
      </c>
      <c r="I2096" s="5">
        <f ca="1">IFERROR(__xludf.DUMMYFUNCTION("""COMPUTED_VALUE"""),0)</f>
        <v>0</v>
      </c>
      <c r="J2096" s="5">
        <f ca="1">IFERROR(__xludf.DUMMYFUNCTION("""COMPUTED_VALUE"""),0)</f>
        <v>0</v>
      </c>
      <c r="K2096" s="9" t="str">
        <f ca="1">IFERROR(__xludf.DUMMYFUNCTION("""COMPUTED_VALUE"""),"https://www.newspapers.com/image/356116122/?terms=STUDENT%2BSHOOTS")</f>
        <v>https://www.newspapers.com/image/356116122/?terms=STUDENT%2BSHOOTS</v>
      </c>
      <c r="L2096" s="5"/>
      <c r="M2096" s="5"/>
      <c r="N2096" s="5">
        <f ca="1">IFERROR(__xludf.DUMMYFUNCTION("""COMPUTED_VALUE"""),2)</f>
        <v>2</v>
      </c>
      <c r="O2096" s="5" t="str">
        <f ca="1">IFERROR(__xludf.DUMMYFUNCTION("""COMPUTED_VALUE"""),"Fall")</f>
        <v>Fall</v>
      </c>
      <c r="P2096" s="5" t="str">
        <f ca="1">IFERROR(__xludf.DUMMYFUNCTION("""COMPUTED_VALUE"""),"Pine Bluff")</f>
        <v>Pine Bluff</v>
      </c>
      <c r="Q2096" s="5" t="str">
        <f ca="1">IFERROR(__xludf.DUMMYFUNCTION("""COMPUTED_VALUE"""),"AR")</f>
        <v>AR</v>
      </c>
      <c r="R2096" s="5" t="str">
        <f ca="1">IFERROR(__xludf.DUMMYFUNCTION("""COMPUTED_VALUE"""),"Middle")</f>
        <v>Middle</v>
      </c>
      <c r="S2096" s="5" t="str">
        <f ca="1">IFERROR(__xludf.DUMMYFUNCTION("""COMPUTED_VALUE"""),"Cafeteria")</f>
        <v>Cafeteria</v>
      </c>
      <c r="T2096" s="5" t="str">
        <f ca="1">IFERROR(__xludf.DUMMYFUNCTION("""COMPUTED_VALUE"""),"Inside School Building")</f>
        <v>Inside School Building</v>
      </c>
      <c r="U2096" s="5" t="str">
        <f ca="1">IFERROR(__xludf.DUMMYFUNCTION("""COMPUTED_VALUE"""),"Yes")</f>
        <v>Yes</v>
      </c>
      <c r="V2096" s="5" t="str">
        <f ca="1">IFERROR(__xludf.DUMMYFUNCTION("""COMPUTED_VALUE"""),"Lunch")</f>
        <v>Lunch</v>
      </c>
      <c r="W2096" s="5"/>
      <c r="X2096" s="5">
        <f ca="1">IFERROR(__xludf.DUMMYFUNCTION("""COMPUTED_VALUE"""),1)</f>
        <v>1</v>
      </c>
      <c r="Y2096" s="5" t="str">
        <f ca="1">IFERROR(__xludf.DUMMYFUNCTION("""COMPUTED_VALUE"""),"Student intentionally shot self in head during lunch")</f>
        <v>Student intentionally shot self in head during lunch</v>
      </c>
      <c r="Z2096" s="5" t="str">
        <f ca="1">IFERROR(__xludf.DUMMYFUNCTION("""COMPUTED_VALUE"""),"12 year old student shot self in head during lunch with .22 pistol while classmates watched")</f>
        <v>12 year old student shot self in head during lunch with .22 pistol while classmates watched</v>
      </c>
      <c r="AA2096" s="5" t="str">
        <f ca="1">IFERROR(__xludf.DUMMYFUNCTION("""COMPUTED_VALUE"""),"Suicide/Attempted")</f>
        <v>Suicide/Attempted</v>
      </c>
      <c r="AB2096" s="5" t="str">
        <f ca="1">IFERROR(__xludf.DUMMYFUNCTION("""COMPUTED_VALUE"""),"Victims Targeted")</f>
        <v>Victims Targeted</v>
      </c>
      <c r="AC2096" s="5" t="str">
        <f ca="1">IFERROR(__xludf.DUMMYFUNCTION("""COMPUTED_VALUE"""),"No")</f>
        <v>No</v>
      </c>
      <c r="AD2096" s="5" t="str">
        <f ca="1">IFERROR(__xludf.DUMMYFUNCTION("""COMPUTED_VALUE"""),"No")</f>
        <v>No</v>
      </c>
      <c r="AE2096" s="5" t="str">
        <f ca="1">IFERROR(__xludf.DUMMYFUNCTION("""COMPUTED_VALUE"""),"No")</f>
        <v>No</v>
      </c>
      <c r="AF2096" s="5" t="str">
        <f ca="1">IFERROR(__xludf.DUMMYFUNCTION("""COMPUTED_VALUE"""),"No")</f>
        <v>No</v>
      </c>
      <c r="AG2096" s="5"/>
      <c r="AH2096" s="5"/>
      <c r="AI2096" s="5" t="str">
        <f ca="1">IFERROR(__xludf.DUMMYFUNCTION("""COMPUTED_VALUE"""),"No")</f>
        <v>No</v>
      </c>
      <c r="AJ2096" s="5"/>
    </row>
    <row r="2097" spans="1:36" ht="13">
      <c r="A2097" s="5" t="str">
        <f ca="1">IFERROR(__xludf.DUMMYFUNCTION("""COMPUTED_VALUE"""),"19820910VALAB")</f>
        <v>19820910VALAB</v>
      </c>
      <c r="B2097" s="5">
        <f ca="1">IFERROR(__xludf.DUMMYFUNCTION("""COMPUTED_VALUE"""),9)</f>
        <v>9</v>
      </c>
      <c r="C2097" s="5">
        <f ca="1">IFERROR(__xludf.DUMMYFUNCTION("""COMPUTED_VALUE"""),10)</f>
        <v>10</v>
      </c>
      <c r="D2097" s="5">
        <f ca="1">IFERROR(__xludf.DUMMYFUNCTION("""COMPUTED_VALUE"""),1982)</f>
        <v>1982</v>
      </c>
      <c r="E2097" s="8">
        <f ca="1">IFERROR(__xludf.DUMMYFUNCTION("""COMPUTED_VALUE"""),30204)</f>
        <v>30204</v>
      </c>
      <c r="F2097" s="5" t="str">
        <f ca="1">IFERROR(__xludf.DUMMYFUNCTION("""COMPUTED_VALUE"""),"Lake Braddock Secondary School")</f>
        <v>Lake Braddock Secondary School</v>
      </c>
      <c r="G2097" s="5">
        <f ca="1">IFERROR(__xludf.DUMMYFUNCTION("""COMPUTED_VALUE"""),0)</f>
        <v>0</v>
      </c>
      <c r="H2097" s="5">
        <f ca="1">IFERROR(__xludf.DUMMYFUNCTION("""COMPUTED_VALUE"""),0)</f>
        <v>0</v>
      </c>
      <c r="I2097" s="5">
        <f ca="1">IFERROR(__xludf.DUMMYFUNCTION("""COMPUTED_VALUE"""),0)</f>
        <v>0</v>
      </c>
      <c r="J2097" s="5">
        <f ca="1">IFERROR(__xludf.DUMMYFUNCTION("""COMPUTED_VALUE"""),0)</f>
        <v>0</v>
      </c>
      <c r="K2097" s="9" t="str">
        <f ca="1">IFERROR(__xludf.DUMMYFUNCTION("""COMPUTED_VALUE"""),"https://www.newspapers.com/image/365939621/?terms=Lake%2BBraddock%2BSecondary%2BSchool%2Bshooting")</f>
        <v>https://www.newspapers.com/image/365939621/?terms=Lake%2BBraddock%2BSecondary%2BSchool%2Bshooting</v>
      </c>
      <c r="L2097" s="5"/>
      <c r="M2097" s="5"/>
      <c r="N2097" s="5">
        <f ca="1">IFERROR(__xludf.DUMMYFUNCTION("""COMPUTED_VALUE"""),2)</f>
        <v>2</v>
      </c>
      <c r="O2097" s="5" t="str">
        <f ca="1">IFERROR(__xludf.DUMMYFUNCTION("""COMPUTED_VALUE"""),"Fall")</f>
        <v>Fall</v>
      </c>
      <c r="P2097" s="5" t="str">
        <f ca="1">IFERROR(__xludf.DUMMYFUNCTION("""COMPUTED_VALUE"""),"Burke")</f>
        <v>Burke</v>
      </c>
      <c r="Q2097" s="5" t="str">
        <f ca="1">IFERROR(__xludf.DUMMYFUNCTION("""COMPUTED_VALUE"""),"VA")</f>
        <v>VA</v>
      </c>
      <c r="R2097" s="5" t="str">
        <f ca="1">IFERROR(__xludf.DUMMYFUNCTION("""COMPUTED_VALUE"""),"Other")</f>
        <v>Other</v>
      </c>
      <c r="S2097" s="5" t="str">
        <f ca="1">IFERROR(__xludf.DUMMYFUNCTION("""COMPUTED_VALUE"""),"Inside School Building")</f>
        <v>Inside School Building</v>
      </c>
      <c r="T2097" s="5" t="str">
        <f ca="1">IFERROR(__xludf.DUMMYFUNCTION("""COMPUTED_VALUE"""),"Inside School Building")</f>
        <v>Inside School Building</v>
      </c>
      <c r="U2097" s="5" t="str">
        <f ca="1">IFERROR(__xludf.DUMMYFUNCTION("""COMPUTED_VALUE"""),"Yes")</f>
        <v>Yes</v>
      </c>
      <c r="V2097" s="5" t="str">
        <f ca="1">IFERROR(__xludf.DUMMYFUNCTION("""COMPUTED_VALUE"""),"Afternoon Classes")</f>
        <v>Afternoon Classes</v>
      </c>
      <c r="W2097" s="10">
        <f ca="1">IFERROR(__xludf.DUMMYFUNCTION("""COMPUTED_VALUE"""),0.572916666666666)</f>
        <v>0.57291666666666596</v>
      </c>
      <c r="X2097" s="5">
        <f ca="1">IFERROR(__xludf.DUMMYFUNCTION("""COMPUTED_VALUE"""),1.26)</f>
        <v>1.26</v>
      </c>
      <c r="Y2097" s="5" t="str">
        <f ca="1">IFERROR(__xludf.DUMMYFUNCTION("""COMPUTED_VALUE"""),"Held 9 students hostage for 21 hours")</f>
        <v>Held 9 students hostage for 21 hours</v>
      </c>
      <c r="Z2097" s="5" t="str">
        <f ca="1">IFERROR(__xludf.DUMMYFUNCTION("""COMPUTED_VALUE"""),"Distraught dropout held 9 hostages for 21 hours while looking for ex-girlfriend. Fired while entering school and fired at police during standoff but there were no injuries. Fired shots at ex-girlfriend when she was brought by police to talk with shooter. "&amp;"Eventually surrendered peacefully.")</f>
        <v>Distraught dropout held 9 hostages for 21 hours while looking for ex-girlfriend. Fired while entering school and fired at police during standoff but there were no injuries. Fired shots at ex-girlfriend when she was brought by police to talk with shooter. Eventually surrendered peacefully.</v>
      </c>
      <c r="AA2097" s="5" t="str">
        <f ca="1">IFERROR(__xludf.DUMMYFUNCTION("""COMPUTED_VALUE"""),"Domestic w/ Targeted Victim")</f>
        <v>Domestic w/ Targeted Victim</v>
      </c>
      <c r="AB2097" s="5" t="str">
        <f ca="1">IFERROR(__xludf.DUMMYFUNCTION("""COMPUTED_VALUE"""),"Random Shooting")</f>
        <v>Random Shooting</v>
      </c>
      <c r="AC2097" s="5" t="str">
        <f ca="1">IFERROR(__xludf.DUMMYFUNCTION("""COMPUTED_VALUE"""),"No")</f>
        <v>No</v>
      </c>
      <c r="AD2097" s="5" t="str">
        <f ca="1">IFERROR(__xludf.DUMMYFUNCTION("""COMPUTED_VALUE"""),"Yes")</f>
        <v>Yes</v>
      </c>
      <c r="AE2097" s="5" t="str">
        <f ca="1">IFERROR(__xludf.DUMMYFUNCTION("""COMPUTED_VALUE"""),"Yes")</f>
        <v>Yes</v>
      </c>
      <c r="AF2097" s="5" t="str">
        <f ca="1">IFERROR(__xludf.DUMMYFUNCTION("""COMPUTED_VALUE"""),"No")</f>
        <v>No</v>
      </c>
      <c r="AG2097" s="5" t="str">
        <f ca="1">IFERROR(__xludf.DUMMYFUNCTION("""COMPUTED_VALUE"""),"No")</f>
        <v>No</v>
      </c>
      <c r="AH2097" s="5" t="str">
        <f ca="1">IFERROR(__xludf.DUMMYFUNCTION("""COMPUTED_VALUE"""),"No")</f>
        <v>No</v>
      </c>
      <c r="AI2097" s="5" t="str">
        <f ca="1">IFERROR(__xludf.DUMMYFUNCTION("""COMPUTED_VALUE"""),"No")</f>
        <v>No</v>
      </c>
      <c r="AJ2097" s="5" t="str">
        <f ca="1">IFERROR(__xludf.DUMMYFUNCTION("""COMPUTED_VALUE"""),"Yes")</f>
        <v>Yes</v>
      </c>
    </row>
    <row r="2098" spans="1:36" ht="13">
      <c r="A2098" s="5" t="str">
        <f ca="1">IFERROR(__xludf.DUMMYFUNCTION("""COMPUTED_VALUE"""),"19820527NVGAL")</f>
        <v>19820527NVGAL</v>
      </c>
      <c r="B2098" s="5">
        <f ca="1">IFERROR(__xludf.DUMMYFUNCTION("""COMPUTED_VALUE"""),5)</f>
        <v>5</v>
      </c>
      <c r="C2098" s="5">
        <f ca="1">IFERROR(__xludf.DUMMYFUNCTION("""COMPUTED_VALUE"""),27)</f>
        <v>27</v>
      </c>
      <c r="D2098" s="5">
        <f ca="1">IFERROR(__xludf.DUMMYFUNCTION("""COMPUTED_VALUE"""),1982)</f>
        <v>1982</v>
      </c>
      <c r="E2098" s="8">
        <f ca="1">IFERROR(__xludf.DUMMYFUNCTION("""COMPUTED_VALUE"""),30098)</f>
        <v>30098</v>
      </c>
      <c r="F2098" s="5" t="str">
        <f ca="1">IFERROR(__xludf.DUMMYFUNCTION("""COMPUTED_VALUE"""),"Garside Junior High School")</f>
        <v>Garside Junior High School</v>
      </c>
      <c r="G2098" s="5">
        <f ca="1">IFERROR(__xludf.DUMMYFUNCTION("""COMPUTED_VALUE"""),0)</f>
        <v>0</v>
      </c>
      <c r="H2098" s="5">
        <f ca="1">IFERROR(__xludf.DUMMYFUNCTION("""COMPUTED_VALUE"""),2)</f>
        <v>2</v>
      </c>
      <c r="I2098" s="5">
        <f ca="1">IFERROR(__xludf.DUMMYFUNCTION("""COMPUTED_VALUE"""),2)</f>
        <v>2</v>
      </c>
      <c r="J2098" s="5">
        <f ca="1">IFERROR(__xludf.DUMMYFUNCTION("""COMPUTED_VALUE"""),0)</f>
        <v>0</v>
      </c>
      <c r="K2098" s="9" t="str">
        <f ca="1">IFERROR(__xludf.DUMMYFUNCTION("""COMPUTED_VALUE"""),"https://www.newspapers.com/image/283184637/?terms=student%2Bshot")</f>
        <v>https://www.newspapers.com/image/283184637/?terms=student%2Bshot</v>
      </c>
      <c r="L2098" s="5"/>
      <c r="M2098" s="5"/>
      <c r="N2098" s="5">
        <f ca="1">IFERROR(__xludf.DUMMYFUNCTION("""COMPUTED_VALUE"""),2)</f>
        <v>2</v>
      </c>
      <c r="O2098" s="5" t="str">
        <f ca="1">IFERROR(__xludf.DUMMYFUNCTION("""COMPUTED_VALUE"""),"Spring")</f>
        <v>Spring</v>
      </c>
      <c r="P2098" s="5" t="str">
        <f ca="1">IFERROR(__xludf.DUMMYFUNCTION("""COMPUTED_VALUE"""),"Las Vegas")</f>
        <v>Las Vegas</v>
      </c>
      <c r="Q2098" s="5" t="str">
        <f ca="1">IFERROR(__xludf.DUMMYFUNCTION("""COMPUTED_VALUE"""),"NV")</f>
        <v>NV</v>
      </c>
      <c r="R2098" s="5" t="str">
        <f ca="1">IFERROR(__xludf.DUMMYFUNCTION("""COMPUTED_VALUE"""),"Junior High")</f>
        <v>Junior High</v>
      </c>
      <c r="S2098" s="5" t="str">
        <f ca="1">IFERROR(__xludf.DUMMYFUNCTION("""COMPUTED_VALUE"""),"Beside Building")</f>
        <v>Beside Building</v>
      </c>
      <c r="T2098" s="5" t="str">
        <f ca="1">IFERROR(__xludf.DUMMYFUNCTION("""COMPUTED_VALUE"""),"Outside on School Property")</f>
        <v>Outside on School Property</v>
      </c>
      <c r="U2098" s="5" t="str">
        <f ca="1">IFERROR(__xludf.DUMMYFUNCTION("""COMPUTED_VALUE"""),"Yes")</f>
        <v>Yes</v>
      </c>
      <c r="V2098" s="5" t="str">
        <f ca="1">IFERROR(__xludf.DUMMYFUNCTION("""COMPUTED_VALUE"""),"Dismissal")</f>
        <v>Dismissal</v>
      </c>
      <c r="W2098" s="5"/>
      <c r="X2098" s="5">
        <f ca="1">IFERROR(__xludf.DUMMYFUNCTION("""COMPUTED_VALUE"""),1)</f>
        <v>1</v>
      </c>
      <c r="Y2098" s="5" t="str">
        <f ca="1">IFERROR(__xludf.DUMMYFUNCTION("""COMPUTED_VALUE"""),"Two students shot by three males with high powered bb or pellet guns")</f>
        <v>Two students shot by three males with high powered bb or pellet guns</v>
      </c>
      <c r="Z2098" s="5" t="str">
        <f ca="1">IFERROR(__xludf.DUMMYFUNCTION("""COMPUTED_VALUE"""),"Two female students were standing outside school building when three males pulled up in a yellow truck and shot them using high powered Bb or pellet guns. Both girls were struck in the legs - treated at hospital and released. Suspects fled the scene - not"&amp;"hing further")</f>
        <v>Two female students were standing outside school building when three males pulled up in a yellow truck and shot them using high powered Bb or pellet guns. Both girls were struck in the legs - treated at hospital and released. Suspects fled the scene - nothing further</v>
      </c>
      <c r="AA2098" s="5" t="str">
        <f ca="1">IFERROR(__xludf.DUMMYFUNCTION("""COMPUTED_VALUE"""),"Drive-by Shooting")</f>
        <v>Drive-by Shooting</v>
      </c>
      <c r="AB2098" s="5"/>
      <c r="AC2098" s="5" t="str">
        <f ca="1">IFERROR(__xludf.DUMMYFUNCTION("""COMPUTED_VALUE"""),"Yes")</f>
        <v>Yes</v>
      </c>
      <c r="AD2098" s="5" t="str">
        <f ca="1">IFERROR(__xludf.DUMMYFUNCTION("""COMPUTED_VALUE"""),"No")</f>
        <v>No</v>
      </c>
      <c r="AE2098" s="5" t="str">
        <f ca="1">IFERROR(__xludf.DUMMYFUNCTION("""COMPUTED_VALUE"""),"No")</f>
        <v>No</v>
      </c>
      <c r="AF2098" s="5" t="str">
        <f ca="1">IFERROR(__xludf.DUMMYFUNCTION("""COMPUTED_VALUE"""),"No")</f>
        <v>No</v>
      </c>
      <c r="AG2098" s="5"/>
      <c r="AH2098" s="5"/>
      <c r="AI2098" s="5" t="str">
        <f ca="1">IFERROR(__xludf.DUMMYFUNCTION("""COMPUTED_VALUE"""),"No")</f>
        <v>No</v>
      </c>
      <c r="AJ2098" s="5"/>
    </row>
    <row r="2099" spans="1:36" ht="13">
      <c r="A2099" s="5" t="str">
        <f ca="1">IFERROR(__xludf.DUMMYFUNCTION("""COMPUTED_VALUE"""),"19820430FLANA")</f>
        <v>19820430FLANA</v>
      </c>
      <c r="B2099" s="5">
        <f ca="1">IFERROR(__xludf.DUMMYFUNCTION("""COMPUTED_VALUE"""),4)</f>
        <v>4</v>
      </c>
      <c r="C2099" s="5">
        <f ca="1">IFERROR(__xludf.DUMMYFUNCTION("""COMPUTED_VALUE"""),30)</f>
        <v>30</v>
      </c>
      <c r="D2099" s="5">
        <f ca="1">IFERROR(__xludf.DUMMYFUNCTION("""COMPUTED_VALUE"""),1982)</f>
        <v>1982</v>
      </c>
      <c r="E2099" s="8">
        <f ca="1">IFERROR(__xludf.DUMMYFUNCTION("""COMPUTED_VALUE"""),30071)</f>
        <v>30071</v>
      </c>
      <c r="F2099" s="5" t="str">
        <f ca="1">IFERROR(__xludf.DUMMYFUNCTION("""COMPUTED_VALUE"""),"Anniston High School")</f>
        <v>Anniston High School</v>
      </c>
      <c r="G2099" s="5">
        <f ca="1">IFERROR(__xludf.DUMMYFUNCTION("""COMPUTED_VALUE"""),0)</f>
        <v>0</v>
      </c>
      <c r="H2099" s="5">
        <f ca="1">IFERROR(__xludf.DUMMYFUNCTION("""COMPUTED_VALUE"""),1)</f>
        <v>1</v>
      </c>
      <c r="I2099" s="5">
        <f ca="1">IFERROR(__xludf.DUMMYFUNCTION("""COMPUTED_VALUE"""),1)</f>
        <v>1</v>
      </c>
      <c r="J2099" s="5">
        <f ca="1">IFERROR(__xludf.DUMMYFUNCTION("""COMPUTED_VALUE"""),0)</f>
        <v>0</v>
      </c>
      <c r="K2099" s="5" t="str">
        <f ca="1">IFERROR(__xludf.DUMMYFUNCTION("""COMPUTED_VALUE"""),"https://www.newspapers.com/image/266105025/?terms=student%2Bshot; https://www.newspapers.com/image/106680805/?terms=student%2Bshot")</f>
        <v>https://www.newspapers.com/image/266105025/?terms=student%2Bshot; https://www.newspapers.com/image/106680805/?terms=student%2Bshot</v>
      </c>
      <c r="L2099" s="5"/>
      <c r="M2099" s="5"/>
      <c r="N2099" s="5">
        <f ca="1">IFERROR(__xludf.DUMMYFUNCTION("""COMPUTED_VALUE"""),2)</f>
        <v>2</v>
      </c>
      <c r="O2099" s="5" t="str">
        <f ca="1">IFERROR(__xludf.DUMMYFUNCTION("""COMPUTED_VALUE"""),"Spring")</f>
        <v>Spring</v>
      </c>
      <c r="P2099" s="5" t="str">
        <f ca="1">IFERROR(__xludf.DUMMYFUNCTION("""COMPUTED_VALUE"""),"Anniston")</f>
        <v>Anniston</v>
      </c>
      <c r="Q2099" s="5" t="str">
        <f ca="1">IFERROR(__xludf.DUMMYFUNCTION("""COMPUTED_VALUE"""),"FL")</f>
        <v>FL</v>
      </c>
      <c r="R2099" s="5" t="str">
        <f ca="1">IFERROR(__xludf.DUMMYFUNCTION("""COMPUTED_VALUE"""),"High")</f>
        <v>High</v>
      </c>
      <c r="S2099" s="5" t="str">
        <f ca="1">IFERROR(__xludf.DUMMYFUNCTION("""COMPUTED_VALUE"""),"Parking Lot")</f>
        <v>Parking Lot</v>
      </c>
      <c r="T2099" s="5" t="str">
        <f ca="1">IFERROR(__xludf.DUMMYFUNCTION("""COMPUTED_VALUE"""),"Outside on School Property")</f>
        <v>Outside on School Property</v>
      </c>
      <c r="U2099" s="5" t="str">
        <f ca="1">IFERROR(__xludf.DUMMYFUNCTION("""COMPUTED_VALUE"""),"Yes")</f>
        <v>Yes</v>
      </c>
      <c r="V2099" s="5" t="str">
        <f ca="1">IFERROR(__xludf.DUMMYFUNCTION("""COMPUTED_VALUE"""),"Before School")</f>
        <v>Before School</v>
      </c>
      <c r="W2099" s="10">
        <f ca="1">IFERROR(__xludf.DUMMYFUNCTION("""COMPUTED_VALUE"""),0.309027777777777)</f>
        <v>0.30902777777777701</v>
      </c>
      <c r="X2099" s="5">
        <f ca="1">IFERROR(__xludf.DUMMYFUNCTION("""COMPUTED_VALUE"""),1)</f>
        <v>1</v>
      </c>
      <c r="Y2099" s="5" t="str">
        <f ca="1">IFERROR(__xludf.DUMMYFUNCTION("""COMPUTED_VALUE"""),"Shooting resulted from escalation of ongoing conflict in school parking lot")</f>
        <v>Shooting resulted from escalation of ongoing conflict in school parking lot</v>
      </c>
      <c r="Z2099" s="5" t="str">
        <f ca="1">IFERROR(__xludf.DUMMYFUNCTION("""COMPUTED_VALUE"""),"Escalation of ongoing conflict - occurred in parking lot of school")</f>
        <v>Escalation of ongoing conflict - occurred in parking lot of school</v>
      </c>
      <c r="AA2099" s="5" t="str">
        <f ca="1">IFERROR(__xludf.DUMMYFUNCTION("""COMPUTED_VALUE"""),"Escalation of Dispute")</f>
        <v>Escalation of Dispute</v>
      </c>
      <c r="AB2099" s="5" t="str">
        <f ca="1">IFERROR(__xludf.DUMMYFUNCTION("""COMPUTED_VALUE"""),"Victims Targeted")</f>
        <v>Victims Targeted</v>
      </c>
      <c r="AC2099" s="5" t="str">
        <f ca="1">IFERROR(__xludf.DUMMYFUNCTION("""COMPUTED_VALUE"""),"No")</f>
        <v>No</v>
      </c>
      <c r="AD2099" s="5" t="str">
        <f ca="1">IFERROR(__xludf.DUMMYFUNCTION("""COMPUTED_VALUE"""),"No")</f>
        <v>No</v>
      </c>
      <c r="AE2099" s="5" t="str">
        <f ca="1">IFERROR(__xludf.DUMMYFUNCTION("""COMPUTED_VALUE"""),"No")</f>
        <v>No</v>
      </c>
      <c r="AF2099" s="5" t="str">
        <f ca="1">IFERROR(__xludf.DUMMYFUNCTION("""COMPUTED_VALUE"""),"No")</f>
        <v>No</v>
      </c>
      <c r="AG2099" s="5" t="str">
        <f ca="1">IFERROR(__xludf.DUMMYFUNCTION("""COMPUTED_VALUE"""),"No")</f>
        <v>No</v>
      </c>
      <c r="AH2099" s="5" t="str">
        <f ca="1">IFERROR(__xludf.DUMMYFUNCTION("""COMPUTED_VALUE"""),"No")</f>
        <v>No</v>
      </c>
      <c r="AI2099" s="5" t="str">
        <f ca="1">IFERROR(__xludf.DUMMYFUNCTION("""COMPUTED_VALUE"""),"No")</f>
        <v>No</v>
      </c>
      <c r="AJ2099" s="5"/>
    </row>
    <row r="2100" spans="1:36" ht="13">
      <c r="A2100" s="5" t="str">
        <f ca="1">IFERROR(__xludf.DUMMYFUNCTION("""COMPUTED_VALUE"""),"19820429GARUE")</f>
        <v>19820429GARUE</v>
      </c>
      <c r="B2100" s="5">
        <f ca="1">IFERROR(__xludf.DUMMYFUNCTION("""COMPUTED_VALUE"""),4)</f>
        <v>4</v>
      </c>
      <c r="C2100" s="5">
        <f ca="1">IFERROR(__xludf.DUMMYFUNCTION("""COMPUTED_VALUE"""),29)</f>
        <v>29</v>
      </c>
      <c r="D2100" s="5">
        <f ca="1">IFERROR(__xludf.DUMMYFUNCTION("""COMPUTED_VALUE"""),1982)</f>
        <v>1982</v>
      </c>
      <c r="E2100" s="8">
        <f ca="1">IFERROR(__xludf.DUMMYFUNCTION("""COMPUTED_VALUE"""),30070)</f>
        <v>30070</v>
      </c>
      <c r="F2100" s="5" t="str">
        <f ca="1">IFERROR(__xludf.DUMMYFUNCTION("""COMPUTED_VALUE"""),"Russell High School")</f>
        <v>Russell High School</v>
      </c>
      <c r="G2100" s="5">
        <f ca="1">IFERROR(__xludf.DUMMYFUNCTION("""COMPUTED_VALUE"""),0)</f>
        <v>0</v>
      </c>
      <c r="H2100" s="5">
        <f ca="1">IFERROR(__xludf.DUMMYFUNCTION("""COMPUTED_VALUE"""),0)</f>
        <v>0</v>
      </c>
      <c r="I2100" s="5">
        <f ca="1">IFERROR(__xludf.DUMMYFUNCTION("""COMPUTED_VALUE"""),0)</f>
        <v>0</v>
      </c>
      <c r="J2100" s="5">
        <f ca="1">IFERROR(__xludf.DUMMYFUNCTION("""COMPUTED_VALUE"""),0)</f>
        <v>0</v>
      </c>
      <c r="K2100" s="9" t="str">
        <f ca="1">IFERROR(__xludf.DUMMYFUNCTION("""COMPUTED_VALUE"""),"https://www.newspapers.com/image/399546733/?terms=student%2Bshot&amp;match=3")</f>
        <v>https://www.newspapers.com/image/399546733/?terms=student%2Bshot&amp;match=3</v>
      </c>
      <c r="L2100" s="5"/>
      <c r="M2100" s="5"/>
      <c r="N2100" s="5">
        <f ca="1">IFERROR(__xludf.DUMMYFUNCTION("""COMPUTED_VALUE"""),2)</f>
        <v>2</v>
      </c>
      <c r="O2100" s="5" t="str">
        <f ca="1">IFERROR(__xludf.DUMMYFUNCTION("""COMPUTED_VALUE"""),"Spring")</f>
        <v>Spring</v>
      </c>
      <c r="P2100" s="5" t="str">
        <f ca="1">IFERROR(__xludf.DUMMYFUNCTION("""COMPUTED_VALUE"""),"East Point")</f>
        <v>East Point</v>
      </c>
      <c r="Q2100" s="5" t="str">
        <f ca="1">IFERROR(__xludf.DUMMYFUNCTION("""COMPUTED_VALUE"""),"GA")</f>
        <v>GA</v>
      </c>
      <c r="R2100" s="5" t="str">
        <f ca="1">IFERROR(__xludf.DUMMYFUNCTION("""COMPUTED_VALUE"""),"High")</f>
        <v>High</v>
      </c>
      <c r="S2100" s="5" t="str">
        <f ca="1">IFERROR(__xludf.DUMMYFUNCTION("""COMPUTED_VALUE"""),"Inside School Building")</f>
        <v>Inside School Building</v>
      </c>
      <c r="T2100" s="5" t="str">
        <f ca="1">IFERROR(__xludf.DUMMYFUNCTION("""COMPUTED_VALUE"""),"Inside School Building")</f>
        <v>Inside School Building</v>
      </c>
      <c r="U2100" s="5" t="str">
        <f ca="1">IFERROR(__xludf.DUMMYFUNCTION("""COMPUTED_VALUE"""),"Yes")</f>
        <v>Yes</v>
      </c>
      <c r="V2100" s="5" t="str">
        <f ca="1">IFERROR(__xludf.DUMMYFUNCTION("""COMPUTED_VALUE"""),"Morning Classes")</f>
        <v>Morning Classes</v>
      </c>
      <c r="W2100" s="10">
        <f ca="1">IFERROR(__xludf.DUMMYFUNCTION("""COMPUTED_VALUE"""),0.4375)</f>
        <v>0.4375</v>
      </c>
      <c r="X2100" s="5">
        <f ca="1">IFERROR(__xludf.DUMMYFUNCTION("""COMPUTED_VALUE"""),1)</f>
        <v>1</v>
      </c>
      <c r="Y2100" s="5" t="str">
        <f ca="1">IFERROR(__xludf.DUMMYFUNCTION("""COMPUTED_VALUE"""),"ROTC Student cleaning rifle presumed unloaded - accidental shooting of self")</f>
        <v>ROTC Student cleaning rifle presumed unloaded - accidental shooting of self</v>
      </c>
      <c r="Z2100" s="5" t="str">
        <f ca="1">IFERROR(__xludf.DUMMYFUNCTION("""COMPUTED_VALUE"""),"ROTC Student cleaning rifle presumed unloaded - accidental shooting of self")</f>
        <v>ROTC Student cleaning rifle presumed unloaded - accidental shooting of self</v>
      </c>
      <c r="AA2100" s="5" t="str">
        <f ca="1">IFERROR(__xludf.DUMMYFUNCTION("""COMPUTED_VALUE"""),"Accidental")</f>
        <v>Accidental</v>
      </c>
      <c r="AB2100" s="5" t="str">
        <f ca="1">IFERROR(__xludf.DUMMYFUNCTION("""COMPUTED_VALUE"""),"Random Shooting")</f>
        <v>Random Shooting</v>
      </c>
      <c r="AC2100" s="5"/>
      <c r="AD2100" s="5" t="str">
        <f ca="1">IFERROR(__xludf.DUMMYFUNCTION("""COMPUTED_VALUE"""),"No")</f>
        <v>No</v>
      </c>
      <c r="AE2100" s="5" t="str">
        <f ca="1">IFERROR(__xludf.DUMMYFUNCTION("""COMPUTED_VALUE"""),"No")</f>
        <v>No</v>
      </c>
      <c r="AF2100" s="5" t="str">
        <f ca="1">IFERROR(__xludf.DUMMYFUNCTION("""COMPUTED_VALUE"""),"No")</f>
        <v>No</v>
      </c>
      <c r="AG2100" s="5" t="str">
        <f ca="1">IFERROR(__xludf.DUMMYFUNCTION("""COMPUTED_VALUE"""),"No")</f>
        <v>No</v>
      </c>
      <c r="AH2100" s="5" t="str">
        <f ca="1">IFERROR(__xludf.DUMMYFUNCTION("""COMPUTED_VALUE"""),"No")</f>
        <v>No</v>
      </c>
      <c r="AI2100" s="5" t="str">
        <f ca="1">IFERROR(__xludf.DUMMYFUNCTION("""COMPUTED_VALUE"""),"No")</f>
        <v>No</v>
      </c>
      <c r="AJ2100" s="5"/>
    </row>
    <row r="2101" spans="1:36" ht="13">
      <c r="A2101" s="5" t="str">
        <f ca="1">IFERROR(__xludf.DUMMYFUNCTION("""COMPUTED_VALUE"""),"19820415MDFOB")</f>
        <v>19820415MDFOB</v>
      </c>
      <c r="B2101" s="5">
        <f ca="1">IFERROR(__xludf.DUMMYFUNCTION("""COMPUTED_VALUE"""),4)</f>
        <v>4</v>
      </c>
      <c r="C2101" s="5">
        <f ca="1">IFERROR(__xludf.DUMMYFUNCTION("""COMPUTED_VALUE"""),15)</f>
        <v>15</v>
      </c>
      <c r="D2101" s="5">
        <f ca="1">IFERROR(__xludf.DUMMYFUNCTION("""COMPUTED_VALUE"""),1982)</f>
        <v>1982</v>
      </c>
      <c r="E2101" s="8">
        <f ca="1">IFERROR(__xludf.DUMMYFUNCTION("""COMPUTED_VALUE"""),30056)</f>
        <v>30056</v>
      </c>
      <c r="F2101" s="5" t="str">
        <f ca="1">IFERROR(__xludf.DUMMYFUNCTION("""COMPUTED_VALUE"""),"Forest Park Senior High School")</f>
        <v>Forest Park Senior High School</v>
      </c>
      <c r="G2101" s="5">
        <f ca="1">IFERROR(__xludf.DUMMYFUNCTION("""COMPUTED_VALUE"""),0)</f>
        <v>0</v>
      </c>
      <c r="H2101" s="5">
        <f ca="1">IFERROR(__xludf.DUMMYFUNCTION("""COMPUTED_VALUE"""),1)</f>
        <v>1</v>
      </c>
      <c r="I2101" s="5">
        <f ca="1">IFERROR(__xludf.DUMMYFUNCTION("""COMPUTED_VALUE"""),1)</f>
        <v>1</v>
      </c>
      <c r="J2101" s="5">
        <f ca="1">IFERROR(__xludf.DUMMYFUNCTION("""COMPUTED_VALUE"""),0)</f>
        <v>0</v>
      </c>
      <c r="K2101" s="9" t="str">
        <f ca="1">IFERROR(__xludf.DUMMYFUNCTION("""COMPUTED_VALUE"""),"https://www.newspapers.com/image/377444331/?terms=TEACHER%2BSHOT")</f>
        <v>https://www.newspapers.com/image/377444331/?terms=TEACHER%2BSHOT</v>
      </c>
      <c r="L2101" s="5"/>
      <c r="M2101" s="5"/>
      <c r="N2101" s="5">
        <f ca="1">IFERROR(__xludf.DUMMYFUNCTION("""COMPUTED_VALUE"""),2)</f>
        <v>2</v>
      </c>
      <c r="O2101" s="5" t="str">
        <f ca="1">IFERROR(__xludf.DUMMYFUNCTION("""COMPUTED_VALUE"""),"Spring")</f>
        <v>Spring</v>
      </c>
      <c r="P2101" s="5" t="str">
        <f ca="1">IFERROR(__xludf.DUMMYFUNCTION("""COMPUTED_VALUE"""),"Baltimore")</f>
        <v>Baltimore</v>
      </c>
      <c r="Q2101" s="5" t="str">
        <f ca="1">IFERROR(__xludf.DUMMYFUNCTION("""COMPUTED_VALUE"""),"MD")</f>
        <v>MD</v>
      </c>
      <c r="R2101" s="5" t="str">
        <f ca="1">IFERROR(__xludf.DUMMYFUNCTION("""COMPUTED_VALUE"""),"High")</f>
        <v>High</v>
      </c>
      <c r="S2101" s="5" t="str">
        <f ca="1">IFERROR(__xludf.DUMMYFUNCTION("""COMPUTED_VALUE"""),"Hallway")</f>
        <v>Hallway</v>
      </c>
      <c r="T2101" s="5" t="str">
        <f ca="1">IFERROR(__xludf.DUMMYFUNCTION("""COMPUTED_VALUE"""),"Inside School Building")</f>
        <v>Inside School Building</v>
      </c>
      <c r="U2101" s="5" t="str">
        <f ca="1">IFERROR(__xludf.DUMMYFUNCTION("""COMPUTED_VALUE"""),"Yes")</f>
        <v>Yes</v>
      </c>
      <c r="V2101" s="5" t="str">
        <f ca="1">IFERROR(__xludf.DUMMYFUNCTION("""COMPUTED_VALUE"""),"After School")</f>
        <v>After School</v>
      </c>
      <c r="W2101" s="10">
        <f ca="1">IFERROR(__xludf.DUMMYFUNCTION("""COMPUTED_VALUE"""),0.59375)</f>
        <v>0.59375</v>
      </c>
      <c r="X2101" s="5">
        <f ca="1">IFERROR(__xludf.DUMMYFUNCTION("""COMPUTED_VALUE"""),1)</f>
        <v>1</v>
      </c>
      <c r="Y2101" s="5" t="str">
        <f ca="1">IFERROR(__xludf.DUMMYFUNCTION("""COMPUTED_VALUE"""),"Youth intruder chased through school shoots teacher before escaping")</f>
        <v>Youth intruder chased through school shoots teacher before escaping</v>
      </c>
      <c r="Z2101" s="5" t="str">
        <f ca="1">IFERROR(__xludf.DUMMYFUNCTION("""COMPUTED_VALUE"""),"Teacher observed two youths enter school after it had recessed for the day - teacher gave chase - cornered youths in shop class. One youth escape, other youth shot teacher in foot before escaping - no suspects")</f>
        <v>Teacher observed two youths enter school after it had recessed for the day - teacher gave chase - cornered youths in shop class. One youth escape, other youth shot teacher in foot before escaping - no suspects</v>
      </c>
      <c r="AA2101" s="5" t="str">
        <f ca="1">IFERROR(__xludf.DUMMYFUNCTION("""COMPUTED_VALUE"""),"Illegal Activity")</f>
        <v>Illegal Activity</v>
      </c>
      <c r="AB2101" s="5" t="str">
        <f ca="1">IFERROR(__xludf.DUMMYFUNCTION("""COMPUTED_VALUE"""),"Random Shooting")</f>
        <v>Random Shooting</v>
      </c>
      <c r="AC2101" s="5" t="str">
        <f ca="1">IFERROR(__xludf.DUMMYFUNCTION("""COMPUTED_VALUE"""),"No")</f>
        <v>No</v>
      </c>
      <c r="AD2101" s="5" t="str">
        <f ca="1">IFERROR(__xludf.DUMMYFUNCTION("""COMPUTED_VALUE"""),"No")</f>
        <v>No</v>
      </c>
      <c r="AE2101" s="5" t="str">
        <f ca="1">IFERROR(__xludf.DUMMYFUNCTION("""COMPUTED_VALUE"""),"No")</f>
        <v>No</v>
      </c>
      <c r="AF2101" s="5" t="str">
        <f ca="1">IFERROR(__xludf.DUMMYFUNCTION("""COMPUTED_VALUE"""),"No")</f>
        <v>No</v>
      </c>
      <c r="AG2101" s="5" t="str">
        <f ca="1">IFERROR(__xludf.DUMMYFUNCTION("""COMPUTED_VALUE"""),"No")</f>
        <v>No</v>
      </c>
      <c r="AH2101" s="5" t="str">
        <f ca="1">IFERROR(__xludf.DUMMYFUNCTION("""COMPUTED_VALUE"""),"No")</f>
        <v>No</v>
      </c>
      <c r="AI2101" s="5" t="str">
        <f ca="1">IFERROR(__xludf.DUMMYFUNCTION("""COMPUTED_VALUE"""),"No")</f>
        <v>No</v>
      </c>
      <c r="AJ2101" s="5"/>
    </row>
    <row r="2102" spans="1:36" ht="13">
      <c r="A2102" s="5" t="str">
        <f ca="1">IFERROR(__xludf.DUMMYFUNCTION("""COMPUTED_VALUE"""),"19820407CODEL")</f>
        <v>19820407CODEL</v>
      </c>
      <c r="B2102" s="5">
        <f ca="1">IFERROR(__xludf.DUMMYFUNCTION("""COMPUTED_VALUE"""),4)</f>
        <v>4</v>
      </c>
      <c r="C2102" s="5">
        <f ca="1">IFERROR(__xludf.DUMMYFUNCTION("""COMPUTED_VALUE"""),7)</f>
        <v>7</v>
      </c>
      <c r="D2102" s="5">
        <f ca="1">IFERROR(__xludf.DUMMYFUNCTION("""COMPUTED_VALUE"""),1982)</f>
        <v>1982</v>
      </c>
      <c r="E2102" s="8">
        <f ca="1">IFERROR(__xludf.DUMMYFUNCTION("""COMPUTED_VALUE"""),30048)</f>
        <v>30048</v>
      </c>
      <c r="F2102" s="5" t="str">
        <f ca="1">IFERROR(__xludf.DUMMYFUNCTION("""COMPUTED_VALUE"""),"Deer Creek Junior High School")</f>
        <v>Deer Creek Junior High School</v>
      </c>
      <c r="G2102" s="5">
        <f ca="1">IFERROR(__xludf.DUMMYFUNCTION("""COMPUTED_VALUE"""),1)</f>
        <v>1</v>
      </c>
      <c r="H2102" s="5">
        <f ca="1">IFERROR(__xludf.DUMMYFUNCTION("""COMPUTED_VALUE"""),0)</f>
        <v>0</v>
      </c>
      <c r="I2102" s="5">
        <f ca="1">IFERROR(__xludf.DUMMYFUNCTION("""COMPUTED_VALUE"""),1)</f>
        <v>1</v>
      </c>
      <c r="J2102" s="5">
        <f ca="1">IFERROR(__xludf.DUMMYFUNCTION("""COMPUTED_VALUE"""),0)</f>
        <v>0</v>
      </c>
      <c r="K2102" s="5" t="str">
        <f ca="1">IFERROR(__xludf.DUMMYFUNCTION("""COMPUTED_VALUE"""),"http://www.pomc.com/mw_stories_1-19/scott_michael.html   https://www.newspapers.com/image/322014861   https://www.newspapers.com/image/189809830/?terms=jason%2Brocha   https://www.newspapers.com/image/257553451/?terms=jason%2Brocha   https://www.newspaper"&amp;"s.com/image/346936273/?terms=jason%2Brocha")</f>
        <v>http://www.pomc.com/mw_stories_1-19/scott_michael.html   https://www.newspapers.com/image/322014861   https://www.newspapers.com/image/189809830/?terms=jason%2Brocha   https://www.newspapers.com/image/257553451/?terms=jason%2Brocha   https://www.newspapers.com/image/346936273/?terms=jason%2Brocha</v>
      </c>
      <c r="L2102" s="5"/>
      <c r="M2102" s="5" t="str">
        <f ca="1">IFERROR(__xludf.DUMMYFUNCTION("""COMPUTED_VALUE"""),"Local")</f>
        <v>Local</v>
      </c>
      <c r="N2102" s="5">
        <f ca="1">IFERROR(__xludf.DUMMYFUNCTION("""COMPUTED_VALUE"""),3)</f>
        <v>3</v>
      </c>
      <c r="O2102" s="5" t="str">
        <f ca="1">IFERROR(__xludf.DUMMYFUNCTION("""COMPUTED_VALUE"""),"Spring")</f>
        <v>Spring</v>
      </c>
      <c r="P2102" s="5" t="str">
        <f ca="1">IFERROR(__xludf.DUMMYFUNCTION("""COMPUTED_VALUE"""),"Littleton")</f>
        <v>Littleton</v>
      </c>
      <c r="Q2102" s="5" t="str">
        <f ca="1">IFERROR(__xludf.DUMMYFUNCTION("""COMPUTED_VALUE"""),"CO")</f>
        <v>CO</v>
      </c>
      <c r="R2102" s="5" t="str">
        <f ca="1">IFERROR(__xludf.DUMMYFUNCTION("""COMPUTED_VALUE"""),"High")</f>
        <v>High</v>
      </c>
      <c r="S2102" s="5" t="str">
        <f ca="1">IFERROR(__xludf.DUMMYFUNCTION("""COMPUTED_VALUE"""),"Field (General)")</f>
        <v>Field (General)</v>
      </c>
      <c r="T2102" s="5" t="str">
        <f ca="1">IFERROR(__xludf.DUMMYFUNCTION("""COMPUTED_VALUE"""),"Outside on School Property")</f>
        <v>Outside on School Property</v>
      </c>
      <c r="U2102" s="5" t="str">
        <f ca="1">IFERROR(__xludf.DUMMYFUNCTION("""COMPUTED_VALUE"""),"No")</f>
        <v>No</v>
      </c>
      <c r="V2102" s="5" t="str">
        <f ca="1">IFERROR(__xludf.DUMMYFUNCTION("""COMPUTED_VALUE"""),"Lunch")</f>
        <v>Lunch</v>
      </c>
      <c r="W2102" s="5"/>
      <c r="X2102" s="5"/>
      <c r="Y2102" s="5" t="str">
        <f ca="1">IFERROR(__xludf.DUMMYFUNCTION("""COMPUTED_VALUE"""),"Two students were shooting prairie dogs, one suddenly turned the gun and fatally shot the other")</f>
        <v>Two students were shooting prairie dogs, one suddenly turned the gun and fatally shot the other</v>
      </c>
      <c r="Z2102" s="5" t="str">
        <f ca="1">IFERROR(__xludf.DUMMYFUNCTION("""COMPUTED_VALUE"""),"Shooter was with other students shooting prairie dogs during lunch. Without explanation, the shooter put the gun to friends chest and pulled trigger.")</f>
        <v>Shooter was with other students shooting prairie dogs during lunch. Without explanation, the shooter put the gun to friends chest and pulled trigger.</v>
      </c>
      <c r="AA2102" s="5" t="str">
        <f ca="1">IFERROR(__xludf.DUMMYFUNCTION("""COMPUTED_VALUE"""),"Psychosis")</f>
        <v>Psychosis</v>
      </c>
      <c r="AB2102" s="5" t="str">
        <f ca="1">IFERROR(__xludf.DUMMYFUNCTION("""COMPUTED_VALUE"""),"Victims Targeted")</f>
        <v>Victims Targeted</v>
      </c>
      <c r="AC2102" s="5" t="str">
        <f ca="1">IFERROR(__xludf.DUMMYFUNCTION("""COMPUTED_VALUE"""),"No")</f>
        <v>No</v>
      </c>
      <c r="AD2102" s="5" t="str">
        <f ca="1">IFERROR(__xludf.DUMMYFUNCTION("""COMPUTED_VALUE"""),"No")</f>
        <v>No</v>
      </c>
      <c r="AE2102" s="5" t="str">
        <f ca="1">IFERROR(__xludf.DUMMYFUNCTION("""COMPUTED_VALUE"""),"No")</f>
        <v>No</v>
      </c>
      <c r="AF2102" s="5" t="str">
        <f ca="1">IFERROR(__xludf.DUMMYFUNCTION("""COMPUTED_VALUE"""),"No")</f>
        <v>No</v>
      </c>
      <c r="AG2102" s="5" t="str">
        <f ca="1">IFERROR(__xludf.DUMMYFUNCTION("""COMPUTED_VALUE"""),"No")</f>
        <v>No</v>
      </c>
      <c r="AH2102" s="5" t="str">
        <f ca="1">IFERROR(__xludf.DUMMYFUNCTION("""COMPUTED_VALUE"""),"No")</f>
        <v>No</v>
      </c>
      <c r="AI2102" s="5" t="str">
        <f ca="1">IFERROR(__xludf.DUMMYFUNCTION("""COMPUTED_VALUE"""),"No")</f>
        <v>No</v>
      </c>
      <c r="AJ2102" s="5"/>
    </row>
    <row r="2103" spans="1:36" ht="13">
      <c r="A2103" s="5" t="str">
        <f ca="1">IFERROR(__xludf.DUMMYFUNCTION("""COMPUTED_VALUE"""),"19820319NVVAL")</f>
        <v>19820319NVVAL</v>
      </c>
      <c r="B2103" s="5">
        <f ca="1">IFERROR(__xludf.DUMMYFUNCTION("""COMPUTED_VALUE"""),3)</f>
        <v>3</v>
      </c>
      <c r="C2103" s="5">
        <f ca="1">IFERROR(__xludf.DUMMYFUNCTION("""COMPUTED_VALUE"""),19)</f>
        <v>19</v>
      </c>
      <c r="D2103" s="5">
        <f ca="1">IFERROR(__xludf.DUMMYFUNCTION("""COMPUTED_VALUE"""),1982)</f>
        <v>1982</v>
      </c>
      <c r="E2103" s="8">
        <f ca="1">IFERROR(__xludf.DUMMYFUNCTION("""COMPUTED_VALUE"""),30029)</f>
        <v>30029</v>
      </c>
      <c r="F2103" s="5" t="str">
        <f ca="1">IFERROR(__xludf.DUMMYFUNCTION("""COMPUTED_VALUE"""),"Valley High School")</f>
        <v>Valley High School</v>
      </c>
      <c r="G2103" s="5">
        <f ca="1">IFERROR(__xludf.DUMMYFUNCTION("""COMPUTED_VALUE"""),1)</f>
        <v>1</v>
      </c>
      <c r="H2103" s="5">
        <f ca="1">IFERROR(__xludf.DUMMYFUNCTION("""COMPUTED_VALUE"""),2)</f>
        <v>2</v>
      </c>
      <c r="I2103" s="5">
        <f ca="1">IFERROR(__xludf.DUMMYFUNCTION("""COMPUTED_VALUE"""),3)</f>
        <v>3</v>
      </c>
      <c r="J2103" s="5">
        <f ca="1">IFERROR(__xludf.DUMMYFUNCTION("""COMPUTED_VALUE"""),0)</f>
        <v>0</v>
      </c>
      <c r="K2103" s="5" t="str">
        <f ca="1">IFERROR(__xludf.DUMMYFUNCTION("""COMPUTED_VALUE"""),"https://www.nytimes.com/1982/03/20/us/student-a-suspect-in-teacher-slaying.html https://www.upi.com/Archives/1982/03/22/A-high-school-student-arraigned-Monday-in-the-shooting/4904385621200/")</f>
        <v>https://www.nytimes.com/1982/03/20/us/student-a-suspect-in-teacher-slaying.html https://www.upi.com/Archives/1982/03/22/A-high-school-student-arraigned-Monday-in-the-shooting/4904385621200/</v>
      </c>
      <c r="L2103" s="5"/>
      <c r="M2103" s="5"/>
      <c r="N2103" s="5">
        <f ca="1">IFERROR(__xludf.DUMMYFUNCTION("""COMPUTED_VALUE"""),4)</f>
        <v>4</v>
      </c>
      <c r="O2103" s="5" t="str">
        <f ca="1">IFERROR(__xludf.DUMMYFUNCTION("""COMPUTED_VALUE"""),"Spring")</f>
        <v>Spring</v>
      </c>
      <c r="P2103" s="5" t="str">
        <f ca="1">IFERROR(__xludf.DUMMYFUNCTION("""COMPUTED_VALUE"""),"Las Vegas")</f>
        <v>Las Vegas</v>
      </c>
      <c r="Q2103" s="5" t="str">
        <f ca="1">IFERROR(__xludf.DUMMYFUNCTION("""COMPUTED_VALUE"""),"NV")</f>
        <v>NV</v>
      </c>
      <c r="R2103" s="5" t="str">
        <f ca="1">IFERROR(__xludf.DUMMYFUNCTION("""COMPUTED_VALUE"""),"High")</f>
        <v>High</v>
      </c>
      <c r="S2103" s="5" t="str">
        <f ca="1">IFERROR(__xludf.DUMMYFUNCTION("""COMPUTED_VALUE"""),"Classroom")</f>
        <v>Classroom</v>
      </c>
      <c r="T2103" s="5" t="str">
        <f ca="1">IFERROR(__xludf.DUMMYFUNCTION("""COMPUTED_VALUE"""),"Inside School Building")</f>
        <v>Inside School Building</v>
      </c>
      <c r="U2103" s="5" t="str">
        <f ca="1">IFERROR(__xludf.DUMMYFUNCTION("""COMPUTED_VALUE"""),"Yes")</f>
        <v>Yes</v>
      </c>
      <c r="V2103" s="5" t="str">
        <f ca="1">IFERROR(__xludf.DUMMYFUNCTION("""COMPUTED_VALUE"""),"Morning Classes")</f>
        <v>Morning Classes</v>
      </c>
      <c r="W2103" s="10">
        <f ca="1">IFERROR(__xludf.DUMMYFUNCTION("""COMPUTED_VALUE"""),0.326388888888888)</f>
        <v>0.32638888888888801</v>
      </c>
      <c r="X2103" s="5">
        <f ca="1">IFERROR(__xludf.DUMMYFUNCTION("""COMPUTED_VALUE"""),1)</f>
        <v>1</v>
      </c>
      <c r="Y2103" s="5" t="str">
        <f ca="1">IFERROR(__xludf.DUMMYFUNCTION("""COMPUTED_VALUE"""),"Thought teacher - victim - wanted him committed to mental hospital")</f>
        <v>Thought teacher - victim - wanted him committed to mental hospital</v>
      </c>
      <c r="Z2103" s="5" t="str">
        <f ca="1">IFERROR(__xludf.DUMMYFUNCTION("""COMPUTED_VALUE"""),"Told police he thought victim - his psychology teacher - wanted him committed to mental hospital. Shot teacher in the head, shot two other students, and the fled the scene.")</f>
        <v>Told police he thought victim - his psychology teacher - wanted him committed to mental hospital. Shot teacher in the head, shot two other students, and the fled the scene.</v>
      </c>
      <c r="AA2103" s="5" t="str">
        <f ca="1">IFERROR(__xludf.DUMMYFUNCTION("""COMPUTED_VALUE"""),"Psychosis")</f>
        <v>Psychosis</v>
      </c>
      <c r="AB2103" s="5" t="str">
        <f ca="1">IFERROR(__xludf.DUMMYFUNCTION("""COMPUTED_VALUE"""),"Both")</f>
        <v>Both</v>
      </c>
      <c r="AC2103" s="5" t="str">
        <f ca="1">IFERROR(__xludf.DUMMYFUNCTION("""COMPUTED_VALUE"""),"No")</f>
        <v>No</v>
      </c>
      <c r="AD2103" s="5" t="str">
        <f ca="1">IFERROR(__xludf.DUMMYFUNCTION("""COMPUTED_VALUE"""),"No")</f>
        <v>No</v>
      </c>
      <c r="AE2103" s="5" t="str">
        <f ca="1">IFERROR(__xludf.DUMMYFUNCTION("""COMPUTED_VALUE"""),"No")</f>
        <v>No</v>
      </c>
      <c r="AF2103" s="5" t="str">
        <f ca="1">IFERROR(__xludf.DUMMYFUNCTION("""COMPUTED_VALUE"""),"No")</f>
        <v>No</v>
      </c>
      <c r="AG2103" s="5" t="str">
        <f ca="1">IFERROR(__xludf.DUMMYFUNCTION("""COMPUTED_VALUE"""),"No")</f>
        <v>No</v>
      </c>
      <c r="AH2103" s="5" t="str">
        <f ca="1">IFERROR(__xludf.DUMMYFUNCTION("""COMPUTED_VALUE"""),"No")</f>
        <v>No</v>
      </c>
      <c r="AI2103" s="5" t="str">
        <f ca="1">IFERROR(__xludf.DUMMYFUNCTION("""COMPUTED_VALUE"""),"No")</f>
        <v>No</v>
      </c>
      <c r="AJ2103" s="5" t="str">
        <f ca="1">IFERROR(__xludf.DUMMYFUNCTION("""COMPUTED_VALUE"""),"Yes")</f>
        <v>Yes</v>
      </c>
    </row>
    <row r="2104" spans="1:36" ht="13">
      <c r="A2104" s="5" t="str">
        <f ca="1">IFERROR(__xludf.DUMMYFUNCTION("""COMPUTED_VALUE"""),"19820317OHLOL")</f>
        <v>19820317OHLOL</v>
      </c>
      <c r="B2104" s="5">
        <f ca="1">IFERROR(__xludf.DUMMYFUNCTION("""COMPUTED_VALUE"""),3)</f>
        <v>3</v>
      </c>
      <c r="C2104" s="5">
        <f ca="1">IFERROR(__xludf.DUMMYFUNCTION("""COMPUTED_VALUE"""),17)</f>
        <v>17</v>
      </c>
      <c r="D2104" s="5">
        <f ca="1">IFERROR(__xludf.DUMMYFUNCTION("""COMPUTED_VALUE"""),1982)</f>
        <v>1982</v>
      </c>
      <c r="E2104" s="8">
        <f ca="1">IFERROR(__xludf.DUMMYFUNCTION("""COMPUTED_VALUE"""),30027)</f>
        <v>30027</v>
      </c>
      <c r="F2104" s="5" t="str">
        <f ca="1">IFERROR(__xludf.DUMMYFUNCTION("""COMPUTED_VALUE"""),"Lorain High School")</f>
        <v>Lorain High School</v>
      </c>
      <c r="G2104" s="5">
        <f ca="1">IFERROR(__xludf.DUMMYFUNCTION("""COMPUTED_VALUE"""),0)</f>
        <v>0</v>
      </c>
      <c r="H2104" s="5">
        <f ca="1">IFERROR(__xludf.DUMMYFUNCTION("""COMPUTED_VALUE"""),0)</f>
        <v>0</v>
      </c>
      <c r="I2104" s="5">
        <f ca="1">IFERROR(__xludf.DUMMYFUNCTION("""COMPUTED_VALUE"""),0)</f>
        <v>0</v>
      </c>
      <c r="J2104" s="5">
        <f ca="1">IFERROR(__xludf.DUMMYFUNCTION("""COMPUTED_VALUE"""),0)</f>
        <v>0</v>
      </c>
      <c r="K2104" s="9" t="str">
        <f ca="1">IFERROR(__xludf.DUMMYFUNCTION("""COMPUTED_VALUE"""),"https://www.newspapers.com/image/155231508/?terms=STUDENT%2BSHOOTS")</f>
        <v>https://www.newspapers.com/image/155231508/?terms=STUDENT%2BSHOOTS</v>
      </c>
      <c r="L2104" s="5"/>
      <c r="M2104" s="5"/>
      <c r="N2104" s="5">
        <f ca="1">IFERROR(__xludf.DUMMYFUNCTION("""COMPUTED_VALUE"""),2)</f>
        <v>2</v>
      </c>
      <c r="O2104" s="5" t="str">
        <f ca="1">IFERROR(__xludf.DUMMYFUNCTION("""COMPUTED_VALUE"""),"Spring")</f>
        <v>Spring</v>
      </c>
      <c r="P2104" s="5" t="str">
        <f ca="1">IFERROR(__xludf.DUMMYFUNCTION("""COMPUTED_VALUE"""),"Lorain")</f>
        <v>Lorain</v>
      </c>
      <c r="Q2104" s="5" t="str">
        <f ca="1">IFERROR(__xludf.DUMMYFUNCTION("""COMPUTED_VALUE"""),"OH")</f>
        <v>OH</v>
      </c>
      <c r="R2104" s="5" t="str">
        <f ca="1">IFERROR(__xludf.DUMMYFUNCTION("""COMPUTED_VALUE"""),"High")</f>
        <v>High</v>
      </c>
      <c r="S2104" s="5" t="str">
        <f ca="1">IFERROR(__xludf.DUMMYFUNCTION("""COMPUTED_VALUE"""),"Cafeteria")</f>
        <v>Cafeteria</v>
      </c>
      <c r="T2104" s="5" t="str">
        <f ca="1">IFERROR(__xludf.DUMMYFUNCTION("""COMPUTED_VALUE"""),"Inside School Building")</f>
        <v>Inside School Building</v>
      </c>
      <c r="U2104" s="5" t="str">
        <f ca="1">IFERROR(__xludf.DUMMYFUNCTION("""COMPUTED_VALUE"""),"Yes")</f>
        <v>Yes</v>
      </c>
      <c r="V2104" s="5" t="str">
        <f ca="1">IFERROR(__xludf.DUMMYFUNCTION("""COMPUTED_VALUE"""),"Lunch")</f>
        <v>Lunch</v>
      </c>
      <c r="W2104" s="5"/>
      <c r="X2104" s="5">
        <f ca="1">IFERROR(__xludf.DUMMYFUNCTION("""COMPUTED_VALUE"""),1)</f>
        <v>1</v>
      </c>
      <c r="Y2104" s="5" t="str">
        <f ca="1">IFERROR(__xludf.DUMMYFUNCTION("""COMPUTED_VALUE"""),"Student carrying bible, pulled out gun during lunch and shot self in stomach")</f>
        <v>Student carrying bible, pulled out gun during lunch and shot self in stomach</v>
      </c>
      <c r="Z2104" s="5" t="str">
        <f ca="1">IFERROR(__xludf.DUMMYFUNCTION("""COMPUTED_VALUE"""),"Student carrying bible pulled small caliber gun from bag during lunch and shot self in stomach - believed to be intentional as shooter gave away his meal tickets prior to shooting.")</f>
        <v>Student carrying bible pulled small caliber gun from bag during lunch and shot self in stomach - believed to be intentional as shooter gave away his meal tickets prior to shooting.</v>
      </c>
      <c r="AA2104" s="5" t="str">
        <f ca="1">IFERROR(__xludf.DUMMYFUNCTION("""COMPUTED_VALUE"""),"Suicide/Attempted")</f>
        <v>Suicide/Attempted</v>
      </c>
      <c r="AB2104" s="5" t="str">
        <f ca="1">IFERROR(__xludf.DUMMYFUNCTION("""COMPUTED_VALUE"""),"Victims Targeted")</f>
        <v>Victims Targeted</v>
      </c>
      <c r="AC2104" s="5" t="str">
        <f ca="1">IFERROR(__xludf.DUMMYFUNCTION("""COMPUTED_VALUE"""),"No")</f>
        <v>No</v>
      </c>
      <c r="AD2104" s="5" t="str">
        <f ca="1">IFERROR(__xludf.DUMMYFUNCTION("""COMPUTED_VALUE"""),"No")</f>
        <v>No</v>
      </c>
      <c r="AE2104" s="5" t="str">
        <f ca="1">IFERROR(__xludf.DUMMYFUNCTION("""COMPUTED_VALUE"""),"No")</f>
        <v>No</v>
      </c>
      <c r="AF2104" s="5" t="str">
        <f ca="1">IFERROR(__xludf.DUMMYFUNCTION("""COMPUTED_VALUE"""),"No")</f>
        <v>No</v>
      </c>
      <c r="AG2104" s="5"/>
      <c r="AH2104" s="5"/>
      <c r="AI2104" s="5" t="str">
        <f ca="1">IFERROR(__xludf.DUMMYFUNCTION("""COMPUTED_VALUE"""),"No")</f>
        <v>No</v>
      </c>
      <c r="AJ2104" s="5"/>
    </row>
    <row r="2105" spans="1:36" ht="13">
      <c r="A2105" s="5" t="str">
        <f ca="1">IFERROR(__xludf.DUMMYFUNCTION("""COMPUTED_VALUE"""),"19820315ORSPS")</f>
        <v>19820315ORSPS</v>
      </c>
      <c r="B2105" s="5">
        <f ca="1">IFERROR(__xludf.DUMMYFUNCTION("""COMPUTED_VALUE"""),3)</f>
        <v>3</v>
      </c>
      <c r="C2105" s="5">
        <f ca="1">IFERROR(__xludf.DUMMYFUNCTION("""COMPUTED_VALUE"""),15)</f>
        <v>15</v>
      </c>
      <c r="D2105" s="5">
        <f ca="1">IFERROR(__xludf.DUMMYFUNCTION("""COMPUTED_VALUE"""),1982)</f>
        <v>1982</v>
      </c>
      <c r="E2105" s="8">
        <f ca="1">IFERROR(__xludf.DUMMYFUNCTION("""COMPUTED_VALUE"""),30025)</f>
        <v>30025</v>
      </c>
      <c r="F2105" s="5" t="str">
        <f ca="1">IFERROR(__xludf.DUMMYFUNCTION("""COMPUTED_VALUE"""),"Springfield High School")</f>
        <v>Springfield High School</v>
      </c>
      <c r="G2105" s="5">
        <f ca="1">IFERROR(__xludf.DUMMYFUNCTION("""COMPUTED_VALUE"""),0)</f>
        <v>0</v>
      </c>
      <c r="H2105" s="5">
        <f ca="1">IFERROR(__xludf.DUMMYFUNCTION("""COMPUTED_VALUE"""),0)</f>
        <v>0</v>
      </c>
      <c r="I2105" s="5">
        <f ca="1">IFERROR(__xludf.DUMMYFUNCTION("""COMPUTED_VALUE"""),0)</f>
        <v>0</v>
      </c>
      <c r="J2105" s="5">
        <f ca="1">IFERROR(__xludf.DUMMYFUNCTION("""COMPUTED_VALUE"""),1)</f>
        <v>1</v>
      </c>
      <c r="K2105" s="9" t="str">
        <f ca="1">IFERROR(__xludf.DUMMYFUNCTION("""COMPUTED_VALUE"""),"https://www.newspapers.com/image/199055882/?terms=STUDENT%2BSHOOTS")</f>
        <v>https://www.newspapers.com/image/199055882/?terms=STUDENT%2BSHOOTS</v>
      </c>
      <c r="L2105" s="5"/>
      <c r="M2105" s="5"/>
      <c r="N2105" s="5">
        <f ca="1">IFERROR(__xludf.DUMMYFUNCTION("""COMPUTED_VALUE"""),2)</f>
        <v>2</v>
      </c>
      <c r="O2105" s="5" t="str">
        <f ca="1">IFERROR(__xludf.DUMMYFUNCTION("""COMPUTED_VALUE"""),"Spring")</f>
        <v>Spring</v>
      </c>
      <c r="P2105" s="5" t="str">
        <f ca="1">IFERROR(__xludf.DUMMYFUNCTION("""COMPUTED_VALUE"""),"Springfield")</f>
        <v>Springfield</v>
      </c>
      <c r="Q2105" s="5" t="str">
        <f ca="1">IFERROR(__xludf.DUMMYFUNCTION("""COMPUTED_VALUE"""),"OR")</f>
        <v>OR</v>
      </c>
      <c r="R2105" s="5" t="str">
        <f ca="1">IFERROR(__xludf.DUMMYFUNCTION("""COMPUTED_VALUE"""),"High")</f>
        <v>High</v>
      </c>
      <c r="S2105" s="5" t="str">
        <f ca="1">IFERROR(__xludf.DUMMYFUNCTION("""COMPUTED_VALUE"""),"Classroom")</f>
        <v>Classroom</v>
      </c>
      <c r="T2105" s="5" t="str">
        <f ca="1">IFERROR(__xludf.DUMMYFUNCTION("""COMPUTED_VALUE"""),"Inside School Building")</f>
        <v>Inside School Building</v>
      </c>
      <c r="U2105" s="5" t="str">
        <f ca="1">IFERROR(__xludf.DUMMYFUNCTION("""COMPUTED_VALUE"""),"Yes")</f>
        <v>Yes</v>
      </c>
      <c r="V2105" s="5" t="str">
        <f ca="1">IFERROR(__xludf.DUMMYFUNCTION("""COMPUTED_VALUE"""),"Morning Classes")</f>
        <v>Morning Classes</v>
      </c>
      <c r="W2105" s="10">
        <f ca="1">IFERROR(__xludf.DUMMYFUNCTION("""COMPUTED_VALUE"""),0.354166666666666)</f>
        <v>0.35416666666666602</v>
      </c>
      <c r="X2105" s="5">
        <f ca="1">IFERROR(__xludf.DUMMYFUNCTION("""COMPUTED_VALUE"""),80)</f>
        <v>80</v>
      </c>
      <c r="Y2105" s="5" t="str">
        <f ca="1">IFERROR(__xludf.DUMMYFUNCTION("""COMPUTED_VALUE"""),"Shooter pulled gun in English class - teachers police tried to talk him out of it - later shot self in bathroom")</f>
        <v>Shooter pulled gun in English class - teachers police tried to talk him out of it - later shot self in bathroom</v>
      </c>
      <c r="Z2105" s="5" t="str">
        <f ca="1">IFERROR(__xludf.DUMMYFUNCTION("""COMPUTED_VALUE"""),"14 year old shooter pulled out .38 caliber pistol around 8:30 am during English class - teachers were able to evacuate students and get shooter into a conference room where they and police tried to get him to surrender. Shooter later went into bathroom wh"&amp;"ere he eventually shot/killed himself - reason for suicide was not known")</f>
        <v>14 year old shooter pulled out .38 caliber pistol around 8:30 am during English class - teachers were able to evacuate students and get shooter into a conference room where they and police tried to get him to surrender. Shooter later went into bathroom where he eventually shot/killed himself - reason for suicide was not known</v>
      </c>
      <c r="AA2105" s="5" t="str">
        <f ca="1">IFERROR(__xludf.DUMMYFUNCTION("""COMPUTED_VALUE"""),"Suicide/Attempted")</f>
        <v>Suicide/Attempted</v>
      </c>
      <c r="AB2105" s="5" t="str">
        <f ca="1">IFERROR(__xludf.DUMMYFUNCTION("""COMPUTED_VALUE"""),"Victims Targeted")</f>
        <v>Victims Targeted</v>
      </c>
      <c r="AC2105" s="5" t="str">
        <f ca="1">IFERROR(__xludf.DUMMYFUNCTION("""COMPUTED_VALUE"""),"No")</f>
        <v>No</v>
      </c>
      <c r="AD2105" s="5" t="str">
        <f ca="1">IFERROR(__xludf.DUMMYFUNCTION("""COMPUTED_VALUE"""),"No")</f>
        <v>No</v>
      </c>
      <c r="AE2105" s="5" t="str">
        <f ca="1">IFERROR(__xludf.DUMMYFUNCTION("""COMPUTED_VALUE"""),"No")</f>
        <v>No</v>
      </c>
      <c r="AF2105" s="5" t="str">
        <f ca="1">IFERROR(__xludf.DUMMYFUNCTION("""COMPUTED_VALUE"""),"No")</f>
        <v>No</v>
      </c>
      <c r="AG2105" s="5"/>
      <c r="AH2105" s="5"/>
      <c r="AI2105" s="5" t="str">
        <f ca="1">IFERROR(__xludf.DUMMYFUNCTION("""COMPUTED_VALUE"""),"No")</f>
        <v>No</v>
      </c>
      <c r="AJ2105" s="5"/>
    </row>
    <row r="2106" spans="1:36" ht="13">
      <c r="A2106" s="5" t="str">
        <f ca="1">IFERROR(__xludf.DUMMYFUNCTION("""COMPUTED_VALUE"""),"19820209LAJON")</f>
        <v>19820209LAJON</v>
      </c>
      <c r="B2106" s="5">
        <f ca="1">IFERROR(__xludf.DUMMYFUNCTION("""COMPUTED_VALUE"""),2)</f>
        <v>2</v>
      </c>
      <c r="C2106" s="5">
        <f ca="1">IFERROR(__xludf.DUMMYFUNCTION("""COMPUTED_VALUE"""),9)</f>
        <v>9</v>
      </c>
      <c r="D2106" s="5">
        <f ca="1">IFERROR(__xludf.DUMMYFUNCTION("""COMPUTED_VALUE"""),1982)</f>
        <v>1982</v>
      </c>
      <c r="E2106" s="8">
        <f ca="1">IFERROR(__xludf.DUMMYFUNCTION("""COMPUTED_VALUE"""),29991)</f>
        <v>29991</v>
      </c>
      <c r="F2106" s="5" t="str">
        <f ca="1">IFERROR(__xludf.DUMMYFUNCTION("""COMPUTED_VALUE"""),"John McDonough Senior High")</f>
        <v>John McDonough Senior High</v>
      </c>
      <c r="G2106" s="5">
        <f ca="1">IFERROR(__xludf.DUMMYFUNCTION("""COMPUTED_VALUE"""),1)</f>
        <v>1</v>
      </c>
      <c r="H2106" s="5">
        <f ca="1">IFERROR(__xludf.DUMMYFUNCTION("""COMPUTED_VALUE"""),0)</f>
        <v>0</v>
      </c>
      <c r="I2106" s="5">
        <f ca="1">IFERROR(__xludf.DUMMYFUNCTION("""COMPUTED_VALUE"""),1)</f>
        <v>1</v>
      </c>
      <c r="J2106" s="5">
        <f ca="1">IFERROR(__xludf.DUMMYFUNCTION("""COMPUTED_VALUE"""),0)</f>
        <v>0</v>
      </c>
      <c r="K2106" s="9" t="str">
        <f ca="1">IFERROR(__xludf.DUMMYFUNCTION("""COMPUTED_VALUE"""),"https://www.newspapers.com/image/305864381/?terms=student%2Bshot")</f>
        <v>https://www.newspapers.com/image/305864381/?terms=student%2Bshot</v>
      </c>
      <c r="L2106" s="5"/>
      <c r="M2106" s="5"/>
      <c r="N2106" s="5">
        <f ca="1">IFERROR(__xludf.DUMMYFUNCTION("""COMPUTED_VALUE"""),2)</f>
        <v>2</v>
      </c>
      <c r="O2106" s="5" t="str">
        <f ca="1">IFERROR(__xludf.DUMMYFUNCTION("""COMPUTED_VALUE"""),"Winter")</f>
        <v>Winter</v>
      </c>
      <c r="P2106" s="5" t="str">
        <f ca="1">IFERROR(__xludf.DUMMYFUNCTION("""COMPUTED_VALUE"""),"New Orleans")</f>
        <v>New Orleans</v>
      </c>
      <c r="Q2106" s="5" t="str">
        <f ca="1">IFERROR(__xludf.DUMMYFUNCTION("""COMPUTED_VALUE"""),"LA")</f>
        <v>LA</v>
      </c>
      <c r="R2106" s="5" t="str">
        <f ca="1">IFERROR(__xludf.DUMMYFUNCTION("""COMPUTED_VALUE"""),"High")</f>
        <v>High</v>
      </c>
      <c r="S2106" s="5" t="str">
        <f ca="1">IFERROR(__xludf.DUMMYFUNCTION("""COMPUTED_VALUE"""),"Hallway")</f>
        <v>Hallway</v>
      </c>
      <c r="T2106" s="5" t="str">
        <f ca="1">IFERROR(__xludf.DUMMYFUNCTION("""COMPUTED_VALUE"""),"Inside School Building")</f>
        <v>Inside School Building</v>
      </c>
      <c r="U2106" s="5" t="str">
        <f ca="1">IFERROR(__xludf.DUMMYFUNCTION("""COMPUTED_VALUE"""),"Yes")</f>
        <v>Yes</v>
      </c>
      <c r="V2106" s="5" t="str">
        <f ca="1">IFERROR(__xludf.DUMMYFUNCTION("""COMPUTED_VALUE"""),"Lunch")</f>
        <v>Lunch</v>
      </c>
      <c r="W2106" s="10">
        <f ca="1">IFERROR(__xludf.DUMMYFUNCTION("""COMPUTED_VALUE"""),0.548611111111111)</f>
        <v>0.54861111111111105</v>
      </c>
      <c r="X2106" s="5">
        <f ca="1">IFERROR(__xludf.DUMMYFUNCTION("""COMPUTED_VALUE"""),1)</f>
        <v>1</v>
      </c>
      <c r="Y2106" s="5" t="str">
        <f ca="1">IFERROR(__xludf.DUMMYFUNCTION("""COMPUTED_VALUE"""),"Escalating argument between students - they shot each other")</f>
        <v>Escalating argument between students - they shot each other</v>
      </c>
      <c r="Z2106" s="5" t="str">
        <f ca="1">IFERROR(__xludf.DUMMYFUNCTION("""COMPUTED_VALUE"""),"Two students got into an argument in the hallway - apparently they both had guns and shot each other at the same time. One student died, the other was shot in the arm")</f>
        <v>Two students got into an argument in the hallway - apparently they both had guns and shot each other at the same time. One student died, the other was shot in the arm</v>
      </c>
      <c r="AA2106" s="5" t="str">
        <f ca="1">IFERROR(__xludf.DUMMYFUNCTION("""COMPUTED_VALUE"""),"Escalation of Dispute")</f>
        <v>Escalation of Dispute</v>
      </c>
      <c r="AB2106" s="5" t="str">
        <f ca="1">IFERROR(__xludf.DUMMYFUNCTION("""COMPUTED_VALUE"""),"Victims Targeted")</f>
        <v>Victims Targeted</v>
      </c>
      <c r="AC2106" s="5" t="str">
        <f ca="1">IFERROR(__xludf.DUMMYFUNCTION("""COMPUTED_VALUE"""),"No")</f>
        <v>No</v>
      </c>
      <c r="AD2106" s="5" t="str">
        <f ca="1">IFERROR(__xludf.DUMMYFUNCTION("""COMPUTED_VALUE"""),"No")</f>
        <v>No</v>
      </c>
      <c r="AE2106" s="5" t="str">
        <f ca="1">IFERROR(__xludf.DUMMYFUNCTION("""COMPUTED_VALUE"""),"No")</f>
        <v>No</v>
      </c>
      <c r="AF2106" s="5" t="str">
        <f ca="1">IFERROR(__xludf.DUMMYFUNCTION("""COMPUTED_VALUE"""),"No")</f>
        <v>No</v>
      </c>
      <c r="AG2106" s="5"/>
      <c r="AH2106" s="5"/>
      <c r="AI2106" s="5" t="str">
        <f ca="1">IFERROR(__xludf.DUMMYFUNCTION("""COMPUTED_VALUE"""),"No")</f>
        <v>No</v>
      </c>
      <c r="AJ2106" s="5"/>
    </row>
    <row r="2107" spans="1:36" ht="13">
      <c r="A2107" s="5" t="str">
        <f ca="1">IFERROR(__xludf.DUMMYFUNCTION("""COMPUTED_VALUE"""),"19820208MADOD")</f>
        <v>19820208MADOD</v>
      </c>
      <c r="B2107" s="5">
        <f ca="1">IFERROR(__xludf.DUMMYFUNCTION("""COMPUTED_VALUE"""),2)</f>
        <v>2</v>
      </c>
      <c r="C2107" s="5">
        <f ca="1">IFERROR(__xludf.DUMMYFUNCTION("""COMPUTED_VALUE"""),8)</f>
        <v>8</v>
      </c>
      <c r="D2107" s="5">
        <f ca="1">IFERROR(__xludf.DUMMYFUNCTION("""COMPUTED_VALUE"""),1982)</f>
        <v>1982</v>
      </c>
      <c r="E2107" s="8">
        <f ca="1">IFERROR(__xludf.DUMMYFUNCTION("""COMPUTED_VALUE"""),29990)</f>
        <v>29990</v>
      </c>
      <c r="F2107" s="5" t="str">
        <f ca="1">IFERROR(__xludf.DUMMYFUNCTION("""COMPUTED_VALUE"""),"Dorchester High School")</f>
        <v>Dorchester High School</v>
      </c>
      <c r="G2107" s="5">
        <f ca="1">IFERROR(__xludf.DUMMYFUNCTION("""COMPUTED_VALUE"""),0)</f>
        <v>0</v>
      </c>
      <c r="H2107" s="5">
        <f ca="1">IFERROR(__xludf.DUMMYFUNCTION("""COMPUTED_VALUE"""),1)</f>
        <v>1</v>
      </c>
      <c r="I2107" s="5">
        <f ca="1">IFERROR(__xludf.DUMMYFUNCTION("""COMPUTED_VALUE"""),1)</f>
        <v>1</v>
      </c>
      <c r="J2107" s="5">
        <f ca="1">IFERROR(__xludf.DUMMYFUNCTION("""COMPUTED_VALUE"""),0)</f>
        <v>0</v>
      </c>
      <c r="K2107" s="5" t="str">
        <f ca="1">IFERROR(__xludf.DUMMYFUNCTION("""COMPUTED_VALUE"""),"https://www.newspapers.com/image/436948536/?terms=student%2Bshot   https://www.newspapers.com/image/436948717/?terms=devon%2Blawrence")</f>
        <v>https://www.newspapers.com/image/436948536/?terms=student%2Bshot   https://www.newspapers.com/image/436948717/?terms=devon%2Blawrence</v>
      </c>
      <c r="L2107" s="5"/>
      <c r="M2107" s="5"/>
      <c r="N2107" s="5">
        <f ca="1">IFERROR(__xludf.DUMMYFUNCTION("""COMPUTED_VALUE"""),3)</f>
        <v>3</v>
      </c>
      <c r="O2107" s="5" t="str">
        <f ca="1">IFERROR(__xludf.DUMMYFUNCTION("""COMPUTED_VALUE"""),"Winter")</f>
        <v>Winter</v>
      </c>
      <c r="P2107" s="5" t="str">
        <f ca="1">IFERROR(__xludf.DUMMYFUNCTION("""COMPUTED_VALUE"""),"Dorchester")</f>
        <v>Dorchester</v>
      </c>
      <c r="Q2107" s="5" t="str">
        <f ca="1">IFERROR(__xludf.DUMMYFUNCTION("""COMPUTED_VALUE"""),"MA")</f>
        <v>MA</v>
      </c>
      <c r="R2107" s="5" t="str">
        <f ca="1">IFERROR(__xludf.DUMMYFUNCTION("""COMPUTED_VALUE"""),"High")</f>
        <v>High</v>
      </c>
      <c r="S2107" s="5" t="str">
        <f ca="1">IFERROR(__xludf.DUMMYFUNCTION("""COMPUTED_VALUE"""),"Inside School Building")</f>
        <v>Inside School Building</v>
      </c>
      <c r="T2107" s="5" t="str">
        <f ca="1">IFERROR(__xludf.DUMMYFUNCTION("""COMPUTED_VALUE"""),"Inside School Building")</f>
        <v>Inside School Building</v>
      </c>
      <c r="U2107" s="5" t="str">
        <f ca="1">IFERROR(__xludf.DUMMYFUNCTION("""COMPUTED_VALUE"""),"Yes")</f>
        <v>Yes</v>
      </c>
      <c r="V2107" s="5" t="str">
        <f ca="1">IFERROR(__xludf.DUMMYFUNCTION("""COMPUTED_VALUE"""),"Dismissal")</f>
        <v>Dismissal</v>
      </c>
      <c r="W2107" s="10">
        <f ca="1">IFERROR(__xludf.DUMMYFUNCTION("""COMPUTED_VALUE"""),0.572916666666666)</f>
        <v>0.57291666666666596</v>
      </c>
      <c r="X2107" s="5">
        <f ca="1">IFERROR(__xludf.DUMMYFUNCTION("""COMPUTED_VALUE"""),1)</f>
        <v>1</v>
      </c>
      <c r="Y2107" s="5" t="str">
        <f ca="1">IFERROR(__xludf.DUMMYFUNCTION("""COMPUTED_VALUE"""),"Shooter was showing off gun in class and accidentally shot victim")</f>
        <v>Shooter was showing off gun in class and accidentally shot victim</v>
      </c>
      <c r="Z2107" s="5" t="str">
        <f ca="1">IFERROR(__xludf.DUMMYFUNCTION("""COMPUTED_VALUE"""),"Shooter was showing off gun and accidentally shot victim -")</f>
        <v>Shooter was showing off gun and accidentally shot victim -</v>
      </c>
      <c r="AA2107" s="5" t="str">
        <f ca="1">IFERROR(__xludf.DUMMYFUNCTION("""COMPUTED_VALUE"""),"Accidental")</f>
        <v>Accidental</v>
      </c>
      <c r="AB2107" s="5" t="str">
        <f ca="1">IFERROR(__xludf.DUMMYFUNCTION("""COMPUTED_VALUE"""),"Random Shooting")</f>
        <v>Random Shooting</v>
      </c>
      <c r="AC2107" s="5" t="str">
        <f ca="1">IFERROR(__xludf.DUMMYFUNCTION("""COMPUTED_VALUE"""),"No")</f>
        <v>No</v>
      </c>
      <c r="AD2107" s="5" t="str">
        <f ca="1">IFERROR(__xludf.DUMMYFUNCTION("""COMPUTED_VALUE"""),"No")</f>
        <v>No</v>
      </c>
      <c r="AE2107" s="5" t="str">
        <f ca="1">IFERROR(__xludf.DUMMYFUNCTION("""COMPUTED_VALUE"""),"No")</f>
        <v>No</v>
      </c>
      <c r="AF2107" s="5" t="str">
        <f ca="1">IFERROR(__xludf.DUMMYFUNCTION("""COMPUTED_VALUE"""),"No")</f>
        <v>No</v>
      </c>
      <c r="AG2107" s="5" t="str">
        <f ca="1">IFERROR(__xludf.DUMMYFUNCTION("""COMPUTED_VALUE"""),"No")</f>
        <v>No</v>
      </c>
      <c r="AH2107" s="5" t="str">
        <f ca="1">IFERROR(__xludf.DUMMYFUNCTION("""COMPUTED_VALUE"""),"No")</f>
        <v>No</v>
      </c>
      <c r="AI2107" s="5" t="str">
        <f ca="1">IFERROR(__xludf.DUMMYFUNCTION("""COMPUTED_VALUE"""),"No")</f>
        <v>No</v>
      </c>
      <c r="AJ2107" s="5"/>
    </row>
    <row r="2108" spans="1:36" ht="13">
      <c r="A2108" s="5" t="str">
        <f ca="1">IFERROR(__xludf.DUMMYFUNCTION("""COMPUTED_VALUE"""),"19820205TNHAM")</f>
        <v>19820205TNHAM</v>
      </c>
      <c r="B2108" s="5">
        <f ca="1">IFERROR(__xludf.DUMMYFUNCTION("""COMPUTED_VALUE"""),2)</f>
        <v>2</v>
      </c>
      <c r="C2108" s="5">
        <f ca="1">IFERROR(__xludf.DUMMYFUNCTION("""COMPUTED_VALUE"""),5)</f>
        <v>5</v>
      </c>
      <c r="D2108" s="5">
        <f ca="1">IFERROR(__xludf.DUMMYFUNCTION("""COMPUTED_VALUE"""),1982)</f>
        <v>1982</v>
      </c>
      <c r="E2108" s="8">
        <f ca="1">IFERROR(__xludf.DUMMYFUNCTION("""COMPUTED_VALUE"""),29987)</f>
        <v>29987</v>
      </c>
      <c r="F2108" s="5" t="str">
        <f ca="1">IFERROR(__xludf.DUMMYFUNCTION("""COMPUTED_VALUE"""),"Hamilton High School")</f>
        <v>Hamilton High School</v>
      </c>
      <c r="G2108" s="5">
        <f ca="1">IFERROR(__xludf.DUMMYFUNCTION("""COMPUTED_VALUE"""),1)</f>
        <v>1</v>
      </c>
      <c r="H2108" s="5">
        <f ca="1">IFERROR(__xludf.DUMMYFUNCTION("""COMPUTED_VALUE"""),0)</f>
        <v>0</v>
      </c>
      <c r="I2108" s="5">
        <f ca="1">IFERROR(__xludf.DUMMYFUNCTION("""COMPUTED_VALUE"""),1)</f>
        <v>1</v>
      </c>
      <c r="J2108" s="5">
        <f ca="1">IFERROR(__xludf.DUMMYFUNCTION("""COMPUTED_VALUE"""),0)</f>
        <v>0</v>
      </c>
      <c r="K2108" s="9" t="str">
        <f ca="1">IFERROR(__xludf.DUMMYFUNCTION("""COMPUTED_VALUE"""),"https://www.newspapers.com/image/279068651/?terms=teacher%2Bshot")</f>
        <v>https://www.newspapers.com/image/279068651/?terms=teacher%2Bshot</v>
      </c>
      <c r="L2108" s="5"/>
      <c r="M2108" s="5"/>
      <c r="N2108" s="5">
        <f ca="1">IFERROR(__xludf.DUMMYFUNCTION("""COMPUTED_VALUE"""),2)</f>
        <v>2</v>
      </c>
      <c r="O2108" s="5" t="str">
        <f ca="1">IFERROR(__xludf.DUMMYFUNCTION("""COMPUTED_VALUE"""),"Winter")</f>
        <v>Winter</v>
      </c>
      <c r="P2108" s="5" t="str">
        <f ca="1">IFERROR(__xludf.DUMMYFUNCTION("""COMPUTED_VALUE"""),"Memphis")</f>
        <v>Memphis</v>
      </c>
      <c r="Q2108" s="5" t="str">
        <f ca="1">IFERROR(__xludf.DUMMYFUNCTION("""COMPUTED_VALUE"""),"TN")</f>
        <v>TN</v>
      </c>
      <c r="R2108" s="5" t="str">
        <f ca="1">IFERROR(__xludf.DUMMYFUNCTION("""COMPUTED_VALUE"""),"High")</f>
        <v>High</v>
      </c>
      <c r="S2108" s="5" t="str">
        <f ca="1">IFERROR(__xludf.DUMMYFUNCTION("""COMPUTED_VALUE"""),"Gym")</f>
        <v>Gym</v>
      </c>
      <c r="T2108" s="5" t="str">
        <f ca="1">IFERROR(__xludf.DUMMYFUNCTION("""COMPUTED_VALUE"""),"Inside School Building")</f>
        <v>Inside School Building</v>
      </c>
      <c r="U2108" s="5" t="str">
        <f ca="1">IFERROR(__xludf.DUMMYFUNCTION("""COMPUTED_VALUE"""),"No")</f>
        <v>No</v>
      </c>
      <c r="V2108" s="5" t="str">
        <f ca="1">IFERROR(__xludf.DUMMYFUNCTION("""COMPUTED_VALUE"""),"Sport Event")</f>
        <v>Sport Event</v>
      </c>
      <c r="W2108" s="5"/>
      <c r="X2108" s="5">
        <f ca="1">IFERROR(__xludf.DUMMYFUNCTION("""COMPUTED_VALUE"""),1)</f>
        <v>1</v>
      </c>
      <c r="Y2108" s="5" t="str">
        <f ca="1">IFERROR(__xludf.DUMMYFUNCTION("""COMPUTED_VALUE"""),"Robbery of teacher who was collecting money outside HS basketball game")</f>
        <v>Robbery of teacher who was collecting money outside HS basketball game</v>
      </c>
      <c r="Z2108" s="5" t="str">
        <f ca="1">IFERROR(__xludf.DUMMYFUNCTION("""COMPUTED_VALUE"""),"Teacher was collecting ticket money outside HS basketball game when shooter came in to do robbery. Victim flipped table he was sitting at over and was then shot - man sitting next to victim gave shooter money - shooter then fled - victim later died")</f>
        <v>Teacher was collecting ticket money outside HS basketball game when shooter came in to do robbery. Victim flipped table he was sitting at over and was then shot - man sitting next to victim gave shooter money - shooter then fled - victim later died</v>
      </c>
      <c r="AA2108" s="5" t="str">
        <f ca="1">IFERROR(__xludf.DUMMYFUNCTION("""COMPUTED_VALUE"""),"Illegal Activity")</f>
        <v>Illegal Activity</v>
      </c>
      <c r="AB2108" s="5" t="str">
        <f ca="1">IFERROR(__xludf.DUMMYFUNCTION("""COMPUTED_VALUE"""),"Victims Targeted")</f>
        <v>Victims Targeted</v>
      </c>
      <c r="AC2108" s="5" t="str">
        <f ca="1">IFERROR(__xludf.DUMMYFUNCTION("""COMPUTED_VALUE"""),"No")</f>
        <v>No</v>
      </c>
      <c r="AD2108" s="5" t="str">
        <f ca="1">IFERROR(__xludf.DUMMYFUNCTION("""COMPUTED_VALUE"""),"No")</f>
        <v>No</v>
      </c>
      <c r="AE2108" s="5" t="str">
        <f ca="1">IFERROR(__xludf.DUMMYFUNCTION("""COMPUTED_VALUE"""),"No")</f>
        <v>No</v>
      </c>
      <c r="AF2108" s="5" t="str">
        <f ca="1">IFERROR(__xludf.DUMMYFUNCTION("""COMPUTED_VALUE"""),"No")</f>
        <v>No</v>
      </c>
      <c r="AG2108" s="5" t="str">
        <f ca="1">IFERROR(__xludf.DUMMYFUNCTION("""COMPUTED_VALUE"""),"No")</f>
        <v>No</v>
      </c>
      <c r="AH2108" s="5" t="str">
        <f ca="1">IFERROR(__xludf.DUMMYFUNCTION("""COMPUTED_VALUE"""),"No")</f>
        <v>No</v>
      </c>
      <c r="AI2108" s="5" t="str">
        <f ca="1">IFERROR(__xludf.DUMMYFUNCTION("""COMPUTED_VALUE"""),"No")</f>
        <v>No</v>
      </c>
      <c r="AJ2108" s="5"/>
    </row>
    <row r="2109" spans="1:36" ht="13">
      <c r="A2109" s="5" t="str">
        <f ca="1">IFERROR(__xludf.DUMMYFUNCTION("""COMPUTED_VALUE"""),"19811223NYJAB")</f>
        <v>19811223NYJAB</v>
      </c>
      <c r="B2109" s="5">
        <f ca="1">IFERROR(__xludf.DUMMYFUNCTION("""COMPUTED_VALUE"""),12)</f>
        <v>12</v>
      </c>
      <c r="C2109" s="5">
        <f ca="1">IFERROR(__xludf.DUMMYFUNCTION("""COMPUTED_VALUE"""),23)</f>
        <v>23</v>
      </c>
      <c r="D2109" s="5">
        <f ca="1">IFERROR(__xludf.DUMMYFUNCTION("""COMPUTED_VALUE"""),1981)</f>
        <v>1981</v>
      </c>
      <c r="E2109" s="8">
        <f ca="1">IFERROR(__xludf.DUMMYFUNCTION("""COMPUTED_VALUE"""),29943)</f>
        <v>29943</v>
      </c>
      <c r="F2109" s="5" t="str">
        <f ca="1">IFERROR(__xludf.DUMMYFUNCTION("""COMPUTED_VALUE"""),"James Madison High School")</f>
        <v>James Madison High School</v>
      </c>
      <c r="G2109" s="5">
        <f ca="1">IFERROR(__xludf.DUMMYFUNCTION("""COMPUTED_VALUE"""),1)</f>
        <v>1</v>
      </c>
      <c r="H2109" s="5">
        <f ca="1">IFERROR(__xludf.DUMMYFUNCTION("""COMPUTED_VALUE"""),0)</f>
        <v>0</v>
      </c>
      <c r="I2109" s="5">
        <f ca="1">IFERROR(__xludf.DUMMYFUNCTION("""COMPUTED_VALUE"""),1)</f>
        <v>1</v>
      </c>
      <c r="J2109" s="5">
        <f ca="1">IFERROR(__xludf.DUMMYFUNCTION("""COMPUTED_VALUE"""),0)</f>
        <v>0</v>
      </c>
      <c r="K2109" s="9" t="str">
        <f ca="1">IFERROR(__xludf.DUMMYFUNCTION("""COMPUTED_VALUE"""),"https://www.nytimes.com/1981/12/24/nyregion/wrong-kid-is-fatally-shot-in-fight-at-brooklyn-school.html")</f>
        <v>https://www.nytimes.com/1981/12/24/nyregion/wrong-kid-is-fatally-shot-in-fight-at-brooklyn-school.html</v>
      </c>
      <c r="L2109" s="5"/>
      <c r="M2109" s="5"/>
      <c r="N2109" s="5">
        <f ca="1">IFERROR(__xludf.DUMMYFUNCTION("""COMPUTED_VALUE"""),2)</f>
        <v>2</v>
      </c>
      <c r="O2109" s="5" t="str">
        <f ca="1">IFERROR(__xludf.DUMMYFUNCTION("""COMPUTED_VALUE"""),"Winter")</f>
        <v>Winter</v>
      </c>
      <c r="P2109" s="5" t="str">
        <f ca="1">IFERROR(__xludf.DUMMYFUNCTION("""COMPUTED_VALUE"""),"Brooklyn")</f>
        <v>Brooklyn</v>
      </c>
      <c r="Q2109" s="5" t="str">
        <f ca="1">IFERROR(__xludf.DUMMYFUNCTION("""COMPUTED_VALUE"""),"NY")</f>
        <v>NY</v>
      </c>
      <c r="R2109" s="5" t="str">
        <f ca="1">IFERROR(__xludf.DUMMYFUNCTION("""COMPUTED_VALUE"""),"High")</f>
        <v>High</v>
      </c>
      <c r="S2109" s="5" t="str">
        <f ca="1">IFERROR(__xludf.DUMMYFUNCTION("""COMPUTED_VALUE"""),"Hallway")</f>
        <v>Hallway</v>
      </c>
      <c r="T2109" s="5" t="str">
        <f ca="1">IFERROR(__xludf.DUMMYFUNCTION("""COMPUTED_VALUE"""),"Inside School Building")</f>
        <v>Inside School Building</v>
      </c>
      <c r="U2109" s="5" t="str">
        <f ca="1">IFERROR(__xludf.DUMMYFUNCTION("""COMPUTED_VALUE"""),"Yes")</f>
        <v>Yes</v>
      </c>
      <c r="V2109" s="5" t="str">
        <f ca="1">IFERROR(__xludf.DUMMYFUNCTION("""COMPUTED_VALUE"""),"Morning Classes")</f>
        <v>Morning Classes</v>
      </c>
      <c r="W2109" s="10">
        <f ca="1">IFERROR(__xludf.DUMMYFUNCTION("""COMPUTED_VALUE"""),0.416666666666666)</f>
        <v>0.41666666666666602</v>
      </c>
      <c r="X2109" s="5">
        <f ca="1">IFERROR(__xludf.DUMMYFUNCTION("""COMPUTED_VALUE"""),1)</f>
        <v>1</v>
      </c>
      <c r="Y2109" s="5" t="str">
        <f ca="1">IFERROR(__xludf.DUMMYFUNCTION("""COMPUTED_VALUE"""),"Fight between a group of students - victim was bystander")</f>
        <v>Fight between a group of students - victim was bystander</v>
      </c>
      <c r="Z2109" s="5" t="str">
        <f ca="1">IFERROR(__xludf.DUMMYFUNCTION("""COMPUTED_VALUE"""),"Bystander student was shot during an attempted robbery of a coat outside of the school.")</f>
        <v>Bystander student was shot during an attempted robbery of a coat outside of the school.</v>
      </c>
      <c r="AA2109" s="5" t="str">
        <f ca="1">IFERROR(__xludf.DUMMYFUNCTION("""COMPUTED_VALUE"""),"Illegal Activity")</f>
        <v>Illegal Activity</v>
      </c>
      <c r="AB2109" s="5" t="str">
        <f ca="1">IFERROR(__xludf.DUMMYFUNCTION("""COMPUTED_VALUE"""),"Random Shooting")</f>
        <v>Random Shooting</v>
      </c>
      <c r="AC2109" s="5" t="str">
        <f ca="1">IFERROR(__xludf.DUMMYFUNCTION("""COMPUTED_VALUE"""),"No")</f>
        <v>No</v>
      </c>
      <c r="AD2109" s="5" t="str">
        <f ca="1">IFERROR(__xludf.DUMMYFUNCTION("""COMPUTED_VALUE"""),"No")</f>
        <v>No</v>
      </c>
      <c r="AE2109" s="5" t="str">
        <f ca="1">IFERROR(__xludf.DUMMYFUNCTION("""COMPUTED_VALUE"""),"No")</f>
        <v>No</v>
      </c>
      <c r="AF2109" s="5" t="str">
        <f ca="1">IFERROR(__xludf.DUMMYFUNCTION("""COMPUTED_VALUE"""),"No")</f>
        <v>No</v>
      </c>
      <c r="AG2109" s="5" t="str">
        <f ca="1">IFERROR(__xludf.DUMMYFUNCTION("""COMPUTED_VALUE"""),"No")</f>
        <v>No</v>
      </c>
      <c r="AH2109" s="5" t="str">
        <f ca="1">IFERROR(__xludf.DUMMYFUNCTION("""COMPUTED_VALUE"""),"No")</f>
        <v>No</v>
      </c>
      <c r="AI2109" s="5" t="str">
        <f ca="1">IFERROR(__xludf.DUMMYFUNCTION("""COMPUTED_VALUE"""),"No")</f>
        <v>No</v>
      </c>
      <c r="AJ2109" s="5"/>
    </row>
    <row r="2110" spans="1:36" ht="13">
      <c r="A2110" s="5" t="str">
        <f ca="1">IFERROR(__xludf.DUMMYFUNCTION("""COMPUTED_VALUE"""),"19811216TXUNH")</f>
        <v>19811216TXUNH</v>
      </c>
      <c r="B2110" s="5">
        <f ca="1">IFERROR(__xludf.DUMMYFUNCTION("""COMPUTED_VALUE"""),12)</f>
        <v>12</v>
      </c>
      <c r="C2110" s="5">
        <f ca="1">IFERROR(__xludf.DUMMYFUNCTION("""COMPUTED_VALUE"""),16)</f>
        <v>16</v>
      </c>
      <c r="D2110" s="5">
        <f ca="1">IFERROR(__xludf.DUMMYFUNCTION("""COMPUTED_VALUE"""),1981)</f>
        <v>1981</v>
      </c>
      <c r="E2110" s="8">
        <f ca="1">IFERROR(__xludf.DUMMYFUNCTION("""COMPUTED_VALUE"""),29936)</f>
        <v>29936</v>
      </c>
      <c r="F2110" s="5" t="str">
        <f ca="1">IFERROR(__xludf.DUMMYFUNCTION("""COMPUTED_VALUE"""),"Unnamed school")</f>
        <v>Unnamed school</v>
      </c>
      <c r="G2110" s="5">
        <f ca="1">IFERROR(__xludf.DUMMYFUNCTION("""COMPUTED_VALUE"""),0)</f>
        <v>0</v>
      </c>
      <c r="H2110" s="5">
        <f ca="1">IFERROR(__xludf.DUMMYFUNCTION("""COMPUTED_VALUE"""),1)</f>
        <v>1</v>
      </c>
      <c r="I2110" s="5">
        <f ca="1">IFERROR(__xludf.DUMMYFUNCTION("""COMPUTED_VALUE"""),1)</f>
        <v>1</v>
      </c>
      <c r="J2110" s="5">
        <f ca="1">IFERROR(__xludf.DUMMYFUNCTION("""COMPUTED_VALUE"""),0)</f>
        <v>0</v>
      </c>
      <c r="K2110" s="9" t="str">
        <f ca="1">IFERROR(__xludf.DUMMYFUNCTION("""COMPUTED_VALUE"""),"https://www.newspapers.com/image/209382299/?terms=student%2BshoT")</f>
        <v>https://www.newspapers.com/image/209382299/?terms=student%2BshoT</v>
      </c>
      <c r="L2110" s="5"/>
      <c r="M2110" s="5"/>
      <c r="N2110" s="5">
        <f ca="1">IFERROR(__xludf.DUMMYFUNCTION("""COMPUTED_VALUE"""),2)</f>
        <v>2</v>
      </c>
      <c r="O2110" s="5" t="str">
        <f ca="1">IFERROR(__xludf.DUMMYFUNCTION("""COMPUTED_VALUE"""),"Winter")</f>
        <v>Winter</v>
      </c>
      <c r="P2110" s="5" t="str">
        <f ca="1">IFERROR(__xludf.DUMMYFUNCTION("""COMPUTED_VALUE"""),"Houston")</f>
        <v>Houston</v>
      </c>
      <c r="Q2110" s="5" t="str">
        <f ca="1">IFERROR(__xludf.DUMMYFUNCTION("""COMPUTED_VALUE"""),"TX")</f>
        <v>TX</v>
      </c>
      <c r="R2110" s="5" t="str">
        <f ca="1">IFERROR(__xludf.DUMMYFUNCTION("""COMPUTED_VALUE"""),"High")</f>
        <v>High</v>
      </c>
      <c r="S2110" s="5" t="str">
        <f ca="1">IFERROR(__xludf.DUMMYFUNCTION("""COMPUTED_VALUE"""),"Hallway")</f>
        <v>Hallway</v>
      </c>
      <c r="T2110" s="5" t="str">
        <f ca="1">IFERROR(__xludf.DUMMYFUNCTION("""COMPUTED_VALUE"""),"Inside School Building")</f>
        <v>Inside School Building</v>
      </c>
      <c r="U2110" s="5" t="str">
        <f ca="1">IFERROR(__xludf.DUMMYFUNCTION("""COMPUTED_VALUE"""),"Yes")</f>
        <v>Yes</v>
      </c>
      <c r="V2110" s="5" t="str">
        <f ca="1">IFERROR(__xludf.DUMMYFUNCTION("""COMPUTED_VALUE"""),"Morning Classes")</f>
        <v>Morning Classes</v>
      </c>
      <c r="W2110" s="10">
        <f ca="1">IFERROR(__xludf.DUMMYFUNCTION("""COMPUTED_VALUE"""),0.322916666666666)</f>
        <v>0.32291666666666602</v>
      </c>
      <c r="X2110" s="5">
        <f ca="1">IFERROR(__xludf.DUMMYFUNCTION("""COMPUTED_VALUE"""),1)</f>
        <v>1</v>
      </c>
      <c r="Y2110" s="5" t="str">
        <f ca="1">IFERROR(__xludf.DUMMYFUNCTION("""COMPUTED_VALUE"""),"Shooting followed two day argument over a girl")</f>
        <v>Shooting followed two day argument over a girl</v>
      </c>
      <c r="Z2110" s="5" t="str">
        <f ca="1">IFERROR(__xludf.DUMMYFUNCTION("""COMPUTED_VALUE"""),"Shooter shot victim during early morning hours in school hallway - claimed shooting stemmed from ongoing argument over a girl who began dating victim. Shooter stated he shot at victim 5-6 times after victim approached him with knife - no knife found on vi"&amp;"ctim")</f>
        <v>Shooter shot victim during early morning hours in school hallway - claimed shooting stemmed from ongoing argument over a girl who began dating victim. Shooter stated he shot at victim 5-6 times after victim approached him with knife - no knife found on victim</v>
      </c>
      <c r="AA2110" s="5" t="str">
        <f ca="1">IFERROR(__xludf.DUMMYFUNCTION("""COMPUTED_VALUE"""),"Escalation of Dispute")</f>
        <v>Escalation of Dispute</v>
      </c>
      <c r="AB2110" s="5" t="str">
        <f ca="1">IFERROR(__xludf.DUMMYFUNCTION("""COMPUTED_VALUE"""),"Victims Targeted")</f>
        <v>Victims Targeted</v>
      </c>
      <c r="AC2110" s="5" t="str">
        <f ca="1">IFERROR(__xludf.DUMMYFUNCTION("""COMPUTED_VALUE"""),"No")</f>
        <v>No</v>
      </c>
      <c r="AD2110" s="5" t="str">
        <f ca="1">IFERROR(__xludf.DUMMYFUNCTION("""COMPUTED_VALUE"""),"No")</f>
        <v>No</v>
      </c>
      <c r="AE2110" s="5" t="str">
        <f ca="1">IFERROR(__xludf.DUMMYFUNCTION("""COMPUTED_VALUE"""),"No")</f>
        <v>No</v>
      </c>
      <c r="AF2110" s="5" t="str">
        <f ca="1">IFERROR(__xludf.DUMMYFUNCTION("""COMPUTED_VALUE"""),"No")</f>
        <v>No</v>
      </c>
      <c r="AG2110" s="5" t="str">
        <f ca="1">IFERROR(__xludf.DUMMYFUNCTION("""COMPUTED_VALUE"""),"No")</f>
        <v>No</v>
      </c>
      <c r="AH2110" s="5" t="str">
        <f ca="1">IFERROR(__xludf.DUMMYFUNCTION("""COMPUTED_VALUE"""),"No")</f>
        <v>No</v>
      </c>
      <c r="AI2110" s="5" t="str">
        <f ca="1">IFERROR(__xludf.DUMMYFUNCTION("""COMPUTED_VALUE"""),"No")</f>
        <v>No</v>
      </c>
      <c r="AJ2110" s="5"/>
    </row>
    <row r="2111" spans="1:36" ht="13">
      <c r="A2111" s="5" t="str">
        <f ca="1">IFERROR(__xludf.DUMMYFUNCTION("""COMPUTED_VALUE"""),"19811209NYGEB")</f>
        <v>19811209NYGEB</v>
      </c>
      <c r="B2111" s="5">
        <f ca="1">IFERROR(__xludf.DUMMYFUNCTION("""COMPUTED_VALUE"""),12)</f>
        <v>12</v>
      </c>
      <c r="C2111" s="5">
        <f ca="1">IFERROR(__xludf.DUMMYFUNCTION("""COMPUTED_VALUE"""),9)</f>
        <v>9</v>
      </c>
      <c r="D2111" s="5">
        <f ca="1">IFERROR(__xludf.DUMMYFUNCTION("""COMPUTED_VALUE"""),1981)</f>
        <v>1981</v>
      </c>
      <c r="E2111" s="8">
        <f ca="1">IFERROR(__xludf.DUMMYFUNCTION("""COMPUTED_VALUE"""),29929)</f>
        <v>29929</v>
      </c>
      <c r="F2111" s="5" t="str">
        <f ca="1">IFERROR(__xludf.DUMMYFUNCTION("""COMPUTED_VALUE"""),"George W. Wingate High School")</f>
        <v>George W. Wingate High School</v>
      </c>
      <c r="G2111" s="5">
        <f ca="1">IFERROR(__xludf.DUMMYFUNCTION("""COMPUTED_VALUE"""),1)</f>
        <v>1</v>
      </c>
      <c r="H2111" s="5">
        <f ca="1">IFERROR(__xludf.DUMMYFUNCTION("""COMPUTED_VALUE"""),0)</f>
        <v>0</v>
      </c>
      <c r="I2111" s="5">
        <f ca="1">IFERROR(__xludf.DUMMYFUNCTION("""COMPUTED_VALUE"""),1)</f>
        <v>1</v>
      </c>
      <c r="J2111" s="5">
        <f ca="1">IFERROR(__xludf.DUMMYFUNCTION("""COMPUTED_VALUE"""),0)</f>
        <v>0</v>
      </c>
      <c r="K2111" s="9" t="str">
        <f ca="1">IFERROR(__xludf.DUMMYFUNCTION("""COMPUTED_VALUE"""),"https://www.nytimes.com/1981/12/24/nyregion/wrong-kid-is-fatally-shot-in-fight-at-brooklyn-school.html")</f>
        <v>https://www.nytimes.com/1981/12/24/nyregion/wrong-kid-is-fatally-shot-in-fight-at-brooklyn-school.html</v>
      </c>
      <c r="L2111" s="5"/>
      <c r="M2111" s="5"/>
      <c r="N2111" s="5">
        <f ca="1">IFERROR(__xludf.DUMMYFUNCTION("""COMPUTED_VALUE"""),2)</f>
        <v>2</v>
      </c>
      <c r="O2111" s="5" t="str">
        <f ca="1">IFERROR(__xludf.DUMMYFUNCTION("""COMPUTED_VALUE"""),"Winter")</f>
        <v>Winter</v>
      </c>
      <c r="P2111" s="5" t="str">
        <f ca="1">IFERROR(__xludf.DUMMYFUNCTION("""COMPUTED_VALUE"""),"Brooklyn")</f>
        <v>Brooklyn</v>
      </c>
      <c r="Q2111" s="5" t="str">
        <f ca="1">IFERROR(__xludf.DUMMYFUNCTION("""COMPUTED_VALUE"""),"NY")</f>
        <v>NY</v>
      </c>
      <c r="R2111" s="5" t="str">
        <f ca="1">IFERROR(__xludf.DUMMYFUNCTION("""COMPUTED_VALUE"""),"High")</f>
        <v>High</v>
      </c>
      <c r="S2111" s="5" t="str">
        <f ca="1">IFERROR(__xludf.DUMMYFUNCTION("""COMPUTED_VALUE"""),"Outside on School Property")</f>
        <v>Outside on School Property</v>
      </c>
      <c r="T2111" s="5" t="str">
        <f ca="1">IFERROR(__xludf.DUMMYFUNCTION("""COMPUTED_VALUE"""),"Outside on School Property")</f>
        <v>Outside on School Property</v>
      </c>
      <c r="U2111" s="5"/>
      <c r="V2111" s="5"/>
      <c r="W2111" s="5"/>
      <c r="X2111" s="5">
        <f ca="1">IFERROR(__xludf.DUMMYFUNCTION("""COMPUTED_VALUE"""),1)</f>
        <v>1</v>
      </c>
      <c r="Y2111" s="5" t="str">
        <f ca="1">IFERROR(__xludf.DUMMYFUNCTION("""COMPUTED_VALUE"""),"Attempted robbery - shot for gold ring")</f>
        <v>Attempted robbery - shot for gold ring</v>
      </c>
      <c r="Z2111" s="5" t="str">
        <f ca="1">IFERROR(__xludf.DUMMYFUNCTION("""COMPUTED_VALUE"""),"18YOM student shot outside of school during robbery. No other details.")</f>
        <v>18YOM student shot outside of school during robbery. No other details.</v>
      </c>
      <c r="AA2111" s="5" t="str">
        <f ca="1">IFERROR(__xludf.DUMMYFUNCTION("""COMPUTED_VALUE"""),"Illegal Activity")</f>
        <v>Illegal Activity</v>
      </c>
      <c r="AB2111" s="5" t="str">
        <f ca="1">IFERROR(__xludf.DUMMYFUNCTION("""COMPUTED_VALUE"""),"Victims Targeted")</f>
        <v>Victims Targeted</v>
      </c>
      <c r="AC2111" s="5" t="str">
        <f ca="1">IFERROR(__xludf.DUMMYFUNCTION("""COMPUTED_VALUE"""),"No")</f>
        <v>No</v>
      </c>
      <c r="AD2111" s="5" t="str">
        <f ca="1">IFERROR(__xludf.DUMMYFUNCTION("""COMPUTED_VALUE"""),"No")</f>
        <v>No</v>
      </c>
      <c r="AE2111" s="5" t="str">
        <f ca="1">IFERROR(__xludf.DUMMYFUNCTION("""COMPUTED_VALUE"""),"No")</f>
        <v>No</v>
      </c>
      <c r="AF2111" s="5" t="str">
        <f ca="1">IFERROR(__xludf.DUMMYFUNCTION("""COMPUTED_VALUE"""),"No")</f>
        <v>No</v>
      </c>
      <c r="AG2111" s="5" t="str">
        <f ca="1">IFERROR(__xludf.DUMMYFUNCTION("""COMPUTED_VALUE"""),"No")</f>
        <v>No</v>
      </c>
      <c r="AH2111" s="5" t="str">
        <f ca="1">IFERROR(__xludf.DUMMYFUNCTION("""COMPUTED_VALUE"""),"No")</f>
        <v>No</v>
      </c>
      <c r="AI2111" s="5" t="str">
        <f ca="1">IFERROR(__xludf.DUMMYFUNCTION("""COMPUTED_VALUE"""),"No")</f>
        <v>No</v>
      </c>
      <c r="AJ2111" s="5"/>
    </row>
    <row r="2112" spans="1:36" ht="13">
      <c r="A2112" s="5" t="str">
        <f ca="1">IFERROR(__xludf.DUMMYFUNCTION("""COMPUTED_VALUE"""),"19811013CTHAH")</f>
        <v>19811013CTHAH</v>
      </c>
      <c r="B2112" s="5">
        <f ca="1">IFERROR(__xludf.DUMMYFUNCTION("""COMPUTED_VALUE"""),10)</f>
        <v>10</v>
      </c>
      <c r="C2112" s="5">
        <f ca="1">IFERROR(__xludf.DUMMYFUNCTION("""COMPUTED_VALUE"""),13)</f>
        <v>13</v>
      </c>
      <c r="D2112" s="5">
        <f ca="1">IFERROR(__xludf.DUMMYFUNCTION("""COMPUTED_VALUE"""),1981)</f>
        <v>1981</v>
      </c>
      <c r="E2112" s="8">
        <f ca="1">IFERROR(__xludf.DUMMYFUNCTION("""COMPUTED_VALUE"""),29872)</f>
        <v>29872</v>
      </c>
      <c r="F2112" s="5" t="str">
        <f ca="1">IFERROR(__xludf.DUMMYFUNCTION("""COMPUTED_VALUE"""),"Hartford Public High School")</f>
        <v>Hartford Public High School</v>
      </c>
      <c r="G2112" s="5">
        <f ca="1">IFERROR(__xludf.DUMMYFUNCTION("""COMPUTED_VALUE"""),0)</f>
        <v>0</v>
      </c>
      <c r="H2112" s="5">
        <f ca="1">IFERROR(__xludf.DUMMYFUNCTION("""COMPUTED_VALUE"""),1)</f>
        <v>1</v>
      </c>
      <c r="I2112" s="5">
        <f ca="1">IFERROR(__xludf.DUMMYFUNCTION("""COMPUTED_VALUE"""),1)</f>
        <v>1</v>
      </c>
      <c r="J2112" s="5">
        <f ca="1">IFERROR(__xludf.DUMMYFUNCTION("""COMPUTED_VALUE"""),0)</f>
        <v>0</v>
      </c>
      <c r="K2112" s="5" t="str">
        <f ca="1">IFERROR(__xludf.DUMMYFUNCTION("""COMPUTED_VALUE"""),"https://www.newspapers.com/image/368523424/?terms=assailant%2Bof%2Bschool%2Bshooting%2Bstill%2Bat%2Blarge; https://www.newspapers.com/image/368514355/?terms=student%2Bshot")</f>
        <v>https://www.newspapers.com/image/368523424/?terms=assailant%2Bof%2Bschool%2Bshooting%2Bstill%2Bat%2Blarge; https://www.newspapers.com/image/368514355/?terms=student%2Bshot</v>
      </c>
      <c r="L2112" s="5"/>
      <c r="M2112" s="5"/>
      <c r="N2112" s="5">
        <f ca="1">IFERROR(__xludf.DUMMYFUNCTION("""COMPUTED_VALUE"""),3)</f>
        <v>3</v>
      </c>
      <c r="O2112" s="5" t="str">
        <f ca="1">IFERROR(__xludf.DUMMYFUNCTION("""COMPUTED_VALUE"""),"Fall")</f>
        <v>Fall</v>
      </c>
      <c r="P2112" s="5" t="str">
        <f ca="1">IFERROR(__xludf.DUMMYFUNCTION("""COMPUTED_VALUE"""),"Hartford")</f>
        <v>Hartford</v>
      </c>
      <c r="Q2112" s="5" t="str">
        <f ca="1">IFERROR(__xludf.DUMMYFUNCTION("""COMPUTED_VALUE"""),"CT")</f>
        <v>CT</v>
      </c>
      <c r="R2112" s="5" t="str">
        <f ca="1">IFERROR(__xludf.DUMMYFUNCTION("""COMPUTED_VALUE"""),"High")</f>
        <v>High</v>
      </c>
      <c r="S2112" s="5" t="str">
        <f ca="1">IFERROR(__xludf.DUMMYFUNCTION("""COMPUTED_VALUE"""),"Inside School Building")</f>
        <v>Inside School Building</v>
      </c>
      <c r="T2112" s="5" t="str">
        <f ca="1">IFERROR(__xludf.DUMMYFUNCTION("""COMPUTED_VALUE"""),"Inside School Building")</f>
        <v>Inside School Building</v>
      </c>
      <c r="U2112" s="5" t="str">
        <f ca="1">IFERROR(__xludf.DUMMYFUNCTION("""COMPUTED_VALUE"""),"Yes")</f>
        <v>Yes</v>
      </c>
      <c r="V2112" s="5" t="str">
        <f ca="1">IFERROR(__xludf.DUMMYFUNCTION("""COMPUTED_VALUE"""),"Morning Classes")</f>
        <v>Morning Classes</v>
      </c>
      <c r="W2112" s="10">
        <f ca="1">IFERROR(__xludf.DUMMYFUNCTION("""COMPUTED_VALUE"""),0.4375)</f>
        <v>0.4375</v>
      </c>
      <c r="X2112" s="5">
        <f ca="1">IFERROR(__xludf.DUMMYFUNCTION("""COMPUTED_VALUE"""),1)</f>
        <v>1</v>
      </c>
      <c r="Y2112" s="5" t="str">
        <f ca="1">IFERROR(__xludf.DUMMYFUNCTION("""COMPUTED_VALUE"""),"Students arguing over $1 gambling debt")</f>
        <v>Students arguing over $1 gambling debt</v>
      </c>
      <c r="Z2112" s="5" t="str">
        <f ca="1">IFERROR(__xludf.DUMMYFUNCTION("""COMPUTED_VALUE"""),"Student shot by other student over gambling debt. Shooter fled the scene and was later arrested.")</f>
        <v>Student shot by other student over gambling debt. Shooter fled the scene and was later arrested.</v>
      </c>
      <c r="AA2112" s="5" t="str">
        <f ca="1">IFERROR(__xludf.DUMMYFUNCTION("""COMPUTED_VALUE"""),"Escalation of Dispute")</f>
        <v>Escalation of Dispute</v>
      </c>
      <c r="AB2112" s="5" t="str">
        <f ca="1">IFERROR(__xludf.DUMMYFUNCTION("""COMPUTED_VALUE"""),"Victims Targeted")</f>
        <v>Victims Targeted</v>
      </c>
      <c r="AC2112" s="5" t="str">
        <f ca="1">IFERROR(__xludf.DUMMYFUNCTION("""COMPUTED_VALUE"""),"No")</f>
        <v>No</v>
      </c>
      <c r="AD2112" s="5" t="str">
        <f ca="1">IFERROR(__xludf.DUMMYFUNCTION("""COMPUTED_VALUE"""),"No")</f>
        <v>No</v>
      </c>
      <c r="AE2112" s="5" t="str">
        <f ca="1">IFERROR(__xludf.DUMMYFUNCTION("""COMPUTED_VALUE"""),"No")</f>
        <v>No</v>
      </c>
      <c r="AF2112" s="5" t="str">
        <f ca="1">IFERROR(__xludf.DUMMYFUNCTION("""COMPUTED_VALUE"""),"No")</f>
        <v>No</v>
      </c>
      <c r="AG2112" s="5"/>
      <c r="AH2112" s="5"/>
      <c r="AI2112" s="5" t="str">
        <f ca="1">IFERROR(__xludf.DUMMYFUNCTION("""COMPUTED_VALUE"""),"No")</f>
        <v>No</v>
      </c>
      <c r="AJ2112" s="5"/>
    </row>
    <row r="2113" spans="1:36" ht="13">
      <c r="A2113" s="5" t="str">
        <f ca="1">IFERROR(__xludf.DUMMYFUNCTION("""COMPUTED_VALUE"""),"19810913MDABA")</f>
        <v>19810913MDABA</v>
      </c>
      <c r="B2113" s="5">
        <f ca="1">IFERROR(__xludf.DUMMYFUNCTION("""COMPUTED_VALUE"""),9)</f>
        <v>9</v>
      </c>
      <c r="C2113" s="5">
        <f ca="1">IFERROR(__xludf.DUMMYFUNCTION("""COMPUTED_VALUE"""),13)</f>
        <v>13</v>
      </c>
      <c r="D2113" s="5">
        <f ca="1">IFERROR(__xludf.DUMMYFUNCTION("""COMPUTED_VALUE"""),1981)</f>
        <v>1981</v>
      </c>
      <c r="E2113" s="8">
        <f ca="1">IFERROR(__xludf.DUMMYFUNCTION("""COMPUTED_VALUE"""),29842)</f>
        <v>29842</v>
      </c>
      <c r="F2113" s="5" t="str">
        <f ca="1">IFERROR(__xludf.DUMMYFUNCTION("""COMPUTED_VALUE"""),"Aberdeen High School")</f>
        <v>Aberdeen High School</v>
      </c>
      <c r="G2113" s="5">
        <f ca="1">IFERROR(__xludf.DUMMYFUNCTION("""COMPUTED_VALUE"""),1)</f>
        <v>1</v>
      </c>
      <c r="H2113" s="5">
        <f ca="1">IFERROR(__xludf.DUMMYFUNCTION("""COMPUTED_VALUE"""),0)</f>
        <v>0</v>
      </c>
      <c r="I2113" s="5">
        <f ca="1">IFERROR(__xludf.DUMMYFUNCTION("""COMPUTED_VALUE"""),1)</f>
        <v>1</v>
      </c>
      <c r="J2113" s="5">
        <f ca="1">IFERROR(__xludf.DUMMYFUNCTION("""COMPUTED_VALUE"""),0)</f>
        <v>0</v>
      </c>
      <c r="K2113" s="9" t="str">
        <f ca="1">IFERROR(__xludf.DUMMYFUNCTION("""COMPUTED_VALUE"""),"https://www.newspapers.com/image/371656005")</f>
        <v>https://www.newspapers.com/image/371656005</v>
      </c>
      <c r="L2113" s="5"/>
      <c r="M2113" s="5"/>
      <c r="N2113" s="5">
        <f ca="1">IFERROR(__xludf.DUMMYFUNCTION("""COMPUTED_VALUE"""),2)</f>
        <v>2</v>
      </c>
      <c r="O2113" s="5" t="str">
        <f ca="1">IFERROR(__xludf.DUMMYFUNCTION("""COMPUTED_VALUE"""),"Fall")</f>
        <v>Fall</v>
      </c>
      <c r="P2113" s="5" t="str">
        <f ca="1">IFERROR(__xludf.DUMMYFUNCTION("""COMPUTED_VALUE"""),"Aberdeen")</f>
        <v>Aberdeen</v>
      </c>
      <c r="Q2113" s="5" t="str">
        <f ca="1">IFERROR(__xludf.DUMMYFUNCTION("""COMPUTED_VALUE"""),"MD")</f>
        <v>MD</v>
      </c>
      <c r="R2113" s="5" t="str">
        <f ca="1">IFERROR(__xludf.DUMMYFUNCTION("""COMPUTED_VALUE"""),"High")</f>
        <v>High</v>
      </c>
      <c r="S2113" s="5"/>
      <c r="T2113" s="5"/>
      <c r="U2113" s="5" t="str">
        <f ca="1">IFERROR(__xludf.DUMMYFUNCTION("""COMPUTED_VALUE"""),"No")</f>
        <v>No</v>
      </c>
      <c r="V2113" s="5" t="str">
        <f ca="1">IFERROR(__xludf.DUMMYFUNCTION("""COMPUTED_VALUE"""),"Not a School Day")</f>
        <v>Not a School Day</v>
      </c>
      <c r="W2113" s="5"/>
      <c r="X2113" s="5">
        <f ca="1">IFERROR(__xludf.DUMMYFUNCTION("""COMPUTED_VALUE"""),1)</f>
        <v>1</v>
      </c>
      <c r="Y2113" s="5" t="str">
        <f ca="1">IFERROR(__xludf.DUMMYFUNCTION("""COMPUTED_VALUE"""),"Shot by officer, situation unclear, may have been vandalizing school")</f>
        <v>Shot by officer, situation unclear, may have been vandalizing school</v>
      </c>
      <c r="Z2113" s="5" t="str">
        <f ca="1">IFERROR(__xludf.DUMMYFUNCTION("""COMPUTED_VALUE"""),"Shot by officer outside the school. Situation unclear. May have been involved with breaking school windows with 2 other unknown males.")</f>
        <v>Shot by officer outside the school. Situation unclear. May have been involved with breaking school windows with 2 other unknown males.</v>
      </c>
      <c r="AA2113" s="5" t="str">
        <f ca="1">IFERROR(__xludf.DUMMYFUNCTION("""COMPUTED_VALUE"""),"Illegal Activity")</f>
        <v>Illegal Activity</v>
      </c>
      <c r="AB2113" s="5" t="str">
        <f ca="1">IFERROR(__xludf.DUMMYFUNCTION("""COMPUTED_VALUE"""),"Victims Targeted")</f>
        <v>Victims Targeted</v>
      </c>
      <c r="AC2113" s="5" t="str">
        <f ca="1">IFERROR(__xludf.DUMMYFUNCTION("""COMPUTED_VALUE"""),"No")</f>
        <v>No</v>
      </c>
      <c r="AD2113" s="5" t="str">
        <f ca="1">IFERROR(__xludf.DUMMYFUNCTION("""COMPUTED_VALUE"""),"No")</f>
        <v>No</v>
      </c>
      <c r="AE2113" s="5" t="str">
        <f ca="1">IFERROR(__xludf.DUMMYFUNCTION("""COMPUTED_VALUE"""),"No")</f>
        <v>No</v>
      </c>
      <c r="AF2113" s="5" t="str">
        <f ca="1">IFERROR(__xludf.DUMMYFUNCTION("""COMPUTED_VALUE"""),"Yes")</f>
        <v>Yes</v>
      </c>
      <c r="AG2113" s="5" t="str">
        <f ca="1">IFERROR(__xludf.DUMMYFUNCTION("""COMPUTED_VALUE"""),"N/A")</f>
        <v>N/A</v>
      </c>
      <c r="AH2113" s="5" t="str">
        <f ca="1">IFERROR(__xludf.DUMMYFUNCTION("""COMPUTED_VALUE"""),"N/A")</f>
        <v>N/A</v>
      </c>
      <c r="AI2113" s="5" t="str">
        <f ca="1">IFERROR(__xludf.DUMMYFUNCTION("""COMPUTED_VALUE"""),"N/A")</f>
        <v>N/A</v>
      </c>
      <c r="AJ2113" s="5" t="str">
        <f ca="1">IFERROR(__xludf.DUMMYFUNCTION("""COMPUTED_VALUE"""),"N/A")</f>
        <v>N/A</v>
      </c>
    </row>
    <row r="2114" spans="1:36" ht="13">
      <c r="A2114" s="5" t="str">
        <f ca="1">IFERROR(__xludf.DUMMYFUNCTION("""COMPUTED_VALUE"""),"19810908FLSTW")</f>
        <v>19810908FLSTW</v>
      </c>
      <c r="B2114" s="5">
        <f ca="1">IFERROR(__xludf.DUMMYFUNCTION("""COMPUTED_VALUE"""),9)</f>
        <v>9</v>
      </c>
      <c r="C2114" s="5">
        <f ca="1">IFERROR(__xludf.DUMMYFUNCTION("""COMPUTED_VALUE"""),8)</f>
        <v>8</v>
      </c>
      <c r="D2114" s="5">
        <f ca="1">IFERROR(__xludf.DUMMYFUNCTION("""COMPUTED_VALUE"""),1981)</f>
        <v>1981</v>
      </c>
      <c r="E2114" s="8">
        <f ca="1">IFERROR(__xludf.DUMMYFUNCTION("""COMPUTED_VALUE"""),29837)</f>
        <v>29837</v>
      </c>
      <c r="F2114" s="5" t="str">
        <f ca="1">IFERROR(__xludf.DUMMYFUNCTION("""COMPUTED_VALUE"""),"Stuart Middle School")</f>
        <v>Stuart Middle School</v>
      </c>
      <c r="G2114" s="5">
        <f ca="1">IFERROR(__xludf.DUMMYFUNCTION("""COMPUTED_VALUE"""),0)</f>
        <v>0</v>
      </c>
      <c r="H2114" s="5">
        <f ca="1">IFERROR(__xludf.DUMMYFUNCTION("""COMPUTED_VALUE"""),0)</f>
        <v>0</v>
      </c>
      <c r="I2114" s="5">
        <f ca="1">IFERROR(__xludf.DUMMYFUNCTION("""COMPUTED_VALUE"""),0)</f>
        <v>0</v>
      </c>
      <c r="J2114" s="5">
        <f ca="1">IFERROR(__xludf.DUMMYFUNCTION("""COMPUTED_VALUE"""),0)</f>
        <v>0</v>
      </c>
      <c r="K2114" s="9" t="str">
        <f ca="1">IFERROR(__xludf.DUMMYFUNCTION("""COMPUTED_VALUE"""),"https://www.newspapers.com/image/130082201/?terms=student%2Bshoots")</f>
        <v>https://www.newspapers.com/image/130082201/?terms=student%2Bshoots</v>
      </c>
      <c r="L2114" s="5"/>
      <c r="M2114" s="5"/>
      <c r="N2114" s="5">
        <f ca="1">IFERROR(__xludf.DUMMYFUNCTION("""COMPUTED_VALUE"""),2)</f>
        <v>2</v>
      </c>
      <c r="O2114" s="5" t="str">
        <f ca="1">IFERROR(__xludf.DUMMYFUNCTION("""COMPUTED_VALUE"""),"Fall")</f>
        <v>Fall</v>
      </c>
      <c r="P2114" s="5" t="str">
        <f ca="1">IFERROR(__xludf.DUMMYFUNCTION("""COMPUTED_VALUE"""),"West Palm Beach")</f>
        <v>West Palm Beach</v>
      </c>
      <c r="Q2114" s="5" t="str">
        <f ca="1">IFERROR(__xludf.DUMMYFUNCTION("""COMPUTED_VALUE"""),"FL")</f>
        <v>FL</v>
      </c>
      <c r="R2114" s="5" t="str">
        <f ca="1">IFERROR(__xludf.DUMMYFUNCTION("""COMPUTED_VALUE"""),"Middle")</f>
        <v>Middle</v>
      </c>
      <c r="S2114" s="5" t="str">
        <f ca="1">IFERROR(__xludf.DUMMYFUNCTION("""COMPUTED_VALUE"""),"Classroom")</f>
        <v>Classroom</v>
      </c>
      <c r="T2114" s="5" t="str">
        <f ca="1">IFERROR(__xludf.DUMMYFUNCTION("""COMPUTED_VALUE"""),"Inside School Building")</f>
        <v>Inside School Building</v>
      </c>
      <c r="U2114" s="5" t="str">
        <f ca="1">IFERROR(__xludf.DUMMYFUNCTION("""COMPUTED_VALUE"""),"Yes")</f>
        <v>Yes</v>
      </c>
      <c r="V2114" s="5"/>
      <c r="W2114" s="5"/>
      <c r="X2114" s="5">
        <f ca="1">IFERROR(__xludf.DUMMYFUNCTION("""COMPUTED_VALUE"""),1)</f>
        <v>1</v>
      </c>
      <c r="Y2114" s="5" t="str">
        <f ca="1">IFERROR(__xludf.DUMMYFUNCTION("""COMPUTED_VALUE"""),"12 year old boy shot .22 caliber handgun into classroom wall then went outside and shot himself in stomach")</f>
        <v>12 year old boy shot .22 caliber handgun into classroom wall then went outside and shot himself in stomach</v>
      </c>
      <c r="Z2114" s="5" t="str">
        <f ca="1">IFERROR(__xludf.DUMMYFUNCTION("""COMPUTED_VALUE"""),"12 year old boy accidentally shot classroom wall while playing with .22 caliber handgun. After the accidental discharge, student went outside school building followed by teacher. When teacher told him to drop gun, student shot himself in stomach. He then "&amp;"told teacher it was an accident. Fellow students saw shooter with gun earlier in day but thought it was fake.")</f>
        <v>12 year old boy accidentally shot classroom wall while playing with .22 caliber handgun. After the accidental discharge, student went outside school building followed by teacher. When teacher told him to drop gun, student shot himself in stomach. He then told teacher it was an accident. Fellow students saw shooter with gun earlier in day but thought it was fake.</v>
      </c>
      <c r="AA2114" s="5" t="str">
        <f ca="1">IFERROR(__xludf.DUMMYFUNCTION("""COMPUTED_VALUE"""),"Accidental")</f>
        <v>Accidental</v>
      </c>
      <c r="AB2114" s="5" t="str">
        <f ca="1">IFERROR(__xludf.DUMMYFUNCTION("""COMPUTED_VALUE"""),"Victims Targeted")</f>
        <v>Victims Targeted</v>
      </c>
      <c r="AC2114" s="5" t="str">
        <f ca="1">IFERROR(__xludf.DUMMYFUNCTION("""COMPUTED_VALUE"""),"No")</f>
        <v>No</v>
      </c>
      <c r="AD2114" s="5" t="str">
        <f ca="1">IFERROR(__xludf.DUMMYFUNCTION("""COMPUTED_VALUE"""),"No")</f>
        <v>No</v>
      </c>
      <c r="AE2114" s="5" t="str">
        <f ca="1">IFERROR(__xludf.DUMMYFUNCTION("""COMPUTED_VALUE"""),"No")</f>
        <v>No</v>
      </c>
      <c r="AF2114" s="5" t="str">
        <f ca="1">IFERROR(__xludf.DUMMYFUNCTION("""COMPUTED_VALUE"""),"No")</f>
        <v>No</v>
      </c>
      <c r="AG2114" s="5"/>
      <c r="AH2114" s="5"/>
      <c r="AI2114" s="5" t="str">
        <f ca="1">IFERROR(__xludf.DUMMYFUNCTION("""COMPUTED_VALUE"""),"No")</f>
        <v>No</v>
      </c>
      <c r="AJ2114" s="5"/>
    </row>
    <row r="2115" spans="1:36" ht="13">
      <c r="A2115" s="5" t="str">
        <f ca="1">IFERROR(__xludf.DUMMYFUNCTION("""COMPUTED_VALUE"""),"19810904NMHOS")</f>
        <v>19810904NMHOS</v>
      </c>
      <c r="B2115" s="5">
        <f ca="1">IFERROR(__xludf.DUMMYFUNCTION("""COMPUTED_VALUE"""),9)</f>
        <v>9</v>
      </c>
      <c r="C2115" s="5">
        <f ca="1">IFERROR(__xludf.DUMMYFUNCTION("""COMPUTED_VALUE"""),4)</f>
        <v>4</v>
      </c>
      <c r="D2115" s="5">
        <f ca="1">IFERROR(__xludf.DUMMYFUNCTION("""COMPUTED_VALUE"""),1981)</f>
        <v>1981</v>
      </c>
      <c r="E2115" s="8">
        <f ca="1">IFERROR(__xludf.DUMMYFUNCTION("""COMPUTED_VALUE"""),29833)</f>
        <v>29833</v>
      </c>
      <c r="F2115" s="5" t="str">
        <f ca="1">IFERROR(__xludf.DUMMYFUNCTION("""COMPUTED_VALUE"""),"Hobbs High School")</f>
        <v>Hobbs High School</v>
      </c>
      <c r="G2115" s="5">
        <f ca="1">IFERROR(__xludf.DUMMYFUNCTION("""COMPUTED_VALUE"""),0)</f>
        <v>0</v>
      </c>
      <c r="H2115" s="5">
        <f ca="1">IFERROR(__xludf.DUMMYFUNCTION("""COMPUTED_VALUE"""),2)</f>
        <v>2</v>
      </c>
      <c r="I2115" s="5">
        <f ca="1">IFERROR(__xludf.DUMMYFUNCTION("""COMPUTED_VALUE"""),2)</f>
        <v>2</v>
      </c>
      <c r="J2115" s="5">
        <f ca="1">IFERROR(__xludf.DUMMYFUNCTION("""COMPUTED_VALUE"""),0)</f>
        <v>0</v>
      </c>
      <c r="K2115" s="5" t="str">
        <f ca="1">IFERROR(__xludf.DUMMYFUNCTION("""COMPUTED_VALUE"""),"https://www.newspapers.com/image/435450171/?terms=HOBBS%2BSTUDENT%2BSHOT ; https://www.newspapers.com/image/435973918/?terms=OROSCO%2BHOBBS; https://www.newspapers.com/image/157728911/?terms=RAFAEL%2BHEREDIA")</f>
        <v>https://www.newspapers.com/image/435450171/?terms=HOBBS%2BSTUDENT%2BSHOT ; https://www.newspapers.com/image/435973918/?terms=OROSCO%2BHOBBS; https://www.newspapers.com/image/157728911/?terms=RAFAEL%2BHEREDIA</v>
      </c>
      <c r="L2115" s="5"/>
      <c r="M2115" s="5"/>
      <c r="N2115" s="5">
        <f ca="1">IFERROR(__xludf.DUMMYFUNCTION("""COMPUTED_VALUE"""),3)</f>
        <v>3</v>
      </c>
      <c r="O2115" s="5" t="str">
        <f ca="1">IFERROR(__xludf.DUMMYFUNCTION("""COMPUTED_VALUE"""),"Fall")</f>
        <v>Fall</v>
      </c>
      <c r="P2115" s="5" t="str">
        <f ca="1">IFERROR(__xludf.DUMMYFUNCTION("""COMPUTED_VALUE"""),"Santa Fe")</f>
        <v>Santa Fe</v>
      </c>
      <c r="Q2115" s="5" t="str">
        <f ca="1">IFERROR(__xludf.DUMMYFUNCTION("""COMPUTED_VALUE"""),"NM")</f>
        <v>NM</v>
      </c>
      <c r="R2115" s="5" t="str">
        <f ca="1">IFERROR(__xludf.DUMMYFUNCTION("""COMPUTED_VALUE"""),"High")</f>
        <v>High</v>
      </c>
      <c r="S2115" s="5" t="str">
        <f ca="1">IFERROR(__xludf.DUMMYFUNCTION("""COMPUTED_VALUE"""),"Beside Building")</f>
        <v>Beside Building</v>
      </c>
      <c r="T2115" s="5" t="str">
        <f ca="1">IFERROR(__xludf.DUMMYFUNCTION("""COMPUTED_VALUE"""),"Outside on School Property")</f>
        <v>Outside on School Property</v>
      </c>
      <c r="U2115" s="5" t="str">
        <f ca="1">IFERROR(__xludf.DUMMYFUNCTION("""COMPUTED_VALUE"""),"Yes")</f>
        <v>Yes</v>
      </c>
      <c r="V2115" s="5" t="str">
        <f ca="1">IFERROR(__xludf.DUMMYFUNCTION("""COMPUTED_VALUE"""),"Morning Classes")</f>
        <v>Morning Classes</v>
      </c>
      <c r="W2115" s="10">
        <f ca="1">IFERROR(__xludf.DUMMYFUNCTION("""COMPUTED_VALUE"""),0.427083333333333)</f>
        <v>0.42708333333333298</v>
      </c>
      <c r="X2115" s="5">
        <f ca="1">IFERROR(__xludf.DUMMYFUNCTION("""COMPUTED_VALUE"""),1)</f>
        <v>1</v>
      </c>
      <c r="Y2115" s="5" t="str">
        <f ca="1">IFERROR(__xludf.DUMMYFUNCTION("""COMPUTED_VALUE"""),"2 student shot outside of school, shooter fled")</f>
        <v>2 student shot outside of school, shooter fled</v>
      </c>
      <c r="Z2115" s="5" t="str">
        <f ca="1">IFERROR(__xludf.DUMMYFUNCTION("""COMPUTED_VALUE"""),"Victims shot outside school - shooter fled and was arrested off campus at a body shop - no reason for shooting given.")</f>
        <v>Victims shot outside school - shooter fled and was arrested off campus at a body shop - no reason for shooting given.</v>
      </c>
      <c r="AA2115" s="5" t="str">
        <f ca="1">IFERROR(__xludf.DUMMYFUNCTION("""COMPUTED_VALUE"""),"Unknown")</f>
        <v>Unknown</v>
      </c>
      <c r="AB2115" s="5" t="str">
        <f ca="1">IFERROR(__xludf.DUMMYFUNCTION("""COMPUTED_VALUE"""),"Victims Targeted")</f>
        <v>Victims Targeted</v>
      </c>
      <c r="AC2115" s="5" t="str">
        <f ca="1">IFERROR(__xludf.DUMMYFUNCTION("""COMPUTED_VALUE"""),"No")</f>
        <v>No</v>
      </c>
      <c r="AD2115" s="5" t="str">
        <f ca="1">IFERROR(__xludf.DUMMYFUNCTION("""COMPUTED_VALUE"""),"No")</f>
        <v>No</v>
      </c>
      <c r="AE2115" s="5" t="str">
        <f ca="1">IFERROR(__xludf.DUMMYFUNCTION("""COMPUTED_VALUE"""),"No")</f>
        <v>No</v>
      </c>
      <c r="AF2115" s="5" t="str">
        <f ca="1">IFERROR(__xludf.DUMMYFUNCTION("""COMPUTED_VALUE"""),"No")</f>
        <v>No</v>
      </c>
      <c r="AG2115" s="5"/>
      <c r="AH2115" s="5" t="str">
        <f ca="1">IFERROR(__xludf.DUMMYFUNCTION("""COMPUTED_VALUE"""),"No")</f>
        <v>No</v>
      </c>
      <c r="AI2115" s="5"/>
      <c r="AJ2115" s="5"/>
    </row>
    <row r="2116" spans="1:36" ht="13">
      <c r="A2116" s="5" t="str">
        <f ca="1">IFERROR(__xludf.DUMMYFUNCTION("""COMPUTED_VALUE"""),"19810901PAWIP")</f>
        <v>19810901PAWIP</v>
      </c>
      <c r="B2116" s="5">
        <f ca="1">IFERROR(__xludf.DUMMYFUNCTION("""COMPUTED_VALUE"""),9)</f>
        <v>9</v>
      </c>
      <c r="C2116" s="5">
        <f ca="1">IFERROR(__xludf.DUMMYFUNCTION("""COMPUTED_VALUE"""),1)</f>
        <v>1</v>
      </c>
      <c r="D2116" s="5">
        <f ca="1">IFERROR(__xludf.DUMMYFUNCTION("""COMPUTED_VALUE"""),1981)</f>
        <v>1981</v>
      </c>
      <c r="E2116" s="8">
        <f ca="1">IFERROR(__xludf.DUMMYFUNCTION("""COMPUTED_VALUE"""),29830)</f>
        <v>29830</v>
      </c>
      <c r="F2116" s="5" t="str">
        <f ca="1">IFERROR(__xludf.DUMMYFUNCTION("""COMPUTED_VALUE"""),"William Longstreth Elementary School")</f>
        <v>William Longstreth Elementary School</v>
      </c>
      <c r="G2116" s="5">
        <f ca="1">IFERROR(__xludf.DUMMYFUNCTION("""COMPUTED_VALUE"""),0)</f>
        <v>0</v>
      </c>
      <c r="H2116" s="5">
        <f ca="1">IFERROR(__xludf.DUMMYFUNCTION("""COMPUTED_VALUE"""),3)</f>
        <v>3</v>
      </c>
      <c r="I2116" s="5">
        <f ca="1">IFERROR(__xludf.DUMMYFUNCTION("""COMPUTED_VALUE"""),3)</f>
        <v>3</v>
      </c>
      <c r="J2116" s="5">
        <f ca="1">IFERROR(__xludf.DUMMYFUNCTION("""COMPUTED_VALUE"""),0)</f>
        <v>0</v>
      </c>
      <c r="K2116" s="9" t="str">
        <f ca="1">IFERROR(__xludf.DUMMYFUNCTION("""COMPUTED_VALUE"""),"https://www.newspapers.com/image/174012189/?terms=William%2BLongstreth%2BElementary%2BSchool%2Bshooting")</f>
        <v>https://www.newspapers.com/image/174012189/?terms=William%2BLongstreth%2BElementary%2BSchool%2Bshooting</v>
      </c>
      <c r="L2116" s="5"/>
      <c r="M2116" s="5"/>
      <c r="N2116" s="5">
        <f ca="1">IFERROR(__xludf.DUMMYFUNCTION("""COMPUTED_VALUE"""),2)</f>
        <v>2</v>
      </c>
      <c r="O2116" s="5" t="str">
        <f ca="1">IFERROR(__xludf.DUMMYFUNCTION("""COMPUTED_VALUE"""),"Fall")</f>
        <v>Fall</v>
      </c>
      <c r="P2116" s="5" t="str">
        <f ca="1">IFERROR(__xludf.DUMMYFUNCTION("""COMPUTED_VALUE"""),"Philadelphia")</f>
        <v>Philadelphia</v>
      </c>
      <c r="Q2116" s="5" t="str">
        <f ca="1">IFERROR(__xludf.DUMMYFUNCTION("""COMPUTED_VALUE"""),"PA")</f>
        <v>PA</v>
      </c>
      <c r="R2116" s="5" t="str">
        <f ca="1">IFERROR(__xludf.DUMMYFUNCTION("""COMPUTED_VALUE"""),"Elementary")</f>
        <v>Elementary</v>
      </c>
      <c r="S2116" s="5" t="str">
        <f ca="1">IFERROR(__xludf.DUMMYFUNCTION("""COMPUTED_VALUE"""),"Basketball Court")</f>
        <v>Basketball Court</v>
      </c>
      <c r="T2116" s="5" t="str">
        <f ca="1">IFERROR(__xludf.DUMMYFUNCTION("""COMPUTED_VALUE"""),"Outside on School Property")</f>
        <v>Outside on School Property</v>
      </c>
      <c r="U2116" s="5" t="str">
        <f ca="1">IFERROR(__xludf.DUMMYFUNCTION("""COMPUTED_VALUE"""),"No")</f>
        <v>No</v>
      </c>
      <c r="V2116" s="5" t="str">
        <f ca="1">IFERROR(__xludf.DUMMYFUNCTION("""COMPUTED_VALUE"""),"Evening")</f>
        <v>Evening</v>
      </c>
      <c r="W2116" s="10">
        <f ca="1">IFERROR(__xludf.DUMMYFUNCTION("""COMPUTED_VALUE"""),0.854166666666666)</f>
        <v>0.85416666666666596</v>
      </c>
      <c r="X2116" s="5">
        <f ca="1">IFERROR(__xludf.DUMMYFUNCTION("""COMPUTED_VALUE"""),1)</f>
        <v>1</v>
      </c>
      <c r="Y2116" s="5" t="str">
        <f ca="1">IFERROR(__xludf.DUMMYFUNCTION("""COMPUTED_VALUE"""),"Fight between rival gang members on basketball court, 2 bystanders stuck")</f>
        <v>Fight between rival gang members on basketball court, 2 bystanders stuck</v>
      </c>
      <c r="Z2116" s="5" t="str">
        <f ca="1">IFERROR(__xludf.DUMMYFUNCTION("""COMPUTED_VALUE"""),"Fight between two groups of rival gang members at the school. 3 youths injured, one was gang member, 2 were bystanders playing basketball.")</f>
        <v>Fight between two groups of rival gang members at the school. 3 youths injured, one was gang member, 2 were bystanders playing basketball.</v>
      </c>
      <c r="AA2116" s="5" t="str">
        <f ca="1">IFERROR(__xludf.DUMMYFUNCTION("""COMPUTED_VALUE"""),"Escalation of Dispute")</f>
        <v>Escalation of Dispute</v>
      </c>
      <c r="AB2116" s="5" t="str">
        <f ca="1">IFERROR(__xludf.DUMMYFUNCTION("""COMPUTED_VALUE"""),"Both")</f>
        <v>Both</v>
      </c>
      <c r="AC2116" s="5" t="str">
        <f ca="1">IFERROR(__xludf.DUMMYFUNCTION("""COMPUTED_VALUE"""),"Yes")</f>
        <v>Yes</v>
      </c>
      <c r="AD2116" s="5" t="str">
        <f ca="1">IFERROR(__xludf.DUMMYFUNCTION("""COMPUTED_VALUE"""),"No")</f>
        <v>No</v>
      </c>
      <c r="AE2116" s="5" t="str">
        <f ca="1">IFERROR(__xludf.DUMMYFUNCTION("""COMPUTED_VALUE"""),"No")</f>
        <v>No</v>
      </c>
      <c r="AF2116" s="5" t="str">
        <f ca="1">IFERROR(__xludf.DUMMYFUNCTION("""COMPUTED_VALUE"""),"No")</f>
        <v>No</v>
      </c>
      <c r="AG2116" s="5" t="str">
        <f ca="1">IFERROR(__xludf.DUMMYFUNCTION("""COMPUTED_VALUE"""),"No")</f>
        <v>No</v>
      </c>
      <c r="AH2116" s="5" t="str">
        <f ca="1">IFERROR(__xludf.DUMMYFUNCTION("""COMPUTED_VALUE"""),"No")</f>
        <v>No</v>
      </c>
      <c r="AI2116" s="5" t="str">
        <f ca="1">IFERROR(__xludf.DUMMYFUNCTION("""COMPUTED_VALUE"""),"Yes")</f>
        <v>Yes</v>
      </c>
      <c r="AJ2116" s="5"/>
    </row>
    <row r="2117" spans="1:36" ht="13">
      <c r="A2117" s="5" t="str">
        <f ca="1">IFERROR(__xludf.DUMMYFUNCTION("""COMPUTED_VALUE"""),"19810515LANEN")</f>
        <v>19810515LANEN</v>
      </c>
      <c r="B2117" s="5">
        <f ca="1">IFERROR(__xludf.DUMMYFUNCTION("""COMPUTED_VALUE"""),5)</f>
        <v>5</v>
      </c>
      <c r="C2117" s="5">
        <f ca="1">IFERROR(__xludf.DUMMYFUNCTION("""COMPUTED_VALUE"""),15)</f>
        <v>15</v>
      </c>
      <c r="D2117" s="5">
        <f ca="1">IFERROR(__xludf.DUMMYFUNCTION("""COMPUTED_VALUE"""),1981)</f>
        <v>1981</v>
      </c>
      <c r="E2117" s="8">
        <f ca="1">IFERROR(__xludf.DUMMYFUNCTION("""COMPUTED_VALUE"""),29721)</f>
        <v>29721</v>
      </c>
      <c r="F2117" s="5" t="str">
        <f ca="1">IFERROR(__xludf.DUMMYFUNCTION("""COMPUTED_VALUE"""),"New Iberia Junior HIgh School")</f>
        <v>New Iberia Junior HIgh School</v>
      </c>
      <c r="G2117" s="5">
        <f ca="1">IFERROR(__xludf.DUMMYFUNCTION("""COMPUTED_VALUE"""),0)</f>
        <v>0</v>
      </c>
      <c r="H2117" s="5">
        <f ca="1">IFERROR(__xludf.DUMMYFUNCTION("""COMPUTED_VALUE"""),1)</f>
        <v>1</v>
      </c>
      <c r="I2117" s="5">
        <f ca="1">IFERROR(__xludf.DUMMYFUNCTION("""COMPUTED_VALUE"""),1)</f>
        <v>1</v>
      </c>
      <c r="J2117" s="5">
        <f ca="1">IFERROR(__xludf.DUMMYFUNCTION("""COMPUTED_VALUE"""),0)</f>
        <v>0</v>
      </c>
      <c r="K2117" s="9" t="str">
        <f ca="1">IFERROR(__xludf.DUMMYFUNCTION("""COMPUTED_VALUE"""),"https://www.newspapers.com/image/216284765/?terms=new%2BIberia%2Bteacher%2Bshot")</f>
        <v>https://www.newspapers.com/image/216284765/?terms=new%2BIberia%2Bteacher%2Bshot</v>
      </c>
      <c r="L2117" s="5"/>
      <c r="M2117" s="5"/>
      <c r="N2117" s="5">
        <f ca="1">IFERROR(__xludf.DUMMYFUNCTION("""COMPUTED_VALUE"""),2)</f>
        <v>2</v>
      </c>
      <c r="O2117" s="5" t="str">
        <f ca="1">IFERROR(__xludf.DUMMYFUNCTION("""COMPUTED_VALUE"""),"Spring")</f>
        <v>Spring</v>
      </c>
      <c r="P2117" s="5" t="str">
        <f ca="1">IFERROR(__xludf.DUMMYFUNCTION("""COMPUTED_VALUE"""),"New Iberia")</f>
        <v>New Iberia</v>
      </c>
      <c r="Q2117" s="5" t="str">
        <f ca="1">IFERROR(__xludf.DUMMYFUNCTION("""COMPUTED_VALUE"""),"LA")</f>
        <v>LA</v>
      </c>
      <c r="R2117" s="5" t="str">
        <f ca="1">IFERROR(__xludf.DUMMYFUNCTION("""COMPUTED_VALUE"""),"Junior High")</f>
        <v>Junior High</v>
      </c>
      <c r="S2117" s="5" t="str">
        <f ca="1">IFERROR(__xludf.DUMMYFUNCTION("""COMPUTED_VALUE"""),"Inside School Building")</f>
        <v>Inside School Building</v>
      </c>
      <c r="T2117" s="5" t="str">
        <f ca="1">IFERROR(__xludf.DUMMYFUNCTION("""COMPUTED_VALUE"""),"Inside School Building")</f>
        <v>Inside School Building</v>
      </c>
      <c r="U2117" s="5" t="str">
        <f ca="1">IFERROR(__xludf.DUMMYFUNCTION("""COMPUTED_VALUE"""),"Yes")</f>
        <v>Yes</v>
      </c>
      <c r="V2117" s="5" t="str">
        <f ca="1">IFERROR(__xludf.DUMMYFUNCTION("""COMPUTED_VALUE"""),"Before School")</f>
        <v>Before School</v>
      </c>
      <c r="W2117" s="10">
        <f ca="1">IFERROR(__xludf.DUMMYFUNCTION("""COMPUTED_VALUE"""),0.333333333333333)</f>
        <v>0.33333333333333298</v>
      </c>
      <c r="X2117" s="5">
        <f ca="1">IFERROR(__xludf.DUMMYFUNCTION("""COMPUTED_VALUE"""),1)</f>
        <v>1</v>
      </c>
      <c r="Y2117" s="5" t="str">
        <f ca="1">IFERROR(__xludf.DUMMYFUNCTION("""COMPUTED_VALUE"""),"Vice Principal shoots teacher in language arts class before school")</f>
        <v>Vice Principal shoots teacher in language arts class before school</v>
      </c>
      <c r="Z2117" s="5" t="str">
        <f ca="1">IFERROR(__xludf.DUMMYFUNCTION("""COMPUTED_VALUE"""),"42 year old vice principal shoots language arts teacher (28 year-old female) - his girlfriend 6 times, hits her three. Later turns himself in and pleads not guilty by reason of insanity.")</f>
        <v>42 year old vice principal shoots language arts teacher (28 year-old female) - his girlfriend 6 times, hits her three. Later turns himself in and pleads not guilty by reason of insanity.</v>
      </c>
      <c r="AA2117" s="5" t="str">
        <f ca="1">IFERROR(__xludf.DUMMYFUNCTION("""COMPUTED_VALUE"""),"Domestic w/ Targeted Victim")</f>
        <v>Domestic w/ Targeted Victim</v>
      </c>
      <c r="AB2117" s="5" t="str">
        <f ca="1">IFERROR(__xludf.DUMMYFUNCTION("""COMPUTED_VALUE"""),"Victims Targeted")</f>
        <v>Victims Targeted</v>
      </c>
      <c r="AC2117" s="5" t="str">
        <f ca="1">IFERROR(__xludf.DUMMYFUNCTION("""COMPUTED_VALUE"""),"No")</f>
        <v>No</v>
      </c>
      <c r="AD2117" s="5" t="str">
        <f ca="1">IFERROR(__xludf.DUMMYFUNCTION("""COMPUTED_VALUE"""),"No")</f>
        <v>No</v>
      </c>
      <c r="AE2117" s="5" t="str">
        <f ca="1">IFERROR(__xludf.DUMMYFUNCTION("""COMPUTED_VALUE"""),"No")</f>
        <v>No</v>
      </c>
      <c r="AF2117" s="5" t="str">
        <f ca="1">IFERROR(__xludf.DUMMYFUNCTION("""COMPUTED_VALUE"""),"No")</f>
        <v>No</v>
      </c>
      <c r="AG2117" s="5" t="str">
        <f ca="1">IFERROR(__xludf.DUMMYFUNCTION("""COMPUTED_VALUE"""),"No")</f>
        <v>No</v>
      </c>
      <c r="AH2117" s="5" t="str">
        <f ca="1">IFERROR(__xludf.DUMMYFUNCTION("""COMPUTED_VALUE"""),"Yes")</f>
        <v>Yes</v>
      </c>
      <c r="AI2117" s="5" t="str">
        <f ca="1">IFERROR(__xludf.DUMMYFUNCTION("""COMPUTED_VALUE"""),"No")</f>
        <v>No</v>
      </c>
      <c r="AJ2117" s="5"/>
    </row>
    <row r="2118" spans="1:36" ht="13">
      <c r="A2118" s="5" t="str">
        <f ca="1">IFERROR(__xludf.DUMMYFUNCTION("""COMPUTED_VALUE"""),"19810407MSPOP")</f>
        <v>19810407MSPOP</v>
      </c>
      <c r="B2118" s="5">
        <f ca="1">IFERROR(__xludf.DUMMYFUNCTION("""COMPUTED_VALUE"""),4)</f>
        <v>4</v>
      </c>
      <c r="C2118" s="5">
        <f ca="1">IFERROR(__xludf.DUMMYFUNCTION("""COMPUTED_VALUE"""),7)</f>
        <v>7</v>
      </c>
      <c r="D2118" s="5">
        <f ca="1">IFERROR(__xludf.DUMMYFUNCTION("""COMPUTED_VALUE"""),1981)</f>
        <v>1981</v>
      </c>
      <c r="E2118" s="8">
        <f ca="1">IFERROR(__xludf.DUMMYFUNCTION("""COMPUTED_VALUE"""),29683)</f>
        <v>29683</v>
      </c>
      <c r="F2118" s="5" t="str">
        <f ca="1">IFERROR(__xludf.DUMMYFUNCTION("""COMPUTED_VALUE"""),"Poplarville High School")</f>
        <v>Poplarville High School</v>
      </c>
      <c r="G2118" s="5">
        <f ca="1">IFERROR(__xludf.DUMMYFUNCTION("""COMPUTED_VALUE"""),0)</f>
        <v>0</v>
      </c>
      <c r="H2118" s="5">
        <f ca="1">IFERROR(__xludf.DUMMYFUNCTION("""COMPUTED_VALUE"""),1)</f>
        <v>1</v>
      </c>
      <c r="I2118" s="5">
        <f ca="1">IFERROR(__xludf.DUMMYFUNCTION("""COMPUTED_VALUE"""),1)</f>
        <v>1</v>
      </c>
      <c r="J2118" s="5">
        <f ca="1">IFERROR(__xludf.DUMMYFUNCTION("""COMPUTED_VALUE"""),0)</f>
        <v>0</v>
      </c>
      <c r="K2118" s="9" t="str">
        <f ca="1">IFERROR(__xludf.DUMMYFUNCTION("""COMPUTED_VALUE"""),"https://www.newspapers.com/image/278826646/?terms=student%2Bshot")</f>
        <v>https://www.newspapers.com/image/278826646/?terms=student%2Bshot</v>
      </c>
      <c r="L2118" s="5"/>
      <c r="M2118" s="5"/>
      <c r="N2118" s="5">
        <f ca="1">IFERROR(__xludf.DUMMYFUNCTION("""COMPUTED_VALUE"""),2)</f>
        <v>2</v>
      </c>
      <c r="O2118" s="5" t="str">
        <f ca="1">IFERROR(__xludf.DUMMYFUNCTION("""COMPUTED_VALUE"""),"Spring")</f>
        <v>Spring</v>
      </c>
      <c r="P2118" s="5" t="str">
        <f ca="1">IFERROR(__xludf.DUMMYFUNCTION("""COMPUTED_VALUE"""),"Poplarville")</f>
        <v>Poplarville</v>
      </c>
      <c r="Q2118" s="5" t="str">
        <f ca="1">IFERROR(__xludf.DUMMYFUNCTION("""COMPUTED_VALUE"""),"MS")</f>
        <v>MS</v>
      </c>
      <c r="R2118" s="5" t="str">
        <f ca="1">IFERROR(__xludf.DUMMYFUNCTION("""COMPUTED_VALUE"""),"High")</f>
        <v>High</v>
      </c>
      <c r="S2118" s="5" t="str">
        <f ca="1">IFERROR(__xludf.DUMMYFUNCTION("""COMPUTED_VALUE"""),"Beside Building")</f>
        <v>Beside Building</v>
      </c>
      <c r="T2118" s="5" t="str">
        <f ca="1">IFERROR(__xludf.DUMMYFUNCTION("""COMPUTED_VALUE"""),"Outside on School Property")</f>
        <v>Outside on School Property</v>
      </c>
      <c r="U2118" s="5" t="str">
        <f ca="1">IFERROR(__xludf.DUMMYFUNCTION("""COMPUTED_VALUE"""),"Yes")</f>
        <v>Yes</v>
      </c>
      <c r="V2118" s="5" t="str">
        <f ca="1">IFERROR(__xludf.DUMMYFUNCTION("""COMPUTED_VALUE"""),"Sport Event")</f>
        <v>Sport Event</v>
      </c>
      <c r="W2118" s="5"/>
      <c r="X2118" s="5">
        <f ca="1">IFERROR(__xludf.DUMMYFUNCTION("""COMPUTED_VALUE"""),1)</f>
        <v>1</v>
      </c>
      <c r="Y2118" s="5" t="str">
        <f ca="1">IFERROR(__xludf.DUMMYFUNCTION("""COMPUTED_VALUE"""),"Victim shot by unknown assailant while standing next to school building")</f>
        <v>Victim shot by unknown assailant while standing next to school building</v>
      </c>
      <c r="Z2118" s="5" t="str">
        <f ca="1">IFERROR(__xludf.DUMMYFUNCTION("""COMPUTED_VALUE"""),"Victim was shot in the leg while standing next to school building after softball game - unknown shooter - no information on whether shooter was caught.")</f>
        <v>Victim was shot in the leg while standing next to school building after softball game - unknown shooter - no information on whether shooter was caught.</v>
      </c>
      <c r="AA2118" s="5" t="str">
        <f ca="1">IFERROR(__xludf.DUMMYFUNCTION("""COMPUTED_VALUE"""),"Unknown")</f>
        <v>Unknown</v>
      </c>
      <c r="AB2118" s="5"/>
      <c r="AC2118" s="5" t="str">
        <f ca="1">IFERROR(__xludf.DUMMYFUNCTION("""COMPUTED_VALUE"""),"No")</f>
        <v>No</v>
      </c>
      <c r="AD2118" s="5" t="str">
        <f ca="1">IFERROR(__xludf.DUMMYFUNCTION("""COMPUTED_VALUE"""),"No")</f>
        <v>No</v>
      </c>
      <c r="AE2118" s="5" t="str">
        <f ca="1">IFERROR(__xludf.DUMMYFUNCTION("""COMPUTED_VALUE"""),"No")</f>
        <v>No</v>
      </c>
      <c r="AF2118" s="5" t="str">
        <f ca="1">IFERROR(__xludf.DUMMYFUNCTION("""COMPUTED_VALUE"""),"No")</f>
        <v>No</v>
      </c>
      <c r="AG2118" s="5" t="str">
        <f ca="1">IFERROR(__xludf.DUMMYFUNCTION("""COMPUTED_VALUE"""),"No")</f>
        <v>No</v>
      </c>
      <c r="AH2118" s="5" t="str">
        <f ca="1">IFERROR(__xludf.DUMMYFUNCTION("""COMPUTED_VALUE"""),"No")</f>
        <v>No</v>
      </c>
      <c r="AI2118" s="5"/>
      <c r="AJ2118" s="5"/>
    </row>
    <row r="2119" spans="1:36" ht="13">
      <c r="A2119" s="5" t="str">
        <f ca="1">IFERROR(__xludf.DUMMYFUNCTION("""COMPUTED_VALUE"""),"19810402OHALC")</f>
        <v>19810402OHALC</v>
      </c>
      <c r="B2119" s="5">
        <f ca="1">IFERROR(__xludf.DUMMYFUNCTION("""COMPUTED_VALUE"""),4)</f>
        <v>4</v>
      </c>
      <c r="C2119" s="5">
        <f ca="1">IFERROR(__xludf.DUMMYFUNCTION("""COMPUTED_VALUE"""),2)</f>
        <v>2</v>
      </c>
      <c r="D2119" s="5">
        <f ca="1">IFERROR(__xludf.DUMMYFUNCTION("""COMPUTED_VALUE"""),1981)</f>
        <v>1981</v>
      </c>
      <c r="E2119" s="8">
        <f ca="1">IFERROR(__xludf.DUMMYFUNCTION("""COMPUTED_VALUE"""),29678)</f>
        <v>29678</v>
      </c>
      <c r="F2119" s="5" t="str">
        <f ca="1">IFERROR(__xludf.DUMMYFUNCTION("""COMPUTED_VALUE"""),"Alexander Hamilton Junior High School")</f>
        <v>Alexander Hamilton Junior High School</v>
      </c>
      <c r="G2119" s="5">
        <f ca="1">IFERROR(__xludf.DUMMYFUNCTION("""COMPUTED_VALUE"""),0)</f>
        <v>0</v>
      </c>
      <c r="H2119" s="5">
        <f ca="1">IFERROR(__xludf.DUMMYFUNCTION("""COMPUTED_VALUE"""),1)</f>
        <v>1</v>
      </c>
      <c r="I2119" s="5">
        <f ca="1">IFERROR(__xludf.DUMMYFUNCTION("""COMPUTED_VALUE"""),1)</f>
        <v>1</v>
      </c>
      <c r="J2119" s="5">
        <f ca="1">IFERROR(__xludf.DUMMYFUNCTION("""COMPUTED_VALUE"""),0)</f>
        <v>0</v>
      </c>
      <c r="K2119" s="5" t="str">
        <f ca="1">IFERROR(__xludf.DUMMYFUNCTION("""COMPUTED_VALUE"""),"https://www.newspapers.com/image/288125878/?terms=student%2Bshot; https://www.newspapers.com/image/254738560/?terms=student%2Bshot; https://www.newspapers.com/image/181193833/?terms=student%2Bshot")</f>
        <v>https://www.newspapers.com/image/288125878/?terms=student%2Bshot; https://www.newspapers.com/image/254738560/?terms=student%2Bshot; https://www.newspapers.com/image/181193833/?terms=student%2Bshot</v>
      </c>
      <c r="L2119" s="5"/>
      <c r="M2119" s="5"/>
      <c r="N2119" s="5">
        <f ca="1">IFERROR(__xludf.DUMMYFUNCTION("""COMPUTED_VALUE"""),3)</f>
        <v>3</v>
      </c>
      <c r="O2119" s="5" t="str">
        <f ca="1">IFERROR(__xludf.DUMMYFUNCTION("""COMPUTED_VALUE"""),"Spring")</f>
        <v>Spring</v>
      </c>
      <c r="P2119" s="5" t="str">
        <f ca="1">IFERROR(__xludf.DUMMYFUNCTION("""COMPUTED_VALUE"""),"Cleveland")</f>
        <v>Cleveland</v>
      </c>
      <c r="Q2119" s="5" t="str">
        <f ca="1">IFERROR(__xludf.DUMMYFUNCTION("""COMPUTED_VALUE"""),"OH")</f>
        <v>OH</v>
      </c>
      <c r="R2119" s="5" t="str">
        <f ca="1">IFERROR(__xludf.DUMMYFUNCTION("""COMPUTED_VALUE"""),"Junior High")</f>
        <v>Junior High</v>
      </c>
      <c r="S2119" s="5" t="str">
        <f ca="1">IFERROR(__xludf.DUMMYFUNCTION("""COMPUTED_VALUE"""),"Bathroom")</f>
        <v>Bathroom</v>
      </c>
      <c r="T2119" s="5" t="str">
        <f ca="1">IFERROR(__xludf.DUMMYFUNCTION("""COMPUTED_VALUE"""),"Inside School Building")</f>
        <v>Inside School Building</v>
      </c>
      <c r="U2119" s="5" t="str">
        <f ca="1">IFERROR(__xludf.DUMMYFUNCTION("""COMPUTED_VALUE"""),"Yes")</f>
        <v>Yes</v>
      </c>
      <c r="V2119" s="5" t="str">
        <f ca="1">IFERROR(__xludf.DUMMYFUNCTION("""COMPUTED_VALUE"""),"Before School")</f>
        <v>Before School</v>
      </c>
      <c r="W2119" s="10">
        <f ca="1">IFERROR(__xludf.DUMMYFUNCTION("""COMPUTED_VALUE"""),0.322916666666666)</f>
        <v>0.32291666666666602</v>
      </c>
      <c r="X2119" s="5">
        <f ca="1">IFERROR(__xludf.DUMMYFUNCTION("""COMPUTED_VALUE"""),1)</f>
        <v>1</v>
      </c>
      <c r="Y2119" s="5" t="str">
        <f ca="1">IFERROR(__xludf.DUMMYFUNCTION("""COMPUTED_VALUE"""),"Shooter tried to talk victim out of testifying")</f>
        <v>Shooter tried to talk victim out of testifying</v>
      </c>
      <c r="Z2119" s="5" t="str">
        <f ca="1">IFERROR(__xludf.DUMMYFUNCTION("""COMPUTED_VALUE"""),"Shooter confronts victim in school bathroom in an effort to get him to not testify - victim shot - suspect fled and later caught.")</f>
        <v>Shooter confronts victim in school bathroom in an effort to get him to not testify - victim shot - suspect fled and later caught.</v>
      </c>
      <c r="AA2119" s="5" t="str">
        <f ca="1">IFERROR(__xludf.DUMMYFUNCTION("""COMPUTED_VALUE"""),"Escalation of Dispute")</f>
        <v>Escalation of Dispute</v>
      </c>
      <c r="AB2119" s="5" t="str">
        <f ca="1">IFERROR(__xludf.DUMMYFUNCTION("""COMPUTED_VALUE"""),"Victims Targeted")</f>
        <v>Victims Targeted</v>
      </c>
      <c r="AC2119" s="5" t="str">
        <f ca="1">IFERROR(__xludf.DUMMYFUNCTION("""COMPUTED_VALUE"""),"No")</f>
        <v>No</v>
      </c>
      <c r="AD2119" s="5" t="str">
        <f ca="1">IFERROR(__xludf.DUMMYFUNCTION("""COMPUTED_VALUE"""),"No")</f>
        <v>No</v>
      </c>
      <c r="AE2119" s="5" t="str">
        <f ca="1">IFERROR(__xludf.DUMMYFUNCTION("""COMPUTED_VALUE"""),"No")</f>
        <v>No</v>
      </c>
      <c r="AF2119" s="5" t="str">
        <f ca="1">IFERROR(__xludf.DUMMYFUNCTION("""COMPUTED_VALUE"""),"No")</f>
        <v>No</v>
      </c>
      <c r="AG2119" s="5" t="str">
        <f ca="1">IFERROR(__xludf.DUMMYFUNCTION("""COMPUTED_VALUE"""),"No")</f>
        <v>No</v>
      </c>
      <c r="AH2119" s="5" t="str">
        <f ca="1">IFERROR(__xludf.DUMMYFUNCTION("""COMPUTED_VALUE"""),"No")</f>
        <v>No</v>
      </c>
      <c r="AI2119" s="5" t="str">
        <f ca="1">IFERROR(__xludf.DUMMYFUNCTION("""COMPUTED_VALUE"""),"No")</f>
        <v>No</v>
      </c>
      <c r="AJ2119" s="5"/>
    </row>
    <row r="2120" spans="1:36" ht="13">
      <c r="A2120" s="5" t="str">
        <f ca="1">IFERROR(__xludf.DUMMYFUNCTION("""COMPUTED_VALUE"""),"19810328FLDIF")</f>
        <v>19810328FLDIF</v>
      </c>
      <c r="B2120" s="5">
        <f ca="1">IFERROR(__xludf.DUMMYFUNCTION("""COMPUTED_VALUE"""),3)</f>
        <v>3</v>
      </c>
      <c r="C2120" s="5">
        <f ca="1">IFERROR(__xludf.DUMMYFUNCTION("""COMPUTED_VALUE"""),28)</f>
        <v>28</v>
      </c>
      <c r="D2120" s="5">
        <f ca="1">IFERROR(__xludf.DUMMYFUNCTION("""COMPUTED_VALUE"""),1981)</f>
        <v>1981</v>
      </c>
      <c r="E2120" s="8">
        <f ca="1">IFERROR(__xludf.DUMMYFUNCTION("""COMPUTED_VALUE"""),29673)</f>
        <v>29673</v>
      </c>
      <c r="F2120" s="5" t="str">
        <f ca="1">IFERROR(__xludf.DUMMYFUNCTION("""COMPUTED_VALUE"""),"Dillard High School")</f>
        <v>Dillard High School</v>
      </c>
      <c r="G2120" s="5">
        <f ca="1">IFERROR(__xludf.DUMMYFUNCTION("""COMPUTED_VALUE"""),1)</f>
        <v>1</v>
      </c>
      <c r="H2120" s="5">
        <f ca="1">IFERROR(__xludf.DUMMYFUNCTION("""COMPUTED_VALUE"""),0)</f>
        <v>0</v>
      </c>
      <c r="I2120" s="5">
        <f ca="1">IFERROR(__xludf.DUMMYFUNCTION("""COMPUTED_VALUE"""),1)</f>
        <v>1</v>
      </c>
      <c r="J2120" s="5">
        <f ca="1">IFERROR(__xludf.DUMMYFUNCTION("""COMPUTED_VALUE"""),0)</f>
        <v>0</v>
      </c>
      <c r="K2120" s="9" t="str">
        <f ca="1">IFERROR(__xludf.DUMMYFUNCTION("""COMPUTED_VALUE"""),"https://www.newspapers.com/image/235456423/?terms=dillard%2Bhigh%2Bschool%2Bshooting")</f>
        <v>https://www.newspapers.com/image/235456423/?terms=dillard%2Bhigh%2Bschool%2Bshooting</v>
      </c>
      <c r="L2120" s="5"/>
      <c r="M2120" s="5"/>
      <c r="N2120" s="5">
        <f ca="1">IFERROR(__xludf.DUMMYFUNCTION("""COMPUTED_VALUE"""),2)</f>
        <v>2</v>
      </c>
      <c r="O2120" s="5" t="str">
        <f ca="1">IFERROR(__xludf.DUMMYFUNCTION("""COMPUTED_VALUE"""),"Spring")</f>
        <v>Spring</v>
      </c>
      <c r="P2120" s="5" t="str">
        <f ca="1">IFERROR(__xludf.DUMMYFUNCTION("""COMPUTED_VALUE"""),"Fort Lauderdale")</f>
        <v>Fort Lauderdale</v>
      </c>
      <c r="Q2120" s="5" t="str">
        <f ca="1">IFERROR(__xludf.DUMMYFUNCTION("""COMPUTED_VALUE"""),"FL")</f>
        <v>FL</v>
      </c>
      <c r="R2120" s="5" t="str">
        <f ca="1">IFERROR(__xludf.DUMMYFUNCTION("""COMPUTED_VALUE"""),"High")</f>
        <v>High</v>
      </c>
      <c r="S2120" s="5" t="str">
        <f ca="1">IFERROR(__xludf.DUMMYFUNCTION("""COMPUTED_VALUE"""),"Beside Building")</f>
        <v>Beside Building</v>
      </c>
      <c r="T2120" s="5" t="str">
        <f ca="1">IFERROR(__xludf.DUMMYFUNCTION("""COMPUTED_VALUE"""),"Outside on School Property")</f>
        <v>Outside on School Property</v>
      </c>
      <c r="U2120" s="5" t="str">
        <f ca="1">IFERROR(__xludf.DUMMYFUNCTION("""COMPUTED_VALUE"""),"No")</f>
        <v>No</v>
      </c>
      <c r="V2120" s="5" t="str">
        <f ca="1">IFERROR(__xludf.DUMMYFUNCTION("""COMPUTED_VALUE"""),"School Event")</f>
        <v>School Event</v>
      </c>
      <c r="W2120" s="10">
        <f ca="1">IFERROR(__xludf.DUMMYFUNCTION("""COMPUTED_VALUE"""),0.875)</f>
        <v>0.875</v>
      </c>
      <c r="X2120" s="5">
        <f ca="1">IFERROR(__xludf.DUMMYFUNCTION("""COMPUTED_VALUE"""),1)</f>
        <v>1</v>
      </c>
      <c r="Y2120" s="5" t="str">
        <f ca="1">IFERROR(__xludf.DUMMYFUNCTION("""COMPUTED_VALUE"""),"Shot outside the school dance following an argument with suspects")</f>
        <v>Shot outside the school dance following an argument with suspects</v>
      </c>
      <c r="Z2120" s="5" t="str">
        <f ca="1">IFERROR(__xludf.DUMMYFUNCTION("""COMPUTED_VALUE"""),"19YOM was shot and killed outside of the school dance by two 18YOMs. Victim had a prior argument with the shooter.")</f>
        <v>19YOM was shot and killed outside of the school dance by two 18YOMs. Victim had a prior argument with the shooter.</v>
      </c>
      <c r="AA2120" s="5" t="str">
        <f ca="1">IFERROR(__xludf.DUMMYFUNCTION("""COMPUTED_VALUE"""),"Escalation of Dispute")</f>
        <v>Escalation of Dispute</v>
      </c>
      <c r="AB2120" s="5" t="str">
        <f ca="1">IFERROR(__xludf.DUMMYFUNCTION("""COMPUTED_VALUE"""),"Victims Targeted")</f>
        <v>Victims Targeted</v>
      </c>
      <c r="AC2120" s="5" t="str">
        <f ca="1">IFERROR(__xludf.DUMMYFUNCTION("""COMPUTED_VALUE"""),"Yes")</f>
        <v>Yes</v>
      </c>
      <c r="AD2120" s="5" t="str">
        <f ca="1">IFERROR(__xludf.DUMMYFUNCTION("""COMPUTED_VALUE"""),"No")</f>
        <v>No</v>
      </c>
      <c r="AE2120" s="5" t="str">
        <f ca="1">IFERROR(__xludf.DUMMYFUNCTION("""COMPUTED_VALUE"""),"No")</f>
        <v>No</v>
      </c>
      <c r="AF2120" s="5" t="str">
        <f ca="1">IFERROR(__xludf.DUMMYFUNCTION("""COMPUTED_VALUE"""),"No")</f>
        <v>No</v>
      </c>
      <c r="AG2120" s="5" t="str">
        <f ca="1">IFERROR(__xludf.DUMMYFUNCTION("""COMPUTED_VALUE"""),"No")</f>
        <v>No</v>
      </c>
      <c r="AH2120" s="5" t="str">
        <f ca="1">IFERROR(__xludf.DUMMYFUNCTION("""COMPUTED_VALUE"""),"No")</f>
        <v>No</v>
      </c>
      <c r="AI2120" s="5" t="str">
        <f ca="1">IFERROR(__xludf.DUMMYFUNCTION("""COMPUTED_VALUE"""),"No")</f>
        <v>No</v>
      </c>
      <c r="AJ2120" s="5"/>
    </row>
    <row r="2121" spans="1:36" ht="13">
      <c r="A2121" s="5" t="str">
        <f ca="1">IFERROR(__xludf.DUMMYFUNCTION("""COMPUTED_VALUE"""),"19810303INMAI")</f>
        <v>19810303INMAI</v>
      </c>
      <c r="B2121" s="5">
        <f ca="1">IFERROR(__xludf.DUMMYFUNCTION("""COMPUTED_VALUE"""),3)</f>
        <v>3</v>
      </c>
      <c r="C2121" s="5">
        <f ca="1">IFERROR(__xludf.DUMMYFUNCTION("""COMPUTED_VALUE"""),3)</f>
        <v>3</v>
      </c>
      <c r="D2121" s="5">
        <f ca="1">IFERROR(__xludf.DUMMYFUNCTION("""COMPUTED_VALUE"""),1981)</f>
        <v>1981</v>
      </c>
      <c r="E2121" s="8">
        <f ca="1">IFERROR(__xludf.DUMMYFUNCTION("""COMPUTED_VALUE"""),29648)</f>
        <v>29648</v>
      </c>
      <c r="F2121" s="5" t="str">
        <f ca="1">IFERROR(__xludf.DUMMYFUNCTION("""COMPUTED_VALUE"""),"Marshall High School")</f>
        <v>Marshall High School</v>
      </c>
      <c r="G2121" s="5">
        <f ca="1">IFERROR(__xludf.DUMMYFUNCTION("""COMPUTED_VALUE"""),0)</f>
        <v>0</v>
      </c>
      <c r="H2121" s="5">
        <f ca="1">IFERROR(__xludf.DUMMYFUNCTION("""COMPUTED_VALUE"""),1)</f>
        <v>1</v>
      </c>
      <c r="I2121" s="5">
        <f ca="1">IFERROR(__xludf.DUMMYFUNCTION("""COMPUTED_VALUE"""),1)</f>
        <v>1</v>
      </c>
      <c r="J2121" s="5">
        <f ca="1">IFERROR(__xludf.DUMMYFUNCTION("""COMPUTED_VALUE"""),0)</f>
        <v>0</v>
      </c>
      <c r="K2121" s="9" t="str">
        <f ca="1">IFERROR(__xludf.DUMMYFUNCTION("""COMPUTED_VALUE"""),"https://www.newspapers.com/image/312662676/?terms=student%2Bshot")</f>
        <v>https://www.newspapers.com/image/312662676/?terms=student%2Bshot</v>
      </c>
      <c r="L2121" s="5"/>
      <c r="M2121" s="5"/>
      <c r="N2121" s="5">
        <f ca="1">IFERROR(__xludf.DUMMYFUNCTION("""COMPUTED_VALUE"""),2)</f>
        <v>2</v>
      </c>
      <c r="O2121" s="5" t="str">
        <f ca="1">IFERROR(__xludf.DUMMYFUNCTION("""COMPUTED_VALUE"""),"Spring")</f>
        <v>Spring</v>
      </c>
      <c r="P2121" s="5" t="str">
        <f ca="1">IFERROR(__xludf.DUMMYFUNCTION("""COMPUTED_VALUE"""),"Indianapolis")</f>
        <v>Indianapolis</v>
      </c>
      <c r="Q2121" s="5" t="str">
        <f ca="1">IFERROR(__xludf.DUMMYFUNCTION("""COMPUTED_VALUE"""),"IN")</f>
        <v>IN</v>
      </c>
      <c r="R2121" s="5" t="str">
        <f ca="1">IFERROR(__xludf.DUMMYFUNCTION("""COMPUTED_VALUE"""),"High")</f>
        <v>High</v>
      </c>
      <c r="S2121" s="5" t="str">
        <f ca="1">IFERROR(__xludf.DUMMYFUNCTION("""COMPUTED_VALUE"""),"Hallway")</f>
        <v>Hallway</v>
      </c>
      <c r="T2121" s="5" t="str">
        <f ca="1">IFERROR(__xludf.DUMMYFUNCTION("""COMPUTED_VALUE"""),"Inside School Building")</f>
        <v>Inside School Building</v>
      </c>
      <c r="U2121" s="5" t="str">
        <f ca="1">IFERROR(__xludf.DUMMYFUNCTION("""COMPUTED_VALUE"""),"Yes")</f>
        <v>Yes</v>
      </c>
      <c r="V2121" s="5" t="str">
        <f ca="1">IFERROR(__xludf.DUMMYFUNCTION("""COMPUTED_VALUE"""),"Morning Classes")</f>
        <v>Morning Classes</v>
      </c>
      <c r="W2121" s="10">
        <f ca="1">IFERROR(__xludf.DUMMYFUNCTION("""COMPUTED_VALUE"""),0.361111111111111)</f>
        <v>0.36111111111111099</v>
      </c>
      <c r="X2121" s="5">
        <f ca="1">IFERROR(__xludf.DUMMYFUNCTION("""COMPUTED_VALUE"""),1)</f>
        <v>1</v>
      </c>
      <c r="Y2121" s="5" t="str">
        <f ca="1">IFERROR(__xludf.DUMMYFUNCTION("""COMPUTED_VALUE"""),"Ongoing conflicts with fellow students")</f>
        <v>Ongoing conflicts with fellow students</v>
      </c>
      <c r="Z2121" s="5" t="str">
        <f ca="1">IFERROR(__xludf.DUMMYFUNCTION("""COMPUTED_VALUE"""),"15YOM shot 16YOM student during an argument in the hallway.")</f>
        <v>15YOM shot 16YOM student during an argument in the hallway.</v>
      </c>
      <c r="AA2121" s="5" t="str">
        <f ca="1">IFERROR(__xludf.DUMMYFUNCTION("""COMPUTED_VALUE"""),"Escalation of Dispute")</f>
        <v>Escalation of Dispute</v>
      </c>
      <c r="AB2121" s="5" t="str">
        <f ca="1">IFERROR(__xludf.DUMMYFUNCTION("""COMPUTED_VALUE"""),"Victims Targeted")</f>
        <v>Victims Targeted</v>
      </c>
      <c r="AC2121" s="5" t="str">
        <f ca="1">IFERROR(__xludf.DUMMYFUNCTION("""COMPUTED_VALUE"""),"No")</f>
        <v>No</v>
      </c>
      <c r="AD2121" s="5" t="str">
        <f ca="1">IFERROR(__xludf.DUMMYFUNCTION("""COMPUTED_VALUE"""),"No")</f>
        <v>No</v>
      </c>
      <c r="AE2121" s="5" t="str">
        <f ca="1">IFERROR(__xludf.DUMMYFUNCTION("""COMPUTED_VALUE"""),"No")</f>
        <v>No</v>
      </c>
      <c r="AF2121" s="5" t="str">
        <f ca="1">IFERROR(__xludf.DUMMYFUNCTION("""COMPUTED_VALUE"""),"No")</f>
        <v>No</v>
      </c>
      <c r="AG2121" s="5"/>
      <c r="AH2121" s="5" t="str">
        <f ca="1">IFERROR(__xludf.DUMMYFUNCTION("""COMPUTED_VALUE"""),"No")</f>
        <v>No</v>
      </c>
      <c r="AI2121" s="5" t="str">
        <f ca="1">IFERROR(__xludf.DUMMYFUNCTION("""COMPUTED_VALUE"""),"No")</f>
        <v>No</v>
      </c>
      <c r="AJ2121" s="5"/>
    </row>
    <row r="2122" spans="1:36" ht="13">
      <c r="A2122" s="5" t="str">
        <f ca="1">IFERROR(__xludf.DUMMYFUNCTION("""COMPUTED_VALUE"""),"19810210ARLIL")</f>
        <v>19810210ARLIL</v>
      </c>
      <c r="B2122" s="5">
        <f ca="1">IFERROR(__xludf.DUMMYFUNCTION("""COMPUTED_VALUE"""),2)</f>
        <v>2</v>
      </c>
      <c r="C2122" s="5">
        <f ca="1">IFERROR(__xludf.DUMMYFUNCTION("""COMPUTED_VALUE"""),10)</f>
        <v>10</v>
      </c>
      <c r="D2122" s="5">
        <f ca="1">IFERROR(__xludf.DUMMYFUNCTION("""COMPUTED_VALUE"""),1981)</f>
        <v>1981</v>
      </c>
      <c r="E2122" s="8">
        <f ca="1">IFERROR(__xludf.DUMMYFUNCTION("""COMPUTED_VALUE"""),29627)</f>
        <v>29627</v>
      </c>
      <c r="F2122" s="5" t="str">
        <f ca="1">IFERROR(__xludf.DUMMYFUNCTION("""COMPUTED_VALUE"""),"Little Rock Hall High School")</f>
        <v>Little Rock Hall High School</v>
      </c>
      <c r="G2122" s="5">
        <f ca="1">IFERROR(__xludf.DUMMYFUNCTION("""COMPUTED_VALUE"""),0)</f>
        <v>0</v>
      </c>
      <c r="H2122" s="5">
        <f ca="1">IFERROR(__xludf.DUMMYFUNCTION("""COMPUTED_VALUE"""),1)</f>
        <v>1</v>
      </c>
      <c r="I2122" s="5">
        <f ca="1">IFERROR(__xludf.DUMMYFUNCTION("""COMPUTED_VALUE"""),1)</f>
        <v>1</v>
      </c>
      <c r="J2122" s="5">
        <f ca="1">IFERROR(__xludf.DUMMYFUNCTION("""COMPUTED_VALUE"""),0)</f>
        <v>0</v>
      </c>
      <c r="K2122" s="5" t="str">
        <f ca="1">IFERROR(__xludf.DUMMYFUNCTION("""COMPUTED_VALUE"""),"https://www.newspapers.com/image/310189175/?terms=student%2Bshot  https://www.newspapers.com/image/307770309/?terms=student%2BshoT")</f>
        <v>https://www.newspapers.com/image/310189175/?terms=student%2Bshot  https://www.newspapers.com/image/307770309/?terms=student%2BshoT</v>
      </c>
      <c r="L2122" s="5"/>
      <c r="M2122" s="5"/>
      <c r="N2122" s="5">
        <f ca="1">IFERROR(__xludf.DUMMYFUNCTION("""COMPUTED_VALUE"""),3)</f>
        <v>3</v>
      </c>
      <c r="O2122" s="5" t="str">
        <f ca="1">IFERROR(__xludf.DUMMYFUNCTION("""COMPUTED_VALUE"""),"Winter")</f>
        <v>Winter</v>
      </c>
      <c r="P2122" s="5" t="str">
        <f ca="1">IFERROR(__xludf.DUMMYFUNCTION("""COMPUTED_VALUE"""),"Little Rock")</f>
        <v>Little Rock</v>
      </c>
      <c r="Q2122" s="5" t="str">
        <f ca="1">IFERROR(__xludf.DUMMYFUNCTION("""COMPUTED_VALUE"""),"AR")</f>
        <v>AR</v>
      </c>
      <c r="R2122" s="5" t="str">
        <f ca="1">IFERROR(__xludf.DUMMYFUNCTION("""COMPUTED_VALUE"""),"High")</f>
        <v>High</v>
      </c>
      <c r="S2122" s="5" t="str">
        <f ca="1">IFERROR(__xludf.DUMMYFUNCTION("""COMPUTED_VALUE"""),"Parking Lot")</f>
        <v>Parking Lot</v>
      </c>
      <c r="T2122" s="5" t="str">
        <f ca="1">IFERROR(__xludf.DUMMYFUNCTION("""COMPUTED_VALUE"""),"Outside on School Property")</f>
        <v>Outside on School Property</v>
      </c>
      <c r="U2122" s="5" t="str">
        <f ca="1">IFERROR(__xludf.DUMMYFUNCTION("""COMPUTED_VALUE"""),"Yes")</f>
        <v>Yes</v>
      </c>
      <c r="V2122" s="5" t="str">
        <f ca="1">IFERROR(__xludf.DUMMYFUNCTION("""COMPUTED_VALUE"""),"Before School")</f>
        <v>Before School</v>
      </c>
      <c r="W2122" s="5"/>
      <c r="X2122" s="5">
        <f ca="1">IFERROR(__xludf.DUMMYFUNCTION("""COMPUTED_VALUE"""),1)</f>
        <v>1</v>
      </c>
      <c r="Y2122" s="5" t="str">
        <f ca="1">IFERROR(__xludf.DUMMYFUNCTION("""COMPUTED_VALUE"""),"Shooter and victim get into argument on bus - shooter shoots victim once they arrive to school")</f>
        <v>Shooter and victim get into argument on bus - shooter shoots victim once they arrive to school</v>
      </c>
      <c r="Z2122" s="5" t="str">
        <f ca="1">IFERROR(__xludf.DUMMYFUNCTION("""COMPUTED_VALUE"""),"Shooter gets into argument with victim on school bus ride to school. Once at school , shooter shoots victim in back with .22 caliber pistol and flees scene - shooter later returns to school and gets ride home from parents.")</f>
        <v>Shooter gets into argument with victim on school bus ride to school. Once at school , shooter shoots victim in back with .22 caliber pistol and flees scene - shooter later returns to school and gets ride home from parents.</v>
      </c>
      <c r="AA2122" s="5" t="str">
        <f ca="1">IFERROR(__xludf.DUMMYFUNCTION("""COMPUTED_VALUE"""),"Escalation of Dispute")</f>
        <v>Escalation of Dispute</v>
      </c>
      <c r="AB2122" s="5" t="str">
        <f ca="1">IFERROR(__xludf.DUMMYFUNCTION("""COMPUTED_VALUE"""),"Victims Targeted")</f>
        <v>Victims Targeted</v>
      </c>
      <c r="AC2122" s="5" t="str">
        <f ca="1">IFERROR(__xludf.DUMMYFUNCTION("""COMPUTED_VALUE"""),"No")</f>
        <v>No</v>
      </c>
      <c r="AD2122" s="5" t="str">
        <f ca="1">IFERROR(__xludf.DUMMYFUNCTION("""COMPUTED_VALUE"""),"No")</f>
        <v>No</v>
      </c>
      <c r="AE2122" s="5" t="str">
        <f ca="1">IFERROR(__xludf.DUMMYFUNCTION("""COMPUTED_VALUE"""),"No")</f>
        <v>No</v>
      </c>
      <c r="AF2122" s="5" t="str">
        <f ca="1">IFERROR(__xludf.DUMMYFUNCTION("""COMPUTED_VALUE"""),"No")</f>
        <v>No</v>
      </c>
      <c r="AG2122" s="5" t="str">
        <f ca="1">IFERROR(__xludf.DUMMYFUNCTION("""COMPUTED_VALUE"""),"No")</f>
        <v>No</v>
      </c>
      <c r="AH2122" s="5"/>
      <c r="AI2122" s="5" t="str">
        <f ca="1">IFERROR(__xludf.DUMMYFUNCTION("""COMPUTED_VALUE"""),"No")</f>
        <v>No</v>
      </c>
      <c r="AJ2122" s="5"/>
    </row>
    <row r="2123" spans="1:36" ht="13">
      <c r="A2123" s="5" t="str">
        <f ca="1">IFERROR(__xludf.DUMMYFUNCTION("""COMPUTED_VALUE"""),"19810210CAMAL")</f>
        <v>19810210CAMAL</v>
      </c>
      <c r="B2123" s="5">
        <f ca="1">IFERROR(__xludf.DUMMYFUNCTION("""COMPUTED_VALUE"""),2)</f>
        <v>2</v>
      </c>
      <c r="C2123" s="5">
        <f ca="1">IFERROR(__xludf.DUMMYFUNCTION("""COMPUTED_VALUE"""),10)</f>
        <v>10</v>
      </c>
      <c r="D2123" s="5">
        <f ca="1">IFERROR(__xludf.DUMMYFUNCTION("""COMPUTED_VALUE"""),1981)</f>
        <v>1981</v>
      </c>
      <c r="E2123" s="8">
        <f ca="1">IFERROR(__xludf.DUMMYFUNCTION("""COMPUTED_VALUE"""),29627)</f>
        <v>29627</v>
      </c>
      <c r="F2123" s="5" t="str">
        <f ca="1">IFERROR(__xludf.DUMMYFUNCTION("""COMPUTED_VALUE"""),"Manuel Arts High School")</f>
        <v>Manuel Arts High School</v>
      </c>
      <c r="G2123" s="5">
        <f ca="1">IFERROR(__xludf.DUMMYFUNCTION("""COMPUTED_VALUE"""),1)</f>
        <v>1</v>
      </c>
      <c r="H2123" s="5">
        <f ca="1">IFERROR(__xludf.DUMMYFUNCTION("""COMPUTED_VALUE"""),0)</f>
        <v>0</v>
      </c>
      <c r="I2123" s="5">
        <f ca="1">IFERROR(__xludf.DUMMYFUNCTION("""COMPUTED_VALUE"""),1)</f>
        <v>1</v>
      </c>
      <c r="J2123" s="5">
        <f ca="1">IFERROR(__xludf.DUMMYFUNCTION("""COMPUTED_VALUE"""),0)</f>
        <v>0</v>
      </c>
      <c r="K2123" s="9" t="str">
        <f ca="1">IFERROR(__xludf.DUMMYFUNCTION("""COMPUTED_VALUE"""),"https://www.newspapers.com/image/378838711/?terms=Manuel%2BArts%2BHigh%2BSchool%2Bshooting")</f>
        <v>https://www.newspapers.com/image/378838711/?terms=Manuel%2BArts%2BHigh%2BSchool%2Bshooting</v>
      </c>
      <c r="L2123" s="5"/>
      <c r="M2123" s="5"/>
      <c r="N2123" s="5">
        <f ca="1">IFERROR(__xludf.DUMMYFUNCTION("""COMPUTED_VALUE"""),2)</f>
        <v>2</v>
      </c>
      <c r="O2123" s="5" t="str">
        <f ca="1">IFERROR(__xludf.DUMMYFUNCTION("""COMPUTED_VALUE"""),"Winter")</f>
        <v>Winter</v>
      </c>
      <c r="P2123" s="5" t="str">
        <f ca="1">IFERROR(__xludf.DUMMYFUNCTION("""COMPUTED_VALUE"""),"Los Angeles")</f>
        <v>Los Angeles</v>
      </c>
      <c r="Q2123" s="5" t="str">
        <f ca="1">IFERROR(__xludf.DUMMYFUNCTION("""COMPUTED_VALUE"""),"CA")</f>
        <v>CA</v>
      </c>
      <c r="R2123" s="5" t="str">
        <f ca="1">IFERROR(__xludf.DUMMYFUNCTION("""COMPUTED_VALUE"""),"High")</f>
        <v>High</v>
      </c>
      <c r="S2123" s="5" t="str">
        <f ca="1">IFERROR(__xludf.DUMMYFUNCTION("""COMPUTED_VALUE"""),"Courtyard")</f>
        <v>Courtyard</v>
      </c>
      <c r="T2123" s="5" t="str">
        <f ca="1">IFERROR(__xludf.DUMMYFUNCTION("""COMPUTED_VALUE"""),"Outside on School Property")</f>
        <v>Outside on School Property</v>
      </c>
      <c r="U2123" s="5" t="str">
        <f ca="1">IFERROR(__xludf.DUMMYFUNCTION("""COMPUTED_VALUE"""),"Yes")</f>
        <v>Yes</v>
      </c>
      <c r="V2123" s="5" t="str">
        <f ca="1">IFERROR(__xludf.DUMMYFUNCTION("""COMPUTED_VALUE"""),"Lunch")</f>
        <v>Lunch</v>
      </c>
      <c r="W2123" s="10">
        <f ca="1">IFERROR(__xludf.DUMMYFUNCTION("""COMPUTED_VALUE"""),0.493055555555555)</f>
        <v>0.49305555555555503</v>
      </c>
      <c r="X2123" s="5">
        <f ca="1">IFERROR(__xludf.DUMMYFUNCTION("""COMPUTED_VALUE"""),1)</f>
        <v>1</v>
      </c>
      <c r="Y2123" s="5" t="str">
        <f ca="1">IFERROR(__xludf.DUMMYFUNCTION("""COMPUTED_VALUE"""),"Gang shooting in outdoor courtyard")</f>
        <v>Gang shooting in outdoor courtyard</v>
      </c>
      <c r="Z2123" s="5" t="str">
        <f ca="1">IFERROR(__xludf.DUMMYFUNCTION("""COMPUTED_VALUE"""),"Four suspects approached a 16YOM student and shot him in the courtyard of the school during lunch. Gang related.")</f>
        <v>Four suspects approached a 16YOM student and shot him in the courtyard of the school during lunch. Gang related.</v>
      </c>
      <c r="AA2123" s="5" t="str">
        <f ca="1">IFERROR(__xludf.DUMMYFUNCTION("""COMPUTED_VALUE"""),"Escalation of Dispute")</f>
        <v>Escalation of Dispute</v>
      </c>
      <c r="AB2123" s="5" t="str">
        <f ca="1">IFERROR(__xludf.DUMMYFUNCTION("""COMPUTED_VALUE"""),"Victims Targeted")</f>
        <v>Victims Targeted</v>
      </c>
      <c r="AC2123" s="5" t="str">
        <f ca="1">IFERROR(__xludf.DUMMYFUNCTION("""COMPUTED_VALUE"""),"Yes")</f>
        <v>Yes</v>
      </c>
      <c r="AD2123" s="5" t="str">
        <f ca="1">IFERROR(__xludf.DUMMYFUNCTION("""COMPUTED_VALUE"""),"No")</f>
        <v>No</v>
      </c>
      <c r="AE2123" s="5" t="str">
        <f ca="1">IFERROR(__xludf.DUMMYFUNCTION("""COMPUTED_VALUE"""),"No")</f>
        <v>No</v>
      </c>
      <c r="AF2123" s="5" t="str">
        <f ca="1">IFERROR(__xludf.DUMMYFUNCTION("""COMPUTED_VALUE"""),"No")</f>
        <v>No</v>
      </c>
      <c r="AG2123" s="5" t="str">
        <f ca="1">IFERROR(__xludf.DUMMYFUNCTION("""COMPUTED_VALUE"""),"No")</f>
        <v>No</v>
      </c>
      <c r="AH2123" s="5" t="str">
        <f ca="1">IFERROR(__xludf.DUMMYFUNCTION("""COMPUTED_VALUE"""),"No")</f>
        <v>No</v>
      </c>
      <c r="AI2123" s="5" t="str">
        <f ca="1">IFERROR(__xludf.DUMMYFUNCTION("""COMPUTED_VALUE"""),"Yes")</f>
        <v>Yes</v>
      </c>
      <c r="AJ2123" s="5"/>
    </row>
    <row r="2124" spans="1:36" ht="13">
      <c r="A2124" s="5" t="str">
        <f ca="1">IFERROR(__xludf.DUMMYFUNCTION("""COMPUTED_VALUE"""),"19810122MDFRB")</f>
        <v>19810122MDFRB</v>
      </c>
      <c r="B2124" s="5">
        <f ca="1">IFERROR(__xludf.DUMMYFUNCTION("""COMPUTED_VALUE"""),1)</f>
        <v>1</v>
      </c>
      <c r="C2124" s="5">
        <f ca="1">IFERROR(__xludf.DUMMYFUNCTION("""COMPUTED_VALUE"""),22)</f>
        <v>22</v>
      </c>
      <c r="D2124" s="5">
        <f ca="1">IFERROR(__xludf.DUMMYFUNCTION("""COMPUTED_VALUE"""),1981)</f>
        <v>1981</v>
      </c>
      <c r="E2124" s="8">
        <f ca="1">IFERROR(__xludf.DUMMYFUNCTION("""COMPUTED_VALUE"""),29608)</f>
        <v>29608</v>
      </c>
      <c r="F2124" s="5" t="str">
        <f ca="1">IFERROR(__xludf.DUMMYFUNCTION("""COMPUTED_VALUE"""),"Francis M. Wood Senior High School")</f>
        <v>Francis M. Wood Senior High School</v>
      </c>
      <c r="G2124" s="5">
        <f ca="1">IFERROR(__xludf.DUMMYFUNCTION("""COMPUTED_VALUE"""),0)</f>
        <v>0</v>
      </c>
      <c r="H2124" s="5">
        <f ca="1">IFERROR(__xludf.DUMMYFUNCTION("""COMPUTED_VALUE"""),0)</f>
        <v>0</v>
      </c>
      <c r="I2124" s="5">
        <f ca="1">IFERROR(__xludf.DUMMYFUNCTION("""COMPUTED_VALUE"""),0)</f>
        <v>0</v>
      </c>
      <c r="J2124" s="5">
        <f ca="1">IFERROR(__xludf.DUMMYFUNCTION("""COMPUTED_VALUE"""),0)</f>
        <v>0</v>
      </c>
      <c r="K2124" s="9" t="str">
        <f ca="1">IFERROR(__xludf.DUMMYFUNCTION("""COMPUTED_VALUE"""),"https://www.newspapers.com/image/377747566/?terms=student%2Bshot")</f>
        <v>https://www.newspapers.com/image/377747566/?terms=student%2Bshot</v>
      </c>
      <c r="L2124" s="5"/>
      <c r="M2124" s="5"/>
      <c r="N2124" s="5">
        <f ca="1">IFERROR(__xludf.DUMMYFUNCTION("""COMPUTED_VALUE"""),2)</f>
        <v>2</v>
      </c>
      <c r="O2124" s="5" t="str">
        <f ca="1">IFERROR(__xludf.DUMMYFUNCTION("""COMPUTED_VALUE"""),"Winter")</f>
        <v>Winter</v>
      </c>
      <c r="P2124" s="5" t="str">
        <f ca="1">IFERROR(__xludf.DUMMYFUNCTION("""COMPUTED_VALUE"""),"Baltimore")</f>
        <v>Baltimore</v>
      </c>
      <c r="Q2124" s="5" t="str">
        <f ca="1">IFERROR(__xludf.DUMMYFUNCTION("""COMPUTED_VALUE"""),"MD")</f>
        <v>MD</v>
      </c>
      <c r="R2124" s="5" t="str">
        <f ca="1">IFERROR(__xludf.DUMMYFUNCTION("""COMPUTED_VALUE"""),"High")</f>
        <v>High</v>
      </c>
      <c r="S2124" s="5" t="str">
        <f ca="1">IFERROR(__xludf.DUMMYFUNCTION("""COMPUTED_VALUE"""),"Inside School Building")</f>
        <v>Inside School Building</v>
      </c>
      <c r="T2124" s="5" t="str">
        <f ca="1">IFERROR(__xludf.DUMMYFUNCTION("""COMPUTED_VALUE"""),"Inside School Building")</f>
        <v>Inside School Building</v>
      </c>
      <c r="U2124" s="5" t="str">
        <f ca="1">IFERROR(__xludf.DUMMYFUNCTION("""COMPUTED_VALUE"""),"Yes")</f>
        <v>Yes</v>
      </c>
      <c r="V2124" s="5" t="str">
        <f ca="1">IFERROR(__xludf.DUMMYFUNCTION("""COMPUTED_VALUE"""),"Afternoon Classes")</f>
        <v>Afternoon Classes</v>
      </c>
      <c r="W2124" s="10">
        <f ca="1">IFERROR(__xludf.DUMMYFUNCTION("""COMPUTED_VALUE"""),0.583333333333333)</f>
        <v>0.58333333333333304</v>
      </c>
      <c r="X2124" s="5">
        <f ca="1">IFERROR(__xludf.DUMMYFUNCTION("""COMPUTED_VALUE"""),1)</f>
        <v>1</v>
      </c>
      <c r="Y2124" s="5" t="str">
        <f ca="1">IFERROR(__xludf.DUMMYFUNCTION("""COMPUTED_VALUE"""),"Shooter and victim fought earlier, when challenged again, shooter pull gun and shot victim")</f>
        <v>Shooter and victim fought earlier, when challenged again, shooter pull gun and shot victim</v>
      </c>
      <c r="Z2124" s="5" t="str">
        <f ca="1">IFERROR(__xludf.DUMMYFUNCTION("""COMPUTED_VALUE"""),"17 year old shooter approached 20 year old victim and challenged him to a fight. Prior fight allegedly occurred last summer between victim and shooter's friend. During the fight, shooter pulled out handgun and shot at victim, but missed. Shooter fled the "&amp;"scene.")</f>
        <v>17 year old shooter approached 20 year old victim and challenged him to a fight. Prior fight allegedly occurred last summer between victim and shooter's friend. During the fight, shooter pulled out handgun and shot at victim, but missed. Shooter fled the scene.</v>
      </c>
      <c r="AA2124" s="5" t="str">
        <f ca="1">IFERROR(__xludf.DUMMYFUNCTION("""COMPUTED_VALUE"""),"Escalation of Dispute")</f>
        <v>Escalation of Dispute</v>
      </c>
      <c r="AB2124" s="5" t="str">
        <f ca="1">IFERROR(__xludf.DUMMYFUNCTION("""COMPUTED_VALUE"""),"Victims Targeted")</f>
        <v>Victims Targeted</v>
      </c>
      <c r="AC2124" s="5" t="str">
        <f ca="1">IFERROR(__xludf.DUMMYFUNCTION("""COMPUTED_VALUE"""),"No")</f>
        <v>No</v>
      </c>
      <c r="AD2124" s="5" t="str">
        <f ca="1">IFERROR(__xludf.DUMMYFUNCTION("""COMPUTED_VALUE"""),"No")</f>
        <v>No</v>
      </c>
      <c r="AE2124" s="5" t="str">
        <f ca="1">IFERROR(__xludf.DUMMYFUNCTION("""COMPUTED_VALUE"""),"No")</f>
        <v>No</v>
      </c>
      <c r="AF2124" s="5" t="str">
        <f ca="1">IFERROR(__xludf.DUMMYFUNCTION("""COMPUTED_VALUE"""),"No")</f>
        <v>No</v>
      </c>
      <c r="AG2124" s="5" t="str">
        <f ca="1">IFERROR(__xludf.DUMMYFUNCTION("""COMPUTED_VALUE"""),"No")</f>
        <v>No</v>
      </c>
      <c r="AH2124" s="5" t="str">
        <f ca="1">IFERROR(__xludf.DUMMYFUNCTION("""COMPUTED_VALUE"""),"No")</f>
        <v>No</v>
      </c>
      <c r="AI2124" s="5" t="str">
        <f ca="1">IFERROR(__xludf.DUMMYFUNCTION("""COMPUTED_VALUE"""),"No")</f>
        <v>No</v>
      </c>
      <c r="AJ2124" s="5"/>
    </row>
    <row r="2125" spans="1:36" ht="13">
      <c r="A2125" s="5" t="str">
        <f ca="1">IFERROR(__xludf.DUMMYFUNCTION("""COMPUTED_VALUE"""),"19810121OHWIB")</f>
        <v>19810121OHWIB</v>
      </c>
      <c r="B2125" s="5">
        <f ca="1">IFERROR(__xludf.DUMMYFUNCTION("""COMPUTED_VALUE"""),1)</f>
        <v>1</v>
      </c>
      <c r="C2125" s="5">
        <f ca="1">IFERROR(__xludf.DUMMYFUNCTION("""COMPUTED_VALUE"""),21)</f>
        <v>21</v>
      </c>
      <c r="D2125" s="5">
        <f ca="1">IFERROR(__xludf.DUMMYFUNCTION("""COMPUTED_VALUE"""),1981)</f>
        <v>1981</v>
      </c>
      <c r="E2125" s="8">
        <f ca="1">IFERROR(__xludf.DUMMYFUNCTION("""COMPUTED_VALUE"""),29607)</f>
        <v>29607</v>
      </c>
      <c r="F2125" s="5" t="str">
        <f ca="1">IFERROR(__xludf.DUMMYFUNCTION("""COMPUTED_VALUE"""),"Willetts Middle School")</f>
        <v>Willetts Middle School</v>
      </c>
      <c r="G2125" s="5">
        <f ca="1">IFERROR(__xludf.DUMMYFUNCTION("""COMPUTED_VALUE"""),0)</f>
        <v>0</v>
      </c>
      <c r="H2125" s="5">
        <f ca="1">IFERROR(__xludf.DUMMYFUNCTION("""COMPUTED_VALUE"""),1)</f>
        <v>1</v>
      </c>
      <c r="I2125" s="5">
        <f ca="1">IFERROR(__xludf.DUMMYFUNCTION("""COMPUTED_VALUE"""),1)</f>
        <v>1</v>
      </c>
      <c r="J2125" s="5">
        <f ca="1">IFERROR(__xludf.DUMMYFUNCTION("""COMPUTED_VALUE"""),0)</f>
        <v>0</v>
      </c>
      <c r="K2125" s="9" t="str">
        <f ca="1">IFERROR(__xludf.DUMMYFUNCTION("""COMPUTED_VALUE"""),"https://www.upi.com/Archives/1981/01/21/A-science-teacher-was-shot-and-wounded-Wednesday-by/6947348901200/")</f>
        <v>https://www.upi.com/Archives/1981/01/21/A-science-teacher-was-shot-and-wounded-Wednesday-by/6947348901200/</v>
      </c>
      <c r="L2125" s="5"/>
      <c r="M2125" s="5"/>
      <c r="N2125" s="5">
        <f ca="1">IFERROR(__xludf.DUMMYFUNCTION("""COMPUTED_VALUE"""),2)</f>
        <v>2</v>
      </c>
      <c r="O2125" s="5" t="str">
        <f ca="1">IFERROR(__xludf.DUMMYFUNCTION("""COMPUTED_VALUE"""),"Winter")</f>
        <v>Winter</v>
      </c>
      <c r="P2125" s="5" t="str">
        <f ca="1">IFERROR(__xludf.DUMMYFUNCTION("""COMPUTED_VALUE"""),"Brunswick")</f>
        <v>Brunswick</v>
      </c>
      <c r="Q2125" s="5" t="str">
        <f ca="1">IFERROR(__xludf.DUMMYFUNCTION("""COMPUTED_VALUE"""),"OH")</f>
        <v>OH</v>
      </c>
      <c r="R2125" s="5" t="str">
        <f ca="1">IFERROR(__xludf.DUMMYFUNCTION("""COMPUTED_VALUE"""),"Junior High")</f>
        <v>Junior High</v>
      </c>
      <c r="S2125" s="5" t="str">
        <f ca="1">IFERROR(__xludf.DUMMYFUNCTION("""COMPUTED_VALUE"""),"Classroom")</f>
        <v>Classroom</v>
      </c>
      <c r="T2125" s="5" t="str">
        <f ca="1">IFERROR(__xludf.DUMMYFUNCTION("""COMPUTED_VALUE"""),"Inside School Building")</f>
        <v>Inside School Building</v>
      </c>
      <c r="U2125" s="5" t="str">
        <f ca="1">IFERROR(__xludf.DUMMYFUNCTION("""COMPUTED_VALUE"""),"Yes")</f>
        <v>Yes</v>
      </c>
      <c r="V2125" s="5" t="str">
        <f ca="1">IFERROR(__xludf.DUMMYFUNCTION("""COMPUTED_VALUE"""),"Before School")</f>
        <v>Before School</v>
      </c>
      <c r="W2125" s="10">
        <f ca="1">IFERROR(__xludf.DUMMYFUNCTION("""COMPUTED_VALUE"""),0.395833333333333)</f>
        <v>0.39583333333333298</v>
      </c>
      <c r="X2125" s="5">
        <f ca="1">IFERROR(__xludf.DUMMYFUNCTION("""COMPUTED_VALUE"""),1)</f>
        <v>1</v>
      </c>
      <c r="Y2125" s="5" t="str">
        <f ca="1">IFERROR(__xludf.DUMMYFUNCTION("""COMPUTED_VALUE"""),"14-year old student walks into class before school and shoots teacher in hip")</f>
        <v>14-year old student walks into class before school and shoots teacher in hip</v>
      </c>
      <c r="Z2125" s="5" t="str">
        <f ca="1">IFERROR(__xludf.DUMMYFUNCTION("""COMPUTED_VALUE"""),"13 year old eighth grader shot science teacher in hip. Stated in police interview he didn't like teacher. No prior disciplinary problems. Other students present during shooting. No one else injured. Shooter had previously told other students he was going "&amp;"to shoot teacher.")</f>
        <v>13 year old eighth grader shot science teacher in hip. Stated in police interview he didn't like teacher. No prior disciplinary problems. Other students present during shooting. No one else injured. Shooter had previously told other students he was going to shoot teacher.</v>
      </c>
      <c r="AA2125" s="5" t="str">
        <f ca="1">IFERROR(__xludf.DUMMYFUNCTION("""COMPUTED_VALUE"""),"Anger Over Grade/Suspension/Discipline")</f>
        <v>Anger Over Grade/Suspension/Discipline</v>
      </c>
      <c r="AB2125" s="5" t="str">
        <f ca="1">IFERROR(__xludf.DUMMYFUNCTION("""COMPUTED_VALUE"""),"Victims Targeted")</f>
        <v>Victims Targeted</v>
      </c>
      <c r="AC2125" s="5" t="str">
        <f ca="1">IFERROR(__xludf.DUMMYFUNCTION("""COMPUTED_VALUE"""),"No")</f>
        <v>No</v>
      </c>
      <c r="AD2125" s="5" t="str">
        <f ca="1">IFERROR(__xludf.DUMMYFUNCTION("""COMPUTED_VALUE"""),"No")</f>
        <v>No</v>
      </c>
      <c r="AE2125" s="5" t="str">
        <f ca="1">IFERROR(__xludf.DUMMYFUNCTION("""COMPUTED_VALUE"""),"No")</f>
        <v>No</v>
      </c>
      <c r="AF2125" s="5" t="str">
        <f ca="1">IFERROR(__xludf.DUMMYFUNCTION("""COMPUTED_VALUE"""),"No")</f>
        <v>No</v>
      </c>
      <c r="AG2125" s="5"/>
      <c r="AH2125" s="5" t="str">
        <f ca="1">IFERROR(__xludf.DUMMYFUNCTION("""COMPUTED_VALUE"""),"No")</f>
        <v>No</v>
      </c>
      <c r="AI2125" s="5" t="str">
        <f ca="1">IFERROR(__xludf.DUMMYFUNCTION("""COMPUTED_VALUE"""),"No")</f>
        <v>No</v>
      </c>
      <c r="AJ2125" s="5"/>
    </row>
    <row r="2126" spans="1:36" ht="13">
      <c r="A2126" s="5" t="str">
        <f ca="1">IFERROR(__xludf.DUMMYFUNCTION("""COMPUTED_VALUE"""),"19801212ALPAB")</f>
        <v>19801212ALPAB</v>
      </c>
      <c r="B2126" s="5">
        <f ca="1">IFERROR(__xludf.DUMMYFUNCTION("""COMPUTED_VALUE"""),12)</f>
        <v>12</v>
      </c>
      <c r="C2126" s="5">
        <f ca="1">IFERROR(__xludf.DUMMYFUNCTION("""COMPUTED_VALUE"""),12)</f>
        <v>12</v>
      </c>
      <c r="D2126" s="5">
        <f ca="1">IFERROR(__xludf.DUMMYFUNCTION("""COMPUTED_VALUE"""),1980)</f>
        <v>1980</v>
      </c>
      <c r="E2126" s="8">
        <f ca="1">IFERROR(__xludf.DUMMYFUNCTION("""COMPUTED_VALUE"""),29567)</f>
        <v>29567</v>
      </c>
      <c r="F2126" s="5" t="str">
        <f ca="1">IFERROR(__xludf.DUMMYFUNCTION("""COMPUTED_VALUE"""),"Parker High School")</f>
        <v>Parker High School</v>
      </c>
      <c r="G2126" s="5">
        <f ca="1">IFERROR(__xludf.DUMMYFUNCTION("""COMPUTED_VALUE"""),0)</f>
        <v>0</v>
      </c>
      <c r="H2126" s="5">
        <f ca="1">IFERROR(__xludf.DUMMYFUNCTION("""COMPUTED_VALUE"""),1)</f>
        <v>1</v>
      </c>
      <c r="I2126" s="5">
        <f ca="1">IFERROR(__xludf.DUMMYFUNCTION("""COMPUTED_VALUE"""),1)</f>
        <v>1</v>
      </c>
      <c r="J2126" s="5">
        <f ca="1">IFERROR(__xludf.DUMMYFUNCTION("""COMPUTED_VALUE"""),0)</f>
        <v>0</v>
      </c>
      <c r="K2126" s="9" t="str">
        <f ca="1">IFERROR(__xludf.DUMMYFUNCTION("""COMPUTED_VALUE"""),"https://www.newspapers.com/image/262419526/?terms=Parker%2BHigh%2BSchool%2Bshooting%2Bbirmingham")</f>
        <v>https://www.newspapers.com/image/262419526/?terms=Parker%2BHigh%2BSchool%2Bshooting%2Bbirmingham</v>
      </c>
      <c r="L2126" s="5"/>
      <c r="M2126" s="5"/>
      <c r="N2126" s="5">
        <f ca="1">IFERROR(__xludf.DUMMYFUNCTION("""COMPUTED_VALUE"""),2)</f>
        <v>2</v>
      </c>
      <c r="O2126" s="5" t="str">
        <f ca="1">IFERROR(__xludf.DUMMYFUNCTION("""COMPUTED_VALUE"""),"Winter")</f>
        <v>Winter</v>
      </c>
      <c r="P2126" s="5" t="str">
        <f ca="1">IFERROR(__xludf.DUMMYFUNCTION("""COMPUTED_VALUE"""),"Birmingham")</f>
        <v>Birmingham</v>
      </c>
      <c r="Q2126" s="5" t="str">
        <f ca="1">IFERROR(__xludf.DUMMYFUNCTION("""COMPUTED_VALUE"""),"AL")</f>
        <v>AL</v>
      </c>
      <c r="R2126" s="5" t="str">
        <f ca="1">IFERROR(__xludf.DUMMYFUNCTION("""COMPUTED_VALUE"""),"High")</f>
        <v>High</v>
      </c>
      <c r="S2126" s="5" t="str">
        <f ca="1">IFERROR(__xludf.DUMMYFUNCTION("""COMPUTED_VALUE"""),"Hallway")</f>
        <v>Hallway</v>
      </c>
      <c r="T2126" s="5" t="str">
        <f ca="1">IFERROR(__xludf.DUMMYFUNCTION("""COMPUTED_VALUE"""),"Inside School Building")</f>
        <v>Inside School Building</v>
      </c>
      <c r="U2126" s="5" t="str">
        <f ca="1">IFERROR(__xludf.DUMMYFUNCTION("""COMPUTED_VALUE"""),"Yes")</f>
        <v>Yes</v>
      </c>
      <c r="V2126" s="5" t="str">
        <f ca="1">IFERROR(__xludf.DUMMYFUNCTION("""COMPUTED_VALUE"""),"Dismissal")</f>
        <v>Dismissal</v>
      </c>
      <c r="W2126" s="10">
        <f ca="1">IFERROR(__xludf.DUMMYFUNCTION("""COMPUTED_VALUE"""),0.625)</f>
        <v>0.625</v>
      </c>
      <c r="X2126" s="5">
        <f ca="1">IFERROR(__xludf.DUMMYFUNCTION("""COMPUTED_VALUE"""),1)</f>
        <v>1</v>
      </c>
      <c r="Y2126" s="5" t="str">
        <f ca="1">IFERROR(__xludf.DUMMYFUNCTION("""COMPUTED_VALUE"""),"Coach was escorting 4 non-students out of school, one pulled a gun and fired striking a female student then the group fled")</f>
        <v>Coach was escorting 4 non-students out of school, one pulled a gun and fired striking a female student then the group fled</v>
      </c>
      <c r="Z2126" s="5" t="str">
        <f ca="1">IFERROR(__xludf.DUMMYFUNCTION("""COMPUTED_VALUE"""),"Coach was escorting a group of non-students out of the school. One pulled a gun and fired at him but missed striking a female student. Group fled and shooter was arrested 7 hours later.")</f>
        <v>Coach was escorting a group of non-students out of the school. One pulled a gun and fired at him but missed striking a female student. Group fled and shooter was arrested 7 hours later.</v>
      </c>
      <c r="AA2126" s="5" t="str">
        <f ca="1">IFERROR(__xludf.DUMMYFUNCTION("""COMPUTED_VALUE"""),"Illegal Activity")</f>
        <v>Illegal Activity</v>
      </c>
      <c r="AB2126" s="5" t="str">
        <f ca="1">IFERROR(__xludf.DUMMYFUNCTION("""COMPUTED_VALUE"""),"Both")</f>
        <v>Both</v>
      </c>
      <c r="AC2126" s="5" t="str">
        <f ca="1">IFERROR(__xludf.DUMMYFUNCTION("""COMPUTED_VALUE"""),"Yes")</f>
        <v>Yes</v>
      </c>
      <c r="AD2126" s="5" t="str">
        <f ca="1">IFERROR(__xludf.DUMMYFUNCTION("""COMPUTED_VALUE"""),"No")</f>
        <v>No</v>
      </c>
      <c r="AE2126" s="5" t="str">
        <f ca="1">IFERROR(__xludf.DUMMYFUNCTION("""COMPUTED_VALUE"""),"No")</f>
        <v>No</v>
      </c>
      <c r="AF2126" s="5" t="str">
        <f ca="1">IFERROR(__xludf.DUMMYFUNCTION("""COMPUTED_VALUE"""),"No")</f>
        <v>No</v>
      </c>
      <c r="AG2126" s="5" t="str">
        <f ca="1">IFERROR(__xludf.DUMMYFUNCTION("""COMPUTED_VALUE"""),"No")</f>
        <v>No</v>
      </c>
      <c r="AH2126" s="5" t="str">
        <f ca="1">IFERROR(__xludf.DUMMYFUNCTION("""COMPUTED_VALUE"""),"No")</f>
        <v>No</v>
      </c>
      <c r="AI2126" s="5"/>
      <c r="AJ2126" s="5"/>
    </row>
    <row r="2127" spans="1:36" ht="13">
      <c r="A2127" s="5" t="str">
        <f ca="1">IFERROR(__xludf.DUMMYFUNCTION("""COMPUTED_VALUE"""),"19801212OHLOL")</f>
        <v>19801212OHLOL</v>
      </c>
      <c r="B2127" s="5">
        <f ca="1">IFERROR(__xludf.DUMMYFUNCTION("""COMPUTED_VALUE"""),12)</f>
        <v>12</v>
      </c>
      <c r="C2127" s="5">
        <f ca="1">IFERROR(__xludf.DUMMYFUNCTION("""COMPUTED_VALUE"""),12)</f>
        <v>12</v>
      </c>
      <c r="D2127" s="5">
        <f ca="1">IFERROR(__xludf.DUMMYFUNCTION("""COMPUTED_VALUE"""),1980)</f>
        <v>1980</v>
      </c>
      <c r="E2127" s="8">
        <f ca="1">IFERROR(__xludf.DUMMYFUNCTION("""COMPUTED_VALUE"""),29567)</f>
        <v>29567</v>
      </c>
      <c r="F2127" s="5" t="str">
        <f ca="1">IFERROR(__xludf.DUMMYFUNCTION("""COMPUTED_VALUE"""),"Longfellow Junior HIgh School")</f>
        <v>Longfellow Junior HIgh School</v>
      </c>
      <c r="G2127" s="5">
        <f ca="1">IFERROR(__xludf.DUMMYFUNCTION("""COMPUTED_VALUE"""),0)</f>
        <v>0</v>
      </c>
      <c r="H2127" s="5">
        <f ca="1">IFERROR(__xludf.DUMMYFUNCTION("""COMPUTED_VALUE"""),1)</f>
        <v>1</v>
      </c>
      <c r="I2127" s="5">
        <f ca="1">IFERROR(__xludf.DUMMYFUNCTION("""COMPUTED_VALUE"""),1)</f>
        <v>1</v>
      </c>
      <c r="J2127" s="5">
        <f ca="1">IFERROR(__xludf.DUMMYFUNCTION("""COMPUTED_VALUE"""),0)</f>
        <v>0</v>
      </c>
      <c r="K2127" s="5" t="str">
        <f ca="1">IFERROR(__xludf.DUMMYFUNCTION("""COMPUTED_VALUE"""),"https://www.newspapers.com/image/437478830/?terms=FRANK%2BDARMFALL; https://www.newspapers.com/image/294254519/?terms=LONGFELLOW%2BJUNIOR%2BHIGH; https://www.newspapers.com/image/121062945/?terms=LONGFELLOW%2BJUNIOR%2BHIGH")</f>
        <v>https://www.newspapers.com/image/437478830/?terms=FRANK%2BDARMFALL; https://www.newspapers.com/image/294254519/?terms=LONGFELLOW%2BJUNIOR%2BHIGH; https://www.newspapers.com/image/121062945/?terms=LONGFELLOW%2BJUNIOR%2BHIGH</v>
      </c>
      <c r="L2127" s="5"/>
      <c r="M2127" s="5"/>
      <c r="N2127" s="5">
        <f ca="1">IFERROR(__xludf.DUMMYFUNCTION("""COMPUTED_VALUE"""),2)</f>
        <v>2</v>
      </c>
      <c r="O2127" s="5" t="str">
        <f ca="1">IFERROR(__xludf.DUMMYFUNCTION("""COMPUTED_VALUE"""),"Winter")</f>
        <v>Winter</v>
      </c>
      <c r="P2127" s="5" t="str">
        <f ca="1">IFERROR(__xludf.DUMMYFUNCTION("""COMPUTED_VALUE"""),"Lorain")</f>
        <v>Lorain</v>
      </c>
      <c r="Q2127" s="5" t="str">
        <f ca="1">IFERROR(__xludf.DUMMYFUNCTION("""COMPUTED_VALUE"""),"OH")</f>
        <v>OH</v>
      </c>
      <c r="R2127" s="5" t="str">
        <f ca="1">IFERROR(__xludf.DUMMYFUNCTION("""COMPUTED_VALUE"""),"Junior High")</f>
        <v>Junior High</v>
      </c>
      <c r="S2127" s="5" t="str">
        <f ca="1">IFERROR(__xludf.DUMMYFUNCTION("""COMPUTED_VALUE"""),"Classroom")</f>
        <v>Classroom</v>
      </c>
      <c r="T2127" s="5" t="str">
        <f ca="1">IFERROR(__xludf.DUMMYFUNCTION("""COMPUTED_VALUE"""),"Inside School Building")</f>
        <v>Inside School Building</v>
      </c>
      <c r="U2127" s="5" t="str">
        <f ca="1">IFERROR(__xludf.DUMMYFUNCTION("""COMPUTED_VALUE"""),"Yes")</f>
        <v>Yes</v>
      </c>
      <c r="V2127" s="5" t="str">
        <f ca="1">IFERROR(__xludf.DUMMYFUNCTION("""COMPUTED_VALUE"""),"School Start")</f>
        <v>School Start</v>
      </c>
      <c r="W2127" s="10">
        <f ca="1">IFERROR(__xludf.DUMMYFUNCTION("""COMPUTED_VALUE"""),0.375)</f>
        <v>0.375</v>
      </c>
      <c r="X2127" s="5">
        <f ca="1">IFERROR(__xludf.DUMMYFUNCTION("""COMPUTED_VALUE"""),30)</f>
        <v>30</v>
      </c>
      <c r="Y2127" s="5" t="str">
        <f ca="1">IFERROR(__xludf.DUMMYFUNCTION("""COMPUTED_VALUE"""),"Shot school counselor - held 30 hostages until surrendered to police")</f>
        <v>Shot school counselor - held 30 hostages until surrendered to police</v>
      </c>
      <c r="Z2127" s="5" t="str">
        <f ca="1">IFERROR(__xludf.DUMMYFUNCTION("""COMPUTED_VALUE"""),"Distraught boy brandished gun in study hall as school was beginning - shot counselor in stomach - shot into ceiling. held 30 students hostage for 30 minutes before surrendering to police.")</f>
        <v>Distraught boy brandished gun in study hall as school was beginning - shot counselor in stomach - shot into ceiling. held 30 students hostage for 30 minutes before surrendering to police.</v>
      </c>
      <c r="AA2127" s="5" t="str">
        <f ca="1">IFERROR(__xludf.DUMMYFUNCTION("""COMPUTED_VALUE"""),"Hostage/Standoff")</f>
        <v>Hostage/Standoff</v>
      </c>
      <c r="AB2127" s="5" t="str">
        <f ca="1">IFERROR(__xludf.DUMMYFUNCTION("""COMPUTED_VALUE"""),"Random Shooting")</f>
        <v>Random Shooting</v>
      </c>
      <c r="AC2127" s="5" t="str">
        <f ca="1">IFERROR(__xludf.DUMMYFUNCTION("""COMPUTED_VALUE"""),"No")</f>
        <v>No</v>
      </c>
      <c r="AD2127" s="5" t="str">
        <f ca="1">IFERROR(__xludf.DUMMYFUNCTION("""COMPUTED_VALUE"""),"Yes")</f>
        <v>Yes</v>
      </c>
      <c r="AE2127" s="5" t="str">
        <f ca="1">IFERROR(__xludf.DUMMYFUNCTION("""COMPUTED_VALUE"""),"Yes")</f>
        <v>Yes</v>
      </c>
      <c r="AF2127" s="5" t="str">
        <f ca="1">IFERROR(__xludf.DUMMYFUNCTION("""COMPUTED_VALUE"""),"No")</f>
        <v>No</v>
      </c>
      <c r="AG2127" s="5"/>
      <c r="AH2127" s="5" t="str">
        <f ca="1">IFERROR(__xludf.DUMMYFUNCTION("""COMPUTED_VALUE"""),"No")</f>
        <v>No</v>
      </c>
      <c r="AI2127" s="5" t="str">
        <f ca="1">IFERROR(__xludf.DUMMYFUNCTION("""COMPUTED_VALUE"""),"No")</f>
        <v>No</v>
      </c>
      <c r="AJ2127" s="5" t="str">
        <f ca="1">IFERROR(__xludf.DUMMYFUNCTION("""COMPUTED_VALUE"""),"Yes")</f>
        <v>Yes</v>
      </c>
    </row>
    <row r="2128" spans="1:36" ht="13">
      <c r="A2128" s="5" t="str">
        <f ca="1">IFERROR(__xludf.DUMMYFUNCTION("""COMPUTED_VALUE"""),"19801117TXEAF")</f>
        <v>19801117TXEAF</v>
      </c>
      <c r="B2128" s="5">
        <f ca="1">IFERROR(__xludf.DUMMYFUNCTION("""COMPUTED_VALUE"""),11)</f>
        <v>11</v>
      </c>
      <c r="C2128" s="5">
        <f ca="1">IFERROR(__xludf.DUMMYFUNCTION("""COMPUTED_VALUE"""),17)</f>
        <v>17</v>
      </c>
      <c r="D2128" s="5">
        <f ca="1">IFERROR(__xludf.DUMMYFUNCTION("""COMPUTED_VALUE"""),1980)</f>
        <v>1980</v>
      </c>
      <c r="E2128" s="8">
        <f ca="1">IFERROR(__xludf.DUMMYFUNCTION("""COMPUTED_VALUE"""),29542)</f>
        <v>29542</v>
      </c>
      <c r="F2128" s="5" t="str">
        <f ca="1">IFERROR(__xludf.DUMMYFUNCTION("""COMPUTED_VALUE"""),"Eastern Hills High School")</f>
        <v>Eastern Hills High School</v>
      </c>
      <c r="G2128" s="5">
        <f ca="1">IFERROR(__xludf.DUMMYFUNCTION("""COMPUTED_VALUE"""),0)</f>
        <v>0</v>
      </c>
      <c r="H2128" s="5">
        <f ca="1">IFERROR(__xludf.DUMMYFUNCTION("""COMPUTED_VALUE"""),1)</f>
        <v>1</v>
      </c>
      <c r="I2128" s="5">
        <f ca="1">IFERROR(__xludf.DUMMYFUNCTION("""COMPUTED_VALUE"""),1)</f>
        <v>1</v>
      </c>
      <c r="J2128" s="5">
        <f ca="1">IFERROR(__xludf.DUMMYFUNCTION("""COMPUTED_VALUE"""),0)</f>
        <v>0</v>
      </c>
      <c r="K2128" s="5" t="str">
        <f ca="1">IFERROR(__xludf.DUMMYFUNCTION("""COMPUTED_VALUE"""),"https://www.newspapers.com/image/223005640/?terms=STUDENT%2BSHOT; https://www.newspapers.com/image/216344029/?terms=LEONARD%2BHUNTER")</f>
        <v>https://www.newspapers.com/image/223005640/?terms=STUDENT%2BSHOT; https://www.newspapers.com/image/216344029/?terms=LEONARD%2BHUNTER</v>
      </c>
      <c r="L2128" s="5"/>
      <c r="M2128" s="5"/>
      <c r="N2128" s="5">
        <f ca="1">IFERROR(__xludf.DUMMYFUNCTION("""COMPUTED_VALUE"""),2)</f>
        <v>2</v>
      </c>
      <c r="O2128" s="5" t="str">
        <f ca="1">IFERROR(__xludf.DUMMYFUNCTION("""COMPUTED_VALUE"""),"Fall")</f>
        <v>Fall</v>
      </c>
      <c r="P2128" s="5" t="str">
        <f ca="1">IFERROR(__xludf.DUMMYFUNCTION("""COMPUTED_VALUE"""),"Fort Worth")</f>
        <v>Fort Worth</v>
      </c>
      <c r="Q2128" s="5" t="str">
        <f ca="1">IFERROR(__xludf.DUMMYFUNCTION("""COMPUTED_VALUE"""),"TX")</f>
        <v>TX</v>
      </c>
      <c r="R2128" s="5" t="str">
        <f ca="1">IFERROR(__xludf.DUMMYFUNCTION("""COMPUTED_VALUE"""),"High")</f>
        <v>High</v>
      </c>
      <c r="S2128" s="5" t="str">
        <f ca="1">IFERROR(__xludf.DUMMYFUNCTION("""COMPUTED_VALUE"""),"Parking Lot")</f>
        <v>Parking Lot</v>
      </c>
      <c r="T2128" s="5" t="str">
        <f ca="1">IFERROR(__xludf.DUMMYFUNCTION("""COMPUTED_VALUE"""),"Outside on School Property")</f>
        <v>Outside on School Property</v>
      </c>
      <c r="U2128" s="5" t="str">
        <f ca="1">IFERROR(__xludf.DUMMYFUNCTION("""COMPUTED_VALUE"""),"Yes")</f>
        <v>Yes</v>
      </c>
      <c r="V2128" s="5" t="str">
        <f ca="1">IFERROR(__xludf.DUMMYFUNCTION("""COMPUTED_VALUE"""),"Lunch")</f>
        <v>Lunch</v>
      </c>
      <c r="W2128" s="10">
        <f ca="1">IFERROR(__xludf.DUMMYFUNCTION("""COMPUTED_VALUE"""),0.5)</f>
        <v>0.5</v>
      </c>
      <c r="X2128" s="5">
        <f ca="1">IFERROR(__xludf.DUMMYFUNCTION("""COMPUTED_VALUE"""),1)</f>
        <v>1</v>
      </c>
      <c r="Y2128" s="5" t="str">
        <f ca="1">IFERROR(__xludf.DUMMYFUNCTION("""COMPUTED_VALUE"""),"Occurred in school parking lot - on going argument")</f>
        <v>Occurred in school parking lot - on going argument</v>
      </c>
      <c r="Z2128" s="5" t="str">
        <f ca="1">IFERROR(__xludf.DUMMYFUNCTION("""COMPUTED_VALUE"""),"17YOM student was shot in the parking lot by a 16YOM student during an argument. The two students had multiple conflicts in the past.")</f>
        <v>17YOM student was shot in the parking lot by a 16YOM student during an argument. The two students had multiple conflicts in the past.</v>
      </c>
      <c r="AA2128" s="5" t="str">
        <f ca="1">IFERROR(__xludf.DUMMYFUNCTION("""COMPUTED_VALUE"""),"Escalation of Dispute")</f>
        <v>Escalation of Dispute</v>
      </c>
      <c r="AB2128" s="5" t="str">
        <f ca="1">IFERROR(__xludf.DUMMYFUNCTION("""COMPUTED_VALUE"""),"Victims Targeted")</f>
        <v>Victims Targeted</v>
      </c>
      <c r="AC2128" s="5" t="str">
        <f ca="1">IFERROR(__xludf.DUMMYFUNCTION("""COMPUTED_VALUE"""),"No")</f>
        <v>No</v>
      </c>
      <c r="AD2128" s="5" t="str">
        <f ca="1">IFERROR(__xludf.DUMMYFUNCTION("""COMPUTED_VALUE"""),"No")</f>
        <v>No</v>
      </c>
      <c r="AE2128" s="5" t="str">
        <f ca="1">IFERROR(__xludf.DUMMYFUNCTION("""COMPUTED_VALUE"""),"No")</f>
        <v>No</v>
      </c>
      <c r="AF2128" s="5" t="str">
        <f ca="1">IFERROR(__xludf.DUMMYFUNCTION("""COMPUTED_VALUE"""),"No")</f>
        <v>No</v>
      </c>
      <c r="AG2128" s="5"/>
      <c r="AH2128" s="5" t="str">
        <f ca="1">IFERROR(__xludf.DUMMYFUNCTION("""COMPUTED_VALUE"""),"No")</f>
        <v>No</v>
      </c>
      <c r="AI2128" s="5" t="str">
        <f ca="1">IFERROR(__xludf.DUMMYFUNCTION("""COMPUTED_VALUE"""),"No")</f>
        <v>No</v>
      </c>
      <c r="AJ2128" s="5"/>
    </row>
    <row r="2129" spans="1:36" ht="13">
      <c r="A2129" s="5" t="str">
        <f ca="1">IFERROR(__xludf.DUMMYFUNCTION("""COMPUTED_VALUE"""),"19801031ALHUH")</f>
        <v>19801031ALHUH</v>
      </c>
      <c r="B2129" s="5">
        <f ca="1">IFERROR(__xludf.DUMMYFUNCTION("""COMPUTED_VALUE"""),10)</f>
        <v>10</v>
      </c>
      <c r="C2129" s="5">
        <f ca="1">IFERROR(__xludf.DUMMYFUNCTION("""COMPUTED_VALUE"""),31)</f>
        <v>31</v>
      </c>
      <c r="D2129" s="5">
        <f ca="1">IFERROR(__xludf.DUMMYFUNCTION("""COMPUTED_VALUE"""),1980)</f>
        <v>1980</v>
      </c>
      <c r="E2129" s="8">
        <f ca="1">IFERROR(__xludf.DUMMYFUNCTION("""COMPUTED_VALUE"""),29525)</f>
        <v>29525</v>
      </c>
      <c r="F2129" s="5" t="str">
        <f ca="1">IFERROR(__xludf.DUMMYFUNCTION("""COMPUTED_VALUE"""),"Hueytown High School")</f>
        <v>Hueytown High School</v>
      </c>
      <c r="G2129" s="5">
        <f ca="1">IFERROR(__xludf.DUMMYFUNCTION("""COMPUTED_VALUE"""),0)</f>
        <v>0</v>
      </c>
      <c r="H2129" s="5">
        <f ca="1">IFERROR(__xludf.DUMMYFUNCTION("""COMPUTED_VALUE"""),1)</f>
        <v>1</v>
      </c>
      <c r="I2129" s="5">
        <f ca="1">IFERROR(__xludf.DUMMYFUNCTION("""COMPUTED_VALUE"""),1)</f>
        <v>1</v>
      </c>
      <c r="J2129" s="5">
        <f ca="1">IFERROR(__xludf.DUMMYFUNCTION("""COMPUTED_VALUE"""),1)</f>
        <v>1</v>
      </c>
      <c r="K2129" s="9" t="str">
        <f ca="1">IFERROR(__xludf.DUMMYFUNCTION("""COMPUTED_VALUE"""),"https://www.newspapers.com/newspage/106527312/")</f>
        <v>https://www.newspapers.com/newspage/106527312/</v>
      </c>
      <c r="L2129" s="5"/>
      <c r="M2129" s="5"/>
      <c r="N2129" s="5">
        <f ca="1">IFERROR(__xludf.DUMMYFUNCTION("""COMPUTED_VALUE"""),2)</f>
        <v>2</v>
      </c>
      <c r="O2129" s="5" t="str">
        <f ca="1">IFERROR(__xludf.DUMMYFUNCTION("""COMPUTED_VALUE"""),"Fall")</f>
        <v>Fall</v>
      </c>
      <c r="P2129" s="5" t="str">
        <f ca="1">IFERROR(__xludf.DUMMYFUNCTION("""COMPUTED_VALUE"""),"Hueytown")</f>
        <v>Hueytown</v>
      </c>
      <c r="Q2129" s="5" t="str">
        <f ca="1">IFERROR(__xludf.DUMMYFUNCTION("""COMPUTED_VALUE"""),"AL")</f>
        <v>AL</v>
      </c>
      <c r="R2129" s="5" t="str">
        <f ca="1">IFERROR(__xludf.DUMMYFUNCTION("""COMPUTED_VALUE"""),"High")</f>
        <v>High</v>
      </c>
      <c r="S2129" s="5" t="str">
        <f ca="1">IFERROR(__xludf.DUMMYFUNCTION("""COMPUTED_VALUE"""),"Classroom")</f>
        <v>Classroom</v>
      </c>
      <c r="T2129" s="5" t="str">
        <f ca="1">IFERROR(__xludf.DUMMYFUNCTION("""COMPUTED_VALUE"""),"Inside School Building")</f>
        <v>Inside School Building</v>
      </c>
      <c r="U2129" s="5" t="str">
        <f ca="1">IFERROR(__xludf.DUMMYFUNCTION("""COMPUTED_VALUE"""),"Yes")</f>
        <v>Yes</v>
      </c>
      <c r="V2129" s="5"/>
      <c r="W2129" s="5"/>
      <c r="X2129" s="5">
        <f ca="1">IFERROR(__xludf.DUMMYFUNCTION("""COMPUTED_VALUE"""),1)</f>
        <v>1</v>
      </c>
      <c r="Y2129" s="5" t="str">
        <f ca="1">IFERROR(__xludf.DUMMYFUNCTION("""COMPUTED_VALUE"""),"Shooter pulled out a .22 caliber pistol and wounded a fellow student in the art room then shot himself")</f>
        <v>Shooter pulled out a .22 caliber pistol and wounded a fellow student in the art room then shot himself</v>
      </c>
      <c r="Z2129" s="5" t="str">
        <f ca="1">IFERROR(__xludf.DUMMYFUNCTION("""COMPUTED_VALUE"""),"Argument over self portrait in art class. Shooter shot victim in face then ran out to hallway and shot himself.")</f>
        <v>Argument over self portrait in art class. Shooter shot victim in face then ran out to hallway and shot himself.</v>
      </c>
      <c r="AA2129" s="5" t="str">
        <f ca="1">IFERROR(__xludf.DUMMYFUNCTION("""COMPUTED_VALUE"""),"Escalation of Dispute")</f>
        <v>Escalation of Dispute</v>
      </c>
      <c r="AB2129" s="5" t="str">
        <f ca="1">IFERROR(__xludf.DUMMYFUNCTION("""COMPUTED_VALUE"""),"Victims Targeted")</f>
        <v>Victims Targeted</v>
      </c>
      <c r="AC2129" s="5" t="str">
        <f ca="1">IFERROR(__xludf.DUMMYFUNCTION("""COMPUTED_VALUE"""),"No")</f>
        <v>No</v>
      </c>
      <c r="AD2129" s="5" t="str">
        <f ca="1">IFERROR(__xludf.DUMMYFUNCTION("""COMPUTED_VALUE"""),"No")</f>
        <v>No</v>
      </c>
      <c r="AE2129" s="5" t="str">
        <f ca="1">IFERROR(__xludf.DUMMYFUNCTION("""COMPUTED_VALUE"""),"No")</f>
        <v>No</v>
      </c>
      <c r="AF2129" s="5" t="str">
        <f ca="1">IFERROR(__xludf.DUMMYFUNCTION("""COMPUTED_VALUE"""),"No")</f>
        <v>No</v>
      </c>
      <c r="AG2129" s="5"/>
      <c r="AH2129" s="5" t="str">
        <f ca="1">IFERROR(__xludf.DUMMYFUNCTION("""COMPUTED_VALUE"""),"No")</f>
        <v>No</v>
      </c>
      <c r="AI2129" s="5" t="str">
        <f ca="1">IFERROR(__xludf.DUMMYFUNCTION("""COMPUTED_VALUE"""),"No")</f>
        <v>No</v>
      </c>
      <c r="AJ2129" s="5"/>
    </row>
    <row r="2130" spans="1:36" ht="13">
      <c r="A2130" s="5" t="str">
        <f ca="1">IFERROR(__xludf.DUMMYFUNCTION("""COMPUTED_VALUE"""),"19801013ALCET")</f>
        <v>19801013ALCET</v>
      </c>
      <c r="B2130" s="5">
        <f ca="1">IFERROR(__xludf.DUMMYFUNCTION("""COMPUTED_VALUE"""),10)</f>
        <v>10</v>
      </c>
      <c r="C2130" s="5">
        <f ca="1">IFERROR(__xludf.DUMMYFUNCTION("""COMPUTED_VALUE"""),13)</f>
        <v>13</v>
      </c>
      <c r="D2130" s="5">
        <f ca="1">IFERROR(__xludf.DUMMYFUNCTION("""COMPUTED_VALUE"""),1980)</f>
        <v>1980</v>
      </c>
      <c r="E2130" s="8">
        <f ca="1">IFERROR(__xludf.DUMMYFUNCTION("""COMPUTED_VALUE"""),29507)</f>
        <v>29507</v>
      </c>
      <c r="F2130" s="5" t="str">
        <f ca="1">IFERROR(__xludf.DUMMYFUNCTION("""COMPUTED_VALUE"""),"Central High School")</f>
        <v>Central High School</v>
      </c>
      <c r="G2130" s="5">
        <f ca="1">IFERROR(__xludf.DUMMYFUNCTION("""COMPUTED_VALUE"""),0)</f>
        <v>0</v>
      </c>
      <c r="H2130" s="5">
        <f ca="1">IFERROR(__xludf.DUMMYFUNCTION("""COMPUTED_VALUE"""),1)</f>
        <v>1</v>
      </c>
      <c r="I2130" s="5">
        <f ca="1">IFERROR(__xludf.DUMMYFUNCTION("""COMPUTED_VALUE"""),1)</f>
        <v>1</v>
      </c>
      <c r="J2130" s="5">
        <f ca="1">IFERROR(__xludf.DUMMYFUNCTION("""COMPUTED_VALUE"""),0)</f>
        <v>0</v>
      </c>
      <c r="K2130" s="9" t="str">
        <f ca="1">IFERROR(__xludf.DUMMYFUNCTION("""COMPUTED_VALUE"""),"https://www.newspapers.com/image/266962735/?terms=Central%2BHigh%2BSchool%2Btuscaloosa%2Bshooting")</f>
        <v>https://www.newspapers.com/image/266962735/?terms=Central%2BHigh%2BSchool%2Btuscaloosa%2Bshooting</v>
      </c>
      <c r="L2130" s="5"/>
      <c r="M2130" s="5"/>
      <c r="N2130" s="5">
        <f ca="1">IFERROR(__xludf.DUMMYFUNCTION("""COMPUTED_VALUE"""),2)</f>
        <v>2</v>
      </c>
      <c r="O2130" s="5" t="str">
        <f ca="1">IFERROR(__xludf.DUMMYFUNCTION("""COMPUTED_VALUE"""),"Fall")</f>
        <v>Fall</v>
      </c>
      <c r="P2130" s="5" t="str">
        <f ca="1">IFERROR(__xludf.DUMMYFUNCTION("""COMPUTED_VALUE"""),"Tuscaloosa")</f>
        <v>Tuscaloosa</v>
      </c>
      <c r="Q2130" s="5" t="str">
        <f ca="1">IFERROR(__xludf.DUMMYFUNCTION("""COMPUTED_VALUE"""),"AL")</f>
        <v>AL</v>
      </c>
      <c r="R2130" s="5" t="str">
        <f ca="1">IFERROR(__xludf.DUMMYFUNCTION("""COMPUTED_VALUE"""),"High")</f>
        <v>High</v>
      </c>
      <c r="S2130" s="5" t="str">
        <f ca="1">IFERROR(__xludf.DUMMYFUNCTION("""COMPUTED_VALUE"""),"ND")</f>
        <v>ND</v>
      </c>
      <c r="T2130" s="5" t="str">
        <f ca="1">IFERROR(__xludf.DUMMYFUNCTION("""COMPUTED_VALUE"""),"ND")</f>
        <v>ND</v>
      </c>
      <c r="U2130" s="5" t="str">
        <f ca="1">IFERROR(__xludf.DUMMYFUNCTION("""COMPUTED_VALUE"""),"No")</f>
        <v>No</v>
      </c>
      <c r="V2130" s="5" t="str">
        <f ca="1">IFERROR(__xludf.DUMMYFUNCTION("""COMPUTED_VALUE"""),"After School")</f>
        <v>After School</v>
      </c>
      <c r="W2130" s="5"/>
      <c r="X2130" s="5">
        <f ca="1">IFERROR(__xludf.DUMMYFUNCTION("""COMPUTED_VALUE"""),1)</f>
        <v>1</v>
      </c>
      <c r="Y2130" s="5" t="str">
        <f ca="1">IFERROR(__xludf.DUMMYFUNCTION("""COMPUTED_VALUE"""),"Student shot another student in the back after school, motive unknown")</f>
        <v>Student shot another student in the back after school, motive unknown</v>
      </c>
      <c r="Z2130" s="5" t="str">
        <f ca="1">IFERROR(__xludf.DUMMYFUNCTION("""COMPUTED_VALUE"""),"17YOM shot a 15YOM student in the back after school.")</f>
        <v>17YOM shot a 15YOM student in the back after school.</v>
      </c>
      <c r="AA2130" s="5" t="str">
        <f ca="1">IFERROR(__xludf.DUMMYFUNCTION("""COMPUTED_VALUE"""),"Escalation of Dispute")</f>
        <v>Escalation of Dispute</v>
      </c>
      <c r="AB2130" s="5" t="str">
        <f ca="1">IFERROR(__xludf.DUMMYFUNCTION("""COMPUTED_VALUE"""),"Victims Targeted")</f>
        <v>Victims Targeted</v>
      </c>
      <c r="AC2130" s="5" t="str">
        <f ca="1">IFERROR(__xludf.DUMMYFUNCTION("""COMPUTED_VALUE"""),"No")</f>
        <v>No</v>
      </c>
      <c r="AD2130" s="5" t="str">
        <f ca="1">IFERROR(__xludf.DUMMYFUNCTION("""COMPUTED_VALUE"""),"No")</f>
        <v>No</v>
      </c>
      <c r="AE2130" s="5" t="str">
        <f ca="1">IFERROR(__xludf.DUMMYFUNCTION("""COMPUTED_VALUE"""),"No")</f>
        <v>No</v>
      </c>
      <c r="AF2130" s="5" t="str">
        <f ca="1">IFERROR(__xludf.DUMMYFUNCTION("""COMPUTED_VALUE"""),"No")</f>
        <v>No</v>
      </c>
      <c r="AG2130" s="5"/>
      <c r="AH2130" s="5" t="str">
        <f ca="1">IFERROR(__xludf.DUMMYFUNCTION("""COMPUTED_VALUE"""),"No")</f>
        <v>No</v>
      </c>
      <c r="AI2130" s="5" t="str">
        <f ca="1">IFERROR(__xludf.DUMMYFUNCTION("""COMPUTED_VALUE"""),"No")</f>
        <v>No</v>
      </c>
      <c r="AJ2130" s="5"/>
    </row>
    <row r="2131" spans="1:36" ht="13">
      <c r="A2131" s="5" t="str">
        <f ca="1">IFERROR(__xludf.DUMMYFUNCTION("""COMPUTED_VALUE"""),"19800926CTBRB")</f>
        <v>19800926CTBRB</v>
      </c>
      <c r="B2131" s="5">
        <f ca="1">IFERROR(__xludf.DUMMYFUNCTION("""COMPUTED_VALUE"""),9)</f>
        <v>9</v>
      </c>
      <c r="C2131" s="5">
        <f ca="1">IFERROR(__xludf.DUMMYFUNCTION("""COMPUTED_VALUE"""),26)</f>
        <v>26</v>
      </c>
      <c r="D2131" s="5">
        <f ca="1">IFERROR(__xludf.DUMMYFUNCTION("""COMPUTED_VALUE"""),1980)</f>
        <v>1980</v>
      </c>
      <c r="E2131" s="8">
        <f ca="1">IFERROR(__xludf.DUMMYFUNCTION("""COMPUTED_VALUE"""),29490)</f>
        <v>29490</v>
      </c>
      <c r="F2131" s="5" t="str">
        <f ca="1">IFERROR(__xludf.DUMMYFUNCTION("""COMPUTED_VALUE"""),"Bridgeport Central High School")</f>
        <v>Bridgeport Central High School</v>
      </c>
      <c r="G2131" s="5">
        <f ca="1">IFERROR(__xludf.DUMMYFUNCTION("""COMPUTED_VALUE"""),0)</f>
        <v>0</v>
      </c>
      <c r="H2131" s="5">
        <f ca="1">IFERROR(__xludf.DUMMYFUNCTION("""COMPUTED_VALUE"""),2)</f>
        <v>2</v>
      </c>
      <c r="I2131" s="5">
        <f ca="1">IFERROR(__xludf.DUMMYFUNCTION("""COMPUTED_VALUE"""),2)</f>
        <v>2</v>
      </c>
      <c r="J2131" s="5">
        <f ca="1">IFERROR(__xludf.DUMMYFUNCTION("""COMPUTED_VALUE"""),0)</f>
        <v>0</v>
      </c>
      <c r="K2131" s="9" t="str">
        <f ca="1">IFERROR(__xludf.DUMMYFUNCTION("""COMPUTED_VALUE"""),"https://www.newspapers.com/image/242933436/?terms=student%2Bshot")</f>
        <v>https://www.newspapers.com/image/242933436/?terms=student%2Bshot</v>
      </c>
      <c r="L2131" s="5"/>
      <c r="M2131" s="5"/>
      <c r="N2131" s="5">
        <f ca="1">IFERROR(__xludf.DUMMYFUNCTION("""COMPUTED_VALUE"""),2)</f>
        <v>2</v>
      </c>
      <c r="O2131" s="5" t="str">
        <f ca="1">IFERROR(__xludf.DUMMYFUNCTION("""COMPUTED_VALUE"""),"Fall")</f>
        <v>Fall</v>
      </c>
      <c r="P2131" s="5" t="str">
        <f ca="1">IFERROR(__xludf.DUMMYFUNCTION("""COMPUTED_VALUE"""),"Bridgeport")</f>
        <v>Bridgeport</v>
      </c>
      <c r="Q2131" s="5" t="str">
        <f ca="1">IFERROR(__xludf.DUMMYFUNCTION("""COMPUTED_VALUE"""),"CT")</f>
        <v>CT</v>
      </c>
      <c r="R2131" s="5" t="str">
        <f ca="1">IFERROR(__xludf.DUMMYFUNCTION("""COMPUTED_VALUE"""),"High")</f>
        <v>High</v>
      </c>
      <c r="S2131" s="5" t="str">
        <f ca="1">IFERROR(__xludf.DUMMYFUNCTION("""COMPUTED_VALUE"""),"Beside Building")</f>
        <v>Beside Building</v>
      </c>
      <c r="T2131" s="5" t="str">
        <f ca="1">IFERROR(__xludf.DUMMYFUNCTION("""COMPUTED_VALUE"""),"Outside on School Property")</f>
        <v>Outside on School Property</v>
      </c>
      <c r="U2131" s="5" t="str">
        <f ca="1">IFERROR(__xludf.DUMMYFUNCTION("""COMPUTED_VALUE"""),"Yes")</f>
        <v>Yes</v>
      </c>
      <c r="V2131" s="5" t="str">
        <f ca="1">IFERROR(__xludf.DUMMYFUNCTION("""COMPUTED_VALUE"""),"School Start")</f>
        <v>School Start</v>
      </c>
      <c r="W2131" s="10">
        <f ca="1">IFERROR(__xludf.DUMMYFUNCTION("""COMPUTED_VALUE"""),0.371527777777777)</f>
        <v>0.37152777777777701</v>
      </c>
      <c r="X2131" s="5"/>
      <c r="Y2131" s="5" t="str">
        <f ca="1">IFERROR(__xludf.DUMMYFUNCTION("""COMPUTED_VALUE"""),"Looking for ex-girlfriend, fired indiscriminately when he could not find her")</f>
        <v>Looking for ex-girlfriend, fired indiscriminately when he could not find her</v>
      </c>
      <c r="Z2131" s="5" t="str">
        <f ca="1">IFERROR(__xludf.DUMMYFUNCTION("""COMPUTED_VALUE"""),"19YOM non-student was looking for ex-girlfriend at the school. Fired a one student, then at a group of other students, and threatened a third group of students before fleeing and hiding in the woods nearby. Shooter had stolen a .22 rifle the night before.")</f>
        <v>19YOM non-student was looking for ex-girlfriend at the school. Fired a one student, then at a group of other students, and threatened a third group of students before fleeing and hiding in the woods nearby. Shooter had stolen a .22 rifle the night before.</v>
      </c>
      <c r="AA2131" s="5" t="str">
        <f ca="1">IFERROR(__xludf.DUMMYFUNCTION("""COMPUTED_VALUE"""),"Indiscriminate Shooting")</f>
        <v>Indiscriminate Shooting</v>
      </c>
      <c r="AB2131" s="5" t="str">
        <f ca="1">IFERROR(__xludf.DUMMYFUNCTION("""COMPUTED_VALUE"""),"Both")</f>
        <v>Both</v>
      </c>
      <c r="AC2131" s="5" t="str">
        <f ca="1">IFERROR(__xludf.DUMMYFUNCTION("""COMPUTED_VALUE"""),"No")</f>
        <v>No</v>
      </c>
      <c r="AD2131" s="5" t="str">
        <f ca="1">IFERROR(__xludf.DUMMYFUNCTION("""COMPUTED_VALUE"""),"No")</f>
        <v>No</v>
      </c>
      <c r="AE2131" s="5" t="str">
        <f ca="1">IFERROR(__xludf.DUMMYFUNCTION("""COMPUTED_VALUE"""),"No")</f>
        <v>No</v>
      </c>
      <c r="AF2131" s="5" t="str">
        <f ca="1">IFERROR(__xludf.DUMMYFUNCTION("""COMPUTED_VALUE"""),"No")</f>
        <v>No</v>
      </c>
      <c r="AG2131" s="5" t="str">
        <f ca="1">IFERROR(__xludf.DUMMYFUNCTION("""COMPUTED_VALUE"""),"No")</f>
        <v>No</v>
      </c>
      <c r="AH2131" s="5" t="str">
        <f ca="1">IFERROR(__xludf.DUMMYFUNCTION("""COMPUTED_VALUE"""),"Yes")</f>
        <v>Yes</v>
      </c>
      <c r="AI2131" s="5" t="str">
        <f ca="1">IFERROR(__xludf.DUMMYFUNCTION("""COMPUTED_VALUE"""),"No")</f>
        <v>No</v>
      </c>
      <c r="AJ2131" s="5" t="str">
        <f ca="1">IFERROR(__xludf.DUMMYFUNCTION("""COMPUTED_VALUE"""),"Yes")</f>
        <v>Yes</v>
      </c>
    </row>
    <row r="2132" spans="1:36" ht="13">
      <c r="A2132" s="5" t="str">
        <f ca="1">IFERROR(__xludf.DUMMYFUNCTION("""COMPUTED_VALUE"""),"19800911ALJOM")</f>
        <v>19800911ALJOM</v>
      </c>
      <c r="B2132" s="5">
        <f ca="1">IFERROR(__xludf.DUMMYFUNCTION("""COMPUTED_VALUE"""),9)</f>
        <v>9</v>
      </c>
      <c r="C2132" s="5">
        <f ca="1">IFERROR(__xludf.DUMMYFUNCTION("""COMPUTED_VALUE"""),11)</f>
        <v>11</v>
      </c>
      <c r="D2132" s="5">
        <f ca="1">IFERROR(__xludf.DUMMYFUNCTION("""COMPUTED_VALUE"""),1980)</f>
        <v>1980</v>
      </c>
      <c r="E2132" s="8">
        <f ca="1">IFERROR(__xludf.DUMMYFUNCTION("""COMPUTED_VALUE"""),29475)</f>
        <v>29475</v>
      </c>
      <c r="F2132" s="5" t="str">
        <f ca="1">IFERROR(__xludf.DUMMYFUNCTION("""COMPUTED_VALUE"""),"John S. Shaw High School")</f>
        <v>John S. Shaw High School</v>
      </c>
      <c r="G2132" s="5">
        <f ca="1">IFERROR(__xludf.DUMMYFUNCTION("""COMPUTED_VALUE"""),1)</f>
        <v>1</v>
      </c>
      <c r="H2132" s="5">
        <f ca="1">IFERROR(__xludf.DUMMYFUNCTION("""COMPUTED_VALUE"""),0)</f>
        <v>0</v>
      </c>
      <c r="I2132" s="5">
        <f ca="1">IFERROR(__xludf.DUMMYFUNCTION("""COMPUTED_VALUE"""),1)</f>
        <v>1</v>
      </c>
      <c r="J2132" s="5">
        <f ca="1">IFERROR(__xludf.DUMMYFUNCTION("""COMPUTED_VALUE"""),0)</f>
        <v>0</v>
      </c>
      <c r="K2132" s="9" t="str">
        <f ca="1">IFERROR(__xludf.DUMMYFUNCTION("""COMPUTED_VALUE"""),"https://www.newspapers.com/image/265350967/?terms=marian%2Bgreen")</f>
        <v>https://www.newspapers.com/image/265350967/?terms=marian%2Bgreen</v>
      </c>
      <c r="L2132" s="5"/>
      <c r="M2132" s="5"/>
      <c r="N2132" s="5">
        <f ca="1">IFERROR(__xludf.DUMMYFUNCTION("""COMPUTED_VALUE"""),2)</f>
        <v>2</v>
      </c>
      <c r="O2132" s="5" t="str">
        <f ca="1">IFERROR(__xludf.DUMMYFUNCTION("""COMPUTED_VALUE"""),"Fall")</f>
        <v>Fall</v>
      </c>
      <c r="P2132" s="5" t="str">
        <f ca="1">IFERROR(__xludf.DUMMYFUNCTION("""COMPUTED_VALUE"""),"Mobile")</f>
        <v>Mobile</v>
      </c>
      <c r="Q2132" s="5" t="str">
        <f ca="1">IFERROR(__xludf.DUMMYFUNCTION("""COMPUTED_VALUE"""),"AL")</f>
        <v>AL</v>
      </c>
      <c r="R2132" s="5" t="str">
        <f ca="1">IFERROR(__xludf.DUMMYFUNCTION("""COMPUTED_VALUE"""),"High")</f>
        <v>High</v>
      </c>
      <c r="S2132" s="5" t="str">
        <f ca="1">IFERROR(__xludf.DUMMYFUNCTION("""COMPUTED_VALUE"""),"Office")</f>
        <v>Office</v>
      </c>
      <c r="T2132" s="5" t="str">
        <f ca="1">IFERROR(__xludf.DUMMYFUNCTION("""COMPUTED_VALUE"""),"Inside School Building")</f>
        <v>Inside School Building</v>
      </c>
      <c r="U2132" s="5" t="str">
        <f ca="1">IFERROR(__xludf.DUMMYFUNCTION("""COMPUTED_VALUE"""),"Yes")</f>
        <v>Yes</v>
      </c>
      <c r="V2132" s="5"/>
      <c r="W2132" s="5"/>
      <c r="X2132" s="5">
        <f ca="1">IFERROR(__xludf.DUMMYFUNCTION("""COMPUTED_VALUE"""),1)</f>
        <v>1</v>
      </c>
      <c r="Y2132" s="5" t="str">
        <f ca="1">IFERROR(__xludf.DUMMYFUNCTION("""COMPUTED_VALUE"""),"Ongoing fight between teachers")</f>
        <v>Ongoing fight between teachers</v>
      </c>
      <c r="Z2132" s="5" t="str">
        <f ca="1">IFERROR(__xludf.DUMMYFUNCTION("""COMPUTED_VALUE"""),"A PE teacher and art got into an argument - they locked themselves in the gym office to talk - one teacher was shot/killed. the other teacher was taken to hospital for shock and later charged w/ murder")</f>
        <v>A PE teacher and art got into an argument - they locked themselves in the gym office to talk - one teacher was shot/killed. the other teacher was taken to hospital for shock and later charged w/ murder</v>
      </c>
      <c r="AA2132" s="5" t="str">
        <f ca="1">IFERROR(__xludf.DUMMYFUNCTION("""COMPUTED_VALUE"""),"Escalation of Dispute")</f>
        <v>Escalation of Dispute</v>
      </c>
      <c r="AB2132" s="5" t="str">
        <f ca="1">IFERROR(__xludf.DUMMYFUNCTION("""COMPUTED_VALUE"""),"Victims Targeted")</f>
        <v>Victims Targeted</v>
      </c>
      <c r="AC2132" s="5"/>
      <c r="AD2132" s="5" t="str">
        <f ca="1">IFERROR(__xludf.DUMMYFUNCTION("""COMPUTED_VALUE"""),"No")</f>
        <v>No</v>
      </c>
      <c r="AE2132" s="5" t="str">
        <f ca="1">IFERROR(__xludf.DUMMYFUNCTION("""COMPUTED_VALUE"""),"No")</f>
        <v>No</v>
      </c>
      <c r="AF2132" s="5" t="str">
        <f ca="1">IFERROR(__xludf.DUMMYFUNCTION("""COMPUTED_VALUE"""),"No")</f>
        <v>No</v>
      </c>
      <c r="AG2132" s="5" t="str">
        <f ca="1">IFERROR(__xludf.DUMMYFUNCTION("""COMPUTED_VALUE"""),"No")</f>
        <v>No</v>
      </c>
      <c r="AH2132" s="5" t="str">
        <f ca="1">IFERROR(__xludf.DUMMYFUNCTION("""COMPUTED_VALUE"""),"No")</f>
        <v>No</v>
      </c>
      <c r="AI2132" s="5" t="str">
        <f ca="1">IFERROR(__xludf.DUMMYFUNCTION("""COMPUTED_VALUE"""),"No")</f>
        <v>No</v>
      </c>
      <c r="AJ2132" s="5"/>
    </row>
    <row r="2133" spans="1:36" ht="13">
      <c r="A2133" s="5" t="str">
        <f ca="1">IFERROR(__xludf.DUMMYFUNCTION("""COMPUTED_VALUE"""),"19800910DCSPW")</f>
        <v>19800910DCSPW</v>
      </c>
      <c r="B2133" s="5">
        <f ca="1">IFERROR(__xludf.DUMMYFUNCTION("""COMPUTED_VALUE"""),9)</f>
        <v>9</v>
      </c>
      <c r="C2133" s="5">
        <f ca="1">IFERROR(__xludf.DUMMYFUNCTION("""COMPUTED_VALUE"""),10)</f>
        <v>10</v>
      </c>
      <c r="D2133" s="5">
        <f ca="1">IFERROR(__xludf.DUMMYFUNCTION("""COMPUTED_VALUE"""),1980)</f>
        <v>1980</v>
      </c>
      <c r="E2133" s="8">
        <f ca="1">IFERROR(__xludf.DUMMYFUNCTION("""COMPUTED_VALUE"""),29474)</f>
        <v>29474</v>
      </c>
      <c r="F2133" s="5" t="str">
        <f ca="1">IFERROR(__xludf.DUMMYFUNCTION("""COMPUTED_VALUE"""),"Springarn High School")</f>
        <v>Springarn High School</v>
      </c>
      <c r="G2133" s="5">
        <f ca="1">IFERROR(__xludf.DUMMYFUNCTION("""COMPUTED_VALUE"""),1)</f>
        <v>1</v>
      </c>
      <c r="H2133" s="5">
        <f ca="1">IFERROR(__xludf.DUMMYFUNCTION("""COMPUTED_VALUE"""),0)</f>
        <v>0</v>
      </c>
      <c r="I2133" s="5">
        <f ca="1">IFERROR(__xludf.DUMMYFUNCTION("""COMPUTED_VALUE"""),1)</f>
        <v>1</v>
      </c>
      <c r="J2133" s="5">
        <f ca="1">IFERROR(__xludf.DUMMYFUNCTION("""COMPUTED_VALUE"""),0)</f>
        <v>0</v>
      </c>
      <c r="K2133" s="9" t="str">
        <f ca="1">IFERROR(__xludf.DUMMYFUNCTION("""COMPUTED_VALUE"""),"https://www.washingtonpost.com/archive/local/1980/09/11/spingarn-high-student-fatally-shot-at-school-assembly/92b6d5ba-12ec-406d-9b40-92cbc30665c0/?utm_term=.a461da45a849")</f>
        <v>https://www.washingtonpost.com/archive/local/1980/09/11/spingarn-high-student-fatally-shot-at-school-assembly/92b6d5ba-12ec-406d-9b40-92cbc30665c0/?utm_term=.a461da45a849</v>
      </c>
      <c r="L2133" s="5"/>
      <c r="M2133" s="5"/>
      <c r="N2133" s="5">
        <f ca="1">IFERROR(__xludf.DUMMYFUNCTION("""COMPUTED_VALUE"""),2)</f>
        <v>2</v>
      </c>
      <c r="O2133" s="5" t="str">
        <f ca="1">IFERROR(__xludf.DUMMYFUNCTION("""COMPUTED_VALUE"""),"Fall")</f>
        <v>Fall</v>
      </c>
      <c r="P2133" s="5" t="str">
        <f ca="1">IFERROR(__xludf.DUMMYFUNCTION("""COMPUTED_VALUE"""),"Washington")</f>
        <v>Washington</v>
      </c>
      <c r="Q2133" s="5" t="str">
        <f ca="1">IFERROR(__xludf.DUMMYFUNCTION("""COMPUTED_VALUE"""),"DC")</f>
        <v>DC</v>
      </c>
      <c r="R2133" s="5" t="str">
        <f ca="1">IFERROR(__xludf.DUMMYFUNCTION("""COMPUTED_VALUE"""),"High")</f>
        <v>High</v>
      </c>
      <c r="S2133" s="5" t="str">
        <f ca="1">IFERROR(__xludf.DUMMYFUNCTION("""COMPUTED_VALUE"""),"Auditorium")</f>
        <v>Auditorium</v>
      </c>
      <c r="T2133" s="5" t="str">
        <f ca="1">IFERROR(__xludf.DUMMYFUNCTION("""COMPUTED_VALUE"""),"Inside School Building")</f>
        <v>Inside School Building</v>
      </c>
      <c r="U2133" s="5" t="str">
        <f ca="1">IFERROR(__xludf.DUMMYFUNCTION("""COMPUTED_VALUE"""),"Yes")</f>
        <v>Yes</v>
      </c>
      <c r="V2133" s="5" t="str">
        <f ca="1">IFERROR(__xludf.DUMMYFUNCTION("""COMPUTED_VALUE"""),"Morning Classes")</f>
        <v>Morning Classes</v>
      </c>
      <c r="W2133" s="10">
        <f ca="1">IFERROR(__xludf.DUMMYFUNCTION("""COMPUTED_VALUE"""),0.4375)</f>
        <v>0.4375</v>
      </c>
      <c r="X2133" s="5">
        <f ca="1">IFERROR(__xludf.DUMMYFUNCTION("""COMPUTED_VALUE"""),1)</f>
        <v>1</v>
      </c>
      <c r="Y2133" s="5" t="str">
        <f ca="1">IFERROR(__xludf.DUMMYFUNCTION("""COMPUTED_VALUE"""),"Playing with gun during assembly, shot friend")</f>
        <v>Playing with gun during assembly, shot friend</v>
      </c>
      <c r="Z2133" s="5" t="str">
        <f ca="1">IFERROR(__xludf.DUMMYFUNCTION("""COMPUTED_VALUE"""),"Students were passing around gun and playing with it during assembly. Student dared 18YOM to pull the trigger. He did unintentionally striking friend in head. Shooter was arrested and student who brought the gun turned himself in to police later.")</f>
        <v>Students were passing around gun and playing with it during assembly. Student dared 18YOM to pull the trigger. He did unintentionally striking friend in head. Shooter was arrested and student who brought the gun turned himself in to police later.</v>
      </c>
      <c r="AA2133" s="5" t="str">
        <f ca="1">IFERROR(__xludf.DUMMYFUNCTION("""COMPUTED_VALUE"""),"Accidental")</f>
        <v>Accidental</v>
      </c>
      <c r="AB2133" s="5" t="str">
        <f ca="1">IFERROR(__xludf.DUMMYFUNCTION("""COMPUTED_VALUE"""),"Random Shooting")</f>
        <v>Random Shooting</v>
      </c>
      <c r="AC2133" s="5" t="str">
        <f ca="1">IFERROR(__xludf.DUMMYFUNCTION("""COMPUTED_VALUE"""),"Yes")</f>
        <v>Yes</v>
      </c>
      <c r="AD2133" s="5" t="str">
        <f ca="1">IFERROR(__xludf.DUMMYFUNCTION("""COMPUTED_VALUE"""),"No")</f>
        <v>No</v>
      </c>
      <c r="AE2133" s="5" t="str">
        <f ca="1">IFERROR(__xludf.DUMMYFUNCTION("""COMPUTED_VALUE"""),"No")</f>
        <v>No</v>
      </c>
      <c r="AF2133" s="5" t="str">
        <f ca="1">IFERROR(__xludf.DUMMYFUNCTION("""COMPUTED_VALUE"""),"No")</f>
        <v>No</v>
      </c>
      <c r="AG2133" s="5" t="str">
        <f ca="1">IFERROR(__xludf.DUMMYFUNCTION("""COMPUTED_VALUE"""),"No")</f>
        <v>No</v>
      </c>
      <c r="AH2133" s="5" t="str">
        <f ca="1">IFERROR(__xludf.DUMMYFUNCTION("""COMPUTED_VALUE"""),"No")</f>
        <v>No</v>
      </c>
      <c r="AI2133" s="5" t="str">
        <f ca="1">IFERROR(__xludf.DUMMYFUNCTION("""COMPUTED_VALUE"""),"No")</f>
        <v>No</v>
      </c>
      <c r="AJ2133" s="5"/>
    </row>
    <row r="2134" spans="1:36" ht="13">
      <c r="A2134" s="5" t="str">
        <f ca="1">IFERROR(__xludf.DUMMYFUNCTION("""COMPUTED_VALUE"""),"19800908FLFOJ")</f>
        <v>19800908FLFOJ</v>
      </c>
      <c r="B2134" s="5">
        <f ca="1">IFERROR(__xludf.DUMMYFUNCTION("""COMPUTED_VALUE"""),9)</f>
        <v>9</v>
      </c>
      <c r="C2134" s="5">
        <f ca="1">IFERROR(__xludf.DUMMYFUNCTION("""COMPUTED_VALUE"""),8)</f>
        <v>8</v>
      </c>
      <c r="D2134" s="5">
        <f ca="1">IFERROR(__xludf.DUMMYFUNCTION("""COMPUTED_VALUE"""),1980)</f>
        <v>1980</v>
      </c>
      <c r="E2134" s="8">
        <f ca="1">IFERROR(__xludf.DUMMYFUNCTION("""COMPUTED_VALUE"""),29472)</f>
        <v>29472</v>
      </c>
      <c r="F2134" s="5" t="str">
        <f ca="1">IFERROR(__xludf.DUMMYFUNCTION("""COMPUTED_VALUE"""),"Forrest High School")</f>
        <v>Forrest High School</v>
      </c>
      <c r="G2134" s="5">
        <f ca="1">IFERROR(__xludf.DUMMYFUNCTION("""COMPUTED_VALUE"""),0)</f>
        <v>0</v>
      </c>
      <c r="H2134" s="5">
        <f ca="1">IFERROR(__xludf.DUMMYFUNCTION("""COMPUTED_VALUE"""),1)</f>
        <v>1</v>
      </c>
      <c r="I2134" s="5">
        <f ca="1">IFERROR(__xludf.DUMMYFUNCTION("""COMPUTED_VALUE"""),1)</f>
        <v>1</v>
      </c>
      <c r="J2134" s="5">
        <f ca="1">IFERROR(__xludf.DUMMYFUNCTION("""COMPUTED_VALUE"""),0)</f>
        <v>0</v>
      </c>
      <c r="K2134" s="9" t="str">
        <f ca="1">IFERROR(__xludf.DUMMYFUNCTION("""COMPUTED_VALUE"""),"https://www.newspapers.com/image/437154147/?terms=jim%2BScherny")</f>
        <v>https://www.newspapers.com/image/437154147/?terms=jim%2BScherny</v>
      </c>
      <c r="L2134" s="5"/>
      <c r="M2134" s="5"/>
      <c r="N2134" s="5">
        <f ca="1">IFERROR(__xludf.DUMMYFUNCTION("""COMPUTED_VALUE"""),2)</f>
        <v>2</v>
      </c>
      <c r="O2134" s="5" t="str">
        <f ca="1">IFERROR(__xludf.DUMMYFUNCTION("""COMPUTED_VALUE"""),"Fall")</f>
        <v>Fall</v>
      </c>
      <c r="P2134" s="5" t="str">
        <f ca="1">IFERROR(__xludf.DUMMYFUNCTION("""COMPUTED_VALUE"""),"Jacksonville")</f>
        <v>Jacksonville</v>
      </c>
      <c r="Q2134" s="5" t="str">
        <f ca="1">IFERROR(__xludf.DUMMYFUNCTION("""COMPUTED_VALUE"""),"FL")</f>
        <v>FL</v>
      </c>
      <c r="R2134" s="5" t="str">
        <f ca="1">IFERROR(__xludf.DUMMYFUNCTION("""COMPUTED_VALUE"""),"High")</f>
        <v>High</v>
      </c>
      <c r="S2134" s="5" t="str">
        <f ca="1">IFERROR(__xludf.DUMMYFUNCTION("""COMPUTED_VALUE"""),"Parking Lot")</f>
        <v>Parking Lot</v>
      </c>
      <c r="T2134" s="5" t="str">
        <f ca="1">IFERROR(__xludf.DUMMYFUNCTION("""COMPUTED_VALUE"""),"Outside on School Property")</f>
        <v>Outside on School Property</v>
      </c>
      <c r="U2134" s="5" t="str">
        <f ca="1">IFERROR(__xludf.DUMMYFUNCTION("""COMPUTED_VALUE"""),"Yes")</f>
        <v>Yes</v>
      </c>
      <c r="V2134" s="5"/>
      <c r="W2134" s="5"/>
      <c r="X2134" s="5">
        <f ca="1">IFERROR(__xludf.DUMMYFUNCTION("""COMPUTED_VALUE"""),1)</f>
        <v>1</v>
      </c>
      <c r="Y2134" s="5" t="str">
        <f ca="1">IFERROR(__xludf.DUMMYFUNCTION("""COMPUTED_VALUE"""),"Shots fired during fight in parking lot")</f>
        <v>Shots fired during fight in parking lot</v>
      </c>
      <c r="Z2134" s="5" t="str">
        <f ca="1">IFERROR(__xludf.DUMMYFUNCTION("""COMPUTED_VALUE"""),"Teacher in argument with three boys after school - shot in wrist - one juvenile apprehended - direct cause of argument not published")</f>
        <v>Teacher in argument with three boys after school - shot in wrist - one juvenile apprehended - direct cause of argument not published</v>
      </c>
      <c r="AA2134" s="5" t="str">
        <f ca="1">IFERROR(__xludf.DUMMYFUNCTION("""COMPUTED_VALUE"""),"Escalation of Dispute")</f>
        <v>Escalation of Dispute</v>
      </c>
      <c r="AB2134" s="5" t="str">
        <f ca="1">IFERROR(__xludf.DUMMYFUNCTION("""COMPUTED_VALUE"""),"Victims Targeted")</f>
        <v>Victims Targeted</v>
      </c>
      <c r="AC2134" s="5" t="str">
        <f ca="1">IFERROR(__xludf.DUMMYFUNCTION("""COMPUTED_VALUE"""),"No")</f>
        <v>No</v>
      </c>
      <c r="AD2134" s="5" t="str">
        <f ca="1">IFERROR(__xludf.DUMMYFUNCTION("""COMPUTED_VALUE"""),"No")</f>
        <v>No</v>
      </c>
      <c r="AE2134" s="5" t="str">
        <f ca="1">IFERROR(__xludf.DUMMYFUNCTION("""COMPUTED_VALUE"""),"No")</f>
        <v>No</v>
      </c>
      <c r="AF2134" s="5" t="str">
        <f ca="1">IFERROR(__xludf.DUMMYFUNCTION("""COMPUTED_VALUE"""),"No")</f>
        <v>No</v>
      </c>
      <c r="AG2134" s="5" t="str">
        <f ca="1">IFERROR(__xludf.DUMMYFUNCTION("""COMPUTED_VALUE"""),"No")</f>
        <v>No</v>
      </c>
      <c r="AH2134" s="5" t="str">
        <f ca="1">IFERROR(__xludf.DUMMYFUNCTION("""COMPUTED_VALUE"""),"No")</f>
        <v>No</v>
      </c>
      <c r="AI2134" s="5" t="str">
        <f ca="1">IFERROR(__xludf.DUMMYFUNCTION("""COMPUTED_VALUE"""),"No")</f>
        <v>No</v>
      </c>
      <c r="AJ2134" s="5"/>
    </row>
    <row r="2135" spans="1:36" ht="13">
      <c r="A2135" s="5" t="str">
        <f ca="1">IFERROR(__xludf.DUMMYFUNCTION("""COMPUTED_VALUE"""),"19800902CAWHL")</f>
        <v>19800902CAWHL</v>
      </c>
      <c r="B2135" s="5">
        <f ca="1">IFERROR(__xludf.DUMMYFUNCTION("""COMPUTED_VALUE"""),9)</f>
        <v>9</v>
      </c>
      <c r="C2135" s="5">
        <f ca="1">IFERROR(__xludf.DUMMYFUNCTION("""COMPUTED_VALUE"""),2)</f>
        <v>2</v>
      </c>
      <c r="D2135" s="5">
        <f ca="1">IFERROR(__xludf.DUMMYFUNCTION("""COMPUTED_VALUE"""),1980)</f>
        <v>1980</v>
      </c>
      <c r="E2135" s="8">
        <f ca="1">IFERROR(__xludf.DUMMYFUNCTION("""COMPUTED_VALUE"""),29466)</f>
        <v>29466</v>
      </c>
      <c r="F2135" s="5" t="str">
        <f ca="1">IFERROR(__xludf.DUMMYFUNCTION("""COMPUTED_VALUE"""),"Whittier High School")</f>
        <v>Whittier High School</v>
      </c>
      <c r="G2135" s="5">
        <f ca="1">IFERROR(__xludf.DUMMYFUNCTION("""COMPUTED_VALUE"""),0)</f>
        <v>0</v>
      </c>
      <c r="H2135" s="5">
        <f ca="1">IFERROR(__xludf.DUMMYFUNCTION("""COMPUTED_VALUE"""),10)</f>
        <v>10</v>
      </c>
      <c r="I2135" s="5">
        <f ca="1">IFERROR(__xludf.DUMMYFUNCTION("""COMPUTED_VALUE"""),10)</f>
        <v>10</v>
      </c>
      <c r="J2135" s="5">
        <f ca="1">IFERROR(__xludf.DUMMYFUNCTION("""COMPUTED_VALUE"""),0)</f>
        <v>0</v>
      </c>
      <c r="K2135" s="9" t="str">
        <f ca="1">IFERROR(__xludf.DUMMYFUNCTION("""COMPUTED_VALUE"""),"https://www.newspapers.com/image/63246339/?terms=Whittier%2BHigh%2BSchool%2Bshooting")</f>
        <v>https://www.newspapers.com/image/63246339/?terms=Whittier%2BHigh%2BSchool%2Bshooting</v>
      </c>
      <c r="L2135" s="5"/>
      <c r="M2135" s="5"/>
      <c r="N2135" s="5">
        <f ca="1">IFERROR(__xludf.DUMMYFUNCTION("""COMPUTED_VALUE"""),2)</f>
        <v>2</v>
      </c>
      <c r="O2135" s="5" t="str">
        <f ca="1">IFERROR(__xludf.DUMMYFUNCTION("""COMPUTED_VALUE"""),"Fall")</f>
        <v>Fall</v>
      </c>
      <c r="P2135" s="5" t="str">
        <f ca="1">IFERROR(__xludf.DUMMYFUNCTION("""COMPUTED_VALUE"""),"Los Angeles")</f>
        <v>Los Angeles</v>
      </c>
      <c r="Q2135" s="5" t="str">
        <f ca="1">IFERROR(__xludf.DUMMYFUNCTION("""COMPUTED_VALUE"""),"CA")</f>
        <v>CA</v>
      </c>
      <c r="R2135" s="5" t="str">
        <f ca="1">IFERROR(__xludf.DUMMYFUNCTION("""COMPUTED_VALUE"""),"High")</f>
        <v>High</v>
      </c>
      <c r="S2135" s="5" t="str">
        <f ca="1">IFERROR(__xludf.DUMMYFUNCTION("""COMPUTED_VALUE"""),"Football Field/Track")</f>
        <v>Football Field/Track</v>
      </c>
      <c r="T2135" s="5" t="str">
        <f ca="1">IFERROR(__xludf.DUMMYFUNCTION("""COMPUTED_VALUE"""),"Outside on School Property")</f>
        <v>Outside on School Property</v>
      </c>
      <c r="U2135" s="5" t="str">
        <f ca="1">IFERROR(__xludf.DUMMYFUNCTION("""COMPUTED_VALUE"""),"No")</f>
        <v>No</v>
      </c>
      <c r="V2135" s="5" t="str">
        <f ca="1">IFERROR(__xludf.DUMMYFUNCTION("""COMPUTED_VALUE"""),"After School")</f>
        <v>After School</v>
      </c>
      <c r="W2135" s="5"/>
      <c r="X2135" s="5">
        <f ca="1">IFERROR(__xludf.DUMMYFUNCTION("""COMPUTED_VALUE"""),1)</f>
        <v>1</v>
      </c>
      <c r="Y2135" s="5" t="str">
        <f ca="1">IFERROR(__xludf.DUMMYFUNCTION("""COMPUTED_VALUE"""),"Fired shotgun at football team during practice")</f>
        <v>Fired shotgun at football team during practice</v>
      </c>
      <c r="Z2135" s="5" t="str">
        <f ca="1">IFERROR(__xludf.DUMMYFUNCTION("""COMPUTED_VALUE"""),"Shooter got out of car, fired shotgun at football team during practice. Drove short distance and fired another shot at the players on the field then drove away. Police said the shooting was related to gang activity.")</f>
        <v>Shooter got out of car, fired shotgun at football team during practice. Drove short distance and fired another shot at the players on the field then drove away. Police said the shooting was related to gang activity.</v>
      </c>
      <c r="AA2135" s="5" t="str">
        <f ca="1">IFERROR(__xludf.DUMMYFUNCTION("""COMPUTED_VALUE"""),"Indiscriminate Shooting")</f>
        <v>Indiscriminate Shooting</v>
      </c>
      <c r="AB2135" s="5" t="str">
        <f ca="1">IFERROR(__xludf.DUMMYFUNCTION("""COMPUTED_VALUE"""),"Both")</f>
        <v>Both</v>
      </c>
      <c r="AC2135" s="5" t="str">
        <f ca="1">IFERROR(__xludf.DUMMYFUNCTION("""COMPUTED_VALUE"""),"Yes")</f>
        <v>Yes</v>
      </c>
      <c r="AD2135" s="5" t="str">
        <f ca="1">IFERROR(__xludf.DUMMYFUNCTION("""COMPUTED_VALUE"""),"No")</f>
        <v>No</v>
      </c>
      <c r="AE2135" s="5" t="str">
        <f ca="1">IFERROR(__xludf.DUMMYFUNCTION("""COMPUTED_VALUE"""),"No")</f>
        <v>No</v>
      </c>
      <c r="AF2135" s="5" t="str">
        <f ca="1">IFERROR(__xludf.DUMMYFUNCTION("""COMPUTED_VALUE"""),"No")</f>
        <v>No</v>
      </c>
      <c r="AG2135" s="5"/>
      <c r="AH2135" s="5" t="str">
        <f ca="1">IFERROR(__xludf.DUMMYFUNCTION("""COMPUTED_VALUE"""),"No")</f>
        <v>No</v>
      </c>
      <c r="AI2135" s="5" t="str">
        <f ca="1">IFERROR(__xludf.DUMMYFUNCTION("""COMPUTED_VALUE"""),"Yes")</f>
        <v>Yes</v>
      </c>
      <c r="AJ2135" s="5" t="str">
        <f ca="1">IFERROR(__xludf.DUMMYFUNCTION("""COMPUTED_VALUE"""),"Yes")</f>
        <v>Yes</v>
      </c>
    </row>
    <row r="2136" spans="1:36" ht="13">
      <c r="A2136" s="5" t="str">
        <f ca="1">IFERROR(__xludf.DUMMYFUNCTION("""COMPUTED_VALUE"""),"19800530NYCLB")</f>
        <v>19800530NYCLB</v>
      </c>
      <c r="B2136" s="5">
        <f ca="1">IFERROR(__xludf.DUMMYFUNCTION("""COMPUTED_VALUE"""),5)</f>
        <v>5</v>
      </c>
      <c r="C2136" s="5">
        <f ca="1">IFERROR(__xludf.DUMMYFUNCTION("""COMPUTED_VALUE"""),30)</f>
        <v>30</v>
      </c>
      <c r="D2136" s="5">
        <f ca="1">IFERROR(__xludf.DUMMYFUNCTION("""COMPUTED_VALUE"""),1980)</f>
        <v>1980</v>
      </c>
      <c r="E2136" s="8">
        <f ca="1">IFERROR(__xludf.DUMMYFUNCTION("""COMPUTED_VALUE"""),29371)</f>
        <v>29371</v>
      </c>
      <c r="F2136" s="5" t="str">
        <f ca="1">IFERROR(__xludf.DUMMYFUNCTION("""COMPUTED_VALUE"""),"Clara Barton High School")</f>
        <v>Clara Barton High School</v>
      </c>
      <c r="G2136" s="5">
        <f ca="1">IFERROR(__xludf.DUMMYFUNCTION("""COMPUTED_VALUE"""),0)</f>
        <v>0</v>
      </c>
      <c r="H2136" s="5">
        <f ca="1">IFERROR(__xludf.DUMMYFUNCTION("""COMPUTED_VALUE"""),0)</f>
        <v>0</v>
      </c>
      <c r="I2136" s="5">
        <f ca="1">IFERROR(__xludf.DUMMYFUNCTION("""COMPUTED_VALUE"""),0)</f>
        <v>0</v>
      </c>
      <c r="J2136" s="5">
        <f ca="1">IFERROR(__xludf.DUMMYFUNCTION("""COMPUTED_VALUE"""),0)</f>
        <v>0</v>
      </c>
      <c r="K2136" s="9" t="str">
        <f ca="1">IFERROR(__xludf.DUMMYFUNCTION("""COMPUTED_VALUE"""),"https://www.newspapers.com/image/335123478/?terms=student%2Bshoots%2Bself")</f>
        <v>https://www.newspapers.com/image/335123478/?terms=student%2Bshoots%2Bself</v>
      </c>
      <c r="L2136" s="5"/>
      <c r="M2136" s="5"/>
      <c r="N2136" s="5">
        <f ca="1">IFERROR(__xludf.DUMMYFUNCTION("""COMPUTED_VALUE"""),2)</f>
        <v>2</v>
      </c>
      <c r="O2136" s="5" t="str">
        <f ca="1">IFERROR(__xludf.DUMMYFUNCTION("""COMPUTED_VALUE"""),"Spring")</f>
        <v>Spring</v>
      </c>
      <c r="P2136" s="5" t="str">
        <f ca="1">IFERROR(__xludf.DUMMYFUNCTION("""COMPUTED_VALUE"""),"Brooklyn")</f>
        <v>Brooklyn</v>
      </c>
      <c r="Q2136" s="5" t="str">
        <f ca="1">IFERROR(__xludf.DUMMYFUNCTION("""COMPUTED_VALUE"""),"NY")</f>
        <v>NY</v>
      </c>
      <c r="R2136" s="5" t="str">
        <f ca="1">IFERROR(__xludf.DUMMYFUNCTION("""COMPUTED_VALUE"""),"High")</f>
        <v>High</v>
      </c>
      <c r="S2136" s="5" t="str">
        <f ca="1">IFERROR(__xludf.DUMMYFUNCTION("""COMPUTED_VALUE"""),"Classroom")</f>
        <v>Classroom</v>
      </c>
      <c r="T2136" s="5" t="str">
        <f ca="1">IFERROR(__xludf.DUMMYFUNCTION("""COMPUTED_VALUE"""),"Inside School Building")</f>
        <v>Inside School Building</v>
      </c>
      <c r="U2136" s="5" t="str">
        <f ca="1">IFERROR(__xludf.DUMMYFUNCTION("""COMPUTED_VALUE"""),"Yes")</f>
        <v>Yes</v>
      </c>
      <c r="V2136" s="5" t="str">
        <f ca="1">IFERROR(__xludf.DUMMYFUNCTION("""COMPUTED_VALUE"""),"Morning Classes")</f>
        <v>Morning Classes</v>
      </c>
      <c r="W2136" s="10">
        <f ca="1">IFERROR(__xludf.DUMMYFUNCTION("""COMPUTED_VALUE"""),0.395833333333333)</f>
        <v>0.39583333333333298</v>
      </c>
      <c r="X2136" s="5">
        <f ca="1">IFERROR(__xludf.DUMMYFUNCTION("""COMPUTED_VALUE"""),1)</f>
        <v>1</v>
      </c>
      <c r="Y2136" s="5" t="str">
        <f ca="1">IFERROR(__xludf.DUMMYFUNCTION("""COMPUTED_VALUE"""),"Student playing with gun in class accidentally shot self")</f>
        <v>Student playing with gun in class accidentally shot self</v>
      </c>
      <c r="Z2136" s="5" t="str">
        <f ca="1">IFERROR(__xludf.DUMMYFUNCTION("""COMPUTED_VALUE"""),"Accidental - student playing with gun in class - shot self in left arm")</f>
        <v>Accidental - student playing with gun in class - shot self in left arm</v>
      </c>
      <c r="AA2136" s="5" t="str">
        <f ca="1">IFERROR(__xludf.DUMMYFUNCTION("""COMPUTED_VALUE"""),"Accidental")</f>
        <v>Accidental</v>
      </c>
      <c r="AB2136" s="5" t="str">
        <f ca="1">IFERROR(__xludf.DUMMYFUNCTION("""COMPUTED_VALUE"""),"Random Shooting")</f>
        <v>Random Shooting</v>
      </c>
      <c r="AC2136" s="5" t="str">
        <f ca="1">IFERROR(__xludf.DUMMYFUNCTION("""COMPUTED_VALUE"""),"No")</f>
        <v>No</v>
      </c>
      <c r="AD2136" s="5" t="str">
        <f ca="1">IFERROR(__xludf.DUMMYFUNCTION("""COMPUTED_VALUE"""),"No")</f>
        <v>No</v>
      </c>
      <c r="AE2136" s="5" t="str">
        <f ca="1">IFERROR(__xludf.DUMMYFUNCTION("""COMPUTED_VALUE"""),"No")</f>
        <v>No</v>
      </c>
      <c r="AF2136" s="5" t="str">
        <f ca="1">IFERROR(__xludf.DUMMYFUNCTION("""COMPUTED_VALUE"""),"No")</f>
        <v>No</v>
      </c>
      <c r="AG2136" s="5" t="str">
        <f ca="1">IFERROR(__xludf.DUMMYFUNCTION("""COMPUTED_VALUE"""),"No")</f>
        <v>No</v>
      </c>
      <c r="AH2136" s="5" t="str">
        <f ca="1">IFERROR(__xludf.DUMMYFUNCTION("""COMPUTED_VALUE"""),"No")</f>
        <v>No</v>
      </c>
      <c r="AI2136" s="5" t="str">
        <f ca="1">IFERROR(__xludf.DUMMYFUNCTION("""COMPUTED_VALUE"""),"No")</f>
        <v>No</v>
      </c>
      <c r="AJ2136" s="5"/>
    </row>
    <row r="2137" spans="1:36" ht="13">
      <c r="A2137" s="5" t="str">
        <f ca="1">IFERROR(__xludf.DUMMYFUNCTION("""COMPUTED_VALUE"""),"19800417VACAC")</f>
        <v>19800417VACAC</v>
      </c>
      <c r="B2137" s="5">
        <f ca="1">IFERROR(__xludf.DUMMYFUNCTION("""COMPUTED_VALUE"""),4)</f>
        <v>4</v>
      </c>
      <c r="C2137" s="5">
        <f ca="1">IFERROR(__xludf.DUMMYFUNCTION("""COMPUTED_VALUE"""),17)</f>
        <v>17</v>
      </c>
      <c r="D2137" s="5">
        <f ca="1">IFERROR(__xludf.DUMMYFUNCTION("""COMPUTED_VALUE"""),1980)</f>
        <v>1980</v>
      </c>
      <c r="E2137" s="8">
        <f ca="1">IFERROR(__xludf.DUMMYFUNCTION("""COMPUTED_VALUE"""),29328)</f>
        <v>29328</v>
      </c>
      <c r="F2137" s="5" t="str">
        <f ca="1">IFERROR(__xludf.DUMMYFUNCTION("""COMPUTED_VALUE"""),"Capeville Elementary School")</f>
        <v>Capeville Elementary School</v>
      </c>
      <c r="G2137" s="5">
        <f ca="1">IFERROR(__xludf.DUMMYFUNCTION("""COMPUTED_VALUE"""),2)</f>
        <v>2</v>
      </c>
      <c r="H2137" s="5">
        <f ca="1">IFERROR(__xludf.DUMMYFUNCTION("""COMPUTED_VALUE"""),0)</f>
        <v>0</v>
      </c>
      <c r="I2137" s="5">
        <f ca="1">IFERROR(__xludf.DUMMYFUNCTION("""COMPUTED_VALUE"""),2)</f>
        <v>2</v>
      </c>
      <c r="J2137" s="5">
        <f ca="1">IFERROR(__xludf.DUMMYFUNCTION("""COMPUTED_VALUE"""),0)</f>
        <v>0</v>
      </c>
      <c r="K2137" s="9" t="str">
        <f ca="1">IFERROR(__xludf.DUMMYFUNCTION("""COMPUTED_VALUE"""),"https://www.newspapers.com/image/281071758/?terms=Capeville%2BElementary%2BSchool%2Bshooting")</f>
        <v>https://www.newspapers.com/image/281071758/?terms=Capeville%2BElementary%2BSchool%2Bshooting</v>
      </c>
      <c r="L2137" s="5"/>
      <c r="M2137" s="5"/>
      <c r="N2137" s="5">
        <f ca="1">IFERROR(__xludf.DUMMYFUNCTION("""COMPUTED_VALUE"""),2)</f>
        <v>2</v>
      </c>
      <c r="O2137" s="5" t="str">
        <f ca="1">IFERROR(__xludf.DUMMYFUNCTION("""COMPUTED_VALUE"""),"Spring")</f>
        <v>Spring</v>
      </c>
      <c r="P2137" s="5" t="str">
        <f ca="1">IFERROR(__xludf.DUMMYFUNCTION("""COMPUTED_VALUE"""),"Capeville")</f>
        <v>Capeville</v>
      </c>
      <c r="Q2137" s="5" t="str">
        <f ca="1">IFERROR(__xludf.DUMMYFUNCTION("""COMPUTED_VALUE"""),"VA")</f>
        <v>VA</v>
      </c>
      <c r="R2137" s="5" t="str">
        <f ca="1">IFERROR(__xludf.DUMMYFUNCTION("""COMPUTED_VALUE"""),"Elementary")</f>
        <v>Elementary</v>
      </c>
      <c r="S2137" s="5" t="str">
        <f ca="1">IFERROR(__xludf.DUMMYFUNCTION("""COMPUTED_VALUE"""),"Office")</f>
        <v>Office</v>
      </c>
      <c r="T2137" s="5" t="str">
        <f ca="1">IFERROR(__xludf.DUMMYFUNCTION("""COMPUTED_VALUE"""),"Inside School Building")</f>
        <v>Inside School Building</v>
      </c>
      <c r="U2137" s="5" t="str">
        <f ca="1">IFERROR(__xludf.DUMMYFUNCTION("""COMPUTED_VALUE"""),"Yes")</f>
        <v>Yes</v>
      </c>
      <c r="V2137" s="5" t="str">
        <f ca="1">IFERROR(__xludf.DUMMYFUNCTION("""COMPUTED_VALUE"""),"Morning Classes")</f>
        <v>Morning Classes</v>
      </c>
      <c r="W2137" s="10">
        <f ca="1">IFERROR(__xludf.DUMMYFUNCTION("""COMPUTED_VALUE"""),0.427083333333333)</f>
        <v>0.42708333333333298</v>
      </c>
      <c r="X2137" s="5">
        <f ca="1">IFERROR(__xludf.DUMMYFUNCTION("""COMPUTED_VALUE"""),1)</f>
        <v>1</v>
      </c>
      <c r="Y2137" s="5" t="str">
        <f ca="1">IFERROR(__xludf.DUMMYFUNCTION("""COMPUTED_VALUE"""),"Killed estranged wife (school employee) and school principal in their office")</f>
        <v>Killed estranged wife (school employee) and school principal in their office</v>
      </c>
      <c r="Z2137" s="5" t="str">
        <f ca="1">IFERROR(__xludf.DUMMYFUNCTION("""COMPUTED_VALUE"""),"53YOM killed estranged wife (school employee) and principal in their office. Walked out of the school and surrendered to police.")</f>
        <v>53YOM killed estranged wife (school employee) and principal in their office. Walked out of the school and surrendered to police.</v>
      </c>
      <c r="AA2137" s="5" t="str">
        <f ca="1">IFERROR(__xludf.DUMMYFUNCTION("""COMPUTED_VALUE"""),"Domestic w/ Targeted Victim")</f>
        <v>Domestic w/ Targeted Victim</v>
      </c>
      <c r="AB2137" s="5" t="str">
        <f ca="1">IFERROR(__xludf.DUMMYFUNCTION("""COMPUTED_VALUE"""),"Victims Targeted")</f>
        <v>Victims Targeted</v>
      </c>
      <c r="AC2137" s="5" t="str">
        <f ca="1">IFERROR(__xludf.DUMMYFUNCTION("""COMPUTED_VALUE"""),"No")</f>
        <v>No</v>
      </c>
      <c r="AD2137" s="5" t="str">
        <f ca="1">IFERROR(__xludf.DUMMYFUNCTION("""COMPUTED_VALUE"""),"No")</f>
        <v>No</v>
      </c>
      <c r="AE2137" s="5" t="str">
        <f ca="1">IFERROR(__xludf.DUMMYFUNCTION("""COMPUTED_VALUE"""),"No")</f>
        <v>No</v>
      </c>
      <c r="AF2137" s="5" t="str">
        <f ca="1">IFERROR(__xludf.DUMMYFUNCTION("""COMPUTED_VALUE"""),"No")</f>
        <v>No</v>
      </c>
      <c r="AG2137" s="5" t="str">
        <f ca="1">IFERROR(__xludf.DUMMYFUNCTION("""COMPUTED_VALUE"""),"No")</f>
        <v>No</v>
      </c>
      <c r="AH2137" s="5" t="str">
        <f ca="1">IFERROR(__xludf.DUMMYFUNCTION("""COMPUTED_VALUE"""),"Yes")</f>
        <v>Yes</v>
      </c>
      <c r="AI2137" s="5" t="str">
        <f ca="1">IFERROR(__xludf.DUMMYFUNCTION("""COMPUTED_VALUE"""),"No")</f>
        <v>No</v>
      </c>
      <c r="AJ2137" s="5"/>
    </row>
    <row r="2138" spans="1:36" ht="13">
      <c r="A2138" s="5" t="str">
        <f ca="1">IFERROR(__xludf.DUMMYFUNCTION("""COMPUTED_VALUE"""),"19800331MDFRB")</f>
        <v>19800331MDFRB</v>
      </c>
      <c r="B2138" s="5">
        <f ca="1">IFERROR(__xludf.DUMMYFUNCTION("""COMPUTED_VALUE"""),3)</f>
        <v>3</v>
      </c>
      <c r="C2138" s="5">
        <f ca="1">IFERROR(__xludf.DUMMYFUNCTION("""COMPUTED_VALUE"""),31)</f>
        <v>31</v>
      </c>
      <c r="D2138" s="5">
        <f ca="1">IFERROR(__xludf.DUMMYFUNCTION("""COMPUTED_VALUE"""),1980)</f>
        <v>1980</v>
      </c>
      <c r="E2138" s="8">
        <f ca="1">IFERROR(__xludf.DUMMYFUNCTION("""COMPUTED_VALUE"""),29311)</f>
        <v>29311</v>
      </c>
      <c r="F2138" s="5" t="str">
        <f ca="1">IFERROR(__xludf.DUMMYFUNCTION("""COMPUTED_VALUE"""),"Frederick Douglass Senior High School")</f>
        <v>Frederick Douglass Senior High School</v>
      </c>
      <c r="G2138" s="5">
        <f ca="1">IFERROR(__xludf.DUMMYFUNCTION("""COMPUTED_VALUE"""),0)</f>
        <v>0</v>
      </c>
      <c r="H2138" s="5">
        <f ca="1">IFERROR(__xludf.DUMMYFUNCTION("""COMPUTED_VALUE"""),1)</f>
        <v>1</v>
      </c>
      <c r="I2138" s="5">
        <f ca="1">IFERROR(__xludf.DUMMYFUNCTION("""COMPUTED_VALUE"""),1)</f>
        <v>1</v>
      </c>
      <c r="J2138" s="5">
        <f ca="1">IFERROR(__xludf.DUMMYFUNCTION("""COMPUTED_VALUE"""),0)</f>
        <v>0</v>
      </c>
      <c r="K2138" s="9" t="str">
        <f ca="1">IFERROR(__xludf.DUMMYFUNCTION("""COMPUTED_VALUE"""),"https://www.newspapers.com/image/377692610/?terms=Frederick%2BDouglass%2BSenior%2BHigh%2BSchool%2Bshooting")</f>
        <v>https://www.newspapers.com/image/377692610/?terms=Frederick%2BDouglass%2BSenior%2BHigh%2BSchool%2Bshooting</v>
      </c>
      <c r="L2138" s="5"/>
      <c r="M2138" s="5"/>
      <c r="N2138" s="5">
        <f ca="1">IFERROR(__xludf.DUMMYFUNCTION("""COMPUTED_VALUE"""),2)</f>
        <v>2</v>
      </c>
      <c r="O2138" s="5" t="str">
        <f ca="1">IFERROR(__xludf.DUMMYFUNCTION("""COMPUTED_VALUE"""),"Spring")</f>
        <v>Spring</v>
      </c>
      <c r="P2138" s="5" t="str">
        <f ca="1">IFERROR(__xludf.DUMMYFUNCTION("""COMPUTED_VALUE"""),"Baltimore")</f>
        <v>Baltimore</v>
      </c>
      <c r="Q2138" s="5" t="str">
        <f ca="1">IFERROR(__xludf.DUMMYFUNCTION("""COMPUTED_VALUE"""),"MD")</f>
        <v>MD</v>
      </c>
      <c r="R2138" s="5" t="str">
        <f ca="1">IFERROR(__xludf.DUMMYFUNCTION("""COMPUTED_VALUE"""),"High")</f>
        <v>High</v>
      </c>
      <c r="S2138" s="5" t="str">
        <f ca="1">IFERROR(__xludf.DUMMYFUNCTION("""COMPUTED_VALUE"""),"Hallway")</f>
        <v>Hallway</v>
      </c>
      <c r="T2138" s="5" t="str">
        <f ca="1">IFERROR(__xludf.DUMMYFUNCTION("""COMPUTED_VALUE"""),"Inside School Building")</f>
        <v>Inside School Building</v>
      </c>
      <c r="U2138" s="5" t="str">
        <f ca="1">IFERROR(__xludf.DUMMYFUNCTION("""COMPUTED_VALUE"""),"Yes")</f>
        <v>Yes</v>
      </c>
      <c r="V2138" s="5" t="str">
        <f ca="1">IFERROR(__xludf.DUMMYFUNCTION("""COMPUTED_VALUE"""),"School Start")</f>
        <v>School Start</v>
      </c>
      <c r="W2138" s="10">
        <f ca="1">IFERROR(__xludf.DUMMYFUNCTION("""COMPUTED_VALUE"""),0.375)</f>
        <v>0.375</v>
      </c>
      <c r="X2138" s="5">
        <f ca="1">IFERROR(__xludf.DUMMYFUNCTION("""COMPUTED_VALUE"""),1)</f>
        <v>1</v>
      </c>
      <c r="Y2138" s="5" t="str">
        <f ca="1">IFERROR(__xludf.DUMMYFUNCTION("""COMPUTED_VALUE"""),"Shot fired during fight in hallway between students with Ongoing dispute")</f>
        <v>Shot fired during fight in hallway between students with Ongoing dispute</v>
      </c>
      <c r="Z2138" s="5" t="str">
        <f ca="1">IFERROR(__xludf.DUMMYFUNCTION("""COMPUTED_VALUE"""),"Fight in the hallway between 2 students escalated into a 16YOM shooting another 16YOM student in the chest. Shooter fled and was later arrested.")</f>
        <v>Fight in the hallway between 2 students escalated into a 16YOM shooting another 16YOM student in the chest. Shooter fled and was later arrested.</v>
      </c>
      <c r="AA2138" s="5" t="str">
        <f ca="1">IFERROR(__xludf.DUMMYFUNCTION("""COMPUTED_VALUE"""),"Escalation of Dispute")</f>
        <v>Escalation of Dispute</v>
      </c>
      <c r="AB2138" s="5" t="str">
        <f ca="1">IFERROR(__xludf.DUMMYFUNCTION("""COMPUTED_VALUE"""),"Victims Targeted")</f>
        <v>Victims Targeted</v>
      </c>
      <c r="AC2138" s="5" t="str">
        <f ca="1">IFERROR(__xludf.DUMMYFUNCTION("""COMPUTED_VALUE"""),"Yes")</f>
        <v>Yes</v>
      </c>
      <c r="AD2138" s="5" t="str">
        <f ca="1">IFERROR(__xludf.DUMMYFUNCTION("""COMPUTED_VALUE"""),"No")</f>
        <v>No</v>
      </c>
      <c r="AE2138" s="5" t="str">
        <f ca="1">IFERROR(__xludf.DUMMYFUNCTION("""COMPUTED_VALUE"""),"No")</f>
        <v>No</v>
      </c>
      <c r="AF2138" s="5" t="str">
        <f ca="1">IFERROR(__xludf.DUMMYFUNCTION("""COMPUTED_VALUE"""),"No")</f>
        <v>No</v>
      </c>
      <c r="AG2138" s="5" t="str">
        <f ca="1">IFERROR(__xludf.DUMMYFUNCTION("""COMPUTED_VALUE"""),"No")</f>
        <v>No</v>
      </c>
      <c r="AH2138" s="5" t="str">
        <f ca="1">IFERROR(__xludf.DUMMYFUNCTION("""COMPUTED_VALUE"""),"No")</f>
        <v>No</v>
      </c>
      <c r="AI2138" s="5" t="str">
        <f ca="1">IFERROR(__xludf.DUMMYFUNCTION("""COMPUTED_VALUE"""),"No")</f>
        <v>No</v>
      </c>
      <c r="AJ2138" s="5"/>
    </row>
    <row r="2139" spans="1:36" ht="13">
      <c r="A2139" s="5" t="str">
        <f ca="1">IFERROR(__xludf.DUMMYFUNCTION("""COMPUTED_VALUE"""),"19800320TXJLD")</f>
        <v>19800320TXJLD</v>
      </c>
      <c r="B2139" s="5">
        <f ca="1">IFERROR(__xludf.DUMMYFUNCTION("""COMPUTED_VALUE"""),3)</f>
        <v>3</v>
      </c>
      <c r="C2139" s="5">
        <f ca="1">IFERROR(__xludf.DUMMYFUNCTION("""COMPUTED_VALUE"""),20)</f>
        <v>20</v>
      </c>
      <c r="D2139" s="5">
        <f ca="1">IFERROR(__xludf.DUMMYFUNCTION("""COMPUTED_VALUE"""),1980)</f>
        <v>1980</v>
      </c>
      <c r="E2139" s="8">
        <f ca="1">IFERROR(__xludf.DUMMYFUNCTION("""COMPUTED_VALUE"""),29300)</f>
        <v>29300</v>
      </c>
      <c r="F2139" s="5" t="str">
        <f ca="1">IFERROR(__xludf.DUMMYFUNCTION("""COMPUTED_VALUE"""),"J Leslie Patton School")</f>
        <v>J Leslie Patton School</v>
      </c>
      <c r="G2139" s="5">
        <f ca="1">IFERROR(__xludf.DUMMYFUNCTION("""COMPUTED_VALUE"""),1)</f>
        <v>1</v>
      </c>
      <c r="H2139" s="5">
        <f ca="1">IFERROR(__xludf.DUMMYFUNCTION("""COMPUTED_VALUE"""),0)</f>
        <v>0</v>
      </c>
      <c r="I2139" s="5">
        <f ca="1">IFERROR(__xludf.DUMMYFUNCTION("""COMPUTED_VALUE"""),1)</f>
        <v>1</v>
      </c>
      <c r="J2139" s="5">
        <f ca="1">IFERROR(__xludf.DUMMYFUNCTION("""COMPUTED_VALUE"""),0)</f>
        <v>0</v>
      </c>
      <c r="K2139" s="5" t="str">
        <f ca="1">IFERROR(__xludf.DUMMYFUNCTION("""COMPUTED_VALUE"""),"https://www.newspapers.com/newspage/9077625/; https://www.newspapers.com/image/436830529/?terms=ROSIE%2BPEARSON%2BSHOT")</f>
        <v>https://www.newspapers.com/newspage/9077625/; https://www.newspapers.com/image/436830529/?terms=ROSIE%2BPEARSON%2BSHOT</v>
      </c>
      <c r="L2139" s="5"/>
      <c r="M2139" s="5"/>
      <c r="N2139" s="5">
        <f ca="1">IFERROR(__xludf.DUMMYFUNCTION("""COMPUTED_VALUE"""),2)</f>
        <v>2</v>
      </c>
      <c r="O2139" s="5" t="str">
        <f ca="1">IFERROR(__xludf.DUMMYFUNCTION("""COMPUTED_VALUE"""),"Spring")</f>
        <v>Spring</v>
      </c>
      <c r="P2139" s="5" t="str">
        <f ca="1">IFERROR(__xludf.DUMMYFUNCTION("""COMPUTED_VALUE"""),"Dallas")</f>
        <v>Dallas</v>
      </c>
      <c r="Q2139" s="5" t="str">
        <f ca="1">IFERROR(__xludf.DUMMYFUNCTION("""COMPUTED_VALUE"""),"TX")</f>
        <v>TX</v>
      </c>
      <c r="R2139" s="5" t="str">
        <f ca="1">IFERROR(__xludf.DUMMYFUNCTION("""COMPUTED_VALUE"""),"High")</f>
        <v>High</v>
      </c>
      <c r="S2139" s="5" t="str">
        <f ca="1">IFERROR(__xludf.DUMMYFUNCTION("""COMPUTED_VALUE"""),"Entryway")</f>
        <v>Entryway</v>
      </c>
      <c r="T2139" s="5" t="str">
        <f ca="1">IFERROR(__xludf.DUMMYFUNCTION("""COMPUTED_VALUE"""),"Inside School Building")</f>
        <v>Inside School Building</v>
      </c>
      <c r="U2139" s="5" t="str">
        <f ca="1">IFERROR(__xludf.DUMMYFUNCTION("""COMPUTED_VALUE"""),"No")</f>
        <v>No</v>
      </c>
      <c r="V2139" s="5" t="str">
        <f ca="1">IFERROR(__xludf.DUMMYFUNCTION("""COMPUTED_VALUE"""),"After School")</f>
        <v>After School</v>
      </c>
      <c r="W2139" s="10">
        <f ca="1">IFERROR(__xludf.DUMMYFUNCTION("""COMPUTED_VALUE"""),0.647916666666666)</f>
        <v>0.64791666666666603</v>
      </c>
      <c r="X2139" s="5">
        <f ca="1">IFERROR(__xludf.DUMMYFUNCTION("""COMPUTED_VALUE"""),1)</f>
        <v>1</v>
      </c>
      <c r="Y2139" s="5" t="str">
        <f ca="1">IFERROR(__xludf.DUMMYFUNCTION("""COMPUTED_VALUE"""),"Unknown suspect targeted teacher shot after school")</f>
        <v>Unknown suspect targeted teacher shot after school</v>
      </c>
      <c r="Z2139" s="5" t="str">
        <f ca="1">IFERROR(__xludf.DUMMYFUNCTION("""COMPUTED_VALUE"""),"An unknown bearded gunman with a ""big gun"" who shot and killed a Dallas schoolteacher as she stood with fellow teachers in a school lobby. A source close to the investigation said officers were seeking a man acquainted with Mrs. Pearson in the shooting."&amp;" She said teachers told her the gunman came into the lobby and shot Mrs. Pearson, then fled. No one else was injured, Mrs. Toles said, and apparently the gunman said nothing before the shots were fired. The shooting occurred about ""50-150 feet"" from Mrs"&amp;". Pearson's classroom. The bearded gunman walked into the school carrying ""a big gun"" and shot four times, striking the teacher in the leg, shoulder and abdomen. The man was described as about 30, 5-foot-10, 140 pounds, wearing a blue jacket and dark pa"&amp;"nts.")</f>
        <v>An unknown bearded gunman with a "big gun" who shot and killed a Dallas schoolteacher as she stood with fellow teachers in a school lobby. A source close to the investigation said officers were seeking a man acquainted with Mrs. Pearson in the shooting. She said teachers told her the gunman came into the lobby and shot Mrs. Pearson, then fled. No one else was injured, Mrs. Toles said, and apparently the gunman said nothing before the shots were fired. The shooting occurred about "50-150 feet" from Mrs. Pearson's classroom. The bearded gunman walked into the school carrying "a big gun" and shot four times, striking the teacher in the leg, shoulder and abdomen. The man was described as about 30, 5-foot-10, 140 pounds, wearing a blue jacket and dark pants.</v>
      </c>
      <c r="AA2139" s="5" t="str">
        <f ca="1">IFERROR(__xludf.DUMMYFUNCTION("""COMPUTED_VALUE"""),"Domestic w/ Targeted Victim")</f>
        <v>Domestic w/ Targeted Victim</v>
      </c>
      <c r="AB2139" s="5" t="str">
        <f ca="1">IFERROR(__xludf.DUMMYFUNCTION("""COMPUTED_VALUE"""),"Victims Targeted")</f>
        <v>Victims Targeted</v>
      </c>
      <c r="AC2139" s="5" t="str">
        <f ca="1">IFERROR(__xludf.DUMMYFUNCTION("""COMPUTED_VALUE"""),"No")</f>
        <v>No</v>
      </c>
      <c r="AD2139" s="5" t="str">
        <f ca="1">IFERROR(__xludf.DUMMYFUNCTION("""COMPUTED_VALUE"""),"No")</f>
        <v>No</v>
      </c>
      <c r="AE2139" s="5" t="str">
        <f ca="1">IFERROR(__xludf.DUMMYFUNCTION("""COMPUTED_VALUE"""),"No")</f>
        <v>No</v>
      </c>
      <c r="AF2139" s="5" t="str">
        <f ca="1">IFERROR(__xludf.DUMMYFUNCTION("""COMPUTED_VALUE"""),"No")</f>
        <v>No</v>
      </c>
      <c r="AG2139" s="5"/>
      <c r="AH2139" s="5" t="str">
        <f ca="1">IFERROR(__xludf.DUMMYFUNCTION("""COMPUTED_VALUE"""),"Yes")</f>
        <v>Yes</v>
      </c>
      <c r="AI2139" s="5" t="str">
        <f ca="1">IFERROR(__xludf.DUMMYFUNCTION("""COMPUTED_VALUE"""),"No")</f>
        <v>No</v>
      </c>
      <c r="AJ2139" s="5"/>
    </row>
    <row r="2140" spans="1:36" ht="13">
      <c r="A2140" s="5" t="str">
        <f ca="1">IFERROR(__xludf.DUMMYFUNCTION("""COMPUTED_VALUE"""),"19800215MSHUM")</f>
        <v>19800215MSHUM</v>
      </c>
      <c r="B2140" s="5">
        <f ca="1">IFERROR(__xludf.DUMMYFUNCTION("""COMPUTED_VALUE"""),2)</f>
        <v>2</v>
      </c>
      <c r="C2140" s="5">
        <f ca="1">IFERROR(__xludf.DUMMYFUNCTION("""COMPUTED_VALUE"""),15)</f>
        <v>15</v>
      </c>
      <c r="D2140" s="5">
        <f ca="1">IFERROR(__xludf.DUMMYFUNCTION("""COMPUTED_VALUE"""),1980)</f>
        <v>1980</v>
      </c>
      <c r="E2140" s="8">
        <f ca="1">IFERROR(__xludf.DUMMYFUNCTION("""COMPUTED_VALUE"""),29266)</f>
        <v>29266</v>
      </c>
      <c r="F2140" s="5" t="str">
        <f ca="1">IFERROR(__xludf.DUMMYFUNCTION("""COMPUTED_VALUE"""),"Hughes School")</f>
        <v>Hughes School</v>
      </c>
      <c r="G2140" s="5">
        <f ca="1">IFERROR(__xludf.DUMMYFUNCTION("""COMPUTED_VALUE"""),1)</f>
        <v>1</v>
      </c>
      <c r="H2140" s="5">
        <f ca="1">IFERROR(__xludf.DUMMYFUNCTION("""COMPUTED_VALUE"""),0)</f>
        <v>0</v>
      </c>
      <c r="I2140" s="5">
        <f ca="1">IFERROR(__xludf.DUMMYFUNCTION("""COMPUTED_VALUE"""),1)</f>
        <v>1</v>
      </c>
      <c r="J2140" s="5">
        <f ca="1">IFERROR(__xludf.DUMMYFUNCTION("""COMPUTED_VALUE"""),0)</f>
        <v>0</v>
      </c>
      <c r="K2140" s="9" t="str">
        <f ca="1">IFERROR(__xludf.DUMMYFUNCTION("""COMPUTED_VALUE"""),"https://www.newspapers.com/image/318405620/?terms=sandra%2Bviser%2Bmccomb")</f>
        <v>https://www.newspapers.com/image/318405620/?terms=sandra%2Bviser%2Bmccomb</v>
      </c>
      <c r="L2140" s="5"/>
      <c r="M2140" s="5"/>
      <c r="N2140" s="5">
        <f ca="1">IFERROR(__xludf.DUMMYFUNCTION("""COMPUTED_VALUE"""),2)</f>
        <v>2</v>
      </c>
      <c r="O2140" s="5" t="str">
        <f ca="1">IFERROR(__xludf.DUMMYFUNCTION("""COMPUTED_VALUE"""),"Winter")</f>
        <v>Winter</v>
      </c>
      <c r="P2140" s="5" t="str">
        <f ca="1">IFERROR(__xludf.DUMMYFUNCTION("""COMPUTED_VALUE"""),"McComb")</f>
        <v>McComb</v>
      </c>
      <c r="Q2140" s="5" t="str">
        <f ca="1">IFERROR(__xludf.DUMMYFUNCTION("""COMPUTED_VALUE"""),"MS")</f>
        <v>MS</v>
      </c>
      <c r="R2140" s="5" t="str">
        <f ca="1">IFERROR(__xludf.DUMMYFUNCTION("""COMPUTED_VALUE"""),"Other")</f>
        <v>Other</v>
      </c>
      <c r="S2140" s="5" t="str">
        <f ca="1">IFERROR(__xludf.DUMMYFUNCTION("""COMPUTED_VALUE"""),"Outside on School Property")</f>
        <v>Outside on School Property</v>
      </c>
      <c r="T2140" s="5" t="str">
        <f ca="1">IFERROR(__xludf.DUMMYFUNCTION("""COMPUTED_VALUE"""),"Outside on School Property")</f>
        <v>Outside on School Property</v>
      </c>
      <c r="U2140" s="5" t="str">
        <f ca="1">IFERROR(__xludf.DUMMYFUNCTION("""COMPUTED_VALUE"""),"Yes")</f>
        <v>Yes</v>
      </c>
      <c r="V2140" s="5" t="str">
        <f ca="1">IFERROR(__xludf.DUMMYFUNCTION("""COMPUTED_VALUE"""),"Afternoon Classes")</f>
        <v>Afternoon Classes</v>
      </c>
      <c r="W2140" s="10">
        <f ca="1">IFERROR(__xludf.DUMMYFUNCTION("""COMPUTED_VALUE"""),0.569444444444444)</f>
        <v>0.56944444444444398</v>
      </c>
      <c r="X2140" s="5">
        <f ca="1">IFERROR(__xludf.DUMMYFUNCTION("""COMPUTED_VALUE"""),1)</f>
        <v>1</v>
      </c>
      <c r="Y2140" s="5" t="str">
        <f ca="1">IFERROR(__xludf.DUMMYFUNCTION("""COMPUTED_VALUE"""),"School teacher was shot be her husband outside school building")</f>
        <v>School teacher was shot be her husband outside school building</v>
      </c>
      <c r="Z2140" s="5" t="str">
        <f ca="1">IFERROR(__xludf.DUMMYFUNCTION("""COMPUTED_VALUE"""),"Victim was shot by her husband after a domestic")</f>
        <v>Victim was shot by her husband after a domestic</v>
      </c>
      <c r="AA2140" s="5" t="str">
        <f ca="1">IFERROR(__xludf.DUMMYFUNCTION("""COMPUTED_VALUE"""),"Domestic w/ Targeted Victim")</f>
        <v>Domestic w/ Targeted Victim</v>
      </c>
      <c r="AB2140" s="5" t="str">
        <f ca="1">IFERROR(__xludf.DUMMYFUNCTION("""COMPUTED_VALUE"""),"Victims Targeted")</f>
        <v>Victims Targeted</v>
      </c>
      <c r="AC2140" s="5" t="str">
        <f ca="1">IFERROR(__xludf.DUMMYFUNCTION("""COMPUTED_VALUE"""),"No")</f>
        <v>No</v>
      </c>
      <c r="AD2140" s="5" t="str">
        <f ca="1">IFERROR(__xludf.DUMMYFUNCTION("""COMPUTED_VALUE"""),"No")</f>
        <v>No</v>
      </c>
      <c r="AE2140" s="5" t="str">
        <f ca="1">IFERROR(__xludf.DUMMYFUNCTION("""COMPUTED_VALUE"""),"No")</f>
        <v>No</v>
      </c>
      <c r="AF2140" s="5" t="str">
        <f ca="1">IFERROR(__xludf.DUMMYFUNCTION("""COMPUTED_VALUE"""),"No")</f>
        <v>No</v>
      </c>
      <c r="AG2140" s="5" t="str">
        <f ca="1">IFERROR(__xludf.DUMMYFUNCTION("""COMPUTED_VALUE"""),"No")</f>
        <v>No</v>
      </c>
      <c r="AH2140" s="5" t="str">
        <f ca="1">IFERROR(__xludf.DUMMYFUNCTION("""COMPUTED_VALUE"""),"Yes")</f>
        <v>Yes</v>
      </c>
      <c r="AI2140" s="5" t="str">
        <f ca="1">IFERROR(__xludf.DUMMYFUNCTION("""COMPUTED_VALUE"""),"No")</f>
        <v>No</v>
      </c>
      <c r="AJ2140" s="5"/>
    </row>
    <row r="2141" spans="1:36" ht="13">
      <c r="A2141" s="5" t="str">
        <f ca="1">IFERROR(__xludf.DUMMYFUNCTION("""COMPUTED_VALUE"""),"19800211INARI")</f>
        <v>19800211INARI</v>
      </c>
      <c r="B2141" s="5">
        <f ca="1">IFERROR(__xludf.DUMMYFUNCTION("""COMPUTED_VALUE"""),2)</f>
        <v>2</v>
      </c>
      <c r="C2141" s="5">
        <f ca="1">IFERROR(__xludf.DUMMYFUNCTION("""COMPUTED_VALUE"""),11)</f>
        <v>11</v>
      </c>
      <c r="D2141" s="5">
        <f ca="1">IFERROR(__xludf.DUMMYFUNCTION("""COMPUTED_VALUE"""),1980)</f>
        <v>1980</v>
      </c>
      <c r="E2141" s="8">
        <f ca="1">IFERROR(__xludf.DUMMYFUNCTION("""COMPUTED_VALUE"""),29262)</f>
        <v>29262</v>
      </c>
      <c r="F2141" s="5" t="str">
        <f ca="1">IFERROR(__xludf.DUMMYFUNCTION("""COMPUTED_VALUE"""),"Arsenal Technical High School")</f>
        <v>Arsenal Technical High School</v>
      </c>
      <c r="G2141" s="5">
        <f ca="1">IFERROR(__xludf.DUMMYFUNCTION("""COMPUTED_VALUE"""),0)</f>
        <v>0</v>
      </c>
      <c r="H2141" s="5">
        <f ca="1">IFERROR(__xludf.DUMMYFUNCTION("""COMPUTED_VALUE"""),1)</f>
        <v>1</v>
      </c>
      <c r="I2141" s="5">
        <f ca="1">IFERROR(__xludf.DUMMYFUNCTION("""COMPUTED_VALUE"""),1)</f>
        <v>1</v>
      </c>
      <c r="J2141" s="5">
        <f ca="1">IFERROR(__xludf.DUMMYFUNCTION("""COMPUTED_VALUE"""),0)</f>
        <v>0</v>
      </c>
      <c r="K2141" s="9" t="str">
        <f ca="1">IFERROR(__xludf.DUMMYFUNCTION("""COMPUTED_VALUE"""),"https://www.newspapers.com/image/107593168/?terms=DANIEL%2BPEREZ%2BARSENAL%2BTECHNICAL%2BHIGH%2BSCHOOL")</f>
        <v>https://www.newspapers.com/image/107593168/?terms=DANIEL%2BPEREZ%2BARSENAL%2BTECHNICAL%2BHIGH%2BSCHOOL</v>
      </c>
      <c r="L2141" s="5"/>
      <c r="M2141" s="5"/>
      <c r="N2141" s="5">
        <f ca="1">IFERROR(__xludf.DUMMYFUNCTION("""COMPUTED_VALUE"""),2)</f>
        <v>2</v>
      </c>
      <c r="O2141" s="5" t="str">
        <f ca="1">IFERROR(__xludf.DUMMYFUNCTION("""COMPUTED_VALUE"""),"Winter")</f>
        <v>Winter</v>
      </c>
      <c r="P2141" s="5" t="str">
        <f ca="1">IFERROR(__xludf.DUMMYFUNCTION("""COMPUTED_VALUE"""),"Indianapolis")</f>
        <v>Indianapolis</v>
      </c>
      <c r="Q2141" s="5" t="str">
        <f ca="1">IFERROR(__xludf.DUMMYFUNCTION("""COMPUTED_VALUE"""),"IN")</f>
        <v>IN</v>
      </c>
      <c r="R2141" s="5" t="str">
        <f ca="1">IFERROR(__xludf.DUMMYFUNCTION("""COMPUTED_VALUE"""),"High")</f>
        <v>High</v>
      </c>
      <c r="S2141" s="5" t="str">
        <f ca="1">IFERROR(__xludf.DUMMYFUNCTION("""COMPUTED_VALUE"""),"Outside on School Property")</f>
        <v>Outside on School Property</v>
      </c>
      <c r="T2141" s="5" t="str">
        <f ca="1">IFERROR(__xludf.DUMMYFUNCTION("""COMPUTED_VALUE"""),"Outside on School Property")</f>
        <v>Outside on School Property</v>
      </c>
      <c r="U2141" s="5" t="str">
        <f ca="1">IFERROR(__xludf.DUMMYFUNCTION("""COMPUTED_VALUE"""),"Yes")</f>
        <v>Yes</v>
      </c>
      <c r="V2141" s="5" t="str">
        <f ca="1">IFERROR(__xludf.DUMMYFUNCTION("""COMPUTED_VALUE"""),"Lunch")</f>
        <v>Lunch</v>
      </c>
      <c r="W2141" s="10">
        <f ca="1">IFERROR(__xludf.DUMMYFUNCTION("""COMPUTED_VALUE"""),0.534722222222222)</f>
        <v>0.53472222222222199</v>
      </c>
      <c r="X2141" s="5">
        <f ca="1">IFERROR(__xludf.DUMMYFUNCTION("""COMPUTED_VALUE"""),1)</f>
        <v>1</v>
      </c>
      <c r="Y2141" s="5" t="str">
        <f ca="1">IFERROR(__xludf.DUMMYFUNCTION("""COMPUTED_VALUE"""),"Robbery or a drug deal gone bad")</f>
        <v>Robbery or a drug deal gone bad</v>
      </c>
      <c r="Z2141" s="5" t="str">
        <f ca="1">IFERROR(__xludf.DUMMYFUNCTION("""COMPUTED_VALUE"""),"Victim was seen talking to suspects prior to shooting - Victim shot in stomach at close range - suspect fled - later caught.")</f>
        <v>Victim was seen talking to suspects prior to shooting - Victim shot in stomach at close range - suspect fled - later caught.</v>
      </c>
      <c r="AA2141" s="5" t="str">
        <f ca="1">IFERROR(__xludf.DUMMYFUNCTION("""COMPUTED_VALUE"""),"Illegal Activity")</f>
        <v>Illegal Activity</v>
      </c>
      <c r="AB2141" s="5" t="str">
        <f ca="1">IFERROR(__xludf.DUMMYFUNCTION("""COMPUTED_VALUE"""),"Victims Targeted")</f>
        <v>Victims Targeted</v>
      </c>
      <c r="AC2141" s="5" t="str">
        <f ca="1">IFERROR(__xludf.DUMMYFUNCTION("""COMPUTED_VALUE"""),"No")</f>
        <v>No</v>
      </c>
      <c r="AD2141" s="5" t="str">
        <f ca="1">IFERROR(__xludf.DUMMYFUNCTION("""COMPUTED_VALUE"""),"No")</f>
        <v>No</v>
      </c>
      <c r="AE2141" s="5" t="str">
        <f ca="1">IFERROR(__xludf.DUMMYFUNCTION("""COMPUTED_VALUE"""),"No")</f>
        <v>No</v>
      </c>
      <c r="AF2141" s="5" t="str">
        <f ca="1">IFERROR(__xludf.DUMMYFUNCTION("""COMPUTED_VALUE"""),"No")</f>
        <v>No</v>
      </c>
      <c r="AG2141" s="5" t="str">
        <f ca="1">IFERROR(__xludf.DUMMYFUNCTION("""COMPUTED_VALUE"""),"No")</f>
        <v>No</v>
      </c>
      <c r="AH2141" s="5" t="str">
        <f ca="1">IFERROR(__xludf.DUMMYFUNCTION("""COMPUTED_VALUE"""),"No")</f>
        <v>No</v>
      </c>
      <c r="AI2141" s="5" t="str">
        <f ca="1">IFERROR(__xludf.DUMMYFUNCTION("""COMPUTED_VALUE"""),"No")</f>
        <v>No</v>
      </c>
      <c r="AJ2141" s="5"/>
    </row>
    <row r="2142" spans="1:36" ht="13">
      <c r="A2142" s="5" t="str">
        <f ca="1">IFERROR(__xludf.DUMMYFUNCTION("""COMPUTED_VALUE"""),"19800207TXVAL")</f>
        <v>19800207TXVAL</v>
      </c>
      <c r="B2142" s="5">
        <f ca="1">IFERROR(__xludf.DUMMYFUNCTION("""COMPUTED_VALUE"""),2)</f>
        <v>2</v>
      </c>
      <c r="C2142" s="5">
        <f ca="1">IFERROR(__xludf.DUMMYFUNCTION("""COMPUTED_VALUE"""),7)</f>
        <v>7</v>
      </c>
      <c r="D2142" s="5">
        <f ca="1">IFERROR(__xludf.DUMMYFUNCTION("""COMPUTED_VALUE"""),1980)</f>
        <v>1980</v>
      </c>
      <c r="E2142" s="8">
        <f ca="1">IFERROR(__xludf.DUMMYFUNCTION("""COMPUTED_VALUE"""),29258)</f>
        <v>29258</v>
      </c>
      <c r="F2142" s="5" t="str">
        <f ca="1">IFERROR(__xludf.DUMMYFUNCTION("""COMPUTED_VALUE"""),"Valley View Elementary School")</f>
        <v>Valley View Elementary School</v>
      </c>
      <c r="G2142" s="5">
        <f ca="1">IFERROR(__xludf.DUMMYFUNCTION("""COMPUTED_VALUE"""),0)</f>
        <v>0</v>
      </c>
      <c r="H2142" s="5">
        <f ca="1">IFERROR(__xludf.DUMMYFUNCTION("""COMPUTED_VALUE"""),1)</f>
        <v>1</v>
      </c>
      <c r="I2142" s="5">
        <f ca="1">IFERROR(__xludf.DUMMYFUNCTION("""COMPUTED_VALUE"""),1)</f>
        <v>1</v>
      </c>
      <c r="J2142" s="5">
        <f ca="1">IFERROR(__xludf.DUMMYFUNCTION("""COMPUTED_VALUE"""),0)</f>
        <v>0</v>
      </c>
      <c r="K2142" s="9" t="str">
        <f ca="1">IFERROR(__xludf.DUMMYFUNCTION("""COMPUTED_VALUE"""),"https://www.newspapers.com/image/217265072/?terms=10-year%2Bold%2Bboy%2Baccidentally%2Bshot")</f>
        <v>https://www.newspapers.com/image/217265072/?terms=10-year%2Bold%2Bboy%2Baccidentally%2Bshot</v>
      </c>
      <c r="L2142" s="5"/>
      <c r="M2142" s="5"/>
      <c r="N2142" s="5">
        <f ca="1">IFERROR(__xludf.DUMMYFUNCTION("""COMPUTED_VALUE"""),2)</f>
        <v>2</v>
      </c>
      <c r="O2142" s="5" t="str">
        <f ca="1">IFERROR(__xludf.DUMMYFUNCTION("""COMPUTED_VALUE"""),"Winter")</f>
        <v>Winter</v>
      </c>
      <c r="P2142" s="5" t="str">
        <f ca="1">IFERROR(__xludf.DUMMYFUNCTION("""COMPUTED_VALUE"""),"Longview")</f>
        <v>Longview</v>
      </c>
      <c r="Q2142" s="5" t="str">
        <f ca="1">IFERROR(__xludf.DUMMYFUNCTION("""COMPUTED_VALUE"""),"TX")</f>
        <v>TX</v>
      </c>
      <c r="R2142" s="5" t="str">
        <f ca="1">IFERROR(__xludf.DUMMYFUNCTION("""COMPUTED_VALUE"""),"Elementary")</f>
        <v>Elementary</v>
      </c>
      <c r="S2142" s="5" t="str">
        <f ca="1">IFERROR(__xludf.DUMMYFUNCTION("""COMPUTED_VALUE"""),"Inside School Building")</f>
        <v>Inside School Building</v>
      </c>
      <c r="T2142" s="5" t="str">
        <f ca="1">IFERROR(__xludf.DUMMYFUNCTION("""COMPUTED_VALUE"""),"Inside School Building")</f>
        <v>Inside School Building</v>
      </c>
      <c r="U2142" s="5" t="str">
        <f ca="1">IFERROR(__xludf.DUMMYFUNCTION("""COMPUTED_VALUE"""),"Yes")</f>
        <v>Yes</v>
      </c>
      <c r="V2142" s="5" t="str">
        <f ca="1">IFERROR(__xludf.DUMMYFUNCTION("""COMPUTED_VALUE"""),"Morning Classes")</f>
        <v>Morning Classes</v>
      </c>
      <c r="W2142" s="10">
        <f ca="1">IFERROR(__xludf.DUMMYFUNCTION("""COMPUTED_VALUE"""),0.4375)</f>
        <v>0.4375</v>
      </c>
      <c r="X2142" s="5">
        <f ca="1">IFERROR(__xludf.DUMMYFUNCTION("""COMPUTED_VALUE"""),1)</f>
        <v>1</v>
      </c>
      <c r="Y2142" s="5" t="str">
        <f ca="1">IFERROR(__xludf.DUMMYFUNCTION("""COMPUTED_VALUE"""),"Youth showing gun off at school - accidentally went off striking student")</f>
        <v>Youth showing gun off at school - accidentally went off striking student</v>
      </c>
      <c r="Z2142" s="5" t="str">
        <f ca="1">IFERROR(__xludf.DUMMYFUNCTION("""COMPUTED_VALUE"""),"9 year old boy took gun to school and showed it off - other kids thought it was a toy gun - one pulled trigger and shot victim in cheek")</f>
        <v>9 year old boy took gun to school and showed it off - other kids thought it was a toy gun - one pulled trigger and shot victim in cheek</v>
      </c>
      <c r="AA2142" s="5" t="str">
        <f ca="1">IFERROR(__xludf.DUMMYFUNCTION("""COMPUTED_VALUE"""),"Accidental")</f>
        <v>Accidental</v>
      </c>
      <c r="AB2142" s="5" t="str">
        <f ca="1">IFERROR(__xludf.DUMMYFUNCTION("""COMPUTED_VALUE"""),"Random Shooting")</f>
        <v>Random Shooting</v>
      </c>
      <c r="AC2142" s="5"/>
      <c r="AD2142" s="5" t="str">
        <f ca="1">IFERROR(__xludf.DUMMYFUNCTION("""COMPUTED_VALUE"""),"No")</f>
        <v>No</v>
      </c>
      <c r="AE2142" s="5" t="str">
        <f ca="1">IFERROR(__xludf.DUMMYFUNCTION("""COMPUTED_VALUE"""),"No")</f>
        <v>No</v>
      </c>
      <c r="AF2142" s="5" t="str">
        <f ca="1">IFERROR(__xludf.DUMMYFUNCTION("""COMPUTED_VALUE"""),"No")</f>
        <v>No</v>
      </c>
      <c r="AG2142" s="5" t="str">
        <f ca="1">IFERROR(__xludf.DUMMYFUNCTION("""COMPUTED_VALUE"""),"No")</f>
        <v>No</v>
      </c>
      <c r="AH2142" s="5" t="str">
        <f ca="1">IFERROR(__xludf.DUMMYFUNCTION("""COMPUTED_VALUE"""),"No")</f>
        <v>No</v>
      </c>
      <c r="AI2142" s="5" t="str">
        <f ca="1">IFERROR(__xludf.DUMMYFUNCTION("""COMPUTED_VALUE"""),"No")</f>
        <v>No</v>
      </c>
      <c r="AJ2142" s="5"/>
    </row>
    <row r="2143" spans="1:36" ht="13">
      <c r="A2143" s="5" t="str">
        <f ca="1">IFERROR(__xludf.DUMMYFUNCTION("""COMPUTED_VALUE"""),"19800201DCLAW")</f>
        <v>19800201DCLAW</v>
      </c>
      <c r="B2143" s="5">
        <f ca="1">IFERROR(__xludf.DUMMYFUNCTION("""COMPUTED_VALUE"""),2)</f>
        <v>2</v>
      </c>
      <c r="C2143" s="5">
        <f ca="1">IFERROR(__xludf.DUMMYFUNCTION("""COMPUTED_VALUE"""),1)</f>
        <v>1</v>
      </c>
      <c r="D2143" s="5">
        <f ca="1">IFERROR(__xludf.DUMMYFUNCTION("""COMPUTED_VALUE"""),1980)</f>
        <v>1980</v>
      </c>
      <c r="E2143" s="8">
        <f ca="1">IFERROR(__xludf.DUMMYFUNCTION("""COMPUTED_VALUE"""),29252)</f>
        <v>29252</v>
      </c>
      <c r="F2143" s="5" t="str">
        <f ca="1">IFERROR(__xludf.DUMMYFUNCTION("""COMPUTED_VALUE"""),"Langdon Elementary School")</f>
        <v>Langdon Elementary School</v>
      </c>
      <c r="G2143" s="5">
        <f ca="1">IFERROR(__xludf.DUMMYFUNCTION("""COMPUTED_VALUE"""),0)</f>
        <v>0</v>
      </c>
      <c r="H2143" s="5">
        <f ca="1">IFERROR(__xludf.DUMMYFUNCTION("""COMPUTED_VALUE"""),1)</f>
        <v>1</v>
      </c>
      <c r="I2143" s="5">
        <f ca="1">IFERROR(__xludf.DUMMYFUNCTION("""COMPUTED_VALUE"""),1)</f>
        <v>1</v>
      </c>
      <c r="J2143" s="5">
        <f ca="1">IFERROR(__xludf.DUMMYFUNCTION("""COMPUTED_VALUE"""),0)</f>
        <v>0</v>
      </c>
      <c r="K2143" s="9" t="str">
        <f ca="1">IFERROR(__xludf.DUMMYFUNCTION("""COMPUTED_VALUE"""),"https://www.washingtonpost.com/archive/local/1980/02/02/proving-gun-is-real-2nd-grader-at-langdon-school-is-shot/f83c3b73-ed9d-4a79-a529-984a01675142/?noredirect=on&amp;utm_term=.d238a08a83ec")</f>
        <v>https://www.washingtonpost.com/archive/local/1980/02/02/proving-gun-is-real-2nd-grader-at-langdon-school-is-shot/f83c3b73-ed9d-4a79-a529-984a01675142/?noredirect=on&amp;utm_term=.d238a08a83ec</v>
      </c>
      <c r="L2143" s="5"/>
      <c r="M2143" s="5"/>
      <c r="N2143" s="5">
        <f ca="1">IFERROR(__xludf.DUMMYFUNCTION("""COMPUTED_VALUE"""),2)</f>
        <v>2</v>
      </c>
      <c r="O2143" s="5" t="str">
        <f ca="1">IFERROR(__xludf.DUMMYFUNCTION("""COMPUTED_VALUE"""),"Winter")</f>
        <v>Winter</v>
      </c>
      <c r="P2143" s="5" t="str">
        <f ca="1">IFERROR(__xludf.DUMMYFUNCTION("""COMPUTED_VALUE"""),"Washington, DC")</f>
        <v>Washington, DC</v>
      </c>
      <c r="Q2143" s="5" t="str">
        <f ca="1">IFERROR(__xludf.DUMMYFUNCTION("""COMPUTED_VALUE"""),"DC")</f>
        <v>DC</v>
      </c>
      <c r="R2143" s="5" t="str">
        <f ca="1">IFERROR(__xludf.DUMMYFUNCTION("""COMPUTED_VALUE"""),"Elementary")</f>
        <v>Elementary</v>
      </c>
      <c r="S2143" s="5" t="str">
        <f ca="1">IFERROR(__xludf.DUMMYFUNCTION("""COMPUTED_VALUE"""),"Bathroom")</f>
        <v>Bathroom</v>
      </c>
      <c r="T2143" s="5" t="str">
        <f ca="1">IFERROR(__xludf.DUMMYFUNCTION("""COMPUTED_VALUE"""),"Inside School Building")</f>
        <v>Inside School Building</v>
      </c>
      <c r="U2143" s="5" t="str">
        <f ca="1">IFERROR(__xludf.DUMMYFUNCTION("""COMPUTED_VALUE"""),"Yes")</f>
        <v>Yes</v>
      </c>
      <c r="V2143" s="5" t="str">
        <f ca="1">IFERROR(__xludf.DUMMYFUNCTION("""COMPUTED_VALUE"""),"Morning Classes")</f>
        <v>Morning Classes</v>
      </c>
      <c r="W2143" s="10">
        <f ca="1">IFERROR(__xludf.DUMMYFUNCTION("""COMPUTED_VALUE"""),0.375)</f>
        <v>0.375</v>
      </c>
      <c r="X2143" s="5">
        <f ca="1">IFERROR(__xludf.DUMMYFUNCTION("""COMPUTED_VALUE"""),1)</f>
        <v>1</v>
      </c>
      <c r="Y2143" s="5" t="str">
        <f ca="1">IFERROR(__xludf.DUMMYFUNCTION("""COMPUTED_VALUE"""),"Showing off gun in bathroom, pulled trigger to prove it was real")</f>
        <v>Showing off gun in bathroom, pulled trigger to prove it was real</v>
      </c>
      <c r="Z2143" s="5" t="str">
        <f ca="1">IFERROR(__xludf.DUMMYFUNCTION("""COMPUTED_VALUE"""),"9YOM was showing off gun to 3 other students in the bathroom. Pointed at ceiling and pulled the trigger but it didn't fire. Pointed the gun at another student and pulled the trigger again. Second time it fired striking 9 YOM student in chest.")</f>
        <v>9YOM was showing off gun to 3 other students in the bathroom. Pointed at ceiling and pulled the trigger but it didn't fire. Pointed the gun at another student and pulled the trigger again. Second time it fired striking 9 YOM student in chest.</v>
      </c>
      <c r="AA2143" s="5" t="str">
        <f ca="1">IFERROR(__xludf.DUMMYFUNCTION("""COMPUTED_VALUE"""),"Accidental")</f>
        <v>Accidental</v>
      </c>
      <c r="AB2143" s="5" t="str">
        <f ca="1">IFERROR(__xludf.DUMMYFUNCTION("""COMPUTED_VALUE"""),"Neither")</f>
        <v>Neither</v>
      </c>
      <c r="AC2143" s="5" t="str">
        <f ca="1">IFERROR(__xludf.DUMMYFUNCTION("""COMPUTED_VALUE"""),"No")</f>
        <v>No</v>
      </c>
      <c r="AD2143" s="5" t="str">
        <f ca="1">IFERROR(__xludf.DUMMYFUNCTION("""COMPUTED_VALUE"""),"No")</f>
        <v>No</v>
      </c>
      <c r="AE2143" s="5" t="str">
        <f ca="1">IFERROR(__xludf.DUMMYFUNCTION("""COMPUTED_VALUE"""),"No")</f>
        <v>No</v>
      </c>
      <c r="AF2143" s="5" t="str">
        <f ca="1">IFERROR(__xludf.DUMMYFUNCTION("""COMPUTED_VALUE"""),"No")</f>
        <v>No</v>
      </c>
      <c r="AG2143" s="5" t="str">
        <f ca="1">IFERROR(__xludf.DUMMYFUNCTION("""COMPUTED_VALUE"""),"No")</f>
        <v>No</v>
      </c>
      <c r="AH2143" s="5" t="str">
        <f ca="1">IFERROR(__xludf.DUMMYFUNCTION("""COMPUTED_VALUE"""),"No")</f>
        <v>No</v>
      </c>
      <c r="AI2143" s="5" t="str">
        <f ca="1">IFERROR(__xludf.DUMMYFUNCTION("""COMPUTED_VALUE"""),"No")</f>
        <v>No</v>
      </c>
      <c r="AJ2143" s="5"/>
    </row>
    <row r="2144" spans="1:36" ht="13">
      <c r="A2144" s="5" t="str">
        <f ca="1">IFERROR(__xludf.DUMMYFUNCTION("""COMPUTED_VALUE"""),"19800129VALAW")</f>
        <v>19800129VALAW</v>
      </c>
      <c r="B2144" s="5">
        <f ca="1">IFERROR(__xludf.DUMMYFUNCTION("""COMPUTED_VALUE"""),1)</f>
        <v>1</v>
      </c>
      <c r="C2144" s="5">
        <f ca="1">IFERROR(__xludf.DUMMYFUNCTION("""COMPUTED_VALUE"""),29)</f>
        <v>29</v>
      </c>
      <c r="D2144" s="5">
        <f ca="1">IFERROR(__xludf.DUMMYFUNCTION("""COMPUTED_VALUE"""),1980)</f>
        <v>1980</v>
      </c>
      <c r="E2144" s="8">
        <f ca="1">IFERROR(__xludf.DUMMYFUNCTION("""COMPUTED_VALUE"""),29249)</f>
        <v>29249</v>
      </c>
      <c r="F2144" s="5" t="str">
        <f ca="1">IFERROR(__xludf.DUMMYFUNCTION("""COMPUTED_VALUE"""),"Lafayette High School")</f>
        <v>Lafayette High School</v>
      </c>
      <c r="G2144" s="5">
        <f ca="1">IFERROR(__xludf.DUMMYFUNCTION("""COMPUTED_VALUE"""),0)</f>
        <v>0</v>
      </c>
      <c r="H2144" s="5">
        <f ca="1">IFERROR(__xludf.DUMMYFUNCTION("""COMPUTED_VALUE"""),0)</f>
        <v>0</v>
      </c>
      <c r="I2144" s="5">
        <f ca="1">IFERROR(__xludf.DUMMYFUNCTION("""COMPUTED_VALUE"""),0)</f>
        <v>0</v>
      </c>
      <c r="J2144" s="5">
        <f ca="1">IFERROR(__xludf.DUMMYFUNCTION("""COMPUTED_VALUE"""),0)</f>
        <v>0</v>
      </c>
      <c r="K2144" s="9" t="str">
        <f ca="1">IFERROR(__xludf.DUMMYFUNCTION("""COMPUTED_VALUE"""),"https://www.newspapers.com/image/234200567/?terms=student%2Bwho%2Bshot%2Bself")</f>
        <v>https://www.newspapers.com/image/234200567/?terms=student%2Bwho%2Bshot%2Bself</v>
      </c>
      <c r="L2144" s="5"/>
      <c r="M2144" s="5"/>
      <c r="N2144" s="5">
        <f ca="1">IFERROR(__xludf.DUMMYFUNCTION("""COMPUTED_VALUE"""),2)</f>
        <v>2</v>
      </c>
      <c r="O2144" s="5" t="str">
        <f ca="1">IFERROR(__xludf.DUMMYFUNCTION("""COMPUTED_VALUE"""),"Winter")</f>
        <v>Winter</v>
      </c>
      <c r="P2144" s="5" t="str">
        <f ca="1">IFERROR(__xludf.DUMMYFUNCTION("""COMPUTED_VALUE"""),"Williamsburg")</f>
        <v>Williamsburg</v>
      </c>
      <c r="Q2144" s="5" t="str">
        <f ca="1">IFERROR(__xludf.DUMMYFUNCTION("""COMPUTED_VALUE"""),"VA")</f>
        <v>VA</v>
      </c>
      <c r="R2144" s="5" t="str">
        <f ca="1">IFERROR(__xludf.DUMMYFUNCTION("""COMPUTED_VALUE"""),"High")</f>
        <v>High</v>
      </c>
      <c r="S2144" s="5" t="str">
        <f ca="1">IFERROR(__xludf.DUMMYFUNCTION("""COMPUTED_VALUE"""),"Other")</f>
        <v>Other</v>
      </c>
      <c r="T2144" s="5" t="str">
        <f ca="1">IFERROR(__xludf.DUMMYFUNCTION("""COMPUTED_VALUE"""),"Inside School Building")</f>
        <v>Inside School Building</v>
      </c>
      <c r="U2144" s="5" t="str">
        <f ca="1">IFERROR(__xludf.DUMMYFUNCTION("""COMPUTED_VALUE"""),"Yes")</f>
        <v>Yes</v>
      </c>
      <c r="V2144" s="5" t="str">
        <f ca="1">IFERROR(__xludf.DUMMYFUNCTION("""COMPUTED_VALUE"""),"Morning Classes")</f>
        <v>Morning Classes</v>
      </c>
      <c r="W2144" s="10">
        <f ca="1">IFERROR(__xludf.DUMMYFUNCTION("""COMPUTED_VALUE"""),0.336805555555555)</f>
        <v>0.33680555555555503</v>
      </c>
      <c r="X2144" s="5">
        <f ca="1">IFERROR(__xludf.DUMMYFUNCTION("""COMPUTED_VALUE"""),1)</f>
        <v>1</v>
      </c>
      <c r="Y2144" s="5" t="str">
        <f ca="1">IFERROR(__xludf.DUMMYFUNCTION("""COMPUTED_VALUE"""),"Shooter shot self in chest in school library")</f>
        <v>Shooter shot self in chest in school library</v>
      </c>
      <c r="Z2144" s="5" t="str">
        <f ca="1">IFERROR(__xludf.DUMMYFUNCTION("""COMPUTED_VALUE"""),"Student shot himself in chest after most students left library on the way to their morning class - reason of shooting not stated.")</f>
        <v>Student shot himself in chest after most students left library on the way to their morning class - reason of shooting not stated.</v>
      </c>
      <c r="AA2144" s="5" t="str">
        <f ca="1">IFERROR(__xludf.DUMMYFUNCTION("""COMPUTED_VALUE"""),"Suicide/Attempted")</f>
        <v>Suicide/Attempted</v>
      </c>
      <c r="AB2144" s="5" t="str">
        <f ca="1">IFERROR(__xludf.DUMMYFUNCTION("""COMPUTED_VALUE"""),"Victims Targeted")</f>
        <v>Victims Targeted</v>
      </c>
      <c r="AC2144" s="5" t="str">
        <f ca="1">IFERROR(__xludf.DUMMYFUNCTION("""COMPUTED_VALUE"""),"No")</f>
        <v>No</v>
      </c>
      <c r="AD2144" s="5" t="str">
        <f ca="1">IFERROR(__xludf.DUMMYFUNCTION("""COMPUTED_VALUE"""),"No")</f>
        <v>No</v>
      </c>
      <c r="AE2144" s="5" t="str">
        <f ca="1">IFERROR(__xludf.DUMMYFUNCTION("""COMPUTED_VALUE"""),"No")</f>
        <v>No</v>
      </c>
      <c r="AF2144" s="5" t="str">
        <f ca="1">IFERROR(__xludf.DUMMYFUNCTION("""COMPUTED_VALUE"""),"No")</f>
        <v>No</v>
      </c>
      <c r="AG2144" s="5"/>
      <c r="AH2144" s="5" t="str">
        <f ca="1">IFERROR(__xludf.DUMMYFUNCTION("""COMPUTED_VALUE"""),"No")</f>
        <v>No</v>
      </c>
      <c r="AI2144" s="5" t="str">
        <f ca="1">IFERROR(__xludf.DUMMYFUNCTION("""COMPUTED_VALUE"""),"No")</f>
        <v>No</v>
      </c>
      <c r="AJ2144" s="5"/>
    </row>
    <row r="2145" spans="1:36" ht="13">
      <c r="A2145" s="5" t="str">
        <f ca="1">IFERROR(__xludf.DUMMYFUNCTION("""COMPUTED_VALUE"""),"19800107ARSTS")</f>
        <v>19800107ARSTS</v>
      </c>
      <c r="B2145" s="5">
        <f ca="1">IFERROR(__xludf.DUMMYFUNCTION("""COMPUTED_VALUE"""),1)</f>
        <v>1</v>
      </c>
      <c r="C2145" s="5">
        <f ca="1">IFERROR(__xludf.DUMMYFUNCTION("""COMPUTED_VALUE"""),7)</f>
        <v>7</v>
      </c>
      <c r="D2145" s="5">
        <f ca="1">IFERROR(__xludf.DUMMYFUNCTION("""COMPUTED_VALUE"""),1980)</f>
        <v>1980</v>
      </c>
      <c r="E2145" s="8">
        <f ca="1">IFERROR(__xludf.DUMMYFUNCTION("""COMPUTED_VALUE"""),29227)</f>
        <v>29227</v>
      </c>
      <c r="F2145" s="5" t="str">
        <f ca="1">IFERROR(__xludf.DUMMYFUNCTION("""COMPUTED_VALUE"""),"Stamps High School")</f>
        <v>Stamps High School</v>
      </c>
      <c r="G2145" s="5">
        <f ca="1">IFERROR(__xludf.DUMMYFUNCTION("""COMPUTED_VALUE"""),1)</f>
        <v>1</v>
      </c>
      <c r="H2145" s="5">
        <f ca="1">IFERROR(__xludf.DUMMYFUNCTION("""COMPUTED_VALUE"""),0)</f>
        <v>0</v>
      </c>
      <c r="I2145" s="5">
        <f ca="1">IFERROR(__xludf.DUMMYFUNCTION("""COMPUTED_VALUE"""),1)</f>
        <v>1</v>
      </c>
      <c r="J2145" s="5">
        <f ca="1">IFERROR(__xludf.DUMMYFUNCTION("""COMPUTED_VALUE"""),0)</f>
        <v>0</v>
      </c>
      <c r="K2145" s="5" t="str">
        <f ca="1">IFERROR(__xludf.DUMMYFUNCTION("""COMPUTED_VALUE"""),"https://www.newspapers.com/image/312609368/?terms=stamps%2Bhigh%2Bschool%2Bshooting https://www.pressreader.com/usa/arkansas-democrat-gazette/20180318/284447099346596")</f>
        <v>https://www.newspapers.com/image/312609368/?terms=stamps%2Bhigh%2Bschool%2Bshooting https://www.pressreader.com/usa/arkansas-democrat-gazette/20180318/284447099346596</v>
      </c>
      <c r="L2145" s="5"/>
      <c r="M2145" s="5"/>
      <c r="N2145" s="5">
        <f ca="1">IFERROR(__xludf.DUMMYFUNCTION("""COMPUTED_VALUE"""),3)</f>
        <v>3</v>
      </c>
      <c r="O2145" s="5" t="str">
        <f ca="1">IFERROR(__xludf.DUMMYFUNCTION("""COMPUTED_VALUE"""),"Winter")</f>
        <v>Winter</v>
      </c>
      <c r="P2145" s="5" t="str">
        <f ca="1">IFERROR(__xludf.DUMMYFUNCTION("""COMPUTED_VALUE"""),"Stamps")</f>
        <v>Stamps</v>
      </c>
      <c r="Q2145" s="5" t="str">
        <f ca="1">IFERROR(__xludf.DUMMYFUNCTION("""COMPUTED_VALUE"""),"AR")</f>
        <v>AR</v>
      </c>
      <c r="R2145" s="5" t="str">
        <f ca="1">IFERROR(__xludf.DUMMYFUNCTION("""COMPUTED_VALUE"""),"High")</f>
        <v>High</v>
      </c>
      <c r="S2145" s="5" t="str">
        <f ca="1">IFERROR(__xludf.DUMMYFUNCTION("""COMPUTED_VALUE"""),"Classroom")</f>
        <v>Classroom</v>
      </c>
      <c r="T2145" s="5" t="str">
        <f ca="1">IFERROR(__xludf.DUMMYFUNCTION("""COMPUTED_VALUE"""),"Inside School Building")</f>
        <v>Inside School Building</v>
      </c>
      <c r="U2145" s="5" t="str">
        <f ca="1">IFERROR(__xludf.DUMMYFUNCTION("""COMPUTED_VALUE"""),"Yes")</f>
        <v>Yes</v>
      </c>
      <c r="V2145" s="5" t="str">
        <f ca="1">IFERROR(__xludf.DUMMYFUNCTION("""COMPUTED_VALUE"""),"Morning Classes")</f>
        <v>Morning Classes</v>
      </c>
      <c r="W2145" s="10">
        <f ca="1">IFERROR(__xludf.DUMMYFUNCTION("""COMPUTED_VALUE"""),0.376388888888888)</f>
        <v>0.376388888888888</v>
      </c>
      <c r="X2145" s="5">
        <f ca="1">IFERROR(__xludf.DUMMYFUNCTION("""COMPUTED_VALUE"""),1)</f>
        <v>1</v>
      </c>
      <c r="Y2145" s="5" t="str">
        <f ca="1">IFERROR(__xludf.DUMMYFUNCTION("""COMPUTED_VALUE"""),"Student shot other student 3 times in class then walked to principals office and handed over gun")</f>
        <v>Student shot other student 3 times in class then walked to principals office and handed over gun</v>
      </c>
      <c r="Z2145" s="5" t="str">
        <f ca="1">IFERROR(__xludf.DUMMYFUNCTION("""COMPUTED_VALUE"""),"16YOM walked into class he was not enrolled for. Waiting in the back, then pulled out pistol and fired three times at 19 YOM student. Shooter put on a pair of sunglass and walked out of classroom. Showed no emotion during shooting. Walked to principals of"&amp;"fice and handed gun over to principal then started reading a magazine. School officials were not aware of any motive.")</f>
        <v>16YOM walked into class he was not enrolled for. Waiting in the back, then pulled out pistol and fired three times at 19 YOM student. Shooter put on a pair of sunglass and walked out of classroom. Showed no emotion during shooting. Walked to principals office and handed gun over to principal then started reading a magazine. School officials were not aware of any motive.</v>
      </c>
      <c r="AA2145" s="5" t="str">
        <f ca="1">IFERROR(__xludf.DUMMYFUNCTION("""COMPUTED_VALUE"""),"Psychosis")</f>
        <v>Psychosis</v>
      </c>
      <c r="AB2145" s="5" t="str">
        <f ca="1">IFERROR(__xludf.DUMMYFUNCTION("""COMPUTED_VALUE"""),"Victims Targeted")</f>
        <v>Victims Targeted</v>
      </c>
      <c r="AC2145" s="5" t="str">
        <f ca="1">IFERROR(__xludf.DUMMYFUNCTION("""COMPUTED_VALUE"""),"No")</f>
        <v>No</v>
      </c>
      <c r="AD2145" s="5" t="str">
        <f ca="1">IFERROR(__xludf.DUMMYFUNCTION("""COMPUTED_VALUE"""),"No")</f>
        <v>No</v>
      </c>
      <c r="AE2145" s="5" t="str">
        <f ca="1">IFERROR(__xludf.DUMMYFUNCTION("""COMPUTED_VALUE"""),"No")</f>
        <v>No</v>
      </c>
      <c r="AF2145" s="5" t="str">
        <f ca="1">IFERROR(__xludf.DUMMYFUNCTION("""COMPUTED_VALUE"""),"No")</f>
        <v>No</v>
      </c>
      <c r="AG2145" s="5"/>
      <c r="AH2145" s="5" t="str">
        <f ca="1">IFERROR(__xludf.DUMMYFUNCTION("""COMPUTED_VALUE"""),"No")</f>
        <v>No</v>
      </c>
      <c r="AI2145" s="5" t="str">
        <f ca="1">IFERROR(__xludf.DUMMYFUNCTION("""COMPUTED_VALUE"""),"No")</f>
        <v>No</v>
      </c>
      <c r="AJ2145" s="5"/>
    </row>
    <row r="2146" spans="1:36" ht="13">
      <c r="A2146" s="5" t="str">
        <f ca="1">IFERROR(__xludf.DUMMYFUNCTION("""COMPUTED_VALUE"""),"19791221MOBLS")</f>
        <v>19791221MOBLS</v>
      </c>
      <c r="B2146" s="5">
        <f ca="1">IFERROR(__xludf.DUMMYFUNCTION("""COMPUTED_VALUE"""),12)</f>
        <v>12</v>
      </c>
      <c r="C2146" s="5">
        <f ca="1">IFERROR(__xludf.DUMMYFUNCTION("""COMPUTED_VALUE"""),21)</f>
        <v>21</v>
      </c>
      <c r="D2146" s="5">
        <f ca="1">IFERROR(__xludf.DUMMYFUNCTION("""COMPUTED_VALUE"""),1979)</f>
        <v>1979</v>
      </c>
      <c r="E2146" s="8">
        <f ca="1">IFERROR(__xludf.DUMMYFUNCTION("""COMPUTED_VALUE"""),29210)</f>
        <v>29210</v>
      </c>
      <c r="F2146" s="5" t="str">
        <f ca="1">IFERROR(__xludf.DUMMYFUNCTION("""COMPUTED_VALUE"""),"Blewett Middle School")</f>
        <v>Blewett Middle School</v>
      </c>
      <c r="G2146" s="5">
        <f ca="1">IFERROR(__xludf.DUMMYFUNCTION("""COMPUTED_VALUE"""),0)</f>
        <v>0</v>
      </c>
      <c r="H2146" s="5">
        <f ca="1">IFERROR(__xludf.DUMMYFUNCTION("""COMPUTED_VALUE"""),1)</f>
        <v>1</v>
      </c>
      <c r="I2146" s="5">
        <f ca="1">IFERROR(__xludf.DUMMYFUNCTION("""COMPUTED_VALUE"""),1)</f>
        <v>1</v>
      </c>
      <c r="J2146" s="5">
        <f ca="1">IFERROR(__xludf.DUMMYFUNCTION("""COMPUTED_VALUE"""),0)</f>
        <v>0</v>
      </c>
      <c r="K2146" s="9" t="str">
        <f ca="1">IFERROR(__xludf.DUMMYFUNCTION("""COMPUTED_VALUE"""),"https://www.newspapers.com/image/139639371/?terms=school%2Bshooting")</f>
        <v>https://www.newspapers.com/image/139639371/?terms=school%2Bshooting</v>
      </c>
      <c r="L2146" s="5"/>
      <c r="M2146" s="5"/>
      <c r="N2146" s="5">
        <f ca="1">IFERROR(__xludf.DUMMYFUNCTION("""COMPUTED_VALUE"""),2)</f>
        <v>2</v>
      </c>
      <c r="O2146" s="5" t="str">
        <f ca="1">IFERROR(__xludf.DUMMYFUNCTION("""COMPUTED_VALUE"""),"Winter")</f>
        <v>Winter</v>
      </c>
      <c r="P2146" s="5" t="str">
        <f ca="1">IFERROR(__xludf.DUMMYFUNCTION("""COMPUTED_VALUE"""),"St. Louis")</f>
        <v>St. Louis</v>
      </c>
      <c r="Q2146" s="5" t="str">
        <f ca="1">IFERROR(__xludf.DUMMYFUNCTION("""COMPUTED_VALUE"""),"MO")</f>
        <v>MO</v>
      </c>
      <c r="R2146" s="5" t="str">
        <f ca="1">IFERROR(__xludf.DUMMYFUNCTION("""COMPUTED_VALUE"""),"Middle")</f>
        <v>Middle</v>
      </c>
      <c r="S2146" s="5" t="str">
        <f ca="1">IFERROR(__xludf.DUMMYFUNCTION("""COMPUTED_VALUE"""),"Hallway")</f>
        <v>Hallway</v>
      </c>
      <c r="T2146" s="5" t="str">
        <f ca="1">IFERROR(__xludf.DUMMYFUNCTION("""COMPUTED_VALUE"""),"Inside School Building")</f>
        <v>Inside School Building</v>
      </c>
      <c r="U2146" s="5" t="str">
        <f ca="1">IFERROR(__xludf.DUMMYFUNCTION("""COMPUTED_VALUE"""),"Yes")</f>
        <v>Yes</v>
      </c>
      <c r="V2146" s="5" t="str">
        <f ca="1">IFERROR(__xludf.DUMMYFUNCTION("""COMPUTED_VALUE"""),"Morning Classes")</f>
        <v>Morning Classes</v>
      </c>
      <c r="W2146" s="5"/>
      <c r="X2146" s="5">
        <f ca="1">IFERROR(__xludf.DUMMYFUNCTION("""COMPUTED_VALUE"""),1)</f>
        <v>1</v>
      </c>
      <c r="Y2146" s="5" t="str">
        <f ca="1">IFERROR(__xludf.DUMMYFUNCTION("""COMPUTED_VALUE"""),"Fight during dispute over money resulted in shooting")</f>
        <v>Fight during dispute over money resulted in shooting</v>
      </c>
      <c r="Z2146" s="5" t="str">
        <f ca="1">IFERROR(__xludf.DUMMYFUNCTION("""COMPUTED_VALUE"""),"16YOM shot by 14YOM in the stairwell of the school during a dispute over money.")</f>
        <v>16YOM shot by 14YOM in the stairwell of the school during a dispute over money.</v>
      </c>
      <c r="AA2146" s="5" t="str">
        <f ca="1">IFERROR(__xludf.DUMMYFUNCTION("""COMPUTED_VALUE"""),"Escalation of Dispute")</f>
        <v>Escalation of Dispute</v>
      </c>
      <c r="AB2146" s="5" t="str">
        <f ca="1">IFERROR(__xludf.DUMMYFUNCTION("""COMPUTED_VALUE"""),"Victims Targeted")</f>
        <v>Victims Targeted</v>
      </c>
      <c r="AC2146" s="5" t="str">
        <f ca="1">IFERROR(__xludf.DUMMYFUNCTION("""COMPUTED_VALUE"""),"No")</f>
        <v>No</v>
      </c>
      <c r="AD2146" s="5" t="str">
        <f ca="1">IFERROR(__xludf.DUMMYFUNCTION("""COMPUTED_VALUE"""),"No")</f>
        <v>No</v>
      </c>
      <c r="AE2146" s="5" t="str">
        <f ca="1">IFERROR(__xludf.DUMMYFUNCTION("""COMPUTED_VALUE"""),"No")</f>
        <v>No</v>
      </c>
      <c r="AF2146" s="5" t="str">
        <f ca="1">IFERROR(__xludf.DUMMYFUNCTION("""COMPUTED_VALUE"""),"No")</f>
        <v>No</v>
      </c>
      <c r="AG2146" s="5" t="str">
        <f ca="1">IFERROR(__xludf.DUMMYFUNCTION("""COMPUTED_VALUE"""),"No")</f>
        <v>No</v>
      </c>
      <c r="AH2146" s="5" t="str">
        <f ca="1">IFERROR(__xludf.DUMMYFUNCTION("""COMPUTED_VALUE"""),"No")</f>
        <v>No</v>
      </c>
      <c r="AI2146" s="5" t="str">
        <f ca="1">IFERROR(__xludf.DUMMYFUNCTION("""COMPUTED_VALUE"""),"No")</f>
        <v>No</v>
      </c>
      <c r="AJ2146" s="5"/>
    </row>
    <row r="2147" spans="1:36" ht="13">
      <c r="A2147" s="5" t="str">
        <f ca="1">IFERROR(__xludf.DUMMYFUNCTION("""COMPUTED_VALUE"""),"19791203MDEAB")</f>
        <v>19791203MDEAB</v>
      </c>
      <c r="B2147" s="5">
        <f ca="1">IFERROR(__xludf.DUMMYFUNCTION("""COMPUTED_VALUE"""),12)</f>
        <v>12</v>
      </c>
      <c r="C2147" s="5">
        <f ca="1">IFERROR(__xludf.DUMMYFUNCTION("""COMPUTED_VALUE"""),3)</f>
        <v>3</v>
      </c>
      <c r="D2147" s="5">
        <f ca="1">IFERROR(__xludf.DUMMYFUNCTION("""COMPUTED_VALUE"""),1979)</f>
        <v>1979</v>
      </c>
      <c r="E2147" s="8">
        <f ca="1">IFERROR(__xludf.DUMMYFUNCTION("""COMPUTED_VALUE"""),29192)</f>
        <v>29192</v>
      </c>
      <c r="F2147" s="5" t="str">
        <f ca="1">IFERROR(__xludf.DUMMYFUNCTION("""COMPUTED_VALUE"""),"Eastern High School")</f>
        <v>Eastern High School</v>
      </c>
      <c r="G2147" s="5">
        <f ca="1">IFERROR(__xludf.DUMMYFUNCTION("""COMPUTED_VALUE"""),0)</f>
        <v>0</v>
      </c>
      <c r="H2147" s="5">
        <f ca="1">IFERROR(__xludf.DUMMYFUNCTION("""COMPUTED_VALUE"""),3)</f>
        <v>3</v>
      </c>
      <c r="I2147" s="5">
        <f ca="1">IFERROR(__xludf.DUMMYFUNCTION("""COMPUTED_VALUE"""),3)</f>
        <v>3</v>
      </c>
      <c r="J2147" s="5">
        <f ca="1">IFERROR(__xludf.DUMMYFUNCTION("""COMPUTED_VALUE"""),0)</f>
        <v>0</v>
      </c>
      <c r="K2147" s="9" t="str">
        <f ca="1">IFERROR(__xludf.DUMMYFUNCTION("""COMPUTED_VALUE"""),"https://www.newspapers.com/image/281107557/?terms=eastern%2Bhigh%2Bschool%2Bshooting%2Bbaltimore")</f>
        <v>https://www.newspapers.com/image/281107557/?terms=eastern%2Bhigh%2Bschool%2Bshooting%2Bbaltimore</v>
      </c>
      <c r="L2147" s="5"/>
      <c r="M2147" s="5"/>
      <c r="N2147" s="5">
        <f ca="1">IFERROR(__xludf.DUMMYFUNCTION("""COMPUTED_VALUE"""),2)</f>
        <v>2</v>
      </c>
      <c r="O2147" s="5" t="str">
        <f ca="1">IFERROR(__xludf.DUMMYFUNCTION("""COMPUTED_VALUE"""),"Winter")</f>
        <v>Winter</v>
      </c>
      <c r="P2147" s="5" t="str">
        <f ca="1">IFERROR(__xludf.DUMMYFUNCTION("""COMPUTED_VALUE"""),"Baltimore")</f>
        <v>Baltimore</v>
      </c>
      <c r="Q2147" s="5" t="str">
        <f ca="1">IFERROR(__xludf.DUMMYFUNCTION("""COMPUTED_VALUE"""),"MD")</f>
        <v>MD</v>
      </c>
      <c r="R2147" s="5" t="str">
        <f ca="1">IFERROR(__xludf.DUMMYFUNCTION("""COMPUTED_VALUE"""),"High")</f>
        <v>High</v>
      </c>
      <c r="S2147" s="5" t="str">
        <f ca="1">IFERROR(__xludf.DUMMYFUNCTION("""COMPUTED_VALUE"""),"Cafeteria")</f>
        <v>Cafeteria</v>
      </c>
      <c r="T2147" s="5" t="str">
        <f ca="1">IFERROR(__xludf.DUMMYFUNCTION("""COMPUTED_VALUE"""),"Inside School Building")</f>
        <v>Inside School Building</v>
      </c>
      <c r="U2147" s="5" t="str">
        <f ca="1">IFERROR(__xludf.DUMMYFUNCTION("""COMPUTED_VALUE"""),"Yes")</f>
        <v>Yes</v>
      </c>
      <c r="V2147" s="5" t="str">
        <f ca="1">IFERROR(__xludf.DUMMYFUNCTION("""COMPUTED_VALUE"""),"Lunch")</f>
        <v>Lunch</v>
      </c>
      <c r="W2147" s="5"/>
      <c r="X2147" s="5">
        <f ca="1">IFERROR(__xludf.DUMMYFUNCTION("""COMPUTED_VALUE"""),1)</f>
        <v>1</v>
      </c>
      <c r="Y2147" s="5" t="str">
        <f ca="1">IFERROR(__xludf.DUMMYFUNCTION("""COMPUTED_VALUE"""),"Three student gang members fired at rival gang members who fired back in cafeteria")</f>
        <v>Three student gang members fired at rival gang members who fired back in cafeteria</v>
      </c>
      <c r="Z2147" s="5" t="str">
        <f ca="1">IFERROR(__xludf.DUMMYFUNCTION("""COMPUTED_VALUE"""),"Two student gang members went into school cafeteria to shot rival student gang member. Targeted victim was armed and fired back at them. Bystander was struck. Other students reported the shooters were rival gang members. Shooters and victim/shooter all fl"&amp;"ed scene. 500 students were in the cafeteria at the time of the shooting.")</f>
        <v>Two student gang members went into school cafeteria to shot rival student gang member. Targeted victim was armed and fired back at them. Bystander was struck. Other students reported the shooters were rival gang members. Shooters and victim/shooter all fled scene. 500 students were in the cafeteria at the time of the shooting.</v>
      </c>
      <c r="AA2147" s="5" t="str">
        <f ca="1">IFERROR(__xludf.DUMMYFUNCTION("""COMPUTED_VALUE"""),"Escalation of Dispute")</f>
        <v>Escalation of Dispute</v>
      </c>
      <c r="AB2147" s="5" t="str">
        <f ca="1">IFERROR(__xludf.DUMMYFUNCTION("""COMPUTED_VALUE"""),"Both")</f>
        <v>Both</v>
      </c>
      <c r="AC2147" s="5" t="str">
        <f ca="1">IFERROR(__xludf.DUMMYFUNCTION("""COMPUTED_VALUE"""),"Yes")</f>
        <v>Yes</v>
      </c>
      <c r="AD2147" s="5" t="str">
        <f ca="1">IFERROR(__xludf.DUMMYFUNCTION("""COMPUTED_VALUE"""),"No")</f>
        <v>No</v>
      </c>
      <c r="AE2147" s="5" t="str">
        <f ca="1">IFERROR(__xludf.DUMMYFUNCTION("""COMPUTED_VALUE"""),"No")</f>
        <v>No</v>
      </c>
      <c r="AF2147" s="5" t="str">
        <f ca="1">IFERROR(__xludf.DUMMYFUNCTION("""COMPUTED_VALUE"""),"No")</f>
        <v>No</v>
      </c>
      <c r="AG2147" s="5" t="str">
        <f ca="1">IFERROR(__xludf.DUMMYFUNCTION("""COMPUTED_VALUE"""),"No")</f>
        <v>No</v>
      </c>
      <c r="AH2147" s="5" t="str">
        <f ca="1">IFERROR(__xludf.DUMMYFUNCTION("""COMPUTED_VALUE"""),"No")</f>
        <v>No</v>
      </c>
      <c r="AI2147" s="5" t="str">
        <f ca="1">IFERROR(__xludf.DUMMYFUNCTION("""COMPUTED_VALUE"""),"Yes")</f>
        <v>Yes</v>
      </c>
      <c r="AJ2147" s="5"/>
    </row>
    <row r="2148" spans="1:36" ht="13">
      <c r="A2148" s="5" t="str">
        <f ca="1">IFERROR(__xludf.DUMMYFUNCTION("""COMPUTED_VALUE"""),"19791130TXUNL")</f>
        <v>19791130TXUNL</v>
      </c>
      <c r="B2148" s="5">
        <f ca="1">IFERROR(__xludf.DUMMYFUNCTION("""COMPUTED_VALUE"""),11)</f>
        <v>11</v>
      </c>
      <c r="C2148" s="5">
        <f ca="1">IFERROR(__xludf.DUMMYFUNCTION("""COMPUTED_VALUE"""),30)</f>
        <v>30</v>
      </c>
      <c r="D2148" s="5">
        <f ca="1">IFERROR(__xludf.DUMMYFUNCTION("""COMPUTED_VALUE"""),1979)</f>
        <v>1979</v>
      </c>
      <c r="E2148" s="8">
        <f ca="1">IFERROR(__xludf.DUMMYFUNCTION("""COMPUTED_VALUE"""),29189)</f>
        <v>29189</v>
      </c>
      <c r="F2148" s="5" t="str">
        <f ca="1">IFERROR(__xludf.DUMMYFUNCTION("""COMPUTED_VALUE"""),"Unknown School")</f>
        <v>Unknown School</v>
      </c>
      <c r="G2148" s="5">
        <f ca="1">IFERROR(__xludf.DUMMYFUNCTION("""COMPUTED_VALUE"""),0)</f>
        <v>0</v>
      </c>
      <c r="H2148" s="5">
        <f ca="1">IFERROR(__xludf.DUMMYFUNCTION("""COMPUTED_VALUE"""),1)</f>
        <v>1</v>
      </c>
      <c r="I2148" s="5">
        <f ca="1">IFERROR(__xludf.DUMMYFUNCTION("""COMPUTED_VALUE"""),1)</f>
        <v>1</v>
      </c>
      <c r="J2148" s="5">
        <f ca="1">IFERROR(__xludf.DUMMYFUNCTION("""COMPUTED_VALUE"""),0)</f>
        <v>0</v>
      </c>
      <c r="K2148" s="5" t="str">
        <f ca="1">IFERROR(__xludf.DUMMYFUNCTION("""COMPUTED_VALUE"""),"https://www.newspapers.com/image/331098560/?terms=student%2Bshot 
  https://www.newspapers.com/image/436921590/?terms=lewisville%2Bschool%2Bshooting   https://www.newspapers.com/image/359197635/?terms=lewisville%2Bschool%2Bshooting")</f>
        <v>https://www.newspapers.com/image/331098560/?terms=student%2Bshot 
  https://www.newspapers.com/image/436921590/?terms=lewisville%2Bschool%2Bshooting   https://www.newspapers.com/image/359197635/?terms=lewisville%2Bschool%2Bshooting</v>
      </c>
      <c r="L2148" s="5"/>
      <c r="M2148" s="5"/>
      <c r="N2148" s="5">
        <f ca="1">IFERROR(__xludf.DUMMYFUNCTION("""COMPUTED_VALUE"""),3)</f>
        <v>3</v>
      </c>
      <c r="O2148" s="5" t="str">
        <f ca="1">IFERROR(__xludf.DUMMYFUNCTION("""COMPUTED_VALUE"""),"Fall")</f>
        <v>Fall</v>
      </c>
      <c r="P2148" s="5" t="str">
        <f ca="1">IFERROR(__xludf.DUMMYFUNCTION("""COMPUTED_VALUE"""),"Lewisville")</f>
        <v>Lewisville</v>
      </c>
      <c r="Q2148" s="5" t="str">
        <f ca="1">IFERROR(__xludf.DUMMYFUNCTION("""COMPUTED_VALUE"""),"TX")</f>
        <v>TX</v>
      </c>
      <c r="R2148" s="5"/>
      <c r="S2148" s="5" t="str">
        <f ca="1">IFERROR(__xludf.DUMMYFUNCTION("""COMPUTED_VALUE"""),"Inside School Building")</f>
        <v>Inside School Building</v>
      </c>
      <c r="T2148" s="5" t="str">
        <f ca="1">IFERROR(__xludf.DUMMYFUNCTION("""COMPUTED_VALUE"""),"Inside School Building")</f>
        <v>Inside School Building</v>
      </c>
      <c r="U2148" s="5" t="str">
        <f ca="1">IFERROR(__xludf.DUMMYFUNCTION("""COMPUTED_VALUE"""),"Yes")</f>
        <v>Yes</v>
      </c>
      <c r="V2148" s="5"/>
      <c r="W2148" s="5"/>
      <c r="X2148" s="5">
        <f ca="1">IFERROR(__xludf.DUMMYFUNCTION("""COMPUTED_VALUE"""),1)</f>
        <v>1</v>
      </c>
      <c r="Y2148" s="5" t="str">
        <f ca="1">IFERROR(__xludf.DUMMYFUNCTION("""COMPUTED_VALUE"""),"14 year old student shot 11 year old girl in school hallway - unknown motive")</f>
        <v>14 year old student shot 11 year old girl in school hallway - unknown motive</v>
      </c>
      <c r="Z2148" s="5" t="str">
        <f ca="1">IFERROR(__xludf.DUMMYFUNCTION("""COMPUTED_VALUE"""),"11 year-old victim was shot in the back by a stray bullet from a .22 caliber handgun. The shooter, a 14 year-old boy who was later stopped by police, was carrying a gun in a western style holster and accidentally fired a round. Taken into custody without "&amp;"incident.")</f>
        <v>11 year-old victim was shot in the back by a stray bullet from a .22 caliber handgun. The shooter, a 14 year-old boy who was later stopped by police, was carrying a gun in a western style holster and accidentally fired a round. Taken into custody without incident.</v>
      </c>
      <c r="AA2148" s="5" t="str">
        <f ca="1">IFERROR(__xludf.DUMMYFUNCTION("""COMPUTED_VALUE"""),"Accidental")</f>
        <v>Accidental</v>
      </c>
      <c r="AB2148" s="5" t="str">
        <f ca="1">IFERROR(__xludf.DUMMYFUNCTION("""COMPUTED_VALUE"""),"Random Shooting")</f>
        <v>Random Shooting</v>
      </c>
      <c r="AC2148" s="5" t="str">
        <f ca="1">IFERROR(__xludf.DUMMYFUNCTION("""COMPUTED_VALUE"""),"No")</f>
        <v>No</v>
      </c>
      <c r="AD2148" s="5" t="str">
        <f ca="1">IFERROR(__xludf.DUMMYFUNCTION("""COMPUTED_VALUE"""),"No")</f>
        <v>No</v>
      </c>
      <c r="AE2148" s="5" t="str">
        <f ca="1">IFERROR(__xludf.DUMMYFUNCTION("""COMPUTED_VALUE"""),"No")</f>
        <v>No</v>
      </c>
      <c r="AF2148" s="5" t="str">
        <f ca="1">IFERROR(__xludf.DUMMYFUNCTION("""COMPUTED_VALUE"""),"No")</f>
        <v>No</v>
      </c>
      <c r="AG2148" s="5"/>
      <c r="AH2148" s="5"/>
      <c r="AI2148" s="5"/>
      <c r="AJ2148" s="5"/>
    </row>
    <row r="2149" spans="1:36" ht="13">
      <c r="A2149" s="5" t="str">
        <f ca="1">IFERROR(__xludf.DUMMYFUNCTION("""COMPUTED_VALUE"""),"19791105INWAI")</f>
        <v>19791105INWAI</v>
      </c>
      <c r="B2149" s="5">
        <f ca="1">IFERROR(__xludf.DUMMYFUNCTION("""COMPUTED_VALUE"""),11)</f>
        <v>11</v>
      </c>
      <c r="C2149" s="5">
        <f ca="1">IFERROR(__xludf.DUMMYFUNCTION("""COMPUTED_VALUE"""),5)</f>
        <v>5</v>
      </c>
      <c r="D2149" s="5">
        <f ca="1">IFERROR(__xludf.DUMMYFUNCTION("""COMPUTED_VALUE"""),1979)</f>
        <v>1979</v>
      </c>
      <c r="E2149" s="8">
        <f ca="1">IFERROR(__xludf.DUMMYFUNCTION("""COMPUTED_VALUE"""),29164)</f>
        <v>29164</v>
      </c>
      <c r="F2149" s="5" t="str">
        <f ca="1">IFERROR(__xludf.DUMMYFUNCTION("""COMPUTED_VALUE"""),"Washington High School")</f>
        <v>Washington High School</v>
      </c>
      <c r="G2149" s="5">
        <f ca="1">IFERROR(__xludf.DUMMYFUNCTION("""COMPUTED_VALUE"""),0)</f>
        <v>0</v>
      </c>
      <c r="H2149" s="5">
        <f ca="1">IFERROR(__xludf.DUMMYFUNCTION("""COMPUTED_VALUE"""),1)</f>
        <v>1</v>
      </c>
      <c r="I2149" s="5">
        <f ca="1">IFERROR(__xludf.DUMMYFUNCTION("""COMPUTED_VALUE"""),1)</f>
        <v>1</v>
      </c>
      <c r="J2149" s="5">
        <f ca="1">IFERROR(__xludf.DUMMYFUNCTION("""COMPUTED_VALUE"""),0)</f>
        <v>0</v>
      </c>
      <c r="K2149" s="9" t="str">
        <f ca="1">IFERROR(__xludf.DUMMYFUNCTION("""COMPUTED_VALUE"""),"https://www.newspapers.com/image/107586036/?terms=school%2Bshooting")</f>
        <v>https://www.newspapers.com/image/107586036/?terms=school%2Bshooting</v>
      </c>
      <c r="L2149" s="5"/>
      <c r="M2149" s="5"/>
      <c r="N2149" s="5">
        <f ca="1">IFERROR(__xludf.DUMMYFUNCTION("""COMPUTED_VALUE"""),2)</f>
        <v>2</v>
      </c>
      <c r="O2149" s="5" t="str">
        <f ca="1">IFERROR(__xludf.DUMMYFUNCTION("""COMPUTED_VALUE"""),"Fall")</f>
        <v>Fall</v>
      </c>
      <c r="P2149" s="5" t="str">
        <f ca="1">IFERROR(__xludf.DUMMYFUNCTION("""COMPUTED_VALUE"""),"Indianapolis")</f>
        <v>Indianapolis</v>
      </c>
      <c r="Q2149" s="5" t="str">
        <f ca="1">IFERROR(__xludf.DUMMYFUNCTION("""COMPUTED_VALUE"""),"IN")</f>
        <v>IN</v>
      </c>
      <c r="R2149" s="5" t="str">
        <f ca="1">IFERROR(__xludf.DUMMYFUNCTION("""COMPUTED_VALUE"""),"High")</f>
        <v>High</v>
      </c>
      <c r="S2149" s="5" t="str">
        <f ca="1">IFERROR(__xludf.DUMMYFUNCTION("""COMPUTED_VALUE"""),"Beside Building")</f>
        <v>Beside Building</v>
      </c>
      <c r="T2149" s="5" t="str">
        <f ca="1">IFERROR(__xludf.DUMMYFUNCTION("""COMPUTED_VALUE"""),"Outside on School Property")</f>
        <v>Outside on School Property</v>
      </c>
      <c r="U2149" s="5" t="str">
        <f ca="1">IFERROR(__xludf.DUMMYFUNCTION("""COMPUTED_VALUE"""),"Yes")</f>
        <v>Yes</v>
      </c>
      <c r="V2149" s="5" t="str">
        <f ca="1">IFERROR(__xludf.DUMMYFUNCTION("""COMPUTED_VALUE"""),"Dismissal")</f>
        <v>Dismissal</v>
      </c>
      <c r="W2149" s="5"/>
      <c r="X2149" s="5">
        <f ca="1">IFERROR(__xludf.DUMMYFUNCTION("""COMPUTED_VALUE"""),1)</f>
        <v>1</v>
      </c>
      <c r="Y2149" s="5" t="str">
        <f ca="1">IFERROR(__xludf.DUMMYFUNCTION("""COMPUTED_VALUE"""),"Student shot other student exiting school")</f>
        <v>Student shot other student exiting school</v>
      </c>
      <c r="Z2149" s="5" t="str">
        <f ca="1">IFERROR(__xludf.DUMMYFUNCTION("""COMPUTED_VALUE"""),"18 year-old male student shot a 14 year-old male student leaving the school.")</f>
        <v>18 year-old male student shot a 14 year-old male student leaving the school.</v>
      </c>
      <c r="AA2149" s="5" t="str">
        <f ca="1">IFERROR(__xludf.DUMMYFUNCTION("""COMPUTED_VALUE"""),"Escalation of Dispute")</f>
        <v>Escalation of Dispute</v>
      </c>
      <c r="AB2149" s="5" t="str">
        <f ca="1">IFERROR(__xludf.DUMMYFUNCTION("""COMPUTED_VALUE"""),"Victims Targeted")</f>
        <v>Victims Targeted</v>
      </c>
      <c r="AC2149" s="5" t="str">
        <f ca="1">IFERROR(__xludf.DUMMYFUNCTION("""COMPUTED_VALUE"""),"No")</f>
        <v>No</v>
      </c>
      <c r="AD2149" s="5" t="str">
        <f ca="1">IFERROR(__xludf.DUMMYFUNCTION("""COMPUTED_VALUE"""),"No")</f>
        <v>No</v>
      </c>
      <c r="AE2149" s="5" t="str">
        <f ca="1">IFERROR(__xludf.DUMMYFUNCTION("""COMPUTED_VALUE"""),"No")</f>
        <v>No</v>
      </c>
      <c r="AF2149" s="5" t="str">
        <f ca="1">IFERROR(__xludf.DUMMYFUNCTION("""COMPUTED_VALUE"""),"No")</f>
        <v>No</v>
      </c>
      <c r="AG2149" s="5"/>
      <c r="AH2149" s="5" t="str">
        <f ca="1">IFERROR(__xludf.DUMMYFUNCTION("""COMPUTED_VALUE"""),"No")</f>
        <v>No</v>
      </c>
      <c r="AI2149" s="5"/>
      <c r="AJ2149" s="5"/>
    </row>
    <row r="2150" spans="1:36" ht="13">
      <c r="A2150" s="5" t="str">
        <f ca="1">IFERROR(__xludf.DUMMYFUNCTION("""COMPUTED_VALUE"""),"19791023MOOFS")</f>
        <v>19791023MOOFS</v>
      </c>
      <c r="B2150" s="5">
        <f ca="1">IFERROR(__xludf.DUMMYFUNCTION("""COMPUTED_VALUE"""),10)</f>
        <v>10</v>
      </c>
      <c r="C2150" s="5">
        <f ca="1">IFERROR(__xludf.DUMMYFUNCTION("""COMPUTED_VALUE"""),23)</f>
        <v>23</v>
      </c>
      <c r="D2150" s="5">
        <f ca="1">IFERROR(__xludf.DUMMYFUNCTION("""COMPUTED_VALUE"""),1979)</f>
        <v>1979</v>
      </c>
      <c r="E2150" s="8">
        <f ca="1">IFERROR(__xludf.DUMMYFUNCTION("""COMPUTED_VALUE"""),29151)</f>
        <v>29151</v>
      </c>
      <c r="F2150" s="5" t="str">
        <f ca="1">IFERROR(__xludf.DUMMYFUNCTION("""COMPUTED_VALUE"""),"O Fallen Technical High School")</f>
        <v>O Fallen Technical High School</v>
      </c>
      <c r="G2150" s="5">
        <f ca="1">IFERROR(__xludf.DUMMYFUNCTION("""COMPUTED_VALUE"""),0)</f>
        <v>0</v>
      </c>
      <c r="H2150" s="5">
        <f ca="1">IFERROR(__xludf.DUMMYFUNCTION("""COMPUTED_VALUE"""),2)</f>
        <v>2</v>
      </c>
      <c r="I2150" s="5">
        <f ca="1">IFERROR(__xludf.DUMMYFUNCTION("""COMPUTED_VALUE"""),2)</f>
        <v>2</v>
      </c>
      <c r="J2150" s="5">
        <f ca="1">IFERROR(__xludf.DUMMYFUNCTION("""COMPUTED_VALUE"""),0)</f>
        <v>0</v>
      </c>
      <c r="K2150" s="9" t="str">
        <f ca="1">IFERROR(__xludf.DUMMYFUNCTION("""COMPUTED_VALUE"""),"https://www.newspapers.com/image/307812073/?terms=school%2Bshooting")</f>
        <v>https://www.newspapers.com/image/307812073/?terms=school%2Bshooting</v>
      </c>
      <c r="L2150" s="5"/>
      <c r="M2150" s="5"/>
      <c r="N2150" s="5">
        <f ca="1">IFERROR(__xludf.DUMMYFUNCTION("""COMPUTED_VALUE"""),2)</f>
        <v>2</v>
      </c>
      <c r="O2150" s="5" t="str">
        <f ca="1">IFERROR(__xludf.DUMMYFUNCTION("""COMPUTED_VALUE"""),"Fall")</f>
        <v>Fall</v>
      </c>
      <c r="P2150" s="5" t="str">
        <f ca="1">IFERROR(__xludf.DUMMYFUNCTION("""COMPUTED_VALUE"""),"St. Louis")</f>
        <v>St. Louis</v>
      </c>
      <c r="Q2150" s="5" t="str">
        <f ca="1">IFERROR(__xludf.DUMMYFUNCTION("""COMPUTED_VALUE"""),"MO")</f>
        <v>MO</v>
      </c>
      <c r="R2150" s="5" t="str">
        <f ca="1">IFERROR(__xludf.DUMMYFUNCTION("""COMPUTED_VALUE"""),"High")</f>
        <v>High</v>
      </c>
      <c r="S2150" s="5" t="str">
        <f ca="1">IFERROR(__xludf.DUMMYFUNCTION("""COMPUTED_VALUE"""),"Inside School Building")</f>
        <v>Inside School Building</v>
      </c>
      <c r="T2150" s="5" t="str">
        <f ca="1">IFERROR(__xludf.DUMMYFUNCTION("""COMPUTED_VALUE"""),"Inside School Building")</f>
        <v>Inside School Building</v>
      </c>
      <c r="U2150" s="5" t="str">
        <f ca="1">IFERROR(__xludf.DUMMYFUNCTION("""COMPUTED_VALUE"""),"Yes")</f>
        <v>Yes</v>
      </c>
      <c r="V2150" s="5" t="str">
        <f ca="1">IFERROR(__xludf.DUMMYFUNCTION("""COMPUTED_VALUE"""),"Morning Classes")</f>
        <v>Morning Classes</v>
      </c>
      <c r="W2150" s="5"/>
      <c r="X2150" s="5">
        <f ca="1">IFERROR(__xludf.DUMMYFUNCTION("""COMPUTED_VALUE"""),1)</f>
        <v>1</v>
      </c>
      <c r="Y2150" s="5" t="str">
        <f ca="1">IFERROR(__xludf.DUMMYFUNCTION("""COMPUTED_VALUE"""),"Argument over stolen watch")</f>
        <v>Argument over stolen watch</v>
      </c>
      <c r="Z2150" s="5" t="str">
        <f ca="1">IFERROR(__xludf.DUMMYFUNCTION("""COMPUTED_VALUE"""),"16 year-old male shooter fired at two other students during an argument over a stolen watch.")</f>
        <v>16 year-old male shooter fired at two other students during an argument over a stolen watch.</v>
      </c>
      <c r="AA2150" s="5" t="str">
        <f ca="1">IFERROR(__xludf.DUMMYFUNCTION("""COMPUTED_VALUE"""),"Illegal Activity")</f>
        <v>Illegal Activity</v>
      </c>
      <c r="AB2150" s="5" t="str">
        <f ca="1">IFERROR(__xludf.DUMMYFUNCTION("""COMPUTED_VALUE"""),"Victims Targeted")</f>
        <v>Victims Targeted</v>
      </c>
      <c r="AC2150" s="5" t="str">
        <f ca="1">IFERROR(__xludf.DUMMYFUNCTION("""COMPUTED_VALUE"""),"No")</f>
        <v>No</v>
      </c>
      <c r="AD2150" s="5" t="str">
        <f ca="1">IFERROR(__xludf.DUMMYFUNCTION("""COMPUTED_VALUE"""),"No")</f>
        <v>No</v>
      </c>
      <c r="AE2150" s="5" t="str">
        <f ca="1">IFERROR(__xludf.DUMMYFUNCTION("""COMPUTED_VALUE"""),"No")</f>
        <v>No</v>
      </c>
      <c r="AF2150" s="5" t="str">
        <f ca="1">IFERROR(__xludf.DUMMYFUNCTION("""COMPUTED_VALUE"""),"No")</f>
        <v>No</v>
      </c>
      <c r="AG2150" s="5" t="str">
        <f ca="1">IFERROR(__xludf.DUMMYFUNCTION("""COMPUTED_VALUE"""),"No")</f>
        <v>No</v>
      </c>
      <c r="AH2150" s="5" t="str">
        <f ca="1">IFERROR(__xludf.DUMMYFUNCTION("""COMPUTED_VALUE"""),"No")</f>
        <v>No</v>
      </c>
      <c r="AI2150" s="5" t="str">
        <f ca="1">IFERROR(__xludf.DUMMYFUNCTION("""COMPUTED_VALUE"""),"No")</f>
        <v>No</v>
      </c>
      <c r="AJ2150" s="5"/>
    </row>
    <row r="2151" spans="1:36" ht="13">
      <c r="A2151" s="5" t="str">
        <f ca="1">IFERROR(__xludf.DUMMYFUNCTION("""COMPUTED_VALUE"""),"19790928MACHC")</f>
        <v>19790928MACHC</v>
      </c>
      <c r="B2151" s="5">
        <f ca="1">IFERROR(__xludf.DUMMYFUNCTION("""COMPUTED_VALUE"""),9)</f>
        <v>9</v>
      </c>
      <c r="C2151" s="5">
        <f ca="1">IFERROR(__xludf.DUMMYFUNCTION("""COMPUTED_VALUE"""),28)</f>
        <v>28</v>
      </c>
      <c r="D2151" s="5">
        <f ca="1">IFERROR(__xludf.DUMMYFUNCTION("""COMPUTED_VALUE"""),1979)</f>
        <v>1979</v>
      </c>
      <c r="E2151" s="8">
        <f ca="1">IFERROR(__xludf.DUMMYFUNCTION("""COMPUTED_VALUE"""),29126)</f>
        <v>29126</v>
      </c>
      <c r="F2151" s="5" t="str">
        <f ca="1">IFERROR(__xludf.DUMMYFUNCTION("""COMPUTED_VALUE"""),"Charlestown High School")</f>
        <v>Charlestown High School</v>
      </c>
      <c r="G2151" s="5">
        <f ca="1">IFERROR(__xludf.DUMMYFUNCTION("""COMPUTED_VALUE"""),0)</f>
        <v>0</v>
      </c>
      <c r="H2151" s="5">
        <f ca="1">IFERROR(__xludf.DUMMYFUNCTION("""COMPUTED_VALUE"""),1)</f>
        <v>1</v>
      </c>
      <c r="I2151" s="5">
        <f ca="1">IFERROR(__xludf.DUMMYFUNCTION("""COMPUTED_VALUE"""),1)</f>
        <v>1</v>
      </c>
      <c r="J2151" s="5">
        <f ca="1">IFERROR(__xludf.DUMMYFUNCTION("""COMPUTED_VALUE"""),0)</f>
        <v>0</v>
      </c>
      <c r="K2151" s="5" t="str">
        <f ca="1">IFERROR(__xludf.DUMMYFUNCTION("""COMPUTED_VALUE"""),"https://www.nytimes.com/1979/10/19/archives/racial-strife-disrupts-boston-high-schools-for-3d-day-race-violence.html https://www.newspapers.com/image/148876462/?terms=school%2Bshooting")</f>
        <v>https://www.nytimes.com/1979/10/19/archives/racial-strife-disrupts-boston-high-schools-for-3d-day-race-violence.html https://www.newspapers.com/image/148876462/?terms=school%2Bshooting</v>
      </c>
      <c r="L2151" s="5"/>
      <c r="M2151" s="5"/>
      <c r="N2151" s="5">
        <f ca="1">IFERROR(__xludf.DUMMYFUNCTION("""COMPUTED_VALUE"""),3)</f>
        <v>3</v>
      </c>
      <c r="O2151" s="5" t="str">
        <f ca="1">IFERROR(__xludf.DUMMYFUNCTION("""COMPUTED_VALUE"""),"Fall")</f>
        <v>Fall</v>
      </c>
      <c r="P2151" s="5" t="str">
        <f ca="1">IFERROR(__xludf.DUMMYFUNCTION("""COMPUTED_VALUE"""),"Charlestown")</f>
        <v>Charlestown</v>
      </c>
      <c r="Q2151" s="5" t="str">
        <f ca="1">IFERROR(__xludf.DUMMYFUNCTION("""COMPUTED_VALUE"""),"MA")</f>
        <v>MA</v>
      </c>
      <c r="R2151" s="5" t="str">
        <f ca="1">IFERROR(__xludf.DUMMYFUNCTION("""COMPUTED_VALUE"""),"High")</f>
        <v>High</v>
      </c>
      <c r="S2151" s="5" t="str">
        <f ca="1">IFERROR(__xludf.DUMMYFUNCTION("""COMPUTED_VALUE"""),"Football Field/Track")</f>
        <v>Football Field/Track</v>
      </c>
      <c r="T2151" s="5" t="str">
        <f ca="1">IFERROR(__xludf.DUMMYFUNCTION("""COMPUTED_VALUE"""),"Outside on School Property")</f>
        <v>Outside on School Property</v>
      </c>
      <c r="U2151" s="5" t="str">
        <f ca="1">IFERROR(__xludf.DUMMYFUNCTION("""COMPUTED_VALUE"""),"No")</f>
        <v>No</v>
      </c>
      <c r="V2151" s="5" t="str">
        <f ca="1">IFERROR(__xludf.DUMMYFUNCTION("""COMPUTED_VALUE"""),"Sport Event")</f>
        <v>Sport Event</v>
      </c>
      <c r="W2151" s="5"/>
      <c r="X2151" s="5">
        <f ca="1">IFERROR(__xludf.DUMMYFUNCTION("""COMPUTED_VALUE"""),1)</f>
        <v>1</v>
      </c>
      <c r="Y2151" s="5" t="str">
        <f ca="1">IFERROR(__xludf.DUMMYFUNCTION("""COMPUTED_VALUE"""),"Racial Tension in Neighborhood")</f>
        <v>Racial Tension in Neighborhood</v>
      </c>
      <c r="Z2151" s="5" t="str">
        <f ca="1">IFERROR(__xludf.DUMMYFUNCTION("""COMPUTED_VALUE"""),"Two white teens fired a rifle shot from a nearby rooftop striking a black football player during a football game. The shooting occurred during a period of racial tension within the neighborhood. Teens claimed the shooting was accidental and they were shoo"&amp;"ting at pigeons.")</f>
        <v>Two white teens fired a rifle shot from a nearby rooftop striking a black football player during a football game. The shooting occurred during a period of racial tension within the neighborhood. Teens claimed the shooting was accidental and they were shooting at pigeons.</v>
      </c>
      <c r="AA2151" s="5" t="str">
        <f ca="1">IFERROR(__xludf.DUMMYFUNCTION("""COMPUTED_VALUE"""),"Racial")</f>
        <v>Racial</v>
      </c>
      <c r="AB2151" s="5" t="str">
        <f ca="1">IFERROR(__xludf.DUMMYFUNCTION("""COMPUTED_VALUE"""),"Victims Targeted")</f>
        <v>Victims Targeted</v>
      </c>
      <c r="AC2151" s="5" t="str">
        <f ca="1">IFERROR(__xludf.DUMMYFUNCTION("""COMPUTED_VALUE"""),"Yes")</f>
        <v>Yes</v>
      </c>
      <c r="AD2151" s="5" t="str">
        <f ca="1">IFERROR(__xludf.DUMMYFUNCTION("""COMPUTED_VALUE"""),"No")</f>
        <v>No</v>
      </c>
      <c r="AE2151" s="5" t="str">
        <f ca="1">IFERROR(__xludf.DUMMYFUNCTION("""COMPUTED_VALUE"""),"No")</f>
        <v>No</v>
      </c>
      <c r="AF2151" s="5" t="str">
        <f ca="1">IFERROR(__xludf.DUMMYFUNCTION("""COMPUTED_VALUE"""),"No")</f>
        <v>No</v>
      </c>
      <c r="AG2151" s="5" t="str">
        <f ca="1">IFERROR(__xludf.DUMMYFUNCTION("""COMPUTED_VALUE"""),"No")</f>
        <v>No</v>
      </c>
      <c r="AH2151" s="5" t="str">
        <f ca="1">IFERROR(__xludf.DUMMYFUNCTION("""COMPUTED_VALUE"""),"No")</f>
        <v>No</v>
      </c>
      <c r="AI2151" s="5" t="str">
        <f ca="1">IFERROR(__xludf.DUMMYFUNCTION("""COMPUTED_VALUE"""),"No")</f>
        <v>No</v>
      </c>
      <c r="AJ2151" s="5"/>
    </row>
    <row r="2152" spans="1:36" ht="13">
      <c r="A2152" s="5" t="str">
        <f ca="1">IFERROR(__xludf.DUMMYFUNCTION("""COMPUTED_VALUE"""),"19790926LACAN")</f>
        <v>19790926LACAN</v>
      </c>
      <c r="B2152" s="5">
        <f ca="1">IFERROR(__xludf.DUMMYFUNCTION("""COMPUTED_VALUE"""),9)</f>
        <v>9</v>
      </c>
      <c r="C2152" s="5">
        <f ca="1">IFERROR(__xludf.DUMMYFUNCTION("""COMPUTED_VALUE"""),26)</f>
        <v>26</v>
      </c>
      <c r="D2152" s="5">
        <f ca="1">IFERROR(__xludf.DUMMYFUNCTION("""COMPUTED_VALUE"""),1979)</f>
        <v>1979</v>
      </c>
      <c r="E2152" s="8">
        <f ca="1">IFERROR(__xludf.DUMMYFUNCTION("""COMPUTED_VALUE"""),29124)</f>
        <v>29124</v>
      </c>
      <c r="F2152" s="5" t="str">
        <f ca="1">IFERROR(__xludf.DUMMYFUNCTION("""COMPUTED_VALUE"""),"Carter G. Woodson Middle School")</f>
        <v>Carter G. Woodson Middle School</v>
      </c>
      <c r="G2152" s="5">
        <f ca="1">IFERROR(__xludf.DUMMYFUNCTION("""COMPUTED_VALUE"""),0)</f>
        <v>0</v>
      </c>
      <c r="H2152" s="5">
        <f ca="1">IFERROR(__xludf.DUMMYFUNCTION("""COMPUTED_VALUE"""),2)</f>
        <v>2</v>
      </c>
      <c r="I2152" s="5">
        <f ca="1">IFERROR(__xludf.DUMMYFUNCTION("""COMPUTED_VALUE"""),2)</f>
        <v>2</v>
      </c>
      <c r="J2152" s="5">
        <f ca="1">IFERROR(__xludf.DUMMYFUNCTION("""COMPUTED_VALUE"""),0)</f>
        <v>0</v>
      </c>
      <c r="K2152" s="5" t="str">
        <f ca="1">IFERROR(__xludf.DUMMYFUNCTION("""COMPUTED_VALUE"""),"https://www.newspapers.com/image/157256372/?terms=new%2Borleans%2Bstudents%2Bshoot%2Beach%2Bother%2Bwith%2Bsame%2Bgun   https://www.newspapers.com/image/130845316/?terms=alfred%2Banderson")</f>
        <v>https://www.newspapers.com/image/157256372/?terms=new%2Borleans%2Bstudents%2Bshoot%2Beach%2Bother%2Bwith%2Bsame%2Bgun   https://www.newspapers.com/image/130845316/?terms=alfred%2Banderson</v>
      </c>
      <c r="L2152" s="5"/>
      <c r="M2152" s="5"/>
      <c r="N2152" s="5">
        <f ca="1">IFERROR(__xludf.DUMMYFUNCTION("""COMPUTED_VALUE"""),2)</f>
        <v>2</v>
      </c>
      <c r="O2152" s="5" t="str">
        <f ca="1">IFERROR(__xludf.DUMMYFUNCTION("""COMPUTED_VALUE"""),"Fall")</f>
        <v>Fall</v>
      </c>
      <c r="P2152" s="5" t="str">
        <f ca="1">IFERROR(__xludf.DUMMYFUNCTION("""COMPUTED_VALUE"""),"New Orleans")</f>
        <v>New Orleans</v>
      </c>
      <c r="Q2152" s="5" t="str">
        <f ca="1">IFERROR(__xludf.DUMMYFUNCTION("""COMPUTED_VALUE"""),"LA")</f>
        <v>LA</v>
      </c>
      <c r="R2152" s="5" t="str">
        <f ca="1">IFERROR(__xludf.DUMMYFUNCTION("""COMPUTED_VALUE"""),"Middle")</f>
        <v>Middle</v>
      </c>
      <c r="S2152" s="5" t="str">
        <f ca="1">IFERROR(__xludf.DUMMYFUNCTION("""COMPUTED_VALUE"""),"Field (General)")</f>
        <v>Field (General)</v>
      </c>
      <c r="T2152" s="5" t="str">
        <f ca="1">IFERROR(__xludf.DUMMYFUNCTION("""COMPUTED_VALUE"""),"Inside School Building")</f>
        <v>Inside School Building</v>
      </c>
      <c r="U2152" s="5" t="str">
        <f ca="1">IFERROR(__xludf.DUMMYFUNCTION("""COMPUTED_VALUE"""),"Yes")</f>
        <v>Yes</v>
      </c>
      <c r="V2152" s="5" t="str">
        <f ca="1">IFERROR(__xludf.DUMMYFUNCTION("""COMPUTED_VALUE"""),"Lunch")</f>
        <v>Lunch</v>
      </c>
      <c r="W2152" s="10">
        <f ca="1">IFERROR(__xludf.DUMMYFUNCTION("""COMPUTED_VALUE"""),0.493055555555555)</f>
        <v>0.49305555555555503</v>
      </c>
      <c r="X2152" s="5">
        <f ca="1">IFERROR(__xludf.DUMMYFUNCTION("""COMPUTED_VALUE"""),1)</f>
        <v>1</v>
      </c>
      <c r="Y2152" s="5" t="str">
        <f ca="1">IFERROR(__xludf.DUMMYFUNCTION("""COMPUTED_VALUE"""),"Two students shot each other with same gun during fight")</f>
        <v>Two students shot each other with same gun during fight</v>
      </c>
      <c r="Z2152" s="5" t="str">
        <f ca="1">IFERROR(__xludf.DUMMYFUNCTION("""COMPUTED_VALUE"""),"Two students who had ongoing feud shot each other with same gun during a fight outside the school after a third student (who had previously been expelled), slipped the gun to one of the shooters through the chain link fence. School had schools metal detec"&amp;"tors.")</f>
        <v>Two students who had ongoing feud shot each other with same gun during a fight outside the school after a third student (who had previously been expelled), slipped the gun to one of the shooters through the chain link fence. School had schools metal detectors.</v>
      </c>
      <c r="AA2152" s="5" t="str">
        <f ca="1">IFERROR(__xludf.DUMMYFUNCTION("""COMPUTED_VALUE"""),"Escalation of Dispute")</f>
        <v>Escalation of Dispute</v>
      </c>
      <c r="AB2152" s="5" t="str">
        <f ca="1">IFERROR(__xludf.DUMMYFUNCTION("""COMPUTED_VALUE"""),"Victims Targeted")</f>
        <v>Victims Targeted</v>
      </c>
      <c r="AC2152" s="5" t="str">
        <f ca="1">IFERROR(__xludf.DUMMYFUNCTION("""COMPUTED_VALUE"""),"Yes")</f>
        <v>Yes</v>
      </c>
      <c r="AD2152" s="5" t="str">
        <f ca="1">IFERROR(__xludf.DUMMYFUNCTION("""COMPUTED_VALUE"""),"No")</f>
        <v>No</v>
      </c>
      <c r="AE2152" s="5" t="str">
        <f ca="1">IFERROR(__xludf.DUMMYFUNCTION("""COMPUTED_VALUE"""),"No")</f>
        <v>No</v>
      </c>
      <c r="AF2152" s="5" t="str">
        <f ca="1">IFERROR(__xludf.DUMMYFUNCTION("""COMPUTED_VALUE"""),"No")</f>
        <v>No</v>
      </c>
      <c r="AG2152" s="5" t="str">
        <f ca="1">IFERROR(__xludf.DUMMYFUNCTION("""COMPUTED_VALUE"""),"No")</f>
        <v>No</v>
      </c>
      <c r="AH2152" s="5" t="str">
        <f ca="1">IFERROR(__xludf.DUMMYFUNCTION("""COMPUTED_VALUE"""),"No")</f>
        <v>No</v>
      </c>
      <c r="AI2152" s="5" t="str">
        <f ca="1">IFERROR(__xludf.DUMMYFUNCTION("""COMPUTED_VALUE"""),"No")</f>
        <v>No</v>
      </c>
      <c r="AJ2152" s="5"/>
    </row>
    <row r="2153" spans="1:36" ht="13">
      <c r="A2153" s="5" t="str">
        <f ca="1">IFERROR(__xludf.DUMMYFUNCTION("""COMPUTED_VALUE"""),"19790614OHNEN")</f>
        <v>19790614OHNEN</v>
      </c>
      <c r="B2153" s="5">
        <f ca="1">IFERROR(__xludf.DUMMYFUNCTION("""COMPUTED_VALUE"""),6)</f>
        <v>6</v>
      </c>
      <c r="C2153" s="5">
        <f ca="1">IFERROR(__xludf.DUMMYFUNCTION("""COMPUTED_VALUE"""),14)</f>
        <v>14</v>
      </c>
      <c r="D2153" s="5">
        <f ca="1">IFERROR(__xludf.DUMMYFUNCTION("""COMPUTED_VALUE"""),1979)</f>
        <v>1979</v>
      </c>
      <c r="E2153" s="8">
        <f ca="1">IFERROR(__xludf.DUMMYFUNCTION("""COMPUTED_VALUE"""),29020)</f>
        <v>29020</v>
      </c>
      <c r="F2153" s="5" t="str">
        <f ca="1">IFERROR(__xludf.DUMMYFUNCTION("""COMPUTED_VALUE"""),"New Carlisle Elementary School")</f>
        <v>New Carlisle Elementary School</v>
      </c>
      <c r="G2153" s="5">
        <f ca="1">IFERROR(__xludf.DUMMYFUNCTION("""COMPUTED_VALUE"""),1)</f>
        <v>1</v>
      </c>
      <c r="H2153" s="5">
        <f ca="1">IFERROR(__xludf.DUMMYFUNCTION("""COMPUTED_VALUE"""),0)</f>
        <v>0</v>
      </c>
      <c r="I2153" s="5">
        <f ca="1">IFERROR(__xludf.DUMMYFUNCTION("""COMPUTED_VALUE"""),1)</f>
        <v>1</v>
      </c>
      <c r="J2153" s="5">
        <f ca="1">IFERROR(__xludf.DUMMYFUNCTION("""COMPUTED_VALUE"""),0)</f>
        <v>0</v>
      </c>
      <c r="K2153" s="5" t="str">
        <f ca="1">IFERROR(__xludf.DUMMYFUNCTION("""COMPUTED_VALUE"""),"https://www.newspapers.com/image/405735370/?terms=Adams%2BElementary%2BSchool%2Bshooting   https://www.newspapers.com/image/391858323/?terms=CLINTON%2BKING")</f>
        <v>https://www.newspapers.com/image/405735370/?terms=Adams%2BElementary%2BSchool%2Bshooting   https://www.newspapers.com/image/391858323/?terms=CLINTON%2BKING</v>
      </c>
      <c r="L2153" s="5"/>
      <c r="M2153" s="5"/>
      <c r="N2153" s="5">
        <f ca="1">IFERROR(__xludf.DUMMYFUNCTION("""COMPUTED_VALUE"""),2)</f>
        <v>2</v>
      </c>
      <c r="O2153" s="5" t="str">
        <f ca="1">IFERROR(__xludf.DUMMYFUNCTION("""COMPUTED_VALUE"""),"Summer")</f>
        <v>Summer</v>
      </c>
      <c r="P2153" s="5" t="str">
        <f ca="1">IFERROR(__xludf.DUMMYFUNCTION("""COMPUTED_VALUE"""),"New Carlisle")</f>
        <v>New Carlisle</v>
      </c>
      <c r="Q2153" s="5" t="str">
        <f ca="1">IFERROR(__xludf.DUMMYFUNCTION("""COMPUTED_VALUE"""),"OH")</f>
        <v>OH</v>
      </c>
      <c r="R2153" s="5" t="str">
        <f ca="1">IFERROR(__xludf.DUMMYFUNCTION("""COMPUTED_VALUE"""),"Elementary")</f>
        <v>Elementary</v>
      </c>
      <c r="S2153" s="5" t="str">
        <f ca="1">IFERROR(__xludf.DUMMYFUNCTION("""COMPUTED_VALUE"""),"Outside on School Property")</f>
        <v>Outside on School Property</v>
      </c>
      <c r="T2153" s="5" t="str">
        <f ca="1">IFERROR(__xludf.DUMMYFUNCTION("""COMPUTED_VALUE"""),"Outside on School Property")</f>
        <v>Outside on School Property</v>
      </c>
      <c r="U2153" s="5" t="str">
        <f ca="1">IFERROR(__xludf.DUMMYFUNCTION("""COMPUTED_VALUE"""),"No")</f>
        <v>No</v>
      </c>
      <c r="V2153" s="5" t="str">
        <f ca="1">IFERROR(__xludf.DUMMYFUNCTION("""COMPUTED_VALUE"""),"After School")</f>
        <v>After School</v>
      </c>
      <c r="W2153" s="5"/>
      <c r="X2153" s="5">
        <f ca="1">IFERROR(__xludf.DUMMYFUNCTION("""COMPUTED_VALUE"""),1)</f>
        <v>1</v>
      </c>
      <c r="Y2153" s="5" t="str">
        <f ca="1">IFERROR(__xludf.DUMMYFUNCTION("""COMPUTED_VALUE"""),"Youths playing with gun when accidentally went off killing student")</f>
        <v>Youths playing with gun when accidentally went off killing student</v>
      </c>
      <c r="Z2153" s="5" t="str">
        <f ca="1">IFERROR(__xludf.DUMMYFUNCTION("""COMPUTED_VALUE"""),"Two boys were playing with a gun when it accidentally went off striking one of the boys in the head killing him. The shooter left the scene was was later found and questioned by police.")</f>
        <v>Two boys were playing with a gun when it accidentally went off striking one of the boys in the head killing him. The shooter left the scene was was later found and questioned by police.</v>
      </c>
      <c r="AA2153" s="5" t="str">
        <f ca="1">IFERROR(__xludf.DUMMYFUNCTION("""COMPUTED_VALUE"""),"Accidental")</f>
        <v>Accidental</v>
      </c>
      <c r="AB2153" s="5" t="str">
        <f ca="1">IFERROR(__xludf.DUMMYFUNCTION("""COMPUTED_VALUE"""),"Neither")</f>
        <v>Neither</v>
      </c>
      <c r="AC2153" s="5" t="str">
        <f ca="1">IFERROR(__xludf.DUMMYFUNCTION("""COMPUTED_VALUE"""),"No")</f>
        <v>No</v>
      </c>
      <c r="AD2153" s="5" t="str">
        <f ca="1">IFERROR(__xludf.DUMMYFUNCTION("""COMPUTED_VALUE"""),"No")</f>
        <v>No</v>
      </c>
      <c r="AE2153" s="5" t="str">
        <f ca="1">IFERROR(__xludf.DUMMYFUNCTION("""COMPUTED_VALUE"""),"No")</f>
        <v>No</v>
      </c>
      <c r="AF2153" s="5" t="str">
        <f ca="1">IFERROR(__xludf.DUMMYFUNCTION("""COMPUTED_VALUE"""),"No")</f>
        <v>No</v>
      </c>
      <c r="AG2153" s="5" t="str">
        <f ca="1">IFERROR(__xludf.DUMMYFUNCTION("""COMPUTED_VALUE"""),"No")</f>
        <v>No</v>
      </c>
      <c r="AH2153" s="5" t="str">
        <f ca="1">IFERROR(__xludf.DUMMYFUNCTION("""COMPUTED_VALUE"""),"No")</f>
        <v>No</v>
      </c>
      <c r="AI2153" s="5" t="str">
        <f ca="1">IFERROR(__xludf.DUMMYFUNCTION("""COMPUTED_VALUE"""),"No")</f>
        <v>No</v>
      </c>
      <c r="AJ2153" s="5"/>
    </row>
    <row r="2154" spans="1:36" ht="13">
      <c r="A2154" s="5" t="str">
        <f ca="1">IFERROR(__xludf.DUMMYFUNCTION("""COMPUTED_VALUE"""),"19790426TXAZA")</f>
        <v>19790426TXAZA</v>
      </c>
      <c r="B2154" s="5">
        <f ca="1">IFERROR(__xludf.DUMMYFUNCTION("""COMPUTED_VALUE"""),4)</f>
        <v>4</v>
      </c>
      <c r="C2154" s="5">
        <f ca="1">IFERROR(__xludf.DUMMYFUNCTION("""COMPUTED_VALUE"""),26)</f>
        <v>26</v>
      </c>
      <c r="D2154" s="5">
        <f ca="1">IFERROR(__xludf.DUMMYFUNCTION("""COMPUTED_VALUE"""),1979)</f>
        <v>1979</v>
      </c>
      <c r="E2154" s="8">
        <f ca="1">IFERROR(__xludf.DUMMYFUNCTION("""COMPUTED_VALUE"""),28971)</f>
        <v>28971</v>
      </c>
      <c r="F2154" s="5" t="str">
        <f ca="1">IFERROR(__xludf.DUMMYFUNCTION("""COMPUTED_VALUE"""),"Azle Junior High School")</f>
        <v>Azle Junior High School</v>
      </c>
      <c r="G2154" s="5">
        <f ca="1">IFERROR(__xludf.DUMMYFUNCTION("""COMPUTED_VALUE"""),1)</f>
        <v>1</v>
      </c>
      <c r="H2154" s="5">
        <f ca="1">IFERROR(__xludf.DUMMYFUNCTION("""COMPUTED_VALUE"""),0)</f>
        <v>0</v>
      </c>
      <c r="I2154" s="5">
        <f ca="1">IFERROR(__xludf.DUMMYFUNCTION("""COMPUTED_VALUE"""),1)</f>
        <v>1</v>
      </c>
      <c r="J2154" s="5">
        <f ca="1">IFERROR(__xludf.DUMMYFUNCTION("""COMPUTED_VALUE"""),0)</f>
        <v>0</v>
      </c>
      <c r="K2154" s="9" t="str">
        <f ca="1">IFERROR(__xludf.DUMMYFUNCTION("""COMPUTED_VALUE"""),"https://www.newspapers.com/image/362214425/?terms=school%2Bshooting")</f>
        <v>https://www.newspapers.com/image/362214425/?terms=school%2Bshooting</v>
      </c>
      <c r="L2154" s="5"/>
      <c r="M2154" s="5"/>
      <c r="N2154" s="5">
        <f ca="1">IFERROR(__xludf.DUMMYFUNCTION("""COMPUTED_VALUE"""),2)</f>
        <v>2</v>
      </c>
      <c r="O2154" s="5" t="str">
        <f ca="1">IFERROR(__xludf.DUMMYFUNCTION("""COMPUTED_VALUE"""),"Spring")</f>
        <v>Spring</v>
      </c>
      <c r="P2154" s="5" t="str">
        <f ca="1">IFERROR(__xludf.DUMMYFUNCTION("""COMPUTED_VALUE"""),"Azle")</f>
        <v>Azle</v>
      </c>
      <c r="Q2154" s="5" t="str">
        <f ca="1">IFERROR(__xludf.DUMMYFUNCTION("""COMPUTED_VALUE"""),"TX")</f>
        <v>TX</v>
      </c>
      <c r="R2154" s="5" t="str">
        <f ca="1">IFERROR(__xludf.DUMMYFUNCTION("""COMPUTED_VALUE"""),"High")</f>
        <v>High</v>
      </c>
      <c r="S2154" s="5" t="str">
        <f ca="1">IFERROR(__xludf.DUMMYFUNCTION("""COMPUTED_VALUE"""),"Beside Building")</f>
        <v>Beside Building</v>
      </c>
      <c r="T2154" s="5" t="str">
        <f ca="1">IFERROR(__xludf.DUMMYFUNCTION("""COMPUTED_VALUE"""),"Outside on School Property")</f>
        <v>Outside on School Property</v>
      </c>
      <c r="U2154" s="5" t="str">
        <f ca="1">IFERROR(__xludf.DUMMYFUNCTION("""COMPUTED_VALUE"""),"Yes")</f>
        <v>Yes</v>
      </c>
      <c r="V2154" s="5" t="str">
        <f ca="1">IFERROR(__xludf.DUMMYFUNCTION("""COMPUTED_VALUE"""),"After School")</f>
        <v>After School</v>
      </c>
      <c r="W2154" s="10">
        <f ca="1">IFERROR(__xludf.DUMMYFUNCTION("""COMPUTED_VALUE"""),0.645833333333333)</f>
        <v>0.64583333333333304</v>
      </c>
      <c r="X2154" s="5">
        <f ca="1">IFERROR(__xludf.DUMMYFUNCTION("""COMPUTED_VALUE"""),1)</f>
        <v>1</v>
      </c>
      <c r="Y2154" s="5" t="str">
        <f ca="1">IFERROR(__xludf.DUMMYFUNCTION("""COMPUTED_VALUE"""),"Ongoing dispute for months escalated into shooting")</f>
        <v>Ongoing dispute for months escalated into shooting</v>
      </c>
      <c r="Z2154" s="5" t="str">
        <f ca="1">IFERROR(__xludf.DUMMYFUNCTION("""COMPUTED_VALUE"""),"14 year-old male shot a 13 year-old male in the back of the head outside of the school building. Two students had ongoing dispute back to the prior football season. Both were on the football team. Shooter was found by police about 500 yards from the scene"&amp;". Shooter and victim had showered together following sports practice moments before the shooting.")</f>
        <v>14 year-old male shot a 13 year-old male in the back of the head outside of the school building. Two students had ongoing dispute back to the prior football season. Both were on the football team. Shooter was found by police about 500 yards from the scene. Shooter and victim had showered together following sports practice moments before the shooting.</v>
      </c>
      <c r="AA2154" s="5" t="str">
        <f ca="1">IFERROR(__xludf.DUMMYFUNCTION("""COMPUTED_VALUE"""),"Escalation of Dispute")</f>
        <v>Escalation of Dispute</v>
      </c>
      <c r="AB2154" s="5" t="str">
        <f ca="1">IFERROR(__xludf.DUMMYFUNCTION("""COMPUTED_VALUE"""),"Victims Targeted")</f>
        <v>Victims Targeted</v>
      </c>
      <c r="AC2154" s="5" t="str">
        <f ca="1">IFERROR(__xludf.DUMMYFUNCTION("""COMPUTED_VALUE"""),"No")</f>
        <v>No</v>
      </c>
      <c r="AD2154" s="5" t="str">
        <f ca="1">IFERROR(__xludf.DUMMYFUNCTION("""COMPUTED_VALUE"""),"No")</f>
        <v>No</v>
      </c>
      <c r="AE2154" s="5" t="str">
        <f ca="1">IFERROR(__xludf.DUMMYFUNCTION("""COMPUTED_VALUE"""),"No")</f>
        <v>No</v>
      </c>
      <c r="AF2154" s="5" t="str">
        <f ca="1">IFERROR(__xludf.DUMMYFUNCTION("""COMPUTED_VALUE"""),"No")</f>
        <v>No</v>
      </c>
      <c r="AG2154" s="5" t="str">
        <f ca="1">IFERROR(__xludf.DUMMYFUNCTION("""COMPUTED_VALUE"""),"No")</f>
        <v>No</v>
      </c>
      <c r="AH2154" s="5" t="str">
        <f ca="1">IFERROR(__xludf.DUMMYFUNCTION("""COMPUTED_VALUE"""),"No")</f>
        <v>No</v>
      </c>
      <c r="AI2154" s="5" t="str">
        <f ca="1">IFERROR(__xludf.DUMMYFUNCTION("""COMPUTED_VALUE"""),"No")</f>
        <v>No</v>
      </c>
      <c r="AJ2154" s="5"/>
    </row>
    <row r="2155" spans="1:36" ht="13">
      <c r="A2155" s="5" t="str">
        <f ca="1">IFERROR(__xludf.DUMMYFUNCTION("""COMPUTED_VALUE"""),"19790425PAMAH")</f>
        <v>19790425PAMAH</v>
      </c>
      <c r="B2155" s="5">
        <f ca="1">IFERROR(__xludf.DUMMYFUNCTION("""COMPUTED_VALUE"""),4)</f>
        <v>4</v>
      </c>
      <c r="C2155" s="5">
        <f ca="1">IFERROR(__xludf.DUMMYFUNCTION("""COMPUTED_VALUE"""),25)</f>
        <v>25</v>
      </c>
      <c r="D2155" s="5">
        <f ca="1">IFERROR(__xludf.DUMMYFUNCTION("""COMPUTED_VALUE"""),1979)</f>
        <v>1979</v>
      </c>
      <c r="E2155" s="8">
        <f ca="1">IFERROR(__xludf.DUMMYFUNCTION("""COMPUTED_VALUE"""),28970)</f>
        <v>28970</v>
      </c>
      <c r="F2155" s="5" t="str">
        <f ca="1">IFERROR(__xludf.DUMMYFUNCTION("""COMPUTED_VALUE"""),"Martin L. Mattei Junior High School")</f>
        <v>Martin L. Mattei Junior High School</v>
      </c>
      <c r="G2155" s="5">
        <f ca="1">IFERROR(__xludf.DUMMYFUNCTION("""COMPUTED_VALUE"""),0)</f>
        <v>0</v>
      </c>
      <c r="H2155" s="5">
        <f ca="1">IFERROR(__xludf.DUMMYFUNCTION("""COMPUTED_VALUE"""),1)</f>
        <v>1</v>
      </c>
      <c r="I2155" s="5">
        <f ca="1">IFERROR(__xludf.DUMMYFUNCTION("""COMPUTED_VALUE"""),1)</f>
        <v>1</v>
      </c>
      <c r="J2155" s="5">
        <f ca="1">IFERROR(__xludf.DUMMYFUNCTION("""COMPUTED_VALUE"""),0)</f>
        <v>0</v>
      </c>
      <c r="K2155" s="9" t="str">
        <f ca="1">IFERROR(__xludf.DUMMYFUNCTION("""COMPUTED_VALUE"""),"https://www.newspapers.com/image/407944749/?terms=school%2Bshooting")</f>
        <v>https://www.newspapers.com/image/407944749/?terms=school%2Bshooting</v>
      </c>
      <c r="L2155" s="5"/>
      <c r="M2155" s="5"/>
      <c r="N2155" s="5">
        <f ca="1">IFERROR(__xludf.DUMMYFUNCTION("""COMPUTED_VALUE"""),2)</f>
        <v>2</v>
      </c>
      <c r="O2155" s="5" t="str">
        <f ca="1">IFERROR(__xludf.DUMMYFUNCTION("""COMPUTED_VALUE"""),"Spring")</f>
        <v>Spring</v>
      </c>
      <c r="P2155" s="5" t="str">
        <f ca="1">IFERROR(__xludf.DUMMYFUNCTION("""COMPUTED_VALUE"""),"Hughestown")</f>
        <v>Hughestown</v>
      </c>
      <c r="Q2155" s="5" t="str">
        <f ca="1">IFERROR(__xludf.DUMMYFUNCTION("""COMPUTED_VALUE"""),"PA")</f>
        <v>PA</v>
      </c>
      <c r="R2155" s="5" t="str">
        <f ca="1">IFERROR(__xludf.DUMMYFUNCTION("""COMPUTED_VALUE"""),"Junior High")</f>
        <v>Junior High</v>
      </c>
      <c r="S2155" s="5" t="str">
        <f ca="1">IFERROR(__xludf.DUMMYFUNCTION("""COMPUTED_VALUE"""),"Field (General)")</f>
        <v>Field (General)</v>
      </c>
      <c r="T2155" s="5" t="str">
        <f ca="1">IFERROR(__xludf.DUMMYFUNCTION("""COMPUTED_VALUE"""),"Outside on School Property")</f>
        <v>Outside on School Property</v>
      </c>
      <c r="U2155" s="5" t="str">
        <f ca="1">IFERROR(__xludf.DUMMYFUNCTION("""COMPUTED_VALUE"""),"Yes")</f>
        <v>Yes</v>
      </c>
      <c r="V2155" s="5" t="str">
        <f ca="1">IFERROR(__xludf.DUMMYFUNCTION("""COMPUTED_VALUE"""),"Afternoon Classes")</f>
        <v>Afternoon Classes</v>
      </c>
      <c r="W2155" s="5"/>
      <c r="X2155" s="5">
        <f ca="1">IFERROR(__xludf.DUMMYFUNCTION("""COMPUTED_VALUE"""),1)</f>
        <v>1</v>
      </c>
      <c r="Y2155" s="5" t="str">
        <f ca="1">IFERROR(__xludf.DUMMYFUNCTION("""COMPUTED_VALUE"""),"Teacher shot in head by stray bullet fired from 3/4 mile away")</f>
        <v>Teacher shot in head by stray bullet fired from 3/4 mile away</v>
      </c>
      <c r="Z2155" s="5" t="str">
        <f ca="1">IFERROR(__xludf.DUMMYFUNCTION("""COMPUTED_VALUE"""),"Gym teacher was shot in head while standing outside of the school with a group of students. Police believed the bullet may have been fired from 3/4 of a mile away. A youth was seen on a motorcycle with a shotgun.")</f>
        <v>Gym teacher was shot in head while standing outside of the school with a group of students. Police believed the bullet may have been fired from 3/4 of a mile away. A youth was seen on a motorcycle with a shotgun.</v>
      </c>
      <c r="AA2155" s="5" t="str">
        <f ca="1">IFERROR(__xludf.DUMMYFUNCTION("""COMPUTED_VALUE"""),"Accidental")</f>
        <v>Accidental</v>
      </c>
      <c r="AB2155" s="5" t="str">
        <f ca="1">IFERROR(__xludf.DUMMYFUNCTION("""COMPUTED_VALUE"""),"Random Shooting")</f>
        <v>Random Shooting</v>
      </c>
      <c r="AC2155" s="5" t="str">
        <f ca="1">IFERROR(__xludf.DUMMYFUNCTION("""COMPUTED_VALUE"""),"No")</f>
        <v>No</v>
      </c>
      <c r="AD2155" s="5" t="str">
        <f ca="1">IFERROR(__xludf.DUMMYFUNCTION("""COMPUTED_VALUE"""),"No")</f>
        <v>No</v>
      </c>
      <c r="AE2155" s="5" t="str">
        <f ca="1">IFERROR(__xludf.DUMMYFUNCTION("""COMPUTED_VALUE"""),"No")</f>
        <v>No</v>
      </c>
      <c r="AF2155" s="5" t="str">
        <f ca="1">IFERROR(__xludf.DUMMYFUNCTION("""COMPUTED_VALUE"""),"No")</f>
        <v>No</v>
      </c>
      <c r="AG2155" s="5" t="str">
        <f ca="1">IFERROR(__xludf.DUMMYFUNCTION("""COMPUTED_VALUE"""),"No")</f>
        <v>No</v>
      </c>
      <c r="AH2155" s="5" t="str">
        <f ca="1">IFERROR(__xludf.DUMMYFUNCTION("""COMPUTED_VALUE"""),"No")</f>
        <v>No</v>
      </c>
      <c r="AI2155" s="5" t="str">
        <f ca="1">IFERROR(__xludf.DUMMYFUNCTION("""COMPUTED_VALUE"""),"No")</f>
        <v>No</v>
      </c>
      <c r="AJ2155" s="5"/>
    </row>
    <row r="2156" spans="1:36" ht="13">
      <c r="A2156" s="5" t="str">
        <f ca="1">IFERROR(__xludf.DUMMYFUNCTION("""COMPUTED_VALUE"""),"19790416WIWIM")</f>
        <v>19790416WIWIM</v>
      </c>
      <c r="B2156" s="5">
        <f ca="1">IFERROR(__xludf.DUMMYFUNCTION("""COMPUTED_VALUE"""),4)</f>
        <v>4</v>
      </c>
      <c r="C2156" s="5">
        <f ca="1">IFERROR(__xludf.DUMMYFUNCTION("""COMPUTED_VALUE"""),16)</f>
        <v>16</v>
      </c>
      <c r="D2156" s="5">
        <f ca="1">IFERROR(__xludf.DUMMYFUNCTION("""COMPUTED_VALUE"""),1979)</f>
        <v>1979</v>
      </c>
      <c r="E2156" s="8">
        <f ca="1">IFERROR(__xludf.DUMMYFUNCTION("""COMPUTED_VALUE"""),28961)</f>
        <v>28961</v>
      </c>
      <c r="F2156" s="5" t="str">
        <f ca="1">IFERROR(__xludf.DUMMYFUNCTION("""COMPUTED_VALUE"""),"Wisconsin Lutheran High School")</f>
        <v>Wisconsin Lutheran High School</v>
      </c>
      <c r="G2156" s="5">
        <f ca="1">IFERROR(__xludf.DUMMYFUNCTION("""COMPUTED_VALUE"""),0)</f>
        <v>0</v>
      </c>
      <c r="H2156" s="5">
        <f ca="1">IFERROR(__xludf.DUMMYFUNCTION("""COMPUTED_VALUE"""),1)</f>
        <v>1</v>
      </c>
      <c r="I2156" s="5">
        <f ca="1">IFERROR(__xludf.DUMMYFUNCTION("""COMPUTED_VALUE"""),1)</f>
        <v>1</v>
      </c>
      <c r="J2156" s="5">
        <f ca="1">IFERROR(__xludf.DUMMYFUNCTION("""COMPUTED_VALUE"""),0)</f>
        <v>0</v>
      </c>
      <c r="K2156" s="9" t="str">
        <f ca="1">IFERROR(__xludf.DUMMYFUNCTION("""COMPUTED_VALUE"""),"https://www.newspapers.com/image/273435847/?terms=Wisconsin%2BLutheran%2BHigh%2BSchool%2Bjanitor%2Bshot%2Brocks")</f>
        <v>https://www.newspapers.com/image/273435847/?terms=Wisconsin%2BLutheran%2BHigh%2BSchool%2Bjanitor%2Bshot%2Brocks</v>
      </c>
      <c r="L2156" s="5"/>
      <c r="M2156" s="5"/>
      <c r="N2156" s="5">
        <f ca="1">IFERROR(__xludf.DUMMYFUNCTION("""COMPUTED_VALUE"""),2)</f>
        <v>2</v>
      </c>
      <c r="O2156" s="5" t="str">
        <f ca="1">IFERROR(__xludf.DUMMYFUNCTION("""COMPUTED_VALUE"""),"Spring")</f>
        <v>Spring</v>
      </c>
      <c r="P2156" s="5" t="str">
        <f ca="1">IFERROR(__xludf.DUMMYFUNCTION("""COMPUTED_VALUE"""),"Milwaukee")</f>
        <v>Milwaukee</v>
      </c>
      <c r="Q2156" s="5" t="str">
        <f ca="1">IFERROR(__xludf.DUMMYFUNCTION("""COMPUTED_VALUE"""),"WI")</f>
        <v>WI</v>
      </c>
      <c r="R2156" s="5" t="str">
        <f ca="1">IFERROR(__xludf.DUMMYFUNCTION("""COMPUTED_VALUE"""),"High")</f>
        <v>High</v>
      </c>
      <c r="S2156" s="5" t="str">
        <f ca="1">IFERROR(__xludf.DUMMYFUNCTION("""COMPUTED_VALUE"""),"Beside Building")</f>
        <v>Beside Building</v>
      </c>
      <c r="T2156" s="5" t="str">
        <f ca="1">IFERROR(__xludf.DUMMYFUNCTION("""COMPUTED_VALUE"""),"Outside on School Property")</f>
        <v>Outside on School Property</v>
      </c>
      <c r="U2156" s="5" t="str">
        <f ca="1">IFERROR(__xludf.DUMMYFUNCTION("""COMPUTED_VALUE"""),"No")</f>
        <v>No</v>
      </c>
      <c r="V2156" s="5" t="str">
        <f ca="1">IFERROR(__xludf.DUMMYFUNCTION("""COMPUTED_VALUE"""),"Night")</f>
        <v>Night</v>
      </c>
      <c r="W2156" s="5"/>
      <c r="X2156" s="5">
        <f ca="1">IFERROR(__xludf.DUMMYFUNCTION("""COMPUTED_VALUE"""),1)</f>
        <v>1</v>
      </c>
      <c r="Y2156" s="5" t="str">
        <f ca="1">IFERROR(__xludf.DUMMYFUNCTION("""COMPUTED_VALUE"""),"Janitor shot student for throwing rocks at the school")</f>
        <v>Janitor shot student for throwing rocks at the school</v>
      </c>
      <c r="Z2156" s="5" t="str">
        <f ca="1">IFERROR(__xludf.DUMMYFUNCTION("""COMPUTED_VALUE"""),"Three expelled students were throwing rocks at the school and broke multiple windows. The janitor confronted the students and fired 2 warning shots into the air. The students continued to approach him and he fired one shot into the ground near them. Some "&amp;"pellets struck one of the former students in the leg. Janitor was taken into custody.  Two other teens were arrested for damaging the school.")</f>
        <v>Three expelled students were throwing rocks at the school and broke multiple windows. The janitor confronted the students and fired 2 warning shots into the air. The students continued to approach him and he fired one shot into the ground near them. Some pellets struck one of the former students in the leg. Janitor was taken into custody.  Two other teens were arrested for damaging the school.</v>
      </c>
      <c r="AA2156" s="5" t="str">
        <f ca="1">IFERROR(__xludf.DUMMYFUNCTION("""COMPUTED_VALUE"""),"Self-defense")</f>
        <v>Self-defense</v>
      </c>
      <c r="AB2156" s="5" t="str">
        <f ca="1">IFERROR(__xludf.DUMMYFUNCTION("""COMPUTED_VALUE"""),"Victims Targeted")</f>
        <v>Victims Targeted</v>
      </c>
      <c r="AC2156" s="5"/>
      <c r="AD2156" s="5" t="str">
        <f ca="1">IFERROR(__xludf.DUMMYFUNCTION("""COMPUTED_VALUE"""),"No")</f>
        <v>No</v>
      </c>
      <c r="AE2156" s="5" t="str">
        <f ca="1">IFERROR(__xludf.DUMMYFUNCTION("""COMPUTED_VALUE"""),"No")</f>
        <v>No</v>
      </c>
      <c r="AF2156" s="5" t="str">
        <f ca="1">IFERROR(__xludf.DUMMYFUNCTION("""COMPUTED_VALUE"""),"No")</f>
        <v>No</v>
      </c>
      <c r="AG2156" s="5" t="str">
        <f ca="1">IFERROR(__xludf.DUMMYFUNCTION("""COMPUTED_VALUE"""),"No")</f>
        <v>No</v>
      </c>
      <c r="AH2156" s="5" t="str">
        <f ca="1">IFERROR(__xludf.DUMMYFUNCTION("""COMPUTED_VALUE"""),"No")</f>
        <v>No</v>
      </c>
      <c r="AI2156" s="5" t="str">
        <f ca="1">IFERROR(__xludf.DUMMYFUNCTION("""COMPUTED_VALUE"""),"No")</f>
        <v>No</v>
      </c>
      <c r="AJ2156" s="5"/>
    </row>
    <row r="2157" spans="1:36" ht="13">
      <c r="A2157" s="5" t="str">
        <f ca="1">IFERROR(__xludf.DUMMYFUNCTION("""COMPUTED_VALUE"""),"19790328CALOL")</f>
        <v>19790328CALOL</v>
      </c>
      <c r="B2157" s="5">
        <f ca="1">IFERROR(__xludf.DUMMYFUNCTION("""COMPUTED_VALUE"""),3)</f>
        <v>3</v>
      </c>
      <c r="C2157" s="5">
        <f ca="1">IFERROR(__xludf.DUMMYFUNCTION("""COMPUTED_VALUE"""),28)</f>
        <v>28</v>
      </c>
      <c r="D2157" s="5">
        <f ca="1">IFERROR(__xludf.DUMMYFUNCTION("""COMPUTED_VALUE"""),1979)</f>
        <v>1979</v>
      </c>
      <c r="E2157" s="8">
        <f ca="1">IFERROR(__xludf.DUMMYFUNCTION("""COMPUTED_VALUE"""),28942)</f>
        <v>28942</v>
      </c>
      <c r="F2157" s="5" t="str">
        <f ca="1">IFERROR(__xludf.DUMMYFUNCTION("""COMPUTED_VALUE"""),"Los Angeles High School")</f>
        <v>Los Angeles High School</v>
      </c>
      <c r="G2157" s="5">
        <f ca="1">IFERROR(__xludf.DUMMYFUNCTION("""COMPUTED_VALUE"""),0)</f>
        <v>0</v>
      </c>
      <c r="H2157" s="5">
        <f ca="1">IFERROR(__xludf.DUMMYFUNCTION("""COMPUTED_VALUE"""),1)</f>
        <v>1</v>
      </c>
      <c r="I2157" s="5">
        <f ca="1">IFERROR(__xludf.DUMMYFUNCTION("""COMPUTED_VALUE"""),1)</f>
        <v>1</v>
      </c>
      <c r="J2157" s="5">
        <f ca="1">IFERROR(__xludf.DUMMYFUNCTION("""COMPUTED_VALUE"""),0)</f>
        <v>0</v>
      </c>
      <c r="K2157" s="5" t="str">
        <f ca="1">IFERROR(__xludf.DUMMYFUNCTION("""COMPUTED_VALUE"""),"https://www.newspapers.com/image/62445744/?terms=teacher%2Bshot  https://www.newspapers.com/image/384563042/?terms=miriam%2Bschneider  https://www.newspapers.com/image/388315106/?terms=miriam%2Bschneider")</f>
        <v>https://www.newspapers.com/image/62445744/?terms=teacher%2Bshot  https://www.newspapers.com/image/384563042/?terms=miriam%2Bschneider  https://www.newspapers.com/image/388315106/?terms=miriam%2Bschneider</v>
      </c>
      <c r="L2157" s="5"/>
      <c r="M2157" s="5"/>
      <c r="N2157" s="5">
        <f ca="1">IFERROR(__xludf.DUMMYFUNCTION("""COMPUTED_VALUE"""),2)</f>
        <v>2</v>
      </c>
      <c r="O2157" s="5" t="str">
        <f ca="1">IFERROR(__xludf.DUMMYFUNCTION("""COMPUTED_VALUE"""),"Spring")</f>
        <v>Spring</v>
      </c>
      <c r="P2157" s="5" t="str">
        <f ca="1">IFERROR(__xludf.DUMMYFUNCTION("""COMPUTED_VALUE"""),"Los Angeles")</f>
        <v>Los Angeles</v>
      </c>
      <c r="Q2157" s="5" t="str">
        <f ca="1">IFERROR(__xludf.DUMMYFUNCTION("""COMPUTED_VALUE"""),"CA")</f>
        <v>CA</v>
      </c>
      <c r="R2157" s="5" t="str">
        <f ca="1">IFERROR(__xludf.DUMMYFUNCTION("""COMPUTED_VALUE"""),"High")</f>
        <v>High</v>
      </c>
      <c r="S2157" s="5" t="str">
        <f ca="1">IFERROR(__xludf.DUMMYFUNCTION("""COMPUTED_VALUE"""),"Classroom")</f>
        <v>Classroom</v>
      </c>
      <c r="T2157" s="5" t="str">
        <f ca="1">IFERROR(__xludf.DUMMYFUNCTION("""COMPUTED_VALUE"""),"Inside School Building")</f>
        <v>Inside School Building</v>
      </c>
      <c r="U2157" s="5" t="str">
        <f ca="1">IFERROR(__xludf.DUMMYFUNCTION("""COMPUTED_VALUE"""),"Yes")</f>
        <v>Yes</v>
      </c>
      <c r="V2157" s="5" t="str">
        <f ca="1">IFERROR(__xludf.DUMMYFUNCTION("""COMPUTED_VALUE"""),"Dismissal")</f>
        <v>Dismissal</v>
      </c>
      <c r="W2157" s="10">
        <f ca="1">IFERROR(__xludf.DUMMYFUNCTION("""COMPUTED_VALUE"""),0.597222222222222)</f>
        <v>0.59722222222222199</v>
      </c>
      <c r="X2157" s="5">
        <f ca="1">IFERROR(__xludf.DUMMYFUNCTION("""COMPUTED_VALUE"""),1)</f>
        <v>1</v>
      </c>
      <c r="Y2157" s="5" t="str">
        <f ca="1">IFERROR(__xludf.DUMMYFUNCTION("""COMPUTED_VALUE"""),"Attempted robbery and rape of teacher in classroom")</f>
        <v>Attempted robbery and rape of teacher in classroom</v>
      </c>
      <c r="Z2157" s="5" t="str">
        <f ca="1">IFERROR(__xludf.DUMMYFUNCTION("""COMPUTED_VALUE"""),"39 year-old female teacher (victim) was shot in the stomach during an attempted robbery and rape in her classroom. Suspect fled was and later apprehended.")</f>
        <v>39 year-old female teacher (victim) was shot in the stomach during an attempted robbery and rape in her classroom. Suspect fled was and later apprehended.</v>
      </c>
      <c r="AA2157" s="5" t="str">
        <f ca="1">IFERROR(__xludf.DUMMYFUNCTION("""COMPUTED_VALUE"""),"Illegal Activity")</f>
        <v>Illegal Activity</v>
      </c>
      <c r="AB2157" s="5" t="str">
        <f ca="1">IFERROR(__xludf.DUMMYFUNCTION("""COMPUTED_VALUE"""),"Victims Targeted")</f>
        <v>Victims Targeted</v>
      </c>
      <c r="AC2157" s="5" t="str">
        <f ca="1">IFERROR(__xludf.DUMMYFUNCTION("""COMPUTED_VALUE"""),"No")</f>
        <v>No</v>
      </c>
      <c r="AD2157" s="5" t="str">
        <f ca="1">IFERROR(__xludf.DUMMYFUNCTION("""COMPUTED_VALUE"""),"No")</f>
        <v>No</v>
      </c>
      <c r="AE2157" s="5" t="str">
        <f ca="1">IFERROR(__xludf.DUMMYFUNCTION("""COMPUTED_VALUE"""),"No")</f>
        <v>No</v>
      </c>
      <c r="AF2157" s="5" t="str">
        <f ca="1">IFERROR(__xludf.DUMMYFUNCTION("""COMPUTED_VALUE"""),"No")</f>
        <v>No</v>
      </c>
      <c r="AG2157" s="5" t="str">
        <f ca="1">IFERROR(__xludf.DUMMYFUNCTION("""COMPUTED_VALUE"""),"No")</f>
        <v>No</v>
      </c>
      <c r="AH2157" s="5" t="str">
        <f ca="1">IFERROR(__xludf.DUMMYFUNCTION("""COMPUTED_VALUE"""),"No")</f>
        <v>No</v>
      </c>
      <c r="AI2157" s="5" t="str">
        <f ca="1">IFERROR(__xludf.DUMMYFUNCTION("""COMPUTED_VALUE"""),"No")</f>
        <v>No</v>
      </c>
      <c r="AJ2157" s="5"/>
    </row>
    <row r="2158" spans="1:36" ht="13">
      <c r="A2158" s="5" t="str">
        <f ca="1">IFERROR(__xludf.DUMMYFUNCTION("""COMPUTED_VALUE"""),"19790314FLMCM")</f>
        <v>19790314FLMCM</v>
      </c>
      <c r="B2158" s="5">
        <f ca="1">IFERROR(__xludf.DUMMYFUNCTION("""COMPUTED_VALUE"""),3)</f>
        <v>3</v>
      </c>
      <c r="C2158" s="5">
        <f ca="1">IFERROR(__xludf.DUMMYFUNCTION("""COMPUTED_VALUE"""),14)</f>
        <v>14</v>
      </c>
      <c r="D2158" s="5">
        <f ca="1">IFERROR(__xludf.DUMMYFUNCTION("""COMPUTED_VALUE"""),1979)</f>
        <v>1979</v>
      </c>
      <c r="E2158" s="8">
        <f ca="1">IFERROR(__xludf.DUMMYFUNCTION("""COMPUTED_VALUE"""),28928)</f>
        <v>28928</v>
      </c>
      <c r="F2158" s="5" t="str">
        <f ca="1">IFERROR(__xludf.DUMMYFUNCTION("""COMPUTED_VALUE"""),"McArthur High School North")</f>
        <v>McArthur High School North</v>
      </c>
      <c r="G2158" s="5">
        <f ca="1">IFERROR(__xludf.DUMMYFUNCTION("""COMPUTED_VALUE"""),0)</f>
        <v>0</v>
      </c>
      <c r="H2158" s="5">
        <f ca="1">IFERROR(__xludf.DUMMYFUNCTION("""COMPUTED_VALUE"""),1)</f>
        <v>1</v>
      </c>
      <c r="I2158" s="5">
        <f ca="1">IFERROR(__xludf.DUMMYFUNCTION("""COMPUTED_VALUE"""),1)</f>
        <v>1</v>
      </c>
      <c r="J2158" s="5">
        <f ca="1">IFERROR(__xludf.DUMMYFUNCTION("""COMPUTED_VALUE"""),0)</f>
        <v>0</v>
      </c>
      <c r="K2158" s="5" t="str">
        <f ca="1">IFERROR(__xludf.DUMMYFUNCTION("""COMPUTED_VALUE"""),"https://www.newspapers.com/image/300966907/?terms=teacher%2Bshot  https://www.newspapers.com/image/234343881")</f>
        <v>https://www.newspapers.com/image/300966907/?terms=teacher%2Bshot  https://www.newspapers.com/image/234343881</v>
      </c>
      <c r="L2158" s="5"/>
      <c r="M2158" s="5"/>
      <c r="N2158" s="5">
        <f ca="1">IFERROR(__xludf.DUMMYFUNCTION("""COMPUTED_VALUE"""),2)</f>
        <v>2</v>
      </c>
      <c r="O2158" s="5" t="str">
        <f ca="1">IFERROR(__xludf.DUMMYFUNCTION("""COMPUTED_VALUE"""),"Spring")</f>
        <v>Spring</v>
      </c>
      <c r="P2158" s="5" t="str">
        <f ca="1">IFERROR(__xludf.DUMMYFUNCTION("""COMPUTED_VALUE"""),"Miami")</f>
        <v>Miami</v>
      </c>
      <c r="Q2158" s="5" t="str">
        <f ca="1">IFERROR(__xludf.DUMMYFUNCTION("""COMPUTED_VALUE"""),"FL")</f>
        <v>FL</v>
      </c>
      <c r="R2158" s="5" t="str">
        <f ca="1">IFERROR(__xludf.DUMMYFUNCTION("""COMPUTED_VALUE"""),"High")</f>
        <v>High</v>
      </c>
      <c r="S2158" s="5" t="str">
        <f ca="1">IFERROR(__xludf.DUMMYFUNCTION("""COMPUTED_VALUE"""),"Parking Lot")</f>
        <v>Parking Lot</v>
      </c>
      <c r="T2158" s="5" t="str">
        <f ca="1">IFERROR(__xludf.DUMMYFUNCTION("""COMPUTED_VALUE"""),"Outside on School Property")</f>
        <v>Outside on School Property</v>
      </c>
      <c r="U2158" s="5" t="str">
        <f ca="1">IFERROR(__xludf.DUMMYFUNCTION("""COMPUTED_VALUE"""),"Yes")</f>
        <v>Yes</v>
      </c>
      <c r="V2158" s="5" t="str">
        <f ca="1">IFERROR(__xludf.DUMMYFUNCTION("""COMPUTED_VALUE"""),"Dismissal")</f>
        <v>Dismissal</v>
      </c>
      <c r="W2158" s="10">
        <f ca="1">IFERROR(__xludf.DUMMYFUNCTION("""COMPUTED_VALUE"""),0.597222222222222)</f>
        <v>0.59722222222222199</v>
      </c>
      <c r="X2158" s="5">
        <f ca="1">IFERROR(__xludf.DUMMYFUNCTION("""COMPUTED_VALUE"""),1)</f>
        <v>1</v>
      </c>
      <c r="Y2158" s="5" t="str">
        <f ca="1">IFERROR(__xludf.DUMMYFUNCTION("""COMPUTED_VALUE"""),"Teacher came to aid of another teacher who was being robbed. Teacher was shot")</f>
        <v>Teacher came to aid of another teacher who was being robbed. Teacher was shot</v>
      </c>
      <c r="Z2158" s="5" t="str">
        <f ca="1">IFERROR(__xludf.DUMMYFUNCTION("""COMPUTED_VALUE"""),"4 youths robbed a teacher in the school parking lot at the end of the day. The teacher yelled for help. Another teacher, the victim came to the robbed teachers aid and began to struggle with one of the robbers when he was shot in the stomach. All suspects"&amp;" fled and were later arrested. Shooter charged as an adult.")</f>
        <v>4 youths robbed a teacher in the school parking lot at the end of the day. The teacher yelled for help. Another teacher, the victim came to the robbed teachers aid and began to struggle with one of the robbers when he was shot in the stomach. All suspects fled and were later arrested. Shooter charged as an adult.</v>
      </c>
      <c r="AA2158" s="5" t="str">
        <f ca="1">IFERROR(__xludf.DUMMYFUNCTION("""COMPUTED_VALUE"""),"Illegal Activity")</f>
        <v>Illegal Activity</v>
      </c>
      <c r="AB2158" s="5" t="str">
        <f ca="1">IFERROR(__xludf.DUMMYFUNCTION("""COMPUTED_VALUE"""),"Victims Targeted")</f>
        <v>Victims Targeted</v>
      </c>
      <c r="AC2158" s="5" t="str">
        <f ca="1">IFERROR(__xludf.DUMMYFUNCTION("""COMPUTED_VALUE"""),"No")</f>
        <v>No</v>
      </c>
      <c r="AD2158" s="5" t="str">
        <f ca="1">IFERROR(__xludf.DUMMYFUNCTION("""COMPUTED_VALUE"""),"No")</f>
        <v>No</v>
      </c>
      <c r="AE2158" s="5" t="str">
        <f ca="1">IFERROR(__xludf.DUMMYFUNCTION("""COMPUTED_VALUE"""),"No")</f>
        <v>No</v>
      </c>
      <c r="AF2158" s="5" t="str">
        <f ca="1">IFERROR(__xludf.DUMMYFUNCTION("""COMPUTED_VALUE"""),"No")</f>
        <v>No</v>
      </c>
      <c r="AG2158" s="5" t="str">
        <f ca="1">IFERROR(__xludf.DUMMYFUNCTION("""COMPUTED_VALUE"""),"No")</f>
        <v>No</v>
      </c>
      <c r="AH2158" s="5" t="str">
        <f ca="1">IFERROR(__xludf.DUMMYFUNCTION("""COMPUTED_VALUE"""),"No")</f>
        <v>No</v>
      </c>
      <c r="AI2158" s="5" t="str">
        <f ca="1">IFERROR(__xludf.DUMMYFUNCTION("""COMPUTED_VALUE"""),"No")</f>
        <v>No</v>
      </c>
      <c r="AJ2158" s="5"/>
    </row>
    <row r="2159" spans="1:36" ht="13">
      <c r="A2159" s="5" t="str">
        <f ca="1">IFERROR(__xludf.DUMMYFUNCTION("""COMPUTED_VALUE"""),"19790226CABAB")</f>
        <v>19790226CABAB</v>
      </c>
      <c r="B2159" s="5">
        <f ca="1">IFERROR(__xludf.DUMMYFUNCTION("""COMPUTED_VALUE"""),2)</f>
        <v>2</v>
      </c>
      <c r="C2159" s="5">
        <f ca="1">IFERROR(__xludf.DUMMYFUNCTION("""COMPUTED_VALUE"""),26)</f>
        <v>26</v>
      </c>
      <c r="D2159" s="5">
        <f ca="1">IFERROR(__xludf.DUMMYFUNCTION("""COMPUTED_VALUE"""),1979)</f>
        <v>1979</v>
      </c>
      <c r="E2159" s="8">
        <f ca="1">IFERROR(__xludf.DUMMYFUNCTION("""COMPUTED_VALUE"""),28912)</f>
        <v>28912</v>
      </c>
      <c r="F2159" s="5" t="str">
        <f ca="1">IFERROR(__xludf.DUMMYFUNCTION("""COMPUTED_VALUE"""),"Barstow High School")</f>
        <v>Barstow High School</v>
      </c>
      <c r="G2159" s="5">
        <f ca="1">IFERROR(__xludf.DUMMYFUNCTION("""COMPUTED_VALUE"""),0)</f>
        <v>0</v>
      </c>
      <c r="H2159" s="5">
        <f ca="1">IFERROR(__xludf.DUMMYFUNCTION("""COMPUTED_VALUE"""),3)</f>
        <v>3</v>
      </c>
      <c r="I2159" s="5">
        <f ca="1">IFERROR(__xludf.DUMMYFUNCTION("""COMPUTED_VALUE"""),3)</f>
        <v>3</v>
      </c>
      <c r="J2159" s="5">
        <f ca="1">IFERROR(__xludf.DUMMYFUNCTION("""COMPUTED_VALUE"""),0)</f>
        <v>0</v>
      </c>
      <c r="K2159" s="5" t="str">
        <f ca="1">IFERROR(__xludf.DUMMYFUNCTION("""COMPUTED_VALUE"""),"https://cdnc.ucr.edu/?a=d&amp;d=SBS19790328.1.15&amp;e=-------en--20--1--txt-txIN--------1 https://www.vvdailypress.com/story/news/crime/2021/04/03/man-killed-police-perpetrated-1979-barstow-high-school-shooting-wounded-3-students/7078487002/ https://www.vvdailyp"&amp;"ress.com/story/news/crime/2021/04/03/man-killed-police-perpetrated-1979-barstow-high-school-shooting-wounded-3-students/7078487002/")</f>
        <v>https://cdnc.ucr.edu/?a=d&amp;d=SBS19790328.1.15&amp;e=-------en--20--1--txt-txIN--------1 https://www.vvdailypress.com/story/news/crime/2021/04/03/man-killed-police-perpetrated-1979-barstow-high-school-shooting-wounded-3-students/7078487002/ https://www.vvdailypress.com/story/news/crime/2021/04/03/man-killed-police-perpetrated-1979-barstow-high-school-shooting-wounded-3-students/7078487002/</v>
      </c>
      <c r="L2159" s="5">
        <f ca="1">IFERROR(__xludf.DUMMYFUNCTION("""COMPUTED_VALUE"""),2)</f>
        <v>2</v>
      </c>
      <c r="M2159" s="5" t="str">
        <f ca="1">IFERROR(__xludf.DUMMYFUNCTION("""COMPUTED_VALUE"""),"Local")</f>
        <v>Local</v>
      </c>
      <c r="N2159" s="5">
        <f ca="1">IFERROR(__xludf.DUMMYFUNCTION("""COMPUTED_VALUE"""),4)</f>
        <v>4</v>
      </c>
      <c r="O2159" s="5" t="str">
        <f ca="1">IFERROR(__xludf.DUMMYFUNCTION("""COMPUTED_VALUE"""),"Winter")</f>
        <v>Winter</v>
      </c>
      <c r="P2159" s="5" t="str">
        <f ca="1">IFERROR(__xludf.DUMMYFUNCTION("""COMPUTED_VALUE"""),"Barstow")</f>
        <v>Barstow</v>
      </c>
      <c r="Q2159" s="5" t="str">
        <f ca="1">IFERROR(__xludf.DUMMYFUNCTION("""COMPUTED_VALUE"""),"CA")</f>
        <v>CA</v>
      </c>
      <c r="R2159" s="5" t="str">
        <f ca="1">IFERROR(__xludf.DUMMYFUNCTION("""COMPUTED_VALUE"""),"High")</f>
        <v>High</v>
      </c>
      <c r="S2159" s="5" t="str">
        <f ca="1">IFERROR(__xludf.DUMMYFUNCTION("""COMPUTED_VALUE"""),"Courtyard")</f>
        <v>Courtyard</v>
      </c>
      <c r="T2159" s="5" t="str">
        <f ca="1">IFERROR(__xludf.DUMMYFUNCTION("""COMPUTED_VALUE"""),"Outside on School Property")</f>
        <v>Outside on School Property</v>
      </c>
      <c r="U2159" s="5" t="str">
        <f ca="1">IFERROR(__xludf.DUMMYFUNCTION("""COMPUTED_VALUE"""),"Yes")</f>
        <v>Yes</v>
      </c>
      <c r="V2159" s="5" t="str">
        <f ca="1">IFERROR(__xludf.DUMMYFUNCTION("""COMPUTED_VALUE"""),"Morning Classes")</f>
        <v>Morning Classes</v>
      </c>
      <c r="W2159" s="5"/>
      <c r="X2159" s="5">
        <f ca="1">IFERROR(__xludf.DUMMYFUNCTION("""COMPUTED_VALUE"""),1)</f>
        <v>1</v>
      </c>
      <c r="Y2159" s="5" t="str">
        <f ca="1">IFERROR(__xludf.DUMMYFUNCTION("""COMPUTED_VALUE"""),"Student shot three other students when classes changed")</f>
        <v>Student shot three other students when classes changed</v>
      </c>
      <c r="Z2159" s="5" t="str">
        <f ca="1">IFERROR(__xludf.DUMMYFUNCTION("""COMPUTED_VALUE"""),"An 18-year-old student told other students that he planned to shot a student to get even with him and showed them a pistol 3 days prior to the shooting. On the day of the shooting, the student waiting outside by the cafeteria and shot the student he targe"&amp;"ted 2 and struck 2 other bystander students. Shooter fled the area and was arrested by police 8 blocks away. Shooter was killed by police in 2021 after pointing a gun at an officer.")</f>
        <v>An 18-year-old student told other students that he planned to shot a student to get even with him and showed them a pistol 3 days prior to the shooting. On the day of the shooting, the student waiting outside by the cafeteria and shot the student he targeted 2 and struck 2 other bystander students. Shooter fled the area and was arrested by police 8 blocks away. Shooter was killed by police in 2021 after pointing a gun at an officer.</v>
      </c>
      <c r="AA2159" s="5" t="str">
        <f ca="1">IFERROR(__xludf.DUMMYFUNCTION("""COMPUTED_VALUE"""),"Escalation of Dispute")</f>
        <v>Escalation of Dispute</v>
      </c>
      <c r="AB2159" s="5" t="str">
        <f ca="1">IFERROR(__xludf.DUMMYFUNCTION("""COMPUTED_VALUE"""),"Both")</f>
        <v>Both</v>
      </c>
      <c r="AC2159" s="5" t="str">
        <f ca="1">IFERROR(__xludf.DUMMYFUNCTION("""COMPUTED_VALUE"""),"No")</f>
        <v>No</v>
      </c>
      <c r="AD2159" s="5" t="str">
        <f ca="1">IFERROR(__xludf.DUMMYFUNCTION("""COMPUTED_VALUE"""),"No")</f>
        <v>No</v>
      </c>
      <c r="AE2159" s="5" t="str">
        <f ca="1">IFERROR(__xludf.DUMMYFUNCTION("""COMPUTED_VALUE"""),"No")</f>
        <v>No</v>
      </c>
      <c r="AF2159" s="5" t="str">
        <f ca="1">IFERROR(__xludf.DUMMYFUNCTION("""COMPUTED_VALUE"""),"No")</f>
        <v>No</v>
      </c>
      <c r="AG2159" s="5" t="str">
        <f ca="1">IFERROR(__xludf.DUMMYFUNCTION("""COMPUTED_VALUE"""),"Yes")</f>
        <v>Yes</v>
      </c>
      <c r="AH2159" s="5" t="str">
        <f ca="1">IFERROR(__xludf.DUMMYFUNCTION("""COMPUTED_VALUE"""),"No")</f>
        <v>No</v>
      </c>
      <c r="AI2159" s="5" t="str">
        <f ca="1">IFERROR(__xludf.DUMMYFUNCTION("""COMPUTED_VALUE"""),"No")</f>
        <v>No</v>
      </c>
      <c r="AJ2159" s="5" t="str">
        <f ca="1">IFERROR(__xludf.DUMMYFUNCTION("""COMPUTED_VALUE"""),"No")</f>
        <v>No</v>
      </c>
    </row>
    <row r="2160" spans="1:36" ht="13">
      <c r="A2160" s="5" t="str">
        <f ca="1">IFERROR(__xludf.DUMMYFUNCTION("""COMPUTED_VALUE"""),"19790129CAGRS")</f>
        <v>19790129CAGRS</v>
      </c>
      <c r="B2160" s="5">
        <f ca="1">IFERROR(__xludf.DUMMYFUNCTION("""COMPUTED_VALUE"""),1)</f>
        <v>1</v>
      </c>
      <c r="C2160" s="5">
        <f ca="1">IFERROR(__xludf.DUMMYFUNCTION("""COMPUTED_VALUE"""),29)</f>
        <v>29</v>
      </c>
      <c r="D2160" s="5">
        <f ca="1">IFERROR(__xludf.DUMMYFUNCTION("""COMPUTED_VALUE"""),1979)</f>
        <v>1979</v>
      </c>
      <c r="E2160" s="8">
        <f ca="1">IFERROR(__xludf.DUMMYFUNCTION("""COMPUTED_VALUE"""),28884)</f>
        <v>28884</v>
      </c>
      <c r="F2160" s="5" t="str">
        <f ca="1">IFERROR(__xludf.DUMMYFUNCTION("""COMPUTED_VALUE"""),"Grover Cleveland Elementary School")</f>
        <v>Grover Cleveland Elementary School</v>
      </c>
      <c r="G2160" s="5">
        <f ca="1">IFERROR(__xludf.DUMMYFUNCTION("""COMPUTED_VALUE"""),2)</f>
        <v>2</v>
      </c>
      <c r="H2160" s="5">
        <f ca="1">IFERROR(__xludf.DUMMYFUNCTION("""COMPUTED_VALUE"""),9)</f>
        <v>9</v>
      </c>
      <c r="I2160" s="5">
        <f ca="1">IFERROR(__xludf.DUMMYFUNCTION("""COMPUTED_VALUE"""),11)</f>
        <v>11</v>
      </c>
      <c r="J2160" s="5">
        <f ca="1">IFERROR(__xludf.DUMMYFUNCTION("""COMPUTED_VALUE"""),0)</f>
        <v>0</v>
      </c>
      <c r="K2160" s="5" t="str">
        <f ca="1">IFERROR(__xludf.DUMMYFUNCTION("""COMPUTED_VALUE"""),"http://beta.nydailynews.com/news/justice-story/justice-story-don-mondays-article-1.1504277 https://www.newspapers.com/image/570130513")</f>
        <v>http://beta.nydailynews.com/news/justice-story/justice-story-don-mondays-article-1.1504277 https://www.newspapers.com/image/570130513</v>
      </c>
      <c r="L2160" s="5"/>
      <c r="M2160" s="5"/>
      <c r="N2160" s="5">
        <f ca="1">IFERROR(__xludf.DUMMYFUNCTION("""COMPUTED_VALUE"""),2)</f>
        <v>2</v>
      </c>
      <c r="O2160" s="5" t="str">
        <f ca="1">IFERROR(__xludf.DUMMYFUNCTION("""COMPUTED_VALUE"""),"Winter")</f>
        <v>Winter</v>
      </c>
      <c r="P2160" s="5" t="str">
        <f ca="1">IFERROR(__xludf.DUMMYFUNCTION("""COMPUTED_VALUE"""),"San Diego")</f>
        <v>San Diego</v>
      </c>
      <c r="Q2160" s="5" t="str">
        <f ca="1">IFERROR(__xludf.DUMMYFUNCTION("""COMPUTED_VALUE"""),"CA")</f>
        <v>CA</v>
      </c>
      <c r="R2160" s="5" t="str">
        <f ca="1">IFERROR(__xludf.DUMMYFUNCTION("""COMPUTED_VALUE"""),"Elementary")</f>
        <v>Elementary</v>
      </c>
      <c r="S2160" s="5" t="str">
        <f ca="1">IFERROR(__xludf.DUMMYFUNCTION("""COMPUTED_VALUE"""),"Off School Property")</f>
        <v>Off School Property</v>
      </c>
      <c r="T2160" s="5" t="str">
        <f ca="1">IFERROR(__xludf.DUMMYFUNCTION("""COMPUTED_VALUE"""),"Off School Property")</f>
        <v>Off School Property</v>
      </c>
      <c r="U2160" s="5" t="str">
        <f ca="1">IFERROR(__xludf.DUMMYFUNCTION("""COMPUTED_VALUE"""),"Yes")</f>
        <v>Yes</v>
      </c>
      <c r="V2160" s="5" t="str">
        <f ca="1">IFERROR(__xludf.DUMMYFUNCTION("""COMPUTED_VALUE"""),"School Start")</f>
        <v>School Start</v>
      </c>
      <c r="W2160" s="10">
        <f ca="1">IFERROR(__xludf.DUMMYFUNCTION("""COMPUTED_VALUE"""),0.354166666666666)</f>
        <v>0.35416666666666602</v>
      </c>
      <c r="X2160" s="5">
        <f ca="1">IFERROR(__xludf.DUMMYFUNCTION("""COMPUTED_VALUE"""),15)</f>
        <v>15</v>
      </c>
      <c r="Y2160" s="5" t="str">
        <f ca="1">IFERROR(__xludf.DUMMYFUNCTION("""COMPUTED_VALUE"""),"Shooter barricaded herself in house across the street and shot at random students")</f>
        <v>Shooter barricaded herself in house across the street and shot at random students</v>
      </c>
      <c r="Z2160" s="5" t="str">
        <f ca="1">IFERROR(__xludf.DUMMYFUNCTION("""COMPUTED_VALUE"""),"Shooter lived across the street from the school and fired at random students and school staff waiting outside for the school to open. When police arrived, she shot an officer in the neck. Shooter than barricaded herself inside her house from multiple hour"&amp;"s. Shooter said her motive was ""she didn't like Mondays and wanted to liven things up"". Shooter had previously been arrested for firing BB gun at the school building breaking windows. Shooter lived in poverty with father in a single bed house. Father wa"&amp;"s abusive alcoholic. Shooter had previous brain trauma and depression. Shooter was given the rifle for christmas (said she thought her father gave it to her so she could kill herself).")</f>
        <v>Shooter lived across the street from the school and fired at random students and school staff waiting outside for the school to open. When police arrived, she shot an officer in the neck. Shooter than barricaded herself inside her house from multiple hours. Shooter said her motive was "she didn't like Mondays and wanted to liven things up". Shooter had previously been arrested for firing BB gun at the school building breaking windows. Shooter lived in poverty with father in a single bed house. Father was abusive alcoholic. Shooter had previous brain trauma and depression. Shooter was given the rifle for christmas (said she thought her father gave it to her so she could kill herself).</v>
      </c>
      <c r="AA2160" s="5" t="str">
        <f ca="1">IFERROR(__xludf.DUMMYFUNCTION("""COMPUTED_VALUE"""),"Psychosis")</f>
        <v>Psychosis</v>
      </c>
      <c r="AB2160" s="5" t="str">
        <f ca="1">IFERROR(__xludf.DUMMYFUNCTION("""COMPUTED_VALUE"""),"Random Shooting")</f>
        <v>Random Shooting</v>
      </c>
      <c r="AC2160" s="5" t="str">
        <f ca="1">IFERROR(__xludf.DUMMYFUNCTION("""COMPUTED_VALUE"""),"No")</f>
        <v>No</v>
      </c>
      <c r="AD2160" s="5" t="str">
        <f ca="1">IFERROR(__xludf.DUMMYFUNCTION("""COMPUTED_VALUE"""),"No")</f>
        <v>No</v>
      </c>
      <c r="AE2160" s="5" t="str">
        <f ca="1">IFERROR(__xludf.DUMMYFUNCTION("""COMPUTED_VALUE"""),"Yes")</f>
        <v>Yes</v>
      </c>
      <c r="AF2160" s="5" t="str">
        <f ca="1">IFERROR(__xludf.DUMMYFUNCTION("""COMPUTED_VALUE"""),"No")</f>
        <v>No</v>
      </c>
      <c r="AG2160" s="5" t="str">
        <f ca="1">IFERROR(__xludf.DUMMYFUNCTION("""COMPUTED_VALUE"""),"No")</f>
        <v>No</v>
      </c>
      <c r="AH2160" s="5" t="str">
        <f ca="1">IFERROR(__xludf.DUMMYFUNCTION("""COMPUTED_VALUE"""),"No")</f>
        <v>No</v>
      </c>
      <c r="AI2160" s="5" t="str">
        <f ca="1">IFERROR(__xludf.DUMMYFUNCTION("""COMPUTED_VALUE"""),"No")</f>
        <v>No</v>
      </c>
      <c r="AJ2160" s="5" t="str">
        <f ca="1">IFERROR(__xludf.DUMMYFUNCTION("""COMPUTED_VALUE"""),"Yes")</f>
        <v>Yes</v>
      </c>
    </row>
    <row r="2161" spans="1:36" ht="13">
      <c r="A2161" s="5" t="str">
        <f ca="1">IFERROR(__xludf.DUMMYFUNCTION("""COMPUTED_VALUE"""),"19781214CTWIN")</f>
        <v>19781214CTWIN</v>
      </c>
      <c r="B2161" s="5">
        <f ca="1">IFERROR(__xludf.DUMMYFUNCTION("""COMPUTED_VALUE"""),12)</f>
        <v>12</v>
      </c>
      <c r="C2161" s="5">
        <f ca="1">IFERROR(__xludf.DUMMYFUNCTION("""COMPUTED_VALUE"""),14)</f>
        <v>14</v>
      </c>
      <c r="D2161" s="5">
        <f ca="1">IFERROR(__xludf.DUMMYFUNCTION("""COMPUTED_VALUE"""),1978)</f>
        <v>1978</v>
      </c>
      <c r="E2161" s="8">
        <f ca="1">IFERROR(__xludf.DUMMYFUNCTION("""COMPUTED_VALUE"""),28838)</f>
        <v>28838</v>
      </c>
      <c r="F2161" s="5" t="str">
        <f ca="1">IFERROR(__xludf.DUMMYFUNCTION("""COMPUTED_VALUE"""),"Wilbur Cross High School")</f>
        <v>Wilbur Cross High School</v>
      </c>
      <c r="G2161" s="5">
        <f ca="1">IFERROR(__xludf.DUMMYFUNCTION("""COMPUTED_VALUE"""),1)</f>
        <v>1</v>
      </c>
      <c r="H2161" s="5">
        <f ca="1">IFERROR(__xludf.DUMMYFUNCTION("""COMPUTED_VALUE"""),0)</f>
        <v>0</v>
      </c>
      <c r="I2161" s="5">
        <f ca="1">IFERROR(__xludf.DUMMYFUNCTION("""COMPUTED_VALUE"""),1)</f>
        <v>1</v>
      </c>
      <c r="J2161" s="5">
        <f ca="1">IFERROR(__xludf.DUMMYFUNCTION("""COMPUTED_VALUE"""),0)</f>
        <v>0</v>
      </c>
      <c r="K2161" s="5" t="str">
        <f ca="1">IFERROR(__xludf.DUMMYFUNCTION("""COMPUTED_VALUE"""),"https://www.nytimes.com/1978/12/16/archives/youth-is-held-in-murder-of-teacher.html https://www.leagle.com/decision/1984263193conn701256")</f>
        <v>https://www.nytimes.com/1978/12/16/archives/youth-is-held-in-murder-of-teacher.html https://www.leagle.com/decision/1984263193conn701256</v>
      </c>
      <c r="L2161" s="5"/>
      <c r="M2161" s="5"/>
      <c r="N2161" s="5">
        <f ca="1">IFERROR(__xludf.DUMMYFUNCTION("""COMPUTED_VALUE"""),2)</f>
        <v>2</v>
      </c>
      <c r="O2161" s="5" t="str">
        <f ca="1">IFERROR(__xludf.DUMMYFUNCTION("""COMPUTED_VALUE"""),"Winter")</f>
        <v>Winter</v>
      </c>
      <c r="P2161" s="5" t="str">
        <f ca="1">IFERROR(__xludf.DUMMYFUNCTION("""COMPUTED_VALUE"""),"New Haven")</f>
        <v>New Haven</v>
      </c>
      <c r="Q2161" s="5" t="str">
        <f ca="1">IFERROR(__xludf.DUMMYFUNCTION("""COMPUTED_VALUE"""),"CT")</f>
        <v>CT</v>
      </c>
      <c r="R2161" s="5" t="str">
        <f ca="1">IFERROR(__xludf.DUMMYFUNCTION("""COMPUTED_VALUE"""),"High")</f>
        <v>High</v>
      </c>
      <c r="S2161" s="5" t="str">
        <f ca="1">IFERROR(__xludf.DUMMYFUNCTION("""COMPUTED_VALUE"""),"Office")</f>
        <v>Office</v>
      </c>
      <c r="T2161" s="5" t="str">
        <f ca="1">IFERROR(__xludf.DUMMYFUNCTION("""COMPUTED_VALUE"""),"Inside School Building")</f>
        <v>Inside School Building</v>
      </c>
      <c r="U2161" s="5" t="str">
        <f ca="1">IFERROR(__xludf.DUMMYFUNCTION("""COMPUTED_VALUE"""),"Yes")</f>
        <v>Yes</v>
      </c>
      <c r="V2161" s="5"/>
      <c r="W2161" s="5"/>
      <c r="X2161" s="5">
        <f ca="1">IFERROR(__xludf.DUMMYFUNCTION("""COMPUTED_VALUE"""),1)</f>
        <v>1</v>
      </c>
      <c r="Y2161" s="5" t="str">
        <f ca="1">IFERROR(__xludf.DUMMYFUNCTION("""COMPUTED_VALUE"""),"Armed robbery of school store")</f>
        <v>Armed robbery of school store</v>
      </c>
      <c r="Z2161" s="5" t="str">
        <f ca="1">IFERROR(__xludf.DUMMYFUNCTION("""COMPUTED_VALUE"""),"Teacher shot and killed during attempted robbery at school store.")</f>
        <v>Teacher shot and killed during attempted robbery at school store.</v>
      </c>
      <c r="AA2161" s="5" t="str">
        <f ca="1">IFERROR(__xludf.DUMMYFUNCTION("""COMPUTED_VALUE"""),"Illegal Activity")</f>
        <v>Illegal Activity</v>
      </c>
      <c r="AB2161" s="5" t="str">
        <f ca="1">IFERROR(__xludf.DUMMYFUNCTION("""COMPUTED_VALUE"""),"Victims Targeted")</f>
        <v>Victims Targeted</v>
      </c>
      <c r="AC2161" s="5" t="str">
        <f ca="1">IFERROR(__xludf.DUMMYFUNCTION("""COMPUTED_VALUE"""),"No")</f>
        <v>No</v>
      </c>
      <c r="AD2161" s="5" t="str">
        <f ca="1">IFERROR(__xludf.DUMMYFUNCTION("""COMPUTED_VALUE"""),"No")</f>
        <v>No</v>
      </c>
      <c r="AE2161" s="5" t="str">
        <f ca="1">IFERROR(__xludf.DUMMYFUNCTION("""COMPUTED_VALUE"""),"No")</f>
        <v>No</v>
      </c>
      <c r="AF2161" s="5" t="str">
        <f ca="1">IFERROR(__xludf.DUMMYFUNCTION("""COMPUTED_VALUE"""),"No")</f>
        <v>No</v>
      </c>
      <c r="AG2161" s="5" t="str">
        <f ca="1">IFERROR(__xludf.DUMMYFUNCTION("""COMPUTED_VALUE"""),"No")</f>
        <v>No</v>
      </c>
      <c r="AH2161" s="5" t="str">
        <f ca="1">IFERROR(__xludf.DUMMYFUNCTION("""COMPUTED_VALUE"""),"No")</f>
        <v>No</v>
      </c>
      <c r="AI2161" s="5" t="str">
        <f ca="1">IFERROR(__xludf.DUMMYFUNCTION("""COMPUTED_VALUE"""),"No")</f>
        <v>No</v>
      </c>
      <c r="AJ2161" s="5"/>
    </row>
    <row r="2162" spans="1:36" ht="13">
      <c r="A2162" s="5" t="str">
        <f ca="1">IFERROR(__xludf.DUMMYFUNCTION("""COMPUTED_VALUE"""),"19781129NYPAN")</f>
        <v>19781129NYPAN</v>
      </c>
      <c r="B2162" s="5">
        <f ca="1">IFERROR(__xludf.DUMMYFUNCTION("""COMPUTED_VALUE"""),11)</f>
        <v>11</v>
      </c>
      <c r="C2162" s="5">
        <f ca="1">IFERROR(__xludf.DUMMYFUNCTION("""COMPUTED_VALUE"""),29)</f>
        <v>29</v>
      </c>
      <c r="D2162" s="5">
        <f ca="1">IFERROR(__xludf.DUMMYFUNCTION("""COMPUTED_VALUE"""),1978)</f>
        <v>1978</v>
      </c>
      <c r="E2162" s="8">
        <f ca="1">IFERROR(__xludf.DUMMYFUNCTION("""COMPUTED_VALUE"""),28823)</f>
        <v>28823</v>
      </c>
      <c r="F2162" s="5" t="str">
        <f ca="1">IFERROR(__xludf.DUMMYFUNCTION("""COMPUTED_VALUE"""),"Park West High School")</f>
        <v>Park West High School</v>
      </c>
      <c r="G2162" s="5">
        <f ca="1">IFERROR(__xludf.DUMMYFUNCTION("""COMPUTED_VALUE"""),0)</f>
        <v>0</v>
      </c>
      <c r="H2162" s="5">
        <f ca="1">IFERROR(__xludf.DUMMYFUNCTION("""COMPUTED_VALUE"""),1)</f>
        <v>1</v>
      </c>
      <c r="I2162" s="5">
        <f ca="1">IFERROR(__xludf.DUMMYFUNCTION("""COMPUTED_VALUE"""),1)</f>
        <v>1</v>
      </c>
      <c r="J2162" s="5">
        <f ca="1">IFERROR(__xludf.DUMMYFUNCTION("""COMPUTED_VALUE"""),0)</f>
        <v>0</v>
      </c>
      <c r="K2162" s="9" t="str">
        <f ca="1">IFERROR(__xludf.DUMMYFUNCTION("""COMPUTED_VALUE"""),"https://www.newspapers.com/image/396100647/?terms=school%2Bshooting")</f>
        <v>https://www.newspapers.com/image/396100647/?terms=school%2Bshooting</v>
      </c>
      <c r="L2162" s="5"/>
      <c r="M2162" s="5"/>
      <c r="N2162" s="5">
        <f ca="1">IFERROR(__xludf.DUMMYFUNCTION("""COMPUTED_VALUE"""),2)</f>
        <v>2</v>
      </c>
      <c r="O2162" s="5" t="str">
        <f ca="1">IFERROR(__xludf.DUMMYFUNCTION("""COMPUTED_VALUE"""),"Fall")</f>
        <v>Fall</v>
      </c>
      <c r="P2162" s="5" t="str">
        <f ca="1">IFERROR(__xludf.DUMMYFUNCTION("""COMPUTED_VALUE"""),"New York")</f>
        <v>New York</v>
      </c>
      <c r="Q2162" s="5" t="str">
        <f ca="1">IFERROR(__xludf.DUMMYFUNCTION("""COMPUTED_VALUE"""),"NY")</f>
        <v>NY</v>
      </c>
      <c r="R2162" s="5" t="str">
        <f ca="1">IFERROR(__xludf.DUMMYFUNCTION("""COMPUTED_VALUE"""),"High")</f>
        <v>High</v>
      </c>
      <c r="S2162" s="5" t="str">
        <f ca="1">IFERROR(__xludf.DUMMYFUNCTION("""COMPUTED_VALUE"""),"Classroom")</f>
        <v>Classroom</v>
      </c>
      <c r="T2162" s="5" t="str">
        <f ca="1">IFERROR(__xludf.DUMMYFUNCTION("""COMPUTED_VALUE"""),"Inside School Building")</f>
        <v>Inside School Building</v>
      </c>
      <c r="U2162" s="5" t="str">
        <f ca="1">IFERROR(__xludf.DUMMYFUNCTION("""COMPUTED_VALUE"""),"Yes")</f>
        <v>Yes</v>
      </c>
      <c r="V2162" s="5" t="str">
        <f ca="1">IFERROR(__xludf.DUMMYFUNCTION("""COMPUTED_VALUE"""),"Afternoon Classes")</f>
        <v>Afternoon Classes</v>
      </c>
      <c r="W2162" s="10">
        <f ca="1">IFERROR(__xludf.DUMMYFUNCTION("""COMPUTED_VALUE"""),0.520833333333333)</f>
        <v>0.52083333333333304</v>
      </c>
      <c r="X2162" s="5">
        <f ca="1">IFERROR(__xludf.DUMMYFUNCTION("""COMPUTED_VALUE"""),1)</f>
        <v>1</v>
      </c>
      <c r="Y2162" s="5" t="str">
        <f ca="1">IFERROR(__xludf.DUMMYFUNCTION("""COMPUTED_VALUE"""),"Showing off gun in class when gun accidentally went off striking student")</f>
        <v>Showing off gun in class when gun accidentally went off striking student</v>
      </c>
      <c r="Z2162" s="5" t="str">
        <f ca="1">IFERROR(__xludf.DUMMYFUNCTION("""COMPUTED_VALUE"""),"15 year-old male was showing off new .22 target pistol. Gun discharged in classroom striking a 16 year-old female victim.")</f>
        <v>15 year-old male was showing off new .22 target pistol. Gun discharged in classroom striking a 16 year-old female victim.</v>
      </c>
      <c r="AA2162" s="5" t="str">
        <f ca="1">IFERROR(__xludf.DUMMYFUNCTION("""COMPUTED_VALUE"""),"Accidental")</f>
        <v>Accidental</v>
      </c>
      <c r="AB2162" s="5" t="str">
        <f ca="1">IFERROR(__xludf.DUMMYFUNCTION("""COMPUTED_VALUE"""),"Random Shooting")</f>
        <v>Random Shooting</v>
      </c>
      <c r="AC2162" s="5" t="str">
        <f ca="1">IFERROR(__xludf.DUMMYFUNCTION("""COMPUTED_VALUE"""),"No")</f>
        <v>No</v>
      </c>
      <c r="AD2162" s="5" t="str">
        <f ca="1">IFERROR(__xludf.DUMMYFUNCTION("""COMPUTED_VALUE"""),"No")</f>
        <v>No</v>
      </c>
      <c r="AE2162" s="5" t="str">
        <f ca="1">IFERROR(__xludf.DUMMYFUNCTION("""COMPUTED_VALUE"""),"No")</f>
        <v>No</v>
      </c>
      <c r="AF2162" s="5" t="str">
        <f ca="1">IFERROR(__xludf.DUMMYFUNCTION("""COMPUTED_VALUE"""),"No")</f>
        <v>No</v>
      </c>
      <c r="AG2162" s="5" t="str">
        <f ca="1">IFERROR(__xludf.DUMMYFUNCTION("""COMPUTED_VALUE"""),"No")</f>
        <v>No</v>
      </c>
      <c r="AH2162" s="5" t="str">
        <f ca="1">IFERROR(__xludf.DUMMYFUNCTION("""COMPUTED_VALUE"""),"No")</f>
        <v>No</v>
      </c>
      <c r="AI2162" s="5" t="str">
        <f ca="1">IFERROR(__xludf.DUMMYFUNCTION("""COMPUTED_VALUE"""),"No")</f>
        <v>No</v>
      </c>
      <c r="AJ2162" s="5"/>
    </row>
    <row r="2163" spans="1:36" ht="13">
      <c r="A2163" s="5" t="str">
        <f ca="1">IFERROR(__xludf.DUMMYFUNCTION("""COMPUTED_VALUE"""),"19781017ALLAL")</f>
        <v>19781017ALLAL</v>
      </c>
      <c r="B2163" s="5">
        <f ca="1">IFERROR(__xludf.DUMMYFUNCTION("""COMPUTED_VALUE"""),10)</f>
        <v>10</v>
      </c>
      <c r="C2163" s="5">
        <f ca="1">IFERROR(__xludf.DUMMYFUNCTION("""COMPUTED_VALUE"""),17)</f>
        <v>17</v>
      </c>
      <c r="D2163" s="5">
        <f ca="1">IFERROR(__xludf.DUMMYFUNCTION("""COMPUTED_VALUE"""),1978)</f>
        <v>1978</v>
      </c>
      <c r="E2163" s="8">
        <f ca="1">IFERROR(__xludf.DUMMYFUNCTION("""COMPUTED_VALUE"""),28780)</f>
        <v>28780</v>
      </c>
      <c r="F2163" s="5" t="str">
        <f ca="1">IFERROR(__xludf.DUMMYFUNCTION("""COMPUTED_VALUE"""),"Lanett Junior High School")</f>
        <v>Lanett Junior High School</v>
      </c>
      <c r="G2163" s="5">
        <f ca="1">IFERROR(__xludf.DUMMYFUNCTION("""COMPUTED_VALUE"""),0)</f>
        <v>0</v>
      </c>
      <c r="H2163" s="5">
        <f ca="1">IFERROR(__xludf.DUMMYFUNCTION("""COMPUTED_VALUE"""),1)</f>
        <v>1</v>
      </c>
      <c r="I2163" s="5">
        <f ca="1">IFERROR(__xludf.DUMMYFUNCTION("""COMPUTED_VALUE"""),1)</f>
        <v>1</v>
      </c>
      <c r="J2163" s="5">
        <f ca="1">IFERROR(__xludf.DUMMYFUNCTION("""COMPUTED_VALUE"""),0)</f>
        <v>0</v>
      </c>
      <c r="K2163" s="9" t="str">
        <f ca="1">IFERROR(__xludf.DUMMYFUNCTION("""COMPUTED_VALUE"""),"https://www.newspapers.com/newspage/107532734/")</f>
        <v>https://www.newspapers.com/newspage/107532734/</v>
      </c>
      <c r="L2163" s="5"/>
      <c r="M2163" s="5"/>
      <c r="N2163" s="5">
        <f ca="1">IFERROR(__xludf.DUMMYFUNCTION("""COMPUTED_VALUE"""),2)</f>
        <v>2</v>
      </c>
      <c r="O2163" s="5" t="str">
        <f ca="1">IFERROR(__xludf.DUMMYFUNCTION("""COMPUTED_VALUE"""),"Fall")</f>
        <v>Fall</v>
      </c>
      <c r="P2163" s="5" t="str">
        <f ca="1">IFERROR(__xludf.DUMMYFUNCTION("""COMPUTED_VALUE"""),"Lanett")</f>
        <v>Lanett</v>
      </c>
      <c r="Q2163" s="5" t="str">
        <f ca="1">IFERROR(__xludf.DUMMYFUNCTION("""COMPUTED_VALUE"""),"AL")</f>
        <v>AL</v>
      </c>
      <c r="R2163" s="5" t="str">
        <f ca="1">IFERROR(__xludf.DUMMYFUNCTION("""COMPUTED_VALUE"""),"Junior High")</f>
        <v>Junior High</v>
      </c>
      <c r="S2163" s="5" t="str">
        <f ca="1">IFERROR(__xludf.DUMMYFUNCTION("""COMPUTED_VALUE"""),"Office")</f>
        <v>Office</v>
      </c>
      <c r="T2163" s="5" t="str">
        <f ca="1">IFERROR(__xludf.DUMMYFUNCTION("""COMPUTED_VALUE"""),"Inside School Building")</f>
        <v>Inside School Building</v>
      </c>
      <c r="U2163" s="5" t="str">
        <f ca="1">IFERROR(__xludf.DUMMYFUNCTION("""COMPUTED_VALUE"""),"Yes")</f>
        <v>Yes</v>
      </c>
      <c r="V2163" s="5" t="str">
        <f ca="1">IFERROR(__xludf.DUMMYFUNCTION("""COMPUTED_VALUE"""),"Afternoon Classes")</f>
        <v>Afternoon Classes</v>
      </c>
      <c r="W2163" s="5"/>
      <c r="X2163" s="5">
        <f ca="1">IFERROR(__xludf.DUMMYFUNCTION("""COMPUTED_VALUE"""),1)</f>
        <v>1</v>
      </c>
      <c r="Y2163" s="5" t="str">
        <f ca="1">IFERROR(__xludf.DUMMYFUNCTION("""COMPUTED_VALUE"""),"Shot principal after being paddled for truancy")</f>
        <v>Shot principal after being paddled for truancy</v>
      </c>
      <c r="Z2163" s="5" t="str">
        <f ca="1">IFERROR(__xludf.DUMMYFUNCTION("""COMPUTED_VALUE"""),"Shooter was paddled by the principal for disciplinary issues. Shooter went home, got a pistol, and returned to the school where he confronted the principal and fired 2 shots at him. Shooter fled the area and was later apprehended. Shooter had no previous "&amp;"criminal or disciplinary issues. No charges were filed.")</f>
        <v>Shooter was paddled by the principal for disciplinary issues. Shooter went home, got a pistol, and returned to the school where he confronted the principal and fired 2 shots at him. Shooter fled the area and was later apprehended. Shooter had no previous criminal or disciplinary issues. No charges were filed.</v>
      </c>
      <c r="AA2163" s="5" t="str">
        <f ca="1">IFERROR(__xludf.DUMMYFUNCTION("""COMPUTED_VALUE"""),"Anger Over Grade/Suspension/Discipline")</f>
        <v>Anger Over Grade/Suspension/Discipline</v>
      </c>
      <c r="AB2163" s="5" t="str">
        <f ca="1">IFERROR(__xludf.DUMMYFUNCTION("""COMPUTED_VALUE"""),"Victims Targeted")</f>
        <v>Victims Targeted</v>
      </c>
      <c r="AC2163" s="5" t="str">
        <f ca="1">IFERROR(__xludf.DUMMYFUNCTION("""COMPUTED_VALUE"""),"No")</f>
        <v>No</v>
      </c>
      <c r="AD2163" s="5" t="str">
        <f ca="1">IFERROR(__xludf.DUMMYFUNCTION("""COMPUTED_VALUE"""),"No")</f>
        <v>No</v>
      </c>
      <c r="AE2163" s="5" t="str">
        <f ca="1">IFERROR(__xludf.DUMMYFUNCTION("""COMPUTED_VALUE"""),"No")</f>
        <v>No</v>
      </c>
      <c r="AF2163" s="5" t="str">
        <f ca="1">IFERROR(__xludf.DUMMYFUNCTION("""COMPUTED_VALUE"""),"No")</f>
        <v>No</v>
      </c>
      <c r="AG2163" s="5" t="str">
        <f ca="1">IFERROR(__xludf.DUMMYFUNCTION("""COMPUTED_VALUE"""),"No")</f>
        <v>No</v>
      </c>
      <c r="AH2163" s="5" t="str">
        <f ca="1">IFERROR(__xludf.DUMMYFUNCTION("""COMPUTED_VALUE"""),"No")</f>
        <v>No</v>
      </c>
      <c r="AI2163" s="5" t="str">
        <f ca="1">IFERROR(__xludf.DUMMYFUNCTION("""COMPUTED_VALUE"""),"No")</f>
        <v>No</v>
      </c>
      <c r="AJ2163" s="5"/>
    </row>
    <row r="2164" spans="1:36" ht="13">
      <c r="A2164" s="5" t="str">
        <f ca="1">IFERROR(__xludf.DUMMYFUNCTION("""COMPUTED_VALUE"""),"19781017MOUNU")</f>
        <v>19781017MOUNU</v>
      </c>
      <c r="B2164" s="5">
        <f ca="1">IFERROR(__xludf.DUMMYFUNCTION("""COMPUTED_VALUE"""),10)</f>
        <v>10</v>
      </c>
      <c r="C2164" s="5">
        <f ca="1">IFERROR(__xludf.DUMMYFUNCTION("""COMPUTED_VALUE"""),17)</f>
        <v>17</v>
      </c>
      <c r="D2164" s="5">
        <f ca="1">IFERROR(__xludf.DUMMYFUNCTION("""COMPUTED_VALUE"""),1978)</f>
        <v>1978</v>
      </c>
      <c r="E2164" s="8">
        <f ca="1">IFERROR(__xludf.DUMMYFUNCTION("""COMPUTED_VALUE"""),28780)</f>
        <v>28780</v>
      </c>
      <c r="F2164" s="5" t="str">
        <f ca="1">IFERROR(__xludf.DUMMYFUNCTION("""COMPUTED_VALUE"""),"University City High School")</f>
        <v>University City High School</v>
      </c>
      <c r="G2164" s="5">
        <f ca="1">IFERROR(__xludf.DUMMYFUNCTION("""COMPUTED_VALUE"""),0)</f>
        <v>0</v>
      </c>
      <c r="H2164" s="5">
        <f ca="1">IFERROR(__xludf.DUMMYFUNCTION("""COMPUTED_VALUE"""),3)</f>
        <v>3</v>
      </c>
      <c r="I2164" s="5">
        <f ca="1">IFERROR(__xludf.DUMMYFUNCTION("""COMPUTED_VALUE"""),3)</f>
        <v>3</v>
      </c>
      <c r="J2164" s="5">
        <f ca="1">IFERROR(__xludf.DUMMYFUNCTION("""COMPUTED_VALUE"""),0)</f>
        <v>0</v>
      </c>
      <c r="K2164" s="9" t="str">
        <f ca="1">IFERROR(__xludf.DUMMYFUNCTION("""COMPUTED_VALUE"""),"https://stltoday.newspapers.com/clip/7051030/3_wounded_in_university_city_high/")</f>
        <v>https://stltoday.newspapers.com/clip/7051030/3_wounded_in_university_city_high/</v>
      </c>
      <c r="L2164" s="5"/>
      <c r="M2164" s="5"/>
      <c r="N2164" s="5">
        <f ca="1">IFERROR(__xludf.DUMMYFUNCTION("""COMPUTED_VALUE"""),2)</f>
        <v>2</v>
      </c>
      <c r="O2164" s="5" t="str">
        <f ca="1">IFERROR(__xludf.DUMMYFUNCTION("""COMPUTED_VALUE"""),"Fall")</f>
        <v>Fall</v>
      </c>
      <c r="P2164" s="5" t="str">
        <f ca="1">IFERROR(__xludf.DUMMYFUNCTION("""COMPUTED_VALUE"""),"University City")</f>
        <v>University City</v>
      </c>
      <c r="Q2164" s="5" t="str">
        <f ca="1">IFERROR(__xludf.DUMMYFUNCTION("""COMPUTED_VALUE"""),"MO")</f>
        <v>MO</v>
      </c>
      <c r="R2164" s="5" t="str">
        <f ca="1">IFERROR(__xludf.DUMMYFUNCTION("""COMPUTED_VALUE"""),"High")</f>
        <v>High</v>
      </c>
      <c r="S2164" s="5" t="str">
        <f ca="1">IFERROR(__xludf.DUMMYFUNCTION("""COMPUTED_VALUE"""),"Beside Building")</f>
        <v>Beside Building</v>
      </c>
      <c r="T2164" s="5" t="str">
        <f ca="1">IFERROR(__xludf.DUMMYFUNCTION("""COMPUTED_VALUE"""),"Outside on School Property")</f>
        <v>Outside on School Property</v>
      </c>
      <c r="U2164" s="5" t="str">
        <f ca="1">IFERROR(__xludf.DUMMYFUNCTION("""COMPUTED_VALUE"""),"Yes")</f>
        <v>Yes</v>
      </c>
      <c r="V2164" s="5" t="str">
        <f ca="1">IFERROR(__xludf.DUMMYFUNCTION("""COMPUTED_VALUE"""),"Morning Classes")</f>
        <v>Morning Classes</v>
      </c>
      <c r="W2164" s="10">
        <f ca="1">IFERROR(__xludf.DUMMYFUNCTION("""COMPUTED_VALUE"""),0.427083333333333)</f>
        <v>0.42708333333333298</v>
      </c>
      <c r="X2164" s="5">
        <f ca="1">IFERROR(__xludf.DUMMYFUNCTION("""COMPUTED_VALUE"""),1)</f>
        <v>1</v>
      </c>
      <c r="Y2164" s="5" t="str">
        <f ca="1">IFERROR(__xludf.DUMMYFUNCTION("""COMPUTED_VALUE"""),"Shooter argued with victims in parking lot before getting gun from car and shooting them")</f>
        <v>Shooter argued with victims in parking lot before getting gun from car and shooting them</v>
      </c>
      <c r="Z2164" s="5" t="str">
        <f ca="1">IFERROR(__xludf.DUMMYFUNCTION("""COMPUTED_VALUE"""),"The shooter was a former student who had dropped out. The shooter got into a verbal dispute with the victims outside of the school building. The initial dispute ended and the shooter walked away from the victims. The shooter walked to his car, got a pisto"&amp;"l, and returned to fire at the victims. The shooting may have stemmed from an ongoing dispute between the shooter and victims.")</f>
        <v>The shooter was a former student who had dropped out. The shooter got into a verbal dispute with the victims outside of the school building. The initial dispute ended and the shooter walked away from the victims. The shooter walked to his car, got a pistol, and returned to fire at the victims. The shooting may have stemmed from an ongoing dispute between the shooter and victims.</v>
      </c>
      <c r="AA2164" s="5" t="str">
        <f ca="1">IFERROR(__xludf.DUMMYFUNCTION("""COMPUTED_VALUE"""),"Escalation of Dispute")</f>
        <v>Escalation of Dispute</v>
      </c>
      <c r="AB2164" s="5" t="str">
        <f ca="1">IFERROR(__xludf.DUMMYFUNCTION("""COMPUTED_VALUE"""),"Victims Targeted")</f>
        <v>Victims Targeted</v>
      </c>
      <c r="AC2164" s="5" t="str">
        <f ca="1">IFERROR(__xludf.DUMMYFUNCTION("""COMPUTED_VALUE"""),"No")</f>
        <v>No</v>
      </c>
      <c r="AD2164" s="5" t="str">
        <f ca="1">IFERROR(__xludf.DUMMYFUNCTION("""COMPUTED_VALUE"""),"No")</f>
        <v>No</v>
      </c>
      <c r="AE2164" s="5" t="str">
        <f ca="1">IFERROR(__xludf.DUMMYFUNCTION("""COMPUTED_VALUE"""),"No")</f>
        <v>No</v>
      </c>
      <c r="AF2164" s="5" t="str">
        <f ca="1">IFERROR(__xludf.DUMMYFUNCTION("""COMPUTED_VALUE"""),"No")</f>
        <v>No</v>
      </c>
      <c r="AG2164" s="5" t="str">
        <f ca="1">IFERROR(__xludf.DUMMYFUNCTION("""COMPUTED_VALUE"""),"No")</f>
        <v>No</v>
      </c>
      <c r="AH2164" s="5" t="str">
        <f ca="1">IFERROR(__xludf.DUMMYFUNCTION("""COMPUTED_VALUE"""),"No")</f>
        <v>No</v>
      </c>
      <c r="AI2164" s="5" t="str">
        <f ca="1">IFERROR(__xludf.DUMMYFUNCTION("""COMPUTED_VALUE"""),"No")</f>
        <v>No</v>
      </c>
      <c r="AJ2164" s="5"/>
    </row>
    <row r="2165" spans="1:36" ht="13">
      <c r="A2165" s="5" t="str">
        <f ca="1">IFERROR(__xludf.DUMMYFUNCTION("""COMPUTED_VALUE"""),"19780610MAWEW")</f>
        <v>19780610MAWEW</v>
      </c>
      <c r="B2165" s="5">
        <f ca="1">IFERROR(__xludf.DUMMYFUNCTION("""COMPUTED_VALUE"""),6)</f>
        <v>6</v>
      </c>
      <c r="C2165" s="5">
        <f ca="1">IFERROR(__xludf.DUMMYFUNCTION("""COMPUTED_VALUE"""),10)</f>
        <v>10</v>
      </c>
      <c r="D2165" s="5">
        <f ca="1">IFERROR(__xludf.DUMMYFUNCTION("""COMPUTED_VALUE"""),1978)</f>
        <v>1978</v>
      </c>
      <c r="E2165" s="8">
        <f ca="1">IFERROR(__xludf.DUMMYFUNCTION("""COMPUTED_VALUE"""),28651)</f>
        <v>28651</v>
      </c>
      <c r="F2165" s="5" t="str">
        <f ca="1">IFERROR(__xludf.DUMMYFUNCTION("""COMPUTED_VALUE"""),"Weymouth South High School")</f>
        <v>Weymouth South High School</v>
      </c>
      <c r="G2165" s="5">
        <f ca="1">IFERROR(__xludf.DUMMYFUNCTION("""COMPUTED_VALUE"""),0)</f>
        <v>0</v>
      </c>
      <c r="H2165" s="5">
        <f ca="1">IFERROR(__xludf.DUMMYFUNCTION("""COMPUTED_VALUE"""),0)</f>
        <v>0</v>
      </c>
      <c r="I2165" s="5">
        <f ca="1">IFERROR(__xludf.DUMMYFUNCTION("""COMPUTED_VALUE"""),0)</f>
        <v>0</v>
      </c>
      <c r="J2165" s="5">
        <f ca="1">IFERROR(__xludf.DUMMYFUNCTION("""COMPUTED_VALUE"""),0)</f>
        <v>0</v>
      </c>
      <c r="K2165" s="9" t="str">
        <f ca="1">IFERROR(__xludf.DUMMYFUNCTION("""COMPUTED_VALUE"""),"https://www.newspapers.com/image/72988843/?terms=Weymouth%2BSouth%2BHigh%2BSchool%2Bshooting")</f>
        <v>https://www.newspapers.com/image/72988843/?terms=Weymouth%2BSouth%2BHigh%2BSchool%2Bshooting</v>
      </c>
      <c r="L2165" s="5"/>
      <c r="M2165" s="5"/>
      <c r="N2165" s="5">
        <f ca="1">IFERROR(__xludf.DUMMYFUNCTION("""COMPUTED_VALUE"""),2)</f>
        <v>2</v>
      </c>
      <c r="O2165" s="5" t="str">
        <f ca="1">IFERROR(__xludf.DUMMYFUNCTION("""COMPUTED_VALUE"""),"Summer")</f>
        <v>Summer</v>
      </c>
      <c r="P2165" s="5" t="str">
        <f ca="1">IFERROR(__xludf.DUMMYFUNCTION("""COMPUTED_VALUE"""),"Weymouth")</f>
        <v>Weymouth</v>
      </c>
      <c r="Q2165" s="5" t="str">
        <f ca="1">IFERROR(__xludf.DUMMYFUNCTION("""COMPUTED_VALUE"""),"MA")</f>
        <v>MA</v>
      </c>
      <c r="R2165" s="5" t="str">
        <f ca="1">IFERROR(__xludf.DUMMYFUNCTION("""COMPUTED_VALUE"""),"High")</f>
        <v>High</v>
      </c>
      <c r="S2165" s="5" t="str">
        <f ca="1">IFERROR(__xludf.DUMMYFUNCTION("""COMPUTED_VALUE"""),"Auditorium")</f>
        <v>Auditorium</v>
      </c>
      <c r="T2165" s="5" t="str">
        <f ca="1">IFERROR(__xludf.DUMMYFUNCTION("""COMPUTED_VALUE"""),"Inside School Building")</f>
        <v>Inside School Building</v>
      </c>
      <c r="U2165" s="5" t="str">
        <f ca="1">IFERROR(__xludf.DUMMYFUNCTION("""COMPUTED_VALUE"""),"No")</f>
        <v>No</v>
      </c>
      <c r="V2165" s="5" t="str">
        <f ca="1">IFERROR(__xludf.DUMMYFUNCTION("""COMPUTED_VALUE"""),"School Event")</f>
        <v>School Event</v>
      </c>
      <c r="W2165" s="5"/>
      <c r="X2165" s="5">
        <f ca="1">IFERROR(__xludf.DUMMYFUNCTION("""COMPUTED_VALUE"""),1)</f>
        <v>1</v>
      </c>
      <c r="Y2165" s="5" t="str">
        <f ca="1">IFERROR(__xludf.DUMMYFUNCTION("""COMPUTED_VALUE"""),"Student shot self on stage at commencement")</f>
        <v>Student shot self on stage at commencement</v>
      </c>
      <c r="Z2165" s="5" t="str">
        <f ca="1">IFERROR(__xludf.DUMMYFUNCTION("""COMPUTED_VALUE"""),"Student walked onto stage during school commencement and shot himself with a .22 pistol. Graduation continued 20 minutes later. Student had no history of issues and was said to be ""happy go lucky"" by school officials.")</f>
        <v>Student walked onto stage during school commencement and shot himself with a .22 pistol. Graduation continued 20 minutes later. Student had no history of issues and was said to be "happy go lucky" by school officials.</v>
      </c>
      <c r="AA2165" s="5" t="str">
        <f ca="1">IFERROR(__xludf.DUMMYFUNCTION("""COMPUTED_VALUE"""),"Suicide/Attempted")</f>
        <v>Suicide/Attempted</v>
      </c>
      <c r="AB2165" s="5" t="str">
        <f ca="1">IFERROR(__xludf.DUMMYFUNCTION("""COMPUTED_VALUE"""),"Victims Targeted")</f>
        <v>Victims Targeted</v>
      </c>
      <c r="AC2165" s="5" t="str">
        <f ca="1">IFERROR(__xludf.DUMMYFUNCTION("""COMPUTED_VALUE"""),"No")</f>
        <v>No</v>
      </c>
      <c r="AD2165" s="5" t="str">
        <f ca="1">IFERROR(__xludf.DUMMYFUNCTION("""COMPUTED_VALUE"""),"No")</f>
        <v>No</v>
      </c>
      <c r="AE2165" s="5" t="str">
        <f ca="1">IFERROR(__xludf.DUMMYFUNCTION("""COMPUTED_VALUE"""),"No")</f>
        <v>No</v>
      </c>
      <c r="AF2165" s="5" t="str">
        <f ca="1">IFERROR(__xludf.DUMMYFUNCTION("""COMPUTED_VALUE"""),"No")</f>
        <v>No</v>
      </c>
      <c r="AG2165" s="5" t="str">
        <f ca="1">IFERROR(__xludf.DUMMYFUNCTION("""COMPUTED_VALUE"""),"No")</f>
        <v>No</v>
      </c>
      <c r="AH2165" s="5" t="str">
        <f ca="1">IFERROR(__xludf.DUMMYFUNCTION("""COMPUTED_VALUE"""),"No")</f>
        <v>No</v>
      </c>
      <c r="AI2165" s="5" t="str">
        <f ca="1">IFERROR(__xludf.DUMMYFUNCTION("""COMPUTED_VALUE"""),"No")</f>
        <v>No</v>
      </c>
      <c r="AJ2165" s="5"/>
    </row>
    <row r="2166" spans="1:36" ht="13">
      <c r="A2166" s="5" t="str">
        <f ca="1">IFERROR(__xludf.DUMMYFUNCTION("""COMPUTED_VALUE"""),"19780607DEDOD")</f>
        <v>19780607DEDOD</v>
      </c>
      <c r="B2166" s="5">
        <f ca="1">IFERROR(__xludf.DUMMYFUNCTION("""COMPUTED_VALUE"""),6)</f>
        <v>6</v>
      </c>
      <c r="C2166" s="5">
        <f ca="1">IFERROR(__xludf.DUMMYFUNCTION("""COMPUTED_VALUE"""),7)</f>
        <v>7</v>
      </c>
      <c r="D2166" s="5">
        <f ca="1">IFERROR(__xludf.DUMMYFUNCTION("""COMPUTED_VALUE"""),1978)</f>
        <v>1978</v>
      </c>
      <c r="E2166" s="8">
        <f ca="1">IFERROR(__xludf.DUMMYFUNCTION("""COMPUTED_VALUE"""),28648)</f>
        <v>28648</v>
      </c>
      <c r="F2166" s="5" t="str">
        <f ca="1">IFERROR(__xludf.DUMMYFUNCTION("""COMPUTED_VALUE"""),"Dover Air High")</f>
        <v>Dover Air High</v>
      </c>
      <c r="G2166" s="5">
        <f ca="1">IFERROR(__xludf.DUMMYFUNCTION("""COMPUTED_VALUE"""),1)</f>
        <v>1</v>
      </c>
      <c r="H2166" s="5">
        <f ca="1">IFERROR(__xludf.DUMMYFUNCTION("""COMPUTED_VALUE"""),0)</f>
        <v>0</v>
      </c>
      <c r="I2166" s="5">
        <f ca="1">IFERROR(__xludf.DUMMYFUNCTION("""COMPUTED_VALUE"""),1)</f>
        <v>1</v>
      </c>
      <c r="J2166" s="5">
        <f ca="1">IFERROR(__xludf.DUMMYFUNCTION("""COMPUTED_VALUE"""),0)</f>
        <v>0</v>
      </c>
      <c r="K2166" s="9" t="str">
        <f ca="1">IFERROR(__xludf.DUMMYFUNCTION("""COMPUTED_VALUE"""),"https://www.newspapers.com/image/160873897/?terms=Adams%2BElementary%2BSchool%2Bshooting")</f>
        <v>https://www.newspapers.com/image/160873897/?terms=Adams%2BElementary%2BSchool%2Bshooting</v>
      </c>
      <c r="L2166" s="5"/>
      <c r="M2166" s="5"/>
      <c r="N2166" s="5">
        <f ca="1">IFERROR(__xludf.DUMMYFUNCTION("""COMPUTED_VALUE"""),2)</f>
        <v>2</v>
      </c>
      <c r="O2166" s="5" t="str">
        <f ca="1">IFERROR(__xludf.DUMMYFUNCTION("""COMPUTED_VALUE"""),"Summer")</f>
        <v>Summer</v>
      </c>
      <c r="P2166" s="5" t="str">
        <f ca="1">IFERROR(__xludf.DUMMYFUNCTION("""COMPUTED_VALUE"""),"Dover")</f>
        <v>Dover</v>
      </c>
      <c r="Q2166" s="5" t="str">
        <f ca="1">IFERROR(__xludf.DUMMYFUNCTION("""COMPUTED_VALUE"""),"DE")</f>
        <v>DE</v>
      </c>
      <c r="R2166" s="5" t="str">
        <f ca="1">IFERROR(__xludf.DUMMYFUNCTION("""COMPUTED_VALUE"""),"High")</f>
        <v>High</v>
      </c>
      <c r="S2166" s="5" t="str">
        <f ca="1">IFERROR(__xludf.DUMMYFUNCTION("""COMPUTED_VALUE"""),"Off School Property")</f>
        <v>Off School Property</v>
      </c>
      <c r="T2166" s="5" t="str">
        <f ca="1">IFERROR(__xludf.DUMMYFUNCTION("""COMPUTED_VALUE"""),"Off School Property")</f>
        <v>Off School Property</v>
      </c>
      <c r="U2166" s="5" t="str">
        <f ca="1">IFERROR(__xludf.DUMMYFUNCTION("""COMPUTED_VALUE"""),"No")</f>
        <v>No</v>
      </c>
      <c r="V2166" s="5" t="str">
        <f ca="1">IFERROR(__xludf.DUMMYFUNCTION("""COMPUTED_VALUE"""),"School Event")</f>
        <v>School Event</v>
      </c>
      <c r="W2166" s="5"/>
      <c r="X2166" s="5">
        <f ca="1">IFERROR(__xludf.DUMMYFUNCTION("""COMPUTED_VALUE"""),1)</f>
        <v>1</v>
      </c>
      <c r="Y2166" s="5" t="str">
        <f ca="1">IFERROR(__xludf.DUMMYFUNCTION("""COMPUTED_VALUE"""),"Accidental shooting at school picnic")</f>
        <v>Accidental shooting at school picnic</v>
      </c>
      <c r="Z2166" s="5" t="str">
        <f ca="1">IFERROR(__xludf.DUMMYFUNCTION("""COMPUTED_VALUE"""),"17 year-old male student fatally shot a 18 year-old male friend at school picnic. Determined to be an accident.")</f>
        <v>17 year-old male student fatally shot a 18 year-old male friend at school picnic. Determined to be an accident.</v>
      </c>
      <c r="AA2166" s="5" t="str">
        <f ca="1">IFERROR(__xludf.DUMMYFUNCTION("""COMPUTED_VALUE"""),"Accidental")</f>
        <v>Accidental</v>
      </c>
      <c r="AB2166" s="5" t="str">
        <f ca="1">IFERROR(__xludf.DUMMYFUNCTION("""COMPUTED_VALUE"""),"Neither")</f>
        <v>Neither</v>
      </c>
      <c r="AC2166" s="5" t="str">
        <f ca="1">IFERROR(__xludf.DUMMYFUNCTION("""COMPUTED_VALUE"""),"No")</f>
        <v>No</v>
      </c>
      <c r="AD2166" s="5" t="str">
        <f ca="1">IFERROR(__xludf.DUMMYFUNCTION("""COMPUTED_VALUE"""),"No")</f>
        <v>No</v>
      </c>
      <c r="AE2166" s="5" t="str">
        <f ca="1">IFERROR(__xludf.DUMMYFUNCTION("""COMPUTED_VALUE"""),"No")</f>
        <v>No</v>
      </c>
      <c r="AF2166" s="5" t="str">
        <f ca="1">IFERROR(__xludf.DUMMYFUNCTION("""COMPUTED_VALUE"""),"No")</f>
        <v>No</v>
      </c>
      <c r="AG2166" s="5" t="str">
        <f ca="1">IFERROR(__xludf.DUMMYFUNCTION("""COMPUTED_VALUE"""),"No")</f>
        <v>No</v>
      </c>
      <c r="AH2166" s="5" t="str">
        <f ca="1">IFERROR(__xludf.DUMMYFUNCTION("""COMPUTED_VALUE"""),"No")</f>
        <v>No</v>
      </c>
      <c r="AI2166" s="5" t="str">
        <f ca="1">IFERROR(__xludf.DUMMYFUNCTION("""COMPUTED_VALUE"""),"No")</f>
        <v>No</v>
      </c>
      <c r="AJ2166" s="5"/>
    </row>
    <row r="2167" spans="1:36" ht="13">
      <c r="A2167" s="5" t="str">
        <f ca="1">IFERROR(__xludf.DUMMYFUNCTION("""COMPUTED_VALUE"""),"19780519PADOP")</f>
        <v>19780519PADOP</v>
      </c>
      <c r="B2167" s="5">
        <f ca="1">IFERROR(__xludf.DUMMYFUNCTION("""COMPUTED_VALUE"""),5)</f>
        <v>5</v>
      </c>
      <c r="C2167" s="5">
        <f ca="1">IFERROR(__xludf.DUMMYFUNCTION("""COMPUTED_VALUE"""),19)</f>
        <v>19</v>
      </c>
      <c r="D2167" s="5">
        <f ca="1">IFERROR(__xludf.DUMMYFUNCTION("""COMPUTED_VALUE"""),1978)</f>
        <v>1978</v>
      </c>
      <c r="E2167" s="8">
        <f ca="1">IFERROR(__xludf.DUMMYFUNCTION("""COMPUTED_VALUE"""),28629)</f>
        <v>28629</v>
      </c>
      <c r="F2167" s="5" t="str">
        <f ca="1">IFERROR(__xludf.DUMMYFUNCTION("""COMPUTED_VALUE"""),"Downtown Junior High School")</f>
        <v>Downtown Junior High School</v>
      </c>
      <c r="G2167" s="5">
        <f ca="1">IFERROR(__xludf.DUMMYFUNCTION("""COMPUTED_VALUE"""),0)</f>
        <v>0</v>
      </c>
      <c r="H2167" s="5">
        <f ca="1">IFERROR(__xludf.DUMMYFUNCTION("""COMPUTED_VALUE"""),8)</f>
        <v>8</v>
      </c>
      <c r="I2167" s="5">
        <f ca="1">IFERROR(__xludf.DUMMYFUNCTION("""COMPUTED_VALUE"""),8)</f>
        <v>8</v>
      </c>
      <c r="J2167" s="5">
        <f ca="1">IFERROR(__xludf.DUMMYFUNCTION("""COMPUTED_VALUE"""),0)</f>
        <v>0</v>
      </c>
      <c r="K2167" s="9" t="str">
        <f ca="1">IFERROR(__xludf.DUMMYFUNCTION("""COMPUTED_VALUE"""),"https://www.newspapers.com/image/178054448/?terms=school%2Bshooting")</f>
        <v>https://www.newspapers.com/image/178054448/?terms=school%2Bshooting</v>
      </c>
      <c r="L2167" s="5"/>
      <c r="M2167" s="5"/>
      <c r="N2167" s="5">
        <f ca="1">IFERROR(__xludf.DUMMYFUNCTION("""COMPUTED_VALUE"""),2)</f>
        <v>2</v>
      </c>
      <c r="O2167" s="5" t="str">
        <f ca="1">IFERROR(__xludf.DUMMYFUNCTION("""COMPUTED_VALUE"""),"Spring")</f>
        <v>Spring</v>
      </c>
      <c r="P2167" s="5" t="str">
        <f ca="1">IFERROR(__xludf.DUMMYFUNCTION("""COMPUTED_VALUE"""),"Philadelphia")</f>
        <v>Philadelphia</v>
      </c>
      <c r="Q2167" s="5" t="str">
        <f ca="1">IFERROR(__xludf.DUMMYFUNCTION("""COMPUTED_VALUE"""),"PA")</f>
        <v>PA</v>
      </c>
      <c r="R2167" s="5" t="str">
        <f ca="1">IFERROR(__xludf.DUMMYFUNCTION("""COMPUTED_VALUE"""),"Junior High")</f>
        <v>Junior High</v>
      </c>
      <c r="S2167" s="5" t="str">
        <f ca="1">IFERROR(__xludf.DUMMYFUNCTION("""COMPUTED_VALUE"""),"School Bus")</f>
        <v>School Bus</v>
      </c>
      <c r="T2167" s="5" t="str">
        <f ca="1">IFERROR(__xludf.DUMMYFUNCTION("""COMPUTED_VALUE"""),"School Bus")</f>
        <v>School Bus</v>
      </c>
      <c r="U2167" s="5" t="str">
        <f ca="1">IFERROR(__xludf.DUMMYFUNCTION("""COMPUTED_VALUE"""),"Yes")</f>
        <v>Yes</v>
      </c>
      <c r="V2167" s="5" t="str">
        <f ca="1">IFERROR(__xludf.DUMMYFUNCTION("""COMPUTED_VALUE"""),"Afternoon Classes")</f>
        <v>Afternoon Classes</v>
      </c>
      <c r="W2167" s="5"/>
      <c r="X2167" s="5">
        <f ca="1">IFERROR(__xludf.DUMMYFUNCTION("""COMPUTED_VALUE"""),1)</f>
        <v>1</v>
      </c>
      <c r="Y2167" s="5" t="str">
        <f ca="1">IFERROR(__xludf.DUMMYFUNCTION("""COMPUTED_VALUE"""),"Shots deliberately fired a school bus")</f>
        <v>Shots deliberately fired a school bus</v>
      </c>
      <c r="Z2167" s="5" t="str">
        <f ca="1">IFERROR(__xludf.DUMMYFUNCTION("""COMPUTED_VALUE"""),"School bus was deliberately shot while students were returning from trip to the zoo. 8 students were injured. No suspect was identified. No motive known. Multiple .22 and .30 caliber rounds struck the bus.")</f>
        <v>School bus was deliberately shot while students were returning from trip to the zoo. 8 students were injured. No suspect was identified. No motive known. Multiple .22 and .30 caliber rounds struck the bus.</v>
      </c>
      <c r="AA2167" s="5" t="str">
        <f ca="1">IFERROR(__xludf.DUMMYFUNCTION("""COMPUTED_VALUE"""),"Indiscriminate Shooting")</f>
        <v>Indiscriminate Shooting</v>
      </c>
      <c r="AB2167" s="5"/>
      <c r="AC2167" s="5" t="str">
        <f ca="1">IFERROR(__xludf.DUMMYFUNCTION("""COMPUTED_VALUE"""),"No")</f>
        <v>No</v>
      </c>
      <c r="AD2167" s="5" t="str">
        <f ca="1">IFERROR(__xludf.DUMMYFUNCTION("""COMPUTED_VALUE"""),"No")</f>
        <v>No</v>
      </c>
      <c r="AE2167" s="5" t="str">
        <f ca="1">IFERROR(__xludf.DUMMYFUNCTION("""COMPUTED_VALUE"""),"No")</f>
        <v>No</v>
      </c>
      <c r="AF2167" s="5" t="str">
        <f ca="1">IFERROR(__xludf.DUMMYFUNCTION("""COMPUTED_VALUE"""),"No")</f>
        <v>No</v>
      </c>
      <c r="AG2167" s="5"/>
      <c r="AH2167" s="5"/>
      <c r="AI2167" s="5"/>
      <c r="AJ2167" s="5" t="str">
        <f ca="1">IFERROR(__xludf.DUMMYFUNCTION("""COMPUTED_VALUE"""),"Yes")</f>
        <v>Yes</v>
      </c>
    </row>
    <row r="2168" spans="1:36" ht="13">
      <c r="A2168" s="5" t="str">
        <f ca="1">IFERROR(__xludf.DUMMYFUNCTION("""COMPUTED_VALUE"""),"19780518TXMUA")</f>
        <v>19780518TXMUA</v>
      </c>
      <c r="B2168" s="5">
        <f ca="1">IFERROR(__xludf.DUMMYFUNCTION("""COMPUTED_VALUE"""),5)</f>
        <v>5</v>
      </c>
      <c r="C2168" s="5">
        <f ca="1">IFERROR(__xludf.DUMMYFUNCTION("""COMPUTED_VALUE"""),18)</f>
        <v>18</v>
      </c>
      <c r="D2168" s="5">
        <f ca="1">IFERROR(__xludf.DUMMYFUNCTION("""COMPUTED_VALUE"""),1978)</f>
        <v>1978</v>
      </c>
      <c r="E2168" s="8">
        <f ca="1">IFERROR(__xludf.DUMMYFUNCTION("""COMPUTED_VALUE"""),28628)</f>
        <v>28628</v>
      </c>
      <c r="F2168" s="5" t="str">
        <f ca="1">IFERROR(__xludf.DUMMYFUNCTION("""COMPUTED_VALUE"""),"Murchison Junior High School")</f>
        <v>Murchison Junior High School</v>
      </c>
      <c r="G2168" s="5">
        <f ca="1">IFERROR(__xludf.DUMMYFUNCTION("""COMPUTED_VALUE"""),1)</f>
        <v>1</v>
      </c>
      <c r="H2168" s="5">
        <f ca="1">IFERROR(__xludf.DUMMYFUNCTION("""COMPUTED_VALUE"""),0)</f>
        <v>0</v>
      </c>
      <c r="I2168" s="5">
        <f ca="1">IFERROR(__xludf.DUMMYFUNCTION("""COMPUTED_VALUE"""),1)</f>
        <v>1</v>
      </c>
      <c r="J2168" s="5">
        <f ca="1">IFERROR(__xludf.DUMMYFUNCTION("""COMPUTED_VALUE"""),0)</f>
        <v>0</v>
      </c>
      <c r="K2168" s="5" t="str">
        <f ca="1">IFERROR(__xludf.DUMMYFUNCTION("""COMPUTED_VALUE"""),"https://www.nytimes.com/1978/05/19/archives/boy-arrested-in-teachers-killing.html https://www.newspapers.com/image/341795245/?terms=school%2Bshooting https://www.texasmonthly.com/articles/the-school-shooting-that-austin-forgot/")</f>
        <v>https://www.nytimes.com/1978/05/19/archives/boy-arrested-in-teachers-killing.html https://www.newspapers.com/image/341795245/?terms=school%2Bshooting https://www.texasmonthly.com/articles/the-school-shooting-that-austin-forgot/</v>
      </c>
      <c r="L2168" s="5"/>
      <c r="M2168" s="5" t="str">
        <f ca="1">IFERROR(__xludf.DUMMYFUNCTION("""COMPUTED_VALUE"""),"National")</f>
        <v>National</v>
      </c>
      <c r="N2168" s="5">
        <f ca="1">IFERROR(__xludf.DUMMYFUNCTION("""COMPUTED_VALUE"""),4)</f>
        <v>4</v>
      </c>
      <c r="O2168" s="5" t="str">
        <f ca="1">IFERROR(__xludf.DUMMYFUNCTION("""COMPUTED_VALUE"""),"Spring")</f>
        <v>Spring</v>
      </c>
      <c r="P2168" s="5" t="str">
        <f ca="1">IFERROR(__xludf.DUMMYFUNCTION("""COMPUTED_VALUE"""),"Austin")</f>
        <v>Austin</v>
      </c>
      <c r="Q2168" s="5" t="str">
        <f ca="1">IFERROR(__xludf.DUMMYFUNCTION("""COMPUTED_VALUE"""),"TX")</f>
        <v>TX</v>
      </c>
      <c r="R2168" s="5" t="str">
        <f ca="1">IFERROR(__xludf.DUMMYFUNCTION("""COMPUTED_VALUE"""),"Junior High")</f>
        <v>Junior High</v>
      </c>
      <c r="S2168" s="5" t="str">
        <f ca="1">IFERROR(__xludf.DUMMYFUNCTION("""COMPUTED_VALUE"""),"Classroom")</f>
        <v>Classroom</v>
      </c>
      <c r="T2168" s="5" t="str">
        <f ca="1">IFERROR(__xludf.DUMMYFUNCTION("""COMPUTED_VALUE"""),"Inside School Building")</f>
        <v>Inside School Building</v>
      </c>
      <c r="U2168" s="5" t="str">
        <f ca="1">IFERROR(__xludf.DUMMYFUNCTION("""COMPUTED_VALUE"""),"Yes")</f>
        <v>Yes</v>
      </c>
      <c r="V2168" s="5" t="str">
        <f ca="1">IFERROR(__xludf.DUMMYFUNCTION("""COMPUTED_VALUE"""),"Morning Classes")</f>
        <v>Morning Classes</v>
      </c>
      <c r="W2168" s="10">
        <f ca="1">IFERROR(__xludf.DUMMYFUNCTION("""COMPUTED_VALUE"""),0.375)</f>
        <v>0.375</v>
      </c>
      <c r="X2168" s="5">
        <f ca="1">IFERROR(__xludf.DUMMYFUNCTION("""COMPUTED_VALUE"""),1)</f>
        <v>1</v>
      </c>
      <c r="Y2168" s="5" t="str">
        <f ca="1">IFERROR(__xludf.DUMMYFUNCTION("""COMPUTED_VALUE"""),"Shot teacher multiple times in classroom")</f>
        <v>Shot teacher multiple times in classroom</v>
      </c>
      <c r="Z2168" s="5" t="str">
        <f ca="1">IFERROR(__xludf.DUMMYFUNCTION("""COMPUTED_VALUE"""),"Shooter walked into teacher's classroom with a rifle, fired multiple shots killing the teacher, fled the school, and was detained by the gym teacher. Shooter was a straight A student and had got a failing grade on the assignment by the teacher. Shooter wa"&amp;"s the son of President Johnson's press secretary. The origins/extentent of shooter's mental illness are unknowable (low emotional range, violent outbursts, suicidal ideation - considered killing himself prior to the shooting, manic, delusions). Two years "&amp;"before the shooting, a sixth grade classmate noticed that John had sketched a scene of a mass shooting, with red flames leaping out of the gun. Had a detailed map he drew of the school that he destroyed after the shooting. Hid in a closet while other stud"&amp;"ents went into the classroom and then entered later after class started. Rifle used was a christmas gift from parents. Two psychiatrists testified that shooter was “acutely depressed” and suffered from “latent schizophrenia”.")</f>
        <v>Shooter walked into teacher's classroom with a rifle, fired multiple shots killing the teacher, fled the school, and was detained by the gym teacher. Shooter was a straight A student and had got a failing grade on the assignment by the teacher. Shooter was the son of President Johnson's press secretary. The origins/extentent of shooter's mental illness are unknowable (low emotional range, violent outbursts, suicidal ideation - considered killing himself prior to the shooting, manic, delusions). Two years before the shooting, a sixth grade classmate noticed that John had sketched a scene of a mass shooting, with red flames leaping out of the gun. Had a detailed map he drew of the school that he destroyed after the shooting. Hid in a closet while other students went into the classroom and then entered later after class started. Rifle used was a christmas gift from parents. Two psychiatrists testified that shooter was “acutely depressed” and suffered from “latent schizophrenia”.</v>
      </c>
      <c r="AA2168" s="5" t="str">
        <f ca="1">IFERROR(__xludf.DUMMYFUNCTION("""COMPUTED_VALUE"""),"Psychosis")</f>
        <v>Psychosis</v>
      </c>
      <c r="AB2168" s="5" t="str">
        <f ca="1">IFERROR(__xludf.DUMMYFUNCTION("""COMPUTED_VALUE"""),"Victims Targeted")</f>
        <v>Victims Targeted</v>
      </c>
      <c r="AC2168" s="5" t="str">
        <f ca="1">IFERROR(__xludf.DUMMYFUNCTION("""COMPUTED_VALUE"""),"No")</f>
        <v>No</v>
      </c>
      <c r="AD2168" s="5" t="str">
        <f ca="1">IFERROR(__xludf.DUMMYFUNCTION("""COMPUTED_VALUE"""),"No")</f>
        <v>No</v>
      </c>
      <c r="AE2168" s="5" t="str">
        <f ca="1">IFERROR(__xludf.DUMMYFUNCTION("""COMPUTED_VALUE"""),"No")</f>
        <v>No</v>
      </c>
      <c r="AF2168" s="5" t="str">
        <f ca="1">IFERROR(__xludf.DUMMYFUNCTION("""COMPUTED_VALUE"""),"No")</f>
        <v>No</v>
      </c>
      <c r="AG2168" s="5" t="str">
        <f ca="1">IFERROR(__xludf.DUMMYFUNCTION("""COMPUTED_VALUE"""),"No")</f>
        <v>No</v>
      </c>
      <c r="AH2168" s="5" t="str">
        <f ca="1">IFERROR(__xludf.DUMMYFUNCTION("""COMPUTED_VALUE"""),"No")</f>
        <v>No</v>
      </c>
      <c r="AI2168" s="5" t="str">
        <f ca="1">IFERROR(__xludf.DUMMYFUNCTION("""COMPUTED_VALUE"""),"No")</f>
        <v>No</v>
      </c>
      <c r="AJ2168" s="5" t="str">
        <f ca="1">IFERROR(__xludf.DUMMYFUNCTION("""COMPUTED_VALUE"""),"No")</f>
        <v>No</v>
      </c>
    </row>
    <row r="2169" spans="1:36" ht="13">
      <c r="A2169" s="5" t="str">
        <f ca="1">IFERROR(__xludf.DUMMYFUNCTION("""COMPUTED_VALUE"""),"19780428ILRIN")</f>
        <v>19780428ILRIN</v>
      </c>
      <c r="B2169" s="5">
        <f ca="1">IFERROR(__xludf.DUMMYFUNCTION("""COMPUTED_VALUE"""),4)</f>
        <v>4</v>
      </c>
      <c r="C2169" s="5">
        <f ca="1">IFERROR(__xludf.DUMMYFUNCTION("""COMPUTED_VALUE"""),28)</f>
        <v>28</v>
      </c>
      <c r="D2169" s="5">
        <f ca="1">IFERROR(__xludf.DUMMYFUNCTION("""COMPUTED_VALUE"""),1978)</f>
        <v>1978</v>
      </c>
      <c r="E2169" s="8">
        <f ca="1">IFERROR(__xludf.DUMMYFUNCTION("""COMPUTED_VALUE"""),28608)</f>
        <v>28608</v>
      </c>
      <c r="F2169" s="5" t="str">
        <f ca="1">IFERROR(__xludf.DUMMYFUNCTION("""COMPUTED_VALUE"""),"Ridgewood High School")</f>
        <v>Ridgewood High School</v>
      </c>
      <c r="G2169" s="5">
        <f ca="1">IFERROR(__xludf.DUMMYFUNCTION("""COMPUTED_VALUE"""),2)</f>
        <v>2</v>
      </c>
      <c r="H2169" s="5">
        <f ca="1">IFERROR(__xludf.DUMMYFUNCTION("""COMPUTED_VALUE"""),2)</f>
        <v>2</v>
      </c>
      <c r="I2169" s="5">
        <f ca="1">IFERROR(__xludf.DUMMYFUNCTION("""COMPUTED_VALUE"""),4)</f>
        <v>4</v>
      </c>
      <c r="J2169" s="5">
        <f ca="1">IFERROR(__xludf.DUMMYFUNCTION("""COMPUTED_VALUE"""),0)</f>
        <v>0</v>
      </c>
      <c r="K2169" s="9" t="str">
        <f ca="1">IFERROR(__xludf.DUMMYFUNCTION("""COMPUTED_VALUE"""),"https://www.newspapers.com/image/385395737/?terms=Ridgewood%2BHigh%2BSchool%2Bdance")</f>
        <v>https://www.newspapers.com/image/385395737/?terms=Ridgewood%2BHigh%2BSchool%2Bdance</v>
      </c>
      <c r="L2169" s="5"/>
      <c r="M2169" s="5"/>
      <c r="N2169" s="5">
        <f ca="1">IFERROR(__xludf.DUMMYFUNCTION("""COMPUTED_VALUE"""),2)</f>
        <v>2</v>
      </c>
      <c r="O2169" s="5" t="str">
        <f ca="1">IFERROR(__xludf.DUMMYFUNCTION("""COMPUTED_VALUE"""),"Spring")</f>
        <v>Spring</v>
      </c>
      <c r="P2169" s="5" t="str">
        <f ca="1">IFERROR(__xludf.DUMMYFUNCTION("""COMPUTED_VALUE"""),"Norridge")</f>
        <v>Norridge</v>
      </c>
      <c r="Q2169" s="5" t="str">
        <f ca="1">IFERROR(__xludf.DUMMYFUNCTION("""COMPUTED_VALUE"""),"IL")</f>
        <v>IL</v>
      </c>
      <c r="R2169" s="5" t="str">
        <f ca="1">IFERROR(__xludf.DUMMYFUNCTION("""COMPUTED_VALUE"""),"High")</f>
        <v>High</v>
      </c>
      <c r="S2169" s="5" t="str">
        <f ca="1">IFERROR(__xludf.DUMMYFUNCTION("""COMPUTED_VALUE"""),"Beside Building")</f>
        <v>Beside Building</v>
      </c>
      <c r="T2169" s="5" t="str">
        <f ca="1">IFERROR(__xludf.DUMMYFUNCTION("""COMPUTED_VALUE"""),"Outside on School Property")</f>
        <v>Outside on School Property</v>
      </c>
      <c r="U2169" s="5" t="str">
        <f ca="1">IFERROR(__xludf.DUMMYFUNCTION("""COMPUTED_VALUE"""),"No")</f>
        <v>No</v>
      </c>
      <c r="V2169" s="5" t="str">
        <f ca="1">IFERROR(__xludf.DUMMYFUNCTION("""COMPUTED_VALUE"""),"School Event")</f>
        <v>School Event</v>
      </c>
      <c r="W2169" s="10">
        <f ca="1">IFERROR(__xludf.DUMMYFUNCTION("""COMPUTED_VALUE"""),0.9375)</f>
        <v>0.9375</v>
      </c>
      <c r="X2169" s="5">
        <f ca="1">IFERROR(__xludf.DUMMYFUNCTION("""COMPUTED_VALUE"""),1)</f>
        <v>1</v>
      </c>
      <c r="Y2169" s="5" t="str">
        <f ca="1">IFERROR(__xludf.DUMMYFUNCTION("""COMPUTED_VALUE"""),"Shooting outside school dance")</f>
        <v>Shooting outside school dance</v>
      </c>
      <c r="Z2169" s="5" t="str">
        <f ca="1">IFERROR(__xludf.DUMMYFUNCTION("""COMPUTED_VALUE"""),"Unidentified juvenile student shot 4 other students outside of the school dance. Teachers were unaware of any conflict between the students. Police did not release a motive.")</f>
        <v>Unidentified juvenile student shot 4 other students outside of the school dance. Teachers were unaware of any conflict between the students. Police did not release a motive.</v>
      </c>
      <c r="AA2169" s="5" t="str">
        <f ca="1">IFERROR(__xludf.DUMMYFUNCTION("""COMPUTED_VALUE"""),"Escalation of Dispute")</f>
        <v>Escalation of Dispute</v>
      </c>
      <c r="AB2169" s="5"/>
      <c r="AC2169" s="5" t="str">
        <f ca="1">IFERROR(__xludf.DUMMYFUNCTION("""COMPUTED_VALUE"""),"No")</f>
        <v>No</v>
      </c>
      <c r="AD2169" s="5" t="str">
        <f ca="1">IFERROR(__xludf.DUMMYFUNCTION("""COMPUTED_VALUE"""),"No")</f>
        <v>No</v>
      </c>
      <c r="AE2169" s="5" t="str">
        <f ca="1">IFERROR(__xludf.DUMMYFUNCTION("""COMPUTED_VALUE"""),"No")</f>
        <v>No</v>
      </c>
      <c r="AF2169" s="5" t="str">
        <f ca="1">IFERROR(__xludf.DUMMYFUNCTION("""COMPUTED_VALUE"""),"No")</f>
        <v>No</v>
      </c>
      <c r="AG2169" s="5"/>
      <c r="AH2169" s="5" t="str">
        <f ca="1">IFERROR(__xludf.DUMMYFUNCTION("""COMPUTED_VALUE"""),"No")</f>
        <v>No</v>
      </c>
      <c r="AI2169" s="5" t="str">
        <f ca="1">IFERROR(__xludf.DUMMYFUNCTION("""COMPUTED_VALUE"""),"No")</f>
        <v>No</v>
      </c>
      <c r="AJ2169" s="5" t="str">
        <f ca="1">IFERROR(__xludf.DUMMYFUNCTION("""COMPUTED_VALUE"""),"Yes")</f>
        <v>Yes</v>
      </c>
    </row>
    <row r="2170" spans="1:36" ht="13">
      <c r="A2170" s="5" t="str">
        <f ca="1">IFERROR(__xludf.DUMMYFUNCTION("""COMPUTED_VALUE"""),"19780426TXPAD")</f>
        <v>19780426TXPAD</v>
      </c>
      <c r="B2170" s="5">
        <f ca="1">IFERROR(__xludf.DUMMYFUNCTION("""COMPUTED_VALUE"""),4)</f>
        <v>4</v>
      </c>
      <c r="C2170" s="5">
        <f ca="1">IFERROR(__xludf.DUMMYFUNCTION("""COMPUTED_VALUE"""),26)</f>
        <v>26</v>
      </c>
      <c r="D2170" s="5">
        <f ca="1">IFERROR(__xludf.DUMMYFUNCTION("""COMPUTED_VALUE"""),1978)</f>
        <v>1978</v>
      </c>
      <c r="E2170" s="8">
        <f ca="1">IFERROR(__xludf.DUMMYFUNCTION("""COMPUTED_VALUE"""),28606)</f>
        <v>28606</v>
      </c>
      <c r="F2170" s="5" t="str">
        <f ca="1">IFERROR(__xludf.DUMMYFUNCTION("""COMPUTED_VALUE"""),"Paul Dunbar Elementary School")</f>
        <v>Paul Dunbar Elementary School</v>
      </c>
      <c r="G2170" s="5">
        <f ca="1">IFERROR(__xludf.DUMMYFUNCTION("""COMPUTED_VALUE"""),1)</f>
        <v>1</v>
      </c>
      <c r="H2170" s="5">
        <f ca="1">IFERROR(__xludf.DUMMYFUNCTION("""COMPUTED_VALUE"""),0)</f>
        <v>0</v>
      </c>
      <c r="I2170" s="5">
        <f ca="1">IFERROR(__xludf.DUMMYFUNCTION("""COMPUTED_VALUE"""),1)</f>
        <v>1</v>
      </c>
      <c r="J2170" s="5">
        <f ca="1">IFERROR(__xludf.DUMMYFUNCTION("""COMPUTED_VALUE"""),0)</f>
        <v>0</v>
      </c>
      <c r="K2170" s="5" t="str">
        <f ca="1">IFERROR(__xludf.DUMMYFUNCTION("""COMPUTED_VALUE"""),"https://www.newspapers.com/image/85049072/?terms=woodrow%2Bporter%2Bjr. https://www.newspapers.com/image/192923844/?terms=school%2Bshooting   https://www.newspapers.com/image/336236544/?terms=woodrow%2Bporter%2Bjr.")</f>
        <v>https://www.newspapers.com/image/85049072/?terms=woodrow%2Bporter%2Bjr. https://www.newspapers.com/image/192923844/?terms=school%2Bshooting   https://www.newspapers.com/image/336236544/?terms=woodrow%2Bporter%2Bjr.</v>
      </c>
      <c r="L2170" s="5"/>
      <c r="M2170" s="5"/>
      <c r="N2170" s="5">
        <f ca="1">IFERROR(__xludf.DUMMYFUNCTION("""COMPUTED_VALUE"""),3)</f>
        <v>3</v>
      </c>
      <c r="O2170" s="5" t="str">
        <f ca="1">IFERROR(__xludf.DUMMYFUNCTION("""COMPUTED_VALUE"""),"Spring")</f>
        <v>Spring</v>
      </c>
      <c r="P2170" s="5" t="str">
        <f ca="1">IFERROR(__xludf.DUMMYFUNCTION("""COMPUTED_VALUE"""),"Dallas")</f>
        <v>Dallas</v>
      </c>
      <c r="Q2170" s="5" t="str">
        <f ca="1">IFERROR(__xludf.DUMMYFUNCTION("""COMPUTED_VALUE"""),"TX")</f>
        <v>TX</v>
      </c>
      <c r="R2170" s="5" t="str">
        <f ca="1">IFERROR(__xludf.DUMMYFUNCTION("""COMPUTED_VALUE"""),"Elementary")</f>
        <v>Elementary</v>
      </c>
      <c r="S2170" s="5" t="str">
        <f ca="1">IFERROR(__xludf.DUMMYFUNCTION("""COMPUTED_VALUE"""),"Office")</f>
        <v>Office</v>
      </c>
      <c r="T2170" s="5" t="str">
        <f ca="1">IFERROR(__xludf.DUMMYFUNCTION("""COMPUTED_VALUE"""),"Inside School Building")</f>
        <v>Inside School Building</v>
      </c>
      <c r="U2170" s="5" t="str">
        <f ca="1">IFERROR(__xludf.DUMMYFUNCTION("""COMPUTED_VALUE"""),"Yes")</f>
        <v>Yes</v>
      </c>
      <c r="V2170" s="5" t="str">
        <f ca="1">IFERROR(__xludf.DUMMYFUNCTION("""COMPUTED_VALUE"""),"Afternoon Classes")</f>
        <v>Afternoon Classes</v>
      </c>
      <c r="W2170" s="5"/>
      <c r="X2170" s="5">
        <f ca="1">IFERROR(__xludf.DUMMYFUNCTION("""COMPUTED_VALUE"""),1)</f>
        <v>1</v>
      </c>
      <c r="Y2170" s="5" t="str">
        <f ca="1">IFERROR(__xludf.DUMMYFUNCTION("""COMPUTED_VALUE"""),"Victim had spanked shooter's granddaughter")</f>
        <v>Victim had spanked shooter's granddaughter</v>
      </c>
      <c r="Z2170" s="5" t="str">
        <f ca="1">IFERROR(__xludf.DUMMYFUNCTION("""COMPUTED_VALUE"""),"Janitor at the school (victim) had spanked the shooter's 8 year old granddaughter so she shot and killed him.")</f>
        <v>Janitor at the school (victim) had spanked the shooter's 8 year old granddaughter so she shot and killed him.</v>
      </c>
      <c r="AA2170" s="5" t="str">
        <f ca="1">IFERROR(__xludf.DUMMYFUNCTION("""COMPUTED_VALUE"""),"Anger Over Grade/Suspension/Discipline")</f>
        <v>Anger Over Grade/Suspension/Discipline</v>
      </c>
      <c r="AB2170" s="5" t="str">
        <f ca="1">IFERROR(__xludf.DUMMYFUNCTION("""COMPUTED_VALUE"""),"Victims Targeted")</f>
        <v>Victims Targeted</v>
      </c>
      <c r="AC2170" s="5" t="str">
        <f ca="1">IFERROR(__xludf.DUMMYFUNCTION("""COMPUTED_VALUE"""),"No")</f>
        <v>No</v>
      </c>
      <c r="AD2170" s="5" t="str">
        <f ca="1">IFERROR(__xludf.DUMMYFUNCTION("""COMPUTED_VALUE"""),"No")</f>
        <v>No</v>
      </c>
      <c r="AE2170" s="5" t="str">
        <f ca="1">IFERROR(__xludf.DUMMYFUNCTION("""COMPUTED_VALUE"""),"No")</f>
        <v>No</v>
      </c>
      <c r="AF2170" s="5" t="str">
        <f ca="1">IFERROR(__xludf.DUMMYFUNCTION("""COMPUTED_VALUE"""),"No")</f>
        <v>No</v>
      </c>
      <c r="AG2170" s="5" t="str">
        <f ca="1">IFERROR(__xludf.DUMMYFUNCTION("""COMPUTED_VALUE"""),"No")</f>
        <v>No</v>
      </c>
      <c r="AH2170" s="5" t="str">
        <f ca="1">IFERROR(__xludf.DUMMYFUNCTION("""COMPUTED_VALUE"""),"No")</f>
        <v>No</v>
      </c>
      <c r="AI2170" s="5" t="str">
        <f ca="1">IFERROR(__xludf.DUMMYFUNCTION("""COMPUTED_VALUE"""),"No")</f>
        <v>No</v>
      </c>
      <c r="AJ2170" s="5"/>
    </row>
    <row r="2171" spans="1:36" ht="13">
      <c r="A2171" s="5" t="str">
        <f ca="1">IFERROR(__xludf.DUMMYFUNCTION("""COMPUTED_VALUE"""),"19780414MIFOD")</f>
        <v>19780414MIFOD</v>
      </c>
      <c r="B2171" s="5">
        <f ca="1">IFERROR(__xludf.DUMMYFUNCTION("""COMPUTED_VALUE"""),4)</f>
        <v>4</v>
      </c>
      <c r="C2171" s="5">
        <f ca="1">IFERROR(__xludf.DUMMYFUNCTION("""COMPUTED_VALUE"""),14)</f>
        <v>14</v>
      </c>
      <c r="D2171" s="5">
        <f ca="1">IFERROR(__xludf.DUMMYFUNCTION("""COMPUTED_VALUE"""),1978)</f>
        <v>1978</v>
      </c>
      <c r="E2171" s="8">
        <f ca="1">IFERROR(__xludf.DUMMYFUNCTION("""COMPUTED_VALUE"""),28594)</f>
        <v>28594</v>
      </c>
      <c r="F2171" s="5" t="str">
        <f ca="1">IFERROR(__xludf.DUMMYFUNCTION("""COMPUTED_VALUE"""),"Fordson High School")</f>
        <v>Fordson High School</v>
      </c>
      <c r="G2171" s="5">
        <f ca="1">IFERROR(__xludf.DUMMYFUNCTION("""COMPUTED_VALUE"""),0)</f>
        <v>0</v>
      </c>
      <c r="H2171" s="5">
        <f ca="1">IFERROR(__xludf.DUMMYFUNCTION("""COMPUTED_VALUE"""),1)</f>
        <v>1</v>
      </c>
      <c r="I2171" s="5">
        <f ca="1">IFERROR(__xludf.DUMMYFUNCTION("""COMPUTED_VALUE"""),1)</f>
        <v>1</v>
      </c>
      <c r="J2171" s="5">
        <f ca="1">IFERROR(__xludf.DUMMYFUNCTION("""COMPUTED_VALUE"""),0)</f>
        <v>0</v>
      </c>
      <c r="K2171" s="9" t="str">
        <f ca="1">IFERROR(__xludf.DUMMYFUNCTION("""COMPUTED_VALUE"""),"https://www.newspapers.com/image/98660556/?terms=school%2Bshooting")</f>
        <v>https://www.newspapers.com/image/98660556/?terms=school%2Bshooting</v>
      </c>
      <c r="L2171" s="5"/>
      <c r="M2171" s="5"/>
      <c r="N2171" s="5">
        <f ca="1">IFERROR(__xludf.DUMMYFUNCTION("""COMPUTED_VALUE"""),2)</f>
        <v>2</v>
      </c>
      <c r="O2171" s="5" t="str">
        <f ca="1">IFERROR(__xludf.DUMMYFUNCTION("""COMPUTED_VALUE"""),"Spring")</f>
        <v>Spring</v>
      </c>
      <c r="P2171" s="5" t="str">
        <f ca="1">IFERROR(__xludf.DUMMYFUNCTION("""COMPUTED_VALUE"""),"Detroit")</f>
        <v>Detroit</v>
      </c>
      <c r="Q2171" s="5" t="str">
        <f ca="1">IFERROR(__xludf.DUMMYFUNCTION("""COMPUTED_VALUE"""),"MI")</f>
        <v>MI</v>
      </c>
      <c r="R2171" s="5" t="str">
        <f ca="1">IFERROR(__xludf.DUMMYFUNCTION("""COMPUTED_VALUE"""),"High")</f>
        <v>High</v>
      </c>
      <c r="S2171" s="5" t="str">
        <f ca="1">IFERROR(__xludf.DUMMYFUNCTION("""COMPUTED_VALUE"""),"Gym")</f>
        <v>Gym</v>
      </c>
      <c r="T2171" s="5" t="str">
        <f ca="1">IFERROR(__xludf.DUMMYFUNCTION("""COMPUTED_VALUE"""),"Inside School Building")</f>
        <v>Inside School Building</v>
      </c>
      <c r="U2171" s="5" t="str">
        <f ca="1">IFERROR(__xludf.DUMMYFUNCTION("""COMPUTED_VALUE"""),"Yes")</f>
        <v>Yes</v>
      </c>
      <c r="V2171" s="5" t="str">
        <f ca="1">IFERROR(__xludf.DUMMYFUNCTION("""COMPUTED_VALUE"""),"Afternoon Classes")</f>
        <v>Afternoon Classes</v>
      </c>
      <c r="W2171" s="10">
        <f ca="1">IFERROR(__xludf.DUMMYFUNCTION("""COMPUTED_VALUE"""),0.5625)</f>
        <v>0.5625</v>
      </c>
      <c r="X2171" s="5">
        <f ca="1">IFERROR(__xludf.DUMMYFUNCTION("""COMPUTED_VALUE"""),1)</f>
        <v>1</v>
      </c>
      <c r="Y2171" s="5" t="str">
        <f ca="1">IFERROR(__xludf.DUMMYFUNCTION("""COMPUTED_VALUE"""),"Shot in head in locker room")</f>
        <v>Shot in head in locker room</v>
      </c>
      <c r="Z2171" s="5" t="str">
        <f ca="1">IFERROR(__xludf.DUMMYFUNCTION("""COMPUTED_VALUE"""),"16 year-old male student shot a 18 year-old male student in the head in the locker room. Motive unknown.")</f>
        <v>16 year-old male student shot a 18 year-old male student in the head in the locker room. Motive unknown.</v>
      </c>
      <c r="AA2171" s="5" t="str">
        <f ca="1">IFERROR(__xludf.DUMMYFUNCTION("""COMPUTED_VALUE"""),"Escalation of Dispute")</f>
        <v>Escalation of Dispute</v>
      </c>
      <c r="AB2171" s="5" t="str">
        <f ca="1">IFERROR(__xludf.DUMMYFUNCTION("""COMPUTED_VALUE"""),"Victims Targeted")</f>
        <v>Victims Targeted</v>
      </c>
      <c r="AC2171" s="5" t="str">
        <f ca="1">IFERROR(__xludf.DUMMYFUNCTION("""COMPUTED_VALUE"""),"No")</f>
        <v>No</v>
      </c>
      <c r="AD2171" s="5" t="str">
        <f ca="1">IFERROR(__xludf.DUMMYFUNCTION("""COMPUTED_VALUE"""),"No")</f>
        <v>No</v>
      </c>
      <c r="AE2171" s="5" t="str">
        <f ca="1">IFERROR(__xludf.DUMMYFUNCTION("""COMPUTED_VALUE"""),"No")</f>
        <v>No</v>
      </c>
      <c r="AF2171" s="5" t="str">
        <f ca="1">IFERROR(__xludf.DUMMYFUNCTION("""COMPUTED_VALUE"""),"No")</f>
        <v>No</v>
      </c>
      <c r="AG2171" s="5"/>
      <c r="AH2171" s="5"/>
      <c r="AI2171" s="5"/>
      <c r="AJ2171" s="5"/>
    </row>
    <row r="2172" spans="1:36" ht="13">
      <c r="A2172" s="5" t="str">
        <f ca="1">IFERROR(__xludf.DUMMYFUNCTION("""COMPUTED_VALUE"""),"19780329TNGAN")</f>
        <v>19780329TNGAN</v>
      </c>
      <c r="B2172" s="5">
        <f ca="1">IFERROR(__xludf.DUMMYFUNCTION("""COMPUTED_VALUE"""),3)</f>
        <v>3</v>
      </c>
      <c r="C2172" s="5">
        <f ca="1">IFERROR(__xludf.DUMMYFUNCTION("""COMPUTED_VALUE"""),29)</f>
        <v>29</v>
      </c>
      <c r="D2172" s="5">
        <f ca="1">IFERROR(__xludf.DUMMYFUNCTION("""COMPUTED_VALUE"""),1978)</f>
        <v>1978</v>
      </c>
      <c r="E2172" s="8">
        <f ca="1">IFERROR(__xludf.DUMMYFUNCTION("""COMPUTED_VALUE"""),28578)</f>
        <v>28578</v>
      </c>
      <c r="F2172" s="5" t="str">
        <f ca="1">IFERROR(__xludf.DUMMYFUNCTION("""COMPUTED_VALUE"""),"Gallatin Junior High School")</f>
        <v>Gallatin Junior High School</v>
      </c>
      <c r="G2172" s="5">
        <f ca="1">IFERROR(__xludf.DUMMYFUNCTION("""COMPUTED_VALUE"""),0)</f>
        <v>0</v>
      </c>
      <c r="H2172" s="5">
        <f ca="1">IFERROR(__xludf.DUMMYFUNCTION("""COMPUTED_VALUE"""),1)</f>
        <v>1</v>
      </c>
      <c r="I2172" s="5">
        <f ca="1">IFERROR(__xludf.DUMMYFUNCTION("""COMPUTED_VALUE"""),1)</f>
        <v>1</v>
      </c>
      <c r="J2172" s="5">
        <f ca="1">IFERROR(__xludf.DUMMYFUNCTION("""COMPUTED_VALUE"""),0)</f>
        <v>0</v>
      </c>
      <c r="K2172" s="9" t="str">
        <f ca="1">IFERROR(__xludf.DUMMYFUNCTION("""COMPUTED_VALUE"""),"https://www.newspapers.com/image/111103679/?terms=school%2Bshooting")</f>
        <v>https://www.newspapers.com/image/111103679/?terms=school%2Bshooting</v>
      </c>
      <c r="L2172" s="5"/>
      <c r="M2172" s="5"/>
      <c r="N2172" s="5">
        <f ca="1">IFERROR(__xludf.DUMMYFUNCTION("""COMPUTED_VALUE"""),2)</f>
        <v>2</v>
      </c>
      <c r="O2172" s="5" t="str">
        <f ca="1">IFERROR(__xludf.DUMMYFUNCTION("""COMPUTED_VALUE"""),"Spring")</f>
        <v>Spring</v>
      </c>
      <c r="P2172" s="5" t="str">
        <f ca="1">IFERROR(__xludf.DUMMYFUNCTION("""COMPUTED_VALUE"""),"Nashville")</f>
        <v>Nashville</v>
      </c>
      <c r="Q2172" s="5" t="str">
        <f ca="1">IFERROR(__xludf.DUMMYFUNCTION("""COMPUTED_VALUE"""),"TN")</f>
        <v>TN</v>
      </c>
      <c r="R2172" s="5" t="str">
        <f ca="1">IFERROR(__xludf.DUMMYFUNCTION("""COMPUTED_VALUE"""),"Junior High")</f>
        <v>Junior High</v>
      </c>
      <c r="S2172" s="5" t="str">
        <f ca="1">IFERROR(__xludf.DUMMYFUNCTION("""COMPUTED_VALUE"""),"Office")</f>
        <v>Office</v>
      </c>
      <c r="T2172" s="5" t="str">
        <f ca="1">IFERROR(__xludf.DUMMYFUNCTION("""COMPUTED_VALUE"""),"Inside School Building")</f>
        <v>Inside School Building</v>
      </c>
      <c r="U2172" s="5" t="str">
        <f ca="1">IFERROR(__xludf.DUMMYFUNCTION("""COMPUTED_VALUE"""),"No")</f>
        <v>No</v>
      </c>
      <c r="V2172" s="5" t="str">
        <f ca="1">IFERROR(__xludf.DUMMYFUNCTION("""COMPUTED_VALUE"""),"After School")</f>
        <v>After School</v>
      </c>
      <c r="W2172" s="5"/>
      <c r="X2172" s="5">
        <f ca="1">IFERROR(__xludf.DUMMYFUNCTION("""COMPUTED_VALUE"""),1)</f>
        <v>1</v>
      </c>
      <c r="Y2172" s="5" t="str">
        <f ca="1">IFERROR(__xludf.DUMMYFUNCTION("""COMPUTED_VALUE"""),"Principal shot at parent after he was called racial slur and fear they would attack him")</f>
        <v>Principal shot at parent after he was called racial slur and fear they would attack him</v>
      </c>
      <c r="Z2172" s="5" t="str">
        <f ca="1">IFERROR(__xludf.DUMMYFUNCTION("""COMPUTED_VALUE"""),"Parent was upset over discipline of child. During meeting with assistant principal, the parent allegedly called the assistant principal a N----r. Assistant principal feared he would be attacked by father, student, and student's brother so he fired at them"&amp;".")</f>
        <v>Parent was upset over discipline of child. During meeting with assistant principal, the parent allegedly called the assistant principal a N----r. Assistant principal feared he would be attacked by father, student, and student's brother so he fired at them.</v>
      </c>
      <c r="AA2172" s="5" t="str">
        <f ca="1">IFERROR(__xludf.DUMMYFUNCTION("""COMPUTED_VALUE"""),"Racial")</f>
        <v>Racial</v>
      </c>
      <c r="AB2172" s="5" t="str">
        <f ca="1">IFERROR(__xludf.DUMMYFUNCTION("""COMPUTED_VALUE"""),"Victims Targeted")</f>
        <v>Victims Targeted</v>
      </c>
      <c r="AC2172" s="5"/>
      <c r="AD2172" s="5" t="str">
        <f ca="1">IFERROR(__xludf.DUMMYFUNCTION("""COMPUTED_VALUE"""),"No")</f>
        <v>No</v>
      </c>
      <c r="AE2172" s="5" t="str">
        <f ca="1">IFERROR(__xludf.DUMMYFUNCTION("""COMPUTED_VALUE"""),"No")</f>
        <v>No</v>
      </c>
      <c r="AF2172" s="5" t="str">
        <f ca="1">IFERROR(__xludf.DUMMYFUNCTION("""COMPUTED_VALUE"""),"No")</f>
        <v>No</v>
      </c>
      <c r="AG2172" s="5" t="str">
        <f ca="1">IFERROR(__xludf.DUMMYFUNCTION("""COMPUTED_VALUE"""),"No")</f>
        <v>No</v>
      </c>
      <c r="AH2172" s="5" t="str">
        <f ca="1">IFERROR(__xludf.DUMMYFUNCTION("""COMPUTED_VALUE"""),"No")</f>
        <v>No</v>
      </c>
      <c r="AI2172" s="5" t="str">
        <f ca="1">IFERROR(__xludf.DUMMYFUNCTION("""COMPUTED_VALUE"""),"No")</f>
        <v>No</v>
      </c>
      <c r="AJ2172" s="5"/>
    </row>
    <row r="2173" spans="1:36" ht="13">
      <c r="A2173" s="5" t="str">
        <f ca="1">IFERROR(__xludf.DUMMYFUNCTION("""COMPUTED_VALUE"""),"19780309CAMOS")</f>
        <v>19780309CAMOS</v>
      </c>
      <c r="B2173" s="5">
        <f ca="1">IFERROR(__xludf.DUMMYFUNCTION("""COMPUTED_VALUE"""),3)</f>
        <v>3</v>
      </c>
      <c r="C2173" s="5">
        <f ca="1">IFERROR(__xludf.DUMMYFUNCTION("""COMPUTED_VALUE"""),9)</f>
        <v>9</v>
      </c>
      <c r="D2173" s="5">
        <f ca="1">IFERROR(__xludf.DUMMYFUNCTION("""COMPUTED_VALUE"""),1978)</f>
        <v>1978</v>
      </c>
      <c r="E2173" s="8">
        <f ca="1">IFERROR(__xludf.DUMMYFUNCTION("""COMPUTED_VALUE"""),28558)</f>
        <v>28558</v>
      </c>
      <c r="F2173" s="5" t="str">
        <f ca="1">IFERROR(__xludf.DUMMYFUNCTION("""COMPUTED_VALUE"""),"Monroe Elementary School")</f>
        <v>Monroe Elementary School</v>
      </c>
      <c r="G2173" s="5">
        <f ca="1">IFERROR(__xludf.DUMMYFUNCTION("""COMPUTED_VALUE"""),0)</f>
        <v>0</v>
      </c>
      <c r="H2173" s="5">
        <f ca="1">IFERROR(__xludf.DUMMYFUNCTION("""COMPUTED_VALUE"""),1)</f>
        <v>1</v>
      </c>
      <c r="I2173" s="5">
        <f ca="1">IFERROR(__xludf.DUMMYFUNCTION("""COMPUTED_VALUE"""),1)</f>
        <v>1</v>
      </c>
      <c r="J2173" s="5">
        <f ca="1">IFERROR(__xludf.DUMMYFUNCTION("""COMPUTED_VALUE"""),0)</f>
        <v>0</v>
      </c>
      <c r="K2173" s="9" t="str">
        <f ca="1">IFERROR(__xludf.DUMMYFUNCTION("""COMPUTED_VALUE"""),"https://www.newspapers.com/image/295196725/")</f>
        <v>https://www.newspapers.com/image/295196725/</v>
      </c>
      <c r="L2173" s="5"/>
      <c r="M2173" s="5"/>
      <c r="N2173" s="5">
        <f ca="1">IFERROR(__xludf.DUMMYFUNCTION("""COMPUTED_VALUE"""),2)</f>
        <v>2</v>
      </c>
      <c r="O2173" s="5" t="str">
        <f ca="1">IFERROR(__xludf.DUMMYFUNCTION("""COMPUTED_VALUE"""),"Spring")</f>
        <v>Spring</v>
      </c>
      <c r="P2173" s="5" t="str">
        <f ca="1">IFERROR(__xludf.DUMMYFUNCTION("""COMPUTED_VALUE"""),"Santa Rosa")</f>
        <v>Santa Rosa</v>
      </c>
      <c r="Q2173" s="5" t="str">
        <f ca="1">IFERROR(__xludf.DUMMYFUNCTION("""COMPUTED_VALUE"""),"CA")</f>
        <v>CA</v>
      </c>
      <c r="R2173" s="5" t="str">
        <f ca="1">IFERROR(__xludf.DUMMYFUNCTION("""COMPUTED_VALUE"""),"Elementary")</f>
        <v>Elementary</v>
      </c>
      <c r="S2173" s="5" t="str">
        <f ca="1">IFERROR(__xludf.DUMMYFUNCTION("""COMPUTED_VALUE"""),"Classroom")</f>
        <v>Classroom</v>
      </c>
      <c r="T2173" s="5" t="str">
        <f ca="1">IFERROR(__xludf.DUMMYFUNCTION("""COMPUTED_VALUE"""),"Inside School Building")</f>
        <v>Inside School Building</v>
      </c>
      <c r="U2173" s="5" t="str">
        <f ca="1">IFERROR(__xludf.DUMMYFUNCTION("""COMPUTED_VALUE"""),"Yes")</f>
        <v>Yes</v>
      </c>
      <c r="V2173" s="5" t="str">
        <f ca="1">IFERROR(__xludf.DUMMYFUNCTION("""COMPUTED_VALUE"""),"Morning Classes")</f>
        <v>Morning Classes</v>
      </c>
      <c r="W2173" s="5"/>
      <c r="X2173" s="5">
        <f ca="1">IFERROR(__xludf.DUMMYFUNCTION("""COMPUTED_VALUE"""),1)</f>
        <v>1</v>
      </c>
      <c r="Y2173" s="5" t="str">
        <f ca="1">IFERROR(__xludf.DUMMYFUNCTION("""COMPUTED_VALUE"""),"Student struck in classroom, teen was shooting at cans hundreds of yards away")</f>
        <v>Student struck in classroom, teen was shooting at cans hundreds of yards away</v>
      </c>
      <c r="Z2173" s="5" t="str">
        <f ca="1">IFERROR(__xludf.DUMMYFUNCTION("""COMPUTED_VALUE"""),"Victim was sitting in elementary school classroom and felt pain. Student went to teacher for help and the teacher realized the student had been struck by a bullet. Police found a hole in the wall. Police questioned nearby residents and discovered a 14 yea"&amp;"r-old male was shooting at cans in a creek bed hundreds of yards away. Round likely deflected, went through classroom wall, and struck student. No charges were filed.")</f>
        <v>Victim was sitting in elementary school classroom and felt pain. Student went to teacher for help and the teacher realized the student had been struck by a bullet. Police found a hole in the wall. Police questioned nearby residents and discovered a 14 year-old male was shooting at cans in a creek bed hundreds of yards away. Round likely deflected, went through classroom wall, and struck student. No charges were filed.</v>
      </c>
      <c r="AA2173" s="5" t="str">
        <f ca="1">IFERROR(__xludf.DUMMYFUNCTION("""COMPUTED_VALUE"""),"Accidental")</f>
        <v>Accidental</v>
      </c>
      <c r="AB2173" s="5" t="str">
        <f ca="1">IFERROR(__xludf.DUMMYFUNCTION("""COMPUTED_VALUE"""),"Random Shooting")</f>
        <v>Random Shooting</v>
      </c>
      <c r="AC2173" s="5"/>
      <c r="AD2173" s="5" t="str">
        <f ca="1">IFERROR(__xludf.DUMMYFUNCTION("""COMPUTED_VALUE"""),"No")</f>
        <v>No</v>
      </c>
      <c r="AE2173" s="5" t="str">
        <f ca="1">IFERROR(__xludf.DUMMYFUNCTION("""COMPUTED_VALUE"""),"No")</f>
        <v>No</v>
      </c>
      <c r="AF2173" s="5" t="str">
        <f ca="1">IFERROR(__xludf.DUMMYFUNCTION("""COMPUTED_VALUE"""),"No")</f>
        <v>No</v>
      </c>
      <c r="AG2173" s="5" t="str">
        <f ca="1">IFERROR(__xludf.DUMMYFUNCTION("""COMPUTED_VALUE"""),"No")</f>
        <v>No</v>
      </c>
      <c r="AH2173" s="5" t="str">
        <f ca="1">IFERROR(__xludf.DUMMYFUNCTION("""COMPUTED_VALUE"""),"No")</f>
        <v>No</v>
      </c>
      <c r="AI2173" s="5" t="str">
        <f ca="1">IFERROR(__xludf.DUMMYFUNCTION("""COMPUTED_VALUE"""),"No")</f>
        <v>No</v>
      </c>
      <c r="AJ2173" s="5"/>
    </row>
    <row r="2174" spans="1:36" ht="13">
      <c r="A2174" s="5" t="str">
        <f ca="1">IFERROR(__xludf.DUMMYFUNCTION("""COMPUTED_VALUE"""),"19780222MIEVL")</f>
        <v>19780222MIEVL</v>
      </c>
      <c r="B2174" s="5">
        <f ca="1">IFERROR(__xludf.DUMMYFUNCTION("""COMPUTED_VALUE"""),2)</f>
        <v>2</v>
      </c>
      <c r="C2174" s="5">
        <f ca="1">IFERROR(__xludf.DUMMYFUNCTION("""COMPUTED_VALUE"""),22)</f>
        <v>22</v>
      </c>
      <c r="D2174" s="5">
        <f ca="1">IFERROR(__xludf.DUMMYFUNCTION("""COMPUTED_VALUE"""),1978)</f>
        <v>1978</v>
      </c>
      <c r="E2174" s="8">
        <f ca="1">IFERROR(__xludf.DUMMYFUNCTION("""COMPUTED_VALUE"""),28543)</f>
        <v>28543</v>
      </c>
      <c r="F2174" s="5" t="str">
        <f ca="1">IFERROR(__xludf.DUMMYFUNCTION("""COMPUTED_VALUE"""),"Everett High School")</f>
        <v>Everett High School</v>
      </c>
      <c r="G2174" s="5">
        <f ca="1">IFERROR(__xludf.DUMMYFUNCTION("""COMPUTED_VALUE"""),1)</f>
        <v>1</v>
      </c>
      <c r="H2174" s="5">
        <f ca="1">IFERROR(__xludf.DUMMYFUNCTION("""COMPUTED_VALUE"""),1)</f>
        <v>1</v>
      </c>
      <c r="I2174" s="5">
        <f ca="1">IFERROR(__xludf.DUMMYFUNCTION("""COMPUTED_VALUE"""),2)</f>
        <v>2</v>
      </c>
      <c r="J2174" s="5">
        <f ca="1">IFERROR(__xludf.DUMMYFUNCTION("""COMPUTED_VALUE"""),0)</f>
        <v>0</v>
      </c>
      <c r="K2174" s="9" t="str">
        <f ca="1">IFERROR(__xludf.DUMMYFUNCTION("""COMPUTED_VALUE"""),"https://www.newspapers.com/newspage/207607604/")</f>
        <v>https://www.newspapers.com/newspage/207607604/</v>
      </c>
      <c r="L2174" s="5"/>
      <c r="M2174" s="5"/>
      <c r="N2174" s="5">
        <f ca="1">IFERROR(__xludf.DUMMYFUNCTION("""COMPUTED_VALUE"""),2)</f>
        <v>2</v>
      </c>
      <c r="O2174" s="5" t="str">
        <f ca="1">IFERROR(__xludf.DUMMYFUNCTION("""COMPUTED_VALUE"""),"Winter")</f>
        <v>Winter</v>
      </c>
      <c r="P2174" s="5" t="str">
        <f ca="1">IFERROR(__xludf.DUMMYFUNCTION("""COMPUTED_VALUE"""),"Lansing")</f>
        <v>Lansing</v>
      </c>
      <c r="Q2174" s="5" t="str">
        <f ca="1">IFERROR(__xludf.DUMMYFUNCTION("""COMPUTED_VALUE"""),"MI")</f>
        <v>MI</v>
      </c>
      <c r="R2174" s="5" t="str">
        <f ca="1">IFERROR(__xludf.DUMMYFUNCTION("""COMPUTED_VALUE"""),"High")</f>
        <v>High</v>
      </c>
      <c r="S2174" s="5" t="str">
        <f ca="1">IFERROR(__xludf.DUMMYFUNCTION("""COMPUTED_VALUE"""),"Hallway")</f>
        <v>Hallway</v>
      </c>
      <c r="T2174" s="5" t="str">
        <f ca="1">IFERROR(__xludf.DUMMYFUNCTION("""COMPUTED_VALUE"""),"Inside School Building")</f>
        <v>Inside School Building</v>
      </c>
      <c r="U2174" s="5" t="str">
        <f ca="1">IFERROR(__xludf.DUMMYFUNCTION("""COMPUTED_VALUE"""),"Yes")</f>
        <v>Yes</v>
      </c>
      <c r="V2174" s="5" t="str">
        <f ca="1">IFERROR(__xludf.DUMMYFUNCTION("""COMPUTED_VALUE"""),"Afternoon Classes")</f>
        <v>Afternoon Classes</v>
      </c>
      <c r="W2174" s="10">
        <f ca="1">IFERROR(__xludf.DUMMYFUNCTION("""COMPUTED_VALUE"""),0.625)</f>
        <v>0.625</v>
      </c>
      <c r="X2174" s="5">
        <f ca="1">IFERROR(__xludf.DUMMYFUNCTION("""COMPUTED_VALUE"""),1)</f>
        <v>1</v>
      </c>
      <c r="Y2174" s="5" t="str">
        <f ca="1">IFERROR(__xludf.DUMMYFUNCTION("""COMPUTED_VALUE"""),"Bullying, shooter was self-proclaimed Nazi, taunted for beliefs")</f>
        <v>Bullying, shooter was self-proclaimed Nazi, taunted for beliefs</v>
      </c>
      <c r="Z2174" s="5" t="str">
        <f ca="1">IFERROR(__xludf.DUMMYFUNCTION("""COMPUTED_VALUE"""),"Shooter shot two students in the hallway of the school then handed the gun to a teacher. Shooter said he was tired of being bullied by the two students he shot.")</f>
        <v>Shooter shot two students in the hallway of the school then handed the gun to a teacher. Shooter said he was tired of being bullied by the two students he shot.</v>
      </c>
      <c r="AA2174" s="5" t="str">
        <f ca="1">IFERROR(__xludf.DUMMYFUNCTION("""COMPUTED_VALUE"""),"Bullying")</f>
        <v>Bullying</v>
      </c>
      <c r="AB2174" s="5" t="str">
        <f ca="1">IFERROR(__xludf.DUMMYFUNCTION("""COMPUTED_VALUE"""),"Victims Targeted")</f>
        <v>Victims Targeted</v>
      </c>
      <c r="AC2174" s="5" t="str">
        <f ca="1">IFERROR(__xludf.DUMMYFUNCTION("""COMPUTED_VALUE"""),"No")</f>
        <v>No</v>
      </c>
      <c r="AD2174" s="5" t="str">
        <f ca="1">IFERROR(__xludf.DUMMYFUNCTION("""COMPUTED_VALUE"""),"No")</f>
        <v>No</v>
      </c>
      <c r="AE2174" s="5" t="str">
        <f ca="1">IFERROR(__xludf.DUMMYFUNCTION("""COMPUTED_VALUE"""),"No")</f>
        <v>No</v>
      </c>
      <c r="AF2174" s="5" t="str">
        <f ca="1">IFERROR(__xludf.DUMMYFUNCTION("""COMPUTED_VALUE"""),"No")</f>
        <v>No</v>
      </c>
      <c r="AG2174" s="5" t="str">
        <f ca="1">IFERROR(__xludf.DUMMYFUNCTION("""COMPUTED_VALUE"""),"Yes")</f>
        <v>Yes</v>
      </c>
      <c r="AH2174" s="5" t="str">
        <f ca="1">IFERROR(__xludf.DUMMYFUNCTION("""COMPUTED_VALUE"""),"No")</f>
        <v>No</v>
      </c>
      <c r="AI2174" s="5" t="str">
        <f ca="1">IFERROR(__xludf.DUMMYFUNCTION("""COMPUTED_VALUE"""),"No")</f>
        <v>No</v>
      </c>
      <c r="AJ2174" s="5" t="str">
        <f ca="1">IFERROR(__xludf.DUMMYFUNCTION("""COMPUTED_VALUE"""),"Yes")</f>
        <v>Yes</v>
      </c>
    </row>
    <row r="2175" spans="1:36" ht="13">
      <c r="A2175" s="5" t="str">
        <f ca="1">IFERROR(__xludf.DUMMYFUNCTION("""COMPUTED_VALUE"""),"19780209WVHAS")</f>
        <v>19780209WVHAS</v>
      </c>
      <c r="B2175" s="5">
        <f ca="1">IFERROR(__xludf.DUMMYFUNCTION("""COMPUTED_VALUE"""),2)</f>
        <v>2</v>
      </c>
      <c r="C2175" s="5">
        <f ca="1">IFERROR(__xludf.DUMMYFUNCTION("""COMPUTED_VALUE"""),9)</f>
        <v>9</v>
      </c>
      <c r="D2175" s="5">
        <f ca="1">IFERROR(__xludf.DUMMYFUNCTION("""COMPUTED_VALUE"""),1978)</f>
        <v>1978</v>
      </c>
      <c r="E2175" s="8">
        <f ca="1">IFERROR(__xludf.DUMMYFUNCTION("""COMPUTED_VALUE"""),28530)</f>
        <v>28530</v>
      </c>
      <c r="F2175" s="5" t="str">
        <f ca="1">IFERROR(__xludf.DUMMYFUNCTION("""COMPUTED_VALUE"""),"Hayes Junior High School")</f>
        <v>Hayes Junior High School</v>
      </c>
      <c r="G2175" s="5">
        <f ca="1">IFERROR(__xludf.DUMMYFUNCTION("""COMPUTED_VALUE"""),1)</f>
        <v>1</v>
      </c>
      <c r="H2175" s="5">
        <f ca="1">IFERROR(__xludf.DUMMYFUNCTION("""COMPUTED_VALUE"""),0)</f>
        <v>0</v>
      </c>
      <c r="I2175" s="5">
        <f ca="1">IFERROR(__xludf.DUMMYFUNCTION("""COMPUTED_VALUE"""),1)</f>
        <v>1</v>
      </c>
      <c r="J2175" s="5">
        <f ca="1">IFERROR(__xludf.DUMMYFUNCTION("""COMPUTED_VALUE"""),0)</f>
        <v>0</v>
      </c>
      <c r="K2175" s="9" t="str">
        <f ca="1">IFERROR(__xludf.DUMMYFUNCTION("""COMPUTED_VALUE"""),"https://www.wvgazettemail.com/news/cops_and_courts/before-school-shooting-became-a-common-term-junior-high-killing/article_6db5ead9-22c2-5c2c-8b56-32a110e4df26.html")</f>
        <v>https://www.wvgazettemail.com/news/cops_and_courts/before-school-shooting-became-a-common-term-junior-high-killing/article_6db5ead9-22c2-5c2c-8b56-32a110e4df26.html</v>
      </c>
      <c r="L2175" s="5"/>
      <c r="M2175" s="5"/>
      <c r="N2175" s="5">
        <f ca="1">IFERROR(__xludf.DUMMYFUNCTION("""COMPUTED_VALUE"""),2)</f>
        <v>2</v>
      </c>
      <c r="O2175" s="5" t="str">
        <f ca="1">IFERROR(__xludf.DUMMYFUNCTION("""COMPUTED_VALUE"""),"Winter")</f>
        <v>Winter</v>
      </c>
      <c r="P2175" s="5" t="str">
        <f ca="1">IFERROR(__xludf.DUMMYFUNCTION("""COMPUTED_VALUE"""),"St. Albans")</f>
        <v>St. Albans</v>
      </c>
      <c r="Q2175" s="5" t="str">
        <f ca="1">IFERROR(__xludf.DUMMYFUNCTION("""COMPUTED_VALUE"""),"WV")</f>
        <v>WV</v>
      </c>
      <c r="R2175" s="5" t="str">
        <f ca="1">IFERROR(__xludf.DUMMYFUNCTION("""COMPUTED_VALUE"""),"Junior High")</f>
        <v>Junior High</v>
      </c>
      <c r="S2175" s="5" t="str">
        <f ca="1">IFERROR(__xludf.DUMMYFUNCTION("""COMPUTED_VALUE"""),"Hallway")</f>
        <v>Hallway</v>
      </c>
      <c r="T2175" s="5" t="str">
        <f ca="1">IFERROR(__xludf.DUMMYFUNCTION("""COMPUTED_VALUE"""),"Inside School Building")</f>
        <v>Inside School Building</v>
      </c>
      <c r="U2175" s="5" t="str">
        <f ca="1">IFERROR(__xludf.DUMMYFUNCTION("""COMPUTED_VALUE"""),"Yes")</f>
        <v>Yes</v>
      </c>
      <c r="V2175" s="5" t="str">
        <f ca="1">IFERROR(__xludf.DUMMYFUNCTION("""COMPUTED_VALUE"""),"Morning Classes")</f>
        <v>Morning Classes</v>
      </c>
      <c r="W2175" s="10">
        <f ca="1">IFERROR(__xludf.DUMMYFUNCTION("""COMPUTED_VALUE"""),0.333333333333333)</f>
        <v>0.33333333333333298</v>
      </c>
      <c r="X2175" s="5">
        <f ca="1">IFERROR(__xludf.DUMMYFUNCTION("""COMPUTED_VALUE"""),1)</f>
        <v>1</v>
      </c>
      <c r="Y2175" s="5" t="str">
        <f ca="1">IFERROR(__xludf.DUMMYFUNCTION("""COMPUTED_VALUE"""),"Ongoing fights and bullying between shooter and victim")</f>
        <v>Ongoing fights and bullying between shooter and victim</v>
      </c>
      <c r="Z2175" s="5" t="str">
        <f ca="1">IFERROR(__xludf.DUMMYFUNCTION("""COMPUTED_VALUE"""),"A 14 year-old male student (victim: Arthur Clinton Smith) pushed the shooter into a locker. It was the catalyst that led the shooter to pull out a handgun and fire three shots at the victim. The victim had bullied the shooter and the shooter had threateni"&amp;"ng to kill them if the harassment continued. Shooter fired 3 rounds at the victim near the school gym and then fled the scene.")</f>
        <v>A 14 year-old male student (victim: Arthur Clinton Smith) pushed the shooter into a locker. It was the catalyst that led the shooter to pull out a handgun and fire three shots at the victim. The victim had bullied the shooter and the shooter had threatening to kill them if the harassment continued. Shooter fired 3 rounds at the victim near the school gym and then fled the scene.</v>
      </c>
      <c r="AA2175" s="5" t="str">
        <f ca="1">IFERROR(__xludf.DUMMYFUNCTION("""COMPUTED_VALUE"""),"Bullying")</f>
        <v>Bullying</v>
      </c>
      <c r="AB2175" s="5" t="str">
        <f ca="1">IFERROR(__xludf.DUMMYFUNCTION("""COMPUTED_VALUE"""),"Victims Targeted")</f>
        <v>Victims Targeted</v>
      </c>
      <c r="AC2175" s="5" t="str">
        <f ca="1">IFERROR(__xludf.DUMMYFUNCTION("""COMPUTED_VALUE"""),"No")</f>
        <v>No</v>
      </c>
      <c r="AD2175" s="5" t="str">
        <f ca="1">IFERROR(__xludf.DUMMYFUNCTION("""COMPUTED_VALUE"""),"No")</f>
        <v>No</v>
      </c>
      <c r="AE2175" s="5" t="str">
        <f ca="1">IFERROR(__xludf.DUMMYFUNCTION("""COMPUTED_VALUE"""),"No")</f>
        <v>No</v>
      </c>
      <c r="AF2175" s="5" t="str">
        <f ca="1">IFERROR(__xludf.DUMMYFUNCTION("""COMPUTED_VALUE"""),"No")</f>
        <v>No</v>
      </c>
      <c r="AG2175" s="5" t="str">
        <f ca="1">IFERROR(__xludf.DUMMYFUNCTION("""COMPUTED_VALUE"""),"Yes")</f>
        <v>Yes</v>
      </c>
      <c r="AH2175" s="5" t="str">
        <f ca="1">IFERROR(__xludf.DUMMYFUNCTION("""COMPUTED_VALUE"""),"No")</f>
        <v>No</v>
      </c>
      <c r="AI2175" s="5" t="str">
        <f ca="1">IFERROR(__xludf.DUMMYFUNCTION("""COMPUTED_VALUE"""),"No")</f>
        <v>No</v>
      </c>
      <c r="AJ2175" s="5"/>
    </row>
    <row r="2176" spans="1:36" ht="13">
      <c r="A2176" s="5" t="str">
        <f ca="1">IFERROR(__xludf.DUMMYFUNCTION("""COMPUTED_VALUE"""),"19780111KYCHH")</f>
        <v>19780111KYCHH</v>
      </c>
      <c r="B2176" s="5">
        <f ca="1">IFERROR(__xludf.DUMMYFUNCTION("""COMPUTED_VALUE"""),1)</f>
        <v>1</v>
      </c>
      <c r="C2176" s="5">
        <f ca="1">IFERROR(__xludf.DUMMYFUNCTION("""COMPUTED_VALUE"""),11)</f>
        <v>11</v>
      </c>
      <c r="D2176" s="5">
        <f ca="1">IFERROR(__xludf.DUMMYFUNCTION("""COMPUTED_VALUE"""),1978)</f>
        <v>1978</v>
      </c>
      <c r="E2176" s="8">
        <f ca="1">IFERROR(__xludf.DUMMYFUNCTION("""COMPUTED_VALUE"""),28501)</f>
        <v>28501</v>
      </c>
      <c r="F2176" s="5" t="str">
        <f ca="1">IFERROR(__xludf.DUMMYFUNCTION("""COMPUTED_VALUE"""),"Christian County Middle School")</f>
        <v>Christian County Middle School</v>
      </c>
      <c r="G2176" s="5">
        <f ca="1">IFERROR(__xludf.DUMMYFUNCTION("""COMPUTED_VALUE"""),0)</f>
        <v>0</v>
      </c>
      <c r="H2176" s="5">
        <f ca="1">IFERROR(__xludf.DUMMYFUNCTION("""COMPUTED_VALUE"""),1)</f>
        <v>1</v>
      </c>
      <c r="I2176" s="5">
        <f ca="1">IFERROR(__xludf.DUMMYFUNCTION("""COMPUTED_VALUE"""),1)</f>
        <v>1</v>
      </c>
      <c r="J2176" s="5">
        <f ca="1">IFERROR(__xludf.DUMMYFUNCTION("""COMPUTED_VALUE"""),0)</f>
        <v>0</v>
      </c>
      <c r="K2176" s="9" t="str">
        <f ca="1">IFERROR(__xludf.DUMMYFUNCTION("""COMPUTED_VALUE"""),"https://news.google.com/newspapers?id=xeUrAAAAIBAJ&amp;pg=1382,878132")</f>
        <v>https://news.google.com/newspapers?id=xeUrAAAAIBAJ&amp;pg=1382,878132</v>
      </c>
      <c r="L2176" s="5"/>
      <c r="M2176" s="5"/>
      <c r="N2176" s="5">
        <f ca="1">IFERROR(__xludf.DUMMYFUNCTION("""COMPUTED_VALUE"""),2)</f>
        <v>2</v>
      </c>
      <c r="O2176" s="5" t="str">
        <f ca="1">IFERROR(__xludf.DUMMYFUNCTION("""COMPUTED_VALUE"""),"Winter")</f>
        <v>Winter</v>
      </c>
      <c r="P2176" s="5" t="str">
        <f ca="1">IFERROR(__xludf.DUMMYFUNCTION("""COMPUTED_VALUE"""),"Hopkinsville")</f>
        <v>Hopkinsville</v>
      </c>
      <c r="Q2176" s="5" t="str">
        <f ca="1">IFERROR(__xludf.DUMMYFUNCTION("""COMPUTED_VALUE"""),"KY")</f>
        <v>KY</v>
      </c>
      <c r="R2176" s="5" t="str">
        <f ca="1">IFERROR(__xludf.DUMMYFUNCTION("""COMPUTED_VALUE"""),"Middle")</f>
        <v>Middle</v>
      </c>
      <c r="S2176" s="5" t="str">
        <f ca="1">IFERROR(__xludf.DUMMYFUNCTION("""COMPUTED_VALUE"""),"Hallway")</f>
        <v>Hallway</v>
      </c>
      <c r="T2176" s="5" t="str">
        <f ca="1">IFERROR(__xludf.DUMMYFUNCTION("""COMPUTED_VALUE"""),"Inside School Building")</f>
        <v>Inside School Building</v>
      </c>
      <c r="U2176" s="5" t="str">
        <f ca="1">IFERROR(__xludf.DUMMYFUNCTION("""COMPUTED_VALUE"""),"Yes")</f>
        <v>Yes</v>
      </c>
      <c r="V2176" s="5" t="str">
        <f ca="1">IFERROR(__xludf.DUMMYFUNCTION("""COMPUTED_VALUE"""),"Morning Classes")</f>
        <v>Morning Classes</v>
      </c>
      <c r="W2176" s="10">
        <f ca="1">IFERROR(__xludf.DUMMYFUNCTION("""COMPUTED_VALUE"""),0.340277777777777)</f>
        <v>0.34027777777777701</v>
      </c>
      <c r="X2176" s="5">
        <f ca="1">IFERROR(__xludf.DUMMYFUNCTION("""COMPUTED_VALUE"""),1)</f>
        <v>1</v>
      </c>
      <c r="Y2176" s="5" t="str">
        <f ca="1">IFERROR(__xludf.DUMMYFUNCTION("""COMPUTED_VALUE"""),"Shooting following an argument between students the night before")</f>
        <v>Shooting following an argument between students the night before</v>
      </c>
      <c r="Z2176" s="5" t="str">
        <f ca="1">IFERROR(__xludf.DUMMYFUNCTION("""COMPUTED_VALUE"""),"Two 16 year-old male students were fighting following an argument the night before. A 13 year-old male student (Andre Davis) watching the fight was caught in the crossfire when a gun was fired. As school officials tried to end the fight, the gun went off "&amp;"and wounded the victim")</f>
        <v>Two 16 year-old male students were fighting following an argument the night before. A 13 year-old male student (Andre Davis) watching the fight was caught in the crossfire when a gun was fired. As school officials tried to end the fight, the gun went off and wounded the victim</v>
      </c>
      <c r="AA2176" s="5" t="str">
        <f ca="1">IFERROR(__xludf.DUMMYFUNCTION("""COMPUTED_VALUE"""),"Escalation of Dispute")</f>
        <v>Escalation of Dispute</v>
      </c>
      <c r="AB2176" s="5" t="str">
        <f ca="1">IFERROR(__xludf.DUMMYFUNCTION("""COMPUTED_VALUE"""),"Victims Targeted")</f>
        <v>Victims Targeted</v>
      </c>
      <c r="AC2176" s="5" t="str">
        <f ca="1">IFERROR(__xludf.DUMMYFUNCTION("""COMPUTED_VALUE"""),"No")</f>
        <v>No</v>
      </c>
      <c r="AD2176" s="5" t="str">
        <f ca="1">IFERROR(__xludf.DUMMYFUNCTION("""COMPUTED_VALUE"""),"No")</f>
        <v>No</v>
      </c>
      <c r="AE2176" s="5" t="str">
        <f ca="1">IFERROR(__xludf.DUMMYFUNCTION("""COMPUTED_VALUE"""),"No")</f>
        <v>No</v>
      </c>
      <c r="AF2176" s="5" t="str">
        <f ca="1">IFERROR(__xludf.DUMMYFUNCTION("""COMPUTED_VALUE"""),"No")</f>
        <v>No</v>
      </c>
      <c r="AG2176" s="5"/>
      <c r="AH2176" s="5" t="str">
        <f ca="1">IFERROR(__xludf.DUMMYFUNCTION("""COMPUTED_VALUE"""),"No")</f>
        <v>No</v>
      </c>
      <c r="AI2176" s="5" t="str">
        <f ca="1">IFERROR(__xludf.DUMMYFUNCTION("""COMPUTED_VALUE"""),"No")</f>
        <v>No</v>
      </c>
      <c r="AJ2176" s="5"/>
    </row>
    <row r="2177" spans="1:36" ht="13">
      <c r="A2177" s="5" t="str">
        <f ca="1">IFERROR(__xludf.DUMMYFUNCTION("""COMPUTED_VALUE"""),"19771215MABLC")</f>
        <v>19771215MABLC</v>
      </c>
      <c r="B2177" s="5">
        <f ca="1">IFERROR(__xludf.DUMMYFUNCTION("""COMPUTED_VALUE"""),12)</f>
        <v>12</v>
      </c>
      <c r="C2177" s="5">
        <f ca="1">IFERROR(__xludf.DUMMYFUNCTION("""COMPUTED_VALUE"""),15)</f>
        <v>15</v>
      </c>
      <c r="D2177" s="5">
        <f ca="1">IFERROR(__xludf.DUMMYFUNCTION("""COMPUTED_VALUE"""),1977)</f>
        <v>1977</v>
      </c>
      <c r="E2177" s="8">
        <f ca="1">IFERROR(__xludf.DUMMYFUNCTION("""COMPUTED_VALUE"""),28474)</f>
        <v>28474</v>
      </c>
      <c r="F2177" s="5" t="str">
        <f ca="1">IFERROR(__xludf.DUMMYFUNCTION("""COMPUTED_VALUE"""),"Blue Hills Vocational High School")</f>
        <v>Blue Hills Vocational High School</v>
      </c>
      <c r="G2177" s="5">
        <f ca="1">IFERROR(__xludf.DUMMYFUNCTION("""COMPUTED_VALUE"""),0)</f>
        <v>0</v>
      </c>
      <c r="H2177" s="5">
        <f ca="1">IFERROR(__xludf.DUMMYFUNCTION("""COMPUTED_VALUE"""),2)</f>
        <v>2</v>
      </c>
      <c r="I2177" s="5">
        <f ca="1">IFERROR(__xludf.DUMMYFUNCTION("""COMPUTED_VALUE"""),2)</f>
        <v>2</v>
      </c>
      <c r="J2177" s="5">
        <f ca="1">IFERROR(__xludf.DUMMYFUNCTION("""COMPUTED_VALUE"""),0)</f>
        <v>0</v>
      </c>
      <c r="K2177" s="9" t="str">
        <f ca="1">IFERROR(__xludf.DUMMYFUNCTION("""COMPUTED_VALUE"""),"https://www.newspapers.com/image/342698296/?terms=school%2Bshooting")</f>
        <v>https://www.newspapers.com/image/342698296/?terms=school%2Bshooting</v>
      </c>
      <c r="L2177" s="5"/>
      <c r="M2177" s="5"/>
      <c r="N2177" s="5">
        <f ca="1">IFERROR(__xludf.DUMMYFUNCTION("""COMPUTED_VALUE"""),2)</f>
        <v>2</v>
      </c>
      <c r="O2177" s="5" t="str">
        <f ca="1">IFERROR(__xludf.DUMMYFUNCTION("""COMPUTED_VALUE"""),"Winter")</f>
        <v>Winter</v>
      </c>
      <c r="P2177" s="5" t="str">
        <f ca="1">IFERROR(__xludf.DUMMYFUNCTION("""COMPUTED_VALUE"""),"Canton")</f>
        <v>Canton</v>
      </c>
      <c r="Q2177" s="5" t="str">
        <f ca="1">IFERROR(__xludf.DUMMYFUNCTION("""COMPUTED_VALUE"""),"MA")</f>
        <v>MA</v>
      </c>
      <c r="R2177" s="5" t="str">
        <f ca="1">IFERROR(__xludf.DUMMYFUNCTION("""COMPUTED_VALUE"""),"High")</f>
        <v>High</v>
      </c>
      <c r="S2177" s="5" t="str">
        <f ca="1">IFERROR(__xludf.DUMMYFUNCTION("""COMPUTED_VALUE"""),"Classroom")</f>
        <v>Classroom</v>
      </c>
      <c r="T2177" s="5" t="str">
        <f ca="1">IFERROR(__xludf.DUMMYFUNCTION("""COMPUTED_VALUE"""),"Inside School Building")</f>
        <v>Inside School Building</v>
      </c>
      <c r="U2177" s="5" t="str">
        <f ca="1">IFERROR(__xludf.DUMMYFUNCTION("""COMPUTED_VALUE"""),"Yes")</f>
        <v>Yes</v>
      </c>
      <c r="V2177" s="5"/>
      <c r="W2177" s="5"/>
      <c r="X2177" s="5">
        <f ca="1">IFERROR(__xludf.DUMMYFUNCTION("""COMPUTED_VALUE"""),1)</f>
        <v>1</v>
      </c>
      <c r="Y2177" s="5" t="str">
        <f ca="1">IFERROR(__xludf.DUMMYFUNCTION("""COMPUTED_VALUE"""),"Shooter wore bag over head and went into classroom shooting, pulled fire alarm to hide escape")</f>
        <v>Shooter wore bag over head and went into classroom shooting, pulled fire alarm to hide escape</v>
      </c>
      <c r="Z2177" s="5" t="str">
        <f ca="1">IFERROR(__xludf.DUMMYFUNCTION("""COMPUTED_VALUE"""),"Unknown suspect wore paper bag over head and went into classroom firing striking 18 year-old male and 16 year-old male students. Shooter pulled fire alarm and escaped as students flooded the hallway.")</f>
        <v>Unknown suspect wore paper bag over head and went into classroom firing striking 18 year-old male and 16 year-old male students. Shooter pulled fire alarm and escaped as students flooded the hallway.</v>
      </c>
      <c r="AA2177" s="5" t="str">
        <f ca="1">IFERROR(__xludf.DUMMYFUNCTION("""COMPUTED_VALUE"""),"Escalation of Dispute")</f>
        <v>Escalation of Dispute</v>
      </c>
      <c r="AB2177" s="5"/>
      <c r="AC2177" s="5" t="str">
        <f ca="1">IFERROR(__xludf.DUMMYFUNCTION("""COMPUTED_VALUE"""),"No")</f>
        <v>No</v>
      </c>
      <c r="AD2177" s="5" t="str">
        <f ca="1">IFERROR(__xludf.DUMMYFUNCTION("""COMPUTED_VALUE"""),"No")</f>
        <v>No</v>
      </c>
      <c r="AE2177" s="5" t="str">
        <f ca="1">IFERROR(__xludf.DUMMYFUNCTION("""COMPUTED_VALUE"""),"No")</f>
        <v>No</v>
      </c>
      <c r="AF2177" s="5" t="str">
        <f ca="1">IFERROR(__xludf.DUMMYFUNCTION("""COMPUTED_VALUE"""),"No")</f>
        <v>No</v>
      </c>
      <c r="AG2177" s="5"/>
      <c r="AH2177" s="5" t="str">
        <f ca="1">IFERROR(__xludf.DUMMYFUNCTION("""COMPUTED_VALUE"""),"No")</f>
        <v>No</v>
      </c>
      <c r="AI2177" s="5" t="str">
        <f ca="1">IFERROR(__xludf.DUMMYFUNCTION("""COMPUTED_VALUE"""),"No")</f>
        <v>No</v>
      </c>
      <c r="AJ2177" s="5" t="str">
        <f ca="1">IFERROR(__xludf.DUMMYFUNCTION("""COMPUTED_VALUE"""),"Yes")</f>
        <v>Yes</v>
      </c>
    </row>
    <row r="2178" spans="1:36" ht="13">
      <c r="A2178" s="5" t="str">
        <f ca="1">IFERROR(__xludf.DUMMYFUNCTION("""COMPUTED_VALUE"""),"19771212FLWEW")</f>
        <v>19771212FLWEW</v>
      </c>
      <c r="B2178" s="5">
        <f ca="1">IFERROR(__xludf.DUMMYFUNCTION("""COMPUTED_VALUE"""),12)</f>
        <v>12</v>
      </c>
      <c r="C2178" s="5">
        <f ca="1">IFERROR(__xludf.DUMMYFUNCTION("""COMPUTED_VALUE"""),12)</f>
        <v>12</v>
      </c>
      <c r="D2178" s="5">
        <f ca="1">IFERROR(__xludf.DUMMYFUNCTION("""COMPUTED_VALUE"""),1977)</f>
        <v>1977</v>
      </c>
      <c r="E2178" s="8">
        <f ca="1">IFERROR(__xludf.DUMMYFUNCTION("""COMPUTED_VALUE"""),28471)</f>
        <v>28471</v>
      </c>
      <c r="F2178" s="5" t="str">
        <f ca="1">IFERROR(__xludf.DUMMYFUNCTION("""COMPUTED_VALUE"""),"West Orange High School")</f>
        <v>West Orange High School</v>
      </c>
      <c r="G2178" s="5">
        <f ca="1">IFERROR(__xludf.DUMMYFUNCTION("""COMPUTED_VALUE"""),1)</f>
        <v>1</v>
      </c>
      <c r="H2178" s="5">
        <f ca="1">IFERROR(__xludf.DUMMYFUNCTION("""COMPUTED_VALUE"""),0)</f>
        <v>0</v>
      </c>
      <c r="I2178" s="5">
        <f ca="1">IFERROR(__xludf.DUMMYFUNCTION("""COMPUTED_VALUE"""),1)</f>
        <v>1</v>
      </c>
      <c r="J2178" s="5">
        <f ca="1">IFERROR(__xludf.DUMMYFUNCTION("""COMPUTED_VALUE"""),0)</f>
        <v>0</v>
      </c>
      <c r="K2178" s="9" t="str">
        <f ca="1">IFERROR(__xludf.DUMMYFUNCTION("""COMPUTED_VALUE"""),"https://www.newspapers.com/image/303108537/?terms=school%2Bshooting")</f>
        <v>https://www.newspapers.com/image/303108537/?terms=school%2Bshooting</v>
      </c>
      <c r="L2178" s="5"/>
      <c r="M2178" s="5"/>
      <c r="N2178" s="5">
        <f ca="1">IFERROR(__xludf.DUMMYFUNCTION("""COMPUTED_VALUE"""),2)</f>
        <v>2</v>
      </c>
      <c r="O2178" s="5" t="str">
        <f ca="1">IFERROR(__xludf.DUMMYFUNCTION("""COMPUTED_VALUE"""),"Winter")</f>
        <v>Winter</v>
      </c>
      <c r="P2178" s="5" t="str">
        <f ca="1">IFERROR(__xludf.DUMMYFUNCTION("""COMPUTED_VALUE"""),"Winter Garden")</f>
        <v>Winter Garden</v>
      </c>
      <c r="Q2178" s="5" t="str">
        <f ca="1">IFERROR(__xludf.DUMMYFUNCTION("""COMPUTED_VALUE"""),"FL")</f>
        <v>FL</v>
      </c>
      <c r="R2178" s="5" t="str">
        <f ca="1">IFERROR(__xludf.DUMMYFUNCTION("""COMPUTED_VALUE"""),"High")</f>
        <v>High</v>
      </c>
      <c r="S2178" s="5" t="str">
        <f ca="1">IFERROR(__xludf.DUMMYFUNCTION("""COMPUTED_VALUE"""),"Office")</f>
        <v>Office</v>
      </c>
      <c r="T2178" s="5" t="str">
        <f ca="1">IFERROR(__xludf.DUMMYFUNCTION("""COMPUTED_VALUE"""),"Inside School Building")</f>
        <v>Inside School Building</v>
      </c>
      <c r="U2178" s="5" t="str">
        <f ca="1">IFERROR(__xludf.DUMMYFUNCTION("""COMPUTED_VALUE"""),"No")</f>
        <v>No</v>
      </c>
      <c r="V2178" s="5" t="str">
        <f ca="1">IFERROR(__xludf.DUMMYFUNCTION("""COMPUTED_VALUE"""),"After School")</f>
        <v>After School</v>
      </c>
      <c r="W2178" s="10">
        <f ca="1">IFERROR(__xludf.DUMMYFUNCTION("""COMPUTED_VALUE"""),0.666666666666666)</f>
        <v>0.66666666666666596</v>
      </c>
      <c r="X2178" s="5">
        <f ca="1">IFERROR(__xludf.DUMMYFUNCTION("""COMPUTED_VALUE"""),1)</f>
        <v>1</v>
      </c>
      <c r="Y2178" s="5" t="str">
        <f ca="1">IFERROR(__xludf.DUMMYFUNCTION("""COMPUTED_VALUE"""),"Suspect, assistant principal, shot and killed principle during after school meeting where he was being reprimanded for advances on 16 year old student.")</f>
        <v>Suspect, assistant principal, shot and killed principle during after school meeting where he was being reprimanded for advances on 16 year old student.</v>
      </c>
      <c r="Z2178" s="5" t="str">
        <f ca="1">IFERROR(__xludf.DUMMYFUNCTION("""COMPUTED_VALUE"""),"A 41 year-old male assistant principal was being reprimanded by school principal regarding his inappropriate advances on a 16 year-old student. Shooter (assistant principal) pulled out gun and killed principle then shot at two other school officials, but "&amp;"missed. Suspect surrendered gun to janitor and waiting for police to respond. In courtroom confession, suspect admitted to conspiring to kill three school officials whom he thought were plotting against him to get him fired for hugging and kissing student"&amp;" in his office.")</f>
        <v>A 41 year-old male assistant principal was being reprimanded by school principal regarding his inappropriate advances on a 16 year-old student. Shooter (assistant principal) pulled out gun and killed principle then shot at two other school officials, but missed. Suspect surrendered gun to janitor and waiting for police to respond. In courtroom confession, suspect admitted to conspiring to kill three school officials whom he thought were plotting against him to get him fired for hugging and kissing student in his office.</v>
      </c>
      <c r="AA2178" s="5" t="str">
        <f ca="1">IFERROR(__xludf.DUMMYFUNCTION("""COMPUTED_VALUE"""),"Anger Over Grade/Suspension/Discipline")</f>
        <v>Anger Over Grade/Suspension/Discipline</v>
      </c>
      <c r="AB2178" s="5" t="str">
        <f ca="1">IFERROR(__xludf.DUMMYFUNCTION("""COMPUTED_VALUE"""),"Victims Targeted")</f>
        <v>Victims Targeted</v>
      </c>
      <c r="AC2178" s="5" t="str">
        <f ca="1">IFERROR(__xludf.DUMMYFUNCTION("""COMPUTED_VALUE"""),"No")</f>
        <v>No</v>
      </c>
      <c r="AD2178" s="5" t="str">
        <f ca="1">IFERROR(__xludf.DUMMYFUNCTION("""COMPUTED_VALUE"""),"No")</f>
        <v>No</v>
      </c>
      <c r="AE2178" s="5" t="str">
        <f ca="1">IFERROR(__xludf.DUMMYFUNCTION("""COMPUTED_VALUE"""),"No")</f>
        <v>No</v>
      </c>
      <c r="AF2178" s="5" t="str">
        <f ca="1">IFERROR(__xludf.DUMMYFUNCTION("""COMPUTED_VALUE"""),"No")</f>
        <v>No</v>
      </c>
      <c r="AG2178" s="5" t="str">
        <f ca="1">IFERROR(__xludf.DUMMYFUNCTION("""COMPUTED_VALUE"""),"No")</f>
        <v>No</v>
      </c>
      <c r="AH2178" s="5" t="str">
        <f ca="1">IFERROR(__xludf.DUMMYFUNCTION("""COMPUTED_VALUE"""),"No")</f>
        <v>No</v>
      </c>
      <c r="AI2178" s="5" t="str">
        <f ca="1">IFERROR(__xludf.DUMMYFUNCTION("""COMPUTED_VALUE"""),"No")</f>
        <v>No</v>
      </c>
      <c r="AJ2178" s="5"/>
    </row>
    <row r="2179" spans="1:36" ht="13">
      <c r="A2179" s="5" t="str">
        <f ca="1">IFERROR(__xludf.DUMMYFUNCTION("""COMPUTED_VALUE"""),"19771209CAPES")</f>
        <v>19771209CAPES</v>
      </c>
      <c r="B2179" s="5">
        <f ca="1">IFERROR(__xludf.DUMMYFUNCTION("""COMPUTED_VALUE"""),12)</f>
        <v>12</v>
      </c>
      <c r="C2179" s="5">
        <f ca="1">IFERROR(__xludf.DUMMYFUNCTION("""COMPUTED_VALUE"""),9)</f>
        <v>9</v>
      </c>
      <c r="D2179" s="5">
        <f ca="1">IFERROR(__xludf.DUMMYFUNCTION("""COMPUTED_VALUE"""),1977)</f>
        <v>1977</v>
      </c>
      <c r="E2179" s="8">
        <f ca="1">IFERROR(__xludf.DUMMYFUNCTION("""COMPUTED_VALUE"""),28468)</f>
        <v>28468</v>
      </c>
      <c r="F2179" s="5" t="str">
        <f ca="1">IFERROR(__xludf.DUMMYFUNCTION("""COMPUTED_VALUE"""),"Petaluma McNear Elementary")</f>
        <v>Petaluma McNear Elementary</v>
      </c>
      <c r="G2179" s="5">
        <f ca="1">IFERROR(__xludf.DUMMYFUNCTION("""COMPUTED_VALUE"""),0)</f>
        <v>0</v>
      </c>
      <c r="H2179" s="5">
        <f ca="1">IFERROR(__xludf.DUMMYFUNCTION("""COMPUTED_VALUE"""),0)</f>
        <v>0</v>
      </c>
      <c r="I2179" s="5">
        <f ca="1">IFERROR(__xludf.DUMMYFUNCTION("""COMPUTED_VALUE"""),0)</f>
        <v>0</v>
      </c>
      <c r="J2179" s="5">
        <f ca="1">IFERROR(__xludf.DUMMYFUNCTION("""COMPUTED_VALUE"""),0)</f>
        <v>0</v>
      </c>
      <c r="K2179" s="9" t="str">
        <f ca="1">IFERROR(__xludf.DUMMYFUNCTION("""COMPUTED_VALUE"""),"https://www.newspapers.com/image/295122036/?terms=school%2Bshooting")</f>
        <v>https://www.newspapers.com/image/295122036/?terms=school%2Bshooting</v>
      </c>
      <c r="L2179" s="5"/>
      <c r="M2179" s="5"/>
      <c r="N2179" s="5">
        <f ca="1">IFERROR(__xludf.DUMMYFUNCTION("""COMPUTED_VALUE"""),2)</f>
        <v>2</v>
      </c>
      <c r="O2179" s="5" t="str">
        <f ca="1">IFERROR(__xludf.DUMMYFUNCTION("""COMPUTED_VALUE"""),"Winter")</f>
        <v>Winter</v>
      </c>
      <c r="P2179" s="5" t="str">
        <f ca="1">IFERROR(__xludf.DUMMYFUNCTION("""COMPUTED_VALUE"""),"Santa Rosa")</f>
        <v>Santa Rosa</v>
      </c>
      <c r="Q2179" s="5" t="str">
        <f ca="1">IFERROR(__xludf.DUMMYFUNCTION("""COMPUTED_VALUE"""),"CA")</f>
        <v>CA</v>
      </c>
      <c r="R2179" s="5" t="str">
        <f ca="1">IFERROR(__xludf.DUMMYFUNCTION("""COMPUTED_VALUE"""),"Elementary")</f>
        <v>Elementary</v>
      </c>
      <c r="S2179" s="5" t="str">
        <f ca="1">IFERROR(__xludf.DUMMYFUNCTION("""COMPUTED_VALUE"""),"Office")</f>
        <v>Office</v>
      </c>
      <c r="T2179" s="5" t="str">
        <f ca="1">IFERROR(__xludf.DUMMYFUNCTION("""COMPUTED_VALUE"""),"Inside School Building")</f>
        <v>Inside School Building</v>
      </c>
      <c r="U2179" s="5" t="str">
        <f ca="1">IFERROR(__xludf.DUMMYFUNCTION("""COMPUTED_VALUE"""),"Yes")</f>
        <v>Yes</v>
      </c>
      <c r="V2179" s="5"/>
      <c r="W2179" s="5"/>
      <c r="X2179" s="5">
        <f ca="1">IFERROR(__xludf.DUMMYFUNCTION("""COMPUTED_VALUE"""),1)</f>
        <v>1</v>
      </c>
      <c r="Y2179" s="5" t="str">
        <f ca="1">IFERROR(__xludf.DUMMYFUNCTION("""COMPUTED_VALUE"""),"Shot 3 shots at estranged wife, tackled by principal and 3 other staff")</f>
        <v>Shot 3 shots at estranged wife, tackled by principal and 3 other staff</v>
      </c>
      <c r="Z2179" s="5" t="str">
        <f ca="1">IFERROR(__xludf.DUMMYFUNCTION("""COMPUTED_VALUE"""),"A 40 year-old male shooter fired 3 shots at estranged wife in teacher's lounge. Shots missed and shooter was tackled by principal and 3 other adults.")</f>
        <v>A 40 year-old male shooter fired 3 shots at estranged wife in teacher's lounge. Shots missed and shooter was tackled by principal and 3 other adults.</v>
      </c>
      <c r="AA2179" s="5" t="str">
        <f ca="1">IFERROR(__xludf.DUMMYFUNCTION("""COMPUTED_VALUE"""),"Domestic w/ Targeted Victim")</f>
        <v>Domestic w/ Targeted Victim</v>
      </c>
      <c r="AB2179" s="5" t="str">
        <f ca="1">IFERROR(__xludf.DUMMYFUNCTION("""COMPUTED_VALUE"""),"Victims Targeted")</f>
        <v>Victims Targeted</v>
      </c>
      <c r="AC2179" s="5" t="str">
        <f ca="1">IFERROR(__xludf.DUMMYFUNCTION("""COMPUTED_VALUE"""),"No")</f>
        <v>No</v>
      </c>
      <c r="AD2179" s="5" t="str">
        <f ca="1">IFERROR(__xludf.DUMMYFUNCTION("""COMPUTED_VALUE"""),"No")</f>
        <v>No</v>
      </c>
      <c r="AE2179" s="5" t="str">
        <f ca="1">IFERROR(__xludf.DUMMYFUNCTION("""COMPUTED_VALUE"""),"No")</f>
        <v>No</v>
      </c>
      <c r="AF2179" s="5" t="str">
        <f ca="1">IFERROR(__xludf.DUMMYFUNCTION("""COMPUTED_VALUE"""),"No")</f>
        <v>No</v>
      </c>
      <c r="AG2179" s="5" t="str">
        <f ca="1">IFERROR(__xludf.DUMMYFUNCTION("""COMPUTED_VALUE"""),"No")</f>
        <v>No</v>
      </c>
      <c r="AH2179" s="5" t="str">
        <f ca="1">IFERROR(__xludf.DUMMYFUNCTION("""COMPUTED_VALUE"""),"Yes")</f>
        <v>Yes</v>
      </c>
      <c r="AI2179" s="5" t="str">
        <f ca="1">IFERROR(__xludf.DUMMYFUNCTION("""COMPUTED_VALUE"""),"No")</f>
        <v>No</v>
      </c>
      <c r="AJ2179" s="5"/>
    </row>
    <row r="2180" spans="1:36" ht="13">
      <c r="A2180" s="5" t="str">
        <f ca="1">IFERROR(__xludf.DUMMYFUNCTION("""COMPUTED_VALUE"""),"19771129MOHAS")</f>
        <v>19771129MOHAS</v>
      </c>
      <c r="B2180" s="5">
        <f ca="1">IFERROR(__xludf.DUMMYFUNCTION("""COMPUTED_VALUE"""),11)</f>
        <v>11</v>
      </c>
      <c r="C2180" s="5">
        <f ca="1">IFERROR(__xludf.DUMMYFUNCTION("""COMPUTED_VALUE"""),29)</f>
        <v>29</v>
      </c>
      <c r="D2180" s="5">
        <f ca="1">IFERROR(__xludf.DUMMYFUNCTION("""COMPUTED_VALUE"""),1977)</f>
        <v>1977</v>
      </c>
      <c r="E2180" s="8">
        <f ca="1">IFERROR(__xludf.DUMMYFUNCTION("""COMPUTED_VALUE"""),28458)</f>
        <v>28458</v>
      </c>
      <c r="F2180" s="5" t="str">
        <f ca="1">IFERROR(__xludf.DUMMYFUNCTION("""COMPUTED_VALUE"""),"Hazelwood Central Senior High School")</f>
        <v>Hazelwood Central Senior High School</v>
      </c>
      <c r="G2180" s="5">
        <f ca="1">IFERROR(__xludf.DUMMYFUNCTION("""COMPUTED_VALUE"""),0)</f>
        <v>0</v>
      </c>
      <c r="H2180" s="5">
        <f ca="1">IFERROR(__xludf.DUMMYFUNCTION("""COMPUTED_VALUE"""),0)</f>
        <v>0</v>
      </c>
      <c r="I2180" s="5">
        <f ca="1">IFERROR(__xludf.DUMMYFUNCTION("""COMPUTED_VALUE"""),0)</f>
        <v>0</v>
      </c>
      <c r="J2180" s="5">
        <f ca="1">IFERROR(__xludf.DUMMYFUNCTION("""COMPUTED_VALUE"""),0)</f>
        <v>0</v>
      </c>
      <c r="K2180" s="9" t="str">
        <f ca="1">IFERROR(__xludf.DUMMYFUNCTION("""COMPUTED_VALUE"""),"https://www.newspapers.com/image/139128319/?terms=school%2Bshooting")</f>
        <v>https://www.newspapers.com/image/139128319/?terms=school%2Bshooting</v>
      </c>
      <c r="L2180" s="5"/>
      <c r="M2180" s="5"/>
      <c r="N2180" s="5">
        <f ca="1">IFERROR(__xludf.DUMMYFUNCTION("""COMPUTED_VALUE"""),2)</f>
        <v>2</v>
      </c>
      <c r="O2180" s="5" t="str">
        <f ca="1">IFERROR(__xludf.DUMMYFUNCTION("""COMPUTED_VALUE"""),"Fall")</f>
        <v>Fall</v>
      </c>
      <c r="P2180" s="5" t="str">
        <f ca="1">IFERROR(__xludf.DUMMYFUNCTION("""COMPUTED_VALUE"""),"St. Louis")</f>
        <v>St. Louis</v>
      </c>
      <c r="Q2180" s="5" t="str">
        <f ca="1">IFERROR(__xludf.DUMMYFUNCTION("""COMPUTED_VALUE"""),"MO")</f>
        <v>MO</v>
      </c>
      <c r="R2180" s="5" t="str">
        <f ca="1">IFERROR(__xludf.DUMMYFUNCTION("""COMPUTED_VALUE"""),"High")</f>
        <v>High</v>
      </c>
      <c r="S2180" s="5" t="str">
        <f ca="1">IFERROR(__xludf.DUMMYFUNCTION("""COMPUTED_VALUE"""),"Outside on School Property")</f>
        <v>Outside on School Property</v>
      </c>
      <c r="T2180" s="5" t="str">
        <f ca="1">IFERROR(__xludf.DUMMYFUNCTION("""COMPUTED_VALUE"""),"Outside on School Property")</f>
        <v>Outside on School Property</v>
      </c>
      <c r="U2180" s="5" t="str">
        <f ca="1">IFERROR(__xludf.DUMMYFUNCTION("""COMPUTED_VALUE"""),"No")</f>
        <v>No</v>
      </c>
      <c r="V2180" s="5" t="str">
        <f ca="1">IFERROR(__xludf.DUMMYFUNCTION("""COMPUTED_VALUE"""),"School Event")</f>
        <v>School Event</v>
      </c>
      <c r="W2180" s="10">
        <f ca="1">IFERROR(__xludf.DUMMYFUNCTION("""COMPUTED_VALUE"""),0.795138888888888)</f>
        <v>0.79513888888888795</v>
      </c>
      <c r="X2180" s="5">
        <f ca="1">IFERROR(__xludf.DUMMYFUNCTION("""COMPUTED_VALUE"""),10)</f>
        <v>10</v>
      </c>
      <c r="Y2180" s="5" t="str">
        <f ca="1">IFERROR(__xludf.DUMMYFUNCTION("""COMPUTED_VALUE"""),"Fired shots into school windows during awards ceremony")</f>
        <v>Fired shots into school windows during awards ceremony</v>
      </c>
      <c r="Z2180" s="5" t="str">
        <f ca="1">IFERROR(__xludf.DUMMYFUNCTION("""COMPUTED_VALUE"""),"A 19 year-old male shooter fired 7 shots into windows of school during an awards ceremony. 10 minutes later, the shooter moved to a different location firing shots at the glass gym doors (shots just missed students standing inside the doors). Shooter had "&amp;"mud on clothing and was noticed by police officer investigating the gunshots.")</f>
        <v>A 19 year-old male shooter fired 7 shots into windows of school during an awards ceremony. 10 minutes later, the shooter moved to a different location firing shots at the glass gym doors (shots just missed students standing inside the doors). Shooter had mud on clothing and was noticed by police officer investigating the gunshots.</v>
      </c>
      <c r="AA2180" s="5" t="str">
        <f ca="1">IFERROR(__xludf.DUMMYFUNCTION("""COMPUTED_VALUE"""),"Indiscriminate Shooting")</f>
        <v>Indiscriminate Shooting</v>
      </c>
      <c r="AB2180" s="5" t="str">
        <f ca="1">IFERROR(__xludf.DUMMYFUNCTION("""COMPUTED_VALUE"""),"Neither")</f>
        <v>Neither</v>
      </c>
      <c r="AC2180" s="5" t="str">
        <f ca="1">IFERROR(__xludf.DUMMYFUNCTION("""COMPUTED_VALUE"""),"No")</f>
        <v>No</v>
      </c>
      <c r="AD2180" s="5" t="str">
        <f ca="1">IFERROR(__xludf.DUMMYFUNCTION("""COMPUTED_VALUE"""),"No")</f>
        <v>No</v>
      </c>
      <c r="AE2180" s="5" t="str">
        <f ca="1">IFERROR(__xludf.DUMMYFUNCTION("""COMPUTED_VALUE"""),"No")</f>
        <v>No</v>
      </c>
      <c r="AF2180" s="5" t="str">
        <f ca="1">IFERROR(__xludf.DUMMYFUNCTION("""COMPUTED_VALUE"""),"No")</f>
        <v>No</v>
      </c>
      <c r="AG2180" s="5"/>
      <c r="AH2180" s="5"/>
      <c r="AI2180" s="5" t="str">
        <f ca="1">IFERROR(__xludf.DUMMYFUNCTION("""COMPUTED_VALUE"""),"No")</f>
        <v>No</v>
      </c>
      <c r="AJ2180" s="5" t="str">
        <f ca="1">IFERROR(__xludf.DUMMYFUNCTION("""COMPUTED_VALUE"""),"Yes")</f>
        <v>Yes</v>
      </c>
    </row>
    <row r="2181" spans="1:36" ht="13">
      <c r="A2181" s="5" t="str">
        <f ca="1">IFERROR(__xludf.DUMMYFUNCTION("""COMPUTED_VALUE"""),"19771129MOVAS")</f>
        <v>19771129MOVAS</v>
      </c>
      <c r="B2181" s="5">
        <f ca="1">IFERROR(__xludf.DUMMYFUNCTION("""COMPUTED_VALUE"""),11)</f>
        <v>11</v>
      </c>
      <c r="C2181" s="5">
        <f ca="1">IFERROR(__xludf.DUMMYFUNCTION("""COMPUTED_VALUE"""),29)</f>
        <v>29</v>
      </c>
      <c r="D2181" s="5">
        <f ca="1">IFERROR(__xludf.DUMMYFUNCTION("""COMPUTED_VALUE"""),1977)</f>
        <v>1977</v>
      </c>
      <c r="E2181" s="8">
        <f ca="1">IFERROR(__xludf.DUMMYFUNCTION("""COMPUTED_VALUE"""),28458)</f>
        <v>28458</v>
      </c>
      <c r="F2181" s="5" t="str">
        <f ca="1">IFERROR(__xludf.DUMMYFUNCTION("""COMPUTED_VALUE"""),"Vashon High School")</f>
        <v>Vashon High School</v>
      </c>
      <c r="G2181" s="5">
        <f ca="1">IFERROR(__xludf.DUMMYFUNCTION("""COMPUTED_VALUE"""),0)</f>
        <v>0</v>
      </c>
      <c r="H2181" s="5">
        <f ca="1">IFERROR(__xludf.DUMMYFUNCTION("""COMPUTED_VALUE"""),1)</f>
        <v>1</v>
      </c>
      <c r="I2181" s="5">
        <f ca="1">IFERROR(__xludf.DUMMYFUNCTION("""COMPUTED_VALUE"""),1)</f>
        <v>1</v>
      </c>
      <c r="J2181" s="5">
        <f ca="1">IFERROR(__xludf.DUMMYFUNCTION("""COMPUTED_VALUE"""),0)</f>
        <v>0</v>
      </c>
      <c r="K2181" s="9" t="str">
        <f ca="1">IFERROR(__xludf.DUMMYFUNCTION("""COMPUTED_VALUE"""),"https://www.newspapers.com/image/139488488/?terms=school%2Bshooting")</f>
        <v>https://www.newspapers.com/image/139488488/?terms=school%2Bshooting</v>
      </c>
      <c r="L2181" s="5"/>
      <c r="M2181" s="5"/>
      <c r="N2181" s="5">
        <f ca="1">IFERROR(__xludf.DUMMYFUNCTION("""COMPUTED_VALUE"""),2)</f>
        <v>2</v>
      </c>
      <c r="O2181" s="5" t="str">
        <f ca="1">IFERROR(__xludf.DUMMYFUNCTION("""COMPUTED_VALUE"""),"Fall")</f>
        <v>Fall</v>
      </c>
      <c r="P2181" s="5" t="str">
        <f ca="1">IFERROR(__xludf.DUMMYFUNCTION("""COMPUTED_VALUE"""),"St. Louis")</f>
        <v>St. Louis</v>
      </c>
      <c r="Q2181" s="5" t="str">
        <f ca="1">IFERROR(__xludf.DUMMYFUNCTION("""COMPUTED_VALUE"""),"MO")</f>
        <v>MO</v>
      </c>
      <c r="R2181" s="5" t="str">
        <f ca="1">IFERROR(__xludf.DUMMYFUNCTION("""COMPUTED_VALUE"""),"High")</f>
        <v>High</v>
      </c>
      <c r="S2181" s="5" t="str">
        <f ca="1">IFERROR(__xludf.DUMMYFUNCTION("""COMPUTED_VALUE"""),"Hallway")</f>
        <v>Hallway</v>
      </c>
      <c r="T2181" s="5" t="str">
        <f ca="1">IFERROR(__xludf.DUMMYFUNCTION("""COMPUTED_VALUE"""),"Inside School Building")</f>
        <v>Inside School Building</v>
      </c>
      <c r="U2181" s="5" t="str">
        <f ca="1">IFERROR(__xludf.DUMMYFUNCTION("""COMPUTED_VALUE"""),"Yes")</f>
        <v>Yes</v>
      </c>
      <c r="V2181" s="5"/>
      <c r="W2181" s="5"/>
      <c r="X2181" s="5"/>
      <c r="Y2181" s="5" t="str">
        <f ca="1">IFERROR(__xludf.DUMMYFUNCTION("""COMPUTED_VALUE"""),"Shot another student in 2nd floor hallway")</f>
        <v>Shot another student in 2nd floor hallway</v>
      </c>
      <c r="Z2181" s="5" t="str">
        <f ca="1">IFERROR(__xludf.DUMMYFUNCTION("""COMPUTED_VALUE"""),"A 16 year-old male student shot a 15 year-old male student in 2nd floor hallway.")</f>
        <v>A 16 year-old male student shot a 15 year-old male student in 2nd floor hallway.</v>
      </c>
      <c r="AA2181" s="5" t="str">
        <f ca="1">IFERROR(__xludf.DUMMYFUNCTION("""COMPUTED_VALUE"""),"Escalation of Dispute")</f>
        <v>Escalation of Dispute</v>
      </c>
      <c r="AB2181" s="5" t="str">
        <f ca="1">IFERROR(__xludf.DUMMYFUNCTION("""COMPUTED_VALUE"""),"Victims Targeted")</f>
        <v>Victims Targeted</v>
      </c>
      <c r="AC2181" s="5" t="str">
        <f ca="1">IFERROR(__xludf.DUMMYFUNCTION("""COMPUTED_VALUE"""),"No")</f>
        <v>No</v>
      </c>
      <c r="AD2181" s="5" t="str">
        <f ca="1">IFERROR(__xludf.DUMMYFUNCTION("""COMPUTED_VALUE"""),"No")</f>
        <v>No</v>
      </c>
      <c r="AE2181" s="5" t="str">
        <f ca="1">IFERROR(__xludf.DUMMYFUNCTION("""COMPUTED_VALUE"""),"No")</f>
        <v>No</v>
      </c>
      <c r="AF2181" s="5" t="str">
        <f ca="1">IFERROR(__xludf.DUMMYFUNCTION("""COMPUTED_VALUE"""),"No")</f>
        <v>No</v>
      </c>
      <c r="AG2181" s="5"/>
      <c r="AH2181" s="5"/>
      <c r="AI2181" s="5" t="str">
        <f ca="1">IFERROR(__xludf.DUMMYFUNCTION("""COMPUTED_VALUE"""),"No")</f>
        <v>No</v>
      </c>
      <c r="AJ2181" s="5"/>
    </row>
    <row r="2182" spans="1:36" ht="13">
      <c r="A2182" s="5" t="str">
        <f ca="1">IFERROR(__xludf.DUMMYFUNCTION("""COMPUTED_VALUE"""),"19770711COSOC")</f>
        <v>19770711COSOC</v>
      </c>
      <c r="B2182" s="5">
        <f ca="1">IFERROR(__xludf.DUMMYFUNCTION("""COMPUTED_VALUE"""),7)</f>
        <v>7</v>
      </c>
      <c r="C2182" s="5">
        <f ca="1">IFERROR(__xludf.DUMMYFUNCTION("""COMPUTED_VALUE"""),11)</f>
        <v>11</v>
      </c>
      <c r="D2182" s="5">
        <f ca="1">IFERROR(__xludf.DUMMYFUNCTION("""COMPUTED_VALUE"""),1977)</f>
        <v>1977</v>
      </c>
      <c r="E2182" s="8">
        <f ca="1">IFERROR(__xludf.DUMMYFUNCTION("""COMPUTED_VALUE"""),28317)</f>
        <v>28317</v>
      </c>
      <c r="F2182" s="5" t="str">
        <f ca="1">IFERROR(__xludf.DUMMYFUNCTION("""COMPUTED_VALUE"""),"South Junior High School")</f>
        <v>South Junior High School</v>
      </c>
      <c r="G2182" s="5">
        <f ca="1">IFERROR(__xludf.DUMMYFUNCTION("""COMPUTED_VALUE"""),0)</f>
        <v>0</v>
      </c>
      <c r="H2182" s="5">
        <f ca="1">IFERROR(__xludf.DUMMYFUNCTION("""COMPUTED_VALUE"""),1)</f>
        <v>1</v>
      </c>
      <c r="I2182" s="5">
        <f ca="1">IFERROR(__xludf.DUMMYFUNCTION("""COMPUTED_VALUE"""),1)</f>
        <v>1</v>
      </c>
      <c r="J2182" s="5">
        <f ca="1">IFERROR(__xludf.DUMMYFUNCTION("""COMPUTED_VALUE"""),0)</f>
        <v>0</v>
      </c>
      <c r="K2182" s="9" t="str">
        <f ca="1">IFERROR(__xludf.DUMMYFUNCTION("""COMPUTED_VALUE"""),"https://www.newspapers.com/image/86275915/?terms=school%2Bshooting")</f>
        <v>https://www.newspapers.com/image/86275915/?terms=school%2Bshooting</v>
      </c>
      <c r="L2182" s="5"/>
      <c r="M2182" s="5"/>
      <c r="N2182" s="5">
        <f ca="1">IFERROR(__xludf.DUMMYFUNCTION("""COMPUTED_VALUE"""),2)</f>
        <v>2</v>
      </c>
      <c r="O2182" s="5" t="str">
        <f ca="1">IFERROR(__xludf.DUMMYFUNCTION("""COMPUTED_VALUE"""),"Summer")</f>
        <v>Summer</v>
      </c>
      <c r="P2182" s="5" t="str">
        <f ca="1">IFERROR(__xludf.DUMMYFUNCTION("""COMPUTED_VALUE"""),"Colorado Springs")</f>
        <v>Colorado Springs</v>
      </c>
      <c r="Q2182" s="5" t="str">
        <f ca="1">IFERROR(__xludf.DUMMYFUNCTION("""COMPUTED_VALUE"""),"CO")</f>
        <v>CO</v>
      </c>
      <c r="R2182" s="5" t="str">
        <f ca="1">IFERROR(__xludf.DUMMYFUNCTION("""COMPUTED_VALUE"""),"Junior High")</f>
        <v>Junior High</v>
      </c>
      <c r="S2182" s="5" t="str">
        <f ca="1">IFERROR(__xludf.DUMMYFUNCTION("""COMPUTED_VALUE"""),"Beside Building")</f>
        <v>Beside Building</v>
      </c>
      <c r="T2182" s="5" t="str">
        <f ca="1">IFERROR(__xludf.DUMMYFUNCTION("""COMPUTED_VALUE"""),"Outside on School Property")</f>
        <v>Outside on School Property</v>
      </c>
      <c r="U2182" s="5" t="str">
        <f ca="1">IFERROR(__xludf.DUMMYFUNCTION("""COMPUTED_VALUE"""),"No")</f>
        <v>No</v>
      </c>
      <c r="V2182" s="5" t="str">
        <f ca="1">IFERROR(__xludf.DUMMYFUNCTION("""COMPUTED_VALUE"""),"Not a School Day")</f>
        <v>Not a School Day</v>
      </c>
      <c r="W2182" s="5"/>
      <c r="X2182" s="5"/>
      <c r="Y2182" s="5" t="str">
        <f ca="1">IFERROR(__xludf.DUMMYFUNCTION("""COMPUTED_VALUE"""),"Student shot outside gym during basketball game")</f>
        <v>Student shot outside gym during basketball game</v>
      </c>
      <c r="Z2182" s="5" t="str">
        <f ca="1">IFERROR(__xludf.DUMMYFUNCTION("""COMPUTED_VALUE"""),"15 year-old male student was shot outside of the gym during a youth summer league basketball game. Two 15 year-old male students questioned.")</f>
        <v>15 year-old male student was shot outside of the gym during a youth summer league basketball game. Two 15 year-old male students questioned.</v>
      </c>
      <c r="AA2182" s="5" t="str">
        <f ca="1">IFERROR(__xludf.DUMMYFUNCTION("""COMPUTED_VALUE"""),"Escalation of Dispute")</f>
        <v>Escalation of Dispute</v>
      </c>
      <c r="AB2182" s="5"/>
      <c r="AC2182" s="5" t="str">
        <f ca="1">IFERROR(__xludf.DUMMYFUNCTION("""COMPUTED_VALUE"""),"No")</f>
        <v>No</v>
      </c>
      <c r="AD2182" s="5" t="str">
        <f ca="1">IFERROR(__xludf.DUMMYFUNCTION("""COMPUTED_VALUE"""),"No")</f>
        <v>No</v>
      </c>
      <c r="AE2182" s="5" t="str">
        <f ca="1">IFERROR(__xludf.DUMMYFUNCTION("""COMPUTED_VALUE"""),"No")</f>
        <v>No</v>
      </c>
      <c r="AF2182" s="5" t="str">
        <f ca="1">IFERROR(__xludf.DUMMYFUNCTION("""COMPUTED_VALUE"""),"No")</f>
        <v>No</v>
      </c>
      <c r="AG2182" s="5" t="str">
        <f ca="1">IFERROR(__xludf.DUMMYFUNCTION("""COMPUTED_VALUE"""),"No")</f>
        <v>No</v>
      </c>
      <c r="AH2182" s="5" t="str">
        <f ca="1">IFERROR(__xludf.DUMMYFUNCTION("""COMPUTED_VALUE"""),"No")</f>
        <v>No</v>
      </c>
      <c r="AI2182" s="5" t="str">
        <f ca="1">IFERROR(__xludf.DUMMYFUNCTION("""COMPUTED_VALUE"""),"No")</f>
        <v>No</v>
      </c>
      <c r="AJ2182" s="5"/>
    </row>
    <row r="2183" spans="1:36" ht="13">
      <c r="A2183" s="5" t="str">
        <f ca="1">IFERROR(__xludf.DUMMYFUNCTION("""COMPUTED_VALUE"""),"19770622ILHOC")</f>
        <v>19770622ILHOC</v>
      </c>
      <c r="B2183" s="5">
        <f ca="1">IFERROR(__xludf.DUMMYFUNCTION("""COMPUTED_VALUE"""),6)</f>
        <v>6</v>
      </c>
      <c r="C2183" s="5">
        <f ca="1">IFERROR(__xludf.DUMMYFUNCTION("""COMPUTED_VALUE"""),22)</f>
        <v>22</v>
      </c>
      <c r="D2183" s="5">
        <f ca="1">IFERROR(__xludf.DUMMYFUNCTION("""COMPUTED_VALUE"""),1977)</f>
        <v>1977</v>
      </c>
      <c r="E2183" s="8">
        <f ca="1">IFERROR(__xludf.DUMMYFUNCTION("""COMPUTED_VALUE"""),28298)</f>
        <v>28298</v>
      </c>
      <c r="F2183" s="5" t="str">
        <f ca="1">IFERROR(__xludf.DUMMYFUNCTION("""COMPUTED_VALUE"""),"Holy Trinity High School")</f>
        <v>Holy Trinity High School</v>
      </c>
      <c r="G2183" s="5">
        <f ca="1">IFERROR(__xludf.DUMMYFUNCTION("""COMPUTED_VALUE"""),0)</f>
        <v>0</v>
      </c>
      <c r="H2183" s="5">
        <f ca="1">IFERROR(__xludf.DUMMYFUNCTION("""COMPUTED_VALUE"""),2)</f>
        <v>2</v>
      </c>
      <c r="I2183" s="5">
        <f ca="1">IFERROR(__xludf.DUMMYFUNCTION("""COMPUTED_VALUE"""),2)</f>
        <v>2</v>
      </c>
      <c r="J2183" s="5">
        <f ca="1">IFERROR(__xludf.DUMMYFUNCTION("""COMPUTED_VALUE"""),0)</f>
        <v>0</v>
      </c>
      <c r="K2183" s="9" t="str">
        <f ca="1">IFERROR(__xludf.DUMMYFUNCTION("""COMPUTED_VALUE"""),"https://www.newspapers.com/image/131852835/?terms=school%2Bshooting")</f>
        <v>https://www.newspapers.com/image/131852835/?terms=school%2Bshooting</v>
      </c>
      <c r="L2183" s="5"/>
      <c r="M2183" s="5"/>
      <c r="N2183" s="5">
        <f ca="1">IFERROR(__xludf.DUMMYFUNCTION("""COMPUTED_VALUE"""),2)</f>
        <v>2</v>
      </c>
      <c r="O2183" s="5" t="str">
        <f ca="1">IFERROR(__xludf.DUMMYFUNCTION("""COMPUTED_VALUE"""),"Summer")</f>
        <v>Summer</v>
      </c>
      <c r="P2183" s="5" t="str">
        <f ca="1">IFERROR(__xludf.DUMMYFUNCTION("""COMPUTED_VALUE"""),"Chicago")</f>
        <v>Chicago</v>
      </c>
      <c r="Q2183" s="5" t="str">
        <f ca="1">IFERROR(__xludf.DUMMYFUNCTION("""COMPUTED_VALUE"""),"IL")</f>
        <v>IL</v>
      </c>
      <c r="R2183" s="5" t="str">
        <f ca="1">IFERROR(__xludf.DUMMYFUNCTION("""COMPUTED_VALUE"""),"High")</f>
        <v>High</v>
      </c>
      <c r="S2183" s="5" t="str">
        <f ca="1">IFERROR(__xludf.DUMMYFUNCTION("""COMPUTED_VALUE"""),"Beside Building")</f>
        <v>Beside Building</v>
      </c>
      <c r="T2183" s="5" t="str">
        <f ca="1">IFERROR(__xludf.DUMMYFUNCTION("""COMPUTED_VALUE"""),"Outside on School Property")</f>
        <v>Outside on School Property</v>
      </c>
      <c r="U2183" s="5" t="str">
        <f ca="1">IFERROR(__xludf.DUMMYFUNCTION("""COMPUTED_VALUE"""),"Yes")</f>
        <v>Yes</v>
      </c>
      <c r="V2183" s="5"/>
      <c r="W2183" s="5"/>
      <c r="X2183" s="5"/>
      <c r="Y2183" s="5" t="str">
        <f ca="1">IFERROR(__xludf.DUMMYFUNCTION("""COMPUTED_VALUE"""),"Two students shot during dispute outside of school building")</f>
        <v>Two students shot during dispute outside of school building</v>
      </c>
      <c r="Z2183" s="5" t="str">
        <f ca="1">IFERROR(__xludf.DUMMYFUNCTION("""COMPUTED_VALUE"""),"Two 18 year-old male victims were shot during a fight outside of the school. Shooter fled the scene and was not identified.")</f>
        <v>Two 18 year-old male victims were shot during a fight outside of the school. Shooter fled the scene and was not identified.</v>
      </c>
      <c r="AA2183" s="5" t="str">
        <f ca="1">IFERROR(__xludf.DUMMYFUNCTION("""COMPUTED_VALUE"""),"Escalation of Dispute")</f>
        <v>Escalation of Dispute</v>
      </c>
      <c r="AB2183" s="5" t="str">
        <f ca="1">IFERROR(__xludf.DUMMYFUNCTION("""COMPUTED_VALUE"""),"Victims Targeted")</f>
        <v>Victims Targeted</v>
      </c>
      <c r="AC2183" s="5" t="str">
        <f ca="1">IFERROR(__xludf.DUMMYFUNCTION("""COMPUTED_VALUE"""),"No")</f>
        <v>No</v>
      </c>
      <c r="AD2183" s="5" t="str">
        <f ca="1">IFERROR(__xludf.DUMMYFUNCTION("""COMPUTED_VALUE"""),"No")</f>
        <v>No</v>
      </c>
      <c r="AE2183" s="5" t="str">
        <f ca="1">IFERROR(__xludf.DUMMYFUNCTION("""COMPUTED_VALUE"""),"No")</f>
        <v>No</v>
      </c>
      <c r="AF2183" s="5" t="str">
        <f ca="1">IFERROR(__xludf.DUMMYFUNCTION("""COMPUTED_VALUE"""),"No")</f>
        <v>No</v>
      </c>
      <c r="AG2183" s="5" t="str">
        <f ca="1">IFERROR(__xludf.DUMMYFUNCTION("""COMPUTED_VALUE"""),"No")</f>
        <v>No</v>
      </c>
      <c r="AH2183" s="5" t="str">
        <f ca="1">IFERROR(__xludf.DUMMYFUNCTION("""COMPUTED_VALUE"""),"No")</f>
        <v>No</v>
      </c>
      <c r="AI2183" s="5" t="str">
        <f ca="1">IFERROR(__xludf.DUMMYFUNCTION("""COMPUTED_VALUE"""),"No")</f>
        <v>No</v>
      </c>
      <c r="AJ2183" s="5"/>
    </row>
    <row r="2184" spans="1:36" ht="13">
      <c r="A2184" s="5" t="str">
        <f ca="1">IFERROR(__xludf.DUMMYFUNCTION("""COMPUTED_VALUE"""),"19770517FLSTC")</f>
        <v>19770517FLSTC</v>
      </c>
      <c r="B2184" s="5">
        <f ca="1">IFERROR(__xludf.DUMMYFUNCTION("""COMPUTED_VALUE"""),5)</f>
        <v>5</v>
      </c>
      <c r="C2184" s="5">
        <f ca="1">IFERROR(__xludf.DUMMYFUNCTION("""COMPUTED_VALUE"""),17)</f>
        <v>17</v>
      </c>
      <c r="D2184" s="5">
        <f ca="1">IFERROR(__xludf.DUMMYFUNCTION("""COMPUTED_VALUE"""),1977)</f>
        <v>1977</v>
      </c>
      <c r="E2184" s="8">
        <f ca="1">IFERROR(__xludf.DUMMYFUNCTION("""COMPUTED_VALUE"""),28262)</f>
        <v>28262</v>
      </c>
      <c r="F2184" s="5" t="str">
        <f ca="1">IFERROR(__xludf.DUMMYFUNCTION("""COMPUTED_VALUE"""),"Stone Middle School")</f>
        <v>Stone Middle School</v>
      </c>
      <c r="G2184" s="5">
        <f ca="1">IFERROR(__xludf.DUMMYFUNCTION("""COMPUTED_VALUE"""),0)</f>
        <v>0</v>
      </c>
      <c r="H2184" s="5">
        <f ca="1">IFERROR(__xludf.DUMMYFUNCTION("""COMPUTED_VALUE"""),0)</f>
        <v>0</v>
      </c>
      <c r="I2184" s="5">
        <f ca="1">IFERROR(__xludf.DUMMYFUNCTION("""COMPUTED_VALUE"""),0)</f>
        <v>0</v>
      </c>
      <c r="J2184" s="5">
        <f ca="1">IFERROR(__xludf.DUMMYFUNCTION("""COMPUTED_VALUE"""),0)</f>
        <v>0</v>
      </c>
      <c r="K2184" s="9" t="str">
        <f ca="1">IFERROR(__xludf.DUMMYFUNCTION("""COMPUTED_VALUE"""),"https://www.newspapers.com/image/124954684/?terms=school%2Bshooting")</f>
        <v>https://www.newspapers.com/image/124954684/?terms=school%2Bshooting</v>
      </c>
      <c r="L2184" s="5"/>
      <c r="M2184" s="5"/>
      <c r="N2184" s="5">
        <f ca="1">IFERROR(__xludf.DUMMYFUNCTION("""COMPUTED_VALUE"""),2)</f>
        <v>2</v>
      </c>
      <c r="O2184" s="5" t="str">
        <f ca="1">IFERROR(__xludf.DUMMYFUNCTION("""COMPUTED_VALUE"""),"Spring")</f>
        <v>Spring</v>
      </c>
      <c r="P2184" s="5" t="str">
        <f ca="1">IFERROR(__xludf.DUMMYFUNCTION("""COMPUTED_VALUE"""),"Cocoa")</f>
        <v>Cocoa</v>
      </c>
      <c r="Q2184" s="5" t="str">
        <f ca="1">IFERROR(__xludf.DUMMYFUNCTION("""COMPUTED_VALUE"""),"FL")</f>
        <v>FL</v>
      </c>
      <c r="R2184" s="5" t="str">
        <f ca="1">IFERROR(__xludf.DUMMYFUNCTION("""COMPUTED_VALUE"""),"Middle")</f>
        <v>Middle</v>
      </c>
      <c r="S2184" s="5" t="str">
        <f ca="1">IFERROR(__xludf.DUMMYFUNCTION("""COMPUTED_VALUE"""),"Playground")</f>
        <v>Playground</v>
      </c>
      <c r="T2184" s="5" t="str">
        <f ca="1">IFERROR(__xludf.DUMMYFUNCTION("""COMPUTED_VALUE"""),"Outside on School Property")</f>
        <v>Outside on School Property</v>
      </c>
      <c r="U2184" s="5" t="str">
        <f ca="1">IFERROR(__xludf.DUMMYFUNCTION("""COMPUTED_VALUE"""),"No")</f>
        <v>No</v>
      </c>
      <c r="V2184" s="5" t="str">
        <f ca="1">IFERROR(__xludf.DUMMYFUNCTION("""COMPUTED_VALUE"""),"Sport Event")</f>
        <v>Sport Event</v>
      </c>
      <c r="W2184" s="10">
        <f ca="1">IFERROR(__xludf.DUMMYFUNCTION("""COMPUTED_VALUE"""),0.84375)</f>
        <v>0.84375</v>
      </c>
      <c r="X2184" s="5"/>
      <c r="Y2184" s="5" t="str">
        <f ca="1">IFERROR(__xludf.DUMMYFUNCTION("""COMPUTED_VALUE"""),"Fired multiple shots into the school building during basketball game")</f>
        <v>Fired multiple shots into the school building during basketball game</v>
      </c>
      <c r="Z2184" s="5" t="str">
        <f ca="1">IFERROR(__xludf.DUMMYFUNCTION("""COMPUTED_VALUE"""),"22 year-old male fired multiple shots from vehicle into the school building during a basketball game. Drove to a shopping center and fired multiple shots. No injuries at either location.")</f>
        <v>22 year-old male fired multiple shots from vehicle into the school building during a basketball game. Drove to a shopping center and fired multiple shots. No injuries at either location.</v>
      </c>
      <c r="AA2184" s="5" t="str">
        <f ca="1">IFERROR(__xludf.DUMMYFUNCTION("""COMPUTED_VALUE"""),"Drive-by Shooting")</f>
        <v>Drive-by Shooting</v>
      </c>
      <c r="AB2184" s="5"/>
      <c r="AC2184" s="5" t="str">
        <f ca="1">IFERROR(__xludf.DUMMYFUNCTION("""COMPUTED_VALUE"""),"No")</f>
        <v>No</v>
      </c>
      <c r="AD2184" s="5" t="str">
        <f ca="1">IFERROR(__xludf.DUMMYFUNCTION("""COMPUTED_VALUE"""),"No")</f>
        <v>No</v>
      </c>
      <c r="AE2184" s="5" t="str">
        <f ca="1">IFERROR(__xludf.DUMMYFUNCTION("""COMPUTED_VALUE"""),"No")</f>
        <v>No</v>
      </c>
      <c r="AF2184" s="5" t="str">
        <f ca="1">IFERROR(__xludf.DUMMYFUNCTION("""COMPUTED_VALUE"""),"No")</f>
        <v>No</v>
      </c>
      <c r="AG2184" s="5"/>
      <c r="AH2184" s="5"/>
      <c r="AI2184" s="5" t="str">
        <f ca="1">IFERROR(__xludf.DUMMYFUNCTION("""COMPUTED_VALUE"""),"No")</f>
        <v>No</v>
      </c>
      <c r="AJ2184" s="5"/>
    </row>
    <row r="2185" spans="1:36" ht="13">
      <c r="A2185" s="5" t="str">
        <f ca="1">IFERROR(__xludf.DUMMYFUNCTION("""COMPUTED_VALUE"""),"19770418TNPIN")</f>
        <v>19770418TNPIN</v>
      </c>
      <c r="B2185" s="5">
        <f ca="1">IFERROR(__xludf.DUMMYFUNCTION("""COMPUTED_VALUE"""),4)</f>
        <v>4</v>
      </c>
      <c r="C2185" s="5">
        <f ca="1">IFERROR(__xludf.DUMMYFUNCTION("""COMPUTED_VALUE"""),18)</f>
        <v>18</v>
      </c>
      <c r="D2185" s="5">
        <f ca="1">IFERROR(__xludf.DUMMYFUNCTION("""COMPUTED_VALUE"""),1977)</f>
        <v>1977</v>
      </c>
      <c r="E2185" s="8">
        <f ca="1">IFERROR(__xludf.DUMMYFUNCTION("""COMPUTED_VALUE"""),28233)</f>
        <v>28233</v>
      </c>
      <c r="F2185" s="5" t="str">
        <f ca="1">IFERROR(__xludf.DUMMYFUNCTION("""COMPUTED_VALUE"""),"Pioneer Christian Academy")</f>
        <v>Pioneer Christian Academy</v>
      </c>
      <c r="G2185" s="5">
        <f ca="1">IFERROR(__xludf.DUMMYFUNCTION("""COMPUTED_VALUE"""),1)</f>
        <v>1</v>
      </c>
      <c r="H2185" s="5">
        <f ca="1">IFERROR(__xludf.DUMMYFUNCTION("""COMPUTED_VALUE"""),0)</f>
        <v>0</v>
      </c>
      <c r="I2185" s="5">
        <f ca="1">IFERROR(__xludf.DUMMYFUNCTION("""COMPUTED_VALUE"""),1)</f>
        <v>1</v>
      </c>
      <c r="J2185" s="5">
        <f ca="1">IFERROR(__xludf.DUMMYFUNCTION("""COMPUTED_VALUE"""),0)</f>
        <v>0</v>
      </c>
      <c r="K2185" s="9" t="str">
        <f ca="1">IFERROR(__xludf.DUMMYFUNCTION("""COMPUTED_VALUE"""),"https://www.newspapers.com/image/112439487/?terms=school%2Bshooting")</f>
        <v>https://www.newspapers.com/image/112439487/?terms=school%2Bshooting</v>
      </c>
      <c r="L2185" s="5"/>
      <c r="M2185" s="5"/>
      <c r="N2185" s="5">
        <f ca="1">IFERROR(__xludf.DUMMYFUNCTION("""COMPUTED_VALUE"""),2)</f>
        <v>2</v>
      </c>
      <c r="O2185" s="5" t="str">
        <f ca="1">IFERROR(__xludf.DUMMYFUNCTION("""COMPUTED_VALUE"""),"Spring")</f>
        <v>Spring</v>
      </c>
      <c r="P2185" s="5" t="str">
        <f ca="1">IFERROR(__xludf.DUMMYFUNCTION("""COMPUTED_VALUE"""),"Nashville")</f>
        <v>Nashville</v>
      </c>
      <c r="Q2185" s="5" t="str">
        <f ca="1">IFERROR(__xludf.DUMMYFUNCTION("""COMPUTED_VALUE"""),"TN")</f>
        <v>TN</v>
      </c>
      <c r="R2185" s="5" t="str">
        <f ca="1">IFERROR(__xludf.DUMMYFUNCTION("""COMPUTED_VALUE"""),"Other")</f>
        <v>Other</v>
      </c>
      <c r="S2185" s="5" t="str">
        <f ca="1">IFERROR(__xludf.DUMMYFUNCTION("""COMPUTED_VALUE"""),"Parking Lot")</f>
        <v>Parking Lot</v>
      </c>
      <c r="T2185" s="5" t="str">
        <f ca="1">IFERROR(__xludf.DUMMYFUNCTION("""COMPUTED_VALUE"""),"Outside on School Property")</f>
        <v>Outside on School Property</v>
      </c>
      <c r="U2185" s="5" t="str">
        <f ca="1">IFERROR(__xludf.DUMMYFUNCTION("""COMPUTED_VALUE"""),"Yes")</f>
        <v>Yes</v>
      </c>
      <c r="V2185" s="5" t="str">
        <f ca="1">IFERROR(__xludf.DUMMYFUNCTION("""COMPUTED_VALUE"""),"School Start")</f>
        <v>School Start</v>
      </c>
      <c r="W2185" s="10">
        <f ca="1">IFERROR(__xludf.DUMMYFUNCTION("""COMPUTED_VALUE"""),0.375)</f>
        <v>0.375</v>
      </c>
      <c r="X2185" s="5">
        <f ca="1">IFERROR(__xludf.DUMMYFUNCTION("""COMPUTED_VALUE"""),1)</f>
        <v>1</v>
      </c>
      <c r="Y2185" s="5" t="str">
        <f ca="1">IFERROR(__xludf.DUMMYFUNCTION("""COMPUTED_VALUE"""),"Domestic quarrel between 2 men in school parking lot while parents were dropping kids off")</f>
        <v>Domestic quarrel between 2 men in school parking lot while parents were dropping kids off</v>
      </c>
      <c r="Z2185" s="5" t="str">
        <f ca="1">IFERROR(__xludf.DUMMYFUNCTION("""COMPUTED_VALUE"""),"41 year-old male shot and killed a 46 year-old male in parking lot as school was starting. Police said it was a domestic quarrel. No witnesses but children were in the area.")</f>
        <v>41 year-old male shot and killed a 46 year-old male in parking lot as school was starting. Police said it was a domestic quarrel. No witnesses but children were in the area.</v>
      </c>
      <c r="AA2185" s="5" t="str">
        <f ca="1">IFERROR(__xludf.DUMMYFUNCTION("""COMPUTED_VALUE"""),"Domestic w/ Targeted Victim")</f>
        <v>Domestic w/ Targeted Victim</v>
      </c>
      <c r="AB2185" s="5" t="str">
        <f ca="1">IFERROR(__xludf.DUMMYFUNCTION("""COMPUTED_VALUE"""),"Victims Targeted")</f>
        <v>Victims Targeted</v>
      </c>
      <c r="AC2185" s="5" t="str">
        <f ca="1">IFERROR(__xludf.DUMMYFUNCTION("""COMPUTED_VALUE"""),"No")</f>
        <v>No</v>
      </c>
      <c r="AD2185" s="5" t="str">
        <f ca="1">IFERROR(__xludf.DUMMYFUNCTION("""COMPUTED_VALUE"""),"No")</f>
        <v>No</v>
      </c>
      <c r="AE2185" s="5" t="str">
        <f ca="1">IFERROR(__xludf.DUMMYFUNCTION("""COMPUTED_VALUE"""),"No")</f>
        <v>No</v>
      </c>
      <c r="AF2185" s="5" t="str">
        <f ca="1">IFERROR(__xludf.DUMMYFUNCTION("""COMPUTED_VALUE"""),"No")</f>
        <v>No</v>
      </c>
      <c r="AG2185" s="5" t="str">
        <f ca="1">IFERROR(__xludf.DUMMYFUNCTION("""COMPUTED_VALUE"""),"No")</f>
        <v>No</v>
      </c>
      <c r="AH2185" s="5" t="str">
        <f ca="1">IFERROR(__xludf.DUMMYFUNCTION("""COMPUTED_VALUE"""),"Yes")</f>
        <v>Yes</v>
      </c>
      <c r="AI2185" s="5" t="str">
        <f ca="1">IFERROR(__xludf.DUMMYFUNCTION("""COMPUTED_VALUE"""),"No")</f>
        <v>No</v>
      </c>
      <c r="AJ2185" s="5"/>
    </row>
    <row r="2186" spans="1:36" ht="13">
      <c r="A2186" s="5" t="str">
        <f ca="1">IFERROR(__xludf.DUMMYFUNCTION("""COMPUTED_VALUE"""),"19770407TXWHW")</f>
        <v>19770407TXWHW</v>
      </c>
      <c r="B2186" s="5">
        <f ca="1">IFERROR(__xludf.DUMMYFUNCTION("""COMPUTED_VALUE"""),4)</f>
        <v>4</v>
      </c>
      <c r="C2186" s="5">
        <f ca="1">IFERROR(__xludf.DUMMYFUNCTION("""COMPUTED_VALUE"""),7)</f>
        <v>7</v>
      </c>
      <c r="D2186" s="5">
        <f ca="1">IFERROR(__xludf.DUMMYFUNCTION("""COMPUTED_VALUE"""),1977)</f>
        <v>1977</v>
      </c>
      <c r="E2186" s="8">
        <f ca="1">IFERROR(__xludf.DUMMYFUNCTION("""COMPUTED_VALUE"""),28222)</f>
        <v>28222</v>
      </c>
      <c r="F2186" s="5" t="str">
        <f ca="1">IFERROR(__xludf.DUMMYFUNCTION("""COMPUTED_VALUE"""),"Whitharral High School")</f>
        <v>Whitharral High School</v>
      </c>
      <c r="G2186" s="5">
        <f ca="1">IFERROR(__xludf.DUMMYFUNCTION("""COMPUTED_VALUE"""),1)</f>
        <v>1</v>
      </c>
      <c r="H2186" s="5">
        <f ca="1">IFERROR(__xludf.DUMMYFUNCTION("""COMPUTED_VALUE"""),0)</f>
        <v>0</v>
      </c>
      <c r="I2186" s="5">
        <f ca="1">IFERROR(__xludf.DUMMYFUNCTION("""COMPUTED_VALUE"""),1)</f>
        <v>1</v>
      </c>
      <c r="J2186" s="5">
        <f ca="1">IFERROR(__xludf.DUMMYFUNCTION("""COMPUTED_VALUE"""),0)</f>
        <v>0</v>
      </c>
      <c r="K2186" s="5" t="str">
        <f ca="1">IFERROR(__xludf.DUMMYFUNCTION("""COMPUTED_VALUE"""),"https://www.newspapers.com/newspage/17130627/        https://www.newspapers.com/newspage/31002514/   https://www.findagrave.com/memorial/44261880/malcom-omar-tripp   https://news.google.com/newspapers?id=REAhAAAAIBAJ&amp;pg=5618,677358 https://www.newspapers."&amp;"com/image/6532602/?terms=school%2Bshooting")</f>
        <v>https://www.newspapers.com/newspage/17130627/        https://www.newspapers.com/newspage/31002514/   https://www.findagrave.com/memorial/44261880/malcom-omar-tripp   https://news.google.com/newspapers?id=REAhAAAAIBAJ&amp;pg=5618,677358 https://www.newspapers.com/image/6532602/?terms=school%2Bshooting</v>
      </c>
      <c r="L2186" s="5"/>
      <c r="M2186" s="5"/>
      <c r="N2186" s="5">
        <f ca="1">IFERROR(__xludf.DUMMYFUNCTION("""COMPUTED_VALUE"""),3)</f>
        <v>3</v>
      </c>
      <c r="O2186" s="5" t="str">
        <f ca="1">IFERROR(__xludf.DUMMYFUNCTION("""COMPUTED_VALUE"""),"Spring")</f>
        <v>Spring</v>
      </c>
      <c r="P2186" s="5" t="str">
        <f ca="1">IFERROR(__xludf.DUMMYFUNCTION("""COMPUTED_VALUE"""),"Whitharral")</f>
        <v>Whitharral</v>
      </c>
      <c r="Q2186" s="5" t="str">
        <f ca="1">IFERROR(__xludf.DUMMYFUNCTION("""COMPUTED_VALUE"""),"TX")</f>
        <v>TX</v>
      </c>
      <c r="R2186" s="5" t="str">
        <f ca="1">IFERROR(__xludf.DUMMYFUNCTION("""COMPUTED_VALUE"""),"High")</f>
        <v>High</v>
      </c>
      <c r="S2186" s="5" t="str">
        <f ca="1">IFERROR(__xludf.DUMMYFUNCTION("""COMPUTED_VALUE"""),"Beside Building")</f>
        <v>Beside Building</v>
      </c>
      <c r="T2186" s="5" t="str">
        <f ca="1">IFERROR(__xludf.DUMMYFUNCTION("""COMPUTED_VALUE"""),"Outside on School Property")</f>
        <v>Outside on School Property</v>
      </c>
      <c r="U2186" s="5" t="str">
        <f ca="1">IFERROR(__xludf.DUMMYFUNCTION("""COMPUTED_VALUE"""),"Yes")</f>
        <v>Yes</v>
      </c>
      <c r="V2186" s="5" t="str">
        <f ca="1">IFERROR(__xludf.DUMMYFUNCTION("""COMPUTED_VALUE"""),"Morning Classes")</f>
        <v>Morning Classes</v>
      </c>
      <c r="W2186" s="10">
        <f ca="1">IFERROR(__xludf.DUMMYFUNCTION("""COMPUTED_VALUE"""),0.375)</f>
        <v>0.375</v>
      </c>
      <c r="X2186" s="5">
        <f ca="1">IFERROR(__xludf.DUMMYFUNCTION("""COMPUTED_VALUE"""),1)</f>
        <v>1</v>
      </c>
      <c r="Y2186" s="5" t="str">
        <f ca="1">IFERROR(__xludf.DUMMYFUNCTION("""COMPUTED_VALUE"""),"Killed his principal outside of school")</f>
        <v>Killed his principal outside of school</v>
      </c>
      <c r="Z2186" s="5" t="str">
        <f ca="1">IFERROR(__xludf.DUMMYFUNCTION("""COMPUTED_VALUE"""),"Shooter shot principal (Malcolm Omar Tripp, 31 year-old male) two times in the back on the steps of the school after asking the shooter why he wasn't in class since classes had just started. Lopez told him why was sick and Tripp offered him a ride home bu"&amp;"t Lopez refused. As Tripp turned to go back inside, Lopez shot three times, with two shots hitting Tripp him in the back. Shooter was described as ""someone who had never given anyone any problems”. Reported to be paranoid schizophrenic.")</f>
        <v>Shooter shot principal (Malcolm Omar Tripp, 31 year-old male) two times in the back on the steps of the school after asking the shooter why he wasn't in class since classes had just started. Lopez told him why was sick and Tripp offered him a ride home but Lopez refused. As Tripp turned to go back inside, Lopez shot three times, with two shots hitting Tripp him in the back. Shooter was described as "someone who had never given anyone any problems”. Reported to be paranoid schizophrenic.</v>
      </c>
      <c r="AA2186" s="5" t="str">
        <f ca="1">IFERROR(__xludf.DUMMYFUNCTION("""COMPUTED_VALUE"""),"Psychosis")</f>
        <v>Psychosis</v>
      </c>
      <c r="AB2186" s="5" t="str">
        <f ca="1">IFERROR(__xludf.DUMMYFUNCTION("""COMPUTED_VALUE"""),"Victims Targeted")</f>
        <v>Victims Targeted</v>
      </c>
      <c r="AC2186" s="5" t="str">
        <f ca="1">IFERROR(__xludf.DUMMYFUNCTION("""COMPUTED_VALUE"""),"No")</f>
        <v>No</v>
      </c>
      <c r="AD2186" s="5" t="str">
        <f ca="1">IFERROR(__xludf.DUMMYFUNCTION("""COMPUTED_VALUE"""),"No")</f>
        <v>No</v>
      </c>
      <c r="AE2186" s="5" t="str">
        <f ca="1">IFERROR(__xludf.DUMMYFUNCTION("""COMPUTED_VALUE"""),"No")</f>
        <v>No</v>
      </c>
      <c r="AF2186" s="5" t="str">
        <f ca="1">IFERROR(__xludf.DUMMYFUNCTION("""COMPUTED_VALUE"""),"No")</f>
        <v>No</v>
      </c>
      <c r="AG2186" s="5" t="str">
        <f ca="1">IFERROR(__xludf.DUMMYFUNCTION("""COMPUTED_VALUE"""),"No")</f>
        <v>No</v>
      </c>
      <c r="AH2186" s="5" t="str">
        <f ca="1">IFERROR(__xludf.DUMMYFUNCTION("""COMPUTED_VALUE"""),"No")</f>
        <v>No</v>
      </c>
      <c r="AI2186" s="5" t="str">
        <f ca="1">IFERROR(__xludf.DUMMYFUNCTION("""COMPUTED_VALUE"""),"No")</f>
        <v>No</v>
      </c>
      <c r="AJ2186" s="5"/>
    </row>
    <row r="2187" spans="1:36" ht="13">
      <c r="A2187" s="5" t="str">
        <f ca="1">IFERROR(__xludf.DUMMYFUNCTION("""COMPUTED_VALUE"""),"19770321NYPAH")</f>
        <v>19770321NYPAH</v>
      </c>
      <c r="B2187" s="5">
        <f ca="1">IFERROR(__xludf.DUMMYFUNCTION("""COMPUTED_VALUE"""),3)</f>
        <v>3</v>
      </c>
      <c r="C2187" s="5">
        <f ca="1">IFERROR(__xludf.DUMMYFUNCTION("""COMPUTED_VALUE"""),21)</f>
        <v>21</v>
      </c>
      <c r="D2187" s="5">
        <f ca="1">IFERROR(__xludf.DUMMYFUNCTION("""COMPUTED_VALUE"""),1977)</f>
        <v>1977</v>
      </c>
      <c r="E2187" s="8">
        <f ca="1">IFERROR(__xludf.DUMMYFUNCTION("""COMPUTED_VALUE"""),28205)</f>
        <v>28205</v>
      </c>
      <c r="F2187" s="5" t="str">
        <f ca="1">IFERROR(__xludf.DUMMYFUNCTION("""COMPUTED_VALUE"""),"Parochial School")</f>
        <v>Parochial School</v>
      </c>
      <c r="G2187" s="5">
        <f ca="1">IFERROR(__xludf.DUMMYFUNCTION("""COMPUTED_VALUE"""),0)</f>
        <v>0</v>
      </c>
      <c r="H2187" s="5">
        <f ca="1">IFERROR(__xludf.DUMMYFUNCTION("""COMPUTED_VALUE"""),0)</f>
        <v>0</v>
      </c>
      <c r="I2187" s="5">
        <f ca="1">IFERROR(__xludf.DUMMYFUNCTION("""COMPUTED_VALUE"""),0)</f>
        <v>0</v>
      </c>
      <c r="J2187" s="5">
        <f ca="1">IFERROR(__xludf.DUMMYFUNCTION("""COMPUTED_VALUE"""),0)</f>
        <v>0</v>
      </c>
      <c r="K2187" s="9" t="str">
        <f ca="1">IFERROR(__xludf.DUMMYFUNCTION("""COMPUTED_VALUE"""),"https://www.newspapers.com/image/347216054/?terms=school%2Bshooting")</f>
        <v>https://www.newspapers.com/image/347216054/?terms=school%2Bshooting</v>
      </c>
      <c r="L2187" s="5"/>
      <c r="M2187" s="5"/>
      <c r="N2187" s="5">
        <f ca="1">IFERROR(__xludf.DUMMYFUNCTION("""COMPUTED_VALUE"""),2)</f>
        <v>2</v>
      </c>
      <c r="O2187" s="5" t="str">
        <f ca="1">IFERROR(__xludf.DUMMYFUNCTION("""COMPUTED_VALUE"""),"Spring")</f>
        <v>Spring</v>
      </c>
      <c r="P2187" s="5" t="str">
        <f ca="1">IFERROR(__xludf.DUMMYFUNCTION("""COMPUTED_VALUE"""),"Hamburg")</f>
        <v>Hamburg</v>
      </c>
      <c r="Q2187" s="5" t="str">
        <f ca="1">IFERROR(__xludf.DUMMYFUNCTION("""COMPUTED_VALUE"""),"NY")</f>
        <v>NY</v>
      </c>
      <c r="R2187" s="5" t="str">
        <f ca="1">IFERROR(__xludf.DUMMYFUNCTION("""COMPUTED_VALUE"""),"Other")</f>
        <v>Other</v>
      </c>
      <c r="S2187" s="5" t="str">
        <f ca="1">IFERROR(__xludf.DUMMYFUNCTION("""COMPUTED_VALUE"""),"Field (General)")</f>
        <v>Field (General)</v>
      </c>
      <c r="T2187" s="5" t="str">
        <f ca="1">IFERROR(__xludf.DUMMYFUNCTION("""COMPUTED_VALUE"""),"Outside on School Property")</f>
        <v>Outside on School Property</v>
      </c>
      <c r="U2187" s="5" t="str">
        <f ca="1">IFERROR(__xludf.DUMMYFUNCTION("""COMPUTED_VALUE"""),"Yes")</f>
        <v>Yes</v>
      </c>
      <c r="V2187" s="5"/>
      <c r="W2187" s="5"/>
      <c r="X2187" s="5"/>
      <c r="Y2187" s="5" t="str">
        <f ca="1">IFERROR(__xludf.DUMMYFUNCTION("""COMPUTED_VALUE"""),"Shooting at cans, shots broke occupied school windows")</f>
        <v>Shooting at cans, shots broke occupied school windows</v>
      </c>
      <c r="Z2187" s="5" t="str">
        <f ca="1">IFERROR(__xludf.DUMMYFUNCTION("""COMPUTED_VALUE"""),"School dishwasher was firing .22 rifle at cans 200 yards behind school. Missed rounds struck school building and broke classroom windows of occupied classrooms. Police were called. When police officer approached shooter, he fired 3-4 shots at the officer.")</f>
        <v>School dishwasher was firing .22 rifle at cans 200 yards behind school. Missed rounds struck school building and broke classroom windows of occupied classrooms. Police were called. When police officer approached shooter, he fired 3-4 shots at the officer.</v>
      </c>
      <c r="AA2187" s="5" t="str">
        <f ca="1">IFERROR(__xludf.DUMMYFUNCTION("""COMPUTED_VALUE"""),"Accidental")</f>
        <v>Accidental</v>
      </c>
      <c r="AB2187" s="5" t="str">
        <f ca="1">IFERROR(__xludf.DUMMYFUNCTION("""COMPUTED_VALUE"""),"Neither")</f>
        <v>Neither</v>
      </c>
      <c r="AC2187" s="5" t="str">
        <f ca="1">IFERROR(__xludf.DUMMYFUNCTION("""COMPUTED_VALUE"""),"No")</f>
        <v>No</v>
      </c>
      <c r="AD2187" s="5" t="str">
        <f ca="1">IFERROR(__xludf.DUMMYFUNCTION("""COMPUTED_VALUE"""),"No")</f>
        <v>No</v>
      </c>
      <c r="AE2187" s="5" t="str">
        <f ca="1">IFERROR(__xludf.DUMMYFUNCTION("""COMPUTED_VALUE"""),"No")</f>
        <v>No</v>
      </c>
      <c r="AF2187" s="5" t="str">
        <f ca="1">IFERROR(__xludf.DUMMYFUNCTION("""COMPUTED_VALUE"""),"No")</f>
        <v>No</v>
      </c>
      <c r="AG2187" s="5" t="str">
        <f ca="1">IFERROR(__xludf.DUMMYFUNCTION("""COMPUTED_VALUE"""),"No")</f>
        <v>No</v>
      </c>
      <c r="AH2187" s="5" t="str">
        <f ca="1">IFERROR(__xludf.DUMMYFUNCTION("""COMPUTED_VALUE"""),"No")</f>
        <v>No</v>
      </c>
      <c r="AI2187" s="5" t="str">
        <f ca="1">IFERROR(__xludf.DUMMYFUNCTION("""COMPUTED_VALUE"""),"No")</f>
        <v>No</v>
      </c>
      <c r="AJ2187" s="5"/>
    </row>
    <row r="2188" spans="1:36" ht="13">
      <c r="A2188" s="5" t="str">
        <f ca="1">IFERROR(__xludf.DUMMYFUNCTION("""COMPUTED_VALUE"""),"19770308ILCOE")</f>
        <v>19770308ILCOE</v>
      </c>
      <c r="B2188" s="5">
        <f ca="1">IFERROR(__xludf.DUMMYFUNCTION("""COMPUTED_VALUE"""),3)</f>
        <v>3</v>
      </c>
      <c r="C2188" s="5">
        <f ca="1">IFERROR(__xludf.DUMMYFUNCTION("""COMPUTED_VALUE"""),8)</f>
        <v>8</v>
      </c>
      <c r="D2188" s="5">
        <f ca="1">IFERROR(__xludf.DUMMYFUNCTION("""COMPUTED_VALUE"""),1977)</f>
        <v>1977</v>
      </c>
      <c r="E2188" s="8">
        <f ca="1">IFERROR(__xludf.DUMMYFUNCTION("""COMPUTED_VALUE"""),28192)</f>
        <v>28192</v>
      </c>
      <c r="F2188" s="5" t="str">
        <f ca="1">IFERROR(__xludf.DUMMYFUNCTION("""COMPUTED_VALUE"""),"Collinsville High School")</f>
        <v>Collinsville High School</v>
      </c>
      <c r="G2188" s="5">
        <f ca="1">IFERROR(__xludf.DUMMYFUNCTION("""COMPUTED_VALUE"""),0)</f>
        <v>0</v>
      </c>
      <c r="H2188" s="5">
        <f ca="1">IFERROR(__xludf.DUMMYFUNCTION("""COMPUTED_VALUE"""),2)</f>
        <v>2</v>
      </c>
      <c r="I2188" s="5">
        <f ca="1">IFERROR(__xludf.DUMMYFUNCTION("""COMPUTED_VALUE"""),2)</f>
        <v>2</v>
      </c>
      <c r="J2188" s="5">
        <f ca="1">IFERROR(__xludf.DUMMYFUNCTION("""COMPUTED_VALUE"""),0)</f>
        <v>0</v>
      </c>
      <c r="K2188" s="9" t="str">
        <f ca="1">IFERROR(__xludf.DUMMYFUNCTION("""COMPUTED_VALUE"""),"https://www.newspapers.com/image/26422860/?terms=school%2Bshooting")</f>
        <v>https://www.newspapers.com/image/26422860/?terms=school%2Bshooting</v>
      </c>
      <c r="L2188" s="5"/>
      <c r="M2188" s="5"/>
      <c r="N2188" s="5">
        <f ca="1">IFERROR(__xludf.DUMMYFUNCTION("""COMPUTED_VALUE"""),2)</f>
        <v>2</v>
      </c>
      <c r="O2188" s="5" t="str">
        <f ca="1">IFERROR(__xludf.DUMMYFUNCTION("""COMPUTED_VALUE"""),"Spring")</f>
        <v>Spring</v>
      </c>
      <c r="P2188" s="5" t="str">
        <f ca="1">IFERROR(__xludf.DUMMYFUNCTION("""COMPUTED_VALUE"""),"Edwardsville")</f>
        <v>Edwardsville</v>
      </c>
      <c r="Q2188" s="5" t="str">
        <f ca="1">IFERROR(__xludf.DUMMYFUNCTION("""COMPUTED_VALUE"""),"IL")</f>
        <v>IL</v>
      </c>
      <c r="R2188" s="5" t="str">
        <f ca="1">IFERROR(__xludf.DUMMYFUNCTION("""COMPUTED_VALUE"""),"High")</f>
        <v>High</v>
      </c>
      <c r="S2188" s="5" t="str">
        <f ca="1">IFERROR(__xludf.DUMMYFUNCTION("""COMPUTED_VALUE"""),"Hallway")</f>
        <v>Hallway</v>
      </c>
      <c r="T2188" s="5" t="str">
        <f ca="1">IFERROR(__xludf.DUMMYFUNCTION("""COMPUTED_VALUE"""),"Inside School Building")</f>
        <v>Inside School Building</v>
      </c>
      <c r="U2188" s="5" t="str">
        <f ca="1">IFERROR(__xludf.DUMMYFUNCTION("""COMPUTED_VALUE"""),"Yes")</f>
        <v>Yes</v>
      </c>
      <c r="V2188" s="5" t="str">
        <f ca="1">IFERROR(__xludf.DUMMYFUNCTION("""COMPUTED_VALUE"""),"Lunch")</f>
        <v>Lunch</v>
      </c>
      <c r="W2188" s="10">
        <f ca="1">IFERROR(__xludf.DUMMYFUNCTION("""COMPUTED_VALUE"""),0.524305555555555)</f>
        <v>0.52430555555555503</v>
      </c>
      <c r="X2188" s="5">
        <f ca="1">IFERROR(__xludf.DUMMYFUNCTION("""COMPUTED_VALUE"""),1)</f>
        <v>1</v>
      </c>
      <c r="Y2188" s="5" t="str">
        <f ca="1">IFERROR(__xludf.DUMMYFUNCTION("""COMPUTED_VALUE"""),"Shot asst. principal after being suspended that day")</f>
        <v>Shot asst. principal after being suspended that day</v>
      </c>
      <c r="Z2188" s="5" t="str">
        <f ca="1">IFERROR(__xludf.DUMMYFUNCTION("""COMPUTED_VALUE"""),"16 year-old male student was suspended by assistant principal in the morning. Student went home, got pistol, and returned to school to shoot principal. A female student standing 30 feet behind the principal was struck by a stray bullet. Shooter fled on a "&amp;"motorcycle.")</f>
        <v>16 year-old male student was suspended by assistant principal in the morning. Student went home, got pistol, and returned to school to shoot principal. A female student standing 30 feet behind the principal was struck by a stray bullet. Shooter fled on a motorcycle.</v>
      </c>
      <c r="AA2188" s="5" t="str">
        <f ca="1">IFERROR(__xludf.DUMMYFUNCTION("""COMPUTED_VALUE"""),"Anger Over Grade/Suspension/Discipline")</f>
        <v>Anger Over Grade/Suspension/Discipline</v>
      </c>
      <c r="AB2188" s="5" t="str">
        <f ca="1">IFERROR(__xludf.DUMMYFUNCTION("""COMPUTED_VALUE"""),"Both")</f>
        <v>Both</v>
      </c>
      <c r="AC2188" s="5" t="str">
        <f ca="1">IFERROR(__xludf.DUMMYFUNCTION("""COMPUTED_VALUE"""),"No")</f>
        <v>No</v>
      </c>
      <c r="AD2188" s="5" t="str">
        <f ca="1">IFERROR(__xludf.DUMMYFUNCTION("""COMPUTED_VALUE"""),"No")</f>
        <v>No</v>
      </c>
      <c r="AE2188" s="5" t="str">
        <f ca="1">IFERROR(__xludf.DUMMYFUNCTION("""COMPUTED_VALUE"""),"No")</f>
        <v>No</v>
      </c>
      <c r="AF2188" s="5" t="str">
        <f ca="1">IFERROR(__xludf.DUMMYFUNCTION("""COMPUTED_VALUE"""),"No")</f>
        <v>No</v>
      </c>
      <c r="AG2188" s="5" t="str">
        <f ca="1">IFERROR(__xludf.DUMMYFUNCTION("""COMPUTED_VALUE"""),"No")</f>
        <v>No</v>
      </c>
      <c r="AH2188" s="5" t="str">
        <f ca="1">IFERROR(__xludf.DUMMYFUNCTION("""COMPUTED_VALUE"""),"No")</f>
        <v>No</v>
      </c>
      <c r="AI2188" s="5" t="str">
        <f ca="1">IFERROR(__xludf.DUMMYFUNCTION("""COMPUTED_VALUE"""),"No")</f>
        <v>No</v>
      </c>
      <c r="AJ2188" s="5"/>
    </row>
    <row r="2189" spans="1:36" ht="13">
      <c r="A2189" s="5" t="str">
        <f ca="1">IFERROR(__xludf.DUMMYFUNCTION("""COMPUTED_VALUE"""),"19770228MOROS")</f>
        <v>19770228MOROS</v>
      </c>
      <c r="B2189" s="5">
        <f ca="1">IFERROR(__xludf.DUMMYFUNCTION("""COMPUTED_VALUE"""),2)</f>
        <v>2</v>
      </c>
      <c r="C2189" s="5">
        <f ca="1">IFERROR(__xludf.DUMMYFUNCTION("""COMPUTED_VALUE"""),28)</f>
        <v>28</v>
      </c>
      <c r="D2189" s="5">
        <f ca="1">IFERROR(__xludf.DUMMYFUNCTION("""COMPUTED_VALUE"""),1977)</f>
        <v>1977</v>
      </c>
      <c r="E2189" s="8">
        <f ca="1">IFERROR(__xludf.DUMMYFUNCTION("""COMPUTED_VALUE"""),28184)</f>
        <v>28184</v>
      </c>
      <c r="F2189" s="5" t="str">
        <f ca="1">IFERROR(__xludf.DUMMYFUNCTION("""COMPUTED_VALUE"""),"Roosevelt High School")</f>
        <v>Roosevelt High School</v>
      </c>
      <c r="G2189" s="5">
        <f ca="1">IFERROR(__xludf.DUMMYFUNCTION("""COMPUTED_VALUE"""),0)</f>
        <v>0</v>
      </c>
      <c r="H2189" s="5">
        <f ca="1">IFERROR(__xludf.DUMMYFUNCTION("""COMPUTED_VALUE"""),2)</f>
        <v>2</v>
      </c>
      <c r="I2189" s="5">
        <f ca="1">IFERROR(__xludf.DUMMYFUNCTION("""COMPUTED_VALUE"""),2)</f>
        <v>2</v>
      </c>
      <c r="J2189" s="5">
        <f ca="1">IFERROR(__xludf.DUMMYFUNCTION("""COMPUTED_VALUE"""),0)</f>
        <v>0</v>
      </c>
      <c r="K2189" s="9" t="str">
        <f ca="1">IFERROR(__xludf.DUMMYFUNCTION("""COMPUTED_VALUE"""),"https://www.newspapers.com/image/139488488/?terms=school%2Bshooting")</f>
        <v>https://www.newspapers.com/image/139488488/?terms=school%2Bshooting</v>
      </c>
      <c r="L2189" s="5"/>
      <c r="M2189" s="5"/>
      <c r="N2189" s="5">
        <f ca="1">IFERROR(__xludf.DUMMYFUNCTION("""COMPUTED_VALUE"""),4)</f>
        <v>4</v>
      </c>
      <c r="O2189" s="5" t="str">
        <f ca="1">IFERROR(__xludf.DUMMYFUNCTION("""COMPUTED_VALUE"""),"Winter")</f>
        <v>Winter</v>
      </c>
      <c r="P2189" s="5" t="str">
        <f ca="1">IFERROR(__xludf.DUMMYFUNCTION("""COMPUTED_VALUE"""),"St. Louis")</f>
        <v>St. Louis</v>
      </c>
      <c r="Q2189" s="5" t="str">
        <f ca="1">IFERROR(__xludf.DUMMYFUNCTION("""COMPUTED_VALUE"""),"MO")</f>
        <v>MO</v>
      </c>
      <c r="R2189" s="5" t="str">
        <f ca="1">IFERROR(__xludf.DUMMYFUNCTION("""COMPUTED_VALUE"""),"High")</f>
        <v>High</v>
      </c>
      <c r="S2189" s="5" t="str">
        <f ca="1">IFERROR(__xludf.DUMMYFUNCTION("""COMPUTED_VALUE"""),"ND")</f>
        <v>ND</v>
      </c>
      <c r="T2189" s="5" t="str">
        <f ca="1">IFERROR(__xludf.DUMMYFUNCTION("""COMPUTED_VALUE"""),"ND")</f>
        <v>ND</v>
      </c>
      <c r="U2189" s="5" t="str">
        <f ca="1">IFERROR(__xludf.DUMMYFUNCTION("""COMPUTED_VALUE"""),"Yes")</f>
        <v>Yes</v>
      </c>
      <c r="V2189" s="5" t="str">
        <f ca="1">IFERROR(__xludf.DUMMYFUNCTION("""COMPUTED_VALUE"""),"Unknown")</f>
        <v>Unknown</v>
      </c>
      <c r="W2189" s="5"/>
      <c r="X2189" s="5"/>
      <c r="Y2189" s="5" t="str">
        <f ca="1">IFERROR(__xludf.DUMMYFUNCTION("""COMPUTED_VALUE"""),"Shot 2 students during dispute")</f>
        <v>Shot 2 students during dispute</v>
      </c>
      <c r="Z2189" s="5" t="str">
        <f ca="1">IFERROR(__xludf.DUMMYFUNCTION("""COMPUTED_VALUE"""),"19 year-old male shot two 16 year-old males during fight at school.")</f>
        <v>19 year-old male shot two 16 year-old males during fight at school.</v>
      </c>
      <c r="AA2189" s="5" t="str">
        <f ca="1">IFERROR(__xludf.DUMMYFUNCTION("""COMPUTED_VALUE"""),"Escalation of Dispute")</f>
        <v>Escalation of Dispute</v>
      </c>
      <c r="AB2189" s="5" t="str">
        <f ca="1">IFERROR(__xludf.DUMMYFUNCTION("""COMPUTED_VALUE"""),"Victims Targeted")</f>
        <v>Victims Targeted</v>
      </c>
      <c r="AC2189" s="5" t="str">
        <f ca="1">IFERROR(__xludf.DUMMYFUNCTION("""COMPUTED_VALUE"""),"No")</f>
        <v>No</v>
      </c>
      <c r="AD2189" s="5" t="str">
        <f ca="1">IFERROR(__xludf.DUMMYFUNCTION("""COMPUTED_VALUE"""),"No")</f>
        <v>No</v>
      </c>
      <c r="AE2189" s="5" t="str">
        <f ca="1">IFERROR(__xludf.DUMMYFUNCTION("""COMPUTED_VALUE"""),"No")</f>
        <v>No</v>
      </c>
      <c r="AF2189" s="5" t="str">
        <f ca="1">IFERROR(__xludf.DUMMYFUNCTION("""COMPUTED_VALUE"""),"No")</f>
        <v>No</v>
      </c>
      <c r="AG2189" s="5" t="str">
        <f ca="1">IFERROR(__xludf.DUMMYFUNCTION("""COMPUTED_VALUE"""),"No")</f>
        <v>No</v>
      </c>
      <c r="AH2189" s="5" t="str">
        <f ca="1">IFERROR(__xludf.DUMMYFUNCTION("""COMPUTED_VALUE"""),"No")</f>
        <v>No</v>
      </c>
      <c r="AI2189" s="5" t="str">
        <f ca="1">IFERROR(__xludf.DUMMYFUNCTION("""COMPUTED_VALUE"""),"No")</f>
        <v>No</v>
      </c>
      <c r="AJ2189" s="5"/>
    </row>
    <row r="2190" spans="1:36" ht="13">
      <c r="A2190" s="5" t="str">
        <f ca="1">IFERROR(__xludf.DUMMYFUNCTION("""COMPUTED_VALUE"""),"19770228TXHOA")</f>
        <v>19770228TXHOA</v>
      </c>
      <c r="B2190" s="5">
        <f ca="1">IFERROR(__xludf.DUMMYFUNCTION("""COMPUTED_VALUE"""),2)</f>
        <v>2</v>
      </c>
      <c r="C2190" s="5">
        <f ca="1">IFERROR(__xludf.DUMMYFUNCTION("""COMPUTED_VALUE"""),28)</f>
        <v>28</v>
      </c>
      <c r="D2190" s="5">
        <f ca="1">IFERROR(__xludf.DUMMYFUNCTION("""COMPUTED_VALUE"""),1977)</f>
        <v>1977</v>
      </c>
      <c r="E2190" s="8">
        <f ca="1">IFERROR(__xludf.DUMMYFUNCTION("""COMPUTED_VALUE"""),28184)</f>
        <v>28184</v>
      </c>
      <c r="F2190" s="5" t="str">
        <f ca="1">IFERROR(__xludf.DUMMYFUNCTION("""COMPUTED_VALUE"""),"Horace Mann Junior High School")</f>
        <v>Horace Mann Junior High School</v>
      </c>
      <c r="G2190" s="5">
        <f ca="1">IFERROR(__xludf.DUMMYFUNCTION("""COMPUTED_VALUE"""),0)</f>
        <v>0</v>
      </c>
      <c r="H2190" s="5">
        <f ca="1">IFERROR(__xludf.DUMMYFUNCTION("""COMPUTED_VALUE"""),1)</f>
        <v>1</v>
      </c>
      <c r="I2190" s="5">
        <f ca="1">IFERROR(__xludf.DUMMYFUNCTION("""COMPUTED_VALUE"""),1)</f>
        <v>1</v>
      </c>
      <c r="J2190" s="5">
        <f ca="1">IFERROR(__xludf.DUMMYFUNCTION("""COMPUTED_VALUE"""),0)</f>
        <v>0</v>
      </c>
      <c r="K2190" s="9" t="str">
        <f ca="1">IFERROR(__xludf.DUMMYFUNCTION("""COMPUTED_VALUE"""),"https://www.newspapers.com/image/29839915/?terms=school%2Bshooting")</f>
        <v>https://www.newspapers.com/image/29839915/?terms=school%2Bshooting</v>
      </c>
      <c r="L2190" s="5"/>
      <c r="M2190" s="5"/>
      <c r="N2190" s="5">
        <f ca="1">IFERROR(__xludf.DUMMYFUNCTION("""COMPUTED_VALUE"""),2)</f>
        <v>2</v>
      </c>
      <c r="O2190" s="5" t="str">
        <f ca="1">IFERROR(__xludf.DUMMYFUNCTION("""COMPUTED_VALUE"""),"Winter")</f>
        <v>Winter</v>
      </c>
      <c r="P2190" s="5" t="str">
        <f ca="1">IFERROR(__xludf.DUMMYFUNCTION("""COMPUTED_VALUE"""),"Amarillo")</f>
        <v>Amarillo</v>
      </c>
      <c r="Q2190" s="5" t="str">
        <f ca="1">IFERROR(__xludf.DUMMYFUNCTION("""COMPUTED_VALUE"""),"TX")</f>
        <v>TX</v>
      </c>
      <c r="R2190" s="5" t="str">
        <f ca="1">IFERROR(__xludf.DUMMYFUNCTION("""COMPUTED_VALUE"""),"Junior High")</f>
        <v>Junior High</v>
      </c>
      <c r="S2190" s="5" t="str">
        <f ca="1">IFERROR(__xludf.DUMMYFUNCTION("""COMPUTED_VALUE"""),"Inside School Building")</f>
        <v>Inside School Building</v>
      </c>
      <c r="T2190" s="5" t="str">
        <f ca="1">IFERROR(__xludf.DUMMYFUNCTION("""COMPUTED_VALUE"""),"Inside School Building")</f>
        <v>Inside School Building</v>
      </c>
      <c r="U2190" s="5" t="str">
        <f ca="1">IFERROR(__xludf.DUMMYFUNCTION("""COMPUTED_VALUE"""),"Yes")</f>
        <v>Yes</v>
      </c>
      <c r="V2190" s="5"/>
      <c r="W2190" s="5"/>
      <c r="X2190" s="5"/>
      <c r="Y2190" s="5" t="str">
        <f ca="1">IFERROR(__xludf.DUMMYFUNCTION("""COMPUTED_VALUE"""),"Student shot in leg during dispute")</f>
        <v>Student shot in leg during dispute</v>
      </c>
      <c r="Z2190" s="5" t="str">
        <f ca="1">IFERROR(__xludf.DUMMYFUNCTION("""COMPUTED_VALUE"""),"15 year-old male student shot another student in the leg during a dispute.")</f>
        <v>15 year-old male student shot another student in the leg during a dispute.</v>
      </c>
      <c r="AA2190" s="5" t="str">
        <f ca="1">IFERROR(__xludf.DUMMYFUNCTION("""COMPUTED_VALUE"""),"Escalation of Dispute")</f>
        <v>Escalation of Dispute</v>
      </c>
      <c r="AB2190" s="5" t="str">
        <f ca="1">IFERROR(__xludf.DUMMYFUNCTION("""COMPUTED_VALUE"""),"Victims Targeted")</f>
        <v>Victims Targeted</v>
      </c>
      <c r="AC2190" s="5" t="str">
        <f ca="1">IFERROR(__xludf.DUMMYFUNCTION("""COMPUTED_VALUE"""),"No")</f>
        <v>No</v>
      </c>
      <c r="AD2190" s="5" t="str">
        <f ca="1">IFERROR(__xludf.DUMMYFUNCTION("""COMPUTED_VALUE"""),"No")</f>
        <v>No</v>
      </c>
      <c r="AE2190" s="5" t="str">
        <f ca="1">IFERROR(__xludf.DUMMYFUNCTION("""COMPUTED_VALUE"""),"No")</f>
        <v>No</v>
      </c>
      <c r="AF2190" s="5" t="str">
        <f ca="1">IFERROR(__xludf.DUMMYFUNCTION("""COMPUTED_VALUE"""),"No")</f>
        <v>No</v>
      </c>
      <c r="AG2190" s="5" t="str">
        <f ca="1">IFERROR(__xludf.DUMMYFUNCTION("""COMPUTED_VALUE"""),"No")</f>
        <v>No</v>
      </c>
      <c r="AH2190" s="5" t="str">
        <f ca="1">IFERROR(__xludf.DUMMYFUNCTION("""COMPUTED_VALUE"""),"No")</f>
        <v>No</v>
      </c>
      <c r="AI2190" s="5" t="str">
        <f ca="1">IFERROR(__xludf.DUMMYFUNCTION("""COMPUTED_VALUE"""),"No")</f>
        <v>No</v>
      </c>
      <c r="AJ2190" s="5"/>
    </row>
    <row r="2191" spans="1:36" ht="13">
      <c r="A2191" s="5" t="str">
        <f ca="1">IFERROR(__xludf.DUMMYFUNCTION("""COMPUTED_VALUE"""),"19770209ILFEC")</f>
        <v>19770209ILFEC</v>
      </c>
      <c r="B2191" s="5">
        <f ca="1">IFERROR(__xludf.DUMMYFUNCTION("""COMPUTED_VALUE"""),2)</f>
        <v>2</v>
      </c>
      <c r="C2191" s="5">
        <f ca="1">IFERROR(__xludf.DUMMYFUNCTION("""COMPUTED_VALUE"""),9)</f>
        <v>9</v>
      </c>
      <c r="D2191" s="5">
        <f ca="1">IFERROR(__xludf.DUMMYFUNCTION("""COMPUTED_VALUE"""),1977)</f>
        <v>1977</v>
      </c>
      <c r="E2191" s="8">
        <f ca="1">IFERROR(__xludf.DUMMYFUNCTION("""COMPUTED_VALUE"""),28165)</f>
        <v>28165</v>
      </c>
      <c r="F2191" s="5" t="str">
        <f ca="1">IFERROR(__xludf.DUMMYFUNCTION("""COMPUTED_VALUE"""),"Fenger High School")</f>
        <v>Fenger High School</v>
      </c>
      <c r="G2191" s="5">
        <f ca="1">IFERROR(__xludf.DUMMYFUNCTION("""COMPUTED_VALUE"""),1)</f>
        <v>1</v>
      </c>
      <c r="H2191" s="5">
        <f ca="1">IFERROR(__xludf.DUMMYFUNCTION("""COMPUTED_VALUE"""),3)</f>
        <v>3</v>
      </c>
      <c r="I2191" s="5">
        <f ca="1">IFERROR(__xludf.DUMMYFUNCTION("""COMPUTED_VALUE"""),4)</f>
        <v>4</v>
      </c>
      <c r="J2191" s="5">
        <f ca="1">IFERROR(__xludf.DUMMYFUNCTION("""COMPUTED_VALUE"""),0)</f>
        <v>0</v>
      </c>
      <c r="K2191" s="9" t="str">
        <f ca="1">IFERROR(__xludf.DUMMYFUNCTION("""COMPUTED_VALUE"""),"https://www.newspapers.com/image/127972205/?terms=school%2Bshooting")</f>
        <v>https://www.newspapers.com/image/127972205/?terms=school%2Bshooting</v>
      </c>
      <c r="L2191" s="5"/>
      <c r="M2191" s="5"/>
      <c r="N2191" s="5">
        <f ca="1">IFERROR(__xludf.DUMMYFUNCTION("""COMPUTED_VALUE"""),2)</f>
        <v>2</v>
      </c>
      <c r="O2191" s="5" t="str">
        <f ca="1">IFERROR(__xludf.DUMMYFUNCTION("""COMPUTED_VALUE"""),"Winter")</f>
        <v>Winter</v>
      </c>
      <c r="P2191" s="5" t="str">
        <f ca="1">IFERROR(__xludf.DUMMYFUNCTION("""COMPUTED_VALUE"""),"Chicago")</f>
        <v>Chicago</v>
      </c>
      <c r="Q2191" s="5" t="str">
        <f ca="1">IFERROR(__xludf.DUMMYFUNCTION("""COMPUTED_VALUE"""),"IL")</f>
        <v>IL</v>
      </c>
      <c r="R2191" s="5" t="str">
        <f ca="1">IFERROR(__xludf.DUMMYFUNCTION("""COMPUTED_VALUE"""),"High")</f>
        <v>High</v>
      </c>
      <c r="S2191" s="5" t="str">
        <f ca="1">IFERROR(__xludf.DUMMYFUNCTION("""COMPUTED_VALUE"""),"Hallway")</f>
        <v>Hallway</v>
      </c>
      <c r="T2191" s="5" t="str">
        <f ca="1">IFERROR(__xludf.DUMMYFUNCTION("""COMPUTED_VALUE"""),"Inside School Building")</f>
        <v>Inside School Building</v>
      </c>
      <c r="U2191" s="5" t="str">
        <f ca="1">IFERROR(__xludf.DUMMYFUNCTION("""COMPUTED_VALUE"""),"Yes")</f>
        <v>Yes</v>
      </c>
      <c r="V2191" s="5" t="str">
        <f ca="1">IFERROR(__xludf.DUMMYFUNCTION("""COMPUTED_VALUE"""),"Afternoon Classes")</f>
        <v>Afternoon Classes</v>
      </c>
      <c r="W2191" s="5"/>
      <c r="X2191" s="5">
        <f ca="1">IFERROR(__xludf.DUMMYFUNCTION("""COMPUTED_VALUE"""),1)</f>
        <v>1</v>
      </c>
      <c r="Y2191" s="5" t="str">
        <f ca="1">IFERROR(__xludf.DUMMYFUNCTION("""COMPUTED_VALUE"""),"4 students shot during fight in stairwell between two students")</f>
        <v>4 students shot during fight in stairwell between two students</v>
      </c>
      <c r="Z2191" s="5" t="str">
        <f ca="1">IFERROR(__xludf.DUMMYFUNCTION("""COMPUTED_VALUE"""),"Two 14 year-old male students were fighting in the hallway and stairwell. Fight escalated into shooting. 4 students were hit, one fatally in the head. The female student killed was a bystander.")</f>
        <v>Two 14 year-old male students were fighting in the hallway and stairwell. Fight escalated into shooting. 4 students were hit, one fatally in the head. The female student killed was a bystander.</v>
      </c>
      <c r="AA2191" s="5" t="str">
        <f ca="1">IFERROR(__xludf.DUMMYFUNCTION("""COMPUTED_VALUE"""),"Escalation of Dispute")</f>
        <v>Escalation of Dispute</v>
      </c>
      <c r="AB2191" s="5" t="str">
        <f ca="1">IFERROR(__xludf.DUMMYFUNCTION("""COMPUTED_VALUE"""),"Both")</f>
        <v>Both</v>
      </c>
      <c r="AC2191" s="5" t="str">
        <f ca="1">IFERROR(__xludf.DUMMYFUNCTION("""COMPUTED_VALUE"""),"No")</f>
        <v>No</v>
      </c>
      <c r="AD2191" s="5" t="str">
        <f ca="1">IFERROR(__xludf.DUMMYFUNCTION("""COMPUTED_VALUE"""),"No")</f>
        <v>No</v>
      </c>
      <c r="AE2191" s="5" t="str">
        <f ca="1">IFERROR(__xludf.DUMMYFUNCTION("""COMPUTED_VALUE"""),"No")</f>
        <v>No</v>
      </c>
      <c r="AF2191" s="5" t="str">
        <f ca="1">IFERROR(__xludf.DUMMYFUNCTION("""COMPUTED_VALUE"""),"No")</f>
        <v>No</v>
      </c>
      <c r="AG2191" s="5" t="str">
        <f ca="1">IFERROR(__xludf.DUMMYFUNCTION("""COMPUTED_VALUE"""),"No")</f>
        <v>No</v>
      </c>
      <c r="AH2191" s="5" t="str">
        <f ca="1">IFERROR(__xludf.DUMMYFUNCTION("""COMPUTED_VALUE"""),"No")</f>
        <v>No</v>
      </c>
      <c r="AI2191" s="5" t="str">
        <f ca="1">IFERROR(__xludf.DUMMYFUNCTION("""COMPUTED_VALUE"""),"No")</f>
        <v>No</v>
      </c>
      <c r="AJ2191" s="5"/>
    </row>
    <row r="2192" spans="1:36" ht="13">
      <c r="A2192" s="5" t="str">
        <f ca="1">IFERROR(__xludf.DUMMYFUNCTION("""COMPUTED_VALUE"""),"19770113ILOLB")</f>
        <v>19770113ILOLB</v>
      </c>
      <c r="B2192" s="5">
        <f ca="1">IFERROR(__xludf.DUMMYFUNCTION("""COMPUTED_VALUE"""),1)</f>
        <v>1</v>
      </c>
      <c r="C2192" s="5">
        <f ca="1">IFERROR(__xludf.DUMMYFUNCTION("""COMPUTED_VALUE"""),13)</f>
        <v>13</v>
      </c>
      <c r="D2192" s="5">
        <f ca="1">IFERROR(__xludf.DUMMYFUNCTION("""COMPUTED_VALUE"""),1977)</f>
        <v>1977</v>
      </c>
      <c r="E2192" s="8">
        <f ca="1">IFERROR(__xludf.DUMMYFUNCTION("""COMPUTED_VALUE"""),28138)</f>
        <v>28138</v>
      </c>
      <c r="F2192" s="5" t="str">
        <f ca="1">IFERROR(__xludf.DUMMYFUNCTION("""COMPUTED_VALUE"""),"Old Main Eisenhower High School")</f>
        <v>Old Main Eisenhower High School</v>
      </c>
      <c r="G2192" s="5">
        <f ca="1">IFERROR(__xludf.DUMMYFUNCTION("""COMPUTED_VALUE"""),0)</f>
        <v>0</v>
      </c>
      <c r="H2192" s="5">
        <f ca="1">IFERROR(__xludf.DUMMYFUNCTION("""COMPUTED_VALUE"""),1)</f>
        <v>1</v>
      </c>
      <c r="I2192" s="5">
        <f ca="1">IFERROR(__xludf.DUMMYFUNCTION("""COMPUTED_VALUE"""),1)</f>
        <v>1</v>
      </c>
      <c r="J2192" s="5">
        <f ca="1">IFERROR(__xludf.DUMMYFUNCTION("""COMPUTED_VALUE"""),0)</f>
        <v>0</v>
      </c>
      <c r="K2192" s="9" t="str">
        <f ca="1">IFERROR(__xludf.DUMMYFUNCTION("""COMPUTED_VALUE"""),"https://www.newspapers.com/image/18233056/?terms=Old%2BMain%2BEisenhower%2BHigh%2BSchool%2Bshooting")</f>
        <v>https://www.newspapers.com/image/18233056/?terms=Old%2BMain%2BEisenhower%2BHigh%2BSchool%2Bshooting</v>
      </c>
      <c r="L2192" s="5"/>
      <c r="M2192" s="5"/>
      <c r="N2192" s="5">
        <f ca="1">IFERROR(__xludf.DUMMYFUNCTION("""COMPUTED_VALUE"""),2)</f>
        <v>2</v>
      </c>
      <c r="O2192" s="5" t="str">
        <f ca="1">IFERROR(__xludf.DUMMYFUNCTION("""COMPUTED_VALUE"""),"Winter")</f>
        <v>Winter</v>
      </c>
      <c r="P2192" s="5" t="str">
        <f ca="1">IFERROR(__xludf.DUMMYFUNCTION("""COMPUTED_VALUE"""),"Blue Island")</f>
        <v>Blue Island</v>
      </c>
      <c r="Q2192" s="5" t="str">
        <f ca="1">IFERROR(__xludf.DUMMYFUNCTION("""COMPUTED_VALUE"""),"IL")</f>
        <v>IL</v>
      </c>
      <c r="R2192" s="5" t="str">
        <f ca="1">IFERROR(__xludf.DUMMYFUNCTION("""COMPUTED_VALUE"""),"High")</f>
        <v>High</v>
      </c>
      <c r="S2192" s="5" t="str">
        <f ca="1">IFERROR(__xludf.DUMMYFUNCTION("""COMPUTED_VALUE"""),"Gym")</f>
        <v>Gym</v>
      </c>
      <c r="T2192" s="5" t="str">
        <f ca="1">IFERROR(__xludf.DUMMYFUNCTION("""COMPUTED_VALUE"""),"Inside School Building")</f>
        <v>Inside School Building</v>
      </c>
      <c r="U2192" s="5" t="str">
        <f ca="1">IFERROR(__xludf.DUMMYFUNCTION("""COMPUTED_VALUE"""),"Yes")</f>
        <v>Yes</v>
      </c>
      <c r="V2192" s="5" t="str">
        <f ca="1">IFERROR(__xludf.DUMMYFUNCTION("""COMPUTED_VALUE"""),"Morning Classes")</f>
        <v>Morning Classes</v>
      </c>
      <c r="W2192" s="10">
        <f ca="1">IFERROR(__xludf.DUMMYFUNCTION("""COMPUTED_VALUE"""),0.3125)</f>
        <v>0.3125</v>
      </c>
      <c r="X2192" s="5">
        <f ca="1">IFERROR(__xludf.DUMMYFUNCTION("""COMPUTED_VALUE"""),1)</f>
        <v>1</v>
      </c>
      <c r="Y2192" s="5" t="str">
        <f ca="1">IFERROR(__xludf.DUMMYFUNCTION("""COMPUTED_VALUE"""),"Victim wouldn't fight and shooter shot him, gym teacher tackled shooter")</f>
        <v>Victim wouldn't fight and shooter shot him, gym teacher tackled shooter</v>
      </c>
      <c r="Z2192" s="5" t="str">
        <f ca="1">IFERROR(__xludf.DUMMYFUNCTION("""COMPUTED_VALUE"""),"Shooter and victim had fight the day prior. In the gym locker room, the shooter demanded that the victim fight him. The victim refused and the shooter fired at him. A gym teacher tackled the student.")</f>
        <v>Shooter and victim had fight the day prior. In the gym locker room, the shooter demanded that the victim fight him. The victim refused and the shooter fired at him. A gym teacher tackled the student.</v>
      </c>
      <c r="AA2192" s="5" t="str">
        <f ca="1">IFERROR(__xludf.DUMMYFUNCTION("""COMPUTED_VALUE"""),"Escalation of Dispute")</f>
        <v>Escalation of Dispute</v>
      </c>
      <c r="AB2192" s="5" t="str">
        <f ca="1">IFERROR(__xludf.DUMMYFUNCTION("""COMPUTED_VALUE"""),"Victims Targeted")</f>
        <v>Victims Targeted</v>
      </c>
      <c r="AC2192" s="5" t="str">
        <f ca="1">IFERROR(__xludf.DUMMYFUNCTION("""COMPUTED_VALUE"""),"No")</f>
        <v>No</v>
      </c>
      <c r="AD2192" s="5" t="str">
        <f ca="1">IFERROR(__xludf.DUMMYFUNCTION("""COMPUTED_VALUE"""),"No")</f>
        <v>No</v>
      </c>
      <c r="AE2192" s="5" t="str">
        <f ca="1">IFERROR(__xludf.DUMMYFUNCTION("""COMPUTED_VALUE"""),"No")</f>
        <v>No</v>
      </c>
      <c r="AF2192" s="5" t="str">
        <f ca="1">IFERROR(__xludf.DUMMYFUNCTION("""COMPUTED_VALUE"""),"No")</f>
        <v>No</v>
      </c>
      <c r="AG2192" s="5" t="str">
        <f ca="1">IFERROR(__xludf.DUMMYFUNCTION("""COMPUTED_VALUE"""),"No")</f>
        <v>No</v>
      </c>
      <c r="AH2192" s="5" t="str">
        <f ca="1">IFERROR(__xludf.DUMMYFUNCTION("""COMPUTED_VALUE"""),"No")</f>
        <v>No</v>
      </c>
      <c r="AI2192" s="5" t="str">
        <f ca="1">IFERROR(__xludf.DUMMYFUNCTION("""COMPUTED_VALUE"""),"No")</f>
        <v>No</v>
      </c>
      <c r="AJ2192" s="5"/>
    </row>
    <row r="2193" spans="1:36" ht="13">
      <c r="A2193" s="5" t="str">
        <f ca="1">IFERROR(__xludf.DUMMYFUNCTION("""COMPUTED_VALUE"""),"19761210MOFRS")</f>
        <v>19761210MOFRS</v>
      </c>
      <c r="B2193" s="5">
        <f ca="1">IFERROR(__xludf.DUMMYFUNCTION("""COMPUTED_VALUE"""),12)</f>
        <v>12</v>
      </c>
      <c r="C2193" s="5">
        <f ca="1">IFERROR(__xludf.DUMMYFUNCTION("""COMPUTED_VALUE"""),10)</f>
        <v>10</v>
      </c>
      <c r="D2193" s="5">
        <f ca="1">IFERROR(__xludf.DUMMYFUNCTION("""COMPUTED_VALUE"""),1976)</f>
        <v>1976</v>
      </c>
      <c r="E2193" s="8">
        <f ca="1">IFERROR(__xludf.DUMMYFUNCTION("""COMPUTED_VALUE"""),28104)</f>
        <v>28104</v>
      </c>
      <c r="F2193" s="5" t="str">
        <f ca="1">IFERROR(__xludf.DUMMYFUNCTION("""COMPUTED_VALUE"""),"Fremont School")</f>
        <v>Fremont School</v>
      </c>
      <c r="G2193" s="5">
        <f ca="1">IFERROR(__xludf.DUMMYFUNCTION("""COMPUTED_VALUE"""),0)</f>
        <v>0</v>
      </c>
      <c r="H2193" s="5">
        <f ca="1">IFERROR(__xludf.DUMMYFUNCTION("""COMPUTED_VALUE"""),2)</f>
        <v>2</v>
      </c>
      <c r="I2193" s="5">
        <f ca="1">IFERROR(__xludf.DUMMYFUNCTION("""COMPUTED_VALUE"""),2)</f>
        <v>2</v>
      </c>
      <c r="J2193" s="5">
        <f ca="1">IFERROR(__xludf.DUMMYFUNCTION("""COMPUTED_VALUE"""),0)</f>
        <v>0</v>
      </c>
      <c r="K2193" s="9" t="str">
        <f ca="1">IFERROR(__xludf.DUMMYFUNCTION("""COMPUTED_VALUE"""),"https://www.newspapers.com/image/165856618/?terms=school%2Bshooting")</f>
        <v>https://www.newspapers.com/image/165856618/?terms=school%2Bshooting</v>
      </c>
      <c r="L2193" s="5"/>
      <c r="M2193" s="5"/>
      <c r="N2193" s="5">
        <f ca="1">IFERROR(__xludf.DUMMYFUNCTION("""COMPUTED_VALUE"""),2)</f>
        <v>2</v>
      </c>
      <c r="O2193" s="5" t="str">
        <f ca="1">IFERROR(__xludf.DUMMYFUNCTION("""COMPUTED_VALUE"""),"Winter")</f>
        <v>Winter</v>
      </c>
      <c r="P2193" s="5" t="str">
        <f ca="1">IFERROR(__xludf.DUMMYFUNCTION("""COMPUTED_VALUE"""),"St. Louis")</f>
        <v>St. Louis</v>
      </c>
      <c r="Q2193" s="5" t="str">
        <f ca="1">IFERROR(__xludf.DUMMYFUNCTION("""COMPUTED_VALUE"""),"MO")</f>
        <v>MO</v>
      </c>
      <c r="R2193" s="5" t="str">
        <f ca="1">IFERROR(__xludf.DUMMYFUNCTION("""COMPUTED_VALUE"""),"Elementary")</f>
        <v>Elementary</v>
      </c>
      <c r="S2193" s="5" t="str">
        <f ca="1">IFERROR(__xludf.DUMMYFUNCTION("""COMPUTED_VALUE"""),"Inside School Building")</f>
        <v>Inside School Building</v>
      </c>
      <c r="T2193" s="5" t="str">
        <f ca="1">IFERROR(__xludf.DUMMYFUNCTION("""COMPUTED_VALUE"""),"Inside School Building")</f>
        <v>Inside School Building</v>
      </c>
      <c r="U2193" s="5" t="str">
        <f ca="1">IFERROR(__xludf.DUMMYFUNCTION("""COMPUTED_VALUE"""),"Yes")</f>
        <v>Yes</v>
      </c>
      <c r="V2193" s="5" t="str">
        <f ca="1">IFERROR(__xludf.DUMMYFUNCTION("""COMPUTED_VALUE"""),"Morning Classes")</f>
        <v>Morning Classes</v>
      </c>
      <c r="W2193" s="5"/>
      <c r="X2193" s="5">
        <f ca="1">IFERROR(__xludf.DUMMYFUNCTION("""COMPUTED_VALUE"""),1)</f>
        <v>1</v>
      </c>
      <c r="Y2193" s="5" t="str">
        <f ca="1">IFERROR(__xludf.DUMMYFUNCTION("""COMPUTED_VALUE"""),"Fired shots at teacher, surrendered to police")</f>
        <v>Fired shots at teacher, surrendered to police</v>
      </c>
      <c r="Z2193" s="5" t="str">
        <f ca="1">IFERROR(__xludf.DUMMYFUNCTION("""COMPUTED_VALUE"""),"An 11 year-old male student fired 2 shots at a teacher and the principal who tried to talk him down. Shooter fled the school and was confronted by two police officers. The shooter pointed the gun at officers before surrendering. Student was reported to be"&amp;" having troubles at home.")</f>
        <v>An 11 year-old male student fired 2 shots at a teacher and the principal who tried to talk him down. Shooter fled the school and was confronted by two police officers. The shooter pointed the gun at officers before surrendering. Student was reported to be having troubles at home.</v>
      </c>
      <c r="AA2193" s="5" t="str">
        <f ca="1">IFERROR(__xludf.DUMMYFUNCTION("""COMPUTED_VALUE"""),"Anger Over Grade/Suspension/Discipline")</f>
        <v>Anger Over Grade/Suspension/Discipline</v>
      </c>
      <c r="AB2193" s="5" t="str">
        <f ca="1">IFERROR(__xludf.DUMMYFUNCTION("""COMPUTED_VALUE"""),"Victims Targeted")</f>
        <v>Victims Targeted</v>
      </c>
      <c r="AC2193" s="5"/>
      <c r="AD2193" s="5" t="str">
        <f ca="1">IFERROR(__xludf.DUMMYFUNCTION("""COMPUTED_VALUE"""),"No")</f>
        <v>No</v>
      </c>
      <c r="AE2193" s="5" t="str">
        <f ca="1">IFERROR(__xludf.DUMMYFUNCTION("""COMPUTED_VALUE"""),"No")</f>
        <v>No</v>
      </c>
      <c r="AF2193" s="5" t="str">
        <f ca="1">IFERROR(__xludf.DUMMYFUNCTION("""COMPUTED_VALUE"""),"No")</f>
        <v>No</v>
      </c>
      <c r="AG2193" s="5" t="str">
        <f ca="1">IFERROR(__xludf.DUMMYFUNCTION("""COMPUTED_VALUE"""),"No")</f>
        <v>No</v>
      </c>
      <c r="AH2193" s="5" t="str">
        <f ca="1">IFERROR(__xludf.DUMMYFUNCTION("""COMPUTED_VALUE"""),"No")</f>
        <v>No</v>
      </c>
      <c r="AI2193" s="5" t="str">
        <f ca="1">IFERROR(__xludf.DUMMYFUNCTION("""COMPUTED_VALUE"""),"No")</f>
        <v>No</v>
      </c>
      <c r="AJ2193" s="5" t="str">
        <f ca="1">IFERROR(__xludf.DUMMYFUNCTION("""COMPUTED_VALUE"""),"Yes")</f>
        <v>Yes</v>
      </c>
    </row>
    <row r="2194" spans="1:36" ht="13">
      <c r="A2194" s="5" t="str">
        <f ca="1">IFERROR(__xludf.DUMMYFUNCTION("""COMPUTED_VALUE"""),"19761110MIBUD")</f>
        <v>19761110MIBUD</v>
      </c>
      <c r="B2194" s="5">
        <f ca="1">IFERROR(__xludf.DUMMYFUNCTION("""COMPUTED_VALUE"""),11)</f>
        <v>11</v>
      </c>
      <c r="C2194" s="5">
        <f ca="1">IFERROR(__xludf.DUMMYFUNCTION("""COMPUTED_VALUE"""),10)</f>
        <v>10</v>
      </c>
      <c r="D2194" s="5">
        <f ca="1">IFERROR(__xludf.DUMMYFUNCTION("""COMPUTED_VALUE"""),1976)</f>
        <v>1976</v>
      </c>
      <c r="E2194" s="8">
        <f ca="1">IFERROR(__xludf.DUMMYFUNCTION("""COMPUTED_VALUE"""),28074)</f>
        <v>28074</v>
      </c>
      <c r="F2194" s="5" t="str">
        <f ca="1">IFERROR(__xludf.DUMMYFUNCTION("""COMPUTED_VALUE"""),"Burt Elementary School")</f>
        <v>Burt Elementary School</v>
      </c>
      <c r="G2194" s="5">
        <f ca="1">IFERROR(__xludf.DUMMYFUNCTION("""COMPUTED_VALUE"""),1)</f>
        <v>1</v>
      </c>
      <c r="H2194" s="5">
        <f ca="1">IFERROR(__xludf.DUMMYFUNCTION("""COMPUTED_VALUE"""),0)</f>
        <v>0</v>
      </c>
      <c r="I2194" s="5">
        <f ca="1">IFERROR(__xludf.DUMMYFUNCTION("""COMPUTED_VALUE"""),1)</f>
        <v>1</v>
      </c>
      <c r="J2194" s="5">
        <f ca="1">IFERROR(__xludf.DUMMYFUNCTION("""COMPUTED_VALUE"""),0)</f>
        <v>0</v>
      </c>
      <c r="K2194" s="9" t="str">
        <f ca="1">IFERROR(__xludf.DUMMYFUNCTION("""COMPUTED_VALUE"""),"https://news.google.com/newspapers?id=gblHAAAAIBAJ&amp;pg=3465,1557281")</f>
        <v>https://news.google.com/newspapers?id=gblHAAAAIBAJ&amp;pg=3465,1557281</v>
      </c>
      <c r="L2194" s="5"/>
      <c r="M2194" s="5"/>
      <c r="N2194" s="5">
        <f ca="1">IFERROR(__xludf.DUMMYFUNCTION("""COMPUTED_VALUE"""),2)</f>
        <v>2</v>
      </c>
      <c r="O2194" s="5" t="str">
        <f ca="1">IFERROR(__xludf.DUMMYFUNCTION("""COMPUTED_VALUE"""),"Fall")</f>
        <v>Fall</v>
      </c>
      <c r="P2194" s="5" t="str">
        <f ca="1">IFERROR(__xludf.DUMMYFUNCTION("""COMPUTED_VALUE"""),"Detroit")</f>
        <v>Detroit</v>
      </c>
      <c r="Q2194" s="5" t="str">
        <f ca="1">IFERROR(__xludf.DUMMYFUNCTION("""COMPUTED_VALUE"""),"MI")</f>
        <v>MI</v>
      </c>
      <c r="R2194" s="5" t="str">
        <f ca="1">IFERROR(__xludf.DUMMYFUNCTION("""COMPUTED_VALUE"""),"Elementary")</f>
        <v>Elementary</v>
      </c>
      <c r="S2194" s="5" t="str">
        <f ca="1">IFERROR(__xludf.DUMMYFUNCTION("""COMPUTED_VALUE"""),"Classroom")</f>
        <v>Classroom</v>
      </c>
      <c r="T2194" s="5" t="str">
        <f ca="1">IFERROR(__xludf.DUMMYFUNCTION("""COMPUTED_VALUE"""),"Inside School Building")</f>
        <v>Inside School Building</v>
      </c>
      <c r="U2194" s="5" t="str">
        <f ca="1">IFERROR(__xludf.DUMMYFUNCTION("""COMPUTED_VALUE"""),"Yes")</f>
        <v>Yes</v>
      </c>
      <c r="V2194" s="5" t="str">
        <f ca="1">IFERROR(__xludf.DUMMYFUNCTION("""COMPUTED_VALUE"""),"Morning Classes")</f>
        <v>Morning Classes</v>
      </c>
      <c r="W2194" s="5"/>
      <c r="X2194" s="5">
        <f ca="1">IFERROR(__xludf.DUMMYFUNCTION("""COMPUTED_VALUE"""),1)</f>
        <v>1</v>
      </c>
      <c r="Y2194" s="5" t="str">
        <f ca="1">IFERROR(__xludf.DUMMYFUNCTION("""COMPUTED_VALUE"""),"Estranged husband emotionally distraught")</f>
        <v>Estranged husband emotionally distraught</v>
      </c>
      <c r="Z2194" s="5" t="str">
        <f ca="1">IFERROR(__xludf.DUMMYFUNCTION("""COMPUTED_VALUE"""),"Shooter (estranged husband) shot and killed 46 year-old female teacher (Betty McCaster) her in front of 36 six and seven-year olds. He entered the school and asked where her classroom was. He stormed in and the two exchanged some words. The teacher told t"&amp;"he children to run to the principal’s office to get help and that is when the gunman shot her 3 or 4 times. She had taught at the school for only a month. The shooter had been to the school a few days earlier and asked the principal to see her, but the pr"&amp;"incipal declined the request.")</f>
        <v>Shooter (estranged husband) shot and killed 46 year-old female teacher (Betty McCaster) her in front of 36 six and seven-year olds. He entered the school and asked where her classroom was. He stormed in and the two exchanged some words. The teacher told the children to run to the principal’s office to get help and that is when the gunman shot her 3 or 4 times. She had taught at the school for only a month. The shooter had been to the school a few days earlier and asked the principal to see her, but the principal declined the request.</v>
      </c>
      <c r="AA2194" s="5" t="str">
        <f ca="1">IFERROR(__xludf.DUMMYFUNCTION("""COMPUTED_VALUE"""),"Domestic w/ Targeted Victim")</f>
        <v>Domestic w/ Targeted Victim</v>
      </c>
      <c r="AB2194" s="5" t="str">
        <f ca="1">IFERROR(__xludf.DUMMYFUNCTION("""COMPUTED_VALUE"""),"Victims Targeted")</f>
        <v>Victims Targeted</v>
      </c>
      <c r="AC2194" s="5" t="str">
        <f ca="1">IFERROR(__xludf.DUMMYFUNCTION("""COMPUTED_VALUE"""),"No")</f>
        <v>No</v>
      </c>
      <c r="AD2194" s="5" t="str">
        <f ca="1">IFERROR(__xludf.DUMMYFUNCTION("""COMPUTED_VALUE"""),"No")</f>
        <v>No</v>
      </c>
      <c r="AE2194" s="5" t="str">
        <f ca="1">IFERROR(__xludf.DUMMYFUNCTION("""COMPUTED_VALUE"""),"No")</f>
        <v>No</v>
      </c>
      <c r="AF2194" s="5" t="str">
        <f ca="1">IFERROR(__xludf.DUMMYFUNCTION("""COMPUTED_VALUE"""),"No")</f>
        <v>No</v>
      </c>
      <c r="AG2194" s="5" t="str">
        <f ca="1">IFERROR(__xludf.DUMMYFUNCTION("""COMPUTED_VALUE"""),"No")</f>
        <v>No</v>
      </c>
      <c r="AH2194" s="5" t="str">
        <f ca="1">IFERROR(__xludf.DUMMYFUNCTION("""COMPUTED_VALUE"""),"Yes")</f>
        <v>Yes</v>
      </c>
      <c r="AI2194" s="5" t="str">
        <f ca="1">IFERROR(__xludf.DUMMYFUNCTION("""COMPUTED_VALUE"""),"No")</f>
        <v>No</v>
      </c>
      <c r="AJ2194" s="5"/>
    </row>
    <row r="2195" spans="1:36" ht="13">
      <c r="A2195" s="5" t="str">
        <f ca="1">IFERROR(__xludf.DUMMYFUNCTION("""COMPUTED_VALUE"""),"19760920NCGUG")</f>
        <v>19760920NCGUG</v>
      </c>
      <c r="B2195" s="5">
        <f ca="1">IFERROR(__xludf.DUMMYFUNCTION("""COMPUTED_VALUE"""),9)</f>
        <v>9</v>
      </c>
      <c r="C2195" s="5">
        <f ca="1">IFERROR(__xludf.DUMMYFUNCTION("""COMPUTED_VALUE"""),20)</f>
        <v>20</v>
      </c>
      <c r="D2195" s="5">
        <f ca="1">IFERROR(__xludf.DUMMYFUNCTION("""COMPUTED_VALUE"""),1976)</f>
        <v>1976</v>
      </c>
      <c r="E2195" s="8">
        <f ca="1">IFERROR(__xludf.DUMMYFUNCTION("""COMPUTED_VALUE"""),28023)</f>
        <v>28023</v>
      </c>
      <c r="F2195" s="5" t="str">
        <f ca="1">IFERROR(__xludf.DUMMYFUNCTION("""COMPUTED_VALUE"""),"Guildord County School Bus")</f>
        <v>Guildord County School Bus</v>
      </c>
      <c r="G2195" s="5">
        <f ca="1">IFERROR(__xludf.DUMMYFUNCTION("""COMPUTED_VALUE"""),0)</f>
        <v>0</v>
      </c>
      <c r="H2195" s="5">
        <f ca="1">IFERROR(__xludf.DUMMYFUNCTION("""COMPUTED_VALUE"""),1)</f>
        <v>1</v>
      </c>
      <c r="I2195" s="5">
        <f ca="1">IFERROR(__xludf.DUMMYFUNCTION("""COMPUTED_VALUE"""),1)</f>
        <v>1</v>
      </c>
      <c r="J2195" s="5">
        <f ca="1">IFERROR(__xludf.DUMMYFUNCTION("""COMPUTED_VALUE"""),1)</f>
        <v>1</v>
      </c>
      <c r="K2195" s="9" t="str">
        <f ca="1">IFERROR(__xludf.DUMMYFUNCTION("""COMPUTED_VALUE"""),"https://www.newspapers.com/image/43183929/?terms=school%2Bshooting")</f>
        <v>https://www.newspapers.com/image/43183929/?terms=school%2Bshooting</v>
      </c>
      <c r="L2195" s="5"/>
      <c r="M2195" s="5"/>
      <c r="N2195" s="5">
        <f ca="1">IFERROR(__xludf.DUMMYFUNCTION("""COMPUTED_VALUE"""),2)</f>
        <v>2</v>
      </c>
      <c r="O2195" s="5" t="str">
        <f ca="1">IFERROR(__xludf.DUMMYFUNCTION("""COMPUTED_VALUE"""),"Fall")</f>
        <v>Fall</v>
      </c>
      <c r="P2195" s="5" t="str">
        <f ca="1">IFERROR(__xludf.DUMMYFUNCTION("""COMPUTED_VALUE"""),"Greensboro")</f>
        <v>Greensboro</v>
      </c>
      <c r="Q2195" s="5" t="str">
        <f ca="1">IFERROR(__xludf.DUMMYFUNCTION("""COMPUTED_VALUE"""),"NC")</f>
        <v>NC</v>
      </c>
      <c r="R2195" s="5"/>
      <c r="S2195" s="5" t="str">
        <f ca="1">IFERROR(__xludf.DUMMYFUNCTION("""COMPUTED_VALUE"""),"School Bus")</f>
        <v>School Bus</v>
      </c>
      <c r="T2195" s="5" t="str">
        <f ca="1">IFERROR(__xludf.DUMMYFUNCTION("""COMPUTED_VALUE"""),"School Bus")</f>
        <v>School Bus</v>
      </c>
      <c r="U2195" s="5" t="str">
        <f ca="1">IFERROR(__xludf.DUMMYFUNCTION("""COMPUTED_VALUE"""),"Yes")</f>
        <v>Yes</v>
      </c>
      <c r="V2195" s="5"/>
      <c r="W2195" s="5"/>
      <c r="X2195" s="5"/>
      <c r="Y2195" s="5" t="str">
        <f ca="1">IFERROR(__xludf.DUMMYFUNCTION("""COMPUTED_VALUE"""),"Fired at school bus and then shot himself")</f>
        <v>Fired at school bus and then shot himself</v>
      </c>
      <c r="Z2195" s="5" t="str">
        <f ca="1">IFERROR(__xludf.DUMMYFUNCTION("""COMPUTED_VALUE"""),"38 year-old male fired shotgun at bus with 49 students onboard. Injured bus driver. Shot self. Shooter was making a cassette recording during the shooting but police did not release what was on it. Shooter was a carnival worker with no relation to the sch"&amp;"ool.")</f>
        <v>38 year-old male fired shotgun at bus with 49 students onboard. Injured bus driver. Shot self. Shooter was making a cassette recording during the shooting but police did not release what was on it. Shooter was a carnival worker with no relation to the school.</v>
      </c>
      <c r="AA2195" s="5" t="str">
        <f ca="1">IFERROR(__xludf.DUMMYFUNCTION("""COMPUTED_VALUE"""),"Indiscriminate Shooting")</f>
        <v>Indiscriminate Shooting</v>
      </c>
      <c r="AB2195" s="5" t="str">
        <f ca="1">IFERROR(__xludf.DUMMYFUNCTION("""COMPUTED_VALUE"""),"Random Shooting")</f>
        <v>Random Shooting</v>
      </c>
      <c r="AC2195" s="5" t="str">
        <f ca="1">IFERROR(__xludf.DUMMYFUNCTION("""COMPUTED_VALUE"""),"No")</f>
        <v>No</v>
      </c>
      <c r="AD2195" s="5" t="str">
        <f ca="1">IFERROR(__xludf.DUMMYFUNCTION("""COMPUTED_VALUE"""),"No")</f>
        <v>No</v>
      </c>
      <c r="AE2195" s="5" t="str">
        <f ca="1">IFERROR(__xludf.DUMMYFUNCTION("""COMPUTED_VALUE"""),"No")</f>
        <v>No</v>
      </c>
      <c r="AF2195" s="5" t="str">
        <f ca="1">IFERROR(__xludf.DUMMYFUNCTION("""COMPUTED_VALUE"""),"No")</f>
        <v>No</v>
      </c>
      <c r="AG2195" s="5" t="str">
        <f ca="1">IFERROR(__xludf.DUMMYFUNCTION("""COMPUTED_VALUE"""),"No")</f>
        <v>No</v>
      </c>
      <c r="AH2195" s="5" t="str">
        <f ca="1">IFERROR(__xludf.DUMMYFUNCTION("""COMPUTED_VALUE"""),"No")</f>
        <v>No</v>
      </c>
      <c r="AI2195" s="5" t="str">
        <f ca="1">IFERROR(__xludf.DUMMYFUNCTION("""COMPUTED_VALUE"""),"No")</f>
        <v>No</v>
      </c>
      <c r="AJ2195" s="5"/>
    </row>
    <row r="2196" spans="1:36" ht="13">
      <c r="A2196" s="5" t="str">
        <f ca="1">IFERROR(__xludf.DUMMYFUNCTION("""COMPUTED_VALUE"""),"19760602MDMTC")</f>
        <v>19760602MDMTC</v>
      </c>
      <c r="B2196" s="5">
        <f ca="1">IFERROR(__xludf.DUMMYFUNCTION("""COMPUTED_VALUE"""),6)</f>
        <v>6</v>
      </c>
      <c r="C2196" s="5">
        <f ca="1">IFERROR(__xludf.DUMMYFUNCTION("""COMPUTED_VALUE"""),2)</f>
        <v>2</v>
      </c>
      <c r="D2196" s="5">
        <f ca="1">IFERROR(__xludf.DUMMYFUNCTION("""COMPUTED_VALUE"""),1976)</f>
        <v>1976</v>
      </c>
      <c r="E2196" s="8">
        <f ca="1">IFERROR(__xludf.DUMMYFUNCTION("""COMPUTED_VALUE"""),27913)</f>
        <v>27913</v>
      </c>
      <c r="F2196" s="5" t="str">
        <f ca="1">IFERROR(__xludf.DUMMYFUNCTION("""COMPUTED_VALUE"""),"Mt. Savage High School")</f>
        <v>Mt. Savage High School</v>
      </c>
      <c r="G2196" s="5">
        <f ca="1">IFERROR(__xludf.DUMMYFUNCTION("""COMPUTED_VALUE"""),0)</f>
        <v>0</v>
      </c>
      <c r="H2196" s="5">
        <f ca="1">IFERROR(__xludf.DUMMYFUNCTION("""COMPUTED_VALUE"""),0)</f>
        <v>0</v>
      </c>
      <c r="I2196" s="5">
        <f ca="1">IFERROR(__xludf.DUMMYFUNCTION("""COMPUTED_VALUE"""),0)</f>
        <v>0</v>
      </c>
      <c r="J2196" s="5">
        <f ca="1">IFERROR(__xludf.DUMMYFUNCTION("""COMPUTED_VALUE"""),0)</f>
        <v>0</v>
      </c>
      <c r="K2196" s="9" t="str">
        <f ca="1">IFERROR(__xludf.DUMMYFUNCTION("""COMPUTED_VALUE"""),"https://www.newspapers.com/image/12568764/?terms=school%2Bshooting")</f>
        <v>https://www.newspapers.com/image/12568764/?terms=school%2Bshooting</v>
      </c>
      <c r="L2196" s="5"/>
      <c r="M2196" s="5"/>
      <c r="N2196" s="5">
        <f ca="1">IFERROR(__xludf.DUMMYFUNCTION("""COMPUTED_VALUE"""),2)</f>
        <v>2</v>
      </c>
      <c r="O2196" s="5" t="str">
        <f ca="1">IFERROR(__xludf.DUMMYFUNCTION("""COMPUTED_VALUE"""),"Summer")</f>
        <v>Summer</v>
      </c>
      <c r="P2196" s="5" t="str">
        <f ca="1">IFERROR(__xludf.DUMMYFUNCTION("""COMPUTED_VALUE"""),"Cumberland")</f>
        <v>Cumberland</v>
      </c>
      <c r="Q2196" s="5" t="str">
        <f ca="1">IFERROR(__xludf.DUMMYFUNCTION("""COMPUTED_VALUE"""),"MD")</f>
        <v>MD</v>
      </c>
      <c r="R2196" s="5" t="str">
        <f ca="1">IFERROR(__xludf.DUMMYFUNCTION("""COMPUTED_VALUE"""),"High")</f>
        <v>High</v>
      </c>
      <c r="S2196" s="5" t="str">
        <f ca="1">IFERROR(__xludf.DUMMYFUNCTION("""COMPUTED_VALUE"""),"Classroom")</f>
        <v>Classroom</v>
      </c>
      <c r="T2196" s="5" t="str">
        <f ca="1">IFERROR(__xludf.DUMMYFUNCTION("""COMPUTED_VALUE"""),"Off School Property")</f>
        <v>Off School Property</v>
      </c>
      <c r="U2196" s="5" t="str">
        <f ca="1">IFERROR(__xludf.DUMMYFUNCTION("""COMPUTED_VALUE"""),"Yes")</f>
        <v>Yes</v>
      </c>
      <c r="V2196" s="5" t="str">
        <f ca="1">IFERROR(__xludf.DUMMYFUNCTION("""COMPUTED_VALUE"""),"Morning Classes")</f>
        <v>Morning Classes</v>
      </c>
      <c r="W2196" s="10">
        <f ca="1">IFERROR(__xludf.DUMMYFUNCTION("""COMPUTED_VALUE"""),0.489583333333333)</f>
        <v>0.48958333333333298</v>
      </c>
      <c r="X2196" s="5"/>
      <c r="Y2196" s="5" t="str">
        <f ca="1">IFERROR(__xludf.DUMMYFUNCTION("""COMPUTED_VALUE"""),"Shot windows of four classroom from outside while school was in session")</f>
        <v>Shot windows of four classroom from outside while school was in session</v>
      </c>
      <c r="Z2196" s="5" t="str">
        <f ca="1">IFERROR(__xludf.DUMMYFUNCTION("""COMPUTED_VALUE"""),"Unknown shooter shot the windows of 4 different classrooms while the school was in session. Classrooms shot at were occupied at the time and students were evacuated. Shots were fired from the wooded area near the school.")</f>
        <v>Unknown shooter shot the windows of 4 different classrooms while the school was in session. Classrooms shot at were occupied at the time and students were evacuated. Shots were fired from the wooded area near the school.</v>
      </c>
      <c r="AA2196" s="5" t="str">
        <f ca="1">IFERROR(__xludf.DUMMYFUNCTION("""COMPUTED_VALUE"""),"Intentional Property Damage")</f>
        <v>Intentional Property Damage</v>
      </c>
      <c r="AB2196" s="5"/>
      <c r="AC2196" s="5" t="str">
        <f ca="1">IFERROR(__xludf.DUMMYFUNCTION("""COMPUTED_VALUE"""),"No")</f>
        <v>No</v>
      </c>
      <c r="AD2196" s="5" t="str">
        <f ca="1">IFERROR(__xludf.DUMMYFUNCTION("""COMPUTED_VALUE"""),"No")</f>
        <v>No</v>
      </c>
      <c r="AE2196" s="5" t="str">
        <f ca="1">IFERROR(__xludf.DUMMYFUNCTION("""COMPUTED_VALUE"""),"No")</f>
        <v>No</v>
      </c>
      <c r="AF2196" s="5" t="str">
        <f ca="1">IFERROR(__xludf.DUMMYFUNCTION("""COMPUTED_VALUE"""),"No")</f>
        <v>No</v>
      </c>
      <c r="AG2196" s="5"/>
      <c r="AH2196" s="5" t="str">
        <f ca="1">IFERROR(__xludf.DUMMYFUNCTION("""COMPUTED_VALUE"""),"No")</f>
        <v>No</v>
      </c>
      <c r="AI2196" s="5" t="str">
        <f ca="1">IFERROR(__xludf.DUMMYFUNCTION("""COMPUTED_VALUE"""),"No")</f>
        <v>No</v>
      </c>
      <c r="AJ2196" s="5"/>
    </row>
    <row r="2197" spans="1:36" ht="13">
      <c r="A2197" s="5" t="str">
        <f ca="1">IFERROR(__xludf.DUMMYFUNCTION("""COMPUTED_VALUE"""),"19760514FLPAW")</f>
        <v>19760514FLPAW</v>
      </c>
      <c r="B2197" s="5">
        <f ca="1">IFERROR(__xludf.DUMMYFUNCTION("""COMPUTED_VALUE"""),5)</f>
        <v>5</v>
      </c>
      <c r="C2197" s="5">
        <f ca="1">IFERROR(__xludf.DUMMYFUNCTION("""COMPUTED_VALUE"""),14)</f>
        <v>14</v>
      </c>
      <c r="D2197" s="5">
        <f ca="1">IFERROR(__xludf.DUMMYFUNCTION("""COMPUTED_VALUE"""),1976)</f>
        <v>1976</v>
      </c>
      <c r="E2197" s="8">
        <f ca="1">IFERROR(__xludf.DUMMYFUNCTION("""COMPUTED_VALUE"""),27894)</f>
        <v>27894</v>
      </c>
      <c r="F2197" s="5" t="str">
        <f ca="1">IFERROR(__xludf.DUMMYFUNCTION("""COMPUTED_VALUE"""),"Palm Beach Gardens High School")</f>
        <v>Palm Beach Gardens High School</v>
      </c>
      <c r="G2197" s="5">
        <f ca="1">IFERROR(__xludf.DUMMYFUNCTION("""COMPUTED_VALUE"""),0)</f>
        <v>0</v>
      </c>
      <c r="H2197" s="5">
        <f ca="1">IFERROR(__xludf.DUMMYFUNCTION("""COMPUTED_VALUE"""),1)</f>
        <v>1</v>
      </c>
      <c r="I2197" s="5">
        <f ca="1">IFERROR(__xludf.DUMMYFUNCTION("""COMPUTED_VALUE"""),1)</f>
        <v>1</v>
      </c>
      <c r="J2197" s="5">
        <f ca="1">IFERROR(__xludf.DUMMYFUNCTION("""COMPUTED_VALUE"""),0)</f>
        <v>0</v>
      </c>
      <c r="K2197" s="9" t="str">
        <f ca="1">IFERROR(__xludf.DUMMYFUNCTION("""COMPUTED_VALUE"""),"https://www.newspapers.com/image/133980815/?terms=palm%2Bbeach%2Bgarden%2Bschool%2Bshooting")</f>
        <v>https://www.newspapers.com/image/133980815/?terms=palm%2Bbeach%2Bgarden%2Bschool%2Bshooting</v>
      </c>
      <c r="L2197" s="5"/>
      <c r="M2197" s="5"/>
      <c r="N2197" s="5">
        <f ca="1">IFERROR(__xludf.DUMMYFUNCTION("""COMPUTED_VALUE"""),2)</f>
        <v>2</v>
      </c>
      <c r="O2197" s="5" t="str">
        <f ca="1">IFERROR(__xludf.DUMMYFUNCTION("""COMPUTED_VALUE"""),"Spring")</f>
        <v>Spring</v>
      </c>
      <c r="P2197" s="5" t="str">
        <f ca="1">IFERROR(__xludf.DUMMYFUNCTION("""COMPUTED_VALUE"""),"West Palm Beach")</f>
        <v>West Palm Beach</v>
      </c>
      <c r="Q2197" s="5" t="str">
        <f ca="1">IFERROR(__xludf.DUMMYFUNCTION("""COMPUTED_VALUE"""),"FL")</f>
        <v>FL</v>
      </c>
      <c r="R2197" s="5" t="str">
        <f ca="1">IFERROR(__xludf.DUMMYFUNCTION("""COMPUTED_VALUE"""),"High")</f>
        <v>High</v>
      </c>
      <c r="S2197" s="5" t="str">
        <f ca="1">IFERROR(__xludf.DUMMYFUNCTION("""COMPUTED_VALUE"""),"Outside on School Property")</f>
        <v>Outside on School Property</v>
      </c>
      <c r="T2197" s="5" t="str">
        <f ca="1">IFERROR(__xludf.DUMMYFUNCTION("""COMPUTED_VALUE"""),"Outside on School Property")</f>
        <v>Outside on School Property</v>
      </c>
      <c r="U2197" s="5" t="str">
        <f ca="1">IFERROR(__xludf.DUMMYFUNCTION("""COMPUTED_VALUE"""),"Yes")</f>
        <v>Yes</v>
      </c>
      <c r="V2197" s="5" t="str">
        <f ca="1">IFERROR(__xludf.DUMMYFUNCTION("""COMPUTED_VALUE"""),"Lunch")</f>
        <v>Lunch</v>
      </c>
      <c r="W2197" s="10">
        <f ca="1">IFERROR(__xludf.DUMMYFUNCTION("""COMPUTED_VALUE"""),0.5)</f>
        <v>0.5</v>
      </c>
      <c r="X2197" s="5">
        <f ca="1">IFERROR(__xludf.DUMMYFUNCTION("""COMPUTED_VALUE"""),1)</f>
        <v>1</v>
      </c>
      <c r="Y2197" s="5" t="str">
        <f ca="1">IFERROR(__xludf.DUMMYFUNCTION("""COMPUTED_VALUE"""),"Fight over spitting in parking lot")</f>
        <v>Fight over spitting in parking lot</v>
      </c>
      <c r="Z2197" s="5" t="str">
        <f ca="1">IFERROR(__xludf.DUMMYFUNCTION("""COMPUTED_VALUE"""),"Argument between two students over spitting. Shooter warned victim by firing two shots in the air and then shot him in the head. Shooter was subdued by nearby police officer.")</f>
        <v>Argument between two students over spitting. Shooter warned victim by firing two shots in the air and then shot him in the head. Shooter was subdued by nearby police officer.</v>
      </c>
      <c r="AA2197" s="5" t="str">
        <f ca="1">IFERROR(__xludf.DUMMYFUNCTION("""COMPUTED_VALUE"""),"Escalation of Dispute")</f>
        <v>Escalation of Dispute</v>
      </c>
      <c r="AB2197" s="5" t="str">
        <f ca="1">IFERROR(__xludf.DUMMYFUNCTION("""COMPUTED_VALUE"""),"Victims Targeted")</f>
        <v>Victims Targeted</v>
      </c>
      <c r="AC2197" s="5" t="str">
        <f ca="1">IFERROR(__xludf.DUMMYFUNCTION("""COMPUTED_VALUE"""),"No")</f>
        <v>No</v>
      </c>
      <c r="AD2197" s="5" t="str">
        <f ca="1">IFERROR(__xludf.DUMMYFUNCTION("""COMPUTED_VALUE"""),"No")</f>
        <v>No</v>
      </c>
      <c r="AE2197" s="5" t="str">
        <f ca="1">IFERROR(__xludf.DUMMYFUNCTION("""COMPUTED_VALUE"""),"No")</f>
        <v>No</v>
      </c>
      <c r="AF2197" s="5" t="str">
        <f ca="1">IFERROR(__xludf.DUMMYFUNCTION("""COMPUTED_VALUE"""),"No")</f>
        <v>No</v>
      </c>
      <c r="AG2197" s="5" t="str">
        <f ca="1">IFERROR(__xludf.DUMMYFUNCTION("""COMPUTED_VALUE"""),"No")</f>
        <v>No</v>
      </c>
      <c r="AH2197" s="5" t="str">
        <f ca="1">IFERROR(__xludf.DUMMYFUNCTION("""COMPUTED_VALUE"""),"No")</f>
        <v>No</v>
      </c>
      <c r="AI2197" s="5" t="str">
        <f ca="1">IFERROR(__xludf.DUMMYFUNCTION("""COMPUTED_VALUE"""),"No")</f>
        <v>No</v>
      </c>
      <c r="AJ2197" s="5"/>
    </row>
    <row r="2198" spans="1:36" ht="13">
      <c r="A2198" s="5" t="str">
        <f ca="1">IFERROR(__xludf.DUMMYFUNCTION("""COMPUTED_VALUE"""),"19760513MOMAS")</f>
        <v>19760513MOMAS</v>
      </c>
      <c r="B2198" s="5">
        <f ca="1">IFERROR(__xludf.DUMMYFUNCTION("""COMPUTED_VALUE"""),5)</f>
        <v>5</v>
      </c>
      <c r="C2198" s="5">
        <f ca="1">IFERROR(__xludf.DUMMYFUNCTION("""COMPUTED_VALUE"""),13)</f>
        <v>13</v>
      </c>
      <c r="D2198" s="5">
        <f ca="1">IFERROR(__xludf.DUMMYFUNCTION("""COMPUTED_VALUE"""),1976)</f>
        <v>1976</v>
      </c>
      <c r="E2198" s="8">
        <f ca="1">IFERROR(__xludf.DUMMYFUNCTION("""COMPUTED_VALUE"""),27893)</f>
        <v>27893</v>
      </c>
      <c r="F2198" s="5" t="str">
        <f ca="1">IFERROR(__xludf.DUMMYFUNCTION("""COMPUTED_VALUE"""),"Mark Twain School")</f>
        <v>Mark Twain School</v>
      </c>
      <c r="G2198" s="5">
        <f ca="1">IFERROR(__xludf.DUMMYFUNCTION("""COMPUTED_VALUE"""),0)</f>
        <v>0</v>
      </c>
      <c r="H2198" s="5">
        <f ca="1">IFERROR(__xludf.DUMMYFUNCTION("""COMPUTED_VALUE"""),1)</f>
        <v>1</v>
      </c>
      <c r="I2198" s="5">
        <f ca="1">IFERROR(__xludf.DUMMYFUNCTION("""COMPUTED_VALUE"""),1)</f>
        <v>1</v>
      </c>
      <c r="J2198" s="5">
        <f ca="1">IFERROR(__xludf.DUMMYFUNCTION("""COMPUTED_VALUE"""),0)</f>
        <v>0</v>
      </c>
      <c r="K2198" s="5" t="str">
        <f ca="1">IFERROR(__xludf.DUMMYFUNCTION("""COMPUTED_VALUE"""),"https://www.newspapers.com/image/18588223/?terms=STUDENT%2BSHOT; https://www.newspapers.com/image/139466550/?terms=MELVIN%2BGRAY")</f>
        <v>https://www.newspapers.com/image/18588223/?terms=STUDENT%2BSHOT; https://www.newspapers.com/image/139466550/?terms=MELVIN%2BGRAY</v>
      </c>
      <c r="L2198" s="5"/>
      <c r="M2198" s="5"/>
      <c r="N2198" s="5">
        <f ca="1">IFERROR(__xludf.DUMMYFUNCTION("""COMPUTED_VALUE"""),2)</f>
        <v>2</v>
      </c>
      <c r="O2198" s="5" t="str">
        <f ca="1">IFERROR(__xludf.DUMMYFUNCTION("""COMPUTED_VALUE"""),"Spring")</f>
        <v>Spring</v>
      </c>
      <c r="P2198" s="5" t="str">
        <f ca="1">IFERROR(__xludf.DUMMYFUNCTION("""COMPUTED_VALUE"""),"St. Louis")</f>
        <v>St. Louis</v>
      </c>
      <c r="Q2198" s="5" t="str">
        <f ca="1">IFERROR(__xludf.DUMMYFUNCTION("""COMPUTED_VALUE"""),"MO")</f>
        <v>MO</v>
      </c>
      <c r="R2198" s="5" t="str">
        <f ca="1">IFERROR(__xludf.DUMMYFUNCTION("""COMPUTED_VALUE"""),"Elementary")</f>
        <v>Elementary</v>
      </c>
      <c r="S2198" s="5" t="str">
        <f ca="1">IFERROR(__xludf.DUMMYFUNCTION("""COMPUTED_VALUE"""),"Cafeteria")</f>
        <v>Cafeteria</v>
      </c>
      <c r="T2198" s="5" t="str">
        <f ca="1">IFERROR(__xludf.DUMMYFUNCTION("""COMPUTED_VALUE"""),"Inside School Building")</f>
        <v>Inside School Building</v>
      </c>
      <c r="U2198" s="5" t="str">
        <f ca="1">IFERROR(__xludf.DUMMYFUNCTION("""COMPUTED_VALUE"""),"Yes")</f>
        <v>Yes</v>
      </c>
      <c r="V2198" s="5" t="str">
        <f ca="1">IFERROR(__xludf.DUMMYFUNCTION("""COMPUTED_VALUE"""),"Lunch")</f>
        <v>Lunch</v>
      </c>
      <c r="W2198" s="5"/>
      <c r="X2198" s="5">
        <f ca="1">IFERROR(__xludf.DUMMYFUNCTION("""COMPUTED_VALUE"""),1)</f>
        <v>1</v>
      </c>
      <c r="Y2198" s="5" t="str">
        <f ca="1">IFERROR(__xludf.DUMMYFUNCTION("""COMPUTED_VALUE"""),"Victim accidentally shot by shooter aiming at two other boys")</f>
        <v>Victim accidentally shot by shooter aiming at two other boys</v>
      </c>
      <c r="Z2198" s="5" t="str">
        <f ca="1">IFERROR(__xludf.DUMMYFUNCTION("""COMPUTED_VALUE"""),"Victim (not target) was shot by shooter who was attempting to fire at two boys who cut in lunch line.")</f>
        <v>Victim (not target) was shot by shooter who was attempting to fire at two boys who cut in lunch line.</v>
      </c>
      <c r="AA2198" s="5" t="str">
        <f ca="1">IFERROR(__xludf.DUMMYFUNCTION("""COMPUTED_VALUE"""),"Escalation of Dispute")</f>
        <v>Escalation of Dispute</v>
      </c>
      <c r="AB2198" s="5" t="str">
        <f ca="1">IFERROR(__xludf.DUMMYFUNCTION("""COMPUTED_VALUE"""),"Random Shooting")</f>
        <v>Random Shooting</v>
      </c>
      <c r="AC2198" s="5" t="str">
        <f ca="1">IFERROR(__xludf.DUMMYFUNCTION("""COMPUTED_VALUE"""),"No")</f>
        <v>No</v>
      </c>
      <c r="AD2198" s="5" t="str">
        <f ca="1">IFERROR(__xludf.DUMMYFUNCTION("""COMPUTED_VALUE"""),"No")</f>
        <v>No</v>
      </c>
      <c r="AE2198" s="5" t="str">
        <f ca="1">IFERROR(__xludf.DUMMYFUNCTION("""COMPUTED_VALUE"""),"No")</f>
        <v>No</v>
      </c>
      <c r="AF2198" s="5" t="str">
        <f ca="1">IFERROR(__xludf.DUMMYFUNCTION("""COMPUTED_VALUE"""),"No")</f>
        <v>No</v>
      </c>
      <c r="AG2198" s="5" t="str">
        <f ca="1">IFERROR(__xludf.DUMMYFUNCTION("""COMPUTED_VALUE"""),"No")</f>
        <v>No</v>
      </c>
      <c r="AH2198" s="5" t="str">
        <f ca="1">IFERROR(__xludf.DUMMYFUNCTION("""COMPUTED_VALUE"""),"No")</f>
        <v>No</v>
      </c>
      <c r="AI2198" s="5" t="str">
        <f ca="1">IFERROR(__xludf.DUMMYFUNCTION("""COMPUTED_VALUE"""),"No")</f>
        <v>No</v>
      </c>
      <c r="AJ2198" s="5"/>
    </row>
    <row r="2199" spans="1:36" ht="13">
      <c r="A2199" s="5" t="str">
        <f ca="1">IFERROR(__xludf.DUMMYFUNCTION("""COMPUTED_VALUE"""),"19760412TXODF")</f>
        <v>19760412TXODF</v>
      </c>
      <c r="B2199" s="5">
        <f ca="1">IFERROR(__xludf.DUMMYFUNCTION("""COMPUTED_VALUE"""),4)</f>
        <v>4</v>
      </c>
      <c r="C2199" s="5">
        <f ca="1">IFERROR(__xludf.DUMMYFUNCTION("""COMPUTED_VALUE"""),12)</f>
        <v>12</v>
      </c>
      <c r="D2199" s="5">
        <f ca="1">IFERROR(__xludf.DUMMYFUNCTION("""COMPUTED_VALUE"""),1976)</f>
        <v>1976</v>
      </c>
      <c r="E2199" s="8">
        <f ca="1">IFERROR(__xludf.DUMMYFUNCTION("""COMPUTED_VALUE"""),27862)</f>
        <v>27862</v>
      </c>
      <c r="F2199" s="5" t="str">
        <f ca="1">IFERROR(__xludf.DUMMYFUNCTION("""COMPUTED_VALUE"""),"O D Wyatt High School")</f>
        <v>O D Wyatt High School</v>
      </c>
      <c r="G2199" s="5">
        <f ca="1">IFERROR(__xludf.DUMMYFUNCTION("""COMPUTED_VALUE"""),1)</f>
        <v>1</v>
      </c>
      <c r="H2199" s="5">
        <f ca="1">IFERROR(__xludf.DUMMYFUNCTION("""COMPUTED_VALUE"""),1)</f>
        <v>1</v>
      </c>
      <c r="I2199" s="5">
        <f ca="1">IFERROR(__xludf.DUMMYFUNCTION("""COMPUTED_VALUE"""),2)</f>
        <v>2</v>
      </c>
      <c r="J2199" s="5">
        <f ca="1">IFERROR(__xludf.DUMMYFUNCTION("""COMPUTED_VALUE"""),0)</f>
        <v>0</v>
      </c>
      <c r="K2199" s="9" t="str">
        <f ca="1">IFERROR(__xludf.DUMMYFUNCTION("""COMPUTED_VALUE"""),"https://www.newspapers.com/image/29580657/?terms=school%2Bshooting")</f>
        <v>https://www.newspapers.com/image/29580657/?terms=school%2Bshooting</v>
      </c>
      <c r="L2199" s="5"/>
      <c r="M2199" s="5"/>
      <c r="N2199" s="5">
        <f ca="1">IFERROR(__xludf.DUMMYFUNCTION("""COMPUTED_VALUE"""),2)</f>
        <v>2</v>
      </c>
      <c r="O2199" s="5" t="str">
        <f ca="1">IFERROR(__xludf.DUMMYFUNCTION("""COMPUTED_VALUE"""),"Spring")</f>
        <v>Spring</v>
      </c>
      <c r="P2199" s="5" t="str">
        <f ca="1">IFERROR(__xludf.DUMMYFUNCTION("""COMPUTED_VALUE"""),"Fort Worth")</f>
        <v>Fort Worth</v>
      </c>
      <c r="Q2199" s="5" t="str">
        <f ca="1">IFERROR(__xludf.DUMMYFUNCTION("""COMPUTED_VALUE"""),"TX")</f>
        <v>TX</v>
      </c>
      <c r="R2199" s="5" t="str">
        <f ca="1">IFERROR(__xludf.DUMMYFUNCTION("""COMPUTED_VALUE"""),"High")</f>
        <v>High</v>
      </c>
      <c r="S2199" s="5" t="str">
        <f ca="1">IFERROR(__xludf.DUMMYFUNCTION("""COMPUTED_VALUE"""),"Hallway")</f>
        <v>Hallway</v>
      </c>
      <c r="T2199" s="5" t="str">
        <f ca="1">IFERROR(__xludf.DUMMYFUNCTION("""COMPUTED_VALUE"""),"Inside School Building")</f>
        <v>Inside School Building</v>
      </c>
      <c r="U2199" s="5" t="str">
        <f ca="1">IFERROR(__xludf.DUMMYFUNCTION("""COMPUTED_VALUE"""),"Yes")</f>
        <v>Yes</v>
      </c>
      <c r="V2199" s="5" t="str">
        <f ca="1">IFERROR(__xludf.DUMMYFUNCTION("""COMPUTED_VALUE"""),"Afternoon Classes")</f>
        <v>Afternoon Classes</v>
      </c>
      <c r="W2199" s="5"/>
      <c r="X2199" s="5">
        <f ca="1">IFERROR(__xludf.DUMMYFUNCTION("""COMPUTED_VALUE"""),1)</f>
        <v>1</v>
      </c>
      <c r="Y2199" s="5" t="str">
        <f ca="1">IFERROR(__xludf.DUMMYFUNCTION("""COMPUTED_VALUE"""),"Dispute turned into shooting, another student hit in crossfire")</f>
        <v>Dispute turned into shooting, another student hit in crossfire</v>
      </c>
      <c r="Z2199" s="5" t="str">
        <f ca="1">IFERROR(__xludf.DUMMYFUNCTION("""COMPUTED_VALUE"""),"Fight in hallway between two students escalated into shooting in the school hallway when targeted victim was leaving bathroom. Targeted victim was fatally shot. Bystander student wounded in cross fire. Shooter fled and was arrested away from school.")</f>
        <v>Fight in hallway between two students escalated into shooting in the school hallway when targeted victim was leaving bathroom. Targeted victim was fatally shot. Bystander student wounded in cross fire. Shooter fled and was arrested away from school.</v>
      </c>
      <c r="AA2199" s="5" t="str">
        <f ca="1">IFERROR(__xludf.DUMMYFUNCTION("""COMPUTED_VALUE"""),"Escalation of Dispute")</f>
        <v>Escalation of Dispute</v>
      </c>
      <c r="AB2199" s="5" t="str">
        <f ca="1">IFERROR(__xludf.DUMMYFUNCTION("""COMPUTED_VALUE"""),"Both")</f>
        <v>Both</v>
      </c>
      <c r="AC2199" s="5" t="str">
        <f ca="1">IFERROR(__xludf.DUMMYFUNCTION("""COMPUTED_VALUE"""),"No")</f>
        <v>No</v>
      </c>
      <c r="AD2199" s="5" t="str">
        <f ca="1">IFERROR(__xludf.DUMMYFUNCTION("""COMPUTED_VALUE"""),"No")</f>
        <v>No</v>
      </c>
      <c r="AE2199" s="5" t="str">
        <f ca="1">IFERROR(__xludf.DUMMYFUNCTION("""COMPUTED_VALUE"""),"No")</f>
        <v>No</v>
      </c>
      <c r="AF2199" s="5" t="str">
        <f ca="1">IFERROR(__xludf.DUMMYFUNCTION("""COMPUTED_VALUE"""),"No")</f>
        <v>No</v>
      </c>
      <c r="AG2199" s="5"/>
      <c r="AH2199" s="5" t="str">
        <f ca="1">IFERROR(__xludf.DUMMYFUNCTION("""COMPUTED_VALUE"""),"No")</f>
        <v>No</v>
      </c>
      <c r="AI2199" s="5" t="str">
        <f ca="1">IFERROR(__xludf.DUMMYFUNCTION("""COMPUTED_VALUE"""),"No")</f>
        <v>No</v>
      </c>
      <c r="AJ2199" s="5"/>
    </row>
    <row r="2200" spans="1:36" ht="13">
      <c r="A2200" s="5" t="str">
        <f ca="1">IFERROR(__xludf.DUMMYFUNCTION("""COMPUTED_VALUE"""),"19760212MIMUD")</f>
        <v>19760212MIMUD</v>
      </c>
      <c r="B2200" s="5">
        <f ca="1">IFERROR(__xludf.DUMMYFUNCTION("""COMPUTED_VALUE"""),2)</f>
        <v>2</v>
      </c>
      <c r="C2200" s="5">
        <f ca="1">IFERROR(__xludf.DUMMYFUNCTION("""COMPUTED_VALUE"""),12)</f>
        <v>12</v>
      </c>
      <c r="D2200" s="5">
        <f ca="1">IFERROR(__xludf.DUMMYFUNCTION("""COMPUTED_VALUE"""),1976)</f>
        <v>1976</v>
      </c>
      <c r="E2200" s="8">
        <f ca="1">IFERROR(__xludf.DUMMYFUNCTION("""COMPUTED_VALUE"""),27802)</f>
        <v>27802</v>
      </c>
      <c r="F2200" s="5" t="str">
        <f ca="1">IFERROR(__xludf.DUMMYFUNCTION("""COMPUTED_VALUE"""),"Murray-Wright High School")</f>
        <v>Murray-Wright High School</v>
      </c>
      <c r="G2200" s="5">
        <f ca="1">IFERROR(__xludf.DUMMYFUNCTION("""COMPUTED_VALUE"""),0)</f>
        <v>0</v>
      </c>
      <c r="H2200" s="5">
        <f ca="1">IFERROR(__xludf.DUMMYFUNCTION("""COMPUTED_VALUE"""),5)</f>
        <v>5</v>
      </c>
      <c r="I2200" s="5">
        <f ca="1">IFERROR(__xludf.DUMMYFUNCTION("""COMPUTED_VALUE"""),5)</f>
        <v>5</v>
      </c>
      <c r="J2200" s="5">
        <f ca="1">IFERROR(__xludf.DUMMYFUNCTION("""COMPUTED_VALUE"""),0)</f>
        <v>0</v>
      </c>
      <c r="K2200" s="9" t="str">
        <f ca="1">IFERROR(__xludf.DUMMYFUNCTION("""COMPUTED_VALUE"""),"https://news.google.com/newspapers?id=LQ9PAAAAIBAJ&amp;pg=3947,2156747")</f>
        <v>https://news.google.com/newspapers?id=LQ9PAAAAIBAJ&amp;pg=3947,2156747</v>
      </c>
      <c r="L2200" s="5"/>
      <c r="M2200" s="5"/>
      <c r="N2200" s="5">
        <f ca="1">IFERROR(__xludf.DUMMYFUNCTION("""COMPUTED_VALUE"""),2)</f>
        <v>2</v>
      </c>
      <c r="O2200" s="5" t="str">
        <f ca="1">IFERROR(__xludf.DUMMYFUNCTION("""COMPUTED_VALUE"""),"Winter")</f>
        <v>Winter</v>
      </c>
      <c r="P2200" s="5" t="str">
        <f ca="1">IFERROR(__xludf.DUMMYFUNCTION("""COMPUTED_VALUE"""),"Detroit")</f>
        <v>Detroit</v>
      </c>
      <c r="Q2200" s="5" t="str">
        <f ca="1">IFERROR(__xludf.DUMMYFUNCTION("""COMPUTED_VALUE"""),"MI")</f>
        <v>MI</v>
      </c>
      <c r="R2200" s="5" t="str">
        <f ca="1">IFERROR(__xludf.DUMMYFUNCTION("""COMPUTED_VALUE"""),"High")</f>
        <v>High</v>
      </c>
      <c r="S2200" s="5" t="str">
        <f ca="1">IFERROR(__xludf.DUMMYFUNCTION("""COMPUTED_VALUE"""),"Hallway")</f>
        <v>Hallway</v>
      </c>
      <c r="T2200" s="5" t="str">
        <f ca="1">IFERROR(__xludf.DUMMYFUNCTION("""COMPUTED_VALUE"""),"Inside School Building")</f>
        <v>Inside School Building</v>
      </c>
      <c r="U2200" s="5" t="str">
        <f ca="1">IFERROR(__xludf.DUMMYFUNCTION("""COMPUTED_VALUE"""),"Yes")</f>
        <v>Yes</v>
      </c>
      <c r="V2200" s="5"/>
      <c r="W2200" s="5"/>
      <c r="X2200" s="5">
        <f ca="1">IFERROR(__xludf.DUMMYFUNCTION("""COMPUTED_VALUE"""),1)</f>
        <v>1</v>
      </c>
      <c r="Y2200" s="5" t="str">
        <f ca="1">IFERROR(__xludf.DUMMYFUNCTION("""COMPUTED_VALUE"""),"Dispute over a girlfriend")</f>
        <v>Dispute over a girlfriend</v>
      </c>
      <c r="Z2200" s="5" t="str">
        <f ca="1">IFERROR(__xludf.DUMMYFUNCTION("""COMPUTED_VALUE"""),"Group of intruders entered the school looking for student who had stolen one of the intruders girlfriend. Two teachers saw them and asked them to leave. Half dozen student followed and jeered intruders as security guard escorted them out down main hallway"&amp;". Two intruders turned just outside the door and fired on the group of high school students, wounding five students (Victims: 17 year-old male James Maddox; 15 year-old male Russell Johnson; 18 year-old male Darryl White; 17 year-old male Eddie Key; 17 ye"&amp;"ar-old female Wayne Lindsay)")</f>
        <v>Group of intruders entered the school looking for student who had stolen one of the intruders girlfriend. Two teachers saw them and asked them to leave. Half dozen student followed and jeered intruders as security guard escorted them out down main hallway. Two intruders turned just outside the door and fired on the group of high school students, wounding five students (Victims: 17 year-old male James Maddox; 15 year-old male Russell Johnson; 18 year-old male Darryl White; 17 year-old male Eddie Key; 17 year-old female Wayne Lindsay)</v>
      </c>
      <c r="AA2200" s="5" t="str">
        <f ca="1">IFERROR(__xludf.DUMMYFUNCTION("""COMPUTED_VALUE"""),"Escalation of Dispute")</f>
        <v>Escalation of Dispute</v>
      </c>
      <c r="AB2200" s="5" t="str">
        <f ca="1">IFERROR(__xludf.DUMMYFUNCTION("""COMPUTED_VALUE"""),"Random Shooting")</f>
        <v>Random Shooting</v>
      </c>
      <c r="AC2200" s="5" t="str">
        <f ca="1">IFERROR(__xludf.DUMMYFUNCTION("""COMPUTED_VALUE"""),"Yes")</f>
        <v>Yes</v>
      </c>
      <c r="AD2200" s="5" t="str">
        <f ca="1">IFERROR(__xludf.DUMMYFUNCTION("""COMPUTED_VALUE"""),"No")</f>
        <v>No</v>
      </c>
      <c r="AE2200" s="5" t="str">
        <f ca="1">IFERROR(__xludf.DUMMYFUNCTION("""COMPUTED_VALUE"""),"No")</f>
        <v>No</v>
      </c>
      <c r="AF2200" s="5" t="str">
        <f ca="1">IFERROR(__xludf.DUMMYFUNCTION("""COMPUTED_VALUE"""),"No")</f>
        <v>No</v>
      </c>
      <c r="AG2200" s="5" t="str">
        <f ca="1">IFERROR(__xludf.DUMMYFUNCTION("""COMPUTED_VALUE"""),"No")</f>
        <v>No</v>
      </c>
      <c r="AH2200" s="5" t="str">
        <f ca="1">IFERROR(__xludf.DUMMYFUNCTION("""COMPUTED_VALUE"""),"Yes")</f>
        <v>Yes</v>
      </c>
      <c r="AI2200" s="5" t="str">
        <f ca="1">IFERROR(__xludf.DUMMYFUNCTION("""COMPUTED_VALUE"""),"No")</f>
        <v>No</v>
      </c>
      <c r="AJ2200" s="5"/>
    </row>
    <row r="2201" spans="1:36" ht="13">
      <c r="A2201" s="5" t="str">
        <f ca="1">IFERROR(__xludf.DUMMYFUNCTION("""COMPUTED_VALUE"""),"19760206FLESP")</f>
        <v>19760206FLESP</v>
      </c>
      <c r="B2201" s="5">
        <f ca="1">IFERROR(__xludf.DUMMYFUNCTION("""COMPUTED_VALUE"""),2)</f>
        <v>2</v>
      </c>
      <c r="C2201" s="5">
        <f ca="1">IFERROR(__xludf.DUMMYFUNCTION("""COMPUTED_VALUE"""),6)</f>
        <v>6</v>
      </c>
      <c r="D2201" s="5">
        <f ca="1">IFERROR(__xludf.DUMMYFUNCTION("""COMPUTED_VALUE"""),1976)</f>
        <v>1976</v>
      </c>
      <c r="E2201" s="8">
        <f ca="1">IFERROR(__xludf.DUMMYFUNCTION("""COMPUTED_VALUE"""),27796)</f>
        <v>27796</v>
      </c>
      <c r="F2201" s="5" t="str">
        <f ca="1">IFERROR(__xludf.DUMMYFUNCTION("""COMPUTED_VALUE"""),"Escambia High School")</f>
        <v>Escambia High School</v>
      </c>
      <c r="G2201" s="5">
        <f ca="1">IFERROR(__xludf.DUMMYFUNCTION("""COMPUTED_VALUE"""),0)</f>
        <v>0</v>
      </c>
      <c r="H2201" s="5">
        <f ca="1">IFERROR(__xludf.DUMMYFUNCTION("""COMPUTED_VALUE"""),4)</f>
        <v>4</v>
      </c>
      <c r="I2201" s="5">
        <f ca="1">IFERROR(__xludf.DUMMYFUNCTION("""COMPUTED_VALUE"""),4)</f>
        <v>4</v>
      </c>
      <c r="J2201" s="5">
        <f ca="1">IFERROR(__xludf.DUMMYFUNCTION("""COMPUTED_VALUE"""),0)</f>
        <v>0</v>
      </c>
      <c r="K2201" s="5" t="str">
        <f ca="1">IFERROR(__xludf.DUMMYFUNCTION("""COMPUTED_VALUE"""),"https://www.newspapers.com/image/70110722/?terms=pensacola%2Bschool%2Bshooting; https://www.newspapers.com/image/245767641/?terms=STUDENT%2BSHOT")</f>
        <v>https://www.newspapers.com/image/70110722/?terms=pensacola%2Bschool%2Bshooting; https://www.newspapers.com/image/245767641/?terms=STUDENT%2BSHOT</v>
      </c>
      <c r="L2201" s="5"/>
      <c r="M2201" s="5"/>
      <c r="N2201" s="5">
        <f ca="1">IFERROR(__xludf.DUMMYFUNCTION("""COMPUTED_VALUE"""),3)</f>
        <v>3</v>
      </c>
      <c r="O2201" s="5" t="str">
        <f ca="1">IFERROR(__xludf.DUMMYFUNCTION("""COMPUTED_VALUE"""),"Winter")</f>
        <v>Winter</v>
      </c>
      <c r="P2201" s="5" t="str">
        <f ca="1">IFERROR(__xludf.DUMMYFUNCTION("""COMPUTED_VALUE"""),"Pensacola")</f>
        <v>Pensacola</v>
      </c>
      <c r="Q2201" s="5" t="str">
        <f ca="1">IFERROR(__xludf.DUMMYFUNCTION("""COMPUTED_VALUE"""),"FL")</f>
        <v>FL</v>
      </c>
      <c r="R2201" s="5" t="str">
        <f ca="1">IFERROR(__xludf.DUMMYFUNCTION("""COMPUTED_VALUE"""),"High")</f>
        <v>High</v>
      </c>
      <c r="S2201" s="5" t="str">
        <f ca="1">IFERROR(__xludf.DUMMYFUNCTION("""COMPUTED_VALUE"""),"Outside on School Property")</f>
        <v>Outside on School Property</v>
      </c>
      <c r="T2201" s="5" t="str">
        <f ca="1">IFERROR(__xludf.DUMMYFUNCTION("""COMPUTED_VALUE"""),"Outside on School Property")</f>
        <v>Outside on School Property</v>
      </c>
      <c r="U2201" s="5" t="str">
        <f ca="1">IFERROR(__xludf.DUMMYFUNCTION("""COMPUTED_VALUE"""),"Yes")</f>
        <v>Yes</v>
      </c>
      <c r="V2201" s="5" t="str">
        <f ca="1">IFERROR(__xludf.DUMMYFUNCTION("""COMPUTED_VALUE"""),"Afternoon Classes")</f>
        <v>Afternoon Classes</v>
      </c>
      <c r="W2201" s="5"/>
      <c r="X2201" s="5">
        <f ca="1">IFERROR(__xludf.DUMMYFUNCTION("""COMPUTED_VALUE"""),180)</f>
        <v>180</v>
      </c>
      <c r="Y2201" s="5" t="str">
        <f ca="1">IFERROR(__xludf.DUMMYFUNCTION("""COMPUTED_VALUE"""),"3 hour riot due to racial tension")</f>
        <v>3 hour riot due to racial tension</v>
      </c>
      <c r="Z2201" s="5" t="str">
        <f ca="1">IFERROR(__xludf.DUMMYFUNCTION("""COMPUTED_VALUE"""),"4 students were shot and 27 others injured during a riot between black and white students and non-students following a confederate parade/demonstration at the school. Riot lasted for 3 hours.")</f>
        <v>4 students were shot and 27 others injured during a riot between black and white students and non-students following a confederate parade/demonstration at the school. Riot lasted for 3 hours.</v>
      </c>
      <c r="AA2201" s="5" t="str">
        <f ca="1">IFERROR(__xludf.DUMMYFUNCTION("""COMPUTED_VALUE"""),"Racial")</f>
        <v>Racial</v>
      </c>
      <c r="AB2201" s="5" t="str">
        <f ca="1">IFERROR(__xludf.DUMMYFUNCTION("""COMPUTED_VALUE"""),"Neither")</f>
        <v>Neither</v>
      </c>
      <c r="AC2201" s="5" t="str">
        <f ca="1">IFERROR(__xludf.DUMMYFUNCTION("""COMPUTED_VALUE"""),"No")</f>
        <v>No</v>
      </c>
      <c r="AD2201" s="5" t="str">
        <f ca="1">IFERROR(__xludf.DUMMYFUNCTION("""COMPUTED_VALUE"""),"No")</f>
        <v>No</v>
      </c>
      <c r="AE2201" s="5" t="str">
        <f ca="1">IFERROR(__xludf.DUMMYFUNCTION("""COMPUTED_VALUE"""),"No")</f>
        <v>No</v>
      </c>
      <c r="AF2201" s="5" t="str">
        <f ca="1">IFERROR(__xludf.DUMMYFUNCTION("""COMPUTED_VALUE"""),"No")</f>
        <v>No</v>
      </c>
      <c r="AG2201" s="5" t="str">
        <f ca="1">IFERROR(__xludf.DUMMYFUNCTION("""COMPUTED_VALUE"""),"No")</f>
        <v>No</v>
      </c>
      <c r="AH2201" s="5" t="str">
        <f ca="1">IFERROR(__xludf.DUMMYFUNCTION("""COMPUTED_VALUE"""),"No")</f>
        <v>No</v>
      </c>
      <c r="AI2201" s="5" t="str">
        <f ca="1">IFERROR(__xludf.DUMMYFUNCTION("""COMPUTED_VALUE"""),"No")</f>
        <v>No</v>
      </c>
      <c r="AJ2201" s="5"/>
    </row>
    <row r="2202" spans="1:36" ht="13">
      <c r="A2202" s="5" t="str">
        <f ca="1">IFERROR(__xludf.DUMMYFUNCTION("""COMPUTED_VALUE"""),"19760123OHCOC")</f>
        <v>19760123OHCOC</v>
      </c>
      <c r="B2202" s="5">
        <f ca="1">IFERROR(__xludf.DUMMYFUNCTION("""COMPUTED_VALUE"""),1)</f>
        <v>1</v>
      </c>
      <c r="C2202" s="5">
        <f ca="1">IFERROR(__xludf.DUMMYFUNCTION("""COMPUTED_VALUE"""),23)</f>
        <v>23</v>
      </c>
      <c r="D2202" s="5">
        <f ca="1">IFERROR(__xludf.DUMMYFUNCTION("""COMPUTED_VALUE"""),1976)</f>
        <v>1976</v>
      </c>
      <c r="E2202" s="8">
        <f ca="1">IFERROR(__xludf.DUMMYFUNCTION("""COMPUTED_VALUE"""),27782)</f>
        <v>27782</v>
      </c>
      <c r="F2202" s="5" t="str">
        <f ca="1">IFERROR(__xludf.DUMMYFUNCTION("""COMPUTED_VALUE"""),"Columbus Central High School")</f>
        <v>Columbus Central High School</v>
      </c>
      <c r="G2202" s="5">
        <f ca="1">IFERROR(__xludf.DUMMYFUNCTION("""COMPUTED_VALUE"""),1)</f>
        <v>1</v>
      </c>
      <c r="H2202" s="5">
        <f ca="1">IFERROR(__xludf.DUMMYFUNCTION("""COMPUTED_VALUE"""),1)</f>
        <v>1</v>
      </c>
      <c r="I2202" s="5">
        <f ca="1">IFERROR(__xludf.DUMMYFUNCTION("""COMPUTED_VALUE"""),2)</f>
        <v>2</v>
      </c>
      <c r="J2202" s="5">
        <f ca="1">IFERROR(__xludf.DUMMYFUNCTION("""COMPUTED_VALUE"""),0)</f>
        <v>0</v>
      </c>
      <c r="K2202" s="9" t="str">
        <f ca="1">IFERROR(__xludf.DUMMYFUNCTION("""COMPUTED_VALUE"""),"https://www.newspapers.com/image/293916124/?terms=school%2Bshooting")</f>
        <v>https://www.newspapers.com/image/293916124/?terms=school%2Bshooting</v>
      </c>
      <c r="L2202" s="5"/>
      <c r="M2202" s="5"/>
      <c r="N2202" s="5">
        <f ca="1">IFERROR(__xludf.DUMMYFUNCTION("""COMPUTED_VALUE"""),2)</f>
        <v>2</v>
      </c>
      <c r="O2202" s="5" t="str">
        <f ca="1">IFERROR(__xludf.DUMMYFUNCTION("""COMPUTED_VALUE"""),"Winter")</f>
        <v>Winter</v>
      </c>
      <c r="P2202" s="5" t="str">
        <f ca="1">IFERROR(__xludf.DUMMYFUNCTION("""COMPUTED_VALUE"""),"Columbus")</f>
        <v>Columbus</v>
      </c>
      <c r="Q2202" s="5" t="str">
        <f ca="1">IFERROR(__xludf.DUMMYFUNCTION("""COMPUTED_VALUE"""),"OH")</f>
        <v>OH</v>
      </c>
      <c r="R2202" s="5" t="str">
        <f ca="1">IFERROR(__xludf.DUMMYFUNCTION("""COMPUTED_VALUE"""),"High")</f>
        <v>High</v>
      </c>
      <c r="S2202" s="5" t="str">
        <f ca="1">IFERROR(__xludf.DUMMYFUNCTION("""COMPUTED_VALUE"""),"Office")</f>
        <v>Office</v>
      </c>
      <c r="T2202" s="5" t="str">
        <f ca="1">IFERROR(__xludf.DUMMYFUNCTION("""COMPUTED_VALUE"""),"Inside School Building")</f>
        <v>Inside School Building</v>
      </c>
      <c r="U2202" s="5" t="str">
        <f ca="1">IFERROR(__xludf.DUMMYFUNCTION("""COMPUTED_VALUE"""),"Yes")</f>
        <v>Yes</v>
      </c>
      <c r="V2202" s="5" t="str">
        <f ca="1">IFERROR(__xludf.DUMMYFUNCTION("""COMPUTED_VALUE"""),"Afternoon Classes")</f>
        <v>Afternoon Classes</v>
      </c>
      <c r="W2202" s="10">
        <f ca="1">IFERROR(__xludf.DUMMYFUNCTION("""COMPUTED_VALUE"""),0.597222222222222)</f>
        <v>0.59722222222222199</v>
      </c>
      <c r="X2202" s="5"/>
      <c r="Y2202" s="5" t="str">
        <f ca="1">IFERROR(__xludf.DUMMYFUNCTION("""COMPUTED_VALUE"""),"Student shot teacher and cafeteria manager")</f>
        <v>Student shot teacher and cafeteria manager</v>
      </c>
      <c r="Z2202" s="5" t="str">
        <f ca="1">IFERROR(__xludf.DUMMYFUNCTION("""COMPUTED_VALUE"""),"17 year-old male student shot cafeteria manager and killed auto shop teacher with .25 pistol.")</f>
        <v>17 year-old male student shot cafeteria manager and killed auto shop teacher with .25 pistol.</v>
      </c>
      <c r="AA2202" s="5" t="str">
        <f ca="1">IFERROR(__xludf.DUMMYFUNCTION("""COMPUTED_VALUE"""),"Unknown")</f>
        <v>Unknown</v>
      </c>
      <c r="AB2202" s="5" t="str">
        <f ca="1">IFERROR(__xludf.DUMMYFUNCTION("""COMPUTED_VALUE"""),"Victims Targeted")</f>
        <v>Victims Targeted</v>
      </c>
      <c r="AC2202" s="5" t="str">
        <f ca="1">IFERROR(__xludf.DUMMYFUNCTION("""COMPUTED_VALUE"""),"No")</f>
        <v>No</v>
      </c>
      <c r="AD2202" s="5" t="str">
        <f ca="1">IFERROR(__xludf.DUMMYFUNCTION("""COMPUTED_VALUE"""),"No")</f>
        <v>No</v>
      </c>
      <c r="AE2202" s="5" t="str">
        <f ca="1">IFERROR(__xludf.DUMMYFUNCTION("""COMPUTED_VALUE"""),"No")</f>
        <v>No</v>
      </c>
      <c r="AF2202" s="5" t="str">
        <f ca="1">IFERROR(__xludf.DUMMYFUNCTION("""COMPUTED_VALUE"""),"No")</f>
        <v>No</v>
      </c>
      <c r="AG2202" s="5"/>
      <c r="AH2202" s="5"/>
      <c r="AI2202" s="5" t="str">
        <f ca="1">IFERROR(__xludf.DUMMYFUNCTION("""COMPUTED_VALUE"""),"No")</f>
        <v>No</v>
      </c>
      <c r="AJ2202" s="5"/>
    </row>
    <row r="2203" spans="1:36" ht="13">
      <c r="A2203" s="5" t="str">
        <f ca="1">IFERROR(__xludf.DUMMYFUNCTION("""COMPUTED_VALUE"""),"19760101AZCAP")</f>
        <v>19760101AZCAP</v>
      </c>
      <c r="B2203" s="5">
        <f ca="1">IFERROR(__xludf.DUMMYFUNCTION("""COMPUTED_VALUE"""),1)</f>
        <v>1</v>
      </c>
      <c r="C2203" s="5">
        <f ca="1">IFERROR(__xludf.DUMMYFUNCTION("""COMPUTED_VALUE"""),1)</f>
        <v>1</v>
      </c>
      <c r="D2203" s="5">
        <f ca="1">IFERROR(__xludf.DUMMYFUNCTION("""COMPUTED_VALUE"""),1976)</f>
        <v>1976</v>
      </c>
      <c r="E2203" s="8">
        <f ca="1">IFERROR(__xludf.DUMMYFUNCTION("""COMPUTED_VALUE"""),27760)</f>
        <v>27760</v>
      </c>
      <c r="F2203" s="5" t="str">
        <f ca="1">IFERROR(__xludf.DUMMYFUNCTION("""COMPUTED_VALUE"""),"Camelback High School")</f>
        <v>Camelback High School</v>
      </c>
      <c r="G2203" s="5">
        <f ca="1">IFERROR(__xludf.DUMMYFUNCTION("""COMPUTED_VALUE"""),0)</f>
        <v>0</v>
      </c>
      <c r="H2203" s="5">
        <f ca="1">IFERROR(__xludf.DUMMYFUNCTION("""COMPUTED_VALUE"""),1)</f>
        <v>1</v>
      </c>
      <c r="I2203" s="5">
        <f ca="1">IFERROR(__xludf.DUMMYFUNCTION("""COMPUTED_VALUE"""),1)</f>
        <v>1</v>
      </c>
      <c r="J2203" s="5">
        <f ca="1">IFERROR(__xludf.DUMMYFUNCTION("""COMPUTED_VALUE"""),0)</f>
        <v>0</v>
      </c>
      <c r="K2203" s="9" t="str">
        <f ca="1">IFERROR(__xludf.DUMMYFUNCTION("""COMPUTED_VALUE"""),"https://www.newspapers.com/image/117994783/?terms=school%2Bshooting")</f>
        <v>https://www.newspapers.com/image/117994783/?terms=school%2Bshooting</v>
      </c>
      <c r="L2203" s="5"/>
      <c r="M2203" s="5"/>
      <c r="N2203" s="5">
        <f ca="1">IFERROR(__xludf.DUMMYFUNCTION("""COMPUTED_VALUE"""),2)</f>
        <v>2</v>
      </c>
      <c r="O2203" s="5" t="str">
        <f ca="1">IFERROR(__xludf.DUMMYFUNCTION("""COMPUTED_VALUE"""),"Winter")</f>
        <v>Winter</v>
      </c>
      <c r="P2203" s="5" t="str">
        <f ca="1">IFERROR(__xludf.DUMMYFUNCTION("""COMPUTED_VALUE"""),"Phoenix")</f>
        <v>Phoenix</v>
      </c>
      <c r="Q2203" s="5" t="str">
        <f ca="1">IFERROR(__xludf.DUMMYFUNCTION("""COMPUTED_VALUE"""),"AZ")</f>
        <v>AZ</v>
      </c>
      <c r="R2203" s="5" t="str">
        <f ca="1">IFERROR(__xludf.DUMMYFUNCTION("""COMPUTED_VALUE"""),"High")</f>
        <v>High</v>
      </c>
      <c r="S2203" s="5" t="str">
        <f ca="1">IFERROR(__xludf.DUMMYFUNCTION("""COMPUTED_VALUE"""),"Outside on School Property")</f>
        <v>Outside on School Property</v>
      </c>
      <c r="T2203" s="5" t="str">
        <f ca="1">IFERROR(__xludf.DUMMYFUNCTION("""COMPUTED_VALUE"""),"Outside on School Property")</f>
        <v>Outside on School Property</v>
      </c>
      <c r="U2203" s="5" t="str">
        <f ca="1">IFERROR(__xludf.DUMMYFUNCTION("""COMPUTED_VALUE"""),"No")</f>
        <v>No</v>
      </c>
      <c r="V2203" s="5" t="str">
        <f ca="1">IFERROR(__xludf.DUMMYFUNCTION("""COMPUTED_VALUE"""),"Before School")</f>
        <v>Before School</v>
      </c>
      <c r="W2203" s="5"/>
      <c r="X2203" s="5">
        <f ca="1">IFERROR(__xludf.DUMMYFUNCTION("""COMPUTED_VALUE"""),1)</f>
        <v>1</v>
      </c>
      <c r="Y2203" s="5" t="str">
        <f ca="1">IFERROR(__xludf.DUMMYFUNCTION("""COMPUTED_VALUE"""),"Multiple shots fired striking school, vehicle, and security guard")</f>
        <v>Multiple shots fired striking school, vehicle, and security guard</v>
      </c>
      <c r="Z2203" s="5" t="str">
        <f ca="1">IFERROR(__xludf.DUMMYFUNCTION("""COMPUTED_VALUE"""),"Shots were fired by unknown person striking school building, security guards car, and security guard in the head.")</f>
        <v>Shots were fired by unknown person striking school building, security guards car, and security guard in the head.</v>
      </c>
      <c r="AA2203" s="5" t="str">
        <f ca="1">IFERROR(__xludf.DUMMYFUNCTION("""COMPUTED_VALUE"""),"Indiscriminate Shooting")</f>
        <v>Indiscriminate Shooting</v>
      </c>
      <c r="AB2203" s="5"/>
      <c r="AC2203" s="5" t="str">
        <f ca="1">IFERROR(__xludf.DUMMYFUNCTION("""COMPUTED_VALUE"""),"No")</f>
        <v>No</v>
      </c>
      <c r="AD2203" s="5" t="str">
        <f ca="1">IFERROR(__xludf.DUMMYFUNCTION("""COMPUTED_VALUE"""),"No")</f>
        <v>No</v>
      </c>
      <c r="AE2203" s="5" t="str">
        <f ca="1">IFERROR(__xludf.DUMMYFUNCTION("""COMPUTED_VALUE"""),"No")</f>
        <v>No</v>
      </c>
      <c r="AF2203" s="5" t="str">
        <f ca="1">IFERROR(__xludf.DUMMYFUNCTION("""COMPUTED_VALUE"""),"No")</f>
        <v>No</v>
      </c>
      <c r="AG2203" s="5" t="str">
        <f ca="1">IFERROR(__xludf.DUMMYFUNCTION("""COMPUTED_VALUE"""),"No")</f>
        <v>No</v>
      </c>
      <c r="AH2203" s="5" t="str">
        <f ca="1">IFERROR(__xludf.DUMMYFUNCTION("""COMPUTED_VALUE"""),"No")</f>
        <v>No</v>
      </c>
      <c r="AI2203" s="5" t="str">
        <f ca="1">IFERROR(__xludf.DUMMYFUNCTION("""COMPUTED_VALUE"""),"No")</f>
        <v>No</v>
      </c>
      <c r="AJ2203" s="5"/>
    </row>
    <row r="2204" spans="1:36" ht="13">
      <c r="A2204" s="5" t="str">
        <f ca="1">IFERROR(__xludf.DUMMYFUNCTION("""COMPUTED_VALUE"""),"19751218CAORS")</f>
        <v>19751218CAORS</v>
      </c>
      <c r="B2204" s="5">
        <f ca="1">IFERROR(__xludf.DUMMYFUNCTION("""COMPUTED_VALUE"""),12)</f>
        <v>12</v>
      </c>
      <c r="C2204" s="5">
        <f ca="1">IFERROR(__xludf.DUMMYFUNCTION("""COMPUTED_VALUE"""),18)</f>
        <v>18</v>
      </c>
      <c r="D2204" s="5">
        <f ca="1">IFERROR(__xludf.DUMMYFUNCTION("""COMPUTED_VALUE"""),1975)</f>
        <v>1975</v>
      </c>
      <c r="E2204" s="8">
        <f ca="1">IFERROR(__xludf.DUMMYFUNCTION("""COMPUTED_VALUE"""),27746)</f>
        <v>27746</v>
      </c>
      <c r="F2204" s="5" t="str">
        <f ca="1">IFERROR(__xludf.DUMMYFUNCTION("""COMPUTED_VALUE"""),"Orange High School")</f>
        <v>Orange High School</v>
      </c>
      <c r="G2204" s="5">
        <f ca="1">IFERROR(__xludf.DUMMYFUNCTION("""COMPUTED_VALUE"""),0)</f>
        <v>0</v>
      </c>
      <c r="H2204" s="5">
        <f ca="1">IFERROR(__xludf.DUMMYFUNCTION("""COMPUTED_VALUE"""),1)</f>
        <v>1</v>
      </c>
      <c r="I2204" s="5">
        <f ca="1">IFERROR(__xludf.DUMMYFUNCTION("""COMPUTED_VALUE"""),1)</f>
        <v>1</v>
      </c>
      <c r="J2204" s="5">
        <f ca="1">IFERROR(__xludf.DUMMYFUNCTION("""COMPUTED_VALUE"""),0)</f>
        <v>0</v>
      </c>
      <c r="K2204" s="9" t="str">
        <f ca="1">IFERROR(__xludf.DUMMYFUNCTION("""COMPUTED_VALUE"""),"https://www.newspapers.com/image/86248524/?terms=school%2Bshooting")</f>
        <v>https://www.newspapers.com/image/86248524/?terms=school%2Bshooting</v>
      </c>
      <c r="L2204" s="5"/>
      <c r="M2204" s="5"/>
      <c r="N2204" s="5">
        <f ca="1">IFERROR(__xludf.DUMMYFUNCTION("""COMPUTED_VALUE"""),2)</f>
        <v>2</v>
      </c>
      <c r="O2204" s="5" t="str">
        <f ca="1">IFERROR(__xludf.DUMMYFUNCTION("""COMPUTED_VALUE"""),"Winter")</f>
        <v>Winter</v>
      </c>
      <c r="P2204" s="5" t="str">
        <f ca="1">IFERROR(__xludf.DUMMYFUNCTION("""COMPUTED_VALUE"""),"Santa Ana")</f>
        <v>Santa Ana</v>
      </c>
      <c r="Q2204" s="5" t="str">
        <f ca="1">IFERROR(__xludf.DUMMYFUNCTION("""COMPUTED_VALUE"""),"CA")</f>
        <v>CA</v>
      </c>
      <c r="R2204" s="5" t="str">
        <f ca="1">IFERROR(__xludf.DUMMYFUNCTION("""COMPUTED_VALUE"""),"High")</f>
        <v>High</v>
      </c>
      <c r="S2204" s="5" t="str">
        <f ca="1">IFERROR(__xludf.DUMMYFUNCTION("""COMPUTED_VALUE"""),"Beside Building")</f>
        <v>Beside Building</v>
      </c>
      <c r="T2204" s="5" t="str">
        <f ca="1">IFERROR(__xludf.DUMMYFUNCTION("""COMPUTED_VALUE"""),"Outside on School Property")</f>
        <v>Outside on School Property</v>
      </c>
      <c r="U2204" s="5" t="str">
        <f ca="1">IFERROR(__xludf.DUMMYFUNCTION("""COMPUTED_VALUE"""),"Yes")</f>
        <v>Yes</v>
      </c>
      <c r="V2204" s="5" t="str">
        <f ca="1">IFERROR(__xludf.DUMMYFUNCTION("""COMPUTED_VALUE"""),"Lunch")</f>
        <v>Lunch</v>
      </c>
      <c r="W2204" s="10">
        <f ca="1">IFERROR(__xludf.DUMMYFUNCTION("""COMPUTED_VALUE"""),0.5)</f>
        <v>0.5</v>
      </c>
      <c r="X2204" s="5">
        <f ca="1">IFERROR(__xludf.DUMMYFUNCTION("""COMPUTED_VALUE"""),1)</f>
        <v>1</v>
      </c>
      <c r="Y2204" s="5" t="str">
        <f ca="1">IFERROR(__xludf.DUMMYFUNCTION("""COMPUTED_VALUE"""),"Argument over the gun used in the shooting")</f>
        <v>Argument over the gun used in the shooting</v>
      </c>
      <c r="Z2204" s="5" t="str">
        <f ca="1">IFERROR(__xludf.DUMMYFUNCTION("""COMPUTED_VALUE"""),"16 year-old student (shooter) and 18 year-old male victim argued over a gun outside of the school. Shooter fired one striking victim in the hand.")</f>
        <v>16 year-old student (shooter) and 18 year-old male victim argued over a gun outside of the school. Shooter fired one striking victim in the hand.</v>
      </c>
      <c r="AA2204" s="5" t="str">
        <f ca="1">IFERROR(__xludf.DUMMYFUNCTION("""COMPUTED_VALUE"""),"Escalation of Dispute")</f>
        <v>Escalation of Dispute</v>
      </c>
      <c r="AB2204" s="5" t="str">
        <f ca="1">IFERROR(__xludf.DUMMYFUNCTION("""COMPUTED_VALUE"""),"Victims Targeted")</f>
        <v>Victims Targeted</v>
      </c>
      <c r="AC2204" s="5" t="str">
        <f ca="1">IFERROR(__xludf.DUMMYFUNCTION("""COMPUTED_VALUE"""),"No")</f>
        <v>No</v>
      </c>
      <c r="AD2204" s="5" t="str">
        <f ca="1">IFERROR(__xludf.DUMMYFUNCTION("""COMPUTED_VALUE"""),"No")</f>
        <v>No</v>
      </c>
      <c r="AE2204" s="5" t="str">
        <f ca="1">IFERROR(__xludf.DUMMYFUNCTION("""COMPUTED_VALUE"""),"No")</f>
        <v>No</v>
      </c>
      <c r="AF2204" s="5" t="str">
        <f ca="1">IFERROR(__xludf.DUMMYFUNCTION("""COMPUTED_VALUE"""),"No")</f>
        <v>No</v>
      </c>
      <c r="AG2204" s="5" t="str">
        <f ca="1">IFERROR(__xludf.DUMMYFUNCTION("""COMPUTED_VALUE"""),"No")</f>
        <v>No</v>
      </c>
      <c r="AH2204" s="5" t="str">
        <f ca="1">IFERROR(__xludf.DUMMYFUNCTION("""COMPUTED_VALUE"""),"No")</f>
        <v>No</v>
      </c>
      <c r="AI2204" s="5" t="str">
        <f ca="1">IFERROR(__xludf.DUMMYFUNCTION("""COMPUTED_VALUE"""),"No")</f>
        <v>No</v>
      </c>
      <c r="AJ2204" s="5"/>
    </row>
    <row r="2205" spans="1:36" ht="13">
      <c r="A2205" s="5" t="str">
        <f ca="1">IFERROR(__xludf.DUMMYFUNCTION("""COMPUTED_VALUE"""),"19751024GAMUA")</f>
        <v>19751024GAMUA</v>
      </c>
      <c r="B2205" s="5">
        <f ca="1">IFERROR(__xludf.DUMMYFUNCTION("""COMPUTED_VALUE"""),10)</f>
        <v>10</v>
      </c>
      <c r="C2205" s="5">
        <f ca="1">IFERROR(__xludf.DUMMYFUNCTION("""COMPUTED_VALUE"""),24)</f>
        <v>24</v>
      </c>
      <c r="D2205" s="5">
        <f ca="1">IFERROR(__xludf.DUMMYFUNCTION("""COMPUTED_VALUE"""),1975)</f>
        <v>1975</v>
      </c>
      <c r="E2205" s="8">
        <f ca="1">IFERROR(__xludf.DUMMYFUNCTION("""COMPUTED_VALUE"""),27691)</f>
        <v>27691</v>
      </c>
      <c r="F2205" s="5" t="str">
        <f ca="1">IFERROR(__xludf.DUMMYFUNCTION("""COMPUTED_VALUE"""),"Murphy High School")</f>
        <v>Murphy High School</v>
      </c>
      <c r="G2205" s="5">
        <f ca="1">IFERROR(__xludf.DUMMYFUNCTION("""COMPUTED_VALUE"""),0)</f>
        <v>0</v>
      </c>
      <c r="H2205" s="5">
        <f ca="1">IFERROR(__xludf.DUMMYFUNCTION("""COMPUTED_VALUE"""),1)</f>
        <v>1</v>
      </c>
      <c r="I2205" s="5">
        <f ca="1">IFERROR(__xludf.DUMMYFUNCTION("""COMPUTED_VALUE"""),1)</f>
        <v>1</v>
      </c>
      <c r="J2205" s="5">
        <f ca="1">IFERROR(__xludf.DUMMYFUNCTION("""COMPUTED_VALUE"""),0)</f>
        <v>0</v>
      </c>
      <c r="K2205" s="9" t="str">
        <f ca="1">IFERROR(__xludf.DUMMYFUNCTION("""COMPUTED_VALUE"""),"https://www.newspapers.com/image/398982633/")</f>
        <v>https://www.newspapers.com/image/398982633/</v>
      </c>
      <c r="L2205" s="5"/>
      <c r="M2205" s="5"/>
      <c r="N2205" s="5">
        <f ca="1">IFERROR(__xludf.DUMMYFUNCTION("""COMPUTED_VALUE"""),2)</f>
        <v>2</v>
      </c>
      <c r="O2205" s="5" t="str">
        <f ca="1">IFERROR(__xludf.DUMMYFUNCTION("""COMPUTED_VALUE"""),"Fall")</f>
        <v>Fall</v>
      </c>
      <c r="P2205" s="5" t="str">
        <f ca="1">IFERROR(__xludf.DUMMYFUNCTION("""COMPUTED_VALUE"""),"Atlanta")</f>
        <v>Atlanta</v>
      </c>
      <c r="Q2205" s="5" t="str">
        <f ca="1">IFERROR(__xludf.DUMMYFUNCTION("""COMPUTED_VALUE"""),"GA")</f>
        <v>GA</v>
      </c>
      <c r="R2205" s="5" t="str">
        <f ca="1">IFERROR(__xludf.DUMMYFUNCTION("""COMPUTED_VALUE"""),"High")</f>
        <v>High</v>
      </c>
      <c r="S2205" s="5" t="str">
        <f ca="1">IFERROR(__xludf.DUMMYFUNCTION("""COMPUTED_VALUE"""),"Office")</f>
        <v>Office</v>
      </c>
      <c r="T2205" s="5" t="str">
        <f ca="1">IFERROR(__xludf.DUMMYFUNCTION("""COMPUTED_VALUE"""),"Inside School Building")</f>
        <v>Inside School Building</v>
      </c>
      <c r="U2205" s="5" t="str">
        <f ca="1">IFERROR(__xludf.DUMMYFUNCTION("""COMPUTED_VALUE"""),"Yes")</f>
        <v>Yes</v>
      </c>
      <c r="V2205" s="5" t="str">
        <f ca="1">IFERROR(__xludf.DUMMYFUNCTION("""COMPUTED_VALUE"""),"Morning Classes")</f>
        <v>Morning Classes</v>
      </c>
      <c r="W2205" s="5"/>
      <c r="X2205" s="5">
        <f ca="1">IFERROR(__xludf.DUMMYFUNCTION("""COMPUTED_VALUE"""),1)</f>
        <v>1</v>
      </c>
      <c r="Y2205" s="5" t="str">
        <f ca="1">IFERROR(__xludf.DUMMYFUNCTION("""COMPUTED_VALUE"""),"Suspect shot assistant principal after being paddled")</f>
        <v>Suspect shot assistant principal after being paddled</v>
      </c>
      <c r="Z2205" s="5" t="str">
        <f ca="1">IFERROR(__xludf.DUMMYFUNCTION("""COMPUTED_VALUE"""),"15 year-old male student shot assistant principal after being paddled. Told principal ""you aren't going to whip me again"" and then ran from the school. Gun used was stolen during burglary in 10/1973.")</f>
        <v>15 year-old male student shot assistant principal after being paddled. Told principal "you aren't going to whip me again" and then ran from the school. Gun used was stolen during burglary in 10/1973.</v>
      </c>
      <c r="AA2205" s="5" t="str">
        <f ca="1">IFERROR(__xludf.DUMMYFUNCTION("""COMPUTED_VALUE"""),"Anger Over Grade/Suspension/Discipline")</f>
        <v>Anger Over Grade/Suspension/Discipline</v>
      </c>
      <c r="AB2205" s="5" t="str">
        <f ca="1">IFERROR(__xludf.DUMMYFUNCTION("""COMPUTED_VALUE"""),"Victims Targeted")</f>
        <v>Victims Targeted</v>
      </c>
      <c r="AC2205" s="5" t="str">
        <f ca="1">IFERROR(__xludf.DUMMYFUNCTION("""COMPUTED_VALUE"""),"No")</f>
        <v>No</v>
      </c>
      <c r="AD2205" s="5" t="str">
        <f ca="1">IFERROR(__xludf.DUMMYFUNCTION("""COMPUTED_VALUE"""),"No")</f>
        <v>No</v>
      </c>
      <c r="AE2205" s="5" t="str">
        <f ca="1">IFERROR(__xludf.DUMMYFUNCTION("""COMPUTED_VALUE"""),"No")</f>
        <v>No</v>
      </c>
      <c r="AF2205" s="5" t="str">
        <f ca="1">IFERROR(__xludf.DUMMYFUNCTION("""COMPUTED_VALUE"""),"No")</f>
        <v>No</v>
      </c>
      <c r="AG2205" s="5" t="str">
        <f ca="1">IFERROR(__xludf.DUMMYFUNCTION("""COMPUTED_VALUE"""),"No")</f>
        <v>No</v>
      </c>
      <c r="AH2205" s="5" t="str">
        <f ca="1">IFERROR(__xludf.DUMMYFUNCTION("""COMPUTED_VALUE"""),"No")</f>
        <v>No</v>
      </c>
      <c r="AI2205" s="5" t="str">
        <f ca="1">IFERROR(__xludf.DUMMYFUNCTION("""COMPUTED_VALUE"""),"No")</f>
        <v>No</v>
      </c>
      <c r="AJ2205" s="5"/>
    </row>
    <row r="2206" spans="1:36" ht="13">
      <c r="A2206" s="5" t="str">
        <f ca="1">IFERROR(__xludf.DUMMYFUNCTION("""COMPUTED_VALUE"""),"19751001NMHEA")</f>
        <v>19751001NMHEA</v>
      </c>
      <c r="B2206" s="5">
        <f ca="1">IFERROR(__xludf.DUMMYFUNCTION("""COMPUTED_VALUE"""),10)</f>
        <v>10</v>
      </c>
      <c r="C2206" s="5">
        <f ca="1">IFERROR(__xludf.DUMMYFUNCTION("""COMPUTED_VALUE"""),1)</f>
        <v>1</v>
      </c>
      <c r="D2206" s="5">
        <f ca="1">IFERROR(__xludf.DUMMYFUNCTION("""COMPUTED_VALUE"""),1975)</f>
        <v>1975</v>
      </c>
      <c r="E2206" s="8">
        <f ca="1">IFERROR(__xludf.DUMMYFUNCTION("""COMPUTED_VALUE"""),27668)</f>
        <v>27668</v>
      </c>
      <c r="F2206" s="5" t="str">
        <f ca="1">IFERROR(__xludf.DUMMYFUNCTION("""COMPUTED_VALUE"""),"Hermosa Elementary School")</f>
        <v>Hermosa Elementary School</v>
      </c>
      <c r="G2206" s="5">
        <f ca="1">IFERROR(__xludf.DUMMYFUNCTION("""COMPUTED_VALUE"""),1)</f>
        <v>1</v>
      </c>
      <c r="H2206" s="5">
        <f ca="1">IFERROR(__xludf.DUMMYFUNCTION("""COMPUTED_VALUE"""),0)</f>
        <v>0</v>
      </c>
      <c r="I2206" s="5">
        <f ca="1">IFERROR(__xludf.DUMMYFUNCTION("""COMPUTED_VALUE"""),1)</f>
        <v>1</v>
      </c>
      <c r="J2206" s="5">
        <f ca="1">IFERROR(__xludf.DUMMYFUNCTION("""COMPUTED_VALUE"""),0)</f>
        <v>0</v>
      </c>
      <c r="K2206" s="5" t="str">
        <f ca="1">IFERROR(__xludf.DUMMYFUNCTION("""COMPUTED_VALUE"""),"https://www.newspapers.com/image/157423501/?terms=TEACHER%2BSHOT;  https://www.newspapers.com/image/84275175/?terms=HERMOSA%2BELEMENTARY%2BSHOOTING")</f>
        <v>https://www.newspapers.com/image/157423501/?terms=TEACHER%2BSHOT;  https://www.newspapers.com/image/84275175/?terms=HERMOSA%2BELEMENTARY%2BSHOOTING</v>
      </c>
      <c r="L2206" s="5"/>
      <c r="M2206" s="5"/>
      <c r="N2206" s="5">
        <f ca="1">IFERROR(__xludf.DUMMYFUNCTION("""COMPUTED_VALUE"""),3)</f>
        <v>3</v>
      </c>
      <c r="O2206" s="5" t="str">
        <f ca="1">IFERROR(__xludf.DUMMYFUNCTION("""COMPUTED_VALUE"""),"Fall")</f>
        <v>Fall</v>
      </c>
      <c r="P2206" s="5" t="str">
        <f ca="1">IFERROR(__xludf.DUMMYFUNCTION("""COMPUTED_VALUE"""),"Artesia")</f>
        <v>Artesia</v>
      </c>
      <c r="Q2206" s="5" t="str">
        <f ca="1">IFERROR(__xludf.DUMMYFUNCTION("""COMPUTED_VALUE"""),"NM")</f>
        <v>NM</v>
      </c>
      <c r="R2206" s="5" t="str">
        <f ca="1">IFERROR(__xludf.DUMMYFUNCTION("""COMPUTED_VALUE"""),"Elementary")</f>
        <v>Elementary</v>
      </c>
      <c r="S2206" s="5" t="str">
        <f ca="1">IFERROR(__xludf.DUMMYFUNCTION("""COMPUTED_VALUE"""),"Classroom")</f>
        <v>Classroom</v>
      </c>
      <c r="T2206" s="5" t="str">
        <f ca="1">IFERROR(__xludf.DUMMYFUNCTION("""COMPUTED_VALUE"""),"Inside School Building")</f>
        <v>Inside School Building</v>
      </c>
      <c r="U2206" s="5" t="str">
        <f ca="1">IFERROR(__xludf.DUMMYFUNCTION("""COMPUTED_VALUE"""),"Yes")</f>
        <v>Yes</v>
      </c>
      <c r="V2206" s="5" t="str">
        <f ca="1">IFERROR(__xludf.DUMMYFUNCTION("""COMPUTED_VALUE"""),"Before School")</f>
        <v>Before School</v>
      </c>
      <c r="W2206" s="10">
        <f ca="1">IFERROR(__xludf.DUMMYFUNCTION("""COMPUTED_VALUE"""),0.333333333333333)</f>
        <v>0.33333333333333298</v>
      </c>
      <c r="X2206" s="5"/>
      <c r="Y2206" s="5" t="str">
        <f ca="1">IFERROR(__xludf.DUMMYFUNCTION("""COMPUTED_VALUE"""),"Adult shooter arrived at school and shot teacher to death")</f>
        <v>Adult shooter arrived at school and shot teacher to death</v>
      </c>
      <c r="Z2206" s="5" t="str">
        <f ca="1">IFERROR(__xludf.DUMMYFUNCTION("""COMPUTED_VALUE"""),"33 year-old shooter killed teacher in classroom then turned himself into police. Pleaded not guilty to shooting. Limited information available.")</f>
        <v>33 year-old shooter killed teacher in classroom then turned himself into police. Pleaded not guilty to shooting. Limited information available.</v>
      </c>
      <c r="AA2206" s="5" t="str">
        <f ca="1">IFERROR(__xludf.DUMMYFUNCTION("""COMPUTED_VALUE"""),"Anger Over Grade/Suspension/Discipline")</f>
        <v>Anger Over Grade/Suspension/Discipline</v>
      </c>
      <c r="AB2206" s="5" t="str">
        <f ca="1">IFERROR(__xludf.DUMMYFUNCTION("""COMPUTED_VALUE"""),"Victims Targeted")</f>
        <v>Victims Targeted</v>
      </c>
      <c r="AC2206" s="5"/>
      <c r="AD2206" s="5" t="str">
        <f ca="1">IFERROR(__xludf.DUMMYFUNCTION("""COMPUTED_VALUE"""),"No")</f>
        <v>No</v>
      </c>
      <c r="AE2206" s="5" t="str">
        <f ca="1">IFERROR(__xludf.DUMMYFUNCTION("""COMPUTED_VALUE"""),"No")</f>
        <v>No</v>
      </c>
      <c r="AF2206" s="5" t="str">
        <f ca="1">IFERROR(__xludf.DUMMYFUNCTION("""COMPUTED_VALUE"""),"No")</f>
        <v>No</v>
      </c>
      <c r="AG2206" s="5" t="str">
        <f ca="1">IFERROR(__xludf.DUMMYFUNCTION("""COMPUTED_VALUE"""),"No")</f>
        <v>No</v>
      </c>
      <c r="AH2206" s="5" t="str">
        <f ca="1">IFERROR(__xludf.DUMMYFUNCTION("""COMPUTED_VALUE"""),"No")</f>
        <v>No</v>
      </c>
      <c r="AI2206" s="5" t="str">
        <f ca="1">IFERROR(__xludf.DUMMYFUNCTION("""COMPUTED_VALUE"""),"No")</f>
        <v>No</v>
      </c>
      <c r="AJ2206" s="5"/>
    </row>
    <row r="2207" spans="1:36" ht="13">
      <c r="A2207" s="5" t="str">
        <f ca="1">IFERROR(__xludf.DUMMYFUNCTION("""COMPUTED_VALUE"""),"19750911OKGRO")</f>
        <v>19750911OKGRO</v>
      </c>
      <c r="B2207" s="5">
        <f ca="1">IFERROR(__xludf.DUMMYFUNCTION("""COMPUTED_VALUE"""),9)</f>
        <v>9</v>
      </c>
      <c r="C2207" s="5">
        <f ca="1">IFERROR(__xludf.DUMMYFUNCTION("""COMPUTED_VALUE"""),11)</f>
        <v>11</v>
      </c>
      <c r="D2207" s="5">
        <f ca="1">IFERROR(__xludf.DUMMYFUNCTION("""COMPUTED_VALUE"""),1975)</f>
        <v>1975</v>
      </c>
      <c r="E2207" s="8">
        <f ca="1">IFERROR(__xludf.DUMMYFUNCTION("""COMPUTED_VALUE"""),27648)</f>
        <v>27648</v>
      </c>
      <c r="F2207" s="5" t="str">
        <f ca="1">IFERROR(__xludf.DUMMYFUNCTION("""COMPUTED_VALUE"""),"Grant High School")</f>
        <v>Grant High School</v>
      </c>
      <c r="G2207" s="5">
        <f ca="1">IFERROR(__xludf.DUMMYFUNCTION("""COMPUTED_VALUE"""),1)</f>
        <v>1</v>
      </c>
      <c r="H2207" s="5">
        <f ca="1">IFERROR(__xludf.DUMMYFUNCTION("""COMPUTED_VALUE"""),2)</f>
        <v>2</v>
      </c>
      <c r="I2207" s="5">
        <f ca="1">IFERROR(__xludf.DUMMYFUNCTION("""COMPUTED_VALUE"""),3)</f>
        <v>3</v>
      </c>
      <c r="J2207" s="5">
        <f ca="1">IFERROR(__xludf.DUMMYFUNCTION("""COMPUTED_VALUE"""),0)</f>
        <v>0</v>
      </c>
      <c r="K2207" s="5" t="str">
        <f ca="1">IFERROR(__xludf.DUMMYFUNCTION("""COMPUTED_VALUE"""),"https://law.justia.com/cases/oklahoma/supreme-court/1980/4746-1.html; https://news.google.com/newspapers?id=pFVOAAAAIBAJ&amp;pg=3249,2241230 https://www.nytimes.com/1975/09/20/archives/first-federal-arrest-is-made-in-school-busing-strife-in-boston.html")</f>
        <v>https://law.justia.com/cases/oklahoma/supreme-court/1980/4746-1.html; https://news.google.com/newspapers?id=pFVOAAAAIBAJ&amp;pg=3249,2241230 https://www.nytimes.com/1975/09/20/archives/first-federal-arrest-is-made-in-school-busing-strife-in-boston.html</v>
      </c>
      <c r="L2207" s="5"/>
      <c r="M2207" s="5"/>
      <c r="N2207" s="5">
        <f ca="1">IFERROR(__xludf.DUMMYFUNCTION("""COMPUTED_VALUE"""),5)</f>
        <v>5</v>
      </c>
      <c r="O2207" s="5" t="str">
        <f ca="1">IFERROR(__xludf.DUMMYFUNCTION("""COMPUTED_VALUE"""),"Fall")</f>
        <v>Fall</v>
      </c>
      <c r="P2207" s="5" t="str">
        <f ca="1">IFERROR(__xludf.DUMMYFUNCTION("""COMPUTED_VALUE"""),"Oklahoma City")</f>
        <v>Oklahoma City</v>
      </c>
      <c r="Q2207" s="5" t="str">
        <f ca="1">IFERROR(__xludf.DUMMYFUNCTION("""COMPUTED_VALUE"""),"OK")</f>
        <v>OK</v>
      </c>
      <c r="R2207" s="5" t="str">
        <f ca="1">IFERROR(__xludf.DUMMYFUNCTION("""COMPUTED_VALUE"""),"High")</f>
        <v>High</v>
      </c>
      <c r="S2207" s="5" t="str">
        <f ca="1">IFERROR(__xludf.DUMMYFUNCTION("""COMPUTED_VALUE"""),"Inside School Building")</f>
        <v>Inside School Building</v>
      </c>
      <c r="T2207" s="5" t="str">
        <f ca="1">IFERROR(__xludf.DUMMYFUNCTION("""COMPUTED_VALUE"""),"Inside School Building")</f>
        <v>Inside School Building</v>
      </c>
      <c r="U2207" s="5" t="str">
        <f ca="1">IFERROR(__xludf.DUMMYFUNCTION("""COMPUTED_VALUE"""),"Yes")</f>
        <v>Yes</v>
      </c>
      <c r="V2207" s="5"/>
      <c r="W2207" s="5"/>
      <c r="X2207" s="5"/>
      <c r="Y2207" s="5" t="str">
        <f ca="1">IFERROR(__xludf.DUMMYFUNCTION("""COMPUTED_VALUE"""),"Alleged result of growing tension between a group of black students and a group of white students.")</f>
        <v>Alleged result of growing tension between a group of black students and a group of white students.</v>
      </c>
      <c r="Z2207" s="5" t="str">
        <f ca="1">IFERROR(__xludf.DUMMYFUNCTION("""COMPUTED_VALUE"""),"Alleged result of growing tension between a group of black students and a group of white students. Victims were a 15 year-old male (Randy Trinity, shot in the head, died later) and 4 other victims wounded.")</f>
        <v>Alleged result of growing tension between a group of black students and a group of white students. Victims were a 15 year-old male (Randy Trinity, shot in the head, died later) and 4 other victims wounded.</v>
      </c>
      <c r="AA2207" s="5" t="str">
        <f ca="1">IFERROR(__xludf.DUMMYFUNCTION("""COMPUTED_VALUE"""),"Racial")</f>
        <v>Racial</v>
      </c>
      <c r="AB2207" s="5" t="str">
        <f ca="1">IFERROR(__xludf.DUMMYFUNCTION("""COMPUTED_VALUE"""),"Both")</f>
        <v>Both</v>
      </c>
      <c r="AC2207" s="5" t="str">
        <f ca="1">IFERROR(__xludf.DUMMYFUNCTION("""COMPUTED_VALUE"""),"No")</f>
        <v>No</v>
      </c>
      <c r="AD2207" s="5" t="str">
        <f ca="1">IFERROR(__xludf.DUMMYFUNCTION("""COMPUTED_VALUE"""),"No")</f>
        <v>No</v>
      </c>
      <c r="AE2207" s="5" t="str">
        <f ca="1">IFERROR(__xludf.DUMMYFUNCTION("""COMPUTED_VALUE"""),"No")</f>
        <v>No</v>
      </c>
      <c r="AF2207" s="5" t="str">
        <f ca="1">IFERROR(__xludf.DUMMYFUNCTION("""COMPUTED_VALUE"""),"No")</f>
        <v>No</v>
      </c>
      <c r="AG2207" s="5" t="str">
        <f ca="1">IFERROR(__xludf.DUMMYFUNCTION("""COMPUTED_VALUE"""),"No")</f>
        <v>No</v>
      </c>
      <c r="AH2207" s="5" t="str">
        <f ca="1">IFERROR(__xludf.DUMMYFUNCTION("""COMPUTED_VALUE"""),"No")</f>
        <v>No</v>
      </c>
      <c r="AI2207" s="5" t="str">
        <f ca="1">IFERROR(__xludf.DUMMYFUNCTION("""COMPUTED_VALUE"""),"No")</f>
        <v>No</v>
      </c>
      <c r="AJ2207" s="5"/>
    </row>
    <row r="2208" spans="1:36" ht="13">
      <c r="A2208" s="5" t="str">
        <f ca="1">IFERROR(__xludf.DUMMYFUNCTION("""COMPUTED_VALUE"""),"19750711MOCES")</f>
        <v>19750711MOCES</v>
      </c>
      <c r="B2208" s="5">
        <f ca="1">IFERROR(__xludf.DUMMYFUNCTION("""COMPUTED_VALUE"""),7)</f>
        <v>7</v>
      </c>
      <c r="C2208" s="5">
        <f ca="1">IFERROR(__xludf.DUMMYFUNCTION("""COMPUTED_VALUE"""),11)</f>
        <v>11</v>
      </c>
      <c r="D2208" s="5">
        <f ca="1">IFERROR(__xludf.DUMMYFUNCTION("""COMPUTED_VALUE"""),1975)</f>
        <v>1975</v>
      </c>
      <c r="E2208" s="8">
        <f ca="1">IFERROR(__xludf.DUMMYFUNCTION("""COMPUTED_VALUE"""),27586)</f>
        <v>27586</v>
      </c>
      <c r="F2208" s="5" t="str">
        <f ca="1">IFERROR(__xludf.DUMMYFUNCTION("""COMPUTED_VALUE"""),"Central High School")</f>
        <v>Central High School</v>
      </c>
      <c r="G2208" s="5">
        <f ca="1">IFERROR(__xludf.DUMMYFUNCTION("""COMPUTED_VALUE"""),0)</f>
        <v>0</v>
      </c>
      <c r="H2208" s="5">
        <f ca="1">IFERROR(__xludf.DUMMYFUNCTION("""COMPUTED_VALUE"""),2)</f>
        <v>2</v>
      </c>
      <c r="I2208" s="5">
        <f ca="1">IFERROR(__xludf.DUMMYFUNCTION("""COMPUTED_VALUE"""),2)</f>
        <v>2</v>
      </c>
      <c r="J2208" s="5">
        <f ca="1">IFERROR(__xludf.DUMMYFUNCTION("""COMPUTED_VALUE"""),0)</f>
        <v>0</v>
      </c>
      <c r="K2208" s="9" t="str">
        <f ca="1">IFERROR(__xludf.DUMMYFUNCTION("""COMPUTED_VALUE"""),"https://www.newspapers.com/image/140719112/?terms=school%2Bshooting")</f>
        <v>https://www.newspapers.com/image/140719112/?terms=school%2Bshooting</v>
      </c>
      <c r="L2208" s="5"/>
      <c r="M2208" s="5"/>
      <c r="N2208" s="5">
        <f ca="1">IFERROR(__xludf.DUMMYFUNCTION("""COMPUTED_VALUE"""),2)</f>
        <v>2</v>
      </c>
      <c r="O2208" s="5" t="str">
        <f ca="1">IFERROR(__xludf.DUMMYFUNCTION("""COMPUTED_VALUE"""),"Summer")</f>
        <v>Summer</v>
      </c>
      <c r="P2208" s="5" t="str">
        <f ca="1">IFERROR(__xludf.DUMMYFUNCTION("""COMPUTED_VALUE"""),"St. Louis")</f>
        <v>St. Louis</v>
      </c>
      <c r="Q2208" s="5" t="str">
        <f ca="1">IFERROR(__xludf.DUMMYFUNCTION("""COMPUTED_VALUE"""),"MO")</f>
        <v>MO</v>
      </c>
      <c r="R2208" s="5" t="str">
        <f ca="1">IFERROR(__xludf.DUMMYFUNCTION("""COMPUTED_VALUE"""),"High")</f>
        <v>High</v>
      </c>
      <c r="S2208" s="5" t="str">
        <f ca="1">IFERROR(__xludf.DUMMYFUNCTION("""COMPUTED_VALUE"""),"School Bus")</f>
        <v>School Bus</v>
      </c>
      <c r="T2208" s="5" t="str">
        <f ca="1">IFERROR(__xludf.DUMMYFUNCTION("""COMPUTED_VALUE"""),"School Bus")</f>
        <v>School Bus</v>
      </c>
      <c r="U2208" s="5" t="str">
        <f ca="1">IFERROR(__xludf.DUMMYFUNCTION("""COMPUTED_VALUE"""),"Yes")</f>
        <v>Yes</v>
      </c>
      <c r="V2208" s="5" t="str">
        <f ca="1">IFERROR(__xludf.DUMMYFUNCTION("""COMPUTED_VALUE"""),"School Start")</f>
        <v>School Start</v>
      </c>
      <c r="W2208" s="10">
        <f ca="1">IFERROR(__xludf.DUMMYFUNCTION("""COMPUTED_VALUE"""),0.315972222222222)</f>
        <v>0.31597222222222199</v>
      </c>
      <c r="X2208" s="5">
        <f ca="1">IFERROR(__xludf.DUMMYFUNCTION("""COMPUTED_VALUE"""),1)</f>
        <v>1</v>
      </c>
      <c r="Y2208" s="5" t="str">
        <f ca="1">IFERROR(__xludf.DUMMYFUNCTION("""COMPUTED_VALUE"""),"Ongoing dispute over bus seats")</f>
        <v>Ongoing dispute over bus seats</v>
      </c>
      <c r="Z2208" s="5" t="str">
        <f ca="1">IFERROR(__xludf.DUMMYFUNCTION("""COMPUTED_VALUE"""),"Two brothers (one was shooter) had ongoing dispute with 2 girls over bus seats. During a dispute, one of the victims struck the shooter with a karate stick and knocked him down. The shooter pulled a gun and fired at both female victims.")</f>
        <v>Two brothers (one was shooter) had ongoing dispute with 2 girls over bus seats. During a dispute, one of the victims struck the shooter with a karate stick and knocked him down. The shooter pulled a gun and fired at both female victims.</v>
      </c>
      <c r="AA2208" s="5" t="str">
        <f ca="1">IFERROR(__xludf.DUMMYFUNCTION("""COMPUTED_VALUE"""),"Escalation of Dispute")</f>
        <v>Escalation of Dispute</v>
      </c>
      <c r="AB2208" s="5" t="str">
        <f ca="1">IFERROR(__xludf.DUMMYFUNCTION("""COMPUTED_VALUE"""),"Victims Targeted")</f>
        <v>Victims Targeted</v>
      </c>
      <c r="AC2208" s="5" t="str">
        <f ca="1">IFERROR(__xludf.DUMMYFUNCTION("""COMPUTED_VALUE"""),"Yes")</f>
        <v>Yes</v>
      </c>
      <c r="AD2208" s="5" t="str">
        <f ca="1">IFERROR(__xludf.DUMMYFUNCTION("""COMPUTED_VALUE"""),"No")</f>
        <v>No</v>
      </c>
      <c r="AE2208" s="5" t="str">
        <f ca="1">IFERROR(__xludf.DUMMYFUNCTION("""COMPUTED_VALUE"""),"No")</f>
        <v>No</v>
      </c>
      <c r="AF2208" s="5" t="str">
        <f ca="1">IFERROR(__xludf.DUMMYFUNCTION("""COMPUTED_VALUE"""),"No")</f>
        <v>No</v>
      </c>
      <c r="AG2208" s="5" t="str">
        <f ca="1">IFERROR(__xludf.DUMMYFUNCTION("""COMPUTED_VALUE"""),"No")</f>
        <v>No</v>
      </c>
      <c r="AH2208" s="5" t="str">
        <f ca="1">IFERROR(__xludf.DUMMYFUNCTION("""COMPUTED_VALUE"""),"No")</f>
        <v>No</v>
      </c>
      <c r="AI2208" s="5" t="str">
        <f ca="1">IFERROR(__xludf.DUMMYFUNCTION("""COMPUTED_VALUE"""),"No")</f>
        <v>No</v>
      </c>
      <c r="AJ2208" s="5"/>
    </row>
    <row r="2209" spans="1:36" ht="13">
      <c r="A2209" s="5" t="str">
        <f ca="1">IFERROR(__xludf.DUMMYFUNCTION("""COMPUTED_VALUE"""),"19750709ILDEC")</f>
        <v>19750709ILDEC</v>
      </c>
      <c r="B2209" s="5">
        <f ca="1">IFERROR(__xludf.DUMMYFUNCTION("""COMPUTED_VALUE"""),7)</f>
        <v>7</v>
      </c>
      <c r="C2209" s="5">
        <f ca="1">IFERROR(__xludf.DUMMYFUNCTION("""COMPUTED_VALUE"""),9)</f>
        <v>9</v>
      </c>
      <c r="D2209" s="5">
        <f ca="1">IFERROR(__xludf.DUMMYFUNCTION("""COMPUTED_VALUE"""),1975)</f>
        <v>1975</v>
      </c>
      <c r="E2209" s="8">
        <f ca="1">IFERROR(__xludf.DUMMYFUNCTION("""COMPUTED_VALUE"""),27584)</f>
        <v>27584</v>
      </c>
      <c r="F2209" s="5" t="str">
        <f ca="1">IFERROR(__xludf.DUMMYFUNCTION("""COMPUTED_VALUE"""),"Dett Elementary School")</f>
        <v>Dett Elementary School</v>
      </c>
      <c r="G2209" s="5">
        <f ca="1">IFERROR(__xludf.DUMMYFUNCTION("""COMPUTED_VALUE"""),0)</f>
        <v>0</v>
      </c>
      <c r="H2209" s="5">
        <f ca="1">IFERROR(__xludf.DUMMYFUNCTION("""COMPUTED_VALUE"""),1)</f>
        <v>1</v>
      </c>
      <c r="I2209" s="5">
        <f ca="1">IFERROR(__xludf.DUMMYFUNCTION("""COMPUTED_VALUE"""),1)</f>
        <v>1</v>
      </c>
      <c r="J2209" s="5">
        <f ca="1">IFERROR(__xludf.DUMMYFUNCTION("""COMPUTED_VALUE"""),0)</f>
        <v>0</v>
      </c>
      <c r="K2209" s="9" t="str">
        <f ca="1">IFERROR(__xludf.DUMMYFUNCTION("""COMPUTED_VALUE"""),"https://www.newspapers.com/image/382147136/?terms=teacher%2Bshot")</f>
        <v>https://www.newspapers.com/image/382147136/?terms=teacher%2Bshot</v>
      </c>
      <c r="L2209" s="5"/>
      <c r="M2209" s="5"/>
      <c r="N2209" s="5">
        <f ca="1">IFERROR(__xludf.DUMMYFUNCTION("""COMPUTED_VALUE"""),2)</f>
        <v>2</v>
      </c>
      <c r="O2209" s="5" t="str">
        <f ca="1">IFERROR(__xludf.DUMMYFUNCTION("""COMPUTED_VALUE"""),"Summer")</f>
        <v>Summer</v>
      </c>
      <c r="P2209" s="5" t="str">
        <f ca="1">IFERROR(__xludf.DUMMYFUNCTION("""COMPUTED_VALUE"""),"Chicago")</f>
        <v>Chicago</v>
      </c>
      <c r="Q2209" s="5" t="str">
        <f ca="1">IFERROR(__xludf.DUMMYFUNCTION("""COMPUTED_VALUE"""),"IL")</f>
        <v>IL</v>
      </c>
      <c r="R2209" s="5" t="str">
        <f ca="1">IFERROR(__xludf.DUMMYFUNCTION("""COMPUTED_VALUE"""),"Elementary")</f>
        <v>Elementary</v>
      </c>
      <c r="S2209" s="5" t="str">
        <f ca="1">IFERROR(__xludf.DUMMYFUNCTION("""COMPUTED_VALUE"""),"Beside Building")</f>
        <v>Beside Building</v>
      </c>
      <c r="T2209" s="5" t="str">
        <f ca="1">IFERROR(__xludf.DUMMYFUNCTION("""COMPUTED_VALUE"""),"Outside on School Property")</f>
        <v>Outside on School Property</v>
      </c>
      <c r="U2209" s="5" t="str">
        <f ca="1">IFERROR(__xludf.DUMMYFUNCTION("""COMPUTED_VALUE"""),"Yes")</f>
        <v>Yes</v>
      </c>
      <c r="V2209" s="5" t="str">
        <f ca="1">IFERROR(__xludf.DUMMYFUNCTION("""COMPUTED_VALUE"""),"Before School")</f>
        <v>Before School</v>
      </c>
      <c r="W2209" s="10">
        <f ca="1">IFERROR(__xludf.DUMMYFUNCTION("""COMPUTED_VALUE"""),0.34375)</f>
        <v>0.34375</v>
      </c>
      <c r="X2209" s="5">
        <f ca="1">IFERROR(__xludf.DUMMYFUNCTION("""COMPUTED_VALUE"""),1)</f>
        <v>1</v>
      </c>
      <c r="Y2209" s="5" t="str">
        <f ca="1">IFERROR(__xludf.DUMMYFUNCTION("""COMPUTED_VALUE"""),"Teacher shot by estranged husband")</f>
        <v>Teacher shot by estranged husband</v>
      </c>
      <c r="Z2209" s="5" t="str">
        <f ca="1">IFERROR(__xludf.DUMMYFUNCTION("""COMPUTED_VALUE"""),"Teacher shot outside of school. She had pressed charges against her husband for threatening her.")</f>
        <v>Teacher shot outside of school. She had pressed charges against her husband for threatening her.</v>
      </c>
      <c r="AA2209" s="5" t="str">
        <f ca="1">IFERROR(__xludf.DUMMYFUNCTION("""COMPUTED_VALUE"""),"Domestic w/ Targeted Victim")</f>
        <v>Domestic w/ Targeted Victim</v>
      </c>
      <c r="AB2209" s="5" t="str">
        <f ca="1">IFERROR(__xludf.DUMMYFUNCTION("""COMPUTED_VALUE"""),"Victims Targeted")</f>
        <v>Victims Targeted</v>
      </c>
      <c r="AC2209" s="5" t="str">
        <f ca="1">IFERROR(__xludf.DUMMYFUNCTION("""COMPUTED_VALUE"""),"No")</f>
        <v>No</v>
      </c>
      <c r="AD2209" s="5" t="str">
        <f ca="1">IFERROR(__xludf.DUMMYFUNCTION("""COMPUTED_VALUE"""),"No")</f>
        <v>No</v>
      </c>
      <c r="AE2209" s="5" t="str">
        <f ca="1">IFERROR(__xludf.DUMMYFUNCTION("""COMPUTED_VALUE"""),"No")</f>
        <v>No</v>
      </c>
      <c r="AF2209" s="5" t="str">
        <f ca="1">IFERROR(__xludf.DUMMYFUNCTION("""COMPUTED_VALUE"""),"No")</f>
        <v>No</v>
      </c>
      <c r="AG2209" s="5" t="str">
        <f ca="1">IFERROR(__xludf.DUMMYFUNCTION("""COMPUTED_VALUE"""),"No")</f>
        <v>No</v>
      </c>
      <c r="AH2209" s="5" t="str">
        <f ca="1">IFERROR(__xludf.DUMMYFUNCTION("""COMPUTED_VALUE"""),"Yes")</f>
        <v>Yes</v>
      </c>
      <c r="AI2209" s="5" t="str">
        <f ca="1">IFERROR(__xludf.DUMMYFUNCTION("""COMPUTED_VALUE"""),"No")</f>
        <v>No</v>
      </c>
      <c r="AJ2209" s="5"/>
    </row>
    <row r="2210" spans="1:36" ht="13">
      <c r="A2210" s="5" t="str">
        <f ca="1">IFERROR(__xludf.DUMMYFUNCTION("""COMPUTED_VALUE"""),"19750527MIPID")</f>
        <v>19750527MIPID</v>
      </c>
      <c r="B2210" s="5">
        <f ca="1">IFERROR(__xludf.DUMMYFUNCTION("""COMPUTED_VALUE"""),5)</f>
        <v>5</v>
      </c>
      <c r="C2210" s="5">
        <f ca="1">IFERROR(__xludf.DUMMYFUNCTION("""COMPUTED_VALUE"""),27)</f>
        <v>27</v>
      </c>
      <c r="D2210" s="5">
        <f ca="1">IFERROR(__xludf.DUMMYFUNCTION("""COMPUTED_VALUE"""),1975)</f>
        <v>1975</v>
      </c>
      <c r="E2210" s="8">
        <f ca="1">IFERROR(__xludf.DUMMYFUNCTION("""COMPUTED_VALUE"""),27541)</f>
        <v>27541</v>
      </c>
      <c r="F2210" s="5" t="str">
        <f ca="1">IFERROR(__xludf.DUMMYFUNCTION("""COMPUTED_VALUE"""),"Pitcher School")</f>
        <v>Pitcher School</v>
      </c>
      <c r="G2210" s="5">
        <f ca="1">IFERROR(__xludf.DUMMYFUNCTION("""COMPUTED_VALUE"""),1)</f>
        <v>1</v>
      </c>
      <c r="H2210" s="5">
        <f ca="1">IFERROR(__xludf.DUMMYFUNCTION("""COMPUTED_VALUE"""),0)</f>
        <v>0</v>
      </c>
      <c r="I2210" s="5">
        <f ca="1">IFERROR(__xludf.DUMMYFUNCTION("""COMPUTED_VALUE"""),1)</f>
        <v>1</v>
      </c>
      <c r="J2210" s="5">
        <f ca="1">IFERROR(__xludf.DUMMYFUNCTION("""COMPUTED_VALUE"""),0)</f>
        <v>0</v>
      </c>
      <c r="K2210" s="9" t="str">
        <f ca="1">IFERROR(__xludf.DUMMYFUNCTION("""COMPUTED_VALUE"""),"https://www.newspapers.com/image/98347062/?terms=school%2Bshooting")</f>
        <v>https://www.newspapers.com/image/98347062/?terms=school%2Bshooting</v>
      </c>
      <c r="L2210" s="5"/>
      <c r="M2210" s="5"/>
      <c r="N2210" s="5">
        <f ca="1">IFERROR(__xludf.DUMMYFUNCTION("""COMPUTED_VALUE"""),2)</f>
        <v>2</v>
      </c>
      <c r="O2210" s="5" t="str">
        <f ca="1">IFERROR(__xludf.DUMMYFUNCTION("""COMPUTED_VALUE"""),"Spring")</f>
        <v>Spring</v>
      </c>
      <c r="P2210" s="5" t="str">
        <f ca="1">IFERROR(__xludf.DUMMYFUNCTION("""COMPUTED_VALUE"""),"Detroit")</f>
        <v>Detroit</v>
      </c>
      <c r="Q2210" s="5" t="str">
        <f ca="1">IFERROR(__xludf.DUMMYFUNCTION("""COMPUTED_VALUE"""),"MI")</f>
        <v>MI</v>
      </c>
      <c r="R2210" s="5" t="str">
        <f ca="1">IFERROR(__xludf.DUMMYFUNCTION("""COMPUTED_VALUE"""),"Elementary")</f>
        <v>Elementary</v>
      </c>
      <c r="S2210" s="5" t="str">
        <f ca="1">IFERROR(__xludf.DUMMYFUNCTION("""COMPUTED_VALUE"""),"Outside on School Property")</f>
        <v>Outside on School Property</v>
      </c>
      <c r="T2210" s="5" t="str">
        <f ca="1">IFERROR(__xludf.DUMMYFUNCTION("""COMPUTED_VALUE"""),"Outside on School Property")</f>
        <v>Outside on School Property</v>
      </c>
      <c r="U2210" s="5" t="str">
        <f ca="1">IFERROR(__xludf.DUMMYFUNCTION("""COMPUTED_VALUE"""),"No")</f>
        <v>No</v>
      </c>
      <c r="V2210" s="5" t="str">
        <f ca="1">IFERROR(__xludf.DUMMYFUNCTION("""COMPUTED_VALUE"""),"After School")</f>
        <v>After School</v>
      </c>
      <c r="W2210" s="5"/>
      <c r="X2210" s="5">
        <f ca="1">IFERROR(__xludf.DUMMYFUNCTION("""COMPUTED_VALUE"""),1)</f>
        <v>1</v>
      </c>
      <c r="Y2210" s="5" t="str">
        <f ca="1">IFERROR(__xludf.DUMMYFUNCTION("""COMPUTED_VALUE"""),"Shooter and victim in multiple previous fights at school")</f>
        <v>Shooter and victim in multiple previous fights at school</v>
      </c>
      <c r="Z2210" s="5" t="str">
        <f ca="1">IFERROR(__xludf.DUMMYFUNCTION("""COMPUTED_VALUE"""),"9 year-old male (shooter) and 13 year-old male (victim) had multiple fights at school broken up by staff. 9 year-old male went home, got rifle, and shot victim in the head.")</f>
        <v>9 year-old male (shooter) and 13 year-old male (victim) had multiple fights at school broken up by staff. 9 year-old male went home, got rifle, and shot victim in the head.</v>
      </c>
      <c r="AA2210" s="5" t="str">
        <f ca="1">IFERROR(__xludf.DUMMYFUNCTION("""COMPUTED_VALUE"""),"Escalation of Dispute")</f>
        <v>Escalation of Dispute</v>
      </c>
      <c r="AB2210" s="5" t="str">
        <f ca="1">IFERROR(__xludf.DUMMYFUNCTION("""COMPUTED_VALUE"""),"Victims Targeted")</f>
        <v>Victims Targeted</v>
      </c>
      <c r="AC2210" s="5" t="str">
        <f ca="1">IFERROR(__xludf.DUMMYFUNCTION("""COMPUTED_VALUE"""),"No")</f>
        <v>No</v>
      </c>
      <c r="AD2210" s="5" t="str">
        <f ca="1">IFERROR(__xludf.DUMMYFUNCTION("""COMPUTED_VALUE"""),"No")</f>
        <v>No</v>
      </c>
      <c r="AE2210" s="5" t="str">
        <f ca="1">IFERROR(__xludf.DUMMYFUNCTION("""COMPUTED_VALUE"""),"No")</f>
        <v>No</v>
      </c>
      <c r="AF2210" s="5" t="str">
        <f ca="1">IFERROR(__xludf.DUMMYFUNCTION("""COMPUTED_VALUE"""),"No")</f>
        <v>No</v>
      </c>
      <c r="AG2210" s="5" t="str">
        <f ca="1">IFERROR(__xludf.DUMMYFUNCTION("""COMPUTED_VALUE"""),"No")</f>
        <v>No</v>
      </c>
      <c r="AH2210" s="5" t="str">
        <f ca="1">IFERROR(__xludf.DUMMYFUNCTION("""COMPUTED_VALUE"""),"No")</f>
        <v>No</v>
      </c>
      <c r="AI2210" s="5" t="str">
        <f ca="1">IFERROR(__xludf.DUMMYFUNCTION("""COMPUTED_VALUE"""),"No")</f>
        <v>No</v>
      </c>
      <c r="AJ2210" s="5"/>
    </row>
    <row r="2211" spans="1:36" ht="13">
      <c r="A2211" s="5" t="str">
        <f ca="1">IFERROR(__xludf.DUMMYFUNCTION("""COMPUTED_VALUE"""),"19750515MOROS")</f>
        <v>19750515MOROS</v>
      </c>
      <c r="B2211" s="5">
        <f ca="1">IFERROR(__xludf.DUMMYFUNCTION("""COMPUTED_VALUE"""),5)</f>
        <v>5</v>
      </c>
      <c r="C2211" s="5">
        <f ca="1">IFERROR(__xludf.DUMMYFUNCTION("""COMPUTED_VALUE"""),15)</f>
        <v>15</v>
      </c>
      <c r="D2211" s="5">
        <f ca="1">IFERROR(__xludf.DUMMYFUNCTION("""COMPUTED_VALUE"""),1975)</f>
        <v>1975</v>
      </c>
      <c r="E2211" s="8">
        <f ca="1">IFERROR(__xludf.DUMMYFUNCTION("""COMPUTED_VALUE"""),27529)</f>
        <v>27529</v>
      </c>
      <c r="F2211" s="5" t="str">
        <f ca="1">IFERROR(__xludf.DUMMYFUNCTION("""COMPUTED_VALUE"""),"Rock Junior High School")</f>
        <v>Rock Junior High School</v>
      </c>
      <c r="G2211" s="5">
        <f ca="1">IFERROR(__xludf.DUMMYFUNCTION("""COMPUTED_VALUE"""),0)</f>
        <v>0</v>
      </c>
      <c r="H2211" s="5">
        <f ca="1">IFERROR(__xludf.DUMMYFUNCTION("""COMPUTED_VALUE"""),1)</f>
        <v>1</v>
      </c>
      <c r="I2211" s="5">
        <f ca="1">IFERROR(__xludf.DUMMYFUNCTION("""COMPUTED_VALUE"""),1)</f>
        <v>1</v>
      </c>
      <c r="J2211" s="5">
        <f ca="1">IFERROR(__xludf.DUMMYFUNCTION("""COMPUTED_VALUE"""),0)</f>
        <v>0</v>
      </c>
      <c r="K2211" s="9" t="str">
        <f ca="1">IFERROR(__xludf.DUMMYFUNCTION("""COMPUTED_VALUE"""),"https://www.newspapers.com/image/140698558/?terms=school%2Bshooting")</f>
        <v>https://www.newspapers.com/image/140698558/?terms=school%2Bshooting</v>
      </c>
      <c r="L2211" s="5"/>
      <c r="M2211" s="5"/>
      <c r="N2211" s="5">
        <f ca="1">IFERROR(__xludf.DUMMYFUNCTION("""COMPUTED_VALUE"""),2)</f>
        <v>2</v>
      </c>
      <c r="O2211" s="5" t="str">
        <f ca="1">IFERROR(__xludf.DUMMYFUNCTION("""COMPUTED_VALUE"""),"Spring")</f>
        <v>Spring</v>
      </c>
      <c r="P2211" s="5" t="str">
        <f ca="1">IFERROR(__xludf.DUMMYFUNCTION("""COMPUTED_VALUE"""),"St. Louis")</f>
        <v>St. Louis</v>
      </c>
      <c r="Q2211" s="5" t="str">
        <f ca="1">IFERROR(__xludf.DUMMYFUNCTION("""COMPUTED_VALUE"""),"MO")</f>
        <v>MO</v>
      </c>
      <c r="R2211" s="5" t="str">
        <f ca="1">IFERROR(__xludf.DUMMYFUNCTION("""COMPUTED_VALUE"""),"Junior High")</f>
        <v>Junior High</v>
      </c>
      <c r="S2211" s="5" t="str">
        <f ca="1">IFERROR(__xludf.DUMMYFUNCTION("""COMPUTED_VALUE"""),"Office")</f>
        <v>Office</v>
      </c>
      <c r="T2211" s="5" t="str">
        <f ca="1">IFERROR(__xludf.DUMMYFUNCTION("""COMPUTED_VALUE"""),"Inside School Building")</f>
        <v>Inside School Building</v>
      </c>
      <c r="U2211" s="5" t="str">
        <f ca="1">IFERROR(__xludf.DUMMYFUNCTION("""COMPUTED_VALUE"""),"Yes")</f>
        <v>Yes</v>
      </c>
      <c r="V2211" s="5" t="str">
        <f ca="1">IFERROR(__xludf.DUMMYFUNCTION("""COMPUTED_VALUE"""),"Afternoon Classes")</f>
        <v>Afternoon Classes</v>
      </c>
      <c r="W2211" s="10">
        <f ca="1">IFERROR(__xludf.DUMMYFUNCTION("""COMPUTED_VALUE"""),0.520833333333333)</f>
        <v>0.52083333333333304</v>
      </c>
      <c r="X2211" s="5">
        <f ca="1">IFERROR(__xludf.DUMMYFUNCTION("""COMPUTED_VALUE"""),1)</f>
        <v>1</v>
      </c>
      <c r="Y2211" s="5" t="str">
        <f ca="1">IFERROR(__xludf.DUMMYFUNCTION("""COMPUTED_VALUE"""),"Administrator spanked student, student got gun and shot him")</f>
        <v>Administrator spanked student, student got gun and shot him</v>
      </c>
      <c r="Z2211" s="5" t="str">
        <f ca="1">IFERROR(__xludf.DUMMYFUNCTION("""COMPUTED_VALUE"""),"13 year-old male student (good student) was spanked with rubber paddle by school administrator for cutting gym class. Student went home, got gun, and returned to school to shot school administrator in the face then fled.")</f>
        <v>13 year-old male student (good student) was spanked with rubber paddle by school administrator for cutting gym class. Student went home, got gun, and returned to school to shot school administrator in the face then fled.</v>
      </c>
      <c r="AA2211" s="5" t="str">
        <f ca="1">IFERROR(__xludf.DUMMYFUNCTION("""COMPUTED_VALUE"""),"Anger Over Grade/Suspension/Discipline")</f>
        <v>Anger Over Grade/Suspension/Discipline</v>
      </c>
      <c r="AB2211" s="5" t="str">
        <f ca="1">IFERROR(__xludf.DUMMYFUNCTION("""COMPUTED_VALUE"""),"Victims Targeted")</f>
        <v>Victims Targeted</v>
      </c>
      <c r="AC2211" s="5" t="str">
        <f ca="1">IFERROR(__xludf.DUMMYFUNCTION("""COMPUTED_VALUE"""),"No")</f>
        <v>No</v>
      </c>
      <c r="AD2211" s="5" t="str">
        <f ca="1">IFERROR(__xludf.DUMMYFUNCTION("""COMPUTED_VALUE"""),"No")</f>
        <v>No</v>
      </c>
      <c r="AE2211" s="5" t="str">
        <f ca="1">IFERROR(__xludf.DUMMYFUNCTION("""COMPUTED_VALUE"""),"No")</f>
        <v>No</v>
      </c>
      <c r="AF2211" s="5" t="str">
        <f ca="1">IFERROR(__xludf.DUMMYFUNCTION("""COMPUTED_VALUE"""),"No")</f>
        <v>No</v>
      </c>
      <c r="AG2211" s="5" t="str">
        <f ca="1">IFERROR(__xludf.DUMMYFUNCTION("""COMPUTED_VALUE"""),"No")</f>
        <v>No</v>
      </c>
      <c r="AH2211" s="5" t="str">
        <f ca="1">IFERROR(__xludf.DUMMYFUNCTION("""COMPUTED_VALUE"""),"No")</f>
        <v>No</v>
      </c>
      <c r="AI2211" s="5" t="str">
        <f ca="1">IFERROR(__xludf.DUMMYFUNCTION("""COMPUTED_VALUE"""),"No")</f>
        <v>No</v>
      </c>
      <c r="AJ2211" s="5"/>
    </row>
    <row r="2212" spans="1:36" ht="13">
      <c r="A2212" s="5" t="str">
        <f ca="1">IFERROR(__xludf.DUMMYFUNCTION("""COMPUTED_VALUE"""),"19750321OHPAD")</f>
        <v>19750321OHPAD</v>
      </c>
      <c r="B2212" s="5">
        <f ca="1">IFERROR(__xludf.DUMMYFUNCTION("""COMPUTED_VALUE"""),3)</f>
        <v>3</v>
      </c>
      <c r="C2212" s="5">
        <f ca="1">IFERROR(__xludf.DUMMYFUNCTION("""COMPUTED_VALUE"""),21)</f>
        <v>21</v>
      </c>
      <c r="D2212" s="5">
        <f ca="1">IFERROR(__xludf.DUMMYFUNCTION("""COMPUTED_VALUE"""),1975)</f>
        <v>1975</v>
      </c>
      <c r="E2212" s="8">
        <f ca="1">IFERROR(__xludf.DUMMYFUNCTION("""COMPUTED_VALUE"""),27474)</f>
        <v>27474</v>
      </c>
      <c r="F2212" s="5" t="str">
        <f ca="1">IFERROR(__xludf.DUMMYFUNCTION("""COMPUTED_VALUE"""),"Patterson Cooperative High School")</f>
        <v>Patterson Cooperative High School</v>
      </c>
      <c r="G2212" s="5">
        <f ca="1">IFERROR(__xludf.DUMMYFUNCTION("""COMPUTED_VALUE"""),0)</f>
        <v>0</v>
      </c>
      <c r="H2212" s="5">
        <f ca="1">IFERROR(__xludf.DUMMYFUNCTION("""COMPUTED_VALUE"""),1)</f>
        <v>1</v>
      </c>
      <c r="I2212" s="5">
        <f ca="1">IFERROR(__xludf.DUMMYFUNCTION("""COMPUTED_VALUE"""),1)</f>
        <v>1</v>
      </c>
      <c r="J2212" s="5">
        <f ca="1">IFERROR(__xludf.DUMMYFUNCTION("""COMPUTED_VALUE"""),0)</f>
        <v>0</v>
      </c>
      <c r="K2212" s="9" t="str">
        <f ca="1">IFERROR(__xludf.DUMMYFUNCTION("""COMPUTED_VALUE"""),"https://www.newspapers.com/image/405249949/?terms=NICHOLAS%2BSUTTLES%2BTEACHER")</f>
        <v>https://www.newspapers.com/image/405249949/?terms=NICHOLAS%2BSUTTLES%2BTEACHER</v>
      </c>
      <c r="L2212" s="5"/>
      <c r="M2212" s="5"/>
      <c r="N2212" s="5">
        <f ca="1">IFERROR(__xludf.DUMMYFUNCTION("""COMPUTED_VALUE"""),2)</f>
        <v>2</v>
      </c>
      <c r="O2212" s="5" t="str">
        <f ca="1">IFERROR(__xludf.DUMMYFUNCTION("""COMPUTED_VALUE"""),"Spring")</f>
        <v>Spring</v>
      </c>
      <c r="P2212" s="5" t="str">
        <f ca="1">IFERROR(__xludf.DUMMYFUNCTION("""COMPUTED_VALUE"""),"Dayton")</f>
        <v>Dayton</v>
      </c>
      <c r="Q2212" s="5" t="str">
        <f ca="1">IFERROR(__xludf.DUMMYFUNCTION("""COMPUTED_VALUE"""),"OH")</f>
        <v>OH</v>
      </c>
      <c r="R2212" s="5" t="str">
        <f ca="1">IFERROR(__xludf.DUMMYFUNCTION("""COMPUTED_VALUE"""),"High")</f>
        <v>High</v>
      </c>
      <c r="S2212" s="5" t="str">
        <f ca="1">IFERROR(__xludf.DUMMYFUNCTION("""COMPUTED_VALUE"""),"Classroom")</f>
        <v>Classroom</v>
      </c>
      <c r="T2212" s="5" t="str">
        <f ca="1">IFERROR(__xludf.DUMMYFUNCTION("""COMPUTED_VALUE"""),"Inside School Building")</f>
        <v>Inside School Building</v>
      </c>
      <c r="U2212" s="5" t="str">
        <f ca="1">IFERROR(__xludf.DUMMYFUNCTION("""COMPUTED_VALUE"""),"Yes")</f>
        <v>Yes</v>
      </c>
      <c r="V2212" s="5" t="str">
        <f ca="1">IFERROR(__xludf.DUMMYFUNCTION("""COMPUTED_VALUE"""),"Before School")</f>
        <v>Before School</v>
      </c>
      <c r="W2212" s="5"/>
      <c r="X2212" s="5">
        <f ca="1">IFERROR(__xludf.DUMMYFUNCTION("""COMPUTED_VALUE"""),1)</f>
        <v>1</v>
      </c>
      <c r="Y2212" s="5" t="str">
        <f ca="1">IFERROR(__xludf.DUMMYFUNCTION("""COMPUTED_VALUE"""),"Unknown shooter shot teacher during class")</f>
        <v>Unknown shooter shot teacher during class</v>
      </c>
      <c r="Z2212" s="5" t="str">
        <f ca="1">IFERROR(__xludf.DUMMYFUNCTION("""COMPUTED_VALUE"""),"Unknown assailant had possibly robbed teacher earlier in the year. Shooter was seen hanging around school. Shooter entered teacher's class with .22 caliber and shot teacher. Teacher tried to wrestle gun away from shooter when he threatened class. Shooter "&amp;"fled.")</f>
        <v>Unknown assailant had possibly robbed teacher earlier in the year. Shooter was seen hanging around school. Shooter entered teacher's class with .22 caliber and shot teacher. Teacher tried to wrestle gun away from shooter when he threatened class. Shooter fled.</v>
      </c>
      <c r="AA2212" s="5" t="str">
        <f ca="1">IFERROR(__xludf.DUMMYFUNCTION("""COMPUTED_VALUE"""),"Illegal Activity")</f>
        <v>Illegal Activity</v>
      </c>
      <c r="AB2212" s="5" t="str">
        <f ca="1">IFERROR(__xludf.DUMMYFUNCTION("""COMPUTED_VALUE"""),"Victims Targeted")</f>
        <v>Victims Targeted</v>
      </c>
      <c r="AC2212" s="5" t="str">
        <f ca="1">IFERROR(__xludf.DUMMYFUNCTION("""COMPUTED_VALUE"""),"No")</f>
        <v>No</v>
      </c>
      <c r="AD2212" s="5" t="str">
        <f ca="1">IFERROR(__xludf.DUMMYFUNCTION("""COMPUTED_VALUE"""),"No")</f>
        <v>No</v>
      </c>
      <c r="AE2212" s="5" t="str">
        <f ca="1">IFERROR(__xludf.DUMMYFUNCTION("""COMPUTED_VALUE"""),"Yes")</f>
        <v>Yes</v>
      </c>
      <c r="AF2212" s="5" t="str">
        <f ca="1">IFERROR(__xludf.DUMMYFUNCTION("""COMPUTED_VALUE"""),"No")</f>
        <v>No</v>
      </c>
      <c r="AG2212" s="5" t="str">
        <f ca="1">IFERROR(__xludf.DUMMYFUNCTION("""COMPUTED_VALUE"""),"No")</f>
        <v>No</v>
      </c>
      <c r="AH2212" s="5" t="str">
        <f ca="1">IFERROR(__xludf.DUMMYFUNCTION("""COMPUTED_VALUE"""),"No")</f>
        <v>No</v>
      </c>
      <c r="AI2212" s="5" t="str">
        <f ca="1">IFERROR(__xludf.DUMMYFUNCTION("""COMPUTED_VALUE"""),"No")</f>
        <v>No</v>
      </c>
      <c r="AJ2212" s="5" t="str">
        <f ca="1">IFERROR(__xludf.DUMMYFUNCTION("""COMPUTED_VALUE"""),"Yes")</f>
        <v>Yes</v>
      </c>
    </row>
    <row r="2213" spans="1:36" ht="13">
      <c r="A2213" s="5" t="str">
        <f ca="1">IFERROR(__xludf.DUMMYFUNCTION("""COMPUTED_VALUE"""),"19750321VAFAR")</f>
        <v>19750321VAFAR</v>
      </c>
      <c r="B2213" s="5">
        <f ca="1">IFERROR(__xludf.DUMMYFUNCTION("""COMPUTED_VALUE"""),3)</f>
        <v>3</v>
      </c>
      <c r="C2213" s="5">
        <f ca="1">IFERROR(__xludf.DUMMYFUNCTION("""COMPUTED_VALUE"""),21)</f>
        <v>21</v>
      </c>
      <c r="D2213" s="5">
        <f ca="1">IFERROR(__xludf.DUMMYFUNCTION("""COMPUTED_VALUE"""),1975)</f>
        <v>1975</v>
      </c>
      <c r="E2213" s="8">
        <f ca="1">IFERROR(__xludf.DUMMYFUNCTION("""COMPUTED_VALUE"""),27474)</f>
        <v>27474</v>
      </c>
      <c r="F2213" s="5" t="str">
        <f ca="1">IFERROR(__xludf.DUMMYFUNCTION("""COMPUTED_VALUE"""),"Fairmount Elementary School")</f>
        <v>Fairmount Elementary School</v>
      </c>
      <c r="G2213" s="5">
        <f ca="1">IFERROR(__xludf.DUMMYFUNCTION("""COMPUTED_VALUE"""),0)</f>
        <v>0</v>
      </c>
      <c r="H2213" s="5">
        <f ca="1">IFERROR(__xludf.DUMMYFUNCTION("""COMPUTED_VALUE"""),1)</f>
        <v>1</v>
      </c>
      <c r="I2213" s="5">
        <f ca="1">IFERROR(__xludf.DUMMYFUNCTION("""COMPUTED_VALUE"""),1)</f>
        <v>1</v>
      </c>
      <c r="J2213" s="5">
        <f ca="1">IFERROR(__xludf.DUMMYFUNCTION("""COMPUTED_VALUE"""),0)</f>
        <v>0</v>
      </c>
      <c r="K2213" s="9" t="str">
        <f ca="1">IFERROR(__xludf.DUMMYFUNCTION("""COMPUTED_VALUE"""),"https://www.newspapers.com/image/29775822/?terms=pupil%2Bshot")</f>
        <v>https://www.newspapers.com/image/29775822/?terms=pupil%2Bshot</v>
      </c>
      <c r="L2213" s="5"/>
      <c r="M2213" s="5"/>
      <c r="N2213" s="5">
        <f ca="1">IFERROR(__xludf.DUMMYFUNCTION("""COMPUTED_VALUE"""),2)</f>
        <v>2</v>
      </c>
      <c r="O2213" s="5" t="str">
        <f ca="1">IFERROR(__xludf.DUMMYFUNCTION("""COMPUTED_VALUE"""),"Spring")</f>
        <v>Spring</v>
      </c>
      <c r="P2213" s="5" t="str">
        <f ca="1">IFERROR(__xludf.DUMMYFUNCTION("""COMPUTED_VALUE"""),"Richmond")</f>
        <v>Richmond</v>
      </c>
      <c r="Q2213" s="5" t="str">
        <f ca="1">IFERROR(__xludf.DUMMYFUNCTION("""COMPUTED_VALUE"""),"VA")</f>
        <v>VA</v>
      </c>
      <c r="R2213" s="5" t="str">
        <f ca="1">IFERROR(__xludf.DUMMYFUNCTION("""COMPUTED_VALUE"""),"Elementary")</f>
        <v>Elementary</v>
      </c>
      <c r="S2213" s="5" t="str">
        <f ca="1">IFERROR(__xludf.DUMMYFUNCTION("""COMPUTED_VALUE"""),"Playground")</f>
        <v>Playground</v>
      </c>
      <c r="T2213" s="5" t="str">
        <f ca="1">IFERROR(__xludf.DUMMYFUNCTION("""COMPUTED_VALUE"""),"Outside on School Property")</f>
        <v>Outside on School Property</v>
      </c>
      <c r="U2213" s="5" t="str">
        <f ca="1">IFERROR(__xludf.DUMMYFUNCTION("""COMPUTED_VALUE"""),"Yes")</f>
        <v>Yes</v>
      </c>
      <c r="V2213" s="5" t="str">
        <f ca="1">IFERROR(__xludf.DUMMYFUNCTION("""COMPUTED_VALUE"""),"Lunch")</f>
        <v>Lunch</v>
      </c>
      <c r="W2213" s="10">
        <f ca="1">IFERROR(__xludf.DUMMYFUNCTION("""COMPUTED_VALUE"""),0.5)</f>
        <v>0.5</v>
      </c>
      <c r="X2213" s="5">
        <f ca="1">IFERROR(__xludf.DUMMYFUNCTION("""COMPUTED_VALUE"""),1)</f>
        <v>1</v>
      </c>
      <c r="Y2213" s="5" t="str">
        <f ca="1">IFERROR(__xludf.DUMMYFUNCTION("""COMPUTED_VALUE"""),"Shooter was shooting at pigeons off school property when stray bullet hit victim")</f>
        <v>Shooter was shooting at pigeons off school property when stray bullet hit victim</v>
      </c>
      <c r="Z2213" s="5" t="str">
        <f ca="1">IFERROR(__xludf.DUMMYFUNCTION("""COMPUTED_VALUE"""),"Victim was on school playground when she was shot in the head by a .22 caliber rifle round. Shooter, age 18 was later caught. Shooting was unintentional. Shooter was shooting at pigeons in has back yard. According to doctors who removed bullet from victim"&amp;"'s brain, the bullet had traveled its maximum distance prior to striking child.")</f>
        <v>Victim was on school playground when she was shot in the head by a .22 caliber rifle round. Shooter, age 18 was later caught. Shooting was unintentional. Shooter was shooting at pigeons in has back yard. According to doctors who removed bullet from victim's brain, the bullet had traveled its maximum distance prior to striking child.</v>
      </c>
      <c r="AA2213" s="5" t="str">
        <f ca="1">IFERROR(__xludf.DUMMYFUNCTION("""COMPUTED_VALUE"""),"Accidental")</f>
        <v>Accidental</v>
      </c>
      <c r="AB2213" s="5" t="str">
        <f ca="1">IFERROR(__xludf.DUMMYFUNCTION("""COMPUTED_VALUE"""),"Random Shooting")</f>
        <v>Random Shooting</v>
      </c>
      <c r="AC2213" s="5" t="str">
        <f ca="1">IFERROR(__xludf.DUMMYFUNCTION("""COMPUTED_VALUE"""),"No")</f>
        <v>No</v>
      </c>
      <c r="AD2213" s="5" t="str">
        <f ca="1">IFERROR(__xludf.DUMMYFUNCTION("""COMPUTED_VALUE"""),"No")</f>
        <v>No</v>
      </c>
      <c r="AE2213" s="5" t="str">
        <f ca="1">IFERROR(__xludf.DUMMYFUNCTION("""COMPUTED_VALUE"""),"No")</f>
        <v>No</v>
      </c>
      <c r="AF2213" s="5" t="str">
        <f ca="1">IFERROR(__xludf.DUMMYFUNCTION("""COMPUTED_VALUE"""),"No")</f>
        <v>No</v>
      </c>
      <c r="AG2213" s="5" t="str">
        <f ca="1">IFERROR(__xludf.DUMMYFUNCTION("""COMPUTED_VALUE"""),"No")</f>
        <v>No</v>
      </c>
      <c r="AH2213" s="5" t="str">
        <f ca="1">IFERROR(__xludf.DUMMYFUNCTION("""COMPUTED_VALUE"""),"No")</f>
        <v>No</v>
      </c>
      <c r="AI2213" s="5" t="str">
        <f ca="1">IFERROR(__xludf.DUMMYFUNCTION("""COMPUTED_VALUE"""),"No")</f>
        <v>No</v>
      </c>
      <c r="AJ2213" s="5"/>
    </row>
    <row r="2214" spans="1:36" ht="13">
      <c r="A2214" s="5" t="str">
        <f ca="1">IFERROR(__xludf.DUMMYFUNCTION("""COMPUTED_VALUE"""),"19750318MOSUS")</f>
        <v>19750318MOSUS</v>
      </c>
      <c r="B2214" s="5">
        <f ca="1">IFERROR(__xludf.DUMMYFUNCTION("""COMPUTED_VALUE"""),3)</f>
        <v>3</v>
      </c>
      <c r="C2214" s="5">
        <f ca="1">IFERROR(__xludf.DUMMYFUNCTION("""COMPUTED_VALUE"""),18)</f>
        <v>18</v>
      </c>
      <c r="D2214" s="5">
        <f ca="1">IFERROR(__xludf.DUMMYFUNCTION("""COMPUTED_VALUE"""),1975)</f>
        <v>1975</v>
      </c>
      <c r="E2214" s="8">
        <f ca="1">IFERROR(__xludf.DUMMYFUNCTION("""COMPUTED_VALUE"""),27471)</f>
        <v>27471</v>
      </c>
      <c r="F2214" s="5" t="str">
        <f ca="1">IFERROR(__xludf.DUMMYFUNCTION("""COMPUTED_VALUE"""),"Sumner High School")</f>
        <v>Sumner High School</v>
      </c>
      <c r="G2214" s="5">
        <f ca="1">IFERROR(__xludf.DUMMYFUNCTION("""COMPUTED_VALUE"""),1)</f>
        <v>1</v>
      </c>
      <c r="H2214" s="5">
        <f ca="1">IFERROR(__xludf.DUMMYFUNCTION("""COMPUTED_VALUE"""),0)</f>
        <v>0</v>
      </c>
      <c r="I2214" s="5">
        <f ca="1">IFERROR(__xludf.DUMMYFUNCTION("""COMPUTED_VALUE"""),1)</f>
        <v>1</v>
      </c>
      <c r="J2214" s="5">
        <f ca="1">IFERROR(__xludf.DUMMYFUNCTION("""COMPUTED_VALUE"""),0)</f>
        <v>0</v>
      </c>
      <c r="K2214" s="9" t="str">
        <f ca="1">IFERROR(__xludf.DUMMYFUNCTION("""COMPUTED_VALUE"""),"https://www.newspapers.com/newspage/139614437/")</f>
        <v>https://www.newspapers.com/newspage/139614437/</v>
      </c>
      <c r="L2214" s="5"/>
      <c r="M2214" s="5"/>
      <c r="N2214" s="5">
        <f ca="1">IFERROR(__xludf.DUMMYFUNCTION("""COMPUTED_VALUE"""),2)</f>
        <v>2</v>
      </c>
      <c r="O2214" s="5" t="str">
        <f ca="1">IFERROR(__xludf.DUMMYFUNCTION("""COMPUTED_VALUE"""),"Spring")</f>
        <v>Spring</v>
      </c>
      <c r="P2214" s="5" t="str">
        <f ca="1">IFERROR(__xludf.DUMMYFUNCTION("""COMPUTED_VALUE"""),"St. Louis")</f>
        <v>St. Louis</v>
      </c>
      <c r="Q2214" s="5" t="str">
        <f ca="1">IFERROR(__xludf.DUMMYFUNCTION("""COMPUTED_VALUE"""),"MO")</f>
        <v>MO</v>
      </c>
      <c r="R2214" s="5" t="str">
        <f ca="1">IFERROR(__xludf.DUMMYFUNCTION("""COMPUTED_VALUE"""),"High")</f>
        <v>High</v>
      </c>
      <c r="S2214" s="5" t="str">
        <f ca="1">IFERROR(__xludf.DUMMYFUNCTION("""COMPUTED_VALUE"""),"Inside School Building")</f>
        <v>Inside School Building</v>
      </c>
      <c r="T2214" s="5" t="str">
        <f ca="1">IFERROR(__xludf.DUMMYFUNCTION("""COMPUTED_VALUE"""),"Inside School Building")</f>
        <v>Inside School Building</v>
      </c>
      <c r="U2214" s="5" t="str">
        <f ca="1">IFERROR(__xludf.DUMMYFUNCTION("""COMPUTED_VALUE"""),"Yes")</f>
        <v>Yes</v>
      </c>
      <c r="V2214" s="5" t="str">
        <f ca="1">IFERROR(__xludf.DUMMYFUNCTION("""COMPUTED_VALUE"""),"Lunch")</f>
        <v>Lunch</v>
      </c>
      <c r="W2214" s="5"/>
      <c r="X2214" s="5">
        <f ca="1">IFERROR(__xludf.DUMMYFUNCTION("""COMPUTED_VALUE"""),1)</f>
        <v>1</v>
      </c>
      <c r="Y2214" s="5" t="str">
        <f ca="1">IFERROR(__xludf.DUMMYFUNCTION("""COMPUTED_VALUE"""),"Gun fight between four youths believed to have arisen from a dispute at a party several weeks prior at which Goods was also present")</f>
        <v>Gun fight between four youths believed to have arisen from a dispute at a party several weeks prior at which Goods was also present</v>
      </c>
      <c r="Z2214" s="5" t="str">
        <f ca="1">IFERROR(__xludf.DUMMYFUNCTION("""COMPUTED_VALUE"""),"18 year-old male victim (Stephen Goods) was a bystander caught in crossfire of gun fight between four youths. Victim was shot in the head and buttocks then died later at hospital")</f>
        <v>18 year-old male victim (Stephen Goods) was a bystander caught in crossfire of gun fight between four youths. Victim was shot in the head and buttocks then died later at hospital</v>
      </c>
      <c r="AA2214" s="5" t="str">
        <f ca="1">IFERROR(__xludf.DUMMYFUNCTION("""COMPUTED_VALUE"""),"Escalation of Dispute")</f>
        <v>Escalation of Dispute</v>
      </c>
      <c r="AB2214" s="5" t="str">
        <f ca="1">IFERROR(__xludf.DUMMYFUNCTION("""COMPUTED_VALUE"""),"Victims Targeted")</f>
        <v>Victims Targeted</v>
      </c>
      <c r="AC2214" s="5" t="str">
        <f ca="1">IFERROR(__xludf.DUMMYFUNCTION("""COMPUTED_VALUE"""),"Yes")</f>
        <v>Yes</v>
      </c>
      <c r="AD2214" s="5" t="str">
        <f ca="1">IFERROR(__xludf.DUMMYFUNCTION("""COMPUTED_VALUE"""),"No")</f>
        <v>No</v>
      </c>
      <c r="AE2214" s="5" t="str">
        <f ca="1">IFERROR(__xludf.DUMMYFUNCTION("""COMPUTED_VALUE"""),"No")</f>
        <v>No</v>
      </c>
      <c r="AF2214" s="5" t="str">
        <f ca="1">IFERROR(__xludf.DUMMYFUNCTION("""COMPUTED_VALUE"""),"No")</f>
        <v>No</v>
      </c>
      <c r="AG2214" s="5" t="str">
        <f ca="1">IFERROR(__xludf.DUMMYFUNCTION("""COMPUTED_VALUE"""),"No")</f>
        <v>No</v>
      </c>
      <c r="AH2214" s="5" t="str">
        <f ca="1">IFERROR(__xludf.DUMMYFUNCTION("""COMPUTED_VALUE"""),"No")</f>
        <v>No</v>
      </c>
      <c r="AI2214" s="5" t="str">
        <f ca="1">IFERROR(__xludf.DUMMYFUNCTION("""COMPUTED_VALUE"""),"No")</f>
        <v>No</v>
      </c>
      <c r="AJ2214" s="5"/>
    </row>
    <row r="2215" spans="1:36" ht="13">
      <c r="A2215" s="5" t="str">
        <f ca="1">IFERROR(__xludf.DUMMYFUNCTION("""COMPUTED_VALUE"""),"19750312TXJOH")</f>
        <v>19750312TXJOH</v>
      </c>
      <c r="B2215" s="5">
        <f ca="1">IFERROR(__xludf.DUMMYFUNCTION("""COMPUTED_VALUE"""),3)</f>
        <v>3</v>
      </c>
      <c r="C2215" s="5">
        <f ca="1">IFERROR(__xludf.DUMMYFUNCTION("""COMPUTED_VALUE"""),12)</f>
        <v>12</v>
      </c>
      <c r="D2215" s="5">
        <f ca="1">IFERROR(__xludf.DUMMYFUNCTION("""COMPUTED_VALUE"""),1975)</f>
        <v>1975</v>
      </c>
      <c r="E2215" s="8">
        <f ca="1">IFERROR(__xludf.DUMMYFUNCTION("""COMPUTED_VALUE"""),27465)</f>
        <v>27465</v>
      </c>
      <c r="F2215" s="5" t="str">
        <f ca="1">IFERROR(__xludf.DUMMYFUNCTION("""COMPUTED_VALUE"""),"Jones High School")</f>
        <v>Jones High School</v>
      </c>
      <c r="G2215" s="5">
        <f ca="1">IFERROR(__xludf.DUMMYFUNCTION("""COMPUTED_VALUE"""),0)</f>
        <v>0</v>
      </c>
      <c r="H2215" s="5">
        <f ca="1">IFERROR(__xludf.DUMMYFUNCTION("""COMPUTED_VALUE"""),2)</f>
        <v>2</v>
      </c>
      <c r="I2215" s="5">
        <f ca="1">IFERROR(__xludf.DUMMYFUNCTION("""COMPUTED_VALUE"""),2)</f>
        <v>2</v>
      </c>
      <c r="J2215" s="5">
        <f ca="1">IFERROR(__xludf.DUMMYFUNCTION("""COMPUTED_VALUE"""),0)</f>
        <v>0</v>
      </c>
      <c r="K2215" s="5" t="str">
        <f ca="1">IFERROR(__xludf.DUMMYFUNCTION("""COMPUTED_VALUE"""),"https://www.newspapers.com/image/437102055/?terms=school%2Bshooting     https://www.newspapers.com/image/218519274/?terms=pupil%2Bshot")</f>
        <v>https://www.newspapers.com/image/437102055/?terms=school%2Bshooting     https://www.newspapers.com/image/218519274/?terms=pupil%2Bshot</v>
      </c>
      <c r="L2215" s="5"/>
      <c r="M2215" s="5"/>
      <c r="N2215" s="5">
        <f ca="1">IFERROR(__xludf.DUMMYFUNCTION("""COMPUTED_VALUE"""),3)</f>
        <v>3</v>
      </c>
      <c r="O2215" s="5" t="str">
        <f ca="1">IFERROR(__xludf.DUMMYFUNCTION("""COMPUTED_VALUE"""),"Spring")</f>
        <v>Spring</v>
      </c>
      <c r="P2215" s="5" t="str">
        <f ca="1">IFERROR(__xludf.DUMMYFUNCTION("""COMPUTED_VALUE"""),"Houston")</f>
        <v>Houston</v>
      </c>
      <c r="Q2215" s="5" t="str">
        <f ca="1">IFERROR(__xludf.DUMMYFUNCTION("""COMPUTED_VALUE"""),"TX")</f>
        <v>TX</v>
      </c>
      <c r="R2215" s="5" t="str">
        <f ca="1">IFERROR(__xludf.DUMMYFUNCTION("""COMPUTED_VALUE"""),"High")</f>
        <v>High</v>
      </c>
      <c r="S2215" s="5" t="str">
        <f ca="1">IFERROR(__xludf.DUMMYFUNCTION("""COMPUTED_VALUE"""),"Courtyard")</f>
        <v>Courtyard</v>
      </c>
      <c r="T2215" s="5" t="str">
        <f ca="1">IFERROR(__xludf.DUMMYFUNCTION("""COMPUTED_VALUE"""),"Outside on School Property")</f>
        <v>Outside on School Property</v>
      </c>
      <c r="U2215" s="5" t="str">
        <f ca="1">IFERROR(__xludf.DUMMYFUNCTION("""COMPUTED_VALUE"""),"Yes")</f>
        <v>Yes</v>
      </c>
      <c r="V2215" s="5" t="str">
        <f ca="1">IFERROR(__xludf.DUMMYFUNCTION("""COMPUTED_VALUE"""),"Afternoon Classes")</f>
        <v>Afternoon Classes</v>
      </c>
      <c r="W2215" s="5"/>
      <c r="X2215" s="5">
        <f ca="1">IFERROR(__xludf.DUMMYFUNCTION("""COMPUTED_VALUE"""),1)</f>
        <v>1</v>
      </c>
      <c r="Y2215" s="5" t="str">
        <f ca="1">IFERROR(__xludf.DUMMYFUNCTION("""COMPUTED_VALUE"""),"Argument escalated into shooting")</f>
        <v>Argument escalated into shooting</v>
      </c>
      <c r="Z2215" s="5" t="str">
        <f ca="1">IFERROR(__xludf.DUMMYFUNCTION("""COMPUTED_VALUE"""),"Shots fired during fight in school patio area with approximately 100 other students in the area. 2 students injured.")</f>
        <v>Shots fired during fight in school patio area with approximately 100 other students in the area. 2 students injured.</v>
      </c>
      <c r="AA2215" s="5" t="str">
        <f ca="1">IFERROR(__xludf.DUMMYFUNCTION("""COMPUTED_VALUE"""),"Escalation of Dispute")</f>
        <v>Escalation of Dispute</v>
      </c>
      <c r="AB2215" s="5"/>
      <c r="AC2215" s="5" t="str">
        <f ca="1">IFERROR(__xludf.DUMMYFUNCTION("""COMPUTED_VALUE"""),"No")</f>
        <v>No</v>
      </c>
      <c r="AD2215" s="5" t="str">
        <f ca="1">IFERROR(__xludf.DUMMYFUNCTION("""COMPUTED_VALUE"""),"No")</f>
        <v>No</v>
      </c>
      <c r="AE2215" s="5" t="str">
        <f ca="1">IFERROR(__xludf.DUMMYFUNCTION("""COMPUTED_VALUE"""),"No")</f>
        <v>No</v>
      </c>
      <c r="AF2215" s="5" t="str">
        <f ca="1">IFERROR(__xludf.DUMMYFUNCTION("""COMPUTED_VALUE"""),"No")</f>
        <v>No</v>
      </c>
      <c r="AG2215" s="5" t="str">
        <f ca="1">IFERROR(__xludf.DUMMYFUNCTION("""COMPUTED_VALUE"""),"No")</f>
        <v>No</v>
      </c>
      <c r="AH2215" s="5" t="str">
        <f ca="1">IFERROR(__xludf.DUMMYFUNCTION("""COMPUTED_VALUE"""),"No")</f>
        <v>No</v>
      </c>
      <c r="AI2215" s="5" t="str">
        <f ca="1">IFERROR(__xludf.DUMMYFUNCTION("""COMPUTED_VALUE"""),"No")</f>
        <v>No</v>
      </c>
      <c r="AJ2215" s="5"/>
    </row>
    <row r="2216" spans="1:36" ht="13">
      <c r="A2216" s="5" t="str">
        <f ca="1">IFERROR(__xludf.DUMMYFUNCTION("""COMPUTED_VALUE"""),"19750224NJSTP")</f>
        <v>19750224NJSTP</v>
      </c>
      <c r="B2216" s="5">
        <f ca="1">IFERROR(__xludf.DUMMYFUNCTION("""COMPUTED_VALUE"""),2)</f>
        <v>2</v>
      </c>
      <c r="C2216" s="5">
        <f ca="1">IFERROR(__xludf.DUMMYFUNCTION("""COMPUTED_VALUE"""),24)</f>
        <v>24</v>
      </c>
      <c r="D2216" s="5">
        <f ca="1">IFERROR(__xludf.DUMMYFUNCTION("""COMPUTED_VALUE"""),1975)</f>
        <v>1975</v>
      </c>
      <c r="E2216" s="8">
        <f ca="1">IFERROR(__xludf.DUMMYFUNCTION("""COMPUTED_VALUE"""),27449)</f>
        <v>27449</v>
      </c>
      <c r="F2216" s="5" t="str">
        <f ca="1">IFERROR(__xludf.DUMMYFUNCTION("""COMPUTED_VALUE"""),"St. James School")</f>
        <v>St. James School</v>
      </c>
      <c r="G2216" s="5">
        <f ca="1">IFERROR(__xludf.DUMMYFUNCTION("""COMPUTED_VALUE"""),1)</f>
        <v>1</v>
      </c>
      <c r="H2216" s="5">
        <f ca="1">IFERROR(__xludf.DUMMYFUNCTION("""COMPUTED_VALUE"""),1)</f>
        <v>1</v>
      </c>
      <c r="I2216" s="5">
        <f ca="1">IFERROR(__xludf.DUMMYFUNCTION("""COMPUTED_VALUE"""),2)</f>
        <v>2</v>
      </c>
      <c r="J2216" s="5">
        <f ca="1">IFERROR(__xludf.DUMMYFUNCTION("""COMPUTED_VALUE"""),0)</f>
        <v>0</v>
      </c>
      <c r="K2216" s="5" t="str">
        <f ca="1">IFERROR(__xludf.DUMMYFUNCTION("""COMPUTED_VALUE"""),"https://www.newspapers.com/image/184959976/?terms=school%2Bshooting https://www.nytimes.com/1975/02/26/archives/motive-is-a-mystery-in-shooting-of-teacher-and-priest.html")</f>
        <v>https://www.newspapers.com/image/184959976/?terms=school%2Bshooting https://www.nytimes.com/1975/02/26/archives/motive-is-a-mystery-in-shooting-of-teacher-and-priest.html</v>
      </c>
      <c r="L2216" s="5"/>
      <c r="M2216" s="5"/>
      <c r="N2216" s="5">
        <f ca="1">IFERROR(__xludf.DUMMYFUNCTION("""COMPUTED_VALUE"""),3)</f>
        <v>3</v>
      </c>
      <c r="O2216" s="5" t="str">
        <f ca="1">IFERROR(__xludf.DUMMYFUNCTION("""COMPUTED_VALUE"""),"Winter")</f>
        <v>Winter</v>
      </c>
      <c r="P2216" s="5" t="str">
        <f ca="1">IFERROR(__xludf.DUMMYFUNCTION("""COMPUTED_VALUE"""),"Penns Grove")</f>
        <v>Penns Grove</v>
      </c>
      <c r="Q2216" s="5" t="str">
        <f ca="1">IFERROR(__xludf.DUMMYFUNCTION("""COMPUTED_VALUE"""),"NJ")</f>
        <v>NJ</v>
      </c>
      <c r="R2216" s="5" t="str">
        <f ca="1">IFERROR(__xludf.DUMMYFUNCTION("""COMPUTED_VALUE"""),"K-8")</f>
        <v>K-8</v>
      </c>
      <c r="S2216" s="5" t="str">
        <f ca="1">IFERROR(__xludf.DUMMYFUNCTION("""COMPUTED_VALUE"""),"Classroom")</f>
        <v>Classroom</v>
      </c>
      <c r="T2216" s="5" t="str">
        <f ca="1">IFERROR(__xludf.DUMMYFUNCTION("""COMPUTED_VALUE"""),"Inside School Building")</f>
        <v>Inside School Building</v>
      </c>
      <c r="U2216" s="5" t="str">
        <f ca="1">IFERROR(__xludf.DUMMYFUNCTION("""COMPUTED_VALUE"""),"Yes")</f>
        <v>Yes</v>
      </c>
      <c r="V2216" s="5" t="str">
        <f ca="1">IFERROR(__xludf.DUMMYFUNCTION("""COMPUTED_VALUE"""),"Morning Classes")</f>
        <v>Morning Classes</v>
      </c>
      <c r="W2216" s="5"/>
      <c r="X2216" s="5">
        <f ca="1">IFERROR(__xludf.DUMMYFUNCTION("""COMPUTED_VALUE"""),1)</f>
        <v>1</v>
      </c>
      <c r="Y2216" s="5" t="str">
        <f ca="1">IFERROR(__xludf.DUMMYFUNCTION("""COMPUTED_VALUE"""),"Voices told him to kill her, thought priest was controlling him")</f>
        <v>Voices told him to kill her, thought priest was controlling him</v>
      </c>
      <c r="Z2216" s="5" t="str">
        <f ca="1">IFERROR(__xludf.DUMMYFUNCTION("""COMPUTED_VALUE"""),"A 38 year-old male (Rev. Thomas Quinlan, killed) and 25 year-old female teacher (Kathleen Quinlan, injured) when the shooter fired at both of them in front of class of 2nd graders. Shooter was hearing voices and thought he was under mind control. Two psyc"&amp;"hiatrists evaluated him and said he was severely mentally ill and dangerous.")</f>
        <v>A 38 year-old male (Rev. Thomas Quinlan, killed) and 25 year-old female teacher (Kathleen Quinlan, injured) when the shooter fired at both of them in front of class of 2nd graders. Shooter was hearing voices and thought he was under mind control. Two psychiatrists evaluated him and said he was severely mentally ill and dangerous.</v>
      </c>
      <c r="AA2216" s="5" t="str">
        <f ca="1">IFERROR(__xludf.DUMMYFUNCTION("""COMPUTED_VALUE"""),"Psychosis")</f>
        <v>Psychosis</v>
      </c>
      <c r="AB2216" s="5" t="str">
        <f ca="1">IFERROR(__xludf.DUMMYFUNCTION("""COMPUTED_VALUE"""),"Both")</f>
        <v>Both</v>
      </c>
      <c r="AC2216" s="5" t="str">
        <f ca="1">IFERROR(__xludf.DUMMYFUNCTION("""COMPUTED_VALUE"""),"No")</f>
        <v>No</v>
      </c>
      <c r="AD2216" s="5" t="str">
        <f ca="1">IFERROR(__xludf.DUMMYFUNCTION("""COMPUTED_VALUE"""),"No")</f>
        <v>No</v>
      </c>
      <c r="AE2216" s="5" t="str">
        <f ca="1">IFERROR(__xludf.DUMMYFUNCTION("""COMPUTED_VALUE"""),"No")</f>
        <v>No</v>
      </c>
      <c r="AF2216" s="5" t="str">
        <f ca="1">IFERROR(__xludf.DUMMYFUNCTION("""COMPUTED_VALUE"""),"No")</f>
        <v>No</v>
      </c>
      <c r="AG2216" s="5"/>
      <c r="AH2216" s="5" t="str">
        <f ca="1">IFERROR(__xludf.DUMMYFUNCTION("""COMPUTED_VALUE"""),"No")</f>
        <v>No</v>
      </c>
      <c r="AI2216" s="5" t="str">
        <f ca="1">IFERROR(__xludf.DUMMYFUNCTION("""COMPUTED_VALUE"""),"No")</f>
        <v>No</v>
      </c>
      <c r="AJ2216" s="5" t="str">
        <f ca="1">IFERROR(__xludf.DUMMYFUNCTION("""COMPUTED_VALUE"""),"Yes")</f>
        <v>Yes</v>
      </c>
    </row>
    <row r="2217" spans="1:36" ht="13">
      <c r="A2217" s="5" t="str">
        <f ca="1">IFERROR(__xludf.DUMMYFUNCTION("""COMPUTED_VALUE"""),"19750207NYBOM")</f>
        <v>19750207NYBOM</v>
      </c>
      <c r="B2217" s="5">
        <f ca="1">IFERROR(__xludf.DUMMYFUNCTION("""COMPUTED_VALUE"""),2)</f>
        <v>2</v>
      </c>
      <c r="C2217" s="5">
        <f ca="1">IFERROR(__xludf.DUMMYFUNCTION("""COMPUTED_VALUE"""),7)</f>
        <v>7</v>
      </c>
      <c r="D2217" s="5">
        <f ca="1">IFERROR(__xludf.DUMMYFUNCTION("""COMPUTED_VALUE"""),1975)</f>
        <v>1975</v>
      </c>
      <c r="E2217" s="8">
        <f ca="1">IFERROR(__xludf.DUMMYFUNCTION("""COMPUTED_VALUE"""),27432)</f>
        <v>27432</v>
      </c>
      <c r="F2217" s="5" t="str">
        <f ca="1">IFERROR(__xludf.DUMMYFUNCTION("""COMPUTED_VALUE"""),"Board of Cooperative Educational Services")</f>
        <v>Board of Cooperative Educational Services</v>
      </c>
      <c r="G2217" s="5">
        <f ca="1">IFERROR(__xludf.DUMMYFUNCTION("""COMPUTED_VALUE"""),0)</f>
        <v>0</v>
      </c>
      <c r="H2217" s="5">
        <f ca="1">IFERROR(__xludf.DUMMYFUNCTION("""COMPUTED_VALUE"""),0)</f>
        <v>0</v>
      </c>
      <c r="I2217" s="5">
        <f ca="1">IFERROR(__xludf.DUMMYFUNCTION("""COMPUTED_VALUE"""),0)</f>
        <v>0</v>
      </c>
      <c r="J2217" s="5">
        <f ca="1">IFERROR(__xludf.DUMMYFUNCTION("""COMPUTED_VALUE"""),0)</f>
        <v>0</v>
      </c>
      <c r="K2217" s="9" t="str">
        <f ca="1">IFERROR(__xludf.DUMMYFUNCTION("""COMPUTED_VALUE"""),"https://www.newspapers.com/image/431914265/?terms=william%2Bgund")</f>
        <v>https://www.newspapers.com/image/431914265/?terms=william%2Bgund</v>
      </c>
      <c r="L2217" s="5"/>
      <c r="M2217" s="5"/>
      <c r="N2217" s="5">
        <f ca="1">IFERROR(__xludf.DUMMYFUNCTION("""COMPUTED_VALUE"""),2)</f>
        <v>2</v>
      </c>
      <c r="O2217" s="5" t="str">
        <f ca="1">IFERROR(__xludf.DUMMYFUNCTION("""COMPUTED_VALUE"""),"Winter")</f>
        <v>Winter</v>
      </c>
      <c r="P2217" s="5" t="str">
        <f ca="1">IFERROR(__xludf.DUMMYFUNCTION("""COMPUTED_VALUE"""),"Mineola")</f>
        <v>Mineola</v>
      </c>
      <c r="Q2217" s="5" t="str">
        <f ca="1">IFERROR(__xludf.DUMMYFUNCTION("""COMPUTED_VALUE"""),"NY")</f>
        <v>NY</v>
      </c>
      <c r="R2217" s="5" t="str">
        <f ca="1">IFERROR(__xludf.DUMMYFUNCTION("""COMPUTED_VALUE"""),"Other")</f>
        <v>Other</v>
      </c>
      <c r="S2217" s="5" t="str">
        <f ca="1">IFERROR(__xludf.DUMMYFUNCTION("""COMPUTED_VALUE"""),"Inside School Building")</f>
        <v>Inside School Building</v>
      </c>
      <c r="T2217" s="5" t="str">
        <f ca="1">IFERROR(__xludf.DUMMYFUNCTION("""COMPUTED_VALUE"""),"Inside School Building")</f>
        <v>Inside School Building</v>
      </c>
      <c r="U2217" s="5" t="str">
        <f ca="1">IFERROR(__xludf.DUMMYFUNCTION("""COMPUTED_VALUE"""),"Yes")</f>
        <v>Yes</v>
      </c>
      <c r="V2217" s="5" t="str">
        <f ca="1">IFERROR(__xludf.DUMMYFUNCTION("""COMPUTED_VALUE"""),"Afternoon Classes")</f>
        <v>Afternoon Classes</v>
      </c>
      <c r="W2217" s="5"/>
      <c r="X2217" s="5">
        <f ca="1">IFERROR(__xludf.DUMMYFUNCTION("""COMPUTED_VALUE"""),1)</f>
        <v>1</v>
      </c>
      <c r="Y2217" s="5" t="str">
        <f ca="1">IFERROR(__xludf.DUMMYFUNCTION("""COMPUTED_VALUE"""),"Shooter shot himself after being confronted by counselor regarding his latenesses/ absentees")</f>
        <v>Shooter shot himself after being confronted by counselor regarding his latenesses/ absentees</v>
      </c>
      <c r="Z2217" s="5" t="str">
        <f ca="1">IFERROR(__xludf.DUMMYFUNCTION("""COMPUTED_VALUE"""),"Shooter shoots self in head at school after being told by counselor about his absentees and latenesses.")</f>
        <v>Shooter shoots self in head at school after being told by counselor about his absentees and latenesses.</v>
      </c>
      <c r="AA2217" s="5" t="str">
        <f ca="1">IFERROR(__xludf.DUMMYFUNCTION("""COMPUTED_VALUE"""),"Suicide/Attempted")</f>
        <v>Suicide/Attempted</v>
      </c>
      <c r="AB2217" s="5" t="str">
        <f ca="1">IFERROR(__xludf.DUMMYFUNCTION("""COMPUTED_VALUE"""),"Victims Targeted")</f>
        <v>Victims Targeted</v>
      </c>
      <c r="AC2217" s="5" t="str">
        <f ca="1">IFERROR(__xludf.DUMMYFUNCTION("""COMPUTED_VALUE"""),"No")</f>
        <v>No</v>
      </c>
      <c r="AD2217" s="5" t="str">
        <f ca="1">IFERROR(__xludf.DUMMYFUNCTION("""COMPUTED_VALUE"""),"No")</f>
        <v>No</v>
      </c>
      <c r="AE2217" s="5" t="str">
        <f ca="1">IFERROR(__xludf.DUMMYFUNCTION("""COMPUTED_VALUE"""),"No")</f>
        <v>No</v>
      </c>
      <c r="AF2217" s="5" t="str">
        <f ca="1">IFERROR(__xludf.DUMMYFUNCTION("""COMPUTED_VALUE"""),"No")</f>
        <v>No</v>
      </c>
      <c r="AG2217" s="5" t="str">
        <f ca="1">IFERROR(__xludf.DUMMYFUNCTION("""COMPUTED_VALUE"""),"No")</f>
        <v>No</v>
      </c>
      <c r="AH2217" s="5" t="str">
        <f ca="1">IFERROR(__xludf.DUMMYFUNCTION("""COMPUTED_VALUE"""),"No")</f>
        <v>No</v>
      </c>
      <c r="AI2217" s="5" t="str">
        <f ca="1">IFERROR(__xludf.DUMMYFUNCTION("""COMPUTED_VALUE"""),"No")</f>
        <v>No</v>
      </c>
      <c r="AJ2217" s="5"/>
    </row>
    <row r="2218" spans="1:36" ht="13">
      <c r="A2218" s="5" t="str">
        <f ca="1">IFERROR(__xludf.DUMMYFUNCTION("""COMPUTED_VALUE"""),"19741230NYOLO")</f>
        <v>19741230NYOLO</v>
      </c>
      <c r="B2218" s="5">
        <f ca="1">IFERROR(__xludf.DUMMYFUNCTION("""COMPUTED_VALUE"""),12)</f>
        <v>12</v>
      </c>
      <c r="C2218" s="5">
        <f ca="1">IFERROR(__xludf.DUMMYFUNCTION("""COMPUTED_VALUE"""),30)</f>
        <v>30</v>
      </c>
      <c r="D2218" s="5">
        <f ca="1">IFERROR(__xludf.DUMMYFUNCTION("""COMPUTED_VALUE"""),1974)</f>
        <v>1974</v>
      </c>
      <c r="E2218" s="8">
        <f ca="1">IFERROR(__xludf.DUMMYFUNCTION("""COMPUTED_VALUE"""),27393)</f>
        <v>27393</v>
      </c>
      <c r="F2218" s="5" t="str">
        <f ca="1">IFERROR(__xludf.DUMMYFUNCTION("""COMPUTED_VALUE"""),"Olean High School")</f>
        <v>Olean High School</v>
      </c>
      <c r="G2218" s="5">
        <f ca="1">IFERROR(__xludf.DUMMYFUNCTION("""COMPUTED_VALUE"""),3)</f>
        <v>3</v>
      </c>
      <c r="H2218" s="5">
        <f ca="1">IFERROR(__xludf.DUMMYFUNCTION("""COMPUTED_VALUE"""),7)</f>
        <v>7</v>
      </c>
      <c r="I2218" s="5">
        <f ca="1">IFERROR(__xludf.DUMMYFUNCTION("""COMPUTED_VALUE"""),10)</f>
        <v>10</v>
      </c>
      <c r="J2218" s="5">
        <f ca="1">IFERROR(__xludf.DUMMYFUNCTION("""COMPUTED_VALUE"""),0)</f>
        <v>0</v>
      </c>
      <c r="K2218" s="5" t="str">
        <f ca="1">IFERROR(__xludf.DUMMYFUNCTION("""COMPUTED_VALUE"""),"https://www.nytimes.com/1974/12/31/archives/3-killed-and-9-wounded-by-an-upstate-sniper-18-3-killed-and-9.html https://www.newspapers.com/image/255169003/?terms=school%2Bshooting")</f>
        <v>https://www.nytimes.com/1974/12/31/archives/3-killed-and-9-wounded-by-an-upstate-sniper-18-3-killed-and-9.html https://www.newspapers.com/image/255169003/?terms=school%2Bshooting</v>
      </c>
      <c r="L2218" s="5"/>
      <c r="M2218" s="5"/>
      <c r="N2218" s="5">
        <f ca="1">IFERROR(__xludf.DUMMYFUNCTION("""COMPUTED_VALUE"""),3)</f>
        <v>3</v>
      </c>
      <c r="O2218" s="5" t="str">
        <f ca="1">IFERROR(__xludf.DUMMYFUNCTION("""COMPUTED_VALUE"""),"Winter")</f>
        <v>Winter</v>
      </c>
      <c r="P2218" s="5" t="str">
        <f ca="1">IFERROR(__xludf.DUMMYFUNCTION("""COMPUTED_VALUE"""),"Olean")</f>
        <v>Olean</v>
      </c>
      <c r="Q2218" s="5" t="str">
        <f ca="1">IFERROR(__xludf.DUMMYFUNCTION("""COMPUTED_VALUE"""),"NY")</f>
        <v>NY</v>
      </c>
      <c r="R2218" s="5" t="str">
        <f ca="1">IFERROR(__xludf.DUMMYFUNCTION("""COMPUTED_VALUE"""),"High")</f>
        <v>High</v>
      </c>
      <c r="S2218" s="5" t="str">
        <f ca="1">IFERROR(__xludf.DUMMYFUNCTION("""COMPUTED_VALUE"""),"Classroom")</f>
        <v>Classroom</v>
      </c>
      <c r="T2218" s="5" t="str">
        <f ca="1">IFERROR(__xludf.DUMMYFUNCTION("""COMPUTED_VALUE"""),"Inside School Building")</f>
        <v>Inside School Building</v>
      </c>
      <c r="U2218" s="5" t="str">
        <f ca="1">IFERROR(__xludf.DUMMYFUNCTION("""COMPUTED_VALUE"""),"No")</f>
        <v>No</v>
      </c>
      <c r="V2218" s="5" t="str">
        <f ca="1">IFERROR(__xludf.DUMMYFUNCTION("""COMPUTED_VALUE"""),"After School")</f>
        <v>After School</v>
      </c>
      <c r="W2218" s="10">
        <f ca="1">IFERROR(__xludf.DUMMYFUNCTION("""COMPUTED_VALUE"""),0.625)</f>
        <v>0.625</v>
      </c>
      <c r="X2218" s="5">
        <f ca="1">IFERROR(__xludf.DUMMYFUNCTION("""COMPUTED_VALUE"""),150)</f>
        <v>150</v>
      </c>
      <c r="Y2218" s="5" t="str">
        <f ca="1">IFERROR(__xludf.DUMMYFUNCTION("""COMPUTED_VALUE"""),"Sniper attack from school building by trophy rifle team member/Regent's scholar")</f>
        <v>Sniper attack from school building by trophy rifle team member/Regent's scholar</v>
      </c>
      <c r="Z2218" s="5" t="str">
        <f ca="1">IFERROR(__xludf.DUMMYFUNCTION("""COMPUTED_VALUE"""),"Champion rifle team member and honor student began firing at random targets in the street outside the school from the 3rd and 4th floor windows. Killed a janitor in the school during the shooting. 2.5 hour standoff and National Guard was called to respond"&amp;". Filled the school with tear gas. Shooter threw the guns out of the window before being detained. No prior warning. Shooter had a detailed plan found in a diary. Had multiple weapons: .30-60 rifle;12g shotgun.")</f>
        <v>Champion rifle team member and honor student began firing at random targets in the street outside the school from the 3rd and 4th floor windows. Killed a janitor in the school during the shooting. 2.5 hour standoff and National Guard was called to respond. Filled the school with tear gas. Shooter threw the guns out of the window before being detained. No prior warning. Shooter had a detailed plan found in a diary. Had multiple weapons: .30-60 rifle;12g shotgun.</v>
      </c>
      <c r="AA2218" s="5" t="str">
        <f ca="1">IFERROR(__xludf.DUMMYFUNCTION("""COMPUTED_VALUE"""),"Indiscriminate Shooting")</f>
        <v>Indiscriminate Shooting</v>
      </c>
      <c r="AB2218" s="5" t="str">
        <f ca="1">IFERROR(__xludf.DUMMYFUNCTION("""COMPUTED_VALUE"""),"Random Shooting")</f>
        <v>Random Shooting</v>
      </c>
      <c r="AC2218" s="5" t="str">
        <f ca="1">IFERROR(__xludf.DUMMYFUNCTION("""COMPUTED_VALUE"""),"No")</f>
        <v>No</v>
      </c>
      <c r="AD2218" s="5" t="str">
        <f ca="1">IFERROR(__xludf.DUMMYFUNCTION("""COMPUTED_VALUE"""),"No")</f>
        <v>No</v>
      </c>
      <c r="AE2218" s="5" t="str">
        <f ca="1">IFERROR(__xludf.DUMMYFUNCTION("""COMPUTED_VALUE"""),"Yes")</f>
        <v>Yes</v>
      </c>
      <c r="AF2218" s="5" t="str">
        <f ca="1">IFERROR(__xludf.DUMMYFUNCTION("""COMPUTED_VALUE"""),"No")</f>
        <v>No</v>
      </c>
      <c r="AG2218" s="5" t="str">
        <f ca="1">IFERROR(__xludf.DUMMYFUNCTION("""COMPUTED_VALUE"""),"No")</f>
        <v>No</v>
      </c>
      <c r="AH2218" s="5" t="str">
        <f ca="1">IFERROR(__xludf.DUMMYFUNCTION("""COMPUTED_VALUE"""),"No")</f>
        <v>No</v>
      </c>
      <c r="AI2218" s="5" t="str">
        <f ca="1">IFERROR(__xludf.DUMMYFUNCTION("""COMPUTED_VALUE"""),"No")</f>
        <v>No</v>
      </c>
      <c r="AJ2218" s="5" t="str">
        <f ca="1">IFERROR(__xludf.DUMMYFUNCTION("""COMPUTED_VALUE"""),"Yes")</f>
        <v>Yes</v>
      </c>
    </row>
    <row r="2219" spans="1:36" ht="13">
      <c r="A2219" s="5" t="str">
        <f ca="1">IFERROR(__xludf.DUMMYFUNCTION("""COMPUTED_VALUE"""),"19741218CAMAL")</f>
        <v>19741218CAMAL</v>
      </c>
      <c r="B2219" s="5">
        <f ca="1">IFERROR(__xludf.DUMMYFUNCTION("""COMPUTED_VALUE"""),12)</f>
        <v>12</v>
      </c>
      <c r="C2219" s="5">
        <f ca="1">IFERROR(__xludf.DUMMYFUNCTION("""COMPUTED_VALUE"""),18)</f>
        <v>18</v>
      </c>
      <c r="D2219" s="5">
        <f ca="1">IFERROR(__xludf.DUMMYFUNCTION("""COMPUTED_VALUE"""),1974)</f>
        <v>1974</v>
      </c>
      <c r="E2219" s="8">
        <f ca="1">IFERROR(__xludf.DUMMYFUNCTION("""COMPUTED_VALUE"""),27381)</f>
        <v>27381</v>
      </c>
      <c r="F2219" s="5" t="str">
        <f ca="1">IFERROR(__xludf.DUMMYFUNCTION("""COMPUTED_VALUE"""),"Manual Arts High School")</f>
        <v>Manual Arts High School</v>
      </c>
      <c r="G2219" s="5">
        <f ca="1">IFERROR(__xludf.DUMMYFUNCTION("""COMPUTED_VALUE"""),1)</f>
        <v>1</v>
      </c>
      <c r="H2219" s="5">
        <f ca="1">IFERROR(__xludf.DUMMYFUNCTION("""COMPUTED_VALUE"""),1)</f>
        <v>1</v>
      </c>
      <c r="I2219" s="5">
        <f ca="1">IFERROR(__xludf.DUMMYFUNCTION("""COMPUTED_VALUE"""),2)</f>
        <v>2</v>
      </c>
      <c r="J2219" s="5">
        <f ca="1">IFERROR(__xludf.DUMMYFUNCTION("""COMPUTED_VALUE"""),0)</f>
        <v>0</v>
      </c>
      <c r="K2219" s="9" t="str">
        <f ca="1">IFERROR(__xludf.DUMMYFUNCTION("""COMPUTED_VALUE"""),"https://www.newspapers.com/image/246204936/?terms=school%2Bshooting")</f>
        <v>https://www.newspapers.com/image/246204936/?terms=school%2Bshooting</v>
      </c>
      <c r="L2219" s="5"/>
      <c r="M2219" s="5"/>
      <c r="N2219" s="5">
        <f ca="1">IFERROR(__xludf.DUMMYFUNCTION("""COMPUTED_VALUE"""),2)</f>
        <v>2</v>
      </c>
      <c r="O2219" s="5" t="str">
        <f ca="1">IFERROR(__xludf.DUMMYFUNCTION("""COMPUTED_VALUE"""),"Winter")</f>
        <v>Winter</v>
      </c>
      <c r="P2219" s="5" t="str">
        <f ca="1">IFERROR(__xludf.DUMMYFUNCTION("""COMPUTED_VALUE"""),"Los Angeles")</f>
        <v>Los Angeles</v>
      </c>
      <c r="Q2219" s="5" t="str">
        <f ca="1">IFERROR(__xludf.DUMMYFUNCTION("""COMPUTED_VALUE"""),"CA")</f>
        <v>CA</v>
      </c>
      <c r="R2219" s="5" t="str">
        <f ca="1">IFERROR(__xludf.DUMMYFUNCTION("""COMPUTED_VALUE"""),"High")</f>
        <v>High</v>
      </c>
      <c r="S2219" s="5" t="str">
        <f ca="1">IFERROR(__xludf.DUMMYFUNCTION("""COMPUTED_VALUE"""),"ND")</f>
        <v>ND</v>
      </c>
      <c r="T2219" s="5" t="str">
        <f ca="1">IFERROR(__xludf.DUMMYFUNCTION("""COMPUTED_VALUE"""),"ND")</f>
        <v>ND</v>
      </c>
      <c r="U2219" s="5" t="str">
        <f ca="1">IFERROR(__xludf.DUMMYFUNCTION("""COMPUTED_VALUE"""),"Yes")</f>
        <v>Yes</v>
      </c>
      <c r="V2219" s="5" t="str">
        <f ca="1">IFERROR(__xludf.DUMMYFUNCTION("""COMPUTED_VALUE"""),"Lunch")</f>
        <v>Lunch</v>
      </c>
      <c r="W2219" s="10">
        <f ca="1">IFERROR(__xludf.DUMMYFUNCTION("""COMPUTED_VALUE"""),0.5)</f>
        <v>0.5</v>
      </c>
      <c r="X2219" s="5">
        <f ca="1">IFERROR(__xludf.DUMMYFUNCTION("""COMPUTED_VALUE"""),1)</f>
        <v>1</v>
      </c>
      <c r="Y2219" s="5" t="str">
        <f ca="1">IFERROR(__xludf.DUMMYFUNCTION("""COMPUTED_VALUE"""),"Retaliation for prior gang shootings")</f>
        <v>Retaliation for prior gang shootings</v>
      </c>
      <c r="Z2219" s="5" t="str">
        <f ca="1">IFERROR(__xludf.DUMMYFUNCTION("""COMPUTED_VALUE"""),"Two gang affiliated teenage students were shot by a rival gang member who had just escaped juvenile hall.")</f>
        <v>Two gang affiliated teenage students were shot by a rival gang member who had just escaped juvenile hall.</v>
      </c>
      <c r="AA2219" s="5" t="str">
        <f ca="1">IFERROR(__xludf.DUMMYFUNCTION("""COMPUTED_VALUE"""),"Escalation of Dispute")</f>
        <v>Escalation of Dispute</v>
      </c>
      <c r="AB2219" s="5" t="str">
        <f ca="1">IFERROR(__xludf.DUMMYFUNCTION("""COMPUTED_VALUE"""),"Victims Targeted")</f>
        <v>Victims Targeted</v>
      </c>
      <c r="AC2219" s="5" t="str">
        <f ca="1">IFERROR(__xludf.DUMMYFUNCTION("""COMPUTED_VALUE"""),"No")</f>
        <v>No</v>
      </c>
      <c r="AD2219" s="5" t="str">
        <f ca="1">IFERROR(__xludf.DUMMYFUNCTION("""COMPUTED_VALUE"""),"No")</f>
        <v>No</v>
      </c>
      <c r="AE2219" s="5" t="str">
        <f ca="1">IFERROR(__xludf.DUMMYFUNCTION("""COMPUTED_VALUE"""),"No")</f>
        <v>No</v>
      </c>
      <c r="AF2219" s="5" t="str">
        <f ca="1">IFERROR(__xludf.DUMMYFUNCTION("""COMPUTED_VALUE"""),"No")</f>
        <v>No</v>
      </c>
      <c r="AG2219" s="5" t="str">
        <f ca="1">IFERROR(__xludf.DUMMYFUNCTION("""COMPUTED_VALUE"""),"No")</f>
        <v>No</v>
      </c>
      <c r="AH2219" s="5" t="str">
        <f ca="1">IFERROR(__xludf.DUMMYFUNCTION("""COMPUTED_VALUE"""),"No")</f>
        <v>No</v>
      </c>
      <c r="AI2219" s="5" t="str">
        <f ca="1">IFERROR(__xludf.DUMMYFUNCTION("""COMPUTED_VALUE"""),"Yes")</f>
        <v>Yes</v>
      </c>
      <c r="AJ2219" s="5"/>
    </row>
    <row r="2220" spans="1:36" ht="13">
      <c r="A2220" s="5" t="str">
        <f ca="1">IFERROR(__xludf.DUMMYFUNCTION("""COMPUTED_VALUE"""),"19741125SCCAC")</f>
        <v>19741125SCCAC</v>
      </c>
      <c r="B2220" s="5">
        <f ca="1">IFERROR(__xludf.DUMMYFUNCTION("""COMPUTED_VALUE"""),11)</f>
        <v>11</v>
      </c>
      <c r="C2220" s="5">
        <f ca="1">IFERROR(__xludf.DUMMYFUNCTION("""COMPUTED_VALUE"""),25)</f>
        <v>25</v>
      </c>
      <c r="D2220" s="5">
        <f ca="1">IFERROR(__xludf.DUMMYFUNCTION("""COMPUTED_VALUE"""),1974)</f>
        <v>1974</v>
      </c>
      <c r="E2220" s="8">
        <f ca="1">IFERROR(__xludf.DUMMYFUNCTION("""COMPUTED_VALUE"""),27358)</f>
        <v>27358</v>
      </c>
      <c r="F2220" s="5" t="str">
        <f ca="1">IFERROR(__xludf.DUMMYFUNCTION("""COMPUTED_VALUE"""),"C A Brown High School")</f>
        <v>C A Brown High School</v>
      </c>
      <c r="G2220" s="5">
        <f ca="1">IFERROR(__xludf.DUMMYFUNCTION("""COMPUTED_VALUE"""),0)</f>
        <v>0</v>
      </c>
      <c r="H2220" s="5">
        <f ca="1">IFERROR(__xludf.DUMMYFUNCTION("""COMPUTED_VALUE"""),0)</f>
        <v>0</v>
      </c>
      <c r="I2220" s="5">
        <f ca="1">IFERROR(__xludf.DUMMYFUNCTION("""COMPUTED_VALUE"""),0)</f>
        <v>0</v>
      </c>
      <c r="J2220" s="5">
        <f ca="1">IFERROR(__xludf.DUMMYFUNCTION("""COMPUTED_VALUE"""),0)</f>
        <v>0</v>
      </c>
      <c r="K2220" s="9" t="str">
        <f ca="1">IFERROR(__xludf.DUMMYFUNCTION("""COMPUTED_VALUE"""),"https://www.newspapers.com/image/68536508/?terms=school%2Bshooting")</f>
        <v>https://www.newspapers.com/image/68536508/?terms=school%2Bshooting</v>
      </c>
      <c r="L2220" s="5"/>
      <c r="M2220" s="5"/>
      <c r="N2220" s="5">
        <f ca="1">IFERROR(__xludf.DUMMYFUNCTION("""COMPUTED_VALUE"""),2)</f>
        <v>2</v>
      </c>
      <c r="O2220" s="5" t="str">
        <f ca="1">IFERROR(__xludf.DUMMYFUNCTION("""COMPUTED_VALUE"""),"Fall")</f>
        <v>Fall</v>
      </c>
      <c r="P2220" s="5" t="str">
        <f ca="1">IFERROR(__xludf.DUMMYFUNCTION("""COMPUTED_VALUE"""),"Charleston")</f>
        <v>Charleston</v>
      </c>
      <c r="Q2220" s="5" t="str">
        <f ca="1">IFERROR(__xludf.DUMMYFUNCTION("""COMPUTED_VALUE"""),"SC")</f>
        <v>SC</v>
      </c>
      <c r="R2220" s="5" t="str">
        <f ca="1">IFERROR(__xludf.DUMMYFUNCTION("""COMPUTED_VALUE"""),"High")</f>
        <v>High</v>
      </c>
      <c r="S2220" s="5" t="str">
        <f ca="1">IFERROR(__xludf.DUMMYFUNCTION("""COMPUTED_VALUE"""),"Outside on School Property")</f>
        <v>Outside on School Property</v>
      </c>
      <c r="T2220" s="5" t="str">
        <f ca="1">IFERROR(__xludf.DUMMYFUNCTION("""COMPUTED_VALUE"""),"Outside on School Property")</f>
        <v>Outside on School Property</v>
      </c>
      <c r="U2220" s="5" t="str">
        <f ca="1">IFERROR(__xludf.DUMMYFUNCTION("""COMPUTED_VALUE"""),"No")</f>
        <v>No</v>
      </c>
      <c r="V2220" s="5" t="str">
        <f ca="1">IFERROR(__xludf.DUMMYFUNCTION("""COMPUTED_VALUE"""),"After School")</f>
        <v>After School</v>
      </c>
      <c r="W2220" s="10">
        <f ca="1">IFERROR(__xludf.DUMMYFUNCTION("""COMPUTED_VALUE"""),0.625)</f>
        <v>0.625</v>
      </c>
      <c r="X2220" s="5">
        <f ca="1">IFERROR(__xludf.DUMMYFUNCTION("""COMPUTED_VALUE"""),1)</f>
        <v>1</v>
      </c>
      <c r="Y2220" s="5" t="str">
        <f ca="1">IFERROR(__xludf.DUMMYFUNCTION("""COMPUTED_VALUE"""),"Shots fired at group of student/gang members in retaliation for previous week shooting")</f>
        <v>Shots fired at group of student/gang members in retaliation for previous week shooting</v>
      </c>
      <c r="Z2220" s="5" t="str">
        <f ca="1">IFERROR(__xludf.DUMMYFUNCTION("""COMPUTED_VALUE"""),"2 shooters (students) fired shots fired at group of students in retaliation for shooting the prior week. No injuries.")</f>
        <v>2 shooters (students) fired shots fired at group of students in retaliation for shooting the prior week. No injuries.</v>
      </c>
      <c r="AA2220" s="5" t="str">
        <f ca="1">IFERROR(__xludf.DUMMYFUNCTION("""COMPUTED_VALUE"""),"Escalation of Dispute")</f>
        <v>Escalation of Dispute</v>
      </c>
      <c r="AB2220" s="5" t="str">
        <f ca="1">IFERROR(__xludf.DUMMYFUNCTION("""COMPUTED_VALUE"""),"Victims Targeted")</f>
        <v>Victims Targeted</v>
      </c>
      <c r="AC2220" s="5" t="str">
        <f ca="1">IFERROR(__xludf.DUMMYFUNCTION("""COMPUTED_VALUE"""),"Yes")</f>
        <v>Yes</v>
      </c>
      <c r="AD2220" s="5" t="str">
        <f ca="1">IFERROR(__xludf.DUMMYFUNCTION("""COMPUTED_VALUE"""),"No")</f>
        <v>No</v>
      </c>
      <c r="AE2220" s="5" t="str">
        <f ca="1">IFERROR(__xludf.DUMMYFUNCTION("""COMPUTED_VALUE"""),"No")</f>
        <v>No</v>
      </c>
      <c r="AF2220" s="5" t="str">
        <f ca="1">IFERROR(__xludf.DUMMYFUNCTION("""COMPUTED_VALUE"""),"No")</f>
        <v>No</v>
      </c>
      <c r="AG2220" s="5" t="str">
        <f ca="1">IFERROR(__xludf.DUMMYFUNCTION("""COMPUTED_VALUE"""),"No")</f>
        <v>No</v>
      </c>
      <c r="AH2220" s="5" t="str">
        <f ca="1">IFERROR(__xludf.DUMMYFUNCTION("""COMPUTED_VALUE"""),"No")</f>
        <v>No</v>
      </c>
      <c r="AI2220" s="5" t="str">
        <f ca="1">IFERROR(__xludf.DUMMYFUNCTION("""COMPUTED_VALUE"""),"Yes")</f>
        <v>Yes</v>
      </c>
      <c r="AJ2220" s="5"/>
    </row>
    <row r="2221" spans="1:36" ht="13">
      <c r="A2221" s="5" t="str">
        <f ca="1">IFERROR(__xludf.DUMMYFUNCTION("""COMPUTED_VALUE"""),"19741121ARBOL")</f>
        <v>19741121ARBOL</v>
      </c>
      <c r="B2221" s="5">
        <f ca="1">IFERROR(__xludf.DUMMYFUNCTION("""COMPUTED_VALUE"""),11)</f>
        <v>11</v>
      </c>
      <c r="C2221" s="5">
        <f ca="1">IFERROR(__xludf.DUMMYFUNCTION("""COMPUTED_VALUE"""),21)</f>
        <v>21</v>
      </c>
      <c r="D2221" s="5">
        <f ca="1">IFERROR(__xludf.DUMMYFUNCTION("""COMPUTED_VALUE"""),1974)</f>
        <v>1974</v>
      </c>
      <c r="E2221" s="8">
        <f ca="1">IFERROR(__xludf.DUMMYFUNCTION("""COMPUTED_VALUE"""),27354)</f>
        <v>27354</v>
      </c>
      <c r="F2221" s="5" t="str">
        <f ca="1">IFERROR(__xludf.DUMMYFUNCTION("""COMPUTED_VALUE"""),"Booker Junior High School")</f>
        <v>Booker Junior High School</v>
      </c>
      <c r="G2221" s="5">
        <f ca="1">IFERROR(__xludf.DUMMYFUNCTION("""COMPUTED_VALUE"""),1)</f>
        <v>1</v>
      </c>
      <c r="H2221" s="5">
        <f ca="1">IFERROR(__xludf.DUMMYFUNCTION("""COMPUTED_VALUE"""),1)</f>
        <v>1</v>
      </c>
      <c r="I2221" s="5">
        <f ca="1">IFERROR(__xludf.DUMMYFUNCTION("""COMPUTED_VALUE"""),2)</f>
        <v>2</v>
      </c>
      <c r="J2221" s="5">
        <f ca="1">IFERROR(__xludf.DUMMYFUNCTION("""COMPUTED_VALUE"""),0)</f>
        <v>0</v>
      </c>
      <c r="K2221" s="9" t="str">
        <f ca="1">IFERROR(__xludf.DUMMYFUNCTION("""COMPUTED_VALUE"""),"https://www.newspapers.com/image/31485570/?terms=school%2Bshooting")</f>
        <v>https://www.newspapers.com/image/31485570/?terms=school%2Bshooting</v>
      </c>
      <c r="L2221" s="5"/>
      <c r="M2221" s="5"/>
      <c r="N2221" s="5">
        <f ca="1">IFERROR(__xludf.DUMMYFUNCTION("""COMPUTED_VALUE"""),2)</f>
        <v>2</v>
      </c>
      <c r="O2221" s="5" t="str">
        <f ca="1">IFERROR(__xludf.DUMMYFUNCTION("""COMPUTED_VALUE"""),"Fall")</f>
        <v>Fall</v>
      </c>
      <c r="P2221" s="5" t="str">
        <f ca="1">IFERROR(__xludf.DUMMYFUNCTION("""COMPUTED_VALUE"""),"Little Rock")</f>
        <v>Little Rock</v>
      </c>
      <c r="Q2221" s="5" t="str">
        <f ca="1">IFERROR(__xludf.DUMMYFUNCTION("""COMPUTED_VALUE"""),"AR")</f>
        <v>AR</v>
      </c>
      <c r="R2221" s="5" t="str">
        <f ca="1">IFERROR(__xludf.DUMMYFUNCTION("""COMPUTED_VALUE"""),"Junior High")</f>
        <v>Junior High</v>
      </c>
      <c r="S2221" s="5" t="str">
        <f ca="1">IFERROR(__xludf.DUMMYFUNCTION("""COMPUTED_VALUE"""),"Cafeteria")</f>
        <v>Cafeteria</v>
      </c>
      <c r="T2221" s="5" t="str">
        <f ca="1">IFERROR(__xludf.DUMMYFUNCTION("""COMPUTED_VALUE"""),"Inside School Building")</f>
        <v>Inside School Building</v>
      </c>
      <c r="U2221" s="5" t="str">
        <f ca="1">IFERROR(__xludf.DUMMYFUNCTION("""COMPUTED_VALUE"""),"Yes")</f>
        <v>Yes</v>
      </c>
      <c r="V2221" s="5" t="str">
        <f ca="1">IFERROR(__xludf.DUMMYFUNCTION("""COMPUTED_VALUE"""),"Lunch")</f>
        <v>Lunch</v>
      </c>
      <c r="W2221" s="10">
        <f ca="1">IFERROR(__xludf.DUMMYFUNCTION("""COMPUTED_VALUE"""),0.5625)</f>
        <v>0.5625</v>
      </c>
      <c r="X2221" s="5">
        <f ca="1">IFERROR(__xludf.DUMMYFUNCTION("""COMPUTED_VALUE"""),1)</f>
        <v>1</v>
      </c>
      <c r="Y2221" s="5" t="str">
        <f ca="1">IFERROR(__xludf.DUMMYFUNCTION("""COMPUTED_VALUE"""),"Ongoing fight between student, bystander hit")</f>
        <v>Ongoing fight between student, bystander hit</v>
      </c>
      <c r="Z2221" s="5" t="str">
        <f ca="1">IFERROR(__xludf.DUMMYFUNCTION("""COMPUTED_VALUE"""),"Shooter and victim had ongoing fight for multiple days. Fight escalated into shooting in cafeteria. Bystander student was struck. Shooter fled to home and called police to turn himself in.")</f>
        <v>Shooter and victim had ongoing fight for multiple days. Fight escalated into shooting in cafeteria. Bystander student was struck. Shooter fled to home and called police to turn himself in.</v>
      </c>
      <c r="AA2221" s="5" t="str">
        <f ca="1">IFERROR(__xludf.DUMMYFUNCTION("""COMPUTED_VALUE"""),"Escalation of Dispute")</f>
        <v>Escalation of Dispute</v>
      </c>
      <c r="AB2221" s="5" t="str">
        <f ca="1">IFERROR(__xludf.DUMMYFUNCTION("""COMPUTED_VALUE"""),"Both")</f>
        <v>Both</v>
      </c>
      <c r="AC2221" s="5" t="str">
        <f ca="1">IFERROR(__xludf.DUMMYFUNCTION("""COMPUTED_VALUE"""),"No")</f>
        <v>No</v>
      </c>
      <c r="AD2221" s="5" t="str">
        <f ca="1">IFERROR(__xludf.DUMMYFUNCTION("""COMPUTED_VALUE"""),"No")</f>
        <v>No</v>
      </c>
      <c r="AE2221" s="5" t="str">
        <f ca="1">IFERROR(__xludf.DUMMYFUNCTION("""COMPUTED_VALUE"""),"No")</f>
        <v>No</v>
      </c>
      <c r="AF2221" s="5" t="str">
        <f ca="1">IFERROR(__xludf.DUMMYFUNCTION("""COMPUTED_VALUE"""),"No")</f>
        <v>No</v>
      </c>
      <c r="AG2221" s="5" t="str">
        <f ca="1">IFERROR(__xludf.DUMMYFUNCTION("""COMPUTED_VALUE"""),"No")</f>
        <v>No</v>
      </c>
      <c r="AH2221" s="5" t="str">
        <f ca="1">IFERROR(__xludf.DUMMYFUNCTION("""COMPUTED_VALUE"""),"No")</f>
        <v>No</v>
      </c>
      <c r="AI2221" s="5" t="str">
        <f ca="1">IFERROR(__xludf.DUMMYFUNCTION("""COMPUTED_VALUE"""),"No")</f>
        <v>No</v>
      </c>
      <c r="AJ2221" s="5"/>
    </row>
    <row r="2222" spans="1:36" ht="13">
      <c r="A2222" s="5" t="str">
        <f ca="1">IFERROR(__xludf.DUMMYFUNCTION("""COMPUTED_VALUE"""),"19741118SCCAC")</f>
        <v>19741118SCCAC</v>
      </c>
      <c r="B2222" s="5">
        <f ca="1">IFERROR(__xludf.DUMMYFUNCTION("""COMPUTED_VALUE"""),11)</f>
        <v>11</v>
      </c>
      <c r="C2222" s="5">
        <f ca="1">IFERROR(__xludf.DUMMYFUNCTION("""COMPUTED_VALUE"""),18)</f>
        <v>18</v>
      </c>
      <c r="D2222" s="5">
        <f ca="1">IFERROR(__xludf.DUMMYFUNCTION("""COMPUTED_VALUE"""),1974)</f>
        <v>1974</v>
      </c>
      <c r="E2222" s="8">
        <f ca="1">IFERROR(__xludf.DUMMYFUNCTION("""COMPUTED_VALUE"""),27351)</f>
        <v>27351</v>
      </c>
      <c r="F2222" s="5" t="str">
        <f ca="1">IFERROR(__xludf.DUMMYFUNCTION("""COMPUTED_VALUE"""),"C A Brown High School")</f>
        <v>C A Brown High School</v>
      </c>
      <c r="G2222" s="5">
        <f ca="1">IFERROR(__xludf.DUMMYFUNCTION("""COMPUTED_VALUE"""),0)</f>
        <v>0</v>
      </c>
      <c r="H2222" s="5">
        <f ca="1">IFERROR(__xludf.DUMMYFUNCTION("""COMPUTED_VALUE"""),1)</f>
        <v>1</v>
      </c>
      <c r="I2222" s="5">
        <f ca="1">IFERROR(__xludf.DUMMYFUNCTION("""COMPUTED_VALUE"""),1)</f>
        <v>1</v>
      </c>
      <c r="J2222" s="5">
        <f ca="1">IFERROR(__xludf.DUMMYFUNCTION("""COMPUTED_VALUE"""),0)</f>
        <v>0</v>
      </c>
      <c r="K2222" s="9" t="str">
        <f ca="1">IFERROR(__xludf.DUMMYFUNCTION("""COMPUTED_VALUE"""),"https://www.newspapers.com/image/68536508/?terms=school%2Bshooting")</f>
        <v>https://www.newspapers.com/image/68536508/?terms=school%2Bshooting</v>
      </c>
      <c r="L2222" s="5"/>
      <c r="M2222" s="5"/>
      <c r="N2222" s="5">
        <f ca="1">IFERROR(__xludf.DUMMYFUNCTION("""COMPUTED_VALUE"""),2)</f>
        <v>2</v>
      </c>
      <c r="O2222" s="5" t="str">
        <f ca="1">IFERROR(__xludf.DUMMYFUNCTION("""COMPUTED_VALUE"""),"Fall")</f>
        <v>Fall</v>
      </c>
      <c r="P2222" s="5" t="str">
        <f ca="1">IFERROR(__xludf.DUMMYFUNCTION("""COMPUTED_VALUE"""),"Charleston")</f>
        <v>Charleston</v>
      </c>
      <c r="Q2222" s="5" t="str">
        <f ca="1">IFERROR(__xludf.DUMMYFUNCTION("""COMPUTED_VALUE"""),"SC")</f>
        <v>SC</v>
      </c>
      <c r="R2222" s="5" t="str">
        <f ca="1">IFERROR(__xludf.DUMMYFUNCTION("""COMPUTED_VALUE"""),"High")</f>
        <v>High</v>
      </c>
      <c r="S2222" s="5" t="str">
        <f ca="1">IFERROR(__xludf.DUMMYFUNCTION("""COMPUTED_VALUE"""),"Outside on School Property")</f>
        <v>Outside on School Property</v>
      </c>
      <c r="T2222" s="5" t="str">
        <f ca="1">IFERROR(__xludf.DUMMYFUNCTION("""COMPUTED_VALUE"""),"Outside on School Property")</f>
        <v>Outside on School Property</v>
      </c>
      <c r="U2222" s="5" t="str">
        <f ca="1">IFERROR(__xludf.DUMMYFUNCTION("""COMPUTED_VALUE"""),"Yes")</f>
        <v>Yes</v>
      </c>
      <c r="V2222" s="5" t="str">
        <f ca="1">IFERROR(__xludf.DUMMYFUNCTION("""COMPUTED_VALUE"""),"Dismissal")</f>
        <v>Dismissal</v>
      </c>
      <c r="W2222" s="10">
        <f ca="1">IFERROR(__xludf.DUMMYFUNCTION("""COMPUTED_VALUE"""),0.625)</f>
        <v>0.625</v>
      </c>
      <c r="X2222" s="5">
        <f ca="1">IFERROR(__xludf.DUMMYFUNCTION("""COMPUTED_VALUE"""),1)</f>
        <v>1</v>
      </c>
      <c r="Y2222" s="5" t="str">
        <f ca="1">IFERROR(__xludf.DUMMYFUNCTION("""COMPUTED_VALUE"""),"Non-student shot by rival gang members")</f>
        <v>Non-student shot by rival gang members</v>
      </c>
      <c r="Z2222" s="5" t="str">
        <f ca="1">IFERROR(__xludf.DUMMYFUNCTION("""COMPUTED_VALUE"""),"Non-student gang member shot at school by rival gang members.")</f>
        <v>Non-student gang member shot at school by rival gang members.</v>
      </c>
      <c r="AA2222" s="5" t="str">
        <f ca="1">IFERROR(__xludf.DUMMYFUNCTION("""COMPUTED_VALUE"""),"Escalation of Dispute")</f>
        <v>Escalation of Dispute</v>
      </c>
      <c r="AB2222" s="5" t="str">
        <f ca="1">IFERROR(__xludf.DUMMYFUNCTION("""COMPUTED_VALUE"""),"Victims Targeted")</f>
        <v>Victims Targeted</v>
      </c>
      <c r="AC2222" s="5" t="str">
        <f ca="1">IFERROR(__xludf.DUMMYFUNCTION("""COMPUTED_VALUE"""),"No")</f>
        <v>No</v>
      </c>
      <c r="AD2222" s="5" t="str">
        <f ca="1">IFERROR(__xludf.DUMMYFUNCTION("""COMPUTED_VALUE"""),"No")</f>
        <v>No</v>
      </c>
      <c r="AE2222" s="5" t="str">
        <f ca="1">IFERROR(__xludf.DUMMYFUNCTION("""COMPUTED_VALUE"""),"No")</f>
        <v>No</v>
      </c>
      <c r="AF2222" s="5" t="str">
        <f ca="1">IFERROR(__xludf.DUMMYFUNCTION("""COMPUTED_VALUE"""),"No")</f>
        <v>No</v>
      </c>
      <c r="AG2222" s="5" t="str">
        <f ca="1">IFERROR(__xludf.DUMMYFUNCTION("""COMPUTED_VALUE"""),"No")</f>
        <v>No</v>
      </c>
      <c r="AH2222" s="5" t="str">
        <f ca="1">IFERROR(__xludf.DUMMYFUNCTION("""COMPUTED_VALUE"""),"No")</f>
        <v>No</v>
      </c>
      <c r="AI2222" s="5" t="str">
        <f ca="1">IFERROR(__xludf.DUMMYFUNCTION("""COMPUTED_VALUE"""),"Yes")</f>
        <v>Yes</v>
      </c>
      <c r="AJ2222" s="5"/>
    </row>
    <row r="2223" spans="1:36" ht="13">
      <c r="A2223" s="5" t="str">
        <f ca="1">IFERROR(__xludf.DUMMYFUNCTION("""COMPUTED_VALUE"""),"19741021MDDOB")</f>
        <v>19741021MDDOB</v>
      </c>
      <c r="B2223" s="5">
        <f ca="1">IFERROR(__xludf.DUMMYFUNCTION("""COMPUTED_VALUE"""),10)</f>
        <v>10</v>
      </c>
      <c r="C2223" s="5">
        <f ca="1">IFERROR(__xludf.DUMMYFUNCTION("""COMPUTED_VALUE"""),21)</f>
        <v>21</v>
      </c>
      <c r="D2223" s="5">
        <f ca="1">IFERROR(__xludf.DUMMYFUNCTION("""COMPUTED_VALUE"""),1974)</f>
        <v>1974</v>
      </c>
      <c r="E2223" s="8">
        <f ca="1">IFERROR(__xludf.DUMMYFUNCTION("""COMPUTED_VALUE"""),27323)</f>
        <v>27323</v>
      </c>
      <c r="F2223" s="5" t="str">
        <f ca="1">IFERROR(__xludf.DUMMYFUNCTION("""COMPUTED_VALUE"""),"Douglass High School")</f>
        <v>Douglass High School</v>
      </c>
      <c r="G2223" s="5">
        <f ca="1">IFERROR(__xludf.DUMMYFUNCTION("""COMPUTED_VALUE"""),0)</f>
        <v>0</v>
      </c>
      <c r="H2223" s="5">
        <f ca="1">IFERROR(__xludf.DUMMYFUNCTION("""COMPUTED_VALUE"""),1)</f>
        <v>1</v>
      </c>
      <c r="I2223" s="5">
        <f ca="1">IFERROR(__xludf.DUMMYFUNCTION("""COMPUTED_VALUE"""),1)</f>
        <v>1</v>
      </c>
      <c r="J2223" s="5">
        <f ca="1">IFERROR(__xludf.DUMMYFUNCTION("""COMPUTED_VALUE"""),0)</f>
        <v>0</v>
      </c>
      <c r="K2223" s="9" t="str">
        <f ca="1">IFERROR(__xludf.DUMMYFUNCTION("""COMPUTED_VALUE"""),"https://www.newspapers.com/image/377591998/?terms=school%2Bshooting")</f>
        <v>https://www.newspapers.com/image/377591998/?terms=school%2Bshooting</v>
      </c>
      <c r="L2223" s="5"/>
      <c r="M2223" s="5"/>
      <c r="N2223" s="5">
        <f ca="1">IFERROR(__xludf.DUMMYFUNCTION("""COMPUTED_VALUE"""),2)</f>
        <v>2</v>
      </c>
      <c r="O2223" s="5" t="str">
        <f ca="1">IFERROR(__xludf.DUMMYFUNCTION("""COMPUTED_VALUE"""),"Fall")</f>
        <v>Fall</v>
      </c>
      <c r="P2223" s="5" t="str">
        <f ca="1">IFERROR(__xludf.DUMMYFUNCTION("""COMPUTED_VALUE"""),"Baltimore")</f>
        <v>Baltimore</v>
      </c>
      <c r="Q2223" s="5" t="str">
        <f ca="1">IFERROR(__xludf.DUMMYFUNCTION("""COMPUTED_VALUE"""),"MD")</f>
        <v>MD</v>
      </c>
      <c r="R2223" s="5" t="str">
        <f ca="1">IFERROR(__xludf.DUMMYFUNCTION("""COMPUTED_VALUE"""),"High")</f>
        <v>High</v>
      </c>
      <c r="S2223" s="5" t="str">
        <f ca="1">IFERROR(__xludf.DUMMYFUNCTION("""COMPUTED_VALUE"""),"Inside School Building")</f>
        <v>Inside School Building</v>
      </c>
      <c r="T2223" s="5" t="str">
        <f ca="1">IFERROR(__xludf.DUMMYFUNCTION("""COMPUTED_VALUE"""),"Inside School Building")</f>
        <v>Inside School Building</v>
      </c>
      <c r="U2223" s="5" t="str">
        <f ca="1">IFERROR(__xludf.DUMMYFUNCTION("""COMPUTED_VALUE"""),"Yes")</f>
        <v>Yes</v>
      </c>
      <c r="V2223" s="5" t="str">
        <f ca="1">IFERROR(__xludf.DUMMYFUNCTION("""COMPUTED_VALUE"""),"Lunch")</f>
        <v>Lunch</v>
      </c>
      <c r="W2223" s="5"/>
      <c r="X2223" s="5">
        <f ca="1">IFERROR(__xludf.DUMMYFUNCTION("""COMPUTED_VALUE"""),1)</f>
        <v>1</v>
      </c>
      <c r="Y2223" s="5" t="str">
        <f ca="1">IFERROR(__xludf.DUMMYFUNCTION("""COMPUTED_VALUE"""),"Shot security guard while trespassing in school")</f>
        <v>Shot security guard while trespassing in school</v>
      </c>
      <c r="Z2223" s="5" t="str">
        <f ca="1">IFERROR(__xludf.DUMMYFUNCTION("""COMPUTED_VALUE"""),"Shooter and friend were trespassing in high school. Security guard tried to stop them. Shooter fired at security guard 3 times (twice while he was on the ground) and fled the area.")</f>
        <v>Shooter and friend were trespassing in high school. Security guard tried to stop them. Shooter fired at security guard 3 times (twice while he was on the ground) and fled the area.</v>
      </c>
      <c r="AA2223" s="5" t="str">
        <f ca="1">IFERROR(__xludf.DUMMYFUNCTION("""COMPUTED_VALUE"""),"Illegal Activity")</f>
        <v>Illegal Activity</v>
      </c>
      <c r="AB2223" s="5" t="str">
        <f ca="1">IFERROR(__xludf.DUMMYFUNCTION("""COMPUTED_VALUE"""),"Neither")</f>
        <v>Neither</v>
      </c>
      <c r="AC2223" s="5" t="str">
        <f ca="1">IFERROR(__xludf.DUMMYFUNCTION("""COMPUTED_VALUE"""),"Yes")</f>
        <v>Yes</v>
      </c>
      <c r="AD2223" s="5" t="str">
        <f ca="1">IFERROR(__xludf.DUMMYFUNCTION("""COMPUTED_VALUE"""),"No")</f>
        <v>No</v>
      </c>
      <c r="AE2223" s="5" t="str">
        <f ca="1">IFERROR(__xludf.DUMMYFUNCTION("""COMPUTED_VALUE"""),"No")</f>
        <v>No</v>
      </c>
      <c r="AF2223" s="5" t="str">
        <f ca="1">IFERROR(__xludf.DUMMYFUNCTION("""COMPUTED_VALUE"""),"No")</f>
        <v>No</v>
      </c>
      <c r="AG2223" s="5" t="str">
        <f ca="1">IFERROR(__xludf.DUMMYFUNCTION("""COMPUTED_VALUE"""),"No")</f>
        <v>No</v>
      </c>
      <c r="AH2223" s="5" t="str">
        <f ca="1">IFERROR(__xludf.DUMMYFUNCTION("""COMPUTED_VALUE"""),"No")</f>
        <v>No</v>
      </c>
      <c r="AI2223" s="5" t="str">
        <f ca="1">IFERROR(__xludf.DUMMYFUNCTION("""COMPUTED_VALUE"""),"No")</f>
        <v>No</v>
      </c>
      <c r="AJ2223" s="5"/>
    </row>
    <row r="2224" spans="1:36" ht="13">
      <c r="A2224" s="5" t="str">
        <f ca="1">IFERROR(__xludf.DUMMYFUNCTION("""COMPUTED_VALUE"""),"19741007LADEH")</f>
        <v>19741007LADEH</v>
      </c>
      <c r="B2224" s="5">
        <f ca="1">IFERROR(__xludf.DUMMYFUNCTION("""COMPUTED_VALUE"""),10)</f>
        <v>10</v>
      </c>
      <c r="C2224" s="5">
        <f ca="1">IFERROR(__xludf.DUMMYFUNCTION("""COMPUTED_VALUE"""),7)</f>
        <v>7</v>
      </c>
      <c r="D2224" s="5">
        <f ca="1">IFERROR(__xludf.DUMMYFUNCTION("""COMPUTED_VALUE"""),1974)</f>
        <v>1974</v>
      </c>
      <c r="E2224" s="8">
        <f ca="1">IFERROR(__xludf.DUMMYFUNCTION("""COMPUTED_VALUE"""),27309)</f>
        <v>27309</v>
      </c>
      <c r="F2224" s="5" t="str">
        <f ca="1">IFERROR(__xludf.DUMMYFUNCTION("""COMPUTED_VALUE"""),"Destrehan High School")</f>
        <v>Destrehan High School</v>
      </c>
      <c r="G2224" s="5">
        <f ca="1">IFERROR(__xludf.DUMMYFUNCTION("""COMPUTED_VALUE"""),1)</f>
        <v>1</v>
      </c>
      <c r="H2224" s="5">
        <f ca="1">IFERROR(__xludf.DUMMYFUNCTION("""COMPUTED_VALUE"""),1)</f>
        <v>1</v>
      </c>
      <c r="I2224" s="5">
        <f ca="1">IFERROR(__xludf.DUMMYFUNCTION("""COMPUTED_VALUE"""),2)</f>
        <v>2</v>
      </c>
      <c r="J2224" s="5">
        <f ca="1">IFERROR(__xludf.DUMMYFUNCTION("""COMPUTED_VALUE"""),0)</f>
        <v>0</v>
      </c>
      <c r="K2224" s="5" t="str">
        <f ca="1">IFERROR(__xludf.DUMMYFUNCTION("""COMPUTED_VALUE"""),"https://www.newspapers.com/image/292475092/?terms=timothy%2Bweber; https://www.newspapers.com/image/227833916/?terms=student%2Bshoots")</f>
        <v>https://www.newspapers.com/image/292475092/?terms=timothy%2Bweber; https://www.newspapers.com/image/227833916/?terms=student%2Bshoots</v>
      </c>
      <c r="L2224" s="5"/>
      <c r="M2224" s="5"/>
      <c r="N2224" s="5">
        <f ca="1">IFERROR(__xludf.DUMMYFUNCTION("""COMPUTED_VALUE"""),3)</f>
        <v>3</v>
      </c>
      <c r="O2224" s="5" t="str">
        <f ca="1">IFERROR(__xludf.DUMMYFUNCTION("""COMPUTED_VALUE"""),"Fall")</f>
        <v>Fall</v>
      </c>
      <c r="P2224" s="5" t="str">
        <f ca="1">IFERROR(__xludf.DUMMYFUNCTION("""COMPUTED_VALUE"""),"Hahnville")</f>
        <v>Hahnville</v>
      </c>
      <c r="Q2224" s="5" t="str">
        <f ca="1">IFERROR(__xludf.DUMMYFUNCTION("""COMPUTED_VALUE"""),"LA")</f>
        <v>LA</v>
      </c>
      <c r="R2224" s="5" t="str">
        <f ca="1">IFERROR(__xludf.DUMMYFUNCTION("""COMPUTED_VALUE"""),"High")</f>
        <v>High</v>
      </c>
      <c r="S2224" s="5" t="str">
        <f ca="1">IFERROR(__xludf.DUMMYFUNCTION("""COMPUTED_VALUE"""),"Parking Lot (Bus)")</f>
        <v>Parking Lot (Bus)</v>
      </c>
      <c r="T2224" s="5" t="str">
        <f ca="1">IFERROR(__xludf.DUMMYFUNCTION("""COMPUTED_VALUE"""),"Outside on School Property")</f>
        <v>Outside on School Property</v>
      </c>
      <c r="U2224" s="5" t="str">
        <f ca="1">IFERROR(__xludf.DUMMYFUNCTION("""COMPUTED_VALUE"""),"Yes")</f>
        <v>Yes</v>
      </c>
      <c r="V2224" s="5" t="str">
        <f ca="1">IFERROR(__xludf.DUMMYFUNCTION("""COMPUTED_VALUE"""),"After School")</f>
        <v>After School</v>
      </c>
      <c r="W2224" s="5"/>
      <c r="X2224" s="5">
        <f ca="1">IFERROR(__xludf.DUMMYFUNCTION("""COMPUTED_VALUE"""),1)</f>
        <v>1</v>
      </c>
      <c r="Y2224" s="5" t="str">
        <f ca="1">IFERROR(__xludf.DUMMYFUNCTION("""COMPUTED_VALUE"""),"Shooter shot victim after rocks were thrown at school bus shooter was on")</f>
        <v>Shooter shot victim after rocks were thrown at school bus shooter was on</v>
      </c>
      <c r="Z2224" s="5" t="str">
        <f ca="1">IFERROR(__xludf.DUMMYFUNCTION("""COMPUTED_VALUE"""),"Racial tension between whites and blacks at school. After school, a group of white students threw rocks at a school bus leaving school. Shooter stuck his hand out the bus window and shot victim in head. Bullet also wounded another student.")</f>
        <v>Racial tension between whites and blacks at school. After school, a group of white students threw rocks at a school bus leaving school. Shooter stuck his hand out the bus window and shot victim in head. Bullet also wounded another student.</v>
      </c>
      <c r="AA2224" s="5" t="str">
        <f ca="1">IFERROR(__xludf.DUMMYFUNCTION("""COMPUTED_VALUE"""),"Racial")</f>
        <v>Racial</v>
      </c>
      <c r="AB2224" s="5" t="str">
        <f ca="1">IFERROR(__xludf.DUMMYFUNCTION("""COMPUTED_VALUE"""),"Random Shooting")</f>
        <v>Random Shooting</v>
      </c>
      <c r="AC2224" s="5" t="str">
        <f ca="1">IFERROR(__xludf.DUMMYFUNCTION("""COMPUTED_VALUE"""),"No")</f>
        <v>No</v>
      </c>
      <c r="AD2224" s="5" t="str">
        <f ca="1">IFERROR(__xludf.DUMMYFUNCTION("""COMPUTED_VALUE"""),"No")</f>
        <v>No</v>
      </c>
      <c r="AE2224" s="5" t="str">
        <f ca="1">IFERROR(__xludf.DUMMYFUNCTION("""COMPUTED_VALUE"""),"No")</f>
        <v>No</v>
      </c>
      <c r="AF2224" s="5" t="str">
        <f ca="1">IFERROR(__xludf.DUMMYFUNCTION("""COMPUTED_VALUE"""),"No")</f>
        <v>No</v>
      </c>
      <c r="AG2224" s="5" t="str">
        <f ca="1">IFERROR(__xludf.DUMMYFUNCTION("""COMPUTED_VALUE"""),"No")</f>
        <v>No</v>
      </c>
      <c r="AH2224" s="5" t="str">
        <f ca="1">IFERROR(__xludf.DUMMYFUNCTION("""COMPUTED_VALUE"""),"No")</f>
        <v>No</v>
      </c>
      <c r="AI2224" s="5" t="str">
        <f ca="1">IFERROR(__xludf.DUMMYFUNCTION("""COMPUTED_VALUE"""),"No")</f>
        <v>No</v>
      </c>
      <c r="AJ2224" s="5"/>
    </row>
    <row r="2225" spans="1:36" ht="13">
      <c r="A2225" s="5" t="str">
        <f ca="1">IFERROR(__xludf.DUMMYFUNCTION("""COMPUTED_VALUE"""),"19740925CASAL")</f>
        <v>19740925CASAL</v>
      </c>
      <c r="B2225" s="5">
        <f ca="1">IFERROR(__xludf.DUMMYFUNCTION("""COMPUTED_VALUE"""),9)</f>
        <v>9</v>
      </c>
      <c r="C2225" s="5">
        <f ca="1">IFERROR(__xludf.DUMMYFUNCTION("""COMPUTED_VALUE"""),25)</f>
        <v>25</v>
      </c>
      <c r="D2225" s="5">
        <f ca="1">IFERROR(__xludf.DUMMYFUNCTION("""COMPUTED_VALUE"""),1974)</f>
        <v>1974</v>
      </c>
      <c r="E2225" s="8">
        <f ca="1">IFERROR(__xludf.DUMMYFUNCTION("""COMPUTED_VALUE"""),27297)</f>
        <v>27297</v>
      </c>
      <c r="F2225" s="5" t="str">
        <f ca="1">IFERROR(__xludf.DUMMYFUNCTION("""COMPUTED_VALUE"""),"San Fernando High School")</f>
        <v>San Fernando High School</v>
      </c>
      <c r="G2225" s="5">
        <f ca="1">IFERROR(__xludf.DUMMYFUNCTION("""COMPUTED_VALUE"""),0)</f>
        <v>0</v>
      </c>
      <c r="H2225" s="5">
        <f ca="1">IFERROR(__xludf.DUMMYFUNCTION("""COMPUTED_VALUE"""),1)</f>
        <v>1</v>
      </c>
      <c r="I2225" s="5">
        <f ca="1">IFERROR(__xludf.DUMMYFUNCTION("""COMPUTED_VALUE"""),1)</f>
        <v>1</v>
      </c>
      <c r="J2225" s="5">
        <f ca="1">IFERROR(__xludf.DUMMYFUNCTION("""COMPUTED_VALUE"""),0)</f>
        <v>0</v>
      </c>
      <c r="K2225" s="9" t="str">
        <f ca="1">IFERROR(__xludf.DUMMYFUNCTION("""COMPUTED_VALUE"""),"https://www.newspapers.com/image/30473026/?terms=school%2Bshooting")</f>
        <v>https://www.newspapers.com/image/30473026/?terms=school%2Bshooting</v>
      </c>
      <c r="L2225" s="5"/>
      <c r="M2225" s="5"/>
      <c r="N2225" s="5">
        <f ca="1">IFERROR(__xludf.DUMMYFUNCTION("""COMPUTED_VALUE"""),2)</f>
        <v>2</v>
      </c>
      <c r="O2225" s="5" t="str">
        <f ca="1">IFERROR(__xludf.DUMMYFUNCTION("""COMPUTED_VALUE"""),"Fall")</f>
        <v>Fall</v>
      </c>
      <c r="P2225" s="5" t="str">
        <f ca="1">IFERROR(__xludf.DUMMYFUNCTION("""COMPUTED_VALUE"""),"Los Angeles")</f>
        <v>Los Angeles</v>
      </c>
      <c r="Q2225" s="5" t="str">
        <f ca="1">IFERROR(__xludf.DUMMYFUNCTION("""COMPUTED_VALUE"""),"CA")</f>
        <v>CA</v>
      </c>
      <c r="R2225" s="5" t="str">
        <f ca="1">IFERROR(__xludf.DUMMYFUNCTION("""COMPUTED_VALUE"""),"High")</f>
        <v>High</v>
      </c>
      <c r="S2225" s="5" t="str">
        <f ca="1">IFERROR(__xludf.DUMMYFUNCTION("""COMPUTED_VALUE"""),"ND")</f>
        <v>ND</v>
      </c>
      <c r="T2225" s="5" t="str">
        <f ca="1">IFERROR(__xludf.DUMMYFUNCTION("""COMPUTED_VALUE"""),"ND")</f>
        <v>ND</v>
      </c>
      <c r="U2225" s="5" t="str">
        <f ca="1">IFERROR(__xludf.DUMMYFUNCTION("""COMPUTED_VALUE"""),"Yes")</f>
        <v>Yes</v>
      </c>
      <c r="V2225" s="5"/>
      <c r="W2225" s="5"/>
      <c r="X2225" s="5">
        <f ca="1">IFERROR(__xludf.DUMMYFUNCTION("""COMPUTED_VALUE"""),1)</f>
        <v>1</v>
      </c>
      <c r="Y2225" s="5" t="str">
        <f ca="1">IFERROR(__xludf.DUMMYFUNCTION("""COMPUTED_VALUE"""),"Victim confronted by 2 students, one fired shot striking him")</f>
        <v>Victim confronted by 2 students, one fired shot striking him</v>
      </c>
      <c r="Z2225" s="5" t="str">
        <f ca="1">IFERROR(__xludf.DUMMYFUNCTION("""COMPUTED_VALUE"""),"17 year-old male wounded by 17 year-old male during argument. Two suspects involved.")</f>
        <v>17 year-old male wounded by 17 year-old male during argument. Two suspects involved.</v>
      </c>
      <c r="AA2225" s="5" t="str">
        <f ca="1">IFERROR(__xludf.DUMMYFUNCTION("""COMPUTED_VALUE"""),"Escalation of Dispute")</f>
        <v>Escalation of Dispute</v>
      </c>
      <c r="AB2225" s="5"/>
      <c r="AC2225" s="5" t="str">
        <f ca="1">IFERROR(__xludf.DUMMYFUNCTION("""COMPUTED_VALUE"""),"No")</f>
        <v>No</v>
      </c>
      <c r="AD2225" s="5" t="str">
        <f ca="1">IFERROR(__xludf.DUMMYFUNCTION("""COMPUTED_VALUE"""),"No")</f>
        <v>No</v>
      </c>
      <c r="AE2225" s="5" t="str">
        <f ca="1">IFERROR(__xludf.DUMMYFUNCTION("""COMPUTED_VALUE"""),"No")</f>
        <v>No</v>
      </c>
      <c r="AF2225" s="5" t="str">
        <f ca="1">IFERROR(__xludf.DUMMYFUNCTION("""COMPUTED_VALUE"""),"No")</f>
        <v>No</v>
      </c>
      <c r="AG2225" s="5"/>
      <c r="AH2225" s="5"/>
      <c r="AI2225" s="5" t="str">
        <f ca="1">IFERROR(__xludf.DUMMYFUNCTION("""COMPUTED_VALUE"""),"No")</f>
        <v>No</v>
      </c>
      <c r="AJ2225" s="5"/>
    </row>
    <row r="2226" spans="1:36" ht="13">
      <c r="A2226" s="5" t="str">
        <f ca="1">IFERROR(__xludf.DUMMYFUNCTION("""COMPUTED_VALUE"""),"19740923CAJED")</f>
        <v>19740923CAJED</v>
      </c>
      <c r="B2226" s="5">
        <f ca="1">IFERROR(__xludf.DUMMYFUNCTION("""COMPUTED_VALUE"""),9)</f>
        <v>9</v>
      </c>
      <c r="C2226" s="5">
        <f ca="1">IFERROR(__xludf.DUMMYFUNCTION("""COMPUTED_VALUE"""),23)</f>
        <v>23</v>
      </c>
      <c r="D2226" s="5">
        <f ca="1">IFERROR(__xludf.DUMMYFUNCTION("""COMPUTED_VALUE"""),1974)</f>
        <v>1974</v>
      </c>
      <c r="E2226" s="8">
        <f ca="1">IFERROR(__xludf.DUMMYFUNCTION("""COMPUTED_VALUE"""),27295)</f>
        <v>27295</v>
      </c>
      <c r="F2226" s="5" t="str">
        <f ca="1">IFERROR(__xludf.DUMMYFUNCTION("""COMPUTED_VALUE"""),"Jefferson High School")</f>
        <v>Jefferson High School</v>
      </c>
      <c r="G2226" s="5">
        <f ca="1">IFERROR(__xludf.DUMMYFUNCTION("""COMPUTED_VALUE"""),0)</f>
        <v>0</v>
      </c>
      <c r="H2226" s="5">
        <f ca="1">IFERROR(__xludf.DUMMYFUNCTION("""COMPUTED_VALUE"""),1)</f>
        <v>1</v>
      </c>
      <c r="I2226" s="5">
        <f ca="1">IFERROR(__xludf.DUMMYFUNCTION("""COMPUTED_VALUE"""),1)</f>
        <v>1</v>
      </c>
      <c r="J2226" s="5">
        <f ca="1">IFERROR(__xludf.DUMMYFUNCTION("""COMPUTED_VALUE"""),0)</f>
        <v>0</v>
      </c>
      <c r="K2226" s="9" t="str">
        <f ca="1">IFERROR(__xludf.DUMMYFUNCTION("""COMPUTED_VALUE"""),"https://www.newspapers.com/image/252161775/?terms=school%2Bshooting")</f>
        <v>https://www.newspapers.com/image/252161775/?terms=school%2Bshooting</v>
      </c>
      <c r="L2226" s="5"/>
      <c r="M2226" s="5"/>
      <c r="N2226" s="5">
        <f ca="1">IFERROR(__xludf.DUMMYFUNCTION("""COMPUTED_VALUE"""),2)</f>
        <v>2</v>
      </c>
      <c r="O2226" s="5" t="str">
        <f ca="1">IFERROR(__xludf.DUMMYFUNCTION("""COMPUTED_VALUE"""),"Fall")</f>
        <v>Fall</v>
      </c>
      <c r="P2226" s="5" t="str">
        <f ca="1">IFERROR(__xludf.DUMMYFUNCTION("""COMPUTED_VALUE"""),"Daly City")</f>
        <v>Daly City</v>
      </c>
      <c r="Q2226" s="5" t="str">
        <f ca="1">IFERROR(__xludf.DUMMYFUNCTION("""COMPUTED_VALUE"""),"CA")</f>
        <v>CA</v>
      </c>
      <c r="R2226" s="5" t="str">
        <f ca="1">IFERROR(__xludf.DUMMYFUNCTION("""COMPUTED_VALUE"""),"High")</f>
        <v>High</v>
      </c>
      <c r="S2226" s="5" t="str">
        <f ca="1">IFERROR(__xludf.DUMMYFUNCTION("""COMPUTED_VALUE"""),"Bathroom")</f>
        <v>Bathroom</v>
      </c>
      <c r="T2226" s="5" t="str">
        <f ca="1">IFERROR(__xludf.DUMMYFUNCTION("""COMPUTED_VALUE"""),"Inside School Building")</f>
        <v>Inside School Building</v>
      </c>
      <c r="U2226" s="5" t="str">
        <f ca="1">IFERROR(__xludf.DUMMYFUNCTION("""COMPUTED_VALUE"""),"Yes")</f>
        <v>Yes</v>
      </c>
      <c r="V2226" s="5"/>
      <c r="W2226" s="5"/>
      <c r="X2226" s="5"/>
      <c r="Y2226" s="5" t="str">
        <f ca="1">IFERROR(__xludf.DUMMYFUNCTION("""COMPUTED_VALUE"""),"Victim shot 5 times in bathroom following argument")</f>
        <v>Victim shot 5 times in bathroom following argument</v>
      </c>
      <c r="Z2226" s="5" t="str">
        <f ca="1">IFERROR(__xludf.DUMMYFUNCTION("""COMPUTED_VALUE"""),"Student shot 5 times in the school bathroom following an argument with a group of 3 other students. 3 teenage students arrested for attempted murder.")</f>
        <v>Student shot 5 times in the school bathroom following an argument with a group of 3 other students. 3 teenage students arrested for attempted murder.</v>
      </c>
      <c r="AA2226" s="5" t="str">
        <f ca="1">IFERROR(__xludf.DUMMYFUNCTION("""COMPUTED_VALUE"""),"Escalation of Dispute")</f>
        <v>Escalation of Dispute</v>
      </c>
      <c r="AB2226" s="5" t="str">
        <f ca="1">IFERROR(__xludf.DUMMYFUNCTION("""COMPUTED_VALUE"""),"Victims Targeted")</f>
        <v>Victims Targeted</v>
      </c>
      <c r="AC2226" s="5" t="str">
        <f ca="1">IFERROR(__xludf.DUMMYFUNCTION("""COMPUTED_VALUE"""),"No")</f>
        <v>No</v>
      </c>
      <c r="AD2226" s="5" t="str">
        <f ca="1">IFERROR(__xludf.DUMMYFUNCTION("""COMPUTED_VALUE"""),"No")</f>
        <v>No</v>
      </c>
      <c r="AE2226" s="5" t="str">
        <f ca="1">IFERROR(__xludf.DUMMYFUNCTION("""COMPUTED_VALUE"""),"No")</f>
        <v>No</v>
      </c>
      <c r="AF2226" s="5" t="str">
        <f ca="1">IFERROR(__xludf.DUMMYFUNCTION("""COMPUTED_VALUE"""),"No")</f>
        <v>No</v>
      </c>
      <c r="AG2226" s="5"/>
      <c r="AH2226" s="5" t="str">
        <f ca="1">IFERROR(__xludf.DUMMYFUNCTION("""COMPUTED_VALUE"""),"No")</f>
        <v>No</v>
      </c>
      <c r="AI2226" s="5" t="str">
        <f ca="1">IFERROR(__xludf.DUMMYFUNCTION("""COMPUTED_VALUE"""),"No")</f>
        <v>No</v>
      </c>
      <c r="AJ2226" s="5"/>
    </row>
    <row r="2227" spans="1:36" ht="13">
      <c r="A2227" s="5" t="str">
        <f ca="1">IFERROR(__xludf.DUMMYFUNCTION("""COMPUTED_VALUE"""),"19740519FLHIO")</f>
        <v>19740519FLHIO</v>
      </c>
      <c r="B2227" s="5">
        <f ca="1">IFERROR(__xludf.DUMMYFUNCTION("""COMPUTED_VALUE"""),5)</f>
        <v>5</v>
      </c>
      <c r="C2227" s="5">
        <f ca="1">IFERROR(__xludf.DUMMYFUNCTION("""COMPUTED_VALUE"""),19)</f>
        <v>19</v>
      </c>
      <c r="D2227" s="5">
        <f ca="1">IFERROR(__xludf.DUMMYFUNCTION("""COMPUTED_VALUE"""),1974)</f>
        <v>1974</v>
      </c>
      <c r="E2227" s="8">
        <f ca="1">IFERROR(__xludf.DUMMYFUNCTION("""COMPUTED_VALUE"""),27168)</f>
        <v>27168</v>
      </c>
      <c r="F2227" s="5" t="str">
        <f ca="1">IFERROR(__xludf.DUMMYFUNCTION("""COMPUTED_VALUE"""),"Highlands Elementary School")</f>
        <v>Highlands Elementary School</v>
      </c>
      <c r="G2227" s="5">
        <f ca="1">IFERROR(__xludf.DUMMYFUNCTION("""COMPUTED_VALUE"""),0)</f>
        <v>0</v>
      </c>
      <c r="H2227" s="5">
        <f ca="1">IFERROR(__xludf.DUMMYFUNCTION("""COMPUTED_VALUE"""),0)</f>
        <v>0</v>
      </c>
      <c r="I2227" s="5">
        <f ca="1">IFERROR(__xludf.DUMMYFUNCTION("""COMPUTED_VALUE"""),0)</f>
        <v>0</v>
      </c>
      <c r="J2227" s="5">
        <f ca="1">IFERROR(__xludf.DUMMYFUNCTION("""COMPUTED_VALUE"""),0)</f>
        <v>0</v>
      </c>
      <c r="K2227" s="9" t="str">
        <f ca="1">IFERROR(__xludf.DUMMYFUNCTION("""COMPUTED_VALUE"""),"https://www.newspapers.com/image/236492101/?terms=school%2Bshooting")</f>
        <v>https://www.newspapers.com/image/236492101/?terms=school%2Bshooting</v>
      </c>
      <c r="L2227" s="5"/>
      <c r="M2227" s="5"/>
      <c r="N2227" s="5">
        <f ca="1">IFERROR(__xludf.DUMMYFUNCTION("""COMPUTED_VALUE"""),2)</f>
        <v>2</v>
      </c>
      <c r="O2227" s="5" t="str">
        <f ca="1">IFERROR(__xludf.DUMMYFUNCTION("""COMPUTED_VALUE"""),"Spring")</f>
        <v>Spring</v>
      </c>
      <c r="P2227" s="5" t="str">
        <f ca="1">IFERROR(__xludf.DUMMYFUNCTION("""COMPUTED_VALUE"""),"Orlando")</f>
        <v>Orlando</v>
      </c>
      <c r="Q2227" s="5" t="str">
        <f ca="1">IFERROR(__xludf.DUMMYFUNCTION("""COMPUTED_VALUE"""),"FL")</f>
        <v>FL</v>
      </c>
      <c r="R2227" s="5" t="str">
        <f ca="1">IFERROR(__xludf.DUMMYFUNCTION("""COMPUTED_VALUE"""),"Elementary")</f>
        <v>Elementary</v>
      </c>
      <c r="S2227" s="5" t="str">
        <f ca="1">IFERROR(__xludf.DUMMYFUNCTION("""COMPUTED_VALUE"""),"Outside on School Property")</f>
        <v>Outside on School Property</v>
      </c>
      <c r="T2227" s="5" t="str">
        <f ca="1">IFERROR(__xludf.DUMMYFUNCTION("""COMPUTED_VALUE"""),"Outside on School Property")</f>
        <v>Outside on School Property</v>
      </c>
      <c r="U2227" s="5" t="str">
        <f ca="1">IFERROR(__xludf.DUMMYFUNCTION("""COMPUTED_VALUE"""),"No")</f>
        <v>No</v>
      </c>
      <c r="V2227" s="5" t="str">
        <f ca="1">IFERROR(__xludf.DUMMYFUNCTION("""COMPUTED_VALUE"""),"Not a School Day")</f>
        <v>Not a School Day</v>
      </c>
      <c r="W2227" s="5"/>
      <c r="X2227" s="5">
        <f ca="1">IFERROR(__xludf.DUMMYFUNCTION("""COMPUTED_VALUE"""),1)</f>
        <v>1</v>
      </c>
      <c r="Y2227" s="5" t="str">
        <f ca="1">IFERROR(__xludf.DUMMYFUNCTION("""COMPUTED_VALUE"""),"Fired shots at school where wife works as teacher")</f>
        <v>Fired shots at school where wife works as teacher</v>
      </c>
      <c r="Z2227" s="5" t="str">
        <f ca="1">IFERROR(__xludf.DUMMYFUNCTION("""COMPUTED_VALUE"""),"Husband fired shots at the school building where his wife works as a teacher.")</f>
        <v>Husband fired shots at the school building where his wife works as a teacher.</v>
      </c>
      <c r="AA2227" s="5" t="str">
        <f ca="1">IFERROR(__xludf.DUMMYFUNCTION("""COMPUTED_VALUE"""),"Domestic w/ Targeted Victim")</f>
        <v>Domestic w/ Targeted Victim</v>
      </c>
      <c r="AB2227" s="5" t="str">
        <f ca="1">IFERROR(__xludf.DUMMYFUNCTION("""COMPUTED_VALUE"""),"Victims Targeted")</f>
        <v>Victims Targeted</v>
      </c>
      <c r="AC2227" s="5" t="str">
        <f ca="1">IFERROR(__xludf.DUMMYFUNCTION("""COMPUTED_VALUE"""),"No")</f>
        <v>No</v>
      </c>
      <c r="AD2227" s="5" t="str">
        <f ca="1">IFERROR(__xludf.DUMMYFUNCTION("""COMPUTED_VALUE"""),"No")</f>
        <v>No</v>
      </c>
      <c r="AE2227" s="5" t="str">
        <f ca="1">IFERROR(__xludf.DUMMYFUNCTION("""COMPUTED_VALUE"""),"No")</f>
        <v>No</v>
      </c>
      <c r="AF2227" s="5" t="str">
        <f ca="1">IFERROR(__xludf.DUMMYFUNCTION("""COMPUTED_VALUE"""),"No")</f>
        <v>No</v>
      </c>
      <c r="AG2227" s="5" t="str">
        <f ca="1">IFERROR(__xludf.DUMMYFUNCTION("""COMPUTED_VALUE"""),"No")</f>
        <v>No</v>
      </c>
      <c r="AH2227" s="5" t="str">
        <f ca="1">IFERROR(__xludf.DUMMYFUNCTION("""COMPUTED_VALUE"""),"Yes")</f>
        <v>Yes</v>
      </c>
      <c r="AI2227" s="5" t="str">
        <f ca="1">IFERROR(__xludf.DUMMYFUNCTION("""COMPUTED_VALUE"""),"No")</f>
        <v>No</v>
      </c>
      <c r="AJ2227" s="5"/>
    </row>
    <row r="2228" spans="1:36" ht="13">
      <c r="A2228" s="5" t="str">
        <f ca="1">IFERROR(__xludf.DUMMYFUNCTION("""COMPUTED_VALUE"""),"19740510TNCHR")</f>
        <v>19740510TNCHR</v>
      </c>
      <c r="B2228" s="5">
        <f ca="1">IFERROR(__xludf.DUMMYFUNCTION("""COMPUTED_VALUE"""),5)</f>
        <v>5</v>
      </c>
      <c r="C2228" s="5">
        <f ca="1">IFERROR(__xludf.DUMMYFUNCTION("""COMPUTED_VALUE"""),10)</f>
        <v>10</v>
      </c>
      <c r="D2228" s="5">
        <f ca="1">IFERROR(__xludf.DUMMYFUNCTION("""COMPUTED_VALUE"""),1974)</f>
        <v>1974</v>
      </c>
      <c r="E2228" s="8">
        <f ca="1">IFERROR(__xludf.DUMMYFUNCTION("""COMPUTED_VALUE"""),27159)</f>
        <v>27159</v>
      </c>
      <c r="F2228" s="5" t="str">
        <f ca="1">IFERROR(__xludf.DUMMYFUNCTION("""COMPUTED_VALUE"""),"Church Hill High School")</f>
        <v>Church Hill High School</v>
      </c>
      <c r="G2228" s="5">
        <f ca="1">IFERROR(__xludf.DUMMYFUNCTION("""COMPUTED_VALUE"""),1)</f>
        <v>1</v>
      </c>
      <c r="H2228" s="5">
        <f ca="1">IFERROR(__xludf.DUMMYFUNCTION("""COMPUTED_VALUE"""),0)</f>
        <v>0</v>
      </c>
      <c r="I2228" s="5">
        <f ca="1">IFERROR(__xludf.DUMMYFUNCTION("""COMPUTED_VALUE"""),1)</f>
        <v>1</v>
      </c>
      <c r="J2228" s="5">
        <f ca="1">IFERROR(__xludf.DUMMYFUNCTION("""COMPUTED_VALUE"""),0)</f>
        <v>0</v>
      </c>
      <c r="K2228" s="5" t="str">
        <f ca="1">IFERROR(__xludf.DUMMYFUNCTION("""COMPUTED_VALUE"""),"https://www.newspapers.com/image/68924341/?terms=school%2Bshooting;  https://www.newspapers.com/image/69641003/?terms=paul%2Bconrad%2Bsmith")</f>
        <v>https://www.newspapers.com/image/68924341/?terms=school%2Bshooting;  https://www.newspapers.com/image/69641003/?terms=paul%2Bconrad%2Bsmith</v>
      </c>
      <c r="L2228" s="5"/>
      <c r="M2228" s="5"/>
      <c r="N2228" s="5">
        <f ca="1">IFERROR(__xludf.DUMMYFUNCTION("""COMPUTED_VALUE"""),3)</f>
        <v>3</v>
      </c>
      <c r="O2228" s="5" t="str">
        <f ca="1">IFERROR(__xludf.DUMMYFUNCTION("""COMPUTED_VALUE"""),"Spring")</f>
        <v>Spring</v>
      </c>
      <c r="P2228" s="5" t="str">
        <f ca="1">IFERROR(__xludf.DUMMYFUNCTION("""COMPUTED_VALUE"""),"Rogersville")</f>
        <v>Rogersville</v>
      </c>
      <c r="Q2228" s="5" t="str">
        <f ca="1">IFERROR(__xludf.DUMMYFUNCTION("""COMPUTED_VALUE"""),"TN")</f>
        <v>TN</v>
      </c>
      <c r="R2228" s="5" t="str">
        <f ca="1">IFERROR(__xludf.DUMMYFUNCTION("""COMPUTED_VALUE"""),"High")</f>
        <v>High</v>
      </c>
      <c r="S2228" s="5" t="str">
        <f ca="1">IFERROR(__xludf.DUMMYFUNCTION("""COMPUTED_VALUE"""),"Parking Lot")</f>
        <v>Parking Lot</v>
      </c>
      <c r="T2228" s="5" t="str">
        <f ca="1">IFERROR(__xludf.DUMMYFUNCTION("""COMPUTED_VALUE"""),"Outside on School Property")</f>
        <v>Outside on School Property</v>
      </c>
      <c r="U2228" s="5" t="str">
        <f ca="1">IFERROR(__xludf.DUMMYFUNCTION("""COMPUTED_VALUE"""),"No")</f>
        <v>No</v>
      </c>
      <c r="V2228" s="5" t="str">
        <f ca="1">IFERROR(__xludf.DUMMYFUNCTION("""COMPUTED_VALUE"""),"Evening")</f>
        <v>Evening</v>
      </c>
      <c r="W2228" s="5"/>
      <c r="X2228" s="5">
        <f ca="1">IFERROR(__xludf.DUMMYFUNCTION("""COMPUTED_VALUE"""),1)</f>
        <v>1</v>
      </c>
      <c r="Y2228" s="5" t="str">
        <f ca="1">IFERROR(__xludf.DUMMYFUNCTION("""COMPUTED_VALUE"""),"Fight between two males in school parking lot escalated to shooting")</f>
        <v>Fight between two males in school parking lot escalated to shooting</v>
      </c>
      <c r="Z2228" s="5" t="str">
        <f ca="1">IFERROR(__xludf.DUMMYFUNCTION("""COMPUTED_VALUE"""),"Escalation of Ongoing feud between two students occurred in school parking lot.")</f>
        <v>Escalation of Ongoing feud between two students occurred in school parking lot.</v>
      </c>
      <c r="AA2228" s="5" t="str">
        <f ca="1">IFERROR(__xludf.DUMMYFUNCTION("""COMPUTED_VALUE"""),"Escalation of Dispute")</f>
        <v>Escalation of Dispute</v>
      </c>
      <c r="AB2228" s="5" t="str">
        <f ca="1">IFERROR(__xludf.DUMMYFUNCTION("""COMPUTED_VALUE"""),"Victims Targeted")</f>
        <v>Victims Targeted</v>
      </c>
      <c r="AC2228" s="5"/>
      <c r="AD2228" s="5" t="str">
        <f ca="1">IFERROR(__xludf.DUMMYFUNCTION("""COMPUTED_VALUE"""),"No")</f>
        <v>No</v>
      </c>
      <c r="AE2228" s="5" t="str">
        <f ca="1">IFERROR(__xludf.DUMMYFUNCTION("""COMPUTED_VALUE"""),"No")</f>
        <v>No</v>
      </c>
      <c r="AF2228" s="5" t="str">
        <f ca="1">IFERROR(__xludf.DUMMYFUNCTION("""COMPUTED_VALUE"""),"No")</f>
        <v>No</v>
      </c>
      <c r="AG2228" s="5" t="str">
        <f ca="1">IFERROR(__xludf.DUMMYFUNCTION("""COMPUTED_VALUE"""),"No")</f>
        <v>No</v>
      </c>
      <c r="AH2228" s="5" t="str">
        <f ca="1">IFERROR(__xludf.DUMMYFUNCTION("""COMPUTED_VALUE"""),"No")</f>
        <v>No</v>
      </c>
      <c r="AI2228" s="5" t="str">
        <f ca="1">IFERROR(__xludf.DUMMYFUNCTION("""COMPUTED_VALUE"""),"No")</f>
        <v>No</v>
      </c>
      <c r="AJ2228" s="5"/>
    </row>
    <row r="2229" spans="1:36" ht="13">
      <c r="A2229" s="5" t="str">
        <f ca="1">IFERROR(__xludf.DUMMYFUNCTION("""COMPUTED_VALUE"""),"19740402CTSTB")</f>
        <v>19740402CTSTB</v>
      </c>
      <c r="B2229" s="5">
        <f ca="1">IFERROR(__xludf.DUMMYFUNCTION("""COMPUTED_VALUE"""),4)</f>
        <v>4</v>
      </c>
      <c r="C2229" s="5">
        <f ca="1">IFERROR(__xludf.DUMMYFUNCTION("""COMPUTED_VALUE"""),2)</f>
        <v>2</v>
      </c>
      <c r="D2229" s="5">
        <f ca="1">IFERROR(__xludf.DUMMYFUNCTION("""COMPUTED_VALUE"""),1974)</f>
        <v>1974</v>
      </c>
      <c r="E2229" s="8">
        <f ca="1">IFERROR(__xludf.DUMMYFUNCTION("""COMPUTED_VALUE"""),27121)</f>
        <v>27121</v>
      </c>
      <c r="F2229" s="5" t="str">
        <f ca="1">IFERROR(__xludf.DUMMYFUNCTION("""COMPUTED_VALUE"""),"St. Stephen's Parochial School")</f>
        <v>St. Stephen's Parochial School</v>
      </c>
      <c r="G2229" s="5">
        <f ca="1">IFERROR(__xludf.DUMMYFUNCTION("""COMPUTED_VALUE"""),0)</f>
        <v>0</v>
      </c>
      <c r="H2229" s="5">
        <f ca="1">IFERROR(__xludf.DUMMYFUNCTION("""COMPUTED_VALUE"""),2)</f>
        <v>2</v>
      </c>
      <c r="I2229" s="5">
        <f ca="1">IFERROR(__xludf.DUMMYFUNCTION("""COMPUTED_VALUE"""),2)</f>
        <v>2</v>
      </c>
      <c r="J2229" s="5">
        <f ca="1">IFERROR(__xludf.DUMMYFUNCTION("""COMPUTED_VALUE"""),0)</f>
        <v>0</v>
      </c>
      <c r="K2229" s="9" t="str">
        <f ca="1">IFERROR(__xludf.DUMMYFUNCTION("""COMPUTED_VALUE"""),"https://www.newspapers.com/image/60655345/?terms=school%2Bshooting")</f>
        <v>https://www.newspapers.com/image/60655345/?terms=school%2Bshooting</v>
      </c>
      <c r="L2229" s="5"/>
      <c r="M2229" s="5"/>
      <c r="N2229" s="5">
        <f ca="1">IFERROR(__xludf.DUMMYFUNCTION("""COMPUTED_VALUE"""),2)</f>
        <v>2</v>
      </c>
      <c r="O2229" s="5" t="str">
        <f ca="1">IFERROR(__xludf.DUMMYFUNCTION("""COMPUTED_VALUE"""),"Spring")</f>
        <v>Spring</v>
      </c>
      <c r="P2229" s="5" t="str">
        <f ca="1">IFERROR(__xludf.DUMMYFUNCTION("""COMPUTED_VALUE"""),"Bridgeport")</f>
        <v>Bridgeport</v>
      </c>
      <c r="Q2229" s="5" t="str">
        <f ca="1">IFERROR(__xludf.DUMMYFUNCTION("""COMPUTED_VALUE"""),"CT")</f>
        <v>CT</v>
      </c>
      <c r="R2229" s="5" t="str">
        <f ca="1">IFERROR(__xludf.DUMMYFUNCTION("""COMPUTED_VALUE"""),"Other")</f>
        <v>Other</v>
      </c>
      <c r="S2229" s="5" t="str">
        <f ca="1">IFERROR(__xludf.DUMMYFUNCTION("""COMPUTED_VALUE"""),"Classroom")</f>
        <v>Classroom</v>
      </c>
      <c r="T2229" s="5" t="str">
        <f ca="1">IFERROR(__xludf.DUMMYFUNCTION("""COMPUTED_VALUE"""),"Inside School Building")</f>
        <v>Inside School Building</v>
      </c>
      <c r="U2229" s="5" t="str">
        <f ca="1">IFERROR(__xludf.DUMMYFUNCTION("""COMPUTED_VALUE"""),"Yes")</f>
        <v>Yes</v>
      </c>
      <c r="V2229" s="5" t="str">
        <f ca="1">IFERROR(__xludf.DUMMYFUNCTION("""COMPUTED_VALUE"""),"Afternoon Classes")</f>
        <v>Afternoon Classes</v>
      </c>
      <c r="W2229" s="10">
        <f ca="1">IFERROR(__xludf.DUMMYFUNCTION("""COMPUTED_VALUE"""),0.552083333333333)</f>
        <v>0.55208333333333304</v>
      </c>
      <c r="X2229" s="5">
        <f ca="1">IFERROR(__xludf.DUMMYFUNCTION("""COMPUTED_VALUE"""),1)</f>
        <v>1</v>
      </c>
      <c r="Y2229" s="5" t="str">
        <f ca="1">IFERROR(__xludf.DUMMYFUNCTION("""COMPUTED_VALUE"""),"Shots fired through classroom window")</f>
        <v>Shots fired through classroom window</v>
      </c>
      <c r="Z2229" s="5" t="str">
        <f ca="1">IFERROR(__xludf.DUMMYFUNCTION("""COMPUTED_VALUE"""),"Shots fired through window of the school striking a teacher and 5 year-old male student. No witnesses or information about the shooter.")</f>
        <v>Shots fired through window of the school striking a teacher and 5 year-old male student. No witnesses or information about the shooter.</v>
      </c>
      <c r="AA2229" s="5" t="str">
        <f ca="1">IFERROR(__xludf.DUMMYFUNCTION("""COMPUTED_VALUE"""),"Intentional Property Damage")</f>
        <v>Intentional Property Damage</v>
      </c>
      <c r="AB2229" s="5"/>
      <c r="AC2229" s="5" t="str">
        <f ca="1">IFERROR(__xludf.DUMMYFUNCTION("""COMPUTED_VALUE"""),"No")</f>
        <v>No</v>
      </c>
      <c r="AD2229" s="5" t="str">
        <f ca="1">IFERROR(__xludf.DUMMYFUNCTION("""COMPUTED_VALUE"""),"No")</f>
        <v>No</v>
      </c>
      <c r="AE2229" s="5" t="str">
        <f ca="1">IFERROR(__xludf.DUMMYFUNCTION("""COMPUTED_VALUE"""),"No")</f>
        <v>No</v>
      </c>
      <c r="AF2229" s="5" t="str">
        <f ca="1">IFERROR(__xludf.DUMMYFUNCTION("""COMPUTED_VALUE"""),"No")</f>
        <v>No</v>
      </c>
      <c r="AG2229" s="5" t="str">
        <f ca="1">IFERROR(__xludf.DUMMYFUNCTION("""COMPUTED_VALUE"""),"No")</f>
        <v>No</v>
      </c>
      <c r="AH2229" s="5"/>
      <c r="AI2229" s="5" t="str">
        <f ca="1">IFERROR(__xludf.DUMMYFUNCTION("""COMPUTED_VALUE"""),"No")</f>
        <v>No</v>
      </c>
      <c r="AJ2229" s="5"/>
    </row>
    <row r="2230" spans="1:36" ht="13">
      <c r="A2230" s="5" t="str">
        <f ca="1">IFERROR(__xludf.DUMMYFUNCTION("""COMPUTED_VALUE"""),"19740322INBRB")</f>
        <v>19740322INBRB</v>
      </c>
      <c r="B2230" s="5">
        <f ca="1">IFERROR(__xludf.DUMMYFUNCTION("""COMPUTED_VALUE"""),3)</f>
        <v>3</v>
      </c>
      <c r="C2230" s="5">
        <f ca="1">IFERROR(__xludf.DUMMYFUNCTION("""COMPUTED_VALUE"""),22)</f>
        <v>22</v>
      </c>
      <c r="D2230" s="5">
        <f ca="1">IFERROR(__xludf.DUMMYFUNCTION("""COMPUTED_VALUE"""),1974)</f>
        <v>1974</v>
      </c>
      <c r="E2230" s="8">
        <f ca="1">IFERROR(__xludf.DUMMYFUNCTION("""COMPUTED_VALUE"""),27110)</f>
        <v>27110</v>
      </c>
      <c r="F2230" s="5" t="str">
        <f ca="1">IFERROR(__xludf.DUMMYFUNCTION("""COMPUTED_VALUE"""),"Brownstown Central High School")</f>
        <v>Brownstown Central High School</v>
      </c>
      <c r="G2230" s="5">
        <f ca="1">IFERROR(__xludf.DUMMYFUNCTION("""COMPUTED_VALUE"""),1)</f>
        <v>1</v>
      </c>
      <c r="H2230" s="5">
        <f ca="1">IFERROR(__xludf.DUMMYFUNCTION("""COMPUTED_VALUE"""),0)</f>
        <v>0</v>
      </c>
      <c r="I2230" s="5">
        <f ca="1">IFERROR(__xludf.DUMMYFUNCTION("""COMPUTED_VALUE"""),1)</f>
        <v>1</v>
      </c>
      <c r="J2230" s="5">
        <f ca="1">IFERROR(__xludf.DUMMYFUNCTION("""COMPUTED_VALUE"""),0)</f>
        <v>0</v>
      </c>
      <c r="K2230" s="5" t="str">
        <f ca="1">IFERROR(__xludf.DUMMYFUNCTION("""COMPUTED_VALUE"""),"https://www.newspapers.com/image/138665845/?terms=Brownstown%2BCentral%2BHigh%2BSchool%2Bshooting   https://www.newspapers.com/image/138700024/?terms=david%2Bfleetwood")</f>
        <v>https://www.newspapers.com/image/138665845/?terms=Brownstown%2BCentral%2BHigh%2BSchool%2Bshooting   https://www.newspapers.com/image/138700024/?terms=david%2Bfleetwood</v>
      </c>
      <c r="L2230" s="5"/>
      <c r="M2230" s="5"/>
      <c r="N2230" s="5">
        <f ca="1">IFERROR(__xludf.DUMMYFUNCTION("""COMPUTED_VALUE"""),2)</f>
        <v>2</v>
      </c>
      <c r="O2230" s="5" t="str">
        <f ca="1">IFERROR(__xludf.DUMMYFUNCTION("""COMPUTED_VALUE"""),"Spring")</f>
        <v>Spring</v>
      </c>
      <c r="P2230" s="5" t="str">
        <f ca="1">IFERROR(__xludf.DUMMYFUNCTION("""COMPUTED_VALUE"""),"Brownstown")</f>
        <v>Brownstown</v>
      </c>
      <c r="Q2230" s="5" t="str">
        <f ca="1">IFERROR(__xludf.DUMMYFUNCTION("""COMPUTED_VALUE"""),"IN")</f>
        <v>IN</v>
      </c>
      <c r="R2230" s="5" t="str">
        <f ca="1">IFERROR(__xludf.DUMMYFUNCTION("""COMPUTED_VALUE"""),"High")</f>
        <v>High</v>
      </c>
      <c r="S2230" s="5" t="str">
        <f ca="1">IFERROR(__xludf.DUMMYFUNCTION("""COMPUTED_VALUE"""),"Parking Lot")</f>
        <v>Parking Lot</v>
      </c>
      <c r="T2230" s="5" t="str">
        <f ca="1">IFERROR(__xludf.DUMMYFUNCTION("""COMPUTED_VALUE"""),"Outside on School Property")</f>
        <v>Outside on School Property</v>
      </c>
      <c r="U2230" s="5" t="str">
        <f ca="1">IFERROR(__xludf.DUMMYFUNCTION("""COMPUTED_VALUE"""),"Yes")</f>
        <v>Yes</v>
      </c>
      <c r="V2230" s="5" t="str">
        <f ca="1">IFERROR(__xludf.DUMMYFUNCTION("""COMPUTED_VALUE"""),"School Start")</f>
        <v>School Start</v>
      </c>
      <c r="W2230" s="10">
        <f ca="1">IFERROR(__xludf.DUMMYFUNCTION("""COMPUTED_VALUE"""),0.333333333333333)</f>
        <v>0.33333333333333298</v>
      </c>
      <c r="X2230" s="5">
        <f ca="1">IFERROR(__xludf.DUMMYFUNCTION("""COMPUTED_VALUE"""),1)</f>
        <v>1</v>
      </c>
      <c r="Y2230" s="5" t="str">
        <f ca="1">IFERROR(__xludf.DUMMYFUNCTION("""COMPUTED_VALUE"""),"Student shot assistant principal in school parking lot")</f>
        <v>Student shot assistant principal in school parking lot</v>
      </c>
      <c r="Z2230" s="5" t="str">
        <f ca="1">IFERROR(__xludf.DUMMYFUNCTION("""COMPUTED_VALUE"""),"48 year-old male (James T. Blevins, school athletic director) was shot and killed in the parking lot just before class. Shooter walked to principal, told him to call 911, and that he just shot Mr. Blevins. Unknown motive.")</f>
        <v>48 year-old male (James T. Blevins, school athletic director) was shot and killed in the parking lot just before class. Shooter walked to principal, told him to call 911, and that he just shot Mr. Blevins. Unknown motive.</v>
      </c>
      <c r="AA2230" s="5" t="str">
        <f ca="1">IFERROR(__xludf.DUMMYFUNCTION("""COMPUTED_VALUE"""),"Anger Over Grade/Suspension/Discipline")</f>
        <v>Anger Over Grade/Suspension/Discipline</v>
      </c>
      <c r="AB2230" s="5" t="str">
        <f ca="1">IFERROR(__xludf.DUMMYFUNCTION("""COMPUTED_VALUE"""),"Victims Targeted")</f>
        <v>Victims Targeted</v>
      </c>
      <c r="AC2230" s="5" t="str">
        <f ca="1">IFERROR(__xludf.DUMMYFUNCTION("""COMPUTED_VALUE"""),"No")</f>
        <v>No</v>
      </c>
      <c r="AD2230" s="5" t="str">
        <f ca="1">IFERROR(__xludf.DUMMYFUNCTION("""COMPUTED_VALUE"""),"No")</f>
        <v>No</v>
      </c>
      <c r="AE2230" s="5" t="str">
        <f ca="1">IFERROR(__xludf.DUMMYFUNCTION("""COMPUTED_VALUE"""),"No")</f>
        <v>No</v>
      </c>
      <c r="AF2230" s="5" t="str">
        <f ca="1">IFERROR(__xludf.DUMMYFUNCTION("""COMPUTED_VALUE"""),"No")</f>
        <v>No</v>
      </c>
      <c r="AG2230" s="5" t="str">
        <f ca="1">IFERROR(__xludf.DUMMYFUNCTION("""COMPUTED_VALUE"""),"No")</f>
        <v>No</v>
      </c>
      <c r="AH2230" s="5" t="str">
        <f ca="1">IFERROR(__xludf.DUMMYFUNCTION("""COMPUTED_VALUE"""),"No")</f>
        <v>No</v>
      </c>
      <c r="AI2230" s="5" t="str">
        <f ca="1">IFERROR(__xludf.DUMMYFUNCTION("""COMPUTED_VALUE"""),"No")</f>
        <v>No</v>
      </c>
      <c r="AJ2230" s="5"/>
    </row>
    <row r="2231" spans="1:36" ht="13">
      <c r="A2231" s="5" t="str">
        <f ca="1">IFERROR(__xludf.DUMMYFUNCTION("""COMPUTED_VALUE"""),"19740207CAJAO")</f>
        <v>19740207CAJAO</v>
      </c>
      <c r="B2231" s="5">
        <f ca="1">IFERROR(__xludf.DUMMYFUNCTION("""COMPUTED_VALUE"""),2)</f>
        <v>2</v>
      </c>
      <c r="C2231" s="5">
        <f ca="1">IFERROR(__xludf.DUMMYFUNCTION("""COMPUTED_VALUE"""),7)</f>
        <v>7</v>
      </c>
      <c r="D2231" s="5">
        <f ca="1">IFERROR(__xludf.DUMMYFUNCTION("""COMPUTED_VALUE"""),1974)</f>
        <v>1974</v>
      </c>
      <c r="E2231" s="8">
        <f ca="1">IFERROR(__xludf.DUMMYFUNCTION("""COMPUTED_VALUE"""),27067)</f>
        <v>27067</v>
      </c>
      <c r="F2231" s="5" t="str">
        <f ca="1">IFERROR(__xludf.DUMMYFUNCTION("""COMPUTED_VALUE"""),"James Madison Junior High School")</f>
        <v>James Madison Junior High School</v>
      </c>
      <c r="G2231" s="5">
        <f ca="1">IFERROR(__xludf.DUMMYFUNCTION("""COMPUTED_VALUE"""),2)</f>
        <v>2</v>
      </c>
      <c r="H2231" s="5">
        <f ca="1">IFERROR(__xludf.DUMMYFUNCTION("""COMPUTED_VALUE"""),0)</f>
        <v>0</v>
      </c>
      <c r="I2231" s="5">
        <f ca="1">IFERROR(__xludf.DUMMYFUNCTION("""COMPUTED_VALUE"""),2)</f>
        <v>2</v>
      </c>
      <c r="J2231" s="5">
        <f ca="1">IFERROR(__xludf.DUMMYFUNCTION("""COMPUTED_VALUE"""),0)</f>
        <v>0</v>
      </c>
      <c r="K2231" s="9" t="str">
        <f ca="1">IFERROR(__xludf.DUMMYFUNCTION("""COMPUTED_VALUE"""),"https://www.newspapers.com/image/63455706/?terms=school%2Bshooting")</f>
        <v>https://www.newspapers.com/image/63455706/?terms=school%2Bshooting</v>
      </c>
      <c r="L2231" s="5"/>
      <c r="M2231" s="5"/>
      <c r="N2231" s="5">
        <f ca="1">IFERROR(__xludf.DUMMYFUNCTION("""COMPUTED_VALUE"""),2)</f>
        <v>2</v>
      </c>
      <c r="O2231" s="5" t="str">
        <f ca="1">IFERROR(__xludf.DUMMYFUNCTION("""COMPUTED_VALUE"""),"Winter")</f>
        <v>Winter</v>
      </c>
      <c r="P2231" s="5" t="str">
        <f ca="1">IFERROR(__xludf.DUMMYFUNCTION("""COMPUTED_VALUE"""),"Oakland")</f>
        <v>Oakland</v>
      </c>
      <c r="Q2231" s="5" t="str">
        <f ca="1">IFERROR(__xludf.DUMMYFUNCTION("""COMPUTED_VALUE"""),"CA")</f>
        <v>CA</v>
      </c>
      <c r="R2231" s="5" t="str">
        <f ca="1">IFERROR(__xludf.DUMMYFUNCTION("""COMPUTED_VALUE"""),"Junior High")</f>
        <v>Junior High</v>
      </c>
      <c r="S2231" s="5" t="str">
        <f ca="1">IFERROR(__xludf.DUMMYFUNCTION("""COMPUTED_VALUE"""),"Hallway")</f>
        <v>Hallway</v>
      </c>
      <c r="T2231" s="5" t="str">
        <f ca="1">IFERROR(__xludf.DUMMYFUNCTION("""COMPUTED_VALUE"""),"Inside School Building")</f>
        <v>Inside School Building</v>
      </c>
      <c r="U2231" s="5" t="str">
        <f ca="1">IFERROR(__xludf.DUMMYFUNCTION("""COMPUTED_VALUE"""),"Yes")</f>
        <v>Yes</v>
      </c>
      <c r="V2231" s="5" t="str">
        <f ca="1">IFERROR(__xludf.DUMMYFUNCTION("""COMPUTED_VALUE"""),"Lunch")</f>
        <v>Lunch</v>
      </c>
      <c r="W2231" s="5"/>
      <c r="X2231" s="5"/>
      <c r="Y2231" s="5" t="str">
        <f ca="1">IFERROR(__xludf.DUMMYFUNCTION("""COMPUTED_VALUE"""),"Created disturbance at school, shot 2 officers who responded")</f>
        <v>Created disturbance at school, shot 2 officers who responded</v>
      </c>
      <c r="Z2231" s="5" t="str">
        <f ca="1">IFERROR(__xludf.DUMMYFUNCTION("""COMPUTED_VALUE"""),"24 year-old male created disturbance in Junior High School hallway. When police responded, he took one of the officer's gun and killed both of them. Fled to nearby apartment building and held hostages before being shot by police.")</f>
        <v>24 year-old male created disturbance in Junior High School hallway. When police responded, he took one of the officer's gun and killed both of them. Fled to nearby apartment building and held hostages before being shot by police.</v>
      </c>
      <c r="AA2231" s="5" t="str">
        <f ca="1">IFERROR(__xludf.DUMMYFUNCTION("""COMPUTED_VALUE"""),"Hostage/Standoff")</f>
        <v>Hostage/Standoff</v>
      </c>
      <c r="AB2231" s="5" t="str">
        <f ca="1">IFERROR(__xludf.DUMMYFUNCTION("""COMPUTED_VALUE"""),"Neither")</f>
        <v>Neither</v>
      </c>
      <c r="AC2231" s="5" t="str">
        <f ca="1">IFERROR(__xludf.DUMMYFUNCTION("""COMPUTED_VALUE"""),"No")</f>
        <v>No</v>
      </c>
      <c r="AD2231" s="5" t="str">
        <f ca="1">IFERROR(__xludf.DUMMYFUNCTION("""COMPUTED_VALUE"""),"No")</f>
        <v>No</v>
      </c>
      <c r="AE2231" s="5" t="str">
        <f ca="1">IFERROR(__xludf.DUMMYFUNCTION("""COMPUTED_VALUE"""),"No")</f>
        <v>No</v>
      </c>
      <c r="AF2231" s="5" t="str">
        <f ca="1">IFERROR(__xludf.DUMMYFUNCTION("""COMPUTED_VALUE"""),"No")</f>
        <v>No</v>
      </c>
      <c r="AG2231" s="5" t="str">
        <f ca="1">IFERROR(__xludf.DUMMYFUNCTION("""COMPUTED_VALUE"""),"No")</f>
        <v>No</v>
      </c>
      <c r="AH2231" s="5" t="str">
        <f ca="1">IFERROR(__xludf.DUMMYFUNCTION("""COMPUTED_VALUE"""),"No")</f>
        <v>No</v>
      </c>
      <c r="AI2231" s="5" t="str">
        <f ca="1">IFERROR(__xludf.DUMMYFUNCTION("""COMPUTED_VALUE"""),"No")</f>
        <v>No</v>
      </c>
      <c r="AJ2231" s="5" t="str">
        <f ca="1">IFERROR(__xludf.DUMMYFUNCTION("""COMPUTED_VALUE"""),"Yes")</f>
        <v>Yes</v>
      </c>
    </row>
    <row r="2232" spans="1:36" ht="13">
      <c r="A2232" s="5" t="str">
        <f ca="1">IFERROR(__xludf.DUMMYFUNCTION("""COMPUTED_VALUE"""),"19740122CALOL")</f>
        <v>19740122CALOL</v>
      </c>
      <c r="B2232" s="5">
        <f ca="1">IFERROR(__xludf.DUMMYFUNCTION("""COMPUTED_VALUE"""),1)</f>
        <v>1</v>
      </c>
      <c r="C2232" s="5">
        <f ca="1">IFERROR(__xludf.DUMMYFUNCTION("""COMPUTED_VALUE"""),22)</f>
        <v>22</v>
      </c>
      <c r="D2232" s="5">
        <f ca="1">IFERROR(__xludf.DUMMYFUNCTION("""COMPUTED_VALUE"""),1974)</f>
        <v>1974</v>
      </c>
      <c r="E2232" s="8">
        <f ca="1">IFERROR(__xludf.DUMMYFUNCTION("""COMPUTED_VALUE"""),27051)</f>
        <v>27051</v>
      </c>
      <c r="F2232" s="5" t="str">
        <f ca="1">IFERROR(__xludf.DUMMYFUNCTION("""COMPUTED_VALUE"""),"Locke High School")</f>
        <v>Locke High School</v>
      </c>
      <c r="G2232" s="5">
        <f ca="1">IFERROR(__xludf.DUMMYFUNCTION("""COMPUTED_VALUE"""),1)</f>
        <v>1</v>
      </c>
      <c r="H2232" s="5">
        <f ca="1">IFERROR(__xludf.DUMMYFUNCTION("""COMPUTED_VALUE"""),0)</f>
        <v>0</v>
      </c>
      <c r="I2232" s="5">
        <f ca="1">IFERROR(__xludf.DUMMYFUNCTION("""COMPUTED_VALUE"""),1)</f>
        <v>1</v>
      </c>
      <c r="J2232" s="5">
        <f ca="1">IFERROR(__xludf.DUMMYFUNCTION("""COMPUTED_VALUE"""),0)</f>
        <v>0</v>
      </c>
      <c r="K2232" s="9" t="str">
        <f ca="1">IFERROR(__xludf.DUMMYFUNCTION("""COMPUTED_VALUE"""),"https://www.newspapers.com/image/382020739/?terms=school%2Bshooting")</f>
        <v>https://www.newspapers.com/image/382020739/?terms=school%2Bshooting</v>
      </c>
      <c r="L2232" s="5"/>
      <c r="M2232" s="5"/>
      <c r="N2232" s="5">
        <f ca="1">IFERROR(__xludf.DUMMYFUNCTION("""COMPUTED_VALUE"""),2)</f>
        <v>2</v>
      </c>
      <c r="O2232" s="5" t="str">
        <f ca="1">IFERROR(__xludf.DUMMYFUNCTION("""COMPUTED_VALUE"""),"Winter")</f>
        <v>Winter</v>
      </c>
      <c r="P2232" s="5" t="str">
        <f ca="1">IFERROR(__xludf.DUMMYFUNCTION("""COMPUTED_VALUE"""),"Los Angeles")</f>
        <v>Los Angeles</v>
      </c>
      <c r="Q2232" s="5" t="str">
        <f ca="1">IFERROR(__xludf.DUMMYFUNCTION("""COMPUTED_VALUE"""),"CA")</f>
        <v>CA</v>
      </c>
      <c r="R2232" s="5" t="str">
        <f ca="1">IFERROR(__xludf.DUMMYFUNCTION("""COMPUTED_VALUE"""),"High")</f>
        <v>High</v>
      </c>
      <c r="S2232" s="5" t="str">
        <f ca="1">IFERROR(__xludf.DUMMYFUNCTION("""COMPUTED_VALUE"""),"Football Field/Track")</f>
        <v>Football Field/Track</v>
      </c>
      <c r="T2232" s="5" t="str">
        <f ca="1">IFERROR(__xludf.DUMMYFUNCTION("""COMPUTED_VALUE"""),"Outside on School Property")</f>
        <v>Outside on School Property</v>
      </c>
      <c r="U2232" s="5" t="str">
        <f ca="1">IFERROR(__xludf.DUMMYFUNCTION("""COMPUTED_VALUE"""),"Yes")</f>
        <v>Yes</v>
      </c>
      <c r="V2232" s="5"/>
      <c r="W2232" s="5"/>
      <c r="X2232" s="5">
        <f ca="1">IFERROR(__xludf.DUMMYFUNCTION("""COMPUTED_VALUE"""),1)</f>
        <v>1</v>
      </c>
      <c r="Y2232" s="5" t="str">
        <f ca="1">IFERROR(__xludf.DUMMYFUNCTION("""COMPUTED_VALUE"""),"Bystander hit by shots in gang shootings")</f>
        <v>Bystander hit by shots in gang shootings</v>
      </c>
      <c r="Z2232" s="5" t="str">
        <f ca="1">IFERROR(__xludf.DUMMYFUNCTION("""COMPUTED_VALUE"""),"5 shots were fired in nearby gang related shooting. Victim was jogging around the school track and fatally hit by a stray shot.")</f>
        <v>5 shots were fired in nearby gang related shooting. Victim was jogging around the school track and fatally hit by a stray shot.</v>
      </c>
      <c r="AA2232" s="5" t="str">
        <f ca="1">IFERROR(__xludf.DUMMYFUNCTION("""COMPUTED_VALUE"""),"Unknown")</f>
        <v>Unknown</v>
      </c>
      <c r="AB2232" s="5" t="str">
        <f ca="1">IFERROR(__xludf.DUMMYFUNCTION("""COMPUTED_VALUE"""),"Random Shooting")</f>
        <v>Random Shooting</v>
      </c>
      <c r="AC2232" s="5" t="str">
        <f ca="1">IFERROR(__xludf.DUMMYFUNCTION("""COMPUTED_VALUE"""),"No")</f>
        <v>No</v>
      </c>
      <c r="AD2232" s="5" t="str">
        <f ca="1">IFERROR(__xludf.DUMMYFUNCTION("""COMPUTED_VALUE"""),"No")</f>
        <v>No</v>
      </c>
      <c r="AE2232" s="5" t="str">
        <f ca="1">IFERROR(__xludf.DUMMYFUNCTION("""COMPUTED_VALUE"""),"No")</f>
        <v>No</v>
      </c>
      <c r="AF2232" s="5" t="str">
        <f ca="1">IFERROR(__xludf.DUMMYFUNCTION("""COMPUTED_VALUE"""),"No")</f>
        <v>No</v>
      </c>
      <c r="AG2232" s="5" t="str">
        <f ca="1">IFERROR(__xludf.DUMMYFUNCTION("""COMPUTED_VALUE"""),"No")</f>
        <v>No</v>
      </c>
      <c r="AH2232" s="5" t="str">
        <f ca="1">IFERROR(__xludf.DUMMYFUNCTION("""COMPUTED_VALUE"""),"No")</f>
        <v>No</v>
      </c>
      <c r="AI2232" s="5" t="str">
        <f ca="1">IFERROR(__xludf.DUMMYFUNCTION("""COMPUTED_VALUE"""),"Yes")</f>
        <v>Yes</v>
      </c>
      <c r="AJ2232" s="5"/>
    </row>
    <row r="2233" spans="1:36" ht="13">
      <c r="A2233" s="5" t="str">
        <f ca="1">IFERROR(__xludf.DUMMYFUNCTION("""COMPUTED_VALUE"""),"19740117ILBAC")</f>
        <v>19740117ILBAC</v>
      </c>
      <c r="B2233" s="5">
        <f ca="1">IFERROR(__xludf.DUMMYFUNCTION("""COMPUTED_VALUE"""),1)</f>
        <v>1</v>
      </c>
      <c r="C2233" s="5">
        <f ca="1">IFERROR(__xludf.DUMMYFUNCTION("""COMPUTED_VALUE"""),17)</f>
        <v>17</v>
      </c>
      <c r="D2233" s="5">
        <f ca="1">IFERROR(__xludf.DUMMYFUNCTION("""COMPUTED_VALUE"""),1974)</f>
        <v>1974</v>
      </c>
      <c r="E2233" s="8">
        <f ca="1">IFERROR(__xludf.DUMMYFUNCTION("""COMPUTED_VALUE"""),27046)</f>
        <v>27046</v>
      </c>
      <c r="F2233" s="5" t="str">
        <f ca="1">IFERROR(__xludf.DUMMYFUNCTION("""COMPUTED_VALUE"""),"Barton Elementary School")</f>
        <v>Barton Elementary School</v>
      </c>
      <c r="G2233" s="5">
        <f ca="1">IFERROR(__xludf.DUMMYFUNCTION("""COMPUTED_VALUE"""),1)</f>
        <v>1</v>
      </c>
      <c r="H2233" s="5">
        <f ca="1">IFERROR(__xludf.DUMMYFUNCTION("""COMPUTED_VALUE"""),2)</f>
        <v>2</v>
      </c>
      <c r="I2233" s="5">
        <f ca="1">IFERROR(__xludf.DUMMYFUNCTION("""COMPUTED_VALUE"""),3)</f>
        <v>3</v>
      </c>
      <c r="J2233" s="5">
        <f ca="1">IFERROR(__xludf.DUMMYFUNCTION("""COMPUTED_VALUE"""),0)</f>
        <v>0</v>
      </c>
      <c r="K2233" s="9" t="str">
        <f ca="1">IFERROR(__xludf.DUMMYFUNCTION("""COMPUTED_VALUE"""),"https://www.newspapers.com/image/287719212/?terms=school%2Bshooting")</f>
        <v>https://www.newspapers.com/image/287719212/?terms=school%2Bshooting</v>
      </c>
      <c r="L2233" s="5"/>
      <c r="M2233" s="5"/>
      <c r="N2233" s="5">
        <f ca="1">IFERROR(__xludf.DUMMYFUNCTION("""COMPUTED_VALUE"""),2)</f>
        <v>2</v>
      </c>
      <c r="O2233" s="5" t="str">
        <f ca="1">IFERROR(__xludf.DUMMYFUNCTION("""COMPUTED_VALUE"""),"Winter")</f>
        <v>Winter</v>
      </c>
      <c r="P2233" s="5" t="str">
        <f ca="1">IFERROR(__xludf.DUMMYFUNCTION("""COMPUTED_VALUE"""),"Chicago")</f>
        <v>Chicago</v>
      </c>
      <c r="Q2233" s="5" t="str">
        <f ca="1">IFERROR(__xludf.DUMMYFUNCTION("""COMPUTED_VALUE"""),"IL")</f>
        <v>IL</v>
      </c>
      <c r="R2233" s="5" t="str">
        <f ca="1">IFERROR(__xludf.DUMMYFUNCTION("""COMPUTED_VALUE"""),"Elementary")</f>
        <v>Elementary</v>
      </c>
      <c r="S2233" s="5" t="str">
        <f ca="1">IFERROR(__xludf.DUMMYFUNCTION("""COMPUTED_VALUE"""),"Office")</f>
        <v>Office</v>
      </c>
      <c r="T2233" s="5" t="str">
        <f ca="1">IFERROR(__xludf.DUMMYFUNCTION("""COMPUTED_VALUE"""),"Inside School Building")</f>
        <v>Inside School Building</v>
      </c>
      <c r="U2233" s="5" t="str">
        <f ca="1">IFERROR(__xludf.DUMMYFUNCTION("""COMPUTED_VALUE"""),"Yes")</f>
        <v>Yes</v>
      </c>
      <c r="V2233" s="5"/>
      <c r="W2233" s="5"/>
      <c r="X2233" s="5"/>
      <c r="Y2233" s="5" t="str">
        <f ca="1">IFERROR(__xludf.DUMMYFUNCTION("""COMPUTED_VALUE"""),"Expelled student angry at principal for expelling him")</f>
        <v>Expelled student angry at principal for expelling him</v>
      </c>
      <c r="Z2233" s="5" t="str">
        <f ca="1">IFERROR(__xludf.DUMMYFUNCTION("""COMPUTED_VALUE"""),"Expelled student angry at principal for expelling him. Victim-Principal Rudolph Jezek, killed; Assistant Principal Gordan Sharp, wounded; Security Guard Ezekiel Thomas, wounded. Shooter’s father was a policeman and took firearms from father. Anger of bein"&amp;"g transferred to another school. Tackled by a teacher when the gun jammed. Had two handguns 45 caliber pistol, .38 caliber revolver.")</f>
        <v>Expelled student angry at principal for expelling him. Victim-Principal Rudolph Jezek, killed; Assistant Principal Gordan Sharp, wounded; Security Guard Ezekiel Thomas, wounded. Shooter’s father was a policeman and took firearms from father. Anger of being transferred to another school. Tackled by a teacher when the gun jammed. Had two handguns 45 caliber pistol, .38 caliber revolver.</v>
      </c>
      <c r="AA2233" s="5" t="str">
        <f ca="1">IFERROR(__xludf.DUMMYFUNCTION("""COMPUTED_VALUE"""),"Anger Over Grade/Suspension/Discipline")</f>
        <v>Anger Over Grade/Suspension/Discipline</v>
      </c>
      <c r="AB2233" s="5" t="str">
        <f ca="1">IFERROR(__xludf.DUMMYFUNCTION("""COMPUTED_VALUE"""),"Victims Targeted")</f>
        <v>Victims Targeted</v>
      </c>
      <c r="AC2233" s="5" t="str">
        <f ca="1">IFERROR(__xludf.DUMMYFUNCTION("""COMPUTED_VALUE"""),"No")</f>
        <v>No</v>
      </c>
      <c r="AD2233" s="5" t="str">
        <f ca="1">IFERROR(__xludf.DUMMYFUNCTION("""COMPUTED_VALUE"""),"No")</f>
        <v>No</v>
      </c>
      <c r="AE2233" s="5" t="str">
        <f ca="1">IFERROR(__xludf.DUMMYFUNCTION("""COMPUTED_VALUE"""),"No")</f>
        <v>No</v>
      </c>
      <c r="AF2233" s="5" t="str">
        <f ca="1">IFERROR(__xludf.DUMMYFUNCTION("""COMPUTED_VALUE"""),"No")</f>
        <v>No</v>
      </c>
      <c r="AG2233" s="5"/>
      <c r="AH2233" s="5" t="str">
        <f ca="1">IFERROR(__xludf.DUMMYFUNCTION("""COMPUTED_VALUE"""),"No")</f>
        <v>No</v>
      </c>
      <c r="AI2233" s="5" t="str">
        <f ca="1">IFERROR(__xludf.DUMMYFUNCTION("""COMPUTED_VALUE"""),"No")</f>
        <v>No</v>
      </c>
      <c r="AJ2233" s="5" t="str">
        <f ca="1">IFERROR(__xludf.DUMMYFUNCTION("""COMPUTED_VALUE"""),"Yes")</f>
        <v>Yes</v>
      </c>
    </row>
    <row r="2234" spans="1:36" ht="13">
      <c r="A2234" s="5" t="str">
        <f ca="1">IFERROR(__xludf.DUMMYFUNCTION("""COMPUTED_VALUE"""),"19731213OHHUC")</f>
        <v>19731213OHHUC</v>
      </c>
      <c r="B2234" s="5">
        <f ca="1">IFERROR(__xludf.DUMMYFUNCTION("""COMPUTED_VALUE"""),12)</f>
        <v>12</v>
      </c>
      <c r="C2234" s="5">
        <f ca="1">IFERROR(__xludf.DUMMYFUNCTION("""COMPUTED_VALUE"""),13)</f>
        <v>13</v>
      </c>
      <c r="D2234" s="5">
        <f ca="1">IFERROR(__xludf.DUMMYFUNCTION("""COMPUTED_VALUE"""),1973)</f>
        <v>1973</v>
      </c>
      <c r="E2234" s="8">
        <f ca="1">IFERROR(__xludf.DUMMYFUNCTION("""COMPUTED_VALUE"""),27011)</f>
        <v>27011</v>
      </c>
      <c r="F2234" s="5" t="str">
        <f ca="1">IFERROR(__xludf.DUMMYFUNCTION("""COMPUTED_VALUE"""),"Hughes High School")</f>
        <v>Hughes High School</v>
      </c>
      <c r="G2234" s="5">
        <f ca="1">IFERROR(__xludf.DUMMYFUNCTION("""COMPUTED_VALUE"""),0)</f>
        <v>0</v>
      </c>
      <c r="H2234" s="5">
        <f ca="1">IFERROR(__xludf.DUMMYFUNCTION("""COMPUTED_VALUE"""),1)</f>
        <v>1</v>
      </c>
      <c r="I2234" s="5">
        <f ca="1">IFERROR(__xludf.DUMMYFUNCTION("""COMPUTED_VALUE"""),1)</f>
        <v>1</v>
      </c>
      <c r="J2234" s="5">
        <f ca="1">IFERROR(__xludf.DUMMYFUNCTION("""COMPUTED_VALUE"""),0)</f>
        <v>0</v>
      </c>
      <c r="K2234" s="9" t="str">
        <f ca="1">IFERROR(__xludf.DUMMYFUNCTION("""COMPUTED_VALUE"""),"https://www.newspapers.com/image/104353084/?terms=school%2Bshooting")</f>
        <v>https://www.newspapers.com/image/104353084/?terms=school%2Bshooting</v>
      </c>
      <c r="L2234" s="5"/>
      <c r="M2234" s="5"/>
      <c r="N2234" s="5">
        <f ca="1">IFERROR(__xludf.DUMMYFUNCTION("""COMPUTED_VALUE"""),2)</f>
        <v>2</v>
      </c>
      <c r="O2234" s="5" t="str">
        <f ca="1">IFERROR(__xludf.DUMMYFUNCTION("""COMPUTED_VALUE"""),"Winter")</f>
        <v>Winter</v>
      </c>
      <c r="P2234" s="5" t="str">
        <f ca="1">IFERROR(__xludf.DUMMYFUNCTION("""COMPUTED_VALUE"""),"Cincinnati")</f>
        <v>Cincinnati</v>
      </c>
      <c r="Q2234" s="5" t="str">
        <f ca="1">IFERROR(__xludf.DUMMYFUNCTION("""COMPUTED_VALUE"""),"OH")</f>
        <v>OH</v>
      </c>
      <c r="R2234" s="5" t="str">
        <f ca="1">IFERROR(__xludf.DUMMYFUNCTION("""COMPUTED_VALUE"""),"High")</f>
        <v>High</v>
      </c>
      <c r="S2234" s="5" t="str">
        <f ca="1">IFERROR(__xludf.DUMMYFUNCTION("""COMPUTED_VALUE"""),"Hallway")</f>
        <v>Hallway</v>
      </c>
      <c r="T2234" s="5" t="str">
        <f ca="1">IFERROR(__xludf.DUMMYFUNCTION("""COMPUTED_VALUE"""),"Inside School Building")</f>
        <v>Inside School Building</v>
      </c>
      <c r="U2234" s="5" t="str">
        <f ca="1">IFERROR(__xludf.DUMMYFUNCTION("""COMPUTED_VALUE"""),"Yes")</f>
        <v>Yes</v>
      </c>
      <c r="V2234" s="5" t="str">
        <f ca="1">IFERROR(__xludf.DUMMYFUNCTION("""COMPUTED_VALUE"""),"Afternoon Classes")</f>
        <v>Afternoon Classes</v>
      </c>
      <c r="W2234" s="10">
        <f ca="1">IFERROR(__xludf.DUMMYFUNCTION("""COMPUTED_VALUE"""),0.548611111111111)</f>
        <v>0.54861111111111105</v>
      </c>
      <c r="X2234" s="5">
        <f ca="1">IFERROR(__xludf.DUMMYFUNCTION("""COMPUTED_VALUE"""),1)</f>
        <v>1</v>
      </c>
      <c r="Y2234" s="5" t="str">
        <f ca="1">IFERROR(__xludf.DUMMYFUNCTION("""COMPUTED_VALUE"""),"Witness intimidation after robbery")</f>
        <v>Witness intimidation after robbery</v>
      </c>
      <c r="Z2234" s="5" t="str">
        <f ca="1">IFERROR(__xludf.DUMMYFUNCTION("""COMPUTED_VALUE"""),"2 students had reported another student for theft and were testifying against him. The shooter fired at both students in the hallway striking another student in the leg. The principal did not report the shooting until that night and was charged with cover"&amp;"ing it up.")</f>
        <v>2 students had reported another student for theft and were testifying against him. The shooter fired at both students in the hallway striking another student in the leg. The principal did not report the shooting until that night and was charged with covering it up.</v>
      </c>
      <c r="AA2234" s="5" t="str">
        <f ca="1">IFERROR(__xludf.DUMMYFUNCTION("""COMPUTED_VALUE"""),"Illegal Activity")</f>
        <v>Illegal Activity</v>
      </c>
      <c r="AB2234" s="5" t="str">
        <f ca="1">IFERROR(__xludf.DUMMYFUNCTION("""COMPUTED_VALUE"""),"Both")</f>
        <v>Both</v>
      </c>
      <c r="AC2234" s="5" t="str">
        <f ca="1">IFERROR(__xludf.DUMMYFUNCTION("""COMPUTED_VALUE"""),"Yes")</f>
        <v>Yes</v>
      </c>
      <c r="AD2234" s="5" t="str">
        <f ca="1">IFERROR(__xludf.DUMMYFUNCTION("""COMPUTED_VALUE"""),"No")</f>
        <v>No</v>
      </c>
      <c r="AE2234" s="5" t="str">
        <f ca="1">IFERROR(__xludf.DUMMYFUNCTION("""COMPUTED_VALUE"""),"No")</f>
        <v>No</v>
      </c>
      <c r="AF2234" s="5" t="str">
        <f ca="1">IFERROR(__xludf.DUMMYFUNCTION("""COMPUTED_VALUE"""),"No")</f>
        <v>No</v>
      </c>
      <c r="AG2234" s="5" t="str">
        <f ca="1">IFERROR(__xludf.DUMMYFUNCTION("""COMPUTED_VALUE"""),"No")</f>
        <v>No</v>
      </c>
      <c r="AH2234" s="5" t="str">
        <f ca="1">IFERROR(__xludf.DUMMYFUNCTION("""COMPUTED_VALUE"""),"No")</f>
        <v>No</v>
      </c>
      <c r="AI2234" s="5" t="str">
        <f ca="1">IFERROR(__xludf.DUMMYFUNCTION("""COMPUTED_VALUE"""),"No")</f>
        <v>No</v>
      </c>
      <c r="AJ2234" s="5"/>
    </row>
    <row r="2235" spans="1:36" ht="13">
      <c r="A2235" s="5" t="str">
        <f ca="1">IFERROR(__xludf.DUMMYFUNCTION("""COMPUTED_VALUE"""),"19731206CAFRL")</f>
        <v>19731206CAFRL</v>
      </c>
      <c r="B2235" s="5">
        <f ca="1">IFERROR(__xludf.DUMMYFUNCTION("""COMPUTED_VALUE"""),12)</f>
        <v>12</v>
      </c>
      <c r="C2235" s="5">
        <f ca="1">IFERROR(__xludf.DUMMYFUNCTION("""COMPUTED_VALUE"""),6)</f>
        <v>6</v>
      </c>
      <c r="D2235" s="5">
        <f ca="1">IFERROR(__xludf.DUMMYFUNCTION("""COMPUTED_VALUE"""),1973)</f>
        <v>1973</v>
      </c>
      <c r="E2235" s="8">
        <f ca="1">IFERROR(__xludf.DUMMYFUNCTION("""COMPUTED_VALUE"""),27004)</f>
        <v>27004</v>
      </c>
      <c r="F2235" s="5" t="str">
        <f ca="1">IFERROR(__xludf.DUMMYFUNCTION("""COMPUTED_VALUE"""),"Fremont High School")</f>
        <v>Fremont High School</v>
      </c>
      <c r="G2235" s="5">
        <f ca="1">IFERROR(__xludf.DUMMYFUNCTION("""COMPUTED_VALUE"""),0)</f>
        <v>0</v>
      </c>
      <c r="H2235" s="5">
        <f ca="1">IFERROR(__xludf.DUMMYFUNCTION("""COMPUTED_VALUE"""),1)</f>
        <v>1</v>
      </c>
      <c r="I2235" s="5">
        <f ca="1">IFERROR(__xludf.DUMMYFUNCTION("""COMPUTED_VALUE"""),1)</f>
        <v>1</v>
      </c>
      <c r="J2235" s="5">
        <f ca="1">IFERROR(__xludf.DUMMYFUNCTION("""COMPUTED_VALUE"""),0)</f>
        <v>0</v>
      </c>
      <c r="K2235" s="9" t="str">
        <f ca="1">IFERROR(__xludf.DUMMYFUNCTION("""COMPUTED_VALUE"""),"https://www.newspapers.com/image/81731406/?terms=Student%2Bshot")</f>
        <v>https://www.newspapers.com/image/81731406/?terms=Student%2Bshot</v>
      </c>
      <c r="L2235" s="5"/>
      <c r="M2235" s="5"/>
      <c r="N2235" s="5">
        <f ca="1">IFERROR(__xludf.DUMMYFUNCTION("""COMPUTED_VALUE"""),2)</f>
        <v>2</v>
      </c>
      <c r="O2235" s="5" t="str">
        <f ca="1">IFERROR(__xludf.DUMMYFUNCTION("""COMPUTED_VALUE"""),"Winter")</f>
        <v>Winter</v>
      </c>
      <c r="P2235" s="5" t="str">
        <f ca="1">IFERROR(__xludf.DUMMYFUNCTION("""COMPUTED_VALUE"""),"Los Angeles")</f>
        <v>Los Angeles</v>
      </c>
      <c r="Q2235" s="5" t="str">
        <f ca="1">IFERROR(__xludf.DUMMYFUNCTION("""COMPUTED_VALUE"""),"CA")</f>
        <v>CA</v>
      </c>
      <c r="R2235" s="5" t="str">
        <f ca="1">IFERROR(__xludf.DUMMYFUNCTION("""COMPUTED_VALUE"""),"High")</f>
        <v>High</v>
      </c>
      <c r="S2235" s="5" t="str">
        <f ca="1">IFERROR(__xludf.DUMMYFUNCTION("""COMPUTED_VALUE"""),"Hallway")</f>
        <v>Hallway</v>
      </c>
      <c r="T2235" s="5" t="str">
        <f ca="1">IFERROR(__xludf.DUMMYFUNCTION("""COMPUTED_VALUE"""),"Inside School Building")</f>
        <v>Inside School Building</v>
      </c>
      <c r="U2235" s="5" t="str">
        <f ca="1">IFERROR(__xludf.DUMMYFUNCTION("""COMPUTED_VALUE"""),"Yes")</f>
        <v>Yes</v>
      </c>
      <c r="V2235" s="5"/>
      <c r="W2235" s="5"/>
      <c r="X2235" s="5">
        <f ca="1">IFERROR(__xludf.DUMMYFUNCTION("""COMPUTED_VALUE"""),1)</f>
        <v>1</v>
      </c>
      <c r="Y2235" s="5" t="str">
        <f ca="1">IFERROR(__xludf.DUMMYFUNCTION("""COMPUTED_VALUE"""),"Shooter shot victim after being cornered")</f>
        <v>Shooter shot victim after being cornered</v>
      </c>
      <c r="Z2235" s="5" t="str">
        <f ca="1">IFERROR(__xludf.DUMMYFUNCTION("""COMPUTED_VALUE"""),"Argument between victim and another youth occurred when friends of the other youth cornered victim and shot him once in the liver.")</f>
        <v>Argument between victim and another youth occurred when friends of the other youth cornered victim and shot him once in the liver.</v>
      </c>
      <c r="AA2235" s="5" t="str">
        <f ca="1">IFERROR(__xludf.DUMMYFUNCTION("""COMPUTED_VALUE"""),"Escalation of Dispute")</f>
        <v>Escalation of Dispute</v>
      </c>
      <c r="AB2235" s="5" t="str">
        <f ca="1">IFERROR(__xludf.DUMMYFUNCTION("""COMPUTED_VALUE"""),"Victims Targeted")</f>
        <v>Victims Targeted</v>
      </c>
      <c r="AC2235" s="5" t="str">
        <f ca="1">IFERROR(__xludf.DUMMYFUNCTION("""COMPUTED_VALUE"""),"Yes")</f>
        <v>Yes</v>
      </c>
      <c r="AD2235" s="5" t="str">
        <f ca="1">IFERROR(__xludf.DUMMYFUNCTION("""COMPUTED_VALUE"""),"No")</f>
        <v>No</v>
      </c>
      <c r="AE2235" s="5" t="str">
        <f ca="1">IFERROR(__xludf.DUMMYFUNCTION("""COMPUTED_VALUE"""),"No")</f>
        <v>No</v>
      </c>
      <c r="AF2235" s="5" t="str">
        <f ca="1">IFERROR(__xludf.DUMMYFUNCTION("""COMPUTED_VALUE"""),"No")</f>
        <v>No</v>
      </c>
      <c r="AG2235" s="5" t="str">
        <f ca="1">IFERROR(__xludf.DUMMYFUNCTION("""COMPUTED_VALUE"""),"No")</f>
        <v>No</v>
      </c>
      <c r="AH2235" s="5" t="str">
        <f ca="1">IFERROR(__xludf.DUMMYFUNCTION("""COMPUTED_VALUE"""),"No")</f>
        <v>No</v>
      </c>
      <c r="AI2235" s="5" t="str">
        <f ca="1">IFERROR(__xludf.DUMMYFUNCTION("""COMPUTED_VALUE"""),"Yes")</f>
        <v>Yes</v>
      </c>
      <c r="AJ2235" s="5"/>
    </row>
    <row r="2236" spans="1:36" ht="13">
      <c r="A2236" s="5" t="str">
        <f ca="1">IFERROR(__xludf.DUMMYFUNCTION("""COMPUTED_VALUE"""),"19731109CALOL")</f>
        <v>19731109CALOL</v>
      </c>
      <c r="B2236" s="5">
        <f ca="1">IFERROR(__xludf.DUMMYFUNCTION("""COMPUTED_VALUE"""),11)</f>
        <v>11</v>
      </c>
      <c r="C2236" s="5">
        <f ca="1">IFERROR(__xludf.DUMMYFUNCTION("""COMPUTED_VALUE"""),9)</f>
        <v>9</v>
      </c>
      <c r="D2236" s="5">
        <f ca="1">IFERROR(__xludf.DUMMYFUNCTION("""COMPUTED_VALUE"""),1973)</f>
        <v>1973</v>
      </c>
      <c r="E2236" s="8">
        <f ca="1">IFERROR(__xludf.DUMMYFUNCTION("""COMPUTED_VALUE"""),26977)</f>
        <v>26977</v>
      </c>
      <c r="F2236" s="5" t="str">
        <f ca="1">IFERROR(__xludf.DUMMYFUNCTION("""COMPUTED_VALUE"""),"Long Beach Polytechnic High School")</f>
        <v>Long Beach Polytechnic High School</v>
      </c>
      <c r="G2236" s="5">
        <f ca="1">IFERROR(__xludf.DUMMYFUNCTION("""COMPUTED_VALUE"""),1)</f>
        <v>1</v>
      </c>
      <c r="H2236" s="5">
        <f ca="1">IFERROR(__xludf.DUMMYFUNCTION("""COMPUTED_VALUE"""),1)</f>
        <v>1</v>
      </c>
      <c r="I2236" s="5">
        <f ca="1">IFERROR(__xludf.DUMMYFUNCTION("""COMPUTED_VALUE"""),2)</f>
        <v>2</v>
      </c>
      <c r="J2236" s="5">
        <f ca="1">IFERROR(__xludf.DUMMYFUNCTION("""COMPUTED_VALUE"""),0)</f>
        <v>0</v>
      </c>
      <c r="K2236" s="9" t="str">
        <f ca="1">IFERROR(__xludf.DUMMYFUNCTION("""COMPUTED_VALUE"""),"https://www.newspapers.com/image/25814105/?terms=school%2Bshooting")</f>
        <v>https://www.newspapers.com/image/25814105/?terms=school%2Bshooting</v>
      </c>
      <c r="L2236" s="5"/>
      <c r="M2236" s="5"/>
      <c r="N2236" s="5">
        <f ca="1">IFERROR(__xludf.DUMMYFUNCTION("""COMPUTED_VALUE"""),2)</f>
        <v>2</v>
      </c>
      <c r="O2236" s="5" t="str">
        <f ca="1">IFERROR(__xludf.DUMMYFUNCTION("""COMPUTED_VALUE"""),"Fall")</f>
        <v>Fall</v>
      </c>
      <c r="P2236" s="5" t="str">
        <f ca="1">IFERROR(__xludf.DUMMYFUNCTION("""COMPUTED_VALUE"""),"Los Angeles")</f>
        <v>Los Angeles</v>
      </c>
      <c r="Q2236" s="5" t="str">
        <f ca="1">IFERROR(__xludf.DUMMYFUNCTION("""COMPUTED_VALUE"""),"CA")</f>
        <v>CA</v>
      </c>
      <c r="R2236" s="5" t="str">
        <f ca="1">IFERROR(__xludf.DUMMYFUNCTION("""COMPUTED_VALUE"""),"High")</f>
        <v>High</v>
      </c>
      <c r="S2236" s="5" t="str">
        <f ca="1">IFERROR(__xludf.DUMMYFUNCTION("""COMPUTED_VALUE"""),"Front of School")</f>
        <v>Front of School</v>
      </c>
      <c r="T2236" s="5" t="str">
        <f ca="1">IFERROR(__xludf.DUMMYFUNCTION("""COMPUTED_VALUE"""),"Outside on School Property")</f>
        <v>Outside on School Property</v>
      </c>
      <c r="U2236" s="5"/>
      <c r="V2236" s="5"/>
      <c r="W2236" s="5"/>
      <c r="X2236" s="5">
        <f ca="1">IFERROR(__xludf.DUMMYFUNCTION("""COMPUTED_VALUE"""),1)</f>
        <v>1</v>
      </c>
      <c r="Y2236" s="5" t="str">
        <f ca="1">IFERROR(__xludf.DUMMYFUNCTION("""COMPUTED_VALUE"""),"Victims shot outside of school during drive by")</f>
        <v>Victims shot outside of school during drive by</v>
      </c>
      <c r="Z2236" s="5" t="str">
        <f ca="1">IFERROR(__xludf.DUMMYFUNCTION("""COMPUTED_VALUE"""),"16 year-old female victim was with 7-month-old daughter outside of high school. Shooter fired from a vehicle striking both of them, killing the infant. Two teens were arrested.")</f>
        <v>16 year-old female victim was with 7-month-old daughter outside of high school. Shooter fired from a vehicle striking both of them, killing the infant. Two teens were arrested.</v>
      </c>
      <c r="AA2236" s="5" t="str">
        <f ca="1">IFERROR(__xludf.DUMMYFUNCTION("""COMPUTED_VALUE"""),"Drive-by Shooting")</f>
        <v>Drive-by Shooting</v>
      </c>
      <c r="AB2236" s="5"/>
      <c r="AC2236" s="5" t="str">
        <f ca="1">IFERROR(__xludf.DUMMYFUNCTION("""COMPUTED_VALUE"""),"Yes")</f>
        <v>Yes</v>
      </c>
      <c r="AD2236" s="5" t="str">
        <f ca="1">IFERROR(__xludf.DUMMYFUNCTION("""COMPUTED_VALUE"""),"No")</f>
        <v>No</v>
      </c>
      <c r="AE2236" s="5" t="str">
        <f ca="1">IFERROR(__xludf.DUMMYFUNCTION("""COMPUTED_VALUE"""),"No")</f>
        <v>No</v>
      </c>
      <c r="AF2236" s="5" t="str">
        <f ca="1">IFERROR(__xludf.DUMMYFUNCTION("""COMPUTED_VALUE"""),"No")</f>
        <v>No</v>
      </c>
      <c r="AG2236" s="5" t="str">
        <f ca="1">IFERROR(__xludf.DUMMYFUNCTION("""COMPUTED_VALUE"""),"No")</f>
        <v>No</v>
      </c>
      <c r="AH2236" s="5"/>
      <c r="AI2236" s="5" t="str">
        <f ca="1">IFERROR(__xludf.DUMMYFUNCTION("""COMPUTED_VALUE"""),"Yes")</f>
        <v>Yes</v>
      </c>
      <c r="AJ2236" s="5"/>
    </row>
    <row r="2237" spans="1:36" ht="13">
      <c r="A2237" s="5" t="str">
        <f ca="1">IFERROR(__xludf.DUMMYFUNCTION("""COMPUTED_VALUE"""),"19731108ILWOC")</f>
        <v>19731108ILWOC</v>
      </c>
      <c r="B2237" s="5">
        <f ca="1">IFERROR(__xludf.DUMMYFUNCTION("""COMPUTED_VALUE"""),11)</f>
        <v>11</v>
      </c>
      <c r="C2237" s="5">
        <f ca="1">IFERROR(__xludf.DUMMYFUNCTION("""COMPUTED_VALUE"""),8)</f>
        <v>8</v>
      </c>
      <c r="D2237" s="5">
        <f ca="1">IFERROR(__xludf.DUMMYFUNCTION("""COMPUTED_VALUE"""),1973)</f>
        <v>1973</v>
      </c>
      <c r="E2237" s="8">
        <f ca="1">IFERROR(__xludf.DUMMYFUNCTION("""COMPUTED_VALUE"""),26976)</f>
        <v>26976</v>
      </c>
      <c r="F2237" s="5" t="str">
        <f ca="1">IFERROR(__xludf.DUMMYFUNCTION("""COMPUTED_VALUE"""),"Woodell Phillips High School")</f>
        <v>Woodell Phillips High School</v>
      </c>
      <c r="G2237" s="5">
        <f ca="1">IFERROR(__xludf.DUMMYFUNCTION("""COMPUTED_VALUE"""),1)</f>
        <v>1</v>
      </c>
      <c r="H2237" s="5">
        <f ca="1">IFERROR(__xludf.DUMMYFUNCTION("""COMPUTED_VALUE"""),0)</f>
        <v>0</v>
      </c>
      <c r="I2237" s="5">
        <f ca="1">IFERROR(__xludf.DUMMYFUNCTION("""COMPUTED_VALUE"""),1)</f>
        <v>1</v>
      </c>
      <c r="J2237" s="5">
        <f ca="1">IFERROR(__xludf.DUMMYFUNCTION("""COMPUTED_VALUE"""),0)</f>
        <v>0</v>
      </c>
      <c r="K2237" s="5" t="str">
        <f ca="1">IFERROR(__xludf.DUMMYFUNCTION("""COMPUTED_VALUE"""),"https://www.newspapers.com/image/45862633/?terms=STUDENT%2BSHOT  https://www.newspapers.com/image/383907902/?terms=mack%2Bjones")</f>
        <v>https://www.newspapers.com/image/45862633/?terms=STUDENT%2BSHOT  https://www.newspapers.com/image/383907902/?terms=mack%2Bjones</v>
      </c>
      <c r="L2237" s="5"/>
      <c r="M2237" s="5"/>
      <c r="N2237" s="5">
        <f ca="1">IFERROR(__xludf.DUMMYFUNCTION("""COMPUTED_VALUE"""),2)</f>
        <v>2</v>
      </c>
      <c r="O2237" s="5" t="str">
        <f ca="1">IFERROR(__xludf.DUMMYFUNCTION("""COMPUTED_VALUE"""),"Fall")</f>
        <v>Fall</v>
      </c>
      <c r="P2237" s="5" t="str">
        <f ca="1">IFERROR(__xludf.DUMMYFUNCTION("""COMPUTED_VALUE"""),"Chicago")</f>
        <v>Chicago</v>
      </c>
      <c r="Q2237" s="5" t="str">
        <f ca="1">IFERROR(__xludf.DUMMYFUNCTION("""COMPUTED_VALUE"""),"IL")</f>
        <v>IL</v>
      </c>
      <c r="R2237" s="5" t="str">
        <f ca="1">IFERROR(__xludf.DUMMYFUNCTION("""COMPUTED_VALUE"""),"High")</f>
        <v>High</v>
      </c>
      <c r="S2237" s="5" t="str">
        <f ca="1">IFERROR(__xludf.DUMMYFUNCTION("""COMPUTED_VALUE"""),"Entryway")</f>
        <v>Entryway</v>
      </c>
      <c r="T2237" s="5" t="str">
        <f ca="1">IFERROR(__xludf.DUMMYFUNCTION("""COMPUTED_VALUE"""),"Inside School Building")</f>
        <v>Inside School Building</v>
      </c>
      <c r="U2237" s="5" t="str">
        <f ca="1">IFERROR(__xludf.DUMMYFUNCTION("""COMPUTED_VALUE"""),"Yes")</f>
        <v>Yes</v>
      </c>
      <c r="V2237" s="5" t="str">
        <f ca="1">IFERROR(__xludf.DUMMYFUNCTION("""COMPUTED_VALUE"""),"Morning Classes")</f>
        <v>Morning Classes</v>
      </c>
      <c r="W2237" s="10">
        <f ca="1">IFERROR(__xludf.DUMMYFUNCTION("""COMPUTED_VALUE"""),0.416666666666666)</f>
        <v>0.41666666666666602</v>
      </c>
      <c r="X2237" s="5">
        <f ca="1">IFERROR(__xludf.DUMMYFUNCTION("""COMPUTED_VALUE"""),1)</f>
        <v>1</v>
      </c>
      <c r="Y2237" s="5" t="str">
        <f ca="1">IFERROR(__xludf.DUMMYFUNCTION("""COMPUTED_VALUE"""),"Shooter and victim fought a few days prior. Shooter brought gun to school and shot victim")</f>
        <v>Shooter and victim fought a few days prior. Shooter brought gun to school and shot victim</v>
      </c>
      <c r="Z2237" s="5" t="str">
        <f ca="1">IFERROR(__xludf.DUMMYFUNCTION("""COMPUTED_VALUE"""),"Victim was shot by suspect in first floor school lobby. Shooting stemmed from earlier conflict. Shooter said he brought gun to school for protection and when he saw victim in hallway he shot him after victim pushed him.")</f>
        <v>Victim was shot by suspect in first floor school lobby. Shooting stemmed from earlier conflict. Shooter said he brought gun to school for protection and when he saw victim in hallway he shot him after victim pushed him.</v>
      </c>
      <c r="AA2237" s="5" t="str">
        <f ca="1">IFERROR(__xludf.DUMMYFUNCTION("""COMPUTED_VALUE"""),"Escalation of Dispute")</f>
        <v>Escalation of Dispute</v>
      </c>
      <c r="AB2237" s="5" t="str">
        <f ca="1">IFERROR(__xludf.DUMMYFUNCTION("""COMPUTED_VALUE"""),"Victims Targeted")</f>
        <v>Victims Targeted</v>
      </c>
      <c r="AC2237" s="5" t="str">
        <f ca="1">IFERROR(__xludf.DUMMYFUNCTION("""COMPUTED_VALUE"""),"No")</f>
        <v>No</v>
      </c>
      <c r="AD2237" s="5" t="str">
        <f ca="1">IFERROR(__xludf.DUMMYFUNCTION("""COMPUTED_VALUE"""),"No")</f>
        <v>No</v>
      </c>
      <c r="AE2237" s="5" t="str">
        <f ca="1">IFERROR(__xludf.DUMMYFUNCTION("""COMPUTED_VALUE"""),"No")</f>
        <v>No</v>
      </c>
      <c r="AF2237" s="5" t="str">
        <f ca="1">IFERROR(__xludf.DUMMYFUNCTION("""COMPUTED_VALUE"""),"No")</f>
        <v>No</v>
      </c>
      <c r="AG2237" s="5" t="str">
        <f ca="1">IFERROR(__xludf.DUMMYFUNCTION("""COMPUTED_VALUE"""),"No")</f>
        <v>No</v>
      </c>
      <c r="AH2237" s="5" t="str">
        <f ca="1">IFERROR(__xludf.DUMMYFUNCTION("""COMPUTED_VALUE"""),"No")</f>
        <v>No</v>
      </c>
      <c r="AI2237" s="5" t="str">
        <f ca="1">IFERROR(__xludf.DUMMYFUNCTION("""COMPUTED_VALUE"""),"No")</f>
        <v>No</v>
      </c>
      <c r="AJ2237" s="5"/>
    </row>
    <row r="2238" spans="1:36" ht="13">
      <c r="A2238" s="5" t="str">
        <f ca="1">IFERROR(__xludf.DUMMYFUNCTION("""COMPUTED_VALUE"""),"19731031MONOS")</f>
        <v>19731031MONOS</v>
      </c>
      <c r="B2238" s="5">
        <f ca="1">IFERROR(__xludf.DUMMYFUNCTION("""COMPUTED_VALUE"""),10)</f>
        <v>10</v>
      </c>
      <c r="C2238" s="5">
        <f ca="1">IFERROR(__xludf.DUMMYFUNCTION("""COMPUTED_VALUE"""),31)</f>
        <v>31</v>
      </c>
      <c r="D2238" s="5">
        <f ca="1">IFERROR(__xludf.DUMMYFUNCTION("""COMPUTED_VALUE"""),1973)</f>
        <v>1973</v>
      </c>
      <c r="E2238" s="8">
        <f ca="1">IFERROR(__xludf.DUMMYFUNCTION("""COMPUTED_VALUE"""),26968)</f>
        <v>26968</v>
      </c>
      <c r="F2238" s="5" t="str">
        <f ca="1">IFERROR(__xludf.DUMMYFUNCTION("""COMPUTED_VALUE"""),"Northwestern High School")</f>
        <v>Northwestern High School</v>
      </c>
      <c r="G2238" s="5">
        <f ca="1">IFERROR(__xludf.DUMMYFUNCTION("""COMPUTED_VALUE"""),0)</f>
        <v>0</v>
      </c>
      <c r="H2238" s="5">
        <f ca="1">IFERROR(__xludf.DUMMYFUNCTION("""COMPUTED_VALUE"""),1)</f>
        <v>1</v>
      </c>
      <c r="I2238" s="5">
        <f ca="1">IFERROR(__xludf.DUMMYFUNCTION("""COMPUTED_VALUE"""),1)</f>
        <v>1</v>
      </c>
      <c r="J2238" s="5">
        <f ca="1">IFERROR(__xludf.DUMMYFUNCTION("""COMPUTED_VALUE"""),0)</f>
        <v>0</v>
      </c>
      <c r="K2238" s="9" t="str">
        <f ca="1">IFERROR(__xludf.DUMMYFUNCTION("""COMPUTED_VALUE"""),"https://www.newspapers.com/image/305635210/?terms=school%2Bshooting")</f>
        <v>https://www.newspapers.com/image/305635210/?terms=school%2Bshooting</v>
      </c>
      <c r="L2238" s="5"/>
      <c r="M2238" s="5"/>
      <c r="N2238" s="5">
        <f ca="1">IFERROR(__xludf.DUMMYFUNCTION("""COMPUTED_VALUE"""),2)</f>
        <v>2</v>
      </c>
      <c r="O2238" s="5" t="str">
        <f ca="1">IFERROR(__xludf.DUMMYFUNCTION("""COMPUTED_VALUE"""),"Fall")</f>
        <v>Fall</v>
      </c>
      <c r="P2238" s="5" t="str">
        <f ca="1">IFERROR(__xludf.DUMMYFUNCTION("""COMPUTED_VALUE"""),"St. Louis")</f>
        <v>St. Louis</v>
      </c>
      <c r="Q2238" s="5" t="str">
        <f ca="1">IFERROR(__xludf.DUMMYFUNCTION("""COMPUTED_VALUE"""),"MO")</f>
        <v>MO</v>
      </c>
      <c r="R2238" s="5" t="str">
        <f ca="1">IFERROR(__xludf.DUMMYFUNCTION("""COMPUTED_VALUE"""),"High")</f>
        <v>High</v>
      </c>
      <c r="S2238" s="5" t="str">
        <f ca="1">IFERROR(__xludf.DUMMYFUNCTION("""COMPUTED_VALUE"""),"Beside Building")</f>
        <v>Beside Building</v>
      </c>
      <c r="T2238" s="5" t="str">
        <f ca="1">IFERROR(__xludf.DUMMYFUNCTION("""COMPUTED_VALUE"""),"Outside on School Property")</f>
        <v>Outside on School Property</v>
      </c>
      <c r="U2238" s="5" t="str">
        <f ca="1">IFERROR(__xludf.DUMMYFUNCTION("""COMPUTED_VALUE"""),"Yes")</f>
        <v>Yes</v>
      </c>
      <c r="V2238" s="5"/>
      <c r="W2238" s="5"/>
      <c r="X2238" s="5">
        <f ca="1">IFERROR(__xludf.DUMMYFUNCTION("""COMPUTED_VALUE"""),1)</f>
        <v>1</v>
      </c>
      <c r="Y2238" s="5" t="str">
        <f ca="1">IFERROR(__xludf.DUMMYFUNCTION("""COMPUTED_VALUE"""),"Non-student shot by another non-student in the smoking area outside of the school")</f>
        <v>Non-student shot by another non-student in the smoking area outside of the school</v>
      </c>
      <c r="Z2238" s="5" t="str">
        <f ca="1">IFERROR(__xludf.DUMMYFUNCTION("""COMPUTED_VALUE"""),"Non-student 18 year-old male shooter with a sawed-off shotgun shot a 17 year-old male non-student in the smoking area outside of the school. Armed security guards fired at the shooter who fled the area. Both were charged with trespassing.")</f>
        <v>Non-student 18 year-old male shooter with a sawed-off shotgun shot a 17 year-old male non-student in the smoking area outside of the school. Armed security guards fired at the shooter who fled the area. Both were charged with trespassing.</v>
      </c>
      <c r="AA2238" s="5" t="str">
        <f ca="1">IFERROR(__xludf.DUMMYFUNCTION("""COMPUTED_VALUE"""),"Illegal Activity")</f>
        <v>Illegal Activity</v>
      </c>
      <c r="AB2238" s="5" t="str">
        <f ca="1">IFERROR(__xludf.DUMMYFUNCTION("""COMPUTED_VALUE"""),"Victims Targeted")</f>
        <v>Victims Targeted</v>
      </c>
      <c r="AC2238" s="5" t="str">
        <f ca="1">IFERROR(__xludf.DUMMYFUNCTION("""COMPUTED_VALUE"""),"No")</f>
        <v>No</v>
      </c>
      <c r="AD2238" s="5" t="str">
        <f ca="1">IFERROR(__xludf.DUMMYFUNCTION("""COMPUTED_VALUE"""),"No")</f>
        <v>No</v>
      </c>
      <c r="AE2238" s="5" t="str">
        <f ca="1">IFERROR(__xludf.DUMMYFUNCTION("""COMPUTED_VALUE"""),"No")</f>
        <v>No</v>
      </c>
      <c r="AF2238" s="5" t="str">
        <f ca="1">IFERROR(__xludf.DUMMYFUNCTION("""COMPUTED_VALUE"""),"No")</f>
        <v>No</v>
      </c>
      <c r="AG2238" s="5" t="str">
        <f ca="1">IFERROR(__xludf.DUMMYFUNCTION("""COMPUTED_VALUE"""),"No")</f>
        <v>No</v>
      </c>
      <c r="AH2238" s="5" t="str">
        <f ca="1">IFERROR(__xludf.DUMMYFUNCTION("""COMPUTED_VALUE"""),"No")</f>
        <v>No</v>
      </c>
      <c r="AI2238" s="5"/>
      <c r="AJ2238" s="5"/>
    </row>
    <row r="2239" spans="1:36" ht="13">
      <c r="A2239" s="5" t="str">
        <f ca="1">IFERROR(__xludf.DUMMYFUNCTION("""COMPUTED_VALUE"""),"19731024MNCEM")</f>
        <v>19731024MNCEM</v>
      </c>
      <c r="B2239" s="5">
        <f ca="1">IFERROR(__xludf.DUMMYFUNCTION("""COMPUTED_VALUE"""),10)</f>
        <v>10</v>
      </c>
      <c r="C2239" s="5">
        <f ca="1">IFERROR(__xludf.DUMMYFUNCTION("""COMPUTED_VALUE"""),24)</f>
        <v>24</v>
      </c>
      <c r="D2239" s="5">
        <f ca="1">IFERROR(__xludf.DUMMYFUNCTION("""COMPUTED_VALUE"""),1973)</f>
        <v>1973</v>
      </c>
      <c r="E2239" s="8">
        <f ca="1">IFERROR(__xludf.DUMMYFUNCTION("""COMPUTED_VALUE"""),26961)</f>
        <v>26961</v>
      </c>
      <c r="F2239" s="5" t="str">
        <f ca="1">IFERROR(__xludf.DUMMYFUNCTION("""COMPUTED_VALUE"""),"Central High School")</f>
        <v>Central High School</v>
      </c>
      <c r="G2239" s="5">
        <f ca="1">IFERROR(__xludf.DUMMYFUNCTION("""COMPUTED_VALUE"""),0)</f>
        <v>0</v>
      </c>
      <c r="H2239" s="5">
        <f ca="1">IFERROR(__xludf.DUMMYFUNCTION("""COMPUTED_VALUE"""),1)</f>
        <v>1</v>
      </c>
      <c r="I2239" s="5">
        <f ca="1">IFERROR(__xludf.DUMMYFUNCTION("""COMPUTED_VALUE"""),1)</f>
        <v>1</v>
      </c>
      <c r="J2239" s="5">
        <f ca="1">IFERROR(__xludf.DUMMYFUNCTION("""COMPUTED_VALUE"""),0)</f>
        <v>0</v>
      </c>
      <c r="K2239" s="9" t="str">
        <f ca="1">IFERROR(__xludf.DUMMYFUNCTION("""COMPUTED_VALUE"""),"https://www.newspapers.com/image/186814707/?terms=school%2Bshooting")</f>
        <v>https://www.newspapers.com/image/186814707/?terms=school%2Bshooting</v>
      </c>
      <c r="L2239" s="5"/>
      <c r="M2239" s="5"/>
      <c r="N2239" s="5">
        <f ca="1">IFERROR(__xludf.DUMMYFUNCTION("""COMPUTED_VALUE"""),2)</f>
        <v>2</v>
      </c>
      <c r="O2239" s="5" t="str">
        <f ca="1">IFERROR(__xludf.DUMMYFUNCTION("""COMPUTED_VALUE"""),"Fall")</f>
        <v>Fall</v>
      </c>
      <c r="P2239" s="5" t="str">
        <f ca="1">IFERROR(__xludf.DUMMYFUNCTION("""COMPUTED_VALUE"""),"Minneapolis")</f>
        <v>Minneapolis</v>
      </c>
      <c r="Q2239" s="5" t="str">
        <f ca="1">IFERROR(__xludf.DUMMYFUNCTION("""COMPUTED_VALUE"""),"MN")</f>
        <v>MN</v>
      </c>
      <c r="R2239" s="5" t="str">
        <f ca="1">IFERROR(__xludf.DUMMYFUNCTION("""COMPUTED_VALUE"""),"High")</f>
        <v>High</v>
      </c>
      <c r="S2239" s="5" t="str">
        <f ca="1">IFERROR(__xludf.DUMMYFUNCTION("""COMPUTED_VALUE"""),"Outside on School Property")</f>
        <v>Outside on School Property</v>
      </c>
      <c r="T2239" s="5" t="str">
        <f ca="1">IFERROR(__xludf.DUMMYFUNCTION("""COMPUTED_VALUE"""),"Outside on School Property")</f>
        <v>Outside on School Property</v>
      </c>
      <c r="U2239" s="5" t="str">
        <f ca="1">IFERROR(__xludf.DUMMYFUNCTION("""COMPUTED_VALUE"""),"Yes")</f>
        <v>Yes</v>
      </c>
      <c r="V2239" s="5"/>
      <c r="W2239" s="5"/>
      <c r="X2239" s="5">
        <f ca="1">IFERROR(__xludf.DUMMYFUNCTION("""COMPUTED_VALUE"""),1)</f>
        <v>1</v>
      </c>
      <c r="Y2239" s="5" t="str">
        <f ca="1">IFERROR(__xludf.DUMMYFUNCTION("""COMPUTED_VALUE"""),"Shotgun fired during fight over debt, hit bystander/student")</f>
        <v>Shotgun fired during fight over debt, hit bystander/student</v>
      </c>
      <c r="Z2239" s="5" t="str">
        <f ca="1">IFERROR(__xludf.DUMMYFUNCTION("""COMPUTED_VALUE"""),"Group of students were fighting over a $50 debt. 17 year-old male shooter pulled a sawed-off shotgun and fired striking an uninvolved bystander.")</f>
        <v>Group of students were fighting over a $50 debt. 17 year-old male shooter pulled a sawed-off shotgun and fired striking an uninvolved bystander.</v>
      </c>
      <c r="AA2239" s="5" t="str">
        <f ca="1">IFERROR(__xludf.DUMMYFUNCTION("""COMPUTED_VALUE"""),"Escalation of Dispute")</f>
        <v>Escalation of Dispute</v>
      </c>
      <c r="AB2239" s="5" t="str">
        <f ca="1">IFERROR(__xludf.DUMMYFUNCTION("""COMPUTED_VALUE"""),"Both")</f>
        <v>Both</v>
      </c>
      <c r="AC2239" s="5" t="str">
        <f ca="1">IFERROR(__xludf.DUMMYFUNCTION("""COMPUTED_VALUE"""),"Yes")</f>
        <v>Yes</v>
      </c>
      <c r="AD2239" s="5" t="str">
        <f ca="1">IFERROR(__xludf.DUMMYFUNCTION("""COMPUTED_VALUE"""),"No")</f>
        <v>No</v>
      </c>
      <c r="AE2239" s="5" t="str">
        <f ca="1">IFERROR(__xludf.DUMMYFUNCTION("""COMPUTED_VALUE"""),"No")</f>
        <v>No</v>
      </c>
      <c r="AF2239" s="5" t="str">
        <f ca="1">IFERROR(__xludf.DUMMYFUNCTION("""COMPUTED_VALUE"""),"No")</f>
        <v>No</v>
      </c>
      <c r="AG2239" s="5" t="str">
        <f ca="1">IFERROR(__xludf.DUMMYFUNCTION("""COMPUTED_VALUE"""),"No")</f>
        <v>No</v>
      </c>
      <c r="AH2239" s="5" t="str">
        <f ca="1">IFERROR(__xludf.DUMMYFUNCTION("""COMPUTED_VALUE"""),"No")</f>
        <v>No</v>
      </c>
      <c r="AI2239" s="5" t="str">
        <f ca="1">IFERROR(__xludf.DUMMYFUNCTION("""COMPUTED_VALUE"""),"No")</f>
        <v>No</v>
      </c>
      <c r="AJ2239" s="5"/>
    </row>
    <row r="2240" spans="1:36" ht="13">
      <c r="A2240" s="5" t="str">
        <f ca="1">IFERROR(__xludf.DUMMYFUNCTION("""COMPUTED_VALUE"""),"19731023MOSUS")</f>
        <v>19731023MOSUS</v>
      </c>
      <c r="B2240" s="5">
        <f ca="1">IFERROR(__xludf.DUMMYFUNCTION("""COMPUTED_VALUE"""),10)</f>
        <v>10</v>
      </c>
      <c r="C2240" s="5">
        <f ca="1">IFERROR(__xludf.DUMMYFUNCTION("""COMPUTED_VALUE"""),23)</f>
        <v>23</v>
      </c>
      <c r="D2240" s="5">
        <f ca="1">IFERROR(__xludf.DUMMYFUNCTION("""COMPUTED_VALUE"""),1973)</f>
        <v>1973</v>
      </c>
      <c r="E2240" s="8">
        <f ca="1">IFERROR(__xludf.DUMMYFUNCTION("""COMPUTED_VALUE"""),26960)</f>
        <v>26960</v>
      </c>
      <c r="F2240" s="5" t="str">
        <f ca="1">IFERROR(__xludf.DUMMYFUNCTION("""COMPUTED_VALUE"""),"Sumner High School")</f>
        <v>Sumner High School</v>
      </c>
      <c r="G2240" s="5">
        <f ca="1">IFERROR(__xludf.DUMMYFUNCTION("""COMPUTED_VALUE"""),0)</f>
        <v>0</v>
      </c>
      <c r="H2240" s="5">
        <f ca="1">IFERROR(__xludf.DUMMYFUNCTION("""COMPUTED_VALUE"""),1)</f>
        <v>1</v>
      </c>
      <c r="I2240" s="5">
        <f ca="1">IFERROR(__xludf.DUMMYFUNCTION("""COMPUTED_VALUE"""),1)</f>
        <v>1</v>
      </c>
      <c r="J2240" s="5">
        <f ca="1">IFERROR(__xludf.DUMMYFUNCTION("""COMPUTED_VALUE"""),0)</f>
        <v>0</v>
      </c>
      <c r="K2240" s="5" t="str">
        <f ca="1">IFERROR(__xludf.DUMMYFUNCTION("""COMPUTED_VALUE"""),"https://www.newspapers.com/image/69935068/?terms=beaumont%2Bhigh%2Bschool   https://www.newspapers.com/image/139434965/?terms=george%2Bjones")</f>
        <v>https://www.newspapers.com/image/69935068/?terms=beaumont%2Bhigh%2Bschool   https://www.newspapers.com/image/139434965/?terms=george%2Bjones</v>
      </c>
      <c r="L2240" s="5"/>
      <c r="M2240" s="5"/>
      <c r="N2240" s="5">
        <f ca="1">IFERROR(__xludf.DUMMYFUNCTION("""COMPUTED_VALUE"""),2)</f>
        <v>2</v>
      </c>
      <c r="O2240" s="5" t="str">
        <f ca="1">IFERROR(__xludf.DUMMYFUNCTION("""COMPUTED_VALUE"""),"Fall")</f>
        <v>Fall</v>
      </c>
      <c r="P2240" s="5" t="str">
        <f ca="1">IFERROR(__xludf.DUMMYFUNCTION("""COMPUTED_VALUE"""),"St. Louis")</f>
        <v>St. Louis</v>
      </c>
      <c r="Q2240" s="5" t="str">
        <f ca="1">IFERROR(__xludf.DUMMYFUNCTION("""COMPUTED_VALUE"""),"MO")</f>
        <v>MO</v>
      </c>
      <c r="R2240" s="5" t="str">
        <f ca="1">IFERROR(__xludf.DUMMYFUNCTION("""COMPUTED_VALUE"""),"High")</f>
        <v>High</v>
      </c>
      <c r="S2240" s="5" t="str">
        <f ca="1">IFERROR(__xludf.DUMMYFUNCTION("""COMPUTED_VALUE"""),"Parking Lot")</f>
        <v>Parking Lot</v>
      </c>
      <c r="T2240" s="5" t="str">
        <f ca="1">IFERROR(__xludf.DUMMYFUNCTION("""COMPUTED_VALUE"""),"Outside on School Property")</f>
        <v>Outside on School Property</v>
      </c>
      <c r="U2240" s="5" t="str">
        <f ca="1">IFERROR(__xludf.DUMMYFUNCTION("""COMPUTED_VALUE"""),"Yes")</f>
        <v>Yes</v>
      </c>
      <c r="V2240" s="5" t="str">
        <f ca="1">IFERROR(__xludf.DUMMYFUNCTION("""COMPUTED_VALUE"""),"Afternoon Classes")</f>
        <v>Afternoon Classes</v>
      </c>
      <c r="W2240" s="10">
        <f ca="1">IFERROR(__xludf.DUMMYFUNCTION("""COMPUTED_VALUE"""),0.541666666666666)</f>
        <v>0.54166666666666596</v>
      </c>
      <c r="X2240" s="5">
        <f ca="1">IFERROR(__xludf.DUMMYFUNCTION("""COMPUTED_VALUE"""),1)</f>
        <v>1</v>
      </c>
      <c r="Y2240" s="5" t="str">
        <f ca="1">IFERROR(__xludf.DUMMYFUNCTION("""COMPUTED_VALUE"""),"Escalation of gang violence between two groups")</f>
        <v>Escalation of gang violence between two groups</v>
      </c>
      <c r="Z2240" s="5" t="str">
        <f ca="1">IFERROR(__xludf.DUMMYFUNCTION("""COMPUTED_VALUE"""),"Car pulled up to a group of students standing outside car. One of the occupants in the car aimed a shotgun out the window and pulled the trigger striking a bystander. One of the boys in the group pulled out a .38 revolver and shot at the car three times. "&amp;"Several arrests were later made.")</f>
        <v>Car pulled up to a group of students standing outside car. One of the occupants in the car aimed a shotgun out the window and pulled the trigger striking a bystander. One of the boys in the group pulled out a .38 revolver and shot at the car three times. Several arrests were later made.</v>
      </c>
      <c r="AA2240" s="5" t="str">
        <f ca="1">IFERROR(__xludf.DUMMYFUNCTION("""COMPUTED_VALUE"""),"Escalation of Dispute")</f>
        <v>Escalation of Dispute</v>
      </c>
      <c r="AB2240" s="5" t="str">
        <f ca="1">IFERROR(__xludf.DUMMYFUNCTION("""COMPUTED_VALUE"""),"Random Shooting")</f>
        <v>Random Shooting</v>
      </c>
      <c r="AC2240" s="5" t="str">
        <f ca="1">IFERROR(__xludf.DUMMYFUNCTION("""COMPUTED_VALUE"""),"Yes")</f>
        <v>Yes</v>
      </c>
      <c r="AD2240" s="5" t="str">
        <f ca="1">IFERROR(__xludf.DUMMYFUNCTION("""COMPUTED_VALUE"""),"No")</f>
        <v>No</v>
      </c>
      <c r="AE2240" s="5" t="str">
        <f ca="1">IFERROR(__xludf.DUMMYFUNCTION("""COMPUTED_VALUE"""),"No")</f>
        <v>No</v>
      </c>
      <c r="AF2240" s="5" t="str">
        <f ca="1">IFERROR(__xludf.DUMMYFUNCTION("""COMPUTED_VALUE"""),"No")</f>
        <v>No</v>
      </c>
      <c r="AG2240" s="5" t="str">
        <f ca="1">IFERROR(__xludf.DUMMYFUNCTION("""COMPUTED_VALUE"""),"No")</f>
        <v>No</v>
      </c>
      <c r="AH2240" s="5" t="str">
        <f ca="1">IFERROR(__xludf.DUMMYFUNCTION("""COMPUTED_VALUE"""),"No")</f>
        <v>No</v>
      </c>
      <c r="AI2240" s="5" t="str">
        <f ca="1">IFERROR(__xludf.DUMMYFUNCTION("""COMPUTED_VALUE"""),"Yes")</f>
        <v>Yes</v>
      </c>
      <c r="AJ2240" s="5"/>
    </row>
    <row r="2241" spans="1:36" ht="13">
      <c r="A2241" s="5" t="str">
        <f ca="1">IFERROR(__xludf.DUMMYFUNCTION("""COMPUTED_VALUE"""),"19731023OHBAB")</f>
        <v>19731023OHBAB</v>
      </c>
      <c r="B2241" s="5">
        <f ca="1">IFERROR(__xludf.DUMMYFUNCTION("""COMPUTED_VALUE"""),10)</f>
        <v>10</v>
      </c>
      <c r="C2241" s="5">
        <f ca="1">IFERROR(__xludf.DUMMYFUNCTION("""COMPUTED_VALUE"""),23)</f>
        <v>23</v>
      </c>
      <c r="D2241" s="5">
        <f ca="1">IFERROR(__xludf.DUMMYFUNCTION("""COMPUTED_VALUE"""),1973)</f>
        <v>1973</v>
      </c>
      <c r="E2241" s="8">
        <f ca="1">IFERROR(__xludf.DUMMYFUNCTION("""COMPUTED_VALUE"""),26960)</f>
        <v>26960</v>
      </c>
      <c r="F2241" s="5" t="str">
        <f ca="1">IFERROR(__xludf.DUMMYFUNCTION("""COMPUTED_VALUE"""),"Barberton High School")</f>
        <v>Barberton High School</v>
      </c>
      <c r="G2241" s="5">
        <f ca="1">IFERROR(__xludf.DUMMYFUNCTION("""COMPUTED_VALUE"""),0)</f>
        <v>0</v>
      </c>
      <c r="H2241" s="5">
        <f ca="1">IFERROR(__xludf.DUMMYFUNCTION("""COMPUTED_VALUE"""),1)</f>
        <v>1</v>
      </c>
      <c r="I2241" s="5">
        <f ca="1">IFERROR(__xludf.DUMMYFUNCTION("""COMPUTED_VALUE"""),1)</f>
        <v>1</v>
      </c>
      <c r="J2241" s="5">
        <f ca="1">IFERROR(__xludf.DUMMYFUNCTION("""COMPUTED_VALUE"""),0)</f>
        <v>0</v>
      </c>
      <c r="K2241" s="9" t="str">
        <f ca="1">IFERROR(__xludf.DUMMYFUNCTION("""COMPUTED_VALUE"""),"https://www.newspapers.com/image/152290612/?terms=a%2Bsingle%2Btragic%2Bincident")</f>
        <v>https://www.newspapers.com/image/152290612/?terms=a%2Bsingle%2Btragic%2Bincident</v>
      </c>
      <c r="L2241" s="5"/>
      <c r="M2241" s="5"/>
      <c r="N2241" s="5">
        <f ca="1">IFERROR(__xludf.DUMMYFUNCTION("""COMPUTED_VALUE"""),2)</f>
        <v>2</v>
      </c>
      <c r="O2241" s="5" t="str">
        <f ca="1">IFERROR(__xludf.DUMMYFUNCTION("""COMPUTED_VALUE"""),"Fall")</f>
        <v>Fall</v>
      </c>
      <c r="P2241" s="5" t="str">
        <f ca="1">IFERROR(__xludf.DUMMYFUNCTION("""COMPUTED_VALUE"""),"Barberton")</f>
        <v>Barberton</v>
      </c>
      <c r="Q2241" s="5" t="str">
        <f ca="1">IFERROR(__xludf.DUMMYFUNCTION("""COMPUTED_VALUE"""),"OH")</f>
        <v>OH</v>
      </c>
      <c r="R2241" s="5" t="str">
        <f ca="1">IFERROR(__xludf.DUMMYFUNCTION("""COMPUTED_VALUE"""),"High")</f>
        <v>High</v>
      </c>
      <c r="S2241" s="5" t="str">
        <f ca="1">IFERROR(__xludf.DUMMYFUNCTION("""COMPUTED_VALUE"""),"Office")</f>
        <v>Office</v>
      </c>
      <c r="T2241" s="5" t="str">
        <f ca="1">IFERROR(__xludf.DUMMYFUNCTION("""COMPUTED_VALUE"""),"Inside School Building")</f>
        <v>Inside School Building</v>
      </c>
      <c r="U2241" s="5" t="str">
        <f ca="1">IFERROR(__xludf.DUMMYFUNCTION("""COMPUTED_VALUE"""),"Yes")</f>
        <v>Yes</v>
      </c>
      <c r="V2241" s="5" t="str">
        <f ca="1">IFERROR(__xludf.DUMMYFUNCTION("""COMPUTED_VALUE"""),"Lunch")</f>
        <v>Lunch</v>
      </c>
      <c r="W2241" s="10">
        <f ca="1">IFERROR(__xludf.DUMMYFUNCTION("""COMPUTED_VALUE"""),0.5)</f>
        <v>0.5</v>
      </c>
      <c r="X2241" s="5">
        <f ca="1">IFERROR(__xludf.DUMMYFUNCTION("""COMPUTED_VALUE"""),1)</f>
        <v>1</v>
      </c>
      <c r="Y2241" s="5" t="str">
        <f ca="1">IFERROR(__xludf.DUMMYFUNCTION("""COMPUTED_VALUE"""),"Argument over absentee marks at school")</f>
        <v>Argument over absentee marks at school</v>
      </c>
      <c r="Z2241" s="5" t="str">
        <f ca="1">IFERROR(__xludf.DUMMYFUNCTION("""COMPUTED_VALUE"""),"Shooter walked into counselor's office after being summoned to discuss his absences. Student shot counselor then fled. Arrested later away from school.")</f>
        <v>Shooter walked into counselor's office after being summoned to discuss his absences. Student shot counselor then fled. Arrested later away from school.</v>
      </c>
      <c r="AA2241" s="5" t="str">
        <f ca="1">IFERROR(__xludf.DUMMYFUNCTION("""COMPUTED_VALUE"""),"Anger Over Grade/Suspension/Discipline")</f>
        <v>Anger Over Grade/Suspension/Discipline</v>
      </c>
      <c r="AB2241" s="5" t="str">
        <f ca="1">IFERROR(__xludf.DUMMYFUNCTION("""COMPUTED_VALUE"""),"Victims Targeted")</f>
        <v>Victims Targeted</v>
      </c>
      <c r="AC2241" s="5" t="str">
        <f ca="1">IFERROR(__xludf.DUMMYFUNCTION("""COMPUTED_VALUE"""),"No")</f>
        <v>No</v>
      </c>
      <c r="AD2241" s="5" t="str">
        <f ca="1">IFERROR(__xludf.DUMMYFUNCTION("""COMPUTED_VALUE"""),"No")</f>
        <v>No</v>
      </c>
      <c r="AE2241" s="5" t="str">
        <f ca="1">IFERROR(__xludf.DUMMYFUNCTION("""COMPUTED_VALUE"""),"No")</f>
        <v>No</v>
      </c>
      <c r="AF2241" s="5" t="str">
        <f ca="1">IFERROR(__xludf.DUMMYFUNCTION("""COMPUTED_VALUE"""),"No")</f>
        <v>No</v>
      </c>
      <c r="AG2241" s="5" t="str">
        <f ca="1">IFERROR(__xludf.DUMMYFUNCTION("""COMPUTED_VALUE"""),"No")</f>
        <v>No</v>
      </c>
      <c r="AH2241" s="5" t="str">
        <f ca="1">IFERROR(__xludf.DUMMYFUNCTION("""COMPUTED_VALUE"""),"No")</f>
        <v>No</v>
      </c>
      <c r="AI2241" s="5" t="str">
        <f ca="1">IFERROR(__xludf.DUMMYFUNCTION("""COMPUTED_VALUE"""),"No")</f>
        <v>No</v>
      </c>
      <c r="AJ2241" s="5" t="str">
        <f ca="1">IFERROR(__xludf.DUMMYFUNCTION("""COMPUTED_VALUE"""),"Yes")</f>
        <v>Yes</v>
      </c>
    </row>
    <row r="2242" spans="1:36" ht="13">
      <c r="A2242" s="5" t="str">
        <f ca="1">IFERROR(__xludf.DUMMYFUNCTION("""COMPUTED_VALUE"""),"19731019MOBES")</f>
        <v>19731019MOBES</v>
      </c>
      <c r="B2242" s="5">
        <f ca="1">IFERROR(__xludf.DUMMYFUNCTION("""COMPUTED_VALUE"""),10)</f>
        <v>10</v>
      </c>
      <c r="C2242" s="5">
        <f ca="1">IFERROR(__xludf.DUMMYFUNCTION("""COMPUTED_VALUE"""),19)</f>
        <v>19</v>
      </c>
      <c r="D2242" s="5">
        <f ca="1">IFERROR(__xludf.DUMMYFUNCTION("""COMPUTED_VALUE"""),1973)</f>
        <v>1973</v>
      </c>
      <c r="E2242" s="8">
        <f ca="1">IFERROR(__xludf.DUMMYFUNCTION("""COMPUTED_VALUE"""),26956)</f>
        <v>26956</v>
      </c>
      <c r="F2242" s="5" t="str">
        <f ca="1">IFERROR(__xludf.DUMMYFUNCTION("""COMPUTED_VALUE"""),"Beaumont High School")</f>
        <v>Beaumont High School</v>
      </c>
      <c r="G2242" s="5">
        <f ca="1">IFERROR(__xludf.DUMMYFUNCTION("""COMPUTED_VALUE"""),1)</f>
        <v>1</v>
      </c>
      <c r="H2242" s="5">
        <f ca="1">IFERROR(__xludf.DUMMYFUNCTION("""COMPUTED_VALUE"""),0)</f>
        <v>0</v>
      </c>
      <c r="I2242" s="5">
        <f ca="1">IFERROR(__xludf.DUMMYFUNCTION("""COMPUTED_VALUE"""),1)</f>
        <v>1</v>
      </c>
      <c r="J2242" s="5">
        <f ca="1">IFERROR(__xludf.DUMMYFUNCTION("""COMPUTED_VALUE"""),0)</f>
        <v>0</v>
      </c>
      <c r="K2242" s="5" t="str">
        <f ca="1">IFERROR(__xludf.DUMMYFUNCTION("""COMPUTED_VALUE"""),"https://www.newspapers.com/image/139434714/?terms=WILLIAM%2BWIGGINS   https://www.newspapers.com/image/139433696/?terms=beaumont%2Bhigh%2Bschool")</f>
        <v>https://www.newspapers.com/image/139434714/?terms=WILLIAM%2BWIGGINS   https://www.newspapers.com/image/139433696/?terms=beaumont%2Bhigh%2Bschool</v>
      </c>
      <c r="L2242" s="5"/>
      <c r="M2242" s="5"/>
      <c r="N2242" s="5">
        <f ca="1">IFERROR(__xludf.DUMMYFUNCTION("""COMPUTED_VALUE"""),2)</f>
        <v>2</v>
      </c>
      <c r="O2242" s="5" t="str">
        <f ca="1">IFERROR(__xludf.DUMMYFUNCTION("""COMPUTED_VALUE"""),"Fall")</f>
        <v>Fall</v>
      </c>
      <c r="P2242" s="5" t="str">
        <f ca="1">IFERROR(__xludf.DUMMYFUNCTION("""COMPUTED_VALUE"""),"St. Louis")</f>
        <v>St. Louis</v>
      </c>
      <c r="Q2242" s="5" t="str">
        <f ca="1">IFERROR(__xludf.DUMMYFUNCTION("""COMPUTED_VALUE"""),"MO")</f>
        <v>MO</v>
      </c>
      <c r="R2242" s="5" t="str">
        <f ca="1">IFERROR(__xludf.DUMMYFUNCTION("""COMPUTED_VALUE"""),"High")</f>
        <v>High</v>
      </c>
      <c r="S2242" s="5" t="str">
        <f ca="1">IFERROR(__xludf.DUMMYFUNCTION("""COMPUTED_VALUE"""),"Inside School Building")</f>
        <v>Inside School Building</v>
      </c>
      <c r="T2242" s="5" t="str">
        <f ca="1">IFERROR(__xludf.DUMMYFUNCTION("""COMPUTED_VALUE"""),"Inside School Building")</f>
        <v>Inside School Building</v>
      </c>
      <c r="U2242" s="5" t="str">
        <f ca="1">IFERROR(__xludf.DUMMYFUNCTION("""COMPUTED_VALUE"""),"Yes")</f>
        <v>Yes</v>
      </c>
      <c r="V2242" s="5" t="str">
        <f ca="1">IFERROR(__xludf.DUMMYFUNCTION("""COMPUTED_VALUE"""),"Dismissal")</f>
        <v>Dismissal</v>
      </c>
      <c r="W2242" s="5"/>
      <c r="X2242" s="5"/>
      <c r="Y2242" s="5" t="str">
        <f ca="1">IFERROR(__xludf.DUMMYFUNCTION("""COMPUTED_VALUE"""),"Shooting occurred after an earlier fight between two groups of students")</f>
        <v>Shooting occurred after an earlier fight between two groups of students</v>
      </c>
      <c r="Z2242" s="5" t="str">
        <f ca="1">IFERROR(__xludf.DUMMYFUNCTION("""COMPUTED_VALUE"""),"Gang violence. Unclear if victim was intended target")</f>
        <v>Gang violence. Unclear if victim was intended target</v>
      </c>
      <c r="AA2242" s="5" t="str">
        <f ca="1">IFERROR(__xludf.DUMMYFUNCTION("""COMPUTED_VALUE"""),"Escalation of Dispute")</f>
        <v>Escalation of Dispute</v>
      </c>
      <c r="AB2242" s="5"/>
      <c r="AC2242" s="5" t="str">
        <f ca="1">IFERROR(__xludf.DUMMYFUNCTION("""COMPUTED_VALUE"""),"No")</f>
        <v>No</v>
      </c>
      <c r="AD2242" s="5" t="str">
        <f ca="1">IFERROR(__xludf.DUMMYFUNCTION("""COMPUTED_VALUE"""),"No")</f>
        <v>No</v>
      </c>
      <c r="AE2242" s="5" t="str">
        <f ca="1">IFERROR(__xludf.DUMMYFUNCTION("""COMPUTED_VALUE"""),"No")</f>
        <v>No</v>
      </c>
      <c r="AF2242" s="5" t="str">
        <f ca="1">IFERROR(__xludf.DUMMYFUNCTION("""COMPUTED_VALUE"""),"No")</f>
        <v>No</v>
      </c>
      <c r="AG2242" s="5" t="str">
        <f ca="1">IFERROR(__xludf.DUMMYFUNCTION("""COMPUTED_VALUE"""),"No")</f>
        <v>No</v>
      </c>
      <c r="AH2242" s="5" t="str">
        <f ca="1">IFERROR(__xludf.DUMMYFUNCTION("""COMPUTED_VALUE"""),"No")</f>
        <v>No</v>
      </c>
      <c r="AI2242" s="5" t="str">
        <f ca="1">IFERROR(__xludf.DUMMYFUNCTION("""COMPUTED_VALUE"""),"Yes")</f>
        <v>Yes</v>
      </c>
      <c r="AJ2242" s="5"/>
    </row>
    <row r="2243" spans="1:36" ht="13">
      <c r="A2243" s="5" t="str">
        <f ca="1">IFERROR(__xludf.DUMMYFUNCTION("""COMPUTED_VALUE"""),"19731002ILELA")</f>
        <v>19731002ILELA</v>
      </c>
      <c r="B2243" s="5">
        <f ca="1">IFERROR(__xludf.DUMMYFUNCTION("""COMPUTED_VALUE"""),10)</f>
        <v>10</v>
      </c>
      <c r="C2243" s="5">
        <f ca="1">IFERROR(__xludf.DUMMYFUNCTION("""COMPUTED_VALUE"""),2)</f>
        <v>2</v>
      </c>
      <c r="D2243" s="5">
        <f ca="1">IFERROR(__xludf.DUMMYFUNCTION("""COMPUTED_VALUE"""),1973)</f>
        <v>1973</v>
      </c>
      <c r="E2243" s="8">
        <f ca="1">IFERROR(__xludf.DUMMYFUNCTION("""COMPUTED_VALUE"""),26939)</f>
        <v>26939</v>
      </c>
      <c r="F2243" s="5" t="str">
        <f ca="1">IFERROR(__xludf.DUMMYFUNCTION("""COMPUTED_VALUE"""),"Elmhurst Wood Park Community High School")</f>
        <v>Elmhurst Wood Park Community High School</v>
      </c>
      <c r="G2243" s="5">
        <f ca="1">IFERROR(__xludf.DUMMYFUNCTION("""COMPUTED_VALUE"""),1)</f>
        <v>1</v>
      </c>
      <c r="H2243" s="5">
        <f ca="1">IFERROR(__xludf.DUMMYFUNCTION("""COMPUTED_VALUE"""),0)</f>
        <v>0</v>
      </c>
      <c r="I2243" s="5">
        <f ca="1">IFERROR(__xludf.DUMMYFUNCTION("""COMPUTED_VALUE"""),1)</f>
        <v>1</v>
      </c>
      <c r="J2243" s="5">
        <f ca="1">IFERROR(__xludf.DUMMYFUNCTION("""COMPUTED_VALUE"""),1)</f>
        <v>1</v>
      </c>
      <c r="K2243" s="9" t="str">
        <f ca="1">IFERROR(__xludf.DUMMYFUNCTION("""COMPUTED_VALUE"""),"https://www.newspapers.com/image/94426366/?terms=school%2Bshooting")</f>
        <v>https://www.newspapers.com/image/94426366/?terms=school%2Bshooting</v>
      </c>
      <c r="L2243" s="5"/>
      <c r="M2243" s="5"/>
      <c r="N2243" s="5">
        <f ca="1">IFERROR(__xludf.DUMMYFUNCTION("""COMPUTED_VALUE"""),2)</f>
        <v>2</v>
      </c>
      <c r="O2243" s="5" t="str">
        <f ca="1">IFERROR(__xludf.DUMMYFUNCTION("""COMPUTED_VALUE"""),"Fall")</f>
        <v>Fall</v>
      </c>
      <c r="P2243" s="5" t="str">
        <f ca="1">IFERROR(__xludf.DUMMYFUNCTION("""COMPUTED_VALUE"""),"Almwood Park")</f>
        <v>Almwood Park</v>
      </c>
      <c r="Q2243" s="5" t="str">
        <f ca="1">IFERROR(__xludf.DUMMYFUNCTION("""COMPUTED_VALUE"""),"IL")</f>
        <v>IL</v>
      </c>
      <c r="R2243" s="5" t="str">
        <f ca="1">IFERROR(__xludf.DUMMYFUNCTION("""COMPUTED_VALUE"""),"High")</f>
        <v>High</v>
      </c>
      <c r="S2243" s="5" t="str">
        <f ca="1">IFERROR(__xludf.DUMMYFUNCTION("""COMPUTED_VALUE"""),"Hallway; Beside Building")</f>
        <v>Hallway; Beside Building</v>
      </c>
      <c r="T2243" s="5" t="str">
        <f ca="1">IFERROR(__xludf.DUMMYFUNCTION("""COMPUTED_VALUE"""),"Both Inside/Outside")</f>
        <v>Both Inside/Outside</v>
      </c>
      <c r="U2243" s="5" t="str">
        <f ca="1">IFERROR(__xludf.DUMMYFUNCTION("""COMPUTED_VALUE"""),"Yes")</f>
        <v>Yes</v>
      </c>
      <c r="V2243" s="5" t="str">
        <f ca="1">IFERROR(__xludf.DUMMYFUNCTION("""COMPUTED_VALUE"""),"Afternoon Classes")</f>
        <v>Afternoon Classes</v>
      </c>
      <c r="W2243" s="5"/>
      <c r="X2243" s="5">
        <f ca="1">IFERROR(__xludf.DUMMYFUNCTION("""COMPUTED_VALUE"""),1)</f>
        <v>1</v>
      </c>
      <c r="Y2243" s="5" t="str">
        <f ca="1">IFERROR(__xludf.DUMMYFUNCTION("""COMPUTED_VALUE"""),"Shot victim 4 times in hallway, fled the area, and shot himself outside school")</f>
        <v>Shot victim 4 times in hallway, fled the area, and shot himself outside school</v>
      </c>
      <c r="Z2243" s="5" t="str">
        <f ca="1">IFERROR(__xludf.DUMMYFUNCTION("""COMPUTED_VALUE"""),"17 year-old shooter fired 4 shots in school hallway at 16 year-old female victim, cursed at her body, fled the scene, and fatally shot himself outside of the school. Victim was a cheerleader and candidate for homecoming queen. Victim's friends said victim"&amp;" had no relationship with the shooter.")</f>
        <v>17 year-old shooter fired 4 shots in school hallway at 16 year-old female victim, cursed at her body, fled the scene, and fatally shot himself outside of the school. Victim was a cheerleader and candidate for homecoming queen. Victim's friends said victim had no relationship with the shooter.</v>
      </c>
      <c r="AA2243" s="5" t="str">
        <f ca="1">IFERROR(__xludf.DUMMYFUNCTION("""COMPUTED_VALUE"""),"Murder/Suicide")</f>
        <v>Murder/Suicide</v>
      </c>
      <c r="AB2243" s="5" t="str">
        <f ca="1">IFERROR(__xludf.DUMMYFUNCTION("""COMPUTED_VALUE"""),"Victims Targeted")</f>
        <v>Victims Targeted</v>
      </c>
      <c r="AC2243" s="5" t="str">
        <f ca="1">IFERROR(__xludf.DUMMYFUNCTION("""COMPUTED_VALUE"""),"No")</f>
        <v>No</v>
      </c>
      <c r="AD2243" s="5" t="str">
        <f ca="1">IFERROR(__xludf.DUMMYFUNCTION("""COMPUTED_VALUE"""),"No")</f>
        <v>No</v>
      </c>
      <c r="AE2243" s="5" t="str">
        <f ca="1">IFERROR(__xludf.DUMMYFUNCTION("""COMPUTED_VALUE"""),"No")</f>
        <v>No</v>
      </c>
      <c r="AF2243" s="5" t="str">
        <f ca="1">IFERROR(__xludf.DUMMYFUNCTION("""COMPUTED_VALUE"""),"No")</f>
        <v>No</v>
      </c>
      <c r="AG2243" s="5" t="str">
        <f ca="1">IFERROR(__xludf.DUMMYFUNCTION("""COMPUTED_VALUE"""),"No")</f>
        <v>No</v>
      </c>
      <c r="AH2243" s="5" t="str">
        <f ca="1">IFERROR(__xludf.DUMMYFUNCTION("""COMPUTED_VALUE"""),"Yes")</f>
        <v>Yes</v>
      </c>
      <c r="AI2243" s="5" t="str">
        <f ca="1">IFERROR(__xludf.DUMMYFUNCTION("""COMPUTED_VALUE"""),"No")</f>
        <v>No</v>
      </c>
      <c r="AJ2243" s="5" t="str">
        <f ca="1">IFERROR(__xludf.DUMMYFUNCTION("""COMPUTED_VALUE"""),"Yes")</f>
        <v>Yes</v>
      </c>
    </row>
    <row r="2244" spans="1:36" ht="13">
      <c r="A2244" s="5" t="str">
        <f ca="1">IFERROR(__xludf.DUMMYFUNCTION("""COMPUTED_VALUE"""),"19730928CAWIL")</f>
        <v>19730928CAWIL</v>
      </c>
      <c r="B2244" s="5">
        <f ca="1">IFERROR(__xludf.DUMMYFUNCTION("""COMPUTED_VALUE"""),9)</f>
        <v>9</v>
      </c>
      <c r="C2244" s="5">
        <f ca="1">IFERROR(__xludf.DUMMYFUNCTION("""COMPUTED_VALUE"""),28)</f>
        <v>28</v>
      </c>
      <c r="D2244" s="5">
        <f ca="1">IFERROR(__xludf.DUMMYFUNCTION("""COMPUTED_VALUE"""),1973)</f>
        <v>1973</v>
      </c>
      <c r="E2244" s="8">
        <f ca="1">IFERROR(__xludf.DUMMYFUNCTION("""COMPUTED_VALUE"""),26935)</f>
        <v>26935</v>
      </c>
      <c r="F2244" s="5" t="str">
        <f ca="1">IFERROR(__xludf.DUMMYFUNCTION("""COMPUTED_VALUE"""),"Wilson High School")</f>
        <v>Wilson High School</v>
      </c>
      <c r="G2244" s="5">
        <f ca="1">IFERROR(__xludf.DUMMYFUNCTION("""COMPUTED_VALUE"""),0)</f>
        <v>0</v>
      </c>
      <c r="H2244" s="5">
        <f ca="1">IFERROR(__xludf.DUMMYFUNCTION("""COMPUTED_VALUE"""),3)</f>
        <v>3</v>
      </c>
      <c r="I2244" s="5">
        <f ca="1">IFERROR(__xludf.DUMMYFUNCTION("""COMPUTED_VALUE"""),3)</f>
        <v>3</v>
      </c>
      <c r="J2244" s="5">
        <f ca="1">IFERROR(__xludf.DUMMYFUNCTION("""COMPUTED_VALUE"""),0)</f>
        <v>0</v>
      </c>
      <c r="K2244" s="9" t="str">
        <f ca="1">IFERROR(__xludf.DUMMYFUNCTION("""COMPUTED_VALUE"""),"https://www.newspapers.com/image/381696060/?terms=school%2Bshooting")</f>
        <v>https://www.newspapers.com/image/381696060/?terms=school%2Bshooting</v>
      </c>
      <c r="L2244" s="5"/>
      <c r="M2244" s="5"/>
      <c r="N2244" s="5">
        <f ca="1">IFERROR(__xludf.DUMMYFUNCTION("""COMPUTED_VALUE"""),2)</f>
        <v>2</v>
      </c>
      <c r="O2244" s="5" t="str">
        <f ca="1">IFERROR(__xludf.DUMMYFUNCTION("""COMPUTED_VALUE"""),"Fall")</f>
        <v>Fall</v>
      </c>
      <c r="P2244" s="5" t="str">
        <f ca="1">IFERROR(__xludf.DUMMYFUNCTION("""COMPUTED_VALUE"""),"Los Angeles")</f>
        <v>Los Angeles</v>
      </c>
      <c r="Q2244" s="5" t="str">
        <f ca="1">IFERROR(__xludf.DUMMYFUNCTION("""COMPUTED_VALUE"""),"CA")</f>
        <v>CA</v>
      </c>
      <c r="R2244" s="5" t="str">
        <f ca="1">IFERROR(__xludf.DUMMYFUNCTION("""COMPUTED_VALUE"""),"High")</f>
        <v>High</v>
      </c>
      <c r="S2244" s="5" t="str">
        <f ca="1">IFERROR(__xludf.DUMMYFUNCTION("""COMPUTED_VALUE"""),"Beside Building")</f>
        <v>Beside Building</v>
      </c>
      <c r="T2244" s="5" t="str">
        <f ca="1">IFERROR(__xludf.DUMMYFUNCTION("""COMPUTED_VALUE"""),"Outside on School Property")</f>
        <v>Outside on School Property</v>
      </c>
      <c r="U2244" s="5" t="str">
        <f ca="1">IFERROR(__xludf.DUMMYFUNCTION("""COMPUTED_VALUE"""),"Yes")</f>
        <v>Yes</v>
      </c>
      <c r="V2244" s="5" t="str">
        <f ca="1">IFERROR(__xludf.DUMMYFUNCTION("""COMPUTED_VALUE"""),"Morning Classes")</f>
        <v>Morning Classes</v>
      </c>
      <c r="W2244" s="10">
        <f ca="1">IFERROR(__xludf.DUMMYFUNCTION("""COMPUTED_VALUE"""),0.4375)</f>
        <v>0.4375</v>
      </c>
      <c r="X2244" s="5">
        <f ca="1">IFERROR(__xludf.DUMMYFUNCTION("""COMPUTED_VALUE"""),1)</f>
        <v>1</v>
      </c>
      <c r="Y2244" s="5" t="str">
        <f ca="1">IFERROR(__xludf.DUMMYFUNCTION("""COMPUTED_VALUE"""),"Shooter beaten by victims the previous day, pulled gun during fight")</f>
        <v>Shooter beaten by victims the previous day, pulled gun during fight</v>
      </c>
      <c r="Z2244" s="5" t="str">
        <f ca="1">IFERROR(__xludf.DUMMYFUNCTION("""COMPUTED_VALUE"""),"Shooter had been transferred from previous school for fight and suspended from current school. Shooter was beaten by a group of students the day prior. Shooter was in a fight outside with other students that was broken up by teacher. Shooter pulled gun an"&amp;"d fired at other students he was fighting with, then was shot by the SRO.")</f>
        <v>Shooter had been transferred from previous school for fight and suspended from current school. Shooter was beaten by a group of students the day prior. Shooter was in a fight outside with other students that was broken up by teacher. Shooter pulled gun and fired at other students he was fighting with, then was shot by the SRO.</v>
      </c>
      <c r="AA2244" s="5" t="str">
        <f ca="1">IFERROR(__xludf.DUMMYFUNCTION("""COMPUTED_VALUE"""),"Escalation of Dispute")</f>
        <v>Escalation of Dispute</v>
      </c>
      <c r="AB2244" s="5" t="str">
        <f ca="1">IFERROR(__xludf.DUMMYFUNCTION("""COMPUTED_VALUE"""),"Victims Targeted")</f>
        <v>Victims Targeted</v>
      </c>
      <c r="AC2244" s="5" t="str">
        <f ca="1">IFERROR(__xludf.DUMMYFUNCTION("""COMPUTED_VALUE"""),"No")</f>
        <v>No</v>
      </c>
      <c r="AD2244" s="5" t="str">
        <f ca="1">IFERROR(__xludf.DUMMYFUNCTION("""COMPUTED_VALUE"""),"No")</f>
        <v>No</v>
      </c>
      <c r="AE2244" s="5" t="str">
        <f ca="1">IFERROR(__xludf.DUMMYFUNCTION("""COMPUTED_VALUE"""),"No")</f>
        <v>No</v>
      </c>
      <c r="AF2244" s="5" t="str">
        <f ca="1">IFERROR(__xludf.DUMMYFUNCTION("""COMPUTED_VALUE"""),"No")</f>
        <v>No</v>
      </c>
      <c r="AG2244" s="5" t="str">
        <f ca="1">IFERROR(__xludf.DUMMYFUNCTION("""COMPUTED_VALUE"""),"No")</f>
        <v>No</v>
      </c>
      <c r="AH2244" s="5" t="str">
        <f ca="1">IFERROR(__xludf.DUMMYFUNCTION("""COMPUTED_VALUE"""),"No")</f>
        <v>No</v>
      </c>
      <c r="AI2244" s="5" t="str">
        <f ca="1">IFERROR(__xludf.DUMMYFUNCTION("""COMPUTED_VALUE"""),"No")</f>
        <v>No</v>
      </c>
      <c r="AJ2244" s="5"/>
    </row>
    <row r="2245" spans="1:36" ht="13">
      <c r="A2245" s="5" t="str">
        <f ca="1">IFERROR(__xludf.DUMMYFUNCTION("""COMPUTED_VALUE"""),"19730501OHRAY")</f>
        <v>19730501OHRAY</v>
      </c>
      <c r="B2245" s="5">
        <f ca="1">IFERROR(__xludf.DUMMYFUNCTION("""COMPUTED_VALUE"""),5)</f>
        <v>5</v>
      </c>
      <c r="C2245" s="5">
        <f ca="1">IFERROR(__xludf.DUMMYFUNCTION("""COMPUTED_VALUE"""),1)</f>
        <v>1</v>
      </c>
      <c r="D2245" s="5">
        <f ca="1">IFERROR(__xludf.DUMMYFUNCTION("""COMPUTED_VALUE"""),1973)</f>
        <v>1973</v>
      </c>
      <c r="E2245" s="8">
        <f ca="1">IFERROR(__xludf.DUMMYFUNCTION("""COMPUTED_VALUE"""),26785)</f>
        <v>26785</v>
      </c>
      <c r="F2245" s="5" t="str">
        <f ca="1">IFERROR(__xludf.DUMMYFUNCTION("""COMPUTED_VALUE"""),"Rayen High School")</f>
        <v>Rayen High School</v>
      </c>
      <c r="G2245" s="5">
        <f ca="1">IFERROR(__xludf.DUMMYFUNCTION("""COMPUTED_VALUE"""),0)</f>
        <v>0</v>
      </c>
      <c r="H2245" s="5">
        <f ca="1">IFERROR(__xludf.DUMMYFUNCTION("""COMPUTED_VALUE"""),3)</f>
        <v>3</v>
      </c>
      <c r="I2245" s="5">
        <f ca="1">IFERROR(__xludf.DUMMYFUNCTION("""COMPUTED_VALUE"""),3)</f>
        <v>3</v>
      </c>
      <c r="J2245" s="5">
        <f ca="1">IFERROR(__xludf.DUMMYFUNCTION("""COMPUTED_VALUE"""),0)</f>
        <v>0</v>
      </c>
      <c r="K2245" s="9" t="str">
        <f ca="1">IFERROR(__xludf.DUMMYFUNCTION("""COMPUTED_VALUE"""),"https://www.newspapers.com/image/43038797/?terms=student%2Bshot")</f>
        <v>https://www.newspapers.com/image/43038797/?terms=student%2Bshot</v>
      </c>
      <c r="L2245" s="5"/>
      <c r="M2245" s="5"/>
      <c r="N2245" s="5">
        <f ca="1">IFERROR(__xludf.DUMMYFUNCTION("""COMPUTED_VALUE"""),2)</f>
        <v>2</v>
      </c>
      <c r="O2245" s="5" t="str">
        <f ca="1">IFERROR(__xludf.DUMMYFUNCTION("""COMPUTED_VALUE"""),"Spring")</f>
        <v>Spring</v>
      </c>
      <c r="P2245" s="5" t="str">
        <f ca="1">IFERROR(__xludf.DUMMYFUNCTION("""COMPUTED_VALUE"""),"Youngtown")</f>
        <v>Youngtown</v>
      </c>
      <c r="Q2245" s="5" t="str">
        <f ca="1">IFERROR(__xludf.DUMMYFUNCTION("""COMPUTED_VALUE"""),"OH")</f>
        <v>OH</v>
      </c>
      <c r="R2245" s="5" t="str">
        <f ca="1">IFERROR(__xludf.DUMMYFUNCTION("""COMPUTED_VALUE"""),"High")</f>
        <v>High</v>
      </c>
      <c r="S2245" s="5" t="str">
        <f ca="1">IFERROR(__xludf.DUMMYFUNCTION("""COMPUTED_VALUE"""),"Parking Lot")</f>
        <v>Parking Lot</v>
      </c>
      <c r="T2245" s="5" t="str">
        <f ca="1">IFERROR(__xludf.DUMMYFUNCTION("""COMPUTED_VALUE"""),"Outside on School Property")</f>
        <v>Outside on School Property</v>
      </c>
      <c r="U2245" s="5" t="str">
        <f ca="1">IFERROR(__xludf.DUMMYFUNCTION("""COMPUTED_VALUE"""),"Yes")</f>
        <v>Yes</v>
      </c>
      <c r="V2245" s="5"/>
      <c r="W2245" s="5"/>
      <c r="X2245" s="5">
        <f ca="1">IFERROR(__xludf.DUMMYFUNCTION("""COMPUTED_VALUE"""),1)</f>
        <v>1</v>
      </c>
      <c r="Y2245" s="5" t="str">
        <f ca="1">IFERROR(__xludf.DUMMYFUNCTION("""COMPUTED_VALUE"""),"Argument over a girl")</f>
        <v>Argument over a girl</v>
      </c>
      <c r="Z2245" s="5" t="str">
        <f ca="1">IFERROR(__xludf.DUMMYFUNCTION("""COMPUTED_VALUE"""),"Shooter shot two boys and a girl stemming from argument about a girl. Took place in school parking lot")</f>
        <v>Shooter shot two boys and a girl stemming from argument about a girl. Took place in school parking lot</v>
      </c>
      <c r="AA2245" s="5" t="str">
        <f ca="1">IFERROR(__xludf.DUMMYFUNCTION("""COMPUTED_VALUE"""),"Escalation of Dispute")</f>
        <v>Escalation of Dispute</v>
      </c>
      <c r="AB2245" s="5" t="str">
        <f ca="1">IFERROR(__xludf.DUMMYFUNCTION("""COMPUTED_VALUE"""),"Victims Targeted")</f>
        <v>Victims Targeted</v>
      </c>
      <c r="AC2245" s="5" t="str">
        <f ca="1">IFERROR(__xludf.DUMMYFUNCTION("""COMPUTED_VALUE"""),"No")</f>
        <v>No</v>
      </c>
      <c r="AD2245" s="5" t="str">
        <f ca="1">IFERROR(__xludf.DUMMYFUNCTION("""COMPUTED_VALUE"""),"No")</f>
        <v>No</v>
      </c>
      <c r="AE2245" s="5" t="str">
        <f ca="1">IFERROR(__xludf.DUMMYFUNCTION("""COMPUTED_VALUE"""),"No")</f>
        <v>No</v>
      </c>
      <c r="AF2245" s="5" t="str">
        <f ca="1">IFERROR(__xludf.DUMMYFUNCTION("""COMPUTED_VALUE"""),"No")</f>
        <v>No</v>
      </c>
      <c r="AG2245" s="5" t="str">
        <f ca="1">IFERROR(__xludf.DUMMYFUNCTION("""COMPUTED_VALUE"""),"No")</f>
        <v>No</v>
      </c>
      <c r="AH2245" s="5" t="str">
        <f ca="1">IFERROR(__xludf.DUMMYFUNCTION("""COMPUTED_VALUE"""),"No")</f>
        <v>No</v>
      </c>
      <c r="AI2245" s="5" t="str">
        <f ca="1">IFERROR(__xludf.DUMMYFUNCTION("""COMPUTED_VALUE"""),"No")</f>
        <v>No</v>
      </c>
      <c r="AJ2245" s="5"/>
    </row>
    <row r="2246" spans="1:36" ht="13">
      <c r="A2246" s="5" t="str">
        <f ca="1">IFERROR(__xludf.DUMMYFUNCTION("""COMPUTED_VALUE"""),"19730405CALOL")</f>
        <v>19730405CALOL</v>
      </c>
      <c r="B2246" s="5">
        <f ca="1">IFERROR(__xludf.DUMMYFUNCTION("""COMPUTED_VALUE"""),4)</f>
        <v>4</v>
      </c>
      <c r="C2246" s="5">
        <f ca="1">IFERROR(__xludf.DUMMYFUNCTION("""COMPUTED_VALUE"""),5)</f>
        <v>5</v>
      </c>
      <c r="D2246" s="5">
        <f ca="1">IFERROR(__xludf.DUMMYFUNCTION("""COMPUTED_VALUE"""),1973)</f>
        <v>1973</v>
      </c>
      <c r="E2246" s="8">
        <f ca="1">IFERROR(__xludf.DUMMYFUNCTION("""COMPUTED_VALUE"""),26759)</f>
        <v>26759</v>
      </c>
      <c r="F2246" s="5" t="str">
        <f ca="1">IFERROR(__xludf.DUMMYFUNCTION("""COMPUTED_VALUE"""),"Locke High School")</f>
        <v>Locke High School</v>
      </c>
      <c r="G2246" s="5">
        <f ca="1">IFERROR(__xludf.DUMMYFUNCTION("""COMPUTED_VALUE"""),0)</f>
        <v>0</v>
      </c>
      <c r="H2246" s="5">
        <f ca="1">IFERROR(__xludf.DUMMYFUNCTION("""COMPUTED_VALUE"""),2)</f>
        <v>2</v>
      </c>
      <c r="I2246" s="5">
        <f ca="1">IFERROR(__xludf.DUMMYFUNCTION("""COMPUTED_VALUE"""),2)</f>
        <v>2</v>
      </c>
      <c r="J2246" s="5">
        <f ca="1">IFERROR(__xludf.DUMMYFUNCTION("""COMPUTED_VALUE"""),0)</f>
        <v>0</v>
      </c>
      <c r="K2246" s="9" t="str">
        <f ca="1">IFERROR(__xludf.DUMMYFUNCTION("""COMPUTED_VALUE"""),"https://www.newspapers.com/image/37911464/?terms=school%2Bshooting")</f>
        <v>https://www.newspapers.com/image/37911464/?terms=school%2Bshooting</v>
      </c>
      <c r="L2246" s="5"/>
      <c r="M2246" s="5"/>
      <c r="N2246" s="5">
        <f ca="1">IFERROR(__xludf.DUMMYFUNCTION("""COMPUTED_VALUE"""),2)</f>
        <v>2</v>
      </c>
      <c r="O2246" s="5" t="str">
        <f ca="1">IFERROR(__xludf.DUMMYFUNCTION("""COMPUTED_VALUE"""),"Spring")</f>
        <v>Spring</v>
      </c>
      <c r="P2246" s="5" t="str">
        <f ca="1">IFERROR(__xludf.DUMMYFUNCTION("""COMPUTED_VALUE"""),"Los Angeles")</f>
        <v>Los Angeles</v>
      </c>
      <c r="Q2246" s="5" t="str">
        <f ca="1">IFERROR(__xludf.DUMMYFUNCTION("""COMPUTED_VALUE"""),"CA")</f>
        <v>CA</v>
      </c>
      <c r="R2246" s="5" t="str">
        <f ca="1">IFERROR(__xludf.DUMMYFUNCTION("""COMPUTED_VALUE"""),"High")</f>
        <v>High</v>
      </c>
      <c r="S2246" s="5" t="str">
        <f ca="1">IFERROR(__xludf.DUMMYFUNCTION("""COMPUTED_VALUE"""),"ND")</f>
        <v>ND</v>
      </c>
      <c r="T2246" s="5" t="str">
        <f ca="1">IFERROR(__xludf.DUMMYFUNCTION("""COMPUTED_VALUE"""),"ND")</f>
        <v>ND</v>
      </c>
      <c r="U2246" s="5" t="str">
        <f ca="1">IFERROR(__xludf.DUMMYFUNCTION("""COMPUTED_VALUE"""),"Yes")</f>
        <v>Yes</v>
      </c>
      <c r="V2246" s="5"/>
      <c r="W2246" s="5"/>
      <c r="X2246" s="5"/>
      <c r="Y2246" s="5" t="str">
        <f ca="1">IFERROR(__xludf.DUMMYFUNCTION("""COMPUTED_VALUE"""),"Gang shooting with targeted victims")</f>
        <v>Gang shooting with targeted victims</v>
      </c>
      <c r="Z2246" s="5" t="str">
        <f ca="1">IFERROR(__xludf.DUMMYFUNCTION("""COMPUTED_VALUE"""),"Three gang members fired 5 shots at victims.")</f>
        <v>Three gang members fired 5 shots at victims.</v>
      </c>
      <c r="AA2246" s="5" t="str">
        <f ca="1">IFERROR(__xludf.DUMMYFUNCTION("""COMPUTED_VALUE"""),"Escalation of Dispute")</f>
        <v>Escalation of Dispute</v>
      </c>
      <c r="AB2246" s="5" t="str">
        <f ca="1">IFERROR(__xludf.DUMMYFUNCTION("""COMPUTED_VALUE"""),"Victims Targeted")</f>
        <v>Victims Targeted</v>
      </c>
      <c r="AC2246" s="5" t="str">
        <f ca="1">IFERROR(__xludf.DUMMYFUNCTION("""COMPUTED_VALUE"""),"Yes")</f>
        <v>Yes</v>
      </c>
      <c r="AD2246" s="5" t="str">
        <f ca="1">IFERROR(__xludf.DUMMYFUNCTION("""COMPUTED_VALUE"""),"No")</f>
        <v>No</v>
      </c>
      <c r="AE2246" s="5" t="str">
        <f ca="1">IFERROR(__xludf.DUMMYFUNCTION("""COMPUTED_VALUE"""),"No")</f>
        <v>No</v>
      </c>
      <c r="AF2246" s="5" t="str">
        <f ca="1">IFERROR(__xludf.DUMMYFUNCTION("""COMPUTED_VALUE"""),"No")</f>
        <v>No</v>
      </c>
      <c r="AG2246" s="5" t="str">
        <f ca="1">IFERROR(__xludf.DUMMYFUNCTION("""COMPUTED_VALUE"""),"No")</f>
        <v>No</v>
      </c>
      <c r="AH2246" s="5" t="str">
        <f ca="1">IFERROR(__xludf.DUMMYFUNCTION("""COMPUTED_VALUE"""),"No")</f>
        <v>No</v>
      </c>
      <c r="AI2246" s="5" t="str">
        <f ca="1">IFERROR(__xludf.DUMMYFUNCTION("""COMPUTED_VALUE"""),"Yes")</f>
        <v>Yes</v>
      </c>
      <c r="AJ2246" s="5"/>
    </row>
    <row r="2247" spans="1:36" ht="13">
      <c r="A2247" s="5" t="str">
        <f ca="1">IFERROR(__xludf.DUMMYFUNCTION("""COMPUTED_VALUE"""),"19730226VAARR")</f>
        <v>19730226VAARR</v>
      </c>
      <c r="B2247" s="5">
        <f ca="1">IFERROR(__xludf.DUMMYFUNCTION("""COMPUTED_VALUE"""),2)</f>
        <v>2</v>
      </c>
      <c r="C2247" s="5">
        <f ca="1">IFERROR(__xludf.DUMMYFUNCTION("""COMPUTED_VALUE"""),26)</f>
        <v>26</v>
      </c>
      <c r="D2247" s="5">
        <f ca="1">IFERROR(__xludf.DUMMYFUNCTION("""COMPUTED_VALUE"""),1973)</f>
        <v>1973</v>
      </c>
      <c r="E2247" s="8">
        <f ca="1">IFERROR(__xludf.DUMMYFUNCTION("""COMPUTED_VALUE"""),26721)</f>
        <v>26721</v>
      </c>
      <c r="F2247" s="5" t="str">
        <f ca="1">IFERROR(__xludf.DUMMYFUNCTION("""COMPUTED_VALUE"""),"Armstrong High School")</f>
        <v>Armstrong High School</v>
      </c>
      <c r="G2247" s="5">
        <f ca="1">IFERROR(__xludf.DUMMYFUNCTION("""COMPUTED_VALUE"""),1)</f>
        <v>1</v>
      </c>
      <c r="H2247" s="5">
        <f ca="1">IFERROR(__xludf.DUMMYFUNCTION("""COMPUTED_VALUE"""),1)</f>
        <v>1</v>
      </c>
      <c r="I2247" s="5">
        <f ca="1">IFERROR(__xludf.DUMMYFUNCTION("""COMPUTED_VALUE"""),2)</f>
        <v>2</v>
      </c>
      <c r="J2247" s="5">
        <f ca="1">IFERROR(__xludf.DUMMYFUNCTION("""COMPUTED_VALUE"""),0)</f>
        <v>0</v>
      </c>
      <c r="K2247" s="5" t="str">
        <f ca="1">IFERROR(__xludf.DUMMYFUNCTION("""COMPUTED_VALUE"""),"https://news.google.com/newspapers?id=CTJgAAAAIBAJ&amp;pg=4009,6506820  https://www.newspapers.com/image/332296175/?terms=wayne%2Bphillips    https://www.newspapers.com/image/287908591/?terms=wayne%2Bphillips  https://www.newspapers.com/image/288143821/?terms"&amp;"=michael%2Bw.%2Bdance")</f>
        <v>https://news.google.com/newspapers?id=CTJgAAAAIBAJ&amp;pg=4009,6506820  https://www.newspapers.com/image/332296175/?terms=wayne%2Bphillips    https://www.newspapers.com/image/287908591/?terms=wayne%2Bphillips  https://www.newspapers.com/image/288143821/?terms=michael%2Bw.%2Bdance</v>
      </c>
      <c r="L2247" s="5"/>
      <c r="M2247" s="5"/>
      <c r="N2247" s="5">
        <f ca="1">IFERROR(__xludf.DUMMYFUNCTION("""COMPUTED_VALUE"""),2)</f>
        <v>2</v>
      </c>
      <c r="O2247" s="5" t="str">
        <f ca="1">IFERROR(__xludf.DUMMYFUNCTION("""COMPUTED_VALUE"""),"Winter")</f>
        <v>Winter</v>
      </c>
      <c r="P2247" s="5" t="str">
        <f ca="1">IFERROR(__xludf.DUMMYFUNCTION("""COMPUTED_VALUE"""),"Richmond")</f>
        <v>Richmond</v>
      </c>
      <c r="Q2247" s="5" t="str">
        <f ca="1">IFERROR(__xludf.DUMMYFUNCTION("""COMPUTED_VALUE"""),"VA")</f>
        <v>VA</v>
      </c>
      <c r="R2247" s="5" t="str">
        <f ca="1">IFERROR(__xludf.DUMMYFUNCTION("""COMPUTED_VALUE"""),"High")</f>
        <v>High</v>
      </c>
      <c r="S2247" s="5" t="str">
        <f ca="1">IFERROR(__xludf.DUMMYFUNCTION("""COMPUTED_VALUE"""),"Inside School Building")</f>
        <v>Inside School Building</v>
      </c>
      <c r="T2247" s="5" t="str">
        <f ca="1">IFERROR(__xludf.DUMMYFUNCTION("""COMPUTED_VALUE"""),"Inside School Building")</f>
        <v>Inside School Building</v>
      </c>
      <c r="U2247" s="5" t="str">
        <f ca="1">IFERROR(__xludf.DUMMYFUNCTION("""COMPUTED_VALUE"""),"Yes")</f>
        <v>Yes</v>
      </c>
      <c r="V2247" s="5" t="str">
        <f ca="1">IFERROR(__xludf.DUMMYFUNCTION("""COMPUTED_VALUE"""),"School Start")</f>
        <v>School Start</v>
      </c>
      <c r="W2247" s="10">
        <f ca="1">IFERROR(__xludf.DUMMYFUNCTION("""COMPUTED_VALUE"""),0.333333333333333)</f>
        <v>0.33333333333333298</v>
      </c>
      <c r="X2247" s="5">
        <f ca="1">IFERROR(__xludf.DUMMYFUNCTION("""COMPUTED_VALUE"""),1)</f>
        <v>1</v>
      </c>
      <c r="Y2247" s="5" t="str">
        <f ca="1">IFERROR(__xludf.DUMMYFUNCTION("""COMPUTED_VALUE"""),"2 students caught between two youths in gun battle over a girl")</f>
        <v>2 students caught between two youths in gun battle over a girl</v>
      </c>
      <c r="Z2247" s="5" t="str">
        <f ca="1">IFERROR(__xludf.DUMMYFUNCTION("""COMPUTED_VALUE"""),"2 students caught between two youths in gun battle over a girl. Victims were a 17 year-old male (Wayne Phillips killed) and a 14 year-old female (Julia Gardner, injured in leg). One suspect later arrested and charged with murder. Second shooter was also b"&amp;"eing sought.")</f>
        <v>2 students caught between two youths in gun battle over a girl. Victims were a 17 year-old male (Wayne Phillips killed) and a 14 year-old female (Julia Gardner, injured in leg). One suspect later arrested and charged with murder. Second shooter was also being sought.</v>
      </c>
      <c r="AA2247" s="5" t="str">
        <f ca="1">IFERROR(__xludf.DUMMYFUNCTION("""COMPUTED_VALUE"""),"Escalation of Dispute")</f>
        <v>Escalation of Dispute</v>
      </c>
      <c r="AB2247" s="5" t="str">
        <f ca="1">IFERROR(__xludf.DUMMYFUNCTION("""COMPUTED_VALUE"""),"Random Shooting")</f>
        <v>Random Shooting</v>
      </c>
      <c r="AC2247" s="5" t="str">
        <f ca="1">IFERROR(__xludf.DUMMYFUNCTION("""COMPUTED_VALUE"""),"Yes")</f>
        <v>Yes</v>
      </c>
      <c r="AD2247" s="5" t="str">
        <f ca="1">IFERROR(__xludf.DUMMYFUNCTION("""COMPUTED_VALUE"""),"No")</f>
        <v>No</v>
      </c>
      <c r="AE2247" s="5" t="str">
        <f ca="1">IFERROR(__xludf.DUMMYFUNCTION("""COMPUTED_VALUE"""),"No")</f>
        <v>No</v>
      </c>
      <c r="AF2247" s="5" t="str">
        <f ca="1">IFERROR(__xludf.DUMMYFUNCTION("""COMPUTED_VALUE"""),"No")</f>
        <v>No</v>
      </c>
      <c r="AG2247" s="5" t="str">
        <f ca="1">IFERROR(__xludf.DUMMYFUNCTION("""COMPUTED_VALUE"""),"No")</f>
        <v>No</v>
      </c>
      <c r="AH2247" s="5" t="str">
        <f ca="1">IFERROR(__xludf.DUMMYFUNCTION("""COMPUTED_VALUE"""),"No")</f>
        <v>No</v>
      </c>
      <c r="AI2247" s="5" t="str">
        <f ca="1">IFERROR(__xludf.DUMMYFUNCTION("""COMPUTED_VALUE"""),"No")</f>
        <v>No</v>
      </c>
      <c r="AJ2247" s="5"/>
    </row>
    <row r="2248" spans="1:36" ht="13">
      <c r="A2248" s="5" t="str">
        <f ca="1">IFERROR(__xludf.DUMMYFUNCTION("""COMPUTED_VALUE"""),"19730212ALBOM")</f>
        <v>19730212ALBOM</v>
      </c>
      <c r="B2248" s="5">
        <f ca="1">IFERROR(__xludf.DUMMYFUNCTION("""COMPUTED_VALUE"""),2)</f>
        <v>2</v>
      </c>
      <c r="C2248" s="5">
        <f ca="1">IFERROR(__xludf.DUMMYFUNCTION("""COMPUTED_VALUE"""),12)</f>
        <v>12</v>
      </c>
      <c r="D2248" s="5">
        <f ca="1">IFERROR(__xludf.DUMMYFUNCTION("""COMPUTED_VALUE"""),1973)</f>
        <v>1973</v>
      </c>
      <c r="E2248" s="8">
        <f ca="1">IFERROR(__xludf.DUMMYFUNCTION("""COMPUTED_VALUE"""),26707)</f>
        <v>26707</v>
      </c>
      <c r="F2248" s="5" t="str">
        <f ca="1">IFERROR(__xludf.DUMMYFUNCTION("""COMPUTED_VALUE"""),"Booker T. Washington High School")</f>
        <v>Booker T. Washington High School</v>
      </c>
      <c r="G2248" s="5">
        <f ca="1">IFERROR(__xludf.DUMMYFUNCTION("""COMPUTED_VALUE"""),0)</f>
        <v>0</v>
      </c>
      <c r="H2248" s="5">
        <f ca="1">IFERROR(__xludf.DUMMYFUNCTION("""COMPUTED_VALUE"""),1)</f>
        <v>1</v>
      </c>
      <c r="I2248" s="5">
        <f ca="1">IFERROR(__xludf.DUMMYFUNCTION("""COMPUTED_VALUE"""),1)</f>
        <v>1</v>
      </c>
      <c r="J2248" s="5">
        <f ca="1">IFERROR(__xludf.DUMMYFUNCTION("""COMPUTED_VALUE"""),0)</f>
        <v>0</v>
      </c>
      <c r="K2248" s="9" t="str">
        <f ca="1">IFERROR(__xludf.DUMMYFUNCTION("""COMPUTED_VALUE"""),"https://www.newspapers.com/image/256798541/?terms=school%2Bshooting")</f>
        <v>https://www.newspapers.com/image/256798541/?terms=school%2Bshooting</v>
      </c>
      <c r="L2248" s="5"/>
      <c r="M2248" s="5"/>
      <c r="N2248" s="5">
        <f ca="1">IFERROR(__xludf.DUMMYFUNCTION("""COMPUTED_VALUE"""),2)</f>
        <v>2</v>
      </c>
      <c r="O2248" s="5" t="str">
        <f ca="1">IFERROR(__xludf.DUMMYFUNCTION("""COMPUTED_VALUE"""),"Winter")</f>
        <v>Winter</v>
      </c>
      <c r="P2248" s="5" t="str">
        <f ca="1">IFERROR(__xludf.DUMMYFUNCTION("""COMPUTED_VALUE"""),"Montgomery")</f>
        <v>Montgomery</v>
      </c>
      <c r="Q2248" s="5" t="str">
        <f ca="1">IFERROR(__xludf.DUMMYFUNCTION("""COMPUTED_VALUE"""),"AL")</f>
        <v>AL</v>
      </c>
      <c r="R2248" s="5" t="str">
        <f ca="1">IFERROR(__xludf.DUMMYFUNCTION("""COMPUTED_VALUE"""),"High")</f>
        <v>High</v>
      </c>
      <c r="S2248" s="5" t="str">
        <f ca="1">IFERROR(__xludf.DUMMYFUNCTION("""COMPUTED_VALUE"""),"Gym")</f>
        <v>Gym</v>
      </c>
      <c r="T2248" s="5" t="str">
        <f ca="1">IFERROR(__xludf.DUMMYFUNCTION("""COMPUTED_VALUE"""),"Inside School Building")</f>
        <v>Inside School Building</v>
      </c>
      <c r="U2248" s="5" t="str">
        <f ca="1">IFERROR(__xludf.DUMMYFUNCTION("""COMPUTED_VALUE"""),"No")</f>
        <v>No</v>
      </c>
      <c r="V2248" s="5" t="str">
        <f ca="1">IFERROR(__xludf.DUMMYFUNCTION("""COMPUTED_VALUE"""),"Evening")</f>
        <v>Evening</v>
      </c>
      <c r="W2248" s="10">
        <f ca="1">IFERROR(__xludf.DUMMYFUNCTION("""COMPUTED_VALUE"""),0.71875)</f>
        <v>0.71875</v>
      </c>
      <c r="X2248" s="5">
        <f ca="1">IFERROR(__xludf.DUMMYFUNCTION("""COMPUTED_VALUE"""),1)</f>
        <v>1</v>
      </c>
      <c r="Y2248" s="5" t="str">
        <f ca="1">IFERROR(__xludf.DUMMYFUNCTION("""COMPUTED_VALUE"""),"Shooting in gym after school")</f>
        <v>Shooting in gym after school</v>
      </c>
      <c r="Z2248" s="5" t="str">
        <f ca="1">IFERROR(__xludf.DUMMYFUNCTION("""COMPUTED_VALUE"""),"19 year-old male ex-felon shot 15 year-old male student in the gym. No other details available.")</f>
        <v>19 year-old male ex-felon shot 15 year-old male student in the gym. No other details available.</v>
      </c>
      <c r="AA2248" s="5" t="str">
        <f ca="1">IFERROR(__xludf.DUMMYFUNCTION("""COMPUTED_VALUE"""),"Escalation of Dispute")</f>
        <v>Escalation of Dispute</v>
      </c>
      <c r="AB2248" s="5"/>
      <c r="AC2248" s="5" t="str">
        <f ca="1">IFERROR(__xludf.DUMMYFUNCTION("""COMPUTED_VALUE"""),"No")</f>
        <v>No</v>
      </c>
      <c r="AD2248" s="5" t="str">
        <f ca="1">IFERROR(__xludf.DUMMYFUNCTION("""COMPUTED_VALUE"""),"No")</f>
        <v>No</v>
      </c>
      <c r="AE2248" s="5" t="str">
        <f ca="1">IFERROR(__xludf.DUMMYFUNCTION("""COMPUTED_VALUE"""),"No")</f>
        <v>No</v>
      </c>
      <c r="AF2248" s="5" t="str">
        <f ca="1">IFERROR(__xludf.DUMMYFUNCTION("""COMPUTED_VALUE"""),"No")</f>
        <v>No</v>
      </c>
      <c r="AG2248" s="5" t="str">
        <f ca="1">IFERROR(__xludf.DUMMYFUNCTION("""COMPUTED_VALUE"""),"No")</f>
        <v>No</v>
      </c>
      <c r="AH2248" s="5" t="str">
        <f ca="1">IFERROR(__xludf.DUMMYFUNCTION("""COMPUTED_VALUE"""),"No")</f>
        <v>No</v>
      </c>
      <c r="AI2248" s="5"/>
      <c r="AJ2248" s="5"/>
    </row>
    <row r="2249" spans="1:36" ht="13">
      <c r="A2249" s="5" t="str">
        <f ca="1">IFERROR(__xludf.DUMMYFUNCTION("""COMPUTED_VALUE"""),"19730131NCCUB")</f>
        <v>19730131NCCUB</v>
      </c>
      <c r="B2249" s="5">
        <f ca="1">IFERROR(__xludf.DUMMYFUNCTION("""COMPUTED_VALUE"""),1)</f>
        <v>1</v>
      </c>
      <c r="C2249" s="5">
        <f ca="1">IFERROR(__xludf.DUMMYFUNCTION("""COMPUTED_VALUE"""),31)</f>
        <v>31</v>
      </c>
      <c r="D2249" s="5">
        <f ca="1">IFERROR(__xludf.DUMMYFUNCTION("""COMPUTED_VALUE"""),1973)</f>
        <v>1973</v>
      </c>
      <c r="E2249" s="8">
        <f ca="1">IFERROR(__xludf.DUMMYFUNCTION("""COMPUTED_VALUE"""),26695)</f>
        <v>26695</v>
      </c>
      <c r="F2249" s="5" t="str">
        <f ca="1">IFERROR(__xludf.DUMMYFUNCTION("""COMPUTED_VALUE"""),"Cumming High School")</f>
        <v>Cumming High School</v>
      </c>
      <c r="G2249" s="5">
        <f ca="1">IFERROR(__xludf.DUMMYFUNCTION("""COMPUTED_VALUE"""),0)</f>
        <v>0</v>
      </c>
      <c r="H2249" s="5">
        <f ca="1">IFERROR(__xludf.DUMMYFUNCTION("""COMPUTED_VALUE"""),1)</f>
        <v>1</v>
      </c>
      <c r="I2249" s="5">
        <f ca="1">IFERROR(__xludf.DUMMYFUNCTION("""COMPUTED_VALUE"""),1)</f>
        <v>1</v>
      </c>
      <c r="J2249" s="5">
        <f ca="1">IFERROR(__xludf.DUMMYFUNCTION("""COMPUTED_VALUE"""),0)</f>
        <v>0</v>
      </c>
      <c r="K2249" s="9" t="str">
        <f ca="1">IFERROR(__xludf.DUMMYFUNCTION("""COMPUTED_VALUE"""),"https://www.newspapers.com/image/53558183/?terms=school%2Bshooting")</f>
        <v>https://www.newspapers.com/image/53558183/?terms=school%2Bshooting</v>
      </c>
      <c r="L2249" s="5"/>
      <c r="M2249" s="5"/>
      <c r="N2249" s="5">
        <f ca="1">IFERROR(__xludf.DUMMYFUNCTION("""COMPUTED_VALUE"""),2)</f>
        <v>2</v>
      </c>
      <c r="O2249" s="5" t="str">
        <f ca="1">IFERROR(__xludf.DUMMYFUNCTION("""COMPUTED_VALUE"""),"Winter")</f>
        <v>Winter</v>
      </c>
      <c r="P2249" s="5" t="str">
        <f ca="1">IFERROR(__xludf.DUMMYFUNCTION("""COMPUTED_VALUE"""),"Burlington")</f>
        <v>Burlington</v>
      </c>
      <c r="Q2249" s="5" t="str">
        <f ca="1">IFERROR(__xludf.DUMMYFUNCTION("""COMPUTED_VALUE"""),"NC")</f>
        <v>NC</v>
      </c>
      <c r="R2249" s="5" t="str">
        <f ca="1">IFERROR(__xludf.DUMMYFUNCTION("""COMPUTED_VALUE"""),"High")</f>
        <v>High</v>
      </c>
      <c r="S2249" s="5" t="str">
        <f ca="1">IFERROR(__xludf.DUMMYFUNCTION("""COMPUTED_VALUE"""),"Inside School Building")</f>
        <v>Inside School Building</v>
      </c>
      <c r="T2249" s="5" t="str">
        <f ca="1">IFERROR(__xludf.DUMMYFUNCTION("""COMPUTED_VALUE"""),"Inside School Building")</f>
        <v>Inside School Building</v>
      </c>
      <c r="U2249" s="5" t="str">
        <f ca="1">IFERROR(__xludf.DUMMYFUNCTION("""COMPUTED_VALUE"""),"Yes")</f>
        <v>Yes</v>
      </c>
      <c r="V2249" s="5" t="str">
        <f ca="1">IFERROR(__xludf.DUMMYFUNCTION("""COMPUTED_VALUE"""),"Lunch")</f>
        <v>Lunch</v>
      </c>
      <c r="W2249" s="10">
        <f ca="1">IFERROR(__xludf.DUMMYFUNCTION("""COMPUTED_VALUE"""),0.5)</f>
        <v>0.5</v>
      </c>
      <c r="X2249" s="5">
        <f ca="1">IFERROR(__xludf.DUMMYFUNCTION("""COMPUTED_VALUE"""),1)</f>
        <v>1</v>
      </c>
      <c r="Y2249" s="5" t="str">
        <f ca="1">IFERROR(__xludf.DUMMYFUNCTION("""COMPUTED_VALUE"""),"Shot student who was police informant on drug deal involving brother")</f>
        <v>Shot student who was police informant on drug deal involving brother</v>
      </c>
      <c r="Z2249" s="5" t="str">
        <f ca="1">IFERROR(__xludf.DUMMYFUNCTION("""COMPUTED_VALUE"""),"Victim was police informant about drug deals at the school. Shooter's brother had been implicated by the victim. Shooter targeted the victim, shot him once in the back, and fled the scene. Shooter turned himself in the next day.")</f>
        <v>Victim was police informant about drug deals at the school. Shooter's brother had been implicated by the victim. Shooter targeted the victim, shot him once in the back, and fled the scene. Shooter turned himself in the next day.</v>
      </c>
      <c r="AA2249" s="5" t="str">
        <f ca="1">IFERROR(__xludf.DUMMYFUNCTION("""COMPUTED_VALUE"""),"Illegal Activity")</f>
        <v>Illegal Activity</v>
      </c>
      <c r="AB2249" s="5" t="str">
        <f ca="1">IFERROR(__xludf.DUMMYFUNCTION("""COMPUTED_VALUE"""),"Victims Targeted")</f>
        <v>Victims Targeted</v>
      </c>
      <c r="AC2249" s="5" t="str">
        <f ca="1">IFERROR(__xludf.DUMMYFUNCTION("""COMPUTED_VALUE"""),"No")</f>
        <v>No</v>
      </c>
      <c r="AD2249" s="5" t="str">
        <f ca="1">IFERROR(__xludf.DUMMYFUNCTION("""COMPUTED_VALUE"""),"No")</f>
        <v>No</v>
      </c>
      <c r="AE2249" s="5" t="str">
        <f ca="1">IFERROR(__xludf.DUMMYFUNCTION("""COMPUTED_VALUE"""),"No")</f>
        <v>No</v>
      </c>
      <c r="AF2249" s="5" t="str">
        <f ca="1">IFERROR(__xludf.DUMMYFUNCTION("""COMPUTED_VALUE"""),"No")</f>
        <v>No</v>
      </c>
      <c r="AG2249" s="5" t="str">
        <f ca="1">IFERROR(__xludf.DUMMYFUNCTION("""COMPUTED_VALUE"""),"No")</f>
        <v>No</v>
      </c>
      <c r="AH2249" s="5" t="str">
        <f ca="1">IFERROR(__xludf.DUMMYFUNCTION("""COMPUTED_VALUE"""),"No")</f>
        <v>No</v>
      </c>
      <c r="AI2249" s="5" t="str">
        <f ca="1">IFERROR(__xludf.DUMMYFUNCTION("""COMPUTED_VALUE"""),"No")</f>
        <v>No</v>
      </c>
      <c r="AJ2249" s="5"/>
    </row>
    <row r="2250" spans="1:36" ht="13">
      <c r="A2250" s="5" t="str">
        <f ca="1">IFERROR(__xludf.DUMMYFUNCTION("""COMPUTED_VALUE"""),"19730118CAJOL")</f>
        <v>19730118CAJOL</v>
      </c>
      <c r="B2250" s="5">
        <f ca="1">IFERROR(__xludf.DUMMYFUNCTION("""COMPUTED_VALUE"""),1)</f>
        <v>1</v>
      </c>
      <c r="C2250" s="5">
        <f ca="1">IFERROR(__xludf.DUMMYFUNCTION("""COMPUTED_VALUE"""),18)</f>
        <v>18</v>
      </c>
      <c r="D2250" s="5">
        <f ca="1">IFERROR(__xludf.DUMMYFUNCTION("""COMPUTED_VALUE"""),1973)</f>
        <v>1973</v>
      </c>
      <c r="E2250" s="8">
        <f ca="1">IFERROR(__xludf.DUMMYFUNCTION("""COMPUTED_VALUE"""),26682)</f>
        <v>26682</v>
      </c>
      <c r="F2250" s="5" t="str">
        <f ca="1">IFERROR(__xludf.DUMMYFUNCTION("""COMPUTED_VALUE"""),"John Marshall High School")</f>
        <v>John Marshall High School</v>
      </c>
      <c r="G2250" s="5">
        <f ca="1">IFERROR(__xludf.DUMMYFUNCTION("""COMPUTED_VALUE"""),0)</f>
        <v>0</v>
      </c>
      <c r="H2250" s="5">
        <f ca="1">IFERROR(__xludf.DUMMYFUNCTION("""COMPUTED_VALUE"""),2)</f>
        <v>2</v>
      </c>
      <c r="I2250" s="5">
        <f ca="1">IFERROR(__xludf.DUMMYFUNCTION("""COMPUTED_VALUE"""),2)</f>
        <v>2</v>
      </c>
      <c r="J2250" s="5">
        <f ca="1">IFERROR(__xludf.DUMMYFUNCTION("""COMPUTED_VALUE"""),0)</f>
        <v>0</v>
      </c>
      <c r="K2250" s="9" t="str">
        <f ca="1">IFERROR(__xludf.DUMMYFUNCTION("""COMPUTED_VALUE"""),"https://www.newspapers.com/image/18141346/?terms=school%2Bshooting")</f>
        <v>https://www.newspapers.com/image/18141346/?terms=school%2Bshooting</v>
      </c>
      <c r="L2250" s="5"/>
      <c r="M2250" s="5"/>
      <c r="N2250" s="5">
        <f ca="1">IFERROR(__xludf.DUMMYFUNCTION("""COMPUTED_VALUE"""),2)</f>
        <v>2</v>
      </c>
      <c r="O2250" s="5" t="str">
        <f ca="1">IFERROR(__xludf.DUMMYFUNCTION("""COMPUTED_VALUE"""),"Winter")</f>
        <v>Winter</v>
      </c>
      <c r="P2250" s="5" t="str">
        <f ca="1">IFERROR(__xludf.DUMMYFUNCTION("""COMPUTED_VALUE"""),"Los Angeles")</f>
        <v>Los Angeles</v>
      </c>
      <c r="Q2250" s="5" t="str">
        <f ca="1">IFERROR(__xludf.DUMMYFUNCTION("""COMPUTED_VALUE"""),"CA")</f>
        <v>CA</v>
      </c>
      <c r="R2250" s="5" t="str">
        <f ca="1">IFERROR(__xludf.DUMMYFUNCTION("""COMPUTED_VALUE"""),"High")</f>
        <v>High</v>
      </c>
      <c r="S2250" s="5" t="str">
        <f ca="1">IFERROR(__xludf.DUMMYFUNCTION("""COMPUTED_VALUE"""),"Parking Lot")</f>
        <v>Parking Lot</v>
      </c>
      <c r="T2250" s="5" t="str">
        <f ca="1">IFERROR(__xludf.DUMMYFUNCTION("""COMPUTED_VALUE"""),"Outside on School Property")</f>
        <v>Outside on School Property</v>
      </c>
      <c r="U2250" s="5" t="str">
        <f ca="1">IFERROR(__xludf.DUMMYFUNCTION("""COMPUTED_VALUE"""),"No")</f>
        <v>No</v>
      </c>
      <c r="V2250" s="5" t="str">
        <f ca="1">IFERROR(__xludf.DUMMYFUNCTION("""COMPUTED_VALUE"""),"Sport Event")</f>
        <v>Sport Event</v>
      </c>
      <c r="W2250" s="5"/>
      <c r="X2250" s="5">
        <f ca="1">IFERROR(__xludf.DUMMYFUNCTION("""COMPUTED_VALUE"""),1)</f>
        <v>1</v>
      </c>
      <c r="Y2250" s="5" t="str">
        <f ca="1">IFERROR(__xludf.DUMMYFUNCTION("""COMPUTED_VALUE"""),"2 school guards shot investigating possible thefts from cars")</f>
        <v>2 school guards shot investigating possible thefts from cars</v>
      </c>
      <c r="Z2250" s="5" t="str">
        <f ca="1">IFERROR(__xludf.DUMMYFUNCTION("""COMPUTED_VALUE"""),"Two recent graduates hired as ""noon aides"" to keep order during school functions were shot in the parking lot during a basketball game while they were investigating reports of people breaking into cars. Two unnamed teens were booked for the shootings.")</f>
        <v>Two recent graduates hired as "noon aides" to keep order during school functions were shot in the parking lot during a basketball game while they were investigating reports of people breaking into cars. Two unnamed teens were booked for the shootings.</v>
      </c>
      <c r="AA2250" s="5" t="str">
        <f ca="1">IFERROR(__xludf.DUMMYFUNCTION("""COMPUTED_VALUE"""),"Illegal Activity")</f>
        <v>Illegal Activity</v>
      </c>
      <c r="AB2250" s="5" t="str">
        <f ca="1">IFERROR(__xludf.DUMMYFUNCTION("""COMPUTED_VALUE"""),"Victims Targeted")</f>
        <v>Victims Targeted</v>
      </c>
      <c r="AC2250" s="5" t="str">
        <f ca="1">IFERROR(__xludf.DUMMYFUNCTION("""COMPUTED_VALUE"""),"Yes")</f>
        <v>Yes</v>
      </c>
      <c r="AD2250" s="5" t="str">
        <f ca="1">IFERROR(__xludf.DUMMYFUNCTION("""COMPUTED_VALUE"""),"No")</f>
        <v>No</v>
      </c>
      <c r="AE2250" s="5" t="str">
        <f ca="1">IFERROR(__xludf.DUMMYFUNCTION("""COMPUTED_VALUE"""),"No")</f>
        <v>No</v>
      </c>
      <c r="AF2250" s="5" t="str">
        <f ca="1">IFERROR(__xludf.DUMMYFUNCTION("""COMPUTED_VALUE"""),"No")</f>
        <v>No</v>
      </c>
      <c r="AG2250" s="5" t="str">
        <f ca="1">IFERROR(__xludf.DUMMYFUNCTION("""COMPUTED_VALUE"""),"No")</f>
        <v>No</v>
      </c>
      <c r="AH2250" s="5" t="str">
        <f ca="1">IFERROR(__xludf.DUMMYFUNCTION("""COMPUTED_VALUE"""),"No")</f>
        <v>No</v>
      </c>
      <c r="AI2250" s="5" t="str">
        <f ca="1">IFERROR(__xludf.DUMMYFUNCTION("""COMPUTED_VALUE"""),"No")</f>
        <v>No</v>
      </c>
      <c r="AJ2250" s="5"/>
    </row>
    <row r="2251" spans="1:36" ht="13">
      <c r="A2251" s="5" t="str">
        <f ca="1">IFERROR(__xludf.DUMMYFUNCTION("""COMPUTED_VALUE"""),"19730105NCSOS")</f>
        <v>19730105NCSOS</v>
      </c>
      <c r="B2251" s="5">
        <f ca="1">IFERROR(__xludf.DUMMYFUNCTION("""COMPUTED_VALUE"""),1)</f>
        <v>1</v>
      </c>
      <c r="C2251" s="5">
        <f ca="1">IFERROR(__xludf.DUMMYFUNCTION("""COMPUTED_VALUE"""),5)</f>
        <v>5</v>
      </c>
      <c r="D2251" s="5">
        <f ca="1">IFERROR(__xludf.DUMMYFUNCTION("""COMPUTED_VALUE"""),1973)</f>
        <v>1973</v>
      </c>
      <c r="E2251" s="8">
        <f ca="1">IFERROR(__xludf.DUMMYFUNCTION("""COMPUTED_VALUE"""),26669)</f>
        <v>26669</v>
      </c>
      <c r="F2251" s="5" t="str">
        <f ca="1">IFERROR(__xludf.DUMMYFUNCTION("""COMPUTED_VALUE"""),"South Iredell High School")</f>
        <v>South Iredell High School</v>
      </c>
      <c r="G2251" s="5">
        <f ca="1">IFERROR(__xludf.DUMMYFUNCTION("""COMPUTED_VALUE"""),0)</f>
        <v>0</v>
      </c>
      <c r="H2251" s="5">
        <f ca="1">IFERROR(__xludf.DUMMYFUNCTION("""COMPUTED_VALUE"""),4)</f>
        <v>4</v>
      </c>
      <c r="I2251" s="5">
        <f ca="1">IFERROR(__xludf.DUMMYFUNCTION("""COMPUTED_VALUE"""),4)</f>
        <v>4</v>
      </c>
      <c r="J2251" s="5">
        <f ca="1">IFERROR(__xludf.DUMMYFUNCTION("""COMPUTED_VALUE"""),0)</f>
        <v>0</v>
      </c>
      <c r="K2251" s="9" t="str">
        <f ca="1">IFERROR(__xludf.DUMMYFUNCTION("""COMPUTED_VALUE"""),"https://www.newspapers.com/image/133686805/?terms=STUDENT%2BSHOT")</f>
        <v>https://www.newspapers.com/image/133686805/?terms=STUDENT%2BSHOT</v>
      </c>
      <c r="L2251" s="5"/>
      <c r="M2251" s="5"/>
      <c r="N2251" s="5">
        <f ca="1">IFERROR(__xludf.DUMMYFUNCTION("""COMPUTED_VALUE"""),2)</f>
        <v>2</v>
      </c>
      <c r="O2251" s="5" t="str">
        <f ca="1">IFERROR(__xludf.DUMMYFUNCTION("""COMPUTED_VALUE"""),"Winter")</f>
        <v>Winter</v>
      </c>
      <c r="P2251" s="5" t="str">
        <f ca="1">IFERROR(__xludf.DUMMYFUNCTION("""COMPUTED_VALUE"""),"Statesville")</f>
        <v>Statesville</v>
      </c>
      <c r="Q2251" s="5" t="str">
        <f ca="1">IFERROR(__xludf.DUMMYFUNCTION("""COMPUTED_VALUE"""),"NC")</f>
        <v>NC</v>
      </c>
      <c r="R2251" s="5" t="str">
        <f ca="1">IFERROR(__xludf.DUMMYFUNCTION("""COMPUTED_VALUE"""),"High")</f>
        <v>High</v>
      </c>
      <c r="S2251" s="5" t="str">
        <f ca="1">IFERROR(__xludf.DUMMYFUNCTION("""COMPUTED_VALUE"""),"Basketball Court")</f>
        <v>Basketball Court</v>
      </c>
      <c r="T2251" s="5" t="str">
        <f ca="1">IFERROR(__xludf.DUMMYFUNCTION("""COMPUTED_VALUE"""),"Outside on School Property")</f>
        <v>Outside on School Property</v>
      </c>
      <c r="U2251" s="5" t="str">
        <f ca="1">IFERROR(__xludf.DUMMYFUNCTION("""COMPUTED_VALUE"""),"No")</f>
        <v>No</v>
      </c>
      <c r="V2251" s="5" t="str">
        <f ca="1">IFERROR(__xludf.DUMMYFUNCTION("""COMPUTED_VALUE"""),"Sport Event")</f>
        <v>Sport Event</v>
      </c>
      <c r="W2251" s="5"/>
      <c r="X2251" s="5"/>
      <c r="Y2251" s="5" t="str">
        <f ca="1">IFERROR(__xludf.DUMMYFUNCTION("""COMPUTED_VALUE"""),"Racial tension between black and white students escalated into shooting.")</f>
        <v>Racial tension between black and white students escalated into shooting.</v>
      </c>
      <c r="Z2251" s="5" t="str">
        <f ca="1">IFERROR(__xludf.DUMMYFUNCTION("""COMPUTED_VALUE"""),"Black student walked up to 4 white students after basketball game and shot them at close range. Unknown suspect")</f>
        <v>Black student walked up to 4 white students after basketball game and shot them at close range. Unknown suspect</v>
      </c>
      <c r="AA2251" s="5" t="str">
        <f ca="1">IFERROR(__xludf.DUMMYFUNCTION("""COMPUTED_VALUE"""),"Racial")</f>
        <v>Racial</v>
      </c>
      <c r="AB2251" s="5" t="str">
        <f ca="1">IFERROR(__xludf.DUMMYFUNCTION("""COMPUTED_VALUE"""),"Victims Targeted")</f>
        <v>Victims Targeted</v>
      </c>
      <c r="AC2251" s="5" t="str">
        <f ca="1">IFERROR(__xludf.DUMMYFUNCTION("""COMPUTED_VALUE"""),"No")</f>
        <v>No</v>
      </c>
      <c r="AD2251" s="5" t="str">
        <f ca="1">IFERROR(__xludf.DUMMYFUNCTION("""COMPUTED_VALUE"""),"No")</f>
        <v>No</v>
      </c>
      <c r="AE2251" s="5" t="str">
        <f ca="1">IFERROR(__xludf.DUMMYFUNCTION("""COMPUTED_VALUE"""),"No")</f>
        <v>No</v>
      </c>
      <c r="AF2251" s="5" t="str">
        <f ca="1">IFERROR(__xludf.DUMMYFUNCTION("""COMPUTED_VALUE"""),"No")</f>
        <v>No</v>
      </c>
      <c r="AG2251" s="5" t="str">
        <f ca="1">IFERROR(__xludf.DUMMYFUNCTION("""COMPUTED_VALUE"""),"No")</f>
        <v>No</v>
      </c>
      <c r="AH2251" s="5" t="str">
        <f ca="1">IFERROR(__xludf.DUMMYFUNCTION("""COMPUTED_VALUE"""),"No")</f>
        <v>No</v>
      </c>
      <c r="AI2251" s="5" t="str">
        <f ca="1">IFERROR(__xludf.DUMMYFUNCTION("""COMPUTED_VALUE"""),"No")</f>
        <v>No</v>
      </c>
      <c r="AJ2251" s="5"/>
    </row>
    <row r="2252" spans="1:36" ht="13">
      <c r="A2252" s="5" t="str">
        <f ca="1">IFERROR(__xludf.DUMMYFUNCTION("""COMPUTED_VALUE"""),"19721129FLMIM")</f>
        <v>19721129FLMIM</v>
      </c>
      <c r="B2252" s="5">
        <f ca="1">IFERROR(__xludf.DUMMYFUNCTION("""COMPUTED_VALUE"""),11)</f>
        <v>11</v>
      </c>
      <c r="C2252" s="5">
        <f ca="1">IFERROR(__xludf.DUMMYFUNCTION("""COMPUTED_VALUE"""),29)</f>
        <v>29</v>
      </c>
      <c r="D2252" s="5">
        <f ca="1">IFERROR(__xludf.DUMMYFUNCTION("""COMPUTED_VALUE"""),1972)</f>
        <v>1972</v>
      </c>
      <c r="E2252" s="8">
        <f ca="1">IFERROR(__xludf.DUMMYFUNCTION("""COMPUTED_VALUE"""),26632)</f>
        <v>26632</v>
      </c>
      <c r="F2252" s="5" t="str">
        <f ca="1">IFERROR(__xludf.DUMMYFUNCTION("""COMPUTED_VALUE"""),"Miami Northwest High School")</f>
        <v>Miami Northwest High School</v>
      </c>
      <c r="G2252" s="5">
        <f ca="1">IFERROR(__xludf.DUMMYFUNCTION("""COMPUTED_VALUE"""),0)</f>
        <v>0</v>
      </c>
      <c r="H2252" s="5">
        <f ca="1">IFERROR(__xludf.DUMMYFUNCTION("""COMPUTED_VALUE"""),1)</f>
        <v>1</v>
      </c>
      <c r="I2252" s="5">
        <f ca="1">IFERROR(__xludf.DUMMYFUNCTION("""COMPUTED_VALUE"""),1)</f>
        <v>1</v>
      </c>
      <c r="J2252" s="5">
        <f ca="1">IFERROR(__xludf.DUMMYFUNCTION("""COMPUTED_VALUE"""),0)</f>
        <v>0</v>
      </c>
      <c r="K2252" s="9" t="str">
        <f ca="1">IFERROR(__xludf.DUMMYFUNCTION("""COMPUTED_VALUE"""),"https://www.newspapers.com/image/125303713/?terms=school%2Bshooting")</f>
        <v>https://www.newspapers.com/image/125303713/?terms=school%2Bshooting</v>
      </c>
      <c r="L2252" s="5"/>
      <c r="M2252" s="5"/>
      <c r="N2252" s="5">
        <f ca="1">IFERROR(__xludf.DUMMYFUNCTION("""COMPUTED_VALUE"""),2)</f>
        <v>2</v>
      </c>
      <c r="O2252" s="5" t="str">
        <f ca="1">IFERROR(__xludf.DUMMYFUNCTION("""COMPUTED_VALUE"""),"Fall")</f>
        <v>Fall</v>
      </c>
      <c r="P2252" s="5" t="str">
        <f ca="1">IFERROR(__xludf.DUMMYFUNCTION("""COMPUTED_VALUE"""),"Miami")</f>
        <v>Miami</v>
      </c>
      <c r="Q2252" s="5" t="str">
        <f ca="1">IFERROR(__xludf.DUMMYFUNCTION("""COMPUTED_VALUE"""),"FL")</f>
        <v>FL</v>
      </c>
      <c r="R2252" s="5" t="str">
        <f ca="1">IFERROR(__xludf.DUMMYFUNCTION("""COMPUTED_VALUE"""),"High")</f>
        <v>High</v>
      </c>
      <c r="S2252" s="5" t="str">
        <f ca="1">IFERROR(__xludf.DUMMYFUNCTION("""COMPUTED_VALUE"""),"Off School Property")</f>
        <v>Off School Property</v>
      </c>
      <c r="T2252" s="5" t="str">
        <f ca="1">IFERROR(__xludf.DUMMYFUNCTION("""COMPUTED_VALUE"""),"Off School Property")</f>
        <v>Off School Property</v>
      </c>
      <c r="U2252" s="5" t="str">
        <f ca="1">IFERROR(__xludf.DUMMYFUNCTION("""COMPUTED_VALUE"""),"Yes")</f>
        <v>Yes</v>
      </c>
      <c r="V2252" s="5"/>
      <c r="W2252" s="5"/>
      <c r="X2252" s="5">
        <f ca="1">IFERROR(__xludf.DUMMYFUNCTION("""COMPUTED_VALUE"""),1)</f>
        <v>1</v>
      </c>
      <c r="Y2252" s="5" t="str">
        <f ca="1">IFERROR(__xludf.DUMMYFUNCTION("""COMPUTED_VALUE"""),"Dispute over hair comb escalated into shooting")</f>
        <v>Dispute over hair comb escalated into shooting</v>
      </c>
      <c r="Z2252" s="5" t="str">
        <f ca="1">IFERROR(__xludf.DUMMYFUNCTION("""COMPUTED_VALUE"""),"Dispute over hair comb escalated into shooting of 17 year-old male student outside of school.")</f>
        <v>Dispute over hair comb escalated into shooting of 17 year-old male student outside of school.</v>
      </c>
      <c r="AA2252" s="5" t="str">
        <f ca="1">IFERROR(__xludf.DUMMYFUNCTION("""COMPUTED_VALUE"""),"Escalation of Dispute")</f>
        <v>Escalation of Dispute</v>
      </c>
      <c r="AB2252" s="5"/>
      <c r="AC2252" s="5" t="str">
        <f ca="1">IFERROR(__xludf.DUMMYFUNCTION("""COMPUTED_VALUE"""),"No")</f>
        <v>No</v>
      </c>
      <c r="AD2252" s="5" t="str">
        <f ca="1">IFERROR(__xludf.DUMMYFUNCTION("""COMPUTED_VALUE"""),"No")</f>
        <v>No</v>
      </c>
      <c r="AE2252" s="5" t="str">
        <f ca="1">IFERROR(__xludf.DUMMYFUNCTION("""COMPUTED_VALUE"""),"No")</f>
        <v>No</v>
      </c>
      <c r="AF2252" s="5" t="str">
        <f ca="1">IFERROR(__xludf.DUMMYFUNCTION("""COMPUTED_VALUE"""),"No")</f>
        <v>No</v>
      </c>
      <c r="AG2252" s="5" t="str">
        <f ca="1">IFERROR(__xludf.DUMMYFUNCTION("""COMPUTED_VALUE"""),"No")</f>
        <v>No</v>
      </c>
      <c r="AH2252" s="5" t="str">
        <f ca="1">IFERROR(__xludf.DUMMYFUNCTION("""COMPUTED_VALUE"""),"No")</f>
        <v>No</v>
      </c>
      <c r="AI2252" s="5" t="str">
        <f ca="1">IFERROR(__xludf.DUMMYFUNCTION("""COMPUTED_VALUE"""),"No")</f>
        <v>No</v>
      </c>
      <c r="AJ2252" s="5"/>
    </row>
    <row r="2253" spans="1:36" ht="13">
      <c r="A2253" s="5" t="str">
        <f ca="1">IFERROR(__xludf.DUMMYFUNCTION("""COMPUTED_VALUE"""),"19721127MIPOP")</f>
        <v>19721127MIPOP</v>
      </c>
      <c r="B2253" s="5">
        <f ca="1">IFERROR(__xludf.DUMMYFUNCTION("""COMPUTED_VALUE"""),11)</f>
        <v>11</v>
      </c>
      <c r="C2253" s="5">
        <f ca="1">IFERROR(__xludf.DUMMYFUNCTION("""COMPUTED_VALUE"""),27)</f>
        <v>27</v>
      </c>
      <c r="D2253" s="5">
        <f ca="1">IFERROR(__xludf.DUMMYFUNCTION("""COMPUTED_VALUE"""),1972)</f>
        <v>1972</v>
      </c>
      <c r="E2253" s="8">
        <f ca="1">IFERROR(__xludf.DUMMYFUNCTION("""COMPUTED_VALUE"""),26630)</f>
        <v>26630</v>
      </c>
      <c r="F2253" s="5" t="str">
        <f ca="1">IFERROR(__xludf.DUMMYFUNCTION("""COMPUTED_VALUE"""),"Pontiac Central High School")</f>
        <v>Pontiac Central High School</v>
      </c>
      <c r="G2253" s="5">
        <f ca="1">IFERROR(__xludf.DUMMYFUNCTION("""COMPUTED_VALUE"""),0)</f>
        <v>0</v>
      </c>
      <c r="H2253" s="5">
        <f ca="1">IFERROR(__xludf.DUMMYFUNCTION("""COMPUTED_VALUE"""),5)</f>
        <v>5</v>
      </c>
      <c r="I2253" s="5">
        <f ca="1">IFERROR(__xludf.DUMMYFUNCTION("""COMPUTED_VALUE"""),5)</f>
        <v>5</v>
      </c>
      <c r="J2253" s="5">
        <f ca="1">IFERROR(__xludf.DUMMYFUNCTION("""COMPUTED_VALUE"""),0)</f>
        <v>0</v>
      </c>
      <c r="K2253" s="9" t="str">
        <f ca="1">IFERROR(__xludf.DUMMYFUNCTION("""COMPUTED_VALUE"""),"https://www.newspapers.com/image/208385082/?terms=boy+who+shot+students+may+have+stopped+riots")</f>
        <v>https://www.newspapers.com/image/208385082/?terms=boy+who+shot+students+may+have+stopped+riots</v>
      </c>
      <c r="L2253" s="5"/>
      <c r="M2253" s="5"/>
      <c r="N2253" s="5">
        <f ca="1">IFERROR(__xludf.DUMMYFUNCTION("""COMPUTED_VALUE"""),2)</f>
        <v>2</v>
      </c>
      <c r="O2253" s="5" t="str">
        <f ca="1">IFERROR(__xludf.DUMMYFUNCTION("""COMPUTED_VALUE"""),"Fall")</f>
        <v>Fall</v>
      </c>
      <c r="P2253" s="5" t="str">
        <f ca="1">IFERROR(__xludf.DUMMYFUNCTION("""COMPUTED_VALUE"""),"Pontiac")</f>
        <v>Pontiac</v>
      </c>
      <c r="Q2253" s="5" t="str">
        <f ca="1">IFERROR(__xludf.DUMMYFUNCTION("""COMPUTED_VALUE"""),"MI")</f>
        <v>MI</v>
      </c>
      <c r="R2253" s="5" t="str">
        <f ca="1">IFERROR(__xludf.DUMMYFUNCTION("""COMPUTED_VALUE"""),"High")</f>
        <v>High</v>
      </c>
      <c r="S2253" s="5" t="str">
        <f ca="1">IFERROR(__xludf.DUMMYFUNCTION("""COMPUTED_VALUE"""),"Outside on School Property")</f>
        <v>Outside on School Property</v>
      </c>
      <c r="T2253" s="5" t="str">
        <f ca="1">IFERROR(__xludf.DUMMYFUNCTION("""COMPUTED_VALUE"""),"Outside on School Property")</f>
        <v>Outside on School Property</v>
      </c>
      <c r="U2253" s="5" t="str">
        <f ca="1">IFERROR(__xludf.DUMMYFUNCTION("""COMPUTED_VALUE"""),"Yes")</f>
        <v>Yes</v>
      </c>
      <c r="V2253" s="5"/>
      <c r="W2253" s="5"/>
      <c r="X2253" s="5"/>
      <c r="Y2253" s="5" t="str">
        <f ca="1">IFERROR(__xludf.DUMMYFUNCTION("""COMPUTED_VALUE"""),"Shooting was a possible lead up to starting a race riot.")</f>
        <v>Shooting was a possible lead up to starting a race riot.</v>
      </c>
      <c r="Z2253" s="5" t="str">
        <f ca="1">IFERROR(__xludf.DUMMYFUNCTION("""COMPUTED_VALUE"""),"Possible attempt to start a race riot, however, after shooting, no riot started. Several boys were questioned and one remained in custody as the shooter.")</f>
        <v>Possible attempt to start a race riot, however, after shooting, no riot started. Several boys were questioned and one remained in custody as the shooter.</v>
      </c>
      <c r="AA2253" s="5" t="str">
        <f ca="1">IFERROR(__xludf.DUMMYFUNCTION("""COMPUTED_VALUE"""),"Racial")</f>
        <v>Racial</v>
      </c>
      <c r="AB2253" s="5" t="str">
        <f ca="1">IFERROR(__xludf.DUMMYFUNCTION("""COMPUTED_VALUE"""),"Victims Targeted")</f>
        <v>Victims Targeted</v>
      </c>
      <c r="AC2253" s="5" t="str">
        <f ca="1">IFERROR(__xludf.DUMMYFUNCTION("""COMPUTED_VALUE"""),"No")</f>
        <v>No</v>
      </c>
      <c r="AD2253" s="5" t="str">
        <f ca="1">IFERROR(__xludf.DUMMYFUNCTION("""COMPUTED_VALUE"""),"No")</f>
        <v>No</v>
      </c>
      <c r="AE2253" s="5" t="str">
        <f ca="1">IFERROR(__xludf.DUMMYFUNCTION("""COMPUTED_VALUE"""),"No")</f>
        <v>No</v>
      </c>
      <c r="AF2253" s="5" t="str">
        <f ca="1">IFERROR(__xludf.DUMMYFUNCTION("""COMPUTED_VALUE"""),"No")</f>
        <v>No</v>
      </c>
      <c r="AG2253" s="5" t="str">
        <f ca="1">IFERROR(__xludf.DUMMYFUNCTION("""COMPUTED_VALUE"""),"No")</f>
        <v>No</v>
      </c>
      <c r="AH2253" s="5" t="str">
        <f ca="1">IFERROR(__xludf.DUMMYFUNCTION("""COMPUTED_VALUE"""),"No")</f>
        <v>No</v>
      </c>
      <c r="AI2253" s="5" t="str">
        <f ca="1">IFERROR(__xludf.DUMMYFUNCTION("""COMPUTED_VALUE"""),"No")</f>
        <v>No</v>
      </c>
      <c r="AJ2253" s="5"/>
    </row>
    <row r="2254" spans="1:36" ht="13">
      <c r="A2254" s="5" t="str">
        <f ca="1">IFERROR(__xludf.DUMMYFUNCTION("""COMPUTED_VALUE"""),"19721111CAJEL")</f>
        <v>19721111CAJEL</v>
      </c>
      <c r="B2254" s="5">
        <f ca="1">IFERROR(__xludf.DUMMYFUNCTION("""COMPUTED_VALUE"""),11)</f>
        <v>11</v>
      </c>
      <c r="C2254" s="5">
        <f ca="1">IFERROR(__xludf.DUMMYFUNCTION("""COMPUTED_VALUE"""),11)</f>
        <v>11</v>
      </c>
      <c r="D2254" s="5">
        <f ca="1">IFERROR(__xludf.DUMMYFUNCTION("""COMPUTED_VALUE"""),1972)</f>
        <v>1972</v>
      </c>
      <c r="E2254" s="8">
        <f ca="1">IFERROR(__xludf.DUMMYFUNCTION("""COMPUTED_VALUE"""),26614)</f>
        <v>26614</v>
      </c>
      <c r="F2254" s="5" t="str">
        <f ca="1">IFERROR(__xludf.DUMMYFUNCTION("""COMPUTED_VALUE"""),"Jefferson High School")</f>
        <v>Jefferson High School</v>
      </c>
      <c r="G2254" s="5">
        <f ca="1">IFERROR(__xludf.DUMMYFUNCTION("""COMPUTED_VALUE"""),0)</f>
        <v>0</v>
      </c>
      <c r="H2254" s="5">
        <f ca="1">IFERROR(__xludf.DUMMYFUNCTION("""COMPUTED_VALUE"""),5)</f>
        <v>5</v>
      </c>
      <c r="I2254" s="5">
        <f ca="1">IFERROR(__xludf.DUMMYFUNCTION("""COMPUTED_VALUE"""),5)</f>
        <v>5</v>
      </c>
      <c r="J2254" s="5">
        <f ca="1">IFERROR(__xludf.DUMMYFUNCTION("""COMPUTED_VALUE"""),0)</f>
        <v>0</v>
      </c>
      <c r="K2254" s="9" t="str">
        <f ca="1">IFERROR(__xludf.DUMMYFUNCTION("""COMPUTED_VALUE"""),"https://www.newspapers.com/image/271348834/?terms=school%2Bshooting")</f>
        <v>https://www.newspapers.com/image/271348834/?terms=school%2Bshooting</v>
      </c>
      <c r="L2254" s="5"/>
      <c r="M2254" s="5"/>
      <c r="N2254" s="5">
        <f ca="1">IFERROR(__xludf.DUMMYFUNCTION("""COMPUTED_VALUE"""),2)</f>
        <v>2</v>
      </c>
      <c r="O2254" s="5" t="str">
        <f ca="1">IFERROR(__xludf.DUMMYFUNCTION("""COMPUTED_VALUE"""),"Fall")</f>
        <v>Fall</v>
      </c>
      <c r="P2254" s="5" t="str">
        <f ca="1">IFERROR(__xludf.DUMMYFUNCTION("""COMPUTED_VALUE"""),"Los Angeles")</f>
        <v>Los Angeles</v>
      </c>
      <c r="Q2254" s="5" t="str">
        <f ca="1">IFERROR(__xludf.DUMMYFUNCTION("""COMPUTED_VALUE"""),"CA")</f>
        <v>CA</v>
      </c>
      <c r="R2254" s="5" t="str">
        <f ca="1">IFERROR(__xludf.DUMMYFUNCTION("""COMPUTED_VALUE"""),"High")</f>
        <v>High</v>
      </c>
      <c r="S2254" s="5" t="str">
        <f ca="1">IFERROR(__xludf.DUMMYFUNCTION("""COMPUTED_VALUE"""),"Football Field/Track")</f>
        <v>Football Field/Track</v>
      </c>
      <c r="T2254" s="5" t="str">
        <f ca="1">IFERROR(__xludf.DUMMYFUNCTION("""COMPUTED_VALUE"""),"Outside on School Property")</f>
        <v>Outside on School Property</v>
      </c>
      <c r="U2254" s="5" t="str">
        <f ca="1">IFERROR(__xludf.DUMMYFUNCTION("""COMPUTED_VALUE"""),"No")</f>
        <v>No</v>
      </c>
      <c r="V2254" s="5" t="str">
        <f ca="1">IFERROR(__xludf.DUMMYFUNCTION("""COMPUTED_VALUE"""),"School Event")</f>
        <v>School Event</v>
      </c>
      <c r="W2254" s="5"/>
      <c r="X2254" s="5"/>
      <c r="Y2254" s="5" t="str">
        <f ca="1">IFERROR(__xludf.DUMMYFUNCTION("""COMPUTED_VALUE"""),"Gang related shooting at homecoming parade")</f>
        <v>Gang related shooting at homecoming parade</v>
      </c>
      <c r="Z2254" s="5" t="str">
        <f ca="1">IFERROR(__xludf.DUMMYFUNCTION("""COMPUTED_VALUE"""),"Gang members fired at other gang members aboard a homecoming float during homecoming parade injuring 5 students. The homecoming football game was cancelled as a result. Shooting was a retaliation for a previous attack.")</f>
        <v>Gang members fired at other gang members aboard a homecoming float during homecoming parade injuring 5 students. The homecoming football game was cancelled as a result. Shooting was a retaliation for a previous attack.</v>
      </c>
      <c r="AA2254" s="5" t="str">
        <f ca="1">IFERROR(__xludf.DUMMYFUNCTION("""COMPUTED_VALUE"""),"Escalation of Dispute")</f>
        <v>Escalation of Dispute</v>
      </c>
      <c r="AB2254" s="5" t="str">
        <f ca="1">IFERROR(__xludf.DUMMYFUNCTION("""COMPUTED_VALUE"""),"Both")</f>
        <v>Both</v>
      </c>
      <c r="AC2254" s="5" t="str">
        <f ca="1">IFERROR(__xludf.DUMMYFUNCTION("""COMPUTED_VALUE"""),"Yes")</f>
        <v>Yes</v>
      </c>
      <c r="AD2254" s="5" t="str">
        <f ca="1">IFERROR(__xludf.DUMMYFUNCTION("""COMPUTED_VALUE"""),"No")</f>
        <v>No</v>
      </c>
      <c r="AE2254" s="5" t="str">
        <f ca="1">IFERROR(__xludf.DUMMYFUNCTION("""COMPUTED_VALUE"""),"No")</f>
        <v>No</v>
      </c>
      <c r="AF2254" s="5" t="str">
        <f ca="1">IFERROR(__xludf.DUMMYFUNCTION("""COMPUTED_VALUE"""),"No")</f>
        <v>No</v>
      </c>
      <c r="AG2254" s="5" t="str">
        <f ca="1">IFERROR(__xludf.DUMMYFUNCTION("""COMPUTED_VALUE"""),"No")</f>
        <v>No</v>
      </c>
      <c r="AH2254" s="5" t="str">
        <f ca="1">IFERROR(__xludf.DUMMYFUNCTION("""COMPUTED_VALUE"""),"No")</f>
        <v>No</v>
      </c>
      <c r="AI2254" s="5" t="str">
        <f ca="1">IFERROR(__xludf.DUMMYFUNCTION("""COMPUTED_VALUE"""),"Yes")</f>
        <v>Yes</v>
      </c>
      <c r="AJ2254" s="5"/>
    </row>
    <row r="2255" spans="1:36" ht="13">
      <c r="A2255" s="5" t="str">
        <f ca="1">IFERROR(__xludf.DUMMYFUNCTION("""COMPUTED_VALUE"""),"19720921OHTHA")</f>
        <v>19720921OHTHA</v>
      </c>
      <c r="B2255" s="5">
        <f ca="1">IFERROR(__xludf.DUMMYFUNCTION("""COMPUTED_VALUE"""),9)</f>
        <v>9</v>
      </c>
      <c r="C2255" s="5">
        <f ca="1">IFERROR(__xludf.DUMMYFUNCTION("""COMPUTED_VALUE"""),21)</f>
        <v>21</v>
      </c>
      <c r="D2255" s="5">
        <f ca="1">IFERROR(__xludf.DUMMYFUNCTION("""COMPUTED_VALUE"""),1972)</f>
        <v>1972</v>
      </c>
      <c r="E2255" s="8">
        <f ca="1">IFERROR(__xludf.DUMMYFUNCTION("""COMPUTED_VALUE"""),26563)</f>
        <v>26563</v>
      </c>
      <c r="F2255" s="5" t="str">
        <f ca="1">IFERROR(__xludf.DUMMYFUNCTION("""COMPUTED_VALUE"""),"Thorton Junior High")</f>
        <v>Thorton Junior High</v>
      </c>
      <c r="G2255" s="5">
        <f ca="1">IFERROR(__xludf.DUMMYFUNCTION("""COMPUTED_VALUE"""),0)</f>
        <v>0</v>
      </c>
      <c r="H2255" s="5">
        <f ca="1">IFERROR(__xludf.DUMMYFUNCTION("""COMPUTED_VALUE"""),1)</f>
        <v>1</v>
      </c>
      <c r="I2255" s="5">
        <f ca="1">IFERROR(__xludf.DUMMYFUNCTION("""COMPUTED_VALUE"""),1)</f>
        <v>1</v>
      </c>
      <c r="J2255" s="5">
        <f ca="1">IFERROR(__xludf.DUMMYFUNCTION("""COMPUTED_VALUE"""),0)</f>
        <v>0</v>
      </c>
      <c r="K2255" s="9" t="str">
        <f ca="1">IFERROR(__xludf.DUMMYFUNCTION("""COMPUTED_VALUE"""),"https://www.newspapers.com/image/294173364/?terms=teacher%2Bshot%2Band%2Bbeaten")</f>
        <v>https://www.newspapers.com/image/294173364/?terms=teacher%2Bshot%2Band%2Bbeaten</v>
      </c>
      <c r="L2255" s="5"/>
      <c r="M2255" s="5"/>
      <c r="N2255" s="5">
        <f ca="1">IFERROR(__xludf.DUMMYFUNCTION("""COMPUTED_VALUE"""),2)</f>
        <v>2</v>
      </c>
      <c r="O2255" s="5" t="str">
        <f ca="1">IFERROR(__xludf.DUMMYFUNCTION("""COMPUTED_VALUE"""),"Fall")</f>
        <v>Fall</v>
      </c>
      <c r="P2255" s="5" t="str">
        <f ca="1">IFERROR(__xludf.DUMMYFUNCTION("""COMPUTED_VALUE"""),"Akron")</f>
        <v>Akron</v>
      </c>
      <c r="Q2255" s="5" t="str">
        <f ca="1">IFERROR(__xludf.DUMMYFUNCTION("""COMPUTED_VALUE"""),"OH")</f>
        <v>OH</v>
      </c>
      <c r="R2255" s="5" t="str">
        <f ca="1">IFERROR(__xludf.DUMMYFUNCTION("""COMPUTED_VALUE"""),"Junior High")</f>
        <v>Junior High</v>
      </c>
      <c r="S2255" s="5" t="str">
        <f ca="1">IFERROR(__xludf.DUMMYFUNCTION("""COMPUTED_VALUE"""),"Classroom")</f>
        <v>Classroom</v>
      </c>
      <c r="T2255" s="5" t="str">
        <f ca="1">IFERROR(__xludf.DUMMYFUNCTION("""COMPUTED_VALUE"""),"Inside School Building")</f>
        <v>Inside School Building</v>
      </c>
      <c r="U2255" s="5" t="str">
        <f ca="1">IFERROR(__xludf.DUMMYFUNCTION("""COMPUTED_VALUE"""),"Yes")</f>
        <v>Yes</v>
      </c>
      <c r="V2255" s="5" t="str">
        <f ca="1">IFERROR(__xludf.DUMMYFUNCTION("""COMPUTED_VALUE"""),"Dismissal")</f>
        <v>Dismissal</v>
      </c>
      <c r="W2255" s="5"/>
      <c r="X2255" s="5">
        <f ca="1">IFERROR(__xludf.DUMMYFUNCTION("""COMPUTED_VALUE"""),1)</f>
        <v>1</v>
      </c>
      <c r="Y2255" s="5" t="str">
        <f ca="1">IFERROR(__xludf.DUMMYFUNCTION("""COMPUTED_VALUE"""),"Shooter attempted to rob teacher in classroom. Teacher fought back and was shot.")</f>
        <v>Shooter attempted to rob teacher in classroom. Teacher fought back and was shot.</v>
      </c>
      <c r="Z2255" s="5" t="str">
        <f ca="1">IFERROR(__xludf.DUMMYFUNCTION("""COMPUTED_VALUE"""),"Suspect entered victim's classroom shortly after class ended and demanded money - shooter hit victim in head with revolver - victim struggled with shooter and gun went off striking victim in arm - suspect fled and later caught")</f>
        <v>Suspect entered victim's classroom shortly after class ended and demanded money - shooter hit victim in head with revolver - victim struggled with shooter and gun went off striking victim in arm - suspect fled and later caught</v>
      </c>
      <c r="AA2255" s="5" t="str">
        <f ca="1">IFERROR(__xludf.DUMMYFUNCTION("""COMPUTED_VALUE"""),"Illegal Activity")</f>
        <v>Illegal Activity</v>
      </c>
      <c r="AB2255" s="5" t="str">
        <f ca="1">IFERROR(__xludf.DUMMYFUNCTION("""COMPUTED_VALUE"""),"Victims Targeted")</f>
        <v>Victims Targeted</v>
      </c>
      <c r="AC2255" s="5" t="str">
        <f ca="1">IFERROR(__xludf.DUMMYFUNCTION("""COMPUTED_VALUE"""),"No")</f>
        <v>No</v>
      </c>
      <c r="AD2255" s="5" t="str">
        <f ca="1">IFERROR(__xludf.DUMMYFUNCTION("""COMPUTED_VALUE"""),"No")</f>
        <v>No</v>
      </c>
      <c r="AE2255" s="5" t="str">
        <f ca="1">IFERROR(__xludf.DUMMYFUNCTION("""COMPUTED_VALUE"""),"No")</f>
        <v>No</v>
      </c>
      <c r="AF2255" s="5" t="str">
        <f ca="1">IFERROR(__xludf.DUMMYFUNCTION("""COMPUTED_VALUE"""),"No")</f>
        <v>No</v>
      </c>
      <c r="AG2255" s="5" t="str">
        <f ca="1">IFERROR(__xludf.DUMMYFUNCTION("""COMPUTED_VALUE"""),"No")</f>
        <v>No</v>
      </c>
      <c r="AH2255" s="5" t="str">
        <f ca="1">IFERROR(__xludf.DUMMYFUNCTION("""COMPUTED_VALUE"""),"No")</f>
        <v>No</v>
      </c>
      <c r="AI2255" s="5" t="str">
        <f ca="1">IFERROR(__xludf.DUMMYFUNCTION("""COMPUTED_VALUE"""),"No")</f>
        <v>No</v>
      </c>
      <c r="AJ2255" s="5"/>
    </row>
    <row r="2256" spans="1:36" ht="13">
      <c r="A2256" s="5" t="str">
        <f ca="1">IFERROR(__xludf.DUMMYFUNCTION("""COMPUTED_VALUE"""),"19720919TXCUH")</f>
        <v>19720919TXCUH</v>
      </c>
      <c r="B2256" s="5">
        <f ca="1">IFERROR(__xludf.DUMMYFUNCTION("""COMPUTED_VALUE"""),9)</f>
        <v>9</v>
      </c>
      <c r="C2256" s="5">
        <f ca="1">IFERROR(__xludf.DUMMYFUNCTION("""COMPUTED_VALUE"""),19)</f>
        <v>19</v>
      </c>
      <c r="D2256" s="5">
        <f ca="1">IFERROR(__xludf.DUMMYFUNCTION("""COMPUTED_VALUE"""),1972)</f>
        <v>1972</v>
      </c>
      <c r="E2256" s="8">
        <f ca="1">IFERROR(__xludf.DUMMYFUNCTION("""COMPUTED_VALUE"""),26561)</f>
        <v>26561</v>
      </c>
      <c r="F2256" s="5" t="str">
        <f ca="1">IFERROR(__xludf.DUMMYFUNCTION("""COMPUTED_VALUE"""),"Cullen Junior High")</f>
        <v>Cullen Junior High</v>
      </c>
      <c r="G2256" s="5">
        <f ca="1">IFERROR(__xludf.DUMMYFUNCTION("""COMPUTED_VALUE"""),0)</f>
        <v>0</v>
      </c>
      <c r="H2256" s="5">
        <f ca="1">IFERROR(__xludf.DUMMYFUNCTION("""COMPUTED_VALUE"""),1)</f>
        <v>1</v>
      </c>
      <c r="I2256" s="5">
        <f ca="1">IFERROR(__xludf.DUMMYFUNCTION("""COMPUTED_VALUE"""),1)</f>
        <v>1</v>
      </c>
      <c r="J2256" s="5">
        <f ca="1">IFERROR(__xludf.DUMMYFUNCTION("""COMPUTED_VALUE"""),0)</f>
        <v>0</v>
      </c>
      <c r="K2256" s="5" t="str">
        <f ca="1">IFERROR(__xludf.DUMMYFUNCTION("""COMPUTED_VALUE"""),"https://www.newspapers.com/image/298280991/?terms=teacher%2Bshot%2Bhouston; https://www.newspapers.com/image/434524390/?terms=seguin%2Bman%2Bfaces%2Bcharges%2Bin%2Bshooting")</f>
        <v>https://www.newspapers.com/image/298280991/?terms=teacher%2Bshot%2Bhouston; https://www.newspapers.com/image/434524390/?terms=seguin%2Bman%2Bfaces%2Bcharges%2Bin%2Bshooting</v>
      </c>
      <c r="L2256" s="5"/>
      <c r="M2256" s="5"/>
      <c r="N2256" s="5">
        <f ca="1">IFERROR(__xludf.DUMMYFUNCTION("""COMPUTED_VALUE"""),3)</f>
        <v>3</v>
      </c>
      <c r="O2256" s="5" t="str">
        <f ca="1">IFERROR(__xludf.DUMMYFUNCTION("""COMPUTED_VALUE"""),"Fall")</f>
        <v>Fall</v>
      </c>
      <c r="P2256" s="5" t="str">
        <f ca="1">IFERROR(__xludf.DUMMYFUNCTION("""COMPUTED_VALUE"""),"Houston")</f>
        <v>Houston</v>
      </c>
      <c r="Q2256" s="5" t="str">
        <f ca="1">IFERROR(__xludf.DUMMYFUNCTION("""COMPUTED_VALUE"""),"TX")</f>
        <v>TX</v>
      </c>
      <c r="R2256" s="5" t="str">
        <f ca="1">IFERROR(__xludf.DUMMYFUNCTION("""COMPUTED_VALUE"""),"Junior High")</f>
        <v>Junior High</v>
      </c>
      <c r="S2256" s="5" t="str">
        <f ca="1">IFERROR(__xludf.DUMMYFUNCTION("""COMPUTED_VALUE"""),"Inside School Building")</f>
        <v>Inside School Building</v>
      </c>
      <c r="T2256" s="5" t="str">
        <f ca="1">IFERROR(__xludf.DUMMYFUNCTION("""COMPUTED_VALUE"""),"Inside School Building")</f>
        <v>Inside School Building</v>
      </c>
      <c r="U2256" s="5" t="str">
        <f ca="1">IFERROR(__xludf.DUMMYFUNCTION("""COMPUTED_VALUE"""),"No")</f>
        <v>No</v>
      </c>
      <c r="V2256" s="5" t="str">
        <f ca="1">IFERROR(__xludf.DUMMYFUNCTION("""COMPUTED_VALUE"""),"School Start")</f>
        <v>School Start</v>
      </c>
      <c r="W2256" s="5"/>
      <c r="X2256" s="5">
        <f ca="1">IFERROR(__xludf.DUMMYFUNCTION("""COMPUTED_VALUE"""),1)</f>
        <v>1</v>
      </c>
      <c r="Y2256" s="5" t="str">
        <f ca="1">IFERROR(__xludf.DUMMYFUNCTION("""COMPUTED_VALUE"""),"Husband shot wife after his attempts to reconcile marriage failed.")</f>
        <v>Husband shot wife after his attempts to reconcile marriage failed.</v>
      </c>
      <c r="Z2256" s="5" t="str">
        <f ca="1">IFERROR(__xludf.DUMMYFUNCTION("""COMPUTED_VALUE"""),"Husband went to school to try and reconcile with wife. They got into an argument and he shot her 9 times w/.22 caliber.")</f>
        <v>Husband went to school to try and reconcile with wife. They got into an argument and he shot her 9 times w/.22 caliber.</v>
      </c>
      <c r="AA2256" s="5" t="str">
        <f ca="1">IFERROR(__xludf.DUMMYFUNCTION("""COMPUTED_VALUE"""),"Domestic w/ Targeted Victim")</f>
        <v>Domestic w/ Targeted Victim</v>
      </c>
      <c r="AB2256" s="5" t="str">
        <f ca="1">IFERROR(__xludf.DUMMYFUNCTION("""COMPUTED_VALUE"""),"Victims Targeted")</f>
        <v>Victims Targeted</v>
      </c>
      <c r="AC2256" s="5" t="str">
        <f ca="1">IFERROR(__xludf.DUMMYFUNCTION("""COMPUTED_VALUE"""),"No")</f>
        <v>No</v>
      </c>
      <c r="AD2256" s="5" t="str">
        <f ca="1">IFERROR(__xludf.DUMMYFUNCTION("""COMPUTED_VALUE"""),"No")</f>
        <v>No</v>
      </c>
      <c r="AE2256" s="5" t="str">
        <f ca="1">IFERROR(__xludf.DUMMYFUNCTION("""COMPUTED_VALUE"""),"No")</f>
        <v>No</v>
      </c>
      <c r="AF2256" s="5" t="str">
        <f ca="1">IFERROR(__xludf.DUMMYFUNCTION("""COMPUTED_VALUE"""),"No")</f>
        <v>No</v>
      </c>
      <c r="AG2256" s="5" t="str">
        <f ca="1">IFERROR(__xludf.DUMMYFUNCTION("""COMPUTED_VALUE"""),"No")</f>
        <v>No</v>
      </c>
      <c r="AH2256" s="5" t="str">
        <f ca="1">IFERROR(__xludf.DUMMYFUNCTION("""COMPUTED_VALUE"""),"Yes")</f>
        <v>Yes</v>
      </c>
      <c r="AI2256" s="5" t="str">
        <f ca="1">IFERROR(__xludf.DUMMYFUNCTION("""COMPUTED_VALUE"""),"No")</f>
        <v>No</v>
      </c>
      <c r="AJ2256" s="5"/>
    </row>
    <row r="2257" spans="1:36" ht="13">
      <c r="A2257" s="5" t="str">
        <f ca="1">IFERROR(__xludf.DUMMYFUNCTION("""COMPUTED_VALUE"""),"19720915MISAS")</f>
        <v>19720915MISAS</v>
      </c>
      <c r="B2257" s="5">
        <f ca="1">IFERROR(__xludf.DUMMYFUNCTION("""COMPUTED_VALUE"""),9)</f>
        <v>9</v>
      </c>
      <c r="C2257" s="5">
        <f ca="1">IFERROR(__xludf.DUMMYFUNCTION("""COMPUTED_VALUE"""),15)</f>
        <v>15</v>
      </c>
      <c r="D2257" s="5">
        <f ca="1">IFERROR(__xludf.DUMMYFUNCTION("""COMPUTED_VALUE"""),1972)</f>
        <v>1972</v>
      </c>
      <c r="E2257" s="8">
        <f ca="1">IFERROR(__xludf.DUMMYFUNCTION("""COMPUTED_VALUE"""),26557)</f>
        <v>26557</v>
      </c>
      <c r="F2257" s="5" t="str">
        <f ca="1">IFERROR(__xludf.DUMMYFUNCTION("""COMPUTED_VALUE"""),"Saginaw High School")</f>
        <v>Saginaw High School</v>
      </c>
      <c r="G2257" s="5">
        <f ca="1">IFERROR(__xludf.DUMMYFUNCTION("""COMPUTED_VALUE"""),0)</f>
        <v>0</v>
      </c>
      <c r="H2257" s="5">
        <f ca="1">IFERROR(__xludf.DUMMYFUNCTION("""COMPUTED_VALUE"""),2)</f>
        <v>2</v>
      </c>
      <c r="I2257" s="5">
        <f ca="1">IFERROR(__xludf.DUMMYFUNCTION("""COMPUTED_VALUE"""),2)</f>
        <v>2</v>
      </c>
      <c r="J2257" s="5">
        <f ca="1">IFERROR(__xludf.DUMMYFUNCTION("""COMPUTED_VALUE"""),0)</f>
        <v>0</v>
      </c>
      <c r="K2257" s="9" t="str">
        <f ca="1">IFERROR(__xludf.DUMMYFUNCTION("""COMPUTED_VALUE"""),"https://www.newspapers.com/image/205331514/?terms=school%2Bshooting")</f>
        <v>https://www.newspapers.com/image/205331514/?terms=school%2Bshooting</v>
      </c>
      <c r="L2257" s="5"/>
      <c r="M2257" s="5"/>
      <c r="N2257" s="5">
        <f ca="1">IFERROR(__xludf.DUMMYFUNCTION("""COMPUTED_VALUE"""),2)</f>
        <v>2</v>
      </c>
      <c r="O2257" s="5" t="str">
        <f ca="1">IFERROR(__xludf.DUMMYFUNCTION("""COMPUTED_VALUE"""),"Fall")</f>
        <v>Fall</v>
      </c>
      <c r="P2257" s="5" t="str">
        <f ca="1">IFERROR(__xludf.DUMMYFUNCTION("""COMPUTED_VALUE"""),"Saginaw")</f>
        <v>Saginaw</v>
      </c>
      <c r="Q2257" s="5" t="str">
        <f ca="1">IFERROR(__xludf.DUMMYFUNCTION("""COMPUTED_VALUE"""),"MI")</f>
        <v>MI</v>
      </c>
      <c r="R2257" s="5" t="str">
        <f ca="1">IFERROR(__xludf.DUMMYFUNCTION("""COMPUTED_VALUE"""),"High")</f>
        <v>High</v>
      </c>
      <c r="S2257" s="5" t="str">
        <f ca="1">IFERROR(__xludf.DUMMYFUNCTION("""COMPUTED_VALUE"""),"Hallway")</f>
        <v>Hallway</v>
      </c>
      <c r="T2257" s="5" t="str">
        <f ca="1">IFERROR(__xludf.DUMMYFUNCTION("""COMPUTED_VALUE"""),"Inside School Building")</f>
        <v>Inside School Building</v>
      </c>
      <c r="U2257" s="5" t="str">
        <f ca="1">IFERROR(__xludf.DUMMYFUNCTION("""COMPUTED_VALUE"""),"Yes")</f>
        <v>Yes</v>
      </c>
      <c r="V2257" s="5" t="str">
        <f ca="1">IFERROR(__xludf.DUMMYFUNCTION("""COMPUTED_VALUE"""),"Afternoon Classes")</f>
        <v>Afternoon Classes</v>
      </c>
      <c r="W2257" s="5"/>
      <c r="X2257" s="5">
        <f ca="1">IFERROR(__xludf.DUMMYFUNCTION("""COMPUTED_VALUE"""),1)</f>
        <v>1</v>
      </c>
      <c r="Y2257" s="5" t="str">
        <f ca="1">IFERROR(__xludf.DUMMYFUNCTION("""COMPUTED_VALUE"""),"Shot two students in hallway between classes")</f>
        <v>Shot two students in hallway between classes</v>
      </c>
      <c r="Z2257" s="5" t="str">
        <f ca="1">IFERROR(__xludf.DUMMYFUNCTION("""COMPUTED_VALUE"""),"17 year-old male (Charles Bell) shot two students in the hallway between classes. Shooter fled the scene and turned himself into to police that night.")</f>
        <v>17 year-old male (Charles Bell) shot two students in the hallway between classes. Shooter fled the scene and turned himself into to police that night.</v>
      </c>
      <c r="AA2257" s="5" t="str">
        <f ca="1">IFERROR(__xludf.DUMMYFUNCTION("""COMPUTED_VALUE"""),"Escalation of Dispute")</f>
        <v>Escalation of Dispute</v>
      </c>
      <c r="AB2257" s="5"/>
      <c r="AC2257" s="5" t="str">
        <f ca="1">IFERROR(__xludf.DUMMYFUNCTION("""COMPUTED_VALUE"""),"No")</f>
        <v>No</v>
      </c>
      <c r="AD2257" s="5" t="str">
        <f ca="1">IFERROR(__xludf.DUMMYFUNCTION("""COMPUTED_VALUE"""),"No")</f>
        <v>No</v>
      </c>
      <c r="AE2257" s="5" t="str">
        <f ca="1">IFERROR(__xludf.DUMMYFUNCTION("""COMPUTED_VALUE"""),"No")</f>
        <v>No</v>
      </c>
      <c r="AF2257" s="5" t="str">
        <f ca="1">IFERROR(__xludf.DUMMYFUNCTION("""COMPUTED_VALUE"""),"No")</f>
        <v>No</v>
      </c>
      <c r="AG2257" s="5"/>
      <c r="AH2257" s="5"/>
      <c r="AI2257" s="5"/>
      <c r="AJ2257" s="5"/>
    </row>
    <row r="2258" spans="1:36" ht="13">
      <c r="A2258" s="5" t="str">
        <f ca="1">IFERROR(__xludf.DUMMYFUNCTION("""COMPUTED_VALUE"""),"19720914TXFRH")</f>
        <v>19720914TXFRH</v>
      </c>
      <c r="B2258" s="5">
        <f ca="1">IFERROR(__xludf.DUMMYFUNCTION("""COMPUTED_VALUE"""),9)</f>
        <v>9</v>
      </c>
      <c r="C2258" s="5">
        <f ca="1">IFERROR(__xludf.DUMMYFUNCTION("""COMPUTED_VALUE"""),14)</f>
        <v>14</v>
      </c>
      <c r="D2258" s="5">
        <f ca="1">IFERROR(__xludf.DUMMYFUNCTION("""COMPUTED_VALUE"""),1972)</f>
        <v>1972</v>
      </c>
      <c r="E2258" s="8">
        <f ca="1">IFERROR(__xludf.DUMMYFUNCTION("""COMPUTED_VALUE"""),26556)</f>
        <v>26556</v>
      </c>
      <c r="F2258" s="5" t="str">
        <f ca="1">IFERROR(__xludf.DUMMYFUNCTION("""COMPUTED_VALUE"""),"Francis Scott Key Junior High")</f>
        <v>Francis Scott Key Junior High</v>
      </c>
      <c r="G2258" s="5">
        <f ca="1">IFERROR(__xludf.DUMMYFUNCTION("""COMPUTED_VALUE"""),0)</f>
        <v>0</v>
      </c>
      <c r="H2258" s="5">
        <f ca="1">IFERROR(__xludf.DUMMYFUNCTION("""COMPUTED_VALUE"""),1)</f>
        <v>1</v>
      </c>
      <c r="I2258" s="5">
        <f ca="1">IFERROR(__xludf.DUMMYFUNCTION("""COMPUTED_VALUE"""),1)</f>
        <v>1</v>
      </c>
      <c r="J2258" s="5">
        <f ca="1">IFERROR(__xludf.DUMMYFUNCTION("""COMPUTED_VALUE"""),0)</f>
        <v>0</v>
      </c>
      <c r="K2258" s="5" t="str">
        <f ca="1">IFERROR(__xludf.DUMMYFUNCTION("""COMPUTED_VALUE"""),"https://www.newspapers.com/image/30006556/?terms=teacher%2Bshot%2Bhouston; https://www.newspapers.com/image/156720742/?terms=TEACHER%2BSHOT%2BBY%2BIRATE%2BSTUDENT")</f>
        <v>https://www.newspapers.com/image/30006556/?terms=teacher%2Bshot%2Bhouston; https://www.newspapers.com/image/156720742/?terms=TEACHER%2BSHOT%2BBY%2BIRATE%2BSTUDENT</v>
      </c>
      <c r="L2258" s="5"/>
      <c r="M2258" s="5"/>
      <c r="N2258" s="5">
        <f ca="1">IFERROR(__xludf.DUMMYFUNCTION("""COMPUTED_VALUE"""),3)</f>
        <v>3</v>
      </c>
      <c r="O2258" s="5" t="str">
        <f ca="1">IFERROR(__xludf.DUMMYFUNCTION("""COMPUTED_VALUE"""),"Fall")</f>
        <v>Fall</v>
      </c>
      <c r="P2258" s="5" t="str">
        <f ca="1">IFERROR(__xludf.DUMMYFUNCTION("""COMPUTED_VALUE"""),"Houston")</f>
        <v>Houston</v>
      </c>
      <c r="Q2258" s="5" t="str">
        <f ca="1">IFERROR(__xludf.DUMMYFUNCTION("""COMPUTED_VALUE"""),"TX")</f>
        <v>TX</v>
      </c>
      <c r="R2258" s="5" t="str">
        <f ca="1">IFERROR(__xludf.DUMMYFUNCTION("""COMPUTED_VALUE"""),"Junior High")</f>
        <v>Junior High</v>
      </c>
      <c r="S2258" s="5" t="str">
        <f ca="1">IFERROR(__xludf.DUMMYFUNCTION("""COMPUTED_VALUE"""),"Hallway")</f>
        <v>Hallway</v>
      </c>
      <c r="T2258" s="5" t="str">
        <f ca="1">IFERROR(__xludf.DUMMYFUNCTION("""COMPUTED_VALUE"""),"Inside School Building")</f>
        <v>Inside School Building</v>
      </c>
      <c r="U2258" s="5" t="str">
        <f ca="1">IFERROR(__xludf.DUMMYFUNCTION("""COMPUTED_VALUE"""),"Yes")</f>
        <v>Yes</v>
      </c>
      <c r="V2258" s="5" t="str">
        <f ca="1">IFERROR(__xludf.DUMMYFUNCTION("""COMPUTED_VALUE"""),"Morning Classes")</f>
        <v>Morning Classes</v>
      </c>
      <c r="W2258" s="10">
        <f ca="1">IFERROR(__xludf.DUMMYFUNCTION("""COMPUTED_VALUE"""),0.5)</f>
        <v>0.5</v>
      </c>
      <c r="X2258" s="5">
        <f ca="1">IFERROR(__xludf.DUMMYFUNCTION("""COMPUTED_VALUE"""),1)</f>
        <v>1</v>
      </c>
      <c r="Y2258" s="5" t="str">
        <f ca="1">IFERROR(__xludf.DUMMYFUNCTION("""COMPUTED_VALUE"""),"Student shot teacher after being disciplined for slamming door.")</f>
        <v>Student shot teacher after being disciplined for slamming door.</v>
      </c>
      <c r="Z2258" s="5" t="str">
        <f ca="1">IFERROR(__xludf.DUMMYFUNCTION("""COMPUTED_VALUE"""),"Student shot teacher in stomach after teacher disciplined student for slamming door. Student then went home, got gun and came back to school where he confronted teacher outside classroom and shot him. Student stated reason he shot teacher, ""he grabbed me"&amp;" and threw me on ground.""")</f>
        <v>Student shot teacher in stomach after teacher disciplined student for slamming door. Student then went home, got gun and came back to school where he confronted teacher outside classroom and shot him. Student stated reason he shot teacher, "he grabbed me and threw me on ground."</v>
      </c>
      <c r="AA2258" s="5" t="str">
        <f ca="1">IFERROR(__xludf.DUMMYFUNCTION("""COMPUTED_VALUE"""),"Anger Over Grade/Suspension/Discipline")</f>
        <v>Anger Over Grade/Suspension/Discipline</v>
      </c>
      <c r="AB2258" s="5" t="str">
        <f ca="1">IFERROR(__xludf.DUMMYFUNCTION("""COMPUTED_VALUE"""),"Victims Targeted")</f>
        <v>Victims Targeted</v>
      </c>
      <c r="AC2258" s="5" t="str">
        <f ca="1">IFERROR(__xludf.DUMMYFUNCTION("""COMPUTED_VALUE"""),"No")</f>
        <v>No</v>
      </c>
      <c r="AD2258" s="5" t="str">
        <f ca="1">IFERROR(__xludf.DUMMYFUNCTION("""COMPUTED_VALUE"""),"No")</f>
        <v>No</v>
      </c>
      <c r="AE2258" s="5" t="str">
        <f ca="1">IFERROR(__xludf.DUMMYFUNCTION("""COMPUTED_VALUE"""),"No")</f>
        <v>No</v>
      </c>
      <c r="AF2258" s="5" t="str">
        <f ca="1">IFERROR(__xludf.DUMMYFUNCTION("""COMPUTED_VALUE"""),"No")</f>
        <v>No</v>
      </c>
      <c r="AG2258" s="5" t="str">
        <f ca="1">IFERROR(__xludf.DUMMYFUNCTION("""COMPUTED_VALUE"""),"No")</f>
        <v>No</v>
      </c>
      <c r="AH2258" s="5" t="str">
        <f ca="1">IFERROR(__xludf.DUMMYFUNCTION("""COMPUTED_VALUE"""),"No")</f>
        <v>No</v>
      </c>
      <c r="AI2258" s="5" t="str">
        <f ca="1">IFERROR(__xludf.DUMMYFUNCTION("""COMPUTED_VALUE"""),"No")</f>
        <v>No</v>
      </c>
      <c r="AJ2258" s="5"/>
    </row>
    <row r="2259" spans="1:36" ht="13">
      <c r="A2259" s="5" t="str">
        <f ca="1">IFERROR(__xludf.DUMMYFUNCTION("""COMPUTED_VALUE"""),"19720505INDEI")</f>
        <v>19720505INDEI</v>
      </c>
      <c r="B2259" s="5">
        <f ca="1">IFERROR(__xludf.DUMMYFUNCTION("""COMPUTED_VALUE"""),5)</f>
        <v>5</v>
      </c>
      <c r="C2259" s="5">
        <f ca="1">IFERROR(__xludf.DUMMYFUNCTION("""COMPUTED_VALUE"""),5)</f>
        <v>5</v>
      </c>
      <c r="D2259" s="5">
        <f ca="1">IFERROR(__xludf.DUMMYFUNCTION("""COMPUTED_VALUE"""),1972)</f>
        <v>1972</v>
      </c>
      <c r="E2259" s="8">
        <f ca="1">IFERROR(__xludf.DUMMYFUNCTION("""COMPUTED_VALUE"""),26424)</f>
        <v>26424</v>
      </c>
      <c r="F2259" s="5" t="str">
        <f ca="1">IFERROR(__xludf.DUMMYFUNCTION("""COMPUTED_VALUE"""),"Decatur Central High School")</f>
        <v>Decatur Central High School</v>
      </c>
      <c r="G2259" s="5">
        <f ca="1">IFERROR(__xludf.DUMMYFUNCTION("""COMPUTED_VALUE"""),1)</f>
        <v>1</v>
      </c>
      <c r="H2259" s="5">
        <f ca="1">IFERROR(__xludf.DUMMYFUNCTION("""COMPUTED_VALUE"""),0)</f>
        <v>0</v>
      </c>
      <c r="I2259" s="5">
        <f ca="1">IFERROR(__xludf.DUMMYFUNCTION("""COMPUTED_VALUE"""),1)</f>
        <v>1</v>
      </c>
      <c r="J2259" s="5">
        <f ca="1">IFERROR(__xludf.DUMMYFUNCTION("""COMPUTED_VALUE"""),0)</f>
        <v>0</v>
      </c>
      <c r="K2259" s="9" t="str">
        <f ca="1">IFERROR(__xludf.DUMMYFUNCTION("""COMPUTED_VALUE"""),"https://www.newspapers.com/image/105768941/")</f>
        <v>https://www.newspapers.com/image/105768941/</v>
      </c>
      <c r="L2259" s="5"/>
      <c r="M2259" s="5"/>
      <c r="N2259" s="5">
        <f ca="1">IFERROR(__xludf.DUMMYFUNCTION("""COMPUTED_VALUE"""),2)</f>
        <v>2</v>
      </c>
      <c r="O2259" s="5" t="str">
        <f ca="1">IFERROR(__xludf.DUMMYFUNCTION("""COMPUTED_VALUE"""),"Spring")</f>
        <v>Spring</v>
      </c>
      <c r="P2259" s="5" t="str">
        <f ca="1">IFERROR(__xludf.DUMMYFUNCTION("""COMPUTED_VALUE"""),"Indianapolis")</f>
        <v>Indianapolis</v>
      </c>
      <c r="Q2259" s="5" t="str">
        <f ca="1">IFERROR(__xludf.DUMMYFUNCTION("""COMPUTED_VALUE"""),"IN")</f>
        <v>IN</v>
      </c>
      <c r="R2259" s="5" t="str">
        <f ca="1">IFERROR(__xludf.DUMMYFUNCTION("""COMPUTED_VALUE"""),"High")</f>
        <v>High</v>
      </c>
      <c r="S2259" s="5" t="str">
        <f ca="1">IFERROR(__xludf.DUMMYFUNCTION("""COMPUTED_VALUE"""),"Field (General)")</f>
        <v>Field (General)</v>
      </c>
      <c r="T2259" s="5" t="str">
        <f ca="1">IFERROR(__xludf.DUMMYFUNCTION("""COMPUTED_VALUE"""),"Outside on School Property")</f>
        <v>Outside on School Property</v>
      </c>
      <c r="U2259" s="5" t="str">
        <f ca="1">IFERROR(__xludf.DUMMYFUNCTION("""COMPUTED_VALUE"""),"Yes")</f>
        <v>Yes</v>
      </c>
      <c r="V2259" s="5" t="str">
        <f ca="1">IFERROR(__xludf.DUMMYFUNCTION("""COMPUTED_VALUE"""),"Afternoon Classes")</f>
        <v>Afternoon Classes</v>
      </c>
      <c r="W2259" s="10">
        <f ca="1">IFERROR(__xludf.DUMMYFUNCTION("""COMPUTED_VALUE"""),0.5625)</f>
        <v>0.5625</v>
      </c>
      <c r="X2259" s="5">
        <f ca="1">IFERROR(__xludf.DUMMYFUNCTION("""COMPUTED_VALUE"""),1)</f>
        <v>1</v>
      </c>
      <c r="Y2259" s="5" t="str">
        <f ca="1">IFERROR(__xludf.DUMMYFUNCTION("""COMPUTED_VALUE"""),"Sister shot brother, declared to be insane")</f>
        <v>Sister shot brother, declared to be insane</v>
      </c>
      <c r="Z2259" s="5" t="str">
        <f ca="1">IFERROR(__xludf.DUMMYFUNCTION("""COMPUTED_VALUE"""),"Sister shot brother outside of school in front of 28 other students. Shot him once in the chest then put down the gun and laid in the grass. Declared insane during trial.")</f>
        <v>Sister shot brother outside of school in front of 28 other students. Shot him once in the chest then put down the gun and laid in the grass. Declared insane during trial.</v>
      </c>
      <c r="AA2259" s="5" t="str">
        <f ca="1">IFERROR(__xludf.DUMMYFUNCTION("""COMPUTED_VALUE"""),"Psychosis")</f>
        <v>Psychosis</v>
      </c>
      <c r="AB2259" s="5" t="str">
        <f ca="1">IFERROR(__xludf.DUMMYFUNCTION("""COMPUTED_VALUE"""),"Victims Targeted")</f>
        <v>Victims Targeted</v>
      </c>
      <c r="AC2259" s="5"/>
      <c r="AD2259" s="5" t="str">
        <f ca="1">IFERROR(__xludf.DUMMYFUNCTION("""COMPUTED_VALUE"""),"No")</f>
        <v>No</v>
      </c>
      <c r="AE2259" s="5" t="str">
        <f ca="1">IFERROR(__xludf.DUMMYFUNCTION("""COMPUTED_VALUE"""),"No")</f>
        <v>No</v>
      </c>
      <c r="AF2259" s="5" t="str">
        <f ca="1">IFERROR(__xludf.DUMMYFUNCTION("""COMPUTED_VALUE"""),"No")</f>
        <v>No</v>
      </c>
      <c r="AG2259" s="5" t="str">
        <f ca="1">IFERROR(__xludf.DUMMYFUNCTION("""COMPUTED_VALUE"""),"No")</f>
        <v>No</v>
      </c>
      <c r="AH2259" s="5" t="str">
        <f ca="1">IFERROR(__xludf.DUMMYFUNCTION("""COMPUTED_VALUE"""),"No")</f>
        <v>No</v>
      </c>
      <c r="AI2259" s="5" t="str">
        <f ca="1">IFERROR(__xludf.DUMMYFUNCTION("""COMPUTED_VALUE"""),"No")</f>
        <v>No</v>
      </c>
      <c r="AJ2259" s="5"/>
    </row>
    <row r="2260" spans="1:36" ht="13">
      <c r="A2260" s="5" t="str">
        <f ca="1">IFERROR(__xludf.DUMMYFUNCTION("""COMPUTED_VALUE"""),"19720504NVLIR")</f>
        <v>19720504NVLIR</v>
      </c>
      <c r="B2260" s="5">
        <f ca="1">IFERROR(__xludf.DUMMYFUNCTION("""COMPUTED_VALUE"""),5)</f>
        <v>5</v>
      </c>
      <c r="C2260" s="5">
        <f ca="1">IFERROR(__xludf.DUMMYFUNCTION("""COMPUTED_VALUE"""),4)</f>
        <v>4</v>
      </c>
      <c r="D2260" s="5">
        <f ca="1">IFERROR(__xludf.DUMMYFUNCTION("""COMPUTED_VALUE"""),1972)</f>
        <v>1972</v>
      </c>
      <c r="E2260" s="8">
        <f ca="1">IFERROR(__xludf.DUMMYFUNCTION("""COMPUTED_VALUE"""),26423)</f>
        <v>26423</v>
      </c>
      <c r="F2260" s="5" t="str">
        <f ca="1">IFERROR(__xludf.DUMMYFUNCTION("""COMPUTED_VALUE"""),"Libby Booth Elementary School")</f>
        <v>Libby Booth Elementary School</v>
      </c>
      <c r="G2260" s="5">
        <f ca="1">IFERROR(__xludf.DUMMYFUNCTION("""COMPUTED_VALUE"""),1)</f>
        <v>1</v>
      </c>
      <c r="H2260" s="5">
        <f ca="1">IFERROR(__xludf.DUMMYFUNCTION("""COMPUTED_VALUE"""),0)</f>
        <v>0</v>
      </c>
      <c r="I2260" s="5">
        <f ca="1">IFERROR(__xludf.DUMMYFUNCTION("""COMPUTED_VALUE"""),1)</f>
        <v>1</v>
      </c>
      <c r="J2260" s="5">
        <f ca="1">IFERROR(__xludf.DUMMYFUNCTION("""COMPUTED_VALUE"""),0)</f>
        <v>0</v>
      </c>
      <c r="K2260" s="9" t="str">
        <f ca="1">IFERROR(__xludf.DUMMYFUNCTION("""COMPUTED_VALUE"""),"https://www.newspapers.com/image/151050501/?terms=principal%2Bof%2BLibby%2BC.%2BBooth%2BElementary%2BSchool%2Bwho%2Bwas%2Bshot%2Bto%2Bdeath")</f>
        <v>https://www.newspapers.com/image/151050501/?terms=principal%2Bof%2BLibby%2BC.%2BBooth%2BElementary%2BSchool%2Bwho%2Bwas%2Bshot%2Bto%2Bdeath</v>
      </c>
      <c r="L2260" s="5"/>
      <c r="M2260" s="5"/>
      <c r="N2260" s="5">
        <f ca="1">IFERROR(__xludf.DUMMYFUNCTION("""COMPUTED_VALUE"""),2)</f>
        <v>2</v>
      </c>
      <c r="O2260" s="5" t="str">
        <f ca="1">IFERROR(__xludf.DUMMYFUNCTION("""COMPUTED_VALUE"""),"Spring")</f>
        <v>Spring</v>
      </c>
      <c r="P2260" s="5" t="str">
        <f ca="1">IFERROR(__xludf.DUMMYFUNCTION("""COMPUTED_VALUE"""),"Reno")</f>
        <v>Reno</v>
      </c>
      <c r="Q2260" s="5" t="str">
        <f ca="1">IFERROR(__xludf.DUMMYFUNCTION("""COMPUTED_VALUE"""),"NV")</f>
        <v>NV</v>
      </c>
      <c r="R2260" s="5" t="str">
        <f ca="1">IFERROR(__xludf.DUMMYFUNCTION("""COMPUTED_VALUE"""),"Elementary")</f>
        <v>Elementary</v>
      </c>
      <c r="S2260" s="5" t="str">
        <f ca="1">IFERROR(__xludf.DUMMYFUNCTION("""COMPUTED_VALUE"""),"Office")</f>
        <v>Office</v>
      </c>
      <c r="T2260" s="5" t="str">
        <f ca="1">IFERROR(__xludf.DUMMYFUNCTION("""COMPUTED_VALUE"""),"Inside School Building")</f>
        <v>Inside School Building</v>
      </c>
      <c r="U2260" s="5" t="str">
        <f ca="1">IFERROR(__xludf.DUMMYFUNCTION("""COMPUTED_VALUE"""),"Yes")</f>
        <v>Yes</v>
      </c>
      <c r="V2260" s="5" t="str">
        <f ca="1">IFERROR(__xludf.DUMMYFUNCTION("""COMPUTED_VALUE"""),"Lunch")</f>
        <v>Lunch</v>
      </c>
      <c r="W2260" s="10">
        <f ca="1">IFERROR(__xludf.DUMMYFUNCTION("""COMPUTED_VALUE"""),0.5)</f>
        <v>0.5</v>
      </c>
      <c r="X2260" s="5">
        <f ca="1">IFERROR(__xludf.DUMMYFUNCTION("""COMPUTED_VALUE"""),1)</f>
        <v>1</v>
      </c>
      <c r="Y2260" s="5" t="str">
        <f ca="1">IFERROR(__xludf.DUMMYFUNCTION("""COMPUTED_VALUE"""),"Principal killed by teacher")</f>
        <v>Principal killed by teacher</v>
      </c>
      <c r="Z2260" s="5" t="str">
        <f ca="1">IFERROR(__xludf.DUMMYFUNCTION("""COMPUTED_VALUE"""),"Principal killed by teacher in his office during discussion of personnel issues.")</f>
        <v>Principal killed by teacher in his office during discussion of personnel issues.</v>
      </c>
      <c r="AA2260" s="5" t="str">
        <f ca="1">IFERROR(__xludf.DUMMYFUNCTION("""COMPUTED_VALUE"""),"Anger Over Grade/Suspension/Discipline")</f>
        <v>Anger Over Grade/Suspension/Discipline</v>
      </c>
      <c r="AB2260" s="5" t="str">
        <f ca="1">IFERROR(__xludf.DUMMYFUNCTION("""COMPUTED_VALUE"""),"Victims Targeted")</f>
        <v>Victims Targeted</v>
      </c>
      <c r="AC2260" s="5" t="str">
        <f ca="1">IFERROR(__xludf.DUMMYFUNCTION("""COMPUTED_VALUE"""),"No")</f>
        <v>No</v>
      </c>
      <c r="AD2260" s="5" t="str">
        <f ca="1">IFERROR(__xludf.DUMMYFUNCTION("""COMPUTED_VALUE"""),"No")</f>
        <v>No</v>
      </c>
      <c r="AE2260" s="5" t="str">
        <f ca="1">IFERROR(__xludf.DUMMYFUNCTION("""COMPUTED_VALUE"""),"No")</f>
        <v>No</v>
      </c>
      <c r="AF2260" s="5" t="str">
        <f ca="1">IFERROR(__xludf.DUMMYFUNCTION("""COMPUTED_VALUE"""),"No")</f>
        <v>No</v>
      </c>
      <c r="AG2260" s="5" t="str">
        <f ca="1">IFERROR(__xludf.DUMMYFUNCTION("""COMPUTED_VALUE"""),"No")</f>
        <v>No</v>
      </c>
      <c r="AH2260" s="5" t="str">
        <f ca="1">IFERROR(__xludf.DUMMYFUNCTION("""COMPUTED_VALUE"""),"No")</f>
        <v>No</v>
      </c>
      <c r="AI2260" s="5" t="str">
        <f ca="1">IFERROR(__xludf.DUMMYFUNCTION("""COMPUTED_VALUE"""),"No")</f>
        <v>No</v>
      </c>
      <c r="AJ2260" s="5"/>
    </row>
    <row r="2261" spans="1:36" ht="13">
      <c r="A2261" s="5" t="str">
        <f ca="1">IFERROR(__xludf.DUMMYFUNCTION("""COMPUTED_VALUE"""),"19720412LAEAG")</f>
        <v>19720412LAEAG</v>
      </c>
      <c r="B2261" s="5">
        <f ca="1">IFERROR(__xludf.DUMMYFUNCTION("""COMPUTED_VALUE"""),4)</f>
        <v>4</v>
      </c>
      <c r="C2261" s="5">
        <f ca="1">IFERROR(__xludf.DUMMYFUNCTION("""COMPUTED_VALUE"""),12)</f>
        <v>12</v>
      </c>
      <c r="D2261" s="5">
        <f ca="1">IFERROR(__xludf.DUMMYFUNCTION("""COMPUTED_VALUE"""),1972)</f>
        <v>1972</v>
      </c>
      <c r="E2261" s="8">
        <f ca="1">IFERROR(__xludf.DUMMYFUNCTION("""COMPUTED_VALUE"""),26401)</f>
        <v>26401</v>
      </c>
      <c r="F2261" s="5" t="str">
        <f ca="1">IFERROR(__xludf.DUMMYFUNCTION("""COMPUTED_VALUE"""),"East Ascension Junior High")</f>
        <v>East Ascension Junior High</v>
      </c>
      <c r="G2261" s="5">
        <f ca="1">IFERROR(__xludf.DUMMYFUNCTION("""COMPUTED_VALUE"""),0)</f>
        <v>0</v>
      </c>
      <c r="H2261" s="5">
        <f ca="1">IFERROR(__xludf.DUMMYFUNCTION("""COMPUTED_VALUE"""),1)</f>
        <v>1</v>
      </c>
      <c r="I2261" s="5">
        <f ca="1">IFERROR(__xludf.DUMMYFUNCTION("""COMPUTED_VALUE"""),1)</f>
        <v>1</v>
      </c>
      <c r="J2261" s="5">
        <f ca="1">IFERROR(__xludf.DUMMYFUNCTION("""COMPUTED_VALUE"""),1)</f>
        <v>1</v>
      </c>
      <c r="K2261" s="9" t="str">
        <f ca="1">IFERROR(__xludf.DUMMYFUNCTION("""COMPUTED_VALUE"""),"https://www.newspapers.com/image/227849615/?terms=husband%2Bkills%2Bteacher")</f>
        <v>https://www.newspapers.com/image/227849615/?terms=husband%2Bkills%2Bteacher</v>
      </c>
      <c r="L2261" s="5"/>
      <c r="M2261" s="5"/>
      <c r="N2261" s="5">
        <f ca="1">IFERROR(__xludf.DUMMYFUNCTION("""COMPUTED_VALUE"""),2)</f>
        <v>2</v>
      </c>
      <c r="O2261" s="5" t="str">
        <f ca="1">IFERROR(__xludf.DUMMYFUNCTION("""COMPUTED_VALUE"""),"Spring")</f>
        <v>Spring</v>
      </c>
      <c r="P2261" s="5" t="str">
        <f ca="1">IFERROR(__xludf.DUMMYFUNCTION("""COMPUTED_VALUE"""),"Gonzales")</f>
        <v>Gonzales</v>
      </c>
      <c r="Q2261" s="5" t="str">
        <f ca="1">IFERROR(__xludf.DUMMYFUNCTION("""COMPUTED_VALUE"""),"LA")</f>
        <v>LA</v>
      </c>
      <c r="R2261" s="5" t="str">
        <f ca="1">IFERROR(__xludf.DUMMYFUNCTION("""COMPUTED_VALUE"""),"Junior High")</f>
        <v>Junior High</v>
      </c>
      <c r="S2261" s="5" t="str">
        <f ca="1">IFERROR(__xludf.DUMMYFUNCTION("""COMPUTED_VALUE"""),"Inside School Building")</f>
        <v>Inside School Building</v>
      </c>
      <c r="T2261" s="5" t="str">
        <f ca="1">IFERROR(__xludf.DUMMYFUNCTION("""COMPUTED_VALUE"""),"Inside School Building")</f>
        <v>Inside School Building</v>
      </c>
      <c r="U2261" s="5" t="str">
        <f ca="1">IFERROR(__xludf.DUMMYFUNCTION("""COMPUTED_VALUE"""),"Yes")</f>
        <v>Yes</v>
      </c>
      <c r="V2261" s="5" t="str">
        <f ca="1">IFERROR(__xludf.DUMMYFUNCTION("""COMPUTED_VALUE"""),"After School")</f>
        <v>After School</v>
      </c>
      <c r="W2261" s="5"/>
      <c r="X2261" s="5">
        <f ca="1">IFERROR(__xludf.DUMMYFUNCTION("""COMPUTED_VALUE"""),1)</f>
        <v>1</v>
      </c>
      <c r="Y2261" s="5" t="str">
        <f ca="1">IFERROR(__xludf.DUMMYFUNCTION("""COMPUTED_VALUE"""),"Domestic, shot wife who was teacher then shoots, kills himself")</f>
        <v>Domestic, shot wife who was teacher then shoots, kills himself</v>
      </c>
      <c r="Z2261" s="5" t="str">
        <f ca="1">IFERROR(__xludf.DUMMYFUNCTION("""COMPUTED_VALUE"""),"Husband entered school and shot wife. Shooter then turned the gun on himself and commit suicide. Wife survived.")</f>
        <v>Husband entered school and shot wife. Shooter then turned the gun on himself and commit suicide. Wife survived.</v>
      </c>
      <c r="AA2261" s="5" t="str">
        <f ca="1">IFERROR(__xludf.DUMMYFUNCTION("""COMPUTED_VALUE"""),"Domestic w/ Targeted Victim")</f>
        <v>Domestic w/ Targeted Victim</v>
      </c>
      <c r="AB2261" s="5" t="str">
        <f ca="1">IFERROR(__xludf.DUMMYFUNCTION("""COMPUTED_VALUE"""),"Victims Targeted")</f>
        <v>Victims Targeted</v>
      </c>
      <c r="AC2261" s="5" t="str">
        <f ca="1">IFERROR(__xludf.DUMMYFUNCTION("""COMPUTED_VALUE"""),"No")</f>
        <v>No</v>
      </c>
      <c r="AD2261" s="5" t="str">
        <f ca="1">IFERROR(__xludf.DUMMYFUNCTION("""COMPUTED_VALUE"""),"No")</f>
        <v>No</v>
      </c>
      <c r="AE2261" s="5" t="str">
        <f ca="1">IFERROR(__xludf.DUMMYFUNCTION("""COMPUTED_VALUE"""),"No")</f>
        <v>No</v>
      </c>
      <c r="AF2261" s="5" t="str">
        <f ca="1">IFERROR(__xludf.DUMMYFUNCTION("""COMPUTED_VALUE"""),"No")</f>
        <v>No</v>
      </c>
      <c r="AG2261" s="5" t="str">
        <f ca="1">IFERROR(__xludf.DUMMYFUNCTION("""COMPUTED_VALUE"""),"No")</f>
        <v>No</v>
      </c>
      <c r="AH2261" s="5" t="str">
        <f ca="1">IFERROR(__xludf.DUMMYFUNCTION("""COMPUTED_VALUE"""),"Yes")</f>
        <v>Yes</v>
      </c>
      <c r="AI2261" s="5" t="str">
        <f ca="1">IFERROR(__xludf.DUMMYFUNCTION("""COMPUTED_VALUE"""),"No")</f>
        <v>No</v>
      </c>
      <c r="AJ2261" s="5"/>
    </row>
    <row r="2262" spans="1:36" ht="13">
      <c r="A2262" s="5" t="str">
        <f ca="1">IFERROR(__xludf.DUMMYFUNCTION("""COMPUTED_VALUE"""),"19720313TXUNH")</f>
        <v>19720313TXUNH</v>
      </c>
      <c r="B2262" s="5">
        <f ca="1">IFERROR(__xludf.DUMMYFUNCTION("""COMPUTED_VALUE"""),3)</f>
        <v>3</v>
      </c>
      <c r="C2262" s="5">
        <f ca="1">IFERROR(__xludf.DUMMYFUNCTION("""COMPUTED_VALUE"""),13)</f>
        <v>13</v>
      </c>
      <c r="D2262" s="5">
        <f ca="1">IFERROR(__xludf.DUMMYFUNCTION("""COMPUTED_VALUE"""),1972)</f>
        <v>1972</v>
      </c>
      <c r="E2262" s="8">
        <f ca="1">IFERROR(__xludf.DUMMYFUNCTION("""COMPUTED_VALUE"""),26371)</f>
        <v>26371</v>
      </c>
      <c r="F2262" s="5" t="str">
        <f ca="1">IFERROR(__xludf.DUMMYFUNCTION("""COMPUTED_VALUE"""),"Unnamed Junior High School")</f>
        <v>Unnamed Junior High School</v>
      </c>
      <c r="G2262" s="5">
        <f ca="1">IFERROR(__xludf.DUMMYFUNCTION("""COMPUTED_VALUE"""),0)</f>
        <v>0</v>
      </c>
      <c r="H2262" s="5">
        <f ca="1">IFERROR(__xludf.DUMMYFUNCTION("""COMPUTED_VALUE"""),1)</f>
        <v>1</v>
      </c>
      <c r="I2262" s="5">
        <f ca="1">IFERROR(__xludf.DUMMYFUNCTION("""COMPUTED_VALUE"""),1)</f>
        <v>1</v>
      </c>
      <c r="J2262" s="5">
        <f ca="1">IFERROR(__xludf.DUMMYFUNCTION("""COMPUTED_VALUE"""),0)</f>
        <v>0</v>
      </c>
      <c r="K2262" s="9" t="str">
        <f ca="1">IFERROR(__xludf.DUMMYFUNCTION("""COMPUTED_VALUE"""),"https://www.newspapers.com/image/6263611/?terms=school%2Bshooting")</f>
        <v>https://www.newspapers.com/image/6263611/?terms=school%2Bshooting</v>
      </c>
      <c r="L2262" s="5"/>
      <c r="M2262" s="5"/>
      <c r="N2262" s="5">
        <f ca="1">IFERROR(__xludf.DUMMYFUNCTION("""COMPUTED_VALUE"""),2)</f>
        <v>2</v>
      </c>
      <c r="O2262" s="5" t="str">
        <f ca="1">IFERROR(__xludf.DUMMYFUNCTION("""COMPUTED_VALUE"""),"Spring")</f>
        <v>Spring</v>
      </c>
      <c r="P2262" s="5" t="str">
        <f ca="1">IFERROR(__xludf.DUMMYFUNCTION("""COMPUTED_VALUE"""),"Houston")</f>
        <v>Houston</v>
      </c>
      <c r="Q2262" s="5" t="str">
        <f ca="1">IFERROR(__xludf.DUMMYFUNCTION("""COMPUTED_VALUE"""),"TX")</f>
        <v>TX</v>
      </c>
      <c r="R2262" s="5" t="str">
        <f ca="1">IFERROR(__xludf.DUMMYFUNCTION("""COMPUTED_VALUE"""),"Junior High")</f>
        <v>Junior High</v>
      </c>
      <c r="S2262" s="5" t="str">
        <f ca="1">IFERROR(__xludf.DUMMYFUNCTION("""COMPUTED_VALUE"""),"Classroom")</f>
        <v>Classroom</v>
      </c>
      <c r="T2262" s="5" t="str">
        <f ca="1">IFERROR(__xludf.DUMMYFUNCTION("""COMPUTED_VALUE"""),"Inside School Building")</f>
        <v>Inside School Building</v>
      </c>
      <c r="U2262" s="5" t="str">
        <f ca="1">IFERROR(__xludf.DUMMYFUNCTION("""COMPUTED_VALUE"""),"Yes")</f>
        <v>Yes</v>
      </c>
      <c r="V2262" s="5"/>
      <c r="W2262" s="5"/>
      <c r="X2262" s="5">
        <f ca="1">IFERROR(__xludf.DUMMYFUNCTION("""COMPUTED_VALUE"""),1)</f>
        <v>1</v>
      </c>
      <c r="Y2262" s="5" t="str">
        <f ca="1">IFERROR(__xludf.DUMMYFUNCTION("""COMPUTED_VALUE"""),"Pistol discharged while showing it off in classroom")</f>
        <v>Pistol discharged while showing it off in classroom</v>
      </c>
      <c r="Z2262" s="5" t="str">
        <f ca="1">IFERROR(__xludf.DUMMYFUNCTION("""COMPUTED_VALUE"""),"15 year-old male was showing off pistol to group of 25 students in crowded classroom. Gun accidentally discharged injuring another student.")</f>
        <v>15 year-old male was showing off pistol to group of 25 students in crowded classroom. Gun accidentally discharged injuring another student.</v>
      </c>
      <c r="AA2262" s="5" t="str">
        <f ca="1">IFERROR(__xludf.DUMMYFUNCTION("""COMPUTED_VALUE"""),"Accidental")</f>
        <v>Accidental</v>
      </c>
      <c r="AB2262" s="5" t="str">
        <f ca="1">IFERROR(__xludf.DUMMYFUNCTION("""COMPUTED_VALUE"""),"Neither")</f>
        <v>Neither</v>
      </c>
      <c r="AC2262" s="5" t="str">
        <f ca="1">IFERROR(__xludf.DUMMYFUNCTION("""COMPUTED_VALUE"""),"No")</f>
        <v>No</v>
      </c>
      <c r="AD2262" s="5" t="str">
        <f ca="1">IFERROR(__xludf.DUMMYFUNCTION("""COMPUTED_VALUE"""),"No")</f>
        <v>No</v>
      </c>
      <c r="AE2262" s="5" t="str">
        <f ca="1">IFERROR(__xludf.DUMMYFUNCTION("""COMPUTED_VALUE"""),"No")</f>
        <v>No</v>
      </c>
      <c r="AF2262" s="5" t="str">
        <f ca="1">IFERROR(__xludf.DUMMYFUNCTION("""COMPUTED_VALUE"""),"No")</f>
        <v>No</v>
      </c>
      <c r="AG2262" s="5" t="str">
        <f ca="1">IFERROR(__xludf.DUMMYFUNCTION("""COMPUTED_VALUE"""),"No")</f>
        <v>No</v>
      </c>
      <c r="AH2262" s="5" t="str">
        <f ca="1">IFERROR(__xludf.DUMMYFUNCTION("""COMPUTED_VALUE"""),"No")</f>
        <v>No</v>
      </c>
      <c r="AI2262" s="5" t="str">
        <f ca="1">IFERROR(__xludf.DUMMYFUNCTION("""COMPUTED_VALUE"""),"No")</f>
        <v>No</v>
      </c>
      <c r="AJ2262" s="5"/>
    </row>
    <row r="2263" spans="1:36" ht="13">
      <c r="A2263" s="5" t="str">
        <f ca="1">IFERROR(__xludf.DUMMYFUNCTION("""COMPUTED_VALUE"""),"19720228CAMAL")</f>
        <v>19720228CAMAL</v>
      </c>
      <c r="B2263" s="5">
        <f ca="1">IFERROR(__xludf.DUMMYFUNCTION("""COMPUTED_VALUE"""),2)</f>
        <v>2</v>
      </c>
      <c r="C2263" s="5">
        <f ca="1">IFERROR(__xludf.DUMMYFUNCTION("""COMPUTED_VALUE"""),28)</f>
        <v>28</v>
      </c>
      <c r="D2263" s="5">
        <f ca="1">IFERROR(__xludf.DUMMYFUNCTION("""COMPUTED_VALUE"""),1972)</f>
        <v>1972</v>
      </c>
      <c r="E2263" s="8">
        <f ca="1">IFERROR(__xludf.DUMMYFUNCTION("""COMPUTED_VALUE"""),26357)</f>
        <v>26357</v>
      </c>
      <c r="F2263" s="5" t="str">
        <f ca="1">IFERROR(__xludf.DUMMYFUNCTION("""COMPUTED_VALUE"""),"Markham Junior High School")</f>
        <v>Markham Junior High School</v>
      </c>
      <c r="G2263" s="5">
        <f ca="1">IFERROR(__xludf.DUMMYFUNCTION("""COMPUTED_VALUE"""),0)</f>
        <v>0</v>
      </c>
      <c r="H2263" s="5">
        <f ca="1">IFERROR(__xludf.DUMMYFUNCTION("""COMPUTED_VALUE"""),1)</f>
        <v>1</v>
      </c>
      <c r="I2263" s="5">
        <f ca="1">IFERROR(__xludf.DUMMYFUNCTION("""COMPUTED_VALUE"""),1)</f>
        <v>1</v>
      </c>
      <c r="J2263" s="5">
        <f ca="1">IFERROR(__xludf.DUMMYFUNCTION("""COMPUTED_VALUE"""),0)</f>
        <v>0</v>
      </c>
      <c r="K2263" s="9" t="str">
        <f ca="1">IFERROR(__xludf.DUMMYFUNCTION("""COMPUTED_VALUE"""),"https://www.newspapers.com/image/238598927/?terms=school%2Bshooting")</f>
        <v>https://www.newspapers.com/image/238598927/?terms=school%2Bshooting</v>
      </c>
      <c r="L2263" s="5"/>
      <c r="M2263" s="5"/>
      <c r="N2263" s="5">
        <f ca="1">IFERROR(__xludf.DUMMYFUNCTION("""COMPUTED_VALUE"""),2)</f>
        <v>2</v>
      </c>
      <c r="O2263" s="5" t="str">
        <f ca="1">IFERROR(__xludf.DUMMYFUNCTION("""COMPUTED_VALUE"""),"Winter")</f>
        <v>Winter</v>
      </c>
      <c r="P2263" s="5" t="str">
        <f ca="1">IFERROR(__xludf.DUMMYFUNCTION("""COMPUTED_VALUE"""),"Los Angeles")</f>
        <v>Los Angeles</v>
      </c>
      <c r="Q2263" s="5" t="str">
        <f ca="1">IFERROR(__xludf.DUMMYFUNCTION("""COMPUTED_VALUE"""),"CA")</f>
        <v>CA</v>
      </c>
      <c r="R2263" s="5" t="str">
        <f ca="1">IFERROR(__xludf.DUMMYFUNCTION("""COMPUTED_VALUE"""),"Junior High")</f>
        <v>Junior High</v>
      </c>
      <c r="S2263" s="5" t="str">
        <f ca="1">IFERROR(__xludf.DUMMYFUNCTION("""COMPUTED_VALUE"""),"Inside School Building")</f>
        <v>Inside School Building</v>
      </c>
      <c r="T2263" s="5" t="str">
        <f ca="1">IFERROR(__xludf.DUMMYFUNCTION("""COMPUTED_VALUE"""),"Inside School Building")</f>
        <v>Inside School Building</v>
      </c>
      <c r="U2263" s="5" t="str">
        <f ca="1">IFERROR(__xludf.DUMMYFUNCTION("""COMPUTED_VALUE"""),"Yes")</f>
        <v>Yes</v>
      </c>
      <c r="V2263" s="5"/>
      <c r="W2263" s="5"/>
      <c r="X2263" s="5">
        <f ca="1">IFERROR(__xludf.DUMMYFUNCTION("""COMPUTED_VALUE"""),1)</f>
        <v>1</v>
      </c>
      <c r="Y2263" s="5" t="str">
        <f ca="1">IFERROR(__xludf.DUMMYFUNCTION("""COMPUTED_VALUE"""),"Showing off gun and it accidental discharged striking other student")</f>
        <v>Showing off gun and it accidental discharged striking other student</v>
      </c>
      <c r="Z2263" s="5" t="str">
        <f ca="1">IFERROR(__xludf.DUMMYFUNCTION("""COMPUTED_VALUE"""),"14 year-old male was showing off pistol when it accidentally discharged striking another student.")</f>
        <v>14 year-old male was showing off pistol when it accidentally discharged striking another student.</v>
      </c>
      <c r="AA2263" s="5" t="str">
        <f ca="1">IFERROR(__xludf.DUMMYFUNCTION("""COMPUTED_VALUE"""),"Accidental")</f>
        <v>Accidental</v>
      </c>
      <c r="AB2263" s="5" t="str">
        <f ca="1">IFERROR(__xludf.DUMMYFUNCTION("""COMPUTED_VALUE"""),"Random Shooting")</f>
        <v>Random Shooting</v>
      </c>
      <c r="AC2263" s="5" t="str">
        <f ca="1">IFERROR(__xludf.DUMMYFUNCTION("""COMPUTED_VALUE"""),"No")</f>
        <v>No</v>
      </c>
      <c r="AD2263" s="5" t="str">
        <f ca="1">IFERROR(__xludf.DUMMYFUNCTION("""COMPUTED_VALUE"""),"No")</f>
        <v>No</v>
      </c>
      <c r="AE2263" s="5" t="str">
        <f ca="1">IFERROR(__xludf.DUMMYFUNCTION("""COMPUTED_VALUE"""),"No")</f>
        <v>No</v>
      </c>
      <c r="AF2263" s="5" t="str">
        <f ca="1">IFERROR(__xludf.DUMMYFUNCTION("""COMPUTED_VALUE"""),"No")</f>
        <v>No</v>
      </c>
      <c r="AG2263" s="5" t="str">
        <f ca="1">IFERROR(__xludf.DUMMYFUNCTION("""COMPUTED_VALUE"""),"No")</f>
        <v>No</v>
      </c>
      <c r="AH2263" s="5" t="str">
        <f ca="1">IFERROR(__xludf.DUMMYFUNCTION("""COMPUTED_VALUE"""),"No")</f>
        <v>No</v>
      </c>
      <c r="AI2263" s="5" t="str">
        <f ca="1">IFERROR(__xludf.DUMMYFUNCTION("""COMPUTED_VALUE"""),"No")</f>
        <v>No</v>
      </c>
      <c r="AJ2263" s="5"/>
    </row>
    <row r="2264" spans="1:36" ht="13">
      <c r="A2264" s="5" t="str">
        <f ca="1">IFERROR(__xludf.DUMMYFUNCTION("""COMPUTED_VALUE"""),"19720215ILKEC")</f>
        <v>19720215ILKEC</v>
      </c>
      <c r="B2264" s="5">
        <f ca="1">IFERROR(__xludf.DUMMYFUNCTION("""COMPUTED_VALUE"""),2)</f>
        <v>2</v>
      </c>
      <c r="C2264" s="5">
        <f ca="1">IFERROR(__xludf.DUMMYFUNCTION("""COMPUTED_VALUE"""),15)</f>
        <v>15</v>
      </c>
      <c r="D2264" s="5">
        <f ca="1">IFERROR(__xludf.DUMMYFUNCTION("""COMPUTED_VALUE"""),1972)</f>
        <v>1972</v>
      </c>
      <c r="E2264" s="8">
        <f ca="1">IFERROR(__xludf.DUMMYFUNCTION("""COMPUTED_VALUE"""),26344)</f>
        <v>26344</v>
      </c>
      <c r="F2264" s="5" t="str">
        <f ca="1">IFERROR(__xludf.DUMMYFUNCTION("""COMPUTED_VALUE"""),"Kenwood High School")</f>
        <v>Kenwood High School</v>
      </c>
      <c r="G2264" s="5">
        <f ca="1">IFERROR(__xludf.DUMMYFUNCTION("""COMPUTED_VALUE"""),0)</f>
        <v>0</v>
      </c>
      <c r="H2264" s="5">
        <f ca="1">IFERROR(__xludf.DUMMYFUNCTION("""COMPUTED_VALUE"""),0)</f>
        <v>0</v>
      </c>
      <c r="I2264" s="5">
        <f ca="1">IFERROR(__xludf.DUMMYFUNCTION("""COMPUTED_VALUE"""),0)</f>
        <v>0</v>
      </c>
      <c r="J2264" s="5">
        <f ca="1">IFERROR(__xludf.DUMMYFUNCTION("""COMPUTED_VALUE"""),1)</f>
        <v>1</v>
      </c>
      <c r="K2264" s="9" t="str">
        <f ca="1">IFERROR(__xludf.DUMMYFUNCTION("""COMPUTED_VALUE"""),"https://www.newspapers.com/image/340859194/?terms=school%2Bshooting")</f>
        <v>https://www.newspapers.com/image/340859194/?terms=school%2Bshooting</v>
      </c>
      <c r="L2264" s="5"/>
      <c r="M2264" s="5"/>
      <c r="N2264" s="5">
        <f ca="1">IFERROR(__xludf.DUMMYFUNCTION("""COMPUTED_VALUE"""),2)</f>
        <v>2</v>
      </c>
      <c r="O2264" s="5" t="str">
        <f ca="1">IFERROR(__xludf.DUMMYFUNCTION("""COMPUTED_VALUE"""),"Winter")</f>
        <v>Winter</v>
      </c>
      <c r="P2264" s="5" t="str">
        <f ca="1">IFERROR(__xludf.DUMMYFUNCTION("""COMPUTED_VALUE"""),"Chicago")</f>
        <v>Chicago</v>
      </c>
      <c r="Q2264" s="5" t="str">
        <f ca="1">IFERROR(__xludf.DUMMYFUNCTION("""COMPUTED_VALUE"""),"IL")</f>
        <v>IL</v>
      </c>
      <c r="R2264" s="5" t="str">
        <f ca="1">IFERROR(__xludf.DUMMYFUNCTION("""COMPUTED_VALUE"""),"High")</f>
        <v>High</v>
      </c>
      <c r="S2264" s="5" t="str">
        <f ca="1">IFERROR(__xludf.DUMMYFUNCTION("""COMPUTED_VALUE"""),"Inside School Building")</f>
        <v>Inside School Building</v>
      </c>
      <c r="T2264" s="5" t="str">
        <f ca="1">IFERROR(__xludf.DUMMYFUNCTION("""COMPUTED_VALUE"""),"Inside School Building")</f>
        <v>Inside School Building</v>
      </c>
      <c r="U2264" s="5" t="str">
        <f ca="1">IFERROR(__xludf.DUMMYFUNCTION("""COMPUTED_VALUE"""),"No")</f>
        <v>No</v>
      </c>
      <c r="V2264" s="5" t="str">
        <f ca="1">IFERROR(__xludf.DUMMYFUNCTION("""COMPUTED_VALUE"""),"Night")</f>
        <v>Night</v>
      </c>
      <c r="W2264" s="5"/>
      <c r="X2264" s="5">
        <f ca="1">IFERROR(__xludf.DUMMYFUNCTION("""COMPUTED_VALUE"""),1)</f>
        <v>1</v>
      </c>
      <c r="Y2264" s="5" t="str">
        <f ca="1">IFERROR(__xludf.DUMMYFUNCTION("""COMPUTED_VALUE"""),"Security guard shot trespasser")</f>
        <v>Security guard shot trespasser</v>
      </c>
      <c r="Z2264" s="5" t="str">
        <f ca="1">IFERROR(__xludf.DUMMYFUNCTION("""COMPUTED_VALUE"""),"21 year-old male trespassing at school was shot by an off-duty police officer working as a security guard. Victim displayed a pistol before being shot by the officer.")</f>
        <v>21 year-old male trespassing at school was shot by an off-duty police officer working as a security guard. Victim displayed a pistol before being shot by the officer.</v>
      </c>
      <c r="AA2264" s="5" t="str">
        <f ca="1">IFERROR(__xludf.DUMMYFUNCTION("""COMPUTED_VALUE"""),"Illegal Activity")</f>
        <v>Illegal Activity</v>
      </c>
      <c r="AB2264" s="5" t="str">
        <f ca="1">IFERROR(__xludf.DUMMYFUNCTION("""COMPUTED_VALUE"""),"Victims Targeted")</f>
        <v>Victims Targeted</v>
      </c>
      <c r="AC2264" s="5" t="str">
        <f ca="1">IFERROR(__xludf.DUMMYFUNCTION("""COMPUTED_VALUE"""),"No")</f>
        <v>No</v>
      </c>
      <c r="AD2264" s="5" t="str">
        <f ca="1">IFERROR(__xludf.DUMMYFUNCTION("""COMPUTED_VALUE"""),"No")</f>
        <v>No</v>
      </c>
      <c r="AE2264" s="5" t="str">
        <f ca="1">IFERROR(__xludf.DUMMYFUNCTION("""COMPUTED_VALUE"""),"No")</f>
        <v>No</v>
      </c>
      <c r="AF2264" s="5" t="str">
        <f ca="1">IFERROR(__xludf.DUMMYFUNCTION("""COMPUTED_VALUE"""),"Yes")</f>
        <v>Yes</v>
      </c>
      <c r="AG2264" s="5" t="str">
        <f ca="1">IFERROR(__xludf.DUMMYFUNCTION("""COMPUTED_VALUE"""),"N/A")</f>
        <v>N/A</v>
      </c>
      <c r="AH2264" s="5" t="str">
        <f ca="1">IFERROR(__xludf.DUMMYFUNCTION("""COMPUTED_VALUE"""),"N/A")</f>
        <v>N/A</v>
      </c>
      <c r="AI2264" s="5" t="str">
        <f ca="1">IFERROR(__xludf.DUMMYFUNCTION("""COMPUTED_VALUE"""),"N/A")</f>
        <v>N/A</v>
      </c>
      <c r="AJ2264" s="5" t="str">
        <f ca="1">IFERROR(__xludf.DUMMYFUNCTION("""COMPUTED_VALUE"""),"N/A")</f>
        <v>N/A</v>
      </c>
    </row>
    <row r="2265" spans="1:36" ht="13">
      <c r="A2265" s="5" t="str">
        <f ca="1">IFERROR(__xludf.DUMMYFUNCTION("""COMPUTED_VALUE"""),"19720214ILCAC")</f>
        <v>19720214ILCAC</v>
      </c>
      <c r="B2265" s="5">
        <f ca="1">IFERROR(__xludf.DUMMYFUNCTION("""COMPUTED_VALUE"""),2)</f>
        <v>2</v>
      </c>
      <c r="C2265" s="5">
        <f ca="1">IFERROR(__xludf.DUMMYFUNCTION("""COMPUTED_VALUE"""),14)</f>
        <v>14</v>
      </c>
      <c r="D2265" s="5">
        <f ca="1">IFERROR(__xludf.DUMMYFUNCTION("""COMPUTED_VALUE"""),1972)</f>
        <v>1972</v>
      </c>
      <c r="E2265" s="8">
        <f ca="1">IFERROR(__xludf.DUMMYFUNCTION("""COMPUTED_VALUE"""),26343)</f>
        <v>26343</v>
      </c>
      <c r="F2265" s="5" t="str">
        <f ca="1">IFERROR(__xludf.DUMMYFUNCTION("""COMPUTED_VALUE"""),"Camlumet High School")</f>
        <v>Camlumet High School</v>
      </c>
      <c r="G2265" s="5">
        <f ca="1">IFERROR(__xludf.DUMMYFUNCTION("""COMPUTED_VALUE"""),1)</f>
        <v>1</v>
      </c>
      <c r="H2265" s="5">
        <f ca="1">IFERROR(__xludf.DUMMYFUNCTION("""COMPUTED_VALUE"""),0)</f>
        <v>0</v>
      </c>
      <c r="I2265" s="5">
        <f ca="1">IFERROR(__xludf.DUMMYFUNCTION("""COMPUTED_VALUE"""),1)</f>
        <v>1</v>
      </c>
      <c r="J2265" s="5">
        <f ca="1">IFERROR(__xludf.DUMMYFUNCTION("""COMPUTED_VALUE"""),0)</f>
        <v>0</v>
      </c>
      <c r="K2265" s="9" t="str">
        <f ca="1">IFERROR(__xludf.DUMMYFUNCTION("""COMPUTED_VALUE"""),"https://www.newspapers.com/image/340859194/?terms=school%2Bshooting")</f>
        <v>https://www.newspapers.com/image/340859194/?terms=school%2Bshooting</v>
      </c>
      <c r="L2265" s="5"/>
      <c r="M2265" s="5"/>
      <c r="N2265" s="5">
        <f ca="1">IFERROR(__xludf.DUMMYFUNCTION("""COMPUTED_VALUE"""),2)</f>
        <v>2</v>
      </c>
      <c r="O2265" s="5" t="str">
        <f ca="1">IFERROR(__xludf.DUMMYFUNCTION("""COMPUTED_VALUE"""),"Winter")</f>
        <v>Winter</v>
      </c>
      <c r="P2265" s="5" t="str">
        <f ca="1">IFERROR(__xludf.DUMMYFUNCTION("""COMPUTED_VALUE"""),"Chicago")</f>
        <v>Chicago</v>
      </c>
      <c r="Q2265" s="5" t="str">
        <f ca="1">IFERROR(__xludf.DUMMYFUNCTION("""COMPUTED_VALUE"""),"IL")</f>
        <v>IL</v>
      </c>
      <c r="R2265" s="5" t="str">
        <f ca="1">IFERROR(__xludf.DUMMYFUNCTION("""COMPUTED_VALUE"""),"High")</f>
        <v>High</v>
      </c>
      <c r="S2265" s="5" t="str">
        <f ca="1">IFERROR(__xludf.DUMMYFUNCTION("""COMPUTED_VALUE"""),"Outside on School Property")</f>
        <v>Outside on School Property</v>
      </c>
      <c r="T2265" s="5" t="str">
        <f ca="1">IFERROR(__xludf.DUMMYFUNCTION("""COMPUTED_VALUE"""),"Outside on School Property")</f>
        <v>Outside on School Property</v>
      </c>
      <c r="U2265" s="5" t="str">
        <f ca="1">IFERROR(__xludf.DUMMYFUNCTION("""COMPUTED_VALUE"""),"Yes")</f>
        <v>Yes</v>
      </c>
      <c r="V2265" s="5" t="str">
        <f ca="1">IFERROR(__xludf.DUMMYFUNCTION("""COMPUTED_VALUE"""),"Dismissal")</f>
        <v>Dismissal</v>
      </c>
      <c r="W2265" s="5"/>
      <c r="X2265" s="5">
        <f ca="1">IFERROR(__xludf.DUMMYFUNCTION("""COMPUTED_VALUE"""),1)</f>
        <v>1</v>
      </c>
      <c r="Y2265" s="5" t="str">
        <f ca="1">IFERROR(__xludf.DUMMYFUNCTION("""COMPUTED_VALUE"""),"Gang related fight outside of school")</f>
        <v>Gang related fight outside of school</v>
      </c>
      <c r="Z2265" s="5" t="str">
        <f ca="1">IFERROR(__xludf.DUMMYFUNCTION("""COMPUTED_VALUE"""),"Student shot during street gang fight outside of school.")</f>
        <v>Student shot during street gang fight outside of school.</v>
      </c>
      <c r="AA2265" s="5" t="str">
        <f ca="1">IFERROR(__xludf.DUMMYFUNCTION("""COMPUTED_VALUE"""),"Escalation of Dispute")</f>
        <v>Escalation of Dispute</v>
      </c>
      <c r="AB2265" s="5" t="str">
        <f ca="1">IFERROR(__xludf.DUMMYFUNCTION("""COMPUTED_VALUE"""),"Victims Targeted")</f>
        <v>Victims Targeted</v>
      </c>
      <c r="AC2265" s="5" t="str">
        <f ca="1">IFERROR(__xludf.DUMMYFUNCTION("""COMPUTED_VALUE"""),"Yes")</f>
        <v>Yes</v>
      </c>
      <c r="AD2265" s="5" t="str">
        <f ca="1">IFERROR(__xludf.DUMMYFUNCTION("""COMPUTED_VALUE"""),"No")</f>
        <v>No</v>
      </c>
      <c r="AE2265" s="5" t="str">
        <f ca="1">IFERROR(__xludf.DUMMYFUNCTION("""COMPUTED_VALUE"""),"No")</f>
        <v>No</v>
      </c>
      <c r="AF2265" s="5" t="str">
        <f ca="1">IFERROR(__xludf.DUMMYFUNCTION("""COMPUTED_VALUE"""),"No")</f>
        <v>No</v>
      </c>
      <c r="AG2265" s="5" t="str">
        <f ca="1">IFERROR(__xludf.DUMMYFUNCTION("""COMPUTED_VALUE"""),"No")</f>
        <v>No</v>
      </c>
      <c r="AH2265" s="5" t="str">
        <f ca="1">IFERROR(__xludf.DUMMYFUNCTION("""COMPUTED_VALUE"""),"No")</f>
        <v>No</v>
      </c>
      <c r="AI2265" s="5" t="str">
        <f ca="1">IFERROR(__xludf.DUMMYFUNCTION("""COMPUTED_VALUE"""),"Yes")</f>
        <v>Yes</v>
      </c>
      <c r="AJ2265" s="5"/>
    </row>
    <row r="2266" spans="1:36" ht="13">
      <c r="A2266" s="5" t="str">
        <f ca="1">IFERROR(__xludf.DUMMYFUNCTION("""COMPUTED_VALUE"""),"19720126MDGWB")</f>
        <v>19720126MDGWB</v>
      </c>
      <c r="B2266" s="5">
        <f ca="1">IFERROR(__xludf.DUMMYFUNCTION("""COMPUTED_VALUE"""),1)</f>
        <v>1</v>
      </c>
      <c r="C2266" s="5">
        <f ca="1">IFERROR(__xludf.DUMMYFUNCTION("""COMPUTED_VALUE"""),26)</f>
        <v>26</v>
      </c>
      <c r="D2266" s="5">
        <f ca="1">IFERROR(__xludf.DUMMYFUNCTION("""COMPUTED_VALUE"""),1972)</f>
        <v>1972</v>
      </c>
      <c r="E2266" s="8">
        <f ca="1">IFERROR(__xludf.DUMMYFUNCTION("""COMPUTED_VALUE"""),26324)</f>
        <v>26324</v>
      </c>
      <c r="F2266" s="5" t="str">
        <f ca="1">IFERROR(__xludf.DUMMYFUNCTION("""COMPUTED_VALUE"""),"Gwynn Falls Junior High School")</f>
        <v>Gwynn Falls Junior High School</v>
      </c>
      <c r="G2266" s="5">
        <f ca="1">IFERROR(__xludf.DUMMYFUNCTION("""COMPUTED_VALUE"""),0)</f>
        <v>0</v>
      </c>
      <c r="H2266" s="5">
        <f ca="1">IFERROR(__xludf.DUMMYFUNCTION("""COMPUTED_VALUE"""),1)</f>
        <v>1</v>
      </c>
      <c r="I2266" s="5">
        <f ca="1">IFERROR(__xludf.DUMMYFUNCTION("""COMPUTED_VALUE"""),1)</f>
        <v>1</v>
      </c>
      <c r="J2266" s="5">
        <f ca="1">IFERROR(__xludf.DUMMYFUNCTION("""COMPUTED_VALUE"""),0)</f>
        <v>0</v>
      </c>
      <c r="K2266" s="9" t="str">
        <f ca="1">IFERROR(__xludf.DUMMYFUNCTION("""COMPUTED_VALUE"""),"https://www.newspapers.com/image/377397441/?terms=school%2Bshooting")</f>
        <v>https://www.newspapers.com/image/377397441/?terms=school%2Bshooting</v>
      </c>
      <c r="L2266" s="5"/>
      <c r="M2266" s="5"/>
      <c r="N2266" s="5">
        <f ca="1">IFERROR(__xludf.DUMMYFUNCTION("""COMPUTED_VALUE"""),2)</f>
        <v>2</v>
      </c>
      <c r="O2266" s="5" t="str">
        <f ca="1">IFERROR(__xludf.DUMMYFUNCTION("""COMPUTED_VALUE"""),"Winter")</f>
        <v>Winter</v>
      </c>
      <c r="P2266" s="5" t="str">
        <f ca="1">IFERROR(__xludf.DUMMYFUNCTION("""COMPUTED_VALUE"""),"Baltimore")</f>
        <v>Baltimore</v>
      </c>
      <c r="Q2266" s="5" t="str">
        <f ca="1">IFERROR(__xludf.DUMMYFUNCTION("""COMPUTED_VALUE"""),"MD")</f>
        <v>MD</v>
      </c>
      <c r="R2266" s="5" t="str">
        <f ca="1">IFERROR(__xludf.DUMMYFUNCTION("""COMPUTED_VALUE"""),"Junior High")</f>
        <v>Junior High</v>
      </c>
      <c r="S2266" s="5" t="str">
        <f ca="1">IFERROR(__xludf.DUMMYFUNCTION("""COMPUTED_VALUE"""),"Cafeteria")</f>
        <v>Cafeteria</v>
      </c>
      <c r="T2266" s="5" t="str">
        <f ca="1">IFERROR(__xludf.DUMMYFUNCTION("""COMPUTED_VALUE"""),"Inside School Building")</f>
        <v>Inside School Building</v>
      </c>
      <c r="U2266" s="5" t="str">
        <f ca="1">IFERROR(__xludf.DUMMYFUNCTION("""COMPUTED_VALUE"""),"Yes")</f>
        <v>Yes</v>
      </c>
      <c r="V2266" s="5" t="str">
        <f ca="1">IFERROR(__xludf.DUMMYFUNCTION("""COMPUTED_VALUE"""),"Afternoon Classes")</f>
        <v>Afternoon Classes</v>
      </c>
      <c r="W2266" s="10">
        <f ca="1">IFERROR(__xludf.DUMMYFUNCTION("""COMPUTED_VALUE"""),0.579861111111111)</f>
        <v>0.57986111111111105</v>
      </c>
      <c r="X2266" s="5">
        <f ca="1">IFERROR(__xludf.DUMMYFUNCTION("""COMPUTED_VALUE"""),1)</f>
        <v>1</v>
      </c>
      <c r="Y2266" s="5" t="str">
        <f ca="1">IFERROR(__xludf.DUMMYFUNCTION("""COMPUTED_VALUE"""),"Student playing with gun in cafeteria")</f>
        <v>Student playing with gun in cafeteria</v>
      </c>
      <c r="Z2266" s="5" t="str">
        <f ca="1">IFERROR(__xludf.DUMMYFUNCTION("""COMPUTED_VALUE"""),"Students playing with gun in the cafeteria. Accidental discharge injuring one student.")</f>
        <v>Students playing with gun in the cafeteria. Accidental discharge injuring one student.</v>
      </c>
      <c r="AA2266" s="5" t="str">
        <f ca="1">IFERROR(__xludf.DUMMYFUNCTION("""COMPUTED_VALUE"""),"Accidental")</f>
        <v>Accidental</v>
      </c>
      <c r="AB2266" s="5" t="str">
        <f ca="1">IFERROR(__xludf.DUMMYFUNCTION("""COMPUTED_VALUE"""),"Random Shooting")</f>
        <v>Random Shooting</v>
      </c>
      <c r="AC2266" s="5" t="str">
        <f ca="1">IFERROR(__xludf.DUMMYFUNCTION("""COMPUTED_VALUE"""),"No")</f>
        <v>No</v>
      </c>
      <c r="AD2266" s="5" t="str">
        <f ca="1">IFERROR(__xludf.DUMMYFUNCTION("""COMPUTED_VALUE"""),"No")</f>
        <v>No</v>
      </c>
      <c r="AE2266" s="5" t="str">
        <f ca="1">IFERROR(__xludf.DUMMYFUNCTION("""COMPUTED_VALUE"""),"No")</f>
        <v>No</v>
      </c>
      <c r="AF2266" s="5" t="str">
        <f ca="1">IFERROR(__xludf.DUMMYFUNCTION("""COMPUTED_VALUE"""),"No")</f>
        <v>No</v>
      </c>
      <c r="AG2266" s="5" t="str">
        <f ca="1">IFERROR(__xludf.DUMMYFUNCTION("""COMPUTED_VALUE"""),"No")</f>
        <v>No</v>
      </c>
      <c r="AH2266" s="5" t="str">
        <f ca="1">IFERROR(__xludf.DUMMYFUNCTION("""COMPUTED_VALUE"""),"No")</f>
        <v>No</v>
      </c>
      <c r="AI2266" s="5" t="str">
        <f ca="1">IFERROR(__xludf.DUMMYFUNCTION("""COMPUTED_VALUE"""),"No")</f>
        <v>No</v>
      </c>
      <c r="AJ2266" s="5"/>
    </row>
    <row r="2267" spans="1:36" ht="13">
      <c r="A2267" s="5" t="str">
        <f ca="1">IFERROR(__xludf.DUMMYFUNCTION("""COMPUTED_VALUE"""),"19720126MDHAB")</f>
        <v>19720126MDHAB</v>
      </c>
      <c r="B2267" s="5">
        <f ca="1">IFERROR(__xludf.DUMMYFUNCTION("""COMPUTED_VALUE"""),1)</f>
        <v>1</v>
      </c>
      <c r="C2267" s="5">
        <f ca="1">IFERROR(__xludf.DUMMYFUNCTION("""COMPUTED_VALUE"""),26)</f>
        <v>26</v>
      </c>
      <c r="D2267" s="5">
        <f ca="1">IFERROR(__xludf.DUMMYFUNCTION("""COMPUTED_VALUE"""),1972)</f>
        <v>1972</v>
      </c>
      <c r="E2267" s="8">
        <f ca="1">IFERROR(__xludf.DUMMYFUNCTION("""COMPUTED_VALUE"""),26324)</f>
        <v>26324</v>
      </c>
      <c r="F2267" s="5" t="str">
        <f ca="1">IFERROR(__xludf.DUMMYFUNCTION("""COMPUTED_VALUE"""),"Harlem Park Junior High School")</f>
        <v>Harlem Park Junior High School</v>
      </c>
      <c r="G2267" s="5">
        <f ca="1">IFERROR(__xludf.DUMMYFUNCTION("""COMPUTED_VALUE"""),0)</f>
        <v>0</v>
      </c>
      <c r="H2267" s="5">
        <f ca="1">IFERROR(__xludf.DUMMYFUNCTION("""COMPUTED_VALUE"""),1)</f>
        <v>1</v>
      </c>
      <c r="I2267" s="5">
        <f ca="1">IFERROR(__xludf.DUMMYFUNCTION("""COMPUTED_VALUE"""),1)</f>
        <v>1</v>
      </c>
      <c r="J2267" s="5">
        <f ca="1">IFERROR(__xludf.DUMMYFUNCTION("""COMPUTED_VALUE"""),0)</f>
        <v>0</v>
      </c>
      <c r="K2267" s="9" t="str">
        <f ca="1">IFERROR(__xludf.DUMMYFUNCTION("""COMPUTED_VALUE"""),"https://www.newspapers.com/image/377397441/?terms=school%2Bshooting")</f>
        <v>https://www.newspapers.com/image/377397441/?terms=school%2Bshooting</v>
      </c>
      <c r="L2267" s="5"/>
      <c r="M2267" s="5"/>
      <c r="N2267" s="5">
        <f ca="1">IFERROR(__xludf.DUMMYFUNCTION("""COMPUTED_VALUE"""),2)</f>
        <v>2</v>
      </c>
      <c r="O2267" s="5" t="str">
        <f ca="1">IFERROR(__xludf.DUMMYFUNCTION("""COMPUTED_VALUE"""),"Winter")</f>
        <v>Winter</v>
      </c>
      <c r="P2267" s="5" t="str">
        <f ca="1">IFERROR(__xludf.DUMMYFUNCTION("""COMPUTED_VALUE"""),"Baltimore")</f>
        <v>Baltimore</v>
      </c>
      <c r="Q2267" s="5" t="str">
        <f ca="1">IFERROR(__xludf.DUMMYFUNCTION("""COMPUTED_VALUE"""),"MD")</f>
        <v>MD</v>
      </c>
      <c r="R2267" s="5" t="str">
        <f ca="1">IFERROR(__xludf.DUMMYFUNCTION("""COMPUTED_VALUE"""),"Junior High")</f>
        <v>Junior High</v>
      </c>
      <c r="S2267" s="5" t="str">
        <f ca="1">IFERROR(__xludf.DUMMYFUNCTION("""COMPUTED_VALUE"""),"Beside Building")</f>
        <v>Beside Building</v>
      </c>
      <c r="T2267" s="5" t="str">
        <f ca="1">IFERROR(__xludf.DUMMYFUNCTION("""COMPUTED_VALUE"""),"Outside on School Property")</f>
        <v>Outside on School Property</v>
      </c>
      <c r="U2267" s="5" t="str">
        <f ca="1">IFERROR(__xludf.DUMMYFUNCTION("""COMPUTED_VALUE"""),"No")</f>
        <v>No</v>
      </c>
      <c r="V2267" s="5" t="str">
        <f ca="1">IFERROR(__xludf.DUMMYFUNCTION("""COMPUTED_VALUE"""),"Dismissal")</f>
        <v>Dismissal</v>
      </c>
      <c r="W2267" s="10">
        <f ca="1">IFERROR(__xludf.DUMMYFUNCTION("""COMPUTED_VALUE"""),0.614583333333333)</f>
        <v>0.61458333333333304</v>
      </c>
      <c r="X2267" s="5">
        <f ca="1">IFERROR(__xludf.DUMMYFUNCTION("""COMPUTED_VALUE"""),1)</f>
        <v>1</v>
      </c>
      <c r="Y2267" s="5" t="str">
        <f ca="1">IFERROR(__xludf.DUMMYFUNCTION("""COMPUTED_VALUE"""),"Argument outside school at dismissal")</f>
        <v>Argument outside school at dismissal</v>
      </c>
      <c r="Z2267" s="5" t="str">
        <f ca="1">IFERROR(__xludf.DUMMYFUNCTION("""COMPUTED_VALUE"""),"Student shot by classmate during argument outside of school during dismissal while trying to break up fight between two other students. Sustained severe spine and lung injuries. Second student hospitalized from being hit in the head with a brick.")</f>
        <v>Student shot by classmate during argument outside of school during dismissal while trying to break up fight between two other students. Sustained severe spine and lung injuries. Second student hospitalized from being hit in the head with a brick.</v>
      </c>
      <c r="AA2267" s="5" t="str">
        <f ca="1">IFERROR(__xludf.DUMMYFUNCTION("""COMPUTED_VALUE"""),"Escalation of Dispute")</f>
        <v>Escalation of Dispute</v>
      </c>
      <c r="AB2267" s="5" t="str">
        <f ca="1">IFERROR(__xludf.DUMMYFUNCTION("""COMPUTED_VALUE"""),"Victims Targeted")</f>
        <v>Victims Targeted</v>
      </c>
      <c r="AC2267" s="5" t="str">
        <f ca="1">IFERROR(__xludf.DUMMYFUNCTION("""COMPUTED_VALUE"""),"Unknown")</f>
        <v>Unknown</v>
      </c>
      <c r="AD2267" s="5" t="str">
        <f ca="1">IFERROR(__xludf.DUMMYFUNCTION("""COMPUTED_VALUE"""),"No")</f>
        <v>No</v>
      </c>
      <c r="AE2267" s="5" t="str">
        <f ca="1">IFERROR(__xludf.DUMMYFUNCTION("""COMPUTED_VALUE"""),"No")</f>
        <v>No</v>
      </c>
      <c r="AF2267" s="5" t="str">
        <f ca="1">IFERROR(__xludf.DUMMYFUNCTION("""COMPUTED_VALUE"""),"No")</f>
        <v>No</v>
      </c>
      <c r="AG2267" s="5"/>
      <c r="AH2267" s="5" t="str">
        <f ca="1">IFERROR(__xludf.DUMMYFUNCTION("""COMPUTED_VALUE"""),"No")</f>
        <v>No</v>
      </c>
      <c r="AI2267" s="5" t="str">
        <f ca="1">IFERROR(__xludf.DUMMYFUNCTION("""COMPUTED_VALUE"""),"No")</f>
        <v>No</v>
      </c>
      <c r="AJ2267" s="5"/>
    </row>
    <row r="2268" spans="1:36" ht="13">
      <c r="A2268" s="5" t="str">
        <f ca="1">IFERROR(__xludf.DUMMYFUNCTION("""COMPUTED_VALUE"""),"19720124OHSTS")</f>
        <v>19720124OHSTS</v>
      </c>
      <c r="B2268" s="5">
        <f ca="1">IFERROR(__xludf.DUMMYFUNCTION("""COMPUTED_VALUE"""),1)</f>
        <v>1</v>
      </c>
      <c r="C2268" s="5">
        <f ca="1">IFERROR(__xludf.DUMMYFUNCTION("""COMPUTED_VALUE"""),24)</f>
        <v>24</v>
      </c>
      <c r="D2268" s="5">
        <f ca="1">IFERROR(__xludf.DUMMYFUNCTION("""COMPUTED_VALUE"""),1972)</f>
        <v>1972</v>
      </c>
      <c r="E2268" s="8">
        <f ca="1">IFERROR(__xludf.DUMMYFUNCTION("""COMPUTED_VALUE"""),26322)</f>
        <v>26322</v>
      </c>
      <c r="F2268" s="5" t="str">
        <f ca="1">IFERROR(__xludf.DUMMYFUNCTION("""COMPUTED_VALUE"""),"Stow High School")</f>
        <v>Stow High School</v>
      </c>
      <c r="G2268" s="5">
        <f ca="1">IFERROR(__xludf.DUMMYFUNCTION("""COMPUTED_VALUE"""),0)</f>
        <v>0</v>
      </c>
      <c r="H2268" s="5">
        <f ca="1">IFERROR(__xludf.DUMMYFUNCTION("""COMPUTED_VALUE"""),1)</f>
        <v>1</v>
      </c>
      <c r="I2268" s="5">
        <f ca="1">IFERROR(__xludf.DUMMYFUNCTION("""COMPUTED_VALUE"""),1)</f>
        <v>1</v>
      </c>
      <c r="J2268" s="5">
        <f ca="1">IFERROR(__xludf.DUMMYFUNCTION("""COMPUTED_VALUE"""),0)</f>
        <v>0</v>
      </c>
      <c r="K2268" s="5" t="str">
        <f ca="1">IFERROR(__xludf.DUMMYFUNCTION("""COMPUTED_VALUE"""),"http://stow-shooting.blogspot.com/    https://www.newspapers.com/image/153242106/?terms=stow%2Bhigh%2Bschool    https://www.newspapers.com/image/295807500/?terms=stow%2Bhigh%2Bschool   https://www.newspapers.com/image/152493137/?terms=james%2Bpurk   https"&amp;"://www.newspapers.com/image/153245112/?terms=james%2Bpurk")</f>
        <v>http://stow-shooting.blogspot.com/    https://www.newspapers.com/image/153242106/?terms=stow%2Bhigh%2Bschool    https://www.newspapers.com/image/295807500/?terms=stow%2Bhigh%2Bschool   https://www.newspapers.com/image/152493137/?terms=james%2Bpurk   https://www.newspapers.com/image/153245112/?terms=james%2Bpurk</v>
      </c>
      <c r="L2268" s="5"/>
      <c r="M2268" s="5"/>
      <c r="N2268" s="5">
        <f ca="1">IFERROR(__xludf.DUMMYFUNCTION("""COMPUTED_VALUE"""),4)</f>
        <v>4</v>
      </c>
      <c r="O2268" s="5" t="str">
        <f ca="1">IFERROR(__xludf.DUMMYFUNCTION("""COMPUTED_VALUE"""),"Winter")</f>
        <v>Winter</v>
      </c>
      <c r="P2268" s="5" t="str">
        <f ca="1">IFERROR(__xludf.DUMMYFUNCTION("""COMPUTED_VALUE"""),"Stow")</f>
        <v>Stow</v>
      </c>
      <c r="Q2268" s="5" t="str">
        <f ca="1">IFERROR(__xludf.DUMMYFUNCTION("""COMPUTED_VALUE"""),"OH")</f>
        <v>OH</v>
      </c>
      <c r="R2268" s="5" t="str">
        <f ca="1">IFERROR(__xludf.DUMMYFUNCTION("""COMPUTED_VALUE"""),"High")</f>
        <v>High</v>
      </c>
      <c r="S2268" s="5" t="str">
        <f ca="1">IFERROR(__xludf.DUMMYFUNCTION("""COMPUTED_VALUE"""),"Classroom")</f>
        <v>Classroom</v>
      </c>
      <c r="T2268" s="5" t="str">
        <f ca="1">IFERROR(__xludf.DUMMYFUNCTION("""COMPUTED_VALUE"""),"Inside School Building")</f>
        <v>Inside School Building</v>
      </c>
      <c r="U2268" s="5" t="str">
        <f ca="1">IFERROR(__xludf.DUMMYFUNCTION("""COMPUTED_VALUE"""),"Yes")</f>
        <v>Yes</v>
      </c>
      <c r="V2268" s="5" t="str">
        <f ca="1">IFERROR(__xludf.DUMMYFUNCTION("""COMPUTED_VALUE"""),"Morning Classes")</f>
        <v>Morning Classes</v>
      </c>
      <c r="W2268" s="10">
        <f ca="1">IFERROR(__xludf.DUMMYFUNCTION("""COMPUTED_VALUE"""),0.416666666666666)</f>
        <v>0.41666666666666602</v>
      </c>
      <c r="X2268" s="5">
        <f ca="1">IFERROR(__xludf.DUMMYFUNCTION("""COMPUTED_VALUE"""),1)</f>
        <v>1</v>
      </c>
      <c r="Y2268" s="5" t="str">
        <f ca="1">IFERROR(__xludf.DUMMYFUNCTION("""COMPUTED_VALUE"""),"Student shot teacher, put down gun, walked outside")</f>
        <v>Student shot teacher, put down gun, walked outside</v>
      </c>
      <c r="Z2268" s="5" t="str">
        <f ca="1">IFERROR(__xludf.DUMMYFUNCTION("""COMPUTED_VALUE"""),"During chemistry quiz, student shot teacher, put down gun, walked outside, and sat under a tree before being detained. Teacher recovered from injuries. Possible motive given was teacher constantly giving low grade for quizzes.")</f>
        <v>During chemistry quiz, student shot teacher, put down gun, walked outside, and sat under a tree before being detained. Teacher recovered from injuries. Possible motive given was teacher constantly giving low grade for quizzes.</v>
      </c>
      <c r="AA2268" s="5" t="str">
        <f ca="1">IFERROR(__xludf.DUMMYFUNCTION("""COMPUTED_VALUE"""),"Anger Over Grade/Suspension/Discipline")</f>
        <v>Anger Over Grade/Suspension/Discipline</v>
      </c>
      <c r="AB2268" s="5" t="str">
        <f ca="1">IFERROR(__xludf.DUMMYFUNCTION("""COMPUTED_VALUE"""),"Victims Targeted")</f>
        <v>Victims Targeted</v>
      </c>
      <c r="AC2268" s="5" t="str">
        <f ca="1">IFERROR(__xludf.DUMMYFUNCTION("""COMPUTED_VALUE"""),"No")</f>
        <v>No</v>
      </c>
      <c r="AD2268" s="5" t="str">
        <f ca="1">IFERROR(__xludf.DUMMYFUNCTION("""COMPUTED_VALUE"""),"No")</f>
        <v>No</v>
      </c>
      <c r="AE2268" s="5" t="str">
        <f ca="1">IFERROR(__xludf.DUMMYFUNCTION("""COMPUTED_VALUE"""),"No")</f>
        <v>No</v>
      </c>
      <c r="AF2268" s="5" t="str">
        <f ca="1">IFERROR(__xludf.DUMMYFUNCTION("""COMPUTED_VALUE"""),"No")</f>
        <v>No</v>
      </c>
      <c r="AG2268" s="5" t="str">
        <f ca="1">IFERROR(__xludf.DUMMYFUNCTION("""COMPUTED_VALUE"""),"No")</f>
        <v>No</v>
      </c>
      <c r="AH2268" s="5" t="str">
        <f ca="1">IFERROR(__xludf.DUMMYFUNCTION("""COMPUTED_VALUE"""),"No")</f>
        <v>No</v>
      </c>
      <c r="AI2268" s="5" t="str">
        <f ca="1">IFERROR(__xludf.DUMMYFUNCTION("""COMPUTED_VALUE"""),"No")</f>
        <v>No</v>
      </c>
      <c r="AJ2268" s="5"/>
    </row>
    <row r="2269" spans="1:36" ht="13">
      <c r="A2269" s="5" t="str">
        <f ca="1">IFERROR(__xludf.DUMMYFUNCTION("""COMPUTED_VALUE"""),"19720105DCPAW")</f>
        <v>19720105DCPAW</v>
      </c>
      <c r="B2269" s="5">
        <f ca="1">IFERROR(__xludf.DUMMYFUNCTION("""COMPUTED_VALUE"""),1)</f>
        <v>1</v>
      </c>
      <c r="C2269" s="5">
        <f ca="1">IFERROR(__xludf.DUMMYFUNCTION("""COMPUTED_VALUE"""),5)</f>
        <v>5</v>
      </c>
      <c r="D2269" s="5">
        <f ca="1">IFERROR(__xludf.DUMMYFUNCTION("""COMPUTED_VALUE"""),1972)</f>
        <v>1972</v>
      </c>
      <c r="E2269" s="8">
        <f ca="1">IFERROR(__xludf.DUMMYFUNCTION("""COMPUTED_VALUE"""),26303)</f>
        <v>26303</v>
      </c>
      <c r="F2269" s="5" t="str">
        <f ca="1">IFERROR(__xludf.DUMMYFUNCTION("""COMPUTED_VALUE"""),"Parkview Elementary School")</f>
        <v>Parkview Elementary School</v>
      </c>
      <c r="G2269" s="5">
        <f ca="1">IFERROR(__xludf.DUMMYFUNCTION("""COMPUTED_VALUE"""),1)</f>
        <v>1</v>
      </c>
      <c r="H2269" s="5">
        <f ca="1">IFERROR(__xludf.DUMMYFUNCTION("""COMPUTED_VALUE"""),0)</f>
        <v>0</v>
      </c>
      <c r="I2269" s="5">
        <f ca="1">IFERROR(__xludf.DUMMYFUNCTION("""COMPUTED_VALUE"""),1)</f>
        <v>1</v>
      </c>
      <c r="J2269" s="5">
        <f ca="1">IFERROR(__xludf.DUMMYFUNCTION("""COMPUTED_VALUE"""),0)</f>
        <v>0</v>
      </c>
      <c r="K2269" s="9" t="str">
        <f ca="1">IFERROR(__xludf.DUMMYFUNCTION("""COMPUTED_VALUE"""),"https://www.newspapers.com/image/377430624/?terms=husband%2Bkills%2Bteacher")</f>
        <v>https://www.newspapers.com/image/377430624/?terms=husband%2Bkills%2Bteacher</v>
      </c>
      <c r="L2269" s="5"/>
      <c r="M2269" s="5"/>
      <c r="N2269" s="5">
        <f ca="1">IFERROR(__xludf.DUMMYFUNCTION("""COMPUTED_VALUE"""),2)</f>
        <v>2</v>
      </c>
      <c r="O2269" s="5" t="str">
        <f ca="1">IFERROR(__xludf.DUMMYFUNCTION("""COMPUTED_VALUE"""),"Winter")</f>
        <v>Winter</v>
      </c>
      <c r="P2269" s="5" t="str">
        <f ca="1">IFERROR(__xludf.DUMMYFUNCTION("""COMPUTED_VALUE"""),"Washington")</f>
        <v>Washington</v>
      </c>
      <c r="Q2269" s="5" t="str">
        <f ca="1">IFERROR(__xludf.DUMMYFUNCTION("""COMPUTED_VALUE"""),"DC")</f>
        <v>DC</v>
      </c>
      <c r="R2269" s="5" t="str">
        <f ca="1">IFERROR(__xludf.DUMMYFUNCTION("""COMPUTED_VALUE"""),"Elementary")</f>
        <v>Elementary</v>
      </c>
      <c r="S2269" s="5" t="str">
        <f ca="1">IFERROR(__xludf.DUMMYFUNCTION("""COMPUTED_VALUE"""),"Classroom")</f>
        <v>Classroom</v>
      </c>
      <c r="T2269" s="5" t="str">
        <f ca="1">IFERROR(__xludf.DUMMYFUNCTION("""COMPUTED_VALUE"""),"Inside School Building")</f>
        <v>Inside School Building</v>
      </c>
      <c r="U2269" s="5" t="str">
        <f ca="1">IFERROR(__xludf.DUMMYFUNCTION("""COMPUTED_VALUE"""),"Yes")</f>
        <v>Yes</v>
      </c>
      <c r="V2269" s="5" t="str">
        <f ca="1">IFERROR(__xludf.DUMMYFUNCTION("""COMPUTED_VALUE"""),"Morning Classes")</f>
        <v>Morning Classes</v>
      </c>
      <c r="W2269" s="10">
        <f ca="1">IFERROR(__xludf.DUMMYFUNCTION("""COMPUTED_VALUE"""),0.395833333333333)</f>
        <v>0.39583333333333298</v>
      </c>
      <c r="X2269" s="5"/>
      <c r="Y2269" s="5" t="str">
        <f ca="1">IFERROR(__xludf.DUMMYFUNCTION("""COMPUTED_VALUE"""),"Husband came to school where his wife worked as teacher. Chased her through school, shot, and killed her.")</f>
        <v>Husband came to school where his wife worked as teacher. Chased her through school, shot, and killed her.</v>
      </c>
      <c r="Z2269" s="5" t="str">
        <f ca="1">IFERROR(__xludf.DUMMYFUNCTION("""COMPUTED_VALUE"""),"Entered classroom and pulled out long .22 caliber pistol - teacher - his wife, ran. he caught up to her but she broke away and entered another teacher's classroom. That teacher was able to get most of the students out before he shot and killed her. Was ta"&amp;"ckled by other male teachers and held for police.")</f>
        <v>Entered classroom and pulled out long .22 caliber pistol - teacher - his wife, ran. he caught up to her but she broke away and entered another teacher's classroom. That teacher was able to get most of the students out before he shot and killed her. Was tackled by other male teachers and held for police.</v>
      </c>
      <c r="AA2269" s="5" t="str">
        <f ca="1">IFERROR(__xludf.DUMMYFUNCTION("""COMPUTED_VALUE"""),"Domestic w/ Targeted Victim")</f>
        <v>Domestic w/ Targeted Victim</v>
      </c>
      <c r="AB2269" s="5" t="str">
        <f ca="1">IFERROR(__xludf.DUMMYFUNCTION("""COMPUTED_VALUE"""),"Victims Targeted")</f>
        <v>Victims Targeted</v>
      </c>
      <c r="AC2269" s="5" t="str">
        <f ca="1">IFERROR(__xludf.DUMMYFUNCTION("""COMPUTED_VALUE"""),"No")</f>
        <v>No</v>
      </c>
      <c r="AD2269" s="5" t="str">
        <f ca="1">IFERROR(__xludf.DUMMYFUNCTION("""COMPUTED_VALUE"""),"No")</f>
        <v>No</v>
      </c>
      <c r="AE2269" s="5" t="str">
        <f ca="1">IFERROR(__xludf.DUMMYFUNCTION("""COMPUTED_VALUE"""),"No")</f>
        <v>No</v>
      </c>
      <c r="AF2269" s="5" t="str">
        <f ca="1">IFERROR(__xludf.DUMMYFUNCTION("""COMPUTED_VALUE"""),"No")</f>
        <v>No</v>
      </c>
      <c r="AG2269" s="5" t="str">
        <f ca="1">IFERROR(__xludf.DUMMYFUNCTION("""COMPUTED_VALUE"""),"No")</f>
        <v>No</v>
      </c>
      <c r="AH2269" s="5" t="str">
        <f ca="1">IFERROR(__xludf.DUMMYFUNCTION("""COMPUTED_VALUE"""),"Yes")</f>
        <v>Yes</v>
      </c>
      <c r="AI2269" s="5" t="str">
        <f ca="1">IFERROR(__xludf.DUMMYFUNCTION("""COMPUTED_VALUE"""),"No")</f>
        <v>No</v>
      </c>
      <c r="AJ2269" s="5"/>
    </row>
    <row r="2270" spans="1:36" ht="13">
      <c r="A2270" s="5" t="str">
        <f ca="1">IFERROR(__xludf.DUMMYFUNCTION("""COMPUTED_VALUE"""),"19711213MDCAB")</f>
        <v>19711213MDCAB</v>
      </c>
      <c r="B2270" s="5">
        <f ca="1">IFERROR(__xludf.DUMMYFUNCTION("""COMPUTED_VALUE"""),12)</f>
        <v>12</v>
      </c>
      <c r="C2270" s="5">
        <f ca="1">IFERROR(__xludf.DUMMYFUNCTION("""COMPUTED_VALUE"""),13)</f>
        <v>13</v>
      </c>
      <c r="D2270" s="5">
        <f ca="1">IFERROR(__xludf.DUMMYFUNCTION("""COMPUTED_VALUE"""),1971)</f>
        <v>1971</v>
      </c>
      <c r="E2270" s="8">
        <f ca="1">IFERROR(__xludf.DUMMYFUNCTION("""COMPUTED_VALUE"""),26280)</f>
        <v>26280</v>
      </c>
      <c r="F2270" s="5" t="str">
        <f ca="1">IFERROR(__xludf.DUMMYFUNCTION("""COMPUTED_VALUE"""),"Carver Vocational High School")</f>
        <v>Carver Vocational High School</v>
      </c>
      <c r="G2270" s="5">
        <f ca="1">IFERROR(__xludf.DUMMYFUNCTION("""COMPUTED_VALUE"""),0)</f>
        <v>0</v>
      </c>
      <c r="H2270" s="5">
        <f ca="1">IFERROR(__xludf.DUMMYFUNCTION("""COMPUTED_VALUE"""),1)</f>
        <v>1</v>
      </c>
      <c r="I2270" s="5">
        <f ca="1">IFERROR(__xludf.DUMMYFUNCTION("""COMPUTED_VALUE"""),1)</f>
        <v>1</v>
      </c>
      <c r="J2270" s="5">
        <f ca="1">IFERROR(__xludf.DUMMYFUNCTION("""COMPUTED_VALUE"""),0)</f>
        <v>0</v>
      </c>
      <c r="K2270" s="9" t="str">
        <f ca="1">IFERROR(__xludf.DUMMYFUNCTION("""COMPUTED_VALUE"""),"https://www.newspapers.com/image/372317689/?terms=school%2Bshooting")</f>
        <v>https://www.newspapers.com/image/372317689/?terms=school%2Bshooting</v>
      </c>
      <c r="L2270" s="5"/>
      <c r="M2270" s="5"/>
      <c r="N2270" s="5">
        <f ca="1">IFERROR(__xludf.DUMMYFUNCTION("""COMPUTED_VALUE"""),2)</f>
        <v>2</v>
      </c>
      <c r="O2270" s="5" t="str">
        <f ca="1">IFERROR(__xludf.DUMMYFUNCTION("""COMPUTED_VALUE"""),"Winter")</f>
        <v>Winter</v>
      </c>
      <c r="P2270" s="5" t="str">
        <f ca="1">IFERROR(__xludf.DUMMYFUNCTION("""COMPUTED_VALUE"""),"Baltimore")</f>
        <v>Baltimore</v>
      </c>
      <c r="Q2270" s="5" t="str">
        <f ca="1">IFERROR(__xludf.DUMMYFUNCTION("""COMPUTED_VALUE"""),"MD")</f>
        <v>MD</v>
      </c>
      <c r="R2270" s="5" t="str">
        <f ca="1">IFERROR(__xludf.DUMMYFUNCTION("""COMPUTED_VALUE"""),"High")</f>
        <v>High</v>
      </c>
      <c r="S2270" s="5" t="str">
        <f ca="1">IFERROR(__xludf.DUMMYFUNCTION("""COMPUTED_VALUE"""),"Classroom")</f>
        <v>Classroom</v>
      </c>
      <c r="T2270" s="5" t="str">
        <f ca="1">IFERROR(__xludf.DUMMYFUNCTION("""COMPUTED_VALUE"""),"Inside School Building")</f>
        <v>Inside School Building</v>
      </c>
      <c r="U2270" s="5" t="str">
        <f ca="1">IFERROR(__xludf.DUMMYFUNCTION("""COMPUTED_VALUE"""),"Yes")</f>
        <v>Yes</v>
      </c>
      <c r="V2270" s="5" t="str">
        <f ca="1">IFERROR(__xludf.DUMMYFUNCTION("""COMPUTED_VALUE"""),"Morning Classes")</f>
        <v>Morning Classes</v>
      </c>
      <c r="W2270" s="10">
        <f ca="1">IFERROR(__xludf.DUMMYFUNCTION("""COMPUTED_VALUE"""),0.345833333333333)</f>
        <v>0.34583333333333299</v>
      </c>
      <c r="X2270" s="5">
        <f ca="1">IFERROR(__xludf.DUMMYFUNCTION("""COMPUTED_VALUE"""),1)</f>
        <v>1</v>
      </c>
      <c r="Y2270" s="5" t="str">
        <f ca="1">IFERROR(__xludf.DUMMYFUNCTION("""COMPUTED_VALUE"""),"Argument over payment for craps game")</f>
        <v>Argument over payment for craps game</v>
      </c>
      <c r="Z2270" s="5" t="str">
        <f ca="1">IFERROR(__xludf.DUMMYFUNCTION("""COMPUTED_VALUE"""),"Shooter demanded that victim pay him for debt from craps game. Victim refused and shooter fired at him in classroom then chased him into hallway shooting him 2 more times. Shooter fled the scene.")</f>
        <v>Shooter demanded that victim pay him for debt from craps game. Victim refused and shooter fired at him in classroom then chased him into hallway shooting him 2 more times. Shooter fled the scene.</v>
      </c>
      <c r="AA2270" s="5" t="str">
        <f ca="1">IFERROR(__xludf.DUMMYFUNCTION("""COMPUTED_VALUE"""),"Escalation of Dispute")</f>
        <v>Escalation of Dispute</v>
      </c>
      <c r="AB2270" s="5" t="str">
        <f ca="1">IFERROR(__xludf.DUMMYFUNCTION("""COMPUTED_VALUE"""),"Victims Targeted")</f>
        <v>Victims Targeted</v>
      </c>
      <c r="AC2270" s="5" t="str">
        <f ca="1">IFERROR(__xludf.DUMMYFUNCTION("""COMPUTED_VALUE"""),"No")</f>
        <v>No</v>
      </c>
      <c r="AD2270" s="5" t="str">
        <f ca="1">IFERROR(__xludf.DUMMYFUNCTION("""COMPUTED_VALUE"""),"No")</f>
        <v>No</v>
      </c>
      <c r="AE2270" s="5" t="str">
        <f ca="1">IFERROR(__xludf.DUMMYFUNCTION("""COMPUTED_VALUE"""),"No")</f>
        <v>No</v>
      </c>
      <c r="AF2270" s="5" t="str">
        <f ca="1">IFERROR(__xludf.DUMMYFUNCTION("""COMPUTED_VALUE"""),"No")</f>
        <v>No</v>
      </c>
      <c r="AG2270" s="5" t="str">
        <f ca="1">IFERROR(__xludf.DUMMYFUNCTION("""COMPUTED_VALUE"""),"No")</f>
        <v>No</v>
      </c>
      <c r="AH2270" s="5" t="str">
        <f ca="1">IFERROR(__xludf.DUMMYFUNCTION("""COMPUTED_VALUE"""),"No")</f>
        <v>No</v>
      </c>
      <c r="AI2270" s="5" t="str">
        <f ca="1">IFERROR(__xludf.DUMMYFUNCTION("""COMPUTED_VALUE"""),"No")</f>
        <v>No</v>
      </c>
      <c r="AJ2270" s="5"/>
    </row>
    <row r="2271" spans="1:36" ht="13">
      <c r="A2271" s="5" t="str">
        <f ca="1">IFERROR(__xludf.DUMMYFUNCTION("""COMPUTED_VALUE"""),"19711206CALOL")</f>
        <v>19711206CALOL</v>
      </c>
      <c r="B2271" s="5">
        <f ca="1">IFERROR(__xludf.DUMMYFUNCTION("""COMPUTED_VALUE"""),12)</f>
        <v>12</v>
      </c>
      <c r="C2271" s="5">
        <f ca="1">IFERROR(__xludf.DUMMYFUNCTION("""COMPUTED_VALUE"""),6)</f>
        <v>6</v>
      </c>
      <c r="D2271" s="5">
        <f ca="1">IFERROR(__xludf.DUMMYFUNCTION("""COMPUTED_VALUE"""),1971)</f>
        <v>1971</v>
      </c>
      <c r="E2271" s="8">
        <f ca="1">IFERROR(__xludf.DUMMYFUNCTION("""COMPUTED_VALUE"""),26273)</f>
        <v>26273</v>
      </c>
      <c r="F2271" s="5" t="str">
        <f ca="1">IFERROR(__xludf.DUMMYFUNCTION("""COMPUTED_VALUE"""),"Louis Stevenson Junior High School")</f>
        <v>Louis Stevenson Junior High School</v>
      </c>
      <c r="G2271" s="5">
        <f ca="1">IFERROR(__xludf.DUMMYFUNCTION("""COMPUTED_VALUE"""),0)</f>
        <v>0</v>
      </c>
      <c r="H2271" s="5">
        <f ca="1">IFERROR(__xludf.DUMMYFUNCTION("""COMPUTED_VALUE"""),4)</f>
        <v>4</v>
      </c>
      <c r="I2271" s="5">
        <f ca="1">IFERROR(__xludf.DUMMYFUNCTION("""COMPUTED_VALUE"""),4)</f>
        <v>4</v>
      </c>
      <c r="J2271" s="5">
        <f ca="1">IFERROR(__xludf.DUMMYFUNCTION("""COMPUTED_VALUE"""),0)</f>
        <v>0</v>
      </c>
      <c r="K2271" s="5" t="str">
        <f ca="1">IFERROR(__xludf.DUMMYFUNCTION("""COMPUTED_VALUE"""),"https://www.newspapers.com/image/385580480/?terms=school%2Bshooting .")</f>
        <v>https://www.newspapers.com/image/385580480/?terms=school%2Bshooting .</v>
      </c>
      <c r="L2271" s="5"/>
      <c r="M2271" s="5"/>
      <c r="N2271" s="5">
        <f ca="1">IFERROR(__xludf.DUMMYFUNCTION("""COMPUTED_VALUE"""),2)</f>
        <v>2</v>
      </c>
      <c r="O2271" s="5" t="str">
        <f ca="1">IFERROR(__xludf.DUMMYFUNCTION("""COMPUTED_VALUE"""),"Winter")</f>
        <v>Winter</v>
      </c>
      <c r="P2271" s="5" t="str">
        <f ca="1">IFERROR(__xludf.DUMMYFUNCTION("""COMPUTED_VALUE"""),"Los Angeles")</f>
        <v>Los Angeles</v>
      </c>
      <c r="Q2271" s="5" t="str">
        <f ca="1">IFERROR(__xludf.DUMMYFUNCTION("""COMPUTED_VALUE"""),"CA")</f>
        <v>CA</v>
      </c>
      <c r="R2271" s="5" t="str">
        <f ca="1">IFERROR(__xludf.DUMMYFUNCTION("""COMPUTED_VALUE"""),"Junior High")</f>
        <v>Junior High</v>
      </c>
      <c r="S2271" s="5" t="str">
        <f ca="1">IFERROR(__xludf.DUMMYFUNCTION("""COMPUTED_VALUE"""),"Gym")</f>
        <v>Gym</v>
      </c>
      <c r="T2271" s="5" t="str">
        <f ca="1">IFERROR(__xludf.DUMMYFUNCTION("""COMPUTED_VALUE"""),"Inside School Building")</f>
        <v>Inside School Building</v>
      </c>
      <c r="U2271" s="5" t="str">
        <f ca="1">IFERROR(__xludf.DUMMYFUNCTION("""COMPUTED_VALUE"""),"Yes")</f>
        <v>Yes</v>
      </c>
      <c r="V2271" s="5"/>
      <c r="W2271" s="5"/>
      <c r="X2271" s="5"/>
      <c r="Y2271" s="5" t="str">
        <f ca="1">IFERROR(__xludf.DUMMYFUNCTION("""COMPUTED_VALUE"""),"Shooting between rival gang members, 2 bystander/students hit")</f>
        <v>Shooting between rival gang members, 2 bystander/students hit</v>
      </c>
      <c r="Z2271" s="5" t="str">
        <f ca="1">IFERROR(__xludf.DUMMYFUNCTION("""COMPUTED_VALUE"""),"2 gang members shot at 2 other gang members outside of gym (all students). Two girls were struck in the crossfire.")</f>
        <v>2 gang members shot at 2 other gang members outside of gym (all students). Two girls were struck in the crossfire.</v>
      </c>
      <c r="AA2271" s="5" t="str">
        <f ca="1">IFERROR(__xludf.DUMMYFUNCTION("""COMPUTED_VALUE"""),"Escalation of Dispute")</f>
        <v>Escalation of Dispute</v>
      </c>
      <c r="AB2271" s="5" t="str">
        <f ca="1">IFERROR(__xludf.DUMMYFUNCTION("""COMPUTED_VALUE"""),"Both")</f>
        <v>Both</v>
      </c>
      <c r="AC2271" s="5" t="str">
        <f ca="1">IFERROR(__xludf.DUMMYFUNCTION("""COMPUTED_VALUE"""),"Unknown")</f>
        <v>Unknown</v>
      </c>
      <c r="AD2271" s="5" t="str">
        <f ca="1">IFERROR(__xludf.DUMMYFUNCTION("""COMPUTED_VALUE"""),"No")</f>
        <v>No</v>
      </c>
      <c r="AE2271" s="5" t="str">
        <f ca="1">IFERROR(__xludf.DUMMYFUNCTION("""COMPUTED_VALUE"""),"No")</f>
        <v>No</v>
      </c>
      <c r="AF2271" s="5" t="str">
        <f ca="1">IFERROR(__xludf.DUMMYFUNCTION("""COMPUTED_VALUE"""),"No")</f>
        <v>No</v>
      </c>
      <c r="AG2271" s="5" t="str">
        <f ca="1">IFERROR(__xludf.DUMMYFUNCTION("""COMPUTED_VALUE"""),"No")</f>
        <v>No</v>
      </c>
      <c r="AH2271" s="5" t="str">
        <f ca="1">IFERROR(__xludf.DUMMYFUNCTION("""COMPUTED_VALUE"""),"No")</f>
        <v>No</v>
      </c>
      <c r="AI2271" s="5" t="str">
        <f ca="1">IFERROR(__xludf.DUMMYFUNCTION("""COMPUTED_VALUE"""),"Yes")</f>
        <v>Yes</v>
      </c>
      <c r="AJ2271" s="5"/>
    </row>
    <row r="2272" spans="1:36" ht="13">
      <c r="A2272" s="5" t="str">
        <f ca="1">IFERROR(__xludf.DUMMYFUNCTION("""COMPUTED_VALUE"""),"19711124MDEDB")</f>
        <v>19711124MDEDB</v>
      </c>
      <c r="B2272" s="5">
        <f ca="1">IFERROR(__xludf.DUMMYFUNCTION("""COMPUTED_VALUE"""),11)</f>
        <v>11</v>
      </c>
      <c r="C2272" s="5">
        <f ca="1">IFERROR(__xludf.DUMMYFUNCTION("""COMPUTED_VALUE"""),24)</f>
        <v>24</v>
      </c>
      <c r="D2272" s="5">
        <f ca="1">IFERROR(__xludf.DUMMYFUNCTION("""COMPUTED_VALUE"""),1971)</f>
        <v>1971</v>
      </c>
      <c r="E2272" s="8">
        <f ca="1">IFERROR(__xludf.DUMMYFUNCTION("""COMPUTED_VALUE"""),26261)</f>
        <v>26261</v>
      </c>
      <c r="F2272" s="5" t="str">
        <f ca="1">IFERROR(__xludf.DUMMYFUNCTION("""COMPUTED_VALUE"""),"Edmondson Senior High School")</f>
        <v>Edmondson Senior High School</v>
      </c>
      <c r="G2272" s="5">
        <f ca="1">IFERROR(__xludf.DUMMYFUNCTION("""COMPUTED_VALUE"""),1)</f>
        <v>1</v>
      </c>
      <c r="H2272" s="5">
        <f ca="1">IFERROR(__xludf.DUMMYFUNCTION("""COMPUTED_VALUE"""),0)</f>
        <v>0</v>
      </c>
      <c r="I2272" s="5">
        <f ca="1">IFERROR(__xludf.DUMMYFUNCTION("""COMPUTED_VALUE"""),1)</f>
        <v>1</v>
      </c>
      <c r="J2272" s="5">
        <f ca="1">IFERROR(__xludf.DUMMYFUNCTION("""COMPUTED_VALUE"""),0)</f>
        <v>0</v>
      </c>
      <c r="K2272" s="5" t="str">
        <f ca="1">IFERROR(__xludf.DUMMYFUNCTION("""COMPUTED_VALUE"""),"https://www.newspapers.com/image/371197186/?terms=school%2Bshooting .  https://www.newspapers.com/image/371192433/?terms=Edmondson%2Bhigh%2Bschool .   https://www.newspapers.com/image/377068202/?terms=elliott%2Bwest .   https://www.newspapers.com/image/37"&amp;"1819898/?terms=dexter%2Bj.%2Bjohnson")</f>
        <v>https://www.newspapers.com/image/371197186/?terms=school%2Bshooting .  https://www.newspapers.com/image/371192433/?terms=Edmondson%2Bhigh%2Bschool .   https://www.newspapers.com/image/377068202/?terms=elliott%2Bwest .   https://www.newspapers.com/image/371819898/?terms=dexter%2Bj.%2Bjohnson</v>
      </c>
      <c r="L2272" s="5"/>
      <c r="M2272" s="5"/>
      <c r="N2272" s="5">
        <f ca="1">IFERROR(__xludf.DUMMYFUNCTION("""COMPUTED_VALUE"""),4)</f>
        <v>4</v>
      </c>
      <c r="O2272" s="5" t="str">
        <f ca="1">IFERROR(__xludf.DUMMYFUNCTION("""COMPUTED_VALUE"""),"Fall")</f>
        <v>Fall</v>
      </c>
      <c r="P2272" s="5" t="str">
        <f ca="1">IFERROR(__xludf.DUMMYFUNCTION("""COMPUTED_VALUE"""),"Baltimore")</f>
        <v>Baltimore</v>
      </c>
      <c r="Q2272" s="5" t="str">
        <f ca="1">IFERROR(__xludf.DUMMYFUNCTION("""COMPUTED_VALUE"""),"MD")</f>
        <v>MD</v>
      </c>
      <c r="R2272" s="5" t="str">
        <f ca="1">IFERROR(__xludf.DUMMYFUNCTION("""COMPUTED_VALUE"""),"High")</f>
        <v>High</v>
      </c>
      <c r="S2272" s="5" t="str">
        <f ca="1">IFERROR(__xludf.DUMMYFUNCTION("""COMPUTED_VALUE"""),"Parking Lot")</f>
        <v>Parking Lot</v>
      </c>
      <c r="T2272" s="5" t="str">
        <f ca="1">IFERROR(__xludf.DUMMYFUNCTION("""COMPUTED_VALUE"""),"Outside on School Property")</f>
        <v>Outside on School Property</v>
      </c>
      <c r="U2272" s="5" t="str">
        <f ca="1">IFERROR(__xludf.DUMMYFUNCTION("""COMPUTED_VALUE"""),"Yes")</f>
        <v>Yes</v>
      </c>
      <c r="V2272" s="5" t="str">
        <f ca="1">IFERROR(__xludf.DUMMYFUNCTION("""COMPUTED_VALUE"""),"Afternoon Classes")</f>
        <v>Afternoon Classes</v>
      </c>
      <c r="W2272" s="10">
        <f ca="1">IFERROR(__xludf.DUMMYFUNCTION("""COMPUTED_VALUE"""),0.602083333333333)</f>
        <v>0.60208333333333297</v>
      </c>
      <c r="X2272" s="5">
        <f ca="1">IFERROR(__xludf.DUMMYFUNCTION("""COMPUTED_VALUE"""),1)</f>
        <v>1</v>
      </c>
      <c r="Y2272" s="5" t="str">
        <f ca="1">IFERROR(__xludf.DUMMYFUNCTION("""COMPUTED_VALUE"""),"Shooter shot victim after ongoing argument")</f>
        <v>Shooter shot victim after ongoing argument</v>
      </c>
      <c r="Z2272" s="5" t="str">
        <f ca="1">IFERROR(__xludf.DUMMYFUNCTION("""COMPUTED_VALUE"""),"Shooter and suspect had gotten into argument earlier at school. Shooter later went home and retrieved a handgun. Shooter later saw victim in school parking lot. Shooter claimed after victim swung his fists at him, shooter shot victim three times. Victim l"&amp;"ater died. Suspect caught and charged.")</f>
        <v>Shooter and suspect had gotten into argument earlier at school. Shooter later went home and retrieved a handgun. Shooter later saw victim in school parking lot. Shooter claimed after victim swung his fists at him, shooter shot victim three times. Victim later died. Suspect caught and charged.</v>
      </c>
      <c r="AA2272" s="5" t="str">
        <f ca="1">IFERROR(__xludf.DUMMYFUNCTION("""COMPUTED_VALUE"""),"Escalation of Dispute")</f>
        <v>Escalation of Dispute</v>
      </c>
      <c r="AB2272" s="5" t="str">
        <f ca="1">IFERROR(__xludf.DUMMYFUNCTION("""COMPUTED_VALUE"""),"Victims Targeted")</f>
        <v>Victims Targeted</v>
      </c>
      <c r="AC2272" s="5" t="str">
        <f ca="1">IFERROR(__xludf.DUMMYFUNCTION("""COMPUTED_VALUE"""),"No")</f>
        <v>No</v>
      </c>
      <c r="AD2272" s="5" t="str">
        <f ca="1">IFERROR(__xludf.DUMMYFUNCTION("""COMPUTED_VALUE"""),"No")</f>
        <v>No</v>
      </c>
      <c r="AE2272" s="5" t="str">
        <f ca="1">IFERROR(__xludf.DUMMYFUNCTION("""COMPUTED_VALUE"""),"No")</f>
        <v>No</v>
      </c>
      <c r="AF2272" s="5" t="str">
        <f ca="1">IFERROR(__xludf.DUMMYFUNCTION("""COMPUTED_VALUE"""),"No")</f>
        <v>No</v>
      </c>
      <c r="AG2272" s="5" t="str">
        <f ca="1">IFERROR(__xludf.DUMMYFUNCTION("""COMPUTED_VALUE"""),"No")</f>
        <v>No</v>
      </c>
      <c r="AH2272" s="5" t="str">
        <f ca="1">IFERROR(__xludf.DUMMYFUNCTION("""COMPUTED_VALUE"""),"No")</f>
        <v>No</v>
      </c>
      <c r="AI2272" s="5" t="str">
        <f ca="1">IFERROR(__xludf.DUMMYFUNCTION("""COMPUTED_VALUE"""),"No")</f>
        <v>No</v>
      </c>
      <c r="AJ2272" s="5"/>
    </row>
    <row r="2273" spans="1:36" ht="13">
      <c r="A2273" s="5" t="str">
        <f ca="1">IFERROR(__xludf.DUMMYFUNCTION("""COMPUTED_VALUE"""),"19711108OKGRT")</f>
        <v>19711108OKGRT</v>
      </c>
      <c r="B2273" s="5">
        <f ca="1">IFERROR(__xludf.DUMMYFUNCTION("""COMPUTED_VALUE"""),11)</f>
        <v>11</v>
      </c>
      <c r="C2273" s="5">
        <f ca="1">IFERROR(__xludf.DUMMYFUNCTION("""COMPUTED_VALUE"""),8)</f>
        <v>8</v>
      </c>
      <c r="D2273" s="5">
        <f ca="1">IFERROR(__xludf.DUMMYFUNCTION("""COMPUTED_VALUE"""),1971)</f>
        <v>1971</v>
      </c>
      <c r="E2273" s="8">
        <f ca="1">IFERROR(__xludf.DUMMYFUNCTION("""COMPUTED_VALUE"""),26245)</f>
        <v>26245</v>
      </c>
      <c r="F2273" s="5" t="str">
        <f ca="1">IFERROR(__xludf.DUMMYFUNCTION("""COMPUTED_VALUE"""),"Grove Elementary School")</f>
        <v>Grove Elementary School</v>
      </c>
      <c r="G2273" s="5">
        <f ca="1">IFERROR(__xludf.DUMMYFUNCTION("""COMPUTED_VALUE"""),1)</f>
        <v>1</v>
      </c>
      <c r="H2273" s="5">
        <f ca="1">IFERROR(__xludf.DUMMYFUNCTION("""COMPUTED_VALUE"""),0)</f>
        <v>0</v>
      </c>
      <c r="I2273" s="5">
        <f ca="1">IFERROR(__xludf.DUMMYFUNCTION("""COMPUTED_VALUE"""),1)</f>
        <v>1</v>
      </c>
      <c r="J2273" s="5">
        <f ca="1">IFERROR(__xludf.DUMMYFUNCTION("""COMPUTED_VALUE"""),0)</f>
        <v>0</v>
      </c>
      <c r="K2273" s="9" t="str">
        <f ca="1">IFERROR(__xludf.DUMMYFUNCTION("""COMPUTED_VALUE"""),"https://www.newspapers.com/image/310892698/?terms=Grove%2BElementary%2BSchool%2Bshooting")</f>
        <v>https://www.newspapers.com/image/310892698/?terms=Grove%2BElementary%2BSchool%2Bshooting</v>
      </c>
      <c r="L2273" s="5"/>
      <c r="M2273" s="5"/>
      <c r="N2273" s="5">
        <f ca="1">IFERROR(__xludf.DUMMYFUNCTION("""COMPUTED_VALUE"""),2)</f>
        <v>2</v>
      </c>
      <c r="O2273" s="5" t="str">
        <f ca="1">IFERROR(__xludf.DUMMYFUNCTION("""COMPUTED_VALUE"""),"Fall")</f>
        <v>Fall</v>
      </c>
      <c r="P2273" s="5" t="str">
        <f ca="1">IFERROR(__xludf.DUMMYFUNCTION("""COMPUTED_VALUE"""),"Tulsa")</f>
        <v>Tulsa</v>
      </c>
      <c r="Q2273" s="5" t="str">
        <f ca="1">IFERROR(__xludf.DUMMYFUNCTION("""COMPUTED_VALUE"""),"OK")</f>
        <v>OK</v>
      </c>
      <c r="R2273" s="5" t="str">
        <f ca="1">IFERROR(__xludf.DUMMYFUNCTION("""COMPUTED_VALUE"""),"Elementary")</f>
        <v>Elementary</v>
      </c>
      <c r="S2273" s="5" t="str">
        <f ca="1">IFERROR(__xludf.DUMMYFUNCTION("""COMPUTED_VALUE"""),"Other")</f>
        <v>Other</v>
      </c>
      <c r="T2273" s="5" t="str">
        <f ca="1">IFERROR(__xludf.DUMMYFUNCTION("""COMPUTED_VALUE"""),"Inside School Building")</f>
        <v>Inside School Building</v>
      </c>
      <c r="U2273" s="5" t="str">
        <f ca="1">IFERROR(__xludf.DUMMYFUNCTION("""COMPUTED_VALUE"""),"Yes")</f>
        <v>Yes</v>
      </c>
      <c r="V2273" s="5" t="str">
        <f ca="1">IFERROR(__xludf.DUMMYFUNCTION("""COMPUTED_VALUE"""),"Morning Classes")</f>
        <v>Morning Classes</v>
      </c>
      <c r="W2273" s="10">
        <f ca="1">IFERROR(__xludf.DUMMYFUNCTION("""COMPUTED_VALUE"""),0.375)</f>
        <v>0.375</v>
      </c>
      <c r="X2273" s="5">
        <f ca="1">IFERROR(__xludf.DUMMYFUNCTION("""COMPUTED_VALUE"""),1)</f>
        <v>1</v>
      </c>
      <c r="Y2273" s="5" t="str">
        <f ca="1">IFERROR(__xludf.DUMMYFUNCTION("""COMPUTED_VALUE"""),"Shooting in janitor's closet, long standing feud")</f>
        <v>Shooting in janitor's closet, long standing feud</v>
      </c>
      <c r="Z2273" s="5" t="str">
        <f ca="1">IFERROR(__xludf.DUMMYFUNCTION("""COMPUTED_VALUE"""),"Principal killed in janitor's closet by custodian. Long standing feud between the two men.")</f>
        <v>Principal killed in janitor's closet by custodian. Long standing feud between the two men.</v>
      </c>
      <c r="AA2273" s="5" t="str">
        <f ca="1">IFERROR(__xludf.DUMMYFUNCTION("""COMPUTED_VALUE"""),"Escalation of Dispute")</f>
        <v>Escalation of Dispute</v>
      </c>
      <c r="AB2273" s="5" t="str">
        <f ca="1">IFERROR(__xludf.DUMMYFUNCTION("""COMPUTED_VALUE"""),"Victims Targeted")</f>
        <v>Victims Targeted</v>
      </c>
      <c r="AC2273" s="5" t="str">
        <f ca="1">IFERROR(__xludf.DUMMYFUNCTION("""COMPUTED_VALUE"""),"No")</f>
        <v>No</v>
      </c>
      <c r="AD2273" s="5" t="str">
        <f ca="1">IFERROR(__xludf.DUMMYFUNCTION("""COMPUTED_VALUE"""),"No")</f>
        <v>No</v>
      </c>
      <c r="AE2273" s="5" t="str">
        <f ca="1">IFERROR(__xludf.DUMMYFUNCTION("""COMPUTED_VALUE"""),"No")</f>
        <v>No</v>
      </c>
      <c r="AF2273" s="5" t="str">
        <f ca="1">IFERROR(__xludf.DUMMYFUNCTION("""COMPUTED_VALUE"""),"No")</f>
        <v>No</v>
      </c>
      <c r="AG2273" s="5" t="str">
        <f ca="1">IFERROR(__xludf.DUMMYFUNCTION("""COMPUTED_VALUE"""),"No")</f>
        <v>No</v>
      </c>
      <c r="AH2273" s="5" t="str">
        <f ca="1">IFERROR(__xludf.DUMMYFUNCTION("""COMPUTED_VALUE"""),"No")</f>
        <v>No</v>
      </c>
      <c r="AI2273" s="5" t="str">
        <f ca="1">IFERROR(__xludf.DUMMYFUNCTION("""COMPUTED_VALUE"""),"No")</f>
        <v>No</v>
      </c>
      <c r="AJ2273" s="5"/>
    </row>
    <row r="2274" spans="1:36" ht="13">
      <c r="A2274" s="5" t="str">
        <f ca="1">IFERROR(__xludf.DUMMYFUNCTION("""COMPUTED_VALUE"""),"19711103NMCAC")</f>
        <v>19711103NMCAC</v>
      </c>
      <c r="B2274" s="5">
        <f ca="1">IFERROR(__xludf.DUMMYFUNCTION("""COMPUTED_VALUE"""),11)</f>
        <v>11</v>
      </c>
      <c r="C2274" s="5">
        <f ca="1">IFERROR(__xludf.DUMMYFUNCTION("""COMPUTED_VALUE"""),3)</f>
        <v>3</v>
      </c>
      <c r="D2274" s="5">
        <f ca="1">IFERROR(__xludf.DUMMYFUNCTION("""COMPUTED_VALUE"""),1971)</f>
        <v>1971</v>
      </c>
      <c r="E2274" s="8">
        <f ca="1">IFERROR(__xludf.DUMMYFUNCTION("""COMPUTED_VALUE"""),26240)</f>
        <v>26240</v>
      </c>
      <c r="F2274" s="5" t="str">
        <f ca="1">IFERROR(__xludf.DUMMYFUNCTION("""COMPUTED_VALUE"""),"Carlsbad Mid-High School")</f>
        <v>Carlsbad Mid-High School</v>
      </c>
      <c r="G2274" s="5">
        <f ca="1">IFERROR(__xludf.DUMMYFUNCTION("""COMPUTED_VALUE"""),0)</f>
        <v>0</v>
      </c>
      <c r="H2274" s="5">
        <f ca="1">IFERROR(__xludf.DUMMYFUNCTION("""COMPUTED_VALUE"""),1)</f>
        <v>1</v>
      </c>
      <c r="I2274" s="5">
        <f ca="1">IFERROR(__xludf.DUMMYFUNCTION("""COMPUTED_VALUE"""),1)</f>
        <v>1</v>
      </c>
      <c r="J2274" s="5">
        <f ca="1">IFERROR(__xludf.DUMMYFUNCTION("""COMPUTED_VALUE"""),1)</f>
        <v>1</v>
      </c>
      <c r="K2274" s="5" t="str">
        <f ca="1">IFERROR(__xludf.DUMMYFUNCTION("""COMPUTED_VALUE"""),"https://newspaperarchive.com/hutchinson-news-nov-04-1971-p-1/ https://www.newspapers.com/image/53647877/?terms=school%2Bshooting")</f>
        <v>https://newspaperarchive.com/hutchinson-news-nov-04-1971-p-1/ https://www.newspapers.com/image/53647877/?terms=school%2Bshooting</v>
      </c>
      <c r="L2274" s="5"/>
      <c r="M2274" s="5"/>
      <c r="N2274" s="5">
        <f ca="1">IFERROR(__xludf.DUMMYFUNCTION("""COMPUTED_VALUE"""),3)</f>
        <v>3</v>
      </c>
      <c r="O2274" s="5" t="str">
        <f ca="1">IFERROR(__xludf.DUMMYFUNCTION("""COMPUTED_VALUE"""),"Fall")</f>
        <v>Fall</v>
      </c>
      <c r="P2274" s="5" t="str">
        <f ca="1">IFERROR(__xludf.DUMMYFUNCTION("""COMPUTED_VALUE"""),"Carlsbad")</f>
        <v>Carlsbad</v>
      </c>
      <c r="Q2274" s="5" t="str">
        <f ca="1">IFERROR(__xludf.DUMMYFUNCTION("""COMPUTED_VALUE"""),"NM")</f>
        <v>NM</v>
      </c>
      <c r="R2274" s="11">
        <f ca="1">IFERROR(__xludf.DUMMYFUNCTION("""COMPUTED_VALUE"""),44724)</f>
        <v>44724</v>
      </c>
      <c r="S2274" s="5" t="str">
        <f ca="1">IFERROR(__xludf.DUMMYFUNCTION("""COMPUTED_VALUE"""),"Other")</f>
        <v>Other</v>
      </c>
      <c r="T2274" s="5" t="str">
        <f ca="1">IFERROR(__xludf.DUMMYFUNCTION("""COMPUTED_VALUE"""),"Inside School Building")</f>
        <v>Inside School Building</v>
      </c>
      <c r="U2274" s="5" t="str">
        <f ca="1">IFERROR(__xludf.DUMMYFUNCTION("""COMPUTED_VALUE"""),"Yes")</f>
        <v>Yes</v>
      </c>
      <c r="V2274" s="5" t="str">
        <f ca="1">IFERROR(__xludf.DUMMYFUNCTION("""COMPUTED_VALUE"""),"Morning Classes")</f>
        <v>Morning Classes</v>
      </c>
      <c r="W2274" s="10">
        <f ca="1">IFERROR(__xludf.DUMMYFUNCTION("""COMPUTED_VALUE"""),0.429861111111111)</f>
        <v>0.42986111111111103</v>
      </c>
      <c r="X2274" s="5">
        <f ca="1">IFERROR(__xludf.DUMMYFUNCTION("""COMPUTED_VALUE"""),121)</f>
        <v>121</v>
      </c>
      <c r="Y2274" s="5" t="str">
        <f ca="1">IFERROR(__xludf.DUMMYFUNCTION("""COMPUTED_VALUE"""),"Shooter fired from 3rd floor tower at random victims")</f>
        <v>Shooter fired from 3rd floor tower at random victims</v>
      </c>
      <c r="Z2274" s="5" t="str">
        <f ca="1">IFERROR(__xludf.DUMMYFUNCTION("""COMPUTED_VALUE"""),"Shooter (mental patient/former student) climbed into 3rd floor tower, barricaded himself inside and shot randomly for two hours. No known reason for rampage. Shooter had previously been committed to a mental institution.")</f>
        <v>Shooter (mental patient/former student) climbed into 3rd floor tower, barricaded himself inside and shot randomly for two hours. No known reason for rampage. Shooter had previously been committed to a mental institution.</v>
      </c>
      <c r="AA2274" s="5" t="str">
        <f ca="1">IFERROR(__xludf.DUMMYFUNCTION("""COMPUTED_VALUE"""),"Psychosis")</f>
        <v>Psychosis</v>
      </c>
      <c r="AB2274" s="5" t="str">
        <f ca="1">IFERROR(__xludf.DUMMYFUNCTION("""COMPUTED_VALUE"""),"Random Shooting")</f>
        <v>Random Shooting</v>
      </c>
      <c r="AC2274" s="5" t="str">
        <f ca="1">IFERROR(__xludf.DUMMYFUNCTION("""COMPUTED_VALUE"""),"No")</f>
        <v>No</v>
      </c>
      <c r="AD2274" s="5" t="str">
        <f ca="1">IFERROR(__xludf.DUMMYFUNCTION("""COMPUTED_VALUE"""),"No")</f>
        <v>No</v>
      </c>
      <c r="AE2274" s="5" t="str">
        <f ca="1">IFERROR(__xludf.DUMMYFUNCTION("""COMPUTED_VALUE"""),"Yes")</f>
        <v>Yes</v>
      </c>
      <c r="AF2274" s="5" t="str">
        <f ca="1">IFERROR(__xludf.DUMMYFUNCTION("""COMPUTED_VALUE"""),"No")</f>
        <v>No</v>
      </c>
      <c r="AG2274" s="5" t="str">
        <f ca="1">IFERROR(__xludf.DUMMYFUNCTION("""COMPUTED_VALUE"""),"No")</f>
        <v>No</v>
      </c>
      <c r="AH2274" s="5" t="str">
        <f ca="1">IFERROR(__xludf.DUMMYFUNCTION("""COMPUTED_VALUE"""),"No")</f>
        <v>No</v>
      </c>
      <c r="AI2274" s="5" t="str">
        <f ca="1">IFERROR(__xludf.DUMMYFUNCTION("""COMPUTED_VALUE"""),"No")</f>
        <v>No</v>
      </c>
      <c r="AJ2274" s="5" t="str">
        <f ca="1">IFERROR(__xludf.DUMMYFUNCTION("""COMPUTED_VALUE"""),"Yes")</f>
        <v>Yes</v>
      </c>
    </row>
    <row r="2275" spans="1:36" ht="13">
      <c r="A2275" s="5" t="str">
        <f ca="1">IFERROR(__xludf.DUMMYFUNCTION("""COMPUTED_VALUE"""),"19711029MDFRB")</f>
        <v>19711029MDFRB</v>
      </c>
      <c r="B2275" s="5">
        <f ca="1">IFERROR(__xludf.DUMMYFUNCTION("""COMPUTED_VALUE"""),10)</f>
        <v>10</v>
      </c>
      <c r="C2275" s="5">
        <f ca="1">IFERROR(__xludf.DUMMYFUNCTION("""COMPUTED_VALUE"""),29)</f>
        <v>29</v>
      </c>
      <c r="D2275" s="5">
        <f ca="1">IFERROR(__xludf.DUMMYFUNCTION("""COMPUTED_VALUE"""),1971)</f>
        <v>1971</v>
      </c>
      <c r="E2275" s="8">
        <f ca="1">IFERROR(__xludf.DUMMYFUNCTION("""COMPUTED_VALUE"""),26235)</f>
        <v>26235</v>
      </c>
      <c r="F2275" s="5" t="str">
        <f ca="1">IFERROR(__xludf.DUMMYFUNCTION("""COMPUTED_VALUE"""),"Frederick Douglass High School")</f>
        <v>Frederick Douglass High School</v>
      </c>
      <c r="G2275" s="5">
        <f ca="1">IFERROR(__xludf.DUMMYFUNCTION("""COMPUTED_VALUE"""),0)</f>
        <v>0</v>
      </c>
      <c r="H2275" s="5">
        <f ca="1">IFERROR(__xludf.DUMMYFUNCTION("""COMPUTED_VALUE"""),2)</f>
        <v>2</v>
      </c>
      <c r="I2275" s="5">
        <f ca="1">IFERROR(__xludf.DUMMYFUNCTION("""COMPUTED_VALUE"""),2)</f>
        <v>2</v>
      </c>
      <c r="J2275" s="5">
        <f ca="1">IFERROR(__xludf.DUMMYFUNCTION("""COMPUTED_VALUE"""),0)</f>
        <v>0</v>
      </c>
      <c r="K2275" s="9" t="str">
        <f ca="1">IFERROR(__xludf.DUMMYFUNCTION("""COMPUTED_VALUE"""),"https://www.newspapers.com/image/377096935/")</f>
        <v>https://www.newspapers.com/image/377096935/</v>
      </c>
      <c r="L2275" s="5"/>
      <c r="M2275" s="5"/>
      <c r="N2275" s="5">
        <f ca="1">IFERROR(__xludf.DUMMYFUNCTION("""COMPUTED_VALUE"""),2)</f>
        <v>2</v>
      </c>
      <c r="O2275" s="5" t="str">
        <f ca="1">IFERROR(__xludf.DUMMYFUNCTION("""COMPUTED_VALUE"""),"Fall")</f>
        <v>Fall</v>
      </c>
      <c r="P2275" s="5" t="str">
        <f ca="1">IFERROR(__xludf.DUMMYFUNCTION("""COMPUTED_VALUE"""),"Baltimore")</f>
        <v>Baltimore</v>
      </c>
      <c r="Q2275" s="5" t="str">
        <f ca="1">IFERROR(__xludf.DUMMYFUNCTION("""COMPUTED_VALUE"""),"MD")</f>
        <v>MD</v>
      </c>
      <c r="R2275" s="5" t="str">
        <f ca="1">IFERROR(__xludf.DUMMYFUNCTION("""COMPUTED_VALUE"""),"High")</f>
        <v>High</v>
      </c>
      <c r="S2275" s="5" t="str">
        <f ca="1">IFERROR(__xludf.DUMMYFUNCTION("""COMPUTED_VALUE"""),"Parking Lot")</f>
        <v>Parking Lot</v>
      </c>
      <c r="T2275" s="5" t="str">
        <f ca="1">IFERROR(__xludf.DUMMYFUNCTION("""COMPUTED_VALUE"""),"Outside on School Property")</f>
        <v>Outside on School Property</v>
      </c>
      <c r="U2275" s="5" t="str">
        <f ca="1">IFERROR(__xludf.DUMMYFUNCTION("""COMPUTED_VALUE"""),"No")</f>
        <v>No</v>
      </c>
      <c r="V2275" s="5" t="str">
        <f ca="1">IFERROR(__xludf.DUMMYFUNCTION("""COMPUTED_VALUE"""),"Dismissal")</f>
        <v>Dismissal</v>
      </c>
      <c r="W2275" s="10">
        <f ca="1">IFERROR(__xludf.DUMMYFUNCTION("""COMPUTED_VALUE"""),0.625)</f>
        <v>0.625</v>
      </c>
      <c r="X2275" s="5">
        <f ca="1">IFERROR(__xludf.DUMMYFUNCTION("""COMPUTED_VALUE"""),1)</f>
        <v>1</v>
      </c>
      <c r="Y2275" s="5" t="str">
        <f ca="1">IFERROR(__xludf.DUMMYFUNCTION("""COMPUTED_VALUE"""),"2 student hit in crossfire of fight that escalated into shooting in the parking lot")</f>
        <v>2 student hit in crossfire of fight that escalated into shooting in the parking lot</v>
      </c>
      <c r="Z2275" s="5" t="str">
        <f ca="1">IFERROR(__xludf.DUMMYFUNCTION("""COMPUTED_VALUE"""),"Students hit in the crossfire during fight between other students in the parking lot.")</f>
        <v>Students hit in the crossfire during fight between other students in the parking lot.</v>
      </c>
      <c r="AA2275" s="5" t="str">
        <f ca="1">IFERROR(__xludf.DUMMYFUNCTION("""COMPUTED_VALUE"""),"Escalation of Dispute")</f>
        <v>Escalation of Dispute</v>
      </c>
      <c r="AB2275" s="5" t="str">
        <f ca="1">IFERROR(__xludf.DUMMYFUNCTION("""COMPUTED_VALUE"""),"Random Shooting")</f>
        <v>Random Shooting</v>
      </c>
      <c r="AC2275" s="5" t="str">
        <f ca="1">IFERROR(__xludf.DUMMYFUNCTION("""COMPUTED_VALUE"""),"Yes")</f>
        <v>Yes</v>
      </c>
      <c r="AD2275" s="5" t="str">
        <f ca="1">IFERROR(__xludf.DUMMYFUNCTION("""COMPUTED_VALUE"""),"No")</f>
        <v>No</v>
      </c>
      <c r="AE2275" s="5" t="str">
        <f ca="1">IFERROR(__xludf.DUMMYFUNCTION("""COMPUTED_VALUE"""),"No")</f>
        <v>No</v>
      </c>
      <c r="AF2275" s="5" t="str">
        <f ca="1">IFERROR(__xludf.DUMMYFUNCTION("""COMPUTED_VALUE"""),"No")</f>
        <v>No</v>
      </c>
      <c r="AG2275" s="5" t="str">
        <f ca="1">IFERROR(__xludf.DUMMYFUNCTION("""COMPUTED_VALUE"""),"No")</f>
        <v>No</v>
      </c>
      <c r="AH2275" s="5" t="str">
        <f ca="1">IFERROR(__xludf.DUMMYFUNCTION("""COMPUTED_VALUE"""),"No")</f>
        <v>No</v>
      </c>
      <c r="AI2275" s="5" t="str">
        <f ca="1">IFERROR(__xludf.DUMMYFUNCTION("""COMPUTED_VALUE"""),"No")</f>
        <v>No</v>
      </c>
      <c r="AJ2275" s="5"/>
    </row>
    <row r="2276" spans="1:36" ht="13">
      <c r="A2276" s="5" t="str">
        <f ca="1">IFERROR(__xludf.DUMMYFUNCTION("""COMPUTED_VALUE"""),"19711029MDFOB")</f>
        <v>19711029MDFOB</v>
      </c>
      <c r="B2276" s="5">
        <f ca="1">IFERROR(__xludf.DUMMYFUNCTION("""COMPUTED_VALUE"""),10)</f>
        <v>10</v>
      </c>
      <c r="C2276" s="5">
        <f ca="1">IFERROR(__xludf.DUMMYFUNCTION("""COMPUTED_VALUE"""),29)</f>
        <v>29</v>
      </c>
      <c r="D2276" s="5">
        <f ca="1">IFERROR(__xludf.DUMMYFUNCTION("""COMPUTED_VALUE"""),1971)</f>
        <v>1971</v>
      </c>
      <c r="E2276" s="8">
        <f ca="1">IFERROR(__xludf.DUMMYFUNCTION("""COMPUTED_VALUE"""),26235)</f>
        <v>26235</v>
      </c>
      <c r="F2276" s="5" t="str">
        <f ca="1">IFERROR(__xludf.DUMMYFUNCTION("""COMPUTED_VALUE"""),"Forest Park High School")</f>
        <v>Forest Park High School</v>
      </c>
      <c r="G2276" s="5">
        <f ca="1">IFERROR(__xludf.DUMMYFUNCTION("""COMPUTED_VALUE"""),0)</f>
        <v>0</v>
      </c>
      <c r="H2276" s="5">
        <f ca="1">IFERROR(__xludf.DUMMYFUNCTION("""COMPUTED_VALUE"""),1)</f>
        <v>1</v>
      </c>
      <c r="I2276" s="5">
        <f ca="1">IFERROR(__xludf.DUMMYFUNCTION("""COMPUTED_VALUE"""),1)</f>
        <v>1</v>
      </c>
      <c r="J2276" s="5">
        <f ca="1">IFERROR(__xludf.DUMMYFUNCTION("""COMPUTED_VALUE"""),0)</f>
        <v>0</v>
      </c>
      <c r="K2276" s="9" t="str">
        <f ca="1">IFERROR(__xludf.DUMMYFUNCTION("""COMPUTED_VALUE"""),"https://www.newspapers.com/image/377096935/")</f>
        <v>https://www.newspapers.com/image/377096935/</v>
      </c>
      <c r="L2276" s="5"/>
      <c r="M2276" s="5"/>
      <c r="N2276" s="5">
        <f ca="1">IFERROR(__xludf.DUMMYFUNCTION("""COMPUTED_VALUE"""),2)</f>
        <v>2</v>
      </c>
      <c r="O2276" s="5" t="str">
        <f ca="1">IFERROR(__xludf.DUMMYFUNCTION("""COMPUTED_VALUE"""),"Fall")</f>
        <v>Fall</v>
      </c>
      <c r="P2276" s="5" t="str">
        <f ca="1">IFERROR(__xludf.DUMMYFUNCTION("""COMPUTED_VALUE"""),"Baltimore")</f>
        <v>Baltimore</v>
      </c>
      <c r="Q2276" s="5" t="str">
        <f ca="1">IFERROR(__xludf.DUMMYFUNCTION("""COMPUTED_VALUE"""),"MD")</f>
        <v>MD</v>
      </c>
      <c r="R2276" s="5" t="str">
        <f ca="1">IFERROR(__xludf.DUMMYFUNCTION("""COMPUTED_VALUE"""),"High")</f>
        <v>High</v>
      </c>
      <c r="S2276" s="5" t="str">
        <f ca="1">IFERROR(__xludf.DUMMYFUNCTION("""COMPUTED_VALUE"""),"Beside Building")</f>
        <v>Beside Building</v>
      </c>
      <c r="T2276" s="5" t="str">
        <f ca="1">IFERROR(__xludf.DUMMYFUNCTION("""COMPUTED_VALUE"""),"Outside on School Property")</f>
        <v>Outside on School Property</v>
      </c>
      <c r="U2276" s="5" t="str">
        <f ca="1">IFERROR(__xludf.DUMMYFUNCTION("""COMPUTED_VALUE"""),"Yes")</f>
        <v>Yes</v>
      </c>
      <c r="V2276" s="5" t="str">
        <f ca="1">IFERROR(__xludf.DUMMYFUNCTION("""COMPUTED_VALUE"""),"Lunch")</f>
        <v>Lunch</v>
      </c>
      <c r="W2276" s="10">
        <f ca="1">IFERROR(__xludf.DUMMYFUNCTION("""COMPUTED_VALUE"""),0.496527777777777)</f>
        <v>0.49652777777777701</v>
      </c>
      <c r="X2276" s="5">
        <f ca="1">IFERROR(__xludf.DUMMYFUNCTION("""COMPUTED_VALUE"""),1)</f>
        <v>1</v>
      </c>
      <c r="Y2276" s="5" t="str">
        <f ca="1">IFERROR(__xludf.DUMMYFUNCTION("""COMPUTED_VALUE"""),"Rifle fired during fight over craps game, struck uninvolved student")</f>
        <v>Rifle fired during fight over craps game, struck uninvolved student</v>
      </c>
      <c r="Z2276" s="5" t="str">
        <f ca="1">IFERROR(__xludf.DUMMYFUNCTION("""COMPUTED_VALUE"""),"Dispute over craps game behind school during lunch. Rifle was fired and bullet struck uninvolved student.")</f>
        <v>Dispute over craps game behind school during lunch. Rifle was fired and bullet struck uninvolved student.</v>
      </c>
      <c r="AA2276" s="5" t="str">
        <f ca="1">IFERROR(__xludf.DUMMYFUNCTION("""COMPUTED_VALUE"""),"Escalation of Dispute")</f>
        <v>Escalation of Dispute</v>
      </c>
      <c r="AB2276" s="5" t="str">
        <f ca="1">IFERROR(__xludf.DUMMYFUNCTION("""COMPUTED_VALUE"""),"Neither")</f>
        <v>Neither</v>
      </c>
      <c r="AC2276" s="5" t="str">
        <f ca="1">IFERROR(__xludf.DUMMYFUNCTION("""COMPUTED_VALUE"""),"No")</f>
        <v>No</v>
      </c>
      <c r="AD2276" s="5" t="str">
        <f ca="1">IFERROR(__xludf.DUMMYFUNCTION("""COMPUTED_VALUE"""),"No")</f>
        <v>No</v>
      </c>
      <c r="AE2276" s="5" t="str">
        <f ca="1">IFERROR(__xludf.DUMMYFUNCTION("""COMPUTED_VALUE"""),"No")</f>
        <v>No</v>
      </c>
      <c r="AF2276" s="5" t="str">
        <f ca="1">IFERROR(__xludf.DUMMYFUNCTION("""COMPUTED_VALUE"""),"No")</f>
        <v>No</v>
      </c>
      <c r="AG2276" s="5" t="str">
        <f ca="1">IFERROR(__xludf.DUMMYFUNCTION("""COMPUTED_VALUE"""),"No")</f>
        <v>No</v>
      </c>
      <c r="AH2276" s="5" t="str">
        <f ca="1">IFERROR(__xludf.DUMMYFUNCTION("""COMPUTED_VALUE"""),"No")</f>
        <v>No</v>
      </c>
      <c r="AI2276" s="5" t="str">
        <f ca="1">IFERROR(__xludf.DUMMYFUNCTION("""COMPUTED_VALUE"""),"No")</f>
        <v>No</v>
      </c>
      <c r="AJ2276" s="5"/>
    </row>
    <row r="2277" spans="1:36" ht="13">
      <c r="A2277" s="5" t="str">
        <f ca="1">IFERROR(__xludf.DUMMYFUNCTION("""COMPUTED_VALUE"""),"19711028MDCIB")</f>
        <v>19711028MDCIB</v>
      </c>
      <c r="B2277" s="5">
        <f ca="1">IFERROR(__xludf.DUMMYFUNCTION("""COMPUTED_VALUE"""),10)</f>
        <v>10</v>
      </c>
      <c r="C2277" s="5">
        <f ca="1">IFERROR(__xludf.DUMMYFUNCTION("""COMPUTED_VALUE"""),28)</f>
        <v>28</v>
      </c>
      <c r="D2277" s="5">
        <f ca="1">IFERROR(__xludf.DUMMYFUNCTION("""COMPUTED_VALUE"""),1971)</f>
        <v>1971</v>
      </c>
      <c r="E2277" s="8">
        <f ca="1">IFERROR(__xludf.DUMMYFUNCTION("""COMPUTED_VALUE"""),26234)</f>
        <v>26234</v>
      </c>
      <c r="F2277" s="5" t="str">
        <f ca="1">IFERROR(__xludf.DUMMYFUNCTION("""COMPUTED_VALUE"""),"City College High School")</f>
        <v>City College High School</v>
      </c>
      <c r="G2277" s="5">
        <f ca="1">IFERROR(__xludf.DUMMYFUNCTION("""COMPUTED_VALUE"""),0)</f>
        <v>0</v>
      </c>
      <c r="H2277" s="5">
        <f ca="1">IFERROR(__xludf.DUMMYFUNCTION("""COMPUTED_VALUE"""),1)</f>
        <v>1</v>
      </c>
      <c r="I2277" s="5">
        <f ca="1">IFERROR(__xludf.DUMMYFUNCTION("""COMPUTED_VALUE"""),1)</f>
        <v>1</v>
      </c>
      <c r="J2277" s="5">
        <f ca="1">IFERROR(__xludf.DUMMYFUNCTION("""COMPUTED_VALUE"""),0)</f>
        <v>0</v>
      </c>
      <c r="K2277" s="9" t="str">
        <f ca="1">IFERROR(__xludf.DUMMYFUNCTION("""COMPUTED_VALUE"""),"https://www.newspapers.com/image/377094051/?terms=school%2Bshooting")</f>
        <v>https://www.newspapers.com/image/377094051/?terms=school%2Bshooting</v>
      </c>
      <c r="L2277" s="5"/>
      <c r="M2277" s="5"/>
      <c r="N2277" s="5">
        <f ca="1">IFERROR(__xludf.DUMMYFUNCTION("""COMPUTED_VALUE"""),2)</f>
        <v>2</v>
      </c>
      <c r="O2277" s="5" t="str">
        <f ca="1">IFERROR(__xludf.DUMMYFUNCTION("""COMPUTED_VALUE"""),"Fall")</f>
        <v>Fall</v>
      </c>
      <c r="P2277" s="5" t="str">
        <f ca="1">IFERROR(__xludf.DUMMYFUNCTION("""COMPUTED_VALUE"""),"Baltimore")</f>
        <v>Baltimore</v>
      </c>
      <c r="Q2277" s="5" t="str">
        <f ca="1">IFERROR(__xludf.DUMMYFUNCTION("""COMPUTED_VALUE"""),"MD")</f>
        <v>MD</v>
      </c>
      <c r="R2277" s="5" t="str">
        <f ca="1">IFERROR(__xludf.DUMMYFUNCTION("""COMPUTED_VALUE"""),"High")</f>
        <v>High</v>
      </c>
      <c r="S2277" s="5" t="str">
        <f ca="1">IFERROR(__xludf.DUMMYFUNCTION("""COMPUTED_VALUE"""),"Hallway")</f>
        <v>Hallway</v>
      </c>
      <c r="T2277" s="5" t="str">
        <f ca="1">IFERROR(__xludf.DUMMYFUNCTION("""COMPUTED_VALUE"""),"Inside School Building")</f>
        <v>Inside School Building</v>
      </c>
      <c r="U2277" s="5" t="str">
        <f ca="1">IFERROR(__xludf.DUMMYFUNCTION("""COMPUTED_VALUE"""),"Yes")</f>
        <v>Yes</v>
      </c>
      <c r="V2277" s="5" t="str">
        <f ca="1">IFERROR(__xludf.DUMMYFUNCTION("""COMPUTED_VALUE"""),"Lunch")</f>
        <v>Lunch</v>
      </c>
      <c r="W2277" s="10">
        <f ca="1">IFERROR(__xludf.DUMMYFUNCTION("""COMPUTED_VALUE"""),0.493055555555555)</f>
        <v>0.49305555555555503</v>
      </c>
      <c r="X2277" s="5">
        <f ca="1">IFERROR(__xludf.DUMMYFUNCTION("""COMPUTED_VALUE"""),1)</f>
        <v>1</v>
      </c>
      <c r="Y2277" s="5" t="str">
        <f ca="1">IFERROR(__xludf.DUMMYFUNCTION("""COMPUTED_VALUE"""),"Shot during argument in stairwell")</f>
        <v>Shot during argument in stairwell</v>
      </c>
      <c r="Z2277" s="5" t="str">
        <f ca="1">IFERROR(__xludf.DUMMYFUNCTION("""COMPUTED_VALUE"""),"19 year-old male student shot after bumping into shooter in the stairwell resulting in an argument that turned into a shooting.")</f>
        <v>19 year-old male student shot after bumping into shooter in the stairwell resulting in an argument that turned into a shooting.</v>
      </c>
      <c r="AA2277" s="5" t="str">
        <f ca="1">IFERROR(__xludf.DUMMYFUNCTION("""COMPUTED_VALUE"""),"Escalation of Dispute")</f>
        <v>Escalation of Dispute</v>
      </c>
      <c r="AB2277" s="5" t="str">
        <f ca="1">IFERROR(__xludf.DUMMYFUNCTION("""COMPUTED_VALUE"""),"Victims Targeted")</f>
        <v>Victims Targeted</v>
      </c>
      <c r="AC2277" s="5" t="str">
        <f ca="1">IFERROR(__xludf.DUMMYFUNCTION("""COMPUTED_VALUE"""),"No")</f>
        <v>No</v>
      </c>
      <c r="AD2277" s="5" t="str">
        <f ca="1">IFERROR(__xludf.DUMMYFUNCTION("""COMPUTED_VALUE"""),"No")</f>
        <v>No</v>
      </c>
      <c r="AE2277" s="5" t="str">
        <f ca="1">IFERROR(__xludf.DUMMYFUNCTION("""COMPUTED_VALUE"""),"No")</f>
        <v>No</v>
      </c>
      <c r="AF2277" s="5" t="str">
        <f ca="1">IFERROR(__xludf.DUMMYFUNCTION("""COMPUTED_VALUE"""),"No")</f>
        <v>No</v>
      </c>
      <c r="AG2277" s="5" t="str">
        <f ca="1">IFERROR(__xludf.DUMMYFUNCTION("""COMPUTED_VALUE"""),"No")</f>
        <v>No</v>
      </c>
      <c r="AH2277" s="5" t="str">
        <f ca="1">IFERROR(__xludf.DUMMYFUNCTION("""COMPUTED_VALUE"""),"No")</f>
        <v>No</v>
      </c>
      <c r="AI2277" s="5" t="str">
        <f ca="1">IFERROR(__xludf.DUMMYFUNCTION("""COMPUTED_VALUE"""),"No")</f>
        <v>No</v>
      </c>
      <c r="AJ2277" s="5"/>
    </row>
    <row r="2278" spans="1:36" ht="13">
      <c r="A2278" s="5" t="str">
        <f ca="1">IFERROR(__xludf.DUMMYFUNCTION("""COMPUTED_VALUE"""),"19710929VAPEP")</f>
        <v>19710929VAPEP</v>
      </c>
      <c r="B2278" s="5">
        <f ca="1">IFERROR(__xludf.DUMMYFUNCTION("""COMPUTED_VALUE"""),9)</f>
        <v>9</v>
      </c>
      <c r="C2278" s="5">
        <f ca="1">IFERROR(__xludf.DUMMYFUNCTION("""COMPUTED_VALUE"""),29)</f>
        <v>29</v>
      </c>
      <c r="D2278" s="5">
        <f ca="1">IFERROR(__xludf.DUMMYFUNCTION("""COMPUTED_VALUE"""),1971)</f>
        <v>1971</v>
      </c>
      <c r="E2278" s="8">
        <f ca="1">IFERROR(__xludf.DUMMYFUNCTION("""COMPUTED_VALUE"""),26205)</f>
        <v>26205</v>
      </c>
      <c r="F2278" s="5" t="str">
        <f ca="1">IFERROR(__xludf.DUMMYFUNCTION("""COMPUTED_VALUE"""),"Peabody Junior High School")</f>
        <v>Peabody Junior High School</v>
      </c>
      <c r="G2278" s="5">
        <f ca="1">IFERROR(__xludf.DUMMYFUNCTION("""COMPUTED_VALUE"""),1)</f>
        <v>1</v>
      </c>
      <c r="H2278" s="5">
        <f ca="1">IFERROR(__xludf.DUMMYFUNCTION("""COMPUTED_VALUE"""),2)</f>
        <v>2</v>
      </c>
      <c r="I2278" s="5">
        <f ca="1">IFERROR(__xludf.DUMMYFUNCTION("""COMPUTED_VALUE"""),3)</f>
        <v>3</v>
      </c>
      <c r="J2278" s="5">
        <f ca="1">IFERROR(__xludf.DUMMYFUNCTION("""COMPUTED_VALUE"""),0)</f>
        <v>0</v>
      </c>
      <c r="K2278" s="9" t="str">
        <f ca="1">IFERROR(__xludf.DUMMYFUNCTION("""COMPUTED_VALUE"""),"https://www.newspapers.com/image/378657230/?terms=school%2Bshooting")</f>
        <v>https://www.newspapers.com/image/378657230/?terms=school%2Bshooting</v>
      </c>
      <c r="L2278" s="5"/>
      <c r="M2278" s="5"/>
      <c r="N2278" s="5">
        <f ca="1">IFERROR(__xludf.DUMMYFUNCTION("""COMPUTED_VALUE"""),2)</f>
        <v>2</v>
      </c>
      <c r="O2278" s="5" t="str">
        <f ca="1">IFERROR(__xludf.DUMMYFUNCTION("""COMPUTED_VALUE"""),"Fall")</f>
        <v>Fall</v>
      </c>
      <c r="P2278" s="5" t="str">
        <f ca="1">IFERROR(__xludf.DUMMYFUNCTION("""COMPUTED_VALUE"""),"Petersburg")</f>
        <v>Petersburg</v>
      </c>
      <c r="Q2278" s="5" t="str">
        <f ca="1">IFERROR(__xludf.DUMMYFUNCTION("""COMPUTED_VALUE"""),"VA")</f>
        <v>VA</v>
      </c>
      <c r="R2278" s="5" t="str">
        <f ca="1">IFERROR(__xludf.DUMMYFUNCTION("""COMPUTED_VALUE"""),"Junior High")</f>
        <v>Junior High</v>
      </c>
      <c r="S2278" s="5" t="str">
        <f ca="1">IFERROR(__xludf.DUMMYFUNCTION("""COMPUTED_VALUE"""),"Classroom")</f>
        <v>Classroom</v>
      </c>
      <c r="T2278" s="5" t="str">
        <f ca="1">IFERROR(__xludf.DUMMYFUNCTION("""COMPUTED_VALUE"""),"Inside School Building")</f>
        <v>Inside School Building</v>
      </c>
      <c r="U2278" s="5" t="str">
        <f ca="1">IFERROR(__xludf.DUMMYFUNCTION("""COMPUTED_VALUE"""),"Yes")</f>
        <v>Yes</v>
      </c>
      <c r="V2278" s="5"/>
      <c r="W2278" s="5"/>
      <c r="X2278" s="5">
        <f ca="1">IFERROR(__xludf.DUMMYFUNCTION("""COMPUTED_VALUE"""),1)</f>
        <v>1</v>
      </c>
      <c r="Y2278" s="5" t="str">
        <f ca="1">IFERROR(__xludf.DUMMYFUNCTION("""COMPUTED_VALUE"""),"Ran into math class and fired 4 shots before being subdued")</f>
        <v>Ran into math class and fired 4 shots before being subdued</v>
      </c>
      <c r="Z2278" s="5" t="str">
        <f ca="1">IFERROR(__xludf.DUMMYFUNCTION("""COMPUTED_VALUE"""),"14 year-old male student ran into math class with pistol firing 4 shots before being subdued by teacher and other students. Shots injured 2 students and killed one other. School was recently desegregated but that did not appear to be a factor.")</f>
        <v>14 year-old male student ran into math class with pistol firing 4 shots before being subdued by teacher and other students. Shots injured 2 students and killed one other. School was recently desegregated but that did not appear to be a factor.</v>
      </c>
      <c r="AA2278" s="5" t="str">
        <f ca="1">IFERROR(__xludf.DUMMYFUNCTION("""COMPUTED_VALUE"""),"Indiscriminate Shooting")</f>
        <v>Indiscriminate Shooting</v>
      </c>
      <c r="AB2278" s="5" t="str">
        <f ca="1">IFERROR(__xludf.DUMMYFUNCTION("""COMPUTED_VALUE"""),"Random Shooting")</f>
        <v>Random Shooting</v>
      </c>
      <c r="AC2278" s="5" t="str">
        <f ca="1">IFERROR(__xludf.DUMMYFUNCTION("""COMPUTED_VALUE"""),"No")</f>
        <v>No</v>
      </c>
      <c r="AD2278" s="5" t="str">
        <f ca="1">IFERROR(__xludf.DUMMYFUNCTION("""COMPUTED_VALUE"""),"No")</f>
        <v>No</v>
      </c>
      <c r="AE2278" s="5" t="str">
        <f ca="1">IFERROR(__xludf.DUMMYFUNCTION("""COMPUTED_VALUE"""),"No")</f>
        <v>No</v>
      </c>
      <c r="AF2278" s="5" t="str">
        <f ca="1">IFERROR(__xludf.DUMMYFUNCTION("""COMPUTED_VALUE"""),"No")</f>
        <v>No</v>
      </c>
      <c r="AG2278" s="5"/>
      <c r="AH2278" s="5" t="str">
        <f ca="1">IFERROR(__xludf.DUMMYFUNCTION("""COMPUTED_VALUE"""),"No")</f>
        <v>No</v>
      </c>
      <c r="AI2278" s="5" t="str">
        <f ca="1">IFERROR(__xludf.DUMMYFUNCTION("""COMPUTED_VALUE"""),"No")</f>
        <v>No</v>
      </c>
      <c r="AJ2278" s="5" t="str">
        <f ca="1">IFERROR(__xludf.DUMMYFUNCTION("""COMPUTED_VALUE"""),"Yes")</f>
        <v>Yes</v>
      </c>
    </row>
    <row r="2279" spans="1:36" ht="13">
      <c r="A2279" s="5" t="str">
        <f ca="1">IFERROR(__xludf.DUMMYFUNCTION("""COMPUTED_VALUE"""),"19710928MNCEM")</f>
        <v>19710928MNCEM</v>
      </c>
      <c r="B2279" s="5">
        <f ca="1">IFERROR(__xludf.DUMMYFUNCTION("""COMPUTED_VALUE"""),9)</f>
        <v>9</v>
      </c>
      <c r="C2279" s="5">
        <f ca="1">IFERROR(__xludf.DUMMYFUNCTION("""COMPUTED_VALUE"""),28)</f>
        <v>28</v>
      </c>
      <c r="D2279" s="5">
        <f ca="1">IFERROR(__xludf.DUMMYFUNCTION("""COMPUTED_VALUE"""),1971)</f>
        <v>1971</v>
      </c>
      <c r="E2279" s="8">
        <f ca="1">IFERROR(__xludf.DUMMYFUNCTION("""COMPUTED_VALUE"""),26204)</f>
        <v>26204</v>
      </c>
      <c r="F2279" s="5" t="str">
        <f ca="1">IFERROR(__xludf.DUMMYFUNCTION("""COMPUTED_VALUE"""),"Central High School")</f>
        <v>Central High School</v>
      </c>
      <c r="G2279" s="5">
        <f ca="1">IFERROR(__xludf.DUMMYFUNCTION("""COMPUTED_VALUE"""),0)</f>
        <v>0</v>
      </c>
      <c r="H2279" s="5">
        <f ca="1">IFERROR(__xludf.DUMMYFUNCTION("""COMPUTED_VALUE"""),0)</f>
        <v>0</v>
      </c>
      <c r="I2279" s="5">
        <f ca="1">IFERROR(__xludf.DUMMYFUNCTION("""COMPUTED_VALUE"""),0)</f>
        <v>0</v>
      </c>
      <c r="J2279" s="5">
        <f ca="1">IFERROR(__xludf.DUMMYFUNCTION("""COMPUTED_VALUE"""),0)</f>
        <v>0</v>
      </c>
      <c r="K2279" s="9" t="str">
        <f ca="1">IFERROR(__xludf.DUMMYFUNCTION("""COMPUTED_VALUE"""),"https://www.newspapers.com/image/190388672/?terms=school%2Bshooting")</f>
        <v>https://www.newspapers.com/image/190388672/?terms=school%2Bshooting</v>
      </c>
      <c r="L2279" s="5"/>
      <c r="M2279" s="5"/>
      <c r="N2279" s="5">
        <f ca="1">IFERROR(__xludf.DUMMYFUNCTION("""COMPUTED_VALUE"""),2)</f>
        <v>2</v>
      </c>
      <c r="O2279" s="5" t="str">
        <f ca="1">IFERROR(__xludf.DUMMYFUNCTION("""COMPUTED_VALUE"""),"Fall")</f>
        <v>Fall</v>
      </c>
      <c r="P2279" s="5" t="str">
        <f ca="1">IFERROR(__xludf.DUMMYFUNCTION("""COMPUTED_VALUE"""),"Minneapolis")</f>
        <v>Minneapolis</v>
      </c>
      <c r="Q2279" s="5" t="str">
        <f ca="1">IFERROR(__xludf.DUMMYFUNCTION("""COMPUTED_VALUE"""),"MN")</f>
        <v>MN</v>
      </c>
      <c r="R2279" s="5" t="str">
        <f ca="1">IFERROR(__xludf.DUMMYFUNCTION("""COMPUTED_VALUE"""),"High")</f>
        <v>High</v>
      </c>
      <c r="S2279" s="5" t="str">
        <f ca="1">IFERROR(__xludf.DUMMYFUNCTION("""COMPUTED_VALUE"""),"Inside School Building")</f>
        <v>Inside School Building</v>
      </c>
      <c r="T2279" s="5" t="str">
        <f ca="1">IFERROR(__xludf.DUMMYFUNCTION("""COMPUTED_VALUE"""),"Inside School Building")</f>
        <v>Inside School Building</v>
      </c>
      <c r="U2279" s="5" t="str">
        <f ca="1">IFERROR(__xludf.DUMMYFUNCTION("""COMPUTED_VALUE"""),"Yes")</f>
        <v>Yes</v>
      </c>
      <c r="V2279" s="5" t="str">
        <f ca="1">IFERROR(__xludf.DUMMYFUNCTION("""COMPUTED_VALUE"""),"Lunch")</f>
        <v>Lunch</v>
      </c>
      <c r="W2279" s="10">
        <f ca="1">IFERROR(__xludf.DUMMYFUNCTION("""COMPUTED_VALUE"""),0.5)</f>
        <v>0.5</v>
      </c>
      <c r="X2279" s="5">
        <f ca="1">IFERROR(__xludf.DUMMYFUNCTION("""COMPUTED_VALUE"""),1)</f>
        <v>1</v>
      </c>
      <c r="Y2279" s="5" t="str">
        <f ca="1">IFERROR(__xludf.DUMMYFUNCTION("""COMPUTED_VALUE"""),"Group of armed assailants chased student through cafeteria firing shots")</f>
        <v>Group of armed assailants chased student through cafeteria firing shots</v>
      </c>
      <c r="Z2279" s="5" t="str">
        <f ca="1">IFERROR(__xludf.DUMMYFUNCTION("""COMPUTED_VALUE"""),"Group of armed assailants chased a student through the cafeteria. Multiple shots were fired but no students were injured. Shooters and targeted victim had prior conflict.")</f>
        <v>Group of armed assailants chased a student through the cafeteria. Multiple shots were fired but no students were injured. Shooters and targeted victim had prior conflict.</v>
      </c>
      <c r="AA2279" s="5" t="str">
        <f ca="1">IFERROR(__xludf.DUMMYFUNCTION("""COMPUTED_VALUE"""),"Escalation of Dispute")</f>
        <v>Escalation of Dispute</v>
      </c>
      <c r="AB2279" s="5" t="str">
        <f ca="1">IFERROR(__xludf.DUMMYFUNCTION("""COMPUTED_VALUE"""),"Victims Targeted")</f>
        <v>Victims Targeted</v>
      </c>
      <c r="AC2279" s="5" t="str">
        <f ca="1">IFERROR(__xludf.DUMMYFUNCTION("""COMPUTED_VALUE"""),"No")</f>
        <v>No</v>
      </c>
      <c r="AD2279" s="5" t="str">
        <f ca="1">IFERROR(__xludf.DUMMYFUNCTION("""COMPUTED_VALUE"""),"No")</f>
        <v>No</v>
      </c>
      <c r="AE2279" s="5" t="str">
        <f ca="1">IFERROR(__xludf.DUMMYFUNCTION("""COMPUTED_VALUE"""),"No")</f>
        <v>No</v>
      </c>
      <c r="AF2279" s="5" t="str">
        <f ca="1">IFERROR(__xludf.DUMMYFUNCTION("""COMPUTED_VALUE"""),"No")</f>
        <v>No</v>
      </c>
      <c r="AG2279" s="5" t="str">
        <f ca="1">IFERROR(__xludf.DUMMYFUNCTION("""COMPUTED_VALUE"""),"No")</f>
        <v>No</v>
      </c>
      <c r="AH2279" s="5" t="str">
        <f ca="1">IFERROR(__xludf.DUMMYFUNCTION("""COMPUTED_VALUE"""),"No")</f>
        <v>No</v>
      </c>
      <c r="AI2279" s="5" t="str">
        <f ca="1">IFERROR(__xludf.DUMMYFUNCTION("""COMPUTED_VALUE"""),"No")</f>
        <v>No</v>
      </c>
      <c r="AJ2279" s="5"/>
    </row>
    <row r="2280" spans="1:36" ht="13">
      <c r="A2280" s="5" t="str">
        <f ca="1">IFERROR(__xludf.DUMMYFUNCTION("""COMPUTED_VALUE"""),"19710924NYMCB")</f>
        <v>19710924NYMCB</v>
      </c>
      <c r="B2280" s="5">
        <f ca="1">IFERROR(__xludf.DUMMYFUNCTION("""COMPUTED_VALUE"""),9)</f>
        <v>9</v>
      </c>
      <c r="C2280" s="5">
        <f ca="1">IFERROR(__xludf.DUMMYFUNCTION("""COMPUTED_VALUE"""),24)</f>
        <v>24</v>
      </c>
      <c r="D2280" s="5">
        <f ca="1">IFERROR(__xludf.DUMMYFUNCTION("""COMPUTED_VALUE"""),1971)</f>
        <v>1971</v>
      </c>
      <c r="E2280" s="8">
        <f ca="1">IFERROR(__xludf.DUMMYFUNCTION("""COMPUTED_VALUE"""),26200)</f>
        <v>26200</v>
      </c>
      <c r="F2280" s="5" t="str">
        <f ca="1">IFERROR(__xludf.DUMMYFUNCTION("""COMPUTED_VALUE"""),"McKinley Vocational High School")</f>
        <v>McKinley Vocational High School</v>
      </c>
      <c r="G2280" s="5">
        <f ca="1">IFERROR(__xludf.DUMMYFUNCTION("""COMPUTED_VALUE"""),1)</f>
        <v>1</v>
      </c>
      <c r="H2280" s="5">
        <f ca="1">IFERROR(__xludf.DUMMYFUNCTION("""COMPUTED_VALUE"""),0)</f>
        <v>0</v>
      </c>
      <c r="I2280" s="5">
        <f ca="1">IFERROR(__xludf.DUMMYFUNCTION("""COMPUTED_VALUE"""),1)</f>
        <v>1</v>
      </c>
      <c r="J2280" s="5">
        <f ca="1">IFERROR(__xludf.DUMMYFUNCTION("""COMPUTED_VALUE"""),0)</f>
        <v>0</v>
      </c>
      <c r="K2280" s="9" t="str">
        <f ca="1">IFERROR(__xludf.DUMMYFUNCTION("""COMPUTED_VALUE"""),"https://www.newspapers.com/image/346849918/?terms=school%2Bshooting")</f>
        <v>https://www.newspapers.com/image/346849918/?terms=school%2Bshooting</v>
      </c>
      <c r="L2280" s="5"/>
      <c r="M2280" s="5"/>
      <c r="N2280" s="5">
        <f ca="1">IFERROR(__xludf.DUMMYFUNCTION("""COMPUTED_VALUE"""),2)</f>
        <v>2</v>
      </c>
      <c r="O2280" s="5" t="str">
        <f ca="1">IFERROR(__xludf.DUMMYFUNCTION("""COMPUTED_VALUE"""),"Fall")</f>
        <v>Fall</v>
      </c>
      <c r="P2280" s="5" t="str">
        <f ca="1">IFERROR(__xludf.DUMMYFUNCTION("""COMPUTED_VALUE"""),"Buffalo")</f>
        <v>Buffalo</v>
      </c>
      <c r="Q2280" s="5" t="str">
        <f ca="1">IFERROR(__xludf.DUMMYFUNCTION("""COMPUTED_VALUE"""),"NY")</f>
        <v>NY</v>
      </c>
      <c r="R2280" s="5" t="str">
        <f ca="1">IFERROR(__xludf.DUMMYFUNCTION("""COMPUTED_VALUE"""),"High")</f>
        <v>High</v>
      </c>
      <c r="S2280" s="5" t="str">
        <f ca="1">IFERROR(__xludf.DUMMYFUNCTION("""COMPUTED_VALUE"""),"Classroom")</f>
        <v>Classroom</v>
      </c>
      <c r="T2280" s="5" t="str">
        <f ca="1">IFERROR(__xludf.DUMMYFUNCTION("""COMPUTED_VALUE"""),"Inside School Building")</f>
        <v>Inside School Building</v>
      </c>
      <c r="U2280" s="5" t="str">
        <f ca="1">IFERROR(__xludf.DUMMYFUNCTION("""COMPUTED_VALUE"""),"Yes")</f>
        <v>Yes</v>
      </c>
      <c r="V2280" s="5"/>
      <c r="W2280" s="5"/>
      <c r="X2280" s="5">
        <f ca="1">IFERROR(__xludf.DUMMYFUNCTION("""COMPUTED_VALUE"""),1)</f>
        <v>1</v>
      </c>
      <c r="Y2280" s="5" t="str">
        <f ca="1">IFERROR(__xludf.DUMMYFUNCTION("""COMPUTED_VALUE"""),"Argument escalated into shooting inside classroom")</f>
        <v>Argument escalated into shooting inside classroom</v>
      </c>
      <c r="Z2280" s="5" t="str">
        <f ca="1">IFERROR(__xludf.DUMMYFUNCTION("""COMPUTED_VALUE"""),"Argument between students in a classroom escalated into shooting.")</f>
        <v>Argument between students in a classroom escalated into shooting.</v>
      </c>
      <c r="AA2280" s="5" t="str">
        <f ca="1">IFERROR(__xludf.DUMMYFUNCTION("""COMPUTED_VALUE"""),"Escalation of Dispute")</f>
        <v>Escalation of Dispute</v>
      </c>
      <c r="AB2280" s="5" t="str">
        <f ca="1">IFERROR(__xludf.DUMMYFUNCTION("""COMPUTED_VALUE"""),"Victims Targeted")</f>
        <v>Victims Targeted</v>
      </c>
      <c r="AC2280" s="5" t="str">
        <f ca="1">IFERROR(__xludf.DUMMYFUNCTION("""COMPUTED_VALUE"""),"No")</f>
        <v>No</v>
      </c>
      <c r="AD2280" s="5" t="str">
        <f ca="1">IFERROR(__xludf.DUMMYFUNCTION("""COMPUTED_VALUE"""),"No")</f>
        <v>No</v>
      </c>
      <c r="AE2280" s="5" t="str">
        <f ca="1">IFERROR(__xludf.DUMMYFUNCTION("""COMPUTED_VALUE"""),"No")</f>
        <v>No</v>
      </c>
      <c r="AF2280" s="5" t="str">
        <f ca="1">IFERROR(__xludf.DUMMYFUNCTION("""COMPUTED_VALUE"""),"No")</f>
        <v>No</v>
      </c>
      <c r="AG2280" s="5" t="str">
        <f ca="1">IFERROR(__xludf.DUMMYFUNCTION("""COMPUTED_VALUE"""),"No")</f>
        <v>No</v>
      </c>
      <c r="AH2280" s="5" t="str">
        <f ca="1">IFERROR(__xludf.DUMMYFUNCTION("""COMPUTED_VALUE"""),"No")</f>
        <v>No</v>
      </c>
      <c r="AI2280" s="5" t="str">
        <f ca="1">IFERROR(__xludf.DUMMYFUNCTION("""COMPUTED_VALUE"""),"No")</f>
        <v>No</v>
      </c>
      <c r="AJ2280" s="5"/>
    </row>
    <row r="2281" spans="1:36" ht="13">
      <c r="A2281" s="5" t="str">
        <f ca="1">IFERROR(__xludf.DUMMYFUNCTION("""COMPUTED_VALUE"""),"19710909TXDUL")</f>
        <v>19710909TXDUL</v>
      </c>
      <c r="B2281" s="5">
        <f ca="1">IFERROR(__xludf.DUMMYFUNCTION("""COMPUTED_VALUE"""),9)</f>
        <v>9</v>
      </c>
      <c r="C2281" s="5">
        <f ca="1">IFERROR(__xludf.DUMMYFUNCTION("""COMPUTED_VALUE"""),9)</f>
        <v>9</v>
      </c>
      <c r="D2281" s="5">
        <f ca="1">IFERROR(__xludf.DUMMYFUNCTION("""COMPUTED_VALUE"""),1971)</f>
        <v>1971</v>
      </c>
      <c r="E2281" s="8">
        <f ca="1">IFERROR(__xludf.DUMMYFUNCTION("""COMPUTED_VALUE"""),26185)</f>
        <v>26185</v>
      </c>
      <c r="F2281" s="5" t="str">
        <f ca="1">IFERROR(__xludf.DUMMYFUNCTION("""COMPUTED_VALUE"""),"Dunbar High School")</f>
        <v>Dunbar High School</v>
      </c>
      <c r="G2281" s="5">
        <f ca="1">IFERROR(__xludf.DUMMYFUNCTION("""COMPUTED_VALUE"""),1)</f>
        <v>1</v>
      </c>
      <c r="H2281" s="5">
        <f ca="1">IFERROR(__xludf.DUMMYFUNCTION("""COMPUTED_VALUE"""),0)</f>
        <v>0</v>
      </c>
      <c r="I2281" s="5">
        <f ca="1">IFERROR(__xludf.DUMMYFUNCTION("""COMPUTED_VALUE"""),1)</f>
        <v>1</v>
      </c>
      <c r="J2281" s="5">
        <f ca="1">IFERROR(__xludf.DUMMYFUNCTION("""COMPUTED_VALUE"""),0)</f>
        <v>0</v>
      </c>
      <c r="K2281" s="9" t="str">
        <f ca="1">IFERROR(__xludf.DUMMYFUNCTION("""COMPUTED_VALUE"""),"https://www.newspapers.com/image/9122502/?terms=school%2Bshooting")</f>
        <v>https://www.newspapers.com/image/9122502/?terms=school%2Bshooting</v>
      </c>
      <c r="L2281" s="5"/>
      <c r="M2281" s="5"/>
      <c r="N2281" s="5">
        <f ca="1">IFERROR(__xludf.DUMMYFUNCTION("""COMPUTED_VALUE"""),3)</f>
        <v>3</v>
      </c>
      <c r="O2281" s="5" t="str">
        <f ca="1">IFERROR(__xludf.DUMMYFUNCTION("""COMPUTED_VALUE"""),"Fall")</f>
        <v>Fall</v>
      </c>
      <c r="P2281" s="5" t="str">
        <f ca="1">IFERROR(__xludf.DUMMYFUNCTION("""COMPUTED_VALUE"""),"Lubbock")</f>
        <v>Lubbock</v>
      </c>
      <c r="Q2281" s="5" t="str">
        <f ca="1">IFERROR(__xludf.DUMMYFUNCTION("""COMPUTED_VALUE"""),"TX")</f>
        <v>TX</v>
      </c>
      <c r="R2281" s="5" t="str">
        <f ca="1">IFERROR(__xludf.DUMMYFUNCTION("""COMPUTED_VALUE"""),"High")</f>
        <v>High</v>
      </c>
      <c r="S2281" s="5" t="str">
        <f ca="1">IFERROR(__xludf.DUMMYFUNCTION("""COMPUTED_VALUE"""),"Inside School Building")</f>
        <v>Inside School Building</v>
      </c>
      <c r="T2281" s="5" t="str">
        <f ca="1">IFERROR(__xludf.DUMMYFUNCTION("""COMPUTED_VALUE"""),"Inside School Building")</f>
        <v>Inside School Building</v>
      </c>
      <c r="U2281" s="5" t="str">
        <f ca="1">IFERROR(__xludf.DUMMYFUNCTION("""COMPUTED_VALUE"""),"Yes")</f>
        <v>Yes</v>
      </c>
      <c r="V2281" s="5" t="str">
        <f ca="1">IFERROR(__xludf.DUMMYFUNCTION("""COMPUTED_VALUE"""),"School Start")</f>
        <v>School Start</v>
      </c>
      <c r="W2281" s="5"/>
      <c r="X2281" s="5"/>
      <c r="Y2281" s="5" t="str">
        <f ca="1">IFERROR(__xludf.DUMMYFUNCTION("""COMPUTED_VALUE"""),"Following argument, shooter went home to get gun and returned to kill other student")</f>
        <v>Following argument, shooter went home to get gun and returned to kill other student</v>
      </c>
      <c r="Z2281" s="5" t="str">
        <f ca="1">IFERROR(__xludf.DUMMYFUNCTION("""COMPUTED_VALUE"""),"Shooter had argument with victim and left school to get handgun. Shooter returned to school and killed the victim. Shooter was white and victim was black, school had been recently integrated.")</f>
        <v>Shooter had argument with victim and left school to get handgun. Shooter returned to school and killed the victim. Shooter was white and victim was black, school had been recently integrated.</v>
      </c>
      <c r="AA2281" s="5" t="str">
        <f ca="1">IFERROR(__xludf.DUMMYFUNCTION("""COMPUTED_VALUE"""),"Escalation of Dispute")</f>
        <v>Escalation of Dispute</v>
      </c>
      <c r="AB2281" s="5" t="str">
        <f ca="1">IFERROR(__xludf.DUMMYFUNCTION("""COMPUTED_VALUE"""),"Victims Targeted")</f>
        <v>Victims Targeted</v>
      </c>
      <c r="AC2281" s="5" t="str">
        <f ca="1">IFERROR(__xludf.DUMMYFUNCTION("""COMPUTED_VALUE"""),"No")</f>
        <v>No</v>
      </c>
      <c r="AD2281" s="5" t="str">
        <f ca="1">IFERROR(__xludf.DUMMYFUNCTION("""COMPUTED_VALUE"""),"No")</f>
        <v>No</v>
      </c>
      <c r="AE2281" s="5" t="str">
        <f ca="1">IFERROR(__xludf.DUMMYFUNCTION("""COMPUTED_VALUE"""),"No")</f>
        <v>No</v>
      </c>
      <c r="AF2281" s="5" t="str">
        <f ca="1">IFERROR(__xludf.DUMMYFUNCTION("""COMPUTED_VALUE"""),"No")</f>
        <v>No</v>
      </c>
      <c r="AG2281" s="5" t="str">
        <f ca="1">IFERROR(__xludf.DUMMYFUNCTION("""COMPUTED_VALUE"""),"No")</f>
        <v>No</v>
      </c>
      <c r="AH2281" s="5" t="str">
        <f ca="1">IFERROR(__xludf.DUMMYFUNCTION("""COMPUTED_VALUE"""),"No")</f>
        <v>No</v>
      </c>
      <c r="AI2281" s="5" t="str">
        <f ca="1">IFERROR(__xludf.DUMMYFUNCTION("""COMPUTED_VALUE"""),"No")</f>
        <v>No</v>
      </c>
      <c r="AJ2281" s="5"/>
    </row>
    <row r="2282" spans="1:36" ht="13">
      <c r="A2282" s="5" t="str">
        <f ca="1">IFERROR(__xludf.DUMMYFUNCTION("""COMPUTED_VALUE"""),"19710820PAMOM")</f>
        <v>19710820PAMOM</v>
      </c>
      <c r="B2282" s="5">
        <f ca="1">IFERROR(__xludf.DUMMYFUNCTION("""COMPUTED_VALUE"""),8)</f>
        <v>8</v>
      </c>
      <c r="C2282" s="5">
        <f ca="1">IFERROR(__xludf.DUMMYFUNCTION("""COMPUTED_VALUE"""),20)</f>
        <v>20</v>
      </c>
      <c r="D2282" s="5">
        <f ca="1">IFERROR(__xludf.DUMMYFUNCTION("""COMPUTED_VALUE"""),1971)</f>
        <v>1971</v>
      </c>
      <c r="E2282" s="8">
        <f ca="1">IFERROR(__xludf.DUMMYFUNCTION("""COMPUTED_VALUE"""),26165)</f>
        <v>26165</v>
      </c>
      <c r="F2282" s="5" t="str">
        <f ca="1">IFERROR(__xludf.DUMMYFUNCTION("""COMPUTED_VALUE"""),"Monessen High School")</f>
        <v>Monessen High School</v>
      </c>
      <c r="G2282" s="5">
        <f ca="1">IFERROR(__xludf.DUMMYFUNCTION("""COMPUTED_VALUE"""),0)</f>
        <v>0</v>
      </c>
      <c r="H2282" s="5">
        <f ca="1">IFERROR(__xludf.DUMMYFUNCTION("""COMPUTED_VALUE"""),1)</f>
        <v>1</v>
      </c>
      <c r="I2282" s="5">
        <f ca="1">IFERROR(__xludf.DUMMYFUNCTION("""COMPUTED_VALUE"""),1)</f>
        <v>1</v>
      </c>
      <c r="J2282" s="5">
        <f ca="1">IFERROR(__xludf.DUMMYFUNCTION("""COMPUTED_VALUE"""),0)</f>
        <v>0</v>
      </c>
      <c r="K2282" s="9" t="str">
        <f ca="1">IFERROR(__xludf.DUMMYFUNCTION("""COMPUTED_VALUE"""),"https://www.newspapers.com/image/72973348/?terms=school%2Bshooting")</f>
        <v>https://www.newspapers.com/image/72973348/?terms=school%2Bshooting</v>
      </c>
      <c r="L2282" s="5"/>
      <c r="M2282" s="5"/>
      <c r="N2282" s="5">
        <f ca="1">IFERROR(__xludf.DUMMYFUNCTION("""COMPUTED_VALUE"""),3)</f>
        <v>3</v>
      </c>
      <c r="O2282" s="5" t="str">
        <f ca="1">IFERROR(__xludf.DUMMYFUNCTION("""COMPUTED_VALUE"""),"Summer")</f>
        <v>Summer</v>
      </c>
      <c r="P2282" s="5" t="str">
        <f ca="1">IFERROR(__xludf.DUMMYFUNCTION("""COMPUTED_VALUE"""),"Monessen")</f>
        <v>Monessen</v>
      </c>
      <c r="Q2282" s="5" t="str">
        <f ca="1">IFERROR(__xludf.DUMMYFUNCTION("""COMPUTED_VALUE"""),"PA")</f>
        <v>PA</v>
      </c>
      <c r="R2282" s="5" t="str">
        <f ca="1">IFERROR(__xludf.DUMMYFUNCTION("""COMPUTED_VALUE"""),"High")</f>
        <v>High</v>
      </c>
      <c r="S2282" s="5" t="str">
        <f ca="1">IFERROR(__xludf.DUMMYFUNCTION("""COMPUTED_VALUE"""),"Outside on School Property")</f>
        <v>Outside on School Property</v>
      </c>
      <c r="T2282" s="5" t="str">
        <f ca="1">IFERROR(__xludf.DUMMYFUNCTION("""COMPUTED_VALUE"""),"Outside on School Property")</f>
        <v>Outside on School Property</v>
      </c>
      <c r="U2282" s="5" t="str">
        <f ca="1">IFERROR(__xludf.DUMMYFUNCTION("""COMPUTED_VALUE"""),"No")</f>
        <v>No</v>
      </c>
      <c r="V2282" s="5" t="str">
        <f ca="1">IFERROR(__xludf.DUMMYFUNCTION("""COMPUTED_VALUE"""),"Night")</f>
        <v>Night</v>
      </c>
      <c r="W2282" s="5"/>
      <c r="X2282" s="5"/>
      <c r="Y2282" s="5" t="str">
        <f ca="1">IFERROR(__xludf.DUMMYFUNCTION("""COMPUTED_VALUE"""),"Night watchman (white) shot black student")</f>
        <v>Night watchman (white) shot black student</v>
      </c>
      <c r="Z2282" s="5" t="str">
        <f ca="1">IFERROR(__xludf.DUMMYFUNCTION("""COMPUTED_VALUE"""),"72 year-old male night watchman shot a 18 year-old male black student. Shooting spurred days of protests by black students and residents.")</f>
        <v>72 year-old male night watchman shot a 18 year-old male black student. Shooting spurred days of protests by black students and residents.</v>
      </c>
      <c r="AA2282" s="5" t="str">
        <f ca="1">IFERROR(__xludf.DUMMYFUNCTION("""COMPUTED_VALUE"""),"Racial")</f>
        <v>Racial</v>
      </c>
      <c r="AB2282" s="5" t="str">
        <f ca="1">IFERROR(__xludf.DUMMYFUNCTION("""COMPUTED_VALUE"""),"Victims Targeted")</f>
        <v>Victims Targeted</v>
      </c>
      <c r="AC2282" s="5" t="str">
        <f ca="1">IFERROR(__xludf.DUMMYFUNCTION("""COMPUTED_VALUE"""),"No")</f>
        <v>No</v>
      </c>
      <c r="AD2282" s="5" t="str">
        <f ca="1">IFERROR(__xludf.DUMMYFUNCTION("""COMPUTED_VALUE"""),"No")</f>
        <v>No</v>
      </c>
      <c r="AE2282" s="5" t="str">
        <f ca="1">IFERROR(__xludf.DUMMYFUNCTION("""COMPUTED_VALUE"""),"No")</f>
        <v>No</v>
      </c>
      <c r="AF2282" s="5" t="str">
        <f ca="1">IFERROR(__xludf.DUMMYFUNCTION("""COMPUTED_VALUE"""),"Yes")</f>
        <v>Yes</v>
      </c>
      <c r="AG2282" s="5" t="str">
        <f ca="1">IFERROR(__xludf.DUMMYFUNCTION("""COMPUTED_VALUE"""),"No")</f>
        <v>No</v>
      </c>
      <c r="AH2282" s="5" t="str">
        <f ca="1">IFERROR(__xludf.DUMMYFUNCTION("""COMPUTED_VALUE"""),"No")</f>
        <v>No</v>
      </c>
      <c r="AI2282" s="5" t="str">
        <f ca="1">IFERROR(__xludf.DUMMYFUNCTION("""COMPUTED_VALUE"""),"No")</f>
        <v>No</v>
      </c>
      <c r="AJ2282" s="5"/>
    </row>
    <row r="2283" spans="1:36" ht="13">
      <c r="A2283" s="5" t="str">
        <f ca="1">IFERROR(__xludf.DUMMYFUNCTION("""COMPUTED_VALUE"""),"19710602NYEAE")</f>
        <v>19710602NYEAE</v>
      </c>
      <c r="B2283" s="5">
        <f ca="1">IFERROR(__xludf.DUMMYFUNCTION("""COMPUTED_VALUE"""),6)</f>
        <v>6</v>
      </c>
      <c r="C2283" s="5">
        <f ca="1">IFERROR(__xludf.DUMMYFUNCTION("""COMPUTED_VALUE"""),2)</f>
        <v>2</v>
      </c>
      <c r="D2283" s="5">
        <f ca="1">IFERROR(__xludf.DUMMYFUNCTION("""COMPUTED_VALUE"""),1971)</f>
        <v>1971</v>
      </c>
      <c r="E2283" s="8">
        <f ca="1">IFERROR(__xludf.DUMMYFUNCTION("""COMPUTED_VALUE"""),26086)</f>
        <v>26086</v>
      </c>
      <c r="F2283" s="5" t="str">
        <f ca="1">IFERROR(__xludf.DUMMYFUNCTION("""COMPUTED_VALUE"""),"East Aurora Middle School")</f>
        <v>East Aurora Middle School</v>
      </c>
      <c r="G2283" s="5">
        <f ca="1">IFERROR(__xludf.DUMMYFUNCTION("""COMPUTED_VALUE"""),0)</f>
        <v>0</v>
      </c>
      <c r="H2283" s="5">
        <f ca="1">IFERROR(__xludf.DUMMYFUNCTION("""COMPUTED_VALUE"""),0)</f>
        <v>0</v>
      </c>
      <c r="I2283" s="5">
        <f ca="1">IFERROR(__xludf.DUMMYFUNCTION("""COMPUTED_VALUE"""),0)</f>
        <v>0</v>
      </c>
      <c r="J2283" s="5">
        <f ca="1">IFERROR(__xludf.DUMMYFUNCTION("""COMPUTED_VALUE"""),1)</f>
        <v>1</v>
      </c>
      <c r="K2283" s="9" t="str">
        <f ca="1">IFERROR(__xludf.DUMMYFUNCTION("""COMPUTED_VALUE"""),"https://www.newspapers.com/image/255572230/?terms=school%2Bshooting")</f>
        <v>https://www.newspapers.com/image/255572230/?terms=school%2Bshooting</v>
      </c>
      <c r="L2283" s="5"/>
      <c r="M2283" s="5"/>
      <c r="N2283" s="5">
        <f ca="1">IFERROR(__xludf.DUMMYFUNCTION("""COMPUTED_VALUE"""),3)</f>
        <v>3</v>
      </c>
      <c r="O2283" s="5" t="str">
        <f ca="1">IFERROR(__xludf.DUMMYFUNCTION("""COMPUTED_VALUE"""),"Summer")</f>
        <v>Summer</v>
      </c>
      <c r="P2283" s="5" t="str">
        <f ca="1">IFERROR(__xludf.DUMMYFUNCTION("""COMPUTED_VALUE"""),"East Aurora")</f>
        <v>East Aurora</v>
      </c>
      <c r="Q2283" s="5" t="str">
        <f ca="1">IFERROR(__xludf.DUMMYFUNCTION("""COMPUTED_VALUE"""),"NY")</f>
        <v>NY</v>
      </c>
      <c r="R2283" s="5" t="str">
        <f ca="1">IFERROR(__xludf.DUMMYFUNCTION("""COMPUTED_VALUE"""),"Middle")</f>
        <v>Middle</v>
      </c>
      <c r="S2283" s="5" t="str">
        <f ca="1">IFERROR(__xludf.DUMMYFUNCTION("""COMPUTED_VALUE"""),"Classroom")</f>
        <v>Classroom</v>
      </c>
      <c r="T2283" s="5" t="str">
        <f ca="1">IFERROR(__xludf.DUMMYFUNCTION("""COMPUTED_VALUE"""),"Inside School Building")</f>
        <v>Inside School Building</v>
      </c>
      <c r="U2283" s="5" t="str">
        <f ca="1">IFERROR(__xludf.DUMMYFUNCTION("""COMPUTED_VALUE"""),"Yes")</f>
        <v>Yes</v>
      </c>
      <c r="V2283" s="5" t="str">
        <f ca="1">IFERROR(__xludf.DUMMYFUNCTION("""COMPUTED_VALUE"""),"Afternoon Classes")</f>
        <v>Afternoon Classes</v>
      </c>
      <c r="W2283" s="5"/>
      <c r="X2283" s="5">
        <f ca="1">IFERROR(__xludf.DUMMYFUNCTION("""COMPUTED_VALUE"""),1)</f>
        <v>1</v>
      </c>
      <c r="Y2283" s="5" t="str">
        <f ca="1">IFERROR(__xludf.DUMMYFUNCTION("""COMPUTED_VALUE"""),"Fatally wounded self from accidental discharge")</f>
        <v>Fatally wounded self from accidental discharge</v>
      </c>
      <c r="Z2283" s="5" t="str">
        <f ca="1">IFERROR(__xludf.DUMMYFUNCTION("""COMPUTED_VALUE"""),"13 year-old male fatally shot when gun he was handling in classroom at school accidentally discharged killing him.")</f>
        <v>13 year-old male fatally shot when gun he was handling in classroom at school accidentally discharged killing him.</v>
      </c>
      <c r="AA2283" s="5" t="str">
        <f ca="1">IFERROR(__xludf.DUMMYFUNCTION("""COMPUTED_VALUE"""),"Accidental")</f>
        <v>Accidental</v>
      </c>
      <c r="AB2283" s="5" t="str">
        <f ca="1">IFERROR(__xludf.DUMMYFUNCTION("""COMPUTED_VALUE"""),"Neither")</f>
        <v>Neither</v>
      </c>
      <c r="AC2283" s="5" t="str">
        <f ca="1">IFERROR(__xludf.DUMMYFUNCTION("""COMPUTED_VALUE"""),"No")</f>
        <v>No</v>
      </c>
      <c r="AD2283" s="5" t="str">
        <f ca="1">IFERROR(__xludf.DUMMYFUNCTION("""COMPUTED_VALUE"""),"No")</f>
        <v>No</v>
      </c>
      <c r="AE2283" s="5" t="str">
        <f ca="1">IFERROR(__xludf.DUMMYFUNCTION("""COMPUTED_VALUE"""),"No")</f>
        <v>No</v>
      </c>
      <c r="AF2283" s="5" t="str">
        <f ca="1">IFERROR(__xludf.DUMMYFUNCTION("""COMPUTED_VALUE"""),"No")</f>
        <v>No</v>
      </c>
      <c r="AG2283" s="5" t="str">
        <f ca="1">IFERROR(__xludf.DUMMYFUNCTION("""COMPUTED_VALUE"""),"No")</f>
        <v>No</v>
      </c>
      <c r="AH2283" s="5" t="str">
        <f ca="1">IFERROR(__xludf.DUMMYFUNCTION("""COMPUTED_VALUE"""),"No")</f>
        <v>No</v>
      </c>
      <c r="AI2283" s="5" t="str">
        <f ca="1">IFERROR(__xludf.DUMMYFUNCTION("""COMPUTED_VALUE"""),"No")</f>
        <v>No</v>
      </c>
      <c r="AJ2283" s="5"/>
    </row>
    <row r="2284" spans="1:36" ht="13">
      <c r="A2284" s="5" t="str">
        <f ca="1">IFERROR(__xludf.DUMMYFUNCTION("""COMPUTED_VALUE"""),"19710527MIBES")</f>
        <v>19710527MIBES</v>
      </c>
      <c r="B2284" s="5">
        <f ca="1">IFERROR(__xludf.DUMMYFUNCTION("""COMPUTED_VALUE"""),5)</f>
        <v>5</v>
      </c>
      <c r="C2284" s="5">
        <f ca="1">IFERROR(__xludf.DUMMYFUNCTION("""COMPUTED_VALUE"""),27)</f>
        <v>27</v>
      </c>
      <c r="D2284" s="5">
        <f ca="1">IFERROR(__xludf.DUMMYFUNCTION("""COMPUTED_VALUE"""),1971)</f>
        <v>1971</v>
      </c>
      <c r="E2284" s="8">
        <f ca="1">IFERROR(__xludf.DUMMYFUNCTION("""COMPUTED_VALUE"""),26080)</f>
        <v>26080</v>
      </c>
      <c r="F2284" s="5" t="str">
        <f ca="1">IFERROR(__xludf.DUMMYFUNCTION("""COMPUTED_VALUE"""),"Benton Harbor High School")</f>
        <v>Benton Harbor High School</v>
      </c>
      <c r="G2284" s="5">
        <f ca="1">IFERROR(__xludf.DUMMYFUNCTION("""COMPUTED_VALUE"""),0)</f>
        <v>0</v>
      </c>
      <c r="H2284" s="5">
        <f ca="1">IFERROR(__xludf.DUMMYFUNCTION("""COMPUTED_VALUE"""),1)</f>
        <v>1</v>
      </c>
      <c r="I2284" s="5">
        <f ca="1">IFERROR(__xludf.DUMMYFUNCTION("""COMPUTED_VALUE"""),1)</f>
        <v>1</v>
      </c>
      <c r="J2284" s="5">
        <f ca="1">IFERROR(__xludf.DUMMYFUNCTION("""COMPUTED_VALUE"""),0)</f>
        <v>0</v>
      </c>
      <c r="K2284" s="9" t="str">
        <f ca="1">IFERROR(__xludf.DUMMYFUNCTION("""COMPUTED_VALUE"""),"https://www.newspapers.com/image/365033298/?terms=school%2Bshooting")</f>
        <v>https://www.newspapers.com/image/365033298/?terms=school%2Bshooting</v>
      </c>
      <c r="L2284" s="5"/>
      <c r="M2284" s="5"/>
      <c r="N2284" s="5">
        <f ca="1">IFERROR(__xludf.DUMMYFUNCTION("""COMPUTED_VALUE"""),2)</f>
        <v>2</v>
      </c>
      <c r="O2284" s="5" t="str">
        <f ca="1">IFERROR(__xludf.DUMMYFUNCTION("""COMPUTED_VALUE"""),"Spring")</f>
        <v>Spring</v>
      </c>
      <c r="P2284" s="5" t="str">
        <f ca="1">IFERROR(__xludf.DUMMYFUNCTION("""COMPUTED_VALUE"""),"Saint Joseph")</f>
        <v>Saint Joseph</v>
      </c>
      <c r="Q2284" s="5" t="str">
        <f ca="1">IFERROR(__xludf.DUMMYFUNCTION("""COMPUTED_VALUE"""),"MI")</f>
        <v>MI</v>
      </c>
      <c r="R2284" s="5" t="str">
        <f ca="1">IFERROR(__xludf.DUMMYFUNCTION("""COMPUTED_VALUE"""),"High")</f>
        <v>High</v>
      </c>
      <c r="S2284" s="5" t="str">
        <f ca="1">IFERROR(__xludf.DUMMYFUNCTION("""COMPUTED_VALUE"""),"Inside School Building")</f>
        <v>Inside School Building</v>
      </c>
      <c r="T2284" s="5" t="str">
        <f ca="1">IFERROR(__xludf.DUMMYFUNCTION("""COMPUTED_VALUE"""),"Inside School Building")</f>
        <v>Inside School Building</v>
      </c>
      <c r="U2284" s="5" t="str">
        <f ca="1">IFERROR(__xludf.DUMMYFUNCTION("""COMPUTED_VALUE"""),"Yes")</f>
        <v>Yes</v>
      </c>
      <c r="V2284" s="5"/>
      <c r="W2284" s="5"/>
      <c r="X2284" s="5">
        <f ca="1">IFERROR(__xludf.DUMMYFUNCTION("""COMPUTED_VALUE"""),1)</f>
        <v>1</v>
      </c>
      <c r="Y2284" s="5" t="str">
        <f ca="1">IFERROR(__xludf.DUMMYFUNCTION("""COMPUTED_VALUE"""),"Shooter provoked into shooting")</f>
        <v>Shooter provoked into shooting</v>
      </c>
      <c r="Z2284" s="5" t="str">
        <f ca="1">IFERROR(__xludf.DUMMYFUNCTION("""COMPUTED_VALUE"""),"17 year-old male shot 16 year-old male at the school. Judge ruled that the victim had provoked the shooter into eventually attacking him. Shooter was sentenced to 7 days in jail. Shooter was excellent student.")</f>
        <v>17 year-old male shot 16 year-old male at the school. Judge ruled that the victim had provoked the shooter into eventually attacking him. Shooter was sentenced to 7 days in jail. Shooter was excellent student.</v>
      </c>
      <c r="AA2284" s="5" t="str">
        <f ca="1">IFERROR(__xludf.DUMMYFUNCTION("""COMPUTED_VALUE"""),"Bullying")</f>
        <v>Bullying</v>
      </c>
      <c r="AB2284" s="5" t="str">
        <f ca="1">IFERROR(__xludf.DUMMYFUNCTION("""COMPUTED_VALUE"""),"Victims Targeted")</f>
        <v>Victims Targeted</v>
      </c>
      <c r="AC2284" s="5" t="str">
        <f ca="1">IFERROR(__xludf.DUMMYFUNCTION("""COMPUTED_VALUE"""),"No")</f>
        <v>No</v>
      </c>
      <c r="AD2284" s="5" t="str">
        <f ca="1">IFERROR(__xludf.DUMMYFUNCTION("""COMPUTED_VALUE"""),"No")</f>
        <v>No</v>
      </c>
      <c r="AE2284" s="5" t="str">
        <f ca="1">IFERROR(__xludf.DUMMYFUNCTION("""COMPUTED_VALUE"""),"No")</f>
        <v>No</v>
      </c>
      <c r="AF2284" s="5" t="str">
        <f ca="1">IFERROR(__xludf.DUMMYFUNCTION("""COMPUTED_VALUE"""),"No")</f>
        <v>No</v>
      </c>
      <c r="AG2284" s="5" t="str">
        <f ca="1">IFERROR(__xludf.DUMMYFUNCTION("""COMPUTED_VALUE"""),"Yes")</f>
        <v>Yes</v>
      </c>
      <c r="AH2284" s="5" t="str">
        <f ca="1">IFERROR(__xludf.DUMMYFUNCTION("""COMPUTED_VALUE"""),"No")</f>
        <v>No</v>
      </c>
      <c r="AI2284" s="5" t="str">
        <f ca="1">IFERROR(__xludf.DUMMYFUNCTION("""COMPUTED_VALUE"""),"No")</f>
        <v>No</v>
      </c>
      <c r="AJ2284" s="5"/>
    </row>
    <row r="2285" spans="1:36" ht="13">
      <c r="A2285" s="5" t="str">
        <f ca="1">IFERROR(__xludf.DUMMYFUNCTION("""COMPUTED_VALUE"""),"19710405PAWIH")</f>
        <v>19710405PAWIH</v>
      </c>
      <c r="B2285" s="5">
        <f ca="1">IFERROR(__xludf.DUMMYFUNCTION("""COMPUTED_VALUE"""),4)</f>
        <v>4</v>
      </c>
      <c r="C2285" s="5">
        <f ca="1">IFERROR(__xludf.DUMMYFUNCTION("""COMPUTED_VALUE"""),5)</f>
        <v>5</v>
      </c>
      <c r="D2285" s="5">
        <f ca="1">IFERROR(__xludf.DUMMYFUNCTION("""COMPUTED_VALUE"""),1971)</f>
        <v>1971</v>
      </c>
      <c r="E2285" s="8">
        <f ca="1">IFERROR(__xludf.DUMMYFUNCTION("""COMPUTED_VALUE"""),26028)</f>
        <v>26028</v>
      </c>
      <c r="F2285" s="5" t="str">
        <f ca="1">IFERROR(__xludf.DUMMYFUNCTION("""COMPUTED_VALUE"""),"William Penn High School")</f>
        <v>William Penn High School</v>
      </c>
      <c r="G2285" s="5">
        <f ca="1">IFERROR(__xludf.DUMMYFUNCTION("""COMPUTED_VALUE"""),0)</f>
        <v>0</v>
      </c>
      <c r="H2285" s="5">
        <f ca="1">IFERROR(__xludf.DUMMYFUNCTION("""COMPUTED_VALUE"""),0)</f>
        <v>0</v>
      </c>
      <c r="I2285" s="5">
        <f ca="1">IFERROR(__xludf.DUMMYFUNCTION("""COMPUTED_VALUE"""),0)</f>
        <v>0</v>
      </c>
      <c r="J2285" s="5">
        <f ca="1">IFERROR(__xludf.DUMMYFUNCTION("""COMPUTED_VALUE"""),0)</f>
        <v>0</v>
      </c>
      <c r="K2285" s="9" t="str">
        <f ca="1">IFERROR(__xludf.DUMMYFUNCTION("""COMPUTED_VALUE"""),"https://www.newspapers.com/image/48704588/")</f>
        <v>https://www.newspapers.com/image/48704588/</v>
      </c>
      <c r="L2285" s="5"/>
      <c r="M2285" s="5"/>
      <c r="N2285" s="5">
        <f ca="1">IFERROR(__xludf.DUMMYFUNCTION("""COMPUTED_VALUE"""),2)</f>
        <v>2</v>
      </c>
      <c r="O2285" s="5" t="str">
        <f ca="1">IFERROR(__xludf.DUMMYFUNCTION("""COMPUTED_VALUE"""),"Spring")</f>
        <v>Spring</v>
      </c>
      <c r="P2285" s="5" t="str">
        <f ca="1">IFERROR(__xludf.DUMMYFUNCTION("""COMPUTED_VALUE"""),"Harrisburg")</f>
        <v>Harrisburg</v>
      </c>
      <c r="Q2285" s="5" t="str">
        <f ca="1">IFERROR(__xludf.DUMMYFUNCTION("""COMPUTED_VALUE"""),"PA")</f>
        <v>PA</v>
      </c>
      <c r="R2285" s="5" t="str">
        <f ca="1">IFERROR(__xludf.DUMMYFUNCTION("""COMPUTED_VALUE"""),"High")</f>
        <v>High</v>
      </c>
      <c r="S2285" s="5" t="str">
        <f ca="1">IFERROR(__xludf.DUMMYFUNCTION("""COMPUTED_VALUE"""),"Cafeteria")</f>
        <v>Cafeteria</v>
      </c>
      <c r="T2285" s="5" t="str">
        <f ca="1">IFERROR(__xludf.DUMMYFUNCTION("""COMPUTED_VALUE"""),"Inside School Building")</f>
        <v>Inside School Building</v>
      </c>
      <c r="U2285" s="5" t="str">
        <f ca="1">IFERROR(__xludf.DUMMYFUNCTION("""COMPUTED_VALUE"""),"Yes")</f>
        <v>Yes</v>
      </c>
      <c r="V2285" s="5"/>
      <c r="W2285" s="5"/>
      <c r="X2285" s="5">
        <f ca="1">IFERROR(__xludf.DUMMYFUNCTION("""COMPUTED_VALUE"""),1)</f>
        <v>1</v>
      </c>
      <c r="Y2285" s="5" t="str">
        <f ca="1">IFERROR(__xludf.DUMMYFUNCTION("""COMPUTED_VALUE"""),"Fired 5 shots at ex-girlfriend in classroom")</f>
        <v>Fired 5 shots at ex-girlfriend in classroom</v>
      </c>
      <c r="Z2285" s="5" t="str">
        <f ca="1">IFERROR(__xludf.DUMMYFUNCTION("""COMPUTED_VALUE"""),"17 year-old male fired 5 shots at ex-girlfriend in classroom. She suffered minor wounds.")</f>
        <v>17 year-old male fired 5 shots at ex-girlfriend in classroom. She suffered minor wounds.</v>
      </c>
      <c r="AA2285" s="5" t="str">
        <f ca="1">IFERROR(__xludf.DUMMYFUNCTION("""COMPUTED_VALUE"""),"Domestic w/ Targeted Victim")</f>
        <v>Domestic w/ Targeted Victim</v>
      </c>
      <c r="AB2285" s="5" t="str">
        <f ca="1">IFERROR(__xludf.DUMMYFUNCTION("""COMPUTED_VALUE"""),"Victims Targeted")</f>
        <v>Victims Targeted</v>
      </c>
      <c r="AC2285" s="5" t="str">
        <f ca="1">IFERROR(__xludf.DUMMYFUNCTION("""COMPUTED_VALUE"""),"No")</f>
        <v>No</v>
      </c>
      <c r="AD2285" s="5" t="str">
        <f ca="1">IFERROR(__xludf.DUMMYFUNCTION("""COMPUTED_VALUE"""),"No")</f>
        <v>No</v>
      </c>
      <c r="AE2285" s="5" t="str">
        <f ca="1">IFERROR(__xludf.DUMMYFUNCTION("""COMPUTED_VALUE"""),"No")</f>
        <v>No</v>
      </c>
      <c r="AF2285" s="5" t="str">
        <f ca="1">IFERROR(__xludf.DUMMYFUNCTION("""COMPUTED_VALUE"""),"No")</f>
        <v>No</v>
      </c>
      <c r="AG2285" s="5" t="str">
        <f ca="1">IFERROR(__xludf.DUMMYFUNCTION("""COMPUTED_VALUE"""),"No")</f>
        <v>No</v>
      </c>
      <c r="AH2285" s="5" t="str">
        <f ca="1">IFERROR(__xludf.DUMMYFUNCTION("""COMPUTED_VALUE"""),"Yes")</f>
        <v>Yes</v>
      </c>
      <c r="AI2285" s="5" t="str">
        <f ca="1">IFERROR(__xludf.DUMMYFUNCTION("""COMPUTED_VALUE"""),"No")</f>
        <v>No</v>
      </c>
      <c r="AJ2285" s="5"/>
    </row>
    <row r="2286" spans="1:36" ht="13">
      <c r="A2286" s="5" t="str">
        <f ca="1">IFERROR(__xludf.DUMMYFUNCTION("""COMPUTED_VALUE"""),"19710309AZROT")</f>
        <v>19710309AZROT</v>
      </c>
      <c r="B2286" s="5">
        <f ca="1">IFERROR(__xludf.DUMMYFUNCTION("""COMPUTED_VALUE"""),3)</f>
        <v>3</v>
      </c>
      <c r="C2286" s="5">
        <f ca="1">IFERROR(__xludf.DUMMYFUNCTION("""COMPUTED_VALUE"""),9)</f>
        <v>9</v>
      </c>
      <c r="D2286" s="5">
        <f ca="1">IFERROR(__xludf.DUMMYFUNCTION("""COMPUTED_VALUE"""),1971)</f>
        <v>1971</v>
      </c>
      <c r="E2286" s="8">
        <f ca="1">IFERROR(__xludf.DUMMYFUNCTION("""COMPUTED_VALUE"""),26001)</f>
        <v>26001</v>
      </c>
      <c r="F2286" s="5" t="str">
        <f ca="1">IFERROR(__xludf.DUMMYFUNCTION("""COMPUTED_VALUE"""),"Roskruge Junior High School")</f>
        <v>Roskruge Junior High School</v>
      </c>
      <c r="G2286" s="5">
        <f ca="1">IFERROR(__xludf.DUMMYFUNCTION("""COMPUTED_VALUE"""),0)</f>
        <v>0</v>
      </c>
      <c r="H2286" s="5">
        <f ca="1">IFERROR(__xludf.DUMMYFUNCTION("""COMPUTED_VALUE"""),1)</f>
        <v>1</v>
      </c>
      <c r="I2286" s="5">
        <f ca="1">IFERROR(__xludf.DUMMYFUNCTION("""COMPUTED_VALUE"""),1)</f>
        <v>1</v>
      </c>
      <c r="J2286" s="5">
        <f ca="1">IFERROR(__xludf.DUMMYFUNCTION("""COMPUTED_VALUE"""),0)</f>
        <v>0</v>
      </c>
      <c r="K2286" s="9" t="str">
        <f ca="1">IFERROR(__xludf.DUMMYFUNCTION("""COMPUTED_VALUE"""),"https://www.newspapers.com/image/164611095/?terms=school%2Bshooting")</f>
        <v>https://www.newspapers.com/image/164611095/?terms=school%2Bshooting</v>
      </c>
      <c r="L2286" s="5"/>
      <c r="M2286" s="5"/>
      <c r="N2286" s="5">
        <f ca="1">IFERROR(__xludf.DUMMYFUNCTION("""COMPUTED_VALUE"""),3)</f>
        <v>3</v>
      </c>
      <c r="O2286" s="5" t="str">
        <f ca="1">IFERROR(__xludf.DUMMYFUNCTION("""COMPUTED_VALUE"""),"Spring")</f>
        <v>Spring</v>
      </c>
      <c r="P2286" s="5" t="str">
        <f ca="1">IFERROR(__xludf.DUMMYFUNCTION("""COMPUTED_VALUE"""),"Tucson")</f>
        <v>Tucson</v>
      </c>
      <c r="Q2286" s="5" t="str">
        <f ca="1">IFERROR(__xludf.DUMMYFUNCTION("""COMPUTED_VALUE"""),"AZ")</f>
        <v>AZ</v>
      </c>
      <c r="R2286" s="5" t="str">
        <f ca="1">IFERROR(__xludf.DUMMYFUNCTION("""COMPUTED_VALUE"""),"Junior High")</f>
        <v>Junior High</v>
      </c>
      <c r="S2286" s="5" t="str">
        <f ca="1">IFERROR(__xludf.DUMMYFUNCTION("""COMPUTED_VALUE"""),"Playground")</f>
        <v>Playground</v>
      </c>
      <c r="T2286" s="5" t="str">
        <f ca="1">IFERROR(__xludf.DUMMYFUNCTION("""COMPUTED_VALUE"""),"Outside on School Property")</f>
        <v>Outside on School Property</v>
      </c>
      <c r="U2286" s="5" t="str">
        <f ca="1">IFERROR(__xludf.DUMMYFUNCTION("""COMPUTED_VALUE"""),"Yes")</f>
        <v>Yes</v>
      </c>
      <c r="V2286" s="5"/>
      <c r="W2286" s="5"/>
      <c r="X2286" s="5">
        <f ca="1">IFERROR(__xludf.DUMMYFUNCTION("""COMPUTED_VALUE"""),1)</f>
        <v>1</v>
      </c>
      <c r="Y2286" s="5" t="str">
        <f ca="1">IFERROR(__xludf.DUMMYFUNCTION("""COMPUTED_VALUE"""),"Showing pistol on playground, accidental discharge struck other student")</f>
        <v>Showing pistol on playground, accidental discharge struck other student</v>
      </c>
      <c r="Z2286" s="5" t="str">
        <f ca="1">IFERROR(__xludf.DUMMYFUNCTION("""COMPUTED_VALUE"""),"Student was showing off a pistol on the playground (student was already on parole from youth corrections center). Gun discharged while handling it and struck another student in the arm.")</f>
        <v>Student was showing off a pistol on the playground (student was already on parole from youth corrections center). Gun discharged while handling it and struck another student in the arm.</v>
      </c>
      <c r="AA2286" s="5" t="str">
        <f ca="1">IFERROR(__xludf.DUMMYFUNCTION("""COMPUTED_VALUE"""),"Accidental")</f>
        <v>Accidental</v>
      </c>
      <c r="AB2286" s="5" t="str">
        <f ca="1">IFERROR(__xludf.DUMMYFUNCTION("""COMPUTED_VALUE"""),"Random Shooting")</f>
        <v>Random Shooting</v>
      </c>
      <c r="AC2286" s="5" t="str">
        <f ca="1">IFERROR(__xludf.DUMMYFUNCTION("""COMPUTED_VALUE"""),"No")</f>
        <v>No</v>
      </c>
      <c r="AD2286" s="5" t="str">
        <f ca="1">IFERROR(__xludf.DUMMYFUNCTION("""COMPUTED_VALUE"""),"No")</f>
        <v>No</v>
      </c>
      <c r="AE2286" s="5" t="str">
        <f ca="1">IFERROR(__xludf.DUMMYFUNCTION("""COMPUTED_VALUE"""),"No")</f>
        <v>No</v>
      </c>
      <c r="AF2286" s="5" t="str">
        <f ca="1">IFERROR(__xludf.DUMMYFUNCTION("""COMPUTED_VALUE"""),"No")</f>
        <v>No</v>
      </c>
      <c r="AG2286" s="5" t="str">
        <f ca="1">IFERROR(__xludf.DUMMYFUNCTION("""COMPUTED_VALUE"""),"No")</f>
        <v>No</v>
      </c>
      <c r="AH2286" s="5" t="str">
        <f ca="1">IFERROR(__xludf.DUMMYFUNCTION("""COMPUTED_VALUE"""),"No")</f>
        <v>No</v>
      </c>
      <c r="AI2286" s="5" t="str">
        <f ca="1">IFERROR(__xludf.DUMMYFUNCTION("""COMPUTED_VALUE"""),"No")</f>
        <v>No</v>
      </c>
      <c r="AJ2286" s="5"/>
    </row>
    <row r="2287" spans="1:36" ht="13">
      <c r="A2287" s="5" t="str">
        <f ca="1">IFERROR(__xludf.DUMMYFUNCTION("""COMPUTED_VALUE"""),"19710225OHFRC")</f>
        <v>19710225OHFRC</v>
      </c>
      <c r="B2287" s="5">
        <f ca="1">IFERROR(__xludf.DUMMYFUNCTION("""COMPUTED_VALUE"""),2)</f>
        <v>2</v>
      </c>
      <c r="C2287" s="5">
        <f ca="1">IFERROR(__xludf.DUMMYFUNCTION("""COMPUTED_VALUE"""),25)</f>
        <v>25</v>
      </c>
      <c r="D2287" s="5">
        <f ca="1">IFERROR(__xludf.DUMMYFUNCTION("""COMPUTED_VALUE"""),1971)</f>
        <v>1971</v>
      </c>
      <c r="E2287" s="8">
        <f ca="1">IFERROR(__xludf.DUMMYFUNCTION("""COMPUTED_VALUE"""),25989)</f>
        <v>25989</v>
      </c>
      <c r="F2287" s="5" t="str">
        <f ca="1">IFERROR(__xludf.DUMMYFUNCTION("""COMPUTED_VALUE"""),"Franklin D. Roosevelt Junior High School")</f>
        <v>Franklin D. Roosevelt Junior High School</v>
      </c>
      <c r="G2287" s="5">
        <f ca="1">IFERROR(__xludf.DUMMYFUNCTION("""COMPUTED_VALUE"""),1)</f>
        <v>1</v>
      </c>
      <c r="H2287" s="5">
        <f ca="1">IFERROR(__xludf.DUMMYFUNCTION("""COMPUTED_VALUE"""),0)</f>
        <v>0</v>
      </c>
      <c r="I2287" s="5">
        <f ca="1">IFERROR(__xludf.DUMMYFUNCTION("""COMPUTED_VALUE"""),1)</f>
        <v>1</v>
      </c>
      <c r="J2287" s="5">
        <f ca="1">IFERROR(__xludf.DUMMYFUNCTION("""COMPUTED_VALUE"""),0)</f>
        <v>0</v>
      </c>
      <c r="K2287" s="9" t="str">
        <f ca="1">IFERROR(__xludf.DUMMYFUNCTION("""COMPUTED_VALUE"""),"https://www.newspapers.com/image/296262312/?terms=school%2Bshooting")</f>
        <v>https://www.newspapers.com/image/296262312/?terms=school%2Bshooting</v>
      </c>
      <c r="L2287" s="5"/>
      <c r="M2287" s="5"/>
      <c r="N2287" s="5">
        <f ca="1">IFERROR(__xludf.DUMMYFUNCTION("""COMPUTED_VALUE"""),3)</f>
        <v>3</v>
      </c>
      <c r="O2287" s="5" t="str">
        <f ca="1">IFERROR(__xludf.DUMMYFUNCTION("""COMPUTED_VALUE"""),"Winter")</f>
        <v>Winter</v>
      </c>
      <c r="P2287" s="5" t="str">
        <f ca="1">IFERROR(__xludf.DUMMYFUNCTION("""COMPUTED_VALUE"""),"Cleveland")</f>
        <v>Cleveland</v>
      </c>
      <c r="Q2287" s="5" t="str">
        <f ca="1">IFERROR(__xludf.DUMMYFUNCTION("""COMPUTED_VALUE"""),"OH")</f>
        <v>OH</v>
      </c>
      <c r="R2287" s="5" t="str">
        <f ca="1">IFERROR(__xludf.DUMMYFUNCTION("""COMPUTED_VALUE"""),"Junior High")</f>
        <v>Junior High</v>
      </c>
      <c r="S2287" s="5" t="str">
        <f ca="1">IFERROR(__xludf.DUMMYFUNCTION("""COMPUTED_VALUE"""),"Bathroom")</f>
        <v>Bathroom</v>
      </c>
      <c r="T2287" s="5" t="str">
        <f ca="1">IFERROR(__xludf.DUMMYFUNCTION("""COMPUTED_VALUE"""),"Inside School Building")</f>
        <v>Inside School Building</v>
      </c>
      <c r="U2287" s="5" t="str">
        <f ca="1">IFERROR(__xludf.DUMMYFUNCTION("""COMPUTED_VALUE"""),"Yes")</f>
        <v>Yes</v>
      </c>
      <c r="V2287" s="5"/>
      <c r="W2287" s="5"/>
      <c r="X2287" s="5"/>
      <c r="Y2287" s="5" t="str">
        <f ca="1">IFERROR(__xludf.DUMMYFUNCTION("""COMPUTED_VALUE"""),"Victim shot 5 times in the head in the school bathroom")</f>
        <v>Victim shot 5 times in the head in the school bathroom</v>
      </c>
      <c r="Z2287" s="5" t="str">
        <f ca="1">IFERROR(__xludf.DUMMYFUNCTION("""COMPUTED_VALUE"""),"Student shot 5 times in the head in a school bathroom. Rifle was later found in a locker. 4 students were charged in connection with the shooting.")</f>
        <v>Student shot 5 times in the head in a school bathroom. Rifle was later found in a locker. 4 students were charged in connection with the shooting.</v>
      </c>
      <c r="AA2287" s="5" t="str">
        <f ca="1">IFERROR(__xludf.DUMMYFUNCTION("""COMPUTED_VALUE"""),"Escalation of Dispute")</f>
        <v>Escalation of Dispute</v>
      </c>
      <c r="AB2287" s="5" t="str">
        <f ca="1">IFERROR(__xludf.DUMMYFUNCTION("""COMPUTED_VALUE"""),"Victims Targeted")</f>
        <v>Victims Targeted</v>
      </c>
      <c r="AC2287" s="5" t="str">
        <f ca="1">IFERROR(__xludf.DUMMYFUNCTION("""COMPUTED_VALUE"""),"Yes")</f>
        <v>Yes</v>
      </c>
      <c r="AD2287" s="5" t="str">
        <f ca="1">IFERROR(__xludf.DUMMYFUNCTION("""COMPUTED_VALUE"""),"No")</f>
        <v>No</v>
      </c>
      <c r="AE2287" s="5" t="str">
        <f ca="1">IFERROR(__xludf.DUMMYFUNCTION("""COMPUTED_VALUE"""),"No")</f>
        <v>No</v>
      </c>
      <c r="AF2287" s="5" t="str">
        <f ca="1">IFERROR(__xludf.DUMMYFUNCTION("""COMPUTED_VALUE"""),"No")</f>
        <v>No</v>
      </c>
      <c r="AG2287" s="5"/>
      <c r="AH2287" s="5" t="str">
        <f ca="1">IFERROR(__xludf.DUMMYFUNCTION("""COMPUTED_VALUE"""),"No")</f>
        <v>No</v>
      </c>
      <c r="AI2287" s="5" t="str">
        <f ca="1">IFERROR(__xludf.DUMMYFUNCTION("""COMPUTED_VALUE"""),"No")</f>
        <v>No</v>
      </c>
      <c r="AJ2287" s="5"/>
    </row>
    <row r="2288" spans="1:36" ht="13">
      <c r="A2288" s="5" t="str">
        <f ca="1">IFERROR(__xludf.DUMMYFUNCTION("""COMPUTED_VALUE"""),"19710210TXOAD")</f>
        <v>19710210TXOAD</v>
      </c>
      <c r="B2288" s="5">
        <f ca="1">IFERROR(__xludf.DUMMYFUNCTION("""COMPUTED_VALUE"""),2)</f>
        <v>2</v>
      </c>
      <c r="C2288" s="5">
        <f ca="1">IFERROR(__xludf.DUMMYFUNCTION("""COMPUTED_VALUE"""),10)</f>
        <v>10</v>
      </c>
      <c r="D2288" s="5">
        <f ca="1">IFERROR(__xludf.DUMMYFUNCTION("""COMPUTED_VALUE"""),1971)</f>
        <v>1971</v>
      </c>
      <c r="E2288" s="8">
        <f ca="1">IFERROR(__xludf.DUMMYFUNCTION("""COMPUTED_VALUE"""),25974)</f>
        <v>25974</v>
      </c>
      <c r="F2288" s="5" t="str">
        <f ca="1">IFERROR(__xludf.DUMMYFUNCTION("""COMPUTED_VALUE"""),"Oak Cliff High School")</f>
        <v>Oak Cliff High School</v>
      </c>
      <c r="G2288" s="5">
        <f ca="1">IFERROR(__xludf.DUMMYFUNCTION("""COMPUTED_VALUE"""),0)</f>
        <v>0</v>
      </c>
      <c r="H2288" s="5">
        <f ca="1">IFERROR(__xludf.DUMMYFUNCTION("""COMPUTED_VALUE"""),2)</f>
        <v>2</v>
      </c>
      <c r="I2288" s="5">
        <f ca="1">IFERROR(__xludf.DUMMYFUNCTION("""COMPUTED_VALUE"""),2)</f>
        <v>2</v>
      </c>
      <c r="J2288" s="5">
        <f ca="1">IFERROR(__xludf.DUMMYFUNCTION("""COMPUTED_VALUE"""),0)</f>
        <v>0</v>
      </c>
      <c r="K2288" s="9" t="str">
        <f ca="1">IFERROR(__xludf.DUMMYFUNCTION("""COMPUTED_VALUE"""),"https://www.newspapers.com/image/20769968/?terms=school%2Bshooting")</f>
        <v>https://www.newspapers.com/image/20769968/?terms=school%2Bshooting</v>
      </c>
      <c r="L2288" s="5"/>
      <c r="M2288" s="5"/>
      <c r="N2288" s="5">
        <f ca="1">IFERROR(__xludf.DUMMYFUNCTION("""COMPUTED_VALUE"""),3)</f>
        <v>3</v>
      </c>
      <c r="O2288" s="5" t="str">
        <f ca="1">IFERROR(__xludf.DUMMYFUNCTION("""COMPUTED_VALUE"""),"Winter")</f>
        <v>Winter</v>
      </c>
      <c r="P2288" s="5" t="str">
        <f ca="1">IFERROR(__xludf.DUMMYFUNCTION("""COMPUTED_VALUE"""),"Dallas")</f>
        <v>Dallas</v>
      </c>
      <c r="Q2288" s="5" t="str">
        <f ca="1">IFERROR(__xludf.DUMMYFUNCTION("""COMPUTED_VALUE"""),"TX")</f>
        <v>TX</v>
      </c>
      <c r="R2288" s="5" t="str">
        <f ca="1">IFERROR(__xludf.DUMMYFUNCTION("""COMPUTED_VALUE"""),"High")</f>
        <v>High</v>
      </c>
      <c r="S2288" s="5" t="str">
        <f ca="1">IFERROR(__xludf.DUMMYFUNCTION("""COMPUTED_VALUE"""),"Outside on School Property")</f>
        <v>Outside on School Property</v>
      </c>
      <c r="T2288" s="5" t="str">
        <f ca="1">IFERROR(__xludf.DUMMYFUNCTION("""COMPUTED_VALUE"""),"Outside on School Property")</f>
        <v>Outside on School Property</v>
      </c>
      <c r="U2288" s="5" t="str">
        <f ca="1">IFERROR(__xludf.DUMMYFUNCTION("""COMPUTED_VALUE"""),"Yes")</f>
        <v>Yes</v>
      </c>
      <c r="V2288" s="5"/>
      <c r="W2288" s="5"/>
      <c r="X2288" s="5"/>
      <c r="Y2288" s="5" t="str">
        <f ca="1">IFERROR(__xludf.DUMMYFUNCTION("""COMPUTED_VALUE"""),"Shooter fired shotgun at a student in a crowd of 200 students")</f>
        <v>Shooter fired shotgun at a student in a crowd of 200 students</v>
      </c>
      <c r="Z2288" s="5" t="str">
        <f ca="1">IFERROR(__xludf.DUMMYFUNCTION("""COMPUTED_VALUE"""),"Shooter and intended target had an argument prior to the shooting. Shooter fired a shot into the air and a second shot at the intended target in a group of students. Two other students sustained injuries from shotgun pellets.")</f>
        <v>Shooter and intended target had an argument prior to the shooting. Shooter fired a shot into the air and a second shot at the intended target in a group of students. Two other students sustained injuries from shotgun pellets.</v>
      </c>
      <c r="AA2288" s="5" t="str">
        <f ca="1">IFERROR(__xludf.DUMMYFUNCTION("""COMPUTED_VALUE"""),"Escalation of Dispute")</f>
        <v>Escalation of Dispute</v>
      </c>
      <c r="AB2288" s="5" t="str">
        <f ca="1">IFERROR(__xludf.DUMMYFUNCTION("""COMPUTED_VALUE"""),"Both")</f>
        <v>Both</v>
      </c>
      <c r="AC2288" s="5" t="str">
        <f ca="1">IFERROR(__xludf.DUMMYFUNCTION("""COMPUTED_VALUE"""),"Yes")</f>
        <v>Yes</v>
      </c>
      <c r="AD2288" s="5" t="str">
        <f ca="1">IFERROR(__xludf.DUMMYFUNCTION("""COMPUTED_VALUE"""),"No")</f>
        <v>No</v>
      </c>
      <c r="AE2288" s="5" t="str">
        <f ca="1">IFERROR(__xludf.DUMMYFUNCTION("""COMPUTED_VALUE"""),"No")</f>
        <v>No</v>
      </c>
      <c r="AF2288" s="5" t="str">
        <f ca="1">IFERROR(__xludf.DUMMYFUNCTION("""COMPUTED_VALUE"""),"No")</f>
        <v>No</v>
      </c>
      <c r="AG2288" s="5" t="str">
        <f ca="1">IFERROR(__xludf.DUMMYFUNCTION("""COMPUTED_VALUE"""),"No")</f>
        <v>No</v>
      </c>
      <c r="AH2288" s="5" t="str">
        <f ca="1">IFERROR(__xludf.DUMMYFUNCTION("""COMPUTED_VALUE"""),"No")</f>
        <v>No</v>
      </c>
      <c r="AI2288" s="5" t="str">
        <f ca="1">IFERROR(__xludf.DUMMYFUNCTION("""COMPUTED_VALUE"""),"No")</f>
        <v>No</v>
      </c>
      <c r="AJ2288" s="5"/>
    </row>
    <row r="2289" spans="1:36" ht="13">
      <c r="A2289" s="5" t="str">
        <f ca="1">IFERROR(__xludf.DUMMYFUNCTION("""COMPUTED_VALUE"""),"19710205PAJOW")</f>
        <v>19710205PAJOW</v>
      </c>
      <c r="B2289" s="5">
        <f ca="1">IFERROR(__xludf.DUMMYFUNCTION("""COMPUTED_VALUE"""),2)</f>
        <v>2</v>
      </c>
      <c r="C2289" s="5">
        <f ca="1">IFERROR(__xludf.DUMMYFUNCTION("""COMPUTED_VALUE"""),5)</f>
        <v>5</v>
      </c>
      <c r="D2289" s="5">
        <f ca="1">IFERROR(__xludf.DUMMYFUNCTION("""COMPUTED_VALUE"""),1971)</f>
        <v>1971</v>
      </c>
      <c r="E2289" s="8">
        <f ca="1">IFERROR(__xludf.DUMMYFUNCTION("""COMPUTED_VALUE"""),25969)</f>
        <v>25969</v>
      </c>
      <c r="F2289" s="5" t="str">
        <f ca="1">IFERROR(__xludf.DUMMYFUNCTION("""COMPUTED_VALUE"""),"John F. Kennedy High School")</f>
        <v>John F. Kennedy High School</v>
      </c>
      <c r="G2289" s="5">
        <f ca="1">IFERROR(__xludf.DUMMYFUNCTION("""COMPUTED_VALUE"""),0)</f>
        <v>0</v>
      </c>
      <c r="H2289" s="5">
        <f ca="1">IFERROR(__xludf.DUMMYFUNCTION("""COMPUTED_VALUE"""),1)</f>
        <v>1</v>
      </c>
      <c r="I2289" s="5">
        <f ca="1">IFERROR(__xludf.DUMMYFUNCTION("""COMPUTED_VALUE"""),1)</f>
        <v>1</v>
      </c>
      <c r="J2289" s="5">
        <f ca="1">IFERROR(__xludf.DUMMYFUNCTION("""COMPUTED_VALUE"""),0)</f>
        <v>0</v>
      </c>
      <c r="K2289" s="9" t="str">
        <f ca="1">IFERROR(__xludf.DUMMYFUNCTION("""COMPUTED_VALUE"""),"https://www.newspapers.com/image/179956712")</f>
        <v>https://www.newspapers.com/image/179956712</v>
      </c>
      <c r="L2289" s="5"/>
      <c r="M2289" s="5"/>
      <c r="N2289" s="5">
        <f ca="1">IFERROR(__xludf.DUMMYFUNCTION("""COMPUTED_VALUE"""),2)</f>
        <v>2</v>
      </c>
      <c r="O2289" s="5" t="str">
        <f ca="1">IFERROR(__xludf.DUMMYFUNCTION("""COMPUTED_VALUE"""),"Winter")</f>
        <v>Winter</v>
      </c>
      <c r="P2289" s="5" t="str">
        <f ca="1">IFERROR(__xludf.DUMMYFUNCTION("""COMPUTED_VALUE"""),"Willingboro")</f>
        <v>Willingboro</v>
      </c>
      <c r="Q2289" s="5" t="str">
        <f ca="1">IFERROR(__xludf.DUMMYFUNCTION("""COMPUTED_VALUE"""),"PA")</f>
        <v>PA</v>
      </c>
      <c r="R2289" s="5" t="str">
        <f ca="1">IFERROR(__xludf.DUMMYFUNCTION("""COMPUTED_VALUE"""),"High")</f>
        <v>High</v>
      </c>
      <c r="S2289" s="5" t="str">
        <f ca="1">IFERROR(__xludf.DUMMYFUNCTION("""COMPUTED_VALUE"""),"ND")</f>
        <v>ND</v>
      </c>
      <c r="T2289" s="5" t="str">
        <f ca="1">IFERROR(__xludf.DUMMYFUNCTION("""COMPUTED_VALUE"""),"ND")</f>
        <v>ND</v>
      </c>
      <c r="U2289" s="5" t="str">
        <f ca="1">IFERROR(__xludf.DUMMYFUNCTION("""COMPUTED_VALUE"""),"Yes")</f>
        <v>Yes</v>
      </c>
      <c r="V2289" s="5" t="str">
        <f ca="1">IFERROR(__xludf.DUMMYFUNCTION("""COMPUTED_VALUE"""),"Unknown")</f>
        <v>Unknown</v>
      </c>
      <c r="W2289" s="5"/>
      <c r="X2289" s="5"/>
      <c r="Y2289" s="5" t="str">
        <f ca="1">IFERROR(__xludf.DUMMYFUNCTION("""COMPUTED_VALUE"""),"Shooter shot and stabbed victim")</f>
        <v>Shooter shot and stabbed victim</v>
      </c>
      <c r="Z2289" s="5" t="str">
        <f ca="1">IFERROR(__xludf.DUMMYFUNCTION("""COMPUTED_VALUE"""),"14 year-old male student shot and stabbed a 13 year-old male victim.")</f>
        <v>14 year-old male student shot and stabbed a 13 year-old male victim.</v>
      </c>
      <c r="AA2289" s="5" t="str">
        <f ca="1">IFERROR(__xludf.DUMMYFUNCTION("""COMPUTED_VALUE"""),"Escalation of Dispute")</f>
        <v>Escalation of Dispute</v>
      </c>
      <c r="AB2289" s="5" t="str">
        <f ca="1">IFERROR(__xludf.DUMMYFUNCTION("""COMPUTED_VALUE"""),"Victims Targeted")</f>
        <v>Victims Targeted</v>
      </c>
      <c r="AC2289" s="5" t="str">
        <f ca="1">IFERROR(__xludf.DUMMYFUNCTION("""COMPUTED_VALUE"""),"No")</f>
        <v>No</v>
      </c>
      <c r="AD2289" s="5" t="str">
        <f ca="1">IFERROR(__xludf.DUMMYFUNCTION("""COMPUTED_VALUE"""),"No")</f>
        <v>No</v>
      </c>
      <c r="AE2289" s="5" t="str">
        <f ca="1">IFERROR(__xludf.DUMMYFUNCTION("""COMPUTED_VALUE"""),"No")</f>
        <v>No</v>
      </c>
      <c r="AF2289" s="5" t="str">
        <f ca="1">IFERROR(__xludf.DUMMYFUNCTION("""COMPUTED_VALUE"""),"No")</f>
        <v>No</v>
      </c>
      <c r="AG2289" s="5"/>
      <c r="AH2289" s="5"/>
      <c r="AI2289" s="5" t="str">
        <f ca="1">IFERROR(__xludf.DUMMYFUNCTION("""COMPUTED_VALUE"""),"No")</f>
        <v>No</v>
      </c>
      <c r="AJ2289" s="5"/>
    </row>
    <row r="2290" spans="1:36" ht="13">
      <c r="A2290" s="5" t="str">
        <f ca="1">IFERROR(__xludf.DUMMYFUNCTION("""COMPUTED_VALUE"""),"19710202PAMOP")</f>
        <v>19710202PAMOP</v>
      </c>
      <c r="B2290" s="5">
        <f ca="1">IFERROR(__xludf.DUMMYFUNCTION("""COMPUTED_VALUE"""),2)</f>
        <v>2</v>
      </c>
      <c r="C2290" s="5">
        <f ca="1">IFERROR(__xludf.DUMMYFUNCTION("""COMPUTED_VALUE"""),2)</f>
        <v>2</v>
      </c>
      <c r="D2290" s="5">
        <f ca="1">IFERROR(__xludf.DUMMYFUNCTION("""COMPUTED_VALUE"""),1971)</f>
        <v>1971</v>
      </c>
      <c r="E2290" s="8">
        <f ca="1">IFERROR(__xludf.DUMMYFUNCTION("""COMPUTED_VALUE"""),25966)</f>
        <v>25966</v>
      </c>
      <c r="F2290" s="5" t="str">
        <f ca="1">IFERROR(__xludf.DUMMYFUNCTION("""COMPUTED_VALUE"""),"Morris E. Leeds Middle School")</f>
        <v>Morris E. Leeds Middle School</v>
      </c>
      <c r="G2290" s="5">
        <f ca="1">IFERROR(__xludf.DUMMYFUNCTION("""COMPUTED_VALUE"""),1)</f>
        <v>1</v>
      </c>
      <c r="H2290" s="5">
        <f ca="1">IFERROR(__xludf.DUMMYFUNCTION("""COMPUTED_VALUE"""),0)</f>
        <v>0</v>
      </c>
      <c r="I2290" s="5">
        <f ca="1">IFERROR(__xludf.DUMMYFUNCTION("""COMPUTED_VALUE"""),1)</f>
        <v>1</v>
      </c>
      <c r="J2290" s="5">
        <f ca="1">IFERROR(__xludf.DUMMYFUNCTION("""COMPUTED_VALUE"""),0)</f>
        <v>0</v>
      </c>
      <c r="K2290" s="5" t="str">
        <f ca="1">IFERROR(__xludf.DUMMYFUNCTION("""COMPUTED_VALUE"""),"https://www.nytimes.com/1971/02/02/archives/art-teacher-slain-philadelphia-police-arrest-youth-14.html; https://www.newspapers.com/image/272654290/?terms=PUPIL%2BHELD%2BIN%2BTEACHER%2BSLAYING; https://www.newspapers.com/image/40446958/?terms=PUPIL%2BHELD%"&amp;"2BIN%2BTEACHER%2BSLAYING%2BSAMUEL%2BFREEDMAN")</f>
        <v>https://www.nytimes.com/1971/02/02/archives/art-teacher-slain-philadelphia-police-arrest-youth-14.html; https://www.newspapers.com/image/272654290/?terms=PUPIL%2BHELD%2BIN%2BTEACHER%2BSLAYING; https://www.newspapers.com/image/40446958/?terms=PUPIL%2BHELD%2BIN%2BTEACHER%2BSLAYING%2BSAMUEL%2BFREEDMAN</v>
      </c>
      <c r="L2290" s="5"/>
      <c r="M2290" s="5"/>
      <c r="N2290" s="5">
        <f ca="1">IFERROR(__xludf.DUMMYFUNCTION("""COMPUTED_VALUE"""),3)</f>
        <v>3</v>
      </c>
      <c r="O2290" s="5" t="str">
        <f ca="1">IFERROR(__xludf.DUMMYFUNCTION("""COMPUTED_VALUE"""),"Winter")</f>
        <v>Winter</v>
      </c>
      <c r="P2290" s="5" t="str">
        <f ca="1">IFERROR(__xludf.DUMMYFUNCTION("""COMPUTED_VALUE"""),"Philadelphia")</f>
        <v>Philadelphia</v>
      </c>
      <c r="Q2290" s="5" t="str">
        <f ca="1">IFERROR(__xludf.DUMMYFUNCTION("""COMPUTED_VALUE"""),"PA")</f>
        <v>PA</v>
      </c>
      <c r="R2290" s="5" t="str">
        <f ca="1">IFERROR(__xludf.DUMMYFUNCTION("""COMPUTED_VALUE"""),"Middle")</f>
        <v>Middle</v>
      </c>
      <c r="S2290" s="5" t="str">
        <f ca="1">IFERROR(__xludf.DUMMYFUNCTION("""COMPUTED_VALUE"""),"Outside on School Property")</f>
        <v>Outside on School Property</v>
      </c>
      <c r="T2290" s="5" t="str">
        <f ca="1">IFERROR(__xludf.DUMMYFUNCTION("""COMPUTED_VALUE"""),"Outside on School Property")</f>
        <v>Outside on School Property</v>
      </c>
      <c r="U2290" s="5" t="str">
        <f ca="1">IFERROR(__xludf.DUMMYFUNCTION("""COMPUTED_VALUE"""),"No")</f>
        <v>No</v>
      </c>
      <c r="V2290" s="5"/>
      <c r="W2290" s="5"/>
      <c r="X2290" s="5"/>
      <c r="Y2290" s="5" t="str">
        <f ca="1">IFERROR(__xludf.DUMMYFUNCTION("""COMPUTED_VALUE"""),"Student shot teacher who had suspended him earlier in the day for cursing in the hallway")</f>
        <v>Student shot teacher who had suspended him earlier in the day for cursing in the hallway</v>
      </c>
      <c r="Z2290" s="5" t="str">
        <f ca="1">IFERROR(__xludf.DUMMYFUNCTION("""COMPUTED_VALUE"""),"56 year-old male teacher was shot while leaving school by student he had suspended earlier in the day")</f>
        <v>56 year-old male teacher was shot while leaving school by student he had suspended earlier in the day</v>
      </c>
      <c r="AA2290" s="5" t="str">
        <f ca="1">IFERROR(__xludf.DUMMYFUNCTION("""COMPUTED_VALUE"""),"Anger Over Grade/Suspension/Discipline")</f>
        <v>Anger Over Grade/Suspension/Discipline</v>
      </c>
      <c r="AB2290" s="5" t="str">
        <f ca="1">IFERROR(__xludf.DUMMYFUNCTION("""COMPUTED_VALUE"""),"Victims Targeted")</f>
        <v>Victims Targeted</v>
      </c>
      <c r="AC2290" s="5" t="str">
        <f ca="1">IFERROR(__xludf.DUMMYFUNCTION("""COMPUTED_VALUE"""),"No")</f>
        <v>No</v>
      </c>
      <c r="AD2290" s="5" t="str">
        <f ca="1">IFERROR(__xludf.DUMMYFUNCTION("""COMPUTED_VALUE"""),"No")</f>
        <v>No</v>
      </c>
      <c r="AE2290" s="5" t="str">
        <f ca="1">IFERROR(__xludf.DUMMYFUNCTION("""COMPUTED_VALUE"""),"No")</f>
        <v>No</v>
      </c>
      <c r="AF2290" s="5" t="str">
        <f ca="1">IFERROR(__xludf.DUMMYFUNCTION("""COMPUTED_VALUE"""),"No")</f>
        <v>No</v>
      </c>
      <c r="AG2290" s="5" t="str">
        <f ca="1">IFERROR(__xludf.DUMMYFUNCTION("""COMPUTED_VALUE"""),"No")</f>
        <v>No</v>
      </c>
      <c r="AH2290" s="5" t="str">
        <f ca="1">IFERROR(__xludf.DUMMYFUNCTION("""COMPUTED_VALUE"""),"No")</f>
        <v>No</v>
      </c>
      <c r="AI2290" s="5" t="str">
        <f ca="1">IFERROR(__xludf.DUMMYFUNCTION("""COMPUTED_VALUE"""),"No")</f>
        <v>No</v>
      </c>
      <c r="AJ2290" s="5"/>
    </row>
    <row r="2291" spans="1:36" ht="13">
      <c r="A2291" s="5" t="str">
        <f ca="1">IFERROR(__xludf.DUMMYFUNCTION("""COMPUTED_VALUE"""),"19701212WIXAA")</f>
        <v>19701212WIXAA</v>
      </c>
      <c r="B2291" s="5">
        <f ca="1">IFERROR(__xludf.DUMMYFUNCTION("""COMPUTED_VALUE"""),12)</f>
        <v>12</v>
      </c>
      <c r="C2291" s="5">
        <f ca="1">IFERROR(__xludf.DUMMYFUNCTION("""COMPUTED_VALUE"""),12)</f>
        <v>12</v>
      </c>
      <c r="D2291" s="5">
        <f ca="1">IFERROR(__xludf.DUMMYFUNCTION("""COMPUTED_VALUE"""),1970)</f>
        <v>1970</v>
      </c>
      <c r="E2291" s="8">
        <f ca="1">IFERROR(__xludf.DUMMYFUNCTION("""COMPUTED_VALUE"""),25914)</f>
        <v>25914</v>
      </c>
      <c r="F2291" s="5" t="str">
        <f ca="1">IFERROR(__xludf.DUMMYFUNCTION("""COMPUTED_VALUE"""),"Xavier High School")</f>
        <v>Xavier High School</v>
      </c>
      <c r="G2291" s="5">
        <f ca="1">IFERROR(__xludf.DUMMYFUNCTION("""COMPUTED_VALUE"""),1)</f>
        <v>1</v>
      </c>
      <c r="H2291" s="5">
        <f ca="1">IFERROR(__xludf.DUMMYFUNCTION("""COMPUTED_VALUE"""),0)</f>
        <v>0</v>
      </c>
      <c r="I2291" s="5">
        <f ca="1">IFERROR(__xludf.DUMMYFUNCTION("""COMPUTED_VALUE"""),1)</f>
        <v>1</v>
      </c>
      <c r="J2291" s="5">
        <f ca="1">IFERROR(__xludf.DUMMYFUNCTION("""COMPUTED_VALUE"""),0)</f>
        <v>0</v>
      </c>
      <c r="K2291" s="9" t="str">
        <f ca="1">IFERROR(__xludf.DUMMYFUNCTION("""COMPUTED_VALUE"""),"https://www.newspapers.com/image/246856502/?terms=xavier%2Bhigh%2Bschool%2Bshooting%2Bappleton")</f>
        <v>https://www.newspapers.com/image/246856502/?terms=xavier%2Bhigh%2Bschool%2Bshooting%2Bappleton</v>
      </c>
      <c r="L2291" s="5"/>
      <c r="M2291" s="5"/>
      <c r="N2291" s="5">
        <f ca="1">IFERROR(__xludf.DUMMYFUNCTION("""COMPUTED_VALUE"""),3)</f>
        <v>3</v>
      </c>
      <c r="O2291" s="5" t="str">
        <f ca="1">IFERROR(__xludf.DUMMYFUNCTION("""COMPUTED_VALUE"""),"Winter")</f>
        <v>Winter</v>
      </c>
      <c r="P2291" s="5" t="str">
        <f ca="1">IFERROR(__xludf.DUMMYFUNCTION("""COMPUTED_VALUE"""),"Appleton")</f>
        <v>Appleton</v>
      </c>
      <c r="Q2291" s="5" t="str">
        <f ca="1">IFERROR(__xludf.DUMMYFUNCTION("""COMPUTED_VALUE"""),"WI")</f>
        <v>WI</v>
      </c>
      <c r="R2291" s="5" t="str">
        <f ca="1">IFERROR(__xludf.DUMMYFUNCTION("""COMPUTED_VALUE"""),"High")</f>
        <v>High</v>
      </c>
      <c r="S2291" s="5" t="str">
        <f ca="1">IFERROR(__xludf.DUMMYFUNCTION("""COMPUTED_VALUE"""),"Inside School Building")</f>
        <v>Inside School Building</v>
      </c>
      <c r="T2291" s="5" t="str">
        <f ca="1">IFERROR(__xludf.DUMMYFUNCTION("""COMPUTED_VALUE"""),"Inside School Building")</f>
        <v>Inside School Building</v>
      </c>
      <c r="U2291" s="5" t="str">
        <f ca="1">IFERROR(__xludf.DUMMYFUNCTION("""COMPUTED_VALUE"""),"No")</f>
        <v>No</v>
      </c>
      <c r="V2291" s="5" t="str">
        <f ca="1">IFERROR(__xludf.DUMMYFUNCTION("""COMPUTED_VALUE"""),"Night")</f>
        <v>Night</v>
      </c>
      <c r="W2291" s="10">
        <f ca="1">IFERROR(__xludf.DUMMYFUNCTION("""COMPUTED_VALUE"""),0.996527777777777)</f>
        <v>0.99652777777777701</v>
      </c>
      <c r="X2291" s="5">
        <f ca="1">IFERROR(__xludf.DUMMYFUNCTION("""COMPUTED_VALUE"""),1)</f>
        <v>1</v>
      </c>
      <c r="Y2291" s="5" t="str">
        <f ca="1">IFERROR(__xludf.DUMMYFUNCTION("""COMPUTED_VALUE"""),"Police officer shot suspect during attempted burglary at school")</f>
        <v>Police officer shot suspect during attempted burglary at school</v>
      </c>
      <c r="Z2291" s="5" t="str">
        <f ca="1">IFERROR(__xludf.DUMMYFUNCTION("""COMPUTED_VALUE"""),"Police officer shot and killed a 42 year-old male during an attempted burglary at the school. Ruled justified homicide.")</f>
        <v>Police officer shot and killed a 42 year-old male during an attempted burglary at the school. Ruled justified homicide.</v>
      </c>
      <c r="AA2291" s="5" t="str">
        <f ca="1">IFERROR(__xludf.DUMMYFUNCTION("""COMPUTED_VALUE"""),"Illegal Activity")</f>
        <v>Illegal Activity</v>
      </c>
      <c r="AB2291" s="5" t="str">
        <f ca="1">IFERROR(__xludf.DUMMYFUNCTION("""COMPUTED_VALUE"""),"Neither")</f>
        <v>Neither</v>
      </c>
      <c r="AC2291" s="5" t="str">
        <f ca="1">IFERROR(__xludf.DUMMYFUNCTION("""COMPUTED_VALUE"""),"No")</f>
        <v>No</v>
      </c>
      <c r="AD2291" s="5" t="str">
        <f ca="1">IFERROR(__xludf.DUMMYFUNCTION("""COMPUTED_VALUE"""),"No")</f>
        <v>No</v>
      </c>
      <c r="AE2291" s="5" t="str">
        <f ca="1">IFERROR(__xludf.DUMMYFUNCTION("""COMPUTED_VALUE"""),"No")</f>
        <v>No</v>
      </c>
      <c r="AF2291" s="5" t="str">
        <f ca="1">IFERROR(__xludf.DUMMYFUNCTION("""COMPUTED_VALUE"""),"Yes")</f>
        <v>Yes</v>
      </c>
      <c r="AG2291" s="5" t="str">
        <f ca="1">IFERROR(__xludf.DUMMYFUNCTION("""COMPUTED_VALUE"""),"No")</f>
        <v>No</v>
      </c>
      <c r="AH2291" s="5" t="str">
        <f ca="1">IFERROR(__xludf.DUMMYFUNCTION("""COMPUTED_VALUE"""),"No")</f>
        <v>No</v>
      </c>
      <c r="AI2291" s="5" t="str">
        <f ca="1">IFERROR(__xludf.DUMMYFUNCTION("""COMPUTED_VALUE"""),"No")</f>
        <v>No</v>
      </c>
      <c r="AJ2291" s="5" t="str">
        <f ca="1">IFERROR(__xludf.DUMMYFUNCTION("""COMPUTED_VALUE"""),"N/A")</f>
        <v>N/A</v>
      </c>
    </row>
    <row r="2292" spans="1:36" ht="13">
      <c r="A2292" s="5" t="str">
        <f ca="1">IFERROR(__xludf.DUMMYFUNCTION("""COMPUTED_VALUE"""),"19701120ILHAC")</f>
        <v>19701120ILHAC</v>
      </c>
      <c r="B2292" s="5">
        <f ca="1">IFERROR(__xludf.DUMMYFUNCTION("""COMPUTED_VALUE"""),11)</f>
        <v>11</v>
      </c>
      <c r="C2292" s="5">
        <f ca="1">IFERROR(__xludf.DUMMYFUNCTION("""COMPUTED_VALUE"""),20)</f>
        <v>20</v>
      </c>
      <c r="D2292" s="5">
        <f ca="1">IFERROR(__xludf.DUMMYFUNCTION("""COMPUTED_VALUE"""),1970)</f>
        <v>1970</v>
      </c>
      <c r="E2292" s="8">
        <f ca="1">IFERROR(__xludf.DUMMYFUNCTION("""COMPUTED_VALUE"""),25892)</f>
        <v>25892</v>
      </c>
      <c r="F2292" s="5" t="str">
        <f ca="1">IFERROR(__xludf.DUMMYFUNCTION("""COMPUTED_VALUE"""),"Harlan High School")</f>
        <v>Harlan High School</v>
      </c>
      <c r="G2292" s="5">
        <f ca="1">IFERROR(__xludf.DUMMYFUNCTION("""COMPUTED_VALUE"""),0)</f>
        <v>0</v>
      </c>
      <c r="H2292" s="5">
        <f ca="1">IFERROR(__xludf.DUMMYFUNCTION("""COMPUTED_VALUE"""),2)</f>
        <v>2</v>
      </c>
      <c r="I2292" s="5">
        <f ca="1">IFERROR(__xludf.DUMMYFUNCTION("""COMPUTED_VALUE"""),2)</f>
        <v>2</v>
      </c>
      <c r="J2292" s="5">
        <f ca="1">IFERROR(__xludf.DUMMYFUNCTION("""COMPUTED_VALUE"""),0)</f>
        <v>0</v>
      </c>
      <c r="K2292" s="5" t="str">
        <f ca="1">IFERROR(__xludf.DUMMYFUNCTION("""COMPUTED_VALUE"""),"https://en.wikipedia.org/wiki/List_of_school_shootings_in_the_United_States .  https://www.newspapers.com/image/376859688/?terms=kenneth%2Bhouse .  https://www.newspapers.com/image/376865657/?terms=kenneth%2Bhouse")</f>
        <v>https://en.wikipedia.org/wiki/List_of_school_shootings_in_the_United_States .  https://www.newspapers.com/image/376859688/?terms=kenneth%2Bhouse .  https://www.newspapers.com/image/376865657/?terms=kenneth%2Bhouse</v>
      </c>
      <c r="L2292" s="5"/>
      <c r="M2292" s="5"/>
      <c r="N2292" s="5">
        <f ca="1">IFERROR(__xludf.DUMMYFUNCTION("""COMPUTED_VALUE"""),2)</f>
        <v>2</v>
      </c>
      <c r="O2292" s="5" t="str">
        <f ca="1">IFERROR(__xludf.DUMMYFUNCTION("""COMPUTED_VALUE"""),"Fall")</f>
        <v>Fall</v>
      </c>
      <c r="P2292" s="5" t="str">
        <f ca="1">IFERROR(__xludf.DUMMYFUNCTION("""COMPUTED_VALUE"""),"Chicago")</f>
        <v>Chicago</v>
      </c>
      <c r="Q2292" s="5" t="str">
        <f ca="1">IFERROR(__xludf.DUMMYFUNCTION("""COMPUTED_VALUE"""),"IL")</f>
        <v>IL</v>
      </c>
      <c r="R2292" s="5" t="str">
        <f ca="1">IFERROR(__xludf.DUMMYFUNCTION("""COMPUTED_VALUE"""),"High")</f>
        <v>High</v>
      </c>
      <c r="S2292" s="5" t="str">
        <f ca="1">IFERROR(__xludf.DUMMYFUNCTION("""COMPUTED_VALUE"""),"Inside School Building")</f>
        <v>Inside School Building</v>
      </c>
      <c r="T2292" s="5" t="str">
        <f ca="1">IFERROR(__xludf.DUMMYFUNCTION("""COMPUTED_VALUE"""),"Inside School Building")</f>
        <v>Inside School Building</v>
      </c>
      <c r="U2292" s="5" t="str">
        <f ca="1">IFERROR(__xludf.DUMMYFUNCTION("""COMPUTED_VALUE"""),"Yes")</f>
        <v>Yes</v>
      </c>
      <c r="V2292" s="5"/>
      <c r="W2292" s="5"/>
      <c r="X2292" s="5">
        <f ca="1">IFERROR(__xludf.DUMMYFUNCTION("""COMPUTED_VALUE"""),1)</f>
        <v>1</v>
      </c>
      <c r="Y2292" s="5" t="str">
        <f ca="1">IFERROR(__xludf.DUMMYFUNCTION("""COMPUTED_VALUE"""),"Gang recruitment related")</f>
        <v>Gang recruitment related</v>
      </c>
      <c r="Z2292" s="5" t="str">
        <f ca="1">IFERROR(__xludf.DUMMYFUNCTION("""COMPUTED_VALUE"""),"15 year-old male shooter fired shots striking a 15 year-old male (Kenneth House) and 14 year-old female (Portia Walls) victim as part of gang recruitment. Shooter feld and was later arrested.")</f>
        <v>15 year-old male shooter fired shots striking a 15 year-old male (Kenneth House) and 14 year-old female (Portia Walls) victim as part of gang recruitment. Shooter feld and was later arrested.</v>
      </c>
      <c r="AA2292" s="5" t="str">
        <f ca="1">IFERROR(__xludf.DUMMYFUNCTION("""COMPUTED_VALUE"""),"Illegal Activity")</f>
        <v>Illegal Activity</v>
      </c>
      <c r="AB2292" s="5"/>
      <c r="AC2292" s="5" t="str">
        <f ca="1">IFERROR(__xludf.DUMMYFUNCTION("""COMPUTED_VALUE"""),"Unknown")</f>
        <v>Unknown</v>
      </c>
      <c r="AD2292" s="5" t="str">
        <f ca="1">IFERROR(__xludf.DUMMYFUNCTION("""COMPUTED_VALUE"""),"No")</f>
        <v>No</v>
      </c>
      <c r="AE2292" s="5" t="str">
        <f ca="1">IFERROR(__xludf.DUMMYFUNCTION("""COMPUTED_VALUE"""),"No")</f>
        <v>No</v>
      </c>
      <c r="AF2292" s="5" t="str">
        <f ca="1">IFERROR(__xludf.DUMMYFUNCTION("""COMPUTED_VALUE"""),"No")</f>
        <v>No</v>
      </c>
      <c r="AG2292" s="5" t="str">
        <f ca="1">IFERROR(__xludf.DUMMYFUNCTION("""COMPUTED_VALUE"""),"No")</f>
        <v>No</v>
      </c>
      <c r="AH2292" s="5" t="str">
        <f ca="1">IFERROR(__xludf.DUMMYFUNCTION("""COMPUTED_VALUE"""),"No")</f>
        <v>No</v>
      </c>
      <c r="AI2292" s="5" t="str">
        <f ca="1">IFERROR(__xludf.DUMMYFUNCTION("""COMPUTED_VALUE"""),"Yes")</f>
        <v>Yes</v>
      </c>
      <c r="AJ2292" s="5"/>
    </row>
    <row r="2293" spans="1:36" ht="13">
      <c r="A2293" s="5" t="str">
        <f ca="1">IFERROR(__xludf.DUMMYFUNCTION("""COMPUTED_VALUE"""),"19701027OHAPM")</f>
        <v>19701027OHAPM</v>
      </c>
      <c r="B2293" s="5">
        <f ca="1">IFERROR(__xludf.DUMMYFUNCTION("""COMPUTED_VALUE"""),10)</f>
        <v>10</v>
      </c>
      <c r="C2293" s="5">
        <f ca="1">IFERROR(__xludf.DUMMYFUNCTION("""COMPUTED_VALUE"""),27)</f>
        <v>27</v>
      </c>
      <c r="D2293" s="5">
        <f ca="1">IFERROR(__xludf.DUMMYFUNCTION("""COMPUTED_VALUE"""),1970)</f>
        <v>1970</v>
      </c>
      <c r="E2293" s="8">
        <f ca="1">IFERROR(__xludf.DUMMYFUNCTION("""COMPUTED_VALUE"""),25868)</f>
        <v>25868</v>
      </c>
      <c r="F2293" s="5" t="str">
        <f ca="1">IFERROR(__xludf.DUMMYFUNCTION("""COMPUTED_VALUE"""),"Appleseed Junior High School")</f>
        <v>Appleseed Junior High School</v>
      </c>
      <c r="G2293" s="5">
        <f ca="1">IFERROR(__xludf.DUMMYFUNCTION("""COMPUTED_VALUE"""),0)</f>
        <v>0</v>
      </c>
      <c r="H2293" s="5">
        <f ca="1">IFERROR(__xludf.DUMMYFUNCTION("""COMPUTED_VALUE"""),1)</f>
        <v>1</v>
      </c>
      <c r="I2293" s="5">
        <f ca="1">IFERROR(__xludf.DUMMYFUNCTION("""COMPUTED_VALUE"""),1)</f>
        <v>1</v>
      </c>
      <c r="J2293" s="5">
        <f ca="1">IFERROR(__xludf.DUMMYFUNCTION("""COMPUTED_VALUE"""),0)</f>
        <v>0</v>
      </c>
      <c r="K2293" s="9" t="str">
        <f ca="1">IFERROR(__xludf.DUMMYFUNCTION("""COMPUTED_VALUE"""),"https://www.newspapers.com/image/294129677/?terms=school%2Bshooting")</f>
        <v>https://www.newspapers.com/image/294129677/?terms=school%2Bshooting</v>
      </c>
      <c r="L2293" s="5"/>
      <c r="M2293" s="5"/>
      <c r="N2293" s="5">
        <f ca="1">IFERROR(__xludf.DUMMYFUNCTION("""COMPUTED_VALUE"""),2)</f>
        <v>2</v>
      </c>
      <c r="O2293" s="5" t="str">
        <f ca="1">IFERROR(__xludf.DUMMYFUNCTION("""COMPUTED_VALUE"""),"Fall")</f>
        <v>Fall</v>
      </c>
      <c r="P2293" s="5" t="str">
        <f ca="1">IFERROR(__xludf.DUMMYFUNCTION("""COMPUTED_VALUE"""),"Mansfield")</f>
        <v>Mansfield</v>
      </c>
      <c r="Q2293" s="5" t="str">
        <f ca="1">IFERROR(__xludf.DUMMYFUNCTION("""COMPUTED_VALUE"""),"OH")</f>
        <v>OH</v>
      </c>
      <c r="R2293" s="5" t="str">
        <f ca="1">IFERROR(__xludf.DUMMYFUNCTION("""COMPUTED_VALUE"""),"Junior High")</f>
        <v>Junior High</v>
      </c>
      <c r="S2293" s="5" t="str">
        <f ca="1">IFERROR(__xludf.DUMMYFUNCTION("""COMPUTED_VALUE"""),"Bathroom")</f>
        <v>Bathroom</v>
      </c>
      <c r="T2293" s="5" t="str">
        <f ca="1">IFERROR(__xludf.DUMMYFUNCTION("""COMPUTED_VALUE"""),"Inside School Building")</f>
        <v>Inside School Building</v>
      </c>
      <c r="U2293" s="5" t="str">
        <f ca="1">IFERROR(__xludf.DUMMYFUNCTION("""COMPUTED_VALUE"""),"Yes")</f>
        <v>Yes</v>
      </c>
      <c r="V2293" s="5" t="str">
        <f ca="1">IFERROR(__xludf.DUMMYFUNCTION("""COMPUTED_VALUE"""),"Morning Classes")</f>
        <v>Morning Classes</v>
      </c>
      <c r="W2293" s="10">
        <f ca="1">IFERROR(__xludf.DUMMYFUNCTION("""COMPUTED_VALUE"""),0.354166666666666)</f>
        <v>0.35416666666666602</v>
      </c>
      <c r="X2293" s="5">
        <f ca="1">IFERROR(__xludf.DUMMYFUNCTION("""COMPUTED_VALUE"""),1)</f>
        <v>1</v>
      </c>
      <c r="Y2293" s="5" t="str">
        <f ca="1">IFERROR(__xludf.DUMMYFUNCTION("""COMPUTED_VALUE"""),"Shot victim in the bathroom")</f>
        <v>Shot victim in the bathroom</v>
      </c>
      <c r="Z2293" s="5" t="str">
        <f ca="1">IFERROR(__xludf.DUMMYFUNCTION("""COMPUTED_VALUE"""),"13 year-old male student (Frank Bonham) shot a 15 year-old male student (Robert Goodman) in the school bathroom. Ongoing dispute between the students.")</f>
        <v>13 year-old male student (Frank Bonham) shot a 15 year-old male student (Robert Goodman) in the school bathroom. Ongoing dispute between the students.</v>
      </c>
      <c r="AA2293" s="5" t="str">
        <f ca="1">IFERROR(__xludf.DUMMYFUNCTION("""COMPUTED_VALUE"""),"Escalation of Dispute")</f>
        <v>Escalation of Dispute</v>
      </c>
      <c r="AB2293" s="5" t="str">
        <f ca="1">IFERROR(__xludf.DUMMYFUNCTION("""COMPUTED_VALUE"""),"Victims Targeted")</f>
        <v>Victims Targeted</v>
      </c>
      <c r="AC2293" s="5" t="str">
        <f ca="1">IFERROR(__xludf.DUMMYFUNCTION("""COMPUTED_VALUE"""),"No")</f>
        <v>No</v>
      </c>
      <c r="AD2293" s="5" t="str">
        <f ca="1">IFERROR(__xludf.DUMMYFUNCTION("""COMPUTED_VALUE"""),"No")</f>
        <v>No</v>
      </c>
      <c r="AE2293" s="5" t="str">
        <f ca="1">IFERROR(__xludf.DUMMYFUNCTION("""COMPUTED_VALUE"""),"No")</f>
        <v>No</v>
      </c>
      <c r="AF2293" s="5" t="str">
        <f ca="1">IFERROR(__xludf.DUMMYFUNCTION("""COMPUTED_VALUE"""),"No")</f>
        <v>No</v>
      </c>
      <c r="AG2293" s="5"/>
      <c r="AH2293" s="5" t="str">
        <f ca="1">IFERROR(__xludf.DUMMYFUNCTION("""COMPUTED_VALUE"""),"No")</f>
        <v>No</v>
      </c>
      <c r="AI2293" s="5" t="str">
        <f ca="1">IFERROR(__xludf.DUMMYFUNCTION("""COMPUTED_VALUE"""),"No")</f>
        <v>No</v>
      </c>
      <c r="AJ2293" s="5"/>
    </row>
    <row r="2294" spans="1:36" ht="13">
      <c r="A2294" s="5" t="str">
        <f ca="1">IFERROR(__xludf.DUMMYFUNCTION("""COMPUTED_VALUE"""),"19701020TNWAN")</f>
        <v>19701020TNWAN</v>
      </c>
      <c r="B2294" s="5">
        <f ca="1">IFERROR(__xludf.DUMMYFUNCTION("""COMPUTED_VALUE"""),10)</f>
        <v>10</v>
      </c>
      <c r="C2294" s="5">
        <f ca="1">IFERROR(__xludf.DUMMYFUNCTION("""COMPUTED_VALUE"""),20)</f>
        <v>20</v>
      </c>
      <c r="D2294" s="5">
        <f ca="1">IFERROR(__xludf.DUMMYFUNCTION("""COMPUTED_VALUE"""),1970)</f>
        <v>1970</v>
      </c>
      <c r="E2294" s="8">
        <f ca="1">IFERROR(__xludf.DUMMYFUNCTION("""COMPUTED_VALUE"""),25861)</f>
        <v>25861</v>
      </c>
      <c r="F2294" s="5" t="str">
        <f ca="1">IFERROR(__xludf.DUMMYFUNCTION("""COMPUTED_VALUE"""),"Washington Junior High School")</f>
        <v>Washington Junior High School</v>
      </c>
      <c r="G2294" s="5">
        <f ca="1">IFERROR(__xludf.DUMMYFUNCTION("""COMPUTED_VALUE"""),0)</f>
        <v>0</v>
      </c>
      <c r="H2294" s="5">
        <f ca="1">IFERROR(__xludf.DUMMYFUNCTION("""COMPUTED_VALUE"""),1)</f>
        <v>1</v>
      </c>
      <c r="I2294" s="5">
        <f ca="1">IFERROR(__xludf.DUMMYFUNCTION("""COMPUTED_VALUE"""),1)</f>
        <v>1</v>
      </c>
      <c r="J2294" s="5">
        <f ca="1">IFERROR(__xludf.DUMMYFUNCTION("""COMPUTED_VALUE"""),0)</f>
        <v>0</v>
      </c>
      <c r="K2294" s="9" t="str">
        <f ca="1">IFERROR(__xludf.DUMMYFUNCTION("""COMPUTED_VALUE"""),"https://www.newspapers.com/image/284280856/?terms=school%2Bshooting")</f>
        <v>https://www.newspapers.com/image/284280856/?terms=school%2Bshooting</v>
      </c>
      <c r="L2294" s="5"/>
      <c r="M2294" s="5"/>
      <c r="N2294" s="5">
        <f ca="1">IFERROR(__xludf.DUMMYFUNCTION("""COMPUTED_VALUE"""),2)</f>
        <v>2</v>
      </c>
      <c r="O2294" s="5" t="str">
        <f ca="1">IFERROR(__xludf.DUMMYFUNCTION("""COMPUTED_VALUE"""),"Fall")</f>
        <v>Fall</v>
      </c>
      <c r="P2294" s="5" t="str">
        <f ca="1">IFERROR(__xludf.DUMMYFUNCTION("""COMPUTED_VALUE"""),"Nashville")</f>
        <v>Nashville</v>
      </c>
      <c r="Q2294" s="5" t="str">
        <f ca="1">IFERROR(__xludf.DUMMYFUNCTION("""COMPUTED_VALUE"""),"TN")</f>
        <v>TN</v>
      </c>
      <c r="R2294" s="5" t="str">
        <f ca="1">IFERROR(__xludf.DUMMYFUNCTION("""COMPUTED_VALUE"""),"Junior High")</f>
        <v>Junior High</v>
      </c>
      <c r="S2294" s="5" t="str">
        <f ca="1">IFERROR(__xludf.DUMMYFUNCTION("""COMPUTED_VALUE"""),"Hallway")</f>
        <v>Hallway</v>
      </c>
      <c r="T2294" s="5" t="str">
        <f ca="1">IFERROR(__xludf.DUMMYFUNCTION("""COMPUTED_VALUE"""),"Inside School Building")</f>
        <v>Inside School Building</v>
      </c>
      <c r="U2294" s="5" t="str">
        <f ca="1">IFERROR(__xludf.DUMMYFUNCTION("""COMPUTED_VALUE"""),"Yes")</f>
        <v>Yes</v>
      </c>
      <c r="V2294" s="5" t="str">
        <f ca="1">IFERROR(__xludf.DUMMYFUNCTION("""COMPUTED_VALUE"""),"Lunch")</f>
        <v>Lunch</v>
      </c>
      <c r="W2294" s="10">
        <f ca="1">IFERROR(__xludf.DUMMYFUNCTION("""COMPUTED_VALUE"""),0.5)</f>
        <v>0.5</v>
      </c>
      <c r="X2294" s="5">
        <f ca="1">IFERROR(__xludf.DUMMYFUNCTION("""COMPUTED_VALUE"""),1)</f>
        <v>1</v>
      </c>
      <c r="Y2294" s="5" t="str">
        <f ca="1">IFERROR(__xludf.DUMMYFUNCTION("""COMPUTED_VALUE"""),"Hallway monitor shot by another student")</f>
        <v>Hallway monitor shot by another student</v>
      </c>
      <c r="Z2294" s="5" t="str">
        <f ca="1">IFERROR(__xludf.DUMMYFUNCTION("""COMPUTED_VALUE"""),"Hallways monitor (student) was shot by another student in the hallway")</f>
        <v>Hallways monitor (student) was shot by another student in the hallway</v>
      </c>
      <c r="AA2294" s="5" t="str">
        <f ca="1">IFERROR(__xludf.DUMMYFUNCTION("""COMPUTED_VALUE"""),"Unknown")</f>
        <v>Unknown</v>
      </c>
      <c r="AB2294" s="5" t="str">
        <f ca="1">IFERROR(__xludf.DUMMYFUNCTION("""COMPUTED_VALUE"""),"Victims Targeted")</f>
        <v>Victims Targeted</v>
      </c>
      <c r="AC2294" s="5" t="str">
        <f ca="1">IFERROR(__xludf.DUMMYFUNCTION("""COMPUTED_VALUE"""),"No")</f>
        <v>No</v>
      </c>
      <c r="AD2294" s="5" t="str">
        <f ca="1">IFERROR(__xludf.DUMMYFUNCTION("""COMPUTED_VALUE"""),"No")</f>
        <v>No</v>
      </c>
      <c r="AE2294" s="5" t="str">
        <f ca="1">IFERROR(__xludf.DUMMYFUNCTION("""COMPUTED_VALUE"""),"No")</f>
        <v>No</v>
      </c>
      <c r="AF2294" s="5" t="str">
        <f ca="1">IFERROR(__xludf.DUMMYFUNCTION("""COMPUTED_VALUE"""),"No")</f>
        <v>No</v>
      </c>
      <c r="AG2294" s="5" t="str">
        <f ca="1">IFERROR(__xludf.DUMMYFUNCTION("""COMPUTED_VALUE"""),"No")</f>
        <v>No</v>
      </c>
      <c r="AH2294" s="5" t="str">
        <f ca="1">IFERROR(__xludf.DUMMYFUNCTION("""COMPUTED_VALUE"""),"No")</f>
        <v>No</v>
      </c>
      <c r="AI2294" s="5" t="str">
        <f ca="1">IFERROR(__xludf.DUMMYFUNCTION("""COMPUTED_VALUE"""),"No")</f>
        <v>No</v>
      </c>
      <c r="AJ2294" s="5"/>
    </row>
    <row r="2295" spans="1:36" ht="13">
      <c r="A2295" s="5" t="str">
        <f ca="1">IFERROR(__xludf.DUMMYFUNCTION("""COMPUTED_VALUE"""),"19701019TNBOM")</f>
        <v>19701019TNBOM</v>
      </c>
      <c r="B2295" s="5">
        <f ca="1">IFERROR(__xludf.DUMMYFUNCTION("""COMPUTED_VALUE"""),10)</f>
        <v>10</v>
      </c>
      <c r="C2295" s="5">
        <f ca="1">IFERROR(__xludf.DUMMYFUNCTION("""COMPUTED_VALUE"""),19)</f>
        <v>19</v>
      </c>
      <c r="D2295" s="5">
        <f ca="1">IFERROR(__xludf.DUMMYFUNCTION("""COMPUTED_VALUE"""),1970)</f>
        <v>1970</v>
      </c>
      <c r="E2295" s="8">
        <f ca="1">IFERROR(__xludf.DUMMYFUNCTION("""COMPUTED_VALUE"""),25860)</f>
        <v>25860</v>
      </c>
      <c r="F2295" s="5" t="str">
        <f ca="1">IFERROR(__xludf.DUMMYFUNCTION("""COMPUTED_VALUE"""),"Booker T. Washington High School")</f>
        <v>Booker T. Washington High School</v>
      </c>
      <c r="G2295" s="5">
        <f ca="1">IFERROR(__xludf.DUMMYFUNCTION("""COMPUTED_VALUE"""),1)</f>
        <v>1</v>
      </c>
      <c r="H2295" s="5">
        <f ca="1">IFERROR(__xludf.DUMMYFUNCTION("""COMPUTED_VALUE"""),0)</f>
        <v>0</v>
      </c>
      <c r="I2295" s="5">
        <f ca="1">IFERROR(__xludf.DUMMYFUNCTION("""COMPUTED_VALUE"""),1)</f>
        <v>1</v>
      </c>
      <c r="J2295" s="5">
        <f ca="1">IFERROR(__xludf.DUMMYFUNCTION("""COMPUTED_VALUE"""),0)</f>
        <v>0</v>
      </c>
      <c r="K2295" s="9" t="str">
        <f ca="1">IFERROR(__xludf.DUMMYFUNCTION("""COMPUTED_VALUE"""),"https://www.newspapers.com/image/284280856/?terms=school%2Bshooting")</f>
        <v>https://www.newspapers.com/image/284280856/?terms=school%2Bshooting</v>
      </c>
      <c r="L2295" s="5"/>
      <c r="M2295" s="5"/>
      <c r="N2295" s="5">
        <f ca="1">IFERROR(__xludf.DUMMYFUNCTION("""COMPUTED_VALUE"""),2)</f>
        <v>2</v>
      </c>
      <c r="O2295" s="5" t="str">
        <f ca="1">IFERROR(__xludf.DUMMYFUNCTION("""COMPUTED_VALUE"""),"Fall")</f>
        <v>Fall</v>
      </c>
      <c r="P2295" s="5" t="str">
        <f ca="1">IFERROR(__xludf.DUMMYFUNCTION("""COMPUTED_VALUE"""),"Memphis")</f>
        <v>Memphis</v>
      </c>
      <c r="Q2295" s="5" t="str">
        <f ca="1">IFERROR(__xludf.DUMMYFUNCTION("""COMPUTED_VALUE"""),"TN")</f>
        <v>TN</v>
      </c>
      <c r="R2295" s="5" t="str">
        <f ca="1">IFERROR(__xludf.DUMMYFUNCTION("""COMPUTED_VALUE"""),"High")</f>
        <v>High</v>
      </c>
      <c r="S2295" s="5" t="str">
        <f ca="1">IFERROR(__xludf.DUMMYFUNCTION("""COMPUTED_VALUE"""),"Inside School Building")</f>
        <v>Inside School Building</v>
      </c>
      <c r="T2295" s="5" t="str">
        <f ca="1">IFERROR(__xludf.DUMMYFUNCTION("""COMPUTED_VALUE"""),"Inside School Building")</f>
        <v>Inside School Building</v>
      </c>
      <c r="U2295" s="5" t="str">
        <f ca="1">IFERROR(__xludf.DUMMYFUNCTION("""COMPUTED_VALUE"""),"Yes")</f>
        <v>Yes</v>
      </c>
      <c r="V2295" s="5"/>
      <c r="W2295" s="5"/>
      <c r="X2295" s="5"/>
      <c r="Y2295" s="5" t="str">
        <f ca="1">IFERROR(__xludf.DUMMYFUNCTION("""COMPUTED_VALUE"""),"Argument over girl that has escalated over 2 days")</f>
        <v>Argument over girl that has escalated over 2 days</v>
      </c>
      <c r="Z2295" s="5" t="str">
        <f ca="1">IFERROR(__xludf.DUMMYFUNCTION("""COMPUTED_VALUE"""),"Ongoing argument over girls escalated into a targeted shooting.")</f>
        <v>Ongoing argument over girls escalated into a targeted shooting.</v>
      </c>
      <c r="AA2295" s="5" t="str">
        <f ca="1">IFERROR(__xludf.DUMMYFUNCTION("""COMPUTED_VALUE"""),"Escalation of Dispute")</f>
        <v>Escalation of Dispute</v>
      </c>
      <c r="AB2295" s="5" t="str">
        <f ca="1">IFERROR(__xludf.DUMMYFUNCTION("""COMPUTED_VALUE"""),"Victims Targeted")</f>
        <v>Victims Targeted</v>
      </c>
      <c r="AC2295" s="5" t="str">
        <f ca="1">IFERROR(__xludf.DUMMYFUNCTION("""COMPUTED_VALUE"""),"No")</f>
        <v>No</v>
      </c>
      <c r="AD2295" s="5" t="str">
        <f ca="1">IFERROR(__xludf.DUMMYFUNCTION("""COMPUTED_VALUE"""),"No")</f>
        <v>No</v>
      </c>
      <c r="AE2295" s="5" t="str">
        <f ca="1">IFERROR(__xludf.DUMMYFUNCTION("""COMPUTED_VALUE"""),"No")</f>
        <v>No</v>
      </c>
      <c r="AF2295" s="5" t="str">
        <f ca="1">IFERROR(__xludf.DUMMYFUNCTION("""COMPUTED_VALUE"""),"No")</f>
        <v>No</v>
      </c>
      <c r="AG2295" s="5" t="str">
        <f ca="1">IFERROR(__xludf.DUMMYFUNCTION("""COMPUTED_VALUE"""),"No")</f>
        <v>No</v>
      </c>
      <c r="AH2295" s="5" t="str">
        <f ca="1">IFERROR(__xludf.DUMMYFUNCTION("""COMPUTED_VALUE"""),"No")</f>
        <v>No</v>
      </c>
      <c r="AI2295" s="5" t="str">
        <f ca="1">IFERROR(__xludf.DUMMYFUNCTION("""COMPUTED_VALUE"""),"No")</f>
        <v>No</v>
      </c>
      <c r="AJ2295" s="5"/>
    </row>
    <row r="2296" spans="1:36" ht="13">
      <c r="A2296" s="5" t="str">
        <f ca="1">IFERROR(__xludf.DUMMYFUNCTION("""COMPUTED_VALUE"""),"19701005MIPOD")</f>
        <v>19701005MIPOD</v>
      </c>
      <c r="B2296" s="5">
        <f ca="1">IFERROR(__xludf.DUMMYFUNCTION("""COMPUTED_VALUE"""),10)</f>
        <v>10</v>
      </c>
      <c r="C2296" s="5">
        <f ca="1">IFERROR(__xludf.DUMMYFUNCTION("""COMPUTED_VALUE"""),5)</f>
        <v>5</v>
      </c>
      <c r="D2296" s="5">
        <f ca="1">IFERROR(__xludf.DUMMYFUNCTION("""COMPUTED_VALUE"""),1970)</f>
        <v>1970</v>
      </c>
      <c r="E2296" s="8">
        <f ca="1">IFERROR(__xludf.DUMMYFUNCTION("""COMPUTED_VALUE"""),25846)</f>
        <v>25846</v>
      </c>
      <c r="F2296" s="5" t="str">
        <f ca="1">IFERROR(__xludf.DUMMYFUNCTION("""COMPUTED_VALUE"""),"Pontiac Central High School")</f>
        <v>Pontiac Central High School</v>
      </c>
      <c r="G2296" s="5">
        <f ca="1">IFERROR(__xludf.DUMMYFUNCTION("""COMPUTED_VALUE"""),0)</f>
        <v>0</v>
      </c>
      <c r="H2296" s="5">
        <f ca="1">IFERROR(__xludf.DUMMYFUNCTION("""COMPUTED_VALUE"""),4)</f>
        <v>4</v>
      </c>
      <c r="I2296" s="5">
        <f ca="1">IFERROR(__xludf.DUMMYFUNCTION("""COMPUTED_VALUE"""),4)</f>
        <v>4</v>
      </c>
      <c r="J2296" s="5">
        <f ca="1">IFERROR(__xludf.DUMMYFUNCTION("""COMPUTED_VALUE"""),0)</f>
        <v>0</v>
      </c>
      <c r="K2296" s="5" t="str">
        <f ca="1">IFERROR(__xludf.DUMMYFUNCTION("""COMPUTED_VALUE"""),"https://www.newspapers.com/image/206104174/?terms=school%2Bshooting   https://www.newspapers.com/image/75055926/?terms=NORTH%2BDAKOTA%2Bschool%2Bshooting")</f>
        <v>https://www.newspapers.com/image/206104174/?terms=school%2Bshooting   https://www.newspapers.com/image/75055926/?terms=NORTH%2BDAKOTA%2Bschool%2Bshooting</v>
      </c>
      <c r="L2296" s="5"/>
      <c r="M2296" s="5"/>
      <c r="N2296" s="5">
        <f ca="1">IFERROR(__xludf.DUMMYFUNCTION("""COMPUTED_VALUE"""),2)</f>
        <v>2</v>
      </c>
      <c r="O2296" s="5" t="str">
        <f ca="1">IFERROR(__xludf.DUMMYFUNCTION("""COMPUTED_VALUE"""),"Fall")</f>
        <v>Fall</v>
      </c>
      <c r="P2296" s="5" t="str">
        <f ca="1">IFERROR(__xludf.DUMMYFUNCTION("""COMPUTED_VALUE"""),"Detroit")</f>
        <v>Detroit</v>
      </c>
      <c r="Q2296" s="5" t="str">
        <f ca="1">IFERROR(__xludf.DUMMYFUNCTION("""COMPUTED_VALUE"""),"MI")</f>
        <v>MI</v>
      </c>
      <c r="R2296" s="5" t="str">
        <f ca="1">IFERROR(__xludf.DUMMYFUNCTION("""COMPUTED_VALUE"""),"High")</f>
        <v>High</v>
      </c>
      <c r="S2296" s="5" t="str">
        <f ca="1">IFERROR(__xludf.DUMMYFUNCTION("""COMPUTED_VALUE"""),"Outside on School Property")</f>
        <v>Outside on School Property</v>
      </c>
      <c r="T2296" s="5" t="str">
        <f ca="1">IFERROR(__xludf.DUMMYFUNCTION("""COMPUTED_VALUE"""),"Outside on School Property")</f>
        <v>Outside on School Property</v>
      </c>
      <c r="U2296" s="5" t="str">
        <f ca="1">IFERROR(__xludf.DUMMYFUNCTION("""COMPUTED_VALUE"""),"Yes")</f>
        <v>Yes</v>
      </c>
      <c r="V2296" s="5"/>
      <c r="W2296" s="5"/>
      <c r="X2296" s="5"/>
      <c r="Y2296" s="5" t="str">
        <f ca="1">IFERROR(__xludf.DUMMYFUNCTION("""COMPUTED_VALUE"""),"Fight between 4 white and 4 black students escalated into shooting")</f>
        <v>Fight between 4 white and 4 black students escalated into shooting</v>
      </c>
      <c r="Z2296" s="5" t="str">
        <f ca="1">IFERROR(__xludf.DUMMYFUNCTION("""COMPUTED_VALUE"""),"Fight between 4 white and 4 black students escalated into a shooting. School officials would not comment but said that classes remained in normal session. All injured were juvenile students.")</f>
        <v>Fight between 4 white and 4 black students escalated into a shooting. School officials would not comment but said that classes remained in normal session. All injured were juvenile students.</v>
      </c>
      <c r="AA2296" s="5" t="str">
        <f ca="1">IFERROR(__xludf.DUMMYFUNCTION("""COMPUTED_VALUE"""),"Racial")</f>
        <v>Racial</v>
      </c>
      <c r="AB2296" s="5" t="str">
        <f ca="1">IFERROR(__xludf.DUMMYFUNCTION("""COMPUTED_VALUE"""),"Victims Targeted")</f>
        <v>Victims Targeted</v>
      </c>
      <c r="AC2296" s="5" t="str">
        <f ca="1">IFERROR(__xludf.DUMMYFUNCTION("""COMPUTED_VALUE"""),"Yes")</f>
        <v>Yes</v>
      </c>
      <c r="AD2296" s="5" t="str">
        <f ca="1">IFERROR(__xludf.DUMMYFUNCTION("""COMPUTED_VALUE"""),"No")</f>
        <v>No</v>
      </c>
      <c r="AE2296" s="5" t="str">
        <f ca="1">IFERROR(__xludf.DUMMYFUNCTION("""COMPUTED_VALUE"""),"No")</f>
        <v>No</v>
      </c>
      <c r="AF2296" s="5" t="str">
        <f ca="1">IFERROR(__xludf.DUMMYFUNCTION("""COMPUTED_VALUE"""),"No")</f>
        <v>No</v>
      </c>
      <c r="AG2296" s="5" t="str">
        <f ca="1">IFERROR(__xludf.DUMMYFUNCTION("""COMPUTED_VALUE"""),"No")</f>
        <v>No</v>
      </c>
      <c r="AH2296" s="5" t="str">
        <f ca="1">IFERROR(__xludf.DUMMYFUNCTION("""COMPUTED_VALUE"""),"No")</f>
        <v>No</v>
      </c>
      <c r="AI2296" s="5" t="str">
        <f ca="1">IFERROR(__xludf.DUMMYFUNCTION("""COMPUTED_VALUE"""),"No")</f>
        <v>No</v>
      </c>
      <c r="AJ2296" s="5"/>
    </row>
    <row r="2297" spans="1:36" ht="13">
      <c r="A2297" s="5" t="str">
        <f ca="1">IFERROR(__xludf.DUMMYFUNCTION("""COMPUTED_VALUE"""),"19700928IACED")</f>
        <v>19700928IACED</v>
      </c>
      <c r="B2297" s="5">
        <f ca="1">IFERROR(__xludf.DUMMYFUNCTION("""COMPUTED_VALUE"""),9)</f>
        <v>9</v>
      </c>
      <c r="C2297" s="5">
        <f ca="1">IFERROR(__xludf.DUMMYFUNCTION("""COMPUTED_VALUE"""),28)</f>
        <v>28</v>
      </c>
      <c r="D2297" s="5">
        <f ca="1">IFERROR(__xludf.DUMMYFUNCTION("""COMPUTED_VALUE"""),1970)</f>
        <v>1970</v>
      </c>
      <c r="E2297" s="8">
        <f ca="1">IFERROR(__xludf.DUMMYFUNCTION("""COMPUTED_VALUE"""),25839)</f>
        <v>25839</v>
      </c>
      <c r="F2297" s="5" t="str">
        <f ca="1">IFERROR(__xludf.DUMMYFUNCTION("""COMPUTED_VALUE"""),"Central High School")</f>
        <v>Central High School</v>
      </c>
      <c r="G2297" s="5">
        <f ca="1">IFERROR(__xludf.DUMMYFUNCTION("""COMPUTED_VALUE"""),0)</f>
        <v>0</v>
      </c>
      <c r="H2297" s="5">
        <f ca="1">IFERROR(__xludf.DUMMYFUNCTION("""COMPUTED_VALUE"""),1)</f>
        <v>1</v>
      </c>
      <c r="I2297" s="5">
        <f ca="1">IFERROR(__xludf.DUMMYFUNCTION("""COMPUTED_VALUE"""),1)</f>
        <v>1</v>
      </c>
      <c r="J2297" s="5">
        <f ca="1">IFERROR(__xludf.DUMMYFUNCTION("""COMPUTED_VALUE"""),0)</f>
        <v>0</v>
      </c>
      <c r="K2297" s="9" t="str">
        <f ca="1">IFERROR(__xludf.DUMMYFUNCTION("""COMPUTED_VALUE"""),"https://www.newspapers.com/image/338873635/?terms=school%2Bshooting")</f>
        <v>https://www.newspapers.com/image/338873635/?terms=school%2Bshooting</v>
      </c>
      <c r="L2297" s="5"/>
      <c r="M2297" s="5"/>
      <c r="N2297" s="5">
        <f ca="1">IFERROR(__xludf.DUMMYFUNCTION("""COMPUTED_VALUE"""),2)</f>
        <v>2</v>
      </c>
      <c r="O2297" s="5" t="str">
        <f ca="1">IFERROR(__xludf.DUMMYFUNCTION("""COMPUTED_VALUE"""),"Fall")</f>
        <v>Fall</v>
      </c>
      <c r="P2297" s="5" t="str">
        <f ca="1">IFERROR(__xludf.DUMMYFUNCTION("""COMPUTED_VALUE"""),"Davenport")</f>
        <v>Davenport</v>
      </c>
      <c r="Q2297" s="5" t="str">
        <f ca="1">IFERROR(__xludf.DUMMYFUNCTION("""COMPUTED_VALUE"""),"IA")</f>
        <v>IA</v>
      </c>
      <c r="R2297" s="5" t="str">
        <f ca="1">IFERROR(__xludf.DUMMYFUNCTION("""COMPUTED_VALUE"""),"High")</f>
        <v>High</v>
      </c>
      <c r="S2297" s="5" t="str">
        <f ca="1">IFERROR(__xludf.DUMMYFUNCTION("""COMPUTED_VALUE"""),"Bathroom")</f>
        <v>Bathroom</v>
      </c>
      <c r="T2297" s="5" t="str">
        <f ca="1">IFERROR(__xludf.DUMMYFUNCTION("""COMPUTED_VALUE"""),"Inside School Building")</f>
        <v>Inside School Building</v>
      </c>
      <c r="U2297" s="5" t="str">
        <f ca="1">IFERROR(__xludf.DUMMYFUNCTION("""COMPUTED_VALUE"""),"Yes")</f>
        <v>Yes</v>
      </c>
      <c r="V2297" s="5"/>
      <c r="W2297" s="5"/>
      <c r="X2297" s="5"/>
      <c r="Y2297" s="5" t="str">
        <f ca="1">IFERROR(__xludf.DUMMYFUNCTION("""COMPUTED_VALUE"""),"Fired shot at female student in restroom")</f>
        <v>Fired shot at female student in restroom</v>
      </c>
      <c r="Z2297" s="5" t="str">
        <f ca="1">IFERROR(__xludf.DUMMYFUNCTION("""COMPUTED_VALUE"""),"Shooter kicked in door of women's bathroom and fired shot at an unidentified female student. Shooter fled and turned himself in 4 days later.")</f>
        <v>Shooter kicked in door of women's bathroom and fired shot at an unidentified female student. Shooter fled and turned himself in 4 days later.</v>
      </c>
      <c r="AA2297" s="5" t="str">
        <f ca="1">IFERROR(__xludf.DUMMYFUNCTION("""COMPUTED_VALUE"""),"Domestic w/ Targeted Victim")</f>
        <v>Domestic w/ Targeted Victim</v>
      </c>
      <c r="AB2297" s="5" t="str">
        <f ca="1">IFERROR(__xludf.DUMMYFUNCTION("""COMPUTED_VALUE"""),"Victims Targeted")</f>
        <v>Victims Targeted</v>
      </c>
      <c r="AC2297" s="5" t="str">
        <f ca="1">IFERROR(__xludf.DUMMYFUNCTION("""COMPUTED_VALUE"""),"No")</f>
        <v>No</v>
      </c>
      <c r="AD2297" s="5" t="str">
        <f ca="1">IFERROR(__xludf.DUMMYFUNCTION("""COMPUTED_VALUE"""),"No")</f>
        <v>No</v>
      </c>
      <c r="AE2297" s="5" t="str">
        <f ca="1">IFERROR(__xludf.DUMMYFUNCTION("""COMPUTED_VALUE"""),"No")</f>
        <v>No</v>
      </c>
      <c r="AF2297" s="5" t="str">
        <f ca="1">IFERROR(__xludf.DUMMYFUNCTION("""COMPUTED_VALUE"""),"No")</f>
        <v>No</v>
      </c>
      <c r="AG2297" s="5" t="str">
        <f ca="1">IFERROR(__xludf.DUMMYFUNCTION("""COMPUTED_VALUE"""),"No")</f>
        <v>No</v>
      </c>
      <c r="AH2297" s="5" t="str">
        <f ca="1">IFERROR(__xludf.DUMMYFUNCTION("""COMPUTED_VALUE"""),"Yes")</f>
        <v>Yes</v>
      </c>
      <c r="AI2297" s="5" t="str">
        <f ca="1">IFERROR(__xludf.DUMMYFUNCTION("""COMPUTED_VALUE"""),"No")</f>
        <v>No</v>
      </c>
      <c r="AJ2297" s="5"/>
    </row>
    <row r="2298" spans="1:36" ht="13">
      <c r="A2298" s="5" t="str">
        <f ca="1">IFERROR(__xludf.DUMMYFUNCTION("""COMPUTED_VALUE"""),"19700924IDMEM")</f>
        <v>19700924IDMEM</v>
      </c>
      <c r="B2298" s="5">
        <f ca="1">IFERROR(__xludf.DUMMYFUNCTION("""COMPUTED_VALUE"""),9)</f>
        <v>9</v>
      </c>
      <c r="C2298" s="5">
        <f ca="1">IFERROR(__xludf.DUMMYFUNCTION("""COMPUTED_VALUE"""),24)</f>
        <v>24</v>
      </c>
      <c r="D2298" s="5">
        <f ca="1">IFERROR(__xludf.DUMMYFUNCTION("""COMPUTED_VALUE"""),1970)</f>
        <v>1970</v>
      </c>
      <c r="E2298" s="8">
        <f ca="1">IFERROR(__xludf.DUMMYFUNCTION("""COMPUTED_VALUE"""),25835)</f>
        <v>25835</v>
      </c>
      <c r="F2298" s="5" t="str">
        <f ca="1">IFERROR(__xludf.DUMMYFUNCTION("""COMPUTED_VALUE"""),"Meridian High School")</f>
        <v>Meridian High School</v>
      </c>
      <c r="G2298" s="5">
        <f ca="1">IFERROR(__xludf.DUMMYFUNCTION("""COMPUTED_VALUE"""),1)</f>
        <v>1</v>
      </c>
      <c r="H2298" s="5">
        <f ca="1">IFERROR(__xludf.DUMMYFUNCTION("""COMPUTED_VALUE"""),0)</f>
        <v>0</v>
      </c>
      <c r="I2298" s="5">
        <f ca="1">IFERROR(__xludf.DUMMYFUNCTION("""COMPUTED_VALUE"""),1)</f>
        <v>1</v>
      </c>
      <c r="J2298" s="5">
        <f ca="1">IFERROR(__xludf.DUMMYFUNCTION("""COMPUTED_VALUE"""),0)</f>
        <v>0</v>
      </c>
      <c r="K2298" s="9" t="str">
        <f ca="1">IFERROR(__xludf.DUMMYFUNCTION("""COMPUTED_VALUE"""),"https://www.newspapers.com/image/571585288/?terms=shot%2Bin%2Bschool%2Bparking%2Blot")</f>
        <v>https://www.newspapers.com/image/571585288/?terms=shot%2Bin%2Bschool%2Bparking%2Blot</v>
      </c>
      <c r="L2298" s="5"/>
      <c r="M2298" s="5"/>
      <c r="N2298" s="5">
        <f ca="1">IFERROR(__xludf.DUMMYFUNCTION("""COMPUTED_VALUE"""),2)</f>
        <v>2</v>
      </c>
      <c r="O2298" s="5" t="str">
        <f ca="1">IFERROR(__xludf.DUMMYFUNCTION("""COMPUTED_VALUE"""),"Fall")</f>
        <v>Fall</v>
      </c>
      <c r="P2298" s="5" t="str">
        <f ca="1">IFERROR(__xludf.DUMMYFUNCTION("""COMPUTED_VALUE"""),"Meridian")</f>
        <v>Meridian</v>
      </c>
      <c r="Q2298" s="5" t="str">
        <f ca="1">IFERROR(__xludf.DUMMYFUNCTION("""COMPUTED_VALUE"""),"ID")</f>
        <v>ID</v>
      </c>
      <c r="R2298" s="5" t="str">
        <f ca="1">IFERROR(__xludf.DUMMYFUNCTION("""COMPUTED_VALUE"""),"High")</f>
        <v>High</v>
      </c>
      <c r="S2298" s="5" t="str">
        <f ca="1">IFERROR(__xludf.DUMMYFUNCTION("""COMPUTED_VALUE"""),"Parking Lot")</f>
        <v>Parking Lot</v>
      </c>
      <c r="T2298" s="5" t="str">
        <f ca="1">IFERROR(__xludf.DUMMYFUNCTION("""COMPUTED_VALUE"""),"Outside on School Property")</f>
        <v>Outside on School Property</v>
      </c>
      <c r="U2298" s="5"/>
      <c r="V2298" s="5"/>
      <c r="W2298" s="5"/>
      <c r="X2298" s="5"/>
      <c r="Y2298" s="5" t="str">
        <f ca="1">IFERROR(__xludf.DUMMYFUNCTION("""COMPUTED_VALUE"""),"Accidentally fired gun inside car")</f>
        <v>Accidentally fired gun inside car</v>
      </c>
      <c r="Z2298" s="5" t="str">
        <f ca="1">IFERROR(__xludf.DUMMYFUNCTION("""COMPUTED_VALUE"""),"Victim was sitting in car with other occupant who was holding gun. Gun accidentally fired shooting and killing victim.")</f>
        <v>Victim was sitting in car with other occupant who was holding gun. Gun accidentally fired shooting and killing victim.</v>
      </c>
      <c r="AA2298" s="5" t="str">
        <f ca="1">IFERROR(__xludf.DUMMYFUNCTION("""COMPUTED_VALUE"""),"Accidental")</f>
        <v>Accidental</v>
      </c>
      <c r="AB2298" s="5" t="str">
        <f ca="1">IFERROR(__xludf.DUMMYFUNCTION("""COMPUTED_VALUE"""),"Random Shooting")</f>
        <v>Random Shooting</v>
      </c>
      <c r="AC2298" s="5" t="str">
        <f ca="1">IFERROR(__xludf.DUMMYFUNCTION("""COMPUTED_VALUE"""),"No")</f>
        <v>No</v>
      </c>
      <c r="AD2298" s="5" t="str">
        <f ca="1">IFERROR(__xludf.DUMMYFUNCTION("""COMPUTED_VALUE"""),"No")</f>
        <v>No</v>
      </c>
      <c r="AE2298" s="5"/>
      <c r="AF2298" s="5" t="str">
        <f ca="1">IFERROR(__xludf.DUMMYFUNCTION("""COMPUTED_VALUE"""),"No")</f>
        <v>No</v>
      </c>
      <c r="AG2298" s="5" t="str">
        <f ca="1">IFERROR(__xludf.DUMMYFUNCTION("""COMPUTED_VALUE"""),"No")</f>
        <v>No</v>
      </c>
      <c r="AH2298" s="5" t="str">
        <f ca="1">IFERROR(__xludf.DUMMYFUNCTION("""COMPUTED_VALUE"""),"No")</f>
        <v>No</v>
      </c>
      <c r="AI2298" s="5" t="str">
        <f ca="1">IFERROR(__xludf.DUMMYFUNCTION("""COMPUTED_VALUE"""),"No")</f>
        <v>No</v>
      </c>
      <c r="AJ2298" s="5" t="str">
        <f ca="1">IFERROR(__xludf.DUMMYFUNCTION("""COMPUTED_VALUE"""),"No")</f>
        <v>No</v>
      </c>
    </row>
    <row r="2299" spans="1:36" ht="13">
      <c r="A2299" s="5" t="str">
        <f ca="1">IFERROR(__xludf.DUMMYFUNCTION("""COMPUTED_VALUE"""),"19700914TNHAN")</f>
        <v>19700914TNHAN</v>
      </c>
      <c r="B2299" s="5">
        <f ca="1">IFERROR(__xludf.DUMMYFUNCTION("""COMPUTED_VALUE"""),9)</f>
        <v>9</v>
      </c>
      <c r="C2299" s="5">
        <f ca="1">IFERROR(__xludf.DUMMYFUNCTION("""COMPUTED_VALUE"""),14)</f>
        <v>14</v>
      </c>
      <c r="D2299" s="5">
        <f ca="1">IFERROR(__xludf.DUMMYFUNCTION("""COMPUTED_VALUE"""),1970)</f>
        <v>1970</v>
      </c>
      <c r="E2299" s="8">
        <f ca="1">IFERROR(__xludf.DUMMYFUNCTION("""COMPUTED_VALUE"""),25825)</f>
        <v>25825</v>
      </c>
      <c r="F2299" s="5" t="str">
        <f ca="1">IFERROR(__xludf.DUMMYFUNCTION("""COMPUTED_VALUE"""),"Hamilton High School")</f>
        <v>Hamilton High School</v>
      </c>
      <c r="G2299" s="5">
        <f ca="1">IFERROR(__xludf.DUMMYFUNCTION("""COMPUTED_VALUE"""),1)</f>
        <v>1</v>
      </c>
      <c r="H2299" s="5">
        <f ca="1">IFERROR(__xludf.DUMMYFUNCTION("""COMPUTED_VALUE"""),2)</f>
        <v>2</v>
      </c>
      <c r="I2299" s="5">
        <f ca="1">IFERROR(__xludf.DUMMYFUNCTION("""COMPUTED_VALUE"""),3)</f>
        <v>3</v>
      </c>
      <c r="J2299" s="5">
        <f ca="1">IFERROR(__xludf.DUMMYFUNCTION("""COMPUTED_VALUE"""),0)</f>
        <v>0</v>
      </c>
      <c r="K2299" s="9" t="str">
        <f ca="1">IFERROR(__xludf.DUMMYFUNCTION("""COMPUTED_VALUE"""),"https://www.newspapers.com/image/25156350/?terms=school%2Bshooting")</f>
        <v>https://www.newspapers.com/image/25156350/?terms=school%2Bshooting</v>
      </c>
      <c r="L2299" s="5"/>
      <c r="M2299" s="5"/>
      <c r="N2299" s="5">
        <f ca="1">IFERROR(__xludf.DUMMYFUNCTION("""COMPUTED_VALUE"""),2)</f>
        <v>2</v>
      </c>
      <c r="O2299" s="5" t="str">
        <f ca="1">IFERROR(__xludf.DUMMYFUNCTION("""COMPUTED_VALUE"""),"Fall")</f>
        <v>Fall</v>
      </c>
      <c r="P2299" s="5" t="str">
        <f ca="1">IFERROR(__xludf.DUMMYFUNCTION("""COMPUTED_VALUE"""),"Nashville")</f>
        <v>Nashville</v>
      </c>
      <c r="Q2299" s="5" t="str">
        <f ca="1">IFERROR(__xludf.DUMMYFUNCTION("""COMPUTED_VALUE"""),"TN")</f>
        <v>TN</v>
      </c>
      <c r="R2299" s="5" t="str">
        <f ca="1">IFERROR(__xludf.DUMMYFUNCTION("""COMPUTED_VALUE"""),"High")</f>
        <v>High</v>
      </c>
      <c r="S2299" s="5" t="str">
        <f ca="1">IFERROR(__xludf.DUMMYFUNCTION("""COMPUTED_VALUE"""),"Hallway")</f>
        <v>Hallway</v>
      </c>
      <c r="T2299" s="5" t="str">
        <f ca="1">IFERROR(__xludf.DUMMYFUNCTION("""COMPUTED_VALUE"""),"Inside School Building")</f>
        <v>Inside School Building</v>
      </c>
      <c r="U2299" s="5" t="str">
        <f ca="1">IFERROR(__xludf.DUMMYFUNCTION("""COMPUTED_VALUE"""),"Yes")</f>
        <v>Yes</v>
      </c>
      <c r="V2299" s="5"/>
      <c r="W2299" s="5"/>
      <c r="X2299" s="5"/>
      <c r="Y2299" s="5" t="str">
        <f ca="1">IFERROR(__xludf.DUMMYFUNCTION("""COMPUTED_VALUE"""),"Shooting followed fight the previous week at school dance")</f>
        <v>Shooting followed fight the previous week at school dance</v>
      </c>
      <c r="Z2299" s="5" t="str">
        <f ca="1">IFERROR(__xludf.DUMMYFUNCTION("""COMPUTED_VALUE"""),"Shooter fired rifle in school hallway at target (he had previous fight with victim) and injured two other students (bystanders).")</f>
        <v>Shooter fired rifle in school hallway at target (he had previous fight with victim) and injured two other students (bystanders).</v>
      </c>
      <c r="AA2299" s="5" t="str">
        <f ca="1">IFERROR(__xludf.DUMMYFUNCTION("""COMPUTED_VALUE"""),"Escalation of Dispute")</f>
        <v>Escalation of Dispute</v>
      </c>
      <c r="AB2299" s="5" t="str">
        <f ca="1">IFERROR(__xludf.DUMMYFUNCTION("""COMPUTED_VALUE"""),"Both")</f>
        <v>Both</v>
      </c>
      <c r="AC2299" s="5" t="str">
        <f ca="1">IFERROR(__xludf.DUMMYFUNCTION("""COMPUTED_VALUE"""),"No")</f>
        <v>No</v>
      </c>
      <c r="AD2299" s="5" t="str">
        <f ca="1">IFERROR(__xludf.DUMMYFUNCTION("""COMPUTED_VALUE"""),"No")</f>
        <v>No</v>
      </c>
      <c r="AE2299" s="5" t="str">
        <f ca="1">IFERROR(__xludf.DUMMYFUNCTION("""COMPUTED_VALUE"""),"No")</f>
        <v>No</v>
      </c>
      <c r="AF2299" s="5" t="str">
        <f ca="1">IFERROR(__xludf.DUMMYFUNCTION("""COMPUTED_VALUE"""),"No")</f>
        <v>No</v>
      </c>
      <c r="AG2299" s="5" t="str">
        <f ca="1">IFERROR(__xludf.DUMMYFUNCTION("""COMPUTED_VALUE"""),"No")</f>
        <v>No</v>
      </c>
      <c r="AH2299" s="5" t="str">
        <f ca="1">IFERROR(__xludf.DUMMYFUNCTION("""COMPUTED_VALUE"""),"No")</f>
        <v>No</v>
      </c>
      <c r="AI2299" s="5" t="str">
        <f ca="1">IFERROR(__xludf.DUMMYFUNCTION("""COMPUTED_VALUE"""),"No")</f>
        <v>No</v>
      </c>
      <c r="AJ2299" s="5"/>
    </row>
    <row r="2300" spans="1:36" ht="13">
      <c r="A2300" s="5" t="str">
        <f ca="1">IFERROR(__xludf.DUMMYFUNCTION("""COMPUTED_VALUE"""),"19700831FLALM")</f>
        <v>19700831FLALM</v>
      </c>
      <c r="B2300" s="5">
        <f ca="1">IFERROR(__xludf.DUMMYFUNCTION("""COMPUTED_VALUE"""),8)</f>
        <v>8</v>
      </c>
      <c r="C2300" s="5">
        <f ca="1">IFERROR(__xludf.DUMMYFUNCTION("""COMPUTED_VALUE"""),31)</f>
        <v>31</v>
      </c>
      <c r="D2300" s="5">
        <f ca="1">IFERROR(__xludf.DUMMYFUNCTION("""COMPUTED_VALUE"""),1970)</f>
        <v>1970</v>
      </c>
      <c r="E2300" s="8">
        <f ca="1">IFERROR(__xludf.DUMMYFUNCTION("""COMPUTED_VALUE"""),25811)</f>
        <v>25811</v>
      </c>
      <c r="F2300" s="5" t="str">
        <f ca="1">IFERROR(__xludf.DUMMYFUNCTION("""COMPUTED_VALUE"""),"Allapatah Elementary School")</f>
        <v>Allapatah Elementary School</v>
      </c>
      <c r="G2300" s="5">
        <f ca="1">IFERROR(__xludf.DUMMYFUNCTION("""COMPUTED_VALUE"""),1)</f>
        <v>1</v>
      </c>
      <c r="H2300" s="5">
        <f ca="1">IFERROR(__xludf.DUMMYFUNCTION("""COMPUTED_VALUE"""),0)</f>
        <v>0</v>
      </c>
      <c r="I2300" s="5">
        <f ca="1">IFERROR(__xludf.DUMMYFUNCTION("""COMPUTED_VALUE"""),1)</f>
        <v>1</v>
      </c>
      <c r="J2300" s="5">
        <f ca="1">IFERROR(__xludf.DUMMYFUNCTION("""COMPUTED_VALUE"""),0)</f>
        <v>0</v>
      </c>
      <c r="K2300" s="9" t="str">
        <f ca="1">IFERROR(__xludf.DUMMYFUNCTION("""COMPUTED_VALUE"""),"https://www.newspapers.com/image/43039004/?terms=school%2Bshooting")</f>
        <v>https://www.newspapers.com/image/43039004/?terms=school%2Bshooting</v>
      </c>
      <c r="L2300" s="5"/>
      <c r="M2300" s="5"/>
      <c r="N2300" s="5">
        <f ca="1">IFERROR(__xludf.DUMMYFUNCTION("""COMPUTED_VALUE"""),2)</f>
        <v>2</v>
      </c>
      <c r="O2300" s="5" t="str">
        <f ca="1">IFERROR(__xludf.DUMMYFUNCTION("""COMPUTED_VALUE"""),"Summer")</f>
        <v>Summer</v>
      </c>
      <c r="P2300" s="5" t="str">
        <f ca="1">IFERROR(__xludf.DUMMYFUNCTION("""COMPUTED_VALUE"""),"Miami")</f>
        <v>Miami</v>
      </c>
      <c r="Q2300" s="5" t="str">
        <f ca="1">IFERROR(__xludf.DUMMYFUNCTION("""COMPUTED_VALUE"""),"FL")</f>
        <v>FL</v>
      </c>
      <c r="R2300" s="5" t="str">
        <f ca="1">IFERROR(__xludf.DUMMYFUNCTION("""COMPUTED_VALUE"""),"Elementary")</f>
        <v>Elementary</v>
      </c>
      <c r="S2300" s="5" t="str">
        <f ca="1">IFERROR(__xludf.DUMMYFUNCTION("""COMPUTED_VALUE"""),"Inside School Building")</f>
        <v>Inside School Building</v>
      </c>
      <c r="T2300" s="5" t="str">
        <f ca="1">IFERROR(__xludf.DUMMYFUNCTION("""COMPUTED_VALUE"""),"Inside School Building")</f>
        <v>Inside School Building</v>
      </c>
      <c r="U2300" s="5" t="str">
        <f ca="1">IFERROR(__xludf.DUMMYFUNCTION("""COMPUTED_VALUE"""),"Yes")</f>
        <v>Yes</v>
      </c>
      <c r="V2300" s="5" t="str">
        <f ca="1">IFERROR(__xludf.DUMMYFUNCTION("""COMPUTED_VALUE"""),"Dismissal")</f>
        <v>Dismissal</v>
      </c>
      <c r="W2300" s="5"/>
      <c r="X2300" s="5"/>
      <c r="Y2300" s="5" t="str">
        <f ca="1">IFERROR(__xludf.DUMMYFUNCTION("""COMPUTED_VALUE"""),"Father (Cuban exile) killed by gunman at school")</f>
        <v>Father (Cuban exile) killed by gunman at school</v>
      </c>
      <c r="Z2300" s="5" t="str">
        <f ca="1">IFERROR(__xludf.DUMMYFUNCTION("""COMPUTED_VALUE"""),"Father (Cuban exile) killed inside school while picking up child by a 27 year-old male gunman. The shooting occurred on the first day the school was integrated.")</f>
        <v>Father (Cuban exile) killed inside school while picking up child by a 27 year-old male gunman. The shooting occurred on the first day the school was integrated.</v>
      </c>
      <c r="AA2300" s="5" t="str">
        <f ca="1">IFERROR(__xludf.DUMMYFUNCTION("""COMPUTED_VALUE"""),"Racial")</f>
        <v>Racial</v>
      </c>
      <c r="AB2300" s="5" t="str">
        <f ca="1">IFERROR(__xludf.DUMMYFUNCTION("""COMPUTED_VALUE"""),"Victims Targeted")</f>
        <v>Victims Targeted</v>
      </c>
      <c r="AC2300" s="5" t="str">
        <f ca="1">IFERROR(__xludf.DUMMYFUNCTION("""COMPUTED_VALUE"""),"No")</f>
        <v>No</v>
      </c>
      <c r="AD2300" s="5" t="str">
        <f ca="1">IFERROR(__xludf.DUMMYFUNCTION("""COMPUTED_VALUE"""),"No")</f>
        <v>No</v>
      </c>
      <c r="AE2300" s="5" t="str">
        <f ca="1">IFERROR(__xludf.DUMMYFUNCTION("""COMPUTED_VALUE"""),"No")</f>
        <v>No</v>
      </c>
      <c r="AF2300" s="5" t="str">
        <f ca="1">IFERROR(__xludf.DUMMYFUNCTION("""COMPUTED_VALUE"""),"No")</f>
        <v>No</v>
      </c>
      <c r="AG2300" s="5" t="str">
        <f ca="1">IFERROR(__xludf.DUMMYFUNCTION("""COMPUTED_VALUE"""),"No")</f>
        <v>No</v>
      </c>
      <c r="AH2300" s="5" t="str">
        <f ca="1">IFERROR(__xludf.DUMMYFUNCTION("""COMPUTED_VALUE"""),"No")</f>
        <v>No</v>
      </c>
      <c r="AI2300" s="5" t="str">
        <f ca="1">IFERROR(__xludf.DUMMYFUNCTION("""COMPUTED_VALUE"""),"No")</f>
        <v>No</v>
      </c>
      <c r="AJ2300" s="5"/>
    </row>
    <row r="2301" spans="1:36" ht="13">
      <c r="A2301" s="5" t="str">
        <f ca="1">IFERROR(__xludf.DUMMYFUNCTION("""COMPUTED_VALUE"""),"19700828TXRIE")</f>
        <v>19700828TXRIE</v>
      </c>
      <c r="B2301" s="5">
        <f ca="1">IFERROR(__xludf.DUMMYFUNCTION("""COMPUTED_VALUE"""),8)</f>
        <v>8</v>
      </c>
      <c r="C2301" s="5">
        <f ca="1">IFERROR(__xludf.DUMMYFUNCTION("""COMPUTED_VALUE"""),28)</f>
        <v>28</v>
      </c>
      <c r="D2301" s="5">
        <f ca="1">IFERROR(__xludf.DUMMYFUNCTION("""COMPUTED_VALUE"""),1970)</f>
        <v>1970</v>
      </c>
      <c r="E2301" s="8">
        <f ca="1">IFERROR(__xludf.DUMMYFUNCTION("""COMPUTED_VALUE"""),25808)</f>
        <v>25808</v>
      </c>
      <c r="F2301" s="5" t="str">
        <f ca="1">IFERROR(__xludf.DUMMYFUNCTION("""COMPUTED_VALUE"""),"Riverside High School")</f>
        <v>Riverside High School</v>
      </c>
      <c r="G2301" s="5">
        <f ca="1">IFERROR(__xludf.DUMMYFUNCTION("""COMPUTED_VALUE"""),0)</f>
        <v>0</v>
      </c>
      <c r="H2301" s="5">
        <f ca="1">IFERROR(__xludf.DUMMYFUNCTION("""COMPUTED_VALUE"""),1)</f>
        <v>1</v>
      </c>
      <c r="I2301" s="5">
        <f ca="1">IFERROR(__xludf.DUMMYFUNCTION("""COMPUTED_VALUE"""),1)</f>
        <v>1</v>
      </c>
      <c r="J2301" s="5">
        <f ca="1">IFERROR(__xludf.DUMMYFUNCTION("""COMPUTED_VALUE"""),0)</f>
        <v>0</v>
      </c>
      <c r="K2301" s="9" t="str">
        <f ca="1">IFERROR(__xludf.DUMMYFUNCTION("""COMPUTED_VALUE"""),"https://www.newspapers.com/image/435429470/?terms=school%2Bshooting")</f>
        <v>https://www.newspapers.com/image/435429470/?terms=school%2Bshooting</v>
      </c>
      <c r="L2301" s="5"/>
      <c r="M2301" s="5"/>
      <c r="N2301" s="5">
        <f ca="1">IFERROR(__xludf.DUMMYFUNCTION("""COMPUTED_VALUE"""),2)</f>
        <v>2</v>
      </c>
      <c r="O2301" s="5" t="str">
        <f ca="1">IFERROR(__xludf.DUMMYFUNCTION("""COMPUTED_VALUE"""),"Summer")</f>
        <v>Summer</v>
      </c>
      <c r="P2301" s="5" t="str">
        <f ca="1">IFERROR(__xludf.DUMMYFUNCTION("""COMPUTED_VALUE"""),"El Paso")</f>
        <v>El Paso</v>
      </c>
      <c r="Q2301" s="5" t="str">
        <f ca="1">IFERROR(__xludf.DUMMYFUNCTION("""COMPUTED_VALUE"""),"TX")</f>
        <v>TX</v>
      </c>
      <c r="R2301" s="5" t="str">
        <f ca="1">IFERROR(__xludf.DUMMYFUNCTION("""COMPUTED_VALUE"""),"High")</f>
        <v>High</v>
      </c>
      <c r="S2301" s="5" t="str">
        <f ca="1">IFERROR(__xludf.DUMMYFUNCTION("""COMPUTED_VALUE"""),"Outside on School Property")</f>
        <v>Outside on School Property</v>
      </c>
      <c r="T2301" s="5" t="str">
        <f ca="1">IFERROR(__xludf.DUMMYFUNCTION("""COMPUTED_VALUE"""),"Outside on School Property")</f>
        <v>Outside on School Property</v>
      </c>
      <c r="U2301" s="5" t="str">
        <f ca="1">IFERROR(__xludf.DUMMYFUNCTION("""COMPUTED_VALUE"""),"Yes")</f>
        <v>Yes</v>
      </c>
      <c r="V2301" s="5" t="str">
        <f ca="1">IFERROR(__xludf.DUMMYFUNCTION("""COMPUTED_VALUE"""),"Lunch")</f>
        <v>Lunch</v>
      </c>
      <c r="W2301" s="10">
        <f ca="1">IFERROR(__xludf.DUMMYFUNCTION("""COMPUTED_VALUE"""),0)</f>
        <v>0</v>
      </c>
      <c r="X2301" s="5">
        <f ca="1">IFERROR(__xludf.DUMMYFUNCTION("""COMPUTED_VALUE"""),1)</f>
        <v>1</v>
      </c>
      <c r="Y2301" s="5" t="str">
        <f ca="1">IFERROR(__xludf.DUMMYFUNCTION("""COMPUTED_VALUE"""),"Fight between students in parking lot escalated into shooting")</f>
        <v>Fight between students in parking lot escalated into shooting</v>
      </c>
      <c r="Z2301" s="5" t="str">
        <f ca="1">IFERROR(__xludf.DUMMYFUNCTION("""COMPUTED_VALUE"""),"Fight between 4 students in the parking lot escalated into a shooting. Two students fired guns and one was injured.")</f>
        <v>Fight between 4 students in the parking lot escalated into a shooting. Two students fired guns and one was injured.</v>
      </c>
      <c r="AA2301" s="5" t="str">
        <f ca="1">IFERROR(__xludf.DUMMYFUNCTION("""COMPUTED_VALUE"""),"Escalation of Dispute")</f>
        <v>Escalation of Dispute</v>
      </c>
      <c r="AB2301" s="5" t="str">
        <f ca="1">IFERROR(__xludf.DUMMYFUNCTION("""COMPUTED_VALUE"""),"Victims Targeted")</f>
        <v>Victims Targeted</v>
      </c>
      <c r="AC2301" s="5" t="str">
        <f ca="1">IFERROR(__xludf.DUMMYFUNCTION("""COMPUTED_VALUE"""),"Yes")</f>
        <v>Yes</v>
      </c>
      <c r="AD2301" s="5" t="str">
        <f ca="1">IFERROR(__xludf.DUMMYFUNCTION("""COMPUTED_VALUE"""),"No")</f>
        <v>No</v>
      </c>
      <c r="AE2301" s="5" t="str">
        <f ca="1">IFERROR(__xludf.DUMMYFUNCTION("""COMPUTED_VALUE"""),"No")</f>
        <v>No</v>
      </c>
      <c r="AF2301" s="5" t="str">
        <f ca="1">IFERROR(__xludf.DUMMYFUNCTION("""COMPUTED_VALUE"""),"No")</f>
        <v>No</v>
      </c>
      <c r="AG2301" s="5" t="str">
        <f ca="1">IFERROR(__xludf.DUMMYFUNCTION("""COMPUTED_VALUE"""),"No")</f>
        <v>No</v>
      </c>
      <c r="AH2301" s="5" t="str">
        <f ca="1">IFERROR(__xludf.DUMMYFUNCTION("""COMPUTED_VALUE"""),"No")</f>
        <v>No</v>
      </c>
      <c r="AI2301" s="5" t="str">
        <f ca="1">IFERROR(__xludf.DUMMYFUNCTION("""COMPUTED_VALUE"""),"No")</f>
        <v>No</v>
      </c>
      <c r="AJ2301" s="5"/>
    </row>
    <row r="2302" spans="1:36" ht="13">
      <c r="A2302" s="5" t="str">
        <f ca="1">IFERROR(__xludf.DUMMYFUNCTION("""COMPUTED_VALUE"""),"19700515UTBEO")</f>
        <v>19700515UTBEO</v>
      </c>
      <c r="B2302" s="5">
        <f ca="1">IFERROR(__xludf.DUMMYFUNCTION("""COMPUTED_VALUE"""),5)</f>
        <v>5</v>
      </c>
      <c r="C2302" s="5">
        <f ca="1">IFERROR(__xludf.DUMMYFUNCTION("""COMPUTED_VALUE"""),15)</f>
        <v>15</v>
      </c>
      <c r="D2302" s="5">
        <f ca="1">IFERROR(__xludf.DUMMYFUNCTION("""COMPUTED_VALUE"""),1970)</f>
        <v>1970</v>
      </c>
      <c r="E2302" s="8">
        <f ca="1">IFERROR(__xludf.DUMMYFUNCTION("""COMPUTED_VALUE"""),25703)</f>
        <v>25703</v>
      </c>
      <c r="F2302" s="5" t="str">
        <f ca="1">IFERROR(__xludf.DUMMYFUNCTION("""COMPUTED_VALUE"""),"Ben Lomond High School")</f>
        <v>Ben Lomond High School</v>
      </c>
      <c r="G2302" s="5">
        <f ca="1">IFERROR(__xludf.DUMMYFUNCTION("""COMPUTED_VALUE"""),0)</f>
        <v>0</v>
      </c>
      <c r="H2302" s="5">
        <f ca="1">IFERROR(__xludf.DUMMYFUNCTION("""COMPUTED_VALUE"""),2)</f>
        <v>2</v>
      </c>
      <c r="I2302" s="5">
        <f ca="1">IFERROR(__xludf.DUMMYFUNCTION("""COMPUTED_VALUE"""),2)</f>
        <v>2</v>
      </c>
      <c r="J2302" s="5">
        <f ca="1">IFERROR(__xludf.DUMMYFUNCTION("""COMPUTED_VALUE"""),0)</f>
        <v>0</v>
      </c>
      <c r="K2302" s="9" t="str">
        <f ca="1">IFERROR(__xludf.DUMMYFUNCTION("""COMPUTED_VALUE"""),"https://www.newspapers.com/image/8204825/?terms=school%2Bshooting")</f>
        <v>https://www.newspapers.com/image/8204825/?terms=school%2Bshooting</v>
      </c>
      <c r="L2302" s="5"/>
      <c r="M2302" s="5"/>
      <c r="N2302" s="5">
        <f ca="1">IFERROR(__xludf.DUMMYFUNCTION("""COMPUTED_VALUE"""),2)</f>
        <v>2</v>
      </c>
      <c r="O2302" s="5" t="str">
        <f ca="1">IFERROR(__xludf.DUMMYFUNCTION("""COMPUTED_VALUE"""),"Spring")</f>
        <v>Spring</v>
      </c>
      <c r="P2302" s="5" t="str">
        <f ca="1">IFERROR(__xludf.DUMMYFUNCTION("""COMPUTED_VALUE"""),"Ogden")</f>
        <v>Ogden</v>
      </c>
      <c r="Q2302" s="5" t="str">
        <f ca="1">IFERROR(__xludf.DUMMYFUNCTION("""COMPUTED_VALUE"""),"UT")</f>
        <v>UT</v>
      </c>
      <c r="R2302" s="5" t="str">
        <f ca="1">IFERROR(__xludf.DUMMYFUNCTION("""COMPUTED_VALUE"""),"High")</f>
        <v>High</v>
      </c>
      <c r="S2302" s="5" t="str">
        <f ca="1">IFERROR(__xludf.DUMMYFUNCTION("""COMPUTED_VALUE"""),"Hallway")</f>
        <v>Hallway</v>
      </c>
      <c r="T2302" s="5" t="str">
        <f ca="1">IFERROR(__xludf.DUMMYFUNCTION("""COMPUTED_VALUE"""),"Inside School Building")</f>
        <v>Inside School Building</v>
      </c>
      <c r="U2302" s="5" t="str">
        <f ca="1">IFERROR(__xludf.DUMMYFUNCTION("""COMPUTED_VALUE"""),"Yes")</f>
        <v>Yes</v>
      </c>
      <c r="V2302" s="5"/>
      <c r="W2302" s="5"/>
      <c r="X2302" s="5"/>
      <c r="Y2302" s="5" t="str">
        <f ca="1">IFERROR(__xludf.DUMMYFUNCTION("""COMPUTED_VALUE"""),"Showing off gun in hallway, fired two shots striking teacher and student")</f>
        <v>Showing off gun in hallway, fired two shots striking teacher and student</v>
      </c>
      <c r="Z2302" s="5" t="str">
        <f ca="1">IFERROR(__xludf.DUMMYFUNCTION("""COMPUTED_VALUE"""),"Shooter was showing off gun to students in the hallway. Pointed the gun at multiple students and at his own head saying he was going to kill himself. Fired two shots striking a teacher and a student. Claimed the shooting was accidental. Committed for psyc"&amp;"hiatric examination and sentenced to youth facility until turning 21.")</f>
        <v>Shooter was showing off gun to students in the hallway. Pointed the gun at multiple students and at his own head saying he was going to kill himself. Fired two shots striking a teacher and a student. Claimed the shooting was accidental. Committed for psychiatric examination and sentenced to youth facility until turning 21.</v>
      </c>
      <c r="AA2302" s="5" t="str">
        <f ca="1">IFERROR(__xludf.DUMMYFUNCTION("""COMPUTED_VALUE"""),"Suicide/Attempted")</f>
        <v>Suicide/Attempted</v>
      </c>
      <c r="AB2302" s="5" t="str">
        <f ca="1">IFERROR(__xludf.DUMMYFUNCTION("""COMPUTED_VALUE"""),"Random Shooting")</f>
        <v>Random Shooting</v>
      </c>
      <c r="AC2302" s="5" t="str">
        <f ca="1">IFERROR(__xludf.DUMMYFUNCTION("""COMPUTED_VALUE"""),"No")</f>
        <v>No</v>
      </c>
      <c r="AD2302" s="5" t="str">
        <f ca="1">IFERROR(__xludf.DUMMYFUNCTION("""COMPUTED_VALUE"""),"No")</f>
        <v>No</v>
      </c>
      <c r="AE2302" s="5" t="str">
        <f ca="1">IFERROR(__xludf.DUMMYFUNCTION("""COMPUTED_VALUE"""),"No")</f>
        <v>No</v>
      </c>
      <c r="AF2302" s="5" t="str">
        <f ca="1">IFERROR(__xludf.DUMMYFUNCTION("""COMPUTED_VALUE"""),"No")</f>
        <v>No</v>
      </c>
      <c r="AG2302" s="5"/>
      <c r="AH2302" s="5" t="str">
        <f ca="1">IFERROR(__xludf.DUMMYFUNCTION("""COMPUTED_VALUE"""),"No")</f>
        <v>No</v>
      </c>
      <c r="AI2302" s="5" t="str">
        <f ca="1">IFERROR(__xludf.DUMMYFUNCTION("""COMPUTED_VALUE"""),"No")</f>
        <v>No</v>
      </c>
      <c r="AJ2302" s="5"/>
    </row>
    <row r="2303" spans="1:36" ht="13">
      <c r="A2303" s="5" t="str">
        <f ca="1">IFERROR(__xludf.DUMMYFUNCTION("""COMPUTED_VALUE"""),"19700508FLCAD")</f>
        <v>19700508FLCAD</v>
      </c>
      <c r="B2303" s="5">
        <f ca="1">IFERROR(__xludf.DUMMYFUNCTION("""COMPUTED_VALUE"""),5)</f>
        <v>5</v>
      </c>
      <c r="C2303" s="5">
        <f ca="1">IFERROR(__xludf.DUMMYFUNCTION("""COMPUTED_VALUE"""),8)</f>
        <v>8</v>
      </c>
      <c r="D2303" s="5">
        <f ca="1">IFERROR(__xludf.DUMMYFUNCTION("""COMPUTED_VALUE"""),1970)</f>
        <v>1970</v>
      </c>
      <c r="E2303" s="8">
        <f ca="1">IFERROR(__xludf.DUMMYFUNCTION("""COMPUTED_VALUE"""),25696)</f>
        <v>25696</v>
      </c>
      <c r="F2303" s="5" t="str">
        <f ca="1">IFERROR(__xludf.DUMMYFUNCTION("""COMPUTED_VALUE"""),"Carver High School")</f>
        <v>Carver High School</v>
      </c>
      <c r="G2303" s="5">
        <f ca="1">IFERROR(__xludf.DUMMYFUNCTION("""COMPUTED_VALUE"""),0)</f>
        <v>0</v>
      </c>
      <c r="H2303" s="5">
        <f ca="1">IFERROR(__xludf.DUMMYFUNCTION("""COMPUTED_VALUE"""),1)</f>
        <v>1</v>
      </c>
      <c r="I2303" s="5">
        <f ca="1">IFERROR(__xludf.DUMMYFUNCTION("""COMPUTED_VALUE"""),1)</f>
        <v>1</v>
      </c>
      <c r="J2303" s="5">
        <f ca="1">IFERROR(__xludf.DUMMYFUNCTION("""COMPUTED_VALUE"""),0)</f>
        <v>0</v>
      </c>
      <c r="K2303" s="9" t="str">
        <f ca="1">IFERROR(__xludf.DUMMYFUNCTION("""COMPUTED_VALUE"""),"https://www.newspapers.com/image/129716948/?terms=school%2Bshooting")</f>
        <v>https://www.newspapers.com/image/129716948/?terms=school%2Bshooting</v>
      </c>
      <c r="L2303" s="5"/>
      <c r="M2303" s="5"/>
      <c r="N2303" s="5">
        <f ca="1">IFERROR(__xludf.DUMMYFUNCTION("""COMPUTED_VALUE"""),2)</f>
        <v>2</v>
      </c>
      <c r="O2303" s="5" t="str">
        <f ca="1">IFERROR(__xludf.DUMMYFUNCTION("""COMPUTED_VALUE"""),"Spring")</f>
        <v>Spring</v>
      </c>
      <c r="P2303" s="5" t="str">
        <f ca="1">IFERROR(__xludf.DUMMYFUNCTION("""COMPUTED_VALUE"""),"Delray Beach")</f>
        <v>Delray Beach</v>
      </c>
      <c r="Q2303" s="5" t="str">
        <f ca="1">IFERROR(__xludf.DUMMYFUNCTION("""COMPUTED_VALUE"""),"FL")</f>
        <v>FL</v>
      </c>
      <c r="R2303" s="5" t="str">
        <f ca="1">IFERROR(__xludf.DUMMYFUNCTION("""COMPUTED_VALUE"""),"High")</f>
        <v>High</v>
      </c>
      <c r="S2303" s="5" t="str">
        <f ca="1">IFERROR(__xludf.DUMMYFUNCTION("""COMPUTED_VALUE"""),"Inside School Building")</f>
        <v>Inside School Building</v>
      </c>
      <c r="T2303" s="5" t="str">
        <f ca="1">IFERROR(__xludf.DUMMYFUNCTION("""COMPUTED_VALUE"""),"Inside School Building")</f>
        <v>Inside School Building</v>
      </c>
      <c r="U2303" s="5" t="str">
        <f ca="1">IFERROR(__xludf.DUMMYFUNCTION("""COMPUTED_VALUE"""),"Yes")</f>
        <v>Yes</v>
      </c>
      <c r="V2303" s="5" t="str">
        <f ca="1">IFERROR(__xludf.DUMMYFUNCTION("""COMPUTED_VALUE"""),"Morning Classes")</f>
        <v>Morning Classes</v>
      </c>
      <c r="W2303" s="10">
        <f ca="1">IFERROR(__xludf.DUMMYFUNCTION("""COMPUTED_VALUE"""),0.416666666666666)</f>
        <v>0.41666666666666602</v>
      </c>
      <c r="X2303" s="5">
        <f ca="1">IFERROR(__xludf.DUMMYFUNCTION("""COMPUTED_VALUE"""),1)</f>
        <v>1</v>
      </c>
      <c r="Y2303" s="5" t="str">
        <f ca="1">IFERROR(__xludf.DUMMYFUNCTION("""COMPUTED_VALUE"""),"Shooting after previous fight at pool hall")</f>
        <v>Shooting after previous fight at pool hall</v>
      </c>
      <c r="Z2303" s="5" t="str">
        <f ca="1">IFERROR(__xludf.DUMMYFUNCTION("""COMPUTED_VALUE"""),"Shooter and victim had previous fight at pool hall. Shooter confronted victim in the school building and fired once injuring him.")</f>
        <v>Shooter and victim had previous fight at pool hall. Shooter confronted victim in the school building and fired once injuring him.</v>
      </c>
      <c r="AA2303" s="5" t="str">
        <f ca="1">IFERROR(__xludf.DUMMYFUNCTION("""COMPUTED_VALUE"""),"Escalation of Dispute")</f>
        <v>Escalation of Dispute</v>
      </c>
      <c r="AB2303" s="5" t="str">
        <f ca="1">IFERROR(__xludf.DUMMYFUNCTION("""COMPUTED_VALUE"""),"Victims Targeted")</f>
        <v>Victims Targeted</v>
      </c>
      <c r="AC2303" s="5" t="str">
        <f ca="1">IFERROR(__xludf.DUMMYFUNCTION("""COMPUTED_VALUE"""),"No")</f>
        <v>No</v>
      </c>
      <c r="AD2303" s="5" t="str">
        <f ca="1">IFERROR(__xludf.DUMMYFUNCTION("""COMPUTED_VALUE"""),"No")</f>
        <v>No</v>
      </c>
      <c r="AE2303" s="5" t="str">
        <f ca="1">IFERROR(__xludf.DUMMYFUNCTION("""COMPUTED_VALUE"""),"No")</f>
        <v>No</v>
      </c>
      <c r="AF2303" s="5" t="str">
        <f ca="1">IFERROR(__xludf.DUMMYFUNCTION("""COMPUTED_VALUE"""),"No")</f>
        <v>No</v>
      </c>
      <c r="AG2303" s="5" t="str">
        <f ca="1">IFERROR(__xludf.DUMMYFUNCTION("""COMPUTED_VALUE"""),"No")</f>
        <v>No</v>
      </c>
      <c r="AH2303" s="5" t="str">
        <f ca="1">IFERROR(__xludf.DUMMYFUNCTION("""COMPUTED_VALUE"""),"No")</f>
        <v>No</v>
      </c>
      <c r="AI2303" s="5" t="str">
        <f ca="1">IFERROR(__xludf.DUMMYFUNCTION("""COMPUTED_VALUE"""),"No")</f>
        <v>No</v>
      </c>
      <c r="AJ2303" s="5"/>
    </row>
    <row r="2304" spans="1:36" ht="13">
      <c r="A2304" s="5" t="str">
        <f ca="1">IFERROR(__xludf.DUMMYFUNCTION("""COMPUTED_VALUE"""),"19700422DEPIW")</f>
        <v>19700422DEPIW</v>
      </c>
      <c r="B2304" s="5">
        <f ca="1">IFERROR(__xludf.DUMMYFUNCTION("""COMPUTED_VALUE"""),4)</f>
        <v>4</v>
      </c>
      <c r="C2304" s="5">
        <f ca="1">IFERROR(__xludf.DUMMYFUNCTION("""COMPUTED_VALUE"""),22)</f>
        <v>22</v>
      </c>
      <c r="D2304" s="5">
        <f ca="1">IFERROR(__xludf.DUMMYFUNCTION("""COMPUTED_VALUE"""),1970)</f>
        <v>1970</v>
      </c>
      <c r="E2304" s="8">
        <f ca="1">IFERROR(__xludf.DUMMYFUNCTION("""COMPUTED_VALUE"""),25680)</f>
        <v>25680</v>
      </c>
      <c r="F2304" s="5" t="str">
        <f ca="1">IFERROR(__xludf.DUMMYFUNCTION("""COMPUTED_VALUE"""),"Pierre S. Dupont High School")</f>
        <v>Pierre S. Dupont High School</v>
      </c>
      <c r="G2304" s="5">
        <f ca="1">IFERROR(__xludf.DUMMYFUNCTION("""COMPUTED_VALUE"""),1)</f>
        <v>1</v>
      </c>
      <c r="H2304" s="5">
        <f ca="1">IFERROR(__xludf.DUMMYFUNCTION("""COMPUTED_VALUE"""),0)</f>
        <v>0</v>
      </c>
      <c r="I2304" s="5">
        <f ca="1">IFERROR(__xludf.DUMMYFUNCTION("""COMPUTED_VALUE"""),1)</f>
        <v>1</v>
      </c>
      <c r="J2304" s="5">
        <f ca="1">IFERROR(__xludf.DUMMYFUNCTION("""COMPUTED_VALUE"""),0)</f>
        <v>0</v>
      </c>
      <c r="K2304" s="9" t="str">
        <f ca="1">IFERROR(__xludf.DUMMYFUNCTION("""COMPUTED_VALUE"""),"https://www.newspapers.com/image/154804412/?terms=school%2Bshooting")</f>
        <v>https://www.newspapers.com/image/154804412/?terms=school%2Bshooting</v>
      </c>
      <c r="L2304" s="5"/>
      <c r="M2304" s="5"/>
      <c r="N2304" s="5">
        <f ca="1">IFERROR(__xludf.DUMMYFUNCTION("""COMPUTED_VALUE"""),3)</f>
        <v>3</v>
      </c>
      <c r="O2304" s="5" t="str">
        <f ca="1">IFERROR(__xludf.DUMMYFUNCTION("""COMPUTED_VALUE"""),"Spring")</f>
        <v>Spring</v>
      </c>
      <c r="P2304" s="5" t="str">
        <f ca="1">IFERROR(__xludf.DUMMYFUNCTION("""COMPUTED_VALUE"""),"Wilmington")</f>
        <v>Wilmington</v>
      </c>
      <c r="Q2304" s="5" t="str">
        <f ca="1">IFERROR(__xludf.DUMMYFUNCTION("""COMPUTED_VALUE"""),"DE")</f>
        <v>DE</v>
      </c>
      <c r="R2304" s="5" t="str">
        <f ca="1">IFERROR(__xludf.DUMMYFUNCTION("""COMPUTED_VALUE"""),"High")</f>
        <v>High</v>
      </c>
      <c r="S2304" s="5" t="str">
        <f ca="1">IFERROR(__xludf.DUMMYFUNCTION("""COMPUTED_VALUE"""),"Hallway")</f>
        <v>Hallway</v>
      </c>
      <c r="T2304" s="5" t="str">
        <f ca="1">IFERROR(__xludf.DUMMYFUNCTION("""COMPUTED_VALUE"""),"Inside School Building")</f>
        <v>Inside School Building</v>
      </c>
      <c r="U2304" s="5" t="str">
        <f ca="1">IFERROR(__xludf.DUMMYFUNCTION("""COMPUTED_VALUE"""),"Yes")</f>
        <v>Yes</v>
      </c>
      <c r="V2304" s="5" t="str">
        <f ca="1">IFERROR(__xludf.DUMMYFUNCTION("""COMPUTED_VALUE"""),"Morning Classes")</f>
        <v>Morning Classes</v>
      </c>
      <c r="W2304" s="10">
        <f ca="1">IFERROR(__xludf.DUMMYFUNCTION("""COMPUTED_VALUE"""),0.375)</f>
        <v>0.375</v>
      </c>
      <c r="X2304" s="5">
        <f ca="1">IFERROR(__xludf.DUMMYFUNCTION("""COMPUTED_VALUE"""),1)</f>
        <v>1</v>
      </c>
      <c r="Y2304" s="5" t="str">
        <f ca="1">IFERROR(__xludf.DUMMYFUNCTION("""COMPUTED_VALUE"""),"Ongoing fight between the students escalated into shooting in school hallway")</f>
        <v>Ongoing fight between the students escalated into shooting in school hallway</v>
      </c>
      <c r="Z2304" s="5" t="str">
        <f ca="1">IFERROR(__xludf.DUMMYFUNCTION("""COMPUTED_VALUE"""),"Personal feud between the students escalated into a 16 year-old male student shooting a 18 year-old male student in the hallway of the school. Shooter fled the scene.")</f>
        <v>Personal feud between the students escalated into a 16 year-old male student shooting a 18 year-old male student in the hallway of the school. Shooter fled the scene.</v>
      </c>
      <c r="AA2304" s="5" t="str">
        <f ca="1">IFERROR(__xludf.DUMMYFUNCTION("""COMPUTED_VALUE"""),"Escalation of Dispute")</f>
        <v>Escalation of Dispute</v>
      </c>
      <c r="AB2304" s="5" t="str">
        <f ca="1">IFERROR(__xludf.DUMMYFUNCTION("""COMPUTED_VALUE"""),"Victims Targeted")</f>
        <v>Victims Targeted</v>
      </c>
      <c r="AC2304" s="5" t="str">
        <f ca="1">IFERROR(__xludf.DUMMYFUNCTION("""COMPUTED_VALUE"""),"No")</f>
        <v>No</v>
      </c>
      <c r="AD2304" s="5" t="str">
        <f ca="1">IFERROR(__xludf.DUMMYFUNCTION("""COMPUTED_VALUE"""),"No")</f>
        <v>No</v>
      </c>
      <c r="AE2304" s="5" t="str">
        <f ca="1">IFERROR(__xludf.DUMMYFUNCTION("""COMPUTED_VALUE"""),"No")</f>
        <v>No</v>
      </c>
      <c r="AF2304" s="5" t="str">
        <f ca="1">IFERROR(__xludf.DUMMYFUNCTION("""COMPUTED_VALUE"""),"No")</f>
        <v>No</v>
      </c>
      <c r="AG2304" s="5" t="str">
        <f ca="1">IFERROR(__xludf.DUMMYFUNCTION("""COMPUTED_VALUE"""),"No")</f>
        <v>No</v>
      </c>
      <c r="AH2304" s="5" t="str">
        <f ca="1">IFERROR(__xludf.DUMMYFUNCTION("""COMPUTED_VALUE"""),"No")</f>
        <v>No</v>
      </c>
      <c r="AI2304" s="5" t="str">
        <f ca="1">IFERROR(__xludf.DUMMYFUNCTION("""COMPUTED_VALUE"""),"No")</f>
        <v>No</v>
      </c>
      <c r="AJ2304" s="5"/>
    </row>
    <row r="2305" spans="1:36" ht="13">
      <c r="A2305" s="5" t="str">
        <f ca="1">IFERROR(__xludf.DUMMYFUNCTION("""COMPUTED_VALUE"""),"19700415ARPIP")</f>
        <v>19700415ARPIP</v>
      </c>
      <c r="B2305" s="5">
        <f ca="1">IFERROR(__xludf.DUMMYFUNCTION("""COMPUTED_VALUE"""),4)</f>
        <v>4</v>
      </c>
      <c r="C2305" s="5">
        <f ca="1">IFERROR(__xludf.DUMMYFUNCTION("""COMPUTED_VALUE"""),15)</f>
        <v>15</v>
      </c>
      <c r="D2305" s="5">
        <f ca="1">IFERROR(__xludf.DUMMYFUNCTION("""COMPUTED_VALUE"""),1970)</f>
        <v>1970</v>
      </c>
      <c r="E2305" s="8">
        <f ca="1">IFERROR(__xludf.DUMMYFUNCTION("""COMPUTED_VALUE"""),25673)</f>
        <v>25673</v>
      </c>
      <c r="F2305" s="5" t="str">
        <f ca="1">IFERROR(__xludf.DUMMYFUNCTION("""COMPUTED_VALUE"""),"Pine Bluff Coleman High School")</f>
        <v>Pine Bluff Coleman High School</v>
      </c>
      <c r="G2305" s="5">
        <f ca="1">IFERROR(__xludf.DUMMYFUNCTION("""COMPUTED_VALUE"""),1)</f>
        <v>1</v>
      </c>
      <c r="H2305" s="5">
        <f ca="1">IFERROR(__xludf.DUMMYFUNCTION("""COMPUTED_VALUE"""),5)</f>
        <v>5</v>
      </c>
      <c r="I2305" s="5">
        <f ca="1">IFERROR(__xludf.DUMMYFUNCTION("""COMPUTED_VALUE"""),6)</f>
        <v>6</v>
      </c>
      <c r="J2305" s="5">
        <f ca="1">IFERROR(__xludf.DUMMYFUNCTION("""COMPUTED_VALUE"""),0)</f>
        <v>0</v>
      </c>
      <c r="K2305" s="5" t="str">
        <f ca="1">IFERROR(__xludf.DUMMYFUNCTION("""COMPUTED_VALUE"""),"https://www.newspapers.com/image/338842716/?terms=school%2Bshooting https://www.newspapers.com/image/412440683/?terms=school%2Bshooting")</f>
        <v>https://www.newspapers.com/image/338842716/?terms=school%2Bshooting https://www.newspapers.com/image/412440683/?terms=school%2Bshooting</v>
      </c>
      <c r="L2305" s="5"/>
      <c r="M2305" s="5"/>
      <c r="N2305" s="5">
        <f ca="1">IFERROR(__xludf.DUMMYFUNCTION("""COMPUTED_VALUE"""),3)</f>
        <v>3</v>
      </c>
      <c r="O2305" s="5" t="str">
        <f ca="1">IFERROR(__xludf.DUMMYFUNCTION("""COMPUTED_VALUE"""),"Spring")</f>
        <v>Spring</v>
      </c>
      <c r="P2305" s="5" t="str">
        <f ca="1">IFERROR(__xludf.DUMMYFUNCTION("""COMPUTED_VALUE"""),"Pine Bluff")</f>
        <v>Pine Bluff</v>
      </c>
      <c r="Q2305" s="5" t="str">
        <f ca="1">IFERROR(__xludf.DUMMYFUNCTION("""COMPUTED_VALUE"""),"AR")</f>
        <v>AR</v>
      </c>
      <c r="R2305" s="5" t="str">
        <f ca="1">IFERROR(__xludf.DUMMYFUNCTION("""COMPUTED_VALUE"""),"High")</f>
        <v>High</v>
      </c>
      <c r="S2305" s="5" t="str">
        <f ca="1">IFERROR(__xludf.DUMMYFUNCTION("""COMPUTED_VALUE"""),"Cafeteria")</f>
        <v>Cafeteria</v>
      </c>
      <c r="T2305" s="5" t="str">
        <f ca="1">IFERROR(__xludf.DUMMYFUNCTION("""COMPUTED_VALUE"""),"Inside School Building")</f>
        <v>Inside School Building</v>
      </c>
      <c r="U2305" s="5" t="str">
        <f ca="1">IFERROR(__xludf.DUMMYFUNCTION("""COMPUTED_VALUE"""),"Yes")</f>
        <v>Yes</v>
      </c>
      <c r="V2305" s="5" t="str">
        <f ca="1">IFERROR(__xludf.DUMMYFUNCTION("""COMPUTED_VALUE"""),"Lunch")</f>
        <v>Lunch</v>
      </c>
      <c r="W2305" s="10">
        <f ca="1">IFERROR(__xludf.DUMMYFUNCTION("""COMPUTED_VALUE"""),0.5)</f>
        <v>0.5</v>
      </c>
      <c r="X2305" s="5">
        <f ca="1">IFERROR(__xludf.DUMMYFUNCTION("""COMPUTED_VALUE"""),8)</f>
        <v>8</v>
      </c>
      <c r="Y2305" s="5" t="str">
        <f ca="1">IFERROR(__xludf.DUMMYFUNCTION("""COMPUTED_VALUE"""),"6 gunmen chased student into cafeteria firing weapons")</f>
        <v>6 gunmen chased student into cafeteria firing weapons</v>
      </c>
      <c r="Z2305" s="5" t="str">
        <f ca="1">IFERROR(__xludf.DUMMYFUNCTION("""COMPUTED_VALUE"""),"Six different armed gunmen chased a student into the cafeteria. Student had a gun and was firing back at the group of gunmen. Multiple shots were fired in the cafeteria striking 7 people. All of the shooters fled the scene and 8 were charged with shooting"&amp;" with the intent to kill.")</f>
        <v>Six different armed gunmen chased a student into the cafeteria. Student had a gun and was firing back at the group of gunmen. Multiple shots were fired in the cafeteria striking 7 people. All of the shooters fled the scene and 8 were charged with shooting with the intent to kill.</v>
      </c>
      <c r="AA2305" s="5" t="str">
        <f ca="1">IFERROR(__xludf.DUMMYFUNCTION("""COMPUTED_VALUE"""),"Escalation of Dispute")</f>
        <v>Escalation of Dispute</v>
      </c>
      <c r="AB2305" s="5" t="str">
        <f ca="1">IFERROR(__xludf.DUMMYFUNCTION("""COMPUTED_VALUE"""),"Both")</f>
        <v>Both</v>
      </c>
      <c r="AC2305" s="5" t="str">
        <f ca="1">IFERROR(__xludf.DUMMYFUNCTION("""COMPUTED_VALUE"""),"Yes")</f>
        <v>Yes</v>
      </c>
      <c r="AD2305" s="5" t="str">
        <f ca="1">IFERROR(__xludf.DUMMYFUNCTION("""COMPUTED_VALUE"""),"No")</f>
        <v>No</v>
      </c>
      <c r="AE2305" s="5" t="str">
        <f ca="1">IFERROR(__xludf.DUMMYFUNCTION("""COMPUTED_VALUE"""),"No")</f>
        <v>No</v>
      </c>
      <c r="AF2305" s="5" t="str">
        <f ca="1">IFERROR(__xludf.DUMMYFUNCTION("""COMPUTED_VALUE"""),"No")</f>
        <v>No</v>
      </c>
      <c r="AG2305" s="5" t="str">
        <f ca="1">IFERROR(__xludf.DUMMYFUNCTION("""COMPUTED_VALUE"""),"No")</f>
        <v>No</v>
      </c>
      <c r="AH2305" s="5" t="str">
        <f ca="1">IFERROR(__xludf.DUMMYFUNCTION("""COMPUTED_VALUE"""),"No")</f>
        <v>No</v>
      </c>
      <c r="AI2305" s="5" t="str">
        <f ca="1">IFERROR(__xludf.DUMMYFUNCTION("""COMPUTED_VALUE"""),"Yes")</f>
        <v>Yes</v>
      </c>
      <c r="AJ2305" s="5"/>
    </row>
    <row r="2306" spans="1:36" ht="13">
      <c r="A2306" s="5" t="str">
        <f ca="1">IFERROR(__xludf.DUMMYFUNCTION("""COMPUTED_VALUE"""),"19700323CADAL")</f>
        <v>19700323CADAL</v>
      </c>
      <c r="B2306" s="5">
        <f ca="1">IFERROR(__xludf.DUMMYFUNCTION("""COMPUTED_VALUE"""),3)</f>
        <v>3</v>
      </c>
      <c r="C2306" s="5">
        <f ca="1">IFERROR(__xludf.DUMMYFUNCTION("""COMPUTED_VALUE"""),23)</f>
        <v>23</v>
      </c>
      <c r="D2306" s="5">
        <f ca="1">IFERROR(__xludf.DUMMYFUNCTION("""COMPUTED_VALUE"""),1970)</f>
        <v>1970</v>
      </c>
      <c r="E2306" s="8">
        <f ca="1">IFERROR(__xludf.DUMMYFUNCTION("""COMPUTED_VALUE"""),25650)</f>
        <v>25650</v>
      </c>
      <c r="F2306" s="5" t="str">
        <f ca="1">IFERROR(__xludf.DUMMYFUNCTION("""COMPUTED_VALUE"""),"David Starr Jordan High School")</f>
        <v>David Starr Jordan High School</v>
      </c>
      <c r="G2306" s="5">
        <f ca="1">IFERROR(__xludf.DUMMYFUNCTION("""COMPUTED_VALUE"""),0)</f>
        <v>0</v>
      </c>
      <c r="H2306" s="5">
        <f ca="1">IFERROR(__xludf.DUMMYFUNCTION("""COMPUTED_VALUE"""),2)</f>
        <v>2</v>
      </c>
      <c r="I2306" s="5">
        <f ca="1">IFERROR(__xludf.DUMMYFUNCTION("""COMPUTED_VALUE"""),2)</f>
        <v>2</v>
      </c>
      <c r="J2306" s="5">
        <f ca="1">IFERROR(__xludf.DUMMYFUNCTION("""COMPUTED_VALUE"""),0)</f>
        <v>0</v>
      </c>
      <c r="K2306" s="9" t="str">
        <f ca="1">IFERROR(__xludf.DUMMYFUNCTION("""COMPUTED_VALUE"""),"https://www.newspapers.com/image/23768017/?terms=school%2Bshooting")</f>
        <v>https://www.newspapers.com/image/23768017/?terms=school%2Bshooting</v>
      </c>
      <c r="L2306" s="5"/>
      <c r="M2306" s="5"/>
      <c r="N2306" s="5">
        <f ca="1">IFERROR(__xludf.DUMMYFUNCTION("""COMPUTED_VALUE"""),2)</f>
        <v>2</v>
      </c>
      <c r="O2306" s="5" t="str">
        <f ca="1">IFERROR(__xludf.DUMMYFUNCTION("""COMPUTED_VALUE"""),"Spring")</f>
        <v>Spring</v>
      </c>
      <c r="P2306" s="5" t="str">
        <f ca="1">IFERROR(__xludf.DUMMYFUNCTION("""COMPUTED_VALUE"""),"Long Beach")</f>
        <v>Long Beach</v>
      </c>
      <c r="Q2306" s="5" t="str">
        <f ca="1">IFERROR(__xludf.DUMMYFUNCTION("""COMPUTED_VALUE"""),"CA")</f>
        <v>CA</v>
      </c>
      <c r="R2306" s="5" t="str">
        <f ca="1">IFERROR(__xludf.DUMMYFUNCTION("""COMPUTED_VALUE"""),"High")</f>
        <v>High</v>
      </c>
      <c r="S2306" s="5" t="str">
        <f ca="1">IFERROR(__xludf.DUMMYFUNCTION("""COMPUTED_VALUE"""),"Beside Building")</f>
        <v>Beside Building</v>
      </c>
      <c r="T2306" s="5" t="str">
        <f ca="1">IFERROR(__xludf.DUMMYFUNCTION("""COMPUTED_VALUE"""),"Outside on School Property")</f>
        <v>Outside on School Property</v>
      </c>
      <c r="U2306" s="5" t="str">
        <f ca="1">IFERROR(__xludf.DUMMYFUNCTION("""COMPUTED_VALUE"""),"No")</f>
        <v>No</v>
      </c>
      <c r="V2306" s="5" t="str">
        <f ca="1">IFERROR(__xludf.DUMMYFUNCTION("""COMPUTED_VALUE"""),"Night")</f>
        <v>Night</v>
      </c>
      <c r="W2306" s="5"/>
      <c r="X2306" s="5"/>
      <c r="Y2306" s="5" t="str">
        <f ca="1">IFERROR(__xludf.DUMMYFUNCTION("""COMPUTED_VALUE"""),"Teens fired at security guard who returned fire injuring one")</f>
        <v>Teens fired at security guard who returned fire injuring one</v>
      </c>
      <c r="Z2306" s="5" t="str">
        <f ca="1">IFERROR(__xludf.DUMMYFUNCTION("""COMPUTED_VALUE"""),"Group of teens fired shots at the night time security guard who fired back injuring one of them. No motive known.")</f>
        <v>Group of teens fired shots at the night time security guard who fired back injuring one of them. No motive known.</v>
      </c>
      <c r="AA2306" s="5" t="str">
        <f ca="1">IFERROR(__xludf.DUMMYFUNCTION("""COMPUTED_VALUE"""),"Illegal Activity")</f>
        <v>Illegal Activity</v>
      </c>
      <c r="AB2306" s="5" t="str">
        <f ca="1">IFERROR(__xludf.DUMMYFUNCTION("""COMPUTED_VALUE"""),"Neither")</f>
        <v>Neither</v>
      </c>
      <c r="AC2306" s="5" t="str">
        <f ca="1">IFERROR(__xludf.DUMMYFUNCTION("""COMPUTED_VALUE"""),"Yes")</f>
        <v>Yes</v>
      </c>
      <c r="AD2306" s="5" t="str">
        <f ca="1">IFERROR(__xludf.DUMMYFUNCTION("""COMPUTED_VALUE"""),"No")</f>
        <v>No</v>
      </c>
      <c r="AE2306" s="5" t="str">
        <f ca="1">IFERROR(__xludf.DUMMYFUNCTION("""COMPUTED_VALUE"""),"No")</f>
        <v>No</v>
      </c>
      <c r="AF2306" s="5" t="str">
        <f ca="1">IFERROR(__xludf.DUMMYFUNCTION("""COMPUTED_VALUE"""),"No")</f>
        <v>No</v>
      </c>
      <c r="AG2306" s="5" t="str">
        <f ca="1">IFERROR(__xludf.DUMMYFUNCTION("""COMPUTED_VALUE"""),"No")</f>
        <v>No</v>
      </c>
      <c r="AH2306" s="5" t="str">
        <f ca="1">IFERROR(__xludf.DUMMYFUNCTION("""COMPUTED_VALUE"""),"No")</f>
        <v>No</v>
      </c>
      <c r="AI2306" s="5" t="str">
        <f ca="1">IFERROR(__xludf.DUMMYFUNCTION("""COMPUTED_VALUE"""),"No")</f>
        <v>No</v>
      </c>
      <c r="AJ2306" s="5"/>
    </row>
    <row r="2307" spans="1:36" ht="13">
      <c r="A2307" s="5" t="str">
        <f ca="1">IFERROR(__xludf.DUMMYFUNCTION("""COMPUTED_VALUE"""),"19700206OHJOC")</f>
        <v>19700206OHJOC</v>
      </c>
      <c r="B2307" s="5">
        <f ca="1">IFERROR(__xludf.DUMMYFUNCTION("""COMPUTED_VALUE"""),2)</f>
        <v>2</v>
      </c>
      <c r="C2307" s="5">
        <f ca="1">IFERROR(__xludf.DUMMYFUNCTION("""COMPUTED_VALUE"""),6)</f>
        <v>6</v>
      </c>
      <c r="D2307" s="5">
        <f ca="1">IFERROR(__xludf.DUMMYFUNCTION("""COMPUTED_VALUE"""),1970)</f>
        <v>1970</v>
      </c>
      <c r="E2307" s="8">
        <f ca="1">IFERROR(__xludf.DUMMYFUNCTION("""COMPUTED_VALUE"""),25605)</f>
        <v>25605</v>
      </c>
      <c r="F2307" s="5" t="str">
        <f ca="1">IFERROR(__xludf.DUMMYFUNCTION("""COMPUTED_VALUE"""),"John F. Kennedy High School")</f>
        <v>John F. Kennedy High School</v>
      </c>
      <c r="G2307" s="5">
        <f ca="1">IFERROR(__xludf.DUMMYFUNCTION("""COMPUTED_VALUE"""),0)</f>
        <v>0</v>
      </c>
      <c r="H2307" s="5">
        <f ca="1">IFERROR(__xludf.DUMMYFUNCTION("""COMPUTED_VALUE"""),1)</f>
        <v>1</v>
      </c>
      <c r="I2307" s="5">
        <f ca="1">IFERROR(__xludf.DUMMYFUNCTION("""COMPUTED_VALUE"""),1)</f>
        <v>1</v>
      </c>
      <c r="J2307" s="5">
        <f ca="1">IFERROR(__xludf.DUMMYFUNCTION("""COMPUTED_VALUE"""),0)</f>
        <v>0</v>
      </c>
      <c r="K2307" s="9" t="str">
        <f ca="1">IFERROR(__xludf.DUMMYFUNCTION("""COMPUTED_VALUE"""),"https://www.newspapers.com/image/18059538/?terms=school%2Bshooting")</f>
        <v>https://www.newspapers.com/image/18059538/?terms=school%2Bshooting</v>
      </c>
      <c r="L2307" s="5"/>
      <c r="M2307" s="5"/>
      <c r="N2307" s="5">
        <f ca="1">IFERROR(__xludf.DUMMYFUNCTION("""COMPUTED_VALUE"""),2)</f>
        <v>2</v>
      </c>
      <c r="O2307" s="5" t="str">
        <f ca="1">IFERROR(__xludf.DUMMYFUNCTION("""COMPUTED_VALUE"""),"Winter")</f>
        <v>Winter</v>
      </c>
      <c r="P2307" s="5" t="str">
        <f ca="1">IFERROR(__xludf.DUMMYFUNCTION("""COMPUTED_VALUE"""),"Cleveland")</f>
        <v>Cleveland</v>
      </c>
      <c r="Q2307" s="5" t="str">
        <f ca="1">IFERROR(__xludf.DUMMYFUNCTION("""COMPUTED_VALUE"""),"OH")</f>
        <v>OH</v>
      </c>
      <c r="R2307" s="5" t="str">
        <f ca="1">IFERROR(__xludf.DUMMYFUNCTION("""COMPUTED_VALUE"""),"High")</f>
        <v>High</v>
      </c>
      <c r="S2307" s="5" t="str">
        <f ca="1">IFERROR(__xludf.DUMMYFUNCTION("""COMPUTED_VALUE"""),"Hallway")</f>
        <v>Hallway</v>
      </c>
      <c r="T2307" s="5" t="str">
        <f ca="1">IFERROR(__xludf.DUMMYFUNCTION("""COMPUTED_VALUE"""),"Inside School Building")</f>
        <v>Inside School Building</v>
      </c>
      <c r="U2307" s="5" t="str">
        <f ca="1">IFERROR(__xludf.DUMMYFUNCTION("""COMPUTED_VALUE"""),"Yes")</f>
        <v>Yes</v>
      </c>
      <c r="V2307" s="5"/>
      <c r="W2307" s="5"/>
      <c r="X2307" s="5">
        <f ca="1">IFERROR(__xludf.DUMMYFUNCTION("""COMPUTED_VALUE"""),1)</f>
        <v>1</v>
      </c>
      <c r="Y2307" s="5" t="str">
        <f ca="1">IFERROR(__xludf.DUMMYFUNCTION("""COMPUTED_VALUE"""),"Argument in school hallway escalated into shooting")</f>
        <v>Argument in school hallway escalated into shooting</v>
      </c>
      <c r="Z2307" s="5" t="str">
        <f ca="1">IFERROR(__xludf.DUMMYFUNCTION("""COMPUTED_VALUE"""),"Argument between shooter and victim escalated into shooting in school hallway.")</f>
        <v>Argument between shooter and victim escalated into shooting in school hallway.</v>
      </c>
      <c r="AA2307" s="5" t="str">
        <f ca="1">IFERROR(__xludf.DUMMYFUNCTION("""COMPUTED_VALUE"""),"Escalation of Dispute")</f>
        <v>Escalation of Dispute</v>
      </c>
      <c r="AB2307" s="5" t="str">
        <f ca="1">IFERROR(__xludf.DUMMYFUNCTION("""COMPUTED_VALUE"""),"Victims Targeted")</f>
        <v>Victims Targeted</v>
      </c>
      <c r="AC2307" s="5" t="str">
        <f ca="1">IFERROR(__xludf.DUMMYFUNCTION("""COMPUTED_VALUE"""),"No")</f>
        <v>No</v>
      </c>
      <c r="AD2307" s="5" t="str">
        <f ca="1">IFERROR(__xludf.DUMMYFUNCTION("""COMPUTED_VALUE"""),"No")</f>
        <v>No</v>
      </c>
      <c r="AE2307" s="5" t="str">
        <f ca="1">IFERROR(__xludf.DUMMYFUNCTION("""COMPUTED_VALUE"""),"No")</f>
        <v>No</v>
      </c>
      <c r="AF2307" s="5" t="str">
        <f ca="1">IFERROR(__xludf.DUMMYFUNCTION("""COMPUTED_VALUE"""),"No")</f>
        <v>No</v>
      </c>
      <c r="AG2307" s="5" t="str">
        <f ca="1">IFERROR(__xludf.DUMMYFUNCTION("""COMPUTED_VALUE"""),"No")</f>
        <v>No</v>
      </c>
      <c r="AH2307" s="5" t="str">
        <f ca="1">IFERROR(__xludf.DUMMYFUNCTION("""COMPUTED_VALUE"""),"No")</f>
        <v>No</v>
      </c>
      <c r="AI2307" s="5" t="str">
        <f ca="1">IFERROR(__xludf.DUMMYFUNCTION("""COMPUTED_VALUE"""),"No")</f>
        <v>No</v>
      </c>
      <c r="AJ2307" s="5"/>
    </row>
    <row r="2308" spans="1:36" ht="13">
      <c r="A2308" s="5" t="str">
        <f ca="1">IFERROR(__xludf.DUMMYFUNCTION("""COMPUTED_VALUE"""),"19700105DCUNW")</f>
        <v>19700105DCUNW</v>
      </c>
      <c r="B2308" s="5">
        <f ca="1">IFERROR(__xludf.DUMMYFUNCTION("""COMPUTED_VALUE"""),1)</f>
        <v>1</v>
      </c>
      <c r="C2308" s="5">
        <f ca="1">IFERROR(__xludf.DUMMYFUNCTION("""COMPUTED_VALUE"""),5)</f>
        <v>5</v>
      </c>
      <c r="D2308" s="5">
        <f ca="1">IFERROR(__xludf.DUMMYFUNCTION("""COMPUTED_VALUE"""),1970)</f>
        <v>1970</v>
      </c>
      <c r="E2308" s="8">
        <f ca="1">IFERROR(__xludf.DUMMYFUNCTION("""COMPUTED_VALUE"""),25573)</f>
        <v>25573</v>
      </c>
      <c r="F2308" s="5" t="str">
        <f ca="1">IFERROR(__xludf.DUMMYFUNCTION("""COMPUTED_VALUE"""),"Unnamed High School")</f>
        <v>Unnamed High School</v>
      </c>
      <c r="G2308" s="5">
        <f ca="1">IFERROR(__xludf.DUMMYFUNCTION("""COMPUTED_VALUE"""),0)</f>
        <v>0</v>
      </c>
      <c r="H2308" s="5">
        <f ca="1">IFERROR(__xludf.DUMMYFUNCTION("""COMPUTED_VALUE"""),0)</f>
        <v>0</v>
      </c>
      <c r="I2308" s="5">
        <f ca="1">IFERROR(__xludf.DUMMYFUNCTION("""COMPUTED_VALUE"""),0)</f>
        <v>0</v>
      </c>
      <c r="J2308" s="5">
        <f ca="1">IFERROR(__xludf.DUMMYFUNCTION("""COMPUTED_VALUE"""),0)</f>
        <v>0</v>
      </c>
      <c r="K2308" s="9" t="str">
        <f ca="1">IFERROR(__xludf.DUMMYFUNCTION("""COMPUTED_VALUE"""),"https://www.newspapers.com/image/156467116/?terms=school%2Bshooting")</f>
        <v>https://www.newspapers.com/image/156467116/?terms=school%2Bshooting</v>
      </c>
      <c r="L2308" s="5"/>
      <c r="M2308" s="5"/>
      <c r="N2308" s="5">
        <f ca="1">IFERROR(__xludf.DUMMYFUNCTION("""COMPUTED_VALUE"""),2)</f>
        <v>2</v>
      </c>
      <c r="O2308" s="5" t="str">
        <f ca="1">IFERROR(__xludf.DUMMYFUNCTION("""COMPUTED_VALUE"""),"Winter")</f>
        <v>Winter</v>
      </c>
      <c r="P2308" s="5" t="str">
        <f ca="1">IFERROR(__xludf.DUMMYFUNCTION("""COMPUTED_VALUE"""),"Washington")</f>
        <v>Washington</v>
      </c>
      <c r="Q2308" s="5" t="str">
        <f ca="1">IFERROR(__xludf.DUMMYFUNCTION("""COMPUTED_VALUE"""),"DC")</f>
        <v>DC</v>
      </c>
      <c r="R2308" s="5" t="str">
        <f ca="1">IFERROR(__xludf.DUMMYFUNCTION("""COMPUTED_VALUE"""),"High")</f>
        <v>High</v>
      </c>
      <c r="S2308" s="5" t="str">
        <f ca="1">IFERROR(__xludf.DUMMYFUNCTION("""COMPUTED_VALUE"""),"Playground")</f>
        <v>Playground</v>
      </c>
      <c r="T2308" s="5" t="str">
        <f ca="1">IFERROR(__xludf.DUMMYFUNCTION("""COMPUTED_VALUE"""),"Outside on School Property")</f>
        <v>Outside on School Property</v>
      </c>
      <c r="U2308" s="5" t="str">
        <f ca="1">IFERROR(__xludf.DUMMYFUNCTION("""COMPUTED_VALUE"""),"Yes")</f>
        <v>Yes</v>
      </c>
      <c r="V2308" s="5"/>
      <c r="W2308" s="5"/>
      <c r="X2308" s="5">
        <f ca="1">IFERROR(__xludf.DUMMYFUNCTION("""COMPUTED_VALUE"""),1)</f>
        <v>1</v>
      </c>
      <c r="Y2308" s="5" t="str">
        <f ca="1">IFERROR(__xludf.DUMMYFUNCTION("""COMPUTED_VALUE"""),"Student shot at twice during attempted robbery on playground")</f>
        <v>Student shot at twice during attempted robbery on playground</v>
      </c>
      <c r="Z2308" s="5" t="str">
        <f ca="1">IFERROR(__xludf.DUMMYFUNCTION("""COMPUTED_VALUE"""),"Group of 10 teens attempted to rob a 16 year-old male student on school playground. When victim ran, unknown teen suspect fired 2 shots that missed. Shooter fled the scene.")</f>
        <v>Group of 10 teens attempted to rob a 16 year-old male student on school playground. When victim ran, unknown teen suspect fired 2 shots that missed. Shooter fled the scene.</v>
      </c>
      <c r="AA2308" s="5" t="str">
        <f ca="1">IFERROR(__xludf.DUMMYFUNCTION("""COMPUTED_VALUE"""),"Illegal Activity")</f>
        <v>Illegal Activity</v>
      </c>
      <c r="AB2308" s="5" t="str">
        <f ca="1">IFERROR(__xludf.DUMMYFUNCTION("""COMPUTED_VALUE"""),"Victims Targeted")</f>
        <v>Victims Targeted</v>
      </c>
      <c r="AC2308" s="5" t="str">
        <f ca="1">IFERROR(__xludf.DUMMYFUNCTION("""COMPUTED_VALUE"""),"Yes")</f>
        <v>Yes</v>
      </c>
      <c r="AD2308" s="5" t="str">
        <f ca="1">IFERROR(__xludf.DUMMYFUNCTION("""COMPUTED_VALUE"""),"No")</f>
        <v>No</v>
      </c>
      <c r="AE2308" s="5" t="str">
        <f ca="1">IFERROR(__xludf.DUMMYFUNCTION("""COMPUTED_VALUE"""),"No")</f>
        <v>No</v>
      </c>
      <c r="AF2308" s="5" t="str">
        <f ca="1">IFERROR(__xludf.DUMMYFUNCTION("""COMPUTED_VALUE"""),"No")</f>
        <v>No</v>
      </c>
      <c r="AG2308" s="5" t="str">
        <f ca="1">IFERROR(__xludf.DUMMYFUNCTION("""COMPUTED_VALUE"""),"No")</f>
        <v>No</v>
      </c>
      <c r="AH2308" s="5" t="str">
        <f ca="1">IFERROR(__xludf.DUMMYFUNCTION("""COMPUTED_VALUE"""),"No")</f>
        <v>No</v>
      </c>
      <c r="AI2308" s="5" t="str">
        <f ca="1">IFERROR(__xludf.DUMMYFUNCTION("""COMPUTED_VALUE"""),"No")</f>
        <v>No</v>
      </c>
      <c r="AJ2308" s="5"/>
    </row>
    <row r="2309" spans="1:36" ht="13">
      <c r="A2309" s="5" t="str">
        <f ca="1">IFERROR(__xludf.DUMMYFUNCTION("""COMPUTED_VALUE"""),"19700105DCSOW")</f>
        <v>19700105DCSOW</v>
      </c>
      <c r="B2309" s="5">
        <f ca="1">IFERROR(__xludf.DUMMYFUNCTION("""COMPUTED_VALUE"""),1)</f>
        <v>1</v>
      </c>
      <c r="C2309" s="5">
        <f ca="1">IFERROR(__xludf.DUMMYFUNCTION("""COMPUTED_VALUE"""),5)</f>
        <v>5</v>
      </c>
      <c r="D2309" s="5">
        <f ca="1">IFERROR(__xludf.DUMMYFUNCTION("""COMPUTED_VALUE"""),1970)</f>
        <v>1970</v>
      </c>
      <c r="E2309" s="8">
        <f ca="1">IFERROR(__xludf.DUMMYFUNCTION("""COMPUTED_VALUE"""),25573)</f>
        <v>25573</v>
      </c>
      <c r="F2309" s="5" t="str">
        <f ca="1">IFERROR(__xludf.DUMMYFUNCTION("""COMPUTED_VALUE"""),"Sousa Junior High")</f>
        <v>Sousa Junior High</v>
      </c>
      <c r="G2309" s="5">
        <f ca="1">IFERROR(__xludf.DUMMYFUNCTION("""COMPUTED_VALUE"""),0)</f>
        <v>0</v>
      </c>
      <c r="H2309" s="5">
        <f ca="1">IFERROR(__xludf.DUMMYFUNCTION("""COMPUTED_VALUE"""),1)</f>
        <v>1</v>
      </c>
      <c r="I2309" s="5">
        <f ca="1">IFERROR(__xludf.DUMMYFUNCTION("""COMPUTED_VALUE"""),1)</f>
        <v>1</v>
      </c>
      <c r="J2309" s="5">
        <f ca="1">IFERROR(__xludf.DUMMYFUNCTION("""COMPUTED_VALUE"""),0)</f>
        <v>0</v>
      </c>
      <c r="K2309" s="5" t="str">
        <f ca="1">IFERROR(__xludf.DUMMYFUNCTION("""COMPUTED_VALUE"""),"https://news.google.com/newspapers?id=AfRYAAAAIBAJ&amp;pg=3025,1894998 https://www.newspapers.com/image/156467116/?terms=school%2Bshooting")</f>
        <v>https://news.google.com/newspapers?id=AfRYAAAAIBAJ&amp;pg=3025,1894998 https://www.newspapers.com/image/156467116/?terms=school%2Bshooting</v>
      </c>
      <c r="L2309" s="5"/>
      <c r="M2309" s="5"/>
      <c r="N2309" s="5">
        <f ca="1">IFERROR(__xludf.DUMMYFUNCTION("""COMPUTED_VALUE"""),3)</f>
        <v>3</v>
      </c>
      <c r="O2309" s="5" t="str">
        <f ca="1">IFERROR(__xludf.DUMMYFUNCTION("""COMPUTED_VALUE"""),"Winter")</f>
        <v>Winter</v>
      </c>
      <c r="P2309" s="5" t="str">
        <f ca="1">IFERROR(__xludf.DUMMYFUNCTION("""COMPUTED_VALUE"""),"Washington")</f>
        <v>Washington</v>
      </c>
      <c r="Q2309" s="5" t="str">
        <f ca="1">IFERROR(__xludf.DUMMYFUNCTION("""COMPUTED_VALUE"""),"DC")</f>
        <v>DC</v>
      </c>
      <c r="R2309" s="5" t="str">
        <f ca="1">IFERROR(__xludf.DUMMYFUNCTION("""COMPUTED_VALUE"""),"Junior High")</f>
        <v>Junior High</v>
      </c>
      <c r="S2309" s="5" t="str">
        <f ca="1">IFERROR(__xludf.DUMMYFUNCTION("""COMPUTED_VALUE"""),"Hallway")</f>
        <v>Hallway</v>
      </c>
      <c r="T2309" s="5" t="str">
        <f ca="1">IFERROR(__xludf.DUMMYFUNCTION("""COMPUTED_VALUE"""),"Inside School Building")</f>
        <v>Inside School Building</v>
      </c>
      <c r="U2309" s="5" t="str">
        <f ca="1">IFERROR(__xludf.DUMMYFUNCTION("""COMPUTED_VALUE"""),"Yes")</f>
        <v>Yes</v>
      </c>
      <c r="V2309" s="5"/>
      <c r="W2309" s="5"/>
      <c r="X2309" s="5">
        <f ca="1">IFERROR(__xludf.DUMMYFUNCTION("""COMPUTED_VALUE"""),1)</f>
        <v>1</v>
      </c>
      <c r="Y2309" s="5" t="str">
        <f ca="1">IFERROR(__xludf.DUMMYFUNCTION("""COMPUTED_VALUE"""),"Occurred during horseplay in the school")</f>
        <v>Occurred during horseplay in the school</v>
      </c>
      <c r="Z2309" s="5" t="str">
        <f ca="1">IFERROR(__xludf.DUMMYFUNCTION("""COMPUTED_VALUE"""),"14 year-old male student shot during ""horseplay"" in the school hallway. Friend of the victim who fired the gun surrendered to police.")</f>
        <v>14 year-old male student shot during "horseplay" in the school hallway. Friend of the victim who fired the gun surrendered to police.</v>
      </c>
      <c r="AA2309" s="5" t="str">
        <f ca="1">IFERROR(__xludf.DUMMYFUNCTION("""COMPUTED_VALUE"""),"Accidental")</f>
        <v>Accidental</v>
      </c>
      <c r="AB2309" s="5" t="str">
        <f ca="1">IFERROR(__xludf.DUMMYFUNCTION("""COMPUTED_VALUE"""),"Random Shooting")</f>
        <v>Random Shooting</v>
      </c>
      <c r="AC2309" s="5" t="str">
        <f ca="1">IFERROR(__xludf.DUMMYFUNCTION("""COMPUTED_VALUE"""),"No")</f>
        <v>No</v>
      </c>
      <c r="AD2309" s="5" t="str">
        <f ca="1">IFERROR(__xludf.DUMMYFUNCTION("""COMPUTED_VALUE"""),"No")</f>
        <v>No</v>
      </c>
      <c r="AE2309" s="5" t="str">
        <f ca="1">IFERROR(__xludf.DUMMYFUNCTION("""COMPUTED_VALUE"""),"No")</f>
        <v>No</v>
      </c>
      <c r="AF2309" s="5" t="str">
        <f ca="1">IFERROR(__xludf.DUMMYFUNCTION("""COMPUTED_VALUE"""),"No")</f>
        <v>No</v>
      </c>
      <c r="AG2309" s="5" t="str">
        <f ca="1">IFERROR(__xludf.DUMMYFUNCTION("""COMPUTED_VALUE"""),"No")</f>
        <v>No</v>
      </c>
      <c r="AH2309" s="5" t="str">
        <f ca="1">IFERROR(__xludf.DUMMYFUNCTION("""COMPUTED_VALUE"""),"No")</f>
        <v>No</v>
      </c>
      <c r="AI2309" s="5" t="str">
        <f ca="1">IFERROR(__xludf.DUMMYFUNCTION("""COMPUTED_VALUE"""),"No")</f>
        <v>No</v>
      </c>
      <c r="AJ2309" s="5"/>
    </row>
    <row r="2310" spans="1:36" ht="13">
      <c r="A2310" s="5" t="str">
        <f ca="1">IFERROR(__xludf.DUMMYFUNCTION("""COMPUTED_VALUE"""),"19700105DCHIW")</f>
        <v>19700105DCHIW</v>
      </c>
      <c r="B2310" s="5">
        <f ca="1">IFERROR(__xludf.DUMMYFUNCTION("""COMPUTED_VALUE"""),1)</f>
        <v>1</v>
      </c>
      <c r="C2310" s="5">
        <f ca="1">IFERROR(__xludf.DUMMYFUNCTION("""COMPUTED_VALUE"""),5)</f>
        <v>5</v>
      </c>
      <c r="D2310" s="5">
        <f ca="1">IFERROR(__xludf.DUMMYFUNCTION("""COMPUTED_VALUE"""),1970)</f>
        <v>1970</v>
      </c>
      <c r="E2310" s="8">
        <f ca="1">IFERROR(__xludf.DUMMYFUNCTION("""COMPUTED_VALUE"""),25573)</f>
        <v>25573</v>
      </c>
      <c r="F2310" s="5" t="str">
        <f ca="1">IFERROR(__xludf.DUMMYFUNCTION("""COMPUTED_VALUE"""),"Hine Junior High School")</f>
        <v>Hine Junior High School</v>
      </c>
      <c r="G2310" s="5">
        <f ca="1">IFERROR(__xludf.DUMMYFUNCTION("""COMPUTED_VALUE"""),1)</f>
        <v>1</v>
      </c>
      <c r="H2310" s="5">
        <f ca="1">IFERROR(__xludf.DUMMYFUNCTION("""COMPUTED_VALUE"""),0)</f>
        <v>0</v>
      </c>
      <c r="I2310" s="5">
        <f ca="1">IFERROR(__xludf.DUMMYFUNCTION("""COMPUTED_VALUE"""),1)</f>
        <v>1</v>
      </c>
      <c r="J2310" s="5">
        <f ca="1">IFERROR(__xludf.DUMMYFUNCTION("""COMPUTED_VALUE"""),0)</f>
        <v>0</v>
      </c>
      <c r="K2310" s="9" t="str">
        <f ca="1">IFERROR(__xludf.DUMMYFUNCTION("""COMPUTED_VALUE"""),"https://news.google.com/newspapers?id=AfRYAAAAIBAJ&amp;pg=3025,1894998")</f>
        <v>https://news.google.com/newspapers?id=AfRYAAAAIBAJ&amp;pg=3025,1894998</v>
      </c>
      <c r="L2310" s="5"/>
      <c r="M2310" s="5"/>
      <c r="N2310" s="5">
        <f ca="1">IFERROR(__xludf.DUMMYFUNCTION("""COMPUTED_VALUE"""),3)</f>
        <v>3</v>
      </c>
      <c r="O2310" s="5" t="str">
        <f ca="1">IFERROR(__xludf.DUMMYFUNCTION("""COMPUTED_VALUE"""),"Winter")</f>
        <v>Winter</v>
      </c>
      <c r="P2310" s="5" t="str">
        <f ca="1">IFERROR(__xludf.DUMMYFUNCTION("""COMPUTED_VALUE"""),"Washington")</f>
        <v>Washington</v>
      </c>
      <c r="Q2310" s="5" t="str">
        <f ca="1">IFERROR(__xludf.DUMMYFUNCTION("""COMPUTED_VALUE"""),"DC")</f>
        <v>DC</v>
      </c>
      <c r="R2310" s="5" t="str">
        <f ca="1">IFERROR(__xludf.DUMMYFUNCTION("""COMPUTED_VALUE"""),"High")</f>
        <v>High</v>
      </c>
      <c r="S2310" s="5" t="str">
        <f ca="1">IFERROR(__xludf.DUMMYFUNCTION("""COMPUTED_VALUE"""),"Inside School Building")</f>
        <v>Inside School Building</v>
      </c>
      <c r="T2310" s="5" t="str">
        <f ca="1">IFERROR(__xludf.DUMMYFUNCTION("""COMPUTED_VALUE"""),"Inside School Building")</f>
        <v>Inside School Building</v>
      </c>
      <c r="U2310" s="5" t="str">
        <f ca="1">IFERROR(__xludf.DUMMYFUNCTION("""COMPUTED_VALUE"""),"Yes")</f>
        <v>Yes</v>
      </c>
      <c r="V2310" s="5"/>
      <c r="W2310" s="5"/>
      <c r="X2310" s="5">
        <f ca="1">IFERROR(__xludf.DUMMYFUNCTION("""COMPUTED_VALUE"""),1)</f>
        <v>1</v>
      </c>
      <c r="Y2310" s="5" t="str">
        <f ca="1">IFERROR(__xludf.DUMMYFUNCTION("""COMPUTED_VALUE"""),"Didn't know how to operate pistol, cocked hammer and couldn't get it to safely release causing accidental discharge")</f>
        <v>Didn't know how to operate pistol, cocked hammer and couldn't get it to safely release causing accidental discharge</v>
      </c>
      <c r="Z2310" s="5" t="str">
        <f ca="1">IFERROR(__xludf.DUMMYFUNCTION("""COMPUTED_VALUE"""),"Student showing off gun cocked hammer and could not get it to release causing accidental discharge and killing 15 year-old male student. Gave gun to another student after the shooting and told police that he and the victim had been attacked by an unknown "&amp;"male.")</f>
        <v>Student showing off gun cocked hammer and could not get it to release causing accidental discharge and killing 15 year-old male student. Gave gun to another student after the shooting and told police that he and the victim had been attacked by an unknown male.</v>
      </c>
      <c r="AA2310" s="5" t="str">
        <f ca="1">IFERROR(__xludf.DUMMYFUNCTION("""COMPUTED_VALUE"""),"Accidental")</f>
        <v>Accidental</v>
      </c>
      <c r="AB2310" s="5" t="str">
        <f ca="1">IFERROR(__xludf.DUMMYFUNCTION("""COMPUTED_VALUE"""),"Random Shooting")</f>
        <v>Random Shooting</v>
      </c>
      <c r="AC2310" s="5" t="str">
        <f ca="1">IFERROR(__xludf.DUMMYFUNCTION("""COMPUTED_VALUE"""),"Yes")</f>
        <v>Yes</v>
      </c>
      <c r="AD2310" s="5" t="str">
        <f ca="1">IFERROR(__xludf.DUMMYFUNCTION("""COMPUTED_VALUE"""),"No")</f>
        <v>No</v>
      </c>
      <c r="AE2310" s="5" t="str">
        <f ca="1">IFERROR(__xludf.DUMMYFUNCTION("""COMPUTED_VALUE"""),"No")</f>
        <v>No</v>
      </c>
      <c r="AF2310" s="5" t="str">
        <f ca="1">IFERROR(__xludf.DUMMYFUNCTION("""COMPUTED_VALUE"""),"No")</f>
        <v>No</v>
      </c>
      <c r="AG2310" s="5" t="str">
        <f ca="1">IFERROR(__xludf.DUMMYFUNCTION("""COMPUTED_VALUE"""),"No")</f>
        <v>No</v>
      </c>
      <c r="AH2310" s="5" t="str">
        <f ca="1">IFERROR(__xludf.DUMMYFUNCTION("""COMPUTED_VALUE"""),"No")</f>
        <v>No</v>
      </c>
      <c r="AI2310" s="5" t="str">
        <f ca="1">IFERROR(__xludf.DUMMYFUNCTION("""COMPUTED_VALUE"""),"No")</f>
        <v>No</v>
      </c>
      <c r="AJ2310" s="5"/>
    </row>
    <row r="2311" spans="1:36" ht="13">
      <c r="A2311" s="5"/>
      <c r="B2311" s="5"/>
      <c r="C2311" s="5"/>
      <c r="D2311" s="5"/>
      <c r="E2311" s="5"/>
      <c r="F2311" s="5"/>
      <c r="G2311" s="5"/>
      <c r="H2311" s="5"/>
      <c r="I2311" s="5"/>
      <c r="J2311" s="5"/>
      <c r="K2311" s="5"/>
      <c r="L2311" s="5"/>
      <c r="M2311" s="5"/>
      <c r="N2311" s="5"/>
      <c r="O2311" s="5"/>
      <c r="P2311" s="5"/>
      <c r="Q2311" s="5"/>
      <c r="R2311" s="5"/>
      <c r="S2311" s="5"/>
      <c r="T2311" s="5"/>
      <c r="U2311" s="5"/>
      <c r="V2311" s="5"/>
      <c r="W2311" s="5"/>
      <c r="X2311" s="5"/>
      <c r="Y2311" s="5"/>
      <c r="Z2311" s="5"/>
      <c r="AA2311" s="5"/>
      <c r="AB2311" s="5"/>
      <c r="AC2311" s="5"/>
      <c r="AD2311" s="5"/>
      <c r="AE2311" s="5"/>
      <c r="AF2311" s="5"/>
      <c r="AG2311" s="5"/>
      <c r="AH2311" s="5"/>
      <c r="AI2311" s="5"/>
      <c r="AJ2311" s="5"/>
    </row>
    <row r="2312" spans="1:36" ht="13">
      <c r="A2312" s="5"/>
      <c r="B2312" s="5"/>
      <c r="C2312" s="5"/>
      <c r="D2312" s="5"/>
      <c r="E2312" s="5"/>
      <c r="F2312" s="5"/>
      <c r="G2312" s="5"/>
      <c r="H2312" s="5"/>
      <c r="I2312" s="5"/>
      <c r="J2312" s="5"/>
      <c r="K2312" s="5"/>
      <c r="L2312" s="5"/>
      <c r="M2312" s="5"/>
      <c r="N2312" s="5"/>
      <c r="O2312" s="5"/>
      <c r="P2312" s="5"/>
      <c r="Q2312" s="5"/>
      <c r="R2312" s="5"/>
      <c r="S2312" s="5"/>
      <c r="T2312" s="5"/>
      <c r="U2312" s="5"/>
      <c r="V2312" s="5"/>
      <c r="W2312" s="5"/>
      <c r="X2312" s="5"/>
      <c r="Y2312" s="5"/>
      <c r="Z2312" s="5"/>
      <c r="AA2312" s="5"/>
      <c r="AB2312" s="5"/>
      <c r="AC2312" s="5"/>
      <c r="AD2312" s="5"/>
      <c r="AE2312" s="5"/>
      <c r="AF2312" s="5"/>
      <c r="AG2312" s="5"/>
      <c r="AH2312" s="5"/>
      <c r="AI2312" s="5"/>
      <c r="AJ2312" s="5"/>
    </row>
    <row r="2313" spans="1:36" ht="13">
      <c r="A2313" s="5"/>
      <c r="B2313" s="5"/>
      <c r="C2313" s="5"/>
      <c r="D2313" s="5"/>
      <c r="E2313" s="5"/>
      <c r="F2313" s="5"/>
      <c r="G2313" s="5"/>
      <c r="H2313" s="5"/>
      <c r="I2313" s="5"/>
      <c r="J2313" s="5"/>
      <c r="K2313" s="5"/>
      <c r="L2313" s="5"/>
      <c r="M2313" s="5"/>
      <c r="N2313" s="5"/>
      <c r="O2313" s="5"/>
      <c r="P2313" s="5"/>
      <c r="Q2313" s="5"/>
      <c r="R2313" s="5"/>
      <c r="S2313" s="5"/>
      <c r="T2313" s="5"/>
      <c r="U2313" s="5"/>
      <c r="V2313" s="5"/>
      <c r="W2313" s="5"/>
      <c r="X2313" s="5"/>
      <c r="Y2313" s="5"/>
      <c r="Z2313" s="5"/>
      <c r="AA2313" s="5"/>
      <c r="AB2313" s="5"/>
      <c r="AC2313" s="5"/>
      <c r="AD2313" s="5"/>
      <c r="AE2313" s="5"/>
      <c r="AF2313" s="5"/>
      <c r="AG2313" s="5"/>
      <c r="AH2313" s="5"/>
      <c r="AI2313" s="5"/>
      <c r="AJ2313" s="5"/>
    </row>
    <row r="2314" spans="1:36" ht="13">
      <c r="A2314" s="5"/>
      <c r="B2314" s="5"/>
      <c r="C2314" s="5"/>
      <c r="D2314" s="5"/>
      <c r="E2314" s="5"/>
      <c r="F2314" s="5"/>
      <c r="G2314" s="5"/>
      <c r="H2314" s="5"/>
      <c r="I2314" s="5"/>
      <c r="J2314" s="5"/>
      <c r="K2314" s="5"/>
      <c r="L2314" s="5"/>
      <c r="M2314" s="5"/>
      <c r="N2314" s="5"/>
      <c r="O2314" s="5"/>
      <c r="P2314" s="5"/>
      <c r="Q2314" s="5"/>
      <c r="R2314" s="5"/>
      <c r="S2314" s="5"/>
      <c r="T2314" s="5"/>
      <c r="U2314" s="5"/>
      <c r="V2314" s="5"/>
      <c r="W2314" s="5"/>
      <c r="X2314" s="5"/>
      <c r="Y2314" s="5"/>
      <c r="Z2314" s="5"/>
      <c r="AA2314" s="5"/>
      <c r="AB2314" s="5"/>
      <c r="AC2314" s="5"/>
      <c r="AD2314" s="5"/>
      <c r="AE2314" s="5"/>
      <c r="AF2314" s="5"/>
      <c r="AG2314" s="5"/>
      <c r="AH2314" s="5"/>
      <c r="AI2314" s="5"/>
      <c r="AJ2314" s="5"/>
    </row>
    <row r="2315" spans="1:36" ht="13">
      <c r="A2315" s="5"/>
      <c r="B2315" s="5"/>
      <c r="C2315" s="5"/>
      <c r="D2315" s="5"/>
      <c r="E2315" s="5"/>
      <c r="F2315" s="5"/>
      <c r="G2315" s="5"/>
      <c r="H2315" s="5"/>
      <c r="I2315" s="5"/>
      <c r="J2315" s="5"/>
      <c r="K2315" s="5"/>
      <c r="L2315" s="5"/>
      <c r="M2315" s="5"/>
      <c r="N2315" s="5"/>
      <c r="O2315" s="5"/>
      <c r="P2315" s="5"/>
      <c r="Q2315" s="5"/>
      <c r="R2315" s="5"/>
      <c r="S2315" s="5"/>
      <c r="T2315" s="5"/>
      <c r="U2315" s="5"/>
      <c r="V2315" s="5"/>
      <c r="W2315" s="5"/>
      <c r="X2315" s="5"/>
      <c r="Y2315" s="5"/>
      <c r="Z2315" s="5"/>
      <c r="AA2315" s="5"/>
      <c r="AB2315" s="5"/>
      <c r="AC2315" s="5"/>
      <c r="AD2315" s="5"/>
      <c r="AE2315" s="5"/>
      <c r="AF2315" s="5"/>
      <c r="AG2315" s="5"/>
      <c r="AH2315" s="5"/>
      <c r="AI2315" s="5"/>
      <c r="AJ2315" s="5"/>
    </row>
    <row r="2316" spans="1:36" ht="13">
      <c r="A2316" s="5"/>
      <c r="B2316" s="5"/>
      <c r="C2316" s="5"/>
      <c r="D2316" s="5"/>
      <c r="E2316" s="5"/>
      <c r="F2316" s="5"/>
      <c r="G2316" s="5"/>
      <c r="H2316" s="5"/>
      <c r="I2316" s="5"/>
      <c r="J2316" s="5"/>
      <c r="K2316" s="5"/>
      <c r="L2316" s="5"/>
      <c r="M2316" s="5"/>
      <c r="N2316" s="5"/>
      <c r="O2316" s="5"/>
      <c r="P2316" s="5"/>
      <c r="Q2316" s="5"/>
      <c r="R2316" s="5"/>
      <c r="S2316" s="5"/>
      <c r="T2316" s="5"/>
      <c r="U2316" s="5"/>
      <c r="V2316" s="5"/>
      <c r="W2316" s="5"/>
      <c r="X2316" s="5"/>
      <c r="Y2316" s="5"/>
      <c r="Z2316" s="5"/>
      <c r="AA2316" s="5"/>
      <c r="AB2316" s="5"/>
      <c r="AC2316" s="5"/>
      <c r="AD2316" s="5"/>
      <c r="AE2316" s="5"/>
      <c r="AF2316" s="5"/>
      <c r="AG2316" s="5"/>
      <c r="AH2316" s="5"/>
      <c r="AI2316" s="5"/>
      <c r="AJ2316" s="5"/>
    </row>
    <row r="2317" spans="1:36" ht="13">
      <c r="A2317" s="5"/>
      <c r="B2317" s="5"/>
      <c r="C2317" s="5"/>
      <c r="D2317" s="5"/>
      <c r="E2317" s="5"/>
      <c r="F2317" s="5"/>
      <c r="G2317" s="5"/>
      <c r="H2317" s="5"/>
      <c r="I2317" s="5"/>
      <c r="J2317" s="5"/>
      <c r="K2317" s="5"/>
      <c r="L2317" s="5"/>
      <c r="M2317" s="5"/>
      <c r="N2317" s="5"/>
      <c r="O2317" s="5"/>
      <c r="P2317" s="5"/>
      <c r="Q2317" s="5"/>
      <c r="R2317" s="5"/>
      <c r="S2317" s="5"/>
      <c r="T2317" s="5"/>
      <c r="U2317" s="5"/>
      <c r="V2317" s="5"/>
      <c r="W2317" s="5"/>
      <c r="X2317" s="5"/>
      <c r="Y2317" s="5"/>
      <c r="Z2317" s="5"/>
      <c r="AA2317" s="5"/>
      <c r="AB2317" s="5"/>
      <c r="AC2317" s="5"/>
      <c r="AD2317" s="5"/>
      <c r="AE2317" s="5"/>
      <c r="AF2317" s="5"/>
      <c r="AG2317" s="5"/>
      <c r="AH2317" s="5"/>
      <c r="AI2317" s="5"/>
      <c r="AJ2317" s="5"/>
    </row>
    <row r="2318" spans="1:36" ht="13">
      <c r="A2318" s="5"/>
      <c r="B2318" s="5"/>
      <c r="C2318" s="5"/>
      <c r="D2318" s="5"/>
      <c r="E2318" s="5"/>
      <c r="F2318" s="5"/>
      <c r="G2318" s="5"/>
      <c r="H2318" s="5"/>
      <c r="I2318" s="5"/>
      <c r="J2318" s="5"/>
      <c r="K2318" s="5"/>
      <c r="L2318" s="5"/>
      <c r="M2318" s="5"/>
      <c r="N2318" s="5"/>
      <c r="O2318" s="5"/>
      <c r="P2318" s="5"/>
      <c r="Q2318" s="5"/>
      <c r="R2318" s="5"/>
      <c r="S2318" s="5"/>
      <c r="T2318" s="5"/>
      <c r="U2318" s="5"/>
      <c r="V2318" s="5"/>
      <c r="W2318" s="5"/>
      <c r="X2318" s="5"/>
      <c r="Y2318" s="5"/>
      <c r="Z2318" s="5"/>
      <c r="AA2318" s="5"/>
      <c r="AB2318" s="5"/>
      <c r="AC2318" s="5"/>
      <c r="AD2318" s="5"/>
      <c r="AE2318" s="5"/>
      <c r="AF2318" s="5"/>
      <c r="AG2318" s="5"/>
      <c r="AH2318" s="5"/>
      <c r="AI2318" s="5"/>
      <c r="AJ2318" s="5"/>
    </row>
    <row r="2319" spans="1:36" ht="13">
      <c r="A2319" s="5"/>
      <c r="B2319" s="5"/>
      <c r="C2319" s="5"/>
      <c r="D2319" s="5"/>
      <c r="E2319" s="5"/>
      <c r="F2319" s="5"/>
      <c r="G2319" s="5"/>
      <c r="H2319" s="5"/>
      <c r="I2319" s="5"/>
      <c r="J2319" s="5"/>
      <c r="K2319" s="5"/>
      <c r="L2319" s="5"/>
      <c r="M2319" s="5"/>
      <c r="N2319" s="5"/>
      <c r="O2319" s="5"/>
      <c r="P2319" s="5"/>
      <c r="Q2319" s="5"/>
      <c r="R2319" s="5"/>
      <c r="S2319" s="5"/>
      <c r="T2319" s="5"/>
      <c r="U2319" s="5"/>
      <c r="V2319" s="5"/>
      <c r="W2319" s="5"/>
      <c r="X2319" s="5"/>
      <c r="Y2319" s="5"/>
      <c r="Z2319" s="5"/>
      <c r="AA2319" s="5"/>
      <c r="AB2319" s="5"/>
      <c r="AC2319" s="5"/>
      <c r="AD2319" s="5"/>
      <c r="AE2319" s="5"/>
      <c r="AF2319" s="5"/>
      <c r="AG2319" s="5"/>
      <c r="AH2319" s="5"/>
      <c r="AI2319" s="5"/>
      <c r="AJ2319" s="5"/>
    </row>
    <row r="2320" spans="1:36" ht="13">
      <c r="A2320" s="5"/>
      <c r="B2320" s="5"/>
      <c r="C2320" s="5"/>
      <c r="D2320" s="5"/>
      <c r="E2320" s="5"/>
      <c r="F2320" s="5"/>
      <c r="G2320" s="5"/>
      <c r="H2320" s="5"/>
      <c r="I2320" s="5"/>
      <c r="J2320" s="5"/>
      <c r="K2320" s="5"/>
      <c r="L2320" s="5"/>
      <c r="M2320" s="5"/>
      <c r="N2320" s="5"/>
      <c r="O2320" s="5"/>
      <c r="P2320" s="5"/>
      <c r="Q2320" s="5"/>
      <c r="R2320" s="5"/>
      <c r="S2320" s="5"/>
      <c r="T2320" s="5"/>
      <c r="U2320" s="5"/>
      <c r="V2320" s="5"/>
      <c r="W2320" s="5"/>
      <c r="X2320" s="5"/>
      <c r="Y2320" s="5"/>
      <c r="Z2320" s="5"/>
      <c r="AA2320" s="5"/>
      <c r="AB2320" s="5"/>
      <c r="AC2320" s="5"/>
      <c r="AD2320" s="5"/>
      <c r="AE2320" s="5"/>
      <c r="AF2320" s="5"/>
      <c r="AG2320" s="5"/>
      <c r="AH2320" s="5"/>
      <c r="AI2320" s="5"/>
      <c r="AJ2320" s="5"/>
    </row>
    <row r="2321" spans="1:36" ht="13">
      <c r="A2321" s="5"/>
      <c r="B2321" s="5"/>
      <c r="C2321" s="5"/>
      <c r="D2321" s="5"/>
      <c r="E2321" s="5"/>
      <c r="F2321" s="5"/>
      <c r="G2321" s="5"/>
      <c r="H2321" s="5"/>
      <c r="I2321" s="5"/>
      <c r="J2321" s="5"/>
      <c r="K2321" s="5"/>
      <c r="L2321" s="5"/>
      <c r="M2321" s="5"/>
      <c r="N2321" s="5"/>
      <c r="O2321" s="5"/>
      <c r="P2321" s="5"/>
      <c r="Q2321" s="5"/>
      <c r="R2321" s="5"/>
      <c r="S2321" s="5"/>
      <c r="T2321" s="5"/>
      <c r="U2321" s="5"/>
      <c r="V2321" s="5"/>
      <c r="W2321" s="5"/>
      <c r="X2321" s="5"/>
      <c r="Y2321" s="5"/>
      <c r="Z2321" s="5"/>
      <c r="AA2321" s="5"/>
      <c r="AB2321" s="5"/>
      <c r="AC2321" s="5"/>
      <c r="AD2321" s="5"/>
      <c r="AE2321" s="5"/>
      <c r="AF2321" s="5"/>
      <c r="AG2321" s="5"/>
      <c r="AH2321" s="5"/>
      <c r="AI2321" s="5"/>
      <c r="AJ2321" s="5"/>
    </row>
    <row r="2322" spans="1:36" ht="13">
      <c r="A2322" s="5"/>
      <c r="B2322" s="5"/>
      <c r="C2322" s="5"/>
      <c r="D2322" s="5"/>
      <c r="E2322" s="5"/>
      <c r="F2322" s="5"/>
      <c r="G2322" s="5"/>
      <c r="H2322" s="5"/>
      <c r="I2322" s="5"/>
      <c r="J2322" s="5"/>
      <c r="K2322" s="5"/>
      <c r="L2322" s="5"/>
      <c r="M2322" s="5"/>
      <c r="N2322" s="5"/>
      <c r="O2322" s="5"/>
      <c r="P2322" s="5"/>
      <c r="Q2322" s="5"/>
      <c r="R2322" s="5"/>
      <c r="S2322" s="5"/>
      <c r="T2322" s="5"/>
      <c r="U2322" s="5"/>
      <c r="V2322" s="5"/>
      <c r="W2322" s="5"/>
      <c r="X2322" s="5"/>
      <c r="Y2322" s="5"/>
      <c r="Z2322" s="5"/>
      <c r="AA2322" s="5"/>
      <c r="AB2322" s="5"/>
      <c r="AC2322" s="5"/>
      <c r="AD2322" s="5"/>
      <c r="AE2322" s="5"/>
      <c r="AF2322" s="5"/>
      <c r="AG2322" s="5"/>
      <c r="AH2322" s="5"/>
      <c r="AI2322" s="5"/>
      <c r="AJ2322" s="5"/>
    </row>
    <row r="2323" spans="1:36" ht="13">
      <c r="A2323" s="5"/>
      <c r="B2323" s="5"/>
      <c r="C2323" s="5"/>
      <c r="D2323" s="5"/>
      <c r="E2323" s="5"/>
      <c r="F2323" s="5"/>
      <c r="G2323" s="5"/>
      <c r="H2323" s="5"/>
      <c r="I2323" s="5"/>
      <c r="J2323" s="5"/>
      <c r="K2323" s="5"/>
      <c r="L2323" s="5"/>
      <c r="M2323" s="5"/>
      <c r="N2323" s="5"/>
      <c r="O2323" s="5"/>
      <c r="P2323" s="5"/>
      <c r="Q2323" s="5"/>
      <c r="R2323" s="5"/>
      <c r="S2323" s="5"/>
      <c r="T2323" s="5"/>
      <c r="U2323" s="5"/>
      <c r="V2323" s="5"/>
      <c r="W2323" s="5"/>
      <c r="X2323" s="5"/>
      <c r="Y2323" s="5"/>
      <c r="Z2323" s="5"/>
      <c r="AA2323" s="5"/>
      <c r="AB2323" s="5"/>
      <c r="AC2323" s="5"/>
      <c r="AD2323" s="5"/>
      <c r="AE2323" s="5"/>
      <c r="AF2323" s="5"/>
      <c r="AG2323" s="5"/>
      <c r="AH2323" s="5"/>
      <c r="AI2323" s="5"/>
      <c r="AJ2323" s="5"/>
    </row>
    <row r="2324" spans="1:36" ht="13">
      <c r="A2324" s="5"/>
      <c r="B2324" s="5"/>
      <c r="C2324" s="5"/>
      <c r="D2324" s="5"/>
      <c r="E2324" s="5"/>
      <c r="F2324" s="5"/>
      <c r="G2324" s="5"/>
      <c r="H2324" s="5"/>
      <c r="I2324" s="5"/>
      <c r="J2324" s="5"/>
      <c r="K2324" s="5"/>
      <c r="L2324" s="5"/>
      <c r="M2324" s="5"/>
      <c r="N2324" s="5"/>
      <c r="O2324" s="5"/>
      <c r="P2324" s="5"/>
      <c r="Q2324" s="5"/>
      <c r="R2324" s="5"/>
      <c r="S2324" s="5"/>
      <c r="T2324" s="5"/>
      <c r="U2324" s="5"/>
      <c r="V2324" s="5"/>
      <c r="W2324" s="5"/>
      <c r="X2324" s="5"/>
      <c r="Y2324" s="5"/>
      <c r="Z2324" s="5"/>
      <c r="AA2324" s="5"/>
      <c r="AB2324" s="5"/>
      <c r="AC2324" s="5"/>
      <c r="AD2324" s="5"/>
      <c r="AE2324" s="5"/>
      <c r="AF2324" s="5"/>
      <c r="AG2324" s="5"/>
      <c r="AH2324" s="5"/>
      <c r="AI2324" s="5"/>
      <c r="AJ2324" s="5"/>
    </row>
    <row r="2325" spans="1:36" ht="13">
      <c r="A2325" s="5"/>
      <c r="B2325" s="5"/>
      <c r="C2325" s="5"/>
      <c r="D2325" s="5"/>
      <c r="E2325" s="5"/>
      <c r="F2325" s="5"/>
      <c r="G2325" s="5"/>
      <c r="H2325" s="5"/>
      <c r="I2325" s="5"/>
      <c r="J2325" s="5"/>
      <c r="K2325" s="5"/>
      <c r="L2325" s="5"/>
      <c r="M2325" s="5"/>
      <c r="N2325" s="5"/>
      <c r="O2325" s="5"/>
      <c r="P2325" s="5"/>
      <c r="Q2325" s="5"/>
      <c r="R2325" s="5"/>
      <c r="S2325" s="5"/>
      <c r="T2325" s="5"/>
      <c r="U2325" s="5"/>
      <c r="V2325" s="5"/>
      <c r="W2325" s="5"/>
      <c r="X2325" s="5"/>
      <c r="Y2325" s="5"/>
      <c r="Z2325" s="5"/>
      <c r="AA2325" s="5"/>
      <c r="AB2325" s="5"/>
      <c r="AC2325" s="5"/>
      <c r="AD2325" s="5"/>
      <c r="AE2325" s="5"/>
      <c r="AF2325" s="5"/>
      <c r="AG2325" s="5"/>
      <c r="AH2325" s="5"/>
      <c r="AI2325" s="5"/>
      <c r="AJ2325" s="5"/>
    </row>
    <row r="2326" spans="1:36" ht="13">
      <c r="A2326" s="5"/>
      <c r="B2326" s="5"/>
      <c r="C2326" s="5"/>
      <c r="D2326" s="5"/>
      <c r="E2326" s="5"/>
      <c r="F2326" s="5"/>
      <c r="G2326" s="5"/>
      <c r="H2326" s="5"/>
      <c r="I2326" s="5"/>
      <c r="J2326" s="5"/>
      <c r="K2326" s="5"/>
      <c r="L2326" s="5"/>
      <c r="M2326" s="5"/>
      <c r="N2326" s="5"/>
      <c r="O2326" s="5"/>
      <c r="P2326" s="5"/>
      <c r="Q2326" s="5"/>
      <c r="R2326" s="5"/>
      <c r="S2326" s="5"/>
      <c r="T2326" s="5"/>
      <c r="U2326" s="5"/>
      <c r="V2326" s="5"/>
      <c r="W2326" s="5"/>
      <c r="X2326" s="5"/>
      <c r="Y2326" s="5"/>
      <c r="Z2326" s="5"/>
      <c r="AA2326" s="5"/>
      <c r="AB2326" s="5"/>
      <c r="AC2326" s="5"/>
      <c r="AD2326" s="5"/>
      <c r="AE2326" s="5"/>
      <c r="AF2326" s="5"/>
      <c r="AG2326" s="5"/>
      <c r="AH2326" s="5"/>
      <c r="AI2326" s="5"/>
      <c r="AJ2326" s="5"/>
    </row>
    <row r="2327" spans="1:36" ht="13">
      <c r="A2327" s="5"/>
      <c r="B2327" s="5"/>
      <c r="C2327" s="5"/>
      <c r="D2327" s="5"/>
      <c r="E2327" s="5"/>
      <c r="F2327" s="5"/>
      <c r="G2327" s="5"/>
      <c r="H2327" s="5"/>
      <c r="I2327" s="5"/>
      <c r="J2327" s="5"/>
      <c r="K2327" s="5"/>
      <c r="L2327" s="5"/>
      <c r="M2327" s="5"/>
      <c r="N2327" s="5"/>
      <c r="O2327" s="5"/>
      <c r="P2327" s="5"/>
      <c r="Q2327" s="5"/>
      <c r="R2327" s="5"/>
      <c r="S2327" s="5"/>
      <c r="T2327" s="5"/>
      <c r="U2327" s="5"/>
      <c r="V2327" s="5"/>
      <c r="W2327" s="5"/>
      <c r="X2327" s="5"/>
      <c r="Y2327" s="5"/>
      <c r="Z2327" s="5"/>
      <c r="AA2327" s="5"/>
      <c r="AB2327" s="5"/>
      <c r="AC2327" s="5"/>
      <c r="AD2327" s="5"/>
      <c r="AE2327" s="5"/>
      <c r="AF2327" s="5"/>
      <c r="AG2327" s="5"/>
      <c r="AH2327" s="5"/>
      <c r="AI2327" s="5"/>
      <c r="AJ2327" s="5"/>
    </row>
    <row r="2328" spans="1:36" ht="13">
      <c r="A2328" s="5"/>
      <c r="B2328" s="5"/>
      <c r="C2328" s="5"/>
      <c r="D2328" s="5"/>
      <c r="E2328" s="5"/>
      <c r="F2328" s="5"/>
      <c r="G2328" s="5"/>
      <c r="H2328" s="5"/>
      <c r="I2328" s="5"/>
      <c r="J2328" s="5"/>
      <c r="K2328" s="5"/>
      <c r="L2328" s="5"/>
      <c r="M2328" s="5"/>
      <c r="N2328" s="5"/>
      <c r="O2328" s="5"/>
      <c r="P2328" s="5"/>
      <c r="Q2328" s="5"/>
      <c r="R2328" s="5"/>
      <c r="S2328" s="5"/>
      <c r="T2328" s="5"/>
      <c r="U2328" s="5"/>
      <c r="V2328" s="5"/>
      <c r="W2328" s="5"/>
      <c r="X2328" s="5"/>
      <c r="Y2328" s="5"/>
      <c r="Z2328" s="5"/>
      <c r="AA2328" s="5"/>
      <c r="AB2328" s="5"/>
      <c r="AC2328" s="5"/>
      <c r="AD2328" s="5"/>
      <c r="AE2328" s="5"/>
      <c r="AF2328" s="5"/>
      <c r="AG2328" s="5"/>
      <c r="AH2328" s="5"/>
      <c r="AI2328" s="5"/>
      <c r="AJ2328" s="5"/>
    </row>
    <row r="2329" spans="1:36" ht="13">
      <c r="A2329" s="5"/>
      <c r="B2329" s="5"/>
      <c r="C2329" s="5"/>
      <c r="D2329" s="5"/>
      <c r="E2329" s="5"/>
      <c r="F2329" s="5"/>
      <c r="G2329" s="5"/>
      <c r="H2329" s="5"/>
      <c r="I2329" s="5"/>
      <c r="J2329" s="5"/>
      <c r="K2329" s="5"/>
      <c r="L2329" s="5"/>
      <c r="M2329" s="5"/>
      <c r="N2329" s="5"/>
      <c r="O2329" s="5"/>
      <c r="P2329" s="5"/>
      <c r="Q2329" s="5"/>
      <c r="R2329" s="5"/>
      <c r="S2329" s="5"/>
      <c r="T2329" s="5"/>
      <c r="U2329" s="5"/>
      <c r="V2329" s="5"/>
      <c r="W2329" s="5"/>
      <c r="X2329" s="5"/>
      <c r="Y2329" s="5"/>
      <c r="Z2329" s="5"/>
      <c r="AA2329" s="5"/>
      <c r="AB2329" s="5"/>
      <c r="AC2329" s="5"/>
      <c r="AD2329" s="5"/>
      <c r="AE2329" s="5"/>
      <c r="AF2329" s="5"/>
      <c r="AG2329" s="5"/>
      <c r="AH2329" s="5"/>
      <c r="AI2329" s="5"/>
      <c r="AJ2329" s="5"/>
    </row>
    <row r="2330" spans="1:36" ht="13">
      <c r="A2330" s="5"/>
      <c r="B2330" s="5"/>
      <c r="C2330" s="5"/>
      <c r="D2330" s="5"/>
      <c r="E2330" s="5"/>
      <c r="F2330" s="5"/>
      <c r="G2330" s="5"/>
      <c r="H2330" s="5"/>
      <c r="I2330" s="5"/>
      <c r="J2330" s="5"/>
      <c r="K2330" s="5"/>
      <c r="L2330" s="5"/>
      <c r="M2330" s="5"/>
      <c r="N2330" s="5"/>
      <c r="O2330" s="5"/>
      <c r="P2330" s="5"/>
      <c r="Q2330" s="5"/>
      <c r="R2330" s="5"/>
      <c r="S2330" s="5"/>
      <c r="T2330" s="5"/>
      <c r="U2330" s="5"/>
      <c r="V2330" s="5"/>
      <c r="W2330" s="5"/>
      <c r="X2330" s="5"/>
      <c r="Y2330" s="5"/>
      <c r="Z2330" s="5"/>
      <c r="AA2330" s="5"/>
      <c r="AB2330" s="5"/>
      <c r="AC2330" s="5"/>
      <c r="AD2330" s="5"/>
      <c r="AE2330" s="5"/>
      <c r="AF2330" s="5"/>
      <c r="AG2330" s="5"/>
      <c r="AH2330" s="5"/>
      <c r="AI2330" s="5"/>
      <c r="AJ2330" s="5"/>
    </row>
    <row r="2331" spans="1:36" ht="13">
      <c r="A2331" s="5"/>
      <c r="B2331" s="5"/>
      <c r="C2331" s="5"/>
      <c r="D2331" s="5"/>
      <c r="E2331" s="5"/>
      <c r="F2331" s="5"/>
      <c r="G2331" s="5"/>
      <c r="H2331" s="5"/>
      <c r="I2331" s="5"/>
      <c r="J2331" s="5"/>
      <c r="K2331" s="5"/>
      <c r="L2331" s="5"/>
      <c r="M2331" s="5"/>
      <c r="N2331" s="5"/>
      <c r="O2331" s="5"/>
      <c r="P2331" s="5"/>
      <c r="Q2331" s="5"/>
      <c r="R2331" s="5"/>
      <c r="S2331" s="5"/>
      <c r="T2331" s="5"/>
      <c r="U2331" s="5"/>
      <c r="V2331" s="5"/>
      <c r="W2331" s="5"/>
      <c r="X2331" s="5"/>
      <c r="Y2331" s="5"/>
      <c r="Z2331" s="5"/>
      <c r="AA2331" s="5"/>
      <c r="AB2331" s="5"/>
      <c r="AC2331" s="5"/>
      <c r="AD2331" s="5"/>
      <c r="AE2331" s="5"/>
      <c r="AF2331" s="5"/>
      <c r="AG2331" s="5"/>
      <c r="AH2331" s="5"/>
      <c r="AI2331" s="5"/>
      <c r="AJ2331" s="5"/>
    </row>
    <row r="2332" spans="1:36" ht="13">
      <c r="A2332" s="5"/>
      <c r="B2332" s="5"/>
      <c r="C2332" s="5"/>
      <c r="D2332" s="5"/>
      <c r="E2332" s="5"/>
      <c r="F2332" s="5"/>
      <c r="G2332" s="5"/>
      <c r="H2332" s="5"/>
      <c r="I2332" s="5"/>
      <c r="J2332" s="5"/>
      <c r="K2332" s="5"/>
      <c r="L2332" s="5"/>
      <c r="M2332" s="5"/>
      <c r="N2332" s="5"/>
      <c r="O2332" s="5"/>
      <c r="P2332" s="5"/>
      <c r="Q2332" s="5"/>
      <c r="R2332" s="5"/>
      <c r="S2332" s="5"/>
      <c r="T2332" s="5"/>
      <c r="U2332" s="5"/>
      <c r="V2332" s="5"/>
      <c r="W2332" s="5"/>
      <c r="X2332" s="5"/>
      <c r="Y2332" s="5"/>
      <c r="Z2332" s="5"/>
      <c r="AA2332" s="5"/>
      <c r="AB2332" s="5"/>
      <c r="AC2332" s="5"/>
      <c r="AD2332" s="5"/>
      <c r="AE2332" s="5"/>
      <c r="AF2332" s="5"/>
      <c r="AG2332" s="5"/>
      <c r="AH2332" s="5"/>
      <c r="AI2332" s="5"/>
      <c r="AJ2332" s="5"/>
    </row>
    <row r="2333" spans="1:36" ht="13">
      <c r="A2333" s="5"/>
      <c r="B2333" s="5"/>
      <c r="C2333" s="5"/>
      <c r="D2333" s="5"/>
      <c r="E2333" s="5"/>
      <c r="F2333" s="5"/>
      <c r="G2333" s="5"/>
      <c r="H2333" s="5"/>
      <c r="I2333" s="5"/>
      <c r="J2333" s="5"/>
      <c r="K2333" s="5"/>
      <c r="L2333" s="5"/>
      <c r="M2333" s="5"/>
      <c r="N2333" s="5"/>
      <c r="O2333" s="5"/>
      <c r="P2333" s="5"/>
      <c r="Q2333" s="5"/>
      <c r="R2333" s="5"/>
      <c r="S2333" s="5"/>
      <c r="T2333" s="5"/>
      <c r="U2333" s="5"/>
      <c r="V2333" s="5"/>
      <c r="W2333" s="5"/>
      <c r="X2333" s="5"/>
      <c r="Y2333" s="5"/>
      <c r="Z2333" s="5"/>
      <c r="AA2333" s="5"/>
      <c r="AB2333" s="5"/>
      <c r="AC2333" s="5"/>
      <c r="AD2333" s="5"/>
      <c r="AE2333" s="5"/>
      <c r="AF2333" s="5"/>
      <c r="AG2333" s="5"/>
      <c r="AH2333" s="5"/>
      <c r="AI2333" s="5"/>
      <c r="AJ2333" s="5"/>
    </row>
    <row r="2334" spans="1:36" ht="13">
      <c r="A2334" s="5"/>
      <c r="B2334" s="5"/>
      <c r="C2334" s="5"/>
      <c r="D2334" s="5"/>
      <c r="E2334" s="5"/>
      <c r="F2334" s="5"/>
      <c r="G2334" s="5"/>
      <c r="H2334" s="5"/>
      <c r="I2334" s="5"/>
      <c r="J2334" s="5"/>
      <c r="K2334" s="5"/>
      <c r="L2334" s="5"/>
      <c r="M2334" s="5"/>
      <c r="N2334" s="5"/>
      <c r="O2334" s="5"/>
      <c r="P2334" s="5"/>
      <c r="Q2334" s="5"/>
      <c r="R2334" s="5"/>
      <c r="S2334" s="5"/>
      <c r="T2334" s="5"/>
      <c r="U2334" s="5"/>
      <c r="V2334" s="5"/>
      <c r="W2334" s="5"/>
      <c r="X2334" s="5"/>
      <c r="Y2334" s="5"/>
      <c r="Z2334" s="5"/>
      <c r="AA2334" s="5"/>
      <c r="AB2334" s="5"/>
      <c r="AC2334" s="5"/>
      <c r="AD2334" s="5"/>
      <c r="AE2334" s="5"/>
      <c r="AF2334" s="5"/>
      <c r="AG2334" s="5"/>
      <c r="AH2334" s="5"/>
      <c r="AI2334" s="5"/>
      <c r="AJ2334" s="5"/>
    </row>
    <row r="2335" spans="1:36" ht="13">
      <c r="A2335" s="5"/>
      <c r="B2335" s="5"/>
      <c r="C2335" s="5"/>
      <c r="D2335" s="5"/>
      <c r="E2335" s="5"/>
      <c r="F2335" s="5"/>
      <c r="G2335" s="5"/>
      <c r="H2335" s="5"/>
      <c r="I2335" s="5"/>
      <c r="J2335" s="5"/>
      <c r="K2335" s="5"/>
      <c r="L2335" s="5"/>
      <c r="M2335" s="5"/>
      <c r="N2335" s="5"/>
      <c r="O2335" s="5"/>
      <c r="P2335" s="5"/>
      <c r="Q2335" s="5"/>
      <c r="R2335" s="5"/>
      <c r="S2335" s="5"/>
      <c r="T2335" s="5"/>
      <c r="U2335" s="5"/>
      <c r="V2335" s="5"/>
      <c r="W2335" s="5"/>
      <c r="X2335" s="5"/>
      <c r="Y2335" s="5"/>
      <c r="Z2335" s="5"/>
      <c r="AA2335" s="5"/>
      <c r="AB2335" s="5"/>
      <c r="AC2335" s="5"/>
      <c r="AD2335" s="5"/>
      <c r="AE2335" s="5"/>
      <c r="AF2335" s="5"/>
      <c r="AG2335" s="5"/>
      <c r="AH2335" s="5"/>
      <c r="AI2335" s="5"/>
      <c r="AJ2335" s="5"/>
    </row>
    <row r="2336" spans="1:36" ht="13">
      <c r="A2336" s="5"/>
      <c r="B2336" s="5"/>
      <c r="C2336" s="5"/>
      <c r="D2336" s="5"/>
      <c r="E2336" s="5"/>
      <c r="F2336" s="5"/>
      <c r="G2336" s="5"/>
      <c r="H2336" s="5"/>
      <c r="I2336" s="5"/>
      <c r="J2336" s="5"/>
      <c r="K2336" s="5"/>
      <c r="L2336" s="5"/>
      <c r="M2336" s="5"/>
      <c r="N2336" s="5"/>
      <c r="O2336" s="5"/>
      <c r="P2336" s="5"/>
      <c r="Q2336" s="5"/>
      <c r="R2336" s="5"/>
      <c r="S2336" s="5"/>
      <c r="T2336" s="5"/>
      <c r="U2336" s="5"/>
      <c r="V2336" s="5"/>
      <c r="W2336" s="5"/>
      <c r="X2336" s="5"/>
      <c r="Y2336" s="5"/>
      <c r="Z2336" s="5"/>
      <c r="AA2336" s="5"/>
      <c r="AB2336" s="5"/>
      <c r="AC2336" s="5"/>
      <c r="AD2336" s="5"/>
      <c r="AE2336" s="5"/>
      <c r="AF2336" s="5"/>
      <c r="AG2336" s="5"/>
      <c r="AH2336" s="5"/>
      <c r="AI2336" s="5"/>
      <c r="AJ2336" s="5"/>
    </row>
    <row r="2337" spans="1:36" ht="13">
      <c r="A2337" s="5"/>
      <c r="B2337" s="5"/>
      <c r="C2337" s="5"/>
      <c r="D2337" s="5"/>
      <c r="E2337" s="5"/>
      <c r="F2337" s="5"/>
      <c r="G2337" s="5"/>
      <c r="H2337" s="5"/>
      <c r="I2337" s="5"/>
      <c r="J2337" s="5"/>
      <c r="K2337" s="5"/>
      <c r="L2337" s="5"/>
      <c r="M2337" s="5"/>
      <c r="N2337" s="5"/>
      <c r="O2337" s="5"/>
      <c r="P2337" s="5"/>
      <c r="Q2337" s="5"/>
      <c r="R2337" s="5"/>
      <c r="S2337" s="5"/>
      <c r="T2337" s="5"/>
      <c r="U2337" s="5"/>
      <c r="V2337" s="5"/>
      <c r="W2337" s="5"/>
      <c r="X2337" s="5"/>
      <c r="Y2337" s="5"/>
      <c r="Z2337" s="5"/>
      <c r="AA2337" s="5"/>
      <c r="AB2337" s="5"/>
      <c r="AC2337" s="5"/>
      <c r="AD2337" s="5"/>
      <c r="AE2337" s="5"/>
      <c r="AF2337" s="5"/>
      <c r="AG2337" s="5"/>
      <c r="AH2337" s="5"/>
      <c r="AI2337" s="5"/>
      <c r="AJ2337" s="5"/>
    </row>
    <row r="2338" spans="1:36" ht="13">
      <c r="A2338" s="5"/>
      <c r="B2338" s="5"/>
      <c r="C2338" s="5"/>
      <c r="D2338" s="5"/>
      <c r="E2338" s="5"/>
      <c r="F2338" s="5"/>
      <c r="G2338" s="5"/>
      <c r="H2338" s="5"/>
      <c r="I2338" s="5"/>
      <c r="J2338" s="5"/>
      <c r="K2338" s="5"/>
      <c r="L2338" s="5"/>
      <c r="M2338" s="5"/>
      <c r="N2338" s="5"/>
      <c r="O2338" s="5"/>
      <c r="P2338" s="5"/>
      <c r="Q2338" s="5"/>
      <c r="R2338" s="5"/>
      <c r="S2338" s="5"/>
      <c r="T2338" s="5"/>
      <c r="U2338" s="5"/>
      <c r="V2338" s="5"/>
      <c r="W2338" s="5"/>
      <c r="X2338" s="5"/>
      <c r="Y2338" s="5"/>
      <c r="Z2338" s="5"/>
      <c r="AA2338" s="5"/>
      <c r="AB2338" s="5"/>
      <c r="AC2338" s="5"/>
      <c r="AD2338" s="5"/>
      <c r="AE2338" s="5"/>
      <c r="AF2338" s="5"/>
      <c r="AG2338" s="5"/>
      <c r="AH2338" s="5"/>
      <c r="AI2338" s="5"/>
      <c r="AJ2338" s="5"/>
    </row>
    <row r="2339" spans="1:36" ht="13">
      <c r="A2339" s="5"/>
      <c r="B2339" s="5"/>
      <c r="C2339" s="5"/>
      <c r="D2339" s="5"/>
      <c r="E2339" s="5"/>
      <c r="F2339" s="5"/>
      <c r="G2339" s="5"/>
      <c r="H2339" s="5"/>
      <c r="I2339" s="5"/>
      <c r="J2339" s="5"/>
      <c r="K2339" s="5"/>
      <c r="L2339" s="5"/>
      <c r="M2339" s="5"/>
      <c r="N2339" s="5"/>
      <c r="O2339" s="5"/>
      <c r="P2339" s="5"/>
      <c r="Q2339" s="5"/>
      <c r="R2339" s="5"/>
      <c r="S2339" s="5"/>
      <c r="T2339" s="5"/>
      <c r="U2339" s="5"/>
      <c r="V2339" s="5"/>
      <c r="W2339" s="5"/>
      <c r="X2339" s="5"/>
      <c r="Y2339" s="5"/>
      <c r="Z2339" s="5"/>
      <c r="AA2339" s="5"/>
      <c r="AB2339" s="5"/>
      <c r="AC2339" s="5"/>
      <c r="AD2339" s="5"/>
      <c r="AE2339" s="5"/>
      <c r="AF2339" s="5"/>
      <c r="AG2339" s="5"/>
      <c r="AH2339" s="5"/>
      <c r="AI2339" s="5"/>
      <c r="AJ2339" s="5"/>
    </row>
    <row r="2340" spans="1:36" ht="13">
      <c r="A2340" s="5"/>
      <c r="B2340" s="5"/>
      <c r="C2340" s="5"/>
      <c r="D2340" s="5"/>
      <c r="E2340" s="5"/>
      <c r="F2340" s="5"/>
      <c r="G2340" s="5"/>
      <c r="H2340" s="5"/>
      <c r="I2340" s="5"/>
      <c r="J2340" s="5"/>
      <c r="K2340" s="5"/>
      <c r="L2340" s="5"/>
      <c r="M2340" s="5"/>
      <c r="N2340" s="5"/>
      <c r="O2340" s="5"/>
      <c r="P2340" s="5"/>
      <c r="Q2340" s="5"/>
      <c r="R2340" s="5"/>
      <c r="S2340" s="5"/>
      <c r="T2340" s="5"/>
      <c r="U2340" s="5"/>
      <c r="V2340" s="5"/>
      <c r="W2340" s="5"/>
      <c r="X2340" s="5"/>
      <c r="Y2340" s="5"/>
      <c r="Z2340" s="5"/>
      <c r="AA2340" s="5"/>
      <c r="AB2340" s="5"/>
      <c r="AC2340" s="5"/>
      <c r="AD2340" s="5"/>
      <c r="AE2340" s="5"/>
      <c r="AF2340" s="5"/>
      <c r="AG2340" s="5"/>
      <c r="AH2340" s="5"/>
      <c r="AI2340" s="5"/>
      <c r="AJ2340" s="5"/>
    </row>
    <row r="2341" spans="1:36" ht="13">
      <c r="A2341" s="5"/>
      <c r="B2341" s="5"/>
      <c r="C2341" s="5"/>
      <c r="D2341" s="5"/>
      <c r="E2341" s="5"/>
      <c r="F2341" s="5"/>
      <c r="G2341" s="5"/>
      <c r="H2341" s="5"/>
      <c r="I2341" s="5"/>
      <c r="J2341" s="5"/>
      <c r="K2341" s="5"/>
      <c r="L2341" s="5"/>
      <c r="M2341" s="5"/>
      <c r="N2341" s="5"/>
      <c r="O2341" s="5"/>
      <c r="P2341" s="5"/>
      <c r="Q2341" s="5"/>
      <c r="R2341" s="5"/>
      <c r="S2341" s="5"/>
      <c r="T2341" s="5"/>
      <c r="U2341" s="5"/>
      <c r="V2341" s="5"/>
      <c r="W2341" s="5"/>
      <c r="X2341" s="5"/>
      <c r="Y2341" s="5"/>
      <c r="Z2341" s="5"/>
      <c r="AA2341" s="5"/>
      <c r="AB2341" s="5"/>
      <c r="AC2341" s="5"/>
      <c r="AD2341" s="5"/>
      <c r="AE2341" s="5"/>
      <c r="AF2341" s="5"/>
      <c r="AG2341" s="5"/>
      <c r="AH2341" s="5"/>
      <c r="AI2341" s="5"/>
      <c r="AJ2341" s="5"/>
    </row>
    <row r="2342" spans="1:36" ht="13">
      <c r="A2342" s="5"/>
      <c r="B2342" s="5"/>
      <c r="C2342" s="5"/>
      <c r="D2342" s="5"/>
      <c r="E2342" s="5"/>
      <c r="F2342" s="5"/>
      <c r="G2342" s="5"/>
      <c r="H2342" s="5"/>
      <c r="I2342" s="5"/>
      <c r="J2342" s="5"/>
      <c r="K2342" s="5"/>
      <c r="L2342" s="5"/>
      <c r="M2342" s="5"/>
      <c r="N2342" s="5"/>
      <c r="O2342" s="5"/>
      <c r="P2342" s="5"/>
      <c r="Q2342" s="5"/>
      <c r="R2342" s="5"/>
      <c r="S2342" s="5"/>
      <c r="T2342" s="5"/>
      <c r="U2342" s="5"/>
      <c r="V2342" s="5"/>
      <c r="W2342" s="5"/>
      <c r="X2342" s="5"/>
      <c r="Y2342" s="5"/>
      <c r="Z2342" s="5"/>
      <c r="AA2342" s="5"/>
      <c r="AB2342" s="5"/>
      <c r="AC2342" s="5"/>
      <c r="AD2342" s="5"/>
      <c r="AE2342" s="5"/>
      <c r="AF2342" s="5"/>
      <c r="AG2342" s="5"/>
      <c r="AH2342" s="5"/>
      <c r="AI2342" s="5"/>
      <c r="AJ2342" s="5"/>
    </row>
    <row r="2343" spans="1:36" ht="13">
      <c r="A2343" s="5"/>
      <c r="B2343" s="5"/>
      <c r="C2343" s="5"/>
      <c r="D2343" s="5"/>
      <c r="E2343" s="5"/>
      <c r="F2343" s="5"/>
      <c r="G2343" s="5"/>
      <c r="H2343" s="5"/>
      <c r="I2343" s="5"/>
      <c r="J2343" s="5"/>
      <c r="K2343" s="5"/>
      <c r="L2343" s="5"/>
      <c r="M2343" s="5"/>
      <c r="N2343" s="5"/>
      <c r="O2343" s="5"/>
      <c r="P2343" s="5"/>
      <c r="Q2343" s="5"/>
      <c r="R2343" s="5"/>
      <c r="S2343" s="5"/>
      <c r="T2343" s="5"/>
      <c r="U2343" s="5"/>
      <c r="V2343" s="5"/>
      <c r="W2343" s="5"/>
      <c r="X2343" s="5"/>
      <c r="Y2343" s="5"/>
      <c r="Z2343" s="5"/>
      <c r="AA2343" s="5"/>
      <c r="AB2343" s="5"/>
      <c r="AC2343" s="5"/>
      <c r="AD2343" s="5"/>
      <c r="AE2343" s="5"/>
      <c r="AF2343" s="5"/>
      <c r="AG2343" s="5"/>
      <c r="AH2343" s="5"/>
      <c r="AI2343" s="5"/>
      <c r="AJ2343" s="5"/>
    </row>
    <row r="2344" spans="1:36" ht="13">
      <c r="A2344" s="5"/>
      <c r="B2344" s="5"/>
      <c r="C2344" s="5"/>
      <c r="D2344" s="5"/>
      <c r="E2344" s="5"/>
      <c r="F2344" s="5"/>
      <c r="G2344" s="5"/>
      <c r="H2344" s="5"/>
      <c r="I2344" s="5"/>
      <c r="J2344" s="5"/>
      <c r="K2344" s="5"/>
      <c r="L2344" s="5"/>
      <c r="M2344" s="5"/>
      <c r="N2344" s="5"/>
      <c r="O2344" s="5"/>
      <c r="P2344" s="5"/>
      <c r="Q2344" s="5"/>
      <c r="R2344" s="5"/>
      <c r="S2344" s="5"/>
      <c r="T2344" s="5"/>
      <c r="U2344" s="5"/>
      <c r="V2344" s="5"/>
      <c r="W2344" s="5"/>
      <c r="X2344" s="5"/>
      <c r="Y2344" s="5"/>
      <c r="Z2344" s="5"/>
      <c r="AA2344" s="5"/>
      <c r="AB2344" s="5"/>
      <c r="AC2344" s="5"/>
      <c r="AD2344" s="5"/>
      <c r="AE2344" s="5"/>
      <c r="AF2344" s="5"/>
      <c r="AG2344" s="5"/>
      <c r="AH2344" s="5"/>
      <c r="AI2344" s="5"/>
      <c r="AJ2344" s="5"/>
    </row>
    <row r="2345" spans="1:36" ht="13">
      <c r="A2345" s="5"/>
      <c r="B2345" s="5"/>
      <c r="C2345" s="5"/>
      <c r="D2345" s="5"/>
      <c r="E2345" s="5"/>
      <c r="F2345" s="5"/>
      <c r="G2345" s="5"/>
      <c r="H2345" s="5"/>
      <c r="I2345" s="5"/>
      <c r="J2345" s="5"/>
      <c r="K2345" s="5"/>
      <c r="L2345" s="5"/>
      <c r="M2345" s="5"/>
      <c r="N2345" s="5"/>
      <c r="O2345" s="5"/>
      <c r="P2345" s="5"/>
      <c r="Q2345" s="5"/>
      <c r="R2345" s="5"/>
      <c r="S2345" s="5"/>
      <c r="T2345" s="5"/>
      <c r="U2345" s="5"/>
      <c r="V2345" s="5"/>
      <c r="W2345" s="5"/>
      <c r="X2345" s="5"/>
      <c r="Y2345" s="5"/>
      <c r="Z2345" s="5"/>
      <c r="AA2345" s="5"/>
      <c r="AB2345" s="5"/>
      <c r="AC2345" s="5"/>
      <c r="AD2345" s="5"/>
      <c r="AE2345" s="5"/>
      <c r="AF2345" s="5"/>
      <c r="AG2345" s="5"/>
      <c r="AH2345" s="5"/>
      <c r="AI2345" s="5"/>
      <c r="AJ2345" s="5"/>
    </row>
    <row r="2346" spans="1:36" ht="13">
      <c r="A2346" s="5"/>
      <c r="B2346" s="5"/>
      <c r="C2346" s="5"/>
      <c r="D2346" s="5"/>
      <c r="E2346" s="5"/>
      <c r="F2346" s="5"/>
      <c r="G2346" s="5"/>
      <c r="H2346" s="5"/>
      <c r="I2346" s="5"/>
      <c r="J2346" s="5"/>
      <c r="K2346" s="5"/>
      <c r="L2346" s="5"/>
      <c r="M2346" s="5"/>
      <c r="N2346" s="5"/>
      <c r="O2346" s="5"/>
      <c r="P2346" s="5"/>
      <c r="Q2346" s="5"/>
      <c r="R2346" s="5"/>
      <c r="S2346" s="5"/>
      <c r="T2346" s="5"/>
      <c r="U2346" s="5"/>
      <c r="V2346" s="5"/>
      <c r="W2346" s="5"/>
      <c r="X2346" s="5"/>
      <c r="Y2346" s="5"/>
      <c r="Z2346" s="5"/>
      <c r="AA2346" s="5"/>
      <c r="AB2346" s="5"/>
      <c r="AC2346" s="5"/>
      <c r="AD2346" s="5"/>
      <c r="AE2346" s="5"/>
      <c r="AF2346" s="5"/>
      <c r="AG2346" s="5"/>
      <c r="AH2346" s="5"/>
      <c r="AI2346" s="5"/>
      <c r="AJ2346" s="5"/>
    </row>
    <row r="2347" spans="1:36" ht="13">
      <c r="A2347" s="5"/>
      <c r="B2347" s="5"/>
      <c r="C2347" s="5"/>
      <c r="D2347" s="5"/>
      <c r="E2347" s="5"/>
      <c r="F2347" s="5"/>
      <c r="G2347" s="5"/>
      <c r="H2347" s="5"/>
      <c r="I2347" s="5"/>
      <c r="J2347" s="5"/>
      <c r="K2347" s="5"/>
      <c r="L2347" s="5"/>
      <c r="M2347" s="5"/>
      <c r="N2347" s="5"/>
      <c r="O2347" s="5"/>
      <c r="P2347" s="5"/>
      <c r="Q2347" s="5"/>
      <c r="R2347" s="5"/>
      <c r="S2347" s="5"/>
      <c r="T2347" s="5"/>
      <c r="U2347" s="5"/>
      <c r="V2347" s="5"/>
      <c r="W2347" s="5"/>
      <c r="X2347" s="5"/>
      <c r="Y2347" s="5"/>
      <c r="Z2347" s="5"/>
      <c r="AA2347" s="5"/>
      <c r="AB2347" s="5"/>
      <c r="AC2347" s="5"/>
      <c r="AD2347" s="5"/>
      <c r="AE2347" s="5"/>
      <c r="AF2347" s="5"/>
      <c r="AG2347" s="5"/>
      <c r="AH2347" s="5"/>
      <c r="AI2347" s="5"/>
      <c r="AJ2347" s="5"/>
    </row>
    <row r="2348" spans="1:36" ht="13">
      <c r="A2348" s="5"/>
      <c r="B2348" s="5"/>
      <c r="C2348" s="5"/>
      <c r="D2348" s="5"/>
      <c r="E2348" s="5"/>
      <c r="F2348" s="5"/>
      <c r="G2348" s="5"/>
      <c r="H2348" s="5"/>
      <c r="I2348" s="5"/>
      <c r="J2348" s="5"/>
      <c r="K2348" s="5"/>
      <c r="L2348" s="5"/>
      <c r="M2348" s="5"/>
      <c r="N2348" s="5"/>
      <c r="O2348" s="5"/>
      <c r="P2348" s="5"/>
      <c r="Q2348" s="5"/>
      <c r="R2348" s="5"/>
      <c r="S2348" s="5"/>
      <c r="T2348" s="5"/>
      <c r="U2348" s="5"/>
      <c r="V2348" s="5"/>
      <c r="W2348" s="5"/>
      <c r="X2348" s="5"/>
      <c r="Y2348" s="5"/>
      <c r="Z2348" s="5"/>
      <c r="AA2348" s="5"/>
      <c r="AB2348" s="5"/>
      <c r="AC2348" s="5"/>
      <c r="AD2348" s="5"/>
      <c r="AE2348" s="5"/>
      <c r="AF2348" s="5"/>
      <c r="AG2348" s="5"/>
      <c r="AH2348" s="5"/>
      <c r="AI2348" s="5"/>
      <c r="AJ2348" s="5"/>
    </row>
    <row r="2349" spans="1:36" ht="13">
      <c r="A2349" s="5"/>
      <c r="B2349" s="5"/>
      <c r="C2349" s="5"/>
      <c r="D2349" s="5"/>
      <c r="E2349" s="5"/>
      <c r="F2349" s="5"/>
      <c r="G2349" s="5"/>
      <c r="H2349" s="5"/>
      <c r="I2349" s="5"/>
      <c r="J2349" s="5"/>
      <c r="K2349" s="5"/>
      <c r="L2349" s="5"/>
      <c r="M2349" s="5"/>
      <c r="N2349" s="5"/>
      <c r="O2349" s="5"/>
      <c r="P2349" s="5"/>
      <c r="Q2349" s="5"/>
      <c r="R2349" s="5"/>
      <c r="S2349" s="5"/>
      <c r="T2349" s="5"/>
      <c r="U2349" s="5"/>
      <c r="V2349" s="5"/>
      <c r="W2349" s="5"/>
      <c r="X2349" s="5"/>
      <c r="Y2349" s="5"/>
      <c r="Z2349" s="5"/>
      <c r="AA2349" s="5"/>
      <c r="AB2349" s="5"/>
      <c r="AC2349" s="5"/>
      <c r="AD2349" s="5"/>
      <c r="AE2349" s="5"/>
      <c r="AF2349" s="5"/>
      <c r="AG2349" s="5"/>
      <c r="AH2349" s="5"/>
      <c r="AI2349" s="5"/>
      <c r="AJ2349" s="5"/>
    </row>
    <row r="2350" spans="1:36" ht="13">
      <c r="A2350" s="5"/>
      <c r="B2350" s="5"/>
      <c r="C2350" s="5"/>
      <c r="D2350" s="5"/>
      <c r="E2350" s="5"/>
      <c r="F2350" s="5"/>
      <c r="G2350" s="5"/>
      <c r="H2350" s="5"/>
      <c r="I2350" s="5"/>
      <c r="J2350" s="5"/>
      <c r="K2350" s="5"/>
      <c r="L2350" s="5"/>
      <c r="M2350" s="5"/>
      <c r="N2350" s="5"/>
      <c r="O2350" s="5"/>
      <c r="P2350" s="5"/>
      <c r="Q2350" s="5"/>
      <c r="R2350" s="5"/>
      <c r="S2350" s="5"/>
      <c r="T2350" s="5"/>
      <c r="U2350" s="5"/>
      <c r="V2350" s="5"/>
      <c r="W2350" s="5"/>
      <c r="X2350" s="5"/>
      <c r="Y2350" s="5"/>
      <c r="Z2350" s="5"/>
      <c r="AA2350" s="5"/>
      <c r="AB2350" s="5"/>
      <c r="AC2350" s="5"/>
      <c r="AD2350" s="5"/>
      <c r="AE2350" s="5"/>
      <c r="AF2350" s="5"/>
      <c r="AG2350" s="5"/>
      <c r="AH2350" s="5"/>
      <c r="AI2350" s="5"/>
      <c r="AJ2350" s="5"/>
    </row>
    <row r="2351" spans="1:36" ht="13">
      <c r="A2351" s="5"/>
      <c r="B2351" s="5"/>
      <c r="C2351" s="5"/>
      <c r="D2351" s="5"/>
      <c r="E2351" s="5"/>
      <c r="F2351" s="5"/>
      <c r="G2351" s="5"/>
      <c r="H2351" s="5"/>
      <c r="I2351" s="5"/>
      <c r="J2351" s="5"/>
      <c r="K2351" s="5"/>
      <c r="L2351" s="5"/>
      <c r="M2351" s="5"/>
      <c r="N2351" s="5"/>
      <c r="O2351" s="5"/>
      <c r="P2351" s="5"/>
      <c r="Q2351" s="5"/>
      <c r="R2351" s="5"/>
      <c r="S2351" s="5"/>
      <c r="T2351" s="5"/>
      <c r="U2351" s="5"/>
      <c r="V2351" s="5"/>
      <c r="W2351" s="5"/>
      <c r="X2351" s="5"/>
      <c r="Y2351" s="5"/>
      <c r="Z2351" s="5"/>
      <c r="AA2351" s="5"/>
      <c r="AB2351" s="5"/>
      <c r="AC2351" s="5"/>
      <c r="AD2351" s="5"/>
      <c r="AE2351" s="5"/>
      <c r="AF2351" s="5"/>
      <c r="AG2351" s="5"/>
      <c r="AH2351" s="5"/>
      <c r="AI2351" s="5"/>
      <c r="AJ2351" s="5"/>
    </row>
    <row r="2352" spans="1:36" ht="13">
      <c r="A2352" s="5"/>
      <c r="B2352" s="5"/>
      <c r="C2352" s="5"/>
      <c r="D2352" s="5"/>
      <c r="E2352" s="5"/>
      <c r="F2352" s="5"/>
      <c r="G2352" s="5"/>
      <c r="H2352" s="5"/>
      <c r="I2352" s="5"/>
      <c r="J2352" s="5"/>
      <c r="K2352" s="5"/>
      <c r="L2352" s="5"/>
      <c r="M2352" s="5"/>
      <c r="N2352" s="5"/>
      <c r="O2352" s="5"/>
      <c r="P2352" s="5"/>
      <c r="Q2352" s="5"/>
      <c r="R2352" s="5"/>
      <c r="S2352" s="5"/>
      <c r="T2352" s="5"/>
      <c r="U2352" s="5"/>
      <c r="V2352" s="5"/>
      <c r="W2352" s="5"/>
      <c r="X2352" s="5"/>
      <c r="Y2352" s="5"/>
      <c r="Z2352" s="5"/>
      <c r="AA2352" s="5"/>
      <c r="AB2352" s="5"/>
      <c r="AC2352" s="5"/>
      <c r="AD2352" s="5"/>
      <c r="AE2352" s="5"/>
      <c r="AF2352" s="5"/>
      <c r="AG2352" s="5"/>
      <c r="AH2352" s="5"/>
      <c r="AI2352" s="5"/>
      <c r="AJ2352" s="5"/>
    </row>
    <row r="2353" spans="1:36" ht="13">
      <c r="A2353" s="5"/>
      <c r="B2353" s="5"/>
      <c r="C2353" s="5"/>
      <c r="D2353" s="5"/>
      <c r="E2353" s="5"/>
      <c r="F2353" s="5"/>
      <c r="G2353" s="5"/>
      <c r="H2353" s="5"/>
      <c r="I2353" s="5"/>
      <c r="J2353" s="5"/>
      <c r="K2353" s="5"/>
      <c r="L2353" s="5"/>
      <c r="M2353" s="5"/>
      <c r="N2353" s="5"/>
      <c r="O2353" s="5"/>
      <c r="P2353" s="5"/>
      <c r="Q2353" s="5"/>
      <c r="R2353" s="5"/>
      <c r="S2353" s="5"/>
      <c r="T2353" s="5"/>
      <c r="U2353" s="5"/>
      <c r="V2353" s="5"/>
      <c r="W2353" s="5"/>
      <c r="X2353" s="5"/>
      <c r="Y2353" s="5"/>
      <c r="Z2353" s="5"/>
      <c r="AA2353" s="5"/>
      <c r="AB2353" s="5"/>
      <c r="AC2353" s="5"/>
      <c r="AD2353" s="5"/>
      <c r="AE2353" s="5"/>
      <c r="AF2353" s="5"/>
      <c r="AG2353" s="5"/>
      <c r="AH2353" s="5"/>
      <c r="AI2353" s="5"/>
      <c r="AJ2353" s="5"/>
    </row>
    <row r="2354" spans="1:36" ht="13">
      <c r="A2354" s="5"/>
      <c r="B2354" s="5"/>
      <c r="C2354" s="5"/>
      <c r="D2354" s="5"/>
      <c r="E2354" s="5"/>
      <c r="F2354" s="5"/>
      <c r="G2354" s="5"/>
      <c r="H2354" s="5"/>
      <c r="I2354" s="5"/>
      <c r="J2354" s="5"/>
      <c r="K2354" s="5"/>
      <c r="L2354" s="5"/>
      <c r="M2354" s="5"/>
      <c r="N2354" s="5"/>
      <c r="O2354" s="5"/>
      <c r="P2354" s="5"/>
      <c r="Q2354" s="5"/>
      <c r="R2354" s="5"/>
      <c r="S2354" s="5"/>
      <c r="T2354" s="5"/>
      <c r="U2354" s="5"/>
      <c r="V2354" s="5"/>
      <c r="W2354" s="5"/>
      <c r="X2354" s="5"/>
      <c r="Y2354" s="5"/>
      <c r="Z2354" s="5"/>
      <c r="AA2354" s="5"/>
      <c r="AB2354" s="5"/>
      <c r="AC2354" s="5"/>
      <c r="AD2354" s="5"/>
      <c r="AE2354" s="5"/>
      <c r="AF2354" s="5"/>
      <c r="AG2354" s="5"/>
      <c r="AH2354" s="5"/>
      <c r="AI2354" s="5"/>
      <c r="AJ2354" s="5"/>
    </row>
    <row r="2355" spans="1:36" ht="13">
      <c r="A2355" s="5"/>
      <c r="B2355" s="5"/>
      <c r="C2355" s="5"/>
      <c r="D2355" s="5"/>
      <c r="E2355" s="5"/>
      <c r="F2355" s="5"/>
      <c r="G2355" s="5"/>
      <c r="H2355" s="5"/>
      <c r="I2355" s="5"/>
      <c r="J2355" s="5"/>
      <c r="K2355" s="5"/>
      <c r="L2355" s="5"/>
      <c r="M2355" s="5"/>
      <c r="N2355" s="5"/>
      <c r="O2355" s="5"/>
      <c r="P2355" s="5"/>
      <c r="Q2355" s="5"/>
      <c r="R2355" s="5"/>
      <c r="S2355" s="5"/>
      <c r="T2355" s="5"/>
      <c r="U2355" s="5"/>
      <c r="V2355" s="5"/>
      <c r="W2355" s="5"/>
      <c r="X2355" s="5"/>
      <c r="Y2355" s="5"/>
      <c r="Z2355" s="5"/>
      <c r="AA2355" s="5"/>
      <c r="AB2355" s="5"/>
      <c r="AC2355" s="5"/>
      <c r="AD2355" s="5"/>
      <c r="AE2355" s="5"/>
      <c r="AF2355" s="5"/>
      <c r="AG2355" s="5"/>
      <c r="AH2355" s="5"/>
      <c r="AI2355" s="5"/>
      <c r="AJ2355" s="5"/>
    </row>
    <row r="2356" spans="1:36" ht="13">
      <c r="A2356" s="5"/>
      <c r="B2356" s="5"/>
      <c r="C2356" s="5"/>
      <c r="D2356" s="5"/>
      <c r="E2356" s="5"/>
      <c r="F2356" s="5"/>
      <c r="G2356" s="5"/>
      <c r="H2356" s="5"/>
      <c r="I2356" s="5"/>
      <c r="J2356" s="5"/>
      <c r="K2356" s="5"/>
      <c r="L2356" s="5"/>
      <c r="M2356" s="5"/>
      <c r="N2356" s="5"/>
      <c r="O2356" s="5"/>
      <c r="P2356" s="5"/>
      <c r="Q2356" s="5"/>
      <c r="R2356" s="5"/>
      <c r="S2356" s="5"/>
      <c r="T2356" s="5"/>
      <c r="U2356" s="5"/>
      <c r="V2356" s="5"/>
      <c r="W2356" s="5"/>
      <c r="X2356" s="5"/>
      <c r="Y2356" s="5"/>
      <c r="Z2356" s="5"/>
      <c r="AA2356" s="5"/>
      <c r="AB2356" s="5"/>
      <c r="AC2356" s="5"/>
      <c r="AD2356" s="5"/>
      <c r="AE2356" s="5"/>
      <c r="AF2356" s="5"/>
      <c r="AG2356" s="5"/>
      <c r="AH2356" s="5"/>
      <c r="AI2356" s="5"/>
      <c r="AJ2356" s="5"/>
    </row>
    <row r="2357" spans="1:36" ht="13">
      <c r="A2357" s="5"/>
      <c r="B2357" s="5"/>
      <c r="C2357" s="5"/>
      <c r="D2357" s="5"/>
      <c r="E2357" s="5"/>
      <c r="F2357" s="5"/>
      <c r="G2357" s="5"/>
      <c r="H2357" s="5"/>
      <c r="I2357" s="5"/>
      <c r="J2357" s="5"/>
      <c r="K2357" s="5"/>
      <c r="L2357" s="5"/>
      <c r="M2357" s="5"/>
      <c r="N2357" s="5"/>
      <c r="O2357" s="5"/>
      <c r="P2357" s="5"/>
      <c r="Q2357" s="5"/>
      <c r="R2357" s="5"/>
      <c r="S2357" s="5"/>
      <c r="T2357" s="5"/>
      <c r="U2357" s="5"/>
      <c r="V2357" s="5"/>
      <c r="W2357" s="5"/>
      <c r="X2357" s="5"/>
      <c r="Y2357" s="5"/>
      <c r="Z2357" s="5"/>
      <c r="AA2357" s="5"/>
      <c r="AB2357" s="5"/>
      <c r="AC2357" s="5"/>
      <c r="AD2357" s="5"/>
      <c r="AE2357" s="5"/>
      <c r="AF2357" s="5"/>
      <c r="AG2357" s="5"/>
      <c r="AH2357" s="5"/>
      <c r="AI2357" s="5"/>
      <c r="AJ2357" s="5"/>
    </row>
    <row r="2358" spans="1:36" ht="13">
      <c r="A2358" s="5"/>
      <c r="B2358" s="5"/>
      <c r="C2358" s="5"/>
      <c r="D2358" s="5"/>
      <c r="E2358" s="5"/>
      <c r="F2358" s="5"/>
      <c r="G2358" s="5"/>
      <c r="H2358" s="5"/>
      <c r="I2358" s="5"/>
      <c r="J2358" s="5"/>
      <c r="K2358" s="5"/>
      <c r="L2358" s="5"/>
      <c r="M2358" s="5"/>
      <c r="N2358" s="5"/>
      <c r="O2358" s="5"/>
      <c r="P2358" s="5"/>
      <c r="Q2358" s="5"/>
      <c r="R2358" s="5"/>
      <c r="S2358" s="5"/>
      <c r="T2358" s="5"/>
      <c r="U2358" s="5"/>
      <c r="V2358" s="5"/>
      <c r="W2358" s="5"/>
      <c r="X2358" s="5"/>
      <c r="Y2358" s="5"/>
      <c r="Z2358" s="5"/>
      <c r="AA2358" s="5"/>
      <c r="AB2358" s="5"/>
      <c r="AC2358" s="5"/>
      <c r="AD2358" s="5"/>
      <c r="AE2358" s="5"/>
      <c r="AF2358" s="5"/>
      <c r="AG2358" s="5"/>
      <c r="AH2358" s="5"/>
      <c r="AI2358" s="5"/>
      <c r="AJ2358" s="5"/>
    </row>
    <row r="2359" spans="1:36" ht="13">
      <c r="A2359" s="5"/>
      <c r="B2359" s="5"/>
      <c r="C2359" s="5"/>
      <c r="D2359" s="5"/>
      <c r="E2359" s="5"/>
      <c r="F2359" s="5"/>
      <c r="G2359" s="5"/>
      <c r="H2359" s="5"/>
      <c r="I2359" s="5"/>
      <c r="J2359" s="5"/>
      <c r="K2359" s="5"/>
      <c r="L2359" s="5"/>
      <c r="M2359" s="5"/>
      <c r="N2359" s="5"/>
      <c r="O2359" s="5"/>
      <c r="P2359" s="5"/>
      <c r="Q2359" s="5"/>
      <c r="R2359" s="5"/>
      <c r="S2359" s="5"/>
      <c r="T2359" s="5"/>
      <c r="U2359" s="5"/>
      <c r="V2359" s="5"/>
      <c r="W2359" s="5"/>
      <c r="X2359" s="5"/>
      <c r="Y2359" s="5"/>
      <c r="Z2359" s="5"/>
      <c r="AA2359" s="5"/>
      <c r="AB2359" s="5"/>
      <c r="AC2359" s="5"/>
      <c r="AD2359" s="5"/>
      <c r="AE2359" s="5"/>
      <c r="AF2359" s="5"/>
      <c r="AG2359" s="5"/>
      <c r="AH2359" s="5"/>
      <c r="AI2359" s="5"/>
      <c r="AJ2359" s="5"/>
    </row>
    <row r="2360" spans="1:36" ht="13">
      <c r="A2360" s="5"/>
      <c r="B2360" s="5"/>
      <c r="C2360" s="5"/>
      <c r="D2360" s="5"/>
      <c r="E2360" s="5"/>
      <c r="F2360" s="5"/>
      <c r="G2360" s="5"/>
      <c r="H2360" s="5"/>
      <c r="I2360" s="5"/>
      <c r="J2360" s="5"/>
      <c r="K2360" s="5"/>
      <c r="L2360" s="5"/>
      <c r="M2360" s="5"/>
      <c r="N2360" s="5"/>
      <c r="O2360" s="5"/>
      <c r="P2360" s="5"/>
      <c r="Q2360" s="5"/>
      <c r="R2360" s="5"/>
      <c r="S2360" s="5"/>
      <c r="T2360" s="5"/>
      <c r="U2360" s="5"/>
      <c r="V2360" s="5"/>
      <c r="W2360" s="5"/>
      <c r="X2360" s="5"/>
      <c r="Y2360" s="5"/>
      <c r="Z2360" s="5"/>
      <c r="AA2360" s="5"/>
      <c r="AB2360" s="5"/>
      <c r="AC2360" s="5"/>
      <c r="AD2360" s="5"/>
      <c r="AE2360" s="5"/>
      <c r="AF2360" s="5"/>
      <c r="AG2360" s="5"/>
      <c r="AH2360" s="5"/>
      <c r="AI2360" s="5"/>
      <c r="AJ2360" s="5"/>
    </row>
    <row r="2361" spans="1:36" ht="13">
      <c r="A2361" s="5"/>
      <c r="B2361" s="5"/>
      <c r="C2361" s="5"/>
      <c r="D2361" s="5"/>
      <c r="E2361" s="5"/>
      <c r="F2361" s="5"/>
      <c r="G2361" s="5"/>
      <c r="H2361" s="5"/>
      <c r="I2361" s="5"/>
      <c r="J2361" s="5"/>
      <c r="K2361" s="5"/>
      <c r="L2361" s="5"/>
      <c r="M2361" s="5"/>
      <c r="N2361" s="5"/>
      <c r="O2361" s="5"/>
      <c r="P2361" s="5"/>
      <c r="Q2361" s="5"/>
      <c r="R2361" s="5"/>
      <c r="S2361" s="5"/>
      <c r="T2361" s="5"/>
      <c r="U2361" s="5"/>
      <c r="V2361" s="5"/>
      <c r="W2361" s="5"/>
      <c r="X2361" s="5"/>
      <c r="Y2361" s="5"/>
      <c r="Z2361" s="5"/>
      <c r="AA2361" s="5"/>
      <c r="AB2361" s="5"/>
      <c r="AC2361" s="5"/>
      <c r="AD2361" s="5"/>
      <c r="AE2361" s="5"/>
      <c r="AF2361" s="5"/>
      <c r="AG2361" s="5"/>
      <c r="AH2361" s="5"/>
      <c r="AI2361" s="5"/>
      <c r="AJ2361" s="5"/>
    </row>
    <row r="2362" spans="1:36" ht="13">
      <c r="A2362" s="5"/>
      <c r="B2362" s="5"/>
      <c r="C2362" s="5"/>
      <c r="D2362" s="5"/>
      <c r="E2362" s="5"/>
      <c r="F2362" s="5"/>
      <c r="G2362" s="5"/>
      <c r="H2362" s="5"/>
      <c r="I2362" s="5"/>
      <c r="J2362" s="5"/>
      <c r="K2362" s="5"/>
      <c r="L2362" s="5"/>
      <c r="M2362" s="5"/>
      <c r="N2362" s="5"/>
      <c r="O2362" s="5"/>
      <c r="P2362" s="5"/>
      <c r="Q2362" s="5"/>
      <c r="R2362" s="5"/>
      <c r="S2362" s="5"/>
      <c r="T2362" s="5"/>
      <c r="U2362" s="5"/>
      <c r="V2362" s="5"/>
      <c r="W2362" s="5"/>
      <c r="X2362" s="5"/>
      <c r="Y2362" s="5"/>
      <c r="Z2362" s="5"/>
      <c r="AA2362" s="5"/>
      <c r="AB2362" s="5"/>
      <c r="AC2362" s="5"/>
      <c r="AD2362" s="5"/>
      <c r="AE2362" s="5"/>
      <c r="AF2362" s="5"/>
      <c r="AG2362" s="5"/>
      <c r="AH2362" s="5"/>
      <c r="AI2362" s="5"/>
      <c r="AJ2362" s="5"/>
    </row>
    <row r="2363" spans="1:36" ht="13">
      <c r="A2363" s="5"/>
      <c r="B2363" s="5"/>
      <c r="C2363" s="5"/>
      <c r="D2363" s="5"/>
      <c r="E2363" s="5"/>
      <c r="F2363" s="5"/>
      <c r="G2363" s="5"/>
      <c r="H2363" s="5"/>
      <c r="I2363" s="5"/>
      <c r="J2363" s="5"/>
      <c r="K2363" s="5"/>
      <c r="L2363" s="5"/>
      <c r="M2363" s="5"/>
      <c r="N2363" s="5"/>
      <c r="O2363" s="5"/>
      <c r="P2363" s="5"/>
      <c r="Q2363" s="5"/>
      <c r="R2363" s="5"/>
      <c r="S2363" s="5"/>
      <c r="T2363" s="5"/>
      <c r="U2363" s="5"/>
      <c r="V2363" s="5"/>
      <c r="W2363" s="5"/>
      <c r="X2363" s="5"/>
      <c r="Y2363" s="5"/>
      <c r="Z2363" s="5"/>
      <c r="AA2363" s="5"/>
      <c r="AB2363" s="5"/>
      <c r="AC2363" s="5"/>
      <c r="AD2363" s="5"/>
      <c r="AE2363" s="5"/>
      <c r="AF2363" s="5"/>
      <c r="AG2363" s="5"/>
      <c r="AH2363" s="5"/>
      <c r="AI2363" s="5"/>
      <c r="AJ2363" s="5"/>
    </row>
    <row r="2364" spans="1:36" ht="13">
      <c r="A2364" s="5"/>
      <c r="B2364" s="5"/>
      <c r="C2364" s="5"/>
      <c r="D2364" s="5"/>
      <c r="E2364" s="5"/>
      <c r="F2364" s="5"/>
      <c r="G2364" s="5"/>
      <c r="H2364" s="5"/>
      <c r="I2364" s="5"/>
      <c r="J2364" s="5"/>
      <c r="K2364" s="5"/>
      <c r="L2364" s="5"/>
      <c r="M2364" s="5"/>
      <c r="N2364" s="5"/>
      <c r="O2364" s="5"/>
      <c r="P2364" s="5"/>
      <c r="Q2364" s="5"/>
      <c r="R2364" s="5"/>
      <c r="S2364" s="5"/>
      <c r="T2364" s="5"/>
      <c r="U2364" s="5"/>
      <c r="V2364" s="5"/>
      <c r="W2364" s="5"/>
      <c r="X2364" s="5"/>
      <c r="Y2364" s="5"/>
      <c r="Z2364" s="5"/>
      <c r="AA2364" s="5"/>
      <c r="AB2364" s="5"/>
      <c r="AC2364" s="5"/>
      <c r="AD2364" s="5"/>
      <c r="AE2364" s="5"/>
      <c r="AF2364" s="5"/>
      <c r="AG2364" s="5"/>
      <c r="AH2364" s="5"/>
      <c r="AI2364" s="5"/>
      <c r="AJ2364" s="5"/>
    </row>
    <row r="2365" spans="1:36" ht="13">
      <c r="A2365" s="5"/>
      <c r="B2365" s="5"/>
      <c r="C2365" s="5"/>
      <c r="D2365" s="5"/>
      <c r="E2365" s="5"/>
      <c r="F2365" s="5"/>
      <c r="G2365" s="5"/>
      <c r="H2365" s="5"/>
      <c r="I2365" s="5"/>
      <c r="J2365" s="5"/>
      <c r="K2365" s="5"/>
      <c r="L2365" s="5"/>
      <c r="M2365" s="5"/>
      <c r="N2365" s="5"/>
      <c r="O2365" s="5"/>
      <c r="P2365" s="5"/>
      <c r="Q2365" s="5"/>
      <c r="R2365" s="5"/>
      <c r="S2365" s="5"/>
      <c r="T2365" s="5"/>
      <c r="U2365" s="5"/>
      <c r="V2365" s="5"/>
      <c r="W2365" s="5"/>
      <c r="X2365" s="5"/>
      <c r="Y2365" s="5"/>
      <c r="Z2365" s="5"/>
      <c r="AA2365" s="5"/>
      <c r="AB2365" s="5"/>
      <c r="AC2365" s="5"/>
      <c r="AD2365" s="5"/>
      <c r="AE2365" s="5"/>
      <c r="AF2365" s="5"/>
      <c r="AG2365" s="5"/>
      <c r="AH2365" s="5"/>
      <c r="AI2365" s="5"/>
      <c r="AJ2365" s="5"/>
    </row>
    <row r="2366" spans="1:36" ht="13">
      <c r="A2366" s="5"/>
      <c r="B2366" s="5"/>
      <c r="C2366" s="5"/>
      <c r="D2366" s="5"/>
      <c r="E2366" s="5"/>
      <c r="F2366" s="5"/>
      <c r="G2366" s="5"/>
      <c r="H2366" s="5"/>
      <c r="I2366" s="5"/>
      <c r="J2366" s="5"/>
      <c r="K2366" s="5"/>
      <c r="L2366" s="5"/>
      <c r="M2366" s="5"/>
      <c r="N2366" s="5"/>
      <c r="O2366" s="5"/>
      <c r="P2366" s="5"/>
      <c r="Q2366" s="5"/>
      <c r="R2366" s="5"/>
      <c r="S2366" s="5"/>
      <c r="T2366" s="5"/>
      <c r="U2366" s="5"/>
      <c r="V2366" s="5"/>
      <c r="W2366" s="5"/>
      <c r="X2366" s="5"/>
      <c r="Y2366" s="5"/>
      <c r="Z2366" s="5"/>
      <c r="AA2366" s="5"/>
      <c r="AB2366" s="5"/>
      <c r="AC2366" s="5"/>
      <c r="AD2366" s="5"/>
      <c r="AE2366" s="5"/>
      <c r="AF2366" s="5"/>
      <c r="AG2366" s="5"/>
      <c r="AH2366" s="5"/>
      <c r="AI2366" s="5"/>
      <c r="AJ2366" s="5"/>
    </row>
    <row r="2367" spans="1:36" ht="13">
      <c r="A2367" s="5"/>
      <c r="B2367" s="5"/>
      <c r="C2367" s="5"/>
      <c r="D2367" s="5"/>
      <c r="E2367" s="5"/>
      <c r="F2367" s="5"/>
      <c r="G2367" s="5"/>
      <c r="H2367" s="5"/>
      <c r="I2367" s="5"/>
      <c r="J2367" s="5"/>
      <c r="K2367" s="5"/>
      <c r="L2367" s="5"/>
      <c r="M2367" s="5"/>
      <c r="N2367" s="5"/>
      <c r="O2367" s="5"/>
      <c r="P2367" s="5"/>
      <c r="Q2367" s="5"/>
      <c r="R2367" s="5"/>
      <c r="S2367" s="5"/>
      <c r="T2367" s="5"/>
      <c r="U2367" s="5"/>
      <c r="V2367" s="5"/>
      <c r="W2367" s="5"/>
      <c r="X2367" s="5"/>
      <c r="Y2367" s="5"/>
      <c r="Z2367" s="5"/>
      <c r="AA2367" s="5"/>
      <c r="AB2367" s="5"/>
      <c r="AC2367" s="5"/>
      <c r="AD2367" s="5"/>
      <c r="AE2367" s="5"/>
      <c r="AF2367" s="5"/>
      <c r="AG2367" s="5"/>
      <c r="AH2367" s="5"/>
      <c r="AI2367" s="5"/>
      <c r="AJ2367" s="5"/>
    </row>
    <row r="2368" spans="1:36" ht="13">
      <c r="A2368" s="5"/>
      <c r="B2368" s="5"/>
      <c r="C2368" s="5"/>
      <c r="D2368" s="5"/>
      <c r="E2368" s="5"/>
      <c r="F2368" s="5"/>
      <c r="G2368" s="5"/>
      <c r="H2368" s="5"/>
      <c r="I2368" s="5"/>
      <c r="J2368" s="5"/>
      <c r="K2368" s="5"/>
      <c r="L2368" s="5"/>
      <c r="M2368" s="5"/>
      <c r="N2368" s="5"/>
      <c r="O2368" s="5"/>
      <c r="P2368" s="5"/>
      <c r="Q2368" s="5"/>
      <c r="R2368" s="5"/>
      <c r="S2368" s="5"/>
      <c r="T2368" s="5"/>
      <c r="U2368" s="5"/>
      <c r="V2368" s="5"/>
      <c r="W2368" s="5"/>
      <c r="X2368" s="5"/>
      <c r="Y2368" s="5"/>
      <c r="Z2368" s="5"/>
      <c r="AA2368" s="5"/>
      <c r="AB2368" s="5"/>
      <c r="AC2368" s="5"/>
      <c r="AD2368" s="5"/>
      <c r="AE2368" s="5"/>
      <c r="AF2368" s="5"/>
      <c r="AG2368" s="5"/>
      <c r="AH2368" s="5"/>
      <c r="AI2368" s="5"/>
      <c r="AJ2368" s="5"/>
    </row>
    <row r="2369" spans="1:36" ht="13">
      <c r="A2369" s="5"/>
      <c r="B2369" s="5"/>
      <c r="C2369" s="5"/>
      <c r="D2369" s="5"/>
      <c r="E2369" s="5"/>
      <c r="F2369" s="5"/>
      <c r="G2369" s="5"/>
      <c r="H2369" s="5"/>
      <c r="I2369" s="5"/>
      <c r="J2369" s="5"/>
      <c r="K2369" s="5"/>
      <c r="L2369" s="5"/>
      <c r="M2369" s="5"/>
      <c r="N2369" s="5"/>
      <c r="O2369" s="5"/>
      <c r="P2369" s="5"/>
      <c r="Q2369" s="5"/>
      <c r="R2369" s="5"/>
      <c r="S2369" s="5"/>
      <c r="T2369" s="5"/>
      <c r="U2369" s="5"/>
      <c r="V2369" s="5"/>
      <c r="W2369" s="5"/>
      <c r="X2369" s="5"/>
      <c r="Y2369" s="5"/>
      <c r="Z2369" s="5"/>
      <c r="AA2369" s="5"/>
      <c r="AB2369" s="5"/>
      <c r="AC2369" s="5"/>
      <c r="AD2369" s="5"/>
      <c r="AE2369" s="5"/>
      <c r="AF2369" s="5"/>
      <c r="AG2369" s="5"/>
      <c r="AH2369" s="5"/>
      <c r="AI2369" s="5"/>
      <c r="AJ2369" s="5"/>
    </row>
    <row r="2370" spans="1:36" ht="13">
      <c r="A2370" s="5"/>
      <c r="B2370" s="5"/>
      <c r="C2370" s="5"/>
      <c r="D2370" s="5"/>
      <c r="E2370" s="5"/>
      <c r="F2370" s="5"/>
      <c r="G2370" s="5"/>
      <c r="H2370" s="5"/>
      <c r="I2370" s="5"/>
      <c r="J2370" s="5"/>
      <c r="K2370" s="5"/>
      <c r="L2370" s="5"/>
      <c r="M2370" s="5"/>
      <c r="N2370" s="5"/>
      <c r="O2370" s="5"/>
      <c r="P2370" s="5"/>
      <c r="Q2370" s="5"/>
      <c r="R2370" s="5"/>
      <c r="S2370" s="5"/>
      <c r="T2370" s="5"/>
      <c r="U2370" s="5"/>
      <c r="V2370" s="5"/>
      <c r="W2370" s="5"/>
      <c r="X2370" s="5"/>
      <c r="Y2370" s="5"/>
      <c r="Z2370" s="5"/>
      <c r="AA2370" s="5"/>
      <c r="AB2370" s="5"/>
      <c r="AC2370" s="5"/>
      <c r="AD2370" s="5"/>
      <c r="AE2370" s="5"/>
      <c r="AF2370" s="5"/>
      <c r="AG2370" s="5"/>
      <c r="AH2370" s="5"/>
      <c r="AI2370" s="5"/>
      <c r="AJ2370" s="5"/>
    </row>
    <row r="2371" spans="1:36" ht="13">
      <c r="A2371" s="5"/>
      <c r="B2371" s="5"/>
      <c r="C2371" s="5"/>
      <c r="D2371" s="5"/>
      <c r="E2371" s="5"/>
      <c r="F2371" s="5"/>
      <c r="G2371" s="5"/>
      <c r="H2371" s="5"/>
      <c r="I2371" s="5"/>
      <c r="J2371" s="5"/>
      <c r="K2371" s="5"/>
      <c r="L2371" s="5"/>
      <c r="M2371" s="5"/>
      <c r="N2371" s="5"/>
      <c r="O2371" s="5"/>
      <c r="P2371" s="5"/>
      <c r="Q2371" s="5"/>
      <c r="R2371" s="5"/>
      <c r="S2371" s="5"/>
      <c r="T2371" s="5"/>
      <c r="U2371" s="5"/>
      <c r="V2371" s="5"/>
      <c r="W2371" s="5"/>
      <c r="X2371" s="5"/>
      <c r="Y2371" s="5"/>
      <c r="Z2371" s="5"/>
      <c r="AA2371" s="5"/>
      <c r="AB2371" s="5"/>
      <c r="AC2371" s="5"/>
      <c r="AD2371" s="5"/>
      <c r="AE2371" s="5"/>
      <c r="AF2371" s="5"/>
      <c r="AG2371" s="5"/>
      <c r="AH2371" s="5"/>
      <c r="AI2371" s="5"/>
      <c r="AJ2371" s="5"/>
    </row>
    <row r="2372" spans="1:36" ht="13">
      <c r="A2372" s="5"/>
      <c r="B2372" s="5"/>
      <c r="C2372" s="5"/>
      <c r="D2372" s="5"/>
      <c r="E2372" s="5"/>
      <c r="F2372" s="5"/>
      <c r="G2372" s="5"/>
      <c r="H2372" s="5"/>
      <c r="I2372" s="5"/>
      <c r="J2372" s="5"/>
      <c r="K2372" s="5"/>
      <c r="L2372" s="5"/>
      <c r="M2372" s="5"/>
      <c r="N2372" s="5"/>
      <c r="O2372" s="5"/>
      <c r="P2372" s="5"/>
      <c r="Q2372" s="5"/>
      <c r="R2372" s="5"/>
      <c r="S2372" s="5"/>
      <c r="T2372" s="5"/>
      <c r="U2372" s="5"/>
      <c r="V2372" s="5"/>
      <c r="W2372" s="5"/>
      <c r="X2372" s="5"/>
      <c r="Y2372" s="5"/>
      <c r="Z2372" s="5"/>
      <c r="AA2372" s="5"/>
      <c r="AB2372" s="5"/>
      <c r="AC2372" s="5"/>
      <c r="AD2372" s="5"/>
      <c r="AE2372" s="5"/>
      <c r="AF2372" s="5"/>
      <c r="AG2372" s="5"/>
      <c r="AH2372" s="5"/>
      <c r="AI2372" s="5"/>
      <c r="AJ2372" s="5"/>
    </row>
    <row r="2373" spans="1:36" ht="13">
      <c r="A2373" s="5"/>
      <c r="B2373" s="5"/>
      <c r="C2373" s="5"/>
      <c r="D2373" s="5"/>
      <c r="E2373" s="5"/>
      <c r="F2373" s="5"/>
      <c r="G2373" s="5"/>
      <c r="H2373" s="5"/>
      <c r="I2373" s="5"/>
      <c r="J2373" s="5"/>
      <c r="K2373" s="5"/>
      <c r="L2373" s="5"/>
      <c r="M2373" s="5"/>
      <c r="N2373" s="5"/>
      <c r="O2373" s="5"/>
      <c r="P2373" s="5"/>
      <c r="Q2373" s="5"/>
      <c r="R2373" s="5"/>
      <c r="S2373" s="5"/>
      <c r="T2373" s="5"/>
      <c r="U2373" s="5"/>
      <c r="V2373" s="5"/>
      <c r="W2373" s="5"/>
      <c r="X2373" s="5"/>
      <c r="Y2373" s="5"/>
      <c r="Z2373" s="5"/>
      <c r="AA2373" s="5"/>
      <c r="AB2373" s="5"/>
      <c r="AC2373" s="5"/>
      <c r="AD2373" s="5"/>
      <c r="AE2373" s="5"/>
      <c r="AF2373" s="5"/>
      <c r="AG2373" s="5"/>
      <c r="AH2373" s="5"/>
      <c r="AI2373" s="5"/>
      <c r="AJ2373" s="5"/>
    </row>
    <row r="2374" spans="1:36" ht="13">
      <c r="A2374" s="5"/>
      <c r="B2374" s="5"/>
      <c r="C2374" s="5"/>
      <c r="D2374" s="5"/>
      <c r="E2374" s="5"/>
      <c r="F2374" s="5"/>
      <c r="G2374" s="5"/>
      <c r="H2374" s="5"/>
      <c r="I2374" s="5"/>
      <c r="J2374" s="5"/>
      <c r="K2374" s="5"/>
      <c r="L2374" s="5"/>
      <c r="M2374" s="5"/>
      <c r="N2374" s="5"/>
      <c r="O2374" s="5"/>
      <c r="P2374" s="5"/>
      <c r="Q2374" s="5"/>
      <c r="R2374" s="5"/>
      <c r="S2374" s="5"/>
      <c r="T2374" s="5"/>
      <c r="U2374" s="5"/>
      <c r="V2374" s="5"/>
      <c r="W2374" s="5"/>
      <c r="X2374" s="5"/>
      <c r="Y2374" s="5"/>
      <c r="Z2374" s="5"/>
      <c r="AA2374" s="5"/>
      <c r="AB2374" s="5"/>
      <c r="AC2374" s="5"/>
      <c r="AD2374" s="5"/>
      <c r="AE2374" s="5"/>
      <c r="AF2374" s="5"/>
      <c r="AG2374" s="5"/>
      <c r="AH2374" s="5"/>
      <c r="AI2374" s="5"/>
      <c r="AJ2374" s="5"/>
    </row>
    <row r="2375" spans="1:36" ht="13">
      <c r="A2375" s="5"/>
      <c r="B2375" s="5"/>
      <c r="C2375" s="5"/>
      <c r="D2375" s="5"/>
      <c r="E2375" s="5"/>
      <c r="F2375" s="5"/>
      <c r="G2375" s="5"/>
      <c r="H2375" s="5"/>
      <c r="I2375" s="5"/>
      <c r="J2375" s="5"/>
      <c r="K2375" s="5"/>
      <c r="L2375" s="5"/>
      <c r="M2375" s="5"/>
      <c r="N2375" s="5"/>
      <c r="O2375" s="5"/>
      <c r="P2375" s="5"/>
      <c r="Q2375" s="5"/>
      <c r="R2375" s="5"/>
      <c r="S2375" s="5"/>
      <c r="T2375" s="5"/>
      <c r="U2375" s="5"/>
      <c r="V2375" s="5"/>
      <c r="W2375" s="5"/>
      <c r="X2375" s="5"/>
      <c r="Y2375" s="5"/>
      <c r="Z2375" s="5"/>
      <c r="AA2375" s="5"/>
      <c r="AB2375" s="5"/>
      <c r="AC2375" s="5"/>
      <c r="AD2375" s="5"/>
      <c r="AE2375" s="5"/>
      <c r="AF2375" s="5"/>
      <c r="AG2375" s="5"/>
      <c r="AH2375" s="5"/>
      <c r="AI2375" s="5"/>
      <c r="AJ2375" s="5"/>
    </row>
    <row r="2376" spans="1:36" ht="13">
      <c r="A2376" s="5"/>
      <c r="B2376" s="5"/>
      <c r="C2376" s="5"/>
      <c r="D2376" s="5"/>
      <c r="E2376" s="5"/>
      <c r="F2376" s="5"/>
      <c r="G2376" s="5"/>
      <c r="H2376" s="5"/>
      <c r="I2376" s="5"/>
      <c r="J2376" s="5"/>
      <c r="K2376" s="5"/>
      <c r="L2376" s="5"/>
      <c r="M2376" s="5"/>
      <c r="N2376" s="5"/>
      <c r="O2376" s="5"/>
      <c r="P2376" s="5"/>
      <c r="Q2376" s="5"/>
      <c r="R2376" s="5"/>
      <c r="S2376" s="5"/>
      <c r="T2376" s="5"/>
      <c r="U2376" s="5"/>
      <c r="V2376" s="5"/>
      <c r="W2376" s="5"/>
      <c r="X2376" s="5"/>
      <c r="Y2376" s="5"/>
      <c r="Z2376" s="5"/>
      <c r="AA2376" s="5"/>
      <c r="AB2376" s="5"/>
      <c r="AC2376" s="5"/>
      <c r="AD2376" s="5"/>
      <c r="AE2376" s="5"/>
      <c r="AF2376" s="5"/>
      <c r="AG2376" s="5"/>
      <c r="AH2376" s="5"/>
      <c r="AI2376" s="5"/>
      <c r="AJ2376" s="5"/>
    </row>
    <row r="2377" spans="1:36" ht="13">
      <c r="A2377" s="5"/>
      <c r="B2377" s="5"/>
      <c r="C2377" s="5"/>
      <c r="D2377" s="5"/>
      <c r="E2377" s="5"/>
      <c r="F2377" s="5"/>
      <c r="G2377" s="5"/>
      <c r="H2377" s="5"/>
      <c r="I2377" s="5"/>
      <c r="J2377" s="5"/>
      <c r="K2377" s="5"/>
      <c r="L2377" s="5"/>
      <c r="M2377" s="5"/>
      <c r="N2377" s="5"/>
      <c r="O2377" s="5"/>
      <c r="P2377" s="5"/>
      <c r="Q2377" s="5"/>
      <c r="R2377" s="5"/>
      <c r="S2377" s="5"/>
      <c r="T2377" s="5"/>
      <c r="U2377" s="5"/>
      <c r="V2377" s="5"/>
      <c r="W2377" s="5"/>
      <c r="X2377" s="5"/>
      <c r="Y2377" s="5"/>
      <c r="Z2377" s="5"/>
      <c r="AA2377" s="5"/>
      <c r="AB2377" s="5"/>
      <c r="AC2377" s="5"/>
      <c r="AD2377" s="5"/>
      <c r="AE2377" s="5"/>
      <c r="AF2377" s="5"/>
      <c r="AG2377" s="5"/>
      <c r="AH2377" s="5"/>
      <c r="AI2377" s="5"/>
      <c r="AJ2377" s="5"/>
    </row>
    <row r="2378" spans="1:36" ht="13">
      <c r="A2378" s="5"/>
      <c r="B2378" s="5"/>
      <c r="C2378" s="5"/>
      <c r="D2378" s="5"/>
      <c r="E2378" s="5"/>
      <c r="F2378" s="5"/>
      <c r="G2378" s="5"/>
      <c r="H2378" s="5"/>
      <c r="I2378" s="5"/>
      <c r="J2378" s="5"/>
      <c r="K2378" s="5"/>
      <c r="L2378" s="5"/>
      <c r="M2378" s="5"/>
      <c r="N2378" s="5"/>
      <c r="O2378" s="5"/>
      <c r="P2378" s="5"/>
      <c r="Q2378" s="5"/>
      <c r="R2378" s="5"/>
      <c r="S2378" s="5"/>
      <c r="T2378" s="5"/>
      <c r="U2378" s="5"/>
      <c r="V2378" s="5"/>
      <c r="W2378" s="5"/>
      <c r="X2378" s="5"/>
      <c r="Y2378" s="5"/>
      <c r="Z2378" s="5"/>
      <c r="AA2378" s="5"/>
      <c r="AB2378" s="5"/>
      <c r="AC2378" s="5"/>
      <c r="AD2378" s="5"/>
      <c r="AE2378" s="5"/>
      <c r="AF2378" s="5"/>
      <c r="AG2378" s="5"/>
      <c r="AH2378" s="5"/>
      <c r="AI2378" s="5"/>
      <c r="AJ2378" s="5"/>
    </row>
    <row r="2379" spans="1:36" ht="13">
      <c r="A2379" s="5"/>
      <c r="B2379" s="5"/>
      <c r="C2379" s="5"/>
      <c r="D2379" s="5"/>
      <c r="E2379" s="5"/>
      <c r="F2379" s="5"/>
      <c r="G2379" s="5"/>
      <c r="H2379" s="5"/>
      <c r="I2379" s="5"/>
      <c r="J2379" s="5"/>
      <c r="K2379" s="5"/>
      <c r="L2379" s="5"/>
      <c r="M2379" s="5"/>
      <c r="N2379" s="5"/>
      <c r="O2379" s="5"/>
      <c r="P2379" s="5"/>
      <c r="Q2379" s="5"/>
      <c r="R2379" s="5"/>
      <c r="S2379" s="5"/>
      <c r="T2379" s="5"/>
      <c r="U2379" s="5"/>
      <c r="V2379" s="5"/>
      <c r="W2379" s="5"/>
      <c r="X2379" s="5"/>
      <c r="Y2379" s="5"/>
      <c r="Z2379" s="5"/>
      <c r="AA2379" s="5"/>
      <c r="AB2379" s="5"/>
      <c r="AC2379" s="5"/>
      <c r="AD2379" s="5"/>
      <c r="AE2379" s="5"/>
      <c r="AF2379" s="5"/>
      <c r="AG2379" s="5"/>
      <c r="AH2379" s="5"/>
      <c r="AI2379" s="5"/>
      <c r="AJ2379" s="5"/>
    </row>
    <row r="2380" spans="1:36" ht="13">
      <c r="A2380" s="5"/>
      <c r="B2380" s="5"/>
      <c r="C2380" s="5"/>
      <c r="D2380" s="5"/>
      <c r="E2380" s="5"/>
      <c r="F2380" s="5"/>
      <c r="G2380" s="5"/>
      <c r="H2380" s="5"/>
      <c r="I2380" s="5"/>
      <c r="J2380" s="5"/>
      <c r="K2380" s="5"/>
      <c r="L2380" s="5"/>
      <c r="M2380" s="5"/>
      <c r="N2380" s="5"/>
      <c r="O2380" s="5"/>
      <c r="P2380" s="5"/>
      <c r="Q2380" s="5"/>
      <c r="R2380" s="5"/>
      <c r="S2380" s="5"/>
      <c r="T2380" s="5"/>
      <c r="U2380" s="5"/>
      <c r="V2380" s="5"/>
      <c r="W2380" s="5"/>
      <c r="X2380" s="5"/>
      <c r="Y2380" s="5"/>
      <c r="Z2380" s="5"/>
      <c r="AA2380" s="5"/>
      <c r="AB2380" s="5"/>
      <c r="AC2380" s="5"/>
      <c r="AD2380" s="5"/>
      <c r="AE2380" s="5"/>
      <c r="AF2380" s="5"/>
      <c r="AG2380" s="5"/>
      <c r="AH2380" s="5"/>
      <c r="AI2380" s="5"/>
      <c r="AJ2380" s="5"/>
    </row>
    <row r="2381" spans="1:36" ht="13">
      <c r="A2381" s="5"/>
      <c r="B2381" s="5"/>
      <c r="C2381" s="5"/>
      <c r="D2381" s="5"/>
      <c r="E2381" s="5"/>
      <c r="F2381" s="5"/>
      <c r="G2381" s="5"/>
      <c r="H2381" s="5"/>
      <c r="I2381" s="5"/>
      <c r="J2381" s="5"/>
      <c r="K2381" s="5"/>
      <c r="L2381" s="5"/>
      <c r="M2381" s="5"/>
      <c r="N2381" s="5"/>
      <c r="O2381" s="5"/>
      <c r="P2381" s="5"/>
      <c r="Q2381" s="5"/>
      <c r="R2381" s="5"/>
      <c r="S2381" s="5"/>
      <c r="T2381" s="5"/>
      <c r="U2381" s="5"/>
      <c r="V2381" s="5"/>
      <c r="W2381" s="5"/>
      <c r="X2381" s="5"/>
      <c r="Y2381" s="5"/>
      <c r="Z2381" s="5"/>
      <c r="AA2381" s="5"/>
      <c r="AB2381" s="5"/>
      <c r="AC2381" s="5"/>
      <c r="AD2381" s="5"/>
      <c r="AE2381" s="5"/>
      <c r="AF2381" s="5"/>
      <c r="AG2381" s="5"/>
      <c r="AH2381" s="5"/>
      <c r="AI2381" s="5"/>
      <c r="AJ2381" s="5"/>
    </row>
    <row r="2382" spans="1:36" ht="13">
      <c r="A2382" s="5"/>
      <c r="B2382" s="5"/>
      <c r="C2382" s="5"/>
      <c r="D2382" s="5"/>
      <c r="E2382" s="5"/>
      <c r="F2382" s="5"/>
      <c r="G2382" s="5"/>
      <c r="H2382" s="5"/>
      <c r="I2382" s="5"/>
      <c r="J2382" s="5"/>
      <c r="K2382" s="5"/>
      <c r="L2382" s="5"/>
      <c r="M2382" s="5"/>
      <c r="N2382" s="5"/>
      <c r="O2382" s="5"/>
      <c r="P2382" s="5"/>
      <c r="Q2382" s="5"/>
      <c r="R2382" s="5"/>
      <c r="S2382" s="5"/>
      <c r="T2382" s="5"/>
      <c r="U2382" s="5"/>
      <c r="V2382" s="5"/>
      <c r="W2382" s="5"/>
      <c r="X2382" s="5"/>
      <c r="Y2382" s="5"/>
      <c r="Z2382" s="5"/>
      <c r="AA2382" s="5"/>
      <c r="AB2382" s="5"/>
      <c r="AC2382" s="5"/>
      <c r="AD2382" s="5"/>
      <c r="AE2382" s="5"/>
      <c r="AF2382" s="5"/>
      <c r="AG2382" s="5"/>
      <c r="AH2382" s="5"/>
      <c r="AI2382" s="5"/>
      <c r="AJ2382" s="5"/>
    </row>
    <row r="2383" spans="1:36" ht="13">
      <c r="A2383" s="5"/>
      <c r="B2383" s="5"/>
      <c r="C2383" s="5"/>
      <c r="D2383" s="5"/>
      <c r="E2383" s="5"/>
      <c r="F2383" s="5"/>
      <c r="G2383" s="5"/>
      <c r="H2383" s="5"/>
      <c r="I2383" s="5"/>
      <c r="J2383" s="5"/>
      <c r="K2383" s="5"/>
      <c r="L2383" s="5"/>
      <c r="M2383" s="5"/>
      <c r="N2383" s="5"/>
      <c r="O2383" s="5"/>
      <c r="P2383" s="5"/>
      <c r="Q2383" s="5"/>
      <c r="R2383" s="5"/>
      <c r="S2383" s="5"/>
      <c r="T2383" s="5"/>
      <c r="U2383" s="5"/>
      <c r="V2383" s="5"/>
      <c r="W2383" s="5"/>
      <c r="X2383" s="5"/>
      <c r="Y2383" s="5"/>
      <c r="Z2383" s="5"/>
      <c r="AA2383" s="5"/>
      <c r="AB2383" s="5"/>
      <c r="AC2383" s="5"/>
      <c r="AD2383" s="5"/>
      <c r="AE2383" s="5"/>
      <c r="AF2383" s="5"/>
      <c r="AG2383" s="5"/>
      <c r="AH2383" s="5"/>
      <c r="AI2383" s="5"/>
      <c r="AJ2383" s="5"/>
    </row>
    <row r="2384" spans="1:36" ht="13">
      <c r="A2384" s="5"/>
      <c r="B2384" s="5"/>
      <c r="C2384" s="5"/>
      <c r="D2384" s="5"/>
      <c r="E2384" s="5"/>
      <c r="F2384" s="5"/>
      <c r="G2384" s="5"/>
      <c r="H2384" s="5"/>
      <c r="I2384" s="5"/>
      <c r="J2384" s="5"/>
      <c r="K2384" s="5"/>
      <c r="L2384" s="5"/>
      <c r="M2384" s="5"/>
      <c r="N2384" s="5"/>
      <c r="O2384" s="5"/>
      <c r="P2384" s="5"/>
      <c r="Q2384" s="5"/>
      <c r="R2384" s="5"/>
      <c r="S2384" s="5"/>
      <c r="T2384" s="5"/>
      <c r="U2384" s="5"/>
      <c r="V2384" s="5"/>
      <c r="W2384" s="5"/>
      <c r="X2384" s="5"/>
      <c r="Y2384" s="5"/>
      <c r="Z2384" s="5"/>
      <c r="AA2384" s="5"/>
      <c r="AB2384" s="5"/>
      <c r="AC2384" s="5"/>
      <c r="AD2384" s="5"/>
      <c r="AE2384" s="5"/>
      <c r="AF2384" s="5"/>
      <c r="AG2384" s="5"/>
      <c r="AH2384" s="5"/>
      <c r="AI2384" s="5"/>
      <c r="AJ2384" s="5"/>
    </row>
    <row r="2385" spans="1:36" ht="13">
      <c r="A2385" s="5"/>
      <c r="B2385" s="5"/>
      <c r="C2385" s="5"/>
      <c r="D2385" s="5"/>
      <c r="E2385" s="5"/>
      <c r="F2385" s="5"/>
      <c r="G2385" s="5"/>
      <c r="H2385" s="5"/>
      <c r="I2385" s="5"/>
      <c r="J2385" s="5"/>
      <c r="K2385" s="5"/>
      <c r="L2385" s="5"/>
      <c r="M2385" s="5"/>
      <c r="N2385" s="5"/>
      <c r="O2385" s="5"/>
      <c r="P2385" s="5"/>
      <c r="Q2385" s="5"/>
      <c r="R2385" s="5"/>
      <c r="S2385" s="5"/>
      <c r="T2385" s="5"/>
      <c r="U2385" s="5"/>
      <c r="V2385" s="5"/>
      <c r="W2385" s="5"/>
      <c r="X2385" s="5"/>
      <c r="Y2385" s="5"/>
      <c r="Z2385" s="5"/>
      <c r="AA2385" s="5"/>
      <c r="AB2385" s="5"/>
      <c r="AC2385" s="5"/>
      <c r="AD2385" s="5"/>
      <c r="AE2385" s="5"/>
      <c r="AF2385" s="5"/>
      <c r="AG2385" s="5"/>
      <c r="AH2385" s="5"/>
      <c r="AI2385" s="5"/>
      <c r="AJ2385" s="5"/>
    </row>
    <row r="2386" spans="1:36" ht="13">
      <c r="A2386" s="5"/>
      <c r="B2386" s="5"/>
      <c r="C2386" s="5"/>
      <c r="D2386" s="5"/>
      <c r="E2386" s="5"/>
      <c r="F2386" s="5"/>
      <c r="G2386" s="5"/>
      <c r="H2386" s="5"/>
      <c r="I2386" s="5"/>
      <c r="J2386" s="5"/>
      <c r="K2386" s="5"/>
      <c r="L2386" s="5"/>
      <c r="M2386" s="5"/>
      <c r="N2386" s="5"/>
      <c r="O2386" s="5"/>
      <c r="P2386" s="5"/>
      <c r="Q2386" s="5"/>
      <c r="R2386" s="5"/>
      <c r="S2386" s="5"/>
      <c r="T2386" s="5"/>
      <c r="U2386" s="5"/>
      <c r="V2386" s="5"/>
      <c r="W2386" s="5"/>
      <c r="X2386" s="5"/>
      <c r="Y2386" s="5"/>
      <c r="Z2386" s="5"/>
      <c r="AA2386" s="5"/>
      <c r="AB2386" s="5"/>
      <c r="AC2386" s="5"/>
      <c r="AD2386" s="5"/>
      <c r="AE2386" s="5"/>
      <c r="AF2386" s="5"/>
      <c r="AG2386" s="5"/>
      <c r="AH2386" s="5"/>
      <c r="AI2386" s="5"/>
      <c r="AJ2386" s="5"/>
    </row>
    <row r="2387" spans="1:36" ht="13">
      <c r="A2387" s="5"/>
      <c r="B2387" s="5"/>
      <c r="C2387" s="5"/>
      <c r="D2387" s="5"/>
      <c r="E2387" s="5"/>
      <c r="F2387" s="5"/>
      <c r="G2387" s="5"/>
      <c r="H2387" s="5"/>
      <c r="I2387" s="5"/>
      <c r="J2387" s="5"/>
      <c r="K2387" s="5"/>
      <c r="L2387" s="5"/>
      <c r="M2387" s="5"/>
      <c r="N2387" s="5"/>
      <c r="O2387" s="5"/>
      <c r="P2387" s="5"/>
      <c r="Q2387" s="5"/>
      <c r="R2387" s="5"/>
      <c r="S2387" s="5"/>
      <c r="T2387" s="5"/>
      <c r="U2387" s="5"/>
      <c r="V2387" s="5"/>
      <c r="W2387" s="5"/>
      <c r="X2387" s="5"/>
      <c r="Y2387" s="5"/>
      <c r="Z2387" s="5"/>
      <c r="AA2387" s="5"/>
      <c r="AB2387" s="5"/>
      <c r="AC2387" s="5"/>
      <c r="AD2387" s="5"/>
      <c r="AE2387" s="5"/>
      <c r="AF2387" s="5"/>
      <c r="AG2387" s="5"/>
      <c r="AH2387" s="5"/>
      <c r="AI2387" s="5"/>
      <c r="AJ2387" s="5"/>
    </row>
    <row r="2388" spans="1:36" ht="13">
      <c r="A2388" s="5"/>
      <c r="B2388" s="5"/>
      <c r="C2388" s="5"/>
      <c r="D2388" s="5"/>
      <c r="E2388" s="5"/>
      <c r="F2388" s="5"/>
      <c r="G2388" s="5"/>
      <c r="H2388" s="5"/>
      <c r="I2388" s="5"/>
      <c r="J2388" s="5"/>
      <c r="K2388" s="5"/>
      <c r="L2388" s="5"/>
      <c r="M2388" s="5"/>
      <c r="N2388" s="5"/>
      <c r="O2388" s="5"/>
      <c r="P2388" s="5"/>
      <c r="Q2388" s="5"/>
      <c r="R2388" s="5"/>
      <c r="S2388" s="5"/>
      <c r="T2388" s="5"/>
      <c r="U2388" s="5"/>
      <c r="V2388" s="5"/>
      <c r="W2388" s="5"/>
      <c r="X2388" s="5"/>
      <c r="Y2388" s="5"/>
      <c r="Z2388" s="5"/>
      <c r="AA2388" s="5"/>
      <c r="AB2388" s="5"/>
      <c r="AC2388" s="5"/>
      <c r="AD2388" s="5"/>
      <c r="AE2388" s="5"/>
      <c r="AF2388" s="5"/>
      <c r="AG2388" s="5"/>
      <c r="AH2388" s="5"/>
      <c r="AI2388" s="5"/>
      <c r="AJ2388" s="5"/>
    </row>
    <row r="2389" spans="1:36" ht="13">
      <c r="A2389" s="5"/>
      <c r="B2389" s="5"/>
      <c r="C2389" s="5"/>
      <c r="D2389" s="5"/>
      <c r="E2389" s="5"/>
      <c r="F2389" s="5"/>
      <c r="G2389" s="5"/>
      <c r="H2389" s="5"/>
      <c r="I2389" s="5"/>
      <c r="J2389" s="5"/>
      <c r="K2389" s="5"/>
      <c r="L2389" s="5"/>
      <c r="M2389" s="5"/>
      <c r="N2389" s="5"/>
      <c r="O2389" s="5"/>
      <c r="P2389" s="5"/>
      <c r="Q2389" s="5"/>
      <c r="R2389" s="5"/>
      <c r="S2389" s="5"/>
      <c r="T2389" s="5"/>
      <c r="U2389" s="5"/>
      <c r="V2389" s="5"/>
      <c r="W2389" s="5"/>
      <c r="X2389" s="5"/>
      <c r="Y2389" s="5"/>
      <c r="Z2389" s="5"/>
      <c r="AA2389" s="5"/>
      <c r="AB2389" s="5"/>
      <c r="AC2389" s="5"/>
      <c r="AD2389" s="5"/>
      <c r="AE2389" s="5"/>
      <c r="AF2389" s="5"/>
      <c r="AG2389" s="5"/>
      <c r="AH2389" s="5"/>
      <c r="AI2389" s="5"/>
      <c r="AJ2389" s="5"/>
    </row>
    <row r="2390" spans="1:36" ht="13">
      <c r="A2390" s="5"/>
      <c r="B2390" s="5"/>
      <c r="C2390" s="5"/>
      <c r="D2390" s="5"/>
      <c r="E2390" s="5"/>
      <c r="F2390" s="5"/>
      <c r="G2390" s="5"/>
      <c r="H2390" s="5"/>
      <c r="I2390" s="5"/>
      <c r="J2390" s="5"/>
      <c r="K2390" s="5"/>
      <c r="L2390" s="5"/>
      <c r="M2390" s="5"/>
      <c r="N2390" s="5"/>
      <c r="O2390" s="5"/>
      <c r="P2390" s="5"/>
      <c r="Q2390" s="5"/>
      <c r="R2390" s="5"/>
      <c r="S2390" s="5"/>
      <c r="T2390" s="5"/>
      <c r="U2390" s="5"/>
      <c r="V2390" s="5"/>
      <c r="W2390" s="5"/>
      <c r="X2390" s="5"/>
      <c r="Y2390" s="5"/>
      <c r="Z2390" s="5"/>
      <c r="AA2390" s="5"/>
      <c r="AB2390" s="5"/>
      <c r="AC2390" s="5"/>
      <c r="AD2390" s="5"/>
      <c r="AE2390" s="5"/>
      <c r="AF2390" s="5"/>
      <c r="AG2390" s="5"/>
      <c r="AH2390" s="5"/>
      <c r="AI2390" s="5"/>
      <c r="AJ2390" s="5"/>
    </row>
    <row r="2391" spans="1:36" ht="13">
      <c r="A2391" s="5"/>
      <c r="B2391" s="5"/>
      <c r="C2391" s="5"/>
      <c r="D2391" s="5"/>
      <c r="E2391" s="5"/>
      <c r="F2391" s="5"/>
      <c r="G2391" s="5"/>
      <c r="H2391" s="5"/>
      <c r="I2391" s="5"/>
      <c r="J2391" s="5"/>
      <c r="K2391" s="5"/>
      <c r="L2391" s="5"/>
      <c r="M2391" s="5"/>
      <c r="N2391" s="5"/>
      <c r="O2391" s="5"/>
      <c r="P2391" s="5"/>
      <c r="Q2391" s="5"/>
      <c r="R2391" s="5"/>
      <c r="S2391" s="5"/>
      <c r="T2391" s="5"/>
      <c r="U2391" s="5"/>
      <c r="V2391" s="5"/>
      <c r="W2391" s="5"/>
      <c r="X2391" s="5"/>
      <c r="Y2391" s="5"/>
      <c r="Z2391" s="5"/>
      <c r="AA2391" s="5"/>
      <c r="AB2391" s="5"/>
      <c r="AC2391" s="5"/>
      <c r="AD2391" s="5"/>
      <c r="AE2391" s="5"/>
      <c r="AF2391" s="5"/>
      <c r="AG2391" s="5"/>
      <c r="AH2391" s="5"/>
      <c r="AI2391" s="5"/>
      <c r="AJ2391" s="5"/>
    </row>
    <row r="2392" spans="1:36" ht="13">
      <c r="A2392" s="5"/>
      <c r="B2392" s="5"/>
      <c r="C2392" s="5"/>
      <c r="D2392" s="5"/>
      <c r="E2392" s="5"/>
      <c r="F2392" s="5"/>
      <c r="G2392" s="5"/>
      <c r="H2392" s="5"/>
      <c r="I2392" s="5"/>
      <c r="J2392" s="5"/>
      <c r="K2392" s="5"/>
      <c r="L2392" s="5"/>
      <c r="M2392" s="5"/>
      <c r="N2392" s="5"/>
      <c r="O2392" s="5"/>
      <c r="P2392" s="5"/>
      <c r="Q2392" s="5"/>
      <c r="R2392" s="5"/>
      <c r="S2392" s="5"/>
      <c r="T2392" s="5"/>
      <c r="U2392" s="5"/>
      <c r="V2392" s="5"/>
      <c r="W2392" s="5"/>
      <c r="X2392" s="5"/>
      <c r="Y2392" s="5"/>
      <c r="Z2392" s="5"/>
      <c r="AA2392" s="5"/>
      <c r="AB2392" s="5"/>
      <c r="AC2392" s="5"/>
      <c r="AD2392" s="5"/>
      <c r="AE2392" s="5"/>
      <c r="AF2392" s="5"/>
      <c r="AG2392" s="5"/>
      <c r="AH2392" s="5"/>
      <c r="AI2392" s="5"/>
      <c r="AJ2392" s="5"/>
    </row>
    <row r="2393" spans="1:36" ht="13">
      <c r="A2393" s="5"/>
      <c r="B2393" s="5"/>
      <c r="C2393" s="5"/>
      <c r="D2393" s="5"/>
      <c r="E2393" s="5"/>
      <c r="F2393" s="5"/>
      <c r="G2393" s="5"/>
      <c r="H2393" s="5"/>
      <c r="I2393" s="5"/>
      <c r="J2393" s="5"/>
      <c r="K2393" s="5"/>
      <c r="L2393" s="5"/>
      <c r="M2393" s="5"/>
      <c r="N2393" s="5"/>
      <c r="O2393" s="5"/>
      <c r="P2393" s="5"/>
      <c r="Q2393" s="5"/>
      <c r="R2393" s="5"/>
      <c r="S2393" s="5"/>
      <c r="T2393" s="5"/>
      <c r="U2393" s="5"/>
      <c r="V2393" s="5"/>
      <c r="W2393" s="5"/>
      <c r="X2393" s="5"/>
      <c r="Y2393" s="5"/>
      <c r="Z2393" s="5"/>
      <c r="AA2393" s="5"/>
      <c r="AB2393" s="5"/>
      <c r="AC2393" s="5"/>
      <c r="AD2393" s="5"/>
      <c r="AE2393" s="5"/>
      <c r="AF2393" s="5"/>
      <c r="AG2393" s="5"/>
      <c r="AH2393" s="5"/>
      <c r="AI2393" s="5"/>
      <c r="AJ2393" s="5"/>
    </row>
    <row r="2394" spans="1:36" ht="13">
      <c r="A2394" s="5"/>
      <c r="B2394" s="5"/>
      <c r="C2394" s="5"/>
      <c r="D2394" s="5"/>
      <c r="E2394" s="5"/>
      <c r="F2394" s="5"/>
      <c r="G2394" s="5"/>
      <c r="H2394" s="5"/>
      <c r="I2394" s="5"/>
      <c r="J2394" s="5"/>
      <c r="K2394" s="5"/>
      <c r="L2394" s="5"/>
      <c r="M2394" s="5"/>
      <c r="N2394" s="5"/>
      <c r="O2394" s="5"/>
      <c r="P2394" s="5"/>
      <c r="Q2394" s="5"/>
      <c r="R2394" s="5"/>
      <c r="S2394" s="5"/>
      <c r="T2394" s="5"/>
      <c r="U2394" s="5"/>
      <c r="V2394" s="5"/>
      <c r="W2394" s="5"/>
      <c r="X2394" s="5"/>
      <c r="Y2394" s="5"/>
      <c r="Z2394" s="5"/>
      <c r="AA2394" s="5"/>
      <c r="AB2394" s="5"/>
      <c r="AC2394" s="5"/>
      <c r="AD2394" s="5"/>
      <c r="AE2394" s="5"/>
      <c r="AF2394" s="5"/>
      <c r="AG2394" s="5"/>
      <c r="AH2394" s="5"/>
      <c r="AI2394" s="5"/>
      <c r="AJ2394" s="5"/>
    </row>
    <row r="2395" spans="1:36" ht="13">
      <c r="A2395" s="5"/>
      <c r="B2395" s="5"/>
      <c r="C2395" s="5"/>
      <c r="D2395" s="5"/>
      <c r="E2395" s="5"/>
      <c r="F2395" s="5"/>
      <c r="G2395" s="5"/>
      <c r="H2395" s="5"/>
      <c r="I2395" s="5"/>
      <c r="J2395" s="5"/>
      <c r="K2395" s="5"/>
      <c r="L2395" s="5"/>
      <c r="M2395" s="5"/>
      <c r="N2395" s="5"/>
      <c r="O2395" s="5"/>
      <c r="P2395" s="5"/>
      <c r="Q2395" s="5"/>
      <c r="R2395" s="5"/>
      <c r="S2395" s="5"/>
      <c r="T2395" s="5"/>
      <c r="U2395" s="5"/>
      <c r="V2395" s="5"/>
      <c r="W2395" s="5"/>
      <c r="X2395" s="5"/>
      <c r="Y2395" s="5"/>
      <c r="Z2395" s="5"/>
      <c r="AA2395" s="5"/>
      <c r="AB2395" s="5"/>
      <c r="AC2395" s="5"/>
      <c r="AD2395" s="5"/>
      <c r="AE2395" s="5"/>
      <c r="AF2395" s="5"/>
      <c r="AG2395" s="5"/>
      <c r="AH2395" s="5"/>
      <c r="AI2395" s="5"/>
      <c r="AJ2395" s="5"/>
    </row>
    <row r="2396" spans="1:36" ht="13">
      <c r="A2396" s="5"/>
      <c r="B2396" s="5"/>
      <c r="C2396" s="5"/>
      <c r="D2396" s="5"/>
      <c r="E2396" s="5"/>
      <c r="F2396" s="5"/>
      <c r="G2396" s="5"/>
      <c r="H2396" s="5"/>
      <c r="I2396" s="5"/>
      <c r="J2396" s="5"/>
      <c r="K2396" s="5"/>
      <c r="L2396" s="5"/>
      <c r="M2396" s="5"/>
      <c r="N2396" s="5"/>
      <c r="O2396" s="5"/>
      <c r="P2396" s="5"/>
      <c r="Q2396" s="5"/>
      <c r="R2396" s="5"/>
      <c r="S2396" s="5"/>
      <c r="T2396" s="5"/>
      <c r="U2396" s="5"/>
      <c r="V2396" s="5"/>
      <c r="W2396" s="5"/>
      <c r="X2396" s="5"/>
      <c r="Y2396" s="5"/>
      <c r="Z2396" s="5"/>
      <c r="AA2396" s="5"/>
      <c r="AB2396" s="5"/>
      <c r="AC2396" s="5"/>
      <c r="AD2396" s="5"/>
      <c r="AE2396" s="5"/>
      <c r="AF2396" s="5"/>
      <c r="AG2396" s="5"/>
      <c r="AH2396" s="5"/>
      <c r="AI2396" s="5"/>
      <c r="AJ2396" s="5"/>
    </row>
    <row r="2397" spans="1:36" ht="13">
      <c r="A2397" s="5"/>
      <c r="B2397" s="5"/>
      <c r="C2397" s="5"/>
      <c r="D2397" s="5"/>
      <c r="E2397" s="5"/>
      <c r="F2397" s="5"/>
      <c r="G2397" s="5"/>
      <c r="H2397" s="5"/>
      <c r="I2397" s="5"/>
      <c r="J2397" s="5"/>
      <c r="K2397" s="5"/>
      <c r="L2397" s="5"/>
      <c r="M2397" s="5"/>
      <c r="N2397" s="5"/>
      <c r="O2397" s="5"/>
      <c r="P2397" s="5"/>
      <c r="Q2397" s="5"/>
      <c r="R2397" s="5"/>
      <c r="S2397" s="5"/>
      <c r="T2397" s="5"/>
      <c r="U2397" s="5"/>
      <c r="V2397" s="5"/>
      <c r="W2397" s="5"/>
      <c r="X2397" s="5"/>
      <c r="Y2397" s="5"/>
      <c r="Z2397" s="5"/>
      <c r="AA2397" s="5"/>
      <c r="AB2397" s="5"/>
      <c r="AC2397" s="5"/>
      <c r="AD2397" s="5"/>
      <c r="AE2397" s="5"/>
      <c r="AF2397" s="5"/>
      <c r="AG2397" s="5"/>
      <c r="AH2397" s="5"/>
      <c r="AI2397" s="5"/>
      <c r="AJ2397" s="5"/>
    </row>
    <row r="2398" spans="1:36" ht="13">
      <c r="A2398" s="5"/>
      <c r="B2398" s="5"/>
      <c r="C2398" s="5"/>
      <c r="D2398" s="5"/>
      <c r="E2398" s="5"/>
      <c r="F2398" s="5"/>
      <c r="G2398" s="5"/>
      <c r="H2398" s="5"/>
      <c r="I2398" s="5"/>
      <c r="J2398" s="5"/>
      <c r="K2398" s="5"/>
      <c r="L2398" s="5"/>
      <c r="M2398" s="5"/>
      <c r="N2398" s="5"/>
      <c r="O2398" s="5"/>
      <c r="P2398" s="5"/>
      <c r="Q2398" s="5"/>
      <c r="R2398" s="5"/>
      <c r="S2398" s="5"/>
      <c r="T2398" s="5"/>
      <c r="U2398" s="5"/>
      <c r="V2398" s="5"/>
      <c r="W2398" s="5"/>
      <c r="X2398" s="5"/>
      <c r="Y2398" s="5"/>
      <c r="Z2398" s="5"/>
      <c r="AA2398" s="5"/>
      <c r="AB2398" s="5"/>
      <c r="AC2398" s="5"/>
      <c r="AD2398" s="5"/>
      <c r="AE2398" s="5"/>
      <c r="AF2398" s="5"/>
      <c r="AG2398" s="5"/>
      <c r="AH2398" s="5"/>
      <c r="AI2398" s="5"/>
      <c r="AJ2398" s="5"/>
    </row>
    <row r="2399" spans="1:36" ht="13">
      <c r="A2399" s="5"/>
      <c r="B2399" s="5"/>
      <c r="C2399" s="5"/>
      <c r="D2399" s="5"/>
      <c r="E2399" s="5"/>
      <c r="F2399" s="5"/>
      <c r="G2399" s="5"/>
      <c r="H2399" s="5"/>
      <c r="I2399" s="5"/>
      <c r="J2399" s="5"/>
      <c r="K2399" s="5"/>
      <c r="L2399" s="5"/>
      <c r="M2399" s="5"/>
      <c r="N2399" s="5"/>
      <c r="O2399" s="5"/>
      <c r="P2399" s="5"/>
      <c r="Q2399" s="5"/>
      <c r="R2399" s="5"/>
      <c r="S2399" s="5"/>
      <c r="T2399" s="5"/>
      <c r="U2399" s="5"/>
      <c r="V2399" s="5"/>
      <c r="W2399" s="5"/>
      <c r="X2399" s="5"/>
      <c r="Y2399" s="5"/>
      <c r="Z2399" s="5"/>
      <c r="AA2399" s="5"/>
      <c r="AB2399" s="5"/>
      <c r="AC2399" s="5"/>
      <c r="AD2399" s="5"/>
      <c r="AE2399" s="5"/>
      <c r="AF2399" s="5"/>
      <c r="AG2399" s="5"/>
      <c r="AH2399" s="5"/>
      <c r="AI2399" s="5"/>
      <c r="AJ2399" s="5"/>
    </row>
    <row r="2400" spans="1:36" ht="13">
      <c r="A2400" s="5"/>
      <c r="B2400" s="5"/>
      <c r="C2400" s="5"/>
      <c r="D2400" s="5"/>
      <c r="E2400" s="5"/>
      <c r="F2400" s="5"/>
      <c r="G2400" s="5"/>
      <c r="H2400" s="5"/>
      <c r="I2400" s="5"/>
      <c r="J2400" s="5"/>
      <c r="K2400" s="5"/>
      <c r="L2400" s="5"/>
      <c r="M2400" s="5"/>
      <c r="N2400" s="5"/>
      <c r="O2400" s="5"/>
      <c r="P2400" s="5"/>
      <c r="Q2400" s="5"/>
      <c r="R2400" s="5"/>
      <c r="S2400" s="5"/>
      <c r="T2400" s="5"/>
      <c r="U2400" s="5"/>
      <c r="V2400" s="5"/>
      <c r="W2400" s="5"/>
      <c r="X2400" s="5"/>
      <c r="Y2400" s="5"/>
      <c r="Z2400" s="5"/>
      <c r="AA2400" s="5"/>
      <c r="AB2400" s="5"/>
      <c r="AC2400" s="5"/>
      <c r="AD2400" s="5"/>
      <c r="AE2400" s="5"/>
      <c r="AF2400" s="5"/>
      <c r="AG2400" s="5"/>
      <c r="AH2400" s="5"/>
      <c r="AI2400" s="5"/>
      <c r="AJ2400" s="5"/>
    </row>
    <row r="2401" spans="1:36" ht="13">
      <c r="A2401" s="5"/>
      <c r="B2401" s="5"/>
      <c r="C2401" s="5"/>
      <c r="D2401" s="5"/>
      <c r="E2401" s="5"/>
      <c r="F2401" s="5"/>
      <c r="G2401" s="5"/>
      <c r="H2401" s="5"/>
      <c r="I2401" s="5"/>
      <c r="J2401" s="5"/>
      <c r="K2401" s="5"/>
      <c r="L2401" s="5"/>
      <c r="M2401" s="5"/>
      <c r="N2401" s="5"/>
      <c r="O2401" s="5"/>
      <c r="P2401" s="5"/>
      <c r="Q2401" s="5"/>
      <c r="R2401" s="5"/>
      <c r="S2401" s="5"/>
      <c r="T2401" s="5"/>
      <c r="U2401" s="5"/>
      <c r="V2401" s="5"/>
      <c r="W2401" s="5"/>
      <c r="X2401" s="5"/>
      <c r="Y2401" s="5"/>
      <c r="Z2401" s="5"/>
      <c r="AA2401" s="5"/>
      <c r="AB2401" s="5"/>
      <c r="AC2401" s="5"/>
      <c r="AD2401" s="5"/>
      <c r="AE2401" s="5"/>
      <c r="AF2401" s="5"/>
      <c r="AG2401" s="5"/>
      <c r="AH2401" s="5"/>
      <c r="AI2401" s="5"/>
      <c r="AJ2401" s="5"/>
    </row>
    <row r="2402" spans="1:36" ht="13">
      <c r="A2402" s="5"/>
      <c r="B2402" s="5"/>
      <c r="C2402" s="5"/>
      <c r="D2402" s="5"/>
      <c r="E2402" s="5"/>
      <c r="F2402" s="5"/>
      <c r="G2402" s="5"/>
      <c r="H2402" s="5"/>
      <c r="I2402" s="5"/>
      <c r="J2402" s="5"/>
      <c r="K2402" s="5"/>
      <c r="L2402" s="5"/>
      <c r="M2402" s="5"/>
      <c r="N2402" s="5"/>
      <c r="O2402" s="5"/>
      <c r="P2402" s="5"/>
      <c r="Q2402" s="5"/>
      <c r="R2402" s="5"/>
      <c r="S2402" s="5"/>
      <c r="T2402" s="5"/>
      <c r="U2402" s="5"/>
      <c r="V2402" s="5"/>
      <c r="W2402" s="5"/>
      <c r="X2402" s="5"/>
      <c r="Y2402" s="5"/>
      <c r="Z2402" s="5"/>
      <c r="AA2402" s="5"/>
      <c r="AB2402" s="5"/>
      <c r="AC2402" s="5"/>
      <c r="AD2402" s="5"/>
      <c r="AE2402" s="5"/>
      <c r="AF2402" s="5"/>
      <c r="AG2402" s="5"/>
      <c r="AH2402" s="5"/>
      <c r="AI2402" s="5"/>
      <c r="AJ2402" s="5"/>
    </row>
    <row r="2403" spans="1:36" ht="13">
      <c r="A2403" s="5"/>
      <c r="B2403" s="5"/>
      <c r="C2403" s="5"/>
      <c r="D2403" s="5"/>
      <c r="E2403" s="5"/>
      <c r="F2403" s="5"/>
      <c r="G2403" s="5"/>
      <c r="H2403" s="5"/>
      <c r="I2403" s="5"/>
      <c r="J2403" s="5"/>
      <c r="K2403" s="5"/>
      <c r="L2403" s="5"/>
      <c r="M2403" s="5"/>
      <c r="N2403" s="5"/>
      <c r="O2403" s="5"/>
      <c r="P2403" s="5"/>
      <c r="Q2403" s="5"/>
      <c r="R2403" s="5"/>
      <c r="S2403" s="5"/>
      <c r="T2403" s="5"/>
      <c r="U2403" s="5"/>
      <c r="V2403" s="5"/>
      <c r="W2403" s="5"/>
      <c r="X2403" s="5"/>
      <c r="Y2403" s="5"/>
      <c r="Z2403" s="5"/>
      <c r="AA2403" s="5"/>
      <c r="AB2403" s="5"/>
      <c r="AC2403" s="5"/>
      <c r="AD2403" s="5"/>
      <c r="AE2403" s="5"/>
      <c r="AF2403" s="5"/>
      <c r="AG2403" s="5"/>
      <c r="AH2403" s="5"/>
      <c r="AI2403" s="5"/>
      <c r="AJ2403" s="5"/>
    </row>
    <row r="2404" spans="1:36" ht="13">
      <c r="A2404" s="5"/>
      <c r="B2404" s="5"/>
      <c r="C2404" s="5"/>
      <c r="D2404" s="5"/>
      <c r="E2404" s="5"/>
      <c r="F2404" s="5"/>
      <c r="G2404" s="5"/>
      <c r="H2404" s="5"/>
      <c r="I2404" s="5"/>
      <c r="J2404" s="5"/>
      <c r="K2404" s="5"/>
      <c r="L2404" s="5"/>
      <c r="M2404" s="5"/>
      <c r="N2404" s="5"/>
      <c r="O2404" s="5"/>
      <c r="P2404" s="5"/>
      <c r="Q2404" s="5"/>
      <c r="R2404" s="5"/>
      <c r="S2404" s="5"/>
      <c r="T2404" s="5"/>
      <c r="U2404" s="5"/>
      <c r="V2404" s="5"/>
      <c r="W2404" s="5"/>
      <c r="X2404" s="5"/>
      <c r="Y2404" s="5"/>
      <c r="Z2404" s="5"/>
      <c r="AA2404" s="5"/>
      <c r="AB2404" s="5"/>
      <c r="AC2404" s="5"/>
      <c r="AD2404" s="5"/>
      <c r="AE2404" s="5"/>
      <c r="AF2404" s="5"/>
      <c r="AG2404" s="5"/>
      <c r="AH2404" s="5"/>
      <c r="AI2404" s="5"/>
      <c r="AJ2404" s="5"/>
    </row>
    <row r="2405" spans="1:36" ht="13">
      <c r="A2405" s="5"/>
      <c r="B2405" s="5"/>
      <c r="C2405" s="5"/>
      <c r="D2405" s="5"/>
      <c r="E2405" s="5"/>
      <c r="F2405" s="5"/>
      <c r="G2405" s="5"/>
      <c r="H2405" s="5"/>
      <c r="I2405" s="5"/>
      <c r="J2405" s="5"/>
      <c r="K2405" s="5"/>
      <c r="L2405" s="5"/>
      <c r="M2405" s="5"/>
      <c r="N2405" s="5"/>
      <c r="O2405" s="5"/>
      <c r="P2405" s="5"/>
      <c r="Q2405" s="5"/>
      <c r="R2405" s="5"/>
      <c r="S2405" s="5"/>
      <c r="T2405" s="5"/>
      <c r="U2405" s="5"/>
      <c r="V2405" s="5"/>
      <c r="W2405" s="5"/>
      <c r="X2405" s="5"/>
      <c r="Y2405" s="5"/>
      <c r="Z2405" s="5"/>
      <c r="AA2405" s="5"/>
      <c r="AB2405" s="5"/>
      <c r="AC2405" s="5"/>
      <c r="AD2405" s="5"/>
      <c r="AE2405" s="5"/>
      <c r="AF2405" s="5"/>
      <c r="AG2405" s="5"/>
      <c r="AH2405" s="5"/>
      <c r="AI2405" s="5"/>
      <c r="AJ2405" s="5"/>
    </row>
    <row r="2406" spans="1:36" ht="13">
      <c r="A2406" s="5"/>
      <c r="B2406" s="5"/>
      <c r="C2406" s="5"/>
      <c r="D2406" s="5"/>
      <c r="E2406" s="5"/>
      <c r="F2406" s="5"/>
      <c r="G2406" s="5"/>
      <c r="H2406" s="5"/>
      <c r="I2406" s="5"/>
      <c r="J2406" s="5"/>
      <c r="K2406" s="5"/>
      <c r="L2406" s="5"/>
      <c r="M2406" s="5"/>
      <c r="N2406" s="5"/>
      <c r="O2406" s="5"/>
      <c r="P2406" s="5"/>
      <c r="Q2406" s="5"/>
      <c r="R2406" s="5"/>
      <c r="S2406" s="5"/>
      <c r="T2406" s="5"/>
      <c r="U2406" s="5"/>
      <c r="V2406" s="5"/>
      <c r="W2406" s="5"/>
      <c r="X2406" s="5"/>
      <c r="Y2406" s="5"/>
      <c r="Z2406" s="5"/>
      <c r="AA2406" s="5"/>
      <c r="AB2406" s="5"/>
      <c r="AC2406" s="5"/>
      <c r="AD2406" s="5"/>
      <c r="AE2406" s="5"/>
      <c r="AF2406" s="5"/>
      <c r="AG2406" s="5"/>
      <c r="AH2406" s="5"/>
      <c r="AI2406" s="5"/>
      <c r="AJ2406" s="5"/>
    </row>
    <row r="2407" spans="1:36" ht="13">
      <c r="A2407" s="5"/>
      <c r="B2407" s="5"/>
      <c r="C2407" s="5"/>
      <c r="D2407" s="5"/>
      <c r="E2407" s="5"/>
      <c r="F2407" s="5"/>
      <c r="G2407" s="5"/>
      <c r="H2407" s="5"/>
      <c r="I2407" s="5"/>
      <c r="J2407" s="5"/>
      <c r="K2407" s="5"/>
      <c r="L2407" s="5"/>
      <c r="M2407" s="5"/>
      <c r="N2407" s="5"/>
      <c r="O2407" s="5"/>
      <c r="P2407" s="5"/>
      <c r="Q2407" s="5"/>
      <c r="R2407" s="5"/>
      <c r="S2407" s="5"/>
      <c r="T2407" s="5"/>
      <c r="U2407" s="5"/>
      <c r="V2407" s="5"/>
      <c r="W2407" s="5"/>
      <c r="X2407" s="5"/>
      <c r="Y2407" s="5"/>
      <c r="Z2407" s="5"/>
      <c r="AA2407" s="5"/>
      <c r="AB2407" s="5"/>
      <c r="AC2407" s="5"/>
      <c r="AD2407" s="5"/>
      <c r="AE2407" s="5"/>
      <c r="AF2407" s="5"/>
      <c r="AG2407" s="5"/>
      <c r="AH2407" s="5"/>
      <c r="AI2407" s="5"/>
      <c r="AJ2407" s="5"/>
    </row>
    <row r="2408" spans="1:36" ht="13">
      <c r="A2408" s="5"/>
      <c r="B2408" s="5"/>
      <c r="C2408" s="5"/>
      <c r="D2408" s="5"/>
      <c r="E2408" s="5"/>
      <c r="F2408" s="5"/>
      <c r="G2408" s="5"/>
      <c r="H2408" s="5"/>
      <c r="I2408" s="5"/>
      <c r="J2408" s="5"/>
      <c r="K2408" s="5"/>
      <c r="L2408" s="5"/>
      <c r="M2408" s="5"/>
      <c r="N2408" s="5"/>
      <c r="O2408" s="5"/>
      <c r="P2408" s="5"/>
      <c r="Q2408" s="5"/>
      <c r="R2408" s="5"/>
      <c r="S2408" s="5"/>
      <c r="T2408" s="5"/>
      <c r="U2408" s="5"/>
      <c r="V2408" s="5"/>
      <c r="W2408" s="5"/>
      <c r="X2408" s="5"/>
      <c r="Y2408" s="5"/>
      <c r="Z2408" s="5"/>
      <c r="AA2408" s="5"/>
      <c r="AB2408" s="5"/>
      <c r="AC2408" s="5"/>
      <c r="AD2408" s="5"/>
      <c r="AE2408" s="5"/>
      <c r="AF2408" s="5"/>
      <c r="AG2408" s="5"/>
      <c r="AH2408" s="5"/>
      <c r="AI2408" s="5"/>
      <c r="AJ2408" s="5"/>
    </row>
    <row r="2409" spans="1:36" ht="13">
      <c r="A2409" s="5"/>
      <c r="B2409" s="5"/>
      <c r="C2409" s="5"/>
      <c r="D2409" s="5"/>
      <c r="E2409" s="5"/>
      <c r="F2409" s="5"/>
      <c r="G2409" s="5"/>
      <c r="H2409" s="5"/>
      <c r="I2409" s="5"/>
      <c r="J2409" s="5"/>
      <c r="K2409" s="5"/>
      <c r="L2409" s="5"/>
      <c r="M2409" s="5"/>
      <c r="N2409" s="5"/>
      <c r="O2409" s="5"/>
      <c r="P2409" s="5"/>
      <c r="Q2409" s="5"/>
      <c r="R2409" s="5"/>
      <c r="S2409" s="5"/>
      <c r="T2409" s="5"/>
      <c r="U2409" s="5"/>
      <c r="V2409" s="5"/>
      <c r="W2409" s="5"/>
      <c r="X2409" s="5"/>
      <c r="Y2409" s="5"/>
      <c r="Z2409" s="5"/>
      <c r="AA2409" s="5"/>
      <c r="AB2409" s="5"/>
      <c r="AC2409" s="5"/>
      <c r="AD2409" s="5"/>
      <c r="AE2409" s="5"/>
      <c r="AF2409" s="5"/>
      <c r="AG2409" s="5"/>
      <c r="AH2409" s="5"/>
      <c r="AI2409" s="5"/>
      <c r="AJ2409" s="5"/>
    </row>
    <row r="2410" spans="1:36" ht="13">
      <c r="A2410" s="5"/>
      <c r="B2410" s="5"/>
      <c r="C2410" s="5"/>
      <c r="D2410" s="5"/>
      <c r="E2410" s="5"/>
      <c r="F2410" s="5"/>
      <c r="G2410" s="5"/>
      <c r="H2410" s="5"/>
      <c r="I2410" s="5"/>
      <c r="J2410" s="5"/>
      <c r="K2410" s="5"/>
      <c r="L2410" s="5"/>
      <c r="M2410" s="5"/>
      <c r="N2410" s="5"/>
      <c r="O2410" s="5"/>
      <c r="P2410" s="5"/>
      <c r="Q2410" s="5"/>
      <c r="R2410" s="5"/>
      <c r="S2410" s="5"/>
      <c r="T2410" s="5"/>
      <c r="U2410" s="5"/>
      <c r="V2410" s="5"/>
      <c r="W2410" s="5"/>
      <c r="X2410" s="5"/>
      <c r="Y2410" s="5"/>
      <c r="Z2410" s="5"/>
      <c r="AA2410" s="5"/>
      <c r="AB2410" s="5"/>
      <c r="AC2410" s="5"/>
      <c r="AD2410" s="5"/>
      <c r="AE2410" s="5"/>
      <c r="AF2410" s="5"/>
      <c r="AG2410" s="5"/>
      <c r="AH2410" s="5"/>
      <c r="AI2410" s="5"/>
      <c r="AJ2410" s="5"/>
    </row>
    <row r="2411" spans="1:36" ht="13">
      <c r="A2411" s="5"/>
      <c r="B2411" s="5"/>
      <c r="C2411" s="5"/>
      <c r="D2411" s="5"/>
      <c r="E2411" s="5"/>
      <c r="F2411" s="5"/>
      <c r="G2411" s="5"/>
      <c r="H2411" s="5"/>
      <c r="I2411" s="5"/>
      <c r="J2411" s="5"/>
      <c r="K2411" s="5"/>
      <c r="L2411" s="5"/>
      <c r="M2411" s="5"/>
      <c r="N2411" s="5"/>
      <c r="O2411" s="5"/>
      <c r="P2411" s="5"/>
      <c r="Q2411" s="5"/>
      <c r="R2411" s="5"/>
      <c r="S2411" s="5"/>
      <c r="T2411" s="5"/>
      <c r="U2411" s="5"/>
      <c r="V2411" s="5"/>
      <c r="W2411" s="5"/>
      <c r="X2411" s="5"/>
      <c r="Y2411" s="5"/>
      <c r="Z2411" s="5"/>
      <c r="AA2411" s="5"/>
      <c r="AB2411" s="5"/>
      <c r="AC2411" s="5"/>
      <c r="AD2411" s="5"/>
      <c r="AE2411" s="5"/>
      <c r="AF2411" s="5"/>
      <c r="AG2411" s="5"/>
      <c r="AH2411" s="5"/>
      <c r="AI2411" s="5"/>
      <c r="AJ2411" s="5"/>
    </row>
    <row r="2412" spans="1:36" ht="13">
      <c r="A2412" s="5"/>
      <c r="B2412" s="5"/>
      <c r="C2412" s="5"/>
      <c r="D2412" s="5"/>
      <c r="E2412" s="5"/>
      <c r="F2412" s="5"/>
      <c r="G2412" s="5"/>
      <c r="H2412" s="5"/>
      <c r="I2412" s="5"/>
      <c r="J2412" s="5"/>
      <c r="K2412" s="5"/>
      <c r="L2412" s="5"/>
      <c r="M2412" s="5"/>
      <c r="N2412" s="5"/>
      <c r="O2412" s="5"/>
      <c r="P2412" s="5"/>
      <c r="Q2412" s="5"/>
      <c r="R2412" s="5"/>
      <c r="S2412" s="5"/>
      <c r="T2412" s="5"/>
      <c r="U2412" s="5"/>
      <c r="V2412" s="5"/>
      <c r="W2412" s="5"/>
      <c r="X2412" s="5"/>
      <c r="Y2412" s="5"/>
      <c r="Z2412" s="5"/>
      <c r="AA2412" s="5"/>
      <c r="AB2412" s="5"/>
      <c r="AC2412" s="5"/>
      <c r="AD2412" s="5"/>
      <c r="AE2412" s="5"/>
      <c r="AF2412" s="5"/>
      <c r="AG2412" s="5"/>
      <c r="AH2412" s="5"/>
      <c r="AI2412" s="5"/>
      <c r="AJ2412" s="5"/>
    </row>
    <row r="2413" spans="1:36" ht="13">
      <c r="A2413" s="5"/>
      <c r="B2413" s="5"/>
      <c r="C2413" s="5"/>
      <c r="D2413" s="5"/>
      <c r="E2413" s="5"/>
      <c r="F2413" s="5"/>
      <c r="G2413" s="5"/>
      <c r="H2413" s="5"/>
      <c r="I2413" s="5"/>
      <c r="J2413" s="5"/>
      <c r="K2413" s="5"/>
      <c r="L2413" s="5"/>
      <c r="M2413" s="5"/>
      <c r="N2413" s="5"/>
      <c r="O2413" s="5"/>
      <c r="P2413" s="5"/>
      <c r="Q2413" s="5"/>
      <c r="R2413" s="5"/>
      <c r="S2413" s="5"/>
      <c r="T2413" s="5"/>
      <c r="U2413" s="5"/>
      <c r="V2413" s="5"/>
      <c r="W2413" s="5"/>
      <c r="X2413" s="5"/>
      <c r="Y2413" s="5"/>
      <c r="Z2413" s="5"/>
      <c r="AA2413" s="5"/>
      <c r="AB2413" s="5"/>
      <c r="AC2413" s="5"/>
      <c r="AD2413" s="5"/>
      <c r="AE2413" s="5"/>
      <c r="AF2413" s="5"/>
      <c r="AG2413" s="5"/>
      <c r="AH2413" s="5"/>
      <c r="AI2413" s="5"/>
      <c r="AJ2413" s="5"/>
    </row>
    <row r="2414" spans="1:36" ht="13">
      <c r="A2414" s="5"/>
      <c r="B2414" s="5"/>
      <c r="C2414" s="5"/>
      <c r="D2414" s="5"/>
      <c r="E2414" s="5"/>
      <c r="F2414" s="5"/>
      <c r="G2414" s="5"/>
      <c r="H2414" s="5"/>
      <c r="I2414" s="5"/>
      <c r="J2414" s="5"/>
      <c r="K2414" s="5"/>
      <c r="L2414" s="5"/>
      <c r="M2414" s="5"/>
      <c r="N2414" s="5"/>
      <c r="O2414" s="5"/>
      <c r="P2414" s="5"/>
      <c r="Q2414" s="5"/>
      <c r="R2414" s="5"/>
      <c r="S2414" s="5"/>
      <c r="T2414" s="5"/>
      <c r="U2414" s="5"/>
      <c r="V2414" s="5"/>
      <c r="W2414" s="5"/>
      <c r="X2414" s="5"/>
      <c r="Y2414" s="5"/>
      <c r="Z2414" s="5"/>
      <c r="AA2414" s="5"/>
      <c r="AB2414" s="5"/>
      <c r="AC2414" s="5"/>
      <c r="AD2414" s="5"/>
      <c r="AE2414" s="5"/>
      <c r="AF2414" s="5"/>
      <c r="AG2414" s="5"/>
      <c r="AH2414" s="5"/>
      <c r="AI2414" s="5"/>
      <c r="AJ2414" s="5"/>
    </row>
    <row r="2415" spans="1:36" ht="13">
      <c r="A2415" s="5"/>
      <c r="B2415" s="5"/>
      <c r="C2415" s="5"/>
      <c r="D2415" s="5"/>
      <c r="E2415" s="5"/>
      <c r="F2415" s="5"/>
      <c r="G2415" s="5"/>
      <c r="H2415" s="5"/>
      <c r="I2415" s="5"/>
      <c r="J2415" s="5"/>
      <c r="K2415" s="5"/>
      <c r="L2415" s="5"/>
      <c r="M2415" s="5"/>
      <c r="N2415" s="5"/>
      <c r="O2415" s="5"/>
      <c r="P2415" s="5"/>
      <c r="Q2415" s="5"/>
      <c r="R2415" s="5"/>
      <c r="S2415" s="5"/>
      <c r="T2415" s="5"/>
      <c r="U2415" s="5"/>
      <c r="V2415" s="5"/>
      <c r="W2415" s="5"/>
      <c r="X2415" s="5"/>
      <c r="Y2415" s="5"/>
      <c r="Z2415" s="5"/>
      <c r="AA2415" s="5"/>
      <c r="AB2415" s="5"/>
      <c r="AC2415" s="5"/>
      <c r="AD2415" s="5"/>
      <c r="AE2415" s="5"/>
      <c r="AF2415" s="5"/>
      <c r="AG2415" s="5"/>
      <c r="AH2415" s="5"/>
      <c r="AI2415" s="5"/>
      <c r="AJ2415" s="5"/>
    </row>
    <row r="2416" spans="1:36" ht="13">
      <c r="A2416" s="5"/>
      <c r="B2416" s="5"/>
      <c r="C2416" s="5"/>
      <c r="D2416" s="5"/>
      <c r="E2416" s="5"/>
      <c r="F2416" s="5"/>
      <c r="G2416" s="5"/>
      <c r="H2416" s="5"/>
      <c r="I2416" s="5"/>
      <c r="J2416" s="5"/>
      <c r="K2416" s="5"/>
      <c r="L2416" s="5"/>
      <c r="M2416" s="5"/>
      <c r="N2416" s="5"/>
      <c r="O2416" s="5"/>
      <c r="P2416" s="5"/>
      <c r="Q2416" s="5"/>
      <c r="R2416" s="5"/>
      <c r="S2416" s="5"/>
      <c r="T2416" s="5"/>
      <c r="U2416" s="5"/>
      <c r="V2416" s="5"/>
      <c r="W2416" s="5"/>
      <c r="X2416" s="5"/>
      <c r="Y2416" s="5"/>
      <c r="Z2416" s="5"/>
      <c r="AA2416" s="5"/>
      <c r="AB2416" s="5"/>
      <c r="AC2416" s="5"/>
      <c r="AD2416" s="5"/>
      <c r="AE2416" s="5"/>
      <c r="AF2416" s="5"/>
      <c r="AG2416" s="5"/>
      <c r="AH2416" s="5"/>
      <c r="AI2416" s="5"/>
      <c r="AJ2416" s="5"/>
    </row>
    <row r="2417" spans="1:36" ht="13">
      <c r="A2417" s="5"/>
      <c r="B2417" s="5"/>
      <c r="C2417" s="5"/>
      <c r="D2417" s="5"/>
      <c r="E2417" s="5"/>
      <c r="F2417" s="5"/>
      <c r="G2417" s="5"/>
      <c r="H2417" s="5"/>
      <c r="I2417" s="5"/>
      <c r="J2417" s="5"/>
      <c r="K2417" s="5"/>
      <c r="L2417" s="5"/>
      <c r="M2417" s="5"/>
      <c r="N2417" s="5"/>
      <c r="O2417" s="5"/>
      <c r="P2417" s="5"/>
      <c r="Q2417" s="5"/>
      <c r="R2417" s="5"/>
      <c r="S2417" s="5"/>
      <c r="T2417" s="5"/>
      <c r="U2417" s="5"/>
      <c r="V2417" s="5"/>
      <c r="W2417" s="5"/>
      <c r="X2417" s="5"/>
      <c r="Y2417" s="5"/>
      <c r="Z2417" s="5"/>
      <c r="AA2417" s="5"/>
      <c r="AB2417" s="5"/>
      <c r="AC2417" s="5"/>
      <c r="AD2417" s="5"/>
      <c r="AE2417" s="5"/>
      <c r="AF2417" s="5"/>
      <c r="AG2417" s="5"/>
      <c r="AH2417" s="5"/>
      <c r="AI2417" s="5"/>
      <c r="AJ2417" s="5"/>
    </row>
    <row r="2418" spans="1:36" ht="13">
      <c r="A2418" s="5"/>
      <c r="B2418" s="5"/>
      <c r="C2418" s="5"/>
      <c r="D2418" s="5"/>
      <c r="E2418" s="5"/>
      <c r="F2418" s="5"/>
      <c r="G2418" s="5"/>
      <c r="H2418" s="5"/>
      <c r="I2418" s="5"/>
      <c r="J2418" s="5"/>
      <c r="K2418" s="5"/>
      <c r="L2418" s="5"/>
      <c r="M2418" s="5"/>
      <c r="N2418" s="5"/>
      <c r="O2418" s="5"/>
      <c r="P2418" s="5"/>
      <c r="Q2418" s="5"/>
      <c r="R2418" s="5"/>
      <c r="S2418" s="5"/>
      <c r="T2418" s="5"/>
      <c r="U2418" s="5"/>
      <c r="V2418" s="5"/>
      <c r="W2418" s="5"/>
      <c r="X2418" s="5"/>
      <c r="Y2418" s="5"/>
      <c r="Z2418" s="5"/>
      <c r="AA2418" s="5"/>
      <c r="AB2418" s="5"/>
      <c r="AC2418" s="5"/>
      <c r="AD2418" s="5"/>
      <c r="AE2418" s="5"/>
      <c r="AF2418" s="5"/>
      <c r="AG2418" s="5"/>
      <c r="AH2418" s="5"/>
      <c r="AI2418" s="5"/>
      <c r="AJ2418" s="5"/>
    </row>
    <row r="2419" spans="1:36" ht="13">
      <c r="A2419" s="5"/>
      <c r="B2419" s="5"/>
      <c r="C2419" s="5"/>
      <c r="D2419" s="5"/>
      <c r="E2419" s="5"/>
      <c r="F2419" s="5"/>
      <c r="G2419" s="5"/>
      <c r="H2419" s="5"/>
      <c r="I2419" s="5"/>
      <c r="J2419" s="5"/>
      <c r="K2419" s="5"/>
      <c r="L2419" s="5"/>
      <c r="M2419" s="5"/>
      <c r="N2419" s="5"/>
      <c r="O2419" s="5"/>
      <c r="P2419" s="5"/>
      <c r="Q2419" s="5"/>
      <c r="R2419" s="5"/>
      <c r="S2419" s="5"/>
      <c r="T2419" s="5"/>
      <c r="U2419" s="5"/>
      <c r="V2419" s="5"/>
      <c r="W2419" s="5"/>
      <c r="X2419" s="5"/>
      <c r="Y2419" s="5"/>
      <c r="Z2419" s="5"/>
      <c r="AA2419" s="5"/>
      <c r="AB2419" s="5"/>
      <c r="AC2419" s="5"/>
      <c r="AD2419" s="5"/>
      <c r="AE2419" s="5"/>
      <c r="AF2419" s="5"/>
      <c r="AG2419" s="5"/>
      <c r="AH2419" s="5"/>
      <c r="AI2419" s="5"/>
      <c r="AJ2419" s="5"/>
    </row>
    <row r="2420" spans="1:36" ht="13">
      <c r="A2420" s="5"/>
      <c r="B2420" s="5"/>
      <c r="C2420" s="5"/>
      <c r="D2420" s="5"/>
      <c r="E2420" s="5"/>
      <c r="F2420" s="5"/>
      <c r="G2420" s="5"/>
      <c r="H2420" s="5"/>
      <c r="I2420" s="5"/>
      <c r="J2420" s="5"/>
      <c r="K2420" s="5"/>
      <c r="L2420" s="5"/>
      <c r="M2420" s="5"/>
      <c r="N2420" s="5"/>
      <c r="O2420" s="5"/>
      <c r="P2420" s="5"/>
      <c r="Q2420" s="5"/>
      <c r="R2420" s="5"/>
      <c r="S2420" s="5"/>
      <c r="T2420" s="5"/>
      <c r="U2420" s="5"/>
      <c r="V2420" s="5"/>
      <c r="W2420" s="5"/>
      <c r="X2420" s="5"/>
      <c r="Y2420" s="5"/>
      <c r="Z2420" s="5"/>
      <c r="AA2420" s="5"/>
      <c r="AB2420" s="5"/>
      <c r="AC2420" s="5"/>
      <c r="AD2420" s="5"/>
      <c r="AE2420" s="5"/>
      <c r="AF2420" s="5"/>
      <c r="AG2420" s="5"/>
      <c r="AH2420" s="5"/>
      <c r="AI2420" s="5"/>
      <c r="AJ2420" s="5"/>
    </row>
    <row r="2421" spans="1:36" ht="13">
      <c r="A2421" s="5"/>
      <c r="B2421" s="5"/>
      <c r="C2421" s="5"/>
      <c r="D2421" s="5"/>
      <c r="E2421" s="5"/>
      <c r="F2421" s="5"/>
      <c r="G2421" s="5"/>
      <c r="H2421" s="5"/>
      <c r="I2421" s="5"/>
      <c r="J2421" s="5"/>
      <c r="K2421" s="5"/>
      <c r="L2421" s="5"/>
      <c r="M2421" s="5"/>
      <c r="N2421" s="5"/>
      <c r="O2421" s="5"/>
      <c r="P2421" s="5"/>
      <c r="Q2421" s="5"/>
      <c r="R2421" s="5"/>
      <c r="S2421" s="5"/>
      <c r="T2421" s="5"/>
      <c r="U2421" s="5"/>
      <c r="V2421" s="5"/>
      <c r="W2421" s="5"/>
      <c r="X2421" s="5"/>
      <c r="Y2421" s="5"/>
      <c r="Z2421" s="5"/>
      <c r="AA2421" s="5"/>
      <c r="AB2421" s="5"/>
      <c r="AC2421" s="5"/>
      <c r="AD2421" s="5"/>
      <c r="AE2421" s="5"/>
      <c r="AF2421" s="5"/>
      <c r="AG2421" s="5"/>
      <c r="AH2421" s="5"/>
      <c r="AI2421" s="5"/>
      <c r="AJ2421" s="5"/>
    </row>
    <row r="2422" spans="1:36" ht="13">
      <c r="A2422" s="5"/>
      <c r="B2422" s="5"/>
      <c r="C2422" s="5"/>
      <c r="D2422" s="5"/>
      <c r="E2422" s="5"/>
      <c r="F2422" s="5"/>
      <c r="G2422" s="5"/>
      <c r="H2422" s="5"/>
      <c r="I2422" s="5"/>
      <c r="J2422" s="5"/>
      <c r="K2422" s="5"/>
      <c r="L2422" s="5"/>
      <c r="M2422" s="5"/>
      <c r="N2422" s="5"/>
      <c r="O2422" s="5"/>
      <c r="P2422" s="5"/>
      <c r="Q2422" s="5"/>
      <c r="R2422" s="5"/>
      <c r="S2422" s="5"/>
      <c r="T2422" s="5"/>
      <c r="U2422" s="5"/>
      <c r="V2422" s="5"/>
      <c r="W2422" s="5"/>
      <c r="X2422" s="5"/>
      <c r="Y2422" s="5"/>
      <c r="Z2422" s="5"/>
      <c r="AA2422" s="5"/>
      <c r="AB2422" s="5"/>
      <c r="AC2422" s="5"/>
      <c r="AD2422" s="5"/>
      <c r="AE2422" s="5"/>
      <c r="AF2422" s="5"/>
      <c r="AG2422" s="5"/>
      <c r="AH2422" s="5"/>
      <c r="AI2422" s="5"/>
      <c r="AJ2422" s="5"/>
    </row>
    <row r="2423" spans="1:36" ht="13">
      <c r="A2423" s="5"/>
      <c r="B2423" s="5"/>
      <c r="C2423" s="5"/>
      <c r="D2423" s="5"/>
      <c r="E2423" s="5"/>
      <c r="F2423" s="5"/>
      <c r="G2423" s="5"/>
      <c r="H2423" s="5"/>
      <c r="I2423" s="5"/>
      <c r="J2423" s="5"/>
      <c r="K2423" s="5"/>
      <c r="L2423" s="5"/>
      <c r="M2423" s="5"/>
      <c r="N2423" s="5"/>
      <c r="O2423" s="5"/>
      <c r="P2423" s="5"/>
      <c r="Q2423" s="5"/>
      <c r="R2423" s="5"/>
      <c r="S2423" s="5"/>
      <c r="T2423" s="5"/>
      <c r="U2423" s="5"/>
      <c r="V2423" s="5"/>
      <c r="W2423" s="5"/>
      <c r="X2423" s="5"/>
      <c r="Y2423" s="5"/>
      <c r="Z2423" s="5"/>
      <c r="AA2423" s="5"/>
      <c r="AB2423" s="5"/>
      <c r="AC2423" s="5"/>
      <c r="AD2423" s="5"/>
      <c r="AE2423" s="5"/>
      <c r="AF2423" s="5"/>
      <c r="AG2423" s="5"/>
      <c r="AH2423" s="5"/>
      <c r="AI2423" s="5"/>
      <c r="AJ2423" s="5"/>
    </row>
    <row r="2424" spans="1:36" ht="13">
      <c r="A2424" s="5"/>
      <c r="B2424" s="5"/>
      <c r="C2424" s="5"/>
      <c r="D2424" s="5"/>
      <c r="E2424" s="5"/>
      <c r="F2424" s="5"/>
      <c r="G2424" s="5"/>
      <c r="H2424" s="5"/>
      <c r="I2424" s="5"/>
      <c r="J2424" s="5"/>
      <c r="K2424" s="5"/>
      <c r="L2424" s="5"/>
      <c r="M2424" s="5"/>
      <c r="N2424" s="5"/>
      <c r="O2424" s="5"/>
      <c r="P2424" s="5"/>
      <c r="Q2424" s="5"/>
      <c r="R2424" s="5"/>
      <c r="S2424" s="5"/>
      <c r="T2424" s="5"/>
      <c r="U2424" s="5"/>
      <c r="V2424" s="5"/>
      <c r="W2424" s="5"/>
      <c r="X2424" s="5"/>
      <c r="Y2424" s="5"/>
      <c r="Z2424" s="5"/>
      <c r="AA2424" s="5"/>
      <c r="AB2424" s="5"/>
      <c r="AC2424" s="5"/>
      <c r="AD2424" s="5"/>
      <c r="AE2424" s="5"/>
      <c r="AF2424" s="5"/>
      <c r="AG2424" s="5"/>
      <c r="AH2424" s="5"/>
      <c r="AI2424" s="5"/>
      <c r="AJ2424" s="5"/>
    </row>
    <row r="2425" spans="1:36" ht="13">
      <c r="A2425" s="5"/>
      <c r="B2425" s="5"/>
      <c r="C2425" s="5"/>
      <c r="D2425" s="5"/>
      <c r="E2425" s="5"/>
      <c r="F2425" s="5"/>
      <c r="G2425" s="5"/>
      <c r="H2425" s="5"/>
      <c r="I2425" s="5"/>
      <c r="J2425" s="5"/>
      <c r="K2425" s="5"/>
      <c r="L2425" s="5"/>
      <c r="M2425" s="5"/>
      <c r="N2425" s="5"/>
      <c r="O2425" s="5"/>
      <c r="P2425" s="5"/>
      <c r="Q2425" s="5"/>
      <c r="R2425" s="5"/>
      <c r="S2425" s="5"/>
      <c r="T2425" s="5"/>
      <c r="U2425" s="5"/>
      <c r="V2425" s="5"/>
      <c r="W2425" s="5"/>
      <c r="X2425" s="5"/>
      <c r="Y2425" s="5"/>
      <c r="Z2425" s="5"/>
      <c r="AA2425" s="5"/>
      <c r="AB2425" s="5"/>
      <c r="AC2425" s="5"/>
      <c r="AD2425" s="5"/>
      <c r="AE2425" s="5"/>
      <c r="AF2425" s="5"/>
      <c r="AG2425" s="5"/>
      <c r="AH2425" s="5"/>
      <c r="AI2425" s="5"/>
      <c r="AJ2425" s="5"/>
    </row>
    <row r="2426" spans="1:36" ht="13">
      <c r="A2426" s="5"/>
      <c r="B2426" s="5"/>
      <c r="C2426" s="5"/>
      <c r="D2426" s="5"/>
      <c r="E2426" s="5"/>
      <c r="F2426" s="5"/>
      <c r="G2426" s="5"/>
      <c r="H2426" s="5"/>
      <c r="I2426" s="5"/>
      <c r="J2426" s="5"/>
      <c r="K2426" s="5"/>
      <c r="L2426" s="5"/>
      <c r="M2426" s="5"/>
      <c r="N2426" s="5"/>
      <c r="O2426" s="5"/>
      <c r="P2426" s="5"/>
      <c r="Q2426" s="5"/>
      <c r="R2426" s="5"/>
      <c r="S2426" s="5"/>
      <c r="T2426" s="5"/>
      <c r="U2426" s="5"/>
      <c r="V2426" s="5"/>
      <c r="W2426" s="5"/>
      <c r="X2426" s="5"/>
      <c r="Y2426" s="5"/>
      <c r="Z2426" s="5"/>
      <c r="AA2426" s="5"/>
      <c r="AB2426" s="5"/>
      <c r="AC2426" s="5"/>
      <c r="AD2426" s="5"/>
      <c r="AE2426" s="5"/>
      <c r="AF2426" s="5"/>
      <c r="AG2426" s="5"/>
      <c r="AH2426" s="5"/>
      <c r="AI2426" s="5"/>
      <c r="AJ2426" s="5"/>
    </row>
    <row r="2427" spans="1:36" ht="13">
      <c r="A2427" s="5"/>
      <c r="B2427" s="5"/>
      <c r="C2427" s="5"/>
      <c r="D2427" s="5"/>
      <c r="E2427" s="5"/>
      <c r="F2427" s="5"/>
      <c r="G2427" s="5"/>
      <c r="H2427" s="5"/>
      <c r="I2427" s="5"/>
      <c r="J2427" s="5"/>
      <c r="K2427" s="5"/>
      <c r="L2427" s="5"/>
      <c r="M2427" s="5"/>
      <c r="N2427" s="5"/>
      <c r="O2427" s="5"/>
      <c r="P2427" s="5"/>
      <c r="Q2427" s="5"/>
      <c r="R2427" s="5"/>
      <c r="S2427" s="5"/>
      <c r="T2427" s="5"/>
      <c r="U2427" s="5"/>
      <c r="V2427" s="5"/>
      <c r="W2427" s="5"/>
      <c r="X2427" s="5"/>
      <c r="Y2427" s="5"/>
      <c r="Z2427" s="5"/>
      <c r="AA2427" s="5"/>
      <c r="AB2427" s="5"/>
      <c r="AC2427" s="5"/>
      <c r="AD2427" s="5"/>
      <c r="AE2427" s="5"/>
      <c r="AF2427" s="5"/>
      <c r="AG2427" s="5"/>
      <c r="AH2427" s="5"/>
      <c r="AI2427" s="5"/>
      <c r="AJ2427" s="5"/>
    </row>
    <row r="2428" spans="1:36" ht="13">
      <c r="A2428" s="5"/>
      <c r="B2428" s="5"/>
      <c r="C2428" s="5"/>
      <c r="D2428" s="5"/>
      <c r="E2428" s="5"/>
      <c r="F2428" s="5"/>
      <c r="G2428" s="5"/>
      <c r="H2428" s="5"/>
      <c r="I2428" s="5"/>
      <c r="J2428" s="5"/>
      <c r="K2428" s="5"/>
      <c r="L2428" s="5"/>
      <c r="M2428" s="5"/>
      <c r="N2428" s="5"/>
      <c r="O2428" s="5"/>
      <c r="P2428" s="5"/>
      <c r="Q2428" s="5"/>
      <c r="R2428" s="5"/>
      <c r="S2428" s="5"/>
      <c r="T2428" s="5"/>
      <c r="U2428" s="5"/>
      <c r="V2428" s="5"/>
      <c r="W2428" s="5"/>
      <c r="X2428" s="5"/>
      <c r="Y2428" s="5"/>
      <c r="Z2428" s="5"/>
      <c r="AA2428" s="5"/>
      <c r="AB2428" s="5"/>
      <c r="AC2428" s="5"/>
      <c r="AD2428" s="5"/>
      <c r="AE2428" s="5"/>
      <c r="AF2428" s="5"/>
      <c r="AG2428" s="5"/>
      <c r="AH2428" s="5"/>
      <c r="AI2428" s="5"/>
      <c r="AJ2428" s="5"/>
    </row>
    <row r="2429" spans="1:36" ht="13">
      <c r="A2429" s="5"/>
      <c r="B2429" s="5"/>
      <c r="C2429" s="5"/>
      <c r="D2429" s="5"/>
      <c r="E2429" s="5"/>
      <c r="F2429" s="5"/>
      <c r="G2429" s="5"/>
      <c r="H2429" s="5"/>
      <c r="I2429" s="5"/>
      <c r="J2429" s="5"/>
      <c r="K2429" s="5"/>
      <c r="L2429" s="5"/>
      <c r="M2429" s="5"/>
      <c r="N2429" s="5"/>
      <c r="O2429" s="5"/>
      <c r="P2429" s="5"/>
      <c r="Q2429" s="5"/>
      <c r="R2429" s="5"/>
      <c r="S2429" s="5"/>
      <c r="T2429" s="5"/>
      <c r="U2429" s="5"/>
      <c r="V2429" s="5"/>
      <c r="W2429" s="5"/>
      <c r="X2429" s="5"/>
      <c r="Y2429" s="5"/>
      <c r="Z2429" s="5"/>
      <c r="AA2429" s="5"/>
      <c r="AB2429" s="5"/>
      <c r="AC2429" s="5"/>
      <c r="AD2429" s="5"/>
      <c r="AE2429" s="5"/>
      <c r="AF2429" s="5"/>
      <c r="AG2429" s="5"/>
      <c r="AH2429" s="5"/>
      <c r="AI2429" s="5"/>
      <c r="AJ2429" s="5"/>
    </row>
    <row r="2430" spans="1:36" ht="13">
      <c r="A2430" s="5"/>
      <c r="B2430" s="5"/>
      <c r="C2430" s="5"/>
      <c r="D2430" s="5"/>
      <c r="E2430" s="5"/>
      <c r="F2430" s="5"/>
      <c r="G2430" s="5"/>
      <c r="H2430" s="5"/>
      <c r="I2430" s="5"/>
      <c r="J2430" s="5"/>
      <c r="K2430" s="5"/>
      <c r="L2430" s="5"/>
      <c r="M2430" s="5"/>
      <c r="N2430" s="5"/>
      <c r="O2430" s="5"/>
      <c r="P2430" s="5"/>
      <c r="Q2430" s="5"/>
      <c r="R2430" s="5"/>
      <c r="S2430" s="5"/>
      <c r="T2430" s="5"/>
      <c r="U2430" s="5"/>
      <c r="V2430" s="5"/>
      <c r="W2430" s="5"/>
      <c r="X2430" s="5"/>
      <c r="Y2430" s="5"/>
      <c r="Z2430" s="5"/>
      <c r="AA2430" s="5"/>
      <c r="AB2430" s="5"/>
      <c r="AC2430" s="5"/>
      <c r="AD2430" s="5"/>
      <c r="AE2430" s="5"/>
      <c r="AF2430" s="5"/>
      <c r="AG2430" s="5"/>
      <c r="AH2430" s="5"/>
      <c r="AI2430" s="5"/>
      <c r="AJ2430" s="5"/>
    </row>
    <row r="2431" spans="1:36" ht="13">
      <c r="A2431" s="5"/>
      <c r="B2431" s="5"/>
      <c r="C2431" s="5"/>
      <c r="D2431" s="5"/>
      <c r="E2431" s="5"/>
      <c r="F2431" s="5"/>
      <c r="G2431" s="5"/>
      <c r="H2431" s="5"/>
      <c r="I2431" s="5"/>
      <c r="J2431" s="5"/>
      <c r="K2431" s="5"/>
      <c r="L2431" s="5"/>
      <c r="M2431" s="5"/>
      <c r="N2431" s="5"/>
      <c r="O2431" s="5"/>
      <c r="P2431" s="5"/>
      <c r="Q2431" s="5"/>
      <c r="R2431" s="5"/>
      <c r="S2431" s="5"/>
      <c r="T2431" s="5"/>
      <c r="U2431" s="5"/>
      <c r="V2431" s="5"/>
      <c r="W2431" s="5"/>
      <c r="X2431" s="5"/>
      <c r="Y2431" s="5"/>
      <c r="Z2431" s="5"/>
      <c r="AA2431" s="5"/>
      <c r="AB2431" s="5"/>
      <c r="AC2431" s="5"/>
      <c r="AD2431" s="5"/>
      <c r="AE2431" s="5"/>
      <c r="AF2431" s="5"/>
      <c r="AG2431" s="5"/>
      <c r="AH2431" s="5"/>
      <c r="AI2431" s="5"/>
      <c r="AJ2431" s="5"/>
    </row>
    <row r="2432" spans="1:36" ht="13">
      <c r="A2432" s="5"/>
      <c r="B2432" s="5"/>
      <c r="C2432" s="5"/>
      <c r="D2432" s="5"/>
      <c r="E2432" s="5"/>
      <c r="F2432" s="5"/>
      <c r="G2432" s="5"/>
      <c r="H2432" s="5"/>
      <c r="I2432" s="5"/>
      <c r="J2432" s="5"/>
      <c r="K2432" s="5"/>
      <c r="L2432" s="5"/>
      <c r="M2432" s="5"/>
      <c r="N2432" s="5"/>
      <c r="O2432" s="5"/>
      <c r="P2432" s="5"/>
      <c r="Q2432" s="5"/>
      <c r="R2432" s="5"/>
      <c r="S2432" s="5"/>
      <c r="T2432" s="5"/>
      <c r="U2432" s="5"/>
      <c r="V2432" s="5"/>
      <c r="W2432" s="5"/>
      <c r="X2432" s="5"/>
      <c r="Y2432" s="5"/>
      <c r="Z2432" s="5"/>
      <c r="AA2432" s="5"/>
      <c r="AB2432" s="5"/>
      <c r="AC2432" s="5"/>
      <c r="AD2432" s="5"/>
      <c r="AE2432" s="5"/>
      <c r="AF2432" s="5"/>
      <c r="AG2432" s="5"/>
      <c r="AH2432" s="5"/>
      <c r="AI2432" s="5"/>
      <c r="AJ2432" s="5"/>
    </row>
    <row r="2433" spans="1:36" ht="13">
      <c r="A2433" s="5"/>
      <c r="B2433" s="5"/>
      <c r="C2433" s="5"/>
      <c r="D2433" s="5"/>
      <c r="E2433" s="5"/>
      <c r="F2433" s="5"/>
      <c r="G2433" s="5"/>
      <c r="H2433" s="5"/>
      <c r="I2433" s="5"/>
      <c r="J2433" s="5"/>
      <c r="K2433" s="5"/>
      <c r="L2433" s="5"/>
      <c r="M2433" s="5"/>
      <c r="N2433" s="5"/>
      <c r="O2433" s="5"/>
      <c r="P2433" s="5"/>
      <c r="Q2433" s="5"/>
      <c r="R2433" s="5"/>
      <c r="S2433" s="5"/>
      <c r="T2433" s="5"/>
      <c r="U2433" s="5"/>
      <c r="V2433" s="5"/>
      <c r="W2433" s="5"/>
      <c r="X2433" s="5"/>
      <c r="Y2433" s="5"/>
      <c r="Z2433" s="5"/>
      <c r="AA2433" s="5"/>
      <c r="AB2433" s="5"/>
      <c r="AC2433" s="5"/>
      <c r="AD2433" s="5"/>
      <c r="AE2433" s="5"/>
      <c r="AF2433" s="5"/>
      <c r="AG2433" s="5"/>
      <c r="AH2433" s="5"/>
      <c r="AI2433" s="5"/>
      <c r="AJ2433" s="5"/>
    </row>
    <row r="2434" spans="1:36" ht="13">
      <c r="A2434" s="5"/>
      <c r="B2434" s="5"/>
      <c r="C2434" s="5"/>
      <c r="D2434" s="5"/>
      <c r="E2434" s="5"/>
      <c r="F2434" s="5"/>
      <c r="G2434" s="5"/>
      <c r="H2434" s="5"/>
      <c r="I2434" s="5"/>
      <c r="J2434" s="5"/>
      <c r="K2434" s="5"/>
      <c r="L2434" s="5"/>
      <c r="M2434" s="5"/>
      <c r="N2434" s="5"/>
      <c r="O2434" s="5"/>
      <c r="P2434" s="5"/>
      <c r="Q2434" s="5"/>
      <c r="R2434" s="5"/>
      <c r="S2434" s="5"/>
      <c r="T2434" s="5"/>
      <c r="U2434" s="5"/>
      <c r="V2434" s="5"/>
      <c r="W2434" s="5"/>
      <c r="X2434" s="5"/>
      <c r="Y2434" s="5"/>
      <c r="Z2434" s="5"/>
      <c r="AA2434" s="5"/>
      <c r="AB2434" s="5"/>
      <c r="AC2434" s="5"/>
      <c r="AD2434" s="5"/>
      <c r="AE2434" s="5"/>
      <c r="AF2434" s="5"/>
      <c r="AG2434" s="5"/>
      <c r="AH2434" s="5"/>
      <c r="AI2434" s="5"/>
      <c r="AJ2434" s="5"/>
    </row>
    <row r="2435" spans="1:36" ht="13">
      <c r="A2435" s="5"/>
      <c r="B2435" s="5"/>
      <c r="C2435" s="5"/>
      <c r="D2435" s="5"/>
      <c r="E2435" s="5"/>
      <c r="F2435" s="5"/>
      <c r="G2435" s="5"/>
      <c r="H2435" s="5"/>
      <c r="I2435" s="5"/>
      <c r="J2435" s="5"/>
      <c r="K2435" s="5"/>
      <c r="L2435" s="5"/>
      <c r="M2435" s="5"/>
      <c r="N2435" s="5"/>
      <c r="O2435" s="5"/>
      <c r="P2435" s="5"/>
      <c r="Q2435" s="5"/>
      <c r="R2435" s="5"/>
      <c r="S2435" s="5"/>
      <c r="T2435" s="5"/>
      <c r="U2435" s="5"/>
      <c r="V2435" s="5"/>
      <c r="W2435" s="5"/>
      <c r="X2435" s="5"/>
      <c r="Y2435" s="5"/>
      <c r="Z2435" s="5"/>
      <c r="AA2435" s="5"/>
      <c r="AB2435" s="5"/>
      <c r="AC2435" s="5"/>
      <c r="AD2435" s="5"/>
      <c r="AE2435" s="5"/>
      <c r="AF2435" s="5"/>
      <c r="AG2435" s="5"/>
      <c r="AH2435" s="5"/>
      <c r="AI2435" s="5"/>
      <c r="AJ2435" s="5"/>
    </row>
    <row r="2436" spans="1:36" ht="13">
      <c r="A2436" s="5"/>
      <c r="B2436" s="5"/>
      <c r="C2436" s="5"/>
      <c r="D2436" s="5"/>
      <c r="E2436" s="5"/>
      <c r="F2436" s="5"/>
      <c r="G2436" s="5"/>
      <c r="H2436" s="5"/>
      <c r="I2436" s="5"/>
      <c r="J2436" s="5"/>
      <c r="K2436" s="5"/>
      <c r="L2436" s="5"/>
      <c r="M2436" s="5"/>
      <c r="N2436" s="5"/>
      <c r="O2436" s="5"/>
      <c r="P2436" s="5"/>
      <c r="Q2436" s="5"/>
      <c r="R2436" s="5"/>
      <c r="S2436" s="5"/>
      <c r="T2436" s="5"/>
      <c r="U2436" s="5"/>
      <c r="V2436" s="5"/>
      <c r="W2436" s="5"/>
      <c r="X2436" s="5"/>
      <c r="Y2436" s="5"/>
      <c r="Z2436" s="5"/>
      <c r="AA2436" s="5"/>
      <c r="AB2436" s="5"/>
      <c r="AC2436" s="5"/>
      <c r="AD2436" s="5"/>
      <c r="AE2436" s="5"/>
      <c r="AF2436" s="5"/>
      <c r="AG2436" s="5"/>
      <c r="AH2436" s="5"/>
      <c r="AI2436" s="5"/>
      <c r="AJ2436" s="5"/>
    </row>
    <row r="2437" spans="1:36" ht="13">
      <c r="A2437" s="5"/>
      <c r="B2437" s="5"/>
      <c r="C2437" s="5"/>
      <c r="D2437" s="5"/>
      <c r="E2437" s="5"/>
      <c r="F2437" s="5"/>
      <c r="G2437" s="5"/>
      <c r="H2437" s="5"/>
      <c r="I2437" s="5"/>
      <c r="J2437" s="5"/>
      <c r="K2437" s="5"/>
      <c r="L2437" s="5"/>
      <c r="M2437" s="5"/>
      <c r="N2437" s="5"/>
      <c r="O2437" s="5"/>
      <c r="P2437" s="5"/>
      <c r="Q2437" s="5"/>
      <c r="R2437" s="5"/>
      <c r="S2437" s="5"/>
      <c r="T2437" s="5"/>
      <c r="U2437" s="5"/>
      <c r="V2437" s="5"/>
      <c r="W2437" s="5"/>
      <c r="X2437" s="5"/>
      <c r="Y2437" s="5"/>
      <c r="Z2437" s="5"/>
      <c r="AA2437" s="5"/>
      <c r="AB2437" s="5"/>
      <c r="AC2437" s="5"/>
      <c r="AD2437" s="5"/>
      <c r="AE2437" s="5"/>
      <c r="AF2437" s="5"/>
      <c r="AG2437" s="5"/>
      <c r="AH2437" s="5"/>
      <c r="AI2437" s="5"/>
      <c r="AJ2437" s="5"/>
    </row>
    <row r="2438" spans="1:36" ht="13">
      <c r="A2438" s="5"/>
      <c r="B2438" s="5"/>
      <c r="C2438" s="5"/>
      <c r="D2438" s="5"/>
      <c r="E2438" s="5"/>
      <c r="F2438" s="5"/>
      <c r="G2438" s="5"/>
      <c r="H2438" s="5"/>
      <c r="I2438" s="5"/>
      <c r="J2438" s="5"/>
      <c r="K2438" s="5"/>
      <c r="L2438" s="5"/>
      <c r="M2438" s="5"/>
      <c r="N2438" s="5"/>
      <c r="O2438" s="5"/>
      <c r="P2438" s="5"/>
      <c r="Q2438" s="5"/>
      <c r="R2438" s="5"/>
      <c r="S2438" s="5"/>
      <c r="T2438" s="5"/>
      <c r="U2438" s="5"/>
      <c r="V2438" s="5"/>
      <c r="W2438" s="5"/>
      <c r="X2438" s="5"/>
      <c r="Y2438" s="5"/>
      <c r="Z2438" s="5"/>
      <c r="AA2438" s="5"/>
      <c r="AB2438" s="5"/>
      <c r="AC2438" s="5"/>
      <c r="AD2438" s="5"/>
      <c r="AE2438" s="5"/>
      <c r="AF2438" s="5"/>
      <c r="AG2438" s="5"/>
      <c r="AH2438" s="5"/>
      <c r="AI2438" s="5"/>
      <c r="AJ2438" s="5"/>
    </row>
    <row r="2439" spans="1:36" ht="13">
      <c r="A2439" s="5"/>
      <c r="B2439" s="5"/>
      <c r="C2439" s="5"/>
      <c r="D2439" s="5"/>
      <c r="E2439" s="5"/>
      <c r="F2439" s="5"/>
      <c r="G2439" s="5"/>
      <c r="H2439" s="5"/>
      <c r="I2439" s="5"/>
      <c r="J2439" s="5"/>
      <c r="K2439" s="5"/>
      <c r="L2439" s="5"/>
      <c r="M2439" s="5"/>
      <c r="N2439" s="5"/>
      <c r="O2439" s="5"/>
      <c r="P2439" s="5"/>
      <c r="Q2439" s="5"/>
      <c r="R2439" s="5"/>
      <c r="S2439" s="5"/>
      <c r="T2439" s="5"/>
      <c r="U2439" s="5"/>
      <c r="V2439" s="5"/>
      <c r="W2439" s="5"/>
      <c r="X2439" s="5"/>
      <c r="Y2439" s="5"/>
      <c r="Z2439" s="5"/>
      <c r="AA2439" s="5"/>
      <c r="AB2439" s="5"/>
      <c r="AC2439" s="5"/>
      <c r="AD2439" s="5"/>
      <c r="AE2439" s="5"/>
      <c r="AF2439" s="5"/>
      <c r="AG2439" s="5"/>
      <c r="AH2439" s="5"/>
      <c r="AI2439" s="5"/>
      <c r="AJ2439" s="5"/>
    </row>
    <row r="2440" spans="1:36" ht="13">
      <c r="A2440" s="5"/>
      <c r="B2440" s="5"/>
      <c r="C2440" s="5"/>
      <c r="D2440" s="5"/>
      <c r="E2440" s="5"/>
      <c r="F2440" s="5"/>
      <c r="G2440" s="5"/>
      <c r="H2440" s="5"/>
      <c r="I2440" s="5"/>
      <c r="J2440" s="5"/>
      <c r="K2440" s="5"/>
      <c r="L2440" s="5"/>
      <c r="M2440" s="5"/>
      <c r="N2440" s="5"/>
      <c r="O2440" s="5"/>
      <c r="P2440" s="5"/>
      <c r="Q2440" s="5"/>
      <c r="R2440" s="5"/>
      <c r="S2440" s="5"/>
      <c r="T2440" s="5"/>
      <c r="U2440" s="5"/>
      <c r="V2440" s="5"/>
      <c r="W2440" s="5"/>
      <c r="X2440" s="5"/>
      <c r="Y2440" s="5"/>
      <c r="Z2440" s="5"/>
      <c r="AA2440" s="5"/>
      <c r="AB2440" s="5"/>
      <c r="AC2440" s="5"/>
      <c r="AD2440" s="5"/>
      <c r="AE2440" s="5"/>
      <c r="AF2440" s="5"/>
      <c r="AG2440" s="5"/>
      <c r="AH2440" s="5"/>
      <c r="AI2440" s="5"/>
      <c r="AJ2440" s="5"/>
    </row>
    <row r="2441" spans="1:36" ht="13">
      <c r="A2441" s="5"/>
      <c r="B2441" s="5"/>
      <c r="C2441" s="5"/>
      <c r="D2441" s="5"/>
      <c r="E2441" s="5"/>
      <c r="F2441" s="5"/>
      <c r="G2441" s="5"/>
      <c r="H2441" s="5"/>
      <c r="I2441" s="5"/>
      <c r="J2441" s="5"/>
      <c r="K2441" s="5"/>
      <c r="L2441" s="5"/>
      <c r="M2441" s="5"/>
      <c r="N2441" s="5"/>
      <c r="O2441" s="5"/>
      <c r="P2441" s="5"/>
      <c r="Q2441" s="5"/>
      <c r="R2441" s="5"/>
      <c r="S2441" s="5"/>
      <c r="T2441" s="5"/>
      <c r="U2441" s="5"/>
      <c r="V2441" s="5"/>
      <c r="W2441" s="5"/>
      <c r="X2441" s="5"/>
      <c r="Y2441" s="5"/>
      <c r="Z2441" s="5"/>
      <c r="AA2441" s="5"/>
      <c r="AB2441" s="5"/>
      <c r="AC2441" s="5"/>
      <c r="AD2441" s="5"/>
      <c r="AE2441" s="5"/>
      <c r="AF2441" s="5"/>
      <c r="AG2441" s="5"/>
      <c r="AH2441" s="5"/>
      <c r="AI2441" s="5"/>
      <c r="AJ2441" s="5"/>
    </row>
    <row r="2442" spans="1:36" ht="13">
      <c r="A2442" s="5"/>
      <c r="B2442" s="5"/>
      <c r="C2442" s="5"/>
      <c r="D2442" s="5"/>
      <c r="E2442" s="5"/>
      <c r="F2442" s="5"/>
      <c r="G2442" s="5"/>
      <c r="H2442" s="5"/>
      <c r="I2442" s="5"/>
      <c r="J2442" s="5"/>
      <c r="K2442" s="5"/>
      <c r="L2442" s="5"/>
      <c r="M2442" s="5"/>
      <c r="N2442" s="5"/>
      <c r="O2442" s="5"/>
      <c r="P2442" s="5"/>
      <c r="Q2442" s="5"/>
      <c r="R2442" s="5"/>
      <c r="S2442" s="5"/>
      <c r="T2442" s="5"/>
      <c r="U2442" s="5"/>
      <c r="V2442" s="5"/>
      <c r="W2442" s="5"/>
      <c r="X2442" s="5"/>
      <c r="Y2442" s="5"/>
      <c r="Z2442" s="5"/>
      <c r="AA2442" s="5"/>
      <c r="AB2442" s="5"/>
      <c r="AC2442" s="5"/>
      <c r="AD2442" s="5"/>
      <c r="AE2442" s="5"/>
      <c r="AF2442" s="5"/>
      <c r="AG2442" s="5"/>
      <c r="AH2442" s="5"/>
      <c r="AI2442" s="5"/>
      <c r="AJ2442" s="5"/>
    </row>
    <row r="2443" spans="1:36" ht="13">
      <c r="A2443" s="5"/>
      <c r="B2443" s="5"/>
      <c r="C2443" s="5"/>
      <c r="D2443" s="5"/>
      <c r="E2443" s="5"/>
      <c r="F2443" s="5"/>
      <c r="G2443" s="5"/>
      <c r="H2443" s="5"/>
      <c r="I2443" s="5"/>
      <c r="J2443" s="5"/>
      <c r="K2443" s="5"/>
      <c r="L2443" s="5"/>
      <c r="M2443" s="5"/>
      <c r="N2443" s="5"/>
      <c r="O2443" s="5"/>
      <c r="P2443" s="5"/>
      <c r="Q2443" s="5"/>
      <c r="R2443" s="5"/>
      <c r="S2443" s="5"/>
      <c r="T2443" s="5"/>
      <c r="U2443" s="5"/>
      <c r="V2443" s="5"/>
      <c r="W2443" s="5"/>
      <c r="X2443" s="5"/>
      <c r="Y2443" s="5"/>
      <c r="Z2443" s="5"/>
      <c r="AA2443" s="5"/>
      <c r="AB2443" s="5"/>
      <c r="AC2443" s="5"/>
      <c r="AD2443" s="5"/>
      <c r="AE2443" s="5"/>
      <c r="AF2443" s="5"/>
      <c r="AG2443" s="5"/>
      <c r="AH2443" s="5"/>
      <c r="AI2443" s="5"/>
      <c r="AJ2443" s="5"/>
    </row>
    <row r="2444" spans="1:36" ht="13">
      <c r="A2444" s="5"/>
      <c r="B2444" s="5"/>
      <c r="C2444" s="5"/>
      <c r="D2444" s="5"/>
      <c r="E2444" s="5"/>
      <c r="F2444" s="5"/>
      <c r="G2444" s="5"/>
      <c r="H2444" s="5"/>
      <c r="I2444" s="5"/>
      <c r="J2444" s="5"/>
      <c r="K2444" s="5"/>
      <c r="L2444" s="5"/>
      <c r="M2444" s="5"/>
      <c r="N2444" s="5"/>
      <c r="O2444" s="5"/>
      <c r="P2444" s="5"/>
      <c r="Q2444" s="5"/>
      <c r="R2444" s="5"/>
      <c r="S2444" s="5"/>
      <c r="T2444" s="5"/>
      <c r="U2444" s="5"/>
      <c r="V2444" s="5"/>
      <c r="W2444" s="5"/>
      <c r="X2444" s="5"/>
      <c r="Y2444" s="5"/>
      <c r="Z2444" s="5"/>
      <c r="AA2444" s="5"/>
      <c r="AB2444" s="5"/>
      <c r="AC2444" s="5"/>
      <c r="AD2444" s="5"/>
      <c r="AE2444" s="5"/>
      <c r="AF2444" s="5"/>
      <c r="AG2444" s="5"/>
      <c r="AH2444" s="5"/>
      <c r="AI2444" s="5"/>
      <c r="AJ2444" s="5"/>
    </row>
    <row r="2445" spans="1:36" ht="13">
      <c r="A2445" s="5"/>
      <c r="B2445" s="5"/>
      <c r="C2445" s="5"/>
      <c r="D2445" s="5"/>
      <c r="E2445" s="5"/>
      <c r="F2445" s="5"/>
      <c r="G2445" s="5"/>
      <c r="H2445" s="5"/>
      <c r="I2445" s="5"/>
      <c r="J2445" s="5"/>
      <c r="K2445" s="5"/>
      <c r="L2445" s="5"/>
      <c r="M2445" s="5"/>
      <c r="N2445" s="5"/>
      <c r="O2445" s="5"/>
      <c r="P2445" s="5"/>
      <c r="Q2445" s="5"/>
      <c r="R2445" s="5"/>
      <c r="S2445" s="5"/>
      <c r="T2445" s="5"/>
      <c r="U2445" s="5"/>
      <c r="V2445" s="5"/>
      <c r="W2445" s="5"/>
      <c r="X2445" s="5"/>
      <c r="Y2445" s="5"/>
      <c r="Z2445" s="5"/>
      <c r="AA2445" s="5"/>
      <c r="AB2445" s="5"/>
      <c r="AC2445" s="5"/>
      <c r="AD2445" s="5"/>
      <c r="AE2445" s="5"/>
      <c r="AF2445" s="5"/>
      <c r="AG2445" s="5"/>
      <c r="AH2445" s="5"/>
      <c r="AI2445" s="5"/>
      <c r="AJ2445" s="5"/>
    </row>
    <row r="2446" spans="1:36" ht="13">
      <c r="A2446" s="5"/>
      <c r="B2446" s="5"/>
      <c r="C2446" s="5"/>
      <c r="D2446" s="5"/>
      <c r="E2446" s="5"/>
      <c r="F2446" s="5"/>
      <c r="G2446" s="5"/>
      <c r="H2446" s="5"/>
      <c r="I2446" s="5"/>
      <c r="J2446" s="5"/>
      <c r="K2446" s="5"/>
      <c r="L2446" s="5"/>
      <c r="M2446" s="5"/>
      <c r="N2446" s="5"/>
      <c r="O2446" s="5"/>
      <c r="P2446" s="5"/>
      <c r="Q2446" s="5"/>
      <c r="R2446" s="5"/>
      <c r="S2446" s="5"/>
      <c r="T2446" s="5"/>
      <c r="U2446" s="5"/>
      <c r="V2446" s="5"/>
      <c r="W2446" s="5"/>
      <c r="X2446" s="5"/>
      <c r="Y2446" s="5"/>
      <c r="Z2446" s="5"/>
      <c r="AA2446" s="5"/>
      <c r="AB2446" s="5"/>
      <c r="AC2446" s="5"/>
      <c r="AD2446" s="5"/>
      <c r="AE2446" s="5"/>
      <c r="AF2446" s="5"/>
      <c r="AG2446" s="5"/>
      <c r="AH2446" s="5"/>
      <c r="AI2446" s="5"/>
      <c r="AJ2446" s="5"/>
    </row>
    <row r="2447" spans="1:36" ht="13">
      <c r="A2447" s="5"/>
      <c r="B2447" s="5"/>
      <c r="C2447" s="5"/>
      <c r="D2447" s="5"/>
      <c r="E2447" s="5"/>
      <c r="F2447" s="5"/>
      <c r="G2447" s="5"/>
      <c r="H2447" s="5"/>
      <c r="I2447" s="5"/>
      <c r="J2447" s="5"/>
      <c r="K2447" s="5"/>
      <c r="L2447" s="5"/>
      <c r="M2447" s="5"/>
      <c r="N2447" s="5"/>
      <c r="O2447" s="5"/>
      <c r="P2447" s="5"/>
      <c r="Q2447" s="5"/>
      <c r="R2447" s="5"/>
      <c r="S2447" s="5"/>
      <c r="T2447" s="5"/>
      <c r="U2447" s="5"/>
      <c r="V2447" s="5"/>
      <c r="W2447" s="5"/>
      <c r="X2447" s="5"/>
      <c r="Y2447" s="5"/>
      <c r="Z2447" s="5"/>
      <c r="AA2447" s="5"/>
      <c r="AB2447" s="5"/>
      <c r="AC2447" s="5"/>
      <c r="AD2447" s="5"/>
      <c r="AE2447" s="5"/>
      <c r="AF2447" s="5"/>
      <c r="AG2447" s="5"/>
      <c r="AH2447" s="5"/>
      <c r="AI2447" s="5"/>
      <c r="AJ2447" s="5"/>
    </row>
    <row r="2448" spans="1:36" ht="13">
      <c r="A2448" s="5"/>
      <c r="B2448" s="5"/>
      <c r="C2448" s="5"/>
      <c r="D2448" s="5"/>
      <c r="E2448" s="5"/>
      <c r="F2448" s="5"/>
      <c r="G2448" s="5"/>
      <c r="H2448" s="5"/>
      <c r="I2448" s="5"/>
      <c r="J2448" s="5"/>
      <c r="K2448" s="5"/>
      <c r="L2448" s="5"/>
      <c r="M2448" s="5"/>
      <c r="N2448" s="5"/>
      <c r="O2448" s="5"/>
      <c r="P2448" s="5"/>
      <c r="Q2448" s="5"/>
      <c r="R2448" s="5"/>
      <c r="S2448" s="5"/>
      <c r="T2448" s="5"/>
      <c r="U2448" s="5"/>
      <c r="V2448" s="5"/>
      <c r="W2448" s="5"/>
      <c r="X2448" s="5"/>
      <c r="Y2448" s="5"/>
      <c r="Z2448" s="5"/>
      <c r="AA2448" s="5"/>
      <c r="AB2448" s="5"/>
      <c r="AC2448" s="5"/>
      <c r="AD2448" s="5"/>
      <c r="AE2448" s="5"/>
      <c r="AF2448" s="5"/>
      <c r="AG2448" s="5"/>
      <c r="AH2448" s="5"/>
      <c r="AI2448" s="5"/>
      <c r="AJ2448" s="5"/>
    </row>
    <row r="2449" spans="1:36" ht="13">
      <c r="A2449" s="5"/>
      <c r="B2449" s="5"/>
      <c r="C2449" s="5"/>
      <c r="D2449" s="5"/>
      <c r="E2449" s="5"/>
      <c r="F2449" s="5"/>
      <c r="G2449" s="5"/>
      <c r="H2449" s="5"/>
      <c r="I2449" s="5"/>
      <c r="J2449" s="5"/>
      <c r="K2449" s="5"/>
      <c r="L2449" s="5"/>
      <c r="M2449" s="5"/>
      <c r="N2449" s="5"/>
      <c r="O2449" s="5"/>
      <c r="P2449" s="5"/>
      <c r="Q2449" s="5"/>
      <c r="R2449" s="5"/>
      <c r="S2449" s="5"/>
      <c r="T2449" s="5"/>
      <c r="U2449" s="5"/>
      <c r="V2449" s="5"/>
      <c r="W2449" s="5"/>
      <c r="X2449" s="5"/>
      <c r="Y2449" s="5"/>
      <c r="Z2449" s="5"/>
      <c r="AA2449" s="5"/>
      <c r="AB2449" s="5"/>
      <c r="AC2449" s="5"/>
      <c r="AD2449" s="5"/>
      <c r="AE2449" s="5"/>
      <c r="AF2449" s="5"/>
      <c r="AG2449" s="5"/>
      <c r="AH2449" s="5"/>
      <c r="AI2449" s="5"/>
      <c r="AJ2449" s="5"/>
    </row>
    <row r="2450" spans="1:36" ht="13">
      <c r="A2450" s="5"/>
      <c r="B2450" s="5"/>
      <c r="C2450" s="5"/>
      <c r="D2450" s="5"/>
      <c r="E2450" s="5"/>
      <c r="F2450" s="5"/>
      <c r="G2450" s="5"/>
      <c r="H2450" s="5"/>
      <c r="I2450" s="5"/>
      <c r="J2450" s="5"/>
      <c r="K2450" s="5"/>
      <c r="L2450" s="5"/>
      <c r="M2450" s="5"/>
      <c r="N2450" s="5"/>
      <c r="O2450" s="5"/>
      <c r="P2450" s="5"/>
      <c r="Q2450" s="5"/>
      <c r="R2450" s="5"/>
      <c r="S2450" s="5"/>
      <c r="T2450" s="5"/>
      <c r="U2450" s="5"/>
      <c r="V2450" s="5"/>
      <c r="W2450" s="5"/>
      <c r="X2450" s="5"/>
      <c r="Y2450" s="5"/>
      <c r="Z2450" s="5"/>
      <c r="AA2450" s="5"/>
      <c r="AB2450" s="5"/>
      <c r="AC2450" s="5"/>
      <c r="AD2450" s="5"/>
      <c r="AE2450" s="5"/>
      <c r="AF2450" s="5"/>
      <c r="AG2450" s="5"/>
      <c r="AH2450" s="5"/>
      <c r="AI2450" s="5"/>
      <c r="AJ2450" s="5"/>
    </row>
    <row r="2451" spans="1:36" ht="13">
      <c r="A2451" s="5"/>
      <c r="B2451" s="5"/>
      <c r="C2451" s="5"/>
      <c r="D2451" s="5"/>
      <c r="E2451" s="5"/>
      <c r="F2451" s="5"/>
      <c r="G2451" s="5"/>
      <c r="H2451" s="5"/>
      <c r="I2451" s="5"/>
      <c r="J2451" s="5"/>
      <c r="K2451" s="5"/>
      <c r="L2451" s="5"/>
      <c r="M2451" s="5"/>
      <c r="N2451" s="5"/>
      <c r="O2451" s="5"/>
      <c r="P2451" s="5"/>
      <c r="Q2451" s="5"/>
      <c r="R2451" s="5"/>
      <c r="S2451" s="5"/>
      <c r="T2451" s="5"/>
      <c r="U2451" s="5"/>
      <c r="V2451" s="5"/>
      <c r="W2451" s="5"/>
      <c r="X2451" s="5"/>
      <c r="Y2451" s="5"/>
      <c r="Z2451" s="5"/>
      <c r="AA2451" s="5"/>
      <c r="AB2451" s="5"/>
      <c r="AC2451" s="5"/>
      <c r="AD2451" s="5"/>
      <c r="AE2451" s="5"/>
      <c r="AF2451" s="5"/>
      <c r="AG2451" s="5"/>
      <c r="AH2451" s="5"/>
      <c r="AI2451" s="5"/>
      <c r="AJ2451" s="5"/>
    </row>
    <row r="2452" spans="1:36" ht="13">
      <c r="A2452" s="5"/>
      <c r="B2452" s="5"/>
      <c r="C2452" s="5"/>
      <c r="D2452" s="5"/>
      <c r="E2452" s="5"/>
      <c r="F2452" s="5"/>
      <c r="G2452" s="5"/>
      <c r="H2452" s="5"/>
      <c r="I2452" s="5"/>
      <c r="J2452" s="5"/>
      <c r="K2452" s="5"/>
      <c r="L2452" s="5"/>
      <c r="M2452" s="5"/>
      <c r="N2452" s="5"/>
      <c r="O2452" s="5"/>
      <c r="P2452" s="5"/>
      <c r="Q2452" s="5"/>
      <c r="R2452" s="5"/>
      <c r="S2452" s="5"/>
      <c r="T2452" s="5"/>
      <c r="U2452" s="5"/>
      <c r="V2452" s="5"/>
      <c r="W2452" s="5"/>
      <c r="X2452" s="5"/>
      <c r="Y2452" s="5"/>
      <c r="Z2452" s="5"/>
      <c r="AA2452" s="5"/>
      <c r="AB2452" s="5"/>
      <c r="AC2452" s="5"/>
      <c r="AD2452" s="5"/>
      <c r="AE2452" s="5"/>
      <c r="AF2452" s="5"/>
      <c r="AG2452" s="5"/>
      <c r="AH2452" s="5"/>
      <c r="AI2452" s="5"/>
      <c r="AJ2452" s="5"/>
    </row>
    <row r="2453" spans="1:36" ht="13">
      <c r="A2453" s="5"/>
      <c r="B2453" s="5"/>
      <c r="C2453" s="5"/>
      <c r="D2453" s="5"/>
      <c r="E2453" s="5"/>
      <c r="F2453" s="5"/>
      <c r="G2453" s="5"/>
      <c r="H2453" s="5"/>
      <c r="I2453" s="5"/>
      <c r="J2453" s="5"/>
      <c r="K2453" s="5"/>
      <c r="L2453" s="5"/>
      <c r="M2453" s="5"/>
      <c r="N2453" s="5"/>
      <c r="O2453" s="5"/>
      <c r="P2453" s="5"/>
      <c r="Q2453" s="5"/>
      <c r="R2453" s="5"/>
      <c r="S2453" s="5"/>
      <c r="T2453" s="5"/>
      <c r="U2453" s="5"/>
      <c r="V2453" s="5"/>
      <c r="W2453" s="5"/>
      <c r="X2453" s="5"/>
      <c r="Y2453" s="5"/>
      <c r="Z2453" s="5"/>
      <c r="AA2453" s="5"/>
      <c r="AB2453" s="5"/>
      <c r="AC2453" s="5"/>
      <c r="AD2453" s="5"/>
      <c r="AE2453" s="5"/>
      <c r="AF2453" s="5"/>
      <c r="AG2453" s="5"/>
      <c r="AH2453" s="5"/>
      <c r="AI2453" s="5"/>
      <c r="AJ2453" s="5"/>
    </row>
    <row r="2454" spans="1:36" ht="13">
      <c r="A2454" s="5"/>
      <c r="B2454" s="5"/>
      <c r="C2454" s="5"/>
      <c r="D2454" s="5"/>
      <c r="E2454" s="5"/>
      <c r="F2454" s="5"/>
      <c r="G2454" s="5"/>
      <c r="H2454" s="5"/>
      <c r="I2454" s="5"/>
      <c r="J2454" s="5"/>
      <c r="K2454" s="5"/>
      <c r="L2454" s="5"/>
      <c r="M2454" s="5"/>
      <c r="N2454" s="5"/>
      <c r="O2454" s="5"/>
      <c r="P2454" s="5"/>
      <c r="Q2454" s="5"/>
      <c r="R2454" s="5"/>
      <c r="S2454" s="5"/>
      <c r="T2454" s="5"/>
      <c r="U2454" s="5"/>
      <c r="V2454" s="5"/>
      <c r="W2454" s="5"/>
      <c r="X2454" s="5"/>
      <c r="Y2454" s="5"/>
      <c r="Z2454" s="5"/>
      <c r="AA2454" s="5"/>
      <c r="AB2454" s="5"/>
      <c r="AC2454" s="5"/>
      <c r="AD2454" s="5"/>
      <c r="AE2454" s="5"/>
      <c r="AF2454" s="5"/>
      <c r="AG2454" s="5"/>
      <c r="AH2454" s="5"/>
      <c r="AI2454" s="5"/>
      <c r="AJ2454" s="5"/>
    </row>
    <row r="2455" spans="1:36" ht="13">
      <c r="A2455" s="5"/>
      <c r="B2455" s="5"/>
      <c r="C2455" s="5"/>
      <c r="D2455" s="5"/>
      <c r="E2455" s="5"/>
      <c r="F2455" s="5"/>
      <c r="G2455" s="5"/>
      <c r="H2455" s="5"/>
      <c r="I2455" s="5"/>
      <c r="J2455" s="5"/>
      <c r="K2455" s="5"/>
      <c r="L2455" s="5"/>
      <c r="M2455" s="5"/>
      <c r="N2455" s="5"/>
      <c r="O2455" s="5"/>
      <c r="P2455" s="5"/>
      <c r="Q2455" s="5"/>
      <c r="R2455" s="5"/>
      <c r="S2455" s="5"/>
      <c r="T2455" s="5"/>
      <c r="U2455" s="5"/>
      <c r="V2455" s="5"/>
      <c r="W2455" s="5"/>
      <c r="X2455" s="5"/>
      <c r="Y2455" s="5"/>
      <c r="Z2455" s="5"/>
      <c r="AA2455" s="5"/>
      <c r="AB2455" s="5"/>
      <c r="AC2455" s="5"/>
      <c r="AD2455" s="5"/>
      <c r="AE2455" s="5"/>
      <c r="AF2455" s="5"/>
      <c r="AG2455" s="5"/>
      <c r="AH2455" s="5"/>
      <c r="AI2455" s="5"/>
      <c r="AJ2455" s="5"/>
    </row>
    <row r="2456" spans="1:36" ht="13">
      <c r="A2456" s="5"/>
      <c r="B2456" s="5"/>
      <c r="C2456" s="5"/>
      <c r="D2456" s="5"/>
      <c r="E2456" s="5"/>
      <c r="F2456" s="5"/>
      <c r="G2456" s="5"/>
      <c r="H2456" s="5"/>
      <c r="I2456" s="5"/>
      <c r="J2456" s="5"/>
      <c r="K2456" s="5"/>
      <c r="L2456" s="5"/>
      <c r="M2456" s="5"/>
      <c r="N2456" s="5"/>
      <c r="O2456" s="5"/>
      <c r="P2456" s="5"/>
      <c r="Q2456" s="5"/>
      <c r="R2456" s="5"/>
      <c r="S2456" s="5"/>
      <c r="T2456" s="5"/>
      <c r="U2456" s="5"/>
      <c r="V2456" s="5"/>
      <c r="W2456" s="5"/>
      <c r="X2456" s="5"/>
      <c r="Y2456" s="5"/>
      <c r="Z2456" s="5"/>
      <c r="AA2456" s="5"/>
      <c r="AB2456" s="5"/>
      <c r="AC2456" s="5"/>
      <c r="AD2456" s="5"/>
      <c r="AE2456" s="5"/>
      <c r="AF2456" s="5"/>
      <c r="AG2456" s="5"/>
      <c r="AH2456" s="5"/>
      <c r="AI2456" s="5"/>
      <c r="AJ2456" s="5"/>
    </row>
    <row r="2457" spans="1:36" ht="13">
      <c r="A2457" s="5"/>
      <c r="B2457" s="5"/>
      <c r="C2457" s="5"/>
      <c r="D2457" s="5"/>
      <c r="E2457" s="5"/>
      <c r="F2457" s="5"/>
      <c r="G2457" s="5"/>
      <c r="H2457" s="5"/>
      <c r="I2457" s="5"/>
      <c r="J2457" s="5"/>
      <c r="K2457" s="5"/>
      <c r="L2457" s="5"/>
      <c r="M2457" s="5"/>
      <c r="N2457" s="5"/>
      <c r="O2457" s="5"/>
      <c r="P2457" s="5"/>
      <c r="Q2457" s="5"/>
      <c r="R2457" s="5"/>
      <c r="S2457" s="5"/>
      <c r="T2457" s="5"/>
      <c r="U2457" s="5"/>
      <c r="V2457" s="5"/>
      <c r="W2457" s="5"/>
      <c r="X2457" s="5"/>
      <c r="Y2457" s="5"/>
      <c r="Z2457" s="5"/>
      <c r="AA2457" s="5"/>
      <c r="AB2457" s="5"/>
      <c r="AC2457" s="5"/>
      <c r="AD2457" s="5"/>
      <c r="AE2457" s="5"/>
      <c r="AF2457" s="5"/>
      <c r="AG2457" s="5"/>
      <c r="AH2457" s="5"/>
      <c r="AI2457" s="5"/>
      <c r="AJ2457" s="5"/>
    </row>
    <row r="2458" spans="1:36" ht="13">
      <c r="A2458" s="5"/>
      <c r="B2458" s="5"/>
      <c r="C2458" s="5"/>
      <c r="D2458" s="5"/>
      <c r="E2458" s="5"/>
      <c r="F2458" s="5"/>
      <c r="G2458" s="5"/>
      <c r="H2458" s="5"/>
      <c r="I2458" s="5"/>
      <c r="J2458" s="5"/>
      <c r="K2458" s="5"/>
      <c r="L2458" s="5"/>
      <c r="M2458" s="5"/>
      <c r="N2458" s="5"/>
      <c r="O2458" s="5"/>
      <c r="P2458" s="5"/>
      <c r="Q2458" s="5"/>
      <c r="R2458" s="5"/>
      <c r="S2458" s="5"/>
      <c r="T2458" s="5"/>
      <c r="U2458" s="5"/>
      <c r="V2458" s="5"/>
      <c r="W2458" s="5"/>
      <c r="X2458" s="5"/>
      <c r="Y2458" s="5"/>
      <c r="Z2458" s="5"/>
      <c r="AA2458" s="5"/>
      <c r="AB2458" s="5"/>
      <c r="AC2458" s="5"/>
      <c r="AD2458" s="5"/>
      <c r="AE2458" s="5"/>
      <c r="AF2458" s="5"/>
      <c r="AG2458" s="5"/>
      <c r="AH2458" s="5"/>
      <c r="AI2458" s="5"/>
      <c r="AJ2458" s="5"/>
    </row>
    <row r="2459" spans="1:36" ht="13">
      <c r="A2459" s="5"/>
      <c r="B2459" s="5"/>
      <c r="C2459" s="5"/>
      <c r="D2459" s="5"/>
      <c r="E2459" s="5"/>
      <c r="F2459" s="5"/>
      <c r="G2459" s="5"/>
      <c r="H2459" s="5"/>
      <c r="I2459" s="5"/>
      <c r="J2459" s="5"/>
      <c r="K2459" s="5"/>
      <c r="L2459" s="5"/>
      <c r="M2459" s="5"/>
      <c r="N2459" s="5"/>
      <c r="O2459" s="5"/>
      <c r="P2459" s="5"/>
      <c r="Q2459" s="5"/>
      <c r="R2459" s="5"/>
      <c r="S2459" s="5"/>
      <c r="T2459" s="5"/>
      <c r="U2459" s="5"/>
      <c r="V2459" s="5"/>
      <c r="W2459" s="5"/>
      <c r="X2459" s="5"/>
      <c r="Y2459" s="5"/>
      <c r="Z2459" s="5"/>
      <c r="AA2459" s="5"/>
      <c r="AB2459" s="5"/>
      <c r="AC2459" s="5"/>
      <c r="AD2459" s="5"/>
      <c r="AE2459" s="5"/>
      <c r="AF2459" s="5"/>
      <c r="AG2459" s="5"/>
      <c r="AH2459" s="5"/>
      <c r="AI2459" s="5"/>
      <c r="AJ2459" s="5"/>
    </row>
    <row r="2460" spans="1:36" ht="13">
      <c r="A2460" s="5"/>
      <c r="B2460" s="5"/>
      <c r="C2460" s="5"/>
      <c r="D2460" s="5"/>
      <c r="E2460" s="5"/>
      <c r="F2460" s="5"/>
      <c r="G2460" s="5"/>
      <c r="H2460" s="5"/>
      <c r="I2460" s="5"/>
      <c r="J2460" s="5"/>
      <c r="K2460" s="5"/>
      <c r="L2460" s="5"/>
      <c r="M2460" s="5"/>
      <c r="N2460" s="5"/>
      <c r="O2460" s="5"/>
      <c r="P2460" s="5"/>
      <c r="Q2460" s="5"/>
      <c r="R2460" s="5"/>
      <c r="S2460" s="5"/>
      <c r="T2460" s="5"/>
      <c r="U2460" s="5"/>
      <c r="V2460" s="5"/>
      <c r="W2460" s="5"/>
      <c r="X2460" s="5"/>
      <c r="Y2460" s="5"/>
      <c r="Z2460" s="5"/>
      <c r="AA2460" s="5"/>
      <c r="AB2460" s="5"/>
      <c r="AC2460" s="5"/>
      <c r="AD2460" s="5"/>
      <c r="AE2460" s="5"/>
      <c r="AF2460" s="5"/>
      <c r="AG2460" s="5"/>
      <c r="AH2460" s="5"/>
      <c r="AI2460" s="5"/>
      <c r="AJ2460" s="5"/>
    </row>
    <row r="2461" spans="1:36" ht="13">
      <c r="A2461" s="5"/>
      <c r="B2461" s="5"/>
      <c r="C2461" s="5"/>
      <c r="D2461" s="5"/>
      <c r="E2461" s="5"/>
      <c r="F2461" s="5"/>
      <c r="G2461" s="5"/>
      <c r="H2461" s="5"/>
      <c r="I2461" s="5"/>
      <c r="J2461" s="5"/>
      <c r="K2461" s="5"/>
      <c r="L2461" s="5"/>
      <c r="M2461" s="5"/>
      <c r="N2461" s="5"/>
      <c r="O2461" s="5"/>
      <c r="P2461" s="5"/>
      <c r="Q2461" s="5"/>
      <c r="R2461" s="5"/>
      <c r="S2461" s="5"/>
      <c r="T2461" s="5"/>
      <c r="U2461" s="5"/>
      <c r="V2461" s="5"/>
      <c r="W2461" s="5"/>
      <c r="X2461" s="5"/>
      <c r="Y2461" s="5"/>
      <c r="Z2461" s="5"/>
      <c r="AA2461" s="5"/>
      <c r="AB2461" s="5"/>
      <c r="AC2461" s="5"/>
      <c r="AD2461" s="5"/>
      <c r="AE2461" s="5"/>
      <c r="AF2461" s="5"/>
      <c r="AG2461" s="5"/>
      <c r="AH2461" s="5"/>
      <c r="AI2461" s="5"/>
      <c r="AJ2461" s="5"/>
    </row>
    <row r="2462" spans="1:36" ht="13">
      <c r="A2462" s="5"/>
      <c r="B2462" s="5"/>
      <c r="C2462" s="5"/>
      <c r="D2462" s="5"/>
      <c r="E2462" s="5"/>
      <c r="F2462" s="5"/>
      <c r="G2462" s="5"/>
      <c r="H2462" s="5"/>
      <c r="I2462" s="5"/>
      <c r="J2462" s="5"/>
      <c r="K2462" s="5"/>
      <c r="L2462" s="5"/>
      <c r="M2462" s="5"/>
      <c r="N2462" s="5"/>
      <c r="O2462" s="5"/>
      <c r="P2462" s="5"/>
      <c r="Q2462" s="5"/>
      <c r="R2462" s="5"/>
      <c r="S2462" s="5"/>
      <c r="T2462" s="5"/>
      <c r="U2462" s="5"/>
      <c r="V2462" s="5"/>
      <c r="W2462" s="5"/>
      <c r="X2462" s="5"/>
      <c r="Y2462" s="5"/>
      <c r="Z2462" s="5"/>
      <c r="AA2462" s="5"/>
      <c r="AB2462" s="5"/>
      <c r="AC2462" s="5"/>
      <c r="AD2462" s="5"/>
      <c r="AE2462" s="5"/>
      <c r="AF2462" s="5"/>
      <c r="AG2462" s="5"/>
      <c r="AH2462" s="5"/>
      <c r="AI2462" s="5"/>
      <c r="AJ2462" s="5"/>
    </row>
    <row r="2463" spans="1:36" ht="13">
      <c r="A2463" s="5"/>
      <c r="B2463" s="5"/>
      <c r="C2463" s="5"/>
      <c r="D2463" s="5"/>
      <c r="E2463" s="5"/>
      <c r="F2463" s="5"/>
      <c r="G2463" s="5"/>
      <c r="H2463" s="5"/>
      <c r="I2463" s="5"/>
      <c r="J2463" s="5"/>
      <c r="K2463" s="5"/>
      <c r="L2463" s="5"/>
      <c r="M2463" s="5"/>
      <c r="N2463" s="5"/>
      <c r="O2463" s="5"/>
      <c r="P2463" s="5"/>
      <c r="Q2463" s="5"/>
      <c r="R2463" s="5"/>
      <c r="S2463" s="5"/>
      <c r="T2463" s="5"/>
      <c r="U2463" s="5"/>
      <c r="V2463" s="5"/>
      <c r="W2463" s="5"/>
      <c r="X2463" s="5"/>
      <c r="Y2463" s="5"/>
      <c r="Z2463" s="5"/>
      <c r="AA2463" s="5"/>
      <c r="AB2463" s="5"/>
      <c r="AC2463" s="5"/>
      <c r="AD2463" s="5"/>
      <c r="AE2463" s="5"/>
      <c r="AF2463" s="5"/>
      <c r="AG2463" s="5"/>
      <c r="AH2463" s="5"/>
      <c r="AI2463" s="5"/>
      <c r="AJ2463" s="5"/>
    </row>
    <row r="2464" spans="1:36" ht="13">
      <c r="A2464" s="5"/>
      <c r="B2464" s="5"/>
      <c r="C2464" s="5"/>
      <c r="D2464" s="5"/>
      <c r="E2464" s="5"/>
      <c r="F2464" s="5"/>
      <c r="G2464" s="5"/>
      <c r="H2464" s="5"/>
      <c r="I2464" s="5"/>
      <c r="J2464" s="5"/>
      <c r="K2464" s="5"/>
      <c r="L2464" s="5"/>
      <c r="M2464" s="5"/>
      <c r="N2464" s="5"/>
      <c r="O2464" s="5"/>
      <c r="P2464" s="5"/>
      <c r="Q2464" s="5"/>
      <c r="R2464" s="5"/>
      <c r="S2464" s="5"/>
      <c r="T2464" s="5"/>
      <c r="U2464" s="5"/>
      <c r="V2464" s="5"/>
      <c r="W2464" s="5"/>
      <c r="X2464" s="5"/>
      <c r="Y2464" s="5"/>
      <c r="Z2464" s="5"/>
      <c r="AA2464" s="5"/>
      <c r="AB2464" s="5"/>
      <c r="AC2464" s="5"/>
      <c r="AD2464" s="5"/>
      <c r="AE2464" s="5"/>
      <c r="AF2464" s="5"/>
      <c r="AG2464" s="5"/>
      <c r="AH2464" s="5"/>
      <c r="AI2464" s="5"/>
      <c r="AJ2464" s="5"/>
    </row>
    <row r="2465" spans="1:36" ht="13">
      <c r="A2465" s="5"/>
      <c r="B2465" s="5"/>
      <c r="C2465" s="5"/>
      <c r="D2465" s="5"/>
      <c r="E2465" s="5"/>
      <c r="F2465" s="5"/>
      <c r="G2465" s="5"/>
      <c r="H2465" s="5"/>
      <c r="I2465" s="5"/>
      <c r="J2465" s="5"/>
      <c r="K2465" s="5"/>
      <c r="L2465" s="5"/>
      <c r="M2465" s="5"/>
      <c r="N2465" s="5"/>
      <c r="O2465" s="5"/>
      <c r="P2465" s="5"/>
      <c r="Q2465" s="5"/>
      <c r="R2465" s="5"/>
      <c r="S2465" s="5"/>
      <c r="T2465" s="5"/>
      <c r="U2465" s="5"/>
      <c r="V2465" s="5"/>
      <c r="W2465" s="5"/>
      <c r="X2465" s="5"/>
      <c r="Y2465" s="5"/>
      <c r="Z2465" s="5"/>
      <c r="AA2465" s="5"/>
      <c r="AB2465" s="5"/>
      <c r="AC2465" s="5"/>
      <c r="AD2465" s="5"/>
      <c r="AE2465" s="5"/>
      <c r="AF2465" s="5"/>
      <c r="AG2465" s="5"/>
      <c r="AH2465" s="5"/>
      <c r="AI2465" s="5"/>
      <c r="AJ2465" s="5"/>
    </row>
    <row r="2466" spans="1:36" ht="13">
      <c r="A2466" s="5"/>
      <c r="B2466" s="5"/>
      <c r="C2466" s="5"/>
      <c r="D2466" s="5"/>
      <c r="E2466" s="5"/>
      <c r="F2466" s="5"/>
      <c r="G2466" s="5"/>
      <c r="H2466" s="5"/>
      <c r="I2466" s="5"/>
      <c r="J2466" s="5"/>
      <c r="K2466" s="5"/>
      <c r="L2466" s="5"/>
      <c r="M2466" s="5"/>
      <c r="N2466" s="5"/>
      <c r="O2466" s="5"/>
      <c r="P2466" s="5"/>
      <c r="Q2466" s="5"/>
      <c r="R2466" s="5"/>
      <c r="S2466" s="5"/>
      <c r="T2466" s="5"/>
      <c r="U2466" s="5"/>
      <c r="V2466" s="5"/>
      <c r="W2466" s="5"/>
      <c r="X2466" s="5"/>
      <c r="Y2466" s="5"/>
      <c r="Z2466" s="5"/>
      <c r="AA2466" s="5"/>
      <c r="AB2466" s="5"/>
      <c r="AC2466" s="5"/>
      <c r="AD2466" s="5"/>
      <c r="AE2466" s="5"/>
      <c r="AF2466" s="5"/>
      <c r="AG2466" s="5"/>
      <c r="AH2466" s="5"/>
      <c r="AI2466" s="5"/>
      <c r="AJ2466" s="5"/>
    </row>
    <row r="2467" spans="1:36" ht="13">
      <c r="A2467" s="5"/>
      <c r="B2467" s="5"/>
      <c r="C2467" s="5"/>
      <c r="D2467" s="5"/>
      <c r="E2467" s="5"/>
      <c r="F2467" s="5"/>
      <c r="G2467" s="5"/>
      <c r="H2467" s="5"/>
      <c r="I2467" s="5"/>
      <c r="J2467" s="5"/>
      <c r="K2467" s="5"/>
      <c r="L2467" s="5"/>
      <c r="M2467" s="5"/>
      <c r="N2467" s="5"/>
      <c r="O2467" s="5"/>
      <c r="P2467" s="5"/>
      <c r="Q2467" s="5"/>
      <c r="R2467" s="5"/>
      <c r="S2467" s="5"/>
      <c r="T2467" s="5"/>
      <c r="U2467" s="5"/>
      <c r="V2467" s="5"/>
      <c r="W2467" s="5"/>
      <c r="X2467" s="5"/>
      <c r="Y2467" s="5"/>
      <c r="Z2467" s="5"/>
      <c r="AA2467" s="5"/>
      <c r="AB2467" s="5"/>
      <c r="AC2467" s="5"/>
      <c r="AD2467" s="5"/>
      <c r="AE2467" s="5"/>
      <c r="AF2467" s="5"/>
      <c r="AG2467" s="5"/>
      <c r="AH2467" s="5"/>
      <c r="AI2467" s="5"/>
      <c r="AJ2467" s="5"/>
    </row>
    <row r="2468" spans="1:36" ht="13">
      <c r="A2468" s="5"/>
      <c r="B2468" s="5"/>
      <c r="C2468" s="5"/>
      <c r="D2468" s="5"/>
      <c r="E2468" s="5"/>
      <c r="F2468" s="5"/>
      <c r="G2468" s="5"/>
      <c r="H2468" s="5"/>
      <c r="I2468" s="5"/>
      <c r="J2468" s="5"/>
      <c r="K2468" s="5"/>
      <c r="L2468" s="5"/>
      <c r="M2468" s="5"/>
      <c r="N2468" s="5"/>
      <c r="O2468" s="5"/>
      <c r="P2468" s="5"/>
      <c r="Q2468" s="5"/>
      <c r="R2468" s="5"/>
      <c r="S2468" s="5"/>
      <c r="T2468" s="5"/>
      <c r="U2468" s="5"/>
      <c r="V2468" s="5"/>
      <c r="W2468" s="5"/>
      <c r="X2468" s="5"/>
      <c r="Y2468" s="5"/>
      <c r="Z2468" s="5"/>
      <c r="AA2468" s="5"/>
      <c r="AB2468" s="5"/>
      <c r="AC2468" s="5"/>
      <c r="AD2468" s="5"/>
      <c r="AE2468" s="5"/>
      <c r="AF2468" s="5"/>
      <c r="AG2468" s="5"/>
      <c r="AH2468" s="5"/>
      <c r="AI2468" s="5"/>
      <c r="AJ2468" s="5"/>
    </row>
    <row r="2469" spans="1:36" ht="13">
      <c r="A2469" s="5"/>
      <c r="B2469" s="5"/>
      <c r="C2469" s="5"/>
      <c r="D2469" s="5"/>
      <c r="E2469" s="5"/>
      <c r="F2469" s="5"/>
      <c r="G2469" s="5"/>
      <c r="H2469" s="5"/>
      <c r="I2469" s="5"/>
      <c r="J2469" s="5"/>
      <c r="K2469" s="5"/>
      <c r="L2469" s="5"/>
      <c r="M2469" s="5"/>
      <c r="N2469" s="5"/>
      <c r="O2469" s="5"/>
      <c r="P2469" s="5"/>
      <c r="Q2469" s="5"/>
      <c r="R2469" s="5"/>
      <c r="S2469" s="5"/>
      <c r="T2469" s="5"/>
      <c r="U2469" s="5"/>
      <c r="V2469" s="5"/>
      <c r="W2469" s="5"/>
      <c r="X2469" s="5"/>
      <c r="Y2469" s="5"/>
      <c r="Z2469" s="5"/>
      <c r="AA2469" s="5"/>
      <c r="AB2469" s="5"/>
      <c r="AC2469" s="5"/>
      <c r="AD2469" s="5"/>
      <c r="AE2469" s="5"/>
      <c r="AF2469" s="5"/>
      <c r="AG2469" s="5"/>
      <c r="AH2469" s="5"/>
      <c r="AI2469" s="5"/>
      <c r="AJ2469" s="5"/>
    </row>
    <row r="2470" spans="1:36" ht="13">
      <c r="A2470" s="5"/>
      <c r="B2470" s="5"/>
      <c r="C2470" s="5"/>
      <c r="D2470" s="5"/>
      <c r="E2470" s="5"/>
      <c r="F2470" s="5"/>
      <c r="G2470" s="5"/>
      <c r="H2470" s="5"/>
      <c r="I2470" s="5"/>
      <c r="J2470" s="5"/>
      <c r="K2470" s="5"/>
      <c r="L2470" s="5"/>
      <c r="M2470" s="5"/>
      <c r="N2470" s="5"/>
      <c r="O2470" s="5"/>
      <c r="P2470" s="5"/>
      <c r="Q2470" s="5"/>
      <c r="R2470" s="5"/>
      <c r="S2470" s="5"/>
      <c r="T2470" s="5"/>
      <c r="U2470" s="5"/>
      <c r="V2470" s="5"/>
      <c r="W2470" s="5"/>
      <c r="X2470" s="5"/>
      <c r="Y2470" s="5"/>
      <c r="Z2470" s="5"/>
      <c r="AA2470" s="5"/>
      <c r="AB2470" s="5"/>
      <c r="AC2470" s="5"/>
      <c r="AD2470" s="5"/>
      <c r="AE2470" s="5"/>
      <c r="AF2470" s="5"/>
      <c r="AG2470" s="5"/>
      <c r="AH2470" s="5"/>
      <c r="AI2470" s="5"/>
      <c r="AJ2470" s="5"/>
    </row>
    <row r="2471" spans="1:36" ht="13">
      <c r="A2471" s="5"/>
      <c r="B2471" s="5"/>
      <c r="C2471" s="5"/>
      <c r="D2471" s="5"/>
      <c r="E2471" s="5"/>
      <c r="F2471" s="5"/>
      <c r="G2471" s="5"/>
      <c r="H2471" s="5"/>
      <c r="I2471" s="5"/>
      <c r="J2471" s="5"/>
      <c r="K2471" s="5"/>
      <c r="L2471" s="5"/>
      <c r="M2471" s="5"/>
      <c r="N2471" s="5"/>
      <c r="O2471" s="5"/>
      <c r="P2471" s="5"/>
      <c r="Q2471" s="5"/>
      <c r="R2471" s="5"/>
      <c r="S2471" s="5"/>
      <c r="T2471" s="5"/>
      <c r="U2471" s="5"/>
      <c r="V2471" s="5"/>
      <c r="W2471" s="5"/>
      <c r="X2471" s="5"/>
      <c r="Y2471" s="5"/>
      <c r="Z2471" s="5"/>
      <c r="AA2471" s="5"/>
      <c r="AB2471" s="5"/>
      <c r="AC2471" s="5"/>
      <c r="AD2471" s="5"/>
      <c r="AE2471" s="5"/>
      <c r="AF2471" s="5"/>
      <c r="AG2471" s="5"/>
      <c r="AH2471" s="5"/>
      <c r="AI2471" s="5"/>
      <c r="AJ2471" s="5"/>
    </row>
    <row r="2472" spans="1:36" ht="13">
      <c r="A2472" s="5"/>
      <c r="B2472" s="5"/>
      <c r="C2472" s="5"/>
      <c r="D2472" s="5"/>
      <c r="E2472" s="5"/>
      <c r="F2472" s="5"/>
      <c r="G2472" s="5"/>
      <c r="H2472" s="5"/>
      <c r="I2472" s="5"/>
      <c r="J2472" s="5"/>
      <c r="K2472" s="5"/>
      <c r="L2472" s="5"/>
      <c r="M2472" s="5"/>
      <c r="N2472" s="5"/>
      <c r="O2472" s="5"/>
      <c r="P2472" s="5"/>
      <c r="Q2472" s="5"/>
      <c r="R2472" s="5"/>
      <c r="S2472" s="5"/>
      <c r="T2472" s="5"/>
      <c r="U2472" s="5"/>
      <c r="V2472" s="5"/>
      <c r="W2472" s="5"/>
      <c r="X2472" s="5"/>
      <c r="Y2472" s="5"/>
      <c r="Z2472" s="5"/>
      <c r="AA2472" s="5"/>
      <c r="AB2472" s="5"/>
      <c r="AC2472" s="5"/>
      <c r="AD2472" s="5"/>
      <c r="AE2472" s="5"/>
      <c r="AF2472" s="5"/>
      <c r="AG2472" s="5"/>
      <c r="AH2472" s="5"/>
      <c r="AI2472" s="5"/>
      <c r="AJ2472" s="5"/>
    </row>
    <row r="2473" spans="1:36" ht="13">
      <c r="A2473" s="5"/>
      <c r="B2473" s="5"/>
      <c r="C2473" s="5"/>
      <c r="D2473" s="5"/>
      <c r="E2473" s="5"/>
      <c r="F2473" s="5"/>
      <c r="G2473" s="5"/>
      <c r="H2473" s="5"/>
      <c r="I2473" s="5"/>
      <c r="J2473" s="5"/>
      <c r="K2473" s="5"/>
      <c r="L2473" s="5"/>
      <c r="M2473" s="5"/>
      <c r="N2473" s="5"/>
      <c r="O2473" s="5"/>
      <c r="P2473" s="5"/>
      <c r="Q2473" s="5"/>
      <c r="R2473" s="5"/>
      <c r="S2473" s="5"/>
      <c r="T2473" s="5"/>
      <c r="U2473" s="5"/>
      <c r="V2473" s="5"/>
      <c r="W2473" s="5"/>
      <c r="X2473" s="5"/>
      <c r="Y2473" s="5"/>
      <c r="Z2473" s="5"/>
      <c r="AA2473" s="5"/>
      <c r="AB2473" s="5"/>
      <c r="AC2473" s="5"/>
      <c r="AD2473" s="5"/>
      <c r="AE2473" s="5"/>
      <c r="AF2473" s="5"/>
      <c r="AG2473" s="5"/>
      <c r="AH2473" s="5"/>
      <c r="AI2473" s="5"/>
      <c r="AJ2473" s="5"/>
    </row>
    <row r="2474" spans="1:36" ht="13">
      <c r="A2474" s="5"/>
      <c r="B2474" s="5"/>
      <c r="C2474" s="5"/>
      <c r="D2474" s="5"/>
      <c r="E2474" s="5"/>
      <c r="F2474" s="5"/>
      <c r="G2474" s="5"/>
      <c r="H2474" s="5"/>
      <c r="I2474" s="5"/>
      <c r="J2474" s="5"/>
      <c r="K2474" s="5"/>
      <c r="L2474" s="5"/>
      <c r="M2474" s="5"/>
      <c r="N2474" s="5"/>
      <c r="O2474" s="5"/>
      <c r="P2474" s="5"/>
      <c r="Q2474" s="5"/>
      <c r="R2474" s="5"/>
      <c r="S2474" s="5"/>
      <c r="T2474" s="5"/>
      <c r="U2474" s="5"/>
      <c r="V2474" s="5"/>
      <c r="W2474" s="5"/>
      <c r="X2474" s="5"/>
      <c r="Y2474" s="5"/>
      <c r="Z2474" s="5"/>
      <c r="AA2474" s="5"/>
      <c r="AB2474" s="5"/>
      <c r="AC2474" s="5"/>
      <c r="AD2474" s="5"/>
      <c r="AE2474" s="5"/>
      <c r="AF2474" s="5"/>
      <c r="AG2474" s="5"/>
      <c r="AH2474" s="5"/>
      <c r="AI2474" s="5"/>
      <c r="AJ2474" s="5"/>
    </row>
    <row r="2475" spans="1:36" ht="13">
      <c r="A2475" s="5"/>
      <c r="B2475" s="5"/>
      <c r="C2475" s="5"/>
      <c r="D2475" s="5"/>
      <c r="E2475" s="5"/>
      <c r="F2475" s="5"/>
      <c r="G2475" s="5"/>
      <c r="H2475" s="5"/>
      <c r="I2475" s="5"/>
      <c r="J2475" s="5"/>
      <c r="K2475" s="5"/>
      <c r="L2475" s="5"/>
      <c r="M2475" s="5"/>
      <c r="N2475" s="5"/>
      <c r="O2475" s="5"/>
      <c r="P2475" s="5"/>
      <c r="Q2475" s="5"/>
      <c r="R2475" s="5"/>
      <c r="S2475" s="5"/>
      <c r="T2475" s="5"/>
      <c r="U2475" s="5"/>
      <c r="V2475" s="5"/>
      <c r="W2475" s="5"/>
      <c r="X2475" s="5"/>
      <c r="Y2475" s="5"/>
      <c r="Z2475" s="5"/>
      <c r="AA2475" s="5"/>
      <c r="AB2475" s="5"/>
      <c r="AC2475" s="5"/>
      <c r="AD2475" s="5"/>
      <c r="AE2475" s="5"/>
      <c r="AF2475" s="5"/>
      <c r="AG2475" s="5"/>
      <c r="AH2475" s="5"/>
      <c r="AI2475" s="5"/>
      <c r="AJ2475" s="5"/>
    </row>
    <row r="2476" spans="1:36" ht="13">
      <c r="A2476" s="5"/>
      <c r="B2476" s="5"/>
      <c r="C2476" s="5"/>
      <c r="D2476" s="5"/>
      <c r="E2476" s="5"/>
      <c r="F2476" s="5"/>
      <c r="G2476" s="5"/>
      <c r="H2476" s="5"/>
      <c r="I2476" s="5"/>
      <c r="J2476" s="5"/>
      <c r="K2476" s="5"/>
      <c r="L2476" s="5"/>
      <c r="M2476" s="5"/>
      <c r="N2476" s="5"/>
      <c r="O2476" s="5"/>
      <c r="P2476" s="5"/>
      <c r="Q2476" s="5"/>
      <c r="R2476" s="5"/>
      <c r="S2476" s="5"/>
      <c r="T2476" s="5"/>
      <c r="U2476" s="5"/>
      <c r="V2476" s="5"/>
      <c r="W2476" s="5"/>
      <c r="X2476" s="5"/>
      <c r="Y2476" s="5"/>
      <c r="Z2476" s="5"/>
      <c r="AA2476" s="5"/>
      <c r="AB2476" s="5"/>
      <c r="AC2476" s="5"/>
      <c r="AD2476" s="5"/>
      <c r="AE2476" s="5"/>
      <c r="AF2476" s="5"/>
      <c r="AG2476" s="5"/>
      <c r="AH2476" s="5"/>
      <c r="AI2476" s="5"/>
      <c r="AJ2476" s="5"/>
    </row>
    <row r="2477" spans="1:36" ht="13">
      <c r="A2477" s="5"/>
      <c r="B2477" s="5"/>
      <c r="C2477" s="5"/>
      <c r="D2477" s="5"/>
      <c r="E2477" s="5"/>
      <c r="F2477" s="5"/>
      <c r="G2477" s="5"/>
      <c r="H2477" s="5"/>
      <c r="I2477" s="5"/>
      <c r="J2477" s="5"/>
      <c r="K2477" s="5"/>
      <c r="L2477" s="5"/>
      <c r="M2477" s="5"/>
      <c r="N2477" s="5"/>
      <c r="O2477" s="5"/>
      <c r="P2477" s="5"/>
      <c r="Q2477" s="5"/>
      <c r="R2477" s="5"/>
      <c r="S2477" s="5"/>
      <c r="T2477" s="5"/>
      <c r="U2477" s="5"/>
      <c r="V2477" s="5"/>
      <c r="W2477" s="5"/>
      <c r="X2477" s="5"/>
      <c r="Y2477" s="5"/>
      <c r="Z2477" s="5"/>
      <c r="AA2477" s="5"/>
      <c r="AB2477" s="5"/>
      <c r="AC2477" s="5"/>
      <c r="AD2477" s="5"/>
      <c r="AE2477" s="5"/>
      <c r="AF2477" s="5"/>
      <c r="AG2477" s="5"/>
      <c r="AH2477" s="5"/>
      <c r="AI2477" s="5"/>
      <c r="AJ2477" s="5"/>
    </row>
    <row r="2478" spans="1:36" ht="13">
      <c r="A2478" s="5"/>
      <c r="B2478" s="5"/>
      <c r="C2478" s="5"/>
      <c r="D2478" s="5"/>
      <c r="E2478" s="5"/>
      <c r="F2478" s="5"/>
      <c r="G2478" s="5"/>
      <c r="H2478" s="5"/>
      <c r="I2478" s="5"/>
      <c r="J2478" s="5"/>
      <c r="K2478" s="5"/>
      <c r="L2478" s="5"/>
      <c r="M2478" s="5"/>
      <c r="N2478" s="5"/>
      <c r="O2478" s="5"/>
      <c r="P2478" s="5"/>
      <c r="Q2478" s="5"/>
      <c r="R2478" s="5"/>
      <c r="S2478" s="5"/>
      <c r="T2478" s="5"/>
      <c r="U2478" s="5"/>
      <c r="V2478" s="5"/>
      <c r="W2478" s="5"/>
      <c r="X2478" s="5"/>
      <c r="Y2478" s="5"/>
      <c r="Z2478" s="5"/>
      <c r="AA2478" s="5"/>
      <c r="AB2478" s="5"/>
      <c r="AC2478" s="5"/>
      <c r="AD2478" s="5"/>
      <c r="AE2478" s="5"/>
      <c r="AF2478" s="5"/>
      <c r="AG2478" s="5"/>
      <c r="AH2478" s="5"/>
      <c r="AI2478" s="5"/>
      <c r="AJ2478" s="5"/>
    </row>
    <row r="2479" spans="1:36" ht="13">
      <c r="A2479" s="5"/>
      <c r="B2479" s="5"/>
      <c r="C2479" s="5"/>
      <c r="D2479" s="5"/>
      <c r="E2479" s="5"/>
      <c r="F2479" s="5"/>
      <c r="G2479" s="5"/>
      <c r="H2479" s="5"/>
      <c r="I2479" s="5"/>
      <c r="J2479" s="5"/>
      <c r="K2479" s="5"/>
      <c r="L2479" s="5"/>
      <c r="M2479" s="5"/>
      <c r="N2479" s="5"/>
      <c r="O2479" s="5"/>
      <c r="P2479" s="5"/>
      <c r="Q2479" s="5"/>
      <c r="R2479" s="5"/>
      <c r="S2479" s="5"/>
      <c r="T2479" s="5"/>
      <c r="U2479" s="5"/>
      <c r="V2479" s="5"/>
      <c r="W2479" s="5"/>
      <c r="X2479" s="5"/>
      <c r="Y2479" s="5"/>
      <c r="Z2479" s="5"/>
      <c r="AA2479" s="5"/>
      <c r="AB2479" s="5"/>
      <c r="AC2479" s="5"/>
      <c r="AD2479" s="5"/>
      <c r="AE2479" s="5"/>
      <c r="AF2479" s="5"/>
      <c r="AG2479" s="5"/>
      <c r="AH2479" s="5"/>
      <c r="AI2479" s="5"/>
      <c r="AJ2479" s="5"/>
    </row>
    <row r="2480" spans="1:36" ht="13">
      <c r="A2480" s="5"/>
      <c r="B2480" s="5"/>
      <c r="C2480" s="5"/>
      <c r="D2480" s="5"/>
      <c r="E2480" s="5"/>
      <c r="F2480" s="5"/>
      <c r="G2480" s="5"/>
      <c r="H2480" s="5"/>
      <c r="I2480" s="5"/>
      <c r="J2480" s="5"/>
      <c r="K2480" s="5"/>
      <c r="L2480" s="5"/>
      <c r="M2480" s="5"/>
      <c r="N2480" s="5"/>
      <c r="O2480" s="5"/>
      <c r="P2480" s="5"/>
      <c r="Q2480" s="5"/>
      <c r="R2480" s="5"/>
      <c r="S2480" s="5"/>
      <c r="T2480" s="5"/>
      <c r="U2480" s="5"/>
      <c r="V2480" s="5"/>
      <c r="W2480" s="5"/>
      <c r="X2480" s="5"/>
      <c r="Y2480" s="5"/>
      <c r="Z2480" s="5"/>
      <c r="AA2480" s="5"/>
      <c r="AB2480" s="5"/>
      <c r="AC2480" s="5"/>
      <c r="AD2480" s="5"/>
      <c r="AE2480" s="5"/>
      <c r="AF2480" s="5"/>
      <c r="AG2480" s="5"/>
      <c r="AH2480" s="5"/>
      <c r="AI2480" s="5"/>
      <c r="AJ2480" s="5"/>
    </row>
    <row r="2481" spans="1:36" ht="13">
      <c r="A2481" s="5"/>
      <c r="B2481" s="5"/>
      <c r="C2481" s="5"/>
      <c r="D2481" s="5"/>
      <c r="E2481" s="5"/>
      <c r="F2481" s="5"/>
      <c r="G2481" s="5"/>
      <c r="H2481" s="5"/>
      <c r="I2481" s="5"/>
      <c r="J2481" s="5"/>
      <c r="K2481" s="5"/>
      <c r="L2481" s="5"/>
      <c r="M2481" s="5"/>
      <c r="N2481" s="5"/>
      <c r="O2481" s="5"/>
      <c r="P2481" s="5"/>
      <c r="Q2481" s="5"/>
      <c r="R2481" s="5"/>
      <c r="S2481" s="5"/>
      <c r="T2481" s="5"/>
      <c r="U2481" s="5"/>
      <c r="V2481" s="5"/>
      <c r="W2481" s="5"/>
      <c r="X2481" s="5"/>
      <c r="Y2481" s="5"/>
      <c r="Z2481" s="5"/>
      <c r="AA2481" s="5"/>
      <c r="AB2481" s="5"/>
      <c r="AC2481" s="5"/>
      <c r="AD2481" s="5"/>
      <c r="AE2481" s="5"/>
      <c r="AF2481" s="5"/>
      <c r="AG2481" s="5"/>
      <c r="AH2481" s="5"/>
      <c r="AI2481" s="5"/>
      <c r="AJ2481" s="5"/>
    </row>
    <row r="2482" spans="1:36" ht="13">
      <c r="A2482" s="5"/>
      <c r="B2482" s="5"/>
      <c r="C2482" s="5"/>
      <c r="D2482" s="5"/>
      <c r="E2482" s="5"/>
      <c r="F2482" s="5"/>
      <c r="G2482" s="5"/>
      <c r="H2482" s="5"/>
      <c r="I2482" s="5"/>
      <c r="J2482" s="5"/>
      <c r="K2482" s="5"/>
      <c r="L2482" s="5"/>
      <c r="M2482" s="5"/>
      <c r="N2482" s="5"/>
      <c r="O2482" s="5"/>
      <c r="P2482" s="5"/>
      <c r="Q2482" s="5"/>
      <c r="R2482" s="5"/>
      <c r="S2482" s="5"/>
      <c r="T2482" s="5"/>
      <c r="U2482" s="5"/>
      <c r="V2482" s="5"/>
      <c r="W2482" s="5"/>
      <c r="X2482" s="5"/>
      <c r="Y2482" s="5"/>
      <c r="Z2482" s="5"/>
      <c r="AA2482" s="5"/>
      <c r="AB2482" s="5"/>
      <c r="AC2482" s="5"/>
      <c r="AD2482" s="5"/>
      <c r="AE2482" s="5"/>
      <c r="AF2482" s="5"/>
      <c r="AG2482" s="5"/>
      <c r="AH2482" s="5"/>
      <c r="AI2482" s="5"/>
      <c r="AJ2482" s="5"/>
    </row>
    <row r="2483" spans="1:36" ht="13">
      <c r="A2483" s="5"/>
      <c r="B2483" s="5"/>
      <c r="C2483" s="5"/>
      <c r="D2483" s="5"/>
      <c r="E2483" s="5"/>
      <c r="F2483" s="5"/>
      <c r="G2483" s="5"/>
      <c r="H2483" s="5"/>
      <c r="I2483" s="5"/>
      <c r="J2483" s="5"/>
      <c r="K2483" s="5"/>
      <c r="L2483" s="5"/>
      <c r="M2483" s="5"/>
      <c r="N2483" s="5"/>
      <c r="O2483" s="5"/>
      <c r="P2483" s="5"/>
      <c r="Q2483" s="5"/>
      <c r="R2483" s="5"/>
      <c r="S2483" s="5"/>
      <c r="T2483" s="5"/>
      <c r="U2483" s="5"/>
      <c r="V2483" s="5"/>
      <c r="W2483" s="5"/>
      <c r="X2483" s="5"/>
      <c r="Y2483" s="5"/>
      <c r="Z2483" s="5"/>
      <c r="AA2483" s="5"/>
      <c r="AB2483" s="5"/>
      <c r="AC2483" s="5"/>
      <c r="AD2483" s="5"/>
      <c r="AE2483" s="5"/>
      <c r="AF2483" s="5"/>
      <c r="AG2483" s="5"/>
      <c r="AH2483" s="5"/>
      <c r="AI2483" s="5"/>
      <c r="AJ2483" s="5"/>
    </row>
    <row r="2484" spans="1:36" ht="13">
      <c r="A2484" s="5"/>
      <c r="B2484" s="5"/>
      <c r="C2484" s="5"/>
      <c r="D2484" s="5"/>
      <c r="E2484" s="5"/>
      <c r="F2484" s="5"/>
      <c r="G2484" s="5"/>
      <c r="H2484" s="5"/>
      <c r="I2484" s="5"/>
      <c r="J2484" s="5"/>
      <c r="K2484" s="5"/>
      <c r="L2484" s="5"/>
      <c r="M2484" s="5"/>
      <c r="N2484" s="5"/>
      <c r="O2484" s="5"/>
      <c r="P2484" s="5"/>
      <c r="Q2484" s="5"/>
      <c r="R2484" s="5"/>
      <c r="S2484" s="5"/>
      <c r="T2484" s="5"/>
      <c r="U2484" s="5"/>
      <c r="V2484" s="5"/>
      <c r="W2484" s="5"/>
      <c r="X2484" s="5"/>
      <c r="Y2484" s="5"/>
      <c r="Z2484" s="5"/>
      <c r="AA2484" s="5"/>
      <c r="AB2484" s="5"/>
      <c r="AC2484" s="5"/>
      <c r="AD2484" s="5"/>
      <c r="AE2484" s="5"/>
      <c r="AF2484" s="5"/>
      <c r="AG2484" s="5"/>
      <c r="AH2484" s="5"/>
      <c r="AI2484" s="5"/>
      <c r="AJ2484" s="5"/>
    </row>
    <row r="2485" spans="1:36" ht="13">
      <c r="A2485" s="5"/>
      <c r="B2485" s="5"/>
      <c r="C2485" s="5"/>
      <c r="D2485" s="5"/>
      <c r="E2485" s="5"/>
      <c r="F2485" s="5"/>
      <c r="G2485" s="5"/>
      <c r="H2485" s="5"/>
      <c r="I2485" s="5"/>
      <c r="J2485" s="5"/>
      <c r="K2485" s="5"/>
      <c r="L2485" s="5"/>
      <c r="M2485" s="5"/>
      <c r="N2485" s="5"/>
      <c r="O2485" s="5"/>
      <c r="P2485" s="5"/>
      <c r="Q2485" s="5"/>
      <c r="R2485" s="5"/>
      <c r="S2485" s="5"/>
      <c r="T2485" s="5"/>
      <c r="U2485" s="5"/>
      <c r="V2485" s="5"/>
      <c r="W2485" s="5"/>
      <c r="X2485" s="5"/>
      <c r="Y2485" s="5"/>
      <c r="Z2485" s="5"/>
      <c r="AA2485" s="5"/>
      <c r="AB2485" s="5"/>
      <c r="AC2485" s="5"/>
      <c r="AD2485" s="5"/>
      <c r="AE2485" s="5"/>
      <c r="AF2485" s="5"/>
      <c r="AG2485" s="5"/>
      <c r="AH2485" s="5"/>
      <c r="AI2485" s="5"/>
      <c r="AJ2485" s="5"/>
    </row>
    <row r="2486" spans="1:36" ht="13">
      <c r="A2486" s="5"/>
      <c r="B2486" s="5"/>
      <c r="C2486" s="5"/>
      <c r="D2486" s="5"/>
      <c r="E2486" s="5"/>
      <c r="F2486" s="5"/>
      <c r="G2486" s="5"/>
      <c r="H2486" s="5"/>
      <c r="I2486" s="5"/>
      <c r="J2486" s="5"/>
      <c r="K2486" s="5"/>
      <c r="L2486" s="5"/>
      <c r="M2486" s="5"/>
      <c r="N2486" s="5"/>
      <c r="O2486" s="5"/>
      <c r="P2486" s="5"/>
      <c r="Q2486" s="5"/>
      <c r="R2486" s="5"/>
      <c r="S2486" s="5"/>
      <c r="T2486" s="5"/>
      <c r="U2486" s="5"/>
      <c r="V2486" s="5"/>
      <c r="W2486" s="5"/>
      <c r="X2486" s="5"/>
      <c r="Y2486" s="5"/>
      <c r="Z2486" s="5"/>
      <c r="AA2486" s="5"/>
      <c r="AB2486" s="5"/>
      <c r="AC2486" s="5"/>
      <c r="AD2486" s="5"/>
      <c r="AE2486" s="5"/>
      <c r="AF2486" s="5"/>
      <c r="AG2486" s="5"/>
      <c r="AH2486" s="5"/>
      <c r="AI2486" s="5"/>
      <c r="AJ2486" s="5"/>
    </row>
    <row r="2487" spans="1:36" ht="13">
      <c r="A2487" s="5"/>
      <c r="B2487" s="5"/>
      <c r="C2487" s="5"/>
      <c r="D2487" s="5"/>
      <c r="E2487" s="5"/>
      <c r="F2487" s="5"/>
      <c r="G2487" s="5"/>
      <c r="H2487" s="5"/>
      <c r="I2487" s="5"/>
      <c r="J2487" s="5"/>
      <c r="K2487" s="5"/>
      <c r="L2487" s="5"/>
      <c r="M2487" s="5"/>
      <c r="N2487" s="5"/>
      <c r="O2487" s="5"/>
      <c r="P2487" s="5"/>
      <c r="Q2487" s="5"/>
      <c r="R2487" s="5"/>
      <c r="S2487" s="5"/>
      <c r="T2487" s="5"/>
      <c r="U2487" s="5"/>
      <c r="V2487" s="5"/>
      <c r="W2487" s="5"/>
      <c r="X2487" s="5"/>
      <c r="Y2487" s="5"/>
      <c r="Z2487" s="5"/>
      <c r="AA2487" s="5"/>
      <c r="AB2487" s="5"/>
      <c r="AC2487" s="5"/>
      <c r="AD2487" s="5"/>
      <c r="AE2487" s="5"/>
      <c r="AF2487" s="5"/>
      <c r="AG2487" s="5"/>
      <c r="AH2487" s="5"/>
      <c r="AI2487" s="5"/>
      <c r="AJ2487" s="5"/>
    </row>
    <row r="2488" spans="1:36" ht="13">
      <c r="A2488" s="5"/>
      <c r="B2488" s="5"/>
      <c r="C2488" s="5"/>
      <c r="D2488" s="5"/>
      <c r="E2488" s="5"/>
      <c r="F2488" s="5"/>
      <c r="G2488" s="5"/>
      <c r="H2488" s="5"/>
      <c r="I2488" s="5"/>
      <c r="J2488" s="5"/>
      <c r="K2488" s="5"/>
      <c r="L2488" s="5"/>
      <c r="M2488" s="5"/>
      <c r="N2488" s="5"/>
      <c r="O2488" s="5"/>
      <c r="P2488" s="5"/>
      <c r="Q2488" s="5"/>
      <c r="R2488" s="5"/>
      <c r="S2488" s="5"/>
      <c r="T2488" s="5"/>
      <c r="U2488" s="5"/>
      <c r="V2488" s="5"/>
      <c r="W2488" s="5"/>
      <c r="X2488" s="5"/>
      <c r="Y2488" s="5"/>
      <c r="Z2488" s="5"/>
      <c r="AA2488" s="5"/>
      <c r="AB2488" s="5"/>
      <c r="AC2488" s="5"/>
      <c r="AD2488" s="5"/>
      <c r="AE2488" s="5"/>
      <c r="AF2488" s="5"/>
      <c r="AG2488" s="5"/>
      <c r="AH2488" s="5"/>
      <c r="AI2488" s="5"/>
      <c r="AJ2488" s="5"/>
    </row>
    <row r="2489" spans="1:36" ht="13">
      <c r="A2489" s="5"/>
      <c r="B2489" s="5"/>
      <c r="C2489" s="5"/>
      <c r="D2489" s="5"/>
      <c r="E2489" s="5"/>
      <c r="F2489" s="5"/>
      <c r="G2489" s="5"/>
      <c r="H2489" s="5"/>
      <c r="I2489" s="5"/>
      <c r="J2489" s="5"/>
      <c r="K2489" s="5"/>
      <c r="L2489" s="5"/>
      <c r="M2489" s="5"/>
      <c r="N2489" s="5"/>
      <c r="O2489" s="5"/>
      <c r="P2489" s="5"/>
      <c r="Q2489" s="5"/>
      <c r="R2489" s="5"/>
      <c r="S2489" s="5"/>
      <c r="T2489" s="5"/>
      <c r="U2489" s="5"/>
      <c r="V2489" s="5"/>
      <c r="W2489" s="5"/>
      <c r="X2489" s="5"/>
      <c r="Y2489" s="5"/>
      <c r="Z2489" s="5"/>
      <c r="AA2489" s="5"/>
      <c r="AB2489" s="5"/>
      <c r="AC2489" s="5"/>
      <c r="AD2489" s="5"/>
      <c r="AE2489" s="5"/>
      <c r="AF2489" s="5"/>
      <c r="AG2489" s="5"/>
      <c r="AH2489" s="5"/>
      <c r="AI2489" s="5"/>
      <c r="AJ2489" s="5"/>
    </row>
    <row r="2490" spans="1:36" ht="13">
      <c r="A2490" s="5"/>
      <c r="B2490" s="5"/>
      <c r="C2490" s="5"/>
      <c r="D2490" s="5"/>
      <c r="E2490" s="5"/>
      <c r="F2490" s="5"/>
      <c r="G2490" s="5"/>
      <c r="H2490" s="5"/>
      <c r="I2490" s="5"/>
      <c r="J2490" s="5"/>
      <c r="K2490" s="5"/>
      <c r="L2490" s="5"/>
      <c r="M2490" s="5"/>
      <c r="N2490" s="5"/>
      <c r="O2490" s="5"/>
      <c r="P2490" s="5"/>
      <c r="Q2490" s="5"/>
      <c r="R2490" s="5"/>
      <c r="S2490" s="5"/>
      <c r="T2490" s="5"/>
      <c r="U2490" s="5"/>
      <c r="V2490" s="5"/>
      <c r="W2490" s="5"/>
      <c r="X2490" s="5"/>
      <c r="Y2490" s="5"/>
      <c r="Z2490" s="5"/>
      <c r="AA2490" s="5"/>
      <c r="AB2490" s="5"/>
      <c r="AC2490" s="5"/>
      <c r="AD2490" s="5"/>
      <c r="AE2490" s="5"/>
      <c r="AF2490" s="5"/>
      <c r="AG2490" s="5"/>
      <c r="AH2490" s="5"/>
      <c r="AI2490" s="5"/>
      <c r="AJ2490" s="5"/>
    </row>
    <row r="2491" spans="1:36" ht="13">
      <c r="A2491" s="5"/>
      <c r="B2491" s="5"/>
      <c r="C2491" s="5"/>
      <c r="D2491" s="5"/>
      <c r="E2491" s="5"/>
      <c r="F2491" s="5"/>
      <c r="G2491" s="5"/>
      <c r="H2491" s="5"/>
      <c r="I2491" s="5"/>
      <c r="J2491" s="5"/>
      <c r="K2491" s="5"/>
      <c r="L2491" s="5"/>
      <c r="M2491" s="5"/>
      <c r="N2491" s="5"/>
      <c r="O2491" s="5"/>
      <c r="P2491" s="5"/>
      <c r="Q2491" s="5"/>
      <c r="R2491" s="5"/>
      <c r="S2491" s="5"/>
      <c r="T2491" s="5"/>
      <c r="U2491" s="5"/>
      <c r="V2491" s="5"/>
      <c r="W2491" s="5"/>
      <c r="X2491" s="5"/>
      <c r="Y2491" s="5"/>
      <c r="Z2491" s="5"/>
      <c r="AA2491" s="5"/>
      <c r="AB2491" s="5"/>
      <c r="AC2491" s="5"/>
      <c r="AD2491" s="5"/>
      <c r="AE2491" s="5"/>
      <c r="AF2491" s="5"/>
      <c r="AG2491" s="5"/>
      <c r="AH2491" s="5"/>
      <c r="AI2491" s="5"/>
      <c r="AJ2491" s="5"/>
    </row>
    <row r="2492" spans="1:36" ht="13">
      <c r="A2492" s="5"/>
      <c r="B2492" s="5"/>
      <c r="C2492" s="5"/>
      <c r="D2492" s="5"/>
      <c r="E2492" s="5"/>
      <c r="F2492" s="5"/>
      <c r="G2492" s="5"/>
      <c r="H2492" s="5"/>
      <c r="I2492" s="5"/>
      <c r="J2492" s="5"/>
      <c r="K2492" s="5"/>
      <c r="L2492" s="5"/>
      <c r="M2492" s="5"/>
      <c r="N2492" s="5"/>
      <c r="O2492" s="5"/>
      <c r="P2492" s="5"/>
      <c r="Q2492" s="5"/>
      <c r="R2492" s="5"/>
      <c r="S2492" s="5"/>
      <c r="T2492" s="5"/>
      <c r="U2492" s="5"/>
      <c r="V2492" s="5"/>
      <c r="W2492" s="5"/>
      <c r="X2492" s="5"/>
      <c r="Y2492" s="5"/>
      <c r="Z2492" s="5"/>
      <c r="AA2492" s="5"/>
      <c r="AB2492" s="5"/>
      <c r="AC2492" s="5"/>
      <c r="AD2492" s="5"/>
      <c r="AE2492" s="5"/>
      <c r="AF2492" s="5"/>
      <c r="AG2492" s="5"/>
      <c r="AH2492" s="5"/>
      <c r="AI2492" s="5"/>
      <c r="AJ2492" s="5"/>
    </row>
    <row r="2493" spans="1:36" ht="13">
      <c r="A2493" s="5"/>
      <c r="B2493" s="5"/>
      <c r="C2493" s="5"/>
      <c r="D2493" s="5"/>
      <c r="E2493" s="5"/>
      <c r="F2493" s="5"/>
      <c r="G2493" s="5"/>
      <c r="H2493" s="5"/>
      <c r="I2493" s="5"/>
      <c r="J2493" s="5"/>
      <c r="K2493" s="5"/>
      <c r="L2493" s="5"/>
      <c r="M2493" s="5"/>
      <c r="N2493" s="5"/>
      <c r="O2493" s="5"/>
      <c r="P2493" s="5"/>
      <c r="Q2493" s="5"/>
      <c r="R2493" s="5"/>
      <c r="S2493" s="5"/>
      <c r="T2493" s="5"/>
      <c r="U2493" s="5"/>
      <c r="V2493" s="5"/>
      <c r="W2493" s="5"/>
      <c r="X2493" s="5"/>
      <c r="Y2493" s="5"/>
      <c r="Z2493" s="5"/>
      <c r="AA2493" s="5"/>
      <c r="AB2493" s="5"/>
      <c r="AC2493" s="5"/>
      <c r="AD2493" s="5"/>
      <c r="AE2493" s="5"/>
      <c r="AF2493" s="5"/>
      <c r="AG2493" s="5"/>
      <c r="AH2493" s="5"/>
      <c r="AI2493" s="5"/>
      <c r="AJ2493" s="5"/>
    </row>
    <row r="2494" spans="1:36" ht="13">
      <c r="A2494" s="5"/>
      <c r="B2494" s="5"/>
      <c r="C2494" s="5"/>
      <c r="D2494" s="5"/>
      <c r="E2494" s="5"/>
      <c r="F2494" s="5"/>
      <c r="G2494" s="5"/>
      <c r="H2494" s="5"/>
      <c r="I2494" s="5"/>
      <c r="J2494" s="5"/>
      <c r="K2494" s="5"/>
      <c r="L2494" s="5"/>
      <c r="M2494" s="5"/>
      <c r="N2494" s="5"/>
      <c r="O2494" s="5"/>
      <c r="P2494" s="5"/>
      <c r="Q2494" s="5"/>
      <c r="R2494" s="5"/>
      <c r="S2494" s="5"/>
      <c r="T2494" s="5"/>
      <c r="U2494" s="5"/>
      <c r="V2494" s="5"/>
      <c r="W2494" s="5"/>
      <c r="X2494" s="5"/>
      <c r="Y2494" s="5"/>
      <c r="Z2494" s="5"/>
      <c r="AA2494" s="5"/>
      <c r="AB2494" s="5"/>
      <c r="AC2494" s="5"/>
      <c r="AD2494" s="5"/>
      <c r="AE2494" s="5"/>
      <c r="AF2494" s="5"/>
      <c r="AG2494" s="5"/>
      <c r="AH2494" s="5"/>
      <c r="AI2494" s="5"/>
      <c r="AJ2494" s="5"/>
    </row>
    <row r="2495" spans="1:36" ht="13">
      <c r="A2495" s="5"/>
      <c r="B2495" s="5"/>
      <c r="C2495" s="5"/>
      <c r="D2495" s="5"/>
      <c r="E2495" s="5"/>
      <c r="F2495" s="5"/>
      <c r="G2495" s="5"/>
      <c r="H2495" s="5"/>
      <c r="I2495" s="5"/>
      <c r="J2495" s="5"/>
      <c r="K2495" s="5"/>
      <c r="L2495" s="5"/>
      <c r="M2495" s="5"/>
      <c r="N2495" s="5"/>
      <c r="O2495" s="5"/>
      <c r="P2495" s="5"/>
      <c r="Q2495" s="5"/>
      <c r="R2495" s="5"/>
      <c r="S2495" s="5"/>
      <c r="T2495" s="5"/>
      <c r="U2495" s="5"/>
      <c r="V2495" s="5"/>
      <c r="W2495" s="5"/>
      <c r="X2495" s="5"/>
      <c r="Y2495" s="5"/>
      <c r="Z2495" s="5"/>
      <c r="AA2495" s="5"/>
      <c r="AB2495" s="5"/>
      <c r="AC2495" s="5"/>
      <c r="AD2495" s="5"/>
      <c r="AE2495" s="5"/>
      <c r="AF2495" s="5"/>
      <c r="AG2495" s="5"/>
      <c r="AH2495" s="5"/>
      <c r="AI2495" s="5"/>
      <c r="AJ2495" s="5"/>
    </row>
    <row r="2496" spans="1:36" ht="13">
      <c r="A2496" s="5"/>
      <c r="B2496" s="5"/>
      <c r="C2496" s="5"/>
      <c r="D2496" s="5"/>
      <c r="E2496" s="5"/>
      <c r="F2496" s="5"/>
      <c r="G2496" s="5"/>
      <c r="H2496" s="5"/>
      <c r="I2496" s="5"/>
      <c r="J2496" s="5"/>
      <c r="K2496" s="5"/>
      <c r="L2496" s="5"/>
      <c r="M2496" s="5"/>
      <c r="N2496" s="5"/>
      <c r="O2496" s="5"/>
      <c r="P2496" s="5"/>
      <c r="Q2496" s="5"/>
      <c r="R2496" s="5"/>
      <c r="S2496" s="5"/>
      <c r="T2496" s="5"/>
      <c r="U2496" s="5"/>
      <c r="V2496" s="5"/>
      <c r="W2496" s="5"/>
      <c r="X2496" s="5"/>
      <c r="Y2496" s="5"/>
      <c r="Z2496" s="5"/>
      <c r="AA2496" s="5"/>
      <c r="AB2496" s="5"/>
      <c r="AC2496" s="5"/>
      <c r="AD2496" s="5"/>
      <c r="AE2496" s="5"/>
      <c r="AF2496" s="5"/>
      <c r="AG2496" s="5"/>
      <c r="AH2496" s="5"/>
      <c r="AI2496" s="5"/>
      <c r="AJ2496" s="5"/>
    </row>
    <row r="2497" spans="1:36" ht="13">
      <c r="A2497" s="5"/>
      <c r="B2497" s="5"/>
      <c r="C2497" s="5"/>
      <c r="D2497" s="5"/>
      <c r="E2497" s="5"/>
      <c r="F2497" s="5"/>
      <c r="G2497" s="5"/>
      <c r="H2497" s="5"/>
      <c r="I2497" s="5"/>
      <c r="J2497" s="5"/>
      <c r="K2497" s="5"/>
      <c r="L2497" s="5"/>
      <c r="M2497" s="5"/>
      <c r="N2497" s="5"/>
      <c r="O2497" s="5"/>
      <c r="P2497" s="5"/>
      <c r="Q2497" s="5"/>
      <c r="R2497" s="5"/>
      <c r="S2497" s="5"/>
      <c r="T2497" s="5"/>
      <c r="U2497" s="5"/>
      <c r="V2497" s="5"/>
      <c r="W2497" s="5"/>
      <c r="X2497" s="5"/>
      <c r="Y2497" s="5"/>
      <c r="Z2497" s="5"/>
      <c r="AA2497" s="5"/>
      <c r="AB2497" s="5"/>
      <c r="AC2497" s="5"/>
      <c r="AD2497" s="5"/>
      <c r="AE2497" s="5"/>
      <c r="AF2497" s="5"/>
      <c r="AG2497" s="5"/>
      <c r="AH2497" s="5"/>
      <c r="AI2497" s="5"/>
      <c r="AJ2497" s="5"/>
    </row>
    <row r="2498" spans="1:36" ht="13">
      <c r="A2498" s="5"/>
      <c r="B2498" s="5"/>
      <c r="C2498" s="5"/>
      <c r="D2498" s="5"/>
      <c r="E2498" s="5"/>
      <c r="F2498" s="5"/>
      <c r="G2498" s="5"/>
      <c r="H2498" s="5"/>
      <c r="I2498" s="5"/>
      <c r="J2498" s="5"/>
      <c r="K2498" s="5"/>
      <c r="L2498" s="5"/>
      <c r="M2498" s="5"/>
      <c r="N2498" s="5"/>
      <c r="O2498" s="5"/>
      <c r="P2498" s="5"/>
      <c r="Q2498" s="5"/>
      <c r="R2498" s="5"/>
      <c r="S2498" s="5"/>
      <c r="T2498" s="5"/>
      <c r="U2498" s="5"/>
      <c r="V2498" s="5"/>
      <c r="W2498" s="5"/>
      <c r="X2498" s="5"/>
      <c r="Y2498" s="5"/>
      <c r="Z2498" s="5"/>
      <c r="AA2498" s="5"/>
      <c r="AB2498" s="5"/>
      <c r="AC2498" s="5"/>
      <c r="AD2498" s="5"/>
      <c r="AE2498" s="5"/>
      <c r="AF2498" s="5"/>
      <c r="AG2498" s="5"/>
      <c r="AH2498" s="5"/>
      <c r="AI2498" s="5"/>
      <c r="AJ2498" s="5"/>
    </row>
    <row r="2499" spans="1:36" ht="13">
      <c r="A2499" s="5"/>
      <c r="B2499" s="5"/>
      <c r="C2499" s="5"/>
      <c r="D2499" s="5"/>
      <c r="E2499" s="5"/>
      <c r="F2499" s="5"/>
      <c r="G2499" s="5"/>
      <c r="H2499" s="5"/>
      <c r="I2499" s="5"/>
      <c r="J2499" s="5"/>
      <c r="K2499" s="5"/>
      <c r="L2499" s="5"/>
      <c r="M2499" s="5"/>
      <c r="N2499" s="5"/>
      <c r="O2499" s="5"/>
      <c r="P2499" s="5"/>
      <c r="Q2499" s="5"/>
      <c r="R2499" s="5"/>
      <c r="S2499" s="5"/>
      <c r="T2499" s="5"/>
      <c r="U2499" s="5"/>
      <c r="V2499" s="5"/>
      <c r="W2499" s="5"/>
      <c r="X2499" s="5"/>
      <c r="Y2499" s="5"/>
      <c r="Z2499" s="5"/>
      <c r="AA2499" s="5"/>
      <c r="AB2499" s="5"/>
      <c r="AC2499" s="5"/>
      <c r="AD2499" s="5"/>
      <c r="AE2499" s="5"/>
      <c r="AF2499" s="5"/>
      <c r="AG2499" s="5"/>
      <c r="AH2499" s="5"/>
      <c r="AI2499" s="5"/>
      <c r="AJ2499" s="5"/>
    </row>
    <row r="2500" spans="1:36" ht="13">
      <c r="A2500" s="5"/>
      <c r="B2500" s="5"/>
      <c r="C2500" s="5"/>
      <c r="D2500" s="5"/>
      <c r="E2500" s="5"/>
      <c r="F2500" s="5"/>
      <c r="G2500" s="5"/>
      <c r="H2500" s="5"/>
      <c r="I2500" s="5"/>
      <c r="J2500" s="5"/>
      <c r="K2500" s="5"/>
      <c r="L2500" s="5"/>
      <c r="M2500" s="5"/>
      <c r="N2500" s="5"/>
      <c r="O2500" s="5"/>
      <c r="P2500" s="5"/>
      <c r="Q2500" s="5"/>
      <c r="R2500" s="5"/>
      <c r="S2500" s="5"/>
      <c r="T2500" s="5"/>
      <c r="U2500" s="5"/>
      <c r="V2500" s="5"/>
      <c r="W2500" s="5"/>
      <c r="X2500" s="5"/>
      <c r="Y2500" s="5"/>
      <c r="Z2500" s="5"/>
      <c r="AA2500" s="5"/>
      <c r="AB2500" s="5"/>
      <c r="AC2500" s="5"/>
      <c r="AD2500" s="5"/>
      <c r="AE2500" s="5"/>
      <c r="AF2500" s="5"/>
      <c r="AG2500" s="5"/>
      <c r="AH2500" s="5"/>
      <c r="AI2500" s="5"/>
      <c r="AJ2500" s="5"/>
    </row>
    <row r="2501" spans="1:36" ht="13">
      <c r="A2501" s="5"/>
      <c r="B2501" s="5"/>
      <c r="C2501" s="5"/>
      <c r="D2501" s="5"/>
      <c r="E2501" s="5"/>
      <c r="F2501" s="5"/>
      <c r="G2501" s="5"/>
      <c r="H2501" s="5"/>
      <c r="I2501" s="5"/>
      <c r="J2501" s="5"/>
      <c r="K2501" s="5"/>
      <c r="L2501" s="5"/>
      <c r="M2501" s="5"/>
      <c r="N2501" s="5"/>
      <c r="O2501" s="5"/>
      <c r="P2501" s="5"/>
      <c r="Q2501" s="5"/>
      <c r="R2501" s="5"/>
      <c r="S2501" s="5"/>
      <c r="T2501" s="5"/>
      <c r="U2501" s="5"/>
      <c r="V2501" s="5"/>
      <c r="W2501" s="5"/>
      <c r="X2501" s="5"/>
      <c r="Y2501" s="5"/>
      <c r="Z2501" s="5"/>
      <c r="AA2501" s="5"/>
      <c r="AB2501" s="5"/>
      <c r="AC2501" s="5"/>
      <c r="AD2501" s="5"/>
      <c r="AE2501" s="5"/>
      <c r="AF2501" s="5"/>
      <c r="AG2501" s="5"/>
      <c r="AH2501" s="5"/>
      <c r="AI2501" s="5"/>
      <c r="AJ2501" s="5"/>
    </row>
    <row r="2502" spans="1:36" ht="13">
      <c r="A2502" s="5"/>
      <c r="B2502" s="5"/>
      <c r="C2502" s="5"/>
      <c r="D2502" s="5"/>
      <c r="E2502" s="5"/>
      <c r="F2502" s="5"/>
      <c r="G2502" s="5"/>
      <c r="H2502" s="5"/>
      <c r="I2502" s="5"/>
      <c r="J2502" s="5"/>
      <c r="K2502" s="5"/>
      <c r="L2502" s="5"/>
      <c r="M2502" s="5"/>
      <c r="N2502" s="5"/>
      <c r="O2502" s="5"/>
      <c r="P2502" s="5"/>
      <c r="Q2502" s="5"/>
      <c r="R2502" s="5"/>
      <c r="S2502" s="5"/>
      <c r="T2502" s="5"/>
      <c r="U2502" s="5"/>
      <c r="V2502" s="5"/>
      <c r="W2502" s="5"/>
      <c r="X2502" s="5"/>
      <c r="Y2502" s="5"/>
      <c r="Z2502" s="5"/>
      <c r="AA2502" s="5"/>
      <c r="AB2502" s="5"/>
      <c r="AC2502" s="5"/>
      <c r="AD2502" s="5"/>
      <c r="AE2502" s="5"/>
      <c r="AF2502" s="5"/>
      <c r="AG2502" s="5"/>
      <c r="AH2502" s="5"/>
      <c r="AI2502" s="5"/>
      <c r="AJ2502" s="5"/>
    </row>
    <row r="2503" spans="1:36" ht="13">
      <c r="A2503" s="5"/>
      <c r="B2503" s="5"/>
      <c r="C2503" s="5"/>
      <c r="D2503" s="5"/>
      <c r="E2503" s="5"/>
      <c r="F2503" s="5"/>
      <c r="G2503" s="5"/>
      <c r="H2503" s="5"/>
      <c r="I2503" s="5"/>
      <c r="J2503" s="5"/>
      <c r="K2503" s="5"/>
      <c r="L2503" s="5"/>
      <c r="M2503" s="5"/>
      <c r="N2503" s="5"/>
      <c r="O2503" s="5"/>
      <c r="P2503" s="5"/>
      <c r="Q2503" s="5"/>
      <c r="R2503" s="5"/>
      <c r="S2503" s="5"/>
      <c r="T2503" s="5"/>
      <c r="U2503" s="5"/>
      <c r="V2503" s="5"/>
      <c r="W2503" s="5"/>
      <c r="X2503" s="5"/>
      <c r="Y2503" s="5"/>
      <c r="Z2503" s="5"/>
      <c r="AA2503" s="5"/>
      <c r="AB2503" s="5"/>
      <c r="AC2503" s="5"/>
      <c r="AD2503" s="5"/>
      <c r="AE2503" s="5"/>
      <c r="AF2503" s="5"/>
      <c r="AG2503" s="5"/>
      <c r="AH2503" s="5"/>
      <c r="AI2503" s="5"/>
      <c r="AJ2503" s="5"/>
    </row>
    <row r="2504" spans="1:36" ht="13">
      <c r="A2504" s="5"/>
      <c r="B2504" s="5"/>
      <c r="C2504" s="5"/>
      <c r="D2504" s="5"/>
      <c r="E2504" s="5"/>
      <c r="F2504" s="5"/>
      <c r="G2504" s="5"/>
      <c r="H2504" s="5"/>
      <c r="I2504" s="5"/>
      <c r="J2504" s="5"/>
      <c r="K2504" s="5"/>
      <c r="L2504" s="5"/>
      <c r="M2504" s="5"/>
      <c r="N2504" s="5"/>
      <c r="O2504" s="5"/>
      <c r="P2504" s="5"/>
      <c r="Q2504" s="5"/>
      <c r="R2504" s="5"/>
      <c r="S2504" s="5"/>
      <c r="T2504" s="5"/>
      <c r="U2504" s="5"/>
      <c r="V2504" s="5"/>
      <c r="W2504" s="5"/>
      <c r="X2504" s="5"/>
      <c r="Y2504" s="5"/>
      <c r="Z2504" s="5"/>
      <c r="AA2504" s="5"/>
      <c r="AB2504" s="5"/>
      <c r="AC2504" s="5"/>
      <c r="AD2504" s="5"/>
      <c r="AE2504" s="5"/>
      <c r="AF2504" s="5"/>
      <c r="AG2504" s="5"/>
      <c r="AH2504" s="5"/>
      <c r="AI2504" s="5"/>
      <c r="AJ2504" s="5"/>
    </row>
    <row r="2505" spans="1:36" ht="13">
      <c r="A2505" s="5"/>
      <c r="B2505" s="5"/>
      <c r="C2505" s="5"/>
      <c r="D2505" s="5"/>
      <c r="E2505" s="5"/>
      <c r="F2505" s="5"/>
      <c r="G2505" s="5"/>
      <c r="H2505" s="5"/>
      <c r="I2505" s="5"/>
      <c r="J2505" s="5"/>
      <c r="K2505" s="5"/>
      <c r="L2505" s="5"/>
      <c r="M2505" s="5"/>
      <c r="N2505" s="5"/>
      <c r="O2505" s="5"/>
      <c r="P2505" s="5"/>
      <c r="Q2505" s="5"/>
      <c r="R2505" s="5"/>
      <c r="S2505" s="5"/>
      <c r="T2505" s="5"/>
      <c r="U2505" s="5"/>
      <c r="V2505" s="5"/>
      <c r="W2505" s="5"/>
      <c r="X2505" s="5"/>
      <c r="Y2505" s="5"/>
      <c r="Z2505" s="5"/>
      <c r="AA2505" s="5"/>
      <c r="AB2505" s="5"/>
      <c r="AC2505" s="5"/>
      <c r="AD2505" s="5"/>
      <c r="AE2505" s="5"/>
      <c r="AF2505" s="5"/>
      <c r="AG2505" s="5"/>
      <c r="AH2505" s="5"/>
      <c r="AI2505" s="5"/>
      <c r="AJ2505" s="5"/>
    </row>
    <row r="2506" spans="1:36" ht="13">
      <c r="A2506" s="5"/>
      <c r="B2506" s="5"/>
      <c r="C2506" s="5"/>
      <c r="D2506" s="5"/>
      <c r="E2506" s="5"/>
      <c r="F2506" s="5"/>
      <c r="G2506" s="5"/>
      <c r="H2506" s="5"/>
      <c r="I2506" s="5"/>
      <c r="J2506" s="5"/>
      <c r="K2506" s="5"/>
      <c r="L2506" s="5"/>
      <c r="M2506" s="5"/>
      <c r="N2506" s="5"/>
      <c r="O2506" s="5"/>
      <c r="P2506" s="5"/>
      <c r="Q2506" s="5"/>
      <c r="R2506" s="5"/>
      <c r="S2506" s="5"/>
      <c r="T2506" s="5"/>
      <c r="U2506" s="5"/>
      <c r="V2506" s="5"/>
      <c r="W2506" s="5"/>
      <c r="X2506" s="5"/>
      <c r="Y2506" s="5"/>
      <c r="Z2506" s="5"/>
      <c r="AA2506" s="5"/>
      <c r="AB2506" s="5"/>
      <c r="AC2506" s="5"/>
      <c r="AD2506" s="5"/>
      <c r="AE2506" s="5"/>
      <c r="AF2506" s="5"/>
      <c r="AG2506" s="5"/>
      <c r="AH2506" s="5"/>
      <c r="AI2506" s="5"/>
      <c r="AJ2506" s="5"/>
    </row>
    <row r="2507" spans="1:36" ht="13">
      <c r="A2507" s="5"/>
      <c r="B2507" s="5"/>
      <c r="C2507" s="5"/>
      <c r="D2507" s="5"/>
      <c r="E2507" s="5"/>
      <c r="F2507" s="5"/>
      <c r="G2507" s="5"/>
      <c r="H2507" s="5"/>
      <c r="I2507" s="5"/>
      <c r="J2507" s="5"/>
      <c r="K2507" s="5"/>
      <c r="L2507" s="5"/>
      <c r="M2507" s="5"/>
      <c r="N2507" s="5"/>
      <c r="O2507" s="5"/>
      <c r="P2507" s="5"/>
      <c r="Q2507" s="5"/>
      <c r="R2507" s="5"/>
      <c r="S2507" s="5"/>
      <c r="T2507" s="5"/>
      <c r="U2507" s="5"/>
      <c r="V2507" s="5"/>
      <c r="W2507" s="5"/>
      <c r="X2507" s="5"/>
      <c r="Y2507" s="5"/>
      <c r="Z2507" s="5"/>
      <c r="AA2507" s="5"/>
      <c r="AB2507" s="5"/>
      <c r="AC2507" s="5"/>
      <c r="AD2507" s="5"/>
      <c r="AE2507" s="5"/>
      <c r="AF2507" s="5"/>
      <c r="AG2507" s="5"/>
      <c r="AH2507" s="5"/>
      <c r="AI2507" s="5"/>
      <c r="AJ2507" s="5"/>
    </row>
    <row r="2508" spans="1:36" ht="13">
      <c r="A2508" s="5"/>
      <c r="B2508" s="5"/>
      <c r="C2508" s="5"/>
      <c r="D2508" s="5"/>
      <c r="E2508" s="5"/>
      <c r="F2508" s="5"/>
      <c r="G2508" s="5"/>
      <c r="H2508" s="5"/>
      <c r="I2508" s="5"/>
      <c r="J2508" s="5"/>
      <c r="K2508" s="5"/>
      <c r="L2508" s="5"/>
      <c r="M2508" s="5"/>
      <c r="N2508" s="5"/>
      <c r="O2508" s="5"/>
      <c r="P2508" s="5"/>
      <c r="Q2508" s="5"/>
      <c r="R2508" s="5"/>
      <c r="S2508" s="5"/>
      <c r="T2508" s="5"/>
      <c r="U2508" s="5"/>
      <c r="V2508" s="5"/>
      <c r="W2508" s="5"/>
      <c r="X2508" s="5"/>
      <c r="Y2508" s="5"/>
      <c r="Z2508" s="5"/>
      <c r="AA2508" s="5"/>
      <c r="AB2508" s="5"/>
      <c r="AC2508" s="5"/>
      <c r="AD2508" s="5"/>
      <c r="AE2508" s="5"/>
      <c r="AF2508" s="5"/>
      <c r="AG2508" s="5"/>
      <c r="AH2508" s="5"/>
      <c r="AI2508" s="5"/>
      <c r="AJ2508" s="5"/>
    </row>
    <row r="2509" spans="1:36" ht="13">
      <c r="A2509" s="5"/>
      <c r="B2509" s="5"/>
      <c r="C2509" s="5"/>
      <c r="D2509" s="5"/>
      <c r="E2509" s="5"/>
      <c r="F2509" s="5"/>
      <c r="G2509" s="5"/>
      <c r="H2509" s="5"/>
      <c r="I2509" s="5"/>
      <c r="J2509" s="5"/>
      <c r="K2509" s="5"/>
      <c r="L2509" s="5"/>
      <c r="M2509" s="5"/>
      <c r="N2509" s="5"/>
      <c r="O2509" s="5"/>
      <c r="P2509" s="5"/>
      <c r="Q2509" s="5"/>
      <c r="R2509" s="5"/>
      <c r="S2509" s="5"/>
      <c r="T2509" s="5"/>
      <c r="U2509" s="5"/>
      <c r="V2509" s="5"/>
      <c r="W2509" s="5"/>
      <c r="X2509" s="5"/>
      <c r="Y2509" s="5"/>
      <c r="Z2509" s="5"/>
      <c r="AA2509" s="5"/>
      <c r="AB2509" s="5"/>
      <c r="AC2509" s="5"/>
      <c r="AD2509" s="5"/>
      <c r="AE2509" s="5"/>
      <c r="AF2509" s="5"/>
      <c r="AG2509" s="5"/>
      <c r="AH2509" s="5"/>
      <c r="AI2509" s="5"/>
      <c r="AJ2509" s="5"/>
    </row>
    <row r="2510" spans="1:36" ht="13">
      <c r="A2510" s="5"/>
      <c r="B2510" s="5"/>
      <c r="C2510" s="5"/>
      <c r="D2510" s="5"/>
      <c r="E2510" s="5"/>
      <c r="F2510" s="5"/>
      <c r="G2510" s="5"/>
      <c r="H2510" s="5"/>
      <c r="I2510" s="5"/>
      <c r="J2510" s="5"/>
      <c r="K2510" s="5"/>
      <c r="L2510" s="5"/>
      <c r="M2510" s="5"/>
      <c r="N2510" s="5"/>
      <c r="O2510" s="5"/>
      <c r="P2510" s="5"/>
      <c r="Q2510" s="5"/>
      <c r="R2510" s="5"/>
      <c r="S2510" s="5"/>
      <c r="T2510" s="5"/>
      <c r="U2510" s="5"/>
      <c r="V2510" s="5"/>
      <c r="W2510" s="5"/>
      <c r="X2510" s="5"/>
      <c r="Y2510" s="5"/>
      <c r="Z2510" s="5"/>
      <c r="AA2510" s="5"/>
      <c r="AB2510" s="5"/>
      <c r="AC2510" s="5"/>
      <c r="AD2510" s="5"/>
      <c r="AE2510" s="5"/>
      <c r="AF2510" s="5"/>
      <c r="AG2510" s="5"/>
      <c r="AH2510" s="5"/>
      <c r="AI2510" s="5"/>
      <c r="AJ2510" s="5"/>
    </row>
    <row r="2511" spans="1:36" ht="13">
      <c r="A2511" s="5"/>
      <c r="B2511" s="5"/>
      <c r="C2511" s="5"/>
      <c r="D2511" s="5"/>
      <c r="E2511" s="5"/>
      <c r="F2511" s="5"/>
      <c r="G2511" s="5"/>
      <c r="H2511" s="5"/>
      <c r="I2511" s="5"/>
      <c r="J2511" s="5"/>
      <c r="K2511" s="5"/>
      <c r="L2511" s="5"/>
      <c r="M2511" s="5"/>
      <c r="N2511" s="5"/>
      <c r="O2511" s="5"/>
      <c r="P2511" s="5"/>
      <c r="Q2511" s="5"/>
      <c r="R2511" s="5"/>
      <c r="S2511" s="5"/>
      <c r="T2511" s="5"/>
      <c r="U2511" s="5"/>
      <c r="V2511" s="5"/>
      <c r="W2511" s="5"/>
      <c r="X2511" s="5"/>
      <c r="Y2511" s="5"/>
      <c r="Z2511" s="5"/>
      <c r="AA2511" s="5"/>
      <c r="AB2511" s="5"/>
      <c r="AC2511" s="5"/>
      <c r="AD2511" s="5"/>
      <c r="AE2511" s="5"/>
      <c r="AF2511" s="5"/>
      <c r="AG2511" s="5"/>
      <c r="AH2511" s="5"/>
      <c r="AI2511" s="5"/>
      <c r="AJ2511" s="5"/>
    </row>
    <row r="2512" spans="1:36" ht="13">
      <c r="A2512" s="5"/>
      <c r="B2512" s="5"/>
      <c r="C2512" s="5"/>
      <c r="D2512" s="5"/>
      <c r="E2512" s="5"/>
      <c r="F2512" s="5"/>
      <c r="G2512" s="5"/>
      <c r="H2512" s="5"/>
      <c r="I2512" s="5"/>
      <c r="J2512" s="5"/>
      <c r="K2512" s="5"/>
      <c r="L2512" s="5"/>
      <c r="M2512" s="5"/>
      <c r="N2512" s="5"/>
      <c r="O2512" s="5"/>
      <c r="P2512" s="5"/>
      <c r="Q2512" s="5"/>
      <c r="R2512" s="5"/>
      <c r="S2512" s="5"/>
      <c r="T2512" s="5"/>
      <c r="U2512" s="5"/>
      <c r="V2512" s="5"/>
      <c r="W2512" s="5"/>
      <c r="X2512" s="5"/>
      <c r="Y2512" s="5"/>
      <c r="Z2512" s="5"/>
      <c r="AA2512" s="5"/>
      <c r="AB2512" s="5"/>
      <c r="AC2512" s="5"/>
      <c r="AD2512" s="5"/>
      <c r="AE2512" s="5"/>
      <c r="AF2512" s="5"/>
      <c r="AG2512" s="5"/>
      <c r="AH2512" s="5"/>
      <c r="AI2512" s="5"/>
      <c r="AJ2512" s="5"/>
    </row>
    <row r="2513" spans="1:36" ht="13">
      <c r="A2513" s="5"/>
      <c r="B2513" s="5"/>
      <c r="C2513" s="5"/>
      <c r="D2513" s="5"/>
      <c r="E2513" s="5"/>
      <c r="F2513" s="5"/>
      <c r="G2513" s="5"/>
      <c r="H2513" s="5"/>
      <c r="I2513" s="5"/>
      <c r="J2513" s="5"/>
      <c r="K2513" s="5"/>
      <c r="L2513" s="5"/>
      <c r="M2513" s="5"/>
      <c r="N2513" s="5"/>
      <c r="O2513" s="5"/>
      <c r="P2513" s="5"/>
      <c r="Q2513" s="5"/>
      <c r="R2513" s="5"/>
      <c r="S2513" s="5"/>
      <c r="T2513" s="5"/>
      <c r="U2513" s="5"/>
      <c r="V2513" s="5"/>
      <c r="W2513" s="5"/>
      <c r="X2513" s="5"/>
      <c r="Y2513" s="5"/>
      <c r="Z2513" s="5"/>
      <c r="AA2513" s="5"/>
      <c r="AB2513" s="5"/>
      <c r="AC2513" s="5"/>
      <c r="AD2513" s="5"/>
      <c r="AE2513" s="5"/>
      <c r="AF2513" s="5"/>
      <c r="AG2513" s="5"/>
      <c r="AH2513" s="5"/>
      <c r="AI2513" s="5"/>
      <c r="AJ2513" s="5"/>
    </row>
    <row r="2514" spans="1:36" ht="13">
      <c r="A2514" s="5"/>
      <c r="B2514" s="5"/>
      <c r="C2514" s="5"/>
      <c r="D2514" s="5"/>
      <c r="E2514" s="5"/>
      <c r="F2514" s="5"/>
      <c r="G2514" s="5"/>
      <c r="H2514" s="5"/>
      <c r="I2514" s="5"/>
      <c r="J2514" s="5"/>
      <c r="K2514" s="5"/>
      <c r="L2514" s="5"/>
      <c r="M2514" s="5"/>
      <c r="N2514" s="5"/>
      <c r="O2514" s="5"/>
      <c r="P2514" s="5"/>
      <c r="Q2514" s="5"/>
      <c r="R2514" s="5"/>
      <c r="S2514" s="5"/>
      <c r="T2514" s="5"/>
      <c r="U2514" s="5"/>
      <c r="V2514" s="5"/>
      <c r="W2514" s="5"/>
      <c r="X2514" s="5"/>
      <c r="Y2514" s="5"/>
      <c r="Z2514" s="5"/>
      <c r="AA2514" s="5"/>
      <c r="AB2514" s="5"/>
      <c r="AC2514" s="5"/>
      <c r="AD2514" s="5"/>
      <c r="AE2514" s="5"/>
      <c r="AF2514" s="5"/>
      <c r="AG2514" s="5"/>
      <c r="AH2514" s="5"/>
      <c r="AI2514" s="5"/>
      <c r="AJ2514" s="5"/>
    </row>
    <row r="2515" spans="1:36" ht="13">
      <c r="A2515" s="5"/>
      <c r="B2515" s="5"/>
      <c r="C2515" s="5"/>
      <c r="D2515" s="5"/>
      <c r="E2515" s="5"/>
      <c r="F2515" s="5"/>
      <c r="G2515" s="5"/>
      <c r="H2515" s="5"/>
      <c r="I2515" s="5"/>
      <c r="J2515" s="5"/>
      <c r="K2515" s="5"/>
      <c r="L2515" s="5"/>
      <c r="M2515" s="5"/>
      <c r="N2515" s="5"/>
      <c r="O2515" s="5"/>
      <c r="P2515" s="5"/>
      <c r="Q2515" s="5"/>
      <c r="R2515" s="5"/>
      <c r="S2515" s="5"/>
      <c r="T2515" s="5"/>
      <c r="U2515" s="5"/>
      <c r="V2515" s="5"/>
      <c r="W2515" s="5"/>
      <c r="X2515" s="5"/>
      <c r="Y2515" s="5"/>
      <c r="Z2515" s="5"/>
      <c r="AA2515" s="5"/>
      <c r="AB2515" s="5"/>
      <c r="AC2515" s="5"/>
      <c r="AD2515" s="5"/>
      <c r="AE2515" s="5"/>
      <c r="AF2515" s="5"/>
      <c r="AG2515" s="5"/>
      <c r="AH2515" s="5"/>
      <c r="AI2515" s="5"/>
      <c r="AJ2515" s="5"/>
    </row>
    <row r="2516" spans="1:36" ht="13">
      <c r="A2516" s="5"/>
      <c r="B2516" s="5"/>
      <c r="C2516" s="5"/>
      <c r="D2516" s="5"/>
      <c r="E2516" s="5"/>
      <c r="F2516" s="5"/>
      <c r="G2516" s="5"/>
      <c r="H2516" s="5"/>
      <c r="I2516" s="5"/>
      <c r="J2516" s="5"/>
      <c r="K2516" s="5"/>
      <c r="L2516" s="5"/>
      <c r="M2516" s="5"/>
      <c r="N2516" s="5"/>
      <c r="O2516" s="5"/>
      <c r="P2516" s="5"/>
      <c r="Q2516" s="5"/>
      <c r="R2516" s="5"/>
      <c r="S2516" s="5"/>
      <c r="T2516" s="5"/>
      <c r="U2516" s="5"/>
      <c r="V2516" s="5"/>
      <c r="W2516" s="5"/>
      <c r="X2516" s="5"/>
      <c r="Y2516" s="5"/>
      <c r="Z2516" s="5"/>
      <c r="AA2516" s="5"/>
      <c r="AB2516" s="5"/>
      <c r="AC2516" s="5"/>
      <c r="AD2516" s="5"/>
      <c r="AE2516" s="5"/>
      <c r="AF2516" s="5"/>
      <c r="AG2516" s="5"/>
      <c r="AH2516" s="5"/>
      <c r="AI2516" s="5"/>
      <c r="AJ2516" s="5"/>
    </row>
    <row r="2517" spans="1:36" ht="13">
      <c r="A2517" s="5"/>
      <c r="B2517" s="5"/>
      <c r="C2517" s="5"/>
      <c r="D2517" s="5"/>
      <c r="E2517" s="5"/>
      <c r="F2517" s="5"/>
      <c r="G2517" s="5"/>
      <c r="H2517" s="5"/>
      <c r="I2517" s="5"/>
      <c r="J2517" s="5"/>
      <c r="K2517" s="5"/>
      <c r="L2517" s="5"/>
      <c r="M2517" s="5"/>
      <c r="N2517" s="5"/>
      <c r="O2517" s="5"/>
      <c r="P2517" s="5"/>
      <c r="Q2517" s="5"/>
      <c r="R2517" s="5"/>
      <c r="S2517" s="5"/>
      <c r="T2517" s="5"/>
      <c r="U2517" s="5"/>
      <c r="V2517" s="5"/>
      <c r="W2517" s="5"/>
      <c r="X2517" s="5"/>
      <c r="Y2517" s="5"/>
      <c r="Z2517" s="5"/>
      <c r="AA2517" s="5"/>
      <c r="AB2517" s="5"/>
      <c r="AC2517" s="5"/>
      <c r="AD2517" s="5"/>
      <c r="AE2517" s="5"/>
      <c r="AF2517" s="5"/>
      <c r="AG2517" s="5"/>
      <c r="AH2517" s="5"/>
      <c r="AI2517" s="5"/>
      <c r="AJ2517" s="5"/>
    </row>
    <row r="2518" spans="1:36" ht="13">
      <c r="A2518" s="5"/>
      <c r="B2518" s="5"/>
      <c r="C2518" s="5"/>
      <c r="D2518" s="5"/>
      <c r="E2518" s="5"/>
      <c r="F2518" s="5"/>
      <c r="G2518" s="5"/>
      <c r="H2518" s="5"/>
      <c r="I2518" s="5"/>
      <c r="J2518" s="5"/>
      <c r="K2518" s="5"/>
      <c r="L2518" s="5"/>
      <c r="M2518" s="5"/>
      <c r="N2518" s="5"/>
      <c r="O2518" s="5"/>
      <c r="P2518" s="5"/>
      <c r="Q2518" s="5"/>
      <c r="R2518" s="5"/>
      <c r="S2518" s="5"/>
      <c r="T2518" s="5"/>
      <c r="U2518" s="5"/>
      <c r="V2518" s="5"/>
      <c r="W2518" s="5"/>
      <c r="X2518" s="5"/>
      <c r="Y2518" s="5"/>
      <c r="Z2518" s="5"/>
      <c r="AA2518" s="5"/>
      <c r="AB2518" s="5"/>
      <c r="AC2518" s="5"/>
      <c r="AD2518" s="5"/>
      <c r="AE2518" s="5"/>
      <c r="AF2518" s="5"/>
      <c r="AG2518" s="5"/>
      <c r="AH2518" s="5"/>
      <c r="AI2518" s="5"/>
      <c r="AJ2518" s="5"/>
    </row>
    <row r="2519" spans="1:36" ht="13">
      <c r="A2519" s="5"/>
      <c r="B2519" s="5"/>
      <c r="C2519" s="5"/>
      <c r="D2519" s="5"/>
      <c r="E2519" s="5"/>
      <c r="F2519" s="5"/>
      <c r="G2519" s="5"/>
      <c r="H2519" s="5"/>
      <c r="I2519" s="5"/>
      <c r="J2519" s="5"/>
      <c r="K2519" s="5"/>
      <c r="L2519" s="5"/>
      <c r="M2519" s="5"/>
      <c r="N2519" s="5"/>
      <c r="O2519" s="5"/>
      <c r="P2519" s="5"/>
      <c r="Q2519" s="5"/>
      <c r="R2519" s="5"/>
      <c r="S2519" s="5"/>
      <c r="T2519" s="5"/>
      <c r="U2519" s="5"/>
      <c r="V2519" s="5"/>
      <c r="W2519" s="5"/>
      <c r="X2519" s="5"/>
      <c r="Y2519" s="5"/>
      <c r="Z2519" s="5"/>
      <c r="AA2519" s="5"/>
      <c r="AB2519" s="5"/>
      <c r="AC2519" s="5"/>
      <c r="AD2519" s="5"/>
      <c r="AE2519" s="5"/>
      <c r="AF2519" s="5"/>
      <c r="AG2519" s="5"/>
      <c r="AH2519" s="5"/>
      <c r="AI2519" s="5"/>
      <c r="AJ2519" s="5"/>
    </row>
    <row r="2520" spans="1:36" ht="13">
      <c r="A2520" s="5"/>
      <c r="B2520" s="5"/>
      <c r="C2520" s="5"/>
      <c r="D2520" s="5"/>
      <c r="E2520" s="5"/>
      <c r="F2520" s="5"/>
      <c r="G2520" s="5"/>
      <c r="H2520" s="5"/>
      <c r="I2520" s="5"/>
      <c r="J2520" s="5"/>
      <c r="K2520" s="5"/>
      <c r="L2520" s="5"/>
      <c r="M2520" s="5"/>
      <c r="N2520" s="5"/>
      <c r="O2520" s="5"/>
      <c r="P2520" s="5"/>
      <c r="Q2520" s="5"/>
      <c r="R2520" s="5"/>
      <c r="S2520" s="5"/>
      <c r="T2520" s="5"/>
      <c r="U2520" s="5"/>
      <c r="V2520" s="5"/>
      <c r="W2520" s="5"/>
      <c r="X2520" s="5"/>
      <c r="Y2520" s="5"/>
      <c r="Z2520" s="5"/>
      <c r="AA2520" s="5"/>
      <c r="AB2520" s="5"/>
      <c r="AC2520" s="5"/>
      <c r="AD2520" s="5"/>
      <c r="AE2520" s="5"/>
      <c r="AF2520" s="5"/>
      <c r="AG2520" s="5"/>
      <c r="AH2520" s="5"/>
      <c r="AI2520" s="5"/>
      <c r="AJ2520" s="5"/>
    </row>
    <row r="2521" spans="1:36" ht="13">
      <c r="A2521" s="5"/>
      <c r="B2521" s="5"/>
      <c r="C2521" s="5"/>
      <c r="D2521" s="5"/>
      <c r="E2521" s="5"/>
      <c r="F2521" s="5"/>
      <c r="G2521" s="5"/>
      <c r="H2521" s="5"/>
      <c r="I2521" s="5"/>
      <c r="J2521" s="5"/>
      <c r="K2521" s="5"/>
      <c r="L2521" s="5"/>
      <c r="M2521" s="5"/>
      <c r="N2521" s="5"/>
      <c r="O2521" s="5"/>
      <c r="P2521" s="5"/>
      <c r="Q2521" s="5"/>
      <c r="R2521" s="5"/>
      <c r="S2521" s="5"/>
      <c r="T2521" s="5"/>
      <c r="U2521" s="5"/>
      <c r="V2521" s="5"/>
      <c r="W2521" s="5"/>
      <c r="X2521" s="5"/>
      <c r="Y2521" s="5"/>
      <c r="Z2521" s="5"/>
      <c r="AA2521" s="5"/>
      <c r="AB2521" s="5"/>
      <c r="AC2521" s="5"/>
      <c r="AD2521" s="5"/>
      <c r="AE2521" s="5"/>
      <c r="AF2521" s="5"/>
      <c r="AG2521" s="5"/>
      <c r="AH2521" s="5"/>
      <c r="AI2521" s="5"/>
      <c r="AJ2521" s="5"/>
    </row>
    <row r="2522" spans="1:36" ht="13">
      <c r="A2522" s="5"/>
      <c r="B2522" s="5"/>
      <c r="C2522" s="5"/>
      <c r="D2522" s="5"/>
      <c r="E2522" s="5"/>
      <c r="F2522" s="5"/>
      <c r="G2522" s="5"/>
      <c r="H2522" s="5"/>
      <c r="I2522" s="5"/>
      <c r="J2522" s="5"/>
      <c r="K2522" s="5"/>
      <c r="L2522" s="5"/>
      <c r="M2522" s="5"/>
      <c r="N2522" s="5"/>
      <c r="O2522" s="5"/>
      <c r="P2522" s="5"/>
      <c r="Q2522" s="5"/>
      <c r="R2522" s="5"/>
      <c r="S2522" s="5"/>
      <c r="T2522" s="5"/>
      <c r="U2522" s="5"/>
      <c r="V2522" s="5"/>
      <c r="W2522" s="5"/>
      <c r="X2522" s="5"/>
      <c r="Y2522" s="5"/>
      <c r="Z2522" s="5"/>
      <c r="AA2522" s="5"/>
      <c r="AB2522" s="5"/>
      <c r="AC2522" s="5"/>
      <c r="AD2522" s="5"/>
      <c r="AE2522" s="5"/>
      <c r="AF2522" s="5"/>
      <c r="AG2522" s="5"/>
      <c r="AH2522" s="5"/>
      <c r="AI2522" s="5"/>
      <c r="AJ2522" s="5"/>
    </row>
    <row r="2523" spans="1:36" ht="13">
      <c r="A2523" s="5"/>
      <c r="B2523" s="5"/>
      <c r="C2523" s="5"/>
      <c r="D2523" s="5"/>
      <c r="E2523" s="5"/>
      <c r="F2523" s="5"/>
      <c r="G2523" s="5"/>
      <c r="H2523" s="5"/>
      <c r="I2523" s="5"/>
      <c r="J2523" s="5"/>
      <c r="K2523" s="5"/>
      <c r="L2523" s="5"/>
      <c r="M2523" s="5"/>
      <c r="N2523" s="5"/>
      <c r="O2523" s="5"/>
      <c r="P2523" s="5"/>
      <c r="Q2523" s="5"/>
      <c r="R2523" s="5"/>
      <c r="S2523" s="5"/>
      <c r="T2523" s="5"/>
      <c r="U2523" s="5"/>
      <c r="V2523" s="5"/>
      <c r="W2523" s="5"/>
      <c r="X2523" s="5"/>
      <c r="Y2523" s="5"/>
      <c r="Z2523" s="5"/>
      <c r="AA2523" s="5"/>
      <c r="AB2523" s="5"/>
      <c r="AC2523" s="5"/>
      <c r="AD2523" s="5"/>
      <c r="AE2523" s="5"/>
      <c r="AF2523" s="5"/>
      <c r="AG2523" s="5"/>
      <c r="AH2523" s="5"/>
      <c r="AI2523" s="5"/>
      <c r="AJ2523" s="5"/>
    </row>
    <row r="2524" spans="1:36" ht="13">
      <c r="A2524" s="5"/>
      <c r="B2524" s="5"/>
      <c r="C2524" s="5"/>
      <c r="D2524" s="5"/>
      <c r="E2524" s="5"/>
      <c r="F2524" s="5"/>
      <c r="G2524" s="5"/>
      <c r="H2524" s="5"/>
      <c r="I2524" s="5"/>
      <c r="J2524" s="5"/>
      <c r="K2524" s="5"/>
      <c r="L2524" s="5"/>
      <c r="M2524" s="5"/>
      <c r="N2524" s="5"/>
      <c r="O2524" s="5"/>
      <c r="P2524" s="5"/>
      <c r="Q2524" s="5"/>
      <c r="R2524" s="5"/>
      <c r="S2524" s="5"/>
      <c r="T2524" s="5"/>
      <c r="U2524" s="5"/>
      <c r="V2524" s="5"/>
      <c r="W2524" s="5"/>
      <c r="X2524" s="5"/>
      <c r="Y2524" s="5"/>
      <c r="Z2524" s="5"/>
      <c r="AA2524" s="5"/>
      <c r="AB2524" s="5"/>
      <c r="AC2524" s="5"/>
      <c r="AD2524" s="5"/>
      <c r="AE2524" s="5"/>
      <c r="AF2524" s="5"/>
      <c r="AG2524" s="5"/>
      <c r="AH2524" s="5"/>
      <c r="AI2524" s="5"/>
      <c r="AJ2524" s="5"/>
    </row>
    <row r="2525" spans="1:36" ht="13">
      <c r="A2525" s="5"/>
      <c r="B2525" s="5"/>
      <c r="C2525" s="5"/>
      <c r="D2525" s="5"/>
      <c r="E2525" s="5"/>
      <c r="F2525" s="5"/>
      <c r="G2525" s="5"/>
      <c r="H2525" s="5"/>
      <c r="I2525" s="5"/>
      <c r="J2525" s="5"/>
      <c r="K2525" s="5"/>
      <c r="L2525" s="5"/>
      <c r="M2525" s="5"/>
      <c r="N2525" s="5"/>
      <c r="O2525" s="5"/>
      <c r="P2525" s="5"/>
      <c r="Q2525" s="5"/>
      <c r="R2525" s="5"/>
      <c r="S2525" s="5"/>
      <c r="T2525" s="5"/>
      <c r="U2525" s="5"/>
      <c r="V2525" s="5"/>
      <c r="W2525" s="5"/>
      <c r="X2525" s="5"/>
      <c r="Y2525" s="5"/>
      <c r="Z2525" s="5"/>
      <c r="AA2525" s="5"/>
      <c r="AB2525" s="5"/>
      <c r="AC2525" s="5"/>
      <c r="AD2525" s="5"/>
      <c r="AE2525" s="5"/>
      <c r="AF2525" s="5"/>
      <c r="AG2525" s="5"/>
      <c r="AH2525" s="5"/>
      <c r="AI2525" s="5"/>
      <c r="AJ2525" s="5"/>
    </row>
    <row r="2526" spans="1:36" ht="13">
      <c r="A2526" s="5"/>
      <c r="B2526" s="5"/>
      <c r="C2526" s="5"/>
      <c r="D2526" s="5"/>
      <c r="E2526" s="5"/>
      <c r="F2526" s="5"/>
      <c r="G2526" s="5"/>
      <c r="H2526" s="5"/>
      <c r="I2526" s="5"/>
      <c r="J2526" s="5"/>
      <c r="K2526" s="5"/>
      <c r="L2526" s="5"/>
      <c r="M2526" s="5"/>
      <c r="N2526" s="5"/>
      <c r="O2526" s="5"/>
      <c r="P2526" s="5"/>
      <c r="Q2526" s="5"/>
      <c r="R2526" s="5"/>
      <c r="S2526" s="5"/>
      <c r="T2526" s="5"/>
      <c r="U2526" s="5"/>
      <c r="V2526" s="5"/>
      <c r="W2526" s="5"/>
      <c r="X2526" s="5"/>
      <c r="Y2526" s="5"/>
      <c r="Z2526" s="5"/>
      <c r="AA2526" s="5"/>
      <c r="AB2526" s="5"/>
      <c r="AC2526" s="5"/>
      <c r="AD2526" s="5"/>
      <c r="AE2526" s="5"/>
      <c r="AF2526" s="5"/>
      <c r="AG2526" s="5"/>
      <c r="AH2526" s="5"/>
      <c r="AI2526" s="5"/>
      <c r="AJ2526" s="5"/>
    </row>
    <row r="2527" spans="1:36" ht="13">
      <c r="A2527" s="5"/>
      <c r="B2527" s="5"/>
      <c r="C2527" s="5"/>
      <c r="D2527" s="5"/>
      <c r="E2527" s="5"/>
      <c r="F2527" s="5"/>
      <c r="G2527" s="5"/>
      <c r="H2527" s="5"/>
      <c r="I2527" s="5"/>
      <c r="J2527" s="5"/>
      <c r="K2527" s="5"/>
      <c r="L2527" s="5"/>
      <c r="M2527" s="5"/>
      <c r="N2527" s="5"/>
      <c r="O2527" s="5"/>
      <c r="P2527" s="5"/>
      <c r="Q2527" s="5"/>
      <c r="R2527" s="5"/>
      <c r="S2527" s="5"/>
      <c r="T2527" s="5"/>
      <c r="U2527" s="5"/>
      <c r="V2527" s="5"/>
      <c r="W2527" s="5"/>
      <c r="X2527" s="5"/>
      <c r="Y2527" s="5"/>
      <c r="Z2527" s="5"/>
      <c r="AA2527" s="5"/>
      <c r="AB2527" s="5"/>
      <c r="AC2527" s="5"/>
      <c r="AD2527" s="5"/>
      <c r="AE2527" s="5"/>
      <c r="AF2527" s="5"/>
      <c r="AG2527" s="5"/>
      <c r="AH2527" s="5"/>
      <c r="AI2527" s="5"/>
      <c r="AJ2527" s="5"/>
    </row>
    <row r="2528" spans="1:36" ht="13">
      <c r="A2528" s="5"/>
      <c r="B2528" s="5"/>
      <c r="C2528" s="5"/>
      <c r="D2528" s="5"/>
      <c r="E2528" s="5"/>
      <c r="F2528" s="5"/>
      <c r="G2528" s="5"/>
      <c r="H2528" s="5"/>
      <c r="I2528" s="5"/>
      <c r="J2528" s="5"/>
      <c r="K2528" s="5"/>
      <c r="L2528" s="5"/>
      <c r="M2528" s="5"/>
      <c r="N2528" s="5"/>
      <c r="O2528" s="5"/>
      <c r="P2528" s="5"/>
      <c r="Q2528" s="5"/>
      <c r="R2528" s="5"/>
      <c r="S2528" s="5"/>
      <c r="T2528" s="5"/>
      <c r="U2528" s="5"/>
      <c r="V2528" s="5"/>
      <c r="W2528" s="5"/>
      <c r="X2528" s="5"/>
      <c r="Y2528" s="5"/>
      <c r="Z2528" s="5"/>
      <c r="AA2528" s="5"/>
      <c r="AB2528" s="5"/>
      <c r="AC2528" s="5"/>
      <c r="AD2528" s="5"/>
      <c r="AE2528" s="5"/>
      <c r="AF2528" s="5"/>
      <c r="AG2528" s="5"/>
      <c r="AH2528" s="5"/>
      <c r="AI2528" s="5"/>
      <c r="AJ2528" s="5"/>
    </row>
    <row r="2529" spans="1:36" ht="13">
      <c r="A2529" s="5"/>
      <c r="B2529" s="5"/>
      <c r="C2529" s="5"/>
      <c r="D2529" s="5"/>
      <c r="E2529" s="5"/>
      <c r="F2529" s="5"/>
      <c r="G2529" s="5"/>
      <c r="H2529" s="5"/>
      <c r="I2529" s="5"/>
      <c r="J2529" s="5"/>
      <c r="K2529" s="5"/>
      <c r="L2529" s="5"/>
      <c r="M2529" s="5"/>
      <c r="N2529" s="5"/>
      <c r="O2529" s="5"/>
      <c r="P2529" s="5"/>
      <c r="Q2529" s="5"/>
      <c r="R2529" s="5"/>
      <c r="S2529" s="5"/>
      <c r="T2529" s="5"/>
      <c r="U2529" s="5"/>
      <c r="V2529" s="5"/>
      <c r="W2529" s="5"/>
      <c r="X2529" s="5"/>
      <c r="Y2529" s="5"/>
      <c r="Z2529" s="5"/>
      <c r="AA2529" s="5"/>
      <c r="AB2529" s="5"/>
      <c r="AC2529" s="5"/>
      <c r="AD2529" s="5"/>
      <c r="AE2529" s="5"/>
      <c r="AF2529" s="5"/>
      <c r="AG2529" s="5"/>
      <c r="AH2529" s="5"/>
      <c r="AI2529" s="5"/>
      <c r="AJ2529" s="5"/>
    </row>
    <row r="2530" spans="1:36" ht="13">
      <c r="A2530" s="5"/>
      <c r="B2530" s="5"/>
      <c r="C2530" s="5"/>
      <c r="D2530" s="5"/>
      <c r="E2530" s="5"/>
      <c r="F2530" s="5"/>
      <c r="G2530" s="5"/>
      <c r="H2530" s="5"/>
      <c r="I2530" s="5"/>
      <c r="J2530" s="5"/>
      <c r="K2530" s="5"/>
      <c r="L2530" s="5"/>
      <c r="M2530" s="5"/>
      <c r="N2530" s="5"/>
      <c r="O2530" s="5"/>
      <c r="P2530" s="5"/>
      <c r="Q2530" s="5"/>
      <c r="R2530" s="5"/>
      <c r="S2530" s="5"/>
      <c r="T2530" s="5"/>
      <c r="U2530" s="5"/>
      <c r="V2530" s="5"/>
      <c r="W2530" s="5"/>
      <c r="X2530" s="5"/>
      <c r="Y2530" s="5"/>
      <c r="Z2530" s="5"/>
      <c r="AA2530" s="5"/>
      <c r="AB2530" s="5"/>
      <c r="AC2530" s="5"/>
      <c r="AD2530" s="5"/>
      <c r="AE2530" s="5"/>
      <c r="AF2530" s="5"/>
      <c r="AG2530" s="5"/>
      <c r="AH2530" s="5"/>
      <c r="AI2530" s="5"/>
      <c r="AJ2530" s="5"/>
    </row>
    <row r="2531" spans="1:36" ht="13">
      <c r="A2531" s="5"/>
      <c r="B2531" s="5"/>
      <c r="C2531" s="5"/>
      <c r="D2531" s="5"/>
      <c r="E2531" s="5"/>
      <c r="F2531" s="5"/>
      <c r="G2531" s="5"/>
      <c r="H2531" s="5"/>
      <c r="I2531" s="5"/>
      <c r="J2531" s="5"/>
      <c r="K2531" s="5"/>
      <c r="L2531" s="5"/>
      <c r="M2531" s="5"/>
      <c r="N2531" s="5"/>
      <c r="O2531" s="5"/>
      <c r="P2531" s="5"/>
      <c r="Q2531" s="5"/>
      <c r="R2531" s="5"/>
      <c r="S2531" s="5"/>
      <c r="T2531" s="5"/>
      <c r="U2531" s="5"/>
      <c r="V2531" s="5"/>
      <c r="W2531" s="5"/>
      <c r="X2531" s="5"/>
      <c r="Y2531" s="5"/>
      <c r="Z2531" s="5"/>
      <c r="AA2531" s="5"/>
      <c r="AB2531" s="5"/>
      <c r="AC2531" s="5"/>
      <c r="AD2531" s="5"/>
      <c r="AE2531" s="5"/>
      <c r="AF2531" s="5"/>
      <c r="AG2531" s="5"/>
      <c r="AH2531" s="5"/>
      <c r="AI2531" s="5"/>
      <c r="AJ2531" s="5"/>
    </row>
    <row r="2532" spans="1:36" ht="13">
      <c r="A2532" s="5"/>
      <c r="B2532" s="5"/>
      <c r="C2532" s="5"/>
      <c r="D2532" s="5"/>
      <c r="E2532" s="5"/>
      <c r="F2532" s="5"/>
      <c r="G2532" s="5"/>
      <c r="H2532" s="5"/>
      <c r="I2532" s="5"/>
      <c r="J2532" s="5"/>
      <c r="K2532" s="5"/>
      <c r="L2532" s="5"/>
      <c r="M2532" s="5"/>
      <c r="N2532" s="5"/>
      <c r="O2532" s="5"/>
      <c r="P2532" s="5"/>
      <c r="Q2532" s="5"/>
      <c r="R2532" s="5"/>
      <c r="S2532" s="5"/>
      <c r="T2532" s="5"/>
      <c r="U2532" s="5"/>
      <c r="V2532" s="5"/>
      <c r="W2532" s="5"/>
      <c r="X2532" s="5"/>
      <c r="Y2532" s="5"/>
      <c r="Z2532" s="5"/>
      <c r="AA2532" s="5"/>
      <c r="AB2532" s="5"/>
      <c r="AC2532" s="5"/>
      <c r="AD2532" s="5"/>
      <c r="AE2532" s="5"/>
      <c r="AF2532" s="5"/>
      <c r="AG2532" s="5"/>
      <c r="AH2532" s="5"/>
      <c r="AI2532" s="5"/>
      <c r="AJ2532" s="5"/>
    </row>
    <row r="2533" spans="1:36" ht="13">
      <c r="A2533" s="5"/>
      <c r="B2533" s="5"/>
      <c r="C2533" s="5"/>
      <c r="D2533" s="5"/>
      <c r="E2533" s="5"/>
      <c r="F2533" s="5"/>
      <c r="G2533" s="5"/>
      <c r="H2533" s="5"/>
      <c r="I2533" s="5"/>
      <c r="J2533" s="5"/>
      <c r="K2533" s="5"/>
      <c r="L2533" s="5"/>
      <c r="M2533" s="5"/>
      <c r="N2533" s="5"/>
      <c r="O2533" s="5"/>
      <c r="P2533" s="5"/>
      <c r="Q2533" s="5"/>
      <c r="R2533" s="5"/>
      <c r="S2533" s="5"/>
      <c r="T2533" s="5"/>
      <c r="U2533" s="5"/>
      <c r="V2533" s="5"/>
      <c r="W2533" s="5"/>
      <c r="X2533" s="5"/>
      <c r="Y2533" s="5"/>
      <c r="Z2533" s="5"/>
      <c r="AA2533" s="5"/>
      <c r="AB2533" s="5"/>
      <c r="AC2533" s="5"/>
      <c r="AD2533" s="5"/>
      <c r="AE2533" s="5"/>
      <c r="AF2533" s="5"/>
      <c r="AG2533" s="5"/>
      <c r="AH2533" s="5"/>
      <c r="AI2533" s="5"/>
      <c r="AJ2533" s="5"/>
    </row>
    <row r="2534" spans="1:36" ht="13">
      <c r="A2534" s="5"/>
      <c r="B2534" s="5"/>
      <c r="C2534" s="5"/>
      <c r="D2534" s="5"/>
      <c r="E2534" s="5"/>
      <c r="F2534" s="5"/>
      <c r="G2534" s="5"/>
      <c r="H2534" s="5"/>
      <c r="I2534" s="5"/>
      <c r="J2534" s="5"/>
      <c r="K2534" s="5"/>
      <c r="L2534" s="5"/>
      <c r="M2534" s="5"/>
      <c r="N2534" s="5"/>
      <c r="O2534" s="5"/>
      <c r="P2534" s="5"/>
      <c r="Q2534" s="5"/>
      <c r="R2534" s="5"/>
      <c r="S2534" s="5"/>
      <c r="T2534" s="5"/>
      <c r="U2534" s="5"/>
      <c r="V2534" s="5"/>
      <c r="W2534" s="5"/>
      <c r="X2534" s="5"/>
      <c r="Y2534" s="5"/>
      <c r="Z2534" s="5"/>
      <c r="AA2534" s="5"/>
      <c r="AB2534" s="5"/>
      <c r="AC2534" s="5"/>
      <c r="AD2534" s="5"/>
      <c r="AE2534" s="5"/>
      <c r="AF2534" s="5"/>
      <c r="AG2534" s="5"/>
      <c r="AH2534" s="5"/>
      <c r="AI2534" s="5"/>
      <c r="AJ2534" s="5"/>
    </row>
    <row r="2535" spans="1:36" ht="13">
      <c r="A2535" s="5"/>
      <c r="B2535" s="5"/>
      <c r="C2535" s="5"/>
      <c r="D2535" s="5"/>
      <c r="E2535" s="5"/>
      <c r="F2535" s="5"/>
      <c r="G2535" s="5"/>
      <c r="H2535" s="5"/>
      <c r="I2535" s="5"/>
      <c r="J2535" s="5"/>
      <c r="K2535" s="5"/>
      <c r="L2535" s="5"/>
      <c r="M2535" s="5"/>
      <c r="N2535" s="5"/>
      <c r="O2535" s="5"/>
      <c r="P2535" s="5"/>
      <c r="Q2535" s="5"/>
      <c r="R2535" s="5"/>
      <c r="S2535" s="5"/>
      <c r="T2535" s="5"/>
      <c r="U2535" s="5"/>
      <c r="V2535" s="5"/>
      <c r="W2535" s="5"/>
      <c r="X2535" s="5"/>
      <c r="Y2535" s="5"/>
      <c r="Z2535" s="5"/>
      <c r="AA2535" s="5"/>
      <c r="AB2535" s="5"/>
      <c r="AC2535" s="5"/>
      <c r="AD2535" s="5"/>
      <c r="AE2535" s="5"/>
      <c r="AF2535" s="5"/>
      <c r="AG2535" s="5"/>
      <c r="AH2535" s="5"/>
      <c r="AI2535" s="5"/>
      <c r="AJ2535" s="5"/>
    </row>
    <row r="2536" spans="1:36" ht="13">
      <c r="A2536" s="5"/>
      <c r="B2536" s="5"/>
      <c r="C2536" s="5"/>
      <c r="D2536" s="5"/>
      <c r="E2536" s="5"/>
      <c r="F2536" s="5"/>
      <c r="G2536" s="5"/>
      <c r="H2536" s="5"/>
      <c r="I2536" s="5"/>
      <c r="J2536" s="5"/>
      <c r="K2536" s="5"/>
      <c r="L2536" s="5"/>
      <c r="M2536" s="5"/>
      <c r="N2536" s="5"/>
      <c r="O2536" s="5"/>
      <c r="P2536" s="5"/>
      <c r="Q2536" s="5"/>
      <c r="R2536" s="5"/>
      <c r="S2536" s="5"/>
      <c r="T2536" s="5"/>
      <c r="U2536" s="5"/>
      <c r="V2536" s="5"/>
      <c r="W2536" s="5"/>
      <c r="X2536" s="5"/>
      <c r="Y2536" s="5"/>
      <c r="Z2536" s="5"/>
      <c r="AA2536" s="5"/>
      <c r="AB2536" s="5"/>
      <c r="AC2536" s="5"/>
      <c r="AD2536" s="5"/>
      <c r="AE2536" s="5"/>
      <c r="AF2536" s="5"/>
      <c r="AG2536" s="5"/>
      <c r="AH2536" s="5"/>
      <c r="AI2536" s="5"/>
      <c r="AJ2536" s="5"/>
    </row>
    <row r="2537" spans="1:36" ht="13">
      <c r="A2537" s="5"/>
      <c r="B2537" s="5"/>
      <c r="C2537" s="5"/>
      <c r="D2537" s="5"/>
      <c r="E2537" s="5"/>
      <c r="F2537" s="5"/>
      <c r="G2537" s="5"/>
      <c r="H2537" s="5"/>
      <c r="I2537" s="5"/>
      <c r="J2537" s="5"/>
      <c r="K2537" s="5"/>
      <c r="L2537" s="5"/>
      <c r="M2537" s="5"/>
      <c r="N2537" s="5"/>
      <c r="O2537" s="5"/>
      <c r="P2537" s="5"/>
      <c r="Q2537" s="5"/>
      <c r="R2537" s="5"/>
      <c r="S2537" s="5"/>
      <c r="T2537" s="5"/>
      <c r="U2537" s="5"/>
      <c r="V2537" s="5"/>
      <c r="W2537" s="5"/>
      <c r="X2537" s="5"/>
      <c r="Y2537" s="5"/>
      <c r="Z2537" s="5"/>
      <c r="AA2537" s="5"/>
      <c r="AB2537" s="5"/>
      <c r="AC2537" s="5"/>
      <c r="AD2537" s="5"/>
      <c r="AE2537" s="5"/>
      <c r="AF2537" s="5"/>
      <c r="AG2537" s="5"/>
      <c r="AH2537" s="5"/>
      <c r="AI2537" s="5"/>
      <c r="AJ2537" s="5"/>
    </row>
    <row r="2538" spans="1:36" ht="13">
      <c r="A2538" s="5"/>
      <c r="B2538" s="5"/>
      <c r="C2538" s="5"/>
      <c r="D2538" s="5"/>
      <c r="E2538" s="5"/>
      <c r="F2538" s="5"/>
      <c r="G2538" s="5"/>
      <c r="H2538" s="5"/>
      <c r="I2538" s="5"/>
      <c r="J2538" s="5"/>
      <c r="K2538" s="5"/>
      <c r="L2538" s="5"/>
      <c r="M2538" s="5"/>
      <c r="N2538" s="5"/>
      <c r="O2538" s="5"/>
      <c r="P2538" s="5"/>
      <c r="Q2538" s="5"/>
      <c r="R2538" s="5"/>
      <c r="S2538" s="5"/>
      <c r="T2538" s="5"/>
      <c r="U2538" s="5"/>
      <c r="V2538" s="5"/>
      <c r="W2538" s="5"/>
      <c r="X2538" s="5"/>
      <c r="Y2538" s="5"/>
      <c r="Z2538" s="5"/>
      <c r="AA2538" s="5"/>
      <c r="AB2538" s="5"/>
      <c r="AC2538" s="5"/>
      <c r="AD2538" s="5"/>
      <c r="AE2538" s="5"/>
      <c r="AF2538" s="5"/>
      <c r="AG2538" s="5"/>
      <c r="AH2538" s="5"/>
      <c r="AI2538" s="5"/>
      <c r="AJ2538" s="5"/>
    </row>
    <row r="2539" spans="1:36" ht="13">
      <c r="A2539" s="5"/>
      <c r="B2539" s="5"/>
      <c r="C2539" s="5"/>
      <c r="D2539" s="5"/>
      <c r="E2539" s="5"/>
      <c r="F2539" s="5"/>
      <c r="G2539" s="5"/>
      <c r="H2539" s="5"/>
      <c r="I2539" s="5"/>
      <c r="J2539" s="5"/>
      <c r="K2539" s="5"/>
      <c r="L2539" s="5"/>
      <c r="M2539" s="5"/>
      <c r="N2539" s="5"/>
      <c r="O2539" s="5"/>
      <c r="P2539" s="5"/>
      <c r="Q2539" s="5"/>
      <c r="R2539" s="5"/>
      <c r="S2539" s="5"/>
      <c r="T2539" s="5"/>
      <c r="U2539" s="5"/>
      <c r="V2539" s="5"/>
      <c r="W2539" s="5"/>
      <c r="X2539" s="5"/>
      <c r="Y2539" s="5"/>
      <c r="Z2539" s="5"/>
      <c r="AA2539" s="5"/>
      <c r="AB2539" s="5"/>
      <c r="AC2539" s="5"/>
      <c r="AD2539" s="5"/>
      <c r="AE2539" s="5"/>
      <c r="AF2539" s="5"/>
      <c r="AG2539" s="5"/>
      <c r="AH2539" s="5"/>
      <c r="AI2539" s="5"/>
      <c r="AJ2539" s="5"/>
    </row>
    <row r="2540" spans="1:36" ht="13">
      <c r="A2540" s="5"/>
      <c r="B2540" s="5"/>
      <c r="C2540" s="5"/>
      <c r="D2540" s="5"/>
      <c r="E2540" s="5"/>
      <c r="F2540" s="5"/>
      <c r="G2540" s="5"/>
      <c r="H2540" s="5"/>
      <c r="I2540" s="5"/>
      <c r="J2540" s="5"/>
      <c r="K2540" s="5"/>
      <c r="L2540" s="5"/>
      <c r="M2540" s="5"/>
      <c r="N2540" s="5"/>
      <c r="O2540" s="5"/>
      <c r="P2540" s="5"/>
      <c r="Q2540" s="5"/>
      <c r="R2540" s="5"/>
      <c r="S2540" s="5"/>
      <c r="T2540" s="5"/>
      <c r="U2540" s="5"/>
      <c r="V2540" s="5"/>
      <c r="W2540" s="5"/>
      <c r="X2540" s="5"/>
      <c r="Y2540" s="5"/>
      <c r="Z2540" s="5"/>
      <c r="AA2540" s="5"/>
      <c r="AB2540" s="5"/>
      <c r="AC2540" s="5"/>
      <c r="AD2540" s="5"/>
      <c r="AE2540" s="5"/>
      <c r="AF2540" s="5"/>
      <c r="AG2540" s="5"/>
      <c r="AH2540" s="5"/>
      <c r="AI2540" s="5"/>
      <c r="AJ2540" s="5"/>
    </row>
    <row r="2541" spans="1:36" ht="13">
      <c r="A2541" s="5"/>
      <c r="B2541" s="5"/>
      <c r="C2541" s="5"/>
      <c r="D2541" s="5"/>
      <c r="E2541" s="5"/>
      <c r="F2541" s="5"/>
      <c r="G2541" s="5"/>
      <c r="H2541" s="5"/>
      <c r="I2541" s="5"/>
      <c r="J2541" s="5"/>
      <c r="K2541" s="5"/>
      <c r="L2541" s="5"/>
      <c r="M2541" s="5"/>
      <c r="N2541" s="5"/>
      <c r="O2541" s="5"/>
      <c r="P2541" s="5"/>
      <c r="Q2541" s="5"/>
      <c r="R2541" s="5"/>
      <c r="S2541" s="5"/>
      <c r="T2541" s="5"/>
      <c r="U2541" s="5"/>
      <c r="V2541" s="5"/>
      <c r="W2541" s="5"/>
      <c r="X2541" s="5"/>
      <c r="Y2541" s="5"/>
      <c r="Z2541" s="5"/>
      <c r="AA2541" s="5"/>
      <c r="AB2541" s="5"/>
      <c r="AC2541" s="5"/>
      <c r="AD2541" s="5"/>
      <c r="AE2541" s="5"/>
      <c r="AF2541" s="5"/>
      <c r="AG2541" s="5"/>
      <c r="AH2541" s="5"/>
      <c r="AI2541" s="5"/>
      <c r="AJ2541" s="5"/>
    </row>
    <row r="2542" spans="1:36" ht="13">
      <c r="A2542" s="5"/>
      <c r="B2542" s="5"/>
      <c r="C2542" s="5"/>
      <c r="D2542" s="5"/>
      <c r="E2542" s="5"/>
      <c r="F2542" s="5"/>
      <c r="G2542" s="5"/>
      <c r="H2542" s="5"/>
      <c r="I2542" s="5"/>
      <c r="J2542" s="5"/>
      <c r="K2542" s="5"/>
      <c r="L2542" s="5"/>
      <c r="M2542" s="5"/>
      <c r="N2542" s="5"/>
      <c r="O2542" s="5"/>
      <c r="P2542" s="5"/>
      <c r="Q2542" s="5"/>
      <c r="R2542" s="5"/>
      <c r="S2542" s="5"/>
      <c r="T2542" s="5"/>
      <c r="U2542" s="5"/>
      <c r="V2542" s="5"/>
      <c r="W2542" s="5"/>
      <c r="X2542" s="5"/>
      <c r="Y2542" s="5"/>
      <c r="Z2542" s="5"/>
      <c r="AA2542" s="5"/>
      <c r="AB2542" s="5"/>
      <c r="AC2542" s="5"/>
      <c r="AD2542" s="5"/>
      <c r="AE2542" s="5"/>
      <c r="AF2542" s="5"/>
      <c r="AG2542" s="5"/>
      <c r="AH2542" s="5"/>
      <c r="AI2542" s="5"/>
      <c r="AJ2542" s="5"/>
    </row>
    <row r="2543" spans="1:36" ht="13">
      <c r="A2543" s="5"/>
      <c r="B2543" s="5"/>
      <c r="C2543" s="5"/>
      <c r="D2543" s="5"/>
      <c r="E2543" s="5"/>
      <c r="F2543" s="5"/>
      <c r="G2543" s="5"/>
      <c r="H2543" s="5"/>
      <c r="I2543" s="5"/>
      <c r="J2543" s="5"/>
      <c r="K2543" s="5"/>
      <c r="L2543" s="5"/>
      <c r="M2543" s="5"/>
      <c r="N2543" s="5"/>
      <c r="O2543" s="5"/>
      <c r="P2543" s="5"/>
      <c r="Q2543" s="5"/>
      <c r="R2543" s="5"/>
      <c r="S2543" s="5"/>
      <c r="T2543" s="5"/>
      <c r="U2543" s="5"/>
      <c r="V2543" s="5"/>
      <c r="W2543" s="5"/>
      <c r="X2543" s="5"/>
      <c r="Y2543" s="5"/>
      <c r="Z2543" s="5"/>
      <c r="AA2543" s="5"/>
      <c r="AB2543" s="5"/>
      <c r="AC2543" s="5"/>
      <c r="AD2543" s="5"/>
      <c r="AE2543" s="5"/>
      <c r="AF2543" s="5"/>
      <c r="AG2543" s="5"/>
      <c r="AH2543" s="5"/>
      <c r="AI2543" s="5"/>
      <c r="AJ2543" s="5"/>
    </row>
    <row r="2544" spans="1:36" ht="13">
      <c r="A2544" s="5"/>
      <c r="B2544" s="5"/>
      <c r="C2544" s="5"/>
      <c r="D2544" s="5"/>
      <c r="E2544" s="5"/>
      <c r="F2544" s="5"/>
      <c r="G2544" s="5"/>
      <c r="H2544" s="5"/>
      <c r="I2544" s="5"/>
      <c r="J2544" s="5"/>
      <c r="K2544" s="5"/>
      <c r="L2544" s="5"/>
      <c r="M2544" s="5"/>
      <c r="N2544" s="5"/>
      <c r="O2544" s="5"/>
      <c r="P2544" s="5"/>
      <c r="Q2544" s="5"/>
      <c r="R2544" s="5"/>
      <c r="S2544" s="5"/>
      <c r="T2544" s="5"/>
      <c r="U2544" s="5"/>
      <c r="V2544" s="5"/>
      <c r="W2544" s="5"/>
      <c r="X2544" s="5"/>
      <c r="Y2544" s="5"/>
      <c r="Z2544" s="5"/>
      <c r="AA2544" s="5"/>
      <c r="AB2544" s="5"/>
      <c r="AC2544" s="5"/>
      <c r="AD2544" s="5"/>
      <c r="AE2544" s="5"/>
      <c r="AF2544" s="5"/>
      <c r="AG2544" s="5"/>
      <c r="AH2544" s="5"/>
      <c r="AI2544" s="5"/>
      <c r="AJ2544" s="5"/>
    </row>
    <row r="2545" spans="1:36" ht="13">
      <c r="A2545" s="5"/>
      <c r="B2545" s="5"/>
      <c r="C2545" s="5"/>
      <c r="D2545" s="5"/>
      <c r="E2545" s="5"/>
      <c r="F2545" s="5"/>
      <c r="G2545" s="5"/>
      <c r="H2545" s="5"/>
      <c r="I2545" s="5"/>
      <c r="J2545" s="5"/>
      <c r="K2545" s="5"/>
      <c r="L2545" s="5"/>
      <c r="M2545" s="5"/>
      <c r="N2545" s="5"/>
      <c r="O2545" s="5"/>
      <c r="P2545" s="5"/>
      <c r="Q2545" s="5"/>
      <c r="R2545" s="5"/>
      <c r="S2545" s="5"/>
      <c r="T2545" s="5"/>
      <c r="U2545" s="5"/>
      <c r="V2545" s="5"/>
      <c r="W2545" s="5"/>
      <c r="X2545" s="5"/>
      <c r="Y2545" s="5"/>
      <c r="Z2545" s="5"/>
      <c r="AA2545" s="5"/>
      <c r="AB2545" s="5"/>
      <c r="AC2545" s="5"/>
      <c r="AD2545" s="5"/>
      <c r="AE2545" s="5"/>
      <c r="AF2545" s="5"/>
      <c r="AG2545" s="5"/>
      <c r="AH2545" s="5"/>
      <c r="AI2545" s="5"/>
      <c r="AJ2545" s="5"/>
    </row>
    <row r="2546" spans="1:36" ht="13">
      <c r="A2546" s="5"/>
      <c r="B2546" s="5"/>
      <c r="C2546" s="5"/>
      <c r="D2546" s="5"/>
      <c r="E2546" s="5"/>
      <c r="F2546" s="5"/>
      <c r="G2546" s="5"/>
      <c r="H2546" s="5"/>
      <c r="I2546" s="5"/>
      <c r="J2546" s="5"/>
      <c r="K2546" s="5"/>
      <c r="L2546" s="5"/>
      <c r="M2546" s="5"/>
      <c r="N2546" s="5"/>
      <c r="O2546" s="5"/>
      <c r="P2546" s="5"/>
      <c r="Q2546" s="5"/>
      <c r="R2546" s="5"/>
      <c r="S2546" s="5"/>
      <c r="T2546" s="5"/>
      <c r="U2546" s="5"/>
      <c r="V2546" s="5"/>
      <c r="W2546" s="5"/>
      <c r="X2546" s="5"/>
      <c r="Y2546" s="5"/>
      <c r="Z2546" s="5"/>
      <c r="AA2546" s="5"/>
      <c r="AB2546" s="5"/>
      <c r="AC2546" s="5"/>
      <c r="AD2546" s="5"/>
      <c r="AE2546" s="5"/>
      <c r="AF2546" s="5"/>
      <c r="AG2546" s="5"/>
      <c r="AH2546" s="5"/>
      <c r="AI2546" s="5"/>
      <c r="AJ2546" s="5"/>
    </row>
    <row r="2547" spans="1:36" ht="13">
      <c r="A2547" s="5"/>
      <c r="B2547" s="5"/>
      <c r="C2547" s="5"/>
      <c r="D2547" s="5"/>
      <c r="E2547" s="5"/>
      <c r="F2547" s="5"/>
      <c r="G2547" s="5"/>
      <c r="H2547" s="5"/>
      <c r="I2547" s="5"/>
      <c r="J2547" s="5"/>
      <c r="K2547" s="5"/>
      <c r="L2547" s="5"/>
      <c r="M2547" s="5"/>
      <c r="N2547" s="5"/>
      <c r="O2547" s="5"/>
      <c r="P2547" s="5"/>
      <c r="Q2547" s="5"/>
      <c r="R2547" s="5"/>
      <c r="S2547" s="5"/>
      <c r="T2547" s="5"/>
      <c r="U2547" s="5"/>
      <c r="V2547" s="5"/>
      <c r="W2547" s="5"/>
      <c r="X2547" s="5"/>
      <c r="Y2547" s="5"/>
      <c r="Z2547" s="5"/>
      <c r="AA2547" s="5"/>
      <c r="AB2547" s="5"/>
      <c r="AC2547" s="5"/>
      <c r="AD2547" s="5"/>
      <c r="AE2547" s="5"/>
      <c r="AF2547" s="5"/>
      <c r="AG2547" s="5"/>
      <c r="AH2547" s="5"/>
      <c r="AI2547" s="5"/>
      <c r="AJ2547" s="5"/>
    </row>
    <row r="2548" spans="1:36" ht="13">
      <c r="A2548" s="5"/>
      <c r="B2548" s="5"/>
      <c r="C2548" s="5"/>
      <c r="D2548" s="5"/>
      <c r="E2548" s="5"/>
      <c r="F2548" s="5"/>
      <c r="G2548" s="5"/>
      <c r="H2548" s="5"/>
      <c r="I2548" s="5"/>
      <c r="J2548" s="5"/>
      <c r="K2548" s="5"/>
      <c r="L2548" s="5"/>
      <c r="M2548" s="5"/>
      <c r="N2548" s="5"/>
      <c r="O2548" s="5"/>
      <c r="P2548" s="5"/>
      <c r="Q2548" s="5"/>
      <c r="R2548" s="5"/>
      <c r="S2548" s="5"/>
      <c r="T2548" s="5"/>
      <c r="U2548" s="5"/>
      <c r="V2548" s="5"/>
      <c r="W2548" s="5"/>
      <c r="X2548" s="5"/>
      <c r="Y2548" s="5"/>
      <c r="Z2548" s="5"/>
      <c r="AA2548" s="5"/>
      <c r="AB2548" s="5"/>
      <c r="AC2548" s="5"/>
      <c r="AD2548" s="5"/>
      <c r="AE2548" s="5"/>
      <c r="AF2548" s="5"/>
      <c r="AG2548" s="5"/>
      <c r="AH2548" s="5"/>
      <c r="AI2548" s="5"/>
      <c r="AJ2548" s="5"/>
    </row>
    <row r="2549" spans="1:36" ht="13">
      <c r="A2549" s="5"/>
      <c r="B2549" s="5"/>
      <c r="C2549" s="5"/>
      <c r="D2549" s="5"/>
      <c r="E2549" s="5"/>
      <c r="F2549" s="5"/>
      <c r="G2549" s="5"/>
      <c r="H2549" s="5"/>
      <c r="I2549" s="5"/>
      <c r="J2549" s="5"/>
      <c r="K2549" s="5"/>
      <c r="L2549" s="5"/>
      <c r="M2549" s="5"/>
      <c r="N2549" s="5"/>
      <c r="O2549" s="5"/>
      <c r="P2549" s="5"/>
      <c r="Q2549" s="5"/>
      <c r="R2549" s="5"/>
      <c r="S2549" s="5"/>
      <c r="T2549" s="5"/>
      <c r="U2549" s="5"/>
      <c r="V2549" s="5"/>
      <c r="W2549" s="5"/>
      <c r="X2549" s="5"/>
      <c r="Y2549" s="5"/>
      <c r="Z2549" s="5"/>
      <c r="AA2549" s="5"/>
      <c r="AB2549" s="5"/>
      <c r="AC2549" s="5"/>
      <c r="AD2549" s="5"/>
      <c r="AE2549" s="5"/>
      <c r="AF2549" s="5"/>
      <c r="AG2549" s="5"/>
      <c r="AH2549" s="5"/>
      <c r="AI2549" s="5"/>
      <c r="AJ2549" s="5"/>
    </row>
    <row r="2550" spans="1:36" ht="13">
      <c r="A2550" s="5"/>
      <c r="B2550" s="5"/>
      <c r="C2550" s="5"/>
      <c r="D2550" s="5"/>
      <c r="E2550" s="5"/>
      <c r="F2550" s="5"/>
      <c r="G2550" s="5"/>
      <c r="H2550" s="5"/>
      <c r="I2550" s="5"/>
      <c r="J2550" s="5"/>
      <c r="K2550" s="5"/>
      <c r="L2550" s="5"/>
      <c r="M2550" s="5"/>
      <c r="N2550" s="5"/>
      <c r="O2550" s="5"/>
      <c r="P2550" s="5"/>
      <c r="Q2550" s="5"/>
      <c r="R2550" s="5"/>
      <c r="S2550" s="5"/>
      <c r="T2550" s="5"/>
      <c r="U2550" s="5"/>
      <c r="V2550" s="5"/>
      <c r="W2550" s="5"/>
      <c r="X2550" s="5"/>
      <c r="Y2550" s="5"/>
      <c r="Z2550" s="5"/>
      <c r="AA2550" s="5"/>
      <c r="AB2550" s="5"/>
      <c r="AC2550" s="5"/>
      <c r="AD2550" s="5"/>
      <c r="AE2550" s="5"/>
      <c r="AF2550" s="5"/>
      <c r="AG2550" s="5"/>
      <c r="AH2550" s="5"/>
      <c r="AI2550" s="5"/>
      <c r="AJ2550" s="5"/>
    </row>
    <row r="2551" spans="1:36" ht="13">
      <c r="A2551" s="5"/>
      <c r="B2551" s="5"/>
      <c r="C2551" s="5"/>
      <c r="D2551" s="5"/>
      <c r="E2551" s="5"/>
      <c r="F2551" s="5"/>
      <c r="G2551" s="5"/>
      <c r="H2551" s="5"/>
      <c r="I2551" s="5"/>
      <c r="J2551" s="5"/>
      <c r="K2551" s="5"/>
      <c r="L2551" s="5"/>
      <c r="M2551" s="5"/>
      <c r="N2551" s="5"/>
      <c r="O2551" s="5"/>
      <c r="P2551" s="5"/>
      <c r="Q2551" s="5"/>
      <c r="R2551" s="5"/>
      <c r="S2551" s="5"/>
      <c r="T2551" s="5"/>
      <c r="U2551" s="5"/>
      <c r="V2551" s="5"/>
      <c r="W2551" s="5"/>
      <c r="X2551" s="5"/>
      <c r="Y2551" s="5"/>
      <c r="Z2551" s="5"/>
      <c r="AA2551" s="5"/>
      <c r="AB2551" s="5"/>
      <c r="AC2551" s="5"/>
      <c r="AD2551" s="5"/>
      <c r="AE2551" s="5"/>
      <c r="AF2551" s="5"/>
      <c r="AG2551" s="5"/>
      <c r="AH2551" s="5"/>
      <c r="AI2551" s="5"/>
      <c r="AJ2551" s="5"/>
    </row>
    <row r="2552" spans="1:36" ht="13">
      <c r="A2552" s="5"/>
      <c r="B2552" s="5"/>
      <c r="C2552" s="5"/>
      <c r="D2552" s="5"/>
      <c r="E2552" s="5"/>
      <c r="F2552" s="5"/>
      <c r="G2552" s="5"/>
      <c r="H2552" s="5"/>
      <c r="I2552" s="5"/>
      <c r="J2552" s="5"/>
      <c r="K2552" s="5"/>
      <c r="L2552" s="5"/>
      <c r="M2552" s="5"/>
      <c r="N2552" s="5"/>
      <c r="O2552" s="5"/>
      <c r="P2552" s="5"/>
      <c r="Q2552" s="5"/>
      <c r="R2552" s="5"/>
      <c r="S2552" s="5"/>
      <c r="T2552" s="5"/>
      <c r="U2552" s="5"/>
      <c r="V2552" s="5"/>
      <c r="W2552" s="5"/>
      <c r="X2552" s="5"/>
      <c r="Y2552" s="5"/>
      <c r="Z2552" s="5"/>
      <c r="AA2552" s="5"/>
      <c r="AB2552" s="5"/>
      <c r="AC2552" s="5"/>
      <c r="AD2552" s="5"/>
      <c r="AE2552" s="5"/>
      <c r="AF2552" s="5"/>
      <c r="AG2552" s="5"/>
      <c r="AH2552" s="5"/>
      <c r="AI2552" s="5"/>
      <c r="AJ2552" s="5"/>
    </row>
    <row r="2553" spans="1:36" ht="13">
      <c r="A2553" s="5"/>
      <c r="B2553" s="5"/>
      <c r="C2553" s="5"/>
      <c r="D2553" s="5"/>
      <c r="E2553" s="5"/>
      <c r="F2553" s="5"/>
      <c r="G2553" s="5"/>
      <c r="H2553" s="5"/>
      <c r="I2553" s="5"/>
      <c r="J2553" s="5"/>
      <c r="K2553" s="5"/>
      <c r="L2553" s="5"/>
      <c r="M2553" s="5"/>
      <c r="N2553" s="5"/>
      <c r="O2553" s="5"/>
      <c r="P2553" s="5"/>
      <c r="Q2553" s="5"/>
      <c r="R2553" s="5"/>
      <c r="S2553" s="5"/>
      <c r="T2553" s="5"/>
      <c r="U2553" s="5"/>
      <c r="V2553" s="5"/>
      <c r="W2553" s="5"/>
      <c r="X2553" s="5"/>
      <c r="Y2553" s="5"/>
      <c r="Z2553" s="5"/>
      <c r="AA2553" s="5"/>
      <c r="AB2553" s="5"/>
      <c r="AC2553" s="5"/>
      <c r="AD2553" s="5"/>
      <c r="AE2553" s="5"/>
      <c r="AF2553" s="5"/>
      <c r="AG2553" s="5"/>
      <c r="AH2553" s="5"/>
      <c r="AI2553" s="5"/>
      <c r="AJ2553" s="5"/>
    </row>
    <row r="2554" spans="1:36" ht="13">
      <c r="A2554" s="5"/>
      <c r="B2554" s="5"/>
      <c r="C2554" s="5"/>
      <c r="D2554" s="5"/>
      <c r="E2554" s="5"/>
      <c r="F2554" s="5"/>
      <c r="G2554" s="5"/>
      <c r="H2554" s="5"/>
      <c r="I2554" s="5"/>
      <c r="J2554" s="5"/>
      <c r="K2554" s="5"/>
      <c r="L2554" s="5"/>
      <c r="M2554" s="5"/>
      <c r="N2554" s="5"/>
      <c r="O2554" s="5"/>
      <c r="P2554" s="5"/>
      <c r="Q2554" s="5"/>
      <c r="R2554" s="5"/>
      <c r="S2554" s="5"/>
      <c r="T2554" s="5"/>
      <c r="U2554" s="5"/>
      <c r="V2554" s="5"/>
      <c r="W2554" s="5"/>
      <c r="X2554" s="5"/>
      <c r="Y2554" s="5"/>
      <c r="Z2554" s="5"/>
      <c r="AA2554" s="5"/>
      <c r="AB2554" s="5"/>
      <c r="AC2554" s="5"/>
      <c r="AD2554" s="5"/>
      <c r="AE2554" s="5"/>
      <c r="AF2554" s="5"/>
      <c r="AG2554" s="5"/>
      <c r="AH2554" s="5"/>
      <c r="AI2554" s="5"/>
      <c r="AJ2554" s="5"/>
    </row>
    <row r="2555" spans="1:36" ht="13">
      <c r="A2555" s="5"/>
      <c r="B2555" s="5"/>
      <c r="C2555" s="5"/>
      <c r="D2555" s="5"/>
      <c r="E2555" s="5"/>
      <c r="F2555" s="5"/>
      <c r="G2555" s="5"/>
      <c r="H2555" s="5"/>
      <c r="I2555" s="5"/>
      <c r="J2555" s="5"/>
      <c r="K2555" s="5"/>
      <c r="L2555" s="5"/>
      <c r="M2555" s="5"/>
      <c r="N2555" s="5"/>
      <c r="O2555" s="5"/>
      <c r="P2555" s="5"/>
      <c r="Q2555" s="5"/>
      <c r="R2555" s="5"/>
      <c r="S2555" s="5"/>
      <c r="T2555" s="5"/>
      <c r="U2555" s="5"/>
      <c r="V2555" s="5"/>
      <c r="W2555" s="5"/>
      <c r="X2555" s="5"/>
      <c r="Y2555" s="5"/>
      <c r="Z2555" s="5"/>
      <c r="AA2555" s="5"/>
      <c r="AB2555" s="5"/>
      <c r="AC2555" s="5"/>
      <c r="AD2555" s="5"/>
      <c r="AE2555" s="5"/>
      <c r="AF2555" s="5"/>
      <c r="AG2555" s="5"/>
      <c r="AH2555" s="5"/>
      <c r="AI2555" s="5"/>
      <c r="AJ2555" s="5"/>
    </row>
    <row r="2556" spans="1:36" ht="13">
      <c r="A2556" s="5"/>
      <c r="B2556" s="5"/>
      <c r="C2556" s="5"/>
      <c r="D2556" s="5"/>
      <c r="E2556" s="5"/>
      <c r="F2556" s="5"/>
      <c r="G2556" s="5"/>
      <c r="H2556" s="5"/>
      <c r="I2556" s="5"/>
      <c r="J2556" s="5"/>
      <c r="K2556" s="5"/>
      <c r="L2556" s="5"/>
      <c r="M2556" s="5"/>
      <c r="N2556" s="5"/>
      <c r="O2556" s="5"/>
      <c r="P2556" s="5"/>
      <c r="Q2556" s="5"/>
      <c r="R2556" s="5"/>
      <c r="S2556" s="5"/>
      <c r="T2556" s="5"/>
      <c r="U2556" s="5"/>
      <c r="V2556" s="5"/>
      <c r="W2556" s="5"/>
      <c r="X2556" s="5"/>
      <c r="Y2556" s="5"/>
      <c r="Z2556" s="5"/>
      <c r="AA2556" s="5"/>
      <c r="AB2556" s="5"/>
      <c r="AC2556" s="5"/>
      <c r="AD2556" s="5"/>
      <c r="AE2556" s="5"/>
      <c r="AF2556" s="5"/>
      <c r="AG2556" s="5"/>
      <c r="AH2556" s="5"/>
      <c r="AI2556" s="5"/>
      <c r="AJ2556" s="5"/>
    </row>
    <row r="2557" spans="1:36" ht="13">
      <c r="A2557" s="5"/>
      <c r="B2557" s="5"/>
      <c r="C2557" s="5"/>
      <c r="D2557" s="5"/>
      <c r="E2557" s="5"/>
      <c r="F2557" s="5"/>
      <c r="G2557" s="5"/>
      <c r="H2557" s="5"/>
      <c r="I2557" s="5"/>
      <c r="J2557" s="5"/>
      <c r="K2557" s="5"/>
      <c r="L2557" s="5"/>
      <c r="M2557" s="5"/>
      <c r="N2557" s="5"/>
      <c r="O2557" s="5"/>
      <c r="P2557" s="5"/>
      <c r="Q2557" s="5"/>
      <c r="R2557" s="5"/>
      <c r="S2557" s="5"/>
      <c r="T2557" s="5"/>
      <c r="U2557" s="5"/>
      <c r="V2557" s="5"/>
      <c r="W2557" s="5"/>
      <c r="X2557" s="5"/>
      <c r="Y2557" s="5"/>
      <c r="Z2557" s="5"/>
      <c r="AA2557" s="5"/>
      <c r="AB2557" s="5"/>
      <c r="AC2557" s="5"/>
      <c r="AD2557" s="5"/>
      <c r="AE2557" s="5"/>
      <c r="AF2557" s="5"/>
      <c r="AG2557" s="5"/>
      <c r="AH2557" s="5"/>
      <c r="AI2557" s="5"/>
      <c r="AJ2557" s="5"/>
    </row>
    <row r="2558" spans="1:36" ht="13">
      <c r="A2558" s="5"/>
      <c r="B2558" s="5"/>
      <c r="C2558" s="5"/>
      <c r="D2558" s="5"/>
      <c r="E2558" s="5"/>
      <c r="F2558" s="5"/>
      <c r="G2558" s="5"/>
      <c r="H2558" s="5"/>
      <c r="I2558" s="5"/>
      <c r="J2558" s="5"/>
      <c r="K2558" s="5"/>
      <c r="L2558" s="5"/>
      <c r="M2558" s="5"/>
      <c r="N2558" s="5"/>
      <c r="O2558" s="5"/>
      <c r="P2558" s="5"/>
      <c r="Q2558" s="5"/>
      <c r="R2558" s="5"/>
      <c r="S2558" s="5"/>
      <c r="T2558" s="5"/>
      <c r="U2558" s="5"/>
      <c r="V2558" s="5"/>
      <c r="W2558" s="5"/>
      <c r="X2558" s="5"/>
      <c r="Y2558" s="5"/>
      <c r="Z2558" s="5"/>
      <c r="AA2558" s="5"/>
      <c r="AB2558" s="5"/>
      <c r="AC2558" s="5"/>
      <c r="AD2558" s="5"/>
      <c r="AE2558" s="5"/>
      <c r="AF2558" s="5"/>
      <c r="AG2558" s="5"/>
      <c r="AH2558" s="5"/>
      <c r="AI2558" s="5"/>
      <c r="AJ2558" s="5"/>
    </row>
    <row r="2559" spans="1:36" ht="13">
      <c r="A2559" s="5"/>
      <c r="B2559" s="5"/>
      <c r="C2559" s="5"/>
      <c r="D2559" s="5"/>
      <c r="E2559" s="5"/>
      <c r="F2559" s="5"/>
      <c r="G2559" s="5"/>
      <c r="H2559" s="5"/>
      <c r="I2559" s="5"/>
      <c r="J2559" s="5"/>
      <c r="K2559" s="5"/>
      <c r="L2559" s="5"/>
      <c r="M2559" s="5"/>
      <c r="N2559" s="5"/>
      <c r="O2559" s="5"/>
      <c r="P2559" s="5"/>
      <c r="Q2559" s="5"/>
      <c r="R2559" s="5"/>
      <c r="S2559" s="5"/>
      <c r="T2559" s="5"/>
      <c r="U2559" s="5"/>
      <c r="V2559" s="5"/>
      <c r="W2559" s="5"/>
      <c r="X2559" s="5"/>
      <c r="Y2559" s="5"/>
      <c r="Z2559" s="5"/>
      <c r="AA2559" s="5"/>
      <c r="AB2559" s="5"/>
      <c r="AC2559" s="5"/>
      <c r="AD2559" s="5"/>
      <c r="AE2559" s="5"/>
      <c r="AF2559" s="5"/>
      <c r="AG2559" s="5"/>
      <c r="AH2559" s="5"/>
      <c r="AI2559" s="5"/>
      <c r="AJ2559" s="5"/>
    </row>
    <row r="2560" spans="1:36" ht="13">
      <c r="A2560" s="5"/>
      <c r="B2560" s="5"/>
      <c r="C2560" s="5"/>
      <c r="D2560" s="5"/>
      <c r="E2560" s="5"/>
      <c r="F2560" s="5"/>
      <c r="G2560" s="5"/>
      <c r="H2560" s="5"/>
      <c r="I2560" s="5"/>
      <c r="J2560" s="5"/>
      <c r="K2560" s="5"/>
      <c r="L2560" s="5"/>
      <c r="M2560" s="5"/>
      <c r="N2560" s="5"/>
      <c r="O2560" s="5"/>
      <c r="P2560" s="5"/>
      <c r="Q2560" s="5"/>
      <c r="R2560" s="5"/>
      <c r="S2560" s="5"/>
      <c r="T2560" s="5"/>
      <c r="U2560" s="5"/>
      <c r="V2560" s="5"/>
      <c r="W2560" s="5"/>
      <c r="X2560" s="5"/>
      <c r="Y2560" s="5"/>
      <c r="Z2560" s="5"/>
      <c r="AA2560" s="5"/>
      <c r="AB2560" s="5"/>
      <c r="AC2560" s="5"/>
      <c r="AD2560" s="5"/>
      <c r="AE2560" s="5"/>
      <c r="AF2560" s="5"/>
      <c r="AG2560" s="5"/>
      <c r="AH2560" s="5"/>
      <c r="AI2560" s="5"/>
      <c r="AJ2560" s="5"/>
    </row>
    <row r="2561" spans="1:36" ht="13">
      <c r="A2561" s="5"/>
      <c r="B2561" s="5"/>
      <c r="C2561" s="5"/>
      <c r="D2561" s="5"/>
      <c r="E2561" s="5"/>
      <c r="F2561" s="5"/>
      <c r="G2561" s="5"/>
      <c r="H2561" s="5"/>
      <c r="I2561" s="5"/>
      <c r="J2561" s="5"/>
      <c r="K2561" s="5"/>
      <c r="L2561" s="5"/>
      <c r="M2561" s="5"/>
      <c r="N2561" s="5"/>
      <c r="O2561" s="5"/>
      <c r="P2561" s="5"/>
      <c r="Q2561" s="5"/>
      <c r="R2561" s="5"/>
      <c r="S2561" s="5"/>
      <c r="T2561" s="5"/>
      <c r="U2561" s="5"/>
      <c r="V2561" s="5"/>
      <c r="W2561" s="5"/>
      <c r="X2561" s="5"/>
      <c r="Y2561" s="5"/>
      <c r="Z2561" s="5"/>
      <c r="AA2561" s="5"/>
      <c r="AB2561" s="5"/>
      <c r="AC2561" s="5"/>
      <c r="AD2561" s="5"/>
      <c r="AE2561" s="5"/>
      <c r="AF2561" s="5"/>
      <c r="AG2561" s="5"/>
      <c r="AH2561" s="5"/>
      <c r="AI2561" s="5"/>
      <c r="AJ2561" s="5"/>
    </row>
    <row r="2562" spans="1:36" ht="13">
      <c r="A2562" s="5"/>
      <c r="B2562" s="5"/>
      <c r="C2562" s="5"/>
      <c r="D2562" s="5"/>
      <c r="E2562" s="5"/>
      <c r="F2562" s="5"/>
      <c r="G2562" s="5"/>
      <c r="H2562" s="5"/>
      <c r="I2562" s="5"/>
      <c r="J2562" s="5"/>
      <c r="K2562" s="5"/>
      <c r="L2562" s="5"/>
      <c r="M2562" s="5"/>
      <c r="N2562" s="5"/>
      <c r="O2562" s="5"/>
      <c r="P2562" s="5"/>
      <c r="Q2562" s="5"/>
      <c r="R2562" s="5"/>
      <c r="S2562" s="5"/>
      <c r="T2562" s="5"/>
      <c r="U2562" s="5"/>
      <c r="V2562" s="5"/>
      <c r="W2562" s="5"/>
      <c r="X2562" s="5"/>
      <c r="Y2562" s="5"/>
      <c r="Z2562" s="5"/>
      <c r="AA2562" s="5"/>
      <c r="AB2562" s="5"/>
      <c r="AC2562" s="5"/>
      <c r="AD2562" s="5"/>
      <c r="AE2562" s="5"/>
      <c r="AF2562" s="5"/>
      <c r="AG2562" s="5"/>
      <c r="AH2562" s="5"/>
      <c r="AI2562" s="5"/>
      <c r="AJ2562" s="5"/>
    </row>
    <row r="2563" spans="1:36" ht="13">
      <c r="A2563" s="5"/>
      <c r="B2563" s="5"/>
      <c r="C2563" s="5"/>
      <c r="D2563" s="5"/>
      <c r="E2563" s="5"/>
      <c r="F2563" s="5"/>
      <c r="G2563" s="5"/>
      <c r="H2563" s="5"/>
      <c r="I2563" s="5"/>
      <c r="J2563" s="5"/>
      <c r="K2563" s="5"/>
      <c r="L2563" s="5"/>
      <c r="M2563" s="5"/>
      <c r="N2563" s="5"/>
      <c r="O2563" s="5"/>
      <c r="P2563" s="5"/>
      <c r="Q2563" s="5"/>
      <c r="R2563" s="5"/>
      <c r="S2563" s="5"/>
      <c r="T2563" s="5"/>
      <c r="U2563" s="5"/>
      <c r="V2563" s="5"/>
      <c r="W2563" s="5"/>
      <c r="X2563" s="5"/>
      <c r="Y2563" s="5"/>
      <c r="Z2563" s="5"/>
      <c r="AA2563" s="5"/>
      <c r="AB2563" s="5"/>
      <c r="AC2563" s="5"/>
      <c r="AD2563" s="5"/>
      <c r="AE2563" s="5"/>
      <c r="AF2563" s="5"/>
      <c r="AG2563" s="5"/>
      <c r="AH2563" s="5"/>
      <c r="AI2563" s="5"/>
      <c r="AJ2563" s="5"/>
    </row>
    <row r="2564" spans="1:36" ht="13">
      <c r="A2564" s="5"/>
      <c r="B2564" s="5"/>
      <c r="C2564" s="5"/>
      <c r="D2564" s="5"/>
      <c r="E2564" s="5"/>
      <c r="F2564" s="5"/>
      <c r="G2564" s="5"/>
      <c r="H2564" s="5"/>
      <c r="I2564" s="5"/>
      <c r="J2564" s="5"/>
      <c r="K2564" s="5"/>
      <c r="L2564" s="5"/>
      <c r="M2564" s="5"/>
      <c r="N2564" s="5"/>
      <c r="O2564" s="5"/>
      <c r="P2564" s="5"/>
      <c r="Q2564" s="5"/>
      <c r="R2564" s="5"/>
      <c r="S2564" s="5"/>
      <c r="T2564" s="5"/>
      <c r="U2564" s="5"/>
      <c r="V2564" s="5"/>
      <c r="W2564" s="5"/>
      <c r="X2564" s="5"/>
      <c r="Y2564" s="5"/>
      <c r="Z2564" s="5"/>
      <c r="AA2564" s="5"/>
      <c r="AB2564" s="5"/>
      <c r="AC2564" s="5"/>
      <c r="AD2564" s="5"/>
      <c r="AE2564" s="5"/>
      <c r="AF2564" s="5"/>
      <c r="AG2564" s="5"/>
      <c r="AH2564" s="5"/>
      <c r="AI2564" s="5"/>
      <c r="AJ2564" s="5"/>
    </row>
    <row r="2565" spans="1:36" ht="13">
      <c r="A2565" s="5"/>
      <c r="B2565" s="5"/>
      <c r="C2565" s="5"/>
      <c r="D2565" s="5"/>
      <c r="E2565" s="5"/>
      <c r="F2565" s="5"/>
      <c r="G2565" s="5"/>
      <c r="H2565" s="5"/>
      <c r="I2565" s="5"/>
      <c r="J2565" s="5"/>
      <c r="K2565" s="5"/>
      <c r="L2565" s="5"/>
      <c r="M2565" s="5"/>
      <c r="N2565" s="5"/>
      <c r="O2565" s="5"/>
      <c r="P2565" s="5"/>
      <c r="Q2565" s="5"/>
      <c r="R2565" s="5"/>
      <c r="S2565" s="5"/>
      <c r="T2565" s="5"/>
      <c r="U2565" s="5"/>
      <c r="V2565" s="5"/>
      <c r="W2565" s="5"/>
      <c r="X2565" s="5"/>
      <c r="Y2565" s="5"/>
      <c r="Z2565" s="5"/>
      <c r="AA2565" s="5"/>
      <c r="AB2565" s="5"/>
      <c r="AC2565" s="5"/>
      <c r="AD2565" s="5"/>
      <c r="AE2565" s="5"/>
      <c r="AF2565" s="5"/>
      <c r="AG2565" s="5"/>
      <c r="AH2565" s="5"/>
      <c r="AI2565" s="5"/>
      <c r="AJ2565" s="5"/>
    </row>
    <row r="2566" spans="1:36" ht="13">
      <c r="A2566" s="5"/>
      <c r="B2566" s="5"/>
      <c r="C2566" s="5"/>
      <c r="D2566" s="5"/>
      <c r="E2566" s="5"/>
      <c r="F2566" s="5"/>
      <c r="G2566" s="5"/>
      <c r="H2566" s="5"/>
      <c r="I2566" s="5"/>
      <c r="J2566" s="5"/>
      <c r="K2566" s="5"/>
      <c r="L2566" s="5"/>
      <c r="M2566" s="5"/>
      <c r="N2566" s="5"/>
      <c r="O2566" s="5"/>
      <c r="P2566" s="5"/>
      <c r="Q2566" s="5"/>
      <c r="R2566" s="5"/>
      <c r="S2566" s="5"/>
      <c r="T2566" s="5"/>
      <c r="U2566" s="5"/>
      <c r="V2566" s="5"/>
      <c r="W2566" s="5"/>
      <c r="X2566" s="5"/>
      <c r="Y2566" s="5"/>
      <c r="Z2566" s="5"/>
      <c r="AA2566" s="5"/>
      <c r="AB2566" s="5"/>
      <c r="AC2566" s="5"/>
      <c r="AD2566" s="5"/>
      <c r="AE2566" s="5"/>
      <c r="AF2566" s="5"/>
      <c r="AG2566" s="5"/>
      <c r="AH2566" s="5"/>
      <c r="AI2566" s="5"/>
      <c r="AJ2566" s="5"/>
    </row>
    <row r="2567" spans="1:36" ht="13">
      <c r="A2567" s="5"/>
      <c r="B2567" s="5"/>
      <c r="C2567" s="5"/>
      <c r="D2567" s="5"/>
      <c r="E2567" s="5"/>
      <c r="F2567" s="5"/>
      <c r="G2567" s="5"/>
      <c r="H2567" s="5"/>
      <c r="I2567" s="5"/>
      <c r="J2567" s="5"/>
      <c r="K2567" s="5"/>
      <c r="L2567" s="5"/>
      <c r="M2567" s="5"/>
      <c r="N2567" s="5"/>
      <c r="O2567" s="5"/>
      <c r="P2567" s="5"/>
      <c r="Q2567" s="5"/>
      <c r="R2567" s="5"/>
      <c r="S2567" s="5"/>
      <c r="T2567" s="5"/>
      <c r="U2567" s="5"/>
      <c r="V2567" s="5"/>
      <c r="W2567" s="5"/>
      <c r="X2567" s="5"/>
      <c r="Y2567" s="5"/>
      <c r="Z2567" s="5"/>
      <c r="AA2567" s="5"/>
      <c r="AB2567" s="5"/>
      <c r="AC2567" s="5"/>
      <c r="AD2567" s="5"/>
      <c r="AE2567" s="5"/>
      <c r="AF2567" s="5"/>
      <c r="AG2567" s="5"/>
      <c r="AH2567" s="5"/>
      <c r="AI2567" s="5"/>
      <c r="AJ2567" s="5"/>
    </row>
    <row r="2568" spans="1:36" ht="13">
      <c r="A2568" s="5"/>
      <c r="B2568" s="5"/>
      <c r="C2568" s="5"/>
      <c r="D2568" s="5"/>
      <c r="E2568" s="5"/>
      <c r="F2568" s="5"/>
      <c r="G2568" s="5"/>
      <c r="H2568" s="5"/>
      <c r="I2568" s="5"/>
      <c r="J2568" s="5"/>
      <c r="K2568" s="5"/>
      <c r="L2568" s="5"/>
      <c r="M2568" s="5"/>
      <c r="N2568" s="5"/>
      <c r="O2568" s="5"/>
      <c r="P2568" s="5"/>
      <c r="Q2568" s="5"/>
      <c r="R2568" s="5"/>
      <c r="S2568" s="5"/>
      <c r="T2568" s="5"/>
      <c r="U2568" s="5"/>
      <c r="V2568" s="5"/>
      <c r="W2568" s="5"/>
      <c r="X2568" s="5"/>
      <c r="Y2568" s="5"/>
      <c r="Z2568" s="5"/>
      <c r="AA2568" s="5"/>
      <c r="AB2568" s="5"/>
      <c r="AC2568" s="5"/>
      <c r="AD2568" s="5"/>
      <c r="AE2568" s="5"/>
      <c r="AF2568" s="5"/>
      <c r="AG2568" s="5"/>
      <c r="AH2568" s="5"/>
      <c r="AI2568" s="5"/>
      <c r="AJ2568" s="5"/>
    </row>
    <row r="2569" spans="1:36" ht="13">
      <c r="A2569" s="5"/>
      <c r="B2569" s="5"/>
      <c r="C2569" s="5"/>
      <c r="D2569" s="5"/>
      <c r="E2569" s="5"/>
      <c r="F2569" s="5"/>
      <c r="G2569" s="5"/>
      <c r="H2569" s="5"/>
      <c r="I2569" s="5"/>
      <c r="J2569" s="5"/>
      <c r="K2569" s="5"/>
      <c r="L2569" s="5"/>
      <c r="M2569" s="5"/>
      <c r="N2569" s="5"/>
      <c r="O2569" s="5"/>
      <c r="P2569" s="5"/>
      <c r="Q2569" s="5"/>
      <c r="R2569" s="5"/>
      <c r="S2569" s="5"/>
      <c r="T2569" s="5"/>
      <c r="U2569" s="5"/>
      <c r="V2569" s="5"/>
      <c r="W2569" s="5"/>
      <c r="X2569" s="5"/>
      <c r="Y2569" s="5"/>
      <c r="Z2569" s="5"/>
      <c r="AA2569" s="5"/>
      <c r="AB2569" s="5"/>
      <c r="AC2569" s="5"/>
      <c r="AD2569" s="5"/>
      <c r="AE2569" s="5"/>
      <c r="AF2569" s="5"/>
      <c r="AG2569" s="5"/>
      <c r="AH2569" s="5"/>
      <c r="AI2569" s="5"/>
      <c r="AJ2569" s="5"/>
    </row>
    <row r="2570" spans="1:36" ht="13">
      <c r="A2570" s="5"/>
      <c r="B2570" s="5"/>
      <c r="C2570" s="5"/>
      <c r="D2570" s="5"/>
      <c r="E2570" s="5"/>
      <c r="F2570" s="5"/>
      <c r="G2570" s="5"/>
      <c r="H2570" s="5"/>
      <c r="I2570" s="5"/>
      <c r="J2570" s="5"/>
      <c r="K2570" s="5"/>
      <c r="L2570" s="5"/>
      <c r="M2570" s="5"/>
      <c r="N2570" s="5"/>
      <c r="O2570" s="5"/>
      <c r="P2570" s="5"/>
      <c r="Q2570" s="5"/>
      <c r="R2570" s="5"/>
      <c r="S2570" s="5"/>
      <c r="T2570" s="5"/>
      <c r="U2570" s="5"/>
      <c r="V2570" s="5"/>
      <c r="W2570" s="5"/>
      <c r="X2570" s="5"/>
      <c r="Y2570" s="5"/>
      <c r="Z2570" s="5"/>
      <c r="AA2570" s="5"/>
      <c r="AB2570" s="5"/>
      <c r="AC2570" s="5"/>
      <c r="AD2570" s="5"/>
      <c r="AE2570" s="5"/>
      <c r="AF2570" s="5"/>
      <c r="AG2570" s="5"/>
      <c r="AH2570" s="5"/>
      <c r="AI2570" s="5"/>
      <c r="AJ2570" s="5"/>
    </row>
    <row r="2571" spans="1:36" ht="13">
      <c r="A2571" s="5"/>
      <c r="B2571" s="5"/>
      <c r="C2571" s="5"/>
      <c r="D2571" s="5"/>
      <c r="E2571" s="5"/>
      <c r="F2571" s="5"/>
      <c r="G2571" s="5"/>
      <c r="H2571" s="5"/>
      <c r="I2571" s="5"/>
      <c r="J2571" s="5"/>
      <c r="K2571" s="5"/>
      <c r="L2571" s="5"/>
      <c r="M2571" s="5"/>
      <c r="N2571" s="5"/>
      <c r="O2571" s="5"/>
      <c r="P2571" s="5"/>
      <c r="Q2571" s="5"/>
      <c r="R2571" s="5"/>
      <c r="S2571" s="5"/>
      <c r="T2571" s="5"/>
      <c r="U2571" s="5"/>
      <c r="V2571" s="5"/>
      <c r="W2571" s="5"/>
      <c r="X2571" s="5"/>
      <c r="Y2571" s="5"/>
      <c r="Z2571" s="5"/>
      <c r="AA2571" s="5"/>
      <c r="AB2571" s="5"/>
      <c r="AC2571" s="5"/>
      <c r="AD2571" s="5"/>
      <c r="AE2571" s="5"/>
      <c r="AF2571" s="5"/>
      <c r="AG2571" s="5"/>
      <c r="AH2571" s="5"/>
      <c r="AI2571" s="5"/>
      <c r="AJ2571" s="5"/>
    </row>
    <row r="2572" spans="1:36" ht="13">
      <c r="A2572" s="5"/>
      <c r="B2572" s="5"/>
      <c r="C2572" s="5"/>
      <c r="D2572" s="5"/>
      <c r="E2572" s="5"/>
      <c r="F2572" s="5"/>
      <c r="G2572" s="5"/>
      <c r="H2572" s="5"/>
      <c r="I2572" s="5"/>
      <c r="J2572" s="5"/>
      <c r="K2572" s="5"/>
      <c r="L2572" s="5"/>
      <c r="M2572" s="5"/>
      <c r="N2572" s="5"/>
      <c r="O2572" s="5"/>
      <c r="P2572" s="5"/>
      <c r="Q2572" s="5"/>
      <c r="R2572" s="5"/>
      <c r="S2572" s="5"/>
      <c r="T2572" s="5"/>
      <c r="U2572" s="5"/>
      <c r="V2572" s="5"/>
      <c r="W2572" s="5"/>
      <c r="X2572" s="5"/>
      <c r="Y2572" s="5"/>
      <c r="Z2572" s="5"/>
      <c r="AA2572" s="5"/>
      <c r="AB2572" s="5"/>
      <c r="AC2572" s="5"/>
      <c r="AD2572" s="5"/>
      <c r="AE2572" s="5"/>
      <c r="AF2572" s="5"/>
      <c r="AG2572" s="5"/>
      <c r="AH2572" s="5"/>
      <c r="AI2572" s="5"/>
      <c r="AJ2572" s="5"/>
    </row>
    <row r="2573" spans="1:36" ht="13">
      <c r="A2573" s="5"/>
      <c r="B2573" s="5"/>
      <c r="C2573" s="5"/>
      <c r="D2573" s="5"/>
      <c r="E2573" s="5"/>
      <c r="F2573" s="5"/>
      <c r="G2573" s="5"/>
      <c r="H2573" s="5"/>
      <c r="I2573" s="5"/>
      <c r="J2573" s="5"/>
      <c r="K2573" s="5"/>
      <c r="L2573" s="5"/>
      <c r="M2573" s="5"/>
      <c r="N2573" s="5"/>
      <c r="O2573" s="5"/>
      <c r="P2573" s="5"/>
      <c r="Q2573" s="5"/>
      <c r="R2573" s="5"/>
      <c r="S2573" s="5"/>
      <c r="T2573" s="5"/>
      <c r="U2573" s="5"/>
      <c r="V2573" s="5"/>
      <c r="W2573" s="5"/>
      <c r="X2573" s="5"/>
      <c r="Y2573" s="5"/>
      <c r="Z2573" s="5"/>
      <c r="AA2573" s="5"/>
      <c r="AB2573" s="5"/>
      <c r="AC2573" s="5"/>
      <c r="AD2573" s="5"/>
      <c r="AE2573" s="5"/>
      <c r="AF2573" s="5"/>
      <c r="AG2573" s="5"/>
      <c r="AH2573" s="5"/>
      <c r="AI2573" s="5"/>
      <c r="AJ2573" s="5"/>
    </row>
  </sheetData>
  <conditionalFormatting sqref="I1:I2573">
    <cfRule type="cellIs" dxfId="1" priority="1" operator="greaterThan">
      <formula>3</formula>
    </cfRule>
  </conditionalFormatting>
  <conditionalFormatting sqref="J1:J2573">
    <cfRule type="cellIs" dxfId="0" priority="2" operator="greaterThan">
      <formula>0</formula>
    </cfRule>
  </conditionalFormatting>
  <hyperlinks>
    <hyperlink ref="K2" r:id="rId1" display="https://www.atlantanewsfirst.com/2023/03/29/douglas-county-sheriff-looking-man-involved-shooting-near-high-school/" xr:uid="{00000000-0004-0000-0100-000000000000}"/>
    <hyperlink ref="K3" r:id="rId2" display="https://www.wkrn.com/news/local-news/nashville/covenant-school-mass-shooting/nashville-school-shooting-timeline/" xr:uid="{00000000-0004-0000-0100-000001000000}"/>
    <hyperlink ref="K4" r:id="rId3" display="https://wsbt.com/news/local/lockdown-lifted-following-emergency-at-northridge-middle-school-elkhart-county-developing-dismissal" xr:uid="{00000000-0004-0000-0100-000002000000}"/>
    <hyperlink ref="K5" r:id="rId4" display="https://www.courierpostonline.com/story/news/local/2023/03/24/millville-nj-thunderbolt-academy-shelter-in-place-after-gun-shots/70045194007/" xr:uid="{00000000-0004-0000-0100-000003000000}"/>
    <hyperlink ref="K6" r:id="rId5" display="https://abc3340.com/news/local/student-shot-at-anniston-high-school-school-evacuated-fake-bomb-threat-shooting-injured-tile-floor-grazed-injuries-police-department-investigating" xr:uid="{00000000-0004-0000-0100-000004000000}"/>
    <hyperlink ref="K7" r:id="rId6" display="https://6abc.com/kingsessing-school-lockdown-hardy-williams-charter-warrington-avenue-shooting-philadelphia/12991741/" xr:uid="{00000000-0004-0000-0100-000005000000}"/>
    <hyperlink ref="K13" r:id="rId7" display="https://abc7ny.com/nyc-crime-bronx-16-year-old-shot-mott-haven/12964197/" xr:uid="{00000000-0004-0000-0100-000006000000}"/>
    <hyperlink ref="K14" r:id="rId8" display="https://www.9news.com/article/news/crime/teens-charged-brighton-shooting/73-49712006-34c3-4896-a240-9327701d6ba1" xr:uid="{00000000-0004-0000-0100-000007000000}"/>
    <hyperlink ref="K15" r:id="rId9" display="https://www.lodinews.com/news/article_0ca87658-c41e-11ed-b153-b764e5baf4f5.html" xr:uid="{00000000-0004-0000-0100-000008000000}"/>
    <hyperlink ref="K16" r:id="rId10" display="https://www.fox17online.com/news/local-news/kent/wyoming-dps-grandville-pd-respond-to-shots-fired-near-school" xr:uid="{00000000-0004-0000-0100-000009000000}"/>
    <hyperlink ref="K18" r:id="rId11" display="https://www.cbsnews.com/newyork/live-updates/nypd-says-three-manhattan-shootings-may-be-connected/" xr:uid="{00000000-0004-0000-0100-00000A000000}"/>
    <hyperlink ref="K20" r:id="rId12" display="https://www.fox6now.com/news/shots-fired-barack-obama-school-man-charged" xr:uid="{00000000-0004-0000-0100-00000B000000}"/>
    <hyperlink ref="K21" r:id="rId13" display="https://www.news5cleveland.com/news/local-news/1-injured-after-shooting-near-maple-heights-high-school-police-ask-for-publics-help" xr:uid="{00000000-0004-0000-0100-00000C000000}"/>
    <hyperlink ref="K22" r:id="rId14" display="https://www.wvnstv.com/news/crime/summers-county-crime/man-arrested-after-shots-fired-near-elementary-school-in-summers-county/" xr:uid="{00000000-0004-0000-0100-00000D000000}"/>
    <hyperlink ref="K23" r:id="rId15" display="https://www.nbcphiladelphia.com/news/local/person-shot-near-school-in-west-philadelphia-police-say/3517052/" xr:uid="{00000000-0004-0000-0100-00000E000000}"/>
    <hyperlink ref="K24" r:id="rId16" display="https://fox59.com/news/indycrime/person-shot-near-east-side-indy-high-school/" xr:uid="{00000000-0004-0000-0100-00000F000000}"/>
    <hyperlink ref="K25" r:id="rId17" display="https://nypost.com/2023/03/07/15-year-old-shot-outside-nycs-park-west-high-school/" xr:uid="{00000000-0004-0000-0100-000010000000}"/>
    <hyperlink ref="K26" r:id="rId18" display="https://abc7amarillo.com/news/local/multiple-shots-fired-stray-bullet-hits-palo-duro-high-school-student-on-tennis-court-lockdown-whittier-elementary-school-amarillo-texas-amarillo-police-department-crime-stoppers-gun-crime-palo-duro-dons" xr:uid="{00000000-0004-0000-0100-000011000000}"/>
    <hyperlink ref="K27" r:id="rId19" display="https://www.wbaltv.com/article/shots-fired-basketball-court-leith-walk-school-baltimore/43221906" xr:uid="{00000000-0004-0000-0100-000012000000}"/>
    <hyperlink ref="K30" r:id="rId20" display="https://www.montanarightnow.com/great-falls/two-boys-detained-for-shooting-a-bb-gun-towards-a-lewistown-elementary-school/article_edf116c8-b9fc-11ed-b140-ebb2cc17b0c6.html" xr:uid="{00000000-0004-0000-0100-000013000000}"/>
    <hyperlink ref="K31" r:id="rId21" display="https://www.kfvs12.com/2023/03/01/marion-ill-police-investigating-after-students-believed-be-shot-with-airsoft-pellets/" xr:uid="{00000000-0004-0000-0100-000014000000}"/>
    <hyperlink ref="K32" r:id="rId22" display="https://www.wjcl.com/article/savannah-high-school-shooting-arrest/43166741" xr:uid="{00000000-0004-0000-0100-000015000000}"/>
    <hyperlink ref="K33" r:id="rId23" display="https://chicago.suntimes.com/crime/2023/3/2/23622163/andres-vasquez-lasso-chicago-police-officer-slain-kids-sawyer-elementary-gage-park" xr:uid="{00000000-0004-0000-0100-000016000000}"/>
    <hyperlink ref="K34" r:id="rId24" display="https://www.kktv.com/2023/03/01/standoff-near-pueblo-county-elementary-school-ends-with-suspect-shot/" xr:uid="{00000000-0004-0000-0100-000017000000}"/>
    <hyperlink ref="K35" r:id="rId25" display="https://www.cbsnews.com/losangeles/news/cerritos-shooting-investigation-shuts-down-gahr-high-school/" xr:uid="{00000000-0004-0000-0100-000018000000}"/>
    <hyperlink ref="K36" r:id="rId26" display="https://www.wcpo.com/news/local-news/hamilton-county/cincinnati/bond-hill/woodward-high-school-briefly-put-on-lockdown-after-person-shot-nearby" xr:uid="{00000000-0004-0000-0100-000019000000}"/>
    <hyperlink ref="K37" r:id="rId27" display="https://www.wapt.com/article/whitten-middle-school-shots-fired-near-school/43044539" xr:uid="{00000000-0004-0000-0100-00001A000000}"/>
    <hyperlink ref="K38" r:id="rId28" display="https://www.sacbee.com/news/nation-world/national/article272581192.html" xr:uid="{00000000-0004-0000-0100-00001B000000}"/>
    <hyperlink ref="K39" r:id="rId29" display="https://www.ksla.com/2023/02/21/bullet-interrupts-high-school-softball-game/" xr:uid="{00000000-0004-0000-0100-00001C000000}"/>
    <hyperlink ref="K41" r:id="rId30" display="https://abc7chicago.com/chicago-shooting-today-catalyst-circle-rock-charter-school-south-austin/12833547/" xr:uid="{00000000-0004-0000-0100-00001D000000}"/>
    <hyperlink ref="K42" r:id="rId31" display="https://www.fox26houston.com/news/friends-and-family-are-grieving-after-a-17-year-old-high-school-senior-is-shot-to-death-near-his-school" xr:uid="{00000000-0004-0000-0100-00001E000000}"/>
    <hyperlink ref="K43" r:id="rId32" display="https://cw39.com/news/local/aldine-isd-police-officer-fires-gun-during-fight-outside-davis-high-school-authorities-said/" xr:uid="{00000000-0004-0000-0100-00001F000000}"/>
    <hyperlink ref="K46" r:id="rId33" display="https://www.fox5atlanta.com/news/gun-fired-inside-dekalb-county-middle-school-classroom-officials-say" xr:uid="{00000000-0004-0000-0100-000020000000}"/>
    <hyperlink ref="K48" r:id="rId34" display="https://www.cbsnews.com/newyork/news/staten-island-elementary-school-shots-fired-stapleton-ps-78/" xr:uid="{00000000-0004-0000-0100-000021000000}"/>
    <hyperlink ref="K49" r:id="rId35" display="https://co.chalkbeat.org/2023/2/13/23598844/denver-east-high-school-shooting-gun-violence-classes-canceled" xr:uid="{00000000-0004-0000-0100-000022000000}"/>
    <hyperlink ref="K50" r:id="rId36" display="https://abc7amarillo.com/news/local/dalhart-isd-police-identify-student-killed-in-accidental-shooting-in-school-parking-lot-preston-ralston-dalhart-texas-gun-crime-accidental-discharge" xr:uid="{00000000-0004-0000-0100-000023000000}"/>
    <hyperlink ref="K51" r:id="rId37" display="https://www.fresnobee.com/news/local/crime/article272400143.html" xr:uid="{00000000-0004-0000-0100-000024000000}"/>
    <hyperlink ref="K52" r:id="rId38" display="https://bronx.news12.com/nypd-3-people-shot-near-williamsburg-charter-school" xr:uid="{00000000-0004-0000-0100-000025000000}"/>
    <hyperlink ref="K53" r:id="rId39" display="https://katv.com/news/local/arkansas-teenager-arrested-after-bringing-a-gun-to-a-basketball-game-police-say-fort-smith-kimmons-middle-school-14-year-old-boy-charged-aggravated-assault-and-terroristic-threatening-arkansas-teen-violence-mental-health-juvenile-crime" xr:uid="{00000000-0004-0000-0100-000026000000}"/>
    <hyperlink ref="K55" r:id="rId40" display="https://www.cbsnews.com/miami/news/possible-shooting-at-miami-norland-senior-high-school-under-investigation/" xr:uid="{00000000-0004-0000-0100-000027000000}"/>
    <hyperlink ref="K58" r:id="rId41" display="https://kfor.com/news/local/could-have-been-very-tragic-gun-accidentally-fired-near-elementary-school-strikes-teachers-car/" xr:uid="{00000000-0004-0000-0100-000028000000}"/>
    <hyperlink ref="K59" r:id="rId42" display="https://www.fox10tv.com/2023/02/01/one-vehicle-elementary-school-hit-by-bullets-after-shots-fired-nearby/" xr:uid="{00000000-0004-0000-0100-000029000000}"/>
    <hyperlink ref="K60" r:id="rId43" display="https://www.wusa9.com/article/news/crime/shooting-causes-school-lockdowns-dc/65-cc671c95-fcfc-4932-bcc1-5cf1a27b3033" xr:uid="{00000000-0004-0000-0100-00002A000000}"/>
    <hyperlink ref="K61" r:id="rId44" display="https://www.12news.com/article/news/local/arizona/police-shots-fired-outside-high-school-yuma/75-28dcccc7-6502-4841-bf91-5252b4ab02ec" xr:uid="{00000000-0004-0000-0100-00002B000000}"/>
    <hyperlink ref="K62" r:id="rId45" display="https://www.ky3.com/2023/01/29/spd-officers-investigating-shots-fired-near-glendale-high-school/" xr:uid="{00000000-0004-0000-0100-00002C000000}"/>
    <hyperlink ref="K63" r:id="rId46" display="https://wpgtalkradio.com/monroe-twp-nj-police-teen-fired-flare-gun-at-another-teen-inside-elementary-school/" xr:uid="{00000000-0004-0000-0100-00002D000000}"/>
    <hyperlink ref="K64" r:id="rId47" display="https://www.abc4.com/news/wasatch-front/shots-fired-taylorsville-high-school/" xr:uid="{00000000-0004-0000-0100-00002E000000}"/>
    <hyperlink ref="K65" r:id="rId48" display="https://www.13abc.com/2023/01/25/police-tps-school-bus-hit-by-gunfire-with-students-board/" xr:uid="{00000000-0004-0000-0100-00002F000000}"/>
    <hyperlink ref="K66" r:id="rId49" display="https://fox4kc.com/news/kansas-city-police-find-shooting-victim-near-high-school/" xr:uid="{00000000-0004-0000-0100-000030000000}"/>
    <hyperlink ref="K70" r:id="rId50" display="https://cbs12.com/news/local/henry-williams-arrested-bringing-firearm-to-glades-central-high-school-january-21" xr:uid="{00000000-0004-0000-0100-000031000000}"/>
    <hyperlink ref="K72" r:id="rId51" display="https://pix11.com/news/local-news/brooklyn/teen-shot-after-leaving-basketball-game-at-brooklyn-school-police-say/" xr:uid="{00000000-0004-0000-0100-000032000000}"/>
    <hyperlink ref="K73" r:id="rId52" display="https://pix11.com/news/local-news/queens/boy-13-arrested-in-shooting-of-2-other-teens-outside-queens-school-police/" xr:uid="{00000000-0004-0000-0100-000033000000}"/>
    <hyperlink ref="K74" r:id="rId53" display="https://okcfox.com/news/local/arrest-made-in-del-city-high-school-basketball-game-shooting-mid-del-schools-del-city-police-oklahoma-city-oklahoma-county-detention-center-gunshots-fired-at-high-school-basketball-game" xr:uid="{00000000-0004-0000-0100-000034000000}"/>
    <hyperlink ref="K75" r:id="rId54" display="https://www.wtsp.com/article/news/local/manateecounty/manatee-county-school-buses-shot-bb-guns/67-a515a957-59ce-4552-9cb7-3897ddd4f919" xr:uid="{00000000-0004-0000-0100-000035000000}"/>
    <hyperlink ref="K76" r:id="rId55" display="https://www.usnews.com/news/best-states/vermont/articles/2023-01-11/police-teacher-shot-with-pellet-gun-injury-superficial" xr:uid="{00000000-0004-0000-0100-000036000000}"/>
    <hyperlink ref="K78" r:id="rId56" display="https://www.abc4.com/news/central-utah/student-injured-after-shots-fired-at-saratoga-springs-high-school-wrestling-team-bus/" xr:uid="{00000000-0004-0000-0100-000037000000}"/>
    <hyperlink ref="K79" r:id="rId57" display="https://www.lex18.com/news/police-respond-to-incident-involving-a-staff-member-at-stanford-elementary" xr:uid="{00000000-0004-0000-0100-000038000000}"/>
    <hyperlink ref="K81" r:id="rId58" display="https://www.news5cleveland.com/news/local-news/cleveland-metro/john-adams-high-school-closes-wednesday-after-student-shot-killed-at-bus-stop-tuesday" xr:uid="{00000000-0004-0000-0100-000039000000}"/>
    <hyperlink ref="K82" r:id="rId59" display="https://www.wwltv.com/article/news/crime/nopd-investigating-shooting-at-booker-t-washington-high-school/289-4590bc69-0374-4c8a-9c77-6f03c773324b" xr:uid="{00000000-0004-0000-0100-00003A000000}"/>
    <hyperlink ref="K83" r:id="rId60" display="https://www.potomaclocal.com/2023/01/10/philadelphia-man-shot-pellets-at-county-school-bus-police-said/" xr:uid="{00000000-0004-0000-0100-00003B000000}"/>
    <hyperlink ref="K84" r:id="rId61" display="https://www.portlandoregon.gov/police/news/read.cfm?id=452696" xr:uid="{00000000-0004-0000-0100-00003C000000}"/>
    <hyperlink ref="K85" r:id="rId62" display="https://www.wftv.com/news/local/orange-county/orange-county-deputies-search-suspect-after-teen-shot-near-wekiva-high-school/XMT6V3ZCMVGOBHT2OKVEMFVLLI/" xr:uid="{00000000-0004-0000-0100-00003D000000}"/>
    <hyperlink ref="K88" r:id="rId63" display="https://www.wtkr.com/news/police-to-give-update-after-teacher-shot-by-6-year-old-student-in-newport-news" xr:uid="{00000000-0004-0000-0100-00003E000000}"/>
    <hyperlink ref="K89" r:id="rId64" display="https://abc6onyourside.com/news/local/columbus-city-schools-beechcroft-high-school-shots-fired-at-building-black-colored-suv-no-injuries-were-reported" xr:uid="{00000000-0004-0000-0100-00003F000000}"/>
    <hyperlink ref="K91" r:id="rId65" display="https://www.clickondetroit.com/news/local/2023/01/04/man-killed-in-shooting-outside-trix-academy-on-detroits-east-side/" xr:uid="{00000000-0004-0000-0100-000040000000}"/>
    <hyperlink ref="K93" r:id="rId66" display="https://www.davisenterprise.com/news/local/woodland-police-investigate-chase-shooting-near-school-campus/" xr:uid="{00000000-0004-0000-0100-000041000000}"/>
    <hyperlink ref="K95" r:id="rId67" display="https://www.nbc4i.com/news/local-news/columbus/police-shots-fired-outside-columbus-school/" xr:uid="{00000000-0004-0000-0100-000042000000}"/>
    <hyperlink ref="K96" r:id="rId68" display="https://katu.com/news/local/police-presence-at-cleveland-high-school-monday-afternoon" xr:uid="{00000000-0004-0000-0100-000043000000}"/>
    <hyperlink ref="K98" r:id="rId69" display="https://6abc.com/shooting-homicide/12554428/" xr:uid="{00000000-0004-0000-0100-000044000000}"/>
    <hyperlink ref="K99" r:id="rId70" display="https://www.whio.com/news/crime-and-law/large-fight-shots-fired-meadowdale-high-school/FK6OII7FJFAO7OSU4FVY6K3BSU/" xr:uid="{00000000-0004-0000-0100-000045000000}"/>
    <hyperlink ref="K101" r:id="rId71" display="https://www.nbcwashington.com/news/local/suitland-high-school-on-lockdown-after-shooting-report/3228771/" xr:uid="{00000000-0004-0000-0100-000046000000}"/>
    <hyperlink ref="K102" r:id="rId72" display="https://www.wsfa.com/2022/12/06/shots-fired-near-montgomery-school-police-say/" xr:uid="{00000000-0004-0000-0100-000047000000}"/>
    <hyperlink ref="K103" r:id="rId73" display="https://www.kmov.com/2022/12/06/woman-shot-downtown-st-louis/" xr:uid="{00000000-0004-0000-0100-000048000000}"/>
    <hyperlink ref="K104" r:id="rId74" display="https://fox59.com/indiana-news/investigation-underway-following-firearm-incident-near-west-th-elementary-school/" xr:uid="{00000000-0004-0000-0100-000049000000}"/>
    <hyperlink ref="K105" r:id="rId75" display="https://abc7chicago.com/chicago-shooting-south-austin-west-harrison-street-michele-clark-magnet-hs/12537485/" xr:uid="{00000000-0004-0000-0100-00004A000000}"/>
    <hyperlink ref="K106" r:id="rId76" display="https://www.heraldmailmedia.com/story/news/local/2022/12/15/pellet-or-bb-gun-used-to-shoot-school-bus-and-building-in-hagerstown/69725189007/" xr:uid="{00000000-0004-0000-0100-00004B000000}"/>
    <hyperlink ref="K107" r:id="rId77" display="https://www.fox13memphis.com/news/local/child-may-have-been-accidentally-shot-memphis-school-police-say/36TUNL4VHRA3PALDZTAJW4GYZI/" xr:uid="{00000000-0004-0000-0100-00004C000000}"/>
    <hyperlink ref="K108" r:id="rId78" display="https://www.fox6now.com/news/milwaukee-teen-fatally-shot-during-south-division-basketball-game" xr:uid="{00000000-0004-0000-0100-00004D000000}"/>
    <hyperlink ref="K109" r:id="rId79" display="https://6abc.com/delcastle-technical-high-school-bus-shot-interstate-95-shut-down-delaware-police-chase-officer-involved-shooting/12519473/" xr:uid="{00000000-0004-0000-0100-00004E000000}"/>
    <hyperlink ref="K110" r:id="rId80" display="https://www.fox2detroit.com/news/16-year-old-charged-after-2-teens-shot-outside-detroits-henry-ford-high-school" xr:uid="{00000000-0004-0000-0100-00004F000000}"/>
    <hyperlink ref="K111" r:id="rId81" display="https://www.abc12.com/news/no-injuries-on-standish-sterling-school-bus-after-it-was-hit-by-a-stray-bullet/article_b499147a-69e8-11ed-8cbc-4f35da469d5f.html" xr:uid="{00000000-0004-0000-0100-000050000000}"/>
    <hyperlink ref="K112" r:id="rId82" display="https://www.localsyr.com/news/local-news/shots-fired-in-roberts-elementary-school-parking-lot-in-syracuse/" xr:uid="{00000000-0004-0000-0100-000051000000}"/>
    <hyperlink ref="K114" r:id="rId83" display="https://www.cbsnews.com/chicago/news/indiana-officer-gunfire-student/" xr:uid="{00000000-0004-0000-0100-000052000000}"/>
    <hyperlink ref="K115" r:id="rId84" display="https://katu.com/news/local/police-investigate-shooting-near-mcminnville-high-school" xr:uid="{00000000-0004-0000-0100-000053000000}"/>
    <hyperlink ref="K117" r:id="rId85" display="https://www.wsmv.com/2022/11/15/metro-police-investigating-after-19-year-old-shot-killed/" xr:uid="{00000000-0004-0000-0100-000054000000}"/>
    <hyperlink ref="K118" r:id="rId86" display="https://www.kalb.com/2022/11/15/2-people-shot-near-camp-livingston-road-ball/" xr:uid="{00000000-0004-0000-0100-000055000000}"/>
    <hyperlink ref="K119" r:id="rId87" display="https://www.palmbeachpost.com/story/sports/high-school/2022/11/12/parking-lot-shooting-halts-high-school-football-playoff-game-orlando/10687560002/" xr:uid="{00000000-0004-0000-0100-000056000000}"/>
    <hyperlink ref="K120" r:id="rId88" display="https://www.wapt.com/article/hinds-county-sheriff-investigating-shooting-at-raymond-high-school/41941297" xr:uid="{00000000-0004-0000-0100-000057000000}"/>
    <hyperlink ref="K121" r:id="rId89" display="https://www.wave3.com/2022/11/10/man-wounded-by-his-own-gun-accidental-shooting-elementary-school-hallway/" xr:uid="{00000000-0004-0000-0100-000058000000}"/>
    <hyperlink ref="K124" r:id="rId90" display="https://www.fox4news.com/news/officer-shot-during-active-shooter-training-forest-hill" xr:uid="{00000000-0004-0000-0100-000059000000}"/>
    <hyperlink ref="K125" r:id="rId91" display="https://sports.yahoo.com/armed-man-threatened-shoot-students-202907424.html" xr:uid="{00000000-0004-0000-0100-00005A000000}"/>
    <hyperlink ref="K126" r:id="rId92" display="https://www.wjcl.com/article/police-presence-elementary-school-savannah/41861811" xr:uid="{00000000-0004-0000-0100-00005B000000}"/>
    <hyperlink ref="K128" r:id="rId93" display="https://abc7amarillo.com/news/local/amarillo-texas-amarillo-police-department-15-year-old-boy-shot-fight-avondale-school-park-avondale-elementary-school-crime" xr:uid="{00000000-0004-0000-0100-00005C000000}"/>
    <hyperlink ref="K129" r:id="rId94" display="https://www.9news.com/article/news/local/gun-flag-football-game-cresthill/73-7251ca4b-3365-4a6e-9c60-a29e425a3dca" xr:uid="{00000000-0004-0000-0100-00005D000000}"/>
    <hyperlink ref="K134" r:id="rId95" display="https://www.cbsnews.com/pittsburgh/news/downtown-pittsburgh-penn-avenue-shots-fired-passport-academy-charter-school/" xr:uid="{00000000-0004-0000-0100-00005E000000}"/>
    <hyperlink ref="K137" r:id="rId96" display="https://abc6onyourside.com/news/local/17-year-old-girl-grazed-after-shots-fired-near-elementary-school" xr:uid="{00000000-0004-0000-0100-00005F000000}"/>
    <hyperlink ref="K138" r:id="rId97" display="https://www.cbsnews.com/chicago/news/douglas-park-shooting-teen-death/" xr:uid="{00000000-0004-0000-0100-000060000000}"/>
    <hyperlink ref="K140" r:id="rId98" display="https://fox40.com/news/local-news/sacramento/sacramento-police-arrest-suspect-in-grant-union-high-school-parking-lot-shooting/" xr:uid="{00000000-0004-0000-0100-000061000000}"/>
    <hyperlink ref="K141" r:id="rId99" display="https://www.yahoo.com/entertainment/denver-elementary-school-soccer-game-235324292.html" xr:uid="{00000000-0004-0000-0100-000062000000}"/>
    <hyperlink ref="K144" r:id="rId100" display="https://www.reviewjournal.com/crime/homicides/fatal-shooting-reported-outside-east-las-vegas-high-school-2659925/" xr:uid="{00000000-0004-0000-0100-000063000000}"/>
    <hyperlink ref="K146" r:id="rId101" display="https://abc7news.com/sj-school-paintball-pellets-willow-glen-middle-shots-fired-san-jose/12340605/" xr:uid="{00000000-0004-0000-0100-000064000000}"/>
    <hyperlink ref="K149" r:id="rId102" display="https://www.klfy.com/local/vermilion-parish/abbeville-police-shots-fired-at-j-h-williams-middle-school/" xr:uid="{00000000-0004-0000-0100-000065000000}"/>
    <hyperlink ref="K150" r:id="rId103" display="https://myfox8.com/news/north-carolina/greensboro/1-shot-in-parking-lot-of-dudley-high-school-taken-to-hospital-police-say/" xr:uid="{00000000-0004-0000-0100-000066000000}"/>
    <hyperlink ref="K153" r:id="rId104" display="https://www.wkrn.com/news/local-news/murfreesboro/investigation-underway-after-shooting-at-riverdale-oakland-high-school-football-game/" xr:uid="{00000000-0004-0000-0100-000067000000}"/>
    <hyperlink ref="K154" r:id="rId105" display="https://www.amny.com/new-york/brooklyn/cops-seek-suspect-in-brooklyn-school-bus-shooting/" xr:uid="{00000000-0004-0000-0100-000068000000}"/>
    <hyperlink ref="K158" r:id="rId106" display="https://www.koin.com/news/crime/shots-fired-near-reynolds-high-school-parents-concerned-about-response/" xr:uid="{00000000-0004-0000-0100-000069000000}"/>
    <hyperlink ref="K162" r:id="rId107" display="https://news.scorebooklive.com/national/2022/10/08/shooting-at-arizona-high-school-football-game-forces-evacuation-to-auditorium" xr:uid="{00000000-0004-0000-0100-00006A000000}"/>
    <hyperlink ref="K163" r:id="rId108" display="https://apnews.com/article/sports-football-shootings-ohio-high-school-da5e242248f3a8cfa21765123ef32a5d" xr:uid="{00000000-0004-0000-0100-00006B000000}"/>
    <hyperlink ref="K165" r:id="rId109" display="https://www.witn.com/2022/10/08/student-shot-following-greenville-high-school-football-game/" xr:uid="{00000000-0004-0000-0100-00006C000000}"/>
    <hyperlink ref="K167" r:id="rId110" display="https://www.boston.com/news/local-news/2022/10/04/person-shot-tuesday-morning-near-jeremiah-burke-high-school-in-dorchester/" xr:uid="{00000000-0004-0000-0100-00006D000000}"/>
    <hyperlink ref="K169" r:id="rId111" display="https://www.detroitnews.com/story/news/local/oakland-county/2022/10/04/security-guard-fires-gun-oxford-middle-school/69537444007/" xr:uid="{00000000-0004-0000-0100-00006E000000}"/>
    <hyperlink ref="K173" r:id="rId112" display="https://www.wafb.com/2022/09/28/teen-fires-shots-into-car-br-private-school/" xr:uid="{00000000-0004-0000-0100-00006F000000}"/>
    <hyperlink ref="K175" r:id="rId113" display="https://www.nbcphiladelphia.com/news/local/4-people-shot-at-roxborough-high-school/3375136/" xr:uid="{00000000-0004-0000-0100-000070000000}"/>
    <hyperlink ref="K178" r:id="rId114" location="https://kion546.com/news/2022/09/26/shooting-reported-outside-north-monterey-county-high-school-football-field-deputies/" display="https://www.ksbw.com/article/teen-shot-while-leaving-north-monterey-county-high-football-game/41395462 - https://kion546.com/news/2022/09/26/shooting-reported-outside-north-monterey-county-high-school-football-field-deputies/" xr:uid="{00000000-0004-0000-0100-000071000000}"/>
    <hyperlink ref="K179" r:id="rId115" display="https://www.fox6now.com/news/milwaukee-shooting-man-wounded-walnut-rooseselt-ms" xr:uid="{00000000-0004-0000-0100-000072000000}"/>
    <hyperlink ref="K183" r:id="rId116" display="https://www.fox10phoenix.com/news/woman-arrested-pulling-out-gun-phoenix-school" xr:uid="{00000000-0004-0000-0100-000073000000}"/>
    <hyperlink ref="K186" r:id="rId117" display="https://www.tcpalm.com/story/news/2022/09/19/unintentional-discharge-deputys-gun-school-under-investigation/10429095002/" xr:uid="{00000000-0004-0000-0100-000074000000}"/>
    <hyperlink ref="K188" r:id="rId118" display="https://www.augustachronicle.com/story/news/crime/2022/09/26/suspect-wanted-after-josey-high-school-shooting-turns-himself/8123351001/" xr:uid="{00000000-0004-0000-0100-000075000000}"/>
    <hyperlink ref="K189" r:id="rId119" display="https://www.11alive.com/article/news/state/gunfire-ends-high-school-football-game/85-ab5afbe9-ea46-4bbf-88ee-7add3fa67ef3" xr:uid="{00000000-0004-0000-0100-000076000000}"/>
    <hyperlink ref="K190" r:id="rId120" display="https://nypost.com/2022/09/17/nyc-kids-shot-at-with-pellet-guns-after-squabble-over-game-at-ues-playground/" xr:uid="{00000000-0004-0000-0100-000077000000}"/>
    <hyperlink ref="K191" r:id="rId121" display="https://www.pennlive.com/news/2022/09/child-detained-after-bb-gun-shot-on-pa-school-bus-police.html" xr:uid="{00000000-0004-0000-0100-000078000000}"/>
    <hyperlink ref="K192" r:id="rId122" display="https://www.abc4.com/news/bountiful-high-placed-on-lockdown-school-threat/" xr:uid="{00000000-0004-0000-0100-000079000000}"/>
    <hyperlink ref="K193" r:id="rId123" display="https://www.wusa9.com/article/news/crime/1-shot-behind-oxon-hill-high-school-maryland/65-a9856c58-c55d-401e-aef5-dc7b8a9b13fa" xr:uid="{00000000-0004-0000-0100-00007A000000}"/>
    <hyperlink ref="K194" r:id="rId124" display="https://www.wral.com/california-high-school-staff-member-shot-after-fight/20464618/" xr:uid="{00000000-0004-0000-0100-00007B000000}"/>
    <hyperlink ref="K195" r:id="rId125" display="https://www.wtol.com/article/news/local/jackson-michigan-middle-school-football-game-locked-down-shots-fired-in-vicinity/512-4d093342-30e0-4e92-b654-ee374f97fc87" xr:uid="{00000000-0004-0000-0100-00007C000000}"/>
    <hyperlink ref="K196" r:id="rId126" display="https://www.tmj4.com/news/local-news/occupied-school-bus-struck-during-shooting-near-sherman-and-capitol-1-injured" xr:uid="{00000000-0004-0000-0100-00007D000000}"/>
    <hyperlink ref="K198" r:id="rId127" display="https://www.klfy.com/local/vermilion-parish/shooting-near-j-h-middle-school-in-abbeville-under-investigation/" xr:uid="{00000000-0004-0000-0100-00007E000000}"/>
    <hyperlink ref="K199" r:id="rId128" display="https://foxbaltimore.com/news/local/15-year-old-boy-grazed-in-head-by-bullet-in-west-baltimore-wednesday-evening" xr:uid="{00000000-0004-0000-0100-00007F000000}"/>
    <hyperlink ref="K200" r:id="rId129" display="https://www.whio.com/news/local/gunshots-disrupt-beavercreek-middle-school-football-practice-deputies-investigating/EXVQHSO2QVFEDGYIT4LUQIRVBU/" xr:uid="{00000000-0004-0000-0100-000080000000}"/>
    <hyperlink ref="K201" r:id="rId130" display="https://www.fox6now.com/news/shots-fired-near-milwaukees-barack-obama-school-2-charged" xr:uid="{00000000-0004-0000-0100-000081000000}"/>
    <hyperlink ref="K202" r:id="rId131" display="https://www.radioiowa.com/2022/09/07/two-charged-after-firing-airsoft-gun-at-students-in-sioux-city/" xr:uid="{00000000-0004-0000-0100-000082000000}"/>
    <hyperlink ref="K203" r:id="rId132" display="https://www.local10.com/news/local/2022/09/05/adult-gambling-causes-shooting-injuring-3-teens-during-broward-little-league-football-game-police-say/" xr:uid="{00000000-0004-0000-0100-000083000000}"/>
    <hyperlink ref="K204" r:id="rId133" display="https://www.baltimoresun.com/news/crime/bs-md-ci-cr-shooting-near-mervo-high-20220902-7vkk6gckhbdzrgodfepcdyjj6m-story.html" xr:uid="{00000000-0004-0000-0100-000084000000}"/>
    <hyperlink ref="K207" r:id="rId134" display="https://www.wusa9.com/article/news/local/dc/northeast-dc-double-shooting-near-idea-charter-school/65-5f5a72d3-526e-4e68-9e6d-e7cd9194384f" xr:uid="{00000000-0004-0000-0100-000085000000}"/>
    <hyperlink ref="K208" r:id="rId135" display="https://www.fox29.com/news/police-3-people-hospitalized-after-being-shot-on-elementary-school-playground-in-kensington" xr:uid="{00000000-0004-0000-0100-000086000000}"/>
    <hyperlink ref="K217" r:id="rId136" display="https://www.wfla.com/news/hillsborough-county/no-active-shooter-at-lennard-high-school-sheriff-says/" xr:uid="{00000000-0004-0000-0100-000087000000}"/>
    <hyperlink ref="K219" r:id="rId137" display="https://www.recordnet.com/story/news/2022/08/15/student-gun-arrested-lincoln-high-school-stockton-california/10333624002/" xr:uid="{00000000-0004-0000-0100-000088000000}"/>
    <hyperlink ref="K221" r:id="rId138" display="https://sports.yahoo.com/shots-ring-serrano-high-school-050531605.html" xr:uid="{00000000-0004-0000-0100-000089000000}"/>
    <hyperlink ref="K222" r:id="rId139" display="https://gbi.georgia.gov/press-releases/2022-08-12/gbi-investigates-union-county-school-shooting-incident" xr:uid="{00000000-0004-0000-0100-00008A000000}"/>
    <hyperlink ref="K223" r:id="rId140" display="https://www.11alive.com/article/news/local/henry-county-high-lockdown/85-3fef23a6-d1b9-47e3-8f26-4e97e6cd9ed5" xr:uid="{00000000-0004-0000-0100-00008B000000}"/>
    <hyperlink ref="K224" r:id="rId141" display="https://hudsonvalleypost.com/hudson-valley-man-fatally-shot-outside-new-york-school-poughkeepsie-dutchess-county/" xr:uid="{00000000-0004-0000-0100-00008C000000}"/>
    <hyperlink ref="K225" r:id="rId142" display="https://www.nbcboston.com/news/local/shooting-breaks-out-during-basketball-game-in-lynn-mass/2801412/" xr:uid="{00000000-0004-0000-0100-00008D000000}"/>
    <hyperlink ref="K226" r:id="rId143" display="https://www.walb.com/2022/08/06/shots-fired-near-johnson-co-football-game/" xr:uid="{00000000-0004-0000-0100-00008E000000}"/>
    <hyperlink ref="K229" r:id="rId144" display="https://connecticut.news12.com/hempstead-school-officials-to-speak-following-2-shootings-near-schools" xr:uid="{00000000-0004-0000-0100-00008F000000}"/>
    <hyperlink ref="K231" r:id="rId145" display="https://www.kctv5.com/2022/07/27/police-man-involved-shooting-incident-with-gardner-police-wounded-himself/" xr:uid="{00000000-0004-0000-0100-000090000000}"/>
    <hyperlink ref="K232" r:id="rId146" display="https://www.fox44news.com/news/local-news/brazos/shots-fired-at-college-station-high-school-suspect-sought/" xr:uid="{00000000-0004-0000-0100-000091000000}"/>
    <hyperlink ref="K233" r:id="rId147" display="https://local21news.com/news/local/man-wanted-by-police-for-discharging-firearm" xr:uid="{00000000-0004-0000-0100-000092000000}"/>
    <hyperlink ref="K235" r:id="rId148" display="https://www.msn.com/en-us/news/crime/shots-fired-near-john-finney-cause-lockdown/ar-AAZNJZH?ocid=hplocalnews&amp;srcref=rss" xr:uid="{00000000-0004-0000-0100-000093000000}"/>
    <hyperlink ref="K238" r:id="rId149" display="https://www.mercedsunstar.com/news/local/crime/article263063843.html" xr:uid="{00000000-0004-0000-0100-000094000000}"/>
    <hyperlink ref="K239" r:id="rId150" display="https://www.cbsnews.com/chicago/news/woman-and-2-teenagers-injured-after-shooting-near-school-gresham/" xr:uid="{00000000-0004-0000-0100-000095000000}"/>
    <hyperlink ref="K240" r:id="rId151" display="https://www.q13fox.com/news/deputies-arrest-15-year-old-accused-of-firing-shots-outside-everett-high-school-causing-a-lockdown" xr:uid="{00000000-0004-0000-0100-000096000000}"/>
    <hyperlink ref="K251" r:id="rId152" display="https://www.postandcourier.com/news/berkeley-county-detention-officers-slaying-in-school-parking-lot-remains-a-mystery/article_14da3fac-0932-11ed-a50f-bb8eb3384a30.html" xr:uid="{00000000-0004-0000-0100-000097000000}"/>
    <hyperlink ref="K252" r:id="rId153" display="https://www.chicagocatholic.com/chicagoland/-/article/2022/06/01/five-windows-at-st-margaret-of-scotland-school-shot-out" xr:uid="{00000000-0004-0000-0100-000098000000}"/>
    <hyperlink ref="K254" r:id="rId154" display="https://www.tmj4.com/news/local-news/mpd-police-respond-to-riverside-high-school-twice-for-reports-of-shots-fired-fight" xr:uid="{00000000-0004-0000-0100-000099000000}"/>
    <hyperlink ref="K258" r:id="rId155" display="https://newschannel9.com/news/local/25-year-old-man-shot-to-death-in-chattanooga-near-school-early-friday-morning-east-lake-elementary-murder-homicide" xr:uid="{00000000-0004-0000-0100-00009A000000}"/>
    <hyperlink ref="K260" r:id="rId156" display="https://www.insidenova.com/headlines/potomac-high-school-student-charged-after-bathroom-brandishing/article_f3fa326e-d86d-11ec-bd21-f36cea08fd4d.html" xr:uid="{00000000-0004-0000-0100-00009B000000}"/>
    <hyperlink ref="K261" r:id="rId157" display="https://www.myjournalcourier.com/news/article/Hallucinating-woman-arrested-after-shot-fired-17188158.php" xr:uid="{00000000-0004-0000-0100-00009C000000}"/>
    <hyperlink ref="K268" r:id="rId158" display="https://www.cbsnews.com/sanfrancisco/news/school-bus-in-san-francisco-hit-by-gunfire/" xr:uid="{00000000-0004-0000-0100-00009D000000}"/>
    <hyperlink ref="K271" r:id="rId159" display="https://www.laconiadailysun.com/news/local/belmont-police-investigate-pellet-gun-shooting-targeted-at-children/article_19c3bb5e-d608-11ec-879e-5bb5cf440fe6.html" xr:uid="{00000000-0004-0000-0100-00009E000000}"/>
    <hyperlink ref="K272" r:id="rId160" display="https://wgxa.tv/news/local/friday-shooting-macon-school" xr:uid="{00000000-0004-0000-0100-00009F000000}"/>
    <hyperlink ref="K281" r:id="rId161" display="https://www.sbsun.com/2022/05/03/gunfire-in-san-bernardino-causes-car-to-crash-leaves-bullet-holes-in-school/" xr:uid="{00000000-0004-0000-0100-0000A0000000}"/>
    <hyperlink ref="K284" r:id="rId162" display="https://triblive.com/local/westmoreland/no-one-reported-hurt-after-shot-fired-during-fight-at-mckee-stadium-in-jeannette/" xr:uid="{00000000-0004-0000-0100-0000A1000000}"/>
    <hyperlink ref="K285" r:id="rId163" display="https://www.wndu.com/2022/04/27/investigation-underway-after-student-shoots-school-bus-window-with-bb-gun/" xr:uid="{00000000-0004-0000-0100-0000A2000000}"/>
    <hyperlink ref="K286" r:id="rId164" display="https://news4sanantonio.com/news/local/police-shot-suspect-after-attempting-to-break-in-school" xr:uid="{00000000-0004-0000-0100-0000A3000000}"/>
    <hyperlink ref="K290" r:id="rId165" display="https://www.fox5atlanta.com/news/marietta-school-buses-windshield-shot" xr:uid="{00000000-0004-0000-0100-0000A4000000}"/>
    <hyperlink ref="K293" r:id="rId166" display="https://www.kptv.com/2022/04/23/teen-arrested-after-shooting-near-salem-middle-school/" xr:uid="{00000000-0004-0000-0100-0000A5000000}"/>
    <hyperlink ref="K294" r:id="rId167" display="https://krcrtv.com/news/local/video-reports-of-shots-fired-near-middle-school" xr:uid="{00000000-0004-0000-0100-0000A6000000}"/>
    <hyperlink ref="K298" r:id="rId168" display="https://www.wtok.com/2022/04/15/three-students-shot-with-high-powered-air-rifles-neshoba-central/" xr:uid="{00000000-0004-0000-0100-0000A7000000}"/>
    <hyperlink ref="K299" r:id="rId169" display="https://www.clickondetroit.com/news/local/2022/04/13/11-year-old-shoots-fellow-student-with-bb-gun-during-recess-at-elementary-school-in-southgate/" xr:uid="{00000000-0004-0000-0100-0000A8000000}"/>
    <hyperlink ref="K302" r:id="rId170" display="https://www.mi-reporter.com/news/island-police-investigating-possible-pellet-gun-shooting-on-school-playfield/" xr:uid="{00000000-0004-0000-0100-0000A9000000}"/>
    <hyperlink ref="K303" r:id="rId171" display="https://www.koin.com/news/crime/portland-police-investigate-shooting-near-roosevelt-high-school/" xr:uid="{00000000-0004-0000-0100-0000AA000000}"/>
    <hyperlink ref="K315" r:id="rId172" display="https://www.actionnews5.com/2022/03/26/shots-fired-during-candlelight-vigil-brighton-high-school/" xr:uid="{00000000-0004-0000-0100-0000AB000000}"/>
    <hyperlink ref="K316" r:id="rId173" display="https://www.fox13now.com/news/local-news/utah-parent-says-tiktok-challenge-caused-son-to-be-shot-at-with-toy-gun-then-real-gun" xr:uid="{00000000-0004-0000-0100-0000AC000000}"/>
    <hyperlink ref="K319" r:id="rId174" display="https://www.wdbj7.com/2022/03/22/school-bus-shot-nw-roanoke/" xr:uid="{00000000-0004-0000-0100-0000AD000000}"/>
    <hyperlink ref="K328" r:id="rId175" display="https://www.chicagotribune.com/news/breaking/ct-barrington-high-school-pellet-guns-shot-at-lgbtq-students-20220318-ans632prmngx3fxixmgzaq3vbu-story.html" xr:uid="{00000000-0004-0000-0100-0000AE000000}"/>
    <hyperlink ref="K329" r:id="rId176" display="https://www.alaskasnewssource.com/2022/03/18/charges-forwarded-student-shooting-investigation-redington-jrsr-high-school/" xr:uid="{00000000-0004-0000-0100-0000AF000000}"/>
    <hyperlink ref="K333" r:id="rId177" display="https://www.fox5atlanta.com/news/gunshot-fired-in-clayton-county-middle-school-district-says" xr:uid="{00000000-0004-0000-0100-0000B0000000}"/>
    <hyperlink ref="K336" r:id="rId178" display="https://6abc.com/new-foundations-charter-high-school-bullet-classroom-philadelphia-shooting-torresdale-ave/11651217/" xr:uid="{00000000-0004-0000-0100-0000B1000000}"/>
    <hyperlink ref="K338" r:id="rId179" display="https://www.wsaz.com/2022/03/11/school-lockdown-lifted-following-robbery-shots-fired-lawrence-county-fairgrounds/" xr:uid="{00000000-0004-0000-0100-0000B2000000}"/>
    <hyperlink ref="K339" r:id="rId180" display="https://www.cbs58.com/news/weapon-fired-inside-jerstad-agerholm-elementary-school-in-racine" xr:uid="{00000000-0004-0000-0100-0000B3000000}"/>
    <hyperlink ref="K341" r:id="rId181" display="https://kdvr.com/news/local/student-brings-pellet-type-gun-to-rock-canyon-hs/" xr:uid="{00000000-0004-0000-0100-0000B4000000}"/>
    <hyperlink ref="K342" r:id="rId182" display="https://www.actionnews5.com/2022/03/11/memphis-mother-accused-pointing-gun-5-children-outside-school/" xr:uid="{00000000-0004-0000-0100-0000B5000000}"/>
    <hyperlink ref="K345" r:id="rId183" display="https://www.krqe.com/sports/high-school-sports/del-norte-school-bus-shot-with-paintballs-after-espanola-game/" xr:uid="{00000000-0004-0000-0100-0000B6000000}"/>
    <hyperlink ref="K355" r:id="rId184" display="https://www.nbcnews.com/news/us-news/family-man-shot-middle-school-pickup-sues-colorado-deputies-wrongful-d-rcna71678" xr:uid="{00000000-0004-0000-0100-0000B7000000}"/>
    <hyperlink ref="K363" r:id="rId185" display="https://www.wusa9.com/article/news/local/dc/police-man-injured-shooting-parking-lot-dc-charter-school/65-f3074dfc-06a1-49b2-9051-45f4b25befdb" xr:uid="{00000000-0004-0000-0100-0000B8000000}"/>
    <hyperlink ref="K364" r:id="rId186" display="https://www.wgrz.com/article/news/crime/teen-sentenced-for-shooting-security-officer-outside-mckinley-high-school-during-fight-criminal-investigation/71-017fb489-7f4b-4b9a-be2f-78652d105c98" xr:uid="{00000000-0004-0000-0100-0000B9000000}"/>
    <hyperlink ref="K368" r:id="rId187" display="https://www.fox5atlanta.com/news/southwest-dekalb-high-school-student-accidentally-shot" xr:uid="{00000000-0004-0000-0100-0000BA000000}"/>
    <hyperlink ref="K371" r:id="rId188" display="https://www.wnky.com/sheriffs-office-investigating-several-shots-fired-incidences-including-one-at-a-school-no-injuries/" xr:uid="{00000000-0004-0000-0100-0000BB000000}"/>
    <hyperlink ref="K380" r:id="rId189" display="https://www.krem.com/article/news/crime/idaho-man-prison-threatening-shoot-school-police/293-a8d2c7b7-c4b5-4162-a54b-4b50fb03e493" xr:uid="{00000000-0004-0000-0100-0000BC000000}"/>
    <hyperlink ref="K384" r:id="rId190" display="https://www.wusa9.com/article/news/crime/shooting-outside-anacostia-high-school-caught-on-camera/65-2ad8c323-8d37-4f4d-9ee6-dc8adcd8bc46" xr:uid="{00000000-0004-0000-0100-0000BD000000}"/>
    <hyperlink ref="K388" r:id="rId191" display="https://www.khou.com/article/news/crime/deadly-shooting-pyburn-elementary-peppertree-lane-houston/285-c7d1292b-a102-4d22-953f-69636db73539" xr:uid="{00000000-0004-0000-0100-0000BE000000}"/>
    <hyperlink ref="K389" r:id="rId192" display="https://www.fox5dc.com/news/man-found-with-gun-at-gaithersburg-high-school-is-second-incident-in-montgomery-county-this-month" xr:uid="{00000000-0004-0000-0100-0000BF000000}"/>
    <hyperlink ref="K394" r:id="rId193" display="https://www.10tv.com/article/news/local/columbus-school-bus-hit-gunfire-i-670/530-4688dd7c-6ed3-4e46-9ac9-284f273997c6" xr:uid="{00000000-0004-0000-0100-0000C0000000}"/>
    <hyperlink ref="K398" r:id="rId194" display="https://bronx.news12.com/nypd-shots-fired-outside-of-p-s-26-in-brooklyn-no-injuries-reported" xr:uid="{00000000-0004-0000-0100-0000C1000000}"/>
    <hyperlink ref="K407" r:id="rId195" display="https://www.wbtv.com/2021/12/09/shots-hit-cars-high-school-parking-lot-rowan-county-prompting-lockdown/" xr:uid="{00000000-0004-0000-0100-0000C2000000}"/>
    <hyperlink ref="K409" r:id="rId196" display="https://www.wave3.com/2021/12/08/shooting-near-st-matthews-elementary-school-under-investigation/" xr:uid="{00000000-0004-0000-0100-0000C3000000}"/>
    <hyperlink ref="K415" r:id="rId197" display="https://www.kait8.com/2021/12/06/man-arrested-following-school-parking-lot-shooting/" xr:uid="{00000000-0004-0000-0100-0000C4000000}"/>
    <hyperlink ref="K416" r:id="rId198" display="https://www.khou.com/article/news/crime/armed-robbery-sam-rayburn-high-school/285-06becca9-eb0b-46ce-85e6-b710d108e7dc" xr:uid="{00000000-0004-0000-0100-0000C5000000}"/>
    <hyperlink ref="K419" r:id="rId199" display="https://losangeles.cbslocal.com/video/6166005-school-bus-hit-by-bb-gun/" xr:uid="{00000000-0004-0000-0100-0000C6000000}"/>
    <hyperlink ref="K421" r:id="rId200" display="https://www.wifr.com/2021/11/29/shots-fired-behind-west-middle-school/" xr:uid="{00000000-0004-0000-0100-0000C7000000}"/>
    <hyperlink ref="K424" r:id="rId201" display="https://www.chicagotribune.com/suburbs/daily-southtown/ct-sta-thornton-high-school-shots-fired-st-1125-20211124-23o46c2tavacvn4g6agtukzej4-story.html" xr:uid="{00000000-0004-0000-0100-0000C8000000}"/>
    <hyperlink ref="K425" r:id="rId202" display="https://fox8.com/news/cleveland-school-bus-driver-robbed-at-gunpoint/" xr:uid="{00000000-0004-0000-0100-0000C9000000}"/>
    <hyperlink ref="K428" r:id="rId203" display="https://nypost.com/2021/11/18/cops-arrest-gunman-who-fired-outside-nyc-school-police-say/" xr:uid="{00000000-0004-0000-0100-0000CA000000}"/>
    <hyperlink ref="K429" r:id="rId204" display="https://www.firstcoastnews.com/article/news/crime/jso-2-critically-wounded-after-moncrief-area-shooting-school-bus-hit-by-gunfire-jacksonville/77-3869f63b-d473-4a45-9724-e3fb6b7ba011" xr:uid="{00000000-0004-0000-0100-0000CB000000}"/>
    <hyperlink ref="K438" r:id="rId205" display="https://www.wltx.com/article/news/crime/calhoun-county-gunfire-teen-arrested/101-f7c8bca9-d90a-4583-a83e-0ceb27a6bd67" xr:uid="{00000000-0004-0000-0100-0000CC000000}"/>
    <hyperlink ref="K439" r:id="rId206" display="https://blockclubchicago.org/2021/10/26/shots-fired-during-fight-outside-west-town-school/" xr:uid="{00000000-0004-0000-0100-0000CD000000}"/>
    <hyperlink ref="K450" r:id="rId207" display="https://wgntv.com/news/chicagocrime/separate-shooting-incidents-outside-cps-schools-has-parents-on-edge/" xr:uid="{00000000-0004-0000-0100-0000CE000000}"/>
    <hyperlink ref="K466" r:id="rId208" display="https://www.santafenewmexican.com/news/local_news/suspect-in-shooting-spree-near-santa-fe-indian-school-charged-with-murder/article_29ff33f0-5e89-11ec-b003-9f6af4c814ff.html" xr:uid="{00000000-0004-0000-0100-0000CF000000}"/>
    <hyperlink ref="K467" r:id="rId209" display="https://chicago.cbslocal.com/video/6072449-video-of-shooting-outside-lakeview-high-school/" xr:uid="{00000000-0004-0000-0100-0000D0000000}"/>
    <hyperlink ref="K475" r:id="rId210" display="https://www.cleveland19.com/2021/09/30/shot-fired-after-middle-school-football-game-east-cleveland/" xr:uid="{00000000-0004-0000-0100-0000D1000000}"/>
    <hyperlink ref="K477" r:id="rId211" display="https://www.lakemchenryscanner.com/2021/09/24/police-arrest-juvenile-who-brought-bb-gun-to-crystal-lake-elementary-school-shot-other-kids/" xr:uid="{00000000-0004-0000-0100-0000D2000000}"/>
    <hyperlink ref="K478" r:id="rId212" display="https://www.baltimoresun.com/maryland/baltimore-city/bs-md-ci-wildwood-parkway-shooting-20210925-foif3yhuzjahniqo7u35vophv4-story.html" xr:uid="{00000000-0004-0000-0100-0000D3000000}"/>
    <hyperlink ref="K482" r:id="rId213" display="https://www.postregister.com/star/news/jefferson-joint-school-dist-moving-forward-after-another-gun-incident/article_e7b6f146-3426-5c60-a8c7-4668519062a5.html" xr:uid="{00000000-0004-0000-0100-0000D4000000}"/>
    <hyperlink ref="K484" r:id="rId214" display="https://newyork.cbslocal.com/2021/09/22/teen-shot-near-brooklyn-schools/" xr:uid="{00000000-0004-0000-0100-0000D5000000}"/>
    <hyperlink ref="K485" r:id="rId215" display="https://www.fox29.com/news/15-year-old-boy-shot-outside-school-in-north-philadelphia-police-say" xr:uid="{00000000-0004-0000-0100-0000D6000000}"/>
    <hyperlink ref="K486" r:id="rId216" display="https://www.fox19.com/2021/09/22/middletown-school-bus-hit-with-bb-gun-fire/" xr:uid="{00000000-0004-0000-0100-0000D7000000}"/>
    <hyperlink ref="K488" r:id="rId217" display="https://decaturish.com/2021/09/argument-outside-toomer-elementary-leads-to-shots-fired-temporary-lockdown/" xr:uid="{00000000-0004-0000-0100-0000D8000000}"/>
    <hyperlink ref="K490" r:id="rId218" display="https://www.news5cleveland.com/news/local-news/cleveland-metro/teens-shot-near-k-6-school-in-clevelands-broadway-slavic-village-neighborhood" xr:uid="{00000000-0004-0000-0100-0000D9000000}"/>
    <hyperlink ref="K498" r:id="rId219" display="https://www.nbc15.com/2021/09/16/reports-shots-fired-near-orchard-ridge-elementary-school/" xr:uid="{00000000-0004-0000-0100-0000DA000000}"/>
    <hyperlink ref="K500" r:id="rId220" display="https://www.thesussireport.com/reports/car-windows-shot-out-at-high-school-football-game" xr:uid="{00000000-0004-0000-0100-0000DB000000}"/>
    <hyperlink ref="K505" r:id="rId221" display="https://www.ksdk.com/article/news/local/hazelwood-parents-bring-gun-school/63-858a7bac-0311-4c92-8471-c2770c2c7716" xr:uid="{00000000-0004-0000-0100-0000DC000000}"/>
    <hyperlink ref="K507" r:id="rId222" display="https://sanfrancisco.cbslocal.com/2021/09/03/palo-alto-man-arrested-shooting-child-school-air-rifle/" xr:uid="{00000000-0004-0000-0100-0000DD000000}"/>
    <hyperlink ref="K509" r:id="rId223" display="https://www.detroitnews.com/story/news/local/oakland-county/2021/09/09/2-teens-arrested-school-parking-lot-shooting-royal-oak-twp/5781664001/" xr:uid="{00000000-0004-0000-0100-0000DE000000}"/>
    <hyperlink ref="K511" r:id="rId224" display="https://bringmethenews.com/minnesota-news/brooklyn-park-school-hit-by-bullets-cancels-classes-thursday" xr:uid="{00000000-0004-0000-0100-0000DF000000}"/>
    <hyperlink ref="K512" r:id="rId225" display="https://www.wavy.com/news/crime/shooting-shatters-windows-at-elizabeth-city-elementary-school/" xr:uid="{00000000-0004-0000-0100-0000E0000000}"/>
    <hyperlink ref="K516" r:id="rId226" display="https://whdh.com/news/police-2-teens-facing-charges-after-shooting-bar-school-bus-more-than-40-cars-with-bb-guns-on-north-shore/" xr:uid="{00000000-0004-0000-0100-0000E1000000}"/>
    <hyperlink ref="K522" r:id="rId227" display="https://www.fox32chicago.com/news/gary-students-to-return-to-class-after-classmate-shot" xr:uid="{00000000-0004-0000-0100-0000E2000000}"/>
    <hyperlink ref="K524" r:id="rId228" display="https://www.ajc.com/news/breaking-3-henry-schools-on-lockdown-due-to-suspicious-person/J6LSPTV7XVALNDGZOJVBSZJK2E/" xr:uid="{00000000-0004-0000-0100-0000E3000000}"/>
    <hyperlink ref="K525" r:id="rId229" display="https://arktimes.com/arkansas-blog/2021/09/02/a-gun-brandished-at-little-rock-central-high-this-morning-but-no-shots-fired" xr:uid="{00000000-0004-0000-0100-0000E4000000}"/>
    <hyperlink ref="K528" r:id="rId230" display="https://www.wmar2news.com/news/local-news/police-investigating-shots-fired-in-owings-mills-monday-afternoon" xr:uid="{00000000-0004-0000-0100-0000E5000000}"/>
    <hyperlink ref="K529" r:id="rId231" display="https://cbs12.com/news/local/pbc-mom-complains-about-safety-on-buses-after-her-daughter-was-shot-with-a-pellet-gun" xr:uid="{00000000-0004-0000-0100-0000E6000000}"/>
    <hyperlink ref="K532" r:id="rId232" display="https://keyt.com/news/crime/2021/08/28/police-investigating-shots-fired-at-santa-maria-high-school/" xr:uid="{00000000-0004-0000-0100-0000E7000000}"/>
    <hyperlink ref="K533" r:id="rId233" display="https://www.wcax.com/2021/08/27/burlington-schools-canceled-due-police-incident/" xr:uid="{00000000-0004-0000-0100-0000E8000000}"/>
    <hyperlink ref="K538" r:id="rId234" display="https://www.seattletimes.com/seattle-news/crime/14-year-old-in-critical-condition-teen-in-custody-after-gunfire-erupts-outside-seattle-middle-school/" xr:uid="{00000000-0004-0000-0100-0000E9000000}"/>
    <hyperlink ref="K539" r:id="rId235" display="https://bronx.news12.com/police-suspect-arrested-for-firing-shots-during-dispute-on-grounds-of-hauppauge-middle-school" xr:uid="{00000000-0004-0000-0100-0000EA000000}"/>
    <hyperlink ref="K540" r:id="rId236" display="https://www.wtol.com/article/news/local/fight-shots-fired-during-youth-football-game-at-northpointe-academy-elementary/512-86c1c571-4188-43c4-898e-3930ac7721aa" xr:uid="{00000000-0004-0000-0100-0000EB000000}"/>
    <hyperlink ref="K546" r:id="rId237" display="https://www.insidenova.com/news/crime_police/police-investigate-shots-fired-in-dale-city-school-parking-lot/article_ffda50d0-0061-11ec-945a-9343d5248cec.html" xr:uid="{00000000-0004-0000-0100-0000EC000000}"/>
    <hyperlink ref="K547" r:id="rId238" display="https://wpde.com/news/local/school-bus-windows-shot-out-with-bb-pellet-gun-in-hartsville" xr:uid="{00000000-0004-0000-0100-0000ED000000}"/>
    <hyperlink ref="K548" r:id="rId239" display="https://chicago.cbslocal.com/2021/08/14/15-year-old-boy-shot-near-elementary-school-calumet-heights/" xr:uid="{00000000-0004-0000-0100-0000EE000000}"/>
    <hyperlink ref="K552" r:id="rId240" display="https://www.pe.com/2021/08/12/early-morning-gunshot-locks-down-san-jacintos-north-mountain-middle-school/" xr:uid="{00000000-0004-0000-0100-0000EF000000}"/>
    <hyperlink ref="K556" r:id="rId241" display="https://www.oregonlive.com/portland/2021/08/man-found-dead-after-shooting-in-portlands-powellhurst-gilbert-neighborhood-police-say.html" xr:uid="{00000000-0004-0000-0100-0000F0000000}"/>
    <hyperlink ref="K563" r:id="rId242" display="https://www.kark.com/news/local-news/little-rock-police-investigating-shooting-near-elementary-school-no-injuries-reported/" xr:uid="{00000000-0004-0000-0100-0000F1000000}"/>
    <hyperlink ref="K567" r:id="rId243" display="https://www.yourcentralvalley.com/news/local-news/driver-crashes-into-central-fresno-school-fence-after-being-shot-police-say/" xr:uid="{00000000-0004-0000-0100-0000F2000000}"/>
    <hyperlink ref="K573" r:id="rId244" display="https://6abc.com/young-man-shot-and-killed-near-philadelphia-school/10787708/" xr:uid="{00000000-0004-0000-0100-0000F3000000}"/>
    <hyperlink ref="K574" r:id="rId245" display="https://www.wgal.com/article/man-found-shot-in-columbia/36709512" xr:uid="{00000000-0004-0000-0100-0000F4000000}"/>
    <hyperlink ref="K581" r:id="rId246" display="https://www.nbcnews.com/news/us-news/16-year-old-critical-condition-after-getting-shot-outside-texas-n1269945" xr:uid="{00000000-0004-0000-0100-0000F5000000}"/>
    <hyperlink ref="K591" r:id="rId247" display="https://abcnews.go.com/US/wireStory/soldier-hijacked-school-bus-found-guilty-insanity-97829956" xr:uid="{00000000-0004-0000-0100-0000F6000000}"/>
    <hyperlink ref="K595" r:id="rId248" display="https://chicago.cbslocal.com/2021/05/03/near-west-side-shooting-2/" xr:uid="{00000000-0004-0000-0100-0000F7000000}"/>
    <hyperlink ref="K618" r:id="rId249" display="https://www.chicagotribune.com/suburbs/post-tribune/ct-ptb-courts-riley-murder-st-0407-20210406-iuwci7kygfet5iwmiwcxasuwfa-story.html" xr:uid="{00000000-0004-0000-0100-0000F8000000}"/>
    <hyperlink ref="K627" r:id="rId250" display="https://abc30.com/visalia-shooting-houston-elementary-school-police-man-shot/10361223/" xr:uid="{00000000-0004-0000-0100-0000F9000000}"/>
    <hyperlink ref="K629" r:id="rId251" display="https://www.wate.com/news/local-news/dispatch-knoxville-police-respond-to-reported-shooting-in-north-knoxville/" xr:uid="{00000000-0004-0000-0100-0000FA000000}"/>
    <hyperlink ref="K640" r:id="rId252" display="https://www.newson6.com/story/600ba2d50247a70bc6e22b8a/parent-accidentally-shoots-themself-while-picking-up-student-at-grove-lower-elementary" xr:uid="{00000000-0004-0000-0100-0000FB000000}"/>
    <hyperlink ref="K641" r:id="rId253" display="https://www.nbc4i.com/news/local-news/cpd-school-fight-leads-to-shooting/" xr:uid="{00000000-0004-0000-0100-0000FC000000}"/>
    <hyperlink ref="K644" r:id="rId254" location="photo-20839860" display="https://www.timesunion.com/news/article/Town-of-Perth-man-charged-for-alleged-animal-16084406.php - photo-20839860" xr:uid="{00000000-0004-0000-0100-0000FD000000}"/>
    <hyperlink ref="K646" r:id="rId255" display="https://wsvn.com/news/special-reports/bso-investigating-shooting-incident-outside-holiday-party-hosted-by-pompano-beach-school-for-at-risk-youth/" xr:uid="{00000000-0004-0000-0100-0000FE000000}"/>
    <hyperlink ref="K653" r:id="rId256" display="https://www.krtv.com/news/crime-and-courts/ledford-charged-with-shooting-out-windows-at-great-falls-high-school" xr:uid="{00000000-0004-0000-0100-0000FF000000}"/>
    <hyperlink ref="K657" r:id="rId257" display="https://www.eastbaytimes.com/2020/11/13/union-city-man-shot-near-cesar-chavez-middle-school/" xr:uid="{00000000-0004-0000-0100-000000010000}"/>
    <hyperlink ref="K659" r:id="rId258" display="https://www.sgvtribune.com/2020/11/09/body-of-man-who-had-been-fatally-shot-is-found-at-school-near-la-puente/" xr:uid="{00000000-0004-0000-0100-000001010000}"/>
    <hyperlink ref="K660" r:id="rId259" display="https://www.mywabashvalley.com/top-news/thpd-shots-fired-at-terre-haute-high-school-no-injuries/" xr:uid="{00000000-0004-0000-0100-000002010000}"/>
    <hyperlink ref="K664" r:id="rId260" display="https://spectrumlocalnews.com/nys/rochester/public-safety/2020/10/29/rpd--bullet-hits-rochester-prep-charter-school-in-apparent-drive-by-shooting-" xr:uid="{00000000-0004-0000-0100-000003010000}"/>
    <hyperlink ref="K666" r:id="rId261" display="https://www.stamfordadvocate.com/policereports/article/Police-Man-shot-early-Tuesday-in-Stamford-15678594.php" xr:uid="{00000000-0004-0000-0100-000004010000}"/>
    <hyperlink ref="K669" r:id="rId262" display="http://www.bradfordera.com/news/local/no-injuries-when-school-bus-shot-by-bb-gun-wednesday/article_5e809a44-23b0-5f69-a54c-b2ae8799785b.html" xr:uid="{00000000-0004-0000-0100-000005010000}"/>
    <hyperlink ref="K672" r:id="rId263" display="https://www.wfaa.com/article/news/crime/no-one-injured-verbal-altercation-escalates-shooting-north-dallas-high-school-parking-lot-district-officials-say/287-2a04b92a-88da-45cc-8ed3-b8a7ab58ee78" xr:uid="{00000000-0004-0000-0100-000006010000}"/>
    <hyperlink ref="K673" r:id="rId264" display="https://www.fox9.com/news/target-shooter-fires-accidental-shots-near-shakopee-sports-stadium" xr:uid="{00000000-0004-0000-0100-000007010000}"/>
    <hyperlink ref="K677" r:id="rId265" display="https://www.klkntv.com/shots-fired-at-a-lincoln-elementary-school-officers-say-its-alarming/" xr:uid="{00000000-0004-0000-0100-000008010000}"/>
    <hyperlink ref="K678" r:id="rId266" display="https://www.mainlinemedianews.com/mainlinesuburbanlife/radnor-police-reports-shots-from-pellet-gun-hit-school-bus/article_a0646684-0c76-11eb-bae3-0702efefe48f.html" xr:uid="{00000000-0004-0000-0100-000009010000}"/>
    <hyperlink ref="K682" r:id="rId267" display="https://www.kwqc.com/2020/09/27/police-man-found-in-school-stairwell-and-arrested-after-shooting-friday-night/" xr:uid="{00000000-0004-0000-0100-00000A010000}"/>
    <hyperlink ref="K683" r:id="rId268" display="https://newschannel20.com/news/local/man-elementary-school-window-shot-by-bb-gun" xr:uid="{00000000-0004-0000-0100-00000B010000}"/>
    <hyperlink ref="K686" r:id="rId269" display="https://www.news4jax.com/news/local/2020/09/23/police-1-detained-after-shot-fired-at-duval-county-school-bus/" xr:uid="{00000000-0004-0000-0100-00000C010000}"/>
    <hyperlink ref="K690" r:id="rId270" display="https://www.wkyt.com/2020/09/19/one-shot-near-lexington-school/" xr:uid="{00000000-0004-0000-0100-00000D010000}"/>
    <hyperlink ref="K694" r:id="rId271" display="https://www.heraldonline.com/news/local/crime/article245774640.html" xr:uid="{00000000-0004-0000-0100-00000E010000}"/>
    <hyperlink ref="K695" r:id="rId272" display="https://www.kiro7.com/news/local/man-injured-gig-harbor-shooting/AMXZMA2TLZC53LAN53PMT5GNAE/" xr:uid="{00000000-0004-0000-0100-00000F010000}"/>
    <hyperlink ref="K697" r:id="rId273" display="https://www.centralillinoisproud.com/news/local-news/peoria-public-schools-emphasizing-student-safety-after-school-bus-was-struck-by-stray-bullet-thursday/" xr:uid="{00000000-0004-0000-0100-000010010000}"/>
    <hyperlink ref="K698" r:id="rId274" display="https://www.10tv.com/article/news/local/no-one-hurt-when-columbus-city-schools-bus-shot-in-northeast-columbus/530-16a8f216-efe8-4e7a-922d-4a9ba1c21493" xr:uid="{00000000-0004-0000-0100-000011010000}"/>
    <hyperlink ref="K704" r:id="rId275" display="https://abc17news.com/news/crime/shooting/2020/08/25/one-person-shot-near-west-middle-school-in-columbia/" xr:uid="{00000000-0004-0000-0100-000012010000}"/>
    <hyperlink ref="K710" r:id="rId276" display="https://www.detroitnews.com/story/news/local/macomb-county/2020/07/14/sterling-heights-police-fight-shot-fired-school-grounds/5435977002/" xr:uid="{00000000-0004-0000-0100-000013010000}"/>
    <hyperlink ref="K712" r:id="rId277" display="https://www.dailyherald.com/news/20200714/prospect-heights-man-charged-after-shooting-near-frost-elementary-school" xr:uid="{00000000-0004-0000-0100-000014010000}"/>
    <hyperlink ref="K719" r:id="rId278" display="https://www.cleveland.com/metro/2020/05/man-shot-to-death-in-school-parking-lot-in-clevelands-tremont-neighborhood.html" xr:uid="{00000000-0004-0000-0100-000015010000}"/>
    <hyperlink ref="K720" r:id="rId279" display="https://www.fox10tv.com/news/mpd-makes-arrest-in-overnight-robbery-and-shooting-in-school-parking-lot/article_711aa7e0-9fa6-11ea-ac6c-ef149a798701.html" xr:uid="{00000000-0004-0000-0100-000016010000}"/>
    <hyperlink ref="K721" r:id="rId280" display="https://fox8.com/news/man-killed-in-shooting-near-miles-elementary-school-in-cleveland/" xr:uid="{00000000-0004-0000-0100-000017010000}"/>
    <hyperlink ref="K723" r:id="rId281" display="https://abc11.com/nc-man-shoots-at-couple-after-mistaking-them-for-russian-mafia-/6196277/" xr:uid="{00000000-0004-0000-0100-000018010000}"/>
    <hyperlink ref="K725" r:id="rId282" display="https://www.newsobserver.com/news/local/crime/article256631386.html" xr:uid="{00000000-0004-0000-0100-000019010000}"/>
    <hyperlink ref="K731" r:id="rId283" display="https://www.wsmv.com/news/sro-accidentally-fires-gun-inside-elementary-school/article_37ac76fe-654b-11ea-88b9-3fd9db99f2ae.html" xr:uid="{00000000-0004-0000-0100-00001A010000}"/>
    <hyperlink ref="K735" r:id="rId284" display="https://www.abqjournal.com/1424911/apd-drive-by-sent-bullets-flying-into-abq-school.html" xr:uid="{00000000-0004-0000-0100-00001B010000}"/>
    <hyperlink ref="K741" r:id="rId285" display="https://abc13.com/shooting-at-hicks-elementary-leaves-man-injured/5897932/" xr:uid="{00000000-0004-0000-0100-00001C010000}"/>
    <hyperlink ref="K746" r:id="rId286" display="https://kimatv.com/news/local/police-yakima-teen-arrested-for-threatening-woman-girl-at-and-elementary-school" xr:uid="{00000000-0004-0000-0100-00001D010000}"/>
    <hyperlink ref="K748" r:id="rId287" display="https://www.klkntv.com/story/41605181/car-breakins-occur-at-a-lincoln-middle-school" xr:uid="{00000000-0004-0000-0100-00001E010000}"/>
    <hyperlink ref="K749" r:id="rId288" display="https://chicago.cbslocal.com/2020/01/22/lindblom-high-school-shooting-robbery-swim-team-members/" xr:uid="{00000000-0004-0000-0100-00001F010000}"/>
    <hyperlink ref="K756" r:id="rId289" display="https://www.wapt.com/article/australia-turns-from-defense-to-offense-in-wildfire-battle/30485441" xr:uid="{00000000-0004-0000-0100-000020010000}"/>
    <hyperlink ref="K757" r:id="rId290" display="https://www.wptv.com/news/region-the-glades/belle-glade/lockdown-lifted-at-glades-central-high-school-following-shooting" xr:uid="{00000000-0004-0000-0100-000021010000}"/>
    <hyperlink ref="K764" r:id="rId291" display="https://www.14news.com/2019/12/11/dispatch-police-called-evans-elem-after-gunshots-reported/" xr:uid="{00000000-0004-0000-0100-000022010000}"/>
    <hyperlink ref="K767" r:id="rId292" display="https://www.kshb.com/news/local-news/no-injuries-reported-after-school-bus-struck-by-gunfire-near-j-c-harmon-high-school" xr:uid="{00000000-0004-0000-0100-000023010000}"/>
    <hyperlink ref="K773" r:id="rId293" display="https://www.wvtm13.com/article/mountain-brook-homicide-woman-found-dead-parking-lot-megan-montgomery/30065595" xr:uid="{00000000-0004-0000-0100-000024010000}"/>
    <hyperlink ref="K775" r:id="rId294" display="https://abc7chicago.com/1-shot-outside-school-in-austin/5717900/" xr:uid="{00000000-0004-0000-0100-000025010000}"/>
    <hyperlink ref="K777" r:id="rId295" display="https://abc7chicago.com/rich-central-student-charged-after-pellet-hits-school-bus-injuring-another-student/5713973/" xr:uid="{00000000-0004-0000-0100-000026010000}"/>
    <hyperlink ref="K783" r:id="rId296" display="https://www.kcra.com/article/shooting-scare-prompts-panic-at-stockton-football-game/29745486" xr:uid="{00000000-0004-0000-0100-000027010000}"/>
    <hyperlink ref="K786" r:id="rId297" display="https://dailyvoice.com/new-jersey/ocean/police-fire/asbury-park-teen-idd-charged-with-shooting-near-brick-high-school/794032/" xr:uid="{00000000-0004-0000-0100-000028010000}"/>
    <hyperlink ref="K788" r:id="rId298" display="https://www.13abc.com/content/news/Shots-fired-at-Woodward-High-School-football-game-against-Rogers-563419051.html" xr:uid="{00000000-0004-0000-0100-000029010000}"/>
    <hyperlink ref="K792" r:id="rId299" display="https://www.katc.com/news/acadia-parish/police-confirm-arrest-of-second-suspect-in-shooting-near-rayne-hs-stadium" xr:uid="{00000000-0004-0000-0100-00002A010000}"/>
    <hyperlink ref="K797" r:id="rId300" display="https://www.wbtv.com/2019/09/28/arrested-after-multiple-fights-high-school-football-game-charlotte/" xr:uid="{00000000-0004-0000-0100-00002B010000}"/>
    <hyperlink ref="K802" r:id="rId301" display="https://dfw.cbslocal.com/2019/09/14/dispute-pee-wee-football-game-shooting-2-injured-fort-worth/" xr:uid="{00000000-0004-0000-0100-00002C010000}"/>
    <hyperlink ref="K808" r:id="rId302" display="https://triblive.com/local/westmoreland/jeannette-man-sentenced-for-2019-fatal-shooting-outside-of-high-school-football-game/" xr:uid="{00000000-0004-0000-0100-00002D010000}"/>
    <hyperlink ref="K809" r:id="rId303" display="https://www.al.com/news/birmingham/2019/09/shots-fired-near-alabama-high-school-football-game-temporarily-stop-play-no-injures.html" xr:uid="{00000000-0004-0000-0100-00002E010000}"/>
    <hyperlink ref="K810" r:id="rId304" display="https://www.wmar2news.com/news/crime-checker/baltimore-city-crime/triple-shooting-near-elementary-school-leaves-one-man-dead-on-monday" xr:uid="{00000000-0004-0000-0100-00002F010000}"/>
    <hyperlink ref="K811" r:id="rId305" display="https://www.13abc.com/content/news/Juvenile-shot-on-Central-Catholic-grounds-after-altercation-following-football-game-558889751.html" xr:uid="{00000000-0004-0000-0100-000030010000}"/>
    <hyperlink ref="K812" r:id="rId306" display="https://www.wnct.com/news/2-arrested-in-connection-to-a-shooting-at-a-kinston-football-game/" xr:uid="{00000000-0004-0000-0100-000031010000}"/>
    <hyperlink ref="K815" r:id="rId307" display="https://patch.com/new-york/merrick/shooting-long-island-school-causes-lockdown" xr:uid="{00000000-0004-0000-0100-000032010000}"/>
    <hyperlink ref="K818" r:id="rId308" display="https://www.stltoday.com/news/kristina-curry-found-dead-with-gunshot-wounds-at-roosevelt-high/article_965e67bc-9a38-577b-8346-2cb10be3843a.html" xr:uid="{00000000-0004-0000-0100-000033010000}"/>
    <hyperlink ref="K820" r:id="rId309" display="https://cumberlink.com/news/local/crime-and-courts/school-saint-patrick-parent-accidentally-fires-gun-injures-self-in/article_d58b284e-fd55-5d1f-bf83-91de12e5302d.html" xr:uid="{00000000-0004-0000-0100-000034010000}"/>
    <hyperlink ref="K822" r:id="rId310" display="https://www.wsmv.com/news/three-in-custody-after-shots-fired-at-east-high-school/article_9f788d58-bfcf-11e9-bdda-c788cc06a4b1.html" xr:uid="{00000000-0004-0000-0100-000035010000}"/>
    <hyperlink ref="K825" r:id="rId311" display="https://fox5sandiego.com/2019/07/19/mid-city-school-locks-down-over-bb-gun-shooting/" xr:uid="{00000000-0004-0000-0100-000036010000}"/>
    <hyperlink ref="K826" r:id="rId312" display="https://whdh.com/news/2-charged-in-fatal-shooting-of-man-found-behind-high-school/" xr:uid="{00000000-0004-0000-0100-000037010000}"/>
    <hyperlink ref="K829" r:id="rId313" display="https://www.denverpost.com/2019/07/04/colorado-springs-shooting-victims/" xr:uid="{00000000-0004-0000-0100-000038010000}"/>
    <hyperlink ref="K831" r:id="rId314" display="https://6abc.com/police-del-man-found-holding-loaded-gun-outside-nj-elementary-school/5346847/" xr:uid="{00000000-0004-0000-0100-000039010000}"/>
    <hyperlink ref="K832" r:id="rId315" display="https://www.mcall.com/news/police/mc-nws-emmaus-shooting-conspiracy-prelim-20200110-2setspazpzapxmcnt7ljuyvfx4-story.html" xr:uid="{00000000-0004-0000-0100-00003A010000}"/>
    <hyperlink ref="K834" r:id="rId316" display="https://www.chicagotribune.com/suburbs/lake-county-news-sun/news/ct-lns-waukegan-shooting-arrests-blotter-st-0612-story.html" xr:uid="{00000000-0004-0000-0100-00003B010000}"/>
    <hyperlink ref="K835" r:id="rId317" display="https://chicago.suntimes.com/crime/2019/6/6/18656020/genevieve-melody-school-court-shooting" xr:uid="{00000000-0004-0000-0100-00003C010000}"/>
    <hyperlink ref="K836" r:id="rId318" display="https://wjla.com/news/local/dc-elementary-school-shot-again" xr:uid="{00000000-0004-0000-0100-00003D010000}"/>
    <hyperlink ref="K838" r:id="rId319" display="https://www.kgw.com/article/news/local/police-id-student-accused-of-bringing-shotgun-to-parkrose-high-school/283-6998e18d-8460-4ab4-87bd-aab49b4082a8" xr:uid="{00000000-0004-0000-0100-00003E010000}"/>
    <hyperlink ref="K843" r:id="rId320" display="https://www.wfla.com/news/pasco-county/deputies-pasco-school-officer-s-gun-discharges-in-cafeteria-no-one-injured/1966758072" xr:uid="{00000000-0004-0000-0100-00003F010000}"/>
    <hyperlink ref="K844" r:id="rId321" display="http://www.fox5atlanta.com/news/police-release-vehicle-description-in-fulton-county-school-bus-shooting" xr:uid="{00000000-0004-0000-0100-000040010000}"/>
    <hyperlink ref="K849" r:id="rId322" display="https://www.kxro.com/montesano-police-arrest-student-after-school-shooting-statements/" xr:uid="{00000000-0004-0000-0100-000041010000}"/>
    <hyperlink ref="K851" r:id="rId323" display="https://www.sentinelcolorado.com/0trending/aurora-high-school-dean-accused-of-bringing-loaded-concealed-weapon-to-campus-making-threats/" xr:uid="{00000000-0004-0000-0100-000042010000}"/>
    <hyperlink ref="K854" r:id="rId324" display="https://www.news4jax.com/news/2019/03/28/12-year-old-hurt-after-metal-projectile-hits-school-bus/" xr:uid="{00000000-0004-0000-0100-000043010000}"/>
    <hyperlink ref="K857" r:id="rId325" display="https://www.orlandosentinel.com/news/breaking-news/os-ne-lake-mary-lockdown-code-red-20190313-story.html" xr:uid="{00000000-0004-0000-0100-000044010000}"/>
    <hyperlink ref="K860" r:id="rId326" display="https://kdvr.com/2019/02/18/man-shot-in-neighbor-dispute-idd-as-former-cu-football-player-assistant-high-school-principal/" xr:uid="{00000000-0004-0000-0100-000045010000}"/>
    <hyperlink ref="K868" r:id="rId327" display="https://mynews4.com/news/local/2019-shooting-of-man-near-reno-high-school-by-reno-police-ruled-justified-by-washoe-da" xr:uid="{00000000-0004-0000-0100-000046010000}"/>
    <hyperlink ref="K873" r:id="rId328" display="https://fox2now.com/2019/01/18/gunfire-exchanged-in-hazelwood-east-parking-lot/" xr:uid="{00000000-0004-0000-0100-000047010000}"/>
    <hyperlink ref="K875" r:id="rId329" display="https://www.wral.com/durham-school-bus-hit-by-stray-bullet/18133535/" xr:uid="{00000000-0004-0000-0100-000048010000}"/>
    <hyperlink ref="K878" r:id="rId330" display="https://www.delawareonline.com/story/news/crime/2018/12/18/shots-fired-ai-dupont-high-school/2358011002/" xr:uid="{00000000-0004-0000-0100-000049010000}"/>
    <hyperlink ref="K879" r:id="rId331" display="https://fox4kc.com/2018/12/14/police-investigating-reports-of-shot-fired-into-air-and-shooting-at-2-metro-high-schools/" xr:uid="{00000000-0004-0000-0100-00004A010000}"/>
    <hyperlink ref="K882" r:id="rId332" display="https://democratherald.com/news/local/sheriff-death-of-teen-in-jefferson-apparently-suicide/article_3eb0d660-a01e-55d9-8d38-076025be56cb.html" xr:uid="{00000000-0004-0000-0100-00004B010000}"/>
    <hyperlink ref="K883" r:id="rId333" display="https://www.nbcphiladelphia.com/news/local/Stray-Bullet-Strawberry-Mansion-High-School-Lockdown-Shooting--501474831.html" xr:uid="{00000000-0004-0000-0100-00004C010000}"/>
    <hyperlink ref="K884" r:id="rId334" display="https://abc6onyourside.com/news/local/police-investigating-double-shooting-at-africentric-high-school" xr:uid="{00000000-0004-0000-0100-00004D010000}"/>
    <hyperlink ref="K887" r:id="rId335" display="https://www.mlive.com/news/muskegon/index.ssf/2018/11/man_suspected_of_shooting_out.html" xr:uid="{00000000-0004-0000-0100-00004E010000}"/>
    <hyperlink ref="K888" r:id="rId336" display="https://wtkr.com/2018/11/20/shot-fired-by-portsmouth-elementary-school-police-investigate/" xr:uid="{00000000-0004-0000-0100-00004F010000}"/>
    <hyperlink ref="K889" r:id="rId337" display="https://baltimore.cbslocal.com/2018/11/12/school-resource-officer-suicide/" xr:uid="{00000000-0004-0000-0100-000050010000}"/>
    <hyperlink ref="K890" r:id="rId338" display="https://www.mdjonline.com/news/gun-fired-in-garrett-middle-school-bathroom-students-charged/article_3efeedb6-e481-11e8-b800-e38d6827d46f.html" xr:uid="{00000000-0004-0000-0100-000051010000}"/>
    <hyperlink ref="K891" r:id="rId339" display="https://ksby.com/news/2018/12/03/suspects-arrested-in-santa-barbara-elementary-school-shooting-linked-to-other-crimes" xr:uid="{00000000-0004-0000-0100-000052010000}"/>
    <hyperlink ref="K892" r:id="rId340" display="https://www.wbtw.com/crime/grand-strand-crime/12-year-old-issued-summons-after-bringing-bb-gun-to-conway-school-shooting-13-year-old-report-says/1579188190" xr:uid="{00000000-0004-0000-0100-000053010000}"/>
    <hyperlink ref="K896" r:id="rId341" display="https://www.wxyz.com/news/detroit-police-confirm-shooting-on-cody-high-school-property" xr:uid="{00000000-0004-0000-0100-000054010000}"/>
    <hyperlink ref="K897" r:id="rId342" display="https://www.wmur.com/amp/article/manchester-after-school-volunteer-shot-by-pellet-gun-at-elementary-school/24089076" xr:uid="{00000000-0004-0000-0100-000055010000}"/>
    <hyperlink ref="K898" r:id="rId343" display="https://fox61.com/2018/10/22/shot-fired-through-window-in-bridgeport-school/" xr:uid="{00000000-0004-0000-0100-000056010000}"/>
    <hyperlink ref="K901" r:id="rId344" display="https://wwmt.com/news/local/battle-creek-academy-locked-down-after-building-shot" xr:uid="{00000000-0004-0000-0100-000057010000}"/>
    <hyperlink ref="K903" r:id="rId345" display="https://www.wavy.com/news/local-news/norfolk/police-respond-to-shooting-after-football-game-at-lake-taylor-high-school/1501979731" xr:uid="{00000000-0004-0000-0100-000058010000}"/>
    <hyperlink ref="K907" r:id="rId346" display="https://www.arkansasonline.com/news/2018/oct/02/shots-fired-near-little-rock-elementary-school-pol/" xr:uid="{00000000-0004-0000-0100-000059010000}"/>
    <hyperlink ref="K908" r:id="rId347" display="https://www.ksfy.com/content/news/High-school-football-game-evacuated-following-gunshot-494669791.html" xr:uid="{00000000-0004-0000-0100-00005A010000}"/>
    <hyperlink ref="K910" r:id="rId348" display="http://www.baltimoresun.com/news/maryland/crime/bs-md-ci-guns-fired-elementary-school-20180926-story.html" xr:uid="{00000000-0004-0000-0100-00005B010000}"/>
    <hyperlink ref="K911" r:id="rId349" display="https://www.wsav.com/news/local-news/update-student-found-shot-at-appling-co-hs-declared-dead-coroner-says/" xr:uid="{00000000-0004-0000-0100-00005C010000}"/>
    <hyperlink ref="K914" r:id="rId350" display="https://www.dailybulletin.com/2018/09/20/body-found-at-pomona-high-school/" xr:uid="{00000000-0004-0000-0100-00005D010000}"/>
    <hyperlink ref="K918" r:id="rId351" display="https://q13fox.com/2018/09/14/reports-of-shots-fired-outside-mariner-high-school-football-stadium-evacuated/" xr:uid="{00000000-0004-0000-0100-00005E010000}"/>
    <hyperlink ref="K922" r:id="rId352" display="https://www.nbcbayarea.com/news/local/Suspect-Arrested-After-Officer-Involved-Shooting-Chase-at-Gilroy-High-School--492815721.html" xr:uid="{00000000-0004-0000-0100-00005F010000}"/>
    <hyperlink ref="K923" r:id="rId353" display="https://www.desmoinesregister.com/story/news/2018/09/07/des-moines-hoover-north-homecoming-game-shooting-football-des-moines-police-mcgrane-stadium/1234471002/" xr:uid="{00000000-0004-0000-0100-000060010000}"/>
    <hyperlink ref="K925" r:id="rId354" display="http://www.nydailynews.com/new-york/nyc-crime/ny-metro-man-shot-outside-bronx-school-20180904-story.html" xr:uid="{00000000-0004-0000-0100-000061010000}"/>
    <hyperlink ref="K926" r:id="rId355" display="https://abc7news.com/3-students-in-custody-1-hurt-after-police-find-gun-on-sf-campus/4100641/" xr:uid="{00000000-0004-0000-0100-000062010000}"/>
    <hyperlink ref="K928" r:id="rId356" display="https://www.woodtv.com/news/grand-rapids/shooting-outside-ottawa-hills-hs-leads-to-lockdowns/1406788527" xr:uid="{00000000-0004-0000-0100-000063010000}"/>
    <hyperlink ref="K930" r:id="rId357" display="https://www.nbcphiladelphia.com/news/local/Towne-Point-Elementary-School-Dover-Deadly-Shooting-491979251.html" xr:uid="{00000000-0004-0000-0100-000064010000}"/>
    <hyperlink ref="K932" r:id="rId358" display="https://www.ksdk.com/article/news/local/metro-east-football-team-forced-to-cancel-game-after-shooting-in-chicago/63-587675552" xr:uid="{00000000-0004-0000-0100-000065010000}"/>
    <hyperlink ref="K933" r:id="rId359" display="https://www.news4jax.com/news/2018/08/25/police-gang-shooting-after-raines-high-school-football-game-kills-1-injures-2/" xr:uid="{00000000-0004-0000-0100-000066010000}"/>
    <hyperlink ref="K934" r:id="rId360" display="https://www.montgomeryadvertiser.com/story/sports/high-school/football/2018/08/23/shooting-outside-asu-stadium-brings-halt-g-w-carver-jeff-davis-game/1081209002/" xr:uid="{00000000-0004-0000-0100-000067010000}"/>
    <hyperlink ref="K936" r:id="rId361" display="https://www.wsmv.com/news/police-identify-man-accused-of-shooting-youth-football-coach-on/article_f8653b71-1014-5896-bc31-37c289db30f9.html" xr:uid="{00000000-0004-0000-0100-000068010000}"/>
    <hyperlink ref="K937" r:id="rId362" display="https://www.thedailyjournal.com/story/news/crime/2018/08/09/man-critically-wounded-shooting-school-parking-lot-millville/953855002/" xr:uid="{00000000-0004-0000-0100-000069010000}"/>
    <hyperlink ref="K938" r:id="rId363" display="https://foxbaltimore.com/news/local/teen-fatally-shot-in-edgewood-high-school-parking-lot" xr:uid="{00000000-0004-0000-0100-00006A010000}"/>
    <hyperlink ref="K940" r:id="rId364" display="https://www.yakimaherald.com/news/crime_and_courts/shooting-victim-found-near-west-valley-school-identified/article_486a9ff4-8c56-11e8-886e-3bb30443843b.html" xr:uid="{00000000-0004-0000-0100-00006B010000}"/>
    <hyperlink ref="K941" r:id="rId365" display="https://wchstv.com/news/local/man-accused-of-firing-gun-at-hurricane-high-school-during-agrument" xr:uid="{00000000-0004-0000-0100-00006C010000}"/>
    <hyperlink ref="K943" r:id="rId366" display="https://abcnews.go.com/US/critical-condition-shooting-kansas-elementary-school-police/story?id=56340440" xr:uid="{00000000-0004-0000-0100-00006D010000}"/>
    <hyperlink ref="K944" r:id="rId367" display="https://wreg.com/2018/07/02/man-slams-car-into-boarded-up-school-building-after-being-shot/" xr:uid="{00000000-0004-0000-0100-00006E010000}"/>
    <hyperlink ref="K945" r:id="rId368" display="https://www.springfieldnewssun.com/news/crime--law/update-teens-arrested-after-alleged-attempted-shooting-truck-strike-outside-springfield-school/Kv3diPzfq35me2wa7OrdBI/" xr:uid="{00000000-0004-0000-0100-00006F010000}"/>
    <hyperlink ref="K947" r:id="rId369" display="https://krld.radio.com/articles/suspect-arrested-after-16-yr-old-found-shot-near-skyline-high-school" xr:uid="{00000000-0004-0000-0100-000070010000}"/>
    <hyperlink ref="K948" r:id="rId370" display="http://katu.com/news/local/police-man-found-shot-killed-on-se-portland-grant-high-school-track" xr:uid="{00000000-0004-0000-0100-000071010000}"/>
    <hyperlink ref="K949" r:id="rId371" display="https://www.whio.com/news/local/report-shot-possibly-fired-during-altercation-basketball-court-beavercreek-school/pik2z70Vnp3YXYCS9M5YKN/" xr:uid="{00000000-0004-0000-0100-000072010000}"/>
    <hyperlink ref="K951" r:id="rId372" display="https://www.indystar.com/story/news/crime/2018/05/29/noblesville-indiana-middle-school-shooting-unanswered-questions-shooter-weapons-victims/650866002/" xr:uid="{00000000-0004-0000-0100-000073010000}"/>
    <hyperlink ref="K952" r:id="rId373" display="https://www.wsbtv.com/news/local/breaking-personshot-in-elementary-school-parking-lot/753941792" xr:uid="{00000000-0004-0000-0100-000074010000}"/>
    <hyperlink ref="K955" r:id="rId374" display="https://www.kshb.com/news/crime/man-charged-in-shooting-at-center-high-school-graduation" xr:uid="{00000000-0004-0000-0100-000075010000}"/>
    <hyperlink ref="K958" r:id="rId375" display="https://www.wxyz.com/news/off-duty-officer-accidentally-discharges-gun-during-wrestling-meet-at-michigan-high-school" xr:uid="{00000000-0004-0000-0100-000076010000}"/>
    <hyperlink ref="K960" r:id="rId376" display="https://www.mlive.com/news/jackson/index.ssf/2018/04/no_arrests_made_yet_after_jack.html" xr:uid="{00000000-0004-0000-0100-000077010000}"/>
    <hyperlink ref="K962" r:id="rId377" display="http://www.cbs46.com/story/38020869/us-marshals-suspect-involved-in-mays-high-school-shooting-apprehended" xr:uid="{00000000-0004-0000-0100-000078010000}"/>
    <hyperlink ref="K964" r:id="rId378" display="https://www.mlive.com/news/jackson/index.ssf/2018/04/no_arrests_made_yet_after_jack.html" xr:uid="{00000000-0004-0000-0100-000079010000}"/>
    <hyperlink ref="K965" r:id="rId379" display="http://www.kansascity.com/news/local/crime/article208770464.html" xr:uid="{00000000-0004-0000-0100-00007A010000}"/>
    <hyperlink ref="K966" r:id="rId380" display="http://www.leaderherald.com/news/local-news/2018/04/student-shot-with-bb-gun-at-school/" xr:uid="{00000000-0004-0000-0100-00007B010000}"/>
    <hyperlink ref="K967" r:id="rId381" display="https://www.cbsnews.com/news/kentucky-police-suspect-in-wifes-death-shot-behind-school/" xr:uid="{00000000-0004-0000-0100-00007C010000}"/>
    <hyperlink ref="K968" r:id="rId382" display="https://www.clarionledger.com/story/news/local/2018/05/31/school-shooting-suspect-detained-trial-authorities-advise-educators/628988002/" xr:uid="{00000000-0004-0000-0100-00007D010000}"/>
    <hyperlink ref="K970" r:id="rId383" display="https://pilotonline.com/news/local/crime/article_32543292-2bcc-11e8-a262-877b86c9daad.html" xr:uid="{00000000-0004-0000-0100-00007E010000}"/>
    <hyperlink ref="K971" r:id="rId384" display="http://missoulian.com/news/local/report-gunshots-at-missoula-s-big-sky-high-fired-by/article_f14cb7f4-ee52-58e2-abda-afb0f8f33421.html" xr:uid="{00000000-0004-0000-0100-00007F010000}"/>
    <hyperlink ref="K972" r:id="rId385" display="http://www.alexandrianews.org/2018/05/gw-school-resource-officer-charged-after-discharge-of-weapon/" xr:uid="{00000000-0004-0000-0100-000080010000}"/>
    <hyperlink ref="K973" r:id="rId386" display="http://www.ksbw.com/article/seaside-high-teacher-accidentally-fires-gun-in-class/19426017" xr:uid="{00000000-0004-0000-0100-000081010000}"/>
    <hyperlink ref="K974" r:id="rId387" display="http://www.wsaz.com/content/news/Reported-gunfire-at-Frederick-Douglas-High-School-in-Lexington-476375083.html" xr:uid="{00000000-0004-0000-0100-000082010000}"/>
    <hyperlink ref="K976" r:id="rId388" display="https://fox2now.com/2018/03/05/students-sent-home-after-suicide-at-washington-county-school/" xr:uid="{00000000-0004-0000-0100-000083010000}"/>
    <hyperlink ref="K978" r:id="rId389" display="https://www.thenewstribune.com/news/local/crime/article202366859.html" xr:uid="{00000000-0004-0000-0100-000084010000}"/>
    <hyperlink ref="K981" r:id="rId390" display="https://www.cnn.com/2022/07/18/us/nikolas-cruz-parkland-shooter-penalty-phase/index.html" xr:uid="{00000000-0004-0000-0100-000085010000}"/>
    <hyperlink ref="K982" r:id="rId391" display="http://www.wsmv.com/story/37500077/14-year-old-suspect-wanted-in-shooting-outside-pearl-cohn-high-school" xr:uid="{00000000-0004-0000-0100-000086010000}"/>
    <hyperlink ref="K983" r:id="rId392" display="https://abc7ny.com/teen-in-custody-after-shot-fired-inside-bronx-high-school/3054112/" xr:uid="{00000000-0004-0000-0100-000087010000}"/>
    <hyperlink ref="K984" r:id="rId393" display="https://www.twincities.com/2018/02/05/maplewood-police-officers-gun-fires-at-school-no-injuries-reported/" xr:uid="{00000000-0004-0000-0100-000088010000}"/>
    <hyperlink ref="K985" r:id="rId394" display="http://pgpolice.blogspot.ca/2018/02/two-teenage-suspects-in-custody-for-non.html" xr:uid="{00000000-0004-0000-0100-000089010000}"/>
    <hyperlink ref="K986" r:id="rId395" display="http://abc7.com/charges-filed-against-12-year-old-girl-in-westlake-school-shooting/3023846/" xr:uid="{00000000-0004-0000-0100-00008A010000}"/>
    <hyperlink ref="K987" r:id="rId396" display="http://6abc.com/man-32-killed-outside-lincoln-high-school-in-mayfair-idd/3013312/" xr:uid="{00000000-0004-0000-0100-00008B010000}"/>
    <hyperlink ref="K988" r:id="rId397" display="https://www.freep.com/story/news/local/michigan/wayne/2018/01/27/dearborn-high-school-shooting/1071836001/" xr:uid="{00000000-0004-0000-0100-00008C010000}"/>
    <hyperlink ref="K989" r:id="rId398" display="https://lagniappemobile.com/police-student-fired-weapon-indiscriminately-campus/" xr:uid="{00000000-0004-0000-0100-00008D010000}"/>
    <hyperlink ref="K991" r:id="rId399" display="http://www.nola.com/crime/index.ssf/2018/02/how_many_school_shootings_2018.html" xr:uid="{00000000-0004-0000-0100-00008E010000}"/>
    <hyperlink ref="K994" r:id="rId400" display="http://www.tucsonnewsnow.com/story/37226015/school-shooting-cochise-county-coronado-elementary-lockdown-suicide-sierra-vista" xr:uid="{00000000-0004-0000-0100-00008F010000}"/>
    <hyperlink ref="K996" r:id="rId401" display="https://q13fox.com/2018/01/04/bullet-fired-into-window-at-highlines-new-start-high-school-but-no-injuries/" xr:uid="{00000000-0004-0000-0100-000090010000}"/>
    <hyperlink ref="K997" r:id="rId402" display="https://www.heraldnet.com/news/police-say-they-shot-up-the-school-then-bragged-about-it/" xr:uid="{00000000-0004-0000-0100-000091010000}"/>
    <hyperlink ref="K998" r:id="rId403" display="https://www.nola.com/crime/index.ssf/2017/01/algiers_double_shooting.html" xr:uid="{00000000-0004-0000-0100-000092010000}"/>
    <hyperlink ref="K999" r:id="rId404" display="https://www.dailynews.com/2017/12/28/man-arguing-with-girlfriend-in-lancaster-school-parking-lot-is-shot-by-another-man/" xr:uid="{00000000-0004-0000-0100-000093010000}"/>
    <hyperlink ref="K1000" r:id="rId405" display="http://www.wnem.com/story/37105109/breaking-police-investigate-shooting-at-beecher-high-school" xr:uid="{00000000-0004-0000-0100-000094010000}"/>
    <hyperlink ref="K1001" r:id="rId406" display="https://www.nbcdfw.com/news/local/Dallas-ISD-Gun-Accidentally-Goes-Off-in-3rd-Grade-Classroom-464473823.html" xr:uid="{00000000-0004-0000-0100-000095010000}"/>
    <hyperlink ref="K1002" r:id="rId407" display="https://abc13.com/2-wounded-when-gun-goes-off-in-car-at-sam-rayburn-hs/2774679/" xr:uid="{00000000-0004-0000-0100-000096010000}"/>
    <hyperlink ref="K1003" r:id="rId408" display="http://www.hpenews.com/free/shot-fired-at-central-high-school-no-one-injured/article_574ce5ba-dea8-11e7-b849-5ffd746bf19a.html" xr:uid="{00000000-0004-0000-0100-000097010000}"/>
    <hyperlink ref="K1004" r:id="rId409" display="https://www.news-gazette.com/news/update-potential-fight-might-have-sparked-gunfire/article_644ff6c6-f9f5-5327-b078-630facba2e9b.html" xr:uid="{00000000-0004-0000-0100-000098010000}"/>
    <hyperlink ref="K1007" r:id="rId410" display="https://www.limaohio.com/news/273390/lima-man-arrested-after-gun-goes-off-accidentally-at-bath-high-school" xr:uid="{00000000-0004-0000-0100-000099010000}"/>
    <hyperlink ref="K1009" r:id="rId411" display="https://www.denverpost.com/2017/11/23/shooting-near-manual-high-school-denver/" xr:uid="{00000000-0004-0000-0100-00009A010000}"/>
    <hyperlink ref="K1010" r:id="rId412" display="https://www.wbbjtv.com/2017/11/18/shots-fired-north-side-high-school-school-placed-brief-lockdown/" xr:uid="{00000000-0004-0000-0100-00009B010000}"/>
    <hyperlink ref="K1013" r:id="rId413" display="http://www.unionrecorder.com/news/update-gun-discharges-in-third-grader-s-book-bag/article_12323ddc-c65b-11e7-a275-f77a9d106f20.html" xr:uid="{00000000-0004-0000-0100-00009C010000}"/>
    <hyperlink ref="K1014" r:id="rId414" location="/" display="http://www.fox5atlanta.com/news/two-students-accidentally-shot-at-banneker-high-school-according-to-principal - /" xr:uid="{00000000-0004-0000-0100-00009D010000}"/>
    <hyperlink ref="K1015" r:id="rId415" display="https://rumble.com/v3x6k9-documents-reveal-what-police-think-happened-outside-pattengill-academy.html" xr:uid="{00000000-0004-0000-0100-00009E010000}"/>
    <hyperlink ref="K1016" r:id="rId416" display="https://www.wktv.com/content/news/453482573.html" xr:uid="{00000000-0004-0000-0100-00009F010000}"/>
    <hyperlink ref="K1017" r:id="rId417" display="https://www.wtol.com/article/text/news/police-shots-fired-in-parking-lot-area-of-start-high-school/512-4f7360d6-2e3f-434a-a6e6-0067351b41f4" xr:uid="{00000000-0004-0000-0100-0000A0010000}"/>
    <hyperlink ref="K1018" r:id="rId418" display="https://www.journalnow.com/news/crime/man-charged-after-gun-fired-at-kernersville-youth-football-game/article_18fb0bef-80e1-530a-bc1f-b6b61ce4d8fd.html" xr:uid="{00000000-0004-0000-0100-0000A1010000}"/>
    <hyperlink ref="K1019" r:id="rId419" display="https://newsmaven.io/charlottealerts/news/video-drug-dispute-erupts-into-shootout-at-gas-station-school-bus-gets-hit-ffkja5HUBEKh-yZn1VMiVQ" xr:uid="{00000000-0004-0000-0100-0000A2010000}"/>
    <hyperlink ref="K1020" r:id="rId420" display="https://triblive.com/local/regional/12794212-74/woman-shoots-boyfriend-in-indiana-county-school-parking-lot" xr:uid="{00000000-0004-0000-0100-0000A3010000}"/>
    <hyperlink ref="K1021" r:id="rId421" display="http://abc7.com/5-injured-in-bb-gun-shooting-at-sun-valley-high-school/2469755/" xr:uid="{00000000-0004-0000-0100-0000A4010000}"/>
    <hyperlink ref="K1022" r:id="rId422" display="https://fox4kc.com/2017/09/29/lees-summit-north-high-school-dismissing-students-early-due-to-an-incident/" xr:uid="{00000000-0004-0000-0100-0000A5010000}"/>
    <hyperlink ref="K1025" r:id="rId423" display="https://www.spokesman.com/stories/2022/aug/19/the-true-cost-of-evil-freeman-high-school-shooter-/" xr:uid="{00000000-0004-0000-0100-0000A6010000}"/>
    <hyperlink ref="K1026" r:id="rId424" display="http://www.dispatch.com/news/20170912/counselor-describes-how-he-defused-columbus-scioto-school-shooter" xr:uid="{00000000-0004-0000-0100-0000A7010000}"/>
    <hyperlink ref="K1027" r:id="rId425" display="https://www.thv11.com/article/news/local/after-shooting-north-little-rock-high-to-increase-security-at-football-games/473815136" xr:uid="{00000000-0004-0000-0100-0000A8010000}"/>
    <hyperlink ref="K1028" r:id="rId426" display="https://www.sbsun.com/2017/09/01/shooting-cuts-arroyo-valley-high-school-football-game-short/" xr:uid="{00000000-0004-0000-0100-0000A9010000}"/>
    <hyperlink ref="K1029" r:id="rId427" display="https://www.ajc.com/news/crime--law/veteran-lithia-springs-high-teacher-shoots-self-school-classes-canceled/ySkZFldVAcQEqaXTYrihbK/" xr:uid="{00000000-0004-0000-0100-0000AA010000}"/>
    <hyperlink ref="K1031" r:id="rId428" display="https://www.wctv.tv/content/news/Shots-fired-during-Valdosta-Highs-Midnight-Madness-practice-437798503.html" xr:uid="{00000000-0004-0000-0100-0000AB010000}"/>
    <hyperlink ref="K1032" r:id="rId429" display="https://fox13now.com/2017/07/21/19-year-old-shoots-teen-at-spanish-fork-high-before-taking-own-life/" xr:uid="{00000000-0004-0000-0100-0000AC010000}"/>
    <hyperlink ref="K1033" r:id="rId430" display="https://fox6now.com/2017/07/19/police-32-year-old-shot-multiple-times-inside-school-gym-in-milwaukee-during-basketball-game/" xr:uid="{00000000-0004-0000-0100-0000AD010000}"/>
    <hyperlink ref="K1034" r:id="rId431" display="https://www.wbtw.com/news/1-arrested-hospitalized-after-accidental-shooting-at-wilson-high-school/868539676" xr:uid="{00000000-0004-0000-0100-0000AE010000}"/>
    <hyperlink ref="K1035" r:id="rId432" display="https://chicago.suntimes.com/crime/2-boys-man-charged-with-warren-elementary-school-shooting/" xr:uid="{00000000-0004-0000-0100-0000AF010000}"/>
    <hyperlink ref="K1036" r:id="rId433" display="https://www.fox23.com/news/tulsa-police-respond-to-reports-of-shots-fired-at-mcclain-high-school/436311154" xr:uid="{00000000-0004-0000-0100-0000B0010000}"/>
    <hyperlink ref="K1038" r:id="rId434" display="http://abc3340.com/news/local/greensboro-hs-student-in-police-custody-after-shooting-at-another-student" xr:uid="{00000000-0004-0000-0100-0000B1010000}"/>
    <hyperlink ref="K1039" r:id="rId435" display="http://www.ktre.com/story/35506610/kirbyville-high-school-principal-resigns-then-shoots-kills-self-in-parking-lot" xr:uid="{00000000-0004-0000-0100-0000B2010000}"/>
    <hyperlink ref="K1040" r:id="rId436" display="http://www.americanpress.com/news/local/year-old-shot-at-moss-bluff-school/article_bf746d62-ee60-11e7-ad5c-7b6da485d0a4.html" xr:uid="{00000000-0004-0000-0100-0000B3010000}"/>
    <hyperlink ref="K1041" r:id="rId437" display="https://www.kptv.com/news/crime-stoppers-2017-deadly-shooting-near-menlo-park-elementary-school-remains-unsolved/article_c6c7f520-9dfd-11eb-90de-33d857869811.html" xr:uid="{00000000-0004-0000-0100-0000B4010000}"/>
    <hyperlink ref="K1042" r:id="rId438" display="https://www.tulsaworld.com/homepagelatest/man-shot-in-chest-at-booker-t-washington-high-school/article_f6b588e9-926b-5c04-a9c5-aee4dc5c7ee8.html" xr:uid="{00000000-0004-0000-0100-0000B5010000}"/>
    <hyperlink ref="K1043" r:id="rId439" display="https://www.cnn.com/2017/04/10/us/san-bernardino-school-shooting/index.html" xr:uid="{00000000-0004-0000-0100-0000B6010000}"/>
    <hyperlink ref="K1045" r:id="rId440" display="https://www.thecalifornian.com/story/news/my-safety/2017/03/21/authorities-hunt-king-city-school-shooting-suspect/99464446/" xr:uid="{00000000-0004-0000-0100-0000B7010000}"/>
    <hyperlink ref="K1047" r:id="rId441" display="https://www.twincities.com/2017/02/18/man-kidnaps-ex-fiancee-kills-himself-in-middle-school-parking-lot/" xr:uid="{00000000-0004-0000-0100-0000B8010000}"/>
    <hyperlink ref="K1048" r:id="rId442" display="http://www.theadvocate.com/baton_rouge/news/crime_police/article_c0f86974-ed92-11e6-98ec-1fec7cb6253b.html" xr:uid="{00000000-0004-0000-0100-0000B9010000}"/>
    <hyperlink ref="K1052" r:id="rId443" display="http://www.wtxl.com/news/gun-goes-off-at-franklin-county-school/article_5f86d63a-ddb1-11e6-b2c8-b722f449d29e.html" xr:uid="{00000000-0004-0000-0100-0000BA010000}"/>
    <hyperlink ref="K1053" r:id="rId444" display="http://www.alexcityoutlook.com/2017/01/09/two-students-taken-into-custody-after-gun-goes-off-at-middle-school/" xr:uid="{00000000-0004-0000-0100-0000BB010000}"/>
    <hyperlink ref="K1058" r:id="rId445" display="http://www.standard.net/Police-Fire/2017/02/13/Teen-accused-of-shooting-gun-in-Mueller-Park-Jr-High-pleads-guilty" xr:uid="{00000000-0004-0000-0100-0000BC010000}"/>
    <hyperlink ref="K1060" r:id="rId446" display="http://www.mlive.com/news/bay-city/index.ssf/2016/12/deputy_who_fired_gun_in_school.html" xr:uid="{00000000-0004-0000-0100-0000BD010000}"/>
    <hyperlink ref="K1061" r:id="rId447" display="https://www.denverpost.com/2016/11/04/authorities-id-joshua-francis-berthoud-high-school-suicide/" xr:uid="{00000000-0004-0000-0100-0000BE010000}"/>
    <hyperlink ref="K1063" r:id="rId448" display="https://www.ksl.com/?sid=42051617&amp;nid=148&amp;title=14-year-old-charged-with-attempted-murder-in-union-middle-school-shooting" xr:uid="{00000000-0004-0000-0100-0000BF010000}"/>
    <hyperlink ref="K1064" r:id="rId449" display="https://www.sfgate.com/crime/article/Two-arrested-in-SF-school-shooting-that-injured-4-10005290.php" xr:uid="{00000000-0004-0000-0100-0000C0010000}"/>
    <hyperlink ref="K1065" r:id="rId450" display="http://usatodayhss.com/2016/student-shot-outside-atlanta-high-school-after-football-game" xr:uid="{00000000-0004-0000-0100-0000C1010000}"/>
    <hyperlink ref="K1066" r:id="rId451" display="http://www.dispatch.com/content/stories/local/2016/10/20/Two-charged-in-Linden-McKinley-shooting.html" xr:uid="{00000000-0004-0000-0100-0000C2010000}"/>
    <hyperlink ref="K1067" r:id="rId452" display="https://www.al.com/news/mobile/index.ssf/2016/10/teen_injured_in_high_school_sh.html" xr:uid="{00000000-0004-0000-0100-0000C3010000}"/>
    <hyperlink ref="K1069" r:id="rId453" display="https://www.nbcchicago.com/news/local/chicago-school-bus-driver-shot-395469231.html" xr:uid="{00000000-0004-0000-0100-0000C4010000}"/>
    <hyperlink ref="K1072" r:id="rId454" display="https://www.wcpo.com/news/local-news/hamilton-county/cincinnati/three-people-shot-after-elder-high-soccer-game" xr:uid="{00000000-0004-0000-0100-0000C5010000}"/>
    <hyperlink ref="K1073" r:id="rId455" display="http://www.mlive.com/news/jackson/index.ssf/2016/09/student_shot_on_school_bus_out.html" xr:uid="{00000000-0004-0000-0100-0000C6010000}"/>
    <hyperlink ref="K1075" r:id="rId456" display="https://www.ydr.com/story/news/2016/09/09/shooting-reported-small-athletic-field-911-says/90154006/" xr:uid="{00000000-0004-0000-0100-0000C7010000}"/>
    <hyperlink ref="K1077" r:id="rId457" display="http://detroit.cbslocal.com/2016/09/07/detroit-principals-vehicle-reportedly-shot-up-in-parking-lot-on-second-day-of-school/" xr:uid="{00000000-0004-0000-0100-0000C8010000}"/>
    <hyperlink ref="K1079" r:id="rId458" display="https://www.local10.com/news/2016/08/20/shots-fired-at-southridge-vs-south-plantation-football-game-police-say/" xr:uid="{00000000-0004-0000-0100-0000C9010000}"/>
    <hyperlink ref="K1080" r:id="rId459" display="http://www.nbc4i.com/news/one-shot-at-west-side-middle-school-police-looking-for-group-of-males-as-suspects/1114333465" xr:uid="{00000000-0004-0000-0100-0000CA010000}"/>
    <hyperlink ref="K1082" r:id="rId460" display="https://hanfordsentinel.com/news/local/crime/police-woman-shot-at-hanford-junior-high-school/article_e202ea04-65e0-5150-ad82-cea69301fb51.html" xr:uid="{00000000-0004-0000-0100-0000CB010000}"/>
    <hyperlink ref="K1083" r:id="rId461" display="http://abc7chicago.com/news/cps-employee-fatally-shot-outside-mcnair-elementary-school/1388692/" xr:uid="{00000000-0004-0000-0100-0000CC010000}"/>
    <hyperlink ref="K1084" r:id="rId462" display="http://boston.cbslocal.com/2016/06/22/raekwon-brown-murder-arrests-jeremiah-burke-high-school-shooting-boston-police/" xr:uid="{00000000-0004-0000-0100-0000CD010000}"/>
    <hyperlink ref="K1085" r:id="rId463" display="http://www.kwch.com/content/news/One-seriously-hurt-at-possible-shooting-at-Augusta-high-school-379583611.html" xr:uid="{00000000-0004-0000-0100-0000CE010000}"/>
    <hyperlink ref="K1086" r:id="rId464" display="http://www.wyff4.com/article/2-more-teens-charged-shooting-at-southside-high-school/7022388" xr:uid="{00000000-0004-0000-0100-0000CF010000}"/>
    <hyperlink ref="K1087" r:id="rId465" display="https://magicvalley.com/news/local/education/update-school-district-students-in-custody-after-gun-fired-at/article_f23be68f-936b-51ce-847a-f0a02e99f3a0.html" xr:uid="{00000000-0004-0000-0100-0000D0010000}"/>
    <hyperlink ref="K1088" r:id="rId466" display="http://www.newsherald.com/news/20160509/probe-into-detention-officers-accidental-shooting-near-oscar-patterson-underway" xr:uid="{00000000-0004-0000-0100-0000D1010000}"/>
    <hyperlink ref="K1089" r:id="rId467" display="https://www.nbcwashington.com/news/local/Shooting-High-Point-High-School-378322341.html" xr:uid="{00000000-0004-0000-0100-0000D2010000}"/>
    <hyperlink ref="K1090" r:id="rId468" display="http://www.kktv.com/home/headlines/PD-East-High-School-Staff-Hurt-In-Drive-By-Shooting-Near-School-378173411.html" xr:uid="{00000000-0004-0000-0100-0000D3010000}"/>
    <hyperlink ref="K1093" r:id="rId469" display="http://www.wbrc.com/story/31487356/birmingham-police-identify-suspect-arrested-charged-in-huffman-high-school-shooting" xr:uid="{00000000-0004-0000-0100-0000D4010000}"/>
    <hyperlink ref="K1096" r:id="rId470" display="http://www.delcotimes.com/general-news/20160222/cops-chester-probes-source-of-gun-teen-used-in-shooting" xr:uid="{00000000-0004-0000-0100-0000D5010000}"/>
    <hyperlink ref="K1097" r:id="rId471" display="https://www.wfla.com/news/local-news/loaded-gun-discharges-at-citrus-co-elementary-school/1051971907" xr:uid="{00000000-0004-0000-0100-0000D6010000}"/>
    <hyperlink ref="K1100" r:id="rId472" display="https://www.nbcphiladelphia.com/news/local/BREAKING-Benjamin-Franklin-High-School-on-Lockdown-After-Shell-Casing-Found-in-Stairwell--366996461.html" xr:uid="{00000000-0004-0000-0100-0000D7010000}"/>
    <hyperlink ref="K1101" r:id="rId473" display="https://www.indystar.com/story/news/crime/2016/01/25/teen-charged-shooting-lawrence-central-high-school/79319130/" xr:uid="{00000000-0004-0000-0100-0000D8010000}"/>
    <hyperlink ref="K1102" r:id="rId474" display="https://www.theindychannel.com/news/local-news/gun-goes-off-outside-northwest-community-hs" xr:uid="{00000000-0004-0000-0100-0000D9010000}"/>
    <hyperlink ref="K1103" r:id="rId475" display="http://www.arkansasonline.com/news/2016/jan/14/student-accidentally-shot-outside-high-school-ouac/" xr:uid="{00000000-0004-0000-0100-0000DA010000}"/>
    <hyperlink ref="K1104" r:id="rId476" display="http://www.doverpost.com/news/20160112/update-students-arrested-after-shot-fired-at-central-middle-school" xr:uid="{00000000-0004-0000-0100-0000DB010000}"/>
    <hyperlink ref="K1106" r:id="rId477" display="https://www.miamiherald.com/news/local/community/miami-dade/article45747750.html" xr:uid="{00000000-0004-0000-0100-0000DC010000}"/>
    <hyperlink ref="K1107" r:id="rId478" display="https://www.kait8.com/story/30492261/gun-goes-off-in-school-parking-lot-hitting-junior-high-student/" xr:uid="{00000000-0004-0000-0100-0000DD010000}"/>
    <hyperlink ref="K1108" r:id="rId479" display="http://www.moultrieobserver.com/news/local_news/student-fires-gun-during-struggle/article_149e02cc-84db-11e5-8369-ef294cd8fd87.html" xr:uid="{00000000-0004-0000-0100-0000DE010000}"/>
    <hyperlink ref="K1109" r:id="rId480" display="https://www.mysanantonio.com/news/local/article/Man-fatally-shot-in-middle-school-parking-lot-6588994.php" xr:uid="{00000000-0004-0000-0100-0000DF010000}"/>
    <hyperlink ref="K1110" r:id="rId481" display="http://news4sanantonio.com/news/local/deputies-arrest-wagner-high-school-shooting-suspect" xr:uid="{00000000-0004-0000-0100-0000E0010000}"/>
    <hyperlink ref="K1114" r:id="rId482" display="https://www.statesmanjournal.com/story/news/2015/09/04/man-arrested-after-shots-fired-near-newberg-high-school/71699392/" xr:uid="{00000000-0004-0000-0100-0000E1010000}"/>
    <hyperlink ref="K1115" r:id="rId483" display="http://www.wrdw.com/home/headlines/BREAKING-Student-at-Hornsby-School-shot-and-taken-to-hospital-322826461.html" xr:uid="{00000000-0004-0000-0100-0000E2010000}"/>
    <hyperlink ref="K1120" r:id="rId484" display="https://www.mysanantonio.com/news/local/article/Suspect-killed-by-polcie-during-chase-identified-6355557.php" xr:uid="{00000000-0004-0000-0100-0000E3010000}"/>
    <hyperlink ref="K1121" r:id="rId485" display="https://www.ibtimes.com/hartford-shooting-leaves-four-injured-rawson-elementary-school-basketball-tournament-1986922" xr:uid="{00000000-0004-0000-0100-0000E4010000}"/>
    <hyperlink ref="K1123" r:id="rId486" display="https://www.citizen-times.com/story/news/crime/2015/06/04/armed-suspects-found-macon-county-school-custody/28467377/" xr:uid="{00000000-0004-0000-0100-0000E5010000}"/>
    <hyperlink ref="K1124" r:id="rId487" display="http://archive.naplesnews.com/news/crime/everglades-city-man-charged-in-shooting-ep-1109639680-337933051.html" xr:uid="{00000000-0004-0000-0100-0000E6010000}"/>
    <hyperlink ref="K1128" r:id="rId488" display="http://www.jacksonville.com/breaking-news/2015-05-14/story/two-students-shot-school-bus-jacksonvilles-westside-police-searching" xr:uid="{00000000-0004-0000-0100-0000E7010000}"/>
    <hyperlink ref="K1132" r:id="rId489" display="https://smnewsnet.com/archives/283458/man-shot-behind-school/" xr:uid="{00000000-0004-0000-0100-0000E8010000}"/>
    <hyperlink ref="K1134" r:id="rId490" display="https://www.cbsnews.com/news/boy-11-arrested-after-accidentally-firing-handgun-at-school/" xr:uid="{00000000-0004-0000-0100-0000E9010000}"/>
    <hyperlink ref="K1135" r:id="rId491" display="https://www.ksat.com/news/school-official-seguin-high-school-student-shoots-kills-self" xr:uid="{00000000-0004-0000-0100-0000EA010000}"/>
    <hyperlink ref="K1137" r:id="rId492" display="http://www.mercedsunstar.com/news/local/crime/article11963273.html" xr:uid="{00000000-0004-0000-0100-0000EB010000}"/>
    <hyperlink ref="K1139" r:id="rId493" display="https://www.fredericknewspost.com/subjects/crime_and_justice/updated-two-students-wounded-in-frederick-high-school-shooting/article_153b667f-90c2-5c8c-b4ed-9c4ba869e442.html" xr:uid="{00000000-0004-0000-0100-0000EC010000}"/>
    <hyperlink ref="K1140" r:id="rId494" display="https://minnesota.cbslocal.com/2015/01/26/police-man-fires-shot-at-school-before-shooting-himself/" xr:uid="{00000000-0004-0000-0100-0000ED010000}"/>
    <hyperlink ref="K1142" r:id="rId495" display="https://www.al.com/news/mobile/index.ssf/2015/01/one_shot_in_the_buttock_after.html" xr:uid="{00000000-0004-0000-0100-0000EE010000}"/>
    <hyperlink ref="K1143" r:id="rId496" display="http://www.ocalapost.com/shooting-at-vanguard-high-injured-2/" xr:uid="{00000000-0004-0000-0100-0000EF010000}"/>
    <hyperlink ref="K1144" r:id="rId497" display="http://archive.jsonline.com/news/crime/milwaukee-man-charged-in-wisconsin-lutheran-high-school-shooting-b99431381z1-289512441.html/" xr:uid="{00000000-0004-0000-0100-0000F0010000}"/>
    <hyperlink ref="K1145" r:id="rId498" display="https://www.centralmaine.com/2014/12/18/man-who-shot-himself-at-school-was-suspected-in-waterville-rape-police-say/" xr:uid="{00000000-0004-0000-0100-0000F1010000}"/>
    <hyperlink ref="K1146" r:id="rId499" display="https://fox17online.com/2014/12/17/basketball-player-shot-outside-godfrey-lee-high-school/" xr:uid="{00000000-0004-0000-0100-0000F2010000}"/>
    <hyperlink ref="K1147" r:id="rId500" display="https://pittsburgh.cbslocal.com/2014/12/17/shooting-at-stanton-heights-elementary-school/" xr:uid="{00000000-0004-0000-0100-0000F3010000}"/>
    <hyperlink ref="K1148" r:id="rId501" display="http://www.oregonlive.com/portland/index.ssf/2015/05/teen_who_shot_four_outside_ros.html" xr:uid="{00000000-0004-0000-0100-0000F4010000}"/>
    <hyperlink ref="K1149" r:id="rId502" display="https://www.miamiherald.com/news/local/crime/article4139118.html" xr:uid="{00000000-0004-0000-0100-0000F5010000}"/>
    <hyperlink ref="K1151" r:id="rId503" display="https://www.wsbtv.com/news/shots-fired-lakewood-stadium/137231817" xr:uid="{00000000-0004-0000-0100-0000F6010000}"/>
    <hyperlink ref="K1152" r:id="rId504" display="http://archive.commercialappeal.com/news/crime/student-shoots-himself-in-leg-at-a-maceo-walker-middle-memphis-police-say-ep-692582895-324312081.html/" xr:uid="{00000000-0004-0000-0100-0000F7010000}"/>
    <hyperlink ref="K1153" r:id="rId505" display="https://www.wsbtv.com/news/17-year-old-shot-killed-after-high-school-football/137193168" xr:uid="{00000000-0004-0000-0100-0000F8010000}"/>
    <hyperlink ref="K1154" r:id="rId506" display="http://www.wdrb.com/story/31888475/teen-sentenced-for-shooting-fern-creek-high-school-student-in-2014" xr:uid="{00000000-0004-0000-0100-0000F9010000}"/>
    <hyperlink ref="K1155" r:id="rId507" display="https://www.usatoday.com/story/news/2014/09/30/police-1-shot-at-albemarle-high-school-1-in-custody/16469203/" xr:uid="{00000000-0004-0000-0100-0000FA010000}"/>
    <hyperlink ref="K1156" r:id="rId508" display="https://manchesterinklink.com/man-gun-knife-arrested-inside-west-hs-lockdown/" xr:uid="{00000000-0004-0000-0100-0000FB010000}"/>
    <hyperlink ref="K1157" r:id="rId509" display="https://www.desmoinesregister.com/story/news/crime-and-courts/2014/12/22/teen-arrested-shooting-north-high-school/20767421/" xr:uid="{00000000-0004-0000-0100-0000FC010000}"/>
    <hyperlink ref="K1160" r:id="rId510" display="https://www.local10.com/news/florida/miami-dade/5-in-custody-after-shooting-outside-northwest-miami-dade-county-school" xr:uid="{00000000-0004-0000-0100-0000FD010000}"/>
    <hyperlink ref="K1162" r:id="rId511" display="https://www.fredericknewspost.com/news/crime_and_justice/cops_and_crime/two-face-charges-in-wednesday-gunfire-at-heather-ridge-school/article_737ade83-ddbb-5d49-af29-7f18d962e3a3.html" xr:uid="{00000000-0004-0000-0100-0000FE010000}"/>
    <hyperlink ref="K1166" r:id="rId512" display="https://www.nbcbayarea.com/news/local/Student-Shot-Kennedy-High-School-in-Richmond-on-Lockdown-259238751.html" xr:uid="{00000000-0004-0000-0100-0000FF010000}"/>
    <hyperlink ref="K1167" r:id="rId513" display="http://www.newsofmillcreek.com/content/weekend-shooting-horizon-elementary-school" xr:uid="{00000000-0004-0000-0100-000000020000}"/>
    <hyperlink ref="K1170" r:id="rId514" display="https://www.cbsnews.com/news/cops-fatal-shooting-outside-detroit-high-school-gang-related/" xr:uid="{00000000-0004-0000-0100-000001020000}"/>
    <hyperlink ref="K1172" r:id="rId515" display="https://wcti12.com/archive/two-j-h-rose-students-arrested-for-shooting-near-d-h-conley-1" xr:uid="{00000000-0004-0000-0100-000002020000}"/>
    <hyperlink ref="K1173" r:id="rId516" display="https://www.nbcnewyork.com/news/local/Newark-Shooting-Man-Wounded-School-Bus-Bullet-Hole-253840881.html" xr:uid="{00000000-0004-0000-0100-000003020000}"/>
    <hyperlink ref="K1174" r:id="rId517" display="https://www.ajc.com/news/local/fourth-person-arrested-after-shots-fired-outside-banneker-high-school/E7iAqMZysw5q4XheUNHn9K/" xr:uid="{00000000-0004-0000-0100-000004020000}"/>
    <hyperlink ref="K1175" r:id="rId518" display="http://miami.cbslocal.com/2014/03/14/man-accused-of-murdering-wife-near-miami-dade-preschool/" xr:uid="{00000000-0004-0000-0100-000005020000}"/>
    <hyperlink ref="K1176" r:id="rId519" display="https://www.myarklamiss.com/crime/update-17-year-old-arrested-in-connection-with-friday-nights-shooting-in-madison-parish/166472643" xr:uid="{00000000-0004-0000-0100-000006020000}"/>
    <hyperlink ref="K1177" r:id="rId520" display="http://www.kansascity.com/news/local/crime/article9772547.html" xr:uid="{00000000-0004-0000-0100-000007020000}"/>
    <hyperlink ref="K1179" r:id="rId521" display="http://www.wbtv.com/story/24683911/student-shot-at-salisbury-high-school" xr:uid="{00000000-0004-0000-0100-000008020000}"/>
    <hyperlink ref="K1180" r:id="rId522" display="https://www.bendbulletin.com/home/1790423-151/details-emerge-in-bend-high-suicide" xr:uid="{00000000-0004-0000-0100-000009020000}"/>
    <hyperlink ref="K1181" r:id="rId523" display="http://www.kcci.com/article/police-investigate-shooting-outside-north-high-school/6888652" xr:uid="{00000000-0004-0000-0100-00000A020000}"/>
    <hyperlink ref="K1182" r:id="rId524" display="https://www.azcentral.com/story/news/local/phoenix/2014/04/03/phoenix-police-make-arrests-chavez-high-school-shooting-abrk/7264833/" xr:uid="{00000000-0004-0000-0100-00000B020000}"/>
    <hyperlink ref="K1183" r:id="rId525" display="http://articles.chicagotribune.com/keyword/roosevelt-high-school" xr:uid="{00000000-0004-0000-0100-00000C020000}"/>
    <hyperlink ref="K1184" r:id="rId526" display="http://www.kfvs12.com/story/24557239/1-injured-in-shooting-on-carbondale-school-parking-lot" xr:uid="{00000000-0004-0000-0100-00000D020000}"/>
    <hyperlink ref="K1185" r:id="rId527" display="http://www.philly.com/philly/news/2nd_teen_charged_in_Delaware_Valley_Charter_High_School_shooting.html" xr:uid="{00000000-0004-0000-0100-00000E020000}"/>
    <hyperlink ref="K1186" r:id="rId528" display="https://www.wgal.com/article/police-shot-fired-at-elementary-school-playground/6229898" xr:uid="{00000000-0004-0000-0100-00000F020000}"/>
    <hyperlink ref="K1188" r:id="rId529" display="https://www.wbrz.com/news/man-sentenced-to-15-years-for-2014-drive-by-shooting-outside-of-st-james-high-school/" xr:uid="{00000000-0004-0000-0100-000010020000}"/>
    <hyperlink ref="K1189" r:id="rId530" display="https://www.nhregister.com/connecticut/article/New-Haven-teen-to-serve-6-years-in-two-shooting-11351580.php" xr:uid="{00000000-0004-0000-0100-000011020000}"/>
    <hyperlink ref="K1190" r:id="rId531" display="http://www.wbbjtv.com/2014/01/10/police-charge-suspect-in-liberty-tech-shooting/" xr:uid="{00000000-0004-0000-0100-000012020000}"/>
    <hyperlink ref="K1191" r:id="rId532" display="https://kmph.com/archive/fresno-police-arrest-four-teens-related-to-edison-high-school-shooting" xr:uid="{00000000-0004-0000-0100-000013020000}"/>
    <hyperlink ref="K1193" r:id="rId533" display="https://www.clickorlando.com/news/student-shot-in-face-at-west-orange-high-school-_2015110710074418" xr:uid="{00000000-0004-0000-0100-000014020000}"/>
    <hyperlink ref="K1195" r:id="rId534" display="https://patch.com/georgia/stonemountain/stephenson-high-student-shot-at-school" xr:uid="{00000000-0004-0000-0100-000015020000}"/>
    <hyperlink ref="K1196" r:id="rId535" display="https://whotv.com/2013/11/01/schools-closed-body-found-at-algona-school/" xr:uid="{00000000-0004-0000-0100-000016020000}"/>
    <hyperlink ref="K1197" r:id="rId536" display="https://www.nbclosangeles.com/news/local/Chino-Newman-Elementary-School-Safety-Demonstration-Weapon-Gun-Misfires-Injures-228984301.html" xr:uid="{00000000-0004-0000-0100-000017020000}"/>
    <hyperlink ref="K1199" r:id="rId537" display="http://www.foxnews.com/world/2013/10/17/texas-student-kills-himself-in-front-high-school-classmates.html" xr:uid="{00000000-0004-0000-0100-000018020000}"/>
    <hyperlink ref="K1200" r:id="rId538" display="https://www.wftv.com/news/local/teen-shot-agape-christian-academy-pine-hills/270794978" xr:uid="{00000000-0004-0000-0100-000019020000}"/>
    <hyperlink ref="K1201" r:id="rId539" display="https://boston.cbslocal.com/2013/10/04/police-nh-man-fired-pellet-gun-at-school-bus-over-students-obscene-gesture/" xr:uid="{00000000-0004-0000-0100-00001A020000}"/>
    <hyperlink ref="K1202" r:id="rId540" display="https://www.pressherald.com/2013/09/28/19-year-old-kills-himself-at-gray-new-gloucester-high-school/" xr:uid="{00000000-0004-0000-0100-00001B020000}"/>
    <hyperlink ref="K1203" r:id="rId541" location="slide-1" display="https://www.dnainfo.com/chicago/20130927/albany-park/teen-arrested-for-shooting-student-near-roosevelt-high-school/slideshow/443194/ - slide-1" xr:uid="{00000000-0004-0000-0100-00001C020000}"/>
    <hyperlink ref="K1204" r:id="rId542" display="https://www.journalnow.com/news/local/update--year-old-charged-in-shooting-at-carver/article_247ee7d0-11a4-11e3-b183-001a4bcf6878.html" xr:uid="{00000000-0004-0000-0100-00001D020000}"/>
    <hyperlink ref="K1205" r:id="rId543" display="http://blog.gulflive.com/mississippi-press-news/2013/08/3_gang_members_arrested_after.html" xr:uid="{00000000-0004-0000-0100-00001E020000}"/>
    <hyperlink ref="K1206" r:id="rId544" display="http://www.wmcactionnews5.com/story/23229636/5-year-old-fires-gun-in-school-cafeteria" xr:uid="{00000000-0004-0000-0100-00001F020000}"/>
    <hyperlink ref="K1208" r:id="rId545" display="https://www.theleafchronicle.com/story/news/2017/03/10/one-familys-emotional-trial-ends-without-answers/98871314/" xr:uid="{00000000-0004-0000-0100-000020020000}"/>
    <hyperlink ref="K1209" r:id="rId546" display="https://www.cbsnews.com/news/two-custodians-found-shot-to-death-at-fla-high-school-police-name-person-of-interest-report-says/" xr:uid="{00000000-0004-0000-0100-000021020000}"/>
    <hyperlink ref="K1210" r:id="rId547" display="https://www.wsoctv.com/news/local/gunfire-school-campus-part-undercover-drug-operati/335014423" xr:uid="{00000000-0004-0000-0100-000022020000}"/>
    <hyperlink ref="K1211" r:id="rId548" display="https://www.nbcmiami.com/news/local/Redland-Middle-School-Student-Injured-After-Bullet-Thrown-on-Floor-Exploded-Official-208862711.html" xr:uid="{00000000-0004-0000-0100-000023020000}"/>
    <hyperlink ref="K1212" r:id="rId549" display="http://www.wbrc.com/story/22251179/parent-allegedly-fires-gun-when-daughters-fight-at-school" xr:uid="{00000000-0004-0000-0100-000024020000}"/>
    <hyperlink ref="K1213" r:id="rId550" display="https://www.abqjournal.com/253495/grand-jury-shooting-outside-school-was-justified.html" xr:uid="{00000000-0004-0000-0100-000025020000}"/>
    <hyperlink ref="K1214" r:id="rId551" display="https://www.cbsnews.com/news/la-salle-high-school-shooting-update-gun-used-in-ohio-classroom-came-from-home-police-say/" xr:uid="{00000000-0004-0000-0100-000026020000}"/>
    <hyperlink ref="K1215" r:id="rId552" display="http://ktemnews.com/student-who-shot-himself-at-temple-high-school-has-died/" xr:uid="{00000000-0004-0000-0100-000027020000}"/>
    <hyperlink ref="K1216" r:id="rId553" display="https://www.usatoday.com/story/news/nation/2013/03/21/michigan-student-13-commits-suicide/2006643/" xr:uid="{00000000-0004-0000-0100-000028020000}"/>
    <hyperlink ref="K1217" r:id="rId554" display="https://www.ajc.com/news/local/student-who-shot-herself-grady-high-due-court/2tFBhv5vj4RC2VqPUjIIxH/?icmp=np_inform_variation-control" xr:uid="{00000000-0004-0000-0100-000029020000}"/>
    <hyperlink ref="K1218" r:id="rId555" display="https://patch.com/california/sanleandro/man-sentenced-to-prison-for-fatal-2013-shooting-at-hillside-elementary" xr:uid="{00000000-0004-0000-0100-00002A020000}"/>
    <hyperlink ref="K1219" r:id="rId556" display="https://www.wxyz.com/news/man-shot-near-martin-luther-king-jr-high-school-in-detroit" xr:uid="{00000000-0004-0000-0100-00002B020000}"/>
    <hyperlink ref="K1220" r:id="rId557" display="https://www.cbsnews.com/news/police-teen-shot-by-fellow-student-at-ga-school/" xr:uid="{00000000-0004-0000-0100-00002C020000}"/>
    <hyperlink ref="K1222" r:id="rId558" display="https://www.wxyz.com/news/region/detroit/16-year-old-boy-shot-at-after-basketball-game-in-detroit" xr:uid="{00000000-0004-0000-0100-00002D020000}"/>
    <hyperlink ref="K1224" r:id="rId559" display="https://www.usatoday.com/story/news/nation/2013/01/08/school-shooting-florida/1817149/" xr:uid="{00000000-0004-0000-0100-00002E020000}"/>
    <hyperlink ref="K1226" r:id="rId560" display="https://abc13.com/archive/8915159/" xr:uid="{00000000-0004-0000-0100-00002F020000}"/>
    <hyperlink ref="K1227" r:id="rId561" display="http://articles.chicagotribune.com/2012-10-30/news/chi-2nd-teen-charged-in-murder-of-teen-outside-south-side-high-school-20121030_1_adult-with-first-degree-murder-terrance-wright-banner-academy-south" xr:uid="{00000000-0004-0000-0100-000030020000}"/>
    <hyperlink ref="K1229" r:id="rId562" display="https://www.newspapers.com/image/452822197" xr:uid="{00000000-0004-0000-0100-000031020000}"/>
    <hyperlink ref="K1230" r:id="rId563" display="http://www.pantagraph.com/news/local/crime-and-courts/boy-gets-juvenile-prison-term-for-nchs-shooting/article_6ddfd6ea-85e1-11e2-aff0-0019bb2963f4.html" xr:uid="{00000000-0004-0000-0100-000032020000}"/>
    <hyperlink ref="K1232" r:id="rId564" display="https://921wlhr.com/banks-county-hs-students-mourn-loss-of-two-classmates/" xr:uid="{00000000-0004-0000-0100-000033020000}"/>
    <hyperlink ref="K1233" r:id="rId565" display="http://www.wmcactionnews5.com/story/19307558/students-shot-at-outside-memphis-high-school" xr:uid="{00000000-0004-0000-0100-000034020000}"/>
    <hyperlink ref="K1234" r:id="rId566" display="https://www.abc6.com/story/18962837/pawtucket-police-investigate-shooting-behind-fire-station" xr:uid="{00000000-0004-0000-0100-000035020000}"/>
    <hyperlink ref="K1235" r:id="rId567" display="http://www.dailytarheel.com/article/2014/10/man-pleads-guilty-of-murder-in-scroggs-elementary-shooting" xr:uid="{00000000-0004-0000-0100-000036020000}"/>
    <hyperlink ref="K1242" r:id="rId568" display="https://www.cbsnews.com/news/14-year-old-shoots-self-in-nh-school-cafeteria/" xr:uid="{00000000-0004-0000-0100-000037020000}"/>
    <hyperlink ref="K1243" r:id="rId569" display="https://www.chron.com/news/houston-texas/article/Teen-shot-at-North-Forest-High-School-2457718.php" xr:uid="{00000000-0004-0000-0100-000038020000}"/>
    <hyperlink ref="K1244" r:id="rId570" display="https://www.mysanantonio.com/news/local_news/article/Deadly-day-in-Brownsville-2440652.php" xr:uid="{00000000-0004-0000-0100-000039020000}"/>
    <hyperlink ref="K1247" r:id="rId571" display="http://www.fayobserver.com/news/20180817/cape-fear-high-shooting-lawsuit-settled-for-2-million" xr:uid="{00000000-0004-0000-0100-00003A020000}"/>
    <hyperlink ref="K1248" r:id="rId572" display="https://www.kgw.com/article/news/4-arrested-for-shots-fired-outside-wilson-high/283-73396732" xr:uid="{00000000-0004-0000-0100-00003B020000}"/>
    <hyperlink ref="K1249" r:id="rId573" display="https://www.wbtv.com/story/15592235/man-shot-twice-at-garinger-high-school-police-say/" xr:uid="{00000000-0004-0000-0100-00003C020000}"/>
    <hyperlink ref="K1252" r:id="rId574" display="https://www.heraldnet.com/news/marysville-teen-sentenced-to-10-years-for-shooting-outside-everett-school/" xr:uid="{00000000-0004-0000-0100-00003D020000}"/>
    <hyperlink ref="K1255" r:id="rId575" display="https://abc13.com/archive/8044190/" xr:uid="{00000000-0004-0000-0100-00003E020000}"/>
    <hyperlink ref="K1256" r:id="rId576" display="https://www.courtlistener.com/pdf/2012/06/11/michael_phelps_v._state_of_indiana.pdf" xr:uid="{00000000-0004-0000-0100-00003F020000}"/>
    <hyperlink ref="K1257" r:id="rId577" display="https://sacramento.cbslocal.com/2012/04/24/verdict-reached-in-placerville-principal-slaying/" xr:uid="{00000000-0004-0000-0100-000040020000}"/>
    <hyperlink ref="K1258" r:id="rId578" display="https://www.dailybreeze.com/2011/04/11/gardena-high-student-gets-9-months-for-having-gun-that-discharged/" xr:uid="{00000000-0004-0000-0100-000041020000}"/>
    <hyperlink ref="K1259" r:id="rId579" display="https://journalstar.com/news/state-and-regional/nebraska/the-millard-south-shooting-timeline/article_ef16c15d-c67e-54b5-b4fa-0742edc6085d.html" xr:uid="{00000000-0004-0000-0100-000042020000}"/>
    <hyperlink ref="K1260" r:id="rId580" display="https://www.newspapers.com/image/310759931/?terms=school%2B%2Bbus%2Bshooting" xr:uid="{00000000-0004-0000-0100-000043020000}"/>
    <hyperlink ref="K1261" r:id="rId581" display="https://www.denverpost.com/2015/11/19/court-reverses-conviction-in-2010-aurora-shooting-that-paralyzed-victim/" xr:uid="{00000000-0004-0000-0100-000044020000}"/>
    <hyperlink ref="K1262" r:id="rId582" display="https://madison.com/wsj/news/local/crime_and_courts/no-clues-found-in-marinette-school-standoff-that-ended-in/article_62c3dbb3-1712-52ec-b275-d599eff149de.html" xr:uid="{00000000-0004-0000-0100-000045020000}"/>
    <hyperlink ref="K1276" r:id="rId583" display="https://www.ktbs.com/news/police-btw-shooter-was-spurned-lover/article_655e08f3-5404-5896-a955-81611d1a56b3.html" xr:uid="{00000000-0004-0000-0100-000046020000}"/>
    <hyperlink ref="K1279" r:id="rId584" display="http://www.wistv.com/story/23589594/school-shootings-in-south-carolina" xr:uid="{00000000-0004-0000-0100-000047020000}"/>
    <hyperlink ref="K1283" r:id="rId585" display="https://www.wral.com/teen-charged-with-firing-handgun-at-westover-high/5885748/" xr:uid="{00000000-0004-0000-0100-000048020000}"/>
    <hyperlink ref="K1288" r:id="rId586" display="http://www.wsaw.com/home/headlines/44225502.html" xr:uid="{00000000-0004-0000-0100-000049020000}"/>
    <hyperlink ref="K1289" r:id="rId587" display="http://www.latimes.com/la-me-locke01_ki20l0nc-photo.html" xr:uid="{00000000-0004-0000-0100-00004A020000}"/>
    <hyperlink ref="K1290" r:id="rId588" display="https://abc13.com/archive/6704811/" xr:uid="{00000000-0004-0000-0100-00004B020000}"/>
    <hyperlink ref="K1291" r:id="rId589" display="http://www.jacksonville.com/news/metro/crime/2009-03-10/story/police_responding_to_shots_fired_at_ribault_high_school" xr:uid="{00000000-0004-0000-0100-00004C020000}"/>
    <hyperlink ref="K1292" r:id="rId590" display="https://www.wral.com/news/local/story/4689449/" xr:uid="{00000000-0004-0000-0100-00004D020000}"/>
    <hyperlink ref="K1293" r:id="rId591" display="https://www.newspapers.com/image/243883968/?terms=robert%2Bfrost%2Belementary%2BSCHOOL" xr:uid="{00000000-0004-0000-0100-00004E020000}"/>
    <hyperlink ref="K1295" r:id="rId592" display="https://www.columbine-angels.com/School_Violence_2008-2009.htm" xr:uid="{00000000-0004-0000-0100-00004F020000}"/>
    <hyperlink ref="K1296" r:id="rId593" display="https://www.newspapers.com/image/362815804/?terms=central%2Bhigh%2Bschool%2Bshooting%2Bdetroit" xr:uid="{00000000-0004-0000-0100-000050020000}"/>
    <hyperlink ref="K1298" r:id="rId594" display="https://abc7.com/archive/6651899/" xr:uid="{00000000-0004-0000-0100-000051020000}"/>
    <hyperlink ref="K1301" r:id="rId595" display="https://www.columbine-angels.com/School_Violence_2008-2009.htm" xr:uid="{00000000-0004-0000-0100-000052020000}"/>
    <hyperlink ref="K1302" r:id="rId596" display="https://www.mlive.com/news/flint/index.ssf/2009/01/four_shot_outside_beecher_high.html" xr:uid="{00000000-0004-0000-0100-000053020000}"/>
    <hyperlink ref="K1305" r:id="rId597" display="http://www.cnn.com/2009/CRIME/01/10/school.shooting/index.html" xr:uid="{00000000-0004-0000-0100-000054020000}"/>
    <hyperlink ref="K1307" r:id="rId598" display="https://www.columbine-angels.com/School_Violence_2008-2009.htm" xr:uid="{00000000-0004-0000-0100-000055020000}"/>
    <hyperlink ref="K1308" r:id="rId599" display="https://www.columbine-angels.com/School_Violence_2008-2009.htm" xr:uid="{00000000-0004-0000-0100-000056020000}"/>
    <hyperlink ref="K1309" r:id="rId600" display="https://www.columbine-angels.com/School_Violence_2008-2009.htm" xr:uid="{00000000-0004-0000-0100-000057020000}"/>
    <hyperlink ref="K1311" r:id="rId601" display="https://www.postandcourier.com/news/teen-wounded-at-summerville-high/article_e9e8740e-ac4b-54fe-bf85-d2756db7f1cc.html" xr:uid="{00000000-0004-0000-0100-000058020000}"/>
    <hyperlink ref="K1312" r:id="rId602" display="https://www.greensboro.com/news/a-playground-fight-turned-deadly/article_0aadff61-c881-5944-99d3-e81ee3468277.html" xr:uid="{00000000-0004-0000-0100-000059020000}"/>
    <hyperlink ref="K1313" r:id="rId603" display="http://archive.longislandpress.com/2010/02/26/mastic-man-pleads-guilty-to-school-shooting/" xr:uid="{00000000-0004-0000-0100-00005A020000}"/>
    <hyperlink ref="K1314" r:id="rId604" display="http://www.startribune.com/shattuck-st-mary-s-school-under-fire-on-2008-case/173333511/" xr:uid="{00000000-0004-0000-0100-00005B020000}"/>
    <hyperlink ref="K1315" r:id="rId605" display="https://www.ksbw.com/article/king-city-high-school-soccer-game-murderer-sentenced/1048897" xr:uid="{00000000-0004-0000-0100-00005C020000}"/>
    <hyperlink ref="K1316" r:id="rId606" display="https://www.columbine-angels.com/School_Violence_2008-2009.htm" xr:uid="{00000000-0004-0000-0100-00005D020000}"/>
    <hyperlink ref="K1317" r:id="rId607" display="https://www.columbine-angels.com/School_Violence_2008-2009.htm" xr:uid="{00000000-0004-0000-0100-00005E020000}"/>
    <hyperlink ref="K1318" r:id="rId608" display="https://www.modbee.com/latest-news/article3115798.html" xr:uid="{00000000-0004-0000-0100-00005F020000}"/>
    <hyperlink ref="K1319" r:id="rId609" display="https://www.eastbaytimes.com/2008/11/24/oaklands-cole-middle-school-to-use-metal-detectors-after-recent-gun-scare/" xr:uid="{00000000-0004-0000-0100-000060020000}"/>
    <hyperlink ref="K1320" r:id="rId610" display="http://www.reporterherald.com/ci_18289600" xr:uid="{00000000-0004-0000-0100-000061020000}"/>
    <hyperlink ref="K1321" r:id="rId611" display="https://www.deseretnews.com/article/865556503/High-court-No-immunity-in-case-of-15-year-old-killed-by-prop-gun-used-in-school-play.html" xr:uid="{00000000-0004-0000-0100-000062020000}"/>
    <hyperlink ref="K1322" r:id="rId612" display="http://www.gainesville.com/news/20091210/teenage-girl-16-convicted-of-shooting-girlfriend-after-break-up" xr:uid="{00000000-0004-0000-0100-000063020000}"/>
    <hyperlink ref="K1323" r:id="rId613" display="http://archive.vcstar.com/news/352401581.html/" xr:uid="{00000000-0004-0000-0100-000064020000}"/>
    <hyperlink ref="K1324" r:id="rId614" display="http://homicide.latimes.com/post/luis-rosas/" xr:uid="{00000000-0004-0000-0100-000065020000}"/>
    <hyperlink ref="K1325" r:id="rId615" display="https://bangordailynews.com/2008/10/31/news/5th-graders-safe-after-police-arrest-armed-fugitive/" xr:uid="{00000000-0004-0000-0100-000066020000}"/>
    <hyperlink ref="K1326" r:id="rId616" display="https://www.columbine-angels.com/School_Violence_2008-2009.htm" xr:uid="{00000000-0004-0000-0100-000067020000}"/>
    <hyperlink ref="K1327" r:id="rId617" display="http://www.wsfa.com/story/9234390/wsfa-12-news-update-suspect-charged-with-attempted-murder-in-prattville-shooting" xr:uid="{00000000-0004-0000-0100-000068020000}"/>
    <hyperlink ref="K1328" r:id="rId618" display="https://www.newspapers.com/image/193364114/?terms=jeremiah%2Blasater" xr:uid="{00000000-0004-0000-0100-000069020000}"/>
    <hyperlink ref="K1329" r:id="rId619" display="http://www.foxnews.com/story/2008/10/16/teen-killed-in-shooting-near-detroit-high-school.html" xr:uid="{00000000-0004-0000-0100-00006A020000}"/>
    <hyperlink ref="K1330" r:id="rId620" display="http://www.latimes.com/local/la-me-shoot21-2008sep21-story.html" xr:uid="{00000000-0004-0000-0100-00006B020000}"/>
    <hyperlink ref="K1331" r:id="rId621" display="https://www.mcclatchydc.com/news/nation-world/national/article24600571.html" xr:uid="{00000000-0004-0000-0100-00006C020000}"/>
    <hyperlink ref="K1334" r:id="rId622" display="https://www.seattletimes.com/seattle-news/suspect-arrested-in-fatal-shooting-last-week-outside-federal-way-middle-school/" xr:uid="{00000000-0004-0000-0100-00006D020000}"/>
    <hyperlink ref="K1335" r:id="rId623" display="https://www.columbine-angels.com/School_Violence_2008-2009.htm" xr:uid="{00000000-0004-0000-0100-00006E020000}"/>
    <hyperlink ref="K1336" r:id="rId624" display="https://www.ktbs.com/news/student-found-shot-at-madison-high/article_0cdc830b-bca1-5acc-857b-e08b04bff7b2.html" xr:uid="{00000000-0004-0000-0100-00006F020000}"/>
    <hyperlink ref="K1339" r:id="rId625" display="https://abcnews.go.com/US/eighth-grade-shooting-larry-king-brandon-mcinerney-boys/story?id=14666577" xr:uid="{00000000-0004-0000-0100-000070020000}"/>
    <hyperlink ref="K1340" r:id="rId626" display="https://www.nytimes.com/2008/02/12/us/12memphis.html" xr:uid="{00000000-0004-0000-0100-000071020000}"/>
    <hyperlink ref="K1341" r:id="rId627" display="http://www.wmcactionnews5.com/story/7818497/police-investigate-shooting-inside-classroom-at-hamilton-high" xr:uid="{00000000-0004-0000-0100-000072020000}"/>
    <hyperlink ref="K1343" r:id="rId628" display="http://www.uticaod.com/article/20071127/news/311279895" xr:uid="{00000000-0004-0000-0100-000073020000}"/>
    <hyperlink ref="K1344" r:id="rId629" display="https://www.newspapers.com/image/432388038/?terms=student%2Bshot" xr:uid="{00000000-0004-0000-0100-000074020000}"/>
    <hyperlink ref="K1345" r:id="rId630" display="https://www.newspapers.com/image/282229204/?terms=markees%2Bsmith" xr:uid="{00000000-0004-0000-0100-000075020000}"/>
    <hyperlink ref="K1347" r:id="rId631" display="https://www.newspapers.com/image/243658015/?terms=student%2Bshot" xr:uid="{00000000-0004-0000-0100-000076020000}"/>
    <hyperlink ref="K1348" r:id="rId632" display="https://www.newspapers.com/image/126118804/?terms=SS%3E%2BSImon%2Band%2BJude%2BCatholic%2Bschool" xr:uid="{00000000-0004-0000-0100-000077020000}"/>
    <hyperlink ref="K1350" r:id="rId633" display="https://www.nj.com/news/index.ssf/2010/09/newark_schoolyard_slaying_susp_1.html" xr:uid="{00000000-0004-0000-0100-000078020000}"/>
    <hyperlink ref="K1351" r:id="rId634" display="https://www.columbine-angels.com/School_Violence_2006-2007.htm" xr:uid="{00000000-0004-0000-0100-000079020000}"/>
    <hyperlink ref="K1352" r:id="rId635" display="https://www.pressreader.com/usa/the-dallas-morning-news/20070629/282364035265089" xr:uid="{00000000-0004-0000-0100-00007A020000}"/>
    <hyperlink ref="K1353" r:id="rId636" display="https://www.columbine-angels.com/School_Violence_2006-2007.htm" xr:uid="{00000000-0004-0000-0100-00007B020000}"/>
    <hyperlink ref="K1354" r:id="rId637" display="https://www.columbine-angels.com/School_Violence_2006-2007.htm" xr:uid="{00000000-0004-0000-0100-00007C020000}"/>
    <hyperlink ref="K1355" r:id="rId638" display="https://www.columbine-angels.com/School_Violence_2006-2007.htm" xr:uid="{00000000-0004-0000-0100-00007D020000}"/>
    <hyperlink ref="K1356" r:id="rId639" display="https://www.columbine-angels.com/School_Violence_2006-2007.htm" xr:uid="{00000000-0004-0000-0100-00007E020000}"/>
    <hyperlink ref="K1357" r:id="rId640" display="https://www.brownsvilleherald.com/news/local/parents-remove-children-after-student-fires-gun-at-school/article_10ab2498-9eb9-5db8-97fd-9bed18dcdc95.html" xr:uid="{00000000-0004-0000-0100-00007F020000}"/>
    <hyperlink ref="K1358" r:id="rId641" display="http://starlocalmedia.com/mesquitenews/news/arrests-made-in-west-mesquite-shooting/article_c1de2b11-1f0a-5ac7-8ea4-807789bd19bc.html" xr:uid="{00000000-0004-0000-0100-000080020000}"/>
    <hyperlink ref="K1359" r:id="rId642" display="https://www.columbine-angels.com/School_Violence_2006-2007.htm" xr:uid="{00000000-0004-0000-0100-000081020000}"/>
    <hyperlink ref="K1360" r:id="rId643" display="https://www.highbeam.com/doc/1G1-163016802.html" xr:uid="{00000000-0004-0000-0100-000082020000}"/>
    <hyperlink ref="K1361" r:id="rId644" display="https://www.newspapers.com/image/411133269/?terms=school%2Bbus%2B313" xr:uid="{00000000-0004-0000-0100-000083020000}"/>
    <hyperlink ref="K1363" r:id="rId645" display="http://blog.oregonlive.com/breakingnews/2007/04/gresham_teen_indicted_in_sprin.html" xr:uid="{00000000-0004-0000-0100-000084020000}"/>
    <hyperlink ref="K1364" r:id="rId646" display="http://articles.chicagotribune.com/2007-04-12/news/0704110994_1_school-shooting-city-school-leaders-schools-chief-arne-duncan" xr:uid="{00000000-0004-0000-0100-000085020000}"/>
    <hyperlink ref="K1365" r:id="rId647" display="http://www.wistv.com/story/6297864/student-shoots-himself-in-leg-at-myrtle-beach-high-school?clienttype=printable" xr:uid="{00000000-0004-0000-0100-000086020000}"/>
    <hyperlink ref="K1366" r:id="rId648" display="https://www.newspapers.com/image/243778502/?terms=Sarah%2BJ.%2BRawson%2BElementary%2BSchool%2Bshot" xr:uid="{00000000-0004-0000-0100-000087020000}"/>
    <hyperlink ref="K1367" r:id="rId649" display="https://www.columbine-angels.com/School_Violence_2006-2007.htm" xr:uid="{00000000-0004-0000-0100-000088020000}"/>
    <hyperlink ref="K1368" r:id="rId650" display="https://www.newspapers.com/image/284085985/?terms=east%2Bridge%2Bhigh%2Bschool" xr:uid="{00000000-0004-0000-0100-000089020000}"/>
    <hyperlink ref="K1370" r:id="rId651" display="https://www.ourmidland.com/news/article/One-dead-one-hurt-in-Dow-High-shooting-7037728.php" xr:uid="{00000000-0004-0000-0100-00008A020000}"/>
    <hyperlink ref="K1371" r:id="rId652" display="http://www.heraldbanner.com/archives/shooting-shocks-ghs/article_411a3183-9998-56eb-9c2a-ed8b1c9788c2.html" xr:uid="{00000000-0004-0000-0100-00008B020000}"/>
    <hyperlink ref="K1372" r:id="rId653" display="https://www.columbine-angels.com/School_Violence_2006-2007.htm" xr:uid="{00000000-0004-0000-0100-00008C020000}"/>
    <hyperlink ref="K1373" r:id="rId654" display="https://www.columbine-angels.com/School_Violence_2006-2007.htm" xr:uid="{00000000-0004-0000-0100-00008D020000}"/>
    <hyperlink ref="K1374" r:id="rId655" display="https://portlandtribune.com/component/content/article?id=187719" xr:uid="{00000000-0004-0000-0100-00008E020000}"/>
    <hyperlink ref="K1375" r:id="rId656" display="https://www.columbine-angels.com/School_Violence_2006-2007.htm" xr:uid="{00000000-0004-0000-0100-00008F020000}"/>
    <hyperlink ref="K1376" r:id="rId657" display="https://www.columbine-angels.com/School_Violence_2006-2007.htm" xr:uid="{00000000-0004-0000-0100-000090020000}"/>
    <hyperlink ref="K1377" r:id="rId658" display="https://www.newspapers.com/image/231615256/?terms=Hillcrest%2BHigh%2BSchool%2Bshooting%2BDwight%2BWelch" xr:uid="{00000000-0004-0000-0100-000091020000}"/>
    <hyperlink ref="K1378" r:id="rId659" display="http://www.wmcactionnews5.com/story/5984007/17-year-old-in-critical-condition-at-the-med-after-school-shooting" xr:uid="{00000000-0004-0000-0100-000092020000}"/>
    <hyperlink ref="K1379" r:id="rId660" display="http://www.philly.com/philly/news/20070119_dn_M_SAYR.html" xr:uid="{00000000-0004-0000-0100-000093020000}"/>
    <hyperlink ref="K1380" r:id="rId661" display="http://articles.latimes.com/2007/jan/10/local/me-grant10" xr:uid="{00000000-0004-0000-0100-000094020000}"/>
    <hyperlink ref="K1381" r:id="rId662" display="https://www.lasvegasnow.com/news/shooter-in-western-high-school-case-in-custody/81454838" xr:uid="{00000000-0004-0000-0100-000095020000}"/>
    <hyperlink ref="K1382" r:id="rId663" display="https://www.newspapers.com/image/286391925/?terms=High%2BSchool%2BDixon%2BEdwards" xr:uid="{00000000-0004-0000-0100-000096020000}"/>
    <hyperlink ref="K1383" r:id="rId664" display="https://www.columbine-angels.com/School_Violence_2006-2007.htm" xr:uid="{00000000-0004-0000-0100-000097020000}"/>
    <hyperlink ref="K1385" r:id="rId665" display="http://www.keystosaferschools.com/2007startswithabang.htm" xr:uid="{00000000-0004-0000-0100-000098020000}"/>
    <hyperlink ref="K1386" r:id="rId666" display="https://triblive.com/x/pittsburghtrib/news/regional/s_484514.html" xr:uid="{00000000-0004-0000-0100-000099020000}"/>
    <hyperlink ref="K1387" r:id="rId667" display="https://www.columbine-angels.com/School_Violence_2006-2007.htm" xr:uid="{00000000-0004-0000-0100-00009A020000}"/>
    <hyperlink ref="K1388" r:id="rId668" display="http://www.foxnews.com/story/2006/12/12/teen-commits-suicide-in-hallway-pennsylvania-school.html" xr:uid="{00000000-0004-0000-0100-00009B020000}"/>
    <hyperlink ref="K1389" r:id="rId669" display="https://www.newspapers.com/image/232079346/?terms=Northwest%2BHigh%2BSchool%2Bgun%2Bpocket" xr:uid="{00000000-0004-0000-0100-00009C020000}"/>
    <hyperlink ref="K1390" r:id="rId670" display="https://www.columbine-angels.com/School_Violence_2006-2007.htm" xr:uid="{00000000-0004-0000-0100-00009D020000}"/>
    <hyperlink ref="K1391" r:id="rId671" display="http://www.witn.com/home/headlines/35382409.html" xr:uid="{00000000-0004-0000-0100-00009E020000}"/>
    <hyperlink ref="K1392" r:id="rId672" display="https://www.newspapers.com/image/422972655/?terms=Atlanta%2BMiddle%2BSchool%2BRicardo%2BAlexander" xr:uid="{00000000-0004-0000-0100-00009F020000}"/>
    <hyperlink ref="K1393" r:id="rId673" display="https://www.eastbaytimes.com/2006/11/13/man-killed-at-oakland-school-party/" xr:uid="{00000000-0004-0000-0100-0000A0020000}"/>
    <hyperlink ref="K1394" r:id="rId674" display="http://www.wvlt.tv/home/headlines/4542511.html" xr:uid="{00000000-0004-0000-0100-0000A1020000}"/>
    <hyperlink ref="K1395" r:id="rId675" display="https://www.chron.com/news/houston-texas/article/Katy-student-shoots-himself-at-high-school-1862524.php" xr:uid="{00000000-0004-0000-0100-0000A2020000}"/>
    <hyperlink ref="K1396" r:id="rId676" display="https://www.washingtonexaminer.com/third-grader-at-grove-park-brings-gun-to-city-school" xr:uid="{00000000-0004-0000-0100-0000A3020000}"/>
    <hyperlink ref="K1397" r:id="rId677" display="https://www.newspapers.com/image/166180631/?terms=POMONA%2BMIDDLE%2BSCHOOL" xr:uid="{00000000-0004-0000-0100-0000A4020000}"/>
    <hyperlink ref="K1402" r:id="rId678" display="http://www.washingtonpost.com/wp-dyn/content/article/2006/09/23/AR2006092301174.html" xr:uid="{00000000-0004-0000-0100-0000A5020000}"/>
    <hyperlink ref="K1403" r:id="rId679" display="https://www.newspapers.com/image/151778408/?terms=westminster%2Bchristian%2Bacademy" xr:uid="{00000000-0004-0000-0100-0000A6020000}"/>
    <hyperlink ref="K1404" r:id="rId680" display="https://www.amazon.com/WIN-Memoir-Shooting-Gabe-Medrano/dp/1432793624" xr:uid="{00000000-0004-0000-0100-0000A7020000}"/>
    <hyperlink ref="K1405" r:id="rId681" display="https://www.columbine-angels.com/School_Violence_2006-2007.htm" xr:uid="{00000000-0004-0000-0100-0000A8020000}"/>
    <hyperlink ref="K1406" r:id="rId682" display="https://www.newspapers.com/image/106551825/?terms=Oxford%2BHigh%2BSchool%2BHawkins%2Bshot" xr:uid="{00000000-0004-0000-0100-0000A9020000}"/>
    <hyperlink ref="K1408" r:id="rId683" display="https://www.washingtonpost.com/archive/local/2006/08/30/teen-held-after-shot-is-fired-outside-se-school/a1d30f03-8e66-47af-a999-d43629af535b/?utm_term=.37a883ef0fca" xr:uid="{00000000-0004-0000-0100-0000AA020000}"/>
    <hyperlink ref="K1410" r:id="rId684" display="http://www.14news.com/story/5306020/funeral-set-for-castle-suicide-victim?clienttype=printable&amp;redirected=true" xr:uid="{00000000-0004-0000-0100-0000AB020000}"/>
    <hyperlink ref="K1411" r:id="rId685" display="http://www.savannahnow.com/article/20060821/NEWS/308219914" xr:uid="{00000000-0004-0000-0100-0000AC020000}"/>
    <hyperlink ref="K1412" r:id="rId686" display="http://www.vindy.com/news/2009/jul/27/trial-under-way-for-man-accused-of-shooting-death/" xr:uid="{00000000-0004-0000-0100-0000AD020000}"/>
    <hyperlink ref="K1413" r:id="rId687" display="http://www.pressreader.com/usa/austin-american-statesman/20060822/281908768618808" xr:uid="{00000000-0004-0000-0100-0000AE020000}"/>
    <hyperlink ref="K1414" r:id="rId688" display="https://www.newspapers.com/image/379718672/?terms=J.%2BT.%2BAlton%2BMiddle%2BSchool%2Bbullet%2Bceiling" xr:uid="{00000000-0004-0000-0100-0000AF020000}"/>
    <hyperlink ref="K1415" r:id="rId689" display="https://www.newspapers.com/image/330166745/" xr:uid="{00000000-0004-0000-0100-0000B0020000}"/>
    <hyperlink ref="K1416" r:id="rId690" display="https://www.newspapers.com/image/363378271/?terms=Pershing%2BHigh%2BSchool%2Bshooting" xr:uid="{00000000-0004-0000-0100-0000B1020000}"/>
    <hyperlink ref="K1417" r:id="rId691" display="https://www.nwitimes.com/news/local/eskew-guilty-in-wirt-high-school-shooting/article_c43a6d4c-8921-5a4a-8e1a-8af4f3506ca2.html" xr:uid="{00000000-0004-0000-0100-0000B2020000}"/>
    <hyperlink ref="K1418" r:id="rId692" display="http://articles.latimes.com/2006/jun/07/local/me-venice7" xr:uid="{00000000-0004-0000-0100-0000B3020000}"/>
    <hyperlink ref="K1419" r:id="rId693" display="http://articles.mcall.com/2006-05-26/news/3667295_1_students-or-teachers-district-s-zero-tolerance-senior-prom" xr:uid="{00000000-0004-0000-0100-0000B4020000}"/>
    <hyperlink ref="K1420" r:id="rId694" display="http://www.wistv.com/story/4933127/officer-shoots-at-intruder-at-dutch-fork-hs" xr:uid="{00000000-0004-0000-0100-0000B5020000}"/>
    <hyperlink ref="K1421" r:id="rId695" display="http://articles.sun-sentinel.com/2006-05-07/news/0605060367_1_charter-school-parking-lot-office-bill-robertson" xr:uid="{00000000-0004-0000-0100-0000B6020000}"/>
    <hyperlink ref="K1422" r:id="rId696" display="https://www.wral.com/news/local/story/157302/" xr:uid="{00000000-0004-0000-0100-0000B7020000}"/>
    <hyperlink ref="K1423" r:id="rId697" display="https://www.chron.com/news/houston-texas/article/Two-cut-by-glass-after-HISD-bus-shot-1908192.php" xr:uid="{00000000-0004-0000-0100-0000B8020000}"/>
    <hyperlink ref="K1424" r:id="rId698" display="https://www.washingtonpost.com/archive/business/technology/2006/04/05/shooting-at-roosevelt-high-injures-19-year-old-student/5e198f72-616c-4f3e-8b06-25cdc4162735/?utm_term=.0b3f619eca63" xr:uid="{00000000-0004-0000-0100-0000B9020000}"/>
    <hyperlink ref="K1426" r:id="rId699" display="http://www.downtownexpress.com/de_149/bbgunshotingatis89.html" xr:uid="{00000000-0004-0000-0100-0000BA020000}"/>
    <hyperlink ref="K1427" r:id="rId700" display="https://www.usatoday.com/story/news/2015/10/01/roseburg-had-school-shooting-2006/73168186/" xr:uid="{00000000-0004-0000-0100-0000BB020000}"/>
    <hyperlink ref="K1428" r:id="rId701" display="http://www.post-gazette.com/local/city/2007/02/28/Rifle-used-to-shoot-teen-outside-school-tied-to-2nd-shooting/stories/200702280235" xr:uid="{00000000-0004-0000-0100-0000BC020000}"/>
    <hyperlink ref="K1429" r:id="rId702" display="https://www.ydr.com/story/news/local/blogs/teen-takeover/2006/02/24/school-censoring-student-writi/31691051/" xr:uid="{00000000-0004-0000-0100-0000BD020000}"/>
    <hyperlink ref="K1430" r:id="rId703" display="https://www.newspapers.com/image/164693932/?terms=William%2BPenn%2BHigh%2BSchool%2Bshooting" xr:uid="{00000000-0004-0000-0100-0000BE020000}"/>
    <hyperlink ref="K1431" r:id="rId704" display="https://www.newspapers.com/image/192748872/?terms=Longfellow%2BElementary%2BSchool%2Belbow%2Bbus" xr:uid="{00000000-0004-0000-0100-0000BF020000}"/>
    <hyperlink ref="K1432" r:id="rId705" display="https://mtstandard.com/news/state-and-regional/student-dies-in-suicide-at-c-m-russell/article_6b906cf5-ad30-5bc9-87cd-1929be726a82.html" xr:uid="{00000000-0004-0000-0100-0000C0020000}"/>
    <hyperlink ref="K1433" r:id="rId706" display="https://www.statesman.com/news/state--regional/santa-school-shooting-the-deadliest-texas-since-tower-shooting/pdX1aBkUi4kR3NUVqxdbJP/" xr:uid="{00000000-0004-0000-0100-0000C1020000}"/>
    <hyperlink ref="K1434" r:id="rId707" display="http://www.thereporter.com/article/zz/20060124/NEWS/601249925" xr:uid="{00000000-0004-0000-0100-0000C2020000}"/>
    <hyperlink ref="K1435" r:id="rId708" display="https://www.newspapers.com/image/102780485/?terms=Withrow%2BHigh%2BSchool%2Bshooting" xr:uid="{00000000-0004-0000-0100-0000C3020000}"/>
    <hyperlink ref="K1436" r:id="rId709" display="https://mtstandard.com/news/local/anaconda-students-expelled-after-air-gun-shooting-incident/article_846a24e2-3d18-5764-a1a7-ccfb3bb8e820.html" xr:uid="{00000000-0004-0000-0100-0000C4020000}"/>
    <hyperlink ref="K1437" r:id="rId710" display="https://pilotonline.com/news/article_91bd4bea-b9dc-5c30-bff7-43f583e1f7a9.html" xr:uid="{00000000-0004-0000-0100-0000C5020000}"/>
    <hyperlink ref="K1438" r:id="rId711" display="https://www.chron.com/news/houston-texas/article/Alvin-6th-grader-shoots-himself-in-the-leg-in-1939399.php" xr:uid="{00000000-0004-0000-0100-0000C6020000}"/>
    <hyperlink ref="K1439" r:id="rId712" display="https://www.columbine-angels.com/School_Violence_2005-2006.htm" xr:uid="{00000000-0004-0000-0100-0000C7020000}"/>
    <hyperlink ref="K1440" r:id="rId713" display="https://www.cbsnews.com/news/parents-we-told-police-gun-was-fake/" xr:uid="{00000000-0004-0000-0100-0000C8020000}"/>
    <hyperlink ref="K1441" r:id="rId714" display="http://www.gadsdentimes.com/lifestyle/20060116/student-charged-in-fatal-shooting-after-game" xr:uid="{00000000-0004-0000-0100-0000C9020000}"/>
    <hyperlink ref="K1442" r:id="rId715" display="https://www.newspapers.com/image/343443050/?terms=girl%2Bshot%2Bschool%2Bplayground" xr:uid="{00000000-0004-0000-0100-0000CA020000}"/>
    <hyperlink ref="K1443" r:id="rId716" display="https://www.newspapers.com/image/164693932/?terms=Mount%2BPleasant%2BHigh%2BSchool%2Bshooting" xr:uid="{00000000-0004-0000-0100-0000CB020000}"/>
    <hyperlink ref="K1444" r:id="rId717" display="https://www.nytimes.com/2006/01/05/nyregion/gangs-tied-to-violence-near-jersey-city-school.html" xr:uid="{00000000-0004-0000-0100-0000CC020000}"/>
    <hyperlink ref="K1445" r:id="rId718" display="https://www.ocregister.com/2005/12/08/five-arrests-made-in-santiago-high-shooting-death/" xr:uid="{00000000-0004-0000-0100-0000CD020000}"/>
    <hyperlink ref="K1447" r:id="rId719" display="http://archive.boston.com/news/local/articles/2005/12/07/a_mattapan_teen_gets_stiff_bail_terms/" xr:uid="{00000000-0004-0000-0100-0000CE020000}"/>
    <hyperlink ref="K1448" r:id="rId720" display="http://www.kxii.com/home/headlines/1978757.html" xr:uid="{00000000-0004-0000-0100-0000CF020000}"/>
    <hyperlink ref="K1449" r:id="rId721" display="http://www.cnn.com/2005/US/11/15/florida.shooting/index.html" xr:uid="{00000000-0004-0000-0100-0000D0020000}"/>
    <hyperlink ref="K1451" r:id="rId722" display="http://plainedgechat.proboards.com/thread/23" xr:uid="{00000000-0004-0000-0100-0000D1020000}"/>
    <hyperlink ref="K1452" r:id="rId723" display="http://articles.baltimoresun.com/2005-10-30/news/0510300052_1_annapolis-shooting-was-accidental-charged-in-shooting" xr:uid="{00000000-0004-0000-0100-0000D2020000}"/>
    <hyperlink ref="K1454" r:id="rId724" display="https://www.michigandaily.com/content/school-shooting-injures-student" xr:uid="{00000000-0004-0000-0100-0000D3020000}"/>
    <hyperlink ref="K1455" r:id="rId725" display="http://articles.latimes.com/2005/oct/20/local/me-iebrief20" xr:uid="{00000000-0004-0000-0100-0000D4020000}"/>
    <hyperlink ref="K1456" r:id="rId726" display="https://nypost.com/2005/10/15/teen-shot-in-hs-madness-leg-hurt-by-punk-at-school/" xr:uid="{00000000-0004-0000-0100-0000D5020000}"/>
    <hyperlink ref="K1457" r:id="rId727" display="https://dailyjournalonline.com/news/local/farmington-youth-is-headed-for-prison/article_c56ed328-1d5d-5ef6-82a8-d88ae950e9e3.html" xr:uid="{00000000-0004-0000-0100-0000D6020000}"/>
    <hyperlink ref="K1458" r:id="rId728" display="https://www.newspapers.com/image/442838812/?terms=SAGINAW%2BDRIVE-BY%2BSHOOTING" xr:uid="{00000000-0004-0000-0100-0000D7020000}"/>
    <hyperlink ref="K1459" r:id="rId729" display="http://articles.chicagotribune.com/2005-09-14/news/0509140261_1_student-chicago-public-schools-initial-fight" xr:uid="{00000000-0004-0000-0100-0000D8020000}"/>
    <hyperlink ref="K1460" r:id="rId730" display="https://www.questia.com/newspaper/1G1-136174022/student-shot-at-school-police-say-the-shooting-was" xr:uid="{00000000-0004-0000-0100-0000D9020000}"/>
    <hyperlink ref="K1461" r:id="rId731" display="https://www.columbine-angels.com/School_Violence_2005-2006.htm" xr:uid="{00000000-0004-0000-0100-0000DA020000}"/>
    <hyperlink ref="K1462" r:id="rId732" display="http://www.foxnews.com/story/2005/11/09/principal-praised-as-hero-in-tenn-school-shooting.html" xr:uid="{00000000-0004-0000-0100-0000DB020000}"/>
    <hyperlink ref="K1463" r:id="rId733" display="https://www.columbine-angels.com/School_Violence_2005-2006.htm" xr:uid="{00000000-0004-0000-0100-0000DC020000}"/>
    <hyperlink ref="K1464" r:id="rId734" display="https://www.columbine-angels.com/School_Violence_2005-2006.htm" xr:uid="{00000000-0004-0000-0100-0000DD020000}"/>
    <hyperlink ref="K1466" r:id="rId735" display="https://www.nytimes.com/2005/07/20/nyregion/2-men-charged-in-slaying-of-officer-at-newark-school.html" xr:uid="{00000000-0004-0000-0100-0000DE020000}"/>
    <hyperlink ref="K1467" r:id="rId736" display="https://www.columbine-angels.com/School_Violence_2004-2005.htm" xr:uid="{00000000-0004-0000-0100-0000DF020000}"/>
    <hyperlink ref="K1468" r:id="rId737" display="https://www.columbine-angels.com/School_Violence_2004-2005.htm" xr:uid="{00000000-0004-0000-0100-0000E0020000}"/>
    <hyperlink ref="K1469" r:id="rId738" display="https://www.denverpost.com/2005/05/24/pellets-strike-2-adults-on-busy-school-playground/" xr:uid="{00000000-0004-0000-0100-0000E1020000}"/>
    <hyperlink ref="K1470" r:id="rId739" display="https://www.newspapers.com/image/219341527/" xr:uid="{00000000-0004-0000-0100-0000E2020000}"/>
    <hyperlink ref="K1471" r:id="rId740" display="http://articles.chicagotribune.com/2005-05-26/news/0505260268_1_hallman-pupils-soft-air-gun" xr:uid="{00000000-0004-0000-0100-0000E3020000}"/>
    <hyperlink ref="K1472" r:id="rId741" display="https://cumberlink.com/news/murder-suicide-shocks-school/article_f20ad9ba-ef8b-5fc1-bf1e-2507ab486715.html" xr:uid="{00000000-0004-0000-0100-0000E4020000}"/>
    <hyperlink ref="K1473" r:id="rId742" display="http://www.freerepublic.com/focus/news/1404328/posts" xr:uid="{00000000-0004-0000-0100-0000E5020000}"/>
    <hyperlink ref="K1474" r:id="rId743" display="https://www.columbine-angels.com/School_Violence_2004-2005.htm" xr:uid="{00000000-0004-0000-0100-0000E6020000}"/>
    <hyperlink ref="K1475" r:id="rId744" display="https://www.lobservateur.com/2005/05/02/godchaux-student-fires-handgun-in-class/" xr:uid="{00000000-0004-0000-0100-0000E7020000}"/>
    <hyperlink ref="K1476" r:id="rId745" location=".W2cyndJKiUk" display="http://www.nbcnews.com/id/7420306/ns/us_news-crime_and_courts/t/wounded-coach-upset-some-players-parents/ - .W2cyndJKiUk" xr:uid="{00000000-0004-0000-0100-0000E8020000}"/>
    <hyperlink ref="K1477" r:id="rId746" display="https://www.columbine-angels.com/School_Violence_2004-2005.htm" xr:uid="{00000000-0004-0000-0100-0000E9020000}"/>
    <hyperlink ref="K1478" r:id="rId747" display="https://www.columbine-angels.com/School_Violence_2004-2005.htm" xr:uid="{00000000-0004-0000-0100-0000EA020000}"/>
    <hyperlink ref="K1480" r:id="rId748" display="http://www.nydailynews.com/archives/news/b-klyn-hs-panic-boy-shoots-leg-article-1.589241" xr:uid="{00000000-0004-0000-0100-0000EB020000}"/>
    <hyperlink ref="K1481" r:id="rId749" display="https://www.newspapers.com/image/321630892/?terms=o.%2Bperry%2Bhigh%2Bschool" xr:uid="{00000000-0004-0000-0100-0000EC020000}"/>
    <hyperlink ref="K1483" r:id="rId750" display="http://www.post-gazette.com/local/city/2007/05/02/Dueling-snitches-muddy-trial-in-Carrick-High-School-killing/stories/200705020345" xr:uid="{00000000-0004-0000-0100-0000ED020000}"/>
    <hyperlink ref="K1484" r:id="rId751" display="https://www.bgfalconmedia.com/fourth-grader-injured-after-toting-gun-to-school/article_b41044bf-61db-5b3a-a623-89b6ca62a191.html" xr:uid="{00000000-0004-0000-0100-0000EE020000}"/>
    <hyperlink ref="K1485" r:id="rId752" display="https://www.columbine-angels.com/School_Violence_2004-2005.htm" xr:uid="{00000000-0004-0000-0100-0000EF020000}"/>
    <hyperlink ref="K1486" r:id="rId753" display="https://www.columbine-angels.com/School_Violence_2004-2005.htm" xr:uid="{00000000-0004-0000-0100-0000F0020000}"/>
    <hyperlink ref="K1487" r:id="rId754" display="https://www.cbsnews.com/news/school-bus-driver-shot-to-death/" xr:uid="{00000000-0004-0000-0100-0000F1020000}"/>
    <hyperlink ref="K1488" r:id="rId755" display="http://articles.chicagotribune.com/2005-02-09/news/0502090400_1_chicago-public-schools-students-exits" xr:uid="{00000000-0004-0000-0100-0000F2020000}"/>
    <hyperlink ref="K1489" r:id="rId756" display="https://www.columbine-angels.com/School_Violence_2005-2006.htm" xr:uid="{00000000-0004-0000-0100-0000F3020000}"/>
    <hyperlink ref="K1490" r:id="rId757" display="http://www.pjstar.com/article/20131215/news/131219398" xr:uid="{00000000-0004-0000-0100-0000F4020000}"/>
    <hyperlink ref="K1491" r:id="rId758" display="http://www.philadelphiaweekly.com/news/state-of-disgrace/article_86c2a06b-190d-5781-ab53-23c8fb71c94c.html" xr:uid="{00000000-0004-0000-0100-0000F5020000}"/>
    <hyperlink ref="K1492" r:id="rId759" display="https://www.chron.com/news/houston-texas/article/1-dead-1-hurt-in-Richmond-State-School-shooting-1938319.php" xr:uid="{00000000-0004-0000-0100-0000F6020000}"/>
    <hyperlink ref="K1493" r:id="rId760" display="https://www.columbine-angels.com/School_Violence_2004-2005.htm" xr:uid="{00000000-0004-0000-0100-0000F7020000}"/>
    <hyperlink ref="K1494" r:id="rId761" display="http://www.spokesman.com/stories/2004/dec/11/skyler-cullitan-remembered-as-caring-outgoing/" xr:uid="{00000000-0004-0000-0100-0000F8020000}"/>
    <hyperlink ref="K1495" r:id="rId762" display="https://www.questia.com/newspaper/1G1-125515131/student-accidentally-shot-1-charged-terry-parker" xr:uid="{00000000-0004-0000-0100-0000F9020000}"/>
    <hyperlink ref="K1496" r:id="rId763" display="http://articles.orlandosentinel.com/keyword/gun-to-school/recent/3" xr:uid="{00000000-0004-0000-0100-0000FA020000}"/>
    <hyperlink ref="K1497" r:id="rId764" display="http://www.wtoc.com/story/2578224/gunman-sought-in-battery-creek-high-shooting" xr:uid="{00000000-0004-0000-0100-0000FB020000}"/>
    <hyperlink ref="K1498" r:id="rId765" display="https://www.nwitimes.com/news/local/suspect-in-school-shooting-in-custody/article_45dbc46d-b19d-5eda-a4e0-8823c211e6cd.html" xr:uid="{00000000-0004-0000-0100-0000FC020000}"/>
    <hyperlink ref="K1499" r:id="rId766" display="http://blog.al.com/spotnews/2009/04/suspect_in_drugrelated_titusvi.html" xr:uid="{00000000-0004-0000-0100-0000FD020000}"/>
    <hyperlink ref="K1500" r:id="rId767" display="https://www.sfgate.com/bayarea/article/HAYWARD-Man-fatally-shot-at-school-no-arrest-2679598.php" xr:uid="{00000000-0004-0000-0100-0000FE020000}"/>
    <hyperlink ref="K1501" r:id="rId768" display="http://articles.baltimoresun.com/2004-10-23/news/0410230240_1_thurgood-marshall-high-school-violence-city-schools" xr:uid="{00000000-0004-0000-0100-0000FF020000}"/>
    <hyperlink ref="K1502" r:id="rId769" display="http://articles.latimes.com/2004/oct/17/local/me-sbriefs17.2" xr:uid="{00000000-0004-0000-0100-000000030000}"/>
    <hyperlink ref="K1503" r:id="rId770" display="https://www.sfgate.com/bayarea/article/SUNNYVALE-2-killings-at-school-bring-murder-2641374.php" xr:uid="{00000000-0004-0000-0100-000001030000}"/>
    <hyperlink ref="K1504" r:id="rId771" display="https://www.upi.com/Distraught-teen-kills-himself-at-school/59631097364281/" xr:uid="{00000000-0004-0000-0100-000002030000}"/>
    <hyperlink ref="K1505" r:id="rId772" display="https://www.theindependent.com/news/man-charged-with-shooting-at-jefferson-school/article_3665f3f8-7aea-525c-b6a2-1d6de44bd561.html" xr:uid="{00000000-0004-0000-0100-000003030000}"/>
    <hyperlink ref="K1506" r:id="rId773" display="https://www.nwitimes.com/news/local/lake-county-news-briefs/article_cc5c39db-4f11-5fc4-8024-c813bc7b21f9.html" xr:uid="{00000000-0004-0000-0100-000004030000}"/>
    <hyperlink ref="K1507" r:id="rId774" display="https://en.wikipedia.org/wiki/List_of_school_shootings_in_the_United_States" xr:uid="{00000000-0004-0000-0100-000005030000}"/>
    <hyperlink ref="K1508" r:id="rId775" display="http://articles.chicagotribune.com/2004-08-31/news/0408310214_1_gang-related-shooting-proviso-east-high-school-student-parking-lot" xr:uid="{00000000-0004-0000-0100-000006030000}"/>
    <hyperlink ref="K1509" r:id="rId776" display="http://www.wmcactionnews5.com/story/7818497/police-investigate-shooting-inside-classroom-at-hamilton-high/" xr:uid="{00000000-0004-0000-0100-000007030000}"/>
    <hyperlink ref="K1510" r:id="rId777" display="http://www.gadsdentimes.com/article/DA/20040804/News/603205688/GT/" xr:uid="{00000000-0004-0000-0100-000008030000}"/>
    <hyperlink ref="K1511" r:id="rId778" display="https://www.eastbaytimes.com/2004/06/10/castlemont-pupils-shot-in-drive-by/" xr:uid="{00000000-0004-0000-0100-000009030000}"/>
    <hyperlink ref="K1512" r:id="rId779" display="https://www.deseretnews.com/article/595065631/Man-kills-wife-self-at-West-High.html" xr:uid="{00000000-0004-0000-0100-00000A030000}"/>
    <hyperlink ref="K1513" r:id="rId780" display="https://www.newspapers.com/image/285023326/?terms=East%2BCampus%2BEducational%2BCenter%2BJulio%2BNajar" xr:uid="{00000000-0004-0000-0100-00000B030000}"/>
    <hyperlink ref="K1515" r:id="rId781" display="https://www.chron.com/news/houston-texas/article/Gunfire-but-no-injuries-at-Kashmere-High-School-1651100.php" xr:uid="{00000000-0004-0000-0100-00000C030000}"/>
    <hyperlink ref="K1516" r:id="rId782" display="http://community.seattletimes.nwsource.com/archive/?date=20040319&amp;slug=boyshot19m" xr:uid="{00000000-0004-0000-0100-00000D030000}"/>
    <hyperlink ref="K1517" r:id="rId783" display="https://www.newspapers.com/image/192854243/?terms=Los%2BAngeles%2Bhigh%2Bschool%2Bshooting" xr:uid="{00000000-0004-0000-0100-00000E030000}"/>
    <hyperlink ref="K1518" r:id="rId784" display="https://www.iberianet.com/news/two-dead-in-friday-murder-suicide/article_6e2281d6-1558-5273-b883-8aa0132a8b2e.html" xr:uid="{00000000-0004-0000-0100-00000F030000}"/>
    <hyperlink ref="K1519" r:id="rId785" display="https://www.newspapers.com/image/410611502/" xr:uid="{00000000-0004-0000-0100-000010030000}"/>
    <hyperlink ref="K1520" r:id="rId786" display="http://www.foxnews.com/story/2006/03/16/two-guilty-in-slaying-philadelphia-boy.html" xr:uid="{00000000-0004-0000-0100-000011030000}"/>
    <hyperlink ref="K1522" r:id="rId787" display="https://www.shreveporttimes.com/story/news/2017/11/07/times-files-officer-fires-shot-fair-park-high/841429001/" xr:uid="{00000000-0004-0000-0100-000012030000}"/>
    <hyperlink ref="K1523" r:id="rId788" display="https://www.chron.com/news/houston-texas/article/Fifth-grader-accidentally-shoots-himself-at-school-1979500.php" xr:uid="{00000000-0004-0000-0100-000013030000}"/>
    <hyperlink ref="K1524" r:id="rId789" display="http://www.washingtonpost.com/wp-dyn/articles/A13630-2004Feb4.html" xr:uid="{00000000-0004-0000-0100-000014030000}"/>
    <hyperlink ref="K1525" r:id="rId790" display="https://lasvegassun.com/news/2004/feb/27/inquest-begins-in-shooting-at-elementary-school/" xr:uid="{00000000-0004-0000-0100-000015030000}"/>
    <hyperlink ref="K1526" r:id="rId791" display="https://www.newspapers.com/image/192733466/?terms=Pomona%2BHigh%2BSchool%2Bstudent%2Bshot" xr:uid="{00000000-0004-0000-0100-000016030000}"/>
    <hyperlink ref="K1527" r:id="rId792" display="https://www.news4jax.com/news/two-brothers-arrested-for-school-lot-shooting" xr:uid="{00000000-0004-0000-0100-000017030000}"/>
    <hyperlink ref="K1528" r:id="rId793" display="https://www.newspapers.com/image/225032236/?terms=Colonia%2BHigh%2BSchool%2Bhandgun" xr:uid="{00000000-0004-0000-0100-000018030000}"/>
    <hyperlink ref="K1529" r:id="rId794" display="http://articles.baltimoresun.com/2003-12-18/news/0312180341_1_two-middle-schools-school-officials-mill-high" xr:uid="{00000000-0004-0000-0100-000019030000}"/>
    <hyperlink ref="K1530" r:id="rId795" display="https://dailyegyptian.com/27496/archives/man-shot-in-leg-cchs-game/" xr:uid="{00000000-0004-0000-0100-00001A030000}"/>
    <hyperlink ref="K1531" r:id="rId796" display="https://newsok.com/article/1961014/arrest-warrant-issued-in-high-school-shooting" xr:uid="{00000000-0004-0000-0100-00001B030000}"/>
    <hyperlink ref="K1533" r:id="rId797" display="https://www.columbine-angels.com/School_Violence_2003-2004.htm" xr:uid="{00000000-0004-0000-0100-00001C030000}"/>
    <hyperlink ref="K1534" r:id="rId798" display="https://www.chron.com/news/houston-texas/article/Man-convicted-of-killing-student-outside-stadium-1624934.php" xr:uid="{00000000-0004-0000-0100-00001D030000}"/>
    <hyperlink ref="K1535" r:id="rId799" display="https://www.washingtonpost.com/archive/politics/2003/10/31/anacostia-high-student-is-fatally-shot-at-school/a36cda4b-5726-44b6-8658-07f7b3d2c499/?utm_term=.9b19cef0c21d" xr:uid="{00000000-0004-0000-0100-00001E030000}"/>
    <hyperlink ref="K1536" r:id="rId800" display="https://www.newspapers.com/image/226188784/" xr:uid="{00000000-0004-0000-0100-00001F030000}"/>
    <hyperlink ref="K1537" r:id="rId801" display="http://www.the-daily-record.com/news/20070723/kenmore-grad-remembers-every-detail-of-2003-school-shooting" xr:uid="{00000000-0004-0000-0100-000020030000}"/>
    <hyperlink ref="K1538" r:id="rId802" display="http://articles.latimes.com/2003/oct/02/local/me-shooting2" xr:uid="{00000000-0004-0000-0100-000021030000}"/>
    <hyperlink ref="K1541" r:id="rId803" display="http://www.spokesman.com/stories/2004/sep/04/father-says-police-too-aggressive-high-school-shoo/" xr:uid="{00000000-0004-0000-0100-000022030000}"/>
    <hyperlink ref="K1542" r:id="rId804" display="http://archive.boston.com/news/local/articles/2003/09/18/teen_shot_near_charlestown_high/" xr:uid="{00000000-0004-0000-0100-000023030000}"/>
    <hyperlink ref="K1543" r:id="rId805" display="https://en.wikipedia.org/wiki/List_of_school_shootings_in_the_United_States" xr:uid="{00000000-0004-0000-0100-000024030000}"/>
    <hyperlink ref="K1544" r:id="rId806" display="https://www.vicksburgpost.com/2003/09/11/former-vhs-student-shot-dead/" xr:uid="{00000000-0004-0000-0100-000025030000}"/>
    <hyperlink ref="K1546" r:id="rId807" display="https://newspaperarchive.com/altoona-mirror-may-14-2003-p-11/" xr:uid="{00000000-0004-0000-0100-000026030000}"/>
    <hyperlink ref="K1548" r:id="rId808" display="http://obits.dallasnews.com/obituaries/dallasmorningnews/obituary.aspx?page=lifestory&amp;pid=950952" xr:uid="{00000000-0004-0000-0100-000027030000}"/>
    <hyperlink ref="K1549" r:id="rId809" display="https://www.washingtonpost.com/archive/politics/2003/04/15/youth-15-dies-in-shooting-at-new-orleans-high-school/a2b1c00e-b101-4b41-ae45-a150abc01ada/?utm_term=.0ec08f1f82f8" xr:uid="{00000000-0004-0000-0100-000028030000}"/>
    <hyperlink ref="K1550" r:id="rId810" display="https://www.newspapers.com/image/220871722/?terms=Fair%2BPark%2BHigh%2BSchool%2BSteven%2BGreen" xr:uid="{00000000-0004-0000-0100-000029030000}"/>
    <hyperlink ref="K1551" r:id="rId811" display="https://web.archive.org/web/20050211181322/https:/www.nbc4.tv/news/2104581/detail.html" xr:uid="{00000000-0004-0000-0100-00002A030000}"/>
    <hyperlink ref="K1552" r:id="rId812" display="https://www.washingtontimes.com/news/2003/apr/4/20030404-090538-6902r/" xr:uid="{00000000-0004-0000-0100-00002B030000}"/>
    <hyperlink ref="K1553" r:id="rId813" display="http://www.santacruzsentinel.com/article/zz/20080625/NEWS/806259869" xr:uid="{00000000-0004-0000-0100-00002C030000}"/>
    <hyperlink ref="K1554" r:id="rId814" display="https://www.franklincountytimes.com/2003/03/26/northeast-high-school-begins-healing-process/" xr:uid="{00000000-0004-0000-0100-00002D030000}"/>
    <hyperlink ref="K1555" r:id="rId815" display="https://azdailysun.com/teen-shoots-himself-in-principal-s-office/article_4262b5f6-0d4a-536c-9859-fb77384f957a.html" xr:uid="{00000000-0004-0000-0100-00002E030000}"/>
    <hyperlink ref="K1556" r:id="rId816" display="https://trib.com/news/state-and-regional/shots-fired-outside-colorado-high-school/article_6fc1cc83-9e5a-5600-ba1a-d3044ce97ab7.html" xr:uid="{00000000-0004-0000-0100-00002F030000}"/>
    <hyperlink ref="K1557" r:id="rId817" display="https://www.tulsaworld.com/archives/jenks-student-yields-after-standoff/article_df79f378-452f-5400-9568-28cd4a828fdf.html" xr:uid="{00000000-0004-0000-0100-000030030000}"/>
    <hyperlink ref="K1558" r:id="rId818" display="https://www.newspapers.com/image/362208049/?terms=Olive%2BHill%2Bschool%2Bhostage" xr:uid="{00000000-0004-0000-0100-000031030000}"/>
    <hyperlink ref="K1559" r:id="rId819" display="http://articles.chicagotribune.com/2002-12-17/news/0212180098_1_chicago-public-schools-chicago-police-alleged" xr:uid="{00000000-0004-0000-0100-000032030000}"/>
    <hyperlink ref="K1561" r:id="rId820" display="https://www.newspapers.com/image/205047710/?terms=student%2Bshoots" xr:uid="{00000000-0004-0000-0100-000033030000}"/>
    <hyperlink ref="K1562" r:id="rId821" display="http://articles.latimes.com/2002/nov/15/local/me-carson15" xr:uid="{00000000-0004-0000-0100-000034030000}"/>
    <hyperlink ref="K1563" r:id="rId822" display="https://www.myplainview.com/news/article/Scurry-Rosser-faculty-students-subdue-gunman-8787426.php" xr:uid="{00000000-0004-0000-0100-000035030000}"/>
    <hyperlink ref="K1564" r:id="rId823" display="https://www.semissourian.com/story/152973.html" xr:uid="{00000000-0004-0000-0100-000036030000}"/>
    <hyperlink ref="K1565" r:id="rId824" display="http://www.cnn.com/2002/US/Northeast/10/29/school.shooting/" xr:uid="{00000000-0004-0000-0100-000037030000}"/>
    <hyperlink ref="K1566" r:id="rId825" display="https://www.theguardian.com/world/2002/oct/08/usgunviolence.usa" xr:uid="{00000000-0004-0000-0100-000038030000}"/>
    <hyperlink ref="K1568" r:id="rId826" display="http://ssristories.drugawareness.org/archive/showa5f5.html?item=224" xr:uid="{00000000-0004-0000-0100-000039030000}"/>
    <hyperlink ref="K1569" r:id="rId827" display="https://www.newspapers.com/image/229238117/?terms=Toran%2BJoseph%2BRichard%2BAntoine%2Bschool%2Bdance" xr:uid="{00000000-0004-0000-0100-00003A030000}"/>
    <hyperlink ref="K1571" r:id="rId828" display="https://www.newspapers.com/image/4986183/" xr:uid="{00000000-0004-0000-0100-00003B030000}"/>
    <hyperlink ref="K1572" r:id="rId829" display="https://www.newspapers.com/image/390065452/?terms=Roosevelt%2BHigh%2BSchool%2Bshooting%2BJose%2BVela" xr:uid="{00000000-0004-0000-0100-00003C030000}"/>
    <hyperlink ref="K1573" r:id="rId830" display="http://articles.latimes.com/2002/feb/07/local/me-shot7" xr:uid="{00000000-0004-0000-0100-00003D030000}"/>
    <hyperlink ref="K1574" r:id="rId831" display="https://www.newspapers.com/image/434313780/?terms=thomas%2Bmcadams%2Barrested" xr:uid="{00000000-0004-0000-0100-00003E030000}"/>
    <hyperlink ref="K1575" r:id="rId832" display="http://articles.mcall.com/2003-09-24/news/3482461_1_berks-christian-school-otto-nuss-bus-driver" xr:uid="{00000000-0004-0000-0100-00003F030000}"/>
    <hyperlink ref="K1576" r:id="rId833" display="https://www.cbsnews.com/news/arrest-in-nyc-school-shooting/" xr:uid="{00000000-0004-0000-0100-000040030000}"/>
    <hyperlink ref="K1578" r:id="rId834" display="https://www.chron.com/news/houston-texas/article/Friendswood-teacher-indicted-over-gunfire-2059926.php" xr:uid="{00000000-0004-0000-0100-000041030000}"/>
    <hyperlink ref="K1579" r:id="rId835" display="https://www.michigandaily.com/content/17-year-old-takes-hostages-school-commits-suicide" xr:uid="{00000000-0004-0000-0100-000042030000}"/>
    <hyperlink ref="K1580" r:id="rId836" display="https://www.newspapers.com/image/220634008/?terms=High%2BSchool%2BSaginaw%2Bgun%2Bjacket" xr:uid="{00000000-0004-0000-0100-000043030000}"/>
    <hyperlink ref="K1581" r:id="rId837" display="http://articles.latimes.com/2001/oct/27/local/me-62198" xr:uid="{00000000-0004-0000-0100-000044030000}"/>
    <hyperlink ref="K1582" r:id="rId838" display="https://www.deseretnews.com/article/868847/Boy-shoots-self-at-school.html" xr:uid="{00000000-0004-0000-0100-000045030000}"/>
    <hyperlink ref="K1583" r:id="rId839" display="http://articles.baltimoresun.com/2001-09-21/news/0109210200_1_lake-clifton-neighborhood-dispute-inside-the-school" xr:uid="{00000000-0004-0000-0100-000046030000}"/>
    <hyperlink ref="K1584" r:id="rId840" display="http://www.enquirer.com/editions/2001/09/14/loc_children_who_saw.html" xr:uid="{00000000-0004-0000-0100-000047030000}"/>
    <hyperlink ref="K1585" r:id="rId841" display="http://www.ladowntownnews.com/news/lockdown-at-belmont-high/article_cc919569-fc0c-5517-be27-6e7adfd7e46a.html" xr:uid="{00000000-0004-0000-0100-000048030000}"/>
    <hyperlink ref="K1587" r:id="rId842" display="https://www.deseretnews.com/article/843018/Texas-teen-kills-himself-at-school.html" xr:uid="{00000000-0004-0000-0100-000049030000}"/>
    <hyperlink ref="K1588" r:id="rId843" display="https://nthfmemorial.org/mystery-in-ohio-demetrius-minifee/" xr:uid="{00000000-0004-0000-0100-00004A030000}"/>
    <hyperlink ref="K1589" r:id="rId844" display="https://products.kitsapsun.com/archive/2001/04-21/0043_in_the_headlines.html" xr:uid="{00000000-0004-0000-0100-00004B030000}"/>
    <hyperlink ref="K1591" r:id="rId845" display="https://www.chron.com/news/houston-texas/article/Eighth-grade-girl-dies-after-shooting-herself-at-2012069.php" xr:uid="{00000000-0004-0000-0100-00004C030000}"/>
    <hyperlink ref="K1592" r:id="rId846" display="http://edition.cnn.com/2001/US/03/31/school.shooting/" xr:uid="{00000000-0004-0000-0100-00004D030000}"/>
    <hyperlink ref="K1595" r:id="rId847" display="http://community.seattletimes.nwsource.com/archive/?date=20010308&amp;slug=kent08m0" xr:uid="{00000000-0004-0000-0100-00004E030000}"/>
    <hyperlink ref="K1596" r:id="rId848" display="https://www.washingtontimes.com/news/2001/mar/8/20010308-021529-7742r/" xr:uid="{00000000-0004-0000-0100-00004F030000}"/>
    <hyperlink ref="K1598" r:id="rId849" display="https://www.deseretnews.com/article/831817/School-hopes-suicide-doesnt-put-it-in-spotlight.html" xr:uid="{00000000-0004-0000-0100-000050030000}"/>
    <hyperlink ref="K1599" r:id="rId850" display="http://edition.cnn.com/2001/US/02/02/detroit.shooting/index.html" xr:uid="{00000000-0004-0000-0100-000051030000}"/>
    <hyperlink ref="K1600" r:id="rId851" display="http://articles.baltimoresun.com/2001-01-19/news/0101190243_1_sanders-inside-the-school-school-shooting" xr:uid="{00000000-0004-0000-0100-000052030000}"/>
    <hyperlink ref="K1601" r:id="rId852" display="http://articles.latimes.com/2001/jan/11/local/me-11081" xr:uid="{00000000-0004-0000-0100-000053030000}"/>
    <hyperlink ref="K1602" r:id="rId853" display="https://www.sfgate.com/news/article/Security-Review-After-Accident-Student-shot-2968986.php" xr:uid="{00000000-0004-0000-0100-000054030000}"/>
    <hyperlink ref="K1603" r:id="rId854" display="http://articles.sun-sentinel.com/2000-12-21/news/0012210472_1_armored-car-armored-guard-routine-pickup" xr:uid="{00000000-0004-0000-0100-000055030000}"/>
    <hyperlink ref="K1604" r:id="rId855" display="https://www.sfgate.com/bayarea/article/Drive-by-Shooter-Kills-Teen-2692458.php" xr:uid="{00000000-0004-0000-0100-000056030000}"/>
    <hyperlink ref="K1605" r:id="rId856" display="http://articles.latimes.com/2000/dec/02/local/me-60380" xr:uid="{00000000-0004-0000-0100-000057030000}"/>
    <hyperlink ref="K1606" r:id="rId857" display="http://www.berkeleydailyplanet.com/issue/2000-12-06/article/2518" xr:uid="{00000000-0004-0000-0100-000058030000}"/>
    <hyperlink ref="K1607" r:id="rId858" display="https://www.deseretnews.com/article/791173/Student-takes-class-hostage.html" xr:uid="{00000000-0004-0000-0100-000059030000}"/>
    <hyperlink ref="K1608" r:id="rId859" display="http://tucsoncitizen.com/morgue2/2000/10/25/84611-teen-holds-class-teacher-hostage-at-his-former-glendale-school/" xr:uid="{00000000-0004-0000-0100-00005A030000}"/>
    <hyperlink ref="K1609" r:id="rId860" display="https://www.newspapers.com/image/195721847/?terms=shooting%2Bhomecoming%2BMinneapolis" xr:uid="{00000000-0004-0000-0100-00005B030000}"/>
    <hyperlink ref="K1610" r:id="rId861" display="http://abcnews.go.com/US/story?id=95621&amp;page=1" xr:uid="{00000000-0004-0000-0100-00005C030000}"/>
    <hyperlink ref="K1611" r:id="rId862" display="https://www.newspapers.com/image/324100036/?terms=Mount%2BHealthy%2C%2BOhio%2Bschool%2Bgun" xr:uid="{00000000-0004-0000-0100-00005D030000}"/>
    <hyperlink ref="K1614" r:id="rId863" display="http://enquirer.com/editions/2000/11/14/loc_driver_in_fatal.html" xr:uid="{00000000-0004-0000-0100-00005E030000}"/>
    <hyperlink ref="K1615" r:id="rId864" display="https://products.kitsapsun.com/archive/2000/10-19/0036_cafeteria__teen_pleads_guilty_to_.html" xr:uid="{00000000-0004-0000-0100-00005F030000}"/>
    <hyperlink ref="K1617" r:id="rId865" display="http://tucsoncitizen.com/morgue2/2000/05/11/58653-sierra-vista-shootings-prompt-safety-review/" xr:uid="{00000000-0004-0000-0100-000060030000}"/>
    <hyperlink ref="K1618" r:id="rId866" display="https://www.newspapers.com/image/340040843/?terms=high%2Bschool%2Bsuicide%2Bdenver" xr:uid="{00000000-0004-0000-0100-000061030000}"/>
    <hyperlink ref="K1619" r:id="rId867" display="https://www.cbsnews.com/news/fear-turns-to-outrage-at-tucson-school/" xr:uid="{00000000-0004-0000-0100-000062030000}"/>
    <hyperlink ref="K1620" r:id="rId868" display="https://www.newspapers.com/image/454563845/?terms=Hugo%2BHigh%2BSchool%2Bshooting" xr:uid="{00000000-0004-0000-0100-000063030000}"/>
    <hyperlink ref="K1621" r:id="rId869" display="https://www.cbsnews.com/news/boy-charged-in-school-gun-scare/" xr:uid="{00000000-0004-0000-0100-000064030000}"/>
    <hyperlink ref="K1624" r:id="rId870" display="http://articles.chicagotribune.com/2000-03-30/news/0003300274_1_metal-detectors-elementary-schools-west-side-school" xr:uid="{00000000-0004-0000-0100-000065030000}"/>
    <hyperlink ref="K1628" r:id="rId871" display="https://www.newspapers.com/image/197812875/?terms=Erwin%2BHigh%2BSchool%2Bshooting" xr:uid="{00000000-0004-0000-0100-000066030000}"/>
    <hyperlink ref="K1629" r:id="rId872" display="http://www.tbo.com/pasco-county/teen-who-accidentally-shot-friend-lands-in-jail-as-adult-87255" xr:uid="{00000000-0004-0000-0100-000067030000}"/>
    <hyperlink ref="K1630" r:id="rId873" display="https://www.newspapers.com/image/342081991/?terms=Albuquerque%2BHigh%2BSchool%2Bshooting" xr:uid="{00000000-0004-0000-0100-000068030000}"/>
    <hyperlink ref="K1633" r:id="rId874" display="https://www.abqjournal.com/news/state/apteen10-12-04.htm" xr:uid="{00000000-0004-0000-0100-000069030000}"/>
    <hyperlink ref="K1634" r:id="rId875" display="https://www.newspapers.com/image/13325920/?terms=Dickinson%2BHigh%2BSchool%2Bshooting" xr:uid="{00000000-0004-0000-0100-00006A030000}"/>
    <hyperlink ref="K1635" r:id="rId876" display="https://www.newspapers.com/image/184629441/?terms=shooting%2BDonald%2BMcNeil" xr:uid="{00000000-0004-0000-0100-00006B030000}"/>
    <hyperlink ref="K1636" r:id="rId877" display="https://www.newspapers.com/image/220395374/?terms=Guyan%2BValley%2BHigh%2BSchool" xr:uid="{00000000-0004-0000-0100-00006C030000}"/>
    <hyperlink ref="K1637" r:id="rId878" display="http://articles.latimes.com/1999/oct/22/local/me-24932" xr:uid="{00000000-0004-0000-0100-00006D030000}"/>
    <hyperlink ref="K1638" r:id="rId879" display="https://lasvegassun.com/news/1999/oct/12/security-increased-after-shooting-at-clark-high/" xr:uid="{00000000-0004-0000-0100-00006E030000}"/>
    <hyperlink ref="K1639" r:id="rId880" display="https://www.cbsnews.com/news/vice-principal-shot-in-scuffle/" xr:uid="{00000000-0004-0000-0100-00006F030000}"/>
    <hyperlink ref="K1640" r:id="rId881" display="https://www.newspapers.com/image/327236803/?terms=Lauren%2BKlingensmith" xr:uid="{00000000-0004-0000-0100-000070030000}"/>
    <hyperlink ref="K1641" r:id="rId882" display="https://www.sfgate.com/bayarea/article/San-Jose-Boy-16-Fatally-Shoots-Himself-at-High-2909269.php" xr:uid="{00000000-0004-0000-0100-000071030000}"/>
    <hyperlink ref="K1642" r:id="rId883" display="https://www.cbsnews.com/news/ga-teen-found-dead-in-truck/" xr:uid="{00000000-0004-0000-0100-000072030000}"/>
    <hyperlink ref="K1644" r:id="rId884" display="https://www.newspapers.com/image/403219735/?terms=Geno%2BThomas%2Bshooting" xr:uid="{00000000-0004-0000-0100-000073030000}"/>
    <hyperlink ref="K1646" r:id="rId885" display="https://www.history.com/topics/columbine-high-school-shootings" xr:uid="{00000000-0004-0000-0100-000074030000}"/>
    <hyperlink ref="K1647" r:id="rId886" display="https://www.deseretnews.com/article/691987/Did-teen-in-school-shooting-have-hit-list.html" xr:uid="{00000000-0004-0000-0100-000075030000}"/>
    <hyperlink ref="K1648" r:id="rId887" display="http://articles.chicagotribune.com/1999-03-06/news/9903060113_1_hennessy-police-skokie" xr:uid="{00000000-0004-0000-0100-000076030000}"/>
    <hyperlink ref="K1649" r:id="rId888" display="http://articles.chicagotribune.com/1999-02-12/news/9902120139_1_shooting-gunman-gang" xr:uid="{00000000-0004-0000-0100-000077030000}"/>
    <hyperlink ref="K1650" r:id="rId889" display="https://www.deseretnews.com/article/679792/News-capsules.html" xr:uid="{00000000-0004-0000-0100-000078030000}"/>
    <hyperlink ref="K1651" r:id="rId890" display="https://www.newspapers.com/image/13671024/" xr:uid="{00000000-0004-0000-0100-000079030000}"/>
    <hyperlink ref="K1652" r:id="rId891" display="https://www.nytimes.com/1999/01/15/nyregion/2-students-shot-outside-bronx-high-school.html" xr:uid="{00000000-0004-0000-0100-00007A030000}"/>
    <hyperlink ref="K1653" r:id="rId892" display="https://www.cbsnews.com/news/2-teens-shot-at-georgia-school/" xr:uid="{00000000-0004-0000-0100-00007B030000}"/>
    <hyperlink ref="K1654" r:id="rId893" display="https://www.newspapers.com/image/156830644/?terms=student%2Bshot" xr:uid="{00000000-0004-0000-0100-00007C030000}"/>
    <hyperlink ref="K1668" r:id="rId894" display="http://articles.sun-sentinel.com/1998-09-30/news/9809300032_1_school-cafeteria-school-officials-high-school" xr:uid="{00000000-0004-0000-0100-00007D030000}"/>
    <hyperlink ref="K1674" r:id="rId895" display="https://greensboro.com/hostage-standoff-at-school-ends-with-pizza-soda/article_d803b03f-8fdb-5188-aaa5-5266f7217080.html" xr:uid="{00000000-0004-0000-0100-00007E030000}"/>
    <hyperlink ref="K1681" r:id="rId896" display="https://cmuhistory.cmich.edu/?a=d&amp;d=IsabellaCML19980227.1.2&amp;" xr:uid="{00000000-0004-0000-0100-00007F030000}"/>
    <hyperlink ref="K1683" r:id="rId897" display="http://www.cnn.com/US/9712/19/school.shooting/" xr:uid="{00000000-0004-0000-0100-000080030000}"/>
    <hyperlink ref="K1684" r:id="rId898" display="https://www.washingtonpost.com/nation/2022/08/28/school-shooting-paducah-kentucky-michael-carneal-parole/" xr:uid="{00000000-0004-0000-0100-000081030000}"/>
    <hyperlink ref="K1685" r:id="rId899" display="https://www.apnews.com/4875a8815b27a22d306a61ab83a97d26" xr:uid="{00000000-0004-0000-0100-000082030000}"/>
    <hyperlink ref="K1686" r:id="rId900" display="https://www.questia.com/newspaper/1G1-57464504/two-students-shot-1-dead-teens-attacked-near-ribault" xr:uid="{00000000-0004-0000-0100-000083030000}"/>
    <hyperlink ref="K1690" r:id="rId901" display="https://ssristories.org/21-year-old-woman-shoots-herself/" xr:uid="{00000000-0004-0000-0100-000084030000}"/>
    <hyperlink ref="K1691" r:id="rId902" display="http://articles.chicagotribune.com/1997-10-12/news/9710120311_1_fatal-shooting-wallace-high-school-police" xr:uid="{00000000-0004-0000-0100-000085030000}"/>
    <hyperlink ref="K1692" r:id="rId903" display="https://www.newspapers.com/image/455228173/?terms=shot%2Bin%2Bschool%2Bparking%2Blot" xr:uid="{00000000-0004-0000-0100-000086030000}"/>
    <hyperlink ref="K1695" r:id="rId904" display="https://www.newspapers.com/image/295695332/?terms=student%2Bshoots" xr:uid="{00000000-0004-0000-0100-000087030000}"/>
    <hyperlink ref="K1696" r:id="rId905" display="https://www.newspapers.com/image/186768947/?terms=student%2Bshoots" xr:uid="{00000000-0004-0000-0100-000088030000}"/>
    <hyperlink ref="K1698" r:id="rId906" display="http://www.psychceu.com/school_violence/savd.pdf" xr:uid="{00000000-0004-0000-0100-000089030000}"/>
    <hyperlink ref="K1701" r:id="rId907" display="https://m.lasvegassun.com/news/1997/feb/21/rival-gangs-blamed-in-rancho-shooting/" xr:uid="{00000000-0004-0000-0100-00008A030000}"/>
    <hyperlink ref="K1704" r:id="rId908" display="https://www.nytimes.com/1997/02/14/nyregion/gunfire-injures-2-students-at-high-schools-in-bronx.html?auth=login-google" xr:uid="{00000000-0004-0000-0100-00008B030000}"/>
    <hyperlink ref="K1705" r:id="rId909" display="https://www.nytimes.com/1997/02/14/nyregion/gunfire-injures-2-students-at-high-schools-in-bronx.html?auth=login-google" xr:uid="{00000000-0004-0000-0100-00008C030000}"/>
    <hyperlink ref="K1709" r:id="rId910" display="http://www.psychceu.com/school_violence/savd.pdf" xr:uid="{00000000-0004-0000-0100-00008D030000}"/>
    <hyperlink ref="K1710" r:id="rId911" display="http://www.psychceu.com/school_violence/savd.pdf" xr:uid="{00000000-0004-0000-0100-00008E030000}"/>
    <hyperlink ref="K1711" r:id="rId912" display="https://www.upi.com/Archives/1996/10/10/Teen-charged-in-school-bus-slaying/5274844920000/" xr:uid="{00000000-0004-0000-0100-00008F030000}"/>
    <hyperlink ref="K1712" r:id="rId913" display="http://www.psychceu.com/school_violence/savd.pdf" xr:uid="{00000000-0004-0000-0100-000090030000}"/>
    <hyperlink ref="K1713" r:id="rId914" display="http://www.psychceu.com/school_violence/savd.pdf" xr:uid="{00000000-0004-0000-0100-000091030000}"/>
    <hyperlink ref="K1716" r:id="rId915" display="https://www.columbine-angels.com/School_Violence_1995-1996.htm" xr:uid="{00000000-0004-0000-0100-000092030000}"/>
    <hyperlink ref="K1717" r:id="rId916" display="https://pepperbough.com/features/2012/08/17/who-mourns-for-sexy-x/" xr:uid="{00000000-0004-0000-0100-000093030000}"/>
    <hyperlink ref="K1718" r:id="rId917" display="https://www.columbine-angels.com/School_Violence_1995-1996.htm" xr:uid="{00000000-0004-0000-0100-000094030000}"/>
    <hyperlink ref="K1719" r:id="rId918" display="https://www.columbine-angels.com/School_Violence_1995-1996.htm" xr:uid="{00000000-0004-0000-0100-000095030000}"/>
    <hyperlink ref="K1733" r:id="rId919" display="https://www.columbine-angels.com/School_Violence_1995-1996.htm" xr:uid="{00000000-0004-0000-0100-000096030000}"/>
    <hyperlink ref="K1737" r:id="rId920" display="https://www.newspapers.com/image/106718796/?terms=student%2Bshot" xr:uid="{00000000-0004-0000-0100-000097030000}"/>
    <hyperlink ref="K1740" r:id="rId921" display="https://www.columbine-angels.com/School_Violence_1995-1996.htm" xr:uid="{00000000-0004-0000-0100-000098030000}"/>
    <hyperlink ref="K1741" r:id="rId922" display="http://www.columbine-angels.com/School_Violence_1995-1996.htm" xr:uid="{00000000-0004-0000-0100-000099030000}"/>
    <hyperlink ref="K1745" r:id="rId923" display="https://apnews.com/a07c45ae91ad4f448d560abb24e292f1" xr:uid="{00000000-0004-0000-0100-00009A030000}"/>
    <hyperlink ref="K1746" r:id="rId924" display="https://www.presstelegram.com/2015/10/16/javiers-dream-of-helping-people-lives-on-rich-archbold/" xr:uid="{00000000-0004-0000-0100-00009B030000}"/>
    <hyperlink ref="K1747" r:id="rId925" display="https://www.washingtonpost.com/archive/local/1995/01/25/student-wounded-in-school-shooting/43b9c1ae-244d-40ed-8bc7-18fec6c338f3/" xr:uid="{00000000-0004-0000-0100-00009C030000}"/>
    <hyperlink ref="K1748" r:id="rId926" display="http://articles.latimes.com/1995-01-25/news/mn-24213_1_attitude-problem" xr:uid="{00000000-0004-0000-0100-00009D030000}"/>
    <hyperlink ref="K1749" r:id="rId927" display="http://community.seattletimes.nwsource.com/archive/?date=19950118&amp;slug=2100074" xr:uid="{00000000-0004-0000-0100-00009E030000}"/>
    <hyperlink ref="K1750" r:id="rId928" display="http://articles.sun-sentinel.com/1995-01-12/news/9501120169_1_high-schools-gun-school-administrators" xr:uid="{00000000-0004-0000-0100-00009F030000}"/>
    <hyperlink ref="K1752" r:id="rId929" display="https://www.orlandosentinel.com/news/os-xpm-1994-12-09-9412080916-story.html" xr:uid="{00000000-0004-0000-0100-0000A0030000}"/>
    <hyperlink ref="K1756" r:id="rId930" display="https://www.sfgate.com/bayarea/article/SAN-LEANDRO-Suspect-named-in-1994-slaying-2596999.php" xr:uid="{00000000-0004-0000-0100-0000A1030000}"/>
    <hyperlink ref="K1757" r:id="rId931" display="http://articles.latimes.com/1994-11-01/local/me-57381_1_aliso-niguel-high-student" xr:uid="{00000000-0004-0000-0100-0000A2030000}"/>
    <hyperlink ref="K1758" r:id="rId932" display="http://articles.chicagotribune.com/1994-10-18/news/9410180247_1_female-student-was-shot-christ-hospital-flesh-wound" xr:uid="{00000000-0004-0000-0100-0000A3030000}"/>
    <hyperlink ref="K1760" r:id="rId933" display="https://www.gazettetimes.com/news/local/a-history-of-violence/article_54ce32a6-d4e3-5d34-8aa6-09d9437a0439.html" xr:uid="{00000000-0004-0000-0100-0000A4030000}"/>
    <hyperlink ref="K1761" r:id="rId934" display="https://www.newspapers.com/image/159244311/?terms=Hollywood%2BHigh%2BSchool%2Bshooting" xr:uid="{00000000-0004-0000-0100-0000A5030000}"/>
    <hyperlink ref="K1764" r:id="rId935" display="http://ottumwaradio.com/coffman-get-new-sentence-1994-murder-ottumwa-high-school/" xr:uid="{00000000-0004-0000-0100-0000A6030000}"/>
    <hyperlink ref="K1765" r:id="rId936" display="https://www.publicsource.org/most-of-pennsylvanias-juvenile-lifers-are-still-awaiting-their-new-day-in-court/" xr:uid="{00000000-0004-0000-0100-0000A7030000}"/>
    <hyperlink ref="K1768" r:id="rId937" display="https://www.newspapers.com/image/166926358/?terms=Amy%2BGamarello" xr:uid="{00000000-0004-0000-0100-0000A8030000}"/>
    <hyperlink ref="K1772" r:id="rId938" display="https://www.washingtonpost.com/archive/local/1994/04/20/man-found-slain-at-dc-school/64a705c4-ab7a-43d0-b027-dd0b21ec008b/?utm_term=.21348ca8fd4b" xr:uid="{00000000-0004-0000-0100-0000A9030000}"/>
    <hyperlink ref="K1779" r:id="rId939" display="http://www.wistv.com/story/23589594/school-shootings-in-south-carolina" xr:uid="{00000000-0004-0000-0100-0000AA030000}"/>
    <hyperlink ref="K1780" r:id="rId940" display="http://www.columbine-angels.com/School_Violence_1993-1994.htm" xr:uid="{00000000-0004-0000-0100-0000AB030000}"/>
    <hyperlink ref="K1783" r:id="rId941" display="http://www.goupstate.com/article/NC/19940219/News/605198620/SJ/" xr:uid="{00000000-0004-0000-0100-0000AC030000}"/>
    <hyperlink ref="K1790" r:id="rId942" display="https://www.newspapers.com/image/219396903/?terms=Kennard%2BHigh%2BSchool%2Bsuicide" xr:uid="{00000000-0004-0000-0100-0000AD030000}"/>
    <hyperlink ref="K1791" r:id="rId943" display="https://www.newspapers.com/image/159190089/?terms=Los%2BAltos%2BHigh%2BSchool" xr:uid="{00000000-0004-0000-0100-0000AE030000}"/>
    <hyperlink ref="K1792" r:id="rId944" display="https://www.mlive.com/politics/index.ssf/2013/04/chelsea_school_shooter_gun_con.html" xr:uid="{00000000-0004-0000-0100-0000AF030000}"/>
    <hyperlink ref="K1794" r:id="rId945" display="https://www.newspapers.com/image/403544801/?terms=Aron%2BGilliam" xr:uid="{00000000-0004-0000-0100-0000B0030000}"/>
    <hyperlink ref="K1795" r:id="rId946" display="https://www.newspapers.com/image/175645669/?terms=New%2BBritain%2BHigh%2BSchool%2Bshooting" xr:uid="{00000000-0004-0000-0100-0000B1030000}"/>
    <hyperlink ref="K1796" r:id="rId947" display="http://journaltimes.com/news/former-student-arrested-in-tosa-west-slaying/article_dfb15b1e-986c-5b2b-ba06-76388109b2cf.html" xr:uid="{00000000-0004-0000-0100-0000B2030000}"/>
    <hyperlink ref="K1797" r:id="rId948" display="https://www.newspapers.com/image/195155455/?terms=Harold%2BPage%2BIII" xr:uid="{00000000-0004-0000-0100-0000B3030000}"/>
    <hyperlink ref="K1798" r:id="rId949" display="https://www.newspapers.com/image/179150239/?terms=Richard%2BJefferson%2BMitchell" xr:uid="{00000000-0004-0000-0100-0000B4030000}"/>
    <hyperlink ref="K1799" r:id="rId950" display="http://articles.courant.com/1995-07-21/news/9507210401_1_latin-king-rival-gang-gang-war" xr:uid="{00000000-0004-0000-0100-0000B5030000}"/>
    <hyperlink ref="K1800" r:id="rId951" display="https://www.newspapers.com/image/278601708/?terms=Bay%2BSprings%2BHigh%2BSchool%2Bshooting" xr:uid="{00000000-0004-0000-0100-0000B6030000}"/>
    <hyperlink ref="K1801" r:id="rId952" display="https://www.newspapers.com/image/241267382/?terms=Sullivan%2BHigh%2BSchool%2Bshooting" xr:uid="{00000000-0004-0000-0100-0000B7030000}"/>
    <hyperlink ref="K1803" r:id="rId953" display="https://www.newspapers.com/image/156503737/?terms=Dover%2BHigh%2BSchool%2Bsuicide" xr:uid="{00000000-0004-0000-0100-0000B8030000}"/>
    <hyperlink ref="K1805" r:id="rId954" display="https://www.newspapers.com/image/276635826/?terms=Weatherless%2BElementary%2BSchool%2Bshooting" xr:uid="{00000000-0004-0000-0100-0000B9030000}"/>
    <hyperlink ref="K1806" r:id="rId955" display="http://www.mysuburbanlife.com/2011/12/20/philip-powell-who-murdered-hinsdale-teen-barrett-modisette-after-downers-grove-south-high-school-football-game-released-early-from-prison/za3xo73/" xr:uid="{00000000-0004-0000-0100-0000BA030000}"/>
    <hyperlink ref="K1807" r:id="rId956" display="http://buffalonews.com/1993/09/18/gunman-wounds-4-at-school-kills-self-shooting-takes-place-on-football-field/" xr:uid="{00000000-0004-0000-0100-0000BB030000}"/>
    <hyperlink ref="K1808" r:id="rId957" display="https://www.newspapers.com/image/241417531/?terms=Roosevelt%2BHigh%2BSchool%2Bshooting" xr:uid="{00000000-0004-0000-0100-0000BC030000}"/>
    <hyperlink ref="K1809" r:id="rId958" display="https://www.newspapers.com/image/89590422/?terms=%22shot%20high%20school%20football%22&amp;match=1" xr:uid="{00000000-0004-0000-0100-0000BD030000}"/>
    <hyperlink ref="K1811" r:id="rId959" display="https://www.newspapers.com/image/1005267/?terms=Junction%2BCity%2BHigh%2BSchool%2Bshooting" xr:uid="{00000000-0004-0000-0100-0000BE030000}"/>
    <hyperlink ref="K1812" r:id="rId960" display="https://www.newspapers.com/image/403198507/?terms=Marcus%2BTaylor%2Bdied" xr:uid="{00000000-0004-0000-0100-0000BF030000}"/>
    <hyperlink ref="K1813" r:id="rId961" display="https://www.nytimes.com/1993/08/03/nyregion/student-shot-during-class-in-bronx-high-school.html" xr:uid="{00000000-0004-0000-0100-0000C0030000}"/>
    <hyperlink ref="K1815" r:id="rId962" display="https://www.newspapers.com/image/278618494/?terms=Francis%2BT.%2BNicholls%2BHigh%2BSchool%2Bshooting" xr:uid="{00000000-0004-0000-0100-0000C1030000}"/>
    <hyperlink ref="K1816" r:id="rId963" display="http://articles.mcall.com/1993-05-25/news/2916043_1_michael-swann-upper-perkiomen-high-school-jason-michael-smith" xr:uid="{00000000-0004-0000-0100-0000C2030000}"/>
    <hyperlink ref="K1819" r:id="rId964" display="https://people.com/archive/roll-call-of-the-dead-vol-39-no-23/" xr:uid="{00000000-0004-0000-0100-0000C3030000}"/>
    <hyperlink ref="K1820" r:id="rId965" display="http://www.southcoasttoday.com/article/20150617/NEWS/150619469" xr:uid="{00000000-0004-0000-0100-0000C4030000}"/>
    <hyperlink ref="K1821" r:id="rId966" display="https://www.newspapers.com/image/384227902/?terms=Vodrick%2BJohnson" xr:uid="{00000000-0004-0000-0100-0000C5030000}"/>
    <hyperlink ref="K1822" r:id="rId967" display="https://www.newspapers.com/image/141626514/?terms=Sumner%2BHigh%2BSchool" xr:uid="{00000000-0004-0000-0100-0000C6030000}"/>
    <hyperlink ref="K1825" r:id="rId968" display="https://www.highbeam.com/doc/1P2-8216829.html" xr:uid="{00000000-0004-0000-0100-0000C7030000}"/>
    <hyperlink ref="K1828" r:id="rId969" display="https://mnmarshallus.genweb.io/people/obituaries/melby-eric-john-1979-1993/" xr:uid="{00000000-0004-0000-0100-0000C8030000}"/>
    <hyperlink ref="K1829" r:id="rId970" display="https://www.newspapers.com/image/402779742/?terms=North%2BClayton%2BHigh%2BSchool%2Bshooting" xr:uid="{00000000-0004-0000-0100-0000C9030000}"/>
    <hyperlink ref="K1830" r:id="rId971" display="https://www.newspapers.com/image/752371201/?terms=shot%20at%20school&amp;match=1" xr:uid="{00000000-0004-0000-0100-0000CA030000}"/>
    <hyperlink ref="K1831" r:id="rId972" display="https://www.newspapers.com/image/752371201/?terms=shot%20at%20school&amp;match=1" xr:uid="{00000000-0004-0000-0100-0000CB030000}"/>
    <hyperlink ref="K1833" r:id="rId973" display="https://people.com/archive/roll-call-of-the-dead-vol-39-no-23/" xr:uid="{00000000-0004-0000-0100-0000CC030000}"/>
    <hyperlink ref="K1834" r:id="rId974" display="http://articles.latimes.com/1993-01-29/local/me-2165_1_student-body" xr:uid="{00000000-0004-0000-0100-0000CD030000}"/>
    <hyperlink ref="K1836" r:id="rId975" display="https://www.newspapers.com/image/238950794/?terms=Norland%2BSenior%2BHigh%2BSchool%2Bshooting" xr:uid="{00000000-0004-0000-0100-0000CE030000}"/>
    <hyperlink ref="K1837" r:id="rId976" display="https://www.newspapers.com/image/510596731/?terms=shot%20at%20school&amp;match=1" xr:uid="{00000000-0004-0000-0100-0000CF030000}"/>
    <hyperlink ref="K1838" r:id="rId977" display="https://www.nytimes.com/1993/01/07/nyregion/school-upset-by-shooting-of-teen-ager-during-game.html" xr:uid="{00000000-0004-0000-0100-0000D0030000}"/>
    <hyperlink ref="K1839" r:id="rId978" display="https://www.newspapers.com/image/257172973/?terms=Virginia%2BWilcox" xr:uid="{00000000-0004-0000-0100-0000D1030000}"/>
    <hyperlink ref="K1840" r:id="rId979" display="https://www.newspapers.com/image/389807433/" xr:uid="{00000000-0004-0000-0100-0000D2030000}"/>
    <hyperlink ref="K1841" r:id="rId980" display="https://www.newspapers.com/image/389789093/?terms=laroyal%2Bcrowley" xr:uid="{00000000-0004-0000-0100-0000D3030000}"/>
    <hyperlink ref="K1843" r:id="rId981" display="https://www.newspapers.com/image/389765443" xr:uid="{00000000-0004-0000-0100-0000D4030000}"/>
    <hyperlink ref="K1844" r:id="rId982" display="https://www.newspapers.com/image/106780083/?terms=Michael%2BJackson%2BJr" xr:uid="{00000000-0004-0000-0100-0000D5030000}"/>
    <hyperlink ref="K1846" r:id="rId983" display="https://www.newspapers.com/image/389728711/?terms=Willie%2BClayborn" xr:uid="{00000000-0004-0000-0100-0000D6030000}"/>
    <hyperlink ref="K1850" r:id="rId984" display="https://www.nytimes.com/1992/10/20/nyregion/3-teen-agers-shot-in-bronx-near-a-school.html" xr:uid="{00000000-0004-0000-0100-0000D7030000}"/>
    <hyperlink ref="K1854" r:id="rId985" display="https://www.newspapers.com/image/384174219/?terms=Hiram%2BJohnson%2BHigh%2BSchool%2Bshooting" xr:uid="{00000000-0004-0000-0100-0000D8030000}"/>
    <hyperlink ref="K1857" r:id="rId986" display="https://www.washingtonpost.com/archive/politics/1992/06/01/9-are-slain-in-dc-area-in-2-days/32b3c46c-27dc-45f4-9f60-14ce403dbad5/" xr:uid="{00000000-0004-0000-0100-0000D9030000}"/>
    <hyperlink ref="K1858" r:id="rId987" display="https://www.newspapers.com/image/177465085" xr:uid="{00000000-0004-0000-0100-0000DA030000}"/>
    <hyperlink ref="K1859" r:id="rId988" display="https://www.upi.com/Archives/1992/05/14/Student-opens-fire-in-school/6395705816000/" xr:uid="{00000000-0004-0000-0100-0000DB030000}"/>
    <hyperlink ref="K1860" r:id="rId989" display="https://www.newspapers.com/image/300277708/?terms=Huntsville%2BJunior%2BHigh%2BSchool%2Bshooting" xr:uid="{00000000-0004-0000-0100-0000DC030000}"/>
    <hyperlink ref="K1861" r:id="rId990" display="http://sacramento.cbslocal.com/2012/08/02/state-supreme-court-upholds-death-penalty-for-houston-in-lindhurst-high-rampage/" xr:uid="{00000000-0004-0000-0100-0000DD030000}"/>
    <hyperlink ref="K1864" r:id="rId991" display="https://www.nola.com/crime/index.ssf/2017/09/25_years_after_walker_students.html" xr:uid="{00000000-0004-0000-0100-0000DE030000}"/>
    <hyperlink ref="K1865" r:id="rId992" display="https://www.newspapers.com/image/296856537/?terms=Hamilton%2BMiddle%2BSchool%2Bshooting" xr:uid="{00000000-0004-0000-0100-0000DF030000}"/>
    <hyperlink ref="K1866" r:id="rId993" display="https://www.nytimes.com/1992/02/27/nyregion/2-teen-agers-shot-to-death-in-a-brooklyn-school.html" xr:uid="{00000000-0004-0000-0100-0000E0030000}"/>
    <hyperlink ref="K1867" r:id="rId994" display="http://articles.dailypress.com/1992-02-08/news/9202080051_1_place-on-school-property-critical-condition-school-officials" xr:uid="{00000000-0004-0000-0100-0000E1030000}"/>
    <hyperlink ref="K1868" r:id="rId995" display="https://newsok.com/article/2384331/city-campuses-close-after-shooting-death-security-searches-stepped-up" xr:uid="{00000000-0004-0000-0100-0000E2030000}"/>
    <hyperlink ref="K1869" r:id="rId996" display="https://www.newspapers.com/image/218234824/?terms=Francis%2BW.%2BGregory%2BJunior%2BHigh%2BSchool%2Bshooting" xr:uid="{00000000-0004-0000-0100-0000E3030000}"/>
    <hyperlink ref="K1870" r:id="rId997" display="https://www.newspapers.com/image/218234824/?terms=Francis%2BW.%2BGregory%2BJunior%2BHigh%2BSchool%2Bshooting" xr:uid="{00000000-0004-0000-0100-0000E4030000}"/>
    <hyperlink ref="K1873" r:id="rId998" display="https://www.nytimes.com/1991/11/26/nyregion/16-year-old-is-shot-to-death-in-a-high-school-in-brooklyn.html" xr:uid="{00000000-0004-0000-0100-0000E5030000}"/>
    <hyperlink ref="K1874" r:id="rId999" display="https://www.newspapers.com/image/17145244/?terms=Milby%2BHIgh%2BSchool%2Bshot" xr:uid="{00000000-0004-0000-0100-0000E6030000}"/>
    <hyperlink ref="K1877" r:id="rId1000" display="https://www.newspapers.com/image/300241588/?terms=Spring%2BWoods%2BHigh%2BSchool%2Bstudent%2Bshot" xr:uid="{00000000-0004-0000-0100-0000E7030000}"/>
    <hyperlink ref="K1878" r:id="rId1001" display="https://www.newspapers.com/image/300231582/?terms=Genevieve%2BSparks%2BElementary%2BSchool" xr:uid="{00000000-0004-0000-0100-0000E8030000}"/>
    <hyperlink ref="K1879" r:id="rId1002" display="https://www.newspapers.com/image/191964993/?terms=Woodruff%2BHigh%2BSchool%2Bshooting" xr:uid="{00000000-0004-0000-0100-0000E9030000}"/>
    <hyperlink ref="K1882" r:id="rId1003" display="https://www.nytimes.com/1991/10/09/nyregion/a-bronx-youth-is-shot-to-death-outside-a-school.html" xr:uid="{00000000-0004-0000-0100-0000EA030000}"/>
    <hyperlink ref="K1883" r:id="rId1004" display="https://www.newspapers.com/image/176460783/?terms=Dorsey%2BHigh%2BSchool%2Bshooting" xr:uid="{00000000-0004-0000-0100-0000EB030000}"/>
    <hyperlink ref="K1884" r:id="rId1005" display="https://www.newspapers.com/image/176460783/?terms=Dorsey%2BHigh%2BSchool%2Bshooting" xr:uid="{00000000-0004-0000-0100-0000EC030000}"/>
    <hyperlink ref="K1887" r:id="rId1006" display="https://www.newspapers.com/image/389496363/?terms=Woodson%2BHigh%2BSchool%2Bshooting" xr:uid="{00000000-0004-0000-0100-0000ED030000}"/>
    <hyperlink ref="K1888" r:id="rId1007" display="https://www.newspapers.com/image/300249662/?terms=Madison%2BHigh%2BSchool%2Bshooting%2Bhouston" xr:uid="{00000000-0004-0000-0100-0000EE030000}"/>
    <hyperlink ref="K1889" r:id="rId1008" display="https://www.newspapers.com/image/176991255/?terms=Enterprise%2BMiddle%2BSchool%2Bshot%2Bcompton" xr:uid="{00000000-0004-0000-0100-0000EF030000}"/>
    <hyperlink ref="K1890" r:id="rId1009" display="https://www.newspapers.com/image/176655612/?terms=Westchester%2BHigh%2BSchool%2Bshooting" xr:uid="{00000000-0004-0000-0100-0000F0030000}"/>
    <hyperlink ref="K1891" r:id="rId1010" display="https://www.newspapers.com/image/176951271/?terms=Robert%2BA.%2BMillikan%2BJunior%2BHigh%2BSchool%2Bshooting" xr:uid="{00000000-0004-0000-0100-0000F1030000}"/>
    <hyperlink ref="K1893" r:id="rId1011" display="https://www.newspapers.com/image/424939665/?terms=Coronado%2BMiddle%2BSchool" xr:uid="{00000000-0004-0000-0100-0000F2030000}"/>
    <hyperlink ref="K1894" r:id="rId1012" display="https://www.newspapers.com/image/289233212/?terms=Franklin%2BAlternative%2BMiddle%2BSchool%2Bshooting" xr:uid="{00000000-0004-0000-0100-0000F3030000}"/>
    <hyperlink ref="K1896" r:id="rId1013" display="http://articles.latimes.com/1991-04-25/news/mn-828_1_school-district" xr:uid="{00000000-0004-0000-0100-0000F4030000}"/>
    <hyperlink ref="K1898" r:id="rId1014" display="https://www.newspapers.com/image/200149579/?terms=Garinger%2BHigh%2BSchool%2Bshooting" xr:uid="{00000000-0004-0000-0100-0000F5030000}"/>
    <hyperlink ref="K1901" r:id="rId1015" display="https://www.newspapers.com/image/216895876/?terms=Booker%2BT.%2BWashington%2BHigh%2BSchool%2Bshooting" xr:uid="{00000000-0004-0000-0100-0000F6030000}"/>
    <hyperlink ref="K1905" r:id="rId1016" display="https://www.newspapers.com/image/16849683/?terms=%22shot%20high%20school%20football%22&amp;match=1" xr:uid="{00000000-0004-0000-0100-0000F7030000}"/>
    <hyperlink ref="K1906" r:id="rId1017" display="https://www.newspapers.com/image/300370142/?terms=Naaman%2BForest%2BHigh%2BSchool" xr:uid="{00000000-0004-0000-0100-0000F8030000}"/>
    <hyperlink ref="K1907" r:id="rId1018" display="https://www.upi.com/Archives/1990/10/29/Teenager-holds-hostages-at-high-school-for-more-than-8-hours/6921657176400/" xr:uid="{00000000-0004-0000-0100-0000F9030000}"/>
    <hyperlink ref="K1908" r:id="rId1019" display="https://www.columbine-angels.com/School_Violence_1990-1991.htm" xr:uid="{00000000-0004-0000-0100-0000FA030000}"/>
    <hyperlink ref="K1909" r:id="rId1020" display="https://www.newspapers.com/image/106533912/?terms=shot%2Bat%2Bfootball%2Bgame" xr:uid="{00000000-0004-0000-0100-0000FB030000}"/>
    <hyperlink ref="K1910" r:id="rId1021" display="https://www.upi.com/Archives/1990/09/11/Three-shot-wounded-in-confrontation-on-school-grounds/4334653025600/" xr:uid="{00000000-0004-0000-0100-0000FC030000}"/>
    <hyperlink ref="K1912" r:id="rId1022" display="https://lasvegassun.com/news/1998/jun/20/memories-linger-for-victims-mother/" xr:uid="{00000000-0004-0000-0100-0000FD030000}"/>
    <hyperlink ref="K1913" r:id="rId1023" display="https://www.columbine-angels.com/School_Violence_1990-1991.htm" xr:uid="{00000000-0004-0000-0100-0000FE030000}"/>
    <hyperlink ref="K1914" r:id="rId1024" display="https://www.newspapers.com/image/400340582/?terms=Myers%2BPark%2BHigh%2BSchool%2Bshooting" xr:uid="{00000000-0004-0000-0100-0000FF030000}"/>
    <hyperlink ref="K1916" r:id="rId1025" display="https://news.google.com/newspapers?nid=1310&amp;dat=19900521&amp;id=wcJWAAAAIBAJ&amp;sjid=0eoDAAAAIBAJ&amp;pg=6655,5338612," xr:uid="{00000000-0004-0000-0100-000000040000}"/>
    <hyperlink ref="K1917" r:id="rId1026" display="https://www.newspapers.com/image/462261165/?terms=Mount%2BPleasant%2BHigh%2BSchool%2Bshooting" xr:uid="{00000000-0004-0000-0100-000001040000}"/>
    <hyperlink ref="K1918" r:id="rId1027" display="https://www.newspapers.com/image/13852014/?terms=Skyline%2BHigh%2BSchool%2Bshooting" xr:uid="{00000000-0004-0000-0100-000002040000}"/>
    <hyperlink ref="K1919" r:id="rId1028" display="https://www.nytimes.com/1990/03/28/nyregion/a-black-is-shot-in-a-high-school-in-bensonshurst.html" xr:uid="{00000000-0004-0000-0100-000003040000}"/>
    <hyperlink ref="K1920" r:id="rId1029" display="https://www.newspapers.com/image/101597966/?terms=Taft%2BHigh%2BSchool%2Bshooting" xr:uid="{00000000-0004-0000-0100-000004040000}"/>
    <hyperlink ref="K1921" r:id="rId1030" display="https://www.upi.com/Archives/1990/01/16/Two-wounded-in-school-shooting-racial-tensions-blamed/1799632466000/" xr:uid="{00000000-0004-0000-0100-000005040000}"/>
    <hyperlink ref="K1922" r:id="rId1031" display="https://www.newspapers.com/image/192086573/?terms=STUDENT%2BSHOT" xr:uid="{00000000-0004-0000-0100-000006040000}"/>
    <hyperlink ref="K1923" r:id="rId1032" display="https://www.newspapers.com/image/?spot=18344924&amp;fcfToken=536773687944775732446a58364954534665376d633843482b323739555a426a2f504561364e734836595337333573763434484338504843556571516b5a3172417a344c2b66306a4762733d" xr:uid="{00000000-0004-0000-0100-000007040000}"/>
    <hyperlink ref="K1924" r:id="rId1033" display="https://www.newspapers.com/image/410785023/?terms=W.%2BW.%2BSamuell%2BHigh%2BSchool" xr:uid="{00000000-0004-0000-0100-000008040000}"/>
    <hyperlink ref="K1925" r:id="rId1034" display="https://www.newspapers.com/image/228504621/?terms=student%2Bshot" xr:uid="{00000000-0004-0000-0100-000009040000}"/>
    <hyperlink ref="K1926" r:id="rId1035" display="http://articles.latimes.com/1990-06-15/local/me-106_1_rival-gang-member" xr:uid="{00000000-0004-0000-0100-00000A040000}"/>
    <hyperlink ref="K1928" r:id="rId1036" display="https://www.newspapers.com/image/112524612/?terms=Alfred%2BE.%2BSmith%2BHigh%2BSchool" xr:uid="{00000000-0004-0000-0100-00000B040000}"/>
    <hyperlink ref="K1929" r:id="rId1037" display="https://www.newspapers.com/image/300055668/?terms=Oliver%2BWendell%2BHolmes%2BMiddle%2BSchool%2Bshooting" xr:uid="{00000000-0004-0000-0100-00000C040000}"/>
    <hyperlink ref="K1931" r:id="rId1038" location="v=onepage&amp;q=George%20Rogers%20Clark%20High%20School%20hostage%201995&amp;f=false" display="https://books.google.com/books?id=paCVN9ECUc4C&amp;pg=PA10&amp;lpg=PA10&amp;dq=George+Rogers+Clark+High+School+hostage+1995&amp;source=bl&amp;ots=nnsA6mfWJP&amp;sig=Eg_GpHVGdpBSqw57FExYfpEPEGg&amp;hl=en&amp;sa=X&amp;ved=0ahUKEwjEzNrvk_7bAhUIpFkKHYajCvgQ6AEIiQEwEg - v=onepage&amp;q=George%20Rogers%20Clark%20High%20School%20hostage%201995&amp;f=false" xr:uid="{00000000-0004-0000-0100-00000D040000}"/>
    <hyperlink ref="K1932" r:id="rId1039" display="https://www.newspapers.com/image/121870781/?terms=student%2Bshot" xr:uid="{00000000-0004-0000-0100-00000E040000}"/>
    <hyperlink ref="K1933" r:id="rId1040" display="https://www.newspapers.com/image/129470000/?terms=%22shot%20high%20school%20football%22&amp;match=1" xr:uid="{00000000-0004-0000-0100-00000F040000}"/>
    <hyperlink ref="K1936" r:id="rId1041" display="https://www.deseretnews.com/article/34103/OFFICERS-SEEKING-ANSWERS-AFTER-JUNIOR-HIGH-SHOOTING.html" xr:uid="{00000000-0004-0000-0100-000010040000}"/>
    <hyperlink ref="K1942" r:id="rId1042" display="https://www.upi.com/Archives/1988/11/22/High-school-student-shoots-history-teacher-in-face/3742596178000/" xr:uid="{00000000-0004-0000-0100-000011040000}"/>
    <hyperlink ref="K1943" r:id="rId1043" display="https://www.deseretnews.com/article/34103/OFFICERS-SEEKING-ANSWERS-AFTER-JUNIOR-HIGH-SHOOTING.html" xr:uid="{00000000-0004-0000-0100-000012040000}"/>
    <hyperlink ref="K1944" r:id="rId1044" display="https://www.newspapers.com/image/177559696/?terms=jacksonville%2Bhigh%2Bschool%2Bshooting" xr:uid="{00000000-0004-0000-0100-000013040000}"/>
    <hyperlink ref="K1947" r:id="rId1045" display="https://www.newspapers.com/image/200956524/?terms=arilyn%2Bjean%2BLelande" xr:uid="{00000000-0004-0000-0100-000014040000}"/>
    <hyperlink ref="K1948" r:id="rId1046" display="https://www.newspapers.com/image/378123968/?terms=anita%2Bmoore" xr:uid="{00000000-0004-0000-0100-000015040000}"/>
    <hyperlink ref="K1949" r:id="rId1047" display="https://www.newspapers.com/image/229988989/?terms=J.%2BE.%2BB.%2BStuart%2BJunior%2BHigh%2BSchool%2Bbus%2Bshooting" xr:uid="{00000000-0004-0000-0100-000016040000}"/>
    <hyperlink ref="K1951" r:id="rId1048" display="http://articles.latimes.com/1988-10-04/news/mn-3503_1_elementary-school" xr:uid="{00000000-0004-0000-0100-000017040000}"/>
    <hyperlink ref="K1954" r:id="rId1049" display="https://www.newspapers.com/image/299882814/?terms=Lincoln%2BHigh%2BSchool%2Bdallas%2Bpep%2Brally" xr:uid="{00000000-0004-0000-0100-000018040000}"/>
    <hyperlink ref="K1957" r:id="rId1050" display="https://www.newspapers.com/image/99828797/?terms=student%2Bshot" xr:uid="{00000000-0004-0000-0100-000019040000}"/>
    <hyperlink ref="K1958" r:id="rId1051" display="https://www.newspapers.com/image/69768900/?terms=Dennis%2BRay%2BHepler" xr:uid="{00000000-0004-0000-0100-00001A040000}"/>
    <hyperlink ref="K1960" r:id="rId1052" display="https://news.google.com/newspapers?id=zWcaAAAAIBAJ&amp;pg=4608,2375219" xr:uid="{00000000-0004-0000-0100-00001B040000}"/>
    <hyperlink ref="K1964" r:id="rId1053" display="https://www.newspapers.com/image/145067165/?terms=bridget%2Bisaacs" xr:uid="{00000000-0004-0000-0100-00001C040000}"/>
    <hyperlink ref="K1967" r:id="rId1054" display="https://www.newspapers.com/image/388885712/?terms=martin%2Bluther%2Bking%2Bhigh%2Bschool" xr:uid="{00000000-0004-0000-0100-00001D040000}"/>
    <hyperlink ref="K1968" r:id="rId1055" display="https://www.newspapers.com/image/363969550/?terms=school%2Bbus%2Bshooting" xr:uid="{00000000-0004-0000-0100-00001E040000}"/>
    <hyperlink ref="K1969" r:id="rId1056" display="https://www.newspapers.com/image/67975492/?terms=school%2Bbus%2Bshooting" xr:uid="{00000000-0004-0000-0100-00001F040000}"/>
    <hyperlink ref="K1970" r:id="rId1057" display="https://www.newspapers.com/image/99777421/?terms=lessenger" xr:uid="{00000000-0004-0000-0100-000020040000}"/>
    <hyperlink ref="K1973" r:id="rId1058" display="https://www.newspapers.com/image/399821731/?terms=West%2BEnd%2BChristian%2BElementary%2BSchool" xr:uid="{00000000-0004-0000-0100-000021040000}"/>
    <hyperlink ref="K1974" r:id="rId1059" display="https://www.newspapers.com/image/364030604/?terms=consuela%2Breed" xr:uid="{00000000-0004-0000-0100-000022040000}"/>
    <hyperlink ref="K1976" r:id="rId1060" display="https://www.newspapers.com/image/33621001/?terms=crawford%2Bcounty%2Bjoint%2Bvocational" xr:uid="{00000000-0004-0000-0100-000023040000}"/>
    <hyperlink ref="K1978" r:id="rId1061" display="https://www.newspapers.com/image/169515600/?terms=charles%2Bmincey%2Bridley%2Bhigh%2Bschool" xr:uid="{00000000-0004-0000-0100-000024040000}"/>
    <hyperlink ref="K1979" r:id="rId1062" display="https://www.newspapers.com/image/6664149/?terms=student%2Bshot" xr:uid="{00000000-0004-0000-0100-000025040000}"/>
    <hyperlink ref="K1980" r:id="rId1063" display="https://www.newspapers.com/image/406009908/?terms=STUDENT%2BSHOT" xr:uid="{00000000-0004-0000-0100-000026040000}"/>
    <hyperlink ref="K1982" r:id="rId1064" display="https://www.newspapers.com/image/321411477/?terms=student%2Bshoots%2Bdean%2Bcar" xr:uid="{00000000-0004-0000-0100-000027040000}"/>
    <hyperlink ref="K1983" r:id="rId1065" display="https://www.newspapers.com/image/322419384/?terms=MARIA%2BSOLIS" xr:uid="{00000000-0004-0000-0100-000028040000}"/>
    <hyperlink ref="K1984" r:id="rId1066" display="https://www.newspapers.com/image/322900608/?terms=student%2Bshot" xr:uid="{00000000-0004-0000-0100-000029040000}"/>
    <hyperlink ref="K1985" r:id="rId1067" display="https://www.newspapers.com/image/99920647/?terms=STUDENT%2BSHOT" xr:uid="{00000000-0004-0000-0100-00002A040000}"/>
    <hyperlink ref="K1987" r:id="rId1068" display="https://www.newspapers.com/image/196275731/?terms=SOUTHWOOD%2BELEMENTARY%2BSCHOOL%2BSHOOTING" xr:uid="{00000000-0004-0000-0100-00002B040000}"/>
    <hyperlink ref="K1989" r:id="rId1069" display="http://articles.chicagotribune.com/1987-09-30/news/8703130825_1_second-floor-classroom-shooting-smoking-on-school-grounds" xr:uid="{00000000-0004-0000-0100-00002C040000}"/>
    <hyperlink ref="K1990" r:id="rId1070" display="https://www.newspapers.com/image/388845031/?terms=Dale%2BBruck" xr:uid="{00000000-0004-0000-0100-00002D040000}"/>
    <hyperlink ref="K1992" r:id="rId1071" display="https://www.newspapers.com/image/174030895/?terms=student%2Bshoots" xr:uid="{00000000-0004-0000-0100-00002E040000}"/>
    <hyperlink ref="K1995" r:id="rId1072" display="https://www.upi.com/Archives/1987/04/16/Gunshots-fired-in-a-high-school-gymnasium-killed-a/4536545544000/" xr:uid="{00000000-0004-0000-0100-00002F040000}"/>
    <hyperlink ref="K1996" r:id="rId1073" display="https://www.newspapers.com/image/404237062/?terms=Panorama%2BElementary%2BSchool%2Bshooting" xr:uid="{00000000-0004-0000-0100-000030040000}"/>
    <hyperlink ref="K1997" r:id="rId1074" display="https://www.newspapers.com/image/430983332/?terms=student%2Bshot" xr:uid="{00000000-0004-0000-0100-000031040000}"/>
    <hyperlink ref="K1998" r:id="rId1075" display="https://www.upi.com/Archives/1987/03/03/Death-of-unsung-hero-allows-classmates-to-escape/3177541746000/" xr:uid="{00000000-0004-0000-0100-000032040000}"/>
    <hyperlink ref="K2001" r:id="rId1076" display="https://www.newspapers.com/image/203093088/?terms=roger%2Bjoe%2Bedward%2Bjenkins" xr:uid="{00000000-0004-0000-0100-000033040000}"/>
    <hyperlink ref="K2002" r:id="rId1077" display="https://www.newspapers.com/image/99552670/?terms=redford%2Bhigh%2Bschool" xr:uid="{00000000-0004-0000-0100-000034040000}"/>
    <hyperlink ref="K2003" r:id="rId1078" display="https://www.newspapers.com/image/229316333/?terms=oscar%2Bmartinez" xr:uid="{00000000-0004-0000-0100-000035040000}"/>
    <hyperlink ref="K2004" r:id="rId1079" display="https://www.nytimes.com/1986/12/06/us/failing-grade-is-linked-to-shooting-of-teacher.html" xr:uid="{00000000-0004-0000-0100-000036040000}"/>
    <hyperlink ref="K2005" r:id="rId1080" display="https://www.newspapers.com/image/195486648/?terms=South%2BOak%2BCliff%2BHigh%2BSchool%2Bshooting" xr:uid="{00000000-0004-0000-0100-000037040000}"/>
    <hyperlink ref="K2006" r:id="rId1081" display="https://www.newspapers.com/image/64897451/?terms=Monrovia%2BHigh%2BSchool%2Bshooting" xr:uid="{00000000-0004-0000-0100-000038040000}"/>
    <hyperlink ref="K2007" r:id="rId1082" display="https://www.newspapers.com/image/71348642/?terms=Benicia%2BHigh%2BSchool%2Bshooting" xr:uid="{00000000-0004-0000-0100-000039040000}"/>
    <hyperlink ref="K2008" r:id="rId1083" display="https://www.newspapers.com/image/404657287/?terms=Fairfax%2BHigh%2BSchool%2Bshooting" xr:uid="{00000000-0004-0000-0100-00003A040000}"/>
    <hyperlink ref="K2009" r:id="rId1084" display="https://www.newspapers.com/image/321065578/?terms=KERRY%2BDICKENS" xr:uid="{00000000-0004-0000-0100-00003B040000}"/>
    <hyperlink ref="K2011" r:id="rId1085" display="https://www.newspapers.com/image/399571341/?terms=tammy%2Bfowler%2Bcarver" xr:uid="{00000000-0004-0000-0100-00003C040000}"/>
    <hyperlink ref="K2012" r:id="rId1086" display="https://www.upi.com/Archives/1986/05/09/A-17-year-old-student-opened-fire-with-a-pistol-in/5107515995200/" xr:uid="{00000000-0004-0000-0100-00003D040000}"/>
    <hyperlink ref="K2013" r:id="rId1087" display="https://www.upi.com/Archives/1986/05/07/Official-says-teenage-hostage-taker-unhappy-with-life/5055515822400/" xr:uid="{00000000-0004-0000-0100-00003E040000}"/>
    <hyperlink ref="K2014" r:id="rId1088" display="http://articles.chicagotribune.com/1986-05-01/news/8601310677_1_science-class-elliott-student" xr:uid="{00000000-0004-0000-0100-00003F040000}"/>
    <hyperlink ref="K2015" r:id="rId1089" display="https://www.newspapers.com/image/321178464/?terms=McCauley%2BCharles%2BDrew%2BMiddle%2BSchool" xr:uid="{00000000-0004-0000-0100-000040040000}"/>
    <hyperlink ref="K2016" r:id="rId1090" display="http://articles.chicagotribune.com/1986-03-07/news/8601170427_1_second-teacher-third-period-classes-cap-gun" xr:uid="{00000000-0004-0000-0100-000041040000}"/>
    <hyperlink ref="K2017" r:id="rId1091" display="https://www.newspapers.com/image/216501029/?terms=Boyet%2BJunior%2BHigh%2BSchool%2Bshooting" xr:uid="{00000000-0004-0000-0100-000042040000}"/>
    <hyperlink ref="K2018" r:id="rId1092" display="https://www.newspapers.com/image/377738432/?terms=Lake%2BClifton%2BHigh%2BSchool%2Bshooting" xr:uid="{00000000-0004-0000-0100-000043040000}"/>
    <hyperlink ref="K2019" r:id="rId1093" display="https://www.newspapers.com/image/401857837/?terms=Vanguard%2BJunior%2BHigh%2BSchool%2Bshooting" xr:uid="{00000000-0004-0000-0100-000044040000}"/>
    <hyperlink ref="K2020" r:id="rId1094" display="https://www.newspapers.com/image/337579716/?terms=David%2BMancuso" xr:uid="{00000000-0004-0000-0100-000045040000}"/>
    <hyperlink ref="K2022" r:id="rId1095" display="https://www.newspapers.com/image/182776909/?terms=Archbishop%2BRyan%2BHigh%2BSchool%2Bfor%2Bboys%2Bshooting" xr:uid="{00000000-0004-0000-0100-000046040000}"/>
    <hyperlink ref="K2024" r:id="rId1096" display="https://people.com/archive/a-16-year-old-alabama-boy-points-a-gun-shoots-a-friend-and-kills-himself-in-remorse-vol-25-no-2/" xr:uid="{00000000-0004-0000-0100-000047040000}"/>
    <hyperlink ref="K2025" r:id="rId1097" display="http://www.apnewsarchive.com/1985/Distraught-Over-Losing-Boyfriend-Girl-Kills-Two-Then-Herself/id-075d33aa6600d2e6b30d969ba3edaf0d" xr:uid="{00000000-0004-0000-0100-000048040000}"/>
    <hyperlink ref="K2026" r:id="rId1098" display="https://www.newspapers.com/image/292865629/?terms=Southern%2BHills%2BJoint%2BVocational%2BHigh%2BSchool%2Bshooting" xr:uid="{00000000-0004-0000-0100-000049040000}"/>
    <hyperlink ref="K2027" r:id="rId1099" display="https://www.upi.com/Archives/1985/10/18/A-gunman-stepped-out-of-a-car-and-sprayed/5334498456000/" xr:uid="{00000000-0004-0000-0100-00004A040000}"/>
    <hyperlink ref="K2028" r:id="rId1100" display="https://www.newspapers.com/image/372547711/?terms=Lake%2BClifton%2BHigh%2BSchool%2Bshooting" xr:uid="{00000000-0004-0000-0100-00004B040000}"/>
    <hyperlink ref="K2029" r:id="rId1101" display="https://www.newspapers.com/image/395559841/?terms=TROTWOOD%2BMADISON%2BSCHOOL%2BSHOOTING" xr:uid="{00000000-0004-0000-0100-00004C040000}"/>
    <hyperlink ref="K2031" r:id="rId1102" display="https://www.newspapers.com/image/310187745/?terms=Wheatley%2BHigh%2BSchool%2Bshooting" xr:uid="{00000000-0004-0000-0100-00004D040000}"/>
    <hyperlink ref="K2032" r:id="rId1103" display="https://www.apnews.com/2230ba54081db004aff5288eb8885c96" xr:uid="{00000000-0004-0000-0100-00004E040000}"/>
    <hyperlink ref="K2034" r:id="rId1104" display="https://www.newspapers.com/image/320585636/?terms=school%2Bshooting" xr:uid="{00000000-0004-0000-0100-00004F040000}"/>
    <hyperlink ref="K2037" r:id="rId1105" display="https://www.newspapers.com/image/245510114/?terms=Prince%2BTechnical%2BHigh%2BSchool" xr:uid="{00000000-0004-0000-0100-000050040000}"/>
    <hyperlink ref="K2038" r:id="rId1106" display="https://www.newspapers.com/image/437414203/?terms=school%2Bshooting" xr:uid="{00000000-0004-0000-0100-000051040000}"/>
    <hyperlink ref="K2041" r:id="rId1107" display="https://www.newspapers.com/image/140853530" xr:uid="{00000000-0004-0000-0100-000052040000}"/>
    <hyperlink ref="K2043" r:id="rId1108" display="https://www.nytimes.com/1994/11/10/nyregion/student-is-shot-at-a-high-school-in-new-haven.html" xr:uid="{00000000-0004-0000-0100-000053040000}"/>
    <hyperlink ref="K2045" r:id="rId1109" display="https://www.newspapers.com/image/190761964/?terms=teacher%2Bshot" xr:uid="{00000000-0004-0000-0100-000054040000}"/>
    <hyperlink ref="K2049" r:id="rId1110" display="https://www.newspapers.com/image/426484373/?terms=student%2Bshot" xr:uid="{00000000-0004-0000-0100-000055040000}"/>
    <hyperlink ref="K2050" r:id="rId1111" display="https://www.newspapers.com/image/218042406/?terms=student%2Bshot" xr:uid="{00000000-0004-0000-0100-000056040000}"/>
    <hyperlink ref="K2051" r:id="rId1112" display="https://www.newspapers.com/newspage/5937341/" xr:uid="{00000000-0004-0000-0100-000057040000}"/>
    <hyperlink ref="K2052" r:id="rId1113" display="https://www.newspapers.com/image/217311653/?terms=student%2Bshot" xr:uid="{00000000-0004-0000-0100-000058040000}"/>
    <hyperlink ref="K2053" r:id="rId1114" display="https://www.newspapers.com/image/99155324/?terms=student%2Bshot" xr:uid="{00000000-0004-0000-0100-000059040000}"/>
    <hyperlink ref="K2054" r:id="rId1115" display="https://www.newspapers.com/image/153645072/?terms=michael%2Bbrody" xr:uid="{00000000-0004-0000-0100-00005A040000}"/>
    <hyperlink ref="K2055" r:id="rId1116" display="https://www.newspapers.com/image/368938109/?terms=Norco%2BHigh%2BSchool%2Bshooting" xr:uid="{00000000-0004-0000-0100-00005B040000}"/>
    <hyperlink ref="K2058" r:id="rId1117" display="https://www.newspapers.com/image/240845256/?terms=STUDENT%2BSHOOTS" xr:uid="{00000000-0004-0000-0100-00005C040000}"/>
    <hyperlink ref="K2059" r:id="rId1118" display="https://www.newspapers.com/image/337840295/?terms=STUDENT%2BSHOOTS" xr:uid="{00000000-0004-0000-0100-00005D040000}"/>
    <hyperlink ref="K2060" r:id="rId1119" display="https://www.newspapers.com/newspage/99072089/" xr:uid="{00000000-0004-0000-0100-00005E040000}"/>
    <hyperlink ref="K2061" r:id="rId1120" display="https://www.newspapers.com/image/216585063/?terms=student%2Bshot" xr:uid="{00000000-0004-0000-0100-00005F040000}"/>
    <hyperlink ref="K2063" r:id="rId1121" display="https://www.newspapers.com/image/439511158/?terms=sharpstown%2Bhigh%2Bschool%2Bteacher" xr:uid="{00000000-0004-0000-0100-000060040000}"/>
    <hyperlink ref="K2064" r:id="rId1122" display="https://www.newspapers.com/image/109675401/?terms=student%2Bshot" xr:uid="{00000000-0004-0000-0100-000061040000}"/>
    <hyperlink ref="K2066" r:id="rId1123" display="https://news.google.com/newspapers?id=uSEVAAAAIBAJ&amp;sjid=UwYEAAAAIBAJ&amp;pg=3636,1012288&amp;dq=" xr:uid="{00000000-0004-0000-0100-000062040000}"/>
    <hyperlink ref="K2067" r:id="rId1124" display="https://www.newspapers.com/image/178928817/?terms=student%2Bshot" xr:uid="{00000000-0004-0000-0100-000063040000}"/>
    <hyperlink ref="K2069" r:id="rId1125" display="https://www.newspapers.com/image/388094016/?terms=school%2Bshooting" xr:uid="{00000000-0004-0000-0100-000064040000}"/>
    <hyperlink ref="K2071" r:id="rId1126" display="https://www.newspapers.com/image/371003589/?terms=student%2Bshot&amp;match=10" xr:uid="{00000000-0004-0000-0100-000065040000}"/>
    <hyperlink ref="K2072" r:id="rId1127" display="https://www.newspapers.com/image/390896596/?terms=Compton%2BHigh%2BSchool%2Bshooting" xr:uid="{00000000-0004-0000-0100-000066040000}"/>
    <hyperlink ref="K2073" r:id="rId1128" display="https://www.newspapers.com/image/379323248/?terms=temple%2Bhigh%2Bschool%2Bshooting" xr:uid="{00000000-0004-0000-0100-000067040000}"/>
    <hyperlink ref="K2074" r:id="rId1129" display="https://www.newspapers.com/image/369822289" xr:uid="{00000000-0004-0000-0100-000068040000}"/>
    <hyperlink ref="K2075" r:id="rId1130" display="https://www.newspapers.com/image/381958766/?terms=student%2Bshot" xr:uid="{00000000-0004-0000-0100-000069040000}"/>
    <hyperlink ref="K2076" r:id="rId1131" display="https://www.newspapers.com/image/97839646" xr:uid="{00000000-0004-0000-0100-00006A040000}"/>
    <hyperlink ref="K2077" r:id="rId1132" display="https://www.newspapers.com/image/89740743/?terms=student%2Bshot" xr:uid="{00000000-0004-0000-0100-00006B040000}"/>
    <hyperlink ref="K2078" r:id="rId1133" display="https://www.newspapers.com/image/296835492/?terms=mansfield%2Bsenior%2Bhigh%2Bschool" xr:uid="{00000000-0004-0000-0100-00006C040000}"/>
    <hyperlink ref="K2080" r:id="rId1134" display="https://lakehighlands.advocatemag.com/2014/03/history-shooting-lake-highlands-cafeteria-worker-remembered/" xr:uid="{00000000-0004-0000-0100-00006D040000}"/>
    <hyperlink ref="K2081" r:id="rId1135" display="https://www.nytimes.com/1983/05/17/nyregion/hostages-at-li-school-are-freed-and-gunman-then-kills-himself.html" xr:uid="{00000000-0004-0000-0100-00006E040000}"/>
    <hyperlink ref="K2082" r:id="rId1136" display="https://www.newspapers.com/image/139911306/?terms=student%2Bshot" xr:uid="{00000000-0004-0000-0100-00006F040000}"/>
    <hyperlink ref="K2083" r:id="rId1137" display="https://www.newspapers.com/image/277257866/?terms=Santa%2BMaria%2BInCornata-Santa%2BLucia%2BSchool%2Bshooting" xr:uid="{00000000-0004-0000-0100-000070040000}"/>
    <hyperlink ref="K2084" r:id="rId1138" display="https://www.newspapers.com/image/157419087/?terms=student%2Bshot" xr:uid="{00000000-0004-0000-0100-000071040000}"/>
    <hyperlink ref="K2085" r:id="rId1139" display="https://www.newspapers.com/image/112306526/?terms=troy%2Bhale" xr:uid="{00000000-0004-0000-0100-000072040000}"/>
    <hyperlink ref="K2086" r:id="rId1140" display="https://www.newspapers.com/image/227592168/?terms=student%2Bshoots" xr:uid="{00000000-0004-0000-0100-000073040000}"/>
    <hyperlink ref="K2088" r:id="rId1141" display="https://www.newspapers.com/image/372294245/?terms=lemmel%2Bmiddle%2Bschool" xr:uid="{00000000-0004-0000-0100-000074040000}"/>
    <hyperlink ref="K2089" r:id="rId1142" display="http://articles.baltimoresun.com/1999-05-02/topic/9905040373_1_senti-firecracker-beneath" xr:uid="{00000000-0004-0000-0100-000075040000}"/>
    <hyperlink ref="K2095" r:id="rId1143" display="https://www.newspapers.com/image/397000389/?terms=student%2Bshot" xr:uid="{00000000-0004-0000-0100-000076040000}"/>
    <hyperlink ref="K2096" r:id="rId1144" display="https://www.newspapers.com/image/356116122/?terms=STUDENT%2BSHOOTS" xr:uid="{00000000-0004-0000-0100-000077040000}"/>
    <hyperlink ref="K2097" r:id="rId1145" display="https://www.newspapers.com/image/365939621/?terms=Lake%2BBraddock%2BSecondary%2BSchool%2Bshooting" xr:uid="{00000000-0004-0000-0100-000078040000}"/>
    <hyperlink ref="K2098" r:id="rId1146" display="https://www.newspapers.com/image/283184637/?terms=student%2Bshot" xr:uid="{00000000-0004-0000-0100-000079040000}"/>
    <hyperlink ref="K2100" r:id="rId1147" display="https://www.newspapers.com/image/399546733/?terms=student%2Bshot&amp;match=3" xr:uid="{00000000-0004-0000-0100-00007A040000}"/>
    <hyperlink ref="K2101" r:id="rId1148" display="https://www.newspapers.com/image/377444331/?terms=TEACHER%2BSHOT" xr:uid="{00000000-0004-0000-0100-00007B040000}"/>
    <hyperlink ref="K2104" r:id="rId1149" display="https://www.newspapers.com/image/155231508/?terms=STUDENT%2BSHOOTS" xr:uid="{00000000-0004-0000-0100-00007C040000}"/>
    <hyperlink ref="K2105" r:id="rId1150" display="https://www.newspapers.com/image/199055882/?terms=STUDENT%2BSHOOTS" xr:uid="{00000000-0004-0000-0100-00007D040000}"/>
    <hyperlink ref="K2106" r:id="rId1151" display="https://www.newspapers.com/image/305864381/?terms=student%2Bshot" xr:uid="{00000000-0004-0000-0100-00007E040000}"/>
    <hyperlink ref="K2108" r:id="rId1152" display="https://www.newspapers.com/image/279068651/?terms=teacher%2Bshot" xr:uid="{00000000-0004-0000-0100-00007F040000}"/>
    <hyperlink ref="K2109" r:id="rId1153" display="https://www.nytimes.com/1981/12/24/nyregion/wrong-kid-is-fatally-shot-in-fight-at-brooklyn-school.html" xr:uid="{00000000-0004-0000-0100-000080040000}"/>
    <hyperlink ref="K2110" r:id="rId1154" display="https://www.newspapers.com/image/209382299/?terms=student%2BshoT" xr:uid="{00000000-0004-0000-0100-000081040000}"/>
    <hyperlink ref="K2111" r:id="rId1155" display="https://www.nytimes.com/1981/12/24/nyregion/wrong-kid-is-fatally-shot-in-fight-at-brooklyn-school.html" xr:uid="{00000000-0004-0000-0100-000082040000}"/>
    <hyperlink ref="K2113" r:id="rId1156" display="https://www.newspapers.com/image/371656005" xr:uid="{00000000-0004-0000-0100-000083040000}"/>
    <hyperlink ref="K2114" r:id="rId1157" display="https://www.newspapers.com/image/130082201/?terms=student%2Bshoots" xr:uid="{00000000-0004-0000-0100-000084040000}"/>
    <hyperlink ref="K2116" r:id="rId1158" display="https://www.newspapers.com/image/174012189/?terms=William%2BLongstreth%2BElementary%2BSchool%2Bshooting" xr:uid="{00000000-0004-0000-0100-000085040000}"/>
    <hyperlink ref="K2117" r:id="rId1159" display="https://www.newspapers.com/image/216284765/?terms=new%2BIberia%2Bteacher%2Bshot" xr:uid="{00000000-0004-0000-0100-000086040000}"/>
    <hyperlink ref="K2118" r:id="rId1160" display="https://www.newspapers.com/image/278826646/?terms=student%2Bshot" xr:uid="{00000000-0004-0000-0100-000087040000}"/>
    <hyperlink ref="K2120" r:id="rId1161" display="https://www.newspapers.com/image/235456423/?terms=dillard%2Bhigh%2Bschool%2Bshooting" xr:uid="{00000000-0004-0000-0100-000088040000}"/>
    <hyperlink ref="K2121" r:id="rId1162" display="https://www.newspapers.com/image/312662676/?terms=student%2Bshot" xr:uid="{00000000-0004-0000-0100-000089040000}"/>
    <hyperlink ref="K2123" r:id="rId1163" display="https://www.newspapers.com/image/378838711/?terms=Manuel%2BArts%2BHigh%2BSchool%2Bshooting" xr:uid="{00000000-0004-0000-0100-00008A040000}"/>
    <hyperlink ref="K2124" r:id="rId1164" display="https://www.newspapers.com/image/377747566/?terms=student%2Bshot" xr:uid="{00000000-0004-0000-0100-00008B040000}"/>
    <hyperlink ref="K2125" r:id="rId1165" display="https://www.upi.com/Archives/1981/01/21/A-science-teacher-was-shot-and-wounded-Wednesday-by/6947348901200/" xr:uid="{00000000-0004-0000-0100-00008C040000}"/>
    <hyperlink ref="K2126" r:id="rId1166" display="https://www.newspapers.com/image/262419526/?terms=Parker%2BHigh%2BSchool%2Bshooting%2Bbirmingham" xr:uid="{00000000-0004-0000-0100-00008D040000}"/>
    <hyperlink ref="K2129" r:id="rId1167" display="https://www.newspapers.com/newspage/106527312/" xr:uid="{00000000-0004-0000-0100-00008E040000}"/>
    <hyperlink ref="K2130" r:id="rId1168" display="https://www.newspapers.com/image/266962735/?terms=Central%2BHigh%2BSchool%2Btuscaloosa%2Bshooting" xr:uid="{00000000-0004-0000-0100-00008F040000}"/>
    <hyperlink ref="K2131" r:id="rId1169" display="https://www.newspapers.com/image/242933436/?terms=student%2Bshot" xr:uid="{00000000-0004-0000-0100-000090040000}"/>
    <hyperlink ref="K2132" r:id="rId1170" display="https://www.newspapers.com/image/265350967/?terms=marian%2Bgreen" xr:uid="{00000000-0004-0000-0100-000091040000}"/>
    <hyperlink ref="K2133" r:id="rId1171" display="https://www.washingtonpost.com/archive/local/1980/09/11/spingarn-high-student-fatally-shot-at-school-assembly/92b6d5ba-12ec-406d-9b40-92cbc30665c0/?utm_term=.a461da45a849" xr:uid="{00000000-0004-0000-0100-000092040000}"/>
    <hyperlink ref="K2134" r:id="rId1172" display="https://www.newspapers.com/image/437154147/?terms=jim%2BScherny" xr:uid="{00000000-0004-0000-0100-000093040000}"/>
    <hyperlink ref="K2135" r:id="rId1173" display="https://www.newspapers.com/image/63246339/?terms=Whittier%2BHigh%2BSchool%2Bshooting" xr:uid="{00000000-0004-0000-0100-000094040000}"/>
    <hyperlink ref="K2136" r:id="rId1174" display="https://www.newspapers.com/image/335123478/?terms=student%2Bshoots%2Bself" xr:uid="{00000000-0004-0000-0100-000095040000}"/>
    <hyperlink ref="K2137" r:id="rId1175" display="https://www.newspapers.com/image/281071758/?terms=Capeville%2BElementary%2BSchool%2Bshooting" xr:uid="{00000000-0004-0000-0100-000096040000}"/>
    <hyperlink ref="K2138" r:id="rId1176" display="https://www.newspapers.com/image/377692610/?terms=Frederick%2BDouglass%2BSenior%2BHigh%2BSchool%2Bshooting" xr:uid="{00000000-0004-0000-0100-000097040000}"/>
    <hyperlink ref="K2140" r:id="rId1177" display="https://www.newspapers.com/image/318405620/?terms=sandra%2Bviser%2Bmccomb" xr:uid="{00000000-0004-0000-0100-000098040000}"/>
    <hyperlink ref="K2141" r:id="rId1178" display="https://www.newspapers.com/image/107593168/?terms=DANIEL%2BPEREZ%2BARSENAL%2BTECHNICAL%2BHIGH%2BSCHOOL" xr:uid="{00000000-0004-0000-0100-000099040000}"/>
    <hyperlink ref="K2142" r:id="rId1179" display="https://www.newspapers.com/image/217265072/?terms=10-year%2Bold%2Bboy%2Baccidentally%2Bshot" xr:uid="{00000000-0004-0000-0100-00009A040000}"/>
    <hyperlink ref="K2143" r:id="rId1180" display="https://www.washingtonpost.com/archive/local/1980/02/02/proving-gun-is-real-2nd-grader-at-langdon-school-is-shot/f83c3b73-ed9d-4a79-a529-984a01675142/?noredirect=on&amp;utm_term=.d238a08a83ec" xr:uid="{00000000-0004-0000-0100-00009B040000}"/>
    <hyperlink ref="K2144" r:id="rId1181" display="https://www.newspapers.com/image/234200567/?terms=student%2Bwho%2Bshot%2Bself" xr:uid="{00000000-0004-0000-0100-00009C040000}"/>
    <hyperlink ref="K2146" r:id="rId1182" display="https://www.newspapers.com/image/139639371/?terms=school%2Bshooting" xr:uid="{00000000-0004-0000-0100-00009D040000}"/>
    <hyperlink ref="K2147" r:id="rId1183" display="https://www.newspapers.com/image/281107557/?terms=eastern%2Bhigh%2Bschool%2Bshooting%2Bbaltimore" xr:uid="{00000000-0004-0000-0100-00009E040000}"/>
    <hyperlink ref="K2149" r:id="rId1184" display="https://www.newspapers.com/image/107586036/?terms=school%2Bshooting" xr:uid="{00000000-0004-0000-0100-00009F040000}"/>
    <hyperlink ref="K2150" r:id="rId1185" display="https://www.newspapers.com/image/307812073/?terms=school%2Bshooting" xr:uid="{00000000-0004-0000-0100-0000A0040000}"/>
    <hyperlink ref="K2154" r:id="rId1186" display="https://www.newspapers.com/image/362214425/?terms=school%2Bshooting" xr:uid="{00000000-0004-0000-0100-0000A1040000}"/>
    <hyperlink ref="K2155" r:id="rId1187" display="https://www.newspapers.com/image/407944749/?terms=school%2Bshooting" xr:uid="{00000000-0004-0000-0100-0000A2040000}"/>
    <hyperlink ref="K2156" r:id="rId1188" display="https://www.newspapers.com/image/273435847/?terms=Wisconsin%2BLutheran%2BHigh%2BSchool%2Bjanitor%2Bshot%2Brocks" xr:uid="{00000000-0004-0000-0100-0000A3040000}"/>
    <hyperlink ref="K2162" r:id="rId1189" display="https://www.newspapers.com/image/396100647/?terms=school%2Bshooting" xr:uid="{00000000-0004-0000-0100-0000A4040000}"/>
    <hyperlink ref="K2163" r:id="rId1190" display="https://www.newspapers.com/newspage/107532734/" xr:uid="{00000000-0004-0000-0100-0000A5040000}"/>
    <hyperlink ref="K2164" r:id="rId1191" display="https://stltoday.newspapers.com/clip/7051030/3_wounded_in_university_city_high/" xr:uid="{00000000-0004-0000-0100-0000A6040000}"/>
    <hyperlink ref="K2165" r:id="rId1192" display="https://www.newspapers.com/image/72988843/?terms=Weymouth%2BSouth%2BHigh%2BSchool%2Bshooting" xr:uid="{00000000-0004-0000-0100-0000A7040000}"/>
    <hyperlink ref="K2166" r:id="rId1193" display="https://www.newspapers.com/image/160873897/?terms=Adams%2BElementary%2BSchool%2Bshooting" xr:uid="{00000000-0004-0000-0100-0000A8040000}"/>
    <hyperlink ref="K2167" r:id="rId1194" display="https://www.newspapers.com/image/178054448/?terms=school%2Bshooting" xr:uid="{00000000-0004-0000-0100-0000A9040000}"/>
    <hyperlink ref="K2169" r:id="rId1195" display="https://www.newspapers.com/image/385395737/?terms=Ridgewood%2BHigh%2BSchool%2Bdance" xr:uid="{00000000-0004-0000-0100-0000AA040000}"/>
    <hyperlink ref="K2171" r:id="rId1196" display="https://www.newspapers.com/image/98660556/?terms=school%2Bshooting" xr:uid="{00000000-0004-0000-0100-0000AB040000}"/>
    <hyperlink ref="K2172" r:id="rId1197" display="https://www.newspapers.com/image/111103679/?terms=school%2Bshooting" xr:uid="{00000000-0004-0000-0100-0000AC040000}"/>
    <hyperlink ref="K2173" r:id="rId1198" display="https://www.newspapers.com/image/295196725/" xr:uid="{00000000-0004-0000-0100-0000AD040000}"/>
    <hyperlink ref="K2174" r:id="rId1199" display="https://www.newspapers.com/newspage/207607604/" xr:uid="{00000000-0004-0000-0100-0000AE040000}"/>
    <hyperlink ref="K2175" r:id="rId1200" display="https://www.wvgazettemail.com/news/cops_and_courts/before-school-shooting-became-a-common-term-junior-high-killing/article_6db5ead9-22c2-5c2c-8b56-32a110e4df26.html" xr:uid="{00000000-0004-0000-0100-0000AF040000}"/>
    <hyperlink ref="K2176" r:id="rId1201" display="https://news.google.com/newspapers?id=xeUrAAAAIBAJ&amp;pg=1382,878132" xr:uid="{00000000-0004-0000-0100-0000B0040000}"/>
    <hyperlink ref="K2177" r:id="rId1202" display="https://www.newspapers.com/image/342698296/?terms=school%2Bshooting" xr:uid="{00000000-0004-0000-0100-0000B1040000}"/>
    <hyperlink ref="K2178" r:id="rId1203" display="https://www.newspapers.com/image/303108537/?terms=school%2Bshooting" xr:uid="{00000000-0004-0000-0100-0000B2040000}"/>
    <hyperlink ref="K2179" r:id="rId1204" display="https://www.newspapers.com/image/295122036/?terms=school%2Bshooting" xr:uid="{00000000-0004-0000-0100-0000B3040000}"/>
    <hyperlink ref="K2180" r:id="rId1205" display="https://www.newspapers.com/image/139128319/?terms=school%2Bshooting" xr:uid="{00000000-0004-0000-0100-0000B4040000}"/>
    <hyperlink ref="K2181" r:id="rId1206" display="https://www.newspapers.com/image/139488488/?terms=school%2Bshooting" xr:uid="{00000000-0004-0000-0100-0000B5040000}"/>
    <hyperlink ref="K2182" r:id="rId1207" display="https://www.newspapers.com/image/86275915/?terms=school%2Bshooting" xr:uid="{00000000-0004-0000-0100-0000B6040000}"/>
    <hyperlink ref="K2183" r:id="rId1208" display="https://www.newspapers.com/image/131852835/?terms=school%2Bshooting" xr:uid="{00000000-0004-0000-0100-0000B7040000}"/>
    <hyperlink ref="K2184" r:id="rId1209" display="https://www.newspapers.com/image/124954684/?terms=school%2Bshooting" xr:uid="{00000000-0004-0000-0100-0000B8040000}"/>
    <hyperlink ref="K2185" r:id="rId1210" display="https://www.newspapers.com/image/112439487/?terms=school%2Bshooting" xr:uid="{00000000-0004-0000-0100-0000B9040000}"/>
    <hyperlink ref="K2187" r:id="rId1211" display="https://www.newspapers.com/image/347216054/?terms=school%2Bshooting" xr:uid="{00000000-0004-0000-0100-0000BA040000}"/>
    <hyperlink ref="K2188" r:id="rId1212" display="https://www.newspapers.com/image/26422860/?terms=school%2Bshooting" xr:uid="{00000000-0004-0000-0100-0000BB040000}"/>
    <hyperlink ref="K2189" r:id="rId1213" display="https://www.newspapers.com/image/139488488/?terms=school%2Bshooting" xr:uid="{00000000-0004-0000-0100-0000BC040000}"/>
    <hyperlink ref="K2190" r:id="rId1214" display="https://www.newspapers.com/image/29839915/?terms=school%2Bshooting" xr:uid="{00000000-0004-0000-0100-0000BD040000}"/>
    <hyperlink ref="K2191" r:id="rId1215" display="https://www.newspapers.com/image/127972205/?terms=school%2Bshooting" xr:uid="{00000000-0004-0000-0100-0000BE040000}"/>
    <hyperlink ref="K2192" r:id="rId1216" display="https://www.newspapers.com/image/18233056/?terms=Old%2BMain%2BEisenhower%2BHigh%2BSchool%2Bshooting" xr:uid="{00000000-0004-0000-0100-0000BF040000}"/>
    <hyperlink ref="K2193" r:id="rId1217" display="https://www.newspapers.com/image/165856618/?terms=school%2Bshooting" xr:uid="{00000000-0004-0000-0100-0000C0040000}"/>
    <hyperlink ref="K2194" r:id="rId1218" display="https://news.google.com/newspapers?id=gblHAAAAIBAJ&amp;pg=3465,1557281" xr:uid="{00000000-0004-0000-0100-0000C1040000}"/>
    <hyperlink ref="K2195" r:id="rId1219" display="https://www.newspapers.com/image/43183929/?terms=school%2Bshooting" xr:uid="{00000000-0004-0000-0100-0000C2040000}"/>
    <hyperlink ref="K2196" r:id="rId1220" display="https://www.newspapers.com/image/12568764/?terms=school%2Bshooting" xr:uid="{00000000-0004-0000-0100-0000C3040000}"/>
    <hyperlink ref="K2197" r:id="rId1221" display="https://www.newspapers.com/image/133980815/?terms=palm%2Bbeach%2Bgarden%2Bschool%2Bshooting" xr:uid="{00000000-0004-0000-0100-0000C4040000}"/>
    <hyperlink ref="K2199" r:id="rId1222" display="https://www.newspapers.com/image/29580657/?terms=school%2Bshooting" xr:uid="{00000000-0004-0000-0100-0000C5040000}"/>
    <hyperlink ref="K2200" r:id="rId1223" display="https://news.google.com/newspapers?id=LQ9PAAAAIBAJ&amp;pg=3947,2156747" xr:uid="{00000000-0004-0000-0100-0000C6040000}"/>
    <hyperlink ref="K2202" r:id="rId1224" display="https://www.newspapers.com/image/293916124/?terms=school%2Bshooting" xr:uid="{00000000-0004-0000-0100-0000C7040000}"/>
    <hyperlink ref="K2203" r:id="rId1225" display="https://www.newspapers.com/image/117994783/?terms=school%2Bshooting" xr:uid="{00000000-0004-0000-0100-0000C8040000}"/>
    <hyperlink ref="K2204" r:id="rId1226" display="https://www.newspapers.com/image/86248524/?terms=school%2Bshooting" xr:uid="{00000000-0004-0000-0100-0000C9040000}"/>
    <hyperlink ref="K2205" r:id="rId1227" display="https://www.newspapers.com/image/398982633/" xr:uid="{00000000-0004-0000-0100-0000CA040000}"/>
    <hyperlink ref="K2208" r:id="rId1228" display="https://www.newspapers.com/image/140719112/?terms=school%2Bshooting" xr:uid="{00000000-0004-0000-0100-0000CB040000}"/>
    <hyperlink ref="K2209" r:id="rId1229" display="https://www.newspapers.com/image/382147136/?terms=teacher%2Bshot" xr:uid="{00000000-0004-0000-0100-0000CC040000}"/>
    <hyperlink ref="K2210" r:id="rId1230" display="https://www.newspapers.com/image/98347062/?terms=school%2Bshooting" xr:uid="{00000000-0004-0000-0100-0000CD040000}"/>
    <hyperlink ref="K2211" r:id="rId1231" display="https://www.newspapers.com/image/140698558/?terms=school%2Bshooting" xr:uid="{00000000-0004-0000-0100-0000CE040000}"/>
    <hyperlink ref="K2212" r:id="rId1232" display="https://www.newspapers.com/image/405249949/?terms=NICHOLAS%2BSUTTLES%2BTEACHER" xr:uid="{00000000-0004-0000-0100-0000CF040000}"/>
    <hyperlink ref="K2213" r:id="rId1233" display="https://www.newspapers.com/image/29775822/?terms=pupil%2Bshot" xr:uid="{00000000-0004-0000-0100-0000D0040000}"/>
    <hyperlink ref="K2214" r:id="rId1234" display="https://www.newspapers.com/newspage/139614437/" xr:uid="{00000000-0004-0000-0100-0000D1040000}"/>
    <hyperlink ref="K2217" r:id="rId1235" display="https://www.newspapers.com/image/431914265/?terms=william%2Bgund" xr:uid="{00000000-0004-0000-0100-0000D2040000}"/>
    <hyperlink ref="K2219" r:id="rId1236" display="https://www.newspapers.com/image/246204936/?terms=school%2Bshooting" xr:uid="{00000000-0004-0000-0100-0000D3040000}"/>
    <hyperlink ref="K2220" r:id="rId1237" display="https://www.newspapers.com/image/68536508/?terms=school%2Bshooting" xr:uid="{00000000-0004-0000-0100-0000D4040000}"/>
    <hyperlink ref="K2221" r:id="rId1238" display="https://www.newspapers.com/image/31485570/?terms=school%2Bshooting" xr:uid="{00000000-0004-0000-0100-0000D5040000}"/>
    <hyperlink ref="K2222" r:id="rId1239" display="https://www.newspapers.com/image/68536508/?terms=school%2Bshooting" xr:uid="{00000000-0004-0000-0100-0000D6040000}"/>
    <hyperlink ref="K2223" r:id="rId1240" display="https://www.newspapers.com/image/377591998/?terms=school%2Bshooting" xr:uid="{00000000-0004-0000-0100-0000D7040000}"/>
    <hyperlink ref="K2225" r:id="rId1241" display="https://www.newspapers.com/image/30473026/?terms=school%2Bshooting" xr:uid="{00000000-0004-0000-0100-0000D8040000}"/>
    <hyperlink ref="K2226" r:id="rId1242" display="https://www.newspapers.com/image/252161775/?terms=school%2Bshooting" xr:uid="{00000000-0004-0000-0100-0000D9040000}"/>
    <hyperlink ref="K2227" r:id="rId1243" display="https://www.newspapers.com/image/236492101/?terms=school%2Bshooting" xr:uid="{00000000-0004-0000-0100-0000DA040000}"/>
    <hyperlink ref="K2229" r:id="rId1244" display="https://www.newspapers.com/image/60655345/?terms=school%2Bshooting" xr:uid="{00000000-0004-0000-0100-0000DB040000}"/>
    <hyperlink ref="K2231" r:id="rId1245" display="https://www.newspapers.com/image/63455706/?terms=school%2Bshooting" xr:uid="{00000000-0004-0000-0100-0000DC040000}"/>
    <hyperlink ref="K2232" r:id="rId1246" display="https://www.newspapers.com/image/382020739/?terms=school%2Bshooting" xr:uid="{00000000-0004-0000-0100-0000DD040000}"/>
    <hyperlink ref="K2233" r:id="rId1247" display="https://www.newspapers.com/image/287719212/?terms=school%2Bshooting" xr:uid="{00000000-0004-0000-0100-0000DE040000}"/>
    <hyperlink ref="K2234" r:id="rId1248" display="https://www.newspapers.com/image/104353084/?terms=school%2Bshooting" xr:uid="{00000000-0004-0000-0100-0000DF040000}"/>
    <hyperlink ref="K2235" r:id="rId1249" display="https://www.newspapers.com/image/81731406/?terms=Student%2Bshot" xr:uid="{00000000-0004-0000-0100-0000E0040000}"/>
    <hyperlink ref="K2236" r:id="rId1250" display="https://www.newspapers.com/image/25814105/?terms=school%2Bshooting" xr:uid="{00000000-0004-0000-0100-0000E1040000}"/>
    <hyperlink ref="K2238" r:id="rId1251" display="https://www.newspapers.com/image/305635210/?terms=school%2Bshooting" xr:uid="{00000000-0004-0000-0100-0000E2040000}"/>
    <hyperlink ref="K2239" r:id="rId1252" display="https://www.newspapers.com/image/186814707/?terms=school%2Bshooting" xr:uid="{00000000-0004-0000-0100-0000E3040000}"/>
    <hyperlink ref="K2241" r:id="rId1253" display="https://www.newspapers.com/image/152290612/?terms=a%2Bsingle%2Btragic%2Bincident" xr:uid="{00000000-0004-0000-0100-0000E4040000}"/>
    <hyperlink ref="K2243" r:id="rId1254" display="https://www.newspapers.com/image/94426366/?terms=school%2Bshooting" xr:uid="{00000000-0004-0000-0100-0000E5040000}"/>
    <hyperlink ref="K2244" r:id="rId1255" display="https://www.newspapers.com/image/381696060/?terms=school%2Bshooting" xr:uid="{00000000-0004-0000-0100-0000E6040000}"/>
    <hyperlink ref="K2245" r:id="rId1256" display="https://www.newspapers.com/image/43038797/?terms=student%2Bshot" xr:uid="{00000000-0004-0000-0100-0000E7040000}"/>
    <hyperlink ref="K2246" r:id="rId1257" display="https://www.newspapers.com/image/37911464/?terms=school%2Bshooting" xr:uid="{00000000-0004-0000-0100-0000E8040000}"/>
    <hyperlink ref="K2248" r:id="rId1258" display="https://www.newspapers.com/image/256798541/?terms=school%2Bshooting" xr:uid="{00000000-0004-0000-0100-0000E9040000}"/>
    <hyperlink ref="K2249" r:id="rId1259" display="https://www.newspapers.com/image/53558183/?terms=school%2Bshooting" xr:uid="{00000000-0004-0000-0100-0000EA040000}"/>
    <hyperlink ref="K2250" r:id="rId1260" display="https://www.newspapers.com/image/18141346/?terms=school%2Bshooting" xr:uid="{00000000-0004-0000-0100-0000EB040000}"/>
    <hyperlink ref="K2251" r:id="rId1261" display="https://www.newspapers.com/image/133686805/?terms=STUDENT%2BSHOT" xr:uid="{00000000-0004-0000-0100-0000EC040000}"/>
    <hyperlink ref="K2252" r:id="rId1262" display="https://www.newspapers.com/image/125303713/?terms=school%2Bshooting" xr:uid="{00000000-0004-0000-0100-0000ED040000}"/>
    <hyperlink ref="K2253" r:id="rId1263" display="https://www.newspapers.com/image/208385082/?terms=boy+who+shot+students+may+have+stopped+riots" xr:uid="{00000000-0004-0000-0100-0000EE040000}"/>
    <hyperlink ref="K2254" r:id="rId1264" display="https://www.newspapers.com/image/271348834/?terms=school%2Bshooting" xr:uid="{00000000-0004-0000-0100-0000EF040000}"/>
    <hyperlink ref="K2255" r:id="rId1265" display="https://www.newspapers.com/image/294173364/?terms=teacher%2Bshot%2Band%2Bbeaten" xr:uid="{00000000-0004-0000-0100-0000F0040000}"/>
    <hyperlink ref="K2257" r:id="rId1266" display="https://www.newspapers.com/image/205331514/?terms=school%2Bshooting" xr:uid="{00000000-0004-0000-0100-0000F1040000}"/>
    <hyperlink ref="K2259" r:id="rId1267" display="https://www.newspapers.com/image/105768941/" xr:uid="{00000000-0004-0000-0100-0000F2040000}"/>
    <hyperlink ref="K2260" r:id="rId1268" display="https://www.newspapers.com/image/151050501/?terms=principal%2Bof%2BLibby%2BC.%2BBooth%2BElementary%2BSchool%2Bwho%2Bwas%2Bshot%2Bto%2Bdeath" xr:uid="{00000000-0004-0000-0100-0000F3040000}"/>
    <hyperlink ref="K2261" r:id="rId1269" display="https://www.newspapers.com/image/227849615/?terms=husband%2Bkills%2Bteacher" xr:uid="{00000000-0004-0000-0100-0000F4040000}"/>
    <hyperlink ref="K2262" r:id="rId1270" display="https://www.newspapers.com/image/6263611/?terms=school%2Bshooting" xr:uid="{00000000-0004-0000-0100-0000F5040000}"/>
    <hyperlink ref="K2263" r:id="rId1271" display="https://www.newspapers.com/image/238598927/?terms=school%2Bshooting" xr:uid="{00000000-0004-0000-0100-0000F6040000}"/>
    <hyperlink ref="K2264" r:id="rId1272" display="https://www.newspapers.com/image/340859194/?terms=school%2Bshooting" xr:uid="{00000000-0004-0000-0100-0000F7040000}"/>
    <hyperlink ref="K2265" r:id="rId1273" display="https://www.newspapers.com/image/340859194/?terms=school%2Bshooting" xr:uid="{00000000-0004-0000-0100-0000F8040000}"/>
    <hyperlink ref="K2266" r:id="rId1274" display="https://www.newspapers.com/image/377397441/?terms=school%2Bshooting" xr:uid="{00000000-0004-0000-0100-0000F9040000}"/>
    <hyperlink ref="K2267" r:id="rId1275" display="https://www.newspapers.com/image/377397441/?terms=school%2Bshooting" xr:uid="{00000000-0004-0000-0100-0000FA040000}"/>
    <hyperlink ref="K2269" r:id="rId1276" display="https://www.newspapers.com/image/377430624/?terms=husband%2Bkills%2Bteacher" xr:uid="{00000000-0004-0000-0100-0000FB040000}"/>
    <hyperlink ref="K2270" r:id="rId1277" display="https://www.newspapers.com/image/372317689/?terms=school%2Bshooting" xr:uid="{00000000-0004-0000-0100-0000FC040000}"/>
    <hyperlink ref="K2273" r:id="rId1278" display="https://www.newspapers.com/image/310892698/?terms=Grove%2BElementary%2BSchool%2Bshooting" xr:uid="{00000000-0004-0000-0100-0000FD040000}"/>
    <hyperlink ref="K2275" r:id="rId1279" display="https://www.newspapers.com/image/377096935/" xr:uid="{00000000-0004-0000-0100-0000FE040000}"/>
    <hyperlink ref="K2276" r:id="rId1280" display="https://www.newspapers.com/image/377096935/" xr:uid="{00000000-0004-0000-0100-0000FF040000}"/>
    <hyperlink ref="K2277" r:id="rId1281" display="https://www.newspapers.com/image/377094051/?terms=school%2Bshooting" xr:uid="{00000000-0004-0000-0100-000000050000}"/>
    <hyperlink ref="K2278" r:id="rId1282" display="https://www.newspapers.com/image/378657230/?terms=school%2Bshooting" xr:uid="{00000000-0004-0000-0100-000001050000}"/>
    <hyperlink ref="K2279" r:id="rId1283" display="https://www.newspapers.com/image/190388672/?terms=school%2Bshooting" xr:uid="{00000000-0004-0000-0100-000002050000}"/>
    <hyperlink ref="K2280" r:id="rId1284" display="https://www.newspapers.com/image/346849918/?terms=school%2Bshooting" xr:uid="{00000000-0004-0000-0100-000003050000}"/>
    <hyperlink ref="K2281" r:id="rId1285" display="https://www.newspapers.com/image/9122502/?terms=school%2Bshooting" xr:uid="{00000000-0004-0000-0100-000004050000}"/>
    <hyperlink ref="K2282" r:id="rId1286" display="https://www.newspapers.com/image/72973348/?terms=school%2Bshooting" xr:uid="{00000000-0004-0000-0100-000005050000}"/>
    <hyperlink ref="K2283" r:id="rId1287" display="https://www.newspapers.com/image/255572230/?terms=school%2Bshooting" xr:uid="{00000000-0004-0000-0100-000006050000}"/>
    <hyperlink ref="K2284" r:id="rId1288" display="https://www.newspapers.com/image/365033298/?terms=school%2Bshooting" xr:uid="{00000000-0004-0000-0100-000007050000}"/>
    <hyperlink ref="K2285" r:id="rId1289" display="https://www.newspapers.com/image/48704588/" xr:uid="{00000000-0004-0000-0100-000008050000}"/>
    <hyperlink ref="K2286" r:id="rId1290" display="https://www.newspapers.com/image/164611095/?terms=school%2Bshooting" xr:uid="{00000000-0004-0000-0100-000009050000}"/>
    <hyperlink ref="K2287" r:id="rId1291" display="https://www.newspapers.com/image/296262312/?terms=school%2Bshooting" xr:uid="{00000000-0004-0000-0100-00000A050000}"/>
    <hyperlink ref="K2288" r:id="rId1292" display="https://www.newspapers.com/image/20769968/?terms=school%2Bshooting" xr:uid="{00000000-0004-0000-0100-00000B050000}"/>
    <hyperlink ref="K2289" r:id="rId1293" display="https://www.newspapers.com/image/179956712" xr:uid="{00000000-0004-0000-0100-00000C050000}"/>
    <hyperlink ref="K2291" r:id="rId1294" display="https://www.newspapers.com/image/246856502/?terms=xavier%2Bhigh%2Bschool%2Bshooting%2Bappleton" xr:uid="{00000000-0004-0000-0100-00000D050000}"/>
    <hyperlink ref="K2293" r:id="rId1295" display="https://www.newspapers.com/image/294129677/?terms=school%2Bshooting" xr:uid="{00000000-0004-0000-0100-00000E050000}"/>
    <hyperlink ref="K2294" r:id="rId1296" display="https://www.newspapers.com/image/284280856/?terms=school%2Bshooting" xr:uid="{00000000-0004-0000-0100-00000F050000}"/>
    <hyperlink ref="K2295" r:id="rId1297" display="https://www.newspapers.com/image/284280856/?terms=school%2Bshooting" xr:uid="{00000000-0004-0000-0100-000010050000}"/>
    <hyperlink ref="K2297" r:id="rId1298" display="https://www.newspapers.com/image/338873635/?terms=school%2Bshooting" xr:uid="{00000000-0004-0000-0100-000011050000}"/>
    <hyperlink ref="K2298" r:id="rId1299" display="https://www.newspapers.com/image/571585288/?terms=shot%2Bin%2Bschool%2Bparking%2Blot" xr:uid="{00000000-0004-0000-0100-000012050000}"/>
    <hyperlink ref="K2299" r:id="rId1300" display="https://www.newspapers.com/image/25156350/?terms=school%2Bshooting" xr:uid="{00000000-0004-0000-0100-000013050000}"/>
    <hyperlink ref="K2300" r:id="rId1301" display="https://www.newspapers.com/image/43039004/?terms=school%2Bshooting" xr:uid="{00000000-0004-0000-0100-000014050000}"/>
    <hyperlink ref="K2301" r:id="rId1302" display="https://www.newspapers.com/image/435429470/?terms=school%2Bshooting" xr:uid="{00000000-0004-0000-0100-000015050000}"/>
    <hyperlink ref="K2302" r:id="rId1303" display="https://www.newspapers.com/image/8204825/?terms=school%2Bshooting" xr:uid="{00000000-0004-0000-0100-000016050000}"/>
    <hyperlink ref="K2303" r:id="rId1304" display="https://www.newspapers.com/image/129716948/?terms=school%2Bshooting" xr:uid="{00000000-0004-0000-0100-000017050000}"/>
    <hyperlink ref="K2304" r:id="rId1305" display="https://www.newspapers.com/image/154804412/?terms=school%2Bshooting" xr:uid="{00000000-0004-0000-0100-000018050000}"/>
    <hyperlink ref="K2306" r:id="rId1306" display="https://www.newspapers.com/image/23768017/?terms=school%2Bshooting" xr:uid="{00000000-0004-0000-0100-000019050000}"/>
    <hyperlink ref="K2307" r:id="rId1307" display="https://www.newspapers.com/image/18059538/?terms=school%2Bshooting" xr:uid="{00000000-0004-0000-0100-00001A050000}"/>
    <hyperlink ref="K2308" r:id="rId1308" display="https://www.newspapers.com/image/156467116/?terms=school%2Bshooting" xr:uid="{00000000-0004-0000-0100-00001B050000}"/>
    <hyperlink ref="K2310" r:id="rId1309" display="https://news.google.com/newspapers?id=AfRYAAAAIBAJ&amp;pg=3025,1894998" xr:uid="{00000000-0004-0000-0100-00001C05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500"/>
  <sheetViews>
    <sheetView workbookViewId="0">
      <selection activeCell="F4" sqref="F4"/>
    </sheetView>
  </sheetViews>
  <sheetFormatPr baseColWidth="10" defaultColWidth="12.5" defaultRowHeight="15.75" customHeight="1"/>
  <cols>
    <col min="1" max="1" width="15.83203125" bestFit="1" customWidth="1"/>
    <col min="2" max="2" width="10.83203125" customWidth="1"/>
    <col min="5" max="5" width="42.33203125" bestFit="1" customWidth="1"/>
    <col min="6" max="6" width="27.6640625" bestFit="1" customWidth="1"/>
  </cols>
  <sheetData>
    <row r="1" spans="1:8" ht="15.75" customHeight="1">
      <c r="A1" s="12" t="str">
        <f ca="1">IFERROR(__xludf.DUMMYFUNCTION("IMPORTRANGE(""https://docs.google.com/spreadsheets/d/13by1rx0kMN24Sm2nKqqR6GsRtIyhgOO8U6IyuCHwhEU/edit#gid=1519919770"", ""Shooter!A1:H2500"")"),"Incident_ID")</f>
        <v>Incident_ID</v>
      </c>
      <c r="B1" s="5" t="str">
        <f ca="1">IFERROR(__xludf.DUMMYFUNCTION("""COMPUTED_VALUE"""),"Age")</f>
        <v>Age</v>
      </c>
      <c r="C1" s="5" t="str">
        <f ca="1">IFERROR(__xludf.DUMMYFUNCTION("""COMPUTED_VALUE"""),"Gender")</f>
        <v>Gender</v>
      </c>
      <c r="D1" s="5" t="str">
        <f ca="1">IFERROR(__xludf.DUMMYFUNCTION("""COMPUTED_VALUE"""),"Race")</f>
        <v>Race</v>
      </c>
      <c r="E1" s="5" t="str">
        <f ca="1">IFERROR(__xludf.DUMMYFUNCTION("""COMPUTED_VALUE"""),"School_Affiliation")</f>
        <v>School_Affiliation</v>
      </c>
      <c r="F1" s="5" t="str">
        <f ca="1">IFERROR(__xludf.DUMMYFUNCTION("""COMPUTED_VALUE"""),"Shooter_Outcome")</f>
        <v>Shooter_Outcome</v>
      </c>
      <c r="G1" s="5" t="str">
        <f ca="1">IFERROR(__xludf.DUMMYFUNCTION("""COMPUTED_VALUE"""),"Shooter_Died")</f>
        <v>Shooter_Died</v>
      </c>
      <c r="H1" s="5" t="str">
        <f ca="1">IFERROR(__xludf.DUMMYFUNCTION("""COMPUTED_VALUE"""),"Injury")</f>
        <v>Injury</v>
      </c>
    </row>
    <row r="2" spans="1:8" ht="13">
      <c r="A2" s="5" t="str">
        <f ca="1">IFERROR(__xludf.DUMMYFUNCTION("""COMPUTED_VALUE"""),"20230329GANED")</f>
        <v>20230329GANED</v>
      </c>
      <c r="B2" s="5">
        <f ca="1">IFERROR(__xludf.DUMMYFUNCTION("""COMPUTED_VALUE"""),29)</f>
        <v>29</v>
      </c>
      <c r="C2" s="5" t="str">
        <f ca="1">IFERROR(__xludf.DUMMYFUNCTION("""COMPUTED_VALUE"""),"Male")</f>
        <v>Male</v>
      </c>
      <c r="D2" s="5" t="str">
        <f ca="1">IFERROR(__xludf.DUMMYFUNCTION("""COMPUTED_VALUE"""),"Black")</f>
        <v>Black</v>
      </c>
      <c r="E2" s="5" t="str">
        <f ca="1">IFERROR(__xludf.DUMMYFUNCTION("""COMPUTED_VALUE"""),"Nonstudent Using Athletic Facilities/Attending Game")</f>
        <v>Nonstudent Using Athletic Facilities/Attending Game</v>
      </c>
      <c r="F2" s="5" t="str">
        <f ca="1">IFERROR(__xludf.DUMMYFUNCTION("""COMPUTED_VALUE"""),"Apprehended/Killed by LE")</f>
        <v>Apprehended/Killed by LE</v>
      </c>
      <c r="G2" s="5" t="str">
        <f ca="1">IFERROR(__xludf.DUMMYFUNCTION("""COMPUTED_VALUE"""),"Yes")</f>
        <v>Yes</v>
      </c>
      <c r="H2" s="5" t="str">
        <f ca="1">IFERROR(__xludf.DUMMYFUNCTION("""COMPUTED_VALUE"""),"Fatal")</f>
        <v>Fatal</v>
      </c>
    </row>
    <row r="3" spans="1:8" ht="13">
      <c r="A3" s="5" t="str">
        <f ca="1">IFERROR(__xludf.DUMMYFUNCTION("""COMPUTED_VALUE"""),"20230327TNCON")</f>
        <v>20230327TNCON</v>
      </c>
      <c r="B3" s="5">
        <f ca="1">IFERROR(__xludf.DUMMYFUNCTION("""COMPUTED_VALUE"""),28)</f>
        <v>28</v>
      </c>
      <c r="C3" s="5" t="str">
        <f ca="1">IFERROR(__xludf.DUMMYFUNCTION("""COMPUTED_VALUE"""),"Transgender")</f>
        <v>Transgender</v>
      </c>
      <c r="D3" s="5" t="str">
        <f ca="1">IFERROR(__xludf.DUMMYFUNCTION("""COMPUTED_VALUE"""),"White")</f>
        <v>White</v>
      </c>
      <c r="E3" s="5" t="str">
        <f ca="1">IFERROR(__xludf.DUMMYFUNCTION("""COMPUTED_VALUE"""),"Former Student")</f>
        <v>Former Student</v>
      </c>
      <c r="F3" s="5" t="str">
        <f ca="1">IFERROR(__xludf.DUMMYFUNCTION("""COMPUTED_VALUE"""),"Apprehended/Killed by LE")</f>
        <v>Apprehended/Killed by LE</v>
      </c>
      <c r="G3" s="5" t="str">
        <f ca="1">IFERROR(__xludf.DUMMYFUNCTION("""COMPUTED_VALUE"""),"Yes")</f>
        <v>Yes</v>
      </c>
      <c r="H3" s="5" t="str">
        <f ca="1">IFERROR(__xludf.DUMMYFUNCTION("""COMPUTED_VALUE"""),"Fatal")</f>
        <v>Fatal</v>
      </c>
    </row>
    <row r="4" spans="1:8" ht="13">
      <c r="A4" s="5" t="str">
        <f ca="1">IFERROR(__xludf.DUMMYFUNCTION("""COMPUTED_VALUE"""),"20230324INNOM")</f>
        <v>20230324INNOM</v>
      </c>
      <c r="B4" s="5">
        <f ca="1">IFERROR(__xludf.DUMMYFUNCTION("""COMPUTED_VALUE"""),43)</f>
        <v>43</v>
      </c>
      <c r="C4" s="5" t="str">
        <f ca="1">IFERROR(__xludf.DUMMYFUNCTION("""COMPUTED_VALUE"""),"Male")</f>
        <v>Male</v>
      </c>
      <c r="D4" s="5" t="str">
        <f ca="1">IFERROR(__xludf.DUMMYFUNCTION("""COMPUTED_VALUE"""),"White")</f>
        <v>White</v>
      </c>
      <c r="E4" s="5" t="str">
        <f ca="1">IFERROR(__xludf.DUMMYFUNCTION("""COMPUTED_VALUE"""),"Teacher")</f>
        <v>Teacher</v>
      </c>
      <c r="F4" s="5" t="str">
        <f ca="1">IFERROR(__xludf.DUMMYFUNCTION("""COMPUTED_VALUE"""),"Suicide")</f>
        <v>Suicide</v>
      </c>
      <c r="G4" s="5" t="str">
        <f ca="1">IFERROR(__xludf.DUMMYFUNCTION("""COMPUTED_VALUE"""),"Yes")</f>
        <v>Yes</v>
      </c>
      <c r="H4" s="5" t="str">
        <f ca="1">IFERROR(__xludf.DUMMYFUNCTION("""COMPUTED_VALUE"""),"Suicide")</f>
        <v>Suicide</v>
      </c>
    </row>
    <row r="5" spans="1:8" ht="13">
      <c r="A5" s="5" t="str">
        <f ca="1">IFERROR(__xludf.DUMMYFUNCTION("""COMPUTED_VALUE"""),"20230324NJTHM")</f>
        <v>20230324NJTHM</v>
      </c>
      <c r="B5" s="5"/>
      <c r="C5" s="5"/>
      <c r="D5" s="5"/>
      <c r="E5" s="5"/>
      <c r="F5" s="5" t="str">
        <f ca="1">IFERROR(__xludf.DUMMYFUNCTION("""COMPUTED_VALUE"""),"Fled/Escaped")</f>
        <v>Fled/Escaped</v>
      </c>
      <c r="G5" s="5" t="str">
        <f ca="1">IFERROR(__xludf.DUMMYFUNCTION("""COMPUTED_VALUE"""),"No")</f>
        <v>No</v>
      </c>
      <c r="H5" s="5" t="str">
        <f ca="1">IFERROR(__xludf.DUMMYFUNCTION("""COMPUTED_VALUE"""),"None")</f>
        <v>None</v>
      </c>
    </row>
    <row r="6" spans="1:8" ht="13">
      <c r="A6" s="5" t="str">
        <f ca="1">IFERROR(__xludf.DUMMYFUNCTION("""COMPUTED_VALUE"""),"20230322ALANA")</f>
        <v>20230322ALANA</v>
      </c>
      <c r="B6" s="5" t="str">
        <f ca="1">IFERROR(__xludf.DUMMYFUNCTION("""COMPUTED_VALUE"""),"Teen")</f>
        <v>Teen</v>
      </c>
      <c r="C6" s="5" t="str">
        <f ca="1">IFERROR(__xludf.DUMMYFUNCTION("""COMPUTED_VALUE"""),"Male")</f>
        <v>Male</v>
      </c>
      <c r="D6" s="5"/>
      <c r="E6" s="5" t="str">
        <f ca="1">IFERROR(__xludf.DUMMYFUNCTION("""COMPUTED_VALUE"""),"Student")</f>
        <v>Student</v>
      </c>
      <c r="F6" s="5" t="str">
        <f ca="1">IFERROR(__xludf.DUMMYFUNCTION("""COMPUTED_VALUE"""),"Fled/Apprehended")</f>
        <v>Fled/Apprehended</v>
      </c>
      <c r="G6" s="5" t="str">
        <f ca="1">IFERROR(__xludf.DUMMYFUNCTION("""COMPUTED_VALUE"""),"No")</f>
        <v>No</v>
      </c>
      <c r="H6" s="5" t="str">
        <f ca="1">IFERROR(__xludf.DUMMYFUNCTION("""COMPUTED_VALUE"""),"None")</f>
        <v>None</v>
      </c>
    </row>
    <row r="7" spans="1:8" ht="13">
      <c r="A7" s="5" t="str">
        <f ca="1">IFERROR(__xludf.DUMMYFUNCTION("""COMPUTED_VALUE"""),"20230322PAHAP")</f>
        <v>20230322PAHAP</v>
      </c>
      <c r="B7" s="5"/>
      <c r="C7" s="5"/>
      <c r="D7" s="5"/>
      <c r="E7" s="5" t="str">
        <f ca="1">IFERROR(__xludf.DUMMYFUNCTION("""COMPUTED_VALUE"""),"No Relation")</f>
        <v>No Relation</v>
      </c>
      <c r="F7" s="5" t="str">
        <f ca="1">IFERROR(__xludf.DUMMYFUNCTION("""COMPUTED_VALUE"""),"Fled/Escaped")</f>
        <v>Fled/Escaped</v>
      </c>
      <c r="G7" s="5" t="str">
        <f ca="1">IFERROR(__xludf.DUMMYFUNCTION("""COMPUTED_VALUE"""),"No")</f>
        <v>No</v>
      </c>
      <c r="H7" s="5" t="str">
        <f ca="1">IFERROR(__xludf.DUMMYFUNCTION("""COMPUTED_VALUE"""),"None")</f>
        <v>None</v>
      </c>
    </row>
    <row r="8" spans="1:8" ht="13">
      <c r="A8" s="5" t="str">
        <f ca="1">IFERROR(__xludf.DUMMYFUNCTION("""COMPUTED_VALUE"""),"20230322COEAD")</f>
        <v>20230322COEAD</v>
      </c>
      <c r="B8" s="5">
        <f ca="1">IFERROR(__xludf.DUMMYFUNCTION("""COMPUTED_VALUE"""),17)</f>
        <v>17</v>
      </c>
      <c r="C8" s="5" t="str">
        <f ca="1">IFERROR(__xludf.DUMMYFUNCTION("""COMPUTED_VALUE"""),"Male")</f>
        <v>Male</v>
      </c>
      <c r="D8" s="5"/>
      <c r="E8" s="5" t="str">
        <f ca="1">IFERROR(__xludf.DUMMYFUNCTION("""COMPUTED_VALUE"""),"Student")</f>
        <v>Student</v>
      </c>
      <c r="F8" s="5" t="str">
        <f ca="1">IFERROR(__xludf.DUMMYFUNCTION("""COMPUTED_VALUE"""),"Fled/Escaped")</f>
        <v>Fled/Escaped</v>
      </c>
      <c r="G8" s="5" t="str">
        <f ca="1">IFERROR(__xludf.DUMMYFUNCTION("""COMPUTED_VALUE"""),"Yes")</f>
        <v>Yes</v>
      </c>
      <c r="H8" s="5" t="str">
        <f ca="1">IFERROR(__xludf.DUMMYFUNCTION("""COMPUTED_VALUE"""),"Suicide")</f>
        <v>Suicide</v>
      </c>
    </row>
    <row r="9" spans="1:8" ht="13">
      <c r="A9" s="5" t="str">
        <f ca="1">IFERROR(__xludf.DUMMYFUNCTION("""COMPUTED_VALUE"""),"20230321TXTHD")</f>
        <v>20230321TXTHD</v>
      </c>
      <c r="B9" s="5" t="str">
        <f ca="1">IFERROR(__xludf.DUMMYFUNCTION("""COMPUTED_VALUE"""),"Teen")</f>
        <v>Teen</v>
      </c>
      <c r="C9" s="5" t="str">
        <f ca="1">IFERROR(__xludf.DUMMYFUNCTION("""COMPUTED_VALUE"""),"Male")</f>
        <v>Male</v>
      </c>
      <c r="D9" s="5"/>
      <c r="E9" s="5" t="str">
        <f ca="1">IFERROR(__xludf.DUMMYFUNCTION("""COMPUTED_VALUE"""),"Student")</f>
        <v>Student</v>
      </c>
      <c r="F9" s="5" t="str">
        <f ca="1">IFERROR(__xludf.DUMMYFUNCTION("""COMPUTED_VALUE"""),"Fled/Apprehended")</f>
        <v>Fled/Apprehended</v>
      </c>
      <c r="G9" s="5" t="str">
        <f ca="1">IFERROR(__xludf.DUMMYFUNCTION("""COMPUTED_VALUE"""),"No")</f>
        <v>No</v>
      </c>
      <c r="H9" s="5" t="str">
        <f ca="1">IFERROR(__xludf.DUMMYFUNCTION("""COMPUTED_VALUE"""),"None")</f>
        <v>None</v>
      </c>
    </row>
    <row r="10" spans="1:8" ht="13">
      <c r="A10" s="5" t="str">
        <f ca="1">IFERROR(__xludf.DUMMYFUNCTION("""COMPUTED_VALUE"""),"20230320TXLAA")</f>
        <v>20230320TXLAA</v>
      </c>
      <c r="B10" s="5">
        <f ca="1">IFERROR(__xludf.DUMMYFUNCTION("""COMPUTED_VALUE"""),15)</f>
        <v>15</v>
      </c>
      <c r="C10" s="5" t="str">
        <f ca="1">IFERROR(__xludf.DUMMYFUNCTION("""COMPUTED_VALUE"""),"Male")</f>
        <v>Male</v>
      </c>
      <c r="D10" s="5"/>
      <c r="E10" s="5" t="str">
        <f ca="1">IFERROR(__xludf.DUMMYFUNCTION("""COMPUTED_VALUE"""),"Student")</f>
        <v>Student</v>
      </c>
      <c r="F10" s="5" t="str">
        <f ca="1">IFERROR(__xludf.DUMMYFUNCTION("""COMPUTED_VALUE"""),"Fled/Apprehended")</f>
        <v>Fled/Apprehended</v>
      </c>
      <c r="G10" s="5" t="str">
        <f ca="1">IFERROR(__xludf.DUMMYFUNCTION("""COMPUTED_VALUE"""),"No")</f>
        <v>No</v>
      </c>
      <c r="H10" s="5" t="str">
        <f ca="1">IFERROR(__xludf.DUMMYFUNCTION("""COMPUTED_VALUE"""),"None")</f>
        <v>None</v>
      </c>
    </row>
    <row r="11" spans="1:8" ht="13">
      <c r="A11" s="5" t="str">
        <f ca="1">IFERROR(__xludf.DUMMYFUNCTION("""COMPUTED_VALUE"""),"20230316NCLOD")</f>
        <v>20230316NCLOD</v>
      </c>
      <c r="B11" s="5">
        <f ca="1">IFERROR(__xludf.DUMMYFUNCTION("""COMPUTED_VALUE"""),14)</f>
        <v>14</v>
      </c>
      <c r="C11" s="5" t="str">
        <f ca="1">IFERROR(__xludf.DUMMYFUNCTION("""COMPUTED_VALUE"""),"Male")</f>
        <v>Male</v>
      </c>
      <c r="D11" s="5"/>
      <c r="E11" s="5" t="str">
        <f ca="1">IFERROR(__xludf.DUMMYFUNCTION("""COMPUTED_VALUE"""),"Student")</f>
        <v>Student</v>
      </c>
      <c r="F11" s="5" t="str">
        <f ca="1">IFERROR(__xludf.DUMMYFUNCTION("""COMPUTED_VALUE"""),"Apprehended/Killed by SRO")</f>
        <v>Apprehended/Killed by SRO</v>
      </c>
      <c r="G11" s="5" t="str">
        <f ca="1">IFERROR(__xludf.DUMMYFUNCTION("""COMPUTED_VALUE"""),"No")</f>
        <v>No</v>
      </c>
      <c r="H11" s="5" t="str">
        <f ca="1">IFERROR(__xludf.DUMMYFUNCTION("""COMPUTED_VALUE"""),"None")</f>
        <v>None</v>
      </c>
    </row>
    <row r="12" spans="1:8" ht="13">
      <c r="A12" s="5" t="str">
        <f ca="1">IFERROR(__xludf.DUMMYFUNCTION("""COMPUTED_VALUE"""),"20230316DCCOW")</f>
        <v>20230316DCCOW</v>
      </c>
      <c r="B12" s="5" t="str">
        <f ca="1">IFERROR(__xludf.DUMMYFUNCTION("""COMPUTED_VALUE"""),"Teen")</f>
        <v>Teen</v>
      </c>
      <c r="C12" s="5" t="str">
        <f ca="1">IFERROR(__xludf.DUMMYFUNCTION("""COMPUTED_VALUE"""),"Male")</f>
        <v>Male</v>
      </c>
      <c r="D12" s="5"/>
      <c r="E12" s="5"/>
      <c r="F12" s="5" t="str">
        <f ca="1">IFERROR(__xludf.DUMMYFUNCTION("""COMPUTED_VALUE"""),"Fled/Escaped")</f>
        <v>Fled/Escaped</v>
      </c>
      <c r="G12" s="5" t="str">
        <f ca="1">IFERROR(__xludf.DUMMYFUNCTION("""COMPUTED_VALUE"""),"No")</f>
        <v>No</v>
      </c>
      <c r="H12" s="5" t="str">
        <f ca="1">IFERROR(__xludf.DUMMYFUNCTION("""COMPUTED_VALUE"""),"None")</f>
        <v>None</v>
      </c>
    </row>
    <row r="13" spans="1:8" ht="13">
      <c r="A13" s="5" t="str">
        <f ca="1">IFERROR(__xludf.DUMMYFUNCTION("""COMPUTED_VALUE"""),"20230316NYPSB")</f>
        <v>20230316NYPSB</v>
      </c>
      <c r="B13" s="5" t="str">
        <f ca="1">IFERROR(__xludf.DUMMYFUNCTION("""COMPUTED_VALUE"""),"Teen")</f>
        <v>Teen</v>
      </c>
      <c r="C13" s="5" t="str">
        <f ca="1">IFERROR(__xludf.DUMMYFUNCTION("""COMPUTED_VALUE"""),"Male")</f>
        <v>Male</v>
      </c>
      <c r="D13" s="5"/>
      <c r="E13" s="5" t="str">
        <f ca="1">IFERROR(__xludf.DUMMYFUNCTION("""COMPUTED_VALUE"""),"No Relation")</f>
        <v>No Relation</v>
      </c>
      <c r="F13" s="5" t="str">
        <f ca="1">IFERROR(__xludf.DUMMYFUNCTION("""COMPUTED_VALUE"""),"Fled/Escaped")</f>
        <v>Fled/Escaped</v>
      </c>
      <c r="G13" s="5" t="str">
        <f ca="1">IFERROR(__xludf.DUMMYFUNCTION("""COMPUTED_VALUE"""),"No")</f>
        <v>No</v>
      </c>
      <c r="H13" s="5" t="str">
        <f ca="1">IFERROR(__xludf.DUMMYFUNCTION("""COMPUTED_VALUE"""),"None")</f>
        <v>None</v>
      </c>
    </row>
    <row r="14" spans="1:8" ht="13">
      <c r="A14" s="5" t="str">
        <f ca="1">IFERROR(__xludf.DUMMYFUNCTION("""COMPUTED_VALUE"""),"20230316NYPSB")</f>
        <v>20230316NYPSB</v>
      </c>
      <c r="B14" s="5" t="str">
        <f ca="1">IFERROR(__xludf.DUMMYFUNCTION("""COMPUTED_VALUE"""),"Teen")</f>
        <v>Teen</v>
      </c>
      <c r="C14" s="5" t="str">
        <f ca="1">IFERROR(__xludf.DUMMYFUNCTION("""COMPUTED_VALUE"""),"Male")</f>
        <v>Male</v>
      </c>
      <c r="D14" s="5"/>
      <c r="E14" s="5" t="str">
        <f ca="1">IFERROR(__xludf.DUMMYFUNCTION("""COMPUTED_VALUE"""),"No Relation")</f>
        <v>No Relation</v>
      </c>
      <c r="F14" s="5" t="str">
        <f ca="1">IFERROR(__xludf.DUMMYFUNCTION("""COMPUTED_VALUE"""),"Fled/Escaped")</f>
        <v>Fled/Escaped</v>
      </c>
      <c r="G14" s="5" t="str">
        <f ca="1">IFERROR(__xludf.DUMMYFUNCTION("""COMPUTED_VALUE"""),"No")</f>
        <v>No</v>
      </c>
      <c r="H14" s="5" t="str">
        <f ca="1">IFERROR(__xludf.DUMMYFUNCTION("""COMPUTED_VALUE"""),"None")</f>
        <v>None</v>
      </c>
    </row>
    <row r="15" spans="1:8" ht="13">
      <c r="A15" s="5" t="str">
        <f ca="1">IFERROR(__xludf.DUMMYFUNCTION("""COMPUTED_VALUE"""),"20230315COINB")</f>
        <v>20230315COINB</v>
      </c>
      <c r="B15" s="5" t="str">
        <f ca="1">IFERROR(__xludf.DUMMYFUNCTION("""COMPUTED_VALUE"""),"Teen")</f>
        <v>Teen</v>
      </c>
      <c r="C15" s="5" t="str">
        <f ca="1">IFERROR(__xludf.DUMMYFUNCTION("""COMPUTED_VALUE"""),"Male")</f>
        <v>Male</v>
      </c>
      <c r="D15" s="5"/>
      <c r="E15" s="5" t="str">
        <f ca="1">IFERROR(__xludf.DUMMYFUNCTION("""COMPUTED_VALUE"""),"Student")</f>
        <v>Student</v>
      </c>
      <c r="F15" s="5" t="str">
        <f ca="1">IFERROR(__xludf.DUMMYFUNCTION("""COMPUTED_VALUE"""),"Fled/Apprehended")</f>
        <v>Fled/Apprehended</v>
      </c>
      <c r="G15" s="5" t="str">
        <f ca="1">IFERROR(__xludf.DUMMYFUNCTION("""COMPUTED_VALUE"""),"No")</f>
        <v>No</v>
      </c>
      <c r="H15" s="5" t="str">
        <f ca="1">IFERROR(__xludf.DUMMYFUNCTION("""COMPUTED_VALUE"""),"None")</f>
        <v>None</v>
      </c>
    </row>
    <row r="16" spans="1:8" ht="13">
      <c r="A16" s="5" t="str">
        <f ca="1">IFERROR(__xludf.DUMMYFUNCTION("""COMPUTED_VALUE"""),"20230315COINB")</f>
        <v>20230315COINB</v>
      </c>
      <c r="B16" s="5" t="str">
        <f ca="1">IFERROR(__xludf.DUMMYFUNCTION("""COMPUTED_VALUE"""),"Teen")</f>
        <v>Teen</v>
      </c>
      <c r="C16" s="5" t="str">
        <f ca="1">IFERROR(__xludf.DUMMYFUNCTION("""COMPUTED_VALUE"""),"Male")</f>
        <v>Male</v>
      </c>
      <c r="D16" s="5"/>
      <c r="E16" s="5" t="str">
        <f ca="1">IFERROR(__xludf.DUMMYFUNCTION("""COMPUTED_VALUE"""),"Student")</f>
        <v>Student</v>
      </c>
      <c r="F16" s="5" t="str">
        <f ca="1">IFERROR(__xludf.DUMMYFUNCTION("""COMPUTED_VALUE"""),"Fled/Apprehended")</f>
        <v>Fled/Apprehended</v>
      </c>
      <c r="G16" s="5" t="str">
        <f ca="1">IFERROR(__xludf.DUMMYFUNCTION("""COMPUTED_VALUE"""),"No")</f>
        <v>No</v>
      </c>
      <c r="H16" s="5" t="str">
        <f ca="1">IFERROR(__xludf.DUMMYFUNCTION("""COMPUTED_VALUE"""),"None")</f>
        <v>None</v>
      </c>
    </row>
    <row r="17" spans="1:8" ht="13">
      <c r="A17" s="5" t="str">
        <f ca="1">IFERROR(__xludf.DUMMYFUNCTION("""COMPUTED_VALUE"""),"20230315CALIG")</f>
        <v>20230315CALIG</v>
      </c>
      <c r="B17" s="5"/>
      <c r="C17" s="5"/>
      <c r="D17" s="5"/>
      <c r="E17" s="5"/>
      <c r="F17" s="5" t="str">
        <f ca="1">IFERROR(__xludf.DUMMYFUNCTION("""COMPUTED_VALUE"""),"Fled/Escaped")</f>
        <v>Fled/Escaped</v>
      </c>
      <c r="G17" s="5" t="str">
        <f ca="1">IFERROR(__xludf.DUMMYFUNCTION("""COMPUTED_VALUE"""),"No")</f>
        <v>No</v>
      </c>
      <c r="H17" s="5" t="str">
        <f ca="1">IFERROR(__xludf.DUMMYFUNCTION("""COMPUTED_VALUE"""),"None")</f>
        <v>None</v>
      </c>
    </row>
    <row r="18" spans="1:8" ht="13">
      <c r="A18" s="5" t="str">
        <f ca="1">IFERROR(__xludf.DUMMYFUNCTION("""COMPUTED_VALUE"""),"20230315MICEW")</f>
        <v>20230315MICEW</v>
      </c>
      <c r="B18" s="5"/>
      <c r="C18" s="5"/>
      <c r="D18" s="5"/>
      <c r="E18" s="5"/>
      <c r="F18" s="5" t="str">
        <f ca="1">IFERROR(__xludf.DUMMYFUNCTION("""COMPUTED_VALUE"""),"Fled/Escaped")</f>
        <v>Fled/Escaped</v>
      </c>
      <c r="G18" s="5" t="str">
        <f ca="1">IFERROR(__xludf.DUMMYFUNCTION("""COMPUTED_VALUE"""),"No")</f>
        <v>No</v>
      </c>
      <c r="H18" s="5" t="str">
        <f ca="1">IFERROR(__xludf.DUMMYFUNCTION("""COMPUTED_VALUE"""),"None")</f>
        <v>None</v>
      </c>
    </row>
    <row r="19" spans="1:8" ht="13">
      <c r="A19" s="5" t="str">
        <f ca="1">IFERROR(__xludf.DUMMYFUNCTION("""COMPUTED_VALUE"""),"20230313NYPSN")</f>
        <v>20230313NYPSN</v>
      </c>
      <c r="B19" s="5" t="str">
        <f ca="1">IFERROR(__xludf.DUMMYFUNCTION("""COMPUTED_VALUE"""),"Teen")</f>
        <v>Teen</v>
      </c>
      <c r="C19" s="5" t="str">
        <f ca="1">IFERROR(__xludf.DUMMYFUNCTION("""COMPUTED_VALUE"""),"Male")</f>
        <v>Male</v>
      </c>
      <c r="D19" s="5"/>
      <c r="E19" s="5" t="str">
        <f ca="1">IFERROR(__xludf.DUMMYFUNCTION("""COMPUTED_VALUE"""),"Nonstudent")</f>
        <v>Nonstudent</v>
      </c>
      <c r="F19" s="5" t="str">
        <f ca="1">IFERROR(__xludf.DUMMYFUNCTION("""COMPUTED_VALUE"""),"Fled/Escaped")</f>
        <v>Fled/Escaped</v>
      </c>
      <c r="G19" s="5" t="str">
        <f ca="1">IFERROR(__xludf.DUMMYFUNCTION("""COMPUTED_VALUE"""),"No")</f>
        <v>No</v>
      </c>
      <c r="H19" s="5" t="str">
        <f ca="1">IFERROR(__xludf.DUMMYFUNCTION("""COMPUTED_VALUE"""),"None")</f>
        <v>None</v>
      </c>
    </row>
    <row r="20" spans="1:8" ht="13">
      <c r="A20" s="5" t="str">
        <f ca="1">IFERROR(__xludf.DUMMYFUNCTION("""COMPUTED_VALUE"""),"20230314NYHAN")</f>
        <v>20230314NYHAN</v>
      </c>
      <c r="B20" s="5" t="str">
        <f ca="1">IFERROR(__xludf.DUMMYFUNCTION("""COMPUTED_VALUE"""),"Teen")</f>
        <v>Teen</v>
      </c>
      <c r="C20" s="5" t="str">
        <f ca="1">IFERROR(__xludf.DUMMYFUNCTION("""COMPUTED_VALUE"""),"Male")</f>
        <v>Male</v>
      </c>
      <c r="D20" s="5"/>
      <c r="E20" s="5" t="str">
        <f ca="1">IFERROR(__xludf.DUMMYFUNCTION("""COMPUTED_VALUE"""),"Nonstudent")</f>
        <v>Nonstudent</v>
      </c>
      <c r="F20" s="5" t="str">
        <f ca="1">IFERROR(__xludf.DUMMYFUNCTION("""COMPUTED_VALUE"""),"Fled/Escaped")</f>
        <v>Fled/Escaped</v>
      </c>
      <c r="G20" s="5" t="str">
        <f ca="1">IFERROR(__xludf.DUMMYFUNCTION("""COMPUTED_VALUE"""),"No")</f>
        <v>No</v>
      </c>
      <c r="H20" s="5" t="str">
        <f ca="1">IFERROR(__xludf.DUMMYFUNCTION("""COMPUTED_VALUE"""),"None")</f>
        <v>None</v>
      </c>
    </row>
    <row r="21" spans="1:8" ht="13">
      <c r="A21" s="5" t="str">
        <f ca="1">IFERROR(__xludf.DUMMYFUNCTION("""COMPUTED_VALUE"""),"20230314NYMAM")</f>
        <v>20230314NYMAM</v>
      </c>
      <c r="B21" s="5">
        <f ca="1">IFERROR(__xludf.DUMMYFUNCTION("""COMPUTED_VALUE"""),19)</f>
        <v>19</v>
      </c>
      <c r="C21" s="5"/>
      <c r="D21" s="5"/>
      <c r="E21" s="5" t="str">
        <f ca="1">IFERROR(__xludf.DUMMYFUNCTION("""COMPUTED_VALUE"""),"Former Student")</f>
        <v>Former Student</v>
      </c>
      <c r="F21" s="5" t="str">
        <f ca="1">IFERROR(__xludf.DUMMYFUNCTION("""COMPUTED_VALUE"""),"Fled/Apprehended")</f>
        <v>Fled/Apprehended</v>
      </c>
      <c r="G21" s="5" t="str">
        <f ca="1">IFERROR(__xludf.DUMMYFUNCTION("""COMPUTED_VALUE"""),"No")</f>
        <v>No</v>
      </c>
      <c r="H21" s="5" t="str">
        <f ca="1">IFERROR(__xludf.DUMMYFUNCTION("""COMPUTED_VALUE"""),"None")</f>
        <v>None</v>
      </c>
    </row>
    <row r="22" spans="1:8" ht="13">
      <c r="A22" s="5" t="str">
        <f ca="1">IFERROR(__xludf.DUMMYFUNCTION("""COMPUTED_VALUE"""),"20230309WIBAM")</f>
        <v>20230309WIBAM</v>
      </c>
      <c r="B22" s="5">
        <f ca="1">IFERROR(__xludf.DUMMYFUNCTION("""COMPUTED_VALUE"""),18)</f>
        <v>18</v>
      </c>
      <c r="C22" s="5" t="str">
        <f ca="1">IFERROR(__xludf.DUMMYFUNCTION("""COMPUTED_VALUE"""),"Male")</f>
        <v>Male</v>
      </c>
      <c r="D22" s="5" t="str">
        <f ca="1">IFERROR(__xludf.DUMMYFUNCTION("""COMPUTED_VALUE"""),"Black")</f>
        <v>Black</v>
      </c>
      <c r="E22" s="5" t="str">
        <f ca="1">IFERROR(__xludf.DUMMYFUNCTION("""COMPUTED_VALUE"""),"Student")</f>
        <v>Student</v>
      </c>
      <c r="F22" s="5" t="str">
        <f ca="1">IFERROR(__xludf.DUMMYFUNCTION("""COMPUTED_VALUE"""),"Fled/Apprehended")</f>
        <v>Fled/Apprehended</v>
      </c>
      <c r="G22" s="5" t="str">
        <f ca="1">IFERROR(__xludf.DUMMYFUNCTION("""COMPUTED_VALUE"""),"No")</f>
        <v>No</v>
      </c>
      <c r="H22" s="5" t="str">
        <f ca="1">IFERROR(__xludf.DUMMYFUNCTION("""COMPUTED_VALUE"""),"None")</f>
        <v>None</v>
      </c>
    </row>
    <row r="23" spans="1:8" ht="13">
      <c r="A23" s="5" t="str">
        <f ca="1">IFERROR(__xludf.DUMMYFUNCTION("""COMPUTED_VALUE"""),"20230309OHMAM")</f>
        <v>20230309OHMAM</v>
      </c>
      <c r="B23" s="5"/>
      <c r="C23" s="5"/>
      <c r="D23" s="5"/>
      <c r="E23" s="5" t="str">
        <f ca="1">IFERROR(__xludf.DUMMYFUNCTION("""COMPUTED_VALUE"""),"Nonstudent")</f>
        <v>Nonstudent</v>
      </c>
      <c r="F23" s="5" t="str">
        <f ca="1">IFERROR(__xludf.DUMMYFUNCTION("""COMPUTED_VALUE"""),"Fled/Escaped")</f>
        <v>Fled/Escaped</v>
      </c>
      <c r="G23" s="5" t="str">
        <f ca="1">IFERROR(__xludf.DUMMYFUNCTION("""COMPUTED_VALUE"""),"No")</f>
        <v>No</v>
      </c>
      <c r="H23" s="5" t="str">
        <f ca="1">IFERROR(__xludf.DUMMYFUNCTION("""COMPUTED_VALUE"""),"None")</f>
        <v>None</v>
      </c>
    </row>
    <row r="24" spans="1:8" ht="13">
      <c r="A24" s="5" t="str">
        <f ca="1">IFERROR(__xludf.DUMMYFUNCTION("""COMPUTED_VALUE"""),"20230308WVHIH")</f>
        <v>20230308WVHIH</v>
      </c>
      <c r="B24" s="5">
        <f ca="1">IFERROR(__xludf.DUMMYFUNCTION("""COMPUTED_VALUE"""),23)</f>
        <v>23</v>
      </c>
      <c r="C24" s="5" t="str">
        <f ca="1">IFERROR(__xludf.DUMMYFUNCTION("""COMPUTED_VALUE"""),"Male")</f>
        <v>Male</v>
      </c>
      <c r="D24" s="5" t="str">
        <f ca="1">IFERROR(__xludf.DUMMYFUNCTION("""COMPUTED_VALUE"""),"White")</f>
        <v>White</v>
      </c>
      <c r="E24" s="5" t="str">
        <f ca="1">IFERROR(__xludf.DUMMYFUNCTION("""COMPUTED_VALUE"""),"No Relation")</f>
        <v>No Relation</v>
      </c>
      <c r="F24" s="5" t="str">
        <f ca="1">IFERROR(__xludf.DUMMYFUNCTION("""COMPUTED_VALUE"""),"Apprehended/Killed by LE")</f>
        <v>Apprehended/Killed by LE</v>
      </c>
      <c r="G24" s="5" t="str">
        <f ca="1">IFERROR(__xludf.DUMMYFUNCTION("""COMPUTED_VALUE"""),"No")</f>
        <v>No</v>
      </c>
      <c r="H24" s="5" t="str">
        <f ca="1">IFERROR(__xludf.DUMMYFUNCTION("""COMPUTED_VALUE"""),"None")</f>
        <v>None</v>
      </c>
    </row>
    <row r="25" spans="1:8" ht="13">
      <c r="A25" s="5" t="str">
        <f ca="1">IFERROR(__xludf.DUMMYFUNCTION("""COMPUTED_VALUE"""),"20230308PAHEP")</f>
        <v>20230308PAHEP</v>
      </c>
      <c r="B25" s="5"/>
      <c r="C25" s="5"/>
      <c r="D25" s="5"/>
      <c r="E25" s="5" t="str">
        <f ca="1">IFERROR(__xludf.DUMMYFUNCTION("""COMPUTED_VALUE"""),"No Relation")</f>
        <v>No Relation</v>
      </c>
      <c r="F25" s="5" t="str">
        <f ca="1">IFERROR(__xludf.DUMMYFUNCTION("""COMPUTED_VALUE"""),"Fled/Escaped")</f>
        <v>Fled/Escaped</v>
      </c>
      <c r="G25" s="5" t="str">
        <f ca="1">IFERROR(__xludf.DUMMYFUNCTION("""COMPUTED_VALUE"""),"No")</f>
        <v>No</v>
      </c>
      <c r="H25" s="5" t="str">
        <f ca="1">IFERROR(__xludf.DUMMYFUNCTION("""COMPUTED_VALUE"""),"None")</f>
        <v>None</v>
      </c>
    </row>
    <row r="26" spans="1:8" ht="13">
      <c r="A26" s="5" t="str">
        <f ca="1">IFERROR(__xludf.DUMMYFUNCTION("""COMPUTED_VALUE"""),"20230307INTHI")</f>
        <v>20230307INTHI</v>
      </c>
      <c r="B26" s="5"/>
      <c r="C26" s="5"/>
      <c r="D26" s="5"/>
      <c r="E26" s="5"/>
      <c r="F26" s="5" t="str">
        <f ca="1">IFERROR(__xludf.DUMMYFUNCTION("""COMPUTED_VALUE"""),"Fled/Escaped")</f>
        <v>Fled/Escaped</v>
      </c>
      <c r="G26" s="5" t="str">
        <f ca="1">IFERROR(__xludf.DUMMYFUNCTION("""COMPUTED_VALUE"""),"No")</f>
        <v>No</v>
      </c>
      <c r="H26" s="5" t="str">
        <f ca="1">IFERROR(__xludf.DUMMYFUNCTION("""COMPUTED_VALUE"""),"None")</f>
        <v>None</v>
      </c>
    </row>
    <row r="27" spans="1:8" ht="13">
      <c r="A27" s="5" t="str">
        <f ca="1">IFERROR(__xludf.DUMMYFUNCTION("""COMPUTED_VALUE"""),"20230306NYPAN")</f>
        <v>20230306NYPAN</v>
      </c>
      <c r="B27" s="5"/>
      <c r="C27" s="5"/>
      <c r="D27" s="5"/>
      <c r="E27" s="5"/>
      <c r="F27" s="5" t="str">
        <f ca="1">IFERROR(__xludf.DUMMYFUNCTION("""COMPUTED_VALUE"""),"Fled/Escaped")</f>
        <v>Fled/Escaped</v>
      </c>
      <c r="G27" s="5" t="str">
        <f ca="1">IFERROR(__xludf.DUMMYFUNCTION("""COMPUTED_VALUE"""),"No")</f>
        <v>No</v>
      </c>
      <c r="H27" s="5" t="str">
        <f ca="1">IFERROR(__xludf.DUMMYFUNCTION("""COMPUTED_VALUE"""),"None")</f>
        <v>None</v>
      </c>
    </row>
    <row r="28" spans="1:8" ht="13">
      <c r="A28" s="5" t="str">
        <f ca="1">IFERROR(__xludf.DUMMYFUNCTION("""COMPUTED_VALUE"""),"20230306TXPAA")</f>
        <v>20230306TXPAA</v>
      </c>
      <c r="B28" s="5"/>
      <c r="C28" s="5"/>
      <c r="D28" s="5"/>
      <c r="E28" s="5" t="str">
        <f ca="1">IFERROR(__xludf.DUMMYFUNCTION("""COMPUTED_VALUE"""),"No Relation")</f>
        <v>No Relation</v>
      </c>
      <c r="F28" s="5" t="str">
        <f ca="1">IFERROR(__xludf.DUMMYFUNCTION("""COMPUTED_VALUE"""),"Fled/Escaped")</f>
        <v>Fled/Escaped</v>
      </c>
      <c r="G28" s="5" t="str">
        <f ca="1">IFERROR(__xludf.DUMMYFUNCTION("""COMPUTED_VALUE"""),"No")</f>
        <v>No</v>
      </c>
      <c r="H28" s="5" t="str">
        <f ca="1">IFERROR(__xludf.DUMMYFUNCTION("""COMPUTED_VALUE"""),"None")</f>
        <v>None</v>
      </c>
    </row>
    <row r="29" spans="1:8" ht="13">
      <c r="A29" s="5" t="str">
        <f ca="1">IFERROR(__xludf.DUMMYFUNCTION("""COMPUTED_VALUE"""),"20230306MDLEB")</f>
        <v>20230306MDLEB</v>
      </c>
      <c r="B29" s="5" t="str">
        <f ca="1">IFERROR(__xludf.DUMMYFUNCTION("""COMPUTED_VALUE"""),"Adult")</f>
        <v>Adult</v>
      </c>
      <c r="C29" s="5" t="str">
        <f ca="1">IFERROR(__xludf.DUMMYFUNCTION("""COMPUTED_VALUE"""),"Male")</f>
        <v>Male</v>
      </c>
      <c r="D29" s="5"/>
      <c r="E29" s="5" t="str">
        <f ca="1">IFERROR(__xludf.DUMMYFUNCTION("""COMPUTED_VALUE"""),"Parent")</f>
        <v>Parent</v>
      </c>
      <c r="F29" s="5" t="str">
        <f ca="1">IFERROR(__xludf.DUMMYFUNCTION("""COMPUTED_VALUE"""),"Fled/Escaped")</f>
        <v>Fled/Escaped</v>
      </c>
      <c r="G29" s="5" t="str">
        <f ca="1">IFERROR(__xludf.DUMMYFUNCTION("""COMPUTED_VALUE"""),"No")</f>
        <v>No</v>
      </c>
      <c r="H29" s="5" t="str">
        <f ca="1">IFERROR(__xludf.DUMMYFUNCTION("""COMPUTED_VALUE"""),"None")</f>
        <v>None</v>
      </c>
    </row>
    <row r="30" spans="1:8" ht="13">
      <c r="A30" s="5" t="str">
        <f ca="1">IFERROR(__xludf.DUMMYFUNCTION("""COMPUTED_VALUE"""),"20230306MISTR")</f>
        <v>20230306MISTR</v>
      </c>
      <c r="B30" s="5">
        <f ca="1">IFERROR(__xludf.DUMMYFUNCTION("""COMPUTED_VALUE"""),13)</f>
        <v>13</v>
      </c>
      <c r="C30" s="5" t="str">
        <f ca="1">IFERROR(__xludf.DUMMYFUNCTION("""COMPUTED_VALUE"""),"Male")</f>
        <v>Male</v>
      </c>
      <c r="D30" s="5"/>
      <c r="E30" s="5" t="str">
        <f ca="1">IFERROR(__xludf.DUMMYFUNCTION("""COMPUTED_VALUE"""),"Student")</f>
        <v>Student</v>
      </c>
      <c r="F30" s="5" t="str">
        <f ca="1">IFERROR(__xludf.DUMMYFUNCTION("""COMPUTED_VALUE"""),"Fled/Apprehended")</f>
        <v>Fled/Apprehended</v>
      </c>
      <c r="G30" s="5" t="str">
        <f ca="1">IFERROR(__xludf.DUMMYFUNCTION("""COMPUTED_VALUE"""),"No")</f>
        <v>No</v>
      </c>
      <c r="H30" s="5" t="str">
        <f ca="1">IFERROR(__xludf.DUMMYFUNCTION("""COMPUTED_VALUE"""),"None")</f>
        <v>None</v>
      </c>
    </row>
    <row r="31" spans="1:8" ht="13">
      <c r="A31" s="5" t="str">
        <f ca="1">IFERROR(__xludf.DUMMYFUNCTION("""COMPUTED_VALUE"""),"20230306MDPAB")</f>
        <v>20230306MDPAB</v>
      </c>
      <c r="B31" s="5">
        <f ca="1">IFERROR(__xludf.DUMMYFUNCTION("""COMPUTED_VALUE"""),23)</f>
        <v>23</v>
      </c>
      <c r="C31" s="5" t="str">
        <f ca="1">IFERROR(__xludf.DUMMYFUNCTION("""COMPUTED_VALUE"""),"Male")</f>
        <v>Male</v>
      </c>
      <c r="D31" s="5"/>
      <c r="E31" s="5" t="str">
        <f ca="1">IFERROR(__xludf.DUMMYFUNCTION("""COMPUTED_VALUE"""),"No Relation")</f>
        <v>No Relation</v>
      </c>
      <c r="F31" s="5" t="str">
        <f ca="1">IFERROR(__xludf.DUMMYFUNCTION("""COMPUTED_VALUE"""),"Fled/Apprehended")</f>
        <v>Fled/Apprehended</v>
      </c>
      <c r="G31" s="5" t="str">
        <f ca="1">IFERROR(__xludf.DUMMYFUNCTION("""COMPUTED_VALUE"""),"No")</f>
        <v>No</v>
      </c>
      <c r="H31" s="5" t="str">
        <f ca="1">IFERROR(__xludf.DUMMYFUNCTION("""COMPUTED_VALUE"""),"None")</f>
        <v>None</v>
      </c>
    </row>
    <row r="32" spans="1:8" ht="13">
      <c r="A32" s="5" t="str">
        <f ca="1">IFERROR(__xludf.DUMMYFUNCTION("""COMPUTED_VALUE"""),"20230303MTGAL")</f>
        <v>20230303MTGAL</v>
      </c>
      <c r="B32" s="5" t="str">
        <f ca="1">IFERROR(__xludf.DUMMYFUNCTION("""COMPUTED_VALUE"""),"Teen")</f>
        <v>Teen</v>
      </c>
      <c r="C32" s="5"/>
      <c r="D32" s="5"/>
      <c r="E32" s="5"/>
      <c r="F32" s="5" t="str">
        <f ca="1">IFERROR(__xludf.DUMMYFUNCTION("""COMPUTED_VALUE"""),"Fled/Apprehended")</f>
        <v>Fled/Apprehended</v>
      </c>
      <c r="G32" s="5" t="str">
        <f ca="1">IFERROR(__xludf.DUMMYFUNCTION("""COMPUTED_VALUE"""),"No")</f>
        <v>No</v>
      </c>
      <c r="H32" s="5" t="str">
        <f ca="1">IFERROR(__xludf.DUMMYFUNCTION("""COMPUTED_VALUE"""),"None")</f>
        <v>None</v>
      </c>
    </row>
    <row r="33" spans="1:8" ht="13">
      <c r="A33" s="5" t="str">
        <f ca="1">IFERROR(__xludf.DUMMYFUNCTION("""COMPUTED_VALUE"""),"20230303MTGAL")</f>
        <v>20230303MTGAL</v>
      </c>
      <c r="B33" s="5" t="str">
        <f ca="1">IFERROR(__xludf.DUMMYFUNCTION("""COMPUTED_VALUE"""),"Teen")</f>
        <v>Teen</v>
      </c>
      <c r="C33" s="5"/>
      <c r="D33" s="5"/>
      <c r="E33" s="5"/>
      <c r="F33" s="5" t="str">
        <f ca="1">IFERROR(__xludf.DUMMYFUNCTION("""COMPUTED_VALUE"""),"Fled/Apprehended")</f>
        <v>Fled/Apprehended</v>
      </c>
      <c r="G33" s="5" t="str">
        <f ca="1">IFERROR(__xludf.DUMMYFUNCTION("""COMPUTED_VALUE"""),"No")</f>
        <v>No</v>
      </c>
      <c r="H33" s="5" t="str">
        <f ca="1">IFERROR(__xludf.DUMMYFUNCTION("""COMPUTED_VALUE"""),"None")</f>
        <v>None</v>
      </c>
    </row>
    <row r="34" spans="1:8" ht="13">
      <c r="A34" s="5" t="str">
        <f ca="1">IFERROR(__xludf.DUMMYFUNCTION("""COMPUTED_VALUE"""),"20230301ILMAM")</f>
        <v>20230301ILMAM</v>
      </c>
      <c r="B34" s="5">
        <f ca="1">IFERROR(__xludf.DUMMYFUNCTION("""COMPUTED_VALUE"""),18)</f>
        <v>18</v>
      </c>
      <c r="C34" s="5" t="str">
        <f ca="1">IFERROR(__xludf.DUMMYFUNCTION("""COMPUTED_VALUE"""),"Male")</f>
        <v>Male</v>
      </c>
      <c r="D34" s="5" t="str">
        <f ca="1">IFERROR(__xludf.DUMMYFUNCTION("""COMPUTED_VALUE"""),"White")</f>
        <v>White</v>
      </c>
      <c r="E34" s="5" t="str">
        <f ca="1">IFERROR(__xludf.DUMMYFUNCTION("""COMPUTED_VALUE"""),"No Relation")</f>
        <v>No Relation</v>
      </c>
      <c r="F34" s="5" t="str">
        <f ca="1">IFERROR(__xludf.DUMMYFUNCTION("""COMPUTED_VALUE"""),"Fled/Apprehended")</f>
        <v>Fled/Apprehended</v>
      </c>
      <c r="G34" s="5" t="str">
        <f ca="1">IFERROR(__xludf.DUMMYFUNCTION("""COMPUTED_VALUE"""),"No")</f>
        <v>No</v>
      </c>
      <c r="H34" s="5" t="str">
        <f ca="1">IFERROR(__xludf.DUMMYFUNCTION("""COMPUTED_VALUE"""),"None")</f>
        <v>None</v>
      </c>
    </row>
    <row r="35" spans="1:8" ht="13">
      <c r="A35" s="5" t="str">
        <f ca="1">IFERROR(__xludf.DUMMYFUNCTION("""COMPUTED_VALUE"""),"20230301ILMAM")</f>
        <v>20230301ILMAM</v>
      </c>
      <c r="B35" s="5">
        <f ca="1">IFERROR(__xludf.DUMMYFUNCTION("""COMPUTED_VALUE"""),23)</f>
        <v>23</v>
      </c>
      <c r="C35" s="5" t="str">
        <f ca="1">IFERROR(__xludf.DUMMYFUNCTION("""COMPUTED_VALUE"""),"Male")</f>
        <v>Male</v>
      </c>
      <c r="D35" s="5" t="str">
        <f ca="1">IFERROR(__xludf.DUMMYFUNCTION("""COMPUTED_VALUE"""),"White")</f>
        <v>White</v>
      </c>
      <c r="E35" s="5" t="str">
        <f ca="1">IFERROR(__xludf.DUMMYFUNCTION("""COMPUTED_VALUE"""),"No Relation")</f>
        <v>No Relation</v>
      </c>
      <c r="F35" s="5" t="str">
        <f ca="1">IFERROR(__xludf.DUMMYFUNCTION("""COMPUTED_VALUE"""),"Fled/Apprehended")</f>
        <v>Fled/Apprehended</v>
      </c>
      <c r="G35" s="5" t="str">
        <f ca="1">IFERROR(__xludf.DUMMYFUNCTION("""COMPUTED_VALUE"""),"No")</f>
        <v>No</v>
      </c>
      <c r="H35" s="5" t="str">
        <f ca="1">IFERROR(__xludf.DUMMYFUNCTION("""COMPUTED_VALUE"""),"None")</f>
        <v>None</v>
      </c>
    </row>
    <row r="36" spans="1:8" ht="13">
      <c r="A36" s="5" t="str">
        <f ca="1">IFERROR(__xludf.DUMMYFUNCTION("""COMPUTED_VALUE"""),"20230301ILMAM")</f>
        <v>20230301ILMAM</v>
      </c>
      <c r="B36" s="5">
        <f ca="1">IFERROR(__xludf.DUMMYFUNCTION("""COMPUTED_VALUE"""),18)</f>
        <v>18</v>
      </c>
      <c r="C36" s="5" t="str">
        <f ca="1">IFERROR(__xludf.DUMMYFUNCTION("""COMPUTED_VALUE"""),"Male")</f>
        <v>Male</v>
      </c>
      <c r="D36" s="5" t="str">
        <f ca="1">IFERROR(__xludf.DUMMYFUNCTION("""COMPUTED_VALUE"""),"White")</f>
        <v>White</v>
      </c>
      <c r="E36" s="5" t="str">
        <f ca="1">IFERROR(__xludf.DUMMYFUNCTION("""COMPUTED_VALUE"""),"No Relation")</f>
        <v>No Relation</v>
      </c>
      <c r="F36" s="5" t="str">
        <f ca="1">IFERROR(__xludf.DUMMYFUNCTION("""COMPUTED_VALUE"""),"Fled/Apprehended")</f>
        <v>Fled/Apprehended</v>
      </c>
      <c r="G36" s="5" t="str">
        <f ca="1">IFERROR(__xludf.DUMMYFUNCTION("""COMPUTED_VALUE"""),"No")</f>
        <v>No</v>
      </c>
      <c r="H36" s="5" t="str">
        <f ca="1">IFERROR(__xludf.DUMMYFUNCTION("""COMPUTED_VALUE"""),"None")</f>
        <v>None</v>
      </c>
    </row>
    <row r="37" spans="1:8" ht="13">
      <c r="A37" s="5" t="str">
        <f ca="1">IFERROR(__xludf.DUMMYFUNCTION("""COMPUTED_VALUE"""),"20230301GASAS")</f>
        <v>20230301GASAS</v>
      </c>
      <c r="B37" s="5">
        <f ca="1">IFERROR(__xludf.DUMMYFUNCTION("""COMPUTED_VALUE"""),16)</f>
        <v>16</v>
      </c>
      <c r="C37" s="5" t="str">
        <f ca="1">IFERROR(__xludf.DUMMYFUNCTION("""COMPUTED_VALUE"""),"Male")</f>
        <v>Male</v>
      </c>
      <c r="D37" s="5"/>
      <c r="E37" s="5" t="str">
        <f ca="1">IFERROR(__xludf.DUMMYFUNCTION("""COMPUTED_VALUE"""),"Nonstudent")</f>
        <v>Nonstudent</v>
      </c>
      <c r="F37" s="5" t="str">
        <f ca="1">IFERROR(__xludf.DUMMYFUNCTION("""COMPUTED_VALUE"""),"Fled/Apprehended")</f>
        <v>Fled/Apprehended</v>
      </c>
      <c r="G37" s="5" t="str">
        <f ca="1">IFERROR(__xludf.DUMMYFUNCTION("""COMPUTED_VALUE"""),"No")</f>
        <v>No</v>
      </c>
      <c r="H37" s="5" t="str">
        <f ca="1">IFERROR(__xludf.DUMMYFUNCTION("""COMPUTED_VALUE"""),"None")</f>
        <v>None</v>
      </c>
    </row>
    <row r="38" spans="1:8" ht="13">
      <c r="A38" s="5" t="str">
        <f ca="1">IFERROR(__xludf.DUMMYFUNCTION("""COMPUTED_VALUE"""),"20230301ILSAC")</f>
        <v>20230301ILSAC</v>
      </c>
      <c r="B38" s="5">
        <f ca="1">IFERROR(__xludf.DUMMYFUNCTION("""COMPUTED_VALUE"""),18)</f>
        <v>18</v>
      </c>
      <c r="C38" s="5" t="str">
        <f ca="1">IFERROR(__xludf.DUMMYFUNCTION("""COMPUTED_VALUE"""),"Male")</f>
        <v>Male</v>
      </c>
      <c r="D38" s="5"/>
      <c r="E38" s="5" t="str">
        <f ca="1">IFERROR(__xludf.DUMMYFUNCTION("""COMPUTED_VALUE"""),"No Relation")</f>
        <v>No Relation</v>
      </c>
      <c r="F38" s="5" t="str">
        <f ca="1">IFERROR(__xludf.DUMMYFUNCTION("""COMPUTED_VALUE"""),"Apprehended/Killed by LE")</f>
        <v>Apprehended/Killed by LE</v>
      </c>
      <c r="G38" s="5" t="str">
        <f ca="1">IFERROR(__xludf.DUMMYFUNCTION("""COMPUTED_VALUE"""),"No")</f>
        <v>No</v>
      </c>
      <c r="H38" s="5" t="str">
        <f ca="1">IFERROR(__xludf.DUMMYFUNCTION("""COMPUTED_VALUE"""),"Wounded")</f>
        <v>Wounded</v>
      </c>
    </row>
    <row r="39" spans="1:8" ht="13">
      <c r="A39" s="5" t="str">
        <f ca="1">IFERROR(__xludf.DUMMYFUNCTION("""COMPUTED_VALUE"""),"20230301CONOP")</f>
        <v>20230301CONOP</v>
      </c>
      <c r="B39" s="5" t="str">
        <f ca="1">IFERROR(__xludf.DUMMYFUNCTION("""COMPUTED_VALUE"""),"Adult")</f>
        <v>Adult</v>
      </c>
      <c r="C39" s="5" t="str">
        <f ca="1">IFERROR(__xludf.DUMMYFUNCTION("""COMPUTED_VALUE"""),"Male")</f>
        <v>Male</v>
      </c>
      <c r="D39" s="5"/>
      <c r="E39" s="5" t="str">
        <f ca="1">IFERROR(__xludf.DUMMYFUNCTION("""COMPUTED_VALUE"""),"No Relation")</f>
        <v>No Relation</v>
      </c>
      <c r="F39" s="5" t="str">
        <f ca="1">IFERROR(__xludf.DUMMYFUNCTION("""COMPUTED_VALUE"""),"Apprehended/Killed by LE")</f>
        <v>Apprehended/Killed by LE</v>
      </c>
      <c r="G39" s="5" t="str">
        <f ca="1">IFERROR(__xludf.DUMMYFUNCTION("""COMPUTED_VALUE"""),"Yes")</f>
        <v>Yes</v>
      </c>
      <c r="H39" s="5" t="str">
        <f ca="1">IFERROR(__xludf.DUMMYFUNCTION("""COMPUTED_VALUE"""),"Fatal")</f>
        <v>Fatal</v>
      </c>
    </row>
    <row r="40" spans="1:8" ht="13">
      <c r="A40" s="5" t="str">
        <f ca="1">IFERROR(__xludf.DUMMYFUNCTION("""COMPUTED_VALUE"""),"20230227CAGAC")</f>
        <v>20230227CAGAC</v>
      </c>
      <c r="B40" s="5" t="str">
        <f ca="1">IFERROR(__xludf.DUMMYFUNCTION("""COMPUTED_VALUE"""),"Adult")</f>
        <v>Adult</v>
      </c>
      <c r="C40" s="5"/>
      <c r="D40" s="5"/>
      <c r="E40" s="5"/>
      <c r="F40" s="5" t="str">
        <f ca="1">IFERROR(__xludf.DUMMYFUNCTION("""COMPUTED_VALUE"""),"Fled/Escaped")</f>
        <v>Fled/Escaped</v>
      </c>
      <c r="G40" s="5" t="str">
        <f ca="1">IFERROR(__xludf.DUMMYFUNCTION("""COMPUTED_VALUE"""),"No")</f>
        <v>No</v>
      </c>
      <c r="H40" s="5" t="str">
        <f ca="1">IFERROR(__xludf.DUMMYFUNCTION("""COMPUTED_VALUE"""),"None")</f>
        <v>None</v>
      </c>
    </row>
    <row r="41" spans="1:8" ht="13">
      <c r="A41" s="5" t="str">
        <f ca="1">IFERROR(__xludf.DUMMYFUNCTION("""COMPUTED_VALUE"""),"20230223OHWOC")</f>
        <v>20230223OHWOC</v>
      </c>
      <c r="B41" s="5"/>
      <c r="C41" s="5"/>
      <c r="D41" s="5"/>
      <c r="E41" s="5"/>
      <c r="F41" s="5" t="str">
        <f ca="1">IFERROR(__xludf.DUMMYFUNCTION("""COMPUTED_VALUE"""),"Fled/Escaped")</f>
        <v>Fled/Escaped</v>
      </c>
      <c r="G41" s="5" t="str">
        <f ca="1">IFERROR(__xludf.DUMMYFUNCTION("""COMPUTED_VALUE"""),"No")</f>
        <v>No</v>
      </c>
      <c r="H41" s="5" t="str">
        <f ca="1">IFERROR(__xludf.DUMMYFUNCTION("""COMPUTED_VALUE"""),"None")</f>
        <v>None</v>
      </c>
    </row>
    <row r="42" spans="1:8" ht="13">
      <c r="A42" s="5" t="str">
        <f ca="1">IFERROR(__xludf.DUMMYFUNCTION("""COMPUTED_VALUE"""),"20230222MSWHJ")</f>
        <v>20230222MSWHJ</v>
      </c>
      <c r="B42" s="5"/>
      <c r="C42" s="5"/>
      <c r="D42" s="5"/>
      <c r="E42" s="5"/>
      <c r="F42" s="5" t="str">
        <f ca="1">IFERROR(__xludf.DUMMYFUNCTION("""COMPUTED_VALUE"""),"Fled/Escaped")</f>
        <v>Fled/Escaped</v>
      </c>
      <c r="G42" s="5" t="str">
        <f ca="1">IFERROR(__xludf.DUMMYFUNCTION("""COMPUTED_VALUE"""),"No")</f>
        <v>No</v>
      </c>
      <c r="H42" s="5" t="str">
        <f ca="1">IFERROR(__xludf.DUMMYFUNCTION("""COMPUTED_VALUE"""),"None")</f>
        <v>None</v>
      </c>
    </row>
    <row r="43" spans="1:8" ht="13">
      <c r="A43" s="5" t="str">
        <f ca="1">IFERROR(__xludf.DUMMYFUNCTION("""COMPUTED_VALUE"""),"20230222COESE")</f>
        <v>20230222COESE</v>
      </c>
      <c r="B43" s="5" t="str">
        <f ca="1">IFERROR(__xludf.DUMMYFUNCTION("""COMPUTED_VALUE"""),"Adult")</f>
        <v>Adult</v>
      </c>
      <c r="C43" s="5"/>
      <c r="D43" s="5"/>
      <c r="E43" s="5" t="str">
        <f ca="1">IFERROR(__xludf.DUMMYFUNCTION("""COMPUTED_VALUE"""),"Police Officer/SRO")</f>
        <v>Police Officer/SRO</v>
      </c>
      <c r="F43" s="5" t="str">
        <f ca="1">IFERROR(__xludf.DUMMYFUNCTION("""COMPUTED_VALUE"""),"Law Enforcement")</f>
        <v>Law Enforcement</v>
      </c>
      <c r="G43" s="5" t="str">
        <f ca="1">IFERROR(__xludf.DUMMYFUNCTION("""COMPUTED_VALUE"""),"No")</f>
        <v>No</v>
      </c>
      <c r="H43" s="5" t="str">
        <f ca="1">IFERROR(__xludf.DUMMYFUNCTION("""COMPUTED_VALUE"""),"None")</f>
        <v>None</v>
      </c>
    </row>
    <row r="44" spans="1:8" ht="13">
      <c r="A44" s="5" t="str">
        <f ca="1">IFERROR(__xludf.DUMMYFUNCTION("""COMPUTED_VALUE"""),"20230221LARUR")</f>
        <v>20230221LARUR</v>
      </c>
      <c r="B44" s="5"/>
      <c r="C44" s="5"/>
      <c r="D44" s="5"/>
      <c r="E44" s="5"/>
      <c r="F44" s="5" t="str">
        <f ca="1">IFERROR(__xludf.DUMMYFUNCTION("""COMPUTED_VALUE"""),"Fled/Escaped")</f>
        <v>Fled/Escaped</v>
      </c>
      <c r="G44" s="5" t="str">
        <f ca="1">IFERROR(__xludf.DUMMYFUNCTION("""COMPUTED_VALUE"""),"No")</f>
        <v>No</v>
      </c>
      <c r="H44" s="5" t="str">
        <f ca="1">IFERROR(__xludf.DUMMYFUNCTION("""COMPUTED_VALUE"""),"None")</f>
        <v>None</v>
      </c>
    </row>
    <row r="45" spans="1:8" ht="13">
      <c r="A45" s="5" t="str">
        <f ca="1">IFERROR(__xludf.DUMMYFUNCTION("""COMPUTED_VALUE"""),"20230217NCERE")</f>
        <v>20230217NCERE</v>
      </c>
      <c r="B45" s="5">
        <f ca="1">IFERROR(__xludf.DUMMYFUNCTION("""COMPUTED_VALUE"""),9)</f>
        <v>9</v>
      </c>
      <c r="C45" s="5" t="str">
        <f ca="1">IFERROR(__xludf.DUMMYFUNCTION("""COMPUTED_VALUE"""),"Male")</f>
        <v>Male</v>
      </c>
      <c r="D45" s="5"/>
      <c r="E45" s="5" t="str">
        <f ca="1">IFERROR(__xludf.DUMMYFUNCTION("""COMPUTED_VALUE"""),"Student")</f>
        <v>Student</v>
      </c>
      <c r="F45" s="5" t="str">
        <f ca="1">IFERROR(__xludf.DUMMYFUNCTION("""COMPUTED_VALUE"""),"Apprehended/Killed by SRO")</f>
        <v>Apprehended/Killed by SRO</v>
      </c>
      <c r="G45" s="5" t="str">
        <f ca="1">IFERROR(__xludf.DUMMYFUNCTION("""COMPUTED_VALUE"""),"No")</f>
        <v>No</v>
      </c>
      <c r="H45" s="5" t="str">
        <f ca="1">IFERROR(__xludf.DUMMYFUNCTION("""COMPUTED_VALUE"""),"None")</f>
        <v>None</v>
      </c>
    </row>
    <row r="46" spans="1:8" ht="13">
      <c r="A46" s="5" t="str">
        <f ca="1">IFERROR(__xludf.DUMMYFUNCTION("""COMPUTED_VALUE"""),"20230217ILCAC")</f>
        <v>20230217ILCAC</v>
      </c>
      <c r="B46" s="5"/>
      <c r="C46" s="5"/>
      <c r="D46" s="5"/>
      <c r="E46" s="5"/>
      <c r="F46" s="5" t="str">
        <f ca="1">IFERROR(__xludf.DUMMYFUNCTION("""COMPUTED_VALUE"""),"Fled/Escaped")</f>
        <v>Fled/Escaped</v>
      </c>
      <c r="G46" s="5" t="str">
        <f ca="1">IFERROR(__xludf.DUMMYFUNCTION("""COMPUTED_VALUE"""),"No")</f>
        <v>No</v>
      </c>
      <c r="H46" s="5" t="str">
        <f ca="1">IFERROR(__xludf.DUMMYFUNCTION("""COMPUTED_VALUE"""),"None")</f>
        <v>None</v>
      </c>
    </row>
    <row r="47" spans="1:8" ht="13">
      <c r="A47" s="5" t="str">
        <f ca="1">IFERROR(__xludf.DUMMYFUNCTION("""COMPUTED_VALUE"""),"20230216TXGAG")</f>
        <v>20230216TXGAG</v>
      </c>
      <c r="B47" s="5">
        <f ca="1">IFERROR(__xludf.DUMMYFUNCTION("""COMPUTED_VALUE"""),17)</f>
        <v>17</v>
      </c>
      <c r="C47" s="5" t="str">
        <f ca="1">IFERROR(__xludf.DUMMYFUNCTION("""COMPUTED_VALUE"""),"Male")</f>
        <v>Male</v>
      </c>
      <c r="D47" s="5"/>
      <c r="E47" s="5"/>
      <c r="F47" s="5" t="str">
        <f ca="1">IFERROR(__xludf.DUMMYFUNCTION("""COMPUTED_VALUE"""),"Fled/Apprehended")</f>
        <v>Fled/Apprehended</v>
      </c>
      <c r="G47" s="5" t="str">
        <f ca="1">IFERROR(__xludf.DUMMYFUNCTION("""COMPUTED_VALUE"""),"No")</f>
        <v>No</v>
      </c>
      <c r="H47" s="5" t="str">
        <f ca="1">IFERROR(__xludf.DUMMYFUNCTION("""COMPUTED_VALUE"""),"None")</f>
        <v>None</v>
      </c>
    </row>
    <row r="48" spans="1:8" ht="13">
      <c r="A48" s="5" t="str">
        <f ca="1">IFERROR(__xludf.DUMMYFUNCTION("""COMPUTED_VALUE"""),"20230216TXDAH")</f>
        <v>20230216TXDAH</v>
      </c>
      <c r="B48" s="5" t="str">
        <f ca="1">IFERROR(__xludf.DUMMYFUNCTION("""COMPUTED_VALUE"""),"Adult")</f>
        <v>Adult</v>
      </c>
      <c r="C48" s="5"/>
      <c r="D48" s="5"/>
      <c r="E48" s="5" t="str">
        <f ca="1">IFERROR(__xludf.DUMMYFUNCTION("""COMPUTED_VALUE"""),"Police Officer/SRO")</f>
        <v>Police Officer/SRO</v>
      </c>
      <c r="F48" s="5" t="str">
        <f ca="1">IFERROR(__xludf.DUMMYFUNCTION("""COMPUTED_VALUE"""),"Law Enforcement")</f>
        <v>Law Enforcement</v>
      </c>
      <c r="G48" s="5" t="str">
        <f ca="1">IFERROR(__xludf.DUMMYFUNCTION("""COMPUTED_VALUE"""),"No")</f>
        <v>No</v>
      </c>
      <c r="H48" s="5" t="str">
        <f ca="1">IFERROR(__xludf.DUMMYFUNCTION("""COMPUTED_VALUE"""),"None")</f>
        <v>None</v>
      </c>
    </row>
    <row r="49" spans="1:8" ht="13">
      <c r="A49" s="5" t="str">
        <f ca="1">IFERROR(__xludf.DUMMYFUNCTION("""COMPUTED_VALUE"""),"20230215OHCOC")</f>
        <v>20230215OHCOC</v>
      </c>
      <c r="B49" s="5">
        <f ca="1">IFERROR(__xludf.DUMMYFUNCTION("""COMPUTED_VALUE"""),18)</f>
        <v>18</v>
      </c>
      <c r="C49" s="5" t="str">
        <f ca="1">IFERROR(__xludf.DUMMYFUNCTION("""COMPUTED_VALUE"""),"Male")</f>
        <v>Male</v>
      </c>
      <c r="D49" s="5"/>
      <c r="E49" s="5" t="str">
        <f ca="1">IFERROR(__xludf.DUMMYFUNCTION("""COMPUTED_VALUE"""),"Student")</f>
        <v>Student</v>
      </c>
      <c r="F49" s="5" t="str">
        <f ca="1">IFERROR(__xludf.DUMMYFUNCTION("""COMPUTED_VALUE"""),"Fled/Apprehended")</f>
        <v>Fled/Apprehended</v>
      </c>
      <c r="G49" s="5" t="str">
        <f ca="1">IFERROR(__xludf.DUMMYFUNCTION("""COMPUTED_VALUE"""),"No")</f>
        <v>No</v>
      </c>
      <c r="H49" s="5" t="str">
        <f ca="1">IFERROR(__xludf.DUMMYFUNCTION("""COMPUTED_VALUE"""),"None")</f>
        <v>None</v>
      </c>
    </row>
    <row r="50" spans="1:8" ht="13">
      <c r="A50" s="5" t="str">
        <f ca="1">IFERROR(__xludf.DUMMYFUNCTION("""COMPUTED_VALUE"""),"20230215MDWAB")</f>
        <v>20230215MDWAB</v>
      </c>
      <c r="B50" s="5"/>
      <c r="C50" s="5"/>
      <c r="D50" s="5"/>
      <c r="E50" s="5"/>
      <c r="F50" s="5" t="str">
        <f ca="1">IFERROR(__xludf.DUMMYFUNCTION("""COMPUTED_VALUE"""),"Fled/Escaped")</f>
        <v>Fled/Escaped</v>
      </c>
      <c r="G50" s="5" t="str">
        <f ca="1">IFERROR(__xludf.DUMMYFUNCTION("""COMPUTED_VALUE"""),"No")</f>
        <v>No</v>
      </c>
      <c r="H50" s="5" t="str">
        <f ca="1">IFERROR(__xludf.DUMMYFUNCTION("""COMPUTED_VALUE"""),"None")</f>
        <v>None</v>
      </c>
    </row>
    <row r="51" spans="1:8" ht="13">
      <c r="A51" s="5" t="str">
        <f ca="1">IFERROR(__xludf.DUMMYFUNCTION("""COMPUTED_VALUE"""),"20230214GAMID")</f>
        <v>20230214GAMID</v>
      </c>
      <c r="B51" s="5" t="str">
        <f ca="1">IFERROR(__xludf.DUMMYFUNCTION("""COMPUTED_VALUE"""),"Teen")</f>
        <v>Teen</v>
      </c>
      <c r="C51" s="5"/>
      <c r="D51" s="5"/>
      <c r="E51" s="5" t="str">
        <f ca="1">IFERROR(__xludf.DUMMYFUNCTION("""COMPUTED_VALUE"""),"Student")</f>
        <v>Student</v>
      </c>
      <c r="F51" s="5" t="str">
        <f ca="1">IFERROR(__xludf.DUMMYFUNCTION("""COMPUTED_VALUE"""),"Apprehended/Killed by SRO")</f>
        <v>Apprehended/Killed by SRO</v>
      </c>
      <c r="G51" s="5" t="str">
        <f ca="1">IFERROR(__xludf.DUMMYFUNCTION("""COMPUTED_VALUE"""),"No")</f>
        <v>No</v>
      </c>
      <c r="H51" s="5" t="str">
        <f ca="1">IFERROR(__xludf.DUMMYFUNCTION("""COMPUTED_VALUE"""),"None")</f>
        <v>None</v>
      </c>
    </row>
    <row r="52" spans="1:8" ht="13">
      <c r="A52" s="5" t="str">
        <f ca="1">IFERROR(__xludf.DUMMYFUNCTION("""COMPUTED_VALUE"""),"20230214PAWEP")</f>
        <v>20230214PAWEP</v>
      </c>
      <c r="B52" s="5"/>
      <c r="C52" s="5"/>
      <c r="D52" s="5"/>
      <c r="E52" s="5"/>
      <c r="F52" s="5" t="str">
        <f ca="1">IFERROR(__xludf.DUMMYFUNCTION("""COMPUTED_VALUE"""),"Fled/Escaped")</f>
        <v>Fled/Escaped</v>
      </c>
      <c r="G52" s="5" t="str">
        <f ca="1">IFERROR(__xludf.DUMMYFUNCTION("""COMPUTED_VALUE"""),"No")</f>
        <v>No</v>
      </c>
      <c r="H52" s="5" t="str">
        <f ca="1">IFERROR(__xludf.DUMMYFUNCTION("""COMPUTED_VALUE"""),"None")</f>
        <v>None</v>
      </c>
    </row>
    <row r="53" spans="1:8" ht="13">
      <c r="A53" s="5" t="str">
        <f ca="1">IFERROR(__xludf.DUMMYFUNCTION("""COMPUTED_VALUE"""),"20230213NYPSS")</f>
        <v>20230213NYPSS</v>
      </c>
      <c r="B53" s="5"/>
      <c r="C53" s="5"/>
      <c r="D53" s="5"/>
      <c r="E53" s="5"/>
      <c r="F53" s="5" t="str">
        <f ca="1">IFERROR(__xludf.DUMMYFUNCTION("""COMPUTED_VALUE"""),"Fled/Escaped")</f>
        <v>Fled/Escaped</v>
      </c>
      <c r="G53" s="5" t="str">
        <f ca="1">IFERROR(__xludf.DUMMYFUNCTION("""COMPUTED_VALUE"""),"No")</f>
        <v>No</v>
      </c>
      <c r="H53" s="5" t="str">
        <f ca="1">IFERROR(__xludf.DUMMYFUNCTION("""COMPUTED_VALUE"""),"None")</f>
        <v>None</v>
      </c>
    </row>
    <row r="54" spans="1:8" ht="13">
      <c r="A54" s="5" t="str">
        <f ca="1">IFERROR(__xludf.DUMMYFUNCTION("""COMPUTED_VALUE"""),"20230213COEAD")</f>
        <v>20230213COEAD</v>
      </c>
      <c r="B54" s="5">
        <f ca="1">IFERROR(__xludf.DUMMYFUNCTION("""COMPUTED_VALUE"""),16)</f>
        <v>16</v>
      </c>
      <c r="C54" s="5" t="str">
        <f ca="1">IFERROR(__xludf.DUMMYFUNCTION("""COMPUTED_VALUE"""),"Male")</f>
        <v>Male</v>
      </c>
      <c r="D54" s="5"/>
      <c r="E54" s="5" t="str">
        <f ca="1">IFERROR(__xludf.DUMMYFUNCTION("""COMPUTED_VALUE"""),"Student")</f>
        <v>Student</v>
      </c>
      <c r="F54" s="5" t="str">
        <f ca="1">IFERROR(__xludf.DUMMYFUNCTION("""COMPUTED_VALUE"""),"Fled/Apprehended")</f>
        <v>Fled/Apprehended</v>
      </c>
      <c r="G54" s="5" t="str">
        <f ca="1">IFERROR(__xludf.DUMMYFUNCTION("""COMPUTED_VALUE"""),"No")</f>
        <v>No</v>
      </c>
      <c r="H54" s="5" t="str">
        <f ca="1">IFERROR(__xludf.DUMMYFUNCTION("""COMPUTED_VALUE"""),"None")</f>
        <v>None</v>
      </c>
    </row>
    <row r="55" spans="1:8" ht="13">
      <c r="A55" s="5" t="str">
        <f ca="1">IFERROR(__xludf.DUMMYFUNCTION("""COMPUTED_VALUE"""),"20230213COEAD")</f>
        <v>20230213COEAD</v>
      </c>
      <c r="B55" s="5">
        <f ca="1">IFERROR(__xludf.DUMMYFUNCTION("""COMPUTED_VALUE"""),17)</f>
        <v>17</v>
      </c>
      <c r="C55" s="5" t="str">
        <f ca="1">IFERROR(__xludf.DUMMYFUNCTION("""COMPUTED_VALUE"""),"Male")</f>
        <v>Male</v>
      </c>
      <c r="D55" s="5"/>
      <c r="E55" s="5" t="str">
        <f ca="1">IFERROR(__xludf.DUMMYFUNCTION("""COMPUTED_VALUE"""),"Student")</f>
        <v>Student</v>
      </c>
      <c r="F55" s="5" t="str">
        <f ca="1">IFERROR(__xludf.DUMMYFUNCTION("""COMPUTED_VALUE"""),"Fled/Apprehended")</f>
        <v>Fled/Apprehended</v>
      </c>
      <c r="G55" s="5" t="str">
        <f ca="1">IFERROR(__xludf.DUMMYFUNCTION("""COMPUTED_VALUE"""),"No")</f>
        <v>No</v>
      </c>
      <c r="H55" s="5" t="str">
        <f ca="1">IFERROR(__xludf.DUMMYFUNCTION("""COMPUTED_VALUE"""),"None")</f>
        <v>None</v>
      </c>
    </row>
    <row r="56" spans="1:8" ht="13">
      <c r="A56" s="5" t="str">
        <f ca="1">IFERROR(__xludf.DUMMYFUNCTION("""COMPUTED_VALUE"""),"20230213TXDAD")</f>
        <v>20230213TXDAD</v>
      </c>
      <c r="B56" s="5" t="str">
        <f ca="1">IFERROR(__xludf.DUMMYFUNCTION("""COMPUTED_VALUE"""),"Teen")</f>
        <v>Teen</v>
      </c>
      <c r="C56" s="5"/>
      <c r="D56" s="5"/>
      <c r="E56" s="5" t="str">
        <f ca="1">IFERROR(__xludf.DUMMYFUNCTION("""COMPUTED_VALUE"""),"Student")</f>
        <v>Student</v>
      </c>
      <c r="F56" s="5" t="str">
        <f ca="1">IFERROR(__xludf.DUMMYFUNCTION("""COMPUTED_VALUE"""),"Surrendered")</f>
        <v>Surrendered</v>
      </c>
      <c r="G56" s="5" t="str">
        <f ca="1">IFERROR(__xludf.DUMMYFUNCTION("""COMPUTED_VALUE"""),"No")</f>
        <v>No</v>
      </c>
      <c r="H56" s="5" t="str">
        <f ca="1">IFERROR(__xludf.DUMMYFUNCTION("""COMPUTED_VALUE"""),"None")</f>
        <v>None</v>
      </c>
    </row>
    <row r="57" spans="1:8" ht="13">
      <c r="A57" s="5" t="str">
        <f ca="1">IFERROR(__xludf.DUMMYFUNCTION("""COMPUTED_VALUE"""),"20230210CAHEF")</f>
        <v>20230210CAHEF</v>
      </c>
      <c r="B57" s="5" t="str">
        <f ca="1">IFERROR(__xludf.DUMMYFUNCTION("""COMPUTED_VALUE"""),"Child")</f>
        <v>Child</v>
      </c>
      <c r="C57" s="5" t="str">
        <f ca="1">IFERROR(__xludf.DUMMYFUNCTION("""COMPUTED_VALUE"""),"Male")</f>
        <v>Male</v>
      </c>
      <c r="D57" s="5"/>
      <c r="E57" s="5" t="str">
        <f ca="1">IFERROR(__xludf.DUMMYFUNCTION("""COMPUTED_VALUE"""),"Student")</f>
        <v>Student</v>
      </c>
      <c r="F57" s="5" t="str">
        <f ca="1">IFERROR(__xludf.DUMMYFUNCTION("""COMPUTED_VALUE"""),"Fled/Escaped")</f>
        <v>Fled/Escaped</v>
      </c>
      <c r="G57" s="5" t="str">
        <f ca="1">IFERROR(__xludf.DUMMYFUNCTION("""COMPUTED_VALUE"""),"No")</f>
        <v>No</v>
      </c>
      <c r="H57" s="5" t="str">
        <f ca="1">IFERROR(__xludf.DUMMYFUNCTION("""COMPUTED_VALUE"""),"None")</f>
        <v>None</v>
      </c>
    </row>
    <row r="58" spans="1:8" ht="13">
      <c r="A58" s="5" t="str">
        <f ca="1">IFERROR(__xludf.DUMMYFUNCTION("""COMPUTED_VALUE"""),"20230208NYWIB")</f>
        <v>20230208NYWIB</v>
      </c>
      <c r="B58" s="5" t="str">
        <f ca="1">IFERROR(__xludf.DUMMYFUNCTION("""COMPUTED_VALUE"""),"Teen")</f>
        <v>Teen</v>
      </c>
      <c r="C58" s="5" t="str">
        <f ca="1">IFERROR(__xludf.DUMMYFUNCTION("""COMPUTED_VALUE"""),"Male")</f>
        <v>Male</v>
      </c>
      <c r="D58" s="5" t="str">
        <f ca="1">IFERROR(__xludf.DUMMYFUNCTION("""COMPUTED_VALUE"""),"Black")</f>
        <v>Black</v>
      </c>
      <c r="E58" s="5" t="str">
        <f ca="1">IFERROR(__xludf.DUMMYFUNCTION("""COMPUTED_VALUE"""),"Student")</f>
        <v>Student</v>
      </c>
      <c r="F58" s="5" t="str">
        <f ca="1">IFERROR(__xludf.DUMMYFUNCTION("""COMPUTED_VALUE"""),"Fled/Escaped")</f>
        <v>Fled/Escaped</v>
      </c>
      <c r="G58" s="5" t="str">
        <f ca="1">IFERROR(__xludf.DUMMYFUNCTION("""COMPUTED_VALUE"""),"No")</f>
        <v>No</v>
      </c>
      <c r="H58" s="5" t="str">
        <f ca="1">IFERROR(__xludf.DUMMYFUNCTION("""COMPUTED_VALUE"""),"None")</f>
        <v>None</v>
      </c>
    </row>
    <row r="59" spans="1:8" ht="13">
      <c r="A59" s="5" t="str">
        <f ca="1">IFERROR(__xludf.DUMMYFUNCTION("""COMPUTED_VALUE"""),"20230206ARKIF")</f>
        <v>20230206ARKIF</v>
      </c>
      <c r="B59" s="5">
        <f ca="1">IFERROR(__xludf.DUMMYFUNCTION("""COMPUTED_VALUE"""),14)</f>
        <v>14</v>
      </c>
      <c r="C59" s="5" t="str">
        <f ca="1">IFERROR(__xludf.DUMMYFUNCTION("""COMPUTED_VALUE"""),"Male")</f>
        <v>Male</v>
      </c>
      <c r="D59" s="5"/>
      <c r="E59" s="5" t="str">
        <f ca="1">IFERROR(__xludf.DUMMYFUNCTION("""COMPUTED_VALUE"""),"Student")</f>
        <v>Student</v>
      </c>
      <c r="F59" s="5" t="str">
        <f ca="1">IFERROR(__xludf.DUMMYFUNCTION("""COMPUTED_VALUE"""),"Fled/Apprehended")</f>
        <v>Fled/Apprehended</v>
      </c>
      <c r="G59" s="5" t="str">
        <f ca="1">IFERROR(__xludf.DUMMYFUNCTION("""COMPUTED_VALUE"""),"No")</f>
        <v>No</v>
      </c>
      <c r="H59" s="5" t="str">
        <f ca="1">IFERROR(__xludf.DUMMYFUNCTION("""COMPUTED_VALUE"""),"None")</f>
        <v>None</v>
      </c>
    </row>
    <row r="60" spans="1:8" ht="13">
      <c r="A60" s="5" t="str">
        <f ca="1">IFERROR(__xludf.DUMMYFUNCTION("""COMPUTED_VALUE"""),"20230206DEAPM")</f>
        <v>20230206DEAPM</v>
      </c>
      <c r="B60" s="5">
        <f ca="1">IFERROR(__xludf.DUMMYFUNCTION("""COMPUTED_VALUE"""),16)</f>
        <v>16</v>
      </c>
      <c r="C60" s="5" t="str">
        <f ca="1">IFERROR(__xludf.DUMMYFUNCTION("""COMPUTED_VALUE"""),"Male")</f>
        <v>Male</v>
      </c>
      <c r="D60" s="5"/>
      <c r="E60" s="5" t="str">
        <f ca="1">IFERROR(__xludf.DUMMYFUNCTION("""COMPUTED_VALUE"""),"Student")</f>
        <v>Student</v>
      </c>
      <c r="F60" s="5" t="str">
        <f ca="1">IFERROR(__xludf.DUMMYFUNCTION("""COMPUTED_VALUE"""),"Fled/Apprehended")</f>
        <v>Fled/Apprehended</v>
      </c>
      <c r="G60" s="5" t="str">
        <f ca="1">IFERROR(__xludf.DUMMYFUNCTION("""COMPUTED_VALUE"""),"No")</f>
        <v>No</v>
      </c>
      <c r="H60" s="5" t="str">
        <f ca="1">IFERROR(__xludf.DUMMYFUNCTION("""COMPUTED_VALUE"""),"None")</f>
        <v>None</v>
      </c>
    </row>
    <row r="61" spans="1:8" ht="13">
      <c r="A61" s="5" t="str">
        <f ca="1">IFERROR(__xludf.DUMMYFUNCTION("""COMPUTED_VALUE"""),"20230206FLMIM")</f>
        <v>20230206FLMIM</v>
      </c>
      <c r="B61" s="5">
        <f ca="1">IFERROR(__xludf.DUMMYFUNCTION("""COMPUTED_VALUE"""),16)</f>
        <v>16</v>
      </c>
      <c r="C61" s="5" t="str">
        <f ca="1">IFERROR(__xludf.DUMMYFUNCTION("""COMPUTED_VALUE"""),"Male")</f>
        <v>Male</v>
      </c>
      <c r="D61" s="5"/>
      <c r="E61" s="5" t="str">
        <f ca="1">IFERROR(__xludf.DUMMYFUNCTION("""COMPUTED_VALUE"""),"Student")</f>
        <v>Student</v>
      </c>
      <c r="F61" s="5" t="str">
        <f ca="1">IFERROR(__xludf.DUMMYFUNCTION("""COMPUTED_VALUE"""),"Fled/Apprehended")</f>
        <v>Fled/Apprehended</v>
      </c>
      <c r="G61" s="5" t="str">
        <f ca="1">IFERROR(__xludf.DUMMYFUNCTION("""COMPUTED_VALUE"""),"No")</f>
        <v>No</v>
      </c>
      <c r="H61" s="5" t="str">
        <f ca="1">IFERROR(__xludf.DUMMYFUNCTION("""COMPUTED_VALUE"""),"None")</f>
        <v>None</v>
      </c>
    </row>
    <row r="62" spans="1:8" ht="13">
      <c r="A62" s="5" t="str">
        <f ca="1">IFERROR(__xludf.DUMMYFUNCTION("""COMPUTED_VALUE"""),"20230202OHRIP")</f>
        <v>20230202OHRIP</v>
      </c>
      <c r="B62" s="5" t="str">
        <f ca="1">IFERROR(__xludf.DUMMYFUNCTION("""COMPUTED_VALUE"""),"Adult")</f>
        <v>Adult</v>
      </c>
      <c r="C62" s="5" t="str">
        <f ca="1">IFERROR(__xludf.DUMMYFUNCTION("""COMPUTED_VALUE"""),"Male")</f>
        <v>Male</v>
      </c>
      <c r="D62" s="5"/>
      <c r="E62" s="5" t="str">
        <f ca="1">IFERROR(__xludf.DUMMYFUNCTION("""COMPUTED_VALUE"""),"Parent")</f>
        <v>Parent</v>
      </c>
      <c r="F62" s="5" t="str">
        <f ca="1">IFERROR(__xludf.DUMMYFUNCTION("""COMPUTED_VALUE"""),"Suicide")</f>
        <v>Suicide</v>
      </c>
      <c r="G62" s="5" t="str">
        <f ca="1">IFERROR(__xludf.DUMMYFUNCTION("""COMPUTED_VALUE"""),"Yes")</f>
        <v>Yes</v>
      </c>
      <c r="H62" s="5" t="str">
        <f ca="1">IFERROR(__xludf.DUMMYFUNCTION("""COMPUTED_VALUE"""),"Fatal")</f>
        <v>Fatal</v>
      </c>
    </row>
    <row r="63" spans="1:8" ht="13">
      <c r="A63" s="5" t="str">
        <f ca="1">IFERROR(__xludf.DUMMYFUNCTION("""COMPUTED_VALUE"""),"20230131ILZIZ")</f>
        <v>20230131ILZIZ</v>
      </c>
      <c r="B63" s="5">
        <f ca="1">IFERROR(__xludf.DUMMYFUNCTION("""COMPUTED_VALUE"""),17)</f>
        <v>17</v>
      </c>
      <c r="C63" s="5" t="str">
        <f ca="1">IFERROR(__xludf.DUMMYFUNCTION("""COMPUTED_VALUE"""),"Male")</f>
        <v>Male</v>
      </c>
      <c r="D63" s="5"/>
      <c r="E63" s="5" t="str">
        <f ca="1">IFERROR(__xludf.DUMMYFUNCTION("""COMPUTED_VALUE"""),"Former Student")</f>
        <v>Former Student</v>
      </c>
      <c r="F63" s="5" t="str">
        <f ca="1">IFERROR(__xludf.DUMMYFUNCTION("""COMPUTED_VALUE"""),"Fled/Apprehended")</f>
        <v>Fled/Apprehended</v>
      </c>
      <c r="G63" s="5" t="str">
        <f ca="1">IFERROR(__xludf.DUMMYFUNCTION("""COMPUTED_VALUE"""),"No")</f>
        <v>No</v>
      </c>
      <c r="H63" s="5" t="str">
        <f ca="1">IFERROR(__xludf.DUMMYFUNCTION("""COMPUTED_VALUE"""),"None")</f>
        <v>None</v>
      </c>
    </row>
    <row r="64" spans="1:8" ht="13">
      <c r="A64" s="5" t="str">
        <f ca="1">IFERROR(__xludf.DUMMYFUNCTION("""COMPUTED_VALUE"""),"20230131OKGEG")</f>
        <v>20230131OKGEG</v>
      </c>
      <c r="B64" s="5" t="str">
        <f ca="1">IFERROR(__xludf.DUMMYFUNCTION("""COMPUTED_VALUE"""),"Adult")</f>
        <v>Adult</v>
      </c>
      <c r="C64" s="5" t="str">
        <f ca="1">IFERROR(__xludf.DUMMYFUNCTION("""COMPUTED_VALUE"""),"Male")</f>
        <v>Male</v>
      </c>
      <c r="D64" s="5"/>
      <c r="E64" s="5" t="str">
        <f ca="1">IFERROR(__xludf.DUMMYFUNCTION("""COMPUTED_VALUE"""),"Parent")</f>
        <v>Parent</v>
      </c>
      <c r="F64" s="5" t="str">
        <f ca="1">IFERROR(__xludf.DUMMYFUNCTION("""COMPUTED_VALUE"""),"Surrendered")</f>
        <v>Surrendered</v>
      </c>
      <c r="G64" s="5" t="str">
        <f ca="1">IFERROR(__xludf.DUMMYFUNCTION("""COMPUTED_VALUE"""),"No")</f>
        <v>No</v>
      </c>
      <c r="H64" s="5" t="str">
        <f ca="1">IFERROR(__xludf.DUMMYFUNCTION("""COMPUTED_VALUE"""),"None")</f>
        <v>None</v>
      </c>
    </row>
    <row r="65" spans="1:8" ht="13">
      <c r="A65" s="5" t="str">
        <f ca="1">IFERROR(__xludf.DUMMYFUNCTION("""COMPUTED_VALUE"""),"20230130ALHOM")</f>
        <v>20230130ALHOM</v>
      </c>
      <c r="B65" s="5"/>
      <c r="C65" s="5"/>
      <c r="D65" s="5"/>
      <c r="E65" s="5"/>
      <c r="F65" s="5" t="str">
        <f ca="1">IFERROR(__xludf.DUMMYFUNCTION("""COMPUTED_VALUE"""),"Fled/Escaped")</f>
        <v>Fled/Escaped</v>
      </c>
      <c r="G65" s="5" t="str">
        <f ca="1">IFERROR(__xludf.DUMMYFUNCTION("""COMPUTED_VALUE"""),"No")</f>
        <v>No</v>
      </c>
      <c r="H65" s="5" t="str">
        <f ca="1">IFERROR(__xludf.DUMMYFUNCTION("""COMPUTED_VALUE"""),"None")</f>
        <v>None</v>
      </c>
    </row>
    <row r="66" spans="1:8" ht="13">
      <c r="A66" s="5" t="str">
        <f ca="1">IFERROR(__xludf.DUMMYFUNCTION("""COMPUTED_VALUE"""),"20230130DCCOW")</f>
        <v>20230130DCCOW</v>
      </c>
      <c r="B66" s="5"/>
      <c r="C66" s="5"/>
      <c r="D66" s="5"/>
      <c r="E66" s="5"/>
      <c r="F66" s="5" t="str">
        <f ca="1">IFERROR(__xludf.DUMMYFUNCTION("""COMPUTED_VALUE"""),"Fled/Escaped")</f>
        <v>Fled/Escaped</v>
      </c>
      <c r="G66" s="5" t="str">
        <f ca="1">IFERROR(__xludf.DUMMYFUNCTION("""COMPUTED_VALUE"""),"No")</f>
        <v>No</v>
      </c>
      <c r="H66" s="5" t="str">
        <f ca="1">IFERROR(__xludf.DUMMYFUNCTION("""COMPUTED_VALUE"""),"None")</f>
        <v>None</v>
      </c>
    </row>
    <row r="67" spans="1:8" ht="13">
      <c r="A67" s="5" t="str">
        <f ca="1">IFERROR(__xludf.DUMMYFUNCTION("""COMPUTED_VALUE"""),"20230130AZGIY")</f>
        <v>20230130AZGIY</v>
      </c>
      <c r="B67" s="5">
        <f ca="1">IFERROR(__xludf.DUMMYFUNCTION("""COMPUTED_VALUE"""),16)</f>
        <v>16</v>
      </c>
      <c r="C67" s="5" t="str">
        <f ca="1">IFERROR(__xludf.DUMMYFUNCTION("""COMPUTED_VALUE"""),"Male")</f>
        <v>Male</v>
      </c>
      <c r="D67" s="5"/>
      <c r="E67" s="5" t="str">
        <f ca="1">IFERROR(__xludf.DUMMYFUNCTION("""COMPUTED_VALUE"""),"Student")</f>
        <v>Student</v>
      </c>
      <c r="F67" s="5" t="str">
        <f ca="1">IFERROR(__xludf.DUMMYFUNCTION("""COMPUTED_VALUE"""),"Fled/Apprehended")</f>
        <v>Fled/Apprehended</v>
      </c>
      <c r="G67" s="5" t="str">
        <f ca="1">IFERROR(__xludf.DUMMYFUNCTION("""COMPUTED_VALUE"""),"No")</f>
        <v>No</v>
      </c>
      <c r="H67" s="5" t="str">
        <f ca="1">IFERROR(__xludf.DUMMYFUNCTION("""COMPUTED_VALUE"""),"None")</f>
        <v>None</v>
      </c>
    </row>
    <row r="68" spans="1:8" ht="13">
      <c r="A68" s="5" t="str">
        <f ca="1">IFERROR(__xludf.DUMMYFUNCTION("""COMPUTED_VALUE"""),"20230128MOGLS")</f>
        <v>20230128MOGLS</v>
      </c>
      <c r="B68" s="5">
        <f ca="1">IFERROR(__xludf.DUMMYFUNCTION("""COMPUTED_VALUE"""),20)</f>
        <v>20</v>
      </c>
      <c r="C68" s="5" t="str">
        <f ca="1">IFERROR(__xludf.DUMMYFUNCTION("""COMPUTED_VALUE"""),"Male")</f>
        <v>Male</v>
      </c>
      <c r="D68" s="5"/>
      <c r="E68" s="5" t="str">
        <f ca="1">IFERROR(__xludf.DUMMYFUNCTION("""COMPUTED_VALUE"""),"No Relation")</f>
        <v>No Relation</v>
      </c>
      <c r="F68" s="5" t="str">
        <f ca="1">IFERROR(__xludf.DUMMYFUNCTION("""COMPUTED_VALUE"""),"Fled/Apprehended")</f>
        <v>Fled/Apprehended</v>
      </c>
      <c r="G68" s="5" t="str">
        <f ca="1">IFERROR(__xludf.DUMMYFUNCTION("""COMPUTED_VALUE"""),"No")</f>
        <v>No</v>
      </c>
      <c r="H68" s="5" t="str">
        <f ca="1">IFERROR(__xludf.DUMMYFUNCTION("""COMPUTED_VALUE"""),"None")</f>
        <v>None</v>
      </c>
    </row>
    <row r="69" spans="1:8" ht="13">
      <c r="A69" s="5" t="str">
        <f ca="1">IFERROR(__xludf.DUMMYFUNCTION("""COMPUTED_VALUE"""),"20230127NJHOW")</f>
        <v>20230127NJHOW</v>
      </c>
      <c r="B69" s="5">
        <f ca="1">IFERROR(__xludf.DUMMYFUNCTION("""COMPUTED_VALUE"""),15)</f>
        <v>15</v>
      </c>
      <c r="C69" s="5" t="str">
        <f ca="1">IFERROR(__xludf.DUMMYFUNCTION("""COMPUTED_VALUE"""),"Male")</f>
        <v>Male</v>
      </c>
      <c r="D69" s="5"/>
      <c r="E69" s="5" t="str">
        <f ca="1">IFERROR(__xludf.DUMMYFUNCTION("""COMPUTED_VALUE"""),"Nonstudent")</f>
        <v>Nonstudent</v>
      </c>
      <c r="F69" s="5" t="str">
        <f ca="1">IFERROR(__xludf.DUMMYFUNCTION("""COMPUTED_VALUE"""),"Apprehended/Killed by LE")</f>
        <v>Apprehended/Killed by LE</v>
      </c>
      <c r="G69" s="5" t="str">
        <f ca="1">IFERROR(__xludf.DUMMYFUNCTION("""COMPUTED_VALUE"""),"No")</f>
        <v>No</v>
      </c>
      <c r="H69" s="5" t="str">
        <f ca="1">IFERROR(__xludf.DUMMYFUNCTION("""COMPUTED_VALUE"""),"None")</f>
        <v>None</v>
      </c>
    </row>
    <row r="70" spans="1:8" ht="13">
      <c r="A70" s="5" t="str">
        <f ca="1">IFERROR(__xludf.DUMMYFUNCTION("""COMPUTED_VALUE"""),"20230126UTTAT")</f>
        <v>20230126UTTAT</v>
      </c>
      <c r="B70" s="5" t="str">
        <f ca="1">IFERROR(__xludf.DUMMYFUNCTION("""COMPUTED_VALUE"""),"Teen")</f>
        <v>Teen</v>
      </c>
      <c r="C70" s="5" t="str">
        <f ca="1">IFERROR(__xludf.DUMMYFUNCTION("""COMPUTED_VALUE"""),"Male")</f>
        <v>Male</v>
      </c>
      <c r="D70" s="5"/>
      <c r="E70" s="5" t="str">
        <f ca="1">IFERROR(__xludf.DUMMYFUNCTION("""COMPUTED_VALUE"""),"Student")</f>
        <v>Student</v>
      </c>
      <c r="F70" s="5" t="str">
        <f ca="1">IFERROR(__xludf.DUMMYFUNCTION("""COMPUTED_VALUE"""),"Fled/Escaped")</f>
        <v>Fled/Escaped</v>
      </c>
      <c r="G70" s="5" t="str">
        <f ca="1">IFERROR(__xludf.DUMMYFUNCTION("""COMPUTED_VALUE"""),"No")</f>
        <v>No</v>
      </c>
      <c r="H70" s="5" t="str">
        <f ca="1">IFERROR(__xludf.DUMMYFUNCTION("""COMPUTED_VALUE"""),"None")</f>
        <v>None</v>
      </c>
    </row>
    <row r="71" spans="1:8" ht="13">
      <c r="A71" s="5" t="str">
        <f ca="1">IFERROR(__xludf.DUMMYFUNCTION("""COMPUTED_VALUE"""),"20230125OHTOT")</f>
        <v>20230125OHTOT</v>
      </c>
      <c r="B71" s="5"/>
      <c r="C71" s="5"/>
      <c r="D71" s="5"/>
      <c r="E71" s="5" t="str">
        <f ca="1">IFERROR(__xludf.DUMMYFUNCTION("""COMPUTED_VALUE"""),"No Relation")</f>
        <v>No Relation</v>
      </c>
      <c r="F71" s="5" t="str">
        <f ca="1">IFERROR(__xludf.DUMMYFUNCTION("""COMPUTED_VALUE"""),"Fled/Escaped")</f>
        <v>Fled/Escaped</v>
      </c>
      <c r="G71" s="5" t="str">
        <f ca="1">IFERROR(__xludf.DUMMYFUNCTION("""COMPUTED_VALUE"""),"No")</f>
        <v>No</v>
      </c>
      <c r="H71" s="5" t="str">
        <f ca="1">IFERROR(__xludf.DUMMYFUNCTION("""COMPUTED_VALUE"""),"None")</f>
        <v>None</v>
      </c>
    </row>
    <row r="72" spans="1:8" ht="13">
      <c r="A72" s="5" t="str">
        <f ca="1">IFERROR(__xludf.DUMMYFUNCTION("""COMPUTED_VALUE"""),"20230124MOTHK")</f>
        <v>20230124MOTHK</v>
      </c>
      <c r="B72" s="5"/>
      <c r="C72" s="5"/>
      <c r="D72" s="5"/>
      <c r="E72" s="5"/>
      <c r="F72" s="5" t="str">
        <f ca="1">IFERROR(__xludf.DUMMYFUNCTION("""COMPUTED_VALUE"""),"Fled/Escaped")</f>
        <v>Fled/Escaped</v>
      </c>
      <c r="G72" s="5" t="str">
        <f ca="1">IFERROR(__xludf.DUMMYFUNCTION("""COMPUTED_VALUE"""),"No")</f>
        <v>No</v>
      </c>
      <c r="H72" s="5" t="str">
        <f ca="1">IFERROR(__xludf.DUMMYFUNCTION("""COMPUTED_VALUE"""),"None")</f>
        <v>None</v>
      </c>
    </row>
    <row r="73" spans="1:8" ht="13">
      <c r="A73" s="5" t="str">
        <f ca="1">IFERROR(__xludf.DUMMYFUNCTION("""COMPUTED_VALUE"""),"20230123TXABA")</f>
        <v>20230123TXABA</v>
      </c>
      <c r="B73" s="5" t="str">
        <f ca="1">IFERROR(__xludf.DUMMYFUNCTION("""COMPUTED_VALUE"""),"Teen")</f>
        <v>Teen</v>
      </c>
      <c r="C73" s="5"/>
      <c r="D73" s="5"/>
      <c r="E73" s="5" t="str">
        <f ca="1">IFERROR(__xludf.DUMMYFUNCTION("""COMPUTED_VALUE"""),"Student")</f>
        <v>Student</v>
      </c>
      <c r="F73" s="5" t="str">
        <f ca="1">IFERROR(__xludf.DUMMYFUNCTION("""COMPUTED_VALUE"""),"Fled/Apprehended")</f>
        <v>Fled/Apprehended</v>
      </c>
      <c r="G73" s="5" t="str">
        <f ca="1">IFERROR(__xludf.DUMMYFUNCTION("""COMPUTED_VALUE"""),"No")</f>
        <v>No</v>
      </c>
      <c r="H73" s="5" t="str">
        <f ca="1">IFERROR(__xludf.DUMMYFUNCTION("""COMPUTED_VALUE"""),"None")</f>
        <v>None</v>
      </c>
    </row>
    <row r="74" spans="1:8" ht="13">
      <c r="A74" s="5" t="str">
        <f ca="1">IFERROR(__xludf.DUMMYFUNCTION("""COMPUTED_VALUE"""),"20230123IASTD")</f>
        <v>20230123IASTD</v>
      </c>
      <c r="B74" s="5">
        <f ca="1">IFERROR(__xludf.DUMMYFUNCTION("""COMPUTED_VALUE"""),18)</f>
        <v>18</v>
      </c>
      <c r="C74" s="5" t="str">
        <f ca="1">IFERROR(__xludf.DUMMYFUNCTION("""COMPUTED_VALUE"""),"Male")</f>
        <v>Male</v>
      </c>
      <c r="D74" s="5" t="str">
        <f ca="1">IFERROR(__xludf.DUMMYFUNCTION("""COMPUTED_VALUE"""),"Black")</f>
        <v>Black</v>
      </c>
      <c r="E74" s="5" t="str">
        <f ca="1">IFERROR(__xludf.DUMMYFUNCTION("""COMPUTED_VALUE"""),"Student")</f>
        <v>Student</v>
      </c>
      <c r="F74" s="5" t="str">
        <f ca="1">IFERROR(__xludf.DUMMYFUNCTION("""COMPUTED_VALUE"""),"Fled/Apprehended")</f>
        <v>Fled/Apprehended</v>
      </c>
      <c r="G74" s="5" t="str">
        <f ca="1">IFERROR(__xludf.DUMMYFUNCTION("""COMPUTED_VALUE"""),"No")</f>
        <v>No</v>
      </c>
      <c r="H74" s="5" t="str">
        <f ca="1">IFERROR(__xludf.DUMMYFUNCTION("""COMPUTED_VALUE"""),"None")</f>
        <v>None</v>
      </c>
    </row>
    <row r="75" spans="1:8" ht="13">
      <c r="A75" s="5" t="str">
        <f ca="1">IFERROR(__xludf.DUMMYFUNCTION("""COMPUTED_VALUE"""),"20230122WAMOT")</f>
        <v>20230122WAMOT</v>
      </c>
      <c r="B75" s="5" t="str">
        <f ca="1">IFERROR(__xludf.DUMMYFUNCTION("""COMPUTED_VALUE"""),"Adult")</f>
        <v>Adult</v>
      </c>
      <c r="C75" s="5"/>
      <c r="D75" s="5"/>
      <c r="E75" s="5" t="str">
        <f ca="1">IFERROR(__xludf.DUMMYFUNCTION("""COMPUTED_VALUE"""),"No Relation")</f>
        <v>No Relation</v>
      </c>
      <c r="F75" s="5" t="str">
        <f ca="1">IFERROR(__xludf.DUMMYFUNCTION("""COMPUTED_VALUE"""),"Fled/Escaped")</f>
        <v>Fled/Escaped</v>
      </c>
      <c r="G75" s="5" t="str">
        <f ca="1">IFERROR(__xludf.DUMMYFUNCTION("""COMPUTED_VALUE"""),"No")</f>
        <v>No</v>
      </c>
      <c r="H75" s="5" t="str">
        <f ca="1">IFERROR(__xludf.DUMMYFUNCTION("""COMPUTED_VALUE"""),"None")</f>
        <v>None</v>
      </c>
    </row>
    <row r="76" spans="1:8" ht="13">
      <c r="A76" s="5" t="str">
        <f ca="1">IFERROR(__xludf.DUMMYFUNCTION("""COMPUTED_VALUE"""),"20230121FLGLB")</f>
        <v>20230121FLGLB</v>
      </c>
      <c r="B76" s="5">
        <f ca="1">IFERROR(__xludf.DUMMYFUNCTION("""COMPUTED_VALUE"""),23)</f>
        <v>23</v>
      </c>
      <c r="C76" s="5" t="str">
        <f ca="1">IFERROR(__xludf.DUMMYFUNCTION("""COMPUTED_VALUE"""),"Male")</f>
        <v>Male</v>
      </c>
      <c r="D76" s="5" t="str">
        <f ca="1">IFERROR(__xludf.DUMMYFUNCTION("""COMPUTED_VALUE"""),"Black")</f>
        <v>Black</v>
      </c>
      <c r="E76" s="5" t="str">
        <f ca="1">IFERROR(__xludf.DUMMYFUNCTION("""COMPUTED_VALUE"""),"No Relation")</f>
        <v>No Relation</v>
      </c>
      <c r="F76" s="5" t="str">
        <f ca="1">IFERROR(__xludf.DUMMYFUNCTION("""COMPUTED_VALUE"""),"Apprehended/Killed by LE")</f>
        <v>Apprehended/Killed by LE</v>
      </c>
      <c r="G76" s="5" t="str">
        <f ca="1">IFERROR(__xludf.DUMMYFUNCTION("""COMPUTED_VALUE"""),"No")</f>
        <v>No</v>
      </c>
      <c r="H76" s="5" t="str">
        <f ca="1">IFERROR(__xludf.DUMMYFUNCTION("""COMPUTED_VALUE"""),"None")</f>
        <v>None</v>
      </c>
    </row>
    <row r="77" spans="1:8" ht="13">
      <c r="A77" s="5" t="str">
        <f ca="1">IFERROR(__xludf.DUMMYFUNCTION("""COMPUTED_VALUE"""),"20230120MNWAS")</f>
        <v>20230120MNWAS</v>
      </c>
      <c r="B77" s="5" t="str">
        <f ca="1">IFERROR(__xludf.DUMMYFUNCTION("""COMPUTED_VALUE"""),"Teen")</f>
        <v>Teen</v>
      </c>
      <c r="C77" s="5" t="str">
        <f ca="1">IFERROR(__xludf.DUMMYFUNCTION("""COMPUTED_VALUE"""),"Male")</f>
        <v>Male</v>
      </c>
      <c r="D77" s="5"/>
      <c r="E77" s="5" t="str">
        <f ca="1">IFERROR(__xludf.DUMMYFUNCTION("""COMPUTED_VALUE"""),"Student")</f>
        <v>Student</v>
      </c>
      <c r="F77" s="5" t="str">
        <f ca="1">IFERROR(__xludf.DUMMYFUNCTION("""COMPUTED_VALUE"""),"Fled/Escaped")</f>
        <v>Fled/Escaped</v>
      </c>
      <c r="G77" s="5" t="str">
        <f ca="1">IFERROR(__xludf.DUMMYFUNCTION("""COMPUTED_VALUE"""),"No")</f>
        <v>No</v>
      </c>
      <c r="H77" s="5" t="str">
        <f ca="1">IFERROR(__xludf.DUMMYFUNCTION("""COMPUTED_VALUE"""),"None")</f>
        <v>None</v>
      </c>
    </row>
    <row r="78" spans="1:8" ht="13">
      <c r="A78" s="5" t="str">
        <f ca="1">IFERROR(__xludf.DUMMYFUNCTION("""COMPUTED_VALUE"""),"20230119NYEAB")</f>
        <v>20230119NYEAB</v>
      </c>
      <c r="B78" s="5">
        <f ca="1">IFERROR(__xludf.DUMMYFUNCTION("""COMPUTED_VALUE"""),17)</f>
        <v>17</v>
      </c>
      <c r="C78" s="5" t="str">
        <f ca="1">IFERROR(__xludf.DUMMYFUNCTION("""COMPUTED_VALUE"""),"Male")</f>
        <v>Male</v>
      </c>
      <c r="D78" s="5"/>
      <c r="E78" s="5" t="str">
        <f ca="1">IFERROR(__xludf.DUMMYFUNCTION("""COMPUTED_VALUE"""),"Student")</f>
        <v>Student</v>
      </c>
      <c r="F78" s="5" t="str">
        <f ca="1">IFERROR(__xludf.DUMMYFUNCTION("""COMPUTED_VALUE"""),"Fled/Apprehended")</f>
        <v>Fled/Apprehended</v>
      </c>
      <c r="G78" s="5" t="str">
        <f ca="1">IFERROR(__xludf.DUMMYFUNCTION("""COMPUTED_VALUE"""),"No")</f>
        <v>No</v>
      </c>
      <c r="H78" s="5" t="str">
        <f ca="1">IFERROR(__xludf.DUMMYFUNCTION("""COMPUTED_VALUE"""),"None")</f>
        <v>None</v>
      </c>
    </row>
    <row r="79" spans="1:8" ht="13">
      <c r="A79" s="5" t="str">
        <f ca="1">IFERROR(__xludf.DUMMYFUNCTION("""COMPUTED_VALUE"""),"20230118NYCAQ")</f>
        <v>20230118NYCAQ</v>
      </c>
      <c r="B79" s="5">
        <f ca="1">IFERROR(__xludf.DUMMYFUNCTION("""COMPUTED_VALUE"""),13)</f>
        <v>13</v>
      </c>
      <c r="C79" s="5" t="str">
        <f ca="1">IFERROR(__xludf.DUMMYFUNCTION("""COMPUTED_VALUE"""),"Male")</f>
        <v>Male</v>
      </c>
      <c r="D79" s="5"/>
      <c r="E79" s="5" t="str">
        <f ca="1">IFERROR(__xludf.DUMMYFUNCTION("""COMPUTED_VALUE"""),"Student")</f>
        <v>Student</v>
      </c>
      <c r="F79" s="5" t="str">
        <f ca="1">IFERROR(__xludf.DUMMYFUNCTION("""COMPUTED_VALUE"""),"Fled/Apprehended")</f>
        <v>Fled/Apprehended</v>
      </c>
      <c r="G79" s="5" t="str">
        <f ca="1">IFERROR(__xludf.DUMMYFUNCTION("""COMPUTED_VALUE"""),"No")</f>
        <v>No</v>
      </c>
      <c r="H79" s="5" t="str">
        <f ca="1">IFERROR(__xludf.DUMMYFUNCTION("""COMPUTED_VALUE"""),"None")</f>
        <v>None</v>
      </c>
    </row>
    <row r="80" spans="1:8" ht="13">
      <c r="A80" s="5" t="str">
        <f ca="1">IFERROR(__xludf.DUMMYFUNCTION("""COMPUTED_VALUE"""),"20230118OKDED")</f>
        <v>20230118OKDED</v>
      </c>
      <c r="B80" s="5">
        <f ca="1">IFERROR(__xludf.DUMMYFUNCTION("""COMPUTED_VALUE"""),18)</f>
        <v>18</v>
      </c>
      <c r="C80" s="5" t="str">
        <f ca="1">IFERROR(__xludf.DUMMYFUNCTION("""COMPUTED_VALUE"""),"Male")</f>
        <v>Male</v>
      </c>
      <c r="D80" s="5"/>
      <c r="E80" s="5" t="str">
        <f ca="1">IFERROR(__xludf.DUMMYFUNCTION("""COMPUTED_VALUE"""),"Nonstudent Using Athletic Facilities/Attending Game")</f>
        <v>Nonstudent Using Athletic Facilities/Attending Game</v>
      </c>
      <c r="F80" s="5" t="str">
        <f ca="1">IFERROR(__xludf.DUMMYFUNCTION("""COMPUTED_VALUE"""),"Fled/Apprehended")</f>
        <v>Fled/Apprehended</v>
      </c>
      <c r="G80" s="5" t="str">
        <f ca="1">IFERROR(__xludf.DUMMYFUNCTION("""COMPUTED_VALUE"""),"No")</f>
        <v>No</v>
      </c>
      <c r="H80" s="5" t="str">
        <f ca="1">IFERROR(__xludf.DUMMYFUNCTION("""COMPUTED_VALUE"""),"None")</f>
        <v>None</v>
      </c>
    </row>
    <row r="81" spans="1:8" ht="13">
      <c r="A81" s="5" t="str">
        <f ca="1">IFERROR(__xludf.DUMMYFUNCTION("""COMPUTED_VALUE"""),"20230117FLMAB")</f>
        <v>20230117FLMAB</v>
      </c>
      <c r="B81" s="5">
        <f ca="1">IFERROR(__xludf.DUMMYFUNCTION("""COMPUTED_VALUE"""),17)</f>
        <v>17</v>
      </c>
      <c r="C81" s="5" t="str">
        <f ca="1">IFERROR(__xludf.DUMMYFUNCTION("""COMPUTED_VALUE"""),"Male")</f>
        <v>Male</v>
      </c>
      <c r="D81" s="5"/>
      <c r="E81" s="5" t="str">
        <f ca="1">IFERROR(__xludf.DUMMYFUNCTION("""COMPUTED_VALUE"""),"Student")</f>
        <v>Student</v>
      </c>
      <c r="F81" s="5" t="str">
        <f ca="1">IFERROR(__xludf.DUMMYFUNCTION("""COMPUTED_VALUE"""),"Fled/Apprehended")</f>
        <v>Fled/Apprehended</v>
      </c>
      <c r="G81" s="5" t="str">
        <f ca="1">IFERROR(__xludf.DUMMYFUNCTION("""COMPUTED_VALUE"""),"No")</f>
        <v>No</v>
      </c>
      <c r="H81" s="5" t="str">
        <f ca="1">IFERROR(__xludf.DUMMYFUNCTION("""COMPUTED_VALUE"""),"None")</f>
        <v>None</v>
      </c>
    </row>
    <row r="82" spans="1:8" ht="13">
      <c r="A82" s="5" t="str">
        <f ca="1">IFERROR(__xludf.DUMMYFUNCTION("""COMPUTED_VALUE"""),"20230117FLMAB")</f>
        <v>20230117FLMAB</v>
      </c>
      <c r="B82" s="5">
        <f ca="1">IFERROR(__xludf.DUMMYFUNCTION("""COMPUTED_VALUE"""),11)</f>
        <v>11</v>
      </c>
      <c r="C82" s="5" t="str">
        <f ca="1">IFERROR(__xludf.DUMMYFUNCTION("""COMPUTED_VALUE"""),"Male")</f>
        <v>Male</v>
      </c>
      <c r="D82" s="5"/>
      <c r="E82" s="5" t="str">
        <f ca="1">IFERROR(__xludf.DUMMYFUNCTION("""COMPUTED_VALUE"""),"Student")</f>
        <v>Student</v>
      </c>
      <c r="F82" s="5" t="str">
        <f ca="1">IFERROR(__xludf.DUMMYFUNCTION("""COMPUTED_VALUE"""),"Fled/Apprehended")</f>
        <v>Fled/Apprehended</v>
      </c>
      <c r="G82" s="5" t="str">
        <f ca="1">IFERROR(__xludf.DUMMYFUNCTION("""COMPUTED_VALUE"""),"No")</f>
        <v>No</v>
      </c>
      <c r="H82" s="5" t="str">
        <f ca="1">IFERROR(__xludf.DUMMYFUNCTION("""COMPUTED_VALUE"""),"None")</f>
        <v>None</v>
      </c>
    </row>
    <row r="83" spans="1:8" ht="13">
      <c r="A83" s="5" t="str">
        <f ca="1">IFERROR(__xludf.DUMMYFUNCTION("""COMPUTED_VALUE"""),"20230111VTSPV")</f>
        <v>20230111VTSPV</v>
      </c>
      <c r="B83" s="5">
        <f ca="1">IFERROR(__xludf.DUMMYFUNCTION("""COMPUTED_VALUE"""),14)</f>
        <v>14</v>
      </c>
      <c r="C83" s="5"/>
      <c r="D83" s="5"/>
      <c r="E83" s="5" t="str">
        <f ca="1">IFERROR(__xludf.DUMMYFUNCTION("""COMPUTED_VALUE"""),"Student")</f>
        <v>Student</v>
      </c>
      <c r="F83" s="5" t="str">
        <f ca="1">IFERROR(__xludf.DUMMYFUNCTION("""COMPUTED_VALUE"""),"Fled/Apprehended")</f>
        <v>Fled/Apprehended</v>
      </c>
      <c r="G83" s="5" t="str">
        <f ca="1">IFERROR(__xludf.DUMMYFUNCTION("""COMPUTED_VALUE"""),"No")</f>
        <v>No</v>
      </c>
      <c r="H83" s="5" t="str">
        <f ca="1">IFERROR(__xludf.DUMMYFUNCTION("""COMPUTED_VALUE"""),"None")</f>
        <v>None</v>
      </c>
    </row>
    <row r="84" spans="1:8" ht="13">
      <c r="A84" s="5" t="str">
        <f ca="1">IFERROR(__xludf.DUMMYFUNCTION("""COMPUTED_VALUE"""),"20230111VALAP")</f>
        <v>20230111VALAP</v>
      </c>
      <c r="B84" s="5"/>
      <c r="C84" s="5"/>
      <c r="D84" s="5"/>
      <c r="E84" s="5"/>
      <c r="F84" s="5" t="str">
        <f ca="1">IFERROR(__xludf.DUMMYFUNCTION("""COMPUTED_VALUE"""),"Fled/Escaped")</f>
        <v>Fled/Escaped</v>
      </c>
      <c r="G84" s="5" t="str">
        <f ca="1">IFERROR(__xludf.DUMMYFUNCTION("""COMPUTED_VALUE"""),"No")</f>
        <v>No</v>
      </c>
      <c r="H84" s="5" t="str">
        <f ca="1">IFERROR(__xludf.DUMMYFUNCTION("""COMPUTED_VALUE"""),"None")</f>
        <v>None</v>
      </c>
    </row>
    <row r="85" spans="1:8" ht="13">
      <c r="A85" s="5" t="str">
        <f ca="1">IFERROR(__xludf.DUMMYFUNCTION("""COMPUTED_VALUE"""),"20230110UTWES")</f>
        <v>20230110UTWES</v>
      </c>
      <c r="B85" s="5"/>
      <c r="C85" s="5"/>
      <c r="D85" s="5"/>
      <c r="E85" s="5"/>
      <c r="F85" s="5" t="str">
        <f ca="1">IFERROR(__xludf.DUMMYFUNCTION("""COMPUTED_VALUE"""),"Fled/Escaped")</f>
        <v>Fled/Escaped</v>
      </c>
      <c r="G85" s="5" t="str">
        <f ca="1">IFERROR(__xludf.DUMMYFUNCTION("""COMPUTED_VALUE"""),"No")</f>
        <v>No</v>
      </c>
      <c r="H85" s="5" t="str">
        <f ca="1">IFERROR(__xludf.DUMMYFUNCTION("""COMPUTED_VALUE"""),"None")</f>
        <v>None</v>
      </c>
    </row>
    <row r="86" spans="1:8" ht="13">
      <c r="A86" s="5" t="str">
        <f ca="1">IFERROR(__xludf.DUMMYFUNCTION("""COMPUTED_VALUE"""),"20230110KYSAS")</f>
        <v>20230110KYSAS</v>
      </c>
      <c r="B86" s="5" t="str">
        <f ca="1">IFERROR(__xludf.DUMMYFUNCTION("""COMPUTED_VALUE"""),"Adult")</f>
        <v>Adult</v>
      </c>
      <c r="C86" s="5"/>
      <c r="D86" s="5"/>
      <c r="E86" s="5" t="str">
        <f ca="1">IFERROR(__xludf.DUMMYFUNCTION("""COMPUTED_VALUE"""),"Other Staff")</f>
        <v>Other Staff</v>
      </c>
      <c r="F86" s="5" t="str">
        <f ca="1">IFERROR(__xludf.DUMMYFUNCTION("""COMPUTED_VALUE"""),"Fled/Apprehended")</f>
        <v>Fled/Apprehended</v>
      </c>
      <c r="G86" s="5" t="str">
        <f ca="1">IFERROR(__xludf.DUMMYFUNCTION("""COMPUTED_VALUE"""),"No")</f>
        <v>No</v>
      </c>
      <c r="H86" s="5" t="str">
        <f ca="1">IFERROR(__xludf.DUMMYFUNCTION("""COMPUTED_VALUE"""),"Wounded")</f>
        <v>Wounded</v>
      </c>
    </row>
    <row r="87" spans="1:8" ht="13">
      <c r="A87" s="5" t="str">
        <f ca="1">IFERROR(__xludf.DUMMYFUNCTION("""COMPUTED_VALUE"""),"20230110DEWIN")</f>
        <v>20230110DEWIN</v>
      </c>
      <c r="B87" s="5">
        <f ca="1">IFERROR(__xludf.DUMMYFUNCTION("""COMPUTED_VALUE"""),16)</f>
        <v>16</v>
      </c>
      <c r="C87" s="5" t="str">
        <f ca="1">IFERROR(__xludf.DUMMYFUNCTION("""COMPUTED_VALUE"""),"Male")</f>
        <v>Male</v>
      </c>
      <c r="D87" s="5"/>
      <c r="E87" s="5" t="str">
        <f ca="1">IFERROR(__xludf.DUMMYFUNCTION("""COMPUTED_VALUE"""),"Student")</f>
        <v>Student</v>
      </c>
      <c r="F87" s="5" t="str">
        <f ca="1">IFERROR(__xludf.DUMMYFUNCTION("""COMPUTED_VALUE"""),"Fled/Apprehended")</f>
        <v>Fled/Apprehended</v>
      </c>
      <c r="G87" s="5" t="str">
        <f ca="1">IFERROR(__xludf.DUMMYFUNCTION("""COMPUTED_VALUE"""),"No")</f>
        <v>No</v>
      </c>
      <c r="H87" s="5" t="str">
        <f ca="1">IFERROR(__xludf.DUMMYFUNCTION("""COMPUTED_VALUE"""),"None")</f>
        <v>None</v>
      </c>
    </row>
    <row r="88" spans="1:8" ht="13">
      <c r="A88" s="5" t="str">
        <f ca="1">IFERROR(__xludf.DUMMYFUNCTION("""COMPUTED_VALUE"""),"20230110OHJOC")</f>
        <v>20230110OHJOC</v>
      </c>
      <c r="B88" s="5"/>
      <c r="C88" s="5"/>
      <c r="D88" s="5"/>
      <c r="E88" s="5"/>
      <c r="F88" s="5" t="str">
        <f ca="1">IFERROR(__xludf.DUMMYFUNCTION("""COMPUTED_VALUE"""),"Fled/Escaped")</f>
        <v>Fled/Escaped</v>
      </c>
      <c r="G88" s="5" t="str">
        <f ca="1">IFERROR(__xludf.DUMMYFUNCTION("""COMPUTED_VALUE"""),"No")</f>
        <v>No</v>
      </c>
      <c r="H88" s="5" t="str">
        <f ca="1">IFERROR(__xludf.DUMMYFUNCTION("""COMPUTED_VALUE"""),"None")</f>
        <v>None</v>
      </c>
    </row>
    <row r="89" spans="1:8" ht="13">
      <c r="A89" s="5" t="str">
        <f ca="1">IFERROR(__xludf.DUMMYFUNCTION("""COMPUTED_VALUE"""),"20230110LABON")</f>
        <v>20230110LABON</v>
      </c>
      <c r="B89" s="5"/>
      <c r="C89" s="5"/>
      <c r="D89" s="5"/>
      <c r="E89" s="5"/>
      <c r="F89" s="5" t="str">
        <f ca="1">IFERROR(__xludf.DUMMYFUNCTION("""COMPUTED_VALUE"""),"Fled/Escaped")</f>
        <v>Fled/Escaped</v>
      </c>
      <c r="G89" s="5" t="str">
        <f ca="1">IFERROR(__xludf.DUMMYFUNCTION("""COMPUTED_VALUE"""),"No")</f>
        <v>No</v>
      </c>
      <c r="H89" s="5" t="str">
        <f ca="1">IFERROR(__xludf.DUMMYFUNCTION("""COMPUTED_VALUE"""),"None")</f>
        <v>None</v>
      </c>
    </row>
    <row r="90" spans="1:8" ht="13">
      <c r="A90" s="5" t="str">
        <f ca="1">IFERROR(__xludf.DUMMYFUNCTION("""COMPUTED_VALUE"""),"20230109VAPRW")</f>
        <v>20230109VAPRW</v>
      </c>
      <c r="B90" s="5">
        <f ca="1">IFERROR(__xludf.DUMMYFUNCTION("""COMPUTED_VALUE"""),18)</f>
        <v>18</v>
      </c>
      <c r="C90" s="5" t="str">
        <f ca="1">IFERROR(__xludf.DUMMYFUNCTION("""COMPUTED_VALUE"""),"Male")</f>
        <v>Male</v>
      </c>
      <c r="D90" s="5"/>
      <c r="E90" s="5" t="str">
        <f ca="1">IFERROR(__xludf.DUMMYFUNCTION("""COMPUTED_VALUE"""),"No Relation")</f>
        <v>No Relation</v>
      </c>
      <c r="F90" s="5" t="str">
        <f ca="1">IFERROR(__xludf.DUMMYFUNCTION("""COMPUTED_VALUE"""),"Fled/Apprehended")</f>
        <v>Fled/Apprehended</v>
      </c>
      <c r="G90" s="5" t="str">
        <f ca="1">IFERROR(__xludf.DUMMYFUNCTION("""COMPUTED_VALUE"""),"No")</f>
        <v>No</v>
      </c>
      <c r="H90" s="5" t="str">
        <f ca="1">IFERROR(__xludf.DUMMYFUNCTION("""COMPUTED_VALUE"""),"None")</f>
        <v>None</v>
      </c>
    </row>
    <row r="91" spans="1:8" ht="13">
      <c r="A91" s="5" t="str">
        <f ca="1">IFERROR(__xludf.DUMMYFUNCTION("""COMPUTED_VALUE"""),"20230107ORFRP")</f>
        <v>20230107ORFRP</v>
      </c>
      <c r="B91" s="5">
        <f ca="1">IFERROR(__xludf.DUMMYFUNCTION("""COMPUTED_VALUE"""),15)</f>
        <v>15</v>
      </c>
      <c r="C91" s="5" t="str">
        <f ca="1">IFERROR(__xludf.DUMMYFUNCTION("""COMPUTED_VALUE"""),"Male")</f>
        <v>Male</v>
      </c>
      <c r="D91" s="5"/>
      <c r="E91" s="5" t="str">
        <f ca="1">IFERROR(__xludf.DUMMYFUNCTION("""COMPUTED_VALUE"""),"Student")</f>
        <v>Student</v>
      </c>
      <c r="F91" s="5" t="str">
        <f ca="1">IFERROR(__xludf.DUMMYFUNCTION("""COMPUTED_VALUE"""),"Fled/Apprehended")</f>
        <v>Fled/Apprehended</v>
      </c>
      <c r="G91" s="5" t="str">
        <f ca="1">IFERROR(__xludf.DUMMYFUNCTION("""COMPUTED_VALUE"""),"No")</f>
        <v>No</v>
      </c>
      <c r="H91" s="5" t="str">
        <f ca="1">IFERROR(__xludf.DUMMYFUNCTION("""COMPUTED_VALUE"""),"None")</f>
        <v>None</v>
      </c>
    </row>
    <row r="92" spans="1:8" ht="13">
      <c r="A92" s="5" t="str">
        <f ca="1">IFERROR(__xludf.DUMMYFUNCTION("""COMPUTED_VALUE"""),"20230106MDBEB")</f>
        <v>20230106MDBEB</v>
      </c>
      <c r="B92" s="5">
        <f ca="1">IFERROR(__xludf.DUMMYFUNCTION("""COMPUTED_VALUE"""),16)</f>
        <v>16</v>
      </c>
      <c r="C92" s="5" t="str">
        <f ca="1">IFERROR(__xludf.DUMMYFUNCTION("""COMPUTED_VALUE"""),"Male")</f>
        <v>Male</v>
      </c>
      <c r="D92" s="5"/>
      <c r="E92" s="5" t="str">
        <f ca="1">IFERROR(__xludf.DUMMYFUNCTION("""COMPUTED_VALUE"""),"Student")</f>
        <v>Student</v>
      </c>
      <c r="F92" s="5" t="str">
        <f ca="1">IFERROR(__xludf.DUMMYFUNCTION("""COMPUTED_VALUE"""),"Fled/Apprehended")</f>
        <v>Fled/Apprehended</v>
      </c>
      <c r="G92" s="5" t="str">
        <f ca="1">IFERROR(__xludf.DUMMYFUNCTION("""COMPUTED_VALUE"""),"No")</f>
        <v>No</v>
      </c>
      <c r="H92" s="5" t="str">
        <f ca="1">IFERROR(__xludf.DUMMYFUNCTION("""COMPUTED_VALUE"""),"None")</f>
        <v>None</v>
      </c>
    </row>
    <row r="93" spans="1:8" ht="13">
      <c r="A93" s="5" t="str">
        <f ca="1">IFERROR(__xludf.DUMMYFUNCTION("""COMPUTED_VALUE"""),"20230106MDBEB")</f>
        <v>20230106MDBEB</v>
      </c>
      <c r="B93" s="5">
        <f ca="1">IFERROR(__xludf.DUMMYFUNCTION("""COMPUTED_VALUE"""),17)</f>
        <v>17</v>
      </c>
      <c r="C93" s="5" t="str">
        <f ca="1">IFERROR(__xludf.DUMMYFUNCTION("""COMPUTED_VALUE"""),"Male")</f>
        <v>Male</v>
      </c>
      <c r="D93" s="5"/>
      <c r="E93" s="5" t="str">
        <f ca="1">IFERROR(__xludf.DUMMYFUNCTION("""COMPUTED_VALUE"""),"Student")</f>
        <v>Student</v>
      </c>
      <c r="F93" s="5" t="str">
        <f ca="1">IFERROR(__xludf.DUMMYFUNCTION("""COMPUTED_VALUE"""),"Fled/Apprehended")</f>
        <v>Fled/Apprehended</v>
      </c>
      <c r="G93" s="5" t="str">
        <f ca="1">IFERROR(__xludf.DUMMYFUNCTION("""COMPUTED_VALUE"""),"No")</f>
        <v>No</v>
      </c>
      <c r="H93" s="5" t="str">
        <f ca="1">IFERROR(__xludf.DUMMYFUNCTION("""COMPUTED_VALUE"""),"None")</f>
        <v>None</v>
      </c>
    </row>
    <row r="94" spans="1:8" ht="13">
      <c r="A94" s="5" t="str">
        <f ca="1">IFERROR(__xludf.DUMMYFUNCTION("""COMPUTED_VALUE"""),"20230106MIOAD")</f>
        <v>20230106MIOAD</v>
      </c>
      <c r="B94" s="5"/>
      <c r="C94" s="5"/>
      <c r="D94" s="5"/>
      <c r="E94" s="5"/>
      <c r="F94" s="5" t="str">
        <f ca="1">IFERROR(__xludf.DUMMYFUNCTION("""COMPUTED_VALUE"""),"Fled/Apprehended")</f>
        <v>Fled/Apprehended</v>
      </c>
      <c r="G94" s="5" t="str">
        <f ca="1">IFERROR(__xludf.DUMMYFUNCTION("""COMPUTED_VALUE"""),"No")</f>
        <v>No</v>
      </c>
      <c r="H94" s="5" t="str">
        <f ca="1">IFERROR(__xludf.DUMMYFUNCTION("""COMPUTED_VALUE"""),"None")</f>
        <v>None</v>
      </c>
    </row>
    <row r="95" spans="1:8" ht="13">
      <c r="A95" s="5" t="str">
        <f ca="1">IFERROR(__xludf.DUMMYFUNCTION("""COMPUTED_VALUE"""),"20230106FLWEA")</f>
        <v>20230106FLWEA</v>
      </c>
      <c r="B95" s="5"/>
      <c r="C95" s="5" t="str">
        <f ca="1">IFERROR(__xludf.DUMMYFUNCTION("""COMPUTED_VALUE"""),"Male")</f>
        <v>Male</v>
      </c>
      <c r="D95" s="5"/>
      <c r="E95" s="5"/>
      <c r="F95" s="5" t="str">
        <f ca="1">IFERROR(__xludf.DUMMYFUNCTION("""COMPUTED_VALUE"""),"Fled/Escaped")</f>
        <v>Fled/Escaped</v>
      </c>
      <c r="G95" s="5" t="str">
        <f ca="1">IFERROR(__xludf.DUMMYFUNCTION("""COMPUTED_VALUE"""),"No")</f>
        <v>No</v>
      </c>
      <c r="H95" s="5" t="str">
        <f ca="1">IFERROR(__xludf.DUMMYFUNCTION("""COMPUTED_VALUE"""),"None")</f>
        <v>None</v>
      </c>
    </row>
    <row r="96" spans="1:8" ht="13">
      <c r="A96" s="5" t="str">
        <f ca="1">IFERROR(__xludf.DUMMYFUNCTION("""COMPUTED_VALUE"""),"20230106VARIN")</f>
        <v>20230106VARIN</v>
      </c>
      <c r="B96" s="5">
        <f ca="1">IFERROR(__xludf.DUMMYFUNCTION("""COMPUTED_VALUE"""),6)</f>
        <v>6</v>
      </c>
      <c r="C96" s="5" t="str">
        <f ca="1">IFERROR(__xludf.DUMMYFUNCTION("""COMPUTED_VALUE"""),"Male")</f>
        <v>Male</v>
      </c>
      <c r="D96" s="5"/>
      <c r="E96" s="5" t="str">
        <f ca="1">IFERROR(__xludf.DUMMYFUNCTION("""COMPUTED_VALUE"""),"Student")</f>
        <v>Student</v>
      </c>
      <c r="F96" s="5"/>
      <c r="G96" s="5" t="str">
        <f ca="1">IFERROR(__xludf.DUMMYFUNCTION("""COMPUTED_VALUE"""),"No")</f>
        <v>No</v>
      </c>
      <c r="H96" s="5" t="str">
        <f ca="1">IFERROR(__xludf.DUMMYFUNCTION("""COMPUTED_VALUE"""),"None")</f>
        <v>None</v>
      </c>
    </row>
    <row r="97" spans="1:8" ht="13">
      <c r="A97" s="5" t="str">
        <f ca="1">IFERROR(__xludf.DUMMYFUNCTION("""COMPUTED_VALUE"""),"20230105OHBEC")</f>
        <v>20230105OHBEC</v>
      </c>
      <c r="B97" s="5">
        <f ca="1">IFERROR(__xludf.DUMMYFUNCTION("""COMPUTED_VALUE"""),15)</f>
        <v>15</v>
      </c>
      <c r="C97" s="5" t="str">
        <f ca="1">IFERROR(__xludf.DUMMYFUNCTION("""COMPUTED_VALUE"""),"Male")</f>
        <v>Male</v>
      </c>
      <c r="D97" s="5"/>
      <c r="E97" s="5" t="str">
        <f ca="1">IFERROR(__xludf.DUMMYFUNCTION("""COMPUTED_VALUE"""),"Student")</f>
        <v>Student</v>
      </c>
      <c r="F97" s="5" t="str">
        <f ca="1">IFERROR(__xludf.DUMMYFUNCTION("""COMPUTED_VALUE"""),"Fled/Apprehended")</f>
        <v>Fled/Apprehended</v>
      </c>
      <c r="G97" s="5" t="str">
        <f ca="1">IFERROR(__xludf.DUMMYFUNCTION("""COMPUTED_VALUE"""),"No")</f>
        <v>No</v>
      </c>
      <c r="H97" s="5" t="str">
        <f ca="1">IFERROR(__xludf.DUMMYFUNCTION("""COMPUTED_VALUE"""),"None")</f>
        <v>None</v>
      </c>
    </row>
    <row r="98" spans="1:8" ht="13">
      <c r="A98" s="5" t="str">
        <f ca="1">IFERROR(__xludf.DUMMYFUNCTION("""COMPUTED_VALUE"""),"20230105NYFRR")</f>
        <v>20230105NYFRR</v>
      </c>
      <c r="B98" s="5"/>
      <c r="C98" s="5"/>
      <c r="D98" s="5"/>
      <c r="E98" s="5"/>
      <c r="F98" s="5" t="str">
        <f ca="1">IFERROR(__xludf.DUMMYFUNCTION("""COMPUTED_VALUE"""),"Fled/Escaped")</f>
        <v>Fled/Escaped</v>
      </c>
      <c r="G98" s="5" t="str">
        <f ca="1">IFERROR(__xludf.DUMMYFUNCTION("""COMPUTED_VALUE"""),"No")</f>
        <v>No</v>
      </c>
      <c r="H98" s="5" t="str">
        <f ca="1">IFERROR(__xludf.DUMMYFUNCTION("""COMPUTED_VALUE"""),"None")</f>
        <v>None</v>
      </c>
    </row>
    <row r="99" spans="1:8" ht="13">
      <c r="A99" s="5" t="str">
        <f ca="1">IFERROR(__xludf.DUMMYFUNCTION("""COMPUTED_VALUE"""),"20230104MITRD")</f>
        <v>20230104MITRD</v>
      </c>
      <c r="B99" s="5"/>
      <c r="C99" s="5"/>
      <c r="D99" s="5"/>
      <c r="E99" s="5" t="str">
        <f ca="1">IFERROR(__xludf.DUMMYFUNCTION("""COMPUTED_VALUE"""),"No Relation")</f>
        <v>No Relation</v>
      </c>
      <c r="F99" s="5" t="str">
        <f ca="1">IFERROR(__xludf.DUMMYFUNCTION("""COMPUTED_VALUE"""),"Fled/Escaped")</f>
        <v>Fled/Escaped</v>
      </c>
      <c r="G99" s="5" t="str">
        <f ca="1">IFERROR(__xludf.DUMMYFUNCTION("""COMPUTED_VALUE"""),"No")</f>
        <v>No</v>
      </c>
      <c r="H99" s="5" t="str">
        <f ca="1">IFERROR(__xludf.DUMMYFUNCTION("""COMPUTED_VALUE"""),"None")</f>
        <v>None</v>
      </c>
    </row>
    <row r="100" spans="1:8" ht="13">
      <c r="A100" s="5" t="str">
        <f ca="1">IFERROR(__xludf.DUMMYFUNCTION("""COMPUTED_VALUE"""),"20221221CTNEN")</f>
        <v>20221221CTNEN</v>
      </c>
      <c r="B100" s="5"/>
      <c r="C100" s="5"/>
      <c r="D100" s="5"/>
      <c r="E100" s="5" t="str">
        <f ca="1">IFERROR(__xludf.DUMMYFUNCTION("""COMPUTED_VALUE"""),"No Relation")</f>
        <v>No Relation</v>
      </c>
      <c r="F100" s="5" t="str">
        <f ca="1">IFERROR(__xludf.DUMMYFUNCTION("""COMPUTED_VALUE"""),"Fled/Escaped")</f>
        <v>Fled/Escaped</v>
      </c>
      <c r="G100" s="5" t="str">
        <f ca="1">IFERROR(__xludf.DUMMYFUNCTION("""COMPUTED_VALUE"""),"No")</f>
        <v>No</v>
      </c>
      <c r="H100" s="5" t="str">
        <f ca="1">IFERROR(__xludf.DUMMYFUNCTION("""COMPUTED_VALUE"""),"None")</f>
        <v>None</v>
      </c>
    </row>
    <row r="101" spans="1:8" ht="13">
      <c r="A101" s="5" t="str">
        <f ca="1">IFERROR(__xludf.DUMMYFUNCTION("""COMPUTED_VALUE"""),"20221221CAWOW")</f>
        <v>20221221CAWOW</v>
      </c>
      <c r="B101" s="5" t="str">
        <f ca="1">IFERROR(__xludf.DUMMYFUNCTION("""COMPUTED_VALUE"""),"Adult")</f>
        <v>Adult</v>
      </c>
      <c r="C101" s="5"/>
      <c r="D101" s="5"/>
      <c r="E101" s="5" t="str">
        <f ca="1">IFERROR(__xludf.DUMMYFUNCTION("""COMPUTED_VALUE"""),"No Relation")</f>
        <v>No Relation</v>
      </c>
      <c r="F101" s="5" t="str">
        <f ca="1">IFERROR(__xludf.DUMMYFUNCTION("""COMPUTED_VALUE"""),"Fled/Apprehended")</f>
        <v>Fled/Apprehended</v>
      </c>
      <c r="G101" s="5" t="str">
        <f ca="1">IFERROR(__xludf.DUMMYFUNCTION("""COMPUTED_VALUE"""),"No")</f>
        <v>No</v>
      </c>
      <c r="H101" s="5" t="str">
        <f ca="1">IFERROR(__xludf.DUMMYFUNCTION("""COMPUTED_VALUE"""),"None")</f>
        <v>None</v>
      </c>
    </row>
    <row r="102" spans="1:8" ht="13">
      <c r="A102" s="5" t="str">
        <f ca="1">IFERROR(__xludf.DUMMYFUNCTION("""COMPUTED_VALUE"""),"20221216ILBEC")</f>
        <v>20221216ILBEC</v>
      </c>
      <c r="B102" s="5">
        <f ca="1">IFERROR(__xludf.DUMMYFUNCTION("""COMPUTED_VALUE"""),16)</f>
        <v>16</v>
      </c>
      <c r="C102" s="5" t="str">
        <f ca="1">IFERROR(__xludf.DUMMYFUNCTION("""COMPUTED_VALUE"""),"Male")</f>
        <v>Male</v>
      </c>
      <c r="D102" s="5"/>
      <c r="E102" s="5" t="str">
        <f ca="1">IFERROR(__xludf.DUMMYFUNCTION("""COMPUTED_VALUE"""),"Former Student")</f>
        <v>Former Student</v>
      </c>
      <c r="F102" s="5" t="str">
        <f ca="1">IFERROR(__xludf.DUMMYFUNCTION("""COMPUTED_VALUE"""),"Fled/Apprehended")</f>
        <v>Fled/Apprehended</v>
      </c>
      <c r="G102" s="5" t="str">
        <f ca="1">IFERROR(__xludf.DUMMYFUNCTION("""COMPUTED_VALUE"""),"No")</f>
        <v>No</v>
      </c>
      <c r="H102" s="5" t="str">
        <f ca="1">IFERROR(__xludf.DUMMYFUNCTION("""COMPUTED_VALUE"""),"None")</f>
        <v>None</v>
      </c>
    </row>
    <row r="103" spans="1:8" ht="13">
      <c r="A103" s="5" t="str">
        <f ca="1">IFERROR(__xludf.DUMMYFUNCTION("""COMPUTED_VALUE"""),"20221214OHLIC")</f>
        <v>20221214OHLIC</v>
      </c>
      <c r="B103" s="5" t="str">
        <f ca="1">IFERROR(__xludf.DUMMYFUNCTION("""COMPUTED_VALUE"""),"Teen")</f>
        <v>Teen</v>
      </c>
      <c r="C103" s="5"/>
      <c r="D103" s="5"/>
      <c r="E103" s="5" t="str">
        <f ca="1">IFERROR(__xludf.DUMMYFUNCTION("""COMPUTED_VALUE"""),"Student")</f>
        <v>Student</v>
      </c>
      <c r="F103" s="5" t="str">
        <f ca="1">IFERROR(__xludf.DUMMYFUNCTION("""COMPUTED_VALUE"""),"Fled/Escaped")</f>
        <v>Fled/Escaped</v>
      </c>
      <c r="G103" s="5" t="str">
        <f ca="1">IFERROR(__xludf.DUMMYFUNCTION("""COMPUTED_VALUE"""),"No")</f>
        <v>No</v>
      </c>
      <c r="H103" s="5" t="str">
        <f ca="1">IFERROR(__xludf.DUMMYFUNCTION("""COMPUTED_VALUE"""),"None")</f>
        <v>None</v>
      </c>
    </row>
    <row r="104" spans="1:8" ht="13">
      <c r="A104" s="5" t="str">
        <f ca="1">IFERROR(__xludf.DUMMYFUNCTION("""COMPUTED_VALUE"""),"20221212ORGRP")</f>
        <v>20221212ORGRP</v>
      </c>
      <c r="B104" s="5"/>
      <c r="C104" s="5"/>
      <c r="D104" s="5"/>
      <c r="E104" s="5"/>
      <c r="F104" s="5" t="str">
        <f ca="1">IFERROR(__xludf.DUMMYFUNCTION("""COMPUTED_VALUE"""),"Fled/Escaped")</f>
        <v>Fled/Escaped</v>
      </c>
      <c r="G104" s="5" t="str">
        <f ca="1">IFERROR(__xludf.DUMMYFUNCTION("""COMPUTED_VALUE"""),"No")</f>
        <v>No</v>
      </c>
      <c r="H104" s="5" t="str">
        <f ca="1">IFERROR(__xludf.DUMMYFUNCTION("""COMPUTED_VALUE"""),"None")</f>
        <v>None</v>
      </c>
    </row>
    <row r="105" spans="1:8" ht="13">
      <c r="A105" s="5" t="str">
        <f ca="1">IFERROR(__xludf.DUMMYFUNCTION("""COMPUTED_VALUE"""),"20221210TNBRC")</f>
        <v>20221210TNBRC</v>
      </c>
      <c r="B105" s="5"/>
      <c r="C105" s="5"/>
      <c r="D105" s="5"/>
      <c r="E105" s="5"/>
      <c r="F105" s="5" t="str">
        <f ca="1">IFERROR(__xludf.DUMMYFUNCTION("""COMPUTED_VALUE"""),"Fled/Escaped")</f>
        <v>Fled/Escaped</v>
      </c>
      <c r="G105" s="5" t="str">
        <f ca="1">IFERROR(__xludf.DUMMYFUNCTION("""COMPUTED_VALUE"""),"No")</f>
        <v>No</v>
      </c>
      <c r="H105" s="5" t="str">
        <f ca="1">IFERROR(__xludf.DUMMYFUNCTION("""COMPUTED_VALUE"""),"None")</f>
        <v>None</v>
      </c>
    </row>
    <row r="106" spans="1:8" ht="13">
      <c r="A106" s="5" t="str">
        <f ca="1">IFERROR(__xludf.DUMMYFUNCTION("""COMPUTED_VALUE"""),"20221209PAMEP")</f>
        <v>20221209PAMEP</v>
      </c>
      <c r="B106" s="5"/>
      <c r="C106" s="5"/>
      <c r="D106" s="5"/>
      <c r="E106" s="5" t="str">
        <f ca="1">IFERROR(__xludf.DUMMYFUNCTION("""COMPUTED_VALUE"""),"No Relation")</f>
        <v>No Relation</v>
      </c>
      <c r="F106" s="5" t="str">
        <f ca="1">IFERROR(__xludf.DUMMYFUNCTION("""COMPUTED_VALUE"""),"Fled/Escaped")</f>
        <v>Fled/Escaped</v>
      </c>
      <c r="G106" s="5" t="str">
        <f ca="1">IFERROR(__xludf.DUMMYFUNCTION("""COMPUTED_VALUE"""),"No")</f>
        <v>No</v>
      </c>
      <c r="H106" s="5" t="str">
        <f ca="1">IFERROR(__xludf.DUMMYFUNCTION("""COMPUTED_VALUE"""),"None")</f>
        <v>None</v>
      </c>
    </row>
    <row r="107" spans="1:8" ht="13">
      <c r="A107" s="5" t="str">
        <f ca="1">IFERROR(__xludf.DUMMYFUNCTION("""COMPUTED_VALUE"""),"20221209OHMED")</f>
        <v>20221209OHMED</v>
      </c>
      <c r="B107" s="5"/>
      <c r="C107" s="5"/>
      <c r="D107" s="5"/>
      <c r="E107" s="5"/>
      <c r="F107" s="5" t="str">
        <f ca="1">IFERROR(__xludf.DUMMYFUNCTION("""COMPUTED_VALUE"""),"Fled/Escaped")</f>
        <v>Fled/Escaped</v>
      </c>
      <c r="G107" s="5" t="str">
        <f ca="1">IFERROR(__xludf.DUMMYFUNCTION("""COMPUTED_VALUE"""),"No")</f>
        <v>No</v>
      </c>
      <c r="H107" s="5" t="str">
        <f ca="1">IFERROR(__xludf.DUMMYFUNCTION("""COMPUTED_VALUE"""),"None")</f>
        <v>None</v>
      </c>
    </row>
    <row r="108" spans="1:8" ht="13">
      <c r="A108" s="5" t="str">
        <f ca="1">IFERROR(__xludf.DUMMYFUNCTION("""COMPUTED_VALUE"""),"20221207NCFUG")</f>
        <v>20221207NCFUG</v>
      </c>
      <c r="B108" s="5">
        <f ca="1">IFERROR(__xludf.DUMMYFUNCTION("""COMPUTED_VALUE"""),12)</f>
        <v>12</v>
      </c>
      <c r="C108" s="5" t="str">
        <f ca="1">IFERROR(__xludf.DUMMYFUNCTION("""COMPUTED_VALUE"""),"Male")</f>
        <v>Male</v>
      </c>
      <c r="D108" s="5"/>
      <c r="E108" s="5" t="str">
        <f ca="1">IFERROR(__xludf.DUMMYFUNCTION("""COMPUTED_VALUE"""),"Student")</f>
        <v>Student</v>
      </c>
      <c r="F108" s="5" t="str">
        <f ca="1">IFERROR(__xludf.DUMMYFUNCTION("""COMPUTED_VALUE"""),"Subdued by Students/Staff/Other")</f>
        <v>Subdued by Students/Staff/Other</v>
      </c>
      <c r="G108" s="5" t="str">
        <f ca="1">IFERROR(__xludf.DUMMYFUNCTION("""COMPUTED_VALUE"""),"No")</f>
        <v>No</v>
      </c>
      <c r="H108" s="5" t="str">
        <f ca="1">IFERROR(__xludf.DUMMYFUNCTION("""COMPUTED_VALUE"""),"None")</f>
        <v>None</v>
      </c>
    </row>
    <row r="109" spans="1:8" ht="13">
      <c r="A109" s="5" t="str">
        <f ca="1">IFERROR(__xludf.DUMMYFUNCTION("""COMPUTED_VALUE"""),"20221207MDSUD")</f>
        <v>20221207MDSUD</v>
      </c>
      <c r="B109" s="5">
        <f ca="1">IFERROR(__xludf.DUMMYFUNCTION("""COMPUTED_VALUE"""),14)</f>
        <v>14</v>
      </c>
      <c r="C109" s="5" t="str">
        <f ca="1">IFERROR(__xludf.DUMMYFUNCTION("""COMPUTED_VALUE"""),"Male")</f>
        <v>Male</v>
      </c>
      <c r="D109" s="5"/>
      <c r="E109" s="5" t="str">
        <f ca="1">IFERROR(__xludf.DUMMYFUNCTION("""COMPUTED_VALUE"""),"Student")</f>
        <v>Student</v>
      </c>
      <c r="F109" s="5" t="str">
        <f ca="1">IFERROR(__xludf.DUMMYFUNCTION("""COMPUTED_VALUE"""),"Fled/Apprehended")</f>
        <v>Fled/Apprehended</v>
      </c>
      <c r="G109" s="5" t="str">
        <f ca="1">IFERROR(__xludf.DUMMYFUNCTION("""COMPUTED_VALUE"""),"No")</f>
        <v>No</v>
      </c>
      <c r="H109" s="5" t="str">
        <f ca="1">IFERROR(__xludf.DUMMYFUNCTION("""COMPUTED_VALUE"""),"None")</f>
        <v>None</v>
      </c>
    </row>
    <row r="110" spans="1:8" ht="13">
      <c r="A110" s="5" t="str">
        <f ca="1">IFERROR(__xludf.DUMMYFUNCTION("""COMPUTED_VALUE"""),"20221206ALLEM")</f>
        <v>20221206ALLEM</v>
      </c>
      <c r="B110" s="5"/>
      <c r="C110" s="5"/>
      <c r="D110" s="5"/>
      <c r="E110" s="5"/>
      <c r="F110" s="5" t="str">
        <f ca="1">IFERROR(__xludf.DUMMYFUNCTION("""COMPUTED_VALUE"""),"Apprehended/Killed by LE")</f>
        <v>Apprehended/Killed by LE</v>
      </c>
      <c r="G110" s="5" t="str">
        <f ca="1">IFERROR(__xludf.DUMMYFUNCTION("""COMPUTED_VALUE"""),"No")</f>
        <v>No</v>
      </c>
      <c r="H110" s="5" t="str">
        <f ca="1">IFERROR(__xludf.DUMMYFUNCTION("""COMPUTED_VALUE"""),"None")</f>
        <v>None</v>
      </c>
    </row>
    <row r="111" spans="1:8" ht="13">
      <c r="A111" s="5" t="str">
        <f ca="1">IFERROR(__xludf.DUMMYFUNCTION("""COMPUTED_VALUE"""),"20221206MOCOS")</f>
        <v>20221206MOCOS</v>
      </c>
      <c r="B111" s="5">
        <f ca="1">IFERROR(__xludf.DUMMYFUNCTION("""COMPUTED_VALUE"""),20)</f>
        <v>20</v>
      </c>
      <c r="C111" s="5" t="str">
        <f ca="1">IFERROR(__xludf.DUMMYFUNCTION("""COMPUTED_VALUE"""),"Female")</f>
        <v>Female</v>
      </c>
      <c r="D111" s="5"/>
      <c r="E111" s="5" t="str">
        <f ca="1">IFERROR(__xludf.DUMMYFUNCTION("""COMPUTED_VALUE"""),"No Relation")</f>
        <v>No Relation</v>
      </c>
      <c r="F111" s="5" t="str">
        <f ca="1">IFERROR(__xludf.DUMMYFUNCTION("""COMPUTED_VALUE"""),"Apprehended/Killed by SRO")</f>
        <v>Apprehended/Killed by SRO</v>
      </c>
      <c r="G111" s="5" t="str">
        <f ca="1">IFERROR(__xludf.DUMMYFUNCTION("""COMPUTED_VALUE"""),"No")</f>
        <v>No</v>
      </c>
      <c r="H111" s="5" t="str">
        <f ca="1">IFERROR(__xludf.DUMMYFUNCTION("""COMPUTED_VALUE"""),"Wounded")</f>
        <v>Wounded</v>
      </c>
    </row>
    <row r="112" spans="1:8" ht="13">
      <c r="A112" s="5" t="str">
        <f ca="1">IFERROR(__xludf.DUMMYFUNCTION("""COMPUTED_VALUE"""),"20221206INSUW")</f>
        <v>20221206INSUW</v>
      </c>
      <c r="B112" s="5">
        <f ca="1">IFERROR(__xludf.DUMMYFUNCTION("""COMPUTED_VALUE"""),11)</f>
        <v>11</v>
      </c>
      <c r="C112" s="5" t="str">
        <f ca="1">IFERROR(__xludf.DUMMYFUNCTION("""COMPUTED_VALUE"""),"Male")</f>
        <v>Male</v>
      </c>
      <c r="D112" s="5"/>
      <c r="E112" s="5" t="str">
        <f ca="1">IFERROR(__xludf.DUMMYFUNCTION("""COMPUTED_VALUE"""),"Student")</f>
        <v>Student</v>
      </c>
      <c r="F112" s="5" t="str">
        <f ca="1">IFERROR(__xludf.DUMMYFUNCTION("""COMPUTED_VALUE"""),"Apprehended/Killed by LE")</f>
        <v>Apprehended/Killed by LE</v>
      </c>
      <c r="G112" s="5" t="str">
        <f ca="1">IFERROR(__xludf.DUMMYFUNCTION("""COMPUTED_VALUE"""),"No")</f>
        <v>No</v>
      </c>
      <c r="H112" s="5" t="str">
        <f ca="1">IFERROR(__xludf.DUMMYFUNCTION("""COMPUTED_VALUE"""),"None")</f>
        <v>None</v>
      </c>
    </row>
    <row r="113" spans="1:8" ht="13">
      <c r="A113" s="5" t="str">
        <f ca="1">IFERROR(__xludf.DUMMYFUNCTION("""COMPUTED_VALUE"""),"20221206ILMIC")</f>
        <v>20221206ILMIC</v>
      </c>
      <c r="B113" s="5"/>
      <c r="C113" s="5"/>
      <c r="D113" s="5"/>
      <c r="E113" s="5"/>
      <c r="F113" s="5" t="str">
        <f ca="1">IFERROR(__xludf.DUMMYFUNCTION("""COMPUTED_VALUE"""),"Fled/Escaped")</f>
        <v>Fled/Escaped</v>
      </c>
      <c r="G113" s="5" t="str">
        <f ca="1">IFERROR(__xludf.DUMMYFUNCTION("""COMPUTED_VALUE"""),"No")</f>
        <v>No</v>
      </c>
      <c r="H113" s="5" t="str">
        <f ca="1">IFERROR(__xludf.DUMMYFUNCTION("""COMPUTED_VALUE"""),"None")</f>
        <v>None</v>
      </c>
    </row>
    <row r="114" spans="1:8" ht="13">
      <c r="A114" s="5" t="str">
        <f ca="1">IFERROR(__xludf.DUMMYFUNCTION("""COMPUTED_VALUE"""),"20221206MDHAH")</f>
        <v>20221206MDHAH</v>
      </c>
      <c r="B114" s="5" t="str">
        <f ca="1">IFERROR(__xludf.DUMMYFUNCTION("""COMPUTED_VALUE"""),"Teen")</f>
        <v>Teen</v>
      </c>
      <c r="C114" s="5" t="str">
        <f ca="1">IFERROR(__xludf.DUMMYFUNCTION("""COMPUTED_VALUE"""),"Male")</f>
        <v>Male</v>
      </c>
      <c r="D114" s="5"/>
      <c r="E114" s="5" t="str">
        <f ca="1">IFERROR(__xludf.DUMMYFUNCTION("""COMPUTED_VALUE"""),"Student")</f>
        <v>Student</v>
      </c>
      <c r="F114" s="5" t="str">
        <f ca="1">IFERROR(__xludf.DUMMYFUNCTION("""COMPUTED_VALUE"""),"Fled/Apprehended")</f>
        <v>Fled/Apprehended</v>
      </c>
      <c r="G114" s="5" t="str">
        <f ca="1">IFERROR(__xludf.DUMMYFUNCTION("""COMPUTED_VALUE"""),"No")</f>
        <v>No</v>
      </c>
      <c r="H114" s="5" t="str">
        <f ca="1">IFERROR(__xludf.DUMMYFUNCTION("""COMPUTED_VALUE"""),"None")</f>
        <v>None</v>
      </c>
    </row>
    <row r="115" spans="1:8" ht="13">
      <c r="A115" s="5" t="str">
        <f ca="1">IFERROR(__xludf.DUMMYFUNCTION("""COMPUTED_VALUE"""),"20221205TNFRM")</f>
        <v>20221205TNFRM</v>
      </c>
      <c r="B115" s="5">
        <f ca="1">IFERROR(__xludf.DUMMYFUNCTION("""COMPUTED_VALUE"""),15)</f>
        <v>15</v>
      </c>
      <c r="C115" s="5" t="str">
        <f ca="1">IFERROR(__xludf.DUMMYFUNCTION("""COMPUTED_VALUE"""),"Male")</f>
        <v>Male</v>
      </c>
      <c r="D115" s="5"/>
      <c r="E115" s="5" t="str">
        <f ca="1">IFERROR(__xludf.DUMMYFUNCTION("""COMPUTED_VALUE"""),"Student")</f>
        <v>Student</v>
      </c>
      <c r="F115" s="5" t="str">
        <f ca="1">IFERROR(__xludf.DUMMYFUNCTION("""COMPUTED_VALUE"""),"Fled/Apprehended")</f>
        <v>Fled/Apprehended</v>
      </c>
      <c r="G115" s="5" t="str">
        <f ca="1">IFERROR(__xludf.DUMMYFUNCTION("""COMPUTED_VALUE"""),"No")</f>
        <v>No</v>
      </c>
      <c r="H115" s="5" t="str">
        <f ca="1">IFERROR(__xludf.DUMMYFUNCTION("""COMPUTED_VALUE"""),"None")</f>
        <v>None</v>
      </c>
    </row>
    <row r="116" spans="1:8" ht="13">
      <c r="A116" s="5" t="str">
        <f ca="1">IFERROR(__xludf.DUMMYFUNCTION("""COMPUTED_VALUE"""),"20221203WISOM")</f>
        <v>20221203WISOM</v>
      </c>
      <c r="B116" s="5">
        <f ca="1">IFERROR(__xludf.DUMMYFUNCTION("""COMPUTED_VALUE"""),27)</f>
        <v>27</v>
      </c>
      <c r="C116" s="5" t="str">
        <f ca="1">IFERROR(__xludf.DUMMYFUNCTION("""COMPUTED_VALUE"""),"Male")</f>
        <v>Male</v>
      </c>
      <c r="D116" s="5"/>
      <c r="E116" s="5" t="str">
        <f ca="1">IFERROR(__xludf.DUMMYFUNCTION("""COMPUTED_VALUE"""),"Nonstudent Using Athletic Facilities/Attending Game")</f>
        <v>Nonstudent Using Athletic Facilities/Attending Game</v>
      </c>
      <c r="F116" s="5" t="str">
        <f ca="1">IFERROR(__xludf.DUMMYFUNCTION("""COMPUTED_VALUE"""),"Fled/Apprehended")</f>
        <v>Fled/Apprehended</v>
      </c>
      <c r="G116" s="5" t="str">
        <f ca="1">IFERROR(__xludf.DUMMYFUNCTION("""COMPUTED_VALUE"""),"No")</f>
        <v>No</v>
      </c>
      <c r="H116" s="5" t="str">
        <f ca="1">IFERROR(__xludf.DUMMYFUNCTION("""COMPUTED_VALUE"""),"None")</f>
        <v>None</v>
      </c>
    </row>
    <row r="117" spans="1:8" ht="13">
      <c r="A117" s="5" t="str">
        <f ca="1">IFERROR(__xludf.DUMMYFUNCTION("""COMPUTED_VALUE"""),"20221202DEDEW")</f>
        <v>20221202DEDEW</v>
      </c>
      <c r="B117" s="5" t="str">
        <f ca="1">IFERROR(__xludf.DUMMYFUNCTION("""COMPUTED_VALUE"""),"Adult")</f>
        <v>Adult</v>
      </c>
      <c r="C117" s="5" t="str">
        <f ca="1">IFERROR(__xludf.DUMMYFUNCTION("""COMPUTED_VALUE"""),"Male")</f>
        <v>Male</v>
      </c>
      <c r="D117" s="5"/>
      <c r="E117" s="5" t="str">
        <f ca="1">IFERROR(__xludf.DUMMYFUNCTION("""COMPUTED_VALUE"""),"No Relation")</f>
        <v>No Relation</v>
      </c>
      <c r="F117" s="5" t="str">
        <f ca="1">IFERROR(__xludf.DUMMYFUNCTION("""COMPUTED_VALUE"""),"Fled/Apprehended")</f>
        <v>Fled/Apprehended</v>
      </c>
      <c r="G117" s="5" t="str">
        <f ca="1">IFERROR(__xludf.DUMMYFUNCTION("""COMPUTED_VALUE"""),"No")</f>
        <v>No</v>
      </c>
      <c r="H117" s="5" t="str">
        <f ca="1">IFERROR(__xludf.DUMMYFUNCTION("""COMPUTED_VALUE"""),"None")</f>
        <v>None</v>
      </c>
    </row>
    <row r="118" spans="1:8" ht="13">
      <c r="A118" s="5" t="str">
        <f ca="1">IFERROR(__xludf.DUMMYFUNCTION("""COMPUTED_VALUE"""),"20221121MIHED")</f>
        <v>20221121MIHED</v>
      </c>
      <c r="B118" s="5" t="str">
        <f ca="1">IFERROR(__xludf.DUMMYFUNCTION("""COMPUTED_VALUE"""),"Teen")</f>
        <v>Teen</v>
      </c>
      <c r="C118" s="5" t="str">
        <f ca="1">IFERROR(__xludf.DUMMYFUNCTION("""COMPUTED_VALUE"""),"Male")</f>
        <v>Male</v>
      </c>
      <c r="D118" s="5" t="str">
        <f ca="1">IFERROR(__xludf.DUMMYFUNCTION("""COMPUTED_VALUE"""),"Black")</f>
        <v>Black</v>
      </c>
      <c r="E118" s="5" t="str">
        <f ca="1">IFERROR(__xludf.DUMMYFUNCTION("""COMPUTED_VALUE"""),"Nonstudent")</f>
        <v>Nonstudent</v>
      </c>
      <c r="F118" s="5" t="str">
        <f ca="1">IFERROR(__xludf.DUMMYFUNCTION("""COMPUTED_VALUE"""),"Fled/Apprehended")</f>
        <v>Fled/Apprehended</v>
      </c>
      <c r="G118" s="5" t="str">
        <f ca="1">IFERROR(__xludf.DUMMYFUNCTION("""COMPUTED_VALUE"""),"No")</f>
        <v>No</v>
      </c>
      <c r="H118" s="5" t="str">
        <f ca="1">IFERROR(__xludf.DUMMYFUNCTION("""COMPUTED_VALUE"""),"None")</f>
        <v>None</v>
      </c>
    </row>
    <row r="119" spans="1:8" ht="13">
      <c r="A119" s="5" t="str">
        <f ca="1">IFERROR(__xludf.DUMMYFUNCTION("""COMPUTED_VALUE"""),"20221121MIHED")</f>
        <v>20221121MIHED</v>
      </c>
      <c r="B119" s="5">
        <f ca="1">IFERROR(__xludf.DUMMYFUNCTION("""COMPUTED_VALUE"""),16)</f>
        <v>16</v>
      </c>
      <c r="C119" s="5" t="str">
        <f ca="1">IFERROR(__xludf.DUMMYFUNCTION("""COMPUTED_VALUE"""),"Male")</f>
        <v>Male</v>
      </c>
      <c r="D119" s="5" t="str">
        <f ca="1">IFERROR(__xludf.DUMMYFUNCTION("""COMPUTED_VALUE"""),"Black")</f>
        <v>Black</v>
      </c>
      <c r="E119" s="5"/>
      <c r="F119" s="5" t="str">
        <f ca="1">IFERROR(__xludf.DUMMYFUNCTION("""COMPUTED_VALUE"""),"Fled/Apprehended")</f>
        <v>Fled/Apprehended</v>
      </c>
      <c r="G119" s="5" t="str">
        <f ca="1">IFERROR(__xludf.DUMMYFUNCTION("""COMPUTED_VALUE"""),"No")</f>
        <v>No</v>
      </c>
      <c r="H119" s="5" t="str">
        <f ca="1">IFERROR(__xludf.DUMMYFUNCTION("""COMPUTED_VALUE"""),"None")</f>
        <v>None</v>
      </c>
    </row>
    <row r="120" spans="1:8" ht="13">
      <c r="A120" s="5" t="str">
        <f ca="1">IFERROR(__xludf.DUMMYFUNCTION("""COMPUTED_VALUE"""),"20221121MIHED")</f>
        <v>20221121MIHED</v>
      </c>
      <c r="B120" s="5" t="str">
        <f ca="1">IFERROR(__xludf.DUMMYFUNCTION("""COMPUTED_VALUE"""),"Teen")</f>
        <v>Teen</v>
      </c>
      <c r="C120" s="5" t="str">
        <f ca="1">IFERROR(__xludf.DUMMYFUNCTION("""COMPUTED_VALUE"""),"Male")</f>
        <v>Male</v>
      </c>
      <c r="D120" s="5" t="str">
        <f ca="1">IFERROR(__xludf.DUMMYFUNCTION("""COMPUTED_VALUE"""),"Black")</f>
        <v>Black</v>
      </c>
      <c r="E120" s="5"/>
      <c r="F120" s="5" t="str">
        <f ca="1">IFERROR(__xludf.DUMMYFUNCTION("""COMPUTED_VALUE"""),"Fled/Escaped")</f>
        <v>Fled/Escaped</v>
      </c>
      <c r="G120" s="5" t="str">
        <f ca="1">IFERROR(__xludf.DUMMYFUNCTION("""COMPUTED_VALUE"""),"No")</f>
        <v>No</v>
      </c>
      <c r="H120" s="5" t="str">
        <f ca="1">IFERROR(__xludf.DUMMYFUNCTION("""COMPUTED_VALUE"""),"None")</f>
        <v>None</v>
      </c>
    </row>
    <row r="121" spans="1:8" ht="13">
      <c r="A121" s="5" t="str">
        <f ca="1">IFERROR(__xludf.DUMMYFUNCTION("""COMPUTED_VALUE"""),"20221122MISTS")</f>
        <v>20221122MISTS</v>
      </c>
      <c r="B121" s="5"/>
      <c r="C121" s="5"/>
      <c r="D121" s="5"/>
      <c r="E121" s="5"/>
      <c r="F121" s="5" t="str">
        <f ca="1">IFERROR(__xludf.DUMMYFUNCTION("""COMPUTED_VALUE"""),"Fled/Escaped")</f>
        <v>Fled/Escaped</v>
      </c>
      <c r="G121" s="5" t="str">
        <f ca="1">IFERROR(__xludf.DUMMYFUNCTION("""COMPUTED_VALUE"""),"No")</f>
        <v>No</v>
      </c>
      <c r="H121" s="5" t="str">
        <f ca="1">IFERROR(__xludf.DUMMYFUNCTION("""COMPUTED_VALUE"""),"None")</f>
        <v>None</v>
      </c>
    </row>
    <row r="122" spans="1:8" ht="13">
      <c r="A122" s="5" t="str">
        <f ca="1">IFERROR(__xludf.DUMMYFUNCTION("""COMPUTED_VALUE"""),"20221118NYROS")</f>
        <v>20221118NYROS</v>
      </c>
      <c r="B122" s="5"/>
      <c r="C122" s="5"/>
      <c r="D122" s="5"/>
      <c r="E122" s="5"/>
      <c r="F122" s="5" t="str">
        <f ca="1">IFERROR(__xludf.DUMMYFUNCTION("""COMPUTED_VALUE"""),"Fled/Escaped")</f>
        <v>Fled/Escaped</v>
      </c>
      <c r="G122" s="5" t="str">
        <f ca="1">IFERROR(__xludf.DUMMYFUNCTION("""COMPUTED_VALUE"""),"No")</f>
        <v>No</v>
      </c>
      <c r="H122" s="5" t="str">
        <f ca="1">IFERROR(__xludf.DUMMYFUNCTION("""COMPUTED_VALUE"""),"None")</f>
        <v>None</v>
      </c>
    </row>
    <row r="123" spans="1:8" ht="13">
      <c r="A123" s="5" t="str">
        <f ca="1">IFERROR(__xludf.DUMMYFUNCTION("""COMPUTED_VALUE"""),"20221118DCJAW")</f>
        <v>20221118DCJAW</v>
      </c>
      <c r="B123" s="5"/>
      <c r="C123" s="5" t="str">
        <f ca="1">IFERROR(__xludf.DUMMYFUNCTION("""COMPUTED_VALUE"""),"Male")</f>
        <v>Male</v>
      </c>
      <c r="D123" s="5"/>
      <c r="E123" s="5"/>
      <c r="F123" s="5" t="str">
        <f ca="1">IFERROR(__xludf.DUMMYFUNCTION("""COMPUTED_VALUE"""),"Fled/Escaped")</f>
        <v>Fled/Escaped</v>
      </c>
      <c r="G123" s="5" t="str">
        <f ca="1">IFERROR(__xludf.DUMMYFUNCTION("""COMPUTED_VALUE"""),"No")</f>
        <v>No</v>
      </c>
      <c r="H123" s="5" t="str">
        <f ca="1">IFERROR(__xludf.DUMMYFUNCTION("""COMPUTED_VALUE"""),"None")</f>
        <v>None</v>
      </c>
    </row>
    <row r="124" spans="1:8" ht="13">
      <c r="A124" s="5" t="str">
        <f ca="1">IFERROR(__xludf.DUMMYFUNCTION("""COMPUTED_VALUE"""),"20221117INSOC")</f>
        <v>20221117INSOC</v>
      </c>
      <c r="B124" s="5" t="str">
        <f ca="1">IFERROR(__xludf.DUMMYFUNCTION("""COMPUTED_VALUE"""),"Adult")</f>
        <v>Adult</v>
      </c>
      <c r="C124" s="5" t="str">
        <f ca="1">IFERROR(__xludf.DUMMYFUNCTION("""COMPUTED_VALUE"""),"Male")</f>
        <v>Male</v>
      </c>
      <c r="D124" s="5"/>
      <c r="E124" s="5" t="str">
        <f ca="1">IFERROR(__xludf.DUMMYFUNCTION("""COMPUTED_VALUE"""),"Police Officer/SRO")</f>
        <v>Police Officer/SRO</v>
      </c>
      <c r="F124" s="5" t="str">
        <f ca="1">IFERROR(__xludf.DUMMYFUNCTION("""COMPUTED_VALUE"""),"Law Enforcement")</f>
        <v>Law Enforcement</v>
      </c>
      <c r="G124" s="5" t="str">
        <f ca="1">IFERROR(__xludf.DUMMYFUNCTION("""COMPUTED_VALUE"""),"No")</f>
        <v>No</v>
      </c>
      <c r="H124" s="5" t="str">
        <f ca="1">IFERROR(__xludf.DUMMYFUNCTION("""COMPUTED_VALUE"""),"None")</f>
        <v>None</v>
      </c>
    </row>
    <row r="125" spans="1:8" ht="13">
      <c r="A125" s="5" t="str">
        <f ca="1">IFERROR(__xludf.DUMMYFUNCTION("""COMPUTED_VALUE"""),"20221116ORMCM")</f>
        <v>20221116ORMCM</v>
      </c>
      <c r="B125" s="5"/>
      <c r="C125" s="5"/>
      <c r="D125" s="5"/>
      <c r="E125" s="5"/>
      <c r="F125" s="5" t="str">
        <f ca="1">IFERROR(__xludf.DUMMYFUNCTION("""COMPUTED_VALUE"""),"Fled/Escaped")</f>
        <v>Fled/Escaped</v>
      </c>
      <c r="G125" s="5" t="str">
        <f ca="1">IFERROR(__xludf.DUMMYFUNCTION("""COMPUTED_VALUE"""),"No")</f>
        <v>No</v>
      </c>
      <c r="H125" s="5" t="str">
        <f ca="1">IFERROR(__xludf.DUMMYFUNCTION("""COMPUTED_VALUE"""),"None")</f>
        <v>None</v>
      </c>
    </row>
    <row r="126" spans="1:8" ht="13">
      <c r="A126" s="5" t="str">
        <f ca="1">IFERROR(__xludf.DUMMYFUNCTION("""COMPUTED_VALUE"""),"20221116NCLUL")</f>
        <v>20221116NCLUL</v>
      </c>
      <c r="B126" s="5" t="str">
        <f ca="1">IFERROR(__xludf.DUMMYFUNCTION("""COMPUTED_VALUE"""),"Adult")</f>
        <v>Adult</v>
      </c>
      <c r="C126" s="5" t="str">
        <f ca="1">IFERROR(__xludf.DUMMYFUNCTION("""COMPUTED_VALUE"""),"Male")</f>
        <v>Male</v>
      </c>
      <c r="D126" s="5"/>
      <c r="E126" s="5"/>
      <c r="F126" s="5" t="str">
        <f ca="1">IFERROR(__xludf.DUMMYFUNCTION("""COMPUTED_VALUE"""),"Fled/Escaped")</f>
        <v>Fled/Escaped</v>
      </c>
      <c r="G126" s="5" t="str">
        <f ca="1">IFERROR(__xludf.DUMMYFUNCTION("""COMPUTED_VALUE"""),"No")</f>
        <v>No</v>
      </c>
      <c r="H126" s="5" t="str">
        <f ca="1">IFERROR(__xludf.DUMMYFUNCTION("""COMPUTED_VALUE"""),"None")</f>
        <v>None</v>
      </c>
    </row>
    <row r="127" spans="1:8" ht="13">
      <c r="A127" s="5" t="str">
        <f ca="1">IFERROR(__xludf.DUMMYFUNCTION("""COMPUTED_VALUE"""),"20221115TNMAN")</f>
        <v>20221115TNMAN</v>
      </c>
      <c r="B127" s="5" t="str">
        <f ca="1">IFERROR(__xludf.DUMMYFUNCTION("""COMPUTED_VALUE"""),"Adult")</f>
        <v>Adult</v>
      </c>
      <c r="C127" s="5" t="str">
        <f ca="1">IFERROR(__xludf.DUMMYFUNCTION("""COMPUTED_VALUE"""),"Male")</f>
        <v>Male</v>
      </c>
      <c r="D127" s="5"/>
      <c r="E127" s="5" t="str">
        <f ca="1">IFERROR(__xludf.DUMMYFUNCTION("""COMPUTED_VALUE"""),"No Relation")</f>
        <v>No Relation</v>
      </c>
      <c r="F127" s="5" t="str">
        <f ca="1">IFERROR(__xludf.DUMMYFUNCTION("""COMPUTED_VALUE"""),"Fled/Escaped")</f>
        <v>Fled/Escaped</v>
      </c>
      <c r="G127" s="5" t="str">
        <f ca="1">IFERROR(__xludf.DUMMYFUNCTION("""COMPUTED_VALUE"""),"No")</f>
        <v>No</v>
      </c>
      <c r="H127" s="5" t="str">
        <f ca="1">IFERROR(__xludf.DUMMYFUNCTION("""COMPUTED_VALUE"""),"None")</f>
        <v>None</v>
      </c>
    </row>
    <row r="128" spans="1:8" ht="13">
      <c r="A128" s="5" t="str">
        <f ca="1">IFERROR(__xludf.DUMMYFUNCTION("""COMPUTED_VALUE"""),"20221115LABAB")</f>
        <v>20221115LABAB</v>
      </c>
      <c r="B128" s="5" t="str">
        <f ca="1">IFERROR(__xludf.DUMMYFUNCTION("""COMPUTED_VALUE"""),"Adult")</f>
        <v>Adult</v>
      </c>
      <c r="C128" s="5" t="str">
        <f ca="1">IFERROR(__xludf.DUMMYFUNCTION("""COMPUTED_VALUE"""),"Male")</f>
        <v>Male</v>
      </c>
      <c r="D128" s="5"/>
      <c r="E128" s="5" t="str">
        <f ca="1">IFERROR(__xludf.DUMMYFUNCTION("""COMPUTED_VALUE"""),"No Relation")</f>
        <v>No Relation</v>
      </c>
      <c r="F128" s="5" t="str">
        <f ca="1">IFERROR(__xludf.DUMMYFUNCTION("""COMPUTED_VALUE"""),"Apprehended/Killed by SRO")</f>
        <v>Apprehended/Killed by SRO</v>
      </c>
      <c r="G128" s="5" t="str">
        <f ca="1">IFERROR(__xludf.DUMMYFUNCTION("""COMPUTED_VALUE"""),"No")</f>
        <v>No</v>
      </c>
      <c r="H128" s="5" t="str">
        <f ca="1">IFERROR(__xludf.DUMMYFUNCTION("""COMPUTED_VALUE"""),"Wounded")</f>
        <v>Wounded</v>
      </c>
    </row>
    <row r="129" spans="1:8" ht="13">
      <c r="A129" s="5" t="str">
        <f ca="1">IFERROR(__xludf.DUMMYFUNCTION("""COMPUTED_VALUE"""),"20221115LABAB")</f>
        <v>20221115LABAB</v>
      </c>
      <c r="B129" s="5" t="str">
        <f ca="1">IFERROR(__xludf.DUMMYFUNCTION("""COMPUTED_VALUE"""),"Teen")</f>
        <v>Teen</v>
      </c>
      <c r="C129" s="5" t="str">
        <f ca="1">IFERROR(__xludf.DUMMYFUNCTION("""COMPUTED_VALUE"""),"Male")</f>
        <v>Male</v>
      </c>
      <c r="D129" s="5"/>
      <c r="E129" s="5" t="str">
        <f ca="1">IFERROR(__xludf.DUMMYFUNCTION("""COMPUTED_VALUE"""),"No Relation")</f>
        <v>No Relation</v>
      </c>
      <c r="F129" s="5" t="str">
        <f ca="1">IFERROR(__xludf.DUMMYFUNCTION("""COMPUTED_VALUE"""),"Apprehended/Killed by SRO")</f>
        <v>Apprehended/Killed by SRO</v>
      </c>
      <c r="G129" s="5" t="str">
        <f ca="1">IFERROR(__xludf.DUMMYFUNCTION("""COMPUTED_VALUE"""),"No")</f>
        <v>No</v>
      </c>
      <c r="H129" s="5" t="str">
        <f ca="1">IFERROR(__xludf.DUMMYFUNCTION("""COMPUTED_VALUE"""),"Wounded")</f>
        <v>Wounded</v>
      </c>
    </row>
    <row r="130" spans="1:8" ht="13">
      <c r="A130" s="5" t="str">
        <f ca="1">IFERROR(__xludf.DUMMYFUNCTION("""COMPUTED_VALUE"""),"20221112FLJOO")</f>
        <v>20221112FLJOO</v>
      </c>
      <c r="B130" s="5" t="str">
        <f ca="1">IFERROR(__xludf.DUMMYFUNCTION("""COMPUTED_VALUE"""),"Teen")</f>
        <v>Teen</v>
      </c>
      <c r="C130" s="5" t="str">
        <f ca="1">IFERROR(__xludf.DUMMYFUNCTION("""COMPUTED_VALUE"""),"Male")</f>
        <v>Male</v>
      </c>
      <c r="D130" s="5"/>
      <c r="E130" s="5"/>
      <c r="F130" s="5" t="str">
        <f ca="1">IFERROR(__xludf.DUMMYFUNCTION("""COMPUTED_VALUE"""),"Fled/Escaped")</f>
        <v>Fled/Escaped</v>
      </c>
      <c r="G130" s="5" t="str">
        <f ca="1">IFERROR(__xludf.DUMMYFUNCTION("""COMPUTED_VALUE"""),"No")</f>
        <v>No</v>
      </c>
      <c r="H130" s="5" t="str">
        <f ca="1">IFERROR(__xludf.DUMMYFUNCTION("""COMPUTED_VALUE"""),"None")</f>
        <v>None</v>
      </c>
    </row>
    <row r="131" spans="1:8" ht="13">
      <c r="A131" s="5" t="str">
        <f ca="1">IFERROR(__xludf.DUMMYFUNCTION("""COMPUTED_VALUE"""),"20221112FLJOO")</f>
        <v>20221112FLJOO</v>
      </c>
      <c r="B131" s="5">
        <f ca="1">IFERROR(__xludf.DUMMYFUNCTION("""COMPUTED_VALUE"""),17)</f>
        <v>17</v>
      </c>
      <c r="C131" s="5" t="str">
        <f ca="1">IFERROR(__xludf.DUMMYFUNCTION("""COMPUTED_VALUE"""),"Male")</f>
        <v>Male</v>
      </c>
      <c r="D131" s="5" t="str">
        <f ca="1">IFERROR(__xludf.DUMMYFUNCTION("""COMPUTED_VALUE"""),"Black")</f>
        <v>Black</v>
      </c>
      <c r="E131" s="5" t="str">
        <f ca="1">IFERROR(__xludf.DUMMYFUNCTION("""COMPUTED_VALUE"""),"Former Student")</f>
        <v>Former Student</v>
      </c>
      <c r="F131" s="5" t="str">
        <f ca="1">IFERROR(__xludf.DUMMYFUNCTION("""COMPUTED_VALUE"""),"Fled/Apprehended")</f>
        <v>Fled/Apprehended</v>
      </c>
      <c r="G131" s="5" t="str">
        <f ca="1">IFERROR(__xludf.DUMMYFUNCTION("""COMPUTED_VALUE"""),"No")</f>
        <v>No</v>
      </c>
      <c r="H131" s="5" t="str">
        <f ca="1">IFERROR(__xludf.DUMMYFUNCTION("""COMPUTED_VALUE"""),"None")</f>
        <v>None</v>
      </c>
    </row>
    <row r="132" spans="1:8" ht="13">
      <c r="A132" s="5" t="str">
        <f ca="1">IFERROR(__xludf.DUMMYFUNCTION("""COMPUTED_VALUE"""),"20221112FLJOO")</f>
        <v>20221112FLJOO</v>
      </c>
      <c r="B132" s="5">
        <f ca="1">IFERROR(__xludf.DUMMYFUNCTION("""COMPUTED_VALUE"""),15)</f>
        <v>15</v>
      </c>
      <c r="C132" s="5" t="str">
        <f ca="1">IFERROR(__xludf.DUMMYFUNCTION("""COMPUTED_VALUE"""),"Male")</f>
        <v>Male</v>
      </c>
      <c r="D132" s="5"/>
      <c r="E132" s="5"/>
      <c r="F132" s="5" t="str">
        <f ca="1">IFERROR(__xludf.DUMMYFUNCTION("""COMPUTED_VALUE"""),"Fled/Apprehended")</f>
        <v>Fled/Apprehended</v>
      </c>
      <c r="G132" s="5" t="str">
        <f ca="1">IFERROR(__xludf.DUMMYFUNCTION("""COMPUTED_VALUE"""),"No")</f>
        <v>No</v>
      </c>
      <c r="H132" s="5" t="str">
        <f ca="1">IFERROR(__xludf.DUMMYFUNCTION("""COMPUTED_VALUE"""),"None")</f>
        <v>None</v>
      </c>
    </row>
    <row r="133" spans="1:8" ht="13">
      <c r="A133" s="5" t="str">
        <f ca="1">IFERROR(__xludf.DUMMYFUNCTION("""COMPUTED_VALUE"""),"20221111MSRAR")</f>
        <v>20221111MSRAR</v>
      </c>
      <c r="B133" s="5"/>
      <c r="C133" s="5"/>
      <c r="D133" s="5"/>
      <c r="E133" s="5"/>
      <c r="F133" s="5" t="str">
        <f ca="1">IFERROR(__xludf.DUMMYFUNCTION("""COMPUTED_VALUE"""),"Fled/Escaped")</f>
        <v>Fled/Escaped</v>
      </c>
      <c r="G133" s="5" t="str">
        <f ca="1">IFERROR(__xludf.DUMMYFUNCTION("""COMPUTED_VALUE"""),"No")</f>
        <v>No</v>
      </c>
      <c r="H133" s="5" t="str">
        <f ca="1">IFERROR(__xludf.DUMMYFUNCTION("""COMPUTED_VALUE"""),"None")</f>
        <v>None</v>
      </c>
    </row>
    <row r="134" spans="1:8" ht="13">
      <c r="A134" s="5" t="str">
        <f ca="1">IFERROR(__xludf.DUMMYFUNCTION("""COMPUTED_VALUE"""),"20221109KYCAC")</f>
        <v>20221109KYCAC</v>
      </c>
      <c r="B134" s="5">
        <f ca="1">IFERROR(__xludf.DUMMYFUNCTION("""COMPUTED_VALUE"""),37)</f>
        <v>37</v>
      </c>
      <c r="C134" s="5" t="str">
        <f ca="1">IFERROR(__xludf.DUMMYFUNCTION("""COMPUTED_VALUE"""),"Male")</f>
        <v>Male</v>
      </c>
      <c r="D134" s="5"/>
      <c r="E134" s="5" t="str">
        <f ca="1">IFERROR(__xludf.DUMMYFUNCTION("""COMPUTED_VALUE"""),"Parent")</f>
        <v>Parent</v>
      </c>
      <c r="F134" s="5" t="str">
        <f ca="1">IFERROR(__xludf.DUMMYFUNCTION("""COMPUTED_VALUE"""),"Surrendered")</f>
        <v>Surrendered</v>
      </c>
      <c r="G134" s="5" t="str">
        <f ca="1">IFERROR(__xludf.DUMMYFUNCTION("""COMPUTED_VALUE"""),"No")</f>
        <v>No</v>
      </c>
      <c r="H134" s="5" t="str">
        <f ca="1">IFERROR(__xludf.DUMMYFUNCTION("""COMPUTED_VALUE"""),"Wounded")</f>
        <v>Wounded</v>
      </c>
    </row>
    <row r="135" spans="1:8" ht="13">
      <c r="A135" s="5" t="str">
        <f ca="1">IFERROR(__xludf.DUMMYFUNCTION("""COMPUTED_VALUE"""),"20221108WAINS")</f>
        <v>20221108WAINS</v>
      </c>
      <c r="B135" s="5">
        <f ca="1">IFERROR(__xludf.DUMMYFUNCTION("""COMPUTED_VALUE"""),14)</f>
        <v>14</v>
      </c>
      <c r="C135" s="5" t="str">
        <f ca="1">IFERROR(__xludf.DUMMYFUNCTION("""COMPUTED_VALUE"""),"Male")</f>
        <v>Male</v>
      </c>
      <c r="D135" s="5"/>
      <c r="E135" s="5" t="str">
        <f ca="1">IFERROR(__xludf.DUMMYFUNCTION("""COMPUTED_VALUE"""),"Student")</f>
        <v>Student</v>
      </c>
      <c r="F135" s="5" t="str">
        <f ca="1">IFERROR(__xludf.DUMMYFUNCTION("""COMPUTED_VALUE"""),"Fled/Apprehended")</f>
        <v>Fled/Apprehended</v>
      </c>
      <c r="G135" s="5" t="str">
        <f ca="1">IFERROR(__xludf.DUMMYFUNCTION("""COMPUTED_VALUE"""),"No")</f>
        <v>No</v>
      </c>
      <c r="H135" s="5" t="str">
        <f ca="1">IFERROR(__xludf.DUMMYFUNCTION("""COMPUTED_VALUE"""),"None")</f>
        <v>None</v>
      </c>
    </row>
    <row r="136" spans="1:8" ht="13">
      <c r="A136" s="5" t="str">
        <f ca="1">IFERROR(__xludf.DUMMYFUNCTION("""COMPUTED_VALUE"""),"20221106VAHUH")</f>
        <v>20221106VAHUH</v>
      </c>
      <c r="B136" s="5" t="str">
        <f ca="1">IFERROR(__xludf.DUMMYFUNCTION("""COMPUTED_VALUE"""),"Adult")</f>
        <v>Adult</v>
      </c>
      <c r="C136" s="5" t="str">
        <f ca="1">IFERROR(__xludf.DUMMYFUNCTION("""COMPUTED_VALUE"""),"Male")</f>
        <v>Male</v>
      </c>
      <c r="D136" s="5"/>
      <c r="E136" s="5" t="str">
        <f ca="1">IFERROR(__xludf.DUMMYFUNCTION("""COMPUTED_VALUE"""),"No Relation")</f>
        <v>No Relation</v>
      </c>
      <c r="F136" s="5" t="str">
        <f ca="1">IFERROR(__xludf.DUMMYFUNCTION("""COMPUTED_VALUE"""),"Fled/Apprehended")</f>
        <v>Fled/Apprehended</v>
      </c>
      <c r="G136" s="5" t="str">
        <f ca="1">IFERROR(__xludf.DUMMYFUNCTION("""COMPUTED_VALUE"""),"No")</f>
        <v>No</v>
      </c>
      <c r="H136" s="5" t="str">
        <f ca="1">IFERROR(__xludf.DUMMYFUNCTION("""COMPUTED_VALUE"""),"None")</f>
        <v>None</v>
      </c>
    </row>
    <row r="137" spans="1:8" ht="13">
      <c r="A137" s="5" t="str">
        <f ca="1">IFERROR(__xludf.DUMMYFUNCTION("""COMPUTED_VALUE"""),"20221105TXDAF")</f>
        <v>20221105TXDAF</v>
      </c>
      <c r="B137" s="5" t="str">
        <f ca="1">IFERROR(__xludf.DUMMYFUNCTION("""COMPUTED_VALUE"""),"Adult")</f>
        <v>Adult</v>
      </c>
      <c r="C137" s="5"/>
      <c r="D137" s="5"/>
      <c r="E137" s="5" t="str">
        <f ca="1">IFERROR(__xludf.DUMMYFUNCTION("""COMPUTED_VALUE"""),"Police Officer/SRO")</f>
        <v>Police Officer/SRO</v>
      </c>
      <c r="F137" s="5" t="str">
        <f ca="1">IFERROR(__xludf.DUMMYFUNCTION("""COMPUTED_VALUE"""),"Law Enforcement")</f>
        <v>Law Enforcement</v>
      </c>
      <c r="G137" s="5" t="str">
        <f ca="1">IFERROR(__xludf.DUMMYFUNCTION("""COMPUTED_VALUE"""),"No")</f>
        <v>No</v>
      </c>
      <c r="H137" s="5" t="str">
        <f ca="1">IFERROR(__xludf.DUMMYFUNCTION("""COMPUTED_VALUE"""),"None")</f>
        <v>None</v>
      </c>
    </row>
    <row r="138" spans="1:8" ht="13">
      <c r="A138" s="5" t="str">
        <f ca="1">IFERROR(__xludf.DUMMYFUNCTION("""COMPUTED_VALUE"""),"20221104KYVAL")</f>
        <v>20221104KYVAL</v>
      </c>
      <c r="B138" s="5">
        <f ca="1">IFERROR(__xludf.DUMMYFUNCTION("""COMPUTED_VALUE"""),20)</f>
        <v>20</v>
      </c>
      <c r="C138" s="5" t="str">
        <f ca="1">IFERROR(__xludf.DUMMYFUNCTION("""COMPUTED_VALUE"""),"Male")</f>
        <v>Male</v>
      </c>
      <c r="D138" s="5"/>
      <c r="E138" s="5" t="str">
        <f ca="1">IFERROR(__xludf.DUMMYFUNCTION("""COMPUTED_VALUE"""),"No Relation")</f>
        <v>No Relation</v>
      </c>
      <c r="F138" s="5" t="str">
        <f ca="1">IFERROR(__xludf.DUMMYFUNCTION("""COMPUTED_VALUE"""),"Fled/Apprehended")</f>
        <v>Fled/Apprehended</v>
      </c>
      <c r="G138" s="5" t="str">
        <f ca="1">IFERROR(__xludf.DUMMYFUNCTION("""COMPUTED_VALUE"""),"No")</f>
        <v>No</v>
      </c>
      <c r="H138" s="5" t="str">
        <f ca="1">IFERROR(__xludf.DUMMYFUNCTION("""COMPUTED_VALUE"""),"None")</f>
        <v>None</v>
      </c>
    </row>
    <row r="139" spans="1:8" ht="13">
      <c r="A139" s="5" t="str">
        <f ca="1">IFERROR(__xludf.DUMMYFUNCTION("""COMPUTED_VALUE"""),"20221103GASHS")</f>
        <v>20221103GASHS</v>
      </c>
      <c r="B139" s="5"/>
      <c r="C139" s="5"/>
      <c r="D139" s="5"/>
      <c r="E139" s="5"/>
      <c r="F139" s="5" t="str">
        <f ca="1">IFERROR(__xludf.DUMMYFUNCTION("""COMPUTED_VALUE"""),"Fled/Escaped")</f>
        <v>Fled/Escaped</v>
      </c>
      <c r="G139" s="5" t="str">
        <f ca="1">IFERROR(__xludf.DUMMYFUNCTION("""COMPUTED_VALUE"""),"No")</f>
        <v>No</v>
      </c>
      <c r="H139" s="5" t="str">
        <f ca="1">IFERROR(__xludf.DUMMYFUNCTION("""COMPUTED_VALUE"""),"None")</f>
        <v>None</v>
      </c>
    </row>
    <row r="140" spans="1:8" ht="13">
      <c r="A140" s="5" t="str">
        <f ca="1">IFERROR(__xludf.DUMMYFUNCTION("""COMPUTED_VALUE"""),"20221102DCMCW")</f>
        <v>20221102DCMCW</v>
      </c>
      <c r="B140" s="5" t="str">
        <f ca="1">IFERROR(__xludf.DUMMYFUNCTION("""COMPUTED_VALUE"""),"Teen")</f>
        <v>Teen</v>
      </c>
      <c r="C140" s="5" t="str">
        <f ca="1">IFERROR(__xludf.DUMMYFUNCTION("""COMPUTED_VALUE"""),"Male")</f>
        <v>Male</v>
      </c>
      <c r="D140" s="5"/>
      <c r="E140" s="5"/>
      <c r="F140" s="5" t="str">
        <f ca="1">IFERROR(__xludf.DUMMYFUNCTION("""COMPUTED_VALUE"""),"Fled/Escaped")</f>
        <v>Fled/Escaped</v>
      </c>
      <c r="G140" s="5" t="str">
        <f ca="1">IFERROR(__xludf.DUMMYFUNCTION("""COMPUTED_VALUE"""),"No")</f>
        <v>No</v>
      </c>
      <c r="H140" s="5" t="str">
        <f ca="1">IFERROR(__xludf.DUMMYFUNCTION("""COMPUTED_VALUE"""),"None")</f>
        <v>None</v>
      </c>
    </row>
    <row r="141" spans="1:8" ht="13">
      <c r="A141" s="5" t="str">
        <f ca="1">IFERROR(__xludf.DUMMYFUNCTION("""COMPUTED_VALUE"""),"20221029TXAVA")</f>
        <v>20221029TXAVA</v>
      </c>
      <c r="B141" s="5" t="str">
        <f ca="1">IFERROR(__xludf.DUMMYFUNCTION("""COMPUTED_VALUE"""),"Teen")</f>
        <v>Teen</v>
      </c>
      <c r="C141" s="5" t="str">
        <f ca="1">IFERROR(__xludf.DUMMYFUNCTION("""COMPUTED_VALUE"""),"Male")</f>
        <v>Male</v>
      </c>
      <c r="D141" s="5"/>
      <c r="E141" s="5" t="str">
        <f ca="1">IFERROR(__xludf.DUMMYFUNCTION("""COMPUTED_VALUE"""),"No Relation")</f>
        <v>No Relation</v>
      </c>
      <c r="F141" s="5" t="str">
        <f ca="1">IFERROR(__xludf.DUMMYFUNCTION("""COMPUTED_VALUE"""),"Fled/Escaped")</f>
        <v>Fled/Escaped</v>
      </c>
      <c r="G141" s="5" t="str">
        <f ca="1">IFERROR(__xludf.DUMMYFUNCTION("""COMPUTED_VALUE"""),"No")</f>
        <v>No</v>
      </c>
      <c r="H141" s="5" t="str">
        <f ca="1">IFERROR(__xludf.DUMMYFUNCTION("""COMPUTED_VALUE"""),"None")</f>
        <v>None</v>
      </c>
    </row>
    <row r="142" spans="1:8" ht="13">
      <c r="A142" s="5" t="str">
        <f ca="1">IFERROR(__xludf.DUMMYFUNCTION("""COMPUTED_VALUE"""),"20221029COCRH")</f>
        <v>20221029COCRH</v>
      </c>
      <c r="B142" s="5">
        <f ca="1">IFERROR(__xludf.DUMMYFUNCTION("""COMPUTED_VALUE"""),65)</f>
        <v>65</v>
      </c>
      <c r="C142" s="5" t="str">
        <f ca="1">IFERROR(__xludf.DUMMYFUNCTION("""COMPUTED_VALUE"""),"Male")</f>
        <v>Male</v>
      </c>
      <c r="D142" s="5"/>
      <c r="E142" s="5" t="str">
        <f ca="1">IFERROR(__xludf.DUMMYFUNCTION("""COMPUTED_VALUE"""),"Nonstudent Using Athletic Facilities/Attending Game")</f>
        <v>Nonstudent Using Athletic Facilities/Attending Game</v>
      </c>
      <c r="F142" s="5" t="str">
        <f ca="1">IFERROR(__xludf.DUMMYFUNCTION("""COMPUTED_VALUE"""),"Apprehended/Killed by LE")</f>
        <v>Apprehended/Killed by LE</v>
      </c>
      <c r="G142" s="5" t="str">
        <f ca="1">IFERROR(__xludf.DUMMYFUNCTION("""COMPUTED_VALUE"""),"No")</f>
        <v>No</v>
      </c>
      <c r="H142" s="5" t="str">
        <f ca="1">IFERROR(__xludf.DUMMYFUNCTION("""COMPUTED_VALUE"""),"None")</f>
        <v>None</v>
      </c>
    </row>
    <row r="143" spans="1:8" ht="13">
      <c r="A143" s="5" t="str">
        <f ca="1">IFERROR(__xludf.DUMMYFUNCTION("""COMPUTED_VALUE"""),"20221028NCWAT")</f>
        <v>20221028NCWAT</v>
      </c>
      <c r="B143" s="5">
        <f ca="1">IFERROR(__xludf.DUMMYFUNCTION("""COMPUTED_VALUE"""),20)</f>
        <v>20</v>
      </c>
      <c r="C143" s="5" t="str">
        <f ca="1">IFERROR(__xludf.DUMMYFUNCTION("""COMPUTED_VALUE"""),"Male")</f>
        <v>Male</v>
      </c>
      <c r="D143" s="5"/>
      <c r="E143" s="5" t="str">
        <f ca="1">IFERROR(__xludf.DUMMYFUNCTION("""COMPUTED_VALUE"""),"Nonstudent Using Athletic Facilities/Attending Game")</f>
        <v>Nonstudent Using Athletic Facilities/Attending Game</v>
      </c>
      <c r="F143" s="5" t="str">
        <f ca="1">IFERROR(__xludf.DUMMYFUNCTION("""COMPUTED_VALUE"""),"Fled/Apprehended")</f>
        <v>Fled/Apprehended</v>
      </c>
      <c r="G143" s="5" t="str">
        <f ca="1">IFERROR(__xludf.DUMMYFUNCTION("""COMPUTED_VALUE"""),"No")</f>
        <v>No</v>
      </c>
      <c r="H143" s="5" t="str">
        <f ca="1">IFERROR(__xludf.DUMMYFUNCTION("""COMPUTED_VALUE"""),"None")</f>
        <v>None</v>
      </c>
    </row>
    <row r="144" spans="1:8" ht="13">
      <c r="A144" s="5" t="str">
        <f ca="1">IFERROR(__xludf.DUMMYFUNCTION("""COMPUTED_VALUE"""),"20221028TXROR")</f>
        <v>20221028TXROR</v>
      </c>
      <c r="B144" s="5" t="str">
        <f ca="1">IFERROR(__xludf.DUMMYFUNCTION("""COMPUTED_VALUE"""),"Teen")</f>
        <v>Teen</v>
      </c>
      <c r="C144" s="5" t="str">
        <f ca="1">IFERROR(__xludf.DUMMYFUNCTION("""COMPUTED_VALUE"""),"Male")</f>
        <v>Male</v>
      </c>
      <c r="D144" s="5"/>
      <c r="E144" s="5" t="str">
        <f ca="1">IFERROR(__xludf.DUMMYFUNCTION("""COMPUTED_VALUE"""),"Student")</f>
        <v>Student</v>
      </c>
      <c r="F144" s="5" t="str">
        <f ca="1">IFERROR(__xludf.DUMMYFUNCTION("""COMPUTED_VALUE"""),"Apprehended/Killed by SRO")</f>
        <v>Apprehended/Killed by SRO</v>
      </c>
      <c r="G144" s="5" t="str">
        <f ca="1">IFERROR(__xludf.DUMMYFUNCTION("""COMPUTED_VALUE"""),"No")</f>
        <v>No</v>
      </c>
      <c r="H144" s="5" t="str">
        <f ca="1">IFERROR(__xludf.DUMMYFUNCTION("""COMPUTED_VALUE"""),"None")</f>
        <v>None</v>
      </c>
    </row>
    <row r="145" spans="1:8" ht="13">
      <c r="A145" s="5" t="str">
        <f ca="1">IFERROR(__xludf.DUMMYFUNCTION("""COMPUTED_VALUE"""),"20221028ARROR")</f>
        <v>20221028ARROR</v>
      </c>
      <c r="B145" s="5">
        <f ca="1">IFERROR(__xludf.DUMMYFUNCTION("""COMPUTED_VALUE"""),12)</f>
        <v>12</v>
      </c>
      <c r="C145" s="5"/>
      <c r="D145" s="5"/>
      <c r="E145" s="5"/>
      <c r="F145" s="5" t="str">
        <f ca="1">IFERROR(__xludf.DUMMYFUNCTION("""COMPUTED_VALUE"""),"Fled/Apprehended")</f>
        <v>Fled/Apprehended</v>
      </c>
      <c r="G145" s="5" t="str">
        <f ca="1">IFERROR(__xludf.DUMMYFUNCTION("""COMPUTED_VALUE"""),"No")</f>
        <v>No</v>
      </c>
      <c r="H145" s="5" t="str">
        <f ca="1">IFERROR(__xludf.DUMMYFUNCTION("""COMPUTED_VALUE"""),"None")</f>
        <v>None</v>
      </c>
    </row>
    <row r="146" spans="1:8" ht="13">
      <c r="A146" s="5" t="str">
        <f ca="1">IFERROR(__xludf.DUMMYFUNCTION("""COMPUTED_VALUE"""),"20221026ILMIW")</f>
        <v>20221026ILMIW</v>
      </c>
      <c r="B146" s="5"/>
      <c r="C146" s="5"/>
      <c r="D146" s="5"/>
      <c r="E146" s="5" t="str">
        <f ca="1">IFERROR(__xludf.DUMMYFUNCTION("""COMPUTED_VALUE"""),"No Relation")</f>
        <v>No Relation</v>
      </c>
      <c r="F146" s="5" t="str">
        <f ca="1">IFERROR(__xludf.DUMMYFUNCTION("""COMPUTED_VALUE"""),"Fled/Escaped")</f>
        <v>Fled/Escaped</v>
      </c>
      <c r="G146" s="5" t="str">
        <f ca="1">IFERROR(__xludf.DUMMYFUNCTION("""COMPUTED_VALUE"""),"No")</f>
        <v>No</v>
      </c>
      <c r="H146" s="5" t="str">
        <f ca="1">IFERROR(__xludf.DUMMYFUNCTION("""COMPUTED_VALUE"""),"None")</f>
        <v>None</v>
      </c>
    </row>
    <row r="147" spans="1:8" ht="13">
      <c r="A147" s="5" t="str">
        <f ca="1">IFERROR(__xludf.DUMMYFUNCTION("""COMPUTED_VALUE"""),"20221025PAPAP")</f>
        <v>20221025PAPAP</v>
      </c>
      <c r="B147" s="5" t="str">
        <f ca="1">IFERROR(__xludf.DUMMYFUNCTION("""COMPUTED_VALUE"""),"Adult")</f>
        <v>Adult</v>
      </c>
      <c r="C147" s="5" t="str">
        <f ca="1">IFERROR(__xludf.DUMMYFUNCTION("""COMPUTED_VALUE"""),"Male")</f>
        <v>Male</v>
      </c>
      <c r="D147" s="5"/>
      <c r="E147" s="5" t="str">
        <f ca="1">IFERROR(__xludf.DUMMYFUNCTION("""COMPUTED_VALUE"""),"No Relation")</f>
        <v>No Relation</v>
      </c>
      <c r="F147" s="5" t="str">
        <f ca="1">IFERROR(__xludf.DUMMYFUNCTION("""COMPUTED_VALUE"""),"Fled/Apprehended")</f>
        <v>Fled/Apprehended</v>
      </c>
      <c r="G147" s="5" t="str">
        <f ca="1">IFERROR(__xludf.DUMMYFUNCTION("""COMPUTED_VALUE"""),"No")</f>
        <v>No</v>
      </c>
      <c r="H147" s="5" t="str">
        <f ca="1">IFERROR(__xludf.DUMMYFUNCTION("""COMPUTED_VALUE"""),"None")</f>
        <v>None</v>
      </c>
    </row>
    <row r="148" spans="1:8" ht="13">
      <c r="A148" s="5" t="str">
        <f ca="1">IFERROR(__xludf.DUMMYFUNCTION("""COMPUTED_VALUE"""),"20221025NYTOS")</f>
        <v>20221025NYTOS</v>
      </c>
      <c r="B148" s="5" t="str">
        <f ca="1">IFERROR(__xludf.DUMMYFUNCTION("""COMPUTED_VALUE"""),"Teen")</f>
        <v>Teen</v>
      </c>
      <c r="C148" s="5" t="str">
        <f ca="1">IFERROR(__xludf.DUMMYFUNCTION("""COMPUTED_VALUE"""),"Male")</f>
        <v>Male</v>
      </c>
      <c r="D148" s="5"/>
      <c r="E148" s="5" t="str">
        <f ca="1">IFERROR(__xludf.DUMMYFUNCTION("""COMPUTED_VALUE"""),"Student")</f>
        <v>Student</v>
      </c>
      <c r="F148" s="5" t="str">
        <f ca="1">IFERROR(__xludf.DUMMYFUNCTION("""COMPUTED_VALUE"""),"Fled/Escaped")</f>
        <v>Fled/Escaped</v>
      </c>
      <c r="G148" s="5" t="str">
        <f ca="1">IFERROR(__xludf.DUMMYFUNCTION("""COMPUTED_VALUE"""),"No")</f>
        <v>No</v>
      </c>
      <c r="H148" s="5" t="str">
        <f ca="1">IFERROR(__xludf.DUMMYFUNCTION("""COMPUTED_VALUE"""),"None")</f>
        <v>None</v>
      </c>
    </row>
    <row r="149" spans="1:8" ht="13">
      <c r="A149" s="5" t="str">
        <f ca="1">IFERROR(__xludf.DUMMYFUNCTION("""COMPUTED_VALUE"""),"20221024MOCES")</f>
        <v>20221024MOCES</v>
      </c>
      <c r="B149" s="5">
        <f ca="1">IFERROR(__xludf.DUMMYFUNCTION("""COMPUTED_VALUE"""),19)</f>
        <v>19</v>
      </c>
      <c r="C149" s="5" t="str">
        <f ca="1">IFERROR(__xludf.DUMMYFUNCTION("""COMPUTED_VALUE"""),"Male")</f>
        <v>Male</v>
      </c>
      <c r="D149" s="5"/>
      <c r="E149" s="5" t="str">
        <f ca="1">IFERROR(__xludf.DUMMYFUNCTION("""COMPUTED_VALUE"""),"Former Student")</f>
        <v>Former Student</v>
      </c>
      <c r="F149" s="5" t="str">
        <f ca="1">IFERROR(__xludf.DUMMYFUNCTION("""COMPUTED_VALUE"""),"Apprehended/Killed by LE")</f>
        <v>Apprehended/Killed by LE</v>
      </c>
      <c r="G149" s="5" t="str">
        <f ca="1">IFERROR(__xludf.DUMMYFUNCTION("""COMPUTED_VALUE"""),"Yes")</f>
        <v>Yes</v>
      </c>
      <c r="H149" s="5" t="str">
        <f ca="1">IFERROR(__xludf.DUMMYFUNCTION("""COMPUTED_VALUE"""),"Fatal")</f>
        <v>Fatal</v>
      </c>
    </row>
    <row r="150" spans="1:8" ht="13">
      <c r="A150" s="5" t="str">
        <f ca="1">IFERROR(__xludf.DUMMYFUNCTION("""COMPUTED_VALUE"""),"20221022OHDUC")</f>
        <v>20221022OHDUC</v>
      </c>
      <c r="B150" s="5"/>
      <c r="C150" s="5"/>
      <c r="D150" s="5"/>
      <c r="E150" s="5" t="str">
        <f ca="1">IFERROR(__xludf.DUMMYFUNCTION("""COMPUTED_VALUE"""),"No Relation")</f>
        <v>No Relation</v>
      </c>
      <c r="F150" s="5" t="str">
        <f ca="1">IFERROR(__xludf.DUMMYFUNCTION("""COMPUTED_VALUE"""),"Fled/Escaped")</f>
        <v>Fled/Escaped</v>
      </c>
      <c r="G150" s="5" t="str">
        <f ca="1">IFERROR(__xludf.DUMMYFUNCTION("""COMPUTED_VALUE"""),"No")</f>
        <v>No</v>
      </c>
      <c r="H150" s="5" t="str">
        <f ca="1">IFERROR(__xludf.DUMMYFUNCTION("""COMPUTED_VALUE"""),"None")</f>
        <v>None</v>
      </c>
    </row>
    <row r="151" spans="1:8" ht="13">
      <c r="A151" s="5" t="str">
        <f ca="1">IFERROR(__xludf.DUMMYFUNCTION("""COMPUTED_VALUE"""),"20221022ILCHC")</f>
        <v>20221022ILCHC</v>
      </c>
      <c r="B151" s="5" t="str">
        <f ca="1">IFERROR(__xludf.DUMMYFUNCTION("""COMPUTED_VALUE"""),"Adult")</f>
        <v>Adult</v>
      </c>
      <c r="C151" s="5" t="str">
        <f ca="1">IFERROR(__xludf.DUMMYFUNCTION("""COMPUTED_VALUE"""),"Male")</f>
        <v>Male</v>
      </c>
      <c r="D151" s="5"/>
      <c r="E151" s="5" t="str">
        <f ca="1">IFERROR(__xludf.DUMMYFUNCTION("""COMPUTED_VALUE"""),"No Relation")</f>
        <v>No Relation</v>
      </c>
      <c r="F151" s="5" t="str">
        <f ca="1">IFERROR(__xludf.DUMMYFUNCTION("""COMPUTED_VALUE"""),"Fled/Escaped")</f>
        <v>Fled/Escaped</v>
      </c>
      <c r="G151" s="5" t="str">
        <f ca="1">IFERROR(__xludf.DUMMYFUNCTION("""COMPUTED_VALUE"""),"No")</f>
        <v>No</v>
      </c>
      <c r="H151" s="5" t="str">
        <f ca="1">IFERROR(__xludf.DUMMYFUNCTION("""COMPUTED_VALUE"""),"None")</f>
        <v>None</v>
      </c>
    </row>
    <row r="152" spans="1:8" ht="13">
      <c r="A152" s="5" t="str">
        <f ca="1">IFERROR(__xludf.DUMMYFUNCTION("""COMPUTED_VALUE"""),"20221022ILCHC")</f>
        <v>20221022ILCHC</v>
      </c>
      <c r="B152" s="5" t="str">
        <f ca="1">IFERROR(__xludf.DUMMYFUNCTION("""COMPUTED_VALUE"""),"Adult")</f>
        <v>Adult</v>
      </c>
      <c r="C152" s="5" t="str">
        <f ca="1">IFERROR(__xludf.DUMMYFUNCTION("""COMPUTED_VALUE"""),"Male")</f>
        <v>Male</v>
      </c>
      <c r="D152" s="5"/>
      <c r="E152" s="5" t="str">
        <f ca="1">IFERROR(__xludf.DUMMYFUNCTION("""COMPUTED_VALUE"""),"No Relation")</f>
        <v>No Relation</v>
      </c>
      <c r="F152" s="5" t="str">
        <f ca="1">IFERROR(__xludf.DUMMYFUNCTION("""COMPUTED_VALUE"""),"Fled/Escaped")</f>
        <v>Fled/Escaped</v>
      </c>
      <c r="G152" s="5" t="str">
        <f ca="1">IFERROR(__xludf.DUMMYFUNCTION("""COMPUTED_VALUE"""),"No")</f>
        <v>No</v>
      </c>
      <c r="H152" s="5" t="str">
        <f ca="1">IFERROR(__xludf.DUMMYFUNCTION("""COMPUTED_VALUE"""),"None")</f>
        <v>None</v>
      </c>
    </row>
    <row r="153" spans="1:8" ht="13">
      <c r="A153" s="5" t="str">
        <f ca="1">IFERROR(__xludf.DUMMYFUNCTION("""COMPUTED_VALUE"""),"20221021OHSHS")</f>
        <v>20221021OHSHS</v>
      </c>
      <c r="B153" s="5" t="str">
        <f ca="1">IFERROR(__xludf.DUMMYFUNCTION("""COMPUTED_VALUE"""),"Adult")</f>
        <v>Adult</v>
      </c>
      <c r="C153" s="5"/>
      <c r="D153" s="5"/>
      <c r="E153" s="5" t="str">
        <f ca="1">IFERROR(__xludf.DUMMYFUNCTION("""COMPUTED_VALUE"""),"Police Officer/SRO")</f>
        <v>Police Officer/SRO</v>
      </c>
      <c r="F153" s="5" t="str">
        <f ca="1">IFERROR(__xludf.DUMMYFUNCTION("""COMPUTED_VALUE"""),"Law Enforcement")</f>
        <v>Law Enforcement</v>
      </c>
      <c r="G153" s="5" t="str">
        <f ca="1">IFERROR(__xludf.DUMMYFUNCTION("""COMPUTED_VALUE"""),"No")</f>
        <v>No</v>
      </c>
      <c r="H153" s="5" t="str">
        <f ca="1">IFERROR(__xludf.DUMMYFUNCTION("""COMPUTED_VALUE"""),"None")</f>
        <v>None</v>
      </c>
    </row>
    <row r="154" spans="1:8" ht="13">
      <c r="A154" s="5" t="str">
        <f ca="1">IFERROR(__xludf.DUMMYFUNCTION("""COMPUTED_VALUE"""),"20221021CAGRS")</f>
        <v>20221021CAGRS</v>
      </c>
      <c r="B154" s="5">
        <f ca="1">IFERROR(__xludf.DUMMYFUNCTION("""COMPUTED_VALUE"""),15)</f>
        <v>15</v>
      </c>
      <c r="C154" s="5" t="str">
        <f ca="1">IFERROR(__xludf.DUMMYFUNCTION("""COMPUTED_VALUE"""),"Male")</f>
        <v>Male</v>
      </c>
      <c r="D154" s="5"/>
      <c r="E154" s="5" t="str">
        <f ca="1">IFERROR(__xludf.DUMMYFUNCTION("""COMPUTED_VALUE"""),"Student")</f>
        <v>Student</v>
      </c>
      <c r="F154" s="5" t="str">
        <f ca="1">IFERROR(__xludf.DUMMYFUNCTION("""COMPUTED_VALUE"""),"Fled/Apprehended")</f>
        <v>Fled/Apprehended</v>
      </c>
      <c r="G154" s="5" t="str">
        <f ca="1">IFERROR(__xludf.DUMMYFUNCTION("""COMPUTED_VALUE"""),"No")</f>
        <v>No</v>
      </c>
      <c r="H154" s="5" t="str">
        <f ca="1">IFERROR(__xludf.DUMMYFUNCTION("""COMPUTED_VALUE"""),"None")</f>
        <v>None</v>
      </c>
    </row>
    <row r="155" spans="1:8" ht="13">
      <c r="A155" s="5" t="str">
        <f ca="1">IFERROR(__xludf.DUMMYFUNCTION("""COMPUTED_VALUE"""),"20221020COCAD")</f>
        <v>20221020COCAD</v>
      </c>
      <c r="B155" s="5" t="str">
        <f ca="1">IFERROR(__xludf.DUMMYFUNCTION("""COMPUTED_VALUE"""),"Adult")</f>
        <v>Adult</v>
      </c>
      <c r="C155" s="5" t="str">
        <f ca="1">IFERROR(__xludf.DUMMYFUNCTION("""COMPUTED_VALUE"""),"Male")</f>
        <v>Male</v>
      </c>
      <c r="D155" s="5"/>
      <c r="E155" s="5" t="str">
        <f ca="1">IFERROR(__xludf.DUMMYFUNCTION("""COMPUTED_VALUE"""),"No Relation")</f>
        <v>No Relation</v>
      </c>
      <c r="F155" s="5" t="str">
        <f ca="1">IFERROR(__xludf.DUMMYFUNCTION("""COMPUTED_VALUE"""),"Fled/Apprehended")</f>
        <v>Fled/Apprehended</v>
      </c>
      <c r="G155" s="5" t="str">
        <f ca="1">IFERROR(__xludf.DUMMYFUNCTION("""COMPUTED_VALUE"""),"No")</f>
        <v>No</v>
      </c>
      <c r="H155" s="5" t="str">
        <f ca="1">IFERROR(__xludf.DUMMYFUNCTION("""COMPUTED_VALUE"""),"None")</f>
        <v>None</v>
      </c>
    </row>
    <row r="156" spans="1:8" ht="13">
      <c r="A156" s="5" t="str">
        <f ca="1">IFERROR(__xludf.DUMMYFUNCTION("""COMPUTED_VALUE"""),"20221020PAPAP")</f>
        <v>20221020PAPAP</v>
      </c>
      <c r="B156" s="5" t="str">
        <f ca="1">IFERROR(__xludf.DUMMYFUNCTION("""COMPUTED_VALUE"""),"Adult")</f>
        <v>Adult</v>
      </c>
      <c r="C156" s="5" t="str">
        <f ca="1">IFERROR(__xludf.DUMMYFUNCTION("""COMPUTED_VALUE"""),"Male")</f>
        <v>Male</v>
      </c>
      <c r="D156" s="5"/>
      <c r="E156" s="5" t="str">
        <f ca="1">IFERROR(__xludf.DUMMYFUNCTION("""COMPUTED_VALUE"""),"No Relation")</f>
        <v>No Relation</v>
      </c>
      <c r="F156" s="5" t="str">
        <f ca="1">IFERROR(__xludf.DUMMYFUNCTION("""COMPUTED_VALUE"""),"Surrendered")</f>
        <v>Surrendered</v>
      </c>
      <c r="G156" s="5" t="str">
        <f ca="1">IFERROR(__xludf.DUMMYFUNCTION("""COMPUTED_VALUE"""),"No")</f>
        <v>No</v>
      </c>
      <c r="H156" s="5" t="str">
        <f ca="1">IFERROR(__xludf.DUMMYFUNCTION("""COMPUTED_VALUE"""),"None")</f>
        <v>None</v>
      </c>
    </row>
    <row r="157" spans="1:8" ht="13">
      <c r="A157" s="5" t="str">
        <f ca="1">IFERROR(__xludf.DUMMYFUNCTION("""COMPUTED_VALUE"""),"20221019TNROR")</f>
        <v>20221019TNROR</v>
      </c>
      <c r="B157" s="5"/>
      <c r="C157" s="5" t="str">
        <f ca="1">IFERROR(__xludf.DUMMYFUNCTION("""COMPUTED_VALUE"""),"Male")</f>
        <v>Male</v>
      </c>
      <c r="D157" s="5"/>
      <c r="E157" s="5"/>
      <c r="F157" s="5" t="str">
        <f ca="1">IFERROR(__xludf.DUMMYFUNCTION("""COMPUTED_VALUE"""),"Surrendered")</f>
        <v>Surrendered</v>
      </c>
      <c r="G157" s="5" t="str">
        <f ca="1">IFERROR(__xludf.DUMMYFUNCTION("""COMPUTED_VALUE"""),"No")</f>
        <v>No</v>
      </c>
      <c r="H157" s="5" t="str">
        <f ca="1">IFERROR(__xludf.DUMMYFUNCTION("""COMPUTED_VALUE"""),"None")</f>
        <v>None</v>
      </c>
    </row>
    <row r="158" spans="1:8" ht="13">
      <c r="A158" s="5" t="str">
        <f ca="1">IFERROR(__xludf.DUMMYFUNCTION("""COMPUTED_VALUE"""),"20221018NVSUL")</f>
        <v>20221018NVSUL</v>
      </c>
      <c r="B158" s="5"/>
      <c r="C158" s="5"/>
      <c r="D158" s="5"/>
      <c r="E158" s="5"/>
      <c r="F158" s="5" t="str">
        <f ca="1">IFERROR(__xludf.DUMMYFUNCTION("""COMPUTED_VALUE"""),"Fled/Escaped")</f>
        <v>Fled/Escaped</v>
      </c>
      <c r="G158" s="5" t="str">
        <f ca="1">IFERROR(__xludf.DUMMYFUNCTION("""COMPUTED_VALUE"""),"No")</f>
        <v>No</v>
      </c>
      <c r="H158" s="5" t="str">
        <f ca="1">IFERROR(__xludf.DUMMYFUNCTION("""COMPUTED_VALUE"""),"None")</f>
        <v>None</v>
      </c>
    </row>
    <row r="159" spans="1:8" ht="13">
      <c r="A159" s="5" t="str">
        <f ca="1">IFERROR(__xludf.DUMMYFUNCTION("""COMPUTED_VALUE"""),"20221018ORJEP")</f>
        <v>20221018ORJEP</v>
      </c>
      <c r="B159" s="5"/>
      <c r="C159" s="5"/>
      <c r="D159" s="5"/>
      <c r="E159" s="5"/>
      <c r="F159" s="5" t="str">
        <f ca="1">IFERROR(__xludf.DUMMYFUNCTION("""COMPUTED_VALUE"""),"Fled/Escaped")</f>
        <v>Fled/Escaped</v>
      </c>
      <c r="G159" s="5" t="str">
        <f ca="1">IFERROR(__xludf.DUMMYFUNCTION("""COMPUTED_VALUE"""),"No")</f>
        <v>No</v>
      </c>
      <c r="H159" s="5" t="str">
        <f ca="1">IFERROR(__xludf.DUMMYFUNCTION("""COMPUTED_VALUE"""),"None")</f>
        <v>None</v>
      </c>
    </row>
    <row r="160" spans="1:8" ht="13">
      <c r="A160" s="5" t="str">
        <f ca="1">IFERROR(__xludf.DUMMYFUNCTION("""COMPUTED_VALUE"""),"20221017CAWIS")</f>
        <v>20221017CAWIS</v>
      </c>
      <c r="B160" s="5"/>
      <c r="C160" s="5"/>
      <c r="D160" s="5"/>
      <c r="E160" s="5"/>
      <c r="F160" s="5" t="str">
        <f ca="1">IFERROR(__xludf.DUMMYFUNCTION("""COMPUTED_VALUE"""),"Fled/Escaped")</f>
        <v>Fled/Escaped</v>
      </c>
      <c r="G160" s="5" t="str">
        <f ca="1">IFERROR(__xludf.DUMMYFUNCTION("""COMPUTED_VALUE"""),"No")</f>
        <v>No</v>
      </c>
      <c r="H160" s="5" t="str">
        <f ca="1">IFERROR(__xludf.DUMMYFUNCTION("""COMPUTED_VALUE"""),"None")</f>
        <v>None</v>
      </c>
    </row>
    <row r="161" spans="1:8" ht="13">
      <c r="A161" s="5" t="str">
        <f ca="1">IFERROR(__xludf.DUMMYFUNCTION("""COMPUTED_VALUE"""),"20221017FLORT")</f>
        <v>20221017FLORT</v>
      </c>
      <c r="B161" s="5" t="str">
        <f ca="1">IFERROR(__xludf.DUMMYFUNCTION("""COMPUTED_VALUE"""),"Adult")</f>
        <v>Adult</v>
      </c>
      <c r="C161" s="5" t="str">
        <f ca="1">IFERROR(__xludf.DUMMYFUNCTION("""COMPUTED_VALUE"""),"Male")</f>
        <v>Male</v>
      </c>
      <c r="D161" s="5"/>
      <c r="E161" s="5" t="str">
        <f ca="1">IFERROR(__xludf.DUMMYFUNCTION("""COMPUTED_VALUE"""),"No Relation")</f>
        <v>No Relation</v>
      </c>
      <c r="F161" s="5" t="str">
        <f ca="1">IFERROR(__xludf.DUMMYFUNCTION("""COMPUTED_VALUE"""),"Fled/Escaped")</f>
        <v>Fled/Escaped</v>
      </c>
      <c r="G161" s="5" t="str">
        <f ca="1">IFERROR(__xludf.DUMMYFUNCTION("""COMPUTED_VALUE"""),"No")</f>
        <v>No</v>
      </c>
      <c r="H161" s="5" t="str">
        <f ca="1">IFERROR(__xludf.DUMMYFUNCTION("""COMPUTED_VALUE"""),"None")</f>
        <v>None</v>
      </c>
    </row>
    <row r="162" spans="1:8" ht="13">
      <c r="A162" s="5" t="str">
        <f ca="1">IFERROR(__xludf.DUMMYFUNCTION("""COMPUTED_VALUE"""),"20221016VAFAR")</f>
        <v>20221016VAFAR</v>
      </c>
      <c r="B162" s="5" t="str">
        <f ca="1">IFERROR(__xludf.DUMMYFUNCTION("""COMPUTED_VALUE"""),"Adult")</f>
        <v>Adult</v>
      </c>
      <c r="C162" s="5"/>
      <c r="D162" s="5"/>
      <c r="E162" s="5" t="str">
        <f ca="1">IFERROR(__xludf.DUMMYFUNCTION("""COMPUTED_VALUE"""),"No Relation")</f>
        <v>No Relation</v>
      </c>
      <c r="F162" s="5" t="str">
        <f ca="1">IFERROR(__xludf.DUMMYFUNCTION("""COMPUTED_VALUE"""),"Fled/Escaped")</f>
        <v>Fled/Escaped</v>
      </c>
      <c r="G162" s="5" t="str">
        <f ca="1">IFERROR(__xludf.DUMMYFUNCTION("""COMPUTED_VALUE"""),"No")</f>
        <v>No</v>
      </c>
      <c r="H162" s="5" t="str">
        <f ca="1">IFERROR(__xludf.DUMMYFUNCTION("""COMPUTED_VALUE"""),"None")</f>
        <v>None</v>
      </c>
    </row>
    <row r="163" spans="1:8" ht="13">
      <c r="A163" s="5" t="str">
        <f ca="1">IFERROR(__xludf.DUMMYFUNCTION("""COMPUTED_VALUE"""),"20221014LAJHA")</f>
        <v>20221014LAJHA</v>
      </c>
      <c r="B163" s="5"/>
      <c r="C163" s="5"/>
      <c r="D163" s="5"/>
      <c r="E163" s="5"/>
      <c r="F163" s="5" t="str">
        <f ca="1">IFERROR(__xludf.DUMMYFUNCTION("""COMPUTED_VALUE"""),"Fled/Escaped")</f>
        <v>Fled/Escaped</v>
      </c>
      <c r="G163" s="5" t="str">
        <f ca="1">IFERROR(__xludf.DUMMYFUNCTION("""COMPUTED_VALUE"""),"No")</f>
        <v>No</v>
      </c>
      <c r="H163" s="5" t="str">
        <f ca="1">IFERROR(__xludf.DUMMYFUNCTION("""COMPUTED_VALUE"""),"None")</f>
        <v>None</v>
      </c>
    </row>
    <row r="164" spans="1:8" ht="13">
      <c r="A164" s="5" t="str">
        <f ca="1">IFERROR(__xludf.DUMMYFUNCTION("""COMPUTED_VALUE"""),"20220908LAJHA")</f>
        <v>20220908LAJHA</v>
      </c>
      <c r="B164" s="5" t="str">
        <f ca="1">IFERROR(__xludf.DUMMYFUNCTION("""COMPUTED_VALUE"""),"Teen")</f>
        <v>Teen</v>
      </c>
      <c r="C164" s="5"/>
      <c r="D164" s="5"/>
      <c r="E164" s="5"/>
      <c r="F164" s="5" t="str">
        <f ca="1">IFERROR(__xludf.DUMMYFUNCTION("""COMPUTED_VALUE"""),"Fled/Escaped")</f>
        <v>Fled/Escaped</v>
      </c>
      <c r="G164" s="5" t="str">
        <f ca="1">IFERROR(__xludf.DUMMYFUNCTION("""COMPUTED_VALUE"""),"No")</f>
        <v>No</v>
      </c>
      <c r="H164" s="5" t="str">
        <f ca="1">IFERROR(__xludf.DUMMYFUNCTION("""COMPUTED_VALUE"""),"None")</f>
        <v>None</v>
      </c>
    </row>
    <row r="165" spans="1:8" ht="13">
      <c r="A165" s="5" t="str">
        <f ca="1">IFERROR(__xludf.DUMMYFUNCTION("""COMPUTED_VALUE"""),"20221014NCJAG")</f>
        <v>20221014NCJAG</v>
      </c>
      <c r="B165" s="5" t="str">
        <f ca="1">IFERROR(__xludf.DUMMYFUNCTION("""COMPUTED_VALUE"""),"Adult")</f>
        <v>Adult</v>
      </c>
      <c r="C165" s="5"/>
      <c r="D165" s="5"/>
      <c r="E165" s="5" t="str">
        <f ca="1">IFERROR(__xludf.DUMMYFUNCTION("""COMPUTED_VALUE"""),"Nonstudent Using Athletic Facilities/Attending Game")</f>
        <v>Nonstudent Using Athletic Facilities/Attending Game</v>
      </c>
      <c r="F165" s="5" t="str">
        <f ca="1">IFERROR(__xludf.DUMMYFUNCTION("""COMPUTED_VALUE"""),"Fled/Apprehended")</f>
        <v>Fled/Apprehended</v>
      </c>
      <c r="G165" s="5" t="str">
        <f ca="1">IFERROR(__xludf.DUMMYFUNCTION("""COMPUTED_VALUE"""),"No")</f>
        <v>No</v>
      </c>
      <c r="H165" s="5" t="str">
        <f ca="1">IFERROR(__xludf.DUMMYFUNCTION("""COMPUTED_VALUE"""),"None")</f>
        <v>None</v>
      </c>
    </row>
    <row r="166" spans="1:8" ht="13">
      <c r="A166" s="5" t="str">
        <f ca="1">IFERROR(__xludf.DUMMYFUNCTION("""COMPUTED_VALUE"""),"20221014NCJAG")</f>
        <v>20221014NCJAG</v>
      </c>
      <c r="B166" s="5" t="str">
        <f ca="1">IFERROR(__xludf.DUMMYFUNCTION("""COMPUTED_VALUE"""),"Adult")</f>
        <v>Adult</v>
      </c>
      <c r="C166" s="5"/>
      <c r="D166" s="5"/>
      <c r="E166" s="5" t="str">
        <f ca="1">IFERROR(__xludf.DUMMYFUNCTION("""COMPUTED_VALUE"""),"Nonstudent Using Athletic Facilities/Attending Game")</f>
        <v>Nonstudent Using Athletic Facilities/Attending Game</v>
      </c>
      <c r="F166" s="5" t="str">
        <f ca="1">IFERROR(__xludf.DUMMYFUNCTION("""COMPUTED_VALUE"""),"Apprehended/Killed by LE")</f>
        <v>Apprehended/Killed by LE</v>
      </c>
      <c r="G166" s="5" t="str">
        <f ca="1">IFERROR(__xludf.DUMMYFUNCTION("""COMPUTED_VALUE"""),"No")</f>
        <v>No</v>
      </c>
      <c r="H166" s="5" t="str">
        <f ca="1">IFERROR(__xludf.DUMMYFUNCTION("""COMPUTED_VALUE"""),"None")</f>
        <v>None</v>
      </c>
    </row>
    <row r="167" spans="1:8" ht="13">
      <c r="A167" s="5" t="str">
        <f ca="1">IFERROR(__xludf.DUMMYFUNCTION("""COMPUTED_VALUE"""),"20221014VAWER")</f>
        <v>20221014VAWER</v>
      </c>
      <c r="B167" s="5" t="str">
        <f ca="1">IFERROR(__xludf.DUMMYFUNCTION("""COMPUTED_VALUE"""),"Adult")</f>
        <v>Adult</v>
      </c>
      <c r="C167" s="5"/>
      <c r="D167" s="5"/>
      <c r="E167" s="5"/>
      <c r="F167" s="5" t="str">
        <f ca="1">IFERROR(__xludf.DUMMYFUNCTION("""COMPUTED_VALUE"""),"Fled/Escaped")</f>
        <v>Fled/Escaped</v>
      </c>
      <c r="G167" s="5" t="str">
        <f ca="1">IFERROR(__xludf.DUMMYFUNCTION("""COMPUTED_VALUE"""),"No")</f>
        <v>No</v>
      </c>
      <c r="H167" s="5" t="str">
        <f ca="1">IFERROR(__xludf.DUMMYFUNCTION("""COMPUTED_VALUE"""),"None")</f>
        <v>None</v>
      </c>
    </row>
    <row r="168" spans="1:8" ht="13">
      <c r="A168" s="5" t="str">
        <f ca="1">IFERROR(__xludf.DUMMYFUNCTION("""COMPUTED_VALUE"""),"20221014LABOB")</f>
        <v>20221014LABOB</v>
      </c>
      <c r="B168" s="5" t="str">
        <f ca="1">IFERROR(__xludf.DUMMYFUNCTION("""COMPUTED_VALUE"""),"Teen")</f>
        <v>Teen</v>
      </c>
      <c r="C168" s="5"/>
      <c r="D168" s="5"/>
      <c r="E168" s="5" t="str">
        <f ca="1">IFERROR(__xludf.DUMMYFUNCTION("""COMPUTED_VALUE"""),"Nonstudent Using Athletic Facilities/Attending Game")</f>
        <v>Nonstudent Using Athletic Facilities/Attending Game</v>
      </c>
      <c r="F168" s="5" t="str">
        <f ca="1">IFERROR(__xludf.DUMMYFUNCTION("""COMPUTED_VALUE"""),"Fled/Escaped")</f>
        <v>Fled/Escaped</v>
      </c>
      <c r="G168" s="5" t="str">
        <f ca="1">IFERROR(__xludf.DUMMYFUNCTION("""COMPUTED_VALUE"""),"No")</f>
        <v>No</v>
      </c>
      <c r="H168" s="5" t="str">
        <f ca="1">IFERROR(__xludf.DUMMYFUNCTION("""COMPUTED_VALUE"""),"None")</f>
        <v>None</v>
      </c>
    </row>
    <row r="169" spans="1:8" ht="13">
      <c r="A169" s="5" t="str">
        <f ca="1">IFERROR(__xludf.DUMMYFUNCTION("""COMPUTED_VALUE"""),"20221014LABOB")</f>
        <v>20221014LABOB</v>
      </c>
      <c r="B169" s="5" t="str">
        <f ca="1">IFERROR(__xludf.DUMMYFUNCTION("""COMPUTED_VALUE"""),"Adult")</f>
        <v>Adult</v>
      </c>
      <c r="C169" s="5"/>
      <c r="D169" s="5"/>
      <c r="E169" s="5" t="str">
        <f ca="1">IFERROR(__xludf.DUMMYFUNCTION("""COMPUTED_VALUE"""),"Nonstudent Using Athletic Facilities/Attending Game")</f>
        <v>Nonstudent Using Athletic Facilities/Attending Game</v>
      </c>
      <c r="F169" s="5" t="str">
        <f ca="1">IFERROR(__xludf.DUMMYFUNCTION("""COMPUTED_VALUE"""),"Fled/Apprehended")</f>
        <v>Fled/Apprehended</v>
      </c>
      <c r="G169" s="5" t="str">
        <f ca="1">IFERROR(__xludf.DUMMYFUNCTION("""COMPUTED_VALUE"""),"No")</f>
        <v>No</v>
      </c>
      <c r="H169" s="5" t="str">
        <f ca="1">IFERROR(__xludf.DUMMYFUNCTION("""COMPUTED_VALUE"""),"None")</f>
        <v>None</v>
      </c>
    </row>
    <row r="170" spans="1:8" ht="13">
      <c r="A170" s="5" t="str">
        <f ca="1">IFERROR(__xludf.DUMMYFUNCTION("""COMPUTED_VALUE"""),"20221014LABOB")</f>
        <v>20221014LABOB</v>
      </c>
      <c r="B170" s="5">
        <f ca="1">IFERROR(__xludf.DUMMYFUNCTION("""COMPUTED_VALUE"""),15)</f>
        <v>15</v>
      </c>
      <c r="C170" s="5"/>
      <c r="D170" s="5"/>
      <c r="E170" s="5" t="str">
        <f ca="1">IFERROR(__xludf.DUMMYFUNCTION("""COMPUTED_VALUE"""),"Nonstudent Using Athletic Facilities/Attending Game")</f>
        <v>Nonstudent Using Athletic Facilities/Attending Game</v>
      </c>
      <c r="F170" s="5" t="str">
        <f ca="1">IFERROR(__xludf.DUMMYFUNCTION("""COMPUTED_VALUE"""),"Apprehended/Killed by Other")</f>
        <v>Apprehended/Killed by Other</v>
      </c>
      <c r="G170" s="5" t="str">
        <f ca="1">IFERROR(__xludf.DUMMYFUNCTION("""COMPUTED_VALUE"""),"Yes")</f>
        <v>Yes</v>
      </c>
      <c r="H170" s="5" t="str">
        <f ca="1">IFERROR(__xludf.DUMMYFUNCTION("""COMPUTED_VALUE"""),"Fatal")</f>
        <v>Fatal</v>
      </c>
    </row>
    <row r="171" spans="1:8" ht="13">
      <c r="A171" s="5" t="str">
        <f ca="1">IFERROR(__xludf.DUMMYFUNCTION("""COMPUTED_VALUE"""),"20221014TNRIM")</f>
        <v>20221014TNRIM</v>
      </c>
      <c r="B171" s="5"/>
      <c r="C171" s="5"/>
      <c r="D171" s="5"/>
      <c r="E171" s="5"/>
      <c r="F171" s="5" t="str">
        <f ca="1">IFERROR(__xludf.DUMMYFUNCTION("""COMPUTED_VALUE"""),"Fled/Escaped")</f>
        <v>Fled/Escaped</v>
      </c>
      <c r="G171" s="5" t="str">
        <f ca="1">IFERROR(__xludf.DUMMYFUNCTION("""COMPUTED_VALUE"""),"No")</f>
        <v>No</v>
      </c>
      <c r="H171" s="5" t="str">
        <f ca="1">IFERROR(__xludf.DUMMYFUNCTION("""COMPUTED_VALUE"""),"None")</f>
        <v>None</v>
      </c>
    </row>
    <row r="172" spans="1:8" ht="13">
      <c r="A172" s="5" t="str">
        <f ca="1">IFERROR(__xludf.DUMMYFUNCTION("""COMPUTED_VALUE"""),"20221013NYSCB")</f>
        <v>20221013NYSCB</v>
      </c>
      <c r="B172" s="5" t="str">
        <f ca="1">IFERROR(__xludf.DUMMYFUNCTION("""COMPUTED_VALUE"""),"Adult")</f>
        <v>Adult</v>
      </c>
      <c r="C172" s="5"/>
      <c r="D172" s="5"/>
      <c r="E172" s="5" t="str">
        <f ca="1">IFERROR(__xludf.DUMMYFUNCTION("""COMPUTED_VALUE"""),"No Relation")</f>
        <v>No Relation</v>
      </c>
      <c r="F172" s="5" t="str">
        <f ca="1">IFERROR(__xludf.DUMMYFUNCTION("""COMPUTED_VALUE"""),"Fled/Escaped")</f>
        <v>Fled/Escaped</v>
      </c>
      <c r="G172" s="5" t="str">
        <f ca="1">IFERROR(__xludf.DUMMYFUNCTION("""COMPUTED_VALUE"""),"No")</f>
        <v>No</v>
      </c>
      <c r="H172" s="5" t="str">
        <f ca="1">IFERROR(__xludf.DUMMYFUNCTION("""COMPUTED_VALUE"""),"None")</f>
        <v>None</v>
      </c>
    </row>
    <row r="173" spans="1:8" ht="13">
      <c r="A173" s="5" t="str">
        <f ca="1">IFERROR(__xludf.DUMMYFUNCTION("""COMPUTED_VALUE"""),"20221013NYSCB")</f>
        <v>20221013NYSCB</v>
      </c>
      <c r="B173" s="5" t="str">
        <f ca="1">IFERROR(__xludf.DUMMYFUNCTION("""COMPUTED_VALUE"""),"Adult")</f>
        <v>Adult</v>
      </c>
      <c r="C173" s="5"/>
      <c r="D173" s="5"/>
      <c r="E173" s="5" t="str">
        <f ca="1">IFERROR(__xludf.DUMMYFUNCTION("""COMPUTED_VALUE"""),"No Relation")</f>
        <v>No Relation</v>
      </c>
      <c r="F173" s="5" t="str">
        <f ca="1">IFERROR(__xludf.DUMMYFUNCTION("""COMPUTED_VALUE"""),"Fled/Escaped")</f>
        <v>Fled/Escaped</v>
      </c>
      <c r="G173" s="5" t="str">
        <f ca="1">IFERROR(__xludf.DUMMYFUNCTION("""COMPUTED_VALUE"""),"No")</f>
        <v>No</v>
      </c>
      <c r="H173" s="5" t="str">
        <f ca="1">IFERROR(__xludf.DUMMYFUNCTION("""COMPUTED_VALUE"""),"None")</f>
        <v>None</v>
      </c>
    </row>
    <row r="174" spans="1:8" ht="13">
      <c r="A174" s="5" t="str">
        <f ca="1">IFERROR(__xludf.DUMMYFUNCTION("""COMPUTED_VALUE"""),"20221013TXJOD")</f>
        <v>20221013TXJOD</v>
      </c>
      <c r="B174" s="5" t="str">
        <f ca="1">IFERROR(__xludf.DUMMYFUNCTION("""COMPUTED_VALUE"""),"Child")</f>
        <v>Child</v>
      </c>
      <c r="C174" s="5"/>
      <c r="D174" s="5"/>
      <c r="E174" s="5" t="str">
        <f ca="1">IFERROR(__xludf.DUMMYFUNCTION("""COMPUTED_VALUE"""),"Student")</f>
        <v>Student</v>
      </c>
      <c r="F174" s="5" t="str">
        <f ca="1">IFERROR(__xludf.DUMMYFUNCTION("""COMPUTED_VALUE"""),"Surrendered")</f>
        <v>Surrendered</v>
      </c>
      <c r="G174" s="5" t="str">
        <f ca="1">IFERROR(__xludf.DUMMYFUNCTION("""COMPUTED_VALUE"""),"No")</f>
        <v>No</v>
      </c>
      <c r="H174" s="5" t="str">
        <f ca="1">IFERROR(__xludf.DUMMYFUNCTION("""COMPUTED_VALUE"""),"None")</f>
        <v>None</v>
      </c>
    </row>
    <row r="175" spans="1:8" ht="13">
      <c r="A175" s="5" t="str">
        <f ca="1">IFERROR(__xludf.DUMMYFUNCTION("""COMPUTED_VALUE"""),"20221012NCCAC")</f>
        <v>20221012NCCAC</v>
      </c>
      <c r="B175" s="5">
        <f ca="1">IFERROR(__xludf.DUMMYFUNCTION("""COMPUTED_VALUE"""),14)</f>
        <v>14</v>
      </c>
      <c r="C175" s="5" t="str">
        <f ca="1">IFERROR(__xludf.DUMMYFUNCTION("""COMPUTED_VALUE"""),"Male")</f>
        <v>Male</v>
      </c>
      <c r="D175" s="5"/>
      <c r="E175" s="5" t="str">
        <f ca="1">IFERROR(__xludf.DUMMYFUNCTION("""COMPUTED_VALUE"""),"Student")</f>
        <v>Student</v>
      </c>
      <c r="F175" s="5" t="str">
        <f ca="1">IFERROR(__xludf.DUMMYFUNCTION("""COMPUTED_VALUE"""),"Surrendered")</f>
        <v>Surrendered</v>
      </c>
      <c r="G175" s="5" t="str">
        <f ca="1">IFERROR(__xludf.DUMMYFUNCTION("""COMPUTED_VALUE"""),"No")</f>
        <v>No</v>
      </c>
      <c r="H175" s="5" t="str">
        <f ca="1">IFERROR(__xludf.DUMMYFUNCTION("""COMPUTED_VALUE"""),"None")</f>
        <v>None</v>
      </c>
    </row>
    <row r="176" spans="1:8" ht="13">
      <c r="A176" s="5" t="str">
        <f ca="1">IFERROR(__xludf.DUMMYFUNCTION("""COMPUTED_VALUE"""),"20221011ORREP")</f>
        <v>20221011ORREP</v>
      </c>
      <c r="B176" s="5"/>
      <c r="C176" s="5"/>
      <c r="D176" s="5"/>
      <c r="E176" s="5"/>
      <c r="F176" s="5" t="str">
        <f ca="1">IFERROR(__xludf.DUMMYFUNCTION("""COMPUTED_VALUE"""),"Fled/Escaped")</f>
        <v>Fled/Escaped</v>
      </c>
      <c r="G176" s="5" t="str">
        <f ca="1">IFERROR(__xludf.DUMMYFUNCTION("""COMPUTED_VALUE"""),"No")</f>
        <v>No</v>
      </c>
      <c r="H176" s="5" t="str">
        <f ca="1">IFERROR(__xludf.DUMMYFUNCTION("""COMPUTED_VALUE"""),"None")</f>
        <v>None</v>
      </c>
    </row>
    <row r="177" spans="1:8" ht="13">
      <c r="A177" s="5" t="str">
        <f ca="1">IFERROR(__xludf.DUMMYFUNCTION("""COMPUTED_VALUE"""),"20221011KSSAS")</f>
        <v>20221011KSSAS</v>
      </c>
      <c r="B177" s="5">
        <f ca="1">IFERROR(__xludf.DUMMYFUNCTION("""COMPUTED_VALUE"""),15)</f>
        <v>15</v>
      </c>
      <c r="C177" s="5" t="str">
        <f ca="1">IFERROR(__xludf.DUMMYFUNCTION("""COMPUTED_VALUE"""),"Male")</f>
        <v>Male</v>
      </c>
      <c r="D177" s="5"/>
      <c r="E177" s="5" t="str">
        <f ca="1">IFERROR(__xludf.DUMMYFUNCTION("""COMPUTED_VALUE"""),"Student")</f>
        <v>Student</v>
      </c>
      <c r="F177" s="5" t="str">
        <f ca="1">IFERROR(__xludf.DUMMYFUNCTION("""COMPUTED_VALUE"""),"Fled/Apprehended")</f>
        <v>Fled/Apprehended</v>
      </c>
      <c r="G177" s="5" t="str">
        <f ca="1">IFERROR(__xludf.DUMMYFUNCTION("""COMPUTED_VALUE"""),"No")</f>
        <v>No</v>
      </c>
      <c r="H177" s="5" t="str">
        <f ca="1">IFERROR(__xludf.DUMMYFUNCTION("""COMPUTED_VALUE"""),"None")</f>
        <v>None</v>
      </c>
    </row>
    <row r="178" spans="1:8" ht="13">
      <c r="A178" s="5" t="str">
        <f ca="1">IFERROR(__xludf.DUMMYFUNCTION("""COMPUTED_VALUE"""),"20221010WIJAM")</f>
        <v>20221010WIJAM</v>
      </c>
      <c r="B178" s="5">
        <f ca="1">IFERROR(__xludf.DUMMYFUNCTION("""COMPUTED_VALUE"""),17)</f>
        <v>17</v>
      </c>
      <c r="C178" s="5" t="str">
        <f ca="1">IFERROR(__xludf.DUMMYFUNCTION("""COMPUTED_VALUE"""),"Male")</f>
        <v>Male</v>
      </c>
      <c r="D178" s="5" t="str">
        <f ca="1">IFERROR(__xludf.DUMMYFUNCTION("""COMPUTED_VALUE"""),"Black")</f>
        <v>Black</v>
      </c>
      <c r="E178" s="5" t="str">
        <f ca="1">IFERROR(__xludf.DUMMYFUNCTION("""COMPUTED_VALUE"""),"Nonstudent Using Athletic Facilities/Attending Game")</f>
        <v>Nonstudent Using Athletic Facilities/Attending Game</v>
      </c>
      <c r="F178" s="5" t="str">
        <f ca="1">IFERROR(__xludf.DUMMYFUNCTION("""COMPUTED_VALUE"""),"Fled/Apprehended")</f>
        <v>Fled/Apprehended</v>
      </c>
      <c r="G178" s="5" t="str">
        <f ca="1">IFERROR(__xludf.DUMMYFUNCTION("""COMPUTED_VALUE"""),"No")</f>
        <v>No</v>
      </c>
      <c r="H178" s="5" t="str">
        <f ca="1">IFERROR(__xludf.DUMMYFUNCTION("""COMPUTED_VALUE"""),"Wounded")</f>
        <v>Wounded</v>
      </c>
    </row>
    <row r="179" spans="1:8" ht="13">
      <c r="A179" s="5" t="str">
        <f ca="1">IFERROR(__xludf.DUMMYFUNCTION("""COMPUTED_VALUE"""),"20221009MAWAA")</f>
        <v>20221009MAWAA</v>
      </c>
      <c r="B179" s="5"/>
      <c r="C179" s="5"/>
      <c r="D179" s="5"/>
      <c r="E179" s="5" t="str">
        <f ca="1">IFERROR(__xludf.DUMMYFUNCTION("""COMPUTED_VALUE"""),"No Relation")</f>
        <v>No Relation</v>
      </c>
      <c r="F179" s="5" t="str">
        <f ca="1">IFERROR(__xludf.DUMMYFUNCTION("""COMPUTED_VALUE"""),"Fled/Escaped")</f>
        <v>Fled/Escaped</v>
      </c>
      <c r="G179" s="5" t="str">
        <f ca="1">IFERROR(__xludf.DUMMYFUNCTION("""COMPUTED_VALUE"""),"No")</f>
        <v>No</v>
      </c>
      <c r="H179" s="5" t="str">
        <f ca="1">IFERROR(__xludf.DUMMYFUNCTION("""COMPUTED_VALUE"""),"None")</f>
        <v>None</v>
      </c>
    </row>
    <row r="180" spans="1:8" ht="13">
      <c r="A180" s="5" t="str">
        <f ca="1">IFERROR(__xludf.DUMMYFUNCTION("""COMPUTED_VALUE"""),"20221008MOJCK")</f>
        <v>20221008MOJCK</v>
      </c>
      <c r="B180" s="5" t="str">
        <f ca="1">IFERROR(__xludf.DUMMYFUNCTION("""COMPUTED_VALUE"""),"Teen")</f>
        <v>Teen</v>
      </c>
      <c r="C180" s="5"/>
      <c r="D180" s="5"/>
      <c r="E180" s="5" t="str">
        <f ca="1">IFERROR(__xludf.DUMMYFUNCTION("""COMPUTED_VALUE"""),"Student")</f>
        <v>Student</v>
      </c>
      <c r="F180" s="5" t="str">
        <f ca="1">IFERROR(__xludf.DUMMYFUNCTION("""COMPUTED_VALUE"""),"Fled/Escaped")</f>
        <v>Fled/Escaped</v>
      </c>
      <c r="G180" s="5" t="str">
        <f ca="1">IFERROR(__xludf.DUMMYFUNCTION("""COMPUTED_VALUE"""),"No")</f>
        <v>No</v>
      </c>
      <c r="H180" s="5" t="str">
        <f ca="1">IFERROR(__xludf.DUMMYFUNCTION("""COMPUTED_VALUE"""),"None")</f>
        <v>None</v>
      </c>
    </row>
    <row r="181" spans="1:8" ht="13">
      <c r="A181" s="5" t="str">
        <f ca="1">IFERROR(__xludf.DUMMYFUNCTION("""COMPUTED_VALUE"""),"20221007MIBAB")</f>
        <v>20221007MIBAB</v>
      </c>
      <c r="B181" s="5"/>
      <c r="C181" s="5"/>
      <c r="D181" s="5"/>
      <c r="E181" s="5"/>
      <c r="F181" s="5" t="str">
        <f ca="1">IFERROR(__xludf.DUMMYFUNCTION("""COMPUTED_VALUE"""),"Fled/Escaped")</f>
        <v>Fled/Escaped</v>
      </c>
      <c r="G181" s="5" t="str">
        <f ca="1">IFERROR(__xludf.DUMMYFUNCTION("""COMPUTED_VALUE"""),"No")</f>
        <v>No</v>
      </c>
      <c r="H181" s="5" t="str">
        <f ca="1">IFERROR(__xludf.DUMMYFUNCTION("""COMPUTED_VALUE"""),"None")</f>
        <v>None</v>
      </c>
    </row>
    <row r="182" spans="1:8" ht="13">
      <c r="A182" s="5" t="str">
        <f ca="1">IFERROR(__xludf.DUMMYFUNCTION("""COMPUTED_VALUE"""),"20221007NCJHG")</f>
        <v>20221007NCJHG</v>
      </c>
      <c r="B182" s="5"/>
      <c r="C182" s="5"/>
      <c r="D182" s="5"/>
      <c r="E182" s="5"/>
      <c r="F182" s="5" t="str">
        <f ca="1">IFERROR(__xludf.DUMMYFUNCTION("""COMPUTED_VALUE"""),"Fled/Escaped")</f>
        <v>Fled/Escaped</v>
      </c>
      <c r="G182" s="5" t="str">
        <f ca="1">IFERROR(__xludf.DUMMYFUNCTION("""COMPUTED_VALUE"""),"No")</f>
        <v>No</v>
      </c>
      <c r="H182" s="5" t="str">
        <f ca="1">IFERROR(__xludf.DUMMYFUNCTION("""COMPUTED_VALUE"""),"None")</f>
        <v>None</v>
      </c>
    </row>
    <row r="183" spans="1:8" ht="13">
      <c r="A183" s="5" t="str">
        <f ca="1">IFERROR(__xludf.DUMMYFUNCTION("""COMPUTED_VALUE"""),"20221007AZCAP")</f>
        <v>20221007AZCAP</v>
      </c>
      <c r="B183" s="5"/>
      <c r="C183" s="5"/>
      <c r="D183" s="5"/>
      <c r="E183" s="5"/>
      <c r="F183" s="5" t="str">
        <f ca="1">IFERROR(__xludf.DUMMYFUNCTION("""COMPUTED_VALUE"""),"Fled/Escaped")</f>
        <v>Fled/Escaped</v>
      </c>
      <c r="G183" s="5" t="str">
        <f ca="1">IFERROR(__xludf.DUMMYFUNCTION("""COMPUTED_VALUE"""),"No")</f>
        <v>No</v>
      </c>
      <c r="H183" s="5" t="str">
        <f ca="1">IFERROR(__xludf.DUMMYFUNCTION("""COMPUTED_VALUE"""),"None")</f>
        <v>None</v>
      </c>
    </row>
    <row r="184" spans="1:8" ht="13">
      <c r="A184" s="5" t="str">
        <f ca="1">IFERROR(__xludf.DUMMYFUNCTION("""COMPUTED_VALUE"""),"20221007OHWHT")</f>
        <v>20221007OHWHT</v>
      </c>
      <c r="B184" s="5"/>
      <c r="C184" s="5" t="str">
        <f ca="1">IFERROR(__xludf.DUMMYFUNCTION("""COMPUTED_VALUE"""),"Male")</f>
        <v>Male</v>
      </c>
      <c r="D184" s="5"/>
      <c r="E184" s="5"/>
      <c r="F184" s="5" t="str">
        <f ca="1">IFERROR(__xludf.DUMMYFUNCTION("""COMPUTED_VALUE"""),"Fled/Escaped")</f>
        <v>Fled/Escaped</v>
      </c>
      <c r="G184" s="5" t="str">
        <f ca="1">IFERROR(__xludf.DUMMYFUNCTION("""COMPUTED_VALUE"""),"No")</f>
        <v>No</v>
      </c>
      <c r="H184" s="5" t="str">
        <f ca="1">IFERROR(__xludf.DUMMYFUNCTION("""COMPUTED_VALUE"""),"None")</f>
        <v>None</v>
      </c>
    </row>
    <row r="185" spans="1:8" ht="13">
      <c r="A185" s="5" t="str">
        <f ca="1">IFERROR(__xludf.DUMMYFUNCTION("""COMPUTED_VALUE"""),"20221006OHMAC")</f>
        <v>20221006OHMAC</v>
      </c>
      <c r="B185" s="5" t="str">
        <f ca="1">IFERROR(__xludf.DUMMYFUNCTION("""COMPUTED_VALUE"""),"Adult")</f>
        <v>Adult</v>
      </c>
      <c r="C185" s="5"/>
      <c r="D185" s="5"/>
      <c r="E185" s="5" t="str">
        <f ca="1">IFERROR(__xludf.DUMMYFUNCTION("""COMPUTED_VALUE"""),"Nonstudent Using Athletic Facilities/Attending Game")</f>
        <v>Nonstudent Using Athletic Facilities/Attending Game</v>
      </c>
      <c r="F185" s="5" t="str">
        <f ca="1">IFERROR(__xludf.DUMMYFUNCTION("""COMPUTED_VALUE"""),"Fled/Escaped")</f>
        <v>Fled/Escaped</v>
      </c>
      <c r="G185" s="5" t="str">
        <f ca="1">IFERROR(__xludf.DUMMYFUNCTION("""COMPUTED_VALUE"""),"No")</f>
        <v>No</v>
      </c>
      <c r="H185" s="5" t="str">
        <f ca="1">IFERROR(__xludf.DUMMYFUNCTION("""COMPUTED_VALUE"""),"None")</f>
        <v>None</v>
      </c>
    </row>
    <row r="186" spans="1:8" ht="13">
      <c r="A186" s="5" t="str">
        <f ca="1">IFERROR(__xludf.DUMMYFUNCTION("""COMPUTED_VALUE"""),"20221004MAJB")</f>
        <v>20221004MAJB</v>
      </c>
      <c r="B186" s="5">
        <f ca="1">IFERROR(__xludf.DUMMYFUNCTION("""COMPUTED_VALUE"""),17)</f>
        <v>17</v>
      </c>
      <c r="C186" s="5" t="str">
        <f ca="1">IFERROR(__xludf.DUMMYFUNCTION("""COMPUTED_VALUE"""),"Male")</f>
        <v>Male</v>
      </c>
      <c r="D186" s="5"/>
      <c r="E186" s="5" t="str">
        <f ca="1">IFERROR(__xludf.DUMMYFUNCTION("""COMPUTED_VALUE"""),"Student")</f>
        <v>Student</v>
      </c>
      <c r="F186" s="5" t="str">
        <f ca="1">IFERROR(__xludf.DUMMYFUNCTION("""COMPUTED_VALUE"""),"Fled/Apprehended")</f>
        <v>Fled/Apprehended</v>
      </c>
      <c r="G186" s="5" t="str">
        <f ca="1">IFERROR(__xludf.DUMMYFUNCTION("""COMPUTED_VALUE"""),"No")</f>
        <v>No</v>
      </c>
      <c r="H186" s="5" t="str">
        <f ca="1">IFERROR(__xludf.DUMMYFUNCTION("""COMPUTED_VALUE"""),"None")</f>
        <v>None</v>
      </c>
    </row>
    <row r="187" spans="1:8" ht="13">
      <c r="A187" s="5" t="str">
        <f ca="1">IFERROR(__xludf.DUMMYFUNCTION("""COMPUTED_VALUE"""),"20221004NCPIS")</f>
        <v>20221004NCPIS</v>
      </c>
      <c r="B187" s="5" t="str">
        <f ca="1">IFERROR(__xludf.DUMMYFUNCTION("""COMPUTED_VALUE"""),"Child")</f>
        <v>Child</v>
      </c>
      <c r="C187" s="5"/>
      <c r="D187" s="5"/>
      <c r="E187" s="5" t="str">
        <f ca="1">IFERROR(__xludf.DUMMYFUNCTION("""COMPUTED_VALUE"""),"No Relation")</f>
        <v>No Relation</v>
      </c>
      <c r="F187" s="5" t="str">
        <f ca="1">IFERROR(__xludf.DUMMYFUNCTION("""COMPUTED_VALUE"""),"Fled/Apprehended")</f>
        <v>Fled/Apprehended</v>
      </c>
      <c r="G187" s="5" t="str">
        <f ca="1">IFERROR(__xludf.DUMMYFUNCTION("""COMPUTED_VALUE"""),"No")</f>
        <v>No</v>
      </c>
      <c r="H187" s="5" t="str">
        <f ca="1">IFERROR(__xludf.DUMMYFUNCTION("""COMPUTED_VALUE"""),"None")</f>
        <v>None</v>
      </c>
    </row>
    <row r="188" spans="1:8" ht="13">
      <c r="A188" s="5" t="str">
        <f ca="1">IFERROR(__xludf.DUMMYFUNCTION("""COMPUTED_VALUE"""),"20221003MIOXO")</f>
        <v>20221003MIOXO</v>
      </c>
      <c r="B188" s="5" t="str">
        <f ca="1">IFERROR(__xludf.DUMMYFUNCTION("""COMPUTED_VALUE"""),"Adult")</f>
        <v>Adult</v>
      </c>
      <c r="C188" s="5"/>
      <c r="D188" s="5"/>
      <c r="E188" s="5" t="str">
        <f ca="1">IFERROR(__xludf.DUMMYFUNCTION("""COMPUTED_VALUE"""),"Police Officer/SRO")</f>
        <v>Police Officer/SRO</v>
      </c>
      <c r="F188" s="5" t="str">
        <f ca="1">IFERROR(__xludf.DUMMYFUNCTION("""COMPUTED_VALUE"""),"Law Enforcement")</f>
        <v>Law Enforcement</v>
      </c>
      <c r="G188" s="5" t="str">
        <f ca="1">IFERROR(__xludf.DUMMYFUNCTION("""COMPUTED_VALUE"""),"No")</f>
        <v>No</v>
      </c>
      <c r="H188" s="5" t="str">
        <f ca="1">IFERROR(__xludf.DUMMYFUNCTION("""COMPUTED_VALUE"""),"None")</f>
        <v>None</v>
      </c>
    </row>
    <row r="189" spans="1:8" ht="13">
      <c r="A189" s="5" t="str">
        <f ca="1">IFERROR(__xludf.DUMMYFUNCTION("""COMPUTED_VALUE"""),"20221001CACOO")</f>
        <v>20221001CACOO</v>
      </c>
      <c r="B189" s="5">
        <f ca="1">IFERROR(__xludf.DUMMYFUNCTION("""COMPUTED_VALUE"""),37)</f>
        <v>37</v>
      </c>
      <c r="C189" s="5" t="str">
        <f ca="1">IFERROR(__xludf.DUMMYFUNCTION("""COMPUTED_VALUE"""),"Male")</f>
        <v>Male</v>
      </c>
      <c r="D189" s="5"/>
      <c r="E189" s="5"/>
      <c r="F189" s="5" t="str">
        <f ca="1">IFERROR(__xludf.DUMMYFUNCTION("""COMPUTED_VALUE"""),"Fled/Apprehended")</f>
        <v>Fled/Apprehended</v>
      </c>
      <c r="G189" s="5" t="str">
        <f ca="1">IFERROR(__xludf.DUMMYFUNCTION("""COMPUTED_VALUE"""),"No")</f>
        <v>No</v>
      </c>
      <c r="H189" s="5" t="str">
        <f ca="1">IFERROR(__xludf.DUMMYFUNCTION("""COMPUTED_VALUE"""),"None")</f>
        <v>None</v>
      </c>
    </row>
    <row r="190" spans="1:8" ht="13">
      <c r="A190" s="5" t="str">
        <f ca="1">IFERROR(__xludf.DUMMYFUNCTION("""COMPUTED_VALUE"""),"20220930OKMCT")</f>
        <v>20220930OKMCT</v>
      </c>
      <c r="B190" s="5"/>
      <c r="C190" s="5"/>
      <c r="D190" s="5"/>
      <c r="E190" s="5"/>
      <c r="F190" s="5" t="str">
        <f ca="1">IFERROR(__xludf.DUMMYFUNCTION("""COMPUTED_VALUE"""),"Fled/Escaped")</f>
        <v>Fled/Escaped</v>
      </c>
      <c r="G190" s="5" t="str">
        <f ca="1">IFERROR(__xludf.DUMMYFUNCTION("""COMPUTED_VALUE"""),"No")</f>
        <v>No</v>
      </c>
      <c r="H190" s="5" t="str">
        <f ca="1">IFERROR(__xludf.DUMMYFUNCTION("""COMPUTED_VALUE"""),"None")</f>
        <v>None</v>
      </c>
    </row>
    <row r="191" spans="1:8" ht="13">
      <c r="A191" s="5" t="str">
        <f ca="1">IFERROR(__xludf.DUMMYFUNCTION("""COMPUTED_VALUE"""),"20220930NYNEN")</f>
        <v>20220930NYNEN</v>
      </c>
      <c r="B191" s="5"/>
      <c r="C191" s="5"/>
      <c r="D191" s="5"/>
      <c r="E191" s="5"/>
      <c r="F191" s="5" t="str">
        <f ca="1">IFERROR(__xludf.DUMMYFUNCTION("""COMPUTED_VALUE"""),"Fled/Escaped")</f>
        <v>Fled/Escaped</v>
      </c>
      <c r="G191" s="5" t="str">
        <f ca="1">IFERROR(__xludf.DUMMYFUNCTION("""COMPUTED_VALUE"""),"No")</f>
        <v>No</v>
      </c>
      <c r="H191" s="5" t="str">
        <f ca="1">IFERROR(__xludf.DUMMYFUNCTION("""COMPUTED_VALUE"""),"None")</f>
        <v>None</v>
      </c>
    </row>
    <row r="192" spans="1:8" ht="13">
      <c r="A192" s="5" t="str">
        <f ca="1">IFERROR(__xludf.DUMMYFUNCTION("""COMPUTED_VALUE"""),"20220928LASEB")</f>
        <v>20220928LASEB</v>
      </c>
      <c r="B192" s="5">
        <f ca="1">IFERROR(__xludf.DUMMYFUNCTION("""COMPUTED_VALUE"""),15)</f>
        <v>15</v>
      </c>
      <c r="C192" s="5" t="str">
        <f ca="1">IFERROR(__xludf.DUMMYFUNCTION("""COMPUTED_VALUE"""),"Male")</f>
        <v>Male</v>
      </c>
      <c r="D192" s="5"/>
      <c r="E192" s="5" t="str">
        <f ca="1">IFERROR(__xludf.DUMMYFUNCTION("""COMPUTED_VALUE"""),"Student")</f>
        <v>Student</v>
      </c>
      <c r="F192" s="5" t="str">
        <f ca="1">IFERROR(__xludf.DUMMYFUNCTION("""COMPUTED_VALUE"""),"Fled/Apprehended")</f>
        <v>Fled/Apprehended</v>
      </c>
      <c r="G192" s="5" t="str">
        <f ca="1">IFERROR(__xludf.DUMMYFUNCTION("""COMPUTED_VALUE"""),"No")</f>
        <v>No</v>
      </c>
      <c r="H192" s="5" t="str">
        <f ca="1">IFERROR(__xludf.DUMMYFUNCTION("""COMPUTED_VALUE"""),"None")</f>
        <v>None</v>
      </c>
    </row>
    <row r="193" spans="1:8" ht="13">
      <c r="A193" s="5" t="str">
        <f ca="1">IFERROR(__xludf.DUMMYFUNCTION("""COMPUTED_VALUE"""),"20220928CARUO")</f>
        <v>20220928CARUO</v>
      </c>
      <c r="B193" s="5" t="str">
        <f ca="1">IFERROR(__xludf.DUMMYFUNCTION("""COMPUTED_VALUE"""),"Adult")</f>
        <v>Adult</v>
      </c>
      <c r="C193" s="5"/>
      <c r="D193" s="5"/>
      <c r="E193" s="5"/>
      <c r="F193" s="5" t="str">
        <f ca="1">IFERROR(__xludf.DUMMYFUNCTION("""COMPUTED_VALUE"""),"Fled/Escaped")</f>
        <v>Fled/Escaped</v>
      </c>
      <c r="G193" s="5" t="str">
        <f ca="1">IFERROR(__xludf.DUMMYFUNCTION("""COMPUTED_VALUE"""),"No")</f>
        <v>No</v>
      </c>
      <c r="H193" s="5" t="str">
        <f ca="1">IFERROR(__xludf.DUMMYFUNCTION("""COMPUTED_VALUE"""),"None")</f>
        <v>None</v>
      </c>
    </row>
    <row r="194" spans="1:8" ht="13">
      <c r="A194" s="5" t="str">
        <f ca="1">IFERROR(__xludf.DUMMYFUNCTION("""COMPUTED_VALUE"""),"20220928CARUO")</f>
        <v>20220928CARUO</v>
      </c>
      <c r="B194" s="5" t="str">
        <f ca="1">IFERROR(__xludf.DUMMYFUNCTION("""COMPUTED_VALUE"""),"Adult")</f>
        <v>Adult</v>
      </c>
      <c r="C194" s="5"/>
      <c r="D194" s="5"/>
      <c r="E194" s="5"/>
      <c r="F194" s="5" t="str">
        <f ca="1">IFERROR(__xludf.DUMMYFUNCTION("""COMPUTED_VALUE"""),"Fled/Escaped")</f>
        <v>Fled/Escaped</v>
      </c>
      <c r="G194" s="5" t="str">
        <f ca="1">IFERROR(__xludf.DUMMYFUNCTION("""COMPUTED_VALUE"""),"No")</f>
        <v>No</v>
      </c>
      <c r="H194" s="5" t="str">
        <f ca="1">IFERROR(__xludf.DUMMYFUNCTION("""COMPUTED_VALUE"""),"None")</f>
        <v>None</v>
      </c>
    </row>
    <row r="195" spans="1:8" ht="13">
      <c r="A195" s="5" t="str">
        <f ca="1">IFERROR(__xludf.DUMMYFUNCTION("""COMPUTED_VALUE"""),"20220927PAROP")</f>
        <v>20220927PAROP</v>
      </c>
      <c r="B195" s="5">
        <f ca="1">IFERROR(__xludf.DUMMYFUNCTION("""COMPUTED_VALUE"""),21)</f>
        <v>21</v>
      </c>
      <c r="C195" s="5" t="str">
        <f ca="1">IFERROR(__xludf.DUMMYFUNCTION("""COMPUTED_VALUE"""),"Male")</f>
        <v>Male</v>
      </c>
      <c r="D195" s="5" t="str">
        <f ca="1">IFERROR(__xludf.DUMMYFUNCTION("""COMPUTED_VALUE"""),"Black")</f>
        <v>Black</v>
      </c>
      <c r="E195" s="5" t="str">
        <f ca="1">IFERROR(__xludf.DUMMYFUNCTION("""COMPUTED_VALUE"""),"No Relation")</f>
        <v>No Relation</v>
      </c>
      <c r="F195" s="5" t="str">
        <f ca="1">IFERROR(__xludf.DUMMYFUNCTION("""COMPUTED_VALUE"""),"Fled/Apprehended")</f>
        <v>Fled/Apprehended</v>
      </c>
      <c r="G195" s="5" t="str">
        <f ca="1">IFERROR(__xludf.DUMMYFUNCTION("""COMPUTED_VALUE"""),"No")</f>
        <v>No</v>
      </c>
      <c r="H195" s="5" t="str">
        <f ca="1">IFERROR(__xludf.DUMMYFUNCTION("""COMPUTED_VALUE"""),"None")</f>
        <v>None</v>
      </c>
    </row>
    <row r="196" spans="1:8" ht="13">
      <c r="A196" s="5" t="str">
        <f ca="1">IFERROR(__xludf.DUMMYFUNCTION("""COMPUTED_VALUE"""),"20220927PAROP")</f>
        <v>20220927PAROP</v>
      </c>
      <c r="B196" s="5">
        <f ca="1">IFERROR(__xludf.DUMMYFUNCTION("""COMPUTED_VALUE"""),17)</f>
        <v>17</v>
      </c>
      <c r="C196" s="5"/>
      <c r="D196" s="5"/>
      <c r="E196" s="5"/>
      <c r="F196" s="5" t="str">
        <f ca="1">IFERROR(__xludf.DUMMYFUNCTION("""COMPUTED_VALUE"""),"Fled/Apprehended")</f>
        <v>Fled/Apprehended</v>
      </c>
      <c r="G196" s="5" t="str">
        <f ca="1">IFERROR(__xludf.DUMMYFUNCTION("""COMPUTED_VALUE"""),"No")</f>
        <v>No</v>
      </c>
      <c r="H196" s="5" t="str">
        <f ca="1">IFERROR(__xludf.DUMMYFUNCTION("""COMPUTED_VALUE"""),"None")</f>
        <v>None</v>
      </c>
    </row>
    <row r="197" spans="1:8" ht="13">
      <c r="A197" s="5" t="str">
        <f ca="1">IFERROR(__xludf.DUMMYFUNCTION("""COMPUTED_VALUE"""),"20220927PAROP")</f>
        <v>20220927PAROP</v>
      </c>
      <c r="B197" s="5">
        <f ca="1">IFERROR(__xludf.DUMMYFUNCTION("""COMPUTED_VALUE"""),15)</f>
        <v>15</v>
      </c>
      <c r="C197" s="5"/>
      <c r="D197" s="5"/>
      <c r="E197" s="5"/>
      <c r="F197" s="5" t="str">
        <f ca="1">IFERROR(__xludf.DUMMYFUNCTION("""COMPUTED_VALUE"""),"Fled/Apprehended")</f>
        <v>Fled/Apprehended</v>
      </c>
      <c r="G197" s="5" t="str">
        <f ca="1">IFERROR(__xludf.DUMMYFUNCTION("""COMPUTED_VALUE"""),"No")</f>
        <v>No</v>
      </c>
      <c r="H197" s="5" t="str">
        <f ca="1">IFERROR(__xludf.DUMMYFUNCTION("""COMPUTED_VALUE"""),"None")</f>
        <v>None</v>
      </c>
    </row>
    <row r="198" spans="1:8" ht="13">
      <c r="A198" s="5" t="str">
        <f ca="1">IFERROR(__xludf.DUMMYFUNCTION("""COMPUTED_VALUE"""),"20220927PAROP")</f>
        <v>20220927PAROP</v>
      </c>
      <c r="B198" s="5">
        <f ca="1">IFERROR(__xludf.DUMMYFUNCTION("""COMPUTED_VALUE"""),16)</f>
        <v>16</v>
      </c>
      <c r="C198" s="5" t="str">
        <f ca="1">IFERROR(__xludf.DUMMYFUNCTION("""COMPUTED_VALUE"""),"Male")</f>
        <v>Male</v>
      </c>
      <c r="D198" s="5"/>
      <c r="E198" s="5"/>
      <c r="F198" s="5" t="str">
        <f ca="1">IFERROR(__xludf.DUMMYFUNCTION("""COMPUTED_VALUE"""),"Fled/Apprehended")</f>
        <v>Fled/Apprehended</v>
      </c>
      <c r="G198" s="5" t="str">
        <f ca="1">IFERROR(__xludf.DUMMYFUNCTION("""COMPUTED_VALUE"""),"No")</f>
        <v>No</v>
      </c>
      <c r="H198" s="5" t="str">
        <f ca="1">IFERROR(__xludf.DUMMYFUNCTION("""COMPUTED_VALUE"""),"None")</f>
        <v>None</v>
      </c>
    </row>
    <row r="199" spans="1:8" ht="13">
      <c r="A199" s="5" t="str">
        <f ca="1">IFERROR(__xludf.DUMMYFUNCTION("""COMPUTED_VALUE"""),"20220927PAROP")</f>
        <v>20220927PAROP</v>
      </c>
      <c r="B199" s="5">
        <f ca="1">IFERROR(__xludf.DUMMYFUNCTION("""COMPUTED_VALUE"""),16)</f>
        <v>16</v>
      </c>
      <c r="C199" s="5"/>
      <c r="D199" s="5"/>
      <c r="E199" s="5"/>
      <c r="F199" s="5" t="str">
        <f ca="1">IFERROR(__xludf.DUMMYFUNCTION("""COMPUTED_VALUE"""),"Fled/Escaped")</f>
        <v>Fled/Escaped</v>
      </c>
      <c r="G199" s="5" t="str">
        <f ca="1">IFERROR(__xludf.DUMMYFUNCTION("""COMPUTED_VALUE"""),"No")</f>
        <v>No</v>
      </c>
      <c r="H199" s="5" t="str">
        <f ca="1">IFERROR(__xludf.DUMMYFUNCTION("""COMPUTED_VALUE"""),"None")</f>
        <v>None</v>
      </c>
    </row>
    <row r="200" spans="1:8" ht="13">
      <c r="A200" s="5" t="str">
        <f ca="1">IFERROR(__xludf.DUMMYFUNCTION("""COMPUTED_VALUE"""),"20220927TXHGD")</f>
        <v>20220927TXHGD</v>
      </c>
      <c r="B200" s="5"/>
      <c r="C200" s="5"/>
      <c r="D200" s="5"/>
      <c r="E200" s="5"/>
      <c r="F200" s="5" t="str">
        <f ca="1">IFERROR(__xludf.DUMMYFUNCTION("""COMPUTED_VALUE"""),"Fled/Escaped")</f>
        <v>Fled/Escaped</v>
      </c>
      <c r="G200" s="5" t="str">
        <f ca="1">IFERROR(__xludf.DUMMYFUNCTION("""COMPUTED_VALUE"""),"No")</f>
        <v>No</v>
      </c>
      <c r="H200" s="5" t="str">
        <f ca="1">IFERROR(__xludf.DUMMYFUNCTION("""COMPUTED_VALUE"""),"None")</f>
        <v>None</v>
      </c>
    </row>
    <row r="201" spans="1:8" ht="13">
      <c r="A201" s="5" t="str">
        <f ca="1">IFERROR(__xludf.DUMMYFUNCTION("""COMPUTED_VALUE"""),"20220926GAVAV")</f>
        <v>20220926GAVAV</v>
      </c>
      <c r="B201" s="5"/>
      <c r="C201" s="5" t="str">
        <f ca="1">IFERROR(__xludf.DUMMYFUNCTION("""COMPUTED_VALUE"""),"Male")</f>
        <v>Male</v>
      </c>
      <c r="D201" s="5"/>
      <c r="E201" s="5"/>
      <c r="F201" s="5" t="str">
        <f ca="1">IFERROR(__xludf.DUMMYFUNCTION("""COMPUTED_VALUE"""),"Fled/Escaped")</f>
        <v>Fled/Escaped</v>
      </c>
      <c r="G201" s="5" t="str">
        <f ca="1">IFERROR(__xludf.DUMMYFUNCTION("""COMPUTED_VALUE"""),"No")</f>
        <v>No</v>
      </c>
      <c r="H201" s="5" t="str">
        <f ca="1">IFERROR(__xludf.DUMMYFUNCTION("""COMPUTED_VALUE"""),"None")</f>
        <v>None</v>
      </c>
    </row>
    <row r="202" spans="1:8" ht="13">
      <c r="A202" s="5" t="str">
        <f ca="1">IFERROR(__xludf.DUMMYFUNCTION("""COMPUTED_VALUE"""),"20220923CANOC")</f>
        <v>20220923CANOC</v>
      </c>
      <c r="B202" s="5" t="str">
        <f ca="1">IFERROR(__xludf.DUMMYFUNCTION("""COMPUTED_VALUE"""),"Teen")</f>
        <v>Teen</v>
      </c>
      <c r="C202" s="5" t="str">
        <f ca="1">IFERROR(__xludf.DUMMYFUNCTION("""COMPUTED_VALUE"""),"Male")</f>
        <v>Male</v>
      </c>
      <c r="D202" s="5"/>
      <c r="E202" s="5" t="str">
        <f ca="1">IFERROR(__xludf.DUMMYFUNCTION("""COMPUTED_VALUE"""),"Nonstudent Using Athletic Facilities/Attending Game")</f>
        <v>Nonstudent Using Athletic Facilities/Attending Game</v>
      </c>
      <c r="F202" s="5" t="str">
        <f ca="1">IFERROR(__xludf.DUMMYFUNCTION("""COMPUTED_VALUE"""),"Fled/Escaped")</f>
        <v>Fled/Escaped</v>
      </c>
      <c r="G202" s="5" t="str">
        <f ca="1">IFERROR(__xludf.DUMMYFUNCTION("""COMPUTED_VALUE"""),"No")</f>
        <v>No</v>
      </c>
      <c r="H202" s="5" t="str">
        <f ca="1">IFERROR(__xludf.DUMMYFUNCTION("""COMPUTED_VALUE"""),"None")</f>
        <v>None</v>
      </c>
    </row>
    <row r="203" spans="1:8" ht="13">
      <c r="A203" s="5" t="str">
        <f ca="1">IFERROR(__xludf.DUMMYFUNCTION("""COMPUTED_VALUE"""),"20220923WIROM")</f>
        <v>20220923WIROM</v>
      </c>
      <c r="B203" s="5" t="str">
        <f ca="1">IFERROR(__xludf.DUMMYFUNCTION("""COMPUTED_VALUE"""),"Adult")</f>
        <v>Adult</v>
      </c>
      <c r="C203" s="5" t="str">
        <f ca="1">IFERROR(__xludf.DUMMYFUNCTION("""COMPUTED_VALUE"""),"Male")</f>
        <v>Male</v>
      </c>
      <c r="D203" s="5"/>
      <c r="E203" s="5" t="str">
        <f ca="1">IFERROR(__xludf.DUMMYFUNCTION("""COMPUTED_VALUE"""),"No Relation")</f>
        <v>No Relation</v>
      </c>
      <c r="F203" s="5" t="str">
        <f ca="1">IFERROR(__xludf.DUMMYFUNCTION("""COMPUTED_VALUE"""),"Fled/Escaped")</f>
        <v>Fled/Escaped</v>
      </c>
      <c r="G203" s="5" t="str">
        <f ca="1">IFERROR(__xludf.DUMMYFUNCTION("""COMPUTED_VALUE"""),"No")</f>
        <v>No</v>
      </c>
      <c r="H203" s="5" t="str">
        <f ca="1">IFERROR(__xludf.DUMMYFUNCTION("""COMPUTED_VALUE"""),"None")</f>
        <v>None</v>
      </c>
    </row>
    <row r="204" spans="1:8" ht="13">
      <c r="A204" s="5" t="str">
        <f ca="1">IFERROR(__xludf.DUMMYFUNCTION("""COMPUTED_VALUE"""),"20220923PAWEP")</f>
        <v>20220923PAWEP</v>
      </c>
      <c r="B204" s="5"/>
      <c r="C204" s="5"/>
      <c r="D204" s="5"/>
      <c r="E204" s="5"/>
      <c r="F204" s="5" t="str">
        <f ca="1">IFERROR(__xludf.DUMMYFUNCTION("""COMPUTED_VALUE"""),"Fled/Escaped")</f>
        <v>Fled/Escaped</v>
      </c>
      <c r="G204" s="5" t="str">
        <f ca="1">IFERROR(__xludf.DUMMYFUNCTION("""COMPUTED_VALUE"""),"No")</f>
        <v>No</v>
      </c>
      <c r="H204" s="5" t="str">
        <f ca="1">IFERROR(__xludf.DUMMYFUNCTION("""COMPUTED_VALUE"""),"None")</f>
        <v>None</v>
      </c>
    </row>
    <row r="205" spans="1:8" ht="13">
      <c r="A205" s="5" t="str">
        <f ca="1">IFERROR(__xludf.DUMMYFUNCTION("""COMPUTED_VALUE"""),"20220923DEAPM")</f>
        <v>20220923DEAPM</v>
      </c>
      <c r="B205" s="5"/>
      <c r="C205" s="5"/>
      <c r="D205" s="5"/>
      <c r="E205" s="5"/>
      <c r="F205" s="5" t="str">
        <f ca="1">IFERROR(__xludf.DUMMYFUNCTION("""COMPUTED_VALUE"""),"Fled/Escaped")</f>
        <v>Fled/Escaped</v>
      </c>
      <c r="G205" s="5" t="str">
        <f ca="1">IFERROR(__xludf.DUMMYFUNCTION("""COMPUTED_VALUE"""),"No")</f>
        <v>No</v>
      </c>
      <c r="H205" s="5" t="str">
        <f ca="1">IFERROR(__xludf.DUMMYFUNCTION("""COMPUTED_VALUE"""),"None")</f>
        <v>None</v>
      </c>
    </row>
    <row r="206" spans="1:8" ht="13">
      <c r="A206" s="5" t="str">
        <f ca="1">IFERROR(__xludf.DUMMYFUNCTION("""COMPUTED_VALUE"""),"20220923MNRIM")</f>
        <v>20220923MNRIM</v>
      </c>
      <c r="B206" s="5">
        <f ca="1">IFERROR(__xludf.DUMMYFUNCTION("""COMPUTED_VALUE"""),15)</f>
        <v>15</v>
      </c>
      <c r="C206" s="5" t="str">
        <f ca="1">IFERROR(__xludf.DUMMYFUNCTION("""COMPUTED_VALUE"""),"Male")</f>
        <v>Male</v>
      </c>
      <c r="D206" s="5"/>
      <c r="E206" s="5" t="str">
        <f ca="1">IFERROR(__xludf.DUMMYFUNCTION("""COMPUTED_VALUE"""),"Student")</f>
        <v>Student</v>
      </c>
      <c r="F206" s="5" t="str">
        <f ca="1">IFERROR(__xludf.DUMMYFUNCTION("""COMPUTED_VALUE"""),"Fled/Apprehended")</f>
        <v>Fled/Apprehended</v>
      </c>
      <c r="G206" s="5" t="str">
        <f ca="1">IFERROR(__xludf.DUMMYFUNCTION("""COMPUTED_VALUE"""),"No")</f>
        <v>No</v>
      </c>
      <c r="H206" s="5" t="str">
        <f ca="1">IFERROR(__xludf.DUMMYFUNCTION("""COMPUTED_VALUE"""),"None")</f>
        <v>None</v>
      </c>
    </row>
    <row r="207" spans="1:8" ht="13">
      <c r="A207" s="5" t="str">
        <f ca="1">IFERROR(__xludf.DUMMYFUNCTION("""COMPUTED_VALUE"""),"20220923MNRIM")</f>
        <v>20220923MNRIM</v>
      </c>
      <c r="B207" s="5">
        <f ca="1">IFERROR(__xludf.DUMMYFUNCTION("""COMPUTED_VALUE"""),16)</f>
        <v>16</v>
      </c>
      <c r="C207" s="5" t="str">
        <f ca="1">IFERROR(__xludf.DUMMYFUNCTION("""COMPUTED_VALUE"""),"Male")</f>
        <v>Male</v>
      </c>
      <c r="D207" s="5"/>
      <c r="E207" s="5" t="str">
        <f ca="1">IFERROR(__xludf.DUMMYFUNCTION("""COMPUTED_VALUE"""),"Former Student")</f>
        <v>Former Student</v>
      </c>
      <c r="F207" s="5" t="str">
        <f ca="1">IFERROR(__xludf.DUMMYFUNCTION("""COMPUTED_VALUE"""),"Fled/Apprehended")</f>
        <v>Fled/Apprehended</v>
      </c>
      <c r="G207" s="5" t="str">
        <f ca="1">IFERROR(__xludf.DUMMYFUNCTION("""COMPUTED_VALUE"""),"No")</f>
        <v>No</v>
      </c>
      <c r="H207" s="5" t="str">
        <f ca="1">IFERROR(__xludf.DUMMYFUNCTION("""COMPUTED_VALUE"""),"None")</f>
        <v>None</v>
      </c>
    </row>
    <row r="208" spans="1:8" ht="13">
      <c r="A208" s="5" t="str">
        <f ca="1">IFERROR(__xludf.DUMMYFUNCTION("""COMPUTED_VALUE"""),"20220922AZMOP")</f>
        <v>20220922AZMOP</v>
      </c>
      <c r="B208" s="5">
        <f ca="1">IFERROR(__xludf.DUMMYFUNCTION("""COMPUTED_VALUE"""),29)</f>
        <v>29</v>
      </c>
      <c r="C208" s="5" t="str">
        <f ca="1">IFERROR(__xludf.DUMMYFUNCTION("""COMPUTED_VALUE"""),"Female")</f>
        <v>Female</v>
      </c>
      <c r="D208" s="5" t="str">
        <f ca="1">IFERROR(__xludf.DUMMYFUNCTION("""COMPUTED_VALUE"""),"Black")</f>
        <v>Black</v>
      </c>
      <c r="E208" s="5" t="str">
        <f ca="1">IFERROR(__xludf.DUMMYFUNCTION("""COMPUTED_VALUE"""),"Parent")</f>
        <v>Parent</v>
      </c>
      <c r="F208" s="5" t="str">
        <f ca="1">IFERROR(__xludf.DUMMYFUNCTION("""COMPUTED_VALUE"""),"Apprehended/Killed by SRO")</f>
        <v>Apprehended/Killed by SRO</v>
      </c>
      <c r="G208" s="5" t="str">
        <f ca="1">IFERROR(__xludf.DUMMYFUNCTION("""COMPUTED_VALUE"""),"No")</f>
        <v>No</v>
      </c>
      <c r="H208" s="5" t="str">
        <f ca="1">IFERROR(__xludf.DUMMYFUNCTION("""COMPUTED_VALUE"""),"None")</f>
        <v>None</v>
      </c>
    </row>
    <row r="209" spans="1:8" ht="13">
      <c r="A209" s="5" t="str">
        <f ca="1">IFERROR(__xludf.DUMMYFUNCTION("""COMPUTED_VALUE"""),"20220921INJAS")</f>
        <v>20220921INJAS</v>
      </c>
      <c r="B209" s="5" t="str">
        <f ca="1">IFERROR(__xludf.DUMMYFUNCTION("""COMPUTED_VALUE"""),"Teen")</f>
        <v>Teen</v>
      </c>
      <c r="C209" s="5"/>
      <c r="D209" s="5"/>
      <c r="E209" s="5" t="str">
        <f ca="1">IFERROR(__xludf.DUMMYFUNCTION("""COMPUTED_VALUE"""),"Student")</f>
        <v>Student</v>
      </c>
      <c r="F209" s="5" t="str">
        <f ca="1">IFERROR(__xludf.DUMMYFUNCTION("""COMPUTED_VALUE"""),"Fled/Apprehended")</f>
        <v>Fled/Apprehended</v>
      </c>
      <c r="G209" s="5" t="str">
        <f ca="1">IFERROR(__xludf.DUMMYFUNCTION("""COMPUTED_VALUE"""),"No")</f>
        <v>No</v>
      </c>
      <c r="H209" s="5" t="str">
        <f ca="1">IFERROR(__xludf.DUMMYFUNCTION("""COMPUTED_VALUE"""),"None")</f>
        <v>None</v>
      </c>
    </row>
    <row r="210" spans="1:8" ht="13">
      <c r="A210" s="5" t="str">
        <f ca="1">IFERROR(__xludf.DUMMYFUNCTION("""COMPUTED_VALUE"""),"20220920NYINB")</f>
        <v>20220920NYINB</v>
      </c>
      <c r="B210" s="5">
        <f ca="1">IFERROR(__xludf.DUMMYFUNCTION("""COMPUTED_VALUE"""),36)</f>
        <v>36</v>
      </c>
      <c r="C210" s="5" t="str">
        <f ca="1">IFERROR(__xludf.DUMMYFUNCTION("""COMPUTED_VALUE"""),"Female")</f>
        <v>Female</v>
      </c>
      <c r="D210" s="5"/>
      <c r="E210" s="5" t="str">
        <f ca="1">IFERROR(__xludf.DUMMYFUNCTION("""COMPUTED_VALUE"""),"No Relation")</f>
        <v>No Relation</v>
      </c>
      <c r="F210" s="5" t="str">
        <f ca="1">IFERROR(__xludf.DUMMYFUNCTION("""COMPUTED_VALUE"""),"Suicide")</f>
        <v>Suicide</v>
      </c>
      <c r="G210" s="5" t="str">
        <f ca="1">IFERROR(__xludf.DUMMYFUNCTION("""COMPUTED_VALUE"""),"No")</f>
        <v>No</v>
      </c>
      <c r="H210" s="5" t="str">
        <f ca="1">IFERROR(__xludf.DUMMYFUNCTION("""COMPUTED_VALUE"""),"Suicide")</f>
        <v>Suicide</v>
      </c>
    </row>
    <row r="211" spans="1:8" ht="13">
      <c r="A211" s="5" t="str">
        <f ca="1">IFERROR(__xludf.DUMMYFUNCTION("""COMPUTED_VALUE"""),"20220919FLTRS")</f>
        <v>20220919FLTRS</v>
      </c>
      <c r="B211" s="5" t="str">
        <f ca="1">IFERROR(__xludf.DUMMYFUNCTION("""COMPUTED_VALUE"""),"Adult")</f>
        <v>Adult</v>
      </c>
      <c r="C211" s="5" t="str">
        <f ca="1">IFERROR(__xludf.DUMMYFUNCTION("""COMPUTED_VALUE"""),"Male")</f>
        <v>Male</v>
      </c>
      <c r="D211" s="5"/>
      <c r="E211" s="5" t="str">
        <f ca="1">IFERROR(__xludf.DUMMYFUNCTION("""COMPUTED_VALUE"""),"Police Officer/SRO")</f>
        <v>Police Officer/SRO</v>
      </c>
      <c r="F211" s="5" t="str">
        <f ca="1">IFERROR(__xludf.DUMMYFUNCTION("""COMPUTED_VALUE"""),"Other")</f>
        <v>Other</v>
      </c>
      <c r="G211" s="5" t="str">
        <f ca="1">IFERROR(__xludf.DUMMYFUNCTION("""COMPUTED_VALUE"""),"No")</f>
        <v>No</v>
      </c>
      <c r="H211" s="5" t="str">
        <f ca="1">IFERROR(__xludf.DUMMYFUNCTION("""COMPUTED_VALUE"""),"None")</f>
        <v>None</v>
      </c>
    </row>
    <row r="212" spans="1:8" ht="13">
      <c r="A212" s="5" t="str">
        <f ca="1">IFERROR(__xludf.DUMMYFUNCTION("""COMPUTED_VALUE"""),"20220919LALAN")</f>
        <v>20220919LALAN</v>
      </c>
      <c r="B212" s="5" t="str">
        <f ca="1">IFERROR(__xludf.DUMMYFUNCTION("""COMPUTED_VALUE"""),"Child")</f>
        <v>Child</v>
      </c>
      <c r="C212" s="5" t="str">
        <f ca="1">IFERROR(__xludf.DUMMYFUNCTION("""COMPUTED_VALUE"""),"Male")</f>
        <v>Male</v>
      </c>
      <c r="D212" s="5"/>
      <c r="E212" s="5" t="str">
        <f ca="1">IFERROR(__xludf.DUMMYFUNCTION("""COMPUTED_VALUE"""),"Student")</f>
        <v>Student</v>
      </c>
      <c r="F212" s="5" t="str">
        <f ca="1">IFERROR(__xludf.DUMMYFUNCTION("""COMPUTED_VALUE"""),"Apprehended/Killed by LE")</f>
        <v>Apprehended/Killed by LE</v>
      </c>
      <c r="G212" s="5" t="str">
        <f ca="1">IFERROR(__xludf.DUMMYFUNCTION("""COMPUTED_VALUE"""),"No")</f>
        <v>No</v>
      </c>
      <c r="H212" s="5" t="str">
        <f ca="1">IFERROR(__xludf.DUMMYFUNCTION("""COMPUTED_VALUE"""),"None")</f>
        <v>None</v>
      </c>
    </row>
    <row r="213" spans="1:8" ht="13">
      <c r="A213" s="5" t="str">
        <f ca="1">IFERROR(__xludf.DUMMYFUNCTION("""COMPUTED_VALUE"""),"20220917GAJOA")</f>
        <v>20220917GAJOA</v>
      </c>
      <c r="B213" s="5">
        <f ca="1">IFERROR(__xludf.DUMMYFUNCTION("""COMPUTED_VALUE"""),19)</f>
        <v>19</v>
      </c>
      <c r="C213" s="5" t="str">
        <f ca="1">IFERROR(__xludf.DUMMYFUNCTION("""COMPUTED_VALUE"""),"Male")</f>
        <v>Male</v>
      </c>
      <c r="D213" s="5" t="str">
        <f ca="1">IFERROR(__xludf.DUMMYFUNCTION("""COMPUTED_VALUE"""),"Black")</f>
        <v>Black</v>
      </c>
      <c r="E213" s="5" t="str">
        <f ca="1">IFERROR(__xludf.DUMMYFUNCTION("""COMPUTED_VALUE"""),"Nonstudent Using Athletic Facilities/Attending Game")</f>
        <v>Nonstudent Using Athletic Facilities/Attending Game</v>
      </c>
      <c r="F213" s="5" t="str">
        <f ca="1">IFERROR(__xludf.DUMMYFUNCTION("""COMPUTED_VALUE"""),"Fled/Escaped")</f>
        <v>Fled/Escaped</v>
      </c>
      <c r="G213" s="5" t="str">
        <f ca="1">IFERROR(__xludf.DUMMYFUNCTION("""COMPUTED_VALUE"""),"No")</f>
        <v>No</v>
      </c>
      <c r="H213" s="5" t="str">
        <f ca="1">IFERROR(__xludf.DUMMYFUNCTION("""COMPUTED_VALUE"""),"None")</f>
        <v>None</v>
      </c>
    </row>
    <row r="214" spans="1:8" ht="13">
      <c r="A214" s="5" t="str">
        <f ca="1">IFERROR(__xludf.DUMMYFUNCTION("""COMPUTED_VALUE"""),"20220916GALAA")</f>
        <v>20220916GALAA</v>
      </c>
      <c r="B214" s="5" t="str">
        <f ca="1">IFERROR(__xludf.DUMMYFUNCTION("""COMPUTED_VALUE"""),"Adult")</f>
        <v>Adult</v>
      </c>
      <c r="C214" s="5"/>
      <c r="D214" s="5"/>
      <c r="E214" s="5" t="str">
        <f ca="1">IFERROR(__xludf.DUMMYFUNCTION("""COMPUTED_VALUE"""),"Nonstudent Using Athletic Facilities/Attending Game")</f>
        <v>Nonstudent Using Athletic Facilities/Attending Game</v>
      </c>
      <c r="F214" s="5" t="str">
        <f ca="1">IFERROR(__xludf.DUMMYFUNCTION("""COMPUTED_VALUE"""),"Fled/Escaped")</f>
        <v>Fled/Escaped</v>
      </c>
      <c r="G214" s="5" t="str">
        <f ca="1">IFERROR(__xludf.DUMMYFUNCTION("""COMPUTED_VALUE"""),"No")</f>
        <v>No</v>
      </c>
      <c r="H214" s="5" t="str">
        <f ca="1">IFERROR(__xludf.DUMMYFUNCTION("""COMPUTED_VALUE"""),"None")</f>
        <v>None</v>
      </c>
    </row>
    <row r="215" spans="1:8" ht="13">
      <c r="A215" s="5" t="str">
        <f ca="1">IFERROR(__xludf.DUMMYFUNCTION("""COMPUTED_VALUE"""),"20220916GALAA")</f>
        <v>20220916GALAA</v>
      </c>
      <c r="B215" s="5" t="str">
        <f ca="1">IFERROR(__xludf.DUMMYFUNCTION("""COMPUTED_VALUE"""),"Adult")</f>
        <v>Adult</v>
      </c>
      <c r="C215" s="5"/>
      <c r="D215" s="5"/>
      <c r="E215" s="5" t="str">
        <f ca="1">IFERROR(__xludf.DUMMYFUNCTION("""COMPUTED_VALUE"""),"Nonstudent Using Athletic Facilities/Attending Game")</f>
        <v>Nonstudent Using Athletic Facilities/Attending Game</v>
      </c>
      <c r="F215" s="5" t="str">
        <f ca="1">IFERROR(__xludf.DUMMYFUNCTION("""COMPUTED_VALUE"""),"Fled/Escaped")</f>
        <v>Fled/Escaped</v>
      </c>
      <c r="G215" s="5" t="str">
        <f ca="1">IFERROR(__xludf.DUMMYFUNCTION("""COMPUTED_VALUE"""),"No")</f>
        <v>No</v>
      </c>
      <c r="H215" s="5" t="str">
        <f ca="1">IFERROR(__xludf.DUMMYFUNCTION("""COMPUTED_VALUE"""),"None")</f>
        <v>None</v>
      </c>
    </row>
    <row r="216" spans="1:8" ht="13">
      <c r="A216" s="5" t="str">
        <f ca="1">IFERROR(__xludf.DUMMYFUNCTION("""COMPUTED_VALUE"""),"20220916GALAA")</f>
        <v>20220916GALAA</v>
      </c>
      <c r="B216" s="5" t="str">
        <f ca="1">IFERROR(__xludf.DUMMYFUNCTION("""COMPUTED_VALUE"""),"Adult")</f>
        <v>Adult</v>
      </c>
      <c r="C216" s="5"/>
      <c r="D216" s="5"/>
      <c r="E216" s="5" t="str">
        <f ca="1">IFERROR(__xludf.DUMMYFUNCTION("""COMPUTED_VALUE"""),"Nonstudent Using Athletic Facilities/Attending Game")</f>
        <v>Nonstudent Using Athletic Facilities/Attending Game</v>
      </c>
      <c r="F216" s="5" t="str">
        <f ca="1">IFERROR(__xludf.DUMMYFUNCTION("""COMPUTED_VALUE"""),"Fled/Escaped")</f>
        <v>Fled/Escaped</v>
      </c>
      <c r="G216" s="5" t="str">
        <f ca="1">IFERROR(__xludf.DUMMYFUNCTION("""COMPUTED_VALUE"""),"No")</f>
        <v>No</v>
      </c>
      <c r="H216" s="5" t="str">
        <f ca="1">IFERROR(__xludf.DUMMYFUNCTION("""COMPUTED_VALUE"""),"None")</f>
        <v>None</v>
      </c>
    </row>
    <row r="217" spans="1:8" ht="13">
      <c r="A217" s="5" t="str">
        <f ca="1">IFERROR(__xludf.DUMMYFUNCTION("""COMPUTED_VALUE"""),"20220916NYPSN")</f>
        <v>20220916NYPSN</v>
      </c>
      <c r="B217" s="5" t="str">
        <f ca="1">IFERROR(__xludf.DUMMYFUNCTION("""COMPUTED_VALUE"""),"Teen")</f>
        <v>Teen</v>
      </c>
      <c r="C217" s="5" t="str">
        <f ca="1">IFERROR(__xludf.DUMMYFUNCTION("""COMPUTED_VALUE"""),"Male")</f>
        <v>Male</v>
      </c>
      <c r="D217" s="5"/>
      <c r="E217" s="5" t="str">
        <f ca="1">IFERROR(__xludf.DUMMYFUNCTION("""COMPUTED_VALUE"""),"Nonstudent Using Athletic Facilities/Attending Game")</f>
        <v>Nonstudent Using Athletic Facilities/Attending Game</v>
      </c>
      <c r="F217" s="5" t="str">
        <f ca="1">IFERROR(__xludf.DUMMYFUNCTION("""COMPUTED_VALUE"""),"Fled/Escaped")</f>
        <v>Fled/Escaped</v>
      </c>
      <c r="G217" s="5" t="str">
        <f ca="1">IFERROR(__xludf.DUMMYFUNCTION("""COMPUTED_VALUE"""),"No")</f>
        <v>No</v>
      </c>
      <c r="H217" s="5" t="str">
        <f ca="1">IFERROR(__xludf.DUMMYFUNCTION("""COMPUTED_VALUE"""),"None")</f>
        <v>None</v>
      </c>
    </row>
    <row r="218" spans="1:8" ht="13">
      <c r="A218" s="5" t="str">
        <f ca="1">IFERROR(__xludf.DUMMYFUNCTION("""COMPUTED_VALUE"""),"20220914PACON")</f>
        <v>20220914PACON</v>
      </c>
      <c r="B218" s="5" t="str">
        <f ca="1">IFERROR(__xludf.DUMMYFUNCTION("""COMPUTED_VALUE"""),"Teen")</f>
        <v>Teen</v>
      </c>
      <c r="C218" s="5"/>
      <c r="D218" s="5"/>
      <c r="E218" s="5" t="str">
        <f ca="1">IFERROR(__xludf.DUMMYFUNCTION("""COMPUTED_VALUE"""),"Student")</f>
        <v>Student</v>
      </c>
      <c r="F218" s="5" t="str">
        <f ca="1">IFERROR(__xludf.DUMMYFUNCTION("""COMPUTED_VALUE"""),"Apprehended/Killed by LE")</f>
        <v>Apprehended/Killed by LE</v>
      </c>
      <c r="G218" s="5" t="str">
        <f ca="1">IFERROR(__xludf.DUMMYFUNCTION("""COMPUTED_VALUE"""),"No")</f>
        <v>No</v>
      </c>
      <c r="H218" s="5" t="str">
        <f ca="1">IFERROR(__xludf.DUMMYFUNCTION("""COMPUTED_VALUE"""),"None")</f>
        <v>None</v>
      </c>
    </row>
    <row r="219" spans="1:8" ht="13">
      <c r="A219" s="5" t="str">
        <f ca="1">IFERROR(__xludf.DUMMYFUNCTION("""COMPUTED_VALUE"""),"20220913UTBOB")</f>
        <v>20220913UTBOB</v>
      </c>
      <c r="B219" s="5" t="str">
        <f ca="1">IFERROR(__xludf.DUMMYFUNCTION("""COMPUTED_VALUE"""),"Teen")</f>
        <v>Teen</v>
      </c>
      <c r="C219" s="5" t="str">
        <f ca="1">IFERROR(__xludf.DUMMYFUNCTION("""COMPUTED_VALUE"""),"Male")</f>
        <v>Male</v>
      </c>
      <c r="D219" s="5"/>
      <c r="E219" s="5" t="str">
        <f ca="1">IFERROR(__xludf.DUMMYFUNCTION("""COMPUTED_VALUE"""),"Student")</f>
        <v>Student</v>
      </c>
      <c r="F219" s="5" t="str">
        <f ca="1">IFERROR(__xludf.DUMMYFUNCTION("""COMPUTED_VALUE"""),"Fled/Apprehended")</f>
        <v>Fled/Apprehended</v>
      </c>
      <c r="G219" s="5" t="str">
        <f ca="1">IFERROR(__xludf.DUMMYFUNCTION("""COMPUTED_VALUE"""),"No")</f>
        <v>No</v>
      </c>
      <c r="H219" s="5" t="str">
        <f ca="1">IFERROR(__xludf.DUMMYFUNCTION("""COMPUTED_VALUE"""),"None")</f>
        <v>None</v>
      </c>
    </row>
    <row r="220" spans="1:8" ht="13">
      <c r="A220" s="5" t="str">
        <f ca="1">IFERROR(__xludf.DUMMYFUNCTION("""COMPUTED_VALUE"""),"20220913MIJAJ")</f>
        <v>20220913MIJAJ</v>
      </c>
      <c r="B220" s="5"/>
      <c r="C220" s="5"/>
      <c r="D220" s="5"/>
      <c r="E220" s="5"/>
      <c r="F220" s="5" t="str">
        <f ca="1">IFERROR(__xludf.DUMMYFUNCTION("""COMPUTED_VALUE"""),"Fled/Escaped")</f>
        <v>Fled/Escaped</v>
      </c>
      <c r="G220" s="5" t="str">
        <f ca="1">IFERROR(__xludf.DUMMYFUNCTION("""COMPUTED_VALUE"""),"No")</f>
        <v>No</v>
      </c>
      <c r="H220" s="5" t="str">
        <f ca="1">IFERROR(__xludf.DUMMYFUNCTION("""COMPUTED_VALUE"""),"None")</f>
        <v>None</v>
      </c>
    </row>
    <row r="221" spans="1:8" ht="13">
      <c r="A221" s="5" t="str">
        <f ca="1">IFERROR(__xludf.DUMMYFUNCTION("""COMPUTED_VALUE"""),"20220913MDOXO")</f>
        <v>20220913MDOXO</v>
      </c>
      <c r="B221" s="5"/>
      <c r="C221" s="5"/>
      <c r="D221" s="5"/>
      <c r="E221" s="5"/>
      <c r="F221" s="5" t="str">
        <f ca="1">IFERROR(__xludf.DUMMYFUNCTION("""COMPUTED_VALUE"""),"Fled/Escaped")</f>
        <v>Fled/Escaped</v>
      </c>
      <c r="G221" s="5" t="str">
        <f ca="1">IFERROR(__xludf.DUMMYFUNCTION("""COMPUTED_VALUE"""),"No")</f>
        <v>No</v>
      </c>
      <c r="H221" s="5" t="str">
        <f ca="1">IFERROR(__xludf.DUMMYFUNCTION("""COMPUTED_VALUE"""),"None")</f>
        <v>None</v>
      </c>
    </row>
    <row r="222" spans="1:8" ht="13">
      <c r="A222" s="5" t="str">
        <f ca="1">IFERROR(__xludf.DUMMYFUNCTION("""COMPUTED_VALUE"""),"20220913CAVAV")</f>
        <v>20220913CAVAV</v>
      </c>
      <c r="B222" s="5" t="str">
        <f ca="1">IFERROR(__xludf.DUMMYFUNCTION("""COMPUTED_VALUE"""),"Teen")</f>
        <v>Teen</v>
      </c>
      <c r="C222" s="5" t="str">
        <f ca="1">IFERROR(__xludf.DUMMYFUNCTION("""COMPUTED_VALUE"""),"Male")</f>
        <v>Male</v>
      </c>
      <c r="D222" s="5"/>
      <c r="E222" s="5" t="str">
        <f ca="1">IFERROR(__xludf.DUMMYFUNCTION("""COMPUTED_VALUE"""),"Student")</f>
        <v>Student</v>
      </c>
      <c r="F222" s="5" t="str">
        <f ca="1">IFERROR(__xludf.DUMMYFUNCTION("""COMPUTED_VALUE"""),"Fled/Escaped")</f>
        <v>Fled/Escaped</v>
      </c>
      <c r="G222" s="5" t="str">
        <f ca="1">IFERROR(__xludf.DUMMYFUNCTION("""COMPUTED_VALUE"""),"No")</f>
        <v>No</v>
      </c>
      <c r="H222" s="5" t="str">
        <f ca="1">IFERROR(__xludf.DUMMYFUNCTION("""COMPUTED_VALUE"""),"None")</f>
        <v>None</v>
      </c>
    </row>
    <row r="223" spans="1:8" ht="13">
      <c r="A223" s="5" t="str">
        <f ca="1">IFERROR(__xludf.DUMMYFUNCTION("""COMPUTED_VALUE"""),"20220909WIWIR")</f>
        <v>20220909WIWIR</v>
      </c>
      <c r="B223" s="5"/>
      <c r="C223" s="5"/>
      <c r="D223" s="5"/>
      <c r="E223" s="5"/>
      <c r="F223" s="5" t="str">
        <f ca="1">IFERROR(__xludf.DUMMYFUNCTION("""COMPUTED_VALUE"""),"Fled/Escaped")</f>
        <v>Fled/Escaped</v>
      </c>
      <c r="G223" s="5" t="str">
        <f ca="1">IFERROR(__xludf.DUMMYFUNCTION("""COMPUTED_VALUE"""),"No")</f>
        <v>No</v>
      </c>
      <c r="H223" s="5" t="str">
        <f ca="1">IFERROR(__xludf.DUMMYFUNCTION("""COMPUTED_VALUE"""),"None")</f>
        <v>None</v>
      </c>
    </row>
    <row r="224" spans="1:8" ht="13">
      <c r="A224" s="5" t="str">
        <f ca="1">IFERROR(__xludf.DUMMYFUNCTION("""COMPUTED_VALUE"""),"20220909WIMIM")</f>
        <v>20220909WIMIM</v>
      </c>
      <c r="B224" s="5"/>
      <c r="C224" s="5"/>
      <c r="D224" s="5"/>
      <c r="E224" s="5" t="str">
        <f ca="1">IFERROR(__xludf.DUMMYFUNCTION("""COMPUTED_VALUE"""),"No Relation")</f>
        <v>No Relation</v>
      </c>
      <c r="F224" s="5" t="str">
        <f ca="1">IFERROR(__xludf.DUMMYFUNCTION("""COMPUTED_VALUE"""),"Fled/Escaped")</f>
        <v>Fled/Escaped</v>
      </c>
      <c r="G224" s="5" t="str">
        <f ca="1">IFERROR(__xludf.DUMMYFUNCTION("""COMPUTED_VALUE"""),"No")</f>
        <v>No</v>
      </c>
      <c r="H224" s="5" t="str">
        <f ca="1">IFERROR(__xludf.DUMMYFUNCTION("""COMPUTED_VALUE"""),"None")</f>
        <v>None</v>
      </c>
    </row>
    <row r="225" spans="1:8" ht="13">
      <c r="A225" s="5" t="str">
        <f ca="1">IFERROR(__xludf.DUMMYFUNCTION("""COMPUTED_VALUE"""),"20220907OHBEB")</f>
        <v>20220907OHBEB</v>
      </c>
      <c r="B225" s="5" t="str">
        <f ca="1">IFERROR(__xludf.DUMMYFUNCTION("""COMPUTED_VALUE"""),"Adult")</f>
        <v>Adult</v>
      </c>
      <c r="C225" s="5" t="str">
        <f ca="1">IFERROR(__xludf.DUMMYFUNCTION("""COMPUTED_VALUE"""),"Male")</f>
        <v>Male</v>
      </c>
      <c r="D225" s="5" t="str">
        <f ca="1">IFERROR(__xludf.DUMMYFUNCTION("""COMPUTED_VALUE"""),"White")</f>
        <v>White</v>
      </c>
      <c r="E225" s="5" t="str">
        <f ca="1">IFERROR(__xludf.DUMMYFUNCTION("""COMPUTED_VALUE"""),"No Relation")</f>
        <v>No Relation</v>
      </c>
      <c r="F225" s="5" t="str">
        <f ca="1">IFERROR(__xludf.DUMMYFUNCTION("""COMPUTED_VALUE"""),"Other")</f>
        <v>Other</v>
      </c>
      <c r="G225" s="5" t="str">
        <f ca="1">IFERROR(__xludf.DUMMYFUNCTION("""COMPUTED_VALUE"""),"No")</f>
        <v>No</v>
      </c>
      <c r="H225" s="5" t="str">
        <f ca="1">IFERROR(__xludf.DUMMYFUNCTION("""COMPUTED_VALUE"""),"None")</f>
        <v>None</v>
      </c>
    </row>
    <row r="226" spans="1:8" ht="13">
      <c r="A226" s="5" t="str">
        <f ca="1">IFERROR(__xludf.DUMMYFUNCTION("""COMPUTED_VALUE"""),"20220907MDCAB")</f>
        <v>20220907MDCAB</v>
      </c>
      <c r="B226" s="5"/>
      <c r="C226" s="5"/>
      <c r="D226" s="5"/>
      <c r="E226" s="5"/>
      <c r="F226" s="5" t="str">
        <f ca="1">IFERROR(__xludf.DUMMYFUNCTION("""COMPUTED_VALUE"""),"Fled/Escaped")</f>
        <v>Fled/Escaped</v>
      </c>
      <c r="G226" s="5" t="str">
        <f ca="1">IFERROR(__xludf.DUMMYFUNCTION("""COMPUTED_VALUE"""),"No")</f>
        <v>No</v>
      </c>
      <c r="H226" s="5" t="str">
        <f ca="1">IFERROR(__xludf.DUMMYFUNCTION("""COMPUTED_VALUE"""),"None")</f>
        <v>None</v>
      </c>
    </row>
    <row r="227" spans="1:8" ht="13">
      <c r="A227" s="5" t="str">
        <f ca="1">IFERROR(__xludf.DUMMYFUNCTION("""COMPUTED_VALUE"""),"20220907WIBAM")</f>
        <v>20220907WIBAM</v>
      </c>
      <c r="B227" s="5">
        <f ca="1">IFERROR(__xludf.DUMMYFUNCTION("""COMPUTED_VALUE"""),17)</f>
        <v>17</v>
      </c>
      <c r="C227" s="5" t="str">
        <f ca="1">IFERROR(__xludf.DUMMYFUNCTION("""COMPUTED_VALUE"""),"Male")</f>
        <v>Male</v>
      </c>
      <c r="D227" s="5" t="str">
        <f ca="1">IFERROR(__xludf.DUMMYFUNCTION("""COMPUTED_VALUE"""),"Black")</f>
        <v>Black</v>
      </c>
      <c r="E227" s="5" t="str">
        <f ca="1">IFERROR(__xludf.DUMMYFUNCTION("""COMPUTED_VALUE"""),"No Relation")</f>
        <v>No Relation</v>
      </c>
      <c r="F227" s="5" t="str">
        <f ca="1">IFERROR(__xludf.DUMMYFUNCTION("""COMPUTED_VALUE"""),"Fled/Apprehended")</f>
        <v>Fled/Apprehended</v>
      </c>
      <c r="G227" s="5" t="str">
        <f ca="1">IFERROR(__xludf.DUMMYFUNCTION("""COMPUTED_VALUE"""),"No")</f>
        <v>No</v>
      </c>
      <c r="H227" s="5" t="str">
        <f ca="1">IFERROR(__xludf.DUMMYFUNCTION("""COMPUTED_VALUE"""),"None")</f>
        <v>None</v>
      </c>
    </row>
    <row r="228" spans="1:8" ht="13">
      <c r="A228" s="5" t="str">
        <f ca="1">IFERROR(__xludf.DUMMYFUNCTION("""COMPUTED_VALUE"""),"20220907WIBAM")</f>
        <v>20220907WIBAM</v>
      </c>
      <c r="B228" s="5">
        <f ca="1">IFERROR(__xludf.DUMMYFUNCTION("""COMPUTED_VALUE"""),27)</f>
        <v>27</v>
      </c>
      <c r="C228" s="5" t="str">
        <f ca="1">IFERROR(__xludf.DUMMYFUNCTION("""COMPUTED_VALUE"""),"Male")</f>
        <v>Male</v>
      </c>
      <c r="D228" s="5" t="str">
        <f ca="1">IFERROR(__xludf.DUMMYFUNCTION("""COMPUTED_VALUE"""),"Black")</f>
        <v>Black</v>
      </c>
      <c r="E228" s="5" t="str">
        <f ca="1">IFERROR(__xludf.DUMMYFUNCTION("""COMPUTED_VALUE"""),"No Relation")</f>
        <v>No Relation</v>
      </c>
      <c r="F228" s="5" t="str">
        <f ca="1">IFERROR(__xludf.DUMMYFUNCTION("""COMPUTED_VALUE"""),"Fled/Apprehended")</f>
        <v>Fled/Apprehended</v>
      </c>
      <c r="G228" s="5" t="str">
        <f ca="1">IFERROR(__xludf.DUMMYFUNCTION("""COMPUTED_VALUE"""),"No")</f>
        <v>No</v>
      </c>
      <c r="H228" s="5" t="str">
        <f ca="1">IFERROR(__xludf.DUMMYFUNCTION("""COMPUTED_VALUE"""),"None")</f>
        <v>None</v>
      </c>
    </row>
    <row r="229" spans="1:8" ht="13">
      <c r="A229" s="5" t="str">
        <f ca="1">IFERROR(__xludf.DUMMYFUNCTION("""COMPUTED_VALUE"""),"20220906IANOS")</f>
        <v>20220906IANOS</v>
      </c>
      <c r="B229" s="5">
        <f ca="1">IFERROR(__xludf.DUMMYFUNCTION("""COMPUTED_VALUE"""),16)</f>
        <v>16</v>
      </c>
      <c r="C229" s="5"/>
      <c r="D229" s="5"/>
      <c r="E229" s="5" t="str">
        <f ca="1">IFERROR(__xludf.DUMMYFUNCTION("""COMPUTED_VALUE"""),"Student")</f>
        <v>Student</v>
      </c>
      <c r="F229" s="5" t="str">
        <f ca="1">IFERROR(__xludf.DUMMYFUNCTION("""COMPUTED_VALUE"""),"Fled/Apprehended")</f>
        <v>Fled/Apprehended</v>
      </c>
      <c r="G229" s="5" t="str">
        <f ca="1">IFERROR(__xludf.DUMMYFUNCTION("""COMPUTED_VALUE"""),"No")</f>
        <v>No</v>
      </c>
      <c r="H229" s="5" t="str">
        <f ca="1">IFERROR(__xludf.DUMMYFUNCTION("""COMPUTED_VALUE"""),"None")</f>
        <v>None</v>
      </c>
    </row>
    <row r="230" spans="1:8" ht="13">
      <c r="A230" s="5" t="str">
        <f ca="1">IFERROR(__xludf.DUMMYFUNCTION("""COMPUTED_VALUE"""),"20220906IANOS")</f>
        <v>20220906IANOS</v>
      </c>
      <c r="B230" s="5">
        <f ca="1">IFERROR(__xludf.DUMMYFUNCTION("""COMPUTED_VALUE"""),14)</f>
        <v>14</v>
      </c>
      <c r="C230" s="5"/>
      <c r="D230" s="5"/>
      <c r="E230" s="5" t="str">
        <f ca="1">IFERROR(__xludf.DUMMYFUNCTION("""COMPUTED_VALUE"""),"Student")</f>
        <v>Student</v>
      </c>
      <c r="F230" s="5" t="str">
        <f ca="1">IFERROR(__xludf.DUMMYFUNCTION("""COMPUTED_VALUE"""),"Fled/Apprehended")</f>
        <v>Fled/Apprehended</v>
      </c>
      <c r="G230" s="5" t="str">
        <f ca="1">IFERROR(__xludf.DUMMYFUNCTION("""COMPUTED_VALUE"""),"No")</f>
        <v>No</v>
      </c>
      <c r="H230" s="5" t="str">
        <f ca="1">IFERROR(__xludf.DUMMYFUNCTION("""COMPUTED_VALUE"""),"None")</f>
        <v>None</v>
      </c>
    </row>
    <row r="231" spans="1:8" ht="13">
      <c r="A231" s="5" t="str">
        <f ca="1">IFERROR(__xludf.DUMMYFUNCTION("""COMPUTED_VALUE"""),"20220904FLBOL")</f>
        <v>20220904FLBOL</v>
      </c>
      <c r="B231" s="5" t="str">
        <f ca="1">IFERROR(__xludf.DUMMYFUNCTION("""COMPUTED_VALUE"""),"Adult")</f>
        <v>Adult</v>
      </c>
      <c r="C231" s="5" t="str">
        <f ca="1">IFERROR(__xludf.DUMMYFUNCTION("""COMPUTED_VALUE"""),"Male")</f>
        <v>Male</v>
      </c>
      <c r="D231" s="5"/>
      <c r="E231" s="5" t="str">
        <f ca="1">IFERROR(__xludf.DUMMYFUNCTION("""COMPUTED_VALUE"""),"Nonstudent Using Athletic Facilities/Attending Game")</f>
        <v>Nonstudent Using Athletic Facilities/Attending Game</v>
      </c>
      <c r="F231" s="5" t="str">
        <f ca="1">IFERROR(__xludf.DUMMYFUNCTION("""COMPUTED_VALUE"""),"Fled/Escaped")</f>
        <v>Fled/Escaped</v>
      </c>
      <c r="G231" s="5" t="str">
        <f ca="1">IFERROR(__xludf.DUMMYFUNCTION("""COMPUTED_VALUE"""),"No")</f>
        <v>No</v>
      </c>
      <c r="H231" s="5" t="str">
        <f ca="1">IFERROR(__xludf.DUMMYFUNCTION("""COMPUTED_VALUE"""),"None")</f>
        <v>None</v>
      </c>
    </row>
    <row r="232" spans="1:8" ht="13">
      <c r="A232" s="5" t="str">
        <f ca="1">IFERROR(__xludf.DUMMYFUNCTION("""COMPUTED_VALUE"""),"20220902MDMEB")</f>
        <v>20220902MDMEB</v>
      </c>
      <c r="B232" s="5">
        <f ca="1">IFERROR(__xludf.DUMMYFUNCTION("""COMPUTED_VALUE"""),17)</f>
        <v>17</v>
      </c>
      <c r="C232" s="5" t="str">
        <f ca="1">IFERROR(__xludf.DUMMYFUNCTION("""COMPUTED_VALUE"""),"Male")</f>
        <v>Male</v>
      </c>
      <c r="D232" s="5"/>
      <c r="E232" s="5" t="str">
        <f ca="1">IFERROR(__xludf.DUMMYFUNCTION("""COMPUTED_VALUE"""),"Rival School Student")</f>
        <v>Rival School Student</v>
      </c>
      <c r="F232" s="5" t="str">
        <f ca="1">IFERROR(__xludf.DUMMYFUNCTION("""COMPUTED_VALUE"""),"Apprehended/Killed by SRO")</f>
        <v>Apprehended/Killed by SRO</v>
      </c>
      <c r="G232" s="5" t="str">
        <f ca="1">IFERROR(__xludf.DUMMYFUNCTION("""COMPUTED_VALUE"""),"No")</f>
        <v>No</v>
      </c>
      <c r="H232" s="5" t="str">
        <f ca="1">IFERROR(__xludf.DUMMYFUNCTION("""COMPUTED_VALUE"""),"None")</f>
        <v>None</v>
      </c>
    </row>
    <row r="233" spans="1:8" ht="13">
      <c r="A233" s="5" t="str">
        <f ca="1">IFERROR(__xludf.DUMMYFUNCTION("""COMPUTED_VALUE"""),"20220902INJEL")</f>
        <v>20220902INJEL</v>
      </c>
      <c r="B233" s="5">
        <f ca="1">IFERROR(__xludf.DUMMYFUNCTION("""COMPUTED_VALUE"""),15)</f>
        <v>15</v>
      </c>
      <c r="C233" s="5" t="str">
        <f ca="1">IFERROR(__xludf.DUMMYFUNCTION("""COMPUTED_VALUE"""),"Male")</f>
        <v>Male</v>
      </c>
      <c r="D233" s="5"/>
      <c r="E233" s="5" t="str">
        <f ca="1">IFERROR(__xludf.DUMMYFUNCTION("""COMPUTED_VALUE"""),"Student")</f>
        <v>Student</v>
      </c>
      <c r="F233" s="5" t="str">
        <f ca="1">IFERROR(__xludf.DUMMYFUNCTION("""COMPUTED_VALUE"""),"Fled/Apprehended")</f>
        <v>Fled/Apprehended</v>
      </c>
      <c r="G233" s="5" t="str">
        <f ca="1">IFERROR(__xludf.DUMMYFUNCTION("""COMPUTED_VALUE"""),"No")</f>
        <v>No</v>
      </c>
      <c r="H233" s="5" t="str">
        <f ca="1">IFERROR(__xludf.DUMMYFUNCTION("""COMPUTED_VALUE"""),"None")</f>
        <v>None</v>
      </c>
    </row>
    <row r="234" spans="1:8" ht="13">
      <c r="A234" s="5" t="str">
        <f ca="1">IFERROR(__xludf.DUMMYFUNCTION("""COMPUTED_VALUE"""),"20220831DCIDW")</f>
        <v>20220831DCIDW</v>
      </c>
      <c r="B234" s="5">
        <f ca="1">IFERROR(__xludf.DUMMYFUNCTION("""COMPUTED_VALUE"""),15)</f>
        <v>15</v>
      </c>
      <c r="C234" s="5" t="str">
        <f ca="1">IFERROR(__xludf.DUMMYFUNCTION("""COMPUTED_VALUE"""),"Male")</f>
        <v>Male</v>
      </c>
      <c r="D234" s="5"/>
      <c r="E234" s="5" t="str">
        <f ca="1">IFERROR(__xludf.DUMMYFUNCTION("""COMPUTED_VALUE"""),"Student")</f>
        <v>Student</v>
      </c>
      <c r="F234" s="5" t="str">
        <f ca="1">IFERROR(__xludf.DUMMYFUNCTION("""COMPUTED_VALUE"""),"Fled/Apprehended")</f>
        <v>Fled/Apprehended</v>
      </c>
      <c r="G234" s="5" t="str">
        <f ca="1">IFERROR(__xludf.DUMMYFUNCTION("""COMPUTED_VALUE"""),"No")</f>
        <v>No</v>
      </c>
      <c r="H234" s="5" t="str">
        <f ca="1">IFERROR(__xludf.DUMMYFUNCTION("""COMPUTED_VALUE"""),"None")</f>
        <v>None</v>
      </c>
    </row>
    <row r="235" spans="1:8" ht="13">
      <c r="A235" s="5" t="str">
        <f ca="1">IFERROR(__xludf.DUMMYFUNCTION("""COMPUTED_VALUE"""),"20220831NMDEA")</f>
        <v>20220831NMDEA</v>
      </c>
      <c r="B235" s="5">
        <f ca="1">IFERROR(__xludf.DUMMYFUNCTION("""COMPUTED_VALUE"""),17)</f>
        <v>17</v>
      </c>
      <c r="C235" s="5" t="str">
        <f ca="1">IFERROR(__xludf.DUMMYFUNCTION("""COMPUTED_VALUE"""),"Male")</f>
        <v>Male</v>
      </c>
      <c r="D235" s="5"/>
      <c r="E235" s="5" t="str">
        <f ca="1">IFERROR(__xludf.DUMMYFUNCTION("""COMPUTED_VALUE"""),"Student")</f>
        <v>Student</v>
      </c>
      <c r="F235" s="5" t="str">
        <f ca="1">IFERROR(__xludf.DUMMYFUNCTION("""COMPUTED_VALUE"""),"Fled/Apprehended")</f>
        <v>Fled/Apprehended</v>
      </c>
      <c r="G235" s="5" t="str">
        <f ca="1">IFERROR(__xludf.DUMMYFUNCTION("""COMPUTED_VALUE"""),"No")</f>
        <v>No</v>
      </c>
      <c r="H235" s="5" t="str">
        <f ca="1">IFERROR(__xludf.DUMMYFUNCTION("""COMPUTED_VALUE"""),"None")</f>
        <v>None</v>
      </c>
    </row>
    <row r="236" spans="1:8" ht="13">
      <c r="A236" s="5" t="str">
        <f ca="1">IFERROR(__xludf.DUMMYFUNCTION("""COMPUTED_VALUE"""),"20220831PAFRP")</f>
        <v>20220831PAFRP</v>
      </c>
      <c r="B236" s="5"/>
      <c r="C236" s="5"/>
      <c r="D236" s="5"/>
      <c r="E236" s="5" t="str">
        <f ca="1">IFERROR(__xludf.DUMMYFUNCTION("""COMPUTED_VALUE"""),"No Relation")</f>
        <v>No Relation</v>
      </c>
      <c r="F236" s="5" t="str">
        <f ca="1">IFERROR(__xludf.DUMMYFUNCTION("""COMPUTED_VALUE"""),"Fled/Escaped")</f>
        <v>Fled/Escaped</v>
      </c>
      <c r="G236" s="5" t="str">
        <f ca="1">IFERROR(__xludf.DUMMYFUNCTION("""COMPUTED_VALUE"""),"No")</f>
        <v>No</v>
      </c>
      <c r="H236" s="5" t="str">
        <f ca="1">IFERROR(__xludf.DUMMYFUNCTION("""COMPUTED_VALUE"""),"None")</f>
        <v>None</v>
      </c>
    </row>
    <row r="237" spans="1:8" ht="13">
      <c r="A237" s="5" t="str">
        <f ca="1">IFERROR(__xludf.DUMMYFUNCTION("""COMPUTED_VALUE"""),"20220829CAMAO")</f>
        <v>20220829CAMAO</v>
      </c>
      <c r="B237" s="5">
        <f ca="1">IFERROR(__xludf.DUMMYFUNCTION("""COMPUTED_VALUE"""),12)</f>
        <v>12</v>
      </c>
      <c r="C237" s="5" t="str">
        <f ca="1">IFERROR(__xludf.DUMMYFUNCTION("""COMPUTED_VALUE"""),"Male")</f>
        <v>Male</v>
      </c>
      <c r="D237" s="5"/>
      <c r="E237" s="5" t="str">
        <f ca="1">IFERROR(__xludf.DUMMYFUNCTION("""COMPUTED_VALUE"""),"Student")</f>
        <v>Student</v>
      </c>
      <c r="F237" s="5" t="str">
        <f ca="1">IFERROR(__xludf.DUMMYFUNCTION("""COMPUTED_VALUE"""),"Fled/Apprehended")</f>
        <v>Fled/Apprehended</v>
      </c>
      <c r="G237" s="5" t="str">
        <f ca="1">IFERROR(__xludf.DUMMYFUNCTION("""COMPUTED_VALUE"""),"No")</f>
        <v>No</v>
      </c>
      <c r="H237" s="5" t="str">
        <f ca="1">IFERROR(__xludf.DUMMYFUNCTION("""COMPUTED_VALUE"""),"None")</f>
        <v>None</v>
      </c>
    </row>
    <row r="238" spans="1:8" ht="13">
      <c r="A238" s="5" t="str">
        <f ca="1">IFERROR(__xludf.DUMMYFUNCTION("""COMPUTED_VALUE"""),"20220827MONOS")</f>
        <v>20220827MONOS</v>
      </c>
      <c r="B238" s="5">
        <f ca="1">IFERROR(__xludf.DUMMYFUNCTION("""COMPUTED_VALUE"""),42)</f>
        <v>42</v>
      </c>
      <c r="C238" s="5" t="str">
        <f ca="1">IFERROR(__xludf.DUMMYFUNCTION("""COMPUTED_VALUE"""),"Male")</f>
        <v>Male</v>
      </c>
      <c r="D238" s="5"/>
      <c r="E238" s="5" t="str">
        <f ca="1">IFERROR(__xludf.DUMMYFUNCTION("""COMPUTED_VALUE"""),"Nonstudent Using Athletic Facilities/Attending Game")</f>
        <v>Nonstudent Using Athletic Facilities/Attending Game</v>
      </c>
      <c r="F238" s="5" t="str">
        <f ca="1">IFERROR(__xludf.DUMMYFUNCTION("""COMPUTED_VALUE"""),"Fled/Apprehended")</f>
        <v>Fled/Apprehended</v>
      </c>
      <c r="G238" s="5" t="str">
        <f ca="1">IFERROR(__xludf.DUMMYFUNCTION("""COMPUTED_VALUE"""),"No")</f>
        <v>No</v>
      </c>
      <c r="H238" s="5" t="str">
        <f ca="1">IFERROR(__xludf.DUMMYFUNCTION("""COMPUTED_VALUE"""),"None")</f>
        <v>None</v>
      </c>
    </row>
    <row r="239" spans="1:8" ht="13">
      <c r="A239" s="5" t="str">
        <f ca="1">IFERROR(__xludf.DUMMYFUNCTION("""COMPUTED_VALUE"""),"20220826OHGAC")</f>
        <v>20220826OHGAC</v>
      </c>
      <c r="B239" s="5"/>
      <c r="C239" s="5"/>
      <c r="D239" s="5"/>
      <c r="E239" s="5"/>
      <c r="F239" s="5" t="str">
        <f ca="1">IFERROR(__xludf.DUMMYFUNCTION("""COMPUTED_VALUE"""),"Fled/Escaped")</f>
        <v>Fled/Escaped</v>
      </c>
      <c r="G239" s="5" t="str">
        <f ca="1">IFERROR(__xludf.DUMMYFUNCTION("""COMPUTED_VALUE"""),"No")</f>
        <v>No</v>
      </c>
      <c r="H239" s="5" t="str">
        <f ca="1">IFERROR(__xludf.DUMMYFUNCTION("""COMPUTED_VALUE"""),"None")</f>
        <v>None</v>
      </c>
    </row>
    <row r="240" spans="1:8" ht="13">
      <c r="A240" s="5" t="str">
        <f ca="1">IFERROR(__xludf.DUMMYFUNCTION("""COMPUTED_VALUE"""),"20220823OHINC")</f>
        <v>20220823OHINC</v>
      </c>
      <c r="B240" s="5"/>
      <c r="C240" s="5"/>
      <c r="D240" s="5"/>
      <c r="E240" s="5"/>
      <c r="F240" s="5" t="str">
        <f ca="1">IFERROR(__xludf.DUMMYFUNCTION("""COMPUTED_VALUE"""),"Fled/Escaped")</f>
        <v>Fled/Escaped</v>
      </c>
      <c r="G240" s="5" t="str">
        <f ca="1">IFERROR(__xludf.DUMMYFUNCTION("""COMPUTED_VALUE"""),"No")</f>
        <v>No</v>
      </c>
      <c r="H240" s="5" t="str">
        <f ca="1">IFERROR(__xludf.DUMMYFUNCTION("""COMPUTED_VALUE"""),"None")</f>
        <v>None</v>
      </c>
    </row>
    <row r="241" spans="1:8" ht="13">
      <c r="A241" s="5" t="str">
        <f ca="1">IFERROR(__xludf.DUMMYFUNCTION("""COMPUTED_VALUE"""),"20220823OHART")</f>
        <v>20220823OHART</v>
      </c>
      <c r="B241" s="5" t="str">
        <f ca="1">IFERROR(__xludf.DUMMYFUNCTION("""COMPUTED_VALUE"""),"Adult")</f>
        <v>Adult</v>
      </c>
      <c r="C241" s="5"/>
      <c r="D241" s="5"/>
      <c r="E241" s="5" t="str">
        <f ca="1">IFERROR(__xludf.DUMMYFUNCTION("""COMPUTED_VALUE"""),"Parent")</f>
        <v>Parent</v>
      </c>
      <c r="F241" s="5" t="str">
        <f ca="1">IFERROR(__xludf.DUMMYFUNCTION("""COMPUTED_VALUE"""),"Fled/Escaped")</f>
        <v>Fled/Escaped</v>
      </c>
      <c r="G241" s="5" t="str">
        <f ca="1">IFERROR(__xludf.DUMMYFUNCTION("""COMPUTED_VALUE"""),"No")</f>
        <v>No</v>
      </c>
      <c r="H241" s="5" t="str">
        <f ca="1">IFERROR(__xludf.DUMMYFUNCTION("""COMPUTED_VALUE"""),"None")</f>
        <v>None</v>
      </c>
    </row>
    <row r="242" spans="1:8" ht="13">
      <c r="A242" s="5" t="str">
        <f ca="1">IFERROR(__xludf.DUMMYFUNCTION("""COMPUTED_VALUE"""),"20220819LAAKN")</f>
        <v>20220819LAAKN</v>
      </c>
      <c r="B242" s="5">
        <f ca="1">IFERROR(__xludf.DUMMYFUNCTION("""COMPUTED_VALUE"""),12)</f>
        <v>12</v>
      </c>
      <c r="C242" s="5" t="str">
        <f ca="1">IFERROR(__xludf.DUMMYFUNCTION("""COMPUTED_VALUE"""),"Female")</f>
        <v>Female</v>
      </c>
      <c r="D242" s="5" t="str">
        <f ca="1">IFERROR(__xludf.DUMMYFUNCTION("""COMPUTED_VALUE"""),"Black")</f>
        <v>Black</v>
      </c>
      <c r="E242" s="5" t="str">
        <f ca="1">IFERROR(__xludf.DUMMYFUNCTION("""COMPUTED_VALUE"""),"Student")</f>
        <v>Student</v>
      </c>
      <c r="F242" s="5" t="str">
        <f ca="1">IFERROR(__xludf.DUMMYFUNCTION("""COMPUTED_VALUE"""),"Fled/Apprehended")</f>
        <v>Fled/Apprehended</v>
      </c>
      <c r="G242" s="5" t="str">
        <f ca="1">IFERROR(__xludf.DUMMYFUNCTION("""COMPUTED_VALUE"""),"No")</f>
        <v>No</v>
      </c>
      <c r="H242" s="5" t="str">
        <f ca="1">IFERROR(__xludf.DUMMYFUNCTION("""COMPUTED_VALUE"""),"None")</f>
        <v>None</v>
      </c>
    </row>
    <row r="243" spans="1:8" ht="13">
      <c r="A243" s="5" t="str">
        <f ca="1">IFERROR(__xludf.DUMMYFUNCTION("""COMPUTED_VALUE"""),"20220819OHGRG")</f>
        <v>20220819OHGRG</v>
      </c>
      <c r="B243" s="5">
        <f ca="1">IFERROR(__xludf.DUMMYFUNCTION("""COMPUTED_VALUE"""),18)</f>
        <v>18</v>
      </c>
      <c r="C243" s="5" t="str">
        <f ca="1">IFERROR(__xludf.DUMMYFUNCTION("""COMPUTED_VALUE"""),"Male")</f>
        <v>Male</v>
      </c>
      <c r="D243" s="5" t="str">
        <f ca="1">IFERROR(__xludf.DUMMYFUNCTION("""COMPUTED_VALUE"""),"Black")</f>
        <v>Black</v>
      </c>
      <c r="E243" s="5" t="str">
        <f ca="1">IFERROR(__xludf.DUMMYFUNCTION("""COMPUTED_VALUE"""),"Nonstudent Using Athletic Facilities/Attending Game")</f>
        <v>Nonstudent Using Athletic Facilities/Attending Game</v>
      </c>
      <c r="F243" s="5" t="str">
        <f ca="1">IFERROR(__xludf.DUMMYFUNCTION("""COMPUTED_VALUE"""),"Apprehended/Killed by LE")</f>
        <v>Apprehended/Killed by LE</v>
      </c>
      <c r="G243" s="5" t="str">
        <f ca="1">IFERROR(__xludf.DUMMYFUNCTION("""COMPUTED_VALUE"""),"No")</f>
        <v>No</v>
      </c>
      <c r="H243" s="5" t="str">
        <f ca="1">IFERROR(__xludf.DUMMYFUNCTION("""COMPUTED_VALUE"""),"None")</f>
        <v>None</v>
      </c>
    </row>
    <row r="244" spans="1:8" ht="13">
      <c r="A244" s="5" t="str">
        <f ca="1">IFERROR(__xludf.DUMMYFUNCTION("""COMPUTED_VALUE"""),"20220819TNWEC")</f>
        <v>20220819TNWEC</v>
      </c>
      <c r="B244" s="5">
        <f ca="1">IFERROR(__xludf.DUMMYFUNCTION("""COMPUTED_VALUE"""),16)</f>
        <v>16</v>
      </c>
      <c r="C244" s="5" t="str">
        <f ca="1">IFERROR(__xludf.DUMMYFUNCTION("""COMPUTED_VALUE"""),"Male")</f>
        <v>Male</v>
      </c>
      <c r="D244" s="5"/>
      <c r="E244" s="5"/>
      <c r="F244" s="5" t="str">
        <f ca="1">IFERROR(__xludf.DUMMYFUNCTION("""COMPUTED_VALUE"""),"Fled/Apprehended")</f>
        <v>Fled/Apprehended</v>
      </c>
      <c r="G244" s="5" t="str">
        <f ca="1">IFERROR(__xludf.DUMMYFUNCTION("""COMPUTED_VALUE"""),"No")</f>
        <v>No</v>
      </c>
      <c r="H244" s="5" t="str">
        <f ca="1">IFERROR(__xludf.DUMMYFUNCTION("""COMPUTED_VALUE"""),"None")</f>
        <v>None</v>
      </c>
    </row>
    <row r="245" spans="1:8" ht="13">
      <c r="A245" s="5" t="str">
        <f ca="1">IFERROR(__xludf.DUMMYFUNCTION("""COMPUTED_VALUE"""),"20220818FLLER")</f>
        <v>20220818FLLER</v>
      </c>
      <c r="B245" s="5">
        <f ca="1">IFERROR(__xludf.DUMMYFUNCTION("""COMPUTED_VALUE"""),18)</f>
        <v>18</v>
      </c>
      <c r="C245" s="5" t="str">
        <f ca="1">IFERROR(__xludf.DUMMYFUNCTION("""COMPUTED_VALUE"""),"Male")</f>
        <v>Male</v>
      </c>
      <c r="D245" s="5"/>
      <c r="E245" s="5" t="str">
        <f ca="1">IFERROR(__xludf.DUMMYFUNCTION("""COMPUTED_VALUE"""),"Former Student")</f>
        <v>Former Student</v>
      </c>
      <c r="F245" s="5" t="str">
        <f ca="1">IFERROR(__xludf.DUMMYFUNCTION("""COMPUTED_VALUE"""),"Fled/Apprehended")</f>
        <v>Fled/Apprehended</v>
      </c>
      <c r="G245" s="5" t="str">
        <f ca="1">IFERROR(__xludf.DUMMYFUNCTION("""COMPUTED_VALUE"""),"No")</f>
        <v>No</v>
      </c>
      <c r="H245" s="5" t="str">
        <f ca="1">IFERROR(__xludf.DUMMYFUNCTION("""COMPUTED_VALUE"""),"Wounded")</f>
        <v>Wounded</v>
      </c>
    </row>
    <row r="246" spans="1:8" ht="13">
      <c r="A246" s="5" t="str">
        <f ca="1">IFERROR(__xludf.DUMMYFUNCTION("""COMPUTED_VALUE"""),"20220816TXPOB")</f>
        <v>20220816TXPOB</v>
      </c>
      <c r="B246" s="5" t="str">
        <f ca="1">IFERROR(__xludf.DUMMYFUNCTION("""COMPUTED_VALUE"""),"Teen")</f>
        <v>Teen</v>
      </c>
      <c r="C246" s="5" t="str">
        <f ca="1">IFERROR(__xludf.DUMMYFUNCTION("""COMPUTED_VALUE"""),"Male")</f>
        <v>Male</v>
      </c>
      <c r="D246" s="5"/>
      <c r="E246" s="5" t="str">
        <f ca="1">IFERROR(__xludf.DUMMYFUNCTION("""COMPUTED_VALUE"""),"No Relation")</f>
        <v>No Relation</v>
      </c>
      <c r="F246" s="5" t="str">
        <f ca="1">IFERROR(__xludf.DUMMYFUNCTION("""COMPUTED_VALUE"""),"Fled/Apprehended")</f>
        <v>Fled/Apprehended</v>
      </c>
      <c r="G246" s="5" t="str">
        <f ca="1">IFERROR(__xludf.DUMMYFUNCTION("""COMPUTED_VALUE"""),"No")</f>
        <v>No</v>
      </c>
      <c r="H246" s="5" t="str">
        <f ca="1">IFERROR(__xludf.DUMMYFUNCTION("""COMPUTED_VALUE"""),"None")</f>
        <v>None</v>
      </c>
    </row>
    <row r="247" spans="1:8" ht="13">
      <c r="A247" s="5" t="str">
        <f ca="1">IFERROR(__xludf.DUMMYFUNCTION("""COMPUTED_VALUE"""),"20220815CALIS")</f>
        <v>20220815CALIS</v>
      </c>
      <c r="B247" s="5">
        <f ca="1">IFERROR(__xludf.DUMMYFUNCTION("""COMPUTED_VALUE"""),17)</f>
        <v>17</v>
      </c>
      <c r="C247" s="5" t="str">
        <f ca="1">IFERROR(__xludf.DUMMYFUNCTION("""COMPUTED_VALUE"""),"Male")</f>
        <v>Male</v>
      </c>
      <c r="D247" s="5"/>
      <c r="E247" s="5" t="str">
        <f ca="1">IFERROR(__xludf.DUMMYFUNCTION("""COMPUTED_VALUE"""),"Student")</f>
        <v>Student</v>
      </c>
      <c r="F247" s="5" t="str">
        <f ca="1">IFERROR(__xludf.DUMMYFUNCTION("""COMPUTED_VALUE"""),"Apprehended/Killed by SRO")</f>
        <v>Apprehended/Killed by SRO</v>
      </c>
      <c r="G247" s="5" t="str">
        <f ca="1">IFERROR(__xludf.DUMMYFUNCTION("""COMPUTED_VALUE"""),"No")</f>
        <v>No</v>
      </c>
      <c r="H247" s="5" t="str">
        <f ca="1">IFERROR(__xludf.DUMMYFUNCTION("""COMPUTED_VALUE"""),"None")</f>
        <v>None</v>
      </c>
    </row>
    <row r="248" spans="1:8" ht="13">
      <c r="A248" s="5" t="str">
        <f ca="1">IFERROR(__xludf.DUMMYFUNCTION("""COMPUTED_VALUE"""),"20220813ARMAL")</f>
        <v>20220813ARMAL</v>
      </c>
      <c r="B248" s="5"/>
      <c r="C248" s="5"/>
      <c r="D248" s="5"/>
      <c r="E248" s="5" t="str">
        <f ca="1">IFERROR(__xludf.DUMMYFUNCTION("""COMPUTED_VALUE"""),"No Relation")</f>
        <v>No Relation</v>
      </c>
      <c r="F248" s="5" t="str">
        <f ca="1">IFERROR(__xludf.DUMMYFUNCTION("""COMPUTED_VALUE"""),"Fled/Escaped")</f>
        <v>Fled/Escaped</v>
      </c>
      <c r="G248" s="5" t="str">
        <f ca="1">IFERROR(__xludf.DUMMYFUNCTION("""COMPUTED_VALUE"""),"No")</f>
        <v>No</v>
      </c>
      <c r="H248" s="5" t="str">
        <f ca="1">IFERROR(__xludf.DUMMYFUNCTION("""COMPUTED_VALUE"""),"None")</f>
        <v>None</v>
      </c>
    </row>
    <row r="249" spans="1:8" ht="13">
      <c r="A249" s="5" t="str">
        <f ca="1">IFERROR(__xludf.DUMMYFUNCTION("""COMPUTED_VALUE"""),"20220812CASIV")</f>
        <v>20220812CASIV</v>
      </c>
      <c r="B249" s="5"/>
      <c r="C249" s="5"/>
      <c r="D249" s="5"/>
      <c r="E249" s="5"/>
      <c r="F249" s="5" t="str">
        <f ca="1">IFERROR(__xludf.DUMMYFUNCTION("""COMPUTED_VALUE"""),"Fled/Escaped")</f>
        <v>Fled/Escaped</v>
      </c>
      <c r="G249" s="5" t="str">
        <f ca="1">IFERROR(__xludf.DUMMYFUNCTION("""COMPUTED_VALUE"""),"No")</f>
        <v>No</v>
      </c>
      <c r="H249" s="5" t="str">
        <f ca="1">IFERROR(__xludf.DUMMYFUNCTION("""COMPUTED_VALUE"""),"None")</f>
        <v>None</v>
      </c>
    </row>
    <row r="250" spans="1:8" ht="13">
      <c r="A250" s="5" t="str">
        <f ca="1">IFERROR(__xludf.DUMMYFUNCTION("""COMPUTED_VALUE"""),"20220811GAUCB")</f>
        <v>20220811GAUCB</v>
      </c>
      <c r="B250" s="5">
        <f ca="1">IFERROR(__xludf.DUMMYFUNCTION("""COMPUTED_VALUE"""),64)</f>
        <v>64</v>
      </c>
      <c r="C250" s="5" t="str">
        <f ca="1">IFERROR(__xludf.DUMMYFUNCTION("""COMPUTED_VALUE"""),"Male")</f>
        <v>Male</v>
      </c>
      <c r="D250" s="5"/>
      <c r="E250" s="5" t="str">
        <f ca="1">IFERROR(__xludf.DUMMYFUNCTION("""COMPUTED_VALUE"""),"Other Staff")</f>
        <v>Other Staff</v>
      </c>
      <c r="F250" s="5" t="str">
        <f ca="1">IFERROR(__xludf.DUMMYFUNCTION("""COMPUTED_VALUE"""),"Fled/Apprehended")</f>
        <v>Fled/Apprehended</v>
      </c>
      <c r="G250" s="5" t="str">
        <f ca="1">IFERROR(__xludf.DUMMYFUNCTION("""COMPUTED_VALUE"""),"No")</f>
        <v>No</v>
      </c>
      <c r="H250" s="5" t="str">
        <f ca="1">IFERROR(__xludf.DUMMYFUNCTION("""COMPUTED_VALUE"""),"None")</f>
        <v>None</v>
      </c>
    </row>
    <row r="251" spans="1:8" ht="13">
      <c r="A251" s="5" t="str">
        <f ca="1">IFERROR(__xludf.DUMMYFUNCTION("""COMPUTED_VALUE"""),"20220810GAMCA")</f>
        <v>20220810GAMCA</v>
      </c>
      <c r="B251" s="5">
        <f ca="1">IFERROR(__xludf.DUMMYFUNCTION("""COMPUTED_VALUE"""),18)</f>
        <v>18</v>
      </c>
      <c r="C251" s="5" t="str">
        <f ca="1">IFERROR(__xludf.DUMMYFUNCTION("""COMPUTED_VALUE"""),"Male")</f>
        <v>Male</v>
      </c>
      <c r="D251" s="5"/>
      <c r="E251" s="5" t="str">
        <f ca="1">IFERROR(__xludf.DUMMYFUNCTION("""COMPUTED_VALUE"""),"Student")</f>
        <v>Student</v>
      </c>
      <c r="F251" s="5" t="str">
        <f ca="1">IFERROR(__xludf.DUMMYFUNCTION("""COMPUTED_VALUE"""),"Apprehended/Killed by SRO")</f>
        <v>Apprehended/Killed by SRO</v>
      </c>
      <c r="G251" s="5" t="str">
        <f ca="1">IFERROR(__xludf.DUMMYFUNCTION("""COMPUTED_VALUE"""),"No")</f>
        <v>No</v>
      </c>
      <c r="H251" s="5" t="str">
        <f ca="1">IFERROR(__xludf.DUMMYFUNCTION("""COMPUTED_VALUE"""),"None")</f>
        <v>None</v>
      </c>
    </row>
    <row r="252" spans="1:8" ht="13">
      <c r="A252" s="5" t="str">
        <f ca="1">IFERROR(__xludf.DUMMYFUNCTION("""COMPUTED_VALUE"""),"20220809PACHP")</f>
        <v>20220809PACHP</v>
      </c>
      <c r="B252" s="5" t="str">
        <f ca="1">IFERROR(__xludf.DUMMYFUNCTION("""COMPUTED_VALUE"""),"Adult")</f>
        <v>Adult</v>
      </c>
      <c r="C252" s="5"/>
      <c r="D252" s="5"/>
      <c r="E252" s="5" t="str">
        <f ca="1">IFERROR(__xludf.DUMMYFUNCTION("""COMPUTED_VALUE"""),"No Relation")</f>
        <v>No Relation</v>
      </c>
      <c r="F252" s="5" t="str">
        <f ca="1">IFERROR(__xludf.DUMMYFUNCTION("""COMPUTED_VALUE"""),"Fled/Escaped")</f>
        <v>Fled/Escaped</v>
      </c>
      <c r="G252" s="5" t="str">
        <f ca="1">IFERROR(__xludf.DUMMYFUNCTION("""COMPUTED_VALUE"""),"No")</f>
        <v>No</v>
      </c>
      <c r="H252" s="5" t="str">
        <f ca="1">IFERROR(__xludf.DUMMYFUNCTION("""COMPUTED_VALUE"""),"None")</f>
        <v>None</v>
      </c>
    </row>
    <row r="253" spans="1:8" ht="13">
      <c r="A253" s="5" t="str">
        <f ca="1">IFERROR(__xludf.DUMMYFUNCTION("""COMPUTED_VALUE"""),"20220805MATHL")</f>
        <v>20220805MATHL</v>
      </c>
      <c r="B253" s="5">
        <f ca="1">IFERROR(__xludf.DUMMYFUNCTION("""COMPUTED_VALUE"""),25)</f>
        <v>25</v>
      </c>
      <c r="C253" s="5" t="str">
        <f ca="1">IFERROR(__xludf.DUMMYFUNCTION("""COMPUTED_VALUE"""),"Male")</f>
        <v>Male</v>
      </c>
      <c r="D253" s="5"/>
      <c r="E253" s="5" t="str">
        <f ca="1">IFERROR(__xludf.DUMMYFUNCTION("""COMPUTED_VALUE"""),"Nonstudent Using Athletic Facilities/Attending Game")</f>
        <v>Nonstudent Using Athletic Facilities/Attending Game</v>
      </c>
      <c r="F253" s="5" t="str">
        <f ca="1">IFERROR(__xludf.DUMMYFUNCTION("""COMPUTED_VALUE"""),"Fled/Apprehended")</f>
        <v>Fled/Apprehended</v>
      </c>
      <c r="G253" s="5" t="str">
        <f ca="1">IFERROR(__xludf.DUMMYFUNCTION("""COMPUTED_VALUE"""),"No")</f>
        <v>No</v>
      </c>
      <c r="H253" s="5" t="str">
        <f ca="1">IFERROR(__xludf.DUMMYFUNCTION("""COMPUTED_VALUE"""),"None")</f>
        <v>None</v>
      </c>
    </row>
    <row r="254" spans="1:8" ht="13">
      <c r="A254" s="5" t="str">
        <f ca="1">IFERROR(__xludf.DUMMYFUNCTION("""COMPUTED_VALUE"""),"20220805GAJOJ")</f>
        <v>20220805GAJOJ</v>
      </c>
      <c r="B254" s="5">
        <f ca="1">IFERROR(__xludf.DUMMYFUNCTION("""COMPUTED_VALUE"""),27)</f>
        <v>27</v>
      </c>
      <c r="C254" s="5" t="str">
        <f ca="1">IFERROR(__xludf.DUMMYFUNCTION("""COMPUTED_VALUE"""),"Male")</f>
        <v>Male</v>
      </c>
      <c r="D254" s="5" t="str">
        <f ca="1">IFERROR(__xludf.DUMMYFUNCTION("""COMPUTED_VALUE"""),"Black")</f>
        <v>Black</v>
      </c>
      <c r="E254" s="5" t="str">
        <f ca="1">IFERROR(__xludf.DUMMYFUNCTION("""COMPUTED_VALUE"""),"No Relation")</f>
        <v>No Relation</v>
      </c>
      <c r="F254" s="5" t="str">
        <f ca="1">IFERROR(__xludf.DUMMYFUNCTION("""COMPUTED_VALUE"""),"Apprehended/Killed by LE")</f>
        <v>Apprehended/Killed by LE</v>
      </c>
      <c r="G254" s="5" t="str">
        <f ca="1">IFERROR(__xludf.DUMMYFUNCTION("""COMPUTED_VALUE"""),"No")</f>
        <v>No</v>
      </c>
      <c r="H254" s="5" t="str">
        <f ca="1">IFERROR(__xludf.DUMMYFUNCTION("""COMPUTED_VALUE"""),"None")</f>
        <v>None</v>
      </c>
    </row>
    <row r="255" spans="1:8" ht="13">
      <c r="A255" s="5" t="str">
        <f ca="1">IFERROR(__xludf.DUMMYFUNCTION("""COMPUTED_VALUE"""),"20220803PALEP")</f>
        <v>20220803PALEP</v>
      </c>
      <c r="B255" s="5" t="str">
        <f ca="1">IFERROR(__xludf.DUMMYFUNCTION("""COMPUTED_VALUE"""),"Adult")</f>
        <v>Adult</v>
      </c>
      <c r="C255" s="5" t="str">
        <f ca="1">IFERROR(__xludf.DUMMYFUNCTION("""COMPUTED_VALUE"""),"Male")</f>
        <v>Male</v>
      </c>
      <c r="D255" s="5"/>
      <c r="E255" s="5" t="str">
        <f ca="1">IFERROR(__xludf.DUMMYFUNCTION("""COMPUTED_VALUE"""),"No Relation")</f>
        <v>No Relation</v>
      </c>
      <c r="F255" s="5" t="str">
        <f ca="1">IFERROR(__xludf.DUMMYFUNCTION("""COMPUTED_VALUE"""),"Fled/Escaped")</f>
        <v>Fled/Escaped</v>
      </c>
      <c r="G255" s="5" t="str">
        <f ca="1">IFERROR(__xludf.DUMMYFUNCTION("""COMPUTED_VALUE"""),"No")</f>
        <v>No</v>
      </c>
      <c r="H255" s="5" t="str">
        <f ca="1">IFERROR(__xludf.DUMMYFUNCTION("""COMPUTED_VALUE"""),"None")</f>
        <v>None</v>
      </c>
    </row>
    <row r="256" spans="1:8" ht="13">
      <c r="A256" s="5" t="str">
        <f ca="1">IFERROR(__xludf.DUMMYFUNCTION("""COMPUTED_VALUE"""),"20220731CAOAO")</f>
        <v>20220731CAOAO</v>
      </c>
      <c r="B256" s="5" t="str">
        <f ca="1">IFERROR(__xludf.DUMMYFUNCTION("""COMPUTED_VALUE"""),"Adult")</f>
        <v>Adult</v>
      </c>
      <c r="C256" s="5"/>
      <c r="D256" s="5"/>
      <c r="E256" s="5" t="str">
        <f ca="1">IFERROR(__xludf.DUMMYFUNCTION("""COMPUTED_VALUE"""),"Nonstudent Using Athletic Facilities/Attending Game")</f>
        <v>Nonstudent Using Athletic Facilities/Attending Game</v>
      </c>
      <c r="F256" s="5" t="str">
        <f ca="1">IFERROR(__xludf.DUMMYFUNCTION("""COMPUTED_VALUE"""),"Fled/Escaped")</f>
        <v>Fled/Escaped</v>
      </c>
      <c r="G256" s="5" t="str">
        <f ca="1">IFERROR(__xludf.DUMMYFUNCTION("""COMPUTED_VALUE"""),"No")</f>
        <v>No</v>
      </c>
      <c r="H256" s="5" t="str">
        <f ca="1">IFERROR(__xludf.DUMMYFUNCTION("""COMPUTED_VALUE"""),"None")</f>
        <v>None</v>
      </c>
    </row>
    <row r="257" spans="1:8" ht="13">
      <c r="A257" s="5" t="str">
        <f ca="1">IFERROR(__xludf.DUMMYFUNCTION("""COMPUTED_VALUE"""),"20220731CAOAO")</f>
        <v>20220731CAOAO</v>
      </c>
      <c r="B257" s="5" t="str">
        <f ca="1">IFERROR(__xludf.DUMMYFUNCTION("""COMPUTED_VALUE"""),"Adult")</f>
        <v>Adult</v>
      </c>
      <c r="C257" s="5"/>
      <c r="D257" s="5"/>
      <c r="E257" s="5" t="str">
        <f ca="1">IFERROR(__xludf.DUMMYFUNCTION("""COMPUTED_VALUE"""),"Nonstudent Using Athletic Facilities/Attending Game")</f>
        <v>Nonstudent Using Athletic Facilities/Attending Game</v>
      </c>
      <c r="F257" s="5" t="str">
        <f ca="1">IFERROR(__xludf.DUMMYFUNCTION("""COMPUTED_VALUE"""),"Fled/Escaped")</f>
        <v>Fled/Escaped</v>
      </c>
      <c r="G257" s="5" t="str">
        <f ca="1">IFERROR(__xludf.DUMMYFUNCTION("""COMPUTED_VALUE"""),"No")</f>
        <v>No</v>
      </c>
      <c r="H257" s="5" t="str">
        <f ca="1">IFERROR(__xludf.DUMMYFUNCTION("""COMPUTED_VALUE"""),"None")</f>
        <v>None</v>
      </c>
    </row>
    <row r="258" spans="1:8" ht="13">
      <c r="A258" s="5" t="str">
        <f ca="1">IFERROR(__xludf.DUMMYFUNCTION("""COMPUTED_VALUE"""),"20220731CAOAO")</f>
        <v>20220731CAOAO</v>
      </c>
      <c r="B258" s="5" t="str">
        <f ca="1">IFERROR(__xludf.DUMMYFUNCTION("""COMPUTED_VALUE"""),"Adult")</f>
        <v>Adult</v>
      </c>
      <c r="C258" s="5" t="str">
        <f ca="1">IFERROR(__xludf.DUMMYFUNCTION("""COMPUTED_VALUE"""),"Male")</f>
        <v>Male</v>
      </c>
      <c r="D258" s="5"/>
      <c r="E258" s="5" t="str">
        <f ca="1">IFERROR(__xludf.DUMMYFUNCTION("""COMPUTED_VALUE"""),"Nonstudent Using Athletic Facilities/Attending Game")</f>
        <v>Nonstudent Using Athletic Facilities/Attending Game</v>
      </c>
      <c r="F258" s="5" t="str">
        <f ca="1">IFERROR(__xludf.DUMMYFUNCTION("""COMPUTED_VALUE"""),"Fled/Escaped")</f>
        <v>Fled/Escaped</v>
      </c>
      <c r="G258" s="5" t="str">
        <f ca="1">IFERROR(__xludf.DUMMYFUNCTION("""COMPUTED_VALUE"""),"No")</f>
        <v>No</v>
      </c>
      <c r="H258" s="5" t="str">
        <f ca="1">IFERROR(__xludf.DUMMYFUNCTION("""COMPUTED_VALUE"""),"None")</f>
        <v>None</v>
      </c>
    </row>
    <row r="259" spans="1:8" ht="13">
      <c r="A259" s="5" t="str">
        <f ca="1">IFERROR(__xludf.DUMMYFUNCTION("""COMPUTED_VALUE"""),"20220730NYRHH")</f>
        <v>20220730NYRHH</v>
      </c>
      <c r="B259" s="5"/>
      <c r="C259" s="5"/>
      <c r="D259" s="5"/>
      <c r="E259" s="5" t="str">
        <f ca="1">IFERROR(__xludf.DUMMYFUNCTION("""COMPUTED_VALUE"""),"No Relation")</f>
        <v>No Relation</v>
      </c>
      <c r="F259" s="5" t="str">
        <f ca="1">IFERROR(__xludf.DUMMYFUNCTION("""COMPUTED_VALUE"""),"Fled/Escaped")</f>
        <v>Fled/Escaped</v>
      </c>
      <c r="G259" s="5" t="str">
        <f ca="1">IFERROR(__xludf.DUMMYFUNCTION("""COMPUTED_VALUE"""),"No")</f>
        <v>No</v>
      </c>
      <c r="H259" s="5" t="str">
        <f ca="1">IFERROR(__xludf.DUMMYFUNCTION("""COMPUTED_VALUE"""),"None")</f>
        <v>None</v>
      </c>
    </row>
    <row r="260" spans="1:8" ht="13">
      <c r="A260" s="5" t="str">
        <f ca="1">IFERROR(__xludf.DUMMYFUNCTION("""COMPUTED_VALUE"""),"20220729INCOS")</f>
        <v>20220729INCOS</v>
      </c>
      <c r="B260" s="5">
        <f ca="1">IFERROR(__xludf.DUMMYFUNCTION("""COMPUTED_VALUE"""),51)</f>
        <v>51</v>
      </c>
      <c r="C260" s="5" t="str">
        <f ca="1">IFERROR(__xludf.DUMMYFUNCTION("""COMPUTED_VALUE"""),"Male")</f>
        <v>Male</v>
      </c>
      <c r="D260" s="5"/>
      <c r="E260" s="5" t="str">
        <f ca="1">IFERROR(__xludf.DUMMYFUNCTION("""COMPUTED_VALUE"""),"No Relation")</f>
        <v>No Relation</v>
      </c>
      <c r="F260" s="5" t="str">
        <f ca="1">IFERROR(__xludf.DUMMYFUNCTION("""COMPUTED_VALUE"""),"Attempted Suicide")</f>
        <v>Attempted Suicide</v>
      </c>
      <c r="G260" s="5" t="str">
        <f ca="1">IFERROR(__xludf.DUMMYFUNCTION("""COMPUTED_VALUE"""),"Yes")</f>
        <v>Yes</v>
      </c>
      <c r="H260" s="5" t="str">
        <f ca="1">IFERROR(__xludf.DUMMYFUNCTION("""COMPUTED_VALUE"""),"Suicide")</f>
        <v>Suicide</v>
      </c>
    </row>
    <row r="261" spans="1:8" ht="13">
      <c r="A261" s="5" t="str">
        <f ca="1">IFERROR(__xludf.DUMMYFUNCTION("""COMPUTED_VALUE"""),"20220728KSMOG")</f>
        <v>20220728KSMOG</v>
      </c>
      <c r="B261" s="5">
        <f ca="1">IFERROR(__xludf.DUMMYFUNCTION("""COMPUTED_VALUE"""),22)</f>
        <v>22</v>
      </c>
      <c r="C261" s="5" t="str">
        <f ca="1">IFERROR(__xludf.DUMMYFUNCTION("""COMPUTED_VALUE"""),"Male")</f>
        <v>Male</v>
      </c>
      <c r="D261" s="5"/>
      <c r="E261" s="5" t="str">
        <f ca="1">IFERROR(__xludf.DUMMYFUNCTION("""COMPUTED_VALUE"""),"No Relation")</f>
        <v>No Relation</v>
      </c>
      <c r="F261" s="5" t="str">
        <f ca="1">IFERROR(__xludf.DUMMYFUNCTION("""COMPUTED_VALUE"""),"Attempted Suicide")</f>
        <v>Attempted Suicide</v>
      </c>
      <c r="G261" s="5" t="str">
        <f ca="1">IFERROR(__xludf.DUMMYFUNCTION("""COMPUTED_VALUE"""),"No")</f>
        <v>No</v>
      </c>
      <c r="H261" s="5" t="str">
        <f ca="1">IFERROR(__xludf.DUMMYFUNCTION("""COMPUTED_VALUE"""),"Suicide")</f>
        <v>Suicide</v>
      </c>
    </row>
    <row r="262" spans="1:8" ht="13">
      <c r="A262" s="5" t="str">
        <f ca="1">IFERROR(__xludf.DUMMYFUNCTION("""COMPUTED_VALUE"""),"20220726PALAL")</f>
        <v>20220726PALAL</v>
      </c>
      <c r="B262" s="5">
        <f ca="1">IFERROR(__xludf.DUMMYFUNCTION("""COMPUTED_VALUE"""),20)</f>
        <v>20</v>
      </c>
      <c r="C262" s="5" t="str">
        <f ca="1">IFERROR(__xludf.DUMMYFUNCTION("""COMPUTED_VALUE"""),"Male")</f>
        <v>Male</v>
      </c>
      <c r="D262" s="5" t="str">
        <f ca="1">IFERROR(__xludf.DUMMYFUNCTION("""COMPUTED_VALUE"""),"White")</f>
        <v>White</v>
      </c>
      <c r="E262" s="5" t="str">
        <f ca="1">IFERROR(__xludf.DUMMYFUNCTION("""COMPUTED_VALUE"""),"No Relation")</f>
        <v>No Relation</v>
      </c>
      <c r="F262" s="5" t="str">
        <f ca="1">IFERROR(__xludf.DUMMYFUNCTION("""COMPUTED_VALUE"""),"Fled/Apprehended")</f>
        <v>Fled/Apprehended</v>
      </c>
      <c r="G262" s="5" t="str">
        <f ca="1">IFERROR(__xludf.DUMMYFUNCTION("""COMPUTED_VALUE"""),"No")</f>
        <v>No</v>
      </c>
      <c r="H262" s="5" t="str">
        <f ca="1">IFERROR(__xludf.DUMMYFUNCTION("""COMPUTED_VALUE"""),"None")</f>
        <v>None</v>
      </c>
    </row>
    <row r="263" spans="1:8" ht="13">
      <c r="A263" s="5" t="str">
        <f ca="1">IFERROR(__xludf.DUMMYFUNCTION("""COMPUTED_VALUE"""),"20220726TXCOC")</f>
        <v>20220726TXCOC</v>
      </c>
      <c r="B263" s="5" t="str">
        <f ca="1">IFERROR(__xludf.DUMMYFUNCTION("""COMPUTED_VALUE"""),"Adult")</f>
        <v>Adult</v>
      </c>
      <c r="C263" s="5" t="str">
        <f ca="1">IFERROR(__xludf.DUMMYFUNCTION("""COMPUTED_VALUE"""),"Male")</f>
        <v>Male</v>
      </c>
      <c r="D263" s="5" t="str">
        <f ca="1">IFERROR(__xludf.DUMMYFUNCTION("""COMPUTED_VALUE"""),"Black")</f>
        <v>Black</v>
      </c>
      <c r="E263" s="5"/>
      <c r="F263" s="5" t="str">
        <f ca="1">IFERROR(__xludf.DUMMYFUNCTION("""COMPUTED_VALUE"""),"Fled/Escaped")</f>
        <v>Fled/Escaped</v>
      </c>
      <c r="G263" s="5" t="str">
        <f ca="1">IFERROR(__xludf.DUMMYFUNCTION("""COMPUTED_VALUE"""),"No")</f>
        <v>No</v>
      </c>
      <c r="H263" s="5" t="str">
        <f ca="1">IFERROR(__xludf.DUMMYFUNCTION("""COMPUTED_VALUE"""),"None")</f>
        <v>None</v>
      </c>
    </row>
    <row r="264" spans="1:8" ht="13">
      <c r="A264" s="5" t="str">
        <f ca="1">IFERROR(__xludf.DUMMYFUNCTION("""COMPUTED_VALUE"""),"20220725NYBRB")</f>
        <v>20220725NYBRB</v>
      </c>
      <c r="B264" s="5" t="str">
        <f ca="1">IFERROR(__xludf.DUMMYFUNCTION("""COMPUTED_VALUE"""),"Adult")</f>
        <v>Adult</v>
      </c>
      <c r="C264" s="5" t="str">
        <f ca="1">IFERROR(__xludf.DUMMYFUNCTION("""COMPUTED_VALUE"""),"Male")</f>
        <v>Male</v>
      </c>
      <c r="D264" s="5" t="str">
        <f ca="1">IFERROR(__xludf.DUMMYFUNCTION("""COMPUTED_VALUE"""),"Black")</f>
        <v>Black</v>
      </c>
      <c r="E264" s="5" t="str">
        <f ca="1">IFERROR(__xludf.DUMMYFUNCTION("""COMPUTED_VALUE"""),"No Relation")</f>
        <v>No Relation</v>
      </c>
      <c r="F264" s="5" t="str">
        <f ca="1">IFERROR(__xludf.DUMMYFUNCTION("""COMPUTED_VALUE"""),"Fled/Escaped")</f>
        <v>Fled/Escaped</v>
      </c>
      <c r="G264" s="5" t="str">
        <f ca="1">IFERROR(__xludf.DUMMYFUNCTION("""COMPUTED_VALUE"""),"No")</f>
        <v>No</v>
      </c>
      <c r="H264" s="5" t="str">
        <f ca="1">IFERROR(__xludf.DUMMYFUNCTION("""COMPUTED_VALUE"""),"None")</f>
        <v>None</v>
      </c>
    </row>
    <row r="265" spans="1:8" ht="13">
      <c r="A265" s="5" t="str">
        <f ca="1">IFERROR(__xludf.DUMMYFUNCTION("""COMPUTED_VALUE"""),"20220720CAJOV")</f>
        <v>20220720CAJOV</v>
      </c>
      <c r="B265" s="5" t="str">
        <f ca="1">IFERROR(__xludf.DUMMYFUNCTION("""COMPUTED_VALUE"""),"Adult")</f>
        <v>Adult</v>
      </c>
      <c r="C265" s="5" t="str">
        <f ca="1">IFERROR(__xludf.DUMMYFUNCTION("""COMPUTED_VALUE"""),"Male")</f>
        <v>Male</v>
      </c>
      <c r="D265" s="5" t="str">
        <f ca="1">IFERROR(__xludf.DUMMYFUNCTION("""COMPUTED_VALUE"""),"Hispanic")</f>
        <v>Hispanic</v>
      </c>
      <c r="E265" s="5" t="str">
        <f ca="1">IFERROR(__xludf.DUMMYFUNCTION("""COMPUTED_VALUE"""),"No Relation")</f>
        <v>No Relation</v>
      </c>
      <c r="F265" s="5" t="str">
        <f ca="1">IFERROR(__xludf.DUMMYFUNCTION("""COMPUTED_VALUE"""),"Fled/Escaped")</f>
        <v>Fled/Escaped</v>
      </c>
      <c r="G265" s="5" t="str">
        <f ca="1">IFERROR(__xludf.DUMMYFUNCTION("""COMPUTED_VALUE"""),"No")</f>
        <v>No</v>
      </c>
      <c r="H265" s="5" t="str">
        <f ca="1">IFERROR(__xludf.DUMMYFUNCTION("""COMPUTED_VALUE"""),"None")</f>
        <v>None</v>
      </c>
    </row>
    <row r="266" spans="1:8" ht="13">
      <c r="A266" s="5" t="str">
        <f ca="1">IFERROR(__xludf.DUMMYFUNCTION("""COMPUTED_VALUE"""),"20220716NYCLS")</f>
        <v>20220716NYCLS</v>
      </c>
      <c r="B266" s="5" t="str">
        <f ca="1">IFERROR(__xludf.DUMMYFUNCTION("""COMPUTED_VALUE"""),"Adult")</f>
        <v>Adult</v>
      </c>
      <c r="C266" s="5" t="str">
        <f ca="1">IFERROR(__xludf.DUMMYFUNCTION("""COMPUTED_VALUE"""),"Male")</f>
        <v>Male</v>
      </c>
      <c r="D266" s="5"/>
      <c r="E266" s="5" t="str">
        <f ca="1">IFERROR(__xludf.DUMMYFUNCTION("""COMPUTED_VALUE"""),"Nonstudent Using Athletic Facilities/Attending Game")</f>
        <v>Nonstudent Using Athletic Facilities/Attending Game</v>
      </c>
      <c r="F266" s="5" t="str">
        <f ca="1">IFERROR(__xludf.DUMMYFUNCTION("""COMPUTED_VALUE"""),"Fled/Escaped")</f>
        <v>Fled/Escaped</v>
      </c>
      <c r="G266" s="5" t="str">
        <f ca="1">IFERROR(__xludf.DUMMYFUNCTION("""COMPUTED_VALUE"""),"No")</f>
        <v>No</v>
      </c>
      <c r="H266" s="5" t="str">
        <f ca="1">IFERROR(__xludf.DUMMYFUNCTION("""COMPUTED_VALUE"""),"None")</f>
        <v>None</v>
      </c>
    </row>
    <row r="267" spans="1:8" ht="13">
      <c r="A267" s="5" t="str">
        <f ca="1">IFERROR(__xludf.DUMMYFUNCTION("""COMPUTED_VALUE"""),"20220716GAAPF")</f>
        <v>20220716GAAPF</v>
      </c>
      <c r="B267" s="5" t="str">
        <f ca="1">IFERROR(__xludf.DUMMYFUNCTION("""COMPUTED_VALUE"""),"Adult")</f>
        <v>Adult</v>
      </c>
      <c r="C267" s="5"/>
      <c r="D267" s="5"/>
      <c r="E267" s="5" t="str">
        <f ca="1">IFERROR(__xludf.DUMMYFUNCTION("""COMPUTED_VALUE"""),"No Relation")</f>
        <v>No Relation</v>
      </c>
      <c r="F267" s="5" t="str">
        <f ca="1">IFERROR(__xludf.DUMMYFUNCTION("""COMPUTED_VALUE"""),"Fled/Escaped")</f>
        <v>Fled/Escaped</v>
      </c>
      <c r="G267" s="5" t="str">
        <f ca="1">IFERROR(__xludf.DUMMYFUNCTION("""COMPUTED_VALUE"""),"No")</f>
        <v>No</v>
      </c>
      <c r="H267" s="5" t="str">
        <f ca="1">IFERROR(__xludf.DUMMYFUNCTION("""COMPUTED_VALUE"""),"None")</f>
        <v>None</v>
      </c>
    </row>
    <row r="268" spans="1:8" ht="13">
      <c r="A268" s="5" t="str">
        <f ca="1">IFERROR(__xludf.DUMMYFUNCTION("""COMPUTED_VALUE"""),"20220629CABUA")</f>
        <v>20220629CABUA</v>
      </c>
      <c r="B268" s="5"/>
      <c r="C268" s="5"/>
      <c r="D268" s="5"/>
      <c r="E268" s="5" t="str">
        <f ca="1">IFERROR(__xludf.DUMMYFUNCTION("""COMPUTED_VALUE"""),"No Relation")</f>
        <v>No Relation</v>
      </c>
      <c r="F268" s="5" t="str">
        <f ca="1">IFERROR(__xludf.DUMMYFUNCTION("""COMPUTED_VALUE"""),"Fled/Escaped")</f>
        <v>Fled/Escaped</v>
      </c>
      <c r="G268" s="5" t="str">
        <f ca="1">IFERROR(__xludf.DUMMYFUNCTION("""COMPUTED_VALUE"""),"No")</f>
        <v>No</v>
      </c>
      <c r="H268" s="5" t="str">
        <f ca="1">IFERROR(__xludf.DUMMYFUNCTION("""COMPUTED_VALUE"""),"None")</f>
        <v>None</v>
      </c>
    </row>
    <row r="269" spans="1:8" ht="13">
      <c r="A269" s="5" t="str">
        <f ca="1">IFERROR(__xludf.DUMMYFUNCTION("""COMPUTED_VALUE"""),"20220620ILGRC")</f>
        <v>20220620ILGRC</v>
      </c>
      <c r="B269" s="5"/>
      <c r="C269" s="5"/>
      <c r="D269" s="5"/>
      <c r="E269" s="5" t="str">
        <f ca="1">IFERROR(__xludf.DUMMYFUNCTION("""COMPUTED_VALUE"""),"No Relation")</f>
        <v>No Relation</v>
      </c>
      <c r="F269" s="5" t="str">
        <f ca="1">IFERROR(__xludf.DUMMYFUNCTION("""COMPUTED_VALUE"""),"Fled/Escaped")</f>
        <v>Fled/Escaped</v>
      </c>
      <c r="G269" s="5" t="str">
        <f ca="1">IFERROR(__xludf.DUMMYFUNCTION("""COMPUTED_VALUE"""),"No")</f>
        <v>No</v>
      </c>
      <c r="H269" s="5" t="str">
        <f ca="1">IFERROR(__xludf.DUMMYFUNCTION("""COMPUTED_VALUE"""),"None")</f>
        <v>None</v>
      </c>
    </row>
    <row r="270" spans="1:8" ht="13">
      <c r="A270" s="5" t="str">
        <f ca="1">IFERROR(__xludf.DUMMYFUNCTION("""COMPUTED_VALUE"""),"20220613WAMAE")</f>
        <v>20220613WAMAE</v>
      </c>
      <c r="B270" s="5">
        <f ca="1">IFERROR(__xludf.DUMMYFUNCTION("""COMPUTED_VALUE"""),15)</f>
        <v>15</v>
      </c>
      <c r="C270" s="5" t="str">
        <f ca="1">IFERROR(__xludf.DUMMYFUNCTION("""COMPUTED_VALUE"""),"Male")</f>
        <v>Male</v>
      </c>
      <c r="D270" s="5"/>
      <c r="E270" s="5" t="str">
        <f ca="1">IFERROR(__xludf.DUMMYFUNCTION("""COMPUTED_VALUE"""),"Student")</f>
        <v>Student</v>
      </c>
      <c r="F270" s="5" t="str">
        <f ca="1">IFERROR(__xludf.DUMMYFUNCTION("""COMPUTED_VALUE"""),"Fled/Apprehended")</f>
        <v>Fled/Apprehended</v>
      </c>
      <c r="G270" s="5" t="str">
        <f ca="1">IFERROR(__xludf.DUMMYFUNCTION("""COMPUTED_VALUE"""),"No")</f>
        <v>No</v>
      </c>
      <c r="H270" s="5" t="str">
        <f ca="1">IFERROR(__xludf.DUMMYFUNCTION("""COMPUTED_VALUE"""),"None")</f>
        <v>None</v>
      </c>
    </row>
    <row r="271" spans="1:8" ht="13">
      <c r="A271" s="5" t="str">
        <f ca="1">IFERROR(__xludf.DUMMYFUNCTION("""COMPUTED_VALUE"""),"20220610ALBYB")</f>
        <v>20220610ALBYB</v>
      </c>
      <c r="B271" s="5" t="str">
        <f ca="1">IFERROR(__xludf.DUMMYFUNCTION("""COMPUTED_VALUE"""),"Teen")</f>
        <v>Teen</v>
      </c>
      <c r="C271" s="5" t="str">
        <f ca="1">IFERROR(__xludf.DUMMYFUNCTION("""COMPUTED_VALUE"""),"Male")</f>
        <v>Male</v>
      </c>
      <c r="D271" s="5"/>
      <c r="E271" s="5" t="str">
        <f ca="1">IFERROR(__xludf.DUMMYFUNCTION("""COMPUTED_VALUE"""),"Student")</f>
        <v>Student</v>
      </c>
      <c r="F271" s="5" t="str">
        <f ca="1">IFERROR(__xludf.DUMMYFUNCTION("""COMPUTED_VALUE"""),"Fled/Apprehended")</f>
        <v>Fled/Apprehended</v>
      </c>
      <c r="G271" s="5" t="str">
        <f ca="1">IFERROR(__xludf.DUMMYFUNCTION("""COMPUTED_VALUE"""),"No")</f>
        <v>No</v>
      </c>
      <c r="H271" s="5" t="str">
        <f ca="1">IFERROR(__xludf.DUMMYFUNCTION("""COMPUTED_VALUE"""),"None")</f>
        <v>None</v>
      </c>
    </row>
    <row r="272" spans="1:8" ht="13">
      <c r="A272" s="5" t="str">
        <f ca="1">IFERROR(__xludf.DUMMYFUNCTION("""COMPUTED_VALUE"""),"20220609ALWAG")</f>
        <v>20220609ALWAG</v>
      </c>
      <c r="B272" s="5"/>
      <c r="C272" s="5"/>
      <c r="D272" s="5"/>
      <c r="E272" s="5" t="str">
        <f ca="1">IFERROR(__xludf.DUMMYFUNCTION("""COMPUTED_VALUE"""),"Police Officer/SRO")</f>
        <v>Police Officer/SRO</v>
      </c>
      <c r="F272" s="5" t="str">
        <f ca="1">IFERROR(__xludf.DUMMYFUNCTION("""COMPUTED_VALUE"""),"Law Enforcement")</f>
        <v>Law Enforcement</v>
      </c>
      <c r="G272" s="5" t="str">
        <f ca="1">IFERROR(__xludf.DUMMYFUNCTION("""COMPUTED_VALUE"""),"No")</f>
        <v>No</v>
      </c>
      <c r="H272" s="5" t="str">
        <f ca="1">IFERROR(__xludf.DUMMYFUNCTION("""COMPUTED_VALUE"""),"None")</f>
        <v>None</v>
      </c>
    </row>
    <row r="273" spans="1:8" ht="13">
      <c r="A273" s="5" t="str">
        <f ca="1">IFERROR(__xludf.DUMMYFUNCTION("""COMPUTED_VALUE"""),"20220608ARLIL")</f>
        <v>20220608ARLIL</v>
      </c>
      <c r="B273" s="5"/>
      <c r="C273" s="5"/>
      <c r="D273" s="5"/>
      <c r="E273" s="5" t="str">
        <f ca="1">IFERROR(__xludf.DUMMYFUNCTION("""COMPUTED_VALUE"""),"No Relation")</f>
        <v>No Relation</v>
      </c>
      <c r="F273" s="5" t="str">
        <f ca="1">IFERROR(__xludf.DUMMYFUNCTION("""COMPUTED_VALUE"""),"Fled/Escaped")</f>
        <v>Fled/Escaped</v>
      </c>
      <c r="G273" s="5" t="str">
        <f ca="1">IFERROR(__xludf.DUMMYFUNCTION("""COMPUTED_VALUE"""),"No")</f>
        <v>No</v>
      </c>
      <c r="H273" s="5" t="str">
        <f ca="1">IFERROR(__xludf.DUMMYFUNCTION("""COMPUTED_VALUE"""),"None")</f>
        <v>None</v>
      </c>
    </row>
    <row r="274" spans="1:8" ht="13">
      <c r="A274" s="5" t="str">
        <f ca="1">IFERROR(__xludf.DUMMYFUNCTION("""COMPUTED_VALUE"""),"20220607MIPED")</f>
        <v>20220607MIPED</v>
      </c>
      <c r="B274" s="5"/>
      <c r="C274" s="5"/>
      <c r="D274" s="5"/>
      <c r="E274" s="5"/>
      <c r="F274" s="5" t="str">
        <f ca="1">IFERROR(__xludf.DUMMYFUNCTION("""COMPUTED_VALUE"""),"Apprehended/Killed by SRO")</f>
        <v>Apprehended/Killed by SRO</v>
      </c>
      <c r="G274" s="5" t="str">
        <f ca="1">IFERROR(__xludf.DUMMYFUNCTION("""COMPUTED_VALUE"""),"No")</f>
        <v>No</v>
      </c>
      <c r="H274" s="5" t="str">
        <f ca="1">IFERROR(__xludf.DUMMYFUNCTION("""COMPUTED_VALUE"""),"None")</f>
        <v>None</v>
      </c>
    </row>
    <row r="275" spans="1:8" ht="13">
      <c r="A275" s="5" t="str">
        <f ca="1">IFERROR(__xludf.DUMMYFUNCTION("""COMPUTED_VALUE"""),"20220605INWEG")</f>
        <v>20220605INWEG</v>
      </c>
      <c r="B275" s="5" t="str">
        <f ca="1">IFERROR(__xludf.DUMMYFUNCTION("""COMPUTED_VALUE"""),"Teen")</f>
        <v>Teen</v>
      </c>
      <c r="C275" s="5"/>
      <c r="D275" s="5"/>
      <c r="E275" s="5"/>
      <c r="F275" s="5" t="str">
        <f ca="1">IFERROR(__xludf.DUMMYFUNCTION("""COMPUTED_VALUE"""),"Apprehended/Killed by LE")</f>
        <v>Apprehended/Killed by LE</v>
      </c>
      <c r="G275" s="5" t="str">
        <f ca="1">IFERROR(__xludf.DUMMYFUNCTION("""COMPUTED_VALUE"""),"No")</f>
        <v>No</v>
      </c>
      <c r="H275" s="5" t="str">
        <f ca="1">IFERROR(__xludf.DUMMYFUNCTION("""COMPUTED_VALUE"""),"None")</f>
        <v>None</v>
      </c>
    </row>
    <row r="276" spans="1:8" ht="13">
      <c r="A276" s="5" t="str">
        <f ca="1">IFERROR(__xludf.DUMMYFUNCTION("""COMPUTED_VALUE"""),"20220601CAULL")</f>
        <v>20220601CAULL</v>
      </c>
      <c r="B276" s="5"/>
      <c r="C276" s="5" t="str">
        <f ca="1">IFERROR(__xludf.DUMMYFUNCTION("""COMPUTED_VALUE"""),"Male")</f>
        <v>Male</v>
      </c>
      <c r="D276" s="5"/>
      <c r="E276" s="5"/>
      <c r="F276" s="5" t="str">
        <f ca="1">IFERROR(__xludf.DUMMYFUNCTION("""COMPUTED_VALUE"""),"Fled/Escaped")</f>
        <v>Fled/Escaped</v>
      </c>
      <c r="G276" s="5" t="str">
        <f ca="1">IFERROR(__xludf.DUMMYFUNCTION("""COMPUTED_VALUE"""),"No")</f>
        <v>No</v>
      </c>
      <c r="H276" s="5" t="str">
        <f ca="1">IFERROR(__xludf.DUMMYFUNCTION("""COMPUTED_VALUE"""),"None")</f>
        <v>None</v>
      </c>
    </row>
    <row r="277" spans="1:8" ht="13">
      <c r="A277" s="5" t="str">
        <f ca="1">IFERROR(__xludf.DUMMYFUNCTION("""COMPUTED_VALUE"""),"20220531LAMON")</f>
        <v>20220531LAMON</v>
      </c>
      <c r="B277" s="5">
        <f ca="1">IFERROR(__xludf.DUMMYFUNCTION("""COMPUTED_VALUE"""),18)</f>
        <v>18</v>
      </c>
      <c r="C277" s="5" t="str">
        <f ca="1">IFERROR(__xludf.DUMMYFUNCTION("""COMPUTED_VALUE"""),"Male")</f>
        <v>Male</v>
      </c>
      <c r="D277" s="5" t="str">
        <f ca="1">IFERROR(__xludf.DUMMYFUNCTION("""COMPUTED_VALUE"""),"Black")</f>
        <v>Black</v>
      </c>
      <c r="E277" s="5"/>
      <c r="F277" s="5" t="str">
        <f ca="1">IFERROR(__xludf.DUMMYFUNCTION("""COMPUTED_VALUE"""),"Fled/Apprehended")</f>
        <v>Fled/Apprehended</v>
      </c>
      <c r="G277" s="5" t="str">
        <f ca="1">IFERROR(__xludf.DUMMYFUNCTION("""COMPUTED_VALUE"""),"No")</f>
        <v>No</v>
      </c>
      <c r="H277" s="5" t="str">
        <f ca="1">IFERROR(__xludf.DUMMYFUNCTION("""COMPUTED_VALUE"""),"None")</f>
        <v>None</v>
      </c>
    </row>
    <row r="278" spans="1:8" ht="13">
      <c r="A278" s="5" t="str">
        <f ca="1">IFERROR(__xludf.DUMMYFUNCTION("""COMPUTED_VALUE"""),"20220531LAMON")</f>
        <v>20220531LAMON</v>
      </c>
      <c r="B278" s="5">
        <f ca="1">IFERROR(__xludf.DUMMYFUNCTION("""COMPUTED_VALUE"""),40)</f>
        <v>40</v>
      </c>
      <c r="C278" s="5" t="str">
        <f ca="1">IFERROR(__xludf.DUMMYFUNCTION("""COMPUTED_VALUE"""),"Male")</f>
        <v>Male</v>
      </c>
      <c r="D278" s="5"/>
      <c r="E278" s="5" t="str">
        <f ca="1">IFERROR(__xludf.DUMMYFUNCTION("""COMPUTED_VALUE"""),"Relative")</f>
        <v>Relative</v>
      </c>
      <c r="F278" s="5" t="str">
        <f ca="1">IFERROR(__xludf.DUMMYFUNCTION("""COMPUTED_VALUE"""),"Fled/Apprehended")</f>
        <v>Fled/Apprehended</v>
      </c>
      <c r="G278" s="5" t="str">
        <f ca="1">IFERROR(__xludf.DUMMYFUNCTION("""COMPUTED_VALUE"""),"No")</f>
        <v>No</v>
      </c>
      <c r="H278" s="5" t="str">
        <f ca="1">IFERROR(__xludf.DUMMYFUNCTION("""COMPUTED_VALUE"""),"None")</f>
        <v>None</v>
      </c>
    </row>
    <row r="279" spans="1:8" ht="13">
      <c r="A279" s="5" t="str">
        <f ca="1">IFERROR(__xludf.DUMMYFUNCTION("""COMPUTED_VALUE"""),"20220530CAHEL")</f>
        <v>20220530CAHEL</v>
      </c>
      <c r="B279" s="5" t="str">
        <f ca="1">IFERROR(__xludf.DUMMYFUNCTION("""COMPUTED_VALUE"""),"Adult")</f>
        <v>Adult</v>
      </c>
      <c r="C279" s="5" t="str">
        <f ca="1">IFERROR(__xludf.DUMMYFUNCTION("""COMPUTED_VALUE"""),"Male")</f>
        <v>Male</v>
      </c>
      <c r="D279" s="5"/>
      <c r="E279" s="5" t="str">
        <f ca="1">IFERROR(__xludf.DUMMYFUNCTION("""COMPUTED_VALUE"""),"No Relation")</f>
        <v>No Relation</v>
      </c>
      <c r="F279" s="5" t="str">
        <f ca="1">IFERROR(__xludf.DUMMYFUNCTION("""COMPUTED_VALUE"""),"Fled/Escaped")</f>
        <v>Fled/Escaped</v>
      </c>
      <c r="G279" s="5" t="str">
        <f ca="1">IFERROR(__xludf.DUMMYFUNCTION("""COMPUTED_VALUE"""),"No")</f>
        <v>No</v>
      </c>
      <c r="H279" s="5" t="str">
        <f ca="1">IFERROR(__xludf.DUMMYFUNCTION("""COMPUTED_VALUE"""),"None")</f>
        <v>None</v>
      </c>
    </row>
    <row r="280" spans="1:8" ht="13">
      <c r="A280" s="5" t="str">
        <f ca="1">IFERROR(__xludf.DUMMYFUNCTION("""COMPUTED_VALUE"""),"20220529ILDAC")</f>
        <v>20220529ILDAC</v>
      </c>
      <c r="B280" s="5"/>
      <c r="C280" s="5"/>
      <c r="D280" s="5"/>
      <c r="E280" s="5"/>
      <c r="F280" s="5" t="str">
        <f ca="1">IFERROR(__xludf.DUMMYFUNCTION("""COMPUTED_VALUE"""),"Fled/Escaped")</f>
        <v>Fled/Escaped</v>
      </c>
      <c r="G280" s="5" t="str">
        <f ca="1">IFERROR(__xludf.DUMMYFUNCTION("""COMPUTED_VALUE"""),"No")</f>
        <v>No</v>
      </c>
      <c r="H280" s="5" t="str">
        <f ca="1">IFERROR(__xludf.DUMMYFUNCTION("""COMPUTED_VALUE"""),"None")</f>
        <v>None</v>
      </c>
    </row>
    <row r="281" spans="1:8" ht="13">
      <c r="A281" s="5" t="str">
        <f ca="1">IFERROR(__xludf.DUMMYFUNCTION("""COMPUTED_VALUE"""),"20220529ILDAC")</f>
        <v>20220529ILDAC</v>
      </c>
      <c r="B281" s="5"/>
      <c r="C281" s="5"/>
      <c r="D281" s="5"/>
      <c r="E281" s="5"/>
      <c r="F281" s="5" t="str">
        <f ca="1">IFERROR(__xludf.DUMMYFUNCTION("""COMPUTED_VALUE"""),"Fled/Escaped")</f>
        <v>Fled/Escaped</v>
      </c>
      <c r="G281" s="5" t="str">
        <f ca="1">IFERROR(__xludf.DUMMYFUNCTION("""COMPUTED_VALUE"""),"No")</f>
        <v>No</v>
      </c>
      <c r="H281" s="5" t="str">
        <f ca="1">IFERROR(__xludf.DUMMYFUNCTION("""COMPUTED_VALUE"""),"None")</f>
        <v>None</v>
      </c>
    </row>
    <row r="282" spans="1:8" ht="13">
      <c r="A282" s="5" t="str">
        <f ca="1">IFERROR(__xludf.DUMMYFUNCTION("""COMPUTED_VALUE"""),"20220529ILDAC")</f>
        <v>20220529ILDAC</v>
      </c>
      <c r="B282" s="5"/>
      <c r="C282" s="5"/>
      <c r="D282" s="5"/>
      <c r="E282" s="5"/>
      <c r="F282" s="5" t="str">
        <f ca="1">IFERROR(__xludf.DUMMYFUNCTION("""COMPUTED_VALUE"""),"Fled/Escaped")</f>
        <v>Fled/Escaped</v>
      </c>
      <c r="G282" s="5" t="str">
        <f ca="1">IFERROR(__xludf.DUMMYFUNCTION("""COMPUTED_VALUE"""),"No")</f>
        <v>No</v>
      </c>
      <c r="H282" s="5" t="str">
        <f ca="1">IFERROR(__xludf.DUMMYFUNCTION("""COMPUTED_VALUE"""),"None")</f>
        <v>None</v>
      </c>
    </row>
    <row r="283" spans="1:8" ht="13">
      <c r="A283" s="5" t="str">
        <f ca="1">IFERROR(__xludf.DUMMYFUNCTION("""COMPUTED_VALUE"""),"20220526TXDUA")</f>
        <v>20220526TXDUA</v>
      </c>
      <c r="B283" s="5">
        <f ca="1">IFERROR(__xludf.DUMMYFUNCTION("""COMPUTED_VALUE"""),55)</f>
        <v>55</v>
      </c>
      <c r="C283" s="5" t="str">
        <f ca="1">IFERROR(__xludf.DUMMYFUNCTION("""COMPUTED_VALUE"""),"Male")</f>
        <v>Male</v>
      </c>
      <c r="D283" s="5" t="str">
        <f ca="1">IFERROR(__xludf.DUMMYFUNCTION("""COMPUTED_VALUE"""),"White")</f>
        <v>White</v>
      </c>
      <c r="E283" s="5" t="str">
        <f ca="1">IFERROR(__xludf.DUMMYFUNCTION("""COMPUTED_VALUE"""),"Relative")</f>
        <v>Relative</v>
      </c>
      <c r="F283" s="5" t="str">
        <f ca="1">IFERROR(__xludf.DUMMYFUNCTION("""COMPUTED_VALUE"""),"Surrendered")</f>
        <v>Surrendered</v>
      </c>
      <c r="G283" s="5" t="str">
        <f ca="1">IFERROR(__xludf.DUMMYFUNCTION("""COMPUTED_VALUE"""),"No")</f>
        <v>No</v>
      </c>
      <c r="H283" s="5" t="str">
        <f ca="1">IFERROR(__xludf.DUMMYFUNCTION("""COMPUTED_VALUE"""),"Wounded")</f>
        <v>Wounded</v>
      </c>
    </row>
    <row r="284" spans="1:8" ht="13">
      <c r="A284" s="5" t="str">
        <f ca="1">IFERROR(__xludf.DUMMYFUNCTION("""COMPUTED_VALUE"""),"20220526SCMEG")</f>
        <v>20220526SCMEG</v>
      </c>
      <c r="B284" s="5"/>
      <c r="C284" s="5"/>
      <c r="D284" s="5"/>
      <c r="E284" s="5"/>
      <c r="F284" s="5" t="str">
        <f ca="1">IFERROR(__xludf.DUMMYFUNCTION("""COMPUTED_VALUE"""),"Fled/Escaped")</f>
        <v>Fled/Escaped</v>
      </c>
      <c r="G284" s="5" t="str">
        <f ca="1">IFERROR(__xludf.DUMMYFUNCTION("""COMPUTED_VALUE"""),"No")</f>
        <v>No</v>
      </c>
      <c r="H284" s="5" t="str">
        <f ca="1">IFERROR(__xludf.DUMMYFUNCTION("""COMPUTED_VALUE"""),"None")</f>
        <v>None</v>
      </c>
    </row>
    <row r="285" spans="1:8" ht="13">
      <c r="A285" s="5" t="str">
        <f ca="1">IFERROR(__xludf.DUMMYFUNCTION("""COMPUTED_VALUE"""),"20220525ILSTC")</f>
        <v>20220525ILSTC</v>
      </c>
      <c r="B285" s="5"/>
      <c r="C285" s="5"/>
      <c r="D285" s="5"/>
      <c r="E285" s="5"/>
      <c r="F285" s="5" t="str">
        <f ca="1">IFERROR(__xludf.DUMMYFUNCTION("""COMPUTED_VALUE"""),"Fled/Escaped")</f>
        <v>Fled/Escaped</v>
      </c>
      <c r="G285" s="5" t="str">
        <f ca="1">IFERROR(__xludf.DUMMYFUNCTION("""COMPUTED_VALUE"""),"No")</f>
        <v>No</v>
      </c>
      <c r="H285" s="5" t="str">
        <f ca="1">IFERROR(__xludf.DUMMYFUNCTION("""COMPUTED_VALUE"""),"None")</f>
        <v>None</v>
      </c>
    </row>
    <row r="286" spans="1:8" ht="13">
      <c r="A286" s="5" t="str">
        <f ca="1">IFERROR(__xludf.DUMMYFUNCTION("""COMPUTED_VALUE"""),"20220524WIRIM")</f>
        <v>20220524WIRIM</v>
      </c>
      <c r="B286" s="5" t="str">
        <f ca="1">IFERROR(__xludf.DUMMYFUNCTION("""COMPUTED_VALUE"""),"Teen")</f>
        <v>Teen</v>
      </c>
      <c r="C286" s="5" t="str">
        <f ca="1">IFERROR(__xludf.DUMMYFUNCTION("""COMPUTED_VALUE"""),"Male")</f>
        <v>Male</v>
      </c>
      <c r="D286" s="5"/>
      <c r="E286" s="5" t="str">
        <f ca="1">IFERROR(__xludf.DUMMYFUNCTION("""COMPUTED_VALUE"""),"Student")</f>
        <v>Student</v>
      </c>
      <c r="F286" s="5" t="str">
        <f ca="1">IFERROR(__xludf.DUMMYFUNCTION("""COMPUTED_VALUE"""),"Fled/Escaped")</f>
        <v>Fled/Escaped</v>
      </c>
      <c r="G286" s="5" t="str">
        <f ca="1">IFERROR(__xludf.DUMMYFUNCTION("""COMPUTED_VALUE"""),"No")</f>
        <v>No</v>
      </c>
      <c r="H286" s="5" t="str">
        <f ca="1">IFERROR(__xludf.DUMMYFUNCTION("""COMPUTED_VALUE"""),"None")</f>
        <v>None</v>
      </c>
    </row>
    <row r="287" spans="1:8" ht="13">
      <c r="A287" s="5" t="str">
        <f ca="1">IFERROR(__xludf.DUMMYFUNCTION("""COMPUTED_VALUE"""),"20220524TXROU")</f>
        <v>20220524TXROU</v>
      </c>
      <c r="B287" s="5">
        <f ca="1">IFERROR(__xludf.DUMMYFUNCTION("""COMPUTED_VALUE"""),18)</f>
        <v>18</v>
      </c>
      <c r="C287" s="5" t="str">
        <f ca="1">IFERROR(__xludf.DUMMYFUNCTION("""COMPUTED_VALUE"""),"Male")</f>
        <v>Male</v>
      </c>
      <c r="D287" s="5"/>
      <c r="E287" s="5"/>
      <c r="F287" s="5" t="str">
        <f ca="1">IFERROR(__xludf.DUMMYFUNCTION("""COMPUTED_VALUE"""),"Apprehended/Killed by LE")</f>
        <v>Apprehended/Killed by LE</v>
      </c>
      <c r="G287" s="5" t="str">
        <f ca="1">IFERROR(__xludf.DUMMYFUNCTION("""COMPUTED_VALUE"""),"Yes")</f>
        <v>Yes</v>
      </c>
      <c r="H287" s="5" t="str">
        <f ca="1">IFERROR(__xludf.DUMMYFUNCTION("""COMPUTED_VALUE"""),"Fatal")</f>
        <v>Fatal</v>
      </c>
    </row>
    <row r="288" spans="1:8" ht="13">
      <c r="A288" s="5" t="str">
        <f ca="1">IFERROR(__xludf.DUMMYFUNCTION("""COMPUTED_VALUE"""),"20220524DCPOW")</f>
        <v>20220524DCPOW</v>
      </c>
      <c r="B288" s="5"/>
      <c r="C288" s="5"/>
      <c r="D288" s="5"/>
      <c r="E288" s="5"/>
      <c r="F288" s="5" t="str">
        <f ca="1">IFERROR(__xludf.DUMMYFUNCTION("""COMPUTED_VALUE"""),"Fled/Escaped")</f>
        <v>Fled/Escaped</v>
      </c>
      <c r="G288" s="5" t="str">
        <f ca="1">IFERROR(__xludf.DUMMYFUNCTION("""COMPUTED_VALUE"""),"No")</f>
        <v>No</v>
      </c>
      <c r="H288" s="5" t="str">
        <f ca="1">IFERROR(__xludf.DUMMYFUNCTION("""COMPUTED_VALUE"""),"None")</f>
        <v>None</v>
      </c>
    </row>
    <row r="289" spans="1:8" ht="13">
      <c r="A289" s="5" t="str">
        <f ca="1">IFERROR(__xludf.DUMMYFUNCTION("""COMPUTED_VALUE"""),"20220523PASIP")</f>
        <v>20220523PASIP</v>
      </c>
      <c r="B289" s="5"/>
      <c r="C289" s="5"/>
      <c r="D289" s="5"/>
      <c r="E289" s="5"/>
      <c r="F289" s="5" t="str">
        <f ca="1">IFERROR(__xludf.DUMMYFUNCTION("""COMPUTED_VALUE"""),"Fled/Escaped")</f>
        <v>Fled/Escaped</v>
      </c>
      <c r="G289" s="5" t="str">
        <f ca="1">IFERROR(__xludf.DUMMYFUNCTION("""COMPUTED_VALUE"""),"No")</f>
        <v>No</v>
      </c>
      <c r="H289" s="5" t="str">
        <f ca="1">IFERROR(__xludf.DUMMYFUNCTION("""COMPUTED_VALUE"""),"None")</f>
        <v>None</v>
      </c>
    </row>
    <row r="290" spans="1:8" ht="13">
      <c r="A290" s="5" t="str">
        <f ca="1">IFERROR(__xludf.DUMMYFUNCTION("""COMPUTED_VALUE"""),"20220520VAPOD")</f>
        <v>20220520VAPOD</v>
      </c>
      <c r="B290" s="5" t="str">
        <f ca="1">IFERROR(__xludf.DUMMYFUNCTION("""COMPUTED_VALUE"""),"Teen")</f>
        <v>Teen</v>
      </c>
      <c r="C290" s="5" t="str">
        <f ca="1">IFERROR(__xludf.DUMMYFUNCTION("""COMPUTED_VALUE"""),"Male")</f>
        <v>Male</v>
      </c>
      <c r="D290" s="5"/>
      <c r="E290" s="5" t="str">
        <f ca="1">IFERROR(__xludf.DUMMYFUNCTION("""COMPUTED_VALUE"""),"Student")</f>
        <v>Student</v>
      </c>
      <c r="F290" s="5" t="str">
        <f ca="1">IFERROR(__xludf.DUMMYFUNCTION("""COMPUTED_VALUE"""),"Apprehended/Killed by SRO")</f>
        <v>Apprehended/Killed by SRO</v>
      </c>
      <c r="G290" s="5" t="str">
        <f ca="1">IFERROR(__xludf.DUMMYFUNCTION("""COMPUTED_VALUE"""),"No")</f>
        <v>No</v>
      </c>
      <c r="H290" s="5" t="str">
        <f ca="1">IFERROR(__xludf.DUMMYFUNCTION("""COMPUTED_VALUE"""),"None")</f>
        <v>None</v>
      </c>
    </row>
    <row r="291" spans="1:8" ht="13">
      <c r="A291" s="5" t="str">
        <f ca="1">IFERROR(__xludf.DUMMYFUNCTION("""COMPUTED_VALUE"""),"20220520TNEAC")</f>
        <v>20220520TNEAC</v>
      </c>
      <c r="B291" s="5"/>
      <c r="C291" s="5"/>
      <c r="D291" s="5"/>
      <c r="E291" s="5" t="str">
        <f ca="1">IFERROR(__xludf.DUMMYFUNCTION("""COMPUTED_VALUE"""),"No Relation")</f>
        <v>No Relation</v>
      </c>
      <c r="F291" s="5" t="str">
        <f ca="1">IFERROR(__xludf.DUMMYFUNCTION("""COMPUTED_VALUE"""),"Fled/Escaped")</f>
        <v>Fled/Escaped</v>
      </c>
      <c r="G291" s="5" t="str">
        <f ca="1">IFERROR(__xludf.DUMMYFUNCTION("""COMPUTED_VALUE"""),"No")</f>
        <v>No</v>
      </c>
      <c r="H291" s="5" t="str">
        <f ca="1">IFERROR(__xludf.DUMMYFUNCTION("""COMPUTED_VALUE"""),"None")</f>
        <v>None</v>
      </c>
    </row>
    <row r="292" spans="1:8" ht="13">
      <c r="A292" s="5" t="str">
        <f ca="1">IFERROR(__xludf.DUMMYFUNCTION("""COMPUTED_VALUE"""),"20220520OHCAC")</f>
        <v>20220520OHCAC</v>
      </c>
      <c r="B292" s="5" t="str">
        <f ca="1">IFERROR(__xludf.DUMMYFUNCTION("""COMPUTED_VALUE"""),"Teen")</f>
        <v>Teen</v>
      </c>
      <c r="C292" s="5" t="str">
        <f ca="1">IFERROR(__xludf.DUMMYFUNCTION("""COMPUTED_VALUE"""),"Male")</f>
        <v>Male</v>
      </c>
      <c r="D292" s="5"/>
      <c r="E292" s="5" t="str">
        <f ca="1">IFERROR(__xludf.DUMMYFUNCTION("""COMPUTED_VALUE"""),"Student")</f>
        <v>Student</v>
      </c>
      <c r="F292" s="5" t="str">
        <f ca="1">IFERROR(__xludf.DUMMYFUNCTION("""COMPUTED_VALUE"""),"Fled/Apprehended")</f>
        <v>Fled/Apprehended</v>
      </c>
      <c r="G292" s="5" t="str">
        <f ca="1">IFERROR(__xludf.DUMMYFUNCTION("""COMPUTED_VALUE"""),"No")</f>
        <v>No</v>
      </c>
      <c r="H292" s="5" t="str">
        <f ca="1">IFERROR(__xludf.DUMMYFUNCTION("""COMPUTED_VALUE"""),"None")</f>
        <v>None</v>
      </c>
    </row>
    <row r="293" spans="1:8" ht="13">
      <c r="A293" s="5" t="str">
        <f ca="1">IFERROR(__xludf.DUMMYFUNCTION("""COMPUTED_VALUE"""),"20220520ILSOP")</f>
        <v>20220520ILSOP</v>
      </c>
      <c r="B293" s="5" t="str">
        <f ca="1">IFERROR(__xludf.DUMMYFUNCTION("""COMPUTED_VALUE"""),"Adult")</f>
        <v>Adult</v>
      </c>
      <c r="C293" s="5" t="str">
        <f ca="1">IFERROR(__xludf.DUMMYFUNCTION("""COMPUTED_VALUE"""),"Female")</f>
        <v>Female</v>
      </c>
      <c r="D293" s="5"/>
      <c r="E293" s="5" t="str">
        <f ca="1">IFERROR(__xludf.DUMMYFUNCTION("""COMPUTED_VALUE"""),"No Relation")</f>
        <v>No Relation</v>
      </c>
      <c r="F293" s="5" t="str">
        <f ca="1">IFERROR(__xludf.DUMMYFUNCTION("""COMPUTED_VALUE"""),"Apprehended/Killed by LE")</f>
        <v>Apprehended/Killed by LE</v>
      </c>
      <c r="G293" s="5" t="str">
        <f ca="1">IFERROR(__xludf.DUMMYFUNCTION("""COMPUTED_VALUE"""),"No")</f>
        <v>No</v>
      </c>
      <c r="H293" s="5" t="str">
        <f ca="1">IFERROR(__xludf.DUMMYFUNCTION("""COMPUTED_VALUE"""),"None")</f>
        <v>None</v>
      </c>
    </row>
    <row r="294" spans="1:8" ht="13">
      <c r="A294" s="5" t="str">
        <f ca="1">IFERROR(__xludf.DUMMYFUNCTION("""COMPUTED_VALUE"""),"20220520ALMAT")</f>
        <v>20220520ALMAT</v>
      </c>
      <c r="B294" s="5"/>
      <c r="C294" s="5"/>
      <c r="D294" s="5"/>
      <c r="E294" s="5" t="str">
        <f ca="1">IFERROR(__xludf.DUMMYFUNCTION("""COMPUTED_VALUE"""),"No Relation")</f>
        <v>No Relation</v>
      </c>
      <c r="F294" s="5" t="str">
        <f ca="1">IFERROR(__xludf.DUMMYFUNCTION("""COMPUTED_VALUE"""),"Fled/Escaped")</f>
        <v>Fled/Escaped</v>
      </c>
      <c r="G294" s="5" t="str">
        <f ca="1">IFERROR(__xludf.DUMMYFUNCTION("""COMPUTED_VALUE"""),"No")</f>
        <v>No</v>
      </c>
      <c r="H294" s="5" t="str">
        <f ca="1">IFERROR(__xludf.DUMMYFUNCTION("""COMPUTED_VALUE"""),"None")</f>
        <v>None</v>
      </c>
    </row>
    <row r="295" spans="1:8" ht="13">
      <c r="A295" s="5" t="str">
        <f ca="1">IFERROR(__xludf.DUMMYFUNCTION("""COMPUTED_VALUE"""),"20220519VAGER")</f>
        <v>20220519VAGER</v>
      </c>
      <c r="B295" s="5"/>
      <c r="C295" s="5"/>
      <c r="D295" s="5"/>
      <c r="E295" s="5"/>
      <c r="F295" s="5" t="str">
        <f ca="1">IFERROR(__xludf.DUMMYFUNCTION("""COMPUTED_VALUE"""),"Fled/Escaped")</f>
        <v>Fled/Escaped</v>
      </c>
      <c r="G295" s="5" t="str">
        <f ca="1">IFERROR(__xludf.DUMMYFUNCTION("""COMPUTED_VALUE"""),"No")</f>
        <v>No</v>
      </c>
      <c r="H295" s="5" t="str">
        <f ca="1">IFERROR(__xludf.DUMMYFUNCTION("""COMPUTED_VALUE"""),"None")</f>
        <v>None</v>
      </c>
    </row>
    <row r="296" spans="1:8" ht="13">
      <c r="A296" s="5" t="str">
        <f ca="1">IFERROR(__xludf.DUMMYFUNCTION("""COMPUTED_VALUE"""),"20220519MIEAK")</f>
        <v>20220519MIEAK</v>
      </c>
      <c r="B296" s="5">
        <f ca="1">IFERROR(__xludf.DUMMYFUNCTION("""COMPUTED_VALUE"""),18)</f>
        <v>18</v>
      </c>
      <c r="C296" s="5" t="str">
        <f ca="1">IFERROR(__xludf.DUMMYFUNCTION("""COMPUTED_VALUE"""),"Male")</f>
        <v>Male</v>
      </c>
      <c r="D296" s="5" t="str">
        <f ca="1">IFERROR(__xludf.DUMMYFUNCTION("""COMPUTED_VALUE"""),"Black")</f>
        <v>Black</v>
      </c>
      <c r="E296" s="5" t="str">
        <f ca="1">IFERROR(__xludf.DUMMYFUNCTION("""COMPUTED_VALUE"""),"Nonstudent")</f>
        <v>Nonstudent</v>
      </c>
      <c r="F296" s="5" t="str">
        <f ca="1">IFERROR(__xludf.DUMMYFUNCTION("""COMPUTED_VALUE"""),"Fled/Apprehended")</f>
        <v>Fled/Apprehended</v>
      </c>
      <c r="G296" s="5" t="str">
        <f ca="1">IFERROR(__xludf.DUMMYFUNCTION("""COMPUTED_VALUE"""),"No")</f>
        <v>No</v>
      </c>
      <c r="H296" s="5" t="str">
        <f ca="1">IFERROR(__xludf.DUMMYFUNCTION("""COMPUTED_VALUE"""),"None")</f>
        <v>None</v>
      </c>
    </row>
    <row r="297" spans="1:8" ht="13">
      <c r="A297" s="5" t="str">
        <f ca="1">IFERROR(__xludf.DUMMYFUNCTION("""COMPUTED_VALUE"""),"20220519MIEAK")</f>
        <v>20220519MIEAK</v>
      </c>
      <c r="B297" s="5">
        <f ca="1">IFERROR(__xludf.DUMMYFUNCTION("""COMPUTED_VALUE"""),18)</f>
        <v>18</v>
      </c>
      <c r="C297" s="5" t="str">
        <f ca="1">IFERROR(__xludf.DUMMYFUNCTION("""COMPUTED_VALUE"""),"Male")</f>
        <v>Male</v>
      </c>
      <c r="D297" s="5" t="str">
        <f ca="1">IFERROR(__xludf.DUMMYFUNCTION("""COMPUTED_VALUE"""),"Black")</f>
        <v>Black</v>
      </c>
      <c r="E297" s="5" t="str">
        <f ca="1">IFERROR(__xludf.DUMMYFUNCTION("""COMPUTED_VALUE"""),"Nonstudent")</f>
        <v>Nonstudent</v>
      </c>
      <c r="F297" s="5" t="str">
        <f ca="1">IFERROR(__xludf.DUMMYFUNCTION("""COMPUTED_VALUE"""),"Fled/Apprehended")</f>
        <v>Fled/Apprehended</v>
      </c>
      <c r="G297" s="5" t="str">
        <f ca="1">IFERROR(__xludf.DUMMYFUNCTION("""COMPUTED_VALUE"""),"No")</f>
        <v>No</v>
      </c>
      <c r="H297" s="5" t="str">
        <f ca="1">IFERROR(__xludf.DUMMYFUNCTION("""COMPUTED_VALUE"""),"None")</f>
        <v>None</v>
      </c>
    </row>
    <row r="298" spans="1:8" ht="13">
      <c r="A298" s="5" t="str">
        <f ca="1">IFERROR(__xludf.DUMMYFUNCTION("""COMPUTED_VALUE"""),"20220519MIEAK")</f>
        <v>20220519MIEAK</v>
      </c>
      <c r="B298" s="5"/>
      <c r="C298" s="5"/>
      <c r="D298" s="5"/>
      <c r="E298" s="5"/>
      <c r="F298" s="5" t="str">
        <f ca="1">IFERROR(__xludf.DUMMYFUNCTION("""COMPUTED_VALUE"""),"Fled/Escaped")</f>
        <v>Fled/Escaped</v>
      </c>
      <c r="G298" s="5" t="str">
        <f ca="1">IFERROR(__xludf.DUMMYFUNCTION("""COMPUTED_VALUE"""),"No")</f>
        <v>No</v>
      </c>
      <c r="H298" s="5" t="str">
        <f ca="1">IFERROR(__xludf.DUMMYFUNCTION("""COMPUTED_VALUE"""),"None")</f>
        <v>None</v>
      </c>
    </row>
    <row r="299" spans="1:8" ht="13">
      <c r="A299" s="5" t="str">
        <f ca="1">IFERROR(__xludf.DUMMYFUNCTION("""COMPUTED_VALUE"""),"20220519MIEAK")</f>
        <v>20220519MIEAK</v>
      </c>
      <c r="B299" s="5"/>
      <c r="C299" s="5"/>
      <c r="D299" s="5"/>
      <c r="E299" s="5"/>
      <c r="F299" s="5" t="str">
        <f ca="1">IFERROR(__xludf.DUMMYFUNCTION("""COMPUTED_VALUE"""),"Fled/Escaped")</f>
        <v>Fled/Escaped</v>
      </c>
      <c r="G299" s="5" t="str">
        <f ca="1">IFERROR(__xludf.DUMMYFUNCTION("""COMPUTED_VALUE"""),"No")</f>
        <v>No</v>
      </c>
      <c r="H299" s="5" t="str">
        <f ca="1">IFERROR(__xludf.DUMMYFUNCTION("""COMPUTED_VALUE"""),"None")</f>
        <v>None</v>
      </c>
    </row>
    <row r="300" spans="1:8" ht="13">
      <c r="A300" s="5" t="str">
        <f ca="1">IFERROR(__xludf.DUMMYFUNCTION("""COMPUTED_VALUE"""),"20220519MIEAK")</f>
        <v>20220519MIEAK</v>
      </c>
      <c r="B300" s="5"/>
      <c r="C300" s="5"/>
      <c r="D300" s="5"/>
      <c r="E300" s="5"/>
      <c r="F300" s="5" t="str">
        <f ca="1">IFERROR(__xludf.DUMMYFUNCTION("""COMPUTED_VALUE"""),"Fled/Escaped")</f>
        <v>Fled/Escaped</v>
      </c>
      <c r="G300" s="5" t="str">
        <f ca="1">IFERROR(__xludf.DUMMYFUNCTION("""COMPUTED_VALUE"""),"No")</f>
        <v>No</v>
      </c>
      <c r="H300" s="5" t="str">
        <f ca="1">IFERROR(__xludf.DUMMYFUNCTION("""COMPUTED_VALUE"""),"None")</f>
        <v>None</v>
      </c>
    </row>
    <row r="301" spans="1:8" ht="13">
      <c r="A301" s="5" t="str">
        <f ca="1">IFERROR(__xludf.DUMMYFUNCTION("""COMPUTED_VALUE"""),"20220518TNRIM")</f>
        <v>20220518TNRIM</v>
      </c>
      <c r="B301" s="5">
        <f ca="1">IFERROR(__xludf.DUMMYFUNCTION("""COMPUTED_VALUE"""),17)</f>
        <v>17</v>
      </c>
      <c r="C301" s="5" t="str">
        <f ca="1">IFERROR(__xludf.DUMMYFUNCTION("""COMPUTED_VALUE"""),"Male")</f>
        <v>Male</v>
      </c>
      <c r="D301" s="5"/>
      <c r="E301" s="5" t="str">
        <f ca="1">IFERROR(__xludf.DUMMYFUNCTION("""COMPUTED_VALUE"""),"Former Student")</f>
        <v>Former Student</v>
      </c>
      <c r="F301" s="5" t="str">
        <f ca="1">IFERROR(__xludf.DUMMYFUNCTION("""COMPUTED_VALUE"""),"Fled/Apprehended")</f>
        <v>Fled/Apprehended</v>
      </c>
      <c r="G301" s="5" t="str">
        <f ca="1">IFERROR(__xludf.DUMMYFUNCTION("""COMPUTED_VALUE"""),"No")</f>
        <v>No</v>
      </c>
      <c r="H301" s="5" t="str">
        <f ca="1">IFERROR(__xludf.DUMMYFUNCTION("""COMPUTED_VALUE"""),"None")</f>
        <v>None</v>
      </c>
    </row>
    <row r="302" spans="1:8" ht="13">
      <c r="A302" s="5" t="str">
        <f ca="1">IFERROR(__xludf.DUMMYFUNCTION("""COMPUTED_VALUE"""),"20220518FLPAP")</f>
        <v>20220518FLPAP</v>
      </c>
      <c r="B302" s="5">
        <f ca="1">IFERROR(__xludf.DUMMYFUNCTION("""COMPUTED_VALUE"""),13)</f>
        <v>13</v>
      </c>
      <c r="C302" s="5" t="str">
        <f ca="1">IFERROR(__xludf.DUMMYFUNCTION("""COMPUTED_VALUE"""),"Male")</f>
        <v>Male</v>
      </c>
      <c r="D302" s="5"/>
      <c r="E302" s="5" t="str">
        <f ca="1">IFERROR(__xludf.DUMMYFUNCTION("""COMPUTED_VALUE"""),"Nonstudent Using Athletic Facilities/Attending Game")</f>
        <v>Nonstudent Using Athletic Facilities/Attending Game</v>
      </c>
      <c r="F302" s="5" t="str">
        <f ca="1">IFERROR(__xludf.DUMMYFUNCTION("""COMPUTED_VALUE"""),"Fled/Escaped")</f>
        <v>Fled/Escaped</v>
      </c>
      <c r="G302" s="5" t="str">
        <f ca="1">IFERROR(__xludf.DUMMYFUNCTION("""COMPUTED_VALUE"""),"No")</f>
        <v>No</v>
      </c>
      <c r="H302" s="5" t="str">
        <f ca="1">IFERROR(__xludf.DUMMYFUNCTION("""COMPUTED_VALUE"""),"None")</f>
        <v>None</v>
      </c>
    </row>
    <row r="303" spans="1:8" ht="13">
      <c r="A303" s="5" t="str">
        <f ca="1">IFERROR(__xludf.DUMMYFUNCTION("""COMPUTED_VALUE"""),"20220517ILWAC")</f>
        <v>20220517ILWAC</v>
      </c>
      <c r="B303" s="5">
        <f ca="1">IFERROR(__xludf.DUMMYFUNCTION("""COMPUTED_VALUE"""),7)</f>
        <v>7</v>
      </c>
      <c r="C303" s="5"/>
      <c r="D303" s="5"/>
      <c r="E303" s="5" t="str">
        <f ca="1">IFERROR(__xludf.DUMMYFUNCTION("""COMPUTED_VALUE"""),"Student")</f>
        <v>Student</v>
      </c>
      <c r="F303" s="5" t="str">
        <f ca="1">IFERROR(__xludf.DUMMYFUNCTION("""COMPUTED_VALUE"""),"Surrendered")</f>
        <v>Surrendered</v>
      </c>
      <c r="G303" s="5" t="str">
        <f ca="1">IFERROR(__xludf.DUMMYFUNCTION("""COMPUTED_VALUE"""),"No")</f>
        <v>No</v>
      </c>
      <c r="H303" s="5" t="str">
        <f ca="1">IFERROR(__xludf.DUMMYFUNCTION("""COMPUTED_VALUE"""),"None")</f>
        <v>None</v>
      </c>
    </row>
    <row r="304" spans="1:8" ht="13">
      <c r="A304" s="5" t="str">
        <f ca="1">IFERROR(__xludf.DUMMYFUNCTION("""COMPUTED_VALUE"""),"20220517CASAS")</f>
        <v>20220517CASAS</v>
      </c>
      <c r="B304" s="5"/>
      <c r="C304" s="5"/>
      <c r="D304" s="5"/>
      <c r="E304" s="5" t="str">
        <f ca="1">IFERROR(__xludf.DUMMYFUNCTION("""COMPUTED_VALUE"""),"No Relation")</f>
        <v>No Relation</v>
      </c>
      <c r="F304" s="5" t="str">
        <f ca="1">IFERROR(__xludf.DUMMYFUNCTION("""COMPUTED_VALUE"""),"Fled/Escaped")</f>
        <v>Fled/Escaped</v>
      </c>
      <c r="G304" s="5" t="str">
        <f ca="1">IFERROR(__xludf.DUMMYFUNCTION("""COMPUTED_VALUE"""),"No")</f>
        <v>No</v>
      </c>
      <c r="H304" s="5" t="str">
        <f ca="1">IFERROR(__xludf.DUMMYFUNCTION("""COMPUTED_VALUE"""),"None")</f>
        <v>None</v>
      </c>
    </row>
    <row r="305" spans="1:8" ht="13">
      <c r="A305" s="5" t="str">
        <f ca="1">IFERROR(__xludf.DUMMYFUNCTION("""COMPUTED_VALUE"""),"20220516TXMEM")</f>
        <v>20220516TXMEM</v>
      </c>
      <c r="B305" s="5" t="str">
        <f ca="1">IFERROR(__xludf.DUMMYFUNCTION("""COMPUTED_VALUE"""),"Teen")</f>
        <v>Teen</v>
      </c>
      <c r="C305" s="5"/>
      <c r="D305" s="5"/>
      <c r="E305" s="5" t="str">
        <f ca="1">IFERROR(__xludf.DUMMYFUNCTION("""COMPUTED_VALUE"""),"Student")</f>
        <v>Student</v>
      </c>
      <c r="F305" s="5" t="str">
        <f ca="1">IFERROR(__xludf.DUMMYFUNCTION("""COMPUTED_VALUE"""),"Apprehended/Killed by LE")</f>
        <v>Apprehended/Killed by LE</v>
      </c>
      <c r="G305" s="5" t="str">
        <f ca="1">IFERROR(__xludf.DUMMYFUNCTION("""COMPUTED_VALUE"""),"No")</f>
        <v>No</v>
      </c>
      <c r="H305" s="5" t="str">
        <f ca="1">IFERROR(__xludf.DUMMYFUNCTION("""COMPUTED_VALUE"""),"None")</f>
        <v>None</v>
      </c>
    </row>
    <row r="306" spans="1:8" ht="13">
      <c r="A306" s="5" t="str">
        <f ca="1">IFERROR(__xludf.DUMMYFUNCTION("""COMPUTED_VALUE"""),"20220515NHBEB")</f>
        <v>20220515NHBEB</v>
      </c>
      <c r="B306" s="5" t="str">
        <f ca="1">IFERROR(__xludf.DUMMYFUNCTION("""COMPUTED_VALUE"""),"Teen")</f>
        <v>Teen</v>
      </c>
      <c r="C306" s="5" t="str">
        <f ca="1">IFERROR(__xludf.DUMMYFUNCTION("""COMPUTED_VALUE"""),"Male")</f>
        <v>Male</v>
      </c>
      <c r="D306" s="5"/>
      <c r="E306" s="5" t="str">
        <f ca="1">IFERROR(__xludf.DUMMYFUNCTION("""COMPUTED_VALUE"""),"No Relation")</f>
        <v>No Relation</v>
      </c>
      <c r="F306" s="5" t="str">
        <f ca="1">IFERROR(__xludf.DUMMYFUNCTION("""COMPUTED_VALUE"""),"Fled/Escaped")</f>
        <v>Fled/Escaped</v>
      </c>
      <c r="G306" s="5" t="str">
        <f ca="1">IFERROR(__xludf.DUMMYFUNCTION("""COMPUTED_VALUE"""),"No")</f>
        <v>No</v>
      </c>
      <c r="H306" s="5" t="str">
        <f ca="1">IFERROR(__xludf.DUMMYFUNCTION("""COMPUTED_VALUE"""),"None")</f>
        <v>None</v>
      </c>
    </row>
    <row r="307" spans="1:8" ht="13">
      <c r="A307" s="5" t="str">
        <f ca="1">IFERROR(__xludf.DUMMYFUNCTION("""COMPUTED_VALUE"""),"20220515NHBEB")</f>
        <v>20220515NHBEB</v>
      </c>
      <c r="B307" s="5" t="str">
        <f ca="1">IFERROR(__xludf.DUMMYFUNCTION("""COMPUTED_VALUE"""),"Teen")</f>
        <v>Teen</v>
      </c>
      <c r="C307" s="5" t="str">
        <f ca="1">IFERROR(__xludf.DUMMYFUNCTION("""COMPUTED_VALUE"""),"Male")</f>
        <v>Male</v>
      </c>
      <c r="D307" s="5"/>
      <c r="E307" s="5" t="str">
        <f ca="1">IFERROR(__xludf.DUMMYFUNCTION("""COMPUTED_VALUE"""),"No Relation")</f>
        <v>No Relation</v>
      </c>
      <c r="F307" s="5" t="str">
        <f ca="1">IFERROR(__xludf.DUMMYFUNCTION("""COMPUTED_VALUE"""),"Fled/Escaped")</f>
        <v>Fled/Escaped</v>
      </c>
      <c r="G307" s="5" t="str">
        <f ca="1">IFERROR(__xludf.DUMMYFUNCTION("""COMPUTED_VALUE"""),"No")</f>
        <v>No</v>
      </c>
      <c r="H307" s="5" t="str">
        <f ca="1">IFERROR(__xludf.DUMMYFUNCTION("""COMPUTED_VALUE"""),"None")</f>
        <v>None</v>
      </c>
    </row>
    <row r="308" spans="1:8" ht="13">
      <c r="A308" s="5" t="str">
        <f ca="1">IFERROR(__xludf.DUMMYFUNCTION("""COMPUTED_VALUE"""),"20220515ILMEP")</f>
        <v>20220515ILMEP</v>
      </c>
      <c r="B308" s="5">
        <f ca="1">IFERROR(__xludf.DUMMYFUNCTION("""COMPUTED_VALUE"""),16)</f>
        <v>16</v>
      </c>
      <c r="C308" s="5" t="str">
        <f ca="1">IFERROR(__xludf.DUMMYFUNCTION("""COMPUTED_VALUE"""),"Male")</f>
        <v>Male</v>
      </c>
      <c r="D308" s="5"/>
      <c r="E308" s="5" t="str">
        <f ca="1">IFERROR(__xludf.DUMMYFUNCTION("""COMPUTED_VALUE"""),"No Relation")</f>
        <v>No Relation</v>
      </c>
      <c r="F308" s="5" t="str">
        <f ca="1">IFERROR(__xludf.DUMMYFUNCTION("""COMPUTED_VALUE"""),"Fled/Apprehended")</f>
        <v>Fled/Apprehended</v>
      </c>
      <c r="G308" s="5" t="str">
        <f ca="1">IFERROR(__xludf.DUMMYFUNCTION("""COMPUTED_VALUE"""),"No")</f>
        <v>No</v>
      </c>
      <c r="H308" s="5" t="str">
        <f ca="1">IFERROR(__xludf.DUMMYFUNCTION("""COMPUTED_VALUE"""),"None")</f>
        <v>None</v>
      </c>
    </row>
    <row r="309" spans="1:8" ht="13">
      <c r="A309" s="5" t="str">
        <f ca="1">IFERROR(__xludf.DUMMYFUNCTION("""COMPUTED_VALUE"""),"20220513GASOM")</f>
        <v>20220513GASOM</v>
      </c>
      <c r="B309" s="5"/>
      <c r="C309" s="5"/>
      <c r="D309" s="5"/>
      <c r="E309" s="5"/>
      <c r="F309" s="5" t="str">
        <f ca="1">IFERROR(__xludf.DUMMYFUNCTION("""COMPUTED_VALUE"""),"Fled/Escaped")</f>
        <v>Fled/Escaped</v>
      </c>
      <c r="G309" s="5" t="str">
        <f ca="1">IFERROR(__xludf.DUMMYFUNCTION("""COMPUTED_VALUE"""),"No")</f>
        <v>No</v>
      </c>
      <c r="H309" s="5" t="str">
        <f ca="1">IFERROR(__xludf.DUMMYFUNCTION("""COMPUTED_VALUE"""),"None")</f>
        <v>None</v>
      </c>
    </row>
    <row r="310" spans="1:8" ht="13">
      <c r="A310" s="5" t="str">
        <f ca="1">IFERROR(__xludf.DUMMYFUNCTION("""COMPUTED_VALUE"""),"20220513FLALW")</f>
        <v>20220513FLALW</v>
      </c>
      <c r="B310" s="5"/>
      <c r="C310" s="5"/>
      <c r="D310" s="5"/>
      <c r="E310" s="5" t="str">
        <f ca="1">IFERROR(__xludf.DUMMYFUNCTION("""COMPUTED_VALUE"""),"Police Officer/SRO")</f>
        <v>Police Officer/SRO</v>
      </c>
      <c r="F310" s="5"/>
      <c r="G310" s="5"/>
      <c r="H310" s="5"/>
    </row>
    <row r="311" spans="1:8" ht="13">
      <c r="A311" s="5" t="str">
        <f ca="1">IFERROR(__xludf.DUMMYFUNCTION("""COMPUTED_VALUE"""),"20220512TXHEH")</f>
        <v>20220512TXHEH</v>
      </c>
      <c r="B311" s="5">
        <f ca="1">IFERROR(__xludf.DUMMYFUNCTION("""COMPUTED_VALUE"""),18)</f>
        <v>18</v>
      </c>
      <c r="C311" s="5" t="str">
        <f ca="1">IFERROR(__xludf.DUMMYFUNCTION("""COMPUTED_VALUE"""),"Male")</f>
        <v>Male</v>
      </c>
      <c r="D311" s="5"/>
      <c r="E311" s="5" t="str">
        <f ca="1">IFERROR(__xludf.DUMMYFUNCTION("""COMPUTED_VALUE"""),"Student")</f>
        <v>Student</v>
      </c>
      <c r="F311" s="5" t="str">
        <f ca="1">IFERROR(__xludf.DUMMYFUNCTION("""COMPUTED_VALUE"""),"Fled/Apprehended")</f>
        <v>Fled/Apprehended</v>
      </c>
      <c r="G311" s="5" t="str">
        <f ca="1">IFERROR(__xludf.DUMMYFUNCTION("""COMPUTED_VALUE"""),"No")</f>
        <v>No</v>
      </c>
      <c r="H311" s="5" t="str">
        <f ca="1">IFERROR(__xludf.DUMMYFUNCTION("""COMPUTED_VALUE"""),"None")</f>
        <v>None</v>
      </c>
    </row>
    <row r="312" spans="1:8" ht="13">
      <c r="A312" s="5" t="str">
        <f ca="1">IFERROR(__xludf.DUMMYFUNCTION("""COMPUTED_VALUE"""),"20220512ARHOH")</f>
        <v>20220512ARHOH</v>
      </c>
      <c r="B312" s="5">
        <f ca="1">IFERROR(__xludf.DUMMYFUNCTION("""COMPUTED_VALUE"""),25)</f>
        <v>25</v>
      </c>
      <c r="C312" s="5" t="str">
        <f ca="1">IFERROR(__xludf.DUMMYFUNCTION("""COMPUTED_VALUE"""),"Male")</f>
        <v>Male</v>
      </c>
      <c r="D312" s="5"/>
      <c r="E312" s="5"/>
      <c r="F312" s="5" t="str">
        <f ca="1">IFERROR(__xludf.DUMMYFUNCTION("""COMPUTED_VALUE"""),"Fled/Apprehended")</f>
        <v>Fled/Apprehended</v>
      </c>
      <c r="G312" s="5" t="str">
        <f ca="1">IFERROR(__xludf.DUMMYFUNCTION("""COMPUTED_VALUE"""),"No")</f>
        <v>No</v>
      </c>
      <c r="H312" s="5" t="str">
        <f ca="1">IFERROR(__xludf.DUMMYFUNCTION("""COMPUTED_VALUE"""),"Wounded")</f>
        <v>Wounded</v>
      </c>
    </row>
    <row r="313" spans="1:8" ht="13">
      <c r="A313" s="5" t="str">
        <f ca="1">IFERROR(__xludf.DUMMYFUNCTION("""COMPUTED_VALUE"""),"20220511FLJAJ")</f>
        <v>20220511FLJAJ</v>
      </c>
      <c r="B313" s="5"/>
      <c r="C313" s="5" t="str">
        <f ca="1">IFERROR(__xludf.DUMMYFUNCTION("""COMPUTED_VALUE"""),"Male")</f>
        <v>Male</v>
      </c>
      <c r="D313" s="5"/>
      <c r="E313" s="5"/>
      <c r="F313" s="5" t="str">
        <f ca="1">IFERROR(__xludf.DUMMYFUNCTION("""COMPUTED_VALUE"""),"Fled/Escaped")</f>
        <v>Fled/Escaped</v>
      </c>
      <c r="G313" s="5" t="str">
        <f ca="1">IFERROR(__xludf.DUMMYFUNCTION("""COMPUTED_VALUE"""),"No")</f>
        <v>No</v>
      </c>
      <c r="H313" s="5" t="str">
        <f ca="1">IFERROR(__xludf.DUMMYFUNCTION("""COMPUTED_VALUE"""),"None")</f>
        <v>None</v>
      </c>
    </row>
    <row r="314" spans="1:8" ht="13">
      <c r="A314" s="5" t="str">
        <f ca="1">IFERROR(__xludf.DUMMYFUNCTION("""COMPUTED_VALUE"""),"20220509NYEDS")</f>
        <v>20220509NYEDS</v>
      </c>
      <c r="B314" s="5" t="str">
        <f ca="1">IFERROR(__xludf.DUMMYFUNCTION("""COMPUTED_VALUE"""),"Adult")</f>
        <v>Adult</v>
      </c>
      <c r="C314" s="5" t="str">
        <f ca="1">IFERROR(__xludf.DUMMYFUNCTION("""COMPUTED_VALUE"""),"Male")</f>
        <v>Male</v>
      </c>
      <c r="D314" s="5"/>
      <c r="E314" s="5"/>
      <c r="F314" s="5" t="str">
        <f ca="1">IFERROR(__xludf.DUMMYFUNCTION("""COMPUTED_VALUE"""),"Fled/Escaped")</f>
        <v>Fled/Escaped</v>
      </c>
      <c r="G314" s="5" t="str">
        <f ca="1">IFERROR(__xludf.DUMMYFUNCTION("""COMPUTED_VALUE"""),"No")</f>
        <v>No</v>
      </c>
      <c r="H314" s="5" t="str">
        <f ca="1">IFERROR(__xludf.DUMMYFUNCTION("""COMPUTED_VALUE"""),"None")</f>
        <v>None</v>
      </c>
    </row>
    <row r="315" spans="1:8" ht="13">
      <c r="A315" s="5" t="str">
        <f ca="1">IFERROR(__xludf.DUMMYFUNCTION("""COMPUTED_VALUE"""),"20220509GARIS")</f>
        <v>20220509GARIS</v>
      </c>
      <c r="B315" s="5">
        <f ca="1">IFERROR(__xludf.DUMMYFUNCTION("""COMPUTED_VALUE"""),57)</f>
        <v>57</v>
      </c>
      <c r="C315" s="5" t="str">
        <f ca="1">IFERROR(__xludf.DUMMYFUNCTION("""COMPUTED_VALUE"""),"Female")</f>
        <v>Female</v>
      </c>
      <c r="D315" s="5" t="str">
        <f ca="1">IFERROR(__xludf.DUMMYFUNCTION("""COMPUTED_VALUE"""),"Black")</f>
        <v>Black</v>
      </c>
      <c r="E315" s="5" t="str">
        <f ca="1">IFERROR(__xludf.DUMMYFUNCTION("""COMPUTED_VALUE"""),"No Relation")</f>
        <v>No Relation</v>
      </c>
      <c r="F315" s="5" t="str">
        <f ca="1">IFERROR(__xludf.DUMMYFUNCTION("""COMPUTED_VALUE"""),"Fled/Apprehended")</f>
        <v>Fled/Apprehended</v>
      </c>
      <c r="G315" s="5" t="str">
        <f ca="1">IFERROR(__xludf.DUMMYFUNCTION("""COMPUTED_VALUE"""),"No")</f>
        <v>No</v>
      </c>
      <c r="H315" s="5" t="str">
        <f ca="1">IFERROR(__xludf.DUMMYFUNCTION("""COMPUTED_VALUE"""),"None")</f>
        <v>None</v>
      </c>
    </row>
    <row r="316" spans="1:8" ht="13">
      <c r="A316" s="5" t="str">
        <f ca="1">IFERROR(__xludf.DUMMYFUNCTION("""COMPUTED_VALUE"""),"20220505OHLOL")</f>
        <v>20220505OHLOL</v>
      </c>
      <c r="B316" s="5">
        <f ca="1">IFERROR(__xludf.DUMMYFUNCTION("""COMPUTED_VALUE"""),13)</f>
        <v>13</v>
      </c>
      <c r="C316" s="5" t="str">
        <f ca="1">IFERROR(__xludf.DUMMYFUNCTION("""COMPUTED_VALUE"""),"Male")</f>
        <v>Male</v>
      </c>
      <c r="D316" s="5"/>
      <c r="E316" s="5" t="str">
        <f ca="1">IFERROR(__xludf.DUMMYFUNCTION("""COMPUTED_VALUE"""),"Student")</f>
        <v>Student</v>
      </c>
      <c r="F316" s="5" t="str">
        <f ca="1">IFERROR(__xludf.DUMMYFUNCTION("""COMPUTED_VALUE"""),"Suicide")</f>
        <v>Suicide</v>
      </c>
      <c r="G316" s="5" t="str">
        <f ca="1">IFERROR(__xludf.DUMMYFUNCTION("""COMPUTED_VALUE"""),"Yes")</f>
        <v>Yes</v>
      </c>
      <c r="H316" s="5" t="str">
        <f ca="1">IFERROR(__xludf.DUMMYFUNCTION("""COMPUTED_VALUE"""),"Suicide")</f>
        <v>Suicide</v>
      </c>
    </row>
    <row r="317" spans="1:8" ht="13">
      <c r="A317" s="5" t="str">
        <f ca="1">IFERROR(__xludf.DUMMYFUNCTION("""COMPUTED_VALUE"""),"20220505OHLOL")</f>
        <v>20220505OHLOL</v>
      </c>
      <c r="B317" s="5" t="str">
        <f ca="1">IFERROR(__xludf.DUMMYFUNCTION("""COMPUTED_VALUE"""),"Adult")</f>
        <v>Adult</v>
      </c>
      <c r="C317" s="5" t="str">
        <f ca="1">IFERROR(__xludf.DUMMYFUNCTION("""COMPUTED_VALUE"""),"Female")</f>
        <v>Female</v>
      </c>
      <c r="D317" s="5" t="str">
        <f ca="1">IFERROR(__xludf.DUMMYFUNCTION("""COMPUTED_VALUE"""),"White")</f>
        <v>White</v>
      </c>
      <c r="E317" s="5" t="str">
        <f ca="1">IFERROR(__xludf.DUMMYFUNCTION("""COMPUTED_VALUE"""),"Parent")</f>
        <v>Parent</v>
      </c>
      <c r="F317" s="5" t="str">
        <f ca="1">IFERROR(__xludf.DUMMYFUNCTION("""COMPUTED_VALUE"""),"Apprehended/Killed by LE")</f>
        <v>Apprehended/Killed by LE</v>
      </c>
      <c r="G317" s="5" t="str">
        <f ca="1">IFERROR(__xludf.DUMMYFUNCTION("""COMPUTED_VALUE"""),"No")</f>
        <v>No</v>
      </c>
      <c r="H317" s="5" t="str">
        <f ca="1">IFERROR(__xludf.DUMMYFUNCTION("""COMPUTED_VALUE"""),"None")</f>
        <v>None</v>
      </c>
    </row>
    <row r="318" spans="1:8" ht="13">
      <c r="A318" s="5" t="str">
        <f ca="1">IFERROR(__xludf.DUMMYFUNCTION("""COMPUTED_VALUE"""),"20220505ALDOD")</f>
        <v>20220505ALDOD</v>
      </c>
      <c r="B318" s="5">
        <f ca="1">IFERROR(__xludf.DUMMYFUNCTION("""COMPUTED_VALUE"""),20)</f>
        <v>20</v>
      </c>
      <c r="C318" s="5" t="str">
        <f ca="1">IFERROR(__xludf.DUMMYFUNCTION("""COMPUTED_VALUE"""),"Male")</f>
        <v>Male</v>
      </c>
      <c r="D318" s="5"/>
      <c r="E318" s="5" t="str">
        <f ca="1">IFERROR(__xludf.DUMMYFUNCTION("""COMPUTED_VALUE"""),"No Relation")</f>
        <v>No Relation</v>
      </c>
      <c r="F318" s="5" t="str">
        <f ca="1">IFERROR(__xludf.DUMMYFUNCTION("""COMPUTED_VALUE"""),"Apprehended/Killed by LE")</f>
        <v>Apprehended/Killed by LE</v>
      </c>
      <c r="G318" s="5" t="str">
        <f ca="1">IFERROR(__xludf.DUMMYFUNCTION("""COMPUTED_VALUE"""),"No")</f>
        <v>No</v>
      </c>
      <c r="H318" s="5" t="str">
        <f ca="1">IFERROR(__xludf.DUMMYFUNCTION("""COMPUTED_VALUE"""),"None")</f>
        <v>None</v>
      </c>
    </row>
    <row r="319" spans="1:8" ht="13">
      <c r="A319" s="5" t="str">
        <f ca="1">IFERROR(__xludf.DUMMYFUNCTION("""COMPUTED_VALUE"""),"20220503CAARS")</f>
        <v>20220503CAARS</v>
      </c>
      <c r="B319" s="5"/>
      <c r="C319" s="5"/>
      <c r="D319" s="5"/>
      <c r="E319" s="5" t="str">
        <f ca="1">IFERROR(__xludf.DUMMYFUNCTION("""COMPUTED_VALUE"""),"No Relation")</f>
        <v>No Relation</v>
      </c>
      <c r="F319" s="5" t="str">
        <f ca="1">IFERROR(__xludf.DUMMYFUNCTION("""COMPUTED_VALUE"""),"Fled/Escaped")</f>
        <v>Fled/Escaped</v>
      </c>
      <c r="G319" s="5" t="str">
        <f ca="1">IFERROR(__xludf.DUMMYFUNCTION("""COMPUTED_VALUE"""),"No")</f>
        <v>No</v>
      </c>
      <c r="H319" s="5" t="str">
        <f ca="1">IFERROR(__xludf.DUMMYFUNCTION("""COMPUTED_VALUE"""),"None")</f>
        <v>None</v>
      </c>
    </row>
    <row r="320" spans="1:8" ht="13">
      <c r="A320" s="5" t="str">
        <f ca="1">IFERROR(__xludf.DUMMYFUNCTION("""COMPUTED_VALUE"""),"20220501VALOM")</f>
        <v>20220501VALOM</v>
      </c>
      <c r="B320" s="5" t="str">
        <f ca="1">IFERROR(__xludf.DUMMYFUNCTION("""COMPUTED_VALUE"""),"Adult")</f>
        <v>Adult</v>
      </c>
      <c r="C320" s="5" t="str">
        <f ca="1">IFERROR(__xludf.DUMMYFUNCTION("""COMPUTED_VALUE"""),"Male")</f>
        <v>Male</v>
      </c>
      <c r="D320" s="5" t="str">
        <f ca="1">IFERROR(__xludf.DUMMYFUNCTION("""COMPUTED_VALUE"""),"Black")</f>
        <v>Black</v>
      </c>
      <c r="E320" s="5" t="str">
        <f ca="1">IFERROR(__xludf.DUMMYFUNCTION("""COMPUTED_VALUE"""),"Nonstudent Using Athletic Facilities/Attending Game")</f>
        <v>Nonstudent Using Athletic Facilities/Attending Game</v>
      </c>
      <c r="F320" s="5" t="str">
        <f ca="1">IFERROR(__xludf.DUMMYFUNCTION("""COMPUTED_VALUE"""),"Fled/Escaped")</f>
        <v>Fled/Escaped</v>
      </c>
      <c r="G320" s="5" t="str">
        <f ca="1">IFERROR(__xludf.DUMMYFUNCTION("""COMPUTED_VALUE"""),"No")</f>
        <v>No</v>
      </c>
      <c r="H320" s="5" t="str">
        <f ca="1">IFERROR(__xludf.DUMMYFUNCTION("""COMPUTED_VALUE"""),"None")</f>
        <v>None</v>
      </c>
    </row>
    <row r="321" spans="1:8" ht="13">
      <c r="A321" s="5" t="str">
        <f ca="1">IFERROR(__xludf.DUMMYFUNCTION("""COMPUTED_VALUE"""),"20220501OHHAC")</f>
        <v>20220501OHHAC</v>
      </c>
      <c r="B321" s="5"/>
      <c r="C321" s="5"/>
      <c r="D321" s="5"/>
      <c r="E321" s="5"/>
      <c r="F321" s="5" t="str">
        <f ca="1">IFERROR(__xludf.DUMMYFUNCTION("""COMPUTED_VALUE"""),"Fled/Escaped")</f>
        <v>Fled/Escaped</v>
      </c>
      <c r="G321" s="5" t="str">
        <f ca="1">IFERROR(__xludf.DUMMYFUNCTION("""COMPUTED_VALUE"""),"No")</f>
        <v>No</v>
      </c>
      <c r="H321" s="5" t="str">
        <f ca="1">IFERROR(__xludf.DUMMYFUNCTION("""COMPUTED_VALUE"""),"None")</f>
        <v>None</v>
      </c>
    </row>
    <row r="322" spans="1:8" ht="13">
      <c r="A322" s="5" t="str">
        <f ca="1">IFERROR(__xludf.DUMMYFUNCTION("""COMPUTED_VALUE"""),"20220430PAMCJ")</f>
        <v>20220430PAMCJ</v>
      </c>
      <c r="B322" s="5" t="str">
        <f ca="1">IFERROR(__xludf.DUMMYFUNCTION("""COMPUTED_VALUE"""),"Adult")</f>
        <v>Adult</v>
      </c>
      <c r="C322" s="5" t="str">
        <f ca="1">IFERROR(__xludf.DUMMYFUNCTION("""COMPUTED_VALUE"""),"Male")</f>
        <v>Male</v>
      </c>
      <c r="D322" s="5"/>
      <c r="E322" s="5" t="str">
        <f ca="1">IFERROR(__xludf.DUMMYFUNCTION("""COMPUTED_VALUE"""),"Nonstudent Using Athletic Facilities/Attending Game")</f>
        <v>Nonstudent Using Athletic Facilities/Attending Game</v>
      </c>
      <c r="F322" s="5" t="str">
        <f ca="1">IFERROR(__xludf.DUMMYFUNCTION("""COMPUTED_VALUE"""),"Fled/Escaped")</f>
        <v>Fled/Escaped</v>
      </c>
      <c r="G322" s="5" t="str">
        <f ca="1">IFERROR(__xludf.DUMMYFUNCTION("""COMPUTED_VALUE"""),"No")</f>
        <v>No</v>
      </c>
      <c r="H322" s="5" t="str">
        <f ca="1">IFERROR(__xludf.DUMMYFUNCTION("""COMPUTED_VALUE"""),"None")</f>
        <v>None</v>
      </c>
    </row>
    <row r="323" spans="1:8" ht="13">
      <c r="A323" s="5" t="str">
        <f ca="1">IFERROR(__xludf.DUMMYFUNCTION("""COMPUTED_VALUE"""),"20220427TXMOS")</f>
        <v>20220427TXMOS</v>
      </c>
      <c r="B323" s="5"/>
      <c r="C323" s="5"/>
      <c r="D323" s="5"/>
      <c r="E323" s="5" t="str">
        <f ca="1">IFERROR(__xludf.DUMMYFUNCTION("""COMPUTED_VALUE"""),"Police Officer/SRO")</f>
        <v>Police Officer/SRO</v>
      </c>
      <c r="F323" s="5"/>
      <c r="G323" s="5"/>
      <c r="H323" s="5"/>
    </row>
    <row r="324" spans="1:8" ht="13">
      <c r="A324" s="5" t="str">
        <f ca="1">IFERROR(__xludf.DUMMYFUNCTION("""COMPUTED_VALUE"""),"20220427INCOS")</f>
        <v>20220427INCOS</v>
      </c>
      <c r="B324" s="5" t="str">
        <f ca="1">IFERROR(__xludf.DUMMYFUNCTION("""COMPUTED_VALUE"""),"Child")</f>
        <v>Child</v>
      </c>
      <c r="C324" s="5"/>
      <c r="D324" s="5"/>
      <c r="E324" s="5" t="str">
        <f ca="1">IFERROR(__xludf.DUMMYFUNCTION("""COMPUTED_VALUE"""),"Student")</f>
        <v>Student</v>
      </c>
      <c r="F324" s="5" t="str">
        <f ca="1">IFERROR(__xludf.DUMMYFUNCTION("""COMPUTED_VALUE"""),"Fled/Apprehended")</f>
        <v>Fled/Apprehended</v>
      </c>
      <c r="G324" s="5" t="str">
        <f ca="1">IFERROR(__xludf.DUMMYFUNCTION("""COMPUTED_VALUE"""),"No")</f>
        <v>No</v>
      </c>
      <c r="H324" s="5" t="str">
        <f ca="1">IFERROR(__xludf.DUMMYFUNCTION("""COMPUTED_VALUE"""),"None")</f>
        <v>None</v>
      </c>
    </row>
    <row r="325" spans="1:8" ht="13">
      <c r="A325" s="5" t="str">
        <f ca="1">IFERROR(__xludf.DUMMYFUNCTION("""COMPUTED_VALUE"""),"20220426MIASI")</f>
        <v>20220426MIASI</v>
      </c>
      <c r="B325" s="5" t="str">
        <f ca="1">IFERROR(__xludf.DUMMYFUNCTION("""COMPUTED_VALUE"""),"Child")</f>
        <v>Child</v>
      </c>
      <c r="C325" s="5"/>
      <c r="D325" s="5"/>
      <c r="E325" s="5" t="str">
        <f ca="1">IFERROR(__xludf.DUMMYFUNCTION("""COMPUTED_VALUE"""),"Student")</f>
        <v>Student</v>
      </c>
      <c r="F325" s="5" t="str">
        <f ca="1">IFERROR(__xludf.DUMMYFUNCTION("""COMPUTED_VALUE"""),"Suicide")</f>
        <v>Suicide</v>
      </c>
      <c r="G325" s="5" t="str">
        <f ca="1">IFERROR(__xludf.DUMMYFUNCTION("""COMPUTED_VALUE"""),"Yes")</f>
        <v>Yes</v>
      </c>
      <c r="H325" s="5" t="str">
        <f ca="1">IFERROR(__xludf.DUMMYFUNCTION("""COMPUTED_VALUE"""),"Suicide")</f>
        <v>Suicide</v>
      </c>
    </row>
    <row r="326" spans="1:8" ht="13">
      <c r="A326" s="5" t="str">
        <f ca="1">IFERROR(__xludf.DUMMYFUNCTION("""COMPUTED_VALUE"""),"20220426GASOM")</f>
        <v>20220426GASOM</v>
      </c>
      <c r="B326" s="5"/>
      <c r="C326" s="5"/>
      <c r="D326" s="5"/>
      <c r="E326" s="5"/>
      <c r="F326" s="5" t="str">
        <f ca="1">IFERROR(__xludf.DUMMYFUNCTION("""COMPUTED_VALUE"""),"Fled/Escaped")</f>
        <v>Fled/Escaped</v>
      </c>
      <c r="G326" s="5" t="str">
        <f ca="1">IFERROR(__xludf.DUMMYFUNCTION("""COMPUTED_VALUE"""),"No")</f>
        <v>No</v>
      </c>
      <c r="H326" s="5" t="str">
        <f ca="1">IFERROR(__xludf.DUMMYFUNCTION("""COMPUTED_VALUE"""),"None")</f>
        <v>None</v>
      </c>
    </row>
    <row r="327" spans="1:8" ht="13">
      <c r="A327" s="5" t="str">
        <f ca="1">IFERROR(__xludf.DUMMYFUNCTION("""COMPUTED_VALUE"""),"20220426GASOM")</f>
        <v>20220426GASOM</v>
      </c>
      <c r="B327" s="5" t="str">
        <f ca="1">IFERROR(__xludf.DUMMYFUNCTION("""COMPUTED_VALUE"""),"Adult")</f>
        <v>Adult</v>
      </c>
      <c r="C327" s="5" t="str">
        <f ca="1">IFERROR(__xludf.DUMMYFUNCTION("""COMPUTED_VALUE"""),"Female")</f>
        <v>Female</v>
      </c>
      <c r="D327" s="5"/>
      <c r="E327" s="5"/>
      <c r="F327" s="5" t="str">
        <f ca="1">IFERROR(__xludf.DUMMYFUNCTION("""COMPUTED_VALUE"""),"Fled/Escaped")</f>
        <v>Fled/Escaped</v>
      </c>
      <c r="G327" s="5" t="str">
        <f ca="1">IFERROR(__xludf.DUMMYFUNCTION("""COMPUTED_VALUE"""),"No")</f>
        <v>No</v>
      </c>
      <c r="H327" s="5" t="str">
        <f ca="1">IFERROR(__xludf.DUMMYFUNCTION("""COMPUTED_VALUE"""),"None")</f>
        <v>None</v>
      </c>
    </row>
    <row r="328" spans="1:8" ht="13">
      <c r="A328" s="5" t="str">
        <f ca="1">IFERROR(__xludf.DUMMYFUNCTION("""COMPUTED_VALUE"""),"20220425WIWIM")</f>
        <v>20220425WIWIM</v>
      </c>
      <c r="B328" s="5"/>
      <c r="C328" s="5"/>
      <c r="D328" s="5"/>
      <c r="E328" s="5"/>
      <c r="F328" s="5" t="str">
        <f ca="1">IFERROR(__xludf.DUMMYFUNCTION("""COMPUTED_VALUE"""),"Fled/Escaped")</f>
        <v>Fled/Escaped</v>
      </c>
      <c r="G328" s="5" t="str">
        <f ca="1">IFERROR(__xludf.DUMMYFUNCTION("""COMPUTED_VALUE"""),"No")</f>
        <v>No</v>
      </c>
      <c r="H328" s="5" t="str">
        <f ca="1">IFERROR(__xludf.DUMMYFUNCTION("""COMPUTED_VALUE"""),"None")</f>
        <v>None</v>
      </c>
    </row>
    <row r="329" spans="1:8" ht="13">
      <c r="A329" s="5" t="str">
        <f ca="1">IFERROR(__xludf.DUMMYFUNCTION("""COMPUTED_VALUE"""),"20220425WIWIM")</f>
        <v>20220425WIWIM</v>
      </c>
      <c r="B329" s="5"/>
      <c r="C329" s="5"/>
      <c r="D329" s="5"/>
      <c r="E329" s="5"/>
      <c r="F329" s="5" t="str">
        <f ca="1">IFERROR(__xludf.DUMMYFUNCTION("""COMPUTED_VALUE"""),"Fled/Escaped")</f>
        <v>Fled/Escaped</v>
      </c>
      <c r="G329" s="5" t="str">
        <f ca="1">IFERROR(__xludf.DUMMYFUNCTION("""COMPUTED_VALUE"""),"No")</f>
        <v>No</v>
      </c>
      <c r="H329" s="5" t="str">
        <f ca="1">IFERROR(__xludf.DUMMYFUNCTION("""COMPUTED_VALUE"""),"None")</f>
        <v>None</v>
      </c>
    </row>
    <row r="330" spans="1:8" ht="13">
      <c r="A330" s="5" t="str">
        <f ca="1">IFERROR(__xludf.DUMMYFUNCTION("""COMPUTED_VALUE"""),"20220424MOHAF")</f>
        <v>20220424MOHAF</v>
      </c>
      <c r="B330" s="5">
        <f ca="1">IFERROR(__xludf.DUMMYFUNCTION("""COMPUTED_VALUE"""),18)</f>
        <v>18</v>
      </c>
      <c r="C330" s="5" t="str">
        <f ca="1">IFERROR(__xludf.DUMMYFUNCTION("""COMPUTED_VALUE"""),"Male")</f>
        <v>Male</v>
      </c>
      <c r="D330" s="5" t="str">
        <f ca="1">IFERROR(__xludf.DUMMYFUNCTION("""COMPUTED_VALUE"""),"Black")</f>
        <v>Black</v>
      </c>
      <c r="E330" s="5"/>
      <c r="F330" s="5" t="str">
        <f ca="1">IFERROR(__xludf.DUMMYFUNCTION("""COMPUTED_VALUE"""),"Fled/Apprehended")</f>
        <v>Fled/Apprehended</v>
      </c>
      <c r="G330" s="5" t="str">
        <f ca="1">IFERROR(__xludf.DUMMYFUNCTION("""COMPUTED_VALUE"""),"No")</f>
        <v>No</v>
      </c>
      <c r="H330" s="5" t="str">
        <f ca="1">IFERROR(__xludf.DUMMYFUNCTION("""COMPUTED_VALUE"""),"None")</f>
        <v>None</v>
      </c>
    </row>
    <row r="331" spans="1:8" ht="13">
      <c r="A331" s="5" t="str">
        <f ca="1">IFERROR(__xludf.DUMMYFUNCTION("""COMPUTED_VALUE"""),"20220424MOHAF")</f>
        <v>20220424MOHAF</v>
      </c>
      <c r="B331" s="5">
        <f ca="1">IFERROR(__xludf.DUMMYFUNCTION("""COMPUTED_VALUE"""),18)</f>
        <v>18</v>
      </c>
      <c r="C331" s="5" t="str">
        <f ca="1">IFERROR(__xludf.DUMMYFUNCTION("""COMPUTED_VALUE"""),"Male")</f>
        <v>Male</v>
      </c>
      <c r="D331" s="5" t="str">
        <f ca="1">IFERROR(__xludf.DUMMYFUNCTION("""COMPUTED_VALUE"""),"Black")</f>
        <v>Black</v>
      </c>
      <c r="E331" s="5"/>
      <c r="F331" s="5" t="str">
        <f ca="1">IFERROR(__xludf.DUMMYFUNCTION("""COMPUTED_VALUE"""),"Fled/Apprehended")</f>
        <v>Fled/Apprehended</v>
      </c>
      <c r="G331" s="5" t="str">
        <f ca="1">IFERROR(__xludf.DUMMYFUNCTION("""COMPUTED_VALUE"""),"No")</f>
        <v>No</v>
      </c>
      <c r="H331" s="5" t="str">
        <f ca="1">IFERROR(__xludf.DUMMYFUNCTION("""COMPUTED_VALUE"""),"None")</f>
        <v>None</v>
      </c>
    </row>
    <row r="332" spans="1:8" ht="13">
      <c r="A332" s="5" t="str">
        <f ca="1">IFERROR(__xludf.DUMMYFUNCTION("""COMPUTED_VALUE"""),"20220422ORHOS")</f>
        <v>20220422ORHOS</v>
      </c>
      <c r="B332" s="5" t="str">
        <f ca="1">IFERROR(__xludf.DUMMYFUNCTION("""COMPUTED_VALUE"""),"Teen")</f>
        <v>Teen</v>
      </c>
      <c r="C332" s="5" t="str">
        <f ca="1">IFERROR(__xludf.DUMMYFUNCTION("""COMPUTED_VALUE"""),"Male")</f>
        <v>Male</v>
      </c>
      <c r="D332" s="5"/>
      <c r="E332" s="5"/>
      <c r="F332" s="5" t="str">
        <f ca="1">IFERROR(__xludf.DUMMYFUNCTION("""COMPUTED_VALUE"""),"Fled/Apprehended")</f>
        <v>Fled/Apprehended</v>
      </c>
      <c r="G332" s="5" t="str">
        <f ca="1">IFERROR(__xludf.DUMMYFUNCTION("""COMPUTED_VALUE"""),"No")</f>
        <v>No</v>
      </c>
      <c r="H332" s="5" t="str">
        <f ca="1">IFERROR(__xludf.DUMMYFUNCTION("""COMPUTED_VALUE"""),"None")</f>
        <v>None</v>
      </c>
    </row>
    <row r="333" spans="1:8" ht="13">
      <c r="A333" s="5" t="str">
        <f ca="1">IFERROR(__xludf.DUMMYFUNCTION("""COMPUTED_VALUE"""),"20220422DCEDW")</f>
        <v>20220422DCEDW</v>
      </c>
      <c r="B333" s="5">
        <f ca="1">IFERROR(__xludf.DUMMYFUNCTION("""COMPUTED_VALUE"""),23)</f>
        <v>23</v>
      </c>
      <c r="C333" s="5" t="str">
        <f ca="1">IFERROR(__xludf.DUMMYFUNCTION("""COMPUTED_VALUE"""),"Male")</f>
        <v>Male</v>
      </c>
      <c r="D333" s="5"/>
      <c r="E333" s="5" t="str">
        <f ca="1">IFERROR(__xludf.DUMMYFUNCTION("""COMPUTED_VALUE"""),"No Relation")</f>
        <v>No Relation</v>
      </c>
      <c r="F333" s="5" t="str">
        <f ca="1">IFERROR(__xludf.DUMMYFUNCTION("""COMPUTED_VALUE"""),"Suicide")</f>
        <v>Suicide</v>
      </c>
      <c r="G333" s="5" t="str">
        <f ca="1">IFERROR(__xludf.DUMMYFUNCTION("""COMPUTED_VALUE"""),"Yes")</f>
        <v>Yes</v>
      </c>
      <c r="H333" s="5" t="str">
        <f ca="1">IFERROR(__xludf.DUMMYFUNCTION("""COMPUTED_VALUE"""),"Suicide")</f>
        <v>Suicide</v>
      </c>
    </row>
    <row r="334" spans="1:8" ht="13">
      <c r="A334" s="5" t="str">
        <f ca="1">IFERROR(__xludf.DUMMYFUNCTION("""COMPUTED_VALUE"""),"20220422CAMOR")</f>
        <v>20220422CAMOR</v>
      </c>
      <c r="B334" s="5"/>
      <c r="C334" s="5"/>
      <c r="D334" s="5"/>
      <c r="E334" s="5"/>
      <c r="F334" s="5" t="str">
        <f ca="1">IFERROR(__xludf.DUMMYFUNCTION("""COMPUTED_VALUE"""),"Fled/Escaped")</f>
        <v>Fled/Escaped</v>
      </c>
      <c r="G334" s="5" t="str">
        <f ca="1">IFERROR(__xludf.DUMMYFUNCTION("""COMPUTED_VALUE"""),"No")</f>
        <v>No</v>
      </c>
      <c r="H334" s="5" t="str">
        <f ca="1">IFERROR(__xludf.DUMMYFUNCTION("""COMPUTED_VALUE"""),"None")</f>
        <v>None</v>
      </c>
    </row>
    <row r="335" spans="1:8" ht="13">
      <c r="A335" s="5" t="str">
        <f ca="1">IFERROR(__xludf.DUMMYFUNCTION("""COMPUTED_VALUE"""),"20220421NDMOM")</f>
        <v>20220421NDMOM</v>
      </c>
      <c r="B335" s="5"/>
      <c r="C335" s="5"/>
      <c r="D335" s="5"/>
      <c r="E335" s="5" t="str">
        <f ca="1">IFERROR(__xludf.DUMMYFUNCTION("""COMPUTED_VALUE"""),"Police Officer/SRO")</f>
        <v>Police Officer/SRO</v>
      </c>
      <c r="F335" s="5" t="str">
        <f ca="1">IFERROR(__xludf.DUMMYFUNCTION("""COMPUTED_VALUE"""),"Law Enforcement")</f>
        <v>Law Enforcement</v>
      </c>
      <c r="G335" s="5" t="str">
        <f ca="1">IFERROR(__xludf.DUMMYFUNCTION("""COMPUTED_VALUE"""),"No")</f>
        <v>No</v>
      </c>
      <c r="H335" s="5" t="str">
        <f ca="1">IFERROR(__xludf.DUMMYFUNCTION("""COMPUTED_VALUE"""),"None")</f>
        <v>None</v>
      </c>
    </row>
    <row r="336" spans="1:8" ht="13">
      <c r="A336" s="5" t="str">
        <f ca="1">IFERROR(__xludf.DUMMYFUNCTION("""COMPUTED_VALUE"""),"20220416IAMED")</f>
        <v>20220416IAMED</v>
      </c>
      <c r="B336" s="5" t="str">
        <f ca="1">IFERROR(__xludf.DUMMYFUNCTION("""COMPUTED_VALUE"""),"Adult")</f>
        <v>Adult</v>
      </c>
      <c r="C336" s="5"/>
      <c r="D336" s="5"/>
      <c r="E336" s="5"/>
      <c r="F336" s="5" t="str">
        <f ca="1">IFERROR(__xludf.DUMMYFUNCTION("""COMPUTED_VALUE"""),"Fled/Escaped")</f>
        <v>Fled/Escaped</v>
      </c>
      <c r="G336" s="5" t="str">
        <f ca="1">IFERROR(__xludf.DUMMYFUNCTION("""COMPUTED_VALUE"""),"No")</f>
        <v>No</v>
      </c>
      <c r="H336" s="5" t="str">
        <f ca="1">IFERROR(__xludf.DUMMYFUNCTION("""COMPUTED_VALUE"""),"None")</f>
        <v>None</v>
      </c>
    </row>
    <row r="337" spans="1:8" ht="13">
      <c r="A337" s="5" t="str">
        <f ca="1">IFERROR(__xludf.DUMMYFUNCTION("""COMPUTED_VALUE"""),"20220415VAGAW")</f>
        <v>20220415VAGAW</v>
      </c>
      <c r="B337" s="5">
        <f ca="1">IFERROR(__xludf.DUMMYFUNCTION("""COMPUTED_VALUE"""),16)</f>
        <v>16</v>
      </c>
      <c r="C337" s="5" t="str">
        <f ca="1">IFERROR(__xludf.DUMMYFUNCTION("""COMPUTED_VALUE"""),"Male")</f>
        <v>Male</v>
      </c>
      <c r="D337" s="5"/>
      <c r="E337" s="5" t="str">
        <f ca="1">IFERROR(__xludf.DUMMYFUNCTION("""COMPUTED_VALUE"""),"Student")</f>
        <v>Student</v>
      </c>
      <c r="F337" s="5" t="str">
        <f ca="1">IFERROR(__xludf.DUMMYFUNCTION("""COMPUTED_VALUE"""),"Fled/Apprehended")</f>
        <v>Fled/Apprehended</v>
      </c>
      <c r="G337" s="5" t="str">
        <f ca="1">IFERROR(__xludf.DUMMYFUNCTION("""COMPUTED_VALUE"""),"No")</f>
        <v>No</v>
      </c>
      <c r="H337" s="5" t="str">
        <f ca="1">IFERROR(__xludf.DUMMYFUNCTION("""COMPUTED_VALUE"""),"None")</f>
        <v>None</v>
      </c>
    </row>
    <row r="338" spans="1:8" ht="13">
      <c r="A338" s="5" t="str">
        <f ca="1">IFERROR(__xludf.DUMMYFUNCTION("""COMPUTED_VALUE"""),"20220414MSNEP")</f>
        <v>20220414MSNEP</v>
      </c>
      <c r="B338" s="5" t="str">
        <f ca="1">IFERROR(__xludf.DUMMYFUNCTION("""COMPUTED_VALUE"""),"Teen")</f>
        <v>Teen</v>
      </c>
      <c r="C338" s="5" t="str">
        <f ca="1">IFERROR(__xludf.DUMMYFUNCTION("""COMPUTED_VALUE"""),"Male")</f>
        <v>Male</v>
      </c>
      <c r="D338" s="5"/>
      <c r="E338" s="5" t="str">
        <f ca="1">IFERROR(__xludf.DUMMYFUNCTION("""COMPUTED_VALUE"""),"Rival School Student")</f>
        <v>Rival School Student</v>
      </c>
      <c r="F338" s="5" t="str">
        <f ca="1">IFERROR(__xludf.DUMMYFUNCTION("""COMPUTED_VALUE"""),"Fled/Apprehended")</f>
        <v>Fled/Apprehended</v>
      </c>
      <c r="G338" s="5" t="str">
        <f ca="1">IFERROR(__xludf.DUMMYFUNCTION("""COMPUTED_VALUE"""),"No")</f>
        <v>No</v>
      </c>
      <c r="H338" s="5" t="str">
        <f ca="1">IFERROR(__xludf.DUMMYFUNCTION("""COMPUTED_VALUE"""),"None")</f>
        <v>None</v>
      </c>
    </row>
    <row r="339" spans="1:8" ht="13">
      <c r="A339" s="5" t="str">
        <f ca="1">IFERROR(__xludf.DUMMYFUNCTION("""COMPUTED_VALUE"""),"20220414MSNEP")</f>
        <v>20220414MSNEP</v>
      </c>
      <c r="B339" s="5" t="str">
        <f ca="1">IFERROR(__xludf.DUMMYFUNCTION("""COMPUTED_VALUE"""),"Teen")</f>
        <v>Teen</v>
      </c>
      <c r="C339" s="5" t="str">
        <f ca="1">IFERROR(__xludf.DUMMYFUNCTION("""COMPUTED_VALUE"""),"Male")</f>
        <v>Male</v>
      </c>
      <c r="D339" s="5"/>
      <c r="E339" s="5" t="str">
        <f ca="1">IFERROR(__xludf.DUMMYFUNCTION("""COMPUTED_VALUE"""),"Rival School Student")</f>
        <v>Rival School Student</v>
      </c>
      <c r="F339" s="5" t="str">
        <f ca="1">IFERROR(__xludf.DUMMYFUNCTION("""COMPUTED_VALUE"""),"Fled/Apprehended")</f>
        <v>Fled/Apprehended</v>
      </c>
      <c r="G339" s="5" t="str">
        <f ca="1">IFERROR(__xludf.DUMMYFUNCTION("""COMPUTED_VALUE"""),"No")</f>
        <v>No</v>
      </c>
      <c r="H339" s="5" t="str">
        <f ca="1">IFERROR(__xludf.DUMMYFUNCTION("""COMPUTED_VALUE"""),"None")</f>
        <v>None</v>
      </c>
    </row>
    <row r="340" spans="1:8" ht="13">
      <c r="A340" s="5" t="str">
        <f ca="1">IFERROR(__xludf.DUMMYFUNCTION("""COMPUTED_VALUE"""),"20220414MSNEP")</f>
        <v>20220414MSNEP</v>
      </c>
      <c r="B340" s="5" t="str">
        <f ca="1">IFERROR(__xludf.DUMMYFUNCTION("""COMPUTED_VALUE"""),"Teen")</f>
        <v>Teen</v>
      </c>
      <c r="C340" s="5" t="str">
        <f ca="1">IFERROR(__xludf.DUMMYFUNCTION("""COMPUTED_VALUE"""),"Male")</f>
        <v>Male</v>
      </c>
      <c r="D340" s="5"/>
      <c r="E340" s="5" t="str">
        <f ca="1">IFERROR(__xludf.DUMMYFUNCTION("""COMPUTED_VALUE"""),"Rival School Student")</f>
        <v>Rival School Student</v>
      </c>
      <c r="F340" s="5" t="str">
        <f ca="1">IFERROR(__xludf.DUMMYFUNCTION("""COMPUTED_VALUE"""),"Fled/Apprehended")</f>
        <v>Fled/Apprehended</v>
      </c>
      <c r="G340" s="5" t="str">
        <f ca="1">IFERROR(__xludf.DUMMYFUNCTION("""COMPUTED_VALUE"""),"No")</f>
        <v>No</v>
      </c>
      <c r="H340" s="5" t="str">
        <f ca="1">IFERROR(__xludf.DUMMYFUNCTION("""COMPUTED_VALUE"""),"None")</f>
        <v>None</v>
      </c>
    </row>
    <row r="341" spans="1:8" ht="13">
      <c r="A341" s="5" t="str">
        <f ca="1">IFERROR(__xludf.DUMMYFUNCTION("""COMPUTED_VALUE"""),"20220413MISHS")</f>
        <v>20220413MISHS</v>
      </c>
      <c r="B341" s="5">
        <f ca="1">IFERROR(__xludf.DUMMYFUNCTION("""COMPUTED_VALUE"""),11)</f>
        <v>11</v>
      </c>
      <c r="C341" s="5" t="str">
        <f ca="1">IFERROR(__xludf.DUMMYFUNCTION("""COMPUTED_VALUE"""),"Male")</f>
        <v>Male</v>
      </c>
      <c r="D341" s="5"/>
      <c r="E341" s="5" t="str">
        <f ca="1">IFERROR(__xludf.DUMMYFUNCTION("""COMPUTED_VALUE"""),"Student")</f>
        <v>Student</v>
      </c>
      <c r="F341" s="5" t="str">
        <f ca="1">IFERROR(__xludf.DUMMYFUNCTION("""COMPUTED_VALUE"""),"Apprehended/Killed by SRO")</f>
        <v>Apprehended/Killed by SRO</v>
      </c>
      <c r="G341" s="5" t="str">
        <f ca="1">IFERROR(__xludf.DUMMYFUNCTION("""COMPUTED_VALUE"""),"No")</f>
        <v>No</v>
      </c>
      <c r="H341" s="5" t="str">
        <f ca="1">IFERROR(__xludf.DUMMYFUNCTION("""COMPUTED_VALUE"""),"None")</f>
        <v>None</v>
      </c>
    </row>
    <row r="342" spans="1:8" ht="13">
      <c r="A342" s="5" t="str">
        <f ca="1">IFERROR(__xludf.DUMMYFUNCTION("""COMPUTED_VALUE"""),"20220411ARPIP")</f>
        <v>20220411ARPIP</v>
      </c>
      <c r="B342" s="5" t="str">
        <f ca="1">IFERROR(__xludf.DUMMYFUNCTION("""COMPUTED_VALUE"""),"Teen")</f>
        <v>Teen</v>
      </c>
      <c r="C342" s="5" t="str">
        <f ca="1">IFERROR(__xludf.DUMMYFUNCTION("""COMPUTED_VALUE"""),"Male")</f>
        <v>Male</v>
      </c>
      <c r="D342" s="5"/>
      <c r="E342" s="5"/>
      <c r="F342" s="5" t="str">
        <f ca="1">IFERROR(__xludf.DUMMYFUNCTION("""COMPUTED_VALUE"""),"Apprehended/Killed by SRO")</f>
        <v>Apprehended/Killed by SRO</v>
      </c>
      <c r="G342" s="5" t="str">
        <f ca="1">IFERROR(__xludf.DUMMYFUNCTION("""COMPUTED_VALUE"""),"No")</f>
        <v>No</v>
      </c>
      <c r="H342" s="5" t="str">
        <f ca="1">IFERROR(__xludf.DUMMYFUNCTION("""COMPUTED_VALUE"""),"None")</f>
        <v>None</v>
      </c>
    </row>
    <row r="343" spans="1:8" ht="13">
      <c r="A343" s="5" t="str">
        <f ca="1">IFERROR(__xludf.DUMMYFUNCTION("""COMPUTED_VALUE"""),"20220410MALYL")</f>
        <v>20220410MALYL</v>
      </c>
      <c r="B343" s="5"/>
      <c r="C343" s="5"/>
      <c r="D343" s="5"/>
      <c r="E343" s="5" t="str">
        <f ca="1">IFERROR(__xludf.DUMMYFUNCTION("""COMPUTED_VALUE"""),"No Relation")</f>
        <v>No Relation</v>
      </c>
      <c r="F343" s="5" t="str">
        <f ca="1">IFERROR(__xludf.DUMMYFUNCTION("""COMPUTED_VALUE"""),"Fled/Escaped")</f>
        <v>Fled/Escaped</v>
      </c>
      <c r="G343" s="5" t="str">
        <f ca="1">IFERROR(__xludf.DUMMYFUNCTION("""COMPUTED_VALUE"""),"No")</f>
        <v>No</v>
      </c>
      <c r="H343" s="5" t="str">
        <f ca="1">IFERROR(__xludf.DUMMYFUNCTION("""COMPUTED_VALUE"""),"None")</f>
        <v>None</v>
      </c>
    </row>
    <row r="344" spans="1:8" ht="13">
      <c r="A344" s="5" t="str">
        <f ca="1">IFERROR(__xludf.DUMMYFUNCTION("""COMPUTED_VALUE"""),"20220406WVRIR")</f>
        <v>20220406WVRIR</v>
      </c>
      <c r="B344" s="5">
        <f ca="1">IFERROR(__xludf.DUMMYFUNCTION("""COMPUTED_VALUE"""),15)</f>
        <v>15</v>
      </c>
      <c r="C344" s="5" t="str">
        <f ca="1">IFERROR(__xludf.DUMMYFUNCTION("""COMPUTED_VALUE"""),"Male")</f>
        <v>Male</v>
      </c>
      <c r="D344" s="5"/>
      <c r="E344" s="5" t="str">
        <f ca="1">IFERROR(__xludf.DUMMYFUNCTION("""COMPUTED_VALUE"""),"Student")</f>
        <v>Student</v>
      </c>
      <c r="F344" s="5" t="str">
        <f ca="1">IFERROR(__xludf.DUMMYFUNCTION("""COMPUTED_VALUE"""),"Subdued by Students/Staff/Other")</f>
        <v>Subdued by Students/Staff/Other</v>
      </c>
      <c r="G344" s="5" t="str">
        <f ca="1">IFERROR(__xludf.DUMMYFUNCTION("""COMPUTED_VALUE"""),"No")</f>
        <v>No</v>
      </c>
      <c r="H344" s="5" t="str">
        <f ca="1">IFERROR(__xludf.DUMMYFUNCTION("""COMPUTED_VALUE"""),"None")</f>
        <v>None</v>
      </c>
    </row>
    <row r="345" spans="1:8" ht="13">
      <c r="A345" s="5" t="str">
        <f ca="1">IFERROR(__xludf.DUMMYFUNCTION("""COMPUTED_VALUE"""),"20220406WASTM")</f>
        <v>20220406WASTM</v>
      </c>
      <c r="B345" s="5"/>
      <c r="C345" s="5"/>
      <c r="D345" s="5"/>
      <c r="E345" s="5" t="str">
        <f ca="1">IFERROR(__xludf.DUMMYFUNCTION("""COMPUTED_VALUE"""),"No Relation")</f>
        <v>No Relation</v>
      </c>
      <c r="F345" s="5" t="str">
        <f ca="1">IFERROR(__xludf.DUMMYFUNCTION("""COMPUTED_VALUE"""),"Fled/Escaped")</f>
        <v>Fled/Escaped</v>
      </c>
      <c r="G345" s="5" t="str">
        <f ca="1">IFERROR(__xludf.DUMMYFUNCTION("""COMPUTED_VALUE"""),"No")</f>
        <v>No</v>
      </c>
      <c r="H345" s="5" t="str">
        <f ca="1">IFERROR(__xludf.DUMMYFUNCTION("""COMPUTED_VALUE"""),"None")</f>
        <v>None</v>
      </c>
    </row>
    <row r="346" spans="1:8" ht="13">
      <c r="A346" s="5" t="str">
        <f ca="1">IFERROR(__xludf.DUMMYFUNCTION("""COMPUTED_VALUE"""),"20220406ORROP")</f>
        <v>20220406ORROP</v>
      </c>
      <c r="B346" s="5"/>
      <c r="C346" s="5"/>
      <c r="D346" s="5"/>
      <c r="E346" s="5"/>
      <c r="F346" s="5" t="str">
        <f ca="1">IFERROR(__xludf.DUMMYFUNCTION("""COMPUTED_VALUE"""),"Fled/Escaped")</f>
        <v>Fled/Escaped</v>
      </c>
      <c r="G346" s="5" t="str">
        <f ca="1">IFERROR(__xludf.DUMMYFUNCTION("""COMPUTED_VALUE"""),"No")</f>
        <v>No</v>
      </c>
      <c r="H346" s="5" t="str">
        <f ca="1">IFERROR(__xludf.DUMMYFUNCTION("""COMPUTED_VALUE"""),"None")</f>
        <v>None</v>
      </c>
    </row>
    <row r="347" spans="1:8" ht="13">
      <c r="A347" s="5" t="str">
        <f ca="1">IFERROR(__xludf.DUMMYFUNCTION("""COMPUTED_VALUE"""),"20220405PAERE")</f>
        <v>20220405PAERE</v>
      </c>
      <c r="B347" s="5" t="str">
        <f ca="1">IFERROR(__xludf.DUMMYFUNCTION("""COMPUTED_VALUE"""),"Minor")</f>
        <v>Minor</v>
      </c>
      <c r="C347" s="5" t="str">
        <f ca="1">IFERROR(__xludf.DUMMYFUNCTION("""COMPUTED_VALUE"""),"Male")</f>
        <v>Male</v>
      </c>
      <c r="D347" s="5"/>
      <c r="E347" s="5" t="str">
        <f ca="1">IFERROR(__xludf.DUMMYFUNCTION("""COMPUTED_VALUE"""),"Student")</f>
        <v>Student</v>
      </c>
      <c r="F347" s="5" t="str">
        <f ca="1">IFERROR(__xludf.DUMMYFUNCTION("""COMPUTED_VALUE"""),"Fled/Apprehended")</f>
        <v>Fled/Apprehended</v>
      </c>
      <c r="G347" s="5" t="str">
        <f ca="1">IFERROR(__xludf.DUMMYFUNCTION("""COMPUTED_VALUE"""),"No")</f>
        <v>No</v>
      </c>
      <c r="H347" s="5" t="str">
        <f ca="1">IFERROR(__xludf.DUMMYFUNCTION("""COMPUTED_VALUE"""),"None")</f>
        <v>None</v>
      </c>
    </row>
    <row r="348" spans="1:8" ht="13">
      <c r="A348" s="5" t="str">
        <f ca="1">IFERROR(__xludf.DUMMYFUNCTION("""COMPUTED_VALUE"""),"20220403INBLB")</f>
        <v>20220403INBLB</v>
      </c>
      <c r="B348" s="5">
        <f ca="1">IFERROR(__xludf.DUMMYFUNCTION("""COMPUTED_VALUE"""),18)</f>
        <v>18</v>
      </c>
      <c r="C348" s="5" t="str">
        <f ca="1">IFERROR(__xludf.DUMMYFUNCTION("""COMPUTED_VALUE"""),"Male")</f>
        <v>Male</v>
      </c>
      <c r="D348" s="5"/>
      <c r="E348" s="5"/>
      <c r="F348" s="5" t="str">
        <f ca="1">IFERROR(__xludf.DUMMYFUNCTION("""COMPUTED_VALUE"""),"Fled/Apprehended")</f>
        <v>Fled/Apprehended</v>
      </c>
      <c r="G348" s="5" t="str">
        <f ca="1">IFERROR(__xludf.DUMMYFUNCTION("""COMPUTED_VALUE"""),"No")</f>
        <v>No</v>
      </c>
      <c r="H348" s="5" t="str">
        <f ca="1">IFERROR(__xludf.DUMMYFUNCTION("""COMPUTED_VALUE"""),"None")</f>
        <v>None</v>
      </c>
    </row>
    <row r="349" spans="1:8" ht="13">
      <c r="A349" s="5" t="str">
        <f ca="1">IFERROR(__xludf.DUMMYFUNCTION("""COMPUTED_VALUE"""),"20220403INBLB")</f>
        <v>20220403INBLB</v>
      </c>
      <c r="B349" s="5">
        <f ca="1">IFERROR(__xludf.DUMMYFUNCTION("""COMPUTED_VALUE"""),15)</f>
        <v>15</v>
      </c>
      <c r="C349" s="5"/>
      <c r="D349" s="5"/>
      <c r="E349" s="5"/>
      <c r="F349" s="5" t="str">
        <f ca="1">IFERROR(__xludf.DUMMYFUNCTION("""COMPUTED_VALUE"""),"Fled/Apprehended")</f>
        <v>Fled/Apprehended</v>
      </c>
      <c r="G349" s="5" t="str">
        <f ca="1">IFERROR(__xludf.DUMMYFUNCTION("""COMPUTED_VALUE"""),"No")</f>
        <v>No</v>
      </c>
      <c r="H349" s="5" t="str">
        <f ca="1">IFERROR(__xludf.DUMMYFUNCTION("""COMPUTED_VALUE"""),"None")</f>
        <v>None</v>
      </c>
    </row>
    <row r="350" spans="1:8" ht="13">
      <c r="A350" s="5" t="str">
        <f ca="1">IFERROR(__xludf.DUMMYFUNCTION("""COMPUTED_VALUE"""),"20220331SCTAG")</f>
        <v>20220331SCTAG</v>
      </c>
      <c r="B350" s="5">
        <f ca="1">IFERROR(__xludf.DUMMYFUNCTION("""COMPUTED_VALUE"""),12)</f>
        <v>12</v>
      </c>
      <c r="C350" s="5" t="str">
        <f ca="1">IFERROR(__xludf.DUMMYFUNCTION("""COMPUTED_VALUE"""),"Male")</f>
        <v>Male</v>
      </c>
      <c r="D350" s="5"/>
      <c r="E350" s="5" t="str">
        <f ca="1">IFERROR(__xludf.DUMMYFUNCTION("""COMPUTED_VALUE"""),"Student")</f>
        <v>Student</v>
      </c>
      <c r="F350" s="5" t="str">
        <f ca="1">IFERROR(__xludf.DUMMYFUNCTION("""COMPUTED_VALUE"""),"Fled/Apprehended")</f>
        <v>Fled/Apprehended</v>
      </c>
      <c r="G350" s="5" t="str">
        <f ca="1">IFERROR(__xludf.DUMMYFUNCTION("""COMPUTED_VALUE"""),"No")</f>
        <v>No</v>
      </c>
      <c r="H350" s="5" t="str">
        <f ca="1">IFERROR(__xludf.DUMMYFUNCTION("""COMPUTED_VALUE"""),"None")</f>
        <v>None</v>
      </c>
    </row>
    <row r="351" spans="1:8" ht="13">
      <c r="A351" s="5" t="str">
        <f ca="1">IFERROR(__xludf.DUMMYFUNCTION("""COMPUTED_VALUE"""),"20220331PAACP")</f>
        <v>20220331PAACP</v>
      </c>
      <c r="B351" s="5">
        <f ca="1">IFERROR(__xludf.DUMMYFUNCTION("""COMPUTED_VALUE"""),8)</f>
        <v>8</v>
      </c>
      <c r="C351" s="5" t="str">
        <f ca="1">IFERROR(__xludf.DUMMYFUNCTION("""COMPUTED_VALUE"""),"Male")</f>
        <v>Male</v>
      </c>
      <c r="D351" s="5"/>
      <c r="E351" s="5" t="str">
        <f ca="1">IFERROR(__xludf.DUMMYFUNCTION("""COMPUTED_VALUE"""),"Student")</f>
        <v>Student</v>
      </c>
      <c r="F351" s="5" t="str">
        <f ca="1">IFERROR(__xludf.DUMMYFUNCTION("""COMPUTED_VALUE"""),"Subdued by Students/Staff/Other")</f>
        <v>Subdued by Students/Staff/Other</v>
      </c>
      <c r="G351" s="5" t="str">
        <f ca="1">IFERROR(__xludf.DUMMYFUNCTION("""COMPUTED_VALUE"""),"No")</f>
        <v>No</v>
      </c>
      <c r="H351" s="5" t="str">
        <f ca="1">IFERROR(__xludf.DUMMYFUNCTION("""COMPUTED_VALUE"""),"None")</f>
        <v>None</v>
      </c>
    </row>
    <row r="352" spans="1:8" ht="13">
      <c r="A352" s="5" t="str">
        <f ca="1">IFERROR(__xludf.DUMMYFUNCTION("""COMPUTED_VALUE"""),"20220330GABOA")</f>
        <v>20220330GABOA</v>
      </c>
      <c r="B352" s="5">
        <f ca="1">IFERROR(__xludf.DUMMYFUNCTION("""COMPUTED_VALUE"""),31)</f>
        <v>31</v>
      </c>
      <c r="C352" s="5" t="str">
        <f ca="1">IFERROR(__xludf.DUMMYFUNCTION("""COMPUTED_VALUE"""),"Female")</f>
        <v>Female</v>
      </c>
      <c r="D352" s="5" t="str">
        <f ca="1">IFERROR(__xludf.DUMMYFUNCTION("""COMPUTED_VALUE"""),"Black")</f>
        <v>Black</v>
      </c>
      <c r="E352" s="5" t="str">
        <f ca="1">IFERROR(__xludf.DUMMYFUNCTION("""COMPUTED_VALUE"""),"Parent")</f>
        <v>Parent</v>
      </c>
      <c r="F352" s="5" t="str">
        <f ca="1">IFERROR(__xludf.DUMMYFUNCTION("""COMPUTED_VALUE"""),"Apprehended/Killed by SRO")</f>
        <v>Apprehended/Killed by SRO</v>
      </c>
      <c r="G352" s="5" t="str">
        <f ca="1">IFERROR(__xludf.DUMMYFUNCTION("""COMPUTED_VALUE"""),"No")</f>
        <v>No</v>
      </c>
      <c r="H352" s="5" t="str">
        <f ca="1">IFERROR(__xludf.DUMMYFUNCTION("""COMPUTED_VALUE"""),"Wounded")</f>
        <v>Wounded</v>
      </c>
    </row>
    <row r="353" spans="1:8" ht="13">
      <c r="A353" s="5" t="str">
        <f ca="1">IFERROR(__xludf.DUMMYFUNCTION("""COMPUTED_VALUE"""),"20220330AZKIK")</f>
        <v>20220330AZKIK</v>
      </c>
      <c r="B353" s="5">
        <f ca="1">IFERROR(__xludf.DUMMYFUNCTION("""COMPUTED_VALUE"""),14)</f>
        <v>14</v>
      </c>
      <c r="C353" s="5" t="str">
        <f ca="1">IFERROR(__xludf.DUMMYFUNCTION("""COMPUTED_VALUE"""),"Male")</f>
        <v>Male</v>
      </c>
      <c r="D353" s="5"/>
      <c r="E353" s="5" t="str">
        <f ca="1">IFERROR(__xludf.DUMMYFUNCTION("""COMPUTED_VALUE"""),"Student")</f>
        <v>Student</v>
      </c>
      <c r="F353" s="5" t="str">
        <f ca="1">IFERROR(__xludf.DUMMYFUNCTION("""COMPUTED_VALUE"""),"Fled/Apprehended")</f>
        <v>Fled/Apprehended</v>
      </c>
      <c r="G353" s="5" t="str">
        <f ca="1">IFERROR(__xludf.DUMMYFUNCTION("""COMPUTED_VALUE"""),"No")</f>
        <v>No</v>
      </c>
      <c r="H353" s="5" t="str">
        <f ca="1">IFERROR(__xludf.DUMMYFUNCTION("""COMPUTED_VALUE"""),"None")</f>
        <v>None</v>
      </c>
    </row>
    <row r="354" spans="1:8" ht="13">
      <c r="A354" s="5" t="str">
        <f ca="1">IFERROR(__xludf.DUMMYFUNCTION("""COMPUTED_VALUE"""),"20220329VALUR")</f>
        <v>20220329VALUR</v>
      </c>
      <c r="B354" s="5" t="str">
        <f ca="1">IFERROR(__xludf.DUMMYFUNCTION("""COMPUTED_VALUE"""),"Teen")</f>
        <v>Teen</v>
      </c>
      <c r="C354" s="5"/>
      <c r="D354" s="5"/>
      <c r="E354" s="5" t="str">
        <f ca="1">IFERROR(__xludf.DUMMYFUNCTION("""COMPUTED_VALUE"""),"Student")</f>
        <v>Student</v>
      </c>
      <c r="F354" s="5" t="str">
        <f ca="1">IFERROR(__xludf.DUMMYFUNCTION("""COMPUTED_VALUE"""),"Apprehended/Killed by SRO")</f>
        <v>Apprehended/Killed by SRO</v>
      </c>
      <c r="G354" s="5" t="str">
        <f ca="1">IFERROR(__xludf.DUMMYFUNCTION("""COMPUTED_VALUE"""),"No")</f>
        <v>No</v>
      </c>
      <c r="H354" s="5" t="str">
        <f ca="1">IFERROR(__xludf.DUMMYFUNCTION("""COMPUTED_VALUE"""),"None")</f>
        <v>None</v>
      </c>
    </row>
    <row r="355" spans="1:8" ht="13">
      <c r="A355" s="5" t="str">
        <f ca="1">IFERROR(__xludf.DUMMYFUNCTION("""COMPUTED_VALUE"""),"20220329NVWEL")</f>
        <v>20220329NVWEL</v>
      </c>
      <c r="B355" s="5" t="str">
        <f ca="1">IFERROR(__xludf.DUMMYFUNCTION("""COMPUTED_VALUE"""),"Adult")</f>
        <v>Adult</v>
      </c>
      <c r="C355" s="5"/>
      <c r="D355" s="5"/>
      <c r="E355" s="5" t="str">
        <f ca="1">IFERROR(__xludf.DUMMYFUNCTION("""COMPUTED_VALUE"""),"Police Officer/SRO")</f>
        <v>Police Officer/SRO</v>
      </c>
      <c r="F355" s="5"/>
      <c r="G355" s="5" t="str">
        <f ca="1">IFERROR(__xludf.DUMMYFUNCTION("""COMPUTED_VALUE"""),"No")</f>
        <v>No</v>
      </c>
      <c r="H355" s="5" t="str">
        <f ca="1">IFERROR(__xludf.DUMMYFUNCTION("""COMPUTED_VALUE"""),"None")</f>
        <v>None</v>
      </c>
    </row>
    <row r="356" spans="1:8" ht="13">
      <c r="A356" s="5" t="str">
        <f ca="1">IFERROR(__xludf.DUMMYFUNCTION("""COMPUTED_VALUE"""),"20220328TXNOF")</f>
        <v>20220328TXNOF</v>
      </c>
      <c r="B356" s="5"/>
      <c r="C356" s="5"/>
      <c r="D356" s="5"/>
      <c r="E356" s="5"/>
      <c r="F356" s="5" t="str">
        <f ca="1">IFERROR(__xludf.DUMMYFUNCTION("""COMPUTED_VALUE"""),"Fled/Escaped")</f>
        <v>Fled/Escaped</v>
      </c>
      <c r="G356" s="5" t="str">
        <f ca="1">IFERROR(__xludf.DUMMYFUNCTION("""COMPUTED_VALUE"""),"No")</f>
        <v>No</v>
      </c>
      <c r="H356" s="5" t="str">
        <f ca="1">IFERROR(__xludf.DUMMYFUNCTION("""COMPUTED_VALUE"""),"None")</f>
        <v>None</v>
      </c>
    </row>
    <row r="357" spans="1:8" ht="13">
      <c r="A357" s="5" t="str">
        <f ca="1">IFERROR(__xludf.DUMMYFUNCTION("""COMPUTED_VALUE"""),"20220328NCOAC")</f>
        <v>20220328NCOAC</v>
      </c>
      <c r="B357" s="5">
        <f ca="1">IFERROR(__xludf.DUMMYFUNCTION("""COMPUTED_VALUE"""),18)</f>
        <v>18</v>
      </c>
      <c r="C357" s="5" t="str">
        <f ca="1">IFERROR(__xludf.DUMMYFUNCTION("""COMPUTED_VALUE"""),"Male")</f>
        <v>Male</v>
      </c>
      <c r="D357" s="5" t="str">
        <f ca="1">IFERROR(__xludf.DUMMYFUNCTION("""COMPUTED_VALUE"""),"Black")</f>
        <v>Black</v>
      </c>
      <c r="E357" s="5" t="str">
        <f ca="1">IFERROR(__xludf.DUMMYFUNCTION("""COMPUTED_VALUE"""),"No Relation")</f>
        <v>No Relation</v>
      </c>
      <c r="F357" s="5" t="str">
        <f ca="1">IFERROR(__xludf.DUMMYFUNCTION("""COMPUTED_VALUE"""),"Fled/Apprehended")</f>
        <v>Fled/Apprehended</v>
      </c>
      <c r="G357" s="5" t="str">
        <f ca="1">IFERROR(__xludf.DUMMYFUNCTION("""COMPUTED_VALUE"""),"No")</f>
        <v>No</v>
      </c>
      <c r="H357" s="5" t="str">
        <f ca="1">IFERROR(__xludf.DUMMYFUNCTION("""COMPUTED_VALUE"""),"None")</f>
        <v>None</v>
      </c>
    </row>
    <row r="358" spans="1:8" ht="13">
      <c r="A358" s="5" t="str">
        <f ca="1">IFERROR(__xludf.DUMMYFUNCTION("""COMPUTED_VALUE"""),"20220325UTHIS")</f>
        <v>20220325UTHIS</v>
      </c>
      <c r="B358" s="5" t="str">
        <f ca="1">IFERROR(__xludf.DUMMYFUNCTION("""COMPUTED_VALUE"""),"Teen")</f>
        <v>Teen</v>
      </c>
      <c r="C358" s="5" t="str">
        <f ca="1">IFERROR(__xludf.DUMMYFUNCTION("""COMPUTED_VALUE"""),"Male")</f>
        <v>Male</v>
      </c>
      <c r="D358" s="5"/>
      <c r="E358" s="5" t="str">
        <f ca="1">IFERROR(__xludf.DUMMYFUNCTION("""COMPUTED_VALUE"""),"Student")</f>
        <v>Student</v>
      </c>
      <c r="F358" s="5" t="str">
        <f ca="1">IFERROR(__xludf.DUMMYFUNCTION("""COMPUTED_VALUE"""),"Fled/Escaped")</f>
        <v>Fled/Escaped</v>
      </c>
      <c r="G358" s="5" t="str">
        <f ca="1">IFERROR(__xludf.DUMMYFUNCTION("""COMPUTED_VALUE"""),"No")</f>
        <v>No</v>
      </c>
      <c r="H358" s="5" t="str">
        <f ca="1">IFERROR(__xludf.DUMMYFUNCTION("""COMPUTED_VALUE"""),"None")</f>
        <v>None</v>
      </c>
    </row>
    <row r="359" spans="1:8" ht="13">
      <c r="A359" s="5" t="str">
        <f ca="1">IFERROR(__xludf.DUMMYFUNCTION("""COMPUTED_VALUE"""),"20220325UTHIS")</f>
        <v>20220325UTHIS</v>
      </c>
      <c r="B359" s="5" t="str">
        <f ca="1">IFERROR(__xludf.DUMMYFUNCTION("""COMPUTED_VALUE"""),"Adult")</f>
        <v>Adult</v>
      </c>
      <c r="C359" s="5" t="str">
        <f ca="1">IFERROR(__xludf.DUMMYFUNCTION("""COMPUTED_VALUE"""),"Male")</f>
        <v>Male</v>
      </c>
      <c r="D359" s="5"/>
      <c r="E359" s="5" t="str">
        <f ca="1">IFERROR(__xludf.DUMMYFUNCTION("""COMPUTED_VALUE"""),"No Relation")</f>
        <v>No Relation</v>
      </c>
      <c r="F359" s="5" t="str">
        <f ca="1">IFERROR(__xludf.DUMMYFUNCTION("""COMPUTED_VALUE"""),"Fled/Escaped")</f>
        <v>Fled/Escaped</v>
      </c>
      <c r="G359" s="5" t="str">
        <f ca="1">IFERROR(__xludf.DUMMYFUNCTION("""COMPUTED_VALUE"""),"No")</f>
        <v>No</v>
      </c>
      <c r="H359" s="5" t="str">
        <f ca="1">IFERROR(__xludf.DUMMYFUNCTION("""COMPUTED_VALUE"""),"None")</f>
        <v>None</v>
      </c>
    </row>
    <row r="360" spans="1:8" ht="13">
      <c r="A360" s="5" t="str">
        <f ca="1">IFERROR(__xludf.DUMMYFUNCTION("""COMPUTED_VALUE"""),"20220325TXROR")</f>
        <v>20220325TXROR</v>
      </c>
      <c r="B360" s="5" t="str">
        <f ca="1">IFERROR(__xludf.DUMMYFUNCTION("""COMPUTED_VALUE"""),"Teen")</f>
        <v>Teen</v>
      </c>
      <c r="C360" s="5"/>
      <c r="D360" s="5"/>
      <c r="E360" s="5" t="str">
        <f ca="1">IFERROR(__xludf.DUMMYFUNCTION("""COMPUTED_VALUE"""),"Student")</f>
        <v>Student</v>
      </c>
      <c r="F360" s="5" t="str">
        <f ca="1">IFERROR(__xludf.DUMMYFUNCTION("""COMPUTED_VALUE"""),"Apprehended/Killed by LE")</f>
        <v>Apprehended/Killed by LE</v>
      </c>
      <c r="G360" s="5" t="str">
        <f ca="1">IFERROR(__xludf.DUMMYFUNCTION("""COMPUTED_VALUE"""),"No")</f>
        <v>No</v>
      </c>
      <c r="H360" s="5" t="str">
        <f ca="1">IFERROR(__xludf.DUMMYFUNCTION("""COMPUTED_VALUE"""),"None")</f>
        <v>None</v>
      </c>
    </row>
    <row r="361" spans="1:8" ht="13">
      <c r="A361" s="5" t="str">
        <f ca="1">IFERROR(__xludf.DUMMYFUNCTION("""COMPUTED_VALUE"""),"20220325TXROR")</f>
        <v>20220325TXROR</v>
      </c>
      <c r="B361" s="5" t="str">
        <f ca="1">IFERROR(__xludf.DUMMYFUNCTION("""COMPUTED_VALUE"""),"Teen")</f>
        <v>Teen</v>
      </c>
      <c r="C361" s="5"/>
      <c r="D361" s="5"/>
      <c r="E361" s="5" t="str">
        <f ca="1">IFERROR(__xludf.DUMMYFUNCTION("""COMPUTED_VALUE"""),"Student")</f>
        <v>Student</v>
      </c>
      <c r="F361" s="5" t="str">
        <f ca="1">IFERROR(__xludf.DUMMYFUNCTION("""COMPUTED_VALUE"""),"Apprehended/Killed by LE")</f>
        <v>Apprehended/Killed by LE</v>
      </c>
      <c r="G361" s="5" t="str">
        <f ca="1">IFERROR(__xludf.DUMMYFUNCTION("""COMPUTED_VALUE"""),"No")</f>
        <v>No</v>
      </c>
      <c r="H361" s="5" t="str">
        <f ca="1">IFERROR(__xludf.DUMMYFUNCTION("""COMPUTED_VALUE"""),"None")</f>
        <v>None</v>
      </c>
    </row>
    <row r="362" spans="1:8" ht="13">
      <c r="A362" s="5" t="str">
        <f ca="1">IFERROR(__xludf.DUMMYFUNCTION("""COMPUTED_VALUE"""),"20220325TXROR")</f>
        <v>20220325TXROR</v>
      </c>
      <c r="B362" s="5" t="str">
        <f ca="1">IFERROR(__xludf.DUMMYFUNCTION("""COMPUTED_VALUE"""),"Teen")</f>
        <v>Teen</v>
      </c>
      <c r="C362" s="5"/>
      <c r="D362" s="5"/>
      <c r="E362" s="5" t="str">
        <f ca="1">IFERROR(__xludf.DUMMYFUNCTION("""COMPUTED_VALUE"""),"Student")</f>
        <v>Student</v>
      </c>
      <c r="F362" s="5" t="str">
        <f ca="1">IFERROR(__xludf.DUMMYFUNCTION("""COMPUTED_VALUE"""),"Apprehended/Killed by LE")</f>
        <v>Apprehended/Killed by LE</v>
      </c>
      <c r="G362" s="5" t="str">
        <f ca="1">IFERROR(__xludf.DUMMYFUNCTION("""COMPUTED_VALUE"""),"No")</f>
        <v>No</v>
      </c>
      <c r="H362" s="5" t="str">
        <f ca="1">IFERROR(__xludf.DUMMYFUNCTION("""COMPUTED_VALUE"""),"None")</f>
        <v>None</v>
      </c>
    </row>
    <row r="363" spans="1:8" ht="13">
      <c r="A363" s="5" t="str">
        <f ca="1">IFERROR(__xludf.DUMMYFUNCTION("""COMPUTED_VALUE"""),"20220325TXROR")</f>
        <v>20220325TXROR</v>
      </c>
      <c r="B363" s="5" t="str">
        <f ca="1">IFERROR(__xludf.DUMMYFUNCTION("""COMPUTED_VALUE"""),"Teen")</f>
        <v>Teen</v>
      </c>
      <c r="C363" s="5"/>
      <c r="D363" s="5"/>
      <c r="E363" s="5" t="str">
        <f ca="1">IFERROR(__xludf.DUMMYFUNCTION("""COMPUTED_VALUE"""),"Student")</f>
        <v>Student</v>
      </c>
      <c r="F363" s="5" t="str">
        <f ca="1">IFERROR(__xludf.DUMMYFUNCTION("""COMPUTED_VALUE"""),"Apprehended/Killed by LE")</f>
        <v>Apprehended/Killed by LE</v>
      </c>
      <c r="G363" s="5" t="str">
        <f ca="1">IFERROR(__xludf.DUMMYFUNCTION("""COMPUTED_VALUE"""),"No")</f>
        <v>No</v>
      </c>
      <c r="H363" s="5" t="str">
        <f ca="1">IFERROR(__xludf.DUMMYFUNCTION("""COMPUTED_VALUE"""),"None")</f>
        <v>None</v>
      </c>
    </row>
    <row r="364" spans="1:8" ht="13">
      <c r="A364" s="5" t="str">
        <f ca="1">IFERROR(__xludf.DUMMYFUNCTION("""COMPUTED_VALUE"""),"20220325TXROR")</f>
        <v>20220325TXROR</v>
      </c>
      <c r="B364" s="5" t="str">
        <f ca="1">IFERROR(__xludf.DUMMYFUNCTION("""COMPUTED_VALUE"""),"Teen")</f>
        <v>Teen</v>
      </c>
      <c r="C364" s="5"/>
      <c r="D364" s="5"/>
      <c r="E364" s="5" t="str">
        <f ca="1">IFERROR(__xludf.DUMMYFUNCTION("""COMPUTED_VALUE"""),"Student")</f>
        <v>Student</v>
      </c>
      <c r="F364" s="5" t="str">
        <f ca="1">IFERROR(__xludf.DUMMYFUNCTION("""COMPUTED_VALUE"""),"Apprehended/Killed by LE")</f>
        <v>Apprehended/Killed by LE</v>
      </c>
      <c r="G364" s="5" t="str">
        <f ca="1">IFERROR(__xludf.DUMMYFUNCTION("""COMPUTED_VALUE"""),"No")</f>
        <v>No</v>
      </c>
      <c r="H364" s="5" t="str">
        <f ca="1">IFERROR(__xludf.DUMMYFUNCTION("""COMPUTED_VALUE"""),"None")</f>
        <v>None</v>
      </c>
    </row>
    <row r="365" spans="1:8" ht="13">
      <c r="A365" s="5" t="str">
        <f ca="1">IFERROR(__xludf.DUMMYFUNCTION("""COMPUTED_VALUE"""),"20220325TNBRM")</f>
        <v>20220325TNBRM</v>
      </c>
      <c r="B365" s="5" t="str">
        <f ca="1">IFERROR(__xludf.DUMMYFUNCTION("""COMPUTED_VALUE"""),"Adult")</f>
        <v>Adult</v>
      </c>
      <c r="C365" s="5" t="str">
        <f ca="1">IFERROR(__xludf.DUMMYFUNCTION("""COMPUTED_VALUE"""),"Male")</f>
        <v>Male</v>
      </c>
      <c r="D365" s="5"/>
      <c r="E365" s="5" t="str">
        <f ca="1">IFERROR(__xludf.DUMMYFUNCTION("""COMPUTED_VALUE"""),"No Relation")</f>
        <v>No Relation</v>
      </c>
      <c r="F365" s="5" t="str">
        <f ca="1">IFERROR(__xludf.DUMMYFUNCTION("""COMPUTED_VALUE"""),"Fled/Apprehended")</f>
        <v>Fled/Apprehended</v>
      </c>
      <c r="G365" s="5" t="str">
        <f ca="1">IFERROR(__xludf.DUMMYFUNCTION("""COMPUTED_VALUE"""),"No")</f>
        <v>No</v>
      </c>
      <c r="H365" s="5" t="str">
        <f ca="1">IFERROR(__xludf.DUMMYFUNCTION("""COMPUTED_VALUE"""),"None")</f>
        <v>None</v>
      </c>
    </row>
    <row r="366" spans="1:8" ht="13">
      <c r="A366" s="5" t="str">
        <f ca="1">IFERROR(__xludf.DUMMYFUNCTION("""COMPUTED_VALUE"""),"20220324VARIW")</f>
        <v>20220324VARIW</v>
      </c>
      <c r="B366" s="5">
        <f ca="1">IFERROR(__xludf.DUMMYFUNCTION("""COMPUTED_VALUE"""),20)</f>
        <v>20</v>
      </c>
      <c r="C366" s="5" t="str">
        <f ca="1">IFERROR(__xludf.DUMMYFUNCTION("""COMPUTED_VALUE"""),"Male")</f>
        <v>Male</v>
      </c>
      <c r="D366" s="5" t="str">
        <f ca="1">IFERROR(__xludf.DUMMYFUNCTION("""COMPUTED_VALUE"""),"Black")</f>
        <v>Black</v>
      </c>
      <c r="E366" s="5" t="str">
        <f ca="1">IFERROR(__xludf.DUMMYFUNCTION("""COMPUTED_VALUE"""),"No Relation")</f>
        <v>No Relation</v>
      </c>
      <c r="F366" s="5" t="str">
        <f ca="1">IFERROR(__xludf.DUMMYFUNCTION("""COMPUTED_VALUE"""),"Apprehended/Killed by SRO")</f>
        <v>Apprehended/Killed by SRO</v>
      </c>
      <c r="G366" s="5" t="str">
        <f ca="1">IFERROR(__xludf.DUMMYFUNCTION("""COMPUTED_VALUE"""),"No")</f>
        <v>No</v>
      </c>
      <c r="H366" s="5" t="str">
        <f ca="1">IFERROR(__xludf.DUMMYFUNCTION("""COMPUTED_VALUE"""),"None")</f>
        <v>None</v>
      </c>
    </row>
    <row r="367" spans="1:8" ht="13">
      <c r="A367" s="5" t="str">
        <f ca="1">IFERROR(__xludf.DUMMYFUNCTION("""COMPUTED_VALUE"""),"20220322VAJAR")</f>
        <v>20220322VAJAR</v>
      </c>
      <c r="B367" s="5" t="str">
        <f ca="1">IFERROR(__xludf.DUMMYFUNCTION("""COMPUTED_VALUE"""),"Adult")</f>
        <v>Adult</v>
      </c>
      <c r="C367" s="5"/>
      <c r="D367" s="5"/>
      <c r="E367" s="5" t="str">
        <f ca="1">IFERROR(__xludf.DUMMYFUNCTION("""COMPUTED_VALUE"""),"No Relation")</f>
        <v>No Relation</v>
      </c>
      <c r="F367" s="5" t="str">
        <f ca="1">IFERROR(__xludf.DUMMYFUNCTION("""COMPUTED_VALUE"""),"Fled/Escaped")</f>
        <v>Fled/Escaped</v>
      </c>
      <c r="G367" s="5" t="str">
        <f ca="1">IFERROR(__xludf.DUMMYFUNCTION("""COMPUTED_VALUE"""),"No")</f>
        <v>No</v>
      </c>
      <c r="H367" s="5" t="str">
        <f ca="1">IFERROR(__xludf.DUMMYFUNCTION("""COMPUTED_VALUE"""),"None")</f>
        <v>None</v>
      </c>
    </row>
    <row r="368" spans="1:8" ht="13">
      <c r="A368" s="5" t="str">
        <f ca="1">IFERROR(__xludf.DUMMYFUNCTION("""COMPUTED_VALUE"""),"20220322TXWOD")</f>
        <v>20220322TXWOD</v>
      </c>
      <c r="B368" s="5" t="str">
        <f ca="1">IFERROR(__xludf.DUMMYFUNCTION("""COMPUTED_VALUE"""),"Teen")</f>
        <v>Teen</v>
      </c>
      <c r="C368" s="5"/>
      <c r="D368" s="5"/>
      <c r="E368" s="5" t="str">
        <f ca="1">IFERROR(__xludf.DUMMYFUNCTION("""COMPUTED_VALUE"""),"Student")</f>
        <v>Student</v>
      </c>
      <c r="F368" s="5" t="str">
        <f ca="1">IFERROR(__xludf.DUMMYFUNCTION("""COMPUTED_VALUE"""),"Fled/Escaped")</f>
        <v>Fled/Escaped</v>
      </c>
      <c r="G368" s="5" t="str">
        <f ca="1">IFERROR(__xludf.DUMMYFUNCTION("""COMPUTED_VALUE"""),"No")</f>
        <v>No</v>
      </c>
      <c r="H368" s="5" t="str">
        <f ca="1">IFERROR(__xludf.DUMMYFUNCTION("""COMPUTED_VALUE"""),"None")</f>
        <v>None</v>
      </c>
    </row>
    <row r="369" spans="1:8" ht="13">
      <c r="A369" s="5" t="str">
        <f ca="1">IFERROR(__xludf.DUMMYFUNCTION("""COMPUTED_VALUE"""),"20220322FLNEN")</f>
        <v>20220322FLNEN</v>
      </c>
      <c r="B369" s="5">
        <f ca="1">IFERROR(__xludf.DUMMYFUNCTION("""COMPUTED_VALUE"""),17)</f>
        <v>17</v>
      </c>
      <c r="C369" s="5" t="str">
        <f ca="1">IFERROR(__xludf.DUMMYFUNCTION("""COMPUTED_VALUE"""),"Male")</f>
        <v>Male</v>
      </c>
      <c r="D369" s="5" t="str">
        <f ca="1">IFERROR(__xludf.DUMMYFUNCTION("""COMPUTED_VALUE"""),"White")</f>
        <v>White</v>
      </c>
      <c r="E369" s="5" t="str">
        <f ca="1">IFERROR(__xludf.DUMMYFUNCTION("""COMPUTED_VALUE"""),"Student")</f>
        <v>Student</v>
      </c>
      <c r="F369" s="5" t="str">
        <f ca="1">IFERROR(__xludf.DUMMYFUNCTION("""COMPUTED_VALUE"""),"Fled/Apprehended")</f>
        <v>Fled/Apprehended</v>
      </c>
      <c r="G369" s="5" t="str">
        <f ca="1">IFERROR(__xludf.DUMMYFUNCTION("""COMPUTED_VALUE"""),"No")</f>
        <v>No</v>
      </c>
      <c r="H369" s="5" t="str">
        <f ca="1">IFERROR(__xludf.DUMMYFUNCTION("""COMPUTED_VALUE"""),"None")</f>
        <v>None</v>
      </c>
    </row>
    <row r="370" spans="1:8" ht="13">
      <c r="A370" s="5" t="str">
        <f ca="1">IFERROR(__xludf.DUMMYFUNCTION("""COMPUTED_VALUE"""),"20220321MSLEP")</f>
        <v>20220321MSLEP</v>
      </c>
      <c r="B370" s="5" t="str">
        <f ca="1">IFERROR(__xludf.DUMMYFUNCTION("""COMPUTED_VALUE"""),"Adult")</f>
        <v>Adult</v>
      </c>
      <c r="C370" s="5" t="str">
        <f ca="1">IFERROR(__xludf.DUMMYFUNCTION("""COMPUTED_VALUE"""),"Male")</f>
        <v>Male</v>
      </c>
      <c r="D370" s="5"/>
      <c r="E370" s="5" t="str">
        <f ca="1">IFERROR(__xludf.DUMMYFUNCTION("""COMPUTED_VALUE"""),"No Relation")</f>
        <v>No Relation</v>
      </c>
      <c r="F370" s="5" t="str">
        <f ca="1">IFERROR(__xludf.DUMMYFUNCTION("""COMPUTED_VALUE"""),"Apprehended/Killed by LE")</f>
        <v>Apprehended/Killed by LE</v>
      </c>
      <c r="G370" s="5" t="str">
        <f ca="1">IFERROR(__xludf.DUMMYFUNCTION("""COMPUTED_VALUE"""),"No")</f>
        <v>No</v>
      </c>
      <c r="H370" s="5" t="str">
        <f ca="1">IFERROR(__xludf.DUMMYFUNCTION("""COMPUTED_VALUE"""),"None")</f>
        <v>None</v>
      </c>
    </row>
    <row r="371" spans="1:8" ht="13">
      <c r="A371" s="5" t="str">
        <f ca="1">IFERROR(__xludf.DUMMYFUNCTION("""COMPUTED_VALUE"""),"20220321MIMAK")</f>
        <v>20220321MIMAK</v>
      </c>
      <c r="B371" s="5">
        <f ca="1">IFERROR(__xludf.DUMMYFUNCTION("""COMPUTED_VALUE"""),36)</f>
        <v>36</v>
      </c>
      <c r="C371" s="5" t="str">
        <f ca="1">IFERROR(__xludf.DUMMYFUNCTION("""COMPUTED_VALUE"""),"Female")</f>
        <v>Female</v>
      </c>
      <c r="D371" s="5" t="str">
        <f ca="1">IFERROR(__xludf.DUMMYFUNCTION("""COMPUTED_VALUE"""),"Black")</f>
        <v>Black</v>
      </c>
      <c r="E371" s="5" t="str">
        <f ca="1">IFERROR(__xludf.DUMMYFUNCTION("""COMPUTED_VALUE"""),"Parent")</f>
        <v>Parent</v>
      </c>
      <c r="F371" s="5" t="str">
        <f ca="1">IFERROR(__xludf.DUMMYFUNCTION("""COMPUTED_VALUE"""),"Fled/Apprehended")</f>
        <v>Fled/Apprehended</v>
      </c>
      <c r="G371" s="5" t="str">
        <f ca="1">IFERROR(__xludf.DUMMYFUNCTION("""COMPUTED_VALUE"""),"No")</f>
        <v>No</v>
      </c>
      <c r="H371" s="5" t="str">
        <f ca="1">IFERROR(__xludf.DUMMYFUNCTION("""COMPUTED_VALUE"""),"None")</f>
        <v>None</v>
      </c>
    </row>
    <row r="372" spans="1:8" ht="13">
      <c r="A372" s="5" t="str">
        <f ca="1">IFERROR(__xludf.DUMMYFUNCTION("""COMPUTED_VALUE"""),"20220321AZDES")</f>
        <v>20220321AZDES</v>
      </c>
      <c r="B372" s="5">
        <f ca="1">IFERROR(__xludf.DUMMYFUNCTION("""COMPUTED_VALUE"""),31)</f>
        <v>31</v>
      </c>
      <c r="C372" s="5" t="str">
        <f ca="1">IFERROR(__xludf.DUMMYFUNCTION("""COMPUTED_VALUE"""),"Male")</f>
        <v>Male</v>
      </c>
      <c r="D372" s="5"/>
      <c r="E372" s="5" t="str">
        <f ca="1">IFERROR(__xludf.DUMMYFUNCTION("""COMPUTED_VALUE"""),"No Relation")</f>
        <v>No Relation</v>
      </c>
      <c r="F372" s="5" t="str">
        <f ca="1">IFERROR(__xludf.DUMMYFUNCTION("""COMPUTED_VALUE"""),"Apprehended/Killed by LE")</f>
        <v>Apprehended/Killed by LE</v>
      </c>
      <c r="G372" s="5" t="str">
        <f ca="1">IFERROR(__xludf.DUMMYFUNCTION("""COMPUTED_VALUE"""),"No")</f>
        <v>No</v>
      </c>
      <c r="H372" s="5" t="str">
        <f ca="1">IFERROR(__xludf.DUMMYFUNCTION("""COMPUTED_VALUE"""),"None")</f>
        <v>None</v>
      </c>
    </row>
    <row r="373" spans="1:8" ht="13">
      <c r="A373" s="5" t="str">
        <f ca="1">IFERROR(__xludf.DUMMYFUNCTION("""COMPUTED_VALUE"""),"20220319ALCEL")</f>
        <v>20220319ALCEL</v>
      </c>
      <c r="B373" s="5" t="str">
        <f ca="1">IFERROR(__xludf.DUMMYFUNCTION("""COMPUTED_VALUE"""),"Adult")</f>
        <v>Adult</v>
      </c>
      <c r="C373" s="5" t="str">
        <f ca="1">IFERROR(__xludf.DUMMYFUNCTION("""COMPUTED_VALUE"""),"Male")</f>
        <v>Male</v>
      </c>
      <c r="D373" s="5" t="str">
        <f ca="1">IFERROR(__xludf.DUMMYFUNCTION("""COMPUTED_VALUE"""),"Black")</f>
        <v>Black</v>
      </c>
      <c r="E373" s="5" t="str">
        <f ca="1">IFERROR(__xludf.DUMMYFUNCTION("""COMPUTED_VALUE"""),"No Relation")</f>
        <v>No Relation</v>
      </c>
      <c r="F373" s="5" t="str">
        <f ca="1">IFERROR(__xludf.DUMMYFUNCTION("""COMPUTED_VALUE"""),"Fled/Apprehended")</f>
        <v>Fled/Apprehended</v>
      </c>
      <c r="G373" s="5" t="str">
        <f ca="1">IFERROR(__xludf.DUMMYFUNCTION("""COMPUTED_VALUE"""),"No")</f>
        <v>No</v>
      </c>
      <c r="H373" s="5" t="str">
        <f ca="1">IFERROR(__xludf.DUMMYFUNCTION("""COMPUTED_VALUE"""),"None")</f>
        <v>None</v>
      </c>
    </row>
    <row r="374" spans="1:8" ht="13">
      <c r="A374" s="5" t="str">
        <f ca="1">IFERROR(__xludf.DUMMYFUNCTION("""COMPUTED_VALUE"""),"20220318RICEP")</f>
        <v>20220318RICEP</v>
      </c>
      <c r="B374" s="5">
        <f ca="1">IFERROR(__xludf.DUMMYFUNCTION("""COMPUTED_VALUE"""),17)</f>
        <v>17</v>
      </c>
      <c r="C374" s="5" t="str">
        <f ca="1">IFERROR(__xludf.DUMMYFUNCTION("""COMPUTED_VALUE"""),"Male")</f>
        <v>Male</v>
      </c>
      <c r="D374" s="5"/>
      <c r="E374" s="5" t="str">
        <f ca="1">IFERROR(__xludf.DUMMYFUNCTION("""COMPUTED_VALUE"""),"Student")</f>
        <v>Student</v>
      </c>
      <c r="F374" s="5" t="str">
        <f ca="1">IFERROR(__xludf.DUMMYFUNCTION("""COMPUTED_VALUE"""),"Fled/Apprehended")</f>
        <v>Fled/Apprehended</v>
      </c>
      <c r="G374" s="5" t="str">
        <f ca="1">IFERROR(__xludf.DUMMYFUNCTION("""COMPUTED_VALUE"""),"No")</f>
        <v>No</v>
      </c>
      <c r="H374" s="5" t="str">
        <f ca="1">IFERROR(__xludf.DUMMYFUNCTION("""COMPUTED_VALUE"""),"None")</f>
        <v>None</v>
      </c>
    </row>
    <row r="375" spans="1:8" ht="13">
      <c r="A375" s="5" t="str">
        <f ca="1">IFERROR(__xludf.DUMMYFUNCTION("""COMPUTED_VALUE"""),"20220318RICEP")</f>
        <v>20220318RICEP</v>
      </c>
      <c r="B375" s="5">
        <f ca="1">IFERROR(__xludf.DUMMYFUNCTION("""COMPUTED_VALUE"""),18)</f>
        <v>18</v>
      </c>
      <c r="C375" s="5" t="str">
        <f ca="1">IFERROR(__xludf.DUMMYFUNCTION("""COMPUTED_VALUE"""),"Male")</f>
        <v>Male</v>
      </c>
      <c r="D375" s="5"/>
      <c r="E375" s="5" t="str">
        <f ca="1">IFERROR(__xludf.DUMMYFUNCTION("""COMPUTED_VALUE"""),"Student")</f>
        <v>Student</v>
      </c>
      <c r="F375" s="5" t="str">
        <f ca="1">IFERROR(__xludf.DUMMYFUNCTION("""COMPUTED_VALUE"""),"Fled/Apprehended")</f>
        <v>Fled/Apprehended</v>
      </c>
      <c r="G375" s="5" t="str">
        <f ca="1">IFERROR(__xludf.DUMMYFUNCTION("""COMPUTED_VALUE"""),"No")</f>
        <v>No</v>
      </c>
      <c r="H375" s="5" t="str">
        <f ca="1">IFERROR(__xludf.DUMMYFUNCTION("""COMPUTED_VALUE"""),"None")</f>
        <v>None</v>
      </c>
    </row>
    <row r="376" spans="1:8" ht="13">
      <c r="A376" s="5" t="str">
        <f ca="1">IFERROR(__xludf.DUMMYFUNCTION("""COMPUTED_VALUE"""),"20220318ILBAB")</f>
        <v>20220318ILBAB</v>
      </c>
      <c r="B376" s="5" t="str">
        <f ca="1">IFERROR(__xludf.DUMMYFUNCTION("""COMPUTED_VALUE"""),"Teen")</f>
        <v>Teen</v>
      </c>
      <c r="C376" s="5" t="str">
        <f ca="1">IFERROR(__xludf.DUMMYFUNCTION("""COMPUTED_VALUE"""),"Male")</f>
        <v>Male</v>
      </c>
      <c r="D376" s="5"/>
      <c r="E376" s="5" t="str">
        <f ca="1">IFERROR(__xludf.DUMMYFUNCTION("""COMPUTED_VALUE"""),"Student")</f>
        <v>Student</v>
      </c>
      <c r="F376" s="5" t="str">
        <f ca="1">IFERROR(__xludf.DUMMYFUNCTION("""COMPUTED_VALUE"""),"Fled/Apprehended")</f>
        <v>Fled/Apprehended</v>
      </c>
      <c r="G376" s="5" t="str">
        <f ca="1">IFERROR(__xludf.DUMMYFUNCTION("""COMPUTED_VALUE"""),"No")</f>
        <v>No</v>
      </c>
      <c r="H376" s="5" t="str">
        <f ca="1">IFERROR(__xludf.DUMMYFUNCTION("""COMPUTED_VALUE"""),"None")</f>
        <v>None</v>
      </c>
    </row>
    <row r="377" spans="1:8" ht="13">
      <c r="A377" s="5" t="str">
        <f ca="1">IFERROR(__xludf.DUMMYFUNCTION("""COMPUTED_VALUE"""),"20220317AKREW")</f>
        <v>20220317AKREW</v>
      </c>
      <c r="B377" s="5" t="str">
        <f ca="1">IFERROR(__xludf.DUMMYFUNCTION("""COMPUTED_VALUE"""),"Teen")</f>
        <v>Teen</v>
      </c>
      <c r="C377" s="5" t="str">
        <f ca="1">IFERROR(__xludf.DUMMYFUNCTION("""COMPUTED_VALUE"""),"Male")</f>
        <v>Male</v>
      </c>
      <c r="D377" s="5"/>
      <c r="E377" s="5" t="str">
        <f ca="1">IFERROR(__xludf.DUMMYFUNCTION("""COMPUTED_VALUE"""),"Student")</f>
        <v>Student</v>
      </c>
      <c r="F377" s="5" t="str">
        <f ca="1">IFERROR(__xludf.DUMMYFUNCTION("""COMPUTED_VALUE"""),"Fled/Escaped")</f>
        <v>Fled/Escaped</v>
      </c>
      <c r="G377" s="5" t="str">
        <f ca="1">IFERROR(__xludf.DUMMYFUNCTION("""COMPUTED_VALUE"""),"No")</f>
        <v>No</v>
      </c>
      <c r="H377" s="5" t="str">
        <f ca="1">IFERROR(__xludf.DUMMYFUNCTION("""COMPUTED_VALUE"""),"None")</f>
        <v>None</v>
      </c>
    </row>
    <row r="378" spans="1:8" ht="13">
      <c r="A378" s="5" t="str">
        <f ca="1">IFERROR(__xludf.DUMMYFUNCTION("""COMPUTED_VALUE"""),"20220316CALOR")</f>
        <v>20220316CALOR</v>
      </c>
      <c r="B378" s="5">
        <f ca="1">IFERROR(__xludf.DUMMYFUNCTION("""COMPUTED_VALUE"""),12)</f>
        <v>12</v>
      </c>
      <c r="C378" s="5" t="str">
        <f ca="1">IFERROR(__xludf.DUMMYFUNCTION("""COMPUTED_VALUE"""),"Male")</f>
        <v>Male</v>
      </c>
      <c r="D378" s="5"/>
      <c r="E378" s="5" t="str">
        <f ca="1">IFERROR(__xludf.DUMMYFUNCTION("""COMPUTED_VALUE"""),"Student")</f>
        <v>Student</v>
      </c>
      <c r="F378" s="5" t="str">
        <f ca="1">IFERROR(__xludf.DUMMYFUNCTION("""COMPUTED_VALUE"""),"Fled/Apprehended")</f>
        <v>Fled/Apprehended</v>
      </c>
      <c r="G378" s="5" t="str">
        <f ca="1">IFERROR(__xludf.DUMMYFUNCTION("""COMPUTED_VALUE"""),"No")</f>
        <v>No</v>
      </c>
      <c r="H378" s="5" t="str">
        <f ca="1">IFERROR(__xludf.DUMMYFUNCTION("""COMPUTED_VALUE"""),"None")</f>
        <v>None</v>
      </c>
    </row>
    <row r="379" spans="1:8" ht="13">
      <c r="A379" s="5" t="str">
        <f ca="1">IFERROR(__xludf.DUMMYFUNCTION("""COMPUTED_VALUE"""),"20220315WAEIY")</f>
        <v>20220315WAEIY</v>
      </c>
      <c r="B379" s="5">
        <f ca="1">IFERROR(__xludf.DUMMYFUNCTION("""COMPUTED_VALUE"""),15)</f>
        <v>15</v>
      </c>
      <c r="C379" s="5" t="str">
        <f ca="1">IFERROR(__xludf.DUMMYFUNCTION("""COMPUTED_VALUE"""),"Male")</f>
        <v>Male</v>
      </c>
      <c r="D379" s="5"/>
      <c r="E379" s="5" t="str">
        <f ca="1">IFERROR(__xludf.DUMMYFUNCTION("""COMPUTED_VALUE"""),"Student")</f>
        <v>Student</v>
      </c>
      <c r="F379" s="5" t="str">
        <f ca="1">IFERROR(__xludf.DUMMYFUNCTION("""COMPUTED_VALUE"""),"Fled/Apprehended")</f>
        <v>Fled/Apprehended</v>
      </c>
      <c r="G379" s="5" t="str">
        <f ca="1">IFERROR(__xludf.DUMMYFUNCTION("""COMPUTED_VALUE"""),"No")</f>
        <v>No</v>
      </c>
      <c r="H379" s="5" t="str">
        <f ca="1">IFERROR(__xludf.DUMMYFUNCTION("""COMPUTED_VALUE"""),"None")</f>
        <v>None</v>
      </c>
    </row>
    <row r="380" spans="1:8" ht="13">
      <c r="A380" s="5" t="str">
        <f ca="1">IFERROR(__xludf.DUMMYFUNCTION("""COMPUTED_VALUE"""),"20220315MDPAB")</f>
        <v>20220315MDPAB</v>
      </c>
      <c r="B380" s="5"/>
      <c r="C380" s="5"/>
      <c r="D380" s="5"/>
      <c r="E380" s="5"/>
      <c r="F380" s="5" t="str">
        <f ca="1">IFERROR(__xludf.DUMMYFUNCTION("""COMPUTED_VALUE"""),"Fled/Escaped")</f>
        <v>Fled/Escaped</v>
      </c>
      <c r="G380" s="5" t="str">
        <f ca="1">IFERROR(__xludf.DUMMYFUNCTION("""COMPUTED_VALUE"""),"No")</f>
        <v>No</v>
      </c>
      <c r="H380" s="5" t="str">
        <f ca="1">IFERROR(__xludf.DUMMYFUNCTION("""COMPUTED_VALUE"""),"None")</f>
        <v>None</v>
      </c>
    </row>
    <row r="381" spans="1:8" ht="13">
      <c r="A381" s="5" t="str">
        <f ca="1">IFERROR(__xludf.DUMMYFUNCTION("""COMPUTED_VALUE"""),"20220315MATEB")</f>
        <v>20220315MATEB</v>
      </c>
      <c r="B381" s="5">
        <f ca="1">IFERROR(__xludf.DUMMYFUNCTION("""COMPUTED_VALUE"""),16)</f>
        <v>16</v>
      </c>
      <c r="C381" s="5" t="str">
        <f ca="1">IFERROR(__xludf.DUMMYFUNCTION("""COMPUTED_VALUE"""),"Male")</f>
        <v>Male</v>
      </c>
      <c r="D381" s="5"/>
      <c r="E381" s="5"/>
      <c r="F381" s="5" t="str">
        <f ca="1">IFERROR(__xludf.DUMMYFUNCTION("""COMPUTED_VALUE"""),"Fled/Apprehended")</f>
        <v>Fled/Apprehended</v>
      </c>
      <c r="G381" s="5" t="str">
        <f ca="1">IFERROR(__xludf.DUMMYFUNCTION("""COMPUTED_VALUE"""),"No")</f>
        <v>No</v>
      </c>
      <c r="H381" s="5" t="str">
        <f ca="1">IFERROR(__xludf.DUMMYFUNCTION("""COMPUTED_VALUE"""),"None")</f>
        <v>None</v>
      </c>
    </row>
    <row r="382" spans="1:8" ht="13">
      <c r="A382" s="5" t="str">
        <f ca="1">IFERROR(__xludf.DUMMYFUNCTION("""COMPUTED_VALUE"""),"20220315MATEB")</f>
        <v>20220315MATEB</v>
      </c>
      <c r="B382" s="5">
        <f ca="1">IFERROR(__xludf.DUMMYFUNCTION("""COMPUTED_VALUE"""),17)</f>
        <v>17</v>
      </c>
      <c r="C382" s="5" t="str">
        <f ca="1">IFERROR(__xludf.DUMMYFUNCTION("""COMPUTED_VALUE"""),"Male")</f>
        <v>Male</v>
      </c>
      <c r="D382" s="5"/>
      <c r="E382" s="5"/>
      <c r="F382" s="5" t="str">
        <f ca="1">IFERROR(__xludf.DUMMYFUNCTION("""COMPUTED_VALUE"""),"Fled/Apprehended")</f>
        <v>Fled/Apprehended</v>
      </c>
      <c r="G382" s="5" t="str">
        <f ca="1">IFERROR(__xludf.DUMMYFUNCTION("""COMPUTED_VALUE"""),"No")</f>
        <v>No</v>
      </c>
      <c r="H382" s="5" t="str">
        <f ca="1">IFERROR(__xludf.DUMMYFUNCTION("""COMPUTED_VALUE"""),"None")</f>
        <v>None</v>
      </c>
    </row>
    <row r="383" spans="1:8" ht="13">
      <c r="A383" s="5" t="str">
        <f ca="1">IFERROR(__xludf.DUMMYFUNCTION("""COMPUTED_VALUE"""),"20220315GAFOF")</f>
        <v>20220315GAFOF</v>
      </c>
      <c r="B383" s="5" t="str">
        <f ca="1">IFERROR(__xludf.DUMMYFUNCTION("""COMPUTED_VALUE"""),"Adult")</f>
        <v>Adult</v>
      </c>
      <c r="C383" s="5"/>
      <c r="D383" s="5"/>
      <c r="E383" s="5" t="str">
        <f ca="1">IFERROR(__xludf.DUMMYFUNCTION("""COMPUTED_VALUE"""),"No Relation")</f>
        <v>No Relation</v>
      </c>
      <c r="F383" s="5" t="str">
        <f ca="1">IFERROR(__xludf.DUMMYFUNCTION("""COMPUTED_VALUE"""),"Apprehended/Killed by SRO")</f>
        <v>Apprehended/Killed by SRO</v>
      </c>
      <c r="G383" s="5" t="str">
        <f ca="1">IFERROR(__xludf.DUMMYFUNCTION("""COMPUTED_VALUE"""),"No")</f>
        <v>No</v>
      </c>
      <c r="H383" s="5" t="str">
        <f ca="1">IFERROR(__xludf.DUMMYFUNCTION("""COMPUTED_VALUE"""),"None")</f>
        <v>None</v>
      </c>
    </row>
    <row r="384" spans="1:8" ht="13">
      <c r="A384" s="5" t="str">
        <f ca="1">IFERROR(__xludf.DUMMYFUNCTION("""COMPUTED_VALUE"""),"20220314CAKRP")</f>
        <v>20220314CAKRP</v>
      </c>
      <c r="B384" s="5" t="str">
        <f ca="1">IFERROR(__xludf.DUMMYFUNCTION("""COMPUTED_VALUE"""),"Adult")</f>
        <v>Adult</v>
      </c>
      <c r="C384" s="5" t="str">
        <f ca="1">IFERROR(__xludf.DUMMYFUNCTION("""COMPUTED_VALUE"""),"Male")</f>
        <v>Male</v>
      </c>
      <c r="D384" s="5"/>
      <c r="E384" s="5" t="str">
        <f ca="1">IFERROR(__xludf.DUMMYFUNCTION("""COMPUTED_VALUE"""),"Principal/Vice-Principal")</f>
        <v>Principal/Vice-Principal</v>
      </c>
      <c r="F384" s="5" t="str">
        <f ca="1">IFERROR(__xludf.DUMMYFUNCTION("""COMPUTED_VALUE"""),"Suicide")</f>
        <v>Suicide</v>
      </c>
      <c r="G384" s="5" t="str">
        <f ca="1">IFERROR(__xludf.DUMMYFUNCTION("""COMPUTED_VALUE"""),"Yes")</f>
        <v>Yes</v>
      </c>
      <c r="H384" s="5" t="str">
        <f ca="1">IFERROR(__xludf.DUMMYFUNCTION("""COMPUTED_VALUE"""),"Fatal")</f>
        <v>Fatal</v>
      </c>
    </row>
    <row r="385" spans="1:8" ht="13">
      <c r="A385" s="5" t="str">
        <f ca="1">IFERROR(__xludf.DUMMYFUNCTION("""COMPUTED_VALUE"""),"20220313PANEP")</f>
        <v>20220313PANEP</v>
      </c>
      <c r="B385" s="5"/>
      <c r="C385" s="5"/>
      <c r="D385" s="5"/>
      <c r="E385" s="5"/>
      <c r="F385" s="5" t="str">
        <f ca="1">IFERROR(__xludf.DUMMYFUNCTION("""COMPUTED_VALUE"""),"Fled/Escaped")</f>
        <v>Fled/Escaped</v>
      </c>
      <c r="G385" s="5" t="str">
        <f ca="1">IFERROR(__xludf.DUMMYFUNCTION("""COMPUTED_VALUE"""),"No")</f>
        <v>No</v>
      </c>
      <c r="H385" s="5" t="str">
        <f ca="1">IFERROR(__xludf.DUMMYFUNCTION("""COMPUTED_VALUE"""),"None")</f>
        <v>None</v>
      </c>
    </row>
    <row r="386" spans="1:8" ht="13">
      <c r="A386" s="5" t="str">
        <f ca="1">IFERROR(__xludf.DUMMYFUNCTION("""COMPUTED_VALUE"""),"20220311WIJER")</f>
        <v>20220311WIJER</v>
      </c>
      <c r="B386" s="5" t="str">
        <f ca="1">IFERROR(__xludf.DUMMYFUNCTION("""COMPUTED_VALUE"""),"Child")</f>
        <v>Child</v>
      </c>
      <c r="C386" s="5"/>
      <c r="D386" s="5"/>
      <c r="E386" s="5" t="str">
        <f ca="1">IFERROR(__xludf.DUMMYFUNCTION("""COMPUTED_VALUE"""),"Student")</f>
        <v>Student</v>
      </c>
      <c r="F386" s="5" t="str">
        <f ca="1">IFERROR(__xludf.DUMMYFUNCTION("""COMPUTED_VALUE"""),"Apprehended/Killed by LE")</f>
        <v>Apprehended/Killed by LE</v>
      </c>
      <c r="G386" s="5" t="str">
        <f ca="1">IFERROR(__xludf.DUMMYFUNCTION("""COMPUTED_VALUE"""),"No")</f>
        <v>No</v>
      </c>
      <c r="H386" s="5" t="str">
        <f ca="1">IFERROR(__xludf.DUMMYFUNCTION("""COMPUTED_VALUE"""),"None")</f>
        <v>None</v>
      </c>
    </row>
    <row r="387" spans="1:8" ht="13">
      <c r="A387" s="5" t="str">
        <f ca="1">IFERROR(__xludf.DUMMYFUNCTION("""COMPUTED_VALUE"""),"20220311OHMAM")</f>
        <v>20220311OHMAM</v>
      </c>
      <c r="B387" s="5"/>
      <c r="C387" s="5"/>
      <c r="D387" s="5"/>
      <c r="E387" s="5"/>
      <c r="F387" s="5" t="str">
        <f ca="1">IFERROR(__xludf.DUMMYFUNCTION("""COMPUTED_VALUE"""),"Fled/Escaped")</f>
        <v>Fled/Escaped</v>
      </c>
      <c r="G387" s="5" t="str">
        <f ca="1">IFERROR(__xludf.DUMMYFUNCTION("""COMPUTED_VALUE"""),"No")</f>
        <v>No</v>
      </c>
      <c r="H387" s="5" t="str">
        <f ca="1">IFERROR(__xludf.DUMMYFUNCTION("""COMPUTED_VALUE"""),"None")</f>
        <v>None</v>
      </c>
    </row>
    <row r="388" spans="1:8" ht="13">
      <c r="A388" s="5" t="str">
        <f ca="1">IFERROR(__xludf.DUMMYFUNCTION("""COMPUTED_VALUE"""),"20220311OHFAP")</f>
        <v>20220311OHFAP</v>
      </c>
      <c r="B388" s="5">
        <f ca="1">IFERROR(__xludf.DUMMYFUNCTION("""COMPUTED_VALUE"""),43)</f>
        <v>43</v>
      </c>
      <c r="C388" s="5" t="str">
        <f ca="1">IFERROR(__xludf.DUMMYFUNCTION("""COMPUTED_VALUE"""),"Male")</f>
        <v>Male</v>
      </c>
      <c r="D388" s="5"/>
      <c r="E388" s="5" t="str">
        <f ca="1">IFERROR(__xludf.DUMMYFUNCTION("""COMPUTED_VALUE"""),"No Relation")</f>
        <v>No Relation</v>
      </c>
      <c r="F388" s="5" t="str">
        <f ca="1">IFERROR(__xludf.DUMMYFUNCTION("""COMPUTED_VALUE"""),"Surrendered")</f>
        <v>Surrendered</v>
      </c>
      <c r="G388" s="5" t="str">
        <f ca="1">IFERROR(__xludf.DUMMYFUNCTION("""COMPUTED_VALUE"""),"No")</f>
        <v>No</v>
      </c>
      <c r="H388" s="5" t="str">
        <f ca="1">IFERROR(__xludf.DUMMYFUNCTION("""COMPUTED_VALUE"""),"None")</f>
        <v>None</v>
      </c>
    </row>
    <row r="389" spans="1:8" ht="13">
      <c r="A389" s="5" t="str">
        <f ca="1">IFERROR(__xludf.DUMMYFUNCTION("""COMPUTED_VALUE"""),"20220311CADER")</f>
        <v>20220311CADER</v>
      </c>
      <c r="B389" s="5" t="str">
        <f ca="1">IFERROR(__xludf.DUMMYFUNCTION("""COMPUTED_VALUE"""),"Teen")</f>
        <v>Teen</v>
      </c>
      <c r="C389" s="5" t="str">
        <f ca="1">IFERROR(__xludf.DUMMYFUNCTION("""COMPUTED_VALUE"""),"Male")</f>
        <v>Male</v>
      </c>
      <c r="D389" s="5"/>
      <c r="E389" s="5" t="str">
        <f ca="1">IFERROR(__xludf.DUMMYFUNCTION("""COMPUTED_VALUE"""),"Student")</f>
        <v>Student</v>
      </c>
      <c r="F389" s="5" t="str">
        <f ca="1">IFERROR(__xludf.DUMMYFUNCTION("""COMPUTED_VALUE"""),"Fled/Escaped")</f>
        <v>Fled/Escaped</v>
      </c>
      <c r="G389" s="5" t="str">
        <f ca="1">IFERROR(__xludf.DUMMYFUNCTION("""COMPUTED_VALUE"""),"No")</f>
        <v>No</v>
      </c>
      <c r="H389" s="5" t="str">
        <f ca="1">IFERROR(__xludf.DUMMYFUNCTION("""COMPUTED_VALUE"""),"None")</f>
        <v>None</v>
      </c>
    </row>
    <row r="390" spans="1:8" ht="13">
      <c r="A390" s="5" t="str">
        <f ca="1">IFERROR(__xludf.DUMMYFUNCTION("""COMPUTED_VALUE"""),"20220310TNHAM")</f>
        <v>20220310TNHAM</v>
      </c>
      <c r="B390" s="5" t="str">
        <f ca="1">IFERROR(__xludf.DUMMYFUNCTION("""COMPUTED_VALUE"""),"Adult")</f>
        <v>Adult</v>
      </c>
      <c r="C390" s="5" t="str">
        <f ca="1">IFERROR(__xludf.DUMMYFUNCTION("""COMPUTED_VALUE"""),"Female")</f>
        <v>Female</v>
      </c>
      <c r="D390" s="5" t="str">
        <f ca="1">IFERROR(__xludf.DUMMYFUNCTION("""COMPUTED_VALUE"""),"Black")</f>
        <v>Black</v>
      </c>
      <c r="E390" s="5" t="str">
        <f ca="1">IFERROR(__xludf.DUMMYFUNCTION("""COMPUTED_VALUE"""),"Parent")</f>
        <v>Parent</v>
      </c>
      <c r="F390" s="5" t="str">
        <f ca="1">IFERROR(__xludf.DUMMYFUNCTION("""COMPUTED_VALUE"""),"Fled/Apprehended")</f>
        <v>Fled/Apprehended</v>
      </c>
      <c r="G390" s="5" t="str">
        <f ca="1">IFERROR(__xludf.DUMMYFUNCTION("""COMPUTED_VALUE"""),"No")</f>
        <v>No</v>
      </c>
      <c r="H390" s="5" t="str">
        <f ca="1">IFERROR(__xludf.DUMMYFUNCTION("""COMPUTED_VALUE"""),"None")</f>
        <v>None</v>
      </c>
    </row>
    <row r="391" spans="1:8" ht="13">
      <c r="A391" s="5" t="str">
        <f ca="1">IFERROR(__xludf.DUMMYFUNCTION("""COMPUTED_VALUE"""),"20220310MDCOL")</f>
        <v>20220310MDCOL</v>
      </c>
      <c r="B391" s="5" t="str">
        <f ca="1">IFERROR(__xludf.DUMMYFUNCTION("""COMPUTED_VALUE"""),"Adult")</f>
        <v>Adult</v>
      </c>
      <c r="C391" s="5" t="str">
        <f ca="1">IFERROR(__xludf.DUMMYFUNCTION("""COMPUTED_VALUE"""),"Male")</f>
        <v>Male</v>
      </c>
      <c r="D391" s="5"/>
      <c r="E391" s="5"/>
      <c r="F391" s="5" t="str">
        <f ca="1">IFERROR(__xludf.DUMMYFUNCTION("""COMPUTED_VALUE"""),"Fled/Escaped")</f>
        <v>Fled/Escaped</v>
      </c>
      <c r="G391" s="5" t="str">
        <f ca="1">IFERROR(__xludf.DUMMYFUNCTION("""COMPUTED_VALUE"""),"No")</f>
        <v>No</v>
      </c>
      <c r="H391" s="5" t="str">
        <f ca="1">IFERROR(__xludf.DUMMYFUNCTION("""COMPUTED_VALUE"""),"None")</f>
        <v>None</v>
      </c>
    </row>
    <row r="392" spans="1:8" ht="13">
      <c r="A392" s="5" t="str">
        <f ca="1">IFERROR(__xludf.DUMMYFUNCTION("""COMPUTED_VALUE"""),"20220310COROH")</f>
        <v>20220310COROH</v>
      </c>
      <c r="B392" s="5">
        <f ca="1">IFERROR(__xludf.DUMMYFUNCTION("""COMPUTED_VALUE"""),17)</f>
        <v>17</v>
      </c>
      <c r="C392" s="5" t="str">
        <f ca="1">IFERROR(__xludf.DUMMYFUNCTION("""COMPUTED_VALUE"""),"Male")</f>
        <v>Male</v>
      </c>
      <c r="D392" s="5"/>
      <c r="E392" s="5" t="str">
        <f ca="1">IFERROR(__xludf.DUMMYFUNCTION("""COMPUTED_VALUE"""),"Student")</f>
        <v>Student</v>
      </c>
      <c r="F392" s="5" t="str">
        <f ca="1">IFERROR(__xludf.DUMMYFUNCTION("""COMPUTED_VALUE"""),"Surrendered")</f>
        <v>Surrendered</v>
      </c>
      <c r="G392" s="5" t="str">
        <f ca="1">IFERROR(__xludf.DUMMYFUNCTION("""COMPUTED_VALUE"""),"No")</f>
        <v>No</v>
      </c>
      <c r="H392" s="5" t="str">
        <f ca="1">IFERROR(__xludf.DUMMYFUNCTION("""COMPUTED_VALUE"""),"None")</f>
        <v>None</v>
      </c>
    </row>
    <row r="393" spans="1:8" ht="13">
      <c r="A393" s="5" t="str">
        <f ca="1">IFERROR(__xludf.DUMMYFUNCTION("""COMPUTED_VALUE"""),"20220309TXNOH")</f>
        <v>20220309TXNOH</v>
      </c>
      <c r="B393" s="5">
        <f ca="1">IFERROR(__xludf.DUMMYFUNCTION("""COMPUTED_VALUE"""),18)</f>
        <v>18</v>
      </c>
      <c r="C393" s="5" t="str">
        <f ca="1">IFERROR(__xludf.DUMMYFUNCTION("""COMPUTED_VALUE"""),"Male")</f>
        <v>Male</v>
      </c>
      <c r="D393" s="5" t="str">
        <f ca="1">IFERROR(__xludf.DUMMYFUNCTION("""COMPUTED_VALUE"""),"Black")</f>
        <v>Black</v>
      </c>
      <c r="E393" s="5" t="str">
        <f ca="1">IFERROR(__xludf.DUMMYFUNCTION("""COMPUTED_VALUE"""),"Student")</f>
        <v>Student</v>
      </c>
      <c r="F393" s="5" t="str">
        <f ca="1">IFERROR(__xludf.DUMMYFUNCTION("""COMPUTED_VALUE"""),"Surrendered")</f>
        <v>Surrendered</v>
      </c>
      <c r="G393" s="5" t="str">
        <f ca="1">IFERROR(__xludf.DUMMYFUNCTION("""COMPUTED_VALUE"""),"No")</f>
        <v>No</v>
      </c>
      <c r="H393" s="5" t="str">
        <f ca="1">IFERROR(__xludf.DUMMYFUNCTION("""COMPUTED_VALUE"""),"None")</f>
        <v>None</v>
      </c>
    </row>
    <row r="394" spans="1:8" ht="13">
      <c r="A394" s="5" t="str">
        <f ca="1">IFERROR(__xludf.DUMMYFUNCTION("""COMPUTED_VALUE"""),"20220309NMESE")</f>
        <v>20220309NMESE</v>
      </c>
      <c r="B394" s="5"/>
      <c r="C394" s="5"/>
      <c r="D394" s="5"/>
      <c r="E394" s="5"/>
      <c r="F394" s="5" t="str">
        <f ca="1">IFERROR(__xludf.DUMMYFUNCTION("""COMPUTED_VALUE"""),"Fled/Escaped")</f>
        <v>Fled/Escaped</v>
      </c>
      <c r="G394" s="5" t="str">
        <f ca="1">IFERROR(__xludf.DUMMYFUNCTION("""COMPUTED_VALUE"""),"No")</f>
        <v>No</v>
      </c>
      <c r="H394" s="5" t="str">
        <f ca="1">IFERROR(__xludf.DUMMYFUNCTION("""COMPUTED_VALUE"""),"None")</f>
        <v>None</v>
      </c>
    </row>
    <row r="395" spans="1:8" ht="13">
      <c r="A395" s="5" t="str">
        <f ca="1">IFERROR(__xludf.DUMMYFUNCTION("""COMPUTED_VALUE"""),"20220309FLNOM")</f>
        <v>20220309FLNOM</v>
      </c>
      <c r="B395" s="5">
        <f ca="1">IFERROR(__xludf.DUMMYFUNCTION("""COMPUTED_VALUE"""),18)</f>
        <v>18</v>
      </c>
      <c r="C395" s="5" t="str">
        <f ca="1">IFERROR(__xludf.DUMMYFUNCTION("""COMPUTED_VALUE"""),"Male")</f>
        <v>Male</v>
      </c>
      <c r="D395" s="5" t="str">
        <f ca="1">IFERROR(__xludf.DUMMYFUNCTION("""COMPUTED_VALUE"""),"Black")</f>
        <v>Black</v>
      </c>
      <c r="E395" s="5"/>
      <c r="F395" s="5" t="str">
        <f ca="1">IFERROR(__xludf.DUMMYFUNCTION("""COMPUTED_VALUE"""),"Fled/Apprehended")</f>
        <v>Fled/Apprehended</v>
      </c>
      <c r="G395" s="5" t="str">
        <f ca="1">IFERROR(__xludf.DUMMYFUNCTION("""COMPUTED_VALUE"""),"No")</f>
        <v>No</v>
      </c>
      <c r="H395" s="5" t="str">
        <f ca="1">IFERROR(__xludf.DUMMYFUNCTION("""COMPUTED_VALUE"""),"None")</f>
        <v>None</v>
      </c>
    </row>
    <row r="396" spans="1:8" ht="13">
      <c r="A396" s="5" t="str">
        <f ca="1">IFERROR(__xludf.DUMMYFUNCTION("""COMPUTED_VALUE"""),"20220309FLNOM")</f>
        <v>20220309FLNOM</v>
      </c>
      <c r="B396" s="5">
        <f ca="1">IFERROR(__xludf.DUMMYFUNCTION("""COMPUTED_VALUE"""),17)</f>
        <v>17</v>
      </c>
      <c r="C396" s="5" t="str">
        <f ca="1">IFERROR(__xludf.DUMMYFUNCTION("""COMPUTED_VALUE"""),"Male")</f>
        <v>Male</v>
      </c>
      <c r="D396" s="5" t="str">
        <f ca="1">IFERROR(__xludf.DUMMYFUNCTION("""COMPUTED_VALUE"""),"Black")</f>
        <v>Black</v>
      </c>
      <c r="E396" s="5"/>
      <c r="F396" s="5" t="str">
        <f ca="1">IFERROR(__xludf.DUMMYFUNCTION("""COMPUTED_VALUE"""),"Fled/Apprehended")</f>
        <v>Fled/Apprehended</v>
      </c>
      <c r="G396" s="5" t="str">
        <f ca="1">IFERROR(__xludf.DUMMYFUNCTION("""COMPUTED_VALUE"""),"No")</f>
        <v>No</v>
      </c>
      <c r="H396" s="5" t="str">
        <f ca="1">IFERROR(__xludf.DUMMYFUNCTION("""COMPUTED_VALUE"""),"None")</f>
        <v>None</v>
      </c>
    </row>
    <row r="397" spans="1:8" ht="13">
      <c r="A397" s="5" t="str">
        <f ca="1">IFERROR(__xludf.DUMMYFUNCTION("""COMPUTED_VALUE"""),"20220307IAEAD")</f>
        <v>20220307IAEAD</v>
      </c>
      <c r="B397" s="5">
        <f ca="1">IFERROR(__xludf.DUMMYFUNCTION("""COMPUTED_VALUE"""),17)</f>
        <v>17</v>
      </c>
      <c r="C397" s="5" t="str">
        <f ca="1">IFERROR(__xludf.DUMMYFUNCTION("""COMPUTED_VALUE"""),"Male")</f>
        <v>Male</v>
      </c>
      <c r="D397" s="5"/>
      <c r="E397" s="5"/>
      <c r="F397" s="5" t="str">
        <f ca="1">IFERROR(__xludf.DUMMYFUNCTION("""COMPUTED_VALUE"""),"Fled/Apprehended")</f>
        <v>Fled/Apprehended</v>
      </c>
      <c r="G397" s="5" t="str">
        <f ca="1">IFERROR(__xludf.DUMMYFUNCTION("""COMPUTED_VALUE"""),"No")</f>
        <v>No</v>
      </c>
      <c r="H397" s="5" t="str">
        <f ca="1">IFERROR(__xludf.DUMMYFUNCTION("""COMPUTED_VALUE"""),"None")</f>
        <v>None</v>
      </c>
    </row>
    <row r="398" spans="1:8" ht="13">
      <c r="A398" s="5" t="str">
        <f ca="1">IFERROR(__xludf.DUMMYFUNCTION("""COMPUTED_VALUE"""),"20220307IAEAD")</f>
        <v>20220307IAEAD</v>
      </c>
      <c r="B398" s="5">
        <f ca="1">IFERROR(__xludf.DUMMYFUNCTION("""COMPUTED_VALUE"""),14)</f>
        <v>14</v>
      </c>
      <c r="C398" s="5" t="str">
        <f ca="1">IFERROR(__xludf.DUMMYFUNCTION("""COMPUTED_VALUE"""),"Male")</f>
        <v>Male</v>
      </c>
      <c r="D398" s="5"/>
      <c r="E398" s="5"/>
      <c r="F398" s="5" t="str">
        <f ca="1">IFERROR(__xludf.DUMMYFUNCTION("""COMPUTED_VALUE"""),"Fled/Apprehended")</f>
        <v>Fled/Apprehended</v>
      </c>
      <c r="G398" s="5" t="str">
        <f ca="1">IFERROR(__xludf.DUMMYFUNCTION("""COMPUTED_VALUE"""),"No")</f>
        <v>No</v>
      </c>
      <c r="H398" s="5" t="str">
        <f ca="1">IFERROR(__xludf.DUMMYFUNCTION("""COMPUTED_VALUE"""),"None")</f>
        <v>None</v>
      </c>
    </row>
    <row r="399" spans="1:8" ht="13">
      <c r="A399" s="5" t="str">
        <f ca="1">IFERROR(__xludf.DUMMYFUNCTION("""COMPUTED_VALUE"""),"20220307IAEAD")</f>
        <v>20220307IAEAD</v>
      </c>
      <c r="B399" s="5">
        <f ca="1">IFERROR(__xludf.DUMMYFUNCTION("""COMPUTED_VALUE"""),16)</f>
        <v>16</v>
      </c>
      <c r="C399" s="5" t="str">
        <f ca="1">IFERROR(__xludf.DUMMYFUNCTION("""COMPUTED_VALUE"""),"Male")</f>
        <v>Male</v>
      </c>
      <c r="D399" s="5" t="str">
        <f ca="1">IFERROR(__xludf.DUMMYFUNCTION("""COMPUTED_VALUE"""),"Hispanic")</f>
        <v>Hispanic</v>
      </c>
      <c r="E399" s="5"/>
      <c r="F399" s="5" t="str">
        <f ca="1">IFERROR(__xludf.DUMMYFUNCTION("""COMPUTED_VALUE"""),"Fled/Apprehended")</f>
        <v>Fled/Apprehended</v>
      </c>
      <c r="G399" s="5" t="str">
        <f ca="1">IFERROR(__xludf.DUMMYFUNCTION("""COMPUTED_VALUE"""),"No")</f>
        <v>No</v>
      </c>
      <c r="H399" s="5" t="str">
        <f ca="1">IFERROR(__xludf.DUMMYFUNCTION("""COMPUTED_VALUE"""),"None")</f>
        <v>None</v>
      </c>
    </row>
    <row r="400" spans="1:8" ht="13">
      <c r="A400" s="5" t="str">
        <f ca="1">IFERROR(__xludf.DUMMYFUNCTION("""COMPUTED_VALUE"""),"20220307IAEAD")</f>
        <v>20220307IAEAD</v>
      </c>
      <c r="B400" s="5">
        <f ca="1">IFERROR(__xludf.DUMMYFUNCTION("""COMPUTED_VALUE"""),17)</f>
        <v>17</v>
      </c>
      <c r="C400" s="5" t="str">
        <f ca="1">IFERROR(__xludf.DUMMYFUNCTION("""COMPUTED_VALUE"""),"Male")</f>
        <v>Male</v>
      </c>
      <c r="D400" s="5" t="str">
        <f ca="1">IFERROR(__xludf.DUMMYFUNCTION("""COMPUTED_VALUE"""),"Hispanic")</f>
        <v>Hispanic</v>
      </c>
      <c r="E400" s="5"/>
      <c r="F400" s="5" t="str">
        <f ca="1">IFERROR(__xludf.DUMMYFUNCTION("""COMPUTED_VALUE"""),"Fled/Apprehended")</f>
        <v>Fled/Apprehended</v>
      </c>
      <c r="G400" s="5" t="str">
        <f ca="1">IFERROR(__xludf.DUMMYFUNCTION("""COMPUTED_VALUE"""),"No")</f>
        <v>No</v>
      </c>
      <c r="H400" s="5" t="str">
        <f ca="1">IFERROR(__xludf.DUMMYFUNCTION("""COMPUTED_VALUE"""),"None")</f>
        <v>None</v>
      </c>
    </row>
    <row r="401" spans="1:8" ht="13">
      <c r="A401" s="5" t="str">
        <f ca="1">IFERROR(__xludf.DUMMYFUNCTION("""COMPUTED_VALUE"""),"20220307IAEAD")</f>
        <v>20220307IAEAD</v>
      </c>
      <c r="B401" s="5">
        <f ca="1">IFERROR(__xludf.DUMMYFUNCTION("""COMPUTED_VALUE"""),16)</f>
        <v>16</v>
      </c>
      <c r="C401" s="5" t="str">
        <f ca="1">IFERROR(__xludf.DUMMYFUNCTION("""COMPUTED_VALUE"""),"Male")</f>
        <v>Male</v>
      </c>
      <c r="D401" s="5" t="str">
        <f ca="1">IFERROR(__xludf.DUMMYFUNCTION("""COMPUTED_VALUE"""),"Hispanic")</f>
        <v>Hispanic</v>
      </c>
      <c r="E401" s="5"/>
      <c r="F401" s="5" t="str">
        <f ca="1">IFERROR(__xludf.DUMMYFUNCTION("""COMPUTED_VALUE"""),"Fled/Apprehended")</f>
        <v>Fled/Apprehended</v>
      </c>
      <c r="G401" s="5" t="str">
        <f ca="1">IFERROR(__xludf.DUMMYFUNCTION("""COMPUTED_VALUE"""),"No")</f>
        <v>No</v>
      </c>
      <c r="H401" s="5" t="str">
        <f ca="1">IFERROR(__xludf.DUMMYFUNCTION("""COMPUTED_VALUE"""),"None")</f>
        <v>None</v>
      </c>
    </row>
    <row r="402" spans="1:8" ht="13">
      <c r="A402" s="5" t="str">
        <f ca="1">IFERROR(__xludf.DUMMYFUNCTION("""COMPUTED_VALUE"""),"20220307IAEAD")</f>
        <v>20220307IAEAD</v>
      </c>
      <c r="B402" s="5" t="str">
        <f ca="1">IFERROR(__xludf.DUMMYFUNCTION("""COMPUTED_VALUE"""),"Teen")</f>
        <v>Teen</v>
      </c>
      <c r="C402" s="5" t="str">
        <f ca="1">IFERROR(__xludf.DUMMYFUNCTION("""COMPUTED_VALUE"""),"Male")</f>
        <v>Male</v>
      </c>
      <c r="D402" s="5"/>
      <c r="E402" s="5"/>
      <c r="F402" s="5" t="str">
        <f ca="1">IFERROR(__xludf.DUMMYFUNCTION("""COMPUTED_VALUE"""),"Fled/Apprehended")</f>
        <v>Fled/Apprehended</v>
      </c>
      <c r="G402" s="5" t="str">
        <f ca="1">IFERROR(__xludf.DUMMYFUNCTION("""COMPUTED_VALUE"""),"No")</f>
        <v>No</v>
      </c>
      <c r="H402" s="5" t="str">
        <f ca="1">IFERROR(__xludf.DUMMYFUNCTION("""COMPUTED_VALUE"""),"None")</f>
        <v>None</v>
      </c>
    </row>
    <row r="403" spans="1:8" ht="13">
      <c r="A403" s="5" t="str">
        <f ca="1">IFERROR(__xludf.DUMMYFUNCTION("""COMPUTED_VALUE"""),"20220304KSOLO")</f>
        <v>20220304KSOLO</v>
      </c>
      <c r="B403" s="5">
        <f ca="1">IFERROR(__xludf.DUMMYFUNCTION("""COMPUTED_VALUE"""),18)</f>
        <v>18</v>
      </c>
      <c r="C403" s="5" t="str">
        <f ca="1">IFERROR(__xludf.DUMMYFUNCTION("""COMPUTED_VALUE"""),"Male")</f>
        <v>Male</v>
      </c>
      <c r="D403" s="5" t="str">
        <f ca="1">IFERROR(__xludf.DUMMYFUNCTION("""COMPUTED_VALUE"""),"Black")</f>
        <v>Black</v>
      </c>
      <c r="E403" s="5" t="str">
        <f ca="1">IFERROR(__xludf.DUMMYFUNCTION("""COMPUTED_VALUE"""),"Student")</f>
        <v>Student</v>
      </c>
      <c r="F403" s="5" t="str">
        <f ca="1">IFERROR(__xludf.DUMMYFUNCTION("""COMPUTED_VALUE"""),"Apprehended/Killed by SRO")</f>
        <v>Apprehended/Killed by SRO</v>
      </c>
      <c r="G403" s="5" t="str">
        <f ca="1">IFERROR(__xludf.DUMMYFUNCTION("""COMPUTED_VALUE"""),"No")</f>
        <v>No</v>
      </c>
      <c r="H403" s="5" t="str">
        <f ca="1">IFERROR(__xludf.DUMMYFUNCTION("""COMPUTED_VALUE"""),"Wounded")</f>
        <v>Wounded</v>
      </c>
    </row>
    <row r="404" spans="1:8" ht="13">
      <c r="A404" s="5" t="str">
        <f ca="1">IFERROR(__xludf.DUMMYFUNCTION("""COMPUTED_VALUE"""),"20220303MIJWL")</f>
        <v>20220303MIJWL</v>
      </c>
      <c r="B404" s="5"/>
      <c r="C404" s="5" t="str">
        <f ca="1">IFERROR(__xludf.DUMMYFUNCTION("""COMPUTED_VALUE"""),"Male")</f>
        <v>Male</v>
      </c>
      <c r="D404" s="5"/>
      <c r="E404" s="5"/>
      <c r="F404" s="5" t="str">
        <f ca="1">IFERROR(__xludf.DUMMYFUNCTION("""COMPUTED_VALUE"""),"Fled/Escaped")</f>
        <v>Fled/Escaped</v>
      </c>
      <c r="G404" s="5" t="str">
        <f ca="1">IFERROR(__xludf.DUMMYFUNCTION("""COMPUTED_VALUE"""),"No")</f>
        <v>No</v>
      </c>
      <c r="H404" s="5" t="str">
        <f ca="1">IFERROR(__xludf.DUMMYFUNCTION("""COMPUTED_VALUE"""),"None")</f>
        <v>None</v>
      </c>
    </row>
    <row r="405" spans="1:8" ht="13">
      <c r="A405" s="5" t="str">
        <f ca="1">IFERROR(__xludf.DUMMYFUNCTION("""COMPUTED_VALUE"""),"20220228NYBOB")</f>
        <v>20220228NYBOB</v>
      </c>
      <c r="B405" s="5" t="str">
        <f ca="1">IFERROR(__xludf.DUMMYFUNCTION("""COMPUTED_VALUE"""),"Teen")</f>
        <v>Teen</v>
      </c>
      <c r="C405" s="5" t="str">
        <f ca="1">IFERROR(__xludf.DUMMYFUNCTION("""COMPUTED_VALUE"""),"Male")</f>
        <v>Male</v>
      </c>
      <c r="D405" s="5"/>
      <c r="E405" s="5" t="str">
        <f ca="1">IFERROR(__xludf.DUMMYFUNCTION("""COMPUTED_VALUE"""),"Student")</f>
        <v>Student</v>
      </c>
      <c r="F405" s="5" t="str">
        <f ca="1">IFERROR(__xludf.DUMMYFUNCTION("""COMPUTED_VALUE"""),"Fled/Escaped")</f>
        <v>Fled/Escaped</v>
      </c>
      <c r="G405" s="5" t="str">
        <f ca="1">IFERROR(__xludf.DUMMYFUNCTION("""COMPUTED_VALUE"""),"No")</f>
        <v>No</v>
      </c>
      <c r="H405" s="5" t="str">
        <f ca="1">IFERROR(__xludf.DUMMYFUNCTION("""COMPUTED_VALUE"""),"None")</f>
        <v>None</v>
      </c>
    </row>
    <row r="406" spans="1:8" ht="13">
      <c r="A406" s="5" t="str">
        <f ca="1">IFERROR(__xludf.DUMMYFUNCTION("""COMPUTED_VALUE"""),"20220227DCDUW")</f>
        <v>20220227DCDUW</v>
      </c>
      <c r="B406" s="5"/>
      <c r="C406" s="5"/>
      <c r="D406" s="5"/>
      <c r="E406" s="5"/>
      <c r="F406" s="5" t="str">
        <f ca="1">IFERROR(__xludf.DUMMYFUNCTION("""COMPUTED_VALUE"""),"Fled/Escaped")</f>
        <v>Fled/Escaped</v>
      </c>
      <c r="G406" s="5" t="str">
        <f ca="1">IFERROR(__xludf.DUMMYFUNCTION("""COMPUTED_VALUE"""),"No")</f>
        <v>No</v>
      </c>
      <c r="H406" s="5" t="str">
        <f ca="1">IFERROR(__xludf.DUMMYFUNCTION("""COMPUTED_VALUE"""),"None")</f>
        <v>None</v>
      </c>
    </row>
    <row r="407" spans="1:8" ht="13">
      <c r="A407" s="5" t="str">
        <f ca="1">IFERROR(__xludf.DUMMYFUNCTION("""COMPUTED_VALUE"""),"20220225NMWEA")</f>
        <v>20220225NMWEA</v>
      </c>
      <c r="B407" s="5">
        <f ca="1">IFERROR(__xludf.DUMMYFUNCTION("""COMPUTED_VALUE"""),14)</f>
        <v>14</v>
      </c>
      <c r="C407" s="5" t="str">
        <f ca="1">IFERROR(__xludf.DUMMYFUNCTION("""COMPUTED_VALUE"""),"Male")</f>
        <v>Male</v>
      </c>
      <c r="D407" s="5" t="str">
        <f ca="1">IFERROR(__xludf.DUMMYFUNCTION("""COMPUTED_VALUE"""),"Hispanic")</f>
        <v>Hispanic</v>
      </c>
      <c r="E407" s="5" t="str">
        <f ca="1">IFERROR(__xludf.DUMMYFUNCTION("""COMPUTED_VALUE"""),"Student")</f>
        <v>Student</v>
      </c>
      <c r="F407" s="5" t="str">
        <f ca="1">IFERROR(__xludf.DUMMYFUNCTION("""COMPUTED_VALUE"""),"Fled/Apprehended")</f>
        <v>Fled/Apprehended</v>
      </c>
      <c r="G407" s="5" t="str">
        <f ca="1">IFERROR(__xludf.DUMMYFUNCTION("""COMPUTED_VALUE"""),"No")</f>
        <v>No</v>
      </c>
      <c r="H407" s="5" t="str">
        <f ca="1">IFERROR(__xludf.DUMMYFUNCTION("""COMPUTED_VALUE"""),"None")</f>
        <v>None</v>
      </c>
    </row>
    <row r="408" spans="1:8" ht="13">
      <c r="A408" s="5" t="str">
        <f ca="1">IFERROR(__xludf.DUMMYFUNCTION("""COMPUTED_VALUE"""),"20220225ALSOH")</f>
        <v>20220225ALSOH</v>
      </c>
      <c r="B408" s="5">
        <f ca="1">IFERROR(__xludf.DUMMYFUNCTION("""COMPUTED_VALUE"""),10)</f>
        <v>10</v>
      </c>
      <c r="C408" s="5"/>
      <c r="D408" s="5"/>
      <c r="E408" s="5" t="str">
        <f ca="1">IFERROR(__xludf.DUMMYFUNCTION("""COMPUTED_VALUE"""),"Student")</f>
        <v>Student</v>
      </c>
      <c r="F408" s="5" t="str">
        <f ca="1">IFERROR(__xludf.DUMMYFUNCTION("""COMPUTED_VALUE"""),"Surrendered")</f>
        <v>Surrendered</v>
      </c>
      <c r="G408" s="5" t="str">
        <f ca="1">IFERROR(__xludf.DUMMYFUNCTION("""COMPUTED_VALUE"""),"No")</f>
        <v>No</v>
      </c>
      <c r="H408" s="5" t="str">
        <f ca="1">IFERROR(__xludf.DUMMYFUNCTION("""COMPUTED_VALUE"""),"Wounded")</f>
        <v>Wounded</v>
      </c>
    </row>
    <row r="409" spans="1:8" ht="13">
      <c r="A409" s="5" t="str">
        <f ca="1">IFERROR(__xludf.DUMMYFUNCTION("""COMPUTED_VALUE"""),"20220223VAWOW")</f>
        <v>20220223VAWOW</v>
      </c>
      <c r="B409" s="5"/>
      <c r="C409" s="5"/>
      <c r="D409" s="5"/>
      <c r="E409" s="5"/>
      <c r="F409" s="5" t="str">
        <f ca="1">IFERROR(__xludf.DUMMYFUNCTION("""COMPUTED_VALUE"""),"Fled/Escaped")</f>
        <v>Fled/Escaped</v>
      </c>
      <c r="G409" s="5" t="str">
        <f ca="1">IFERROR(__xludf.DUMMYFUNCTION("""COMPUTED_VALUE"""),"No")</f>
        <v>No</v>
      </c>
      <c r="H409" s="5" t="str">
        <f ca="1">IFERROR(__xludf.DUMMYFUNCTION("""COMPUTED_VALUE"""),"None")</f>
        <v>None</v>
      </c>
    </row>
    <row r="410" spans="1:8" ht="13">
      <c r="A410" s="5" t="str">
        <f ca="1">IFERROR(__xludf.DUMMYFUNCTION("""COMPUTED_VALUE"""),"20220222TXALH")</f>
        <v>20220222TXALH</v>
      </c>
      <c r="B410" s="5" t="str">
        <f ca="1">IFERROR(__xludf.DUMMYFUNCTION("""COMPUTED_VALUE"""),"Adult")</f>
        <v>Adult</v>
      </c>
      <c r="C410" s="5" t="str">
        <f ca="1">IFERROR(__xludf.DUMMYFUNCTION("""COMPUTED_VALUE"""),"Male")</f>
        <v>Male</v>
      </c>
      <c r="D410" s="5"/>
      <c r="E410" s="5" t="str">
        <f ca="1">IFERROR(__xludf.DUMMYFUNCTION("""COMPUTED_VALUE"""),"No Relation")</f>
        <v>No Relation</v>
      </c>
      <c r="F410" s="5" t="str">
        <f ca="1">IFERROR(__xludf.DUMMYFUNCTION("""COMPUTED_VALUE"""),"Fled/Escaped")</f>
        <v>Fled/Escaped</v>
      </c>
      <c r="G410" s="5" t="str">
        <f ca="1">IFERROR(__xludf.DUMMYFUNCTION("""COMPUTED_VALUE"""),"No")</f>
        <v>No</v>
      </c>
      <c r="H410" s="5" t="str">
        <f ca="1">IFERROR(__xludf.DUMMYFUNCTION("""COMPUTED_VALUE"""),"None")</f>
        <v>None</v>
      </c>
    </row>
    <row r="411" spans="1:8" ht="13">
      <c r="A411" s="5" t="str">
        <f ca="1">IFERROR(__xludf.DUMMYFUNCTION("""COMPUTED_VALUE"""),"20220222COLIP")</f>
        <v>20220222COLIP</v>
      </c>
      <c r="B411" s="5"/>
      <c r="C411" s="5"/>
      <c r="D411" s="5"/>
      <c r="E411" s="5" t="str">
        <f ca="1">IFERROR(__xludf.DUMMYFUNCTION("""COMPUTED_VALUE"""),"Police Officer/SRO")</f>
        <v>Police Officer/SRO</v>
      </c>
      <c r="F411" s="5" t="str">
        <f ca="1">IFERROR(__xludf.DUMMYFUNCTION("""COMPUTED_VALUE"""),"Law Enforcement")</f>
        <v>Law Enforcement</v>
      </c>
      <c r="G411" s="5"/>
      <c r="H411" s="5"/>
    </row>
    <row r="412" spans="1:8" ht="13">
      <c r="A412" s="5" t="str">
        <f ca="1">IFERROR(__xludf.DUMMYFUNCTION("""COMPUTED_VALUE"""),"20220221MDJOH")</f>
        <v>20220221MDJOH</v>
      </c>
      <c r="B412" s="5" t="str">
        <f ca="1">IFERROR(__xludf.DUMMYFUNCTION("""COMPUTED_VALUE"""),"Adult")</f>
        <v>Adult</v>
      </c>
      <c r="C412" s="5" t="str">
        <f ca="1">IFERROR(__xludf.DUMMYFUNCTION("""COMPUTED_VALUE"""),"Male")</f>
        <v>Male</v>
      </c>
      <c r="D412" s="5"/>
      <c r="E412" s="5" t="str">
        <f ca="1">IFERROR(__xludf.DUMMYFUNCTION("""COMPUTED_VALUE"""),"No Relation")</f>
        <v>No Relation</v>
      </c>
      <c r="F412" s="5" t="str">
        <f ca="1">IFERROR(__xludf.DUMMYFUNCTION("""COMPUTED_VALUE"""),"Fled/Escaped")</f>
        <v>Fled/Escaped</v>
      </c>
      <c r="G412" s="5" t="str">
        <f ca="1">IFERROR(__xludf.DUMMYFUNCTION("""COMPUTED_VALUE"""),"No")</f>
        <v>No</v>
      </c>
      <c r="H412" s="5" t="str">
        <f ca="1">IFERROR(__xludf.DUMMYFUNCTION("""COMPUTED_VALUE"""),"None")</f>
        <v>None</v>
      </c>
    </row>
    <row r="413" spans="1:8" ht="13">
      <c r="A413" s="5" t="str">
        <f ca="1">IFERROR(__xludf.DUMMYFUNCTION("""COMPUTED_VALUE"""),"20220220OKWIW")</f>
        <v>20220220OKWIW</v>
      </c>
      <c r="B413" s="5" t="str">
        <f ca="1">IFERROR(__xludf.DUMMYFUNCTION("""COMPUTED_VALUE"""),"Adult")</f>
        <v>Adult</v>
      </c>
      <c r="C413" s="5" t="str">
        <f ca="1">IFERROR(__xludf.DUMMYFUNCTION("""COMPUTED_VALUE"""),"Male")</f>
        <v>Male</v>
      </c>
      <c r="D413" s="5"/>
      <c r="E413" s="5"/>
      <c r="F413" s="5" t="str">
        <f ca="1">IFERROR(__xludf.DUMMYFUNCTION("""COMPUTED_VALUE"""),"Fled/Escaped")</f>
        <v>Fled/Escaped</v>
      </c>
      <c r="G413" s="5" t="str">
        <f ca="1">IFERROR(__xludf.DUMMYFUNCTION("""COMPUTED_VALUE"""),"No")</f>
        <v>No</v>
      </c>
      <c r="H413" s="5" t="str">
        <f ca="1">IFERROR(__xludf.DUMMYFUNCTION("""COMPUTED_VALUE"""),"None")</f>
        <v>None</v>
      </c>
    </row>
    <row r="414" spans="1:8" ht="13">
      <c r="A414" s="5" t="str">
        <f ca="1">IFERROR(__xludf.DUMMYFUNCTION("""COMPUTED_VALUE"""),"20220220MSMCM")</f>
        <v>20220220MSMCM</v>
      </c>
      <c r="B414" s="5" t="str">
        <f ca="1">IFERROR(__xludf.DUMMYFUNCTION("""COMPUTED_VALUE"""),"Teen")</f>
        <v>Teen</v>
      </c>
      <c r="C414" s="5" t="str">
        <f ca="1">IFERROR(__xludf.DUMMYFUNCTION("""COMPUTED_VALUE"""),"Male")</f>
        <v>Male</v>
      </c>
      <c r="D414" s="5"/>
      <c r="E414" s="5"/>
      <c r="F414" s="5" t="str">
        <f ca="1">IFERROR(__xludf.DUMMYFUNCTION("""COMPUTED_VALUE"""),"Fled/Apprehended")</f>
        <v>Fled/Apprehended</v>
      </c>
      <c r="G414" s="5" t="str">
        <f ca="1">IFERROR(__xludf.DUMMYFUNCTION("""COMPUTED_VALUE"""),"No")</f>
        <v>No</v>
      </c>
      <c r="H414" s="5" t="str">
        <f ca="1">IFERROR(__xludf.DUMMYFUNCTION("""COMPUTED_VALUE"""),"None")</f>
        <v>None</v>
      </c>
    </row>
    <row r="415" spans="1:8" ht="13">
      <c r="A415" s="5" t="str">
        <f ca="1">IFERROR(__xludf.DUMMYFUNCTION("""COMPUTED_VALUE"""),"20220219VACAC")</f>
        <v>20220219VACAC</v>
      </c>
      <c r="B415" s="5"/>
      <c r="C415" s="5"/>
      <c r="D415" s="5"/>
      <c r="E415" s="5"/>
      <c r="F415" s="5" t="str">
        <f ca="1">IFERROR(__xludf.DUMMYFUNCTION("""COMPUTED_VALUE"""),"Fled/Escaped")</f>
        <v>Fled/Escaped</v>
      </c>
      <c r="G415" s="5" t="str">
        <f ca="1">IFERROR(__xludf.DUMMYFUNCTION("""COMPUTED_VALUE"""),"No")</f>
        <v>No</v>
      </c>
      <c r="H415" s="5" t="str">
        <f ca="1">IFERROR(__xludf.DUMMYFUNCTION("""COMPUTED_VALUE"""),"None")</f>
        <v>None</v>
      </c>
    </row>
    <row r="416" spans="1:8" ht="13">
      <c r="A416" s="5" t="str">
        <f ca="1">IFERROR(__xludf.DUMMYFUNCTION("""COMPUTED_VALUE"""),"20220218MATET")</f>
        <v>20220218MATET</v>
      </c>
      <c r="B416" s="5">
        <f ca="1">IFERROR(__xludf.DUMMYFUNCTION("""COMPUTED_VALUE"""),18)</f>
        <v>18</v>
      </c>
      <c r="C416" s="5" t="str">
        <f ca="1">IFERROR(__xludf.DUMMYFUNCTION("""COMPUTED_VALUE"""),"Male")</f>
        <v>Male</v>
      </c>
      <c r="D416" s="5"/>
      <c r="E416" s="5" t="str">
        <f ca="1">IFERROR(__xludf.DUMMYFUNCTION("""COMPUTED_VALUE"""),"Rival School Student")</f>
        <v>Rival School Student</v>
      </c>
      <c r="F416" s="5" t="str">
        <f ca="1">IFERROR(__xludf.DUMMYFUNCTION("""COMPUTED_VALUE"""),"Fled/Apprehended")</f>
        <v>Fled/Apprehended</v>
      </c>
      <c r="G416" s="5" t="str">
        <f ca="1">IFERROR(__xludf.DUMMYFUNCTION("""COMPUTED_VALUE"""),"No")</f>
        <v>No</v>
      </c>
      <c r="H416" s="5" t="str">
        <f ca="1">IFERROR(__xludf.DUMMYFUNCTION("""COMPUTED_VALUE"""),"None")</f>
        <v>None</v>
      </c>
    </row>
    <row r="417" spans="1:8" ht="13">
      <c r="A417" s="5" t="str">
        <f ca="1">IFERROR(__xludf.DUMMYFUNCTION("""COMPUTED_VALUE"""),"20220218MATET")</f>
        <v>20220218MATET</v>
      </c>
      <c r="B417" s="5">
        <f ca="1">IFERROR(__xludf.DUMMYFUNCTION("""COMPUTED_VALUE"""),17)</f>
        <v>17</v>
      </c>
      <c r="C417" s="5" t="str">
        <f ca="1">IFERROR(__xludf.DUMMYFUNCTION("""COMPUTED_VALUE"""),"Male")</f>
        <v>Male</v>
      </c>
      <c r="D417" s="5"/>
      <c r="E417" s="5" t="str">
        <f ca="1">IFERROR(__xludf.DUMMYFUNCTION("""COMPUTED_VALUE"""),"Rival School Student")</f>
        <v>Rival School Student</v>
      </c>
      <c r="F417" s="5" t="str">
        <f ca="1">IFERROR(__xludf.DUMMYFUNCTION("""COMPUTED_VALUE"""),"Fled/Apprehended")</f>
        <v>Fled/Apprehended</v>
      </c>
      <c r="G417" s="5" t="str">
        <f ca="1">IFERROR(__xludf.DUMMYFUNCTION("""COMPUTED_VALUE"""),"No")</f>
        <v>No</v>
      </c>
      <c r="H417" s="5" t="str">
        <f ca="1">IFERROR(__xludf.DUMMYFUNCTION("""COMPUTED_VALUE"""),"None")</f>
        <v>None</v>
      </c>
    </row>
    <row r="418" spans="1:8" ht="13">
      <c r="A418" s="5" t="str">
        <f ca="1">IFERROR(__xludf.DUMMYFUNCTION("""COMPUTED_VALUE"""),"20220218MATET")</f>
        <v>20220218MATET</v>
      </c>
      <c r="B418" s="5">
        <f ca="1">IFERROR(__xludf.DUMMYFUNCTION("""COMPUTED_VALUE"""),17)</f>
        <v>17</v>
      </c>
      <c r="C418" s="5" t="str">
        <f ca="1">IFERROR(__xludf.DUMMYFUNCTION("""COMPUTED_VALUE"""),"Male")</f>
        <v>Male</v>
      </c>
      <c r="D418" s="5"/>
      <c r="E418" s="5" t="str">
        <f ca="1">IFERROR(__xludf.DUMMYFUNCTION("""COMPUTED_VALUE"""),"Rival School Student")</f>
        <v>Rival School Student</v>
      </c>
      <c r="F418" s="5" t="str">
        <f ca="1">IFERROR(__xludf.DUMMYFUNCTION("""COMPUTED_VALUE"""),"Fled/Apprehended")</f>
        <v>Fled/Apprehended</v>
      </c>
      <c r="G418" s="5" t="str">
        <f ca="1">IFERROR(__xludf.DUMMYFUNCTION("""COMPUTED_VALUE"""),"No")</f>
        <v>No</v>
      </c>
      <c r="H418" s="5" t="str">
        <f ca="1">IFERROR(__xludf.DUMMYFUNCTION("""COMPUTED_VALUE"""),"None")</f>
        <v>None</v>
      </c>
    </row>
    <row r="419" spans="1:8" ht="13">
      <c r="A419" s="5" t="str">
        <f ca="1">IFERROR(__xludf.DUMMYFUNCTION("""COMPUTED_VALUE"""),"20220218MATET")</f>
        <v>20220218MATET</v>
      </c>
      <c r="B419" s="5">
        <f ca="1">IFERROR(__xludf.DUMMYFUNCTION("""COMPUTED_VALUE"""),16)</f>
        <v>16</v>
      </c>
      <c r="C419" s="5" t="str">
        <f ca="1">IFERROR(__xludf.DUMMYFUNCTION("""COMPUTED_VALUE"""),"Male")</f>
        <v>Male</v>
      </c>
      <c r="D419" s="5"/>
      <c r="E419" s="5" t="str">
        <f ca="1">IFERROR(__xludf.DUMMYFUNCTION("""COMPUTED_VALUE"""),"Rival School Student")</f>
        <v>Rival School Student</v>
      </c>
      <c r="F419" s="5" t="str">
        <f ca="1">IFERROR(__xludf.DUMMYFUNCTION("""COMPUTED_VALUE"""),"Fled/Apprehended")</f>
        <v>Fled/Apprehended</v>
      </c>
      <c r="G419" s="5" t="str">
        <f ca="1">IFERROR(__xludf.DUMMYFUNCTION("""COMPUTED_VALUE"""),"No")</f>
        <v>No</v>
      </c>
      <c r="H419" s="5" t="str">
        <f ca="1">IFERROR(__xludf.DUMMYFUNCTION("""COMPUTED_VALUE"""),"None")</f>
        <v>None</v>
      </c>
    </row>
    <row r="420" spans="1:8" ht="13">
      <c r="A420" s="5" t="str">
        <f ca="1">IFERROR(__xludf.DUMMYFUNCTION("""COMPUTED_VALUE"""),"20220217WAMCG")</f>
        <v>20220217WAMCG</v>
      </c>
      <c r="B420" s="5" t="str">
        <f ca="1">IFERROR(__xludf.DUMMYFUNCTION("""COMPUTED_VALUE"""),"Adult")</f>
        <v>Adult</v>
      </c>
      <c r="C420" s="5" t="str">
        <f ca="1">IFERROR(__xludf.DUMMYFUNCTION("""COMPUTED_VALUE"""),"Male")</f>
        <v>Male</v>
      </c>
      <c r="D420" s="5"/>
      <c r="E420" s="5" t="str">
        <f ca="1">IFERROR(__xludf.DUMMYFUNCTION("""COMPUTED_VALUE"""),"Gang Member")</f>
        <v>Gang Member</v>
      </c>
      <c r="F420" s="5" t="str">
        <f ca="1">IFERROR(__xludf.DUMMYFUNCTION("""COMPUTED_VALUE"""),"Fled/Escaped")</f>
        <v>Fled/Escaped</v>
      </c>
      <c r="G420" s="5" t="str">
        <f ca="1">IFERROR(__xludf.DUMMYFUNCTION("""COMPUTED_VALUE"""),"No")</f>
        <v>No</v>
      </c>
      <c r="H420" s="5" t="str">
        <f ca="1">IFERROR(__xludf.DUMMYFUNCTION("""COMPUTED_VALUE"""),"None")</f>
        <v>None</v>
      </c>
    </row>
    <row r="421" spans="1:8" ht="13">
      <c r="A421" s="5" t="str">
        <f ca="1">IFERROR(__xludf.DUMMYFUNCTION("""COMPUTED_VALUE"""),"20220214FLLAL")</f>
        <v>20220214FLLAL</v>
      </c>
      <c r="B421" s="5">
        <f ca="1">IFERROR(__xludf.DUMMYFUNCTION("""COMPUTED_VALUE"""),39)</f>
        <v>39</v>
      </c>
      <c r="C421" s="5" t="str">
        <f ca="1">IFERROR(__xludf.DUMMYFUNCTION("""COMPUTED_VALUE"""),"Male")</f>
        <v>Male</v>
      </c>
      <c r="D421" s="5" t="str">
        <f ca="1">IFERROR(__xludf.DUMMYFUNCTION("""COMPUTED_VALUE"""),"Black")</f>
        <v>Black</v>
      </c>
      <c r="E421" s="5"/>
      <c r="F421" s="5" t="str">
        <f ca="1">IFERROR(__xludf.DUMMYFUNCTION("""COMPUTED_VALUE"""),"Fled/Apprehended")</f>
        <v>Fled/Apprehended</v>
      </c>
      <c r="G421" s="5" t="str">
        <f ca="1">IFERROR(__xludf.DUMMYFUNCTION("""COMPUTED_VALUE"""),"No")</f>
        <v>No</v>
      </c>
      <c r="H421" s="5" t="str">
        <f ca="1">IFERROR(__xludf.DUMMYFUNCTION("""COMPUTED_VALUE"""),"None")</f>
        <v>None</v>
      </c>
    </row>
    <row r="422" spans="1:8" ht="13">
      <c r="A422" s="5" t="str">
        <f ca="1">IFERROR(__xludf.DUMMYFUNCTION("""COMPUTED_VALUE"""),"20220211DCEAW")</f>
        <v>20220211DCEAW</v>
      </c>
      <c r="B422" s="5"/>
      <c r="C422" s="5"/>
      <c r="D422" s="5"/>
      <c r="E422" s="5"/>
      <c r="F422" s="5" t="str">
        <f ca="1">IFERROR(__xludf.DUMMYFUNCTION("""COMPUTED_VALUE"""),"Fled/Escaped")</f>
        <v>Fled/Escaped</v>
      </c>
      <c r="G422" s="5" t="str">
        <f ca="1">IFERROR(__xludf.DUMMYFUNCTION("""COMPUTED_VALUE"""),"No")</f>
        <v>No</v>
      </c>
      <c r="H422" s="5" t="str">
        <f ca="1">IFERROR(__xludf.DUMMYFUNCTION("""COMPUTED_VALUE"""),"None")</f>
        <v>None</v>
      </c>
    </row>
    <row r="423" spans="1:8" ht="13">
      <c r="A423" s="5" t="str">
        <f ca="1">IFERROR(__xludf.DUMMYFUNCTION("""COMPUTED_VALUE"""),"20220209NYMCB")</f>
        <v>20220209NYMCB</v>
      </c>
      <c r="B423" s="5">
        <f ca="1">IFERROR(__xludf.DUMMYFUNCTION("""COMPUTED_VALUE"""),17)</f>
        <v>17</v>
      </c>
      <c r="C423" s="5" t="str">
        <f ca="1">IFERROR(__xludf.DUMMYFUNCTION("""COMPUTED_VALUE"""),"Male")</f>
        <v>Male</v>
      </c>
      <c r="D423" s="5"/>
      <c r="E423" s="5" t="str">
        <f ca="1">IFERROR(__xludf.DUMMYFUNCTION("""COMPUTED_VALUE"""),"Student")</f>
        <v>Student</v>
      </c>
      <c r="F423" s="5" t="str">
        <f ca="1">IFERROR(__xludf.DUMMYFUNCTION("""COMPUTED_VALUE"""),"Fled/Apprehended")</f>
        <v>Fled/Apprehended</v>
      </c>
      <c r="G423" s="5" t="str">
        <f ca="1">IFERROR(__xludf.DUMMYFUNCTION("""COMPUTED_VALUE"""),"No")</f>
        <v>No</v>
      </c>
      <c r="H423" s="5" t="str">
        <f ca="1">IFERROR(__xludf.DUMMYFUNCTION("""COMPUTED_VALUE"""),"None")</f>
        <v>None</v>
      </c>
    </row>
    <row r="424" spans="1:8" ht="13">
      <c r="A424" s="5" t="str">
        <f ca="1">IFERROR(__xludf.DUMMYFUNCTION("""COMPUTED_VALUE"""),"20220209MNMIM")</f>
        <v>20220209MNMIM</v>
      </c>
      <c r="B424" s="5" t="str">
        <f ca="1">IFERROR(__xludf.DUMMYFUNCTION("""COMPUTED_VALUE"""),"Adult")</f>
        <v>Adult</v>
      </c>
      <c r="C424" s="5" t="str">
        <f ca="1">IFERROR(__xludf.DUMMYFUNCTION("""COMPUTED_VALUE"""),"Male")</f>
        <v>Male</v>
      </c>
      <c r="D424" s="5"/>
      <c r="E424" s="5" t="str">
        <f ca="1">IFERROR(__xludf.DUMMYFUNCTION("""COMPUTED_VALUE"""),"No Relation")</f>
        <v>No Relation</v>
      </c>
      <c r="F424" s="5" t="str">
        <f ca="1">IFERROR(__xludf.DUMMYFUNCTION("""COMPUTED_VALUE"""),"Fled/Escaped")</f>
        <v>Fled/Escaped</v>
      </c>
      <c r="G424" s="5" t="str">
        <f ca="1">IFERROR(__xludf.DUMMYFUNCTION("""COMPUTED_VALUE"""),"No")</f>
        <v>No</v>
      </c>
      <c r="H424" s="5" t="str">
        <f ca="1">IFERROR(__xludf.DUMMYFUNCTION("""COMPUTED_VALUE"""),"None")</f>
        <v>None</v>
      </c>
    </row>
    <row r="425" spans="1:8" ht="13">
      <c r="A425" s="5" t="str">
        <f ca="1">IFERROR(__xludf.DUMMYFUNCTION("""COMPUTED_VALUE"""),"20220208NYMOM")</f>
        <v>20220208NYMOM</v>
      </c>
      <c r="B425" s="5"/>
      <c r="C425" s="5"/>
      <c r="D425" s="5"/>
      <c r="E425" s="5"/>
      <c r="F425" s="5" t="str">
        <f ca="1">IFERROR(__xludf.DUMMYFUNCTION("""COMPUTED_VALUE"""),"Fled/Escaped")</f>
        <v>Fled/Escaped</v>
      </c>
      <c r="G425" s="5" t="str">
        <f ca="1">IFERROR(__xludf.DUMMYFUNCTION("""COMPUTED_VALUE"""),"No")</f>
        <v>No</v>
      </c>
      <c r="H425" s="5" t="str">
        <f ca="1">IFERROR(__xludf.DUMMYFUNCTION("""COMPUTED_VALUE"""),"None")</f>
        <v>None</v>
      </c>
    </row>
    <row r="426" spans="1:8" ht="13">
      <c r="A426" s="5" t="str">
        <f ca="1">IFERROR(__xludf.DUMMYFUNCTION("""COMPUTED_VALUE"""),"20220208MDCAC")</f>
        <v>20220208MDCAC</v>
      </c>
      <c r="B426" s="5">
        <f ca="1">IFERROR(__xludf.DUMMYFUNCTION("""COMPUTED_VALUE"""),16)</f>
        <v>16</v>
      </c>
      <c r="C426" s="5" t="str">
        <f ca="1">IFERROR(__xludf.DUMMYFUNCTION("""COMPUTED_VALUE"""),"Male")</f>
        <v>Male</v>
      </c>
      <c r="D426" s="5"/>
      <c r="E426" s="5" t="str">
        <f ca="1">IFERROR(__xludf.DUMMYFUNCTION("""COMPUTED_VALUE"""),"Student")</f>
        <v>Student</v>
      </c>
      <c r="F426" s="5" t="str">
        <f ca="1">IFERROR(__xludf.DUMMYFUNCTION("""COMPUTED_VALUE"""),"Fled/Apprehended")</f>
        <v>Fled/Apprehended</v>
      </c>
      <c r="G426" s="5" t="str">
        <f ca="1">IFERROR(__xludf.DUMMYFUNCTION("""COMPUTED_VALUE"""),"No")</f>
        <v>No</v>
      </c>
      <c r="H426" s="5" t="str">
        <f ca="1">IFERROR(__xludf.DUMMYFUNCTION("""COMPUTED_VALUE"""),"None")</f>
        <v>None</v>
      </c>
    </row>
    <row r="427" spans="1:8" ht="13">
      <c r="A427" s="5" t="str">
        <f ca="1">IFERROR(__xludf.DUMMYFUNCTION("""COMPUTED_VALUE"""),"20220204GASOD")</f>
        <v>20220204GASOD</v>
      </c>
      <c r="B427" s="5" t="str">
        <f ca="1">IFERROR(__xludf.DUMMYFUNCTION("""COMPUTED_VALUE"""),"Teen")</f>
        <v>Teen</v>
      </c>
      <c r="C427" s="5" t="str">
        <f ca="1">IFERROR(__xludf.DUMMYFUNCTION("""COMPUTED_VALUE"""),"Male")</f>
        <v>Male</v>
      </c>
      <c r="D427" s="5"/>
      <c r="E427" s="5" t="str">
        <f ca="1">IFERROR(__xludf.DUMMYFUNCTION("""COMPUTED_VALUE"""),"Student")</f>
        <v>Student</v>
      </c>
      <c r="F427" s="5"/>
      <c r="G427" s="5" t="str">
        <f ca="1">IFERROR(__xludf.DUMMYFUNCTION("""COMPUTED_VALUE"""),"No")</f>
        <v>No</v>
      </c>
      <c r="H427" s="5" t="str">
        <f ca="1">IFERROR(__xludf.DUMMYFUNCTION("""COMPUTED_VALUE"""),"Wounded")</f>
        <v>Wounded</v>
      </c>
    </row>
    <row r="428" spans="1:8" ht="13">
      <c r="A428" s="5" t="str">
        <f ca="1">IFERROR(__xludf.DUMMYFUNCTION("""COMPUTED_VALUE"""),"20220204ALWEB")</f>
        <v>20220204ALWEB</v>
      </c>
      <c r="B428" s="5"/>
      <c r="C428" s="5"/>
      <c r="D428" s="5"/>
      <c r="E428" s="5"/>
      <c r="F428" s="5" t="str">
        <f ca="1">IFERROR(__xludf.DUMMYFUNCTION("""COMPUTED_VALUE"""),"Fled/Escaped")</f>
        <v>Fled/Escaped</v>
      </c>
      <c r="G428" s="5" t="str">
        <f ca="1">IFERROR(__xludf.DUMMYFUNCTION("""COMPUTED_VALUE"""),"No")</f>
        <v>No</v>
      </c>
      <c r="H428" s="5" t="str">
        <f ca="1">IFERROR(__xludf.DUMMYFUNCTION("""COMPUTED_VALUE"""),"None")</f>
        <v>None</v>
      </c>
    </row>
    <row r="429" spans="1:8" ht="13">
      <c r="A429" s="5" t="str">
        <f ca="1">IFERROR(__xludf.DUMMYFUNCTION("""COMPUTED_VALUE"""),"20220203NCSPS")</f>
        <v>20220203NCSPS</v>
      </c>
      <c r="B429" s="5"/>
      <c r="C429" s="5"/>
      <c r="D429" s="5"/>
      <c r="E429" s="5"/>
      <c r="F429" s="5" t="str">
        <f ca="1">IFERROR(__xludf.DUMMYFUNCTION("""COMPUTED_VALUE"""),"Fled/Escaped")</f>
        <v>Fled/Escaped</v>
      </c>
      <c r="G429" s="5" t="str">
        <f ca="1">IFERROR(__xludf.DUMMYFUNCTION("""COMPUTED_VALUE"""),"No")</f>
        <v>No</v>
      </c>
      <c r="H429" s="5" t="str">
        <f ca="1">IFERROR(__xludf.DUMMYFUNCTION("""COMPUTED_VALUE"""),"None")</f>
        <v>None</v>
      </c>
    </row>
    <row r="430" spans="1:8" ht="13">
      <c r="A430" s="5" t="str">
        <f ca="1">IFERROR(__xludf.DUMMYFUNCTION("""COMPUTED_VALUE"""),"20220202KYLOR")</f>
        <v>20220202KYLOR</v>
      </c>
      <c r="B430" s="5"/>
      <c r="C430" s="5"/>
      <c r="D430" s="5"/>
      <c r="E430" s="5"/>
      <c r="F430" s="5" t="str">
        <f ca="1">IFERROR(__xludf.DUMMYFUNCTION("""COMPUTED_VALUE"""),"Fled/Escaped")</f>
        <v>Fled/Escaped</v>
      </c>
      <c r="G430" s="5" t="str">
        <f ca="1">IFERROR(__xludf.DUMMYFUNCTION("""COMPUTED_VALUE"""),"No")</f>
        <v>No</v>
      </c>
      <c r="H430" s="5" t="str">
        <f ca="1">IFERROR(__xludf.DUMMYFUNCTION("""COMPUTED_VALUE"""),"None")</f>
        <v>None</v>
      </c>
    </row>
    <row r="431" spans="1:8" ht="13">
      <c r="A431" s="5" t="str">
        <f ca="1">IFERROR(__xludf.DUMMYFUNCTION("""COMPUTED_VALUE"""),"20220201WIRUM")</f>
        <v>20220201WIRUM</v>
      </c>
      <c r="B431" s="5">
        <f ca="1">IFERROR(__xludf.DUMMYFUNCTION("""COMPUTED_VALUE"""),34)</f>
        <v>34</v>
      </c>
      <c r="C431" s="5" t="str">
        <f ca="1">IFERROR(__xludf.DUMMYFUNCTION("""COMPUTED_VALUE"""),"Male")</f>
        <v>Male</v>
      </c>
      <c r="D431" s="5"/>
      <c r="E431" s="5" t="str">
        <f ca="1">IFERROR(__xludf.DUMMYFUNCTION("""COMPUTED_VALUE"""),"Nonstudent Using Athletic Facilities/Attending Game")</f>
        <v>Nonstudent Using Athletic Facilities/Attending Game</v>
      </c>
      <c r="F431" s="5" t="str">
        <f ca="1">IFERROR(__xludf.DUMMYFUNCTION("""COMPUTED_VALUE"""),"Fled/Escaped")</f>
        <v>Fled/Escaped</v>
      </c>
      <c r="G431" s="5" t="str">
        <f ca="1">IFERROR(__xludf.DUMMYFUNCTION("""COMPUTED_VALUE"""),"No")</f>
        <v>No</v>
      </c>
      <c r="H431" s="5" t="str">
        <f ca="1">IFERROR(__xludf.DUMMYFUNCTION("""COMPUTED_VALUE"""),"None")</f>
        <v>None</v>
      </c>
    </row>
    <row r="432" spans="1:8" ht="13">
      <c r="A432" s="5" t="str">
        <f ca="1">IFERROR(__xludf.DUMMYFUNCTION("""COMPUTED_VALUE"""),"20220201MNSOR")</f>
        <v>20220201MNSOR</v>
      </c>
      <c r="B432" s="5">
        <f ca="1">IFERROR(__xludf.DUMMYFUNCTION("""COMPUTED_VALUE"""),18)</f>
        <v>18</v>
      </c>
      <c r="C432" s="5" t="str">
        <f ca="1">IFERROR(__xludf.DUMMYFUNCTION("""COMPUTED_VALUE"""),"Male")</f>
        <v>Male</v>
      </c>
      <c r="D432" s="5" t="str">
        <f ca="1">IFERROR(__xludf.DUMMYFUNCTION("""COMPUTED_VALUE"""),"Hispanic")</f>
        <v>Hispanic</v>
      </c>
      <c r="E432" s="5" t="str">
        <f ca="1">IFERROR(__xludf.DUMMYFUNCTION("""COMPUTED_VALUE"""),"Student")</f>
        <v>Student</v>
      </c>
      <c r="F432" s="5" t="str">
        <f ca="1">IFERROR(__xludf.DUMMYFUNCTION("""COMPUTED_VALUE"""),"Fled/Apprehended")</f>
        <v>Fled/Apprehended</v>
      </c>
      <c r="G432" s="5" t="str">
        <f ca="1">IFERROR(__xludf.DUMMYFUNCTION("""COMPUTED_VALUE"""),"No")</f>
        <v>No</v>
      </c>
      <c r="H432" s="5" t="str">
        <f ca="1">IFERROR(__xludf.DUMMYFUNCTION("""COMPUTED_VALUE"""),"None")</f>
        <v>None</v>
      </c>
    </row>
    <row r="433" spans="1:8" ht="13">
      <c r="A433" s="5" t="str">
        <f ca="1">IFERROR(__xludf.DUMMYFUNCTION("""COMPUTED_VALUE"""),"20220201MNSOR")</f>
        <v>20220201MNSOR</v>
      </c>
      <c r="B433" s="5">
        <f ca="1">IFERROR(__xludf.DUMMYFUNCTION("""COMPUTED_VALUE"""),19)</f>
        <v>19</v>
      </c>
      <c r="C433" s="5" t="str">
        <f ca="1">IFERROR(__xludf.DUMMYFUNCTION("""COMPUTED_VALUE"""),"Male")</f>
        <v>Male</v>
      </c>
      <c r="D433" s="5" t="str">
        <f ca="1">IFERROR(__xludf.DUMMYFUNCTION("""COMPUTED_VALUE"""),"Hispanic")</f>
        <v>Hispanic</v>
      </c>
      <c r="E433" s="5" t="str">
        <f ca="1">IFERROR(__xludf.DUMMYFUNCTION("""COMPUTED_VALUE"""),"Student")</f>
        <v>Student</v>
      </c>
      <c r="F433" s="5" t="str">
        <f ca="1">IFERROR(__xludf.DUMMYFUNCTION("""COMPUTED_VALUE"""),"Fled/Apprehended")</f>
        <v>Fled/Apprehended</v>
      </c>
      <c r="G433" s="5" t="str">
        <f ca="1">IFERROR(__xludf.DUMMYFUNCTION("""COMPUTED_VALUE"""),"No")</f>
        <v>No</v>
      </c>
      <c r="H433" s="5" t="str">
        <f ca="1">IFERROR(__xludf.DUMMYFUNCTION("""COMPUTED_VALUE"""),"None")</f>
        <v>None</v>
      </c>
    </row>
    <row r="434" spans="1:8" ht="13">
      <c r="A434" s="5" t="str">
        <f ca="1">IFERROR(__xludf.DUMMYFUNCTION("""COMPUTED_VALUE"""),"20220201ILALC")</f>
        <v>20220201ILALC</v>
      </c>
      <c r="B434" s="5" t="str">
        <f ca="1">IFERROR(__xludf.DUMMYFUNCTION("""COMPUTED_VALUE"""),"Adult")</f>
        <v>Adult</v>
      </c>
      <c r="C434" s="5" t="str">
        <f ca="1">IFERROR(__xludf.DUMMYFUNCTION("""COMPUTED_VALUE"""),"Male")</f>
        <v>Male</v>
      </c>
      <c r="D434" s="5"/>
      <c r="E434" s="5" t="str">
        <f ca="1">IFERROR(__xludf.DUMMYFUNCTION("""COMPUTED_VALUE"""),"No Relation")</f>
        <v>No Relation</v>
      </c>
      <c r="F434" s="5" t="str">
        <f ca="1">IFERROR(__xludf.DUMMYFUNCTION("""COMPUTED_VALUE"""),"Fled/Escaped")</f>
        <v>Fled/Escaped</v>
      </c>
      <c r="G434" s="5" t="str">
        <f ca="1">IFERROR(__xludf.DUMMYFUNCTION("""COMPUTED_VALUE"""),"No")</f>
        <v>No</v>
      </c>
      <c r="H434" s="5" t="str">
        <f ca="1">IFERROR(__xludf.DUMMYFUNCTION("""COMPUTED_VALUE"""),"None")</f>
        <v>None</v>
      </c>
    </row>
    <row r="435" spans="1:8" ht="13">
      <c r="A435" s="5" t="str">
        <f ca="1">IFERROR(__xludf.DUMMYFUNCTION("""COMPUTED_VALUE"""),"20220129WIBEB")</f>
        <v>20220129WIBEB</v>
      </c>
      <c r="B435" s="5" t="str">
        <f ca="1">IFERROR(__xludf.DUMMYFUNCTION("""COMPUTED_VALUE"""),"Adult")</f>
        <v>Adult</v>
      </c>
      <c r="C435" s="5" t="str">
        <f ca="1">IFERROR(__xludf.DUMMYFUNCTION("""COMPUTED_VALUE"""),"Male")</f>
        <v>Male</v>
      </c>
      <c r="D435" s="5"/>
      <c r="E435" s="5"/>
      <c r="F435" s="5" t="str">
        <f ca="1">IFERROR(__xludf.DUMMYFUNCTION("""COMPUTED_VALUE"""),"Fled/Escaped")</f>
        <v>Fled/Escaped</v>
      </c>
      <c r="G435" s="5" t="str">
        <f ca="1">IFERROR(__xludf.DUMMYFUNCTION("""COMPUTED_VALUE"""),"No")</f>
        <v>No</v>
      </c>
      <c r="H435" s="5" t="str">
        <f ca="1">IFERROR(__xludf.DUMMYFUNCTION("""COMPUTED_VALUE"""),"None")</f>
        <v>None</v>
      </c>
    </row>
    <row r="436" spans="1:8" ht="13">
      <c r="A436" s="5" t="str">
        <f ca="1">IFERROR(__xludf.DUMMYFUNCTION("""COMPUTED_VALUE"""),"20220128LACAM")</f>
        <v>20220128LACAM</v>
      </c>
      <c r="B436" s="5" t="str">
        <f ca="1">IFERROR(__xludf.DUMMYFUNCTION("""COMPUTED_VALUE"""),"Adult")</f>
        <v>Adult</v>
      </c>
      <c r="C436" s="5" t="str">
        <f ca="1">IFERROR(__xludf.DUMMYFUNCTION("""COMPUTED_VALUE"""),"Male")</f>
        <v>Male</v>
      </c>
      <c r="D436" s="5"/>
      <c r="E436" s="5" t="str">
        <f ca="1">IFERROR(__xludf.DUMMYFUNCTION("""COMPUTED_VALUE"""),"No Relation")</f>
        <v>No Relation</v>
      </c>
      <c r="F436" s="5" t="str">
        <f ca="1">IFERROR(__xludf.DUMMYFUNCTION("""COMPUTED_VALUE"""),"Fled/Escaped")</f>
        <v>Fled/Escaped</v>
      </c>
      <c r="G436" s="5" t="str">
        <f ca="1">IFERROR(__xludf.DUMMYFUNCTION("""COMPUTED_VALUE"""),"No")</f>
        <v>No</v>
      </c>
      <c r="H436" s="5" t="str">
        <f ca="1">IFERROR(__xludf.DUMMYFUNCTION("""COMPUTED_VALUE"""),"None")</f>
        <v>None</v>
      </c>
    </row>
    <row r="437" spans="1:8" ht="13">
      <c r="A437" s="5" t="str">
        <f ca="1">IFERROR(__xludf.DUMMYFUNCTION("""COMPUTED_VALUE"""),"20220127TXMOH")</f>
        <v>20220127TXMOH</v>
      </c>
      <c r="B437" s="5" t="str">
        <f ca="1">IFERROR(__xludf.DUMMYFUNCTION("""COMPUTED_VALUE"""),"Adult")</f>
        <v>Adult</v>
      </c>
      <c r="C437" s="5" t="str">
        <f ca="1">IFERROR(__xludf.DUMMYFUNCTION("""COMPUTED_VALUE"""),"Male")</f>
        <v>Male</v>
      </c>
      <c r="D437" s="5"/>
      <c r="E437" s="5" t="str">
        <f ca="1">IFERROR(__xludf.DUMMYFUNCTION("""COMPUTED_VALUE"""),"No Relation")</f>
        <v>No Relation</v>
      </c>
      <c r="F437" s="5" t="str">
        <f ca="1">IFERROR(__xludf.DUMMYFUNCTION("""COMPUTED_VALUE"""),"Fled/Escaped")</f>
        <v>Fled/Escaped</v>
      </c>
      <c r="G437" s="5" t="str">
        <f ca="1">IFERROR(__xludf.DUMMYFUNCTION("""COMPUTED_VALUE"""),"No")</f>
        <v>No</v>
      </c>
      <c r="H437" s="5" t="str">
        <f ca="1">IFERROR(__xludf.DUMMYFUNCTION("""COMPUTED_VALUE"""),"None")</f>
        <v>None</v>
      </c>
    </row>
    <row r="438" spans="1:8" ht="13">
      <c r="A438" s="5" t="str">
        <f ca="1">IFERROR(__xludf.DUMMYFUNCTION("""COMPUTED_VALUE"""),"20220126PABAP")</f>
        <v>20220126PABAP</v>
      </c>
      <c r="B438" s="5"/>
      <c r="C438" s="5"/>
      <c r="D438" s="5"/>
      <c r="E438" s="5"/>
      <c r="F438" s="5" t="str">
        <f ca="1">IFERROR(__xludf.DUMMYFUNCTION("""COMPUTED_VALUE"""),"Fled/Escaped")</f>
        <v>Fled/Escaped</v>
      </c>
      <c r="G438" s="5" t="str">
        <f ca="1">IFERROR(__xludf.DUMMYFUNCTION("""COMPUTED_VALUE"""),"No")</f>
        <v>No</v>
      </c>
      <c r="H438" s="5" t="str">
        <f ca="1">IFERROR(__xludf.DUMMYFUNCTION("""COMPUTED_VALUE"""),"None")</f>
        <v>None</v>
      </c>
    </row>
    <row r="439" spans="1:8" ht="13">
      <c r="A439" s="5" t="str">
        <f ca="1">IFERROR(__xludf.DUMMYFUNCTION("""COMPUTED_VALUE"""),"20220124NVSUL")</f>
        <v>20220124NVSUL</v>
      </c>
      <c r="B439" s="5"/>
      <c r="C439" s="5"/>
      <c r="D439" s="5"/>
      <c r="E439" s="5"/>
      <c r="F439" s="5" t="str">
        <f ca="1">IFERROR(__xludf.DUMMYFUNCTION("""COMPUTED_VALUE"""),"Fled/Escaped")</f>
        <v>Fled/Escaped</v>
      </c>
      <c r="G439" s="5" t="str">
        <f ca="1">IFERROR(__xludf.DUMMYFUNCTION("""COMPUTED_VALUE"""),"No")</f>
        <v>No</v>
      </c>
      <c r="H439" s="5" t="str">
        <f ca="1">IFERROR(__xludf.DUMMYFUNCTION("""COMPUTED_VALUE"""),"None")</f>
        <v>None</v>
      </c>
    </row>
    <row r="440" spans="1:8" ht="13">
      <c r="A440" s="5" t="str">
        <f ca="1">IFERROR(__xludf.DUMMYFUNCTION("""COMPUTED_VALUE"""),"20220124IDDAD")</f>
        <v>20220124IDDAD</v>
      </c>
      <c r="B440" s="5">
        <f ca="1">IFERROR(__xludf.DUMMYFUNCTION("""COMPUTED_VALUE"""),40)</f>
        <v>40</v>
      </c>
      <c r="C440" s="5" t="str">
        <f ca="1">IFERROR(__xludf.DUMMYFUNCTION("""COMPUTED_VALUE"""),"Male")</f>
        <v>Male</v>
      </c>
      <c r="D440" s="5" t="str">
        <f ca="1">IFERROR(__xludf.DUMMYFUNCTION("""COMPUTED_VALUE"""),"White")</f>
        <v>White</v>
      </c>
      <c r="E440" s="5" t="str">
        <f ca="1">IFERROR(__xludf.DUMMYFUNCTION("""COMPUTED_VALUE"""),"No Relation")</f>
        <v>No Relation</v>
      </c>
      <c r="F440" s="5" t="str">
        <f ca="1">IFERROR(__xludf.DUMMYFUNCTION("""COMPUTED_VALUE"""),"Apprehended/Killed by LE")</f>
        <v>Apprehended/Killed by LE</v>
      </c>
      <c r="G440" s="5" t="str">
        <f ca="1">IFERROR(__xludf.DUMMYFUNCTION("""COMPUTED_VALUE"""),"No")</f>
        <v>No</v>
      </c>
      <c r="H440" s="5" t="str">
        <f ca="1">IFERROR(__xludf.DUMMYFUNCTION("""COMPUTED_VALUE"""),"None")</f>
        <v>None</v>
      </c>
    </row>
    <row r="441" spans="1:8" ht="13">
      <c r="A441" s="5" t="str">
        <f ca="1">IFERROR(__xludf.DUMMYFUNCTION("""COMPUTED_VALUE"""),"20220121MDMAR")</f>
        <v>20220121MDMAR</v>
      </c>
      <c r="B441" s="5">
        <f ca="1">IFERROR(__xludf.DUMMYFUNCTION("""COMPUTED_VALUE"""),17)</f>
        <v>17</v>
      </c>
      <c r="C441" s="5" t="str">
        <f ca="1">IFERROR(__xludf.DUMMYFUNCTION("""COMPUTED_VALUE"""),"Male")</f>
        <v>Male</v>
      </c>
      <c r="D441" s="5"/>
      <c r="E441" s="5" t="str">
        <f ca="1">IFERROR(__xludf.DUMMYFUNCTION("""COMPUTED_VALUE"""),"Student")</f>
        <v>Student</v>
      </c>
      <c r="F441" s="5" t="str">
        <f ca="1">IFERROR(__xludf.DUMMYFUNCTION("""COMPUTED_VALUE"""),"Fled/Apprehended")</f>
        <v>Fled/Apprehended</v>
      </c>
      <c r="G441" s="5" t="str">
        <f ca="1">IFERROR(__xludf.DUMMYFUNCTION("""COMPUTED_VALUE"""),"No")</f>
        <v>No</v>
      </c>
      <c r="H441" s="5" t="str">
        <f ca="1">IFERROR(__xludf.DUMMYFUNCTION("""COMPUTED_VALUE"""),"None")</f>
        <v>None</v>
      </c>
    </row>
    <row r="442" spans="1:8" ht="13">
      <c r="A442" s="5" t="str">
        <f ca="1">IFERROR(__xludf.DUMMYFUNCTION("""COMPUTED_VALUE"""),"20220121GAMCA")</f>
        <v>20220121GAMCA</v>
      </c>
      <c r="B442" s="5">
        <f ca="1">IFERROR(__xludf.DUMMYFUNCTION("""COMPUTED_VALUE"""),19)</f>
        <v>19</v>
      </c>
      <c r="C442" s="5" t="str">
        <f ca="1">IFERROR(__xludf.DUMMYFUNCTION("""COMPUTED_VALUE"""),"Male")</f>
        <v>Male</v>
      </c>
      <c r="D442" s="5" t="str">
        <f ca="1">IFERROR(__xludf.DUMMYFUNCTION("""COMPUTED_VALUE"""),"Black")</f>
        <v>Black</v>
      </c>
      <c r="E442" s="5" t="str">
        <f ca="1">IFERROR(__xludf.DUMMYFUNCTION("""COMPUTED_VALUE"""),"Student")</f>
        <v>Student</v>
      </c>
      <c r="F442" s="5" t="str">
        <f ca="1">IFERROR(__xludf.DUMMYFUNCTION("""COMPUTED_VALUE"""),"Fled/Apprehended")</f>
        <v>Fled/Apprehended</v>
      </c>
      <c r="G442" s="5" t="str">
        <f ca="1">IFERROR(__xludf.DUMMYFUNCTION("""COMPUTED_VALUE"""),"No")</f>
        <v>No</v>
      </c>
      <c r="H442" s="5" t="str">
        <f ca="1">IFERROR(__xludf.DUMMYFUNCTION("""COMPUTED_VALUE"""),"None")</f>
        <v>None</v>
      </c>
    </row>
    <row r="443" spans="1:8" ht="13">
      <c r="A443" s="5" t="str">
        <f ca="1">IFERROR(__xludf.DUMMYFUNCTION("""COMPUTED_VALUE"""),"20220119VAMAP")</f>
        <v>20220119VAMAP</v>
      </c>
      <c r="B443" s="5">
        <f ca="1">IFERROR(__xludf.DUMMYFUNCTION("""COMPUTED_VALUE"""),19)</f>
        <v>19</v>
      </c>
      <c r="C443" s="5" t="str">
        <f ca="1">IFERROR(__xludf.DUMMYFUNCTION("""COMPUTED_VALUE"""),"Male")</f>
        <v>Male</v>
      </c>
      <c r="D443" s="5"/>
      <c r="E443" s="5"/>
      <c r="F443" s="5" t="str">
        <f ca="1">IFERROR(__xludf.DUMMYFUNCTION("""COMPUTED_VALUE"""),"Fled/Apprehended")</f>
        <v>Fled/Apprehended</v>
      </c>
      <c r="G443" s="5" t="str">
        <f ca="1">IFERROR(__xludf.DUMMYFUNCTION("""COMPUTED_VALUE"""),"No")</f>
        <v>No</v>
      </c>
      <c r="H443" s="5" t="str">
        <f ca="1">IFERROR(__xludf.DUMMYFUNCTION("""COMPUTED_VALUE"""),"None")</f>
        <v>None</v>
      </c>
    </row>
    <row r="444" spans="1:8" ht="13">
      <c r="A444" s="5" t="str">
        <f ca="1">IFERROR(__xludf.DUMMYFUNCTION("""COMPUTED_VALUE"""),"20220119VAMAP")</f>
        <v>20220119VAMAP</v>
      </c>
      <c r="B444" s="5">
        <f ca="1">IFERROR(__xludf.DUMMYFUNCTION("""COMPUTED_VALUE"""),18)</f>
        <v>18</v>
      </c>
      <c r="C444" s="5" t="str">
        <f ca="1">IFERROR(__xludf.DUMMYFUNCTION("""COMPUTED_VALUE"""),"Male")</f>
        <v>Male</v>
      </c>
      <c r="D444" s="5"/>
      <c r="E444" s="5"/>
      <c r="F444" s="5" t="str">
        <f ca="1">IFERROR(__xludf.DUMMYFUNCTION("""COMPUTED_VALUE"""),"Fled/Apprehended")</f>
        <v>Fled/Apprehended</v>
      </c>
      <c r="G444" s="5" t="str">
        <f ca="1">IFERROR(__xludf.DUMMYFUNCTION("""COMPUTED_VALUE"""),"No")</f>
        <v>No</v>
      </c>
      <c r="H444" s="5" t="str">
        <f ca="1">IFERROR(__xludf.DUMMYFUNCTION("""COMPUTED_VALUE"""),"None")</f>
        <v>None</v>
      </c>
    </row>
    <row r="445" spans="1:8" ht="13">
      <c r="A445" s="5" t="str">
        <f ca="1">IFERROR(__xludf.DUMMYFUNCTION("""COMPUTED_VALUE"""),"20220119VAMAP")</f>
        <v>20220119VAMAP</v>
      </c>
      <c r="B445" s="5" t="str">
        <f ca="1">IFERROR(__xludf.DUMMYFUNCTION("""COMPUTED_VALUE"""),"Teen")</f>
        <v>Teen</v>
      </c>
      <c r="C445" s="5" t="str">
        <f ca="1">IFERROR(__xludf.DUMMYFUNCTION("""COMPUTED_VALUE"""),"Male")</f>
        <v>Male</v>
      </c>
      <c r="D445" s="5"/>
      <c r="E445" s="5"/>
      <c r="F445" s="5" t="str">
        <f ca="1">IFERROR(__xludf.DUMMYFUNCTION("""COMPUTED_VALUE"""),"Fled/Apprehended")</f>
        <v>Fled/Apprehended</v>
      </c>
      <c r="G445" s="5" t="str">
        <f ca="1">IFERROR(__xludf.DUMMYFUNCTION("""COMPUTED_VALUE"""),"No")</f>
        <v>No</v>
      </c>
      <c r="H445" s="5" t="str">
        <f ca="1">IFERROR(__xludf.DUMMYFUNCTION("""COMPUTED_VALUE"""),"None")</f>
        <v>None</v>
      </c>
    </row>
    <row r="446" spans="1:8" ht="13">
      <c r="A446" s="5" t="str">
        <f ca="1">IFERROR(__xludf.DUMMYFUNCTION("""COMPUTED_VALUE"""),"20220119PAPIP")</f>
        <v>20220119PAPIP</v>
      </c>
      <c r="B446" s="5"/>
      <c r="C446" s="5" t="str">
        <f ca="1">IFERROR(__xludf.DUMMYFUNCTION("""COMPUTED_VALUE"""),"Male")</f>
        <v>Male</v>
      </c>
      <c r="D446" s="5"/>
      <c r="E446" s="5"/>
      <c r="F446" s="5" t="str">
        <f ca="1">IFERROR(__xludf.DUMMYFUNCTION("""COMPUTED_VALUE"""),"Fled/Escaped")</f>
        <v>Fled/Escaped</v>
      </c>
      <c r="G446" s="5" t="str">
        <f ca="1">IFERROR(__xludf.DUMMYFUNCTION("""COMPUTED_VALUE"""),"No")</f>
        <v>No</v>
      </c>
      <c r="H446" s="5" t="str">
        <f ca="1">IFERROR(__xludf.DUMMYFUNCTION("""COMPUTED_VALUE"""),"None")</f>
        <v>None</v>
      </c>
    </row>
    <row r="447" spans="1:8" ht="13">
      <c r="A447" s="5" t="str">
        <f ca="1">IFERROR(__xludf.DUMMYFUNCTION("""COMPUTED_VALUE"""),"20220119PAPIP")</f>
        <v>20220119PAPIP</v>
      </c>
      <c r="B447" s="5"/>
      <c r="C447" s="5" t="str">
        <f ca="1">IFERROR(__xludf.DUMMYFUNCTION("""COMPUTED_VALUE"""),"Male")</f>
        <v>Male</v>
      </c>
      <c r="D447" s="5"/>
      <c r="E447" s="5"/>
      <c r="F447" s="5" t="str">
        <f ca="1">IFERROR(__xludf.DUMMYFUNCTION("""COMPUTED_VALUE"""),"Fled/Escaped")</f>
        <v>Fled/Escaped</v>
      </c>
      <c r="G447" s="5" t="str">
        <f ca="1">IFERROR(__xludf.DUMMYFUNCTION("""COMPUTED_VALUE"""),"No")</f>
        <v>No</v>
      </c>
      <c r="H447" s="5" t="str">
        <f ca="1">IFERROR(__xludf.DUMMYFUNCTION("""COMPUTED_VALUE"""),"None")</f>
        <v>None</v>
      </c>
    </row>
    <row r="448" spans="1:8" ht="13">
      <c r="A448" s="5" t="str">
        <f ca="1">IFERROR(__xludf.DUMMYFUNCTION("""COMPUTED_VALUE"""),"20220119FLSES")</f>
        <v>20220119FLSES</v>
      </c>
      <c r="B448" s="5">
        <f ca="1">IFERROR(__xludf.DUMMYFUNCTION("""COMPUTED_VALUE"""),16)</f>
        <v>16</v>
      </c>
      <c r="C448" s="5" t="str">
        <f ca="1">IFERROR(__xludf.DUMMYFUNCTION("""COMPUTED_VALUE"""),"Male")</f>
        <v>Male</v>
      </c>
      <c r="D448" s="5" t="str">
        <f ca="1">IFERROR(__xludf.DUMMYFUNCTION("""COMPUTED_VALUE"""),"Black")</f>
        <v>Black</v>
      </c>
      <c r="E448" s="5" t="str">
        <f ca="1">IFERROR(__xludf.DUMMYFUNCTION("""COMPUTED_VALUE"""),"Student")</f>
        <v>Student</v>
      </c>
      <c r="F448" s="5" t="str">
        <f ca="1">IFERROR(__xludf.DUMMYFUNCTION("""COMPUTED_VALUE"""),"Fled/Apprehended")</f>
        <v>Fled/Apprehended</v>
      </c>
      <c r="G448" s="5" t="str">
        <f ca="1">IFERROR(__xludf.DUMMYFUNCTION("""COMPUTED_VALUE"""),"No")</f>
        <v>No</v>
      </c>
      <c r="H448" s="5" t="str">
        <f ca="1">IFERROR(__xludf.DUMMYFUNCTION("""COMPUTED_VALUE"""),"None")</f>
        <v>None</v>
      </c>
    </row>
    <row r="449" spans="1:8" ht="13">
      <c r="A449" s="5" t="str">
        <f ca="1">IFERROR(__xludf.DUMMYFUNCTION("""COMPUTED_VALUE"""),"20220119DCANW")</f>
        <v>20220119DCANW</v>
      </c>
      <c r="B449" s="5" t="str">
        <f ca="1">IFERROR(__xludf.DUMMYFUNCTION("""COMPUTED_VALUE"""),"Adult")</f>
        <v>Adult</v>
      </c>
      <c r="C449" s="5" t="str">
        <f ca="1">IFERROR(__xludf.DUMMYFUNCTION("""COMPUTED_VALUE"""),"Male")</f>
        <v>Male</v>
      </c>
      <c r="D449" s="5"/>
      <c r="E449" s="5" t="str">
        <f ca="1">IFERROR(__xludf.DUMMYFUNCTION("""COMPUTED_VALUE"""),"No Relation")</f>
        <v>No Relation</v>
      </c>
      <c r="F449" s="5" t="str">
        <f ca="1">IFERROR(__xludf.DUMMYFUNCTION("""COMPUTED_VALUE"""),"Fled/Escaped")</f>
        <v>Fled/Escaped</v>
      </c>
      <c r="G449" s="5" t="str">
        <f ca="1">IFERROR(__xludf.DUMMYFUNCTION("""COMPUTED_VALUE"""),"No")</f>
        <v>No</v>
      </c>
      <c r="H449" s="5" t="str">
        <f ca="1">IFERROR(__xludf.DUMMYFUNCTION("""COMPUTED_VALUE"""),"None")</f>
        <v>None</v>
      </c>
    </row>
    <row r="450" spans="1:8" ht="13">
      <c r="A450" s="5" t="str">
        <f ca="1">IFERROR(__xludf.DUMMYFUNCTION("""COMPUTED_VALUE"""),"20220117TXPYH")</f>
        <v>20220117TXPYH</v>
      </c>
      <c r="B450" s="5" t="str">
        <f ca="1">IFERROR(__xludf.DUMMYFUNCTION("""COMPUTED_VALUE"""),"Adult")</f>
        <v>Adult</v>
      </c>
      <c r="C450" s="5" t="str">
        <f ca="1">IFERROR(__xludf.DUMMYFUNCTION("""COMPUTED_VALUE"""),"Male")</f>
        <v>Male</v>
      </c>
      <c r="D450" s="5"/>
      <c r="E450" s="5" t="str">
        <f ca="1">IFERROR(__xludf.DUMMYFUNCTION("""COMPUTED_VALUE"""),"No Relation")</f>
        <v>No Relation</v>
      </c>
      <c r="F450" s="5" t="str">
        <f ca="1">IFERROR(__xludf.DUMMYFUNCTION("""COMPUTED_VALUE"""),"Fled/Escaped")</f>
        <v>Fled/Escaped</v>
      </c>
      <c r="G450" s="5" t="str">
        <f ca="1">IFERROR(__xludf.DUMMYFUNCTION("""COMPUTED_VALUE"""),"No")</f>
        <v>No</v>
      </c>
      <c r="H450" s="5" t="str">
        <f ca="1">IFERROR(__xludf.DUMMYFUNCTION("""COMPUTED_VALUE"""),"None")</f>
        <v>None</v>
      </c>
    </row>
    <row r="451" spans="1:8" ht="13">
      <c r="A451" s="5" t="str">
        <f ca="1">IFERROR(__xludf.DUMMYFUNCTION("""COMPUTED_VALUE"""),"20220117TXPYH")</f>
        <v>20220117TXPYH</v>
      </c>
      <c r="B451" s="5" t="str">
        <f ca="1">IFERROR(__xludf.DUMMYFUNCTION("""COMPUTED_VALUE"""),"Adult")</f>
        <v>Adult</v>
      </c>
      <c r="C451" s="5" t="str">
        <f ca="1">IFERROR(__xludf.DUMMYFUNCTION("""COMPUTED_VALUE"""),"Male")</f>
        <v>Male</v>
      </c>
      <c r="D451" s="5"/>
      <c r="E451" s="5" t="str">
        <f ca="1">IFERROR(__xludf.DUMMYFUNCTION("""COMPUTED_VALUE"""),"No Relation")</f>
        <v>No Relation</v>
      </c>
      <c r="F451" s="5" t="str">
        <f ca="1">IFERROR(__xludf.DUMMYFUNCTION("""COMPUTED_VALUE"""),"Fled/Escaped")</f>
        <v>Fled/Escaped</v>
      </c>
      <c r="G451" s="5" t="str">
        <f ca="1">IFERROR(__xludf.DUMMYFUNCTION("""COMPUTED_VALUE"""),"No")</f>
        <v>No</v>
      </c>
      <c r="H451" s="5" t="str">
        <f ca="1">IFERROR(__xludf.DUMMYFUNCTION("""COMPUTED_VALUE"""),"None")</f>
        <v>None</v>
      </c>
    </row>
    <row r="452" spans="1:8" ht="13">
      <c r="A452" s="5" t="str">
        <f ca="1">IFERROR(__xludf.DUMMYFUNCTION("""COMPUTED_VALUE"""),"20220117TXPYH")</f>
        <v>20220117TXPYH</v>
      </c>
      <c r="B452" s="5" t="str">
        <f ca="1">IFERROR(__xludf.DUMMYFUNCTION("""COMPUTED_VALUE"""),"Adult")</f>
        <v>Adult</v>
      </c>
      <c r="C452" s="5" t="str">
        <f ca="1">IFERROR(__xludf.DUMMYFUNCTION("""COMPUTED_VALUE"""),"Male")</f>
        <v>Male</v>
      </c>
      <c r="D452" s="5"/>
      <c r="E452" s="5" t="str">
        <f ca="1">IFERROR(__xludf.DUMMYFUNCTION("""COMPUTED_VALUE"""),"No Relation")</f>
        <v>No Relation</v>
      </c>
      <c r="F452" s="5" t="str">
        <f ca="1">IFERROR(__xludf.DUMMYFUNCTION("""COMPUTED_VALUE"""),"Fled/Escaped")</f>
        <v>Fled/Escaped</v>
      </c>
      <c r="G452" s="5" t="str">
        <f ca="1">IFERROR(__xludf.DUMMYFUNCTION("""COMPUTED_VALUE"""),"No")</f>
        <v>No</v>
      </c>
      <c r="H452" s="5" t="str">
        <f ca="1">IFERROR(__xludf.DUMMYFUNCTION("""COMPUTED_VALUE"""),"None")</f>
        <v>None</v>
      </c>
    </row>
    <row r="453" spans="1:8" ht="13">
      <c r="A453" s="5" t="str">
        <f ca="1">IFERROR(__xludf.DUMMYFUNCTION("""COMPUTED_VALUE"""),"20220114MDGAG")</f>
        <v>20220114MDGAG</v>
      </c>
      <c r="B453" s="5">
        <f ca="1">IFERROR(__xludf.DUMMYFUNCTION("""COMPUTED_VALUE"""),27)</f>
        <v>27</v>
      </c>
      <c r="C453" s="5" t="str">
        <f ca="1">IFERROR(__xludf.DUMMYFUNCTION("""COMPUTED_VALUE"""),"Male")</f>
        <v>Male</v>
      </c>
      <c r="D453" s="5" t="str">
        <f ca="1">IFERROR(__xludf.DUMMYFUNCTION("""COMPUTED_VALUE"""),"Hispanic")</f>
        <v>Hispanic</v>
      </c>
      <c r="E453" s="5" t="str">
        <f ca="1">IFERROR(__xludf.DUMMYFUNCTION("""COMPUTED_VALUE"""),"No Relation")</f>
        <v>No Relation</v>
      </c>
      <c r="F453" s="5" t="str">
        <f ca="1">IFERROR(__xludf.DUMMYFUNCTION("""COMPUTED_VALUE"""),"Apprehended/Killed by LE")</f>
        <v>Apprehended/Killed by LE</v>
      </c>
      <c r="G453" s="5" t="str">
        <f ca="1">IFERROR(__xludf.DUMMYFUNCTION("""COMPUTED_VALUE"""),"No")</f>
        <v>No</v>
      </c>
      <c r="H453" s="5" t="str">
        <f ca="1">IFERROR(__xludf.DUMMYFUNCTION("""COMPUTED_VALUE"""),"None")</f>
        <v>None</v>
      </c>
    </row>
    <row r="454" spans="1:8" ht="13">
      <c r="A454" s="5" t="str">
        <f ca="1">IFERROR(__xludf.DUMMYFUNCTION("""COMPUTED_VALUE"""),"20220111NMVAA")</f>
        <v>20220111NMVAA</v>
      </c>
      <c r="B454" s="5"/>
      <c r="C454" s="5"/>
      <c r="D454" s="5"/>
      <c r="E454" s="5"/>
      <c r="F454" s="5" t="str">
        <f ca="1">IFERROR(__xludf.DUMMYFUNCTION("""COMPUTED_VALUE"""),"Fled/Escaped")</f>
        <v>Fled/Escaped</v>
      </c>
      <c r="G454" s="5" t="str">
        <f ca="1">IFERROR(__xludf.DUMMYFUNCTION("""COMPUTED_VALUE"""),"No")</f>
        <v>No</v>
      </c>
      <c r="H454" s="5" t="str">
        <f ca="1">IFERROR(__xludf.DUMMYFUNCTION("""COMPUTED_VALUE"""),"None")</f>
        <v>None</v>
      </c>
    </row>
    <row r="455" spans="1:8" ht="13">
      <c r="A455" s="5" t="str">
        <f ca="1">IFERROR(__xludf.DUMMYFUNCTION("""COMPUTED_VALUE"""),"20220106CAFLS")</f>
        <v>20220106CAFLS</v>
      </c>
      <c r="B455" s="5" t="str">
        <f ca="1">IFERROR(__xludf.DUMMYFUNCTION("""COMPUTED_VALUE"""),"Teen")</f>
        <v>Teen</v>
      </c>
      <c r="C455" s="5" t="str">
        <f ca="1">IFERROR(__xludf.DUMMYFUNCTION("""COMPUTED_VALUE"""),"Male")</f>
        <v>Male</v>
      </c>
      <c r="D455" s="5"/>
      <c r="E455" s="5" t="str">
        <f ca="1">IFERROR(__xludf.DUMMYFUNCTION("""COMPUTED_VALUE"""),"Student")</f>
        <v>Student</v>
      </c>
      <c r="F455" s="5" t="str">
        <f ca="1">IFERROR(__xludf.DUMMYFUNCTION("""COMPUTED_VALUE"""),"Fled/Escaped")</f>
        <v>Fled/Escaped</v>
      </c>
      <c r="G455" s="5" t="str">
        <f ca="1">IFERROR(__xludf.DUMMYFUNCTION("""COMPUTED_VALUE"""),"No")</f>
        <v>No</v>
      </c>
      <c r="H455" s="5" t="str">
        <f ca="1">IFERROR(__xludf.DUMMYFUNCTION("""COMPUTED_VALUE"""),"None")</f>
        <v>None</v>
      </c>
    </row>
    <row r="456" spans="1:8" ht="13">
      <c r="A456" s="5" t="str">
        <f ca="1">IFERROR(__xludf.DUMMYFUNCTION("""COMPUTED_VALUE"""),"20220104ILAUR")</f>
        <v>20220104ILAUR</v>
      </c>
      <c r="B456" s="5">
        <f ca="1">IFERROR(__xludf.DUMMYFUNCTION("""COMPUTED_VALUE"""),16)</f>
        <v>16</v>
      </c>
      <c r="C456" s="5" t="str">
        <f ca="1">IFERROR(__xludf.DUMMYFUNCTION("""COMPUTED_VALUE"""),"Male")</f>
        <v>Male</v>
      </c>
      <c r="D456" s="5"/>
      <c r="E456" s="5" t="str">
        <f ca="1">IFERROR(__xludf.DUMMYFUNCTION("""COMPUTED_VALUE"""),"Student")</f>
        <v>Student</v>
      </c>
      <c r="F456" s="5" t="str">
        <f ca="1">IFERROR(__xludf.DUMMYFUNCTION("""COMPUTED_VALUE"""),"Fled/Apprehended")</f>
        <v>Fled/Apprehended</v>
      </c>
      <c r="G456" s="5" t="str">
        <f ca="1">IFERROR(__xludf.DUMMYFUNCTION("""COMPUTED_VALUE"""),"No")</f>
        <v>No</v>
      </c>
      <c r="H456" s="5" t="str">
        <f ca="1">IFERROR(__xludf.DUMMYFUNCTION("""COMPUTED_VALUE"""),"None")</f>
        <v>None</v>
      </c>
    </row>
    <row r="457" spans="1:8" ht="13">
      <c r="A457" s="5" t="str">
        <f ca="1">IFERROR(__xludf.DUMMYFUNCTION("""COMPUTED_VALUE"""),"20220104ILAUR")</f>
        <v>20220104ILAUR</v>
      </c>
      <c r="B457" s="5">
        <f ca="1">IFERROR(__xludf.DUMMYFUNCTION("""COMPUTED_VALUE"""),17)</f>
        <v>17</v>
      </c>
      <c r="C457" s="5" t="str">
        <f ca="1">IFERROR(__xludf.DUMMYFUNCTION("""COMPUTED_VALUE"""),"Male")</f>
        <v>Male</v>
      </c>
      <c r="D457" s="5"/>
      <c r="E457" s="5" t="str">
        <f ca="1">IFERROR(__xludf.DUMMYFUNCTION("""COMPUTED_VALUE"""),"Student")</f>
        <v>Student</v>
      </c>
      <c r="F457" s="5" t="str">
        <f ca="1">IFERROR(__xludf.DUMMYFUNCTION("""COMPUTED_VALUE"""),"Fled/Apprehended")</f>
        <v>Fled/Apprehended</v>
      </c>
      <c r="G457" s="5" t="str">
        <f ca="1">IFERROR(__xludf.DUMMYFUNCTION("""COMPUTED_VALUE"""),"No")</f>
        <v>No</v>
      </c>
      <c r="H457" s="5" t="str">
        <f ca="1">IFERROR(__xludf.DUMMYFUNCTION("""COMPUTED_VALUE"""),"None")</f>
        <v>None</v>
      </c>
    </row>
    <row r="458" spans="1:8" ht="13">
      <c r="A458" s="5" t="str">
        <f ca="1">IFERROR(__xludf.DUMMYFUNCTION("""COMPUTED_VALUE"""),"20220103WACHP")</f>
        <v>20220103WACHP</v>
      </c>
      <c r="B458" s="5" t="str">
        <f ca="1">IFERROR(__xludf.DUMMYFUNCTION("""COMPUTED_VALUE"""),"Adult")</f>
        <v>Adult</v>
      </c>
      <c r="C458" s="5" t="str">
        <f ca="1">IFERROR(__xludf.DUMMYFUNCTION("""COMPUTED_VALUE"""),"Female")</f>
        <v>Female</v>
      </c>
      <c r="D458" s="5"/>
      <c r="E458" s="5" t="str">
        <f ca="1">IFERROR(__xludf.DUMMYFUNCTION("""COMPUTED_VALUE"""),"No Relation")</f>
        <v>No Relation</v>
      </c>
      <c r="F458" s="5" t="str">
        <f ca="1">IFERROR(__xludf.DUMMYFUNCTION("""COMPUTED_VALUE"""),"Fled/Apprehended")</f>
        <v>Fled/Apprehended</v>
      </c>
      <c r="G458" s="5" t="str">
        <f ca="1">IFERROR(__xludf.DUMMYFUNCTION("""COMPUTED_VALUE"""),"No")</f>
        <v>No</v>
      </c>
      <c r="H458" s="5" t="str">
        <f ca="1">IFERROR(__xludf.DUMMYFUNCTION("""COMPUTED_VALUE"""),"None")</f>
        <v>None</v>
      </c>
    </row>
    <row r="459" spans="1:8" ht="13">
      <c r="A459" s="5" t="str">
        <f ca="1">IFERROR(__xludf.DUMMYFUNCTION("""COMPUTED_VALUE"""),"20220103OHCOC")</f>
        <v>20220103OHCOC</v>
      </c>
      <c r="B459" s="5"/>
      <c r="C459" s="5"/>
      <c r="D459" s="5"/>
      <c r="E459" s="5" t="str">
        <f ca="1">IFERROR(__xludf.DUMMYFUNCTION("""COMPUTED_VALUE"""),"No Relation")</f>
        <v>No Relation</v>
      </c>
      <c r="F459" s="5" t="str">
        <f ca="1">IFERROR(__xludf.DUMMYFUNCTION("""COMPUTED_VALUE"""),"Fled/Escaped")</f>
        <v>Fled/Escaped</v>
      </c>
      <c r="G459" s="5" t="str">
        <f ca="1">IFERROR(__xludf.DUMMYFUNCTION("""COMPUTED_VALUE"""),"No")</f>
        <v>No</v>
      </c>
      <c r="H459" s="5" t="str">
        <f ca="1">IFERROR(__xludf.DUMMYFUNCTION("""COMPUTED_VALUE"""),"None")</f>
        <v>None</v>
      </c>
    </row>
    <row r="460" spans="1:8" ht="13">
      <c r="A460" s="5" t="str">
        <f ca="1">IFERROR(__xludf.DUMMYFUNCTION("""COMPUTED_VALUE"""),"20211229NCCAS")</f>
        <v>20211229NCCAS</v>
      </c>
      <c r="B460" s="5" t="str">
        <f ca="1">IFERROR(__xludf.DUMMYFUNCTION("""COMPUTED_VALUE"""),"Teen")</f>
        <v>Teen</v>
      </c>
      <c r="C460" s="5" t="str">
        <f ca="1">IFERROR(__xludf.DUMMYFUNCTION("""COMPUTED_VALUE"""),"Male")</f>
        <v>Male</v>
      </c>
      <c r="D460" s="5"/>
      <c r="E460" s="5" t="str">
        <f ca="1">IFERROR(__xludf.DUMMYFUNCTION("""COMPUTED_VALUE"""),"Student")</f>
        <v>Student</v>
      </c>
      <c r="F460" s="5" t="str">
        <f ca="1">IFERROR(__xludf.DUMMYFUNCTION("""COMPUTED_VALUE"""),"Fled/Apprehended")</f>
        <v>Fled/Apprehended</v>
      </c>
      <c r="G460" s="5" t="str">
        <f ca="1">IFERROR(__xludf.DUMMYFUNCTION("""COMPUTED_VALUE"""),"No")</f>
        <v>No</v>
      </c>
      <c r="H460" s="5" t="str">
        <f ca="1">IFERROR(__xludf.DUMMYFUNCTION("""COMPUTED_VALUE"""),"None")</f>
        <v>None</v>
      </c>
    </row>
    <row r="461" spans="1:8" ht="13">
      <c r="A461" s="5" t="str">
        <f ca="1">IFERROR(__xludf.DUMMYFUNCTION("""COMPUTED_VALUE"""),"20211229NCCAS")</f>
        <v>20211229NCCAS</v>
      </c>
      <c r="B461" s="5" t="str">
        <f ca="1">IFERROR(__xludf.DUMMYFUNCTION("""COMPUTED_VALUE"""),"Teen")</f>
        <v>Teen</v>
      </c>
      <c r="C461" s="5" t="str">
        <f ca="1">IFERROR(__xludf.DUMMYFUNCTION("""COMPUTED_VALUE"""),"Male")</f>
        <v>Male</v>
      </c>
      <c r="D461" s="5"/>
      <c r="E461" s="5" t="str">
        <f ca="1">IFERROR(__xludf.DUMMYFUNCTION("""COMPUTED_VALUE"""),"Student")</f>
        <v>Student</v>
      </c>
      <c r="F461" s="5" t="str">
        <f ca="1">IFERROR(__xludf.DUMMYFUNCTION("""COMPUTED_VALUE"""),"Fled/Apprehended")</f>
        <v>Fled/Apprehended</v>
      </c>
      <c r="G461" s="5" t="str">
        <f ca="1">IFERROR(__xludf.DUMMYFUNCTION("""COMPUTED_VALUE"""),"No")</f>
        <v>No</v>
      </c>
      <c r="H461" s="5" t="str">
        <f ca="1">IFERROR(__xludf.DUMMYFUNCTION("""COMPUTED_VALUE"""),"None")</f>
        <v>None</v>
      </c>
    </row>
    <row r="462" spans="1:8" ht="13">
      <c r="A462" s="5" t="str">
        <f ca="1">IFERROR(__xludf.DUMMYFUNCTION("""COMPUTED_VALUE"""),"20211217TXWOD")</f>
        <v>20211217TXWOD</v>
      </c>
      <c r="B462" s="5" t="str">
        <f ca="1">IFERROR(__xludf.DUMMYFUNCTION("""COMPUTED_VALUE"""),"Teen")</f>
        <v>Teen</v>
      </c>
      <c r="C462" s="5" t="str">
        <f ca="1">IFERROR(__xludf.DUMMYFUNCTION("""COMPUTED_VALUE"""),"Male")</f>
        <v>Male</v>
      </c>
      <c r="D462" s="5" t="str">
        <f ca="1">IFERROR(__xludf.DUMMYFUNCTION("""COMPUTED_VALUE"""),"White")</f>
        <v>White</v>
      </c>
      <c r="E462" s="5" t="str">
        <f ca="1">IFERROR(__xludf.DUMMYFUNCTION("""COMPUTED_VALUE"""),"Student")</f>
        <v>Student</v>
      </c>
      <c r="F462" s="5" t="str">
        <f ca="1">IFERROR(__xludf.DUMMYFUNCTION("""COMPUTED_VALUE"""),"Fled/Apprehended")</f>
        <v>Fled/Apprehended</v>
      </c>
      <c r="G462" s="5" t="str">
        <f ca="1">IFERROR(__xludf.DUMMYFUNCTION("""COMPUTED_VALUE"""),"No")</f>
        <v>No</v>
      </c>
      <c r="H462" s="5" t="str">
        <f ca="1">IFERROR(__xludf.DUMMYFUNCTION("""COMPUTED_VALUE"""),"None")</f>
        <v>None</v>
      </c>
    </row>
    <row r="463" spans="1:8" ht="13">
      <c r="A463" s="5" t="str">
        <f ca="1">IFERROR(__xludf.DUMMYFUNCTION("""COMPUTED_VALUE"""),"20211216SCEAC")</f>
        <v>20211216SCEAC</v>
      </c>
      <c r="B463" s="5">
        <f ca="1">IFERROR(__xludf.DUMMYFUNCTION("""COMPUTED_VALUE"""),15)</f>
        <v>15</v>
      </c>
      <c r="C463" s="5" t="str">
        <f ca="1">IFERROR(__xludf.DUMMYFUNCTION("""COMPUTED_VALUE"""),"Male")</f>
        <v>Male</v>
      </c>
      <c r="D463" s="5"/>
      <c r="E463" s="5" t="str">
        <f ca="1">IFERROR(__xludf.DUMMYFUNCTION("""COMPUTED_VALUE"""),"Student")</f>
        <v>Student</v>
      </c>
      <c r="F463" s="5" t="str">
        <f ca="1">IFERROR(__xludf.DUMMYFUNCTION("""COMPUTED_VALUE"""),"Fled/Apprehended")</f>
        <v>Fled/Apprehended</v>
      </c>
      <c r="G463" s="5" t="str">
        <f ca="1">IFERROR(__xludf.DUMMYFUNCTION("""COMPUTED_VALUE"""),"No")</f>
        <v>No</v>
      </c>
      <c r="H463" s="5" t="str">
        <f ca="1">IFERROR(__xludf.DUMMYFUNCTION("""COMPUTED_VALUE"""),"None")</f>
        <v>None</v>
      </c>
    </row>
    <row r="464" spans="1:8" ht="13">
      <c r="A464" s="5" t="str">
        <f ca="1">IFERROR(__xludf.DUMMYFUNCTION("""COMPUTED_VALUE"""),"20211216NYPSB")</f>
        <v>20211216NYPSB</v>
      </c>
      <c r="B464" s="5" t="str">
        <f ca="1">IFERROR(__xludf.DUMMYFUNCTION("""COMPUTED_VALUE"""),"Adult")</f>
        <v>Adult</v>
      </c>
      <c r="C464" s="5" t="str">
        <f ca="1">IFERROR(__xludf.DUMMYFUNCTION("""COMPUTED_VALUE"""),"Male")</f>
        <v>Male</v>
      </c>
      <c r="D464" s="5"/>
      <c r="E464" s="5" t="str">
        <f ca="1">IFERROR(__xludf.DUMMYFUNCTION("""COMPUTED_VALUE"""),"No Relation")</f>
        <v>No Relation</v>
      </c>
      <c r="F464" s="5" t="str">
        <f ca="1">IFERROR(__xludf.DUMMYFUNCTION("""COMPUTED_VALUE"""),"Fled/Escaped")</f>
        <v>Fled/Escaped</v>
      </c>
      <c r="G464" s="5" t="str">
        <f ca="1">IFERROR(__xludf.DUMMYFUNCTION("""COMPUTED_VALUE"""),"No")</f>
        <v>No</v>
      </c>
      <c r="H464" s="5" t="str">
        <f ca="1">IFERROR(__xludf.DUMMYFUNCTION("""COMPUTED_VALUE"""),"None")</f>
        <v>None</v>
      </c>
    </row>
    <row r="465" spans="1:8" ht="13">
      <c r="A465" s="5" t="str">
        <f ca="1">IFERROR(__xludf.DUMMYFUNCTION("""COMPUTED_VALUE"""),"20211214WISOM")</f>
        <v>20211214WISOM</v>
      </c>
      <c r="B465" s="5">
        <f ca="1">IFERROR(__xludf.DUMMYFUNCTION("""COMPUTED_VALUE"""),18)</f>
        <v>18</v>
      </c>
      <c r="C465" s="5" t="str">
        <f ca="1">IFERROR(__xludf.DUMMYFUNCTION("""COMPUTED_VALUE"""),"Male")</f>
        <v>Male</v>
      </c>
      <c r="D465" s="5" t="str">
        <f ca="1">IFERROR(__xludf.DUMMYFUNCTION("""COMPUTED_VALUE"""),"Black")</f>
        <v>Black</v>
      </c>
      <c r="E465" s="5" t="str">
        <f ca="1">IFERROR(__xludf.DUMMYFUNCTION("""COMPUTED_VALUE"""),"Student")</f>
        <v>Student</v>
      </c>
      <c r="F465" s="5" t="str">
        <f ca="1">IFERROR(__xludf.DUMMYFUNCTION("""COMPUTED_VALUE"""),"Fled/Escaped")</f>
        <v>Fled/Escaped</v>
      </c>
      <c r="G465" s="5" t="str">
        <f ca="1">IFERROR(__xludf.DUMMYFUNCTION("""COMPUTED_VALUE"""),"No")</f>
        <v>No</v>
      </c>
      <c r="H465" s="5" t="str">
        <f ca="1">IFERROR(__xludf.DUMMYFUNCTION("""COMPUTED_VALUE"""),"None")</f>
        <v>None</v>
      </c>
    </row>
    <row r="466" spans="1:8" ht="13">
      <c r="A466" s="5" t="str">
        <f ca="1">IFERROR(__xludf.DUMMYFUNCTION("""COMPUTED_VALUE"""),"20211214VAMEN")</f>
        <v>20211214VAMEN</v>
      </c>
      <c r="B466" s="5">
        <f ca="1">IFERROR(__xludf.DUMMYFUNCTION("""COMPUTED_VALUE"""),18)</f>
        <v>18</v>
      </c>
      <c r="C466" s="5" t="str">
        <f ca="1">IFERROR(__xludf.DUMMYFUNCTION("""COMPUTED_VALUE"""),"Male")</f>
        <v>Male</v>
      </c>
      <c r="D466" s="5" t="str">
        <f ca="1">IFERROR(__xludf.DUMMYFUNCTION("""COMPUTED_VALUE"""),"Black")</f>
        <v>Black</v>
      </c>
      <c r="E466" s="5" t="str">
        <f ca="1">IFERROR(__xludf.DUMMYFUNCTION("""COMPUTED_VALUE"""),"Rival School Student")</f>
        <v>Rival School Student</v>
      </c>
      <c r="F466" s="5" t="str">
        <f ca="1">IFERROR(__xludf.DUMMYFUNCTION("""COMPUTED_VALUE"""),"Fled/Apprehended")</f>
        <v>Fled/Apprehended</v>
      </c>
      <c r="G466" s="5" t="str">
        <f ca="1">IFERROR(__xludf.DUMMYFUNCTION("""COMPUTED_VALUE"""),"No")</f>
        <v>No</v>
      </c>
      <c r="H466" s="5" t="str">
        <f ca="1">IFERROR(__xludf.DUMMYFUNCTION("""COMPUTED_VALUE"""),"None")</f>
        <v>None</v>
      </c>
    </row>
    <row r="467" spans="1:8" ht="13">
      <c r="A467" s="5" t="str">
        <f ca="1">IFERROR(__xludf.DUMMYFUNCTION("""COMPUTED_VALUE"""),"20211213NCWEC")</f>
        <v>20211213NCWEC</v>
      </c>
      <c r="B467" s="5" t="str">
        <f ca="1">IFERROR(__xludf.DUMMYFUNCTION("""COMPUTED_VALUE"""),"Teen")</f>
        <v>Teen</v>
      </c>
      <c r="C467" s="5" t="str">
        <f ca="1">IFERROR(__xludf.DUMMYFUNCTION("""COMPUTED_VALUE"""),"Male")</f>
        <v>Male</v>
      </c>
      <c r="D467" s="5"/>
      <c r="E467" s="5" t="str">
        <f ca="1">IFERROR(__xludf.DUMMYFUNCTION("""COMPUTED_VALUE"""),"Student")</f>
        <v>Student</v>
      </c>
      <c r="F467" s="5" t="str">
        <f ca="1">IFERROR(__xludf.DUMMYFUNCTION("""COMPUTED_VALUE"""),"Fled/Apprehended")</f>
        <v>Fled/Apprehended</v>
      </c>
      <c r="G467" s="5" t="str">
        <f ca="1">IFERROR(__xludf.DUMMYFUNCTION("""COMPUTED_VALUE"""),"No")</f>
        <v>No</v>
      </c>
      <c r="H467" s="5" t="str">
        <f ca="1">IFERROR(__xludf.DUMMYFUNCTION("""COMPUTED_VALUE"""),"None")</f>
        <v>None</v>
      </c>
    </row>
    <row r="468" spans="1:8" ht="13">
      <c r="A468" s="5" t="str">
        <f ca="1">IFERROR(__xludf.DUMMYFUNCTION("""COMPUTED_VALUE"""),"20211213FLEAO")</f>
        <v>20211213FLEAO</v>
      </c>
      <c r="B468" s="5" t="str">
        <f ca="1">IFERROR(__xludf.DUMMYFUNCTION("""COMPUTED_VALUE"""),"Teen")</f>
        <v>Teen</v>
      </c>
      <c r="C468" s="5"/>
      <c r="D468" s="5"/>
      <c r="E468" s="5" t="str">
        <f ca="1">IFERROR(__xludf.DUMMYFUNCTION("""COMPUTED_VALUE"""),"Student")</f>
        <v>Student</v>
      </c>
      <c r="F468" s="5" t="str">
        <f ca="1">IFERROR(__xludf.DUMMYFUNCTION("""COMPUTED_VALUE"""),"Fled/Escaped")</f>
        <v>Fled/Escaped</v>
      </c>
      <c r="G468" s="5" t="str">
        <f ca="1">IFERROR(__xludf.DUMMYFUNCTION("""COMPUTED_VALUE"""),"No")</f>
        <v>No</v>
      </c>
      <c r="H468" s="5" t="str">
        <f ca="1">IFERROR(__xludf.DUMMYFUNCTION("""COMPUTED_VALUE"""),"None")</f>
        <v>None</v>
      </c>
    </row>
    <row r="469" spans="1:8" ht="13">
      <c r="A469" s="5" t="str">
        <f ca="1">IFERROR(__xludf.DUMMYFUNCTION("""COMPUTED_VALUE"""),"20211212NYSCR")</f>
        <v>20211212NYSCR</v>
      </c>
      <c r="B469" s="5">
        <f ca="1">IFERROR(__xludf.DUMMYFUNCTION("""COMPUTED_VALUE"""),21)</f>
        <v>21</v>
      </c>
      <c r="C469" s="5" t="str">
        <f ca="1">IFERROR(__xludf.DUMMYFUNCTION("""COMPUTED_VALUE"""),"Male")</f>
        <v>Male</v>
      </c>
      <c r="D469" s="5"/>
      <c r="E469" s="5" t="str">
        <f ca="1">IFERROR(__xludf.DUMMYFUNCTION("""COMPUTED_VALUE"""),"No Relation")</f>
        <v>No Relation</v>
      </c>
      <c r="F469" s="5" t="str">
        <f ca="1">IFERROR(__xludf.DUMMYFUNCTION("""COMPUTED_VALUE"""),"Fled/Escaped")</f>
        <v>Fled/Escaped</v>
      </c>
      <c r="G469" s="5" t="str">
        <f ca="1">IFERROR(__xludf.DUMMYFUNCTION("""COMPUTED_VALUE"""),"No")</f>
        <v>No</v>
      </c>
      <c r="H469" s="5" t="str">
        <f ca="1">IFERROR(__xludf.DUMMYFUNCTION("""COMPUTED_VALUE"""),"None")</f>
        <v>None</v>
      </c>
    </row>
    <row r="470" spans="1:8" ht="13">
      <c r="A470" s="5" t="str">
        <f ca="1">IFERROR(__xludf.DUMMYFUNCTION("""COMPUTED_VALUE"""),"20211211GAJOG")</f>
        <v>20211211GAJOG</v>
      </c>
      <c r="B470" s="5">
        <f ca="1">IFERROR(__xludf.DUMMYFUNCTION("""COMPUTED_VALUE"""),17)</f>
        <v>17</v>
      </c>
      <c r="C470" s="5" t="str">
        <f ca="1">IFERROR(__xludf.DUMMYFUNCTION("""COMPUTED_VALUE"""),"Male")</f>
        <v>Male</v>
      </c>
      <c r="D470" s="5"/>
      <c r="E470" s="5" t="str">
        <f ca="1">IFERROR(__xludf.DUMMYFUNCTION("""COMPUTED_VALUE"""),"Student")</f>
        <v>Student</v>
      </c>
      <c r="F470" s="5" t="str">
        <f ca="1">IFERROR(__xludf.DUMMYFUNCTION("""COMPUTED_VALUE"""),"Fled/Apprehended")</f>
        <v>Fled/Apprehended</v>
      </c>
      <c r="G470" s="5" t="str">
        <f ca="1">IFERROR(__xludf.DUMMYFUNCTION("""COMPUTED_VALUE"""),"No")</f>
        <v>No</v>
      </c>
      <c r="H470" s="5" t="str">
        <f ca="1">IFERROR(__xludf.DUMMYFUNCTION("""COMPUTED_VALUE"""),"None")</f>
        <v>None</v>
      </c>
    </row>
    <row r="471" spans="1:8" ht="13">
      <c r="A471" s="5" t="str">
        <f ca="1">IFERROR(__xludf.DUMMYFUNCTION("""COMPUTED_VALUE"""),"20211211FLEDL")</f>
        <v>20211211FLEDL</v>
      </c>
      <c r="B471" s="5" t="str">
        <f ca="1">IFERROR(__xludf.DUMMYFUNCTION("""COMPUTED_VALUE"""),"Adult")</f>
        <v>Adult</v>
      </c>
      <c r="C471" s="5" t="str">
        <f ca="1">IFERROR(__xludf.DUMMYFUNCTION("""COMPUTED_VALUE"""),"Male")</f>
        <v>Male</v>
      </c>
      <c r="D471" s="5"/>
      <c r="E471" s="5" t="str">
        <f ca="1">IFERROR(__xludf.DUMMYFUNCTION("""COMPUTED_VALUE"""),"Nonstudent Using Athletic Facilities/Attending Game")</f>
        <v>Nonstudent Using Athletic Facilities/Attending Game</v>
      </c>
      <c r="F471" s="5" t="str">
        <f ca="1">IFERROR(__xludf.DUMMYFUNCTION("""COMPUTED_VALUE"""),"Fled/Escaped")</f>
        <v>Fled/Escaped</v>
      </c>
      <c r="G471" s="5" t="str">
        <f ca="1">IFERROR(__xludf.DUMMYFUNCTION("""COMPUTED_VALUE"""),"No")</f>
        <v>No</v>
      </c>
      <c r="H471" s="5" t="str">
        <f ca="1">IFERROR(__xludf.DUMMYFUNCTION("""COMPUTED_VALUE"""),"None")</f>
        <v>None</v>
      </c>
    </row>
    <row r="472" spans="1:8" ht="13">
      <c r="A472" s="5" t="str">
        <f ca="1">IFERROR(__xludf.DUMMYFUNCTION("""COMPUTED_VALUE"""),"20211210OHCAC")</f>
        <v>20211210OHCAC</v>
      </c>
      <c r="B472" s="5" t="str">
        <f ca="1">IFERROR(__xludf.DUMMYFUNCTION("""COMPUTED_VALUE"""),"Adult")</f>
        <v>Adult</v>
      </c>
      <c r="C472" s="5" t="str">
        <f ca="1">IFERROR(__xludf.DUMMYFUNCTION("""COMPUTED_VALUE"""),"Male")</f>
        <v>Male</v>
      </c>
      <c r="D472" s="5"/>
      <c r="E472" s="5" t="str">
        <f ca="1">IFERROR(__xludf.DUMMYFUNCTION("""COMPUTED_VALUE"""),"No Relation")</f>
        <v>No Relation</v>
      </c>
      <c r="F472" s="5" t="str">
        <f ca="1">IFERROR(__xludf.DUMMYFUNCTION("""COMPUTED_VALUE"""),"Apprehended/Killed by LE")</f>
        <v>Apprehended/Killed by LE</v>
      </c>
      <c r="G472" s="5" t="str">
        <f ca="1">IFERROR(__xludf.DUMMYFUNCTION("""COMPUTED_VALUE"""),"No")</f>
        <v>No</v>
      </c>
      <c r="H472" s="5" t="str">
        <f ca="1">IFERROR(__xludf.DUMMYFUNCTION("""COMPUTED_VALUE"""),"None")</f>
        <v>None</v>
      </c>
    </row>
    <row r="473" spans="1:8" ht="13">
      <c r="A473" s="5" t="str">
        <f ca="1">IFERROR(__xludf.DUMMYFUNCTION("""COMPUTED_VALUE"""),"20211210NCJEC")</f>
        <v>20211210NCJEC</v>
      </c>
      <c r="B473" s="5"/>
      <c r="C473" s="5"/>
      <c r="D473" s="5"/>
      <c r="E473" s="5" t="str">
        <f ca="1">IFERROR(__xludf.DUMMYFUNCTION("""COMPUTED_VALUE"""),"No Relation")</f>
        <v>No Relation</v>
      </c>
      <c r="F473" s="5" t="str">
        <f ca="1">IFERROR(__xludf.DUMMYFUNCTION("""COMPUTED_VALUE"""),"Fled/Apprehended")</f>
        <v>Fled/Apprehended</v>
      </c>
      <c r="G473" s="5" t="str">
        <f ca="1">IFERROR(__xludf.DUMMYFUNCTION("""COMPUTED_VALUE"""),"No")</f>
        <v>No</v>
      </c>
      <c r="H473" s="5" t="str">
        <f ca="1">IFERROR(__xludf.DUMMYFUNCTION("""COMPUTED_VALUE"""),"None")</f>
        <v>None</v>
      </c>
    </row>
    <row r="474" spans="1:8" ht="13">
      <c r="A474" s="5" t="str">
        <f ca="1">IFERROR(__xludf.DUMMYFUNCTION("""COMPUTED_VALUE"""),"20211210NCJEC")</f>
        <v>20211210NCJEC</v>
      </c>
      <c r="B474" s="5"/>
      <c r="C474" s="5"/>
      <c r="D474" s="5"/>
      <c r="E474" s="5" t="str">
        <f ca="1">IFERROR(__xludf.DUMMYFUNCTION("""COMPUTED_VALUE"""),"No Relation")</f>
        <v>No Relation</v>
      </c>
      <c r="F474" s="5" t="str">
        <f ca="1">IFERROR(__xludf.DUMMYFUNCTION("""COMPUTED_VALUE"""),"Fled/Escaped")</f>
        <v>Fled/Escaped</v>
      </c>
      <c r="G474" s="5" t="str">
        <f ca="1">IFERROR(__xludf.DUMMYFUNCTION("""COMPUTED_VALUE"""),"No")</f>
        <v>No</v>
      </c>
      <c r="H474" s="5" t="str">
        <f ca="1">IFERROR(__xludf.DUMMYFUNCTION("""COMPUTED_VALUE"""),"None")</f>
        <v>None</v>
      </c>
    </row>
    <row r="475" spans="1:8" ht="13">
      <c r="A475" s="5" t="str">
        <f ca="1">IFERROR(__xludf.DUMMYFUNCTION("""COMPUTED_VALUE"""),"20211209NYGRN")</f>
        <v>20211209NYGRN</v>
      </c>
      <c r="B475" s="5" t="str">
        <f ca="1">IFERROR(__xludf.DUMMYFUNCTION("""COMPUTED_VALUE"""),"Adult")</f>
        <v>Adult</v>
      </c>
      <c r="C475" s="5" t="str">
        <f ca="1">IFERROR(__xludf.DUMMYFUNCTION("""COMPUTED_VALUE"""),"Male")</f>
        <v>Male</v>
      </c>
      <c r="D475" s="5"/>
      <c r="E475" s="5" t="str">
        <f ca="1">IFERROR(__xludf.DUMMYFUNCTION("""COMPUTED_VALUE"""),"No Relation")</f>
        <v>No Relation</v>
      </c>
      <c r="F475" s="5" t="str">
        <f ca="1">IFERROR(__xludf.DUMMYFUNCTION("""COMPUTED_VALUE"""),"Fled/Escaped")</f>
        <v>Fled/Escaped</v>
      </c>
      <c r="G475" s="5" t="str">
        <f ca="1">IFERROR(__xludf.DUMMYFUNCTION("""COMPUTED_VALUE"""),"No")</f>
        <v>No</v>
      </c>
      <c r="H475" s="5" t="str">
        <f ca="1">IFERROR(__xludf.DUMMYFUNCTION("""COMPUTED_VALUE"""),"None")</f>
        <v>None</v>
      </c>
    </row>
    <row r="476" spans="1:8" ht="13">
      <c r="A476" s="5" t="str">
        <f ca="1">IFERROR(__xludf.DUMMYFUNCTION("""COMPUTED_VALUE"""),"20211208MOEWK")</f>
        <v>20211208MOEWK</v>
      </c>
      <c r="B476" s="5"/>
      <c r="C476" s="5" t="str">
        <f ca="1">IFERROR(__xludf.DUMMYFUNCTION("""COMPUTED_VALUE"""),"Male")</f>
        <v>Male</v>
      </c>
      <c r="D476" s="5"/>
      <c r="E476" s="5"/>
      <c r="F476" s="5" t="str">
        <f ca="1">IFERROR(__xludf.DUMMYFUNCTION("""COMPUTED_VALUE"""),"Fled/Escaped")</f>
        <v>Fled/Escaped</v>
      </c>
      <c r="G476" s="5" t="str">
        <f ca="1">IFERROR(__xludf.DUMMYFUNCTION("""COMPUTED_VALUE"""),"No")</f>
        <v>No</v>
      </c>
      <c r="H476" s="5" t="str">
        <f ca="1">IFERROR(__xludf.DUMMYFUNCTION("""COMPUTED_VALUE"""),"None")</f>
        <v>None</v>
      </c>
    </row>
    <row r="477" spans="1:8" ht="13">
      <c r="A477" s="5" t="str">
        <f ca="1">IFERROR(__xludf.DUMMYFUNCTION("""COMPUTED_VALUE"""),"20211208KYSTL")</f>
        <v>20211208KYSTL</v>
      </c>
      <c r="B477" s="5"/>
      <c r="C477" s="5"/>
      <c r="D477" s="5"/>
      <c r="E477" s="5" t="str">
        <f ca="1">IFERROR(__xludf.DUMMYFUNCTION("""COMPUTED_VALUE"""),"No Relation")</f>
        <v>No Relation</v>
      </c>
      <c r="F477" s="5" t="str">
        <f ca="1">IFERROR(__xludf.DUMMYFUNCTION("""COMPUTED_VALUE"""),"Fled/Escaped")</f>
        <v>Fled/Escaped</v>
      </c>
      <c r="G477" s="5" t="str">
        <f ca="1">IFERROR(__xludf.DUMMYFUNCTION("""COMPUTED_VALUE"""),"No")</f>
        <v>No</v>
      </c>
      <c r="H477" s="5" t="str">
        <f ca="1">IFERROR(__xludf.DUMMYFUNCTION("""COMPUTED_VALUE"""),"None")</f>
        <v>None</v>
      </c>
    </row>
    <row r="478" spans="1:8" ht="13">
      <c r="A478" s="5" t="str">
        <f ca="1">IFERROR(__xludf.DUMMYFUNCTION("""COMPUTED_VALUE"""),"20211207ILHAC")</f>
        <v>20211207ILHAC</v>
      </c>
      <c r="B478" s="5">
        <f ca="1">IFERROR(__xludf.DUMMYFUNCTION("""COMPUTED_VALUE"""),23)</f>
        <v>23</v>
      </c>
      <c r="C478" s="5" t="str">
        <f ca="1">IFERROR(__xludf.DUMMYFUNCTION("""COMPUTED_VALUE"""),"Male")</f>
        <v>Male</v>
      </c>
      <c r="D478" s="5" t="str">
        <f ca="1">IFERROR(__xludf.DUMMYFUNCTION("""COMPUTED_VALUE"""),"Black")</f>
        <v>Black</v>
      </c>
      <c r="E478" s="5" t="str">
        <f ca="1">IFERROR(__xludf.DUMMYFUNCTION("""COMPUTED_VALUE"""),"No Relation")</f>
        <v>No Relation</v>
      </c>
      <c r="F478" s="5" t="str">
        <f ca="1">IFERROR(__xludf.DUMMYFUNCTION("""COMPUTED_VALUE"""),"Fled/Apprehended")</f>
        <v>Fled/Apprehended</v>
      </c>
      <c r="G478" s="5" t="str">
        <f ca="1">IFERROR(__xludf.DUMMYFUNCTION("""COMPUTED_VALUE"""),"No")</f>
        <v>No</v>
      </c>
      <c r="H478" s="5" t="str">
        <f ca="1">IFERROR(__xludf.DUMMYFUNCTION("""COMPUTED_VALUE"""),"None")</f>
        <v>None</v>
      </c>
    </row>
    <row r="479" spans="1:8" ht="13">
      <c r="A479" s="5" t="str">
        <f ca="1">IFERROR(__xludf.DUMMYFUNCTION("""COMPUTED_VALUE"""),"20211206NYSUS")</f>
        <v>20211206NYSUS</v>
      </c>
      <c r="B479" s="5">
        <f ca="1">IFERROR(__xludf.DUMMYFUNCTION("""COMPUTED_VALUE"""),16)</f>
        <v>16</v>
      </c>
      <c r="C479" s="5" t="str">
        <f ca="1">IFERROR(__xludf.DUMMYFUNCTION("""COMPUTED_VALUE"""),"Male")</f>
        <v>Male</v>
      </c>
      <c r="D479" s="5"/>
      <c r="E479" s="5" t="str">
        <f ca="1">IFERROR(__xludf.DUMMYFUNCTION("""COMPUTED_VALUE"""),"Student")</f>
        <v>Student</v>
      </c>
      <c r="F479" s="5" t="str">
        <f ca="1">IFERROR(__xludf.DUMMYFUNCTION("""COMPUTED_VALUE"""),"Fled/Apprehended")</f>
        <v>Fled/Apprehended</v>
      </c>
      <c r="G479" s="5" t="str">
        <f ca="1">IFERROR(__xludf.DUMMYFUNCTION("""COMPUTED_VALUE"""),"No")</f>
        <v>No</v>
      </c>
      <c r="H479" s="5" t="str">
        <f ca="1">IFERROR(__xludf.DUMMYFUNCTION("""COMPUTED_VALUE"""),"None")</f>
        <v>None</v>
      </c>
    </row>
    <row r="480" spans="1:8" ht="13">
      <c r="A480" s="5" t="str">
        <f ca="1">IFERROR(__xludf.DUMMYFUNCTION("""COMPUTED_VALUE"""),"20211206CAWIW")</f>
        <v>20211206CAWIW</v>
      </c>
      <c r="B480" s="5" t="str">
        <f ca="1">IFERROR(__xludf.DUMMYFUNCTION("""COMPUTED_VALUE"""),"Adult")</f>
        <v>Adult</v>
      </c>
      <c r="C480" s="5" t="str">
        <f ca="1">IFERROR(__xludf.DUMMYFUNCTION("""COMPUTED_VALUE"""),"Male")</f>
        <v>Male</v>
      </c>
      <c r="D480" s="5"/>
      <c r="E480" s="5" t="str">
        <f ca="1">IFERROR(__xludf.DUMMYFUNCTION("""COMPUTED_VALUE"""),"No Relation")</f>
        <v>No Relation</v>
      </c>
      <c r="F480" s="5" t="str">
        <f ca="1">IFERROR(__xludf.DUMMYFUNCTION("""COMPUTED_VALUE"""),"Fled/Escaped")</f>
        <v>Fled/Escaped</v>
      </c>
      <c r="G480" s="5" t="str">
        <f ca="1">IFERROR(__xludf.DUMMYFUNCTION("""COMPUTED_VALUE"""),"No")</f>
        <v>No</v>
      </c>
      <c r="H480" s="5" t="str">
        <f ca="1">IFERROR(__xludf.DUMMYFUNCTION("""COMPUTED_VALUE"""),"None")</f>
        <v>None</v>
      </c>
    </row>
    <row r="481" spans="1:8" ht="13">
      <c r="A481" s="5" t="str">
        <f ca="1">IFERROR(__xludf.DUMMYFUNCTION("""COMPUTED_VALUE"""),"20211206CAWIW")</f>
        <v>20211206CAWIW</v>
      </c>
      <c r="B481" s="5" t="str">
        <f ca="1">IFERROR(__xludf.DUMMYFUNCTION("""COMPUTED_VALUE"""),"Adult")</f>
        <v>Adult</v>
      </c>
      <c r="C481" s="5" t="str">
        <f ca="1">IFERROR(__xludf.DUMMYFUNCTION("""COMPUTED_VALUE"""),"Male")</f>
        <v>Male</v>
      </c>
      <c r="D481" s="5"/>
      <c r="E481" s="5" t="str">
        <f ca="1">IFERROR(__xludf.DUMMYFUNCTION("""COMPUTED_VALUE"""),"No Relation")</f>
        <v>No Relation</v>
      </c>
      <c r="F481" s="5" t="str">
        <f ca="1">IFERROR(__xludf.DUMMYFUNCTION("""COMPUTED_VALUE"""),"Fled/Escaped")</f>
        <v>Fled/Escaped</v>
      </c>
      <c r="G481" s="5" t="str">
        <f ca="1">IFERROR(__xludf.DUMMYFUNCTION("""COMPUTED_VALUE"""),"No")</f>
        <v>No</v>
      </c>
      <c r="H481" s="5" t="str">
        <f ca="1">IFERROR(__xludf.DUMMYFUNCTION("""COMPUTED_VALUE"""),"None")</f>
        <v>None</v>
      </c>
    </row>
    <row r="482" spans="1:8" ht="13">
      <c r="A482" s="5" t="str">
        <f ca="1">IFERROR(__xludf.DUMMYFUNCTION("""COMPUTED_VALUE"""),"20211203ARBLB")</f>
        <v>20211203ARBLB</v>
      </c>
      <c r="B482" s="5">
        <f ca="1">IFERROR(__xludf.DUMMYFUNCTION("""COMPUTED_VALUE"""),19)</f>
        <v>19</v>
      </c>
      <c r="C482" s="5" t="str">
        <f ca="1">IFERROR(__xludf.DUMMYFUNCTION("""COMPUTED_VALUE"""),"Male")</f>
        <v>Male</v>
      </c>
      <c r="D482" s="5"/>
      <c r="E482" s="5" t="str">
        <f ca="1">IFERROR(__xludf.DUMMYFUNCTION("""COMPUTED_VALUE"""),"No Relation")</f>
        <v>No Relation</v>
      </c>
      <c r="F482" s="5" t="str">
        <f ca="1">IFERROR(__xludf.DUMMYFUNCTION("""COMPUTED_VALUE"""),"Fled/Apprehended")</f>
        <v>Fled/Apprehended</v>
      </c>
      <c r="G482" s="5" t="str">
        <f ca="1">IFERROR(__xludf.DUMMYFUNCTION("""COMPUTED_VALUE"""),"No")</f>
        <v>No</v>
      </c>
      <c r="H482" s="5" t="str">
        <f ca="1">IFERROR(__xludf.DUMMYFUNCTION("""COMPUTED_VALUE"""),"None")</f>
        <v>None</v>
      </c>
    </row>
    <row r="483" spans="1:8" ht="13">
      <c r="A483" s="5" t="str">
        <f ca="1">IFERROR(__xludf.DUMMYFUNCTION("""COMPUTED_VALUE"""),"20211202WAGAS")</f>
        <v>20211202WAGAS</v>
      </c>
      <c r="B483" s="5" t="str">
        <f ca="1">IFERROR(__xludf.DUMMYFUNCTION("""COMPUTED_VALUE"""),"Teen")</f>
        <v>Teen</v>
      </c>
      <c r="C483" s="5" t="str">
        <f ca="1">IFERROR(__xludf.DUMMYFUNCTION("""COMPUTED_VALUE"""),"Male")</f>
        <v>Male</v>
      </c>
      <c r="D483" s="5"/>
      <c r="E483" s="5"/>
      <c r="F483" s="5" t="str">
        <f ca="1">IFERROR(__xludf.DUMMYFUNCTION("""COMPUTED_VALUE"""),"Fled/Escaped")</f>
        <v>Fled/Escaped</v>
      </c>
      <c r="G483" s="5" t="str">
        <f ca="1">IFERROR(__xludf.DUMMYFUNCTION("""COMPUTED_VALUE"""),"No")</f>
        <v>No</v>
      </c>
      <c r="H483" s="5" t="str">
        <f ca="1">IFERROR(__xludf.DUMMYFUNCTION("""COMPUTED_VALUE"""),"None")</f>
        <v>None</v>
      </c>
    </row>
    <row r="484" spans="1:8" ht="13">
      <c r="A484" s="5" t="str">
        <f ca="1">IFERROR(__xludf.DUMMYFUNCTION("""COMPUTED_VALUE"""),"20211201TXSAP")</f>
        <v>20211201TXSAP</v>
      </c>
      <c r="B484" s="5">
        <f ca="1">IFERROR(__xludf.DUMMYFUNCTION("""COMPUTED_VALUE"""),21)</f>
        <v>21</v>
      </c>
      <c r="C484" s="5" t="str">
        <f ca="1">IFERROR(__xludf.DUMMYFUNCTION("""COMPUTED_VALUE"""),"Male")</f>
        <v>Male</v>
      </c>
      <c r="D484" s="5"/>
      <c r="E484" s="5" t="str">
        <f ca="1">IFERROR(__xludf.DUMMYFUNCTION("""COMPUTED_VALUE"""),"No Relation")</f>
        <v>No Relation</v>
      </c>
      <c r="F484" s="5" t="str">
        <f ca="1">IFERROR(__xludf.DUMMYFUNCTION("""COMPUTED_VALUE"""),"Apprehended/Killed by SRO")</f>
        <v>Apprehended/Killed by SRO</v>
      </c>
      <c r="G484" s="5" t="str">
        <f ca="1">IFERROR(__xludf.DUMMYFUNCTION("""COMPUTED_VALUE"""),"No")</f>
        <v>No</v>
      </c>
      <c r="H484" s="5" t="str">
        <f ca="1">IFERROR(__xludf.DUMMYFUNCTION("""COMPUTED_VALUE"""),"None")</f>
        <v>None</v>
      </c>
    </row>
    <row r="485" spans="1:8" ht="13">
      <c r="A485" s="5" t="str">
        <f ca="1">IFERROR(__xludf.DUMMYFUNCTION("""COMPUTED_VALUE"""),"20211130TNHUH")</f>
        <v>20211130TNHUH</v>
      </c>
      <c r="B485" s="5">
        <f ca="1">IFERROR(__xludf.DUMMYFUNCTION("""COMPUTED_VALUE"""),21)</f>
        <v>21</v>
      </c>
      <c r="C485" s="5" t="str">
        <f ca="1">IFERROR(__xludf.DUMMYFUNCTION("""COMPUTED_VALUE"""),"Male")</f>
        <v>Male</v>
      </c>
      <c r="D485" s="5" t="str">
        <f ca="1">IFERROR(__xludf.DUMMYFUNCTION("""COMPUTED_VALUE"""),"Black")</f>
        <v>Black</v>
      </c>
      <c r="E485" s="5" t="str">
        <f ca="1">IFERROR(__xludf.DUMMYFUNCTION("""COMPUTED_VALUE"""),"Nonstudent Using Athletic Facilities/Attending Game")</f>
        <v>Nonstudent Using Athletic Facilities/Attending Game</v>
      </c>
      <c r="F485" s="5" t="str">
        <f ca="1">IFERROR(__xludf.DUMMYFUNCTION("""COMPUTED_VALUE"""),"Fled/Apprehended")</f>
        <v>Fled/Apprehended</v>
      </c>
      <c r="G485" s="5" t="str">
        <f ca="1">IFERROR(__xludf.DUMMYFUNCTION("""COMPUTED_VALUE"""),"No")</f>
        <v>No</v>
      </c>
      <c r="H485" s="5" t="str">
        <f ca="1">IFERROR(__xludf.DUMMYFUNCTION("""COMPUTED_VALUE"""),"None")</f>
        <v>None</v>
      </c>
    </row>
    <row r="486" spans="1:8" ht="13">
      <c r="A486" s="5" t="str">
        <f ca="1">IFERROR(__xludf.DUMMYFUNCTION("""COMPUTED_VALUE"""),"20211130OHWHW")</f>
        <v>20211130OHWHW</v>
      </c>
      <c r="B486" s="5">
        <f ca="1">IFERROR(__xludf.DUMMYFUNCTION("""COMPUTED_VALUE"""),18)</f>
        <v>18</v>
      </c>
      <c r="C486" s="5" t="str">
        <f ca="1">IFERROR(__xludf.DUMMYFUNCTION("""COMPUTED_VALUE"""),"Male")</f>
        <v>Male</v>
      </c>
      <c r="D486" s="5"/>
      <c r="E486" s="5"/>
      <c r="F486" s="5" t="str">
        <f ca="1">IFERROR(__xludf.DUMMYFUNCTION("""COMPUTED_VALUE"""),"Surrendered")</f>
        <v>Surrendered</v>
      </c>
      <c r="G486" s="5" t="str">
        <f ca="1">IFERROR(__xludf.DUMMYFUNCTION("""COMPUTED_VALUE"""),"No")</f>
        <v>No</v>
      </c>
      <c r="H486" s="5" t="str">
        <f ca="1">IFERROR(__xludf.DUMMYFUNCTION("""COMPUTED_VALUE"""),"Wounded")</f>
        <v>Wounded</v>
      </c>
    </row>
    <row r="487" spans="1:8" ht="13">
      <c r="A487" s="5" t="str">
        <f ca="1">IFERROR(__xludf.DUMMYFUNCTION("""COMPUTED_VALUE"""),"20211130MIOXO")</f>
        <v>20211130MIOXO</v>
      </c>
      <c r="B487" s="5">
        <f ca="1">IFERROR(__xludf.DUMMYFUNCTION("""COMPUTED_VALUE"""),15)</f>
        <v>15</v>
      </c>
      <c r="C487" s="5" t="str">
        <f ca="1">IFERROR(__xludf.DUMMYFUNCTION("""COMPUTED_VALUE"""),"Male")</f>
        <v>Male</v>
      </c>
      <c r="D487" s="5"/>
      <c r="E487" s="5" t="str">
        <f ca="1">IFERROR(__xludf.DUMMYFUNCTION("""COMPUTED_VALUE"""),"Student")</f>
        <v>Student</v>
      </c>
      <c r="F487" s="5" t="str">
        <f ca="1">IFERROR(__xludf.DUMMYFUNCTION("""COMPUTED_VALUE"""),"Surrendered")</f>
        <v>Surrendered</v>
      </c>
      <c r="G487" s="5" t="str">
        <f ca="1">IFERROR(__xludf.DUMMYFUNCTION("""COMPUTED_VALUE"""),"No")</f>
        <v>No</v>
      </c>
      <c r="H487" s="5" t="str">
        <f ca="1">IFERROR(__xludf.DUMMYFUNCTION("""COMPUTED_VALUE"""),"None")</f>
        <v>None</v>
      </c>
    </row>
    <row r="488" spans="1:8" ht="13">
      <c r="A488" s="5" t="str">
        <f ca="1">IFERROR(__xludf.DUMMYFUNCTION("""COMPUTED_VALUE"""),"20211130CALOL")</f>
        <v>20211130CALOL</v>
      </c>
      <c r="B488" s="5"/>
      <c r="C488" s="5"/>
      <c r="D488" s="5"/>
      <c r="E488" s="5" t="str">
        <f ca="1">IFERROR(__xludf.DUMMYFUNCTION("""COMPUTED_VALUE"""),"No Relation")</f>
        <v>No Relation</v>
      </c>
      <c r="F488" s="5" t="str">
        <f ca="1">IFERROR(__xludf.DUMMYFUNCTION("""COMPUTED_VALUE"""),"Fled/Escaped")</f>
        <v>Fled/Escaped</v>
      </c>
      <c r="G488" s="5" t="str">
        <f ca="1">IFERROR(__xludf.DUMMYFUNCTION("""COMPUTED_VALUE"""),"No")</f>
        <v>No</v>
      </c>
      <c r="H488" s="5" t="str">
        <f ca="1">IFERROR(__xludf.DUMMYFUNCTION("""COMPUTED_VALUE"""),"None")</f>
        <v>None</v>
      </c>
    </row>
    <row r="489" spans="1:8" ht="13">
      <c r="A489" s="5" t="str">
        <f ca="1">IFERROR(__xludf.DUMMYFUNCTION("""COMPUTED_VALUE"""),"20211129ILWER")</f>
        <v>20211129ILWER</v>
      </c>
      <c r="B489" s="5" t="str">
        <f ca="1">IFERROR(__xludf.DUMMYFUNCTION("""COMPUTED_VALUE"""),"Teen")</f>
        <v>Teen</v>
      </c>
      <c r="C489" s="5" t="str">
        <f ca="1">IFERROR(__xludf.DUMMYFUNCTION("""COMPUTED_VALUE"""),"Male")</f>
        <v>Male</v>
      </c>
      <c r="D489" s="5"/>
      <c r="E489" s="5" t="str">
        <f ca="1">IFERROR(__xludf.DUMMYFUNCTION("""COMPUTED_VALUE"""),"Student")</f>
        <v>Student</v>
      </c>
      <c r="F489" s="5" t="str">
        <f ca="1">IFERROR(__xludf.DUMMYFUNCTION("""COMPUTED_VALUE"""),"Fled/Escaped")</f>
        <v>Fled/Escaped</v>
      </c>
      <c r="G489" s="5" t="str">
        <f ca="1">IFERROR(__xludf.DUMMYFUNCTION("""COMPUTED_VALUE"""),"No")</f>
        <v>No</v>
      </c>
      <c r="H489" s="5" t="str">
        <f ca="1">IFERROR(__xludf.DUMMYFUNCTION("""COMPUTED_VALUE"""),"None")</f>
        <v>None</v>
      </c>
    </row>
    <row r="490" spans="1:8" ht="13">
      <c r="A490" s="5" t="str">
        <f ca="1">IFERROR(__xludf.DUMMYFUNCTION("""COMPUTED_VALUE"""),"20211129AZCHP")</f>
        <v>20211129AZCHP</v>
      </c>
      <c r="B490" s="5" t="str">
        <f ca="1">IFERROR(__xludf.DUMMYFUNCTION("""COMPUTED_VALUE"""),"Teen")</f>
        <v>Teen</v>
      </c>
      <c r="C490" s="5" t="str">
        <f ca="1">IFERROR(__xludf.DUMMYFUNCTION("""COMPUTED_VALUE"""),"Male")</f>
        <v>Male</v>
      </c>
      <c r="D490" s="5"/>
      <c r="E490" s="5" t="str">
        <f ca="1">IFERROR(__xludf.DUMMYFUNCTION("""COMPUTED_VALUE"""),"Student")</f>
        <v>Student</v>
      </c>
      <c r="F490" s="5" t="str">
        <f ca="1">IFERROR(__xludf.DUMMYFUNCTION("""COMPUTED_VALUE"""),"Fled/Escaped")</f>
        <v>Fled/Escaped</v>
      </c>
      <c r="G490" s="5" t="str">
        <f ca="1">IFERROR(__xludf.DUMMYFUNCTION("""COMPUTED_VALUE"""),"No")</f>
        <v>No</v>
      </c>
      <c r="H490" s="5" t="str">
        <f ca="1">IFERROR(__xludf.DUMMYFUNCTION("""COMPUTED_VALUE"""),"None")</f>
        <v>None</v>
      </c>
    </row>
    <row r="491" spans="1:8" ht="13">
      <c r="A491" s="5" t="str">
        <f ca="1">IFERROR(__xludf.DUMMYFUNCTION("""COMPUTED_VALUE"""),"20211126CAWES")</f>
        <v>20211126CAWES</v>
      </c>
      <c r="B491" s="5" t="str">
        <f ca="1">IFERROR(__xludf.DUMMYFUNCTION("""COMPUTED_VALUE"""),"Adult")</f>
        <v>Adult</v>
      </c>
      <c r="C491" s="5" t="str">
        <f ca="1">IFERROR(__xludf.DUMMYFUNCTION("""COMPUTED_VALUE"""),"Male")</f>
        <v>Male</v>
      </c>
      <c r="D491" s="5"/>
      <c r="E491" s="5" t="str">
        <f ca="1">IFERROR(__xludf.DUMMYFUNCTION("""COMPUTED_VALUE"""),"Nonstudent Using Athletic Facilities/Attending Game")</f>
        <v>Nonstudent Using Athletic Facilities/Attending Game</v>
      </c>
      <c r="F491" s="5" t="str">
        <f ca="1">IFERROR(__xludf.DUMMYFUNCTION("""COMPUTED_VALUE"""),"Fled/Escaped")</f>
        <v>Fled/Escaped</v>
      </c>
      <c r="G491" s="5" t="str">
        <f ca="1">IFERROR(__xludf.DUMMYFUNCTION("""COMPUTED_VALUE"""),"No")</f>
        <v>No</v>
      </c>
      <c r="H491" s="5" t="str">
        <f ca="1">IFERROR(__xludf.DUMMYFUNCTION("""COMPUTED_VALUE"""),"None")</f>
        <v>None</v>
      </c>
    </row>
    <row r="492" spans="1:8" ht="13">
      <c r="A492" s="5" t="str">
        <f ca="1">IFERROR(__xludf.DUMMYFUNCTION("""COMPUTED_VALUE"""),"20211125SCCEP")</f>
        <v>20211125SCCEP</v>
      </c>
      <c r="B492" s="5"/>
      <c r="C492" s="5"/>
      <c r="D492" s="5"/>
      <c r="E492" s="5"/>
      <c r="F492" s="5" t="str">
        <f ca="1">IFERROR(__xludf.DUMMYFUNCTION("""COMPUTED_VALUE"""),"Fled/Escaped")</f>
        <v>Fled/Escaped</v>
      </c>
      <c r="G492" s="5" t="str">
        <f ca="1">IFERROR(__xludf.DUMMYFUNCTION("""COMPUTED_VALUE"""),"No")</f>
        <v>No</v>
      </c>
      <c r="H492" s="5" t="str">
        <f ca="1">IFERROR(__xludf.DUMMYFUNCTION("""COMPUTED_VALUE"""),"None")</f>
        <v>None</v>
      </c>
    </row>
    <row r="493" spans="1:8" ht="13">
      <c r="A493" s="5" t="str">
        <f ca="1">IFERROR(__xludf.DUMMYFUNCTION("""COMPUTED_VALUE"""),"20211124ILTHH")</f>
        <v>20211124ILTHH</v>
      </c>
      <c r="B493" s="5"/>
      <c r="C493" s="5"/>
      <c r="D493" s="5"/>
      <c r="E493" s="5"/>
      <c r="F493" s="5" t="str">
        <f ca="1">IFERROR(__xludf.DUMMYFUNCTION("""COMPUTED_VALUE"""),"Fled/Escaped")</f>
        <v>Fled/Escaped</v>
      </c>
      <c r="G493" s="5" t="str">
        <f ca="1">IFERROR(__xludf.DUMMYFUNCTION("""COMPUTED_VALUE"""),"No")</f>
        <v>No</v>
      </c>
      <c r="H493" s="5" t="str">
        <f ca="1">IFERROR(__xludf.DUMMYFUNCTION("""COMPUTED_VALUE"""),"None")</f>
        <v>None</v>
      </c>
    </row>
    <row r="494" spans="1:8" ht="13">
      <c r="A494" s="5" t="str">
        <f ca="1">IFERROR(__xludf.DUMMYFUNCTION("""COMPUTED_VALUE"""),"20211123OHCLC")</f>
        <v>20211123OHCLC</v>
      </c>
      <c r="B494" s="5" t="str">
        <f ca="1">IFERROR(__xludf.DUMMYFUNCTION("""COMPUTED_VALUE"""),"Adult")</f>
        <v>Adult</v>
      </c>
      <c r="C494" s="5" t="str">
        <f ca="1">IFERROR(__xludf.DUMMYFUNCTION("""COMPUTED_VALUE"""),"Male")</f>
        <v>Male</v>
      </c>
      <c r="D494" s="5"/>
      <c r="E494" s="5" t="str">
        <f ca="1">IFERROR(__xludf.DUMMYFUNCTION("""COMPUTED_VALUE"""),"No Relation")</f>
        <v>No Relation</v>
      </c>
      <c r="F494" s="5" t="str">
        <f ca="1">IFERROR(__xludf.DUMMYFUNCTION("""COMPUTED_VALUE"""),"Fled/Escaped")</f>
        <v>Fled/Escaped</v>
      </c>
      <c r="G494" s="5" t="str">
        <f ca="1">IFERROR(__xludf.DUMMYFUNCTION("""COMPUTED_VALUE"""),"No")</f>
        <v>No</v>
      </c>
      <c r="H494" s="5" t="str">
        <f ca="1">IFERROR(__xludf.DUMMYFUNCTION("""COMPUTED_VALUE"""),"None")</f>
        <v>None</v>
      </c>
    </row>
    <row r="495" spans="1:8" ht="13">
      <c r="A495" s="5" t="str">
        <f ca="1">IFERROR(__xludf.DUMMYFUNCTION("""COMPUTED_VALUE"""),"20211119MDGIB")</f>
        <v>20211119MDGIB</v>
      </c>
      <c r="B495" s="5"/>
      <c r="C495" s="5"/>
      <c r="D495" s="5"/>
      <c r="E495" s="5" t="str">
        <f ca="1">IFERROR(__xludf.DUMMYFUNCTION("""COMPUTED_VALUE"""),"No Relation")</f>
        <v>No Relation</v>
      </c>
      <c r="F495" s="5" t="str">
        <f ca="1">IFERROR(__xludf.DUMMYFUNCTION("""COMPUTED_VALUE"""),"Fled/Escaped")</f>
        <v>Fled/Escaped</v>
      </c>
      <c r="G495" s="5" t="str">
        <f ca="1">IFERROR(__xludf.DUMMYFUNCTION("""COMPUTED_VALUE"""),"No")</f>
        <v>No</v>
      </c>
      <c r="H495" s="5" t="str">
        <f ca="1">IFERROR(__xludf.DUMMYFUNCTION("""COMPUTED_VALUE"""),"None")</f>
        <v>None</v>
      </c>
    </row>
    <row r="496" spans="1:8" ht="13">
      <c r="A496" s="5" t="str">
        <f ca="1">IFERROR(__xludf.DUMMYFUNCTION("""COMPUTED_VALUE"""),"20211119COHIA")</f>
        <v>20211119COHIA</v>
      </c>
      <c r="B496" s="5">
        <f ca="1">IFERROR(__xludf.DUMMYFUNCTION("""COMPUTED_VALUE"""),16)</f>
        <v>16</v>
      </c>
      <c r="C496" s="5" t="str">
        <f ca="1">IFERROR(__xludf.DUMMYFUNCTION("""COMPUTED_VALUE"""),"Male")</f>
        <v>Male</v>
      </c>
      <c r="D496" s="5"/>
      <c r="E496" s="5" t="str">
        <f ca="1">IFERROR(__xludf.DUMMYFUNCTION("""COMPUTED_VALUE"""),"Student")</f>
        <v>Student</v>
      </c>
      <c r="F496" s="5" t="str">
        <f ca="1">IFERROR(__xludf.DUMMYFUNCTION("""COMPUTED_VALUE"""),"Fled/Apprehended")</f>
        <v>Fled/Apprehended</v>
      </c>
      <c r="G496" s="5" t="str">
        <f ca="1">IFERROR(__xludf.DUMMYFUNCTION("""COMPUTED_VALUE"""),"No")</f>
        <v>No</v>
      </c>
      <c r="H496" s="5" t="str">
        <f ca="1">IFERROR(__xludf.DUMMYFUNCTION("""COMPUTED_VALUE"""),"None")</f>
        <v>None</v>
      </c>
    </row>
    <row r="497" spans="1:8" ht="13">
      <c r="A497" s="5" t="str">
        <f ca="1">IFERROR(__xludf.DUMMYFUNCTION("""COMPUTED_VALUE"""),"20211119COHIA")</f>
        <v>20211119COHIA</v>
      </c>
      <c r="B497" s="5">
        <f ca="1">IFERROR(__xludf.DUMMYFUNCTION("""COMPUTED_VALUE"""),16)</f>
        <v>16</v>
      </c>
      <c r="C497" s="5" t="str">
        <f ca="1">IFERROR(__xludf.DUMMYFUNCTION("""COMPUTED_VALUE"""),"Male")</f>
        <v>Male</v>
      </c>
      <c r="D497" s="5"/>
      <c r="E497" s="5" t="str">
        <f ca="1">IFERROR(__xludf.DUMMYFUNCTION("""COMPUTED_VALUE"""),"Student")</f>
        <v>Student</v>
      </c>
      <c r="F497" s="5" t="str">
        <f ca="1">IFERROR(__xludf.DUMMYFUNCTION("""COMPUTED_VALUE"""),"Fled/Apprehended")</f>
        <v>Fled/Apprehended</v>
      </c>
      <c r="G497" s="5" t="str">
        <f ca="1">IFERROR(__xludf.DUMMYFUNCTION("""COMPUTED_VALUE"""),"No")</f>
        <v>No</v>
      </c>
      <c r="H497" s="5" t="str">
        <f ca="1">IFERROR(__xludf.DUMMYFUNCTION("""COMPUTED_VALUE"""),"None")</f>
        <v>None</v>
      </c>
    </row>
    <row r="498" spans="1:8" ht="13">
      <c r="A498" s="5" t="str">
        <f ca="1">IFERROR(__xludf.DUMMYFUNCTION("""COMPUTED_VALUE"""),"20211119COHIA")</f>
        <v>20211119COHIA</v>
      </c>
      <c r="B498" s="5">
        <f ca="1">IFERROR(__xludf.DUMMYFUNCTION("""COMPUTED_VALUE"""),16)</f>
        <v>16</v>
      </c>
      <c r="C498" s="5" t="str">
        <f ca="1">IFERROR(__xludf.DUMMYFUNCTION("""COMPUTED_VALUE"""),"Male")</f>
        <v>Male</v>
      </c>
      <c r="D498" s="5"/>
      <c r="E498" s="5" t="str">
        <f ca="1">IFERROR(__xludf.DUMMYFUNCTION("""COMPUTED_VALUE"""),"Student")</f>
        <v>Student</v>
      </c>
      <c r="F498" s="5" t="str">
        <f ca="1">IFERROR(__xludf.DUMMYFUNCTION("""COMPUTED_VALUE"""),"Fled/Apprehended")</f>
        <v>Fled/Apprehended</v>
      </c>
      <c r="G498" s="5" t="str">
        <f ca="1">IFERROR(__xludf.DUMMYFUNCTION("""COMPUTED_VALUE"""),"No")</f>
        <v>No</v>
      </c>
      <c r="H498" s="5" t="str">
        <f ca="1">IFERROR(__xludf.DUMMYFUNCTION("""COMPUTED_VALUE"""),"None")</f>
        <v>None</v>
      </c>
    </row>
    <row r="499" spans="1:8" ht="13">
      <c r="A499" s="5" t="str">
        <f ca="1">IFERROR(__xludf.DUMMYFUNCTION("""COMPUTED_VALUE"""),"20211119COHIA")</f>
        <v>20211119COHIA</v>
      </c>
      <c r="B499" s="5">
        <f ca="1">IFERROR(__xludf.DUMMYFUNCTION("""COMPUTED_VALUE"""),17)</f>
        <v>17</v>
      </c>
      <c r="C499" s="5" t="str">
        <f ca="1">IFERROR(__xludf.DUMMYFUNCTION("""COMPUTED_VALUE"""),"Male")</f>
        <v>Male</v>
      </c>
      <c r="D499" s="5"/>
      <c r="E499" s="5" t="str">
        <f ca="1">IFERROR(__xludf.DUMMYFUNCTION("""COMPUTED_VALUE"""),"Student")</f>
        <v>Student</v>
      </c>
      <c r="F499" s="5" t="str">
        <f ca="1">IFERROR(__xludf.DUMMYFUNCTION("""COMPUTED_VALUE"""),"Fled/Apprehended")</f>
        <v>Fled/Apprehended</v>
      </c>
      <c r="G499" s="5" t="str">
        <f ca="1">IFERROR(__xludf.DUMMYFUNCTION("""COMPUTED_VALUE"""),"No")</f>
        <v>No</v>
      </c>
      <c r="H499" s="5" t="str">
        <f ca="1">IFERROR(__xludf.DUMMYFUNCTION("""COMPUTED_VALUE"""),"None")</f>
        <v>None</v>
      </c>
    </row>
    <row r="500" spans="1:8" ht="13">
      <c r="A500" s="5" t="str">
        <f ca="1">IFERROR(__xludf.DUMMYFUNCTION("""COMPUTED_VALUE"""),"20211116NYPSB")</f>
        <v>20211116NYPSB</v>
      </c>
      <c r="B500" s="5">
        <f ca="1">IFERROR(__xludf.DUMMYFUNCTION("""COMPUTED_VALUE"""),45)</f>
        <v>45</v>
      </c>
      <c r="C500" s="5" t="str">
        <f ca="1">IFERROR(__xludf.DUMMYFUNCTION("""COMPUTED_VALUE"""),"Male")</f>
        <v>Male</v>
      </c>
      <c r="D500" s="5"/>
      <c r="E500" s="5" t="str">
        <f ca="1">IFERROR(__xludf.DUMMYFUNCTION("""COMPUTED_VALUE"""),"No Relation")</f>
        <v>No Relation</v>
      </c>
      <c r="F500" s="5" t="str">
        <f ca="1">IFERROR(__xludf.DUMMYFUNCTION("""COMPUTED_VALUE"""),"Apprehended/Killed by SRO")</f>
        <v>Apprehended/Killed by SRO</v>
      </c>
      <c r="G500" s="5" t="str">
        <f ca="1">IFERROR(__xludf.DUMMYFUNCTION("""COMPUTED_VALUE"""),"No")</f>
        <v>No</v>
      </c>
      <c r="H500" s="5" t="str">
        <f ca="1">IFERROR(__xludf.DUMMYFUNCTION("""COMPUTED_VALUE"""),"None")</f>
        <v>None</v>
      </c>
    </row>
    <row r="501" spans="1:8" ht="13">
      <c r="A501" s="5" t="str">
        <f ca="1">IFERROR(__xludf.DUMMYFUNCTION("""COMPUTED_VALUE"""),"20211116FLJAJ")</f>
        <v>20211116FLJAJ</v>
      </c>
      <c r="B501" s="5" t="str">
        <f ca="1">IFERROR(__xludf.DUMMYFUNCTION("""COMPUTED_VALUE"""),"Adult")</f>
        <v>Adult</v>
      </c>
      <c r="C501" s="5"/>
      <c r="D501" s="5"/>
      <c r="E501" s="5" t="str">
        <f ca="1">IFERROR(__xludf.DUMMYFUNCTION("""COMPUTED_VALUE"""),"No Relation")</f>
        <v>No Relation</v>
      </c>
      <c r="F501" s="5" t="str">
        <f ca="1">IFERROR(__xludf.DUMMYFUNCTION("""COMPUTED_VALUE"""),"Fled/Escaped")</f>
        <v>Fled/Escaped</v>
      </c>
      <c r="G501" s="5" t="str">
        <f ca="1">IFERROR(__xludf.DUMMYFUNCTION("""COMPUTED_VALUE"""),"No")</f>
        <v>No</v>
      </c>
      <c r="H501" s="5" t="str">
        <f ca="1">IFERROR(__xludf.DUMMYFUNCTION("""COMPUTED_VALUE"""),"None")</f>
        <v>None</v>
      </c>
    </row>
    <row r="502" spans="1:8" ht="13">
      <c r="A502" s="5" t="str">
        <f ca="1">IFERROR(__xludf.DUMMYFUNCTION("""COMPUTED_VALUE"""),"20211115NYPOP")</f>
        <v>20211115NYPOP</v>
      </c>
      <c r="B502" s="5">
        <f ca="1">IFERROR(__xludf.DUMMYFUNCTION("""COMPUTED_VALUE"""),13)</f>
        <v>13</v>
      </c>
      <c r="C502" s="5" t="str">
        <f ca="1">IFERROR(__xludf.DUMMYFUNCTION("""COMPUTED_VALUE"""),"Male")</f>
        <v>Male</v>
      </c>
      <c r="D502" s="5"/>
      <c r="E502" s="5" t="str">
        <f ca="1">IFERROR(__xludf.DUMMYFUNCTION("""COMPUTED_VALUE"""),"Student")</f>
        <v>Student</v>
      </c>
      <c r="F502" s="5" t="str">
        <f ca="1">IFERROR(__xludf.DUMMYFUNCTION("""COMPUTED_VALUE"""),"Fled/Apprehended")</f>
        <v>Fled/Apprehended</v>
      </c>
      <c r="G502" s="5" t="str">
        <f ca="1">IFERROR(__xludf.DUMMYFUNCTION("""COMPUTED_VALUE"""),"No")</f>
        <v>No</v>
      </c>
      <c r="H502" s="5" t="str">
        <f ca="1">IFERROR(__xludf.DUMMYFUNCTION("""COMPUTED_VALUE"""),"None")</f>
        <v>None</v>
      </c>
    </row>
    <row r="503" spans="1:8" ht="13">
      <c r="A503" s="5" t="str">
        <f ca="1">IFERROR(__xludf.DUMMYFUNCTION("""COMPUTED_VALUE"""),"20211110NYITI")</f>
        <v>20211110NYITI</v>
      </c>
      <c r="B503" s="5"/>
      <c r="C503" s="5"/>
      <c r="D503" s="5"/>
      <c r="E503" s="5" t="str">
        <f ca="1">IFERROR(__xludf.DUMMYFUNCTION("""COMPUTED_VALUE"""),"No Relation")</f>
        <v>No Relation</v>
      </c>
      <c r="F503" s="5" t="str">
        <f ca="1">IFERROR(__xludf.DUMMYFUNCTION("""COMPUTED_VALUE"""),"Fled/Escaped")</f>
        <v>Fled/Escaped</v>
      </c>
      <c r="G503" s="5" t="str">
        <f ca="1">IFERROR(__xludf.DUMMYFUNCTION("""COMPUTED_VALUE"""),"No")</f>
        <v>No</v>
      </c>
      <c r="H503" s="5" t="str">
        <f ca="1">IFERROR(__xludf.DUMMYFUNCTION("""COMPUTED_VALUE"""),"None")</f>
        <v>None</v>
      </c>
    </row>
    <row r="504" spans="1:8" ht="13">
      <c r="A504" s="5" t="str">
        <f ca="1">IFERROR(__xludf.DUMMYFUNCTION("""COMPUTED_VALUE"""),"20211109NMMEL")</f>
        <v>20211109NMMEL</v>
      </c>
      <c r="B504" s="5" t="str">
        <f ca="1">IFERROR(__xludf.DUMMYFUNCTION("""COMPUTED_VALUE"""),"Adult")</f>
        <v>Adult</v>
      </c>
      <c r="C504" s="5" t="str">
        <f ca="1">IFERROR(__xludf.DUMMYFUNCTION("""COMPUTED_VALUE"""),"Male")</f>
        <v>Male</v>
      </c>
      <c r="D504" s="5"/>
      <c r="E504" s="5" t="str">
        <f ca="1">IFERROR(__xludf.DUMMYFUNCTION("""COMPUTED_VALUE"""),"No Relation")</f>
        <v>No Relation</v>
      </c>
      <c r="F504" s="5" t="str">
        <f ca="1">IFERROR(__xludf.DUMMYFUNCTION("""COMPUTED_VALUE"""),"Suicide")</f>
        <v>Suicide</v>
      </c>
      <c r="G504" s="5" t="str">
        <f ca="1">IFERROR(__xludf.DUMMYFUNCTION("""COMPUTED_VALUE"""),"Yes")</f>
        <v>Yes</v>
      </c>
      <c r="H504" s="5" t="str">
        <f ca="1">IFERROR(__xludf.DUMMYFUNCTION("""COMPUTED_VALUE"""),"Suicide")</f>
        <v>Suicide</v>
      </c>
    </row>
    <row r="505" spans="1:8" ht="13">
      <c r="A505" s="5" t="str">
        <f ca="1">IFERROR(__xludf.DUMMYFUNCTION("""COMPUTED_VALUE"""),"20211108NYTHB")</f>
        <v>20211108NYTHB</v>
      </c>
      <c r="B505" s="5" t="str">
        <f ca="1">IFERROR(__xludf.DUMMYFUNCTION("""COMPUTED_VALUE"""),"Teen")</f>
        <v>Teen</v>
      </c>
      <c r="C505" s="5" t="str">
        <f ca="1">IFERROR(__xludf.DUMMYFUNCTION("""COMPUTED_VALUE"""),"Male")</f>
        <v>Male</v>
      </c>
      <c r="D505" s="5"/>
      <c r="E505" s="5" t="str">
        <f ca="1">IFERROR(__xludf.DUMMYFUNCTION("""COMPUTED_VALUE"""),"Student")</f>
        <v>Student</v>
      </c>
      <c r="F505" s="5" t="str">
        <f ca="1">IFERROR(__xludf.DUMMYFUNCTION("""COMPUTED_VALUE"""),"Fled/Escaped")</f>
        <v>Fled/Escaped</v>
      </c>
      <c r="G505" s="5" t="str">
        <f ca="1">IFERROR(__xludf.DUMMYFUNCTION("""COMPUTED_VALUE"""),"No")</f>
        <v>No</v>
      </c>
      <c r="H505" s="5" t="str">
        <f ca="1">IFERROR(__xludf.DUMMYFUNCTION("""COMPUTED_VALUE"""),"None")</f>
        <v>None</v>
      </c>
    </row>
    <row r="506" spans="1:8" ht="13">
      <c r="A506" s="5" t="str">
        <f ca="1">IFERROR(__xludf.DUMMYFUNCTION("""COMPUTED_VALUE"""),"20211106FLOVO")</f>
        <v>20211106FLOVO</v>
      </c>
      <c r="B506" s="5" t="str">
        <f ca="1">IFERROR(__xludf.DUMMYFUNCTION("""COMPUTED_VALUE"""),"Teen")</f>
        <v>Teen</v>
      </c>
      <c r="C506" s="5" t="str">
        <f ca="1">IFERROR(__xludf.DUMMYFUNCTION("""COMPUTED_VALUE"""),"Male")</f>
        <v>Male</v>
      </c>
      <c r="D506" s="5"/>
      <c r="E506" s="5" t="str">
        <f ca="1">IFERROR(__xludf.DUMMYFUNCTION("""COMPUTED_VALUE"""),"Student")</f>
        <v>Student</v>
      </c>
      <c r="F506" s="5" t="str">
        <f ca="1">IFERROR(__xludf.DUMMYFUNCTION("""COMPUTED_VALUE"""),"Fled/Apprehended")</f>
        <v>Fled/Apprehended</v>
      </c>
      <c r="G506" s="5" t="str">
        <f ca="1">IFERROR(__xludf.DUMMYFUNCTION("""COMPUTED_VALUE"""),"No")</f>
        <v>No</v>
      </c>
      <c r="H506" s="5" t="str">
        <f ca="1">IFERROR(__xludf.DUMMYFUNCTION("""COMPUTED_VALUE"""),"None")</f>
        <v>None</v>
      </c>
    </row>
    <row r="507" spans="1:8" ht="13">
      <c r="A507" s="5" t="str">
        <f ca="1">IFERROR(__xludf.DUMMYFUNCTION("""COMPUTED_VALUE"""),"20211102NMHIH")</f>
        <v>20211102NMHIH</v>
      </c>
      <c r="B507" s="5">
        <f ca="1">IFERROR(__xludf.DUMMYFUNCTION("""COMPUTED_VALUE"""),12)</f>
        <v>12</v>
      </c>
      <c r="C507" s="5" t="str">
        <f ca="1">IFERROR(__xludf.DUMMYFUNCTION("""COMPUTED_VALUE"""),"Male")</f>
        <v>Male</v>
      </c>
      <c r="D507" s="5" t="str">
        <f ca="1">IFERROR(__xludf.DUMMYFUNCTION("""COMPUTED_VALUE"""),"Hispanic")</f>
        <v>Hispanic</v>
      </c>
      <c r="E507" s="5" t="str">
        <f ca="1">IFERROR(__xludf.DUMMYFUNCTION("""COMPUTED_VALUE"""),"Student")</f>
        <v>Student</v>
      </c>
      <c r="F507" s="5" t="str">
        <f ca="1">IFERROR(__xludf.DUMMYFUNCTION("""COMPUTED_VALUE"""),"Fled/Apprehended")</f>
        <v>Fled/Apprehended</v>
      </c>
      <c r="G507" s="5" t="str">
        <f ca="1">IFERROR(__xludf.DUMMYFUNCTION("""COMPUTED_VALUE"""),"No")</f>
        <v>No</v>
      </c>
      <c r="H507" s="5" t="str">
        <f ca="1">IFERROR(__xludf.DUMMYFUNCTION("""COMPUTED_VALUE"""),"None")</f>
        <v>None</v>
      </c>
    </row>
    <row r="508" spans="1:8" ht="13">
      <c r="A508" s="5" t="str">
        <f ca="1">IFERROR(__xludf.DUMMYFUNCTION("""COMPUTED_VALUE"""),"20211102NMHIH")</f>
        <v>20211102NMHIH</v>
      </c>
      <c r="B508" s="5">
        <f ca="1">IFERROR(__xludf.DUMMYFUNCTION("""COMPUTED_VALUE"""),12)</f>
        <v>12</v>
      </c>
      <c r="C508" s="5" t="str">
        <f ca="1">IFERROR(__xludf.DUMMYFUNCTION("""COMPUTED_VALUE"""),"Male")</f>
        <v>Male</v>
      </c>
      <c r="D508" s="5"/>
      <c r="E508" s="5" t="str">
        <f ca="1">IFERROR(__xludf.DUMMYFUNCTION("""COMPUTED_VALUE"""),"Student")</f>
        <v>Student</v>
      </c>
      <c r="F508" s="5" t="str">
        <f ca="1">IFERROR(__xludf.DUMMYFUNCTION("""COMPUTED_VALUE"""),"Fled/Apprehended")</f>
        <v>Fled/Apprehended</v>
      </c>
      <c r="G508" s="5" t="str">
        <f ca="1">IFERROR(__xludf.DUMMYFUNCTION("""COMPUTED_VALUE"""),"No")</f>
        <v>No</v>
      </c>
      <c r="H508" s="5" t="str">
        <f ca="1">IFERROR(__xludf.DUMMYFUNCTION("""COMPUTED_VALUE"""),"None")</f>
        <v>None</v>
      </c>
    </row>
    <row r="509" spans="1:8" ht="13">
      <c r="A509" s="5" t="str">
        <f ca="1">IFERROR(__xludf.DUMMYFUNCTION("""COMPUTED_VALUE"""),"20211030PASTM")</f>
        <v>20211030PASTM</v>
      </c>
      <c r="B509" s="5" t="str">
        <f ca="1">IFERROR(__xludf.DUMMYFUNCTION("""COMPUTED_VALUE"""),"Adult")</f>
        <v>Adult</v>
      </c>
      <c r="C509" s="5" t="str">
        <f ca="1">IFERROR(__xludf.DUMMYFUNCTION("""COMPUTED_VALUE"""),"Male")</f>
        <v>Male</v>
      </c>
      <c r="D509" s="5"/>
      <c r="E509" s="5" t="str">
        <f ca="1">IFERROR(__xludf.DUMMYFUNCTION("""COMPUTED_VALUE"""),"Nonstudent Using Athletic Facilities/Attending Game")</f>
        <v>Nonstudent Using Athletic Facilities/Attending Game</v>
      </c>
      <c r="F509" s="5" t="str">
        <f ca="1">IFERROR(__xludf.DUMMYFUNCTION("""COMPUTED_VALUE"""),"Fled/Escaped")</f>
        <v>Fled/Escaped</v>
      </c>
      <c r="G509" s="5" t="str">
        <f ca="1">IFERROR(__xludf.DUMMYFUNCTION("""COMPUTED_VALUE"""),"No")</f>
        <v>No</v>
      </c>
      <c r="H509" s="5" t="str">
        <f ca="1">IFERROR(__xludf.DUMMYFUNCTION("""COMPUTED_VALUE"""),"None")</f>
        <v>None</v>
      </c>
    </row>
    <row r="510" spans="1:8" ht="13">
      <c r="A510" s="5" t="str">
        <f ca="1">IFERROR(__xludf.DUMMYFUNCTION("""COMPUTED_VALUE"""),"20211027SCCAS")</f>
        <v>20211027SCCAS</v>
      </c>
      <c r="B510" s="5">
        <f ca="1">IFERROR(__xludf.DUMMYFUNCTION("""COMPUTED_VALUE"""),17)</f>
        <v>17</v>
      </c>
      <c r="C510" s="5" t="str">
        <f ca="1">IFERROR(__xludf.DUMMYFUNCTION("""COMPUTED_VALUE"""),"Male")</f>
        <v>Male</v>
      </c>
      <c r="D510" s="5"/>
      <c r="E510" s="5" t="str">
        <f ca="1">IFERROR(__xludf.DUMMYFUNCTION("""COMPUTED_VALUE"""),"Student")</f>
        <v>Student</v>
      </c>
      <c r="F510" s="5" t="str">
        <f ca="1">IFERROR(__xludf.DUMMYFUNCTION("""COMPUTED_VALUE"""),"Fled/Apprehended")</f>
        <v>Fled/Apprehended</v>
      </c>
      <c r="G510" s="5" t="str">
        <f ca="1">IFERROR(__xludf.DUMMYFUNCTION("""COMPUTED_VALUE"""),"No")</f>
        <v>No</v>
      </c>
      <c r="H510" s="5" t="str">
        <f ca="1">IFERROR(__xludf.DUMMYFUNCTION("""COMPUTED_VALUE"""),"None")</f>
        <v>None</v>
      </c>
    </row>
    <row r="511" spans="1:8" ht="13">
      <c r="A511" s="5" t="str">
        <f ca="1">IFERROR(__xludf.DUMMYFUNCTION("""COMPUTED_VALUE"""),"20211026MSCAN")</f>
        <v>20211026MSCAN</v>
      </c>
      <c r="B511" s="5"/>
      <c r="C511" s="5"/>
      <c r="D511" s="5"/>
      <c r="E511" s="5"/>
      <c r="F511" s="5" t="str">
        <f ca="1">IFERROR(__xludf.DUMMYFUNCTION("""COMPUTED_VALUE"""),"Fled/Escaped")</f>
        <v>Fled/Escaped</v>
      </c>
      <c r="G511" s="5" t="str">
        <f ca="1">IFERROR(__xludf.DUMMYFUNCTION("""COMPUTED_VALUE"""),"No")</f>
        <v>No</v>
      </c>
      <c r="H511" s="5" t="str">
        <f ca="1">IFERROR(__xludf.DUMMYFUNCTION("""COMPUTED_VALUE"""),"None")</f>
        <v>None</v>
      </c>
    </row>
    <row r="512" spans="1:8" ht="13">
      <c r="A512" s="5" t="str">
        <f ca="1">IFERROR(__xludf.DUMMYFUNCTION("""COMPUTED_VALUE"""),"20211026ILWIC")</f>
        <v>20211026ILWIC</v>
      </c>
      <c r="B512" s="5" t="str">
        <f ca="1">IFERROR(__xludf.DUMMYFUNCTION("""COMPUTED_VALUE"""),"Adult")</f>
        <v>Adult</v>
      </c>
      <c r="C512" s="5" t="str">
        <f ca="1">IFERROR(__xludf.DUMMYFUNCTION("""COMPUTED_VALUE"""),"Male")</f>
        <v>Male</v>
      </c>
      <c r="D512" s="5"/>
      <c r="E512" s="5" t="str">
        <f ca="1">IFERROR(__xludf.DUMMYFUNCTION("""COMPUTED_VALUE"""),"No Relation")</f>
        <v>No Relation</v>
      </c>
      <c r="F512" s="5" t="str">
        <f ca="1">IFERROR(__xludf.DUMMYFUNCTION("""COMPUTED_VALUE"""),"Fled/Escaped")</f>
        <v>Fled/Escaped</v>
      </c>
      <c r="G512" s="5" t="str">
        <f ca="1">IFERROR(__xludf.DUMMYFUNCTION("""COMPUTED_VALUE"""),"No")</f>
        <v>No</v>
      </c>
      <c r="H512" s="5" t="str">
        <f ca="1">IFERROR(__xludf.DUMMYFUNCTION("""COMPUTED_VALUE"""),"None")</f>
        <v>None</v>
      </c>
    </row>
    <row r="513" spans="1:8" ht="13">
      <c r="A513" s="5" t="str">
        <f ca="1">IFERROR(__xludf.DUMMYFUNCTION("""COMPUTED_VALUE"""),"20211022PAPHP")</f>
        <v>20211022PAPHP</v>
      </c>
      <c r="B513" s="5">
        <f ca="1">IFERROR(__xludf.DUMMYFUNCTION("""COMPUTED_VALUE"""),18)</f>
        <v>18</v>
      </c>
      <c r="C513" s="5" t="str">
        <f ca="1">IFERROR(__xludf.DUMMYFUNCTION("""COMPUTED_VALUE"""),"Male")</f>
        <v>Male</v>
      </c>
      <c r="D513" s="5"/>
      <c r="E513" s="5" t="str">
        <f ca="1">IFERROR(__xludf.DUMMYFUNCTION("""COMPUTED_VALUE"""),"Student")</f>
        <v>Student</v>
      </c>
      <c r="F513" s="5" t="str">
        <f ca="1">IFERROR(__xludf.DUMMYFUNCTION("""COMPUTED_VALUE"""),"Apprehended/Killed by LE")</f>
        <v>Apprehended/Killed by LE</v>
      </c>
      <c r="G513" s="5" t="str">
        <f ca="1">IFERROR(__xludf.DUMMYFUNCTION("""COMPUTED_VALUE"""),"No")</f>
        <v>No</v>
      </c>
      <c r="H513" s="5" t="str">
        <f ca="1">IFERROR(__xludf.DUMMYFUNCTION("""COMPUTED_VALUE"""),"Wounded")</f>
        <v>Wounded</v>
      </c>
    </row>
    <row r="514" spans="1:8" ht="13">
      <c r="A514" s="5" t="str">
        <f ca="1">IFERROR(__xludf.DUMMYFUNCTION("""COMPUTED_VALUE"""),"20211021NYPSB")</f>
        <v>20211021NYPSB</v>
      </c>
      <c r="B514" s="5" t="str">
        <f ca="1">IFERROR(__xludf.DUMMYFUNCTION("""COMPUTED_VALUE"""),"Adult")</f>
        <v>Adult</v>
      </c>
      <c r="C514" s="5" t="str">
        <f ca="1">IFERROR(__xludf.DUMMYFUNCTION("""COMPUTED_VALUE"""),"Male")</f>
        <v>Male</v>
      </c>
      <c r="D514" s="5"/>
      <c r="E514" s="5" t="str">
        <f ca="1">IFERROR(__xludf.DUMMYFUNCTION("""COMPUTED_VALUE"""),"No Relation")</f>
        <v>No Relation</v>
      </c>
      <c r="F514" s="5" t="str">
        <f ca="1">IFERROR(__xludf.DUMMYFUNCTION("""COMPUTED_VALUE"""),"Fled/Apprehended")</f>
        <v>Fled/Apprehended</v>
      </c>
      <c r="G514" s="5" t="str">
        <f ca="1">IFERROR(__xludf.DUMMYFUNCTION("""COMPUTED_VALUE"""),"No")</f>
        <v>No</v>
      </c>
      <c r="H514" s="5" t="str">
        <f ca="1">IFERROR(__xludf.DUMMYFUNCTION("""COMPUTED_VALUE"""),"None")</f>
        <v>None</v>
      </c>
    </row>
    <row r="515" spans="1:8" ht="13">
      <c r="A515" s="5" t="str">
        <f ca="1">IFERROR(__xludf.DUMMYFUNCTION("""COMPUTED_VALUE"""),"20211021GABES")</f>
        <v>20211021GABES</v>
      </c>
      <c r="B515" s="5">
        <f ca="1">IFERROR(__xludf.DUMMYFUNCTION("""COMPUTED_VALUE"""),33)</f>
        <v>33</v>
      </c>
      <c r="C515" s="5" t="str">
        <f ca="1">IFERROR(__xludf.DUMMYFUNCTION("""COMPUTED_VALUE"""),"Male")</f>
        <v>Male</v>
      </c>
      <c r="D515" s="5" t="str">
        <f ca="1">IFERROR(__xludf.DUMMYFUNCTION("""COMPUTED_VALUE"""),"White")</f>
        <v>White</v>
      </c>
      <c r="E515" s="5" t="str">
        <f ca="1">IFERROR(__xludf.DUMMYFUNCTION("""COMPUTED_VALUE"""),"No Relation")</f>
        <v>No Relation</v>
      </c>
      <c r="F515" s="5" t="str">
        <f ca="1">IFERROR(__xludf.DUMMYFUNCTION("""COMPUTED_VALUE"""),"Apprehended/Killed by LE")</f>
        <v>Apprehended/Killed by LE</v>
      </c>
      <c r="G515" s="5" t="str">
        <f ca="1">IFERROR(__xludf.DUMMYFUNCTION("""COMPUTED_VALUE"""),"No")</f>
        <v>No</v>
      </c>
      <c r="H515" s="5" t="str">
        <f ca="1">IFERROR(__xludf.DUMMYFUNCTION("""COMPUTED_VALUE"""),"None")</f>
        <v>None</v>
      </c>
    </row>
    <row r="516" spans="1:8" ht="13">
      <c r="A516" s="5" t="str">
        <f ca="1">IFERROR(__xludf.DUMMYFUNCTION("""COMPUTED_VALUE"""),"20211018PALIP")</f>
        <v>20211018PALIP</v>
      </c>
      <c r="B516" s="5">
        <f ca="1">IFERROR(__xludf.DUMMYFUNCTION("""COMPUTED_VALUE"""),21)</f>
        <v>21</v>
      </c>
      <c r="C516" s="5" t="str">
        <f ca="1">IFERROR(__xludf.DUMMYFUNCTION("""COMPUTED_VALUE"""),"Male")</f>
        <v>Male</v>
      </c>
      <c r="D516" s="5"/>
      <c r="E516" s="5" t="str">
        <f ca="1">IFERROR(__xludf.DUMMYFUNCTION("""COMPUTED_VALUE"""),"Relative")</f>
        <v>Relative</v>
      </c>
      <c r="F516" s="5" t="str">
        <f ca="1">IFERROR(__xludf.DUMMYFUNCTION("""COMPUTED_VALUE"""),"Apprehended/Killed by LE")</f>
        <v>Apprehended/Killed by LE</v>
      </c>
      <c r="G516" s="5" t="str">
        <f ca="1">IFERROR(__xludf.DUMMYFUNCTION("""COMPUTED_VALUE"""),"No")</f>
        <v>No</v>
      </c>
      <c r="H516" s="5" t="str">
        <f ca="1">IFERROR(__xludf.DUMMYFUNCTION("""COMPUTED_VALUE"""),"None")</f>
        <v>None</v>
      </c>
    </row>
    <row r="517" spans="1:8" ht="13">
      <c r="A517" s="5" t="str">
        <f ca="1">IFERROR(__xludf.DUMMYFUNCTION("""COMPUTED_VALUE"""),"20211017ARROR")</f>
        <v>20211017ARROR</v>
      </c>
      <c r="B517" s="5">
        <f ca="1">IFERROR(__xludf.DUMMYFUNCTION("""COMPUTED_VALUE"""),28)</f>
        <v>28</v>
      </c>
      <c r="C517" s="5" t="str">
        <f ca="1">IFERROR(__xludf.DUMMYFUNCTION("""COMPUTED_VALUE"""),"Male")</f>
        <v>Male</v>
      </c>
      <c r="D517" s="5"/>
      <c r="E517" s="5" t="str">
        <f ca="1">IFERROR(__xludf.DUMMYFUNCTION("""COMPUTED_VALUE"""),"No Relation")</f>
        <v>No Relation</v>
      </c>
      <c r="F517" s="5" t="str">
        <f ca="1">IFERROR(__xludf.DUMMYFUNCTION("""COMPUTED_VALUE"""),"Fled/Apprehended")</f>
        <v>Fled/Apprehended</v>
      </c>
      <c r="G517" s="5" t="str">
        <f ca="1">IFERROR(__xludf.DUMMYFUNCTION("""COMPUTED_VALUE"""),"No")</f>
        <v>No</v>
      </c>
      <c r="H517" s="5" t="str">
        <f ca="1">IFERROR(__xludf.DUMMYFUNCTION("""COMPUTED_VALUE"""),"None")</f>
        <v>None</v>
      </c>
    </row>
    <row r="518" spans="1:8" ht="13">
      <c r="A518" s="5" t="str">
        <f ca="1">IFERROR(__xludf.DUMMYFUNCTION("""COMPUTED_VALUE"""),"20211015CAKEF")</f>
        <v>20211015CAKEF</v>
      </c>
      <c r="B518" s="5">
        <f ca="1">IFERROR(__xludf.DUMMYFUNCTION("""COMPUTED_VALUE"""),33)</f>
        <v>33</v>
      </c>
      <c r="C518" s="5" t="str">
        <f ca="1">IFERROR(__xludf.DUMMYFUNCTION("""COMPUTED_VALUE"""),"Male")</f>
        <v>Male</v>
      </c>
      <c r="D518" s="5" t="str">
        <f ca="1">IFERROR(__xludf.DUMMYFUNCTION("""COMPUTED_VALUE"""),"Black")</f>
        <v>Black</v>
      </c>
      <c r="E518" s="5" t="str">
        <f ca="1">IFERROR(__xludf.DUMMYFUNCTION("""COMPUTED_VALUE"""),"No Relation")</f>
        <v>No Relation</v>
      </c>
      <c r="F518" s="5" t="str">
        <f ca="1">IFERROR(__xludf.DUMMYFUNCTION("""COMPUTED_VALUE"""),"Surrendered")</f>
        <v>Surrendered</v>
      </c>
      <c r="G518" s="5" t="str">
        <f ca="1">IFERROR(__xludf.DUMMYFUNCTION("""COMPUTED_VALUE"""),"No")</f>
        <v>No</v>
      </c>
      <c r="H518" s="5" t="str">
        <f ca="1">IFERROR(__xludf.DUMMYFUNCTION("""COMPUTED_VALUE"""),"None")</f>
        <v>None</v>
      </c>
    </row>
    <row r="519" spans="1:8" ht="13">
      <c r="A519" s="5" t="str">
        <f ca="1">IFERROR(__xludf.DUMMYFUNCTION("""COMPUTED_VALUE"""),"20211015ALWIM")</f>
        <v>20211015ALWIM</v>
      </c>
      <c r="B519" s="5">
        <f ca="1">IFERROR(__xludf.DUMMYFUNCTION("""COMPUTED_VALUE"""),19)</f>
        <v>19</v>
      </c>
      <c r="C519" s="5" t="str">
        <f ca="1">IFERROR(__xludf.DUMMYFUNCTION("""COMPUTED_VALUE"""),"Male")</f>
        <v>Male</v>
      </c>
      <c r="D519" s="5" t="str">
        <f ca="1">IFERROR(__xludf.DUMMYFUNCTION("""COMPUTED_VALUE"""),"Black")</f>
        <v>Black</v>
      </c>
      <c r="E519" s="5" t="str">
        <f ca="1">IFERROR(__xludf.DUMMYFUNCTION("""COMPUTED_VALUE"""),"Nonstudent Using Athletic Facilities/Attending Game")</f>
        <v>Nonstudent Using Athletic Facilities/Attending Game</v>
      </c>
      <c r="F519" s="5" t="str">
        <f ca="1">IFERROR(__xludf.DUMMYFUNCTION("""COMPUTED_VALUE"""),"Fled/Escaped")</f>
        <v>Fled/Escaped</v>
      </c>
      <c r="G519" s="5" t="str">
        <f ca="1">IFERROR(__xludf.DUMMYFUNCTION("""COMPUTED_VALUE"""),"No")</f>
        <v>No</v>
      </c>
      <c r="H519" s="5" t="str">
        <f ca="1">IFERROR(__xludf.DUMMYFUNCTION("""COMPUTED_VALUE"""),"None")</f>
        <v>None</v>
      </c>
    </row>
    <row r="520" spans="1:8" ht="13">
      <c r="A520" s="5" t="str">
        <f ca="1">IFERROR(__xludf.DUMMYFUNCTION("""COMPUTED_VALUE"""),"20211014MEREP")</f>
        <v>20211014MEREP</v>
      </c>
      <c r="B520" s="5"/>
      <c r="C520" s="5"/>
      <c r="D520" s="5"/>
      <c r="E520" s="5" t="str">
        <f ca="1">IFERROR(__xludf.DUMMYFUNCTION("""COMPUTED_VALUE"""),"No Relation")</f>
        <v>No Relation</v>
      </c>
      <c r="F520" s="5" t="str">
        <f ca="1">IFERROR(__xludf.DUMMYFUNCTION("""COMPUTED_VALUE"""),"Fled/Escaped")</f>
        <v>Fled/Escaped</v>
      </c>
      <c r="G520" s="5" t="str">
        <f ca="1">IFERROR(__xludf.DUMMYFUNCTION("""COMPUTED_VALUE"""),"No")</f>
        <v>No</v>
      </c>
      <c r="H520" s="5" t="str">
        <f ca="1">IFERROR(__xludf.DUMMYFUNCTION("""COMPUTED_VALUE"""),"None")</f>
        <v>None</v>
      </c>
    </row>
    <row r="521" spans="1:8" ht="13">
      <c r="A521" s="5" t="str">
        <f ca="1">IFERROR(__xludf.DUMMYFUNCTION("""COMPUTED_VALUE"""),"20211013PACHD")</f>
        <v>20211013PACHD</v>
      </c>
      <c r="B521" s="5">
        <f ca="1">IFERROR(__xludf.DUMMYFUNCTION("""COMPUTED_VALUE"""),10)</f>
        <v>10</v>
      </c>
      <c r="C521" s="5" t="str">
        <f ca="1">IFERROR(__xludf.DUMMYFUNCTION("""COMPUTED_VALUE"""),"Male")</f>
        <v>Male</v>
      </c>
      <c r="D521" s="5"/>
      <c r="E521" s="5" t="str">
        <f ca="1">IFERROR(__xludf.DUMMYFUNCTION("""COMPUTED_VALUE"""),"Student")</f>
        <v>Student</v>
      </c>
      <c r="F521" s="5" t="str">
        <f ca="1">IFERROR(__xludf.DUMMYFUNCTION("""COMPUTED_VALUE"""),"Subdued by Students/Staff/Other")</f>
        <v>Subdued by Students/Staff/Other</v>
      </c>
      <c r="G521" s="5" t="str">
        <f ca="1">IFERROR(__xludf.DUMMYFUNCTION("""COMPUTED_VALUE"""),"No")</f>
        <v>No</v>
      </c>
      <c r="H521" s="5" t="str">
        <f ca="1">IFERROR(__xludf.DUMMYFUNCTION("""COMPUTED_VALUE"""),"None")</f>
        <v>None</v>
      </c>
    </row>
    <row r="522" spans="1:8" ht="13">
      <c r="A522" s="5" t="str">
        <f ca="1">IFERROR(__xludf.DUMMYFUNCTION("""COMPUTED_VALUE"""),"20211013PACHD")</f>
        <v>20211013PACHD</v>
      </c>
      <c r="B522" s="5">
        <f ca="1">IFERROR(__xludf.DUMMYFUNCTION("""COMPUTED_VALUE"""),10)</f>
        <v>10</v>
      </c>
      <c r="C522" s="5" t="str">
        <f ca="1">IFERROR(__xludf.DUMMYFUNCTION("""COMPUTED_VALUE"""),"Male")</f>
        <v>Male</v>
      </c>
      <c r="D522" s="5"/>
      <c r="E522" s="5" t="str">
        <f ca="1">IFERROR(__xludf.DUMMYFUNCTION("""COMPUTED_VALUE"""),"Student")</f>
        <v>Student</v>
      </c>
      <c r="F522" s="5" t="str">
        <f ca="1">IFERROR(__xludf.DUMMYFUNCTION("""COMPUTED_VALUE"""),"Subdued by Students/Staff/Other")</f>
        <v>Subdued by Students/Staff/Other</v>
      </c>
      <c r="G522" s="5" t="str">
        <f ca="1">IFERROR(__xludf.DUMMYFUNCTION("""COMPUTED_VALUE"""),"No")</f>
        <v>No</v>
      </c>
      <c r="H522" s="5" t="str">
        <f ca="1">IFERROR(__xludf.DUMMYFUNCTION("""COMPUTED_VALUE"""),"None")</f>
        <v>None</v>
      </c>
    </row>
    <row r="523" spans="1:8" ht="13">
      <c r="A523" s="5" t="str">
        <f ca="1">IFERROR(__xludf.DUMMYFUNCTION("""COMPUTED_VALUE"""),"20211013ILMCC")</f>
        <v>20211013ILMCC</v>
      </c>
      <c r="B523" s="5"/>
      <c r="C523" s="5"/>
      <c r="D523" s="5"/>
      <c r="E523" s="5" t="str">
        <f ca="1">IFERROR(__xludf.DUMMYFUNCTION("""COMPUTED_VALUE"""),"No Relation")</f>
        <v>No Relation</v>
      </c>
      <c r="F523" s="5" t="str">
        <f ca="1">IFERROR(__xludf.DUMMYFUNCTION("""COMPUTED_VALUE"""),"Fled/Escaped")</f>
        <v>Fled/Escaped</v>
      </c>
      <c r="G523" s="5" t="str">
        <f ca="1">IFERROR(__xludf.DUMMYFUNCTION("""COMPUTED_VALUE"""),"No")</f>
        <v>No</v>
      </c>
      <c r="H523" s="5" t="str">
        <f ca="1">IFERROR(__xludf.DUMMYFUNCTION("""COMPUTED_VALUE"""),"None")</f>
        <v>None</v>
      </c>
    </row>
    <row r="524" spans="1:8" ht="13">
      <c r="A524" s="5" t="str">
        <f ca="1">IFERROR(__xludf.DUMMYFUNCTION("""COMPUTED_VALUE"""),"20211012OKUNT")</f>
        <v>20211012OKUNT</v>
      </c>
      <c r="B524" s="5" t="str">
        <f ca="1">IFERROR(__xludf.DUMMYFUNCTION("""COMPUTED_VALUE"""),"Teen")</f>
        <v>Teen</v>
      </c>
      <c r="C524" s="5" t="str">
        <f ca="1">IFERROR(__xludf.DUMMYFUNCTION("""COMPUTED_VALUE"""),"Male")</f>
        <v>Male</v>
      </c>
      <c r="D524" s="5"/>
      <c r="E524" s="5" t="str">
        <f ca="1">IFERROR(__xludf.DUMMYFUNCTION("""COMPUTED_VALUE"""),"Student")</f>
        <v>Student</v>
      </c>
      <c r="F524" s="5" t="str">
        <f ca="1">IFERROR(__xludf.DUMMYFUNCTION("""COMPUTED_VALUE"""),"Fled/Apprehended")</f>
        <v>Fled/Apprehended</v>
      </c>
      <c r="G524" s="5" t="str">
        <f ca="1">IFERROR(__xludf.DUMMYFUNCTION("""COMPUTED_VALUE"""),"No")</f>
        <v>No</v>
      </c>
      <c r="H524" s="5" t="str">
        <f ca="1">IFERROR(__xludf.DUMMYFUNCTION("""COMPUTED_VALUE"""),"None")</f>
        <v>None</v>
      </c>
    </row>
    <row r="525" spans="1:8" ht="13">
      <c r="A525" s="5" t="str">
        <f ca="1">IFERROR(__xludf.DUMMYFUNCTION("""COMPUTED_VALUE"""),"20211012MIELK")</f>
        <v>20211012MIELK</v>
      </c>
      <c r="B525" s="5"/>
      <c r="C525" s="5" t="str">
        <f ca="1">IFERROR(__xludf.DUMMYFUNCTION("""COMPUTED_VALUE"""),"Male")</f>
        <v>Male</v>
      </c>
      <c r="D525" s="5"/>
      <c r="E525" s="5" t="str">
        <f ca="1">IFERROR(__xludf.DUMMYFUNCTION("""COMPUTED_VALUE"""),"No Relation")</f>
        <v>No Relation</v>
      </c>
      <c r="F525" s="5" t="str">
        <f ca="1">IFERROR(__xludf.DUMMYFUNCTION("""COMPUTED_VALUE"""),"Fled/Escaped")</f>
        <v>Fled/Escaped</v>
      </c>
      <c r="G525" s="5" t="str">
        <f ca="1">IFERROR(__xludf.DUMMYFUNCTION("""COMPUTED_VALUE"""),"No")</f>
        <v>No</v>
      </c>
      <c r="H525" s="5" t="str">
        <f ca="1">IFERROR(__xludf.DUMMYFUNCTION("""COMPUTED_VALUE"""),"None")</f>
        <v>None</v>
      </c>
    </row>
    <row r="526" spans="1:8" ht="13">
      <c r="A526" s="5" t="str">
        <f ca="1">IFERROR(__xludf.DUMMYFUNCTION("""COMPUTED_VALUE"""),"20211012ILWEC")</f>
        <v>20211012ILWEC</v>
      </c>
      <c r="B526" s="5"/>
      <c r="C526" s="5"/>
      <c r="D526" s="5"/>
      <c r="E526" s="5"/>
      <c r="F526" s="5" t="str">
        <f ca="1">IFERROR(__xludf.DUMMYFUNCTION("""COMPUTED_VALUE"""),"Fled/Escaped")</f>
        <v>Fled/Escaped</v>
      </c>
      <c r="G526" s="5" t="str">
        <f ca="1">IFERROR(__xludf.DUMMYFUNCTION("""COMPUTED_VALUE"""),"No")</f>
        <v>No</v>
      </c>
      <c r="H526" s="5" t="str">
        <f ca="1">IFERROR(__xludf.DUMMYFUNCTION("""COMPUTED_VALUE"""),"None")</f>
        <v>None</v>
      </c>
    </row>
    <row r="527" spans="1:8" ht="13">
      <c r="A527" s="5" t="str">
        <f ca="1">IFERROR(__xludf.DUMMYFUNCTION("""COMPUTED_VALUE"""),"20211012ARLIL")</f>
        <v>20211012ARLIL</v>
      </c>
      <c r="B527" s="5"/>
      <c r="C527" s="5"/>
      <c r="D527" s="5"/>
      <c r="E527" s="5" t="str">
        <f ca="1">IFERROR(__xludf.DUMMYFUNCTION("""COMPUTED_VALUE"""),"No Relation")</f>
        <v>No Relation</v>
      </c>
      <c r="F527" s="5" t="str">
        <f ca="1">IFERROR(__xludf.DUMMYFUNCTION("""COMPUTED_VALUE"""),"Fled/Escaped")</f>
        <v>Fled/Escaped</v>
      </c>
      <c r="G527" s="5" t="str">
        <f ca="1">IFERROR(__xludf.DUMMYFUNCTION("""COMPUTED_VALUE"""),"No")</f>
        <v>No</v>
      </c>
      <c r="H527" s="5" t="str">
        <f ca="1">IFERROR(__xludf.DUMMYFUNCTION("""COMPUTED_VALUE"""),"None")</f>
        <v>None</v>
      </c>
    </row>
    <row r="528" spans="1:8" ht="13">
      <c r="A528" s="5" t="str">
        <f ca="1">IFERROR(__xludf.DUMMYFUNCTION("""COMPUTED_VALUE"""),"20211011ORROP")</f>
        <v>20211011ORROP</v>
      </c>
      <c r="B528" s="5"/>
      <c r="C528" s="5"/>
      <c r="D528" s="5"/>
      <c r="E528" s="5"/>
      <c r="F528" s="5" t="str">
        <f ca="1">IFERROR(__xludf.DUMMYFUNCTION("""COMPUTED_VALUE"""),"Fled/Escaped")</f>
        <v>Fled/Escaped</v>
      </c>
      <c r="G528" s="5" t="str">
        <f ca="1">IFERROR(__xludf.DUMMYFUNCTION("""COMPUTED_VALUE"""),"No")</f>
        <v>No</v>
      </c>
      <c r="H528" s="5" t="str">
        <f ca="1">IFERROR(__xludf.DUMMYFUNCTION("""COMPUTED_VALUE"""),"None")</f>
        <v>None</v>
      </c>
    </row>
    <row r="529" spans="1:8" ht="13">
      <c r="A529" s="5" t="str">
        <f ca="1">IFERROR(__xludf.DUMMYFUNCTION("""COMPUTED_VALUE"""),"20211008OKCOC")</f>
        <v>20211008OKCOC</v>
      </c>
      <c r="B529" s="5" t="str">
        <f ca="1">IFERROR(__xludf.DUMMYFUNCTION("""COMPUTED_VALUE"""),"Teen")</f>
        <v>Teen</v>
      </c>
      <c r="C529" s="5"/>
      <c r="D529" s="5"/>
      <c r="E529" s="5" t="str">
        <f ca="1">IFERROR(__xludf.DUMMYFUNCTION("""COMPUTED_VALUE"""),"Student")</f>
        <v>Student</v>
      </c>
      <c r="F529" s="5" t="str">
        <f ca="1">IFERROR(__xludf.DUMMYFUNCTION("""COMPUTED_VALUE"""),"Apprehended/Killed by LE")</f>
        <v>Apprehended/Killed by LE</v>
      </c>
      <c r="G529" s="5" t="str">
        <f ca="1">IFERROR(__xludf.DUMMYFUNCTION("""COMPUTED_VALUE"""),"No")</f>
        <v>No</v>
      </c>
      <c r="H529" s="5" t="str">
        <f ca="1">IFERROR(__xludf.DUMMYFUNCTION("""COMPUTED_VALUE"""),"None")</f>
        <v>None</v>
      </c>
    </row>
    <row r="530" spans="1:8" ht="13">
      <c r="A530" s="5" t="str">
        <f ca="1">IFERROR(__xludf.DUMMYFUNCTION("""COMPUTED_VALUE"""),"20211007TXEAW")</f>
        <v>20211007TXEAW</v>
      </c>
      <c r="B530" s="5"/>
      <c r="C530" s="5"/>
      <c r="D530" s="5"/>
      <c r="E530" s="5" t="str">
        <f ca="1">IFERROR(__xludf.DUMMYFUNCTION("""COMPUTED_VALUE"""),"No Relation")</f>
        <v>No Relation</v>
      </c>
      <c r="F530" s="5" t="str">
        <f ca="1">IFERROR(__xludf.DUMMYFUNCTION("""COMPUTED_VALUE"""),"Fled/Escaped")</f>
        <v>Fled/Escaped</v>
      </c>
      <c r="G530" s="5" t="str">
        <f ca="1">IFERROR(__xludf.DUMMYFUNCTION("""COMPUTED_VALUE"""),"No")</f>
        <v>No</v>
      </c>
      <c r="H530" s="5" t="str">
        <f ca="1">IFERROR(__xludf.DUMMYFUNCTION("""COMPUTED_VALUE"""),"None")</f>
        <v>None</v>
      </c>
    </row>
    <row r="531" spans="1:8" ht="13">
      <c r="A531" s="5" t="str">
        <f ca="1">IFERROR(__xludf.DUMMYFUNCTION("""COMPUTED_VALUE"""),"20211007PAANP")</f>
        <v>20211007PAANP</v>
      </c>
      <c r="B531" s="5"/>
      <c r="C531" s="5"/>
      <c r="D531" s="5"/>
      <c r="E531" s="5"/>
      <c r="F531" s="5" t="str">
        <f ca="1">IFERROR(__xludf.DUMMYFUNCTION("""COMPUTED_VALUE"""),"Fled/Escaped")</f>
        <v>Fled/Escaped</v>
      </c>
      <c r="G531" s="5" t="str">
        <f ca="1">IFERROR(__xludf.DUMMYFUNCTION("""COMPUTED_VALUE"""),"No")</f>
        <v>No</v>
      </c>
      <c r="H531" s="5" t="str">
        <f ca="1">IFERROR(__xludf.DUMMYFUNCTION("""COMPUTED_VALUE"""),"None")</f>
        <v>None</v>
      </c>
    </row>
    <row r="532" spans="1:8" ht="13">
      <c r="A532" s="5" t="str">
        <f ca="1">IFERROR(__xludf.DUMMYFUNCTION("""COMPUTED_VALUE"""),"20211007NCEAD")</f>
        <v>20211007NCEAD</v>
      </c>
      <c r="B532" s="5">
        <f ca="1">IFERROR(__xludf.DUMMYFUNCTION("""COMPUTED_VALUE"""),39)</f>
        <v>39</v>
      </c>
      <c r="C532" s="5" t="str">
        <f ca="1">IFERROR(__xludf.DUMMYFUNCTION("""COMPUTED_VALUE"""),"Male")</f>
        <v>Male</v>
      </c>
      <c r="D532" s="5"/>
      <c r="E532" s="5" t="str">
        <f ca="1">IFERROR(__xludf.DUMMYFUNCTION("""COMPUTED_VALUE"""),"No Relation")</f>
        <v>No Relation</v>
      </c>
      <c r="F532" s="5" t="str">
        <f ca="1">IFERROR(__xludf.DUMMYFUNCTION("""COMPUTED_VALUE"""),"Suicide")</f>
        <v>Suicide</v>
      </c>
      <c r="G532" s="5" t="str">
        <f ca="1">IFERROR(__xludf.DUMMYFUNCTION("""COMPUTED_VALUE"""),"Yes")</f>
        <v>Yes</v>
      </c>
      <c r="H532" s="5" t="str">
        <f ca="1">IFERROR(__xludf.DUMMYFUNCTION("""COMPUTED_VALUE"""),"Suicide")</f>
        <v>Suicide</v>
      </c>
    </row>
    <row r="533" spans="1:8" ht="13">
      <c r="A533" s="5" t="str">
        <f ca="1">IFERROR(__xludf.DUMMYFUNCTION("""COMPUTED_VALUE"""),"20211007DCWAW")</f>
        <v>20211007DCWAW</v>
      </c>
      <c r="B533" s="5">
        <f ca="1">IFERROR(__xludf.DUMMYFUNCTION("""COMPUTED_VALUE"""),18)</f>
        <v>18</v>
      </c>
      <c r="C533" s="5" t="str">
        <f ca="1">IFERROR(__xludf.DUMMYFUNCTION("""COMPUTED_VALUE"""),"Male")</f>
        <v>Male</v>
      </c>
      <c r="D533" s="5" t="str">
        <f ca="1">IFERROR(__xludf.DUMMYFUNCTION("""COMPUTED_VALUE"""),"Black")</f>
        <v>Black</v>
      </c>
      <c r="E533" s="5" t="str">
        <f ca="1">IFERROR(__xludf.DUMMYFUNCTION("""COMPUTED_VALUE"""),"Nonstudent Using Athletic Facilities/Attending Game")</f>
        <v>Nonstudent Using Athletic Facilities/Attending Game</v>
      </c>
      <c r="F533" s="5" t="str">
        <f ca="1">IFERROR(__xludf.DUMMYFUNCTION("""COMPUTED_VALUE"""),"Fled/Apprehended")</f>
        <v>Fled/Apprehended</v>
      </c>
      <c r="G533" s="5" t="str">
        <f ca="1">IFERROR(__xludf.DUMMYFUNCTION("""COMPUTED_VALUE"""),"No")</f>
        <v>No</v>
      </c>
      <c r="H533" s="5" t="str">
        <f ca="1">IFERROR(__xludf.DUMMYFUNCTION("""COMPUTED_VALUE"""),"None")</f>
        <v>None</v>
      </c>
    </row>
    <row r="534" spans="1:8" ht="13">
      <c r="A534" s="5" t="str">
        <f ca="1">IFERROR(__xludf.DUMMYFUNCTION("""COMPUTED_VALUE"""),"20211006TXTIA")</f>
        <v>20211006TXTIA</v>
      </c>
      <c r="B534" s="5">
        <f ca="1">IFERROR(__xludf.DUMMYFUNCTION("""COMPUTED_VALUE"""),18)</f>
        <v>18</v>
      </c>
      <c r="C534" s="5" t="str">
        <f ca="1">IFERROR(__xludf.DUMMYFUNCTION("""COMPUTED_VALUE"""),"Male")</f>
        <v>Male</v>
      </c>
      <c r="D534" s="5" t="str">
        <f ca="1">IFERROR(__xludf.DUMMYFUNCTION("""COMPUTED_VALUE"""),"Black")</f>
        <v>Black</v>
      </c>
      <c r="E534" s="5" t="str">
        <f ca="1">IFERROR(__xludf.DUMMYFUNCTION("""COMPUTED_VALUE"""),"Student")</f>
        <v>Student</v>
      </c>
      <c r="F534" s="5" t="str">
        <f ca="1">IFERROR(__xludf.DUMMYFUNCTION("""COMPUTED_VALUE"""),"Fled/Apprehended")</f>
        <v>Fled/Apprehended</v>
      </c>
      <c r="G534" s="5" t="str">
        <f ca="1">IFERROR(__xludf.DUMMYFUNCTION("""COMPUTED_VALUE"""),"No")</f>
        <v>No</v>
      </c>
      <c r="H534" s="5" t="str">
        <f ca="1">IFERROR(__xludf.DUMMYFUNCTION("""COMPUTED_VALUE"""),"None")</f>
        <v>None</v>
      </c>
    </row>
    <row r="535" spans="1:8" ht="13">
      <c r="A535" s="5" t="str">
        <f ca="1">IFERROR(__xludf.DUMMYFUNCTION("""COMPUTED_VALUE"""),"20211005NDHEH")</f>
        <v>20211005NDHEH</v>
      </c>
      <c r="B535" s="5" t="str">
        <f ca="1">IFERROR(__xludf.DUMMYFUNCTION("""COMPUTED_VALUE"""),"Teen")</f>
        <v>Teen</v>
      </c>
      <c r="C535" s="5"/>
      <c r="D535" s="5"/>
      <c r="E535" s="5" t="str">
        <f ca="1">IFERROR(__xludf.DUMMYFUNCTION("""COMPUTED_VALUE"""),"Student")</f>
        <v>Student</v>
      </c>
      <c r="F535" s="5" t="str">
        <f ca="1">IFERROR(__xludf.DUMMYFUNCTION("""COMPUTED_VALUE"""),"Suicide")</f>
        <v>Suicide</v>
      </c>
      <c r="G535" s="5"/>
      <c r="H535" s="5" t="str">
        <f ca="1">IFERROR(__xludf.DUMMYFUNCTION("""COMPUTED_VALUE"""),"Suicide")</f>
        <v>Suicide</v>
      </c>
    </row>
    <row r="536" spans="1:8" ht="13">
      <c r="A536" s="5" t="str">
        <f ca="1">IFERROR(__xludf.DUMMYFUNCTION("""COMPUTED_VALUE"""),"20211005NCGAC")</f>
        <v>20211005NCGAC</v>
      </c>
      <c r="B536" s="5" t="str">
        <f ca="1">IFERROR(__xludf.DUMMYFUNCTION("""COMPUTED_VALUE"""),"Teen")</f>
        <v>Teen</v>
      </c>
      <c r="C536" s="5" t="str">
        <f ca="1">IFERROR(__xludf.DUMMYFUNCTION("""COMPUTED_VALUE"""),"Male")</f>
        <v>Male</v>
      </c>
      <c r="D536" s="5"/>
      <c r="E536" s="5" t="str">
        <f ca="1">IFERROR(__xludf.DUMMYFUNCTION("""COMPUTED_VALUE"""),"Student")</f>
        <v>Student</v>
      </c>
      <c r="F536" s="5" t="str">
        <f ca="1">IFERROR(__xludf.DUMMYFUNCTION("""COMPUTED_VALUE"""),"Apprehended/Killed by LE")</f>
        <v>Apprehended/Killed by LE</v>
      </c>
      <c r="G536" s="5" t="str">
        <f ca="1">IFERROR(__xludf.DUMMYFUNCTION("""COMPUTED_VALUE"""),"No")</f>
        <v>No</v>
      </c>
      <c r="H536" s="5" t="str">
        <f ca="1">IFERROR(__xludf.DUMMYFUNCTION("""COMPUTED_VALUE"""),"None")</f>
        <v>None</v>
      </c>
    </row>
    <row r="537" spans="1:8" ht="13">
      <c r="A537" s="5" t="str">
        <f ca="1">IFERROR(__xludf.DUMMYFUNCTION("""COMPUTED_VALUE"""),"20211004PASCP")</f>
        <v>20211004PASCP</v>
      </c>
      <c r="B537" s="5" t="str">
        <f ca="1">IFERROR(__xludf.DUMMYFUNCTION("""COMPUTED_VALUE"""),"Adult")</f>
        <v>Adult</v>
      </c>
      <c r="C537" s="5" t="str">
        <f ca="1">IFERROR(__xludf.DUMMYFUNCTION("""COMPUTED_VALUE"""),"Male")</f>
        <v>Male</v>
      </c>
      <c r="D537" s="5"/>
      <c r="E537" s="5" t="str">
        <f ca="1">IFERROR(__xludf.DUMMYFUNCTION("""COMPUTED_VALUE"""),"No Relation")</f>
        <v>No Relation</v>
      </c>
      <c r="F537" s="5" t="str">
        <f ca="1">IFERROR(__xludf.DUMMYFUNCTION("""COMPUTED_VALUE"""),"Apprehended/Killed by LE")</f>
        <v>Apprehended/Killed by LE</v>
      </c>
      <c r="G537" s="5" t="str">
        <f ca="1">IFERROR(__xludf.DUMMYFUNCTION("""COMPUTED_VALUE"""),"No")</f>
        <v>No</v>
      </c>
      <c r="H537" s="5" t="str">
        <f ca="1">IFERROR(__xludf.DUMMYFUNCTION("""COMPUTED_VALUE"""),"Wounded")</f>
        <v>Wounded</v>
      </c>
    </row>
    <row r="538" spans="1:8" ht="13">
      <c r="A538" s="5" t="str">
        <f ca="1">IFERROR(__xludf.DUMMYFUNCTION("""COMPUTED_VALUE"""),"20211004OHWOT")</f>
        <v>20211004OHWOT</v>
      </c>
      <c r="B538" s="5"/>
      <c r="C538" s="5" t="str">
        <f ca="1">IFERROR(__xludf.DUMMYFUNCTION("""COMPUTED_VALUE"""),"Male")</f>
        <v>Male</v>
      </c>
      <c r="D538" s="5"/>
      <c r="E538" s="5"/>
      <c r="F538" s="5" t="str">
        <f ca="1">IFERROR(__xludf.DUMMYFUNCTION("""COMPUTED_VALUE"""),"Fled/Escaped")</f>
        <v>Fled/Escaped</v>
      </c>
      <c r="G538" s="5" t="str">
        <f ca="1">IFERROR(__xludf.DUMMYFUNCTION("""COMPUTED_VALUE"""),"No")</f>
        <v>No</v>
      </c>
      <c r="H538" s="5" t="str">
        <f ca="1">IFERROR(__xludf.DUMMYFUNCTION("""COMPUTED_VALUE"""),"None")</f>
        <v>None</v>
      </c>
    </row>
    <row r="539" spans="1:8" ht="13">
      <c r="A539" s="5" t="str">
        <f ca="1">IFERROR(__xludf.DUMMYFUNCTION("""COMPUTED_VALUE"""),"20211004ILLAC")</f>
        <v>20211004ILLAC</v>
      </c>
      <c r="B539" s="5"/>
      <c r="C539" s="5"/>
      <c r="D539" s="5"/>
      <c r="E539" s="5"/>
      <c r="F539" s="5" t="str">
        <f ca="1">IFERROR(__xludf.DUMMYFUNCTION("""COMPUTED_VALUE"""),"Fled/Escaped")</f>
        <v>Fled/Escaped</v>
      </c>
      <c r="G539" s="5" t="str">
        <f ca="1">IFERROR(__xludf.DUMMYFUNCTION("""COMPUTED_VALUE"""),"No")</f>
        <v>No</v>
      </c>
      <c r="H539" s="5" t="str">
        <f ca="1">IFERROR(__xludf.DUMMYFUNCTION("""COMPUTED_VALUE"""),"None")</f>
        <v>None</v>
      </c>
    </row>
    <row r="540" spans="1:8" ht="13">
      <c r="A540" s="5" t="str">
        <f ca="1">IFERROR(__xludf.DUMMYFUNCTION("""COMPUTED_VALUE"""),"20211001TXYEH")</f>
        <v>20211001TXYEH</v>
      </c>
      <c r="B540" s="5">
        <f ca="1">IFERROR(__xludf.DUMMYFUNCTION("""COMPUTED_VALUE"""),25)</f>
        <v>25</v>
      </c>
      <c r="C540" s="5" t="str">
        <f ca="1">IFERROR(__xludf.DUMMYFUNCTION("""COMPUTED_VALUE"""),"Male")</f>
        <v>Male</v>
      </c>
      <c r="D540" s="5" t="str">
        <f ca="1">IFERROR(__xludf.DUMMYFUNCTION("""COMPUTED_VALUE"""),"Black")</f>
        <v>Black</v>
      </c>
      <c r="E540" s="5" t="str">
        <f ca="1">IFERROR(__xludf.DUMMYFUNCTION("""COMPUTED_VALUE"""),"Former Student")</f>
        <v>Former Student</v>
      </c>
      <c r="F540" s="5" t="str">
        <f ca="1">IFERROR(__xludf.DUMMYFUNCTION("""COMPUTED_VALUE"""),"Surrendered")</f>
        <v>Surrendered</v>
      </c>
      <c r="G540" s="5" t="str">
        <f ca="1">IFERROR(__xludf.DUMMYFUNCTION("""COMPUTED_VALUE"""),"No")</f>
        <v>No</v>
      </c>
      <c r="H540" s="5" t="str">
        <f ca="1">IFERROR(__xludf.DUMMYFUNCTION("""COMPUTED_VALUE"""),"None")</f>
        <v>None</v>
      </c>
    </row>
    <row r="541" spans="1:8" ht="13">
      <c r="A541" s="5" t="str">
        <f ca="1">IFERROR(__xludf.DUMMYFUNCTION("""COMPUTED_VALUE"""),"20211001NCSEF")</f>
        <v>20211001NCSEF</v>
      </c>
      <c r="B541" s="5"/>
      <c r="C541" s="5"/>
      <c r="D541" s="5"/>
      <c r="E541" s="5"/>
      <c r="F541" s="5" t="str">
        <f ca="1">IFERROR(__xludf.DUMMYFUNCTION("""COMPUTED_VALUE"""),"Fled/Escaped")</f>
        <v>Fled/Escaped</v>
      </c>
      <c r="G541" s="5" t="str">
        <f ca="1">IFERROR(__xludf.DUMMYFUNCTION("""COMPUTED_VALUE"""),"No")</f>
        <v>No</v>
      </c>
      <c r="H541" s="5" t="str">
        <f ca="1">IFERROR(__xludf.DUMMYFUNCTION("""COMPUTED_VALUE"""),"None")</f>
        <v>None</v>
      </c>
    </row>
    <row r="542" spans="1:8" ht="13">
      <c r="A542" s="5" t="str">
        <f ca="1">IFERROR(__xludf.DUMMYFUNCTION("""COMPUTED_VALUE"""),"20211001NCNOD")</f>
        <v>20211001NCNOD</v>
      </c>
      <c r="B542" s="5"/>
      <c r="C542" s="5"/>
      <c r="D542" s="5"/>
      <c r="E542" s="5"/>
      <c r="F542" s="5" t="str">
        <f ca="1">IFERROR(__xludf.DUMMYFUNCTION("""COMPUTED_VALUE"""),"Fled/Escaped")</f>
        <v>Fled/Escaped</v>
      </c>
      <c r="G542" s="5" t="str">
        <f ca="1">IFERROR(__xludf.DUMMYFUNCTION("""COMPUTED_VALUE"""),"No")</f>
        <v>No</v>
      </c>
      <c r="H542" s="5" t="str">
        <f ca="1">IFERROR(__xludf.DUMMYFUNCTION("""COMPUTED_VALUE"""),"None")</f>
        <v>None</v>
      </c>
    </row>
    <row r="543" spans="1:8" ht="13">
      <c r="A543" s="5" t="str">
        <f ca="1">IFERROR(__xludf.DUMMYFUNCTION("""COMPUTED_VALUE"""),"20211001INBEI")</f>
        <v>20211001INBEI</v>
      </c>
      <c r="B543" s="5">
        <f ca="1">IFERROR(__xludf.DUMMYFUNCTION("""COMPUTED_VALUE"""),16)</f>
        <v>16</v>
      </c>
      <c r="C543" s="5" t="str">
        <f ca="1">IFERROR(__xludf.DUMMYFUNCTION("""COMPUTED_VALUE"""),"Male")</f>
        <v>Male</v>
      </c>
      <c r="D543" s="5" t="str">
        <f ca="1">IFERROR(__xludf.DUMMYFUNCTION("""COMPUTED_VALUE"""),"Black")</f>
        <v>Black</v>
      </c>
      <c r="E543" s="5" t="str">
        <f ca="1">IFERROR(__xludf.DUMMYFUNCTION("""COMPUTED_VALUE"""),"Nonstudent Using Athletic Facilities/Attending Game")</f>
        <v>Nonstudent Using Athletic Facilities/Attending Game</v>
      </c>
      <c r="F543" s="5" t="str">
        <f ca="1">IFERROR(__xludf.DUMMYFUNCTION("""COMPUTED_VALUE"""),"Fled/Apprehended")</f>
        <v>Fled/Apprehended</v>
      </c>
      <c r="G543" s="5" t="str">
        <f ca="1">IFERROR(__xludf.DUMMYFUNCTION("""COMPUTED_VALUE"""),"No")</f>
        <v>No</v>
      </c>
      <c r="H543" s="5" t="str">
        <f ca="1">IFERROR(__xludf.DUMMYFUNCTION("""COMPUTED_VALUE"""),"None")</f>
        <v>None</v>
      </c>
    </row>
    <row r="544" spans="1:8" ht="13">
      <c r="A544" s="5" t="str">
        <f ca="1">IFERROR(__xludf.DUMMYFUNCTION("""COMPUTED_VALUE"""),"20211001INBEI")</f>
        <v>20211001INBEI</v>
      </c>
      <c r="B544" s="5">
        <f ca="1">IFERROR(__xludf.DUMMYFUNCTION("""COMPUTED_VALUE"""),14)</f>
        <v>14</v>
      </c>
      <c r="C544" s="5" t="str">
        <f ca="1">IFERROR(__xludf.DUMMYFUNCTION("""COMPUTED_VALUE"""),"Male")</f>
        <v>Male</v>
      </c>
      <c r="D544" s="5"/>
      <c r="E544" s="5" t="str">
        <f ca="1">IFERROR(__xludf.DUMMYFUNCTION("""COMPUTED_VALUE"""),"Nonstudent Using Athletic Facilities/Attending Game")</f>
        <v>Nonstudent Using Athletic Facilities/Attending Game</v>
      </c>
      <c r="F544" s="5" t="str">
        <f ca="1">IFERROR(__xludf.DUMMYFUNCTION("""COMPUTED_VALUE"""),"Apprehended/Killed by LE")</f>
        <v>Apprehended/Killed by LE</v>
      </c>
      <c r="G544" s="5" t="str">
        <f ca="1">IFERROR(__xludf.DUMMYFUNCTION("""COMPUTED_VALUE"""),"No")</f>
        <v>No</v>
      </c>
      <c r="H544" s="5" t="str">
        <f ca="1">IFERROR(__xludf.DUMMYFUNCTION("""COMPUTED_VALUE"""),"None")</f>
        <v>None</v>
      </c>
    </row>
    <row r="545" spans="1:8" ht="13">
      <c r="A545" s="5" t="str">
        <f ca="1">IFERROR(__xludf.DUMMYFUNCTION("""COMPUTED_VALUE"""),"20210930TNCUM")</f>
        <v>20210930TNCUM</v>
      </c>
      <c r="B545" s="5">
        <f ca="1">IFERROR(__xludf.DUMMYFUNCTION("""COMPUTED_VALUE"""),13)</f>
        <v>13</v>
      </c>
      <c r="C545" s="5" t="str">
        <f ca="1">IFERROR(__xludf.DUMMYFUNCTION("""COMPUTED_VALUE"""),"Male")</f>
        <v>Male</v>
      </c>
      <c r="D545" s="5"/>
      <c r="E545" s="5" t="str">
        <f ca="1">IFERROR(__xludf.DUMMYFUNCTION("""COMPUTED_VALUE"""),"Student")</f>
        <v>Student</v>
      </c>
      <c r="F545" s="5" t="str">
        <f ca="1">IFERROR(__xludf.DUMMYFUNCTION("""COMPUTED_VALUE"""),"Fled/Apprehended")</f>
        <v>Fled/Apprehended</v>
      </c>
      <c r="G545" s="5" t="str">
        <f ca="1">IFERROR(__xludf.DUMMYFUNCTION("""COMPUTED_VALUE"""),"No")</f>
        <v>No</v>
      </c>
      <c r="H545" s="5" t="str">
        <f ca="1">IFERROR(__xludf.DUMMYFUNCTION("""COMPUTED_VALUE"""),"None")</f>
        <v>None</v>
      </c>
    </row>
    <row r="546" spans="1:8" ht="13">
      <c r="A546" s="5" t="str">
        <f ca="1">IFERROR(__xludf.DUMMYFUNCTION("""COMPUTED_VALUE"""),"20210930MSNEN")</f>
        <v>20210930MSNEN</v>
      </c>
      <c r="B546" s="5">
        <f ca="1">IFERROR(__xludf.DUMMYFUNCTION("""COMPUTED_VALUE"""),6)</f>
        <v>6</v>
      </c>
      <c r="C546" s="5" t="str">
        <f ca="1">IFERROR(__xludf.DUMMYFUNCTION("""COMPUTED_VALUE"""),"Male")</f>
        <v>Male</v>
      </c>
      <c r="D546" s="5"/>
      <c r="E546" s="5" t="str">
        <f ca="1">IFERROR(__xludf.DUMMYFUNCTION("""COMPUTED_VALUE"""),"Student")</f>
        <v>Student</v>
      </c>
      <c r="F546" s="5" t="str">
        <f ca="1">IFERROR(__xludf.DUMMYFUNCTION("""COMPUTED_VALUE"""),"Apprehended/Killed by LE")</f>
        <v>Apprehended/Killed by LE</v>
      </c>
      <c r="G546" s="5" t="str">
        <f ca="1">IFERROR(__xludf.DUMMYFUNCTION("""COMPUTED_VALUE"""),"No")</f>
        <v>No</v>
      </c>
      <c r="H546" s="5" t="str">
        <f ca="1">IFERROR(__xludf.DUMMYFUNCTION("""COMPUTED_VALUE"""),"None")</f>
        <v>None</v>
      </c>
    </row>
    <row r="547" spans="1:8" ht="13">
      <c r="A547" s="5" t="str">
        <f ca="1">IFERROR(__xludf.DUMMYFUNCTION("""COMPUTED_VALUE"""),"20210929OHSHS")</f>
        <v>20210929OHSHS</v>
      </c>
      <c r="B547" s="5" t="str">
        <f ca="1">IFERROR(__xludf.DUMMYFUNCTION("""COMPUTED_VALUE"""),"Adult")</f>
        <v>Adult</v>
      </c>
      <c r="C547" s="5" t="str">
        <f ca="1">IFERROR(__xludf.DUMMYFUNCTION("""COMPUTED_VALUE"""),"Female")</f>
        <v>Female</v>
      </c>
      <c r="D547" s="5"/>
      <c r="E547" s="5" t="str">
        <f ca="1">IFERROR(__xludf.DUMMYFUNCTION("""COMPUTED_VALUE"""),"Parent")</f>
        <v>Parent</v>
      </c>
      <c r="F547" s="5" t="str">
        <f ca="1">IFERROR(__xludf.DUMMYFUNCTION("""COMPUTED_VALUE"""),"Fled/Apprehended")</f>
        <v>Fled/Apprehended</v>
      </c>
      <c r="G547" s="5" t="str">
        <f ca="1">IFERROR(__xludf.DUMMYFUNCTION("""COMPUTED_VALUE"""),"No")</f>
        <v>No</v>
      </c>
      <c r="H547" s="5" t="str">
        <f ca="1">IFERROR(__xludf.DUMMYFUNCTION("""COMPUTED_VALUE"""),"None")</f>
        <v>None</v>
      </c>
    </row>
    <row r="548" spans="1:8" ht="13">
      <c r="A548" s="5" t="str">
        <f ca="1">IFERROR(__xludf.DUMMYFUNCTION("""COMPUTED_VALUE"""),"20210928MESOS")</f>
        <v>20210928MESOS</v>
      </c>
      <c r="B548" s="5"/>
      <c r="C548" s="5"/>
      <c r="D548" s="5"/>
      <c r="E548" s="5"/>
      <c r="F548" s="5" t="str">
        <f ca="1">IFERROR(__xludf.DUMMYFUNCTION("""COMPUTED_VALUE"""),"Fled/Escaped")</f>
        <v>Fled/Escaped</v>
      </c>
      <c r="G548" s="5" t="str">
        <f ca="1">IFERROR(__xludf.DUMMYFUNCTION("""COMPUTED_VALUE"""),"No")</f>
        <v>No</v>
      </c>
      <c r="H548" s="5" t="str">
        <f ca="1">IFERROR(__xludf.DUMMYFUNCTION("""COMPUTED_VALUE"""),"None")</f>
        <v>None</v>
      </c>
    </row>
    <row r="549" spans="1:8" ht="13">
      <c r="A549" s="5" t="str">
        <f ca="1">IFERROR(__xludf.DUMMYFUNCTION("""COMPUTED_VALUE"""),"20210927ILCAC")</f>
        <v>20210927ILCAC</v>
      </c>
      <c r="B549" s="5" t="str">
        <f ca="1">IFERROR(__xludf.DUMMYFUNCTION("""COMPUTED_VALUE"""),"Child")</f>
        <v>Child</v>
      </c>
      <c r="C549" s="5"/>
      <c r="D549" s="5"/>
      <c r="E549" s="5" t="str">
        <f ca="1">IFERROR(__xludf.DUMMYFUNCTION("""COMPUTED_VALUE"""),"Student")</f>
        <v>Student</v>
      </c>
      <c r="F549" s="5" t="str">
        <f ca="1">IFERROR(__xludf.DUMMYFUNCTION("""COMPUTED_VALUE"""),"Apprehended/Killed by LE")</f>
        <v>Apprehended/Killed by LE</v>
      </c>
      <c r="G549" s="5" t="str">
        <f ca="1">IFERROR(__xludf.DUMMYFUNCTION("""COMPUTED_VALUE"""),"No")</f>
        <v>No</v>
      </c>
      <c r="H549" s="5" t="str">
        <f ca="1">IFERROR(__xludf.DUMMYFUNCTION("""COMPUTED_VALUE"""),"None")</f>
        <v>None</v>
      </c>
    </row>
    <row r="550" spans="1:8" ht="13">
      <c r="A550" s="5" t="str">
        <f ca="1">IFERROR(__xludf.DUMMYFUNCTION("""COMPUTED_VALUE"""),"20210924VAESE")</f>
        <v>20210924VAESE</v>
      </c>
      <c r="B550" s="5"/>
      <c r="C550" s="5"/>
      <c r="D550" s="5"/>
      <c r="E550" s="5"/>
      <c r="F550" s="5" t="str">
        <f ca="1">IFERROR(__xludf.DUMMYFUNCTION("""COMPUTED_VALUE"""),"Fled/Escaped")</f>
        <v>Fled/Escaped</v>
      </c>
      <c r="G550" s="5" t="str">
        <f ca="1">IFERROR(__xludf.DUMMYFUNCTION("""COMPUTED_VALUE"""),"No")</f>
        <v>No</v>
      </c>
      <c r="H550" s="5" t="str">
        <f ca="1">IFERROR(__xludf.DUMMYFUNCTION("""COMPUTED_VALUE"""),"None")</f>
        <v>None</v>
      </c>
    </row>
    <row r="551" spans="1:8" ht="13">
      <c r="A551" s="5" t="str">
        <f ca="1">IFERROR(__xludf.DUMMYFUNCTION("""COMPUTED_VALUE"""),"20210924TNSTS")</f>
        <v>20210924TNSTS</v>
      </c>
      <c r="B551" s="5">
        <f ca="1">IFERROR(__xludf.DUMMYFUNCTION("""COMPUTED_VALUE"""),18)</f>
        <v>18</v>
      </c>
      <c r="C551" s="5" t="str">
        <f ca="1">IFERROR(__xludf.DUMMYFUNCTION("""COMPUTED_VALUE"""),"Male")</f>
        <v>Male</v>
      </c>
      <c r="D551" s="5" t="str">
        <f ca="1">IFERROR(__xludf.DUMMYFUNCTION("""COMPUTED_VALUE"""),"Black")</f>
        <v>Black</v>
      </c>
      <c r="E551" s="5" t="str">
        <f ca="1">IFERROR(__xludf.DUMMYFUNCTION("""COMPUTED_VALUE"""),"Student")</f>
        <v>Student</v>
      </c>
      <c r="F551" s="5" t="str">
        <f ca="1">IFERROR(__xludf.DUMMYFUNCTION("""COMPUTED_VALUE"""),"Fled/Apprehended")</f>
        <v>Fled/Apprehended</v>
      </c>
      <c r="G551" s="5" t="str">
        <f ca="1">IFERROR(__xludf.DUMMYFUNCTION("""COMPUTED_VALUE"""),"No")</f>
        <v>No</v>
      </c>
      <c r="H551" s="5" t="str">
        <f ca="1">IFERROR(__xludf.DUMMYFUNCTION("""COMPUTED_VALUE"""),"None")</f>
        <v>None</v>
      </c>
    </row>
    <row r="552" spans="1:8" ht="13">
      <c r="A552" s="5" t="str">
        <f ca="1">IFERROR(__xludf.DUMMYFUNCTION("""COMPUTED_VALUE"""),"20210924TNSTS")</f>
        <v>20210924TNSTS</v>
      </c>
      <c r="B552" s="5">
        <f ca="1">IFERROR(__xludf.DUMMYFUNCTION("""COMPUTED_VALUE"""),17)</f>
        <v>17</v>
      </c>
      <c r="C552" s="5" t="str">
        <f ca="1">IFERROR(__xludf.DUMMYFUNCTION("""COMPUTED_VALUE"""),"Male")</f>
        <v>Male</v>
      </c>
      <c r="D552" s="5" t="str">
        <f ca="1">IFERROR(__xludf.DUMMYFUNCTION("""COMPUTED_VALUE"""),"Black")</f>
        <v>Black</v>
      </c>
      <c r="E552" s="5" t="str">
        <f ca="1">IFERROR(__xludf.DUMMYFUNCTION("""COMPUTED_VALUE"""),"Student")</f>
        <v>Student</v>
      </c>
      <c r="F552" s="5" t="str">
        <f ca="1">IFERROR(__xludf.DUMMYFUNCTION("""COMPUTED_VALUE"""),"Fled/Apprehended")</f>
        <v>Fled/Apprehended</v>
      </c>
      <c r="G552" s="5" t="str">
        <f ca="1">IFERROR(__xludf.DUMMYFUNCTION("""COMPUTED_VALUE"""),"No")</f>
        <v>No</v>
      </c>
      <c r="H552" s="5" t="str">
        <f ca="1">IFERROR(__xludf.DUMMYFUNCTION("""COMPUTED_VALUE"""),"None")</f>
        <v>None</v>
      </c>
    </row>
    <row r="553" spans="1:8" ht="13">
      <c r="A553" s="5" t="str">
        <f ca="1">IFERROR(__xludf.DUMMYFUNCTION("""COMPUTED_VALUE"""),"20210924MDWIB")</f>
        <v>20210924MDWIB</v>
      </c>
      <c r="B553" s="5"/>
      <c r="C553" s="5"/>
      <c r="D553" s="5"/>
      <c r="E553" s="5" t="str">
        <f ca="1">IFERROR(__xludf.DUMMYFUNCTION("""COMPUTED_VALUE"""),"No Relation")</f>
        <v>No Relation</v>
      </c>
      <c r="F553" s="5" t="str">
        <f ca="1">IFERROR(__xludf.DUMMYFUNCTION("""COMPUTED_VALUE"""),"Fled/Escaped")</f>
        <v>Fled/Escaped</v>
      </c>
      <c r="G553" s="5" t="str">
        <f ca="1">IFERROR(__xludf.DUMMYFUNCTION("""COMPUTED_VALUE"""),"No")</f>
        <v>No</v>
      </c>
      <c r="H553" s="5" t="str">
        <f ca="1">IFERROR(__xludf.DUMMYFUNCTION("""COMPUTED_VALUE"""),"None")</f>
        <v>None</v>
      </c>
    </row>
    <row r="554" spans="1:8" ht="13">
      <c r="A554" s="5" t="str">
        <f ca="1">IFERROR(__xludf.DUMMYFUNCTION("""COMPUTED_VALUE"""),"20210924ALFAF")</f>
        <v>20210924ALFAF</v>
      </c>
      <c r="B554" s="5"/>
      <c r="C554" s="5"/>
      <c r="D554" s="5"/>
      <c r="E554" s="5"/>
      <c r="F554" s="5" t="str">
        <f ca="1">IFERROR(__xludf.DUMMYFUNCTION("""COMPUTED_VALUE"""),"Fled/Escaped")</f>
        <v>Fled/Escaped</v>
      </c>
      <c r="G554" s="5" t="str">
        <f ca="1">IFERROR(__xludf.DUMMYFUNCTION("""COMPUTED_VALUE"""),"No")</f>
        <v>No</v>
      </c>
      <c r="H554" s="5" t="str">
        <f ca="1">IFERROR(__xludf.DUMMYFUNCTION("""COMPUTED_VALUE"""),"None")</f>
        <v>None</v>
      </c>
    </row>
    <row r="555" spans="1:8" ht="13">
      <c r="A555" s="5" t="str">
        <f ca="1">IFERROR(__xludf.DUMMYFUNCTION("""COMPUTED_VALUE"""),"20210923IDRIR")</f>
        <v>20210923IDRIR</v>
      </c>
      <c r="B555" s="5">
        <f ca="1">IFERROR(__xludf.DUMMYFUNCTION("""COMPUTED_VALUE"""),13)</f>
        <v>13</v>
      </c>
      <c r="C555" s="5" t="str">
        <f ca="1">IFERROR(__xludf.DUMMYFUNCTION("""COMPUTED_VALUE"""),"Female")</f>
        <v>Female</v>
      </c>
      <c r="D555" s="5"/>
      <c r="E555" s="5" t="str">
        <f ca="1">IFERROR(__xludf.DUMMYFUNCTION("""COMPUTED_VALUE"""),"Student")</f>
        <v>Student</v>
      </c>
      <c r="F555" s="5" t="str">
        <f ca="1">IFERROR(__xludf.DUMMYFUNCTION("""COMPUTED_VALUE"""),"Apprehended/Killed by SRO")</f>
        <v>Apprehended/Killed by SRO</v>
      </c>
      <c r="G555" s="5" t="str">
        <f ca="1">IFERROR(__xludf.DUMMYFUNCTION("""COMPUTED_VALUE"""),"No")</f>
        <v>No</v>
      </c>
      <c r="H555" s="5" t="str">
        <f ca="1">IFERROR(__xludf.DUMMYFUNCTION("""COMPUTED_VALUE"""),"None")</f>
        <v>None</v>
      </c>
    </row>
    <row r="556" spans="1:8" ht="13">
      <c r="A556" s="5" t="str">
        <f ca="1">IFERROR(__xludf.DUMMYFUNCTION("""COMPUTED_VALUE"""),"20210922NYSOB")</f>
        <v>20210922NYSOB</v>
      </c>
      <c r="B556" s="5"/>
      <c r="C556" s="5"/>
      <c r="D556" s="5"/>
      <c r="E556" s="5"/>
      <c r="F556" s="5" t="str">
        <f ca="1">IFERROR(__xludf.DUMMYFUNCTION("""COMPUTED_VALUE"""),"Fled/Escaped")</f>
        <v>Fled/Escaped</v>
      </c>
      <c r="G556" s="5" t="str">
        <f ca="1">IFERROR(__xludf.DUMMYFUNCTION("""COMPUTED_VALUE"""),"No")</f>
        <v>No</v>
      </c>
      <c r="H556" s="5" t="str">
        <f ca="1">IFERROR(__xludf.DUMMYFUNCTION("""COMPUTED_VALUE"""),"None")</f>
        <v>None</v>
      </c>
    </row>
    <row r="557" spans="1:8" ht="13">
      <c r="A557" s="5" t="str">
        <f ca="1">IFERROR(__xludf.DUMMYFUNCTION("""COMPUTED_VALUE"""),"20210922CTLIN")</f>
        <v>20210922CTLIN</v>
      </c>
      <c r="B557" s="5"/>
      <c r="C557" s="5"/>
      <c r="D557" s="5"/>
      <c r="E557" s="5" t="str">
        <f ca="1">IFERROR(__xludf.DUMMYFUNCTION("""COMPUTED_VALUE"""),"No Relation")</f>
        <v>No Relation</v>
      </c>
      <c r="F557" s="5" t="str">
        <f ca="1">IFERROR(__xludf.DUMMYFUNCTION("""COMPUTED_VALUE"""),"Fled/Escaped")</f>
        <v>Fled/Escaped</v>
      </c>
      <c r="G557" s="5" t="str">
        <f ca="1">IFERROR(__xludf.DUMMYFUNCTION("""COMPUTED_VALUE"""),"No")</f>
        <v>No</v>
      </c>
      <c r="H557" s="5" t="str">
        <f ca="1">IFERROR(__xludf.DUMMYFUNCTION("""COMPUTED_VALUE"""),"None")</f>
        <v>None</v>
      </c>
    </row>
    <row r="558" spans="1:8" ht="13">
      <c r="A558" s="5" t="str">
        <f ca="1">IFERROR(__xludf.DUMMYFUNCTION("""COMPUTED_VALUE"""),"20210921PAVAP")</f>
        <v>20210921PAVAP</v>
      </c>
      <c r="B558" s="5"/>
      <c r="C558" s="5"/>
      <c r="D558" s="5"/>
      <c r="E558" s="5"/>
      <c r="F558" s="5" t="str">
        <f ca="1">IFERROR(__xludf.DUMMYFUNCTION("""COMPUTED_VALUE"""),"Fled/Escaped")</f>
        <v>Fled/Escaped</v>
      </c>
      <c r="G558" s="5" t="str">
        <f ca="1">IFERROR(__xludf.DUMMYFUNCTION("""COMPUTED_VALUE"""),"No")</f>
        <v>No</v>
      </c>
      <c r="H558" s="5" t="str">
        <f ca="1">IFERROR(__xludf.DUMMYFUNCTION("""COMPUTED_VALUE"""),"None")</f>
        <v>None</v>
      </c>
    </row>
    <row r="559" spans="1:8" ht="13">
      <c r="A559" s="5" t="str">
        <f ca="1">IFERROR(__xludf.DUMMYFUNCTION("""COMPUTED_VALUE"""),"20210921OHMIM")</f>
        <v>20210921OHMIM</v>
      </c>
      <c r="B559" s="5"/>
      <c r="C559" s="5"/>
      <c r="D559" s="5"/>
      <c r="E559" s="5"/>
      <c r="F559" s="5" t="str">
        <f ca="1">IFERROR(__xludf.DUMMYFUNCTION("""COMPUTED_VALUE"""),"Fled/Escaped")</f>
        <v>Fled/Escaped</v>
      </c>
      <c r="G559" s="5" t="str">
        <f ca="1">IFERROR(__xludf.DUMMYFUNCTION("""COMPUTED_VALUE"""),"No")</f>
        <v>No</v>
      </c>
      <c r="H559" s="5" t="str">
        <f ca="1">IFERROR(__xludf.DUMMYFUNCTION("""COMPUTED_VALUE"""),"None")</f>
        <v>None</v>
      </c>
    </row>
    <row r="560" spans="1:8" ht="13">
      <c r="A560" s="5" t="str">
        <f ca="1">IFERROR(__xludf.DUMMYFUNCTION("""COMPUTED_VALUE"""),"20210921KSEAW")</f>
        <v>20210921KSEAW</v>
      </c>
      <c r="B560" s="5">
        <f ca="1">IFERROR(__xludf.DUMMYFUNCTION("""COMPUTED_VALUE"""),17)</f>
        <v>17</v>
      </c>
      <c r="C560" s="5" t="str">
        <f ca="1">IFERROR(__xludf.DUMMYFUNCTION("""COMPUTED_VALUE"""),"Male")</f>
        <v>Male</v>
      </c>
      <c r="D560" s="5"/>
      <c r="E560" s="5" t="str">
        <f ca="1">IFERROR(__xludf.DUMMYFUNCTION("""COMPUTED_VALUE"""),"Student")</f>
        <v>Student</v>
      </c>
      <c r="F560" s="5" t="str">
        <f ca="1">IFERROR(__xludf.DUMMYFUNCTION("""COMPUTED_VALUE"""),"Fled/Apprehended")</f>
        <v>Fled/Apprehended</v>
      </c>
      <c r="G560" s="5" t="str">
        <f ca="1">IFERROR(__xludf.DUMMYFUNCTION("""COMPUTED_VALUE"""),"No")</f>
        <v>No</v>
      </c>
      <c r="H560" s="5" t="str">
        <f ca="1">IFERROR(__xludf.DUMMYFUNCTION("""COMPUTED_VALUE"""),"None")</f>
        <v>None</v>
      </c>
    </row>
    <row r="561" spans="1:8" ht="13">
      <c r="A561" s="5" t="str">
        <f ca="1">IFERROR(__xludf.DUMMYFUNCTION("""COMPUTED_VALUE"""),"20210921GAFRA")</f>
        <v>20210921GAFRA</v>
      </c>
      <c r="B561" s="5" t="str">
        <f ca="1">IFERROR(__xludf.DUMMYFUNCTION("""COMPUTED_VALUE"""),"Adult")</f>
        <v>Adult</v>
      </c>
      <c r="C561" s="5"/>
      <c r="D561" s="5"/>
      <c r="E561" s="5" t="str">
        <f ca="1">IFERROR(__xludf.DUMMYFUNCTION("""COMPUTED_VALUE"""),"Parent")</f>
        <v>Parent</v>
      </c>
      <c r="F561" s="5" t="str">
        <f ca="1">IFERROR(__xludf.DUMMYFUNCTION("""COMPUTED_VALUE"""),"Fled/Escaped")</f>
        <v>Fled/Escaped</v>
      </c>
      <c r="G561" s="5" t="str">
        <f ca="1">IFERROR(__xludf.DUMMYFUNCTION("""COMPUTED_VALUE"""),"No")</f>
        <v>No</v>
      </c>
      <c r="H561" s="5" t="str">
        <f ca="1">IFERROR(__xludf.DUMMYFUNCTION("""COMPUTED_VALUE"""),"None")</f>
        <v>None</v>
      </c>
    </row>
    <row r="562" spans="1:8" ht="13">
      <c r="A562" s="5" t="str">
        <f ca="1">IFERROR(__xludf.DUMMYFUNCTION("""COMPUTED_VALUE"""),"20210921FLLAL")</f>
        <v>20210921FLLAL</v>
      </c>
      <c r="B562" s="5" t="str">
        <f ca="1">IFERROR(__xludf.DUMMYFUNCTION("""COMPUTED_VALUE"""),"Minor")</f>
        <v>Minor</v>
      </c>
      <c r="C562" s="5"/>
      <c r="D562" s="5"/>
      <c r="E562" s="5"/>
      <c r="F562" s="5" t="str">
        <f ca="1">IFERROR(__xludf.DUMMYFUNCTION("""COMPUTED_VALUE"""),"Fled/Apprehended")</f>
        <v>Fled/Apprehended</v>
      </c>
      <c r="G562" s="5" t="str">
        <f ca="1">IFERROR(__xludf.DUMMYFUNCTION("""COMPUTED_VALUE"""),"No")</f>
        <v>No</v>
      </c>
      <c r="H562" s="5" t="str">
        <f ca="1">IFERROR(__xludf.DUMMYFUNCTION("""COMPUTED_VALUE"""),"None")</f>
        <v>None</v>
      </c>
    </row>
    <row r="563" spans="1:8" ht="13">
      <c r="A563" s="5" t="str">
        <f ca="1">IFERROR(__xludf.DUMMYFUNCTION("""COMPUTED_VALUE"""),"20210920VAHEN")</f>
        <v>20210920VAHEN</v>
      </c>
      <c r="B563" s="5">
        <f ca="1">IFERROR(__xludf.DUMMYFUNCTION("""COMPUTED_VALUE"""),15)</f>
        <v>15</v>
      </c>
      <c r="C563" s="5" t="str">
        <f ca="1">IFERROR(__xludf.DUMMYFUNCTION("""COMPUTED_VALUE"""),"Male")</f>
        <v>Male</v>
      </c>
      <c r="D563" s="5"/>
      <c r="E563" s="5" t="str">
        <f ca="1">IFERROR(__xludf.DUMMYFUNCTION("""COMPUTED_VALUE"""),"Student")</f>
        <v>Student</v>
      </c>
      <c r="F563" s="5" t="str">
        <f ca="1">IFERROR(__xludf.DUMMYFUNCTION("""COMPUTED_VALUE"""),"Fled/Apprehended")</f>
        <v>Fled/Apprehended</v>
      </c>
      <c r="G563" s="5" t="str">
        <f ca="1">IFERROR(__xludf.DUMMYFUNCTION("""COMPUTED_VALUE"""),"No")</f>
        <v>No</v>
      </c>
      <c r="H563" s="5" t="str">
        <f ca="1">IFERROR(__xludf.DUMMYFUNCTION("""COMPUTED_VALUE"""),"None")</f>
        <v>None</v>
      </c>
    </row>
    <row r="564" spans="1:8" ht="13">
      <c r="A564" s="5" t="str">
        <f ca="1">IFERROR(__xludf.DUMMYFUNCTION("""COMPUTED_VALUE"""),"20210920OHEAC")</f>
        <v>20210920OHEAC</v>
      </c>
      <c r="B564" s="5"/>
      <c r="C564" s="5" t="str">
        <f ca="1">IFERROR(__xludf.DUMMYFUNCTION("""COMPUTED_VALUE"""),"Male")</f>
        <v>Male</v>
      </c>
      <c r="D564" s="5"/>
      <c r="E564" s="5" t="str">
        <f ca="1">IFERROR(__xludf.DUMMYFUNCTION("""COMPUTED_VALUE"""),"No Relation")</f>
        <v>No Relation</v>
      </c>
      <c r="F564" s="5" t="str">
        <f ca="1">IFERROR(__xludf.DUMMYFUNCTION("""COMPUTED_VALUE"""),"Fled/Escaped")</f>
        <v>Fled/Escaped</v>
      </c>
      <c r="G564" s="5" t="str">
        <f ca="1">IFERROR(__xludf.DUMMYFUNCTION("""COMPUTED_VALUE"""),"No")</f>
        <v>No</v>
      </c>
      <c r="H564" s="5" t="str">
        <f ca="1">IFERROR(__xludf.DUMMYFUNCTION("""COMPUTED_VALUE"""),"None")</f>
        <v>None</v>
      </c>
    </row>
    <row r="565" spans="1:8" ht="13">
      <c r="A565" s="5" t="str">
        <f ca="1">IFERROR(__xludf.DUMMYFUNCTION("""COMPUTED_VALUE"""),"20210920OHEAC")</f>
        <v>20210920OHEAC</v>
      </c>
      <c r="B565" s="5"/>
      <c r="C565" s="5" t="str">
        <f ca="1">IFERROR(__xludf.DUMMYFUNCTION("""COMPUTED_VALUE"""),"Male")</f>
        <v>Male</v>
      </c>
      <c r="D565" s="5"/>
      <c r="E565" s="5" t="str">
        <f ca="1">IFERROR(__xludf.DUMMYFUNCTION("""COMPUTED_VALUE"""),"No Relation")</f>
        <v>No Relation</v>
      </c>
      <c r="F565" s="5" t="str">
        <f ca="1">IFERROR(__xludf.DUMMYFUNCTION("""COMPUTED_VALUE"""),"Fled/Escaped")</f>
        <v>Fled/Escaped</v>
      </c>
      <c r="G565" s="5" t="str">
        <f ca="1">IFERROR(__xludf.DUMMYFUNCTION("""COMPUTED_VALUE"""),"No")</f>
        <v>No</v>
      </c>
      <c r="H565" s="5" t="str">
        <f ca="1">IFERROR(__xludf.DUMMYFUNCTION("""COMPUTED_VALUE"""),"None")</f>
        <v>None</v>
      </c>
    </row>
    <row r="566" spans="1:8" ht="13">
      <c r="A566" s="5" t="str">
        <f ca="1">IFERROR(__xludf.DUMMYFUNCTION("""COMPUTED_VALUE"""),"20210918COWIC")</f>
        <v>20210918COWIC</v>
      </c>
      <c r="B566" s="5"/>
      <c r="C566" s="5"/>
      <c r="D566" s="5"/>
      <c r="E566" s="5"/>
      <c r="F566" s="5" t="str">
        <f ca="1">IFERROR(__xludf.DUMMYFUNCTION("""COMPUTED_VALUE"""),"Fled/Escaped")</f>
        <v>Fled/Escaped</v>
      </c>
      <c r="G566" s="5" t="str">
        <f ca="1">IFERROR(__xludf.DUMMYFUNCTION("""COMPUTED_VALUE"""),"No")</f>
        <v>No</v>
      </c>
      <c r="H566" s="5" t="str">
        <f ca="1">IFERROR(__xludf.DUMMYFUNCTION("""COMPUTED_VALUE"""),"None")</f>
        <v>None</v>
      </c>
    </row>
    <row r="567" spans="1:8" ht="13">
      <c r="A567" s="5" t="str">
        <f ca="1">IFERROR(__xludf.DUMMYFUNCTION("""COMPUTED_VALUE"""),"20210917VAHEH")</f>
        <v>20210917VAHEH</v>
      </c>
      <c r="B567" s="5"/>
      <c r="C567" s="5"/>
      <c r="D567" s="5"/>
      <c r="E567" s="5"/>
      <c r="F567" s="5" t="str">
        <f ca="1">IFERROR(__xludf.DUMMYFUNCTION("""COMPUTED_VALUE"""),"Fled/Escaped")</f>
        <v>Fled/Escaped</v>
      </c>
      <c r="G567" s="5" t="str">
        <f ca="1">IFERROR(__xludf.DUMMYFUNCTION("""COMPUTED_VALUE"""),"No")</f>
        <v>No</v>
      </c>
      <c r="H567" s="5" t="str">
        <f ca="1">IFERROR(__xludf.DUMMYFUNCTION("""COMPUTED_VALUE"""),"None")</f>
        <v>None</v>
      </c>
    </row>
    <row r="568" spans="1:8" ht="13">
      <c r="A568" s="5" t="str">
        <f ca="1">IFERROR(__xludf.DUMMYFUNCTION("""COMPUTED_VALUE"""),"20210917TNAUK")</f>
        <v>20210917TNAUK</v>
      </c>
      <c r="B568" s="5"/>
      <c r="C568" s="5"/>
      <c r="D568" s="5"/>
      <c r="E568" s="5"/>
      <c r="F568" s="5" t="str">
        <f ca="1">IFERROR(__xludf.DUMMYFUNCTION("""COMPUTED_VALUE"""),"Fled/Escaped")</f>
        <v>Fled/Escaped</v>
      </c>
      <c r="G568" s="5" t="str">
        <f ca="1">IFERROR(__xludf.DUMMYFUNCTION("""COMPUTED_VALUE"""),"No")</f>
        <v>No</v>
      </c>
      <c r="H568" s="5" t="str">
        <f ca="1">IFERROR(__xludf.DUMMYFUNCTION("""COMPUTED_VALUE"""),"None")</f>
        <v>None</v>
      </c>
    </row>
    <row r="569" spans="1:8" ht="13">
      <c r="A569" s="5" t="str">
        <f ca="1">IFERROR(__xludf.DUMMYFUNCTION("""COMPUTED_VALUE"""),"20210917PAWEP")</f>
        <v>20210917PAWEP</v>
      </c>
      <c r="B569" s="5" t="str">
        <f ca="1">IFERROR(__xludf.DUMMYFUNCTION("""COMPUTED_VALUE"""),"Teen")</f>
        <v>Teen</v>
      </c>
      <c r="C569" s="5"/>
      <c r="D569" s="5"/>
      <c r="E569" s="5"/>
      <c r="F569" s="5" t="str">
        <f ca="1">IFERROR(__xludf.DUMMYFUNCTION("""COMPUTED_VALUE"""),"Fled/Escaped")</f>
        <v>Fled/Escaped</v>
      </c>
      <c r="G569" s="5" t="str">
        <f ca="1">IFERROR(__xludf.DUMMYFUNCTION("""COMPUTED_VALUE"""),"No")</f>
        <v>No</v>
      </c>
      <c r="H569" s="5" t="str">
        <f ca="1">IFERROR(__xludf.DUMMYFUNCTION("""COMPUTED_VALUE"""),"None")</f>
        <v>None</v>
      </c>
    </row>
    <row r="570" spans="1:8" ht="13">
      <c r="A570" s="5" t="str">
        <f ca="1">IFERROR(__xludf.DUMMYFUNCTION("""COMPUTED_VALUE"""),"20210917NCPAW")</f>
        <v>20210917NCPAW</v>
      </c>
      <c r="B570" s="5" t="str">
        <f ca="1">IFERROR(__xludf.DUMMYFUNCTION("""COMPUTED_VALUE"""),"Teen")</f>
        <v>Teen</v>
      </c>
      <c r="C570" s="5" t="str">
        <f ca="1">IFERROR(__xludf.DUMMYFUNCTION("""COMPUTED_VALUE"""),"Male")</f>
        <v>Male</v>
      </c>
      <c r="D570" s="5"/>
      <c r="E570" s="5"/>
      <c r="F570" s="5" t="str">
        <f ca="1">IFERROR(__xludf.DUMMYFUNCTION("""COMPUTED_VALUE"""),"Fled/Escaped")</f>
        <v>Fled/Escaped</v>
      </c>
      <c r="G570" s="5" t="str">
        <f ca="1">IFERROR(__xludf.DUMMYFUNCTION("""COMPUTED_VALUE"""),"No")</f>
        <v>No</v>
      </c>
      <c r="H570" s="5" t="str">
        <f ca="1">IFERROR(__xludf.DUMMYFUNCTION("""COMPUTED_VALUE"""),"None")</f>
        <v>None</v>
      </c>
    </row>
    <row r="571" spans="1:8" ht="13">
      <c r="A571" s="5" t="str">
        <f ca="1">IFERROR(__xludf.DUMMYFUNCTION("""COMPUTED_VALUE"""),"20210917GASWS")</f>
        <v>20210917GASWS</v>
      </c>
      <c r="B571" s="5"/>
      <c r="C571" s="5"/>
      <c r="D571" s="5"/>
      <c r="E571" s="5"/>
      <c r="F571" s="5" t="str">
        <f ca="1">IFERROR(__xludf.DUMMYFUNCTION("""COMPUTED_VALUE"""),"Fled/Escaped")</f>
        <v>Fled/Escaped</v>
      </c>
      <c r="G571" s="5" t="str">
        <f ca="1">IFERROR(__xludf.DUMMYFUNCTION("""COMPUTED_VALUE"""),"No")</f>
        <v>No</v>
      </c>
      <c r="H571" s="5" t="str">
        <f ca="1">IFERROR(__xludf.DUMMYFUNCTION("""COMPUTED_VALUE"""),"None")</f>
        <v>None</v>
      </c>
    </row>
    <row r="572" spans="1:8" ht="13">
      <c r="A572" s="5" t="str">
        <f ca="1">IFERROR(__xludf.DUMMYFUNCTION("""COMPUTED_VALUE"""),"20210916WIORM")</f>
        <v>20210916WIORM</v>
      </c>
      <c r="B572" s="5" t="str">
        <f ca="1">IFERROR(__xludf.DUMMYFUNCTION("""COMPUTED_VALUE"""),"Adult")</f>
        <v>Adult</v>
      </c>
      <c r="C572" s="5" t="str">
        <f ca="1">IFERROR(__xludf.DUMMYFUNCTION("""COMPUTED_VALUE"""),"Male")</f>
        <v>Male</v>
      </c>
      <c r="D572" s="5"/>
      <c r="E572" s="5" t="str">
        <f ca="1">IFERROR(__xludf.DUMMYFUNCTION("""COMPUTED_VALUE"""),"No Relation")</f>
        <v>No Relation</v>
      </c>
      <c r="F572" s="5" t="str">
        <f ca="1">IFERROR(__xludf.DUMMYFUNCTION("""COMPUTED_VALUE"""),"Fled/Escaped")</f>
        <v>Fled/Escaped</v>
      </c>
      <c r="G572" s="5" t="str">
        <f ca="1">IFERROR(__xludf.DUMMYFUNCTION("""COMPUTED_VALUE"""),"No")</f>
        <v>No</v>
      </c>
      <c r="H572" s="5" t="str">
        <f ca="1">IFERROR(__xludf.DUMMYFUNCTION("""COMPUTED_VALUE"""),"None")</f>
        <v>None</v>
      </c>
    </row>
    <row r="573" spans="1:8" ht="13">
      <c r="A573" s="5" t="str">
        <f ca="1">IFERROR(__xludf.DUMMYFUNCTION("""COMPUTED_VALUE"""),"20210916UTPRP")</f>
        <v>20210916UTPRP</v>
      </c>
      <c r="B573" s="5" t="str">
        <f ca="1">IFERROR(__xludf.DUMMYFUNCTION("""COMPUTED_VALUE"""),"Teen")</f>
        <v>Teen</v>
      </c>
      <c r="C573" s="5" t="str">
        <f ca="1">IFERROR(__xludf.DUMMYFUNCTION("""COMPUTED_VALUE"""),"Male")</f>
        <v>Male</v>
      </c>
      <c r="D573" s="5"/>
      <c r="E573" s="5" t="str">
        <f ca="1">IFERROR(__xludf.DUMMYFUNCTION("""COMPUTED_VALUE"""),"Student")</f>
        <v>Student</v>
      </c>
      <c r="F573" s="5" t="str">
        <f ca="1">IFERROR(__xludf.DUMMYFUNCTION("""COMPUTED_VALUE"""),"Apprehended/Killed by LE")</f>
        <v>Apprehended/Killed by LE</v>
      </c>
      <c r="G573" s="5" t="str">
        <f ca="1">IFERROR(__xludf.DUMMYFUNCTION("""COMPUTED_VALUE"""),"No")</f>
        <v>No</v>
      </c>
      <c r="H573" s="5" t="str">
        <f ca="1">IFERROR(__xludf.DUMMYFUNCTION("""COMPUTED_VALUE"""),"None")</f>
        <v>None</v>
      </c>
    </row>
    <row r="574" spans="1:8" ht="13">
      <c r="A574" s="5" t="str">
        <f ca="1">IFERROR(__xludf.DUMMYFUNCTION("""COMPUTED_VALUE"""),"20210916OHBEC")</f>
        <v>20210916OHBEC</v>
      </c>
      <c r="B574" s="5"/>
      <c r="C574" s="5"/>
      <c r="D574" s="5"/>
      <c r="E574" s="5"/>
      <c r="F574" s="5" t="str">
        <f ca="1">IFERROR(__xludf.DUMMYFUNCTION("""COMPUTED_VALUE"""),"Fled/Escaped")</f>
        <v>Fled/Escaped</v>
      </c>
      <c r="G574" s="5" t="str">
        <f ca="1">IFERROR(__xludf.DUMMYFUNCTION("""COMPUTED_VALUE"""),"No")</f>
        <v>No</v>
      </c>
      <c r="H574" s="5" t="str">
        <f ca="1">IFERROR(__xludf.DUMMYFUNCTION("""COMPUTED_VALUE"""),"None")</f>
        <v>None</v>
      </c>
    </row>
    <row r="575" spans="1:8" ht="13">
      <c r="A575" s="5" t="str">
        <f ca="1">IFERROR(__xludf.DUMMYFUNCTION("""COMPUTED_VALUE"""),"20210915VASPS")</f>
        <v>20210915VASPS</v>
      </c>
      <c r="B575" s="5" t="str">
        <f ca="1">IFERROR(__xludf.DUMMYFUNCTION("""COMPUTED_VALUE"""),"Child")</f>
        <v>Child</v>
      </c>
      <c r="C575" s="5"/>
      <c r="D575" s="5"/>
      <c r="E575" s="5" t="str">
        <f ca="1">IFERROR(__xludf.DUMMYFUNCTION("""COMPUTED_VALUE"""),"Student")</f>
        <v>Student</v>
      </c>
      <c r="F575" s="5" t="str">
        <f ca="1">IFERROR(__xludf.DUMMYFUNCTION("""COMPUTED_VALUE"""),"Apprehended/Killed by LE")</f>
        <v>Apprehended/Killed by LE</v>
      </c>
      <c r="G575" s="5" t="str">
        <f ca="1">IFERROR(__xludf.DUMMYFUNCTION("""COMPUTED_VALUE"""),"No")</f>
        <v>No</v>
      </c>
      <c r="H575" s="5" t="str">
        <f ca="1">IFERROR(__xludf.DUMMYFUNCTION("""COMPUTED_VALUE"""),"None")</f>
        <v>None</v>
      </c>
    </row>
    <row r="576" spans="1:8" ht="13">
      <c r="A576" s="5" t="str">
        <f ca="1">IFERROR(__xludf.DUMMYFUNCTION("""COMPUTED_VALUE"""),"20210915KYMAL")</f>
        <v>20210915KYMAL</v>
      </c>
      <c r="B576" s="5" t="str">
        <f ca="1">IFERROR(__xludf.DUMMYFUNCTION("""COMPUTED_VALUE"""),"Adult")</f>
        <v>Adult</v>
      </c>
      <c r="C576" s="5"/>
      <c r="D576" s="5"/>
      <c r="E576" s="5" t="str">
        <f ca="1">IFERROR(__xludf.DUMMYFUNCTION("""COMPUTED_VALUE"""),"No Relation")</f>
        <v>No Relation</v>
      </c>
      <c r="F576" s="5" t="str">
        <f ca="1">IFERROR(__xludf.DUMMYFUNCTION("""COMPUTED_VALUE"""),"Fled/Escaped")</f>
        <v>Fled/Escaped</v>
      </c>
      <c r="G576" s="5" t="str">
        <f ca="1">IFERROR(__xludf.DUMMYFUNCTION("""COMPUTED_VALUE"""),"No")</f>
        <v>No</v>
      </c>
      <c r="H576" s="5" t="str">
        <f ca="1">IFERROR(__xludf.DUMMYFUNCTION("""COMPUTED_VALUE"""),"None")</f>
        <v>None</v>
      </c>
    </row>
    <row r="577" spans="1:8" ht="13">
      <c r="A577" s="5" t="str">
        <f ca="1">IFERROR(__xludf.DUMMYFUNCTION("""COMPUTED_VALUE"""),"20210915ILCEC")</f>
        <v>20210915ILCEC</v>
      </c>
      <c r="B577" s="5">
        <f ca="1">IFERROR(__xludf.DUMMYFUNCTION("""COMPUTED_VALUE"""),15)</f>
        <v>15</v>
      </c>
      <c r="C577" s="5" t="str">
        <f ca="1">IFERROR(__xludf.DUMMYFUNCTION("""COMPUTED_VALUE"""),"Male")</f>
        <v>Male</v>
      </c>
      <c r="D577" s="5" t="str">
        <f ca="1">IFERROR(__xludf.DUMMYFUNCTION("""COMPUTED_VALUE"""),"Black")</f>
        <v>Black</v>
      </c>
      <c r="E577" s="5" t="str">
        <f ca="1">IFERROR(__xludf.DUMMYFUNCTION("""COMPUTED_VALUE"""),"Student")</f>
        <v>Student</v>
      </c>
      <c r="F577" s="5" t="str">
        <f ca="1">IFERROR(__xludf.DUMMYFUNCTION("""COMPUTED_VALUE"""),"Fled/Apprehended")</f>
        <v>Fled/Apprehended</v>
      </c>
      <c r="G577" s="5" t="str">
        <f ca="1">IFERROR(__xludf.DUMMYFUNCTION("""COMPUTED_VALUE"""),"No")</f>
        <v>No</v>
      </c>
      <c r="H577" s="5" t="str">
        <f ca="1">IFERROR(__xludf.DUMMYFUNCTION("""COMPUTED_VALUE"""),"None")</f>
        <v>None</v>
      </c>
    </row>
    <row r="578" spans="1:8" ht="13">
      <c r="A578" s="5" t="str">
        <f ca="1">IFERROR(__xludf.DUMMYFUNCTION("""COMPUTED_VALUE"""),"20210915ILCEC")</f>
        <v>20210915ILCEC</v>
      </c>
      <c r="B578" s="5">
        <f ca="1">IFERROR(__xludf.DUMMYFUNCTION("""COMPUTED_VALUE"""),17)</f>
        <v>17</v>
      </c>
      <c r="C578" s="5" t="str">
        <f ca="1">IFERROR(__xludf.DUMMYFUNCTION("""COMPUTED_VALUE"""),"Male")</f>
        <v>Male</v>
      </c>
      <c r="D578" s="5"/>
      <c r="E578" s="5" t="str">
        <f ca="1">IFERROR(__xludf.DUMMYFUNCTION("""COMPUTED_VALUE"""),"Student")</f>
        <v>Student</v>
      </c>
      <c r="F578" s="5" t="str">
        <f ca="1">IFERROR(__xludf.DUMMYFUNCTION("""COMPUTED_VALUE"""),"Fled/Apprehended")</f>
        <v>Fled/Apprehended</v>
      </c>
      <c r="G578" s="5" t="str">
        <f ca="1">IFERROR(__xludf.DUMMYFUNCTION("""COMPUTED_VALUE"""),"No")</f>
        <v>No</v>
      </c>
      <c r="H578" s="5" t="str">
        <f ca="1">IFERROR(__xludf.DUMMYFUNCTION("""COMPUTED_VALUE"""),"None")</f>
        <v>None</v>
      </c>
    </row>
    <row r="579" spans="1:8" ht="13">
      <c r="A579" s="5" t="str">
        <f ca="1">IFERROR(__xludf.DUMMYFUNCTION("""COMPUTED_VALUE"""),"20210914TNLAL")</f>
        <v>20210914TNLAL</v>
      </c>
      <c r="B579" s="5">
        <f ca="1">IFERROR(__xludf.DUMMYFUNCTION("""COMPUTED_VALUE"""),15)</f>
        <v>15</v>
      </c>
      <c r="C579" s="5" t="str">
        <f ca="1">IFERROR(__xludf.DUMMYFUNCTION("""COMPUTED_VALUE"""),"Male")</f>
        <v>Male</v>
      </c>
      <c r="D579" s="5"/>
      <c r="E579" s="5" t="str">
        <f ca="1">IFERROR(__xludf.DUMMYFUNCTION("""COMPUTED_VALUE"""),"Student")</f>
        <v>Student</v>
      </c>
      <c r="F579" s="5" t="str">
        <f ca="1">IFERROR(__xludf.DUMMYFUNCTION("""COMPUTED_VALUE"""),"Fled/Apprehended")</f>
        <v>Fled/Apprehended</v>
      </c>
      <c r="G579" s="5" t="str">
        <f ca="1">IFERROR(__xludf.DUMMYFUNCTION("""COMPUTED_VALUE"""),"No")</f>
        <v>No</v>
      </c>
      <c r="H579" s="5" t="str">
        <f ca="1">IFERROR(__xludf.DUMMYFUNCTION("""COMPUTED_VALUE"""),"None")</f>
        <v>None</v>
      </c>
    </row>
    <row r="580" spans="1:8" ht="13">
      <c r="A580" s="5" t="str">
        <f ca="1">IFERROR(__xludf.DUMMYFUNCTION("""COMPUTED_VALUE"""),"20210914MOMCH")</f>
        <v>20210914MOMCH</v>
      </c>
      <c r="B580" s="5" t="str">
        <f ca="1">IFERROR(__xludf.DUMMYFUNCTION("""COMPUTED_VALUE"""),"Adult")</f>
        <v>Adult</v>
      </c>
      <c r="C580" s="5" t="str">
        <f ca="1">IFERROR(__xludf.DUMMYFUNCTION("""COMPUTED_VALUE"""),"Female")</f>
        <v>Female</v>
      </c>
      <c r="D580" s="5"/>
      <c r="E580" s="5" t="str">
        <f ca="1">IFERROR(__xludf.DUMMYFUNCTION("""COMPUTED_VALUE"""),"Parent")</f>
        <v>Parent</v>
      </c>
      <c r="F580" s="5" t="str">
        <f ca="1">IFERROR(__xludf.DUMMYFUNCTION("""COMPUTED_VALUE"""),"Fled/Escaped")</f>
        <v>Fled/Escaped</v>
      </c>
      <c r="G580" s="5" t="str">
        <f ca="1">IFERROR(__xludf.DUMMYFUNCTION("""COMPUTED_VALUE"""),"No")</f>
        <v>No</v>
      </c>
      <c r="H580" s="5" t="str">
        <f ca="1">IFERROR(__xludf.DUMMYFUNCTION("""COMPUTED_VALUE"""),"None")</f>
        <v>None</v>
      </c>
    </row>
    <row r="581" spans="1:8" ht="13">
      <c r="A581" s="5" t="str">
        <f ca="1">IFERROR(__xludf.DUMMYFUNCTION("""COMPUTED_VALUE"""),"20210914MOMCH")</f>
        <v>20210914MOMCH</v>
      </c>
      <c r="B581" s="5" t="str">
        <f ca="1">IFERROR(__xludf.DUMMYFUNCTION("""COMPUTED_VALUE"""),"Adult")</f>
        <v>Adult</v>
      </c>
      <c r="C581" s="5" t="str">
        <f ca="1">IFERROR(__xludf.DUMMYFUNCTION("""COMPUTED_VALUE"""),"Female")</f>
        <v>Female</v>
      </c>
      <c r="D581" s="5"/>
      <c r="E581" s="5" t="str">
        <f ca="1">IFERROR(__xludf.DUMMYFUNCTION("""COMPUTED_VALUE"""),"Parent")</f>
        <v>Parent</v>
      </c>
      <c r="F581" s="5" t="str">
        <f ca="1">IFERROR(__xludf.DUMMYFUNCTION("""COMPUTED_VALUE"""),"Fled/Escaped")</f>
        <v>Fled/Escaped</v>
      </c>
      <c r="G581" s="5" t="str">
        <f ca="1">IFERROR(__xludf.DUMMYFUNCTION("""COMPUTED_VALUE"""),"No")</f>
        <v>No</v>
      </c>
      <c r="H581" s="5" t="str">
        <f ca="1">IFERROR(__xludf.DUMMYFUNCTION("""COMPUTED_VALUE"""),"None")</f>
        <v>None</v>
      </c>
    </row>
    <row r="582" spans="1:8" ht="13">
      <c r="A582" s="5" t="str">
        <f ca="1">IFERROR(__xludf.DUMMYFUNCTION("""COMPUTED_VALUE"""),"20210913SCEDC")</f>
        <v>20210913SCEDC</v>
      </c>
      <c r="B582" s="5">
        <f ca="1">IFERROR(__xludf.DUMMYFUNCTION("""COMPUTED_VALUE"""),54)</f>
        <v>54</v>
      </c>
      <c r="C582" s="5" t="str">
        <f ca="1">IFERROR(__xludf.DUMMYFUNCTION("""COMPUTED_VALUE"""),"Female")</f>
        <v>Female</v>
      </c>
      <c r="D582" s="5" t="str">
        <f ca="1">IFERROR(__xludf.DUMMYFUNCTION("""COMPUTED_VALUE"""),"Black")</f>
        <v>Black</v>
      </c>
      <c r="E582" s="5" t="str">
        <f ca="1">IFERROR(__xludf.DUMMYFUNCTION("""COMPUTED_VALUE"""),"Relative")</f>
        <v>Relative</v>
      </c>
      <c r="F582" s="5" t="str">
        <f ca="1">IFERROR(__xludf.DUMMYFUNCTION("""COMPUTED_VALUE"""),"Fled/Apprehended")</f>
        <v>Fled/Apprehended</v>
      </c>
      <c r="G582" s="5" t="str">
        <f ca="1">IFERROR(__xludf.DUMMYFUNCTION("""COMPUTED_VALUE"""),"No")</f>
        <v>No</v>
      </c>
      <c r="H582" s="5" t="str">
        <f ca="1">IFERROR(__xludf.DUMMYFUNCTION("""COMPUTED_VALUE"""),"None")</f>
        <v>None</v>
      </c>
    </row>
    <row r="583" spans="1:8" ht="13">
      <c r="A583" s="5" t="str">
        <f ca="1">IFERROR(__xludf.DUMMYFUNCTION("""COMPUTED_VALUE"""),"20210910CONOA")</f>
        <v>20210910CONOA</v>
      </c>
      <c r="B583" s="5"/>
      <c r="C583" s="5" t="str">
        <f ca="1">IFERROR(__xludf.DUMMYFUNCTION("""COMPUTED_VALUE"""),"Male")</f>
        <v>Male</v>
      </c>
      <c r="D583" s="5"/>
      <c r="E583" s="5" t="str">
        <f ca="1">IFERROR(__xludf.DUMMYFUNCTION("""COMPUTED_VALUE"""),"Nonstudent Using Athletic Facilities/Attending Game")</f>
        <v>Nonstudent Using Athletic Facilities/Attending Game</v>
      </c>
      <c r="F583" s="5" t="str">
        <f ca="1">IFERROR(__xludf.DUMMYFUNCTION("""COMPUTED_VALUE"""),"Fled/Escaped")</f>
        <v>Fled/Escaped</v>
      </c>
      <c r="G583" s="5" t="str">
        <f ca="1">IFERROR(__xludf.DUMMYFUNCTION("""COMPUTED_VALUE"""),"No")</f>
        <v>No</v>
      </c>
      <c r="H583" s="5" t="str">
        <f ca="1">IFERROR(__xludf.DUMMYFUNCTION("""COMPUTED_VALUE"""),"None")</f>
        <v>None</v>
      </c>
    </row>
    <row r="584" spans="1:8" ht="13">
      <c r="A584" s="5" t="str">
        <f ca="1">IFERROR(__xludf.DUMMYFUNCTION("""COMPUTED_VALUE"""),"20210910CASTP")</f>
        <v>20210910CASTP</v>
      </c>
      <c r="B584" s="5">
        <f ca="1">IFERROR(__xludf.DUMMYFUNCTION("""COMPUTED_VALUE"""),62)</f>
        <v>62</v>
      </c>
      <c r="C584" s="5" t="str">
        <f ca="1">IFERROR(__xludf.DUMMYFUNCTION("""COMPUTED_VALUE"""),"Male")</f>
        <v>Male</v>
      </c>
      <c r="D584" s="5" t="str">
        <f ca="1">IFERROR(__xludf.DUMMYFUNCTION("""COMPUTED_VALUE"""),"White")</f>
        <v>White</v>
      </c>
      <c r="E584" s="5" t="str">
        <f ca="1">IFERROR(__xludf.DUMMYFUNCTION("""COMPUTED_VALUE"""),"No Relation")</f>
        <v>No Relation</v>
      </c>
      <c r="F584" s="5" t="str">
        <f ca="1">IFERROR(__xludf.DUMMYFUNCTION("""COMPUTED_VALUE"""),"Apprehended/Killed by LE")</f>
        <v>Apprehended/Killed by LE</v>
      </c>
      <c r="G584" s="5" t="str">
        <f ca="1">IFERROR(__xludf.DUMMYFUNCTION("""COMPUTED_VALUE"""),"No")</f>
        <v>No</v>
      </c>
      <c r="H584" s="5" t="str">
        <f ca="1">IFERROR(__xludf.DUMMYFUNCTION("""COMPUTED_VALUE"""),"None")</f>
        <v>None</v>
      </c>
    </row>
    <row r="585" spans="1:8" ht="13">
      <c r="A585" s="5" t="str">
        <f ca="1">IFERROR(__xludf.DUMMYFUNCTION("""COMPUTED_VALUE"""),"20210909NCSHE")</f>
        <v>20210909NCSHE</v>
      </c>
      <c r="B585" s="5"/>
      <c r="C585" s="5"/>
      <c r="D585" s="5"/>
      <c r="E585" s="5"/>
      <c r="F585" s="5" t="str">
        <f ca="1">IFERROR(__xludf.DUMMYFUNCTION("""COMPUTED_VALUE"""),"Fled/Escaped")</f>
        <v>Fled/Escaped</v>
      </c>
      <c r="G585" s="5" t="str">
        <f ca="1">IFERROR(__xludf.DUMMYFUNCTION("""COMPUTED_VALUE"""),"No")</f>
        <v>No</v>
      </c>
      <c r="H585" s="5" t="str">
        <f ca="1">IFERROR(__xludf.DUMMYFUNCTION("""COMPUTED_VALUE"""),"None")</f>
        <v>None</v>
      </c>
    </row>
    <row r="586" spans="1:8" ht="13">
      <c r="A586" s="5" t="str">
        <f ca="1">IFERROR(__xludf.DUMMYFUNCTION("""COMPUTED_VALUE"""),"20210909MITRF")</f>
        <v>20210909MITRF</v>
      </c>
      <c r="B586" s="5" t="str">
        <f ca="1">IFERROR(__xludf.DUMMYFUNCTION("""COMPUTED_VALUE"""),"Teen")</f>
        <v>Teen</v>
      </c>
      <c r="C586" s="5" t="str">
        <f ca="1">IFERROR(__xludf.DUMMYFUNCTION("""COMPUTED_VALUE"""),"Male")</f>
        <v>Male</v>
      </c>
      <c r="D586" s="5"/>
      <c r="E586" s="5" t="str">
        <f ca="1">IFERROR(__xludf.DUMMYFUNCTION("""COMPUTED_VALUE"""),"Student")</f>
        <v>Student</v>
      </c>
      <c r="F586" s="5" t="str">
        <f ca="1">IFERROR(__xludf.DUMMYFUNCTION("""COMPUTED_VALUE"""),"Apprehended/Killed by LE")</f>
        <v>Apprehended/Killed by LE</v>
      </c>
      <c r="G586" s="5" t="str">
        <f ca="1">IFERROR(__xludf.DUMMYFUNCTION("""COMPUTED_VALUE"""),"No")</f>
        <v>No</v>
      </c>
      <c r="H586" s="5" t="str">
        <f ca="1">IFERROR(__xludf.DUMMYFUNCTION("""COMPUTED_VALUE"""),"None")</f>
        <v>None</v>
      </c>
    </row>
    <row r="587" spans="1:8" ht="13">
      <c r="A587" s="5" t="str">
        <f ca="1">IFERROR(__xludf.DUMMYFUNCTION("""COMPUTED_VALUE"""),"20210909ILCHC")</f>
        <v>20210909ILCHC</v>
      </c>
      <c r="B587" s="5" t="str">
        <f ca="1">IFERROR(__xludf.DUMMYFUNCTION("""COMPUTED_VALUE"""),"Adult")</f>
        <v>Adult</v>
      </c>
      <c r="C587" s="5"/>
      <c r="D587" s="5"/>
      <c r="E587" s="5" t="str">
        <f ca="1">IFERROR(__xludf.DUMMYFUNCTION("""COMPUTED_VALUE"""),"No Relation")</f>
        <v>No Relation</v>
      </c>
      <c r="F587" s="5" t="str">
        <f ca="1">IFERROR(__xludf.DUMMYFUNCTION("""COMPUTED_VALUE"""),"Fled/Escaped")</f>
        <v>Fled/Escaped</v>
      </c>
      <c r="G587" s="5" t="str">
        <f ca="1">IFERROR(__xludf.DUMMYFUNCTION("""COMPUTED_VALUE"""),"No")</f>
        <v>No</v>
      </c>
      <c r="H587" s="5" t="str">
        <f ca="1">IFERROR(__xludf.DUMMYFUNCTION("""COMPUTED_VALUE"""),"None")</f>
        <v>None</v>
      </c>
    </row>
    <row r="588" spans="1:8" ht="13">
      <c r="A588" s="5" t="str">
        <f ca="1">IFERROR(__xludf.DUMMYFUNCTION("""COMPUTED_VALUE"""),"20210908MNPRB")</f>
        <v>20210908MNPRB</v>
      </c>
      <c r="B588" s="5"/>
      <c r="C588" s="5"/>
      <c r="D588" s="5"/>
      <c r="E588" s="5" t="str">
        <f ca="1">IFERROR(__xludf.DUMMYFUNCTION("""COMPUTED_VALUE"""),"No Relation")</f>
        <v>No Relation</v>
      </c>
      <c r="F588" s="5" t="str">
        <f ca="1">IFERROR(__xludf.DUMMYFUNCTION("""COMPUTED_VALUE"""),"Fled/Escaped")</f>
        <v>Fled/Escaped</v>
      </c>
      <c r="G588" s="5" t="str">
        <f ca="1">IFERROR(__xludf.DUMMYFUNCTION("""COMPUTED_VALUE"""),"No")</f>
        <v>No</v>
      </c>
      <c r="H588" s="5" t="str">
        <f ca="1">IFERROR(__xludf.DUMMYFUNCTION("""COMPUTED_VALUE"""),"None")</f>
        <v>None</v>
      </c>
    </row>
    <row r="589" spans="1:8" ht="13">
      <c r="A589" s="5" t="str">
        <f ca="1">IFERROR(__xludf.DUMMYFUNCTION("""COMPUTED_VALUE"""),"20210908MNPRB")</f>
        <v>20210908MNPRB</v>
      </c>
      <c r="B589" s="5"/>
      <c r="C589" s="5"/>
      <c r="D589" s="5"/>
      <c r="E589" s="5" t="str">
        <f ca="1">IFERROR(__xludf.DUMMYFUNCTION("""COMPUTED_VALUE"""),"No Relation")</f>
        <v>No Relation</v>
      </c>
      <c r="F589" s="5" t="str">
        <f ca="1">IFERROR(__xludf.DUMMYFUNCTION("""COMPUTED_VALUE"""),"Fled/Escaped")</f>
        <v>Fled/Escaped</v>
      </c>
      <c r="G589" s="5" t="str">
        <f ca="1">IFERROR(__xludf.DUMMYFUNCTION("""COMPUTED_VALUE"""),"No")</f>
        <v>No</v>
      </c>
      <c r="H589" s="5" t="str">
        <f ca="1">IFERROR(__xludf.DUMMYFUNCTION("""COMPUTED_VALUE"""),"None")</f>
        <v>None</v>
      </c>
    </row>
    <row r="590" spans="1:8" ht="13">
      <c r="A590" s="5" t="str">
        <f ca="1">IFERROR(__xludf.DUMMYFUNCTION("""COMPUTED_VALUE"""),"20210908MNPRB")</f>
        <v>20210908MNPRB</v>
      </c>
      <c r="B590" s="5"/>
      <c r="C590" s="5"/>
      <c r="D590" s="5"/>
      <c r="E590" s="5" t="str">
        <f ca="1">IFERROR(__xludf.DUMMYFUNCTION("""COMPUTED_VALUE"""),"No Relation")</f>
        <v>No Relation</v>
      </c>
      <c r="F590" s="5" t="str">
        <f ca="1">IFERROR(__xludf.DUMMYFUNCTION("""COMPUTED_VALUE"""),"Fled/Escaped")</f>
        <v>Fled/Escaped</v>
      </c>
      <c r="G590" s="5" t="str">
        <f ca="1">IFERROR(__xludf.DUMMYFUNCTION("""COMPUTED_VALUE"""),"No")</f>
        <v>No</v>
      </c>
      <c r="H590" s="5" t="str">
        <f ca="1">IFERROR(__xludf.DUMMYFUNCTION("""COMPUTED_VALUE"""),"None")</f>
        <v>None</v>
      </c>
    </row>
    <row r="591" spans="1:8" ht="13">
      <c r="A591" s="5" t="str">
        <f ca="1">IFERROR(__xludf.DUMMYFUNCTION("""COMPUTED_VALUE"""),"20210908ILCEC")</f>
        <v>20210908ILCEC</v>
      </c>
      <c r="B591" s="5">
        <f ca="1">IFERROR(__xludf.DUMMYFUNCTION("""COMPUTED_VALUE"""),18)</f>
        <v>18</v>
      </c>
      <c r="C591" s="5" t="str">
        <f ca="1">IFERROR(__xludf.DUMMYFUNCTION("""COMPUTED_VALUE"""),"Male")</f>
        <v>Male</v>
      </c>
      <c r="D591" s="5"/>
      <c r="E591" s="5" t="str">
        <f ca="1">IFERROR(__xludf.DUMMYFUNCTION("""COMPUTED_VALUE"""),"Student")</f>
        <v>Student</v>
      </c>
      <c r="F591" s="5" t="str">
        <f ca="1">IFERROR(__xludf.DUMMYFUNCTION("""COMPUTED_VALUE"""),"Fled/Escaped")</f>
        <v>Fled/Escaped</v>
      </c>
      <c r="G591" s="5" t="str">
        <f ca="1">IFERROR(__xludf.DUMMYFUNCTION("""COMPUTED_VALUE"""),"No")</f>
        <v>No</v>
      </c>
      <c r="H591" s="5" t="str">
        <f ca="1">IFERROR(__xludf.DUMMYFUNCTION("""COMPUTED_VALUE"""),"None")</f>
        <v>None</v>
      </c>
    </row>
    <row r="592" spans="1:8" ht="13">
      <c r="A592" s="5" t="str">
        <f ca="1">IFERROR(__xludf.DUMMYFUNCTION("""COMPUTED_VALUE"""),"20210907TNLAL")</f>
        <v>20210907TNLAL</v>
      </c>
      <c r="B592" s="5">
        <f ca="1">IFERROR(__xludf.DUMMYFUNCTION("""COMPUTED_VALUE"""),15)</f>
        <v>15</v>
      </c>
      <c r="C592" s="5" t="str">
        <f ca="1">IFERROR(__xludf.DUMMYFUNCTION("""COMPUTED_VALUE"""),"Male")</f>
        <v>Male</v>
      </c>
      <c r="D592" s="5"/>
      <c r="E592" s="5" t="str">
        <f ca="1">IFERROR(__xludf.DUMMYFUNCTION("""COMPUTED_VALUE"""),"Student")</f>
        <v>Student</v>
      </c>
      <c r="F592" s="5" t="str">
        <f ca="1">IFERROR(__xludf.DUMMYFUNCTION("""COMPUTED_VALUE"""),"Fled/Apprehended")</f>
        <v>Fled/Apprehended</v>
      </c>
      <c r="G592" s="5" t="str">
        <f ca="1">IFERROR(__xludf.DUMMYFUNCTION("""COMPUTED_VALUE"""),"No")</f>
        <v>No</v>
      </c>
      <c r="H592" s="5" t="str">
        <f ca="1">IFERROR(__xludf.DUMMYFUNCTION("""COMPUTED_VALUE"""),"None")</f>
        <v>None</v>
      </c>
    </row>
    <row r="593" spans="1:8" ht="13">
      <c r="A593" s="5" t="str">
        <f ca="1">IFERROR(__xludf.DUMMYFUNCTION("""COMPUTED_VALUE"""),"20210907PAHAH")</f>
        <v>20210907PAHAH</v>
      </c>
      <c r="B593" s="5" t="str">
        <f ca="1">IFERROR(__xludf.DUMMYFUNCTION("""COMPUTED_VALUE"""),"Teen")</f>
        <v>Teen</v>
      </c>
      <c r="C593" s="5" t="str">
        <f ca="1">IFERROR(__xludf.DUMMYFUNCTION("""COMPUTED_VALUE"""),"Male")</f>
        <v>Male</v>
      </c>
      <c r="D593" s="5"/>
      <c r="E593" s="5" t="str">
        <f ca="1">IFERROR(__xludf.DUMMYFUNCTION("""COMPUTED_VALUE"""),"Student")</f>
        <v>Student</v>
      </c>
      <c r="F593" s="5" t="str">
        <f ca="1">IFERROR(__xludf.DUMMYFUNCTION("""COMPUTED_VALUE"""),"Fled/Escaped")</f>
        <v>Fled/Escaped</v>
      </c>
      <c r="G593" s="5" t="str">
        <f ca="1">IFERROR(__xludf.DUMMYFUNCTION("""COMPUTED_VALUE"""),"No")</f>
        <v>No</v>
      </c>
      <c r="H593" s="5" t="str">
        <f ca="1">IFERROR(__xludf.DUMMYFUNCTION("""COMPUTED_VALUE"""),"None")</f>
        <v>None</v>
      </c>
    </row>
    <row r="594" spans="1:8" ht="13">
      <c r="A594" s="5" t="str">
        <f ca="1">IFERROR(__xludf.DUMMYFUNCTION("""COMPUTED_VALUE"""),"20210907MAOMG")</f>
        <v>20210907MAOMG</v>
      </c>
      <c r="B594" s="5">
        <f ca="1">IFERROR(__xludf.DUMMYFUNCTION("""COMPUTED_VALUE"""),18)</f>
        <v>18</v>
      </c>
      <c r="C594" s="5" t="str">
        <f ca="1">IFERROR(__xludf.DUMMYFUNCTION("""COMPUTED_VALUE"""),"Male")</f>
        <v>Male</v>
      </c>
      <c r="D594" s="5"/>
      <c r="E594" s="5" t="str">
        <f ca="1">IFERROR(__xludf.DUMMYFUNCTION("""COMPUTED_VALUE"""),"No Relation")</f>
        <v>No Relation</v>
      </c>
      <c r="F594" s="5" t="str">
        <f ca="1">IFERROR(__xludf.DUMMYFUNCTION("""COMPUTED_VALUE"""),"Fled/Apprehended")</f>
        <v>Fled/Apprehended</v>
      </c>
      <c r="G594" s="5" t="str">
        <f ca="1">IFERROR(__xludf.DUMMYFUNCTION("""COMPUTED_VALUE"""),"No")</f>
        <v>No</v>
      </c>
      <c r="H594" s="5" t="str">
        <f ca="1">IFERROR(__xludf.DUMMYFUNCTION("""COMPUTED_VALUE"""),"None")</f>
        <v>None</v>
      </c>
    </row>
    <row r="595" spans="1:8" ht="13">
      <c r="A595" s="5" t="str">
        <f ca="1">IFERROR(__xludf.DUMMYFUNCTION("""COMPUTED_VALUE"""),"20210907MAOMG")</f>
        <v>20210907MAOMG</v>
      </c>
      <c r="B595" s="5">
        <f ca="1">IFERROR(__xludf.DUMMYFUNCTION("""COMPUTED_VALUE"""),18)</f>
        <v>18</v>
      </c>
      <c r="C595" s="5" t="str">
        <f ca="1">IFERROR(__xludf.DUMMYFUNCTION("""COMPUTED_VALUE"""),"Male")</f>
        <v>Male</v>
      </c>
      <c r="D595" s="5"/>
      <c r="E595" s="5" t="str">
        <f ca="1">IFERROR(__xludf.DUMMYFUNCTION("""COMPUTED_VALUE"""),"No Relation")</f>
        <v>No Relation</v>
      </c>
      <c r="F595" s="5" t="str">
        <f ca="1">IFERROR(__xludf.DUMMYFUNCTION("""COMPUTED_VALUE"""),"Fled/Apprehended")</f>
        <v>Fled/Apprehended</v>
      </c>
      <c r="G595" s="5" t="str">
        <f ca="1">IFERROR(__xludf.DUMMYFUNCTION("""COMPUTED_VALUE"""),"No")</f>
        <v>No</v>
      </c>
      <c r="H595" s="5" t="str">
        <f ca="1">IFERROR(__xludf.DUMMYFUNCTION("""COMPUTED_VALUE"""),"None")</f>
        <v>None</v>
      </c>
    </row>
    <row r="596" spans="1:8" ht="13">
      <c r="A596" s="5" t="str">
        <f ca="1">IFERROR(__xludf.DUMMYFUNCTION("""COMPUTED_VALUE"""),"20210903NVDEL")</f>
        <v>20210903NVDEL</v>
      </c>
      <c r="B596" s="5" t="str">
        <f ca="1">IFERROR(__xludf.DUMMYFUNCTION("""COMPUTED_VALUE"""),"Adult")</f>
        <v>Adult</v>
      </c>
      <c r="C596" s="5"/>
      <c r="D596" s="5"/>
      <c r="E596" s="5" t="str">
        <f ca="1">IFERROR(__xludf.DUMMYFUNCTION("""COMPUTED_VALUE"""),"Nonstudent Using Athletic Facilities/Attending Game")</f>
        <v>Nonstudent Using Athletic Facilities/Attending Game</v>
      </c>
      <c r="F596" s="5" t="str">
        <f ca="1">IFERROR(__xludf.DUMMYFUNCTION("""COMPUTED_VALUE"""),"Fled/Escaped")</f>
        <v>Fled/Escaped</v>
      </c>
      <c r="G596" s="5" t="str">
        <f ca="1">IFERROR(__xludf.DUMMYFUNCTION("""COMPUTED_VALUE"""),"No")</f>
        <v>No</v>
      </c>
      <c r="H596" s="5" t="str">
        <f ca="1">IFERROR(__xludf.DUMMYFUNCTION("""COMPUTED_VALUE"""),"None")</f>
        <v>None</v>
      </c>
    </row>
    <row r="597" spans="1:8" ht="13">
      <c r="A597" s="5" t="str">
        <f ca="1">IFERROR(__xludf.DUMMYFUNCTION("""COMPUTED_VALUE"""),"20210903NCJUC")</f>
        <v>20210903NCJUC</v>
      </c>
      <c r="B597" s="5"/>
      <c r="C597" s="5"/>
      <c r="D597" s="5"/>
      <c r="E597" s="5" t="str">
        <f ca="1">IFERROR(__xludf.DUMMYFUNCTION("""COMPUTED_VALUE"""),"Nonstudent Using Athletic Facilities/Attending Game")</f>
        <v>Nonstudent Using Athletic Facilities/Attending Game</v>
      </c>
      <c r="F597" s="5" t="str">
        <f ca="1">IFERROR(__xludf.DUMMYFUNCTION("""COMPUTED_VALUE"""),"Fled/Escaped")</f>
        <v>Fled/Escaped</v>
      </c>
      <c r="G597" s="5" t="str">
        <f ca="1">IFERROR(__xludf.DUMMYFUNCTION("""COMPUTED_VALUE"""),"No")</f>
        <v>No</v>
      </c>
      <c r="H597" s="5" t="str">
        <f ca="1">IFERROR(__xludf.DUMMYFUNCTION("""COMPUTED_VALUE"""),"None")</f>
        <v>None</v>
      </c>
    </row>
    <row r="598" spans="1:8" ht="13">
      <c r="A598" s="5" t="str">
        <f ca="1">IFERROR(__xludf.DUMMYFUNCTION("""COMPUTED_VALUE"""),"20210903CAMTH")</f>
        <v>20210903CAMTH</v>
      </c>
      <c r="B598" s="5">
        <f ca="1">IFERROR(__xludf.DUMMYFUNCTION("""COMPUTED_VALUE"""),16)</f>
        <v>16</v>
      </c>
      <c r="C598" s="5" t="str">
        <f ca="1">IFERROR(__xludf.DUMMYFUNCTION("""COMPUTED_VALUE"""),"Male")</f>
        <v>Male</v>
      </c>
      <c r="D598" s="5"/>
      <c r="E598" s="5" t="str">
        <f ca="1">IFERROR(__xludf.DUMMYFUNCTION("""COMPUTED_VALUE"""),"Student")</f>
        <v>Student</v>
      </c>
      <c r="F598" s="5" t="str">
        <f ca="1">IFERROR(__xludf.DUMMYFUNCTION("""COMPUTED_VALUE"""),"Apprehended/Killed by LE")</f>
        <v>Apprehended/Killed by LE</v>
      </c>
      <c r="G598" s="5" t="str">
        <f ca="1">IFERROR(__xludf.DUMMYFUNCTION("""COMPUTED_VALUE"""),"No")</f>
        <v>No</v>
      </c>
      <c r="H598" s="5" t="str">
        <f ca="1">IFERROR(__xludf.DUMMYFUNCTION("""COMPUTED_VALUE"""),"None")</f>
        <v>None</v>
      </c>
    </row>
    <row r="599" spans="1:8" ht="13">
      <c r="A599" s="5" t="str">
        <f ca="1">IFERROR(__xludf.DUMMYFUNCTION("""COMPUTED_VALUE"""),"20210903CAMTH")</f>
        <v>20210903CAMTH</v>
      </c>
      <c r="B599" s="5" t="str">
        <f ca="1">IFERROR(__xludf.DUMMYFUNCTION("""COMPUTED_VALUE"""),"Teen")</f>
        <v>Teen</v>
      </c>
      <c r="C599" s="5" t="str">
        <f ca="1">IFERROR(__xludf.DUMMYFUNCTION("""COMPUTED_VALUE"""),"Male")</f>
        <v>Male</v>
      </c>
      <c r="D599" s="5"/>
      <c r="E599" s="5" t="str">
        <f ca="1">IFERROR(__xludf.DUMMYFUNCTION("""COMPUTED_VALUE"""),"Student")</f>
        <v>Student</v>
      </c>
      <c r="F599" s="5" t="str">
        <f ca="1">IFERROR(__xludf.DUMMYFUNCTION("""COMPUTED_VALUE"""),"Fled/Apprehended")</f>
        <v>Fled/Apprehended</v>
      </c>
      <c r="G599" s="5" t="str">
        <f ca="1">IFERROR(__xludf.DUMMYFUNCTION("""COMPUTED_VALUE"""),"No")</f>
        <v>No</v>
      </c>
      <c r="H599" s="5" t="str">
        <f ca="1">IFERROR(__xludf.DUMMYFUNCTION("""COMPUTED_VALUE"""),"None")</f>
        <v>None</v>
      </c>
    </row>
    <row r="600" spans="1:8" ht="13">
      <c r="A600" s="5" t="str">
        <f ca="1">IFERROR(__xludf.DUMMYFUNCTION("""COMPUTED_VALUE"""),"20210903CABUB")</f>
        <v>20210903CABUB</v>
      </c>
      <c r="B600" s="5" t="str">
        <f ca="1">IFERROR(__xludf.DUMMYFUNCTION("""COMPUTED_VALUE"""),"Adult")</f>
        <v>Adult</v>
      </c>
      <c r="C600" s="5" t="str">
        <f ca="1">IFERROR(__xludf.DUMMYFUNCTION("""COMPUTED_VALUE"""),"Male")</f>
        <v>Male</v>
      </c>
      <c r="D600" s="5"/>
      <c r="E600" s="5" t="str">
        <f ca="1">IFERROR(__xludf.DUMMYFUNCTION("""COMPUTED_VALUE"""),"Intimate Relationship")</f>
        <v>Intimate Relationship</v>
      </c>
      <c r="F600" s="5" t="str">
        <f ca="1">IFERROR(__xludf.DUMMYFUNCTION("""COMPUTED_VALUE"""),"Apprehended/Killed by LE")</f>
        <v>Apprehended/Killed by LE</v>
      </c>
      <c r="G600" s="5" t="str">
        <f ca="1">IFERROR(__xludf.DUMMYFUNCTION("""COMPUTED_VALUE"""),"Yes")</f>
        <v>Yes</v>
      </c>
      <c r="H600" s="5" t="str">
        <f ca="1">IFERROR(__xludf.DUMMYFUNCTION("""COMPUTED_VALUE"""),"Fatal")</f>
        <v>Fatal</v>
      </c>
    </row>
    <row r="601" spans="1:8" ht="13">
      <c r="A601" s="5" t="str">
        <f ca="1">IFERROR(__xludf.DUMMYFUNCTION("""COMPUTED_VALUE"""),"20210902NMALA")</f>
        <v>20210902NMALA</v>
      </c>
      <c r="B601" s="5">
        <f ca="1">IFERROR(__xludf.DUMMYFUNCTION("""COMPUTED_VALUE"""),16)</f>
        <v>16</v>
      </c>
      <c r="C601" s="5" t="str">
        <f ca="1">IFERROR(__xludf.DUMMYFUNCTION("""COMPUTED_VALUE"""),"Male")</f>
        <v>Male</v>
      </c>
      <c r="D601" s="5"/>
      <c r="E601" s="5" t="str">
        <f ca="1">IFERROR(__xludf.DUMMYFUNCTION("""COMPUTED_VALUE"""),"Student")</f>
        <v>Student</v>
      </c>
      <c r="F601" s="5" t="str">
        <f ca="1">IFERROR(__xludf.DUMMYFUNCTION("""COMPUTED_VALUE"""),"Fled/Apprehended")</f>
        <v>Fled/Apprehended</v>
      </c>
      <c r="G601" s="5" t="str">
        <f ca="1">IFERROR(__xludf.DUMMYFUNCTION("""COMPUTED_VALUE"""),"No")</f>
        <v>No</v>
      </c>
      <c r="H601" s="5" t="str">
        <f ca="1">IFERROR(__xludf.DUMMYFUNCTION("""COMPUTED_VALUE"""),"Wounded")</f>
        <v>Wounded</v>
      </c>
    </row>
    <row r="602" spans="1:8" ht="13">
      <c r="A602" s="5" t="str">
        <f ca="1">IFERROR(__xludf.DUMMYFUNCTION("""COMPUTED_VALUE"""),"20210902NMALA")</f>
        <v>20210902NMALA</v>
      </c>
      <c r="B602" s="5" t="str">
        <f ca="1">IFERROR(__xludf.DUMMYFUNCTION("""COMPUTED_VALUE"""),"Teen")</f>
        <v>Teen</v>
      </c>
      <c r="C602" s="5"/>
      <c r="D602" s="5"/>
      <c r="E602" s="5" t="str">
        <f ca="1">IFERROR(__xludf.DUMMYFUNCTION("""COMPUTED_VALUE"""),"Other Student")</f>
        <v>Other Student</v>
      </c>
      <c r="F602" s="5" t="str">
        <f ca="1">IFERROR(__xludf.DUMMYFUNCTION("""COMPUTED_VALUE"""),"Fled/Escaped")</f>
        <v>Fled/Escaped</v>
      </c>
      <c r="G602" s="5" t="str">
        <f ca="1">IFERROR(__xludf.DUMMYFUNCTION("""COMPUTED_VALUE"""),"No")</f>
        <v>No</v>
      </c>
      <c r="H602" s="5" t="str">
        <f ca="1">IFERROR(__xludf.DUMMYFUNCTION("""COMPUTED_VALUE"""),"None")</f>
        <v>None</v>
      </c>
    </row>
    <row r="603" spans="1:8" ht="13">
      <c r="A603" s="5" t="str">
        <f ca="1">IFERROR(__xludf.DUMMYFUNCTION("""COMPUTED_VALUE"""),"20210902INWEG")</f>
        <v>20210902INWEG</v>
      </c>
      <c r="B603" s="5" t="str">
        <f ca="1">IFERROR(__xludf.DUMMYFUNCTION("""COMPUTED_VALUE"""),"Teen")</f>
        <v>Teen</v>
      </c>
      <c r="C603" s="5" t="str">
        <f ca="1">IFERROR(__xludf.DUMMYFUNCTION("""COMPUTED_VALUE"""),"Male")</f>
        <v>Male</v>
      </c>
      <c r="D603" s="5"/>
      <c r="E603" s="5"/>
      <c r="F603" s="5" t="str">
        <f ca="1">IFERROR(__xludf.DUMMYFUNCTION("""COMPUTED_VALUE"""),"Fled/Escaped")</f>
        <v>Fled/Escaped</v>
      </c>
      <c r="G603" s="5" t="str">
        <f ca="1">IFERROR(__xludf.DUMMYFUNCTION("""COMPUTED_VALUE"""),"No")</f>
        <v>No</v>
      </c>
      <c r="H603" s="5" t="str">
        <f ca="1">IFERROR(__xludf.DUMMYFUNCTION("""COMPUTED_VALUE"""),"None")</f>
        <v>None</v>
      </c>
    </row>
    <row r="604" spans="1:8" ht="13">
      <c r="A604" s="5" t="str">
        <f ca="1">IFERROR(__xludf.DUMMYFUNCTION("""COMPUTED_VALUE"""),"20210902GAWOS")</f>
        <v>20210902GAWOS</v>
      </c>
      <c r="B604" s="5">
        <f ca="1">IFERROR(__xludf.DUMMYFUNCTION("""COMPUTED_VALUE"""),24)</f>
        <v>24</v>
      </c>
      <c r="C604" s="5" t="str">
        <f ca="1">IFERROR(__xludf.DUMMYFUNCTION("""COMPUTED_VALUE"""),"Male")</f>
        <v>Male</v>
      </c>
      <c r="D604" s="5"/>
      <c r="E604" s="5" t="str">
        <f ca="1">IFERROR(__xludf.DUMMYFUNCTION("""COMPUTED_VALUE"""),"No Relation")</f>
        <v>No Relation</v>
      </c>
      <c r="F604" s="5" t="str">
        <f ca="1">IFERROR(__xludf.DUMMYFUNCTION("""COMPUTED_VALUE"""),"Apprehended/Killed by LE")</f>
        <v>Apprehended/Killed by LE</v>
      </c>
      <c r="G604" s="5" t="str">
        <f ca="1">IFERROR(__xludf.DUMMYFUNCTION("""COMPUTED_VALUE"""),"No")</f>
        <v>No</v>
      </c>
      <c r="H604" s="5" t="str">
        <f ca="1">IFERROR(__xludf.DUMMYFUNCTION("""COMPUTED_VALUE"""),"None")</f>
        <v>None</v>
      </c>
    </row>
    <row r="605" spans="1:8" ht="13">
      <c r="A605" s="5" t="str">
        <f ca="1">IFERROR(__xludf.DUMMYFUNCTION("""COMPUTED_VALUE"""),"20210902CASAL")</f>
        <v>20210902CASAL</v>
      </c>
      <c r="B605" s="5">
        <f ca="1">IFERROR(__xludf.DUMMYFUNCTION("""COMPUTED_VALUE"""),17)</f>
        <v>17</v>
      </c>
      <c r="C605" s="5" t="str">
        <f ca="1">IFERROR(__xludf.DUMMYFUNCTION("""COMPUTED_VALUE"""),"Male")</f>
        <v>Male</v>
      </c>
      <c r="D605" s="5"/>
      <c r="E605" s="5" t="str">
        <f ca="1">IFERROR(__xludf.DUMMYFUNCTION("""COMPUTED_VALUE"""),"Student")</f>
        <v>Student</v>
      </c>
      <c r="F605" s="5" t="str">
        <f ca="1">IFERROR(__xludf.DUMMYFUNCTION("""COMPUTED_VALUE"""),"Fled/Apprehended")</f>
        <v>Fled/Apprehended</v>
      </c>
      <c r="G605" s="5" t="str">
        <f ca="1">IFERROR(__xludf.DUMMYFUNCTION("""COMPUTED_VALUE"""),"No")</f>
        <v>No</v>
      </c>
      <c r="H605" s="5" t="str">
        <f ca="1">IFERROR(__xludf.DUMMYFUNCTION("""COMPUTED_VALUE"""),"None")</f>
        <v>None</v>
      </c>
    </row>
    <row r="606" spans="1:8" ht="13">
      <c r="A606" s="5" t="str">
        <f ca="1">IFERROR(__xludf.DUMMYFUNCTION("""COMPUTED_VALUE"""),"20210902CASAL")</f>
        <v>20210902CASAL</v>
      </c>
      <c r="B606" s="5">
        <f ca="1">IFERROR(__xludf.DUMMYFUNCTION("""COMPUTED_VALUE"""),17)</f>
        <v>17</v>
      </c>
      <c r="C606" s="5" t="str">
        <f ca="1">IFERROR(__xludf.DUMMYFUNCTION("""COMPUTED_VALUE"""),"Male")</f>
        <v>Male</v>
      </c>
      <c r="D606" s="5"/>
      <c r="E606" s="5" t="str">
        <f ca="1">IFERROR(__xludf.DUMMYFUNCTION("""COMPUTED_VALUE"""),"Student")</f>
        <v>Student</v>
      </c>
      <c r="F606" s="5" t="str">
        <f ca="1">IFERROR(__xludf.DUMMYFUNCTION("""COMPUTED_VALUE"""),"Fled/Apprehended")</f>
        <v>Fled/Apprehended</v>
      </c>
      <c r="G606" s="5" t="str">
        <f ca="1">IFERROR(__xludf.DUMMYFUNCTION("""COMPUTED_VALUE"""),"No")</f>
        <v>No</v>
      </c>
      <c r="H606" s="5" t="str">
        <f ca="1">IFERROR(__xludf.DUMMYFUNCTION("""COMPUTED_VALUE"""),"None")</f>
        <v>None</v>
      </c>
    </row>
    <row r="607" spans="1:8" ht="13">
      <c r="A607" s="5" t="str">
        <f ca="1">IFERROR(__xludf.DUMMYFUNCTION("""COMPUTED_VALUE"""),"20210902ARLIL")</f>
        <v>20210902ARLIL</v>
      </c>
      <c r="B607" s="5">
        <f ca="1">IFERROR(__xludf.DUMMYFUNCTION("""COMPUTED_VALUE"""),36)</f>
        <v>36</v>
      </c>
      <c r="C607" s="5" t="str">
        <f ca="1">IFERROR(__xludf.DUMMYFUNCTION("""COMPUTED_VALUE"""),"Female")</f>
        <v>Female</v>
      </c>
      <c r="D607" s="5" t="str">
        <f ca="1">IFERROR(__xludf.DUMMYFUNCTION("""COMPUTED_VALUE"""),"Black")</f>
        <v>Black</v>
      </c>
      <c r="E607" s="5" t="str">
        <f ca="1">IFERROR(__xludf.DUMMYFUNCTION("""COMPUTED_VALUE"""),"Parent")</f>
        <v>Parent</v>
      </c>
      <c r="F607" s="5" t="str">
        <f ca="1">IFERROR(__xludf.DUMMYFUNCTION("""COMPUTED_VALUE"""),"Apprehended/Killed by SRO")</f>
        <v>Apprehended/Killed by SRO</v>
      </c>
      <c r="G607" s="5" t="str">
        <f ca="1">IFERROR(__xludf.DUMMYFUNCTION("""COMPUTED_VALUE"""),"No")</f>
        <v>No</v>
      </c>
      <c r="H607" s="5" t="str">
        <f ca="1">IFERROR(__xludf.DUMMYFUNCTION("""COMPUTED_VALUE"""),"None")</f>
        <v>None</v>
      </c>
    </row>
    <row r="608" spans="1:8" ht="13">
      <c r="A608" s="5" t="str">
        <f ca="1">IFERROR(__xludf.DUMMYFUNCTION("""COMPUTED_VALUE"""),"20210901NCMTW")</f>
        <v>20210901NCMTW</v>
      </c>
      <c r="B608" s="5">
        <f ca="1">IFERROR(__xludf.DUMMYFUNCTION("""COMPUTED_VALUE"""),15)</f>
        <v>15</v>
      </c>
      <c r="C608" s="5" t="str">
        <f ca="1">IFERROR(__xludf.DUMMYFUNCTION("""COMPUTED_VALUE"""),"Male")</f>
        <v>Male</v>
      </c>
      <c r="D608" s="5" t="str">
        <f ca="1">IFERROR(__xludf.DUMMYFUNCTION("""COMPUTED_VALUE"""),"Black")</f>
        <v>Black</v>
      </c>
      <c r="E608" s="5" t="str">
        <f ca="1">IFERROR(__xludf.DUMMYFUNCTION("""COMPUTED_VALUE"""),"Student")</f>
        <v>Student</v>
      </c>
      <c r="F608" s="5" t="str">
        <f ca="1">IFERROR(__xludf.DUMMYFUNCTION("""COMPUTED_VALUE"""),"Fled/Apprehended")</f>
        <v>Fled/Apprehended</v>
      </c>
      <c r="G608" s="5" t="str">
        <f ca="1">IFERROR(__xludf.DUMMYFUNCTION("""COMPUTED_VALUE"""),"No")</f>
        <v>No</v>
      </c>
      <c r="H608" s="5" t="str">
        <f ca="1">IFERROR(__xludf.DUMMYFUNCTION("""COMPUTED_VALUE"""),"None")</f>
        <v>None</v>
      </c>
    </row>
    <row r="609" spans="1:8" ht="13">
      <c r="A609" s="5" t="str">
        <f ca="1">IFERROR(__xludf.DUMMYFUNCTION("""COMPUTED_VALUE"""),"20210901ILFRC")</f>
        <v>20210901ILFRC</v>
      </c>
      <c r="B609" s="5"/>
      <c r="C609" s="5"/>
      <c r="D609" s="5"/>
      <c r="E609" s="5" t="str">
        <f ca="1">IFERROR(__xludf.DUMMYFUNCTION("""COMPUTED_VALUE"""),"No Relation")</f>
        <v>No Relation</v>
      </c>
      <c r="F609" s="5" t="str">
        <f ca="1">IFERROR(__xludf.DUMMYFUNCTION("""COMPUTED_VALUE"""),"Fled/Escaped")</f>
        <v>Fled/Escaped</v>
      </c>
      <c r="G609" s="5" t="str">
        <f ca="1">IFERROR(__xludf.DUMMYFUNCTION("""COMPUTED_VALUE"""),"No")</f>
        <v>No</v>
      </c>
      <c r="H609" s="5" t="str">
        <f ca="1">IFERROR(__xludf.DUMMYFUNCTION("""COMPUTED_VALUE"""),"None")</f>
        <v>None</v>
      </c>
    </row>
    <row r="610" spans="1:8" ht="13">
      <c r="A610" s="5" t="str">
        <f ca="1">IFERROR(__xludf.DUMMYFUNCTION("""COMPUTED_VALUE"""),"20210830NJWEN")</f>
        <v>20210830NJWEN</v>
      </c>
      <c r="B610" s="5"/>
      <c r="C610" s="5"/>
      <c r="D610" s="5"/>
      <c r="E610" s="5"/>
      <c r="F610" s="5" t="str">
        <f ca="1">IFERROR(__xludf.DUMMYFUNCTION("""COMPUTED_VALUE"""),"Fled/Escaped")</f>
        <v>Fled/Escaped</v>
      </c>
      <c r="G610" s="5" t="str">
        <f ca="1">IFERROR(__xludf.DUMMYFUNCTION("""COMPUTED_VALUE"""),"No")</f>
        <v>No</v>
      </c>
      <c r="H610" s="5" t="str">
        <f ca="1">IFERROR(__xludf.DUMMYFUNCTION("""COMPUTED_VALUE"""),"None")</f>
        <v>None</v>
      </c>
    </row>
    <row r="611" spans="1:8" ht="13">
      <c r="A611" s="5" t="str">
        <f ca="1">IFERROR(__xludf.DUMMYFUNCTION("""COMPUTED_VALUE"""),"20210830NCNEW")</f>
        <v>20210830NCNEW</v>
      </c>
      <c r="B611" s="5">
        <f ca="1">IFERROR(__xludf.DUMMYFUNCTION("""COMPUTED_VALUE"""),15)</f>
        <v>15</v>
      </c>
      <c r="C611" s="5" t="str">
        <f ca="1">IFERROR(__xludf.DUMMYFUNCTION("""COMPUTED_VALUE"""),"Male")</f>
        <v>Male</v>
      </c>
      <c r="D611" s="5" t="str">
        <f ca="1">IFERROR(__xludf.DUMMYFUNCTION("""COMPUTED_VALUE"""),"Black")</f>
        <v>Black</v>
      </c>
      <c r="E611" s="5" t="str">
        <f ca="1">IFERROR(__xludf.DUMMYFUNCTION("""COMPUTED_VALUE"""),"Student")</f>
        <v>Student</v>
      </c>
      <c r="F611" s="5" t="str">
        <f ca="1">IFERROR(__xludf.DUMMYFUNCTION("""COMPUTED_VALUE"""),"Fled/Apprehended")</f>
        <v>Fled/Apprehended</v>
      </c>
      <c r="G611" s="5" t="str">
        <f ca="1">IFERROR(__xludf.DUMMYFUNCTION("""COMPUTED_VALUE"""),"No")</f>
        <v>No</v>
      </c>
      <c r="H611" s="5" t="str">
        <f ca="1">IFERROR(__xludf.DUMMYFUNCTION("""COMPUTED_VALUE"""),"None")</f>
        <v>None</v>
      </c>
    </row>
    <row r="612" spans="1:8" ht="13">
      <c r="A612" s="5" t="str">
        <f ca="1">IFERROR(__xludf.DUMMYFUNCTION("""COMPUTED_VALUE"""),"20210830MDNEO")</f>
        <v>20210830MDNEO</v>
      </c>
      <c r="B612" s="5">
        <f ca="1">IFERROR(__xludf.DUMMYFUNCTION("""COMPUTED_VALUE"""),34)</f>
        <v>34</v>
      </c>
      <c r="C612" s="5" t="str">
        <f ca="1">IFERROR(__xludf.DUMMYFUNCTION("""COMPUTED_VALUE"""),"Male")</f>
        <v>Male</v>
      </c>
      <c r="D612" s="5"/>
      <c r="E612" s="5" t="str">
        <f ca="1">IFERROR(__xludf.DUMMYFUNCTION("""COMPUTED_VALUE"""),"No Relation")</f>
        <v>No Relation</v>
      </c>
      <c r="F612" s="5" t="str">
        <f ca="1">IFERROR(__xludf.DUMMYFUNCTION("""COMPUTED_VALUE"""),"Fled/Apprehended")</f>
        <v>Fled/Apprehended</v>
      </c>
      <c r="G612" s="5" t="str">
        <f ca="1">IFERROR(__xludf.DUMMYFUNCTION("""COMPUTED_VALUE"""),"No")</f>
        <v>No</v>
      </c>
      <c r="H612" s="5" t="str">
        <f ca="1">IFERROR(__xludf.DUMMYFUNCTION("""COMPUTED_VALUE"""),"None")</f>
        <v>None</v>
      </c>
    </row>
    <row r="613" spans="1:8" ht="13">
      <c r="A613" s="5" t="str">
        <f ca="1">IFERROR(__xludf.DUMMYFUNCTION("""COMPUTED_VALUE"""),"20210830FLOKW")</f>
        <v>20210830FLOKW</v>
      </c>
      <c r="B613" s="5" t="str">
        <f ca="1">IFERROR(__xludf.DUMMYFUNCTION("""COMPUTED_VALUE"""),"Teen")</f>
        <v>Teen</v>
      </c>
      <c r="C613" s="5" t="str">
        <f ca="1">IFERROR(__xludf.DUMMYFUNCTION("""COMPUTED_VALUE"""),"Male")</f>
        <v>Male</v>
      </c>
      <c r="D613" s="5"/>
      <c r="E613" s="5" t="str">
        <f ca="1">IFERROR(__xludf.DUMMYFUNCTION("""COMPUTED_VALUE"""),"Student")</f>
        <v>Student</v>
      </c>
      <c r="F613" s="5" t="str">
        <f ca="1">IFERROR(__xludf.DUMMYFUNCTION("""COMPUTED_VALUE"""),"Fled/Apprehended")</f>
        <v>Fled/Apprehended</v>
      </c>
      <c r="G613" s="5" t="str">
        <f ca="1">IFERROR(__xludf.DUMMYFUNCTION("""COMPUTED_VALUE"""),"No")</f>
        <v>No</v>
      </c>
      <c r="H613" s="5" t="str">
        <f ca="1">IFERROR(__xludf.DUMMYFUNCTION("""COMPUTED_VALUE"""),"None")</f>
        <v>None</v>
      </c>
    </row>
    <row r="614" spans="1:8" ht="13">
      <c r="A614" s="5" t="str">
        <f ca="1">IFERROR(__xludf.DUMMYFUNCTION("""COMPUTED_VALUE"""),"20210828CASAS")</f>
        <v>20210828CASAS</v>
      </c>
      <c r="B614" s="5"/>
      <c r="C614" s="5"/>
      <c r="D614" s="5"/>
      <c r="E614" s="5"/>
      <c r="F614" s="5" t="str">
        <f ca="1">IFERROR(__xludf.DUMMYFUNCTION("""COMPUTED_VALUE"""),"Fled/Escaped")</f>
        <v>Fled/Escaped</v>
      </c>
      <c r="G614" s="5" t="str">
        <f ca="1">IFERROR(__xludf.DUMMYFUNCTION("""COMPUTED_VALUE"""),"No")</f>
        <v>No</v>
      </c>
      <c r="H614" s="5" t="str">
        <f ca="1">IFERROR(__xludf.DUMMYFUNCTION("""COMPUTED_VALUE"""),"None")</f>
        <v>None</v>
      </c>
    </row>
    <row r="615" spans="1:8" ht="13">
      <c r="A615" s="5" t="str">
        <f ca="1">IFERROR(__xludf.DUMMYFUNCTION("""COMPUTED_VALUE"""),"20210827VTEDB")</f>
        <v>20210827VTEDB</v>
      </c>
      <c r="B615" s="5"/>
      <c r="C615" s="5"/>
      <c r="D615" s="5"/>
      <c r="E615" s="5"/>
      <c r="F615" s="5" t="str">
        <f ca="1">IFERROR(__xludf.DUMMYFUNCTION("""COMPUTED_VALUE"""),"Fled/Escaped")</f>
        <v>Fled/Escaped</v>
      </c>
      <c r="G615" s="5" t="str">
        <f ca="1">IFERROR(__xludf.DUMMYFUNCTION("""COMPUTED_VALUE"""),"No")</f>
        <v>No</v>
      </c>
      <c r="H615" s="5" t="str">
        <f ca="1">IFERROR(__xludf.DUMMYFUNCTION("""COMPUTED_VALUE"""),"None")</f>
        <v>None</v>
      </c>
    </row>
    <row r="616" spans="1:8" ht="13">
      <c r="A616" s="5" t="str">
        <f ca="1">IFERROR(__xludf.DUMMYFUNCTION("""COMPUTED_VALUE"""),"20210827VAFRW")</f>
        <v>20210827VAFRW</v>
      </c>
      <c r="B616" s="5">
        <f ca="1">IFERROR(__xludf.DUMMYFUNCTION("""COMPUTED_VALUE"""),17)</f>
        <v>17</v>
      </c>
      <c r="C616" s="5" t="str">
        <f ca="1">IFERROR(__xludf.DUMMYFUNCTION("""COMPUTED_VALUE"""),"Male")</f>
        <v>Male</v>
      </c>
      <c r="D616" s="5"/>
      <c r="E616" s="5" t="str">
        <f ca="1">IFERROR(__xludf.DUMMYFUNCTION("""COMPUTED_VALUE"""),"Student")</f>
        <v>Student</v>
      </c>
      <c r="F616" s="5" t="str">
        <f ca="1">IFERROR(__xludf.DUMMYFUNCTION("""COMPUTED_VALUE"""),"Fled/Apprehended")</f>
        <v>Fled/Apprehended</v>
      </c>
      <c r="G616" s="5" t="str">
        <f ca="1">IFERROR(__xludf.DUMMYFUNCTION("""COMPUTED_VALUE"""),"No")</f>
        <v>No</v>
      </c>
      <c r="H616" s="5" t="str">
        <f ca="1">IFERROR(__xludf.DUMMYFUNCTION("""COMPUTED_VALUE"""),"None")</f>
        <v>None</v>
      </c>
    </row>
    <row r="617" spans="1:8" ht="13">
      <c r="A617" s="5" t="str">
        <f ca="1">IFERROR(__xludf.DUMMYFUNCTION("""COMPUTED_VALUE"""),"20210827PAACS")</f>
        <v>20210827PAACS</v>
      </c>
      <c r="B617" s="5"/>
      <c r="C617" s="5"/>
      <c r="D617" s="5"/>
      <c r="E617" s="5" t="str">
        <f ca="1">IFERROR(__xludf.DUMMYFUNCTION("""COMPUTED_VALUE"""),"Police Officer/SRO")</f>
        <v>Police Officer/SRO</v>
      </c>
      <c r="F617" s="5" t="str">
        <f ca="1">IFERROR(__xludf.DUMMYFUNCTION("""COMPUTED_VALUE"""),"Law Enforcement")</f>
        <v>Law Enforcement</v>
      </c>
      <c r="G617" s="5"/>
      <c r="H617" s="5"/>
    </row>
    <row r="618" spans="1:8" ht="13">
      <c r="A618" s="5" t="str">
        <f ca="1">IFERROR(__xludf.DUMMYFUNCTION("""COMPUTED_VALUE"""),"20210827PAACS")</f>
        <v>20210827PAACS</v>
      </c>
      <c r="B618" s="5"/>
      <c r="C618" s="5"/>
      <c r="D618" s="5"/>
      <c r="E618" s="5" t="str">
        <f ca="1">IFERROR(__xludf.DUMMYFUNCTION("""COMPUTED_VALUE"""),"Police Officer/SRO")</f>
        <v>Police Officer/SRO</v>
      </c>
      <c r="F618" s="5" t="str">
        <f ca="1">IFERROR(__xludf.DUMMYFUNCTION("""COMPUTED_VALUE"""),"Law Enforcement")</f>
        <v>Law Enforcement</v>
      </c>
      <c r="G618" s="5"/>
      <c r="H618" s="5"/>
    </row>
    <row r="619" spans="1:8" ht="13">
      <c r="A619" s="5" t="str">
        <f ca="1">IFERROR(__xludf.DUMMYFUNCTION("""COMPUTED_VALUE"""),"20210827PAACS")</f>
        <v>20210827PAACS</v>
      </c>
      <c r="B619" s="5"/>
      <c r="C619" s="5"/>
      <c r="D619" s="5"/>
      <c r="E619" s="5" t="str">
        <f ca="1">IFERROR(__xludf.DUMMYFUNCTION("""COMPUTED_VALUE"""),"Police Officer/SRO")</f>
        <v>Police Officer/SRO</v>
      </c>
      <c r="F619" s="5" t="str">
        <f ca="1">IFERROR(__xludf.DUMMYFUNCTION("""COMPUTED_VALUE"""),"Law Enforcement")</f>
        <v>Law Enforcement</v>
      </c>
      <c r="G619" s="5"/>
      <c r="H619" s="5"/>
    </row>
    <row r="620" spans="1:8" ht="13">
      <c r="A620" s="5" t="str">
        <f ca="1">IFERROR(__xludf.DUMMYFUNCTION("""COMPUTED_VALUE"""),"20210827PAACS")</f>
        <v>20210827PAACS</v>
      </c>
      <c r="B620" s="5">
        <f ca="1">IFERROR(__xludf.DUMMYFUNCTION("""COMPUTED_VALUE"""),16)</f>
        <v>16</v>
      </c>
      <c r="C620" s="5" t="str">
        <f ca="1">IFERROR(__xludf.DUMMYFUNCTION("""COMPUTED_VALUE"""),"Male")</f>
        <v>Male</v>
      </c>
      <c r="D620" s="5"/>
      <c r="E620" s="5" t="str">
        <f ca="1">IFERROR(__xludf.DUMMYFUNCTION("""COMPUTED_VALUE"""),"Student")</f>
        <v>Student</v>
      </c>
      <c r="F620" s="5" t="str">
        <f ca="1">IFERROR(__xludf.DUMMYFUNCTION("""COMPUTED_VALUE"""),"Fled/Apprehended")</f>
        <v>Fled/Apprehended</v>
      </c>
      <c r="G620" s="5" t="str">
        <f ca="1">IFERROR(__xludf.DUMMYFUNCTION("""COMPUTED_VALUE"""),"No")</f>
        <v>No</v>
      </c>
      <c r="H620" s="5" t="str">
        <f ca="1">IFERROR(__xludf.DUMMYFUNCTION("""COMPUTED_VALUE"""),"None")</f>
        <v>None</v>
      </c>
    </row>
    <row r="621" spans="1:8" ht="13">
      <c r="A621" s="5" t="str">
        <f ca="1">IFERROR(__xludf.DUMMYFUNCTION("""COMPUTED_VALUE"""),"20210827PAACS")</f>
        <v>20210827PAACS</v>
      </c>
      <c r="B621" s="5">
        <f ca="1">IFERROR(__xludf.DUMMYFUNCTION("""COMPUTED_VALUE"""),18)</f>
        <v>18</v>
      </c>
      <c r="C621" s="5" t="str">
        <f ca="1">IFERROR(__xludf.DUMMYFUNCTION("""COMPUTED_VALUE"""),"Male")</f>
        <v>Male</v>
      </c>
      <c r="D621" s="5"/>
      <c r="E621" s="5"/>
      <c r="F621" s="5" t="str">
        <f ca="1">IFERROR(__xludf.DUMMYFUNCTION("""COMPUTED_VALUE"""),"Fled/Escaped")</f>
        <v>Fled/Escaped</v>
      </c>
      <c r="G621" s="5" t="str">
        <f ca="1">IFERROR(__xludf.DUMMYFUNCTION("""COMPUTED_VALUE"""),"No")</f>
        <v>No</v>
      </c>
      <c r="H621" s="5" t="str">
        <f ca="1">IFERROR(__xludf.DUMMYFUNCTION("""COMPUTED_VALUE"""),"None")</f>
        <v>None</v>
      </c>
    </row>
    <row r="622" spans="1:8" ht="13">
      <c r="A622" s="5" t="str">
        <f ca="1">IFERROR(__xludf.DUMMYFUNCTION("""COMPUTED_VALUE"""),"20210827KYAPO")</f>
        <v>20210827KYAPO</v>
      </c>
      <c r="B622" s="5" t="str">
        <f ca="1">IFERROR(__xludf.DUMMYFUNCTION("""COMPUTED_VALUE"""),"Adult")</f>
        <v>Adult</v>
      </c>
      <c r="C622" s="5" t="str">
        <f ca="1">IFERROR(__xludf.DUMMYFUNCTION("""COMPUTED_VALUE"""),"Male")</f>
        <v>Male</v>
      </c>
      <c r="D622" s="5"/>
      <c r="E622" s="5" t="str">
        <f ca="1">IFERROR(__xludf.DUMMYFUNCTION("""COMPUTED_VALUE"""),"Nonstudent Using Athletic Facilities/Attending Game")</f>
        <v>Nonstudent Using Athletic Facilities/Attending Game</v>
      </c>
      <c r="F622" s="5" t="str">
        <f ca="1">IFERROR(__xludf.DUMMYFUNCTION("""COMPUTED_VALUE"""),"Apprehended/Killed by LE")</f>
        <v>Apprehended/Killed by LE</v>
      </c>
      <c r="G622" s="5" t="str">
        <f ca="1">IFERROR(__xludf.DUMMYFUNCTION("""COMPUTED_VALUE"""),"No")</f>
        <v>No</v>
      </c>
      <c r="H622" s="5" t="str">
        <f ca="1">IFERROR(__xludf.DUMMYFUNCTION("""COMPUTED_VALUE"""),"None")</f>
        <v>None</v>
      </c>
    </row>
    <row r="623" spans="1:8" ht="13">
      <c r="A623" s="5" t="str">
        <f ca="1">IFERROR(__xludf.DUMMYFUNCTION("""COMPUTED_VALUE"""),"20210827INHAH")</f>
        <v>20210827INHAH</v>
      </c>
      <c r="B623" s="5">
        <f ca="1">IFERROR(__xludf.DUMMYFUNCTION("""COMPUTED_VALUE"""),17)</f>
        <v>17</v>
      </c>
      <c r="C623" s="5" t="str">
        <f ca="1">IFERROR(__xludf.DUMMYFUNCTION("""COMPUTED_VALUE"""),"Male")</f>
        <v>Male</v>
      </c>
      <c r="D623" s="5" t="str">
        <f ca="1">IFERROR(__xludf.DUMMYFUNCTION("""COMPUTED_VALUE"""),"Black")</f>
        <v>Black</v>
      </c>
      <c r="E623" s="5" t="str">
        <f ca="1">IFERROR(__xludf.DUMMYFUNCTION("""COMPUTED_VALUE"""),"Former Student")</f>
        <v>Former Student</v>
      </c>
      <c r="F623" s="5" t="str">
        <f ca="1">IFERROR(__xludf.DUMMYFUNCTION("""COMPUTED_VALUE"""),"Fled/Apprehended")</f>
        <v>Fled/Apprehended</v>
      </c>
      <c r="G623" s="5" t="str">
        <f ca="1">IFERROR(__xludf.DUMMYFUNCTION("""COMPUTED_VALUE"""),"No")</f>
        <v>No</v>
      </c>
      <c r="H623" s="5" t="str">
        <f ca="1">IFERROR(__xludf.DUMMYFUNCTION("""COMPUTED_VALUE"""),"None")</f>
        <v>None</v>
      </c>
    </row>
    <row r="624" spans="1:8" ht="13">
      <c r="A624" s="5" t="str">
        <f ca="1">IFERROR(__xludf.DUMMYFUNCTION("""COMPUTED_VALUE"""),"20210826WAAKS")</f>
        <v>20210826WAAKS</v>
      </c>
      <c r="B624" s="5">
        <f ca="1">IFERROR(__xludf.DUMMYFUNCTION("""COMPUTED_VALUE"""),14)</f>
        <v>14</v>
      </c>
      <c r="C624" s="5" t="str">
        <f ca="1">IFERROR(__xludf.DUMMYFUNCTION("""COMPUTED_VALUE"""),"Male")</f>
        <v>Male</v>
      </c>
      <c r="D624" s="5"/>
      <c r="E624" s="5" t="str">
        <f ca="1">IFERROR(__xludf.DUMMYFUNCTION("""COMPUTED_VALUE"""),"Former Student")</f>
        <v>Former Student</v>
      </c>
      <c r="F624" s="5" t="str">
        <f ca="1">IFERROR(__xludf.DUMMYFUNCTION("""COMPUTED_VALUE"""),"Fled/Apprehended")</f>
        <v>Fled/Apprehended</v>
      </c>
      <c r="G624" s="5" t="str">
        <f ca="1">IFERROR(__xludf.DUMMYFUNCTION("""COMPUTED_VALUE"""),"No")</f>
        <v>No</v>
      </c>
      <c r="H624" s="5" t="str">
        <f ca="1">IFERROR(__xludf.DUMMYFUNCTION("""COMPUTED_VALUE"""),"None")</f>
        <v>None</v>
      </c>
    </row>
    <row r="625" spans="1:8" ht="13">
      <c r="A625" s="5" t="str">
        <f ca="1">IFERROR(__xludf.DUMMYFUNCTION("""COMPUTED_VALUE"""),"20210826WAAKS")</f>
        <v>20210826WAAKS</v>
      </c>
      <c r="B625" s="5">
        <f ca="1">IFERROR(__xludf.DUMMYFUNCTION("""COMPUTED_VALUE"""),17)</f>
        <v>17</v>
      </c>
      <c r="C625" s="5" t="str">
        <f ca="1">IFERROR(__xludf.DUMMYFUNCTION("""COMPUTED_VALUE"""),"Male")</f>
        <v>Male</v>
      </c>
      <c r="D625" s="5"/>
      <c r="E625" s="5" t="str">
        <f ca="1">IFERROR(__xludf.DUMMYFUNCTION("""COMPUTED_VALUE"""),"Former Student")</f>
        <v>Former Student</v>
      </c>
      <c r="F625" s="5" t="str">
        <f ca="1">IFERROR(__xludf.DUMMYFUNCTION("""COMPUTED_VALUE"""),"Apprehended/Killed by LE")</f>
        <v>Apprehended/Killed by LE</v>
      </c>
      <c r="G625" s="5" t="str">
        <f ca="1">IFERROR(__xludf.DUMMYFUNCTION("""COMPUTED_VALUE"""),"No")</f>
        <v>No</v>
      </c>
      <c r="H625" s="5" t="str">
        <f ca="1">IFERROR(__xludf.DUMMYFUNCTION("""COMPUTED_VALUE"""),"Wounded")</f>
        <v>Wounded</v>
      </c>
    </row>
    <row r="626" spans="1:8" ht="13">
      <c r="A626" s="5" t="str">
        <f ca="1">IFERROR(__xludf.DUMMYFUNCTION("""COMPUTED_VALUE"""),"20210826OHNOT")</f>
        <v>20210826OHNOT</v>
      </c>
      <c r="B626" s="5" t="str">
        <f ca="1">IFERROR(__xludf.DUMMYFUNCTION("""COMPUTED_VALUE"""),"Adult")</f>
        <v>Adult</v>
      </c>
      <c r="C626" s="5" t="str">
        <f ca="1">IFERROR(__xludf.DUMMYFUNCTION("""COMPUTED_VALUE"""),"Male")</f>
        <v>Male</v>
      </c>
      <c r="D626" s="5"/>
      <c r="E626" s="5" t="str">
        <f ca="1">IFERROR(__xludf.DUMMYFUNCTION("""COMPUTED_VALUE"""),"Nonstudent Using Athletic Facilities/Attending Game")</f>
        <v>Nonstudent Using Athletic Facilities/Attending Game</v>
      </c>
      <c r="F626" s="5" t="str">
        <f ca="1">IFERROR(__xludf.DUMMYFUNCTION("""COMPUTED_VALUE"""),"Fled/Escaped")</f>
        <v>Fled/Escaped</v>
      </c>
      <c r="G626" s="5" t="str">
        <f ca="1">IFERROR(__xludf.DUMMYFUNCTION("""COMPUTED_VALUE"""),"No")</f>
        <v>No</v>
      </c>
      <c r="H626" s="5" t="str">
        <f ca="1">IFERROR(__xludf.DUMMYFUNCTION("""COMPUTED_VALUE"""),"None")</f>
        <v>None</v>
      </c>
    </row>
    <row r="627" spans="1:8" ht="13">
      <c r="A627" s="5" t="str">
        <f ca="1">IFERROR(__xludf.DUMMYFUNCTION("""COMPUTED_VALUE"""),"20210826NYHAH")</f>
        <v>20210826NYHAH</v>
      </c>
      <c r="B627" s="5">
        <f ca="1">IFERROR(__xludf.DUMMYFUNCTION("""COMPUTED_VALUE"""),27)</f>
        <v>27</v>
      </c>
      <c r="C627" s="5" t="str">
        <f ca="1">IFERROR(__xludf.DUMMYFUNCTION("""COMPUTED_VALUE"""),"Male")</f>
        <v>Male</v>
      </c>
      <c r="D627" s="5"/>
      <c r="E627" s="5"/>
      <c r="F627" s="5" t="str">
        <f ca="1">IFERROR(__xludf.DUMMYFUNCTION("""COMPUTED_VALUE"""),"Fled/Apprehended")</f>
        <v>Fled/Apprehended</v>
      </c>
      <c r="G627" s="5" t="str">
        <f ca="1">IFERROR(__xludf.DUMMYFUNCTION("""COMPUTED_VALUE"""),"No")</f>
        <v>No</v>
      </c>
      <c r="H627" s="5" t="str">
        <f ca="1">IFERROR(__xludf.DUMMYFUNCTION("""COMPUTED_VALUE"""),"None")</f>
        <v>None</v>
      </c>
    </row>
    <row r="628" spans="1:8" ht="13">
      <c r="A628" s="5" t="str">
        <f ca="1">IFERROR(__xludf.DUMMYFUNCTION("""COMPUTED_VALUE"""),"20210822ILWER")</f>
        <v>20210822ILWER</v>
      </c>
      <c r="B628" s="5">
        <f ca="1">IFERROR(__xludf.DUMMYFUNCTION("""COMPUTED_VALUE"""),17)</f>
        <v>17</v>
      </c>
      <c r="C628" s="5" t="str">
        <f ca="1">IFERROR(__xludf.DUMMYFUNCTION("""COMPUTED_VALUE"""),"Male")</f>
        <v>Male</v>
      </c>
      <c r="D628" s="5"/>
      <c r="E628" s="5" t="str">
        <f ca="1">IFERROR(__xludf.DUMMYFUNCTION("""COMPUTED_VALUE"""),"No Relation")</f>
        <v>No Relation</v>
      </c>
      <c r="F628" s="5" t="str">
        <f ca="1">IFERROR(__xludf.DUMMYFUNCTION("""COMPUTED_VALUE"""),"Fled/Apprehended")</f>
        <v>Fled/Apprehended</v>
      </c>
      <c r="G628" s="5" t="str">
        <f ca="1">IFERROR(__xludf.DUMMYFUNCTION("""COMPUTED_VALUE"""),"No")</f>
        <v>No</v>
      </c>
      <c r="H628" s="5" t="str">
        <f ca="1">IFERROR(__xludf.DUMMYFUNCTION("""COMPUTED_VALUE"""),"None")</f>
        <v>None</v>
      </c>
    </row>
    <row r="629" spans="1:8" ht="13">
      <c r="A629" s="5" t="str">
        <f ca="1">IFERROR(__xludf.DUMMYFUNCTION("""COMPUTED_VALUE"""),"20210820NEMIO")</f>
        <v>20210820NEMIO</v>
      </c>
      <c r="B629" s="5" t="str">
        <f ca="1">IFERROR(__xludf.DUMMYFUNCTION("""COMPUTED_VALUE"""),"Adult")</f>
        <v>Adult</v>
      </c>
      <c r="C629" s="5"/>
      <c r="D629" s="5"/>
      <c r="E629" s="5" t="str">
        <f ca="1">IFERROR(__xludf.DUMMYFUNCTION("""COMPUTED_VALUE"""),"No Relation")</f>
        <v>No Relation</v>
      </c>
      <c r="F629" s="5" t="str">
        <f ca="1">IFERROR(__xludf.DUMMYFUNCTION("""COMPUTED_VALUE"""),"Fled/Escaped")</f>
        <v>Fled/Escaped</v>
      </c>
      <c r="G629" s="5" t="str">
        <f ca="1">IFERROR(__xludf.DUMMYFUNCTION("""COMPUTED_VALUE"""),"No")</f>
        <v>No</v>
      </c>
      <c r="H629" s="5" t="str">
        <f ca="1">IFERROR(__xludf.DUMMYFUNCTION("""COMPUTED_VALUE"""),"None")</f>
        <v>None</v>
      </c>
    </row>
    <row r="630" spans="1:8" ht="13">
      <c r="A630" s="5" t="str">
        <f ca="1">IFERROR(__xludf.DUMMYFUNCTION("""COMPUTED_VALUE"""),"20210820CACEF")</f>
        <v>20210820CACEF</v>
      </c>
      <c r="B630" s="5">
        <f ca="1">IFERROR(__xludf.DUMMYFUNCTION("""COMPUTED_VALUE"""),19)</f>
        <v>19</v>
      </c>
      <c r="C630" s="5" t="str">
        <f ca="1">IFERROR(__xludf.DUMMYFUNCTION("""COMPUTED_VALUE"""),"Male")</f>
        <v>Male</v>
      </c>
      <c r="D630" s="5"/>
      <c r="E630" s="5" t="str">
        <f ca="1">IFERROR(__xludf.DUMMYFUNCTION("""COMPUTED_VALUE"""),"Nonstudent Using Athletic Facilities/Attending Game")</f>
        <v>Nonstudent Using Athletic Facilities/Attending Game</v>
      </c>
      <c r="F630" s="5" t="str">
        <f ca="1">IFERROR(__xludf.DUMMYFUNCTION("""COMPUTED_VALUE"""),"Apprehended/Killed by LE")</f>
        <v>Apprehended/Killed by LE</v>
      </c>
      <c r="G630" s="5" t="str">
        <f ca="1">IFERROR(__xludf.DUMMYFUNCTION("""COMPUTED_VALUE"""),"No")</f>
        <v>No</v>
      </c>
      <c r="H630" s="5" t="str">
        <f ca="1">IFERROR(__xludf.DUMMYFUNCTION("""COMPUTED_VALUE"""),"None")</f>
        <v>None</v>
      </c>
    </row>
    <row r="631" spans="1:8" ht="13">
      <c r="A631" s="5" t="str">
        <f ca="1">IFERROR(__xludf.DUMMYFUNCTION("""COMPUTED_VALUE"""),"20210818SCORO")</f>
        <v>20210818SCORO</v>
      </c>
      <c r="B631" s="5">
        <f ca="1">IFERROR(__xludf.DUMMYFUNCTION("""COMPUTED_VALUE"""),14)</f>
        <v>14</v>
      </c>
      <c r="C631" s="5" t="str">
        <f ca="1">IFERROR(__xludf.DUMMYFUNCTION("""COMPUTED_VALUE"""),"Male")</f>
        <v>Male</v>
      </c>
      <c r="D631" s="5"/>
      <c r="E631" s="5" t="str">
        <f ca="1">IFERROR(__xludf.DUMMYFUNCTION("""COMPUTED_VALUE"""),"Student")</f>
        <v>Student</v>
      </c>
      <c r="F631" s="5" t="str">
        <f ca="1">IFERROR(__xludf.DUMMYFUNCTION("""COMPUTED_VALUE"""),"Fled/Apprehended")</f>
        <v>Fled/Apprehended</v>
      </c>
      <c r="G631" s="5" t="str">
        <f ca="1">IFERROR(__xludf.DUMMYFUNCTION("""COMPUTED_VALUE"""),"No")</f>
        <v>No</v>
      </c>
      <c r="H631" s="5" t="str">
        <f ca="1">IFERROR(__xludf.DUMMYFUNCTION("""COMPUTED_VALUE"""),"None")</f>
        <v>None</v>
      </c>
    </row>
    <row r="632" spans="1:8" ht="13">
      <c r="A632" s="5" t="str">
        <f ca="1">IFERROR(__xludf.DUMMYFUNCTION("""COMPUTED_VALUE"""),"20210817COYED")</f>
        <v>20210817COYED</v>
      </c>
      <c r="B632" s="5">
        <f ca="1">IFERROR(__xludf.DUMMYFUNCTION("""COMPUTED_VALUE"""),18)</f>
        <v>18</v>
      </c>
      <c r="C632" s="5" t="str">
        <f ca="1">IFERROR(__xludf.DUMMYFUNCTION("""COMPUTED_VALUE"""),"Male")</f>
        <v>Male</v>
      </c>
      <c r="D632" s="5"/>
      <c r="E632" s="5" t="str">
        <f ca="1">IFERROR(__xludf.DUMMYFUNCTION("""COMPUTED_VALUE"""),"No Relation")</f>
        <v>No Relation</v>
      </c>
      <c r="F632" s="5" t="str">
        <f ca="1">IFERROR(__xludf.DUMMYFUNCTION("""COMPUTED_VALUE"""),"Fled/Apprehended")</f>
        <v>Fled/Apprehended</v>
      </c>
      <c r="G632" s="5" t="str">
        <f ca="1">IFERROR(__xludf.DUMMYFUNCTION("""COMPUTED_VALUE"""),"No")</f>
        <v>No</v>
      </c>
      <c r="H632" s="5" t="str">
        <f ca="1">IFERROR(__xludf.DUMMYFUNCTION("""COMPUTED_VALUE"""),"None")</f>
        <v>None</v>
      </c>
    </row>
    <row r="633" spans="1:8" ht="13">
      <c r="A633" s="5" t="str">
        <f ca="1">IFERROR(__xludf.DUMMYFUNCTION("""COMPUTED_VALUE"""),"20210815VAROD")</f>
        <v>20210815VAROD</v>
      </c>
      <c r="B633" s="5"/>
      <c r="C633" s="5"/>
      <c r="D633" s="5"/>
      <c r="E633" s="5" t="str">
        <f ca="1">IFERROR(__xludf.DUMMYFUNCTION("""COMPUTED_VALUE"""),"No Relation")</f>
        <v>No Relation</v>
      </c>
      <c r="F633" s="5" t="str">
        <f ca="1">IFERROR(__xludf.DUMMYFUNCTION("""COMPUTED_VALUE"""),"Fled/Escaped")</f>
        <v>Fled/Escaped</v>
      </c>
      <c r="G633" s="5" t="str">
        <f ca="1">IFERROR(__xludf.DUMMYFUNCTION("""COMPUTED_VALUE"""),"No")</f>
        <v>No</v>
      </c>
      <c r="H633" s="5" t="str">
        <f ca="1">IFERROR(__xludf.DUMMYFUNCTION("""COMPUTED_VALUE"""),"None")</f>
        <v>None</v>
      </c>
    </row>
    <row r="634" spans="1:8" ht="13">
      <c r="A634" s="5" t="str">
        <f ca="1">IFERROR(__xludf.DUMMYFUNCTION("""COMPUTED_VALUE"""),"20210814SCDAH")</f>
        <v>20210814SCDAH</v>
      </c>
      <c r="B634" s="5"/>
      <c r="C634" s="5"/>
      <c r="D634" s="5"/>
      <c r="E634" s="5"/>
      <c r="F634" s="5" t="str">
        <f ca="1">IFERROR(__xludf.DUMMYFUNCTION("""COMPUTED_VALUE"""),"Fled/Escaped")</f>
        <v>Fled/Escaped</v>
      </c>
      <c r="G634" s="5" t="str">
        <f ca="1">IFERROR(__xludf.DUMMYFUNCTION("""COMPUTED_VALUE"""),"No")</f>
        <v>No</v>
      </c>
      <c r="H634" s="5" t="str">
        <f ca="1">IFERROR(__xludf.DUMMYFUNCTION("""COMPUTED_VALUE"""),"None")</f>
        <v>None</v>
      </c>
    </row>
    <row r="635" spans="1:8" ht="13">
      <c r="A635" s="5" t="str">
        <f ca="1">IFERROR(__xludf.DUMMYFUNCTION("""COMPUTED_VALUE"""),"20210814ILMAC")</f>
        <v>20210814ILMAC</v>
      </c>
      <c r="B635" s="5"/>
      <c r="C635" s="5"/>
      <c r="D635" s="5"/>
      <c r="E635" s="5" t="str">
        <f ca="1">IFERROR(__xludf.DUMMYFUNCTION("""COMPUTED_VALUE"""),"No Relation")</f>
        <v>No Relation</v>
      </c>
      <c r="F635" s="5" t="str">
        <f ca="1">IFERROR(__xludf.DUMMYFUNCTION("""COMPUTED_VALUE"""),"Fled/Escaped")</f>
        <v>Fled/Escaped</v>
      </c>
      <c r="G635" s="5" t="str">
        <f ca="1">IFERROR(__xludf.DUMMYFUNCTION("""COMPUTED_VALUE"""),"No")</f>
        <v>No</v>
      </c>
      <c r="H635" s="5" t="str">
        <f ca="1">IFERROR(__xludf.DUMMYFUNCTION("""COMPUTED_VALUE"""),"None")</f>
        <v>None</v>
      </c>
    </row>
    <row r="636" spans="1:8" ht="13">
      <c r="A636" s="5" t="str">
        <f ca="1">IFERROR(__xludf.DUMMYFUNCTION("""COMPUTED_VALUE"""),"20210813NMWAA")</f>
        <v>20210813NMWAA</v>
      </c>
      <c r="B636" s="5">
        <f ca="1">IFERROR(__xludf.DUMMYFUNCTION("""COMPUTED_VALUE"""),13)</f>
        <v>13</v>
      </c>
      <c r="C636" s="5" t="str">
        <f ca="1">IFERROR(__xludf.DUMMYFUNCTION("""COMPUTED_VALUE"""),"Male")</f>
        <v>Male</v>
      </c>
      <c r="D636" s="5" t="str">
        <f ca="1">IFERROR(__xludf.DUMMYFUNCTION("""COMPUTED_VALUE"""),"Hispanic")</f>
        <v>Hispanic</v>
      </c>
      <c r="E636" s="5" t="str">
        <f ca="1">IFERROR(__xludf.DUMMYFUNCTION("""COMPUTED_VALUE"""),"Student")</f>
        <v>Student</v>
      </c>
      <c r="F636" s="5" t="str">
        <f ca="1">IFERROR(__xludf.DUMMYFUNCTION("""COMPUTED_VALUE"""),"Apprehended/Killed by SRO")</f>
        <v>Apprehended/Killed by SRO</v>
      </c>
      <c r="G636" s="5" t="str">
        <f ca="1">IFERROR(__xludf.DUMMYFUNCTION("""COMPUTED_VALUE"""),"No")</f>
        <v>No</v>
      </c>
      <c r="H636" s="5" t="str">
        <f ca="1">IFERROR(__xludf.DUMMYFUNCTION("""COMPUTED_VALUE"""),"None")</f>
        <v>None</v>
      </c>
    </row>
    <row r="637" spans="1:8" ht="13">
      <c r="A637" s="5" t="str">
        <f ca="1">IFERROR(__xludf.DUMMYFUNCTION("""COMPUTED_VALUE"""),"20210813GACAS")</f>
        <v>20210813GACAS</v>
      </c>
      <c r="B637" s="5"/>
      <c r="C637" s="5"/>
      <c r="D637" s="5"/>
      <c r="E637" s="5"/>
      <c r="F637" s="5" t="str">
        <f ca="1">IFERROR(__xludf.DUMMYFUNCTION("""COMPUTED_VALUE"""),"Fled/Escaped")</f>
        <v>Fled/Escaped</v>
      </c>
      <c r="G637" s="5" t="str">
        <f ca="1">IFERROR(__xludf.DUMMYFUNCTION("""COMPUTED_VALUE"""),"No")</f>
        <v>No</v>
      </c>
      <c r="H637" s="5" t="str">
        <f ca="1">IFERROR(__xludf.DUMMYFUNCTION("""COMPUTED_VALUE"""),"None")</f>
        <v>None</v>
      </c>
    </row>
    <row r="638" spans="1:8" ht="13">
      <c r="A638" s="5" t="str">
        <f ca="1">IFERROR(__xludf.DUMMYFUNCTION("""COMPUTED_VALUE"""),"20210812GALIL")</f>
        <v>20210812GALIL</v>
      </c>
      <c r="B638" s="5"/>
      <c r="C638" s="5"/>
      <c r="D638" s="5"/>
      <c r="E638" s="5" t="str">
        <f ca="1">IFERROR(__xludf.DUMMYFUNCTION("""COMPUTED_VALUE"""),"Police Officer/SRO")</f>
        <v>Police Officer/SRO</v>
      </c>
      <c r="F638" s="5"/>
      <c r="G638" s="5"/>
      <c r="H638" s="5"/>
    </row>
    <row r="639" spans="1:8" ht="13">
      <c r="A639" s="5" t="str">
        <f ca="1">IFERROR(__xludf.DUMMYFUNCTION("""COMPUTED_VALUE"""),"20210812CANOS")</f>
        <v>20210812CANOS</v>
      </c>
      <c r="B639" s="5" t="str">
        <f ca="1">IFERROR(__xludf.DUMMYFUNCTION("""COMPUTED_VALUE"""),"Teen")</f>
        <v>Teen</v>
      </c>
      <c r="C639" s="5"/>
      <c r="D639" s="5"/>
      <c r="E639" s="5" t="str">
        <f ca="1">IFERROR(__xludf.DUMMYFUNCTION("""COMPUTED_VALUE"""),"Student")</f>
        <v>Student</v>
      </c>
      <c r="F639" s="5" t="str">
        <f ca="1">IFERROR(__xludf.DUMMYFUNCTION("""COMPUTED_VALUE"""),"Apprehended/Killed by LE")</f>
        <v>Apprehended/Killed by LE</v>
      </c>
      <c r="G639" s="5" t="str">
        <f ca="1">IFERROR(__xludf.DUMMYFUNCTION("""COMPUTED_VALUE"""),"No")</f>
        <v>No</v>
      </c>
      <c r="H639" s="5" t="str">
        <f ca="1">IFERROR(__xludf.DUMMYFUNCTION("""COMPUTED_VALUE"""),"None")</f>
        <v>None</v>
      </c>
    </row>
    <row r="640" spans="1:8" ht="13">
      <c r="A640" s="5" t="str">
        <f ca="1">IFERROR(__xludf.DUMMYFUNCTION("""COMPUTED_VALUE"""),"20210811COMAC")</f>
        <v>20210811COMAC</v>
      </c>
      <c r="B640" s="5"/>
      <c r="C640" s="5"/>
      <c r="D640" s="5"/>
      <c r="E640" s="5" t="str">
        <f ca="1">IFERROR(__xludf.DUMMYFUNCTION("""COMPUTED_VALUE"""),"No Relation")</f>
        <v>No Relation</v>
      </c>
      <c r="F640" s="5" t="str">
        <f ca="1">IFERROR(__xludf.DUMMYFUNCTION("""COMPUTED_VALUE"""),"Fled/Escaped")</f>
        <v>Fled/Escaped</v>
      </c>
      <c r="G640" s="5" t="str">
        <f ca="1">IFERROR(__xludf.DUMMYFUNCTION("""COMPUTED_VALUE"""),"No")</f>
        <v>No</v>
      </c>
      <c r="H640" s="5" t="str">
        <f ca="1">IFERROR(__xludf.DUMMYFUNCTION("""COMPUTED_VALUE"""),"None")</f>
        <v>None</v>
      </c>
    </row>
    <row r="641" spans="1:8" ht="13">
      <c r="A641" s="5" t="str">
        <f ca="1">IFERROR(__xludf.DUMMYFUNCTION("""COMPUTED_VALUE"""),"20210811CAOAO")</f>
        <v>20210811CAOAO</v>
      </c>
      <c r="B641" s="5"/>
      <c r="C641" s="5"/>
      <c r="D641" s="5"/>
      <c r="E641" s="5"/>
      <c r="F641" s="5" t="str">
        <f ca="1">IFERROR(__xludf.DUMMYFUNCTION("""COMPUTED_VALUE"""),"Fled/Escaped")</f>
        <v>Fled/Escaped</v>
      </c>
      <c r="G641" s="5" t="str">
        <f ca="1">IFERROR(__xludf.DUMMYFUNCTION("""COMPUTED_VALUE"""),"No")</f>
        <v>No</v>
      </c>
      <c r="H641" s="5" t="str">
        <f ca="1">IFERROR(__xludf.DUMMYFUNCTION("""COMPUTED_VALUE"""),"None")</f>
        <v>None</v>
      </c>
    </row>
    <row r="642" spans="1:8" ht="13">
      <c r="A642" s="5" t="str">
        <f ca="1">IFERROR(__xludf.DUMMYFUNCTION("""COMPUTED_VALUE"""),"20210810OHEAC")</f>
        <v>20210810OHEAC</v>
      </c>
      <c r="B642" s="5">
        <f ca="1">IFERROR(__xludf.DUMMYFUNCTION("""COMPUTED_VALUE"""),12)</f>
        <v>12</v>
      </c>
      <c r="C642" s="5" t="str">
        <f ca="1">IFERROR(__xludf.DUMMYFUNCTION("""COMPUTED_VALUE"""),"Male")</f>
        <v>Male</v>
      </c>
      <c r="D642" s="5"/>
      <c r="E642" s="5" t="str">
        <f ca="1">IFERROR(__xludf.DUMMYFUNCTION("""COMPUTED_VALUE"""),"Former Student")</f>
        <v>Former Student</v>
      </c>
      <c r="F642" s="5" t="str">
        <f ca="1">IFERROR(__xludf.DUMMYFUNCTION("""COMPUTED_VALUE"""),"Surrendered")</f>
        <v>Surrendered</v>
      </c>
      <c r="G642" s="5" t="str">
        <f ca="1">IFERROR(__xludf.DUMMYFUNCTION("""COMPUTED_VALUE"""),"No")</f>
        <v>No</v>
      </c>
      <c r="H642" s="5" t="str">
        <f ca="1">IFERROR(__xludf.DUMMYFUNCTION("""COMPUTED_VALUE"""),"None")</f>
        <v>None</v>
      </c>
    </row>
    <row r="643" spans="1:8" ht="13">
      <c r="A643" s="5" t="str">
        <f ca="1">IFERROR(__xludf.DUMMYFUNCTION("""COMPUTED_VALUE"""),"20210807ORGIP")</f>
        <v>20210807ORGIP</v>
      </c>
      <c r="B643" s="5"/>
      <c r="C643" s="5"/>
      <c r="D643" s="5"/>
      <c r="E643" s="5"/>
      <c r="F643" s="5" t="str">
        <f ca="1">IFERROR(__xludf.DUMMYFUNCTION("""COMPUTED_VALUE"""),"Fled/Escaped")</f>
        <v>Fled/Escaped</v>
      </c>
      <c r="G643" s="5" t="str">
        <f ca="1">IFERROR(__xludf.DUMMYFUNCTION("""COMPUTED_VALUE"""),"No")</f>
        <v>No</v>
      </c>
      <c r="H643" s="5" t="str">
        <f ca="1">IFERROR(__xludf.DUMMYFUNCTION("""COMPUTED_VALUE"""),"None")</f>
        <v>None</v>
      </c>
    </row>
    <row r="644" spans="1:8" ht="13">
      <c r="A644" s="5" t="str">
        <f ca="1">IFERROR(__xludf.DUMMYFUNCTION("""COMPUTED_VALUE"""),"20210806LASTH")</f>
        <v>20210806LASTH</v>
      </c>
      <c r="B644" s="5">
        <f ca="1">IFERROR(__xludf.DUMMYFUNCTION("""COMPUTED_VALUE"""),17)</f>
        <v>17</v>
      </c>
      <c r="C644" s="5" t="str">
        <f ca="1">IFERROR(__xludf.DUMMYFUNCTION("""COMPUTED_VALUE"""),"Male")</f>
        <v>Male</v>
      </c>
      <c r="D644" s="5" t="str">
        <f ca="1">IFERROR(__xludf.DUMMYFUNCTION("""COMPUTED_VALUE"""),"Black")</f>
        <v>Black</v>
      </c>
      <c r="E644" s="5" t="str">
        <f ca="1">IFERROR(__xludf.DUMMYFUNCTION("""COMPUTED_VALUE"""),"No Relation")</f>
        <v>No Relation</v>
      </c>
      <c r="F644" s="5" t="str">
        <f ca="1">IFERROR(__xludf.DUMMYFUNCTION("""COMPUTED_VALUE"""),"Fled/Apprehended")</f>
        <v>Fled/Apprehended</v>
      </c>
      <c r="G644" s="5" t="str">
        <f ca="1">IFERROR(__xludf.DUMMYFUNCTION("""COMPUTED_VALUE"""),"No")</f>
        <v>No</v>
      </c>
      <c r="H644" s="5" t="str">
        <f ca="1">IFERROR(__xludf.DUMMYFUNCTION("""COMPUTED_VALUE"""),"None")</f>
        <v>None</v>
      </c>
    </row>
    <row r="645" spans="1:8" ht="13">
      <c r="A645" s="5" t="str">
        <f ca="1">IFERROR(__xludf.DUMMYFUNCTION("""COMPUTED_VALUE"""),"20210805GACHD")</f>
        <v>20210805GACHD</v>
      </c>
      <c r="B645" s="5">
        <f ca="1">IFERROR(__xludf.DUMMYFUNCTION("""COMPUTED_VALUE"""),23)</f>
        <v>23</v>
      </c>
      <c r="C645" s="5" t="str">
        <f ca="1">IFERROR(__xludf.DUMMYFUNCTION("""COMPUTED_VALUE"""),"Male")</f>
        <v>Male</v>
      </c>
      <c r="D645" s="5" t="str">
        <f ca="1">IFERROR(__xludf.DUMMYFUNCTION("""COMPUTED_VALUE"""),"Black")</f>
        <v>Black</v>
      </c>
      <c r="E645" s="5" t="str">
        <f ca="1">IFERROR(__xludf.DUMMYFUNCTION("""COMPUTED_VALUE"""),"Teacher")</f>
        <v>Teacher</v>
      </c>
      <c r="F645" s="5" t="str">
        <f ca="1">IFERROR(__xludf.DUMMYFUNCTION("""COMPUTED_VALUE"""),"Fled/Apprehended")</f>
        <v>Fled/Apprehended</v>
      </c>
      <c r="G645" s="5" t="str">
        <f ca="1">IFERROR(__xludf.DUMMYFUNCTION("""COMPUTED_VALUE"""),"No")</f>
        <v>No</v>
      </c>
      <c r="H645" s="5" t="str">
        <f ca="1">IFERROR(__xludf.DUMMYFUNCTION("""COMPUTED_VALUE"""),"None")</f>
        <v>None</v>
      </c>
    </row>
    <row r="646" spans="1:8" ht="13">
      <c r="A646" s="5" t="str">
        <f ca="1">IFERROR(__xludf.DUMMYFUNCTION("""COMPUTED_VALUE"""),"20210804ALBUM")</f>
        <v>20210804ALBUM</v>
      </c>
      <c r="B646" s="5"/>
      <c r="C646" s="5"/>
      <c r="D646" s="5"/>
      <c r="E646" s="5"/>
      <c r="F646" s="5" t="str">
        <f ca="1">IFERROR(__xludf.DUMMYFUNCTION("""COMPUTED_VALUE"""),"Fled/Escaped")</f>
        <v>Fled/Escaped</v>
      </c>
      <c r="G646" s="5" t="str">
        <f ca="1">IFERROR(__xludf.DUMMYFUNCTION("""COMPUTED_VALUE"""),"No")</f>
        <v>No</v>
      </c>
      <c r="H646" s="5" t="str">
        <f ca="1">IFERROR(__xludf.DUMMYFUNCTION("""COMPUTED_VALUE"""),"None")</f>
        <v>None</v>
      </c>
    </row>
    <row r="647" spans="1:8" ht="13">
      <c r="A647" s="5" t="str">
        <f ca="1">IFERROR(__xludf.DUMMYFUNCTION("""COMPUTED_VALUE"""),"20210727WATYS")</f>
        <v>20210727WATYS</v>
      </c>
      <c r="B647" s="5" t="str">
        <f ca="1">IFERROR(__xludf.DUMMYFUNCTION("""COMPUTED_VALUE"""),"Adult")</f>
        <v>Adult</v>
      </c>
      <c r="C647" s="5" t="str">
        <f ca="1">IFERROR(__xludf.DUMMYFUNCTION("""COMPUTED_VALUE"""),"Male")</f>
        <v>Male</v>
      </c>
      <c r="D647" s="5"/>
      <c r="E647" s="5" t="str">
        <f ca="1">IFERROR(__xludf.DUMMYFUNCTION("""COMPUTED_VALUE"""),"Nonstudent Using Athletic Facilities/Attending Game")</f>
        <v>Nonstudent Using Athletic Facilities/Attending Game</v>
      </c>
      <c r="F647" s="5" t="str">
        <f ca="1">IFERROR(__xludf.DUMMYFUNCTION("""COMPUTED_VALUE"""),"Fled/Escaped")</f>
        <v>Fled/Escaped</v>
      </c>
      <c r="G647" s="5" t="str">
        <f ca="1">IFERROR(__xludf.DUMMYFUNCTION("""COMPUTED_VALUE"""),"No")</f>
        <v>No</v>
      </c>
      <c r="H647" s="5" t="str">
        <f ca="1">IFERROR(__xludf.DUMMYFUNCTION("""COMPUTED_VALUE"""),"None")</f>
        <v>None</v>
      </c>
    </row>
    <row r="648" spans="1:8" ht="13">
      <c r="A648" s="5" t="str">
        <f ca="1">IFERROR(__xludf.DUMMYFUNCTION("""COMPUTED_VALUE"""),"20210721ILTHC")</f>
        <v>20210721ILTHC</v>
      </c>
      <c r="B648" s="5"/>
      <c r="C648" s="5"/>
      <c r="D648" s="5"/>
      <c r="E648" s="5" t="str">
        <f ca="1">IFERROR(__xludf.DUMMYFUNCTION("""COMPUTED_VALUE"""),"No Relation")</f>
        <v>No Relation</v>
      </c>
      <c r="F648" s="5" t="str">
        <f ca="1">IFERROR(__xludf.DUMMYFUNCTION("""COMPUTED_VALUE"""),"Fled/Escaped")</f>
        <v>Fled/Escaped</v>
      </c>
      <c r="G648" s="5" t="str">
        <f ca="1">IFERROR(__xludf.DUMMYFUNCTION("""COMPUTED_VALUE"""),"No")</f>
        <v>No</v>
      </c>
      <c r="H648" s="5" t="str">
        <f ca="1">IFERROR(__xludf.DUMMYFUNCTION("""COMPUTED_VALUE"""),"None")</f>
        <v>None</v>
      </c>
    </row>
    <row r="649" spans="1:8" ht="13">
      <c r="A649" s="5" t="str">
        <f ca="1">IFERROR(__xludf.DUMMYFUNCTION("""COMPUTED_VALUE"""),"20210719TXCAC")</f>
        <v>20210719TXCAC</v>
      </c>
      <c r="B649" s="5" t="str">
        <f ca="1">IFERROR(__xludf.DUMMYFUNCTION("""COMPUTED_VALUE"""),"Teen")</f>
        <v>Teen</v>
      </c>
      <c r="C649" s="5"/>
      <c r="D649" s="5"/>
      <c r="E649" s="5" t="str">
        <f ca="1">IFERROR(__xludf.DUMMYFUNCTION("""COMPUTED_VALUE"""),"Student")</f>
        <v>Student</v>
      </c>
      <c r="F649" s="5" t="str">
        <f ca="1">IFERROR(__xludf.DUMMYFUNCTION("""COMPUTED_VALUE"""),"Fled/Apprehended")</f>
        <v>Fled/Apprehended</v>
      </c>
      <c r="G649" s="5" t="str">
        <f ca="1">IFERROR(__xludf.DUMMYFUNCTION("""COMPUTED_VALUE"""),"No")</f>
        <v>No</v>
      </c>
      <c r="H649" s="5" t="str">
        <f ca="1">IFERROR(__xludf.DUMMYFUNCTION("""COMPUTED_VALUE"""),"None")</f>
        <v>None</v>
      </c>
    </row>
    <row r="650" spans="1:8" ht="13">
      <c r="A650" s="5" t="str">
        <f ca="1">IFERROR(__xludf.DUMMYFUNCTION("""COMPUTED_VALUE"""),"20210718ARFOL")</f>
        <v>20210718ARFOL</v>
      </c>
      <c r="B650" s="5" t="str">
        <f ca="1">IFERROR(__xludf.DUMMYFUNCTION("""COMPUTED_VALUE"""),"Adult")</f>
        <v>Adult</v>
      </c>
      <c r="C650" s="5"/>
      <c r="D650" s="5"/>
      <c r="E650" s="5" t="str">
        <f ca="1">IFERROR(__xludf.DUMMYFUNCTION("""COMPUTED_VALUE"""),"Nonstudent Using Athletic Facilities/Attending Game")</f>
        <v>Nonstudent Using Athletic Facilities/Attending Game</v>
      </c>
      <c r="F650" s="5" t="str">
        <f ca="1">IFERROR(__xludf.DUMMYFUNCTION("""COMPUTED_VALUE"""),"Fled/Escaped")</f>
        <v>Fled/Escaped</v>
      </c>
      <c r="G650" s="5" t="str">
        <f ca="1">IFERROR(__xludf.DUMMYFUNCTION("""COMPUTED_VALUE"""),"No")</f>
        <v>No</v>
      </c>
      <c r="H650" s="5" t="str">
        <f ca="1">IFERROR(__xludf.DUMMYFUNCTION("""COMPUTED_VALUE"""),"None")</f>
        <v>None</v>
      </c>
    </row>
    <row r="651" spans="1:8" ht="13">
      <c r="A651" s="5" t="str">
        <f ca="1">IFERROR(__xludf.DUMMYFUNCTION("""COMPUTED_VALUE"""),"20210709KSCAW")</f>
        <v>20210709KSCAW</v>
      </c>
      <c r="B651" s="5" t="str">
        <f ca="1">IFERROR(__xludf.DUMMYFUNCTION("""COMPUTED_VALUE"""),"Adult")</f>
        <v>Adult</v>
      </c>
      <c r="C651" s="5" t="str">
        <f ca="1">IFERROR(__xludf.DUMMYFUNCTION("""COMPUTED_VALUE"""),"Male")</f>
        <v>Male</v>
      </c>
      <c r="D651" s="5"/>
      <c r="E651" s="5" t="str">
        <f ca="1">IFERROR(__xludf.DUMMYFUNCTION("""COMPUTED_VALUE"""),"No Relation")</f>
        <v>No Relation</v>
      </c>
      <c r="F651" s="5" t="str">
        <f ca="1">IFERROR(__xludf.DUMMYFUNCTION("""COMPUTED_VALUE"""),"Suicide")</f>
        <v>Suicide</v>
      </c>
      <c r="G651" s="5" t="str">
        <f ca="1">IFERROR(__xludf.DUMMYFUNCTION("""COMPUTED_VALUE"""),"Yes")</f>
        <v>Yes</v>
      </c>
      <c r="H651" s="5" t="str">
        <f ca="1">IFERROR(__xludf.DUMMYFUNCTION("""COMPUTED_VALUE"""),"Suicide")</f>
        <v>Suicide</v>
      </c>
    </row>
    <row r="652" spans="1:8" ht="13">
      <c r="A652" s="5" t="str">
        <f ca="1">IFERROR(__xludf.DUMMYFUNCTION("""COMPUTED_VALUE"""),"20210708ILBEC")</f>
        <v>20210708ILBEC</v>
      </c>
      <c r="B652" s="5" t="str">
        <f ca="1">IFERROR(__xludf.DUMMYFUNCTION("""COMPUTED_VALUE"""),"Adult")</f>
        <v>Adult</v>
      </c>
      <c r="C652" s="5"/>
      <c r="D652" s="5"/>
      <c r="E652" s="5" t="str">
        <f ca="1">IFERROR(__xludf.DUMMYFUNCTION("""COMPUTED_VALUE"""),"No Relation")</f>
        <v>No Relation</v>
      </c>
      <c r="F652" s="5" t="str">
        <f ca="1">IFERROR(__xludf.DUMMYFUNCTION("""COMPUTED_VALUE"""),"Fled/Escaped")</f>
        <v>Fled/Escaped</v>
      </c>
      <c r="G652" s="5" t="str">
        <f ca="1">IFERROR(__xludf.DUMMYFUNCTION("""COMPUTED_VALUE"""),"No")</f>
        <v>No</v>
      </c>
      <c r="H652" s="5" t="str">
        <f ca="1">IFERROR(__xludf.DUMMYFUNCTION("""COMPUTED_VALUE"""),"None")</f>
        <v>None</v>
      </c>
    </row>
    <row r="653" spans="1:8" ht="13">
      <c r="A653" s="5" t="str">
        <f ca="1">IFERROR(__xludf.DUMMYFUNCTION("""COMPUTED_VALUE"""),"20210704NYDRR")</f>
        <v>20210704NYDRR</v>
      </c>
      <c r="B653" s="5"/>
      <c r="C653" s="5"/>
      <c r="D653" s="5"/>
      <c r="E653" s="5"/>
      <c r="F653" s="5" t="str">
        <f ca="1">IFERROR(__xludf.DUMMYFUNCTION("""COMPUTED_VALUE"""),"Fled/Escaped")</f>
        <v>Fled/Escaped</v>
      </c>
      <c r="G653" s="5" t="str">
        <f ca="1">IFERROR(__xludf.DUMMYFUNCTION("""COMPUTED_VALUE"""),"No")</f>
        <v>No</v>
      </c>
      <c r="H653" s="5" t="str">
        <f ca="1">IFERROR(__xludf.DUMMYFUNCTION("""COMPUTED_VALUE"""),"None")</f>
        <v>None</v>
      </c>
    </row>
    <row r="654" spans="1:8" ht="13">
      <c r="A654" s="5" t="str">
        <f ca="1">IFERROR(__xludf.DUMMYFUNCTION("""COMPUTED_VALUE"""),"20210628CASLF")</f>
        <v>20210628CASLF</v>
      </c>
      <c r="B654" s="5" t="str">
        <f ca="1">IFERROR(__xludf.DUMMYFUNCTION("""COMPUTED_VALUE"""),"Adult")</f>
        <v>Adult</v>
      </c>
      <c r="C654" s="5"/>
      <c r="D654" s="5"/>
      <c r="E654" s="5" t="str">
        <f ca="1">IFERROR(__xludf.DUMMYFUNCTION("""COMPUTED_VALUE"""),"No Relation")</f>
        <v>No Relation</v>
      </c>
      <c r="F654" s="5" t="str">
        <f ca="1">IFERROR(__xludf.DUMMYFUNCTION("""COMPUTED_VALUE"""),"Fled/Escaped")</f>
        <v>Fled/Escaped</v>
      </c>
      <c r="G654" s="5" t="str">
        <f ca="1">IFERROR(__xludf.DUMMYFUNCTION("""COMPUTED_VALUE"""),"No")</f>
        <v>No</v>
      </c>
      <c r="H654" s="5" t="str">
        <f ca="1">IFERROR(__xludf.DUMMYFUNCTION("""COMPUTED_VALUE"""),"None")</f>
        <v>None</v>
      </c>
    </row>
    <row r="655" spans="1:8" ht="13">
      <c r="A655" s="5" t="str">
        <f ca="1">IFERROR(__xludf.DUMMYFUNCTION("""COMPUTED_VALUE"""),"20210624ILABR")</f>
        <v>20210624ILABR</v>
      </c>
      <c r="B655" s="5" t="str">
        <f ca="1">IFERROR(__xludf.DUMMYFUNCTION("""COMPUTED_VALUE"""),"Adult")</f>
        <v>Adult</v>
      </c>
      <c r="C655" s="5"/>
      <c r="D655" s="5"/>
      <c r="E655" s="5"/>
      <c r="F655" s="5" t="str">
        <f ca="1">IFERROR(__xludf.DUMMYFUNCTION("""COMPUTED_VALUE"""),"Fled/Escaped")</f>
        <v>Fled/Escaped</v>
      </c>
      <c r="G655" s="5" t="str">
        <f ca="1">IFERROR(__xludf.DUMMYFUNCTION("""COMPUTED_VALUE"""),"No")</f>
        <v>No</v>
      </c>
      <c r="H655" s="5" t="str">
        <f ca="1">IFERROR(__xludf.DUMMYFUNCTION("""COMPUTED_VALUE"""),"None")</f>
        <v>None</v>
      </c>
    </row>
    <row r="656" spans="1:8" ht="13">
      <c r="A656" s="5" t="str">
        <f ca="1">IFERROR(__xludf.DUMMYFUNCTION("""COMPUTED_VALUE"""),"20210620CAGRM")</f>
        <v>20210620CAGRM</v>
      </c>
      <c r="B656" s="5" t="str">
        <f ca="1">IFERROR(__xludf.DUMMYFUNCTION("""COMPUTED_VALUE"""),"Adult")</f>
        <v>Adult</v>
      </c>
      <c r="C656" s="5"/>
      <c r="D656" s="5"/>
      <c r="E656" s="5" t="str">
        <f ca="1">IFERROR(__xludf.DUMMYFUNCTION("""COMPUTED_VALUE"""),"Security Guard")</f>
        <v>Security Guard</v>
      </c>
      <c r="F656" s="5" t="str">
        <f ca="1">IFERROR(__xludf.DUMMYFUNCTION("""COMPUTED_VALUE"""),"Law Enforcement")</f>
        <v>Law Enforcement</v>
      </c>
      <c r="G656" s="5" t="str">
        <f ca="1">IFERROR(__xludf.DUMMYFUNCTION("""COMPUTED_VALUE"""),"No")</f>
        <v>No</v>
      </c>
      <c r="H656" s="5" t="str">
        <f ca="1">IFERROR(__xludf.DUMMYFUNCTION("""COMPUTED_VALUE"""),"None")</f>
        <v>None</v>
      </c>
    </row>
    <row r="657" spans="1:8" ht="13">
      <c r="A657" s="5" t="str">
        <f ca="1">IFERROR(__xludf.DUMMYFUNCTION("""COMPUTED_VALUE"""),"20210614TXEAF")</f>
        <v>20210614TXEAF</v>
      </c>
      <c r="B657" s="5"/>
      <c r="C657" s="5" t="str">
        <f ca="1">IFERROR(__xludf.DUMMYFUNCTION("""COMPUTED_VALUE"""),"Male")</f>
        <v>Male</v>
      </c>
      <c r="D657" s="5"/>
      <c r="E657" s="5"/>
      <c r="F657" s="5" t="str">
        <f ca="1">IFERROR(__xludf.DUMMYFUNCTION("""COMPUTED_VALUE"""),"Fled/Escaped")</f>
        <v>Fled/Escaped</v>
      </c>
      <c r="G657" s="5" t="str">
        <f ca="1">IFERROR(__xludf.DUMMYFUNCTION("""COMPUTED_VALUE"""),"No")</f>
        <v>No</v>
      </c>
      <c r="H657" s="5" t="str">
        <f ca="1">IFERROR(__xludf.DUMMYFUNCTION("""COMPUTED_VALUE"""),"None")</f>
        <v>None</v>
      </c>
    </row>
    <row r="658" spans="1:8" ht="13">
      <c r="A658" s="5" t="str">
        <f ca="1">IFERROR(__xludf.DUMMYFUNCTION("""COMPUTED_VALUE"""),"20210614NCROR")</f>
        <v>20210614NCROR</v>
      </c>
      <c r="B658" s="5"/>
      <c r="C658" s="5"/>
      <c r="D658" s="5"/>
      <c r="E658" s="5"/>
      <c r="F658" s="5" t="str">
        <f ca="1">IFERROR(__xludf.DUMMYFUNCTION("""COMPUTED_VALUE"""),"Fled/Escaped")</f>
        <v>Fled/Escaped</v>
      </c>
      <c r="G658" s="5" t="str">
        <f ca="1">IFERROR(__xludf.DUMMYFUNCTION("""COMPUTED_VALUE"""),"No")</f>
        <v>No</v>
      </c>
      <c r="H658" s="5" t="str">
        <f ca="1">IFERROR(__xludf.DUMMYFUNCTION("""COMPUTED_VALUE"""),"None")</f>
        <v>None</v>
      </c>
    </row>
    <row r="659" spans="1:8" ht="13">
      <c r="A659" s="5" t="str">
        <f ca="1">IFERROR(__xludf.DUMMYFUNCTION("""COMPUTED_VALUE"""),"20210614NCROR")</f>
        <v>20210614NCROR</v>
      </c>
      <c r="B659" s="5"/>
      <c r="C659" s="5"/>
      <c r="D659" s="5"/>
      <c r="E659" s="5"/>
      <c r="F659" s="5" t="str">
        <f ca="1">IFERROR(__xludf.DUMMYFUNCTION("""COMPUTED_VALUE"""),"Fled/Escaped")</f>
        <v>Fled/Escaped</v>
      </c>
      <c r="G659" s="5" t="str">
        <f ca="1">IFERROR(__xludf.DUMMYFUNCTION("""COMPUTED_VALUE"""),"No")</f>
        <v>No</v>
      </c>
      <c r="H659" s="5" t="str">
        <f ca="1">IFERROR(__xludf.DUMMYFUNCTION("""COMPUTED_VALUE"""),"None")</f>
        <v>None</v>
      </c>
    </row>
    <row r="660" spans="1:8" ht="13">
      <c r="A660" s="5" t="str">
        <f ca="1">IFERROR(__xludf.DUMMYFUNCTION("""COMPUTED_VALUE"""),"20210614NCROR")</f>
        <v>20210614NCROR</v>
      </c>
      <c r="B660" s="5"/>
      <c r="C660" s="5"/>
      <c r="D660" s="5"/>
      <c r="E660" s="5"/>
      <c r="F660" s="5" t="str">
        <f ca="1">IFERROR(__xludf.DUMMYFUNCTION("""COMPUTED_VALUE"""),"Fled/Escaped")</f>
        <v>Fled/Escaped</v>
      </c>
      <c r="G660" s="5" t="str">
        <f ca="1">IFERROR(__xludf.DUMMYFUNCTION("""COMPUTED_VALUE"""),"No")</f>
        <v>No</v>
      </c>
      <c r="H660" s="5" t="str">
        <f ca="1">IFERROR(__xludf.DUMMYFUNCTION("""COMPUTED_VALUE"""),"None")</f>
        <v>None</v>
      </c>
    </row>
    <row r="661" spans="1:8" ht="13">
      <c r="A661" s="5" t="str">
        <f ca="1">IFERROR(__xludf.DUMMYFUNCTION("""COMPUTED_VALUE"""),"20210614NCRJW")</f>
        <v>20210614NCRJW</v>
      </c>
      <c r="B661" s="5">
        <f ca="1">IFERROR(__xludf.DUMMYFUNCTION("""COMPUTED_VALUE"""),26)</f>
        <v>26</v>
      </c>
      <c r="C661" s="5" t="str">
        <f ca="1">IFERROR(__xludf.DUMMYFUNCTION("""COMPUTED_VALUE"""),"Male")</f>
        <v>Male</v>
      </c>
      <c r="D661" s="5" t="str">
        <f ca="1">IFERROR(__xludf.DUMMYFUNCTION("""COMPUTED_VALUE"""),"White")</f>
        <v>White</v>
      </c>
      <c r="E661" s="5" t="str">
        <f ca="1">IFERROR(__xludf.DUMMYFUNCTION("""COMPUTED_VALUE"""),"No Relation")</f>
        <v>No Relation</v>
      </c>
      <c r="F661" s="5" t="str">
        <f ca="1">IFERROR(__xludf.DUMMYFUNCTION("""COMPUTED_VALUE"""),"Apprehended/Killed by LE")</f>
        <v>Apprehended/Killed by LE</v>
      </c>
      <c r="G661" s="5" t="str">
        <f ca="1">IFERROR(__xludf.DUMMYFUNCTION("""COMPUTED_VALUE"""),"Yes")</f>
        <v>Yes</v>
      </c>
      <c r="H661" s="5" t="str">
        <f ca="1">IFERROR(__xludf.DUMMYFUNCTION("""COMPUTED_VALUE"""),"Fatal")</f>
        <v>Fatal</v>
      </c>
    </row>
    <row r="662" spans="1:8" ht="13">
      <c r="A662" s="5" t="str">
        <f ca="1">IFERROR(__xludf.DUMMYFUNCTION("""COMPUTED_VALUE"""),"20210613PAWIP")</f>
        <v>20210613PAWIP</v>
      </c>
      <c r="B662" s="5"/>
      <c r="C662" s="5" t="str">
        <f ca="1">IFERROR(__xludf.DUMMYFUNCTION("""COMPUTED_VALUE"""),"Male")</f>
        <v>Male</v>
      </c>
      <c r="D662" s="5"/>
      <c r="E662" s="5" t="str">
        <f ca="1">IFERROR(__xludf.DUMMYFUNCTION("""COMPUTED_VALUE"""),"Nonstudent Using Athletic Facilities/Attending Game")</f>
        <v>Nonstudent Using Athletic Facilities/Attending Game</v>
      </c>
      <c r="F662" s="5" t="str">
        <f ca="1">IFERROR(__xludf.DUMMYFUNCTION("""COMPUTED_VALUE"""),"Fled/Escaped")</f>
        <v>Fled/Escaped</v>
      </c>
      <c r="G662" s="5" t="str">
        <f ca="1">IFERROR(__xludf.DUMMYFUNCTION("""COMPUTED_VALUE"""),"No")</f>
        <v>No</v>
      </c>
      <c r="H662" s="5" t="str">
        <f ca="1">IFERROR(__xludf.DUMMYFUNCTION("""COMPUTED_VALUE"""),"None")</f>
        <v>None</v>
      </c>
    </row>
    <row r="663" spans="1:8" ht="13">
      <c r="A663" s="5" t="str">
        <f ca="1">IFERROR(__xludf.DUMMYFUNCTION("""COMPUTED_VALUE"""),"20210613PAPAC")</f>
        <v>20210613PAPAC</v>
      </c>
      <c r="B663" s="5">
        <f ca="1">IFERROR(__xludf.DUMMYFUNCTION("""COMPUTED_VALUE"""),78)</f>
        <v>78</v>
      </c>
      <c r="C663" s="5" t="str">
        <f ca="1">IFERROR(__xludf.DUMMYFUNCTION("""COMPUTED_VALUE"""),"Male")</f>
        <v>Male</v>
      </c>
      <c r="D663" s="5"/>
      <c r="E663" s="5" t="str">
        <f ca="1">IFERROR(__xludf.DUMMYFUNCTION("""COMPUTED_VALUE"""),"No Relation")</f>
        <v>No Relation</v>
      </c>
      <c r="F663" s="5" t="str">
        <f ca="1">IFERROR(__xludf.DUMMYFUNCTION("""COMPUTED_VALUE"""),"Suicide")</f>
        <v>Suicide</v>
      </c>
      <c r="G663" s="5" t="str">
        <f ca="1">IFERROR(__xludf.DUMMYFUNCTION("""COMPUTED_VALUE"""),"No")</f>
        <v>No</v>
      </c>
      <c r="H663" s="5" t="str">
        <f ca="1">IFERROR(__xludf.DUMMYFUNCTION("""COMPUTED_VALUE"""),"Suicide")</f>
        <v>Suicide</v>
      </c>
    </row>
    <row r="664" spans="1:8" ht="13">
      <c r="A664" s="5" t="str">
        <f ca="1">IFERROR(__xludf.DUMMYFUNCTION("""COMPUTED_VALUE"""),"20210612MOMCF")</f>
        <v>20210612MOMCF</v>
      </c>
      <c r="B664" s="5">
        <f ca="1">IFERROR(__xludf.DUMMYFUNCTION("""COMPUTED_VALUE"""),18)</f>
        <v>18</v>
      </c>
      <c r="C664" s="5" t="str">
        <f ca="1">IFERROR(__xludf.DUMMYFUNCTION("""COMPUTED_VALUE"""),"Male")</f>
        <v>Male</v>
      </c>
      <c r="D664" s="5" t="str">
        <f ca="1">IFERROR(__xludf.DUMMYFUNCTION("""COMPUTED_VALUE"""),"Black")</f>
        <v>Black</v>
      </c>
      <c r="E664" s="5" t="str">
        <f ca="1">IFERROR(__xludf.DUMMYFUNCTION("""COMPUTED_VALUE"""),"Student")</f>
        <v>Student</v>
      </c>
      <c r="F664" s="5" t="str">
        <f ca="1">IFERROR(__xludf.DUMMYFUNCTION("""COMPUTED_VALUE"""),"Fled/Apprehended")</f>
        <v>Fled/Apprehended</v>
      </c>
      <c r="G664" s="5" t="str">
        <f ca="1">IFERROR(__xludf.DUMMYFUNCTION("""COMPUTED_VALUE"""),"No")</f>
        <v>No</v>
      </c>
      <c r="H664" s="5" t="str">
        <f ca="1">IFERROR(__xludf.DUMMYFUNCTION("""COMPUTED_VALUE"""),"None")</f>
        <v>None</v>
      </c>
    </row>
    <row r="665" spans="1:8" ht="13">
      <c r="A665" s="5" t="str">
        <f ca="1">IFERROR(__xludf.DUMMYFUNCTION("""COMPUTED_VALUE"""),"20210610CTHOW")</f>
        <v>20210610CTHOW</v>
      </c>
      <c r="B665" s="5">
        <f ca="1">IFERROR(__xludf.DUMMYFUNCTION("""COMPUTED_VALUE"""),41)</f>
        <v>41</v>
      </c>
      <c r="C665" s="5" t="str">
        <f ca="1">IFERROR(__xludf.DUMMYFUNCTION("""COMPUTED_VALUE"""),"Male")</f>
        <v>Male</v>
      </c>
      <c r="D665" s="5" t="str">
        <f ca="1">IFERROR(__xludf.DUMMYFUNCTION("""COMPUTED_VALUE"""),"Hispanic")</f>
        <v>Hispanic</v>
      </c>
      <c r="E665" s="5" t="str">
        <f ca="1">IFERROR(__xludf.DUMMYFUNCTION("""COMPUTED_VALUE"""),"No Relation")</f>
        <v>No Relation</v>
      </c>
      <c r="F665" s="5" t="str">
        <f ca="1">IFERROR(__xludf.DUMMYFUNCTION("""COMPUTED_VALUE"""),"Apprehended/Killed by LE")</f>
        <v>Apprehended/Killed by LE</v>
      </c>
      <c r="G665" s="5" t="str">
        <f ca="1">IFERROR(__xludf.DUMMYFUNCTION("""COMPUTED_VALUE"""),"No")</f>
        <v>No</v>
      </c>
      <c r="H665" s="5" t="str">
        <f ca="1">IFERROR(__xludf.DUMMYFUNCTION("""COMPUTED_VALUE"""),"None")</f>
        <v>None</v>
      </c>
    </row>
    <row r="666" spans="1:8" ht="13">
      <c r="A666" s="5" t="str">
        <f ca="1">IFERROR(__xludf.DUMMYFUNCTION("""COMPUTED_VALUE"""),"20210610CTHOW")</f>
        <v>20210610CTHOW</v>
      </c>
      <c r="B666" s="5">
        <f ca="1">IFERROR(__xludf.DUMMYFUNCTION("""COMPUTED_VALUE"""),45)</f>
        <v>45</v>
      </c>
      <c r="C666" s="5" t="str">
        <f ca="1">IFERROR(__xludf.DUMMYFUNCTION("""COMPUTED_VALUE"""),"Male")</f>
        <v>Male</v>
      </c>
      <c r="D666" s="5" t="str">
        <f ca="1">IFERROR(__xludf.DUMMYFUNCTION("""COMPUTED_VALUE"""),"White")</f>
        <v>White</v>
      </c>
      <c r="E666" s="5" t="str">
        <f ca="1">IFERROR(__xludf.DUMMYFUNCTION("""COMPUTED_VALUE"""),"No Relation")</f>
        <v>No Relation</v>
      </c>
      <c r="F666" s="5" t="str">
        <f ca="1">IFERROR(__xludf.DUMMYFUNCTION("""COMPUTED_VALUE"""),"Apprehended/Killed by LE")</f>
        <v>Apprehended/Killed by LE</v>
      </c>
      <c r="G666" s="5" t="str">
        <f ca="1">IFERROR(__xludf.DUMMYFUNCTION("""COMPUTED_VALUE"""),"No")</f>
        <v>No</v>
      </c>
      <c r="H666" s="5" t="str">
        <f ca="1">IFERROR(__xludf.DUMMYFUNCTION("""COMPUTED_VALUE"""),"None")</f>
        <v>None</v>
      </c>
    </row>
    <row r="667" spans="1:8" ht="13">
      <c r="A667" s="5" t="str">
        <f ca="1">IFERROR(__xludf.DUMMYFUNCTION("""COMPUTED_VALUE"""),"20210609VAWIR")</f>
        <v>20210609VAWIR</v>
      </c>
      <c r="B667" s="5" t="str">
        <f ca="1">IFERROR(__xludf.DUMMYFUNCTION("""COMPUTED_VALUE"""),"Teen")</f>
        <v>Teen</v>
      </c>
      <c r="C667" s="5" t="str">
        <f ca="1">IFERROR(__xludf.DUMMYFUNCTION("""COMPUTED_VALUE"""),"Male")</f>
        <v>Male</v>
      </c>
      <c r="D667" s="5"/>
      <c r="E667" s="5" t="str">
        <f ca="1">IFERROR(__xludf.DUMMYFUNCTION("""COMPUTED_VALUE"""),"Student")</f>
        <v>Student</v>
      </c>
      <c r="F667" s="5" t="str">
        <f ca="1">IFERROR(__xludf.DUMMYFUNCTION("""COMPUTED_VALUE"""),"Fled/Apprehended")</f>
        <v>Fled/Apprehended</v>
      </c>
      <c r="G667" s="5" t="str">
        <f ca="1">IFERROR(__xludf.DUMMYFUNCTION("""COMPUTED_VALUE"""),"No")</f>
        <v>No</v>
      </c>
      <c r="H667" s="5" t="str">
        <f ca="1">IFERROR(__xludf.DUMMYFUNCTION("""COMPUTED_VALUE"""),"None")</f>
        <v>None</v>
      </c>
    </row>
    <row r="668" spans="1:8" ht="13">
      <c r="A668" s="5" t="str">
        <f ca="1">IFERROR(__xludf.DUMMYFUNCTION("""COMPUTED_VALUE"""),"20210609TXNOH")</f>
        <v>20210609TXNOH</v>
      </c>
      <c r="B668" s="5">
        <f ca="1">IFERROR(__xludf.DUMMYFUNCTION("""COMPUTED_VALUE"""),18)</f>
        <v>18</v>
      </c>
      <c r="C668" s="5" t="str">
        <f ca="1">IFERROR(__xludf.DUMMYFUNCTION("""COMPUTED_VALUE"""),"Male")</f>
        <v>Male</v>
      </c>
      <c r="D668" s="5"/>
      <c r="E668" s="5" t="str">
        <f ca="1">IFERROR(__xludf.DUMMYFUNCTION("""COMPUTED_VALUE"""),"Student")</f>
        <v>Student</v>
      </c>
      <c r="F668" s="5" t="str">
        <f ca="1">IFERROR(__xludf.DUMMYFUNCTION("""COMPUTED_VALUE"""),"Fled/Apprehended")</f>
        <v>Fled/Apprehended</v>
      </c>
      <c r="G668" s="5" t="str">
        <f ca="1">IFERROR(__xludf.DUMMYFUNCTION("""COMPUTED_VALUE"""),"No")</f>
        <v>No</v>
      </c>
      <c r="H668" s="5" t="str">
        <f ca="1">IFERROR(__xludf.DUMMYFUNCTION("""COMPUTED_VALUE"""),"None")</f>
        <v>None</v>
      </c>
    </row>
    <row r="669" spans="1:8" ht="13">
      <c r="A669" s="5" t="str">
        <f ca="1">IFERROR(__xludf.DUMMYFUNCTION("""COMPUTED_VALUE"""),"20210608PAMUS")</f>
        <v>20210608PAMUS</v>
      </c>
      <c r="B669" s="5">
        <f ca="1">IFERROR(__xludf.DUMMYFUNCTION("""COMPUTED_VALUE"""),17)</f>
        <v>17</v>
      </c>
      <c r="C669" s="5" t="str">
        <f ca="1">IFERROR(__xludf.DUMMYFUNCTION("""COMPUTED_VALUE"""),"Male")</f>
        <v>Male</v>
      </c>
      <c r="D669" s="5"/>
      <c r="E669" s="5" t="str">
        <f ca="1">IFERROR(__xludf.DUMMYFUNCTION("""COMPUTED_VALUE"""),"No Relation")</f>
        <v>No Relation</v>
      </c>
      <c r="F669" s="5" t="str">
        <f ca="1">IFERROR(__xludf.DUMMYFUNCTION("""COMPUTED_VALUE"""),"Fled/Apprehended")</f>
        <v>Fled/Apprehended</v>
      </c>
      <c r="G669" s="5" t="str">
        <f ca="1">IFERROR(__xludf.DUMMYFUNCTION("""COMPUTED_VALUE"""),"No")</f>
        <v>No</v>
      </c>
      <c r="H669" s="5" t="str">
        <f ca="1">IFERROR(__xludf.DUMMYFUNCTION("""COMPUTED_VALUE"""),"None")</f>
        <v>None</v>
      </c>
    </row>
    <row r="670" spans="1:8" ht="13">
      <c r="A670" s="5" t="str">
        <f ca="1">IFERROR(__xludf.DUMMYFUNCTION("""COMPUTED_VALUE"""),"20210608KSHAK")</f>
        <v>20210608KSHAK</v>
      </c>
      <c r="B670" s="5">
        <f ca="1">IFERROR(__xludf.DUMMYFUNCTION("""COMPUTED_VALUE"""),16)</f>
        <v>16</v>
      </c>
      <c r="C670" s="5" t="str">
        <f ca="1">IFERROR(__xludf.DUMMYFUNCTION("""COMPUTED_VALUE"""),"Male")</f>
        <v>Male</v>
      </c>
      <c r="D670" s="5"/>
      <c r="E670" s="5" t="str">
        <f ca="1">IFERROR(__xludf.DUMMYFUNCTION("""COMPUTED_VALUE"""),"No Relation")</f>
        <v>No Relation</v>
      </c>
      <c r="F670" s="5" t="str">
        <f ca="1">IFERROR(__xludf.DUMMYFUNCTION("""COMPUTED_VALUE"""),"Fled/Apprehended")</f>
        <v>Fled/Apprehended</v>
      </c>
      <c r="G670" s="5" t="str">
        <f ca="1">IFERROR(__xludf.DUMMYFUNCTION("""COMPUTED_VALUE"""),"No")</f>
        <v>No</v>
      </c>
      <c r="H670" s="5" t="str">
        <f ca="1">IFERROR(__xludf.DUMMYFUNCTION("""COMPUTED_VALUE"""),"None")</f>
        <v>None</v>
      </c>
    </row>
    <row r="671" spans="1:8" ht="13">
      <c r="A671" s="5" t="str">
        <f ca="1">IFERROR(__xludf.DUMMYFUNCTION("""COMPUTED_VALUE"""),"20210608KSHAK")</f>
        <v>20210608KSHAK</v>
      </c>
      <c r="B671" s="5">
        <f ca="1">IFERROR(__xludf.DUMMYFUNCTION("""COMPUTED_VALUE"""),17)</f>
        <v>17</v>
      </c>
      <c r="C671" s="5" t="str">
        <f ca="1">IFERROR(__xludf.DUMMYFUNCTION("""COMPUTED_VALUE"""),"Male")</f>
        <v>Male</v>
      </c>
      <c r="D671" s="5"/>
      <c r="E671" s="5"/>
      <c r="F671" s="5" t="str">
        <f ca="1">IFERROR(__xludf.DUMMYFUNCTION("""COMPUTED_VALUE"""),"Fled/Apprehended")</f>
        <v>Fled/Apprehended</v>
      </c>
      <c r="G671" s="5" t="str">
        <f ca="1">IFERROR(__xludf.DUMMYFUNCTION("""COMPUTED_VALUE"""),"No")</f>
        <v>No</v>
      </c>
      <c r="H671" s="5" t="str">
        <f ca="1">IFERROR(__xludf.DUMMYFUNCTION("""COMPUTED_VALUE"""),"None")</f>
        <v>None</v>
      </c>
    </row>
    <row r="672" spans="1:8" ht="13">
      <c r="A672" s="5" t="str">
        <f ca="1">IFERROR(__xludf.DUMMYFUNCTION("""COMPUTED_VALUE"""),"20210607TXEAF")</f>
        <v>20210607TXEAF</v>
      </c>
      <c r="B672" s="5"/>
      <c r="C672" s="5"/>
      <c r="D672" s="5"/>
      <c r="E672" s="5"/>
      <c r="F672" s="5" t="str">
        <f ca="1">IFERROR(__xludf.DUMMYFUNCTION("""COMPUTED_VALUE"""),"Fled/Escaped")</f>
        <v>Fled/Escaped</v>
      </c>
      <c r="G672" s="5" t="str">
        <f ca="1">IFERROR(__xludf.DUMMYFUNCTION("""COMPUTED_VALUE"""),"No")</f>
        <v>No</v>
      </c>
      <c r="H672" s="5" t="str">
        <f ca="1">IFERROR(__xludf.DUMMYFUNCTION("""COMPUTED_VALUE"""),"None")</f>
        <v>None</v>
      </c>
    </row>
    <row r="673" spans="1:8" ht="13">
      <c r="A673" s="5" t="str">
        <f ca="1">IFERROR(__xludf.DUMMYFUNCTION("""COMPUTED_VALUE"""),"20210606VADRA")</f>
        <v>20210606VADRA</v>
      </c>
      <c r="B673" s="5"/>
      <c r="C673" s="5"/>
      <c r="D673" s="5"/>
      <c r="E673" s="5" t="str">
        <f ca="1">IFERROR(__xludf.DUMMYFUNCTION("""COMPUTED_VALUE"""),"No Relation")</f>
        <v>No Relation</v>
      </c>
      <c r="F673" s="5" t="str">
        <f ca="1">IFERROR(__xludf.DUMMYFUNCTION("""COMPUTED_VALUE"""),"Fled/Escaped")</f>
        <v>Fled/Escaped</v>
      </c>
      <c r="G673" s="5" t="str">
        <f ca="1">IFERROR(__xludf.DUMMYFUNCTION("""COMPUTED_VALUE"""),"No")</f>
        <v>No</v>
      </c>
      <c r="H673" s="5" t="str">
        <f ca="1">IFERROR(__xludf.DUMMYFUNCTION("""COMPUTED_VALUE"""),"None")</f>
        <v>None</v>
      </c>
    </row>
    <row r="674" spans="1:8" ht="13">
      <c r="A674" s="5" t="str">
        <f ca="1">IFERROR(__xludf.DUMMYFUNCTION("""COMPUTED_VALUE"""),"20210606VADRA")</f>
        <v>20210606VADRA</v>
      </c>
      <c r="B674" s="5"/>
      <c r="C674" s="5"/>
      <c r="D674" s="5"/>
      <c r="E674" s="5" t="str">
        <f ca="1">IFERROR(__xludf.DUMMYFUNCTION("""COMPUTED_VALUE"""),"No Relation")</f>
        <v>No Relation</v>
      </c>
      <c r="F674" s="5" t="str">
        <f ca="1">IFERROR(__xludf.DUMMYFUNCTION("""COMPUTED_VALUE"""),"Fled/Escaped")</f>
        <v>Fled/Escaped</v>
      </c>
      <c r="G674" s="5" t="str">
        <f ca="1">IFERROR(__xludf.DUMMYFUNCTION("""COMPUTED_VALUE"""),"No")</f>
        <v>No</v>
      </c>
      <c r="H674" s="5" t="str">
        <f ca="1">IFERROR(__xludf.DUMMYFUNCTION("""COMPUTED_VALUE"""),"None")</f>
        <v>None</v>
      </c>
    </row>
    <row r="675" spans="1:8" ht="13">
      <c r="A675" s="5" t="str">
        <f ca="1">IFERROR(__xludf.DUMMYFUNCTION("""COMPUTED_VALUE"""),"20210601ILLIC")</f>
        <v>20210601ILLIC</v>
      </c>
      <c r="B675" s="5">
        <f ca="1">IFERROR(__xludf.DUMMYFUNCTION("""COMPUTED_VALUE"""),17)</f>
        <v>17</v>
      </c>
      <c r="C675" s="5" t="str">
        <f ca="1">IFERROR(__xludf.DUMMYFUNCTION("""COMPUTED_VALUE"""),"Male")</f>
        <v>Male</v>
      </c>
      <c r="D675" s="5"/>
      <c r="E675" s="5"/>
      <c r="F675" s="5" t="str">
        <f ca="1">IFERROR(__xludf.DUMMYFUNCTION("""COMPUTED_VALUE"""),"Fled/Escaped")</f>
        <v>Fled/Escaped</v>
      </c>
      <c r="G675" s="5" t="str">
        <f ca="1">IFERROR(__xludf.DUMMYFUNCTION("""COMPUTED_VALUE"""),"No")</f>
        <v>No</v>
      </c>
      <c r="H675" s="5" t="str">
        <f ca="1">IFERROR(__xludf.DUMMYFUNCTION("""COMPUTED_VALUE"""),"None")</f>
        <v>None</v>
      </c>
    </row>
    <row r="676" spans="1:8" ht="13">
      <c r="A676" s="5" t="str">
        <f ca="1">IFERROR(__xludf.DUMMYFUNCTION("""COMPUTED_VALUE"""),"20210525NJPAP")</f>
        <v>20210525NJPAP</v>
      </c>
      <c r="B676" s="5">
        <f ca="1">IFERROR(__xludf.DUMMYFUNCTION("""COMPUTED_VALUE"""),15)</f>
        <v>15</v>
      </c>
      <c r="C676" s="5" t="str">
        <f ca="1">IFERROR(__xludf.DUMMYFUNCTION("""COMPUTED_VALUE"""),"Male")</f>
        <v>Male</v>
      </c>
      <c r="D676" s="5"/>
      <c r="E676" s="5" t="str">
        <f ca="1">IFERROR(__xludf.DUMMYFUNCTION("""COMPUTED_VALUE"""),"No Relation")</f>
        <v>No Relation</v>
      </c>
      <c r="F676" s="5" t="str">
        <f ca="1">IFERROR(__xludf.DUMMYFUNCTION("""COMPUTED_VALUE"""),"Apprehended/Killed by LE")</f>
        <v>Apprehended/Killed by LE</v>
      </c>
      <c r="G676" s="5" t="str">
        <f ca="1">IFERROR(__xludf.DUMMYFUNCTION("""COMPUTED_VALUE"""),"No")</f>
        <v>No</v>
      </c>
      <c r="H676" s="5" t="str">
        <f ca="1">IFERROR(__xludf.DUMMYFUNCTION("""COMPUTED_VALUE"""),"None")</f>
        <v>None</v>
      </c>
    </row>
    <row r="677" spans="1:8" ht="13">
      <c r="A677" s="5" t="str">
        <f ca="1">IFERROR(__xludf.DUMMYFUNCTION("""COMPUTED_VALUE"""),"20210517TXBRE")</f>
        <v>20210517TXBRE</v>
      </c>
      <c r="B677" s="5">
        <f ca="1">IFERROR(__xludf.DUMMYFUNCTION("""COMPUTED_VALUE"""),13)</f>
        <v>13</v>
      </c>
      <c r="C677" s="5" t="str">
        <f ca="1">IFERROR(__xludf.DUMMYFUNCTION("""COMPUTED_VALUE"""),"Male")</f>
        <v>Male</v>
      </c>
      <c r="D677" s="5"/>
      <c r="E677" s="5" t="str">
        <f ca="1">IFERROR(__xludf.DUMMYFUNCTION("""COMPUTED_VALUE"""),"Student")</f>
        <v>Student</v>
      </c>
      <c r="F677" s="5" t="str">
        <f ca="1">IFERROR(__xludf.DUMMYFUNCTION("""COMPUTED_VALUE"""),"Fled/Escaped")</f>
        <v>Fled/Escaped</v>
      </c>
      <c r="G677" s="5" t="str">
        <f ca="1">IFERROR(__xludf.DUMMYFUNCTION("""COMPUTED_VALUE"""),"No")</f>
        <v>No</v>
      </c>
      <c r="H677" s="5" t="str">
        <f ca="1">IFERROR(__xludf.DUMMYFUNCTION("""COMPUTED_VALUE"""),"None")</f>
        <v>None</v>
      </c>
    </row>
    <row r="678" spans="1:8" ht="13">
      <c r="A678" s="5" t="str">
        <f ca="1">IFERROR(__xludf.DUMMYFUNCTION("""COMPUTED_VALUE"""),"20210517TNAUM")</f>
        <v>20210517TNAUM</v>
      </c>
      <c r="B678" s="5">
        <f ca="1">IFERROR(__xludf.DUMMYFUNCTION("""COMPUTED_VALUE"""),51)</f>
        <v>51</v>
      </c>
      <c r="C678" s="5" t="str">
        <f ca="1">IFERROR(__xludf.DUMMYFUNCTION("""COMPUTED_VALUE"""),"Male")</f>
        <v>Male</v>
      </c>
      <c r="D678" s="5" t="str">
        <f ca="1">IFERROR(__xludf.DUMMYFUNCTION("""COMPUTED_VALUE"""),"White")</f>
        <v>White</v>
      </c>
      <c r="E678" s="5" t="str">
        <f ca="1">IFERROR(__xludf.DUMMYFUNCTION("""COMPUTED_VALUE"""),"No Relation")</f>
        <v>No Relation</v>
      </c>
      <c r="F678" s="5" t="str">
        <f ca="1">IFERROR(__xludf.DUMMYFUNCTION("""COMPUTED_VALUE"""),"Apprehended/Killed by LE")</f>
        <v>Apprehended/Killed by LE</v>
      </c>
      <c r="G678" s="5" t="str">
        <f ca="1">IFERROR(__xludf.DUMMYFUNCTION("""COMPUTED_VALUE"""),"No")</f>
        <v>No</v>
      </c>
      <c r="H678" s="5" t="str">
        <f ca="1">IFERROR(__xludf.DUMMYFUNCTION("""COMPUTED_VALUE"""),"None")</f>
        <v>None</v>
      </c>
    </row>
    <row r="679" spans="1:8" ht="13">
      <c r="A679" s="5" t="str">
        <f ca="1">IFERROR(__xludf.DUMMYFUNCTION("""COMPUTED_VALUE"""),"20210517MDLOC")</f>
        <v>20210517MDLOC</v>
      </c>
      <c r="B679" s="5">
        <f ca="1">IFERROR(__xludf.DUMMYFUNCTION("""COMPUTED_VALUE"""),18)</f>
        <v>18</v>
      </c>
      <c r="C679" s="5" t="str">
        <f ca="1">IFERROR(__xludf.DUMMYFUNCTION("""COMPUTED_VALUE"""),"Male")</f>
        <v>Male</v>
      </c>
      <c r="D679" s="5"/>
      <c r="E679" s="5" t="str">
        <f ca="1">IFERROR(__xludf.DUMMYFUNCTION("""COMPUTED_VALUE"""),"Relative")</f>
        <v>Relative</v>
      </c>
      <c r="F679" s="5" t="str">
        <f ca="1">IFERROR(__xludf.DUMMYFUNCTION("""COMPUTED_VALUE"""),"Apprehended/Killed by LE")</f>
        <v>Apprehended/Killed by LE</v>
      </c>
      <c r="G679" s="5" t="str">
        <f ca="1">IFERROR(__xludf.DUMMYFUNCTION("""COMPUTED_VALUE"""),"No")</f>
        <v>No</v>
      </c>
      <c r="H679" s="5" t="str">
        <f ca="1">IFERROR(__xludf.DUMMYFUNCTION("""COMPUTED_VALUE"""),"None")</f>
        <v>None</v>
      </c>
    </row>
    <row r="680" spans="1:8" ht="13">
      <c r="A680" s="5" t="str">
        <f ca="1">IFERROR(__xludf.DUMMYFUNCTION("""COMPUTED_VALUE"""),"20210517MDLOC")</f>
        <v>20210517MDLOC</v>
      </c>
      <c r="B680" s="5">
        <f ca="1">IFERROR(__xludf.DUMMYFUNCTION("""COMPUTED_VALUE"""),20)</f>
        <v>20</v>
      </c>
      <c r="C680" s="5" t="str">
        <f ca="1">IFERROR(__xludf.DUMMYFUNCTION("""COMPUTED_VALUE"""),"Female")</f>
        <v>Female</v>
      </c>
      <c r="D680" s="5" t="str">
        <f ca="1">IFERROR(__xludf.DUMMYFUNCTION("""COMPUTED_VALUE"""),"Hispanic")</f>
        <v>Hispanic</v>
      </c>
      <c r="E680" s="5" t="str">
        <f ca="1">IFERROR(__xludf.DUMMYFUNCTION("""COMPUTED_VALUE"""),"Relative")</f>
        <v>Relative</v>
      </c>
      <c r="F680" s="5" t="str">
        <f ca="1">IFERROR(__xludf.DUMMYFUNCTION("""COMPUTED_VALUE"""),"Apprehended/Killed by LE")</f>
        <v>Apprehended/Killed by LE</v>
      </c>
      <c r="G680" s="5" t="str">
        <f ca="1">IFERROR(__xludf.DUMMYFUNCTION("""COMPUTED_VALUE"""),"No")</f>
        <v>No</v>
      </c>
      <c r="H680" s="5" t="str">
        <f ca="1">IFERROR(__xludf.DUMMYFUNCTION("""COMPUTED_VALUE"""),"None")</f>
        <v>None</v>
      </c>
    </row>
    <row r="681" spans="1:8" ht="13">
      <c r="A681" s="5" t="str">
        <f ca="1">IFERROR(__xludf.DUMMYFUNCTION("""COMPUTED_VALUE"""),"20210514CASAS")</f>
        <v>20210514CASAS</v>
      </c>
      <c r="B681" s="5">
        <f ca="1">IFERROR(__xludf.DUMMYFUNCTION("""COMPUTED_VALUE"""),16)</f>
        <v>16</v>
      </c>
      <c r="C681" s="5" t="str">
        <f ca="1">IFERROR(__xludf.DUMMYFUNCTION("""COMPUTED_VALUE"""),"Male")</f>
        <v>Male</v>
      </c>
      <c r="D681" s="5"/>
      <c r="E681" s="5" t="str">
        <f ca="1">IFERROR(__xludf.DUMMYFUNCTION("""COMPUTED_VALUE"""),"No Relation")</f>
        <v>No Relation</v>
      </c>
      <c r="F681" s="5" t="str">
        <f ca="1">IFERROR(__xludf.DUMMYFUNCTION("""COMPUTED_VALUE"""),"Fled/Escaped")</f>
        <v>Fled/Escaped</v>
      </c>
      <c r="G681" s="5" t="str">
        <f ca="1">IFERROR(__xludf.DUMMYFUNCTION("""COMPUTED_VALUE"""),"No")</f>
        <v>No</v>
      </c>
      <c r="H681" s="5" t="str">
        <f ca="1">IFERROR(__xludf.DUMMYFUNCTION("""COMPUTED_VALUE"""),"None")</f>
        <v>None</v>
      </c>
    </row>
    <row r="682" spans="1:8" ht="13">
      <c r="A682" s="5" t="str">
        <f ca="1">IFERROR(__xludf.DUMMYFUNCTION("""COMPUTED_VALUE"""),"20210514CASAS")</f>
        <v>20210514CASAS</v>
      </c>
      <c r="B682" s="5">
        <f ca="1">IFERROR(__xludf.DUMMYFUNCTION("""COMPUTED_VALUE"""),16)</f>
        <v>16</v>
      </c>
      <c r="C682" s="5" t="str">
        <f ca="1">IFERROR(__xludf.DUMMYFUNCTION("""COMPUTED_VALUE"""),"Male")</f>
        <v>Male</v>
      </c>
      <c r="D682" s="5"/>
      <c r="E682" s="5" t="str">
        <f ca="1">IFERROR(__xludf.DUMMYFUNCTION("""COMPUTED_VALUE"""),"No Relation")</f>
        <v>No Relation</v>
      </c>
      <c r="F682" s="5" t="str">
        <f ca="1">IFERROR(__xludf.DUMMYFUNCTION("""COMPUTED_VALUE"""),"Fled/Escaped")</f>
        <v>Fled/Escaped</v>
      </c>
      <c r="G682" s="5" t="str">
        <f ca="1">IFERROR(__xludf.DUMMYFUNCTION("""COMPUTED_VALUE"""),"No")</f>
        <v>No</v>
      </c>
      <c r="H682" s="5" t="str">
        <f ca="1">IFERROR(__xludf.DUMMYFUNCTION("""COMPUTED_VALUE"""),"None")</f>
        <v>None</v>
      </c>
    </row>
    <row r="683" spans="1:8" ht="13">
      <c r="A683" s="5" t="str">
        <f ca="1">IFERROR(__xludf.DUMMYFUNCTION("""COMPUTED_VALUE"""),"20210511NYPSB")</f>
        <v>20210511NYPSB</v>
      </c>
      <c r="B683" s="5" t="str">
        <f ca="1">IFERROR(__xludf.DUMMYFUNCTION("""COMPUTED_VALUE"""),"Teen")</f>
        <v>Teen</v>
      </c>
      <c r="C683" s="5" t="str">
        <f ca="1">IFERROR(__xludf.DUMMYFUNCTION("""COMPUTED_VALUE"""),"Male")</f>
        <v>Male</v>
      </c>
      <c r="D683" s="5" t="str">
        <f ca="1">IFERROR(__xludf.DUMMYFUNCTION("""COMPUTED_VALUE"""),"Black")</f>
        <v>Black</v>
      </c>
      <c r="E683" s="5" t="str">
        <f ca="1">IFERROR(__xludf.DUMMYFUNCTION("""COMPUTED_VALUE"""),"Student")</f>
        <v>Student</v>
      </c>
      <c r="F683" s="5" t="str">
        <f ca="1">IFERROR(__xludf.DUMMYFUNCTION("""COMPUTED_VALUE"""),"Fled/Escaped")</f>
        <v>Fled/Escaped</v>
      </c>
      <c r="G683" s="5" t="str">
        <f ca="1">IFERROR(__xludf.DUMMYFUNCTION("""COMPUTED_VALUE"""),"No")</f>
        <v>No</v>
      </c>
      <c r="H683" s="5" t="str">
        <f ca="1">IFERROR(__xludf.DUMMYFUNCTION("""COMPUTED_VALUE"""),"None")</f>
        <v>None</v>
      </c>
    </row>
    <row r="684" spans="1:8" ht="13">
      <c r="A684" s="5" t="str">
        <f ca="1">IFERROR(__xludf.DUMMYFUNCTION("""COMPUTED_VALUE"""),"20210511CAVEL")</f>
        <v>20210511CAVEL</v>
      </c>
      <c r="B684" s="5"/>
      <c r="C684" s="5"/>
      <c r="D684" s="5"/>
      <c r="E684" s="5" t="str">
        <f ca="1">IFERROR(__xludf.DUMMYFUNCTION("""COMPUTED_VALUE"""),"No Relation")</f>
        <v>No Relation</v>
      </c>
      <c r="F684" s="5" t="str">
        <f ca="1">IFERROR(__xludf.DUMMYFUNCTION("""COMPUTED_VALUE"""),"Fled/Escaped")</f>
        <v>Fled/Escaped</v>
      </c>
      <c r="G684" s="5" t="str">
        <f ca="1">IFERROR(__xludf.DUMMYFUNCTION("""COMPUTED_VALUE"""),"No")</f>
        <v>No</v>
      </c>
      <c r="H684" s="5" t="str">
        <f ca="1">IFERROR(__xludf.DUMMYFUNCTION("""COMPUTED_VALUE"""),"None")</f>
        <v>None</v>
      </c>
    </row>
    <row r="685" spans="1:8" ht="13">
      <c r="A685" s="5" t="str">
        <f ca="1">IFERROR(__xludf.DUMMYFUNCTION("""COMPUTED_VALUE"""),"20210506SCFOC")</f>
        <v>20210506SCFOC</v>
      </c>
      <c r="B685" s="5">
        <f ca="1">IFERROR(__xludf.DUMMYFUNCTION("""COMPUTED_VALUE"""),23)</f>
        <v>23</v>
      </c>
      <c r="C685" s="5" t="str">
        <f ca="1">IFERROR(__xludf.DUMMYFUNCTION("""COMPUTED_VALUE"""),"Male")</f>
        <v>Male</v>
      </c>
      <c r="D685" s="5"/>
      <c r="E685" s="5" t="str">
        <f ca="1">IFERROR(__xludf.DUMMYFUNCTION("""COMPUTED_VALUE"""),"No Relation")</f>
        <v>No Relation</v>
      </c>
      <c r="F685" s="5" t="str">
        <f ca="1">IFERROR(__xludf.DUMMYFUNCTION("""COMPUTED_VALUE"""),"Apprehended/Killed by LE")</f>
        <v>Apprehended/Killed by LE</v>
      </c>
      <c r="G685" s="5" t="str">
        <f ca="1">IFERROR(__xludf.DUMMYFUNCTION("""COMPUTED_VALUE"""),"No")</f>
        <v>No</v>
      </c>
      <c r="H685" s="5" t="str">
        <f ca="1">IFERROR(__xludf.DUMMYFUNCTION("""COMPUTED_VALUE"""),"None")</f>
        <v>None</v>
      </c>
    </row>
    <row r="686" spans="1:8" ht="13">
      <c r="A686" s="5" t="str">
        <f ca="1">IFERROR(__xludf.DUMMYFUNCTION("""COMPUTED_VALUE"""),"20210506IDRIR")</f>
        <v>20210506IDRIR</v>
      </c>
      <c r="B686" s="5">
        <f ca="1">IFERROR(__xludf.DUMMYFUNCTION("""COMPUTED_VALUE"""),13)</f>
        <v>13</v>
      </c>
      <c r="C686" s="5" t="str">
        <f ca="1">IFERROR(__xludf.DUMMYFUNCTION("""COMPUTED_VALUE"""),"Female")</f>
        <v>Female</v>
      </c>
      <c r="D686" s="5"/>
      <c r="E686" s="5" t="str">
        <f ca="1">IFERROR(__xludf.DUMMYFUNCTION("""COMPUTED_VALUE"""),"Student")</f>
        <v>Student</v>
      </c>
      <c r="F686" s="5" t="str">
        <f ca="1">IFERROR(__xludf.DUMMYFUNCTION("""COMPUTED_VALUE"""),"Subdued by Students/Staff/Other")</f>
        <v>Subdued by Students/Staff/Other</v>
      </c>
      <c r="G686" s="5" t="str">
        <f ca="1">IFERROR(__xludf.DUMMYFUNCTION("""COMPUTED_VALUE"""),"No")</f>
        <v>No</v>
      </c>
      <c r="H686" s="5" t="str">
        <f ca="1">IFERROR(__xludf.DUMMYFUNCTION("""COMPUTED_VALUE"""),"None")</f>
        <v>None</v>
      </c>
    </row>
    <row r="687" spans="1:8" ht="13">
      <c r="A687" s="5" t="str">
        <f ca="1">IFERROR(__xludf.DUMMYFUNCTION("""COMPUTED_VALUE"""),"20210505SCWAW")</f>
        <v>20210505SCWAW</v>
      </c>
      <c r="B687" s="5" t="str">
        <f ca="1">IFERROR(__xludf.DUMMYFUNCTION("""COMPUTED_VALUE"""),"Teen")</f>
        <v>Teen</v>
      </c>
      <c r="C687" s="5" t="str">
        <f ca="1">IFERROR(__xludf.DUMMYFUNCTION("""COMPUTED_VALUE"""),"Male")</f>
        <v>Male</v>
      </c>
      <c r="D687" s="5"/>
      <c r="E687" s="5" t="str">
        <f ca="1">IFERROR(__xludf.DUMMYFUNCTION("""COMPUTED_VALUE"""),"Student")</f>
        <v>Student</v>
      </c>
      <c r="F687" s="5" t="str">
        <f ca="1">IFERROR(__xludf.DUMMYFUNCTION("""COMPUTED_VALUE"""),"Suicide")</f>
        <v>Suicide</v>
      </c>
      <c r="G687" s="5" t="str">
        <f ca="1">IFERROR(__xludf.DUMMYFUNCTION("""COMPUTED_VALUE"""),"Yes")</f>
        <v>Yes</v>
      </c>
      <c r="H687" s="5" t="str">
        <f ca="1">IFERROR(__xludf.DUMMYFUNCTION("""COMPUTED_VALUE"""),"Suicide")</f>
        <v>Suicide</v>
      </c>
    </row>
    <row r="688" spans="1:8" ht="13">
      <c r="A688" s="5" t="str">
        <f ca="1">IFERROR(__xludf.DUMMYFUNCTION("""COMPUTED_VALUE"""),"20210505MICRC")</f>
        <v>20210505MICRC</v>
      </c>
      <c r="B688" s="5" t="str">
        <f ca="1">IFERROR(__xludf.DUMMYFUNCTION("""COMPUTED_VALUE"""),"Adult")</f>
        <v>Adult</v>
      </c>
      <c r="C688" s="5" t="str">
        <f ca="1">IFERROR(__xludf.DUMMYFUNCTION("""COMPUTED_VALUE"""),"Male")</f>
        <v>Male</v>
      </c>
      <c r="D688" s="5"/>
      <c r="E688" s="5" t="str">
        <f ca="1">IFERROR(__xludf.DUMMYFUNCTION("""COMPUTED_VALUE"""),"No Relation")</f>
        <v>No Relation</v>
      </c>
      <c r="F688" s="5" t="str">
        <f ca="1">IFERROR(__xludf.DUMMYFUNCTION("""COMPUTED_VALUE"""),"Apprehended/Killed by LE")</f>
        <v>Apprehended/Killed by LE</v>
      </c>
      <c r="G688" s="5" t="str">
        <f ca="1">IFERROR(__xludf.DUMMYFUNCTION("""COMPUTED_VALUE"""),"No")</f>
        <v>No</v>
      </c>
      <c r="H688" s="5" t="str">
        <f ca="1">IFERROR(__xludf.DUMMYFUNCTION("""COMPUTED_VALUE"""),"Wounded")</f>
        <v>Wounded</v>
      </c>
    </row>
    <row r="689" spans="1:8" ht="13">
      <c r="A689" s="5" t="str">
        <f ca="1">IFERROR(__xludf.DUMMYFUNCTION("""COMPUTED_VALUE"""),"20210502ILCHC")</f>
        <v>20210502ILCHC</v>
      </c>
      <c r="B689" s="5" t="str">
        <f ca="1">IFERROR(__xludf.DUMMYFUNCTION("""COMPUTED_VALUE"""),"Adult")</f>
        <v>Adult</v>
      </c>
      <c r="C689" s="5"/>
      <c r="D689" s="5"/>
      <c r="E689" s="5" t="str">
        <f ca="1">IFERROR(__xludf.DUMMYFUNCTION("""COMPUTED_VALUE"""),"No Relation")</f>
        <v>No Relation</v>
      </c>
      <c r="F689" s="5" t="str">
        <f ca="1">IFERROR(__xludf.DUMMYFUNCTION("""COMPUTED_VALUE"""),"Fled/Escaped")</f>
        <v>Fled/Escaped</v>
      </c>
      <c r="G689" s="5" t="str">
        <f ca="1">IFERROR(__xludf.DUMMYFUNCTION("""COMPUTED_VALUE"""),"No")</f>
        <v>No</v>
      </c>
      <c r="H689" s="5" t="str">
        <f ca="1">IFERROR(__xludf.DUMMYFUNCTION("""COMPUTED_VALUE"""),"None")</f>
        <v>None</v>
      </c>
    </row>
    <row r="690" spans="1:8" ht="13">
      <c r="A690" s="5" t="str">
        <f ca="1">IFERROR(__xludf.DUMMYFUNCTION("""COMPUTED_VALUE"""),"20210502ILCHC")</f>
        <v>20210502ILCHC</v>
      </c>
      <c r="B690" s="5" t="str">
        <f ca="1">IFERROR(__xludf.DUMMYFUNCTION("""COMPUTED_VALUE"""),"Adult")</f>
        <v>Adult</v>
      </c>
      <c r="C690" s="5"/>
      <c r="D690" s="5"/>
      <c r="E690" s="5" t="str">
        <f ca="1">IFERROR(__xludf.DUMMYFUNCTION("""COMPUTED_VALUE"""),"No Relation")</f>
        <v>No Relation</v>
      </c>
      <c r="F690" s="5" t="str">
        <f ca="1">IFERROR(__xludf.DUMMYFUNCTION("""COMPUTED_VALUE"""),"Fled/Escaped")</f>
        <v>Fled/Escaped</v>
      </c>
      <c r="G690" s="5" t="str">
        <f ca="1">IFERROR(__xludf.DUMMYFUNCTION("""COMPUTED_VALUE"""),"No")</f>
        <v>No</v>
      </c>
      <c r="H690" s="5" t="str">
        <f ca="1">IFERROR(__xludf.DUMMYFUNCTION("""COMPUTED_VALUE"""),"None")</f>
        <v>None</v>
      </c>
    </row>
    <row r="691" spans="1:8" ht="13">
      <c r="A691" s="5" t="str">
        <f ca="1">IFERROR(__xludf.DUMMYFUNCTION("""COMPUTED_VALUE"""),"20210501MNBES")</f>
        <v>20210501MNBES</v>
      </c>
      <c r="B691" s="5" t="str">
        <f ca="1">IFERROR(__xludf.DUMMYFUNCTION("""COMPUTED_VALUE"""),"Adult")</f>
        <v>Adult</v>
      </c>
      <c r="C691" s="5" t="str">
        <f ca="1">IFERROR(__xludf.DUMMYFUNCTION("""COMPUTED_VALUE"""),"Male")</f>
        <v>Male</v>
      </c>
      <c r="D691" s="5"/>
      <c r="E691" s="5" t="str">
        <f ca="1">IFERROR(__xludf.DUMMYFUNCTION("""COMPUTED_VALUE"""),"No Relation")</f>
        <v>No Relation</v>
      </c>
      <c r="F691" s="5" t="str">
        <f ca="1">IFERROR(__xludf.DUMMYFUNCTION("""COMPUTED_VALUE"""),"Fled/Escaped")</f>
        <v>Fled/Escaped</v>
      </c>
      <c r="G691" s="5" t="str">
        <f ca="1">IFERROR(__xludf.DUMMYFUNCTION("""COMPUTED_VALUE"""),"No")</f>
        <v>No</v>
      </c>
      <c r="H691" s="5" t="str">
        <f ca="1">IFERROR(__xludf.DUMMYFUNCTION("""COMPUTED_VALUE"""),"None")</f>
        <v>None</v>
      </c>
    </row>
    <row r="692" spans="1:8" ht="13">
      <c r="A692" s="5" t="str">
        <f ca="1">IFERROR(__xludf.DUMMYFUNCTION("""COMPUTED_VALUE"""),"20210501MNBES")</f>
        <v>20210501MNBES</v>
      </c>
      <c r="B692" s="5" t="str">
        <f ca="1">IFERROR(__xludf.DUMMYFUNCTION("""COMPUTED_VALUE"""),"Adult")</f>
        <v>Adult</v>
      </c>
      <c r="C692" s="5" t="str">
        <f ca="1">IFERROR(__xludf.DUMMYFUNCTION("""COMPUTED_VALUE"""),"Male")</f>
        <v>Male</v>
      </c>
      <c r="D692" s="5"/>
      <c r="E692" s="5" t="str">
        <f ca="1">IFERROR(__xludf.DUMMYFUNCTION("""COMPUTED_VALUE"""),"No Relation")</f>
        <v>No Relation</v>
      </c>
      <c r="F692" s="5" t="str">
        <f ca="1">IFERROR(__xludf.DUMMYFUNCTION("""COMPUTED_VALUE"""),"Fled/Escaped")</f>
        <v>Fled/Escaped</v>
      </c>
      <c r="G692" s="5" t="str">
        <f ca="1">IFERROR(__xludf.DUMMYFUNCTION("""COMPUTED_VALUE"""),"No")</f>
        <v>No</v>
      </c>
      <c r="H692" s="5" t="str">
        <f ca="1">IFERROR(__xludf.DUMMYFUNCTION("""COMPUTED_VALUE"""),"None")</f>
        <v>None</v>
      </c>
    </row>
    <row r="693" spans="1:8" ht="13">
      <c r="A693" s="5" t="str">
        <f ca="1">IFERROR(__xludf.DUMMYFUNCTION("""COMPUTED_VALUE"""),"20210501MNBES")</f>
        <v>20210501MNBES</v>
      </c>
      <c r="B693" s="5" t="str">
        <f ca="1">IFERROR(__xludf.DUMMYFUNCTION("""COMPUTED_VALUE"""),"Adult")</f>
        <v>Adult</v>
      </c>
      <c r="C693" s="5" t="str">
        <f ca="1">IFERROR(__xludf.DUMMYFUNCTION("""COMPUTED_VALUE"""),"Male")</f>
        <v>Male</v>
      </c>
      <c r="D693" s="5"/>
      <c r="E693" s="5" t="str">
        <f ca="1">IFERROR(__xludf.DUMMYFUNCTION("""COMPUTED_VALUE"""),"No Relation")</f>
        <v>No Relation</v>
      </c>
      <c r="F693" s="5" t="str">
        <f ca="1">IFERROR(__xludf.DUMMYFUNCTION("""COMPUTED_VALUE"""),"Fled/Escaped")</f>
        <v>Fled/Escaped</v>
      </c>
      <c r="G693" s="5" t="str">
        <f ca="1">IFERROR(__xludf.DUMMYFUNCTION("""COMPUTED_VALUE"""),"No")</f>
        <v>No</v>
      </c>
      <c r="H693" s="5" t="str">
        <f ca="1">IFERROR(__xludf.DUMMYFUNCTION("""COMPUTED_VALUE"""),"None")</f>
        <v>None</v>
      </c>
    </row>
    <row r="694" spans="1:8" ht="13">
      <c r="A694" s="5" t="str">
        <f ca="1">IFERROR(__xludf.DUMMYFUNCTION("""COMPUTED_VALUE"""),"20210430INMAI")</f>
        <v>20210430INMAI</v>
      </c>
      <c r="B694" s="5" t="str">
        <f ca="1">IFERROR(__xludf.DUMMYFUNCTION("""COMPUTED_VALUE"""),"Adult")</f>
        <v>Adult</v>
      </c>
      <c r="C694" s="5" t="str">
        <f ca="1">IFERROR(__xludf.DUMMYFUNCTION("""COMPUTED_VALUE"""),"Male")</f>
        <v>Male</v>
      </c>
      <c r="D694" s="5"/>
      <c r="E694" s="5" t="str">
        <f ca="1">IFERROR(__xludf.DUMMYFUNCTION("""COMPUTED_VALUE"""),"Parent")</f>
        <v>Parent</v>
      </c>
      <c r="F694" s="5" t="str">
        <f ca="1">IFERROR(__xludf.DUMMYFUNCTION("""COMPUTED_VALUE"""),"Fled/Escaped")</f>
        <v>Fled/Escaped</v>
      </c>
      <c r="G694" s="5" t="str">
        <f ca="1">IFERROR(__xludf.DUMMYFUNCTION("""COMPUTED_VALUE"""),"No")</f>
        <v>No</v>
      </c>
      <c r="H694" s="5" t="str">
        <f ca="1">IFERROR(__xludf.DUMMYFUNCTION("""COMPUTED_VALUE"""),"None")</f>
        <v>None</v>
      </c>
    </row>
    <row r="695" spans="1:8" ht="13">
      <c r="A695" s="5" t="str">
        <f ca="1">IFERROR(__xludf.DUMMYFUNCTION("""COMPUTED_VALUE"""),"20210429NYURB")</f>
        <v>20210429NYURB</v>
      </c>
      <c r="B695" s="5">
        <f ca="1">IFERROR(__xludf.DUMMYFUNCTION("""COMPUTED_VALUE"""),15)</f>
        <v>15</v>
      </c>
      <c r="C695" s="5" t="str">
        <f ca="1">IFERROR(__xludf.DUMMYFUNCTION("""COMPUTED_VALUE"""),"Male")</f>
        <v>Male</v>
      </c>
      <c r="D695" s="5"/>
      <c r="E695" s="5" t="str">
        <f ca="1">IFERROR(__xludf.DUMMYFUNCTION("""COMPUTED_VALUE"""),"Nonstudent")</f>
        <v>Nonstudent</v>
      </c>
      <c r="F695" s="5" t="str">
        <f ca="1">IFERROR(__xludf.DUMMYFUNCTION("""COMPUTED_VALUE"""),"Fled/Apprehended")</f>
        <v>Fled/Apprehended</v>
      </c>
      <c r="G695" s="5" t="str">
        <f ca="1">IFERROR(__xludf.DUMMYFUNCTION("""COMPUTED_VALUE"""),"No")</f>
        <v>No</v>
      </c>
      <c r="H695" s="5" t="str">
        <f ca="1">IFERROR(__xludf.DUMMYFUNCTION("""COMPUTED_VALUE"""),"None")</f>
        <v>None</v>
      </c>
    </row>
    <row r="696" spans="1:8" ht="13">
      <c r="A696" s="5" t="str">
        <f ca="1">IFERROR(__xludf.DUMMYFUNCTION("""COMPUTED_VALUE"""),"20210429NYURB")</f>
        <v>20210429NYURB</v>
      </c>
      <c r="B696" s="5">
        <f ca="1">IFERROR(__xludf.DUMMYFUNCTION("""COMPUTED_VALUE"""),16)</f>
        <v>16</v>
      </c>
      <c r="C696" s="5" t="str">
        <f ca="1">IFERROR(__xludf.DUMMYFUNCTION("""COMPUTED_VALUE"""),"Male")</f>
        <v>Male</v>
      </c>
      <c r="D696" s="5"/>
      <c r="E696" s="5" t="str">
        <f ca="1">IFERROR(__xludf.DUMMYFUNCTION("""COMPUTED_VALUE"""),"Nonstudent")</f>
        <v>Nonstudent</v>
      </c>
      <c r="F696" s="5" t="str">
        <f ca="1">IFERROR(__xludf.DUMMYFUNCTION("""COMPUTED_VALUE"""),"Fled/Escaped")</f>
        <v>Fled/Escaped</v>
      </c>
      <c r="G696" s="5" t="str">
        <f ca="1">IFERROR(__xludf.DUMMYFUNCTION("""COMPUTED_VALUE"""),"No")</f>
        <v>No</v>
      </c>
      <c r="H696" s="5" t="str">
        <f ca="1">IFERROR(__xludf.DUMMYFUNCTION("""COMPUTED_VALUE"""),"None")</f>
        <v>None</v>
      </c>
    </row>
    <row r="697" spans="1:8" ht="13">
      <c r="A697" s="5" t="str">
        <f ca="1">IFERROR(__xludf.DUMMYFUNCTION("""COMPUTED_VALUE"""),"20210429CAVIV")</f>
        <v>20210429CAVIV</v>
      </c>
      <c r="B697" s="5">
        <f ca="1">IFERROR(__xludf.DUMMYFUNCTION("""COMPUTED_VALUE"""),17)</f>
        <v>17</v>
      </c>
      <c r="C697" s="5" t="str">
        <f ca="1">IFERROR(__xludf.DUMMYFUNCTION("""COMPUTED_VALUE"""),"Male")</f>
        <v>Male</v>
      </c>
      <c r="D697" s="5"/>
      <c r="E697" s="5" t="str">
        <f ca="1">IFERROR(__xludf.DUMMYFUNCTION("""COMPUTED_VALUE"""),"Nonstudent")</f>
        <v>Nonstudent</v>
      </c>
      <c r="F697" s="5" t="str">
        <f ca="1">IFERROR(__xludf.DUMMYFUNCTION("""COMPUTED_VALUE"""),"Fled/Apprehended")</f>
        <v>Fled/Apprehended</v>
      </c>
      <c r="G697" s="5" t="str">
        <f ca="1">IFERROR(__xludf.DUMMYFUNCTION("""COMPUTED_VALUE"""),"No")</f>
        <v>No</v>
      </c>
      <c r="H697" s="5" t="str">
        <f ca="1">IFERROR(__xludf.DUMMYFUNCTION("""COMPUTED_VALUE"""),"None")</f>
        <v>None</v>
      </c>
    </row>
    <row r="698" spans="1:8" ht="13">
      <c r="A698" s="5" t="str">
        <f ca="1">IFERROR(__xludf.DUMMYFUNCTION("""COMPUTED_VALUE"""),"20210427TNLAM")</f>
        <v>20210427TNLAM</v>
      </c>
      <c r="B698" s="5" t="str">
        <f ca="1">IFERROR(__xludf.DUMMYFUNCTION("""COMPUTED_VALUE"""),"Adult")</f>
        <v>Adult</v>
      </c>
      <c r="C698" s="5" t="str">
        <f ca="1">IFERROR(__xludf.DUMMYFUNCTION("""COMPUTED_VALUE"""),"Female")</f>
        <v>Female</v>
      </c>
      <c r="D698" s="5" t="str">
        <f ca="1">IFERROR(__xludf.DUMMYFUNCTION("""COMPUTED_VALUE"""),"Black")</f>
        <v>Black</v>
      </c>
      <c r="E698" s="5" t="str">
        <f ca="1">IFERROR(__xludf.DUMMYFUNCTION("""COMPUTED_VALUE"""),"Parent")</f>
        <v>Parent</v>
      </c>
      <c r="F698" s="5" t="str">
        <f ca="1">IFERROR(__xludf.DUMMYFUNCTION("""COMPUTED_VALUE"""),"Fled/Apprehended")</f>
        <v>Fled/Apprehended</v>
      </c>
      <c r="G698" s="5" t="str">
        <f ca="1">IFERROR(__xludf.DUMMYFUNCTION("""COMPUTED_VALUE"""),"No")</f>
        <v>No</v>
      </c>
      <c r="H698" s="5" t="str">
        <f ca="1">IFERROR(__xludf.DUMMYFUNCTION("""COMPUTED_VALUE"""),"None")</f>
        <v>None</v>
      </c>
    </row>
    <row r="699" spans="1:8" ht="13">
      <c r="A699" s="5" t="str">
        <f ca="1">IFERROR(__xludf.DUMMYFUNCTION("""COMPUTED_VALUE"""),"20210427DESMS")</f>
        <v>20210427DESMS</v>
      </c>
      <c r="B699" s="5">
        <f ca="1">IFERROR(__xludf.DUMMYFUNCTION("""COMPUTED_VALUE"""),47)</f>
        <v>47</v>
      </c>
      <c r="C699" s="5" t="str">
        <f ca="1">IFERROR(__xludf.DUMMYFUNCTION("""COMPUTED_VALUE"""),"Male")</f>
        <v>Male</v>
      </c>
      <c r="D699" s="5"/>
      <c r="E699" s="5" t="str">
        <f ca="1">IFERROR(__xludf.DUMMYFUNCTION("""COMPUTED_VALUE"""),"Parent")</f>
        <v>Parent</v>
      </c>
      <c r="F699" s="5" t="str">
        <f ca="1">IFERROR(__xludf.DUMMYFUNCTION("""COMPUTED_VALUE"""),"Fled/Apprehended")</f>
        <v>Fled/Apprehended</v>
      </c>
      <c r="G699" s="5" t="str">
        <f ca="1">IFERROR(__xludf.DUMMYFUNCTION("""COMPUTED_VALUE"""),"Yes")</f>
        <v>Yes</v>
      </c>
      <c r="H699" s="5" t="str">
        <f ca="1">IFERROR(__xludf.DUMMYFUNCTION("""COMPUTED_VALUE"""),"Suicide")</f>
        <v>Suicide</v>
      </c>
    </row>
    <row r="700" spans="1:8" ht="13">
      <c r="A700" s="5" t="str">
        <f ca="1">IFERROR(__xludf.DUMMYFUNCTION("""COMPUTED_VALUE"""),"20210426MNPLP")</f>
        <v>20210426MNPLP</v>
      </c>
      <c r="B700" s="5">
        <f ca="1">IFERROR(__xludf.DUMMYFUNCTION("""COMPUTED_VALUE"""),12)</f>
        <v>12</v>
      </c>
      <c r="C700" s="5" t="str">
        <f ca="1">IFERROR(__xludf.DUMMYFUNCTION("""COMPUTED_VALUE"""),"Male")</f>
        <v>Male</v>
      </c>
      <c r="D700" s="5"/>
      <c r="E700" s="5" t="str">
        <f ca="1">IFERROR(__xludf.DUMMYFUNCTION("""COMPUTED_VALUE"""),"Student")</f>
        <v>Student</v>
      </c>
      <c r="F700" s="5" t="str">
        <f ca="1">IFERROR(__xludf.DUMMYFUNCTION("""COMPUTED_VALUE"""),"Surrendered")</f>
        <v>Surrendered</v>
      </c>
      <c r="G700" s="5" t="str">
        <f ca="1">IFERROR(__xludf.DUMMYFUNCTION("""COMPUTED_VALUE"""),"No")</f>
        <v>No</v>
      </c>
      <c r="H700" s="5" t="str">
        <f ca="1">IFERROR(__xludf.DUMMYFUNCTION("""COMPUTED_VALUE"""),"None")</f>
        <v>None</v>
      </c>
    </row>
    <row r="701" spans="1:8" ht="13">
      <c r="A701" s="5" t="str">
        <f ca="1">IFERROR(__xludf.DUMMYFUNCTION("""COMPUTED_VALUE"""),"20210420TXHAH")</f>
        <v>20210420TXHAH</v>
      </c>
      <c r="B701" s="5" t="str">
        <f ca="1">IFERROR(__xludf.DUMMYFUNCTION("""COMPUTED_VALUE"""),"Adult")</f>
        <v>Adult</v>
      </c>
      <c r="C701" s="5" t="str">
        <f ca="1">IFERROR(__xludf.DUMMYFUNCTION("""COMPUTED_VALUE"""),"Male")</f>
        <v>Male</v>
      </c>
      <c r="D701" s="5" t="str">
        <f ca="1">IFERROR(__xludf.DUMMYFUNCTION("""COMPUTED_VALUE"""),"Black")</f>
        <v>Black</v>
      </c>
      <c r="E701" s="5" t="str">
        <f ca="1">IFERROR(__xludf.DUMMYFUNCTION("""COMPUTED_VALUE"""),"No Relation")</f>
        <v>No Relation</v>
      </c>
      <c r="F701" s="5" t="str">
        <f ca="1">IFERROR(__xludf.DUMMYFUNCTION("""COMPUTED_VALUE"""),"Fled/Apprehended")</f>
        <v>Fled/Apprehended</v>
      </c>
      <c r="G701" s="5" t="str">
        <f ca="1">IFERROR(__xludf.DUMMYFUNCTION("""COMPUTED_VALUE"""),"No")</f>
        <v>No</v>
      </c>
      <c r="H701" s="5" t="str">
        <f ca="1">IFERROR(__xludf.DUMMYFUNCTION("""COMPUTED_VALUE"""),"None")</f>
        <v>None</v>
      </c>
    </row>
    <row r="702" spans="1:8" ht="13">
      <c r="A702" s="5" t="str">
        <f ca="1">IFERROR(__xludf.DUMMYFUNCTION("""COMPUTED_VALUE"""),"20210420TXHAH")</f>
        <v>20210420TXHAH</v>
      </c>
      <c r="B702" s="5" t="str">
        <f ca="1">IFERROR(__xludf.DUMMYFUNCTION("""COMPUTED_VALUE"""),"Adult")</f>
        <v>Adult</v>
      </c>
      <c r="C702" s="5" t="str">
        <f ca="1">IFERROR(__xludf.DUMMYFUNCTION("""COMPUTED_VALUE"""),"Male")</f>
        <v>Male</v>
      </c>
      <c r="D702" s="5" t="str">
        <f ca="1">IFERROR(__xludf.DUMMYFUNCTION("""COMPUTED_VALUE"""),"Black")</f>
        <v>Black</v>
      </c>
      <c r="E702" s="5" t="str">
        <f ca="1">IFERROR(__xludf.DUMMYFUNCTION("""COMPUTED_VALUE"""),"No Relation")</f>
        <v>No Relation</v>
      </c>
      <c r="F702" s="5" t="str">
        <f ca="1">IFERROR(__xludf.DUMMYFUNCTION("""COMPUTED_VALUE"""),"Fled/Apprehended")</f>
        <v>Fled/Apprehended</v>
      </c>
      <c r="G702" s="5" t="str">
        <f ca="1">IFERROR(__xludf.DUMMYFUNCTION("""COMPUTED_VALUE"""),"No")</f>
        <v>No</v>
      </c>
      <c r="H702" s="5" t="str">
        <f ca="1">IFERROR(__xludf.DUMMYFUNCTION("""COMPUTED_VALUE"""),"None")</f>
        <v>None</v>
      </c>
    </row>
    <row r="703" spans="1:8" ht="13">
      <c r="A703" s="5" t="str">
        <f ca="1">IFERROR(__xludf.DUMMYFUNCTION("""COMPUTED_VALUE"""),"20210418OHWED")</f>
        <v>20210418OHWED</v>
      </c>
      <c r="B703" s="5"/>
      <c r="C703" s="5"/>
      <c r="D703" s="5"/>
      <c r="E703" s="5" t="str">
        <f ca="1">IFERROR(__xludf.DUMMYFUNCTION("""COMPUTED_VALUE"""),"No Relation")</f>
        <v>No Relation</v>
      </c>
      <c r="F703" s="5" t="str">
        <f ca="1">IFERROR(__xludf.DUMMYFUNCTION("""COMPUTED_VALUE"""),"Fled/Escaped")</f>
        <v>Fled/Escaped</v>
      </c>
      <c r="G703" s="5" t="str">
        <f ca="1">IFERROR(__xludf.DUMMYFUNCTION("""COMPUTED_VALUE"""),"No")</f>
        <v>No</v>
      </c>
      <c r="H703" s="5" t="str">
        <f ca="1">IFERROR(__xludf.DUMMYFUNCTION("""COMPUTED_VALUE"""),"None")</f>
        <v>None</v>
      </c>
    </row>
    <row r="704" spans="1:8" ht="13">
      <c r="A704" s="5" t="str">
        <f ca="1">IFERROR(__xludf.DUMMYFUNCTION("""COMPUTED_VALUE"""),"20210413TNMAC")</f>
        <v>20210413TNMAC</v>
      </c>
      <c r="B704" s="5">
        <f ca="1">IFERROR(__xludf.DUMMYFUNCTION("""COMPUTED_VALUE"""),32)</f>
        <v>32</v>
      </c>
      <c r="C704" s="5" t="str">
        <f ca="1">IFERROR(__xludf.DUMMYFUNCTION("""COMPUTED_VALUE"""),"Female")</f>
        <v>Female</v>
      </c>
      <c r="D704" s="5" t="str">
        <f ca="1">IFERROR(__xludf.DUMMYFUNCTION("""COMPUTED_VALUE"""),"White")</f>
        <v>White</v>
      </c>
      <c r="E704" s="5" t="str">
        <f ca="1">IFERROR(__xludf.DUMMYFUNCTION("""COMPUTED_VALUE"""),"Parent")</f>
        <v>Parent</v>
      </c>
      <c r="F704" s="5" t="str">
        <f ca="1">IFERROR(__xludf.DUMMYFUNCTION("""COMPUTED_VALUE"""),"Fled/Apprehended")</f>
        <v>Fled/Apprehended</v>
      </c>
      <c r="G704" s="5" t="str">
        <f ca="1">IFERROR(__xludf.DUMMYFUNCTION("""COMPUTED_VALUE"""),"No")</f>
        <v>No</v>
      </c>
      <c r="H704" s="5" t="str">
        <f ca="1">IFERROR(__xludf.DUMMYFUNCTION("""COMPUTED_VALUE"""),"None")</f>
        <v>None</v>
      </c>
    </row>
    <row r="705" spans="1:8" ht="13">
      <c r="A705" s="5" t="str">
        <f ca="1">IFERROR(__xludf.DUMMYFUNCTION("""COMPUTED_VALUE"""),"20210412TNAUK")</f>
        <v>20210412TNAUK</v>
      </c>
      <c r="B705" s="5">
        <f ca="1">IFERROR(__xludf.DUMMYFUNCTION("""COMPUTED_VALUE"""),17)</f>
        <v>17</v>
      </c>
      <c r="C705" s="5" t="str">
        <f ca="1">IFERROR(__xludf.DUMMYFUNCTION("""COMPUTED_VALUE"""),"Male")</f>
        <v>Male</v>
      </c>
      <c r="D705" s="5" t="str">
        <f ca="1">IFERROR(__xludf.DUMMYFUNCTION("""COMPUTED_VALUE"""),"Black")</f>
        <v>Black</v>
      </c>
      <c r="E705" s="5" t="str">
        <f ca="1">IFERROR(__xludf.DUMMYFUNCTION("""COMPUTED_VALUE"""),"Student")</f>
        <v>Student</v>
      </c>
      <c r="F705" s="5" t="str">
        <f ca="1">IFERROR(__xludf.DUMMYFUNCTION("""COMPUTED_VALUE"""),"Apprehended/Killed by LE")</f>
        <v>Apprehended/Killed by LE</v>
      </c>
      <c r="G705" s="5" t="str">
        <f ca="1">IFERROR(__xludf.DUMMYFUNCTION("""COMPUTED_VALUE"""),"Yes")</f>
        <v>Yes</v>
      </c>
      <c r="H705" s="5" t="str">
        <f ca="1">IFERROR(__xludf.DUMMYFUNCTION("""COMPUTED_VALUE"""),"Fatal")</f>
        <v>Fatal</v>
      </c>
    </row>
    <row r="706" spans="1:8" ht="13">
      <c r="A706" s="5" t="str">
        <f ca="1">IFERROR(__xludf.DUMMYFUNCTION("""COMPUTED_VALUE"""),"20210412CASAS")</f>
        <v>20210412CASAS</v>
      </c>
      <c r="B706" s="5">
        <f ca="1">IFERROR(__xludf.DUMMYFUNCTION("""COMPUTED_VALUE"""),36)</f>
        <v>36</v>
      </c>
      <c r="C706" s="5" t="str">
        <f ca="1">IFERROR(__xludf.DUMMYFUNCTION("""COMPUTED_VALUE"""),"Male")</f>
        <v>Male</v>
      </c>
      <c r="D706" s="5" t="str">
        <f ca="1">IFERROR(__xludf.DUMMYFUNCTION("""COMPUTED_VALUE"""),"Hispanic")</f>
        <v>Hispanic</v>
      </c>
      <c r="E706" s="5" t="str">
        <f ca="1">IFERROR(__xludf.DUMMYFUNCTION("""COMPUTED_VALUE"""),"No Relation")</f>
        <v>No Relation</v>
      </c>
      <c r="F706" s="5" t="str">
        <f ca="1">IFERROR(__xludf.DUMMYFUNCTION("""COMPUTED_VALUE"""),"Apprehended/Killed by LE")</f>
        <v>Apprehended/Killed by LE</v>
      </c>
      <c r="G706" s="5" t="str">
        <f ca="1">IFERROR(__xludf.DUMMYFUNCTION("""COMPUTED_VALUE"""),"Yes")</f>
        <v>Yes</v>
      </c>
      <c r="H706" s="5" t="str">
        <f ca="1">IFERROR(__xludf.DUMMYFUNCTION("""COMPUTED_VALUE"""),"None")</f>
        <v>None</v>
      </c>
    </row>
    <row r="707" spans="1:8" ht="13">
      <c r="A707" s="5" t="str">
        <f ca="1">IFERROR(__xludf.DUMMYFUNCTION("""COMPUTED_VALUE"""),"20210411INBIH")</f>
        <v>20210411INBIH</v>
      </c>
      <c r="B707" s="5">
        <f ca="1">IFERROR(__xludf.DUMMYFUNCTION("""COMPUTED_VALUE"""),38)</f>
        <v>38</v>
      </c>
      <c r="C707" s="5" t="str">
        <f ca="1">IFERROR(__xludf.DUMMYFUNCTION("""COMPUTED_VALUE"""),"Male")</f>
        <v>Male</v>
      </c>
      <c r="D707" s="5" t="str">
        <f ca="1">IFERROR(__xludf.DUMMYFUNCTION("""COMPUTED_VALUE"""),"Black")</f>
        <v>Black</v>
      </c>
      <c r="E707" s="5" t="str">
        <f ca="1">IFERROR(__xludf.DUMMYFUNCTION("""COMPUTED_VALUE"""),"No Relation")</f>
        <v>No Relation</v>
      </c>
      <c r="F707" s="5" t="str">
        <f ca="1">IFERROR(__xludf.DUMMYFUNCTION("""COMPUTED_VALUE"""),"Fled/Apprehended")</f>
        <v>Fled/Apprehended</v>
      </c>
      <c r="G707" s="5" t="str">
        <f ca="1">IFERROR(__xludf.DUMMYFUNCTION("""COMPUTED_VALUE"""),"No")</f>
        <v>No</v>
      </c>
      <c r="H707" s="5" t="str">
        <f ca="1">IFERROR(__xludf.DUMMYFUNCTION("""COMPUTED_VALUE"""),"None")</f>
        <v>None</v>
      </c>
    </row>
    <row r="708" spans="1:8" ht="13">
      <c r="A708" s="5" t="str">
        <f ca="1">IFERROR(__xludf.DUMMYFUNCTION("""COMPUTED_VALUE"""),"20210407ILPEP")</f>
        <v>20210407ILPEP</v>
      </c>
      <c r="B708" s="5">
        <f ca="1">IFERROR(__xludf.DUMMYFUNCTION("""COMPUTED_VALUE"""),14)</f>
        <v>14</v>
      </c>
      <c r="C708" s="5" t="str">
        <f ca="1">IFERROR(__xludf.DUMMYFUNCTION("""COMPUTED_VALUE"""),"Male")</f>
        <v>Male</v>
      </c>
      <c r="D708" s="5"/>
      <c r="E708" s="5" t="str">
        <f ca="1">IFERROR(__xludf.DUMMYFUNCTION("""COMPUTED_VALUE"""),"Student")</f>
        <v>Student</v>
      </c>
      <c r="F708" s="5" t="str">
        <f ca="1">IFERROR(__xludf.DUMMYFUNCTION("""COMPUTED_VALUE"""),"Subdued by Students/Staff/Other")</f>
        <v>Subdued by Students/Staff/Other</v>
      </c>
      <c r="G708" s="5" t="str">
        <f ca="1">IFERROR(__xludf.DUMMYFUNCTION("""COMPUTED_VALUE"""),"No")</f>
        <v>No</v>
      </c>
      <c r="H708" s="5" t="str">
        <f ca="1">IFERROR(__xludf.DUMMYFUNCTION("""COMPUTED_VALUE"""),"None")</f>
        <v>None</v>
      </c>
    </row>
    <row r="709" spans="1:8" ht="13">
      <c r="A709" s="5" t="str">
        <f ca="1">IFERROR(__xludf.DUMMYFUNCTION("""COMPUTED_VALUE"""),"20210406ILBAC")</f>
        <v>20210406ILBAC</v>
      </c>
      <c r="B709" s="5">
        <f ca="1">IFERROR(__xludf.DUMMYFUNCTION("""COMPUTED_VALUE"""),19)</f>
        <v>19</v>
      </c>
      <c r="C709" s="5" t="str">
        <f ca="1">IFERROR(__xludf.DUMMYFUNCTION("""COMPUTED_VALUE"""),"Male")</f>
        <v>Male</v>
      </c>
      <c r="D709" s="5"/>
      <c r="E709" s="5" t="str">
        <f ca="1">IFERROR(__xludf.DUMMYFUNCTION("""COMPUTED_VALUE"""),"No Relation")</f>
        <v>No Relation</v>
      </c>
      <c r="F709" s="5" t="str">
        <f ca="1">IFERROR(__xludf.DUMMYFUNCTION("""COMPUTED_VALUE"""),"Fled/Apprehended")</f>
        <v>Fled/Apprehended</v>
      </c>
      <c r="G709" s="5" t="str">
        <f ca="1">IFERROR(__xludf.DUMMYFUNCTION("""COMPUTED_VALUE"""),"No")</f>
        <v>No</v>
      </c>
      <c r="H709" s="5" t="str">
        <f ca="1">IFERROR(__xludf.DUMMYFUNCTION("""COMPUTED_VALUE"""),"None")</f>
        <v>None</v>
      </c>
    </row>
    <row r="710" spans="1:8" ht="13">
      <c r="A710" s="5" t="str">
        <f ca="1">IFERROR(__xludf.DUMMYFUNCTION("""COMPUTED_VALUE"""),"20210401OKCLC")</f>
        <v>20210401OKCLC</v>
      </c>
      <c r="B710" s="5"/>
      <c r="C710" s="5"/>
      <c r="D710" s="5"/>
      <c r="E710" s="5"/>
      <c r="F710" s="5" t="str">
        <f ca="1">IFERROR(__xludf.DUMMYFUNCTION("""COMPUTED_VALUE"""),"Fled/Escaped")</f>
        <v>Fled/Escaped</v>
      </c>
      <c r="G710" s="5" t="str">
        <f ca="1">IFERROR(__xludf.DUMMYFUNCTION("""COMPUTED_VALUE"""),"No")</f>
        <v>No</v>
      </c>
      <c r="H710" s="5" t="str">
        <f ca="1">IFERROR(__xludf.DUMMYFUNCTION("""COMPUTED_VALUE"""),"None")</f>
        <v>None</v>
      </c>
    </row>
    <row r="711" spans="1:8" ht="13">
      <c r="A711" s="5" t="str">
        <f ca="1">IFERROR(__xludf.DUMMYFUNCTION("""COMPUTED_VALUE"""),"20210401ALSES")</f>
        <v>20210401ALSES</v>
      </c>
      <c r="B711" s="5">
        <f ca="1">IFERROR(__xludf.DUMMYFUNCTION("""COMPUTED_VALUE"""),15)</f>
        <v>15</v>
      </c>
      <c r="C711" s="5" t="str">
        <f ca="1">IFERROR(__xludf.DUMMYFUNCTION("""COMPUTED_VALUE"""),"Male")</f>
        <v>Male</v>
      </c>
      <c r="D711" s="5"/>
      <c r="E711" s="5" t="str">
        <f ca="1">IFERROR(__xludf.DUMMYFUNCTION("""COMPUTED_VALUE"""),"Student")</f>
        <v>Student</v>
      </c>
      <c r="F711" s="5" t="str">
        <f ca="1">IFERROR(__xludf.DUMMYFUNCTION("""COMPUTED_VALUE"""),"Fled/Apprehended")</f>
        <v>Fled/Apprehended</v>
      </c>
      <c r="G711" s="5" t="str">
        <f ca="1">IFERROR(__xludf.DUMMYFUNCTION("""COMPUTED_VALUE"""),"No")</f>
        <v>No</v>
      </c>
      <c r="H711" s="5" t="str">
        <f ca="1">IFERROR(__xludf.DUMMYFUNCTION("""COMPUTED_VALUE"""),"None")</f>
        <v>None</v>
      </c>
    </row>
    <row r="712" spans="1:8" ht="13">
      <c r="A712" s="5" t="str">
        <f ca="1">IFERROR(__xludf.DUMMYFUNCTION("""COMPUTED_VALUE"""),"20210327MAPEC")</f>
        <v>20210327MAPEC</v>
      </c>
      <c r="B712" s="5"/>
      <c r="C712" s="5"/>
      <c r="D712" s="5"/>
      <c r="E712" s="5" t="str">
        <f ca="1">IFERROR(__xludf.DUMMYFUNCTION("""COMPUTED_VALUE"""),"Nonstudent Using Athletic Facilities/Attending Game")</f>
        <v>Nonstudent Using Athletic Facilities/Attending Game</v>
      </c>
      <c r="F712" s="5" t="str">
        <f ca="1">IFERROR(__xludf.DUMMYFUNCTION("""COMPUTED_VALUE"""),"Fled/Escaped")</f>
        <v>Fled/Escaped</v>
      </c>
      <c r="G712" s="5" t="str">
        <f ca="1">IFERROR(__xludf.DUMMYFUNCTION("""COMPUTED_VALUE"""),"No")</f>
        <v>No</v>
      </c>
      <c r="H712" s="5" t="str">
        <f ca="1">IFERROR(__xludf.DUMMYFUNCTION("""COMPUTED_VALUE"""),"None")</f>
        <v>None</v>
      </c>
    </row>
    <row r="713" spans="1:8" ht="13">
      <c r="A713" s="5" t="str">
        <f ca="1">IFERROR(__xludf.DUMMYFUNCTION("""COMPUTED_VALUE"""),"20210326MOCAS")</f>
        <v>20210326MOCAS</v>
      </c>
      <c r="B713" s="5">
        <f ca="1">IFERROR(__xludf.DUMMYFUNCTION("""COMPUTED_VALUE"""),33)</f>
        <v>33</v>
      </c>
      <c r="C713" s="5" t="str">
        <f ca="1">IFERROR(__xludf.DUMMYFUNCTION("""COMPUTED_VALUE"""),"Male")</f>
        <v>Male</v>
      </c>
      <c r="D713" s="5"/>
      <c r="E713" s="5" t="str">
        <f ca="1">IFERROR(__xludf.DUMMYFUNCTION("""COMPUTED_VALUE"""),"No Relation")</f>
        <v>No Relation</v>
      </c>
      <c r="F713" s="5" t="str">
        <f ca="1">IFERROR(__xludf.DUMMYFUNCTION("""COMPUTED_VALUE"""),"Apprehended/Killed by LE")</f>
        <v>Apprehended/Killed by LE</v>
      </c>
      <c r="G713" s="5" t="str">
        <f ca="1">IFERROR(__xludf.DUMMYFUNCTION("""COMPUTED_VALUE"""),"Yes")</f>
        <v>Yes</v>
      </c>
      <c r="H713" s="5" t="str">
        <f ca="1">IFERROR(__xludf.DUMMYFUNCTION("""COMPUTED_VALUE"""),"Fatal")</f>
        <v>Fatal</v>
      </c>
    </row>
    <row r="714" spans="1:8" ht="13">
      <c r="A714" s="5" t="str">
        <f ca="1">IFERROR(__xludf.DUMMYFUNCTION("""COMPUTED_VALUE"""),"20210324ORFOS")</f>
        <v>20210324ORFOS</v>
      </c>
      <c r="B714" s="5" t="str">
        <f ca="1">IFERROR(__xludf.DUMMYFUNCTION("""COMPUTED_VALUE"""),"Teen")</f>
        <v>Teen</v>
      </c>
      <c r="C714" s="5" t="str">
        <f ca="1">IFERROR(__xludf.DUMMYFUNCTION("""COMPUTED_VALUE"""),"Male")</f>
        <v>Male</v>
      </c>
      <c r="D714" s="5"/>
      <c r="E714" s="5" t="str">
        <f ca="1">IFERROR(__xludf.DUMMYFUNCTION("""COMPUTED_VALUE"""),"No Relation")</f>
        <v>No Relation</v>
      </c>
      <c r="F714" s="5" t="str">
        <f ca="1">IFERROR(__xludf.DUMMYFUNCTION("""COMPUTED_VALUE"""),"Fled/Apprehended")</f>
        <v>Fled/Apprehended</v>
      </c>
      <c r="G714" s="5" t="str">
        <f ca="1">IFERROR(__xludf.DUMMYFUNCTION("""COMPUTED_VALUE"""),"No")</f>
        <v>No</v>
      </c>
      <c r="H714" s="5" t="str">
        <f ca="1">IFERROR(__xludf.DUMMYFUNCTION("""COMPUTED_VALUE"""),"None")</f>
        <v>None</v>
      </c>
    </row>
    <row r="715" spans="1:8" ht="13">
      <c r="A715" s="5" t="str">
        <f ca="1">IFERROR(__xludf.DUMMYFUNCTION("""COMPUTED_VALUE"""),"20210319WVSPM")</f>
        <v>20210319WVSPM</v>
      </c>
      <c r="B715" s="5" t="str">
        <f ca="1">IFERROR(__xludf.DUMMYFUNCTION("""COMPUTED_VALUE"""),"Teen")</f>
        <v>Teen</v>
      </c>
      <c r="C715" s="5" t="str">
        <f ca="1">IFERROR(__xludf.DUMMYFUNCTION("""COMPUTED_VALUE"""),"Male")</f>
        <v>Male</v>
      </c>
      <c r="D715" s="5"/>
      <c r="E715" s="5"/>
      <c r="F715" s="5" t="str">
        <f ca="1">IFERROR(__xludf.DUMMYFUNCTION("""COMPUTED_VALUE"""),"Fled/Apprehended")</f>
        <v>Fled/Apprehended</v>
      </c>
      <c r="G715" s="5" t="str">
        <f ca="1">IFERROR(__xludf.DUMMYFUNCTION("""COMPUTED_VALUE"""),"No")</f>
        <v>No</v>
      </c>
      <c r="H715" s="5" t="str">
        <f ca="1">IFERROR(__xludf.DUMMYFUNCTION("""COMPUTED_VALUE"""),"None")</f>
        <v>None</v>
      </c>
    </row>
    <row r="716" spans="1:8" ht="13">
      <c r="A716" s="5" t="str">
        <f ca="1">IFERROR(__xludf.DUMMYFUNCTION("""COMPUTED_VALUE"""),"20210319WVSPM")</f>
        <v>20210319WVSPM</v>
      </c>
      <c r="B716" s="5" t="str">
        <f ca="1">IFERROR(__xludf.DUMMYFUNCTION("""COMPUTED_VALUE"""),"Teen")</f>
        <v>Teen</v>
      </c>
      <c r="C716" s="5" t="str">
        <f ca="1">IFERROR(__xludf.DUMMYFUNCTION("""COMPUTED_VALUE"""),"Male")</f>
        <v>Male</v>
      </c>
      <c r="D716" s="5"/>
      <c r="E716" s="5"/>
      <c r="F716" s="5" t="str">
        <f ca="1">IFERROR(__xludf.DUMMYFUNCTION("""COMPUTED_VALUE"""),"Fled/Apprehended")</f>
        <v>Fled/Apprehended</v>
      </c>
      <c r="G716" s="5" t="str">
        <f ca="1">IFERROR(__xludf.DUMMYFUNCTION("""COMPUTED_VALUE"""),"No")</f>
        <v>No</v>
      </c>
      <c r="H716" s="5" t="str">
        <f ca="1">IFERROR(__xludf.DUMMYFUNCTION("""COMPUTED_VALUE"""),"None")</f>
        <v>None</v>
      </c>
    </row>
    <row r="717" spans="1:8" ht="13">
      <c r="A717" s="5" t="str">
        <f ca="1">IFERROR(__xludf.DUMMYFUNCTION("""COMPUTED_VALUE"""),"20210318KYGRL")</f>
        <v>20210318KYGRL</v>
      </c>
      <c r="B717" s="5">
        <f ca="1">IFERROR(__xludf.DUMMYFUNCTION("""COMPUTED_VALUE"""),36)</f>
        <v>36</v>
      </c>
      <c r="C717" s="5" t="str">
        <f ca="1">IFERROR(__xludf.DUMMYFUNCTION("""COMPUTED_VALUE"""),"Male")</f>
        <v>Male</v>
      </c>
      <c r="D717" s="5" t="str">
        <f ca="1">IFERROR(__xludf.DUMMYFUNCTION("""COMPUTED_VALUE"""),"White")</f>
        <v>White</v>
      </c>
      <c r="E717" s="5" t="str">
        <f ca="1">IFERROR(__xludf.DUMMYFUNCTION("""COMPUTED_VALUE"""),"Parent")</f>
        <v>Parent</v>
      </c>
      <c r="F717" s="5" t="str">
        <f ca="1">IFERROR(__xludf.DUMMYFUNCTION("""COMPUTED_VALUE"""),"Apprehended/Killed by LE")</f>
        <v>Apprehended/Killed by LE</v>
      </c>
      <c r="G717" s="5" t="str">
        <f ca="1">IFERROR(__xludf.DUMMYFUNCTION("""COMPUTED_VALUE"""),"No")</f>
        <v>No</v>
      </c>
      <c r="H717" s="5" t="str">
        <f ca="1">IFERROR(__xludf.DUMMYFUNCTION("""COMPUTED_VALUE"""),"None")</f>
        <v>None</v>
      </c>
    </row>
    <row r="718" spans="1:8" ht="13">
      <c r="A718" s="5" t="str">
        <f ca="1">IFERROR(__xludf.DUMMYFUNCTION("""COMPUTED_VALUE"""),"20210315INMEM")</f>
        <v>20210315INMEM</v>
      </c>
      <c r="B718" s="5">
        <f ca="1">IFERROR(__xludf.DUMMYFUNCTION("""COMPUTED_VALUE"""),18)</f>
        <v>18</v>
      </c>
      <c r="C718" s="5" t="str">
        <f ca="1">IFERROR(__xludf.DUMMYFUNCTION("""COMPUTED_VALUE"""),"Male")</f>
        <v>Male</v>
      </c>
      <c r="D718" s="5"/>
      <c r="E718" s="5" t="str">
        <f ca="1">IFERROR(__xludf.DUMMYFUNCTION("""COMPUTED_VALUE"""),"No Relation")</f>
        <v>No Relation</v>
      </c>
      <c r="F718" s="5" t="str">
        <f ca="1">IFERROR(__xludf.DUMMYFUNCTION("""COMPUTED_VALUE"""),"Fled/Apprehended")</f>
        <v>Fled/Apprehended</v>
      </c>
      <c r="G718" s="5" t="str">
        <f ca="1">IFERROR(__xludf.DUMMYFUNCTION("""COMPUTED_VALUE"""),"No")</f>
        <v>No</v>
      </c>
      <c r="H718" s="5" t="str">
        <f ca="1">IFERROR(__xludf.DUMMYFUNCTION("""COMPUTED_VALUE"""),"None")</f>
        <v>None</v>
      </c>
    </row>
    <row r="719" spans="1:8" ht="13">
      <c r="A719" s="5" t="str">
        <f ca="1">IFERROR(__xludf.DUMMYFUNCTION("""COMPUTED_VALUE"""),"20210315INMEM")</f>
        <v>20210315INMEM</v>
      </c>
      <c r="B719" s="5">
        <f ca="1">IFERROR(__xludf.DUMMYFUNCTION("""COMPUTED_VALUE"""),20)</f>
        <v>20</v>
      </c>
      <c r="C719" s="5" t="str">
        <f ca="1">IFERROR(__xludf.DUMMYFUNCTION("""COMPUTED_VALUE"""),"Male")</f>
        <v>Male</v>
      </c>
      <c r="D719" s="5" t="str">
        <f ca="1">IFERROR(__xludf.DUMMYFUNCTION("""COMPUTED_VALUE"""),"Black")</f>
        <v>Black</v>
      </c>
      <c r="E719" s="5" t="str">
        <f ca="1">IFERROR(__xludf.DUMMYFUNCTION("""COMPUTED_VALUE"""),"No Relation")</f>
        <v>No Relation</v>
      </c>
      <c r="F719" s="5" t="str">
        <f ca="1">IFERROR(__xludf.DUMMYFUNCTION("""COMPUTED_VALUE"""),"Fled/Apprehended")</f>
        <v>Fled/Apprehended</v>
      </c>
      <c r="G719" s="5" t="str">
        <f ca="1">IFERROR(__xludf.DUMMYFUNCTION("""COMPUTED_VALUE"""),"No")</f>
        <v>No</v>
      </c>
      <c r="H719" s="5" t="str">
        <f ca="1">IFERROR(__xludf.DUMMYFUNCTION("""COMPUTED_VALUE"""),"None")</f>
        <v>None</v>
      </c>
    </row>
    <row r="720" spans="1:8" ht="13">
      <c r="A720" s="5" t="str">
        <f ca="1">IFERROR(__xludf.DUMMYFUNCTION("""COMPUTED_VALUE"""),"20210313TXLEA")</f>
        <v>20210313TXLEA</v>
      </c>
      <c r="B720" s="5">
        <f ca="1">IFERROR(__xludf.DUMMYFUNCTION("""COMPUTED_VALUE"""),66)</f>
        <v>66</v>
      </c>
      <c r="C720" s="5" t="str">
        <f ca="1">IFERROR(__xludf.DUMMYFUNCTION("""COMPUTED_VALUE"""),"Male")</f>
        <v>Male</v>
      </c>
      <c r="D720" s="5" t="str">
        <f ca="1">IFERROR(__xludf.DUMMYFUNCTION("""COMPUTED_VALUE"""),"Black")</f>
        <v>Black</v>
      </c>
      <c r="E720" s="5" t="str">
        <f ca="1">IFERROR(__xludf.DUMMYFUNCTION("""COMPUTED_VALUE"""),"Nonstudent Using Athletic Facilities/Attending Game")</f>
        <v>Nonstudent Using Athletic Facilities/Attending Game</v>
      </c>
      <c r="F720" s="5" t="str">
        <f ca="1">IFERROR(__xludf.DUMMYFUNCTION("""COMPUTED_VALUE"""),"Fled/Apprehended")</f>
        <v>Fled/Apprehended</v>
      </c>
      <c r="G720" s="5" t="str">
        <f ca="1">IFERROR(__xludf.DUMMYFUNCTION("""COMPUTED_VALUE"""),"No")</f>
        <v>No</v>
      </c>
      <c r="H720" s="5" t="str">
        <f ca="1">IFERROR(__xludf.DUMMYFUNCTION("""COMPUTED_VALUE"""),"None")</f>
        <v>None</v>
      </c>
    </row>
    <row r="721" spans="1:8" ht="13">
      <c r="A721" s="5" t="str">
        <f ca="1">IFERROR(__xludf.DUMMYFUNCTION("""COMPUTED_VALUE"""),"20210311OHCIC")</f>
        <v>20210311OHCIC</v>
      </c>
      <c r="B721" s="5" t="str">
        <f ca="1">IFERROR(__xludf.DUMMYFUNCTION("""COMPUTED_VALUE"""),"Adult")</f>
        <v>Adult</v>
      </c>
      <c r="C721" s="5"/>
      <c r="D721" s="5"/>
      <c r="E721" s="5" t="str">
        <f ca="1">IFERROR(__xludf.DUMMYFUNCTION("""COMPUTED_VALUE"""),"No Relation")</f>
        <v>No Relation</v>
      </c>
      <c r="F721" s="5" t="str">
        <f ca="1">IFERROR(__xludf.DUMMYFUNCTION("""COMPUTED_VALUE"""),"Fled/Escaped")</f>
        <v>Fled/Escaped</v>
      </c>
      <c r="G721" s="5" t="str">
        <f ca="1">IFERROR(__xludf.DUMMYFUNCTION("""COMPUTED_VALUE"""),"No")</f>
        <v>No</v>
      </c>
      <c r="H721" s="5" t="str">
        <f ca="1">IFERROR(__xludf.DUMMYFUNCTION("""COMPUTED_VALUE"""),"None")</f>
        <v>None</v>
      </c>
    </row>
    <row r="722" spans="1:8" ht="13">
      <c r="A722" s="5" t="str">
        <f ca="1">IFERROR(__xludf.DUMMYFUNCTION("""COMPUTED_VALUE"""),"20210309TNSAK")</f>
        <v>20210309TNSAK</v>
      </c>
      <c r="B722" s="5"/>
      <c r="C722" s="5"/>
      <c r="D722" s="5"/>
      <c r="E722" s="5" t="str">
        <f ca="1">IFERROR(__xludf.DUMMYFUNCTION("""COMPUTED_VALUE"""),"No Relation")</f>
        <v>No Relation</v>
      </c>
      <c r="F722" s="5" t="str">
        <f ca="1">IFERROR(__xludf.DUMMYFUNCTION("""COMPUTED_VALUE"""),"Fled/Escaped")</f>
        <v>Fled/Escaped</v>
      </c>
      <c r="G722" s="5" t="str">
        <f ca="1">IFERROR(__xludf.DUMMYFUNCTION("""COMPUTED_VALUE"""),"No")</f>
        <v>No</v>
      </c>
      <c r="H722" s="5" t="str">
        <f ca="1">IFERROR(__xludf.DUMMYFUNCTION("""COMPUTED_VALUE"""),"None")</f>
        <v>None</v>
      </c>
    </row>
    <row r="723" spans="1:8" ht="13">
      <c r="A723" s="5" t="str">
        <f ca="1">IFERROR(__xludf.DUMMYFUNCTION("""COMPUTED_VALUE"""),"20210308SCEDC")</f>
        <v>20210308SCEDC</v>
      </c>
      <c r="B723" s="5">
        <f ca="1">IFERROR(__xludf.DUMMYFUNCTION("""COMPUTED_VALUE"""),54)</f>
        <v>54</v>
      </c>
      <c r="C723" s="5" t="str">
        <f ca="1">IFERROR(__xludf.DUMMYFUNCTION("""COMPUTED_VALUE"""),"Female")</f>
        <v>Female</v>
      </c>
      <c r="D723" s="5" t="str">
        <f ca="1">IFERROR(__xludf.DUMMYFUNCTION("""COMPUTED_VALUE"""),"Black")</f>
        <v>Black</v>
      </c>
      <c r="E723" s="5" t="str">
        <f ca="1">IFERROR(__xludf.DUMMYFUNCTION("""COMPUTED_VALUE"""),"Relative")</f>
        <v>Relative</v>
      </c>
      <c r="F723" s="5" t="str">
        <f ca="1">IFERROR(__xludf.DUMMYFUNCTION("""COMPUTED_VALUE"""),"Fled/Apprehended")</f>
        <v>Fled/Apprehended</v>
      </c>
      <c r="G723" s="5" t="str">
        <f ca="1">IFERROR(__xludf.DUMMYFUNCTION("""COMPUTED_VALUE"""),"No")</f>
        <v>No</v>
      </c>
      <c r="H723" s="5" t="str">
        <f ca="1">IFERROR(__xludf.DUMMYFUNCTION("""COMPUTED_VALUE"""),"None")</f>
        <v>None</v>
      </c>
    </row>
    <row r="724" spans="1:8" ht="13">
      <c r="A724" s="5" t="str">
        <f ca="1">IFERROR(__xludf.DUMMYFUNCTION("""COMPUTED_VALUE"""),"20210301ARWAP")</f>
        <v>20210301ARWAP</v>
      </c>
      <c r="B724" s="5">
        <f ca="1">IFERROR(__xludf.DUMMYFUNCTION("""COMPUTED_VALUE"""),15)</f>
        <v>15</v>
      </c>
      <c r="C724" s="5" t="str">
        <f ca="1">IFERROR(__xludf.DUMMYFUNCTION("""COMPUTED_VALUE"""),"Male")</f>
        <v>Male</v>
      </c>
      <c r="D724" s="5"/>
      <c r="E724" s="5" t="str">
        <f ca="1">IFERROR(__xludf.DUMMYFUNCTION("""COMPUTED_VALUE"""),"Student")</f>
        <v>Student</v>
      </c>
      <c r="F724" s="5" t="str">
        <f ca="1">IFERROR(__xludf.DUMMYFUNCTION("""COMPUTED_VALUE"""),"Fled/Apprehended")</f>
        <v>Fled/Apprehended</v>
      </c>
      <c r="G724" s="5" t="str">
        <f ca="1">IFERROR(__xludf.DUMMYFUNCTION("""COMPUTED_VALUE"""),"No")</f>
        <v>No</v>
      </c>
      <c r="H724" s="5" t="str">
        <f ca="1">IFERROR(__xludf.DUMMYFUNCTION("""COMPUTED_VALUE"""),"None")</f>
        <v>None</v>
      </c>
    </row>
    <row r="725" spans="1:8" ht="13">
      <c r="A725" s="5" t="str">
        <f ca="1">IFERROR(__xludf.DUMMYFUNCTION("""COMPUTED_VALUE"""),"20210226LAGEN")</f>
        <v>20210226LAGEN</v>
      </c>
      <c r="B725" s="5">
        <f ca="1">IFERROR(__xludf.DUMMYFUNCTION("""COMPUTED_VALUE"""),35)</f>
        <v>35</v>
      </c>
      <c r="C725" s="5" t="str">
        <f ca="1">IFERROR(__xludf.DUMMYFUNCTION("""COMPUTED_VALUE"""),"Male")</f>
        <v>Male</v>
      </c>
      <c r="D725" s="5" t="str">
        <f ca="1">IFERROR(__xludf.DUMMYFUNCTION("""COMPUTED_VALUE"""),"Black")</f>
        <v>Black</v>
      </c>
      <c r="E725" s="5" t="str">
        <f ca="1">IFERROR(__xludf.DUMMYFUNCTION("""COMPUTED_VALUE"""),"Nonstudent Using Athletic Facilities/Attending Game")</f>
        <v>Nonstudent Using Athletic Facilities/Attending Game</v>
      </c>
      <c r="F725" s="5" t="str">
        <f ca="1">IFERROR(__xludf.DUMMYFUNCTION("""COMPUTED_VALUE"""),"Surrendered")</f>
        <v>Surrendered</v>
      </c>
      <c r="G725" s="5" t="str">
        <f ca="1">IFERROR(__xludf.DUMMYFUNCTION("""COMPUTED_VALUE"""),"No")</f>
        <v>No</v>
      </c>
      <c r="H725" s="5" t="str">
        <f ca="1">IFERROR(__xludf.DUMMYFUNCTION("""COMPUTED_VALUE"""),"None")</f>
        <v>None</v>
      </c>
    </row>
    <row r="726" spans="1:8" ht="13">
      <c r="A726" s="5" t="str">
        <f ca="1">IFERROR(__xludf.DUMMYFUNCTION("""COMPUTED_VALUE"""),"20210224WAGAY")</f>
        <v>20210224WAGAY</v>
      </c>
      <c r="B726" s="5" t="str">
        <f ca="1">IFERROR(__xludf.DUMMYFUNCTION("""COMPUTED_VALUE"""),"Teen")</f>
        <v>Teen</v>
      </c>
      <c r="C726" s="5" t="str">
        <f ca="1">IFERROR(__xludf.DUMMYFUNCTION("""COMPUTED_VALUE"""),"Male")</f>
        <v>Male</v>
      </c>
      <c r="D726" s="5"/>
      <c r="E726" s="5" t="str">
        <f ca="1">IFERROR(__xludf.DUMMYFUNCTION("""COMPUTED_VALUE"""),"No Relation")</f>
        <v>No Relation</v>
      </c>
      <c r="F726" s="5" t="str">
        <f ca="1">IFERROR(__xludf.DUMMYFUNCTION("""COMPUTED_VALUE"""),"Fled/Apprehended")</f>
        <v>Fled/Apprehended</v>
      </c>
      <c r="G726" s="5" t="str">
        <f ca="1">IFERROR(__xludf.DUMMYFUNCTION("""COMPUTED_VALUE"""),"No")</f>
        <v>No</v>
      </c>
      <c r="H726" s="5" t="str">
        <f ca="1">IFERROR(__xludf.DUMMYFUNCTION("""COMPUTED_VALUE"""),"None")</f>
        <v>None</v>
      </c>
    </row>
    <row r="727" spans="1:8" ht="13">
      <c r="A727" s="5" t="str">
        <f ca="1">IFERROR(__xludf.DUMMYFUNCTION("""COMPUTED_VALUE"""),"20210222CAHOV")</f>
        <v>20210222CAHOV</v>
      </c>
      <c r="B727" s="5"/>
      <c r="C727" s="5"/>
      <c r="D727" s="5"/>
      <c r="E727" s="5" t="str">
        <f ca="1">IFERROR(__xludf.DUMMYFUNCTION("""COMPUTED_VALUE"""),"No Relation")</f>
        <v>No Relation</v>
      </c>
      <c r="F727" s="5" t="str">
        <f ca="1">IFERROR(__xludf.DUMMYFUNCTION("""COMPUTED_VALUE"""),"Fled/Escaped")</f>
        <v>Fled/Escaped</v>
      </c>
      <c r="G727" s="5" t="str">
        <f ca="1">IFERROR(__xludf.DUMMYFUNCTION("""COMPUTED_VALUE"""),"No")</f>
        <v>No</v>
      </c>
      <c r="H727" s="5" t="str">
        <f ca="1">IFERROR(__xludf.DUMMYFUNCTION("""COMPUTED_VALUE"""),"None")</f>
        <v>None</v>
      </c>
    </row>
    <row r="728" spans="1:8" ht="13">
      <c r="A728" s="5" t="str">
        <f ca="1">IFERROR(__xludf.DUMMYFUNCTION("""COMPUTED_VALUE"""),"20210219ILLIR")</f>
        <v>20210219ILLIR</v>
      </c>
      <c r="B728" s="5"/>
      <c r="C728" s="5"/>
      <c r="D728" s="5"/>
      <c r="E728" s="5" t="str">
        <f ca="1">IFERROR(__xludf.DUMMYFUNCTION("""COMPUTED_VALUE"""),"No Relation")</f>
        <v>No Relation</v>
      </c>
      <c r="F728" s="5" t="str">
        <f ca="1">IFERROR(__xludf.DUMMYFUNCTION("""COMPUTED_VALUE"""),"Fled/Escaped")</f>
        <v>Fled/Escaped</v>
      </c>
      <c r="G728" s="5" t="str">
        <f ca="1">IFERROR(__xludf.DUMMYFUNCTION("""COMPUTED_VALUE"""),"No")</f>
        <v>No</v>
      </c>
      <c r="H728" s="5" t="str">
        <f ca="1">IFERROR(__xludf.DUMMYFUNCTION("""COMPUTED_VALUE"""),"None")</f>
        <v>None</v>
      </c>
    </row>
    <row r="729" spans="1:8" ht="13">
      <c r="A729" s="5" t="str">
        <f ca="1">IFERROR(__xludf.DUMMYFUNCTION("""COMPUTED_VALUE"""),"20210217TNKNK")</f>
        <v>20210217TNKNK</v>
      </c>
      <c r="B729" s="5">
        <f ca="1">IFERROR(__xludf.DUMMYFUNCTION("""COMPUTED_VALUE"""),30)</f>
        <v>30</v>
      </c>
      <c r="C729" s="5" t="str">
        <f ca="1">IFERROR(__xludf.DUMMYFUNCTION("""COMPUTED_VALUE"""),"Male")</f>
        <v>Male</v>
      </c>
      <c r="D729" s="5" t="str">
        <f ca="1">IFERROR(__xludf.DUMMYFUNCTION("""COMPUTED_VALUE"""),"Black")</f>
        <v>Black</v>
      </c>
      <c r="E729" s="5" t="str">
        <f ca="1">IFERROR(__xludf.DUMMYFUNCTION("""COMPUTED_VALUE"""),"No Relation")</f>
        <v>No Relation</v>
      </c>
      <c r="F729" s="5" t="str">
        <f ca="1">IFERROR(__xludf.DUMMYFUNCTION("""COMPUTED_VALUE"""),"Fled/Apprehended")</f>
        <v>Fled/Apprehended</v>
      </c>
      <c r="G729" s="5" t="str">
        <f ca="1">IFERROR(__xludf.DUMMYFUNCTION("""COMPUTED_VALUE"""),"No")</f>
        <v>No</v>
      </c>
      <c r="H729" s="5" t="str">
        <f ca="1">IFERROR(__xludf.DUMMYFUNCTION("""COMPUTED_VALUE"""),"None")</f>
        <v>None</v>
      </c>
    </row>
    <row r="730" spans="1:8" ht="13">
      <c r="A730" s="5" t="str">
        <f ca="1">IFERROR(__xludf.DUMMYFUNCTION("""COMPUTED_VALUE"""),"20210216NCTHS")</f>
        <v>20210216NCTHS</v>
      </c>
      <c r="B730" s="5" t="str">
        <f ca="1">IFERROR(__xludf.DUMMYFUNCTION("""COMPUTED_VALUE"""),"Child")</f>
        <v>Child</v>
      </c>
      <c r="C730" s="5" t="str">
        <f ca="1">IFERROR(__xludf.DUMMYFUNCTION("""COMPUTED_VALUE"""),"Male")</f>
        <v>Male</v>
      </c>
      <c r="D730" s="5"/>
      <c r="E730" s="5" t="str">
        <f ca="1">IFERROR(__xludf.DUMMYFUNCTION("""COMPUTED_VALUE"""),"Student")</f>
        <v>Student</v>
      </c>
      <c r="F730" s="5" t="str">
        <f ca="1">IFERROR(__xludf.DUMMYFUNCTION("""COMPUTED_VALUE"""),"Apprehended/Killed by SRO")</f>
        <v>Apprehended/Killed by SRO</v>
      </c>
      <c r="G730" s="5" t="str">
        <f ca="1">IFERROR(__xludf.DUMMYFUNCTION("""COMPUTED_VALUE"""),"No")</f>
        <v>No</v>
      </c>
      <c r="H730" s="5" t="str">
        <f ca="1">IFERROR(__xludf.DUMMYFUNCTION("""COMPUTED_VALUE"""),"None")</f>
        <v>None</v>
      </c>
    </row>
    <row r="731" spans="1:8" ht="13">
      <c r="A731" s="5" t="str">
        <f ca="1">IFERROR(__xludf.DUMMYFUNCTION("""COMPUTED_VALUE"""),"20210216NCTHS")</f>
        <v>20210216NCTHS</v>
      </c>
      <c r="B731" s="5" t="str">
        <f ca="1">IFERROR(__xludf.DUMMYFUNCTION("""COMPUTED_VALUE"""),"Child")</f>
        <v>Child</v>
      </c>
      <c r="C731" s="5" t="str">
        <f ca="1">IFERROR(__xludf.DUMMYFUNCTION("""COMPUTED_VALUE"""),"Male")</f>
        <v>Male</v>
      </c>
      <c r="D731" s="5"/>
      <c r="E731" s="5" t="str">
        <f ca="1">IFERROR(__xludf.DUMMYFUNCTION("""COMPUTED_VALUE"""),"Student")</f>
        <v>Student</v>
      </c>
      <c r="F731" s="5" t="str">
        <f ca="1">IFERROR(__xludf.DUMMYFUNCTION("""COMPUTED_VALUE"""),"Apprehended/Killed by SRO")</f>
        <v>Apprehended/Killed by SRO</v>
      </c>
      <c r="G731" s="5" t="str">
        <f ca="1">IFERROR(__xludf.DUMMYFUNCTION("""COMPUTED_VALUE"""),"No")</f>
        <v>No</v>
      </c>
      <c r="H731" s="5" t="str">
        <f ca="1">IFERROR(__xludf.DUMMYFUNCTION("""COMPUTED_VALUE"""),"None")</f>
        <v>None</v>
      </c>
    </row>
    <row r="732" spans="1:8" ht="13">
      <c r="A732" s="5" t="str">
        <f ca="1">IFERROR(__xludf.DUMMYFUNCTION("""COMPUTED_VALUE"""),"20210214MNROM")</f>
        <v>20210214MNROM</v>
      </c>
      <c r="B732" s="5"/>
      <c r="C732" s="5"/>
      <c r="D732" s="5"/>
      <c r="E732" s="5" t="str">
        <f ca="1">IFERROR(__xludf.DUMMYFUNCTION("""COMPUTED_VALUE"""),"No Relation")</f>
        <v>No Relation</v>
      </c>
      <c r="F732" s="5" t="str">
        <f ca="1">IFERROR(__xludf.DUMMYFUNCTION("""COMPUTED_VALUE"""),"Fled/Escaped")</f>
        <v>Fled/Escaped</v>
      </c>
      <c r="G732" s="5" t="str">
        <f ca="1">IFERROR(__xludf.DUMMYFUNCTION("""COMPUTED_VALUE"""),"No")</f>
        <v>No</v>
      </c>
      <c r="H732" s="5" t="str">
        <f ca="1">IFERROR(__xludf.DUMMYFUNCTION("""COMPUTED_VALUE"""),"None")</f>
        <v>None</v>
      </c>
    </row>
    <row r="733" spans="1:8" ht="13">
      <c r="A733" s="5" t="str">
        <f ca="1">IFERROR(__xludf.DUMMYFUNCTION("""COMPUTED_VALUE"""),"20210210TXFOF")</f>
        <v>20210210TXFOF</v>
      </c>
      <c r="B733" s="5">
        <f ca="1">IFERROR(__xludf.DUMMYFUNCTION("""COMPUTED_VALUE"""),17)</f>
        <v>17</v>
      </c>
      <c r="C733" s="5" t="str">
        <f ca="1">IFERROR(__xludf.DUMMYFUNCTION("""COMPUTED_VALUE"""),"Male")</f>
        <v>Male</v>
      </c>
      <c r="D733" s="5"/>
      <c r="E733" s="5" t="str">
        <f ca="1">IFERROR(__xludf.DUMMYFUNCTION("""COMPUTED_VALUE"""),"No Relation")</f>
        <v>No Relation</v>
      </c>
      <c r="F733" s="5" t="str">
        <f ca="1">IFERROR(__xludf.DUMMYFUNCTION("""COMPUTED_VALUE"""),"Fled/Apprehended")</f>
        <v>Fled/Apprehended</v>
      </c>
      <c r="G733" s="5" t="str">
        <f ca="1">IFERROR(__xludf.DUMMYFUNCTION("""COMPUTED_VALUE"""),"No")</f>
        <v>No</v>
      </c>
      <c r="H733" s="5" t="str">
        <f ca="1">IFERROR(__xludf.DUMMYFUNCTION("""COMPUTED_VALUE"""),"None")</f>
        <v>None</v>
      </c>
    </row>
    <row r="734" spans="1:8" ht="13">
      <c r="A734" s="5" t="str">
        <f ca="1">IFERROR(__xludf.DUMMYFUNCTION("""COMPUTED_VALUE"""),"20210210TXFOF")</f>
        <v>20210210TXFOF</v>
      </c>
      <c r="B734" s="5">
        <f ca="1">IFERROR(__xludf.DUMMYFUNCTION("""COMPUTED_VALUE"""),18)</f>
        <v>18</v>
      </c>
      <c r="C734" s="5" t="str">
        <f ca="1">IFERROR(__xludf.DUMMYFUNCTION("""COMPUTED_VALUE"""),"Male")</f>
        <v>Male</v>
      </c>
      <c r="D734" s="5" t="str">
        <f ca="1">IFERROR(__xludf.DUMMYFUNCTION("""COMPUTED_VALUE"""),"Hispanic")</f>
        <v>Hispanic</v>
      </c>
      <c r="E734" s="5" t="str">
        <f ca="1">IFERROR(__xludf.DUMMYFUNCTION("""COMPUTED_VALUE"""),"No Relation")</f>
        <v>No Relation</v>
      </c>
      <c r="F734" s="5" t="str">
        <f ca="1">IFERROR(__xludf.DUMMYFUNCTION("""COMPUTED_VALUE"""),"Fled/Apprehended")</f>
        <v>Fled/Apprehended</v>
      </c>
      <c r="G734" s="5" t="str">
        <f ca="1">IFERROR(__xludf.DUMMYFUNCTION("""COMPUTED_VALUE"""),"No")</f>
        <v>No</v>
      </c>
      <c r="H734" s="5" t="str">
        <f ca="1">IFERROR(__xludf.DUMMYFUNCTION("""COMPUTED_VALUE"""),"None")</f>
        <v>None</v>
      </c>
    </row>
    <row r="735" spans="1:8" ht="13">
      <c r="A735" s="5" t="str">
        <f ca="1">IFERROR(__xludf.DUMMYFUNCTION("""COMPUTED_VALUE"""),"20210210NJSCP")</f>
        <v>20210210NJSCP</v>
      </c>
      <c r="B735" s="5"/>
      <c r="C735" s="5"/>
      <c r="D735" s="5"/>
      <c r="E735" s="5" t="str">
        <f ca="1">IFERROR(__xludf.DUMMYFUNCTION("""COMPUTED_VALUE"""),"No Relation")</f>
        <v>No Relation</v>
      </c>
      <c r="F735" s="5" t="str">
        <f ca="1">IFERROR(__xludf.DUMMYFUNCTION("""COMPUTED_VALUE"""),"Fled/Escaped")</f>
        <v>Fled/Escaped</v>
      </c>
      <c r="G735" s="5" t="str">
        <f ca="1">IFERROR(__xludf.DUMMYFUNCTION("""COMPUTED_VALUE"""),"No")</f>
        <v>No</v>
      </c>
      <c r="H735" s="5" t="str">
        <f ca="1">IFERROR(__xludf.DUMMYFUNCTION("""COMPUTED_VALUE"""),"None")</f>
        <v>None</v>
      </c>
    </row>
    <row r="736" spans="1:8" ht="13">
      <c r="A736" s="5" t="str">
        <f ca="1">IFERROR(__xludf.DUMMYFUNCTION("""COMPUTED_VALUE"""),"20210210LASTS")</f>
        <v>20210210LASTS</v>
      </c>
      <c r="B736" s="5" t="str">
        <f ca="1">IFERROR(__xludf.DUMMYFUNCTION("""COMPUTED_VALUE"""),"Adult")</f>
        <v>Adult</v>
      </c>
      <c r="C736" s="5" t="str">
        <f ca="1">IFERROR(__xludf.DUMMYFUNCTION("""COMPUTED_VALUE"""),"Male")</f>
        <v>Male</v>
      </c>
      <c r="D736" s="5" t="str">
        <f ca="1">IFERROR(__xludf.DUMMYFUNCTION("""COMPUTED_VALUE"""),"Black")</f>
        <v>Black</v>
      </c>
      <c r="E736" s="5" t="str">
        <f ca="1">IFERROR(__xludf.DUMMYFUNCTION("""COMPUTED_VALUE"""),"No Relation")</f>
        <v>No Relation</v>
      </c>
      <c r="F736" s="5" t="str">
        <f ca="1">IFERROR(__xludf.DUMMYFUNCTION("""COMPUTED_VALUE"""),"Fled/Escaped")</f>
        <v>Fled/Escaped</v>
      </c>
      <c r="G736" s="5" t="str">
        <f ca="1">IFERROR(__xludf.DUMMYFUNCTION("""COMPUTED_VALUE"""),"No")</f>
        <v>No</v>
      </c>
      <c r="H736" s="5" t="str">
        <f ca="1">IFERROR(__xludf.DUMMYFUNCTION("""COMPUTED_VALUE"""),"None")</f>
        <v>None</v>
      </c>
    </row>
    <row r="737" spans="1:8" ht="13">
      <c r="A737" s="5" t="str">
        <f ca="1">IFERROR(__xludf.DUMMYFUNCTION("""COMPUTED_VALUE"""),"20210208MISCG")</f>
        <v>20210208MISCG</v>
      </c>
      <c r="B737" s="5"/>
      <c r="C737" s="5" t="str">
        <f ca="1">IFERROR(__xludf.DUMMYFUNCTION("""COMPUTED_VALUE"""),"Male")</f>
        <v>Male</v>
      </c>
      <c r="D737" s="5"/>
      <c r="E737" s="5" t="str">
        <f ca="1">IFERROR(__xludf.DUMMYFUNCTION("""COMPUTED_VALUE"""),"No Relation")</f>
        <v>No Relation</v>
      </c>
      <c r="F737" s="5" t="str">
        <f ca="1">IFERROR(__xludf.DUMMYFUNCTION("""COMPUTED_VALUE"""),"Fled/Escaped")</f>
        <v>Fled/Escaped</v>
      </c>
      <c r="G737" s="5" t="str">
        <f ca="1">IFERROR(__xludf.DUMMYFUNCTION("""COMPUTED_VALUE"""),"No")</f>
        <v>No</v>
      </c>
      <c r="H737" s="5" t="str">
        <f ca="1">IFERROR(__xludf.DUMMYFUNCTION("""COMPUTED_VALUE"""),"None")</f>
        <v>None</v>
      </c>
    </row>
    <row r="738" spans="1:8" ht="13">
      <c r="A738" s="5" t="str">
        <f ca="1">IFERROR(__xludf.DUMMYFUNCTION("""COMPUTED_VALUE"""),"20210205MDBEM")</f>
        <v>20210205MDBEM</v>
      </c>
      <c r="B738" s="5"/>
      <c r="C738" s="5"/>
      <c r="D738" s="5"/>
      <c r="E738" s="5" t="str">
        <f ca="1">IFERROR(__xludf.DUMMYFUNCTION("""COMPUTED_VALUE"""),"No Relation")</f>
        <v>No Relation</v>
      </c>
      <c r="F738" s="5" t="str">
        <f ca="1">IFERROR(__xludf.DUMMYFUNCTION("""COMPUTED_VALUE"""),"Fled/Escaped")</f>
        <v>Fled/Escaped</v>
      </c>
      <c r="G738" s="5" t="str">
        <f ca="1">IFERROR(__xludf.DUMMYFUNCTION("""COMPUTED_VALUE"""),"No")</f>
        <v>No</v>
      </c>
      <c r="H738" s="5" t="str">
        <f ca="1">IFERROR(__xludf.DUMMYFUNCTION("""COMPUTED_VALUE"""),"None")</f>
        <v>None</v>
      </c>
    </row>
    <row r="739" spans="1:8" ht="13">
      <c r="A739" s="5" t="str">
        <f ca="1">IFERROR(__xludf.DUMMYFUNCTION("""COMPUTED_VALUE"""),"20210201MIMUD")</f>
        <v>20210201MIMUD</v>
      </c>
      <c r="B739" s="5" t="str">
        <f ca="1">IFERROR(__xludf.DUMMYFUNCTION("""COMPUTED_VALUE"""),"Teen")</f>
        <v>Teen</v>
      </c>
      <c r="C739" s="5" t="str">
        <f ca="1">IFERROR(__xludf.DUMMYFUNCTION("""COMPUTED_VALUE"""),"Male")</f>
        <v>Male</v>
      </c>
      <c r="D739" s="5" t="str">
        <f ca="1">IFERROR(__xludf.DUMMYFUNCTION("""COMPUTED_VALUE"""),"Black")</f>
        <v>Black</v>
      </c>
      <c r="E739" s="5" t="str">
        <f ca="1">IFERROR(__xludf.DUMMYFUNCTION("""COMPUTED_VALUE"""),"Nonstudent Using Athletic Facilities/Attending Game")</f>
        <v>Nonstudent Using Athletic Facilities/Attending Game</v>
      </c>
      <c r="F739" s="5" t="str">
        <f ca="1">IFERROR(__xludf.DUMMYFUNCTION("""COMPUTED_VALUE"""),"Fled/Escaped")</f>
        <v>Fled/Escaped</v>
      </c>
      <c r="G739" s="5" t="str">
        <f ca="1">IFERROR(__xludf.DUMMYFUNCTION("""COMPUTED_VALUE"""),"No")</f>
        <v>No</v>
      </c>
      <c r="H739" s="5" t="str">
        <f ca="1">IFERROR(__xludf.DUMMYFUNCTION("""COMPUTED_VALUE"""),"None")</f>
        <v>None</v>
      </c>
    </row>
    <row r="740" spans="1:8" ht="13">
      <c r="A740" s="5" t="str">
        <f ca="1">IFERROR(__xludf.DUMMYFUNCTION("""COMPUTED_VALUE"""),"20210127MSHAH")</f>
        <v>20210127MSHAH</v>
      </c>
      <c r="B740" s="5">
        <f ca="1">IFERROR(__xludf.DUMMYFUNCTION("""COMPUTED_VALUE"""),14)</f>
        <v>14</v>
      </c>
      <c r="C740" s="5" t="str">
        <f ca="1">IFERROR(__xludf.DUMMYFUNCTION("""COMPUTED_VALUE"""),"Male")</f>
        <v>Male</v>
      </c>
      <c r="D740" s="5" t="str">
        <f ca="1">IFERROR(__xludf.DUMMYFUNCTION("""COMPUTED_VALUE"""),"Black")</f>
        <v>Black</v>
      </c>
      <c r="E740" s="5"/>
      <c r="F740" s="5" t="str">
        <f ca="1">IFERROR(__xludf.DUMMYFUNCTION("""COMPUTED_VALUE"""),"Apprehended/Killed by LE")</f>
        <v>Apprehended/Killed by LE</v>
      </c>
      <c r="G740" s="5" t="str">
        <f ca="1">IFERROR(__xludf.DUMMYFUNCTION("""COMPUTED_VALUE"""),"No")</f>
        <v>No</v>
      </c>
      <c r="H740" s="5" t="str">
        <f ca="1">IFERROR(__xludf.DUMMYFUNCTION("""COMPUTED_VALUE"""),"Wounded")</f>
        <v>Wounded</v>
      </c>
    </row>
    <row r="741" spans="1:8" ht="13">
      <c r="A741" s="5" t="str">
        <f ca="1">IFERROR(__xludf.DUMMYFUNCTION("""COMPUTED_VALUE"""),"20210127FLHOH")</f>
        <v>20210127FLHOH</v>
      </c>
      <c r="B741" s="5" t="str">
        <f ca="1">IFERROR(__xludf.DUMMYFUNCTION("""COMPUTED_VALUE"""),"Teen")</f>
        <v>Teen</v>
      </c>
      <c r="C741" s="5"/>
      <c r="D741" s="5"/>
      <c r="E741" s="5" t="str">
        <f ca="1">IFERROR(__xludf.DUMMYFUNCTION("""COMPUTED_VALUE"""),"Student")</f>
        <v>Student</v>
      </c>
      <c r="F741" s="5" t="str">
        <f ca="1">IFERROR(__xludf.DUMMYFUNCTION("""COMPUTED_VALUE"""),"Apprehended/Killed by Other")</f>
        <v>Apprehended/Killed by Other</v>
      </c>
      <c r="G741" s="5" t="str">
        <f ca="1">IFERROR(__xludf.DUMMYFUNCTION("""COMPUTED_VALUE"""),"No")</f>
        <v>No</v>
      </c>
      <c r="H741" s="5" t="str">
        <f ca="1">IFERROR(__xludf.DUMMYFUNCTION("""COMPUTED_VALUE"""),"None")</f>
        <v>None</v>
      </c>
    </row>
    <row r="742" spans="1:8" ht="13">
      <c r="A742" s="5" t="str">
        <f ca="1">IFERROR(__xludf.DUMMYFUNCTION("""COMPUTED_VALUE"""),"20210127FLHOH")</f>
        <v>20210127FLHOH</v>
      </c>
      <c r="B742" s="5" t="str">
        <f ca="1">IFERROR(__xludf.DUMMYFUNCTION("""COMPUTED_VALUE"""),"Teen")</f>
        <v>Teen</v>
      </c>
      <c r="C742" s="5"/>
      <c r="D742" s="5"/>
      <c r="E742" s="5" t="str">
        <f ca="1">IFERROR(__xludf.DUMMYFUNCTION("""COMPUTED_VALUE"""),"Student")</f>
        <v>Student</v>
      </c>
      <c r="F742" s="5" t="str">
        <f ca="1">IFERROR(__xludf.DUMMYFUNCTION("""COMPUTED_VALUE"""),"Apprehended/Killed by Other")</f>
        <v>Apprehended/Killed by Other</v>
      </c>
      <c r="G742" s="5" t="str">
        <f ca="1">IFERROR(__xludf.DUMMYFUNCTION("""COMPUTED_VALUE"""),"No")</f>
        <v>No</v>
      </c>
      <c r="H742" s="5" t="str">
        <f ca="1">IFERROR(__xludf.DUMMYFUNCTION("""COMPUTED_VALUE"""),"None")</f>
        <v>None</v>
      </c>
    </row>
    <row r="743" spans="1:8" ht="13">
      <c r="A743" s="5" t="str">
        <f ca="1">IFERROR(__xludf.DUMMYFUNCTION("""COMPUTED_VALUE"""),"20210121OKLOG")</f>
        <v>20210121OKLOG</v>
      </c>
      <c r="B743" s="5" t="str">
        <f ca="1">IFERROR(__xludf.DUMMYFUNCTION("""COMPUTED_VALUE"""),"Adult")</f>
        <v>Adult</v>
      </c>
      <c r="C743" s="5" t="str">
        <f ca="1">IFERROR(__xludf.DUMMYFUNCTION("""COMPUTED_VALUE"""),"Male")</f>
        <v>Male</v>
      </c>
      <c r="D743" s="5"/>
      <c r="E743" s="5" t="str">
        <f ca="1">IFERROR(__xludf.DUMMYFUNCTION("""COMPUTED_VALUE"""),"Parent")</f>
        <v>Parent</v>
      </c>
      <c r="F743" s="5" t="str">
        <f ca="1">IFERROR(__xludf.DUMMYFUNCTION("""COMPUTED_VALUE"""),"Fled/Apprehended")</f>
        <v>Fled/Apprehended</v>
      </c>
      <c r="G743" s="5" t="str">
        <f ca="1">IFERROR(__xludf.DUMMYFUNCTION("""COMPUTED_VALUE"""),"No")</f>
        <v>No</v>
      </c>
      <c r="H743" s="5" t="str">
        <f ca="1">IFERROR(__xludf.DUMMYFUNCTION("""COMPUTED_VALUE"""),"Wounded")</f>
        <v>Wounded</v>
      </c>
    </row>
    <row r="744" spans="1:8" ht="13">
      <c r="A744" s="5" t="str">
        <f ca="1">IFERROR(__xludf.DUMMYFUNCTION("""COMPUTED_VALUE"""),"20210121OHEAC")</f>
        <v>20210121OHEAC</v>
      </c>
      <c r="B744" s="5" t="str">
        <f ca="1">IFERROR(__xludf.DUMMYFUNCTION("""COMPUTED_VALUE"""),"Adult")</f>
        <v>Adult</v>
      </c>
      <c r="C744" s="5" t="str">
        <f ca="1">IFERROR(__xludf.DUMMYFUNCTION("""COMPUTED_VALUE"""),"Male")</f>
        <v>Male</v>
      </c>
      <c r="D744" s="5"/>
      <c r="E744" s="5" t="str">
        <f ca="1">IFERROR(__xludf.DUMMYFUNCTION("""COMPUTED_VALUE"""),"No Relation")</f>
        <v>No Relation</v>
      </c>
      <c r="F744" s="5" t="str">
        <f ca="1">IFERROR(__xludf.DUMMYFUNCTION("""COMPUTED_VALUE"""),"Fled/Escaped")</f>
        <v>Fled/Escaped</v>
      </c>
      <c r="G744" s="5" t="str">
        <f ca="1">IFERROR(__xludf.DUMMYFUNCTION("""COMPUTED_VALUE"""),"No")</f>
        <v>No</v>
      </c>
      <c r="H744" s="5" t="str">
        <f ca="1">IFERROR(__xludf.DUMMYFUNCTION("""COMPUTED_VALUE"""),"None")</f>
        <v>None</v>
      </c>
    </row>
    <row r="745" spans="1:8" ht="13">
      <c r="A745" s="5" t="str">
        <f ca="1">IFERROR(__xludf.DUMMYFUNCTION("""COMPUTED_VALUE"""),"20210114MDHIW")</f>
        <v>20210114MDHIW</v>
      </c>
      <c r="B745" s="5"/>
      <c r="C745" s="5"/>
      <c r="D745" s="5"/>
      <c r="E745" s="5" t="str">
        <f ca="1">IFERROR(__xludf.DUMMYFUNCTION("""COMPUTED_VALUE"""),"No Relation")</f>
        <v>No Relation</v>
      </c>
      <c r="F745" s="5" t="str">
        <f ca="1">IFERROR(__xludf.DUMMYFUNCTION("""COMPUTED_VALUE"""),"Fled/Escaped")</f>
        <v>Fled/Escaped</v>
      </c>
      <c r="G745" s="5" t="str">
        <f ca="1">IFERROR(__xludf.DUMMYFUNCTION("""COMPUTED_VALUE"""),"No")</f>
        <v>No</v>
      </c>
      <c r="H745" s="5" t="str">
        <f ca="1">IFERROR(__xludf.DUMMYFUNCTION("""COMPUTED_VALUE"""),"None")</f>
        <v>None</v>
      </c>
    </row>
    <row r="746" spans="1:8" ht="13">
      <c r="A746" s="5" t="str">
        <f ca="1">IFERROR(__xludf.DUMMYFUNCTION("""COMPUTED_VALUE"""),"20210110ILSOS")</f>
        <v>20210110ILSOS</v>
      </c>
      <c r="B746" s="5"/>
      <c r="C746" s="5"/>
      <c r="D746" s="5"/>
      <c r="E746" s="5"/>
      <c r="F746" s="5" t="str">
        <f ca="1">IFERROR(__xludf.DUMMYFUNCTION("""COMPUTED_VALUE"""),"Fled/Escaped")</f>
        <v>Fled/Escaped</v>
      </c>
      <c r="G746" s="5" t="str">
        <f ca="1">IFERROR(__xludf.DUMMYFUNCTION("""COMPUTED_VALUE"""),"No")</f>
        <v>No</v>
      </c>
      <c r="H746" s="5" t="str">
        <f ca="1">IFERROR(__xludf.DUMMYFUNCTION("""COMPUTED_VALUE"""),"None")</f>
        <v>None</v>
      </c>
    </row>
    <row r="747" spans="1:8" ht="13">
      <c r="A747" s="5" t="str">
        <f ca="1">IFERROR(__xludf.DUMMYFUNCTION("""COMPUTED_VALUE"""),"20210104NYPEJ")</f>
        <v>20210104NYPEJ</v>
      </c>
      <c r="B747" s="5" t="str">
        <f ca="1">IFERROR(__xludf.DUMMYFUNCTION("""COMPUTED_VALUE"""),"Adult")</f>
        <v>Adult</v>
      </c>
      <c r="C747" s="5" t="str">
        <f ca="1">IFERROR(__xludf.DUMMYFUNCTION("""COMPUTED_VALUE"""),"Male")</f>
        <v>Male</v>
      </c>
      <c r="D747" s="5"/>
      <c r="E747" s="5" t="str">
        <f ca="1">IFERROR(__xludf.DUMMYFUNCTION("""COMPUTED_VALUE"""),"No Relation")</f>
        <v>No Relation</v>
      </c>
      <c r="F747" s="5" t="str">
        <f ca="1">IFERROR(__xludf.DUMMYFUNCTION("""COMPUTED_VALUE"""),"Fled/Apprehended")</f>
        <v>Fled/Apprehended</v>
      </c>
      <c r="G747" s="5" t="str">
        <f ca="1">IFERROR(__xludf.DUMMYFUNCTION("""COMPUTED_VALUE"""),"No")</f>
        <v>No</v>
      </c>
      <c r="H747" s="5" t="str">
        <f ca="1">IFERROR(__xludf.DUMMYFUNCTION("""COMPUTED_VALUE"""),"None")</f>
        <v>None</v>
      </c>
    </row>
    <row r="748" spans="1:8" ht="13">
      <c r="A748" s="5" t="str">
        <f ca="1">IFERROR(__xludf.DUMMYFUNCTION("""COMPUTED_VALUE"""),"20201229WAROS")</f>
        <v>20201229WAROS</v>
      </c>
      <c r="B748" s="5"/>
      <c r="C748" s="5"/>
      <c r="D748" s="5"/>
      <c r="E748" s="5"/>
      <c r="F748" s="5" t="str">
        <f ca="1">IFERROR(__xludf.DUMMYFUNCTION("""COMPUTED_VALUE"""),"Fled/Escaped")</f>
        <v>Fled/Escaped</v>
      </c>
      <c r="G748" s="5" t="str">
        <f ca="1">IFERROR(__xludf.DUMMYFUNCTION("""COMPUTED_VALUE"""),"No")</f>
        <v>No</v>
      </c>
      <c r="H748" s="5" t="str">
        <f ca="1">IFERROR(__xludf.DUMMYFUNCTION("""COMPUTED_VALUE"""),"None")</f>
        <v>None</v>
      </c>
    </row>
    <row r="749" spans="1:8" ht="13">
      <c r="A749" s="5" t="str">
        <f ca="1">IFERROR(__xludf.DUMMYFUNCTION("""COMPUTED_VALUE"""),"20201225FLYOP")</f>
        <v>20201225FLYOP</v>
      </c>
      <c r="B749" s="5"/>
      <c r="C749" s="5"/>
      <c r="D749" s="5"/>
      <c r="E749" s="5"/>
      <c r="F749" s="5" t="str">
        <f ca="1">IFERROR(__xludf.DUMMYFUNCTION("""COMPUTED_VALUE"""),"Fled/Escaped")</f>
        <v>Fled/Escaped</v>
      </c>
      <c r="G749" s="5" t="str">
        <f ca="1">IFERROR(__xludf.DUMMYFUNCTION("""COMPUTED_VALUE"""),"No")</f>
        <v>No</v>
      </c>
      <c r="H749" s="5" t="str">
        <f ca="1">IFERROR(__xludf.DUMMYFUNCTION("""COMPUTED_VALUE"""),"None")</f>
        <v>None</v>
      </c>
    </row>
    <row r="750" spans="1:8" ht="13">
      <c r="A750" s="5" t="str">
        <f ca="1">IFERROR(__xludf.DUMMYFUNCTION("""COMPUTED_VALUE"""),"20201216ILDUC")</f>
        <v>20201216ILDUC</v>
      </c>
      <c r="B750" s="5"/>
      <c r="C750" s="5"/>
      <c r="D750" s="5"/>
      <c r="E750" s="5" t="str">
        <f ca="1">IFERROR(__xludf.DUMMYFUNCTION("""COMPUTED_VALUE"""),"No Relation")</f>
        <v>No Relation</v>
      </c>
      <c r="F750" s="5" t="str">
        <f ca="1">IFERROR(__xludf.DUMMYFUNCTION("""COMPUTED_VALUE"""),"Fled/Escaped")</f>
        <v>Fled/Escaped</v>
      </c>
      <c r="G750" s="5" t="str">
        <f ca="1">IFERROR(__xludf.DUMMYFUNCTION("""COMPUTED_VALUE"""),"No")</f>
        <v>No</v>
      </c>
      <c r="H750" s="5" t="str">
        <f ca="1">IFERROR(__xludf.DUMMYFUNCTION("""COMPUTED_VALUE"""),"None")</f>
        <v>None</v>
      </c>
    </row>
    <row r="751" spans="1:8" ht="13">
      <c r="A751" s="5" t="str">
        <f ca="1">IFERROR(__xludf.DUMMYFUNCTION("""COMPUTED_VALUE"""),"20201211VATAY")</f>
        <v>20201211VATAY</v>
      </c>
      <c r="B751" s="5"/>
      <c r="C751" s="5"/>
      <c r="D751" s="5"/>
      <c r="E751" s="5" t="str">
        <f ca="1">IFERROR(__xludf.DUMMYFUNCTION("""COMPUTED_VALUE"""),"Nonstudent Using Athletic Facilities/Attending Game")</f>
        <v>Nonstudent Using Athletic Facilities/Attending Game</v>
      </c>
      <c r="F751" s="5" t="str">
        <f ca="1">IFERROR(__xludf.DUMMYFUNCTION("""COMPUTED_VALUE"""),"Fled/Escaped")</f>
        <v>Fled/Escaped</v>
      </c>
      <c r="G751" s="5" t="str">
        <f ca="1">IFERROR(__xludf.DUMMYFUNCTION("""COMPUTED_VALUE"""),"No")</f>
        <v>No</v>
      </c>
      <c r="H751" s="5" t="str">
        <f ca="1">IFERROR(__xludf.DUMMYFUNCTION("""COMPUTED_VALUE"""),"None")</f>
        <v>None</v>
      </c>
    </row>
    <row r="752" spans="1:8" ht="13">
      <c r="A752" s="5" t="str">
        <f ca="1">IFERROR(__xludf.DUMMYFUNCTION("""COMPUTED_VALUE"""),"20201207ILEAC")</f>
        <v>20201207ILEAC</v>
      </c>
      <c r="B752" s="5"/>
      <c r="C752" s="5"/>
      <c r="D752" s="5"/>
      <c r="E752" s="5" t="str">
        <f ca="1">IFERROR(__xludf.DUMMYFUNCTION("""COMPUTED_VALUE"""),"No Relation")</f>
        <v>No Relation</v>
      </c>
      <c r="F752" s="5" t="str">
        <f ca="1">IFERROR(__xludf.DUMMYFUNCTION("""COMPUTED_VALUE"""),"Fled/Escaped")</f>
        <v>Fled/Escaped</v>
      </c>
      <c r="G752" s="5" t="str">
        <f ca="1">IFERROR(__xludf.DUMMYFUNCTION("""COMPUTED_VALUE"""),"No")</f>
        <v>No</v>
      </c>
      <c r="H752" s="5" t="str">
        <f ca="1">IFERROR(__xludf.DUMMYFUNCTION("""COMPUTED_VALUE"""),"None")</f>
        <v>None</v>
      </c>
    </row>
    <row r="753" spans="1:8" ht="13">
      <c r="A753" s="5" t="str">
        <f ca="1">IFERROR(__xludf.DUMMYFUNCTION("""COMPUTED_VALUE"""),"20201125KSABG")</f>
        <v>20201125KSABG</v>
      </c>
      <c r="B753" s="5">
        <f ca="1">IFERROR(__xludf.DUMMYFUNCTION("""COMPUTED_VALUE"""),31)</f>
        <v>31</v>
      </c>
      <c r="C753" s="5" t="str">
        <f ca="1">IFERROR(__xludf.DUMMYFUNCTION("""COMPUTED_VALUE"""),"Male")</f>
        <v>Male</v>
      </c>
      <c r="D753" s="5"/>
      <c r="E753" s="5" t="str">
        <f ca="1">IFERROR(__xludf.DUMMYFUNCTION("""COMPUTED_VALUE"""),"No Relation")</f>
        <v>No Relation</v>
      </c>
      <c r="F753" s="5" t="str">
        <f ca="1">IFERROR(__xludf.DUMMYFUNCTION("""COMPUTED_VALUE"""),"Fled/Apprehended")</f>
        <v>Fled/Apprehended</v>
      </c>
      <c r="G753" s="5" t="str">
        <f ca="1">IFERROR(__xludf.DUMMYFUNCTION("""COMPUTED_VALUE"""),"No")</f>
        <v>No</v>
      </c>
      <c r="H753" s="5" t="str">
        <f ca="1">IFERROR(__xludf.DUMMYFUNCTION("""COMPUTED_VALUE"""),"None")</f>
        <v>None</v>
      </c>
    </row>
    <row r="754" spans="1:8" ht="13">
      <c r="A754" s="5" t="str">
        <f ca="1">IFERROR(__xludf.DUMMYFUNCTION("""COMPUTED_VALUE"""),"20201124NCHEH")</f>
        <v>20201124NCHEH</v>
      </c>
      <c r="B754" s="5">
        <f ca="1">IFERROR(__xludf.DUMMYFUNCTION("""COMPUTED_VALUE"""),13)</f>
        <v>13</v>
      </c>
      <c r="C754" s="5" t="str">
        <f ca="1">IFERROR(__xludf.DUMMYFUNCTION("""COMPUTED_VALUE"""),"Male")</f>
        <v>Male</v>
      </c>
      <c r="D754" s="5"/>
      <c r="E754" s="5" t="str">
        <f ca="1">IFERROR(__xludf.DUMMYFUNCTION("""COMPUTED_VALUE"""),"Student")</f>
        <v>Student</v>
      </c>
      <c r="F754" s="5" t="str">
        <f ca="1">IFERROR(__xludf.DUMMYFUNCTION("""COMPUTED_VALUE"""),"Surrendered")</f>
        <v>Surrendered</v>
      </c>
      <c r="G754" s="5" t="str">
        <f ca="1">IFERROR(__xludf.DUMMYFUNCTION("""COMPUTED_VALUE"""),"No")</f>
        <v>No</v>
      </c>
      <c r="H754" s="5" t="str">
        <f ca="1">IFERROR(__xludf.DUMMYFUNCTION("""COMPUTED_VALUE"""),"None")</f>
        <v>None</v>
      </c>
    </row>
    <row r="755" spans="1:8" ht="13">
      <c r="A755" s="5" t="str">
        <f ca="1">IFERROR(__xludf.DUMMYFUNCTION("""COMPUTED_VALUE"""),"20201117TXWEW")</f>
        <v>20201117TXWEW</v>
      </c>
      <c r="B755" s="5" t="str">
        <f ca="1">IFERROR(__xludf.DUMMYFUNCTION("""COMPUTED_VALUE"""),"Teen")</f>
        <v>Teen</v>
      </c>
      <c r="C755" s="5" t="str">
        <f ca="1">IFERROR(__xludf.DUMMYFUNCTION("""COMPUTED_VALUE"""),"Male")</f>
        <v>Male</v>
      </c>
      <c r="D755" s="5"/>
      <c r="E755" s="5" t="str">
        <f ca="1">IFERROR(__xludf.DUMMYFUNCTION("""COMPUTED_VALUE"""),"Nonstudent")</f>
        <v>Nonstudent</v>
      </c>
      <c r="F755" s="5" t="str">
        <f ca="1">IFERROR(__xludf.DUMMYFUNCTION("""COMPUTED_VALUE"""),"Attempted Suicide")</f>
        <v>Attempted Suicide</v>
      </c>
      <c r="G755" s="5" t="str">
        <f ca="1">IFERROR(__xludf.DUMMYFUNCTION("""COMPUTED_VALUE"""),"No")</f>
        <v>No</v>
      </c>
      <c r="H755" s="5" t="str">
        <f ca="1">IFERROR(__xludf.DUMMYFUNCTION("""COMPUTED_VALUE"""),"Wounded")</f>
        <v>Wounded</v>
      </c>
    </row>
    <row r="756" spans="1:8" ht="13">
      <c r="A756" s="5" t="str">
        <f ca="1">IFERROR(__xludf.DUMMYFUNCTION("""COMPUTED_VALUE"""),"20201117MTGRG")</f>
        <v>20201117MTGRG</v>
      </c>
      <c r="B756" s="5">
        <f ca="1">IFERROR(__xludf.DUMMYFUNCTION("""COMPUTED_VALUE"""),19)</f>
        <v>19</v>
      </c>
      <c r="C756" s="5" t="str">
        <f ca="1">IFERROR(__xludf.DUMMYFUNCTION("""COMPUTED_VALUE"""),"Male")</f>
        <v>Male</v>
      </c>
      <c r="D756" s="5" t="str">
        <f ca="1">IFERROR(__xludf.DUMMYFUNCTION("""COMPUTED_VALUE"""),"White")</f>
        <v>White</v>
      </c>
      <c r="E756" s="5" t="str">
        <f ca="1">IFERROR(__xludf.DUMMYFUNCTION("""COMPUTED_VALUE"""),"No Relation")</f>
        <v>No Relation</v>
      </c>
      <c r="F756" s="5" t="str">
        <f ca="1">IFERROR(__xludf.DUMMYFUNCTION("""COMPUTED_VALUE"""),"Apprehended/Killed by LE")</f>
        <v>Apprehended/Killed by LE</v>
      </c>
      <c r="G756" s="5" t="str">
        <f ca="1">IFERROR(__xludf.DUMMYFUNCTION("""COMPUTED_VALUE"""),"No")</f>
        <v>No</v>
      </c>
      <c r="H756" s="5" t="str">
        <f ca="1">IFERROR(__xludf.DUMMYFUNCTION("""COMPUTED_VALUE"""),"None")</f>
        <v>None</v>
      </c>
    </row>
    <row r="757" spans="1:8" ht="13">
      <c r="A757" s="5" t="str">
        <f ca="1">IFERROR(__xludf.DUMMYFUNCTION("""COMPUTED_VALUE"""),"20201116TNWIM")</f>
        <v>20201116TNWIM</v>
      </c>
      <c r="B757" s="5">
        <f ca="1">IFERROR(__xludf.DUMMYFUNCTION("""COMPUTED_VALUE"""),25)</f>
        <v>25</v>
      </c>
      <c r="C757" s="5" t="str">
        <f ca="1">IFERROR(__xludf.DUMMYFUNCTION("""COMPUTED_VALUE"""),"Male")</f>
        <v>Male</v>
      </c>
      <c r="D757" s="5" t="str">
        <f ca="1">IFERROR(__xludf.DUMMYFUNCTION("""COMPUTED_VALUE"""),"Black")</f>
        <v>Black</v>
      </c>
      <c r="E757" s="5" t="str">
        <f ca="1">IFERROR(__xludf.DUMMYFUNCTION("""COMPUTED_VALUE"""),"No Relation")</f>
        <v>No Relation</v>
      </c>
      <c r="F757" s="5" t="str">
        <f ca="1">IFERROR(__xludf.DUMMYFUNCTION("""COMPUTED_VALUE"""),"Fled/Apprehended")</f>
        <v>Fled/Apprehended</v>
      </c>
      <c r="G757" s="5" t="str">
        <f ca="1">IFERROR(__xludf.DUMMYFUNCTION("""COMPUTED_VALUE"""),"No")</f>
        <v>No</v>
      </c>
      <c r="H757" s="5" t="str">
        <f ca="1">IFERROR(__xludf.DUMMYFUNCTION("""COMPUTED_VALUE"""),"None")</f>
        <v>None</v>
      </c>
    </row>
    <row r="758" spans="1:8" ht="13">
      <c r="A758" s="5" t="str">
        <f ca="1">IFERROR(__xludf.DUMMYFUNCTION("""COMPUTED_VALUE"""),"20201113NCLIL")</f>
        <v>20201113NCLIL</v>
      </c>
      <c r="B758" s="5"/>
      <c r="C758" s="5"/>
      <c r="D758" s="5"/>
      <c r="E758" s="5" t="str">
        <f ca="1">IFERROR(__xludf.DUMMYFUNCTION("""COMPUTED_VALUE"""),"No Relation")</f>
        <v>No Relation</v>
      </c>
      <c r="F758" s="5" t="str">
        <f ca="1">IFERROR(__xludf.DUMMYFUNCTION("""COMPUTED_VALUE"""),"Fled/Escaped")</f>
        <v>Fled/Escaped</v>
      </c>
      <c r="G758" s="5" t="str">
        <f ca="1">IFERROR(__xludf.DUMMYFUNCTION("""COMPUTED_VALUE"""),"No")</f>
        <v>No</v>
      </c>
      <c r="H758" s="5" t="str">
        <f ca="1">IFERROR(__xludf.DUMMYFUNCTION("""COMPUTED_VALUE"""),"None")</f>
        <v>None</v>
      </c>
    </row>
    <row r="759" spans="1:8" ht="13">
      <c r="A759" s="5" t="str">
        <f ca="1">IFERROR(__xludf.DUMMYFUNCTION("""COMPUTED_VALUE"""),"20201112PANAH")</f>
        <v>20201112PANAH</v>
      </c>
      <c r="B759" s="5">
        <f ca="1">IFERROR(__xludf.DUMMYFUNCTION("""COMPUTED_VALUE"""),18)</f>
        <v>18</v>
      </c>
      <c r="C759" s="5" t="str">
        <f ca="1">IFERROR(__xludf.DUMMYFUNCTION("""COMPUTED_VALUE"""),"Male")</f>
        <v>Male</v>
      </c>
      <c r="D759" s="5"/>
      <c r="E759" s="5" t="str">
        <f ca="1">IFERROR(__xludf.DUMMYFUNCTION("""COMPUTED_VALUE"""),"No Relation")</f>
        <v>No Relation</v>
      </c>
      <c r="F759" s="5" t="str">
        <f ca="1">IFERROR(__xludf.DUMMYFUNCTION("""COMPUTED_VALUE"""),"Fled/Escaped")</f>
        <v>Fled/Escaped</v>
      </c>
      <c r="G759" s="5" t="str">
        <f ca="1">IFERROR(__xludf.DUMMYFUNCTION("""COMPUTED_VALUE"""),"No")</f>
        <v>No</v>
      </c>
      <c r="H759" s="5" t="str">
        <f ca="1">IFERROR(__xludf.DUMMYFUNCTION("""COMPUTED_VALUE"""),"None")</f>
        <v>None</v>
      </c>
    </row>
    <row r="760" spans="1:8" ht="13">
      <c r="A760" s="5" t="str">
        <f ca="1">IFERROR(__xludf.DUMMYFUNCTION("""COMPUTED_VALUE"""),"20201112CACEU")</f>
        <v>20201112CACEU</v>
      </c>
      <c r="B760" s="5" t="str">
        <f ca="1">IFERROR(__xludf.DUMMYFUNCTION("""COMPUTED_VALUE"""),"Adult")</f>
        <v>Adult</v>
      </c>
      <c r="C760" s="5"/>
      <c r="D760" s="5"/>
      <c r="E760" s="5" t="str">
        <f ca="1">IFERROR(__xludf.DUMMYFUNCTION("""COMPUTED_VALUE"""),"No Relation")</f>
        <v>No Relation</v>
      </c>
      <c r="F760" s="5" t="str">
        <f ca="1">IFERROR(__xludf.DUMMYFUNCTION("""COMPUTED_VALUE"""),"Fled/Escaped")</f>
        <v>Fled/Escaped</v>
      </c>
      <c r="G760" s="5" t="str">
        <f ca="1">IFERROR(__xludf.DUMMYFUNCTION("""COMPUTED_VALUE"""),"No")</f>
        <v>No</v>
      </c>
      <c r="H760" s="5" t="str">
        <f ca="1">IFERROR(__xludf.DUMMYFUNCTION("""COMPUTED_VALUE"""),"None")</f>
        <v>None</v>
      </c>
    </row>
    <row r="761" spans="1:8" ht="13">
      <c r="A761" s="5" t="str">
        <f ca="1">IFERROR(__xludf.DUMMYFUNCTION("""COMPUTED_VALUE"""),"20201109TXCOH")</f>
        <v>20201109TXCOH</v>
      </c>
      <c r="B761" s="5"/>
      <c r="C761" s="5"/>
      <c r="D761" s="5"/>
      <c r="E761" s="5" t="str">
        <f ca="1">IFERROR(__xludf.DUMMYFUNCTION("""COMPUTED_VALUE"""),"No Relation")</f>
        <v>No Relation</v>
      </c>
      <c r="F761" s="5" t="str">
        <f ca="1">IFERROR(__xludf.DUMMYFUNCTION("""COMPUTED_VALUE"""),"Fled/Escaped")</f>
        <v>Fled/Escaped</v>
      </c>
      <c r="G761" s="5" t="str">
        <f ca="1">IFERROR(__xludf.DUMMYFUNCTION("""COMPUTED_VALUE"""),"No")</f>
        <v>No</v>
      </c>
      <c r="H761" s="5" t="str">
        <f ca="1">IFERROR(__xludf.DUMMYFUNCTION("""COMPUTED_VALUE"""),"None")</f>
        <v>None</v>
      </c>
    </row>
    <row r="762" spans="1:8" ht="13">
      <c r="A762" s="5" t="str">
        <f ca="1">IFERROR(__xludf.DUMMYFUNCTION("""COMPUTED_VALUE"""),"20201109CABAL")</f>
        <v>20201109CABAL</v>
      </c>
      <c r="B762" s="5" t="str">
        <f ca="1">IFERROR(__xludf.DUMMYFUNCTION("""COMPUTED_VALUE"""),"Adult")</f>
        <v>Adult</v>
      </c>
      <c r="C762" s="5" t="str">
        <f ca="1">IFERROR(__xludf.DUMMYFUNCTION("""COMPUTED_VALUE"""),"Male")</f>
        <v>Male</v>
      </c>
      <c r="D762" s="5"/>
      <c r="E762" s="5" t="str">
        <f ca="1">IFERROR(__xludf.DUMMYFUNCTION("""COMPUTED_VALUE"""),"No Relation")</f>
        <v>No Relation</v>
      </c>
      <c r="F762" s="5" t="str">
        <f ca="1">IFERROR(__xludf.DUMMYFUNCTION("""COMPUTED_VALUE"""),"Suicide")</f>
        <v>Suicide</v>
      </c>
      <c r="G762" s="5" t="str">
        <f ca="1">IFERROR(__xludf.DUMMYFUNCTION("""COMPUTED_VALUE"""),"Yes")</f>
        <v>Yes</v>
      </c>
      <c r="H762" s="5" t="str">
        <f ca="1">IFERROR(__xludf.DUMMYFUNCTION("""COMPUTED_VALUE"""),"Fatal")</f>
        <v>Fatal</v>
      </c>
    </row>
    <row r="763" spans="1:8" ht="13">
      <c r="A763" s="5" t="str">
        <f ca="1">IFERROR(__xludf.DUMMYFUNCTION("""COMPUTED_VALUE"""),"20201108INTET")</f>
        <v>20201108INTET</v>
      </c>
      <c r="B763" s="5">
        <f ca="1">IFERROR(__xludf.DUMMYFUNCTION("""COMPUTED_VALUE"""),23)</f>
        <v>23</v>
      </c>
      <c r="C763" s="5" t="str">
        <f ca="1">IFERROR(__xludf.DUMMYFUNCTION("""COMPUTED_VALUE"""),"Male")</f>
        <v>Male</v>
      </c>
      <c r="D763" s="5" t="str">
        <f ca="1">IFERROR(__xludf.DUMMYFUNCTION("""COMPUTED_VALUE"""),"Black")</f>
        <v>Black</v>
      </c>
      <c r="E763" s="5" t="str">
        <f ca="1">IFERROR(__xludf.DUMMYFUNCTION("""COMPUTED_VALUE"""),"No Relation")</f>
        <v>No Relation</v>
      </c>
      <c r="F763" s="5" t="str">
        <f ca="1">IFERROR(__xludf.DUMMYFUNCTION("""COMPUTED_VALUE"""),"Fled/Apprehended")</f>
        <v>Fled/Apprehended</v>
      </c>
      <c r="G763" s="5" t="str">
        <f ca="1">IFERROR(__xludf.DUMMYFUNCTION("""COMPUTED_VALUE"""),"No")</f>
        <v>No</v>
      </c>
      <c r="H763" s="5" t="str">
        <f ca="1">IFERROR(__xludf.DUMMYFUNCTION("""COMPUTED_VALUE"""),"None")</f>
        <v>None</v>
      </c>
    </row>
    <row r="764" spans="1:8" ht="13">
      <c r="A764" s="5" t="str">
        <f ca="1">IFERROR(__xludf.DUMMYFUNCTION("""COMPUTED_VALUE"""),"20201106AZKHT")</f>
        <v>20201106AZKHT</v>
      </c>
      <c r="B764" s="5">
        <f ca="1">IFERROR(__xludf.DUMMYFUNCTION("""COMPUTED_VALUE"""),74)</f>
        <v>74</v>
      </c>
      <c r="C764" s="5" t="str">
        <f ca="1">IFERROR(__xludf.DUMMYFUNCTION("""COMPUTED_VALUE"""),"Male")</f>
        <v>Male</v>
      </c>
      <c r="D764" s="5" t="str">
        <f ca="1">IFERROR(__xludf.DUMMYFUNCTION("""COMPUTED_VALUE"""),"White")</f>
        <v>White</v>
      </c>
      <c r="E764" s="5" t="str">
        <f ca="1">IFERROR(__xludf.DUMMYFUNCTION("""COMPUTED_VALUE"""),"No Relation")</f>
        <v>No Relation</v>
      </c>
      <c r="F764" s="5" t="str">
        <f ca="1">IFERROR(__xludf.DUMMYFUNCTION("""COMPUTED_VALUE"""),"Apprehended/Killed by LE")</f>
        <v>Apprehended/Killed by LE</v>
      </c>
      <c r="G764" s="5" t="str">
        <f ca="1">IFERROR(__xludf.DUMMYFUNCTION("""COMPUTED_VALUE"""),"No")</f>
        <v>No</v>
      </c>
      <c r="H764" s="5" t="str">
        <f ca="1">IFERROR(__xludf.DUMMYFUNCTION("""COMPUTED_VALUE"""),"None")</f>
        <v>None</v>
      </c>
    </row>
    <row r="765" spans="1:8" ht="13">
      <c r="A765" s="5" t="str">
        <f ca="1">IFERROR(__xludf.DUMMYFUNCTION("""COMPUTED_VALUE"""),"20201102COERE")</f>
        <v>20201102COERE</v>
      </c>
      <c r="B765" s="5"/>
      <c r="C765" s="5"/>
      <c r="D765" s="5"/>
      <c r="E765" s="5"/>
      <c r="F765" s="5" t="str">
        <f ca="1">IFERROR(__xludf.DUMMYFUNCTION("""COMPUTED_VALUE"""),"Fled/Escaped")</f>
        <v>Fled/Escaped</v>
      </c>
      <c r="G765" s="5" t="str">
        <f ca="1">IFERROR(__xludf.DUMMYFUNCTION("""COMPUTED_VALUE"""),"No")</f>
        <v>No</v>
      </c>
      <c r="H765" s="5" t="str">
        <f ca="1">IFERROR(__xludf.DUMMYFUNCTION("""COMPUTED_VALUE"""),"None")</f>
        <v>None</v>
      </c>
    </row>
    <row r="766" spans="1:8" ht="13">
      <c r="A766" s="5" t="str">
        <f ca="1">IFERROR(__xludf.DUMMYFUNCTION("""COMPUTED_VALUE"""),"20201029FLLAM")</f>
        <v>20201029FLLAM</v>
      </c>
      <c r="B766" s="5"/>
      <c r="C766" s="5"/>
      <c r="D766" s="5"/>
      <c r="E766" s="5" t="str">
        <f ca="1">IFERROR(__xludf.DUMMYFUNCTION("""COMPUTED_VALUE"""),"No Relation")</f>
        <v>No Relation</v>
      </c>
      <c r="F766" s="5" t="str">
        <f ca="1">IFERROR(__xludf.DUMMYFUNCTION("""COMPUTED_VALUE"""),"Fled/Escaped")</f>
        <v>Fled/Escaped</v>
      </c>
      <c r="G766" s="5" t="str">
        <f ca="1">IFERROR(__xludf.DUMMYFUNCTION("""COMPUTED_VALUE"""),"No")</f>
        <v>No</v>
      </c>
      <c r="H766" s="5" t="str">
        <f ca="1">IFERROR(__xludf.DUMMYFUNCTION("""COMPUTED_VALUE"""),"None")</f>
        <v>None</v>
      </c>
    </row>
    <row r="767" spans="1:8" ht="13">
      <c r="A767" s="5" t="str">
        <f ca="1">IFERROR(__xludf.DUMMYFUNCTION("""COMPUTED_VALUE"""),"20201028NYROR")</f>
        <v>20201028NYROR</v>
      </c>
      <c r="B767" s="5"/>
      <c r="C767" s="5"/>
      <c r="D767" s="5"/>
      <c r="E767" s="5" t="str">
        <f ca="1">IFERROR(__xludf.DUMMYFUNCTION("""COMPUTED_VALUE"""),"No Relation")</f>
        <v>No Relation</v>
      </c>
      <c r="F767" s="5" t="str">
        <f ca="1">IFERROR(__xludf.DUMMYFUNCTION("""COMPUTED_VALUE"""),"Fled/Escaped")</f>
        <v>Fled/Escaped</v>
      </c>
      <c r="G767" s="5" t="str">
        <f ca="1">IFERROR(__xludf.DUMMYFUNCTION("""COMPUTED_VALUE"""),"No")</f>
        <v>No</v>
      </c>
      <c r="H767" s="5" t="str">
        <f ca="1">IFERROR(__xludf.DUMMYFUNCTION("""COMPUTED_VALUE"""),"None")</f>
        <v>None</v>
      </c>
    </row>
    <row r="768" spans="1:8" ht="13">
      <c r="A768" s="5" t="str">
        <f ca="1">IFERROR(__xludf.DUMMYFUNCTION("""COMPUTED_VALUE"""),"20201026GARIR")</f>
        <v>20201026GARIR</v>
      </c>
      <c r="B768" s="5" t="str">
        <f ca="1">IFERROR(__xludf.DUMMYFUNCTION("""COMPUTED_VALUE"""),"Adult")</f>
        <v>Adult</v>
      </c>
      <c r="C768" s="5" t="str">
        <f ca="1">IFERROR(__xludf.DUMMYFUNCTION("""COMPUTED_VALUE"""),"Male")</f>
        <v>Male</v>
      </c>
      <c r="D768" s="5" t="str">
        <f ca="1">IFERROR(__xludf.DUMMYFUNCTION("""COMPUTED_VALUE"""),"Black")</f>
        <v>Black</v>
      </c>
      <c r="E768" s="5" t="str">
        <f ca="1">IFERROR(__xludf.DUMMYFUNCTION("""COMPUTED_VALUE"""),"No Relation")</f>
        <v>No Relation</v>
      </c>
      <c r="F768" s="5" t="str">
        <f ca="1">IFERROR(__xludf.DUMMYFUNCTION("""COMPUTED_VALUE"""),"Fled/Escaped")</f>
        <v>Fled/Escaped</v>
      </c>
      <c r="G768" s="5" t="str">
        <f ca="1">IFERROR(__xludf.DUMMYFUNCTION("""COMPUTED_VALUE"""),"No")</f>
        <v>No</v>
      </c>
      <c r="H768" s="5" t="str">
        <f ca="1">IFERROR(__xludf.DUMMYFUNCTION("""COMPUTED_VALUE"""),"None")</f>
        <v>None</v>
      </c>
    </row>
    <row r="769" spans="1:8" ht="13">
      <c r="A769" s="5" t="str">
        <f ca="1">IFERROR(__xludf.DUMMYFUNCTION("""COMPUTED_VALUE"""),"20201024CTSTS")</f>
        <v>20201024CTSTS</v>
      </c>
      <c r="B769" s="5"/>
      <c r="C769" s="5"/>
      <c r="D769" s="5"/>
      <c r="E769" s="5"/>
      <c r="F769" s="5" t="str">
        <f ca="1">IFERROR(__xludf.DUMMYFUNCTION("""COMPUTED_VALUE"""),"Fled/Escaped")</f>
        <v>Fled/Escaped</v>
      </c>
      <c r="G769" s="5" t="str">
        <f ca="1">IFERROR(__xludf.DUMMYFUNCTION("""COMPUTED_VALUE"""),"No")</f>
        <v>No</v>
      </c>
      <c r="H769" s="5" t="str">
        <f ca="1">IFERROR(__xludf.DUMMYFUNCTION("""COMPUTED_VALUE"""),"None")</f>
        <v>None</v>
      </c>
    </row>
    <row r="770" spans="1:8" ht="13">
      <c r="A770" s="5" t="str">
        <f ca="1">IFERROR(__xludf.DUMMYFUNCTION("""COMPUTED_VALUE"""),"20201020ARJAP")</f>
        <v>20201020ARJAP</v>
      </c>
      <c r="B770" s="5">
        <f ca="1">IFERROR(__xludf.DUMMYFUNCTION("""COMPUTED_VALUE"""),17)</f>
        <v>17</v>
      </c>
      <c r="C770" s="5" t="str">
        <f ca="1">IFERROR(__xludf.DUMMYFUNCTION("""COMPUTED_VALUE"""),"Male")</f>
        <v>Male</v>
      </c>
      <c r="D770" s="5"/>
      <c r="E770" s="5"/>
      <c r="F770" s="5" t="str">
        <f ca="1">IFERROR(__xludf.DUMMYFUNCTION("""COMPUTED_VALUE"""),"Fled/Apprehended")</f>
        <v>Fled/Apprehended</v>
      </c>
      <c r="G770" s="5" t="str">
        <f ca="1">IFERROR(__xludf.DUMMYFUNCTION("""COMPUTED_VALUE"""),"No")</f>
        <v>No</v>
      </c>
      <c r="H770" s="5" t="str">
        <f ca="1">IFERROR(__xludf.DUMMYFUNCTION("""COMPUTED_VALUE"""),"None")</f>
        <v>None</v>
      </c>
    </row>
    <row r="771" spans="1:8" ht="13">
      <c r="A771" s="5" t="str">
        <f ca="1">IFERROR(__xludf.DUMMYFUNCTION("""COMPUTED_VALUE"""),"20201018KYSEL")</f>
        <v>20201018KYSEL</v>
      </c>
      <c r="B771" s="5"/>
      <c r="C771" s="5"/>
      <c r="D771" s="5"/>
      <c r="E771" s="5"/>
      <c r="F771" s="5" t="str">
        <f ca="1">IFERROR(__xludf.DUMMYFUNCTION("""COMPUTED_VALUE"""),"Fled/Escaped")</f>
        <v>Fled/Escaped</v>
      </c>
      <c r="G771" s="5" t="str">
        <f ca="1">IFERROR(__xludf.DUMMYFUNCTION("""COMPUTED_VALUE"""),"No")</f>
        <v>No</v>
      </c>
      <c r="H771" s="5" t="str">
        <f ca="1">IFERROR(__xludf.DUMMYFUNCTION("""COMPUTED_VALUE"""),"None")</f>
        <v>None</v>
      </c>
    </row>
    <row r="772" spans="1:8" ht="13">
      <c r="A772" s="5" t="str">
        <f ca="1">IFERROR(__xludf.DUMMYFUNCTION("""COMPUTED_VALUE"""),"20201014WAWAS")</f>
        <v>20201014WAWAS</v>
      </c>
      <c r="B772" s="5">
        <f ca="1">IFERROR(__xludf.DUMMYFUNCTION("""COMPUTED_VALUE"""),23)</f>
        <v>23</v>
      </c>
      <c r="C772" s="5" t="str">
        <f ca="1">IFERROR(__xludf.DUMMYFUNCTION("""COMPUTED_VALUE"""),"Male")</f>
        <v>Male</v>
      </c>
      <c r="D772" s="5" t="str">
        <f ca="1">IFERROR(__xludf.DUMMYFUNCTION("""COMPUTED_VALUE"""),"Hispanic")</f>
        <v>Hispanic</v>
      </c>
      <c r="E772" s="5" t="str">
        <f ca="1">IFERROR(__xludf.DUMMYFUNCTION("""COMPUTED_VALUE"""),"No Relation")</f>
        <v>No Relation</v>
      </c>
      <c r="F772" s="5" t="str">
        <f ca="1">IFERROR(__xludf.DUMMYFUNCTION("""COMPUTED_VALUE"""),"Fled/Apprehended")</f>
        <v>Fled/Apprehended</v>
      </c>
      <c r="G772" s="5" t="str">
        <f ca="1">IFERROR(__xludf.DUMMYFUNCTION("""COMPUTED_VALUE"""),"No")</f>
        <v>No</v>
      </c>
      <c r="H772" s="5" t="str">
        <f ca="1">IFERROR(__xludf.DUMMYFUNCTION("""COMPUTED_VALUE"""),"None")</f>
        <v>None</v>
      </c>
    </row>
    <row r="773" spans="1:8" ht="13">
      <c r="A773" s="5" t="str">
        <f ca="1">IFERROR(__xludf.DUMMYFUNCTION("""COMPUTED_VALUE"""),"20201014WAWAS")</f>
        <v>20201014WAWAS</v>
      </c>
      <c r="B773" s="5">
        <f ca="1">IFERROR(__xludf.DUMMYFUNCTION("""COMPUTED_VALUE"""),26)</f>
        <v>26</v>
      </c>
      <c r="C773" s="5" t="str">
        <f ca="1">IFERROR(__xludf.DUMMYFUNCTION("""COMPUTED_VALUE"""),"Male")</f>
        <v>Male</v>
      </c>
      <c r="D773" s="5" t="str">
        <f ca="1">IFERROR(__xludf.DUMMYFUNCTION("""COMPUTED_VALUE"""),"Hispanic")</f>
        <v>Hispanic</v>
      </c>
      <c r="E773" s="5" t="str">
        <f ca="1">IFERROR(__xludf.DUMMYFUNCTION("""COMPUTED_VALUE"""),"No Relation")</f>
        <v>No Relation</v>
      </c>
      <c r="F773" s="5" t="str">
        <f ca="1">IFERROR(__xludf.DUMMYFUNCTION("""COMPUTED_VALUE"""),"Fled/Apprehended")</f>
        <v>Fled/Apprehended</v>
      </c>
      <c r="G773" s="5" t="str">
        <f ca="1">IFERROR(__xludf.DUMMYFUNCTION("""COMPUTED_VALUE"""),"No")</f>
        <v>No</v>
      </c>
      <c r="H773" s="5" t="str">
        <f ca="1">IFERROR(__xludf.DUMMYFUNCTION("""COMPUTED_VALUE"""),"None")</f>
        <v>None</v>
      </c>
    </row>
    <row r="774" spans="1:8" ht="13">
      <c r="A774" s="5" t="str">
        <f ca="1">IFERROR(__xludf.DUMMYFUNCTION("""COMPUTED_VALUE"""),"20201014PABRB")</f>
        <v>20201014PABRB</v>
      </c>
      <c r="B774" s="5">
        <f ca="1">IFERROR(__xludf.DUMMYFUNCTION("""COMPUTED_VALUE"""),11)</f>
        <v>11</v>
      </c>
      <c r="C774" s="5" t="str">
        <f ca="1">IFERROR(__xludf.DUMMYFUNCTION("""COMPUTED_VALUE"""),"Male")</f>
        <v>Male</v>
      </c>
      <c r="D774" s="5"/>
      <c r="E774" s="5" t="str">
        <f ca="1">IFERROR(__xludf.DUMMYFUNCTION("""COMPUTED_VALUE"""),"Student")</f>
        <v>Student</v>
      </c>
      <c r="F774" s="5" t="str">
        <f ca="1">IFERROR(__xludf.DUMMYFUNCTION("""COMPUTED_VALUE"""),"Apprehended/Killed by LE")</f>
        <v>Apprehended/Killed by LE</v>
      </c>
      <c r="G774" s="5" t="str">
        <f ca="1">IFERROR(__xludf.DUMMYFUNCTION("""COMPUTED_VALUE"""),"No")</f>
        <v>No</v>
      </c>
      <c r="H774" s="5" t="str">
        <f ca="1">IFERROR(__xludf.DUMMYFUNCTION("""COMPUTED_VALUE"""),"None")</f>
        <v>None</v>
      </c>
    </row>
    <row r="775" spans="1:8" ht="13">
      <c r="A775" s="5" t="str">
        <f ca="1">IFERROR(__xludf.DUMMYFUNCTION("""COMPUTED_VALUE"""),"20201013RIRHP")</f>
        <v>20201013RIRHP</v>
      </c>
      <c r="B775" s="5"/>
      <c r="C775" s="5"/>
      <c r="D775" s="5"/>
      <c r="E775" s="5" t="str">
        <f ca="1">IFERROR(__xludf.DUMMYFUNCTION("""COMPUTED_VALUE"""),"No Relation")</f>
        <v>No Relation</v>
      </c>
      <c r="F775" s="5" t="str">
        <f ca="1">IFERROR(__xludf.DUMMYFUNCTION("""COMPUTED_VALUE"""),"Fled/Escaped")</f>
        <v>Fled/Escaped</v>
      </c>
      <c r="G775" s="5" t="str">
        <f ca="1">IFERROR(__xludf.DUMMYFUNCTION("""COMPUTED_VALUE"""),"No")</f>
        <v>No</v>
      </c>
      <c r="H775" s="5" t="str">
        <f ca="1">IFERROR(__xludf.DUMMYFUNCTION("""COMPUTED_VALUE"""),"None")</f>
        <v>None</v>
      </c>
    </row>
    <row r="776" spans="1:8" ht="13">
      <c r="A776" s="5" t="str">
        <f ca="1">IFERROR(__xludf.DUMMYFUNCTION("""COMPUTED_VALUE"""),"20201012TXNOD")</f>
        <v>20201012TXNOD</v>
      </c>
      <c r="B776" s="5" t="str">
        <f ca="1">IFERROR(__xludf.DUMMYFUNCTION("""COMPUTED_VALUE"""),"Adult")</f>
        <v>Adult</v>
      </c>
      <c r="C776" s="5" t="str">
        <f ca="1">IFERROR(__xludf.DUMMYFUNCTION("""COMPUTED_VALUE"""),"Male")</f>
        <v>Male</v>
      </c>
      <c r="D776" s="5"/>
      <c r="E776" s="5" t="str">
        <f ca="1">IFERROR(__xludf.DUMMYFUNCTION("""COMPUTED_VALUE"""),"No Relation")</f>
        <v>No Relation</v>
      </c>
      <c r="F776" s="5" t="str">
        <f ca="1">IFERROR(__xludf.DUMMYFUNCTION("""COMPUTED_VALUE"""),"Apprehended/Killed by SRO")</f>
        <v>Apprehended/Killed by SRO</v>
      </c>
      <c r="G776" s="5" t="str">
        <f ca="1">IFERROR(__xludf.DUMMYFUNCTION("""COMPUTED_VALUE"""),"No")</f>
        <v>No</v>
      </c>
      <c r="H776" s="5" t="str">
        <f ca="1">IFERROR(__xludf.DUMMYFUNCTION("""COMPUTED_VALUE"""),"None")</f>
        <v>None</v>
      </c>
    </row>
    <row r="777" spans="1:8" ht="13">
      <c r="A777" s="5" t="str">
        <f ca="1">IFERROR(__xludf.DUMMYFUNCTION("""COMPUTED_VALUE"""),"20201012MNSHS")</f>
        <v>20201012MNSHS</v>
      </c>
      <c r="B777" s="5"/>
      <c r="C777" s="5"/>
      <c r="D777" s="5"/>
      <c r="E777" s="5" t="str">
        <f ca="1">IFERROR(__xludf.DUMMYFUNCTION("""COMPUTED_VALUE"""),"No Relation")</f>
        <v>No Relation</v>
      </c>
      <c r="F777" s="5" t="str">
        <f ca="1">IFERROR(__xludf.DUMMYFUNCTION("""COMPUTED_VALUE"""),"Fled/Escaped")</f>
        <v>Fled/Escaped</v>
      </c>
      <c r="G777" s="5" t="str">
        <f ca="1">IFERROR(__xludf.DUMMYFUNCTION("""COMPUTED_VALUE"""),"No")</f>
        <v>No</v>
      </c>
      <c r="H777" s="5" t="str">
        <f ca="1">IFERROR(__xludf.DUMMYFUNCTION("""COMPUTED_VALUE"""),"None")</f>
        <v>None</v>
      </c>
    </row>
    <row r="778" spans="1:8" ht="13">
      <c r="A778" s="5" t="str">
        <f ca="1">IFERROR(__xludf.DUMMYFUNCTION("""COMPUTED_VALUE"""),"20201009FLJEJ")</f>
        <v>20201009FLJEJ</v>
      </c>
      <c r="B778" s="5">
        <f ca="1">IFERROR(__xludf.DUMMYFUNCTION("""COMPUTED_VALUE"""),18)</f>
        <v>18</v>
      </c>
      <c r="C778" s="5" t="str">
        <f ca="1">IFERROR(__xludf.DUMMYFUNCTION("""COMPUTED_VALUE"""),"Male")</f>
        <v>Male</v>
      </c>
      <c r="D778" s="5"/>
      <c r="E778" s="5" t="str">
        <f ca="1">IFERROR(__xludf.DUMMYFUNCTION("""COMPUTED_VALUE"""),"Student")</f>
        <v>Student</v>
      </c>
      <c r="F778" s="5" t="str">
        <f ca="1">IFERROR(__xludf.DUMMYFUNCTION("""COMPUTED_VALUE"""),"Apprehended/Killed by SRO")</f>
        <v>Apprehended/Killed by SRO</v>
      </c>
      <c r="G778" s="5" t="str">
        <f ca="1">IFERROR(__xludf.DUMMYFUNCTION("""COMPUTED_VALUE"""),"No")</f>
        <v>No</v>
      </c>
      <c r="H778" s="5" t="str">
        <f ca="1">IFERROR(__xludf.DUMMYFUNCTION("""COMPUTED_VALUE"""),"None")</f>
        <v>None</v>
      </c>
    </row>
    <row r="779" spans="1:8" ht="13">
      <c r="A779" s="5" t="str">
        <f ca="1">IFERROR(__xludf.DUMMYFUNCTION("""COMPUTED_VALUE"""),"20201005OKSOM")</f>
        <v>20201005OKSOM</v>
      </c>
      <c r="B779" s="5" t="str">
        <f ca="1">IFERROR(__xludf.DUMMYFUNCTION("""COMPUTED_VALUE"""),"Teen")</f>
        <v>Teen</v>
      </c>
      <c r="C779" s="5"/>
      <c r="D779" s="5"/>
      <c r="E779" s="5" t="str">
        <f ca="1">IFERROR(__xludf.DUMMYFUNCTION("""COMPUTED_VALUE"""),"Student")</f>
        <v>Student</v>
      </c>
      <c r="F779" s="5" t="str">
        <f ca="1">IFERROR(__xludf.DUMMYFUNCTION("""COMPUTED_VALUE"""),"Apprehended/Killed by LE")</f>
        <v>Apprehended/Killed by LE</v>
      </c>
      <c r="G779" s="5" t="str">
        <f ca="1">IFERROR(__xludf.DUMMYFUNCTION("""COMPUTED_VALUE"""),"No")</f>
        <v>No</v>
      </c>
      <c r="H779" s="5" t="str">
        <f ca="1">IFERROR(__xludf.DUMMYFUNCTION("""COMPUTED_VALUE"""),"None")</f>
        <v>None</v>
      </c>
    </row>
    <row r="780" spans="1:8" ht="13">
      <c r="A780" s="5" t="str">
        <f ca="1">IFERROR(__xludf.DUMMYFUNCTION("""COMPUTED_VALUE"""),"20201005ARKIH")</f>
        <v>20201005ARKIH</v>
      </c>
      <c r="B780" s="5" t="str">
        <f ca="1">IFERROR(__xludf.DUMMYFUNCTION("""COMPUTED_VALUE"""),"Adult")</f>
        <v>Adult</v>
      </c>
      <c r="C780" s="5" t="str">
        <f ca="1">IFERROR(__xludf.DUMMYFUNCTION("""COMPUTED_VALUE"""),"Male")</f>
        <v>Male</v>
      </c>
      <c r="D780" s="5"/>
      <c r="E780" s="5"/>
      <c r="F780" s="5" t="str">
        <f ca="1">IFERROR(__xludf.DUMMYFUNCTION("""COMPUTED_VALUE"""),"Fled/Apprehended")</f>
        <v>Fled/Apprehended</v>
      </c>
      <c r="G780" s="5" t="str">
        <f ca="1">IFERROR(__xludf.DUMMYFUNCTION("""COMPUTED_VALUE"""),"No")</f>
        <v>No</v>
      </c>
      <c r="H780" s="5" t="str">
        <f ca="1">IFERROR(__xludf.DUMMYFUNCTION("""COMPUTED_VALUE"""),"None")</f>
        <v>None</v>
      </c>
    </row>
    <row r="781" spans="1:8" ht="13">
      <c r="A781" s="5" t="str">
        <f ca="1">IFERROR(__xludf.DUMMYFUNCTION("""COMPUTED_VALUE"""),"20201005ARKIH")</f>
        <v>20201005ARKIH</v>
      </c>
      <c r="B781" s="5"/>
      <c r="C781" s="5"/>
      <c r="D781" s="5"/>
      <c r="E781" s="5"/>
      <c r="F781" s="5" t="str">
        <f ca="1">IFERROR(__xludf.DUMMYFUNCTION("""COMPUTED_VALUE"""),"Fled/Escaped")</f>
        <v>Fled/Escaped</v>
      </c>
      <c r="G781" s="5" t="str">
        <f ca="1">IFERROR(__xludf.DUMMYFUNCTION("""COMPUTED_VALUE"""),"No")</f>
        <v>No</v>
      </c>
      <c r="H781" s="5" t="str">
        <f ca="1">IFERROR(__xludf.DUMMYFUNCTION("""COMPUTED_VALUE"""),"None")</f>
        <v>None</v>
      </c>
    </row>
    <row r="782" spans="1:8" ht="13">
      <c r="A782" s="5" t="str">
        <f ca="1">IFERROR(__xludf.DUMMYFUNCTION("""COMPUTED_VALUE"""),"20201002PAMAE")</f>
        <v>20201002PAMAE</v>
      </c>
      <c r="B782" s="5"/>
      <c r="C782" s="5"/>
      <c r="D782" s="5"/>
      <c r="E782" s="5"/>
      <c r="F782" s="5" t="str">
        <f ca="1">IFERROR(__xludf.DUMMYFUNCTION("""COMPUTED_VALUE"""),"Fled/Escaped")</f>
        <v>Fled/Escaped</v>
      </c>
      <c r="G782" s="5" t="str">
        <f ca="1">IFERROR(__xludf.DUMMYFUNCTION("""COMPUTED_VALUE"""),"No")</f>
        <v>No</v>
      </c>
      <c r="H782" s="5" t="str">
        <f ca="1">IFERROR(__xludf.DUMMYFUNCTION("""COMPUTED_VALUE"""),"None")</f>
        <v>None</v>
      </c>
    </row>
    <row r="783" spans="1:8" ht="13">
      <c r="A783" s="5" t="str">
        <f ca="1">IFERROR(__xludf.DUMMYFUNCTION("""COMPUTED_VALUE"""),"20200930CADYL")</f>
        <v>20200930CADYL</v>
      </c>
      <c r="B783" s="5"/>
      <c r="C783" s="5"/>
      <c r="D783" s="5"/>
      <c r="E783" s="5" t="str">
        <f ca="1">IFERROR(__xludf.DUMMYFUNCTION("""COMPUTED_VALUE"""),"No Relation")</f>
        <v>No Relation</v>
      </c>
      <c r="F783" s="5" t="str">
        <f ca="1">IFERROR(__xludf.DUMMYFUNCTION("""COMPUTED_VALUE"""),"Fled/Escaped")</f>
        <v>Fled/Escaped</v>
      </c>
      <c r="G783" s="5" t="str">
        <f ca="1">IFERROR(__xludf.DUMMYFUNCTION("""COMPUTED_VALUE"""),"No")</f>
        <v>No</v>
      </c>
      <c r="H783" s="5" t="str">
        <f ca="1">IFERROR(__xludf.DUMMYFUNCTION("""COMPUTED_VALUE"""),"None")</f>
        <v>None</v>
      </c>
    </row>
    <row r="784" spans="1:8" ht="13">
      <c r="A784" s="5" t="str">
        <f ca="1">IFERROR(__xludf.DUMMYFUNCTION("""COMPUTED_VALUE"""),"20200928CTEAN")</f>
        <v>20200928CTEAN</v>
      </c>
      <c r="B784" s="5" t="str">
        <f ca="1">IFERROR(__xludf.DUMMYFUNCTION("""COMPUTED_VALUE"""),"Adult")</f>
        <v>Adult</v>
      </c>
      <c r="C784" s="5"/>
      <c r="D784" s="5"/>
      <c r="E784" s="5" t="str">
        <f ca="1">IFERROR(__xludf.DUMMYFUNCTION("""COMPUTED_VALUE"""),"No Relation")</f>
        <v>No Relation</v>
      </c>
      <c r="F784" s="5" t="str">
        <f ca="1">IFERROR(__xludf.DUMMYFUNCTION("""COMPUTED_VALUE"""),"Fled/Escaped")</f>
        <v>Fled/Escaped</v>
      </c>
      <c r="G784" s="5" t="str">
        <f ca="1">IFERROR(__xludf.DUMMYFUNCTION("""COMPUTED_VALUE"""),"No")</f>
        <v>No</v>
      </c>
      <c r="H784" s="5" t="str">
        <f ca="1">IFERROR(__xludf.DUMMYFUNCTION("""COMPUTED_VALUE"""),"None")</f>
        <v>None</v>
      </c>
    </row>
    <row r="785" spans="1:8" ht="13">
      <c r="A785" s="5" t="str">
        <f ca="1">IFERROR(__xludf.DUMMYFUNCTION("""COMPUTED_VALUE"""),"20200925NJHAH")</f>
        <v>20200925NJHAH</v>
      </c>
      <c r="B785" s="5"/>
      <c r="C785" s="5"/>
      <c r="D785" s="5"/>
      <c r="E785" s="5" t="str">
        <f ca="1">IFERROR(__xludf.DUMMYFUNCTION("""COMPUTED_VALUE"""),"No Relation")</f>
        <v>No Relation</v>
      </c>
      <c r="F785" s="5" t="str">
        <f ca="1">IFERROR(__xludf.DUMMYFUNCTION("""COMPUTED_VALUE"""),"Fled/Escaped")</f>
        <v>Fled/Escaped</v>
      </c>
      <c r="G785" s="5" t="str">
        <f ca="1">IFERROR(__xludf.DUMMYFUNCTION("""COMPUTED_VALUE"""),"No")</f>
        <v>No</v>
      </c>
      <c r="H785" s="5" t="str">
        <f ca="1">IFERROR(__xludf.DUMMYFUNCTION("""COMPUTED_VALUE"""),"None")</f>
        <v>None</v>
      </c>
    </row>
    <row r="786" spans="1:8" ht="13">
      <c r="A786" s="5" t="str">
        <f ca="1">IFERROR(__xludf.DUMMYFUNCTION("""COMPUTED_VALUE"""),"20200925ILROR")</f>
        <v>20200925ILROR</v>
      </c>
      <c r="B786" s="5">
        <f ca="1">IFERROR(__xludf.DUMMYFUNCTION("""COMPUTED_VALUE"""),30)</f>
        <v>30</v>
      </c>
      <c r="C786" s="5" t="str">
        <f ca="1">IFERROR(__xludf.DUMMYFUNCTION("""COMPUTED_VALUE"""),"Male")</f>
        <v>Male</v>
      </c>
      <c r="D786" s="5"/>
      <c r="E786" s="5" t="str">
        <f ca="1">IFERROR(__xludf.DUMMYFUNCTION("""COMPUTED_VALUE"""),"No Relation")</f>
        <v>No Relation</v>
      </c>
      <c r="F786" s="5" t="str">
        <f ca="1">IFERROR(__xludf.DUMMYFUNCTION("""COMPUTED_VALUE"""),"Fled/Apprehended")</f>
        <v>Fled/Apprehended</v>
      </c>
      <c r="G786" s="5" t="str">
        <f ca="1">IFERROR(__xludf.DUMMYFUNCTION("""COMPUTED_VALUE"""),"No")</f>
        <v>No</v>
      </c>
      <c r="H786" s="5" t="str">
        <f ca="1">IFERROR(__xludf.DUMMYFUNCTION("""COMPUTED_VALUE"""),"None")</f>
        <v>None</v>
      </c>
    </row>
    <row r="787" spans="1:8" ht="13">
      <c r="A787" s="5" t="str">
        <f ca="1">IFERROR(__xludf.DUMMYFUNCTION("""COMPUTED_VALUE"""),"20200924ILMCS")</f>
        <v>20200924ILMCS</v>
      </c>
      <c r="B787" s="5"/>
      <c r="C787" s="5" t="str">
        <f ca="1">IFERROR(__xludf.DUMMYFUNCTION("""COMPUTED_VALUE"""),"Male")</f>
        <v>Male</v>
      </c>
      <c r="D787" s="5"/>
      <c r="E787" s="5" t="str">
        <f ca="1">IFERROR(__xludf.DUMMYFUNCTION("""COMPUTED_VALUE"""),"No Relation")</f>
        <v>No Relation</v>
      </c>
      <c r="F787" s="5" t="str">
        <f ca="1">IFERROR(__xludf.DUMMYFUNCTION("""COMPUTED_VALUE"""),"Apprehended/Killed by LE")</f>
        <v>Apprehended/Killed by LE</v>
      </c>
      <c r="G787" s="5" t="str">
        <f ca="1">IFERROR(__xludf.DUMMYFUNCTION("""COMPUTED_VALUE"""),"No")</f>
        <v>No</v>
      </c>
      <c r="H787" s="5" t="str">
        <f ca="1">IFERROR(__xludf.DUMMYFUNCTION("""COMPUTED_VALUE"""),"None")</f>
        <v>None</v>
      </c>
    </row>
    <row r="788" spans="1:8" ht="13">
      <c r="A788" s="5" t="str">
        <f ca="1">IFERROR(__xludf.DUMMYFUNCTION("""COMPUTED_VALUE"""),"20200924CAWAC")</f>
        <v>20200924CAWAC</v>
      </c>
      <c r="B788" s="5">
        <f ca="1">IFERROR(__xludf.DUMMYFUNCTION("""COMPUTED_VALUE"""),25)</f>
        <v>25</v>
      </c>
      <c r="C788" s="5" t="str">
        <f ca="1">IFERROR(__xludf.DUMMYFUNCTION("""COMPUTED_VALUE"""),"Male")</f>
        <v>Male</v>
      </c>
      <c r="D788" s="5" t="str">
        <f ca="1">IFERROR(__xludf.DUMMYFUNCTION("""COMPUTED_VALUE"""),"Hispanic")</f>
        <v>Hispanic</v>
      </c>
      <c r="E788" s="5" t="str">
        <f ca="1">IFERROR(__xludf.DUMMYFUNCTION("""COMPUTED_VALUE"""),"No Relation")</f>
        <v>No Relation</v>
      </c>
      <c r="F788" s="5" t="str">
        <f ca="1">IFERROR(__xludf.DUMMYFUNCTION("""COMPUTED_VALUE"""),"Apprehended/Killed by LE")</f>
        <v>Apprehended/Killed by LE</v>
      </c>
      <c r="G788" s="5" t="str">
        <f ca="1">IFERROR(__xludf.DUMMYFUNCTION("""COMPUTED_VALUE"""),"No")</f>
        <v>No</v>
      </c>
      <c r="H788" s="5" t="str">
        <f ca="1">IFERROR(__xludf.DUMMYFUNCTION("""COMPUTED_VALUE"""),"None")</f>
        <v>None</v>
      </c>
    </row>
    <row r="789" spans="1:8" ht="13">
      <c r="A789" s="5" t="str">
        <f ca="1">IFERROR(__xludf.DUMMYFUNCTION("""COMPUTED_VALUE"""),"20200924CAWAC")</f>
        <v>20200924CAWAC</v>
      </c>
      <c r="B789" s="5">
        <f ca="1">IFERROR(__xludf.DUMMYFUNCTION("""COMPUTED_VALUE"""),27)</f>
        <v>27</v>
      </c>
      <c r="C789" s="5" t="str">
        <f ca="1">IFERROR(__xludf.DUMMYFUNCTION("""COMPUTED_VALUE"""),"Male")</f>
        <v>Male</v>
      </c>
      <c r="D789" s="5" t="str">
        <f ca="1">IFERROR(__xludf.DUMMYFUNCTION("""COMPUTED_VALUE"""),"Hispanic")</f>
        <v>Hispanic</v>
      </c>
      <c r="E789" s="5" t="str">
        <f ca="1">IFERROR(__xludf.DUMMYFUNCTION("""COMPUTED_VALUE"""),"No Relation")</f>
        <v>No Relation</v>
      </c>
      <c r="F789" s="5" t="str">
        <f ca="1">IFERROR(__xludf.DUMMYFUNCTION("""COMPUTED_VALUE"""),"Apprehended/Killed by LE")</f>
        <v>Apprehended/Killed by LE</v>
      </c>
      <c r="G789" s="5" t="str">
        <f ca="1">IFERROR(__xludf.DUMMYFUNCTION("""COMPUTED_VALUE"""),"No")</f>
        <v>No</v>
      </c>
      <c r="H789" s="5" t="str">
        <f ca="1">IFERROR(__xludf.DUMMYFUNCTION("""COMPUTED_VALUE"""),"None")</f>
        <v>None</v>
      </c>
    </row>
    <row r="790" spans="1:8" ht="13">
      <c r="A790" s="5" t="str">
        <f ca="1">IFERROR(__xludf.DUMMYFUNCTION("""COMPUTED_VALUE"""),"20200924CAWAC")</f>
        <v>20200924CAWAC</v>
      </c>
      <c r="B790" s="5">
        <f ca="1">IFERROR(__xludf.DUMMYFUNCTION("""COMPUTED_VALUE"""),29)</f>
        <v>29</v>
      </c>
      <c r="C790" s="5" t="str">
        <f ca="1">IFERROR(__xludf.DUMMYFUNCTION("""COMPUTED_VALUE"""),"Male")</f>
        <v>Male</v>
      </c>
      <c r="D790" s="5" t="str">
        <f ca="1">IFERROR(__xludf.DUMMYFUNCTION("""COMPUTED_VALUE"""),"Hispanic")</f>
        <v>Hispanic</v>
      </c>
      <c r="E790" s="5" t="str">
        <f ca="1">IFERROR(__xludf.DUMMYFUNCTION("""COMPUTED_VALUE"""),"No Relation")</f>
        <v>No Relation</v>
      </c>
      <c r="F790" s="5" t="str">
        <f ca="1">IFERROR(__xludf.DUMMYFUNCTION("""COMPUTED_VALUE"""),"Apprehended/Killed by LE")</f>
        <v>Apprehended/Killed by LE</v>
      </c>
      <c r="G790" s="5" t="str">
        <f ca="1">IFERROR(__xludf.DUMMYFUNCTION("""COMPUTED_VALUE"""),"No")</f>
        <v>No</v>
      </c>
      <c r="H790" s="5" t="str">
        <f ca="1">IFERROR(__xludf.DUMMYFUNCTION("""COMPUTED_VALUE"""),"None")</f>
        <v>None</v>
      </c>
    </row>
    <row r="791" spans="1:8" ht="13">
      <c r="A791" s="5" t="str">
        <f ca="1">IFERROR(__xludf.DUMMYFUNCTION("""COMPUTED_VALUE"""),"20200923PAWIW")</f>
        <v>20200923PAWIW</v>
      </c>
      <c r="B791" s="5">
        <f ca="1">IFERROR(__xludf.DUMMYFUNCTION("""COMPUTED_VALUE"""),22)</f>
        <v>22</v>
      </c>
      <c r="C791" s="5" t="str">
        <f ca="1">IFERROR(__xludf.DUMMYFUNCTION("""COMPUTED_VALUE"""),"Male")</f>
        <v>Male</v>
      </c>
      <c r="D791" s="5" t="str">
        <f ca="1">IFERROR(__xludf.DUMMYFUNCTION("""COMPUTED_VALUE"""),"Black")</f>
        <v>Black</v>
      </c>
      <c r="E791" s="5" t="str">
        <f ca="1">IFERROR(__xludf.DUMMYFUNCTION("""COMPUTED_VALUE"""),"No Relation")</f>
        <v>No Relation</v>
      </c>
      <c r="F791" s="5" t="str">
        <f ca="1">IFERROR(__xludf.DUMMYFUNCTION("""COMPUTED_VALUE"""),"Fled/Apprehended")</f>
        <v>Fled/Apprehended</v>
      </c>
      <c r="G791" s="5" t="str">
        <f ca="1">IFERROR(__xludf.DUMMYFUNCTION("""COMPUTED_VALUE"""),"No")</f>
        <v>No</v>
      </c>
      <c r="H791" s="5" t="str">
        <f ca="1">IFERROR(__xludf.DUMMYFUNCTION("""COMPUTED_VALUE"""),"None")</f>
        <v>None</v>
      </c>
    </row>
    <row r="792" spans="1:8" ht="13">
      <c r="A792" s="5" t="str">
        <f ca="1">IFERROR(__xludf.DUMMYFUNCTION("""COMPUTED_VALUE"""),"20200923FLHIJ")</f>
        <v>20200923FLHIJ</v>
      </c>
      <c r="B792" s="5">
        <f ca="1">IFERROR(__xludf.DUMMYFUNCTION("""COMPUTED_VALUE"""),18)</f>
        <v>18</v>
      </c>
      <c r="C792" s="5" t="str">
        <f ca="1">IFERROR(__xludf.DUMMYFUNCTION("""COMPUTED_VALUE"""),"Male")</f>
        <v>Male</v>
      </c>
      <c r="D792" s="5" t="str">
        <f ca="1">IFERROR(__xludf.DUMMYFUNCTION("""COMPUTED_VALUE"""),"Black")</f>
        <v>Black</v>
      </c>
      <c r="E792" s="5" t="str">
        <f ca="1">IFERROR(__xludf.DUMMYFUNCTION("""COMPUTED_VALUE"""),"No Relation")</f>
        <v>No Relation</v>
      </c>
      <c r="F792" s="5" t="str">
        <f ca="1">IFERROR(__xludf.DUMMYFUNCTION("""COMPUTED_VALUE"""),"Fled/Apprehended")</f>
        <v>Fled/Apprehended</v>
      </c>
      <c r="G792" s="5" t="str">
        <f ca="1">IFERROR(__xludf.DUMMYFUNCTION("""COMPUTED_VALUE"""),"No")</f>
        <v>No</v>
      </c>
      <c r="H792" s="5" t="str">
        <f ca="1">IFERROR(__xludf.DUMMYFUNCTION("""COMPUTED_VALUE"""),"None")</f>
        <v>None</v>
      </c>
    </row>
    <row r="793" spans="1:8" ht="13">
      <c r="A793" s="5" t="str">
        <f ca="1">IFERROR(__xludf.DUMMYFUNCTION("""COMPUTED_VALUE"""),"20200921CAPLP")</f>
        <v>20200921CAPLP</v>
      </c>
      <c r="B793" s="5">
        <f ca="1">IFERROR(__xludf.DUMMYFUNCTION("""COMPUTED_VALUE"""),46)</f>
        <v>46</v>
      </c>
      <c r="C793" s="5" t="str">
        <f ca="1">IFERROR(__xludf.DUMMYFUNCTION("""COMPUTED_VALUE"""),"Male")</f>
        <v>Male</v>
      </c>
      <c r="D793" s="5"/>
      <c r="E793" s="5" t="str">
        <f ca="1">IFERROR(__xludf.DUMMYFUNCTION("""COMPUTED_VALUE"""),"No Relation")</f>
        <v>No Relation</v>
      </c>
      <c r="F793" s="5" t="str">
        <f ca="1">IFERROR(__xludf.DUMMYFUNCTION("""COMPUTED_VALUE"""),"Attempted Suicide")</f>
        <v>Attempted Suicide</v>
      </c>
      <c r="G793" s="5" t="str">
        <f ca="1">IFERROR(__xludf.DUMMYFUNCTION("""COMPUTED_VALUE"""),"No")</f>
        <v>No</v>
      </c>
      <c r="H793" s="5" t="str">
        <f ca="1">IFERROR(__xludf.DUMMYFUNCTION("""COMPUTED_VALUE"""),"Wounded")</f>
        <v>Wounded</v>
      </c>
    </row>
    <row r="794" spans="1:8" ht="13">
      <c r="A794" s="5" t="str">
        <f ca="1">IFERROR(__xludf.DUMMYFUNCTION("""COMPUTED_VALUE"""),"20200920UTLIS")</f>
        <v>20200920UTLIS</v>
      </c>
      <c r="B794" s="5"/>
      <c r="C794" s="5"/>
      <c r="D794" s="5"/>
      <c r="E794" s="5" t="str">
        <f ca="1">IFERROR(__xludf.DUMMYFUNCTION("""COMPUTED_VALUE"""),"No Relation")</f>
        <v>No Relation</v>
      </c>
      <c r="F794" s="5" t="str">
        <f ca="1">IFERROR(__xludf.DUMMYFUNCTION("""COMPUTED_VALUE"""),"Fled/Escaped")</f>
        <v>Fled/Escaped</v>
      </c>
      <c r="G794" s="5" t="str">
        <f ca="1">IFERROR(__xludf.DUMMYFUNCTION("""COMPUTED_VALUE"""),"No")</f>
        <v>No</v>
      </c>
      <c r="H794" s="5" t="str">
        <f ca="1">IFERROR(__xludf.DUMMYFUNCTION("""COMPUTED_VALUE"""),"None")</f>
        <v>None</v>
      </c>
    </row>
    <row r="795" spans="1:8" ht="13">
      <c r="A795" s="5" t="str">
        <f ca="1">IFERROR(__xludf.DUMMYFUNCTION("""COMPUTED_VALUE"""),"20200919CAKRS")</f>
        <v>20200919CAKRS</v>
      </c>
      <c r="B795" s="5"/>
      <c r="C795" s="5"/>
      <c r="D795" s="5"/>
      <c r="E795" s="5"/>
      <c r="F795" s="5" t="str">
        <f ca="1">IFERROR(__xludf.DUMMYFUNCTION("""COMPUTED_VALUE"""),"Fled/Escaped")</f>
        <v>Fled/Escaped</v>
      </c>
      <c r="G795" s="5" t="str">
        <f ca="1">IFERROR(__xludf.DUMMYFUNCTION("""COMPUTED_VALUE"""),"No")</f>
        <v>No</v>
      </c>
      <c r="H795" s="5" t="str">
        <f ca="1">IFERROR(__xludf.DUMMYFUNCTION("""COMPUTED_VALUE"""),"None")</f>
        <v>None</v>
      </c>
    </row>
    <row r="796" spans="1:8" ht="13">
      <c r="A796" s="5" t="str">
        <f ca="1">IFERROR(__xludf.DUMMYFUNCTION("""COMPUTED_VALUE"""),"20200918KYWIL")</f>
        <v>20200918KYWIL</v>
      </c>
      <c r="B796" s="5"/>
      <c r="C796" s="5"/>
      <c r="D796" s="5"/>
      <c r="E796" s="5" t="str">
        <f ca="1">IFERROR(__xludf.DUMMYFUNCTION("""COMPUTED_VALUE"""),"Nonstudent Using Athletic Facilities/Attending Game")</f>
        <v>Nonstudent Using Athletic Facilities/Attending Game</v>
      </c>
      <c r="F796" s="5" t="str">
        <f ca="1">IFERROR(__xludf.DUMMYFUNCTION("""COMPUTED_VALUE"""),"Fled/Escaped")</f>
        <v>Fled/Escaped</v>
      </c>
      <c r="G796" s="5" t="str">
        <f ca="1">IFERROR(__xludf.DUMMYFUNCTION("""COMPUTED_VALUE"""),"No")</f>
        <v>No</v>
      </c>
      <c r="H796" s="5" t="str">
        <f ca="1">IFERROR(__xludf.DUMMYFUNCTION("""COMPUTED_VALUE"""),"None")</f>
        <v>None</v>
      </c>
    </row>
    <row r="797" spans="1:8" ht="13">
      <c r="A797" s="5" t="str">
        <f ca="1">IFERROR(__xludf.DUMMYFUNCTION("""COMPUTED_VALUE"""),"20200917ORDRP")</f>
        <v>20200917ORDRP</v>
      </c>
      <c r="B797" s="5"/>
      <c r="C797" s="5"/>
      <c r="D797" s="5"/>
      <c r="E797" s="5" t="str">
        <f ca="1">IFERROR(__xludf.DUMMYFUNCTION("""COMPUTED_VALUE"""),"No Relation")</f>
        <v>No Relation</v>
      </c>
      <c r="F797" s="5" t="str">
        <f ca="1">IFERROR(__xludf.DUMMYFUNCTION("""COMPUTED_VALUE"""),"Fled/Escaped")</f>
        <v>Fled/Escaped</v>
      </c>
      <c r="G797" s="5" t="str">
        <f ca="1">IFERROR(__xludf.DUMMYFUNCTION("""COMPUTED_VALUE"""),"No")</f>
        <v>No</v>
      </c>
      <c r="H797" s="5" t="str">
        <f ca="1">IFERROR(__xludf.DUMMYFUNCTION("""COMPUTED_VALUE"""),"None")</f>
        <v>None</v>
      </c>
    </row>
    <row r="798" spans="1:8" ht="13">
      <c r="A798" s="5" t="str">
        <f ca="1">IFERROR(__xludf.DUMMYFUNCTION("""COMPUTED_VALUE"""),"20200917OHELA")</f>
        <v>20200917OHELA</v>
      </c>
      <c r="B798" s="5" t="str">
        <f ca="1">IFERROR(__xludf.DUMMYFUNCTION("""COMPUTED_VALUE"""),"Teen")</f>
        <v>Teen</v>
      </c>
      <c r="C798" s="5" t="str">
        <f ca="1">IFERROR(__xludf.DUMMYFUNCTION("""COMPUTED_VALUE"""),"Male")</f>
        <v>Male</v>
      </c>
      <c r="D798" s="5"/>
      <c r="E798" s="5"/>
      <c r="F798" s="5" t="str">
        <f ca="1">IFERROR(__xludf.DUMMYFUNCTION("""COMPUTED_VALUE"""),"Fled/Escaped")</f>
        <v>Fled/Escaped</v>
      </c>
      <c r="G798" s="5" t="str">
        <f ca="1">IFERROR(__xludf.DUMMYFUNCTION("""COMPUTED_VALUE"""),"No")</f>
        <v>No</v>
      </c>
      <c r="H798" s="5" t="str">
        <f ca="1">IFERROR(__xludf.DUMMYFUNCTION("""COMPUTED_VALUE"""),"None")</f>
        <v>None</v>
      </c>
    </row>
    <row r="799" spans="1:8" ht="13">
      <c r="A799" s="5" t="str">
        <f ca="1">IFERROR(__xludf.DUMMYFUNCTION("""COMPUTED_VALUE"""),"20200916WAARG")</f>
        <v>20200916WAARG</v>
      </c>
      <c r="B799" s="5" t="str">
        <f ca="1">IFERROR(__xludf.DUMMYFUNCTION("""COMPUTED_VALUE"""),"Adult")</f>
        <v>Adult</v>
      </c>
      <c r="C799" s="5" t="str">
        <f ca="1">IFERROR(__xludf.DUMMYFUNCTION("""COMPUTED_VALUE"""),"Male")</f>
        <v>Male</v>
      </c>
      <c r="D799" s="5"/>
      <c r="E799" s="5" t="str">
        <f ca="1">IFERROR(__xludf.DUMMYFUNCTION("""COMPUTED_VALUE"""),"No Relation")</f>
        <v>No Relation</v>
      </c>
      <c r="F799" s="5" t="str">
        <f ca="1">IFERROR(__xludf.DUMMYFUNCTION("""COMPUTED_VALUE"""),"Surrendered")</f>
        <v>Surrendered</v>
      </c>
      <c r="G799" s="5" t="str">
        <f ca="1">IFERROR(__xludf.DUMMYFUNCTION("""COMPUTED_VALUE"""),"No")</f>
        <v>No</v>
      </c>
      <c r="H799" s="5" t="str">
        <f ca="1">IFERROR(__xludf.DUMMYFUNCTION("""COMPUTED_VALUE"""),"None")</f>
        <v>None</v>
      </c>
    </row>
    <row r="800" spans="1:8" ht="13">
      <c r="A800" s="5" t="str">
        <f ca="1">IFERROR(__xludf.DUMMYFUNCTION("""COMPUTED_VALUE"""),"20200916CASOS")</f>
        <v>20200916CASOS</v>
      </c>
      <c r="B800" s="5">
        <f ca="1">IFERROR(__xludf.DUMMYFUNCTION("""COMPUTED_VALUE"""),20)</f>
        <v>20</v>
      </c>
      <c r="C800" s="5" t="str">
        <f ca="1">IFERROR(__xludf.DUMMYFUNCTION("""COMPUTED_VALUE"""),"Male")</f>
        <v>Male</v>
      </c>
      <c r="D800" s="5" t="str">
        <f ca="1">IFERROR(__xludf.DUMMYFUNCTION("""COMPUTED_VALUE"""),"Hispanic")</f>
        <v>Hispanic</v>
      </c>
      <c r="E800" s="5" t="str">
        <f ca="1">IFERROR(__xludf.DUMMYFUNCTION("""COMPUTED_VALUE"""),"No Relation")</f>
        <v>No Relation</v>
      </c>
      <c r="F800" s="5" t="str">
        <f ca="1">IFERROR(__xludf.DUMMYFUNCTION("""COMPUTED_VALUE"""),"Fled/Apprehended")</f>
        <v>Fled/Apprehended</v>
      </c>
      <c r="G800" s="5" t="str">
        <f ca="1">IFERROR(__xludf.DUMMYFUNCTION("""COMPUTED_VALUE"""),"No")</f>
        <v>No</v>
      </c>
      <c r="H800" s="5" t="str">
        <f ca="1">IFERROR(__xludf.DUMMYFUNCTION("""COMPUTED_VALUE"""),"None")</f>
        <v>None</v>
      </c>
    </row>
    <row r="801" spans="1:8" ht="13">
      <c r="A801" s="5" t="str">
        <f ca="1">IFERROR(__xludf.DUMMYFUNCTION("""COMPUTED_VALUE"""),"20200915UTVIB")</f>
        <v>20200915UTVIB</v>
      </c>
      <c r="B801" s="5">
        <f ca="1">IFERROR(__xludf.DUMMYFUNCTION("""COMPUTED_VALUE"""),27)</f>
        <v>27</v>
      </c>
      <c r="C801" s="5" t="str">
        <f ca="1">IFERROR(__xludf.DUMMYFUNCTION("""COMPUTED_VALUE"""),"Male")</f>
        <v>Male</v>
      </c>
      <c r="D801" s="5"/>
      <c r="E801" s="5" t="str">
        <f ca="1">IFERROR(__xludf.DUMMYFUNCTION("""COMPUTED_VALUE"""),"No Relation")</f>
        <v>No Relation</v>
      </c>
      <c r="F801" s="5" t="str">
        <f ca="1">IFERROR(__xludf.DUMMYFUNCTION("""COMPUTED_VALUE"""),"Apprehended/Killed by LE")</f>
        <v>Apprehended/Killed by LE</v>
      </c>
      <c r="G801" s="5" t="str">
        <f ca="1">IFERROR(__xludf.DUMMYFUNCTION("""COMPUTED_VALUE"""),"Yes")</f>
        <v>Yes</v>
      </c>
      <c r="H801" s="5" t="str">
        <f ca="1">IFERROR(__xludf.DUMMYFUNCTION("""COMPUTED_VALUE"""),"Fatal")</f>
        <v>Fatal</v>
      </c>
    </row>
    <row r="802" spans="1:8" ht="13">
      <c r="A802" s="5" t="str">
        <f ca="1">IFERROR(__xludf.DUMMYFUNCTION("""COMPUTED_VALUE"""),"20200915SCYOR")</f>
        <v>20200915SCYOR</v>
      </c>
      <c r="B802" s="5"/>
      <c r="C802" s="5"/>
      <c r="D802" s="5"/>
      <c r="E802" s="5"/>
      <c r="F802" s="5" t="str">
        <f ca="1">IFERROR(__xludf.DUMMYFUNCTION("""COMPUTED_VALUE"""),"Fled/Escaped")</f>
        <v>Fled/Escaped</v>
      </c>
      <c r="G802" s="5" t="str">
        <f ca="1">IFERROR(__xludf.DUMMYFUNCTION("""COMPUTED_VALUE"""),"No")</f>
        <v>No</v>
      </c>
      <c r="H802" s="5" t="str">
        <f ca="1">IFERROR(__xludf.DUMMYFUNCTION("""COMPUTED_VALUE"""),"None")</f>
        <v>None</v>
      </c>
    </row>
    <row r="803" spans="1:8" ht="13">
      <c r="A803" s="5" t="str">
        <f ca="1">IFERROR(__xludf.DUMMYFUNCTION("""COMPUTED_VALUE"""),"20200910OHSAC")</f>
        <v>20200910OHSAC</v>
      </c>
      <c r="B803" s="5" t="str">
        <f ca="1">IFERROR(__xludf.DUMMYFUNCTION("""COMPUTED_VALUE"""),"Adult")</f>
        <v>Adult</v>
      </c>
      <c r="C803" s="5"/>
      <c r="D803" s="5"/>
      <c r="E803" s="5" t="str">
        <f ca="1">IFERROR(__xludf.DUMMYFUNCTION("""COMPUTED_VALUE"""),"No Relation")</f>
        <v>No Relation</v>
      </c>
      <c r="F803" s="5" t="str">
        <f ca="1">IFERROR(__xludf.DUMMYFUNCTION("""COMPUTED_VALUE"""),"Fled/Escaped")</f>
        <v>Fled/Escaped</v>
      </c>
      <c r="G803" s="5" t="str">
        <f ca="1">IFERROR(__xludf.DUMMYFUNCTION("""COMPUTED_VALUE"""),"No")</f>
        <v>No</v>
      </c>
      <c r="H803" s="5" t="str">
        <f ca="1">IFERROR(__xludf.DUMMYFUNCTION("""COMPUTED_VALUE"""),"None")</f>
        <v>None</v>
      </c>
    </row>
    <row r="804" spans="1:8" ht="13">
      <c r="A804" s="5" t="str">
        <f ca="1">IFERROR(__xludf.DUMMYFUNCTION("""COMPUTED_VALUE"""),"20200910ILPEP")</f>
        <v>20200910ILPEP</v>
      </c>
      <c r="B804" s="5" t="str">
        <f ca="1">IFERROR(__xludf.DUMMYFUNCTION("""COMPUTED_VALUE"""),"Adult")</f>
        <v>Adult</v>
      </c>
      <c r="C804" s="5" t="str">
        <f ca="1">IFERROR(__xludf.DUMMYFUNCTION("""COMPUTED_VALUE"""),"Male")</f>
        <v>Male</v>
      </c>
      <c r="D804" s="5"/>
      <c r="E804" s="5" t="str">
        <f ca="1">IFERROR(__xludf.DUMMYFUNCTION("""COMPUTED_VALUE"""),"No Relation")</f>
        <v>No Relation</v>
      </c>
      <c r="F804" s="5" t="str">
        <f ca="1">IFERROR(__xludf.DUMMYFUNCTION("""COMPUTED_VALUE"""),"Fled/Escaped")</f>
        <v>Fled/Escaped</v>
      </c>
      <c r="G804" s="5" t="str">
        <f ca="1">IFERROR(__xludf.DUMMYFUNCTION("""COMPUTED_VALUE"""),"No")</f>
        <v>No</v>
      </c>
      <c r="H804" s="5" t="str">
        <f ca="1">IFERROR(__xludf.DUMMYFUNCTION("""COMPUTED_VALUE"""),"None")</f>
        <v>None</v>
      </c>
    </row>
    <row r="805" spans="1:8" ht="13">
      <c r="A805" s="5" t="str">
        <f ca="1">IFERROR(__xludf.DUMMYFUNCTION("""COMPUTED_VALUE"""),"20200909TXSOH")</f>
        <v>20200909TXSOH</v>
      </c>
      <c r="B805" s="5" t="str">
        <f ca="1">IFERROR(__xludf.DUMMYFUNCTION("""COMPUTED_VALUE"""),"Adult")</f>
        <v>Adult</v>
      </c>
      <c r="C805" s="5" t="str">
        <f ca="1">IFERROR(__xludf.DUMMYFUNCTION("""COMPUTED_VALUE"""),"Male")</f>
        <v>Male</v>
      </c>
      <c r="D805" s="5"/>
      <c r="E805" s="5" t="str">
        <f ca="1">IFERROR(__xludf.DUMMYFUNCTION("""COMPUTED_VALUE"""),"No Relation")</f>
        <v>No Relation</v>
      </c>
      <c r="F805" s="5" t="str">
        <f ca="1">IFERROR(__xludf.DUMMYFUNCTION("""COMPUTED_VALUE"""),"Fled/Escaped")</f>
        <v>Fled/Escaped</v>
      </c>
      <c r="G805" s="5" t="str">
        <f ca="1">IFERROR(__xludf.DUMMYFUNCTION("""COMPUTED_VALUE"""),"No")</f>
        <v>No</v>
      </c>
      <c r="H805" s="5" t="str">
        <f ca="1">IFERROR(__xludf.DUMMYFUNCTION("""COMPUTED_VALUE"""),"None")</f>
        <v>None</v>
      </c>
    </row>
    <row r="806" spans="1:8" ht="13">
      <c r="A806" s="5" t="str">
        <f ca="1">IFERROR(__xludf.DUMMYFUNCTION("""COMPUTED_VALUE"""),"20200909PAWEW")</f>
        <v>20200909PAWEW</v>
      </c>
      <c r="B806" s="5" t="str">
        <f ca="1">IFERROR(__xludf.DUMMYFUNCTION("""COMPUTED_VALUE"""),"Adult")</f>
        <v>Adult</v>
      </c>
      <c r="C806" s="5" t="str">
        <f ca="1">IFERROR(__xludf.DUMMYFUNCTION("""COMPUTED_VALUE"""),"Male")</f>
        <v>Male</v>
      </c>
      <c r="D806" s="5" t="str">
        <f ca="1">IFERROR(__xludf.DUMMYFUNCTION("""COMPUTED_VALUE"""),"White")</f>
        <v>White</v>
      </c>
      <c r="E806" s="5" t="str">
        <f ca="1">IFERROR(__xludf.DUMMYFUNCTION("""COMPUTED_VALUE"""),"No Relation")</f>
        <v>No Relation</v>
      </c>
      <c r="F806" s="5" t="str">
        <f ca="1">IFERROR(__xludf.DUMMYFUNCTION("""COMPUTED_VALUE"""),"Fled/Escaped")</f>
        <v>Fled/Escaped</v>
      </c>
      <c r="G806" s="5" t="str">
        <f ca="1">IFERROR(__xludf.DUMMYFUNCTION("""COMPUTED_VALUE"""),"No")</f>
        <v>No</v>
      </c>
      <c r="H806" s="5" t="str">
        <f ca="1">IFERROR(__xludf.DUMMYFUNCTION("""COMPUTED_VALUE"""),"None")</f>
        <v>None</v>
      </c>
    </row>
    <row r="807" spans="1:8" ht="13">
      <c r="A807" s="5" t="str">
        <f ca="1">IFERROR(__xludf.DUMMYFUNCTION("""COMPUTED_VALUE"""),"20200904FLLOJ")</f>
        <v>20200904FLLOJ</v>
      </c>
      <c r="B807" s="5" t="str">
        <f ca="1">IFERROR(__xludf.DUMMYFUNCTION("""COMPUTED_VALUE"""),"Adult")</f>
        <v>Adult</v>
      </c>
      <c r="C807" s="5"/>
      <c r="D807" s="5"/>
      <c r="E807" s="5" t="str">
        <f ca="1">IFERROR(__xludf.DUMMYFUNCTION("""COMPUTED_VALUE"""),"No Relation")</f>
        <v>No Relation</v>
      </c>
      <c r="F807" s="5" t="str">
        <f ca="1">IFERROR(__xludf.DUMMYFUNCTION("""COMPUTED_VALUE"""),"Fled/Escaped")</f>
        <v>Fled/Escaped</v>
      </c>
      <c r="G807" s="5" t="str">
        <f ca="1">IFERROR(__xludf.DUMMYFUNCTION("""COMPUTED_VALUE"""),"No")</f>
        <v>No</v>
      </c>
      <c r="H807" s="5" t="str">
        <f ca="1">IFERROR(__xludf.DUMMYFUNCTION("""COMPUTED_VALUE"""),"None")</f>
        <v>None</v>
      </c>
    </row>
    <row r="808" spans="1:8" ht="13">
      <c r="A808" s="5" t="str">
        <f ca="1">IFERROR(__xludf.DUMMYFUNCTION("""COMPUTED_VALUE"""),"20200903GADOA")</f>
        <v>20200903GADOA</v>
      </c>
      <c r="B808" s="5" t="str">
        <f ca="1">IFERROR(__xludf.DUMMYFUNCTION("""COMPUTED_VALUE"""),"Adult")</f>
        <v>Adult</v>
      </c>
      <c r="C808" s="5"/>
      <c r="D808" s="5"/>
      <c r="E808" s="5" t="str">
        <f ca="1">IFERROR(__xludf.DUMMYFUNCTION("""COMPUTED_VALUE"""),"No Relation")</f>
        <v>No Relation</v>
      </c>
      <c r="F808" s="5" t="str">
        <f ca="1">IFERROR(__xludf.DUMMYFUNCTION("""COMPUTED_VALUE"""),"Fled/Escaped")</f>
        <v>Fled/Escaped</v>
      </c>
      <c r="G808" s="5" t="str">
        <f ca="1">IFERROR(__xludf.DUMMYFUNCTION("""COMPUTED_VALUE"""),"No")</f>
        <v>No</v>
      </c>
      <c r="H808" s="5" t="str">
        <f ca="1">IFERROR(__xludf.DUMMYFUNCTION("""COMPUTED_VALUE"""),"None")</f>
        <v>None</v>
      </c>
    </row>
    <row r="809" spans="1:8" ht="13">
      <c r="A809" s="5" t="str">
        <f ca="1">IFERROR(__xludf.DUMMYFUNCTION("""COMPUTED_VALUE"""),"20200830TXLOD")</f>
        <v>20200830TXLOD</v>
      </c>
      <c r="B809" s="5">
        <f ca="1">IFERROR(__xludf.DUMMYFUNCTION("""COMPUTED_VALUE"""),17)</f>
        <v>17</v>
      </c>
      <c r="C809" s="5" t="str">
        <f ca="1">IFERROR(__xludf.DUMMYFUNCTION("""COMPUTED_VALUE"""),"Male")</f>
        <v>Male</v>
      </c>
      <c r="D809" s="5" t="str">
        <f ca="1">IFERROR(__xludf.DUMMYFUNCTION("""COMPUTED_VALUE"""),"Hispanic")</f>
        <v>Hispanic</v>
      </c>
      <c r="E809" s="5" t="str">
        <f ca="1">IFERROR(__xludf.DUMMYFUNCTION("""COMPUTED_VALUE"""),"No Relation")</f>
        <v>No Relation</v>
      </c>
      <c r="F809" s="5" t="str">
        <f ca="1">IFERROR(__xludf.DUMMYFUNCTION("""COMPUTED_VALUE"""),"Fled/Apprehended")</f>
        <v>Fled/Apprehended</v>
      </c>
      <c r="G809" s="5" t="str">
        <f ca="1">IFERROR(__xludf.DUMMYFUNCTION("""COMPUTED_VALUE"""),"No")</f>
        <v>No</v>
      </c>
      <c r="H809" s="5" t="str">
        <f ca="1">IFERROR(__xludf.DUMMYFUNCTION("""COMPUTED_VALUE"""),"None")</f>
        <v>None</v>
      </c>
    </row>
    <row r="810" spans="1:8" ht="13">
      <c r="A810" s="5" t="str">
        <f ca="1">IFERROR(__xludf.DUMMYFUNCTION("""COMPUTED_VALUE"""),"20200825MOWEC")</f>
        <v>20200825MOWEC</v>
      </c>
      <c r="B810" s="5" t="str">
        <f ca="1">IFERROR(__xludf.DUMMYFUNCTION("""COMPUTED_VALUE"""),"Adult")</f>
        <v>Adult</v>
      </c>
      <c r="C810" s="5"/>
      <c r="D810" s="5"/>
      <c r="E810" s="5" t="str">
        <f ca="1">IFERROR(__xludf.DUMMYFUNCTION("""COMPUTED_VALUE"""),"No Relation")</f>
        <v>No Relation</v>
      </c>
      <c r="F810" s="5" t="str">
        <f ca="1">IFERROR(__xludf.DUMMYFUNCTION("""COMPUTED_VALUE"""),"Fled/Escaped")</f>
        <v>Fled/Escaped</v>
      </c>
      <c r="G810" s="5" t="str">
        <f ca="1">IFERROR(__xludf.DUMMYFUNCTION("""COMPUTED_VALUE"""),"No")</f>
        <v>No</v>
      </c>
      <c r="H810" s="5" t="str">
        <f ca="1">IFERROR(__xludf.DUMMYFUNCTION("""COMPUTED_VALUE"""),"None")</f>
        <v>None</v>
      </c>
    </row>
    <row r="811" spans="1:8" ht="13">
      <c r="A811" s="5" t="str">
        <f ca="1">IFERROR(__xludf.DUMMYFUNCTION("""COMPUTED_VALUE"""),"20200817MIABG")</f>
        <v>20200817MIABG</v>
      </c>
      <c r="B811" s="5" t="str">
        <f ca="1">IFERROR(__xludf.DUMMYFUNCTION("""COMPUTED_VALUE"""),"Adult")</f>
        <v>Adult</v>
      </c>
      <c r="C811" s="5" t="str">
        <f ca="1">IFERROR(__xludf.DUMMYFUNCTION("""COMPUTED_VALUE"""),"Male")</f>
        <v>Male</v>
      </c>
      <c r="D811" s="5"/>
      <c r="E811" s="5" t="str">
        <f ca="1">IFERROR(__xludf.DUMMYFUNCTION("""COMPUTED_VALUE"""),"No Relation")</f>
        <v>No Relation</v>
      </c>
      <c r="F811" s="5" t="str">
        <f ca="1">IFERROR(__xludf.DUMMYFUNCTION("""COMPUTED_VALUE"""),"Fled/Escaped")</f>
        <v>Fled/Escaped</v>
      </c>
      <c r="G811" s="5" t="str">
        <f ca="1">IFERROR(__xludf.DUMMYFUNCTION("""COMPUTED_VALUE"""),"No")</f>
        <v>No</v>
      </c>
      <c r="H811" s="5" t="str">
        <f ca="1">IFERROR(__xludf.DUMMYFUNCTION("""COMPUTED_VALUE"""),"None")</f>
        <v>None</v>
      </c>
    </row>
    <row r="812" spans="1:8" ht="13">
      <c r="A812" s="5" t="str">
        <f ca="1">IFERROR(__xludf.DUMMYFUNCTION("""COMPUTED_VALUE"""),"20200804PAKEP")</f>
        <v>20200804PAKEP</v>
      </c>
      <c r="B812" s="5">
        <f ca="1">IFERROR(__xludf.DUMMYFUNCTION("""COMPUTED_VALUE"""),29)</f>
        <v>29</v>
      </c>
      <c r="C812" s="5" t="str">
        <f ca="1">IFERROR(__xludf.DUMMYFUNCTION("""COMPUTED_VALUE"""),"Male")</f>
        <v>Male</v>
      </c>
      <c r="D812" s="5"/>
      <c r="E812" s="5" t="str">
        <f ca="1">IFERROR(__xludf.DUMMYFUNCTION("""COMPUTED_VALUE"""),"No Relation")</f>
        <v>No Relation</v>
      </c>
      <c r="F812" s="5" t="str">
        <f ca="1">IFERROR(__xludf.DUMMYFUNCTION("""COMPUTED_VALUE"""),"Fled/Apprehended")</f>
        <v>Fled/Apprehended</v>
      </c>
      <c r="G812" s="5" t="str">
        <f ca="1">IFERROR(__xludf.DUMMYFUNCTION("""COMPUTED_VALUE"""),"No")</f>
        <v>No</v>
      </c>
      <c r="H812" s="5" t="str">
        <f ca="1">IFERROR(__xludf.DUMMYFUNCTION("""COMPUTED_VALUE"""),"None")</f>
        <v>None</v>
      </c>
    </row>
    <row r="813" spans="1:8" ht="13">
      <c r="A813" s="5" t="str">
        <f ca="1">IFERROR(__xludf.DUMMYFUNCTION("""COMPUTED_VALUE"""),"20200729ILCOC")</f>
        <v>20200729ILCOC</v>
      </c>
      <c r="B813" s="5">
        <f ca="1">IFERROR(__xludf.DUMMYFUNCTION("""COMPUTED_VALUE"""),17)</f>
        <v>17</v>
      </c>
      <c r="C813" s="5" t="str">
        <f ca="1">IFERROR(__xludf.DUMMYFUNCTION("""COMPUTED_VALUE"""),"Male")</f>
        <v>Male</v>
      </c>
      <c r="D813" s="5"/>
      <c r="E813" s="5"/>
      <c r="F813" s="5" t="str">
        <f ca="1">IFERROR(__xludf.DUMMYFUNCTION("""COMPUTED_VALUE"""),"Apprehended/Killed by LE")</f>
        <v>Apprehended/Killed by LE</v>
      </c>
      <c r="G813" s="5" t="str">
        <f ca="1">IFERROR(__xludf.DUMMYFUNCTION("""COMPUTED_VALUE"""),"No")</f>
        <v>No</v>
      </c>
      <c r="H813" s="5" t="str">
        <f ca="1">IFERROR(__xludf.DUMMYFUNCTION("""COMPUTED_VALUE"""),"Wounded")</f>
        <v>Wounded</v>
      </c>
    </row>
    <row r="814" spans="1:8" ht="13">
      <c r="A814" s="5" t="str">
        <f ca="1">IFERROR(__xludf.DUMMYFUNCTION("""COMPUTED_VALUE"""),"20200727AZCAO")</f>
        <v>20200727AZCAO</v>
      </c>
      <c r="B814" s="5">
        <f ca="1">IFERROR(__xludf.DUMMYFUNCTION("""COMPUTED_VALUE"""),40)</f>
        <v>40</v>
      </c>
      <c r="C814" s="5" t="str">
        <f ca="1">IFERROR(__xludf.DUMMYFUNCTION("""COMPUTED_VALUE"""),"Male")</f>
        <v>Male</v>
      </c>
      <c r="D814" s="5"/>
      <c r="E814" s="5" t="str">
        <f ca="1">IFERROR(__xludf.DUMMYFUNCTION("""COMPUTED_VALUE"""),"Other Staff")</f>
        <v>Other Staff</v>
      </c>
      <c r="F814" s="5" t="str">
        <f ca="1">IFERROR(__xludf.DUMMYFUNCTION("""COMPUTED_VALUE"""),"Apprehended/Killed by Other")</f>
        <v>Apprehended/Killed by Other</v>
      </c>
      <c r="G814" s="5" t="str">
        <f ca="1">IFERROR(__xludf.DUMMYFUNCTION("""COMPUTED_VALUE"""),"Yes")</f>
        <v>Yes</v>
      </c>
      <c r="H814" s="5" t="str">
        <f ca="1">IFERROR(__xludf.DUMMYFUNCTION("""COMPUTED_VALUE"""),"Fatal")</f>
        <v>Fatal</v>
      </c>
    </row>
    <row r="815" spans="1:8" ht="13">
      <c r="A815" s="5" t="str">
        <f ca="1">IFERROR(__xludf.DUMMYFUNCTION("""COMPUTED_VALUE"""),"20200721SCBRO")</f>
        <v>20200721SCBRO</v>
      </c>
      <c r="B815" s="5">
        <f ca="1">IFERROR(__xludf.DUMMYFUNCTION("""COMPUTED_VALUE"""),21)</f>
        <v>21</v>
      </c>
      <c r="C815" s="5" t="str">
        <f ca="1">IFERROR(__xludf.DUMMYFUNCTION("""COMPUTED_VALUE"""),"Male")</f>
        <v>Male</v>
      </c>
      <c r="D815" s="5" t="str">
        <f ca="1">IFERROR(__xludf.DUMMYFUNCTION("""COMPUTED_VALUE"""),"Black")</f>
        <v>Black</v>
      </c>
      <c r="E815" s="5" t="str">
        <f ca="1">IFERROR(__xludf.DUMMYFUNCTION("""COMPUTED_VALUE"""),"Nonstudent Using Athletic Facilities/Attending Game")</f>
        <v>Nonstudent Using Athletic Facilities/Attending Game</v>
      </c>
      <c r="F815" s="5" t="str">
        <f ca="1">IFERROR(__xludf.DUMMYFUNCTION("""COMPUTED_VALUE"""),"Fled/Apprehended")</f>
        <v>Fled/Apprehended</v>
      </c>
      <c r="G815" s="5" t="str">
        <f ca="1">IFERROR(__xludf.DUMMYFUNCTION("""COMPUTED_VALUE"""),"No")</f>
        <v>No</v>
      </c>
      <c r="H815" s="5" t="str">
        <f ca="1">IFERROR(__xludf.DUMMYFUNCTION("""COMPUTED_VALUE"""),"None")</f>
        <v>None</v>
      </c>
    </row>
    <row r="816" spans="1:8" ht="13">
      <c r="A816" s="5" t="str">
        <f ca="1">IFERROR(__xludf.DUMMYFUNCTION("""COMPUTED_VALUE"""),"20200714MIWID")</f>
        <v>20200714MIWID</v>
      </c>
      <c r="B816" s="5" t="str">
        <f ca="1">IFERROR(__xludf.DUMMYFUNCTION("""COMPUTED_VALUE"""),"Adult")</f>
        <v>Adult</v>
      </c>
      <c r="C816" s="5" t="str">
        <f ca="1">IFERROR(__xludf.DUMMYFUNCTION("""COMPUTED_VALUE"""),"Male")</f>
        <v>Male</v>
      </c>
      <c r="D816" s="5"/>
      <c r="E816" s="5" t="str">
        <f ca="1">IFERROR(__xludf.DUMMYFUNCTION("""COMPUTED_VALUE"""),"No Relation")</f>
        <v>No Relation</v>
      </c>
      <c r="F816" s="5" t="str">
        <f ca="1">IFERROR(__xludf.DUMMYFUNCTION("""COMPUTED_VALUE"""),"Fled/Escaped")</f>
        <v>Fled/Escaped</v>
      </c>
      <c r="G816" s="5" t="str">
        <f ca="1">IFERROR(__xludf.DUMMYFUNCTION("""COMPUTED_VALUE"""),"No")</f>
        <v>No</v>
      </c>
      <c r="H816" s="5" t="str">
        <f ca="1">IFERROR(__xludf.DUMMYFUNCTION("""COMPUTED_VALUE"""),"None")</f>
        <v>None</v>
      </c>
    </row>
    <row r="817" spans="1:8" ht="13">
      <c r="A817" s="5" t="str">
        <f ca="1">IFERROR(__xludf.DUMMYFUNCTION("""COMPUTED_VALUE"""),"20200704INLAM")</f>
        <v>20200704INLAM</v>
      </c>
      <c r="B817" s="5">
        <f ca="1">IFERROR(__xludf.DUMMYFUNCTION("""COMPUTED_VALUE"""),22)</f>
        <v>22</v>
      </c>
      <c r="C817" s="5" t="str">
        <f ca="1">IFERROR(__xludf.DUMMYFUNCTION("""COMPUTED_VALUE"""),"Male")</f>
        <v>Male</v>
      </c>
      <c r="D817" s="5" t="str">
        <f ca="1">IFERROR(__xludf.DUMMYFUNCTION("""COMPUTED_VALUE"""),"White")</f>
        <v>White</v>
      </c>
      <c r="E817" s="5" t="str">
        <f ca="1">IFERROR(__xludf.DUMMYFUNCTION("""COMPUTED_VALUE"""),"No Relation")</f>
        <v>No Relation</v>
      </c>
      <c r="F817" s="5" t="str">
        <f ca="1">IFERROR(__xludf.DUMMYFUNCTION("""COMPUTED_VALUE"""),"Fled/Apprehended")</f>
        <v>Fled/Apprehended</v>
      </c>
      <c r="G817" s="5" t="str">
        <f ca="1">IFERROR(__xludf.DUMMYFUNCTION("""COMPUTED_VALUE"""),"No")</f>
        <v>No</v>
      </c>
      <c r="H817" s="5" t="str">
        <f ca="1">IFERROR(__xludf.DUMMYFUNCTION("""COMPUTED_VALUE"""),"None")</f>
        <v>None</v>
      </c>
    </row>
    <row r="818" spans="1:8" ht="13">
      <c r="A818" s="5" t="str">
        <f ca="1">IFERROR(__xludf.DUMMYFUNCTION("""COMPUTED_VALUE"""),"20200701ILFRP")</f>
        <v>20200701ILFRP</v>
      </c>
      <c r="B818" s="5">
        <f ca="1">IFERROR(__xludf.DUMMYFUNCTION("""COMPUTED_VALUE"""),25)</f>
        <v>25</v>
      </c>
      <c r="C818" s="5" t="str">
        <f ca="1">IFERROR(__xludf.DUMMYFUNCTION("""COMPUTED_VALUE"""),"Male")</f>
        <v>Male</v>
      </c>
      <c r="D818" s="5" t="str">
        <f ca="1">IFERROR(__xludf.DUMMYFUNCTION("""COMPUTED_VALUE"""),"White")</f>
        <v>White</v>
      </c>
      <c r="E818" s="5" t="str">
        <f ca="1">IFERROR(__xludf.DUMMYFUNCTION("""COMPUTED_VALUE"""),"No Relation")</f>
        <v>No Relation</v>
      </c>
      <c r="F818" s="5" t="str">
        <f ca="1">IFERROR(__xludf.DUMMYFUNCTION("""COMPUTED_VALUE"""),"Fled/Apprehended")</f>
        <v>Fled/Apprehended</v>
      </c>
      <c r="G818" s="5" t="str">
        <f ca="1">IFERROR(__xludf.DUMMYFUNCTION("""COMPUTED_VALUE"""),"No")</f>
        <v>No</v>
      </c>
      <c r="H818" s="5" t="str">
        <f ca="1">IFERROR(__xludf.DUMMYFUNCTION("""COMPUTED_VALUE"""),"None")</f>
        <v>None</v>
      </c>
    </row>
    <row r="819" spans="1:8" ht="13">
      <c r="A819" s="5" t="str">
        <f ca="1">IFERROR(__xludf.DUMMYFUNCTION("""COMPUTED_VALUE"""),"20200630OHLAW")</f>
        <v>20200630OHLAW</v>
      </c>
      <c r="B819" s="5">
        <f ca="1">IFERROR(__xludf.DUMMYFUNCTION("""COMPUTED_VALUE"""),19)</f>
        <v>19</v>
      </c>
      <c r="C819" s="5" t="str">
        <f ca="1">IFERROR(__xludf.DUMMYFUNCTION("""COMPUTED_VALUE"""),"Male")</f>
        <v>Male</v>
      </c>
      <c r="D819" s="5" t="str">
        <f ca="1">IFERROR(__xludf.DUMMYFUNCTION("""COMPUTED_VALUE"""),"White")</f>
        <v>White</v>
      </c>
      <c r="E819" s="5" t="str">
        <f ca="1">IFERROR(__xludf.DUMMYFUNCTION("""COMPUTED_VALUE"""),"No Relation")</f>
        <v>No Relation</v>
      </c>
      <c r="F819" s="5" t="str">
        <f ca="1">IFERROR(__xludf.DUMMYFUNCTION("""COMPUTED_VALUE"""),"Fled/Apprehended")</f>
        <v>Fled/Apprehended</v>
      </c>
      <c r="G819" s="5" t="str">
        <f ca="1">IFERROR(__xludf.DUMMYFUNCTION("""COMPUTED_VALUE"""),"No")</f>
        <v>No</v>
      </c>
      <c r="H819" s="5" t="str">
        <f ca="1">IFERROR(__xludf.DUMMYFUNCTION("""COMPUTED_VALUE"""),"None")</f>
        <v>None</v>
      </c>
    </row>
    <row r="820" spans="1:8" ht="13">
      <c r="A820" s="5" t="str">
        <f ca="1">IFERROR(__xludf.DUMMYFUNCTION("""COMPUTED_VALUE"""),"20200627VAHAS")</f>
        <v>20200627VAHAS</v>
      </c>
      <c r="B820" s="5">
        <f ca="1">IFERROR(__xludf.DUMMYFUNCTION("""COMPUTED_VALUE"""),17)</f>
        <v>17</v>
      </c>
      <c r="C820" s="5" t="str">
        <f ca="1">IFERROR(__xludf.DUMMYFUNCTION("""COMPUTED_VALUE"""),"Male")</f>
        <v>Male</v>
      </c>
      <c r="D820" s="5"/>
      <c r="E820" s="5" t="str">
        <f ca="1">IFERROR(__xludf.DUMMYFUNCTION("""COMPUTED_VALUE"""),"Unknown")</f>
        <v>Unknown</v>
      </c>
      <c r="F820" s="5" t="str">
        <f ca="1">IFERROR(__xludf.DUMMYFUNCTION("""COMPUTED_VALUE"""),"Fled/Apprehended")</f>
        <v>Fled/Apprehended</v>
      </c>
      <c r="G820" s="5" t="str">
        <f ca="1">IFERROR(__xludf.DUMMYFUNCTION("""COMPUTED_VALUE"""),"No")</f>
        <v>No</v>
      </c>
      <c r="H820" s="5" t="str">
        <f ca="1">IFERROR(__xludf.DUMMYFUNCTION("""COMPUTED_VALUE"""),"None")</f>
        <v>None</v>
      </c>
    </row>
    <row r="821" spans="1:8" ht="13">
      <c r="A821" s="5" t="str">
        <f ca="1">IFERROR(__xludf.DUMMYFUNCTION("""COMPUTED_VALUE"""),"20200621INCOC")</f>
        <v>20200621INCOC</v>
      </c>
      <c r="B821" s="5">
        <f ca="1">IFERROR(__xludf.DUMMYFUNCTION("""COMPUTED_VALUE"""),14)</f>
        <v>14</v>
      </c>
      <c r="C821" s="5" t="str">
        <f ca="1">IFERROR(__xludf.DUMMYFUNCTION("""COMPUTED_VALUE"""),"Male")</f>
        <v>Male</v>
      </c>
      <c r="D821" s="5"/>
      <c r="E821" s="5" t="str">
        <f ca="1">IFERROR(__xludf.DUMMYFUNCTION("""COMPUTED_VALUE"""),"Unknown")</f>
        <v>Unknown</v>
      </c>
      <c r="F821" s="5" t="str">
        <f ca="1">IFERROR(__xludf.DUMMYFUNCTION("""COMPUTED_VALUE"""),"Fled/Apprehended")</f>
        <v>Fled/Apprehended</v>
      </c>
      <c r="G821" s="5" t="str">
        <f ca="1">IFERROR(__xludf.DUMMYFUNCTION("""COMPUTED_VALUE"""),"No")</f>
        <v>No</v>
      </c>
      <c r="H821" s="5" t="str">
        <f ca="1">IFERROR(__xludf.DUMMYFUNCTION("""COMPUTED_VALUE"""),"None")</f>
        <v>None</v>
      </c>
    </row>
    <row r="822" spans="1:8" ht="13">
      <c r="A822" s="5" t="str">
        <f ca="1">IFERROR(__xludf.DUMMYFUNCTION("""COMPUTED_VALUE"""),"20200621INCOC")</f>
        <v>20200621INCOC</v>
      </c>
      <c r="B822" s="5">
        <f ca="1">IFERROR(__xludf.DUMMYFUNCTION("""COMPUTED_VALUE"""),16)</f>
        <v>16</v>
      </c>
      <c r="C822" s="5" t="str">
        <f ca="1">IFERROR(__xludf.DUMMYFUNCTION("""COMPUTED_VALUE"""),"Male")</f>
        <v>Male</v>
      </c>
      <c r="D822" s="5"/>
      <c r="E822" s="5" t="str">
        <f ca="1">IFERROR(__xludf.DUMMYFUNCTION("""COMPUTED_VALUE"""),"Unknown")</f>
        <v>Unknown</v>
      </c>
      <c r="F822" s="5" t="str">
        <f ca="1">IFERROR(__xludf.DUMMYFUNCTION("""COMPUTED_VALUE"""),"Fled/Apprehended")</f>
        <v>Fled/Apprehended</v>
      </c>
      <c r="G822" s="5" t="str">
        <f ca="1">IFERROR(__xludf.DUMMYFUNCTION("""COMPUTED_VALUE"""),"No")</f>
        <v>No</v>
      </c>
      <c r="H822" s="5" t="str">
        <f ca="1">IFERROR(__xludf.DUMMYFUNCTION("""COMPUTED_VALUE"""),"None")</f>
        <v>None</v>
      </c>
    </row>
    <row r="823" spans="1:8" ht="13">
      <c r="A823" s="5" t="str">
        <f ca="1">IFERROR(__xludf.DUMMYFUNCTION("""COMPUTED_VALUE"""),"20200621INCOC")</f>
        <v>20200621INCOC</v>
      </c>
      <c r="B823" s="5">
        <f ca="1">IFERROR(__xludf.DUMMYFUNCTION("""COMPUTED_VALUE"""),16)</f>
        <v>16</v>
      </c>
      <c r="C823" s="5" t="str">
        <f ca="1">IFERROR(__xludf.DUMMYFUNCTION("""COMPUTED_VALUE"""),"Male")</f>
        <v>Male</v>
      </c>
      <c r="D823" s="5"/>
      <c r="E823" s="5" t="str">
        <f ca="1">IFERROR(__xludf.DUMMYFUNCTION("""COMPUTED_VALUE"""),"Unknown")</f>
        <v>Unknown</v>
      </c>
      <c r="F823" s="5" t="str">
        <f ca="1">IFERROR(__xludf.DUMMYFUNCTION("""COMPUTED_VALUE"""),"Fled/Apprehended")</f>
        <v>Fled/Apprehended</v>
      </c>
      <c r="G823" s="5" t="str">
        <f ca="1">IFERROR(__xludf.DUMMYFUNCTION("""COMPUTED_VALUE"""),"No")</f>
        <v>No</v>
      </c>
      <c r="H823" s="5" t="str">
        <f ca="1">IFERROR(__xludf.DUMMYFUNCTION("""COMPUTED_VALUE"""),"None")</f>
        <v>None</v>
      </c>
    </row>
    <row r="824" spans="1:8" ht="13">
      <c r="A824" s="5" t="str">
        <f ca="1">IFERROR(__xludf.DUMMYFUNCTION("""COMPUTED_VALUE"""),"20200618INJOI")</f>
        <v>20200618INJOI</v>
      </c>
      <c r="B824" s="5"/>
      <c r="C824" s="5"/>
      <c r="D824" s="5"/>
      <c r="E824" s="5" t="str">
        <f ca="1">IFERROR(__xludf.DUMMYFUNCTION("""COMPUTED_VALUE"""),"No Relation")</f>
        <v>No Relation</v>
      </c>
      <c r="F824" s="5" t="str">
        <f ca="1">IFERROR(__xludf.DUMMYFUNCTION("""COMPUTED_VALUE"""),"Fled/Escaped")</f>
        <v>Fled/Escaped</v>
      </c>
      <c r="G824" s="5"/>
      <c r="H824" s="5"/>
    </row>
    <row r="825" spans="1:8" ht="13">
      <c r="A825" s="5" t="str">
        <f ca="1">IFERROR(__xludf.DUMMYFUNCTION("""COMPUTED_VALUE"""),"20200616FLTOM")</f>
        <v>20200616FLTOM</v>
      </c>
      <c r="B825" s="5"/>
      <c r="C825" s="5" t="str">
        <f ca="1">IFERROR(__xludf.DUMMYFUNCTION("""COMPUTED_VALUE"""),"Male")</f>
        <v>Male</v>
      </c>
      <c r="D825" s="5"/>
      <c r="E825" s="5" t="str">
        <f ca="1">IFERROR(__xludf.DUMMYFUNCTION("""COMPUTED_VALUE"""),"No Relation")</f>
        <v>No Relation</v>
      </c>
      <c r="F825" s="5" t="str">
        <f ca="1">IFERROR(__xludf.DUMMYFUNCTION("""COMPUTED_VALUE"""),"Fled/Escaped")</f>
        <v>Fled/Escaped</v>
      </c>
      <c r="G825" s="5" t="str">
        <f ca="1">IFERROR(__xludf.DUMMYFUNCTION("""COMPUTED_VALUE"""),"No")</f>
        <v>No</v>
      </c>
      <c r="H825" s="5" t="str">
        <f ca="1">IFERROR(__xludf.DUMMYFUNCTION("""COMPUTED_VALUE"""),"None")</f>
        <v>None</v>
      </c>
    </row>
    <row r="826" spans="1:8" ht="13">
      <c r="A826" s="5" t="str">
        <f ca="1">IFERROR(__xludf.DUMMYFUNCTION("""COMPUTED_VALUE"""),"20200603IAGAD")</f>
        <v>20200603IAGAD</v>
      </c>
      <c r="B826" s="5" t="str">
        <f ca="1">IFERROR(__xludf.DUMMYFUNCTION("""COMPUTED_VALUE"""),"Adult")</f>
        <v>Adult</v>
      </c>
      <c r="C826" s="5" t="str">
        <f ca="1">IFERROR(__xludf.DUMMYFUNCTION("""COMPUTED_VALUE"""),"Male")</f>
        <v>Male</v>
      </c>
      <c r="D826" s="5"/>
      <c r="E826" s="5" t="str">
        <f ca="1">IFERROR(__xludf.DUMMYFUNCTION("""COMPUTED_VALUE"""),"No Relation")</f>
        <v>No Relation</v>
      </c>
      <c r="F826" s="5" t="str">
        <f ca="1">IFERROR(__xludf.DUMMYFUNCTION("""COMPUTED_VALUE"""),"Fled/Escaped")</f>
        <v>Fled/Escaped</v>
      </c>
      <c r="G826" s="5" t="str">
        <f ca="1">IFERROR(__xludf.DUMMYFUNCTION("""COMPUTED_VALUE"""),"No")</f>
        <v>No</v>
      </c>
      <c r="H826" s="5" t="str">
        <f ca="1">IFERROR(__xludf.DUMMYFUNCTION("""COMPUTED_VALUE"""),"None")</f>
        <v>None</v>
      </c>
    </row>
    <row r="827" spans="1:8" ht="13">
      <c r="A827" s="5" t="str">
        <f ca="1">IFERROR(__xludf.DUMMYFUNCTION("""COMPUTED_VALUE"""),"20200527OHLUC")</f>
        <v>20200527OHLUC</v>
      </c>
      <c r="B827" s="5">
        <f ca="1">IFERROR(__xludf.DUMMYFUNCTION("""COMPUTED_VALUE"""),21)</f>
        <v>21</v>
      </c>
      <c r="C827" s="5" t="str">
        <f ca="1">IFERROR(__xludf.DUMMYFUNCTION("""COMPUTED_VALUE"""),"Male")</f>
        <v>Male</v>
      </c>
      <c r="D827" s="5"/>
      <c r="E827" s="5" t="str">
        <f ca="1">IFERROR(__xludf.DUMMYFUNCTION("""COMPUTED_VALUE"""),"No Relation")</f>
        <v>No Relation</v>
      </c>
      <c r="F827" s="5" t="str">
        <f ca="1">IFERROR(__xludf.DUMMYFUNCTION("""COMPUTED_VALUE"""),"Apprehended/Killed by Other")</f>
        <v>Apprehended/Killed by Other</v>
      </c>
      <c r="G827" s="5" t="str">
        <f ca="1">IFERROR(__xludf.DUMMYFUNCTION("""COMPUTED_VALUE"""),"Yes")</f>
        <v>Yes</v>
      </c>
      <c r="H827" s="5" t="str">
        <f ca="1">IFERROR(__xludf.DUMMYFUNCTION("""COMPUTED_VALUE"""),"Fatal")</f>
        <v>Fatal</v>
      </c>
    </row>
    <row r="828" spans="1:8" ht="13">
      <c r="A828" s="5" t="str">
        <f ca="1">IFERROR(__xludf.DUMMYFUNCTION("""COMPUTED_VALUE"""),"20200527OHLUC")</f>
        <v>20200527OHLUC</v>
      </c>
      <c r="B828" s="5" t="str">
        <f ca="1">IFERROR(__xludf.DUMMYFUNCTION("""COMPUTED_VALUE"""),"Adult")</f>
        <v>Adult</v>
      </c>
      <c r="C828" s="5" t="str">
        <f ca="1">IFERROR(__xludf.DUMMYFUNCTION("""COMPUTED_VALUE"""),"Male")</f>
        <v>Male</v>
      </c>
      <c r="D828" s="5"/>
      <c r="E828" s="5" t="str">
        <f ca="1">IFERROR(__xludf.DUMMYFUNCTION("""COMPUTED_VALUE"""),"No Relation")</f>
        <v>No Relation</v>
      </c>
      <c r="F828" s="5" t="str">
        <f ca="1">IFERROR(__xludf.DUMMYFUNCTION("""COMPUTED_VALUE"""),"Surrendered")</f>
        <v>Surrendered</v>
      </c>
      <c r="G828" s="5" t="str">
        <f ca="1">IFERROR(__xludf.DUMMYFUNCTION("""COMPUTED_VALUE"""),"No")</f>
        <v>No</v>
      </c>
      <c r="H828" s="5" t="str">
        <f ca="1">IFERROR(__xludf.DUMMYFUNCTION("""COMPUTED_VALUE"""),"Wounded")</f>
        <v>Wounded</v>
      </c>
    </row>
    <row r="829" spans="1:8" ht="13">
      <c r="A829" s="5" t="str">
        <f ca="1">IFERROR(__xludf.DUMMYFUNCTION("""COMPUTED_VALUE"""),"20200525ALORM")</f>
        <v>20200525ALORM</v>
      </c>
      <c r="B829" s="5"/>
      <c r="C829" s="5" t="str">
        <f ca="1">IFERROR(__xludf.DUMMYFUNCTION("""COMPUTED_VALUE"""),"Male")</f>
        <v>Male</v>
      </c>
      <c r="D829" s="5"/>
      <c r="E829" s="5" t="str">
        <f ca="1">IFERROR(__xludf.DUMMYFUNCTION("""COMPUTED_VALUE"""),"No Relation")</f>
        <v>No Relation</v>
      </c>
      <c r="F829" s="5" t="str">
        <f ca="1">IFERROR(__xludf.DUMMYFUNCTION("""COMPUTED_VALUE"""),"Fled/Escaped")</f>
        <v>Fled/Escaped</v>
      </c>
      <c r="G829" s="5" t="str">
        <f ca="1">IFERROR(__xludf.DUMMYFUNCTION("""COMPUTED_VALUE"""),"No")</f>
        <v>No</v>
      </c>
      <c r="H829" s="5" t="str">
        <f ca="1">IFERROR(__xludf.DUMMYFUNCTION("""COMPUTED_VALUE"""),"None")</f>
        <v>None</v>
      </c>
    </row>
    <row r="830" spans="1:8" ht="13">
      <c r="A830" s="5" t="str">
        <f ca="1">IFERROR(__xludf.DUMMYFUNCTION("""COMPUTED_VALUE"""),"20200522OHMIC")</f>
        <v>20200522OHMIC</v>
      </c>
      <c r="B830" s="5"/>
      <c r="C830" s="5"/>
      <c r="D830" s="5"/>
      <c r="E830" s="5" t="str">
        <f ca="1">IFERROR(__xludf.DUMMYFUNCTION("""COMPUTED_VALUE"""),"Unknown")</f>
        <v>Unknown</v>
      </c>
      <c r="F830" s="5" t="str">
        <f ca="1">IFERROR(__xludf.DUMMYFUNCTION("""COMPUTED_VALUE"""),"Fled/Escaped")</f>
        <v>Fled/Escaped</v>
      </c>
      <c r="G830" s="5" t="str">
        <f ca="1">IFERROR(__xludf.DUMMYFUNCTION("""COMPUTED_VALUE"""),"No")</f>
        <v>No</v>
      </c>
      <c r="H830" s="5" t="str">
        <f ca="1">IFERROR(__xludf.DUMMYFUNCTION("""COMPUTED_VALUE"""),"None")</f>
        <v>None</v>
      </c>
    </row>
    <row r="831" spans="1:8" ht="13">
      <c r="A831" s="5" t="str">
        <f ca="1">IFERROR(__xludf.DUMMYFUNCTION("""COMPUTED_VALUE"""),"20200519VAWEM")</f>
        <v>20200519VAWEM</v>
      </c>
      <c r="B831" s="5">
        <f ca="1">IFERROR(__xludf.DUMMYFUNCTION("""COMPUTED_VALUE"""),18)</f>
        <v>18</v>
      </c>
      <c r="C831" s="5" t="str">
        <f ca="1">IFERROR(__xludf.DUMMYFUNCTION("""COMPUTED_VALUE"""),"Male")</f>
        <v>Male</v>
      </c>
      <c r="D831" s="5"/>
      <c r="E831" s="5" t="str">
        <f ca="1">IFERROR(__xludf.DUMMYFUNCTION("""COMPUTED_VALUE"""),"No Relation")</f>
        <v>No Relation</v>
      </c>
      <c r="F831" s="5" t="str">
        <f ca="1">IFERROR(__xludf.DUMMYFUNCTION("""COMPUTED_VALUE"""),"Fled/Apprehended")</f>
        <v>Fled/Apprehended</v>
      </c>
      <c r="G831" s="5" t="str">
        <f ca="1">IFERROR(__xludf.DUMMYFUNCTION("""COMPUTED_VALUE"""),"No")</f>
        <v>No</v>
      </c>
      <c r="H831" s="5" t="str">
        <f ca="1">IFERROR(__xludf.DUMMYFUNCTION("""COMPUTED_VALUE"""),"None")</f>
        <v>None</v>
      </c>
    </row>
    <row r="832" spans="1:8" ht="13">
      <c r="A832" s="5" t="str">
        <f ca="1">IFERROR(__xludf.DUMMYFUNCTION("""COMPUTED_VALUE"""),"20200515NCSTC")</f>
        <v>20200515NCSTC</v>
      </c>
      <c r="B832" s="5" t="str">
        <f ca="1">IFERROR(__xludf.DUMMYFUNCTION("""COMPUTED_VALUE"""),"Adult")</f>
        <v>Adult</v>
      </c>
      <c r="C832" s="5" t="str">
        <f ca="1">IFERROR(__xludf.DUMMYFUNCTION("""COMPUTED_VALUE"""),"Male")</f>
        <v>Male</v>
      </c>
      <c r="D832" s="5" t="str">
        <f ca="1">IFERROR(__xludf.DUMMYFUNCTION("""COMPUTED_VALUE"""),"White")</f>
        <v>White</v>
      </c>
      <c r="E832" s="5" t="str">
        <f ca="1">IFERROR(__xludf.DUMMYFUNCTION("""COMPUTED_VALUE"""),"No Relation")</f>
        <v>No Relation</v>
      </c>
      <c r="F832" s="5" t="str">
        <f ca="1">IFERROR(__xludf.DUMMYFUNCTION("""COMPUTED_VALUE"""),"Fled/Apprehended")</f>
        <v>Fled/Apprehended</v>
      </c>
      <c r="G832" s="5" t="str">
        <f ca="1">IFERROR(__xludf.DUMMYFUNCTION("""COMPUTED_VALUE"""),"No")</f>
        <v>No</v>
      </c>
      <c r="H832" s="5" t="str">
        <f ca="1">IFERROR(__xludf.DUMMYFUNCTION("""COMPUTED_VALUE"""),"None")</f>
        <v>None</v>
      </c>
    </row>
    <row r="833" spans="1:8" ht="13">
      <c r="A833" s="5" t="str">
        <f ca="1">IFERROR(__xludf.DUMMYFUNCTION("""COMPUTED_VALUE"""),"20200505CAGOV")</f>
        <v>20200505CAGOV</v>
      </c>
      <c r="B833" s="5"/>
      <c r="C833" s="5"/>
      <c r="D833" s="5"/>
      <c r="E833" s="5" t="str">
        <f ca="1">IFERROR(__xludf.DUMMYFUNCTION("""COMPUTED_VALUE"""),"Unknown")</f>
        <v>Unknown</v>
      </c>
      <c r="F833" s="5" t="str">
        <f ca="1">IFERROR(__xludf.DUMMYFUNCTION("""COMPUTED_VALUE"""),"Fled/Escaped")</f>
        <v>Fled/Escaped</v>
      </c>
      <c r="G833" s="5" t="str">
        <f ca="1">IFERROR(__xludf.DUMMYFUNCTION("""COMPUTED_VALUE"""),"No")</f>
        <v>No</v>
      </c>
      <c r="H833" s="5" t="str">
        <f ca="1">IFERROR(__xludf.DUMMYFUNCTION("""COMPUTED_VALUE"""),"None")</f>
        <v>None</v>
      </c>
    </row>
    <row r="834" spans="1:8" ht="13">
      <c r="A834" s="5" t="str">
        <f ca="1">IFERROR(__xludf.DUMMYFUNCTION("""COMPUTED_VALUE"""),"20200419NCABR")</f>
        <v>20200419NCABR</v>
      </c>
      <c r="B834" s="5">
        <f ca="1">IFERROR(__xludf.DUMMYFUNCTION("""COMPUTED_VALUE"""),24)</f>
        <v>24</v>
      </c>
      <c r="C834" s="5" t="str">
        <f ca="1">IFERROR(__xludf.DUMMYFUNCTION("""COMPUTED_VALUE"""),"Male")</f>
        <v>Male</v>
      </c>
      <c r="D834" s="5"/>
      <c r="E834" s="5" t="str">
        <f ca="1">IFERROR(__xludf.DUMMYFUNCTION("""COMPUTED_VALUE"""),"No Relation")</f>
        <v>No Relation</v>
      </c>
      <c r="F834" s="5" t="str">
        <f ca="1">IFERROR(__xludf.DUMMYFUNCTION("""COMPUTED_VALUE"""),"Fled/Apprehended")</f>
        <v>Fled/Apprehended</v>
      </c>
      <c r="G834" s="5" t="str">
        <f ca="1">IFERROR(__xludf.DUMMYFUNCTION("""COMPUTED_VALUE"""),"No")</f>
        <v>No</v>
      </c>
      <c r="H834" s="5" t="str">
        <f ca="1">IFERROR(__xludf.DUMMYFUNCTION("""COMPUTED_VALUE"""),"None")</f>
        <v>None</v>
      </c>
    </row>
    <row r="835" spans="1:8" ht="13">
      <c r="A835" s="5" t="str">
        <f ca="1">IFERROR(__xludf.DUMMYFUNCTION("""COMPUTED_VALUE"""),"20200413NEMOO")</f>
        <v>20200413NEMOO</v>
      </c>
      <c r="B835" s="5"/>
      <c r="C835" s="5" t="str">
        <f ca="1">IFERROR(__xludf.DUMMYFUNCTION("""COMPUTED_VALUE"""),"Male")</f>
        <v>Male</v>
      </c>
      <c r="D835" s="5"/>
      <c r="E835" s="5" t="str">
        <f ca="1">IFERROR(__xludf.DUMMYFUNCTION("""COMPUTED_VALUE"""),"No Relation")</f>
        <v>No Relation</v>
      </c>
      <c r="F835" s="5" t="str">
        <f ca="1">IFERROR(__xludf.DUMMYFUNCTION("""COMPUTED_VALUE"""),"Fled/Escaped")</f>
        <v>Fled/Escaped</v>
      </c>
      <c r="G835" s="5" t="str">
        <f ca="1">IFERROR(__xludf.DUMMYFUNCTION("""COMPUTED_VALUE"""),"No")</f>
        <v>No</v>
      </c>
      <c r="H835" s="5" t="str">
        <f ca="1">IFERROR(__xludf.DUMMYFUNCTION("""COMPUTED_VALUE"""),"None")</f>
        <v>None</v>
      </c>
    </row>
    <row r="836" spans="1:8" ht="13">
      <c r="A836" s="5" t="str">
        <f ca="1">IFERROR(__xludf.DUMMYFUNCTION("""COMPUTED_VALUE"""),"20200330GANAS")</f>
        <v>20200330GANAS</v>
      </c>
      <c r="B836" s="5"/>
      <c r="C836" s="5"/>
      <c r="D836" s="5"/>
      <c r="E836" s="5" t="str">
        <f ca="1">IFERROR(__xludf.DUMMYFUNCTION("""COMPUTED_VALUE"""),"No Relation")</f>
        <v>No Relation</v>
      </c>
      <c r="F836" s="5" t="str">
        <f ca="1">IFERROR(__xludf.DUMMYFUNCTION("""COMPUTED_VALUE"""),"Fled/Apprehended")</f>
        <v>Fled/Apprehended</v>
      </c>
      <c r="G836" s="5" t="str">
        <f ca="1">IFERROR(__xludf.DUMMYFUNCTION("""COMPUTED_VALUE"""),"No")</f>
        <v>No</v>
      </c>
      <c r="H836" s="5" t="str">
        <f ca="1">IFERROR(__xludf.DUMMYFUNCTION("""COMPUTED_VALUE"""),"None")</f>
        <v>None</v>
      </c>
    </row>
    <row r="837" spans="1:8" ht="13">
      <c r="A837" s="5" t="str">
        <f ca="1">IFERROR(__xludf.DUMMYFUNCTION("""COMPUTED_VALUE"""),"20200330GANAS")</f>
        <v>20200330GANAS</v>
      </c>
      <c r="B837" s="5"/>
      <c r="C837" s="5"/>
      <c r="D837" s="5"/>
      <c r="E837" s="5" t="str">
        <f ca="1">IFERROR(__xludf.DUMMYFUNCTION("""COMPUTED_VALUE"""),"No Relation")</f>
        <v>No Relation</v>
      </c>
      <c r="F837" s="5" t="str">
        <f ca="1">IFERROR(__xludf.DUMMYFUNCTION("""COMPUTED_VALUE"""),"Fled/Apprehended")</f>
        <v>Fled/Apprehended</v>
      </c>
      <c r="G837" s="5" t="str">
        <f ca="1">IFERROR(__xludf.DUMMYFUNCTION("""COMPUTED_VALUE"""),"No")</f>
        <v>No</v>
      </c>
      <c r="H837" s="5" t="str">
        <f ca="1">IFERROR(__xludf.DUMMYFUNCTION("""COMPUTED_VALUE"""),"None")</f>
        <v>None</v>
      </c>
    </row>
    <row r="838" spans="1:8" ht="13">
      <c r="A838" s="5" t="str">
        <f ca="1">IFERROR(__xludf.DUMMYFUNCTION("""COMPUTED_VALUE"""),"20200324LAROM")</f>
        <v>20200324LAROM</v>
      </c>
      <c r="B838" s="5" t="str">
        <f ca="1">IFERROR(__xludf.DUMMYFUNCTION("""COMPUTED_VALUE"""),"Adult")</f>
        <v>Adult</v>
      </c>
      <c r="C838" s="5" t="str">
        <f ca="1">IFERROR(__xludf.DUMMYFUNCTION("""COMPUTED_VALUE"""),"Male")</f>
        <v>Male</v>
      </c>
      <c r="D838" s="5"/>
      <c r="E838" s="5" t="str">
        <f ca="1">IFERROR(__xludf.DUMMYFUNCTION("""COMPUTED_VALUE"""),"No Relation")</f>
        <v>No Relation</v>
      </c>
      <c r="F838" s="5" t="str">
        <f ca="1">IFERROR(__xludf.DUMMYFUNCTION("""COMPUTED_VALUE"""),"Fled/Apprehended")</f>
        <v>Fled/Apprehended</v>
      </c>
      <c r="G838" s="5" t="str">
        <f ca="1">IFERROR(__xludf.DUMMYFUNCTION("""COMPUTED_VALUE"""),"No")</f>
        <v>No</v>
      </c>
      <c r="H838" s="5" t="str">
        <f ca="1">IFERROR(__xludf.DUMMYFUNCTION("""COMPUTED_VALUE"""),"None")</f>
        <v>None</v>
      </c>
    </row>
    <row r="839" spans="1:8" ht="13">
      <c r="A839" s="5" t="str">
        <f ca="1">IFERROR(__xludf.DUMMYFUNCTION("""COMPUTED_VALUE"""),"20200324LAROM")</f>
        <v>20200324LAROM</v>
      </c>
      <c r="B839" s="5">
        <f ca="1">IFERROR(__xludf.DUMMYFUNCTION("""COMPUTED_VALUE"""),26)</f>
        <v>26</v>
      </c>
      <c r="C839" s="5" t="str">
        <f ca="1">IFERROR(__xludf.DUMMYFUNCTION("""COMPUTED_VALUE"""),"Male")</f>
        <v>Male</v>
      </c>
      <c r="D839" s="5"/>
      <c r="E839" s="5" t="str">
        <f ca="1">IFERROR(__xludf.DUMMYFUNCTION("""COMPUTED_VALUE"""),"No Relation")</f>
        <v>No Relation</v>
      </c>
      <c r="F839" s="5" t="str">
        <f ca="1">IFERROR(__xludf.DUMMYFUNCTION("""COMPUTED_VALUE"""),"Fled/Apprehended")</f>
        <v>Fled/Apprehended</v>
      </c>
      <c r="G839" s="5" t="str">
        <f ca="1">IFERROR(__xludf.DUMMYFUNCTION("""COMPUTED_VALUE"""),"No")</f>
        <v>No</v>
      </c>
      <c r="H839" s="5" t="str">
        <f ca="1">IFERROR(__xludf.DUMMYFUNCTION("""COMPUTED_VALUE"""),"None")</f>
        <v>None</v>
      </c>
    </row>
    <row r="840" spans="1:8" ht="13">
      <c r="A840" s="5" t="str">
        <f ca="1">IFERROR(__xludf.DUMMYFUNCTION("""COMPUTED_VALUE"""),"20200324LAROM")</f>
        <v>20200324LAROM</v>
      </c>
      <c r="B840" s="5" t="str">
        <f ca="1">IFERROR(__xludf.DUMMYFUNCTION("""COMPUTED_VALUE"""),"Adult")</f>
        <v>Adult</v>
      </c>
      <c r="C840" s="5" t="str">
        <f ca="1">IFERROR(__xludf.DUMMYFUNCTION("""COMPUTED_VALUE"""),"Male")</f>
        <v>Male</v>
      </c>
      <c r="D840" s="5"/>
      <c r="E840" s="5" t="str">
        <f ca="1">IFERROR(__xludf.DUMMYFUNCTION("""COMPUTED_VALUE"""),"No Relation")</f>
        <v>No Relation</v>
      </c>
      <c r="F840" s="5" t="str">
        <f ca="1">IFERROR(__xludf.DUMMYFUNCTION("""COMPUTED_VALUE"""),"Fled/Apprehended")</f>
        <v>Fled/Apprehended</v>
      </c>
      <c r="G840" s="5" t="str">
        <f ca="1">IFERROR(__xludf.DUMMYFUNCTION("""COMPUTED_VALUE"""),"No")</f>
        <v>No</v>
      </c>
      <c r="H840" s="5" t="str">
        <f ca="1">IFERROR(__xludf.DUMMYFUNCTION("""COMPUTED_VALUE"""),"None")</f>
        <v>None</v>
      </c>
    </row>
    <row r="841" spans="1:8" ht="13">
      <c r="A841" s="5" t="str">
        <f ca="1">IFERROR(__xludf.DUMMYFUNCTION("""COMPUTED_VALUE"""),"20200318LABOS")</f>
        <v>20200318LABOS</v>
      </c>
      <c r="B841" s="5" t="str">
        <f ca="1">IFERROR(__xludf.DUMMYFUNCTION("""COMPUTED_VALUE"""),"Teen")</f>
        <v>Teen</v>
      </c>
      <c r="C841" s="5" t="str">
        <f ca="1">IFERROR(__xludf.DUMMYFUNCTION("""COMPUTED_VALUE"""),"Male")</f>
        <v>Male</v>
      </c>
      <c r="D841" s="5"/>
      <c r="E841" s="5" t="str">
        <f ca="1">IFERROR(__xludf.DUMMYFUNCTION("""COMPUTED_VALUE"""),"Unknown")</f>
        <v>Unknown</v>
      </c>
      <c r="F841" s="5" t="str">
        <f ca="1">IFERROR(__xludf.DUMMYFUNCTION("""COMPUTED_VALUE"""),"Fled/Escaped")</f>
        <v>Fled/Escaped</v>
      </c>
      <c r="G841" s="5" t="str">
        <f ca="1">IFERROR(__xludf.DUMMYFUNCTION("""COMPUTED_VALUE"""),"No")</f>
        <v>No</v>
      </c>
      <c r="H841" s="5" t="str">
        <f ca="1">IFERROR(__xludf.DUMMYFUNCTION("""COMPUTED_VALUE"""),"None")</f>
        <v>None</v>
      </c>
    </row>
    <row r="842" spans="1:8" ht="13">
      <c r="A842" s="5" t="str">
        <f ca="1">IFERROR(__xludf.DUMMYFUNCTION("""COMPUTED_VALUE"""),"20200315TXATH")</f>
        <v>20200315TXATH</v>
      </c>
      <c r="B842" s="5">
        <f ca="1">IFERROR(__xludf.DUMMYFUNCTION("""COMPUTED_VALUE"""),20)</f>
        <v>20</v>
      </c>
      <c r="C842" s="5" t="str">
        <f ca="1">IFERROR(__xludf.DUMMYFUNCTION("""COMPUTED_VALUE"""),"Male")</f>
        <v>Male</v>
      </c>
      <c r="D842" s="5" t="str">
        <f ca="1">IFERROR(__xludf.DUMMYFUNCTION("""COMPUTED_VALUE"""),"Black")</f>
        <v>Black</v>
      </c>
      <c r="E842" s="5" t="str">
        <f ca="1">IFERROR(__xludf.DUMMYFUNCTION("""COMPUTED_VALUE"""),"Former Student")</f>
        <v>Former Student</v>
      </c>
      <c r="F842" s="5" t="str">
        <f ca="1">IFERROR(__xludf.DUMMYFUNCTION("""COMPUTED_VALUE"""),"Fled/Apprehended")</f>
        <v>Fled/Apprehended</v>
      </c>
      <c r="G842" s="5" t="str">
        <f ca="1">IFERROR(__xludf.DUMMYFUNCTION("""COMPUTED_VALUE"""),"No")</f>
        <v>No</v>
      </c>
      <c r="H842" s="5" t="str">
        <f ca="1">IFERROR(__xludf.DUMMYFUNCTION("""COMPUTED_VALUE"""),"None")</f>
        <v>None</v>
      </c>
    </row>
    <row r="843" spans="1:8" ht="13">
      <c r="A843" s="5" t="str">
        <f ca="1">IFERROR(__xludf.DUMMYFUNCTION("""COMPUTED_VALUE"""),"20200313TNPIR")</f>
        <v>20200313TNPIR</v>
      </c>
      <c r="B843" s="5" t="str">
        <f ca="1">IFERROR(__xludf.DUMMYFUNCTION("""COMPUTED_VALUE"""),"Adult")</f>
        <v>Adult</v>
      </c>
      <c r="C843" s="5" t="str">
        <f ca="1">IFERROR(__xludf.DUMMYFUNCTION("""COMPUTED_VALUE"""),"Male")</f>
        <v>Male</v>
      </c>
      <c r="D843" s="5"/>
      <c r="E843" s="5" t="str">
        <f ca="1">IFERROR(__xludf.DUMMYFUNCTION("""COMPUTED_VALUE"""),"Police Officer/SRO")</f>
        <v>Police Officer/SRO</v>
      </c>
      <c r="F843" s="5" t="str">
        <f ca="1">IFERROR(__xludf.DUMMYFUNCTION("""COMPUTED_VALUE"""),"Law Enforcement")</f>
        <v>Law Enforcement</v>
      </c>
      <c r="G843" s="5" t="str">
        <f ca="1">IFERROR(__xludf.DUMMYFUNCTION("""COMPUTED_VALUE"""),"No")</f>
        <v>No</v>
      </c>
      <c r="H843" s="5" t="str">
        <f ca="1">IFERROR(__xludf.DUMMYFUNCTION("""COMPUTED_VALUE"""),"None")</f>
        <v>None</v>
      </c>
    </row>
    <row r="844" spans="1:8" ht="13">
      <c r="A844" s="5" t="str">
        <f ca="1">IFERROR(__xludf.DUMMYFUNCTION("""COMPUTED_VALUE"""),"20200310PASHN")</f>
        <v>20200310PASHN</v>
      </c>
      <c r="B844" s="5">
        <f ca="1">IFERROR(__xludf.DUMMYFUNCTION("""COMPUTED_VALUE"""),41)</f>
        <v>41</v>
      </c>
      <c r="C844" s="5" t="str">
        <f ca="1">IFERROR(__xludf.DUMMYFUNCTION("""COMPUTED_VALUE"""),"Male")</f>
        <v>Male</v>
      </c>
      <c r="D844" s="5"/>
      <c r="E844" s="5" t="str">
        <f ca="1">IFERROR(__xludf.DUMMYFUNCTION("""COMPUTED_VALUE"""),"Unknown")</f>
        <v>Unknown</v>
      </c>
      <c r="F844" s="5" t="str">
        <f ca="1">IFERROR(__xludf.DUMMYFUNCTION("""COMPUTED_VALUE"""),"Fled/Apprehended")</f>
        <v>Fled/Apprehended</v>
      </c>
      <c r="G844" s="5" t="str">
        <f ca="1">IFERROR(__xludf.DUMMYFUNCTION("""COMPUTED_VALUE"""),"No")</f>
        <v>No</v>
      </c>
      <c r="H844" s="5" t="str">
        <f ca="1">IFERROR(__xludf.DUMMYFUNCTION("""COMPUTED_VALUE"""),"None")</f>
        <v>None</v>
      </c>
    </row>
    <row r="845" spans="1:8" ht="13">
      <c r="A845" s="5" t="str">
        <f ca="1">IFERROR(__xludf.DUMMYFUNCTION("""COMPUTED_VALUE"""),"20200305FLSAW")</f>
        <v>20200305FLSAW</v>
      </c>
      <c r="B845" s="5">
        <f ca="1">IFERROR(__xludf.DUMMYFUNCTION("""COMPUTED_VALUE"""),55)</f>
        <v>55</v>
      </c>
      <c r="C845" s="5" t="str">
        <f ca="1">IFERROR(__xludf.DUMMYFUNCTION("""COMPUTED_VALUE"""),"Male")</f>
        <v>Male</v>
      </c>
      <c r="D845" s="5" t="str">
        <f ca="1">IFERROR(__xludf.DUMMYFUNCTION("""COMPUTED_VALUE"""),"Hispanic")</f>
        <v>Hispanic</v>
      </c>
      <c r="E845" s="5" t="str">
        <f ca="1">IFERROR(__xludf.DUMMYFUNCTION("""COMPUTED_VALUE"""),"Security Guard")</f>
        <v>Security Guard</v>
      </c>
      <c r="F845" s="5" t="str">
        <f ca="1">IFERROR(__xludf.DUMMYFUNCTION("""COMPUTED_VALUE"""),"Fled/Apprehended")</f>
        <v>Fled/Apprehended</v>
      </c>
      <c r="G845" s="5" t="str">
        <f ca="1">IFERROR(__xludf.DUMMYFUNCTION("""COMPUTED_VALUE"""),"No")</f>
        <v>No</v>
      </c>
      <c r="H845" s="5" t="str">
        <f ca="1">IFERROR(__xludf.DUMMYFUNCTION("""COMPUTED_VALUE"""),"None")</f>
        <v>None</v>
      </c>
    </row>
    <row r="846" spans="1:8" ht="13">
      <c r="A846" s="5" t="str">
        <f ca="1">IFERROR(__xludf.DUMMYFUNCTION("""COMPUTED_VALUE"""),"20200302TXNOF")</f>
        <v>20200302TXNOF</v>
      </c>
      <c r="B846" s="5" t="str">
        <f ca="1">IFERROR(__xludf.DUMMYFUNCTION("""COMPUTED_VALUE"""),"Teen")</f>
        <v>Teen</v>
      </c>
      <c r="C846" s="5" t="str">
        <f ca="1">IFERROR(__xludf.DUMMYFUNCTION("""COMPUTED_VALUE"""),"Male")</f>
        <v>Male</v>
      </c>
      <c r="D846" s="5"/>
      <c r="E846" s="5" t="str">
        <f ca="1">IFERROR(__xludf.DUMMYFUNCTION("""COMPUTED_VALUE"""),"Student")</f>
        <v>Student</v>
      </c>
      <c r="F846" s="5" t="str">
        <f ca="1">IFERROR(__xludf.DUMMYFUNCTION("""COMPUTED_VALUE"""),"Apprehended/Killed by LE")</f>
        <v>Apprehended/Killed by LE</v>
      </c>
      <c r="G846" s="5" t="str">
        <f ca="1">IFERROR(__xludf.DUMMYFUNCTION("""COMPUTED_VALUE"""),"No")</f>
        <v>No</v>
      </c>
      <c r="H846" s="5" t="str">
        <f ca="1">IFERROR(__xludf.DUMMYFUNCTION("""COMPUTED_VALUE"""),"None")</f>
        <v>None</v>
      </c>
    </row>
    <row r="847" spans="1:8" ht="13">
      <c r="A847" s="5" t="str">
        <f ca="1">IFERROR(__xludf.DUMMYFUNCTION("""COMPUTED_VALUE"""),"20200221NMCEA")</f>
        <v>20200221NMCEA</v>
      </c>
      <c r="B847" s="5"/>
      <c r="C847" s="5"/>
      <c r="D847" s="5"/>
      <c r="E847" s="5" t="str">
        <f ca="1">IFERROR(__xludf.DUMMYFUNCTION("""COMPUTED_VALUE"""),"Unknown")</f>
        <v>Unknown</v>
      </c>
      <c r="F847" s="5" t="str">
        <f ca="1">IFERROR(__xludf.DUMMYFUNCTION("""COMPUTED_VALUE"""),"Fled/Escaped")</f>
        <v>Fled/Escaped</v>
      </c>
      <c r="G847" s="5" t="str">
        <f ca="1">IFERROR(__xludf.DUMMYFUNCTION("""COMPUTED_VALUE"""),"No")</f>
        <v>No</v>
      </c>
      <c r="H847" s="5" t="str">
        <f ca="1">IFERROR(__xludf.DUMMYFUNCTION("""COMPUTED_VALUE"""),"None")</f>
        <v>None</v>
      </c>
    </row>
    <row r="848" spans="1:8" ht="13">
      <c r="A848" s="5" t="str">
        <f ca="1">IFERROR(__xludf.DUMMYFUNCTION("""COMPUTED_VALUE"""),"20200215DCDUW")</f>
        <v>20200215DCDUW</v>
      </c>
      <c r="B848" s="5"/>
      <c r="C848" s="5"/>
      <c r="D848" s="5"/>
      <c r="E848" s="5" t="str">
        <f ca="1">IFERROR(__xludf.DUMMYFUNCTION("""COMPUTED_VALUE"""),"Unknown")</f>
        <v>Unknown</v>
      </c>
      <c r="F848" s="5" t="str">
        <f ca="1">IFERROR(__xludf.DUMMYFUNCTION("""COMPUTED_VALUE"""),"Fled/Escaped")</f>
        <v>Fled/Escaped</v>
      </c>
      <c r="G848" s="5" t="str">
        <f ca="1">IFERROR(__xludf.DUMMYFUNCTION("""COMPUTED_VALUE"""),"No")</f>
        <v>No</v>
      </c>
      <c r="H848" s="5" t="str">
        <f ca="1">IFERROR(__xludf.DUMMYFUNCTION("""COMPUTED_VALUE"""),"None")</f>
        <v>None</v>
      </c>
    </row>
    <row r="849" spans="1:8" ht="13">
      <c r="A849" s="5" t="str">
        <f ca="1">IFERROR(__xludf.DUMMYFUNCTION("""COMPUTED_VALUE"""),"20200212MOJOF")</f>
        <v>20200212MOJOF</v>
      </c>
      <c r="B849" s="5" t="str">
        <f ca="1">IFERROR(__xludf.DUMMYFUNCTION("""COMPUTED_VALUE"""),"Adult")</f>
        <v>Adult</v>
      </c>
      <c r="C849" s="5" t="str">
        <f ca="1">IFERROR(__xludf.DUMMYFUNCTION("""COMPUTED_VALUE"""),"Male")</f>
        <v>Male</v>
      </c>
      <c r="D849" s="5"/>
      <c r="E849" s="5" t="str">
        <f ca="1">IFERROR(__xludf.DUMMYFUNCTION("""COMPUTED_VALUE"""),"Parent")</f>
        <v>Parent</v>
      </c>
      <c r="F849" s="5" t="str">
        <f ca="1">IFERROR(__xludf.DUMMYFUNCTION("""COMPUTED_VALUE"""),"Fled/Escaped")</f>
        <v>Fled/Escaped</v>
      </c>
      <c r="G849" s="5" t="str">
        <f ca="1">IFERROR(__xludf.DUMMYFUNCTION("""COMPUTED_VALUE"""),"No")</f>
        <v>No</v>
      </c>
      <c r="H849" s="5" t="str">
        <f ca="1">IFERROR(__xludf.DUMMYFUNCTION("""COMPUTED_VALUE"""),"None")</f>
        <v>None</v>
      </c>
    </row>
    <row r="850" spans="1:8" ht="13">
      <c r="A850" s="5" t="str">
        <f ca="1">IFERROR(__xludf.DUMMYFUNCTION("""COMPUTED_VALUE"""),"20200205NHSEC")</f>
        <v>20200205NHSEC</v>
      </c>
      <c r="B850" s="5">
        <f ca="1">IFERROR(__xludf.DUMMYFUNCTION("""COMPUTED_VALUE"""),17)</f>
        <v>17</v>
      </c>
      <c r="C850" s="5" t="str">
        <f ca="1">IFERROR(__xludf.DUMMYFUNCTION("""COMPUTED_VALUE"""),"Male")</f>
        <v>Male</v>
      </c>
      <c r="D850" s="5"/>
      <c r="E850" s="5" t="str">
        <f ca="1">IFERROR(__xludf.DUMMYFUNCTION("""COMPUTED_VALUE"""),"Student")</f>
        <v>Student</v>
      </c>
      <c r="F850" s="5" t="str">
        <f ca="1">IFERROR(__xludf.DUMMYFUNCTION("""COMPUTED_VALUE"""),"Suicide")</f>
        <v>Suicide</v>
      </c>
      <c r="G850" s="5" t="str">
        <f ca="1">IFERROR(__xludf.DUMMYFUNCTION("""COMPUTED_VALUE"""),"Yes")</f>
        <v>Yes</v>
      </c>
      <c r="H850" s="5" t="str">
        <f ca="1">IFERROR(__xludf.DUMMYFUNCTION("""COMPUTED_VALUE"""),"Suicide")</f>
        <v>Suicide</v>
      </c>
    </row>
    <row r="851" spans="1:8" ht="13">
      <c r="A851" s="5" t="str">
        <f ca="1">IFERROR(__xludf.DUMMYFUNCTION("""COMPUTED_VALUE"""),"20200204LABEA")</f>
        <v>20200204LABEA</v>
      </c>
      <c r="B851" s="5">
        <f ca="1">IFERROR(__xludf.DUMMYFUNCTION("""COMPUTED_VALUE"""),17)</f>
        <v>17</v>
      </c>
      <c r="C851" s="5" t="str">
        <f ca="1">IFERROR(__xludf.DUMMYFUNCTION("""COMPUTED_VALUE"""),"Male")</f>
        <v>Male</v>
      </c>
      <c r="D851" s="5" t="str">
        <f ca="1">IFERROR(__xludf.DUMMYFUNCTION("""COMPUTED_VALUE"""),"Black")</f>
        <v>Black</v>
      </c>
      <c r="E851" s="5" t="str">
        <f ca="1">IFERROR(__xludf.DUMMYFUNCTION("""COMPUTED_VALUE"""),"Nonstudent Using Athletic Facilities/Attending Game")</f>
        <v>Nonstudent Using Athletic Facilities/Attending Game</v>
      </c>
      <c r="F851" s="5" t="str">
        <f ca="1">IFERROR(__xludf.DUMMYFUNCTION("""COMPUTED_VALUE"""),"Apprehended/Killed by SRO")</f>
        <v>Apprehended/Killed by SRO</v>
      </c>
      <c r="G851" s="5" t="str">
        <f ca="1">IFERROR(__xludf.DUMMYFUNCTION("""COMPUTED_VALUE"""),"No")</f>
        <v>No</v>
      </c>
      <c r="H851" s="5" t="str">
        <f ca="1">IFERROR(__xludf.DUMMYFUNCTION("""COMPUTED_VALUE"""),"None")</f>
        <v>None</v>
      </c>
    </row>
    <row r="852" spans="1:8" ht="13">
      <c r="A852" s="5" t="str">
        <f ca="1">IFERROR(__xludf.DUMMYFUNCTION("""COMPUTED_VALUE"""),"20200203FLGEJ")</f>
        <v>20200203FLGEJ</v>
      </c>
      <c r="B852" s="5"/>
      <c r="C852" s="5"/>
      <c r="D852" s="5"/>
      <c r="E852" s="5" t="str">
        <f ca="1">IFERROR(__xludf.DUMMYFUNCTION("""COMPUTED_VALUE"""),"No Relation")</f>
        <v>No Relation</v>
      </c>
      <c r="F852" s="5" t="str">
        <f ca="1">IFERROR(__xludf.DUMMYFUNCTION("""COMPUTED_VALUE"""),"Fled/Escaped")</f>
        <v>Fled/Escaped</v>
      </c>
      <c r="G852" s="5" t="str">
        <f ca="1">IFERROR(__xludf.DUMMYFUNCTION("""COMPUTED_VALUE"""),"No")</f>
        <v>No</v>
      </c>
      <c r="H852" s="5" t="str">
        <f ca="1">IFERROR(__xludf.DUMMYFUNCTION("""COMPUTED_VALUE"""),"None")</f>
        <v>None</v>
      </c>
    </row>
    <row r="853" spans="1:8" ht="13">
      <c r="A853" s="5" t="str">
        <f ca="1">IFERROR(__xludf.DUMMYFUNCTION("""COMPUTED_VALUE"""),"20200201TXHIH")</f>
        <v>20200201TXHIH</v>
      </c>
      <c r="B853" s="5" t="str">
        <f ca="1">IFERROR(__xludf.DUMMYFUNCTION("""COMPUTED_VALUE"""),"Adult")</f>
        <v>Adult</v>
      </c>
      <c r="C853" s="5" t="str">
        <f ca="1">IFERROR(__xludf.DUMMYFUNCTION("""COMPUTED_VALUE"""),"Male")</f>
        <v>Male</v>
      </c>
      <c r="D853" s="5"/>
      <c r="E853" s="5" t="str">
        <f ca="1">IFERROR(__xludf.DUMMYFUNCTION("""COMPUTED_VALUE"""),"No Relation")</f>
        <v>No Relation</v>
      </c>
      <c r="F853" s="5" t="str">
        <f ca="1">IFERROR(__xludf.DUMMYFUNCTION("""COMPUTED_VALUE"""),"Fled/Escaped")</f>
        <v>Fled/Escaped</v>
      </c>
      <c r="G853" s="5" t="str">
        <f ca="1">IFERROR(__xludf.DUMMYFUNCTION("""COMPUTED_VALUE"""),"No")</f>
        <v>No</v>
      </c>
      <c r="H853" s="5" t="str">
        <f ca="1">IFERROR(__xludf.DUMMYFUNCTION("""COMPUTED_VALUE"""),"None")</f>
        <v>None</v>
      </c>
    </row>
    <row r="854" spans="1:8" ht="13">
      <c r="A854" s="5" t="str">
        <f ca="1">IFERROR(__xludf.DUMMYFUNCTION("""COMPUTED_VALUE"""),"20200131CADEA")</f>
        <v>20200131CADEA</v>
      </c>
      <c r="B854" s="5">
        <f ca="1">IFERROR(__xludf.DUMMYFUNCTION("""COMPUTED_VALUE"""),15)</f>
        <v>15</v>
      </c>
      <c r="C854" s="5" t="str">
        <f ca="1">IFERROR(__xludf.DUMMYFUNCTION("""COMPUTED_VALUE"""),"Male")</f>
        <v>Male</v>
      </c>
      <c r="D854" s="5"/>
      <c r="E854" s="5" t="str">
        <f ca="1">IFERROR(__xludf.DUMMYFUNCTION("""COMPUTED_VALUE"""),"Unknown")</f>
        <v>Unknown</v>
      </c>
      <c r="F854" s="5" t="str">
        <f ca="1">IFERROR(__xludf.DUMMYFUNCTION("""COMPUTED_VALUE"""),"Fled/Apprehended")</f>
        <v>Fled/Apprehended</v>
      </c>
      <c r="G854" s="5" t="str">
        <f ca="1">IFERROR(__xludf.DUMMYFUNCTION("""COMPUTED_VALUE"""),"No")</f>
        <v>No</v>
      </c>
      <c r="H854" s="5" t="str">
        <f ca="1">IFERROR(__xludf.DUMMYFUNCTION("""COMPUTED_VALUE"""),"None")</f>
        <v>None</v>
      </c>
    </row>
    <row r="855" spans="1:8" ht="13">
      <c r="A855" s="5" t="str">
        <f ca="1">IFERROR(__xludf.DUMMYFUNCTION("""COMPUTED_VALUE"""),"20200128TXLUL")</f>
        <v>20200128TXLUL</v>
      </c>
      <c r="B855" s="5">
        <f ca="1">IFERROR(__xludf.DUMMYFUNCTION("""COMPUTED_VALUE"""),17)</f>
        <v>17</v>
      </c>
      <c r="C855" s="5" t="str">
        <f ca="1">IFERROR(__xludf.DUMMYFUNCTION("""COMPUTED_VALUE"""),"Male")</f>
        <v>Male</v>
      </c>
      <c r="D855" s="5" t="str">
        <f ca="1">IFERROR(__xludf.DUMMYFUNCTION("""COMPUTED_VALUE"""),"Black")</f>
        <v>Black</v>
      </c>
      <c r="E855" s="5" t="str">
        <f ca="1">IFERROR(__xludf.DUMMYFUNCTION("""COMPUTED_VALUE"""),"No Relation")</f>
        <v>No Relation</v>
      </c>
      <c r="F855" s="5" t="str">
        <f ca="1">IFERROR(__xludf.DUMMYFUNCTION("""COMPUTED_VALUE"""),"Fled/Apprehended")</f>
        <v>Fled/Apprehended</v>
      </c>
      <c r="G855" s="5" t="str">
        <f ca="1">IFERROR(__xludf.DUMMYFUNCTION("""COMPUTED_VALUE"""),"No")</f>
        <v>No</v>
      </c>
      <c r="H855" s="5" t="str">
        <f ca="1">IFERROR(__xludf.DUMMYFUNCTION("""COMPUTED_VALUE"""),"None")</f>
        <v>None</v>
      </c>
    </row>
    <row r="856" spans="1:8" ht="13">
      <c r="A856" s="5" t="str">
        <f ca="1">IFERROR(__xludf.DUMMYFUNCTION("""COMPUTED_VALUE"""),"20200128TNWHM")</f>
        <v>20200128TNWHM</v>
      </c>
      <c r="B856" s="5">
        <f ca="1">IFERROR(__xludf.DUMMYFUNCTION("""COMPUTED_VALUE"""),18)</f>
        <v>18</v>
      </c>
      <c r="C856" s="5" t="str">
        <f ca="1">IFERROR(__xludf.DUMMYFUNCTION("""COMPUTED_VALUE"""),"Male")</f>
        <v>Male</v>
      </c>
      <c r="D856" s="5" t="str">
        <f ca="1">IFERROR(__xludf.DUMMYFUNCTION("""COMPUTED_VALUE"""),"Black")</f>
        <v>Black</v>
      </c>
      <c r="E856" s="5" t="str">
        <f ca="1">IFERROR(__xludf.DUMMYFUNCTION("""COMPUTED_VALUE"""),"Unknown")</f>
        <v>Unknown</v>
      </c>
      <c r="F856" s="5" t="str">
        <f ca="1">IFERROR(__xludf.DUMMYFUNCTION("""COMPUTED_VALUE"""),"Fled/Escaped")</f>
        <v>Fled/Escaped</v>
      </c>
      <c r="G856" s="5" t="str">
        <f ca="1">IFERROR(__xludf.DUMMYFUNCTION("""COMPUTED_VALUE"""),"No")</f>
        <v>No</v>
      </c>
      <c r="H856" s="5" t="str">
        <f ca="1">IFERROR(__xludf.DUMMYFUNCTION("""COMPUTED_VALUE"""),"None")</f>
        <v>None</v>
      </c>
    </row>
    <row r="857" spans="1:8" ht="13">
      <c r="A857" s="5" t="str">
        <f ca="1">IFERROR(__xludf.DUMMYFUNCTION("""COMPUTED_VALUE"""),"20200128NYMAQ")</f>
        <v>20200128NYMAQ</v>
      </c>
      <c r="B857" s="5">
        <f ca="1">IFERROR(__xludf.DUMMYFUNCTION("""COMPUTED_VALUE"""),16)</f>
        <v>16</v>
      </c>
      <c r="C857" s="5" t="str">
        <f ca="1">IFERROR(__xludf.DUMMYFUNCTION("""COMPUTED_VALUE"""),"Male")</f>
        <v>Male</v>
      </c>
      <c r="D857" s="5"/>
      <c r="E857" s="5" t="str">
        <f ca="1">IFERROR(__xludf.DUMMYFUNCTION("""COMPUTED_VALUE"""),"Student")</f>
        <v>Student</v>
      </c>
      <c r="F857" s="5" t="str">
        <f ca="1">IFERROR(__xludf.DUMMYFUNCTION("""COMPUTED_VALUE"""),"Surrendered")</f>
        <v>Surrendered</v>
      </c>
      <c r="G857" s="5" t="str">
        <f ca="1">IFERROR(__xludf.DUMMYFUNCTION("""COMPUTED_VALUE"""),"No")</f>
        <v>No</v>
      </c>
      <c r="H857" s="5" t="str">
        <f ca="1">IFERROR(__xludf.DUMMYFUNCTION("""COMPUTED_VALUE"""),"Wounded")</f>
        <v>Wounded</v>
      </c>
    </row>
    <row r="858" spans="1:8" ht="13">
      <c r="A858" s="5" t="str">
        <f ca="1">IFERROR(__xludf.DUMMYFUNCTION("""COMPUTED_VALUE"""),"20200127WAROY")</f>
        <v>20200127WAROY</v>
      </c>
      <c r="B858" s="5">
        <f ca="1">IFERROR(__xludf.DUMMYFUNCTION("""COMPUTED_VALUE"""),18)</f>
        <v>18</v>
      </c>
      <c r="C858" s="5" t="str">
        <f ca="1">IFERROR(__xludf.DUMMYFUNCTION("""COMPUTED_VALUE"""),"Male")</f>
        <v>Male</v>
      </c>
      <c r="D858" s="5" t="str">
        <f ca="1">IFERROR(__xludf.DUMMYFUNCTION("""COMPUTED_VALUE"""),"Hispanic")</f>
        <v>Hispanic</v>
      </c>
      <c r="E858" s="5" t="str">
        <f ca="1">IFERROR(__xludf.DUMMYFUNCTION("""COMPUTED_VALUE"""),"No Relation")</f>
        <v>No Relation</v>
      </c>
      <c r="F858" s="5" t="str">
        <f ca="1">IFERROR(__xludf.DUMMYFUNCTION("""COMPUTED_VALUE"""),"Fled/Apprehended")</f>
        <v>Fled/Apprehended</v>
      </c>
      <c r="G858" s="5" t="str">
        <f ca="1">IFERROR(__xludf.DUMMYFUNCTION("""COMPUTED_VALUE"""),"No")</f>
        <v>No</v>
      </c>
      <c r="H858" s="5" t="str">
        <f ca="1">IFERROR(__xludf.DUMMYFUNCTION("""COMPUTED_VALUE"""),"None")</f>
        <v>None</v>
      </c>
    </row>
    <row r="859" spans="1:8" ht="13">
      <c r="A859" s="5" t="str">
        <f ca="1">IFERROR(__xludf.DUMMYFUNCTION("""COMPUTED_VALUE"""),"20200123CAOXO")</f>
        <v>20200123CAOXO</v>
      </c>
      <c r="B859" s="5"/>
      <c r="C859" s="5"/>
      <c r="D859" s="5"/>
      <c r="E859" s="5" t="str">
        <f ca="1">IFERROR(__xludf.DUMMYFUNCTION("""COMPUTED_VALUE"""),"No Relation")</f>
        <v>No Relation</v>
      </c>
      <c r="F859" s="5" t="str">
        <f ca="1">IFERROR(__xludf.DUMMYFUNCTION("""COMPUTED_VALUE"""),"Fled/Escaped")</f>
        <v>Fled/Escaped</v>
      </c>
      <c r="G859" s="5" t="str">
        <f ca="1">IFERROR(__xludf.DUMMYFUNCTION("""COMPUTED_VALUE"""),"No")</f>
        <v>No</v>
      </c>
      <c r="H859" s="5" t="str">
        <f ca="1">IFERROR(__xludf.DUMMYFUNCTION("""COMPUTED_VALUE"""),"None")</f>
        <v>None</v>
      </c>
    </row>
    <row r="860" spans="1:8" ht="13">
      <c r="A860" s="5" t="str">
        <f ca="1">IFERROR(__xludf.DUMMYFUNCTION("""COMPUTED_VALUE"""),"20200121NEPAL")</f>
        <v>20200121NEPAL</v>
      </c>
      <c r="B860" s="5"/>
      <c r="C860" s="5"/>
      <c r="D860" s="5"/>
      <c r="E860" s="5" t="str">
        <f ca="1">IFERROR(__xludf.DUMMYFUNCTION("""COMPUTED_VALUE"""),"Unknown")</f>
        <v>Unknown</v>
      </c>
      <c r="F860" s="5" t="str">
        <f ca="1">IFERROR(__xludf.DUMMYFUNCTION("""COMPUTED_VALUE"""),"Fled/Escaped")</f>
        <v>Fled/Escaped</v>
      </c>
      <c r="G860" s="5" t="str">
        <f ca="1">IFERROR(__xludf.DUMMYFUNCTION("""COMPUTED_VALUE"""),"No")</f>
        <v>No</v>
      </c>
      <c r="H860" s="5" t="str">
        <f ca="1">IFERROR(__xludf.DUMMYFUNCTION("""COMPUTED_VALUE"""),"None")</f>
        <v>None</v>
      </c>
    </row>
    <row r="861" spans="1:8" ht="13">
      <c r="A861" s="5" t="str">
        <f ca="1">IFERROR(__xludf.DUMMYFUNCTION("""COMPUTED_VALUE"""),"20200121ILLIC")</f>
        <v>20200121ILLIC</v>
      </c>
      <c r="B861" s="5"/>
      <c r="C861" s="5" t="str">
        <f ca="1">IFERROR(__xludf.DUMMYFUNCTION("""COMPUTED_VALUE"""),"Male")</f>
        <v>Male</v>
      </c>
      <c r="D861" s="5"/>
      <c r="E861" s="5" t="str">
        <f ca="1">IFERROR(__xludf.DUMMYFUNCTION("""COMPUTED_VALUE"""),"Unknown")</f>
        <v>Unknown</v>
      </c>
      <c r="F861" s="5" t="str">
        <f ca="1">IFERROR(__xludf.DUMMYFUNCTION("""COMPUTED_VALUE"""),"Fled/Escaped")</f>
        <v>Fled/Escaped</v>
      </c>
      <c r="G861" s="5" t="str">
        <f ca="1">IFERROR(__xludf.DUMMYFUNCTION("""COMPUTED_VALUE"""),"No")</f>
        <v>No</v>
      </c>
      <c r="H861" s="5" t="str">
        <f ca="1">IFERROR(__xludf.DUMMYFUNCTION("""COMPUTED_VALUE"""),"None")</f>
        <v>None</v>
      </c>
    </row>
    <row r="862" spans="1:8" ht="13">
      <c r="A862" s="5" t="str">
        <f ca="1">IFERROR(__xludf.DUMMYFUNCTION("""COMPUTED_VALUE"""),"20200119TXNOF")</f>
        <v>20200119TXNOF</v>
      </c>
      <c r="B862" s="5" t="str">
        <f ca="1">IFERROR(__xludf.DUMMYFUNCTION("""COMPUTED_VALUE"""),"Adult")</f>
        <v>Adult</v>
      </c>
      <c r="C862" s="5" t="str">
        <f ca="1">IFERROR(__xludf.DUMMYFUNCTION("""COMPUTED_VALUE"""),"Male")</f>
        <v>Male</v>
      </c>
      <c r="D862" s="5"/>
      <c r="E862" s="5" t="str">
        <f ca="1">IFERROR(__xludf.DUMMYFUNCTION("""COMPUTED_VALUE"""),"No Relation")</f>
        <v>No Relation</v>
      </c>
      <c r="F862" s="5" t="str">
        <f ca="1">IFERROR(__xludf.DUMMYFUNCTION("""COMPUTED_VALUE"""),"Fled/Escaped")</f>
        <v>Fled/Escaped</v>
      </c>
      <c r="G862" s="5" t="str">
        <f ca="1">IFERROR(__xludf.DUMMYFUNCTION("""COMPUTED_VALUE"""),"No")</f>
        <v>No</v>
      </c>
      <c r="H862" s="5" t="str">
        <f ca="1">IFERROR(__xludf.DUMMYFUNCTION("""COMPUTED_VALUE"""),"None")</f>
        <v>None</v>
      </c>
    </row>
    <row r="863" spans="1:8" ht="13">
      <c r="A863" s="5" t="str">
        <f ca="1">IFERROR(__xludf.DUMMYFUNCTION("""COMPUTED_VALUE"""),"20200119TXNOF")</f>
        <v>20200119TXNOF</v>
      </c>
      <c r="B863" s="5" t="str">
        <f ca="1">IFERROR(__xludf.DUMMYFUNCTION("""COMPUTED_VALUE"""),"Adult")</f>
        <v>Adult</v>
      </c>
      <c r="C863" s="5" t="str">
        <f ca="1">IFERROR(__xludf.DUMMYFUNCTION("""COMPUTED_VALUE"""),"Male")</f>
        <v>Male</v>
      </c>
      <c r="D863" s="5"/>
      <c r="E863" s="5" t="str">
        <f ca="1">IFERROR(__xludf.DUMMYFUNCTION("""COMPUTED_VALUE"""),"No Relation")</f>
        <v>No Relation</v>
      </c>
      <c r="F863" s="5" t="str">
        <f ca="1">IFERROR(__xludf.DUMMYFUNCTION("""COMPUTED_VALUE"""),"Fled/Escaped")</f>
        <v>Fled/Escaped</v>
      </c>
      <c r="G863" s="5" t="str">
        <f ca="1">IFERROR(__xludf.DUMMYFUNCTION("""COMPUTED_VALUE"""),"No")</f>
        <v>No</v>
      </c>
      <c r="H863" s="5" t="str">
        <f ca="1">IFERROR(__xludf.DUMMYFUNCTION("""COMPUTED_VALUE"""),"None")</f>
        <v>None</v>
      </c>
    </row>
    <row r="864" spans="1:8" ht="13">
      <c r="A864" s="5" t="str">
        <f ca="1">IFERROR(__xludf.DUMMYFUNCTION("""COMPUTED_VALUE"""),"20200117SCCAS")</f>
        <v>20200117SCCAS</v>
      </c>
      <c r="B864" s="5">
        <f ca="1">IFERROR(__xludf.DUMMYFUNCTION("""COMPUTED_VALUE"""),16)</f>
        <v>16</v>
      </c>
      <c r="C864" s="5" t="str">
        <f ca="1">IFERROR(__xludf.DUMMYFUNCTION("""COMPUTED_VALUE"""),"Male")</f>
        <v>Male</v>
      </c>
      <c r="D864" s="5"/>
      <c r="E864" s="5" t="str">
        <f ca="1">IFERROR(__xludf.DUMMYFUNCTION("""COMPUTED_VALUE"""),"Student")</f>
        <v>Student</v>
      </c>
      <c r="F864" s="5" t="str">
        <f ca="1">IFERROR(__xludf.DUMMYFUNCTION("""COMPUTED_VALUE"""),"Suicide")</f>
        <v>Suicide</v>
      </c>
      <c r="G864" s="5" t="str">
        <f ca="1">IFERROR(__xludf.DUMMYFUNCTION("""COMPUTED_VALUE"""),"Yes")</f>
        <v>Yes</v>
      </c>
      <c r="H864" s="5" t="str">
        <f ca="1">IFERROR(__xludf.DUMMYFUNCTION("""COMPUTED_VALUE"""),"Suicide")</f>
        <v>Suicide</v>
      </c>
    </row>
    <row r="865" spans="1:8" ht="13">
      <c r="A865" s="5" t="str">
        <f ca="1">IFERROR(__xludf.DUMMYFUNCTION("""COMPUTED_VALUE"""),"20200117MITHH")</f>
        <v>20200117MITHH</v>
      </c>
      <c r="B865" s="5">
        <f ca="1">IFERROR(__xludf.DUMMYFUNCTION("""COMPUTED_VALUE"""),25)</f>
        <v>25</v>
      </c>
      <c r="C865" s="5" t="str">
        <f ca="1">IFERROR(__xludf.DUMMYFUNCTION("""COMPUTED_VALUE"""),"Male")</f>
        <v>Male</v>
      </c>
      <c r="D865" s="5"/>
      <c r="E865" s="5" t="str">
        <f ca="1">IFERROR(__xludf.DUMMYFUNCTION("""COMPUTED_VALUE"""),"Parent")</f>
        <v>Parent</v>
      </c>
      <c r="F865" s="5" t="str">
        <f ca="1">IFERROR(__xludf.DUMMYFUNCTION("""COMPUTED_VALUE"""),"Surrendered")</f>
        <v>Surrendered</v>
      </c>
      <c r="G865" s="5" t="str">
        <f ca="1">IFERROR(__xludf.DUMMYFUNCTION("""COMPUTED_VALUE"""),"No")</f>
        <v>No</v>
      </c>
      <c r="H865" s="5" t="str">
        <f ca="1">IFERROR(__xludf.DUMMYFUNCTION("""COMPUTED_VALUE"""),"None")</f>
        <v>None</v>
      </c>
    </row>
    <row r="866" spans="1:8" ht="13">
      <c r="A866" s="5" t="str">
        <f ca="1">IFERROR(__xludf.DUMMYFUNCTION("""COMPUTED_VALUE"""),"20200114TXPOM")</f>
        <v>20200114TXPOM</v>
      </c>
      <c r="B866" s="5">
        <f ca="1">IFERROR(__xludf.DUMMYFUNCTION("""COMPUTED_VALUE"""),17)</f>
        <v>17</v>
      </c>
      <c r="C866" s="5" t="str">
        <f ca="1">IFERROR(__xludf.DUMMYFUNCTION("""COMPUTED_VALUE"""),"Male")</f>
        <v>Male</v>
      </c>
      <c r="D866" s="5" t="str">
        <f ca="1">IFERROR(__xludf.DUMMYFUNCTION("""COMPUTED_VALUE"""),"Black")</f>
        <v>Black</v>
      </c>
      <c r="E866" s="5" t="str">
        <f ca="1">IFERROR(__xludf.DUMMYFUNCTION("""COMPUTED_VALUE"""),"Nonstudent Using Athletic Facilities/Attending Game")</f>
        <v>Nonstudent Using Athletic Facilities/Attending Game</v>
      </c>
      <c r="F866" s="5" t="str">
        <f ca="1">IFERROR(__xludf.DUMMYFUNCTION("""COMPUTED_VALUE"""),"Fled/Apprehended")</f>
        <v>Fled/Apprehended</v>
      </c>
      <c r="G866" s="5" t="str">
        <f ca="1">IFERROR(__xludf.DUMMYFUNCTION("""COMPUTED_VALUE"""),"No")</f>
        <v>No</v>
      </c>
      <c r="H866" s="5" t="str">
        <f ca="1">IFERROR(__xludf.DUMMYFUNCTION("""COMPUTED_VALUE"""),"None")</f>
        <v>None</v>
      </c>
    </row>
    <row r="867" spans="1:8" ht="13">
      <c r="A867" s="5" t="str">
        <f ca="1">IFERROR(__xludf.DUMMYFUNCTION("""COMPUTED_VALUE"""),"20200114TXPOM")</f>
        <v>20200114TXPOM</v>
      </c>
      <c r="B867" s="5">
        <f ca="1">IFERROR(__xludf.DUMMYFUNCTION("""COMPUTED_VALUE"""),17)</f>
        <v>17</v>
      </c>
      <c r="C867" s="5" t="str">
        <f ca="1">IFERROR(__xludf.DUMMYFUNCTION("""COMPUTED_VALUE"""),"Male")</f>
        <v>Male</v>
      </c>
      <c r="D867" s="5" t="str">
        <f ca="1">IFERROR(__xludf.DUMMYFUNCTION("""COMPUTED_VALUE"""),"Black")</f>
        <v>Black</v>
      </c>
      <c r="E867" s="5" t="str">
        <f ca="1">IFERROR(__xludf.DUMMYFUNCTION("""COMPUTED_VALUE"""),"Nonstudent Using Athletic Facilities/Attending Game")</f>
        <v>Nonstudent Using Athletic Facilities/Attending Game</v>
      </c>
      <c r="F867" s="5" t="str">
        <f ca="1">IFERROR(__xludf.DUMMYFUNCTION("""COMPUTED_VALUE"""),"Fled/Apprehended")</f>
        <v>Fled/Apprehended</v>
      </c>
      <c r="G867" s="5" t="str">
        <f ca="1">IFERROR(__xludf.DUMMYFUNCTION("""COMPUTED_VALUE"""),"No")</f>
        <v>No</v>
      </c>
      <c r="H867" s="5" t="str">
        <f ca="1">IFERROR(__xludf.DUMMYFUNCTION("""COMPUTED_VALUE"""),"None")</f>
        <v>None</v>
      </c>
    </row>
    <row r="868" spans="1:8" ht="13">
      <c r="A868" s="5" t="str">
        <f ca="1">IFERROR(__xludf.DUMMYFUNCTION("""COMPUTED_VALUE"""),"20200114TXBEH")</f>
        <v>20200114TXBEH</v>
      </c>
      <c r="B868" s="5">
        <f ca="1">IFERROR(__xludf.DUMMYFUNCTION("""COMPUTED_VALUE"""),16)</f>
        <v>16</v>
      </c>
      <c r="C868" s="5" t="str">
        <f ca="1">IFERROR(__xludf.DUMMYFUNCTION("""COMPUTED_VALUE"""),"Male")</f>
        <v>Male</v>
      </c>
      <c r="D868" s="5"/>
      <c r="E868" s="5" t="str">
        <f ca="1">IFERROR(__xludf.DUMMYFUNCTION("""COMPUTED_VALUE"""),"Student")</f>
        <v>Student</v>
      </c>
      <c r="F868" s="5" t="str">
        <f ca="1">IFERROR(__xludf.DUMMYFUNCTION("""COMPUTED_VALUE"""),"Fled/Apprehended")</f>
        <v>Fled/Apprehended</v>
      </c>
      <c r="G868" s="5" t="str">
        <f ca="1">IFERROR(__xludf.DUMMYFUNCTION("""COMPUTED_VALUE"""),"No")</f>
        <v>No</v>
      </c>
      <c r="H868" s="5" t="str">
        <f ca="1">IFERROR(__xludf.DUMMYFUNCTION("""COMPUTED_VALUE"""),"None")</f>
        <v>None</v>
      </c>
    </row>
    <row r="869" spans="1:8" ht="13">
      <c r="A869" s="5" t="str">
        <f ca="1">IFERROR(__xludf.DUMMYFUNCTION("""COMPUTED_VALUE"""),"20200111TXELD")</f>
        <v>20200111TXELD</v>
      </c>
      <c r="B869" s="5">
        <f ca="1">IFERROR(__xludf.DUMMYFUNCTION("""COMPUTED_VALUE"""),15)</f>
        <v>15</v>
      </c>
      <c r="C869" s="5" t="str">
        <f ca="1">IFERROR(__xludf.DUMMYFUNCTION("""COMPUTED_VALUE"""),"Male")</f>
        <v>Male</v>
      </c>
      <c r="D869" s="5" t="str">
        <f ca="1">IFERROR(__xludf.DUMMYFUNCTION("""COMPUTED_VALUE"""),"Black")</f>
        <v>Black</v>
      </c>
      <c r="E869" s="5" t="str">
        <f ca="1">IFERROR(__xludf.DUMMYFUNCTION("""COMPUTED_VALUE"""),"Unknown")</f>
        <v>Unknown</v>
      </c>
      <c r="F869" s="5" t="str">
        <f ca="1">IFERROR(__xludf.DUMMYFUNCTION("""COMPUTED_VALUE"""),"Surrendered")</f>
        <v>Surrendered</v>
      </c>
      <c r="G869" s="5" t="str">
        <f ca="1">IFERROR(__xludf.DUMMYFUNCTION("""COMPUTED_VALUE"""),"No")</f>
        <v>No</v>
      </c>
      <c r="H869" s="5" t="str">
        <f ca="1">IFERROR(__xludf.DUMMYFUNCTION("""COMPUTED_VALUE"""),"None")</f>
        <v>None</v>
      </c>
    </row>
    <row r="870" spans="1:8" ht="13">
      <c r="A870" s="5" t="str">
        <f ca="1">IFERROR(__xludf.DUMMYFUNCTION("""COMPUTED_VALUE"""),"20200110MSMCJ")</f>
        <v>20200110MSMCJ</v>
      </c>
      <c r="B870" s="5">
        <f ca="1">IFERROR(__xludf.DUMMYFUNCTION("""COMPUTED_VALUE"""),13)</f>
        <v>13</v>
      </c>
      <c r="C870" s="5" t="str">
        <f ca="1">IFERROR(__xludf.DUMMYFUNCTION("""COMPUTED_VALUE"""),"Male")</f>
        <v>Male</v>
      </c>
      <c r="D870" s="5"/>
      <c r="E870" s="5" t="str">
        <f ca="1">IFERROR(__xludf.DUMMYFUNCTION("""COMPUTED_VALUE"""),"Student")</f>
        <v>Student</v>
      </c>
      <c r="F870" s="5" t="str">
        <f ca="1">IFERROR(__xludf.DUMMYFUNCTION("""COMPUTED_VALUE"""),"Unknown")</f>
        <v>Unknown</v>
      </c>
      <c r="G870" s="5" t="str">
        <f ca="1">IFERROR(__xludf.DUMMYFUNCTION("""COMPUTED_VALUE"""),"No")</f>
        <v>No</v>
      </c>
      <c r="H870" s="5" t="str">
        <f ca="1">IFERROR(__xludf.DUMMYFUNCTION("""COMPUTED_VALUE"""),"None")</f>
        <v>None</v>
      </c>
    </row>
    <row r="871" spans="1:8" ht="13">
      <c r="A871" s="5" t="str">
        <f ca="1">IFERROR(__xludf.DUMMYFUNCTION("""COMPUTED_VALUE"""),"20200108FLGLB")</f>
        <v>20200108FLGLB</v>
      </c>
      <c r="B871" s="5"/>
      <c r="C871" s="5"/>
      <c r="D871" s="5"/>
      <c r="E871" s="5" t="str">
        <f ca="1">IFERROR(__xludf.DUMMYFUNCTION("""COMPUTED_VALUE"""),"Unknown")</f>
        <v>Unknown</v>
      </c>
      <c r="F871" s="5" t="str">
        <f ca="1">IFERROR(__xludf.DUMMYFUNCTION("""COMPUTED_VALUE"""),"Surrendered")</f>
        <v>Surrendered</v>
      </c>
      <c r="G871" s="5" t="str">
        <f ca="1">IFERROR(__xludf.DUMMYFUNCTION("""COMPUTED_VALUE"""),"No")</f>
        <v>No</v>
      </c>
      <c r="H871" s="5" t="str">
        <f ca="1">IFERROR(__xludf.DUMMYFUNCTION("""COMPUTED_VALUE"""),"Wounded")</f>
        <v>Wounded</v>
      </c>
    </row>
    <row r="872" spans="1:8" ht="13">
      <c r="A872" s="5" t="str">
        <f ca="1">IFERROR(__xludf.DUMMYFUNCTION("""COMPUTED_VALUE"""),"20200107WASOK")</f>
        <v>20200107WASOK</v>
      </c>
      <c r="B872" s="5">
        <f ca="1">IFERROR(__xludf.DUMMYFUNCTION("""COMPUTED_VALUE"""),16)</f>
        <v>16</v>
      </c>
      <c r="C872" s="5" t="str">
        <f ca="1">IFERROR(__xludf.DUMMYFUNCTION("""COMPUTED_VALUE"""),"Male")</f>
        <v>Male</v>
      </c>
      <c r="D872" s="5"/>
      <c r="E872" s="5" t="str">
        <f ca="1">IFERROR(__xludf.DUMMYFUNCTION("""COMPUTED_VALUE"""),"Student")</f>
        <v>Student</v>
      </c>
      <c r="F872" s="5" t="str">
        <f ca="1">IFERROR(__xludf.DUMMYFUNCTION("""COMPUTED_VALUE"""),"Fled/Apprehended")</f>
        <v>Fled/Apprehended</v>
      </c>
      <c r="G872" s="5" t="str">
        <f ca="1">IFERROR(__xludf.DUMMYFUNCTION("""COMPUTED_VALUE"""),"No")</f>
        <v>No</v>
      </c>
      <c r="H872" s="5" t="str">
        <f ca="1">IFERROR(__xludf.DUMMYFUNCTION("""COMPUTED_VALUE"""),"None")</f>
        <v>None</v>
      </c>
    </row>
    <row r="873" spans="1:8" ht="13">
      <c r="A873" s="5" t="str">
        <f ca="1">IFERROR(__xludf.DUMMYFUNCTION("""COMPUTED_VALUE"""),"20200107WASOK")</f>
        <v>20200107WASOK</v>
      </c>
      <c r="B873" s="5">
        <f ca="1">IFERROR(__xludf.DUMMYFUNCTION("""COMPUTED_VALUE"""),16)</f>
        <v>16</v>
      </c>
      <c r="C873" s="5" t="str">
        <f ca="1">IFERROR(__xludf.DUMMYFUNCTION("""COMPUTED_VALUE"""),"Male")</f>
        <v>Male</v>
      </c>
      <c r="D873" s="5"/>
      <c r="E873" s="5" t="str">
        <f ca="1">IFERROR(__xludf.DUMMYFUNCTION("""COMPUTED_VALUE"""),"Student")</f>
        <v>Student</v>
      </c>
      <c r="F873" s="5" t="str">
        <f ca="1">IFERROR(__xludf.DUMMYFUNCTION("""COMPUTED_VALUE"""),"Fled/Apprehended")</f>
        <v>Fled/Apprehended</v>
      </c>
      <c r="G873" s="5" t="str">
        <f ca="1">IFERROR(__xludf.DUMMYFUNCTION("""COMPUTED_VALUE"""),"No")</f>
        <v>No</v>
      </c>
      <c r="H873" s="5" t="str">
        <f ca="1">IFERROR(__xludf.DUMMYFUNCTION("""COMPUTED_VALUE"""),"None")</f>
        <v>None</v>
      </c>
    </row>
    <row r="874" spans="1:8" ht="13">
      <c r="A874" s="5" t="str">
        <f ca="1">IFERROR(__xludf.DUMMYFUNCTION("""COMPUTED_VALUE"""),"20191228MOMAS")</f>
        <v>20191228MOMAS</v>
      </c>
      <c r="B874" s="5">
        <f ca="1">IFERROR(__xludf.DUMMYFUNCTION("""COMPUTED_VALUE"""),17)</f>
        <v>17</v>
      </c>
      <c r="C874" s="5" t="str">
        <f ca="1">IFERROR(__xludf.DUMMYFUNCTION("""COMPUTED_VALUE"""),"Male")</f>
        <v>Male</v>
      </c>
      <c r="D874" s="5" t="str">
        <f ca="1">IFERROR(__xludf.DUMMYFUNCTION("""COMPUTED_VALUE"""),"Black")</f>
        <v>Black</v>
      </c>
      <c r="E874" s="5" t="str">
        <f ca="1">IFERROR(__xludf.DUMMYFUNCTION("""COMPUTED_VALUE"""),"No Relation")</f>
        <v>No Relation</v>
      </c>
      <c r="F874" s="5" t="str">
        <f ca="1">IFERROR(__xludf.DUMMYFUNCTION("""COMPUTED_VALUE"""),"Fled/Apprehended")</f>
        <v>Fled/Apprehended</v>
      </c>
      <c r="G874" s="5" t="str">
        <f ca="1">IFERROR(__xludf.DUMMYFUNCTION("""COMPUTED_VALUE"""),"No")</f>
        <v>No</v>
      </c>
      <c r="H874" s="5" t="str">
        <f ca="1">IFERROR(__xludf.DUMMYFUNCTION("""COMPUTED_VALUE"""),"None")</f>
        <v>None</v>
      </c>
    </row>
    <row r="875" spans="1:8" ht="13">
      <c r="A875" s="5" t="str">
        <f ca="1">IFERROR(__xludf.DUMMYFUNCTION("""COMPUTED_VALUE"""),"20191221LAWES")</f>
        <v>20191221LAWES</v>
      </c>
      <c r="B875" s="5">
        <f ca="1">IFERROR(__xludf.DUMMYFUNCTION("""COMPUTED_VALUE"""),34)</f>
        <v>34</v>
      </c>
      <c r="C875" s="5" t="str">
        <f ca="1">IFERROR(__xludf.DUMMYFUNCTION("""COMPUTED_VALUE"""),"Male")</f>
        <v>Male</v>
      </c>
      <c r="D875" s="5" t="str">
        <f ca="1">IFERROR(__xludf.DUMMYFUNCTION("""COMPUTED_VALUE"""),"Black")</f>
        <v>Black</v>
      </c>
      <c r="E875" s="5" t="str">
        <f ca="1">IFERROR(__xludf.DUMMYFUNCTION("""COMPUTED_VALUE"""),"Nonstudent Using Athletic Facilities/Attending Game")</f>
        <v>Nonstudent Using Athletic Facilities/Attending Game</v>
      </c>
      <c r="F875" s="5" t="str">
        <f ca="1">IFERROR(__xludf.DUMMYFUNCTION("""COMPUTED_VALUE"""),"Fled/Apprehended")</f>
        <v>Fled/Apprehended</v>
      </c>
      <c r="G875" s="5" t="str">
        <f ca="1">IFERROR(__xludf.DUMMYFUNCTION("""COMPUTED_VALUE"""),"No")</f>
        <v>No</v>
      </c>
      <c r="H875" s="5" t="str">
        <f ca="1">IFERROR(__xludf.DUMMYFUNCTION("""COMPUTED_VALUE"""),"None")</f>
        <v>None</v>
      </c>
    </row>
    <row r="876" spans="1:8" ht="13">
      <c r="A876" s="5" t="str">
        <f ca="1">IFERROR(__xludf.DUMMYFUNCTION("""COMPUTED_VALUE"""),"20191219FLLEN")</f>
        <v>20191219FLLEN</v>
      </c>
      <c r="B876" s="5">
        <f ca="1">IFERROR(__xludf.DUMMYFUNCTION("""COMPUTED_VALUE"""),50)</f>
        <v>50</v>
      </c>
      <c r="C876" s="5" t="str">
        <f ca="1">IFERROR(__xludf.DUMMYFUNCTION("""COMPUTED_VALUE"""),"Male")</f>
        <v>Male</v>
      </c>
      <c r="D876" s="5" t="str">
        <f ca="1">IFERROR(__xludf.DUMMYFUNCTION("""COMPUTED_VALUE"""),"Hispanic")</f>
        <v>Hispanic</v>
      </c>
      <c r="E876" s="5" t="str">
        <f ca="1">IFERROR(__xludf.DUMMYFUNCTION("""COMPUTED_VALUE"""),"No Relation")</f>
        <v>No Relation</v>
      </c>
      <c r="F876" s="5" t="str">
        <f ca="1">IFERROR(__xludf.DUMMYFUNCTION("""COMPUTED_VALUE"""),"Fled/Apprehended")</f>
        <v>Fled/Apprehended</v>
      </c>
      <c r="G876" s="5" t="str">
        <f ca="1">IFERROR(__xludf.DUMMYFUNCTION("""COMPUTED_VALUE"""),"No")</f>
        <v>No</v>
      </c>
      <c r="H876" s="5" t="str">
        <f ca="1">IFERROR(__xludf.DUMMYFUNCTION("""COMPUTED_VALUE"""),"None")</f>
        <v>None</v>
      </c>
    </row>
    <row r="877" spans="1:8" ht="13">
      <c r="A877" s="5" t="str">
        <f ca="1">IFERROR(__xludf.DUMMYFUNCTION("""COMPUTED_VALUE"""),"20191216CTCAN")</f>
        <v>20191216CTCAN</v>
      </c>
      <c r="B877" s="5" t="str">
        <f ca="1">IFERROR(__xludf.DUMMYFUNCTION("""COMPUTED_VALUE"""),"Adult")</f>
        <v>Adult</v>
      </c>
      <c r="C877" s="5" t="str">
        <f ca="1">IFERROR(__xludf.DUMMYFUNCTION("""COMPUTED_VALUE"""),"Male")</f>
        <v>Male</v>
      </c>
      <c r="D877" s="5"/>
      <c r="E877" s="5" t="str">
        <f ca="1">IFERROR(__xludf.DUMMYFUNCTION("""COMPUTED_VALUE"""),"No Relation")</f>
        <v>No Relation</v>
      </c>
      <c r="F877" s="5" t="str">
        <f ca="1">IFERROR(__xludf.DUMMYFUNCTION("""COMPUTED_VALUE"""),"Fled/Escaped")</f>
        <v>Fled/Escaped</v>
      </c>
      <c r="G877" s="5" t="str">
        <f ca="1">IFERROR(__xludf.DUMMYFUNCTION("""COMPUTED_VALUE"""),"No")</f>
        <v>No</v>
      </c>
      <c r="H877" s="5" t="str">
        <f ca="1">IFERROR(__xludf.DUMMYFUNCTION("""COMPUTED_VALUE"""),"None")</f>
        <v>None</v>
      </c>
    </row>
    <row r="878" spans="1:8" ht="13">
      <c r="A878" s="5" t="str">
        <f ca="1">IFERROR(__xludf.DUMMYFUNCTION("""COMPUTED_VALUE"""),"20191213VAMAN")</f>
        <v>20191213VAMAN</v>
      </c>
      <c r="B878" s="5">
        <f ca="1">IFERROR(__xludf.DUMMYFUNCTION("""COMPUTED_VALUE"""),17)</f>
        <v>17</v>
      </c>
      <c r="C878" s="5" t="str">
        <f ca="1">IFERROR(__xludf.DUMMYFUNCTION("""COMPUTED_VALUE"""),"Male")</f>
        <v>Male</v>
      </c>
      <c r="D878" s="5"/>
      <c r="E878" s="5" t="str">
        <f ca="1">IFERROR(__xludf.DUMMYFUNCTION("""COMPUTED_VALUE"""),"Student")</f>
        <v>Student</v>
      </c>
      <c r="F878" s="5" t="str">
        <f ca="1">IFERROR(__xludf.DUMMYFUNCTION("""COMPUTED_VALUE"""),"Surrendered")</f>
        <v>Surrendered</v>
      </c>
      <c r="G878" s="5" t="str">
        <f ca="1">IFERROR(__xludf.DUMMYFUNCTION("""COMPUTED_VALUE"""),"No")</f>
        <v>No</v>
      </c>
      <c r="H878" s="5" t="str">
        <f ca="1">IFERROR(__xludf.DUMMYFUNCTION("""COMPUTED_VALUE"""),"Wounded")</f>
        <v>Wounded</v>
      </c>
    </row>
    <row r="879" spans="1:8" ht="13">
      <c r="A879" s="5" t="str">
        <f ca="1">IFERROR(__xludf.DUMMYFUNCTION("""COMPUTED_VALUE"""),"20191211KSCHT")</f>
        <v>20191211KSCHT</v>
      </c>
      <c r="B879" s="5"/>
      <c r="C879" s="5"/>
      <c r="D879" s="5"/>
      <c r="E879" s="5" t="str">
        <f ca="1">IFERROR(__xludf.DUMMYFUNCTION("""COMPUTED_VALUE"""),"Unknown")</f>
        <v>Unknown</v>
      </c>
      <c r="F879" s="5" t="str">
        <f ca="1">IFERROR(__xludf.DUMMYFUNCTION("""COMPUTED_VALUE"""),"Fled/Apprehended")</f>
        <v>Fled/Apprehended</v>
      </c>
      <c r="G879" s="5" t="str">
        <f ca="1">IFERROR(__xludf.DUMMYFUNCTION("""COMPUTED_VALUE"""),"No")</f>
        <v>No</v>
      </c>
      <c r="H879" s="5" t="str">
        <f ca="1">IFERROR(__xludf.DUMMYFUNCTION("""COMPUTED_VALUE"""),"None")</f>
        <v>None</v>
      </c>
    </row>
    <row r="880" spans="1:8" ht="13">
      <c r="A880" s="5" t="str">
        <f ca="1">IFERROR(__xludf.DUMMYFUNCTION("""COMPUTED_VALUE"""),"20191211INEVE")</f>
        <v>20191211INEVE</v>
      </c>
      <c r="B880" s="5"/>
      <c r="C880" s="5"/>
      <c r="D880" s="5"/>
      <c r="E880" s="5" t="str">
        <f ca="1">IFERROR(__xludf.DUMMYFUNCTION("""COMPUTED_VALUE"""),"Unknown")</f>
        <v>Unknown</v>
      </c>
      <c r="F880" s="5" t="str">
        <f ca="1">IFERROR(__xludf.DUMMYFUNCTION("""COMPUTED_VALUE"""),"Fled/Escaped")</f>
        <v>Fled/Escaped</v>
      </c>
      <c r="G880" s="5" t="str">
        <f ca="1">IFERROR(__xludf.DUMMYFUNCTION("""COMPUTED_VALUE"""),"No")</f>
        <v>No</v>
      </c>
      <c r="H880" s="5" t="str">
        <f ca="1">IFERROR(__xludf.DUMMYFUNCTION("""COMPUTED_VALUE"""),"None")</f>
        <v>None</v>
      </c>
    </row>
    <row r="881" spans="1:8" ht="13">
      <c r="A881" s="5" t="str">
        <f ca="1">IFERROR(__xludf.DUMMYFUNCTION("""COMPUTED_VALUE"""),"20191210NJSAJ")</f>
        <v>20191210NJSAJ</v>
      </c>
      <c r="B881" s="5">
        <f ca="1">IFERROR(__xludf.DUMMYFUNCTION("""COMPUTED_VALUE"""),47)</f>
        <v>47</v>
      </c>
      <c r="C881" s="5" t="str">
        <f ca="1">IFERROR(__xludf.DUMMYFUNCTION("""COMPUTED_VALUE"""),"Male")</f>
        <v>Male</v>
      </c>
      <c r="D881" s="5" t="str">
        <f ca="1">IFERROR(__xludf.DUMMYFUNCTION("""COMPUTED_VALUE"""),"White")</f>
        <v>White</v>
      </c>
      <c r="E881" s="5" t="str">
        <f ca="1">IFERROR(__xludf.DUMMYFUNCTION("""COMPUTED_VALUE"""),"No Relation")</f>
        <v>No Relation</v>
      </c>
      <c r="F881" s="5" t="str">
        <f ca="1">IFERROR(__xludf.DUMMYFUNCTION("""COMPUTED_VALUE"""),"Unknown")</f>
        <v>Unknown</v>
      </c>
      <c r="G881" s="5" t="str">
        <f ca="1">IFERROR(__xludf.DUMMYFUNCTION("""COMPUTED_VALUE"""),"No")</f>
        <v>No</v>
      </c>
      <c r="H881" s="5" t="str">
        <f ca="1">IFERROR(__xludf.DUMMYFUNCTION("""COMPUTED_VALUE"""),"None")</f>
        <v>None</v>
      </c>
    </row>
    <row r="882" spans="1:8" ht="13">
      <c r="A882" s="5" t="str">
        <f ca="1">IFERROR(__xludf.DUMMYFUNCTION("""COMPUTED_VALUE"""),"20191210NJSAJ")</f>
        <v>20191210NJSAJ</v>
      </c>
      <c r="B882" s="5">
        <f ca="1">IFERROR(__xludf.DUMMYFUNCTION("""COMPUTED_VALUE"""),50)</f>
        <v>50</v>
      </c>
      <c r="C882" s="5" t="str">
        <f ca="1">IFERROR(__xludf.DUMMYFUNCTION("""COMPUTED_VALUE"""),"Female")</f>
        <v>Female</v>
      </c>
      <c r="D882" s="5" t="str">
        <f ca="1">IFERROR(__xludf.DUMMYFUNCTION("""COMPUTED_VALUE"""),"White")</f>
        <v>White</v>
      </c>
      <c r="E882" s="5" t="str">
        <f ca="1">IFERROR(__xludf.DUMMYFUNCTION("""COMPUTED_VALUE"""),"No Relation")</f>
        <v>No Relation</v>
      </c>
      <c r="F882" s="5" t="str">
        <f ca="1">IFERROR(__xludf.DUMMYFUNCTION("""COMPUTED_VALUE"""),"Unknown")</f>
        <v>Unknown</v>
      </c>
      <c r="G882" s="5" t="str">
        <f ca="1">IFERROR(__xludf.DUMMYFUNCTION("""COMPUTED_VALUE"""),"No")</f>
        <v>No</v>
      </c>
      <c r="H882" s="5" t="str">
        <f ca="1">IFERROR(__xludf.DUMMYFUNCTION("""COMPUTED_VALUE"""),"None")</f>
        <v>None</v>
      </c>
    </row>
    <row r="883" spans="1:8" ht="13">
      <c r="A883" s="5" t="str">
        <f ca="1">IFERROR(__xludf.DUMMYFUNCTION("""COMPUTED_VALUE"""),"20191210KSJCK")</f>
        <v>20191210KSJCK</v>
      </c>
      <c r="B883" s="5"/>
      <c r="C883" s="5"/>
      <c r="D883" s="5"/>
      <c r="E883" s="5" t="str">
        <f ca="1">IFERROR(__xludf.DUMMYFUNCTION("""COMPUTED_VALUE"""),"Unknown")</f>
        <v>Unknown</v>
      </c>
      <c r="F883" s="5" t="str">
        <f ca="1">IFERROR(__xludf.DUMMYFUNCTION("""COMPUTED_VALUE"""),"Fled/Escaped")</f>
        <v>Fled/Escaped</v>
      </c>
      <c r="G883" s="5" t="str">
        <f ca="1">IFERROR(__xludf.DUMMYFUNCTION("""COMPUTED_VALUE"""),"No")</f>
        <v>No</v>
      </c>
      <c r="H883" s="5" t="str">
        <f ca="1">IFERROR(__xludf.DUMMYFUNCTION("""COMPUTED_VALUE"""),"None")</f>
        <v>None</v>
      </c>
    </row>
    <row r="884" spans="1:8" ht="13">
      <c r="A884" s="5" t="str">
        <f ca="1">IFERROR(__xludf.DUMMYFUNCTION("""COMPUTED_VALUE"""),"20191210ALDED")</f>
        <v>20191210ALDED</v>
      </c>
      <c r="B884" s="5">
        <f ca="1">IFERROR(__xludf.DUMMYFUNCTION("""COMPUTED_VALUE"""),22)</f>
        <v>22</v>
      </c>
      <c r="C884" s="5" t="str">
        <f ca="1">IFERROR(__xludf.DUMMYFUNCTION("""COMPUTED_VALUE"""),"Male")</f>
        <v>Male</v>
      </c>
      <c r="D884" s="5" t="str">
        <f ca="1">IFERROR(__xludf.DUMMYFUNCTION("""COMPUTED_VALUE"""),"White")</f>
        <v>White</v>
      </c>
      <c r="E884" s="5" t="str">
        <f ca="1">IFERROR(__xludf.DUMMYFUNCTION("""COMPUTED_VALUE"""),"Intimate Relationship")</f>
        <v>Intimate Relationship</v>
      </c>
      <c r="F884" s="5" t="str">
        <f ca="1">IFERROR(__xludf.DUMMYFUNCTION("""COMPUTED_VALUE"""),"Fled/Apprehended")</f>
        <v>Fled/Apprehended</v>
      </c>
      <c r="G884" s="5" t="str">
        <f ca="1">IFERROR(__xludf.DUMMYFUNCTION("""COMPUTED_VALUE"""),"No")</f>
        <v>No</v>
      </c>
      <c r="H884" s="5" t="str">
        <f ca="1">IFERROR(__xludf.DUMMYFUNCTION("""COMPUTED_VALUE"""),"None")</f>
        <v>None</v>
      </c>
    </row>
    <row r="885" spans="1:8" ht="13">
      <c r="A885" s="5" t="str">
        <f ca="1">IFERROR(__xludf.DUMMYFUNCTION("""COMPUTED_VALUE"""),"20191204NMPIL")</f>
        <v>20191204NMPIL</v>
      </c>
      <c r="B885" s="5" t="str">
        <f ca="1">IFERROR(__xludf.DUMMYFUNCTION("""COMPUTED_VALUE"""),"Adult")</f>
        <v>Adult</v>
      </c>
      <c r="C885" s="5" t="str">
        <f ca="1">IFERROR(__xludf.DUMMYFUNCTION("""COMPUTED_VALUE"""),"Male")</f>
        <v>Male</v>
      </c>
      <c r="D885" s="5" t="str">
        <f ca="1">IFERROR(__xludf.DUMMYFUNCTION("""COMPUTED_VALUE"""),"Hispanic")</f>
        <v>Hispanic</v>
      </c>
      <c r="E885" s="5" t="str">
        <f ca="1">IFERROR(__xludf.DUMMYFUNCTION("""COMPUTED_VALUE"""),"Police Officer/SRO")</f>
        <v>Police Officer/SRO</v>
      </c>
      <c r="F885" s="5" t="str">
        <f ca="1">IFERROR(__xludf.DUMMYFUNCTION("""COMPUTED_VALUE"""),"Law Enforcement")</f>
        <v>Law Enforcement</v>
      </c>
      <c r="G885" s="5" t="str">
        <f ca="1">IFERROR(__xludf.DUMMYFUNCTION("""COMPUTED_VALUE"""),"No")</f>
        <v>No</v>
      </c>
      <c r="H885" s="5" t="str">
        <f ca="1">IFERROR(__xludf.DUMMYFUNCTION("""COMPUTED_VALUE"""),"None")</f>
        <v>None</v>
      </c>
    </row>
    <row r="886" spans="1:8" ht="13">
      <c r="A886" s="5" t="str">
        <f ca="1">IFERROR(__xludf.DUMMYFUNCTION("""COMPUTED_VALUE"""),"20191203WITHM")</f>
        <v>20191203WITHM</v>
      </c>
      <c r="B886" s="5">
        <f ca="1">IFERROR(__xludf.DUMMYFUNCTION("""COMPUTED_VALUE"""),13)</f>
        <v>13</v>
      </c>
      <c r="C886" s="5" t="str">
        <f ca="1">IFERROR(__xludf.DUMMYFUNCTION("""COMPUTED_VALUE"""),"Male")</f>
        <v>Male</v>
      </c>
      <c r="D886" s="5"/>
      <c r="E886" s="5" t="str">
        <f ca="1">IFERROR(__xludf.DUMMYFUNCTION("""COMPUTED_VALUE"""),"Student")</f>
        <v>Student</v>
      </c>
      <c r="F886" s="5" t="str">
        <f ca="1">IFERROR(__xludf.DUMMYFUNCTION("""COMPUTED_VALUE"""),"Fled/Apprehended")</f>
        <v>Fled/Apprehended</v>
      </c>
      <c r="G886" s="5" t="str">
        <f ca="1">IFERROR(__xludf.DUMMYFUNCTION("""COMPUTED_VALUE"""),"No")</f>
        <v>No</v>
      </c>
      <c r="H886" s="5" t="str">
        <f ca="1">IFERROR(__xludf.DUMMYFUNCTION("""COMPUTED_VALUE"""),"None")</f>
        <v>None</v>
      </c>
    </row>
    <row r="887" spans="1:8" ht="13">
      <c r="A887" s="5" t="str">
        <f ca="1">IFERROR(__xludf.DUMMYFUNCTION("""COMPUTED_VALUE"""),"20191203WIOSO")</f>
        <v>20191203WIOSO</v>
      </c>
      <c r="B887" s="5" t="str">
        <f ca="1">IFERROR(__xludf.DUMMYFUNCTION("""COMPUTED_VALUE"""),"Adult")</f>
        <v>Adult</v>
      </c>
      <c r="C887" s="5" t="str">
        <f ca="1">IFERROR(__xludf.DUMMYFUNCTION("""COMPUTED_VALUE"""),"Male")</f>
        <v>Male</v>
      </c>
      <c r="D887" s="5"/>
      <c r="E887" s="5" t="str">
        <f ca="1">IFERROR(__xludf.DUMMYFUNCTION("""COMPUTED_VALUE"""),"Police Officer/SRO")</f>
        <v>Police Officer/SRO</v>
      </c>
      <c r="F887" s="5" t="str">
        <f ca="1">IFERROR(__xludf.DUMMYFUNCTION("""COMPUTED_VALUE"""),"Law Enforcement")</f>
        <v>Law Enforcement</v>
      </c>
      <c r="G887" s="5" t="str">
        <f ca="1">IFERROR(__xludf.DUMMYFUNCTION("""COMPUTED_VALUE"""),"No")</f>
        <v>No</v>
      </c>
      <c r="H887" s="5" t="str">
        <f ca="1">IFERROR(__xludf.DUMMYFUNCTION("""COMPUTED_VALUE"""),"Wounded")</f>
        <v>Wounded</v>
      </c>
    </row>
    <row r="888" spans="1:8" ht="13">
      <c r="A888" s="5" t="str">
        <f ca="1">IFERROR(__xludf.DUMMYFUNCTION("""COMPUTED_VALUE"""),"20191202WIWAW")</f>
        <v>20191202WIWAW</v>
      </c>
      <c r="B888" s="5">
        <f ca="1">IFERROR(__xludf.DUMMYFUNCTION("""COMPUTED_VALUE"""),17)</f>
        <v>17</v>
      </c>
      <c r="C888" s="5" t="str">
        <f ca="1">IFERROR(__xludf.DUMMYFUNCTION("""COMPUTED_VALUE"""),"Male")</f>
        <v>Male</v>
      </c>
      <c r="D888" s="5"/>
      <c r="E888" s="5" t="str">
        <f ca="1">IFERROR(__xludf.DUMMYFUNCTION("""COMPUTED_VALUE"""),"Student")</f>
        <v>Student</v>
      </c>
      <c r="F888" s="5" t="str">
        <f ca="1">IFERROR(__xludf.DUMMYFUNCTION("""COMPUTED_VALUE"""),"Apprehended/Killed by SRO")</f>
        <v>Apprehended/Killed by SRO</v>
      </c>
      <c r="G888" s="5" t="str">
        <f ca="1">IFERROR(__xludf.DUMMYFUNCTION("""COMPUTED_VALUE"""),"No")</f>
        <v>No</v>
      </c>
      <c r="H888" s="5" t="str">
        <f ca="1">IFERROR(__xludf.DUMMYFUNCTION("""COMPUTED_VALUE"""),"Wounded")</f>
        <v>Wounded</v>
      </c>
    </row>
    <row r="889" spans="1:8" ht="13">
      <c r="A889" s="5" t="str">
        <f ca="1">IFERROR(__xludf.DUMMYFUNCTION("""COMPUTED_VALUE"""),"20191201ALMOM")</f>
        <v>20191201ALMOM</v>
      </c>
      <c r="B889" s="5">
        <f ca="1">IFERROR(__xludf.DUMMYFUNCTION("""COMPUTED_VALUE"""),31)</f>
        <v>31</v>
      </c>
      <c r="C889" s="5" t="str">
        <f ca="1">IFERROR(__xludf.DUMMYFUNCTION("""COMPUTED_VALUE"""),"Male")</f>
        <v>Male</v>
      </c>
      <c r="D889" s="5" t="str">
        <f ca="1">IFERROR(__xludf.DUMMYFUNCTION("""COMPUTED_VALUE"""),"White")</f>
        <v>White</v>
      </c>
      <c r="E889" s="5" t="str">
        <f ca="1">IFERROR(__xludf.DUMMYFUNCTION("""COMPUTED_VALUE"""),"No Relation")</f>
        <v>No Relation</v>
      </c>
      <c r="F889" s="5" t="str">
        <f ca="1">IFERROR(__xludf.DUMMYFUNCTION("""COMPUTED_VALUE"""),"Fled/Apprehended")</f>
        <v>Fled/Apprehended</v>
      </c>
      <c r="G889" s="5" t="str">
        <f ca="1">IFERROR(__xludf.DUMMYFUNCTION("""COMPUTED_VALUE"""),"No")</f>
        <v>No</v>
      </c>
      <c r="H889" s="5" t="str">
        <f ca="1">IFERROR(__xludf.DUMMYFUNCTION("""COMPUTED_VALUE"""),"None")</f>
        <v>None</v>
      </c>
    </row>
    <row r="890" spans="1:8" ht="13">
      <c r="A890" s="5" t="str">
        <f ca="1">IFERROR(__xludf.DUMMYFUNCTION("""COMPUTED_VALUE"""),"20191126WASAV")</f>
        <v>20191126WASAV</v>
      </c>
      <c r="B890" s="5">
        <f ca="1">IFERROR(__xludf.DUMMYFUNCTION("""COMPUTED_VALUE"""),38)</f>
        <v>38</v>
      </c>
      <c r="C890" s="5" t="str">
        <f ca="1">IFERROR(__xludf.DUMMYFUNCTION("""COMPUTED_VALUE"""),"Male")</f>
        <v>Male</v>
      </c>
      <c r="D890" s="5" t="str">
        <f ca="1">IFERROR(__xludf.DUMMYFUNCTION("""COMPUTED_VALUE"""),"Black")</f>
        <v>Black</v>
      </c>
      <c r="E890" s="5" t="str">
        <f ca="1">IFERROR(__xludf.DUMMYFUNCTION("""COMPUTED_VALUE"""),"Parent")</f>
        <v>Parent</v>
      </c>
      <c r="F890" s="5" t="str">
        <f ca="1">IFERROR(__xludf.DUMMYFUNCTION("""COMPUTED_VALUE"""),"Fled/Apprehended")</f>
        <v>Fled/Apprehended</v>
      </c>
      <c r="G890" s="5" t="str">
        <f ca="1">IFERROR(__xludf.DUMMYFUNCTION("""COMPUTED_VALUE"""),"Yes")</f>
        <v>Yes</v>
      </c>
      <c r="H890" s="5" t="str">
        <f ca="1">IFERROR(__xludf.DUMMYFUNCTION("""COMPUTED_VALUE"""),"Suicide")</f>
        <v>Suicide</v>
      </c>
    </row>
    <row r="891" spans="1:8" ht="13">
      <c r="A891" s="5" t="str">
        <f ca="1">IFERROR(__xludf.DUMMYFUNCTION("""COMPUTED_VALUE"""),"20191125ILCAC")</f>
        <v>20191125ILCAC</v>
      </c>
      <c r="B891" s="5"/>
      <c r="C891" s="5" t="str">
        <f ca="1">IFERROR(__xludf.DUMMYFUNCTION("""COMPUTED_VALUE"""),"Male")</f>
        <v>Male</v>
      </c>
      <c r="D891" s="5"/>
      <c r="E891" s="5" t="str">
        <f ca="1">IFERROR(__xludf.DUMMYFUNCTION("""COMPUTED_VALUE"""),"No Relation")</f>
        <v>No Relation</v>
      </c>
      <c r="F891" s="5" t="str">
        <f ca="1">IFERROR(__xludf.DUMMYFUNCTION("""COMPUTED_VALUE"""),"Fled/Escaped")</f>
        <v>Fled/Escaped</v>
      </c>
      <c r="G891" s="5" t="str">
        <f ca="1">IFERROR(__xludf.DUMMYFUNCTION("""COMPUTED_VALUE"""),"No")</f>
        <v>No</v>
      </c>
      <c r="H891" s="5" t="str">
        <f ca="1">IFERROR(__xludf.DUMMYFUNCTION("""COMPUTED_VALUE"""),"None")</f>
        <v>None</v>
      </c>
    </row>
    <row r="892" spans="1:8" ht="13">
      <c r="A892" s="5" t="str">
        <f ca="1">IFERROR(__xludf.DUMMYFUNCTION("""COMPUTED_VALUE"""),"20191124CASEU")</f>
        <v>20191124CASEU</v>
      </c>
      <c r="B892" s="5">
        <f ca="1">IFERROR(__xludf.DUMMYFUNCTION("""COMPUTED_VALUE"""),18)</f>
        <v>18</v>
      </c>
      <c r="C892" s="5" t="str">
        <f ca="1">IFERROR(__xludf.DUMMYFUNCTION("""COMPUTED_VALUE"""),"Male")</f>
        <v>Male</v>
      </c>
      <c r="D892" s="5" t="str">
        <f ca="1">IFERROR(__xludf.DUMMYFUNCTION("""COMPUTED_VALUE"""),"Hispanic")</f>
        <v>Hispanic</v>
      </c>
      <c r="E892" s="5" t="str">
        <f ca="1">IFERROR(__xludf.DUMMYFUNCTION("""COMPUTED_VALUE"""),"No Relation")</f>
        <v>No Relation</v>
      </c>
      <c r="F892" s="5" t="str">
        <f ca="1">IFERROR(__xludf.DUMMYFUNCTION("""COMPUTED_VALUE"""),"Fled/Apprehended")</f>
        <v>Fled/Apprehended</v>
      </c>
      <c r="G892" s="5" t="str">
        <f ca="1">IFERROR(__xludf.DUMMYFUNCTION("""COMPUTED_VALUE"""),"No")</f>
        <v>No</v>
      </c>
      <c r="H892" s="5" t="str">
        <f ca="1">IFERROR(__xludf.DUMMYFUNCTION("""COMPUTED_VALUE"""),"None")</f>
        <v>None</v>
      </c>
    </row>
    <row r="893" spans="1:8" ht="13">
      <c r="A893" s="5" t="str">
        <f ca="1">IFERROR(__xludf.DUMMYFUNCTION("""COMPUTED_VALUE"""),"20191124CASEU")</f>
        <v>20191124CASEU</v>
      </c>
      <c r="B893" s="5">
        <f ca="1">IFERROR(__xludf.DUMMYFUNCTION("""COMPUTED_VALUE"""),17)</f>
        <v>17</v>
      </c>
      <c r="C893" s="5" t="str">
        <f ca="1">IFERROR(__xludf.DUMMYFUNCTION("""COMPUTED_VALUE"""),"Male")</f>
        <v>Male</v>
      </c>
      <c r="D893" s="5" t="str">
        <f ca="1">IFERROR(__xludf.DUMMYFUNCTION("""COMPUTED_VALUE"""),"Hispanic")</f>
        <v>Hispanic</v>
      </c>
      <c r="E893" s="5" t="str">
        <f ca="1">IFERROR(__xludf.DUMMYFUNCTION("""COMPUTED_VALUE"""),"No Relation")</f>
        <v>No Relation</v>
      </c>
      <c r="F893" s="5" t="str">
        <f ca="1">IFERROR(__xludf.DUMMYFUNCTION("""COMPUTED_VALUE"""),"Fled/Apprehended")</f>
        <v>Fled/Apprehended</v>
      </c>
      <c r="G893" s="5" t="str">
        <f ca="1">IFERROR(__xludf.DUMMYFUNCTION("""COMPUTED_VALUE"""),"No")</f>
        <v>No</v>
      </c>
      <c r="H893" s="5" t="str">
        <f ca="1">IFERROR(__xludf.DUMMYFUNCTION("""COMPUTED_VALUE"""),"None")</f>
        <v>None</v>
      </c>
    </row>
    <row r="894" spans="1:8" ht="13">
      <c r="A894" s="5" t="str">
        <f ca="1">IFERROR(__xludf.DUMMYFUNCTION("""COMPUTED_VALUE"""),"20191124CASEU")</f>
        <v>20191124CASEU</v>
      </c>
      <c r="B894" s="5">
        <f ca="1">IFERROR(__xludf.DUMMYFUNCTION("""COMPUTED_VALUE"""),20)</f>
        <v>20</v>
      </c>
      <c r="C894" s="5" t="str">
        <f ca="1">IFERROR(__xludf.DUMMYFUNCTION("""COMPUTED_VALUE"""),"Male")</f>
        <v>Male</v>
      </c>
      <c r="D894" s="5" t="str">
        <f ca="1">IFERROR(__xludf.DUMMYFUNCTION("""COMPUTED_VALUE"""),"Hispanic")</f>
        <v>Hispanic</v>
      </c>
      <c r="E894" s="5" t="str">
        <f ca="1">IFERROR(__xludf.DUMMYFUNCTION("""COMPUTED_VALUE"""),"No Relation")</f>
        <v>No Relation</v>
      </c>
      <c r="F894" s="5" t="str">
        <f ca="1">IFERROR(__xludf.DUMMYFUNCTION("""COMPUTED_VALUE"""),"Fled/Apprehended")</f>
        <v>Fled/Apprehended</v>
      </c>
      <c r="G894" s="5" t="str">
        <f ca="1">IFERROR(__xludf.DUMMYFUNCTION("""COMPUTED_VALUE"""),"No")</f>
        <v>No</v>
      </c>
      <c r="H894" s="5" t="str">
        <f ca="1">IFERROR(__xludf.DUMMYFUNCTION("""COMPUTED_VALUE"""),"None")</f>
        <v>None</v>
      </c>
    </row>
    <row r="895" spans="1:8" ht="13">
      <c r="A895" s="5" t="str">
        <f ca="1">IFERROR(__xludf.DUMMYFUNCTION("""COMPUTED_VALUE"""),"20191121ILRIO")</f>
        <v>20191121ILRIO</v>
      </c>
      <c r="B895" s="5">
        <f ca="1">IFERROR(__xludf.DUMMYFUNCTION("""COMPUTED_VALUE"""),19)</f>
        <v>19</v>
      </c>
      <c r="C895" s="5" t="str">
        <f ca="1">IFERROR(__xludf.DUMMYFUNCTION("""COMPUTED_VALUE"""),"Male")</f>
        <v>Male</v>
      </c>
      <c r="D895" s="5" t="str">
        <f ca="1">IFERROR(__xludf.DUMMYFUNCTION("""COMPUTED_VALUE"""),"Black")</f>
        <v>Black</v>
      </c>
      <c r="E895" s="5" t="str">
        <f ca="1">IFERROR(__xludf.DUMMYFUNCTION("""COMPUTED_VALUE"""),"Student")</f>
        <v>Student</v>
      </c>
      <c r="F895" s="5" t="str">
        <f ca="1">IFERROR(__xludf.DUMMYFUNCTION("""COMPUTED_VALUE"""),"Fled/Apprehended")</f>
        <v>Fled/Apprehended</v>
      </c>
      <c r="G895" s="5" t="str">
        <f ca="1">IFERROR(__xludf.DUMMYFUNCTION("""COMPUTED_VALUE"""),"No")</f>
        <v>No</v>
      </c>
      <c r="H895" s="5" t="str">
        <f ca="1">IFERROR(__xludf.DUMMYFUNCTION("""COMPUTED_VALUE"""),"None")</f>
        <v>None</v>
      </c>
    </row>
    <row r="896" spans="1:8" ht="13">
      <c r="A896" s="5" t="str">
        <f ca="1">IFERROR(__xludf.DUMMYFUNCTION("""COMPUTED_VALUE"""),"20191115NJPLP")</f>
        <v>20191115NJPLP</v>
      </c>
      <c r="B896" s="5">
        <f ca="1">IFERROR(__xludf.DUMMYFUNCTION("""COMPUTED_VALUE"""),31)</f>
        <v>31</v>
      </c>
      <c r="C896" s="5" t="str">
        <f ca="1">IFERROR(__xludf.DUMMYFUNCTION("""COMPUTED_VALUE"""),"Male")</f>
        <v>Male</v>
      </c>
      <c r="D896" s="5" t="str">
        <f ca="1">IFERROR(__xludf.DUMMYFUNCTION("""COMPUTED_VALUE"""),"Black")</f>
        <v>Black</v>
      </c>
      <c r="E896" s="5" t="str">
        <f ca="1">IFERROR(__xludf.DUMMYFUNCTION("""COMPUTED_VALUE"""),"Nonstudent Using Athletic Facilities/Attending Game")</f>
        <v>Nonstudent Using Athletic Facilities/Attending Game</v>
      </c>
      <c r="F896" s="5" t="str">
        <f ca="1">IFERROR(__xludf.DUMMYFUNCTION("""COMPUTED_VALUE"""),"Fled/Apprehended")</f>
        <v>Fled/Apprehended</v>
      </c>
      <c r="G896" s="5" t="str">
        <f ca="1">IFERROR(__xludf.DUMMYFUNCTION("""COMPUTED_VALUE"""),"No")</f>
        <v>No</v>
      </c>
      <c r="H896" s="5" t="str">
        <f ca="1">IFERROR(__xludf.DUMMYFUNCTION("""COMPUTED_VALUE"""),"None")</f>
        <v>None</v>
      </c>
    </row>
    <row r="897" spans="1:8" ht="13">
      <c r="A897" s="5" t="str">
        <f ca="1">IFERROR(__xludf.DUMMYFUNCTION("""COMPUTED_VALUE"""),"20191115NJPLP")</f>
        <v>20191115NJPLP</v>
      </c>
      <c r="B897" s="5">
        <f ca="1">IFERROR(__xludf.DUMMYFUNCTION("""COMPUTED_VALUE"""),28)</f>
        <v>28</v>
      </c>
      <c r="C897" s="5" t="str">
        <f ca="1">IFERROR(__xludf.DUMMYFUNCTION("""COMPUTED_VALUE"""),"Male")</f>
        <v>Male</v>
      </c>
      <c r="D897" s="5" t="str">
        <f ca="1">IFERROR(__xludf.DUMMYFUNCTION("""COMPUTED_VALUE"""),"Black")</f>
        <v>Black</v>
      </c>
      <c r="E897" s="5" t="str">
        <f ca="1">IFERROR(__xludf.DUMMYFUNCTION("""COMPUTED_VALUE"""),"Nonstudent Using Athletic Facilities/Attending Game")</f>
        <v>Nonstudent Using Athletic Facilities/Attending Game</v>
      </c>
      <c r="F897" s="5" t="str">
        <f ca="1">IFERROR(__xludf.DUMMYFUNCTION("""COMPUTED_VALUE"""),"Fled/Apprehended")</f>
        <v>Fled/Apprehended</v>
      </c>
      <c r="G897" s="5" t="str">
        <f ca="1">IFERROR(__xludf.DUMMYFUNCTION("""COMPUTED_VALUE"""),"No")</f>
        <v>No</v>
      </c>
      <c r="H897" s="5" t="str">
        <f ca="1">IFERROR(__xludf.DUMMYFUNCTION("""COMPUTED_VALUE"""),"None")</f>
        <v>None</v>
      </c>
    </row>
    <row r="898" spans="1:8" ht="13">
      <c r="A898" s="5" t="str">
        <f ca="1">IFERROR(__xludf.DUMMYFUNCTION("""COMPUTED_VALUE"""),"20191114CASAS")</f>
        <v>20191114CASAS</v>
      </c>
      <c r="B898" s="5">
        <f ca="1">IFERROR(__xludf.DUMMYFUNCTION("""COMPUTED_VALUE"""),16)</f>
        <v>16</v>
      </c>
      <c r="C898" s="5" t="str">
        <f ca="1">IFERROR(__xludf.DUMMYFUNCTION("""COMPUTED_VALUE"""),"Male")</f>
        <v>Male</v>
      </c>
      <c r="D898" s="5" t="str">
        <f ca="1">IFERROR(__xludf.DUMMYFUNCTION("""COMPUTED_VALUE"""),"Asian")</f>
        <v>Asian</v>
      </c>
      <c r="E898" s="5" t="str">
        <f ca="1">IFERROR(__xludf.DUMMYFUNCTION("""COMPUTED_VALUE"""),"Student")</f>
        <v>Student</v>
      </c>
      <c r="F898" s="5" t="str">
        <f ca="1">IFERROR(__xludf.DUMMYFUNCTION("""COMPUTED_VALUE"""),"Suicide")</f>
        <v>Suicide</v>
      </c>
      <c r="G898" s="5" t="str">
        <f ca="1">IFERROR(__xludf.DUMMYFUNCTION("""COMPUTED_VALUE"""),"Yes")</f>
        <v>Yes</v>
      </c>
      <c r="H898" s="5" t="str">
        <f ca="1">IFERROR(__xludf.DUMMYFUNCTION("""COMPUTED_VALUE"""),"Suicide")</f>
        <v>Suicide</v>
      </c>
    </row>
    <row r="899" spans="1:8" ht="13">
      <c r="A899" s="5" t="str">
        <f ca="1">IFERROR(__xludf.DUMMYFUNCTION("""COMPUTED_VALUE"""),"20191113CAESL")</f>
        <v>20191113CAESL</v>
      </c>
      <c r="B899" s="5" t="str">
        <f ca="1">IFERROR(__xludf.DUMMYFUNCTION("""COMPUTED_VALUE"""),"Adult")</f>
        <v>Adult</v>
      </c>
      <c r="C899" s="5"/>
      <c r="D899" s="5" t="str">
        <f ca="1">IFERROR(__xludf.DUMMYFUNCTION("""COMPUTED_VALUE"""),"N/A")</f>
        <v>N/A</v>
      </c>
      <c r="E899" s="5" t="str">
        <f ca="1">IFERROR(__xludf.DUMMYFUNCTION("""COMPUTED_VALUE"""),"Police Officer/SRO")</f>
        <v>Police Officer/SRO</v>
      </c>
      <c r="F899" s="5" t="str">
        <f ca="1">IFERROR(__xludf.DUMMYFUNCTION("""COMPUTED_VALUE"""),"Law Enforcement")</f>
        <v>Law Enforcement</v>
      </c>
      <c r="G899" s="5" t="str">
        <f ca="1">IFERROR(__xludf.DUMMYFUNCTION("""COMPUTED_VALUE"""),"No")</f>
        <v>No</v>
      </c>
      <c r="H899" s="5" t="str">
        <f ca="1">IFERROR(__xludf.DUMMYFUNCTION("""COMPUTED_VALUE"""),"None")</f>
        <v>None</v>
      </c>
    </row>
    <row r="900" spans="1:8" ht="13">
      <c r="A900" s="5" t="str">
        <f ca="1">IFERROR(__xludf.DUMMYFUNCTION("""COMPUTED_VALUE"""),"20191111MDACB")</f>
        <v>20191111MDACB</v>
      </c>
      <c r="B900" s="5"/>
      <c r="C900" s="5" t="str">
        <f ca="1">IFERROR(__xludf.DUMMYFUNCTION("""COMPUTED_VALUE"""),"Male")</f>
        <v>Male</v>
      </c>
      <c r="D900" s="5"/>
      <c r="E900" s="5" t="str">
        <f ca="1">IFERROR(__xludf.DUMMYFUNCTION("""COMPUTED_VALUE"""),"Unknown")</f>
        <v>Unknown</v>
      </c>
      <c r="F900" s="5" t="str">
        <f ca="1">IFERROR(__xludf.DUMMYFUNCTION("""COMPUTED_VALUE"""),"Fled/Escaped")</f>
        <v>Fled/Escaped</v>
      </c>
      <c r="G900" s="5" t="str">
        <f ca="1">IFERROR(__xludf.DUMMYFUNCTION("""COMPUTED_VALUE"""),"No")</f>
        <v>No</v>
      </c>
      <c r="H900" s="5" t="str">
        <f ca="1">IFERROR(__xludf.DUMMYFUNCTION("""COMPUTED_VALUE"""),"None")</f>
        <v>None</v>
      </c>
    </row>
    <row r="901" spans="1:8" ht="13">
      <c r="A901" s="5" t="str">
        <f ca="1">IFERROR(__xludf.DUMMYFUNCTION("""COMPUTED_VALUE"""),"20191108TXROD")</f>
        <v>20191108TXROD</v>
      </c>
      <c r="B901" s="5"/>
      <c r="C901" s="5" t="str">
        <f ca="1">IFERROR(__xludf.DUMMYFUNCTION("""COMPUTED_VALUE"""),"Male")</f>
        <v>Male</v>
      </c>
      <c r="D901" s="5"/>
      <c r="E901" s="5" t="str">
        <f ca="1">IFERROR(__xludf.DUMMYFUNCTION("""COMPUTED_VALUE"""),"Unknown")</f>
        <v>Unknown</v>
      </c>
      <c r="F901" s="5" t="str">
        <f ca="1">IFERROR(__xludf.DUMMYFUNCTION("""COMPUTED_VALUE"""),"Fled/Escaped")</f>
        <v>Fled/Escaped</v>
      </c>
      <c r="G901" s="5" t="str">
        <f ca="1">IFERROR(__xludf.DUMMYFUNCTION("""COMPUTED_VALUE"""),"No")</f>
        <v>No</v>
      </c>
      <c r="H901" s="5" t="str">
        <f ca="1">IFERROR(__xludf.DUMMYFUNCTION("""COMPUTED_VALUE"""),"None")</f>
        <v>None</v>
      </c>
    </row>
    <row r="902" spans="1:8" ht="13">
      <c r="A902" s="5" t="str">
        <f ca="1">IFERROR(__xludf.DUMMYFUNCTION("""COMPUTED_VALUE"""),"20191108CAEDS")</f>
        <v>20191108CAEDS</v>
      </c>
      <c r="B902" s="5"/>
      <c r="C902" s="5"/>
      <c r="D902" s="5"/>
      <c r="E902" s="5" t="str">
        <f ca="1">IFERROR(__xludf.DUMMYFUNCTION("""COMPUTED_VALUE"""),"Unknown")</f>
        <v>Unknown</v>
      </c>
      <c r="F902" s="5" t="str">
        <f ca="1">IFERROR(__xludf.DUMMYFUNCTION("""COMPUTED_VALUE"""),"Fled/Escaped")</f>
        <v>Fled/Escaped</v>
      </c>
      <c r="G902" s="5" t="str">
        <f ca="1">IFERROR(__xludf.DUMMYFUNCTION("""COMPUTED_VALUE"""),"No")</f>
        <v>No</v>
      </c>
      <c r="H902" s="5" t="str">
        <f ca="1">IFERROR(__xludf.DUMMYFUNCTION("""COMPUTED_VALUE"""),"None")</f>
        <v>None</v>
      </c>
    </row>
    <row r="903" spans="1:8" ht="13">
      <c r="A903" s="5" t="str">
        <f ca="1">IFERROR(__xludf.DUMMYFUNCTION("""COMPUTED_VALUE"""),"20191029NYNEN")</f>
        <v>20191029NYNEN</v>
      </c>
      <c r="B903" s="5"/>
      <c r="C903" s="5" t="str">
        <f ca="1">IFERROR(__xludf.DUMMYFUNCTION("""COMPUTED_VALUE"""),"Male")</f>
        <v>Male</v>
      </c>
      <c r="D903" s="5" t="str">
        <f ca="1">IFERROR(__xludf.DUMMYFUNCTION("""COMPUTED_VALUE"""),"Black")</f>
        <v>Black</v>
      </c>
      <c r="E903" s="5" t="str">
        <f ca="1">IFERROR(__xludf.DUMMYFUNCTION("""COMPUTED_VALUE"""),"Student")</f>
        <v>Student</v>
      </c>
      <c r="F903" s="5" t="str">
        <f ca="1">IFERROR(__xludf.DUMMYFUNCTION("""COMPUTED_VALUE"""),"Fled/Escaped")</f>
        <v>Fled/Escaped</v>
      </c>
      <c r="G903" s="5" t="str">
        <f ca="1">IFERROR(__xludf.DUMMYFUNCTION("""COMPUTED_VALUE"""),"No")</f>
        <v>No</v>
      </c>
      <c r="H903" s="5" t="str">
        <f ca="1">IFERROR(__xludf.DUMMYFUNCTION("""COMPUTED_VALUE"""),"None")</f>
        <v>None</v>
      </c>
    </row>
    <row r="904" spans="1:8" ht="13">
      <c r="A904" s="5" t="str">
        <f ca="1">IFERROR(__xludf.DUMMYFUNCTION("""COMPUTED_VALUE"""),"20191027MDLAL")</f>
        <v>20191027MDLAL</v>
      </c>
      <c r="B904" s="5">
        <f ca="1">IFERROR(__xludf.DUMMYFUNCTION("""COMPUTED_VALUE"""),34)</f>
        <v>34</v>
      </c>
      <c r="C904" s="5" t="str">
        <f ca="1">IFERROR(__xludf.DUMMYFUNCTION("""COMPUTED_VALUE"""),"Male")</f>
        <v>Male</v>
      </c>
      <c r="D904" s="5" t="str">
        <f ca="1">IFERROR(__xludf.DUMMYFUNCTION("""COMPUTED_VALUE"""),"Hispanic")</f>
        <v>Hispanic</v>
      </c>
      <c r="E904" s="5" t="str">
        <f ca="1">IFERROR(__xludf.DUMMYFUNCTION("""COMPUTED_VALUE"""),"No Relation")</f>
        <v>No Relation</v>
      </c>
      <c r="F904" s="5" t="str">
        <f ca="1">IFERROR(__xludf.DUMMYFUNCTION("""COMPUTED_VALUE"""),"Fled/Apprehended")</f>
        <v>Fled/Apprehended</v>
      </c>
      <c r="G904" s="5" t="str">
        <f ca="1">IFERROR(__xludf.DUMMYFUNCTION("""COMPUTED_VALUE"""),"No")</f>
        <v>No</v>
      </c>
      <c r="H904" s="5" t="str">
        <f ca="1">IFERROR(__xludf.DUMMYFUNCTION("""COMPUTED_VALUE"""),"None")</f>
        <v>None</v>
      </c>
    </row>
    <row r="905" spans="1:8" ht="13">
      <c r="A905" s="5" t="str">
        <f ca="1">IFERROR(__xludf.DUMMYFUNCTION("""COMPUTED_VALUE"""),"20191022NJBRB")</f>
        <v>20191022NJBRB</v>
      </c>
      <c r="B905" s="5">
        <f ca="1">IFERROR(__xludf.DUMMYFUNCTION("""COMPUTED_VALUE"""),17)</f>
        <v>17</v>
      </c>
      <c r="C905" s="5" t="str">
        <f ca="1">IFERROR(__xludf.DUMMYFUNCTION("""COMPUTED_VALUE"""),"Male")</f>
        <v>Male</v>
      </c>
      <c r="D905" s="5" t="str">
        <f ca="1">IFERROR(__xludf.DUMMYFUNCTION("""COMPUTED_VALUE"""),"Black")</f>
        <v>Black</v>
      </c>
      <c r="E905" s="5" t="str">
        <f ca="1">IFERROR(__xludf.DUMMYFUNCTION("""COMPUTED_VALUE"""),"Student")</f>
        <v>Student</v>
      </c>
      <c r="F905" s="5" t="str">
        <f ca="1">IFERROR(__xludf.DUMMYFUNCTION("""COMPUTED_VALUE"""),"Fled/Apprehended")</f>
        <v>Fled/Apprehended</v>
      </c>
      <c r="G905" s="5" t="str">
        <f ca="1">IFERROR(__xludf.DUMMYFUNCTION("""COMPUTED_VALUE"""),"No")</f>
        <v>No</v>
      </c>
      <c r="H905" s="5" t="str">
        <f ca="1">IFERROR(__xludf.DUMMYFUNCTION("""COMPUTED_VALUE"""),"None")</f>
        <v>None</v>
      </c>
    </row>
    <row r="906" spans="1:8" ht="13">
      <c r="A906" s="5" t="str">
        <f ca="1">IFERROR(__xludf.DUMMYFUNCTION("""COMPUTED_VALUE"""),"20191022CARIS")</f>
        <v>20191022CARIS</v>
      </c>
      <c r="B906" s="5">
        <f ca="1">IFERROR(__xludf.DUMMYFUNCTION("""COMPUTED_VALUE"""),17)</f>
        <v>17</v>
      </c>
      <c r="C906" s="5" t="str">
        <f ca="1">IFERROR(__xludf.DUMMYFUNCTION("""COMPUTED_VALUE"""),"Male")</f>
        <v>Male</v>
      </c>
      <c r="D906" s="5" t="str">
        <f ca="1">IFERROR(__xludf.DUMMYFUNCTION("""COMPUTED_VALUE"""),"Black")</f>
        <v>Black</v>
      </c>
      <c r="E906" s="5" t="str">
        <f ca="1">IFERROR(__xludf.DUMMYFUNCTION("""COMPUTED_VALUE"""),"Student")</f>
        <v>Student</v>
      </c>
      <c r="F906" s="5" t="str">
        <f ca="1">IFERROR(__xludf.DUMMYFUNCTION("""COMPUTED_VALUE"""),"Fled/Apprehended")</f>
        <v>Fled/Apprehended</v>
      </c>
      <c r="G906" s="5" t="str">
        <f ca="1">IFERROR(__xludf.DUMMYFUNCTION("""COMPUTED_VALUE"""),"No")</f>
        <v>No</v>
      </c>
      <c r="H906" s="5" t="str">
        <f ca="1">IFERROR(__xludf.DUMMYFUNCTION("""COMPUTED_VALUE"""),"None")</f>
        <v>None</v>
      </c>
    </row>
    <row r="907" spans="1:8" ht="13">
      <c r="A907" s="5" t="str">
        <f ca="1">IFERROR(__xludf.DUMMYFUNCTION("""COMPUTED_VALUE"""),"20191018OHWOT")</f>
        <v>20191018OHWOT</v>
      </c>
      <c r="B907" s="5"/>
      <c r="C907" s="5"/>
      <c r="D907" s="5"/>
      <c r="E907" s="5" t="str">
        <f ca="1">IFERROR(__xludf.DUMMYFUNCTION("""COMPUTED_VALUE"""),"Unknown")</f>
        <v>Unknown</v>
      </c>
      <c r="F907" s="5" t="str">
        <f ca="1">IFERROR(__xludf.DUMMYFUNCTION("""COMPUTED_VALUE"""),"Fled/Escaped")</f>
        <v>Fled/Escaped</v>
      </c>
      <c r="G907" s="5" t="str">
        <f ca="1">IFERROR(__xludf.DUMMYFUNCTION("""COMPUTED_VALUE"""),"No")</f>
        <v>No</v>
      </c>
      <c r="H907" s="5" t="str">
        <f ca="1">IFERROR(__xludf.DUMMYFUNCTION("""COMPUTED_VALUE"""),"None")</f>
        <v>None</v>
      </c>
    </row>
    <row r="908" spans="1:8" ht="13">
      <c r="A908" s="5" t="str">
        <f ca="1">IFERROR(__xludf.DUMMYFUNCTION("""COMPUTED_VALUE"""),"20191018GACRS")</f>
        <v>20191018GACRS</v>
      </c>
      <c r="B908" s="5">
        <f ca="1">IFERROR(__xludf.DUMMYFUNCTION("""COMPUTED_VALUE"""),19)</f>
        <v>19</v>
      </c>
      <c r="C908" s="5"/>
      <c r="D908" s="5"/>
      <c r="E908" s="5" t="str">
        <f ca="1">IFERROR(__xludf.DUMMYFUNCTION("""COMPUTED_VALUE"""),"Unknown")</f>
        <v>Unknown</v>
      </c>
      <c r="F908" s="5" t="str">
        <f ca="1">IFERROR(__xludf.DUMMYFUNCTION("""COMPUTED_VALUE"""),"Fled/Escaped")</f>
        <v>Fled/Escaped</v>
      </c>
      <c r="G908" s="5" t="str">
        <f ca="1">IFERROR(__xludf.DUMMYFUNCTION("""COMPUTED_VALUE"""),"No")</f>
        <v>No</v>
      </c>
      <c r="H908" s="5" t="str">
        <f ca="1">IFERROR(__xludf.DUMMYFUNCTION("""COMPUTED_VALUE"""),"None")</f>
        <v>None</v>
      </c>
    </row>
    <row r="909" spans="1:8" ht="13">
      <c r="A909" s="5" t="str">
        <f ca="1">IFERROR(__xludf.DUMMYFUNCTION("""COMPUTED_VALUE"""),"20191015LAGEN")</f>
        <v>20191015LAGEN</v>
      </c>
      <c r="B909" s="5"/>
      <c r="C909" s="5" t="str">
        <f ca="1">IFERROR(__xludf.DUMMYFUNCTION("""COMPUTED_VALUE"""),"Male")</f>
        <v>Male</v>
      </c>
      <c r="D909" s="5"/>
      <c r="E909" s="5" t="str">
        <f ca="1">IFERROR(__xludf.DUMMYFUNCTION("""COMPUTED_VALUE"""),"Unknown")</f>
        <v>Unknown</v>
      </c>
      <c r="F909" s="5" t="str">
        <f ca="1">IFERROR(__xludf.DUMMYFUNCTION("""COMPUTED_VALUE"""),"Fled/Escaped")</f>
        <v>Fled/Escaped</v>
      </c>
      <c r="G909" s="5" t="str">
        <f ca="1">IFERROR(__xludf.DUMMYFUNCTION("""COMPUTED_VALUE"""),"No")</f>
        <v>No</v>
      </c>
      <c r="H909" s="5" t="str">
        <f ca="1">IFERROR(__xludf.DUMMYFUNCTION("""COMPUTED_VALUE"""),"None")</f>
        <v>None</v>
      </c>
    </row>
    <row r="910" spans="1:8" ht="13">
      <c r="A910" s="5" t="str">
        <f ca="1">IFERROR(__xludf.DUMMYFUNCTION("""COMPUTED_VALUE"""),"20191011LARAR")</f>
        <v>20191011LARAR</v>
      </c>
      <c r="B910" s="5">
        <f ca="1">IFERROR(__xludf.DUMMYFUNCTION("""COMPUTED_VALUE"""),15)</f>
        <v>15</v>
      </c>
      <c r="C910" s="5" t="str">
        <f ca="1">IFERROR(__xludf.DUMMYFUNCTION("""COMPUTED_VALUE"""),"Male")</f>
        <v>Male</v>
      </c>
      <c r="D910" s="5"/>
      <c r="E910" s="5" t="str">
        <f ca="1">IFERROR(__xludf.DUMMYFUNCTION("""COMPUTED_VALUE"""),"Unknown")</f>
        <v>Unknown</v>
      </c>
      <c r="F910" s="5" t="str">
        <f ca="1">IFERROR(__xludf.DUMMYFUNCTION("""COMPUTED_VALUE"""),"Fled/Apprehended")</f>
        <v>Fled/Apprehended</v>
      </c>
      <c r="G910" s="5" t="str">
        <f ca="1">IFERROR(__xludf.DUMMYFUNCTION("""COMPUTED_VALUE"""),"No")</f>
        <v>No</v>
      </c>
      <c r="H910" s="5" t="str">
        <f ca="1">IFERROR(__xludf.DUMMYFUNCTION("""COMPUTED_VALUE"""),"None")</f>
        <v>None</v>
      </c>
    </row>
    <row r="911" spans="1:8" ht="13">
      <c r="A911" s="5" t="str">
        <f ca="1">IFERROR(__xludf.DUMMYFUNCTION("""COMPUTED_VALUE"""),"20191009MAGRL")</f>
        <v>20191009MAGRL</v>
      </c>
      <c r="B911" s="5"/>
      <c r="C911" s="5" t="str">
        <f ca="1">IFERROR(__xludf.DUMMYFUNCTION("""COMPUTED_VALUE"""),"Male")</f>
        <v>Male</v>
      </c>
      <c r="D911" s="5" t="str">
        <f ca="1">IFERROR(__xludf.DUMMYFUNCTION("""COMPUTED_VALUE"""),"Asian")</f>
        <v>Asian</v>
      </c>
      <c r="E911" s="5" t="str">
        <f ca="1">IFERROR(__xludf.DUMMYFUNCTION("""COMPUTED_VALUE"""),"Unknown")</f>
        <v>Unknown</v>
      </c>
      <c r="F911" s="5" t="str">
        <f ca="1">IFERROR(__xludf.DUMMYFUNCTION("""COMPUTED_VALUE"""),"Fled/Apprehended")</f>
        <v>Fled/Apprehended</v>
      </c>
      <c r="G911" s="5" t="str">
        <f ca="1">IFERROR(__xludf.DUMMYFUNCTION("""COMPUTED_VALUE"""),"No")</f>
        <v>No</v>
      </c>
      <c r="H911" s="5" t="str">
        <f ca="1">IFERROR(__xludf.DUMMYFUNCTION("""COMPUTED_VALUE"""),"None")</f>
        <v>None</v>
      </c>
    </row>
    <row r="912" spans="1:8" ht="13">
      <c r="A912" s="5" t="str">
        <f ca="1">IFERROR(__xludf.DUMMYFUNCTION("""COMPUTED_VALUE"""),"20191009MAGRL")</f>
        <v>20191009MAGRL</v>
      </c>
      <c r="B912" s="5"/>
      <c r="C912" s="5" t="str">
        <f ca="1">IFERROR(__xludf.DUMMYFUNCTION("""COMPUTED_VALUE"""),"Male")</f>
        <v>Male</v>
      </c>
      <c r="D912" s="5" t="str">
        <f ca="1">IFERROR(__xludf.DUMMYFUNCTION("""COMPUTED_VALUE"""),"Asian")</f>
        <v>Asian</v>
      </c>
      <c r="E912" s="5" t="str">
        <f ca="1">IFERROR(__xludf.DUMMYFUNCTION("""COMPUTED_VALUE"""),"Unknown")</f>
        <v>Unknown</v>
      </c>
      <c r="F912" s="5" t="str">
        <f ca="1">IFERROR(__xludf.DUMMYFUNCTION("""COMPUTED_VALUE"""),"Fled/Apprehended")</f>
        <v>Fled/Apprehended</v>
      </c>
      <c r="G912" s="5" t="str">
        <f ca="1">IFERROR(__xludf.DUMMYFUNCTION("""COMPUTED_VALUE"""),"No")</f>
        <v>No</v>
      </c>
      <c r="H912" s="5" t="str">
        <f ca="1">IFERROR(__xludf.DUMMYFUNCTION("""COMPUTED_VALUE"""),"None")</f>
        <v>None</v>
      </c>
    </row>
    <row r="913" spans="1:8" ht="13">
      <c r="A913" s="5" t="str">
        <f ca="1">IFERROR(__xludf.DUMMYFUNCTION("""COMPUTED_VALUE"""),"20191008TXWEH")</f>
        <v>20191008TXWEH</v>
      </c>
      <c r="B913" s="5"/>
      <c r="C913" s="5"/>
      <c r="D913" s="5"/>
      <c r="E913" s="5" t="str">
        <f ca="1">IFERROR(__xludf.DUMMYFUNCTION("""COMPUTED_VALUE"""),"Student")</f>
        <v>Student</v>
      </c>
      <c r="F913" s="5" t="str">
        <f ca="1">IFERROR(__xludf.DUMMYFUNCTION("""COMPUTED_VALUE"""),"Unknown")</f>
        <v>Unknown</v>
      </c>
      <c r="G913" s="5" t="str">
        <f ca="1">IFERROR(__xludf.DUMMYFUNCTION("""COMPUTED_VALUE"""),"No")</f>
        <v>No</v>
      </c>
      <c r="H913" s="5" t="str">
        <f ca="1">IFERROR(__xludf.DUMMYFUNCTION("""COMPUTED_VALUE"""),"None")</f>
        <v>None</v>
      </c>
    </row>
    <row r="914" spans="1:8" ht="13">
      <c r="A914" s="5" t="str">
        <f ca="1">IFERROR(__xludf.DUMMYFUNCTION("""COMPUTED_VALUE"""),"20191008COSHS")</f>
        <v>20191008COSHS</v>
      </c>
      <c r="B914" s="5">
        <f ca="1">IFERROR(__xludf.DUMMYFUNCTION("""COMPUTED_VALUE"""),16)</f>
        <v>16</v>
      </c>
      <c r="C914" s="5" t="str">
        <f ca="1">IFERROR(__xludf.DUMMYFUNCTION("""COMPUTED_VALUE"""),"Male")</f>
        <v>Male</v>
      </c>
      <c r="D914" s="5"/>
      <c r="E914" s="5" t="str">
        <f ca="1">IFERROR(__xludf.DUMMYFUNCTION("""COMPUTED_VALUE"""),"Rival School Student")</f>
        <v>Rival School Student</v>
      </c>
      <c r="F914" s="5" t="str">
        <f ca="1">IFERROR(__xludf.DUMMYFUNCTION("""COMPUTED_VALUE"""),"Fled/Apprehended")</f>
        <v>Fled/Apprehended</v>
      </c>
      <c r="G914" s="5" t="str">
        <f ca="1">IFERROR(__xludf.DUMMYFUNCTION("""COMPUTED_VALUE"""),"No")</f>
        <v>No</v>
      </c>
      <c r="H914" s="5" t="str">
        <f ca="1">IFERROR(__xludf.DUMMYFUNCTION("""COMPUTED_VALUE"""),"None")</f>
        <v>None</v>
      </c>
    </row>
    <row r="915" spans="1:8" ht="13">
      <c r="A915" s="5" t="str">
        <f ca="1">IFERROR(__xludf.DUMMYFUNCTION("""COMPUTED_VALUE"""),"20191002GASOA")</f>
        <v>20191002GASOA</v>
      </c>
      <c r="B915" s="5" t="str">
        <f ca="1">IFERROR(__xludf.DUMMYFUNCTION("""COMPUTED_VALUE"""),"Adult")</f>
        <v>Adult</v>
      </c>
      <c r="C915" s="5" t="str">
        <f ca="1">IFERROR(__xludf.DUMMYFUNCTION("""COMPUTED_VALUE"""),"Male")</f>
        <v>Male</v>
      </c>
      <c r="D915" s="5"/>
      <c r="E915" s="5" t="str">
        <f ca="1">IFERROR(__xludf.DUMMYFUNCTION("""COMPUTED_VALUE"""),"Nonstudent Using Athletic Facilities/Attending Game")</f>
        <v>Nonstudent Using Athletic Facilities/Attending Game</v>
      </c>
      <c r="F915" s="5" t="str">
        <f ca="1">IFERROR(__xludf.DUMMYFUNCTION("""COMPUTED_VALUE"""),"Subdued by Students/Staff/Other")</f>
        <v>Subdued by Students/Staff/Other</v>
      </c>
      <c r="G915" s="5" t="str">
        <f ca="1">IFERROR(__xludf.DUMMYFUNCTION("""COMPUTED_VALUE"""),"No")</f>
        <v>No</v>
      </c>
      <c r="H915" s="5" t="str">
        <f ca="1">IFERROR(__xludf.DUMMYFUNCTION("""COMPUTED_VALUE"""),"None")</f>
        <v>None</v>
      </c>
    </row>
    <row r="916" spans="1:8" ht="13">
      <c r="A916" s="5" t="str">
        <f ca="1">IFERROR(__xludf.DUMMYFUNCTION("""COMPUTED_VALUE"""),"20190927NCZEC")</f>
        <v>20190927NCZEC</v>
      </c>
      <c r="B916" s="5"/>
      <c r="C916" s="5"/>
      <c r="D916" s="5"/>
      <c r="E916" s="5" t="str">
        <f ca="1">IFERROR(__xludf.DUMMYFUNCTION("""COMPUTED_VALUE"""),"Unknown")</f>
        <v>Unknown</v>
      </c>
      <c r="F916" s="5" t="str">
        <f ca="1">IFERROR(__xludf.DUMMYFUNCTION("""COMPUTED_VALUE"""),"Fled/Escaped")</f>
        <v>Fled/Escaped</v>
      </c>
      <c r="G916" s="5" t="str">
        <f ca="1">IFERROR(__xludf.DUMMYFUNCTION("""COMPUTED_VALUE"""),"No")</f>
        <v>No</v>
      </c>
      <c r="H916" s="5" t="str">
        <f ca="1">IFERROR(__xludf.DUMMYFUNCTION("""COMPUTED_VALUE"""),"None")</f>
        <v>None</v>
      </c>
    </row>
    <row r="917" spans="1:8" ht="13">
      <c r="A917" s="5" t="str">
        <f ca="1">IFERROR(__xludf.DUMMYFUNCTION("""COMPUTED_VALUE"""),"20190927CADER")</f>
        <v>20190927CADER</v>
      </c>
      <c r="B917" s="5">
        <f ca="1">IFERROR(__xludf.DUMMYFUNCTION("""COMPUTED_VALUE"""),17)</f>
        <v>17</v>
      </c>
      <c r="C917" s="5" t="str">
        <f ca="1">IFERROR(__xludf.DUMMYFUNCTION("""COMPUTED_VALUE"""),"Male")</f>
        <v>Male</v>
      </c>
      <c r="D917" s="5"/>
      <c r="E917" s="5" t="str">
        <f ca="1">IFERROR(__xludf.DUMMYFUNCTION("""COMPUTED_VALUE"""),"Student")</f>
        <v>Student</v>
      </c>
      <c r="F917" s="5" t="str">
        <f ca="1">IFERROR(__xludf.DUMMYFUNCTION("""COMPUTED_VALUE"""),"Fled/Apprehended")</f>
        <v>Fled/Apprehended</v>
      </c>
      <c r="G917" s="5" t="str">
        <f ca="1">IFERROR(__xludf.DUMMYFUNCTION("""COMPUTED_VALUE"""),"No")</f>
        <v>No</v>
      </c>
      <c r="H917" s="5" t="str">
        <f ca="1">IFERROR(__xludf.DUMMYFUNCTION("""COMPUTED_VALUE"""),"None")</f>
        <v>None</v>
      </c>
    </row>
    <row r="918" spans="1:8" ht="13">
      <c r="A918" s="5" t="str">
        <f ca="1">IFERROR(__xludf.DUMMYFUNCTION("""COMPUTED_VALUE"""),"20190927CADER")</f>
        <v>20190927CADER</v>
      </c>
      <c r="B918" s="5" t="str">
        <f ca="1">IFERROR(__xludf.DUMMYFUNCTION("""COMPUTED_VALUE"""),"Teen")</f>
        <v>Teen</v>
      </c>
      <c r="C918" s="5" t="str">
        <f ca="1">IFERROR(__xludf.DUMMYFUNCTION("""COMPUTED_VALUE"""),"Male")</f>
        <v>Male</v>
      </c>
      <c r="D918" s="5"/>
      <c r="E918" s="5" t="str">
        <f ca="1">IFERROR(__xludf.DUMMYFUNCTION("""COMPUTED_VALUE"""),"Student")</f>
        <v>Student</v>
      </c>
      <c r="F918" s="5" t="str">
        <f ca="1">IFERROR(__xludf.DUMMYFUNCTION("""COMPUTED_VALUE"""),"Fled/Apprehended")</f>
        <v>Fled/Apprehended</v>
      </c>
      <c r="G918" s="5" t="str">
        <f ca="1">IFERROR(__xludf.DUMMYFUNCTION("""COMPUTED_VALUE"""),"No")</f>
        <v>No</v>
      </c>
      <c r="H918" s="5" t="str">
        <f ca="1">IFERROR(__xludf.DUMMYFUNCTION("""COMPUTED_VALUE"""),"None")</f>
        <v>None</v>
      </c>
    </row>
    <row r="919" spans="1:8" ht="13">
      <c r="A919" s="5" t="str">
        <f ca="1">IFERROR(__xludf.DUMMYFUNCTION("""COMPUTED_VALUE"""),"20190920PASIP")</f>
        <v>20190920PASIP</v>
      </c>
      <c r="B919" s="5"/>
      <c r="C919" s="5" t="str">
        <f ca="1">IFERROR(__xludf.DUMMYFUNCTION("""COMPUTED_VALUE"""),"Male")</f>
        <v>Male</v>
      </c>
      <c r="D919" s="5"/>
      <c r="E919" s="5" t="str">
        <f ca="1">IFERROR(__xludf.DUMMYFUNCTION("""COMPUTED_VALUE"""),"Unknown")</f>
        <v>Unknown</v>
      </c>
      <c r="F919" s="5" t="str">
        <f ca="1">IFERROR(__xludf.DUMMYFUNCTION("""COMPUTED_VALUE"""),"Fled/Escaped")</f>
        <v>Fled/Escaped</v>
      </c>
      <c r="G919" s="5" t="str">
        <f ca="1">IFERROR(__xludf.DUMMYFUNCTION("""COMPUTED_VALUE"""),"No")</f>
        <v>No</v>
      </c>
      <c r="H919" s="5" t="str">
        <f ca="1">IFERROR(__xludf.DUMMYFUNCTION("""COMPUTED_VALUE"""),"None")</f>
        <v>None</v>
      </c>
    </row>
    <row r="920" spans="1:8" ht="13">
      <c r="A920" s="5" t="str">
        <f ca="1">IFERROR(__xludf.DUMMYFUNCTION("""COMPUTED_VALUE"""),"20190918MNFOC")</f>
        <v>20190918MNFOC</v>
      </c>
      <c r="B920" s="5">
        <f ca="1">IFERROR(__xludf.DUMMYFUNCTION("""COMPUTED_VALUE"""),28)</f>
        <v>28</v>
      </c>
      <c r="C920" s="5" t="str">
        <f ca="1">IFERROR(__xludf.DUMMYFUNCTION("""COMPUTED_VALUE"""),"Male")</f>
        <v>Male</v>
      </c>
      <c r="D920" s="5"/>
      <c r="E920" s="5" t="str">
        <f ca="1">IFERROR(__xludf.DUMMYFUNCTION("""COMPUTED_VALUE"""),"Nonstudent Using Athletic Facilities/Attending Game")</f>
        <v>Nonstudent Using Athletic Facilities/Attending Game</v>
      </c>
      <c r="F920" s="5" t="str">
        <f ca="1">IFERROR(__xludf.DUMMYFUNCTION("""COMPUTED_VALUE"""),"Apprehended/Killed by Other")</f>
        <v>Apprehended/Killed by Other</v>
      </c>
      <c r="G920" s="5" t="str">
        <f ca="1">IFERROR(__xludf.DUMMYFUNCTION("""COMPUTED_VALUE"""),"No")</f>
        <v>No</v>
      </c>
      <c r="H920" s="5" t="str">
        <f ca="1">IFERROR(__xludf.DUMMYFUNCTION("""COMPUTED_VALUE"""),"None")</f>
        <v>None</v>
      </c>
    </row>
    <row r="921" spans="1:8" ht="13">
      <c r="A921" s="5" t="str">
        <f ca="1">IFERROR(__xludf.DUMMYFUNCTION("""COMPUTED_VALUE"""),"20190916VAPHH")</f>
        <v>20190916VAPHH</v>
      </c>
      <c r="B921" s="5"/>
      <c r="C921" s="5" t="str">
        <f ca="1">IFERROR(__xludf.DUMMYFUNCTION("""COMPUTED_VALUE"""),"Male")</f>
        <v>Male</v>
      </c>
      <c r="D921" s="5"/>
      <c r="E921" s="5" t="str">
        <f ca="1">IFERROR(__xludf.DUMMYFUNCTION("""COMPUTED_VALUE"""),"No Relation")</f>
        <v>No Relation</v>
      </c>
      <c r="F921" s="5" t="str">
        <f ca="1">IFERROR(__xludf.DUMMYFUNCTION("""COMPUTED_VALUE"""),"Fled/Apprehended")</f>
        <v>Fled/Apprehended</v>
      </c>
      <c r="G921" s="5" t="str">
        <f ca="1">IFERROR(__xludf.DUMMYFUNCTION("""COMPUTED_VALUE"""),"No")</f>
        <v>No</v>
      </c>
      <c r="H921" s="5" t="str">
        <f ca="1">IFERROR(__xludf.DUMMYFUNCTION("""COMPUTED_VALUE"""),"None")</f>
        <v>None</v>
      </c>
    </row>
    <row r="922" spans="1:8" ht="13">
      <c r="A922" s="5" t="str">
        <f ca="1">IFERROR(__xludf.DUMMYFUNCTION("""COMPUTED_VALUE"""),"20190916ILILK")</f>
        <v>20190916ILILK</v>
      </c>
      <c r="B922" s="5"/>
      <c r="C922" s="5" t="str">
        <f ca="1">IFERROR(__xludf.DUMMYFUNCTION("""COMPUTED_VALUE"""),"Male")</f>
        <v>Male</v>
      </c>
      <c r="D922" s="5"/>
      <c r="E922" s="5" t="str">
        <f ca="1">IFERROR(__xludf.DUMMYFUNCTION("""COMPUTED_VALUE"""),"No Relation")</f>
        <v>No Relation</v>
      </c>
      <c r="F922" s="5" t="str">
        <f ca="1">IFERROR(__xludf.DUMMYFUNCTION("""COMPUTED_VALUE"""),"Fled/Escaped")</f>
        <v>Fled/Escaped</v>
      </c>
      <c r="G922" s="5" t="str">
        <f ca="1">IFERROR(__xludf.DUMMYFUNCTION("""COMPUTED_VALUE"""),"No")</f>
        <v>No</v>
      </c>
      <c r="H922" s="5" t="str">
        <f ca="1">IFERROR(__xludf.DUMMYFUNCTION("""COMPUTED_VALUE"""),"None")</f>
        <v>None</v>
      </c>
    </row>
    <row r="923" spans="1:8" ht="13">
      <c r="A923" s="5" t="str">
        <f ca="1">IFERROR(__xludf.DUMMYFUNCTION("""COMPUTED_VALUE"""),"20190914TXEAF")</f>
        <v>20190914TXEAF</v>
      </c>
      <c r="B923" s="5" t="str">
        <f ca="1">IFERROR(__xludf.DUMMYFUNCTION("""COMPUTED_VALUE"""),"Adult")</f>
        <v>Adult</v>
      </c>
      <c r="C923" s="5" t="str">
        <f ca="1">IFERROR(__xludf.DUMMYFUNCTION("""COMPUTED_VALUE"""),"Male")</f>
        <v>Male</v>
      </c>
      <c r="D923" s="5"/>
      <c r="E923" s="5" t="str">
        <f ca="1">IFERROR(__xludf.DUMMYFUNCTION("""COMPUTED_VALUE"""),"Relative")</f>
        <v>Relative</v>
      </c>
      <c r="F923" s="5" t="str">
        <f ca="1">IFERROR(__xludf.DUMMYFUNCTION("""COMPUTED_VALUE"""),"Fled/Escaped")</f>
        <v>Fled/Escaped</v>
      </c>
      <c r="G923" s="5" t="str">
        <f ca="1">IFERROR(__xludf.DUMMYFUNCTION("""COMPUTED_VALUE"""),"No")</f>
        <v>No</v>
      </c>
      <c r="H923" s="5" t="str">
        <f ca="1">IFERROR(__xludf.DUMMYFUNCTION("""COMPUTED_VALUE"""),"None")</f>
        <v>None</v>
      </c>
    </row>
    <row r="924" spans="1:8" ht="13">
      <c r="A924" s="5" t="str">
        <f ca="1">IFERROR(__xludf.DUMMYFUNCTION("""COMPUTED_VALUE"""),"20190913VAETN")</f>
        <v>20190913VAETN</v>
      </c>
      <c r="B924" s="5"/>
      <c r="C924" s="5"/>
      <c r="D924" s="5"/>
      <c r="E924" s="5" t="str">
        <f ca="1">IFERROR(__xludf.DUMMYFUNCTION("""COMPUTED_VALUE"""),"Unknown")</f>
        <v>Unknown</v>
      </c>
      <c r="F924" s="5" t="str">
        <f ca="1">IFERROR(__xludf.DUMMYFUNCTION("""COMPUTED_VALUE"""),"Fled/Escaped")</f>
        <v>Fled/Escaped</v>
      </c>
      <c r="G924" s="5" t="str">
        <f ca="1">IFERROR(__xludf.DUMMYFUNCTION("""COMPUTED_VALUE"""),"No")</f>
        <v>No</v>
      </c>
      <c r="H924" s="5" t="str">
        <f ca="1">IFERROR(__xludf.DUMMYFUNCTION("""COMPUTED_VALUE"""),"None")</f>
        <v>None</v>
      </c>
    </row>
    <row r="925" spans="1:8" ht="13">
      <c r="A925" s="5" t="str">
        <f ca="1">IFERROR(__xludf.DUMMYFUNCTION("""COMPUTED_VALUE"""),"20190913UTGRW")</f>
        <v>20190913UTGRW</v>
      </c>
      <c r="B925" s="5"/>
      <c r="C925" s="5" t="str">
        <f ca="1">IFERROR(__xludf.DUMMYFUNCTION("""COMPUTED_VALUE"""),"Male")</f>
        <v>Male</v>
      </c>
      <c r="D925" s="5"/>
      <c r="E925" s="5" t="str">
        <f ca="1">IFERROR(__xludf.DUMMYFUNCTION("""COMPUTED_VALUE"""),"No Relation")</f>
        <v>No Relation</v>
      </c>
      <c r="F925" s="5" t="str">
        <f ca="1">IFERROR(__xludf.DUMMYFUNCTION("""COMPUTED_VALUE"""),"Fled/Apprehended")</f>
        <v>Fled/Apprehended</v>
      </c>
      <c r="G925" s="5" t="str">
        <f ca="1">IFERROR(__xludf.DUMMYFUNCTION("""COMPUTED_VALUE"""),"No")</f>
        <v>No</v>
      </c>
      <c r="H925" s="5" t="str">
        <f ca="1">IFERROR(__xludf.DUMMYFUNCTION("""COMPUTED_VALUE"""),"None")</f>
        <v>None</v>
      </c>
    </row>
    <row r="926" spans="1:8" ht="13">
      <c r="A926" s="5" t="str">
        <f ca="1">IFERROR(__xludf.DUMMYFUNCTION("""COMPUTED_VALUE"""),"20190912KSMAM")</f>
        <v>20190912KSMAM</v>
      </c>
      <c r="B926" s="5" t="str">
        <f ca="1">IFERROR(__xludf.DUMMYFUNCTION("""COMPUTED_VALUE"""),"Adult")</f>
        <v>Adult</v>
      </c>
      <c r="C926" s="5" t="str">
        <f ca="1">IFERROR(__xludf.DUMMYFUNCTION("""COMPUTED_VALUE"""),"Male")</f>
        <v>Male</v>
      </c>
      <c r="D926" s="5"/>
      <c r="E926" s="5" t="str">
        <f ca="1">IFERROR(__xludf.DUMMYFUNCTION("""COMPUTED_VALUE"""),"No Relation")</f>
        <v>No Relation</v>
      </c>
      <c r="F926" s="5" t="str">
        <f ca="1">IFERROR(__xludf.DUMMYFUNCTION("""COMPUTED_VALUE"""),"Fled/Escaped")</f>
        <v>Fled/Escaped</v>
      </c>
      <c r="G926" s="5" t="str">
        <f ca="1">IFERROR(__xludf.DUMMYFUNCTION("""COMPUTED_VALUE"""),"No")</f>
        <v>No</v>
      </c>
      <c r="H926" s="5" t="str">
        <f ca="1">IFERROR(__xludf.DUMMYFUNCTION("""COMPUTED_VALUE"""),"None")</f>
        <v>None</v>
      </c>
    </row>
    <row r="927" spans="1:8" ht="13">
      <c r="A927" s="5" t="str">
        <f ca="1">IFERROR(__xludf.DUMMYFUNCTION("""COMPUTED_VALUE"""),"20190910SCSOA")</f>
        <v>20190910SCSOA</v>
      </c>
      <c r="B927" s="5" t="str">
        <f ca="1">IFERROR(__xludf.DUMMYFUNCTION("""COMPUTED_VALUE"""),"Teen")</f>
        <v>Teen</v>
      </c>
      <c r="C927" s="5" t="str">
        <f ca="1">IFERROR(__xludf.DUMMYFUNCTION("""COMPUTED_VALUE"""),"Male")</f>
        <v>Male</v>
      </c>
      <c r="D927" s="5" t="str">
        <f ca="1">IFERROR(__xludf.DUMMYFUNCTION("""COMPUTED_VALUE"""),"Black")</f>
        <v>Black</v>
      </c>
      <c r="E927" s="5" t="str">
        <f ca="1">IFERROR(__xludf.DUMMYFUNCTION("""COMPUTED_VALUE"""),"Unknown")</f>
        <v>Unknown</v>
      </c>
      <c r="F927" s="5" t="str">
        <f ca="1">IFERROR(__xludf.DUMMYFUNCTION("""COMPUTED_VALUE"""),"Fled/Escaped")</f>
        <v>Fled/Escaped</v>
      </c>
      <c r="G927" s="5" t="str">
        <f ca="1">IFERROR(__xludf.DUMMYFUNCTION("""COMPUTED_VALUE"""),"No")</f>
        <v>No</v>
      </c>
      <c r="H927" s="5" t="str">
        <f ca="1">IFERROR(__xludf.DUMMYFUNCTION("""COMPUTED_VALUE"""),"None")</f>
        <v>None</v>
      </c>
    </row>
    <row r="928" spans="1:8" ht="13">
      <c r="A928" s="5" t="str">
        <f ca="1">IFERROR(__xludf.DUMMYFUNCTION("""COMPUTED_VALUE"""),"20190906PAWEM")</f>
        <v>20190906PAWEM</v>
      </c>
      <c r="B928" s="5"/>
      <c r="C928" s="5"/>
      <c r="D928" s="5"/>
      <c r="E928" s="5" t="str">
        <f ca="1">IFERROR(__xludf.DUMMYFUNCTION("""COMPUTED_VALUE"""),"Unknown")</f>
        <v>Unknown</v>
      </c>
      <c r="F928" s="5" t="str">
        <f ca="1">IFERROR(__xludf.DUMMYFUNCTION("""COMPUTED_VALUE"""),"Fled/Escaped")</f>
        <v>Fled/Escaped</v>
      </c>
      <c r="G928" s="5" t="str">
        <f ca="1">IFERROR(__xludf.DUMMYFUNCTION("""COMPUTED_VALUE"""),"No")</f>
        <v>No</v>
      </c>
      <c r="H928" s="5" t="str">
        <f ca="1">IFERROR(__xludf.DUMMYFUNCTION("""COMPUTED_VALUE"""),"None")</f>
        <v>None</v>
      </c>
    </row>
    <row r="929" spans="1:8" ht="13">
      <c r="A929" s="5" t="str">
        <f ca="1">IFERROR(__xludf.DUMMYFUNCTION("""COMPUTED_VALUE"""),"20190906PAMCJ")</f>
        <v>20190906PAMCJ</v>
      </c>
      <c r="B929" s="5">
        <f ca="1">IFERROR(__xludf.DUMMYFUNCTION("""COMPUTED_VALUE"""),40)</f>
        <v>40</v>
      </c>
      <c r="C929" s="5" t="str">
        <f ca="1">IFERROR(__xludf.DUMMYFUNCTION("""COMPUTED_VALUE"""),"Male")</f>
        <v>Male</v>
      </c>
      <c r="D929" s="5" t="str">
        <f ca="1">IFERROR(__xludf.DUMMYFUNCTION("""COMPUTED_VALUE"""),"Black")</f>
        <v>Black</v>
      </c>
      <c r="E929" s="5" t="str">
        <f ca="1">IFERROR(__xludf.DUMMYFUNCTION("""COMPUTED_VALUE"""),"Nonstudent Using Athletic Facilities/Attending Game")</f>
        <v>Nonstudent Using Athletic Facilities/Attending Game</v>
      </c>
      <c r="F929" s="5" t="str">
        <f ca="1">IFERROR(__xludf.DUMMYFUNCTION("""COMPUTED_VALUE"""),"Fled/Apprehended")</f>
        <v>Fled/Apprehended</v>
      </c>
      <c r="G929" s="5" t="str">
        <f ca="1">IFERROR(__xludf.DUMMYFUNCTION("""COMPUTED_VALUE"""),"No")</f>
        <v>No</v>
      </c>
      <c r="H929" s="5" t="str">
        <f ca="1">IFERROR(__xludf.DUMMYFUNCTION("""COMPUTED_VALUE"""),"None")</f>
        <v>None</v>
      </c>
    </row>
    <row r="930" spans="1:8" ht="13">
      <c r="A930" s="5" t="str">
        <f ca="1">IFERROR(__xludf.DUMMYFUNCTION("""COMPUTED_VALUE"""),"20190906ALCEC")</f>
        <v>20190906ALCEC</v>
      </c>
      <c r="B930" s="5"/>
      <c r="C930" s="5"/>
      <c r="D930" s="5"/>
      <c r="E930" s="5" t="str">
        <f ca="1">IFERROR(__xludf.DUMMYFUNCTION("""COMPUTED_VALUE"""),"Unknown")</f>
        <v>Unknown</v>
      </c>
      <c r="F930" s="5" t="str">
        <f ca="1">IFERROR(__xludf.DUMMYFUNCTION("""COMPUTED_VALUE"""),"Fled/Escaped")</f>
        <v>Fled/Escaped</v>
      </c>
      <c r="G930" s="5" t="str">
        <f ca="1">IFERROR(__xludf.DUMMYFUNCTION("""COMPUTED_VALUE"""),"No")</f>
        <v>No</v>
      </c>
      <c r="H930" s="5" t="str">
        <f ca="1">IFERROR(__xludf.DUMMYFUNCTION("""COMPUTED_VALUE"""),"None")</f>
        <v>None</v>
      </c>
    </row>
    <row r="931" spans="1:8" ht="13">
      <c r="A931" s="5" t="str">
        <f ca="1">IFERROR(__xludf.DUMMYFUNCTION("""COMPUTED_VALUE"""),"20190902MDNOB")</f>
        <v>20190902MDNOB</v>
      </c>
      <c r="B931" s="5"/>
      <c r="C931" s="5"/>
      <c r="D931" s="5"/>
      <c r="E931" s="5" t="str">
        <f ca="1">IFERROR(__xludf.DUMMYFUNCTION("""COMPUTED_VALUE"""),"No Relation")</f>
        <v>No Relation</v>
      </c>
      <c r="F931" s="5" t="str">
        <f ca="1">IFERROR(__xludf.DUMMYFUNCTION("""COMPUTED_VALUE"""),"Fled/Escaped")</f>
        <v>Fled/Escaped</v>
      </c>
      <c r="G931" s="5" t="str">
        <f ca="1">IFERROR(__xludf.DUMMYFUNCTION("""COMPUTED_VALUE"""),"No")</f>
        <v>No</v>
      </c>
      <c r="H931" s="5" t="str">
        <f ca="1">IFERROR(__xludf.DUMMYFUNCTION("""COMPUTED_VALUE"""),"None")</f>
        <v>None</v>
      </c>
    </row>
    <row r="932" spans="1:8" ht="13">
      <c r="A932" s="5" t="str">
        <f ca="1">IFERROR(__xludf.DUMMYFUNCTION("""COMPUTED_VALUE"""),"20190830OHCET")</f>
        <v>20190830OHCET</v>
      </c>
      <c r="B932" s="5"/>
      <c r="C932" s="5" t="str">
        <f ca="1">IFERROR(__xludf.DUMMYFUNCTION("""COMPUTED_VALUE"""),"Male")</f>
        <v>Male</v>
      </c>
      <c r="D932" s="5"/>
      <c r="E932" s="5" t="str">
        <f ca="1">IFERROR(__xludf.DUMMYFUNCTION("""COMPUTED_VALUE"""),"Nonstudent Using Athletic Facilities/Attending Game")</f>
        <v>Nonstudent Using Athletic Facilities/Attending Game</v>
      </c>
      <c r="F932" s="5" t="str">
        <f ca="1">IFERROR(__xludf.DUMMYFUNCTION("""COMPUTED_VALUE"""),"Fled/Escaped")</f>
        <v>Fled/Escaped</v>
      </c>
      <c r="G932" s="5" t="str">
        <f ca="1">IFERROR(__xludf.DUMMYFUNCTION("""COMPUTED_VALUE"""),"No")</f>
        <v>No</v>
      </c>
      <c r="H932" s="5" t="str">
        <f ca="1">IFERROR(__xludf.DUMMYFUNCTION("""COMPUTED_VALUE"""),"None")</f>
        <v>None</v>
      </c>
    </row>
    <row r="933" spans="1:8" ht="13">
      <c r="A933" s="5" t="str">
        <f ca="1">IFERROR(__xludf.DUMMYFUNCTION("""COMPUTED_VALUE"""),"20190830NCKIK")</f>
        <v>20190830NCKIK</v>
      </c>
      <c r="B933" s="5">
        <f ca="1">IFERROR(__xludf.DUMMYFUNCTION("""COMPUTED_VALUE"""),17)</f>
        <v>17</v>
      </c>
      <c r="C933" s="5" t="str">
        <f ca="1">IFERROR(__xludf.DUMMYFUNCTION("""COMPUTED_VALUE"""),"Male")</f>
        <v>Male</v>
      </c>
      <c r="D933" s="5" t="str">
        <f ca="1">IFERROR(__xludf.DUMMYFUNCTION("""COMPUTED_VALUE"""),"Black")</f>
        <v>Black</v>
      </c>
      <c r="E933" s="5" t="str">
        <f ca="1">IFERROR(__xludf.DUMMYFUNCTION("""COMPUTED_VALUE"""),"Nonstudent Using Athletic Facilities/Attending Game")</f>
        <v>Nonstudent Using Athletic Facilities/Attending Game</v>
      </c>
      <c r="F933" s="5" t="str">
        <f ca="1">IFERROR(__xludf.DUMMYFUNCTION("""COMPUTED_VALUE"""),"Fled/Apprehended")</f>
        <v>Fled/Apprehended</v>
      </c>
      <c r="G933" s="5" t="str">
        <f ca="1">IFERROR(__xludf.DUMMYFUNCTION("""COMPUTED_VALUE"""),"No")</f>
        <v>No</v>
      </c>
      <c r="H933" s="5" t="str">
        <f ca="1">IFERROR(__xludf.DUMMYFUNCTION("""COMPUTED_VALUE"""),"None")</f>
        <v>None</v>
      </c>
    </row>
    <row r="934" spans="1:8" ht="13">
      <c r="A934" s="5" t="str">
        <f ca="1">IFERROR(__xludf.DUMMYFUNCTION("""COMPUTED_VALUE"""),"20190830ALLAM")</f>
        <v>20190830ALLAM</v>
      </c>
      <c r="B934" s="5">
        <f ca="1">IFERROR(__xludf.DUMMYFUNCTION("""COMPUTED_VALUE"""),17)</f>
        <v>17</v>
      </c>
      <c r="C934" s="5" t="str">
        <f ca="1">IFERROR(__xludf.DUMMYFUNCTION("""COMPUTED_VALUE"""),"Male")</f>
        <v>Male</v>
      </c>
      <c r="D934" s="5" t="str">
        <f ca="1">IFERROR(__xludf.DUMMYFUNCTION("""COMPUTED_VALUE"""),"Black")</f>
        <v>Black</v>
      </c>
      <c r="E934" s="5" t="str">
        <f ca="1">IFERROR(__xludf.DUMMYFUNCTION("""COMPUTED_VALUE"""),"Student")</f>
        <v>Student</v>
      </c>
      <c r="F934" s="5" t="str">
        <f ca="1">IFERROR(__xludf.DUMMYFUNCTION("""COMPUTED_VALUE"""),"Fled/Apprehended")</f>
        <v>Fled/Apprehended</v>
      </c>
      <c r="G934" s="5" t="str">
        <f ca="1">IFERROR(__xludf.DUMMYFUNCTION("""COMPUTED_VALUE"""),"No")</f>
        <v>No</v>
      </c>
      <c r="H934" s="5" t="str">
        <f ca="1">IFERROR(__xludf.DUMMYFUNCTION("""COMPUTED_VALUE"""),"None")</f>
        <v>None</v>
      </c>
    </row>
    <row r="935" spans="1:8" ht="13">
      <c r="A935" s="5" t="str">
        <f ca="1">IFERROR(__xludf.DUMMYFUNCTION("""COMPUTED_VALUE"""),"20190827NYROR")</f>
        <v>20190827NYROR</v>
      </c>
      <c r="B935" s="5" t="str">
        <f ca="1">IFERROR(__xludf.DUMMYFUNCTION("""COMPUTED_VALUE"""),"Adult")</f>
        <v>Adult</v>
      </c>
      <c r="C935" s="5" t="str">
        <f ca="1">IFERROR(__xludf.DUMMYFUNCTION("""COMPUTED_VALUE"""),"Male")</f>
        <v>Male</v>
      </c>
      <c r="D935" s="5"/>
      <c r="E935" s="5" t="str">
        <f ca="1">IFERROR(__xludf.DUMMYFUNCTION("""COMPUTED_VALUE"""),"Unknown")</f>
        <v>Unknown</v>
      </c>
      <c r="F935" s="5" t="str">
        <f ca="1">IFERROR(__xludf.DUMMYFUNCTION("""COMPUTED_VALUE"""),"Fled/Escaped")</f>
        <v>Fled/Escaped</v>
      </c>
      <c r="G935" s="5" t="str">
        <f ca="1">IFERROR(__xludf.DUMMYFUNCTION("""COMPUTED_VALUE"""),"No")</f>
        <v>No</v>
      </c>
      <c r="H935" s="5" t="str">
        <f ca="1">IFERROR(__xludf.DUMMYFUNCTION("""COMPUTED_VALUE"""),"None")</f>
        <v>None</v>
      </c>
    </row>
    <row r="936" spans="1:8" ht="13">
      <c r="A936" s="5" t="str">
        <f ca="1">IFERROR(__xludf.DUMMYFUNCTION("""COMPUTED_VALUE"""),"20190827CAHOL")</f>
        <v>20190827CAHOL</v>
      </c>
      <c r="B936" s="5"/>
      <c r="C936" s="5"/>
      <c r="D936" s="5"/>
      <c r="E936" s="5" t="str">
        <f ca="1">IFERROR(__xludf.DUMMYFUNCTION("""COMPUTED_VALUE"""),"Unknown")</f>
        <v>Unknown</v>
      </c>
      <c r="F936" s="5" t="str">
        <f ca="1">IFERROR(__xludf.DUMMYFUNCTION("""COMPUTED_VALUE"""),"Fled/Escaped")</f>
        <v>Fled/Escaped</v>
      </c>
      <c r="G936" s="5" t="str">
        <f ca="1">IFERROR(__xludf.DUMMYFUNCTION("""COMPUTED_VALUE"""),"No")</f>
        <v>No</v>
      </c>
      <c r="H936" s="5" t="str">
        <f ca="1">IFERROR(__xludf.DUMMYFUNCTION("""COMPUTED_VALUE"""),"None")</f>
        <v>None</v>
      </c>
    </row>
    <row r="937" spans="1:8" ht="13">
      <c r="A937" s="5" t="str">
        <f ca="1">IFERROR(__xludf.DUMMYFUNCTION("""COMPUTED_VALUE"""),"20190824PAWIP")</f>
        <v>20190824PAWIP</v>
      </c>
      <c r="B937" s="5"/>
      <c r="C937" s="5" t="str">
        <f ca="1">IFERROR(__xludf.DUMMYFUNCTION("""COMPUTED_VALUE"""),"Male")</f>
        <v>Male</v>
      </c>
      <c r="D937" s="5"/>
      <c r="E937" s="5" t="str">
        <f ca="1">IFERROR(__xludf.DUMMYFUNCTION("""COMPUTED_VALUE"""),"No Relation")</f>
        <v>No Relation</v>
      </c>
      <c r="F937" s="5" t="str">
        <f ca="1">IFERROR(__xludf.DUMMYFUNCTION("""COMPUTED_VALUE"""),"Fled/Escaped")</f>
        <v>Fled/Escaped</v>
      </c>
      <c r="G937" s="5" t="str">
        <f ca="1">IFERROR(__xludf.DUMMYFUNCTION("""COMPUTED_VALUE"""),"No")</f>
        <v>No</v>
      </c>
      <c r="H937" s="5" t="str">
        <f ca="1">IFERROR(__xludf.DUMMYFUNCTION("""COMPUTED_VALUE"""),"None")</f>
        <v>None</v>
      </c>
    </row>
    <row r="938" spans="1:8" ht="13">
      <c r="A938" s="5" t="str">
        <f ca="1">IFERROR(__xludf.DUMMYFUNCTION("""COMPUTED_VALUE"""),"20190823MOROS")</f>
        <v>20190823MOROS</v>
      </c>
      <c r="B938" s="5"/>
      <c r="C938" s="5"/>
      <c r="D938" s="5"/>
      <c r="E938" s="5" t="str">
        <f ca="1">IFERROR(__xludf.DUMMYFUNCTION("""COMPUTED_VALUE"""),"Unknown")</f>
        <v>Unknown</v>
      </c>
      <c r="F938" s="5" t="str">
        <f ca="1">IFERROR(__xludf.DUMMYFUNCTION("""COMPUTED_VALUE"""),"Fled/Escaped")</f>
        <v>Fled/Escaped</v>
      </c>
      <c r="G938" s="5" t="str">
        <f ca="1">IFERROR(__xludf.DUMMYFUNCTION("""COMPUTED_VALUE"""),"No")</f>
        <v>No</v>
      </c>
      <c r="H938" s="5" t="str">
        <f ca="1">IFERROR(__xludf.DUMMYFUNCTION("""COMPUTED_VALUE"""),"None")</f>
        <v>None</v>
      </c>
    </row>
    <row r="939" spans="1:8" ht="13">
      <c r="A939" s="5" t="str">
        <f ca="1">IFERROR(__xludf.DUMMYFUNCTION("""COMPUTED_VALUE"""),"20190823MOPAS")</f>
        <v>20190823MOPAS</v>
      </c>
      <c r="B939" s="5"/>
      <c r="C939" s="5" t="str">
        <f ca="1">IFERROR(__xludf.DUMMYFUNCTION("""COMPUTED_VALUE"""),"Male")</f>
        <v>Male</v>
      </c>
      <c r="D939" s="5"/>
      <c r="E939" s="5" t="str">
        <f ca="1">IFERROR(__xludf.DUMMYFUNCTION("""COMPUTED_VALUE"""),"Unknown")</f>
        <v>Unknown</v>
      </c>
      <c r="F939" s="5" t="str">
        <f ca="1">IFERROR(__xludf.DUMMYFUNCTION("""COMPUTED_VALUE"""),"Fled/Escaped")</f>
        <v>Fled/Escaped</v>
      </c>
      <c r="G939" s="5" t="str">
        <f ca="1">IFERROR(__xludf.DUMMYFUNCTION("""COMPUTED_VALUE"""),"No")</f>
        <v>No</v>
      </c>
      <c r="H939" s="5" t="str">
        <f ca="1">IFERROR(__xludf.DUMMYFUNCTION("""COMPUTED_VALUE"""),"None")</f>
        <v>None</v>
      </c>
    </row>
    <row r="940" spans="1:8" ht="13">
      <c r="A940" s="5" t="str">
        <f ca="1">IFERROR(__xludf.DUMMYFUNCTION("""COMPUTED_VALUE"""),"20190823GAPEC")</f>
        <v>20190823GAPEC</v>
      </c>
      <c r="B940" s="5">
        <f ca="1">IFERROR(__xludf.DUMMYFUNCTION("""COMPUTED_VALUE"""),15)</f>
        <v>15</v>
      </c>
      <c r="C940" s="5" t="str">
        <f ca="1">IFERROR(__xludf.DUMMYFUNCTION("""COMPUTED_VALUE"""),"Male")</f>
        <v>Male</v>
      </c>
      <c r="D940" s="5"/>
      <c r="E940" s="5" t="str">
        <f ca="1">IFERROR(__xludf.DUMMYFUNCTION("""COMPUTED_VALUE"""),"Unknown")</f>
        <v>Unknown</v>
      </c>
      <c r="F940" s="5" t="str">
        <f ca="1">IFERROR(__xludf.DUMMYFUNCTION("""COMPUTED_VALUE"""),"Unknown")</f>
        <v>Unknown</v>
      </c>
      <c r="G940" s="5" t="str">
        <f ca="1">IFERROR(__xludf.DUMMYFUNCTION("""COMPUTED_VALUE"""),"No")</f>
        <v>No</v>
      </c>
      <c r="H940" s="5" t="str">
        <f ca="1">IFERROR(__xludf.DUMMYFUNCTION("""COMPUTED_VALUE"""),"None")</f>
        <v>None</v>
      </c>
    </row>
    <row r="941" spans="1:8" ht="13">
      <c r="A941" s="5" t="str">
        <f ca="1">IFERROR(__xludf.DUMMYFUNCTION("""COMPUTED_VALUE"""),"20190820PASAC")</f>
        <v>20190820PASAC</v>
      </c>
      <c r="B941" s="5" t="str">
        <f ca="1">IFERROR(__xludf.DUMMYFUNCTION("""COMPUTED_VALUE"""),"Adult")</f>
        <v>Adult</v>
      </c>
      <c r="C941" s="5" t="str">
        <f ca="1">IFERROR(__xludf.DUMMYFUNCTION("""COMPUTED_VALUE"""),"Male")</f>
        <v>Male</v>
      </c>
      <c r="D941" s="5"/>
      <c r="E941" s="5" t="str">
        <f ca="1">IFERROR(__xludf.DUMMYFUNCTION("""COMPUTED_VALUE"""),"Parent")</f>
        <v>Parent</v>
      </c>
      <c r="F941" s="5" t="str">
        <f ca="1">IFERROR(__xludf.DUMMYFUNCTION("""COMPUTED_VALUE"""),"Surrendered")</f>
        <v>Surrendered</v>
      </c>
      <c r="G941" s="5" t="str">
        <f ca="1">IFERROR(__xludf.DUMMYFUNCTION("""COMPUTED_VALUE"""),"No")</f>
        <v>No</v>
      </c>
      <c r="H941" s="5" t="str">
        <f ca="1">IFERROR(__xludf.DUMMYFUNCTION("""COMPUTED_VALUE"""),"Wounded")</f>
        <v>Wounded</v>
      </c>
    </row>
    <row r="942" spans="1:8" ht="13">
      <c r="A942" s="5" t="str">
        <f ca="1">IFERROR(__xludf.DUMMYFUNCTION("""COMPUTED_VALUE"""),"20190817GALAA")</f>
        <v>20190817GALAA</v>
      </c>
      <c r="B942" s="5">
        <f ca="1">IFERROR(__xludf.DUMMYFUNCTION("""COMPUTED_VALUE"""),15)</f>
        <v>15</v>
      </c>
      <c r="C942" s="5" t="str">
        <f ca="1">IFERROR(__xludf.DUMMYFUNCTION("""COMPUTED_VALUE"""),"Male")</f>
        <v>Male</v>
      </c>
      <c r="D942" s="5"/>
      <c r="E942" s="5" t="str">
        <f ca="1">IFERROR(__xludf.DUMMYFUNCTION("""COMPUTED_VALUE"""),"Student")</f>
        <v>Student</v>
      </c>
      <c r="F942" s="5" t="str">
        <f ca="1">IFERROR(__xludf.DUMMYFUNCTION("""COMPUTED_VALUE"""),"Fled/Apprehended")</f>
        <v>Fled/Apprehended</v>
      </c>
      <c r="G942" s="5" t="str">
        <f ca="1">IFERROR(__xludf.DUMMYFUNCTION("""COMPUTED_VALUE"""),"No")</f>
        <v>No</v>
      </c>
      <c r="H942" s="5" t="str">
        <f ca="1">IFERROR(__xludf.DUMMYFUNCTION("""COMPUTED_VALUE"""),"None")</f>
        <v>None</v>
      </c>
    </row>
    <row r="943" spans="1:8" ht="13">
      <c r="A943" s="5" t="str">
        <f ca="1">IFERROR(__xludf.DUMMYFUNCTION("""COMPUTED_VALUE"""),"20190815TNEAN")</f>
        <v>20190815TNEAN</v>
      </c>
      <c r="B943" s="5">
        <f ca="1">IFERROR(__xludf.DUMMYFUNCTION("""COMPUTED_VALUE"""),15)</f>
        <v>15</v>
      </c>
      <c r="C943" s="5" t="str">
        <f ca="1">IFERROR(__xludf.DUMMYFUNCTION("""COMPUTED_VALUE"""),"Male")</f>
        <v>Male</v>
      </c>
      <c r="D943" s="5"/>
      <c r="E943" s="5" t="str">
        <f ca="1">IFERROR(__xludf.DUMMYFUNCTION("""COMPUTED_VALUE"""),"Rival School Student")</f>
        <v>Rival School Student</v>
      </c>
      <c r="F943" s="5" t="str">
        <f ca="1">IFERROR(__xludf.DUMMYFUNCTION("""COMPUTED_VALUE"""),"Fled/Apprehended")</f>
        <v>Fled/Apprehended</v>
      </c>
      <c r="G943" s="5" t="str">
        <f ca="1">IFERROR(__xludf.DUMMYFUNCTION("""COMPUTED_VALUE"""),"No")</f>
        <v>No</v>
      </c>
      <c r="H943" s="5" t="str">
        <f ca="1">IFERROR(__xludf.DUMMYFUNCTION("""COMPUTED_VALUE"""),"None")</f>
        <v>None</v>
      </c>
    </row>
    <row r="944" spans="1:8" ht="13">
      <c r="A944" s="5" t="str">
        <f ca="1">IFERROR(__xludf.DUMMYFUNCTION("""COMPUTED_VALUE"""),"20190809NJWEN")</f>
        <v>20190809NJWEN</v>
      </c>
      <c r="B944" s="5">
        <f ca="1">IFERROR(__xludf.DUMMYFUNCTION("""COMPUTED_VALUE"""),16)</f>
        <v>16</v>
      </c>
      <c r="C944" s="5" t="str">
        <f ca="1">IFERROR(__xludf.DUMMYFUNCTION("""COMPUTED_VALUE"""),"Male")</f>
        <v>Male</v>
      </c>
      <c r="D944" s="5"/>
      <c r="E944" s="5" t="str">
        <f ca="1">IFERROR(__xludf.DUMMYFUNCTION("""COMPUTED_VALUE"""),"No Relation")</f>
        <v>No Relation</v>
      </c>
      <c r="F944" s="5" t="str">
        <f ca="1">IFERROR(__xludf.DUMMYFUNCTION("""COMPUTED_VALUE"""),"Fled/Apprehended")</f>
        <v>Fled/Apprehended</v>
      </c>
      <c r="G944" s="5" t="str">
        <f ca="1">IFERROR(__xludf.DUMMYFUNCTION("""COMPUTED_VALUE"""),"No")</f>
        <v>No</v>
      </c>
      <c r="H944" s="5" t="str">
        <f ca="1">IFERROR(__xludf.DUMMYFUNCTION("""COMPUTED_VALUE"""),"None")</f>
        <v>None</v>
      </c>
    </row>
    <row r="945" spans="1:8" ht="13">
      <c r="A945" s="5" t="str">
        <f ca="1">IFERROR(__xludf.DUMMYFUNCTION("""COMPUTED_VALUE"""),"20190808ALBLM")</f>
        <v>20190808ALBLM</v>
      </c>
      <c r="B945" s="5">
        <f ca="1">IFERROR(__xludf.DUMMYFUNCTION("""COMPUTED_VALUE"""),38)</f>
        <v>38</v>
      </c>
      <c r="C945" s="5" t="str">
        <f ca="1">IFERROR(__xludf.DUMMYFUNCTION("""COMPUTED_VALUE"""),"Male")</f>
        <v>Male</v>
      </c>
      <c r="D945" s="5"/>
      <c r="E945" s="5" t="str">
        <f ca="1">IFERROR(__xludf.DUMMYFUNCTION("""COMPUTED_VALUE"""),"Parent")</f>
        <v>Parent</v>
      </c>
      <c r="F945" s="5" t="str">
        <f ca="1">IFERROR(__xludf.DUMMYFUNCTION("""COMPUTED_VALUE"""),"Surrendered")</f>
        <v>Surrendered</v>
      </c>
      <c r="G945" s="5" t="str">
        <f ca="1">IFERROR(__xludf.DUMMYFUNCTION("""COMPUTED_VALUE"""),"No")</f>
        <v>No</v>
      </c>
      <c r="H945" s="5" t="str">
        <f ca="1">IFERROR(__xludf.DUMMYFUNCTION("""COMPUTED_VALUE"""),"None")</f>
        <v>None</v>
      </c>
    </row>
    <row r="946" spans="1:8" ht="13">
      <c r="A946" s="5" t="str">
        <f ca="1">IFERROR(__xludf.DUMMYFUNCTION("""COMPUTED_VALUE"""),"20190719CAMOS")</f>
        <v>20190719CAMOS</v>
      </c>
      <c r="B946" s="5" t="str">
        <f ca="1">IFERROR(__xludf.DUMMYFUNCTION("""COMPUTED_VALUE"""),"Teen")</f>
        <v>Teen</v>
      </c>
      <c r="C946" s="5" t="str">
        <f ca="1">IFERROR(__xludf.DUMMYFUNCTION("""COMPUTED_VALUE"""),"Male")</f>
        <v>Male</v>
      </c>
      <c r="D946" s="5"/>
      <c r="E946" s="5" t="str">
        <f ca="1">IFERROR(__xludf.DUMMYFUNCTION("""COMPUTED_VALUE"""),"Unknown")</f>
        <v>Unknown</v>
      </c>
      <c r="F946" s="5" t="str">
        <f ca="1">IFERROR(__xludf.DUMMYFUNCTION("""COMPUTED_VALUE"""),"Fled/Escaped")</f>
        <v>Fled/Escaped</v>
      </c>
      <c r="G946" s="5" t="str">
        <f ca="1">IFERROR(__xludf.DUMMYFUNCTION("""COMPUTED_VALUE"""),"No")</f>
        <v>No</v>
      </c>
      <c r="H946" s="5" t="str">
        <f ca="1">IFERROR(__xludf.DUMMYFUNCTION("""COMPUTED_VALUE"""),"None")</f>
        <v>None</v>
      </c>
    </row>
    <row r="947" spans="1:8" ht="13">
      <c r="A947" s="5" t="str">
        <f ca="1">IFERROR(__xludf.DUMMYFUNCTION("""COMPUTED_VALUE"""),"20190711CTBUH")</f>
        <v>20190711CTBUH</v>
      </c>
      <c r="B947" s="5">
        <f ca="1">IFERROR(__xludf.DUMMYFUNCTION("""COMPUTED_VALUE"""),23)</f>
        <v>23</v>
      </c>
      <c r="C947" s="5" t="str">
        <f ca="1">IFERROR(__xludf.DUMMYFUNCTION("""COMPUTED_VALUE"""),"Female")</f>
        <v>Female</v>
      </c>
      <c r="D947" s="5" t="str">
        <f ca="1">IFERROR(__xludf.DUMMYFUNCTION("""COMPUTED_VALUE"""),"Hispanic")</f>
        <v>Hispanic</v>
      </c>
      <c r="E947" s="5" t="str">
        <f ca="1">IFERROR(__xludf.DUMMYFUNCTION("""COMPUTED_VALUE"""),"No Relation")</f>
        <v>No Relation</v>
      </c>
      <c r="F947" s="5" t="str">
        <f ca="1">IFERROR(__xludf.DUMMYFUNCTION("""COMPUTED_VALUE"""),"Fled/Apprehended")</f>
        <v>Fled/Apprehended</v>
      </c>
      <c r="G947" s="5" t="str">
        <f ca="1">IFERROR(__xludf.DUMMYFUNCTION("""COMPUTED_VALUE"""),"No")</f>
        <v>No</v>
      </c>
      <c r="H947" s="5" t="str">
        <f ca="1">IFERROR(__xludf.DUMMYFUNCTION("""COMPUTED_VALUE"""),"None")</f>
        <v>None</v>
      </c>
    </row>
    <row r="948" spans="1:8" ht="13">
      <c r="A948" s="5" t="str">
        <f ca="1">IFERROR(__xludf.DUMMYFUNCTION("""COMPUTED_VALUE"""),"20190702AKWIA")</f>
        <v>20190702AKWIA</v>
      </c>
      <c r="B948" s="5">
        <f ca="1">IFERROR(__xludf.DUMMYFUNCTION("""COMPUTED_VALUE"""),22)</f>
        <v>22</v>
      </c>
      <c r="C948" s="5" t="str">
        <f ca="1">IFERROR(__xludf.DUMMYFUNCTION("""COMPUTED_VALUE"""),"Male")</f>
        <v>Male</v>
      </c>
      <c r="D948" s="5"/>
      <c r="E948" s="5" t="str">
        <f ca="1">IFERROR(__xludf.DUMMYFUNCTION("""COMPUTED_VALUE"""),"Nonstudent Using Athletic Facilities/Attending Game")</f>
        <v>Nonstudent Using Athletic Facilities/Attending Game</v>
      </c>
      <c r="F948" s="5" t="str">
        <f ca="1">IFERROR(__xludf.DUMMYFUNCTION("""COMPUTED_VALUE"""),"Fled/Apprehended")</f>
        <v>Fled/Apprehended</v>
      </c>
      <c r="G948" s="5" t="str">
        <f ca="1">IFERROR(__xludf.DUMMYFUNCTION("""COMPUTED_VALUE"""),"No")</f>
        <v>No</v>
      </c>
      <c r="H948" s="5" t="str">
        <f ca="1">IFERROR(__xludf.DUMMYFUNCTION("""COMPUTED_VALUE"""),"None")</f>
        <v>None</v>
      </c>
    </row>
    <row r="949" spans="1:8" ht="13">
      <c r="A949" s="5" t="str">
        <f ca="1">IFERROR(__xludf.DUMMYFUNCTION("""COMPUTED_VALUE"""),"20190701NYSCN")</f>
        <v>20190701NYSCN</v>
      </c>
      <c r="B949" s="5" t="str">
        <f ca="1">IFERROR(__xludf.DUMMYFUNCTION("""COMPUTED_VALUE"""),"Adult")</f>
        <v>Adult</v>
      </c>
      <c r="C949" s="5" t="str">
        <f ca="1">IFERROR(__xludf.DUMMYFUNCTION("""COMPUTED_VALUE"""),"Male")</f>
        <v>Male</v>
      </c>
      <c r="D949" s="5"/>
      <c r="E949" s="5" t="str">
        <f ca="1">IFERROR(__xludf.DUMMYFUNCTION("""COMPUTED_VALUE"""),"No Relation")</f>
        <v>No Relation</v>
      </c>
      <c r="F949" s="5" t="str">
        <f ca="1">IFERROR(__xludf.DUMMYFUNCTION("""COMPUTED_VALUE"""),"Fled/Escaped")</f>
        <v>Fled/Escaped</v>
      </c>
      <c r="G949" s="5" t="str">
        <f ca="1">IFERROR(__xludf.DUMMYFUNCTION("""COMPUTED_VALUE"""),"No")</f>
        <v>No</v>
      </c>
      <c r="H949" s="5" t="str">
        <f ca="1">IFERROR(__xludf.DUMMYFUNCTION("""COMPUTED_VALUE"""),"None")</f>
        <v>None</v>
      </c>
    </row>
    <row r="950" spans="1:8" ht="13">
      <c r="A950" s="5" t="str">
        <f ca="1">IFERROR(__xludf.DUMMYFUNCTION("""COMPUTED_VALUE"""),"20190629COJAC")</f>
        <v>20190629COJAC</v>
      </c>
      <c r="B950" s="5"/>
      <c r="C950" s="5" t="str">
        <f ca="1">IFERROR(__xludf.DUMMYFUNCTION("""COMPUTED_VALUE"""),"Male")</f>
        <v>Male</v>
      </c>
      <c r="D950" s="5"/>
      <c r="E950" s="5" t="str">
        <f ca="1">IFERROR(__xludf.DUMMYFUNCTION("""COMPUTED_VALUE"""),"No Relation")</f>
        <v>No Relation</v>
      </c>
      <c r="F950" s="5" t="str">
        <f ca="1">IFERROR(__xludf.DUMMYFUNCTION("""COMPUTED_VALUE"""),"Fled/Escaped")</f>
        <v>Fled/Escaped</v>
      </c>
      <c r="G950" s="5" t="str">
        <f ca="1">IFERROR(__xludf.DUMMYFUNCTION("""COMPUTED_VALUE"""),"No")</f>
        <v>No</v>
      </c>
      <c r="H950" s="5" t="str">
        <f ca="1">IFERROR(__xludf.DUMMYFUNCTION("""COMPUTED_VALUE"""),"None")</f>
        <v>None</v>
      </c>
    </row>
    <row r="951" spans="1:8" ht="13">
      <c r="A951" s="5" t="str">
        <f ca="1">IFERROR(__xludf.DUMMYFUNCTION("""COMPUTED_VALUE"""),"20190621MICAF")</f>
        <v>20190621MICAF</v>
      </c>
      <c r="B951" s="5"/>
      <c r="C951" s="5"/>
      <c r="D951" s="5"/>
      <c r="E951" s="5" t="str">
        <f ca="1">IFERROR(__xludf.DUMMYFUNCTION("""COMPUTED_VALUE"""),"Unknown")</f>
        <v>Unknown</v>
      </c>
      <c r="F951" s="5" t="str">
        <f ca="1">IFERROR(__xludf.DUMMYFUNCTION("""COMPUTED_VALUE"""),"Fled/Escaped")</f>
        <v>Fled/Escaped</v>
      </c>
      <c r="G951" s="5" t="str">
        <f ca="1">IFERROR(__xludf.DUMMYFUNCTION("""COMPUTED_VALUE"""),"No")</f>
        <v>No</v>
      </c>
      <c r="H951" s="5" t="str">
        <f ca="1">IFERROR(__xludf.DUMMYFUNCTION("""COMPUTED_VALUE"""),"None")</f>
        <v>None</v>
      </c>
    </row>
    <row r="952" spans="1:8" ht="13">
      <c r="A952" s="5" t="str">
        <f ca="1">IFERROR(__xludf.DUMMYFUNCTION("""COMPUTED_VALUE"""),"20190613NJTAW")</f>
        <v>20190613NJTAW</v>
      </c>
      <c r="B952" s="5">
        <f ca="1">IFERROR(__xludf.DUMMYFUNCTION("""COMPUTED_VALUE"""),46)</f>
        <v>46</v>
      </c>
      <c r="C952" s="5" t="str">
        <f ca="1">IFERROR(__xludf.DUMMYFUNCTION("""COMPUTED_VALUE"""),"Male")</f>
        <v>Male</v>
      </c>
      <c r="D952" s="5" t="str">
        <f ca="1">IFERROR(__xludf.DUMMYFUNCTION("""COMPUTED_VALUE"""),"White")</f>
        <v>White</v>
      </c>
      <c r="E952" s="5" t="str">
        <f ca="1">IFERROR(__xludf.DUMMYFUNCTION("""COMPUTED_VALUE"""),"Unknown")</f>
        <v>Unknown</v>
      </c>
      <c r="F952" s="5" t="str">
        <f ca="1">IFERROR(__xludf.DUMMYFUNCTION("""COMPUTED_VALUE"""),"Surrendered")</f>
        <v>Surrendered</v>
      </c>
      <c r="G952" s="5" t="str">
        <f ca="1">IFERROR(__xludf.DUMMYFUNCTION("""COMPUTED_VALUE"""),"No")</f>
        <v>No</v>
      </c>
      <c r="H952" s="5" t="str">
        <f ca="1">IFERROR(__xludf.DUMMYFUNCTION("""COMPUTED_VALUE"""),"None")</f>
        <v>None</v>
      </c>
    </row>
    <row r="953" spans="1:8" ht="13">
      <c r="A953" s="5" t="str">
        <f ca="1">IFERROR(__xludf.DUMMYFUNCTION("""COMPUTED_VALUE"""),"20190612PAJEE")</f>
        <v>20190612PAJEE</v>
      </c>
      <c r="B953" s="5">
        <f ca="1">IFERROR(__xludf.DUMMYFUNCTION("""COMPUTED_VALUE"""),16)</f>
        <v>16</v>
      </c>
      <c r="C953" s="5" t="str">
        <f ca="1">IFERROR(__xludf.DUMMYFUNCTION("""COMPUTED_VALUE"""),"Male")</f>
        <v>Male</v>
      </c>
      <c r="D953" s="5"/>
      <c r="E953" s="5" t="str">
        <f ca="1">IFERROR(__xludf.DUMMYFUNCTION("""COMPUTED_VALUE"""),"No Relation")</f>
        <v>No Relation</v>
      </c>
      <c r="F953" s="5" t="str">
        <f ca="1">IFERROR(__xludf.DUMMYFUNCTION("""COMPUTED_VALUE"""),"Fled/Apprehended")</f>
        <v>Fled/Apprehended</v>
      </c>
      <c r="G953" s="5" t="str">
        <f ca="1">IFERROR(__xludf.DUMMYFUNCTION("""COMPUTED_VALUE"""),"No")</f>
        <v>No</v>
      </c>
      <c r="H953" s="5" t="str">
        <f ca="1">IFERROR(__xludf.DUMMYFUNCTION("""COMPUTED_VALUE"""),"None")</f>
        <v>None</v>
      </c>
    </row>
    <row r="954" spans="1:8" ht="13">
      <c r="A954" s="5" t="str">
        <f ca="1">IFERROR(__xludf.DUMMYFUNCTION("""COMPUTED_VALUE"""),"20190612PAJEE")</f>
        <v>20190612PAJEE</v>
      </c>
      <c r="B954" s="5">
        <f ca="1">IFERROR(__xludf.DUMMYFUNCTION("""COMPUTED_VALUE"""),18)</f>
        <v>18</v>
      </c>
      <c r="C954" s="5" t="str">
        <f ca="1">IFERROR(__xludf.DUMMYFUNCTION("""COMPUTED_VALUE"""),"Female")</f>
        <v>Female</v>
      </c>
      <c r="D954" s="5"/>
      <c r="E954" s="5" t="str">
        <f ca="1">IFERROR(__xludf.DUMMYFUNCTION("""COMPUTED_VALUE"""),"Intimate Relationship")</f>
        <v>Intimate Relationship</v>
      </c>
      <c r="F954" s="5" t="str">
        <f ca="1">IFERROR(__xludf.DUMMYFUNCTION("""COMPUTED_VALUE"""),"Fled/Apprehended")</f>
        <v>Fled/Apprehended</v>
      </c>
      <c r="G954" s="5" t="str">
        <f ca="1">IFERROR(__xludf.DUMMYFUNCTION("""COMPUTED_VALUE"""),"No")</f>
        <v>No</v>
      </c>
      <c r="H954" s="5" t="str">
        <f ca="1">IFERROR(__xludf.DUMMYFUNCTION("""COMPUTED_VALUE"""),"None")</f>
        <v>None</v>
      </c>
    </row>
    <row r="955" spans="1:8" ht="13">
      <c r="A955" s="5" t="str">
        <f ca="1">IFERROR(__xludf.DUMMYFUNCTION("""COMPUTED_VALUE"""),"20190612DCHEW")</f>
        <v>20190612DCHEW</v>
      </c>
      <c r="B955" s="5"/>
      <c r="C955" s="5"/>
      <c r="D955" s="5"/>
      <c r="E955" s="5" t="str">
        <f ca="1">IFERROR(__xludf.DUMMYFUNCTION("""COMPUTED_VALUE"""),"No Relation")</f>
        <v>No Relation</v>
      </c>
      <c r="F955" s="5" t="str">
        <f ca="1">IFERROR(__xludf.DUMMYFUNCTION("""COMPUTED_VALUE"""),"Fled/Escaped")</f>
        <v>Fled/Escaped</v>
      </c>
      <c r="G955" s="5" t="str">
        <f ca="1">IFERROR(__xludf.DUMMYFUNCTION("""COMPUTED_VALUE"""),"No")</f>
        <v>No</v>
      </c>
      <c r="H955" s="5" t="str">
        <f ca="1">IFERROR(__xludf.DUMMYFUNCTION("""COMPUTED_VALUE"""),"None")</f>
        <v>None</v>
      </c>
    </row>
    <row r="956" spans="1:8" ht="13">
      <c r="A956" s="5" t="str">
        <f ca="1">IFERROR(__xludf.DUMMYFUNCTION("""COMPUTED_VALUE"""),"20190610ILMEW")</f>
        <v>20190610ILMEW</v>
      </c>
      <c r="B956" s="5">
        <f ca="1">IFERROR(__xludf.DUMMYFUNCTION("""COMPUTED_VALUE"""),15)</f>
        <v>15</v>
      </c>
      <c r="C956" s="5" t="str">
        <f ca="1">IFERROR(__xludf.DUMMYFUNCTION("""COMPUTED_VALUE"""),"Male")</f>
        <v>Male</v>
      </c>
      <c r="D956" s="5"/>
      <c r="E956" s="5" t="str">
        <f ca="1">IFERROR(__xludf.DUMMYFUNCTION("""COMPUTED_VALUE"""),"No Relation")</f>
        <v>No Relation</v>
      </c>
      <c r="F956" s="5" t="str">
        <f ca="1">IFERROR(__xludf.DUMMYFUNCTION("""COMPUTED_VALUE"""),"Fled/Apprehended")</f>
        <v>Fled/Apprehended</v>
      </c>
      <c r="G956" s="5" t="str">
        <f ca="1">IFERROR(__xludf.DUMMYFUNCTION("""COMPUTED_VALUE"""),"No")</f>
        <v>No</v>
      </c>
      <c r="H956" s="5" t="str">
        <f ca="1">IFERROR(__xludf.DUMMYFUNCTION("""COMPUTED_VALUE"""),"None")</f>
        <v>None</v>
      </c>
    </row>
    <row r="957" spans="1:8" ht="13">
      <c r="A957" s="5" t="str">
        <f ca="1">IFERROR(__xludf.DUMMYFUNCTION("""COMPUTED_VALUE"""),"20190610ILMEW")</f>
        <v>20190610ILMEW</v>
      </c>
      <c r="B957" s="5">
        <f ca="1">IFERROR(__xludf.DUMMYFUNCTION("""COMPUTED_VALUE"""),27)</f>
        <v>27</v>
      </c>
      <c r="C957" s="5" t="str">
        <f ca="1">IFERROR(__xludf.DUMMYFUNCTION("""COMPUTED_VALUE"""),"Male")</f>
        <v>Male</v>
      </c>
      <c r="D957" s="5"/>
      <c r="E957" s="5" t="str">
        <f ca="1">IFERROR(__xludf.DUMMYFUNCTION("""COMPUTED_VALUE"""),"No Relation")</f>
        <v>No Relation</v>
      </c>
      <c r="F957" s="5" t="str">
        <f ca="1">IFERROR(__xludf.DUMMYFUNCTION("""COMPUTED_VALUE"""),"Fled/Apprehended")</f>
        <v>Fled/Apprehended</v>
      </c>
      <c r="G957" s="5" t="str">
        <f ca="1">IFERROR(__xludf.DUMMYFUNCTION("""COMPUTED_VALUE"""),"No")</f>
        <v>No</v>
      </c>
      <c r="H957" s="5" t="str">
        <f ca="1">IFERROR(__xludf.DUMMYFUNCTION("""COMPUTED_VALUE"""),"None")</f>
        <v>None</v>
      </c>
    </row>
    <row r="958" spans="1:8" ht="13">
      <c r="A958" s="5" t="str">
        <f ca="1">IFERROR(__xludf.DUMMYFUNCTION("""COMPUTED_VALUE"""),"20190606ILGEC")</f>
        <v>20190606ILGEC</v>
      </c>
      <c r="B958" s="5"/>
      <c r="C958" s="5"/>
      <c r="D958" s="5"/>
      <c r="E958" s="5" t="str">
        <f ca="1">IFERROR(__xludf.DUMMYFUNCTION("""COMPUTED_VALUE"""),"Nonstudent Using Athletic Facilities/Attending Game")</f>
        <v>Nonstudent Using Athletic Facilities/Attending Game</v>
      </c>
      <c r="F958" s="5" t="str">
        <f ca="1">IFERROR(__xludf.DUMMYFUNCTION("""COMPUTED_VALUE"""),"Fled/Escaped")</f>
        <v>Fled/Escaped</v>
      </c>
      <c r="G958" s="5" t="str">
        <f ca="1">IFERROR(__xludf.DUMMYFUNCTION("""COMPUTED_VALUE"""),"No")</f>
        <v>No</v>
      </c>
      <c r="H958" s="5" t="str">
        <f ca="1">IFERROR(__xludf.DUMMYFUNCTION("""COMPUTED_VALUE"""),"None")</f>
        <v>None</v>
      </c>
    </row>
    <row r="959" spans="1:8" ht="13">
      <c r="A959" s="5" t="str">
        <f ca="1">IFERROR(__xludf.DUMMYFUNCTION("""COMPUTED_VALUE"""),"20190530DCHEW")</f>
        <v>20190530DCHEW</v>
      </c>
      <c r="B959" s="5"/>
      <c r="C959" s="5"/>
      <c r="D959" s="5"/>
      <c r="E959" s="5" t="str">
        <f ca="1">IFERROR(__xludf.DUMMYFUNCTION("""COMPUTED_VALUE"""),"No Relation")</f>
        <v>No Relation</v>
      </c>
      <c r="F959" s="5" t="str">
        <f ca="1">IFERROR(__xludf.DUMMYFUNCTION("""COMPUTED_VALUE"""),"Fled/Escaped")</f>
        <v>Fled/Escaped</v>
      </c>
      <c r="G959" s="5" t="str">
        <f ca="1">IFERROR(__xludf.DUMMYFUNCTION("""COMPUTED_VALUE"""),"No")</f>
        <v>No</v>
      </c>
      <c r="H959" s="5" t="str">
        <f ca="1">IFERROR(__xludf.DUMMYFUNCTION("""COMPUTED_VALUE"""),"None")</f>
        <v>None</v>
      </c>
    </row>
    <row r="960" spans="1:8" ht="13">
      <c r="A960" s="5" t="str">
        <f ca="1">IFERROR(__xludf.DUMMYFUNCTION("""COMPUTED_VALUE"""),"20190522OHSAC")</f>
        <v>20190522OHSAC</v>
      </c>
      <c r="B960" s="5">
        <f ca="1">IFERROR(__xludf.DUMMYFUNCTION("""COMPUTED_VALUE"""),13)</f>
        <v>13</v>
      </c>
      <c r="C960" s="5" t="str">
        <f ca="1">IFERROR(__xludf.DUMMYFUNCTION("""COMPUTED_VALUE"""),"Male")</f>
        <v>Male</v>
      </c>
      <c r="D960" s="5"/>
      <c r="E960" s="5" t="str">
        <f ca="1">IFERROR(__xludf.DUMMYFUNCTION("""COMPUTED_VALUE"""),"No Relation")</f>
        <v>No Relation</v>
      </c>
      <c r="F960" s="5" t="str">
        <f ca="1">IFERROR(__xludf.DUMMYFUNCTION("""COMPUTED_VALUE"""),"Fled/Apprehended")</f>
        <v>Fled/Apprehended</v>
      </c>
      <c r="G960" s="5" t="str">
        <f ca="1">IFERROR(__xludf.DUMMYFUNCTION("""COMPUTED_VALUE"""),"No")</f>
        <v>No</v>
      </c>
      <c r="H960" s="5" t="str">
        <f ca="1">IFERROR(__xludf.DUMMYFUNCTION("""COMPUTED_VALUE"""),"None")</f>
        <v>None</v>
      </c>
    </row>
    <row r="961" spans="1:8" ht="13">
      <c r="A961" s="5" t="str">
        <f ca="1">IFERROR(__xludf.DUMMYFUNCTION("""COMPUTED_VALUE"""),"20190517ORPAP")</f>
        <v>20190517ORPAP</v>
      </c>
      <c r="B961" s="5">
        <f ca="1">IFERROR(__xludf.DUMMYFUNCTION("""COMPUTED_VALUE"""),18)</f>
        <v>18</v>
      </c>
      <c r="C961" s="5" t="str">
        <f ca="1">IFERROR(__xludf.DUMMYFUNCTION("""COMPUTED_VALUE"""),"Male")</f>
        <v>Male</v>
      </c>
      <c r="D961" s="5" t="str">
        <f ca="1">IFERROR(__xludf.DUMMYFUNCTION("""COMPUTED_VALUE"""),"Hispanic")</f>
        <v>Hispanic</v>
      </c>
      <c r="E961" s="5" t="str">
        <f ca="1">IFERROR(__xludf.DUMMYFUNCTION("""COMPUTED_VALUE"""),"Student")</f>
        <v>Student</v>
      </c>
      <c r="F961" s="5" t="str">
        <f ca="1">IFERROR(__xludf.DUMMYFUNCTION("""COMPUTED_VALUE"""),"Subdued by Students/Staff/Other")</f>
        <v>Subdued by Students/Staff/Other</v>
      </c>
      <c r="G961" s="5" t="str">
        <f ca="1">IFERROR(__xludf.DUMMYFUNCTION("""COMPUTED_VALUE"""),"No")</f>
        <v>No</v>
      </c>
      <c r="H961" s="5" t="str">
        <f ca="1">IFERROR(__xludf.DUMMYFUNCTION("""COMPUTED_VALUE"""),"None")</f>
        <v>None</v>
      </c>
    </row>
    <row r="962" spans="1:8" ht="13">
      <c r="A962" s="5" t="str">
        <f ca="1">IFERROR(__xludf.DUMMYFUNCTION("""COMPUTED_VALUE"""),"20190517FLTEJ")</f>
        <v>20190517FLTEJ</v>
      </c>
      <c r="B962" s="5">
        <f ca="1">IFERROR(__xludf.DUMMYFUNCTION("""COMPUTED_VALUE"""),19)</f>
        <v>19</v>
      </c>
      <c r="C962" s="5" t="str">
        <f ca="1">IFERROR(__xludf.DUMMYFUNCTION("""COMPUTED_VALUE"""),"Male")</f>
        <v>Male</v>
      </c>
      <c r="D962" s="5" t="str">
        <f ca="1">IFERROR(__xludf.DUMMYFUNCTION("""COMPUTED_VALUE"""),"Black")</f>
        <v>Black</v>
      </c>
      <c r="E962" s="5" t="str">
        <f ca="1">IFERROR(__xludf.DUMMYFUNCTION("""COMPUTED_VALUE"""),"Unknown")</f>
        <v>Unknown</v>
      </c>
      <c r="F962" s="5" t="str">
        <f ca="1">IFERROR(__xludf.DUMMYFUNCTION("""COMPUTED_VALUE"""),"Fled/Apprehended")</f>
        <v>Fled/Apprehended</v>
      </c>
      <c r="G962" s="5" t="str">
        <f ca="1">IFERROR(__xludf.DUMMYFUNCTION("""COMPUTED_VALUE"""),"No")</f>
        <v>No</v>
      </c>
      <c r="H962" s="5" t="str">
        <f ca="1">IFERROR(__xludf.DUMMYFUNCTION("""COMPUTED_VALUE"""),"None")</f>
        <v>None</v>
      </c>
    </row>
    <row r="963" spans="1:8" ht="13">
      <c r="A963" s="5" t="str">
        <f ca="1">IFERROR(__xludf.DUMMYFUNCTION("""COMPUTED_VALUE"""),"20190508ILSEC")</f>
        <v>20190508ILSEC</v>
      </c>
      <c r="B963" s="5">
        <f ca="1">IFERROR(__xludf.DUMMYFUNCTION("""COMPUTED_VALUE"""),18)</f>
        <v>18</v>
      </c>
      <c r="C963" s="5" t="str">
        <f ca="1">IFERROR(__xludf.DUMMYFUNCTION("""COMPUTED_VALUE"""),"Male")</f>
        <v>Male</v>
      </c>
      <c r="D963" s="5" t="str">
        <f ca="1">IFERROR(__xludf.DUMMYFUNCTION("""COMPUTED_VALUE"""),"Hispanic")</f>
        <v>Hispanic</v>
      </c>
      <c r="E963" s="5" t="str">
        <f ca="1">IFERROR(__xludf.DUMMYFUNCTION("""COMPUTED_VALUE"""),"No Relation")</f>
        <v>No Relation</v>
      </c>
      <c r="F963" s="5" t="str">
        <f ca="1">IFERROR(__xludf.DUMMYFUNCTION("""COMPUTED_VALUE"""),"Fled/Apprehended")</f>
        <v>Fled/Apprehended</v>
      </c>
      <c r="G963" s="5" t="str">
        <f ca="1">IFERROR(__xludf.DUMMYFUNCTION("""COMPUTED_VALUE"""),"No")</f>
        <v>No</v>
      </c>
      <c r="H963" s="5" t="str">
        <f ca="1">IFERROR(__xludf.DUMMYFUNCTION("""COMPUTED_VALUE"""),"None")</f>
        <v>None</v>
      </c>
    </row>
    <row r="964" spans="1:8" ht="13">
      <c r="A964" s="5" t="str">
        <f ca="1">IFERROR(__xludf.DUMMYFUNCTION("""COMPUTED_VALUE"""),"20190507COSTH")</f>
        <v>20190507COSTH</v>
      </c>
      <c r="B964" s="5">
        <f ca="1">IFERROR(__xludf.DUMMYFUNCTION("""COMPUTED_VALUE"""),18)</f>
        <v>18</v>
      </c>
      <c r="C964" s="5" t="str">
        <f ca="1">IFERROR(__xludf.DUMMYFUNCTION("""COMPUTED_VALUE"""),"Male")</f>
        <v>Male</v>
      </c>
      <c r="D964" s="5" t="str">
        <f ca="1">IFERROR(__xludf.DUMMYFUNCTION("""COMPUTED_VALUE"""),"White")</f>
        <v>White</v>
      </c>
      <c r="E964" s="5" t="str">
        <f ca="1">IFERROR(__xludf.DUMMYFUNCTION("""COMPUTED_VALUE"""),"Student")</f>
        <v>Student</v>
      </c>
      <c r="F964" s="5" t="str">
        <f ca="1">IFERROR(__xludf.DUMMYFUNCTION("""COMPUTED_VALUE"""),"Apprehended/Killed by LE")</f>
        <v>Apprehended/Killed by LE</v>
      </c>
      <c r="G964" s="5" t="str">
        <f ca="1">IFERROR(__xludf.DUMMYFUNCTION("""COMPUTED_VALUE"""),"No")</f>
        <v>No</v>
      </c>
      <c r="H964" s="5" t="str">
        <f ca="1">IFERROR(__xludf.DUMMYFUNCTION("""COMPUTED_VALUE"""),"None")</f>
        <v>None</v>
      </c>
    </row>
    <row r="965" spans="1:8" ht="13">
      <c r="A965" s="5" t="str">
        <f ca="1">IFERROR(__xludf.DUMMYFUNCTION("""COMPUTED_VALUE"""),"20190507COSTH")</f>
        <v>20190507COSTH</v>
      </c>
      <c r="B965" s="5">
        <f ca="1">IFERROR(__xludf.DUMMYFUNCTION("""COMPUTED_VALUE"""),16)</f>
        <v>16</v>
      </c>
      <c r="C965" s="5" t="str">
        <f ca="1">IFERROR(__xludf.DUMMYFUNCTION("""COMPUTED_VALUE"""),"Transgender")</f>
        <v>Transgender</v>
      </c>
      <c r="D965" s="5" t="str">
        <f ca="1">IFERROR(__xludf.DUMMYFUNCTION("""COMPUTED_VALUE"""),"White")</f>
        <v>White</v>
      </c>
      <c r="E965" s="5" t="str">
        <f ca="1">IFERROR(__xludf.DUMMYFUNCTION("""COMPUTED_VALUE"""),"Student")</f>
        <v>Student</v>
      </c>
      <c r="F965" s="5" t="str">
        <f ca="1">IFERROR(__xludf.DUMMYFUNCTION("""COMPUTED_VALUE"""),"Apprehended/Killed by LE")</f>
        <v>Apprehended/Killed by LE</v>
      </c>
      <c r="G965" s="5" t="str">
        <f ca="1">IFERROR(__xludf.DUMMYFUNCTION("""COMPUTED_VALUE"""),"No")</f>
        <v>No</v>
      </c>
      <c r="H965" s="5" t="str">
        <f ca="1">IFERROR(__xludf.DUMMYFUNCTION("""COMPUTED_VALUE"""),"None")</f>
        <v>None</v>
      </c>
    </row>
    <row r="966" spans="1:8" ht="13">
      <c r="A966" s="5" t="str">
        <f ca="1">IFERROR(__xludf.DUMMYFUNCTION("""COMPUTED_VALUE"""),"20190430VACDW")</f>
        <v>20190430VACDW</v>
      </c>
      <c r="B966" s="5">
        <f ca="1">IFERROR(__xludf.DUMMYFUNCTION("""COMPUTED_VALUE"""),16)</f>
        <v>16</v>
      </c>
      <c r="C966" s="5" t="str">
        <f ca="1">IFERROR(__xludf.DUMMYFUNCTION("""COMPUTED_VALUE"""),"Male")</f>
        <v>Male</v>
      </c>
      <c r="D966" s="5"/>
      <c r="E966" s="5" t="str">
        <f ca="1">IFERROR(__xludf.DUMMYFUNCTION("""COMPUTED_VALUE"""),"Student")</f>
        <v>Student</v>
      </c>
      <c r="F966" s="5" t="str">
        <f ca="1">IFERROR(__xludf.DUMMYFUNCTION("""COMPUTED_VALUE"""),"Apprehended/Killed by SRO")</f>
        <v>Apprehended/Killed by SRO</v>
      </c>
      <c r="G966" s="5" t="str">
        <f ca="1">IFERROR(__xludf.DUMMYFUNCTION("""COMPUTED_VALUE"""),"No")</f>
        <v>No</v>
      </c>
      <c r="H966" s="5" t="str">
        <f ca="1">IFERROR(__xludf.DUMMYFUNCTION("""COMPUTED_VALUE"""),"None")</f>
        <v>None</v>
      </c>
    </row>
    <row r="967" spans="1:8" ht="13">
      <c r="A967" s="5" t="str">
        <f ca="1">IFERROR(__xludf.DUMMYFUNCTION("""COMPUTED_VALUE"""),"20190430FLWEW")</f>
        <v>20190430FLWEW</v>
      </c>
      <c r="B967" s="5" t="str">
        <f ca="1">IFERROR(__xludf.DUMMYFUNCTION("""COMPUTED_VALUE"""),"Adult")</f>
        <v>Adult</v>
      </c>
      <c r="C967" s="5"/>
      <c r="D967" s="5" t="str">
        <f ca="1">IFERROR(__xludf.DUMMYFUNCTION("""COMPUTED_VALUE"""),"N/A")</f>
        <v>N/A</v>
      </c>
      <c r="E967" s="5" t="str">
        <f ca="1">IFERROR(__xludf.DUMMYFUNCTION("""COMPUTED_VALUE"""),"Police Officer/SRO")</f>
        <v>Police Officer/SRO</v>
      </c>
      <c r="F967" s="5" t="str">
        <f ca="1">IFERROR(__xludf.DUMMYFUNCTION("""COMPUTED_VALUE"""),"Law Enforcement")</f>
        <v>Law Enforcement</v>
      </c>
      <c r="G967" s="5" t="str">
        <f ca="1">IFERROR(__xludf.DUMMYFUNCTION("""COMPUTED_VALUE"""),"No")</f>
        <v>No</v>
      </c>
      <c r="H967" s="5" t="str">
        <f ca="1">IFERROR(__xludf.DUMMYFUNCTION("""COMPUTED_VALUE"""),"None")</f>
        <v>None</v>
      </c>
    </row>
    <row r="968" spans="1:8" ht="13">
      <c r="A968" s="5" t="str">
        <f ca="1">IFERROR(__xludf.DUMMYFUNCTION("""COMPUTED_VALUE"""),"20190426GACRF")</f>
        <v>20190426GACRF</v>
      </c>
      <c r="B968" s="5" t="str">
        <f ca="1">IFERROR(__xludf.DUMMYFUNCTION("""COMPUTED_VALUE"""),"Adult")</f>
        <v>Adult</v>
      </c>
      <c r="C968" s="5"/>
      <c r="D968" s="5"/>
      <c r="E968" s="5" t="str">
        <f ca="1">IFERROR(__xludf.DUMMYFUNCTION("""COMPUTED_VALUE"""),"Parent")</f>
        <v>Parent</v>
      </c>
      <c r="F968" s="5" t="str">
        <f ca="1">IFERROR(__xludf.DUMMYFUNCTION("""COMPUTED_VALUE"""),"Fled/Escaped")</f>
        <v>Fled/Escaped</v>
      </c>
      <c r="G968" s="5" t="str">
        <f ca="1">IFERROR(__xludf.DUMMYFUNCTION("""COMPUTED_VALUE"""),"No")</f>
        <v>No</v>
      </c>
      <c r="H968" s="5" t="str">
        <f ca="1">IFERROR(__xludf.DUMMYFUNCTION("""COMPUTED_VALUE"""),"None")</f>
        <v>None</v>
      </c>
    </row>
    <row r="969" spans="1:8" ht="13">
      <c r="A969" s="5" t="str">
        <f ca="1">IFERROR(__xludf.DUMMYFUNCTION("""COMPUTED_VALUE"""),"20190425GAWYS")</f>
        <v>20190425GAWYS</v>
      </c>
      <c r="B969" s="5"/>
      <c r="C969" s="5"/>
      <c r="D969" s="5"/>
      <c r="E969" s="5" t="str">
        <f ca="1">IFERROR(__xludf.DUMMYFUNCTION("""COMPUTED_VALUE"""),"Unknown")</f>
        <v>Unknown</v>
      </c>
      <c r="F969" s="5" t="str">
        <f ca="1">IFERROR(__xludf.DUMMYFUNCTION("""COMPUTED_VALUE"""),"Fled/Escaped")</f>
        <v>Fled/Escaped</v>
      </c>
      <c r="G969" s="5" t="str">
        <f ca="1">IFERROR(__xludf.DUMMYFUNCTION("""COMPUTED_VALUE"""),"No")</f>
        <v>No</v>
      </c>
      <c r="H969" s="5" t="str">
        <f ca="1">IFERROR(__xludf.DUMMYFUNCTION("""COMPUTED_VALUE"""),"None")</f>
        <v>None</v>
      </c>
    </row>
    <row r="970" spans="1:8" ht="13">
      <c r="A970" s="5" t="str">
        <f ca="1">IFERROR(__xludf.DUMMYFUNCTION("""COMPUTED_VALUE"""),"20190424ARCOC")</f>
        <v>20190424ARCOC</v>
      </c>
      <c r="B970" s="5">
        <f ca="1">IFERROR(__xludf.DUMMYFUNCTION("""COMPUTED_VALUE"""),14)</f>
        <v>14</v>
      </c>
      <c r="C970" s="5" t="str">
        <f ca="1">IFERROR(__xludf.DUMMYFUNCTION("""COMPUTED_VALUE"""),"Male")</f>
        <v>Male</v>
      </c>
      <c r="D970" s="5"/>
      <c r="E970" s="5" t="str">
        <f ca="1">IFERROR(__xludf.DUMMYFUNCTION("""COMPUTED_VALUE"""),"Student")</f>
        <v>Student</v>
      </c>
      <c r="F970" s="5" t="str">
        <f ca="1">IFERROR(__xludf.DUMMYFUNCTION("""COMPUTED_VALUE"""),"Suicide")</f>
        <v>Suicide</v>
      </c>
      <c r="G970" s="5" t="str">
        <f ca="1">IFERROR(__xludf.DUMMYFUNCTION("""COMPUTED_VALUE"""),"Yes")</f>
        <v>Yes</v>
      </c>
      <c r="H970" s="5" t="str">
        <f ca="1">IFERROR(__xludf.DUMMYFUNCTION("""COMPUTED_VALUE"""),"Suicide")</f>
        <v>Suicide</v>
      </c>
    </row>
    <row r="971" spans="1:8" ht="13">
      <c r="A971" s="5" t="str">
        <f ca="1">IFERROR(__xludf.DUMMYFUNCTION("""COMPUTED_VALUE"""),"20190417ILWAL")</f>
        <v>20190417ILWAL</v>
      </c>
      <c r="B971" s="5" t="str">
        <f ca="1">IFERROR(__xludf.DUMMYFUNCTION("""COMPUTED_VALUE"""),"Teen")</f>
        <v>Teen</v>
      </c>
      <c r="C971" s="5" t="str">
        <f ca="1">IFERROR(__xludf.DUMMYFUNCTION("""COMPUTED_VALUE"""),"Male")</f>
        <v>Male</v>
      </c>
      <c r="D971" s="5"/>
      <c r="E971" s="5" t="str">
        <f ca="1">IFERROR(__xludf.DUMMYFUNCTION("""COMPUTED_VALUE"""),"Student")</f>
        <v>Student</v>
      </c>
      <c r="F971" s="5" t="str">
        <f ca="1">IFERROR(__xludf.DUMMYFUNCTION("""COMPUTED_VALUE"""),"Suicide")</f>
        <v>Suicide</v>
      </c>
      <c r="G971" s="5" t="str">
        <f ca="1">IFERROR(__xludf.DUMMYFUNCTION("""COMPUTED_VALUE"""),"Yes")</f>
        <v>Yes</v>
      </c>
      <c r="H971" s="5" t="str">
        <f ca="1">IFERROR(__xludf.DUMMYFUNCTION("""COMPUTED_VALUE"""),"Suicide")</f>
        <v>Suicide</v>
      </c>
    </row>
    <row r="972" spans="1:8" ht="13">
      <c r="A972" s="5" t="str">
        <f ca="1">IFERROR(__xludf.DUMMYFUNCTION("""COMPUTED_VALUE"""),"20190410TXROH")</f>
        <v>20190410TXROH</v>
      </c>
      <c r="B972" s="5"/>
      <c r="C972" s="5" t="str">
        <f ca="1">IFERROR(__xludf.DUMMYFUNCTION("""COMPUTED_VALUE"""),"Male")</f>
        <v>Male</v>
      </c>
      <c r="D972" s="5"/>
      <c r="E972" s="5" t="str">
        <f ca="1">IFERROR(__xludf.DUMMYFUNCTION("""COMPUTED_VALUE"""),"No Relation")</f>
        <v>No Relation</v>
      </c>
      <c r="F972" s="5" t="str">
        <f ca="1">IFERROR(__xludf.DUMMYFUNCTION("""COMPUTED_VALUE"""),"Fled/Escaped")</f>
        <v>Fled/Escaped</v>
      </c>
      <c r="G972" s="5" t="str">
        <f ca="1">IFERROR(__xludf.DUMMYFUNCTION("""COMPUTED_VALUE"""),"No")</f>
        <v>No</v>
      </c>
      <c r="H972" s="5" t="str">
        <f ca="1">IFERROR(__xludf.DUMMYFUNCTION("""COMPUTED_VALUE"""),"None")</f>
        <v>None</v>
      </c>
    </row>
    <row r="973" spans="1:8" ht="13">
      <c r="A973" s="5" t="str">
        <f ca="1">IFERROR(__xludf.DUMMYFUNCTION("""COMPUTED_VALUE"""),"20190410TXROH")</f>
        <v>20190410TXROH</v>
      </c>
      <c r="B973" s="5"/>
      <c r="C973" s="5" t="str">
        <f ca="1">IFERROR(__xludf.DUMMYFUNCTION("""COMPUTED_VALUE"""),"Male")</f>
        <v>Male</v>
      </c>
      <c r="D973" s="5"/>
      <c r="E973" s="5" t="str">
        <f ca="1">IFERROR(__xludf.DUMMYFUNCTION("""COMPUTED_VALUE"""),"No Relation")</f>
        <v>No Relation</v>
      </c>
      <c r="F973" s="5" t="str">
        <f ca="1">IFERROR(__xludf.DUMMYFUNCTION("""COMPUTED_VALUE"""),"Fled/Escaped")</f>
        <v>Fled/Escaped</v>
      </c>
      <c r="G973" s="5" t="str">
        <f ca="1">IFERROR(__xludf.DUMMYFUNCTION("""COMPUTED_VALUE"""),"No")</f>
        <v>No</v>
      </c>
      <c r="H973" s="5" t="str">
        <f ca="1">IFERROR(__xludf.DUMMYFUNCTION("""COMPUTED_VALUE"""),"None")</f>
        <v>None</v>
      </c>
    </row>
    <row r="974" spans="1:8" ht="13">
      <c r="A974" s="5" t="str">
        <f ca="1">IFERROR(__xludf.DUMMYFUNCTION("""COMPUTED_VALUE"""),"20190407MAHOL")</f>
        <v>20190407MAHOL</v>
      </c>
      <c r="B974" s="5"/>
      <c r="C974" s="5"/>
      <c r="D974" s="5"/>
      <c r="E974" s="5" t="str">
        <f ca="1">IFERROR(__xludf.DUMMYFUNCTION("""COMPUTED_VALUE"""),"Unknown")</f>
        <v>Unknown</v>
      </c>
      <c r="F974" s="5" t="str">
        <f ca="1">IFERROR(__xludf.DUMMYFUNCTION("""COMPUTED_VALUE"""),"Fled/Escaped")</f>
        <v>Fled/Escaped</v>
      </c>
      <c r="G974" s="5" t="str">
        <f ca="1">IFERROR(__xludf.DUMMYFUNCTION("""COMPUTED_VALUE"""),"No")</f>
        <v>No</v>
      </c>
      <c r="H974" s="5" t="str">
        <f ca="1">IFERROR(__xludf.DUMMYFUNCTION("""COMPUTED_VALUE"""),"None")</f>
        <v>None</v>
      </c>
    </row>
    <row r="975" spans="1:8" ht="13">
      <c r="A975" s="5" t="str">
        <f ca="1">IFERROR(__xludf.DUMMYFUNCTION("""COMPUTED_VALUE"""),"20190405WISTM")</f>
        <v>20190405WISTM</v>
      </c>
      <c r="B975" s="5">
        <f ca="1">IFERROR(__xludf.DUMMYFUNCTION("""COMPUTED_VALUE"""),59)</f>
        <v>59</v>
      </c>
      <c r="C975" s="5" t="str">
        <f ca="1">IFERROR(__xludf.DUMMYFUNCTION("""COMPUTED_VALUE"""),"Male")</f>
        <v>Male</v>
      </c>
      <c r="D975" s="5"/>
      <c r="E975" s="5" t="str">
        <f ca="1">IFERROR(__xludf.DUMMYFUNCTION("""COMPUTED_VALUE"""),"Other Staff")</f>
        <v>Other Staff</v>
      </c>
      <c r="F975" s="5" t="str">
        <f ca="1">IFERROR(__xludf.DUMMYFUNCTION("""COMPUTED_VALUE"""),"Unknown")</f>
        <v>Unknown</v>
      </c>
      <c r="G975" s="5" t="str">
        <f ca="1">IFERROR(__xludf.DUMMYFUNCTION("""COMPUTED_VALUE"""),"No")</f>
        <v>No</v>
      </c>
      <c r="H975" s="5" t="str">
        <f ca="1">IFERROR(__xludf.DUMMYFUNCTION("""COMPUTED_VALUE"""),"None")</f>
        <v>None</v>
      </c>
    </row>
    <row r="976" spans="1:8" ht="13">
      <c r="A976" s="5" t="str">
        <f ca="1">IFERROR(__xludf.DUMMYFUNCTION("""COMPUTED_VALUE"""),"20190403FLSAJ")</f>
        <v>20190403FLSAJ</v>
      </c>
      <c r="B976" s="5"/>
      <c r="C976" s="5"/>
      <c r="D976" s="5"/>
      <c r="E976" s="5" t="str">
        <f ca="1">IFERROR(__xludf.DUMMYFUNCTION("""COMPUTED_VALUE"""),"No Relation")</f>
        <v>No Relation</v>
      </c>
      <c r="F976" s="5" t="str">
        <f ca="1">IFERROR(__xludf.DUMMYFUNCTION("""COMPUTED_VALUE"""),"Fled/Escaped")</f>
        <v>Fled/Escaped</v>
      </c>
      <c r="G976" s="5" t="str">
        <f ca="1">IFERROR(__xludf.DUMMYFUNCTION("""COMPUTED_VALUE"""),"No")</f>
        <v>No</v>
      </c>
      <c r="H976" s="5" t="str">
        <f ca="1">IFERROR(__xludf.DUMMYFUNCTION("""COMPUTED_VALUE"""),"None")</f>
        <v>None</v>
      </c>
    </row>
    <row r="977" spans="1:8" ht="13">
      <c r="A977" s="5" t="str">
        <f ca="1">IFERROR(__xludf.DUMMYFUNCTION("""COMPUTED_VALUE"""),"20190403COAUA")</f>
        <v>20190403COAUA</v>
      </c>
      <c r="B977" s="5">
        <f ca="1">IFERROR(__xludf.DUMMYFUNCTION("""COMPUTED_VALUE"""),30)</f>
        <v>30</v>
      </c>
      <c r="C977" s="5" t="str">
        <f ca="1">IFERROR(__xludf.DUMMYFUNCTION("""COMPUTED_VALUE"""),"Male")</f>
        <v>Male</v>
      </c>
      <c r="D977" s="5" t="str">
        <f ca="1">IFERROR(__xludf.DUMMYFUNCTION("""COMPUTED_VALUE"""),"Other")</f>
        <v>Other</v>
      </c>
      <c r="E977" s="5" t="str">
        <f ca="1">IFERROR(__xludf.DUMMYFUNCTION("""COMPUTED_VALUE"""),"Other Staff")</f>
        <v>Other Staff</v>
      </c>
      <c r="F977" s="5" t="str">
        <f ca="1">IFERROR(__xludf.DUMMYFUNCTION("""COMPUTED_VALUE"""),"Fled/Apprehended")</f>
        <v>Fled/Apprehended</v>
      </c>
      <c r="G977" s="5" t="str">
        <f ca="1">IFERROR(__xludf.DUMMYFUNCTION("""COMPUTED_VALUE"""),"No")</f>
        <v>No</v>
      </c>
      <c r="H977" s="5" t="str">
        <f ca="1">IFERROR(__xludf.DUMMYFUNCTION("""COMPUTED_VALUE"""),"None")</f>
        <v>None</v>
      </c>
    </row>
    <row r="978" spans="1:8" ht="13">
      <c r="A978" s="5" t="str">
        <f ca="1">IFERROR(__xludf.DUMMYFUNCTION("""COMPUTED_VALUE"""),"20190401ARPRP")</f>
        <v>20190401ARPRP</v>
      </c>
      <c r="B978" s="5">
        <f ca="1">IFERROR(__xludf.DUMMYFUNCTION("""COMPUTED_VALUE"""),14)</f>
        <v>14</v>
      </c>
      <c r="C978" s="5" t="str">
        <f ca="1">IFERROR(__xludf.DUMMYFUNCTION("""COMPUTED_VALUE"""),"Male")</f>
        <v>Male</v>
      </c>
      <c r="D978" s="5"/>
      <c r="E978" s="5" t="str">
        <f ca="1">IFERROR(__xludf.DUMMYFUNCTION("""COMPUTED_VALUE"""),"Student")</f>
        <v>Student</v>
      </c>
      <c r="F978" s="5" t="str">
        <f ca="1">IFERROR(__xludf.DUMMYFUNCTION("""COMPUTED_VALUE"""),"Apprehended/Killed by SRO")</f>
        <v>Apprehended/Killed by SRO</v>
      </c>
      <c r="G978" s="5" t="str">
        <f ca="1">IFERROR(__xludf.DUMMYFUNCTION("""COMPUTED_VALUE"""),"No")</f>
        <v>No</v>
      </c>
      <c r="H978" s="5" t="str">
        <f ca="1">IFERROR(__xludf.DUMMYFUNCTION("""COMPUTED_VALUE"""),"None")</f>
        <v>None</v>
      </c>
    </row>
    <row r="979" spans="1:8" ht="13">
      <c r="A979" s="5" t="str">
        <f ca="1">IFERROR(__xludf.DUMMYFUNCTION("""COMPUTED_VALUE"""),"20190327MSSVH")</f>
        <v>20190327MSSVH</v>
      </c>
      <c r="B979" s="5"/>
      <c r="C979" s="5"/>
      <c r="D979" s="5"/>
      <c r="E979" s="5" t="str">
        <f ca="1">IFERROR(__xludf.DUMMYFUNCTION("""COMPUTED_VALUE"""),"Unknown")</f>
        <v>Unknown</v>
      </c>
      <c r="F979" s="5" t="str">
        <f ca="1">IFERROR(__xludf.DUMMYFUNCTION("""COMPUTED_VALUE"""),"Fled/Escaped")</f>
        <v>Fled/Escaped</v>
      </c>
      <c r="G979" s="5" t="str">
        <f ca="1">IFERROR(__xludf.DUMMYFUNCTION("""COMPUTED_VALUE"""),"No")</f>
        <v>No</v>
      </c>
      <c r="H979" s="5" t="str">
        <f ca="1">IFERROR(__xludf.DUMMYFUNCTION("""COMPUTED_VALUE"""),"None")</f>
        <v>None</v>
      </c>
    </row>
    <row r="980" spans="1:8" ht="13">
      <c r="A980" s="5" t="str">
        <f ca="1">IFERROR(__xludf.DUMMYFUNCTION("""COMPUTED_VALUE"""),"20190327FLMAJ")</f>
        <v>20190327FLMAJ</v>
      </c>
      <c r="B980" s="5"/>
      <c r="C980" s="5"/>
      <c r="D980" s="5"/>
      <c r="E980" s="5"/>
      <c r="F980" s="5" t="str">
        <f ca="1">IFERROR(__xludf.DUMMYFUNCTION("""COMPUTED_VALUE"""),"Fled/Escaped")</f>
        <v>Fled/Escaped</v>
      </c>
      <c r="G980" s="5" t="str">
        <f ca="1">IFERROR(__xludf.DUMMYFUNCTION("""COMPUTED_VALUE"""),"No")</f>
        <v>No</v>
      </c>
      <c r="H980" s="5" t="str">
        <f ca="1">IFERROR(__xludf.DUMMYFUNCTION("""COMPUTED_VALUE"""),"None")</f>
        <v>None</v>
      </c>
    </row>
    <row r="981" spans="1:8" ht="13">
      <c r="A981" s="5" t="str">
        <f ca="1">IFERROR(__xludf.DUMMYFUNCTION("""COMPUTED_VALUE"""),"20190322ALBLB")</f>
        <v>20190322ALBLB</v>
      </c>
      <c r="B981" s="5">
        <f ca="1">IFERROR(__xludf.DUMMYFUNCTION("""COMPUTED_VALUE"""),74)</f>
        <v>74</v>
      </c>
      <c r="C981" s="5" t="str">
        <f ca="1">IFERROR(__xludf.DUMMYFUNCTION("""COMPUTED_VALUE"""),"Male")</f>
        <v>Male</v>
      </c>
      <c r="D981" s="5" t="str">
        <f ca="1">IFERROR(__xludf.DUMMYFUNCTION("""COMPUTED_VALUE"""),"White")</f>
        <v>White</v>
      </c>
      <c r="E981" s="5" t="str">
        <f ca="1">IFERROR(__xludf.DUMMYFUNCTION("""COMPUTED_VALUE"""),"Teacher")</f>
        <v>Teacher</v>
      </c>
      <c r="F981" s="5" t="str">
        <f ca="1">IFERROR(__xludf.DUMMYFUNCTION("""COMPUTED_VALUE"""),"Surrendered")</f>
        <v>Surrendered</v>
      </c>
      <c r="G981" s="5" t="str">
        <f ca="1">IFERROR(__xludf.DUMMYFUNCTION("""COMPUTED_VALUE"""),"No")</f>
        <v>No</v>
      </c>
      <c r="H981" s="5" t="str">
        <f ca="1">IFERROR(__xludf.DUMMYFUNCTION("""COMPUTED_VALUE"""),"Wounded")</f>
        <v>Wounded</v>
      </c>
    </row>
    <row r="982" spans="1:8" ht="13">
      <c r="A982" s="5" t="str">
        <f ca="1">IFERROR(__xludf.DUMMYFUNCTION("""COMPUTED_VALUE"""),"20190313FLLAO")</f>
        <v>20190313FLLAO</v>
      </c>
      <c r="B982" s="5">
        <f ca="1">IFERROR(__xludf.DUMMYFUNCTION("""COMPUTED_VALUE"""),17)</f>
        <v>17</v>
      </c>
      <c r="C982" s="5" t="str">
        <f ca="1">IFERROR(__xludf.DUMMYFUNCTION("""COMPUTED_VALUE"""),"Female")</f>
        <v>Female</v>
      </c>
      <c r="D982" s="5"/>
      <c r="E982" s="5" t="str">
        <f ca="1">IFERROR(__xludf.DUMMYFUNCTION("""COMPUTED_VALUE"""),"Student")</f>
        <v>Student</v>
      </c>
      <c r="F982" s="5" t="str">
        <f ca="1">IFERROR(__xludf.DUMMYFUNCTION("""COMPUTED_VALUE"""),"Suicide")</f>
        <v>Suicide</v>
      </c>
      <c r="G982" s="5" t="str">
        <f ca="1">IFERROR(__xludf.DUMMYFUNCTION("""COMPUTED_VALUE"""),"Yes")</f>
        <v>Yes</v>
      </c>
      <c r="H982" s="5" t="str">
        <f ca="1">IFERROR(__xludf.DUMMYFUNCTION("""COMPUTED_VALUE"""),"Suicide")</f>
        <v>Suicide</v>
      </c>
    </row>
    <row r="983" spans="1:8" ht="13">
      <c r="A983" s="5" t="str">
        <f ca="1">IFERROR(__xludf.DUMMYFUNCTION("""COMPUTED_VALUE"""),"20190301KSHIM")</f>
        <v>20190301KSHIM</v>
      </c>
      <c r="B983" s="5">
        <f ca="1">IFERROR(__xludf.DUMMYFUNCTION("""COMPUTED_VALUE"""),26)</f>
        <v>26</v>
      </c>
      <c r="C983" s="5" t="str">
        <f ca="1">IFERROR(__xludf.DUMMYFUNCTION("""COMPUTED_VALUE"""),"Male")</f>
        <v>Male</v>
      </c>
      <c r="D983" s="5" t="str">
        <f ca="1">IFERROR(__xludf.DUMMYFUNCTION("""COMPUTED_VALUE"""),"White")</f>
        <v>White</v>
      </c>
      <c r="E983" s="5" t="str">
        <f ca="1">IFERROR(__xludf.DUMMYFUNCTION("""COMPUTED_VALUE"""),"No Relation")</f>
        <v>No Relation</v>
      </c>
      <c r="F983" s="5" t="str">
        <f ca="1">IFERROR(__xludf.DUMMYFUNCTION("""COMPUTED_VALUE"""),"Apprehended/Killed by LE")</f>
        <v>Apprehended/Killed by LE</v>
      </c>
      <c r="G983" s="5" t="str">
        <f ca="1">IFERROR(__xludf.DUMMYFUNCTION("""COMPUTED_VALUE"""),"No")</f>
        <v>No</v>
      </c>
      <c r="H983" s="5" t="str">
        <f ca="1">IFERROR(__xludf.DUMMYFUNCTION("""COMPUTED_VALUE"""),"Wounded")</f>
        <v>Wounded</v>
      </c>
    </row>
    <row r="984" spans="1:8" ht="13">
      <c r="A984" s="5" t="str">
        <f ca="1">IFERROR(__xludf.DUMMYFUNCTION("""COMPUTED_VALUE"""),"20190226ALROM")</f>
        <v>20190226ALROM</v>
      </c>
      <c r="B984" s="5" t="str">
        <f ca="1">IFERROR(__xludf.DUMMYFUNCTION("""COMPUTED_VALUE"""),"Teen")</f>
        <v>Teen</v>
      </c>
      <c r="C984" s="5" t="str">
        <f ca="1">IFERROR(__xludf.DUMMYFUNCTION("""COMPUTED_VALUE"""),"Male")</f>
        <v>Male</v>
      </c>
      <c r="D984" s="5" t="str">
        <f ca="1">IFERROR(__xludf.DUMMYFUNCTION("""COMPUTED_VALUE"""),"Black")</f>
        <v>Black</v>
      </c>
      <c r="E984" s="5" t="str">
        <f ca="1">IFERROR(__xludf.DUMMYFUNCTION("""COMPUTED_VALUE"""),"Student")</f>
        <v>Student</v>
      </c>
      <c r="F984" s="5" t="str">
        <f ca="1">IFERROR(__xludf.DUMMYFUNCTION("""COMPUTED_VALUE"""),"Fled/Apprehended")</f>
        <v>Fled/Apprehended</v>
      </c>
      <c r="G984" s="5" t="str">
        <f ca="1">IFERROR(__xludf.DUMMYFUNCTION("""COMPUTED_VALUE"""),"No")</f>
        <v>No</v>
      </c>
      <c r="H984" s="5" t="str">
        <f ca="1">IFERROR(__xludf.DUMMYFUNCTION("""COMPUTED_VALUE"""),"None")</f>
        <v>None</v>
      </c>
    </row>
    <row r="985" spans="1:8" ht="13">
      <c r="A985" s="5" t="str">
        <f ca="1">IFERROR(__xludf.DUMMYFUNCTION("""COMPUTED_VALUE"""),"20190217COEAA")</f>
        <v>20190217COEAA</v>
      </c>
      <c r="B985" s="5">
        <f ca="1">IFERROR(__xludf.DUMMYFUNCTION("""COMPUTED_VALUE"""),31)</f>
        <v>31</v>
      </c>
      <c r="C985" s="5" t="str">
        <f ca="1">IFERROR(__xludf.DUMMYFUNCTION("""COMPUTED_VALUE"""),"Male")</f>
        <v>Male</v>
      </c>
      <c r="D985" s="5" t="str">
        <f ca="1">IFERROR(__xludf.DUMMYFUNCTION("""COMPUTED_VALUE"""),"Black")</f>
        <v>Black</v>
      </c>
      <c r="E985" s="5" t="str">
        <f ca="1">IFERROR(__xludf.DUMMYFUNCTION("""COMPUTED_VALUE"""),"Other Staff")</f>
        <v>Other Staff</v>
      </c>
      <c r="F985" s="5" t="str">
        <f ca="1">IFERROR(__xludf.DUMMYFUNCTION("""COMPUTED_VALUE"""),"Surrendered")</f>
        <v>Surrendered</v>
      </c>
      <c r="G985" s="5" t="str">
        <f ca="1">IFERROR(__xludf.DUMMYFUNCTION("""COMPUTED_VALUE"""),"No")</f>
        <v>No</v>
      </c>
      <c r="H985" s="5" t="str">
        <f ca="1">IFERROR(__xludf.DUMMYFUNCTION("""COMPUTED_VALUE"""),"None")</f>
        <v>None</v>
      </c>
    </row>
    <row r="986" spans="1:8" ht="13">
      <c r="A986" s="5" t="str">
        <f ca="1">IFERROR(__xludf.DUMMYFUNCTION("""COMPUTED_VALUE"""),"20190214NMV.R")</f>
        <v>20190214NMV.R</v>
      </c>
      <c r="B986" s="5">
        <f ca="1">IFERROR(__xludf.DUMMYFUNCTION("""COMPUTED_VALUE"""),16)</f>
        <v>16</v>
      </c>
      <c r="C986" s="5" t="str">
        <f ca="1">IFERROR(__xludf.DUMMYFUNCTION("""COMPUTED_VALUE"""),"Male")</f>
        <v>Male</v>
      </c>
      <c r="D986" s="5"/>
      <c r="E986" s="5" t="str">
        <f ca="1">IFERROR(__xludf.DUMMYFUNCTION("""COMPUTED_VALUE"""),"Student")</f>
        <v>Student</v>
      </c>
      <c r="F986" s="5" t="str">
        <f ca="1">IFERROR(__xludf.DUMMYFUNCTION("""COMPUTED_VALUE"""),"Fled/Apprehended")</f>
        <v>Fled/Apprehended</v>
      </c>
      <c r="G986" s="5" t="str">
        <f ca="1">IFERROR(__xludf.DUMMYFUNCTION("""COMPUTED_VALUE"""),"No")</f>
        <v>No</v>
      </c>
      <c r="H986" s="5" t="str">
        <f ca="1">IFERROR(__xludf.DUMMYFUNCTION("""COMPUTED_VALUE"""),"None")</f>
        <v>None</v>
      </c>
    </row>
    <row r="987" spans="1:8" ht="13">
      <c r="A987" s="5" t="str">
        <f ca="1">IFERROR(__xludf.DUMMYFUNCTION("""COMPUTED_VALUE"""),"20190212MOCEK")</f>
        <v>20190212MOCEK</v>
      </c>
      <c r="B987" s="5">
        <f ca="1">IFERROR(__xludf.DUMMYFUNCTION("""COMPUTED_VALUE"""),21)</f>
        <v>21</v>
      </c>
      <c r="C987" s="5" t="str">
        <f ca="1">IFERROR(__xludf.DUMMYFUNCTION("""COMPUTED_VALUE"""),"Female")</f>
        <v>Female</v>
      </c>
      <c r="D987" s="5" t="str">
        <f ca="1">IFERROR(__xludf.DUMMYFUNCTION("""COMPUTED_VALUE"""),"Black")</f>
        <v>Black</v>
      </c>
      <c r="E987" s="5" t="str">
        <f ca="1">IFERROR(__xludf.DUMMYFUNCTION("""COMPUTED_VALUE"""),"Nonstudent Using Athletic Facilities/Attending Game")</f>
        <v>Nonstudent Using Athletic Facilities/Attending Game</v>
      </c>
      <c r="F987" s="5" t="str">
        <f ca="1">IFERROR(__xludf.DUMMYFUNCTION("""COMPUTED_VALUE"""),"Fled/Apprehended")</f>
        <v>Fled/Apprehended</v>
      </c>
      <c r="G987" s="5" t="str">
        <f ca="1">IFERROR(__xludf.DUMMYFUNCTION("""COMPUTED_VALUE"""),"No")</f>
        <v>No</v>
      </c>
      <c r="H987" s="5" t="str">
        <f ca="1">IFERROR(__xludf.DUMMYFUNCTION("""COMPUTED_VALUE"""),"None")</f>
        <v>None</v>
      </c>
    </row>
    <row r="988" spans="1:8" ht="13">
      <c r="A988" s="5" t="str">
        <f ca="1">IFERROR(__xludf.DUMMYFUNCTION("""COMPUTED_VALUE"""),"20190208MDFRB")</f>
        <v>20190208MDFRB</v>
      </c>
      <c r="B988" s="5">
        <f ca="1">IFERROR(__xludf.DUMMYFUNCTION("""COMPUTED_VALUE"""),25)</f>
        <v>25</v>
      </c>
      <c r="C988" s="5" t="str">
        <f ca="1">IFERROR(__xludf.DUMMYFUNCTION("""COMPUTED_VALUE"""),"Male")</f>
        <v>Male</v>
      </c>
      <c r="D988" s="5" t="str">
        <f ca="1">IFERROR(__xludf.DUMMYFUNCTION("""COMPUTED_VALUE"""),"Black")</f>
        <v>Black</v>
      </c>
      <c r="E988" s="5" t="str">
        <f ca="1">IFERROR(__xludf.DUMMYFUNCTION("""COMPUTED_VALUE"""),"No Relation")</f>
        <v>No Relation</v>
      </c>
      <c r="F988" s="5" t="str">
        <f ca="1">IFERROR(__xludf.DUMMYFUNCTION("""COMPUTED_VALUE"""),"Apprehended/Killed by LE")</f>
        <v>Apprehended/Killed by LE</v>
      </c>
      <c r="G988" s="5" t="str">
        <f ca="1">IFERROR(__xludf.DUMMYFUNCTION("""COMPUTED_VALUE"""),"No")</f>
        <v>No</v>
      </c>
      <c r="H988" s="5" t="str">
        <f ca="1">IFERROR(__xludf.DUMMYFUNCTION("""COMPUTED_VALUE"""),"None")</f>
        <v>None</v>
      </c>
    </row>
    <row r="989" spans="1:8" ht="13">
      <c r="A989" s="5" t="str">
        <f ca="1">IFERROR(__xludf.DUMMYFUNCTION("""COMPUTED_VALUE"""),"20190205MNMIM")</f>
        <v>20190205MNMIM</v>
      </c>
      <c r="B989" s="5">
        <f ca="1">IFERROR(__xludf.DUMMYFUNCTION("""COMPUTED_VALUE"""),31)</f>
        <v>31</v>
      </c>
      <c r="C989" s="5" t="str">
        <f ca="1">IFERROR(__xludf.DUMMYFUNCTION("""COMPUTED_VALUE"""),"Male")</f>
        <v>Male</v>
      </c>
      <c r="D989" s="5"/>
      <c r="E989" s="5" t="str">
        <f ca="1">IFERROR(__xludf.DUMMYFUNCTION("""COMPUTED_VALUE"""),"No Relation")</f>
        <v>No Relation</v>
      </c>
      <c r="F989" s="5" t="str">
        <f ca="1">IFERROR(__xludf.DUMMYFUNCTION("""COMPUTED_VALUE"""),"Apprehended/Killed by LE")</f>
        <v>Apprehended/Killed by LE</v>
      </c>
      <c r="G989" s="5" t="str">
        <f ca="1">IFERROR(__xludf.DUMMYFUNCTION("""COMPUTED_VALUE"""),"No")</f>
        <v>No</v>
      </c>
      <c r="H989" s="5" t="str">
        <f ca="1">IFERROR(__xludf.DUMMYFUNCTION("""COMPUTED_VALUE"""),"None")</f>
        <v>None</v>
      </c>
    </row>
    <row r="990" spans="1:8" ht="13">
      <c r="A990" s="5" t="str">
        <f ca="1">IFERROR(__xludf.DUMMYFUNCTION("""COMPUTED_VALUE"""),"20190131TXATA")</f>
        <v>20190131TXATA</v>
      </c>
      <c r="B990" s="5">
        <f ca="1">IFERROR(__xludf.DUMMYFUNCTION("""COMPUTED_VALUE"""),16)</f>
        <v>16</v>
      </c>
      <c r="C990" s="5" t="str">
        <f ca="1">IFERROR(__xludf.DUMMYFUNCTION("""COMPUTED_VALUE"""),"Male")</f>
        <v>Male</v>
      </c>
      <c r="D990" s="5"/>
      <c r="E990" s="5" t="str">
        <f ca="1">IFERROR(__xludf.DUMMYFUNCTION("""COMPUTED_VALUE"""),"Student")</f>
        <v>Student</v>
      </c>
      <c r="F990" s="5" t="str">
        <f ca="1">IFERROR(__xludf.DUMMYFUNCTION("""COMPUTED_VALUE"""),"Fled/Escaped")</f>
        <v>Fled/Escaped</v>
      </c>
      <c r="G990" s="5" t="str">
        <f ca="1">IFERROR(__xludf.DUMMYFUNCTION("""COMPUTED_VALUE"""),"No")</f>
        <v>No</v>
      </c>
      <c r="H990" s="5" t="str">
        <f ca="1">IFERROR(__xludf.DUMMYFUNCTION("""COMPUTED_VALUE"""),"None")</f>
        <v>None</v>
      </c>
    </row>
    <row r="991" spans="1:8" ht="13">
      <c r="A991" s="5" t="str">
        <f ca="1">IFERROR(__xludf.DUMMYFUNCTION("""COMPUTED_VALUE"""),"20190131TNMAM")</f>
        <v>20190131TNMAM</v>
      </c>
      <c r="B991" s="5"/>
      <c r="C991" s="5"/>
      <c r="D991" s="5"/>
      <c r="E991" s="5" t="str">
        <f ca="1">IFERROR(__xludf.DUMMYFUNCTION("""COMPUTED_VALUE"""),"Unknown")</f>
        <v>Unknown</v>
      </c>
      <c r="F991" s="5" t="str">
        <f ca="1">IFERROR(__xludf.DUMMYFUNCTION("""COMPUTED_VALUE"""),"Fled/Escaped")</f>
        <v>Fled/Escaped</v>
      </c>
      <c r="G991" s="5" t="str">
        <f ca="1">IFERROR(__xludf.DUMMYFUNCTION("""COMPUTED_VALUE"""),"No")</f>
        <v>No</v>
      </c>
      <c r="H991" s="5" t="str">
        <f ca="1">IFERROR(__xludf.DUMMYFUNCTION("""COMPUTED_VALUE"""),"None")</f>
        <v>None</v>
      </c>
    </row>
    <row r="992" spans="1:8" ht="13">
      <c r="A992" s="5" t="str">
        <f ca="1">IFERROR(__xludf.DUMMYFUNCTION("""COMPUTED_VALUE"""),"20190130GAMIL")</f>
        <v>20190130GAMIL</v>
      </c>
      <c r="B992" s="5">
        <f ca="1">IFERROR(__xludf.DUMMYFUNCTION("""COMPUTED_VALUE"""),16)</f>
        <v>16</v>
      </c>
      <c r="C992" s="5" t="str">
        <f ca="1">IFERROR(__xludf.DUMMYFUNCTION("""COMPUTED_VALUE"""),"Male")</f>
        <v>Male</v>
      </c>
      <c r="D992" s="5"/>
      <c r="E992" s="5" t="str">
        <f ca="1">IFERROR(__xludf.DUMMYFUNCTION("""COMPUTED_VALUE"""),"No Relation")</f>
        <v>No Relation</v>
      </c>
      <c r="F992" s="5" t="str">
        <f ca="1">IFERROR(__xludf.DUMMYFUNCTION("""COMPUTED_VALUE"""),"Fled/Escaped")</f>
        <v>Fled/Escaped</v>
      </c>
      <c r="G992" s="5" t="str">
        <f ca="1">IFERROR(__xludf.DUMMYFUNCTION("""COMPUTED_VALUE"""),"No")</f>
        <v>No</v>
      </c>
      <c r="H992" s="5" t="str">
        <f ca="1">IFERROR(__xludf.DUMMYFUNCTION("""COMPUTED_VALUE"""),"None")</f>
        <v>None</v>
      </c>
    </row>
    <row r="993" spans="1:8" ht="13">
      <c r="A993" s="5" t="str">
        <f ca="1">IFERROR(__xludf.DUMMYFUNCTION("""COMPUTED_VALUE"""),"20190127NVRER")</f>
        <v>20190127NVRER</v>
      </c>
      <c r="B993" s="5">
        <f ca="1">IFERROR(__xludf.DUMMYFUNCTION("""COMPUTED_VALUE"""),35)</f>
        <v>35</v>
      </c>
      <c r="C993" s="5" t="str">
        <f ca="1">IFERROR(__xludf.DUMMYFUNCTION("""COMPUTED_VALUE"""),"Male")</f>
        <v>Male</v>
      </c>
      <c r="D993" s="5" t="str">
        <f ca="1">IFERROR(__xludf.DUMMYFUNCTION("""COMPUTED_VALUE"""),"White")</f>
        <v>White</v>
      </c>
      <c r="E993" s="5" t="str">
        <f ca="1">IFERROR(__xludf.DUMMYFUNCTION("""COMPUTED_VALUE"""),"No Relation")</f>
        <v>No Relation</v>
      </c>
      <c r="F993" s="5" t="str">
        <f ca="1">IFERROR(__xludf.DUMMYFUNCTION("""COMPUTED_VALUE"""),"Apprehended/Killed by LE")</f>
        <v>Apprehended/Killed by LE</v>
      </c>
      <c r="G993" s="5" t="str">
        <f ca="1">IFERROR(__xludf.DUMMYFUNCTION("""COMPUTED_VALUE"""),"No")</f>
        <v>No</v>
      </c>
      <c r="H993" s="5" t="str">
        <f ca="1">IFERROR(__xludf.DUMMYFUNCTION("""COMPUTED_VALUE"""),"Wounded")</f>
        <v>Wounded</v>
      </c>
    </row>
    <row r="994" spans="1:8" ht="13">
      <c r="A994" s="5" t="str">
        <f ca="1">IFERROR(__xludf.DUMMYFUNCTION("""COMPUTED_VALUE"""),"20190125TNMAM")</f>
        <v>20190125TNMAM</v>
      </c>
      <c r="B994" s="5">
        <f ca="1">IFERROR(__xludf.DUMMYFUNCTION("""COMPUTED_VALUE"""),16)</f>
        <v>16</v>
      </c>
      <c r="C994" s="5" t="str">
        <f ca="1">IFERROR(__xludf.DUMMYFUNCTION("""COMPUTED_VALUE"""),"Male")</f>
        <v>Male</v>
      </c>
      <c r="D994" s="5" t="str">
        <f ca="1">IFERROR(__xludf.DUMMYFUNCTION("""COMPUTED_VALUE"""),"Black")</f>
        <v>Black</v>
      </c>
      <c r="E994" s="5" t="str">
        <f ca="1">IFERROR(__xludf.DUMMYFUNCTION("""COMPUTED_VALUE"""),"Unknown")</f>
        <v>Unknown</v>
      </c>
      <c r="F994" s="5" t="str">
        <f ca="1">IFERROR(__xludf.DUMMYFUNCTION("""COMPUTED_VALUE"""),"Fled/Apprehended")</f>
        <v>Fled/Apprehended</v>
      </c>
      <c r="G994" s="5" t="str">
        <f ca="1">IFERROR(__xludf.DUMMYFUNCTION("""COMPUTED_VALUE"""),"No")</f>
        <v>No</v>
      </c>
      <c r="H994" s="5" t="str">
        <f ca="1">IFERROR(__xludf.DUMMYFUNCTION("""COMPUTED_VALUE"""),"None")</f>
        <v>None</v>
      </c>
    </row>
    <row r="995" spans="1:8" ht="13">
      <c r="A995" s="5" t="str">
        <f ca="1">IFERROR(__xludf.DUMMYFUNCTION("""COMPUTED_VALUE"""),"20190125TNMAM")</f>
        <v>20190125TNMAM</v>
      </c>
      <c r="B995" s="5">
        <f ca="1">IFERROR(__xludf.DUMMYFUNCTION("""COMPUTED_VALUE"""),16)</f>
        <v>16</v>
      </c>
      <c r="C995" s="5" t="str">
        <f ca="1">IFERROR(__xludf.DUMMYFUNCTION("""COMPUTED_VALUE"""),"Male")</f>
        <v>Male</v>
      </c>
      <c r="D995" s="5" t="str">
        <f ca="1">IFERROR(__xludf.DUMMYFUNCTION("""COMPUTED_VALUE"""),"Black")</f>
        <v>Black</v>
      </c>
      <c r="E995" s="5" t="str">
        <f ca="1">IFERROR(__xludf.DUMMYFUNCTION("""COMPUTED_VALUE"""),"Unknown")</f>
        <v>Unknown</v>
      </c>
      <c r="F995" s="5" t="str">
        <f ca="1">IFERROR(__xludf.DUMMYFUNCTION("""COMPUTED_VALUE"""),"Fled/Apprehended")</f>
        <v>Fled/Apprehended</v>
      </c>
      <c r="G995" s="5" t="str">
        <f ca="1">IFERROR(__xludf.DUMMYFUNCTION("""COMPUTED_VALUE"""),"No")</f>
        <v>No</v>
      </c>
      <c r="H995" s="5" t="str">
        <f ca="1">IFERROR(__xludf.DUMMYFUNCTION("""COMPUTED_VALUE"""),"None")</f>
        <v>None</v>
      </c>
    </row>
    <row r="996" spans="1:8" ht="13">
      <c r="A996" s="5" t="str">
        <f ca="1">IFERROR(__xludf.DUMMYFUNCTION("""COMPUTED_VALUE"""),"20190125ALDAM")</f>
        <v>20190125ALDAM</v>
      </c>
      <c r="B996" s="5">
        <f ca="1">IFERROR(__xludf.DUMMYFUNCTION("""COMPUTED_VALUE"""),15)</f>
        <v>15</v>
      </c>
      <c r="C996" s="5" t="str">
        <f ca="1">IFERROR(__xludf.DUMMYFUNCTION("""COMPUTED_VALUE"""),"Male")</f>
        <v>Male</v>
      </c>
      <c r="D996" s="5"/>
      <c r="E996" s="5" t="str">
        <f ca="1">IFERROR(__xludf.DUMMYFUNCTION("""COMPUTED_VALUE"""),"Student")</f>
        <v>Student</v>
      </c>
      <c r="F996" s="5" t="str">
        <f ca="1">IFERROR(__xludf.DUMMYFUNCTION("""COMPUTED_VALUE"""),"Fled/Escaped")</f>
        <v>Fled/Escaped</v>
      </c>
      <c r="G996" s="5" t="str">
        <f ca="1">IFERROR(__xludf.DUMMYFUNCTION("""COMPUTED_VALUE"""),"No")</f>
        <v>No</v>
      </c>
      <c r="H996" s="5" t="str">
        <f ca="1">IFERROR(__xludf.DUMMYFUNCTION("""COMPUTED_VALUE"""),"None")</f>
        <v>None</v>
      </c>
    </row>
    <row r="997" spans="1:8" ht="13">
      <c r="A997" s="5" t="str">
        <f ca="1">IFERROR(__xludf.DUMMYFUNCTION("""COMPUTED_VALUE"""),"20190123LASOS")</f>
        <v>20190123LASOS</v>
      </c>
      <c r="B997" s="5" t="str">
        <f ca="1">IFERROR(__xludf.DUMMYFUNCTION("""COMPUTED_VALUE"""),"Adult")</f>
        <v>Adult</v>
      </c>
      <c r="C997" s="5"/>
      <c r="D997" s="5"/>
      <c r="E997" s="5" t="str">
        <f ca="1">IFERROR(__xludf.DUMMYFUNCTION("""COMPUTED_VALUE"""),"No Relation")</f>
        <v>No Relation</v>
      </c>
      <c r="F997" s="5" t="str">
        <f ca="1">IFERROR(__xludf.DUMMYFUNCTION("""COMPUTED_VALUE"""),"Fled/Escaped")</f>
        <v>Fled/Escaped</v>
      </c>
      <c r="G997" s="5" t="str">
        <f ca="1">IFERROR(__xludf.DUMMYFUNCTION("""COMPUTED_VALUE"""),"No")</f>
        <v>No</v>
      </c>
      <c r="H997" s="5" t="str">
        <f ca="1">IFERROR(__xludf.DUMMYFUNCTION("""COMPUTED_VALUE"""),"None")</f>
        <v>None</v>
      </c>
    </row>
    <row r="998" spans="1:8" ht="13">
      <c r="A998" s="5" t="str">
        <f ca="1">IFERROR(__xludf.DUMMYFUNCTION("""COMPUTED_VALUE"""),"20190119KSLAO")</f>
        <v>20190119KSLAO</v>
      </c>
      <c r="B998" s="5"/>
      <c r="C998" s="5" t="str">
        <f ca="1">IFERROR(__xludf.DUMMYFUNCTION("""COMPUTED_VALUE"""),"Male")</f>
        <v>Male</v>
      </c>
      <c r="D998" s="5"/>
      <c r="E998" s="5" t="str">
        <f ca="1">IFERROR(__xludf.DUMMYFUNCTION("""COMPUTED_VALUE"""),"No Relation")</f>
        <v>No Relation</v>
      </c>
      <c r="F998" s="5" t="str">
        <f ca="1">IFERROR(__xludf.DUMMYFUNCTION("""COMPUTED_VALUE"""),"Fled/Escaped")</f>
        <v>Fled/Escaped</v>
      </c>
      <c r="G998" s="5" t="str">
        <f ca="1">IFERROR(__xludf.DUMMYFUNCTION("""COMPUTED_VALUE"""),"No")</f>
        <v>No</v>
      </c>
      <c r="H998" s="5" t="str">
        <f ca="1">IFERROR(__xludf.DUMMYFUNCTION("""COMPUTED_VALUE"""),"None")</f>
        <v>None</v>
      </c>
    </row>
    <row r="999" spans="1:8" ht="13">
      <c r="A999" s="5" t="str">
        <f ca="1">IFERROR(__xludf.DUMMYFUNCTION("""COMPUTED_VALUE"""),"20190118NCSHD")</f>
        <v>20190118NCSHD</v>
      </c>
      <c r="B999" s="5"/>
      <c r="C999" s="5" t="str">
        <f ca="1">IFERROR(__xludf.DUMMYFUNCTION("""COMPUTED_VALUE"""),"Male")</f>
        <v>Male</v>
      </c>
      <c r="D999" s="5"/>
      <c r="E999" s="5" t="str">
        <f ca="1">IFERROR(__xludf.DUMMYFUNCTION("""COMPUTED_VALUE"""),"No Relation")</f>
        <v>No Relation</v>
      </c>
      <c r="F999" s="5" t="str">
        <f ca="1">IFERROR(__xludf.DUMMYFUNCTION("""COMPUTED_VALUE"""),"Fled/Escaped")</f>
        <v>Fled/Escaped</v>
      </c>
      <c r="G999" s="5" t="str">
        <f ca="1">IFERROR(__xludf.DUMMYFUNCTION("""COMPUTED_VALUE"""),"No")</f>
        <v>No</v>
      </c>
      <c r="H999" s="5" t="str">
        <f ca="1">IFERROR(__xludf.DUMMYFUNCTION("""COMPUTED_VALUE"""),"None")</f>
        <v>None</v>
      </c>
    </row>
    <row r="1000" spans="1:8" ht="13">
      <c r="A1000" s="5" t="str">
        <f ca="1">IFERROR(__xludf.DUMMYFUNCTION("""COMPUTED_VALUE"""),"20190118MOHAS")</f>
        <v>20190118MOHAS</v>
      </c>
      <c r="B1000" s="5"/>
      <c r="C1000" s="5" t="str">
        <f ca="1">IFERROR(__xludf.DUMMYFUNCTION("""COMPUTED_VALUE"""),"Male")</f>
        <v>Male</v>
      </c>
      <c r="D1000" s="5"/>
      <c r="E1000" s="5" t="str">
        <f ca="1">IFERROR(__xludf.DUMMYFUNCTION("""COMPUTED_VALUE"""),"Unknown")</f>
        <v>Unknown</v>
      </c>
      <c r="F1000" s="5" t="str">
        <f ca="1">IFERROR(__xludf.DUMMYFUNCTION("""COMPUTED_VALUE"""),"Fled/Escaped")</f>
        <v>Fled/Escaped</v>
      </c>
      <c r="G1000" s="5" t="str">
        <f ca="1">IFERROR(__xludf.DUMMYFUNCTION("""COMPUTED_VALUE"""),"No")</f>
        <v>No</v>
      </c>
      <c r="H1000" s="5" t="str">
        <f ca="1">IFERROR(__xludf.DUMMYFUNCTION("""COMPUTED_VALUE"""),"None")</f>
        <v>None</v>
      </c>
    </row>
    <row r="1001" spans="1:8" ht="13">
      <c r="A1001" s="5" t="str">
        <f ca="1">IFERROR(__xludf.DUMMYFUNCTION("""COMPUTED_VALUE"""),"20190118ALCET")</f>
        <v>20190118ALCET</v>
      </c>
      <c r="B1001" s="5">
        <f ca="1">IFERROR(__xludf.DUMMYFUNCTION("""COMPUTED_VALUE"""),19)</f>
        <v>19</v>
      </c>
      <c r="C1001" s="5" t="str">
        <f ca="1">IFERROR(__xludf.DUMMYFUNCTION("""COMPUTED_VALUE"""),"Male")</f>
        <v>Male</v>
      </c>
      <c r="D1001" s="5" t="str">
        <f ca="1">IFERROR(__xludf.DUMMYFUNCTION("""COMPUTED_VALUE"""),"Black")</f>
        <v>Black</v>
      </c>
      <c r="E1001" s="5" t="str">
        <f ca="1">IFERROR(__xludf.DUMMYFUNCTION("""COMPUTED_VALUE"""),"No Relation")</f>
        <v>No Relation</v>
      </c>
      <c r="F1001" s="5" t="str">
        <f ca="1">IFERROR(__xludf.DUMMYFUNCTION("""COMPUTED_VALUE"""),"Fled/Apprehended")</f>
        <v>Fled/Apprehended</v>
      </c>
      <c r="G1001" s="5" t="str">
        <f ca="1">IFERROR(__xludf.DUMMYFUNCTION("""COMPUTED_VALUE"""),"No")</f>
        <v>No</v>
      </c>
      <c r="H1001" s="5" t="str">
        <f ca="1">IFERROR(__xludf.DUMMYFUNCTION("""COMPUTED_VALUE"""),"None")</f>
        <v>None</v>
      </c>
    </row>
    <row r="1002" spans="1:8" ht="13">
      <c r="A1002" s="5" t="str">
        <f ca="1">IFERROR(__xludf.DUMMYFUNCTION("""COMPUTED_VALUE"""),"20190111ORCAE")</f>
        <v>20190111ORCAE</v>
      </c>
      <c r="B1002" s="5">
        <f ca="1">IFERROR(__xludf.DUMMYFUNCTION("""COMPUTED_VALUE"""),30)</f>
        <v>30</v>
      </c>
      <c r="C1002" s="5" t="str">
        <f ca="1">IFERROR(__xludf.DUMMYFUNCTION("""COMPUTED_VALUE"""),"Male")</f>
        <v>Male</v>
      </c>
      <c r="D1002" s="5"/>
      <c r="E1002" s="5" t="str">
        <f ca="1">IFERROR(__xludf.DUMMYFUNCTION("""COMPUTED_VALUE"""),"Parent")</f>
        <v>Parent</v>
      </c>
      <c r="F1002" s="5" t="str">
        <f ca="1">IFERROR(__xludf.DUMMYFUNCTION("""COMPUTED_VALUE"""),"Apprehended/Killed by LE")</f>
        <v>Apprehended/Killed by LE</v>
      </c>
      <c r="G1002" s="5" t="str">
        <f ca="1">IFERROR(__xludf.DUMMYFUNCTION("""COMPUTED_VALUE"""),"No")</f>
        <v>No</v>
      </c>
      <c r="H1002" s="5" t="str">
        <f ca="1">IFERROR(__xludf.DUMMYFUNCTION("""COMPUTED_VALUE"""),"None")</f>
        <v>None</v>
      </c>
    </row>
    <row r="1003" spans="1:8" ht="13">
      <c r="A1003" s="5" t="str">
        <f ca="1">IFERROR(__xludf.DUMMYFUNCTION("""COMPUTED_VALUE"""),"20190107CACEB")</f>
        <v>20190107CACEB</v>
      </c>
      <c r="B1003" s="5"/>
      <c r="C1003" s="5"/>
      <c r="D1003" s="5"/>
      <c r="E1003" s="5" t="str">
        <f ca="1">IFERROR(__xludf.DUMMYFUNCTION("""COMPUTED_VALUE"""),"Unknown")</f>
        <v>Unknown</v>
      </c>
      <c r="F1003" s="5" t="str">
        <f ca="1">IFERROR(__xludf.DUMMYFUNCTION("""COMPUTED_VALUE"""),"Fled/Escaped")</f>
        <v>Fled/Escaped</v>
      </c>
      <c r="G1003" s="5" t="str">
        <f ca="1">IFERROR(__xludf.DUMMYFUNCTION("""COMPUTED_VALUE"""),"No")</f>
        <v>No</v>
      </c>
      <c r="H1003" s="5" t="str">
        <f ca="1">IFERROR(__xludf.DUMMYFUNCTION("""COMPUTED_VALUE"""),"None")</f>
        <v>None</v>
      </c>
    </row>
    <row r="1004" spans="1:8" ht="13">
      <c r="A1004" s="5" t="str">
        <f ca="1">IFERROR(__xludf.DUMMYFUNCTION("""COMPUTED_VALUE"""),"20181218DEAIG")</f>
        <v>20181218DEAIG</v>
      </c>
      <c r="B1004" s="5"/>
      <c r="C1004" s="5"/>
      <c r="D1004" s="5"/>
      <c r="E1004" s="5" t="str">
        <f ca="1">IFERROR(__xludf.DUMMYFUNCTION("""COMPUTED_VALUE"""),"Unknown")</f>
        <v>Unknown</v>
      </c>
      <c r="F1004" s="5" t="str">
        <f ca="1">IFERROR(__xludf.DUMMYFUNCTION("""COMPUTED_VALUE"""),"Fled/Escaped")</f>
        <v>Fled/Escaped</v>
      </c>
      <c r="G1004" s="5" t="str">
        <f ca="1">IFERROR(__xludf.DUMMYFUNCTION("""COMPUTED_VALUE"""),"No")</f>
        <v>No</v>
      </c>
      <c r="H1004" s="5" t="str">
        <f ca="1">IFERROR(__xludf.DUMMYFUNCTION("""COMPUTED_VALUE"""),"None")</f>
        <v>None</v>
      </c>
    </row>
    <row r="1005" spans="1:8" ht="13">
      <c r="A1005" s="5" t="str">
        <f ca="1">IFERROR(__xludf.DUMMYFUNCTION("""COMPUTED_VALUE"""),"20181214MOWIK")</f>
        <v>20181214MOWIK</v>
      </c>
      <c r="B1005" s="5" t="str">
        <f ca="1">IFERROR(__xludf.DUMMYFUNCTION("""COMPUTED_VALUE"""),"Teen")</f>
        <v>Teen</v>
      </c>
      <c r="C1005" s="5" t="str">
        <f ca="1">IFERROR(__xludf.DUMMYFUNCTION("""COMPUTED_VALUE"""),"Male")</f>
        <v>Male</v>
      </c>
      <c r="D1005" s="5"/>
      <c r="E1005" s="5" t="str">
        <f ca="1">IFERROR(__xludf.DUMMYFUNCTION("""COMPUTED_VALUE"""),"Student")</f>
        <v>Student</v>
      </c>
      <c r="F1005" s="5" t="str">
        <f ca="1">IFERROR(__xludf.DUMMYFUNCTION("""COMPUTED_VALUE"""),"Fled/Escaped")</f>
        <v>Fled/Escaped</v>
      </c>
      <c r="G1005" s="5" t="str">
        <f ca="1">IFERROR(__xludf.DUMMYFUNCTION("""COMPUTED_VALUE"""),"No")</f>
        <v>No</v>
      </c>
      <c r="H1005" s="5" t="str">
        <f ca="1">IFERROR(__xludf.DUMMYFUNCTION("""COMPUTED_VALUE"""),"None")</f>
        <v>None</v>
      </c>
    </row>
    <row r="1006" spans="1:8" ht="13">
      <c r="A1006" s="5" t="str">
        <f ca="1">IFERROR(__xludf.DUMMYFUNCTION("""COMPUTED_VALUE"""),"20181213INDER")</f>
        <v>20181213INDER</v>
      </c>
      <c r="B1006" s="5">
        <f ca="1">IFERROR(__xludf.DUMMYFUNCTION("""COMPUTED_VALUE"""),14)</f>
        <v>14</v>
      </c>
      <c r="C1006" s="5" t="str">
        <f ca="1">IFERROR(__xludf.DUMMYFUNCTION("""COMPUTED_VALUE"""),"Male")</f>
        <v>Male</v>
      </c>
      <c r="D1006" s="5"/>
      <c r="E1006" s="5" t="str">
        <f ca="1">IFERROR(__xludf.DUMMYFUNCTION("""COMPUTED_VALUE"""),"Former Student")</f>
        <v>Former Student</v>
      </c>
      <c r="F1006" s="5" t="str">
        <f ca="1">IFERROR(__xludf.DUMMYFUNCTION("""COMPUTED_VALUE"""),"Suicide")</f>
        <v>Suicide</v>
      </c>
      <c r="G1006" s="5" t="str">
        <f ca="1">IFERROR(__xludf.DUMMYFUNCTION("""COMPUTED_VALUE"""),"Yes")</f>
        <v>Yes</v>
      </c>
      <c r="H1006" s="5" t="str">
        <f ca="1">IFERROR(__xludf.DUMMYFUNCTION("""COMPUTED_VALUE"""),"Suicide")</f>
        <v>Suicide</v>
      </c>
    </row>
    <row r="1007" spans="1:8" ht="13">
      <c r="A1007" s="5" t="str">
        <f ca="1">IFERROR(__xludf.DUMMYFUNCTION("""COMPUTED_VALUE"""),"20181211KYCAC")</f>
        <v>20181211KYCAC</v>
      </c>
      <c r="B1007" s="5"/>
      <c r="C1007" s="5"/>
      <c r="D1007" s="5"/>
      <c r="E1007" s="5" t="str">
        <f ca="1">IFERROR(__xludf.DUMMYFUNCTION("""COMPUTED_VALUE"""),"No Relation")</f>
        <v>No Relation</v>
      </c>
      <c r="F1007" s="5" t="str">
        <f ca="1">IFERROR(__xludf.DUMMYFUNCTION("""COMPUTED_VALUE"""),"Fled/Escaped")</f>
        <v>Fled/Escaped</v>
      </c>
      <c r="G1007" s="5" t="str">
        <f ca="1">IFERROR(__xludf.DUMMYFUNCTION("""COMPUTED_VALUE"""),"No")</f>
        <v>No</v>
      </c>
      <c r="H1007" s="5" t="str">
        <f ca="1">IFERROR(__xludf.DUMMYFUNCTION("""COMPUTED_VALUE"""),"None")</f>
        <v>None</v>
      </c>
    </row>
    <row r="1008" spans="1:8" ht="13">
      <c r="A1008" s="5" t="str">
        <f ca="1">IFERROR(__xludf.DUMMYFUNCTION("""COMPUTED_VALUE"""),"20181210NYJEJ")</f>
        <v>20181210NYJEJ</v>
      </c>
      <c r="B1008" s="5">
        <f ca="1">IFERROR(__xludf.DUMMYFUNCTION("""COMPUTED_VALUE"""),17)</f>
        <v>17</v>
      </c>
      <c r="C1008" s="5" t="str">
        <f ca="1">IFERROR(__xludf.DUMMYFUNCTION("""COMPUTED_VALUE"""),"Male")</f>
        <v>Male</v>
      </c>
      <c r="D1008" s="5"/>
      <c r="E1008" s="5" t="str">
        <f ca="1">IFERROR(__xludf.DUMMYFUNCTION("""COMPUTED_VALUE"""),"Student")</f>
        <v>Student</v>
      </c>
      <c r="F1008" s="5" t="str">
        <f ca="1">IFERROR(__xludf.DUMMYFUNCTION("""COMPUTED_VALUE"""),"Suicide")</f>
        <v>Suicide</v>
      </c>
      <c r="G1008" s="5" t="str">
        <f ca="1">IFERROR(__xludf.DUMMYFUNCTION("""COMPUTED_VALUE"""),"Yes")</f>
        <v>Yes</v>
      </c>
      <c r="H1008" s="5" t="str">
        <f ca="1">IFERROR(__xludf.DUMMYFUNCTION("""COMPUTED_VALUE"""),"Suicide")</f>
        <v>Suicide</v>
      </c>
    </row>
    <row r="1009" spans="1:8" ht="13">
      <c r="A1009" s="5" t="str">
        <f ca="1">IFERROR(__xludf.DUMMYFUNCTION("""COMPUTED_VALUE"""),"20181128PASTP")</f>
        <v>20181128PASTP</v>
      </c>
      <c r="B1009" s="5"/>
      <c r="C1009" s="5"/>
      <c r="D1009" s="5"/>
      <c r="E1009" s="5" t="str">
        <f ca="1">IFERROR(__xludf.DUMMYFUNCTION("""COMPUTED_VALUE"""),"Unknown")</f>
        <v>Unknown</v>
      </c>
      <c r="F1009" s="5" t="str">
        <f ca="1">IFERROR(__xludf.DUMMYFUNCTION("""COMPUTED_VALUE"""),"Fled/Escaped")</f>
        <v>Fled/Escaped</v>
      </c>
      <c r="G1009" s="5" t="str">
        <f ca="1">IFERROR(__xludf.DUMMYFUNCTION("""COMPUTED_VALUE"""),"No")</f>
        <v>No</v>
      </c>
      <c r="H1009" s="5" t="str">
        <f ca="1">IFERROR(__xludf.DUMMYFUNCTION("""COMPUTED_VALUE"""),"None")</f>
        <v>None</v>
      </c>
    </row>
    <row r="1010" spans="1:8" ht="13">
      <c r="A1010" s="5" t="str">
        <f ca="1">IFERROR(__xludf.DUMMYFUNCTION("""COMPUTED_VALUE"""),"20181124OHAFC")</f>
        <v>20181124OHAFC</v>
      </c>
      <c r="B1010" s="5" t="str">
        <f ca="1">IFERROR(__xludf.DUMMYFUNCTION("""COMPUTED_VALUE"""),"Adult")</f>
        <v>Adult</v>
      </c>
      <c r="C1010" s="5" t="str">
        <f ca="1">IFERROR(__xludf.DUMMYFUNCTION("""COMPUTED_VALUE"""),"Male")</f>
        <v>Male</v>
      </c>
      <c r="D1010" s="5"/>
      <c r="E1010" s="5" t="str">
        <f ca="1">IFERROR(__xludf.DUMMYFUNCTION("""COMPUTED_VALUE"""),"No Relation")</f>
        <v>No Relation</v>
      </c>
      <c r="F1010" s="5" t="str">
        <f ca="1">IFERROR(__xludf.DUMMYFUNCTION("""COMPUTED_VALUE"""),"Fled/Escaped")</f>
        <v>Fled/Escaped</v>
      </c>
      <c r="G1010" s="5" t="str">
        <f ca="1">IFERROR(__xludf.DUMMYFUNCTION("""COMPUTED_VALUE"""),"No")</f>
        <v>No</v>
      </c>
      <c r="H1010" s="5" t="str">
        <f ca="1">IFERROR(__xludf.DUMMYFUNCTION("""COMPUTED_VALUE"""),"None")</f>
        <v>None</v>
      </c>
    </row>
    <row r="1011" spans="1:8" ht="13">
      <c r="A1011" s="5" t="str">
        <f ca="1">IFERROR(__xludf.DUMMYFUNCTION("""COMPUTED_VALUE"""),"20181122WAMOD")</f>
        <v>20181122WAMOD</v>
      </c>
      <c r="B1011" s="5" t="str">
        <f ca="1">IFERROR(__xludf.DUMMYFUNCTION("""COMPUTED_VALUE"""),"Adult")</f>
        <v>Adult</v>
      </c>
      <c r="C1011" s="5" t="str">
        <f ca="1">IFERROR(__xludf.DUMMYFUNCTION("""COMPUTED_VALUE"""),"Male")</f>
        <v>Male</v>
      </c>
      <c r="D1011" s="5"/>
      <c r="E1011" s="5" t="str">
        <f ca="1">IFERROR(__xludf.DUMMYFUNCTION("""COMPUTED_VALUE"""),"Nonstudent Using Athletic Facilities/Attending Game")</f>
        <v>Nonstudent Using Athletic Facilities/Attending Game</v>
      </c>
      <c r="F1011" s="5" t="str">
        <f ca="1">IFERROR(__xludf.DUMMYFUNCTION("""COMPUTED_VALUE"""),"Fled/Escaped")</f>
        <v>Fled/Escaped</v>
      </c>
      <c r="G1011" s="5" t="str">
        <f ca="1">IFERROR(__xludf.DUMMYFUNCTION("""COMPUTED_VALUE"""),"No")</f>
        <v>No</v>
      </c>
      <c r="H1011" s="5" t="str">
        <f ca="1">IFERROR(__xludf.DUMMYFUNCTION("""COMPUTED_VALUE"""),"None")</f>
        <v>None</v>
      </c>
    </row>
    <row r="1012" spans="1:8" ht="13">
      <c r="A1012" s="5" t="str">
        <f ca="1">IFERROR(__xludf.DUMMYFUNCTION("""COMPUTED_VALUE"""),"20181122TXSKD")</f>
        <v>20181122TXSKD</v>
      </c>
      <c r="B1012" s="5" t="str">
        <f ca="1">IFERROR(__xludf.DUMMYFUNCTION("""COMPUTED_VALUE"""),"Teen")</f>
        <v>Teen</v>
      </c>
      <c r="C1012" s="5" t="str">
        <f ca="1">IFERROR(__xludf.DUMMYFUNCTION("""COMPUTED_VALUE"""),"Male")</f>
        <v>Male</v>
      </c>
      <c r="D1012" s="5" t="str">
        <f ca="1">IFERROR(__xludf.DUMMYFUNCTION("""COMPUTED_VALUE"""),"Black")</f>
        <v>Black</v>
      </c>
      <c r="E1012" s="5" t="str">
        <f ca="1">IFERROR(__xludf.DUMMYFUNCTION("""COMPUTED_VALUE"""),"Unknown")</f>
        <v>Unknown</v>
      </c>
      <c r="F1012" s="5" t="str">
        <f ca="1">IFERROR(__xludf.DUMMYFUNCTION("""COMPUTED_VALUE"""),"Fled/Escaped")</f>
        <v>Fled/Escaped</v>
      </c>
      <c r="G1012" s="5" t="str">
        <f ca="1">IFERROR(__xludf.DUMMYFUNCTION("""COMPUTED_VALUE"""),"No")</f>
        <v>No</v>
      </c>
      <c r="H1012" s="5" t="str">
        <f ca="1">IFERROR(__xludf.DUMMYFUNCTION("""COMPUTED_VALUE"""),"None")</f>
        <v>None</v>
      </c>
    </row>
    <row r="1013" spans="1:8" ht="13">
      <c r="A1013" s="5" t="str">
        <f ca="1">IFERROR(__xludf.DUMMYFUNCTION("""COMPUTED_VALUE"""),"20181121MIPEP")</f>
        <v>20181121MIPEP</v>
      </c>
      <c r="B1013" s="5">
        <f ca="1">IFERROR(__xludf.DUMMYFUNCTION("""COMPUTED_VALUE"""),22)</f>
        <v>22</v>
      </c>
      <c r="C1013" s="5" t="str">
        <f ca="1">IFERROR(__xludf.DUMMYFUNCTION("""COMPUTED_VALUE"""),"Male")</f>
        <v>Male</v>
      </c>
      <c r="D1013" s="5"/>
      <c r="E1013" s="5" t="str">
        <f ca="1">IFERROR(__xludf.DUMMYFUNCTION("""COMPUTED_VALUE"""),"No Relation")</f>
        <v>No Relation</v>
      </c>
      <c r="F1013" s="5" t="str">
        <f ca="1">IFERROR(__xludf.DUMMYFUNCTION("""COMPUTED_VALUE"""),"Fled/Apprehended")</f>
        <v>Fled/Apprehended</v>
      </c>
      <c r="G1013" s="5" t="str">
        <f ca="1">IFERROR(__xludf.DUMMYFUNCTION("""COMPUTED_VALUE"""),"No")</f>
        <v>No</v>
      </c>
      <c r="H1013" s="5" t="str">
        <f ca="1">IFERROR(__xludf.DUMMYFUNCTION("""COMPUTED_VALUE"""),"None")</f>
        <v>None</v>
      </c>
    </row>
    <row r="1014" spans="1:8" ht="13">
      <c r="A1014" s="5" t="str">
        <f ca="1">IFERROR(__xludf.DUMMYFUNCTION("""COMPUTED_VALUE"""),"20181120VASIP")</f>
        <v>20181120VASIP</v>
      </c>
      <c r="B1014" s="5">
        <f ca="1">IFERROR(__xludf.DUMMYFUNCTION("""COMPUTED_VALUE"""),29)</f>
        <v>29</v>
      </c>
      <c r="C1014" s="5" t="str">
        <f ca="1">IFERROR(__xludf.DUMMYFUNCTION("""COMPUTED_VALUE"""),"Male")</f>
        <v>Male</v>
      </c>
      <c r="D1014" s="5" t="str">
        <f ca="1">IFERROR(__xludf.DUMMYFUNCTION("""COMPUTED_VALUE"""),"Black")</f>
        <v>Black</v>
      </c>
      <c r="E1014" s="5" t="str">
        <f ca="1">IFERROR(__xludf.DUMMYFUNCTION("""COMPUTED_VALUE"""),"Parent")</f>
        <v>Parent</v>
      </c>
      <c r="F1014" s="5" t="str">
        <f ca="1">IFERROR(__xludf.DUMMYFUNCTION("""COMPUTED_VALUE"""),"Fled/Apprehended")</f>
        <v>Fled/Apprehended</v>
      </c>
      <c r="G1014" s="5" t="str">
        <f ca="1">IFERROR(__xludf.DUMMYFUNCTION("""COMPUTED_VALUE"""),"No")</f>
        <v>No</v>
      </c>
      <c r="H1014" s="5" t="str">
        <f ca="1">IFERROR(__xludf.DUMMYFUNCTION("""COMPUTED_VALUE"""),"None")</f>
        <v>None</v>
      </c>
    </row>
    <row r="1015" spans="1:8" ht="13">
      <c r="A1015" s="5" t="str">
        <f ca="1">IFERROR(__xludf.DUMMYFUNCTION("""COMPUTED_VALUE"""),"20181112MDEAE")</f>
        <v>20181112MDEAE</v>
      </c>
      <c r="B1015" s="5"/>
      <c r="C1015" s="5" t="str">
        <f ca="1">IFERROR(__xludf.DUMMYFUNCTION("""COMPUTED_VALUE"""),"Male")</f>
        <v>Male</v>
      </c>
      <c r="D1015" s="5"/>
      <c r="E1015" s="5" t="str">
        <f ca="1">IFERROR(__xludf.DUMMYFUNCTION("""COMPUTED_VALUE"""),"Police Officer/SRO")</f>
        <v>Police Officer/SRO</v>
      </c>
      <c r="F1015" s="5" t="str">
        <f ca="1">IFERROR(__xludf.DUMMYFUNCTION("""COMPUTED_VALUE"""),"Suicide")</f>
        <v>Suicide</v>
      </c>
      <c r="G1015" s="5" t="str">
        <f ca="1">IFERROR(__xludf.DUMMYFUNCTION("""COMPUTED_VALUE"""),"Yes")</f>
        <v>Yes</v>
      </c>
      <c r="H1015" s="5" t="str">
        <f ca="1">IFERROR(__xludf.DUMMYFUNCTION("""COMPUTED_VALUE"""),"Suicide")</f>
        <v>Suicide</v>
      </c>
    </row>
    <row r="1016" spans="1:8" ht="13">
      <c r="A1016" s="5" t="str">
        <f ca="1">IFERROR(__xludf.DUMMYFUNCTION("""COMPUTED_VALUE"""),"20181109GAGAM")</f>
        <v>20181109GAGAM</v>
      </c>
      <c r="B1016" s="5" t="str">
        <f ca="1">IFERROR(__xludf.DUMMYFUNCTION("""COMPUTED_VALUE"""),"Teen")</f>
        <v>Teen</v>
      </c>
      <c r="C1016" s="5" t="str">
        <f ca="1">IFERROR(__xludf.DUMMYFUNCTION("""COMPUTED_VALUE"""),"Male")</f>
        <v>Male</v>
      </c>
      <c r="D1016" s="5"/>
      <c r="E1016" s="5" t="str">
        <f ca="1">IFERROR(__xludf.DUMMYFUNCTION("""COMPUTED_VALUE"""),"Student")</f>
        <v>Student</v>
      </c>
      <c r="F1016" s="5" t="str">
        <f ca="1">IFERROR(__xludf.DUMMYFUNCTION("""COMPUTED_VALUE"""),"Fled/Apprehended")</f>
        <v>Fled/Apprehended</v>
      </c>
      <c r="G1016" s="5" t="str">
        <f ca="1">IFERROR(__xludf.DUMMYFUNCTION("""COMPUTED_VALUE"""),"No")</f>
        <v>No</v>
      </c>
      <c r="H1016" s="5" t="str">
        <f ca="1">IFERROR(__xludf.DUMMYFUNCTION("""COMPUTED_VALUE"""),"None")</f>
        <v>None</v>
      </c>
    </row>
    <row r="1017" spans="1:8" ht="13">
      <c r="A1017" s="5" t="str">
        <f ca="1">IFERROR(__xludf.DUMMYFUNCTION("""COMPUTED_VALUE"""),"20181108CACLS")</f>
        <v>20181108CACLS</v>
      </c>
      <c r="B1017" s="5">
        <f ca="1">IFERROR(__xludf.DUMMYFUNCTION("""COMPUTED_VALUE"""),29)</f>
        <v>29</v>
      </c>
      <c r="C1017" s="5" t="str">
        <f ca="1">IFERROR(__xludf.DUMMYFUNCTION("""COMPUTED_VALUE"""),"Male")</f>
        <v>Male</v>
      </c>
      <c r="D1017" s="5" t="str">
        <f ca="1">IFERROR(__xludf.DUMMYFUNCTION("""COMPUTED_VALUE"""),"Hispanic")</f>
        <v>Hispanic</v>
      </c>
      <c r="E1017" s="5" t="str">
        <f ca="1">IFERROR(__xludf.DUMMYFUNCTION("""COMPUTED_VALUE"""),"No Relation")</f>
        <v>No Relation</v>
      </c>
      <c r="F1017" s="5" t="str">
        <f ca="1">IFERROR(__xludf.DUMMYFUNCTION("""COMPUTED_VALUE"""),"Fled/Apprehended")</f>
        <v>Fled/Apprehended</v>
      </c>
      <c r="G1017" s="5" t="str">
        <f ca="1">IFERROR(__xludf.DUMMYFUNCTION("""COMPUTED_VALUE"""),"No")</f>
        <v>No</v>
      </c>
      <c r="H1017" s="5" t="str">
        <f ca="1">IFERROR(__xludf.DUMMYFUNCTION("""COMPUTED_VALUE"""),"None")</f>
        <v>None</v>
      </c>
    </row>
    <row r="1018" spans="1:8" ht="13">
      <c r="A1018" s="5" t="str">
        <f ca="1">IFERROR(__xludf.DUMMYFUNCTION("""COMPUTED_VALUE"""),"20181108CACLS")</f>
        <v>20181108CACLS</v>
      </c>
      <c r="B1018" s="5">
        <f ca="1">IFERROR(__xludf.DUMMYFUNCTION("""COMPUTED_VALUE"""),29)</f>
        <v>29</v>
      </c>
      <c r="C1018" s="5" t="str">
        <f ca="1">IFERROR(__xludf.DUMMYFUNCTION("""COMPUTED_VALUE"""),"Male")</f>
        <v>Male</v>
      </c>
      <c r="D1018" s="5" t="str">
        <f ca="1">IFERROR(__xludf.DUMMYFUNCTION("""COMPUTED_VALUE"""),"Hispanic")</f>
        <v>Hispanic</v>
      </c>
      <c r="E1018" s="5" t="str">
        <f ca="1">IFERROR(__xludf.DUMMYFUNCTION("""COMPUTED_VALUE"""),"No Relation")</f>
        <v>No Relation</v>
      </c>
      <c r="F1018" s="5" t="str">
        <f ca="1">IFERROR(__xludf.DUMMYFUNCTION("""COMPUTED_VALUE"""),"Fled/Apprehended")</f>
        <v>Fled/Apprehended</v>
      </c>
      <c r="G1018" s="5" t="str">
        <f ca="1">IFERROR(__xludf.DUMMYFUNCTION("""COMPUTED_VALUE"""),"No")</f>
        <v>No</v>
      </c>
      <c r="H1018" s="5" t="str">
        <f ca="1">IFERROR(__xludf.DUMMYFUNCTION("""COMPUTED_VALUE"""),"None")</f>
        <v>None</v>
      </c>
    </row>
    <row r="1019" spans="1:8" ht="13">
      <c r="A1019" s="5" t="str">
        <f ca="1">IFERROR(__xludf.DUMMYFUNCTION("""COMPUTED_VALUE"""),"20181105SCACC")</f>
        <v>20181105SCACC</v>
      </c>
      <c r="B1019" s="5">
        <f ca="1">IFERROR(__xludf.DUMMYFUNCTION("""COMPUTED_VALUE"""),12)</f>
        <v>12</v>
      </c>
      <c r="C1019" s="5" t="str">
        <f ca="1">IFERROR(__xludf.DUMMYFUNCTION("""COMPUTED_VALUE"""),"Male")</f>
        <v>Male</v>
      </c>
      <c r="D1019" s="5"/>
      <c r="E1019" s="5" t="str">
        <f ca="1">IFERROR(__xludf.DUMMYFUNCTION("""COMPUTED_VALUE"""),"Student")</f>
        <v>Student</v>
      </c>
      <c r="F1019" s="5" t="str">
        <f ca="1">IFERROR(__xludf.DUMMYFUNCTION("""COMPUTED_VALUE"""),"Apprehended/Killed by LE")</f>
        <v>Apprehended/Killed by LE</v>
      </c>
      <c r="G1019" s="5" t="str">
        <f ca="1">IFERROR(__xludf.DUMMYFUNCTION("""COMPUTED_VALUE"""),"No")</f>
        <v>No</v>
      </c>
      <c r="H1019" s="5" t="str">
        <f ca="1">IFERROR(__xludf.DUMMYFUNCTION("""COMPUTED_VALUE"""),"None")</f>
        <v>None</v>
      </c>
    </row>
    <row r="1020" spans="1:8" ht="13">
      <c r="A1020" s="5" t="str">
        <f ca="1">IFERROR(__xludf.DUMMYFUNCTION("""COMPUTED_VALUE"""),"20181104KYCRL")</f>
        <v>20181104KYCRL</v>
      </c>
      <c r="B1020" s="5" t="str">
        <f ca="1">IFERROR(__xludf.DUMMYFUNCTION("""COMPUTED_VALUE"""),"Adult")</f>
        <v>Adult</v>
      </c>
      <c r="C1020" s="5" t="str">
        <f ca="1">IFERROR(__xludf.DUMMYFUNCTION("""COMPUTED_VALUE"""),"Male")</f>
        <v>Male</v>
      </c>
      <c r="D1020" s="5"/>
      <c r="E1020" s="5" t="str">
        <f ca="1">IFERROR(__xludf.DUMMYFUNCTION("""COMPUTED_VALUE"""),"Unknown")</f>
        <v>Unknown</v>
      </c>
      <c r="F1020" s="5" t="str">
        <f ca="1">IFERROR(__xludf.DUMMYFUNCTION("""COMPUTED_VALUE"""),"Fled/Escaped")</f>
        <v>Fled/Escaped</v>
      </c>
      <c r="G1020" s="5" t="str">
        <f ca="1">IFERROR(__xludf.DUMMYFUNCTION("""COMPUTED_VALUE"""),"No")</f>
        <v>No</v>
      </c>
      <c r="H1020" s="5" t="str">
        <f ca="1">IFERROR(__xludf.DUMMYFUNCTION("""COMPUTED_VALUE"""),"None")</f>
        <v>None</v>
      </c>
    </row>
    <row r="1021" spans="1:8" ht="13">
      <c r="A1021" s="5" t="str">
        <f ca="1">IFERROR(__xludf.DUMMYFUNCTION("""COMPUTED_VALUE"""),"20181029NCBUM")</f>
        <v>20181029NCBUM</v>
      </c>
      <c r="B1021" s="5">
        <f ca="1">IFERROR(__xludf.DUMMYFUNCTION("""COMPUTED_VALUE"""),16)</f>
        <v>16</v>
      </c>
      <c r="C1021" s="5" t="str">
        <f ca="1">IFERROR(__xludf.DUMMYFUNCTION("""COMPUTED_VALUE"""),"Male")</f>
        <v>Male</v>
      </c>
      <c r="D1021" s="5" t="str">
        <f ca="1">IFERROR(__xludf.DUMMYFUNCTION("""COMPUTED_VALUE"""),"Black")</f>
        <v>Black</v>
      </c>
      <c r="E1021" s="5" t="str">
        <f ca="1">IFERROR(__xludf.DUMMYFUNCTION("""COMPUTED_VALUE"""),"Student")</f>
        <v>Student</v>
      </c>
      <c r="F1021" s="5" t="str">
        <f ca="1">IFERROR(__xludf.DUMMYFUNCTION("""COMPUTED_VALUE"""),"Surrendered")</f>
        <v>Surrendered</v>
      </c>
      <c r="G1021" s="5" t="str">
        <f ca="1">IFERROR(__xludf.DUMMYFUNCTION("""COMPUTED_VALUE"""),"No")</f>
        <v>No</v>
      </c>
      <c r="H1021" s="5" t="str">
        <f ca="1">IFERROR(__xludf.DUMMYFUNCTION("""COMPUTED_VALUE"""),"None")</f>
        <v>None</v>
      </c>
    </row>
    <row r="1022" spans="1:8" ht="13">
      <c r="A1022" s="5" t="str">
        <f ca="1">IFERROR(__xludf.DUMMYFUNCTION("""COMPUTED_VALUE"""),"20181026FLSAO")</f>
        <v>20181026FLSAO</v>
      </c>
      <c r="B1022" s="5">
        <f ca="1">IFERROR(__xludf.DUMMYFUNCTION("""COMPUTED_VALUE"""),16)</f>
        <v>16</v>
      </c>
      <c r="C1022" s="5" t="str">
        <f ca="1">IFERROR(__xludf.DUMMYFUNCTION("""COMPUTED_VALUE"""),"Male")</f>
        <v>Male</v>
      </c>
      <c r="D1022" s="5" t="str">
        <f ca="1">IFERROR(__xludf.DUMMYFUNCTION("""COMPUTED_VALUE"""),"Hispanic")</f>
        <v>Hispanic</v>
      </c>
      <c r="E1022" s="5" t="str">
        <f ca="1">IFERROR(__xludf.DUMMYFUNCTION("""COMPUTED_VALUE"""),"No Relation")</f>
        <v>No Relation</v>
      </c>
      <c r="F1022" s="5" t="str">
        <f ca="1">IFERROR(__xludf.DUMMYFUNCTION("""COMPUTED_VALUE"""),"Fled/Apprehended")</f>
        <v>Fled/Apprehended</v>
      </c>
      <c r="G1022" s="5" t="str">
        <f ca="1">IFERROR(__xludf.DUMMYFUNCTION("""COMPUTED_VALUE"""),"No")</f>
        <v>No</v>
      </c>
      <c r="H1022" s="5" t="str">
        <f ca="1">IFERROR(__xludf.DUMMYFUNCTION("""COMPUTED_VALUE"""),"None")</f>
        <v>None</v>
      </c>
    </row>
    <row r="1023" spans="1:8" ht="13">
      <c r="A1023" s="5" t="str">
        <f ca="1">IFERROR(__xludf.DUMMYFUNCTION("""COMPUTED_VALUE"""),"20181025MICOD")</f>
        <v>20181025MICOD</v>
      </c>
      <c r="B1023" s="5"/>
      <c r="C1023" s="5"/>
      <c r="D1023" s="5"/>
      <c r="E1023" s="5" t="str">
        <f ca="1">IFERROR(__xludf.DUMMYFUNCTION("""COMPUTED_VALUE"""),"Unknown")</f>
        <v>Unknown</v>
      </c>
      <c r="F1023" s="5" t="str">
        <f ca="1">IFERROR(__xludf.DUMMYFUNCTION("""COMPUTED_VALUE"""),"Fled/Escaped")</f>
        <v>Fled/Escaped</v>
      </c>
      <c r="G1023" s="5" t="str">
        <f ca="1">IFERROR(__xludf.DUMMYFUNCTION("""COMPUTED_VALUE"""),"No")</f>
        <v>No</v>
      </c>
      <c r="H1023" s="5" t="str">
        <f ca="1">IFERROR(__xludf.DUMMYFUNCTION("""COMPUTED_VALUE"""),"None")</f>
        <v>None</v>
      </c>
    </row>
    <row r="1024" spans="1:8" ht="13">
      <c r="A1024" s="5" t="str">
        <f ca="1">IFERROR(__xludf.DUMMYFUNCTION("""COMPUTED_VALUE"""),"20181023NHGOM")</f>
        <v>20181023NHGOM</v>
      </c>
      <c r="B1024" s="5"/>
      <c r="C1024" s="5" t="str">
        <f ca="1">IFERROR(__xludf.DUMMYFUNCTION("""COMPUTED_VALUE"""),"Male")</f>
        <v>Male</v>
      </c>
      <c r="D1024" s="5"/>
      <c r="E1024" s="5" t="str">
        <f ca="1">IFERROR(__xludf.DUMMYFUNCTION("""COMPUTED_VALUE"""),"Unknown")</f>
        <v>Unknown</v>
      </c>
      <c r="F1024" s="5" t="str">
        <f ca="1">IFERROR(__xludf.DUMMYFUNCTION("""COMPUTED_VALUE"""),"Fled/Escaped")</f>
        <v>Fled/Escaped</v>
      </c>
      <c r="G1024" s="5" t="str">
        <f ca="1">IFERROR(__xludf.DUMMYFUNCTION("""COMPUTED_VALUE"""),"No")</f>
        <v>No</v>
      </c>
      <c r="H1024" s="5" t="str">
        <f ca="1">IFERROR(__xludf.DUMMYFUNCTION("""COMPUTED_VALUE"""),"None")</f>
        <v>None</v>
      </c>
    </row>
    <row r="1025" spans="1:8" ht="13">
      <c r="A1025" s="5" t="str">
        <f ca="1">IFERROR(__xludf.DUMMYFUNCTION("""COMPUTED_VALUE"""),"20181022CTDUB")</f>
        <v>20181022CTDUB</v>
      </c>
      <c r="B1025" s="5">
        <f ca="1">IFERROR(__xludf.DUMMYFUNCTION("""COMPUTED_VALUE"""),18)</f>
        <v>18</v>
      </c>
      <c r="C1025" s="5" t="str">
        <f ca="1">IFERROR(__xludf.DUMMYFUNCTION("""COMPUTED_VALUE"""),"Male")</f>
        <v>Male</v>
      </c>
      <c r="D1025" s="5" t="str">
        <f ca="1">IFERROR(__xludf.DUMMYFUNCTION("""COMPUTED_VALUE"""),"Black")</f>
        <v>Black</v>
      </c>
      <c r="E1025" s="5" t="str">
        <f ca="1">IFERROR(__xludf.DUMMYFUNCTION("""COMPUTED_VALUE"""),"No Relation")</f>
        <v>No Relation</v>
      </c>
      <c r="F1025" s="5" t="str">
        <f ca="1">IFERROR(__xludf.DUMMYFUNCTION("""COMPUTED_VALUE"""),"Fled/Apprehended")</f>
        <v>Fled/Apprehended</v>
      </c>
      <c r="G1025" s="5" t="str">
        <f ca="1">IFERROR(__xludf.DUMMYFUNCTION("""COMPUTED_VALUE"""),"No")</f>
        <v>No</v>
      </c>
      <c r="H1025" s="5" t="str">
        <f ca="1">IFERROR(__xludf.DUMMYFUNCTION("""COMPUTED_VALUE"""),"None")</f>
        <v>None</v>
      </c>
    </row>
    <row r="1026" spans="1:8" ht="13">
      <c r="A1026" s="5" t="str">
        <f ca="1">IFERROR(__xludf.DUMMYFUNCTION("""COMPUTED_VALUE"""),"20181020GASHS")</f>
        <v>20181020GASHS</v>
      </c>
      <c r="B1026" s="5">
        <f ca="1">IFERROR(__xludf.DUMMYFUNCTION("""COMPUTED_VALUE"""),18)</f>
        <v>18</v>
      </c>
      <c r="C1026" s="5" t="str">
        <f ca="1">IFERROR(__xludf.DUMMYFUNCTION("""COMPUTED_VALUE"""),"Male")</f>
        <v>Male</v>
      </c>
      <c r="D1026" s="5" t="str">
        <f ca="1">IFERROR(__xludf.DUMMYFUNCTION("""COMPUTED_VALUE"""),"Black")</f>
        <v>Black</v>
      </c>
      <c r="E1026" s="5" t="str">
        <f ca="1">IFERROR(__xludf.DUMMYFUNCTION("""COMPUTED_VALUE"""),"No Relation")</f>
        <v>No Relation</v>
      </c>
      <c r="F1026" s="5" t="str">
        <f ca="1">IFERROR(__xludf.DUMMYFUNCTION("""COMPUTED_VALUE"""),"Fled/Apprehended")</f>
        <v>Fled/Apprehended</v>
      </c>
      <c r="G1026" s="5" t="str">
        <f ca="1">IFERROR(__xludf.DUMMYFUNCTION("""COMPUTED_VALUE"""),"No")</f>
        <v>No</v>
      </c>
      <c r="H1026" s="5" t="str">
        <f ca="1">IFERROR(__xludf.DUMMYFUNCTION("""COMPUTED_VALUE"""),"None")</f>
        <v>None</v>
      </c>
    </row>
    <row r="1027" spans="1:8" ht="13">
      <c r="A1027" s="5" t="str">
        <f ca="1">IFERROR(__xludf.DUMMYFUNCTION("""COMPUTED_VALUE"""),"20181013TNMCN")</f>
        <v>20181013TNMCN</v>
      </c>
      <c r="B1027" s="5"/>
      <c r="C1027" s="5" t="str">
        <f ca="1">IFERROR(__xludf.DUMMYFUNCTION("""COMPUTED_VALUE"""),"Male")</f>
        <v>Male</v>
      </c>
      <c r="D1027" s="5" t="str">
        <f ca="1">IFERROR(__xludf.DUMMYFUNCTION("""COMPUTED_VALUE"""),"Black")</f>
        <v>Black</v>
      </c>
      <c r="E1027" s="5" t="str">
        <f ca="1">IFERROR(__xludf.DUMMYFUNCTION("""COMPUTED_VALUE"""),"Unknown")</f>
        <v>Unknown</v>
      </c>
      <c r="F1027" s="5" t="str">
        <f ca="1">IFERROR(__xludf.DUMMYFUNCTION("""COMPUTED_VALUE"""),"Fled/Escaped")</f>
        <v>Fled/Escaped</v>
      </c>
      <c r="G1027" s="5" t="str">
        <f ca="1">IFERROR(__xludf.DUMMYFUNCTION("""COMPUTED_VALUE"""),"No")</f>
        <v>No</v>
      </c>
      <c r="H1027" s="5" t="str">
        <f ca="1">IFERROR(__xludf.DUMMYFUNCTION("""COMPUTED_VALUE"""),"None")</f>
        <v>None</v>
      </c>
    </row>
    <row r="1028" spans="1:8" ht="13">
      <c r="A1028" s="5" t="str">
        <f ca="1">IFERROR(__xludf.DUMMYFUNCTION("""COMPUTED_VALUE"""),"20181012MIBAB")</f>
        <v>20181012MIBAB</v>
      </c>
      <c r="B1028" s="5"/>
      <c r="C1028" s="5"/>
      <c r="D1028" s="5"/>
      <c r="E1028" s="5" t="str">
        <f ca="1">IFERROR(__xludf.DUMMYFUNCTION("""COMPUTED_VALUE"""),"Unknown")</f>
        <v>Unknown</v>
      </c>
      <c r="F1028" s="5" t="str">
        <f ca="1">IFERROR(__xludf.DUMMYFUNCTION("""COMPUTED_VALUE"""),"Fled/Escaped")</f>
        <v>Fled/Escaped</v>
      </c>
      <c r="G1028" s="5" t="str">
        <f ca="1">IFERROR(__xludf.DUMMYFUNCTION("""COMPUTED_VALUE"""),"No")</f>
        <v>No</v>
      </c>
      <c r="H1028" s="5" t="str">
        <f ca="1">IFERROR(__xludf.DUMMYFUNCTION("""COMPUTED_VALUE"""),"None")</f>
        <v>None</v>
      </c>
    </row>
    <row r="1029" spans="1:8" ht="13">
      <c r="A1029" s="5" t="str">
        <f ca="1">IFERROR(__xludf.DUMMYFUNCTION("""COMPUTED_VALUE"""),"20181007VAVAH")</f>
        <v>20181007VAVAH</v>
      </c>
      <c r="B1029" s="5"/>
      <c r="C1029" s="5" t="str">
        <f ca="1">IFERROR(__xludf.DUMMYFUNCTION("""COMPUTED_VALUE"""),"Male")</f>
        <v>Male</v>
      </c>
      <c r="D1029" s="5"/>
      <c r="E1029" s="5" t="str">
        <f ca="1">IFERROR(__xludf.DUMMYFUNCTION("""COMPUTED_VALUE"""),"Unknown")</f>
        <v>Unknown</v>
      </c>
      <c r="F1029" s="5" t="str">
        <f ca="1">IFERROR(__xludf.DUMMYFUNCTION("""COMPUTED_VALUE"""),"Fled/Escaped")</f>
        <v>Fled/Escaped</v>
      </c>
      <c r="G1029" s="5" t="str">
        <f ca="1">IFERROR(__xludf.DUMMYFUNCTION("""COMPUTED_VALUE"""),"No")</f>
        <v>No</v>
      </c>
      <c r="H1029" s="5" t="str">
        <f ca="1">IFERROR(__xludf.DUMMYFUNCTION("""COMPUTED_VALUE"""),"None")</f>
        <v>None</v>
      </c>
    </row>
    <row r="1030" spans="1:8" ht="13">
      <c r="A1030" s="5" t="str">
        <f ca="1">IFERROR(__xludf.DUMMYFUNCTION("""COMPUTED_VALUE"""),"20181005VALAN")</f>
        <v>20181005VALAN</v>
      </c>
      <c r="B1030" s="5"/>
      <c r="C1030" s="5" t="str">
        <f ca="1">IFERROR(__xludf.DUMMYFUNCTION("""COMPUTED_VALUE"""),"Male")</f>
        <v>Male</v>
      </c>
      <c r="D1030" s="5"/>
      <c r="E1030" s="5" t="str">
        <f ca="1">IFERROR(__xludf.DUMMYFUNCTION("""COMPUTED_VALUE"""),"Unknown")</f>
        <v>Unknown</v>
      </c>
      <c r="F1030" s="5" t="str">
        <f ca="1">IFERROR(__xludf.DUMMYFUNCTION("""COMPUTED_VALUE"""),"Fled/Escaped")</f>
        <v>Fled/Escaped</v>
      </c>
      <c r="G1030" s="5" t="str">
        <f ca="1">IFERROR(__xludf.DUMMYFUNCTION("""COMPUTED_VALUE"""),"No")</f>
        <v>No</v>
      </c>
      <c r="H1030" s="5" t="str">
        <f ca="1">IFERROR(__xludf.DUMMYFUNCTION("""COMPUTED_VALUE"""),"None")</f>
        <v>None</v>
      </c>
    </row>
    <row r="1031" spans="1:8" ht="13">
      <c r="A1031" s="5" t="str">
        <f ca="1">IFERROR(__xludf.DUMMYFUNCTION("""COMPUTED_VALUE"""),"20181005TNHAB")</f>
        <v>20181005TNHAB</v>
      </c>
      <c r="B1031" s="5">
        <f ca="1">IFERROR(__xludf.DUMMYFUNCTION("""COMPUTED_VALUE"""),16)</f>
        <v>16</v>
      </c>
      <c r="C1031" s="5" t="str">
        <f ca="1">IFERROR(__xludf.DUMMYFUNCTION("""COMPUTED_VALUE"""),"Male")</f>
        <v>Male</v>
      </c>
      <c r="D1031" s="5"/>
      <c r="E1031" s="5" t="str">
        <f ca="1">IFERROR(__xludf.DUMMYFUNCTION("""COMPUTED_VALUE"""),"Unknown")</f>
        <v>Unknown</v>
      </c>
      <c r="F1031" s="5" t="str">
        <f ca="1">IFERROR(__xludf.DUMMYFUNCTION("""COMPUTED_VALUE"""),"Subdued by Students/Staff/Other")</f>
        <v>Subdued by Students/Staff/Other</v>
      </c>
      <c r="G1031" s="5" t="str">
        <f ca="1">IFERROR(__xludf.DUMMYFUNCTION("""COMPUTED_VALUE"""),"No")</f>
        <v>No</v>
      </c>
      <c r="H1031" s="5" t="str">
        <f ca="1">IFERROR(__xludf.DUMMYFUNCTION("""COMPUTED_VALUE"""),"None")</f>
        <v>None</v>
      </c>
    </row>
    <row r="1032" spans="1:8" ht="13">
      <c r="A1032" s="5" t="str">
        <f ca="1">IFERROR(__xludf.DUMMYFUNCTION("""COMPUTED_VALUE"""),"20181004ORJAP")</f>
        <v>20181004ORJAP</v>
      </c>
      <c r="B1032" s="5" t="str">
        <f ca="1">IFERROR(__xludf.DUMMYFUNCTION("""COMPUTED_VALUE"""),"Adult")</f>
        <v>Adult</v>
      </c>
      <c r="C1032" s="5" t="str">
        <f ca="1">IFERROR(__xludf.DUMMYFUNCTION("""COMPUTED_VALUE"""),"Female")</f>
        <v>Female</v>
      </c>
      <c r="D1032" s="5"/>
      <c r="E1032" s="5" t="str">
        <f ca="1">IFERROR(__xludf.DUMMYFUNCTION("""COMPUTED_VALUE"""),"Parent")</f>
        <v>Parent</v>
      </c>
      <c r="F1032" s="5" t="str">
        <f ca="1">IFERROR(__xludf.DUMMYFUNCTION("""COMPUTED_VALUE"""),"Fled/Escaped")</f>
        <v>Fled/Escaped</v>
      </c>
      <c r="G1032" s="5" t="str">
        <f ca="1">IFERROR(__xludf.DUMMYFUNCTION("""COMPUTED_VALUE"""),"No")</f>
        <v>No</v>
      </c>
      <c r="H1032" s="5" t="str">
        <f ca="1">IFERROR(__xludf.DUMMYFUNCTION("""COMPUTED_VALUE"""),"None")</f>
        <v>None</v>
      </c>
    </row>
    <row r="1033" spans="1:8" ht="13">
      <c r="A1033" s="5" t="str">
        <f ca="1">IFERROR(__xludf.DUMMYFUNCTION("""COMPUTED_VALUE"""),"20181003AKDEA")</f>
        <v>20181003AKDEA</v>
      </c>
      <c r="B1033" s="5">
        <f ca="1">IFERROR(__xludf.DUMMYFUNCTION("""COMPUTED_VALUE"""),26)</f>
        <v>26</v>
      </c>
      <c r="C1033" s="5" t="str">
        <f ca="1">IFERROR(__xludf.DUMMYFUNCTION("""COMPUTED_VALUE"""),"Male")</f>
        <v>Male</v>
      </c>
      <c r="D1033" s="5" t="str">
        <f ca="1">IFERROR(__xludf.DUMMYFUNCTION("""COMPUTED_VALUE"""),"Black")</f>
        <v>Black</v>
      </c>
      <c r="E1033" s="5" t="str">
        <f ca="1">IFERROR(__xludf.DUMMYFUNCTION("""COMPUTED_VALUE"""),"Relative")</f>
        <v>Relative</v>
      </c>
      <c r="F1033" s="5" t="str">
        <f ca="1">IFERROR(__xludf.DUMMYFUNCTION("""COMPUTED_VALUE"""),"Fled/Apprehended")</f>
        <v>Fled/Apprehended</v>
      </c>
      <c r="G1033" s="5" t="str">
        <f ca="1">IFERROR(__xludf.DUMMYFUNCTION("""COMPUTED_VALUE"""),"No")</f>
        <v>No</v>
      </c>
      <c r="H1033" s="5" t="str">
        <f ca="1">IFERROR(__xludf.DUMMYFUNCTION("""COMPUTED_VALUE"""),"None")</f>
        <v>None</v>
      </c>
    </row>
    <row r="1034" spans="1:8" ht="13">
      <c r="A1034" s="5" t="str">
        <f ca="1">IFERROR(__xludf.DUMMYFUNCTION("""COMPUTED_VALUE"""),"20181002ARCHL")</f>
        <v>20181002ARCHL</v>
      </c>
      <c r="B1034" s="5"/>
      <c r="C1034" s="5"/>
      <c r="D1034" s="5"/>
      <c r="E1034" s="5" t="str">
        <f ca="1">IFERROR(__xludf.DUMMYFUNCTION("""COMPUTED_VALUE"""),"Unknown")</f>
        <v>Unknown</v>
      </c>
      <c r="F1034" s="5" t="str">
        <f ca="1">IFERROR(__xludf.DUMMYFUNCTION("""COMPUTED_VALUE"""),"Fled/Escaped")</f>
        <v>Fled/Escaped</v>
      </c>
      <c r="G1034" s="5" t="str">
        <f ca="1">IFERROR(__xludf.DUMMYFUNCTION("""COMPUTED_VALUE"""),"No")</f>
        <v>No</v>
      </c>
      <c r="H1034" s="5" t="str">
        <f ca="1">IFERROR(__xludf.DUMMYFUNCTION("""COMPUTED_VALUE"""),"None")</f>
        <v>None</v>
      </c>
    </row>
    <row r="1035" spans="1:8" ht="13">
      <c r="A1035" s="5" t="str">
        <f ca="1">IFERROR(__xludf.DUMMYFUNCTION("""COMPUTED_VALUE"""),"20180928SDCHC")</f>
        <v>20180928SDCHC</v>
      </c>
      <c r="B1035" s="5">
        <f ca="1">IFERROR(__xludf.DUMMYFUNCTION("""COMPUTED_VALUE"""),20)</f>
        <v>20</v>
      </c>
      <c r="C1035" s="5" t="str">
        <f ca="1">IFERROR(__xludf.DUMMYFUNCTION("""COMPUTED_VALUE"""),"Male")</f>
        <v>Male</v>
      </c>
      <c r="D1035" s="5"/>
      <c r="E1035" s="5" t="str">
        <f ca="1">IFERROR(__xludf.DUMMYFUNCTION("""COMPUTED_VALUE"""),"No Relation")</f>
        <v>No Relation</v>
      </c>
      <c r="F1035" s="5" t="str">
        <f ca="1">IFERROR(__xludf.DUMMYFUNCTION("""COMPUTED_VALUE"""),"Attempted Suicide")</f>
        <v>Attempted Suicide</v>
      </c>
      <c r="G1035" s="5" t="str">
        <f ca="1">IFERROR(__xludf.DUMMYFUNCTION("""COMPUTED_VALUE"""),"No")</f>
        <v>No</v>
      </c>
      <c r="H1035" s="5" t="str">
        <f ca="1">IFERROR(__xludf.DUMMYFUNCTION("""COMPUTED_VALUE"""),"Wounded")</f>
        <v>Wounded</v>
      </c>
    </row>
    <row r="1036" spans="1:8" ht="13">
      <c r="A1036" s="5" t="str">
        <f ca="1">IFERROR(__xludf.DUMMYFUNCTION("""COMPUTED_VALUE"""),"20180927TXHEC")</f>
        <v>20180927TXHEC</v>
      </c>
      <c r="B1036" s="5">
        <f ca="1">IFERROR(__xludf.DUMMYFUNCTION("""COMPUTED_VALUE"""),47)</f>
        <v>47</v>
      </c>
      <c r="C1036" s="5" t="str">
        <f ca="1">IFERROR(__xludf.DUMMYFUNCTION("""COMPUTED_VALUE"""),"Male")</f>
        <v>Male</v>
      </c>
      <c r="D1036" s="5"/>
      <c r="E1036" s="5" t="str">
        <f ca="1">IFERROR(__xludf.DUMMYFUNCTION("""COMPUTED_VALUE"""),"Nonstudent Using Athletic Facilities/Attending Game")</f>
        <v>Nonstudent Using Athletic Facilities/Attending Game</v>
      </c>
      <c r="F1036" s="5" t="str">
        <f ca="1">IFERROR(__xludf.DUMMYFUNCTION("""COMPUTED_VALUE"""),"Apprehended/Killed by LE")</f>
        <v>Apprehended/Killed by LE</v>
      </c>
      <c r="G1036" s="5" t="str">
        <f ca="1">IFERROR(__xludf.DUMMYFUNCTION("""COMPUTED_VALUE"""),"No")</f>
        <v>No</v>
      </c>
      <c r="H1036" s="5" t="str">
        <f ca="1">IFERROR(__xludf.DUMMYFUNCTION("""COMPUTED_VALUE"""),"None")</f>
        <v>None</v>
      </c>
    </row>
    <row r="1037" spans="1:8" ht="13">
      <c r="A1037" s="5" t="str">
        <f ca="1">IFERROR(__xludf.DUMMYFUNCTION("""COMPUTED_VALUE"""),"20180926MDMAB")</f>
        <v>20180926MDMAB</v>
      </c>
      <c r="B1037" s="5" t="str">
        <f ca="1">IFERROR(__xludf.DUMMYFUNCTION("""COMPUTED_VALUE"""),"Teen")</f>
        <v>Teen</v>
      </c>
      <c r="C1037" s="5" t="str">
        <f ca="1">IFERROR(__xludf.DUMMYFUNCTION("""COMPUTED_VALUE"""),"Male")</f>
        <v>Male</v>
      </c>
      <c r="D1037" s="5"/>
      <c r="E1037" s="5" t="str">
        <f ca="1">IFERROR(__xludf.DUMMYFUNCTION("""COMPUTED_VALUE"""),"Student")</f>
        <v>Student</v>
      </c>
      <c r="F1037" s="5" t="str">
        <f ca="1">IFERROR(__xludf.DUMMYFUNCTION("""COMPUTED_VALUE"""),"Unknown")</f>
        <v>Unknown</v>
      </c>
      <c r="G1037" s="5" t="str">
        <f ca="1">IFERROR(__xludf.DUMMYFUNCTION("""COMPUTED_VALUE"""),"No")</f>
        <v>No</v>
      </c>
      <c r="H1037" s="5" t="str">
        <f ca="1">IFERROR(__xludf.DUMMYFUNCTION("""COMPUTED_VALUE"""),"None")</f>
        <v>None</v>
      </c>
    </row>
    <row r="1038" spans="1:8" ht="13">
      <c r="A1038" s="5" t="str">
        <f ca="1">IFERROR(__xludf.DUMMYFUNCTION("""COMPUTED_VALUE"""),"20180924PACEP")</f>
        <v>20180924PACEP</v>
      </c>
      <c r="B1038" s="5"/>
      <c r="C1038" s="5" t="str">
        <f ca="1">IFERROR(__xludf.DUMMYFUNCTION("""COMPUTED_VALUE"""),"Male")</f>
        <v>Male</v>
      </c>
      <c r="D1038" s="5"/>
      <c r="E1038" s="5" t="str">
        <f ca="1">IFERROR(__xludf.DUMMYFUNCTION("""COMPUTED_VALUE"""),"Unknown")</f>
        <v>Unknown</v>
      </c>
      <c r="F1038" s="5" t="str">
        <f ca="1">IFERROR(__xludf.DUMMYFUNCTION("""COMPUTED_VALUE"""),"Fled/Escaped")</f>
        <v>Fled/Escaped</v>
      </c>
      <c r="G1038" s="5" t="str">
        <f ca="1">IFERROR(__xludf.DUMMYFUNCTION("""COMPUTED_VALUE"""),"No")</f>
        <v>No</v>
      </c>
      <c r="H1038" s="5" t="str">
        <f ca="1">IFERROR(__xludf.DUMMYFUNCTION("""COMPUTED_VALUE"""),"None")</f>
        <v>None</v>
      </c>
    </row>
    <row r="1039" spans="1:8" ht="13">
      <c r="A1039" s="5" t="str">
        <f ca="1">IFERROR(__xludf.DUMMYFUNCTION("""COMPUTED_VALUE"""),"20180924PACEP")</f>
        <v>20180924PACEP</v>
      </c>
      <c r="B1039" s="5"/>
      <c r="C1039" s="5" t="str">
        <f ca="1">IFERROR(__xludf.DUMMYFUNCTION("""COMPUTED_VALUE"""),"Male")</f>
        <v>Male</v>
      </c>
      <c r="D1039" s="5"/>
      <c r="E1039" s="5" t="str">
        <f ca="1">IFERROR(__xludf.DUMMYFUNCTION("""COMPUTED_VALUE"""),"Unknown")</f>
        <v>Unknown</v>
      </c>
      <c r="F1039" s="5" t="str">
        <f ca="1">IFERROR(__xludf.DUMMYFUNCTION("""COMPUTED_VALUE"""),"Fled/Escaped")</f>
        <v>Fled/Escaped</v>
      </c>
      <c r="G1039" s="5" t="str">
        <f ca="1">IFERROR(__xludf.DUMMYFUNCTION("""COMPUTED_VALUE"""),"No")</f>
        <v>No</v>
      </c>
      <c r="H1039" s="5" t="str">
        <f ca="1">IFERROR(__xludf.DUMMYFUNCTION("""COMPUTED_VALUE"""),"None")</f>
        <v>None</v>
      </c>
    </row>
    <row r="1040" spans="1:8" ht="13">
      <c r="A1040" s="5" t="str">
        <f ca="1">IFERROR(__xludf.DUMMYFUNCTION("""COMPUTED_VALUE"""),"20180924NCLAC")</f>
        <v>20180924NCLAC</v>
      </c>
      <c r="B1040" s="5"/>
      <c r="C1040" s="5" t="str">
        <f ca="1">IFERROR(__xludf.DUMMYFUNCTION("""COMPUTED_VALUE"""),"Male")</f>
        <v>Male</v>
      </c>
      <c r="D1040" s="5"/>
      <c r="E1040" s="5" t="str">
        <f ca="1">IFERROR(__xludf.DUMMYFUNCTION("""COMPUTED_VALUE"""),"Unknown")</f>
        <v>Unknown</v>
      </c>
      <c r="F1040" s="5" t="str">
        <f ca="1">IFERROR(__xludf.DUMMYFUNCTION("""COMPUTED_VALUE"""),"Fled/Escaped")</f>
        <v>Fled/Escaped</v>
      </c>
      <c r="G1040" s="5" t="str">
        <f ca="1">IFERROR(__xludf.DUMMYFUNCTION("""COMPUTED_VALUE"""),"No")</f>
        <v>No</v>
      </c>
      <c r="H1040" s="5" t="str">
        <f ca="1">IFERROR(__xludf.DUMMYFUNCTION("""COMPUTED_VALUE"""),"None")</f>
        <v>None</v>
      </c>
    </row>
    <row r="1041" spans="1:8" ht="13">
      <c r="A1041" s="5" t="str">
        <f ca="1">IFERROR(__xludf.DUMMYFUNCTION("""COMPUTED_VALUE"""),"20180924GAAPB")</f>
        <v>20180924GAAPB</v>
      </c>
      <c r="B1041" s="5" t="str">
        <f ca="1">IFERROR(__xludf.DUMMYFUNCTION("""COMPUTED_VALUE"""),"Teen")</f>
        <v>Teen</v>
      </c>
      <c r="C1041" s="5" t="str">
        <f ca="1">IFERROR(__xludf.DUMMYFUNCTION("""COMPUTED_VALUE"""),"Male")</f>
        <v>Male</v>
      </c>
      <c r="D1041" s="5"/>
      <c r="E1041" s="5" t="str">
        <f ca="1">IFERROR(__xludf.DUMMYFUNCTION("""COMPUTED_VALUE"""),"Student")</f>
        <v>Student</v>
      </c>
      <c r="F1041" s="5" t="str">
        <f ca="1">IFERROR(__xludf.DUMMYFUNCTION("""COMPUTED_VALUE"""),"Suicide")</f>
        <v>Suicide</v>
      </c>
      <c r="G1041" s="5" t="str">
        <f ca="1">IFERROR(__xludf.DUMMYFUNCTION("""COMPUTED_VALUE"""),"Yes")</f>
        <v>Yes</v>
      </c>
      <c r="H1041" s="5" t="str">
        <f ca="1">IFERROR(__xludf.DUMMYFUNCTION("""COMPUTED_VALUE"""),"Suicide")</f>
        <v>Suicide</v>
      </c>
    </row>
    <row r="1042" spans="1:8" ht="13">
      <c r="A1042" s="5" t="str">
        <f ca="1">IFERROR(__xludf.DUMMYFUNCTION("""COMPUTED_VALUE"""),"20180920CAPOP")</f>
        <v>20180920CAPOP</v>
      </c>
      <c r="B1042" s="5" t="str">
        <f ca="1">IFERROR(__xludf.DUMMYFUNCTION("""COMPUTED_VALUE"""),"Adult")</f>
        <v>Adult</v>
      </c>
      <c r="C1042" s="5" t="str">
        <f ca="1">IFERROR(__xludf.DUMMYFUNCTION("""COMPUTED_VALUE"""),"Male")</f>
        <v>Male</v>
      </c>
      <c r="D1042" s="5"/>
      <c r="E1042" s="5" t="str">
        <f ca="1">IFERROR(__xludf.DUMMYFUNCTION("""COMPUTED_VALUE"""),"Unknown")</f>
        <v>Unknown</v>
      </c>
      <c r="F1042" s="5" t="str">
        <f ca="1">IFERROR(__xludf.DUMMYFUNCTION("""COMPUTED_VALUE"""),"Suicide")</f>
        <v>Suicide</v>
      </c>
      <c r="G1042" s="5" t="str">
        <f ca="1">IFERROR(__xludf.DUMMYFUNCTION("""COMPUTED_VALUE"""),"Yes")</f>
        <v>Yes</v>
      </c>
      <c r="H1042" s="5" t="str">
        <f ca="1">IFERROR(__xludf.DUMMYFUNCTION("""COMPUTED_VALUE"""),"Suicide")</f>
        <v>Suicide</v>
      </c>
    </row>
    <row r="1043" spans="1:8" ht="13">
      <c r="A1043" s="5" t="str">
        <f ca="1">IFERROR(__xludf.DUMMYFUNCTION("""COMPUTED_VALUE"""),"20180920CACHL")</f>
        <v>20180920CACHL</v>
      </c>
      <c r="B1043" s="5">
        <f ca="1">IFERROR(__xludf.DUMMYFUNCTION("""COMPUTED_VALUE"""),18)</f>
        <v>18</v>
      </c>
      <c r="C1043" s="5" t="str">
        <f ca="1">IFERROR(__xludf.DUMMYFUNCTION("""COMPUTED_VALUE"""),"Male")</f>
        <v>Male</v>
      </c>
      <c r="D1043" s="5"/>
      <c r="E1043" s="5" t="str">
        <f ca="1">IFERROR(__xludf.DUMMYFUNCTION("""COMPUTED_VALUE"""),"Unknown")</f>
        <v>Unknown</v>
      </c>
      <c r="F1043" s="5" t="str">
        <f ca="1">IFERROR(__xludf.DUMMYFUNCTION("""COMPUTED_VALUE"""),"Fled/Apprehended")</f>
        <v>Fled/Apprehended</v>
      </c>
      <c r="G1043" s="5" t="str">
        <f ca="1">IFERROR(__xludf.DUMMYFUNCTION("""COMPUTED_VALUE"""),"No")</f>
        <v>No</v>
      </c>
      <c r="H1043" s="5" t="str">
        <f ca="1">IFERROR(__xludf.DUMMYFUNCTION("""COMPUTED_VALUE"""),"None")</f>
        <v>None</v>
      </c>
    </row>
    <row r="1044" spans="1:8" ht="13">
      <c r="A1044" s="5" t="str">
        <f ca="1">IFERROR(__xludf.DUMMYFUNCTION("""COMPUTED_VALUE"""),"20180920CACHL")</f>
        <v>20180920CACHL</v>
      </c>
      <c r="B1044" s="5">
        <f ca="1">IFERROR(__xludf.DUMMYFUNCTION("""COMPUTED_VALUE"""),20)</f>
        <v>20</v>
      </c>
      <c r="C1044" s="5" t="str">
        <f ca="1">IFERROR(__xludf.DUMMYFUNCTION("""COMPUTED_VALUE"""),"Male")</f>
        <v>Male</v>
      </c>
      <c r="D1044" s="5"/>
      <c r="E1044" s="5" t="str">
        <f ca="1">IFERROR(__xludf.DUMMYFUNCTION("""COMPUTED_VALUE"""),"Unknown")</f>
        <v>Unknown</v>
      </c>
      <c r="F1044" s="5" t="str">
        <f ca="1">IFERROR(__xludf.DUMMYFUNCTION("""COMPUTED_VALUE"""),"Fled/Apprehended")</f>
        <v>Fled/Apprehended</v>
      </c>
      <c r="G1044" s="5" t="str">
        <f ca="1">IFERROR(__xludf.DUMMYFUNCTION("""COMPUTED_VALUE"""),"No")</f>
        <v>No</v>
      </c>
      <c r="H1044" s="5" t="str">
        <f ca="1">IFERROR(__xludf.DUMMYFUNCTION("""COMPUTED_VALUE"""),"None")</f>
        <v>None</v>
      </c>
    </row>
    <row r="1045" spans="1:8" ht="13">
      <c r="A1045" s="5" t="str">
        <f ca="1">IFERROR(__xludf.DUMMYFUNCTION("""COMPUTED_VALUE"""),"20180917ALBLH")</f>
        <v>20180917ALBLH</v>
      </c>
      <c r="B1045" s="5">
        <f ca="1">IFERROR(__xludf.DUMMYFUNCTION("""COMPUTED_VALUE"""),7)</f>
        <v>7</v>
      </c>
      <c r="C1045" s="5" t="str">
        <f ca="1">IFERROR(__xludf.DUMMYFUNCTION("""COMPUTED_VALUE"""),"Male")</f>
        <v>Male</v>
      </c>
      <c r="D1045" s="5"/>
      <c r="E1045" s="5" t="str">
        <f ca="1">IFERROR(__xludf.DUMMYFUNCTION("""COMPUTED_VALUE"""),"Student")</f>
        <v>Student</v>
      </c>
      <c r="F1045" s="5" t="str">
        <f ca="1">IFERROR(__xludf.DUMMYFUNCTION("""COMPUTED_VALUE"""),"Unknown")</f>
        <v>Unknown</v>
      </c>
      <c r="G1045" s="5" t="str">
        <f ca="1">IFERROR(__xludf.DUMMYFUNCTION("""COMPUTED_VALUE"""),"No")</f>
        <v>No</v>
      </c>
      <c r="H1045" s="5" t="str">
        <f ca="1">IFERROR(__xludf.DUMMYFUNCTION("""COMPUTED_VALUE"""),"None")</f>
        <v>None</v>
      </c>
    </row>
    <row r="1046" spans="1:8" ht="13">
      <c r="A1046" s="5" t="str">
        <f ca="1">IFERROR(__xludf.DUMMYFUNCTION("""COMPUTED_VALUE"""),"20180914WAMAE")</f>
        <v>20180914WAMAE</v>
      </c>
      <c r="B1046" s="5"/>
      <c r="C1046" s="5"/>
      <c r="D1046" s="5"/>
      <c r="E1046" s="5" t="str">
        <f ca="1">IFERROR(__xludf.DUMMYFUNCTION("""COMPUTED_VALUE"""),"Unknown")</f>
        <v>Unknown</v>
      </c>
      <c r="F1046" s="5" t="str">
        <f ca="1">IFERROR(__xludf.DUMMYFUNCTION("""COMPUTED_VALUE"""),"Fled/Escaped")</f>
        <v>Fled/Escaped</v>
      </c>
      <c r="G1046" s="5" t="str">
        <f ca="1">IFERROR(__xludf.DUMMYFUNCTION("""COMPUTED_VALUE"""),"No")</f>
        <v>No</v>
      </c>
      <c r="H1046" s="5" t="str">
        <f ca="1">IFERROR(__xludf.DUMMYFUNCTION("""COMPUTED_VALUE"""),"None")</f>
        <v>None</v>
      </c>
    </row>
    <row r="1047" spans="1:8" ht="13">
      <c r="A1047" s="5" t="str">
        <f ca="1">IFERROR(__xludf.DUMMYFUNCTION("""COMPUTED_VALUE"""),"20180914FLBOB")</f>
        <v>20180914FLBOB</v>
      </c>
      <c r="B1047" s="5" t="str">
        <f ca="1">IFERROR(__xludf.DUMMYFUNCTION("""COMPUTED_VALUE"""),"Teen")</f>
        <v>Teen</v>
      </c>
      <c r="C1047" s="5" t="str">
        <f ca="1">IFERROR(__xludf.DUMMYFUNCTION("""COMPUTED_VALUE"""),"Male")</f>
        <v>Male</v>
      </c>
      <c r="D1047" s="5"/>
      <c r="E1047" s="5" t="str">
        <f ca="1">IFERROR(__xludf.DUMMYFUNCTION("""COMPUTED_VALUE"""),"Student")</f>
        <v>Student</v>
      </c>
      <c r="F1047" s="5" t="str">
        <f ca="1">IFERROR(__xludf.DUMMYFUNCTION("""COMPUTED_VALUE"""),"Apprehended/Killed by LE")</f>
        <v>Apprehended/Killed by LE</v>
      </c>
      <c r="G1047" s="5" t="str">
        <f ca="1">IFERROR(__xludf.DUMMYFUNCTION("""COMPUTED_VALUE"""),"No")</f>
        <v>No</v>
      </c>
      <c r="H1047" s="5" t="str">
        <f ca="1">IFERROR(__xludf.DUMMYFUNCTION("""COMPUTED_VALUE"""),"None")</f>
        <v>None</v>
      </c>
    </row>
    <row r="1048" spans="1:8" ht="13">
      <c r="A1048" s="5" t="str">
        <f ca="1">IFERROR(__xludf.DUMMYFUNCTION("""COMPUTED_VALUE"""),"20180911NVCAL")</f>
        <v>20180911NVCAL</v>
      </c>
      <c r="B1048" s="5">
        <f ca="1">IFERROR(__xludf.DUMMYFUNCTION("""COMPUTED_VALUE"""),16)</f>
        <v>16</v>
      </c>
      <c r="C1048" s="5" t="str">
        <f ca="1">IFERROR(__xludf.DUMMYFUNCTION("""COMPUTED_VALUE"""),"Male")</f>
        <v>Male</v>
      </c>
      <c r="D1048" s="5" t="str">
        <f ca="1">IFERROR(__xludf.DUMMYFUNCTION("""COMPUTED_VALUE"""),"Black")</f>
        <v>Black</v>
      </c>
      <c r="E1048" s="5" t="str">
        <f ca="1">IFERROR(__xludf.DUMMYFUNCTION("""COMPUTED_VALUE"""),"Rival School Student")</f>
        <v>Rival School Student</v>
      </c>
      <c r="F1048" s="5" t="str">
        <f ca="1">IFERROR(__xludf.DUMMYFUNCTION("""COMPUTED_VALUE"""),"Fled/Escaped")</f>
        <v>Fled/Escaped</v>
      </c>
      <c r="G1048" s="5" t="str">
        <f ca="1">IFERROR(__xludf.DUMMYFUNCTION("""COMPUTED_VALUE"""),"No")</f>
        <v>No</v>
      </c>
      <c r="H1048" s="5" t="str">
        <f ca="1">IFERROR(__xludf.DUMMYFUNCTION("""COMPUTED_VALUE"""),"None")</f>
        <v>None</v>
      </c>
    </row>
    <row r="1049" spans="1:8" ht="13">
      <c r="A1049" s="5" t="str">
        <f ca="1">IFERROR(__xludf.DUMMYFUNCTION("""COMPUTED_VALUE"""),"20180910TNFAM")</f>
        <v>20180910TNFAM</v>
      </c>
      <c r="B1049" s="5">
        <f ca="1">IFERROR(__xludf.DUMMYFUNCTION("""COMPUTED_VALUE"""),23)</f>
        <v>23</v>
      </c>
      <c r="C1049" s="5" t="str">
        <f ca="1">IFERROR(__xludf.DUMMYFUNCTION("""COMPUTED_VALUE"""),"Male")</f>
        <v>Male</v>
      </c>
      <c r="D1049" s="5"/>
      <c r="E1049" s="5" t="str">
        <f ca="1">IFERROR(__xludf.DUMMYFUNCTION("""COMPUTED_VALUE"""),"No Relation")</f>
        <v>No Relation</v>
      </c>
      <c r="F1049" s="5" t="str">
        <f ca="1">IFERROR(__xludf.DUMMYFUNCTION("""COMPUTED_VALUE"""),"Fled/Apprehended")</f>
        <v>Fled/Apprehended</v>
      </c>
      <c r="G1049" s="5" t="str">
        <f ca="1">IFERROR(__xludf.DUMMYFUNCTION("""COMPUTED_VALUE"""),"No")</f>
        <v>No</v>
      </c>
      <c r="H1049" s="5" t="str">
        <f ca="1">IFERROR(__xludf.DUMMYFUNCTION("""COMPUTED_VALUE"""),"None")</f>
        <v>None</v>
      </c>
    </row>
    <row r="1050" spans="1:8" ht="13">
      <c r="A1050" s="5" t="str">
        <f ca="1">IFERROR(__xludf.DUMMYFUNCTION("""COMPUTED_VALUE"""),"20180910ILCHC")</f>
        <v>20180910ILCHC</v>
      </c>
      <c r="B1050" s="5"/>
      <c r="C1050" s="5" t="str">
        <f ca="1">IFERROR(__xludf.DUMMYFUNCTION("""COMPUTED_VALUE"""),"Male")</f>
        <v>Male</v>
      </c>
      <c r="D1050" s="5"/>
      <c r="E1050" s="5" t="str">
        <f ca="1">IFERROR(__xludf.DUMMYFUNCTION("""COMPUTED_VALUE"""),"Unknown")</f>
        <v>Unknown</v>
      </c>
      <c r="F1050" s="5" t="str">
        <f ca="1">IFERROR(__xludf.DUMMYFUNCTION("""COMPUTED_VALUE"""),"Fled/Escaped")</f>
        <v>Fled/Escaped</v>
      </c>
      <c r="G1050" s="5" t="str">
        <f ca="1">IFERROR(__xludf.DUMMYFUNCTION("""COMPUTED_VALUE"""),"No")</f>
        <v>No</v>
      </c>
      <c r="H1050" s="5" t="str">
        <f ca="1">IFERROR(__xludf.DUMMYFUNCTION("""COMPUTED_VALUE"""),"None")</f>
        <v>None</v>
      </c>
    </row>
    <row r="1051" spans="1:8" ht="13">
      <c r="A1051" s="5" t="str">
        <f ca="1">IFERROR(__xludf.DUMMYFUNCTION("""COMPUTED_VALUE"""),"20180909CAGIG")</f>
        <v>20180909CAGIG</v>
      </c>
      <c r="B1051" s="5" t="str">
        <f ca="1">IFERROR(__xludf.DUMMYFUNCTION("""COMPUTED_VALUE"""),"Adult")</f>
        <v>Adult</v>
      </c>
      <c r="C1051" s="5"/>
      <c r="D1051" s="5"/>
      <c r="E1051" s="5" t="str">
        <f ca="1">IFERROR(__xludf.DUMMYFUNCTION("""COMPUTED_VALUE"""),"Police Officer/SRO")</f>
        <v>Police Officer/SRO</v>
      </c>
      <c r="F1051" s="5" t="str">
        <f ca="1">IFERROR(__xludf.DUMMYFUNCTION("""COMPUTED_VALUE"""),"Law Enforcement")</f>
        <v>Law Enforcement</v>
      </c>
      <c r="G1051" s="5" t="str">
        <f ca="1">IFERROR(__xludf.DUMMYFUNCTION("""COMPUTED_VALUE"""),"No")</f>
        <v>No</v>
      </c>
      <c r="H1051" s="5" t="str">
        <f ca="1">IFERROR(__xludf.DUMMYFUNCTION("""COMPUTED_VALUE"""),"None")</f>
        <v>None</v>
      </c>
    </row>
    <row r="1052" spans="1:8" ht="13">
      <c r="A1052" s="5" t="str">
        <f ca="1">IFERROR(__xludf.DUMMYFUNCTION("""COMPUTED_VALUE"""),"20180907IAHED")</f>
        <v>20180907IAHED</v>
      </c>
      <c r="B1052" s="5"/>
      <c r="C1052" s="5"/>
      <c r="D1052" s="5"/>
      <c r="E1052" s="5" t="str">
        <f ca="1">IFERROR(__xludf.DUMMYFUNCTION("""COMPUTED_VALUE"""),"Unknown")</f>
        <v>Unknown</v>
      </c>
      <c r="F1052" s="5" t="str">
        <f ca="1">IFERROR(__xludf.DUMMYFUNCTION("""COMPUTED_VALUE"""),"Fled/Escaped")</f>
        <v>Fled/Escaped</v>
      </c>
      <c r="G1052" s="5" t="str">
        <f ca="1">IFERROR(__xludf.DUMMYFUNCTION("""COMPUTED_VALUE"""),"No")</f>
        <v>No</v>
      </c>
      <c r="H1052" s="5" t="str">
        <f ca="1">IFERROR(__xludf.DUMMYFUNCTION("""COMPUTED_VALUE"""),"None")</f>
        <v>None</v>
      </c>
    </row>
    <row r="1053" spans="1:8" ht="13">
      <c r="A1053" s="5" t="str">
        <f ca="1">IFERROR(__xludf.DUMMYFUNCTION("""COMPUTED_VALUE"""),"20180905RIPRP")</f>
        <v>20180905RIPRP</v>
      </c>
      <c r="B1053" s="5">
        <f ca="1">IFERROR(__xludf.DUMMYFUNCTION("""COMPUTED_VALUE"""),16)</f>
        <v>16</v>
      </c>
      <c r="C1053" s="5" t="str">
        <f ca="1">IFERROR(__xludf.DUMMYFUNCTION("""COMPUTED_VALUE"""),"Male")</f>
        <v>Male</v>
      </c>
      <c r="D1053" s="5" t="str">
        <f ca="1">IFERROR(__xludf.DUMMYFUNCTION("""COMPUTED_VALUE"""),"Hispanic")</f>
        <v>Hispanic</v>
      </c>
      <c r="E1053" s="5" t="str">
        <f ca="1">IFERROR(__xludf.DUMMYFUNCTION("""COMPUTED_VALUE"""),"Rival School Student")</f>
        <v>Rival School Student</v>
      </c>
      <c r="F1053" s="5" t="str">
        <f ca="1">IFERROR(__xludf.DUMMYFUNCTION("""COMPUTED_VALUE"""),"Fled/Apprehended")</f>
        <v>Fled/Apprehended</v>
      </c>
      <c r="G1053" s="5" t="str">
        <f ca="1">IFERROR(__xludf.DUMMYFUNCTION("""COMPUTED_VALUE"""),"No")</f>
        <v>No</v>
      </c>
      <c r="H1053" s="5" t="str">
        <f ca="1">IFERROR(__xludf.DUMMYFUNCTION("""COMPUTED_VALUE"""),"Wounded")</f>
        <v>Wounded</v>
      </c>
    </row>
    <row r="1054" spans="1:8" ht="13">
      <c r="A1054" s="5" t="str">
        <f ca="1">IFERROR(__xludf.DUMMYFUNCTION("""COMPUTED_VALUE"""),"20180903NYLUN")</f>
        <v>20180903NYLUN</v>
      </c>
      <c r="B1054" s="5"/>
      <c r="C1054" s="5" t="str">
        <f ca="1">IFERROR(__xludf.DUMMYFUNCTION("""COMPUTED_VALUE"""),"Male")</f>
        <v>Male</v>
      </c>
      <c r="D1054" s="5"/>
      <c r="E1054" s="5" t="str">
        <f ca="1">IFERROR(__xludf.DUMMYFUNCTION("""COMPUTED_VALUE"""),"Unknown")</f>
        <v>Unknown</v>
      </c>
      <c r="F1054" s="5" t="str">
        <f ca="1">IFERROR(__xludf.DUMMYFUNCTION("""COMPUTED_VALUE"""),"Fled/Escaped")</f>
        <v>Fled/Escaped</v>
      </c>
      <c r="G1054" s="5" t="str">
        <f ca="1">IFERROR(__xludf.DUMMYFUNCTION("""COMPUTED_VALUE"""),"No")</f>
        <v>No</v>
      </c>
      <c r="H1054" s="5" t="str">
        <f ca="1">IFERROR(__xludf.DUMMYFUNCTION("""COMPUTED_VALUE"""),"None")</f>
        <v>None</v>
      </c>
    </row>
    <row r="1055" spans="1:8" ht="13">
      <c r="A1055" s="5" t="str">
        <f ca="1">IFERROR(__xludf.DUMMYFUNCTION("""COMPUTED_VALUE"""),"20180831IANOE")</f>
        <v>20180831IANOE</v>
      </c>
      <c r="B1055" s="5">
        <f ca="1">IFERROR(__xludf.DUMMYFUNCTION("""COMPUTED_VALUE"""),12)</f>
        <v>12</v>
      </c>
      <c r="C1055" s="5" t="str">
        <f ca="1">IFERROR(__xludf.DUMMYFUNCTION("""COMPUTED_VALUE"""),"Male")</f>
        <v>Male</v>
      </c>
      <c r="D1055" s="5" t="str">
        <f ca="1">IFERROR(__xludf.DUMMYFUNCTION("""COMPUTED_VALUE"""),"White")</f>
        <v>White</v>
      </c>
      <c r="E1055" s="5" t="str">
        <f ca="1">IFERROR(__xludf.DUMMYFUNCTION("""COMPUTED_VALUE"""),"Student")</f>
        <v>Student</v>
      </c>
      <c r="F1055" s="5" t="str">
        <f ca="1">IFERROR(__xludf.DUMMYFUNCTION("""COMPUTED_VALUE"""),"Subdued by Students/Staff/Other")</f>
        <v>Subdued by Students/Staff/Other</v>
      </c>
      <c r="G1055" s="5" t="str">
        <f ca="1">IFERROR(__xludf.DUMMYFUNCTION("""COMPUTED_VALUE"""),"No")</f>
        <v>No</v>
      </c>
      <c r="H1055" s="5" t="str">
        <f ca="1">IFERROR(__xludf.DUMMYFUNCTION("""COMPUTED_VALUE"""),"None")</f>
        <v>None</v>
      </c>
    </row>
    <row r="1056" spans="1:8" ht="13">
      <c r="A1056" s="5" t="str">
        <f ca="1">IFERROR(__xludf.DUMMYFUNCTION("""COMPUTED_VALUE"""),"20180831CABAS")</f>
        <v>20180831CABAS</v>
      </c>
      <c r="B1056" s="5" t="str">
        <f ca="1">IFERROR(__xludf.DUMMYFUNCTION("""COMPUTED_VALUE"""),"Teen")</f>
        <v>Teen</v>
      </c>
      <c r="C1056" s="5" t="str">
        <f ca="1">IFERROR(__xludf.DUMMYFUNCTION("""COMPUTED_VALUE"""),"Male")</f>
        <v>Male</v>
      </c>
      <c r="D1056" s="5"/>
      <c r="E1056" s="5" t="str">
        <f ca="1">IFERROR(__xludf.DUMMYFUNCTION("""COMPUTED_VALUE"""),"Student")</f>
        <v>Student</v>
      </c>
      <c r="F1056" s="5" t="str">
        <f ca="1">IFERROR(__xludf.DUMMYFUNCTION("""COMPUTED_VALUE"""),"Fled/Apprehended")</f>
        <v>Fled/Apprehended</v>
      </c>
      <c r="G1056" s="5" t="str">
        <f ca="1">IFERROR(__xludf.DUMMYFUNCTION("""COMPUTED_VALUE"""),"No")</f>
        <v>No</v>
      </c>
      <c r="H1056" s="5" t="str">
        <f ca="1">IFERROR(__xludf.DUMMYFUNCTION("""COMPUTED_VALUE"""),"None")</f>
        <v>None</v>
      </c>
    </row>
    <row r="1057" spans="1:8" ht="13">
      <c r="A1057" s="5" t="str">
        <f ca="1">IFERROR(__xludf.DUMMYFUNCTION("""COMPUTED_VALUE"""),"20180830NCVIC")</f>
        <v>20180830NCVIC</v>
      </c>
      <c r="B1057" s="5">
        <f ca="1">IFERROR(__xludf.DUMMYFUNCTION("""COMPUTED_VALUE"""),34)</f>
        <v>34</v>
      </c>
      <c r="C1057" s="5" t="str">
        <f ca="1">IFERROR(__xludf.DUMMYFUNCTION("""COMPUTED_VALUE"""),"Male")</f>
        <v>Male</v>
      </c>
      <c r="D1057" s="5" t="str">
        <f ca="1">IFERROR(__xludf.DUMMYFUNCTION("""COMPUTED_VALUE"""),"Black")</f>
        <v>Black</v>
      </c>
      <c r="E1057" s="5" t="str">
        <f ca="1">IFERROR(__xludf.DUMMYFUNCTION("""COMPUTED_VALUE"""),"Intimate Relationship")</f>
        <v>Intimate Relationship</v>
      </c>
      <c r="F1057" s="5" t="str">
        <f ca="1">IFERROR(__xludf.DUMMYFUNCTION("""COMPUTED_VALUE"""),"Fled/Apprehended")</f>
        <v>Fled/Apprehended</v>
      </c>
      <c r="G1057" s="5" t="str">
        <f ca="1">IFERROR(__xludf.DUMMYFUNCTION("""COMPUTED_VALUE"""),"No")</f>
        <v>No</v>
      </c>
      <c r="H1057" s="5" t="str">
        <f ca="1">IFERROR(__xludf.DUMMYFUNCTION("""COMPUTED_VALUE"""),"None")</f>
        <v>None</v>
      </c>
    </row>
    <row r="1058" spans="1:8" ht="13">
      <c r="A1058" s="5" t="str">
        <f ca="1">IFERROR(__xludf.DUMMYFUNCTION("""COMPUTED_VALUE"""),"20180830MIOTG")</f>
        <v>20180830MIOTG</v>
      </c>
      <c r="B1058" s="5"/>
      <c r="C1058" s="5" t="str">
        <f ca="1">IFERROR(__xludf.DUMMYFUNCTION("""COMPUTED_VALUE"""),"Male")</f>
        <v>Male</v>
      </c>
      <c r="D1058" s="5"/>
      <c r="E1058" s="5" t="str">
        <f ca="1">IFERROR(__xludf.DUMMYFUNCTION("""COMPUTED_VALUE"""),"Unknown")</f>
        <v>Unknown</v>
      </c>
      <c r="F1058" s="5" t="str">
        <f ca="1">IFERROR(__xludf.DUMMYFUNCTION("""COMPUTED_VALUE"""),"Fled/Escaped")</f>
        <v>Fled/Escaped</v>
      </c>
      <c r="G1058" s="5" t="str">
        <f ca="1">IFERROR(__xludf.DUMMYFUNCTION("""COMPUTED_VALUE"""),"No")</f>
        <v>No</v>
      </c>
      <c r="H1058" s="5" t="str">
        <f ca="1">IFERROR(__xludf.DUMMYFUNCTION("""COMPUTED_VALUE"""),"None")</f>
        <v>None</v>
      </c>
    </row>
    <row r="1059" spans="1:8" ht="13">
      <c r="A1059" s="5" t="str">
        <f ca="1">IFERROR(__xludf.DUMMYFUNCTION("""COMPUTED_VALUE"""),"20180829DETOD")</f>
        <v>20180829DETOD</v>
      </c>
      <c r="B1059" s="5">
        <f ca="1">IFERROR(__xludf.DUMMYFUNCTION("""COMPUTED_VALUE"""),53)</f>
        <v>53</v>
      </c>
      <c r="C1059" s="5" t="str">
        <f ca="1">IFERROR(__xludf.DUMMYFUNCTION("""COMPUTED_VALUE"""),"Male")</f>
        <v>Male</v>
      </c>
      <c r="D1059" s="5" t="str">
        <f ca="1">IFERROR(__xludf.DUMMYFUNCTION("""COMPUTED_VALUE"""),"Black")</f>
        <v>Black</v>
      </c>
      <c r="E1059" s="5" t="str">
        <f ca="1">IFERROR(__xludf.DUMMYFUNCTION("""COMPUTED_VALUE"""),"Other Staff")</f>
        <v>Other Staff</v>
      </c>
      <c r="F1059" s="5" t="str">
        <f ca="1">IFERROR(__xludf.DUMMYFUNCTION("""COMPUTED_VALUE"""),"Fled/Apprehended")</f>
        <v>Fled/Apprehended</v>
      </c>
      <c r="G1059" s="5" t="str">
        <f ca="1">IFERROR(__xludf.DUMMYFUNCTION("""COMPUTED_VALUE"""),"No")</f>
        <v>No</v>
      </c>
      <c r="H1059" s="5" t="str">
        <f ca="1">IFERROR(__xludf.DUMMYFUNCTION("""COMPUTED_VALUE"""),"None")</f>
        <v>None</v>
      </c>
    </row>
    <row r="1060" spans="1:8" ht="13">
      <c r="A1060" s="5" t="str">
        <f ca="1">IFERROR(__xludf.DUMMYFUNCTION("""COMPUTED_VALUE"""),"20180828COCOD")</f>
        <v>20180828COCOD</v>
      </c>
      <c r="B1060" s="5">
        <f ca="1">IFERROR(__xludf.DUMMYFUNCTION("""COMPUTED_VALUE"""),14)</f>
        <v>14</v>
      </c>
      <c r="C1060" s="5" t="str">
        <f ca="1">IFERROR(__xludf.DUMMYFUNCTION("""COMPUTED_VALUE"""),"Male")</f>
        <v>Male</v>
      </c>
      <c r="D1060" s="5"/>
      <c r="E1060" s="5" t="str">
        <f ca="1">IFERROR(__xludf.DUMMYFUNCTION("""COMPUTED_VALUE"""),"Student")</f>
        <v>Student</v>
      </c>
      <c r="F1060" s="5" t="str">
        <f ca="1">IFERROR(__xludf.DUMMYFUNCTION("""COMPUTED_VALUE"""),"Fled/Apprehended")</f>
        <v>Fled/Apprehended</v>
      </c>
      <c r="G1060" s="5" t="str">
        <f ca="1">IFERROR(__xludf.DUMMYFUNCTION("""COMPUTED_VALUE"""),"No")</f>
        <v>No</v>
      </c>
      <c r="H1060" s="5" t="str">
        <f ca="1">IFERROR(__xludf.DUMMYFUNCTION("""COMPUTED_VALUE"""),"None")</f>
        <v>None</v>
      </c>
    </row>
    <row r="1061" spans="1:8" ht="13">
      <c r="A1061" s="5" t="str">
        <f ca="1">IFERROR(__xludf.DUMMYFUNCTION("""COMPUTED_VALUE"""),"20180824ILMEC")</f>
        <v>20180824ILMEC</v>
      </c>
      <c r="B1061" s="5"/>
      <c r="C1061" s="5" t="str">
        <f ca="1">IFERROR(__xludf.DUMMYFUNCTION("""COMPUTED_VALUE"""),"Male")</f>
        <v>Male</v>
      </c>
      <c r="D1061" s="5"/>
      <c r="E1061" s="5" t="str">
        <f ca="1">IFERROR(__xludf.DUMMYFUNCTION("""COMPUTED_VALUE"""),"Unknown")</f>
        <v>Unknown</v>
      </c>
      <c r="F1061" s="5" t="str">
        <f ca="1">IFERROR(__xludf.DUMMYFUNCTION("""COMPUTED_VALUE"""),"Fled/Escaped")</f>
        <v>Fled/Escaped</v>
      </c>
      <c r="G1061" s="5" t="str">
        <f ca="1">IFERROR(__xludf.DUMMYFUNCTION("""COMPUTED_VALUE"""),"No")</f>
        <v>No</v>
      </c>
      <c r="H1061" s="5" t="str">
        <f ca="1">IFERROR(__xludf.DUMMYFUNCTION("""COMPUTED_VALUE"""),"None")</f>
        <v>None</v>
      </c>
    </row>
    <row r="1062" spans="1:8" ht="13">
      <c r="A1062" s="5" t="str">
        <f ca="1">IFERROR(__xludf.DUMMYFUNCTION("""COMPUTED_VALUE"""),"20180824FLRAJ")</f>
        <v>20180824FLRAJ</v>
      </c>
      <c r="B1062" s="5">
        <f ca="1">IFERROR(__xludf.DUMMYFUNCTION("""COMPUTED_VALUE"""),16)</f>
        <v>16</v>
      </c>
      <c r="C1062" s="5" t="str">
        <f ca="1">IFERROR(__xludf.DUMMYFUNCTION("""COMPUTED_VALUE"""),"Male")</f>
        <v>Male</v>
      </c>
      <c r="D1062" s="5"/>
      <c r="E1062" s="5" t="str">
        <f ca="1">IFERROR(__xludf.DUMMYFUNCTION("""COMPUTED_VALUE"""),"Unknown")</f>
        <v>Unknown</v>
      </c>
      <c r="F1062" s="5" t="str">
        <f ca="1">IFERROR(__xludf.DUMMYFUNCTION("""COMPUTED_VALUE"""),"Fled/Apprehended")</f>
        <v>Fled/Apprehended</v>
      </c>
      <c r="G1062" s="5" t="str">
        <f ca="1">IFERROR(__xludf.DUMMYFUNCTION("""COMPUTED_VALUE"""),"No")</f>
        <v>No</v>
      </c>
      <c r="H1062" s="5" t="str">
        <f ca="1">IFERROR(__xludf.DUMMYFUNCTION("""COMPUTED_VALUE"""),"None")</f>
        <v>None</v>
      </c>
    </row>
    <row r="1063" spans="1:8" ht="13">
      <c r="A1063" s="5" t="str">
        <f ca="1">IFERROR(__xludf.DUMMYFUNCTION("""COMPUTED_VALUE"""),"20180823ALALM")</f>
        <v>20180823ALALM</v>
      </c>
      <c r="B1063" s="5"/>
      <c r="C1063" s="5"/>
      <c r="D1063" s="5"/>
      <c r="E1063" s="5" t="str">
        <f ca="1">IFERROR(__xludf.DUMMYFUNCTION("""COMPUTED_VALUE"""),"Unknown")</f>
        <v>Unknown</v>
      </c>
      <c r="F1063" s="5" t="str">
        <f ca="1">IFERROR(__xludf.DUMMYFUNCTION("""COMPUTED_VALUE"""),"Fled/Escaped")</f>
        <v>Fled/Escaped</v>
      </c>
      <c r="G1063" s="5" t="str">
        <f ca="1">IFERROR(__xludf.DUMMYFUNCTION("""COMPUTED_VALUE"""),"No")</f>
        <v>No</v>
      </c>
      <c r="H1063" s="5" t="str">
        <f ca="1">IFERROR(__xludf.DUMMYFUNCTION("""COMPUTED_VALUE"""),"None")</f>
        <v>None</v>
      </c>
    </row>
    <row r="1064" spans="1:8" ht="13">
      <c r="A1064" s="5" t="str">
        <f ca="1">IFERROR(__xludf.DUMMYFUNCTION("""COMPUTED_VALUE"""),"20180817FLPAW")</f>
        <v>20180817FLPAW</v>
      </c>
      <c r="B1064" s="5"/>
      <c r="C1064" s="5"/>
      <c r="D1064" s="5"/>
      <c r="E1064" s="5" t="str">
        <f ca="1">IFERROR(__xludf.DUMMYFUNCTION("""COMPUTED_VALUE"""),"Unknown")</f>
        <v>Unknown</v>
      </c>
      <c r="F1064" s="5" t="str">
        <f ca="1">IFERROR(__xludf.DUMMYFUNCTION("""COMPUTED_VALUE"""),"Fled/Escaped")</f>
        <v>Fled/Escaped</v>
      </c>
      <c r="G1064" s="5" t="str">
        <f ca="1">IFERROR(__xludf.DUMMYFUNCTION("""COMPUTED_VALUE"""),"No")</f>
        <v>No</v>
      </c>
      <c r="H1064" s="5" t="str">
        <f ca="1">IFERROR(__xludf.DUMMYFUNCTION("""COMPUTED_VALUE"""),"None")</f>
        <v>None</v>
      </c>
    </row>
    <row r="1065" spans="1:8" ht="13">
      <c r="A1065" s="5" t="str">
        <f ca="1">IFERROR(__xludf.DUMMYFUNCTION("""COMPUTED_VALUE"""),"20180811TNANN")</f>
        <v>20180811TNANN</v>
      </c>
      <c r="B1065" s="5">
        <f ca="1">IFERROR(__xludf.DUMMYFUNCTION("""COMPUTED_VALUE"""),30)</f>
        <v>30</v>
      </c>
      <c r="C1065" s="5" t="str">
        <f ca="1">IFERROR(__xludf.DUMMYFUNCTION("""COMPUTED_VALUE"""),"Male")</f>
        <v>Male</v>
      </c>
      <c r="D1065" s="5" t="str">
        <f ca="1">IFERROR(__xludf.DUMMYFUNCTION("""COMPUTED_VALUE"""),"Black")</f>
        <v>Black</v>
      </c>
      <c r="E1065" s="5" t="str">
        <f ca="1">IFERROR(__xludf.DUMMYFUNCTION("""COMPUTED_VALUE"""),"Parent")</f>
        <v>Parent</v>
      </c>
      <c r="F1065" s="5" t="str">
        <f ca="1">IFERROR(__xludf.DUMMYFUNCTION("""COMPUTED_VALUE"""),"Fled/Apprehended")</f>
        <v>Fled/Apprehended</v>
      </c>
      <c r="G1065" s="5" t="str">
        <f ca="1">IFERROR(__xludf.DUMMYFUNCTION("""COMPUTED_VALUE"""),"No")</f>
        <v>No</v>
      </c>
      <c r="H1065" s="5" t="str">
        <f ca="1">IFERROR(__xludf.DUMMYFUNCTION("""COMPUTED_VALUE"""),"None")</f>
        <v>None</v>
      </c>
    </row>
    <row r="1066" spans="1:8" ht="13">
      <c r="A1066" s="5" t="str">
        <f ca="1">IFERROR(__xludf.DUMMYFUNCTION("""COMPUTED_VALUE"""),"20180809NJLAM")</f>
        <v>20180809NJLAM</v>
      </c>
      <c r="B1066" s="5"/>
      <c r="C1066" s="5" t="str">
        <f ca="1">IFERROR(__xludf.DUMMYFUNCTION("""COMPUTED_VALUE"""),"Male")</f>
        <v>Male</v>
      </c>
      <c r="D1066" s="5"/>
      <c r="E1066" s="5" t="str">
        <f ca="1">IFERROR(__xludf.DUMMYFUNCTION("""COMPUTED_VALUE"""),"Unknown")</f>
        <v>Unknown</v>
      </c>
      <c r="F1066" s="5" t="str">
        <f ca="1">IFERROR(__xludf.DUMMYFUNCTION("""COMPUTED_VALUE"""),"Fled/Escaped")</f>
        <v>Fled/Escaped</v>
      </c>
      <c r="G1066" s="5" t="str">
        <f ca="1">IFERROR(__xludf.DUMMYFUNCTION("""COMPUTED_VALUE"""),"No")</f>
        <v>No</v>
      </c>
      <c r="H1066" s="5" t="str">
        <f ca="1">IFERROR(__xludf.DUMMYFUNCTION("""COMPUTED_VALUE"""),"None")</f>
        <v>None</v>
      </c>
    </row>
    <row r="1067" spans="1:8" ht="13">
      <c r="A1067" s="5" t="str">
        <f ca="1">IFERROR(__xludf.DUMMYFUNCTION("""COMPUTED_VALUE"""),"20180804MDEDE")</f>
        <v>20180804MDEDE</v>
      </c>
      <c r="B1067" s="5"/>
      <c r="C1067" s="5"/>
      <c r="D1067" s="5"/>
      <c r="E1067" s="5" t="str">
        <f ca="1">IFERROR(__xludf.DUMMYFUNCTION("""COMPUTED_VALUE"""),"Unknown")</f>
        <v>Unknown</v>
      </c>
      <c r="F1067" s="5" t="str">
        <f ca="1">IFERROR(__xludf.DUMMYFUNCTION("""COMPUTED_VALUE"""),"Fled/Escaped")</f>
        <v>Fled/Escaped</v>
      </c>
      <c r="G1067" s="5" t="str">
        <f ca="1">IFERROR(__xludf.DUMMYFUNCTION("""COMPUTED_VALUE"""),"No")</f>
        <v>No</v>
      </c>
      <c r="H1067" s="5" t="str">
        <f ca="1">IFERROR(__xludf.DUMMYFUNCTION("""COMPUTED_VALUE"""),"None")</f>
        <v>None</v>
      </c>
    </row>
    <row r="1068" spans="1:8" ht="13">
      <c r="A1068" s="5" t="str">
        <f ca="1">IFERROR(__xludf.DUMMYFUNCTION("""COMPUTED_VALUE"""),"20180803IALIO")</f>
        <v>20180803IALIO</v>
      </c>
      <c r="B1068" s="5">
        <f ca="1">IFERROR(__xludf.DUMMYFUNCTION("""COMPUTED_VALUE"""),32)</f>
        <v>32</v>
      </c>
      <c r="C1068" s="5" t="str">
        <f ca="1">IFERROR(__xludf.DUMMYFUNCTION("""COMPUTED_VALUE"""),"Male")</f>
        <v>Male</v>
      </c>
      <c r="D1068" s="5" t="str">
        <f ca="1">IFERROR(__xludf.DUMMYFUNCTION("""COMPUTED_VALUE"""),"White")</f>
        <v>White</v>
      </c>
      <c r="E1068" s="5" t="str">
        <f ca="1">IFERROR(__xludf.DUMMYFUNCTION("""COMPUTED_VALUE"""),"No Relation")</f>
        <v>No Relation</v>
      </c>
      <c r="F1068" s="5" t="str">
        <f ca="1">IFERROR(__xludf.DUMMYFUNCTION("""COMPUTED_VALUE"""),"Fled/Apprehended")</f>
        <v>Fled/Apprehended</v>
      </c>
      <c r="G1068" s="5" t="str">
        <f ca="1">IFERROR(__xludf.DUMMYFUNCTION("""COMPUTED_VALUE"""),"No")</f>
        <v>No</v>
      </c>
      <c r="H1068" s="5" t="str">
        <f ca="1">IFERROR(__xludf.DUMMYFUNCTION("""COMPUTED_VALUE"""),"Wounded")</f>
        <v>Wounded</v>
      </c>
    </row>
    <row r="1069" spans="1:8" ht="13">
      <c r="A1069" s="5" t="str">
        <f ca="1">IFERROR(__xludf.DUMMYFUNCTION("""COMPUTED_VALUE"""),"20180803IALIO")</f>
        <v>20180803IALIO</v>
      </c>
      <c r="B1069" s="5">
        <f ca="1">IFERROR(__xludf.DUMMYFUNCTION("""COMPUTED_VALUE"""),23)</f>
        <v>23</v>
      </c>
      <c r="C1069" s="5" t="str">
        <f ca="1">IFERROR(__xludf.DUMMYFUNCTION("""COMPUTED_VALUE"""),"Male")</f>
        <v>Male</v>
      </c>
      <c r="D1069" s="5" t="str">
        <f ca="1">IFERROR(__xludf.DUMMYFUNCTION("""COMPUTED_VALUE"""),"White")</f>
        <v>White</v>
      </c>
      <c r="E1069" s="5" t="str">
        <f ca="1">IFERROR(__xludf.DUMMYFUNCTION("""COMPUTED_VALUE"""),"No Relation")</f>
        <v>No Relation</v>
      </c>
      <c r="F1069" s="5" t="str">
        <f ca="1">IFERROR(__xludf.DUMMYFUNCTION("""COMPUTED_VALUE"""),"Fled/Apprehended")</f>
        <v>Fled/Apprehended</v>
      </c>
      <c r="G1069" s="5" t="str">
        <f ca="1">IFERROR(__xludf.DUMMYFUNCTION("""COMPUTED_VALUE"""),"No")</f>
        <v>No</v>
      </c>
      <c r="H1069" s="5" t="str">
        <f ca="1">IFERROR(__xludf.DUMMYFUNCTION("""COMPUTED_VALUE"""),"None")</f>
        <v>None</v>
      </c>
    </row>
    <row r="1070" spans="1:8" ht="13">
      <c r="A1070" s="5" t="str">
        <f ca="1">IFERROR(__xludf.DUMMYFUNCTION("""COMPUTED_VALUE"""),"20180803IALIO")</f>
        <v>20180803IALIO</v>
      </c>
      <c r="B1070" s="5" t="str">
        <f ca="1">IFERROR(__xludf.DUMMYFUNCTION("""COMPUTED_VALUE"""),"Adult")</f>
        <v>Adult</v>
      </c>
      <c r="C1070" s="5" t="str">
        <f ca="1">IFERROR(__xludf.DUMMYFUNCTION("""COMPUTED_VALUE"""),"Male")</f>
        <v>Male</v>
      </c>
      <c r="D1070" s="5" t="str">
        <f ca="1">IFERROR(__xludf.DUMMYFUNCTION("""COMPUTED_VALUE"""),"White")</f>
        <v>White</v>
      </c>
      <c r="E1070" s="5" t="str">
        <f ca="1">IFERROR(__xludf.DUMMYFUNCTION("""COMPUTED_VALUE"""),"No Relation")</f>
        <v>No Relation</v>
      </c>
      <c r="F1070" s="5" t="str">
        <f ca="1">IFERROR(__xludf.DUMMYFUNCTION("""COMPUTED_VALUE"""),"Apprehended/Killed by LE")</f>
        <v>Apprehended/Killed by LE</v>
      </c>
      <c r="G1070" s="5" t="str">
        <f ca="1">IFERROR(__xludf.DUMMYFUNCTION("""COMPUTED_VALUE"""),"Yes")</f>
        <v>Yes</v>
      </c>
      <c r="H1070" s="5" t="str">
        <f ca="1">IFERROR(__xludf.DUMMYFUNCTION("""COMPUTED_VALUE"""),"Fatal")</f>
        <v>Fatal</v>
      </c>
    </row>
    <row r="1071" spans="1:8" ht="13">
      <c r="A1071" s="5" t="str">
        <f ca="1">IFERROR(__xludf.DUMMYFUNCTION("""COMPUTED_VALUE"""),"20180719WAWEY")</f>
        <v>20180719WAWEY</v>
      </c>
      <c r="B1071" s="5"/>
      <c r="C1071" s="5"/>
      <c r="D1071" s="5"/>
      <c r="E1071" s="5" t="str">
        <f ca="1">IFERROR(__xludf.DUMMYFUNCTION("""COMPUTED_VALUE"""),"Unknown")</f>
        <v>Unknown</v>
      </c>
      <c r="F1071" s="5" t="str">
        <f ca="1">IFERROR(__xludf.DUMMYFUNCTION("""COMPUTED_VALUE"""),"Fled/Escaped")</f>
        <v>Fled/Escaped</v>
      </c>
      <c r="G1071" s="5" t="str">
        <f ca="1">IFERROR(__xludf.DUMMYFUNCTION("""COMPUTED_VALUE"""),"No")</f>
        <v>No</v>
      </c>
      <c r="H1071" s="5" t="str">
        <f ca="1">IFERROR(__xludf.DUMMYFUNCTION("""COMPUTED_VALUE"""),"None")</f>
        <v>None</v>
      </c>
    </row>
    <row r="1072" spans="1:8" ht="13">
      <c r="A1072" s="5" t="str">
        <f ca="1">IFERROR(__xludf.DUMMYFUNCTION("""COMPUTED_VALUE"""),"20180717WVHUH")</f>
        <v>20180717WVHUH</v>
      </c>
      <c r="B1072" s="5" t="str">
        <f ca="1">IFERROR(__xludf.DUMMYFUNCTION("""COMPUTED_VALUE"""),"Adult")</f>
        <v>Adult</v>
      </c>
      <c r="C1072" s="5" t="str">
        <f ca="1">IFERROR(__xludf.DUMMYFUNCTION("""COMPUTED_VALUE"""),"Male")</f>
        <v>Male</v>
      </c>
      <c r="D1072" s="5"/>
      <c r="E1072" s="5" t="str">
        <f ca="1">IFERROR(__xludf.DUMMYFUNCTION("""COMPUTED_VALUE"""),"Unknown")</f>
        <v>Unknown</v>
      </c>
      <c r="F1072" s="5" t="str">
        <f ca="1">IFERROR(__xludf.DUMMYFUNCTION("""COMPUTED_VALUE"""),"Unknown")</f>
        <v>Unknown</v>
      </c>
      <c r="G1072" s="5" t="str">
        <f ca="1">IFERROR(__xludf.DUMMYFUNCTION("""COMPUTED_VALUE"""),"No")</f>
        <v>No</v>
      </c>
      <c r="H1072" s="5" t="str">
        <f ca="1">IFERROR(__xludf.DUMMYFUNCTION("""COMPUTED_VALUE"""),"None")</f>
        <v>None</v>
      </c>
    </row>
    <row r="1073" spans="1:8" ht="13">
      <c r="A1073" s="5" t="str">
        <f ca="1">IFERROR(__xludf.DUMMYFUNCTION("""COMPUTED_VALUE"""),"20180711OHMIM")</f>
        <v>20180711OHMIM</v>
      </c>
      <c r="B1073" s="5" t="str">
        <f ca="1">IFERROR(__xludf.DUMMYFUNCTION("""COMPUTED_VALUE"""),"Teen")</f>
        <v>Teen</v>
      </c>
      <c r="C1073" s="5"/>
      <c r="D1073" s="5"/>
      <c r="E1073" s="5" t="str">
        <f ca="1">IFERROR(__xludf.DUMMYFUNCTION("""COMPUTED_VALUE"""),"Unknown")</f>
        <v>Unknown</v>
      </c>
      <c r="F1073" s="5" t="str">
        <f ca="1">IFERROR(__xludf.DUMMYFUNCTION("""COMPUTED_VALUE"""),"Fled/Apprehended")</f>
        <v>Fled/Apprehended</v>
      </c>
      <c r="G1073" s="5" t="str">
        <f ca="1">IFERROR(__xludf.DUMMYFUNCTION("""COMPUTED_VALUE"""),"No")</f>
        <v>No</v>
      </c>
      <c r="H1073" s="5" t="str">
        <f ca="1">IFERROR(__xludf.DUMMYFUNCTION("""COMPUTED_VALUE"""),"None")</f>
        <v>None</v>
      </c>
    </row>
    <row r="1074" spans="1:8" ht="13">
      <c r="A1074" s="5" t="str">
        <f ca="1">IFERROR(__xludf.DUMMYFUNCTION("""COMPUTED_VALUE"""),"20180703KSSUO")</f>
        <v>20180703KSSUO</v>
      </c>
      <c r="B1074" s="5">
        <f ca="1">IFERROR(__xludf.DUMMYFUNCTION("""COMPUTED_VALUE"""),32)</f>
        <v>32</v>
      </c>
      <c r="C1074" s="5" t="str">
        <f ca="1">IFERROR(__xludf.DUMMYFUNCTION("""COMPUTED_VALUE"""),"Male")</f>
        <v>Male</v>
      </c>
      <c r="D1074" s="5"/>
      <c r="E1074" s="5" t="str">
        <f ca="1">IFERROR(__xludf.DUMMYFUNCTION("""COMPUTED_VALUE"""),"Other Staff")</f>
        <v>Other Staff</v>
      </c>
      <c r="F1074" s="5" t="str">
        <f ca="1">IFERROR(__xludf.DUMMYFUNCTION("""COMPUTED_VALUE"""),"Fled/Apprehended")</f>
        <v>Fled/Apprehended</v>
      </c>
      <c r="G1074" s="5" t="str">
        <f ca="1">IFERROR(__xludf.DUMMYFUNCTION("""COMPUTED_VALUE"""),"No")</f>
        <v>No</v>
      </c>
      <c r="H1074" s="5" t="str">
        <f ca="1">IFERROR(__xludf.DUMMYFUNCTION("""COMPUTED_VALUE"""),"None")</f>
        <v>None</v>
      </c>
    </row>
    <row r="1075" spans="1:8" ht="13">
      <c r="A1075" s="5" t="str">
        <f ca="1">IFERROR(__xludf.DUMMYFUNCTION("""COMPUTED_VALUE"""),"20180701TNRAM")</f>
        <v>20180701TNRAM</v>
      </c>
      <c r="B1075" s="5"/>
      <c r="C1075" s="5"/>
      <c r="D1075" s="5"/>
      <c r="E1075" s="5" t="str">
        <f ca="1">IFERROR(__xludf.DUMMYFUNCTION("""COMPUTED_VALUE"""),"Unknown")</f>
        <v>Unknown</v>
      </c>
      <c r="F1075" s="5" t="str">
        <f ca="1">IFERROR(__xludf.DUMMYFUNCTION("""COMPUTED_VALUE"""),"Fled/Escaped")</f>
        <v>Fled/Escaped</v>
      </c>
      <c r="G1075" s="5" t="str">
        <f ca="1">IFERROR(__xludf.DUMMYFUNCTION("""COMPUTED_VALUE"""),"No")</f>
        <v>No</v>
      </c>
      <c r="H1075" s="5" t="str">
        <f ca="1">IFERROR(__xludf.DUMMYFUNCTION("""COMPUTED_VALUE"""),"None")</f>
        <v>None</v>
      </c>
    </row>
    <row r="1076" spans="1:8" ht="13">
      <c r="A1076" s="5" t="str">
        <f ca="1">IFERROR(__xludf.DUMMYFUNCTION("""COMPUTED_VALUE"""),"20180625OHFUS")</f>
        <v>20180625OHFUS</v>
      </c>
      <c r="B1076" s="5">
        <f ca="1">IFERROR(__xludf.DUMMYFUNCTION("""COMPUTED_VALUE"""),14)</f>
        <v>14</v>
      </c>
      <c r="C1076" s="5" t="str">
        <f ca="1">IFERROR(__xludf.DUMMYFUNCTION("""COMPUTED_VALUE"""),"Male")</f>
        <v>Male</v>
      </c>
      <c r="D1076" s="5" t="str">
        <f ca="1">IFERROR(__xludf.DUMMYFUNCTION("""COMPUTED_VALUE"""),"Black")</f>
        <v>Black</v>
      </c>
      <c r="E1076" s="5" t="str">
        <f ca="1">IFERROR(__xludf.DUMMYFUNCTION("""COMPUTED_VALUE"""),"Unknown")</f>
        <v>Unknown</v>
      </c>
      <c r="F1076" s="5" t="str">
        <f ca="1">IFERROR(__xludf.DUMMYFUNCTION("""COMPUTED_VALUE"""),"Fled/Apprehended")</f>
        <v>Fled/Apprehended</v>
      </c>
      <c r="G1076" s="5" t="str">
        <f ca="1">IFERROR(__xludf.DUMMYFUNCTION("""COMPUTED_VALUE"""),"No")</f>
        <v>No</v>
      </c>
      <c r="H1076" s="5" t="str">
        <f ca="1">IFERROR(__xludf.DUMMYFUNCTION("""COMPUTED_VALUE"""),"None")</f>
        <v>None</v>
      </c>
    </row>
    <row r="1077" spans="1:8" ht="13">
      <c r="A1077" s="5" t="str">
        <f ca="1">IFERROR(__xludf.DUMMYFUNCTION("""COMPUTED_VALUE"""),"20180625OHFUS")</f>
        <v>20180625OHFUS</v>
      </c>
      <c r="B1077" s="5">
        <f ca="1">IFERROR(__xludf.DUMMYFUNCTION("""COMPUTED_VALUE"""),16)</f>
        <v>16</v>
      </c>
      <c r="C1077" s="5" t="str">
        <f ca="1">IFERROR(__xludf.DUMMYFUNCTION("""COMPUTED_VALUE"""),"Male")</f>
        <v>Male</v>
      </c>
      <c r="D1077" s="5" t="str">
        <f ca="1">IFERROR(__xludf.DUMMYFUNCTION("""COMPUTED_VALUE"""),"Black")</f>
        <v>Black</v>
      </c>
      <c r="E1077" s="5" t="str">
        <f ca="1">IFERROR(__xludf.DUMMYFUNCTION("""COMPUTED_VALUE"""),"Unknown")</f>
        <v>Unknown</v>
      </c>
      <c r="F1077" s="5" t="str">
        <f ca="1">IFERROR(__xludf.DUMMYFUNCTION("""COMPUTED_VALUE"""),"Fled/Apprehended")</f>
        <v>Fled/Apprehended</v>
      </c>
      <c r="G1077" s="5" t="str">
        <f ca="1">IFERROR(__xludf.DUMMYFUNCTION("""COMPUTED_VALUE"""),"No")</f>
        <v>No</v>
      </c>
      <c r="H1077" s="5" t="str">
        <f ca="1">IFERROR(__xludf.DUMMYFUNCTION("""COMPUTED_VALUE"""),"None")</f>
        <v>None</v>
      </c>
    </row>
    <row r="1078" spans="1:8" ht="13">
      <c r="A1078" s="5" t="str">
        <f ca="1">IFERROR(__xludf.DUMMYFUNCTION("""COMPUTED_VALUE"""),"20180624MTSEM")</f>
        <v>20180624MTSEM</v>
      </c>
      <c r="B1078" s="5">
        <f ca="1">IFERROR(__xludf.DUMMYFUNCTION("""COMPUTED_VALUE"""),17)</f>
        <v>17</v>
      </c>
      <c r="C1078" s="5" t="str">
        <f ca="1">IFERROR(__xludf.DUMMYFUNCTION("""COMPUTED_VALUE"""),"Male")</f>
        <v>Male</v>
      </c>
      <c r="D1078" s="5" t="str">
        <f ca="1">IFERROR(__xludf.DUMMYFUNCTION("""COMPUTED_VALUE"""),"White")</f>
        <v>White</v>
      </c>
      <c r="E1078" s="5" t="str">
        <f ca="1">IFERROR(__xludf.DUMMYFUNCTION("""COMPUTED_VALUE"""),"Unknown")</f>
        <v>Unknown</v>
      </c>
      <c r="F1078" s="5" t="str">
        <f ca="1">IFERROR(__xludf.DUMMYFUNCTION("""COMPUTED_VALUE"""),"Fled/Apprehended")</f>
        <v>Fled/Apprehended</v>
      </c>
      <c r="G1078" s="5" t="str">
        <f ca="1">IFERROR(__xludf.DUMMYFUNCTION("""COMPUTED_VALUE"""),"No")</f>
        <v>No</v>
      </c>
      <c r="H1078" s="5" t="str">
        <f ca="1">IFERROR(__xludf.DUMMYFUNCTION("""COMPUTED_VALUE"""),"None")</f>
        <v>None</v>
      </c>
    </row>
    <row r="1079" spans="1:8" ht="13">
      <c r="A1079" s="5" t="str">
        <f ca="1">IFERROR(__xludf.DUMMYFUNCTION("""COMPUTED_VALUE"""),"20180621TXSKD")</f>
        <v>20180621TXSKD</v>
      </c>
      <c r="B1079" s="5"/>
      <c r="C1079" s="5"/>
      <c r="D1079" s="5"/>
      <c r="E1079" s="5" t="str">
        <f ca="1">IFERROR(__xludf.DUMMYFUNCTION("""COMPUTED_VALUE"""),"Unknown")</f>
        <v>Unknown</v>
      </c>
      <c r="F1079" s="5" t="str">
        <f ca="1">IFERROR(__xludf.DUMMYFUNCTION("""COMPUTED_VALUE"""),"Fled/Escaped")</f>
        <v>Fled/Escaped</v>
      </c>
      <c r="G1079" s="5" t="str">
        <f ca="1">IFERROR(__xludf.DUMMYFUNCTION("""COMPUTED_VALUE"""),"No")</f>
        <v>No</v>
      </c>
      <c r="H1079" s="5" t="str">
        <f ca="1">IFERROR(__xludf.DUMMYFUNCTION("""COMPUTED_VALUE"""),"None")</f>
        <v>None</v>
      </c>
    </row>
    <row r="1080" spans="1:8" ht="13">
      <c r="A1080" s="5" t="str">
        <f ca="1">IFERROR(__xludf.DUMMYFUNCTION("""COMPUTED_VALUE"""),"20180617ORGRP")</f>
        <v>20180617ORGRP</v>
      </c>
      <c r="B1080" s="5"/>
      <c r="C1080" s="5"/>
      <c r="D1080" s="5"/>
      <c r="E1080" s="5" t="str">
        <f ca="1">IFERROR(__xludf.DUMMYFUNCTION("""COMPUTED_VALUE"""),"Unknown")</f>
        <v>Unknown</v>
      </c>
      <c r="F1080" s="5" t="str">
        <f ca="1">IFERROR(__xludf.DUMMYFUNCTION("""COMPUTED_VALUE"""),"Fled/Escaped")</f>
        <v>Fled/Escaped</v>
      </c>
      <c r="G1080" s="5" t="str">
        <f ca="1">IFERROR(__xludf.DUMMYFUNCTION("""COMPUTED_VALUE"""),"No")</f>
        <v>No</v>
      </c>
      <c r="H1080" s="5" t="str">
        <f ca="1">IFERROR(__xludf.DUMMYFUNCTION("""COMPUTED_VALUE"""),"None")</f>
        <v>None</v>
      </c>
    </row>
    <row r="1081" spans="1:8" ht="13">
      <c r="A1081" s="5" t="str">
        <f ca="1">IFERROR(__xludf.DUMMYFUNCTION("""COMPUTED_VALUE"""),"20180615OHVAB")</f>
        <v>20180615OHVAB</v>
      </c>
      <c r="B1081" s="5">
        <f ca="1">IFERROR(__xludf.DUMMYFUNCTION("""COMPUTED_VALUE"""),17)</f>
        <v>17</v>
      </c>
      <c r="C1081" s="5" t="str">
        <f ca="1">IFERROR(__xludf.DUMMYFUNCTION("""COMPUTED_VALUE"""),"Male")</f>
        <v>Male</v>
      </c>
      <c r="D1081" s="5"/>
      <c r="E1081" s="5" t="str">
        <f ca="1">IFERROR(__xludf.DUMMYFUNCTION("""COMPUTED_VALUE"""),"No Relation")</f>
        <v>No Relation</v>
      </c>
      <c r="F1081" s="5" t="str">
        <f ca="1">IFERROR(__xludf.DUMMYFUNCTION("""COMPUTED_VALUE"""),"Fled/Apprehended")</f>
        <v>Fled/Apprehended</v>
      </c>
      <c r="G1081" s="5" t="str">
        <f ca="1">IFERROR(__xludf.DUMMYFUNCTION("""COMPUTED_VALUE"""),"No")</f>
        <v>No</v>
      </c>
      <c r="H1081" s="5" t="str">
        <f ca="1">IFERROR(__xludf.DUMMYFUNCTION("""COMPUTED_VALUE"""),"None")</f>
        <v>None</v>
      </c>
    </row>
    <row r="1082" spans="1:8" ht="13">
      <c r="A1082" s="5" t="str">
        <f ca="1">IFERROR(__xludf.DUMMYFUNCTION("""COMPUTED_VALUE"""),"20180601TXMCM")</f>
        <v>20180601TXMCM</v>
      </c>
      <c r="B1082" s="5" t="str">
        <f ca="1">IFERROR(__xludf.DUMMYFUNCTION("""COMPUTED_VALUE"""),"Teen")</f>
        <v>Teen</v>
      </c>
      <c r="C1082" s="5" t="str">
        <f ca="1">IFERROR(__xludf.DUMMYFUNCTION("""COMPUTED_VALUE"""),"Male")</f>
        <v>Male</v>
      </c>
      <c r="D1082" s="5"/>
      <c r="E1082" s="5" t="str">
        <f ca="1">IFERROR(__xludf.DUMMYFUNCTION("""COMPUTED_VALUE"""),"Student")</f>
        <v>Student</v>
      </c>
      <c r="F1082" s="5" t="str">
        <f ca="1">IFERROR(__xludf.DUMMYFUNCTION("""COMPUTED_VALUE"""),"Suicide")</f>
        <v>Suicide</v>
      </c>
      <c r="G1082" s="5" t="str">
        <f ca="1">IFERROR(__xludf.DUMMYFUNCTION("""COMPUTED_VALUE"""),"Yes")</f>
        <v>Yes</v>
      </c>
      <c r="H1082" s="5" t="str">
        <f ca="1">IFERROR(__xludf.DUMMYFUNCTION("""COMPUTED_VALUE"""),"Suicide")</f>
        <v>Suicide</v>
      </c>
    </row>
    <row r="1083" spans="1:8" ht="13">
      <c r="A1083" s="5" t="str">
        <f ca="1">IFERROR(__xludf.DUMMYFUNCTION("""COMPUTED_VALUE"""),"20180525INNON")</f>
        <v>20180525INNON</v>
      </c>
      <c r="B1083" s="5">
        <f ca="1">IFERROR(__xludf.DUMMYFUNCTION("""COMPUTED_VALUE"""),13)</f>
        <v>13</v>
      </c>
      <c r="C1083" s="5" t="str">
        <f ca="1">IFERROR(__xludf.DUMMYFUNCTION("""COMPUTED_VALUE"""),"Male")</f>
        <v>Male</v>
      </c>
      <c r="D1083" s="5"/>
      <c r="E1083" s="5" t="str">
        <f ca="1">IFERROR(__xludf.DUMMYFUNCTION("""COMPUTED_VALUE"""),"Student")</f>
        <v>Student</v>
      </c>
      <c r="F1083" s="5" t="str">
        <f ca="1">IFERROR(__xludf.DUMMYFUNCTION("""COMPUTED_VALUE"""),"Subdued by Students/Staff/Other")</f>
        <v>Subdued by Students/Staff/Other</v>
      </c>
      <c r="G1083" s="5" t="str">
        <f ca="1">IFERROR(__xludf.DUMMYFUNCTION("""COMPUTED_VALUE"""),"No")</f>
        <v>No</v>
      </c>
      <c r="H1083" s="5" t="str">
        <f ca="1">IFERROR(__xludf.DUMMYFUNCTION("""COMPUTED_VALUE"""),"None")</f>
        <v>None</v>
      </c>
    </row>
    <row r="1084" spans="1:8" ht="13">
      <c r="A1084" s="5" t="str">
        <f ca="1">IFERROR(__xludf.DUMMYFUNCTION("""COMPUTED_VALUE"""),"20180521GABEG")</f>
        <v>20180521GABEG</v>
      </c>
      <c r="B1084" s="5" t="str">
        <f ca="1">IFERROR(__xludf.DUMMYFUNCTION("""COMPUTED_VALUE"""),"Adult")</f>
        <v>Adult</v>
      </c>
      <c r="C1084" s="5"/>
      <c r="D1084" s="5"/>
      <c r="E1084" s="5" t="str">
        <f ca="1">IFERROR(__xludf.DUMMYFUNCTION("""COMPUTED_VALUE"""),"No Relation")</f>
        <v>No Relation</v>
      </c>
      <c r="F1084" s="5" t="str">
        <f ca="1">IFERROR(__xludf.DUMMYFUNCTION("""COMPUTED_VALUE"""),"Fled/Escaped")</f>
        <v>Fled/Escaped</v>
      </c>
      <c r="G1084" s="5" t="str">
        <f ca="1">IFERROR(__xludf.DUMMYFUNCTION("""COMPUTED_VALUE"""),"No")</f>
        <v>No</v>
      </c>
      <c r="H1084" s="5" t="str">
        <f ca="1">IFERROR(__xludf.DUMMYFUNCTION("""COMPUTED_VALUE"""),"None")</f>
        <v>None</v>
      </c>
    </row>
    <row r="1085" spans="1:8" ht="13">
      <c r="A1085" s="5" t="str">
        <f ca="1">IFERROR(__xludf.DUMMYFUNCTION("""COMPUTED_VALUE"""),"20180518TXSAS")</f>
        <v>20180518TXSAS</v>
      </c>
      <c r="B1085" s="5">
        <f ca="1">IFERROR(__xludf.DUMMYFUNCTION("""COMPUTED_VALUE"""),17)</f>
        <v>17</v>
      </c>
      <c r="C1085" s="5" t="str">
        <f ca="1">IFERROR(__xludf.DUMMYFUNCTION("""COMPUTED_VALUE"""),"Male")</f>
        <v>Male</v>
      </c>
      <c r="D1085" s="5" t="str">
        <f ca="1">IFERROR(__xludf.DUMMYFUNCTION("""COMPUTED_VALUE"""),"White")</f>
        <v>White</v>
      </c>
      <c r="E1085" s="5" t="str">
        <f ca="1">IFERROR(__xludf.DUMMYFUNCTION("""COMPUTED_VALUE"""),"Student")</f>
        <v>Student</v>
      </c>
      <c r="F1085" s="5" t="str">
        <f ca="1">IFERROR(__xludf.DUMMYFUNCTION("""COMPUTED_VALUE"""),"Surrendered")</f>
        <v>Surrendered</v>
      </c>
      <c r="G1085" s="5" t="str">
        <f ca="1">IFERROR(__xludf.DUMMYFUNCTION("""COMPUTED_VALUE"""),"No")</f>
        <v>No</v>
      </c>
      <c r="H1085" s="5" t="str">
        <f ca="1">IFERROR(__xludf.DUMMYFUNCTION("""COMPUTED_VALUE"""),"None")</f>
        <v>None</v>
      </c>
    </row>
    <row r="1086" spans="1:8" ht="13">
      <c r="A1086" s="5" t="str">
        <f ca="1">IFERROR(__xludf.DUMMYFUNCTION("""COMPUTED_VALUE"""),"20180518GAMOA")</f>
        <v>20180518GAMOA</v>
      </c>
      <c r="B1086" s="5"/>
      <c r="C1086" s="5"/>
      <c r="D1086" s="5"/>
      <c r="E1086" s="5" t="str">
        <f ca="1">IFERROR(__xludf.DUMMYFUNCTION("""COMPUTED_VALUE"""),"Unknown")</f>
        <v>Unknown</v>
      </c>
      <c r="F1086" s="5" t="str">
        <f ca="1">IFERROR(__xludf.DUMMYFUNCTION("""COMPUTED_VALUE"""),"Fled/Escaped")</f>
        <v>Fled/Escaped</v>
      </c>
      <c r="G1086" s="5" t="str">
        <f ca="1">IFERROR(__xludf.DUMMYFUNCTION("""COMPUTED_VALUE"""),"No")</f>
        <v>No</v>
      </c>
      <c r="H1086" s="5" t="str">
        <f ca="1">IFERROR(__xludf.DUMMYFUNCTION("""COMPUTED_VALUE"""),"None")</f>
        <v>None</v>
      </c>
    </row>
    <row r="1087" spans="1:8" ht="13">
      <c r="A1087" s="5" t="str">
        <f ca="1">IFERROR(__xludf.DUMMYFUNCTION("""COMPUTED_VALUE"""),"20180517MOCEK")</f>
        <v>20180517MOCEK</v>
      </c>
      <c r="B1087" s="5">
        <f ca="1">IFERROR(__xludf.DUMMYFUNCTION("""COMPUTED_VALUE"""),21)</f>
        <v>21</v>
      </c>
      <c r="C1087" s="5" t="str">
        <f ca="1">IFERROR(__xludf.DUMMYFUNCTION("""COMPUTED_VALUE"""),"Male")</f>
        <v>Male</v>
      </c>
      <c r="D1087" s="5" t="str">
        <f ca="1">IFERROR(__xludf.DUMMYFUNCTION("""COMPUTED_VALUE"""),"Black")</f>
        <v>Black</v>
      </c>
      <c r="E1087" s="5" t="str">
        <f ca="1">IFERROR(__xludf.DUMMYFUNCTION("""COMPUTED_VALUE"""),"Unknown")</f>
        <v>Unknown</v>
      </c>
      <c r="F1087" s="5" t="str">
        <f ca="1">IFERROR(__xludf.DUMMYFUNCTION("""COMPUTED_VALUE"""),"Fled/Apprehended")</f>
        <v>Fled/Apprehended</v>
      </c>
      <c r="G1087" s="5" t="str">
        <f ca="1">IFERROR(__xludf.DUMMYFUNCTION("""COMPUTED_VALUE"""),"No")</f>
        <v>No</v>
      </c>
      <c r="H1087" s="5" t="str">
        <f ca="1">IFERROR(__xludf.DUMMYFUNCTION("""COMPUTED_VALUE"""),"None")</f>
        <v>None</v>
      </c>
    </row>
    <row r="1088" spans="1:8" ht="13">
      <c r="A1088" s="5" t="str">
        <f ca="1">IFERROR(__xludf.DUMMYFUNCTION("""COMPUTED_VALUE"""),"20180516ILDID")</f>
        <v>20180516ILDID</v>
      </c>
      <c r="B1088" s="5">
        <f ca="1">IFERROR(__xludf.DUMMYFUNCTION("""COMPUTED_VALUE"""),19)</f>
        <v>19</v>
      </c>
      <c r="C1088" s="5" t="str">
        <f ca="1">IFERROR(__xludf.DUMMYFUNCTION("""COMPUTED_VALUE"""),"Male")</f>
        <v>Male</v>
      </c>
      <c r="D1088" s="5" t="str">
        <f ca="1">IFERROR(__xludf.DUMMYFUNCTION("""COMPUTED_VALUE"""),"White")</f>
        <v>White</v>
      </c>
      <c r="E1088" s="5" t="str">
        <f ca="1">IFERROR(__xludf.DUMMYFUNCTION("""COMPUTED_VALUE"""),"Student")</f>
        <v>Student</v>
      </c>
      <c r="F1088" s="5" t="str">
        <f ca="1">IFERROR(__xludf.DUMMYFUNCTION("""COMPUTED_VALUE"""),"Apprehended/Killed by SRO")</f>
        <v>Apprehended/Killed by SRO</v>
      </c>
      <c r="G1088" s="5" t="str">
        <f ca="1">IFERROR(__xludf.DUMMYFUNCTION("""COMPUTED_VALUE"""),"No")</f>
        <v>No</v>
      </c>
      <c r="H1088" s="5" t="str">
        <f ca="1">IFERROR(__xludf.DUMMYFUNCTION("""COMPUTED_VALUE"""),"None")</f>
        <v>None</v>
      </c>
    </row>
    <row r="1089" spans="1:8" ht="13">
      <c r="A1089" s="5" t="str">
        <f ca="1">IFERROR(__xludf.DUMMYFUNCTION("""COMPUTED_VALUE"""),"20180511CAHIP")</f>
        <v>20180511CAHIP</v>
      </c>
      <c r="B1089" s="5">
        <f ca="1">IFERROR(__xludf.DUMMYFUNCTION("""COMPUTED_VALUE"""),14)</f>
        <v>14</v>
      </c>
      <c r="C1089" s="5" t="str">
        <f ca="1">IFERROR(__xludf.DUMMYFUNCTION("""COMPUTED_VALUE"""),"Male")</f>
        <v>Male</v>
      </c>
      <c r="D1089" s="5"/>
      <c r="E1089" s="5" t="str">
        <f ca="1">IFERROR(__xludf.DUMMYFUNCTION("""COMPUTED_VALUE"""),"Former Student")</f>
        <v>Former Student</v>
      </c>
      <c r="F1089" s="5" t="str">
        <f ca="1">IFERROR(__xludf.DUMMYFUNCTION("""COMPUTED_VALUE"""),"Fled/Apprehended")</f>
        <v>Fled/Apprehended</v>
      </c>
      <c r="G1089" s="5" t="str">
        <f ca="1">IFERROR(__xludf.DUMMYFUNCTION("""COMPUTED_VALUE"""),"No")</f>
        <v>No</v>
      </c>
      <c r="H1089" s="5" t="str">
        <f ca="1">IFERROR(__xludf.DUMMYFUNCTION("""COMPUTED_VALUE"""),"None")</f>
        <v>None</v>
      </c>
    </row>
    <row r="1090" spans="1:8" ht="13">
      <c r="A1090" s="5" t="str">
        <f ca="1">IFERROR(__xludf.DUMMYFUNCTION("""COMPUTED_VALUE"""),"20180505MIFOF")</f>
        <v>20180505MIFOF</v>
      </c>
      <c r="B1090" s="5" t="str">
        <f ca="1">IFERROR(__xludf.DUMMYFUNCTION("""COMPUTED_VALUE"""),"Adult")</f>
        <v>Adult</v>
      </c>
      <c r="C1090" s="5" t="str">
        <f ca="1">IFERROR(__xludf.DUMMYFUNCTION("""COMPUTED_VALUE"""),"Male")</f>
        <v>Male</v>
      </c>
      <c r="D1090" s="5"/>
      <c r="E1090" s="5" t="str">
        <f ca="1">IFERROR(__xludf.DUMMYFUNCTION("""COMPUTED_VALUE"""),"Police Officer/SRO")</f>
        <v>Police Officer/SRO</v>
      </c>
      <c r="F1090" s="5" t="str">
        <f ca="1">IFERROR(__xludf.DUMMYFUNCTION("""COMPUTED_VALUE"""),"Law Enforcement")</f>
        <v>Law Enforcement</v>
      </c>
      <c r="G1090" s="5" t="str">
        <f ca="1">IFERROR(__xludf.DUMMYFUNCTION("""COMPUTED_VALUE"""),"No")</f>
        <v>No</v>
      </c>
      <c r="H1090" s="5" t="str">
        <f ca="1">IFERROR(__xludf.DUMMYFUNCTION("""COMPUTED_VALUE"""),"None")</f>
        <v>None</v>
      </c>
    </row>
    <row r="1091" spans="1:8" ht="13">
      <c r="A1091" s="5" t="str">
        <f ca="1">IFERROR(__xludf.DUMMYFUNCTION("""COMPUTED_VALUE"""),"20180503TNWAW")</f>
        <v>20180503TNWAW</v>
      </c>
      <c r="B1091" s="5" t="str">
        <f ca="1">IFERROR(__xludf.DUMMYFUNCTION("""COMPUTED_VALUE"""),"Teen")</f>
        <v>Teen</v>
      </c>
      <c r="C1091" s="5"/>
      <c r="D1091" s="5"/>
      <c r="E1091" s="5" t="str">
        <f ca="1">IFERROR(__xludf.DUMMYFUNCTION("""COMPUTED_VALUE"""),"Student")</f>
        <v>Student</v>
      </c>
      <c r="F1091" s="5" t="str">
        <f ca="1">IFERROR(__xludf.DUMMYFUNCTION("""COMPUTED_VALUE"""),"Unknown")</f>
        <v>Unknown</v>
      </c>
      <c r="G1091" s="5" t="str">
        <f ca="1">IFERROR(__xludf.DUMMYFUNCTION("""COMPUTED_VALUE"""),"No")</f>
        <v>No</v>
      </c>
      <c r="H1091" s="5" t="str">
        <f ca="1">IFERROR(__xludf.DUMMYFUNCTION("""COMPUTED_VALUE"""),"None")</f>
        <v>None</v>
      </c>
    </row>
    <row r="1092" spans="1:8" ht="13">
      <c r="A1092" s="5" t="str">
        <f ca="1">IFERROR(__xludf.DUMMYFUNCTION("""COMPUTED_VALUE"""),"20180503SDENW")</f>
        <v>20180503SDENW</v>
      </c>
      <c r="B1092" s="5"/>
      <c r="C1092" s="5"/>
      <c r="D1092" s="5"/>
      <c r="E1092" s="5" t="str">
        <f ca="1">IFERROR(__xludf.DUMMYFUNCTION("""COMPUTED_VALUE"""),"Unknown")</f>
        <v>Unknown</v>
      </c>
      <c r="F1092" s="5" t="str">
        <f ca="1">IFERROR(__xludf.DUMMYFUNCTION("""COMPUTED_VALUE"""),"Fled/Apprehended")</f>
        <v>Fled/Apprehended</v>
      </c>
      <c r="G1092" s="5" t="str">
        <f ca="1">IFERROR(__xludf.DUMMYFUNCTION("""COMPUTED_VALUE"""),"No")</f>
        <v>No</v>
      </c>
      <c r="H1092" s="5" t="str">
        <f ca="1">IFERROR(__xludf.DUMMYFUNCTION("""COMPUTED_VALUE"""),"None")</f>
        <v>None</v>
      </c>
    </row>
    <row r="1093" spans="1:8" ht="13">
      <c r="A1093" s="5" t="str">
        <f ca="1">IFERROR(__xludf.DUMMYFUNCTION("""COMPUTED_VALUE"""),"20180425NMHIA")</f>
        <v>20180425NMHIA</v>
      </c>
      <c r="B1093" s="5" t="str">
        <f ca="1">IFERROR(__xludf.DUMMYFUNCTION("""COMPUTED_VALUE"""),"Adult")</f>
        <v>Adult</v>
      </c>
      <c r="C1093" s="5" t="str">
        <f ca="1">IFERROR(__xludf.DUMMYFUNCTION("""COMPUTED_VALUE"""),"Male")</f>
        <v>Male</v>
      </c>
      <c r="D1093" s="5" t="str">
        <f ca="1">IFERROR(__xludf.DUMMYFUNCTION("""COMPUTED_VALUE"""),"Hispanic")</f>
        <v>Hispanic</v>
      </c>
      <c r="E1093" s="5" t="str">
        <f ca="1">IFERROR(__xludf.DUMMYFUNCTION("""COMPUTED_VALUE"""),"Parent")</f>
        <v>Parent</v>
      </c>
      <c r="F1093" s="5" t="str">
        <f ca="1">IFERROR(__xludf.DUMMYFUNCTION("""COMPUTED_VALUE"""),"Apprehended/Killed by LE")</f>
        <v>Apprehended/Killed by LE</v>
      </c>
      <c r="G1093" s="5" t="str">
        <f ca="1">IFERROR(__xludf.DUMMYFUNCTION("""COMPUTED_VALUE"""),"No")</f>
        <v>No</v>
      </c>
      <c r="H1093" s="5" t="str">
        <f ca="1">IFERROR(__xludf.DUMMYFUNCTION("""COMPUTED_VALUE"""),"None")</f>
        <v>None</v>
      </c>
    </row>
    <row r="1094" spans="1:8" ht="13">
      <c r="A1094" s="5" t="str">
        <f ca="1">IFERROR(__xludf.DUMMYFUNCTION("""COMPUTED_VALUE"""),"20180423GABEA")</f>
        <v>20180423GABEA</v>
      </c>
      <c r="B1094" s="5"/>
      <c r="C1094" s="5" t="str">
        <f ca="1">IFERROR(__xludf.DUMMYFUNCTION("""COMPUTED_VALUE"""),"Male")</f>
        <v>Male</v>
      </c>
      <c r="D1094" s="5" t="str">
        <f ca="1">IFERROR(__xludf.DUMMYFUNCTION("""COMPUTED_VALUE"""),"Black")</f>
        <v>Black</v>
      </c>
      <c r="E1094" s="5" t="str">
        <f ca="1">IFERROR(__xludf.DUMMYFUNCTION("""COMPUTED_VALUE"""),"Intimate Relationship")</f>
        <v>Intimate Relationship</v>
      </c>
      <c r="F1094" s="5" t="str">
        <f ca="1">IFERROR(__xludf.DUMMYFUNCTION("""COMPUTED_VALUE"""),"Fled/Apprehended")</f>
        <v>Fled/Apprehended</v>
      </c>
      <c r="G1094" s="5" t="str">
        <f ca="1">IFERROR(__xludf.DUMMYFUNCTION("""COMPUTED_VALUE"""),"No")</f>
        <v>No</v>
      </c>
      <c r="H1094" s="5" t="str">
        <f ca="1">IFERROR(__xludf.DUMMYFUNCTION("""COMPUTED_VALUE"""),"None")</f>
        <v>None</v>
      </c>
    </row>
    <row r="1095" spans="1:8" ht="13">
      <c r="A1095" s="5" t="str">
        <f ca="1">IFERROR(__xludf.DUMMYFUNCTION("""COMPUTED_VALUE"""),"20180420FLFOO")</f>
        <v>20180420FLFOO</v>
      </c>
      <c r="B1095" s="5">
        <f ca="1">IFERROR(__xludf.DUMMYFUNCTION("""COMPUTED_VALUE"""),19)</f>
        <v>19</v>
      </c>
      <c r="C1095" s="5" t="str">
        <f ca="1">IFERROR(__xludf.DUMMYFUNCTION("""COMPUTED_VALUE"""),"Male")</f>
        <v>Male</v>
      </c>
      <c r="D1095" s="5" t="str">
        <f ca="1">IFERROR(__xludf.DUMMYFUNCTION("""COMPUTED_VALUE"""),"White")</f>
        <v>White</v>
      </c>
      <c r="E1095" s="5" t="str">
        <f ca="1">IFERROR(__xludf.DUMMYFUNCTION("""COMPUTED_VALUE"""),"Former Student")</f>
        <v>Former Student</v>
      </c>
      <c r="F1095" s="5" t="str">
        <f ca="1">IFERROR(__xludf.DUMMYFUNCTION("""COMPUTED_VALUE"""),"Surrendered")</f>
        <v>Surrendered</v>
      </c>
      <c r="G1095" s="5" t="str">
        <f ca="1">IFERROR(__xludf.DUMMYFUNCTION("""COMPUTED_VALUE"""),"No")</f>
        <v>No</v>
      </c>
      <c r="H1095" s="5" t="str">
        <f ca="1">IFERROR(__xludf.DUMMYFUNCTION("""COMPUTED_VALUE"""),"None")</f>
        <v>None</v>
      </c>
    </row>
    <row r="1096" spans="1:8" ht="13">
      <c r="A1096" s="5" t="str">
        <f ca="1">IFERROR(__xludf.DUMMYFUNCTION("""COMPUTED_VALUE"""),"20180419MIJAJ")</f>
        <v>20180419MIJAJ</v>
      </c>
      <c r="B1096" s="5"/>
      <c r="C1096" s="5"/>
      <c r="D1096" s="5"/>
      <c r="E1096" s="5" t="str">
        <f ca="1">IFERROR(__xludf.DUMMYFUNCTION("""COMPUTED_VALUE"""),"No Relation")</f>
        <v>No Relation</v>
      </c>
      <c r="F1096" s="5" t="str">
        <f ca="1">IFERROR(__xludf.DUMMYFUNCTION("""COMPUTED_VALUE"""),"Fled/Escaped")</f>
        <v>Fled/Escaped</v>
      </c>
      <c r="G1096" s="5" t="str">
        <f ca="1">IFERROR(__xludf.DUMMYFUNCTION("""COMPUTED_VALUE"""),"No")</f>
        <v>No</v>
      </c>
      <c r="H1096" s="5" t="str">
        <f ca="1">IFERROR(__xludf.DUMMYFUNCTION("""COMPUTED_VALUE"""),"None")</f>
        <v>None</v>
      </c>
    </row>
    <row r="1097" spans="1:8" ht="13">
      <c r="A1097" s="5" t="str">
        <f ca="1">IFERROR(__xludf.DUMMYFUNCTION("""COMPUTED_VALUE"""),"20180412MORAR")</f>
        <v>20180412MORAR</v>
      </c>
      <c r="B1097" s="5"/>
      <c r="C1097" s="5" t="str">
        <f ca="1">IFERROR(__xludf.DUMMYFUNCTION("""COMPUTED_VALUE"""),"Male")</f>
        <v>Male</v>
      </c>
      <c r="D1097" s="5"/>
      <c r="E1097" s="5" t="str">
        <f ca="1">IFERROR(__xludf.DUMMYFUNCTION("""COMPUTED_VALUE"""),"Unknown")</f>
        <v>Unknown</v>
      </c>
      <c r="F1097" s="5" t="str">
        <f ca="1">IFERROR(__xludf.DUMMYFUNCTION("""COMPUTED_VALUE"""),"Fled/Escaped")</f>
        <v>Fled/Escaped</v>
      </c>
      <c r="G1097" s="5" t="str">
        <f ca="1">IFERROR(__xludf.DUMMYFUNCTION("""COMPUTED_VALUE"""),"No")</f>
        <v>No</v>
      </c>
      <c r="H1097" s="5" t="str">
        <f ca="1">IFERROR(__xludf.DUMMYFUNCTION("""COMPUTED_VALUE"""),"None")</f>
        <v>None</v>
      </c>
    </row>
    <row r="1098" spans="1:8" ht="13">
      <c r="A1098" s="5" t="str">
        <f ca="1">IFERROR(__xludf.DUMMYFUNCTION("""COMPUTED_VALUE"""),"20180409NYGLG")</f>
        <v>20180409NYGLG</v>
      </c>
      <c r="B1098" s="5">
        <f ca="1">IFERROR(__xludf.DUMMYFUNCTION("""COMPUTED_VALUE"""),16)</f>
        <v>16</v>
      </c>
      <c r="C1098" s="5" t="str">
        <f ca="1">IFERROR(__xludf.DUMMYFUNCTION("""COMPUTED_VALUE"""),"Male")</f>
        <v>Male</v>
      </c>
      <c r="D1098" s="5"/>
      <c r="E1098" s="5" t="str">
        <f ca="1">IFERROR(__xludf.DUMMYFUNCTION("""COMPUTED_VALUE"""),"Student")</f>
        <v>Student</v>
      </c>
      <c r="F1098" s="5" t="str">
        <f ca="1">IFERROR(__xludf.DUMMYFUNCTION("""COMPUTED_VALUE"""),"Fled/Apprehended")</f>
        <v>Fled/Apprehended</v>
      </c>
      <c r="G1098" s="5" t="str">
        <f ca="1">IFERROR(__xludf.DUMMYFUNCTION("""COMPUTED_VALUE"""),"No")</f>
        <v>No</v>
      </c>
      <c r="H1098" s="5" t="str">
        <f ca="1">IFERROR(__xludf.DUMMYFUNCTION("""COMPUTED_VALUE"""),"None")</f>
        <v>None</v>
      </c>
    </row>
    <row r="1099" spans="1:8" ht="13">
      <c r="A1099" s="5" t="str">
        <f ca="1">IFERROR(__xludf.DUMMYFUNCTION("""COMPUTED_VALUE"""),"20180329KYJOE")</f>
        <v>20180329KYJOE</v>
      </c>
      <c r="B1099" s="5">
        <f ca="1">IFERROR(__xludf.DUMMYFUNCTION("""COMPUTED_VALUE"""),51)</f>
        <v>51</v>
      </c>
      <c r="C1099" s="5" t="str">
        <f ca="1">IFERROR(__xludf.DUMMYFUNCTION("""COMPUTED_VALUE"""),"Male")</f>
        <v>Male</v>
      </c>
      <c r="D1099" s="5" t="str">
        <f ca="1">IFERROR(__xludf.DUMMYFUNCTION("""COMPUTED_VALUE"""),"White")</f>
        <v>White</v>
      </c>
      <c r="E1099" s="5" t="str">
        <f ca="1">IFERROR(__xludf.DUMMYFUNCTION("""COMPUTED_VALUE"""),"Parent")</f>
        <v>Parent</v>
      </c>
      <c r="F1099" s="5" t="str">
        <f ca="1">IFERROR(__xludf.DUMMYFUNCTION("""COMPUTED_VALUE"""),"Apprehended/Killed by LE")</f>
        <v>Apprehended/Killed by LE</v>
      </c>
      <c r="G1099" s="5" t="str">
        <f ca="1">IFERROR(__xludf.DUMMYFUNCTION("""COMPUTED_VALUE"""),"Yes")</f>
        <v>Yes</v>
      </c>
      <c r="H1099" s="5" t="str">
        <f ca="1">IFERROR(__xludf.DUMMYFUNCTION("""COMPUTED_VALUE"""),"Fatal")</f>
        <v>Fatal</v>
      </c>
    </row>
    <row r="1100" spans="1:8" ht="13">
      <c r="A1100" s="5" t="str">
        <f ca="1">IFERROR(__xludf.DUMMYFUNCTION("""COMPUTED_VALUE"""),"20180328MSEUE")</f>
        <v>20180328MSEUE</v>
      </c>
      <c r="B1100" s="5">
        <f ca="1">IFERROR(__xludf.DUMMYFUNCTION("""COMPUTED_VALUE"""),21)</f>
        <v>21</v>
      </c>
      <c r="C1100" s="5" t="str">
        <f ca="1">IFERROR(__xludf.DUMMYFUNCTION("""COMPUTED_VALUE"""),"Male")</f>
        <v>Male</v>
      </c>
      <c r="D1100" s="5" t="str">
        <f ca="1">IFERROR(__xludf.DUMMYFUNCTION("""COMPUTED_VALUE"""),"White")</f>
        <v>White</v>
      </c>
      <c r="E1100" s="5" t="str">
        <f ca="1">IFERROR(__xludf.DUMMYFUNCTION("""COMPUTED_VALUE"""),"Former Student")</f>
        <v>Former Student</v>
      </c>
      <c r="F1100" s="5" t="str">
        <f ca="1">IFERROR(__xludf.DUMMYFUNCTION("""COMPUTED_VALUE"""),"Fled/Apprehended")</f>
        <v>Fled/Apprehended</v>
      </c>
      <c r="G1100" s="5" t="str">
        <f ca="1">IFERROR(__xludf.DUMMYFUNCTION("""COMPUTED_VALUE"""),"No")</f>
        <v>No</v>
      </c>
      <c r="H1100" s="5" t="str">
        <f ca="1">IFERROR(__xludf.DUMMYFUNCTION("""COMPUTED_VALUE"""),"None")</f>
        <v>None</v>
      </c>
    </row>
    <row r="1101" spans="1:8" ht="13">
      <c r="A1101" s="5" t="str">
        <f ca="1">IFERROR(__xludf.DUMMYFUNCTION("""COMPUTED_VALUE"""),"20180320MDGRG")</f>
        <v>20180320MDGRG</v>
      </c>
      <c r="B1101" s="5">
        <f ca="1">IFERROR(__xludf.DUMMYFUNCTION("""COMPUTED_VALUE"""),17)</f>
        <v>17</v>
      </c>
      <c r="C1101" s="5" t="str">
        <f ca="1">IFERROR(__xludf.DUMMYFUNCTION("""COMPUTED_VALUE"""),"Male")</f>
        <v>Male</v>
      </c>
      <c r="D1101" s="5" t="str">
        <f ca="1">IFERROR(__xludf.DUMMYFUNCTION("""COMPUTED_VALUE"""),"White")</f>
        <v>White</v>
      </c>
      <c r="E1101" s="5" t="str">
        <f ca="1">IFERROR(__xludf.DUMMYFUNCTION("""COMPUTED_VALUE"""),"Student")</f>
        <v>Student</v>
      </c>
      <c r="F1101" s="5" t="str">
        <f ca="1">IFERROR(__xludf.DUMMYFUNCTION("""COMPUTED_VALUE"""),"Suicide")</f>
        <v>Suicide</v>
      </c>
      <c r="G1101" s="5" t="str">
        <f ca="1">IFERROR(__xludf.DUMMYFUNCTION("""COMPUTED_VALUE"""),"Yes")</f>
        <v>Yes</v>
      </c>
      <c r="H1101" s="5" t="str">
        <f ca="1">IFERROR(__xludf.DUMMYFUNCTION("""COMPUTED_VALUE"""),"Suicide")</f>
        <v>Suicide</v>
      </c>
    </row>
    <row r="1102" spans="1:8" ht="13">
      <c r="A1102" s="5" t="str">
        <f ca="1">IFERROR(__xludf.DUMMYFUNCTION("""COMPUTED_VALUE"""),"20180319VADOP")</f>
        <v>20180319VADOP</v>
      </c>
      <c r="B1102" s="5" t="str">
        <f ca="1">IFERROR(__xludf.DUMMYFUNCTION("""COMPUTED_VALUE"""),"Adult")</f>
        <v>Adult</v>
      </c>
      <c r="C1102" s="5"/>
      <c r="D1102" s="5"/>
      <c r="E1102" s="5" t="str">
        <f ca="1">IFERROR(__xludf.DUMMYFUNCTION("""COMPUTED_VALUE"""),"No Relation")</f>
        <v>No Relation</v>
      </c>
      <c r="F1102" s="5" t="str">
        <f ca="1">IFERROR(__xludf.DUMMYFUNCTION("""COMPUTED_VALUE"""),"Fled/Escaped")</f>
        <v>Fled/Escaped</v>
      </c>
      <c r="G1102" s="5" t="str">
        <f ca="1">IFERROR(__xludf.DUMMYFUNCTION("""COMPUTED_VALUE"""),"No")</f>
        <v>No</v>
      </c>
      <c r="H1102" s="5" t="str">
        <f ca="1">IFERROR(__xludf.DUMMYFUNCTION("""COMPUTED_VALUE"""),"None")</f>
        <v>None</v>
      </c>
    </row>
    <row r="1103" spans="1:8" ht="13">
      <c r="A1103" s="5" t="str">
        <f ca="1">IFERROR(__xludf.DUMMYFUNCTION("""COMPUTED_VALUE"""),"20180316MTBIM")</f>
        <v>20180316MTBIM</v>
      </c>
      <c r="B1103" s="5" t="str">
        <f ca="1">IFERROR(__xludf.DUMMYFUNCTION("""COMPUTED_VALUE"""),"Adult")</f>
        <v>Adult</v>
      </c>
      <c r="C1103" s="5" t="str">
        <f ca="1">IFERROR(__xludf.DUMMYFUNCTION("""COMPUTED_VALUE"""),"Male")</f>
        <v>Male</v>
      </c>
      <c r="D1103" s="5"/>
      <c r="E1103" s="5" t="str">
        <f ca="1">IFERROR(__xludf.DUMMYFUNCTION("""COMPUTED_VALUE"""),"Police Officer/SRO")</f>
        <v>Police Officer/SRO</v>
      </c>
      <c r="F1103" s="5" t="str">
        <f ca="1">IFERROR(__xludf.DUMMYFUNCTION("""COMPUTED_VALUE"""),"Law Enforcement")</f>
        <v>Law Enforcement</v>
      </c>
      <c r="G1103" s="5" t="str">
        <f ca="1">IFERROR(__xludf.DUMMYFUNCTION("""COMPUTED_VALUE"""),"No")</f>
        <v>No</v>
      </c>
      <c r="H1103" s="5" t="str">
        <f ca="1">IFERROR(__xludf.DUMMYFUNCTION("""COMPUTED_VALUE"""),"None")</f>
        <v>None</v>
      </c>
    </row>
    <row r="1104" spans="1:8" ht="13">
      <c r="A1104" s="5" t="str">
        <f ca="1">IFERROR(__xludf.DUMMYFUNCTION("""COMPUTED_VALUE"""),"20180313VAGEA")</f>
        <v>20180313VAGEA</v>
      </c>
      <c r="B1104" s="5">
        <f ca="1">IFERROR(__xludf.DUMMYFUNCTION("""COMPUTED_VALUE"""),27)</f>
        <v>27</v>
      </c>
      <c r="C1104" s="5" t="str">
        <f ca="1">IFERROR(__xludf.DUMMYFUNCTION("""COMPUTED_VALUE"""),"Male")</f>
        <v>Male</v>
      </c>
      <c r="D1104" s="5" t="str">
        <f ca="1">IFERROR(__xludf.DUMMYFUNCTION("""COMPUTED_VALUE"""),"Black")</f>
        <v>Black</v>
      </c>
      <c r="E1104" s="5" t="str">
        <f ca="1">IFERROR(__xludf.DUMMYFUNCTION("""COMPUTED_VALUE"""),"Police Officer/SRO")</f>
        <v>Police Officer/SRO</v>
      </c>
      <c r="F1104" s="5" t="str">
        <f ca="1">IFERROR(__xludf.DUMMYFUNCTION("""COMPUTED_VALUE"""),"Surrendered")</f>
        <v>Surrendered</v>
      </c>
      <c r="G1104" s="5" t="str">
        <f ca="1">IFERROR(__xludf.DUMMYFUNCTION("""COMPUTED_VALUE"""),"No")</f>
        <v>No</v>
      </c>
      <c r="H1104" s="5" t="str">
        <f ca="1">IFERROR(__xludf.DUMMYFUNCTION("""COMPUTED_VALUE"""),"None")</f>
        <v>None</v>
      </c>
    </row>
    <row r="1105" spans="1:8" ht="13">
      <c r="A1105" s="5" t="str">
        <f ca="1">IFERROR(__xludf.DUMMYFUNCTION("""COMPUTED_VALUE"""),"20180313CASES")</f>
        <v>20180313CASES</v>
      </c>
      <c r="B1105" s="5" t="str">
        <f ca="1">IFERROR(__xludf.DUMMYFUNCTION("""COMPUTED_VALUE"""),"Adult")</f>
        <v>Adult</v>
      </c>
      <c r="C1105" s="5" t="str">
        <f ca="1">IFERROR(__xludf.DUMMYFUNCTION("""COMPUTED_VALUE"""),"Male")</f>
        <v>Male</v>
      </c>
      <c r="D1105" s="5" t="str">
        <f ca="1">IFERROR(__xludf.DUMMYFUNCTION("""COMPUTED_VALUE"""),"White")</f>
        <v>White</v>
      </c>
      <c r="E1105" s="5" t="str">
        <f ca="1">IFERROR(__xludf.DUMMYFUNCTION("""COMPUTED_VALUE"""),"Police Officer/SRO")</f>
        <v>Police Officer/SRO</v>
      </c>
      <c r="F1105" s="5" t="str">
        <f ca="1">IFERROR(__xludf.DUMMYFUNCTION("""COMPUTED_VALUE"""),"Surrendered")</f>
        <v>Surrendered</v>
      </c>
      <c r="G1105" s="5" t="str">
        <f ca="1">IFERROR(__xludf.DUMMYFUNCTION("""COMPUTED_VALUE"""),"No")</f>
        <v>No</v>
      </c>
      <c r="H1105" s="5" t="str">
        <f ca="1">IFERROR(__xludf.DUMMYFUNCTION("""COMPUTED_VALUE"""),"None")</f>
        <v>None</v>
      </c>
    </row>
    <row r="1106" spans="1:8" ht="13">
      <c r="A1106" s="5" t="str">
        <f ca="1">IFERROR(__xludf.DUMMYFUNCTION("""COMPUTED_VALUE"""),"20180309KYFRL")</f>
        <v>20180309KYFRL</v>
      </c>
      <c r="B1106" s="5" t="str">
        <f ca="1">IFERROR(__xludf.DUMMYFUNCTION("""COMPUTED_VALUE"""),"Teen")</f>
        <v>Teen</v>
      </c>
      <c r="C1106" s="5" t="str">
        <f ca="1">IFERROR(__xludf.DUMMYFUNCTION("""COMPUTED_VALUE"""),"Male")</f>
        <v>Male</v>
      </c>
      <c r="D1106" s="5"/>
      <c r="E1106" s="5" t="str">
        <f ca="1">IFERROR(__xludf.DUMMYFUNCTION("""COMPUTED_VALUE"""),"Student")</f>
        <v>Student</v>
      </c>
      <c r="F1106" s="5" t="str">
        <f ca="1">IFERROR(__xludf.DUMMYFUNCTION("""COMPUTED_VALUE"""),"Unknown")</f>
        <v>Unknown</v>
      </c>
      <c r="G1106" s="5" t="str">
        <f ca="1">IFERROR(__xludf.DUMMYFUNCTION("""COMPUTED_VALUE"""),"No")</f>
        <v>No</v>
      </c>
      <c r="H1106" s="5" t="str">
        <f ca="1">IFERROR(__xludf.DUMMYFUNCTION("""COMPUTED_VALUE"""),"Wounded")</f>
        <v>Wounded</v>
      </c>
    </row>
    <row r="1107" spans="1:8" ht="13">
      <c r="A1107" s="5" t="str">
        <f ca="1">IFERROR(__xludf.DUMMYFUNCTION("""COMPUTED_VALUE"""),"20180307ALHUB")</f>
        <v>20180307ALHUB</v>
      </c>
      <c r="B1107" s="5">
        <f ca="1">IFERROR(__xludf.DUMMYFUNCTION("""COMPUTED_VALUE"""),17)</f>
        <v>17</v>
      </c>
      <c r="C1107" s="5" t="str">
        <f ca="1">IFERROR(__xludf.DUMMYFUNCTION("""COMPUTED_VALUE"""),"Male")</f>
        <v>Male</v>
      </c>
      <c r="D1107" s="5" t="str">
        <f ca="1">IFERROR(__xludf.DUMMYFUNCTION("""COMPUTED_VALUE"""),"Black")</f>
        <v>Black</v>
      </c>
      <c r="E1107" s="5" t="str">
        <f ca="1">IFERROR(__xludf.DUMMYFUNCTION("""COMPUTED_VALUE"""),"Student")</f>
        <v>Student</v>
      </c>
      <c r="F1107" s="5" t="str">
        <f ca="1">IFERROR(__xludf.DUMMYFUNCTION("""COMPUTED_VALUE"""),"Fled/Apprehended")</f>
        <v>Fled/Apprehended</v>
      </c>
      <c r="G1107" s="5" t="str">
        <f ca="1">IFERROR(__xludf.DUMMYFUNCTION("""COMPUTED_VALUE"""),"No")</f>
        <v>No</v>
      </c>
      <c r="H1107" s="5" t="str">
        <f ca="1">IFERROR(__xludf.DUMMYFUNCTION("""COMPUTED_VALUE"""),"Wounded")</f>
        <v>Wounded</v>
      </c>
    </row>
    <row r="1108" spans="1:8" ht="13">
      <c r="A1108" s="5" t="str">
        <f ca="1">IFERROR(__xludf.DUMMYFUNCTION("""COMPUTED_VALUE"""),"20180305MOKIC")</f>
        <v>20180305MOKIC</v>
      </c>
      <c r="B1108" s="5">
        <f ca="1">IFERROR(__xludf.DUMMYFUNCTION("""COMPUTED_VALUE"""),17)</f>
        <v>17</v>
      </c>
      <c r="C1108" s="5" t="str">
        <f ca="1">IFERROR(__xludf.DUMMYFUNCTION("""COMPUTED_VALUE"""),"Male")</f>
        <v>Male</v>
      </c>
      <c r="D1108" s="5"/>
      <c r="E1108" s="5" t="str">
        <f ca="1">IFERROR(__xludf.DUMMYFUNCTION("""COMPUTED_VALUE"""),"Student")</f>
        <v>Student</v>
      </c>
      <c r="F1108" s="5" t="str">
        <f ca="1">IFERROR(__xludf.DUMMYFUNCTION("""COMPUTED_VALUE"""),"Suicide")</f>
        <v>Suicide</v>
      </c>
      <c r="G1108" s="5" t="str">
        <f ca="1">IFERROR(__xludf.DUMMYFUNCTION("""COMPUTED_VALUE"""),"Yes")</f>
        <v>Yes</v>
      </c>
      <c r="H1108" s="5" t="str">
        <f ca="1">IFERROR(__xludf.DUMMYFUNCTION("""COMPUTED_VALUE"""),"Suicide")</f>
        <v>Suicide</v>
      </c>
    </row>
    <row r="1109" spans="1:8" ht="13">
      <c r="A1109" s="5" t="str">
        <f ca="1">IFERROR(__xludf.DUMMYFUNCTION("""COMPUTED_VALUE"""),"20180228GADAD")</f>
        <v>20180228GADAD</v>
      </c>
      <c r="B1109" s="5">
        <f ca="1">IFERROR(__xludf.DUMMYFUNCTION("""COMPUTED_VALUE"""),53)</f>
        <v>53</v>
      </c>
      <c r="C1109" s="5" t="str">
        <f ca="1">IFERROR(__xludf.DUMMYFUNCTION("""COMPUTED_VALUE"""),"Male")</f>
        <v>Male</v>
      </c>
      <c r="D1109" s="5" t="str">
        <f ca="1">IFERROR(__xludf.DUMMYFUNCTION("""COMPUTED_VALUE"""),"White")</f>
        <v>White</v>
      </c>
      <c r="E1109" s="5" t="str">
        <f ca="1">IFERROR(__xludf.DUMMYFUNCTION("""COMPUTED_VALUE"""),"Teacher")</f>
        <v>Teacher</v>
      </c>
      <c r="F1109" s="5" t="str">
        <f ca="1">IFERROR(__xludf.DUMMYFUNCTION("""COMPUTED_VALUE"""),"Surrendered")</f>
        <v>Surrendered</v>
      </c>
      <c r="G1109" s="5" t="str">
        <f ca="1">IFERROR(__xludf.DUMMYFUNCTION("""COMPUTED_VALUE"""),"No")</f>
        <v>No</v>
      </c>
      <c r="H1109" s="5" t="str">
        <f ca="1">IFERROR(__xludf.DUMMYFUNCTION("""COMPUTED_VALUE"""),"None")</f>
        <v>None</v>
      </c>
    </row>
    <row r="1110" spans="1:8" ht="13">
      <c r="A1110" s="5" t="str">
        <f ca="1">IFERROR(__xludf.DUMMYFUNCTION("""COMPUTED_VALUE"""),"20180226WAOAT")</f>
        <v>20180226WAOAT</v>
      </c>
      <c r="B1110" s="5" t="str">
        <f ca="1">IFERROR(__xludf.DUMMYFUNCTION("""COMPUTED_VALUE"""),"Teen")</f>
        <v>Teen</v>
      </c>
      <c r="C1110" s="5" t="str">
        <f ca="1">IFERROR(__xludf.DUMMYFUNCTION("""COMPUTED_VALUE"""),"Male")</f>
        <v>Male</v>
      </c>
      <c r="D1110" s="5"/>
      <c r="E1110" s="5" t="str">
        <f ca="1">IFERROR(__xludf.DUMMYFUNCTION("""COMPUTED_VALUE"""),"Student")</f>
        <v>Student</v>
      </c>
      <c r="F1110" s="5" t="str">
        <f ca="1">IFERROR(__xludf.DUMMYFUNCTION("""COMPUTED_VALUE"""),"Fled/Apprehended")</f>
        <v>Fled/Apprehended</v>
      </c>
      <c r="G1110" s="5" t="str">
        <f ca="1">IFERROR(__xludf.DUMMYFUNCTION("""COMPUTED_VALUE"""),"No")</f>
        <v>No</v>
      </c>
      <c r="H1110" s="5" t="str">
        <f ca="1">IFERROR(__xludf.DUMMYFUNCTION("""COMPUTED_VALUE"""),"None")</f>
        <v>None</v>
      </c>
    </row>
    <row r="1111" spans="1:8" ht="13">
      <c r="A1111" s="5" t="str">
        <f ca="1">IFERROR(__xludf.DUMMYFUNCTION("""COMPUTED_VALUE"""),"20180220OHJAM")</f>
        <v>20180220OHJAM</v>
      </c>
      <c r="B1111" s="5">
        <f ca="1">IFERROR(__xludf.DUMMYFUNCTION("""COMPUTED_VALUE"""),13)</f>
        <v>13</v>
      </c>
      <c r="C1111" s="5" t="str">
        <f ca="1">IFERROR(__xludf.DUMMYFUNCTION("""COMPUTED_VALUE"""),"Male")</f>
        <v>Male</v>
      </c>
      <c r="D1111" s="5"/>
      <c r="E1111" s="5" t="str">
        <f ca="1">IFERROR(__xludf.DUMMYFUNCTION("""COMPUTED_VALUE"""),"Student")</f>
        <v>Student</v>
      </c>
      <c r="F1111" s="5" t="str">
        <f ca="1">IFERROR(__xludf.DUMMYFUNCTION("""COMPUTED_VALUE"""),"Suicide")</f>
        <v>Suicide</v>
      </c>
      <c r="G1111" s="5" t="str">
        <f ca="1">IFERROR(__xludf.DUMMYFUNCTION("""COMPUTED_VALUE"""),"Yes")</f>
        <v>Yes</v>
      </c>
      <c r="H1111" s="5" t="str">
        <f ca="1">IFERROR(__xludf.DUMMYFUNCTION("""COMPUTED_VALUE"""),"Suicide")</f>
        <v>Suicide</v>
      </c>
    </row>
    <row r="1112" spans="1:8" ht="13">
      <c r="A1112" s="5" t="str">
        <f ca="1">IFERROR(__xludf.DUMMYFUNCTION("""COMPUTED_VALUE"""),"20180215FLNOC")</f>
        <v>20180215FLNOC</v>
      </c>
      <c r="B1112" s="5" t="str">
        <f ca="1">IFERROR(__xludf.DUMMYFUNCTION("""COMPUTED_VALUE"""),"Adult")</f>
        <v>Adult</v>
      </c>
      <c r="C1112" s="5"/>
      <c r="D1112" s="5"/>
      <c r="E1112" s="5" t="str">
        <f ca="1">IFERROR(__xludf.DUMMYFUNCTION("""COMPUTED_VALUE"""),"Police Officer/SRO")</f>
        <v>Police Officer/SRO</v>
      </c>
      <c r="F1112" s="5" t="str">
        <f ca="1">IFERROR(__xludf.DUMMYFUNCTION("""COMPUTED_VALUE"""),"Law Enforcement")</f>
        <v>Law Enforcement</v>
      </c>
      <c r="G1112" s="5" t="str">
        <f ca="1">IFERROR(__xludf.DUMMYFUNCTION("""COMPUTED_VALUE"""),"No")</f>
        <v>No</v>
      </c>
      <c r="H1112" s="5" t="str">
        <f ca="1">IFERROR(__xludf.DUMMYFUNCTION("""COMPUTED_VALUE"""),"Wounded")</f>
        <v>Wounded</v>
      </c>
    </row>
    <row r="1113" spans="1:8" ht="13">
      <c r="A1113" s="5" t="str">
        <f ca="1">IFERROR(__xludf.DUMMYFUNCTION("""COMPUTED_VALUE"""),"20180214FLMAP")</f>
        <v>20180214FLMAP</v>
      </c>
      <c r="B1113" s="5">
        <f ca="1">IFERROR(__xludf.DUMMYFUNCTION("""COMPUTED_VALUE"""),19)</f>
        <v>19</v>
      </c>
      <c r="C1113" s="5" t="str">
        <f ca="1">IFERROR(__xludf.DUMMYFUNCTION("""COMPUTED_VALUE"""),"Male")</f>
        <v>Male</v>
      </c>
      <c r="D1113" s="5" t="str">
        <f ca="1">IFERROR(__xludf.DUMMYFUNCTION("""COMPUTED_VALUE"""),"White")</f>
        <v>White</v>
      </c>
      <c r="E1113" s="5" t="str">
        <f ca="1">IFERROR(__xludf.DUMMYFUNCTION("""COMPUTED_VALUE"""),"Former Student")</f>
        <v>Former Student</v>
      </c>
      <c r="F1113" s="5" t="str">
        <f ca="1">IFERROR(__xludf.DUMMYFUNCTION("""COMPUTED_VALUE"""),"Fled/Apprehended")</f>
        <v>Fled/Apprehended</v>
      </c>
      <c r="G1113" s="5" t="str">
        <f ca="1">IFERROR(__xludf.DUMMYFUNCTION("""COMPUTED_VALUE"""),"No")</f>
        <v>No</v>
      </c>
      <c r="H1113" s="5" t="str">
        <f ca="1">IFERROR(__xludf.DUMMYFUNCTION("""COMPUTED_VALUE"""),"None")</f>
        <v>None</v>
      </c>
    </row>
    <row r="1114" spans="1:8" ht="13">
      <c r="A1114" s="5" t="str">
        <f ca="1">IFERROR(__xludf.DUMMYFUNCTION("""COMPUTED_VALUE"""),"20180209TNPEN")</f>
        <v>20180209TNPEN</v>
      </c>
      <c r="B1114" s="5">
        <f ca="1">IFERROR(__xludf.DUMMYFUNCTION("""COMPUTED_VALUE"""),14)</f>
        <v>14</v>
      </c>
      <c r="C1114" s="5" t="str">
        <f ca="1">IFERROR(__xludf.DUMMYFUNCTION("""COMPUTED_VALUE"""),"Male")</f>
        <v>Male</v>
      </c>
      <c r="D1114" s="5" t="str">
        <f ca="1">IFERROR(__xludf.DUMMYFUNCTION("""COMPUTED_VALUE"""),"Black")</f>
        <v>Black</v>
      </c>
      <c r="E1114" s="5" t="str">
        <f ca="1">IFERROR(__xludf.DUMMYFUNCTION("""COMPUTED_VALUE"""),"Student")</f>
        <v>Student</v>
      </c>
      <c r="F1114" s="5" t="str">
        <f ca="1">IFERROR(__xludf.DUMMYFUNCTION("""COMPUTED_VALUE"""),"Fled/Apprehended")</f>
        <v>Fled/Apprehended</v>
      </c>
      <c r="G1114" s="5" t="str">
        <f ca="1">IFERROR(__xludf.DUMMYFUNCTION("""COMPUTED_VALUE"""),"No")</f>
        <v>No</v>
      </c>
      <c r="H1114" s="5" t="str">
        <f ca="1">IFERROR(__xludf.DUMMYFUNCTION("""COMPUTED_VALUE"""),"None")</f>
        <v>None</v>
      </c>
    </row>
    <row r="1115" spans="1:8" ht="13">
      <c r="A1115" s="5" t="str">
        <f ca="1">IFERROR(__xludf.DUMMYFUNCTION("""COMPUTED_VALUE"""),"20180208NYTHN")</f>
        <v>20180208NYTHN</v>
      </c>
      <c r="B1115" s="5">
        <f ca="1">IFERROR(__xludf.DUMMYFUNCTION("""COMPUTED_VALUE"""),17)</f>
        <v>17</v>
      </c>
      <c r="C1115" s="5" t="str">
        <f ca="1">IFERROR(__xludf.DUMMYFUNCTION("""COMPUTED_VALUE"""),"Male")</f>
        <v>Male</v>
      </c>
      <c r="D1115" s="5"/>
      <c r="E1115" s="5" t="str">
        <f ca="1">IFERROR(__xludf.DUMMYFUNCTION("""COMPUTED_VALUE"""),"Student")</f>
        <v>Student</v>
      </c>
      <c r="F1115" s="5" t="str">
        <f ca="1">IFERROR(__xludf.DUMMYFUNCTION("""COMPUTED_VALUE"""),"Apprehended/Killed by LE")</f>
        <v>Apprehended/Killed by LE</v>
      </c>
      <c r="G1115" s="5" t="str">
        <f ca="1">IFERROR(__xludf.DUMMYFUNCTION("""COMPUTED_VALUE"""),"No")</f>
        <v>No</v>
      </c>
      <c r="H1115" s="5" t="str">
        <f ca="1">IFERROR(__xludf.DUMMYFUNCTION("""COMPUTED_VALUE"""),"None")</f>
        <v>None</v>
      </c>
    </row>
    <row r="1116" spans="1:8" ht="13">
      <c r="A1116" s="5" t="str">
        <f ca="1">IFERROR(__xludf.DUMMYFUNCTION("""COMPUTED_VALUE"""),"20180205MNHAM")</f>
        <v>20180205MNHAM</v>
      </c>
      <c r="B1116" s="5" t="str">
        <f ca="1">IFERROR(__xludf.DUMMYFUNCTION("""COMPUTED_VALUE"""),"Child")</f>
        <v>Child</v>
      </c>
      <c r="C1116" s="5"/>
      <c r="D1116" s="5"/>
      <c r="E1116" s="5" t="str">
        <f ca="1">IFERROR(__xludf.DUMMYFUNCTION("""COMPUTED_VALUE"""),"Student")</f>
        <v>Student</v>
      </c>
      <c r="F1116" s="5" t="str">
        <f ca="1">IFERROR(__xludf.DUMMYFUNCTION("""COMPUTED_VALUE"""),"Unknown")</f>
        <v>Unknown</v>
      </c>
      <c r="G1116" s="5" t="str">
        <f ca="1">IFERROR(__xludf.DUMMYFUNCTION("""COMPUTED_VALUE"""),"No")</f>
        <v>No</v>
      </c>
      <c r="H1116" s="5" t="str">
        <f ca="1">IFERROR(__xludf.DUMMYFUNCTION("""COMPUTED_VALUE"""),"None")</f>
        <v>None</v>
      </c>
    </row>
    <row r="1117" spans="1:8" ht="13">
      <c r="A1117" s="5" t="str">
        <f ca="1">IFERROR(__xludf.DUMMYFUNCTION("""COMPUTED_VALUE"""),"20180205MDOXO")</f>
        <v>20180205MDOXO</v>
      </c>
      <c r="B1117" s="5">
        <f ca="1">IFERROR(__xludf.DUMMYFUNCTION("""COMPUTED_VALUE"""),18)</f>
        <v>18</v>
      </c>
      <c r="C1117" s="5" t="str">
        <f ca="1">IFERROR(__xludf.DUMMYFUNCTION("""COMPUTED_VALUE"""),"Multiple")</f>
        <v>Multiple</v>
      </c>
      <c r="D1117" s="5" t="str">
        <f ca="1">IFERROR(__xludf.DUMMYFUNCTION("""COMPUTED_VALUE"""),"Black")</f>
        <v>Black</v>
      </c>
      <c r="E1117" s="5" t="str">
        <f ca="1">IFERROR(__xludf.DUMMYFUNCTION("""COMPUTED_VALUE"""),"Intimate Relationship")</f>
        <v>Intimate Relationship</v>
      </c>
      <c r="F1117" s="5" t="str">
        <f ca="1">IFERROR(__xludf.DUMMYFUNCTION("""COMPUTED_VALUE"""),"Fled/Apprehended")</f>
        <v>Fled/Apprehended</v>
      </c>
      <c r="G1117" s="5" t="str">
        <f ca="1">IFERROR(__xludf.DUMMYFUNCTION("""COMPUTED_VALUE"""),"No")</f>
        <v>No</v>
      </c>
      <c r="H1117" s="5" t="str">
        <f ca="1">IFERROR(__xludf.DUMMYFUNCTION("""COMPUTED_VALUE"""),"None")</f>
        <v>None</v>
      </c>
    </row>
    <row r="1118" spans="1:8" ht="13">
      <c r="A1118" s="5" t="str">
        <f ca="1">IFERROR(__xludf.DUMMYFUNCTION("""COMPUTED_VALUE"""),"20180205MDOXO")</f>
        <v>20180205MDOXO</v>
      </c>
      <c r="B1118" s="5">
        <f ca="1">IFERROR(__xludf.DUMMYFUNCTION("""COMPUTED_VALUE"""),17)</f>
        <v>17</v>
      </c>
      <c r="C1118" s="5" t="str">
        <f ca="1">IFERROR(__xludf.DUMMYFUNCTION("""COMPUTED_VALUE"""),"Multiple")</f>
        <v>Multiple</v>
      </c>
      <c r="D1118" s="5" t="str">
        <f ca="1">IFERROR(__xludf.DUMMYFUNCTION("""COMPUTED_VALUE"""),"Black")</f>
        <v>Black</v>
      </c>
      <c r="E1118" s="5" t="str">
        <f ca="1">IFERROR(__xludf.DUMMYFUNCTION("""COMPUTED_VALUE"""),"Intimate Relationship")</f>
        <v>Intimate Relationship</v>
      </c>
      <c r="F1118" s="5" t="str">
        <f ca="1">IFERROR(__xludf.DUMMYFUNCTION("""COMPUTED_VALUE"""),"Fled/Apprehended")</f>
        <v>Fled/Apprehended</v>
      </c>
      <c r="G1118" s="5" t="str">
        <f ca="1">IFERROR(__xludf.DUMMYFUNCTION("""COMPUTED_VALUE"""),"No")</f>
        <v>No</v>
      </c>
      <c r="H1118" s="5" t="str">
        <f ca="1">IFERROR(__xludf.DUMMYFUNCTION("""COMPUTED_VALUE"""),"None")</f>
        <v>None</v>
      </c>
    </row>
    <row r="1119" spans="1:8" ht="13">
      <c r="A1119" s="5" t="str">
        <f ca="1">IFERROR(__xludf.DUMMYFUNCTION("""COMPUTED_VALUE"""),"20180201CASAL")</f>
        <v>20180201CASAL</v>
      </c>
      <c r="B1119" s="5">
        <f ca="1">IFERROR(__xludf.DUMMYFUNCTION("""COMPUTED_VALUE"""),12)</f>
        <v>12</v>
      </c>
      <c r="C1119" s="5" t="str">
        <f ca="1">IFERROR(__xludf.DUMMYFUNCTION("""COMPUTED_VALUE"""),"Female")</f>
        <v>Female</v>
      </c>
      <c r="D1119" s="5"/>
      <c r="E1119" s="5" t="str">
        <f ca="1">IFERROR(__xludf.DUMMYFUNCTION("""COMPUTED_VALUE"""),"Student")</f>
        <v>Student</v>
      </c>
      <c r="F1119" s="5" t="str">
        <f ca="1">IFERROR(__xludf.DUMMYFUNCTION("""COMPUTED_VALUE"""),"Unknown")</f>
        <v>Unknown</v>
      </c>
      <c r="G1119" s="5" t="str">
        <f ca="1">IFERROR(__xludf.DUMMYFUNCTION("""COMPUTED_VALUE"""),"No")</f>
        <v>No</v>
      </c>
      <c r="H1119" s="5" t="str">
        <f ca="1">IFERROR(__xludf.DUMMYFUNCTION("""COMPUTED_VALUE"""),"None")</f>
        <v>None</v>
      </c>
    </row>
    <row r="1120" spans="1:8" ht="13">
      <c r="A1120" s="5" t="str">
        <f ca="1">IFERROR(__xludf.DUMMYFUNCTION("""COMPUTED_VALUE"""),"20180131PALIP")</f>
        <v>20180131PALIP</v>
      </c>
      <c r="B1120" s="5"/>
      <c r="C1120" s="5"/>
      <c r="D1120" s="5"/>
      <c r="E1120" s="5" t="str">
        <f ca="1">IFERROR(__xludf.DUMMYFUNCTION("""COMPUTED_VALUE"""),"Unknown")</f>
        <v>Unknown</v>
      </c>
      <c r="F1120" s="5" t="str">
        <f ca="1">IFERROR(__xludf.DUMMYFUNCTION("""COMPUTED_VALUE"""),"Fled/Escaped")</f>
        <v>Fled/Escaped</v>
      </c>
      <c r="G1120" s="5" t="str">
        <f ca="1">IFERROR(__xludf.DUMMYFUNCTION("""COMPUTED_VALUE"""),"No")</f>
        <v>No</v>
      </c>
      <c r="H1120" s="5" t="str">
        <f ca="1">IFERROR(__xludf.DUMMYFUNCTION("""COMPUTED_VALUE"""),"None")</f>
        <v>None</v>
      </c>
    </row>
    <row r="1121" spans="1:8" ht="13">
      <c r="A1121" s="5" t="str">
        <f ca="1">IFERROR(__xludf.DUMMYFUNCTION("""COMPUTED_VALUE"""),"20180131PALIP")</f>
        <v>20180131PALIP</v>
      </c>
      <c r="B1121" s="5"/>
      <c r="C1121" s="5"/>
      <c r="D1121" s="5"/>
      <c r="E1121" s="5" t="str">
        <f ca="1">IFERROR(__xludf.DUMMYFUNCTION("""COMPUTED_VALUE"""),"Unknown")</f>
        <v>Unknown</v>
      </c>
      <c r="F1121" s="5" t="str">
        <f ca="1">IFERROR(__xludf.DUMMYFUNCTION("""COMPUTED_VALUE"""),"Fled/Escaped")</f>
        <v>Fled/Escaped</v>
      </c>
      <c r="G1121" s="5" t="str">
        <f ca="1">IFERROR(__xludf.DUMMYFUNCTION("""COMPUTED_VALUE"""),"No")</f>
        <v>No</v>
      </c>
      <c r="H1121" s="5" t="str">
        <f ca="1">IFERROR(__xludf.DUMMYFUNCTION("""COMPUTED_VALUE"""),"None")</f>
        <v>None</v>
      </c>
    </row>
    <row r="1122" spans="1:8" ht="13">
      <c r="A1122" s="5" t="str">
        <f ca="1">IFERROR(__xludf.DUMMYFUNCTION("""COMPUTED_VALUE"""),"20180131PALIP")</f>
        <v>20180131PALIP</v>
      </c>
      <c r="B1122" s="5"/>
      <c r="C1122" s="5"/>
      <c r="D1122" s="5"/>
      <c r="E1122" s="5" t="str">
        <f ca="1">IFERROR(__xludf.DUMMYFUNCTION("""COMPUTED_VALUE"""),"Unknown")</f>
        <v>Unknown</v>
      </c>
      <c r="F1122" s="5" t="str">
        <f ca="1">IFERROR(__xludf.DUMMYFUNCTION("""COMPUTED_VALUE"""),"Fled/Escaped")</f>
        <v>Fled/Escaped</v>
      </c>
      <c r="G1122" s="5" t="str">
        <f ca="1">IFERROR(__xludf.DUMMYFUNCTION("""COMPUTED_VALUE"""),"No")</f>
        <v>No</v>
      </c>
      <c r="H1122" s="5" t="str">
        <f ca="1">IFERROR(__xludf.DUMMYFUNCTION("""COMPUTED_VALUE"""),"None")</f>
        <v>None</v>
      </c>
    </row>
    <row r="1123" spans="1:8" ht="13">
      <c r="A1123" s="5" t="str">
        <f ca="1">IFERROR(__xludf.DUMMYFUNCTION("""COMPUTED_VALUE"""),"20180126MIDED")</f>
        <v>20180126MIDED</v>
      </c>
      <c r="B1123" s="5" t="str">
        <f ca="1">IFERROR(__xludf.DUMMYFUNCTION("""COMPUTED_VALUE"""),"Teen")</f>
        <v>Teen</v>
      </c>
      <c r="C1123" s="5" t="str">
        <f ca="1">IFERROR(__xludf.DUMMYFUNCTION("""COMPUTED_VALUE"""),"Male")</f>
        <v>Male</v>
      </c>
      <c r="D1123" s="5"/>
      <c r="E1123" s="5" t="str">
        <f ca="1">IFERROR(__xludf.DUMMYFUNCTION("""COMPUTED_VALUE"""),"Rival School Student")</f>
        <v>Rival School Student</v>
      </c>
      <c r="F1123" s="5" t="str">
        <f ca="1">IFERROR(__xludf.DUMMYFUNCTION("""COMPUTED_VALUE"""),"Fled/Escaped")</f>
        <v>Fled/Escaped</v>
      </c>
      <c r="G1123" s="5" t="str">
        <f ca="1">IFERROR(__xludf.DUMMYFUNCTION("""COMPUTED_VALUE"""),"No")</f>
        <v>No</v>
      </c>
      <c r="H1123" s="5" t="str">
        <f ca="1">IFERROR(__xludf.DUMMYFUNCTION("""COMPUTED_VALUE"""),"None")</f>
        <v>None</v>
      </c>
    </row>
    <row r="1124" spans="1:8" ht="13">
      <c r="A1124" s="5" t="str">
        <f ca="1">IFERROR(__xludf.DUMMYFUNCTION("""COMPUTED_VALUE"""),"20180125ALMUM")</f>
        <v>20180125ALMUM</v>
      </c>
      <c r="B1124" s="5">
        <f ca="1">IFERROR(__xludf.DUMMYFUNCTION("""COMPUTED_VALUE"""),16)</f>
        <v>16</v>
      </c>
      <c r="C1124" s="5" t="str">
        <f ca="1">IFERROR(__xludf.DUMMYFUNCTION("""COMPUTED_VALUE"""),"Male")</f>
        <v>Male</v>
      </c>
      <c r="D1124" s="5" t="str">
        <f ca="1">IFERROR(__xludf.DUMMYFUNCTION("""COMPUTED_VALUE"""),"Black")</f>
        <v>Black</v>
      </c>
      <c r="E1124" s="5" t="str">
        <f ca="1">IFERROR(__xludf.DUMMYFUNCTION("""COMPUTED_VALUE"""),"Student")</f>
        <v>Student</v>
      </c>
      <c r="F1124" s="5" t="str">
        <f ca="1">IFERROR(__xludf.DUMMYFUNCTION("""COMPUTED_VALUE"""),"Apprehended/Killed by LE")</f>
        <v>Apprehended/Killed by LE</v>
      </c>
      <c r="G1124" s="5" t="str">
        <f ca="1">IFERROR(__xludf.DUMMYFUNCTION("""COMPUTED_VALUE"""),"No")</f>
        <v>No</v>
      </c>
      <c r="H1124" s="5" t="str">
        <f ca="1">IFERROR(__xludf.DUMMYFUNCTION("""COMPUTED_VALUE"""),"None")</f>
        <v>None</v>
      </c>
    </row>
    <row r="1125" spans="1:8" ht="13">
      <c r="A1125" s="5" t="str">
        <f ca="1">IFERROR(__xludf.DUMMYFUNCTION("""COMPUTED_VALUE"""),"20180123KYMAB")</f>
        <v>20180123KYMAB</v>
      </c>
      <c r="B1125" s="5">
        <f ca="1">IFERROR(__xludf.DUMMYFUNCTION("""COMPUTED_VALUE"""),15)</f>
        <v>15</v>
      </c>
      <c r="C1125" s="5" t="str">
        <f ca="1">IFERROR(__xludf.DUMMYFUNCTION("""COMPUTED_VALUE"""),"Male")</f>
        <v>Male</v>
      </c>
      <c r="D1125" s="5" t="str">
        <f ca="1">IFERROR(__xludf.DUMMYFUNCTION("""COMPUTED_VALUE"""),"White")</f>
        <v>White</v>
      </c>
      <c r="E1125" s="5" t="str">
        <f ca="1">IFERROR(__xludf.DUMMYFUNCTION("""COMPUTED_VALUE"""),"Student")</f>
        <v>Student</v>
      </c>
      <c r="F1125" s="5" t="str">
        <f ca="1">IFERROR(__xludf.DUMMYFUNCTION("""COMPUTED_VALUE"""),"Surrendered")</f>
        <v>Surrendered</v>
      </c>
      <c r="G1125" s="5" t="str">
        <f ca="1">IFERROR(__xludf.DUMMYFUNCTION("""COMPUTED_VALUE"""),"No")</f>
        <v>No</v>
      </c>
      <c r="H1125" s="5" t="str">
        <f ca="1">IFERROR(__xludf.DUMMYFUNCTION("""COMPUTED_VALUE"""),"None")</f>
        <v>None</v>
      </c>
    </row>
    <row r="1126" spans="1:8" ht="13">
      <c r="A1126" s="5" t="str">
        <f ca="1">IFERROR(__xludf.DUMMYFUNCTION("""COMPUTED_VALUE"""),"20180122TXITI")</f>
        <v>20180122TXITI</v>
      </c>
      <c r="B1126" s="5">
        <f ca="1">IFERROR(__xludf.DUMMYFUNCTION("""COMPUTED_VALUE"""),16)</f>
        <v>16</v>
      </c>
      <c r="C1126" s="5" t="str">
        <f ca="1">IFERROR(__xludf.DUMMYFUNCTION("""COMPUTED_VALUE"""),"Male")</f>
        <v>Male</v>
      </c>
      <c r="D1126" s="5" t="str">
        <f ca="1">IFERROR(__xludf.DUMMYFUNCTION("""COMPUTED_VALUE"""),"White")</f>
        <v>White</v>
      </c>
      <c r="E1126" s="5" t="str">
        <f ca="1">IFERROR(__xludf.DUMMYFUNCTION("""COMPUTED_VALUE"""),"Student")</f>
        <v>Student</v>
      </c>
      <c r="F1126" s="5" t="str">
        <f ca="1">IFERROR(__xludf.DUMMYFUNCTION("""COMPUTED_VALUE"""),"Fled/Apprehended")</f>
        <v>Fled/Apprehended</v>
      </c>
      <c r="G1126" s="5" t="str">
        <f ca="1">IFERROR(__xludf.DUMMYFUNCTION("""COMPUTED_VALUE"""),"No")</f>
        <v>No</v>
      </c>
      <c r="H1126" s="5" t="str">
        <f ca="1">IFERROR(__xludf.DUMMYFUNCTION("""COMPUTED_VALUE"""),"None")</f>
        <v>None</v>
      </c>
    </row>
    <row r="1127" spans="1:8" ht="13">
      <c r="A1127" s="5" t="str">
        <f ca="1">IFERROR(__xludf.DUMMYFUNCTION("""COMPUTED_VALUE"""),"20180122LANEN")</f>
        <v>20180122LANEN</v>
      </c>
      <c r="B1127" s="5"/>
      <c r="C1127" s="5" t="str">
        <f ca="1">IFERROR(__xludf.DUMMYFUNCTION("""COMPUTED_VALUE"""),"Male")</f>
        <v>Male</v>
      </c>
      <c r="D1127" s="5"/>
      <c r="E1127" s="5" t="str">
        <f ca="1">IFERROR(__xludf.DUMMYFUNCTION("""COMPUTED_VALUE"""),"Unknown")</f>
        <v>Unknown</v>
      </c>
      <c r="F1127" s="5" t="str">
        <f ca="1">IFERROR(__xludf.DUMMYFUNCTION("""COMPUTED_VALUE"""),"Fled/Escaped")</f>
        <v>Fled/Escaped</v>
      </c>
      <c r="G1127" s="5" t="str">
        <f ca="1">IFERROR(__xludf.DUMMYFUNCTION("""COMPUTED_VALUE"""),"No")</f>
        <v>No</v>
      </c>
      <c r="H1127" s="5" t="str">
        <f ca="1">IFERROR(__xludf.DUMMYFUNCTION("""COMPUTED_VALUE"""),"None")</f>
        <v>None</v>
      </c>
    </row>
    <row r="1128" spans="1:8" ht="13">
      <c r="A1128" s="5" t="str">
        <f ca="1">IFERROR(__xludf.DUMMYFUNCTION("""COMPUTED_VALUE"""),"20180116VTMOM")</f>
        <v>20180116VTMOM</v>
      </c>
      <c r="B1128" s="5">
        <f ca="1">IFERROR(__xludf.DUMMYFUNCTION("""COMPUTED_VALUE"""),32)</f>
        <v>32</v>
      </c>
      <c r="C1128" s="5" t="str">
        <f ca="1">IFERROR(__xludf.DUMMYFUNCTION("""COMPUTED_VALUE"""),"Male")</f>
        <v>Male</v>
      </c>
      <c r="D1128" s="5" t="str">
        <f ca="1">IFERROR(__xludf.DUMMYFUNCTION("""COMPUTED_VALUE"""),"White")</f>
        <v>White</v>
      </c>
      <c r="E1128" s="5" t="str">
        <f ca="1">IFERROR(__xludf.DUMMYFUNCTION("""COMPUTED_VALUE"""),"No Relation")</f>
        <v>No Relation</v>
      </c>
      <c r="F1128" s="5" t="str">
        <f ca="1">IFERROR(__xludf.DUMMYFUNCTION("""COMPUTED_VALUE"""),"Apprehended/Killed by LE")</f>
        <v>Apprehended/Killed by LE</v>
      </c>
      <c r="G1128" s="5" t="str">
        <f ca="1">IFERROR(__xludf.DUMMYFUNCTION("""COMPUTED_VALUE"""),"Yes")</f>
        <v>Yes</v>
      </c>
      <c r="H1128" s="5" t="str">
        <f ca="1">IFERROR(__xludf.DUMMYFUNCTION("""COMPUTED_VALUE"""),"Fatal")</f>
        <v>Fatal</v>
      </c>
    </row>
    <row r="1129" spans="1:8" ht="13">
      <c r="A1129" s="5" t="str">
        <f ca="1">IFERROR(__xludf.DUMMYFUNCTION("""COMPUTED_VALUE"""),"20180109AZCOS")</f>
        <v>20180109AZCOS</v>
      </c>
      <c r="B1129" s="5">
        <f ca="1">IFERROR(__xludf.DUMMYFUNCTION("""COMPUTED_VALUE"""),14)</f>
        <v>14</v>
      </c>
      <c r="C1129" s="5" t="str">
        <f ca="1">IFERROR(__xludf.DUMMYFUNCTION("""COMPUTED_VALUE"""),"Male")</f>
        <v>Male</v>
      </c>
      <c r="D1129" s="5"/>
      <c r="E1129" s="5" t="str">
        <f ca="1">IFERROR(__xludf.DUMMYFUNCTION("""COMPUTED_VALUE"""),"Student")</f>
        <v>Student</v>
      </c>
      <c r="F1129" s="5" t="str">
        <f ca="1">IFERROR(__xludf.DUMMYFUNCTION("""COMPUTED_VALUE"""),"Suicide")</f>
        <v>Suicide</v>
      </c>
      <c r="G1129" s="5" t="str">
        <f ca="1">IFERROR(__xludf.DUMMYFUNCTION("""COMPUTED_VALUE"""),"Yes")</f>
        <v>Yes</v>
      </c>
      <c r="H1129" s="5" t="str">
        <f ca="1">IFERROR(__xludf.DUMMYFUNCTION("""COMPUTED_VALUE"""),"Suicide")</f>
        <v>Suicide</v>
      </c>
    </row>
    <row r="1130" spans="1:8" ht="13">
      <c r="A1130" s="5" t="str">
        <f ca="1">IFERROR(__xludf.DUMMYFUNCTION("""COMPUTED_VALUE"""),"20180105IAFOF")</f>
        <v>20180105IAFOF</v>
      </c>
      <c r="B1130" s="5">
        <f ca="1">IFERROR(__xludf.DUMMYFUNCTION("""COMPUTED_VALUE"""),33)</f>
        <v>33</v>
      </c>
      <c r="C1130" s="5" t="str">
        <f ca="1">IFERROR(__xludf.DUMMYFUNCTION("""COMPUTED_VALUE"""),"Male")</f>
        <v>Male</v>
      </c>
      <c r="D1130" s="5" t="str">
        <f ca="1">IFERROR(__xludf.DUMMYFUNCTION("""COMPUTED_VALUE"""),"White")</f>
        <v>White</v>
      </c>
      <c r="E1130" s="5" t="str">
        <f ca="1">IFERROR(__xludf.DUMMYFUNCTION("""COMPUTED_VALUE"""),"No Relation")</f>
        <v>No Relation</v>
      </c>
      <c r="F1130" s="5" t="str">
        <f ca="1">IFERROR(__xludf.DUMMYFUNCTION("""COMPUTED_VALUE"""),"Fled/Apprehended")</f>
        <v>Fled/Apprehended</v>
      </c>
      <c r="G1130" s="5" t="str">
        <f ca="1">IFERROR(__xludf.DUMMYFUNCTION("""COMPUTED_VALUE"""),"No")</f>
        <v>No</v>
      </c>
      <c r="H1130" s="5" t="str">
        <f ca="1">IFERROR(__xludf.DUMMYFUNCTION("""COMPUTED_VALUE"""),"None")</f>
        <v>None</v>
      </c>
    </row>
    <row r="1131" spans="1:8" ht="13">
      <c r="A1131" s="5" t="str">
        <f ca="1">IFERROR(__xludf.DUMMYFUNCTION("""COMPUTED_VALUE"""),"20180104WANES")</f>
        <v>20180104WANES</v>
      </c>
      <c r="B1131" s="5"/>
      <c r="C1131" s="5"/>
      <c r="D1131" s="5"/>
      <c r="E1131" s="5" t="str">
        <f ca="1">IFERROR(__xludf.DUMMYFUNCTION("""COMPUTED_VALUE"""),"Unknown")</f>
        <v>Unknown</v>
      </c>
      <c r="F1131" s="5" t="str">
        <f ca="1">IFERROR(__xludf.DUMMYFUNCTION("""COMPUTED_VALUE"""),"Fled/Escaped")</f>
        <v>Fled/Escaped</v>
      </c>
      <c r="G1131" s="5" t="str">
        <f ca="1">IFERROR(__xludf.DUMMYFUNCTION("""COMPUTED_VALUE"""),"No")</f>
        <v>No</v>
      </c>
      <c r="H1131" s="5" t="str">
        <f ca="1">IFERROR(__xludf.DUMMYFUNCTION("""COMPUTED_VALUE"""),"None")</f>
        <v>None</v>
      </c>
    </row>
    <row r="1132" spans="1:8" ht="13">
      <c r="A1132" s="5" t="str">
        <f ca="1">IFERROR(__xludf.DUMMYFUNCTION("""COMPUTED_VALUE"""),"20171231WAPIM")</f>
        <v>20171231WAPIM</v>
      </c>
      <c r="B1132" s="5">
        <f ca="1">IFERROR(__xludf.DUMMYFUNCTION("""COMPUTED_VALUE"""),19)</f>
        <v>19</v>
      </c>
      <c r="C1132" s="5" t="str">
        <f ca="1">IFERROR(__xludf.DUMMYFUNCTION("""COMPUTED_VALUE"""),"Male")</f>
        <v>Male</v>
      </c>
      <c r="D1132" s="5"/>
      <c r="E1132" s="5" t="str">
        <f ca="1">IFERROR(__xludf.DUMMYFUNCTION("""COMPUTED_VALUE"""),"No Relation")</f>
        <v>No Relation</v>
      </c>
      <c r="F1132" s="5" t="str">
        <f ca="1">IFERROR(__xludf.DUMMYFUNCTION("""COMPUTED_VALUE"""),"Fled/Apprehended")</f>
        <v>Fled/Apprehended</v>
      </c>
      <c r="G1132" s="5" t="str">
        <f ca="1">IFERROR(__xludf.DUMMYFUNCTION("""COMPUTED_VALUE"""),"No")</f>
        <v>No</v>
      </c>
      <c r="H1132" s="5" t="str">
        <f ca="1">IFERROR(__xludf.DUMMYFUNCTION("""COMPUTED_VALUE"""),"None")</f>
        <v>None</v>
      </c>
    </row>
    <row r="1133" spans="1:8" ht="13">
      <c r="A1133" s="5" t="str">
        <f ca="1">IFERROR(__xludf.DUMMYFUNCTION("""COMPUTED_VALUE"""),"20171231WAPIM")</f>
        <v>20171231WAPIM</v>
      </c>
      <c r="B1133" s="5">
        <f ca="1">IFERROR(__xludf.DUMMYFUNCTION("""COMPUTED_VALUE"""),18)</f>
        <v>18</v>
      </c>
      <c r="C1133" s="5" t="str">
        <f ca="1">IFERROR(__xludf.DUMMYFUNCTION("""COMPUTED_VALUE"""),"Male")</f>
        <v>Male</v>
      </c>
      <c r="D1133" s="5"/>
      <c r="E1133" s="5" t="str">
        <f ca="1">IFERROR(__xludf.DUMMYFUNCTION("""COMPUTED_VALUE"""),"No Relation")</f>
        <v>No Relation</v>
      </c>
      <c r="F1133" s="5" t="str">
        <f ca="1">IFERROR(__xludf.DUMMYFUNCTION("""COMPUTED_VALUE"""),"Fled/Apprehended")</f>
        <v>Fled/Apprehended</v>
      </c>
      <c r="G1133" s="5" t="str">
        <f ca="1">IFERROR(__xludf.DUMMYFUNCTION("""COMPUTED_VALUE"""),"No")</f>
        <v>No</v>
      </c>
      <c r="H1133" s="5" t="str">
        <f ca="1">IFERROR(__xludf.DUMMYFUNCTION("""COMPUTED_VALUE"""),"None")</f>
        <v>None</v>
      </c>
    </row>
    <row r="1134" spans="1:8" ht="13">
      <c r="A1134" s="5" t="str">
        <f ca="1">IFERROR(__xludf.DUMMYFUNCTION("""COMPUTED_VALUE"""),"20171231LAEDA")</f>
        <v>20171231LAEDA</v>
      </c>
      <c r="B1134" s="5" t="str">
        <f ca="1">IFERROR(__xludf.DUMMYFUNCTION("""COMPUTED_VALUE"""),"Adult")</f>
        <v>Adult</v>
      </c>
      <c r="C1134" s="5" t="str">
        <f ca="1">IFERROR(__xludf.DUMMYFUNCTION("""COMPUTED_VALUE"""),"Male")</f>
        <v>Male</v>
      </c>
      <c r="D1134" s="5"/>
      <c r="E1134" s="5" t="str">
        <f ca="1">IFERROR(__xludf.DUMMYFUNCTION("""COMPUTED_VALUE"""),"No Relation")</f>
        <v>No Relation</v>
      </c>
      <c r="F1134" s="5" t="str">
        <f ca="1">IFERROR(__xludf.DUMMYFUNCTION("""COMPUTED_VALUE"""),"Fled/Escaped")</f>
        <v>Fled/Escaped</v>
      </c>
      <c r="G1134" s="5" t="str">
        <f ca="1">IFERROR(__xludf.DUMMYFUNCTION("""COMPUTED_VALUE"""),"No")</f>
        <v>No</v>
      </c>
      <c r="H1134" s="5" t="str">
        <f ca="1">IFERROR(__xludf.DUMMYFUNCTION("""COMPUTED_VALUE"""),"None")</f>
        <v>None</v>
      </c>
    </row>
    <row r="1135" spans="1:8" ht="13">
      <c r="A1135" s="5" t="str">
        <f ca="1">IFERROR(__xludf.DUMMYFUNCTION("""COMPUTED_VALUE"""),"20171227CALIL")</f>
        <v>20171227CALIL</v>
      </c>
      <c r="B1135" s="5" t="str">
        <f ca="1">IFERROR(__xludf.DUMMYFUNCTION("""COMPUTED_VALUE"""),"Adult")</f>
        <v>Adult</v>
      </c>
      <c r="C1135" s="5" t="str">
        <f ca="1">IFERROR(__xludf.DUMMYFUNCTION("""COMPUTED_VALUE"""),"Male")</f>
        <v>Male</v>
      </c>
      <c r="D1135" s="5"/>
      <c r="E1135" s="5" t="str">
        <f ca="1">IFERROR(__xludf.DUMMYFUNCTION("""COMPUTED_VALUE"""),"Unknown")</f>
        <v>Unknown</v>
      </c>
      <c r="F1135" s="5" t="str">
        <f ca="1">IFERROR(__xludf.DUMMYFUNCTION("""COMPUTED_VALUE"""),"Fled/Escaped")</f>
        <v>Fled/Escaped</v>
      </c>
      <c r="G1135" s="5" t="str">
        <f ca="1">IFERROR(__xludf.DUMMYFUNCTION("""COMPUTED_VALUE"""),"No")</f>
        <v>No</v>
      </c>
      <c r="H1135" s="5" t="str">
        <f ca="1">IFERROR(__xludf.DUMMYFUNCTION("""COMPUTED_VALUE"""),"None")</f>
        <v>None</v>
      </c>
    </row>
    <row r="1136" spans="1:8" ht="13">
      <c r="A1136" s="5" t="str">
        <f ca="1">IFERROR(__xludf.DUMMYFUNCTION("""COMPUTED_VALUE"""),"20171219MIBEB")</f>
        <v>20171219MIBEB</v>
      </c>
      <c r="B1136" s="5"/>
      <c r="C1136" s="5"/>
      <c r="D1136" s="5"/>
      <c r="E1136" s="5" t="str">
        <f ca="1">IFERROR(__xludf.DUMMYFUNCTION("""COMPUTED_VALUE"""),"Unknown")</f>
        <v>Unknown</v>
      </c>
      <c r="F1136" s="5" t="str">
        <f ca="1">IFERROR(__xludf.DUMMYFUNCTION("""COMPUTED_VALUE"""),"Fled/Escaped")</f>
        <v>Fled/Escaped</v>
      </c>
      <c r="G1136" s="5" t="str">
        <f ca="1">IFERROR(__xludf.DUMMYFUNCTION("""COMPUTED_VALUE"""),"No")</f>
        <v>No</v>
      </c>
      <c r="H1136" s="5" t="str">
        <f ca="1">IFERROR(__xludf.DUMMYFUNCTION("""COMPUTED_VALUE"""),"None")</f>
        <v>None</v>
      </c>
    </row>
    <row r="1137" spans="1:8" ht="13">
      <c r="A1137" s="5" t="str">
        <f ca="1">IFERROR(__xludf.DUMMYFUNCTION("""COMPUTED_VALUE"""),"20171214TXELD")</f>
        <v>20171214TXELD</v>
      </c>
      <c r="B1137" s="5" t="str">
        <f ca="1">IFERROR(__xludf.DUMMYFUNCTION("""COMPUTED_VALUE"""),"Child")</f>
        <v>Child</v>
      </c>
      <c r="C1137" s="5"/>
      <c r="D1137" s="5"/>
      <c r="E1137" s="5" t="str">
        <f ca="1">IFERROR(__xludf.DUMMYFUNCTION("""COMPUTED_VALUE"""),"Student")</f>
        <v>Student</v>
      </c>
      <c r="F1137" s="5" t="str">
        <f ca="1">IFERROR(__xludf.DUMMYFUNCTION("""COMPUTED_VALUE"""),"Unknown")</f>
        <v>Unknown</v>
      </c>
      <c r="G1137" s="5" t="str">
        <f ca="1">IFERROR(__xludf.DUMMYFUNCTION("""COMPUTED_VALUE"""),"No")</f>
        <v>No</v>
      </c>
      <c r="H1137" s="5" t="str">
        <f ca="1">IFERROR(__xludf.DUMMYFUNCTION("""COMPUTED_VALUE"""),"None")</f>
        <v>None</v>
      </c>
    </row>
    <row r="1138" spans="1:8" ht="13">
      <c r="A1138" s="5" t="str">
        <f ca="1">IFERROR(__xludf.DUMMYFUNCTION("""COMPUTED_VALUE"""),"20171212TXSAP")</f>
        <v>20171212TXSAP</v>
      </c>
      <c r="B1138" s="5">
        <f ca="1">IFERROR(__xludf.DUMMYFUNCTION("""COMPUTED_VALUE"""),21)</f>
        <v>21</v>
      </c>
      <c r="C1138" s="5" t="str">
        <f ca="1">IFERROR(__xludf.DUMMYFUNCTION("""COMPUTED_VALUE"""),"Male")</f>
        <v>Male</v>
      </c>
      <c r="D1138" s="5"/>
      <c r="E1138" s="5" t="str">
        <f ca="1">IFERROR(__xludf.DUMMYFUNCTION("""COMPUTED_VALUE"""),"Relative")</f>
        <v>Relative</v>
      </c>
      <c r="F1138" s="5" t="str">
        <f ca="1">IFERROR(__xludf.DUMMYFUNCTION("""COMPUTED_VALUE"""),"Surrendered")</f>
        <v>Surrendered</v>
      </c>
      <c r="G1138" s="5" t="str">
        <f ca="1">IFERROR(__xludf.DUMMYFUNCTION("""COMPUTED_VALUE"""),"No")</f>
        <v>No</v>
      </c>
      <c r="H1138" s="5" t="str">
        <f ca="1">IFERROR(__xludf.DUMMYFUNCTION("""COMPUTED_VALUE"""),"Wounded")</f>
        <v>Wounded</v>
      </c>
    </row>
    <row r="1139" spans="1:8" ht="13">
      <c r="A1139" s="5" t="str">
        <f ca="1">IFERROR(__xludf.DUMMYFUNCTION("""COMPUTED_VALUE"""),"20171212TXSAP")</f>
        <v>20171212TXSAP</v>
      </c>
      <c r="B1139" s="5">
        <f ca="1">IFERROR(__xludf.DUMMYFUNCTION("""COMPUTED_VALUE"""),20)</f>
        <v>20</v>
      </c>
      <c r="C1139" s="5" t="str">
        <f ca="1">IFERROR(__xludf.DUMMYFUNCTION("""COMPUTED_VALUE"""),"Male")</f>
        <v>Male</v>
      </c>
      <c r="D1139" s="5"/>
      <c r="E1139" s="5" t="str">
        <f ca="1">IFERROR(__xludf.DUMMYFUNCTION("""COMPUTED_VALUE"""),"Relative")</f>
        <v>Relative</v>
      </c>
      <c r="F1139" s="5" t="str">
        <f ca="1">IFERROR(__xludf.DUMMYFUNCTION("""COMPUTED_VALUE"""),"Surrendered")</f>
        <v>Surrendered</v>
      </c>
      <c r="G1139" s="5" t="str">
        <f ca="1">IFERROR(__xludf.DUMMYFUNCTION("""COMPUTED_VALUE"""),"No")</f>
        <v>No</v>
      </c>
      <c r="H1139" s="5" t="str">
        <f ca="1">IFERROR(__xludf.DUMMYFUNCTION("""COMPUTED_VALUE"""),"Wounded")</f>
        <v>Wounded</v>
      </c>
    </row>
    <row r="1140" spans="1:8" ht="13">
      <c r="A1140" s="5" t="str">
        <f ca="1">IFERROR(__xludf.DUMMYFUNCTION("""COMPUTED_VALUE"""),"20171211NCHIH")</f>
        <v>20171211NCHIH</v>
      </c>
      <c r="B1140" s="5">
        <f ca="1">IFERROR(__xludf.DUMMYFUNCTION("""COMPUTED_VALUE"""),15)</f>
        <v>15</v>
      </c>
      <c r="C1140" s="5" t="str">
        <f ca="1">IFERROR(__xludf.DUMMYFUNCTION("""COMPUTED_VALUE"""),"Male")</f>
        <v>Male</v>
      </c>
      <c r="D1140" s="5" t="str">
        <f ca="1">IFERROR(__xludf.DUMMYFUNCTION("""COMPUTED_VALUE"""),"Black")</f>
        <v>Black</v>
      </c>
      <c r="E1140" s="5" t="str">
        <f ca="1">IFERROR(__xludf.DUMMYFUNCTION("""COMPUTED_VALUE"""),"Unknown")</f>
        <v>Unknown</v>
      </c>
      <c r="F1140" s="5" t="str">
        <f ca="1">IFERROR(__xludf.DUMMYFUNCTION("""COMPUTED_VALUE"""),"Fled/Apprehended")</f>
        <v>Fled/Apprehended</v>
      </c>
      <c r="G1140" s="5" t="str">
        <f ca="1">IFERROR(__xludf.DUMMYFUNCTION("""COMPUTED_VALUE"""),"No")</f>
        <v>No</v>
      </c>
      <c r="H1140" s="5" t="str">
        <f ca="1">IFERROR(__xludf.DUMMYFUNCTION("""COMPUTED_VALUE"""),"None")</f>
        <v>None</v>
      </c>
    </row>
    <row r="1141" spans="1:8" ht="13">
      <c r="A1141" s="5" t="str">
        <f ca="1">IFERROR(__xludf.DUMMYFUNCTION("""COMPUTED_VALUE"""),"20171211NCHIH")</f>
        <v>20171211NCHIH</v>
      </c>
      <c r="B1141" s="5">
        <f ca="1">IFERROR(__xludf.DUMMYFUNCTION("""COMPUTED_VALUE"""),15)</f>
        <v>15</v>
      </c>
      <c r="C1141" s="5" t="str">
        <f ca="1">IFERROR(__xludf.DUMMYFUNCTION("""COMPUTED_VALUE"""),"Male")</f>
        <v>Male</v>
      </c>
      <c r="D1141" s="5" t="str">
        <f ca="1">IFERROR(__xludf.DUMMYFUNCTION("""COMPUTED_VALUE"""),"Black")</f>
        <v>Black</v>
      </c>
      <c r="E1141" s="5" t="str">
        <f ca="1">IFERROR(__xludf.DUMMYFUNCTION("""COMPUTED_VALUE"""),"Unknown")</f>
        <v>Unknown</v>
      </c>
      <c r="F1141" s="5" t="str">
        <f ca="1">IFERROR(__xludf.DUMMYFUNCTION("""COMPUTED_VALUE"""),"Fled/Apprehended")</f>
        <v>Fled/Apprehended</v>
      </c>
      <c r="G1141" s="5" t="str">
        <f ca="1">IFERROR(__xludf.DUMMYFUNCTION("""COMPUTED_VALUE"""),"No")</f>
        <v>No</v>
      </c>
      <c r="H1141" s="5" t="str">
        <f ca="1">IFERROR(__xludf.DUMMYFUNCTION("""COMPUTED_VALUE"""),"None")</f>
        <v>None</v>
      </c>
    </row>
    <row r="1142" spans="1:8" ht="13">
      <c r="A1142" s="5" t="str">
        <f ca="1">IFERROR(__xludf.DUMMYFUNCTION("""COMPUTED_VALUE"""),"20171209ILCHC")</f>
        <v>20171209ILCHC</v>
      </c>
      <c r="B1142" s="5"/>
      <c r="C1142" s="5"/>
      <c r="D1142" s="5"/>
      <c r="E1142" s="5" t="str">
        <f ca="1">IFERROR(__xludf.DUMMYFUNCTION("""COMPUTED_VALUE"""),"Unknown")</f>
        <v>Unknown</v>
      </c>
      <c r="F1142" s="5" t="str">
        <f ca="1">IFERROR(__xludf.DUMMYFUNCTION("""COMPUTED_VALUE"""),"Fled/Escaped")</f>
        <v>Fled/Escaped</v>
      </c>
      <c r="G1142" s="5" t="str">
        <f ca="1">IFERROR(__xludf.DUMMYFUNCTION("""COMPUTED_VALUE"""),"No")</f>
        <v>No</v>
      </c>
      <c r="H1142" s="5" t="str">
        <f ca="1">IFERROR(__xludf.DUMMYFUNCTION("""COMPUTED_VALUE"""),"None")</f>
        <v>None</v>
      </c>
    </row>
    <row r="1143" spans="1:8" ht="13">
      <c r="A1143" s="5" t="str">
        <f ca="1">IFERROR(__xludf.DUMMYFUNCTION("""COMPUTED_VALUE"""),"20171207NMAZA")</f>
        <v>20171207NMAZA</v>
      </c>
      <c r="B1143" s="5">
        <f ca="1">IFERROR(__xludf.DUMMYFUNCTION("""COMPUTED_VALUE"""),21)</f>
        <v>21</v>
      </c>
      <c r="C1143" s="5" t="str">
        <f ca="1">IFERROR(__xludf.DUMMYFUNCTION("""COMPUTED_VALUE"""),"Male")</f>
        <v>Male</v>
      </c>
      <c r="D1143" s="5" t="str">
        <f ca="1">IFERROR(__xludf.DUMMYFUNCTION("""COMPUTED_VALUE"""),"White")</f>
        <v>White</v>
      </c>
      <c r="E1143" s="5" t="str">
        <f ca="1">IFERROR(__xludf.DUMMYFUNCTION("""COMPUTED_VALUE"""),"Former Student")</f>
        <v>Former Student</v>
      </c>
      <c r="F1143" s="5" t="str">
        <f ca="1">IFERROR(__xludf.DUMMYFUNCTION("""COMPUTED_VALUE"""),"Suicide")</f>
        <v>Suicide</v>
      </c>
      <c r="G1143" s="5" t="str">
        <f ca="1">IFERROR(__xludf.DUMMYFUNCTION("""COMPUTED_VALUE"""),"Yes")</f>
        <v>Yes</v>
      </c>
      <c r="H1143" s="5" t="str">
        <f ca="1">IFERROR(__xludf.DUMMYFUNCTION("""COMPUTED_VALUE"""),"Suicide")</f>
        <v>Suicide</v>
      </c>
    </row>
    <row r="1144" spans="1:8" ht="13">
      <c r="A1144" s="5" t="str">
        <f ca="1">IFERROR(__xludf.DUMMYFUNCTION("""COMPUTED_VALUE"""),"20171130VASAV")</f>
        <v>20171130VASAV</v>
      </c>
      <c r="B1144" s="5" t="str">
        <f ca="1">IFERROR(__xludf.DUMMYFUNCTION("""COMPUTED_VALUE"""),"Teen")</f>
        <v>Teen</v>
      </c>
      <c r="C1144" s="5"/>
      <c r="D1144" s="5"/>
      <c r="E1144" s="5" t="str">
        <f ca="1">IFERROR(__xludf.DUMMYFUNCTION("""COMPUTED_VALUE"""),"Student")</f>
        <v>Student</v>
      </c>
      <c r="F1144" s="5" t="str">
        <f ca="1">IFERROR(__xludf.DUMMYFUNCTION("""COMPUTED_VALUE"""),"Suicide")</f>
        <v>Suicide</v>
      </c>
      <c r="G1144" s="5" t="str">
        <f ca="1">IFERROR(__xludf.DUMMYFUNCTION("""COMPUTED_VALUE"""),"Yes")</f>
        <v>Yes</v>
      </c>
      <c r="H1144" s="5" t="str">
        <f ca="1">IFERROR(__xludf.DUMMYFUNCTION("""COMPUTED_VALUE"""),"Suicide")</f>
        <v>Suicide</v>
      </c>
    </row>
    <row r="1145" spans="1:8" ht="13">
      <c r="A1145" s="5" t="str">
        <f ca="1">IFERROR(__xludf.DUMMYFUNCTION("""COMPUTED_VALUE"""),"20171129OHBAL")</f>
        <v>20171129OHBAL</v>
      </c>
      <c r="B1145" s="5">
        <f ca="1">IFERROR(__xludf.DUMMYFUNCTION("""COMPUTED_VALUE"""),49)</f>
        <v>49</v>
      </c>
      <c r="C1145" s="5" t="str">
        <f ca="1">IFERROR(__xludf.DUMMYFUNCTION("""COMPUTED_VALUE"""),"Male")</f>
        <v>Male</v>
      </c>
      <c r="D1145" s="5" t="str">
        <f ca="1">IFERROR(__xludf.DUMMYFUNCTION("""COMPUTED_VALUE"""),"White")</f>
        <v>White</v>
      </c>
      <c r="E1145" s="5" t="str">
        <f ca="1">IFERROR(__xludf.DUMMYFUNCTION("""COMPUTED_VALUE"""),"No Relation")</f>
        <v>No Relation</v>
      </c>
      <c r="F1145" s="5" t="str">
        <f ca="1">IFERROR(__xludf.DUMMYFUNCTION("""COMPUTED_VALUE"""),"Surrendered")</f>
        <v>Surrendered</v>
      </c>
      <c r="G1145" s="5" t="str">
        <f ca="1">IFERROR(__xludf.DUMMYFUNCTION("""COMPUTED_VALUE"""),"No")</f>
        <v>No</v>
      </c>
      <c r="H1145" s="5" t="str">
        <f ca="1">IFERROR(__xludf.DUMMYFUNCTION("""COMPUTED_VALUE"""),"None")</f>
        <v>None</v>
      </c>
    </row>
    <row r="1146" spans="1:8" ht="13">
      <c r="A1146" s="5" t="str">
        <f ca="1">IFERROR(__xludf.DUMMYFUNCTION("""COMPUTED_VALUE"""),"20171128CABOS")</f>
        <v>20171128CABOS</v>
      </c>
      <c r="B1146" s="5">
        <f ca="1">IFERROR(__xludf.DUMMYFUNCTION("""COMPUTED_VALUE"""),21)</f>
        <v>21</v>
      </c>
      <c r="C1146" s="5" t="str">
        <f ca="1">IFERROR(__xludf.DUMMYFUNCTION("""COMPUTED_VALUE"""),"Male")</f>
        <v>Male</v>
      </c>
      <c r="D1146" s="5" t="str">
        <f ca="1">IFERROR(__xludf.DUMMYFUNCTION("""COMPUTED_VALUE"""),"White")</f>
        <v>White</v>
      </c>
      <c r="E1146" s="5" t="str">
        <f ca="1">IFERROR(__xludf.DUMMYFUNCTION("""COMPUTED_VALUE"""),"No Relation")</f>
        <v>No Relation</v>
      </c>
      <c r="F1146" s="5" t="str">
        <f ca="1">IFERROR(__xludf.DUMMYFUNCTION("""COMPUTED_VALUE"""),"Fled/Apprehended")</f>
        <v>Fled/Apprehended</v>
      </c>
      <c r="G1146" s="5" t="str">
        <f ca="1">IFERROR(__xludf.DUMMYFUNCTION("""COMPUTED_VALUE"""),"No")</f>
        <v>No</v>
      </c>
      <c r="H1146" s="5" t="str">
        <f ca="1">IFERROR(__xludf.DUMMYFUNCTION("""COMPUTED_VALUE"""),"None")</f>
        <v>None</v>
      </c>
    </row>
    <row r="1147" spans="1:8" ht="13">
      <c r="A1147" s="5" t="str">
        <f ca="1">IFERROR(__xludf.DUMMYFUNCTION("""COMPUTED_VALUE"""),"20171123COMAD")</f>
        <v>20171123COMAD</v>
      </c>
      <c r="B1147" s="5"/>
      <c r="C1147" s="5" t="str">
        <f ca="1">IFERROR(__xludf.DUMMYFUNCTION("""COMPUTED_VALUE"""),"Male")</f>
        <v>Male</v>
      </c>
      <c r="D1147" s="5"/>
      <c r="E1147" s="5" t="str">
        <f ca="1">IFERROR(__xludf.DUMMYFUNCTION("""COMPUTED_VALUE"""),"Unknown")</f>
        <v>Unknown</v>
      </c>
      <c r="F1147" s="5" t="str">
        <f ca="1">IFERROR(__xludf.DUMMYFUNCTION("""COMPUTED_VALUE"""),"Fled/Escaped")</f>
        <v>Fled/Escaped</v>
      </c>
      <c r="G1147" s="5" t="str">
        <f ca="1">IFERROR(__xludf.DUMMYFUNCTION("""COMPUTED_VALUE"""),"No")</f>
        <v>No</v>
      </c>
      <c r="H1147" s="5" t="str">
        <f ca="1">IFERROR(__xludf.DUMMYFUNCTION("""COMPUTED_VALUE"""),"None")</f>
        <v>None</v>
      </c>
    </row>
    <row r="1148" spans="1:8" ht="13">
      <c r="A1148" s="5" t="str">
        <f ca="1">IFERROR(__xludf.DUMMYFUNCTION("""COMPUTED_VALUE"""),"20171123COMAD")</f>
        <v>20171123COMAD</v>
      </c>
      <c r="B1148" s="5"/>
      <c r="C1148" s="5" t="str">
        <f ca="1">IFERROR(__xludf.DUMMYFUNCTION("""COMPUTED_VALUE"""),"Male")</f>
        <v>Male</v>
      </c>
      <c r="D1148" s="5"/>
      <c r="E1148" s="5" t="str">
        <f ca="1">IFERROR(__xludf.DUMMYFUNCTION("""COMPUTED_VALUE"""),"Unknown")</f>
        <v>Unknown</v>
      </c>
      <c r="F1148" s="5" t="str">
        <f ca="1">IFERROR(__xludf.DUMMYFUNCTION("""COMPUTED_VALUE"""),"Fled/Escaped")</f>
        <v>Fled/Escaped</v>
      </c>
      <c r="G1148" s="5" t="str">
        <f ca="1">IFERROR(__xludf.DUMMYFUNCTION("""COMPUTED_VALUE"""),"No")</f>
        <v>No</v>
      </c>
      <c r="H1148" s="5" t="str">
        <f ca="1">IFERROR(__xludf.DUMMYFUNCTION("""COMPUTED_VALUE"""),"None")</f>
        <v>None</v>
      </c>
    </row>
    <row r="1149" spans="1:8" ht="13">
      <c r="A1149" s="5" t="str">
        <f ca="1">IFERROR(__xludf.DUMMYFUNCTION("""COMPUTED_VALUE"""),"20171123COMAD")</f>
        <v>20171123COMAD</v>
      </c>
      <c r="B1149" s="5"/>
      <c r="C1149" s="5" t="str">
        <f ca="1">IFERROR(__xludf.DUMMYFUNCTION("""COMPUTED_VALUE"""),"Male")</f>
        <v>Male</v>
      </c>
      <c r="D1149" s="5"/>
      <c r="E1149" s="5" t="str">
        <f ca="1">IFERROR(__xludf.DUMMYFUNCTION("""COMPUTED_VALUE"""),"Unknown")</f>
        <v>Unknown</v>
      </c>
      <c r="F1149" s="5" t="str">
        <f ca="1">IFERROR(__xludf.DUMMYFUNCTION("""COMPUTED_VALUE"""),"Fled/Escaped")</f>
        <v>Fled/Escaped</v>
      </c>
      <c r="G1149" s="5" t="str">
        <f ca="1">IFERROR(__xludf.DUMMYFUNCTION("""COMPUTED_VALUE"""),"No")</f>
        <v>No</v>
      </c>
      <c r="H1149" s="5" t="str">
        <f ca="1">IFERROR(__xludf.DUMMYFUNCTION("""COMPUTED_VALUE"""),"None")</f>
        <v>None</v>
      </c>
    </row>
    <row r="1150" spans="1:8" ht="13">
      <c r="A1150" s="5" t="str">
        <f ca="1">IFERROR(__xludf.DUMMYFUNCTION("""COMPUTED_VALUE"""),"20171117TNNOJ")</f>
        <v>20171117TNNOJ</v>
      </c>
      <c r="B1150" s="5"/>
      <c r="C1150" s="5"/>
      <c r="D1150" s="5"/>
      <c r="E1150" s="5" t="str">
        <f ca="1">IFERROR(__xludf.DUMMYFUNCTION("""COMPUTED_VALUE"""),"Unknown")</f>
        <v>Unknown</v>
      </c>
      <c r="F1150" s="5" t="str">
        <f ca="1">IFERROR(__xludf.DUMMYFUNCTION("""COMPUTED_VALUE"""),"Fled/Escaped")</f>
        <v>Fled/Escaped</v>
      </c>
      <c r="G1150" s="5" t="str">
        <f ca="1">IFERROR(__xludf.DUMMYFUNCTION("""COMPUTED_VALUE"""),"No")</f>
        <v>No</v>
      </c>
      <c r="H1150" s="5" t="str">
        <f ca="1">IFERROR(__xludf.DUMMYFUNCTION("""COMPUTED_VALUE"""),"None")</f>
        <v>None</v>
      </c>
    </row>
    <row r="1151" spans="1:8" ht="13">
      <c r="A1151" s="5" t="str">
        <f ca="1">IFERROR(__xludf.DUMMYFUNCTION("""COMPUTED_VALUE"""),"20171114FLLAM")</f>
        <v>20171114FLLAM</v>
      </c>
      <c r="B1151" s="5">
        <f ca="1">IFERROR(__xludf.DUMMYFUNCTION("""COMPUTED_VALUE"""),17)</f>
        <v>17</v>
      </c>
      <c r="C1151" s="5" t="str">
        <f ca="1">IFERROR(__xludf.DUMMYFUNCTION("""COMPUTED_VALUE"""),"Male")</f>
        <v>Male</v>
      </c>
      <c r="D1151" s="5"/>
      <c r="E1151" s="5" t="str">
        <f ca="1">IFERROR(__xludf.DUMMYFUNCTION("""COMPUTED_VALUE"""),"Student")</f>
        <v>Student</v>
      </c>
      <c r="F1151" s="5" t="str">
        <f ca="1">IFERROR(__xludf.DUMMYFUNCTION("""COMPUTED_VALUE"""),"Suicide")</f>
        <v>Suicide</v>
      </c>
      <c r="G1151" s="5" t="str">
        <f ca="1">IFERROR(__xludf.DUMMYFUNCTION("""COMPUTED_VALUE"""),"Yes")</f>
        <v>Yes</v>
      </c>
      <c r="H1151" s="5" t="str">
        <f ca="1">IFERROR(__xludf.DUMMYFUNCTION("""COMPUTED_VALUE"""),"Suicide")</f>
        <v>Suicide</v>
      </c>
    </row>
    <row r="1152" spans="1:8" ht="13">
      <c r="A1152" s="5" t="str">
        <f ca="1">IFERROR(__xludf.DUMMYFUNCTION("""COMPUTED_VALUE"""),"20171114CARAR")</f>
        <v>20171114CARAR</v>
      </c>
      <c r="B1152" s="5">
        <f ca="1">IFERROR(__xludf.DUMMYFUNCTION("""COMPUTED_VALUE"""),44)</f>
        <v>44</v>
      </c>
      <c r="C1152" s="5" t="str">
        <f ca="1">IFERROR(__xludf.DUMMYFUNCTION("""COMPUTED_VALUE"""),"Male")</f>
        <v>Male</v>
      </c>
      <c r="D1152" s="5" t="str">
        <f ca="1">IFERROR(__xludf.DUMMYFUNCTION("""COMPUTED_VALUE"""),"White")</f>
        <v>White</v>
      </c>
      <c r="E1152" s="5" t="str">
        <f ca="1">IFERROR(__xludf.DUMMYFUNCTION("""COMPUTED_VALUE"""),"No Relation")</f>
        <v>No Relation</v>
      </c>
      <c r="F1152" s="5" t="str">
        <f ca="1">IFERROR(__xludf.DUMMYFUNCTION("""COMPUTED_VALUE"""),"Suicide")</f>
        <v>Suicide</v>
      </c>
      <c r="G1152" s="5" t="str">
        <f ca="1">IFERROR(__xludf.DUMMYFUNCTION("""COMPUTED_VALUE"""),"Yes")</f>
        <v>Yes</v>
      </c>
      <c r="H1152" s="5" t="str">
        <f ca="1">IFERROR(__xludf.DUMMYFUNCTION("""COMPUTED_VALUE"""),"Suicide")</f>
        <v>Suicide</v>
      </c>
    </row>
    <row r="1153" spans="1:8" ht="13">
      <c r="A1153" s="5" t="str">
        <f ca="1">IFERROR(__xludf.DUMMYFUNCTION("""COMPUTED_VALUE"""),"20171110GALAM")</f>
        <v>20171110GALAM</v>
      </c>
      <c r="B1153" s="5">
        <f ca="1">IFERROR(__xludf.DUMMYFUNCTION("""COMPUTED_VALUE"""),8)</f>
        <v>8</v>
      </c>
      <c r="C1153" s="5" t="str">
        <f ca="1">IFERROR(__xludf.DUMMYFUNCTION("""COMPUTED_VALUE"""),"Male")</f>
        <v>Male</v>
      </c>
      <c r="D1153" s="5"/>
      <c r="E1153" s="5" t="str">
        <f ca="1">IFERROR(__xludf.DUMMYFUNCTION("""COMPUTED_VALUE"""),"Student")</f>
        <v>Student</v>
      </c>
      <c r="F1153" s="5" t="str">
        <f ca="1">IFERROR(__xludf.DUMMYFUNCTION("""COMPUTED_VALUE"""),"Surrendered")</f>
        <v>Surrendered</v>
      </c>
      <c r="G1153" s="5" t="str">
        <f ca="1">IFERROR(__xludf.DUMMYFUNCTION("""COMPUTED_VALUE"""),"No")</f>
        <v>No</v>
      </c>
      <c r="H1153" s="5" t="str">
        <f ca="1">IFERROR(__xludf.DUMMYFUNCTION("""COMPUTED_VALUE"""),"None")</f>
        <v>None</v>
      </c>
    </row>
    <row r="1154" spans="1:8" ht="13">
      <c r="A1154" s="5" t="str">
        <f ca="1">IFERROR(__xludf.DUMMYFUNCTION("""COMPUTED_VALUE"""),"20171109GABEC")</f>
        <v>20171109GABEC</v>
      </c>
      <c r="B1154" s="5">
        <f ca="1">IFERROR(__xludf.DUMMYFUNCTION("""COMPUTED_VALUE"""),15)</f>
        <v>15</v>
      </c>
      <c r="C1154" s="5" t="str">
        <f ca="1">IFERROR(__xludf.DUMMYFUNCTION("""COMPUTED_VALUE"""),"Male")</f>
        <v>Male</v>
      </c>
      <c r="D1154" s="5"/>
      <c r="E1154" s="5" t="str">
        <f ca="1">IFERROR(__xludf.DUMMYFUNCTION("""COMPUTED_VALUE"""),"Student")</f>
        <v>Student</v>
      </c>
      <c r="F1154" s="5" t="str">
        <f ca="1">IFERROR(__xludf.DUMMYFUNCTION("""COMPUTED_VALUE"""),"Surrendered")</f>
        <v>Surrendered</v>
      </c>
      <c r="G1154" s="5" t="str">
        <f ca="1">IFERROR(__xludf.DUMMYFUNCTION("""COMPUTED_VALUE"""),"No")</f>
        <v>No</v>
      </c>
      <c r="H1154" s="5" t="str">
        <f ca="1">IFERROR(__xludf.DUMMYFUNCTION("""COMPUTED_VALUE"""),"None")</f>
        <v>None</v>
      </c>
    </row>
    <row r="1155" spans="1:8" ht="13">
      <c r="A1155" s="5" t="str">
        <f ca="1">IFERROR(__xludf.DUMMYFUNCTION("""COMPUTED_VALUE"""),"20171103MIPAL")</f>
        <v>20171103MIPAL</v>
      </c>
      <c r="B1155" s="5">
        <f ca="1">IFERROR(__xludf.DUMMYFUNCTION("""COMPUTED_VALUE"""),21)</f>
        <v>21</v>
      </c>
      <c r="C1155" s="5" t="str">
        <f ca="1">IFERROR(__xludf.DUMMYFUNCTION("""COMPUTED_VALUE"""),"Male")</f>
        <v>Male</v>
      </c>
      <c r="D1155" s="5" t="str">
        <f ca="1">IFERROR(__xludf.DUMMYFUNCTION("""COMPUTED_VALUE"""),"Black")</f>
        <v>Black</v>
      </c>
      <c r="E1155" s="5" t="str">
        <f ca="1">IFERROR(__xludf.DUMMYFUNCTION("""COMPUTED_VALUE"""),"Unknown")</f>
        <v>Unknown</v>
      </c>
      <c r="F1155" s="5" t="str">
        <f ca="1">IFERROR(__xludf.DUMMYFUNCTION("""COMPUTED_VALUE"""),"Surrendered")</f>
        <v>Surrendered</v>
      </c>
      <c r="G1155" s="5" t="str">
        <f ca="1">IFERROR(__xludf.DUMMYFUNCTION("""COMPUTED_VALUE"""),"No")</f>
        <v>No</v>
      </c>
      <c r="H1155" s="5" t="str">
        <f ca="1">IFERROR(__xludf.DUMMYFUNCTION("""COMPUTED_VALUE"""),"None")</f>
        <v>None</v>
      </c>
    </row>
    <row r="1156" spans="1:8" ht="13">
      <c r="A1156" s="5" t="str">
        <f ca="1">IFERROR(__xludf.DUMMYFUNCTION("""COMPUTED_VALUE"""),"20171027NYPRU")</f>
        <v>20171027NYPRU</v>
      </c>
      <c r="B1156" s="5"/>
      <c r="C1156" s="5" t="str">
        <f ca="1">IFERROR(__xludf.DUMMYFUNCTION("""COMPUTED_VALUE"""),"Male")</f>
        <v>Male</v>
      </c>
      <c r="D1156" s="5"/>
      <c r="E1156" s="5" t="str">
        <f ca="1">IFERROR(__xludf.DUMMYFUNCTION("""COMPUTED_VALUE"""),"Unknown")</f>
        <v>Unknown</v>
      </c>
      <c r="F1156" s="5" t="str">
        <f ca="1">IFERROR(__xludf.DUMMYFUNCTION("""COMPUTED_VALUE"""),"Fled/Escaped")</f>
        <v>Fled/Escaped</v>
      </c>
      <c r="G1156" s="5" t="str">
        <f ca="1">IFERROR(__xludf.DUMMYFUNCTION("""COMPUTED_VALUE"""),"No")</f>
        <v>No</v>
      </c>
      <c r="H1156" s="5" t="str">
        <f ca="1">IFERROR(__xludf.DUMMYFUNCTION("""COMPUTED_VALUE"""),"None")</f>
        <v>None</v>
      </c>
    </row>
    <row r="1157" spans="1:8" ht="13">
      <c r="A1157" s="5" t="str">
        <f ca="1">IFERROR(__xludf.DUMMYFUNCTION("""COMPUTED_VALUE"""),"20171020OHSTT")</f>
        <v>20171020OHSTT</v>
      </c>
      <c r="B1157" s="5"/>
      <c r="C1157" s="5"/>
      <c r="D1157" s="5"/>
      <c r="E1157" s="5" t="str">
        <f ca="1">IFERROR(__xludf.DUMMYFUNCTION("""COMPUTED_VALUE"""),"Unknown")</f>
        <v>Unknown</v>
      </c>
      <c r="F1157" s="5" t="str">
        <f ca="1">IFERROR(__xludf.DUMMYFUNCTION("""COMPUTED_VALUE"""),"Fled/Escaped")</f>
        <v>Fled/Escaped</v>
      </c>
      <c r="G1157" s="5" t="str">
        <f ca="1">IFERROR(__xludf.DUMMYFUNCTION("""COMPUTED_VALUE"""),"No")</f>
        <v>No</v>
      </c>
      <c r="H1157" s="5" t="str">
        <f ca="1">IFERROR(__xludf.DUMMYFUNCTION("""COMPUTED_VALUE"""),"None")</f>
        <v>None</v>
      </c>
    </row>
    <row r="1158" spans="1:8" ht="13">
      <c r="A1158" s="5" t="str">
        <f ca="1">IFERROR(__xludf.DUMMYFUNCTION("""COMPUTED_VALUE"""),"20171014NCKEK")</f>
        <v>20171014NCKEK</v>
      </c>
      <c r="B1158" s="5">
        <f ca="1">IFERROR(__xludf.DUMMYFUNCTION("""COMPUTED_VALUE"""),22)</f>
        <v>22</v>
      </c>
      <c r="C1158" s="5" t="str">
        <f ca="1">IFERROR(__xludf.DUMMYFUNCTION("""COMPUTED_VALUE"""),"Male")</f>
        <v>Male</v>
      </c>
      <c r="D1158" s="5" t="str">
        <f ca="1">IFERROR(__xludf.DUMMYFUNCTION("""COMPUTED_VALUE"""),"Black")</f>
        <v>Black</v>
      </c>
      <c r="E1158" s="5" t="str">
        <f ca="1">IFERROR(__xludf.DUMMYFUNCTION("""COMPUTED_VALUE"""),"Parent")</f>
        <v>Parent</v>
      </c>
      <c r="F1158" s="5" t="str">
        <f ca="1">IFERROR(__xludf.DUMMYFUNCTION("""COMPUTED_VALUE"""),"Apprehended/Killed by LE")</f>
        <v>Apprehended/Killed by LE</v>
      </c>
      <c r="G1158" s="5" t="str">
        <f ca="1">IFERROR(__xludf.DUMMYFUNCTION("""COMPUTED_VALUE"""),"No")</f>
        <v>No</v>
      </c>
      <c r="H1158" s="5" t="str">
        <f ca="1">IFERROR(__xludf.DUMMYFUNCTION("""COMPUTED_VALUE"""),"None")</f>
        <v>None</v>
      </c>
    </row>
    <row r="1159" spans="1:8" ht="13">
      <c r="A1159" s="5" t="str">
        <f ca="1">IFERROR(__xludf.DUMMYFUNCTION("""COMPUTED_VALUE"""),"20171012NCCHC")</f>
        <v>20171012NCCHC</v>
      </c>
      <c r="B1159" s="5">
        <f ca="1">IFERROR(__xludf.DUMMYFUNCTION("""COMPUTED_VALUE"""),37)</f>
        <v>37</v>
      </c>
      <c r="C1159" s="5" t="str">
        <f ca="1">IFERROR(__xludf.DUMMYFUNCTION("""COMPUTED_VALUE"""),"Male")</f>
        <v>Male</v>
      </c>
      <c r="D1159" s="5" t="str">
        <f ca="1">IFERROR(__xludf.DUMMYFUNCTION("""COMPUTED_VALUE"""),"Black")</f>
        <v>Black</v>
      </c>
      <c r="E1159" s="5" t="str">
        <f ca="1">IFERROR(__xludf.DUMMYFUNCTION("""COMPUTED_VALUE"""),"No Relation")</f>
        <v>No Relation</v>
      </c>
      <c r="F1159" s="5" t="str">
        <f ca="1">IFERROR(__xludf.DUMMYFUNCTION("""COMPUTED_VALUE"""),"Fled/Apprehended")</f>
        <v>Fled/Apprehended</v>
      </c>
      <c r="G1159" s="5" t="str">
        <f ca="1">IFERROR(__xludf.DUMMYFUNCTION("""COMPUTED_VALUE"""),"No")</f>
        <v>No</v>
      </c>
      <c r="H1159" s="5" t="str">
        <f ca="1">IFERROR(__xludf.DUMMYFUNCTION("""COMPUTED_VALUE"""),"None")</f>
        <v>None</v>
      </c>
    </row>
    <row r="1160" spans="1:8" ht="13">
      <c r="A1160" s="5" t="str">
        <f ca="1">IFERROR(__xludf.DUMMYFUNCTION("""COMPUTED_VALUE"""),"20171012NCCHC")</f>
        <v>20171012NCCHC</v>
      </c>
      <c r="B1160" s="5">
        <f ca="1">IFERROR(__xludf.DUMMYFUNCTION("""COMPUTED_VALUE"""),30)</f>
        <v>30</v>
      </c>
      <c r="C1160" s="5" t="str">
        <f ca="1">IFERROR(__xludf.DUMMYFUNCTION("""COMPUTED_VALUE"""),"Male")</f>
        <v>Male</v>
      </c>
      <c r="D1160" s="5" t="str">
        <f ca="1">IFERROR(__xludf.DUMMYFUNCTION("""COMPUTED_VALUE"""),"Black")</f>
        <v>Black</v>
      </c>
      <c r="E1160" s="5" t="str">
        <f ca="1">IFERROR(__xludf.DUMMYFUNCTION("""COMPUTED_VALUE"""),"No Relation")</f>
        <v>No Relation</v>
      </c>
      <c r="F1160" s="5" t="str">
        <f ca="1">IFERROR(__xludf.DUMMYFUNCTION("""COMPUTED_VALUE"""),"Fled/Apprehended")</f>
        <v>Fled/Apprehended</v>
      </c>
      <c r="G1160" s="5" t="str">
        <f ca="1">IFERROR(__xludf.DUMMYFUNCTION("""COMPUTED_VALUE"""),"No")</f>
        <v>No</v>
      </c>
      <c r="H1160" s="5" t="str">
        <f ca="1">IFERROR(__xludf.DUMMYFUNCTION("""COMPUTED_VALUE"""),"None")</f>
        <v>None</v>
      </c>
    </row>
    <row r="1161" spans="1:8" ht="13">
      <c r="A1161" s="5" t="str">
        <f ca="1">IFERROR(__xludf.DUMMYFUNCTION("""COMPUTED_VALUE"""),"20170930PAPUC")</f>
        <v>20170930PAPUC</v>
      </c>
      <c r="B1161" s="5">
        <f ca="1">IFERROR(__xludf.DUMMYFUNCTION("""COMPUTED_VALUE"""),37)</f>
        <v>37</v>
      </c>
      <c r="C1161" s="5" t="str">
        <f ca="1">IFERROR(__xludf.DUMMYFUNCTION("""COMPUTED_VALUE"""),"Female")</f>
        <v>Female</v>
      </c>
      <c r="D1161" s="5"/>
      <c r="E1161" s="5" t="str">
        <f ca="1">IFERROR(__xludf.DUMMYFUNCTION("""COMPUTED_VALUE"""),"Unknown")</f>
        <v>Unknown</v>
      </c>
      <c r="F1161" s="5" t="str">
        <f ca="1">IFERROR(__xludf.DUMMYFUNCTION("""COMPUTED_VALUE"""),"Fled/Apprehended")</f>
        <v>Fled/Apprehended</v>
      </c>
      <c r="G1161" s="5" t="str">
        <f ca="1">IFERROR(__xludf.DUMMYFUNCTION("""COMPUTED_VALUE"""),"No")</f>
        <v>No</v>
      </c>
      <c r="H1161" s="5" t="str">
        <f ca="1">IFERROR(__xludf.DUMMYFUNCTION("""COMPUTED_VALUE"""),"None")</f>
        <v>None</v>
      </c>
    </row>
    <row r="1162" spans="1:8" ht="13">
      <c r="A1162" s="5" t="str">
        <f ca="1">IFERROR(__xludf.DUMMYFUNCTION("""COMPUTED_VALUE"""),"20170929MOLEL")</f>
        <v>20170929MOLEL</v>
      </c>
      <c r="B1162" s="5" t="str">
        <f ca="1">IFERROR(__xludf.DUMMYFUNCTION("""COMPUTED_VALUE"""),"Teen")</f>
        <v>Teen</v>
      </c>
      <c r="C1162" s="5" t="str">
        <f ca="1">IFERROR(__xludf.DUMMYFUNCTION("""COMPUTED_VALUE"""),"Female")</f>
        <v>Female</v>
      </c>
      <c r="D1162" s="5"/>
      <c r="E1162" s="5" t="str">
        <f ca="1">IFERROR(__xludf.DUMMYFUNCTION("""COMPUTED_VALUE"""),"Student")</f>
        <v>Student</v>
      </c>
      <c r="F1162" s="5" t="str">
        <f ca="1">IFERROR(__xludf.DUMMYFUNCTION("""COMPUTED_VALUE"""),"Suicide")</f>
        <v>Suicide</v>
      </c>
      <c r="G1162" s="5" t="str">
        <f ca="1">IFERROR(__xludf.DUMMYFUNCTION("""COMPUTED_VALUE"""),"Yes")</f>
        <v>Yes</v>
      </c>
      <c r="H1162" s="5" t="str">
        <f ca="1">IFERROR(__xludf.DUMMYFUNCTION("""COMPUTED_VALUE"""),"Suicide")</f>
        <v>Suicide</v>
      </c>
    </row>
    <row r="1163" spans="1:8" ht="13">
      <c r="A1163" s="5" t="str">
        <f ca="1">IFERROR(__xludf.DUMMYFUNCTION("""COMPUTED_VALUE"""),"20170929CASUL")</f>
        <v>20170929CASUL</v>
      </c>
      <c r="B1163" s="5"/>
      <c r="C1163" s="5"/>
      <c r="D1163" s="5"/>
      <c r="E1163" s="5" t="str">
        <f ca="1">IFERROR(__xludf.DUMMYFUNCTION("""COMPUTED_VALUE"""),"Unknown")</f>
        <v>Unknown</v>
      </c>
      <c r="F1163" s="5" t="str">
        <f ca="1">IFERROR(__xludf.DUMMYFUNCTION("""COMPUTED_VALUE"""),"Fled/Escaped")</f>
        <v>Fled/Escaped</v>
      </c>
      <c r="G1163" s="5" t="str">
        <f ca="1">IFERROR(__xludf.DUMMYFUNCTION("""COMPUTED_VALUE"""),"No")</f>
        <v>No</v>
      </c>
      <c r="H1163" s="5" t="str">
        <f ca="1">IFERROR(__xludf.DUMMYFUNCTION("""COMPUTED_VALUE"""),"None")</f>
        <v>None</v>
      </c>
    </row>
    <row r="1164" spans="1:8" ht="13">
      <c r="A1164" s="5" t="str">
        <f ca="1">IFERROR(__xludf.DUMMYFUNCTION("""COMPUTED_VALUE"""),"20170928KYSOL")</f>
        <v>20170928KYSOL</v>
      </c>
      <c r="B1164" s="5" t="str">
        <f ca="1">IFERROR(__xludf.DUMMYFUNCTION("""COMPUTED_VALUE"""),"Adult")</f>
        <v>Adult</v>
      </c>
      <c r="C1164" s="5" t="str">
        <f ca="1">IFERROR(__xludf.DUMMYFUNCTION("""COMPUTED_VALUE"""),"Male")</f>
        <v>Male</v>
      </c>
      <c r="D1164" s="5"/>
      <c r="E1164" s="5" t="str">
        <f ca="1">IFERROR(__xludf.DUMMYFUNCTION("""COMPUTED_VALUE"""),"No Relation")</f>
        <v>No Relation</v>
      </c>
      <c r="F1164" s="5" t="str">
        <f ca="1">IFERROR(__xludf.DUMMYFUNCTION("""COMPUTED_VALUE"""),"Fled/Escaped")</f>
        <v>Fled/Escaped</v>
      </c>
      <c r="G1164" s="5" t="str">
        <f ca="1">IFERROR(__xludf.DUMMYFUNCTION("""COMPUTED_VALUE"""),"No")</f>
        <v>No</v>
      </c>
      <c r="H1164" s="5" t="str">
        <f ca="1">IFERROR(__xludf.DUMMYFUNCTION("""COMPUTED_VALUE"""),"Wounded")</f>
        <v>Wounded</v>
      </c>
    </row>
    <row r="1165" spans="1:8" ht="13">
      <c r="A1165" s="5" t="str">
        <f ca="1">IFERROR(__xludf.DUMMYFUNCTION("""COMPUTED_VALUE"""),"20170920ILMAM")</f>
        <v>20170920ILMAM</v>
      </c>
      <c r="B1165" s="5">
        <f ca="1">IFERROR(__xludf.DUMMYFUNCTION("""COMPUTED_VALUE"""),14)</f>
        <v>14</v>
      </c>
      <c r="C1165" s="5" t="str">
        <f ca="1">IFERROR(__xludf.DUMMYFUNCTION("""COMPUTED_VALUE"""),"Male")</f>
        <v>Male</v>
      </c>
      <c r="D1165" s="5" t="str">
        <f ca="1">IFERROR(__xludf.DUMMYFUNCTION("""COMPUTED_VALUE"""),"White")</f>
        <v>White</v>
      </c>
      <c r="E1165" s="5" t="str">
        <f ca="1">IFERROR(__xludf.DUMMYFUNCTION("""COMPUTED_VALUE"""),"Student")</f>
        <v>Student</v>
      </c>
      <c r="F1165" s="5" t="str">
        <f ca="1">IFERROR(__xludf.DUMMYFUNCTION("""COMPUTED_VALUE"""),"Subdued by Students/Staff/Other")</f>
        <v>Subdued by Students/Staff/Other</v>
      </c>
      <c r="G1165" s="5" t="str">
        <f ca="1">IFERROR(__xludf.DUMMYFUNCTION("""COMPUTED_VALUE"""),"No")</f>
        <v>No</v>
      </c>
      <c r="H1165" s="5" t="str">
        <f ca="1">IFERROR(__xludf.DUMMYFUNCTION("""COMPUTED_VALUE"""),"None")</f>
        <v>None</v>
      </c>
    </row>
    <row r="1166" spans="1:8" ht="13">
      <c r="A1166" s="5" t="str">
        <f ca="1">IFERROR(__xludf.DUMMYFUNCTION("""COMPUTED_VALUE"""),"20170913WAFRR")</f>
        <v>20170913WAFRR</v>
      </c>
      <c r="B1166" s="5">
        <f ca="1">IFERROR(__xludf.DUMMYFUNCTION("""COMPUTED_VALUE"""),15)</f>
        <v>15</v>
      </c>
      <c r="C1166" s="5" t="str">
        <f ca="1">IFERROR(__xludf.DUMMYFUNCTION("""COMPUTED_VALUE"""),"Male")</f>
        <v>Male</v>
      </c>
      <c r="D1166" s="5" t="str">
        <f ca="1">IFERROR(__xludf.DUMMYFUNCTION("""COMPUTED_VALUE"""),"White")</f>
        <v>White</v>
      </c>
      <c r="E1166" s="5" t="str">
        <f ca="1">IFERROR(__xludf.DUMMYFUNCTION("""COMPUTED_VALUE"""),"Student")</f>
        <v>Student</v>
      </c>
      <c r="F1166" s="5" t="str">
        <f ca="1">IFERROR(__xludf.DUMMYFUNCTION("""COMPUTED_VALUE"""),"Subdued by Students/Staff/Other")</f>
        <v>Subdued by Students/Staff/Other</v>
      </c>
      <c r="G1166" s="5" t="str">
        <f ca="1">IFERROR(__xludf.DUMMYFUNCTION("""COMPUTED_VALUE"""),"No")</f>
        <v>No</v>
      </c>
      <c r="H1166" s="5" t="str">
        <f ca="1">IFERROR(__xludf.DUMMYFUNCTION("""COMPUTED_VALUE"""),"None")</f>
        <v>None</v>
      </c>
    </row>
    <row r="1167" spans="1:8" ht="13">
      <c r="A1167" s="5" t="str">
        <f ca="1">IFERROR(__xludf.DUMMYFUNCTION("""COMPUTED_VALUE"""),"20170908OHCOC")</f>
        <v>20170908OHCOC</v>
      </c>
      <c r="B1167" s="5">
        <f ca="1">IFERROR(__xludf.DUMMYFUNCTION("""COMPUTED_VALUE"""),18)</f>
        <v>18</v>
      </c>
      <c r="C1167" s="5" t="str">
        <f ca="1">IFERROR(__xludf.DUMMYFUNCTION("""COMPUTED_VALUE"""),"Male")</f>
        <v>Male</v>
      </c>
      <c r="D1167" s="5" t="str">
        <f ca="1">IFERROR(__xludf.DUMMYFUNCTION("""COMPUTED_VALUE"""),"Black")</f>
        <v>Black</v>
      </c>
      <c r="E1167" s="5" t="str">
        <f ca="1">IFERROR(__xludf.DUMMYFUNCTION("""COMPUTED_VALUE"""),"Student")</f>
        <v>Student</v>
      </c>
      <c r="F1167" s="5" t="str">
        <f ca="1">IFERROR(__xludf.DUMMYFUNCTION("""COMPUTED_VALUE"""),"Surrendered")</f>
        <v>Surrendered</v>
      </c>
      <c r="G1167" s="5" t="str">
        <f ca="1">IFERROR(__xludf.DUMMYFUNCTION("""COMPUTED_VALUE"""),"No")</f>
        <v>No</v>
      </c>
      <c r="H1167" s="5" t="str">
        <f ca="1">IFERROR(__xludf.DUMMYFUNCTION("""COMPUTED_VALUE"""),"None")</f>
        <v>None</v>
      </c>
    </row>
    <row r="1168" spans="1:8" ht="13">
      <c r="A1168" s="5" t="str">
        <f ca="1">IFERROR(__xludf.DUMMYFUNCTION("""COMPUTED_VALUE"""),"20170908ARNON")</f>
        <v>20170908ARNON</v>
      </c>
      <c r="B1168" s="5"/>
      <c r="C1168" s="5"/>
      <c r="D1168" s="5"/>
      <c r="E1168" s="5" t="str">
        <f ca="1">IFERROR(__xludf.DUMMYFUNCTION("""COMPUTED_VALUE"""),"Unknown")</f>
        <v>Unknown</v>
      </c>
      <c r="F1168" s="5" t="str">
        <f ca="1">IFERROR(__xludf.DUMMYFUNCTION("""COMPUTED_VALUE"""),"Fled/Escaped")</f>
        <v>Fled/Escaped</v>
      </c>
      <c r="G1168" s="5" t="str">
        <f ca="1">IFERROR(__xludf.DUMMYFUNCTION("""COMPUTED_VALUE"""),"No")</f>
        <v>No</v>
      </c>
      <c r="H1168" s="5" t="str">
        <f ca="1">IFERROR(__xludf.DUMMYFUNCTION("""COMPUTED_VALUE"""),"None")</f>
        <v>None</v>
      </c>
    </row>
    <row r="1169" spans="1:8" ht="13">
      <c r="A1169" s="5" t="str">
        <f ca="1">IFERROR(__xludf.DUMMYFUNCTION("""COMPUTED_VALUE"""),"20170831CAARS")</f>
        <v>20170831CAARS</v>
      </c>
      <c r="B1169" s="5"/>
      <c r="C1169" s="5" t="str">
        <f ca="1">IFERROR(__xludf.DUMMYFUNCTION("""COMPUTED_VALUE"""),"Male")</f>
        <v>Male</v>
      </c>
      <c r="D1169" s="5"/>
      <c r="E1169" s="5" t="str">
        <f ca="1">IFERROR(__xludf.DUMMYFUNCTION("""COMPUTED_VALUE"""),"Nonstudent Using Athletic Facilities/Attending Game")</f>
        <v>Nonstudent Using Athletic Facilities/Attending Game</v>
      </c>
      <c r="F1169" s="5" t="str">
        <f ca="1">IFERROR(__xludf.DUMMYFUNCTION("""COMPUTED_VALUE"""),"Fled/Escaped")</f>
        <v>Fled/Escaped</v>
      </c>
      <c r="G1169" s="5" t="str">
        <f ca="1">IFERROR(__xludf.DUMMYFUNCTION("""COMPUTED_VALUE"""),"No")</f>
        <v>No</v>
      </c>
      <c r="H1169" s="5" t="str">
        <f ca="1">IFERROR(__xludf.DUMMYFUNCTION("""COMPUTED_VALUE"""),"None")</f>
        <v>None</v>
      </c>
    </row>
    <row r="1170" spans="1:8" ht="13">
      <c r="A1170" s="5" t="str">
        <f ca="1">IFERROR(__xludf.DUMMYFUNCTION("""COMPUTED_VALUE"""),"20170817GALIL")</f>
        <v>20170817GALIL</v>
      </c>
      <c r="B1170" s="5" t="str">
        <f ca="1">IFERROR(__xludf.DUMMYFUNCTION("""COMPUTED_VALUE"""),"Adult")</f>
        <v>Adult</v>
      </c>
      <c r="C1170" s="5" t="str">
        <f ca="1">IFERROR(__xludf.DUMMYFUNCTION("""COMPUTED_VALUE"""),"Male")</f>
        <v>Male</v>
      </c>
      <c r="D1170" s="5"/>
      <c r="E1170" s="5" t="str">
        <f ca="1">IFERROR(__xludf.DUMMYFUNCTION("""COMPUTED_VALUE"""),"Teacher")</f>
        <v>Teacher</v>
      </c>
      <c r="F1170" s="5" t="str">
        <f ca="1">IFERROR(__xludf.DUMMYFUNCTION("""COMPUTED_VALUE"""),"Attempted Suicide")</f>
        <v>Attempted Suicide</v>
      </c>
      <c r="G1170" s="5" t="str">
        <f ca="1">IFERROR(__xludf.DUMMYFUNCTION("""COMPUTED_VALUE"""),"No")</f>
        <v>No</v>
      </c>
      <c r="H1170" s="5" t="str">
        <f ca="1">IFERROR(__xludf.DUMMYFUNCTION("""COMPUTED_VALUE"""),"Wounded")</f>
        <v>Wounded</v>
      </c>
    </row>
    <row r="1171" spans="1:8" ht="13">
      <c r="A1171" s="5" t="str">
        <f ca="1">IFERROR(__xludf.DUMMYFUNCTION("""COMPUTED_VALUE"""),"20170813NYHUH")</f>
        <v>20170813NYHUH</v>
      </c>
      <c r="B1171" s="5" t="str">
        <f ca="1">IFERROR(__xludf.DUMMYFUNCTION("""COMPUTED_VALUE"""),"Adult")</f>
        <v>Adult</v>
      </c>
      <c r="C1171" s="5" t="str">
        <f ca="1">IFERROR(__xludf.DUMMYFUNCTION("""COMPUTED_VALUE"""),"Male")</f>
        <v>Male</v>
      </c>
      <c r="D1171" s="5" t="str">
        <f ca="1">IFERROR(__xludf.DUMMYFUNCTION("""COMPUTED_VALUE"""),"Black")</f>
        <v>Black</v>
      </c>
      <c r="E1171" s="5" t="str">
        <f ca="1">IFERROR(__xludf.DUMMYFUNCTION("""COMPUTED_VALUE"""),"No Relation")</f>
        <v>No Relation</v>
      </c>
      <c r="F1171" s="5" t="str">
        <f ca="1">IFERROR(__xludf.DUMMYFUNCTION("""COMPUTED_VALUE"""),"Fled/Apprehended")</f>
        <v>Fled/Apprehended</v>
      </c>
      <c r="G1171" s="5" t="str">
        <f ca="1">IFERROR(__xludf.DUMMYFUNCTION("""COMPUTED_VALUE"""),"No")</f>
        <v>No</v>
      </c>
      <c r="H1171" s="5" t="str">
        <f ca="1">IFERROR(__xludf.DUMMYFUNCTION("""COMPUTED_VALUE"""),"None")</f>
        <v>None</v>
      </c>
    </row>
    <row r="1172" spans="1:8" ht="13">
      <c r="A1172" s="5" t="str">
        <f ca="1">IFERROR(__xludf.DUMMYFUNCTION("""COMPUTED_VALUE"""),"20170801GABAV")</f>
        <v>20170801GABAV</v>
      </c>
      <c r="B1172" s="5"/>
      <c r="C1172" s="5" t="str">
        <f ca="1">IFERROR(__xludf.DUMMYFUNCTION("""COMPUTED_VALUE"""),"Male")</f>
        <v>Male</v>
      </c>
      <c r="D1172" s="5"/>
      <c r="E1172" s="5" t="str">
        <f ca="1">IFERROR(__xludf.DUMMYFUNCTION("""COMPUTED_VALUE"""),"Unknown")</f>
        <v>Unknown</v>
      </c>
      <c r="F1172" s="5" t="str">
        <f ca="1">IFERROR(__xludf.DUMMYFUNCTION("""COMPUTED_VALUE"""),"Fled/Escaped")</f>
        <v>Fled/Escaped</v>
      </c>
      <c r="G1172" s="5" t="str">
        <f ca="1">IFERROR(__xludf.DUMMYFUNCTION("""COMPUTED_VALUE"""),"No")</f>
        <v>No</v>
      </c>
      <c r="H1172" s="5" t="str">
        <f ca="1">IFERROR(__xludf.DUMMYFUNCTION("""COMPUTED_VALUE"""),"None")</f>
        <v>None</v>
      </c>
    </row>
    <row r="1173" spans="1:8" ht="13">
      <c r="A1173" s="5" t="str">
        <f ca="1">IFERROR(__xludf.DUMMYFUNCTION("""COMPUTED_VALUE"""),"20170721UTSPS")</f>
        <v>20170721UTSPS</v>
      </c>
      <c r="B1173" s="5">
        <f ca="1">IFERROR(__xludf.DUMMYFUNCTION("""COMPUTED_VALUE"""),19)</f>
        <v>19</v>
      </c>
      <c r="C1173" s="5" t="str">
        <f ca="1">IFERROR(__xludf.DUMMYFUNCTION("""COMPUTED_VALUE"""),"Male")</f>
        <v>Male</v>
      </c>
      <c r="D1173" s="5"/>
      <c r="E1173" s="5" t="str">
        <f ca="1">IFERROR(__xludf.DUMMYFUNCTION("""COMPUTED_VALUE"""),"Unknown")</f>
        <v>Unknown</v>
      </c>
      <c r="F1173" s="5" t="str">
        <f ca="1">IFERROR(__xludf.DUMMYFUNCTION("""COMPUTED_VALUE"""),"Fled/Escaped")</f>
        <v>Fled/Escaped</v>
      </c>
      <c r="G1173" s="5" t="str">
        <f ca="1">IFERROR(__xludf.DUMMYFUNCTION("""COMPUTED_VALUE"""),"Yes")</f>
        <v>Yes</v>
      </c>
      <c r="H1173" s="5" t="str">
        <f ca="1">IFERROR(__xludf.DUMMYFUNCTION("""COMPUTED_VALUE"""),"Suicide")</f>
        <v>Suicide</v>
      </c>
    </row>
    <row r="1174" spans="1:8" ht="13">
      <c r="A1174" s="5" t="str">
        <f ca="1">IFERROR(__xludf.DUMMYFUNCTION("""COMPUTED_VALUE"""),"20170719WIHIM")</f>
        <v>20170719WIHIM</v>
      </c>
      <c r="B1174" s="5" t="str">
        <f ca="1">IFERROR(__xludf.DUMMYFUNCTION("""COMPUTED_VALUE"""),"Adult")</f>
        <v>Adult</v>
      </c>
      <c r="C1174" s="5" t="str">
        <f ca="1">IFERROR(__xludf.DUMMYFUNCTION("""COMPUTED_VALUE"""),"Male")</f>
        <v>Male</v>
      </c>
      <c r="D1174" s="5"/>
      <c r="E1174" s="5" t="str">
        <f ca="1">IFERROR(__xludf.DUMMYFUNCTION("""COMPUTED_VALUE"""),"Unknown")</f>
        <v>Unknown</v>
      </c>
      <c r="F1174" s="5" t="str">
        <f ca="1">IFERROR(__xludf.DUMMYFUNCTION("""COMPUTED_VALUE"""),"Fled/Escaped")</f>
        <v>Fled/Escaped</v>
      </c>
      <c r="G1174" s="5" t="str">
        <f ca="1">IFERROR(__xludf.DUMMYFUNCTION("""COMPUTED_VALUE"""),"No")</f>
        <v>No</v>
      </c>
      <c r="H1174" s="5" t="str">
        <f ca="1">IFERROR(__xludf.DUMMYFUNCTION("""COMPUTED_VALUE"""),"None")</f>
        <v>None</v>
      </c>
    </row>
    <row r="1175" spans="1:8" ht="13">
      <c r="A1175" s="5" t="str">
        <f ca="1">IFERROR(__xludf.DUMMYFUNCTION("""COMPUTED_VALUE"""),"20170622SCWIF")</f>
        <v>20170622SCWIF</v>
      </c>
      <c r="B1175" s="5">
        <f ca="1">IFERROR(__xludf.DUMMYFUNCTION("""COMPUTED_VALUE"""),17)</f>
        <v>17</v>
      </c>
      <c r="C1175" s="5" t="str">
        <f ca="1">IFERROR(__xludf.DUMMYFUNCTION("""COMPUTED_VALUE"""),"Male")</f>
        <v>Male</v>
      </c>
      <c r="D1175" s="5"/>
      <c r="E1175" s="5" t="str">
        <f ca="1">IFERROR(__xludf.DUMMYFUNCTION("""COMPUTED_VALUE"""),"Student")</f>
        <v>Student</v>
      </c>
      <c r="F1175" s="5" t="str">
        <f ca="1">IFERROR(__xludf.DUMMYFUNCTION("""COMPUTED_VALUE"""),"Surrendered")</f>
        <v>Surrendered</v>
      </c>
      <c r="G1175" s="5" t="str">
        <f ca="1">IFERROR(__xludf.DUMMYFUNCTION("""COMPUTED_VALUE"""),"No")</f>
        <v>No</v>
      </c>
      <c r="H1175" s="5" t="str">
        <f ca="1">IFERROR(__xludf.DUMMYFUNCTION("""COMPUTED_VALUE"""),"Wounded")</f>
        <v>Wounded</v>
      </c>
    </row>
    <row r="1176" spans="1:8" ht="13">
      <c r="A1176" s="5" t="str">
        <f ca="1">IFERROR(__xludf.DUMMYFUNCTION("""COMPUTED_VALUE"""),"20170616ILWAC")</f>
        <v>20170616ILWAC</v>
      </c>
      <c r="B1176" s="5">
        <f ca="1">IFERROR(__xludf.DUMMYFUNCTION("""COMPUTED_VALUE"""),18)</f>
        <v>18</v>
      </c>
      <c r="C1176" s="5" t="str">
        <f ca="1">IFERROR(__xludf.DUMMYFUNCTION("""COMPUTED_VALUE"""),"Male")</f>
        <v>Male</v>
      </c>
      <c r="D1176" s="5" t="str">
        <f ca="1">IFERROR(__xludf.DUMMYFUNCTION("""COMPUTED_VALUE"""),"Black")</f>
        <v>Black</v>
      </c>
      <c r="E1176" s="5" t="str">
        <f ca="1">IFERROR(__xludf.DUMMYFUNCTION("""COMPUTED_VALUE"""),"No Relation")</f>
        <v>No Relation</v>
      </c>
      <c r="F1176" s="5" t="str">
        <f ca="1">IFERROR(__xludf.DUMMYFUNCTION("""COMPUTED_VALUE"""),"Fled/Apprehended")</f>
        <v>Fled/Apprehended</v>
      </c>
      <c r="G1176" s="5" t="str">
        <f ca="1">IFERROR(__xludf.DUMMYFUNCTION("""COMPUTED_VALUE"""),"No")</f>
        <v>No</v>
      </c>
      <c r="H1176" s="5" t="str">
        <f ca="1">IFERROR(__xludf.DUMMYFUNCTION("""COMPUTED_VALUE"""),"None")</f>
        <v>None</v>
      </c>
    </row>
    <row r="1177" spans="1:8" ht="13">
      <c r="A1177" s="5" t="str">
        <f ca="1">IFERROR(__xludf.DUMMYFUNCTION("""COMPUTED_VALUE"""),"20170616ILWAC")</f>
        <v>20170616ILWAC</v>
      </c>
      <c r="B1177" s="5">
        <f ca="1">IFERROR(__xludf.DUMMYFUNCTION("""COMPUTED_VALUE"""),16)</f>
        <v>16</v>
      </c>
      <c r="C1177" s="5" t="str">
        <f ca="1">IFERROR(__xludf.DUMMYFUNCTION("""COMPUTED_VALUE"""),"Male")</f>
        <v>Male</v>
      </c>
      <c r="D1177" s="5" t="str">
        <f ca="1">IFERROR(__xludf.DUMMYFUNCTION("""COMPUTED_VALUE"""),"Black")</f>
        <v>Black</v>
      </c>
      <c r="E1177" s="5" t="str">
        <f ca="1">IFERROR(__xludf.DUMMYFUNCTION("""COMPUTED_VALUE"""),"No Relation")</f>
        <v>No Relation</v>
      </c>
      <c r="F1177" s="5" t="str">
        <f ca="1">IFERROR(__xludf.DUMMYFUNCTION("""COMPUTED_VALUE"""),"Fled/Apprehended")</f>
        <v>Fled/Apprehended</v>
      </c>
      <c r="G1177" s="5" t="str">
        <f ca="1">IFERROR(__xludf.DUMMYFUNCTION("""COMPUTED_VALUE"""),"No")</f>
        <v>No</v>
      </c>
      <c r="H1177" s="5" t="str">
        <f ca="1">IFERROR(__xludf.DUMMYFUNCTION("""COMPUTED_VALUE"""),"None")</f>
        <v>None</v>
      </c>
    </row>
    <row r="1178" spans="1:8" ht="13">
      <c r="A1178" s="5" t="str">
        <f ca="1">IFERROR(__xludf.DUMMYFUNCTION("""COMPUTED_VALUE"""),"20170616ILWAC")</f>
        <v>20170616ILWAC</v>
      </c>
      <c r="B1178" s="5">
        <f ca="1">IFERROR(__xludf.DUMMYFUNCTION("""COMPUTED_VALUE"""),17)</f>
        <v>17</v>
      </c>
      <c r="C1178" s="5" t="str">
        <f ca="1">IFERROR(__xludf.DUMMYFUNCTION("""COMPUTED_VALUE"""),"Male")</f>
        <v>Male</v>
      </c>
      <c r="D1178" s="5" t="str">
        <f ca="1">IFERROR(__xludf.DUMMYFUNCTION("""COMPUTED_VALUE"""),"Black")</f>
        <v>Black</v>
      </c>
      <c r="E1178" s="5" t="str">
        <f ca="1">IFERROR(__xludf.DUMMYFUNCTION("""COMPUTED_VALUE"""),"No Relation")</f>
        <v>No Relation</v>
      </c>
      <c r="F1178" s="5" t="str">
        <f ca="1">IFERROR(__xludf.DUMMYFUNCTION("""COMPUTED_VALUE"""),"Fled/Apprehended")</f>
        <v>Fled/Apprehended</v>
      </c>
      <c r="G1178" s="5" t="str">
        <f ca="1">IFERROR(__xludf.DUMMYFUNCTION("""COMPUTED_VALUE"""),"No")</f>
        <v>No</v>
      </c>
      <c r="H1178" s="5" t="str">
        <f ca="1">IFERROR(__xludf.DUMMYFUNCTION("""COMPUTED_VALUE"""),"None")</f>
        <v>None</v>
      </c>
    </row>
    <row r="1179" spans="1:8" ht="13">
      <c r="A1179" s="5" t="str">
        <f ca="1">IFERROR(__xludf.DUMMYFUNCTION("""COMPUTED_VALUE"""),"20170526OKMCT")</f>
        <v>20170526OKMCT</v>
      </c>
      <c r="B1179" s="5">
        <f ca="1">IFERROR(__xludf.DUMMYFUNCTION("""COMPUTED_VALUE"""),14)</f>
        <v>14</v>
      </c>
      <c r="C1179" s="5" t="str">
        <f ca="1">IFERROR(__xludf.DUMMYFUNCTION("""COMPUTED_VALUE"""),"Male")</f>
        <v>Male</v>
      </c>
      <c r="D1179" s="5"/>
      <c r="E1179" s="5" t="str">
        <f ca="1">IFERROR(__xludf.DUMMYFUNCTION("""COMPUTED_VALUE"""),"Student")</f>
        <v>Student</v>
      </c>
      <c r="F1179" s="5" t="str">
        <f ca="1">IFERROR(__xludf.DUMMYFUNCTION("""COMPUTED_VALUE"""),"Apprehended/Killed by LE")</f>
        <v>Apprehended/Killed by LE</v>
      </c>
      <c r="G1179" s="5" t="str">
        <f ca="1">IFERROR(__xludf.DUMMYFUNCTION("""COMPUTED_VALUE"""),"No")</f>
        <v>No</v>
      </c>
      <c r="H1179" s="5" t="str">
        <f ca="1">IFERROR(__xludf.DUMMYFUNCTION("""COMPUTED_VALUE"""),"None")</f>
        <v>None</v>
      </c>
    </row>
    <row r="1180" spans="1:8" ht="13">
      <c r="A1180" s="5" t="str">
        <f ca="1">IFERROR(__xludf.DUMMYFUNCTION("""COMPUTED_VALUE"""),"20170524NEMCO")</f>
        <v>20170524NEMCO</v>
      </c>
      <c r="B1180" s="5">
        <f ca="1">IFERROR(__xludf.DUMMYFUNCTION("""COMPUTED_VALUE"""),51)</f>
        <v>51</v>
      </c>
      <c r="C1180" s="5" t="str">
        <f ca="1">IFERROR(__xludf.DUMMYFUNCTION("""COMPUTED_VALUE"""),"Male")</f>
        <v>Male</v>
      </c>
      <c r="D1180" s="5" t="str">
        <f ca="1">IFERROR(__xludf.DUMMYFUNCTION("""COMPUTED_VALUE"""),"Black")</f>
        <v>Black</v>
      </c>
      <c r="E1180" s="5" t="str">
        <f ca="1">IFERROR(__xludf.DUMMYFUNCTION("""COMPUTED_VALUE"""),"No Relation")</f>
        <v>No Relation</v>
      </c>
      <c r="F1180" s="5" t="str">
        <f ca="1">IFERROR(__xludf.DUMMYFUNCTION("""COMPUTED_VALUE"""),"Fled/Apprehended")</f>
        <v>Fled/Apprehended</v>
      </c>
      <c r="G1180" s="5" t="str">
        <f ca="1">IFERROR(__xludf.DUMMYFUNCTION("""COMPUTED_VALUE"""),"No")</f>
        <v>No</v>
      </c>
      <c r="H1180" s="5" t="str">
        <f ca="1">IFERROR(__xludf.DUMMYFUNCTION("""COMPUTED_VALUE"""),"None")</f>
        <v>None</v>
      </c>
    </row>
    <row r="1181" spans="1:8" ht="13">
      <c r="A1181" s="5" t="str">
        <f ca="1">IFERROR(__xludf.DUMMYFUNCTION("""COMPUTED_VALUE"""),"20170524ALGRG")</f>
        <v>20170524ALGRG</v>
      </c>
      <c r="B1181" s="5" t="str">
        <f ca="1">IFERROR(__xludf.DUMMYFUNCTION("""COMPUTED_VALUE"""),"Teen")</f>
        <v>Teen</v>
      </c>
      <c r="C1181" s="5" t="str">
        <f ca="1">IFERROR(__xludf.DUMMYFUNCTION("""COMPUTED_VALUE"""),"Male")</f>
        <v>Male</v>
      </c>
      <c r="D1181" s="5"/>
      <c r="E1181" s="5" t="str">
        <f ca="1">IFERROR(__xludf.DUMMYFUNCTION("""COMPUTED_VALUE"""),"Student")</f>
        <v>Student</v>
      </c>
      <c r="F1181" s="5" t="str">
        <f ca="1">IFERROR(__xludf.DUMMYFUNCTION("""COMPUTED_VALUE"""),"Subdued by Students/Staff/Other")</f>
        <v>Subdued by Students/Staff/Other</v>
      </c>
      <c r="G1181" s="5" t="str">
        <f ca="1">IFERROR(__xludf.DUMMYFUNCTION("""COMPUTED_VALUE"""),"No")</f>
        <v>No</v>
      </c>
      <c r="H1181" s="5" t="str">
        <f ca="1">IFERROR(__xludf.DUMMYFUNCTION("""COMPUTED_VALUE"""),"None")</f>
        <v>None</v>
      </c>
    </row>
    <row r="1182" spans="1:8" ht="13">
      <c r="A1182" s="5" t="str">
        <f ca="1">IFERROR(__xludf.DUMMYFUNCTION("""COMPUTED_VALUE"""),"20170523TXKEK")</f>
        <v>20170523TXKEK</v>
      </c>
      <c r="B1182" s="5" t="str">
        <f ca="1">IFERROR(__xludf.DUMMYFUNCTION("""COMPUTED_VALUE"""),"Adult")</f>
        <v>Adult</v>
      </c>
      <c r="C1182" s="5" t="str">
        <f ca="1">IFERROR(__xludf.DUMMYFUNCTION("""COMPUTED_VALUE"""),"Male")</f>
        <v>Male</v>
      </c>
      <c r="D1182" s="5"/>
      <c r="E1182" s="5" t="str">
        <f ca="1">IFERROR(__xludf.DUMMYFUNCTION("""COMPUTED_VALUE"""),"Other Staff")</f>
        <v>Other Staff</v>
      </c>
      <c r="F1182" s="5" t="str">
        <f ca="1">IFERROR(__xludf.DUMMYFUNCTION("""COMPUTED_VALUE"""),"Suicide")</f>
        <v>Suicide</v>
      </c>
      <c r="G1182" s="5" t="str">
        <f ca="1">IFERROR(__xludf.DUMMYFUNCTION("""COMPUTED_VALUE"""),"Yes")</f>
        <v>Yes</v>
      </c>
      <c r="H1182" s="5" t="str">
        <f ca="1">IFERROR(__xludf.DUMMYFUNCTION("""COMPUTED_VALUE"""),"Suicide")</f>
        <v>Suicide</v>
      </c>
    </row>
    <row r="1183" spans="1:8" ht="13">
      <c r="A1183" s="5" t="str">
        <f ca="1">IFERROR(__xludf.DUMMYFUNCTION("""COMPUTED_VALUE"""),"20170515LAMOL")</f>
        <v>20170515LAMOL</v>
      </c>
      <c r="B1183" s="5" t="str">
        <f ca="1">IFERROR(__xludf.DUMMYFUNCTION("""COMPUTED_VALUE"""),"Teen")</f>
        <v>Teen</v>
      </c>
      <c r="C1183" s="5" t="str">
        <f ca="1">IFERROR(__xludf.DUMMYFUNCTION("""COMPUTED_VALUE"""),"Male")</f>
        <v>Male</v>
      </c>
      <c r="D1183" s="5" t="str">
        <f ca="1">IFERROR(__xludf.DUMMYFUNCTION("""COMPUTED_VALUE"""),"White")</f>
        <v>White</v>
      </c>
      <c r="E1183" s="5" t="str">
        <f ca="1">IFERROR(__xludf.DUMMYFUNCTION("""COMPUTED_VALUE"""),"Student")</f>
        <v>Student</v>
      </c>
      <c r="F1183" s="5" t="str">
        <f ca="1">IFERROR(__xludf.DUMMYFUNCTION("""COMPUTED_VALUE"""),"Surrendered")</f>
        <v>Surrendered</v>
      </c>
      <c r="G1183" s="5" t="str">
        <f ca="1">IFERROR(__xludf.DUMMYFUNCTION("""COMPUTED_VALUE"""),"No")</f>
        <v>No</v>
      </c>
      <c r="H1183" s="5" t="str">
        <f ca="1">IFERROR(__xludf.DUMMYFUNCTION("""COMPUTED_VALUE"""),"None")</f>
        <v>None</v>
      </c>
    </row>
    <row r="1184" spans="1:8" ht="13">
      <c r="A1184" s="5" t="str">
        <f ca="1">IFERROR(__xludf.DUMMYFUNCTION("""COMPUTED_VALUE"""),"20170415ORMEP")</f>
        <v>20170415ORMEP</v>
      </c>
      <c r="B1184" s="5" t="str">
        <f ca="1">IFERROR(__xludf.DUMMYFUNCTION("""COMPUTED_VALUE"""),"Teen")</f>
        <v>Teen</v>
      </c>
      <c r="C1184" s="5" t="str">
        <f ca="1">IFERROR(__xludf.DUMMYFUNCTION("""COMPUTED_VALUE"""),"Male")</f>
        <v>Male</v>
      </c>
      <c r="D1184" s="5" t="str">
        <f ca="1">IFERROR(__xludf.DUMMYFUNCTION("""COMPUTED_VALUE"""),"Black")</f>
        <v>Black</v>
      </c>
      <c r="E1184" s="5" t="str">
        <f ca="1">IFERROR(__xludf.DUMMYFUNCTION("""COMPUTED_VALUE"""),"No Relation")</f>
        <v>No Relation</v>
      </c>
      <c r="F1184" s="5" t="str">
        <f ca="1">IFERROR(__xludf.DUMMYFUNCTION("""COMPUTED_VALUE"""),"Fled/Escaped")</f>
        <v>Fled/Escaped</v>
      </c>
      <c r="G1184" s="5" t="str">
        <f ca="1">IFERROR(__xludf.DUMMYFUNCTION("""COMPUTED_VALUE"""),"No")</f>
        <v>No</v>
      </c>
      <c r="H1184" s="5" t="str">
        <f ca="1">IFERROR(__xludf.DUMMYFUNCTION("""COMPUTED_VALUE"""),"None")</f>
        <v>None</v>
      </c>
    </row>
    <row r="1185" spans="1:8" ht="13">
      <c r="A1185" s="5" t="str">
        <f ca="1">IFERROR(__xludf.DUMMYFUNCTION("""COMPUTED_VALUE"""),"20170415OKBOT")</f>
        <v>20170415OKBOT</v>
      </c>
      <c r="B1185" s="5"/>
      <c r="C1185" s="5"/>
      <c r="D1185" s="5"/>
      <c r="E1185" s="5" t="str">
        <f ca="1">IFERROR(__xludf.DUMMYFUNCTION("""COMPUTED_VALUE"""),"Unknown")</f>
        <v>Unknown</v>
      </c>
      <c r="F1185" s="5" t="str">
        <f ca="1">IFERROR(__xludf.DUMMYFUNCTION("""COMPUTED_VALUE"""),"Fled/Escaped")</f>
        <v>Fled/Escaped</v>
      </c>
      <c r="G1185" s="5" t="str">
        <f ca="1">IFERROR(__xludf.DUMMYFUNCTION("""COMPUTED_VALUE"""),"No")</f>
        <v>No</v>
      </c>
      <c r="H1185" s="5" t="str">
        <f ca="1">IFERROR(__xludf.DUMMYFUNCTION("""COMPUTED_VALUE"""),"None")</f>
        <v>None</v>
      </c>
    </row>
    <row r="1186" spans="1:8" ht="13">
      <c r="A1186" s="5" t="str">
        <f ca="1">IFERROR(__xludf.DUMMYFUNCTION("""COMPUTED_VALUE"""),"20170410CANOS")</f>
        <v>20170410CANOS</v>
      </c>
      <c r="B1186" s="5">
        <f ca="1">IFERROR(__xludf.DUMMYFUNCTION("""COMPUTED_VALUE"""),53)</f>
        <v>53</v>
      </c>
      <c r="C1186" s="5" t="str">
        <f ca="1">IFERROR(__xludf.DUMMYFUNCTION("""COMPUTED_VALUE"""),"Male")</f>
        <v>Male</v>
      </c>
      <c r="D1186" s="5" t="str">
        <f ca="1">IFERROR(__xludf.DUMMYFUNCTION("""COMPUTED_VALUE"""),"Black")</f>
        <v>Black</v>
      </c>
      <c r="E1186" s="5" t="str">
        <f ca="1">IFERROR(__xludf.DUMMYFUNCTION("""COMPUTED_VALUE"""),"Intimate Relationship")</f>
        <v>Intimate Relationship</v>
      </c>
      <c r="F1186" s="5" t="str">
        <f ca="1">IFERROR(__xludf.DUMMYFUNCTION("""COMPUTED_VALUE"""),"Suicide")</f>
        <v>Suicide</v>
      </c>
      <c r="G1186" s="5" t="str">
        <f ca="1">IFERROR(__xludf.DUMMYFUNCTION("""COMPUTED_VALUE"""),"Yes")</f>
        <v>Yes</v>
      </c>
      <c r="H1186" s="5" t="str">
        <f ca="1">IFERROR(__xludf.DUMMYFUNCTION("""COMPUTED_VALUE"""),"Suicide")</f>
        <v>Suicide</v>
      </c>
    </row>
    <row r="1187" spans="1:8" ht="13">
      <c r="A1187" s="5" t="str">
        <f ca="1">IFERROR(__xludf.DUMMYFUNCTION("""COMPUTED_VALUE"""),"20170328PALIP")</f>
        <v>20170328PALIP</v>
      </c>
      <c r="B1187" s="5">
        <f ca="1">IFERROR(__xludf.DUMMYFUNCTION("""COMPUTED_VALUE"""),16)</f>
        <v>16</v>
      </c>
      <c r="C1187" s="5" t="str">
        <f ca="1">IFERROR(__xludf.DUMMYFUNCTION("""COMPUTED_VALUE"""),"Male")</f>
        <v>Male</v>
      </c>
      <c r="D1187" s="5" t="str">
        <f ca="1">IFERROR(__xludf.DUMMYFUNCTION("""COMPUTED_VALUE"""),"Black")</f>
        <v>Black</v>
      </c>
      <c r="E1187" s="5" t="str">
        <f ca="1">IFERROR(__xludf.DUMMYFUNCTION("""COMPUTED_VALUE"""),"Nonstudent Using Athletic Facilities/Attending Game")</f>
        <v>Nonstudent Using Athletic Facilities/Attending Game</v>
      </c>
      <c r="F1187" s="5" t="str">
        <f ca="1">IFERROR(__xludf.DUMMYFUNCTION("""COMPUTED_VALUE"""),"Apprehended/Killed by Other")</f>
        <v>Apprehended/Killed by Other</v>
      </c>
      <c r="G1187" s="5" t="str">
        <f ca="1">IFERROR(__xludf.DUMMYFUNCTION("""COMPUTED_VALUE"""),"Yes")</f>
        <v>Yes</v>
      </c>
      <c r="H1187" s="5" t="str">
        <f ca="1">IFERROR(__xludf.DUMMYFUNCTION("""COMPUTED_VALUE"""),"Fatal")</f>
        <v>Fatal</v>
      </c>
    </row>
    <row r="1188" spans="1:8" ht="13">
      <c r="A1188" s="5" t="str">
        <f ca="1">IFERROR(__xludf.DUMMYFUNCTION("""COMPUTED_VALUE"""),"20170328PALIP")</f>
        <v>20170328PALIP</v>
      </c>
      <c r="B1188" s="5">
        <f ca="1">IFERROR(__xludf.DUMMYFUNCTION("""COMPUTED_VALUE"""),22)</f>
        <v>22</v>
      </c>
      <c r="C1188" s="5" t="str">
        <f ca="1">IFERROR(__xludf.DUMMYFUNCTION("""COMPUTED_VALUE"""),"Male")</f>
        <v>Male</v>
      </c>
      <c r="D1188" s="5" t="str">
        <f ca="1">IFERROR(__xludf.DUMMYFUNCTION("""COMPUTED_VALUE"""),"Black")</f>
        <v>Black</v>
      </c>
      <c r="E1188" s="5" t="str">
        <f ca="1">IFERROR(__xludf.DUMMYFUNCTION("""COMPUTED_VALUE"""),"Nonstudent Using Athletic Facilities/Attending Game")</f>
        <v>Nonstudent Using Athletic Facilities/Attending Game</v>
      </c>
      <c r="F1188" s="5" t="str">
        <f ca="1">IFERROR(__xludf.DUMMYFUNCTION("""COMPUTED_VALUE"""),"Surrendered")</f>
        <v>Surrendered</v>
      </c>
      <c r="G1188" s="5" t="str">
        <f ca="1">IFERROR(__xludf.DUMMYFUNCTION("""COMPUTED_VALUE"""),"No")</f>
        <v>No</v>
      </c>
      <c r="H1188" s="5" t="str">
        <f ca="1">IFERROR(__xludf.DUMMYFUNCTION("""COMPUTED_VALUE"""),"Wounded")</f>
        <v>Wounded</v>
      </c>
    </row>
    <row r="1189" spans="1:8" ht="13">
      <c r="A1189" s="5" t="str">
        <f ca="1">IFERROR(__xludf.DUMMYFUNCTION("""COMPUTED_VALUE"""),"20170321CAKIK")</f>
        <v>20170321CAKIK</v>
      </c>
      <c r="B1189" s="5">
        <f ca="1">IFERROR(__xludf.DUMMYFUNCTION("""COMPUTED_VALUE"""),17)</f>
        <v>17</v>
      </c>
      <c r="C1189" s="5" t="str">
        <f ca="1">IFERROR(__xludf.DUMMYFUNCTION("""COMPUTED_VALUE"""),"Male")</f>
        <v>Male</v>
      </c>
      <c r="D1189" s="5" t="str">
        <f ca="1">IFERROR(__xludf.DUMMYFUNCTION("""COMPUTED_VALUE"""),"White")</f>
        <v>White</v>
      </c>
      <c r="E1189" s="5" t="str">
        <f ca="1">IFERROR(__xludf.DUMMYFUNCTION("""COMPUTED_VALUE"""),"No Relation")</f>
        <v>No Relation</v>
      </c>
      <c r="F1189" s="5" t="str">
        <f ca="1">IFERROR(__xludf.DUMMYFUNCTION("""COMPUTED_VALUE"""),"Fled/Escaped")</f>
        <v>Fled/Escaped</v>
      </c>
      <c r="G1189" s="5" t="str">
        <f ca="1">IFERROR(__xludf.DUMMYFUNCTION("""COMPUTED_VALUE"""),"No")</f>
        <v>No</v>
      </c>
      <c r="H1189" s="5" t="str">
        <f ca="1">IFERROR(__xludf.DUMMYFUNCTION("""COMPUTED_VALUE"""),"None")</f>
        <v>None</v>
      </c>
    </row>
    <row r="1190" spans="1:8" ht="13">
      <c r="A1190" s="5" t="str">
        <f ca="1">IFERROR(__xludf.DUMMYFUNCTION("""COMPUTED_VALUE"""),"20170316ALROM")</f>
        <v>20170316ALROM</v>
      </c>
      <c r="B1190" s="5">
        <f ca="1">IFERROR(__xludf.DUMMYFUNCTION("""COMPUTED_VALUE"""),16)</f>
        <v>16</v>
      </c>
      <c r="C1190" s="5" t="str">
        <f ca="1">IFERROR(__xludf.DUMMYFUNCTION("""COMPUTED_VALUE"""),"Male")</f>
        <v>Male</v>
      </c>
      <c r="D1190" s="5" t="str">
        <f ca="1">IFERROR(__xludf.DUMMYFUNCTION("""COMPUTED_VALUE"""),"Black")</f>
        <v>Black</v>
      </c>
      <c r="E1190" s="5" t="str">
        <f ca="1">IFERROR(__xludf.DUMMYFUNCTION("""COMPUTED_VALUE"""),"Student")</f>
        <v>Student</v>
      </c>
      <c r="F1190" s="5" t="str">
        <f ca="1">IFERROR(__xludf.DUMMYFUNCTION("""COMPUTED_VALUE"""),"Fled/Apprehended")</f>
        <v>Fled/Apprehended</v>
      </c>
      <c r="G1190" s="5" t="str">
        <f ca="1">IFERROR(__xludf.DUMMYFUNCTION("""COMPUTED_VALUE"""),"No")</f>
        <v>No</v>
      </c>
      <c r="H1190" s="5" t="str">
        <f ca="1">IFERROR(__xludf.DUMMYFUNCTION("""COMPUTED_VALUE"""),"None")</f>
        <v>None</v>
      </c>
    </row>
    <row r="1191" spans="1:8" ht="13">
      <c r="A1191" s="5" t="str">
        <f ca="1">IFERROR(__xludf.DUMMYFUNCTION("""COMPUTED_VALUE"""),"20170218MNMAM")</f>
        <v>20170218MNMAM</v>
      </c>
      <c r="B1191" s="5">
        <f ca="1">IFERROR(__xludf.DUMMYFUNCTION("""COMPUTED_VALUE"""),32)</f>
        <v>32</v>
      </c>
      <c r="C1191" s="5" t="str">
        <f ca="1">IFERROR(__xludf.DUMMYFUNCTION("""COMPUTED_VALUE"""),"Male")</f>
        <v>Male</v>
      </c>
      <c r="D1191" s="5"/>
      <c r="E1191" s="5" t="str">
        <f ca="1">IFERROR(__xludf.DUMMYFUNCTION("""COMPUTED_VALUE"""),"No Relation")</f>
        <v>No Relation</v>
      </c>
      <c r="F1191" s="5" t="str">
        <f ca="1">IFERROR(__xludf.DUMMYFUNCTION("""COMPUTED_VALUE"""),"Suicide")</f>
        <v>Suicide</v>
      </c>
      <c r="G1191" s="5" t="str">
        <f ca="1">IFERROR(__xludf.DUMMYFUNCTION("""COMPUTED_VALUE"""),"Yes")</f>
        <v>Yes</v>
      </c>
      <c r="H1191" s="5" t="str">
        <f ca="1">IFERROR(__xludf.DUMMYFUNCTION("""COMPUTED_VALUE"""),"Suicide")</f>
        <v>Suicide</v>
      </c>
    </row>
    <row r="1192" spans="1:8" ht="13">
      <c r="A1192" s="5" t="str">
        <f ca="1">IFERROR(__xludf.DUMMYFUNCTION("""COMPUTED_VALUE"""),"20170206LASCB")</f>
        <v>20170206LASCB</v>
      </c>
      <c r="B1192" s="5" t="str">
        <f ca="1">IFERROR(__xludf.DUMMYFUNCTION("""COMPUTED_VALUE"""),"Teen")</f>
        <v>Teen</v>
      </c>
      <c r="C1192" s="5" t="str">
        <f ca="1">IFERROR(__xludf.DUMMYFUNCTION("""COMPUTED_VALUE"""),"Male")</f>
        <v>Male</v>
      </c>
      <c r="D1192" s="5"/>
      <c r="E1192" s="5" t="str">
        <f ca="1">IFERROR(__xludf.DUMMYFUNCTION("""COMPUTED_VALUE"""),"Student")</f>
        <v>Student</v>
      </c>
      <c r="F1192" s="5" t="str">
        <f ca="1">IFERROR(__xludf.DUMMYFUNCTION("""COMPUTED_VALUE"""),"Fled/Apprehended")</f>
        <v>Fled/Apprehended</v>
      </c>
      <c r="G1192" s="5" t="str">
        <f ca="1">IFERROR(__xludf.DUMMYFUNCTION("""COMPUTED_VALUE"""),"No")</f>
        <v>No</v>
      </c>
      <c r="H1192" s="5" t="str">
        <f ca="1">IFERROR(__xludf.DUMMYFUNCTION("""COMPUTED_VALUE"""),"None")</f>
        <v>None</v>
      </c>
    </row>
    <row r="1193" spans="1:8" ht="13">
      <c r="A1193" s="5" t="str">
        <f ca="1">IFERROR(__xludf.DUMMYFUNCTION("""COMPUTED_VALUE"""),"20170127SCSOA")</f>
        <v>20170127SCSOA</v>
      </c>
      <c r="B1193" s="5">
        <f ca="1">IFERROR(__xludf.DUMMYFUNCTION("""COMPUTED_VALUE"""),18)</f>
        <v>18</v>
      </c>
      <c r="C1193" s="5" t="str">
        <f ca="1">IFERROR(__xludf.DUMMYFUNCTION("""COMPUTED_VALUE"""),"Male")</f>
        <v>Male</v>
      </c>
      <c r="D1193" s="5" t="str">
        <f ca="1">IFERROR(__xludf.DUMMYFUNCTION("""COMPUTED_VALUE"""),"Black")</f>
        <v>Black</v>
      </c>
      <c r="E1193" s="5" t="str">
        <f ca="1">IFERROR(__xludf.DUMMYFUNCTION("""COMPUTED_VALUE"""),"Unknown")</f>
        <v>Unknown</v>
      </c>
      <c r="F1193" s="5" t="str">
        <f ca="1">IFERROR(__xludf.DUMMYFUNCTION("""COMPUTED_VALUE"""),"Fled/Apprehended")</f>
        <v>Fled/Apprehended</v>
      </c>
      <c r="G1193" s="5" t="str">
        <f ca="1">IFERROR(__xludf.DUMMYFUNCTION("""COMPUTED_VALUE"""),"No")</f>
        <v>No</v>
      </c>
      <c r="H1193" s="5" t="str">
        <f ca="1">IFERROR(__xludf.DUMMYFUNCTION("""COMPUTED_VALUE"""),"None")</f>
        <v>None</v>
      </c>
    </row>
    <row r="1194" spans="1:8" ht="13">
      <c r="A1194" s="5" t="str">
        <f ca="1">IFERROR(__xludf.DUMMYFUNCTION("""COMPUTED_VALUE"""),"20170127SCSOA")</f>
        <v>20170127SCSOA</v>
      </c>
      <c r="B1194" s="5">
        <f ca="1">IFERROR(__xludf.DUMMYFUNCTION("""COMPUTED_VALUE"""),19)</f>
        <v>19</v>
      </c>
      <c r="C1194" s="5" t="str">
        <f ca="1">IFERROR(__xludf.DUMMYFUNCTION("""COMPUTED_VALUE"""),"Male")</f>
        <v>Male</v>
      </c>
      <c r="D1194" s="5" t="str">
        <f ca="1">IFERROR(__xludf.DUMMYFUNCTION("""COMPUTED_VALUE"""),"Black")</f>
        <v>Black</v>
      </c>
      <c r="E1194" s="5" t="str">
        <f ca="1">IFERROR(__xludf.DUMMYFUNCTION("""COMPUTED_VALUE"""),"Nonstudent Using Athletic Facilities/Attending Game")</f>
        <v>Nonstudent Using Athletic Facilities/Attending Game</v>
      </c>
      <c r="F1194" s="5" t="str">
        <f ca="1">IFERROR(__xludf.DUMMYFUNCTION("""COMPUTED_VALUE"""),"Fled/Apprehended")</f>
        <v>Fled/Apprehended</v>
      </c>
      <c r="G1194" s="5" t="str">
        <f ca="1">IFERROR(__xludf.DUMMYFUNCTION("""COMPUTED_VALUE"""),"No")</f>
        <v>No</v>
      </c>
      <c r="H1194" s="5" t="str">
        <f ca="1">IFERROR(__xludf.DUMMYFUNCTION("""COMPUTED_VALUE"""),"None")</f>
        <v>None</v>
      </c>
    </row>
    <row r="1195" spans="1:8" ht="13">
      <c r="A1195" s="5" t="str">
        <f ca="1">IFERROR(__xludf.DUMMYFUNCTION("""COMPUTED_VALUE"""),"20170127ILSCN")</f>
        <v>20170127ILSCN</v>
      </c>
      <c r="B1195" s="5"/>
      <c r="C1195" s="5"/>
      <c r="D1195" s="5"/>
      <c r="E1195" s="5" t="str">
        <f ca="1">IFERROR(__xludf.DUMMYFUNCTION("""COMPUTED_VALUE"""),"No Relation")</f>
        <v>No Relation</v>
      </c>
      <c r="F1195" s="5" t="str">
        <f ca="1">IFERROR(__xludf.DUMMYFUNCTION("""COMPUTED_VALUE"""),"Fled/Escaped")</f>
        <v>Fled/Escaped</v>
      </c>
      <c r="G1195" s="5" t="str">
        <f ca="1">IFERROR(__xludf.DUMMYFUNCTION("""COMPUTED_VALUE"""),"No")</f>
        <v>No</v>
      </c>
      <c r="H1195" s="5" t="str">
        <f ca="1">IFERROR(__xludf.DUMMYFUNCTION("""COMPUTED_VALUE"""),"None")</f>
        <v>None</v>
      </c>
    </row>
    <row r="1196" spans="1:8" ht="13">
      <c r="A1196" s="5" t="str">
        <f ca="1">IFERROR(__xludf.DUMMYFUNCTION("""COMPUTED_VALUE"""),"20170120OHWEW")</f>
        <v>20170120OHWEW</v>
      </c>
      <c r="B1196" s="5">
        <f ca="1">IFERROR(__xludf.DUMMYFUNCTION("""COMPUTED_VALUE"""),17)</f>
        <v>17</v>
      </c>
      <c r="C1196" s="5" t="str">
        <f ca="1">IFERROR(__xludf.DUMMYFUNCTION("""COMPUTED_VALUE"""),"Male")</f>
        <v>Male</v>
      </c>
      <c r="D1196" s="5" t="str">
        <f ca="1">IFERROR(__xludf.DUMMYFUNCTION("""COMPUTED_VALUE"""),"White")</f>
        <v>White</v>
      </c>
      <c r="E1196" s="5" t="str">
        <f ca="1">IFERROR(__xludf.DUMMYFUNCTION("""COMPUTED_VALUE"""),"Student")</f>
        <v>Student</v>
      </c>
      <c r="F1196" s="5" t="str">
        <f ca="1">IFERROR(__xludf.DUMMYFUNCTION("""COMPUTED_VALUE"""),"Surrendered")</f>
        <v>Surrendered</v>
      </c>
      <c r="G1196" s="5" t="str">
        <f ca="1">IFERROR(__xludf.DUMMYFUNCTION("""COMPUTED_VALUE"""),"No")</f>
        <v>No</v>
      </c>
      <c r="H1196" s="5" t="str">
        <f ca="1">IFERROR(__xludf.DUMMYFUNCTION("""COMPUTED_VALUE"""),"None")</f>
        <v>None</v>
      </c>
    </row>
    <row r="1197" spans="1:8" ht="13">
      <c r="A1197" s="5" t="str">
        <f ca="1">IFERROR(__xludf.DUMMYFUNCTION("""COMPUTED_VALUE"""),"20170117FLFRE")</f>
        <v>20170117FLFRE</v>
      </c>
      <c r="B1197" s="5" t="str">
        <f ca="1">IFERROR(__xludf.DUMMYFUNCTION("""COMPUTED_VALUE"""),"Adult")</f>
        <v>Adult</v>
      </c>
      <c r="C1197" s="5"/>
      <c r="D1197" s="5"/>
      <c r="E1197" s="5" t="str">
        <f ca="1">IFERROR(__xludf.DUMMYFUNCTION("""COMPUTED_VALUE"""),"Parent")</f>
        <v>Parent</v>
      </c>
      <c r="F1197" s="5" t="str">
        <f ca="1">IFERROR(__xludf.DUMMYFUNCTION("""COMPUTED_VALUE"""),"Unknown")</f>
        <v>Unknown</v>
      </c>
      <c r="G1197" s="5" t="str">
        <f ca="1">IFERROR(__xludf.DUMMYFUNCTION("""COMPUTED_VALUE"""),"No")</f>
        <v>No</v>
      </c>
      <c r="H1197" s="5" t="str">
        <f ca="1">IFERROR(__xludf.DUMMYFUNCTION("""COMPUTED_VALUE"""),"None")</f>
        <v>None</v>
      </c>
    </row>
    <row r="1198" spans="1:8" ht="13">
      <c r="A1198" s="5" t="str">
        <f ca="1">IFERROR(__xludf.DUMMYFUNCTION("""COMPUTED_VALUE"""),"20170110ALALA")</f>
        <v>20170110ALALA</v>
      </c>
      <c r="B1198" s="5" t="str">
        <f ca="1">IFERROR(__xludf.DUMMYFUNCTION("""COMPUTED_VALUE"""),"Teen")</f>
        <v>Teen</v>
      </c>
      <c r="C1198" s="5" t="str">
        <f ca="1">IFERROR(__xludf.DUMMYFUNCTION("""COMPUTED_VALUE"""),"Male")</f>
        <v>Male</v>
      </c>
      <c r="D1198" s="5"/>
      <c r="E1198" s="5" t="str">
        <f ca="1">IFERROR(__xludf.DUMMYFUNCTION("""COMPUTED_VALUE"""),"Student")</f>
        <v>Student</v>
      </c>
      <c r="F1198" s="5" t="str">
        <f ca="1">IFERROR(__xludf.DUMMYFUNCTION("""COMPUTED_VALUE"""),"Surrendered")</f>
        <v>Surrendered</v>
      </c>
      <c r="G1198" s="5" t="str">
        <f ca="1">IFERROR(__xludf.DUMMYFUNCTION("""COMPUTED_VALUE"""),"No")</f>
        <v>No</v>
      </c>
      <c r="H1198" s="5" t="str">
        <f ca="1">IFERROR(__xludf.DUMMYFUNCTION("""COMPUTED_VALUE"""),"None")</f>
        <v>None</v>
      </c>
    </row>
    <row r="1199" spans="1:8" ht="13">
      <c r="A1199" s="5" t="str">
        <f ca="1">IFERROR(__xludf.DUMMYFUNCTION("""COMPUTED_VALUE"""),"20170101DELAH")</f>
        <v>20170101DELAH</v>
      </c>
      <c r="B1199" s="5">
        <f ca="1">IFERROR(__xludf.DUMMYFUNCTION("""COMPUTED_VALUE"""),19)</f>
        <v>19</v>
      </c>
      <c r="C1199" s="5" t="str">
        <f ca="1">IFERROR(__xludf.DUMMYFUNCTION("""COMPUTED_VALUE"""),"Male")</f>
        <v>Male</v>
      </c>
      <c r="D1199" s="5" t="str">
        <f ca="1">IFERROR(__xludf.DUMMYFUNCTION("""COMPUTED_VALUE"""),"Black")</f>
        <v>Black</v>
      </c>
      <c r="E1199" s="5" t="str">
        <f ca="1">IFERROR(__xludf.DUMMYFUNCTION("""COMPUTED_VALUE"""),"Unknown")</f>
        <v>Unknown</v>
      </c>
      <c r="F1199" s="5" t="str">
        <f ca="1">IFERROR(__xludf.DUMMYFUNCTION("""COMPUTED_VALUE"""),"Fled/Apprehended")</f>
        <v>Fled/Apprehended</v>
      </c>
      <c r="G1199" s="5" t="str">
        <f ca="1">IFERROR(__xludf.DUMMYFUNCTION("""COMPUTED_VALUE"""),"No")</f>
        <v>No</v>
      </c>
      <c r="H1199" s="5" t="str">
        <f ca="1">IFERROR(__xludf.DUMMYFUNCTION("""COMPUTED_VALUE"""),"None")</f>
        <v>None</v>
      </c>
    </row>
    <row r="1200" spans="1:8" ht="13">
      <c r="A1200" s="5" t="str">
        <f ca="1">IFERROR(__xludf.DUMMYFUNCTION("""COMPUTED_VALUE"""),"20161216FLSAJ")</f>
        <v>20161216FLSAJ</v>
      </c>
      <c r="B1200" s="5">
        <f ca="1">IFERROR(__xludf.DUMMYFUNCTION("""COMPUTED_VALUE"""),17)</f>
        <v>17</v>
      </c>
      <c r="C1200" s="5" t="str">
        <f ca="1">IFERROR(__xludf.DUMMYFUNCTION("""COMPUTED_VALUE"""),"Male")</f>
        <v>Male</v>
      </c>
      <c r="D1200" s="5" t="str">
        <f ca="1">IFERROR(__xludf.DUMMYFUNCTION("""COMPUTED_VALUE"""),"Black")</f>
        <v>Black</v>
      </c>
      <c r="E1200" s="5" t="str">
        <f ca="1">IFERROR(__xludf.DUMMYFUNCTION("""COMPUTED_VALUE"""),"Student")</f>
        <v>Student</v>
      </c>
      <c r="F1200" s="5" t="str">
        <f ca="1">IFERROR(__xludf.DUMMYFUNCTION("""COMPUTED_VALUE"""),"Apprehended/Killed by LE")</f>
        <v>Apprehended/Killed by LE</v>
      </c>
      <c r="G1200" s="5" t="str">
        <f ca="1">IFERROR(__xludf.DUMMYFUNCTION("""COMPUTED_VALUE"""),"No")</f>
        <v>No</v>
      </c>
      <c r="H1200" s="5" t="str">
        <f ca="1">IFERROR(__xludf.DUMMYFUNCTION("""COMPUTED_VALUE"""),"None")</f>
        <v>None</v>
      </c>
    </row>
    <row r="1201" spans="1:8" ht="13">
      <c r="A1201" s="5" t="str">
        <f ca="1">IFERROR(__xludf.DUMMYFUNCTION("""COMPUTED_VALUE"""),"20161209NVHUR")</f>
        <v>20161209NVHUR</v>
      </c>
      <c r="B1201" s="5" t="str">
        <f ca="1">IFERROR(__xludf.DUMMYFUNCTION("""COMPUTED_VALUE"""),"Adult")</f>
        <v>Adult</v>
      </c>
      <c r="C1201" s="5"/>
      <c r="D1201" s="5"/>
      <c r="E1201" s="5" t="str">
        <f ca="1">IFERROR(__xludf.DUMMYFUNCTION("""COMPUTED_VALUE"""),"Police Officer/SRO")</f>
        <v>Police Officer/SRO</v>
      </c>
      <c r="F1201" s="5" t="str">
        <f ca="1">IFERROR(__xludf.DUMMYFUNCTION("""COMPUTED_VALUE"""),"Law Enforcement")</f>
        <v>Law Enforcement</v>
      </c>
      <c r="G1201" s="5" t="str">
        <f ca="1">IFERROR(__xludf.DUMMYFUNCTION("""COMPUTED_VALUE"""),"No")</f>
        <v>No</v>
      </c>
      <c r="H1201" s="5" t="str">
        <f ca="1">IFERROR(__xludf.DUMMYFUNCTION("""COMPUTED_VALUE"""),"None")</f>
        <v>None</v>
      </c>
    </row>
    <row r="1202" spans="1:8" ht="13">
      <c r="A1202" s="5" t="str">
        <f ca="1">IFERROR(__xludf.DUMMYFUNCTION("""COMPUTED_VALUE"""),"20161209MOBAS")</f>
        <v>20161209MOBAS</v>
      </c>
      <c r="B1202" s="5"/>
      <c r="C1202" s="5" t="str">
        <f ca="1">IFERROR(__xludf.DUMMYFUNCTION("""COMPUTED_VALUE"""),"Male")</f>
        <v>Male</v>
      </c>
      <c r="D1202" s="5"/>
      <c r="E1202" s="5" t="str">
        <f ca="1">IFERROR(__xludf.DUMMYFUNCTION("""COMPUTED_VALUE"""),"Unknown")</f>
        <v>Unknown</v>
      </c>
      <c r="F1202" s="5" t="str">
        <f ca="1">IFERROR(__xludf.DUMMYFUNCTION("""COMPUTED_VALUE"""),"Fled/Escaped")</f>
        <v>Fled/Escaped</v>
      </c>
      <c r="G1202" s="5" t="str">
        <f ca="1">IFERROR(__xludf.DUMMYFUNCTION("""COMPUTED_VALUE"""),"No")</f>
        <v>No</v>
      </c>
      <c r="H1202" s="5" t="str">
        <f ca="1">IFERROR(__xludf.DUMMYFUNCTION("""COMPUTED_VALUE"""),"None")</f>
        <v>None</v>
      </c>
    </row>
    <row r="1203" spans="1:8" ht="13">
      <c r="A1203" s="5" t="str">
        <f ca="1">IFERROR(__xludf.DUMMYFUNCTION("""COMPUTED_VALUE"""),"20161201UTMUB")</f>
        <v>20161201UTMUB</v>
      </c>
      <c r="B1203" s="5">
        <f ca="1">IFERROR(__xludf.DUMMYFUNCTION("""COMPUTED_VALUE"""),15)</f>
        <v>15</v>
      </c>
      <c r="C1203" s="5" t="str">
        <f ca="1">IFERROR(__xludf.DUMMYFUNCTION("""COMPUTED_VALUE"""),"Male")</f>
        <v>Male</v>
      </c>
      <c r="D1203" s="5"/>
      <c r="E1203" s="5" t="str">
        <f ca="1">IFERROR(__xludf.DUMMYFUNCTION("""COMPUTED_VALUE"""),"Student")</f>
        <v>Student</v>
      </c>
      <c r="F1203" s="5" t="str">
        <f ca="1">IFERROR(__xludf.DUMMYFUNCTION("""COMPUTED_VALUE"""),"Surrendered")</f>
        <v>Surrendered</v>
      </c>
      <c r="G1203" s="5" t="str">
        <f ca="1">IFERROR(__xludf.DUMMYFUNCTION("""COMPUTED_VALUE"""),"No")</f>
        <v>No</v>
      </c>
      <c r="H1203" s="5" t="str">
        <f ca="1">IFERROR(__xludf.DUMMYFUNCTION("""COMPUTED_VALUE"""),"None")</f>
        <v>None</v>
      </c>
    </row>
    <row r="1204" spans="1:8" ht="13">
      <c r="A1204" s="5" t="str">
        <f ca="1">IFERROR(__xludf.DUMMYFUNCTION("""COMPUTED_VALUE"""),"20161117MNCRS")</f>
        <v>20161117MNCRS</v>
      </c>
      <c r="B1204" s="5">
        <f ca="1">IFERROR(__xludf.DUMMYFUNCTION("""COMPUTED_VALUE"""),8)</f>
        <v>8</v>
      </c>
      <c r="C1204" s="5" t="str">
        <f ca="1">IFERROR(__xludf.DUMMYFUNCTION("""COMPUTED_VALUE"""),"Male")</f>
        <v>Male</v>
      </c>
      <c r="D1204" s="5"/>
      <c r="E1204" s="5" t="str">
        <f ca="1">IFERROR(__xludf.DUMMYFUNCTION("""COMPUTED_VALUE"""),"Student")</f>
        <v>Student</v>
      </c>
      <c r="F1204" s="5" t="str">
        <f ca="1">IFERROR(__xludf.DUMMYFUNCTION("""COMPUTED_VALUE"""),"Unknown")</f>
        <v>Unknown</v>
      </c>
      <c r="G1204" s="5" t="str">
        <f ca="1">IFERROR(__xludf.DUMMYFUNCTION("""COMPUTED_VALUE"""),"No")</f>
        <v>No</v>
      </c>
      <c r="H1204" s="5" t="str">
        <f ca="1">IFERROR(__xludf.DUMMYFUNCTION("""COMPUTED_VALUE"""),"None")</f>
        <v>None</v>
      </c>
    </row>
    <row r="1205" spans="1:8" ht="13">
      <c r="A1205" s="5" t="str">
        <f ca="1">IFERROR(__xludf.DUMMYFUNCTION("""COMPUTED_VALUE"""),"20161111MIBAA")</f>
        <v>20161111MIBAA</v>
      </c>
      <c r="B1205" s="5" t="str">
        <f ca="1">IFERROR(__xludf.DUMMYFUNCTION("""COMPUTED_VALUE"""),"Adult")</f>
        <v>Adult</v>
      </c>
      <c r="C1205" s="5" t="str">
        <f ca="1">IFERROR(__xludf.DUMMYFUNCTION("""COMPUTED_VALUE"""),"Male")</f>
        <v>Male</v>
      </c>
      <c r="D1205" s="5" t="str">
        <f ca="1">IFERROR(__xludf.DUMMYFUNCTION("""COMPUTED_VALUE"""),"White")</f>
        <v>White</v>
      </c>
      <c r="E1205" s="5" t="str">
        <f ca="1">IFERROR(__xludf.DUMMYFUNCTION("""COMPUTED_VALUE"""),"Police Officer/SRO")</f>
        <v>Police Officer/SRO</v>
      </c>
      <c r="F1205" s="5" t="str">
        <f ca="1">IFERROR(__xludf.DUMMYFUNCTION("""COMPUTED_VALUE"""),"Law Enforcement")</f>
        <v>Law Enforcement</v>
      </c>
      <c r="G1205" s="5" t="str">
        <f ca="1">IFERROR(__xludf.DUMMYFUNCTION("""COMPUTED_VALUE"""),"No")</f>
        <v>No</v>
      </c>
      <c r="H1205" s="5" t="str">
        <f ca="1">IFERROR(__xludf.DUMMYFUNCTION("""COMPUTED_VALUE"""),"None")</f>
        <v>None</v>
      </c>
    </row>
    <row r="1206" spans="1:8" ht="13">
      <c r="A1206" s="5" t="str">
        <f ca="1">IFERROR(__xludf.DUMMYFUNCTION("""COMPUTED_VALUE"""),"20161103COBEB")</f>
        <v>20161103COBEB</v>
      </c>
      <c r="B1206" s="5">
        <f ca="1">IFERROR(__xludf.DUMMYFUNCTION("""COMPUTED_VALUE"""),15)</f>
        <v>15</v>
      </c>
      <c r="C1206" s="5" t="str">
        <f ca="1">IFERROR(__xludf.DUMMYFUNCTION("""COMPUTED_VALUE"""),"Male")</f>
        <v>Male</v>
      </c>
      <c r="D1206" s="5"/>
      <c r="E1206" s="5" t="str">
        <f ca="1">IFERROR(__xludf.DUMMYFUNCTION("""COMPUTED_VALUE"""),"Student")</f>
        <v>Student</v>
      </c>
      <c r="F1206" s="5" t="str">
        <f ca="1">IFERROR(__xludf.DUMMYFUNCTION("""COMPUTED_VALUE"""),"Suicide")</f>
        <v>Suicide</v>
      </c>
      <c r="G1206" s="5" t="str">
        <f ca="1">IFERROR(__xludf.DUMMYFUNCTION("""COMPUTED_VALUE"""),"Yes")</f>
        <v>Yes</v>
      </c>
      <c r="H1206" s="5" t="str">
        <f ca="1">IFERROR(__xludf.DUMMYFUNCTION("""COMPUTED_VALUE"""),"Suicide")</f>
        <v>Suicide</v>
      </c>
    </row>
    <row r="1207" spans="1:8" ht="13">
      <c r="A1207" s="5" t="str">
        <f ca="1">IFERROR(__xludf.DUMMYFUNCTION("""COMPUTED_VALUE"""),"20161102COGRG")</f>
        <v>20161102COGRG</v>
      </c>
      <c r="B1207" s="5">
        <f ca="1">IFERROR(__xludf.DUMMYFUNCTION("""COMPUTED_VALUE"""),17)</f>
        <v>17</v>
      </c>
      <c r="C1207" s="5" t="str">
        <f ca="1">IFERROR(__xludf.DUMMYFUNCTION("""COMPUTED_VALUE"""),"Male")</f>
        <v>Male</v>
      </c>
      <c r="D1207" s="5" t="str">
        <f ca="1">IFERROR(__xludf.DUMMYFUNCTION("""COMPUTED_VALUE"""),"Hispanic")</f>
        <v>Hispanic</v>
      </c>
      <c r="E1207" s="5" t="str">
        <f ca="1">IFERROR(__xludf.DUMMYFUNCTION("""COMPUTED_VALUE"""),"Student")</f>
        <v>Student</v>
      </c>
      <c r="F1207" s="5" t="str">
        <f ca="1">IFERROR(__xludf.DUMMYFUNCTION("""COMPUTED_VALUE"""),"Suicide")</f>
        <v>Suicide</v>
      </c>
      <c r="G1207" s="5" t="str">
        <f ca="1">IFERROR(__xludf.DUMMYFUNCTION("""COMPUTED_VALUE"""),"Yes")</f>
        <v>Yes</v>
      </c>
      <c r="H1207" s="5" t="str">
        <f ca="1">IFERROR(__xludf.DUMMYFUNCTION("""COMPUTED_VALUE"""),"Suicide")</f>
        <v>Suicide</v>
      </c>
    </row>
    <row r="1208" spans="1:8" ht="13">
      <c r="A1208" s="5" t="str">
        <f ca="1">IFERROR(__xludf.DUMMYFUNCTION("""COMPUTED_VALUE"""),"20161025UTUNS")</f>
        <v>20161025UTUNS</v>
      </c>
      <c r="B1208" s="5">
        <f ca="1">IFERROR(__xludf.DUMMYFUNCTION("""COMPUTED_VALUE"""),14)</f>
        <v>14</v>
      </c>
      <c r="C1208" s="5" t="str">
        <f ca="1">IFERROR(__xludf.DUMMYFUNCTION("""COMPUTED_VALUE"""),"Male")</f>
        <v>Male</v>
      </c>
      <c r="D1208" s="5"/>
      <c r="E1208" s="5" t="str">
        <f ca="1">IFERROR(__xludf.DUMMYFUNCTION("""COMPUTED_VALUE"""),"Student")</f>
        <v>Student</v>
      </c>
      <c r="F1208" s="5" t="str">
        <f ca="1">IFERROR(__xludf.DUMMYFUNCTION("""COMPUTED_VALUE"""),"Surrendered")</f>
        <v>Surrendered</v>
      </c>
      <c r="G1208" s="5" t="str">
        <f ca="1">IFERROR(__xludf.DUMMYFUNCTION("""COMPUTED_VALUE"""),"No")</f>
        <v>No</v>
      </c>
      <c r="H1208" s="5" t="str">
        <f ca="1">IFERROR(__xludf.DUMMYFUNCTION("""COMPUTED_VALUE"""),"None")</f>
        <v>None</v>
      </c>
    </row>
    <row r="1209" spans="1:8" ht="13">
      <c r="A1209" s="5" t="str">
        <f ca="1">IFERROR(__xludf.DUMMYFUNCTION("""COMPUTED_VALUE"""),"20161018CAJUS")</f>
        <v>20161018CAJUS</v>
      </c>
      <c r="B1209" s="5">
        <f ca="1">IFERROR(__xludf.DUMMYFUNCTION("""COMPUTED_VALUE"""),17)</f>
        <v>17</v>
      </c>
      <c r="C1209" s="5" t="str">
        <f ca="1">IFERROR(__xludf.DUMMYFUNCTION("""COMPUTED_VALUE"""),"Male")</f>
        <v>Male</v>
      </c>
      <c r="D1209" s="5"/>
      <c r="E1209" s="5" t="str">
        <f ca="1">IFERROR(__xludf.DUMMYFUNCTION("""COMPUTED_VALUE"""),"Nonstudent")</f>
        <v>Nonstudent</v>
      </c>
      <c r="F1209" s="5" t="str">
        <f ca="1">IFERROR(__xludf.DUMMYFUNCTION("""COMPUTED_VALUE"""),"Fled/Apprehended")</f>
        <v>Fled/Apprehended</v>
      </c>
      <c r="G1209" s="5" t="str">
        <f ca="1">IFERROR(__xludf.DUMMYFUNCTION("""COMPUTED_VALUE"""),"No")</f>
        <v>No</v>
      </c>
      <c r="H1209" s="5" t="str">
        <f ca="1">IFERROR(__xludf.DUMMYFUNCTION("""COMPUTED_VALUE"""),"None")</f>
        <v>None</v>
      </c>
    </row>
    <row r="1210" spans="1:8" ht="13">
      <c r="A1210" s="5" t="str">
        <f ca="1">IFERROR(__xludf.DUMMYFUNCTION("""COMPUTED_VALUE"""),"20161018CAJUS")</f>
        <v>20161018CAJUS</v>
      </c>
      <c r="B1210" s="5" t="str">
        <f ca="1">IFERROR(__xludf.DUMMYFUNCTION("""COMPUTED_VALUE"""),"Teen")</f>
        <v>Teen</v>
      </c>
      <c r="C1210" s="5" t="str">
        <f ca="1">IFERROR(__xludf.DUMMYFUNCTION("""COMPUTED_VALUE"""),"Male")</f>
        <v>Male</v>
      </c>
      <c r="D1210" s="5"/>
      <c r="E1210" s="5" t="str">
        <f ca="1">IFERROR(__xludf.DUMMYFUNCTION("""COMPUTED_VALUE"""),"Nonstudent")</f>
        <v>Nonstudent</v>
      </c>
      <c r="F1210" s="5" t="str">
        <f ca="1">IFERROR(__xludf.DUMMYFUNCTION("""COMPUTED_VALUE"""),"Fled/Apprehended")</f>
        <v>Fled/Apprehended</v>
      </c>
      <c r="G1210" s="5" t="str">
        <f ca="1">IFERROR(__xludf.DUMMYFUNCTION("""COMPUTED_VALUE"""),"No")</f>
        <v>No</v>
      </c>
      <c r="H1210" s="5" t="str">
        <f ca="1">IFERROR(__xludf.DUMMYFUNCTION("""COMPUTED_VALUE"""),"None")</f>
        <v>None</v>
      </c>
    </row>
    <row r="1211" spans="1:8" ht="13">
      <c r="A1211" s="5" t="str">
        <f ca="1">IFERROR(__xludf.DUMMYFUNCTION("""COMPUTED_VALUE"""),"20161018CAJUS")</f>
        <v>20161018CAJUS</v>
      </c>
      <c r="B1211" s="5" t="str">
        <f ca="1">IFERROR(__xludf.DUMMYFUNCTION("""COMPUTED_VALUE"""),"Teen")</f>
        <v>Teen</v>
      </c>
      <c r="C1211" s="5" t="str">
        <f ca="1">IFERROR(__xludf.DUMMYFUNCTION("""COMPUTED_VALUE"""),"Male")</f>
        <v>Male</v>
      </c>
      <c r="D1211" s="5"/>
      <c r="E1211" s="5" t="str">
        <f ca="1">IFERROR(__xludf.DUMMYFUNCTION("""COMPUTED_VALUE"""),"Nonstudent")</f>
        <v>Nonstudent</v>
      </c>
      <c r="F1211" s="5" t="str">
        <f ca="1">IFERROR(__xludf.DUMMYFUNCTION("""COMPUTED_VALUE"""),"Fled/Apprehended")</f>
        <v>Fled/Apprehended</v>
      </c>
      <c r="G1211" s="5" t="str">
        <f ca="1">IFERROR(__xludf.DUMMYFUNCTION("""COMPUTED_VALUE"""),"No")</f>
        <v>No</v>
      </c>
      <c r="H1211" s="5" t="str">
        <f ca="1">IFERROR(__xludf.DUMMYFUNCTION("""COMPUTED_VALUE"""),"None")</f>
        <v>None</v>
      </c>
    </row>
    <row r="1212" spans="1:8" ht="13">
      <c r="A1212" s="5" t="str">
        <f ca="1">IFERROR(__xludf.DUMMYFUNCTION("""COMPUTED_VALUE"""),"20161018CAJUS")</f>
        <v>20161018CAJUS</v>
      </c>
      <c r="B1212" s="5" t="str">
        <f ca="1">IFERROR(__xludf.DUMMYFUNCTION("""COMPUTED_VALUE"""),"Teen")</f>
        <v>Teen</v>
      </c>
      <c r="C1212" s="5" t="str">
        <f ca="1">IFERROR(__xludf.DUMMYFUNCTION("""COMPUTED_VALUE"""),"Male")</f>
        <v>Male</v>
      </c>
      <c r="D1212" s="5"/>
      <c r="E1212" s="5" t="str">
        <f ca="1">IFERROR(__xludf.DUMMYFUNCTION("""COMPUTED_VALUE"""),"Nonstudent")</f>
        <v>Nonstudent</v>
      </c>
      <c r="F1212" s="5" t="str">
        <f ca="1">IFERROR(__xludf.DUMMYFUNCTION("""COMPUTED_VALUE"""),"Fled/Apprehended")</f>
        <v>Fled/Apprehended</v>
      </c>
      <c r="G1212" s="5" t="str">
        <f ca="1">IFERROR(__xludf.DUMMYFUNCTION("""COMPUTED_VALUE"""),"No")</f>
        <v>No</v>
      </c>
      <c r="H1212" s="5" t="str">
        <f ca="1">IFERROR(__xludf.DUMMYFUNCTION("""COMPUTED_VALUE"""),"None")</f>
        <v>None</v>
      </c>
    </row>
    <row r="1213" spans="1:8" ht="13">
      <c r="A1213" s="5" t="str">
        <f ca="1">IFERROR(__xludf.DUMMYFUNCTION("""COMPUTED_VALUE"""),"20161015GABEA")</f>
        <v>20161015GABEA</v>
      </c>
      <c r="B1213" s="5"/>
      <c r="C1213" s="5" t="str">
        <f ca="1">IFERROR(__xludf.DUMMYFUNCTION("""COMPUTED_VALUE"""),"Male")</f>
        <v>Male</v>
      </c>
      <c r="D1213" s="5"/>
      <c r="E1213" s="5" t="str">
        <f ca="1">IFERROR(__xludf.DUMMYFUNCTION("""COMPUTED_VALUE"""),"Unknown")</f>
        <v>Unknown</v>
      </c>
      <c r="F1213" s="5" t="str">
        <f ca="1">IFERROR(__xludf.DUMMYFUNCTION("""COMPUTED_VALUE"""),"Fled/Escaped")</f>
        <v>Fled/Escaped</v>
      </c>
      <c r="G1213" s="5" t="str">
        <f ca="1">IFERROR(__xludf.DUMMYFUNCTION("""COMPUTED_VALUE"""),"No")</f>
        <v>No</v>
      </c>
      <c r="H1213" s="5" t="str">
        <f ca="1">IFERROR(__xludf.DUMMYFUNCTION("""COMPUTED_VALUE"""),"None")</f>
        <v>None</v>
      </c>
    </row>
    <row r="1214" spans="1:8" ht="13">
      <c r="A1214" s="5" t="str">
        <f ca="1">IFERROR(__xludf.DUMMYFUNCTION("""COMPUTED_VALUE"""),"20161013OHLIC")</f>
        <v>20161013OHLIC</v>
      </c>
      <c r="B1214" s="5">
        <f ca="1">IFERROR(__xludf.DUMMYFUNCTION("""COMPUTED_VALUE"""),16)</f>
        <v>16</v>
      </c>
      <c r="C1214" s="5" t="str">
        <f ca="1">IFERROR(__xludf.DUMMYFUNCTION("""COMPUTED_VALUE"""),"Male")</f>
        <v>Male</v>
      </c>
      <c r="D1214" s="5" t="str">
        <f ca="1">IFERROR(__xludf.DUMMYFUNCTION("""COMPUTED_VALUE"""),"Black")</f>
        <v>Black</v>
      </c>
      <c r="E1214" s="5" t="str">
        <f ca="1">IFERROR(__xludf.DUMMYFUNCTION("""COMPUTED_VALUE"""),"Unknown")</f>
        <v>Unknown</v>
      </c>
      <c r="F1214" s="5" t="str">
        <f ca="1">IFERROR(__xludf.DUMMYFUNCTION("""COMPUTED_VALUE"""),"Fled/Apprehended")</f>
        <v>Fled/Apprehended</v>
      </c>
      <c r="G1214" s="5" t="str">
        <f ca="1">IFERROR(__xludf.DUMMYFUNCTION("""COMPUTED_VALUE"""),"No")</f>
        <v>No</v>
      </c>
      <c r="H1214" s="5" t="str">
        <f ca="1">IFERROR(__xludf.DUMMYFUNCTION("""COMPUTED_VALUE"""),"None")</f>
        <v>None</v>
      </c>
    </row>
    <row r="1215" spans="1:8" ht="13">
      <c r="A1215" s="5" t="str">
        <f ca="1">IFERROR(__xludf.DUMMYFUNCTION("""COMPUTED_VALUE"""),"20161013OHLIC")</f>
        <v>20161013OHLIC</v>
      </c>
      <c r="B1215" s="5">
        <f ca="1">IFERROR(__xludf.DUMMYFUNCTION("""COMPUTED_VALUE"""),16)</f>
        <v>16</v>
      </c>
      <c r="C1215" s="5" t="str">
        <f ca="1">IFERROR(__xludf.DUMMYFUNCTION("""COMPUTED_VALUE"""),"Male")</f>
        <v>Male</v>
      </c>
      <c r="D1215" s="5" t="str">
        <f ca="1">IFERROR(__xludf.DUMMYFUNCTION("""COMPUTED_VALUE"""),"Black")</f>
        <v>Black</v>
      </c>
      <c r="E1215" s="5" t="str">
        <f ca="1">IFERROR(__xludf.DUMMYFUNCTION("""COMPUTED_VALUE"""),"Unknown")</f>
        <v>Unknown</v>
      </c>
      <c r="F1215" s="5" t="str">
        <f ca="1">IFERROR(__xludf.DUMMYFUNCTION("""COMPUTED_VALUE"""),"Fled/Apprehended")</f>
        <v>Fled/Apprehended</v>
      </c>
      <c r="G1215" s="5" t="str">
        <f ca="1">IFERROR(__xludf.DUMMYFUNCTION("""COMPUTED_VALUE"""),"No")</f>
        <v>No</v>
      </c>
      <c r="H1215" s="5" t="str">
        <f ca="1">IFERROR(__xludf.DUMMYFUNCTION("""COMPUTED_VALUE"""),"None")</f>
        <v>None</v>
      </c>
    </row>
    <row r="1216" spans="1:8" ht="13">
      <c r="A1216" s="5" t="str">
        <f ca="1">IFERROR(__xludf.DUMMYFUNCTION("""COMPUTED_VALUE"""),"20161011ALVIM")</f>
        <v>20161011ALVIM</v>
      </c>
      <c r="B1216" s="5">
        <f ca="1">IFERROR(__xludf.DUMMYFUNCTION("""COMPUTED_VALUE"""),16)</f>
        <v>16</v>
      </c>
      <c r="C1216" s="5" t="str">
        <f ca="1">IFERROR(__xludf.DUMMYFUNCTION("""COMPUTED_VALUE"""),"Male")</f>
        <v>Male</v>
      </c>
      <c r="D1216" s="5" t="str">
        <f ca="1">IFERROR(__xludf.DUMMYFUNCTION("""COMPUTED_VALUE"""),"Black")</f>
        <v>Black</v>
      </c>
      <c r="E1216" s="5" t="str">
        <f ca="1">IFERROR(__xludf.DUMMYFUNCTION("""COMPUTED_VALUE"""),"Student")</f>
        <v>Student</v>
      </c>
      <c r="F1216" s="5" t="str">
        <f ca="1">IFERROR(__xludf.DUMMYFUNCTION("""COMPUTED_VALUE"""),"Surrendered")</f>
        <v>Surrendered</v>
      </c>
      <c r="G1216" s="5" t="str">
        <f ca="1">IFERROR(__xludf.DUMMYFUNCTION("""COMPUTED_VALUE"""),"No")</f>
        <v>No</v>
      </c>
      <c r="H1216" s="5" t="str">
        <f ca="1">IFERROR(__xludf.DUMMYFUNCTION("""COMPUTED_VALUE"""),"None")</f>
        <v>None</v>
      </c>
    </row>
    <row r="1217" spans="1:8" ht="13">
      <c r="A1217" s="5" t="str">
        <f ca="1">IFERROR(__xludf.DUMMYFUNCTION("""COMPUTED_VALUE"""),"20161006TXDUF")</f>
        <v>20161006TXDUF</v>
      </c>
      <c r="B1217" s="5"/>
      <c r="C1217" s="5"/>
      <c r="D1217" s="5"/>
      <c r="E1217" s="5" t="str">
        <f ca="1">IFERROR(__xludf.DUMMYFUNCTION("""COMPUTED_VALUE"""),"Unknown")</f>
        <v>Unknown</v>
      </c>
      <c r="F1217" s="5" t="str">
        <f ca="1">IFERROR(__xludf.DUMMYFUNCTION("""COMPUTED_VALUE"""),"Fled/Escaped")</f>
        <v>Fled/Escaped</v>
      </c>
      <c r="G1217" s="5" t="str">
        <f ca="1">IFERROR(__xludf.DUMMYFUNCTION("""COMPUTED_VALUE"""),"No")</f>
        <v>No</v>
      </c>
      <c r="H1217" s="5" t="str">
        <f ca="1">IFERROR(__xludf.DUMMYFUNCTION("""COMPUTED_VALUE"""),"None")</f>
        <v>None</v>
      </c>
    </row>
    <row r="1218" spans="1:8" ht="13">
      <c r="A1218" s="5" t="str">
        <f ca="1">IFERROR(__xludf.DUMMYFUNCTION("""COMPUTED_VALUE"""),"20160930ILCHC")</f>
        <v>20160930ILCHC</v>
      </c>
      <c r="B1218" s="5"/>
      <c r="C1218" s="5"/>
      <c r="D1218" s="5"/>
      <c r="E1218" s="5" t="str">
        <f ca="1">IFERROR(__xludf.DUMMYFUNCTION("""COMPUTED_VALUE"""),"Unknown")</f>
        <v>Unknown</v>
      </c>
      <c r="F1218" s="5" t="str">
        <f ca="1">IFERROR(__xludf.DUMMYFUNCTION("""COMPUTED_VALUE"""),"Fled/Escaped")</f>
        <v>Fled/Escaped</v>
      </c>
      <c r="G1218" s="5" t="str">
        <f ca="1">IFERROR(__xludf.DUMMYFUNCTION("""COMPUTED_VALUE"""),"No")</f>
        <v>No</v>
      </c>
      <c r="H1218" s="5" t="str">
        <f ca="1">IFERROR(__xludf.DUMMYFUNCTION("""COMPUTED_VALUE"""),"None")</f>
        <v>None</v>
      </c>
    </row>
    <row r="1219" spans="1:8" ht="13">
      <c r="A1219" s="5" t="str">
        <f ca="1">IFERROR(__xludf.DUMMYFUNCTION("""COMPUTED_VALUE"""),"20160928TNSYP")</f>
        <v>20160928TNSYP</v>
      </c>
      <c r="B1219" s="5">
        <f ca="1">IFERROR(__xludf.DUMMYFUNCTION("""COMPUTED_VALUE"""),14)</f>
        <v>14</v>
      </c>
      <c r="C1219" s="5" t="str">
        <f ca="1">IFERROR(__xludf.DUMMYFUNCTION("""COMPUTED_VALUE"""),"Male")</f>
        <v>Male</v>
      </c>
      <c r="D1219" s="5"/>
      <c r="E1219" s="5" t="str">
        <f ca="1">IFERROR(__xludf.DUMMYFUNCTION("""COMPUTED_VALUE"""),"Student")</f>
        <v>Student</v>
      </c>
      <c r="F1219" s="5" t="str">
        <f ca="1">IFERROR(__xludf.DUMMYFUNCTION("""COMPUTED_VALUE"""),"Surrendered")</f>
        <v>Surrendered</v>
      </c>
      <c r="G1219" s="5" t="str">
        <f ca="1">IFERROR(__xludf.DUMMYFUNCTION("""COMPUTED_VALUE"""),"No")</f>
        <v>No</v>
      </c>
      <c r="H1219" s="5" t="str">
        <f ca="1">IFERROR(__xludf.DUMMYFUNCTION("""COMPUTED_VALUE"""),"None")</f>
        <v>None</v>
      </c>
    </row>
    <row r="1220" spans="1:8" ht="13">
      <c r="A1220" s="5" t="str">
        <f ca="1">IFERROR(__xludf.DUMMYFUNCTION("""COMPUTED_VALUE"""),"20160928SCTOT")</f>
        <v>20160928SCTOT</v>
      </c>
      <c r="B1220" s="5">
        <f ca="1">IFERROR(__xludf.DUMMYFUNCTION("""COMPUTED_VALUE"""),14)</f>
        <v>14</v>
      </c>
      <c r="C1220" s="5" t="str">
        <f ca="1">IFERROR(__xludf.DUMMYFUNCTION("""COMPUTED_VALUE"""),"Male")</f>
        <v>Male</v>
      </c>
      <c r="D1220" s="5" t="str">
        <f ca="1">IFERROR(__xludf.DUMMYFUNCTION("""COMPUTED_VALUE"""),"White")</f>
        <v>White</v>
      </c>
      <c r="E1220" s="5" t="str">
        <f ca="1">IFERROR(__xludf.DUMMYFUNCTION("""COMPUTED_VALUE"""),"Former Student")</f>
        <v>Former Student</v>
      </c>
      <c r="F1220" s="5" t="str">
        <f ca="1">IFERROR(__xludf.DUMMYFUNCTION("""COMPUTED_VALUE"""),"Subdued by Students/Staff/Other")</f>
        <v>Subdued by Students/Staff/Other</v>
      </c>
      <c r="G1220" s="5" t="str">
        <f ca="1">IFERROR(__xludf.DUMMYFUNCTION("""COMPUTED_VALUE"""),"No")</f>
        <v>No</v>
      </c>
      <c r="H1220" s="5" t="str">
        <f ca="1">IFERROR(__xludf.DUMMYFUNCTION("""COMPUTED_VALUE"""),"None")</f>
        <v>None</v>
      </c>
    </row>
    <row r="1221" spans="1:8" ht="13">
      <c r="A1221" s="5" t="str">
        <f ca="1">IFERROR(__xludf.DUMMYFUNCTION("""COMPUTED_VALUE"""),"20160927OHELC")</f>
        <v>20160927OHELC</v>
      </c>
      <c r="B1221" s="5"/>
      <c r="C1221" s="5"/>
      <c r="D1221" s="5"/>
      <c r="E1221" s="5" t="str">
        <f ca="1">IFERROR(__xludf.DUMMYFUNCTION("""COMPUTED_VALUE"""),"Unknown")</f>
        <v>Unknown</v>
      </c>
      <c r="F1221" s="5" t="str">
        <f ca="1">IFERROR(__xludf.DUMMYFUNCTION("""COMPUTED_VALUE"""),"Fled/Escaped")</f>
        <v>Fled/Escaped</v>
      </c>
      <c r="G1221" s="5" t="str">
        <f ca="1">IFERROR(__xludf.DUMMYFUNCTION("""COMPUTED_VALUE"""),"No")</f>
        <v>No</v>
      </c>
      <c r="H1221" s="5" t="str">
        <f ca="1">IFERROR(__xludf.DUMMYFUNCTION("""COMPUTED_VALUE"""),"None")</f>
        <v>None</v>
      </c>
    </row>
    <row r="1222" spans="1:8" ht="13">
      <c r="A1222" s="5" t="str">
        <f ca="1">IFERROR(__xludf.DUMMYFUNCTION("""COMPUTED_VALUE"""),"20160926MSTAJ")</f>
        <v>20160926MSTAJ</v>
      </c>
      <c r="B1222" s="5">
        <f ca="1">IFERROR(__xludf.DUMMYFUNCTION("""COMPUTED_VALUE"""),18)</f>
        <v>18</v>
      </c>
      <c r="C1222" s="5" t="str">
        <f ca="1">IFERROR(__xludf.DUMMYFUNCTION("""COMPUTED_VALUE"""),"Male")</f>
        <v>Male</v>
      </c>
      <c r="D1222" s="5" t="str">
        <f ca="1">IFERROR(__xludf.DUMMYFUNCTION("""COMPUTED_VALUE"""),"Black")</f>
        <v>Black</v>
      </c>
      <c r="E1222" s="5" t="str">
        <f ca="1">IFERROR(__xludf.DUMMYFUNCTION("""COMPUTED_VALUE"""),"No Relation")</f>
        <v>No Relation</v>
      </c>
      <c r="F1222" s="5" t="str">
        <f ca="1">IFERROR(__xludf.DUMMYFUNCTION("""COMPUTED_VALUE"""),"Fled/Apprehended")</f>
        <v>Fled/Apprehended</v>
      </c>
      <c r="G1222" s="5" t="str">
        <f ca="1">IFERROR(__xludf.DUMMYFUNCTION("""COMPUTED_VALUE"""),"No")</f>
        <v>No</v>
      </c>
      <c r="H1222" s="5" t="str">
        <f ca="1">IFERROR(__xludf.DUMMYFUNCTION("""COMPUTED_VALUE"""),"None")</f>
        <v>None</v>
      </c>
    </row>
    <row r="1223" spans="1:8" ht="13">
      <c r="A1223" s="5" t="str">
        <f ca="1">IFERROR(__xludf.DUMMYFUNCTION("""COMPUTED_VALUE"""),"20160909PASMY")</f>
        <v>20160909PASMY</v>
      </c>
      <c r="B1223" s="5"/>
      <c r="C1223" s="5" t="str">
        <f ca="1">IFERROR(__xludf.DUMMYFUNCTION("""COMPUTED_VALUE"""),"Male")</f>
        <v>Male</v>
      </c>
      <c r="D1223" s="5"/>
      <c r="E1223" s="5" t="str">
        <f ca="1">IFERROR(__xludf.DUMMYFUNCTION("""COMPUTED_VALUE"""),"Unknown")</f>
        <v>Unknown</v>
      </c>
      <c r="F1223" s="5" t="str">
        <f ca="1">IFERROR(__xludf.DUMMYFUNCTION("""COMPUTED_VALUE"""),"Fled/Escaped")</f>
        <v>Fled/Escaped</v>
      </c>
      <c r="G1223" s="5" t="str">
        <f ca="1">IFERROR(__xludf.DUMMYFUNCTION("""COMPUTED_VALUE"""),"No")</f>
        <v>No</v>
      </c>
      <c r="H1223" s="5" t="str">
        <f ca="1">IFERROR(__xludf.DUMMYFUNCTION("""COMPUTED_VALUE"""),"None")</f>
        <v>None</v>
      </c>
    </row>
    <row r="1224" spans="1:8" ht="13">
      <c r="A1224" s="5" t="str">
        <f ca="1">IFERROR(__xludf.DUMMYFUNCTION("""COMPUTED_VALUE"""),"20160909IACEC")</f>
        <v>20160909IACEC</v>
      </c>
      <c r="B1224" s="5">
        <f ca="1">IFERROR(__xludf.DUMMYFUNCTION("""COMPUTED_VALUE"""),15)</f>
        <v>15</v>
      </c>
      <c r="C1224" s="5" t="str">
        <f ca="1">IFERROR(__xludf.DUMMYFUNCTION("""COMPUTED_VALUE"""),"Male")</f>
        <v>Male</v>
      </c>
      <c r="D1224" s="5"/>
      <c r="E1224" s="5" t="str">
        <f ca="1">IFERROR(__xludf.DUMMYFUNCTION("""COMPUTED_VALUE"""),"Student")</f>
        <v>Student</v>
      </c>
      <c r="F1224" s="5" t="str">
        <f ca="1">IFERROR(__xludf.DUMMYFUNCTION("""COMPUTED_VALUE"""),"Suicide")</f>
        <v>Suicide</v>
      </c>
      <c r="G1224" s="5" t="str">
        <f ca="1">IFERROR(__xludf.DUMMYFUNCTION("""COMPUTED_VALUE"""),"Yes")</f>
        <v>Yes</v>
      </c>
      <c r="H1224" s="5" t="str">
        <f ca="1">IFERROR(__xludf.DUMMYFUNCTION("""COMPUTED_VALUE"""),"Suicide")</f>
        <v>Suicide</v>
      </c>
    </row>
    <row r="1225" spans="1:8" ht="13">
      <c r="A1225" s="5" t="str">
        <f ca="1">IFERROR(__xludf.DUMMYFUNCTION("""COMPUTED_VALUE"""),"20160908TXALA")</f>
        <v>20160908TXALA</v>
      </c>
      <c r="B1225" s="5">
        <f ca="1">IFERROR(__xludf.DUMMYFUNCTION("""COMPUTED_VALUE"""),14)</f>
        <v>14</v>
      </c>
      <c r="C1225" s="5" t="str">
        <f ca="1">IFERROR(__xludf.DUMMYFUNCTION("""COMPUTED_VALUE"""),"Female")</f>
        <v>Female</v>
      </c>
      <c r="D1225" s="5"/>
      <c r="E1225" s="5" t="str">
        <f ca="1">IFERROR(__xludf.DUMMYFUNCTION("""COMPUTED_VALUE"""),"Student")</f>
        <v>Student</v>
      </c>
      <c r="F1225" s="5" t="str">
        <f ca="1">IFERROR(__xludf.DUMMYFUNCTION("""COMPUTED_VALUE"""),"Suicide")</f>
        <v>Suicide</v>
      </c>
      <c r="G1225" s="5" t="str">
        <f ca="1">IFERROR(__xludf.DUMMYFUNCTION("""COMPUTED_VALUE"""),"Yes")</f>
        <v>Yes</v>
      </c>
      <c r="H1225" s="5" t="str">
        <f ca="1">IFERROR(__xludf.DUMMYFUNCTION("""COMPUTED_VALUE"""),"Suicide")</f>
        <v>Suicide</v>
      </c>
    </row>
    <row r="1226" spans="1:8" ht="13">
      <c r="A1226" s="5" t="str">
        <f ca="1">IFERROR(__xludf.DUMMYFUNCTION("""COMPUTED_VALUE"""),"20160907MIDED")</f>
        <v>20160907MIDED</v>
      </c>
      <c r="B1226" s="5"/>
      <c r="C1226" s="5"/>
      <c r="D1226" s="5"/>
      <c r="E1226" s="5" t="str">
        <f ca="1">IFERROR(__xludf.DUMMYFUNCTION("""COMPUTED_VALUE"""),"Unknown")</f>
        <v>Unknown</v>
      </c>
      <c r="F1226" s="5" t="str">
        <f ca="1">IFERROR(__xludf.DUMMYFUNCTION("""COMPUTED_VALUE"""),"Fled/Escaped")</f>
        <v>Fled/Escaped</v>
      </c>
      <c r="G1226" s="5" t="str">
        <f ca="1">IFERROR(__xludf.DUMMYFUNCTION("""COMPUTED_VALUE"""),"No")</f>
        <v>No</v>
      </c>
      <c r="H1226" s="5" t="str">
        <f ca="1">IFERROR(__xludf.DUMMYFUNCTION("""COMPUTED_VALUE"""),"None")</f>
        <v>None</v>
      </c>
    </row>
    <row r="1227" spans="1:8" ht="13">
      <c r="A1227" s="5" t="str">
        <f ca="1">IFERROR(__xludf.DUMMYFUNCTION("""COMPUTED_VALUE"""),"20160902OKMCT")</f>
        <v>20160902OKMCT</v>
      </c>
      <c r="B1227" s="5">
        <f ca="1">IFERROR(__xludf.DUMMYFUNCTION("""COMPUTED_VALUE"""),16)</f>
        <v>16</v>
      </c>
      <c r="C1227" s="5" t="str">
        <f ca="1">IFERROR(__xludf.DUMMYFUNCTION("""COMPUTED_VALUE"""),"Male")</f>
        <v>Male</v>
      </c>
      <c r="D1227" s="5"/>
      <c r="E1227" s="5" t="str">
        <f ca="1">IFERROR(__xludf.DUMMYFUNCTION("""COMPUTED_VALUE"""),"Unknown")</f>
        <v>Unknown</v>
      </c>
      <c r="F1227" s="5" t="str">
        <f ca="1">IFERROR(__xludf.DUMMYFUNCTION("""COMPUTED_VALUE"""),"Fled/Escaped")</f>
        <v>Fled/Escaped</v>
      </c>
      <c r="G1227" s="5" t="str">
        <f ca="1">IFERROR(__xludf.DUMMYFUNCTION("""COMPUTED_VALUE"""),"No")</f>
        <v>No</v>
      </c>
      <c r="H1227" s="5" t="str">
        <f ca="1">IFERROR(__xludf.DUMMYFUNCTION("""COMPUTED_VALUE"""),"None")</f>
        <v>None</v>
      </c>
    </row>
    <row r="1228" spans="1:8" ht="13">
      <c r="A1228" s="5" t="str">
        <f ca="1">IFERROR(__xludf.DUMMYFUNCTION("""COMPUTED_VALUE"""),"20160819FLSOM")</f>
        <v>20160819FLSOM</v>
      </c>
      <c r="B1228" s="5"/>
      <c r="C1228" s="5" t="str">
        <f ca="1">IFERROR(__xludf.DUMMYFUNCTION("""COMPUTED_VALUE"""),"Male")</f>
        <v>Male</v>
      </c>
      <c r="D1228" s="5"/>
      <c r="E1228" s="5" t="str">
        <f ca="1">IFERROR(__xludf.DUMMYFUNCTION("""COMPUTED_VALUE"""),"Nonstudent Using Athletic Facilities/Attending Game")</f>
        <v>Nonstudent Using Athletic Facilities/Attending Game</v>
      </c>
      <c r="F1228" s="5" t="str">
        <f ca="1">IFERROR(__xludf.DUMMYFUNCTION("""COMPUTED_VALUE"""),"Unknown")</f>
        <v>Unknown</v>
      </c>
      <c r="G1228" s="5" t="str">
        <f ca="1">IFERROR(__xludf.DUMMYFUNCTION("""COMPUTED_VALUE"""),"No")</f>
        <v>No</v>
      </c>
      <c r="H1228" s="5" t="str">
        <f ca="1">IFERROR(__xludf.DUMMYFUNCTION("""COMPUTED_VALUE"""),"None")</f>
        <v>None</v>
      </c>
    </row>
    <row r="1229" spans="1:8" ht="13">
      <c r="A1229" s="5" t="str">
        <f ca="1">IFERROR(__xludf.DUMMYFUNCTION("""COMPUTED_VALUE"""),"20160817OHWEC")</f>
        <v>20160817OHWEC</v>
      </c>
      <c r="B1229" s="5" t="str">
        <f ca="1">IFERROR(__xludf.DUMMYFUNCTION("""COMPUTED_VALUE"""),"Adult")</f>
        <v>Adult</v>
      </c>
      <c r="C1229" s="5" t="str">
        <f ca="1">IFERROR(__xludf.DUMMYFUNCTION("""COMPUTED_VALUE"""),"Male")</f>
        <v>Male</v>
      </c>
      <c r="D1229" s="5"/>
      <c r="E1229" s="5" t="str">
        <f ca="1">IFERROR(__xludf.DUMMYFUNCTION("""COMPUTED_VALUE"""),"No Relation")</f>
        <v>No Relation</v>
      </c>
      <c r="F1229" s="5" t="str">
        <f ca="1">IFERROR(__xludf.DUMMYFUNCTION("""COMPUTED_VALUE"""),"Fled/Escaped")</f>
        <v>Fled/Escaped</v>
      </c>
      <c r="G1229" s="5" t="str">
        <f ca="1">IFERROR(__xludf.DUMMYFUNCTION("""COMPUTED_VALUE"""),"No")</f>
        <v>No</v>
      </c>
      <c r="H1229" s="5" t="str">
        <f ca="1">IFERROR(__xludf.DUMMYFUNCTION("""COMPUTED_VALUE"""),"None")</f>
        <v>None</v>
      </c>
    </row>
    <row r="1230" spans="1:8" ht="13">
      <c r="A1230" s="5" t="str">
        <f ca="1">IFERROR(__xludf.DUMMYFUNCTION("""COMPUTED_VALUE"""),"20160725MOAVA")</f>
        <v>20160725MOAVA</v>
      </c>
      <c r="B1230" s="5">
        <f ca="1">IFERROR(__xludf.DUMMYFUNCTION("""COMPUTED_VALUE"""),18)</f>
        <v>18</v>
      </c>
      <c r="C1230" s="5" t="str">
        <f ca="1">IFERROR(__xludf.DUMMYFUNCTION("""COMPUTED_VALUE"""),"Male")</f>
        <v>Male</v>
      </c>
      <c r="D1230" s="5" t="str">
        <f ca="1">IFERROR(__xludf.DUMMYFUNCTION("""COMPUTED_VALUE"""),"White")</f>
        <v>White</v>
      </c>
      <c r="E1230" s="5" t="str">
        <f ca="1">IFERROR(__xludf.DUMMYFUNCTION("""COMPUTED_VALUE"""),"Former Student")</f>
        <v>Former Student</v>
      </c>
      <c r="F1230" s="5" t="str">
        <f ca="1">IFERROR(__xludf.DUMMYFUNCTION("""COMPUTED_VALUE"""),"Suicide")</f>
        <v>Suicide</v>
      </c>
      <c r="G1230" s="5" t="str">
        <f ca="1">IFERROR(__xludf.DUMMYFUNCTION("""COMPUTED_VALUE"""),"Yes")</f>
        <v>Yes</v>
      </c>
      <c r="H1230" s="5" t="str">
        <f ca="1">IFERROR(__xludf.DUMMYFUNCTION("""COMPUTED_VALUE"""),"Suicide")</f>
        <v>Suicide</v>
      </c>
    </row>
    <row r="1231" spans="1:8" ht="13">
      <c r="A1231" s="5" t="str">
        <f ca="1">IFERROR(__xludf.DUMMYFUNCTION("""COMPUTED_VALUE"""),"20160630CAWOH")</f>
        <v>20160630CAWOH</v>
      </c>
      <c r="B1231" s="5"/>
      <c r="C1231" s="5"/>
      <c r="D1231" s="5"/>
      <c r="E1231" s="5" t="str">
        <f ca="1">IFERROR(__xludf.DUMMYFUNCTION("""COMPUTED_VALUE"""),"Unknown")</f>
        <v>Unknown</v>
      </c>
      <c r="F1231" s="5" t="str">
        <f ca="1">IFERROR(__xludf.DUMMYFUNCTION("""COMPUTED_VALUE"""),"Fled/Escaped")</f>
        <v>Fled/Escaped</v>
      </c>
      <c r="G1231" s="5" t="str">
        <f ca="1">IFERROR(__xludf.DUMMYFUNCTION("""COMPUTED_VALUE"""),"No")</f>
        <v>No</v>
      </c>
      <c r="H1231" s="5" t="str">
        <f ca="1">IFERROR(__xludf.DUMMYFUNCTION("""COMPUTED_VALUE"""),"None")</f>
        <v>None</v>
      </c>
    </row>
    <row r="1232" spans="1:8" ht="13">
      <c r="A1232" s="5" t="str">
        <f ca="1">IFERROR(__xludf.DUMMYFUNCTION("""COMPUTED_VALUE"""),"20160616ILMCC")</f>
        <v>20160616ILMCC</v>
      </c>
      <c r="B1232" s="5"/>
      <c r="C1232" s="5"/>
      <c r="D1232" s="5"/>
      <c r="E1232" s="5" t="str">
        <f ca="1">IFERROR(__xludf.DUMMYFUNCTION("""COMPUTED_VALUE"""),"Unknown")</f>
        <v>Unknown</v>
      </c>
      <c r="F1232" s="5" t="str">
        <f ca="1">IFERROR(__xludf.DUMMYFUNCTION("""COMPUTED_VALUE"""),"Fled/Escaped")</f>
        <v>Fled/Escaped</v>
      </c>
      <c r="G1232" s="5" t="str">
        <f ca="1">IFERROR(__xludf.DUMMYFUNCTION("""COMPUTED_VALUE"""),"No")</f>
        <v>No</v>
      </c>
      <c r="H1232" s="5" t="str">
        <f ca="1">IFERROR(__xludf.DUMMYFUNCTION("""COMPUTED_VALUE"""),"None")</f>
        <v>None</v>
      </c>
    </row>
    <row r="1233" spans="1:8" ht="13">
      <c r="A1233" s="5" t="str">
        <f ca="1">IFERROR(__xludf.DUMMYFUNCTION("""COMPUTED_VALUE"""),"20160608MAJED")</f>
        <v>20160608MAJED</v>
      </c>
      <c r="B1233" s="5">
        <f ca="1">IFERROR(__xludf.DUMMYFUNCTION("""COMPUTED_VALUE"""),24)</f>
        <v>24</v>
      </c>
      <c r="C1233" s="5" t="str">
        <f ca="1">IFERROR(__xludf.DUMMYFUNCTION("""COMPUTED_VALUE"""),"Male")</f>
        <v>Male</v>
      </c>
      <c r="D1233" s="5" t="str">
        <f ca="1">IFERROR(__xludf.DUMMYFUNCTION("""COMPUTED_VALUE"""),"Black")</f>
        <v>Black</v>
      </c>
      <c r="E1233" s="5" t="str">
        <f ca="1">IFERROR(__xludf.DUMMYFUNCTION("""COMPUTED_VALUE"""),"No Relation")</f>
        <v>No Relation</v>
      </c>
      <c r="F1233" s="5" t="str">
        <f ca="1">IFERROR(__xludf.DUMMYFUNCTION("""COMPUTED_VALUE"""),"Fled/Apprehended")</f>
        <v>Fled/Apprehended</v>
      </c>
      <c r="G1233" s="5" t="str">
        <f ca="1">IFERROR(__xludf.DUMMYFUNCTION("""COMPUTED_VALUE"""),"No")</f>
        <v>No</v>
      </c>
      <c r="H1233" s="5" t="str">
        <f ca="1">IFERROR(__xludf.DUMMYFUNCTION("""COMPUTED_VALUE"""),"None")</f>
        <v>None</v>
      </c>
    </row>
    <row r="1234" spans="1:8" ht="13">
      <c r="A1234" s="5" t="str">
        <f ca="1">IFERROR(__xludf.DUMMYFUNCTION("""COMPUTED_VALUE"""),"20160608MAJED")</f>
        <v>20160608MAJED</v>
      </c>
      <c r="B1234" s="5">
        <f ca="1">IFERROR(__xludf.DUMMYFUNCTION("""COMPUTED_VALUE"""),23)</f>
        <v>23</v>
      </c>
      <c r="C1234" s="5" t="str">
        <f ca="1">IFERROR(__xludf.DUMMYFUNCTION("""COMPUTED_VALUE"""),"Male")</f>
        <v>Male</v>
      </c>
      <c r="D1234" s="5" t="str">
        <f ca="1">IFERROR(__xludf.DUMMYFUNCTION("""COMPUTED_VALUE"""),"Black")</f>
        <v>Black</v>
      </c>
      <c r="E1234" s="5" t="str">
        <f ca="1">IFERROR(__xludf.DUMMYFUNCTION("""COMPUTED_VALUE"""),"No Relation")</f>
        <v>No Relation</v>
      </c>
      <c r="F1234" s="5" t="str">
        <f ca="1">IFERROR(__xludf.DUMMYFUNCTION("""COMPUTED_VALUE"""),"Fled/Apprehended")</f>
        <v>Fled/Apprehended</v>
      </c>
      <c r="G1234" s="5" t="str">
        <f ca="1">IFERROR(__xludf.DUMMYFUNCTION("""COMPUTED_VALUE"""),"No")</f>
        <v>No</v>
      </c>
      <c r="H1234" s="5" t="str">
        <f ca="1">IFERROR(__xludf.DUMMYFUNCTION("""COMPUTED_VALUE"""),"None")</f>
        <v>None</v>
      </c>
    </row>
    <row r="1235" spans="1:8" ht="13">
      <c r="A1235" s="5" t="str">
        <f ca="1">IFERROR(__xludf.DUMMYFUNCTION("""COMPUTED_VALUE"""),"20160515KSAUA")</f>
        <v>20160515KSAUA</v>
      </c>
      <c r="B1235" s="5">
        <f ca="1">IFERROR(__xludf.DUMMYFUNCTION("""COMPUTED_VALUE"""),37)</f>
        <v>37</v>
      </c>
      <c r="C1235" s="5" t="str">
        <f ca="1">IFERROR(__xludf.DUMMYFUNCTION("""COMPUTED_VALUE"""),"Male")</f>
        <v>Male</v>
      </c>
      <c r="D1235" s="5"/>
      <c r="E1235" s="5" t="str">
        <f ca="1">IFERROR(__xludf.DUMMYFUNCTION("""COMPUTED_VALUE"""),"Relative")</f>
        <v>Relative</v>
      </c>
      <c r="F1235" s="5" t="str">
        <f ca="1">IFERROR(__xludf.DUMMYFUNCTION("""COMPUTED_VALUE"""),"Unknown")</f>
        <v>Unknown</v>
      </c>
      <c r="G1235" s="5" t="str">
        <f ca="1">IFERROR(__xludf.DUMMYFUNCTION("""COMPUTED_VALUE"""),"No")</f>
        <v>No</v>
      </c>
      <c r="H1235" s="5" t="str">
        <f ca="1">IFERROR(__xludf.DUMMYFUNCTION("""COMPUTED_VALUE"""),"Wounded")</f>
        <v>Wounded</v>
      </c>
    </row>
    <row r="1236" spans="1:8" ht="13">
      <c r="A1236" s="5" t="str">
        <f ca="1">IFERROR(__xludf.DUMMYFUNCTION("""COMPUTED_VALUE"""),"20160513SCSOG")</f>
        <v>20160513SCSOG</v>
      </c>
      <c r="B1236" s="5">
        <f ca="1">IFERROR(__xludf.DUMMYFUNCTION("""COMPUTED_VALUE"""),16)</f>
        <v>16</v>
      </c>
      <c r="C1236" s="5" t="str">
        <f ca="1">IFERROR(__xludf.DUMMYFUNCTION("""COMPUTED_VALUE"""),"Male")</f>
        <v>Male</v>
      </c>
      <c r="D1236" s="5"/>
      <c r="E1236" s="5" t="str">
        <f ca="1">IFERROR(__xludf.DUMMYFUNCTION("""COMPUTED_VALUE"""),"Student")</f>
        <v>Student</v>
      </c>
      <c r="F1236" s="5" t="str">
        <f ca="1">IFERROR(__xludf.DUMMYFUNCTION("""COMPUTED_VALUE"""),"Surrendered")</f>
        <v>Surrendered</v>
      </c>
      <c r="G1236" s="5" t="str">
        <f ca="1">IFERROR(__xludf.DUMMYFUNCTION("""COMPUTED_VALUE"""),"No")</f>
        <v>No</v>
      </c>
      <c r="H1236" s="5" t="str">
        <f ca="1">IFERROR(__xludf.DUMMYFUNCTION("""COMPUTED_VALUE"""),"Wounded")</f>
        <v>Wounded</v>
      </c>
    </row>
    <row r="1237" spans="1:8" ht="13">
      <c r="A1237" s="5" t="str">
        <f ca="1">IFERROR(__xludf.DUMMYFUNCTION("""COMPUTED_VALUE"""),"20160506IDROT")</f>
        <v>20160506IDROT</v>
      </c>
      <c r="B1237" s="5">
        <f ca="1">IFERROR(__xludf.DUMMYFUNCTION("""COMPUTED_VALUE"""),14)</f>
        <v>14</v>
      </c>
      <c r="C1237" s="5" t="str">
        <f ca="1">IFERROR(__xludf.DUMMYFUNCTION("""COMPUTED_VALUE"""),"Male")</f>
        <v>Male</v>
      </c>
      <c r="D1237" s="5"/>
      <c r="E1237" s="5" t="str">
        <f ca="1">IFERROR(__xludf.DUMMYFUNCTION("""COMPUTED_VALUE"""),"Student")</f>
        <v>Student</v>
      </c>
      <c r="F1237" s="5" t="str">
        <f ca="1">IFERROR(__xludf.DUMMYFUNCTION("""COMPUTED_VALUE"""),"Unknown")</f>
        <v>Unknown</v>
      </c>
      <c r="G1237" s="5" t="str">
        <f ca="1">IFERROR(__xludf.DUMMYFUNCTION("""COMPUTED_VALUE"""),"No")</f>
        <v>No</v>
      </c>
      <c r="H1237" s="5" t="str">
        <f ca="1">IFERROR(__xludf.DUMMYFUNCTION("""COMPUTED_VALUE"""),"None")</f>
        <v>None</v>
      </c>
    </row>
    <row r="1238" spans="1:8" ht="13">
      <c r="A1238" s="5" t="str">
        <f ca="1">IFERROR(__xludf.DUMMYFUNCTION("""COMPUTED_VALUE"""),"20160506FLOSP")</f>
        <v>20160506FLOSP</v>
      </c>
      <c r="B1238" s="5">
        <f ca="1">IFERROR(__xludf.DUMMYFUNCTION("""COMPUTED_VALUE"""),28)</f>
        <v>28</v>
      </c>
      <c r="C1238" s="5" t="str">
        <f ca="1">IFERROR(__xludf.DUMMYFUNCTION("""COMPUTED_VALUE"""),"Male")</f>
        <v>Male</v>
      </c>
      <c r="D1238" s="5"/>
      <c r="E1238" s="5" t="str">
        <f ca="1">IFERROR(__xludf.DUMMYFUNCTION("""COMPUTED_VALUE"""),"No Relation")</f>
        <v>No Relation</v>
      </c>
      <c r="F1238" s="5" t="str">
        <f ca="1">IFERROR(__xludf.DUMMYFUNCTION("""COMPUTED_VALUE"""),"Surrendered")</f>
        <v>Surrendered</v>
      </c>
      <c r="G1238" s="5" t="str">
        <f ca="1">IFERROR(__xludf.DUMMYFUNCTION("""COMPUTED_VALUE"""),"No")</f>
        <v>No</v>
      </c>
      <c r="H1238" s="5" t="str">
        <f ca="1">IFERROR(__xludf.DUMMYFUNCTION("""COMPUTED_VALUE"""),"Wounded")</f>
        <v>Wounded</v>
      </c>
    </row>
    <row r="1239" spans="1:8" ht="13">
      <c r="A1239" s="5" t="str">
        <f ca="1">IFERROR(__xludf.DUMMYFUNCTION("""COMPUTED_VALUE"""),"20160505MDHIB")</f>
        <v>20160505MDHIB</v>
      </c>
      <c r="B1239" s="5">
        <f ca="1">IFERROR(__xludf.DUMMYFUNCTION("""COMPUTED_VALUE"""),62)</f>
        <v>62</v>
      </c>
      <c r="C1239" s="5" t="str">
        <f ca="1">IFERROR(__xludf.DUMMYFUNCTION("""COMPUTED_VALUE"""),"Male")</f>
        <v>Male</v>
      </c>
      <c r="D1239" s="5" t="str">
        <f ca="1">IFERROR(__xludf.DUMMYFUNCTION("""COMPUTED_VALUE"""),"Hispanic")</f>
        <v>Hispanic</v>
      </c>
      <c r="E1239" s="5" t="str">
        <f ca="1">IFERROR(__xludf.DUMMYFUNCTION("""COMPUTED_VALUE"""),"Intimate Relationship")</f>
        <v>Intimate Relationship</v>
      </c>
      <c r="F1239" s="5" t="str">
        <f ca="1">IFERROR(__xludf.DUMMYFUNCTION("""COMPUTED_VALUE"""),"Fled/Apprehended")</f>
        <v>Fled/Apprehended</v>
      </c>
      <c r="G1239" s="5" t="str">
        <f ca="1">IFERROR(__xludf.DUMMYFUNCTION("""COMPUTED_VALUE"""),"No")</f>
        <v>No</v>
      </c>
      <c r="H1239" s="5" t="str">
        <f ca="1">IFERROR(__xludf.DUMMYFUNCTION("""COMPUTED_VALUE"""),"None")</f>
        <v>None</v>
      </c>
    </row>
    <row r="1240" spans="1:8" ht="13">
      <c r="A1240" s="5" t="str">
        <f ca="1">IFERROR(__xludf.DUMMYFUNCTION("""COMPUTED_VALUE"""),"20160504COEAP")</f>
        <v>20160504COEAP</v>
      </c>
      <c r="B1240" s="5">
        <f ca="1">IFERROR(__xludf.DUMMYFUNCTION("""COMPUTED_VALUE"""),25)</f>
        <v>25</v>
      </c>
      <c r="C1240" s="5" t="str">
        <f ca="1">IFERROR(__xludf.DUMMYFUNCTION("""COMPUTED_VALUE"""),"Male")</f>
        <v>Male</v>
      </c>
      <c r="D1240" s="5" t="str">
        <f ca="1">IFERROR(__xludf.DUMMYFUNCTION("""COMPUTED_VALUE"""),"White")</f>
        <v>White</v>
      </c>
      <c r="E1240" s="5" t="str">
        <f ca="1">IFERROR(__xludf.DUMMYFUNCTION("""COMPUTED_VALUE"""),"No Relation")</f>
        <v>No Relation</v>
      </c>
      <c r="F1240" s="5" t="str">
        <f ca="1">IFERROR(__xludf.DUMMYFUNCTION("""COMPUTED_VALUE"""),"Fled/Escaped")</f>
        <v>Fled/Escaped</v>
      </c>
      <c r="G1240" s="5" t="str">
        <f ca="1">IFERROR(__xludf.DUMMYFUNCTION("""COMPUTED_VALUE"""),"Yes")</f>
        <v>Yes</v>
      </c>
      <c r="H1240" s="5" t="str">
        <f ca="1">IFERROR(__xludf.DUMMYFUNCTION("""COMPUTED_VALUE"""),"Suicide")</f>
        <v>Suicide</v>
      </c>
    </row>
    <row r="1241" spans="1:8" ht="13">
      <c r="A1241" s="5" t="str">
        <f ca="1">IFERROR(__xludf.DUMMYFUNCTION("""COMPUTED_VALUE"""),"20160502TXKID")</f>
        <v>20160502TXKID</v>
      </c>
      <c r="B1241" s="5">
        <f ca="1">IFERROR(__xludf.DUMMYFUNCTION("""COMPUTED_VALUE"""),15)</f>
        <v>15</v>
      </c>
      <c r="C1241" s="5" t="str">
        <f ca="1">IFERROR(__xludf.DUMMYFUNCTION("""COMPUTED_VALUE"""),"Male")</f>
        <v>Male</v>
      </c>
      <c r="D1241" s="5" t="str">
        <f ca="1">IFERROR(__xludf.DUMMYFUNCTION("""COMPUTED_VALUE"""),"Black")</f>
        <v>Black</v>
      </c>
      <c r="E1241" s="5" t="str">
        <f ca="1">IFERROR(__xludf.DUMMYFUNCTION("""COMPUTED_VALUE"""),"Student")</f>
        <v>Student</v>
      </c>
      <c r="F1241" s="5" t="str">
        <f ca="1">IFERROR(__xludf.DUMMYFUNCTION("""COMPUTED_VALUE"""),"Unknown")</f>
        <v>Unknown</v>
      </c>
      <c r="G1241" s="5" t="str">
        <f ca="1">IFERROR(__xludf.DUMMYFUNCTION("""COMPUTED_VALUE"""),"No")</f>
        <v>No</v>
      </c>
      <c r="H1241" s="5" t="str">
        <f ca="1">IFERROR(__xludf.DUMMYFUNCTION("""COMPUTED_VALUE"""),"Wounded")</f>
        <v>Wounded</v>
      </c>
    </row>
    <row r="1242" spans="1:8" ht="13">
      <c r="A1242" s="5" t="str">
        <f ca="1">IFERROR(__xludf.DUMMYFUNCTION("""COMPUTED_VALUE"""),"20160423WIANA")</f>
        <v>20160423WIANA</v>
      </c>
      <c r="B1242" s="5">
        <f ca="1">IFERROR(__xludf.DUMMYFUNCTION("""COMPUTED_VALUE"""),18)</f>
        <v>18</v>
      </c>
      <c r="C1242" s="5" t="str">
        <f ca="1">IFERROR(__xludf.DUMMYFUNCTION("""COMPUTED_VALUE"""),"Male")</f>
        <v>Male</v>
      </c>
      <c r="D1242" s="5" t="str">
        <f ca="1">IFERROR(__xludf.DUMMYFUNCTION("""COMPUTED_VALUE"""),"White")</f>
        <v>White</v>
      </c>
      <c r="E1242" s="5" t="str">
        <f ca="1">IFERROR(__xludf.DUMMYFUNCTION("""COMPUTED_VALUE"""),"Former Student")</f>
        <v>Former Student</v>
      </c>
      <c r="F1242" s="5" t="str">
        <f ca="1">IFERROR(__xludf.DUMMYFUNCTION("""COMPUTED_VALUE"""),"Apprehended/Killed by LE")</f>
        <v>Apprehended/Killed by LE</v>
      </c>
      <c r="G1242" s="5" t="str">
        <f ca="1">IFERROR(__xludf.DUMMYFUNCTION("""COMPUTED_VALUE"""),"Yes")</f>
        <v>Yes</v>
      </c>
      <c r="H1242" s="5" t="str">
        <f ca="1">IFERROR(__xludf.DUMMYFUNCTION("""COMPUTED_VALUE"""),"Fatal")</f>
        <v>Fatal</v>
      </c>
    </row>
    <row r="1243" spans="1:8" ht="13">
      <c r="A1243" s="5" t="str">
        <f ca="1">IFERROR(__xludf.DUMMYFUNCTION("""COMPUTED_VALUE"""),"20160315ALHUB")</f>
        <v>20160315ALHUB</v>
      </c>
      <c r="B1243" s="5">
        <f ca="1">IFERROR(__xludf.DUMMYFUNCTION("""COMPUTED_VALUE"""),19)</f>
        <v>19</v>
      </c>
      <c r="C1243" s="5" t="str">
        <f ca="1">IFERROR(__xludf.DUMMYFUNCTION("""COMPUTED_VALUE"""),"Male")</f>
        <v>Male</v>
      </c>
      <c r="D1243" s="5" t="str">
        <f ca="1">IFERROR(__xludf.DUMMYFUNCTION("""COMPUTED_VALUE"""),"Black")</f>
        <v>Black</v>
      </c>
      <c r="E1243" s="5" t="str">
        <f ca="1">IFERROR(__xludf.DUMMYFUNCTION("""COMPUTED_VALUE"""),"Relative")</f>
        <v>Relative</v>
      </c>
      <c r="F1243" s="5" t="str">
        <f ca="1">IFERROR(__xludf.DUMMYFUNCTION("""COMPUTED_VALUE"""),"Apprehended/Killed by SRO")</f>
        <v>Apprehended/Killed by SRO</v>
      </c>
      <c r="G1243" s="5" t="str">
        <f ca="1">IFERROR(__xludf.DUMMYFUNCTION("""COMPUTED_VALUE"""),"No")</f>
        <v>No</v>
      </c>
      <c r="H1243" s="5" t="str">
        <f ca="1">IFERROR(__xludf.DUMMYFUNCTION("""COMPUTED_VALUE"""),"None")</f>
        <v>None</v>
      </c>
    </row>
    <row r="1244" spans="1:8" ht="13">
      <c r="A1244" s="5" t="str">
        <f ca="1">IFERROR(__xludf.DUMMYFUNCTION("""COMPUTED_VALUE"""),"20160229OHMAM")</f>
        <v>20160229OHMAM</v>
      </c>
      <c r="B1244" s="5">
        <f ca="1">IFERROR(__xludf.DUMMYFUNCTION("""COMPUTED_VALUE"""),14)</f>
        <v>14</v>
      </c>
      <c r="C1244" s="5" t="str">
        <f ca="1">IFERROR(__xludf.DUMMYFUNCTION("""COMPUTED_VALUE"""),"Male")</f>
        <v>Male</v>
      </c>
      <c r="D1244" s="5" t="str">
        <f ca="1">IFERROR(__xludf.DUMMYFUNCTION("""COMPUTED_VALUE"""),"White")</f>
        <v>White</v>
      </c>
      <c r="E1244" s="5" t="str">
        <f ca="1">IFERROR(__xludf.DUMMYFUNCTION("""COMPUTED_VALUE"""),"Student")</f>
        <v>Student</v>
      </c>
      <c r="F1244" s="5" t="str">
        <f ca="1">IFERROR(__xludf.DUMMYFUNCTION("""COMPUTED_VALUE"""),"Fled/Apprehended")</f>
        <v>Fled/Apprehended</v>
      </c>
      <c r="G1244" s="5" t="str">
        <f ca="1">IFERROR(__xludf.DUMMYFUNCTION("""COMPUTED_VALUE"""),"No")</f>
        <v>No</v>
      </c>
      <c r="H1244" s="5" t="str">
        <f ca="1">IFERROR(__xludf.DUMMYFUNCTION("""COMPUTED_VALUE"""),"None")</f>
        <v>None</v>
      </c>
    </row>
    <row r="1245" spans="1:8" ht="13">
      <c r="A1245" s="5" t="str">
        <f ca="1">IFERROR(__xludf.DUMMYFUNCTION("""COMPUTED_VALUE"""),"20160226TXPAP")</f>
        <v>20160226TXPAP</v>
      </c>
      <c r="B1245" s="5">
        <f ca="1">IFERROR(__xludf.DUMMYFUNCTION("""COMPUTED_VALUE"""),63)</f>
        <v>63</v>
      </c>
      <c r="C1245" s="5" t="str">
        <f ca="1">IFERROR(__xludf.DUMMYFUNCTION("""COMPUTED_VALUE"""),"Male")</f>
        <v>Male</v>
      </c>
      <c r="D1245" s="5" t="str">
        <f ca="1">IFERROR(__xludf.DUMMYFUNCTION("""COMPUTED_VALUE"""),"Black")</f>
        <v>Black</v>
      </c>
      <c r="E1245" s="5" t="str">
        <f ca="1">IFERROR(__xludf.DUMMYFUNCTION("""COMPUTED_VALUE"""),"Parent")</f>
        <v>Parent</v>
      </c>
      <c r="F1245" s="5" t="str">
        <f ca="1">IFERROR(__xludf.DUMMYFUNCTION("""COMPUTED_VALUE"""),"Apprehended/Killed by LE")</f>
        <v>Apprehended/Killed by LE</v>
      </c>
      <c r="G1245" s="5" t="str">
        <f ca="1">IFERROR(__xludf.DUMMYFUNCTION("""COMPUTED_VALUE"""),"No")</f>
        <v>No</v>
      </c>
      <c r="H1245" s="5" t="str">
        <f ca="1">IFERROR(__xludf.DUMMYFUNCTION("""COMPUTED_VALUE"""),"None")</f>
        <v>None</v>
      </c>
    </row>
    <row r="1246" spans="1:8" ht="13">
      <c r="A1246" s="5" t="str">
        <f ca="1">IFERROR(__xludf.DUMMYFUNCTION("""COMPUTED_VALUE"""),"20160217PACHC")</f>
        <v>20160217PACHC</v>
      </c>
      <c r="B1246" s="5">
        <f ca="1">IFERROR(__xludf.DUMMYFUNCTION("""COMPUTED_VALUE"""),16)</f>
        <v>16</v>
      </c>
      <c r="C1246" s="5" t="str">
        <f ca="1">IFERROR(__xludf.DUMMYFUNCTION("""COMPUTED_VALUE"""),"Male")</f>
        <v>Male</v>
      </c>
      <c r="D1246" s="5" t="str">
        <f ca="1">IFERROR(__xludf.DUMMYFUNCTION("""COMPUTED_VALUE"""),"Hispanic")</f>
        <v>Hispanic</v>
      </c>
      <c r="E1246" s="5" t="str">
        <f ca="1">IFERROR(__xludf.DUMMYFUNCTION("""COMPUTED_VALUE"""),"Student")</f>
        <v>Student</v>
      </c>
      <c r="F1246" s="5" t="str">
        <f ca="1">IFERROR(__xludf.DUMMYFUNCTION("""COMPUTED_VALUE"""),"Apprehended/Killed by LE")</f>
        <v>Apprehended/Killed by LE</v>
      </c>
      <c r="G1246" s="5" t="str">
        <f ca="1">IFERROR(__xludf.DUMMYFUNCTION("""COMPUTED_VALUE"""),"No")</f>
        <v>No</v>
      </c>
      <c r="H1246" s="5" t="str">
        <f ca="1">IFERROR(__xludf.DUMMYFUNCTION("""COMPUTED_VALUE"""),"None")</f>
        <v>None</v>
      </c>
    </row>
    <row r="1247" spans="1:8" ht="13">
      <c r="A1247" s="5" t="str">
        <f ca="1">IFERROR(__xludf.DUMMYFUNCTION("""COMPUTED_VALUE"""),"20160217FLROH")</f>
        <v>20160217FLROH</v>
      </c>
      <c r="B1247" s="5" t="str">
        <f ca="1">IFERROR(__xludf.DUMMYFUNCTION("""COMPUTED_VALUE"""),"Adult")</f>
        <v>Adult</v>
      </c>
      <c r="C1247" s="5" t="str">
        <f ca="1">IFERROR(__xludf.DUMMYFUNCTION("""COMPUTED_VALUE"""),"Male")</f>
        <v>Male</v>
      </c>
      <c r="D1247" s="5"/>
      <c r="E1247" s="5" t="str">
        <f ca="1">IFERROR(__xludf.DUMMYFUNCTION("""COMPUTED_VALUE"""),"Other Staff")</f>
        <v>Other Staff</v>
      </c>
      <c r="F1247" s="5" t="str">
        <f ca="1">IFERROR(__xludf.DUMMYFUNCTION("""COMPUTED_VALUE"""),"Surrendered")</f>
        <v>Surrendered</v>
      </c>
      <c r="G1247" s="5" t="str">
        <f ca="1">IFERROR(__xludf.DUMMYFUNCTION("""COMPUTED_VALUE"""),"No")</f>
        <v>No</v>
      </c>
      <c r="H1247" s="5" t="str">
        <f ca="1">IFERROR(__xludf.DUMMYFUNCTION("""COMPUTED_VALUE"""),"None")</f>
        <v>None</v>
      </c>
    </row>
    <row r="1248" spans="1:8" ht="13">
      <c r="A1248" s="5" t="str">
        <f ca="1">IFERROR(__xludf.DUMMYFUNCTION("""COMPUTED_VALUE"""),"20160212AZING")</f>
        <v>20160212AZING</v>
      </c>
      <c r="B1248" s="5">
        <f ca="1">IFERROR(__xludf.DUMMYFUNCTION("""COMPUTED_VALUE"""),15)</f>
        <v>15</v>
      </c>
      <c r="C1248" s="5" t="str">
        <f ca="1">IFERROR(__xludf.DUMMYFUNCTION("""COMPUTED_VALUE"""),"Female")</f>
        <v>Female</v>
      </c>
      <c r="D1248" s="5" t="str">
        <f ca="1">IFERROR(__xludf.DUMMYFUNCTION("""COMPUTED_VALUE"""),"White")</f>
        <v>White</v>
      </c>
      <c r="E1248" s="5" t="str">
        <f ca="1">IFERROR(__xludf.DUMMYFUNCTION("""COMPUTED_VALUE"""),"Student")</f>
        <v>Student</v>
      </c>
      <c r="F1248" s="5" t="str">
        <f ca="1">IFERROR(__xludf.DUMMYFUNCTION("""COMPUTED_VALUE"""),"Suicide")</f>
        <v>Suicide</v>
      </c>
      <c r="G1248" s="5" t="str">
        <f ca="1">IFERROR(__xludf.DUMMYFUNCTION("""COMPUTED_VALUE"""),"Yes")</f>
        <v>Yes</v>
      </c>
      <c r="H1248" s="5" t="str">
        <f ca="1">IFERROR(__xludf.DUMMYFUNCTION("""COMPUTED_VALUE"""),"Suicide")</f>
        <v>Suicide</v>
      </c>
    </row>
    <row r="1249" spans="1:8" ht="13">
      <c r="A1249" s="5" t="str">
        <f ca="1">IFERROR(__xludf.DUMMYFUNCTION("""COMPUTED_VALUE"""),"20160209MIMUM")</f>
        <v>20160209MIMUM</v>
      </c>
      <c r="B1249" s="5">
        <f ca="1">IFERROR(__xludf.DUMMYFUNCTION("""COMPUTED_VALUE"""),22)</f>
        <v>22</v>
      </c>
      <c r="C1249" s="5" t="str">
        <f ca="1">IFERROR(__xludf.DUMMYFUNCTION("""COMPUTED_VALUE"""),"Male")</f>
        <v>Male</v>
      </c>
      <c r="D1249" s="5" t="str">
        <f ca="1">IFERROR(__xludf.DUMMYFUNCTION("""COMPUTED_VALUE"""),"Black")</f>
        <v>Black</v>
      </c>
      <c r="E1249" s="5" t="str">
        <f ca="1">IFERROR(__xludf.DUMMYFUNCTION("""COMPUTED_VALUE"""),"No Relation")</f>
        <v>No Relation</v>
      </c>
      <c r="F1249" s="5" t="str">
        <f ca="1">IFERROR(__xludf.DUMMYFUNCTION("""COMPUTED_VALUE"""),"Apprehended/Killed by LE")</f>
        <v>Apprehended/Killed by LE</v>
      </c>
      <c r="G1249" s="5" t="str">
        <f ca="1">IFERROR(__xludf.DUMMYFUNCTION("""COMPUTED_VALUE"""),"No")</f>
        <v>No</v>
      </c>
      <c r="H1249" s="5" t="str">
        <f ca="1">IFERROR(__xludf.DUMMYFUNCTION("""COMPUTED_VALUE"""),"Wounded")</f>
        <v>Wounded</v>
      </c>
    </row>
    <row r="1250" spans="1:8" ht="13">
      <c r="A1250" s="5" t="str">
        <f ca="1">IFERROR(__xludf.DUMMYFUNCTION("""COMPUTED_VALUE"""),"20160129PABEP")</f>
        <v>20160129PABEP</v>
      </c>
      <c r="B1250" s="5">
        <f ca="1">IFERROR(__xludf.DUMMYFUNCTION("""COMPUTED_VALUE"""),16)</f>
        <v>16</v>
      </c>
      <c r="C1250" s="5" t="str">
        <f ca="1">IFERROR(__xludf.DUMMYFUNCTION("""COMPUTED_VALUE"""),"Male")</f>
        <v>Male</v>
      </c>
      <c r="D1250" s="5" t="str">
        <f ca="1">IFERROR(__xludf.DUMMYFUNCTION("""COMPUTED_VALUE"""),"Other")</f>
        <v>Other</v>
      </c>
      <c r="E1250" s="5" t="str">
        <f ca="1">IFERROR(__xludf.DUMMYFUNCTION("""COMPUTED_VALUE"""),"Student")</f>
        <v>Student</v>
      </c>
      <c r="F1250" s="5" t="str">
        <f ca="1">IFERROR(__xludf.DUMMYFUNCTION("""COMPUTED_VALUE"""),"Apprehended/Killed by LE")</f>
        <v>Apprehended/Killed by LE</v>
      </c>
      <c r="G1250" s="5" t="str">
        <f ca="1">IFERROR(__xludf.DUMMYFUNCTION("""COMPUTED_VALUE"""),"No")</f>
        <v>No</v>
      </c>
      <c r="H1250" s="5" t="str">
        <f ca="1">IFERROR(__xludf.DUMMYFUNCTION("""COMPUTED_VALUE"""),"None")</f>
        <v>None</v>
      </c>
    </row>
    <row r="1251" spans="1:8" ht="13">
      <c r="A1251" s="5" t="str">
        <f ca="1">IFERROR(__xludf.DUMMYFUNCTION("""COMPUTED_VALUE"""),"20160122INLAI")</f>
        <v>20160122INLAI</v>
      </c>
      <c r="B1251" s="5">
        <f ca="1">IFERROR(__xludf.DUMMYFUNCTION("""COMPUTED_VALUE"""),17)</f>
        <v>17</v>
      </c>
      <c r="C1251" s="5" t="str">
        <f ca="1">IFERROR(__xludf.DUMMYFUNCTION("""COMPUTED_VALUE"""),"Male")</f>
        <v>Male</v>
      </c>
      <c r="D1251" s="5" t="str">
        <f ca="1">IFERROR(__xludf.DUMMYFUNCTION("""COMPUTED_VALUE"""),"Black")</f>
        <v>Black</v>
      </c>
      <c r="E1251" s="5" t="str">
        <f ca="1">IFERROR(__xludf.DUMMYFUNCTION("""COMPUTED_VALUE"""),"Student")</f>
        <v>Student</v>
      </c>
      <c r="F1251" s="5" t="str">
        <f ca="1">IFERROR(__xludf.DUMMYFUNCTION("""COMPUTED_VALUE"""),"Fled/Apprehended")</f>
        <v>Fled/Apprehended</v>
      </c>
      <c r="G1251" s="5" t="str">
        <f ca="1">IFERROR(__xludf.DUMMYFUNCTION("""COMPUTED_VALUE"""),"No")</f>
        <v>No</v>
      </c>
      <c r="H1251" s="5" t="str">
        <f ca="1">IFERROR(__xludf.DUMMYFUNCTION("""COMPUTED_VALUE"""),"None")</f>
        <v>None</v>
      </c>
    </row>
    <row r="1252" spans="1:8" ht="13">
      <c r="A1252" s="5" t="str">
        <f ca="1">IFERROR(__xludf.DUMMYFUNCTION("""COMPUTED_VALUE"""),"20160120INNOI")</f>
        <v>20160120INNOI</v>
      </c>
      <c r="B1252" s="5" t="str">
        <f ca="1">IFERROR(__xludf.DUMMYFUNCTION("""COMPUTED_VALUE"""),"Adult")</f>
        <v>Adult</v>
      </c>
      <c r="C1252" s="5" t="str">
        <f ca="1">IFERROR(__xludf.DUMMYFUNCTION("""COMPUTED_VALUE"""),"Male")</f>
        <v>Male</v>
      </c>
      <c r="D1252" s="5"/>
      <c r="E1252" s="5" t="str">
        <f ca="1">IFERROR(__xludf.DUMMYFUNCTION("""COMPUTED_VALUE"""),"Unknown")</f>
        <v>Unknown</v>
      </c>
      <c r="F1252" s="5" t="str">
        <f ca="1">IFERROR(__xludf.DUMMYFUNCTION("""COMPUTED_VALUE"""),"Unknown")</f>
        <v>Unknown</v>
      </c>
      <c r="G1252" s="5" t="str">
        <f ca="1">IFERROR(__xludf.DUMMYFUNCTION("""COMPUTED_VALUE"""),"No")</f>
        <v>No</v>
      </c>
      <c r="H1252" s="5" t="str">
        <f ca="1">IFERROR(__xludf.DUMMYFUNCTION("""COMPUTED_VALUE"""),"None")</f>
        <v>None</v>
      </c>
    </row>
    <row r="1253" spans="1:8" ht="13">
      <c r="A1253" s="5" t="str">
        <f ca="1">IFERROR(__xludf.DUMMYFUNCTION("""COMPUTED_VALUE"""),"20160113ARHAB")</f>
        <v>20160113ARHAB</v>
      </c>
      <c r="B1253" s="5">
        <f ca="1">IFERROR(__xludf.DUMMYFUNCTION("""COMPUTED_VALUE"""),17)</f>
        <v>17</v>
      </c>
      <c r="C1253" s="5" t="str">
        <f ca="1">IFERROR(__xludf.DUMMYFUNCTION("""COMPUTED_VALUE"""),"Male")</f>
        <v>Male</v>
      </c>
      <c r="D1253" s="5"/>
      <c r="E1253" s="5" t="str">
        <f ca="1">IFERROR(__xludf.DUMMYFUNCTION("""COMPUTED_VALUE"""),"Student")</f>
        <v>Student</v>
      </c>
      <c r="F1253" s="5" t="str">
        <f ca="1">IFERROR(__xludf.DUMMYFUNCTION("""COMPUTED_VALUE"""),"Surrendered")</f>
        <v>Surrendered</v>
      </c>
      <c r="G1253" s="5" t="str">
        <f ca="1">IFERROR(__xludf.DUMMYFUNCTION("""COMPUTED_VALUE"""),"No")</f>
        <v>No</v>
      </c>
      <c r="H1253" s="5" t="str">
        <f ca="1">IFERROR(__xludf.DUMMYFUNCTION("""COMPUTED_VALUE"""),"None")</f>
        <v>None</v>
      </c>
    </row>
    <row r="1254" spans="1:8" ht="13">
      <c r="A1254" s="5" t="str">
        <f ca="1">IFERROR(__xludf.DUMMYFUNCTION("""COMPUTED_VALUE"""),"20160112DECED")</f>
        <v>20160112DECED</v>
      </c>
      <c r="B1254" s="5">
        <f ca="1">IFERROR(__xludf.DUMMYFUNCTION("""COMPUTED_VALUE"""),13)</f>
        <v>13</v>
      </c>
      <c r="C1254" s="5" t="str">
        <f ca="1">IFERROR(__xludf.DUMMYFUNCTION("""COMPUTED_VALUE"""),"Male")</f>
        <v>Male</v>
      </c>
      <c r="D1254" s="5"/>
      <c r="E1254" s="5" t="str">
        <f ca="1">IFERROR(__xludf.DUMMYFUNCTION("""COMPUTED_VALUE"""),"Student")</f>
        <v>Student</v>
      </c>
      <c r="F1254" s="5" t="str">
        <f ca="1">IFERROR(__xludf.DUMMYFUNCTION("""COMPUTED_VALUE"""),"Fled/Apprehended")</f>
        <v>Fled/Apprehended</v>
      </c>
      <c r="G1254" s="5" t="str">
        <f ca="1">IFERROR(__xludf.DUMMYFUNCTION("""COMPUTED_VALUE"""),"No")</f>
        <v>No</v>
      </c>
      <c r="H1254" s="5" t="str">
        <f ca="1">IFERROR(__xludf.DUMMYFUNCTION("""COMPUTED_VALUE"""),"None")</f>
        <v>None</v>
      </c>
    </row>
    <row r="1255" spans="1:8" ht="13">
      <c r="A1255" s="5" t="str">
        <f ca="1">IFERROR(__xludf.DUMMYFUNCTION("""COMPUTED_VALUE"""),"20151204KSWEW")</f>
        <v>20151204KSWEW</v>
      </c>
      <c r="B1255" s="5">
        <f ca="1">IFERROR(__xludf.DUMMYFUNCTION("""COMPUTED_VALUE"""),17)</f>
        <v>17</v>
      </c>
      <c r="C1255" s="5" t="str">
        <f ca="1">IFERROR(__xludf.DUMMYFUNCTION("""COMPUTED_VALUE"""),"Male")</f>
        <v>Male</v>
      </c>
      <c r="D1255" s="5" t="str">
        <f ca="1">IFERROR(__xludf.DUMMYFUNCTION("""COMPUTED_VALUE"""),"Black")</f>
        <v>Black</v>
      </c>
      <c r="E1255" s="5" t="str">
        <f ca="1">IFERROR(__xludf.DUMMYFUNCTION("""COMPUTED_VALUE"""),"Student")</f>
        <v>Student</v>
      </c>
      <c r="F1255" s="5" t="str">
        <f ca="1">IFERROR(__xludf.DUMMYFUNCTION("""COMPUTED_VALUE"""),"Apprehended/Killed by LE")</f>
        <v>Apprehended/Killed by LE</v>
      </c>
      <c r="G1255" s="5" t="str">
        <f ca="1">IFERROR(__xludf.DUMMYFUNCTION("""COMPUTED_VALUE"""),"No")</f>
        <v>No</v>
      </c>
      <c r="H1255" s="5" t="str">
        <f ca="1">IFERROR(__xludf.DUMMYFUNCTION("""COMPUTED_VALUE"""),"Wounded")</f>
        <v>Wounded</v>
      </c>
    </row>
    <row r="1256" spans="1:8" ht="13">
      <c r="A1256" s="5" t="str">
        <f ca="1">IFERROR(__xludf.DUMMYFUNCTION("""COMPUTED_VALUE"""),"20151120FLNAM")</f>
        <v>20151120FLNAM</v>
      </c>
      <c r="B1256" s="5" t="str">
        <f ca="1">IFERROR(__xludf.DUMMYFUNCTION("""COMPUTED_VALUE"""),"Teen")</f>
        <v>Teen</v>
      </c>
      <c r="C1256" s="5" t="str">
        <f ca="1">IFERROR(__xludf.DUMMYFUNCTION("""COMPUTED_VALUE"""),"Male")</f>
        <v>Male</v>
      </c>
      <c r="D1256" s="5"/>
      <c r="E1256" s="5" t="str">
        <f ca="1">IFERROR(__xludf.DUMMYFUNCTION("""COMPUTED_VALUE"""),"Other Student")</f>
        <v>Other Student</v>
      </c>
      <c r="F1256" s="5" t="str">
        <f ca="1">IFERROR(__xludf.DUMMYFUNCTION("""COMPUTED_VALUE"""),"Unknown")</f>
        <v>Unknown</v>
      </c>
      <c r="G1256" s="5" t="str">
        <f ca="1">IFERROR(__xludf.DUMMYFUNCTION("""COMPUTED_VALUE"""),"No")</f>
        <v>No</v>
      </c>
      <c r="H1256" s="5" t="str">
        <f ca="1">IFERROR(__xludf.DUMMYFUNCTION("""COMPUTED_VALUE"""),"None")</f>
        <v>None</v>
      </c>
    </row>
    <row r="1257" spans="1:8" ht="13">
      <c r="A1257" s="5" t="str">
        <f ca="1">IFERROR(__xludf.DUMMYFUNCTION("""COMPUTED_VALUE"""),"20151111ARSUS")</f>
        <v>20151111ARSUS</v>
      </c>
      <c r="B1257" s="5" t="str">
        <f ca="1">IFERROR(__xludf.DUMMYFUNCTION("""COMPUTED_VALUE"""),"Teen")</f>
        <v>Teen</v>
      </c>
      <c r="C1257" s="5" t="str">
        <f ca="1">IFERROR(__xludf.DUMMYFUNCTION("""COMPUTED_VALUE"""),"Male")</f>
        <v>Male</v>
      </c>
      <c r="D1257" s="5"/>
      <c r="E1257" s="5" t="str">
        <f ca="1">IFERROR(__xludf.DUMMYFUNCTION("""COMPUTED_VALUE"""),"Student")</f>
        <v>Student</v>
      </c>
      <c r="F1257" s="5" t="str">
        <f ca="1">IFERROR(__xludf.DUMMYFUNCTION("""COMPUTED_VALUE"""),"Surrendered")</f>
        <v>Surrendered</v>
      </c>
      <c r="G1257" s="5" t="str">
        <f ca="1">IFERROR(__xludf.DUMMYFUNCTION("""COMPUTED_VALUE"""),"No")</f>
        <v>No</v>
      </c>
      <c r="H1257" s="5" t="str">
        <f ca="1">IFERROR(__xludf.DUMMYFUNCTION("""COMPUTED_VALUE"""),"None")</f>
        <v>None</v>
      </c>
    </row>
    <row r="1258" spans="1:8" ht="13">
      <c r="A1258" s="5" t="str">
        <f ca="1">IFERROR(__xludf.DUMMYFUNCTION("""COMPUTED_VALUE"""),"20151105GAVEM")</f>
        <v>20151105GAVEM</v>
      </c>
      <c r="B1258" s="5">
        <f ca="1">IFERROR(__xludf.DUMMYFUNCTION("""COMPUTED_VALUE"""),9)</f>
        <v>9</v>
      </c>
      <c r="C1258" s="5" t="str">
        <f ca="1">IFERROR(__xludf.DUMMYFUNCTION("""COMPUTED_VALUE"""),"Male")</f>
        <v>Male</v>
      </c>
      <c r="D1258" s="5"/>
      <c r="E1258" s="5" t="str">
        <f ca="1">IFERROR(__xludf.DUMMYFUNCTION("""COMPUTED_VALUE"""),"Student")</f>
        <v>Student</v>
      </c>
      <c r="F1258" s="5" t="str">
        <f ca="1">IFERROR(__xludf.DUMMYFUNCTION("""COMPUTED_VALUE"""),"Apprehended/Killed by SRO")</f>
        <v>Apprehended/Killed by SRO</v>
      </c>
      <c r="G1258" s="5" t="str">
        <f ca="1">IFERROR(__xludf.DUMMYFUNCTION("""COMPUTED_VALUE"""),"No")</f>
        <v>No</v>
      </c>
      <c r="H1258" s="5" t="str">
        <f ca="1">IFERROR(__xludf.DUMMYFUNCTION("""COMPUTED_VALUE"""),"None")</f>
        <v>None</v>
      </c>
    </row>
    <row r="1259" spans="1:8" ht="13">
      <c r="A1259" s="5" t="str">
        <f ca="1">IFERROR(__xludf.DUMMYFUNCTION("""COMPUTED_VALUE"""),"20151024TXEDS")</f>
        <v>20151024TXEDS</v>
      </c>
      <c r="B1259" s="5"/>
      <c r="C1259" s="5" t="str">
        <f ca="1">IFERROR(__xludf.DUMMYFUNCTION("""COMPUTED_VALUE"""),"Male")</f>
        <v>Male</v>
      </c>
      <c r="D1259" s="5"/>
      <c r="E1259" s="5" t="str">
        <f ca="1">IFERROR(__xludf.DUMMYFUNCTION("""COMPUTED_VALUE"""),"Unknown")</f>
        <v>Unknown</v>
      </c>
      <c r="F1259" s="5" t="str">
        <f ca="1">IFERROR(__xludf.DUMMYFUNCTION("""COMPUTED_VALUE"""),"Fled/Escaped")</f>
        <v>Fled/Escaped</v>
      </c>
      <c r="G1259" s="5" t="str">
        <f ca="1">IFERROR(__xludf.DUMMYFUNCTION("""COMPUTED_VALUE"""),"No")</f>
        <v>No</v>
      </c>
      <c r="H1259" s="5" t="str">
        <f ca="1">IFERROR(__xludf.DUMMYFUNCTION("""COMPUTED_VALUE"""),"None")</f>
        <v>None</v>
      </c>
    </row>
    <row r="1260" spans="1:8" ht="13">
      <c r="A1260" s="5" t="str">
        <f ca="1">IFERROR(__xludf.DUMMYFUNCTION("""COMPUTED_VALUE"""),"20151015TXKAS")</f>
        <v>20151015TXKAS</v>
      </c>
      <c r="B1260" s="5">
        <f ca="1">IFERROR(__xludf.DUMMYFUNCTION("""COMPUTED_VALUE"""),22)</f>
        <v>22</v>
      </c>
      <c r="C1260" s="5" t="str">
        <f ca="1">IFERROR(__xludf.DUMMYFUNCTION("""COMPUTED_VALUE"""),"Female")</f>
        <v>Female</v>
      </c>
      <c r="D1260" s="5" t="str">
        <f ca="1">IFERROR(__xludf.DUMMYFUNCTION("""COMPUTED_VALUE"""),"Black")</f>
        <v>Black</v>
      </c>
      <c r="E1260" s="5" t="str">
        <f ca="1">IFERROR(__xludf.DUMMYFUNCTION("""COMPUTED_VALUE"""),"Friend")</f>
        <v>Friend</v>
      </c>
      <c r="F1260" s="5" t="str">
        <f ca="1">IFERROR(__xludf.DUMMYFUNCTION("""COMPUTED_VALUE"""),"Fled/Apprehended")</f>
        <v>Fled/Apprehended</v>
      </c>
      <c r="G1260" s="5" t="str">
        <f ca="1">IFERROR(__xludf.DUMMYFUNCTION("""COMPUTED_VALUE"""),"No")</f>
        <v>No</v>
      </c>
      <c r="H1260" s="5" t="str">
        <f ca="1">IFERROR(__xludf.DUMMYFUNCTION("""COMPUTED_VALUE"""),"None")</f>
        <v>None</v>
      </c>
    </row>
    <row r="1261" spans="1:8" ht="13">
      <c r="A1261" s="5" t="str">
        <f ca="1">IFERROR(__xludf.DUMMYFUNCTION("""COMPUTED_VALUE"""),"20150930SDHAH")</f>
        <v>20150930SDHAH</v>
      </c>
      <c r="B1261" s="5">
        <f ca="1">IFERROR(__xludf.DUMMYFUNCTION("""COMPUTED_VALUE"""),16)</f>
        <v>16</v>
      </c>
      <c r="C1261" s="5" t="str">
        <f ca="1">IFERROR(__xludf.DUMMYFUNCTION("""COMPUTED_VALUE"""),"Male")</f>
        <v>Male</v>
      </c>
      <c r="D1261" s="5" t="str">
        <f ca="1">IFERROR(__xludf.DUMMYFUNCTION("""COMPUTED_VALUE"""),"White")</f>
        <v>White</v>
      </c>
      <c r="E1261" s="5" t="str">
        <f ca="1">IFERROR(__xludf.DUMMYFUNCTION("""COMPUTED_VALUE"""),"Student")</f>
        <v>Student</v>
      </c>
      <c r="F1261" s="5" t="str">
        <f ca="1">IFERROR(__xludf.DUMMYFUNCTION("""COMPUTED_VALUE"""),"Subdued by Students/Staff/Other")</f>
        <v>Subdued by Students/Staff/Other</v>
      </c>
      <c r="G1261" s="5" t="str">
        <f ca="1">IFERROR(__xludf.DUMMYFUNCTION("""COMPUTED_VALUE"""),"No")</f>
        <v>No</v>
      </c>
      <c r="H1261" s="5" t="str">
        <f ca="1">IFERROR(__xludf.DUMMYFUNCTION("""COMPUTED_VALUE"""),"None")</f>
        <v>None</v>
      </c>
    </row>
    <row r="1262" spans="1:8" ht="13">
      <c r="A1262" s="5" t="str">
        <f ca="1">IFERROR(__xludf.DUMMYFUNCTION("""COMPUTED_VALUE"""),"20150922NCCES")</f>
        <v>20150922NCCES</v>
      </c>
      <c r="B1262" s="5">
        <f ca="1">IFERROR(__xludf.DUMMYFUNCTION("""COMPUTED_VALUE"""),26)</f>
        <v>26</v>
      </c>
      <c r="C1262" s="5" t="str">
        <f ca="1">IFERROR(__xludf.DUMMYFUNCTION("""COMPUTED_VALUE"""),"Female")</f>
        <v>Female</v>
      </c>
      <c r="D1262" s="5" t="str">
        <f ca="1">IFERROR(__xludf.DUMMYFUNCTION("""COMPUTED_VALUE"""),"White")</f>
        <v>White</v>
      </c>
      <c r="E1262" s="5" t="str">
        <f ca="1">IFERROR(__xludf.DUMMYFUNCTION("""COMPUTED_VALUE"""),"Parent")</f>
        <v>Parent</v>
      </c>
      <c r="F1262" s="5" t="str">
        <f ca="1">IFERROR(__xludf.DUMMYFUNCTION("""COMPUTED_VALUE"""),"Surrendered")</f>
        <v>Surrendered</v>
      </c>
      <c r="G1262" s="5" t="str">
        <f ca="1">IFERROR(__xludf.DUMMYFUNCTION("""COMPUTED_VALUE"""),"No")</f>
        <v>No</v>
      </c>
      <c r="H1262" s="5" t="str">
        <f ca="1">IFERROR(__xludf.DUMMYFUNCTION("""COMPUTED_VALUE"""),"None")</f>
        <v>None</v>
      </c>
    </row>
    <row r="1263" spans="1:8" ht="13">
      <c r="A1263" s="5" t="str">
        <f ca="1">IFERROR(__xludf.DUMMYFUNCTION("""COMPUTED_VALUE"""),"20150911LANOL")</f>
        <v>20150911LANOL</v>
      </c>
      <c r="B1263" s="5"/>
      <c r="C1263" s="5" t="str">
        <f ca="1">IFERROR(__xludf.DUMMYFUNCTION("""COMPUTED_VALUE"""),"Male")</f>
        <v>Male</v>
      </c>
      <c r="D1263" s="5" t="str">
        <f ca="1">IFERROR(__xludf.DUMMYFUNCTION("""COMPUTED_VALUE"""),"Black")</f>
        <v>Black</v>
      </c>
      <c r="E1263" s="5" t="str">
        <f ca="1">IFERROR(__xludf.DUMMYFUNCTION("""COMPUTED_VALUE"""),"Unknown")</f>
        <v>Unknown</v>
      </c>
      <c r="F1263" s="5" t="str">
        <f ca="1">IFERROR(__xludf.DUMMYFUNCTION("""COMPUTED_VALUE"""),"Fled/Escaped")</f>
        <v>Fled/Escaped</v>
      </c>
      <c r="G1263" s="5" t="str">
        <f ca="1">IFERROR(__xludf.DUMMYFUNCTION("""COMPUTED_VALUE"""),"No")</f>
        <v>No</v>
      </c>
      <c r="H1263" s="5" t="str">
        <f ca="1">IFERROR(__xludf.DUMMYFUNCTION("""COMPUTED_VALUE"""),"None")</f>
        <v>None</v>
      </c>
    </row>
    <row r="1264" spans="1:8" ht="13">
      <c r="A1264" s="5" t="str">
        <f ca="1">IFERROR(__xludf.DUMMYFUNCTION("""COMPUTED_VALUE"""),"20150903ORNEN")</f>
        <v>20150903ORNEN</v>
      </c>
      <c r="B1264" s="5">
        <f ca="1">IFERROR(__xludf.DUMMYFUNCTION("""COMPUTED_VALUE"""),53)</f>
        <v>53</v>
      </c>
      <c r="C1264" s="5" t="str">
        <f ca="1">IFERROR(__xludf.DUMMYFUNCTION("""COMPUTED_VALUE"""),"Male")</f>
        <v>Male</v>
      </c>
      <c r="D1264" s="5" t="str">
        <f ca="1">IFERROR(__xludf.DUMMYFUNCTION("""COMPUTED_VALUE"""),"White")</f>
        <v>White</v>
      </c>
      <c r="E1264" s="5" t="str">
        <f ca="1">IFERROR(__xludf.DUMMYFUNCTION("""COMPUTED_VALUE"""),"No Relation")</f>
        <v>No Relation</v>
      </c>
      <c r="F1264" s="5" t="str">
        <f ca="1">IFERROR(__xludf.DUMMYFUNCTION("""COMPUTED_VALUE"""),"Fled/Apprehended")</f>
        <v>Fled/Apprehended</v>
      </c>
      <c r="G1264" s="5" t="str">
        <f ca="1">IFERROR(__xludf.DUMMYFUNCTION("""COMPUTED_VALUE"""),"No")</f>
        <v>No</v>
      </c>
      <c r="H1264" s="5" t="str">
        <f ca="1">IFERROR(__xludf.DUMMYFUNCTION("""COMPUTED_VALUE"""),"None")</f>
        <v>None</v>
      </c>
    </row>
    <row r="1265" spans="1:8" ht="13">
      <c r="A1265" s="5" t="str">
        <f ca="1">IFERROR(__xludf.DUMMYFUNCTION("""COMPUTED_VALUE"""),"20150825GAWSA")</f>
        <v>20150825GAWSA</v>
      </c>
      <c r="B1265" s="5" t="str">
        <f ca="1">IFERROR(__xludf.DUMMYFUNCTION("""COMPUTED_VALUE"""),"Child")</f>
        <v>Child</v>
      </c>
      <c r="C1265" s="5" t="str">
        <f ca="1">IFERROR(__xludf.DUMMYFUNCTION("""COMPUTED_VALUE"""),"Male")</f>
        <v>Male</v>
      </c>
      <c r="D1265" s="5"/>
      <c r="E1265" s="5" t="str">
        <f ca="1">IFERROR(__xludf.DUMMYFUNCTION("""COMPUTED_VALUE"""),"Student")</f>
        <v>Student</v>
      </c>
      <c r="F1265" s="5" t="str">
        <f ca="1">IFERROR(__xludf.DUMMYFUNCTION("""COMPUTED_VALUE"""),"Surrendered")</f>
        <v>Surrendered</v>
      </c>
      <c r="G1265" s="5" t="str">
        <f ca="1">IFERROR(__xludf.DUMMYFUNCTION("""COMPUTED_VALUE"""),"No")</f>
        <v>No</v>
      </c>
      <c r="H1265" s="5" t="str">
        <f ca="1">IFERROR(__xludf.DUMMYFUNCTION("""COMPUTED_VALUE"""),"None")</f>
        <v>None</v>
      </c>
    </row>
    <row r="1266" spans="1:8" ht="13">
      <c r="A1266" s="5" t="str">
        <f ca="1">IFERROR(__xludf.DUMMYFUNCTION("""COMPUTED_VALUE"""),"20150823TXWIR")</f>
        <v>20150823TXWIR</v>
      </c>
      <c r="B1266" s="5">
        <f ca="1">IFERROR(__xludf.DUMMYFUNCTION("""COMPUTED_VALUE"""),20)</f>
        <v>20</v>
      </c>
      <c r="C1266" s="5" t="str">
        <f ca="1">IFERROR(__xludf.DUMMYFUNCTION("""COMPUTED_VALUE"""),"Male")</f>
        <v>Male</v>
      </c>
      <c r="D1266" s="5" t="str">
        <f ca="1">IFERROR(__xludf.DUMMYFUNCTION("""COMPUTED_VALUE"""),"White")</f>
        <v>White</v>
      </c>
      <c r="E1266" s="5" t="str">
        <f ca="1">IFERROR(__xludf.DUMMYFUNCTION("""COMPUTED_VALUE"""),"No Relation")</f>
        <v>No Relation</v>
      </c>
      <c r="F1266" s="5" t="str">
        <f ca="1">IFERROR(__xludf.DUMMYFUNCTION("""COMPUTED_VALUE"""),"Unknown")</f>
        <v>Unknown</v>
      </c>
      <c r="G1266" s="5" t="str">
        <f ca="1">IFERROR(__xludf.DUMMYFUNCTION("""COMPUTED_VALUE"""),"No")</f>
        <v>No</v>
      </c>
      <c r="H1266" s="5" t="str">
        <f ca="1">IFERROR(__xludf.DUMMYFUNCTION("""COMPUTED_VALUE"""),"None")</f>
        <v>None</v>
      </c>
    </row>
    <row r="1267" spans="1:8" ht="13">
      <c r="A1267" s="5" t="str">
        <f ca="1">IFERROR(__xludf.DUMMYFUNCTION("""COMPUTED_VALUE"""),"20150808TXPAP")</f>
        <v>20150808TXPAP</v>
      </c>
      <c r="B1267" s="5">
        <f ca="1">IFERROR(__xludf.DUMMYFUNCTION("""COMPUTED_VALUE"""),21)</f>
        <v>21</v>
      </c>
      <c r="C1267" s="5" t="str">
        <f ca="1">IFERROR(__xludf.DUMMYFUNCTION("""COMPUTED_VALUE"""),"Male")</f>
        <v>Male</v>
      </c>
      <c r="D1267" s="5" t="str">
        <f ca="1">IFERROR(__xludf.DUMMYFUNCTION("""COMPUTED_VALUE"""),"White")</f>
        <v>White</v>
      </c>
      <c r="E1267" s="5" t="str">
        <f ca="1">IFERROR(__xludf.DUMMYFUNCTION("""COMPUTED_VALUE"""),"Former Student")</f>
        <v>Former Student</v>
      </c>
      <c r="F1267" s="5" t="str">
        <f ca="1">IFERROR(__xludf.DUMMYFUNCTION("""COMPUTED_VALUE"""),"Fled/Apprehended")</f>
        <v>Fled/Apprehended</v>
      </c>
      <c r="G1267" s="5" t="str">
        <f ca="1">IFERROR(__xludf.DUMMYFUNCTION("""COMPUTED_VALUE"""),"No")</f>
        <v>No</v>
      </c>
      <c r="H1267" s="5" t="str">
        <f ca="1">IFERROR(__xludf.DUMMYFUNCTION("""COMPUTED_VALUE"""),"None")</f>
        <v>None</v>
      </c>
    </row>
    <row r="1268" spans="1:8" ht="13">
      <c r="A1268" s="5" t="str">
        <f ca="1">IFERROR(__xludf.DUMMYFUNCTION("""COMPUTED_VALUE"""),"20150724TXELC")</f>
        <v>20150724TXELC</v>
      </c>
      <c r="B1268" s="5">
        <f ca="1">IFERROR(__xludf.DUMMYFUNCTION("""COMPUTED_VALUE"""),15)</f>
        <v>15</v>
      </c>
      <c r="C1268" s="5" t="str">
        <f ca="1">IFERROR(__xludf.DUMMYFUNCTION("""COMPUTED_VALUE"""),"Male")</f>
        <v>Male</v>
      </c>
      <c r="D1268" s="5" t="str">
        <f ca="1">IFERROR(__xludf.DUMMYFUNCTION("""COMPUTED_VALUE"""),"Black")</f>
        <v>Black</v>
      </c>
      <c r="E1268" s="5" t="str">
        <f ca="1">IFERROR(__xludf.DUMMYFUNCTION("""COMPUTED_VALUE"""),"Unknown")</f>
        <v>Unknown</v>
      </c>
      <c r="F1268" s="5" t="str">
        <f ca="1">IFERROR(__xludf.DUMMYFUNCTION("""COMPUTED_VALUE"""),"Fled/Apprehended")</f>
        <v>Fled/Apprehended</v>
      </c>
      <c r="G1268" s="5" t="str">
        <f ca="1">IFERROR(__xludf.DUMMYFUNCTION("""COMPUTED_VALUE"""),"No")</f>
        <v>No</v>
      </c>
      <c r="H1268" s="5" t="str">
        <f ca="1">IFERROR(__xludf.DUMMYFUNCTION("""COMPUTED_VALUE"""),"Wounded")</f>
        <v>Wounded</v>
      </c>
    </row>
    <row r="1269" spans="1:8" ht="13">
      <c r="A1269" s="5" t="str">
        <f ca="1">IFERROR(__xludf.DUMMYFUNCTION("""COMPUTED_VALUE"""),"20150705TXCOD")</f>
        <v>20150705TXCOD</v>
      </c>
      <c r="B1269" s="5">
        <f ca="1">IFERROR(__xludf.DUMMYFUNCTION("""COMPUTED_VALUE"""),18)</f>
        <v>18</v>
      </c>
      <c r="C1269" s="5" t="str">
        <f ca="1">IFERROR(__xludf.DUMMYFUNCTION("""COMPUTED_VALUE"""),"Male")</f>
        <v>Male</v>
      </c>
      <c r="D1269" s="5" t="str">
        <f ca="1">IFERROR(__xludf.DUMMYFUNCTION("""COMPUTED_VALUE"""),"Black")</f>
        <v>Black</v>
      </c>
      <c r="E1269" s="5" t="str">
        <f ca="1">IFERROR(__xludf.DUMMYFUNCTION("""COMPUTED_VALUE"""),"Nonstudent Using Athletic Facilities/Attending Game")</f>
        <v>Nonstudent Using Athletic Facilities/Attending Game</v>
      </c>
      <c r="F1269" s="5" t="str">
        <f ca="1">IFERROR(__xludf.DUMMYFUNCTION("""COMPUTED_VALUE"""),"Fled/Apprehended")</f>
        <v>Fled/Apprehended</v>
      </c>
      <c r="G1269" s="5" t="str">
        <f ca="1">IFERROR(__xludf.DUMMYFUNCTION("""COMPUTED_VALUE"""),"No")</f>
        <v>No</v>
      </c>
      <c r="H1269" s="5" t="str">
        <f ca="1">IFERROR(__xludf.DUMMYFUNCTION("""COMPUTED_VALUE"""),"None")</f>
        <v>None</v>
      </c>
    </row>
    <row r="1270" spans="1:8" ht="13">
      <c r="A1270" s="5" t="str">
        <f ca="1">IFERROR(__xludf.DUMMYFUNCTION("""COMPUTED_VALUE"""),"20150629TXJOS")</f>
        <v>20150629TXJOS</v>
      </c>
      <c r="B1270" s="5">
        <f ca="1">IFERROR(__xludf.DUMMYFUNCTION("""COMPUTED_VALUE"""),28)</f>
        <v>28</v>
      </c>
      <c r="C1270" s="5" t="str">
        <f ca="1">IFERROR(__xludf.DUMMYFUNCTION("""COMPUTED_VALUE"""),"Male")</f>
        <v>Male</v>
      </c>
      <c r="D1270" s="5"/>
      <c r="E1270" s="5" t="str">
        <f ca="1">IFERROR(__xludf.DUMMYFUNCTION("""COMPUTED_VALUE"""),"Unknown")</f>
        <v>Unknown</v>
      </c>
      <c r="F1270" s="5" t="str">
        <f ca="1">IFERROR(__xludf.DUMMYFUNCTION("""COMPUTED_VALUE"""),"Apprehended/Killed by LE")</f>
        <v>Apprehended/Killed by LE</v>
      </c>
      <c r="G1270" s="5" t="str">
        <f ca="1">IFERROR(__xludf.DUMMYFUNCTION("""COMPUTED_VALUE"""),"Yes")</f>
        <v>Yes</v>
      </c>
      <c r="H1270" s="5" t="str">
        <f ca="1">IFERROR(__xludf.DUMMYFUNCTION("""COMPUTED_VALUE"""),"Fatal")</f>
        <v>Fatal</v>
      </c>
    </row>
    <row r="1271" spans="1:8" ht="13">
      <c r="A1271" s="5" t="str">
        <f ca="1">IFERROR(__xludf.DUMMYFUNCTION("""COMPUTED_VALUE"""),"20150627CTSAH")</f>
        <v>20150627CTSAH</v>
      </c>
      <c r="B1271" s="5"/>
      <c r="C1271" s="5" t="str">
        <f ca="1">IFERROR(__xludf.DUMMYFUNCTION("""COMPUTED_VALUE"""),"Male")</f>
        <v>Male</v>
      </c>
      <c r="D1271" s="5"/>
      <c r="E1271" s="5" t="str">
        <f ca="1">IFERROR(__xludf.DUMMYFUNCTION("""COMPUTED_VALUE"""),"Nonstudent Using Athletic Facilities/Attending Game")</f>
        <v>Nonstudent Using Athletic Facilities/Attending Game</v>
      </c>
      <c r="F1271" s="5" t="str">
        <f ca="1">IFERROR(__xludf.DUMMYFUNCTION("""COMPUTED_VALUE"""),"Fled/Escaped")</f>
        <v>Fled/Escaped</v>
      </c>
      <c r="G1271" s="5" t="str">
        <f ca="1">IFERROR(__xludf.DUMMYFUNCTION("""COMPUTED_VALUE"""),"No")</f>
        <v>No</v>
      </c>
      <c r="H1271" s="5" t="str">
        <f ca="1">IFERROR(__xludf.DUMMYFUNCTION("""COMPUTED_VALUE"""),"None")</f>
        <v>None</v>
      </c>
    </row>
    <row r="1272" spans="1:8" ht="13">
      <c r="A1272" s="5" t="str">
        <f ca="1">IFERROR(__xludf.DUMMYFUNCTION("""COMPUTED_VALUE"""),"20150623NEFOF")</f>
        <v>20150623NEFOF</v>
      </c>
      <c r="B1272" s="5">
        <f ca="1">IFERROR(__xludf.DUMMYFUNCTION("""COMPUTED_VALUE"""),35)</f>
        <v>35</v>
      </c>
      <c r="C1272" s="5" t="str">
        <f ca="1">IFERROR(__xludf.DUMMYFUNCTION("""COMPUTED_VALUE"""),"Male")</f>
        <v>Male</v>
      </c>
      <c r="D1272" s="5" t="str">
        <f ca="1">IFERROR(__xludf.DUMMYFUNCTION("""COMPUTED_VALUE"""),"Black")</f>
        <v>Black</v>
      </c>
      <c r="E1272" s="5" t="str">
        <f ca="1">IFERROR(__xludf.DUMMYFUNCTION("""COMPUTED_VALUE"""),"No Relation")</f>
        <v>No Relation</v>
      </c>
      <c r="F1272" s="5" t="str">
        <f ca="1">IFERROR(__xludf.DUMMYFUNCTION("""COMPUTED_VALUE"""),"Fled/Apprehended")</f>
        <v>Fled/Apprehended</v>
      </c>
      <c r="G1272" s="5" t="str">
        <f ca="1">IFERROR(__xludf.DUMMYFUNCTION("""COMPUTED_VALUE"""),"No")</f>
        <v>No</v>
      </c>
      <c r="H1272" s="5" t="str">
        <f ca="1">IFERROR(__xludf.DUMMYFUNCTION("""COMPUTED_VALUE"""),"None")</f>
        <v>None</v>
      </c>
    </row>
    <row r="1273" spans="1:8" ht="13">
      <c r="A1273" s="5" t="str">
        <f ca="1">IFERROR(__xludf.DUMMYFUNCTION("""COMPUTED_VALUE"""),"20150604NCSOF")</f>
        <v>20150604NCSOF</v>
      </c>
      <c r="B1273" s="5">
        <f ca="1">IFERROR(__xludf.DUMMYFUNCTION("""COMPUTED_VALUE"""),38)</f>
        <v>38</v>
      </c>
      <c r="C1273" s="5" t="str">
        <f ca="1">IFERROR(__xludf.DUMMYFUNCTION("""COMPUTED_VALUE"""),"Male")</f>
        <v>Male</v>
      </c>
      <c r="D1273" s="5" t="str">
        <f ca="1">IFERROR(__xludf.DUMMYFUNCTION("""COMPUTED_VALUE"""),"White")</f>
        <v>White</v>
      </c>
      <c r="E1273" s="5" t="str">
        <f ca="1">IFERROR(__xludf.DUMMYFUNCTION("""COMPUTED_VALUE"""),"No Relation")</f>
        <v>No Relation</v>
      </c>
      <c r="F1273" s="5" t="str">
        <f ca="1">IFERROR(__xludf.DUMMYFUNCTION("""COMPUTED_VALUE"""),"Apprehended/Killed by LE")</f>
        <v>Apprehended/Killed by LE</v>
      </c>
      <c r="G1273" s="5" t="str">
        <f ca="1">IFERROR(__xludf.DUMMYFUNCTION("""COMPUTED_VALUE"""),"No")</f>
        <v>No</v>
      </c>
      <c r="H1273" s="5" t="str">
        <f ca="1">IFERROR(__xludf.DUMMYFUNCTION("""COMPUTED_VALUE"""),"None")</f>
        <v>None</v>
      </c>
    </row>
    <row r="1274" spans="1:8" ht="13">
      <c r="A1274" s="5" t="str">
        <f ca="1">IFERROR(__xludf.DUMMYFUNCTION("""COMPUTED_VALUE"""),"20150604NCSOF")</f>
        <v>20150604NCSOF</v>
      </c>
      <c r="B1274" s="5">
        <f ca="1">IFERROR(__xludf.DUMMYFUNCTION("""COMPUTED_VALUE"""),29)</f>
        <v>29</v>
      </c>
      <c r="C1274" s="5" t="str">
        <f ca="1">IFERROR(__xludf.DUMMYFUNCTION("""COMPUTED_VALUE"""),"Female")</f>
        <v>Female</v>
      </c>
      <c r="D1274" s="5" t="str">
        <f ca="1">IFERROR(__xludf.DUMMYFUNCTION("""COMPUTED_VALUE"""),"White")</f>
        <v>White</v>
      </c>
      <c r="E1274" s="5" t="str">
        <f ca="1">IFERROR(__xludf.DUMMYFUNCTION("""COMPUTED_VALUE"""),"No Relation")</f>
        <v>No Relation</v>
      </c>
      <c r="F1274" s="5" t="str">
        <f ca="1">IFERROR(__xludf.DUMMYFUNCTION("""COMPUTED_VALUE"""),"Apprehended/Killed by LE")</f>
        <v>Apprehended/Killed by LE</v>
      </c>
      <c r="G1274" s="5" t="str">
        <f ca="1">IFERROR(__xludf.DUMMYFUNCTION("""COMPUTED_VALUE"""),"No")</f>
        <v>No</v>
      </c>
      <c r="H1274" s="5" t="str">
        <f ca="1">IFERROR(__xludf.DUMMYFUNCTION("""COMPUTED_VALUE"""),"None")</f>
        <v>None</v>
      </c>
    </row>
    <row r="1275" spans="1:8" ht="13">
      <c r="A1275" s="5" t="str">
        <f ca="1">IFERROR(__xludf.DUMMYFUNCTION("""COMPUTED_VALUE"""),"20150527FLEVE")</f>
        <v>20150527FLEVE</v>
      </c>
      <c r="B1275" s="5">
        <f ca="1">IFERROR(__xludf.DUMMYFUNCTION("""COMPUTED_VALUE"""),56)</f>
        <v>56</v>
      </c>
      <c r="C1275" s="5" t="str">
        <f ca="1">IFERROR(__xludf.DUMMYFUNCTION("""COMPUTED_VALUE"""),"Male")</f>
        <v>Male</v>
      </c>
      <c r="D1275" s="5" t="str">
        <f ca="1">IFERROR(__xludf.DUMMYFUNCTION("""COMPUTED_VALUE"""),"White")</f>
        <v>White</v>
      </c>
      <c r="E1275" s="5" t="str">
        <f ca="1">IFERROR(__xludf.DUMMYFUNCTION("""COMPUTED_VALUE"""),"No Relation")</f>
        <v>No Relation</v>
      </c>
      <c r="F1275" s="5" t="str">
        <f ca="1">IFERROR(__xludf.DUMMYFUNCTION("""COMPUTED_VALUE"""),"Fled/Apprehended")</f>
        <v>Fled/Apprehended</v>
      </c>
      <c r="G1275" s="5" t="str">
        <f ca="1">IFERROR(__xludf.DUMMYFUNCTION("""COMPUTED_VALUE"""),"No")</f>
        <v>No</v>
      </c>
      <c r="H1275" s="5" t="str">
        <f ca="1">IFERROR(__xludf.DUMMYFUNCTION("""COMPUTED_VALUE"""),"None")</f>
        <v>None</v>
      </c>
    </row>
    <row r="1276" spans="1:8" ht="13">
      <c r="A1276" s="5" t="str">
        <f ca="1">IFERROR(__xludf.DUMMYFUNCTION("""COMPUTED_VALUE"""),"20150524MISOF")</f>
        <v>20150524MISOF</v>
      </c>
      <c r="B1276" s="5"/>
      <c r="C1276" s="5"/>
      <c r="D1276" s="5"/>
      <c r="E1276" s="5" t="str">
        <f ca="1">IFERROR(__xludf.DUMMYFUNCTION("""COMPUTED_VALUE"""),"Unknown")</f>
        <v>Unknown</v>
      </c>
      <c r="F1276" s="5" t="str">
        <f ca="1">IFERROR(__xludf.DUMMYFUNCTION("""COMPUTED_VALUE"""),"Fled/Escaped")</f>
        <v>Fled/Escaped</v>
      </c>
      <c r="G1276" s="5" t="str">
        <f ca="1">IFERROR(__xludf.DUMMYFUNCTION("""COMPUTED_VALUE"""),"No")</f>
        <v>No</v>
      </c>
      <c r="H1276" s="5" t="str">
        <f ca="1">IFERROR(__xludf.DUMMYFUNCTION("""COMPUTED_VALUE"""),"None")</f>
        <v>None</v>
      </c>
    </row>
    <row r="1277" spans="1:8" ht="13">
      <c r="A1277" s="5" t="str">
        <f ca="1">IFERROR(__xludf.DUMMYFUNCTION("""COMPUTED_VALUE"""),"20150521FLDUJ")</f>
        <v>20150521FLDUJ</v>
      </c>
      <c r="B1277" s="5">
        <f ca="1">IFERROR(__xludf.DUMMYFUNCTION("""COMPUTED_VALUE"""),16)</f>
        <v>16</v>
      </c>
      <c r="C1277" s="5" t="str">
        <f ca="1">IFERROR(__xludf.DUMMYFUNCTION("""COMPUTED_VALUE"""),"Male")</f>
        <v>Male</v>
      </c>
      <c r="D1277" s="5" t="str">
        <f ca="1">IFERROR(__xludf.DUMMYFUNCTION("""COMPUTED_VALUE"""),"Black")</f>
        <v>Black</v>
      </c>
      <c r="E1277" s="5" t="str">
        <f ca="1">IFERROR(__xludf.DUMMYFUNCTION("""COMPUTED_VALUE"""),"Student")</f>
        <v>Student</v>
      </c>
      <c r="F1277" s="5" t="str">
        <f ca="1">IFERROR(__xludf.DUMMYFUNCTION("""COMPUTED_VALUE"""),"Fled/Apprehended")</f>
        <v>Fled/Apprehended</v>
      </c>
      <c r="G1277" s="5" t="str">
        <f ca="1">IFERROR(__xludf.DUMMYFUNCTION("""COMPUTED_VALUE"""),"No")</f>
        <v>No</v>
      </c>
      <c r="H1277" s="5" t="str">
        <f ca="1">IFERROR(__xludf.DUMMYFUNCTION("""COMPUTED_VALUE"""),"None")</f>
        <v>None</v>
      </c>
    </row>
    <row r="1278" spans="1:8" ht="13">
      <c r="A1278" s="5" t="str">
        <f ca="1">IFERROR(__xludf.DUMMYFUNCTION("""COMPUTED_VALUE"""),"20150520TXROR")</f>
        <v>20150520TXROR</v>
      </c>
      <c r="B1278" s="5">
        <f ca="1">IFERROR(__xludf.DUMMYFUNCTION("""COMPUTED_VALUE"""),18)</f>
        <v>18</v>
      </c>
      <c r="C1278" s="5" t="str">
        <f ca="1">IFERROR(__xludf.DUMMYFUNCTION("""COMPUTED_VALUE"""),"Male")</f>
        <v>Male</v>
      </c>
      <c r="D1278" s="5"/>
      <c r="E1278" s="5" t="str">
        <f ca="1">IFERROR(__xludf.DUMMYFUNCTION("""COMPUTED_VALUE"""),"Student")</f>
        <v>Student</v>
      </c>
      <c r="F1278" s="5" t="str">
        <f ca="1">IFERROR(__xludf.DUMMYFUNCTION("""COMPUTED_VALUE"""),"Suicide")</f>
        <v>Suicide</v>
      </c>
      <c r="G1278" s="5" t="str">
        <f ca="1">IFERROR(__xludf.DUMMYFUNCTION("""COMPUTED_VALUE"""),"Yes")</f>
        <v>Yes</v>
      </c>
      <c r="H1278" s="5" t="str">
        <f ca="1">IFERROR(__xludf.DUMMYFUNCTION("""COMPUTED_VALUE"""),"Suicide")</f>
        <v>Suicide</v>
      </c>
    </row>
    <row r="1279" spans="1:8" ht="13">
      <c r="A1279" s="5" t="str">
        <f ca="1">IFERROR(__xludf.DUMMYFUNCTION("""COMPUTED_VALUE"""),"20150512FLUNJ")</f>
        <v>20150512FLUNJ</v>
      </c>
      <c r="B1279" s="5"/>
      <c r="C1279" s="5" t="str">
        <f ca="1">IFERROR(__xludf.DUMMYFUNCTION("""COMPUTED_VALUE"""),"Male")</f>
        <v>Male</v>
      </c>
      <c r="D1279" s="5" t="str">
        <f ca="1">IFERROR(__xludf.DUMMYFUNCTION("""COMPUTED_VALUE"""),"Black")</f>
        <v>Black</v>
      </c>
      <c r="E1279" s="5" t="str">
        <f ca="1">IFERROR(__xludf.DUMMYFUNCTION("""COMPUTED_VALUE"""),"No Relation")</f>
        <v>No Relation</v>
      </c>
      <c r="F1279" s="5" t="str">
        <f ca="1">IFERROR(__xludf.DUMMYFUNCTION("""COMPUTED_VALUE"""),"Fled/Escaped")</f>
        <v>Fled/Escaped</v>
      </c>
      <c r="G1279" s="5" t="str">
        <f ca="1">IFERROR(__xludf.DUMMYFUNCTION("""COMPUTED_VALUE"""),"No")</f>
        <v>No</v>
      </c>
      <c r="H1279" s="5" t="str">
        <f ca="1">IFERROR(__xludf.DUMMYFUNCTION("""COMPUTED_VALUE"""),"None")</f>
        <v>None</v>
      </c>
    </row>
    <row r="1280" spans="1:8" ht="13">
      <c r="A1280" s="5" t="str">
        <f ca="1">IFERROR(__xludf.DUMMYFUNCTION("""COMPUTED_VALUE"""),"20150512AZCOT")</f>
        <v>20150512AZCOT</v>
      </c>
      <c r="B1280" s="5">
        <f ca="1">IFERROR(__xludf.DUMMYFUNCTION("""COMPUTED_VALUE"""),18)</f>
        <v>18</v>
      </c>
      <c r="C1280" s="5" t="str">
        <f ca="1">IFERROR(__xludf.DUMMYFUNCTION("""COMPUTED_VALUE"""),"Male")</f>
        <v>Male</v>
      </c>
      <c r="D1280" s="5" t="str">
        <f ca="1">IFERROR(__xludf.DUMMYFUNCTION("""COMPUTED_VALUE"""),"Black")</f>
        <v>Black</v>
      </c>
      <c r="E1280" s="5" t="str">
        <f ca="1">IFERROR(__xludf.DUMMYFUNCTION("""COMPUTED_VALUE"""),"Student")</f>
        <v>Student</v>
      </c>
      <c r="F1280" s="5" t="str">
        <f ca="1">IFERROR(__xludf.DUMMYFUNCTION("""COMPUTED_VALUE"""),"Suicide")</f>
        <v>Suicide</v>
      </c>
      <c r="G1280" s="5" t="str">
        <f ca="1">IFERROR(__xludf.DUMMYFUNCTION("""COMPUTED_VALUE"""),"Yes")</f>
        <v>Yes</v>
      </c>
      <c r="H1280" s="5" t="str">
        <f ca="1">IFERROR(__xludf.DUMMYFUNCTION("""COMPUTED_VALUE"""),"Suicide")</f>
        <v>Suicide</v>
      </c>
    </row>
    <row r="1281" spans="1:8" ht="13">
      <c r="A1281" s="5" t="str">
        <f ca="1">IFERROR(__xludf.DUMMYFUNCTION("""COMPUTED_VALUE"""),"20150505GACOC")</f>
        <v>20150505GACOC</v>
      </c>
      <c r="B1281" s="5">
        <f ca="1">IFERROR(__xludf.DUMMYFUNCTION("""COMPUTED_VALUE"""),14)</f>
        <v>14</v>
      </c>
      <c r="C1281" s="5" t="str">
        <f ca="1">IFERROR(__xludf.DUMMYFUNCTION("""COMPUTED_VALUE"""),"Male")</f>
        <v>Male</v>
      </c>
      <c r="D1281" s="5"/>
      <c r="E1281" s="5" t="str">
        <f ca="1">IFERROR(__xludf.DUMMYFUNCTION("""COMPUTED_VALUE"""),"Student")</f>
        <v>Student</v>
      </c>
      <c r="F1281" s="5" t="str">
        <f ca="1">IFERROR(__xludf.DUMMYFUNCTION("""COMPUTED_VALUE"""),"Unknown")</f>
        <v>Unknown</v>
      </c>
      <c r="G1281" s="5" t="str">
        <f ca="1">IFERROR(__xludf.DUMMYFUNCTION("""COMPUTED_VALUE"""),"No")</f>
        <v>No</v>
      </c>
      <c r="H1281" s="5" t="str">
        <f ca="1">IFERROR(__xludf.DUMMYFUNCTION("""COMPUTED_VALUE"""),"None")</f>
        <v>None</v>
      </c>
    </row>
    <row r="1282" spans="1:8" ht="13">
      <c r="A1282" s="5" t="str">
        <f ca="1">IFERROR(__xludf.DUMMYFUNCTION("""COMPUTED_VALUE"""),"20150504OHWIC")</f>
        <v>20150504OHWIC</v>
      </c>
      <c r="B1282" s="5"/>
      <c r="C1282" s="5"/>
      <c r="D1282" s="5"/>
      <c r="E1282" s="5" t="str">
        <f ca="1">IFERROR(__xludf.DUMMYFUNCTION("""COMPUTED_VALUE"""),"Unknown")</f>
        <v>Unknown</v>
      </c>
      <c r="F1282" s="5" t="str">
        <f ca="1">IFERROR(__xludf.DUMMYFUNCTION("""COMPUTED_VALUE"""),"Fled/Escaped")</f>
        <v>Fled/Escaped</v>
      </c>
      <c r="G1282" s="5" t="str">
        <f ca="1">IFERROR(__xludf.DUMMYFUNCTION("""COMPUTED_VALUE"""),"No")</f>
        <v>No</v>
      </c>
      <c r="H1282" s="5" t="str">
        <f ca="1">IFERROR(__xludf.DUMMYFUNCTION("""COMPUTED_VALUE"""),"None")</f>
        <v>None</v>
      </c>
    </row>
    <row r="1283" spans="1:8" ht="13">
      <c r="A1283" s="5" t="str">
        <f ca="1">IFERROR(__xludf.DUMMYFUNCTION("""COMPUTED_VALUE"""),"20150428MDDRW")</f>
        <v>20150428MDDRW</v>
      </c>
      <c r="B1283" s="5"/>
      <c r="C1283" s="5" t="str">
        <f ca="1">IFERROR(__xludf.DUMMYFUNCTION("""COMPUTED_VALUE"""),"Male")</f>
        <v>Male</v>
      </c>
      <c r="D1283" s="5"/>
      <c r="E1283" s="5" t="str">
        <f ca="1">IFERROR(__xludf.DUMMYFUNCTION("""COMPUTED_VALUE"""),"No Relation")</f>
        <v>No Relation</v>
      </c>
      <c r="F1283" s="5" t="str">
        <f ca="1">IFERROR(__xludf.DUMMYFUNCTION("""COMPUTED_VALUE"""),"Fled/Escaped")</f>
        <v>Fled/Escaped</v>
      </c>
      <c r="G1283" s="5" t="str">
        <f ca="1">IFERROR(__xludf.DUMMYFUNCTION("""COMPUTED_VALUE"""),"No")</f>
        <v>No</v>
      </c>
      <c r="H1283" s="5" t="str">
        <f ca="1">IFERROR(__xludf.DUMMYFUNCTION("""COMPUTED_VALUE"""),"None")</f>
        <v>None</v>
      </c>
    </row>
    <row r="1284" spans="1:8" ht="13">
      <c r="A1284" s="5" t="str">
        <f ca="1">IFERROR(__xludf.DUMMYFUNCTION("""COMPUTED_VALUE"""),"20150427WANOL")</f>
        <v>20150427WANOL</v>
      </c>
      <c r="B1284" s="5">
        <f ca="1">IFERROR(__xludf.DUMMYFUNCTION("""COMPUTED_VALUE"""),16)</f>
        <v>16</v>
      </c>
      <c r="C1284" s="5" t="str">
        <f ca="1">IFERROR(__xludf.DUMMYFUNCTION("""COMPUTED_VALUE"""),"Male")</f>
        <v>Male</v>
      </c>
      <c r="D1284" s="5" t="str">
        <f ca="1">IFERROR(__xludf.DUMMYFUNCTION("""COMPUTED_VALUE"""),"White")</f>
        <v>White</v>
      </c>
      <c r="E1284" s="5" t="str">
        <f ca="1">IFERROR(__xludf.DUMMYFUNCTION("""COMPUTED_VALUE"""),"Student")</f>
        <v>Student</v>
      </c>
      <c r="F1284" s="5" t="str">
        <f ca="1">IFERROR(__xludf.DUMMYFUNCTION("""COMPUTED_VALUE"""),"Subdued by Students/Staff/Other")</f>
        <v>Subdued by Students/Staff/Other</v>
      </c>
      <c r="G1284" s="5" t="str">
        <f ca="1">IFERROR(__xludf.DUMMYFUNCTION("""COMPUTED_VALUE"""),"No")</f>
        <v>No</v>
      </c>
      <c r="H1284" s="5" t="str">
        <f ca="1">IFERROR(__xludf.DUMMYFUNCTION("""COMPUTED_VALUE"""),"None")</f>
        <v>None</v>
      </c>
    </row>
    <row r="1285" spans="1:8" ht="13">
      <c r="A1285" s="5" t="str">
        <f ca="1">IFERROR(__xludf.DUMMYFUNCTION("""COMPUTED_VALUE"""),"20150422NVRUL")</f>
        <v>20150422NVRUL</v>
      </c>
      <c r="B1285" s="5">
        <f ca="1">IFERROR(__xludf.DUMMYFUNCTION("""COMPUTED_VALUE"""),11)</f>
        <v>11</v>
      </c>
      <c r="C1285" s="5" t="str">
        <f ca="1">IFERROR(__xludf.DUMMYFUNCTION("""COMPUTED_VALUE"""),"Male")</f>
        <v>Male</v>
      </c>
      <c r="D1285" s="5"/>
      <c r="E1285" s="5" t="str">
        <f ca="1">IFERROR(__xludf.DUMMYFUNCTION("""COMPUTED_VALUE"""),"Student")</f>
        <v>Student</v>
      </c>
      <c r="F1285" s="5" t="str">
        <f ca="1">IFERROR(__xludf.DUMMYFUNCTION("""COMPUTED_VALUE"""),"Unknown")</f>
        <v>Unknown</v>
      </c>
      <c r="G1285" s="5" t="str">
        <f ca="1">IFERROR(__xludf.DUMMYFUNCTION("""COMPUTED_VALUE"""),"No")</f>
        <v>No</v>
      </c>
      <c r="H1285" s="5" t="str">
        <f ca="1">IFERROR(__xludf.DUMMYFUNCTION("""COMPUTED_VALUE"""),"None")</f>
        <v>None</v>
      </c>
    </row>
    <row r="1286" spans="1:8" ht="13">
      <c r="A1286" s="5" t="str">
        <f ca="1">IFERROR(__xludf.DUMMYFUNCTION("""COMPUTED_VALUE"""),"20150417TXSES")</f>
        <v>20150417TXSES</v>
      </c>
      <c r="B1286" s="5">
        <f ca="1">IFERROR(__xludf.DUMMYFUNCTION("""COMPUTED_VALUE"""),18)</f>
        <v>18</v>
      </c>
      <c r="C1286" s="5" t="str">
        <f ca="1">IFERROR(__xludf.DUMMYFUNCTION("""COMPUTED_VALUE"""),"Male")</f>
        <v>Male</v>
      </c>
      <c r="D1286" s="5" t="str">
        <f ca="1">IFERROR(__xludf.DUMMYFUNCTION("""COMPUTED_VALUE"""),"Hispanic")</f>
        <v>Hispanic</v>
      </c>
      <c r="E1286" s="5" t="str">
        <f ca="1">IFERROR(__xludf.DUMMYFUNCTION("""COMPUTED_VALUE"""),"Student")</f>
        <v>Student</v>
      </c>
      <c r="F1286" s="5" t="str">
        <f ca="1">IFERROR(__xludf.DUMMYFUNCTION("""COMPUTED_VALUE"""),"Suicide")</f>
        <v>Suicide</v>
      </c>
      <c r="G1286" s="5" t="str">
        <f ca="1">IFERROR(__xludf.DUMMYFUNCTION("""COMPUTED_VALUE"""),"Yes")</f>
        <v>Yes</v>
      </c>
      <c r="H1286" s="5" t="str">
        <f ca="1">IFERROR(__xludf.DUMMYFUNCTION("""COMPUTED_VALUE"""),"Suicide")</f>
        <v>Suicide</v>
      </c>
    </row>
    <row r="1287" spans="1:8" ht="13">
      <c r="A1287" s="5" t="str">
        <f ca="1">IFERROR(__xludf.DUMMYFUNCTION("""COMPUTED_VALUE"""),"20150330MOPEU")</f>
        <v>20150330MOPEU</v>
      </c>
      <c r="B1287" s="5">
        <f ca="1">IFERROR(__xludf.DUMMYFUNCTION("""COMPUTED_VALUE"""),24)</f>
        <v>24</v>
      </c>
      <c r="C1287" s="5" t="str">
        <f ca="1">IFERROR(__xludf.DUMMYFUNCTION("""COMPUTED_VALUE"""),"Male")</f>
        <v>Male</v>
      </c>
      <c r="D1287" s="5" t="str">
        <f ca="1">IFERROR(__xludf.DUMMYFUNCTION("""COMPUTED_VALUE"""),"Black")</f>
        <v>Black</v>
      </c>
      <c r="E1287" s="5" t="str">
        <f ca="1">IFERROR(__xludf.DUMMYFUNCTION("""COMPUTED_VALUE"""),"No Relation")</f>
        <v>No Relation</v>
      </c>
      <c r="F1287" s="5" t="str">
        <f ca="1">IFERROR(__xludf.DUMMYFUNCTION("""COMPUTED_VALUE"""),"Fled/Apprehended")</f>
        <v>Fled/Apprehended</v>
      </c>
      <c r="G1287" s="5" t="str">
        <f ca="1">IFERROR(__xludf.DUMMYFUNCTION("""COMPUTED_VALUE"""),"No")</f>
        <v>No</v>
      </c>
      <c r="H1287" s="5" t="str">
        <f ca="1">IFERROR(__xludf.DUMMYFUNCTION("""COMPUTED_VALUE"""),"None")</f>
        <v>None</v>
      </c>
    </row>
    <row r="1288" spans="1:8" ht="13">
      <c r="A1288" s="5" t="str">
        <f ca="1">IFERROR(__xludf.DUMMYFUNCTION("""COMPUTED_VALUE"""),"20150215CATEM")</f>
        <v>20150215CATEM</v>
      </c>
      <c r="B1288" s="5">
        <f ca="1">IFERROR(__xludf.DUMMYFUNCTION("""COMPUTED_VALUE"""),17)</f>
        <v>17</v>
      </c>
      <c r="C1288" s="5" t="str">
        <f ca="1">IFERROR(__xludf.DUMMYFUNCTION("""COMPUTED_VALUE"""),"Male")</f>
        <v>Male</v>
      </c>
      <c r="D1288" s="5" t="str">
        <f ca="1">IFERROR(__xludf.DUMMYFUNCTION("""COMPUTED_VALUE"""),"White")</f>
        <v>White</v>
      </c>
      <c r="E1288" s="5" t="str">
        <f ca="1">IFERROR(__xludf.DUMMYFUNCTION("""COMPUTED_VALUE"""),"Unknown")</f>
        <v>Unknown</v>
      </c>
      <c r="F1288" s="5" t="str">
        <f ca="1">IFERROR(__xludf.DUMMYFUNCTION("""COMPUTED_VALUE"""),"Fled/Escaped")</f>
        <v>Fled/Escaped</v>
      </c>
      <c r="G1288" s="5" t="str">
        <f ca="1">IFERROR(__xludf.DUMMYFUNCTION("""COMPUTED_VALUE"""),"No")</f>
        <v>No</v>
      </c>
      <c r="H1288" s="5" t="str">
        <f ca="1">IFERROR(__xludf.DUMMYFUNCTION("""COMPUTED_VALUE"""),"None")</f>
        <v>None</v>
      </c>
    </row>
    <row r="1289" spans="1:8" ht="13">
      <c r="A1289" s="5" t="str">
        <f ca="1">IFERROR(__xludf.DUMMYFUNCTION("""COMPUTED_VALUE"""),"20150215ARLAL")</f>
        <v>20150215ARLAL</v>
      </c>
      <c r="B1289" s="5">
        <f ca="1">IFERROR(__xludf.DUMMYFUNCTION("""COMPUTED_VALUE"""),62)</f>
        <v>62</v>
      </c>
      <c r="C1289" s="5" t="str">
        <f ca="1">IFERROR(__xludf.DUMMYFUNCTION("""COMPUTED_VALUE"""),"Male")</f>
        <v>Male</v>
      </c>
      <c r="D1289" s="5" t="str">
        <f ca="1">IFERROR(__xludf.DUMMYFUNCTION("""COMPUTED_VALUE"""),"White")</f>
        <v>White</v>
      </c>
      <c r="E1289" s="5" t="str">
        <f ca="1">IFERROR(__xludf.DUMMYFUNCTION("""COMPUTED_VALUE"""),"Relative")</f>
        <v>Relative</v>
      </c>
      <c r="F1289" s="5" t="str">
        <f ca="1">IFERROR(__xludf.DUMMYFUNCTION("""COMPUTED_VALUE"""),"Fled/Apprehended")</f>
        <v>Fled/Apprehended</v>
      </c>
      <c r="G1289" s="5" t="str">
        <f ca="1">IFERROR(__xludf.DUMMYFUNCTION("""COMPUTED_VALUE"""),"No")</f>
        <v>No</v>
      </c>
      <c r="H1289" s="5" t="str">
        <f ca="1">IFERROR(__xludf.DUMMYFUNCTION("""COMPUTED_VALUE"""),"None")</f>
        <v>None</v>
      </c>
    </row>
    <row r="1290" spans="1:8" ht="13">
      <c r="A1290" s="5" t="str">
        <f ca="1">IFERROR(__xludf.DUMMYFUNCTION("""COMPUTED_VALUE"""),"20150204MDFRF")</f>
        <v>20150204MDFRF</v>
      </c>
      <c r="B1290" s="5">
        <f ca="1">IFERROR(__xludf.DUMMYFUNCTION("""COMPUTED_VALUE"""),21)</f>
        <v>21</v>
      </c>
      <c r="C1290" s="5" t="str">
        <f ca="1">IFERROR(__xludf.DUMMYFUNCTION("""COMPUTED_VALUE"""),"Male")</f>
        <v>Male</v>
      </c>
      <c r="D1290" s="5" t="str">
        <f ca="1">IFERROR(__xludf.DUMMYFUNCTION("""COMPUTED_VALUE"""),"Black")</f>
        <v>Black</v>
      </c>
      <c r="E1290" s="5" t="str">
        <f ca="1">IFERROR(__xludf.DUMMYFUNCTION("""COMPUTED_VALUE"""),"Nonstudent Using Athletic Facilities/Attending Game")</f>
        <v>Nonstudent Using Athletic Facilities/Attending Game</v>
      </c>
      <c r="F1290" s="5" t="str">
        <f ca="1">IFERROR(__xludf.DUMMYFUNCTION("""COMPUTED_VALUE"""),"Fled/Apprehended")</f>
        <v>Fled/Apprehended</v>
      </c>
      <c r="G1290" s="5" t="str">
        <f ca="1">IFERROR(__xludf.DUMMYFUNCTION("""COMPUTED_VALUE"""),"No")</f>
        <v>No</v>
      </c>
      <c r="H1290" s="5" t="str">
        <f ca="1">IFERROR(__xludf.DUMMYFUNCTION("""COMPUTED_VALUE"""),"None")</f>
        <v>None</v>
      </c>
    </row>
    <row r="1291" spans="1:8" ht="13">
      <c r="A1291" s="5" t="str">
        <f ca="1">IFERROR(__xludf.DUMMYFUNCTION("""COMPUTED_VALUE"""),"20150204MDFRF")</f>
        <v>20150204MDFRF</v>
      </c>
      <c r="B1291" s="5"/>
      <c r="C1291" s="5" t="str">
        <f ca="1">IFERROR(__xludf.DUMMYFUNCTION("""COMPUTED_VALUE"""),"Male")</f>
        <v>Male</v>
      </c>
      <c r="D1291" s="5" t="str">
        <f ca="1">IFERROR(__xludf.DUMMYFUNCTION("""COMPUTED_VALUE"""),"Black")</f>
        <v>Black</v>
      </c>
      <c r="E1291" s="5" t="str">
        <f ca="1">IFERROR(__xludf.DUMMYFUNCTION("""COMPUTED_VALUE"""),"Nonstudent Using Athletic Facilities/Attending Game")</f>
        <v>Nonstudent Using Athletic Facilities/Attending Game</v>
      </c>
      <c r="F1291" s="5" t="str">
        <f ca="1">IFERROR(__xludf.DUMMYFUNCTION("""COMPUTED_VALUE"""),"Fled/Apprehended")</f>
        <v>Fled/Apprehended</v>
      </c>
      <c r="G1291" s="5" t="str">
        <f ca="1">IFERROR(__xludf.DUMMYFUNCTION("""COMPUTED_VALUE"""),"No")</f>
        <v>No</v>
      </c>
      <c r="H1291" s="5" t="str">
        <f ca="1">IFERROR(__xludf.DUMMYFUNCTION("""COMPUTED_VALUE"""),"None")</f>
        <v>None</v>
      </c>
    </row>
    <row r="1292" spans="1:8" ht="13">
      <c r="A1292" s="5" t="str">
        <f ca="1">IFERROR(__xludf.DUMMYFUNCTION("""COMPUTED_VALUE"""),"20150126MNHAR")</f>
        <v>20150126MNHAR</v>
      </c>
      <c r="B1292" s="5">
        <f ca="1">IFERROR(__xludf.DUMMYFUNCTION("""COMPUTED_VALUE"""),48)</f>
        <v>48</v>
      </c>
      <c r="C1292" s="5" t="str">
        <f ca="1">IFERROR(__xludf.DUMMYFUNCTION("""COMPUTED_VALUE"""),"Male")</f>
        <v>Male</v>
      </c>
      <c r="D1292" s="5"/>
      <c r="E1292" s="5" t="str">
        <f ca="1">IFERROR(__xludf.DUMMYFUNCTION("""COMPUTED_VALUE"""),"No Relation")</f>
        <v>No Relation</v>
      </c>
      <c r="F1292" s="5" t="str">
        <f ca="1">IFERROR(__xludf.DUMMYFUNCTION("""COMPUTED_VALUE"""),"Suicide")</f>
        <v>Suicide</v>
      </c>
      <c r="G1292" s="5" t="str">
        <f ca="1">IFERROR(__xludf.DUMMYFUNCTION("""COMPUTED_VALUE"""),"Yes")</f>
        <v>Yes</v>
      </c>
      <c r="H1292" s="5" t="str">
        <f ca="1">IFERROR(__xludf.DUMMYFUNCTION("""COMPUTED_VALUE"""),"Suicide")</f>
        <v>Suicide</v>
      </c>
    </row>
    <row r="1293" spans="1:8" ht="13">
      <c r="A1293" s="5" t="str">
        <f ca="1">IFERROR(__xludf.DUMMYFUNCTION("""COMPUTED_VALUE"""),"20150122SCROH")</f>
        <v>20150122SCROH</v>
      </c>
      <c r="B1293" s="5" t="str">
        <f ca="1">IFERROR(__xludf.DUMMYFUNCTION("""COMPUTED_VALUE"""),"Teen")</f>
        <v>Teen</v>
      </c>
      <c r="C1293" s="5" t="str">
        <f ca="1">IFERROR(__xludf.DUMMYFUNCTION("""COMPUTED_VALUE"""),"Male")</f>
        <v>Male</v>
      </c>
      <c r="D1293" s="5"/>
      <c r="E1293" s="5" t="str">
        <f ca="1">IFERROR(__xludf.DUMMYFUNCTION("""COMPUTED_VALUE"""),"Student")</f>
        <v>Student</v>
      </c>
      <c r="F1293" s="5" t="str">
        <f ca="1">IFERROR(__xludf.DUMMYFUNCTION("""COMPUTED_VALUE"""),"Fled/Apprehended")</f>
        <v>Fled/Apprehended</v>
      </c>
      <c r="G1293" s="5" t="str">
        <f ca="1">IFERROR(__xludf.DUMMYFUNCTION("""COMPUTED_VALUE"""),"No")</f>
        <v>No</v>
      </c>
      <c r="H1293" s="5" t="str">
        <f ca="1">IFERROR(__xludf.DUMMYFUNCTION("""COMPUTED_VALUE"""),"None")</f>
        <v>None</v>
      </c>
    </row>
    <row r="1294" spans="1:8" ht="13">
      <c r="A1294" s="5" t="str">
        <f ca="1">IFERROR(__xludf.DUMMYFUNCTION("""COMPUTED_VALUE"""),"20150120ALWIM")</f>
        <v>20150120ALWIM</v>
      </c>
      <c r="B1294" s="5" t="str">
        <f ca="1">IFERROR(__xludf.DUMMYFUNCTION("""COMPUTED_VALUE"""),"Teen")</f>
        <v>Teen</v>
      </c>
      <c r="C1294" s="5" t="str">
        <f ca="1">IFERROR(__xludf.DUMMYFUNCTION("""COMPUTED_VALUE"""),"Male")</f>
        <v>Male</v>
      </c>
      <c r="D1294" s="5"/>
      <c r="E1294" s="5" t="str">
        <f ca="1">IFERROR(__xludf.DUMMYFUNCTION("""COMPUTED_VALUE"""),"Student")</f>
        <v>Student</v>
      </c>
      <c r="F1294" s="5" t="str">
        <f ca="1">IFERROR(__xludf.DUMMYFUNCTION("""COMPUTED_VALUE"""),"Fled/Escaped")</f>
        <v>Fled/Escaped</v>
      </c>
      <c r="G1294" s="5" t="str">
        <f ca="1">IFERROR(__xludf.DUMMYFUNCTION("""COMPUTED_VALUE"""),"No")</f>
        <v>No</v>
      </c>
      <c r="H1294" s="5" t="str">
        <f ca="1">IFERROR(__xludf.DUMMYFUNCTION("""COMPUTED_VALUE"""),"None")</f>
        <v>None</v>
      </c>
    </row>
    <row r="1295" spans="1:8" ht="13">
      <c r="A1295" s="5" t="str">
        <f ca="1">IFERROR(__xludf.DUMMYFUNCTION("""COMPUTED_VALUE"""),"20150116FLVAO")</f>
        <v>20150116FLVAO</v>
      </c>
      <c r="B1295" s="5">
        <f ca="1">IFERROR(__xludf.DUMMYFUNCTION("""COMPUTED_VALUE"""),15)</f>
        <v>15</v>
      </c>
      <c r="C1295" s="5" t="str">
        <f ca="1">IFERROR(__xludf.DUMMYFUNCTION("""COMPUTED_VALUE"""),"Male")</f>
        <v>Male</v>
      </c>
      <c r="D1295" s="5" t="str">
        <f ca="1">IFERROR(__xludf.DUMMYFUNCTION("""COMPUTED_VALUE"""),"Black")</f>
        <v>Black</v>
      </c>
      <c r="E1295" s="5" t="str">
        <f ca="1">IFERROR(__xludf.DUMMYFUNCTION("""COMPUTED_VALUE"""),"Student")</f>
        <v>Student</v>
      </c>
      <c r="F1295" s="5" t="str">
        <f ca="1">IFERROR(__xludf.DUMMYFUNCTION("""COMPUTED_VALUE"""),"Fled/Apprehended")</f>
        <v>Fled/Apprehended</v>
      </c>
      <c r="G1295" s="5" t="str">
        <f ca="1">IFERROR(__xludf.DUMMYFUNCTION("""COMPUTED_VALUE"""),"No")</f>
        <v>No</v>
      </c>
      <c r="H1295" s="5" t="str">
        <f ca="1">IFERROR(__xludf.DUMMYFUNCTION("""COMPUTED_VALUE"""),"None")</f>
        <v>None</v>
      </c>
    </row>
    <row r="1296" spans="1:8" ht="13">
      <c r="A1296" s="5" t="str">
        <f ca="1">IFERROR(__xludf.DUMMYFUNCTION("""COMPUTED_VALUE"""),"20150115WIWIM")</f>
        <v>20150115WIWIM</v>
      </c>
      <c r="B1296" s="5">
        <f ca="1">IFERROR(__xludf.DUMMYFUNCTION("""COMPUTED_VALUE"""),37)</f>
        <v>37</v>
      </c>
      <c r="C1296" s="5" t="str">
        <f ca="1">IFERROR(__xludf.DUMMYFUNCTION("""COMPUTED_VALUE"""),"Male")</f>
        <v>Male</v>
      </c>
      <c r="D1296" s="5" t="str">
        <f ca="1">IFERROR(__xludf.DUMMYFUNCTION("""COMPUTED_VALUE"""),"Black")</f>
        <v>Black</v>
      </c>
      <c r="E1296" s="5" t="str">
        <f ca="1">IFERROR(__xludf.DUMMYFUNCTION("""COMPUTED_VALUE"""),"Parent")</f>
        <v>Parent</v>
      </c>
      <c r="F1296" s="5" t="str">
        <f ca="1">IFERROR(__xludf.DUMMYFUNCTION("""COMPUTED_VALUE"""),"Fled/Apprehended")</f>
        <v>Fled/Apprehended</v>
      </c>
      <c r="G1296" s="5" t="str">
        <f ca="1">IFERROR(__xludf.DUMMYFUNCTION("""COMPUTED_VALUE"""),"No")</f>
        <v>No</v>
      </c>
      <c r="H1296" s="5" t="str">
        <f ca="1">IFERROR(__xludf.DUMMYFUNCTION("""COMPUTED_VALUE"""),"None")</f>
        <v>None</v>
      </c>
    </row>
    <row r="1297" spans="1:8" ht="13">
      <c r="A1297" s="5" t="str">
        <f ca="1">IFERROR(__xludf.DUMMYFUNCTION("""COMPUTED_VALUE"""),"20141217MIGOW")</f>
        <v>20141217MIGOW</v>
      </c>
      <c r="B1297" s="5"/>
      <c r="C1297" s="5" t="str">
        <f ca="1">IFERROR(__xludf.DUMMYFUNCTION("""COMPUTED_VALUE"""),"Male")</f>
        <v>Male</v>
      </c>
      <c r="D1297" s="5"/>
      <c r="E1297" s="5" t="str">
        <f ca="1">IFERROR(__xludf.DUMMYFUNCTION("""COMPUTED_VALUE"""),"Unknown")</f>
        <v>Unknown</v>
      </c>
      <c r="F1297" s="5" t="str">
        <f ca="1">IFERROR(__xludf.DUMMYFUNCTION("""COMPUTED_VALUE"""),"Fled/Escaped")</f>
        <v>Fled/Escaped</v>
      </c>
      <c r="G1297" s="5" t="str">
        <f ca="1">IFERROR(__xludf.DUMMYFUNCTION("""COMPUTED_VALUE"""),"No")</f>
        <v>No</v>
      </c>
      <c r="H1297" s="5" t="str">
        <f ca="1">IFERROR(__xludf.DUMMYFUNCTION("""COMPUTED_VALUE"""),"None")</f>
        <v>None</v>
      </c>
    </row>
    <row r="1298" spans="1:8" ht="13">
      <c r="A1298" s="5" t="str">
        <f ca="1">IFERROR(__xludf.DUMMYFUNCTION("""COMPUTED_VALUE"""),"20141217MEBEW")</f>
        <v>20141217MEBEW</v>
      </c>
      <c r="B1298" s="5">
        <f ca="1">IFERROR(__xludf.DUMMYFUNCTION("""COMPUTED_VALUE"""),41)</f>
        <v>41</v>
      </c>
      <c r="C1298" s="5" t="str">
        <f ca="1">IFERROR(__xludf.DUMMYFUNCTION("""COMPUTED_VALUE"""),"Male")</f>
        <v>Male</v>
      </c>
      <c r="D1298" s="5" t="str">
        <f ca="1">IFERROR(__xludf.DUMMYFUNCTION("""COMPUTED_VALUE"""),"White")</f>
        <v>White</v>
      </c>
      <c r="E1298" s="5" t="str">
        <f ca="1">IFERROR(__xludf.DUMMYFUNCTION("""COMPUTED_VALUE"""),"Former Student")</f>
        <v>Former Student</v>
      </c>
      <c r="F1298" s="5" t="str">
        <f ca="1">IFERROR(__xludf.DUMMYFUNCTION("""COMPUTED_VALUE"""),"Suicide")</f>
        <v>Suicide</v>
      </c>
      <c r="G1298" s="5" t="str">
        <f ca="1">IFERROR(__xludf.DUMMYFUNCTION("""COMPUTED_VALUE"""),"Yes")</f>
        <v>Yes</v>
      </c>
      <c r="H1298" s="5" t="str">
        <f ca="1">IFERROR(__xludf.DUMMYFUNCTION("""COMPUTED_VALUE"""),"Suicide")</f>
        <v>Suicide</v>
      </c>
    </row>
    <row r="1299" spans="1:8" ht="13">
      <c r="A1299" s="5" t="str">
        <f ca="1">IFERROR(__xludf.DUMMYFUNCTION("""COMPUTED_VALUE"""),"20141216PASUP")</f>
        <v>20141216PASUP</v>
      </c>
      <c r="B1299" s="5"/>
      <c r="C1299" s="5"/>
      <c r="D1299" s="5"/>
      <c r="E1299" s="5" t="str">
        <f ca="1">IFERROR(__xludf.DUMMYFUNCTION("""COMPUTED_VALUE"""),"Unknown")</f>
        <v>Unknown</v>
      </c>
      <c r="F1299" s="5" t="str">
        <f ca="1">IFERROR(__xludf.DUMMYFUNCTION("""COMPUTED_VALUE"""),"Fled/Escaped")</f>
        <v>Fled/Escaped</v>
      </c>
      <c r="G1299" s="5" t="str">
        <f ca="1">IFERROR(__xludf.DUMMYFUNCTION("""COMPUTED_VALUE"""),"No")</f>
        <v>No</v>
      </c>
      <c r="H1299" s="5" t="str">
        <f ca="1">IFERROR(__xludf.DUMMYFUNCTION("""COMPUTED_VALUE"""),"None")</f>
        <v>None</v>
      </c>
    </row>
    <row r="1300" spans="1:8" ht="13">
      <c r="A1300" s="5" t="str">
        <f ca="1">IFERROR(__xludf.DUMMYFUNCTION("""COMPUTED_VALUE"""),"20141212ORROP")</f>
        <v>20141212ORROP</v>
      </c>
      <c r="B1300" s="5">
        <f ca="1">IFERROR(__xludf.DUMMYFUNCTION("""COMPUTED_VALUE"""),16)</f>
        <v>16</v>
      </c>
      <c r="C1300" s="5" t="str">
        <f ca="1">IFERROR(__xludf.DUMMYFUNCTION("""COMPUTED_VALUE"""),"Male")</f>
        <v>Male</v>
      </c>
      <c r="D1300" s="5" t="str">
        <f ca="1">IFERROR(__xludf.DUMMYFUNCTION("""COMPUTED_VALUE"""),"Black")</f>
        <v>Black</v>
      </c>
      <c r="E1300" s="5" t="str">
        <f ca="1">IFERROR(__xludf.DUMMYFUNCTION("""COMPUTED_VALUE"""),"Student")</f>
        <v>Student</v>
      </c>
      <c r="F1300" s="5" t="str">
        <f ca="1">IFERROR(__xludf.DUMMYFUNCTION("""COMPUTED_VALUE"""),"Fled/Apprehended")</f>
        <v>Fled/Apprehended</v>
      </c>
      <c r="G1300" s="5" t="str">
        <f ca="1">IFERROR(__xludf.DUMMYFUNCTION("""COMPUTED_VALUE"""),"No")</f>
        <v>No</v>
      </c>
      <c r="H1300" s="5" t="str">
        <f ca="1">IFERROR(__xludf.DUMMYFUNCTION("""COMPUTED_VALUE"""),"None")</f>
        <v>None</v>
      </c>
    </row>
    <row r="1301" spans="1:8" ht="13">
      <c r="A1301" s="5" t="str">
        <f ca="1">IFERROR(__xludf.DUMMYFUNCTION("""COMPUTED_VALUE"""),"20141120FLMIM")</f>
        <v>20141120FLMIM</v>
      </c>
      <c r="B1301" s="5">
        <f ca="1">IFERROR(__xludf.DUMMYFUNCTION("""COMPUTED_VALUE"""),17)</f>
        <v>17</v>
      </c>
      <c r="C1301" s="5" t="str">
        <f ca="1">IFERROR(__xludf.DUMMYFUNCTION("""COMPUTED_VALUE"""),"Male")</f>
        <v>Male</v>
      </c>
      <c r="D1301" s="5" t="str">
        <f ca="1">IFERROR(__xludf.DUMMYFUNCTION("""COMPUTED_VALUE"""),"Black")</f>
        <v>Black</v>
      </c>
      <c r="E1301" s="5" t="str">
        <f ca="1">IFERROR(__xludf.DUMMYFUNCTION("""COMPUTED_VALUE"""),"Student")</f>
        <v>Student</v>
      </c>
      <c r="F1301" s="5" t="str">
        <f ca="1">IFERROR(__xludf.DUMMYFUNCTION("""COMPUTED_VALUE"""),"Fled/Apprehended")</f>
        <v>Fled/Apprehended</v>
      </c>
      <c r="G1301" s="5" t="str">
        <f ca="1">IFERROR(__xludf.DUMMYFUNCTION("""COMPUTED_VALUE"""),"No")</f>
        <v>No</v>
      </c>
      <c r="H1301" s="5" t="str">
        <f ca="1">IFERROR(__xludf.DUMMYFUNCTION("""COMPUTED_VALUE"""),"None")</f>
        <v>None</v>
      </c>
    </row>
    <row r="1302" spans="1:8" ht="13">
      <c r="A1302" s="5" t="str">
        <f ca="1">IFERROR(__xludf.DUMMYFUNCTION("""COMPUTED_VALUE"""),"20141024WAMAM")</f>
        <v>20141024WAMAM</v>
      </c>
      <c r="B1302" s="5">
        <f ca="1">IFERROR(__xludf.DUMMYFUNCTION("""COMPUTED_VALUE"""),15)</f>
        <v>15</v>
      </c>
      <c r="C1302" s="5" t="str">
        <f ca="1">IFERROR(__xludf.DUMMYFUNCTION("""COMPUTED_VALUE"""),"Male")</f>
        <v>Male</v>
      </c>
      <c r="D1302" s="5" t="str">
        <f ca="1">IFERROR(__xludf.DUMMYFUNCTION("""COMPUTED_VALUE"""),"Native American/Alaska Native")</f>
        <v>Native American/Alaska Native</v>
      </c>
      <c r="E1302" s="5" t="str">
        <f ca="1">IFERROR(__xludf.DUMMYFUNCTION("""COMPUTED_VALUE"""),"Student")</f>
        <v>Student</v>
      </c>
      <c r="F1302" s="5" t="str">
        <f ca="1">IFERROR(__xludf.DUMMYFUNCTION("""COMPUTED_VALUE"""),"Suicide")</f>
        <v>Suicide</v>
      </c>
      <c r="G1302" s="5" t="str">
        <f ca="1">IFERROR(__xludf.DUMMYFUNCTION("""COMPUTED_VALUE"""),"Yes")</f>
        <v>Yes</v>
      </c>
      <c r="H1302" s="5" t="str">
        <f ca="1">IFERROR(__xludf.DUMMYFUNCTION("""COMPUTED_VALUE"""),"Suicide")</f>
        <v>Suicide</v>
      </c>
    </row>
    <row r="1303" spans="1:8" ht="13">
      <c r="A1303" s="5" t="str">
        <f ca="1">IFERROR(__xludf.DUMMYFUNCTION("""COMPUTED_VALUE"""),"20141024GALAA")</f>
        <v>20141024GALAA</v>
      </c>
      <c r="B1303" s="5">
        <f ca="1">IFERROR(__xludf.DUMMYFUNCTION("""COMPUTED_VALUE"""),17)</f>
        <v>17</v>
      </c>
      <c r="C1303" s="5" t="str">
        <f ca="1">IFERROR(__xludf.DUMMYFUNCTION("""COMPUTED_VALUE"""),"Male")</f>
        <v>Male</v>
      </c>
      <c r="D1303" s="5" t="str">
        <f ca="1">IFERROR(__xludf.DUMMYFUNCTION("""COMPUTED_VALUE"""),"Black")</f>
        <v>Black</v>
      </c>
      <c r="E1303" s="5" t="str">
        <f ca="1">IFERROR(__xludf.DUMMYFUNCTION("""COMPUTED_VALUE"""),"Student")</f>
        <v>Student</v>
      </c>
      <c r="F1303" s="5" t="str">
        <f ca="1">IFERROR(__xludf.DUMMYFUNCTION("""COMPUTED_VALUE"""),"Apprehended/Killed by LE")</f>
        <v>Apprehended/Killed by LE</v>
      </c>
      <c r="G1303" s="5" t="str">
        <f ca="1">IFERROR(__xludf.DUMMYFUNCTION("""COMPUTED_VALUE"""),"No")</f>
        <v>No</v>
      </c>
      <c r="H1303" s="5" t="str">
        <f ca="1">IFERROR(__xludf.DUMMYFUNCTION("""COMPUTED_VALUE"""),"None")</f>
        <v>None</v>
      </c>
    </row>
    <row r="1304" spans="1:8" ht="13">
      <c r="A1304" s="5" t="str">
        <f ca="1">IFERROR(__xludf.DUMMYFUNCTION("""COMPUTED_VALUE"""),"20141021TNAMM")</f>
        <v>20141021TNAMM</v>
      </c>
      <c r="B1304" s="5">
        <f ca="1">IFERROR(__xludf.DUMMYFUNCTION("""COMPUTED_VALUE"""),13)</f>
        <v>13</v>
      </c>
      <c r="C1304" s="5" t="str">
        <f ca="1">IFERROR(__xludf.DUMMYFUNCTION("""COMPUTED_VALUE"""),"Male")</f>
        <v>Male</v>
      </c>
      <c r="D1304" s="5"/>
      <c r="E1304" s="5" t="str">
        <f ca="1">IFERROR(__xludf.DUMMYFUNCTION("""COMPUTED_VALUE"""),"Student")</f>
        <v>Student</v>
      </c>
      <c r="F1304" s="5" t="str">
        <f ca="1">IFERROR(__xludf.DUMMYFUNCTION("""COMPUTED_VALUE"""),"Surrendered")</f>
        <v>Surrendered</v>
      </c>
      <c r="G1304" s="5" t="str">
        <f ca="1">IFERROR(__xludf.DUMMYFUNCTION("""COMPUTED_VALUE"""),"No")</f>
        <v>No</v>
      </c>
      <c r="H1304" s="5" t="str">
        <f ca="1">IFERROR(__xludf.DUMMYFUNCTION("""COMPUTED_VALUE"""),"None")</f>
        <v>None</v>
      </c>
    </row>
    <row r="1305" spans="1:8" ht="13">
      <c r="A1305" s="5" t="str">
        <f ca="1">IFERROR(__xludf.DUMMYFUNCTION("""COMPUTED_VALUE"""),"20141003GALAF")</f>
        <v>20141003GALAF</v>
      </c>
      <c r="B1305" s="5">
        <f ca="1">IFERROR(__xludf.DUMMYFUNCTION("""COMPUTED_VALUE"""),18)</f>
        <v>18</v>
      </c>
      <c r="C1305" s="5" t="str">
        <f ca="1">IFERROR(__xludf.DUMMYFUNCTION("""COMPUTED_VALUE"""),"Male")</f>
        <v>Male</v>
      </c>
      <c r="D1305" s="5" t="str">
        <f ca="1">IFERROR(__xludf.DUMMYFUNCTION("""COMPUTED_VALUE"""),"Black")</f>
        <v>Black</v>
      </c>
      <c r="E1305" s="5" t="str">
        <f ca="1">IFERROR(__xludf.DUMMYFUNCTION("""COMPUTED_VALUE"""),"Student")</f>
        <v>Student</v>
      </c>
      <c r="F1305" s="5" t="str">
        <f ca="1">IFERROR(__xludf.DUMMYFUNCTION("""COMPUTED_VALUE"""),"Fled/Apprehended")</f>
        <v>Fled/Apprehended</v>
      </c>
      <c r="G1305" s="5" t="str">
        <f ca="1">IFERROR(__xludf.DUMMYFUNCTION("""COMPUTED_VALUE"""),"No")</f>
        <v>No</v>
      </c>
      <c r="H1305" s="5" t="str">
        <f ca="1">IFERROR(__xludf.DUMMYFUNCTION("""COMPUTED_VALUE"""),"None")</f>
        <v>None</v>
      </c>
    </row>
    <row r="1306" spans="1:8" ht="13">
      <c r="A1306" s="5" t="str">
        <f ca="1">IFERROR(__xludf.DUMMYFUNCTION("""COMPUTED_VALUE"""),"20140930NCALA")</f>
        <v>20140930NCALA</v>
      </c>
      <c r="B1306" s="5">
        <f ca="1">IFERROR(__xludf.DUMMYFUNCTION("""COMPUTED_VALUE"""),16)</f>
        <v>16</v>
      </c>
      <c r="C1306" s="5" t="str">
        <f ca="1">IFERROR(__xludf.DUMMYFUNCTION("""COMPUTED_VALUE"""),"Male")</f>
        <v>Male</v>
      </c>
      <c r="D1306" s="5" t="str">
        <f ca="1">IFERROR(__xludf.DUMMYFUNCTION("""COMPUTED_VALUE"""),"Black")</f>
        <v>Black</v>
      </c>
      <c r="E1306" s="5" t="str">
        <f ca="1">IFERROR(__xludf.DUMMYFUNCTION("""COMPUTED_VALUE"""),"Student")</f>
        <v>Student</v>
      </c>
      <c r="F1306" s="5" t="str">
        <f ca="1">IFERROR(__xludf.DUMMYFUNCTION("""COMPUTED_VALUE"""),"Surrendered")</f>
        <v>Surrendered</v>
      </c>
      <c r="G1306" s="5" t="str">
        <f ca="1">IFERROR(__xludf.DUMMYFUNCTION("""COMPUTED_VALUE"""),"No")</f>
        <v>No</v>
      </c>
      <c r="H1306" s="5" t="str">
        <f ca="1">IFERROR(__xludf.DUMMYFUNCTION("""COMPUTED_VALUE"""),"None")</f>
        <v>None</v>
      </c>
    </row>
    <row r="1307" spans="1:8" ht="13">
      <c r="A1307" s="5" t="str">
        <f ca="1">IFERROR(__xludf.DUMMYFUNCTION("""COMPUTED_VALUE"""),"20140930KYFEL")</f>
        <v>20140930KYFEL</v>
      </c>
      <c r="B1307" s="5">
        <f ca="1">IFERROR(__xludf.DUMMYFUNCTION("""COMPUTED_VALUE"""),16)</f>
        <v>16</v>
      </c>
      <c r="C1307" s="5" t="str">
        <f ca="1">IFERROR(__xludf.DUMMYFUNCTION("""COMPUTED_VALUE"""),"Male")</f>
        <v>Male</v>
      </c>
      <c r="D1307" s="5" t="str">
        <f ca="1">IFERROR(__xludf.DUMMYFUNCTION("""COMPUTED_VALUE"""),"Black")</f>
        <v>Black</v>
      </c>
      <c r="E1307" s="5" t="str">
        <f ca="1">IFERROR(__xludf.DUMMYFUNCTION("""COMPUTED_VALUE"""),"Student")</f>
        <v>Student</v>
      </c>
      <c r="F1307" s="5" t="str">
        <f ca="1">IFERROR(__xludf.DUMMYFUNCTION("""COMPUTED_VALUE"""),"Fled/Apprehended")</f>
        <v>Fled/Apprehended</v>
      </c>
      <c r="G1307" s="5" t="str">
        <f ca="1">IFERROR(__xludf.DUMMYFUNCTION("""COMPUTED_VALUE"""),"No")</f>
        <v>No</v>
      </c>
      <c r="H1307" s="5" t="str">
        <f ca="1">IFERROR(__xludf.DUMMYFUNCTION("""COMPUTED_VALUE"""),"None")</f>
        <v>None</v>
      </c>
    </row>
    <row r="1308" spans="1:8" ht="13">
      <c r="A1308" s="5" t="str">
        <f ca="1">IFERROR(__xludf.DUMMYFUNCTION("""COMPUTED_VALUE"""),"20140925NHWEM")</f>
        <v>20140925NHWEM</v>
      </c>
      <c r="B1308" s="5">
        <f ca="1">IFERROR(__xludf.DUMMYFUNCTION("""COMPUTED_VALUE"""),21)</f>
        <v>21</v>
      </c>
      <c r="C1308" s="5" t="str">
        <f ca="1">IFERROR(__xludf.DUMMYFUNCTION("""COMPUTED_VALUE"""),"Male")</f>
        <v>Male</v>
      </c>
      <c r="D1308" s="5" t="str">
        <f ca="1">IFERROR(__xludf.DUMMYFUNCTION("""COMPUTED_VALUE"""),"Black")</f>
        <v>Black</v>
      </c>
      <c r="E1308" s="5" t="str">
        <f ca="1">IFERROR(__xludf.DUMMYFUNCTION("""COMPUTED_VALUE"""),"Former Student")</f>
        <v>Former Student</v>
      </c>
      <c r="F1308" s="5" t="str">
        <f ca="1">IFERROR(__xludf.DUMMYFUNCTION("""COMPUTED_VALUE"""),"Subdued by Students/Staff/Other")</f>
        <v>Subdued by Students/Staff/Other</v>
      </c>
      <c r="G1308" s="5" t="str">
        <f ca="1">IFERROR(__xludf.DUMMYFUNCTION("""COMPUTED_VALUE"""),"No")</f>
        <v>No</v>
      </c>
      <c r="H1308" s="5" t="str">
        <f ca="1">IFERROR(__xludf.DUMMYFUNCTION("""COMPUTED_VALUE"""),"None")</f>
        <v>None</v>
      </c>
    </row>
    <row r="1309" spans="1:8" ht="13">
      <c r="A1309" s="5" t="str">
        <f ca="1">IFERROR(__xludf.DUMMYFUNCTION("""COMPUTED_VALUE"""),"20140919IANOD")</f>
        <v>20140919IANOD</v>
      </c>
      <c r="B1309" s="5">
        <f ca="1">IFERROR(__xludf.DUMMYFUNCTION("""COMPUTED_VALUE"""),14)</f>
        <v>14</v>
      </c>
      <c r="C1309" s="5" t="str">
        <f ca="1">IFERROR(__xludf.DUMMYFUNCTION("""COMPUTED_VALUE"""),"Male")</f>
        <v>Male</v>
      </c>
      <c r="D1309" s="5" t="str">
        <f ca="1">IFERROR(__xludf.DUMMYFUNCTION("""COMPUTED_VALUE"""),"Black")</f>
        <v>Black</v>
      </c>
      <c r="E1309" s="5" t="str">
        <f ca="1">IFERROR(__xludf.DUMMYFUNCTION("""COMPUTED_VALUE"""),"Unknown")</f>
        <v>Unknown</v>
      </c>
      <c r="F1309" s="5" t="str">
        <f ca="1">IFERROR(__xludf.DUMMYFUNCTION("""COMPUTED_VALUE"""),"Fled/Apprehended")</f>
        <v>Fled/Apprehended</v>
      </c>
      <c r="G1309" s="5" t="str">
        <f ca="1">IFERROR(__xludf.DUMMYFUNCTION("""COMPUTED_VALUE"""),"No")</f>
        <v>No</v>
      </c>
      <c r="H1309" s="5" t="str">
        <f ca="1">IFERROR(__xludf.DUMMYFUNCTION("""COMPUTED_VALUE"""),"None")</f>
        <v>None</v>
      </c>
    </row>
    <row r="1310" spans="1:8" ht="13">
      <c r="A1310" s="5" t="str">
        <f ca="1">IFERROR(__xludf.DUMMYFUNCTION("""COMPUTED_VALUE"""),"20140911UTWET")</f>
        <v>20140911UTWET</v>
      </c>
      <c r="B1310" s="5">
        <f ca="1">IFERROR(__xludf.DUMMYFUNCTION("""COMPUTED_VALUE"""),39)</f>
        <v>39</v>
      </c>
      <c r="C1310" s="5" t="str">
        <f ca="1">IFERROR(__xludf.DUMMYFUNCTION("""COMPUTED_VALUE"""),"Female")</f>
        <v>Female</v>
      </c>
      <c r="D1310" s="5" t="str">
        <f ca="1">IFERROR(__xludf.DUMMYFUNCTION("""COMPUTED_VALUE"""),"White")</f>
        <v>White</v>
      </c>
      <c r="E1310" s="5" t="str">
        <f ca="1">IFERROR(__xludf.DUMMYFUNCTION("""COMPUTED_VALUE"""),"Teacher")</f>
        <v>Teacher</v>
      </c>
      <c r="F1310" s="5" t="str">
        <f ca="1">IFERROR(__xludf.DUMMYFUNCTION("""COMPUTED_VALUE"""),"Surrendered")</f>
        <v>Surrendered</v>
      </c>
      <c r="G1310" s="5" t="str">
        <f ca="1">IFERROR(__xludf.DUMMYFUNCTION("""COMPUTED_VALUE"""),"No")</f>
        <v>No</v>
      </c>
      <c r="H1310" s="5" t="str">
        <f ca="1">IFERROR(__xludf.DUMMYFUNCTION("""COMPUTED_VALUE"""),"Wounded")</f>
        <v>Wounded</v>
      </c>
    </row>
    <row r="1311" spans="1:8" ht="13">
      <c r="A1311" s="5" t="str">
        <f ca="1">IFERROR(__xludf.DUMMYFUNCTION("""COMPUTED_VALUE"""),"20140910FLGRL")</f>
        <v>20140910FLGRL</v>
      </c>
      <c r="B1311" s="5">
        <f ca="1">IFERROR(__xludf.DUMMYFUNCTION("""COMPUTED_VALUE"""),14)</f>
        <v>14</v>
      </c>
      <c r="C1311" s="5" t="str">
        <f ca="1">IFERROR(__xludf.DUMMYFUNCTION("""COMPUTED_VALUE"""),"Male")</f>
        <v>Male</v>
      </c>
      <c r="D1311" s="5" t="str">
        <f ca="1">IFERROR(__xludf.DUMMYFUNCTION("""COMPUTED_VALUE"""),"Black")</f>
        <v>Black</v>
      </c>
      <c r="E1311" s="5" t="str">
        <f ca="1">IFERROR(__xludf.DUMMYFUNCTION("""COMPUTED_VALUE"""),"Student")</f>
        <v>Student</v>
      </c>
      <c r="F1311" s="5" t="str">
        <f ca="1">IFERROR(__xludf.DUMMYFUNCTION("""COMPUTED_VALUE"""),"Suicide")</f>
        <v>Suicide</v>
      </c>
      <c r="G1311" s="5" t="str">
        <f ca="1">IFERROR(__xludf.DUMMYFUNCTION("""COMPUTED_VALUE"""),"Yes")</f>
        <v>Yes</v>
      </c>
      <c r="H1311" s="5" t="str">
        <f ca="1">IFERROR(__xludf.DUMMYFUNCTION("""COMPUTED_VALUE"""),"Suicide")</f>
        <v>Suicide</v>
      </c>
    </row>
    <row r="1312" spans="1:8" ht="13">
      <c r="A1312" s="5" t="str">
        <f ca="1">IFERROR(__xludf.DUMMYFUNCTION("""COMPUTED_VALUE"""),"20140909FLSTM")</f>
        <v>20140909FLSTM</v>
      </c>
      <c r="B1312" s="5" t="str">
        <f ca="1">IFERROR(__xludf.DUMMYFUNCTION("""COMPUTED_VALUE"""),"Teen")</f>
        <v>Teen</v>
      </c>
      <c r="C1312" s="5" t="str">
        <f ca="1">IFERROR(__xludf.DUMMYFUNCTION("""COMPUTED_VALUE"""),"Male")</f>
        <v>Male</v>
      </c>
      <c r="D1312" s="5" t="str">
        <f ca="1">IFERROR(__xludf.DUMMYFUNCTION("""COMPUTED_VALUE"""),"Black")</f>
        <v>Black</v>
      </c>
      <c r="E1312" s="5" t="str">
        <f ca="1">IFERROR(__xludf.DUMMYFUNCTION("""COMPUTED_VALUE"""),"Student")</f>
        <v>Student</v>
      </c>
      <c r="F1312" s="5" t="str">
        <f ca="1">IFERROR(__xludf.DUMMYFUNCTION("""COMPUTED_VALUE"""),"Fled/Apprehended")</f>
        <v>Fled/Apprehended</v>
      </c>
      <c r="G1312" s="5" t="str">
        <f ca="1">IFERROR(__xludf.DUMMYFUNCTION("""COMPUTED_VALUE"""),"No")</f>
        <v>No</v>
      </c>
      <c r="H1312" s="5" t="str">
        <f ca="1">IFERROR(__xludf.DUMMYFUNCTION("""COMPUTED_VALUE"""),"None")</f>
        <v>None</v>
      </c>
    </row>
    <row r="1313" spans="1:8" ht="13">
      <c r="A1313" s="5" t="str">
        <f ca="1">IFERROR(__xludf.DUMMYFUNCTION("""COMPUTED_VALUE"""),"20140909FLSTM")</f>
        <v>20140909FLSTM</v>
      </c>
      <c r="B1313" s="5" t="str">
        <f ca="1">IFERROR(__xludf.DUMMYFUNCTION("""COMPUTED_VALUE"""),"Teen")</f>
        <v>Teen</v>
      </c>
      <c r="C1313" s="5" t="str">
        <f ca="1">IFERROR(__xludf.DUMMYFUNCTION("""COMPUTED_VALUE"""),"Male")</f>
        <v>Male</v>
      </c>
      <c r="D1313" s="5" t="str">
        <f ca="1">IFERROR(__xludf.DUMMYFUNCTION("""COMPUTED_VALUE"""),"Black")</f>
        <v>Black</v>
      </c>
      <c r="E1313" s="5" t="str">
        <f ca="1">IFERROR(__xludf.DUMMYFUNCTION("""COMPUTED_VALUE"""),"Student")</f>
        <v>Student</v>
      </c>
      <c r="F1313" s="5" t="str">
        <f ca="1">IFERROR(__xludf.DUMMYFUNCTION("""COMPUTED_VALUE"""),"Fled/Apprehended")</f>
        <v>Fled/Apprehended</v>
      </c>
      <c r="G1313" s="5" t="str">
        <f ca="1">IFERROR(__xludf.DUMMYFUNCTION("""COMPUTED_VALUE"""),"No")</f>
        <v>No</v>
      </c>
      <c r="H1313" s="5" t="str">
        <f ca="1">IFERROR(__xludf.DUMMYFUNCTION("""COMPUTED_VALUE"""),"None")</f>
        <v>None</v>
      </c>
    </row>
    <row r="1314" spans="1:8" ht="13">
      <c r="A1314" s="5" t="str">
        <f ca="1">IFERROR(__xludf.DUMMYFUNCTION("""COMPUTED_VALUE"""),"20140909FLSTM")</f>
        <v>20140909FLSTM</v>
      </c>
      <c r="B1314" s="5" t="str">
        <f ca="1">IFERROR(__xludf.DUMMYFUNCTION("""COMPUTED_VALUE"""),"Teen")</f>
        <v>Teen</v>
      </c>
      <c r="C1314" s="5" t="str">
        <f ca="1">IFERROR(__xludf.DUMMYFUNCTION("""COMPUTED_VALUE"""),"Male")</f>
        <v>Male</v>
      </c>
      <c r="D1314" s="5" t="str">
        <f ca="1">IFERROR(__xludf.DUMMYFUNCTION("""COMPUTED_VALUE"""),"Black")</f>
        <v>Black</v>
      </c>
      <c r="E1314" s="5" t="str">
        <f ca="1">IFERROR(__xludf.DUMMYFUNCTION("""COMPUTED_VALUE"""),"Student")</f>
        <v>Student</v>
      </c>
      <c r="F1314" s="5" t="str">
        <f ca="1">IFERROR(__xludf.DUMMYFUNCTION("""COMPUTED_VALUE"""),"Fled/Apprehended")</f>
        <v>Fled/Apprehended</v>
      </c>
      <c r="G1314" s="5" t="str">
        <f ca="1">IFERROR(__xludf.DUMMYFUNCTION("""COMPUTED_VALUE"""),"No")</f>
        <v>No</v>
      </c>
      <c r="H1314" s="5" t="str">
        <f ca="1">IFERROR(__xludf.DUMMYFUNCTION("""COMPUTED_VALUE"""),"None")</f>
        <v>None</v>
      </c>
    </row>
    <row r="1315" spans="1:8" ht="13">
      <c r="A1315" s="5" t="str">
        <f ca="1">IFERROR(__xludf.DUMMYFUNCTION("""COMPUTED_VALUE"""),"20140909FLSTM")</f>
        <v>20140909FLSTM</v>
      </c>
      <c r="B1315" s="5" t="str">
        <f ca="1">IFERROR(__xludf.DUMMYFUNCTION("""COMPUTED_VALUE"""),"Teen")</f>
        <v>Teen</v>
      </c>
      <c r="C1315" s="5" t="str">
        <f ca="1">IFERROR(__xludf.DUMMYFUNCTION("""COMPUTED_VALUE"""),"Male")</f>
        <v>Male</v>
      </c>
      <c r="D1315" s="5" t="str">
        <f ca="1">IFERROR(__xludf.DUMMYFUNCTION("""COMPUTED_VALUE"""),"Black")</f>
        <v>Black</v>
      </c>
      <c r="E1315" s="5" t="str">
        <f ca="1">IFERROR(__xludf.DUMMYFUNCTION("""COMPUTED_VALUE"""),"Student")</f>
        <v>Student</v>
      </c>
      <c r="F1315" s="5" t="str">
        <f ca="1">IFERROR(__xludf.DUMMYFUNCTION("""COMPUTED_VALUE"""),"Fled/Apprehended")</f>
        <v>Fled/Apprehended</v>
      </c>
      <c r="G1315" s="5" t="str">
        <f ca="1">IFERROR(__xludf.DUMMYFUNCTION("""COMPUTED_VALUE"""),"No")</f>
        <v>No</v>
      </c>
      <c r="H1315" s="5" t="str">
        <f ca="1">IFERROR(__xludf.DUMMYFUNCTION("""COMPUTED_VALUE"""),"None")</f>
        <v>None</v>
      </c>
    </row>
    <row r="1316" spans="1:8" ht="13">
      <c r="A1316" s="5" t="str">
        <f ca="1">IFERROR(__xludf.DUMMYFUNCTION("""COMPUTED_VALUE"""),"20140909FLSTM")</f>
        <v>20140909FLSTM</v>
      </c>
      <c r="B1316" s="5" t="str">
        <f ca="1">IFERROR(__xludf.DUMMYFUNCTION("""COMPUTED_VALUE"""),"Teen")</f>
        <v>Teen</v>
      </c>
      <c r="C1316" s="5" t="str">
        <f ca="1">IFERROR(__xludf.DUMMYFUNCTION("""COMPUTED_VALUE"""),"Male")</f>
        <v>Male</v>
      </c>
      <c r="D1316" s="5" t="str">
        <f ca="1">IFERROR(__xludf.DUMMYFUNCTION("""COMPUTED_VALUE"""),"Black")</f>
        <v>Black</v>
      </c>
      <c r="E1316" s="5" t="str">
        <f ca="1">IFERROR(__xludf.DUMMYFUNCTION("""COMPUTED_VALUE"""),"Student")</f>
        <v>Student</v>
      </c>
      <c r="F1316" s="5" t="str">
        <f ca="1">IFERROR(__xludf.DUMMYFUNCTION("""COMPUTED_VALUE"""),"Fled/Apprehended")</f>
        <v>Fled/Apprehended</v>
      </c>
      <c r="G1316" s="5" t="str">
        <f ca="1">IFERROR(__xludf.DUMMYFUNCTION("""COMPUTED_VALUE"""),"No")</f>
        <v>No</v>
      </c>
      <c r="H1316" s="5" t="str">
        <f ca="1">IFERROR(__xludf.DUMMYFUNCTION("""COMPUTED_VALUE"""),"None")</f>
        <v>None</v>
      </c>
    </row>
    <row r="1317" spans="1:8" ht="13">
      <c r="A1317" s="5" t="str">
        <f ca="1">IFERROR(__xludf.DUMMYFUNCTION("""COMPUTED_VALUE"""),"20140814VASAN")</f>
        <v>20140814VASAN</v>
      </c>
      <c r="B1317" s="5">
        <f ca="1">IFERROR(__xludf.DUMMYFUNCTION("""COMPUTED_VALUE"""),17)</f>
        <v>17</v>
      </c>
      <c r="C1317" s="5" t="str">
        <f ca="1">IFERROR(__xludf.DUMMYFUNCTION("""COMPUTED_VALUE"""),"Male")</f>
        <v>Male</v>
      </c>
      <c r="D1317" s="5"/>
      <c r="E1317" s="5" t="str">
        <f ca="1">IFERROR(__xludf.DUMMYFUNCTION("""COMPUTED_VALUE"""),"Unknown")</f>
        <v>Unknown</v>
      </c>
      <c r="F1317" s="5" t="str">
        <f ca="1">IFERROR(__xludf.DUMMYFUNCTION("""COMPUTED_VALUE"""),"Fled/Apprehended")</f>
        <v>Fled/Apprehended</v>
      </c>
      <c r="G1317" s="5" t="str">
        <f ca="1">IFERROR(__xludf.DUMMYFUNCTION("""COMPUTED_VALUE"""),"No")</f>
        <v>No</v>
      </c>
      <c r="H1317" s="5" t="str">
        <f ca="1">IFERROR(__xludf.DUMMYFUNCTION("""COMPUTED_VALUE"""),"None")</f>
        <v>None</v>
      </c>
    </row>
    <row r="1318" spans="1:8" ht="13">
      <c r="A1318" s="5" t="str">
        <f ca="1">IFERROR(__xludf.DUMMYFUNCTION("""COMPUTED_VALUE"""),"20140813MDHEF")</f>
        <v>20140813MDHEF</v>
      </c>
      <c r="B1318" s="5">
        <f ca="1">IFERROR(__xludf.DUMMYFUNCTION("""COMPUTED_VALUE"""),16)</f>
        <v>16</v>
      </c>
      <c r="C1318" s="5" t="str">
        <f ca="1">IFERROR(__xludf.DUMMYFUNCTION("""COMPUTED_VALUE"""),"Male")</f>
        <v>Male</v>
      </c>
      <c r="D1318" s="5" t="str">
        <f ca="1">IFERROR(__xludf.DUMMYFUNCTION("""COMPUTED_VALUE"""),"Black")</f>
        <v>Black</v>
      </c>
      <c r="E1318" s="5" t="str">
        <f ca="1">IFERROR(__xludf.DUMMYFUNCTION("""COMPUTED_VALUE"""),"Unknown")</f>
        <v>Unknown</v>
      </c>
      <c r="F1318" s="5" t="str">
        <f ca="1">IFERROR(__xludf.DUMMYFUNCTION("""COMPUTED_VALUE"""),"Fled/Apprehended")</f>
        <v>Fled/Apprehended</v>
      </c>
      <c r="G1318" s="5" t="str">
        <f ca="1">IFERROR(__xludf.DUMMYFUNCTION("""COMPUTED_VALUE"""),"No")</f>
        <v>No</v>
      </c>
      <c r="H1318" s="5" t="str">
        <f ca="1">IFERROR(__xludf.DUMMYFUNCTION("""COMPUTED_VALUE"""),"None")</f>
        <v>None</v>
      </c>
    </row>
    <row r="1319" spans="1:8" ht="13">
      <c r="A1319" s="5" t="str">
        <f ca="1">IFERROR(__xludf.DUMMYFUNCTION("""COMPUTED_VALUE"""),"20140813MDHEF")</f>
        <v>20140813MDHEF</v>
      </c>
      <c r="B1319" s="5">
        <f ca="1">IFERROR(__xludf.DUMMYFUNCTION("""COMPUTED_VALUE"""),21)</f>
        <v>21</v>
      </c>
      <c r="C1319" s="5" t="str">
        <f ca="1">IFERROR(__xludf.DUMMYFUNCTION("""COMPUTED_VALUE"""),"Male")</f>
        <v>Male</v>
      </c>
      <c r="D1319" s="5" t="str">
        <f ca="1">IFERROR(__xludf.DUMMYFUNCTION("""COMPUTED_VALUE"""),"Black")</f>
        <v>Black</v>
      </c>
      <c r="E1319" s="5" t="str">
        <f ca="1">IFERROR(__xludf.DUMMYFUNCTION("""COMPUTED_VALUE"""),"Unknown")</f>
        <v>Unknown</v>
      </c>
      <c r="F1319" s="5" t="str">
        <f ca="1">IFERROR(__xludf.DUMMYFUNCTION("""COMPUTED_VALUE"""),"Fled/Apprehended")</f>
        <v>Fled/Apprehended</v>
      </c>
      <c r="G1319" s="5" t="str">
        <f ca="1">IFERROR(__xludf.DUMMYFUNCTION("""COMPUTED_VALUE"""),"No")</f>
        <v>No</v>
      </c>
      <c r="H1319" s="5" t="str">
        <f ca="1">IFERROR(__xludf.DUMMYFUNCTION("""COMPUTED_VALUE"""),"None")</f>
        <v>None</v>
      </c>
    </row>
    <row r="1320" spans="1:8" ht="13">
      <c r="A1320" s="5" t="str">
        <f ca="1">IFERROR(__xludf.DUMMYFUNCTION("""COMPUTED_VALUE"""),"20140623MOKEB")</f>
        <v>20140623MOKEB</v>
      </c>
      <c r="B1320" s="5" t="str">
        <f ca="1">IFERROR(__xludf.DUMMYFUNCTION("""COMPUTED_VALUE"""),"Teen")</f>
        <v>Teen</v>
      </c>
      <c r="C1320" s="5" t="str">
        <f ca="1">IFERROR(__xludf.DUMMYFUNCTION("""COMPUTED_VALUE"""),"Male")</f>
        <v>Male</v>
      </c>
      <c r="D1320" s="5"/>
      <c r="E1320" s="5" t="str">
        <f ca="1">IFERROR(__xludf.DUMMYFUNCTION("""COMPUTED_VALUE"""),"Student")</f>
        <v>Student</v>
      </c>
      <c r="F1320" s="5" t="str">
        <f ca="1">IFERROR(__xludf.DUMMYFUNCTION("""COMPUTED_VALUE"""),"Surrendered")</f>
        <v>Surrendered</v>
      </c>
      <c r="G1320" s="5" t="str">
        <f ca="1">IFERROR(__xludf.DUMMYFUNCTION("""COMPUTED_VALUE"""),"No")</f>
        <v>No</v>
      </c>
      <c r="H1320" s="5" t="str">
        <f ca="1">IFERROR(__xludf.DUMMYFUNCTION("""COMPUTED_VALUE"""),"None")</f>
        <v>None</v>
      </c>
    </row>
    <row r="1321" spans="1:8" ht="13">
      <c r="A1321" s="5" t="str">
        <f ca="1">IFERROR(__xludf.DUMMYFUNCTION("""COMPUTED_VALUE"""),"20140610ORRET")</f>
        <v>20140610ORRET</v>
      </c>
      <c r="B1321" s="5">
        <f ca="1">IFERROR(__xludf.DUMMYFUNCTION("""COMPUTED_VALUE"""),15)</f>
        <v>15</v>
      </c>
      <c r="C1321" s="5" t="str">
        <f ca="1">IFERROR(__xludf.DUMMYFUNCTION("""COMPUTED_VALUE"""),"Male")</f>
        <v>Male</v>
      </c>
      <c r="D1321" s="5" t="str">
        <f ca="1">IFERROR(__xludf.DUMMYFUNCTION("""COMPUTED_VALUE"""),"White")</f>
        <v>White</v>
      </c>
      <c r="E1321" s="5" t="str">
        <f ca="1">IFERROR(__xludf.DUMMYFUNCTION("""COMPUTED_VALUE"""),"Student")</f>
        <v>Student</v>
      </c>
      <c r="F1321" s="5" t="str">
        <f ca="1">IFERROR(__xludf.DUMMYFUNCTION("""COMPUTED_VALUE"""),"Suicide")</f>
        <v>Suicide</v>
      </c>
      <c r="G1321" s="5" t="str">
        <f ca="1">IFERROR(__xludf.DUMMYFUNCTION("""COMPUTED_VALUE"""),"Yes")</f>
        <v>Yes</v>
      </c>
      <c r="H1321" s="5" t="str">
        <f ca="1">IFERROR(__xludf.DUMMYFUNCTION("""COMPUTED_VALUE"""),"Suicide")</f>
        <v>Suicide</v>
      </c>
    </row>
    <row r="1322" spans="1:8" ht="13">
      <c r="A1322" s="5" t="str">
        <f ca="1">IFERROR(__xludf.DUMMYFUNCTION("""COMPUTED_VALUE"""),"20140521WICLM")</f>
        <v>20140521WICLM</v>
      </c>
      <c r="B1322" s="5">
        <f ca="1">IFERROR(__xludf.DUMMYFUNCTION("""COMPUTED_VALUE"""),18)</f>
        <v>18</v>
      </c>
      <c r="C1322" s="5" t="str">
        <f ca="1">IFERROR(__xludf.DUMMYFUNCTION("""COMPUTED_VALUE"""),"Male")</f>
        <v>Male</v>
      </c>
      <c r="D1322" s="5" t="str">
        <f ca="1">IFERROR(__xludf.DUMMYFUNCTION("""COMPUTED_VALUE"""),"Black")</f>
        <v>Black</v>
      </c>
      <c r="E1322" s="5" t="str">
        <f ca="1">IFERROR(__xludf.DUMMYFUNCTION("""COMPUTED_VALUE"""),"No Relation")</f>
        <v>No Relation</v>
      </c>
      <c r="F1322" s="5" t="str">
        <f ca="1">IFERROR(__xludf.DUMMYFUNCTION("""COMPUTED_VALUE"""),"Fled/Apprehended")</f>
        <v>Fled/Apprehended</v>
      </c>
      <c r="G1322" s="5" t="str">
        <f ca="1">IFERROR(__xludf.DUMMYFUNCTION("""COMPUTED_VALUE"""),"No")</f>
        <v>No</v>
      </c>
      <c r="H1322" s="5" t="str">
        <f ca="1">IFERROR(__xludf.DUMMYFUNCTION("""COMPUTED_VALUE"""),"None")</f>
        <v>None</v>
      </c>
    </row>
    <row r="1323" spans="1:8" ht="13">
      <c r="A1323" s="5" t="str">
        <f ca="1">IFERROR(__xludf.DUMMYFUNCTION("""COMPUTED_VALUE"""),"20140514CAJOR")</f>
        <v>20140514CAJOR</v>
      </c>
      <c r="B1323" s="5"/>
      <c r="C1323" s="5" t="str">
        <f ca="1">IFERROR(__xludf.DUMMYFUNCTION("""COMPUTED_VALUE"""),"Male")</f>
        <v>Male</v>
      </c>
      <c r="D1323" s="5" t="str">
        <f ca="1">IFERROR(__xludf.DUMMYFUNCTION("""COMPUTED_VALUE"""),"Black")</f>
        <v>Black</v>
      </c>
      <c r="E1323" s="5" t="str">
        <f ca="1">IFERROR(__xludf.DUMMYFUNCTION("""COMPUTED_VALUE"""),"Unknown")</f>
        <v>Unknown</v>
      </c>
      <c r="F1323" s="5" t="str">
        <f ca="1">IFERROR(__xludf.DUMMYFUNCTION("""COMPUTED_VALUE"""),"Fled/Escaped")</f>
        <v>Fled/Escaped</v>
      </c>
      <c r="G1323" s="5" t="str">
        <f ca="1">IFERROR(__xludf.DUMMYFUNCTION("""COMPUTED_VALUE"""),"No")</f>
        <v>No</v>
      </c>
      <c r="H1323" s="5" t="str">
        <f ca="1">IFERROR(__xludf.DUMMYFUNCTION("""COMPUTED_VALUE"""),"None")</f>
        <v>None</v>
      </c>
    </row>
    <row r="1324" spans="1:8" ht="13">
      <c r="A1324" s="5" t="str">
        <f ca="1">IFERROR(__xludf.DUMMYFUNCTION("""COMPUTED_VALUE"""),"20140503WAHOE")</f>
        <v>20140503WAHOE</v>
      </c>
      <c r="B1324" s="5"/>
      <c r="C1324" s="5" t="str">
        <f ca="1">IFERROR(__xludf.DUMMYFUNCTION("""COMPUTED_VALUE"""),"Male")</f>
        <v>Male</v>
      </c>
      <c r="D1324" s="5"/>
      <c r="E1324" s="5" t="str">
        <f ca="1">IFERROR(__xludf.DUMMYFUNCTION("""COMPUTED_VALUE"""),"Nonstudent Using Athletic Facilities/Attending Game")</f>
        <v>Nonstudent Using Athletic Facilities/Attending Game</v>
      </c>
      <c r="F1324" s="5" t="str">
        <f ca="1">IFERROR(__xludf.DUMMYFUNCTION("""COMPUTED_VALUE"""),"Fled/Escaped")</f>
        <v>Fled/Escaped</v>
      </c>
      <c r="G1324" s="5" t="str">
        <f ca="1">IFERROR(__xludf.DUMMYFUNCTION("""COMPUTED_VALUE"""),"No")</f>
        <v>No</v>
      </c>
      <c r="H1324" s="5" t="str">
        <f ca="1">IFERROR(__xludf.DUMMYFUNCTION("""COMPUTED_VALUE"""),"None")</f>
        <v>None</v>
      </c>
    </row>
    <row r="1325" spans="1:8" ht="13">
      <c r="A1325" s="5" t="str">
        <f ca="1">IFERROR(__xludf.DUMMYFUNCTION("""COMPUTED_VALUE"""),"20140421UTPRP")</f>
        <v>20140421UTPRP</v>
      </c>
      <c r="B1325" s="5">
        <f ca="1">IFERROR(__xludf.DUMMYFUNCTION("""COMPUTED_VALUE"""),14)</f>
        <v>14</v>
      </c>
      <c r="C1325" s="5" t="str">
        <f ca="1">IFERROR(__xludf.DUMMYFUNCTION("""COMPUTED_VALUE"""),"Male")</f>
        <v>Male</v>
      </c>
      <c r="D1325" s="5"/>
      <c r="E1325" s="5" t="str">
        <f ca="1">IFERROR(__xludf.DUMMYFUNCTION("""COMPUTED_VALUE"""),"Student")</f>
        <v>Student</v>
      </c>
      <c r="F1325" s="5" t="str">
        <f ca="1">IFERROR(__xludf.DUMMYFUNCTION("""COMPUTED_VALUE"""),"Surrendered")</f>
        <v>Surrendered</v>
      </c>
      <c r="G1325" s="5" t="str">
        <f ca="1">IFERROR(__xludf.DUMMYFUNCTION("""COMPUTED_VALUE"""),"No")</f>
        <v>No</v>
      </c>
      <c r="H1325" s="5" t="str">
        <f ca="1">IFERROR(__xludf.DUMMYFUNCTION("""COMPUTED_VALUE"""),"Wounded")</f>
        <v>Wounded</v>
      </c>
    </row>
    <row r="1326" spans="1:8" ht="13">
      <c r="A1326" s="5" t="str">
        <f ca="1">IFERROR(__xludf.DUMMYFUNCTION("""COMPUTED_VALUE"""),"20140421INSTG")</f>
        <v>20140421INSTG</v>
      </c>
      <c r="B1326" s="5">
        <f ca="1">IFERROR(__xludf.DUMMYFUNCTION("""COMPUTED_VALUE"""),55)</f>
        <v>55</v>
      </c>
      <c r="C1326" s="5" t="str">
        <f ca="1">IFERROR(__xludf.DUMMYFUNCTION("""COMPUTED_VALUE"""),"Male")</f>
        <v>Male</v>
      </c>
      <c r="D1326" s="5" t="str">
        <f ca="1">IFERROR(__xludf.DUMMYFUNCTION("""COMPUTED_VALUE"""),"Hispanic")</f>
        <v>Hispanic</v>
      </c>
      <c r="E1326" s="5" t="str">
        <f ca="1">IFERROR(__xludf.DUMMYFUNCTION("""COMPUTED_VALUE"""),"Parent")</f>
        <v>Parent</v>
      </c>
      <c r="F1326" s="5" t="str">
        <f ca="1">IFERROR(__xludf.DUMMYFUNCTION("""COMPUTED_VALUE"""),"Fled/Escaped")</f>
        <v>Fled/Escaped</v>
      </c>
      <c r="G1326" s="5" t="str">
        <f ca="1">IFERROR(__xludf.DUMMYFUNCTION("""COMPUTED_VALUE"""),"Yes")</f>
        <v>Yes</v>
      </c>
      <c r="H1326" s="5" t="str">
        <f ca="1">IFERROR(__xludf.DUMMYFUNCTION("""COMPUTED_VALUE"""),"Suicide")</f>
        <v>Suicide</v>
      </c>
    </row>
    <row r="1327" spans="1:8" ht="13">
      <c r="A1327" s="5" t="str">
        <f ca="1">IFERROR(__xludf.DUMMYFUNCTION("""COMPUTED_VALUE"""),"20140411MIEAD")</f>
        <v>20140411MIEAD</v>
      </c>
      <c r="B1327" s="5"/>
      <c r="C1327" s="5" t="str">
        <f ca="1">IFERROR(__xludf.DUMMYFUNCTION("""COMPUTED_VALUE"""),"Male")</f>
        <v>Male</v>
      </c>
      <c r="D1327" s="5" t="str">
        <f ca="1">IFERROR(__xludf.DUMMYFUNCTION("""COMPUTED_VALUE"""),"Black")</f>
        <v>Black</v>
      </c>
      <c r="E1327" s="5" t="str">
        <f ca="1">IFERROR(__xludf.DUMMYFUNCTION("""COMPUTED_VALUE"""),"Unknown")</f>
        <v>Unknown</v>
      </c>
      <c r="F1327" s="5" t="str">
        <f ca="1">IFERROR(__xludf.DUMMYFUNCTION("""COMPUTED_VALUE"""),"Fled/Escaped")</f>
        <v>Fled/Escaped</v>
      </c>
      <c r="G1327" s="5" t="str">
        <f ca="1">IFERROR(__xludf.DUMMYFUNCTION("""COMPUTED_VALUE"""),"No")</f>
        <v>No</v>
      </c>
      <c r="H1327" s="5" t="str">
        <f ca="1">IFERROR(__xludf.DUMMYFUNCTION("""COMPUTED_VALUE"""),"None")</f>
        <v>None</v>
      </c>
    </row>
    <row r="1328" spans="1:8" ht="13">
      <c r="A1328" s="5" t="str">
        <f ca="1">IFERROR(__xludf.DUMMYFUNCTION("""COMPUTED_VALUE"""),"20140410OHLIC")</f>
        <v>20140410OHLIC</v>
      </c>
      <c r="B1328" s="5">
        <f ca="1">IFERROR(__xludf.DUMMYFUNCTION("""COMPUTED_VALUE"""),48)</f>
        <v>48</v>
      </c>
      <c r="C1328" s="5" t="str">
        <f ca="1">IFERROR(__xludf.DUMMYFUNCTION("""COMPUTED_VALUE"""),"Male")</f>
        <v>Male</v>
      </c>
      <c r="D1328" s="5" t="str">
        <f ca="1">IFERROR(__xludf.DUMMYFUNCTION("""COMPUTED_VALUE"""),"Black")</f>
        <v>Black</v>
      </c>
      <c r="E1328" s="5" t="str">
        <f ca="1">IFERROR(__xludf.DUMMYFUNCTION("""COMPUTED_VALUE"""),"No Relation")</f>
        <v>No Relation</v>
      </c>
      <c r="F1328" s="5" t="str">
        <f ca="1">IFERROR(__xludf.DUMMYFUNCTION("""COMPUTED_VALUE"""),"Fled/Apprehended")</f>
        <v>Fled/Apprehended</v>
      </c>
      <c r="G1328" s="5" t="str">
        <f ca="1">IFERROR(__xludf.DUMMYFUNCTION("""COMPUTED_VALUE"""),"No")</f>
        <v>No</v>
      </c>
      <c r="H1328" s="5" t="str">
        <f ca="1">IFERROR(__xludf.DUMMYFUNCTION("""COMPUTED_VALUE"""),"None")</f>
        <v>None</v>
      </c>
    </row>
    <row r="1329" spans="1:8" ht="13">
      <c r="A1329" s="5" t="str">
        <f ca="1">IFERROR(__xludf.DUMMYFUNCTION("""COMPUTED_VALUE"""),"20140409NCDHG")</f>
        <v>20140409NCDHG</v>
      </c>
      <c r="B1329" s="5">
        <f ca="1">IFERROR(__xludf.DUMMYFUNCTION("""COMPUTED_VALUE"""),17)</f>
        <v>17</v>
      </c>
      <c r="C1329" s="5" t="str">
        <f ca="1">IFERROR(__xludf.DUMMYFUNCTION("""COMPUTED_VALUE"""),"Male")</f>
        <v>Male</v>
      </c>
      <c r="D1329" s="5" t="str">
        <f ca="1">IFERROR(__xludf.DUMMYFUNCTION("""COMPUTED_VALUE"""),"Black")</f>
        <v>Black</v>
      </c>
      <c r="E1329" s="5" t="str">
        <f ca="1">IFERROR(__xludf.DUMMYFUNCTION("""COMPUTED_VALUE"""),"Rival School Student")</f>
        <v>Rival School Student</v>
      </c>
      <c r="F1329" s="5" t="str">
        <f ca="1">IFERROR(__xludf.DUMMYFUNCTION("""COMPUTED_VALUE"""),"Fled/Apprehended")</f>
        <v>Fled/Apprehended</v>
      </c>
      <c r="G1329" s="5" t="str">
        <f ca="1">IFERROR(__xludf.DUMMYFUNCTION("""COMPUTED_VALUE"""),"No")</f>
        <v>No</v>
      </c>
      <c r="H1329" s="5" t="str">
        <f ca="1">IFERROR(__xludf.DUMMYFUNCTION("""COMPUTED_VALUE"""),"None")</f>
        <v>None</v>
      </c>
    </row>
    <row r="1330" spans="1:8" ht="13">
      <c r="A1330" s="5" t="str">
        <f ca="1">IFERROR(__xludf.DUMMYFUNCTION("""COMPUTED_VALUE"""),"20140403NJUNN")</f>
        <v>20140403NJUNN</v>
      </c>
      <c r="B1330" s="5" t="str">
        <f ca="1">IFERROR(__xludf.DUMMYFUNCTION("""COMPUTED_VALUE"""),"Adult")</f>
        <v>Adult</v>
      </c>
      <c r="C1330" s="5" t="str">
        <f ca="1">IFERROR(__xludf.DUMMYFUNCTION("""COMPUTED_VALUE"""),"Male")</f>
        <v>Male</v>
      </c>
      <c r="D1330" s="5" t="str">
        <f ca="1">IFERROR(__xludf.DUMMYFUNCTION("""COMPUTED_VALUE"""),"Hispanic")</f>
        <v>Hispanic</v>
      </c>
      <c r="E1330" s="5" t="str">
        <f ca="1">IFERROR(__xludf.DUMMYFUNCTION("""COMPUTED_VALUE"""),"No Relation")</f>
        <v>No Relation</v>
      </c>
      <c r="F1330" s="5" t="str">
        <f ca="1">IFERROR(__xludf.DUMMYFUNCTION("""COMPUTED_VALUE"""),"Fled/Escaped")</f>
        <v>Fled/Escaped</v>
      </c>
      <c r="G1330" s="5" t="str">
        <f ca="1">IFERROR(__xludf.DUMMYFUNCTION("""COMPUTED_VALUE"""),"No")</f>
        <v>No</v>
      </c>
      <c r="H1330" s="5" t="str">
        <f ca="1">IFERROR(__xludf.DUMMYFUNCTION("""COMPUTED_VALUE"""),"None")</f>
        <v>None</v>
      </c>
    </row>
    <row r="1331" spans="1:8" ht="13">
      <c r="A1331" s="5" t="str">
        <f ca="1">IFERROR(__xludf.DUMMYFUNCTION("""COMPUTED_VALUE"""),"20140325GABEC")</f>
        <v>20140325GABEC</v>
      </c>
      <c r="B1331" s="5">
        <f ca="1">IFERROR(__xludf.DUMMYFUNCTION("""COMPUTED_VALUE"""),15)</f>
        <v>15</v>
      </c>
      <c r="C1331" s="5" t="str">
        <f ca="1">IFERROR(__xludf.DUMMYFUNCTION("""COMPUTED_VALUE"""),"Male")</f>
        <v>Male</v>
      </c>
      <c r="D1331" s="5" t="str">
        <f ca="1">IFERROR(__xludf.DUMMYFUNCTION("""COMPUTED_VALUE"""),"Black")</f>
        <v>Black</v>
      </c>
      <c r="E1331" s="5" t="str">
        <f ca="1">IFERROR(__xludf.DUMMYFUNCTION("""COMPUTED_VALUE"""),"Student")</f>
        <v>Student</v>
      </c>
      <c r="F1331" s="5" t="str">
        <f ca="1">IFERROR(__xludf.DUMMYFUNCTION("""COMPUTED_VALUE"""),"Fled/Apprehended")</f>
        <v>Fled/Apprehended</v>
      </c>
      <c r="G1331" s="5" t="str">
        <f ca="1">IFERROR(__xludf.DUMMYFUNCTION("""COMPUTED_VALUE"""),"No")</f>
        <v>No</v>
      </c>
      <c r="H1331" s="5" t="str">
        <f ca="1">IFERROR(__xludf.DUMMYFUNCTION("""COMPUTED_VALUE"""),"None")</f>
        <v>None</v>
      </c>
    </row>
    <row r="1332" spans="1:8" ht="13">
      <c r="A1332" s="5" t="str">
        <f ca="1">IFERROR(__xludf.DUMMYFUNCTION("""COMPUTED_VALUE"""),"20140325GABEC")</f>
        <v>20140325GABEC</v>
      </c>
      <c r="B1332" s="5">
        <f ca="1">IFERROR(__xludf.DUMMYFUNCTION("""COMPUTED_VALUE"""),15)</f>
        <v>15</v>
      </c>
      <c r="C1332" s="5" t="str">
        <f ca="1">IFERROR(__xludf.DUMMYFUNCTION("""COMPUTED_VALUE"""),"Male")</f>
        <v>Male</v>
      </c>
      <c r="D1332" s="5" t="str">
        <f ca="1">IFERROR(__xludf.DUMMYFUNCTION("""COMPUTED_VALUE"""),"Black")</f>
        <v>Black</v>
      </c>
      <c r="E1332" s="5" t="str">
        <f ca="1">IFERROR(__xludf.DUMMYFUNCTION("""COMPUTED_VALUE"""),"Student")</f>
        <v>Student</v>
      </c>
      <c r="F1332" s="5" t="str">
        <f ca="1">IFERROR(__xludf.DUMMYFUNCTION("""COMPUTED_VALUE"""),"Fled/Apprehended")</f>
        <v>Fled/Apprehended</v>
      </c>
      <c r="G1332" s="5" t="str">
        <f ca="1">IFERROR(__xludf.DUMMYFUNCTION("""COMPUTED_VALUE"""),"No")</f>
        <v>No</v>
      </c>
      <c r="H1332" s="5" t="str">
        <f ca="1">IFERROR(__xludf.DUMMYFUNCTION("""COMPUTED_VALUE"""),"None")</f>
        <v>None</v>
      </c>
    </row>
    <row r="1333" spans="1:8" ht="13">
      <c r="A1333" s="5" t="str">
        <f ca="1">IFERROR(__xludf.DUMMYFUNCTION("""COMPUTED_VALUE"""),"20140312FLACM")</f>
        <v>20140312FLACM</v>
      </c>
      <c r="B1333" s="5">
        <f ca="1">IFERROR(__xludf.DUMMYFUNCTION("""COMPUTED_VALUE"""),41)</f>
        <v>41</v>
      </c>
      <c r="C1333" s="5" t="str">
        <f ca="1">IFERROR(__xludf.DUMMYFUNCTION("""COMPUTED_VALUE"""),"Male")</f>
        <v>Male</v>
      </c>
      <c r="D1333" s="5" t="str">
        <f ca="1">IFERROR(__xludf.DUMMYFUNCTION("""COMPUTED_VALUE"""),"Black")</f>
        <v>Black</v>
      </c>
      <c r="E1333" s="5" t="str">
        <f ca="1">IFERROR(__xludf.DUMMYFUNCTION("""COMPUTED_VALUE"""),"No Relation")</f>
        <v>No Relation</v>
      </c>
      <c r="F1333" s="5" t="str">
        <f ca="1">IFERROR(__xludf.DUMMYFUNCTION("""COMPUTED_VALUE"""),"Fled/Apprehended")</f>
        <v>Fled/Apprehended</v>
      </c>
      <c r="G1333" s="5" t="str">
        <f ca="1">IFERROR(__xludf.DUMMYFUNCTION("""COMPUTED_VALUE"""),"No")</f>
        <v>No</v>
      </c>
      <c r="H1333" s="5" t="str">
        <f ca="1">IFERROR(__xludf.DUMMYFUNCTION("""COMPUTED_VALUE"""),"None")</f>
        <v>None</v>
      </c>
    </row>
    <row r="1334" spans="1:8" ht="13">
      <c r="A1334" s="5" t="str">
        <f ca="1">IFERROR(__xludf.DUMMYFUNCTION("""COMPUTED_VALUE"""),"20140307LAMAT")</f>
        <v>20140307LAMAT</v>
      </c>
      <c r="B1334" s="5">
        <f ca="1">IFERROR(__xludf.DUMMYFUNCTION("""COMPUTED_VALUE"""),17)</f>
        <v>17</v>
      </c>
      <c r="C1334" s="5" t="str">
        <f ca="1">IFERROR(__xludf.DUMMYFUNCTION("""COMPUTED_VALUE"""),"Male")</f>
        <v>Male</v>
      </c>
      <c r="D1334" s="5" t="str">
        <f ca="1">IFERROR(__xludf.DUMMYFUNCTION("""COMPUTED_VALUE"""),"Black")</f>
        <v>Black</v>
      </c>
      <c r="E1334" s="5" t="str">
        <f ca="1">IFERROR(__xludf.DUMMYFUNCTION("""COMPUTED_VALUE"""),"Unknown")</f>
        <v>Unknown</v>
      </c>
      <c r="F1334" s="5" t="str">
        <f ca="1">IFERROR(__xludf.DUMMYFUNCTION("""COMPUTED_VALUE"""),"Unknown")</f>
        <v>Unknown</v>
      </c>
      <c r="G1334" s="5" t="str">
        <f ca="1">IFERROR(__xludf.DUMMYFUNCTION("""COMPUTED_VALUE"""),"No")</f>
        <v>No</v>
      </c>
      <c r="H1334" s="5" t="str">
        <f ca="1">IFERROR(__xludf.DUMMYFUNCTION("""COMPUTED_VALUE"""),"None")</f>
        <v>None</v>
      </c>
    </row>
    <row r="1335" spans="1:8" ht="13">
      <c r="A1335" s="5" t="str">
        <f ca="1">IFERROR(__xludf.DUMMYFUNCTION("""COMPUTED_VALUE"""),"20140220MIRAR")</f>
        <v>20140220MIRAR</v>
      </c>
      <c r="B1335" s="5">
        <f ca="1">IFERROR(__xludf.DUMMYFUNCTION("""COMPUTED_VALUE"""),42)</f>
        <v>42</v>
      </c>
      <c r="C1335" s="5" t="str">
        <f ca="1">IFERROR(__xludf.DUMMYFUNCTION("""COMPUTED_VALUE"""),"Male")</f>
        <v>Male</v>
      </c>
      <c r="D1335" s="5" t="str">
        <f ca="1">IFERROR(__xludf.DUMMYFUNCTION("""COMPUTED_VALUE"""),"Black")</f>
        <v>Black</v>
      </c>
      <c r="E1335" s="5" t="str">
        <f ca="1">IFERROR(__xludf.DUMMYFUNCTION("""COMPUTED_VALUE"""),"Parent")</f>
        <v>Parent</v>
      </c>
      <c r="F1335" s="5" t="str">
        <f ca="1">IFERROR(__xludf.DUMMYFUNCTION("""COMPUTED_VALUE"""),"Surrendered")</f>
        <v>Surrendered</v>
      </c>
      <c r="G1335" s="5" t="str">
        <f ca="1">IFERROR(__xludf.DUMMYFUNCTION("""COMPUTED_VALUE"""),"No")</f>
        <v>No</v>
      </c>
      <c r="H1335" s="5" t="str">
        <f ca="1">IFERROR(__xludf.DUMMYFUNCTION("""COMPUTED_VALUE"""),"None")</f>
        <v>None</v>
      </c>
    </row>
    <row r="1336" spans="1:8" ht="13">
      <c r="A1336" s="5" t="str">
        <f ca="1">IFERROR(__xludf.DUMMYFUNCTION("""COMPUTED_VALUE"""),"20140211OHCHL")</f>
        <v>20140211OHCHL</v>
      </c>
      <c r="B1336" s="5">
        <f ca="1">IFERROR(__xludf.DUMMYFUNCTION("""COMPUTED_VALUE"""),17)</f>
        <v>17</v>
      </c>
      <c r="C1336" s="5" t="str">
        <f ca="1">IFERROR(__xludf.DUMMYFUNCTION("""COMPUTED_VALUE"""),"Male")</f>
        <v>Male</v>
      </c>
      <c r="D1336" s="5"/>
      <c r="E1336" s="5" t="str">
        <f ca="1">IFERROR(__xludf.DUMMYFUNCTION("""COMPUTED_VALUE"""),"Unknown")</f>
        <v>Unknown</v>
      </c>
      <c r="F1336" s="5" t="str">
        <f ca="1">IFERROR(__xludf.DUMMYFUNCTION("""COMPUTED_VALUE"""),"Fled/Apprehended")</f>
        <v>Fled/Apprehended</v>
      </c>
      <c r="G1336" s="5" t="str">
        <f ca="1">IFERROR(__xludf.DUMMYFUNCTION("""COMPUTED_VALUE"""),"No")</f>
        <v>No</v>
      </c>
      <c r="H1336" s="5" t="str">
        <f ca="1">IFERROR(__xludf.DUMMYFUNCTION("""COMPUTED_VALUE"""),"None")</f>
        <v>None</v>
      </c>
    </row>
    <row r="1337" spans="1:8" ht="13">
      <c r="A1337" s="5" t="str">
        <f ca="1">IFERROR(__xludf.DUMMYFUNCTION("""COMPUTED_VALUE"""),"20140210NCSAS")</f>
        <v>20140210NCSAS</v>
      </c>
      <c r="B1337" s="5">
        <f ca="1">IFERROR(__xludf.DUMMYFUNCTION("""COMPUTED_VALUE"""),17)</f>
        <v>17</v>
      </c>
      <c r="C1337" s="5" t="str">
        <f ca="1">IFERROR(__xludf.DUMMYFUNCTION("""COMPUTED_VALUE"""),"Male")</f>
        <v>Male</v>
      </c>
      <c r="D1337" s="5" t="str">
        <f ca="1">IFERROR(__xludf.DUMMYFUNCTION("""COMPUTED_VALUE"""),"Black")</f>
        <v>Black</v>
      </c>
      <c r="E1337" s="5" t="str">
        <f ca="1">IFERROR(__xludf.DUMMYFUNCTION("""COMPUTED_VALUE"""),"Nonstudent")</f>
        <v>Nonstudent</v>
      </c>
      <c r="F1337" s="5" t="str">
        <f ca="1">IFERROR(__xludf.DUMMYFUNCTION("""COMPUTED_VALUE"""),"Fled/Apprehended")</f>
        <v>Fled/Apprehended</v>
      </c>
      <c r="G1337" s="5" t="str">
        <f ca="1">IFERROR(__xludf.DUMMYFUNCTION("""COMPUTED_VALUE"""),"No")</f>
        <v>No</v>
      </c>
      <c r="H1337" s="5" t="str">
        <f ca="1">IFERROR(__xludf.DUMMYFUNCTION("""COMPUTED_VALUE"""),"None")</f>
        <v>None</v>
      </c>
    </row>
    <row r="1338" spans="1:8" ht="13">
      <c r="A1338" s="5" t="str">
        <f ca="1">IFERROR(__xludf.DUMMYFUNCTION("""COMPUTED_VALUE"""),"20140207ORBEB")</f>
        <v>20140207ORBEB</v>
      </c>
      <c r="B1338" s="5">
        <f ca="1">IFERROR(__xludf.DUMMYFUNCTION("""COMPUTED_VALUE"""),17)</f>
        <v>17</v>
      </c>
      <c r="C1338" s="5" t="str">
        <f ca="1">IFERROR(__xludf.DUMMYFUNCTION("""COMPUTED_VALUE"""),"Male")</f>
        <v>Male</v>
      </c>
      <c r="D1338" s="5"/>
      <c r="E1338" s="5" t="str">
        <f ca="1">IFERROR(__xludf.DUMMYFUNCTION("""COMPUTED_VALUE"""),"Student")</f>
        <v>Student</v>
      </c>
      <c r="F1338" s="5" t="str">
        <f ca="1">IFERROR(__xludf.DUMMYFUNCTION("""COMPUTED_VALUE"""),"Suicide")</f>
        <v>Suicide</v>
      </c>
      <c r="G1338" s="5" t="str">
        <f ca="1">IFERROR(__xludf.DUMMYFUNCTION("""COMPUTED_VALUE"""),"Yes")</f>
        <v>Yes</v>
      </c>
      <c r="H1338" s="5" t="str">
        <f ca="1">IFERROR(__xludf.DUMMYFUNCTION("""COMPUTED_VALUE"""),"Suicide")</f>
        <v>Suicide</v>
      </c>
    </row>
    <row r="1339" spans="1:8" ht="13">
      <c r="A1339" s="5" t="str">
        <f ca="1">IFERROR(__xludf.DUMMYFUNCTION("""COMPUTED_VALUE"""),"20140131IANOD")</f>
        <v>20140131IANOD</v>
      </c>
      <c r="B1339" s="5" t="str">
        <f ca="1">IFERROR(__xludf.DUMMYFUNCTION("""COMPUTED_VALUE"""),"Adult")</f>
        <v>Adult</v>
      </c>
      <c r="C1339" s="5" t="str">
        <f ca="1">IFERROR(__xludf.DUMMYFUNCTION("""COMPUTED_VALUE"""),"Male")</f>
        <v>Male</v>
      </c>
      <c r="D1339" s="5" t="str">
        <f ca="1">IFERROR(__xludf.DUMMYFUNCTION("""COMPUTED_VALUE"""),"Black")</f>
        <v>Black</v>
      </c>
      <c r="E1339" s="5" t="str">
        <f ca="1">IFERROR(__xludf.DUMMYFUNCTION("""COMPUTED_VALUE"""),"No Relation")</f>
        <v>No Relation</v>
      </c>
      <c r="F1339" s="5" t="str">
        <f ca="1">IFERROR(__xludf.DUMMYFUNCTION("""COMPUTED_VALUE"""),"Fled/Escaped")</f>
        <v>Fled/Escaped</v>
      </c>
      <c r="G1339" s="5" t="str">
        <f ca="1">IFERROR(__xludf.DUMMYFUNCTION("""COMPUTED_VALUE"""),"No")</f>
        <v>No</v>
      </c>
      <c r="H1339" s="5" t="str">
        <f ca="1">IFERROR(__xludf.DUMMYFUNCTION("""COMPUTED_VALUE"""),"None")</f>
        <v>None</v>
      </c>
    </row>
    <row r="1340" spans="1:8" ht="13">
      <c r="A1340" s="5" t="str">
        <f ca="1">IFERROR(__xludf.DUMMYFUNCTION("""COMPUTED_VALUE"""),"20140131IANOD")</f>
        <v>20140131IANOD</v>
      </c>
      <c r="B1340" s="5" t="str">
        <f ca="1">IFERROR(__xludf.DUMMYFUNCTION("""COMPUTED_VALUE"""),"Adult")</f>
        <v>Adult</v>
      </c>
      <c r="C1340" s="5" t="str">
        <f ca="1">IFERROR(__xludf.DUMMYFUNCTION("""COMPUTED_VALUE"""),"Male")</f>
        <v>Male</v>
      </c>
      <c r="D1340" s="5" t="str">
        <f ca="1">IFERROR(__xludf.DUMMYFUNCTION("""COMPUTED_VALUE"""),"Black")</f>
        <v>Black</v>
      </c>
      <c r="E1340" s="5" t="str">
        <f ca="1">IFERROR(__xludf.DUMMYFUNCTION("""COMPUTED_VALUE"""),"No Relation")</f>
        <v>No Relation</v>
      </c>
      <c r="F1340" s="5" t="str">
        <f ca="1">IFERROR(__xludf.DUMMYFUNCTION("""COMPUTED_VALUE"""),"Fled/Escaped")</f>
        <v>Fled/Escaped</v>
      </c>
      <c r="G1340" s="5" t="str">
        <f ca="1">IFERROR(__xludf.DUMMYFUNCTION("""COMPUTED_VALUE"""),"No")</f>
        <v>No</v>
      </c>
      <c r="H1340" s="5" t="str">
        <f ca="1">IFERROR(__xludf.DUMMYFUNCTION("""COMPUTED_VALUE"""),"None")</f>
        <v>None</v>
      </c>
    </row>
    <row r="1341" spans="1:8" ht="13">
      <c r="A1341" s="5" t="str">
        <f ca="1">IFERROR(__xludf.DUMMYFUNCTION("""COMPUTED_VALUE"""),"20140131IANOD")</f>
        <v>20140131IANOD</v>
      </c>
      <c r="B1341" s="5" t="str">
        <f ca="1">IFERROR(__xludf.DUMMYFUNCTION("""COMPUTED_VALUE"""),"Adult")</f>
        <v>Adult</v>
      </c>
      <c r="C1341" s="5" t="str">
        <f ca="1">IFERROR(__xludf.DUMMYFUNCTION("""COMPUTED_VALUE"""),"Male")</f>
        <v>Male</v>
      </c>
      <c r="D1341" s="5" t="str">
        <f ca="1">IFERROR(__xludf.DUMMYFUNCTION("""COMPUTED_VALUE"""),"Black")</f>
        <v>Black</v>
      </c>
      <c r="E1341" s="5" t="str">
        <f ca="1">IFERROR(__xludf.DUMMYFUNCTION("""COMPUTED_VALUE"""),"No Relation")</f>
        <v>No Relation</v>
      </c>
      <c r="F1341" s="5" t="str">
        <f ca="1">IFERROR(__xludf.DUMMYFUNCTION("""COMPUTED_VALUE"""),"Fled/Escaped")</f>
        <v>Fled/Escaped</v>
      </c>
      <c r="G1341" s="5" t="str">
        <f ca="1">IFERROR(__xludf.DUMMYFUNCTION("""COMPUTED_VALUE"""),"No")</f>
        <v>No</v>
      </c>
      <c r="H1341" s="5" t="str">
        <f ca="1">IFERROR(__xludf.DUMMYFUNCTION("""COMPUTED_VALUE"""),"None")</f>
        <v>None</v>
      </c>
    </row>
    <row r="1342" spans="1:8" ht="13">
      <c r="A1342" s="5" t="str">
        <f ca="1">IFERROR(__xludf.DUMMYFUNCTION("""COMPUTED_VALUE"""),"20140131IANOD")</f>
        <v>20140131IANOD</v>
      </c>
      <c r="B1342" s="5" t="str">
        <f ca="1">IFERROR(__xludf.DUMMYFUNCTION("""COMPUTED_VALUE"""),"Adult")</f>
        <v>Adult</v>
      </c>
      <c r="C1342" s="5" t="str">
        <f ca="1">IFERROR(__xludf.DUMMYFUNCTION("""COMPUTED_VALUE"""),"Male")</f>
        <v>Male</v>
      </c>
      <c r="D1342" s="5" t="str">
        <f ca="1">IFERROR(__xludf.DUMMYFUNCTION("""COMPUTED_VALUE"""),"Black")</f>
        <v>Black</v>
      </c>
      <c r="E1342" s="5" t="str">
        <f ca="1">IFERROR(__xludf.DUMMYFUNCTION("""COMPUTED_VALUE"""),"No Relation")</f>
        <v>No Relation</v>
      </c>
      <c r="F1342" s="5" t="str">
        <f ca="1">IFERROR(__xludf.DUMMYFUNCTION("""COMPUTED_VALUE"""),"Fled/Escaped")</f>
        <v>Fled/Escaped</v>
      </c>
      <c r="G1342" s="5" t="str">
        <f ca="1">IFERROR(__xludf.DUMMYFUNCTION("""COMPUTED_VALUE"""),"No")</f>
        <v>No</v>
      </c>
      <c r="H1342" s="5" t="str">
        <f ca="1">IFERROR(__xludf.DUMMYFUNCTION("""COMPUTED_VALUE"""),"None")</f>
        <v>None</v>
      </c>
    </row>
    <row r="1343" spans="1:8" ht="13">
      <c r="A1343" s="5" t="str">
        <f ca="1">IFERROR(__xludf.DUMMYFUNCTION("""COMPUTED_VALUE"""),"20140131IANOD")</f>
        <v>20140131IANOD</v>
      </c>
      <c r="B1343" s="5" t="str">
        <f ca="1">IFERROR(__xludf.DUMMYFUNCTION("""COMPUTED_VALUE"""),"Adult")</f>
        <v>Adult</v>
      </c>
      <c r="C1343" s="5" t="str">
        <f ca="1">IFERROR(__xludf.DUMMYFUNCTION("""COMPUTED_VALUE"""),"Male")</f>
        <v>Male</v>
      </c>
      <c r="D1343" s="5" t="str">
        <f ca="1">IFERROR(__xludf.DUMMYFUNCTION("""COMPUTED_VALUE"""),"Black")</f>
        <v>Black</v>
      </c>
      <c r="E1343" s="5" t="str">
        <f ca="1">IFERROR(__xludf.DUMMYFUNCTION("""COMPUTED_VALUE"""),"No Relation")</f>
        <v>No Relation</v>
      </c>
      <c r="F1343" s="5" t="str">
        <f ca="1">IFERROR(__xludf.DUMMYFUNCTION("""COMPUTED_VALUE"""),"Fled/Escaped")</f>
        <v>Fled/Escaped</v>
      </c>
      <c r="G1343" s="5" t="str">
        <f ca="1">IFERROR(__xludf.DUMMYFUNCTION("""COMPUTED_VALUE"""),"No")</f>
        <v>No</v>
      </c>
      <c r="H1343" s="5" t="str">
        <f ca="1">IFERROR(__xludf.DUMMYFUNCTION("""COMPUTED_VALUE"""),"None")</f>
        <v>None</v>
      </c>
    </row>
    <row r="1344" spans="1:8" ht="13">
      <c r="A1344" s="5" t="str">
        <f ca="1">IFERROR(__xludf.DUMMYFUNCTION("""COMPUTED_VALUE"""),"20140131IANOD")</f>
        <v>20140131IANOD</v>
      </c>
      <c r="B1344" s="5" t="str">
        <f ca="1">IFERROR(__xludf.DUMMYFUNCTION("""COMPUTED_VALUE"""),"Adult")</f>
        <v>Adult</v>
      </c>
      <c r="C1344" s="5" t="str">
        <f ca="1">IFERROR(__xludf.DUMMYFUNCTION("""COMPUTED_VALUE"""),"Male")</f>
        <v>Male</v>
      </c>
      <c r="D1344" s="5" t="str">
        <f ca="1">IFERROR(__xludf.DUMMYFUNCTION("""COMPUTED_VALUE"""),"Black")</f>
        <v>Black</v>
      </c>
      <c r="E1344" s="5" t="str">
        <f ca="1">IFERROR(__xludf.DUMMYFUNCTION("""COMPUTED_VALUE"""),"No Relation")</f>
        <v>No Relation</v>
      </c>
      <c r="F1344" s="5" t="str">
        <f ca="1">IFERROR(__xludf.DUMMYFUNCTION("""COMPUTED_VALUE"""),"Fled/Escaped")</f>
        <v>Fled/Escaped</v>
      </c>
      <c r="G1344" s="5" t="str">
        <f ca="1">IFERROR(__xludf.DUMMYFUNCTION("""COMPUTED_VALUE"""),"No")</f>
        <v>No</v>
      </c>
      <c r="H1344" s="5" t="str">
        <f ca="1">IFERROR(__xludf.DUMMYFUNCTION("""COMPUTED_VALUE"""),"None")</f>
        <v>None</v>
      </c>
    </row>
    <row r="1345" spans="1:8" ht="13">
      <c r="A1345" s="5" t="str">
        <f ca="1">IFERROR(__xludf.DUMMYFUNCTION("""COMPUTED_VALUE"""),"20140131AZCEP")</f>
        <v>20140131AZCEP</v>
      </c>
      <c r="B1345" s="5">
        <f ca="1">IFERROR(__xludf.DUMMYFUNCTION("""COMPUTED_VALUE"""),20)</f>
        <v>20</v>
      </c>
      <c r="C1345" s="5" t="str">
        <f ca="1">IFERROR(__xludf.DUMMYFUNCTION("""COMPUTED_VALUE"""),"Male")</f>
        <v>Male</v>
      </c>
      <c r="D1345" s="5" t="str">
        <f ca="1">IFERROR(__xludf.DUMMYFUNCTION("""COMPUTED_VALUE"""),"Black")</f>
        <v>Black</v>
      </c>
      <c r="E1345" s="5" t="str">
        <f ca="1">IFERROR(__xludf.DUMMYFUNCTION("""COMPUTED_VALUE"""),"No Relation")</f>
        <v>No Relation</v>
      </c>
      <c r="F1345" s="5" t="str">
        <f ca="1">IFERROR(__xludf.DUMMYFUNCTION("""COMPUTED_VALUE"""),"Fled/Apprehended")</f>
        <v>Fled/Apprehended</v>
      </c>
      <c r="G1345" s="5" t="str">
        <f ca="1">IFERROR(__xludf.DUMMYFUNCTION("""COMPUTED_VALUE"""),"No")</f>
        <v>No</v>
      </c>
      <c r="H1345" s="5" t="str">
        <f ca="1">IFERROR(__xludf.DUMMYFUNCTION("""COMPUTED_VALUE"""),"None")</f>
        <v>None</v>
      </c>
    </row>
    <row r="1346" spans="1:8" ht="13">
      <c r="A1346" s="5" t="str">
        <f ca="1">IFERROR(__xludf.DUMMYFUNCTION("""COMPUTED_VALUE"""),"20140131AZCEP")</f>
        <v>20140131AZCEP</v>
      </c>
      <c r="B1346" s="5">
        <f ca="1">IFERROR(__xludf.DUMMYFUNCTION("""COMPUTED_VALUE"""),20)</f>
        <v>20</v>
      </c>
      <c r="C1346" s="5" t="str">
        <f ca="1">IFERROR(__xludf.DUMMYFUNCTION("""COMPUTED_VALUE"""),"Male")</f>
        <v>Male</v>
      </c>
      <c r="D1346" s="5" t="str">
        <f ca="1">IFERROR(__xludf.DUMMYFUNCTION("""COMPUTED_VALUE"""),"Black")</f>
        <v>Black</v>
      </c>
      <c r="E1346" s="5" t="str">
        <f ca="1">IFERROR(__xludf.DUMMYFUNCTION("""COMPUTED_VALUE"""),"No Relation")</f>
        <v>No Relation</v>
      </c>
      <c r="F1346" s="5" t="str">
        <f ca="1">IFERROR(__xludf.DUMMYFUNCTION("""COMPUTED_VALUE"""),"Fled/Apprehended")</f>
        <v>Fled/Apprehended</v>
      </c>
      <c r="G1346" s="5" t="str">
        <f ca="1">IFERROR(__xludf.DUMMYFUNCTION("""COMPUTED_VALUE"""),"No")</f>
        <v>No</v>
      </c>
      <c r="H1346" s="5" t="str">
        <f ca="1">IFERROR(__xludf.DUMMYFUNCTION("""COMPUTED_VALUE"""),"None")</f>
        <v>None</v>
      </c>
    </row>
    <row r="1347" spans="1:8" ht="13">
      <c r="A1347" s="5" t="str">
        <f ca="1">IFERROR(__xludf.DUMMYFUNCTION("""COMPUTED_VALUE"""),"20140128HIPRH")</f>
        <v>20140128HIPRH</v>
      </c>
      <c r="B1347" s="5" t="str">
        <f ca="1">IFERROR(__xludf.DUMMYFUNCTION("""COMPUTED_VALUE"""),"Adult")</f>
        <v>Adult</v>
      </c>
      <c r="C1347" s="5"/>
      <c r="D1347" s="5"/>
      <c r="E1347" s="5" t="str">
        <f ca="1">IFERROR(__xludf.DUMMYFUNCTION("""COMPUTED_VALUE"""),"Police Officer/SRO")</f>
        <v>Police Officer/SRO</v>
      </c>
      <c r="F1347" s="5" t="str">
        <f ca="1">IFERROR(__xludf.DUMMYFUNCTION("""COMPUTED_VALUE"""),"Law Enforcement")</f>
        <v>Law Enforcement</v>
      </c>
      <c r="G1347" s="5" t="str">
        <f ca="1">IFERROR(__xludf.DUMMYFUNCTION("""COMPUTED_VALUE"""),"No")</f>
        <v>No</v>
      </c>
      <c r="H1347" s="5" t="str">
        <f ca="1">IFERROR(__xludf.DUMMYFUNCTION("""COMPUTED_VALUE"""),"Wounded")</f>
        <v>Wounded</v>
      </c>
    </row>
    <row r="1348" spans="1:8" ht="13">
      <c r="A1348" s="5" t="str">
        <f ca="1">IFERROR(__xludf.DUMMYFUNCTION("""COMPUTED_VALUE"""),"20140127ILREC")</f>
        <v>20140127ILREC</v>
      </c>
      <c r="B1348" s="5">
        <f ca="1">IFERROR(__xludf.DUMMYFUNCTION("""COMPUTED_VALUE"""),18)</f>
        <v>18</v>
      </c>
      <c r="C1348" s="5" t="str">
        <f ca="1">IFERROR(__xludf.DUMMYFUNCTION("""COMPUTED_VALUE"""),"Male")</f>
        <v>Male</v>
      </c>
      <c r="D1348" s="5" t="str">
        <f ca="1">IFERROR(__xludf.DUMMYFUNCTION("""COMPUTED_VALUE"""),"Black")</f>
        <v>Black</v>
      </c>
      <c r="E1348" s="5" t="str">
        <f ca="1">IFERROR(__xludf.DUMMYFUNCTION("""COMPUTED_VALUE"""),"Student")</f>
        <v>Student</v>
      </c>
      <c r="F1348" s="5" t="str">
        <f ca="1">IFERROR(__xludf.DUMMYFUNCTION("""COMPUTED_VALUE"""),"Fled/Apprehended")</f>
        <v>Fled/Apprehended</v>
      </c>
      <c r="G1348" s="5" t="str">
        <f ca="1">IFERROR(__xludf.DUMMYFUNCTION("""COMPUTED_VALUE"""),"No")</f>
        <v>No</v>
      </c>
      <c r="H1348" s="5" t="str">
        <f ca="1">IFERROR(__xludf.DUMMYFUNCTION("""COMPUTED_VALUE"""),"None")</f>
        <v>None</v>
      </c>
    </row>
    <row r="1349" spans="1:8" ht="13">
      <c r="A1349" s="5" t="str">
        <f ca="1">IFERROR(__xludf.DUMMYFUNCTION("""COMPUTED_VALUE"""),"20140117PADEP")</f>
        <v>20140117PADEP</v>
      </c>
      <c r="B1349" s="5">
        <f ca="1">IFERROR(__xludf.DUMMYFUNCTION("""COMPUTED_VALUE"""),18)</f>
        <v>18</v>
      </c>
      <c r="C1349" s="5" t="str">
        <f ca="1">IFERROR(__xludf.DUMMYFUNCTION("""COMPUTED_VALUE"""),"Male")</f>
        <v>Male</v>
      </c>
      <c r="D1349" s="5" t="str">
        <f ca="1">IFERROR(__xludf.DUMMYFUNCTION("""COMPUTED_VALUE"""),"Black")</f>
        <v>Black</v>
      </c>
      <c r="E1349" s="5" t="str">
        <f ca="1">IFERROR(__xludf.DUMMYFUNCTION("""COMPUTED_VALUE"""),"Student")</f>
        <v>Student</v>
      </c>
      <c r="F1349" s="5" t="str">
        <f ca="1">IFERROR(__xludf.DUMMYFUNCTION("""COMPUTED_VALUE"""),"Fled/Apprehended")</f>
        <v>Fled/Apprehended</v>
      </c>
      <c r="G1349" s="5" t="str">
        <f ca="1">IFERROR(__xludf.DUMMYFUNCTION("""COMPUTED_VALUE"""),"No")</f>
        <v>No</v>
      </c>
      <c r="H1349" s="5" t="str">
        <f ca="1">IFERROR(__xludf.DUMMYFUNCTION("""COMPUTED_VALUE"""),"None")</f>
        <v>None</v>
      </c>
    </row>
    <row r="1350" spans="1:8" ht="13">
      <c r="A1350" s="5" t="str">
        <f ca="1">IFERROR(__xludf.DUMMYFUNCTION("""COMPUTED_VALUE"""),"20140114PAKIL")</f>
        <v>20140114PAKIL</v>
      </c>
      <c r="B1350" s="5"/>
      <c r="C1350" s="5" t="str">
        <f ca="1">IFERROR(__xludf.DUMMYFUNCTION("""COMPUTED_VALUE"""),"Male")</f>
        <v>Male</v>
      </c>
      <c r="D1350" s="5" t="str">
        <f ca="1">IFERROR(__xludf.DUMMYFUNCTION("""COMPUTED_VALUE"""),"Black")</f>
        <v>Black</v>
      </c>
      <c r="E1350" s="5" t="str">
        <f ca="1">IFERROR(__xludf.DUMMYFUNCTION("""COMPUTED_VALUE"""),"Unknown")</f>
        <v>Unknown</v>
      </c>
      <c r="F1350" s="5" t="str">
        <f ca="1">IFERROR(__xludf.DUMMYFUNCTION("""COMPUTED_VALUE"""),"Fled/Escaped")</f>
        <v>Fled/Escaped</v>
      </c>
      <c r="G1350" s="5" t="str">
        <f ca="1">IFERROR(__xludf.DUMMYFUNCTION("""COMPUTED_VALUE"""),"No")</f>
        <v>No</v>
      </c>
      <c r="H1350" s="5" t="str">
        <f ca="1">IFERROR(__xludf.DUMMYFUNCTION("""COMPUTED_VALUE"""),"None")</f>
        <v>None</v>
      </c>
    </row>
    <row r="1351" spans="1:8" ht="13">
      <c r="A1351" s="5" t="str">
        <f ca="1">IFERROR(__xludf.DUMMYFUNCTION("""COMPUTED_VALUE"""),"20140114NMBER")</f>
        <v>20140114NMBER</v>
      </c>
      <c r="B1351" s="5">
        <f ca="1">IFERROR(__xludf.DUMMYFUNCTION("""COMPUTED_VALUE"""),14)</f>
        <v>14</v>
      </c>
      <c r="C1351" s="5" t="str">
        <f ca="1">IFERROR(__xludf.DUMMYFUNCTION("""COMPUTED_VALUE"""),"Male")</f>
        <v>Male</v>
      </c>
      <c r="D1351" s="5" t="str">
        <f ca="1">IFERROR(__xludf.DUMMYFUNCTION("""COMPUTED_VALUE"""),"White")</f>
        <v>White</v>
      </c>
      <c r="E1351" s="5" t="str">
        <f ca="1">IFERROR(__xludf.DUMMYFUNCTION("""COMPUTED_VALUE"""),"Student")</f>
        <v>Student</v>
      </c>
      <c r="F1351" s="5" t="str">
        <f ca="1">IFERROR(__xludf.DUMMYFUNCTION("""COMPUTED_VALUE"""),"Surrendered")</f>
        <v>Surrendered</v>
      </c>
      <c r="G1351" s="5" t="str">
        <f ca="1">IFERROR(__xludf.DUMMYFUNCTION("""COMPUTED_VALUE"""),"No")</f>
        <v>No</v>
      </c>
      <c r="H1351" s="5" t="str">
        <f ca="1">IFERROR(__xludf.DUMMYFUNCTION("""COMPUTED_VALUE"""),"None")</f>
        <v>None</v>
      </c>
    </row>
    <row r="1352" spans="1:8" ht="13">
      <c r="A1352" s="5" t="str">
        <f ca="1">IFERROR(__xludf.DUMMYFUNCTION("""COMPUTED_VALUE"""),"20140114LASTB")</f>
        <v>20140114LASTB</v>
      </c>
      <c r="B1352" s="5">
        <f ca="1">IFERROR(__xludf.DUMMYFUNCTION("""COMPUTED_VALUE"""),17)</f>
        <v>17</v>
      </c>
      <c r="C1352" s="5" t="str">
        <f ca="1">IFERROR(__xludf.DUMMYFUNCTION("""COMPUTED_VALUE"""),"Male")</f>
        <v>Male</v>
      </c>
      <c r="D1352" s="5" t="str">
        <f ca="1">IFERROR(__xludf.DUMMYFUNCTION("""COMPUTED_VALUE"""),"Black")</f>
        <v>Black</v>
      </c>
      <c r="E1352" s="5" t="str">
        <f ca="1">IFERROR(__xludf.DUMMYFUNCTION("""COMPUTED_VALUE"""),"Unknown")</f>
        <v>Unknown</v>
      </c>
      <c r="F1352" s="5" t="str">
        <f ca="1">IFERROR(__xludf.DUMMYFUNCTION("""COMPUTED_VALUE"""),"Fled/Apprehended")</f>
        <v>Fled/Apprehended</v>
      </c>
      <c r="G1352" s="5" t="str">
        <f ca="1">IFERROR(__xludf.DUMMYFUNCTION("""COMPUTED_VALUE"""),"No")</f>
        <v>No</v>
      </c>
      <c r="H1352" s="5" t="str">
        <f ca="1">IFERROR(__xludf.DUMMYFUNCTION("""COMPUTED_VALUE"""),"None")</f>
        <v>None</v>
      </c>
    </row>
    <row r="1353" spans="1:8" ht="13">
      <c r="A1353" s="5" t="str">
        <f ca="1">IFERROR(__xludf.DUMMYFUNCTION("""COMPUTED_VALUE"""),"20140113CTHIN")</f>
        <v>20140113CTHIN</v>
      </c>
      <c r="B1353" s="5">
        <f ca="1">IFERROR(__xludf.DUMMYFUNCTION("""COMPUTED_VALUE"""),17)</f>
        <v>17</v>
      </c>
      <c r="C1353" s="5" t="str">
        <f ca="1">IFERROR(__xludf.DUMMYFUNCTION("""COMPUTED_VALUE"""),"Male")</f>
        <v>Male</v>
      </c>
      <c r="D1353" s="5" t="str">
        <f ca="1">IFERROR(__xludf.DUMMYFUNCTION("""COMPUTED_VALUE"""),"Black")</f>
        <v>Black</v>
      </c>
      <c r="E1353" s="5" t="str">
        <f ca="1">IFERROR(__xludf.DUMMYFUNCTION("""COMPUTED_VALUE"""),"Nonstudent Using Athletic Facilities/Attending Game")</f>
        <v>Nonstudent Using Athletic Facilities/Attending Game</v>
      </c>
      <c r="F1353" s="5" t="str">
        <f ca="1">IFERROR(__xludf.DUMMYFUNCTION("""COMPUTED_VALUE"""),"Fled/Apprehended")</f>
        <v>Fled/Apprehended</v>
      </c>
      <c r="G1353" s="5" t="str">
        <f ca="1">IFERROR(__xludf.DUMMYFUNCTION("""COMPUTED_VALUE"""),"No")</f>
        <v>No</v>
      </c>
      <c r="H1353" s="5" t="str">
        <f ca="1">IFERROR(__xludf.DUMMYFUNCTION("""COMPUTED_VALUE"""),"None")</f>
        <v>None</v>
      </c>
    </row>
    <row r="1354" spans="1:8" ht="13">
      <c r="A1354" s="5" t="str">
        <f ca="1">IFERROR(__xludf.DUMMYFUNCTION("""COMPUTED_VALUE"""),"20140109TNLIJ")</f>
        <v>20140109TNLIJ</v>
      </c>
      <c r="B1354" s="5">
        <f ca="1">IFERROR(__xludf.DUMMYFUNCTION("""COMPUTED_VALUE"""),16)</f>
        <v>16</v>
      </c>
      <c r="C1354" s="5" t="str">
        <f ca="1">IFERROR(__xludf.DUMMYFUNCTION("""COMPUTED_VALUE"""),"Male")</f>
        <v>Male</v>
      </c>
      <c r="D1354" s="5" t="str">
        <f ca="1">IFERROR(__xludf.DUMMYFUNCTION("""COMPUTED_VALUE"""),"Black")</f>
        <v>Black</v>
      </c>
      <c r="E1354" s="5" t="str">
        <f ca="1">IFERROR(__xludf.DUMMYFUNCTION("""COMPUTED_VALUE"""),"Student")</f>
        <v>Student</v>
      </c>
      <c r="F1354" s="5" t="str">
        <f ca="1">IFERROR(__xludf.DUMMYFUNCTION("""COMPUTED_VALUE"""),"Fled/Apprehended")</f>
        <v>Fled/Apprehended</v>
      </c>
      <c r="G1354" s="5" t="str">
        <f ca="1">IFERROR(__xludf.DUMMYFUNCTION("""COMPUTED_VALUE"""),"No")</f>
        <v>No</v>
      </c>
      <c r="H1354" s="5" t="str">
        <f ca="1">IFERROR(__xludf.DUMMYFUNCTION("""COMPUTED_VALUE"""),"None")</f>
        <v>None</v>
      </c>
    </row>
    <row r="1355" spans="1:8" ht="13">
      <c r="A1355" s="5" t="str">
        <f ca="1">IFERROR(__xludf.DUMMYFUNCTION("""COMPUTED_VALUE"""),"20131219CAEDF")</f>
        <v>20131219CAEDF</v>
      </c>
      <c r="B1355" s="5">
        <f ca="1">IFERROR(__xludf.DUMMYFUNCTION("""COMPUTED_VALUE"""),16)</f>
        <v>16</v>
      </c>
      <c r="C1355" s="5" t="str">
        <f ca="1">IFERROR(__xludf.DUMMYFUNCTION("""COMPUTED_VALUE"""),"Male")</f>
        <v>Male</v>
      </c>
      <c r="D1355" s="5" t="str">
        <f ca="1">IFERROR(__xludf.DUMMYFUNCTION("""COMPUTED_VALUE"""),"Hispanic")</f>
        <v>Hispanic</v>
      </c>
      <c r="E1355" s="5" t="str">
        <f ca="1">IFERROR(__xludf.DUMMYFUNCTION("""COMPUTED_VALUE"""),"Student")</f>
        <v>Student</v>
      </c>
      <c r="F1355" s="5" t="str">
        <f ca="1">IFERROR(__xludf.DUMMYFUNCTION("""COMPUTED_VALUE"""),"Fled/Apprehended")</f>
        <v>Fled/Apprehended</v>
      </c>
      <c r="G1355" s="5" t="str">
        <f ca="1">IFERROR(__xludf.DUMMYFUNCTION("""COMPUTED_VALUE"""),"No")</f>
        <v>No</v>
      </c>
      <c r="H1355" s="5" t="str">
        <f ca="1">IFERROR(__xludf.DUMMYFUNCTION("""COMPUTED_VALUE"""),"None")</f>
        <v>None</v>
      </c>
    </row>
    <row r="1356" spans="1:8" ht="13">
      <c r="A1356" s="5" t="str">
        <f ca="1">IFERROR(__xludf.DUMMYFUNCTION("""COMPUTED_VALUE"""),"20131213COARC")</f>
        <v>20131213COARC</v>
      </c>
      <c r="B1356" s="5">
        <f ca="1">IFERROR(__xludf.DUMMYFUNCTION("""COMPUTED_VALUE"""),18)</f>
        <v>18</v>
      </c>
      <c r="C1356" s="5" t="str">
        <f ca="1">IFERROR(__xludf.DUMMYFUNCTION("""COMPUTED_VALUE"""),"Male")</f>
        <v>Male</v>
      </c>
      <c r="D1356" s="5" t="str">
        <f ca="1">IFERROR(__xludf.DUMMYFUNCTION("""COMPUTED_VALUE"""),"White")</f>
        <v>White</v>
      </c>
      <c r="E1356" s="5" t="str">
        <f ca="1">IFERROR(__xludf.DUMMYFUNCTION("""COMPUTED_VALUE"""),"Student")</f>
        <v>Student</v>
      </c>
      <c r="F1356" s="5" t="str">
        <f ca="1">IFERROR(__xludf.DUMMYFUNCTION("""COMPUTED_VALUE"""),"Suicide")</f>
        <v>Suicide</v>
      </c>
      <c r="G1356" s="5" t="str">
        <f ca="1">IFERROR(__xludf.DUMMYFUNCTION("""COMPUTED_VALUE"""),"Yes")</f>
        <v>Yes</v>
      </c>
      <c r="H1356" s="5" t="str">
        <f ca="1">IFERROR(__xludf.DUMMYFUNCTION("""COMPUTED_VALUE"""),"Suicide")</f>
        <v>Suicide</v>
      </c>
    </row>
    <row r="1357" spans="1:8" ht="13">
      <c r="A1357" s="5" t="str">
        <f ca="1">IFERROR(__xludf.DUMMYFUNCTION("""COMPUTED_VALUE"""),"20131204FLWEW")</f>
        <v>20131204FLWEW</v>
      </c>
      <c r="B1357" s="5">
        <f ca="1">IFERROR(__xludf.DUMMYFUNCTION("""COMPUTED_VALUE"""),17)</f>
        <v>17</v>
      </c>
      <c r="C1357" s="5" t="str">
        <f ca="1">IFERROR(__xludf.DUMMYFUNCTION("""COMPUTED_VALUE"""),"Male")</f>
        <v>Male</v>
      </c>
      <c r="D1357" s="5" t="str">
        <f ca="1">IFERROR(__xludf.DUMMYFUNCTION("""COMPUTED_VALUE"""),"Black")</f>
        <v>Black</v>
      </c>
      <c r="E1357" s="5" t="str">
        <f ca="1">IFERROR(__xludf.DUMMYFUNCTION("""COMPUTED_VALUE"""),"Student")</f>
        <v>Student</v>
      </c>
      <c r="F1357" s="5" t="str">
        <f ca="1">IFERROR(__xludf.DUMMYFUNCTION("""COMPUTED_VALUE"""),"Fled/Apprehended")</f>
        <v>Fled/Apprehended</v>
      </c>
      <c r="G1357" s="5" t="str">
        <f ca="1">IFERROR(__xludf.DUMMYFUNCTION("""COMPUTED_VALUE"""),"No")</f>
        <v>No</v>
      </c>
      <c r="H1357" s="5" t="str">
        <f ca="1">IFERROR(__xludf.DUMMYFUNCTION("""COMPUTED_VALUE"""),"None")</f>
        <v>None</v>
      </c>
    </row>
    <row r="1358" spans="1:8" ht="13">
      <c r="A1358" s="5" t="str">
        <f ca="1">IFERROR(__xludf.DUMMYFUNCTION("""COMPUTED_VALUE"""),"20131113PABRP")</f>
        <v>20131113PABRP</v>
      </c>
      <c r="B1358" s="5">
        <f ca="1">IFERROR(__xludf.DUMMYFUNCTION("""COMPUTED_VALUE"""),16)</f>
        <v>16</v>
      </c>
      <c r="C1358" s="5" t="str">
        <f ca="1">IFERROR(__xludf.DUMMYFUNCTION("""COMPUTED_VALUE"""),"Male")</f>
        <v>Male</v>
      </c>
      <c r="D1358" s="5" t="str">
        <f ca="1">IFERROR(__xludf.DUMMYFUNCTION("""COMPUTED_VALUE"""),"Black")</f>
        <v>Black</v>
      </c>
      <c r="E1358" s="5" t="str">
        <f ca="1">IFERROR(__xludf.DUMMYFUNCTION("""COMPUTED_VALUE"""),"Student")</f>
        <v>Student</v>
      </c>
      <c r="F1358" s="5" t="str">
        <f ca="1">IFERROR(__xludf.DUMMYFUNCTION("""COMPUTED_VALUE"""),"Fled/Apprehended")</f>
        <v>Fled/Apprehended</v>
      </c>
      <c r="G1358" s="5" t="str">
        <f ca="1">IFERROR(__xludf.DUMMYFUNCTION("""COMPUTED_VALUE"""),"No")</f>
        <v>No</v>
      </c>
      <c r="H1358" s="5" t="str">
        <f ca="1">IFERROR(__xludf.DUMMYFUNCTION("""COMPUTED_VALUE"""),"None")</f>
        <v>None</v>
      </c>
    </row>
    <row r="1359" spans="1:8" ht="13">
      <c r="A1359" s="5" t="str">
        <f ca="1">IFERROR(__xludf.DUMMYFUNCTION("""COMPUTED_VALUE"""),"20131103GASTL")</f>
        <v>20131103GASTL</v>
      </c>
      <c r="B1359" s="5" t="str">
        <f ca="1">IFERROR(__xludf.DUMMYFUNCTION("""COMPUTED_VALUE"""),"Teen")</f>
        <v>Teen</v>
      </c>
      <c r="C1359" s="5" t="str">
        <f ca="1">IFERROR(__xludf.DUMMYFUNCTION("""COMPUTED_VALUE"""),"Male")</f>
        <v>Male</v>
      </c>
      <c r="D1359" s="5"/>
      <c r="E1359" s="5" t="str">
        <f ca="1">IFERROR(__xludf.DUMMYFUNCTION("""COMPUTED_VALUE"""),"Student")</f>
        <v>Student</v>
      </c>
      <c r="F1359" s="5" t="str">
        <f ca="1">IFERROR(__xludf.DUMMYFUNCTION("""COMPUTED_VALUE"""),"Fled/Apprehended")</f>
        <v>Fled/Apprehended</v>
      </c>
      <c r="G1359" s="5" t="str">
        <f ca="1">IFERROR(__xludf.DUMMYFUNCTION("""COMPUTED_VALUE"""),"No")</f>
        <v>No</v>
      </c>
      <c r="H1359" s="5" t="str">
        <f ca="1">IFERROR(__xludf.DUMMYFUNCTION("""COMPUTED_VALUE"""),"None")</f>
        <v>None</v>
      </c>
    </row>
    <row r="1360" spans="1:8" ht="13">
      <c r="A1360" s="5" t="str">
        <f ca="1">IFERROR(__xludf.DUMMYFUNCTION("""COMPUTED_VALUE"""),"20131101IAALA")</f>
        <v>20131101IAALA</v>
      </c>
      <c r="B1360" s="5">
        <f ca="1">IFERROR(__xludf.DUMMYFUNCTION("""COMPUTED_VALUE"""),23)</f>
        <v>23</v>
      </c>
      <c r="C1360" s="5" t="str">
        <f ca="1">IFERROR(__xludf.DUMMYFUNCTION("""COMPUTED_VALUE"""),"Male")</f>
        <v>Male</v>
      </c>
      <c r="D1360" s="5" t="str">
        <f ca="1">IFERROR(__xludf.DUMMYFUNCTION("""COMPUTED_VALUE"""),"White")</f>
        <v>White</v>
      </c>
      <c r="E1360" s="5" t="str">
        <f ca="1">IFERROR(__xludf.DUMMYFUNCTION("""COMPUTED_VALUE"""),"Former Student")</f>
        <v>Former Student</v>
      </c>
      <c r="F1360" s="5" t="str">
        <f ca="1">IFERROR(__xludf.DUMMYFUNCTION("""COMPUTED_VALUE"""),"Suicide")</f>
        <v>Suicide</v>
      </c>
      <c r="G1360" s="5" t="str">
        <f ca="1">IFERROR(__xludf.DUMMYFUNCTION("""COMPUTED_VALUE"""),"Yes")</f>
        <v>Yes</v>
      </c>
      <c r="H1360" s="5" t="str">
        <f ca="1">IFERROR(__xludf.DUMMYFUNCTION("""COMPUTED_VALUE"""),"Suicide")</f>
        <v>Suicide</v>
      </c>
    </row>
    <row r="1361" spans="1:8" ht="13">
      <c r="A1361" s="5" t="str">
        <f ca="1">IFERROR(__xludf.DUMMYFUNCTION("""COMPUTED_VALUE"""),"20131023CANEC")</f>
        <v>20131023CANEC</v>
      </c>
      <c r="B1361" s="5" t="str">
        <f ca="1">IFERROR(__xludf.DUMMYFUNCTION("""COMPUTED_VALUE"""),"Child")</f>
        <v>Child</v>
      </c>
      <c r="C1361" s="5"/>
      <c r="D1361" s="5"/>
      <c r="E1361" s="5" t="str">
        <f ca="1">IFERROR(__xludf.DUMMYFUNCTION("""COMPUTED_VALUE"""),"Student")</f>
        <v>Student</v>
      </c>
      <c r="F1361" s="5" t="str">
        <f ca="1">IFERROR(__xludf.DUMMYFUNCTION("""COMPUTED_VALUE"""),"Unknown")</f>
        <v>Unknown</v>
      </c>
      <c r="G1361" s="5" t="str">
        <f ca="1">IFERROR(__xludf.DUMMYFUNCTION("""COMPUTED_VALUE"""),"No")</f>
        <v>No</v>
      </c>
      <c r="H1361" s="5" t="str">
        <f ca="1">IFERROR(__xludf.DUMMYFUNCTION("""COMPUTED_VALUE"""),"None")</f>
        <v>None</v>
      </c>
    </row>
    <row r="1362" spans="1:8" ht="13">
      <c r="A1362" s="5" t="str">
        <f ca="1">IFERROR(__xludf.DUMMYFUNCTION("""COMPUTED_VALUE"""),"20131021NVSPS")</f>
        <v>20131021NVSPS</v>
      </c>
      <c r="B1362" s="5">
        <f ca="1">IFERROR(__xludf.DUMMYFUNCTION("""COMPUTED_VALUE"""),12)</f>
        <v>12</v>
      </c>
      <c r="C1362" s="5" t="str">
        <f ca="1">IFERROR(__xludf.DUMMYFUNCTION("""COMPUTED_VALUE"""),"Male")</f>
        <v>Male</v>
      </c>
      <c r="D1362" s="5" t="str">
        <f ca="1">IFERROR(__xludf.DUMMYFUNCTION("""COMPUTED_VALUE"""),"Hispanic")</f>
        <v>Hispanic</v>
      </c>
      <c r="E1362" s="5" t="str">
        <f ca="1">IFERROR(__xludf.DUMMYFUNCTION("""COMPUTED_VALUE"""),"Student")</f>
        <v>Student</v>
      </c>
      <c r="F1362" s="5" t="str">
        <f ca="1">IFERROR(__xludf.DUMMYFUNCTION("""COMPUTED_VALUE"""),"Suicide")</f>
        <v>Suicide</v>
      </c>
      <c r="G1362" s="5" t="str">
        <f ca="1">IFERROR(__xludf.DUMMYFUNCTION("""COMPUTED_VALUE"""),"Yes")</f>
        <v>Yes</v>
      </c>
      <c r="H1362" s="5" t="str">
        <f ca="1">IFERROR(__xludf.DUMMYFUNCTION("""COMPUTED_VALUE"""),"Suicide")</f>
        <v>Suicide</v>
      </c>
    </row>
    <row r="1363" spans="1:8" ht="13">
      <c r="A1363" s="5" t="str">
        <f ca="1">IFERROR(__xludf.DUMMYFUNCTION("""COMPUTED_VALUE"""),"20131015TXLAA")</f>
        <v>20131015TXLAA</v>
      </c>
      <c r="B1363" s="5">
        <f ca="1">IFERROR(__xludf.DUMMYFUNCTION("""COMPUTED_VALUE"""),16)</f>
        <v>16</v>
      </c>
      <c r="C1363" s="5" t="str">
        <f ca="1">IFERROR(__xludf.DUMMYFUNCTION("""COMPUTED_VALUE"""),"Male")</f>
        <v>Male</v>
      </c>
      <c r="D1363" s="5" t="str">
        <f ca="1">IFERROR(__xludf.DUMMYFUNCTION("""COMPUTED_VALUE"""),"Hispanic")</f>
        <v>Hispanic</v>
      </c>
      <c r="E1363" s="5" t="str">
        <f ca="1">IFERROR(__xludf.DUMMYFUNCTION("""COMPUTED_VALUE"""),"Student")</f>
        <v>Student</v>
      </c>
      <c r="F1363" s="5" t="str">
        <f ca="1">IFERROR(__xludf.DUMMYFUNCTION("""COMPUTED_VALUE"""),"Suicide")</f>
        <v>Suicide</v>
      </c>
      <c r="G1363" s="5" t="str">
        <f ca="1">IFERROR(__xludf.DUMMYFUNCTION("""COMPUTED_VALUE"""),"Yes")</f>
        <v>Yes</v>
      </c>
      <c r="H1363" s="5" t="str">
        <f ca="1">IFERROR(__xludf.DUMMYFUNCTION("""COMPUTED_VALUE"""),"Suicide")</f>
        <v>Suicide</v>
      </c>
    </row>
    <row r="1364" spans="1:8" ht="13">
      <c r="A1364" s="5" t="str">
        <f ca="1">IFERROR(__xludf.DUMMYFUNCTION("""COMPUTED_VALUE"""),"20131004FLAGP")</f>
        <v>20131004FLAGP</v>
      </c>
      <c r="B1364" s="5"/>
      <c r="C1364" s="5" t="str">
        <f ca="1">IFERROR(__xludf.DUMMYFUNCTION("""COMPUTED_VALUE"""),"Male")</f>
        <v>Male</v>
      </c>
      <c r="D1364" s="5"/>
      <c r="E1364" s="5" t="str">
        <f ca="1">IFERROR(__xludf.DUMMYFUNCTION("""COMPUTED_VALUE"""),"No Relation")</f>
        <v>No Relation</v>
      </c>
      <c r="F1364" s="5" t="str">
        <f ca="1">IFERROR(__xludf.DUMMYFUNCTION("""COMPUTED_VALUE"""),"Fled/Escaped")</f>
        <v>Fled/Escaped</v>
      </c>
      <c r="G1364" s="5" t="str">
        <f ca="1">IFERROR(__xludf.DUMMYFUNCTION("""COMPUTED_VALUE"""),"No")</f>
        <v>No</v>
      </c>
      <c r="H1364" s="5" t="str">
        <f ca="1">IFERROR(__xludf.DUMMYFUNCTION("""COMPUTED_VALUE"""),"None")</f>
        <v>None</v>
      </c>
    </row>
    <row r="1365" spans="1:8" ht="13">
      <c r="A1365" s="5" t="str">
        <f ca="1">IFERROR(__xludf.DUMMYFUNCTION("""COMPUTED_VALUE"""),"20131002NHWIS")</f>
        <v>20131002NHWIS</v>
      </c>
      <c r="B1365" s="5">
        <f ca="1">IFERROR(__xludf.DUMMYFUNCTION("""COMPUTED_VALUE"""),24)</f>
        <v>24</v>
      </c>
      <c r="C1365" s="5" t="str">
        <f ca="1">IFERROR(__xludf.DUMMYFUNCTION("""COMPUTED_VALUE"""),"Male")</f>
        <v>Male</v>
      </c>
      <c r="D1365" s="5" t="str">
        <f ca="1">IFERROR(__xludf.DUMMYFUNCTION("""COMPUTED_VALUE"""),"White")</f>
        <v>White</v>
      </c>
      <c r="E1365" s="5" t="str">
        <f ca="1">IFERROR(__xludf.DUMMYFUNCTION("""COMPUTED_VALUE"""),"No Relation")</f>
        <v>No Relation</v>
      </c>
      <c r="F1365" s="5" t="str">
        <f ca="1">IFERROR(__xludf.DUMMYFUNCTION("""COMPUTED_VALUE"""),"Fled/Apprehended")</f>
        <v>Fled/Apprehended</v>
      </c>
      <c r="G1365" s="5" t="str">
        <f ca="1">IFERROR(__xludf.DUMMYFUNCTION("""COMPUTED_VALUE"""),"No")</f>
        <v>No</v>
      </c>
      <c r="H1365" s="5" t="str">
        <f ca="1">IFERROR(__xludf.DUMMYFUNCTION("""COMPUTED_VALUE"""),"None")</f>
        <v>None</v>
      </c>
    </row>
    <row r="1366" spans="1:8" ht="13">
      <c r="A1366" s="5" t="str">
        <f ca="1">IFERROR(__xludf.DUMMYFUNCTION("""COMPUTED_VALUE"""),"20130928MENEG")</f>
        <v>20130928MENEG</v>
      </c>
      <c r="B1366" s="5">
        <f ca="1">IFERROR(__xludf.DUMMYFUNCTION("""COMPUTED_VALUE"""),19)</f>
        <v>19</v>
      </c>
      <c r="C1366" s="5" t="str">
        <f ca="1">IFERROR(__xludf.DUMMYFUNCTION("""COMPUTED_VALUE"""),"Male")</f>
        <v>Male</v>
      </c>
      <c r="D1366" s="5"/>
      <c r="E1366" s="5" t="str">
        <f ca="1">IFERROR(__xludf.DUMMYFUNCTION("""COMPUTED_VALUE"""),"No Relation")</f>
        <v>No Relation</v>
      </c>
      <c r="F1366" s="5" t="str">
        <f ca="1">IFERROR(__xludf.DUMMYFUNCTION("""COMPUTED_VALUE"""),"Suicide")</f>
        <v>Suicide</v>
      </c>
      <c r="G1366" s="5" t="str">
        <f ca="1">IFERROR(__xludf.DUMMYFUNCTION("""COMPUTED_VALUE"""),"Yes")</f>
        <v>Yes</v>
      </c>
      <c r="H1366" s="5" t="str">
        <f ca="1">IFERROR(__xludf.DUMMYFUNCTION("""COMPUTED_VALUE"""),"Suicide")</f>
        <v>Suicide</v>
      </c>
    </row>
    <row r="1367" spans="1:8" ht="13">
      <c r="A1367" s="5" t="str">
        <f ca="1">IFERROR(__xludf.DUMMYFUNCTION("""COMPUTED_VALUE"""),"20130927ILROC")</f>
        <v>20130927ILROC</v>
      </c>
      <c r="B1367" s="5">
        <f ca="1">IFERROR(__xludf.DUMMYFUNCTION("""COMPUTED_VALUE"""),18)</f>
        <v>18</v>
      </c>
      <c r="C1367" s="5" t="str">
        <f ca="1">IFERROR(__xludf.DUMMYFUNCTION("""COMPUTED_VALUE"""),"Male")</f>
        <v>Male</v>
      </c>
      <c r="D1367" s="5" t="str">
        <f ca="1">IFERROR(__xludf.DUMMYFUNCTION("""COMPUTED_VALUE"""),"Black")</f>
        <v>Black</v>
      </c>
      <c r="E1367" s="5" t="str">
        <f ca="1">IFERROR(__xludf.DUMMYFUNCTION("""COMPUTED_VALUE"""),"No Relation")</f>
        <v>No Relation</v>
      </c>
      <c r="F1367" s="5" t="str">
        <f ca="1">IFERROR(__xludf.DUMMYFUNCTION("""COMPUTED_VALUE"""),"Fled/Apprehended")</f>
        <v>Fled/Apprehended</v>
      </c>
      <c r="G1367" s="5" t="str">
        <f ca="1">IFERROR(__xludf.DUMMYFUNCTION("""COMPUTED_VALUE"""),"No")</f>
        <v>No</v>
      </c>
      <c r="H1367" s="5" t="str">
        <f ca="1">IFERROR(__xludf.DUMMYFUNCTION("""COMPUTED_VALUE"""),"None")</f>
        <v>None</v>
      </c>
    </row>
    <row r="1368" spans="1:8" ht="13">
      <c r="A1368" s="5" t="str">
        <f ca="1">IFERROR(__xludf.DUMMYFUNCTION("""COMPUTED_VALUE"""),"20130830NCCAW")</f>
        <v>20130830NCCAW</v>
      </c>
      <c r="B1368" s="5">
        <f ca="1">IFERROR(__xludf.DUMMYFUNCTION("""COMPUTED_VALUE"""),18)</f>
        <v>18</v>
      </c>
      <c r="C1368" s="5" t="str">
        <f ca="1">IFERROR(__xludf.DUMMYFUNCTION("""COMPUTED_VALUE"""),"Male")</f>
        <v>Male</v>
      </c>
      <c r="D1368" s="5" t="str">
        <f ca="1">IFERROR(__xludf.DUMMYFUNCTION("""COMPUTED_VALUE"""),"Black")</f>
        <v>Black</v>
      </c>
      <c r="E1368" s="5" t="str">
        <f ca="1">IFERROR(__xludf.DUMMYFUNCTION("""COMPUTED_VALUE"""),"Student")</f>
        <v>Student</v>
      </c>
      <c r="F1368" s="5" t="str">
        <f ca="1">IFERROR(__xludf.DUMMYFUNCTION("""COMPUTED_VALUE"""),"Apprehended/Killed by SRO")</f>
        <v>Apprehended/Killed by SRO</v>
      </c>
      <c r="G1368" s="5" t="str">
        <f ca="1">IFERROR(__xludf.DUMMYFUNCTION("""COMPUTED_VALUE"""),"No")</f>
        <v>No</v>
      </c>
      <c r="H1368" s="5" t="str">
        <f ca="1">IFERROR(__xludf.DUMMYFUNCTION("""COMPUTED_VALUE"""),"None")</f>
        <v>None</v>
      </c>
    </row>
    <row r="1369" spans="1:8" ht="13">
      <c r="A1369" s="5" t="str">
        <f ca="1">IFERROR(__xludf.DUMMYFUNCTION("""COMPUTED_VALUE"""),"20130823MSNOS")</f>
        <v>20130823MSNOS</v>
      </c>
      <c r="B1369" s="5">
        <f ca="1">IFERROR(__xludf.DUMMYFUNCTION("""COMPUTED_VALUE"""),21)</f>
        <v>21</v>
      </c>
      <c r="C1369" s="5" t="str">
        <f ca="1">IFERROR(__xludf.DUMMYFUNCTION("""COMPUTED_VALUE"""),"Male")</f>
        <v>Male</v>
      </c>
      <c r="D1369" s="5" t="str">
        <f ca="1">IFERROR(__xludf.DUMMYFUNCTION("""COMPUTED_VALUE"""),"Black")</f>
        <v>Black</v>
      </c>
      <c r="E1369" s="5" t="str">
        <f ca="1">IFERROR(__xludf.DUMMYFUNCTION("""COMPUTED_VALUE"""),"Nonstudent Using Athletic Facilities/Attending Game")</f>
        <v>Nonstudent Using Athletic Facilities/Attending Game</v>
      </c>
      <c r="F1369" s="5" t="str">
        <f ca="1">IFERROR(__xludf.DUMMYFUNCTION("""COMPUTED_VALUE"""),"Fled/Escaped")</f>
        <v>Fled/Escaped</v>
      </c>
      <c r="G1369" s="5" t="str">
        <f ca="1">IFERROR(__xludf.DUMMYFUNCTION("""COMPUTED_VALUE"""),"No")</f>
        <v>No</v>
      </c>
      <c r="H1369" s="5" t="str">
        <f ca="1">IFERROR(__xludf.DUMMYFUNCTION("""COMPUTED_VALUE"""),"None")</f>
        <v>None</v>
      </c>
    </row>
    <row r="1370" spans="1:8" ht="13">
      <c r="A1370" s="5" t="str">
        <f ca="1">IFERROR(__xludf.DUMMYFUNCTION("""COMPUTED_VALUE"""),"20130823MSNOS")</f>
        <v>20130823MSNOS</v>
      </c>
      <c r="B1370" s="5">
        <f ca="1">IFERROR(__xludf.DUMMYFUNCTION("""COMPUTED_VALUE"""),17)</f>
        <v>17</v>
      </c>
      <c r="C1370" s="5" t="str">
        <f ca="1">IFERROR(__xludf.DUMMYFUNCTION("""COMPUTED_VALUE"""),"Male")</f>
        <v>Male</v>
      </c>
      <c r="D1370" s="5" t="str">
        <f ca="1">IFERROR(__xludf.DUMMYFUNCTION("""COMPUTED_VALUE"""),"Black")</f>
        <v>Black</v>
      </c>
      <c r="E1370" s="5" t="str">
        <f ca="1">IFERROR(__xludf.DUMMYFUNCTION("""COMPUTED_VALUE"""),"Nonstudent Using Athletic Facilities/Attending Game")</f>
        <v>Nonstudent Using Athletic Facilities/Attending Game</v>
      </c>
      <c r="F1370" s="5" t="str">
        <f ca="1">IFERROR(__xludf.DUMMYFUNCTION("""COMPUTED_VALUE"""),"Fled/Escaped")</f>
        <v>Fled/Escaped</v>
      </c>
      <c r="G1370" s="5" t="str">
        <f ca="1">IFERROR(__xludf.DUMMYFUNCTION("""COMPUTED_VALUE"""),"No")</f>
        <v>No</v>
      </c>
      <c r="H1370" s="5" t="str">
        <f ca="1">IFERROR(__xludf.DUMMYFUNCTION("""COMPUTED_VALUE"""),"None")</f>
        <v>None</v>
      </c>
    </row>
    <row r="1371" spans="1:8" ht="13">
      <c r="A1371" s="5" t="str">
        <f ca="1">IFERROR(__xludf.DUMMYFUNCTION("""COMPUTED_VALUE"""),"20130823MSNOS")</f>
        <v>20130823MSNOS</v>
      </c>
      <c r="B1371" s="5">
        <f ca="1">IFERROR(__xludf.DUMMYFUNCTION("""COMPUTED_VALUE"""),21)</f>
        <v>21</v>
      </c>
      <c r="C1371" s="5" t="str">
        <f ca="1">IFERROR(__xludf.DUMMYFUNCTION("""COMPUTED_VALUE"""),"Male")</f>
        <v>Male</v>
      </c>
      <c r="D1371" s="5" t="str">
        <f ca="1">IFERROR(__xludf.DUMMYFUNCTION("""COMPUTED_VALUE"""),"Black")</f>
        <v>Black</v>
      </c>
      <c r="E1371" s="5" t="str">
        <f ca="1">IFERROR(__xludf.DUMMYFUNCTION("""COMPUTED_VALUE"""),"Nonstudent Using Athletic Facilities/Attending Game")</f>
        <v>Nonstudent Using Athletic Facilities/Attending Game</v>
      </c>
      <c r="F1371" s="5" t="str">
        <f ca="1">IFERROR(__xludf.DUMMYFUNCTION("""COMPUTED_VALUE"""),"Fled/Escaped")</f>
        <v>Fled/Escaped</v>
      </c>
      <c r="G1371" s="5" t="str">
        <f ca="1">IFERROR(__xludf.DUMMYFUNCTION("""COMPUTED_VALUE"""),"No")</f>
        <v>No</v>
      </c>
      <c r="H1371" s="5" t="str">
        <f ca="1">IFERROR(__xludf.DUMMYFUNCTION("""COMPUTED_VALUE"""),"None")</f>
        <v>None</v>
      </c>
    </row>
    <row r="1372" spans="1:8" ht="13">
      <c r="A1372" s="5" t="str">
        <f ca="1">IFERROR(__xludf.DUMMYFUNCTION("""COMPUTED_VALUE"""),"20130822TNWEM")</f>
        <v>20130822TNWEM</v>
      </c>
      <c r="B1372" s="5">
        <f ca="1">IFERROR(__xludf.DUMMYFUNCTION("""COMPUTED_VALUE"""),5)</f>
        <v>5</v>
      </c>
      <c r="C1372" s="5" t="str">
        <f ca="1">IFERROR(__xludf.DUMMYFUNCTION("""COMPUTED_VALUE"""),"Male")</f>
        <v>Male</v>
      </c>
      <c r="D1372" s="5"/>
      <c r="E1372" s="5" t="str">
        <f ca="1">IFERROR(__xludf.DUMMYFUNCTION("""COMPUTED_VALUE"""),"Student")</f>
        <v>Student</v>
      </c>
      <c r="F1372" s="5" t="str">
        <f ca="1">IFERROR(__xludf.DUMMYFUNCTION("""COMPUTED_VALUE"""),"Surrendered")</f>
        <v>Surrendered</v>
      </c>
      <c r="G1372" s="5" t="str">
        <f ca="1">IFERROR(__xludf.DUMMYFUNCTION("""COMPUTED_VALUE"""),"No")</f>
        <v>No</v>
      </c>
      <c r="H1372" s="5" t="str">
        <f ca="1">IFERROR(__xludf.DUMMYFUNCTION("""COMPUTED_VALUE"""),"None")</f>
        <v>None</v>
      </c>
    </row>
    <row r="1373" spans="1:8" ht="13">
      <c r="A1373" s="5" t="str">
        <f ca="1">IFERROR(__xludf.DUMMYFUNCTION("""COMPUTED_VALUE"""),"20130820GAROD")</f>
        <v>20130820GAROD</v>
      </c>
      <c r="B1373" s="5">
        <f ca="1">IFERROR(__xludf.DUMMYFUNCTION("""COMPUTED_VALUE"""),20)</f>
        <v>20</v>
      </c>
      <c r="C1373" s="5" t="str">
        <f ca="1">IFERROR(__xludf.DUMMYFUNCTION("""COMPUTED_VALUE"""),"Male")</f>
        <v>Male</v>
      </c>
      <c r="D1373" s="5" t="str">
        <f ca="1">IFERROR(__xludf.DUMMYFUNCTION("""COMPUTED_VALUE"""),"White")</f>
        <v>White</v>
      </c>
      <c r="E1373" s="5" t="str">
        <f ca="1">IFERROR(__xludf.DUMMYFUNCTION("""COMPUTED_VALUE"""),"No Relation")</f>
        <v>No Relation</v>
      </c>
      <c r="F1373" s="5" t="str">
        <f ca="1">IFERROR(__xludf.DUMMYFUNCTION("""COMPUTED_VALUE"""),"Surrendered")</f>
        <v>Surrendered</v>
      </c>
      <c r="G1373" s="5" t="str">
        <f ca="1">IFERROR(__xludf.DUMMYFUNCTION("""COMPUTED_VALUE"""),"No")</f>
        <v>No</v>
      </c>
      <c r="H1373" s="5" t="str">
        <f ca="1">IFERROR(__xludf.DUMMYFUNCTION("""COMPUTED_VALUE"""),"None")</f>
        <v>None</v>
      </c>
    </row>
    <row r="1374" spans="1:8" ht="13">
      <c r="A1374" s="5" t="str">
        <f ca="1">IFERROR(__xludf.DUMMYFUNCTION("""COMPUTED_VALUE"""),"20130815TNNOC")</f>
        <v>20130815TNNOC</v>
      </c>
      <c r="B1374" s="5">
        <f ca="1">IFERROR(__xludf.DUMMYFUNCTION("""COMPUTED_VALUE"""),40)</f>
        <v>40</v>
      </c>
      <c r="C1374" s="5" t="str">
        <f ca="1">IFERROR(__xludf.DUMMYFUNCTION("""COMPUTED_VALUE"""),"Male")</f>
        <v>Male</v>
      </c>
      <c r="D1374" s="5" t="str">
        <f ca="1">IFERROR(__xludf.DUMMYFUNCTION("""COMPUTED_VALUE"""),"Black")</f>
        <v>Black</v>
      </c>
      <c r="E1374" s="5" t="str">
        <f ca="1">IFERROR(__xludf.DUMMYFUNCTION("""COMPUTED_VALUE"""),"No Relation")</f>
        <v>No Relation</v>
      </c>
      <c r="F1374" s="5" t="str">
        <f ca="1">IFERROR(__xludf.DUMMYFUNCTION("""COMPUTED_VALUE"""),"Fled/Apprehended")</f>
        <v>Fled/Apprehended</v>
      </c>
      <c r="G1374" s="5" t="str">
        <f ca="1">IFERROR(__xludf.DUMMYFUNCTION("""COMPUTED_VALUE"""),"No")</f>
        <v>No</v>
      </c>
      <c r="H1374" s="5" t="str">
        <f ca="1">IFERROR(__xludf.DUMMYFUNCTION("""COMPUTED_VALUE"""),"None")</f>
        <v>None</v>
      </c>
    </row>
    <row r="1375" spans="1:8" ht="13">
      <c r="A1375" s="5" t="str">
        <f ca="1">IFERROR(__xludf.DUMMYFUNCTION("""COMPUTED_VALUE"""),"20130619FLALW")</f>
        <v>20130619FLALW</v>
      </c>
      <c r="B1375" s="5">
        <f ca="1">IFERROR(__xludf.DUMMYFUNCTION("""COMPUTED_VALUE"""),53)</f>
        <v>53</v>
      </c>
      <c r="C1375" s="5" t="str">
        <f ca="1">IFERROR(__xludf.DUMMYFUNCTION("""COMPUTED_VALUE"""),"Male")</f>
        <v>Male</v>
      </c>
      <c r="D1375" s="5" t="str">
        <f ca="1">IFERROR(__xludf.DUMMYFUNCTION("""COMPUTED_VALUE"""),"Hispanic")</f>
        <v>Hispanic</v>
      </c>
      <c r="E1375" s="5" t="str">
        <f ca="1">IFERROR(__xludf.DUMMYFUNCTION("""COMPUTED_VALUE"""),"Other Staff")</f>
        <v>Other Staff</v>
      </c>
      <c r="F1375" s="5" t="str">
        <f ca="1">IFERROR(__xludf.DUMMYFUNCTION("""COMPUTED_VALUE"""),"Fled/Apprehended")</f>
        <v>Fled/Apprehended</v>
      </c>
      <c r="G1375" s="5" t="str">
        <f ca="1">IFERROR(__xludf.DUMMYFUNCTION("""COMPUTED_VALUE"""),"No")</f>
        <v>No</v>
      </c>
      <c r="H1375" s="5" t="str">
        <f ca="1">IFERROR(__xludf.DUMMYFUNCTION("""COMPUTED_VALUE"""),"None")</f>
        <v>None</v>
      </c>
    </row>
    <row r="1376" spans="1:8" ht="13">
      <c r="A1376" s="5" t="str">
        <f ca="1">IFERROR(__xludf.DUMMYFUNCTION("""COMPUTED_VALUE"""),"20130618NCHIC")</f>
        <v>20130618NCHIC</v>
      </c>
      <c r="B1376" s="5">
        <f ca="1">IFERROR(__xludf.DUMMYFUNCTION("""COMPUTED_VALUE"""),17)</f>
        <v>17</v>
      </c>
      <c r="C1376" s="5" t="str">
        <f ca="1">IFERROR(__xludf.DUMMYFUNCTION("""COMPUTED_VALUE"""),"Male")</f>
        <v>Male</v>
      </c>
      <c r="D1376" s="5" t="str">
        <f ca="1">IFERROR(__xludf.DUMMYFUNCTION("""COMPUTED_VALUE"""),"Black")</f>
        <v>Black</v>
      </c>
      <c r="E1376" s="5" t="str">
        <f ca="1">IFERROR(__xludf.DUMMYFUNCTION("""COMPUTED_VALUE"""),"Unknown")</f>
        <v>Unknown</v>
      </c>
      <c r="F1376" s="5" t="str">
        <f ca="1">IFERROR(__xludf.DUMMYFUNCTION("""COMPUTED_VALUE"""),"Apprehended/Killed by LE")</f>
        <v>Apprehended/Killed by LE</v>
      </c>
      <c r="G1376" s="5" t="str">
        <f ca="1">IFERROR(__xludf.DUMMYFUNCTION("""COMPUTED_VALUE"""),"No")</f>
        <v>No</v>
      </c>
      <c r="H1376" s="5" t="str">
        <f ca="1">IFERROR(__xludf.DUMMYFUNCTION("""COMPUTED_VALUE"""),"Wounded")</f>
        <v>Wounded</v>
      </c>
    </row>
    <row r="1377" spans="1:8" ht="13">
      <c r="A1377" s="5" t="str">
        <f ca="1">IFERROR(__xludf.DUMMYFUNCTION("""COMPUTED_VALUE"""),"20130618NCHIC")</f>
        <v>20130618NCHIC</v>
      </c>
      <c r="B1377" s="5">
        <f ca="1">IFERROR(__xludf.DUMMYFUNCTION("""COMPUTED_VALUE"""),17)</f>
        <v>17</v>
      </c>
      <c r="C1377" s="5" t="str">
        <f ca="1">IFERROR(__xludf.DUMMYFUNCTION("""COMPUTED_VALUE"""),"Male")</f>
        <v>Male</v>
      </c>
      <c r="D1377" s="5" t="str">
        <f ca="1">IFERROR(__xludf.DUMMYFUNCTION("""COMPUTED_VALUE"""),"Black")</f>
        <v>Black</v>
      </c>
      <c r="E1377" s="5" t="str">
        <f ca="1">IFERROR(__xludf.DUMMYFUNCTION("""COMPUTED_VALUE"""),"Unknown")</f>
        <v>Unknown</v>
      </c>
      <c r="F1377" s="5" t="str">
        <f ca="1">IFERROR(__xludf.DUMMYFUNCTION("""COMPUTED_VALUE"""),"Apprehended/Killed by LE")</f>
        <v>Apprehended/Killed by LE</v>
      </c>
      <c r="G1377" s="5" t="str">
        <f ca="1">IFERROR(__xludf.DUMMYFUNCTION("""COMPUTED_VALUE"""),"Yes")</f>
        <v>Yes</v>
      </c>
      <c r="H1377" s="5" t="str">
        <f ca="1">IFERROR(__xludf.DUMMYFUNCTION("""COMPUTED_VALUE"""),"Fatal")</f>
        <v>Fatal</v>
      </c>
    </row>
    <row r="1378" spans="1:8" ht="13">
      <c r="A1378" s="5" t="str">
        <f ca="1">IFERROR(__xludf.DUMMYFUNCTION("""COMPUTED_VALUE"""),"20130523FLREH")</f>
        <v>20130523FLREH</v>
      </c>
      <c r="B1378" s="5">
        <f ca="1">IFERROR(__xludf.DUMMYFUNCTION("""COMPUTED_VALUE"""),11)</f>
        <v>11</v>
      </c>
      <c r="C1378" s="5" t="str">
        <f ca="1">IFERROR(__xludf.DUMMYFUNCTION("""COMPUTED_VALUE"""),"Male")</f>
        <v>Male</v>
      </c>
      <c r="D1378" s="5"/>
      <c r="E1378" s="5" t="str">
        <f ca="1">IFERROR(__xludf.DUMMYFUNCTION("""COMPUTED_VALUE"""),"Student")</f>
        <v>Student</v>
      </c>
      <c r="F1378" s="5" t="str">
        <f ca="1">IFERROR(__xludf.DUMMYFUNCTION("""COMPUTED_VALUE"""),"Unknown")</f>
        <v>Unknown</v>
      </c>
      <c r="G1378" s="5" t="str">
        <f ca="1">IFERROR(__xludf.DUMMYFUNCTION("""COMPUTED_VALUE"""),"No")</f>
        <v>No</v>
      </c>
      <c r="H1378" s="5" t="str">
        <f ca="1">IFERROR(__xludf.DUMMYFUNCTION("""COMPUTED_VALUE"""),"None")</f>
        <v>None</v>
      </c>
    </row>
    <row r="1379" spans="1:8" ht="13">
      <c r="A1379" s="5" t="str">
        <f ca="1">IFERROR(__xludf.DUMMYFUNCTION("""COMPUTED_VALUE"""),"20130513ALOSB")</f>
        <v>20130513ALOSB</v>
      </c>
      <c r="B1379" s="5">
        <f ca="1">IFERROR(__xludf.DUMMYFUNCTION("""COMPUTED_VALUE"""),36)</f>
        <v>36</v>
      </c>
      <c r="C1379" s="5" t="str">
        <f ca="1">IFERROR(__xludf.DUMMYFUNCTION("""COMPUTED_VALUE"""),"Female")</f>
        <v>Female</v>
      </c>
      <c r="D1379" s="5" t="str">
        <f ca="1">IFERROR(__xludf.DUMMYFUNCTION("""COMPUTED_VALUE"""),"Black")</f>
        <v>Black</v>
      </c>
      <c r="E1379" s="5" t="str">
        <f ca="1">IFERROR(__xludf.DUMMYFUNCTION("""COMPUTED_VALUE"""),"Parent")</f>
        <v>Parent</v>
      </c>
      <c r="F1379" s="5" t="str">
        <f ca="1">IFERROR(__xludf.DUMMYFUNCTION("""COMPUTED_VALUE"""),"Unknown")</f>
        <v>Unknown</v>
      </c>
      <c r="G1379" s="5" t="str">
        <f ca="1">IFERROR(__xludf.DUMMYFUNCTION("""COMPUTED_VALUE"""),"No")</f>
        <v>No</v>
      </c>
      <c r="H1379" s="5" t="str">
        <f ca="1">IFERROR(__xludf.DUMMYFUNCTION("""COMPUTED_VALUE"""),"None")</f>
        <v>None</v>
      </c>
    </row>
    <row r="1380" spans="1:8" ht="13">
      <c r="A1380" s="5" t="str">
        <f ca="1">IFERROR(__xludf.DUMMYFUNCTION("""COMPUTED_VALUE"""),"20130430NMTUT")</f>
        <v>20130430NMTUT</v>
      </c>
      <c r="B1380" s="5">
        <f ca="1">IFERROR(__xludf.DUMMYFUNCTION("""COMPUTED_VALUE"""),19)</f>
        <v>19</v>
      </c>
      <c r="C1380" s="5" t="str">
        <f ca="1">IFERROR(__xludf.DUMMYFUNCTION("""COMPUTED_VALUE"""),"Male")</f>
        <v>Male</v>
      </c>
      <c r="D1380" s="5"/>
      <c r="E1380" s="5" t="str">
        <f ca="1">IFERROR(__xludf.DUMMYFUNCTION("""COMPUTED_VALUE"""),"No Relation")</f>
        <v>No Relation</v>
      </c>
      <c r="F1380" s="5" t="str">
        <f ca="1">IFERROR(__xludf.DUMMYFUNCTION("""COMPUTED_VALUE"""),"Apprehended/Killed by LE")</f>
        <v>Apprehended/Killed by LE</v>
      </c>
      <c r="G1380" s="5" t="str">
        <f ca="1">IFERROR(__xludf.DUMMYFUNCTION("""COMPUTED_VALUE"""),"Yes")</f>
        <v>Yes</v>
      </c>
      <c r="H1380" s="5" t="str">
        <f ca="1">IFERROR(__xludf.DUMMYFUNCTION("""COMPUTED_VALUE"""),"Fatal")</f>
        <v>Fatal</v>
      </c>
    </row>
    <row r="1381" spans="1:8" ht="13">
      <c r="A1381" s="5" t="str">
        <f ca="1">IFERROR(__xludf.DUMMYFUNCTION("""COMPUTED_VALUE"""),"20130429OHLAC")</f>
        <v>20130429OHLAC</v>
      </c>
      <c r="B1381" s="5">
        <f ca="1">IFERROR(__xludf.DUMMYFUNCTION("""COMPUTED_VALUE"""),17)</f>
        <v>17</v>
      </c>
      <c r="C1381" s="5" t="str">
        <f ca="1">IFERROR(__xludf.DUMMYFUNCTION("""COMPUTED_VALUE"""),"Male")</f>
        <v>Male</v>
      </c>
      <c r="D1381" s="5"/>
      <c r="E1381" s="5" t="str">
        <f ca="1">IFERROR(__xludf.DUMMYFUNCTION("""COMPUTED_VALUE"""),"Student")</f>
        <v>Student</v>
      </c>
      <c r="F1381" s="5" t="str">
        <f ca="1">IFERROR(__xludf.DUMMYFUNCTION("""COMPUTED_VALUE"""),"Attempted Suicide")</f>
        <v>Attempted Suicide</v>
      </c>
      <c r="G1381" s="5" t="str">
        <f ca="1">IFERROR(__xludf.DUMMYFUNCTION("""COMPUTED_VALUE"""),"No")</f>
        <v>No</v>
      </c>
      <c r="H1381" s="5" t="str">
        <f ca="1">IFERROR(__xludf.DUMMYFUNCTION("""COMPUTED_VALUE"""),"Wounded")</f>
        <v>Wounded</v>
      </c>
    </row>
    <row r="1382" spans="1:8" ht="13">
      <c r="A1382" s="5" t="str">
        <f ca="1">IFERROR(__xludf.DUMMYFUNCTION("""COMPUTED_VALUE"""),"20130416TXTET")</f>
        <v>20130416TXTET</v>
      </c>
      <c r="B1382" s="5">
        <f ca="1">IFERROR(__xludf.DUMMYFUNCTION("""COMPUTED_VALUE"""),15)</f>
        <v>15</v>
      </c>
      <c r="C1382" s="5" t="str">
        <f ca="1">IFERROR(__xludf.DUMMYFUNCTION("""COMPUTED_VALUE"""),"Male")</f>
        <v>Male</v>
      </c>
      <c r="D1382" s="5"/>
      <c r="E1382" s="5" t="str">
        <f ca="1">IFERROR(__xludf.DUMMYFUNCTION("""COMPUTED_VALUE"""),"Student")</f>
        <v>Student</v>
      </c>
      <c r="F1382" s="5" t="str">
        <f ca="1">IFERROR(__xludf.DUMMYFUNCTION("""COMPUTED_VALUE"""),"Suicide")</f>
        <v>Suicide</v>
      </c>
      <c r="G1382" s="5" t="str">
        <f ca="1">IFERROR(__xludf.DUMMYFUNCTION("""COMPUTED_VALUE"""),"Yes")</f>
        <v>Yes</v>
      </c>
      <c r="H1382" s="5" t="str">
        <f ca="1">IFERROR(__xludf.DUMMYFUNCTION("""COMPUTED_VALUE"""),"Suicide")</f>
        <v>Suicide</v>
      </c>
    </row>
    <row r="1383" spans="1:8" ht="13">
      <c r="A1383" s="5" t="str">
        <f ca="1">IFERROR(__xludf.DUMMYFUNCTION("""COMPUTED_VALUE"""),"20130321MIDAS")</f>
        <v>20130321MIDAS</v>
      </c>
      <c r="B1383" s="5">
        <f ca="1">IFERROR(__xludf.DUMMYFUNCTION("""COMPUTED_VALUE"""),13)</f>
        <v>13</v>
      </c>
      <c r="C1383" s="5" t="str">
        <f ca="1">IFERROR(__xludf.DUMMYFUNCTION("""COMPUTED_VALUE"""),"Male")</f>
        <v>Male</v>
      </c>
      <c r="D1383" s="5" t="str">
        <f ca="1">IFERROR(__xludf.DUMMYFUNCTION("""COMPUTED_VALUE"""),"White")</f>
        <v>White</v>
      </c>
      <c r="E1383" s="5" t="str">
        <f ca="1">IFERROR(__xludf.DUMMYFUNCTION("""COMPUTED_VALUE"""),"Student")</f>
        <v>Student</v>
      </c>
      <c r="F1383" s="5" t="str">
        <f ca="1">IFERROR(__xludf.DUMMYFUNCTION("""COMPUTED_VALUE"""),"Suicide")</f>
        <v>Suicide</v>
      </c>
      <c r="G1383" s="5" t="str">
        <f ca="1">IFERROR(__xludf.DUMMYFUNCTION("""COMPUTED_VALUE"""),"Yes")</f>
        <v>Yes</v>
      </c>
      <c r="H1383" s="5" t="str">
        <f ca="1">IFERROR(__xludf.DUMMYFUNCTION("""COMPUTED_VALUE"""),"Suicide")</f>
        <v>Suicide</v>
      </c>
    </row>
    <row r="1384" spans="1:8" ht="13">
      <c r="A1384" s="5" t="str">
        <f ca="1">IFERROR(__xludf.DUMMYFUNCTION("""COMPUTED_VALUE"""),"20130227GAGRA")</f>
        <v>20130227GAGRA</v>
      </c>
      <c r="B1384" s="5">
        <f ca="1">IFERROR(__xludf.DUMMYFUNCTION("""COMPUTED_VALUE"""),17)</f>
        <v>17</v>
      </c>
      <c r="C1384" s="5" t="str">
        <f ca="1">IFERROR(__xludf.DUMMYFUNCTION("""COMPUTED_VALUE"""),"Female")</f>
        <v>Female</v>
      </c>
      <c r="D1384" s="5" t="str">
        <f ca="1">IFERROR(__xludf.DUMMYFUNCTION("""COMPUTED_VALUE"""),"Black")</f>
        <v>Black</v>
      </c>
      <c r="E1384" s="5" t="str">
        <f ca="1">IFERROR(__xludf.DUMMYFUNCTION("""COMPUTED_VALUE"""),"Student")</f>
        <v>Student</v>
      </c>
      <c r="F1384" s="5" t="str">
        <f ca="1">IFERROR(__xludf.DUMMYFUNCTION("""COMPUTED_VALUE"""),"Surrendered")</f>
        <v>Surrendered</v>
      </c>
      <c r="G1384" s="5" t="str">
        <f ca="1">IFERROR(__xludf.DUMMYFUNCTION("""COMPUTED_VALUE"""),"No")</f>
        <v>No</v>
      </c>
      <c r="H1384" s="5" t="str">
        <f ca="1">IFERROR(__xludf.DUMMYFUNCTION("""COMPUTED_VALUE"""),"Wounded")</f>
        <v>Wounded</v>
      </c>
    </row>
    <row r="1385" spans="1:8" ht="13">
      <c r="A1385" s="5" t="str">
        <f ca="1">IFERROR(__xludf.DUMMYFUNCTION("""COMPUTED_VALUE"""),"20130213CAHIS")</f>
        <v>20130213CAHIS</v>
      </c>
      <c r="B1385" s="5">
        <f ca="1">IFERROR(__xludf.DUMMYFUNCTION("""COMPUTED_VALUE"""),18)</f>
        <v>18</v>
      </c>
      <c r="C1385" s="5" t="str">
        <f ca="1">IFERROR(__xludf.DUMMYFUNCTION("""COMPUTED_VALUE"""),"Male")</f>
        <v>Male</v>
      </c>
      <c r="D1385" s="5" t="str">
        <f ca="1">IFERROR(__xludf.DUMMYFUNCTION("""COMPUTED_VALUE"""),"Black")</f>
        <v>Black</v>
      </c>
      <c r="E1385" s="5" t="str">
        <f ca="1">IFERROR(__xludf.DUMMYFUNCTION("""COMPUTED_VALUE"""),"No Relation")</f>
        <v>No Relation</v>
      </c>
      <c r="F1385" s="5" t="str">
        <f ca="1">IFERROR(__xludf.DUMMYFUNCTION("""COMPUTED_VALUE"""),"Fled/Apprehended")</f>
        <v>Fled/Apprehended</v>
      </c>
      <c r="G1385" s="5" t="str">
        <f ca="1">IFERROR(__xludf.DUMMYFUNCTION("""COMPUTED_VALUE"""),"No")</f>
        <v>No</v>
      </c>
      <c r="H1385" s="5" t="str">
        <f ca="1">IFERROR(__xludf.DUMMYFUNCTION("""COMPUTED_VALUE"""),"None")</f>
        <v>None</v>
      </c>
    </row>
    <row r="1386" spans="1:8" ht="13">
      <c r="A1386" s="5" t="str">
        <f ca="1">IFERROR(__xludf.DUMMYFUNCTION("""COMPUTED_VALUE"""),"20130201MIMAD")</f>
        <v>20130201MIMAD</v>
      </c>
      <c r="B1386" s="5">
        <f ca="1">IFERROR(__xludf.DUMMYFUNCTION("""COMPUTED_VALUE"""),16)</f>
        <v>16</v>
      </c>
      <c r="C1386" s="5" t="str">
        <f ca="1">IFERROR(__xludf.DUMMYFUNCTION("""COMPUTED_VALUE"""),"Male")</f>
        <v>Male</v>
      </c>
      <c r="D1386" s="5"/>
      <c r="E1386" s="5" t="str">
        <f ca="1">IFERROR(__xludf.DUMMYFUNCTION("""COMPUTED_VALUE"""),"Unknown")</f>
        <v>Unknown</v>
      </c>
      <c r="F1386" s="5" t="str">
        <f ca="1">IFERROR(__xludf.DUMMYFUNCTION("""COMPUTED_VALUE"""),"Apprehended/Killed by LE")</f>
        <v>Apprehended/Killed by LE</v>
      </c>
      <c r="G1386" s="5" t="str">
        <f ca="1">IFERROR(__xludf.DUMMYFUNCTION("""COMPUTED_VALUE"""),"Yes")</f>
        <v>Yes</v>
      </c>
      <c r="H1386" s="5" t="str">
        <f ca="1">IFERROR(__xludf.DUMMYFUNCTION("""COMPUTED_VALUE"""),"Fatal")</f>
        <v>Fatal</v>
      </c>
    </row>
    <row r="1387" spans="1:8" ht="13">
      <c r="A1387" s="5" t="str">
        <f ca="1">IFERROR(__xludf.DUMMYFUNCTION("""COMPUTED_VALUE"""),"20130201MIMAD")</f>
        <v>20130201MIMAD</v>
      </c>
      <c r="B1387" s="5">
        <f ca="1">IFERROR(__xludf.DUMMYFUNCTION("""COMPUTED_VALUE"""),15)</f>
        <v>15</v>
      </c>
      <c r="C1387" s="5" t="str">
        <f ca="1">IFERROR(__xludf.DUMMYFUNCTION("""COMPUTED_VALUE"""),"Male")</f>
        <v>Male</v>
      </c>
      <c r="D1387" s="5"/>
      <c r="E1387" s="5" t="str">
        <f ca="1">IFERROR(__xludf.DUMMYFUNCTION("""COMPUTED_VALUE"""),"Unknown")</f>
        <v>Unknown</v>
      </c>
      <c r="F1387" s="5" t="str">
        <f ca="1">IFERROR(__xludf.DUMMYFUNCTION("""COMPUTED_VALUE"""),"Apprehended/Killed by LE")</f>
        <v>Apprehended/Killed by LE</v>
      </c>
      <c r="G1387" s="5" t="str">
        <f ca="1">IFERROR(__xludf.DUMMYFUNCTION("""COMPUTED_VALUE"""),"No")</f>
        <v>No</v>
      </c>
      <c r="H1387" s="5" t="str">
        <f ca="1">IFERROR(__xludf.DUMMYFUNCTION("""COMPUTED_VALUE"""),"Wounded")</f>
        <v>Wounded</v>
      </c>
    </row>
    <row r="1388" spans="1:8" ht="13">
      <c r="A1388" s="5" t="str">
        <f ca="1">IFERROR(__xludf.DUMMYFUNCTION("""COMPUTED_VALUE"""),"20130131GAPRA")</f>
        <v>20130131GAPRA</v>
      </c>
      <c r="B1388" s="5">
        <f ca="1">IFERROR(__xludf.DUMMYFUNCTION("""COMPUTED_VALUE"""),15)</f>
        <v>15</v>
      </c>
      <c r="C1388" s="5" t="str">
        <f ca="1">IFERROR(__xludf.DUMMYFUNCTION("""COMPUTED_VALUE"""),"Male")</f>
        <v>Male</v>
      </c>
      <c r="D1388" s="5"/>
      <c r="E1388" s="5" t="str">
        <f ca="1">IFERROR(__xludf.DUMMYFUNCTION("""COMPUTED_VALUE"""),"Student")</f>
        <v>Student</v>
      </c>
      <c r="F1388" s="5" t="str">
        <f ca="1">IFERROR(__xludf.DUMMYFUNCTION("""COMPUTED_VALUE"""),"Apprehended/Killed by SRO")</f>
        <v>Apprehended/Killed by SRO</v>
      </c>
      <c r="G1388" s="5" t="str">
        <f ca="1">IFERROR(__xludf.DUMMYFUNCTION("""COMPUTED_VALUE"""),"No")</f>
        <v>No</v>
      </c>
      <c r="H1388" s="5" t="str">
        <f ca="1">IFERROR(__xludf.DUMMYFUNCTION("""COMPUTED_VALUE"""),"None")</f>
        <v>None</v>
      </c>
    </row>
    <row r="1389" spans="1:8" ht="13">
      <c r="A1389" s="5" t="str">
        <f ca="1">IFERROR(__xludf.DUMMYFUNCTION("""COMPUTED_VALUE"""),"20130129ALDAM")</f>
        <v>20130129ALDAM</v>
      </c>
      <c r="B1389" s="5">
        <f ca="1">IFERROR(__xludf.DUMMYFUNCTION("""COMPUTED_VALUE"""),65)</f>
        <v>65</v>
      </c>
      <c r="C1389" s="5" t="str">
        <f ca="1">IFERROR(__xludf.DUMMYFUNCTION("""COMPUTED_VALUE"""),"Male")</f>
        <v>Male</v>
      </c>
      <c r="D1389" s="5" t="str">
        <f ca="1">IFERROR(__xludf.DUMMYFUNCTION("""COMPUTED_VALUE"""),"White")</f>
        <v>White</v>
      </c>
      <c r="E1389" s="5" t="str">
        <f ca="1">IFERROR(__xludf.DUMMYFUNCTION("""COMPUTED_VALUE"""),"No Relation")</f>
        <v>No Relation</v>
      </c>
      <c r="F1389" s="5" t="str">
        <f ca="1">IFERROR(__xludf.DUMMYFUNCTION("""COMPUTED_VALUE"""),"Fled/Apprehended")</f>
        <v>Fled/Apprehended</v>
      </c>
      <c r="G1389" s="5" t="str">
        <f ca="1">IFERROR(__xludf.DUMMYFUNCTION("""COMPUTED_VALUE"""),"No")</f>
        <v>No</v>
      </c>
      <c r="H1389" s="5" t="str">
        <f ca="1">IFERROR(__xludf.DUMMYFUNCTION("""COMPUTED_VALUE"""),"None")</f>
        <v>None</v>
      </c>
    </row>
    <row r="1390" spans="1:8" ht="13">
      <c r="A1390" s="5" t="str">
        <f ca="1">IFERROR(__xludf.DUMMYFUNCTION("""COMPUTED_VALUE"""),"20130111MIOSD")</f>
        <v>20130111MIOSD</v>
      </c>
      <c r="B1390" s="5" t="str">
        <f ca="1">IFERROR(__xludf.DUMMYFUNCTION("""COMPUTED_VALUE"""),"Teen")</f>
        <v>Teen</v>
      </c>
      <c r="C1390" s="5" t="str">
        <f ca="1">IFERROR(__xludf.DUMMYFUNCTION("""COMPUTED_VALUE"""),"Male")</f>
        <v>Male</v>
      </c>
      <c r="D1390" s="5"/>
      <c r="E1390" s="5" t="str">
        <f ca="1">IFERROR(__xludf.DUMMYFUNCTION("""COMPUTED_VALUE"""),"Nonstudent Using Athletic Facilities/Attending Game")</f>
        <v>Nonstudent Using Athletic Facilities/Attending Game</v>
      </c>
      <c r="F1390" s="5" t="str">
        <f ca="1">IFERROR(__xludf.DUMMYFUNCTION("""COMPUTED_VALUE"""),"Fled/Escaped")</f>
        <v>Fled/Escaped</v>
      </c>
      <c r="G1390" s="5" t="str">
        <f ca="1">IFERROR(__xludf.DUMMYFUNCTION("""COMPUTED_VALUE"""),"No")</f>
        <v>No</v>
      </c>
      <c r="H1390" s="5" t="str">
        <f ca="1">IFERROR(__xludf.DUMMYFUNCTION("""COMPUTED_VALUE"""),"None")</f>
        <v>None</v>
      </c>
    </row>
    <row r="1391" spans="1:8" ht="13">
      <c r="A1391" s="5" t="str">
        <f ca="1">IFERROR(__xludf.DUMMYFUNCTION("""COMPUTED_VALUE"""),"20130110CATAT")</f>
        <v>20130110CATAT</v>
      </c>
      <c r="B1391" s="5">
        <f ca="1">IFERROR(__xludf.DUMMYFUNCTION("""COMPUTED_VALUE"""),16)</f>
        <v>16</v>
      </c>
      <c r="C1391" s="5" t="str">
        <f ca="1">IFERROR(__xludf.DUMMYFUNCTION("""COMPUTED_VALUE"""),"Male")</f>
        <v>Male</v>
      </c>
      <c r="D1391" s="5" t="str">
        <f ca="1">IFERROR(__xludf.DUMMYFUNCTION("""COMPUTED_VALUE"""),"White")</f>
        <v>White</v>
      </c>
      <c r="E1391" s="5" t="str">
        <f ca="1">IFERROR(__xludf.DUMMYFUNCTION("""COMPUTED_VALUE"""),"Student")</f>
        <v>Student</v>
      </c>
      <c r="F1391" s="5" t="str">
        <f ca="1">IFERROR(__xludf.DUMMYFUNCTION("""COMPUTED_VALUE"""),"Surrendered")</f>
        <v>Surrendered</v>
      </c>
      <c r="G1391" s="5" t="str">
        <f ca="1">IFERROR(__xludf.DUMMYFUNCTION("""COMPUTED_VALUE"""),"No")</f>
        <v>No</v>
      </c>
      <c r="H1391" s="5" t="str">
        <f ca="1">IFERROR(__xludf.DUMMYFUNCTION("""COMPUTED_VALUE"""),"None")</f>
        <v>None</v>
      </c>
    </row>
    <row r="1392" spans="1:8" ht="13">
      <c r="A1392" s="5" t="str">
        <f ca="1">IFERROR(__xludf.DUMMYFUNCTION("""COMPUTED_VALUE"""),"20130107FLAPF")</f>
        <v>20130107FLAPF</v>
      </c>
      <c r="B1392" s="5"/>
      <c r="C1392" s="5"/>
      <c r="D1392" s="5"/>
      <c r="E1392" s="5" t="str">
        <f ca="1">IFERROR(__xludf.DUMMYFUNCTION("""COMPUTED_VALUE"""),"Unknown")</f>
        <v>Unknown</v>
      </c>
      <c r="F1392" s="5" t="str">
        <f ca="1">IFERROR(__xludf.DUMMYFUNCTION("""COMPUTED_VALUE"""),"Fled/Escaped")</f>
        <v>Fled/Escaped</v>
      </c>
      <c r="G1392" s="5" t="str">
        <f ca="1">IFERROR(__xludf.DUMMYFUNCTION("""COMPUTED_VALUE"""),"No")</f>
        <v>No</v>
      </c>
      <c r="H1392" s="5" t="str">
        <f ca="1">IFERROR(__xludf.DUMMYFUNCTION("""COMPUTED_VALUE"""),"None")</f>
        <v>None</v>
      </c>
    </row>
    <row r="1393" spans="1:8" ht="13">
      <c r="A1393" s="5" t="str">
        <f ca="1">IFERROR(__xludf.DUMMYFUNCTION("""COMPUTED_VALUE"""),"20121214CTSAN")</f>
        <v>20121214CTSAN</v>
      </c>
      <c r="B1393" s="5">
        <f ca="1">IFERROR(__xludf.DUMMYFUNCTION("""COMPUTED_VALUE"""),20)</f>
        <v>20</v>
      </c>
      <c r="C1393" s="5" t="str">
        <f ca="1">IFERROR(__xludf.DUMMYFUNCTION("""COMPUTED_VALUE"""),"Male")</f>
        <v>Male</v>
      </c>
      <c r="D1393" s="5" t="str">
        <f ca="1">IFERROR(__xludf.DUMMYFUNCTION("""COMPUTED_VALUE"""),"White")</f>
        <v>White</v>
      </c>
      <c r="E1393" s="5" t="str">
        <f ca="1">IFERROR(__xludf.DUMMYFUNCTION("""COMPUTED_VALUE"""),"Former Student")</f>
        <v>Former Student</v>
      </c>
      <c r="F1393" s="5" t="str">
        <f ca="1">IFERROR(__xludf.DUMMYFUNCTION("""COMPUTED_VALUE"""),"Suicide")</f>
        <v>Suicide</v>
      </c>
      <c r="G1393" s="5" t="str">
        <f ca="1">IFERROR(__xludf.DUMMYFUNCTION("""COMPUTED_VALUE"""),"Yes")</f>
        <v>Yes</v>
      </c>
      <c r="H1393" s="5" t="str">
        <f ca="1">IFERROR(__xludf.DUMMYFUNCTION("""COMPUTED_VALUE"""),"Suicide")</f>
        <v>Suicide</v>
      </c>
    </row>
    <row r="1394" spans="1:8" ht="13">
      <c r="A1394" s="5" t="str">
        <f ca="1">IFERROR(__xludf.DUMMYFUNCTION("""COMPUTED_VALUE"""),"20121210TXSPH")</f>
        <v>20121210TXSPH</v>
      </c>
      <c r="B1394" s="5">
        <f ca="1">IFERROR(__xludf.DUMMYFUNCTION("""COMPUTED_VALUE"""),15)</f>
        <v>15</v>
      </c>
      <c r="C1394" s="5" t="str">
        <f ca="1">IFERROR(__xludf.DUMMYFUNCTION("""COMPUTED_VALUE"""),"Male")</f>
        <v>Male</v>
      </c>
      <c r="D1394" s="5"/>
      <c r="E1394" s="5" t="str">
        <f ca="1">IFERROR(__xludf.DUMMYFUNCTION("""COMPUTED_VALUE"""),"Student")</f>
        <v>Student</v>
      </c>
      <c r="F1394" s="5" t="str">
        <f ca="1">IFERROR(__xludf.DUMMYFUNCTION("""COMPUTED_VALUE"""),"Surrendered")</f>
        <v>Surrendered</v>
      </c>
      <c r="G1394" s="5" t="str">
        <f ca="1">IFERROR(__xludf.DUMMYFUNCTION("""COMPUTED_VALUE"""),"No")</f>
        <v>No</v>
      </c>
      <c r="H1394" s="5" t="str">
        <f ca="1">IFERROR(__xludf.DUMMYFUNCTION("""COMPUTED_VALUE"""),"None")</f>
        <v>None</v>
      </c>
    </row>
    <row r="1395" spans="1:8" ht="13">
      <c r="A1395" s="5" t="str">
        <f ca="1">IFERROR(__xludf.DUMMYFUNCTION("""COMPUTED_VALUE"""),"20121019ILBAC")</f>
        <v>20121019ILBAC</v>
      </c>
      <c r="B1395" s="5">
        <f ca="1">IFERROR(__xludf.DUMMYFUNCTION("""COMPUTED_VALUE"""),14)</f>
        <v>14</v>
      </c>
      <c r="C1395" s="5" t="str">
        <f ca="1">IFERROR(__xludf.DUMMYFUNCTION("""COMPUTED_VALUE"""),"Male")</f>
        <v>Male</v>
      </c>
      <c r="D1395" s="5" t="str">
        <f ca="1">IFERROR(__xludf.DUMMYFUNCTION("""COMPUTED_VALUE"""),"Black")</f>
        <v>Black</v>
      </c>
      <c r="E1395" s="5" t="str">
        <f ca="1">IFERROR(__xludf.DUMMYFUNCTION("""COMPUTED_VALUE"""),"Unknown")</f>
        <v>Unknown</v>
      </c>
      <c r="F1395" s="5" t="str">
        <f ca="1">IFERROR(__xludf.DUMMYFUNCTION("""COMPUTED_VALUE"""),"Fled/Apprehended")</f>
        <v>Fled/Apprehended</v>
      </c>
      <c r="G1395" s="5" t="str">
        <f ca="1">IFERROR(__xludf.DUMMYFUNCTION("""COMPUTED_VALUE"""),"No")</f>
        <v>No</v>
      </c>
      <c r="H1395" s="5" t="str">
        <f ca="1">IFERROR(__xludf.DUMMYFUNCTION("""COMPUTED_VALUE"""),"None")</f>
        <v>None</v>
      </c>
    </row>
    <row r="1396" spans="1:8" ht="13">
      <c r="A1396" s="5" t="str">
        <f ca="1">IFERROR(__xludf.DUMMYFUNCTION("""COMPUTED_VALUE"""),"20121019ILBAC")</f>
        <v>20121019ILBAC</v>
      </c>
      <c r="B1396" s="5">
        <f ca="1">IFERROR(__xludf.DUMMYFUNCTION("""COMPUTED_VALUE"""),16)</f>
        <v>16</v>
      </c>
      <c r="C1396" s="5" t="str">
        <f ca="1">IFERROR(__xludf.DUMMYFUNCTION("""COMPUTED_VALUE"""),"Male")</f>
        <v>Male</v>
      </c>
      <c r="D1396" s="5" t="str">
        <f ca="1">IFERROR(__xludf.DUMMYFUNCTION("""COMPUTED_VALUE"""),"Black")</f>
        <v>Black</v>
      </c>
      <c r="E1396" s="5" t="str">
        <f ca="1">IFERROR(__xludf.DUMMYFUNCTION("""COMPUTED_VALUE"""),"Unknown")</f>
        <v>Unknown</v>
      </c>
      <c r="F1396" s="5" t="str">
        <f ca="1">IFERROR(__xludf.DUMMYFUNCTION("""COMPUTED_VALUE"""),"Fled/Apprehended")</f>
        <v>Fled/Apprehended</v>
      </c>
      <c r="G1396" s="5" t="str">
        <f ca="1">IFERROR(__xludf.DUMMYFUNCTION("""COMPUTED_VALUE"""),"No")</f>
        <v>No</v>
      </c>
      <c r="H1396" s="5" t="str">
        <f ca="1">IFERROR(__xludf.DUMMYFUNCTION("""COMPUTED_VALUE"""),"None")</f>
        <v>None</v>
      </c>
    </row>
    <row r="1397" spans="1:8" ht="13">
      <c r="A1397" s="5" t="str">
        <f ca="1">IFERROR(__xludf.DUMMYFUNCTION("""COMPUTED_VALUE"""),"20121012NDFAF")</f>
        <v>20121012NDFAF</v>
      </c>
      <c r="B1397" s="5" t="str">
        <f ca="1">IFERROR(__xludf.DUMMYFUNCTION("""COMPUTED_VALUE"""),"Teen")</f>
        <v>Teen</v>
      </c>
      <c r="C1397" s="5" t="str">
        <f ca="1">IFERROR(__xludf.DUMMYFUNCTION("""COMPUTED_VALUE"""),"Male")</f>
        <v>Male</v>
      </c>
      <c r="D1397" s="5"/>
      <c r="E1397" s="5" t="str">
        <f ca="1">IFERROR(__xludf.DUMMYFUNCTION("""COMPUTED_VALUE"""),"Student")</f>
        <v>Student</v>
      </c>
      <c r="F1397" s="5" t="str">
        <f ca="1">IFERROR(__xludf.DUMMYFUNCTION("""COMPUTED_VALUE"""),"Attempted Suicide")</f>
        <v>Attempted Suicide</v>
      </c>
      <c r="G1397" s="5" t="str">
        <f ca="1">IFERROR(__xludf.DUMMYFUNCTION("""COMPUTED_VALUE"""),"No")</f>
        <v>No</v>
      </c>
      <c r="H1397" s="5" t="str">
        <f ca="1">IFERROR(__xludf.DUMMYFUNCTION("""COMPUTED_VALUE"""),"Wounded")</f>
        <v>Wounded</v>
      </c>
    </row>
    <row r="1398" spans="1:8" ht="13">
      <c r="A1398" s="5" t="str">
        <f ca="1">IFERROR(__xludf.DUMMYFUNCTION("""COMPUTED_VALUE"""),"20120926OKSTS")</f>
        <v>20120926OKSTS</v>
      </c>
      <c r="B1398" s="5">
        <f ca="1">IFERROR(__xludf.DUMMYFUNCTION("""COMPUTED_VALUE"""),13)</f>
        <v>13</v>
      </c>
      <c r="C1398" s="5" t="str">
        <f ca="1">IFERROR(__xludf.DUMMYFUNCTION("""COMPUTED_VALUE"""),"Male")</f>
        <v>Male</v>
      </c>
      <c r="D1398" s="5" t="str">
        <f ca="1">IFERROR(__xludf.DUMMYFUNCTION("""COMPUTED_VALUE"""),"White")</f>
        <v>White</v>
      </c>
      <c r="E1398" s="5" t="str">
        <f ca="1">IFERROR(__xludf.DUMMYFUNCTION("""COMPUTED_VALUE"""),"Student")</f>
        <v>Student</v>
      </c>
      <c r="F1398" s="5" t="str">
        <f ca="1">IFERROR(__xludf.DUMMYFUNCTION("""COMPUTED_VALUE"""),"Suicide")</f>
        <v>Suicide</v>
      </c>
      <c r="G1398" s="5" t="str">
        <f ca="1">IFERROR(__xludf.DUMMYFUNCTION("""COMPUTED_VALUE"""),"Yes")</f>
        <v>Yes</v>
      </c>
      <c r="H1398" s="5" t="str">
        <f ca="1">IFERROR(__xludf.DUMMYFUNCTION("""COMPUTED_VALUE"""),"Suicide")</f>
        <v>Suicide</v>
      </c>
    </row>
    <row r="1399" spans="1:8" ht="13">
      <c r="A1399" s="5" t="str">
        <f ca="1">IFERROR(__xludf.DUMMYFUNCTION("""COMPUTED_VALUE"""),"20120907ILNON")</f>
        <v>20120907ILNON</v>
      </c>
      <c r="B1399" s="5">
        <f ca="1">IFERROR(__xludf.DUMMYFUNCTION("""COMPUTED_VALUE"""),15)</f>
        <v>15</v>
      </c>
      <c r="C1399" s="5" t="str">
        <f ca="1">IFERROR(__xludf.DUMMYFUNCTION("""COMPUTED_VALUE"""),"Male")</f>
        <v>Male</v>
      </c>
      <c r="D1399" s="5" t="str">
        <f ca="1">IFERROR(__xludf.DUMMYFUNCTION("""COMPUTED_VALUE"""),"White")</f>
        <v>White</v>
      </c>
      <c r="E1399" s="5" t="str">
        <f ca="1">IFERROR(__xludf.DUMMYFUNCTION("""COMPUTED_VALUE"""),"Student")</f>
        <v>Student</v>
      </c>
      <c r="F1399" s="5" t="str">
        <f ca="1">IFERROR(__xludf.DUMMYFUNCTION("""COMPUTED_VALUE"""),"Subdued by Students/Staff/Other")</f>
        <v>Subdued by Students/Staff/Other</v>
      </c>
      <c r="G1399" s="5" t="str">
        <f ca="1">IFERROR(__xludf.DUMMYFUNCTION("""COMPUTED_VALUE"""),"No")</f>
        <v>No</v>
      </c>
      <c r="H1399" s="5" t="str">
        <f ca="1">IFERROR(__xludf.DUMMYFUNCTION("""COMPUTED_VALUE"""),"None")</f>
        <v>None</v>
      </c>
    </row>
    <row r="1400" spans="1:8" ht="13">
      <c r="A1400" s="5" t="str">
        <f ca="1">IFERROR(__xludf.DUMMYFUNCTION("""COMPUTED_VALUE"""),"20120827MDPEP")</f>
        <v>20120827MDPEP</v>
      </c>
      <c r="B1400" s="5">
        <f ca="1">IFERROR(__xludf.DUMMYFUNCTION("""COMPUTED_VALUE"""),15)</f>
        <v>15</v>
      </c>
      <c r="C1400" s="5" t="str">
        <f ca="1">IFERROR(__xludf.DUMMYFUNCTION("""COMPUTED_VALUE"""),"Male")</f>
        <v>Male</v>
      </c>
      <c r="D1400" s="5" t="str">
        <f ca="1">IFERROR(__xludf.DUMMYFUNCTION("""COMPUTED_VALUE"""),"White")</f>
        <v>White</v>
      </c>
      <c r="E1400" s="5" t="str">
        <f ca="1">IFERROR(__xludf.DUMMYFUNCTION("""COMPUTED_VALUE"""),"Student")</f>
        <v>Student</v>
      </c>
      <c r="F1400" s="5" t="str">
        <f ca="1">IFERROR(__xludf.DUMMYFUNCTION("""COMPUTED_VALUE"""),"Subdued by Students/Staff/Other")</f>
        <v>Subdued by Students/Staff/Other</v>
      </c>
      <c r="G1400" s="5" t="str">
        <f ca="1">IFERROR(__xludf.DUMMYFUNCTION("""COMPUTED_VALUE"""),"No")</f>
        <v>No</v>
      </c>
      <c r="H1400" s="5" t="str">
        <f ca="1">IFERROR(__xludf.DUMMYFUNCTION("""COMPUTED_VALUE"""),"None")</f>
        <v>None</v>
      </c>
    </row>
    <row r="1401" spans="1:8" ht="13">
      <c r="A1401" s="5" t="str">
        <f ca="1">IFERROR(__xludf.DUMMYFUNCTION("""COMPUTED_VALUE"""),"20120824GABAH")</f>
        <v>20120824GABAH</v>
      </c>
      <c r="B1401" s="5">
        <f ca="1">IFERROR(__xludf.DUMMYFUNCTION("""COMPUTED_VALUE"""),15)</f>
        <v>15</v>
      </c>
      <c r="C1401" s="5" t="str">
        <f ca="1">IFERROR(__xludf.DUMMYFUNCTION("""COMPUTED_VALUE"""),"Male")</f>
        <v>Male</v>
      </c>
      <c r="D1401" s="5"/>
      <c r="E1401" s="5" t="str">
        <f ca="1">IFERROR(__xludf.DUMMYFUNCTION("""COMPUTED_VALUE"""),"Student")</f>
        <v>Student</v>
      </c>
      <c r="F1401" s="5" t="str">
        <f ca="1">IFERROR(__xludf.DUMMYFUNCTION("""COMPUTED_VALUE"""),"Suicide")</f>
        <v>Suicide</v>
      </c>
      <c r="G1401" s="5" t="str">
        <f ca="1">IFERROR(__xludf.DUMMYFUNCTION("""COMPUTED_VALUE"""),"Yes")</f>
        <v>Yes</v>
      </c>
      <c r="H1401" s="5" t="str">
        <f ca="1">IFERROR(__xludf.DUMMYFUNCTION("""COMPUTED_VALUE"""),"Suicide")</f>
        <v>Suicide</v>
      </c>
    </row>
    <row r="1402" spans="1:8" ht="13">
      <c r="A1402" s="5" t="str">
        <f ca="1">IFERROR(__xludf.DUMMYFUNCTION("""COMPUTED_VALUE"""),"20120816TNHAM")</f>
        <v>20120816TNHAM</v>
      </c>
      <c r="B1402" s="5" t="str">
        <f ca="1">IFERROR(__xludf.DUMMYFUNCTION("""COMPUTED_VALUE"""),"Adult")</f>
        <v>Adult</v>
      </c>
      <c r="C1402" s="5" t="str">
        <f ca="1">IFERROR(__xludf.DUMMYFUNCTION("""COMPUTED_VALUE"""),"Male")</f>
        <v>Male</v>
      </c>
      <c r="D1402" s="5"/>
      <c r="E1402" s="5" t="str">
        <f ca="1">IFERROR(__xludf.DUMMYFUNCTION("""COMPUTED_VALUE"""),"No Relation")</f>
        <v>No Relation</v>
      </c>
      <c r="F1402" s="5" t="str">
        <f ca="1">IFERROR(__xludf.DUMMYFUNCTION("""COMPUTED_VALUE"""),"Fled/Escaped")</f>
        <v>Fled/Escaped</v>
      </c>
      <c r="G1402" s="5" t="str">
        <f ca="1">IFERROR(__xludf.DUMMYFUNCTION("""COMPUTED_VALUE"""),"No")</f>
        <v>No</v>
      </c>
      <c r="H1402" s="5" t="str">
        <f ca="1">IFERROR(__xludf.DUMMYFUNCTION("""COMPUTED_VALUE"""),"None")</f>
        <v>None</v>
      </c>
    </row>
    <row r="1403" spans="1:8" ht="13">
      <c r="A1403" s="5" t="str">
        <f ca="1">IFERROR(__xludf.DUMMYFUNCTION("""COMPUTED_VALUE"""),"20120706RINAP")</f>
        <v>20120706RINAP</v>
      </c>
      <c r="B1403" s="5">
        <f ca="1">IFERROR(__xludf.DUMMYFUNCTION("""COMPUTED_VALUE"""),20)</f>
        <v>20</v>
      </c>
      <c r="C1403" s="5" t="str">
        <f ca="1">IFERROR(__xludf.DUMMYFUNCTION("""COMPUTED_VALUE"""),"Male")</f>
        <v>Male</v>
      </c>
      <c r="D1403" s="5" t="str">
        <f ca="1">IFERROR(__xludf.DUMMYFUNCTION("""COMPUTED_VALUE"""),"Black")</f>
        <v>Black</v>
      </c>
      <c r="E1403" s="5" t="str">
        <f ca="1">IFERROR(__xludf.DUMMYFUNCTION("""COMPUTED_VALUE"""),"No Relation")</f>
        <v>No Relation</v>
      </c>
      <c r="F1403" s="5" t="str">
        <f ca="1">IFERROR(__xludf.DUMMYFUNCTION("""COMPUTED_VALUE"""),"Fled/Apprehended")</f>
        <v>Fled/Apprehended</v>
      </c>
      <c r="G1403" s="5" t="str">
        <f ca="1">IFERROR(__xludf.DUMMYFUNCTION("""COMPUTED_VALUE"""),"No")</f>
        <v>No</v>
      </c>
      <c r="H1403" s="5" t="str">
        <f ca="1">IFERROR(__xludf.DUMMYFUNCTION("""COMPUTED_VALUE"""),"None")</f>
        <v>None</v>
      </c>
    </row>
    <row r="1404" spans="1:8" ht="13">
      <c r="A1404" s="5" t="str">
        <f ca="1">IFERROR(__xludf.DUMMYFUNCTION("""COMPUTED_VALUE"""),"20120525NCMAC")</f>
        <v>20120525NCMAC</v>
      </c>
      <c r="B1404" s="5">
        <f ca="1">IFERROR(__xludf.DUMMYFUNCTION("""COMPUTED_VALUE"""),51)</f>
        <v>51</v>
      </c>
      <c r="C1404" s="5" t="str">
        <f ca="1">IFERROR(__xludf.DUMMYFUNCTION("""COMPUTED_VALUE"""),"Male")</f>
        <v>Male</v>
      </c>
      <c r="D1404" s="5" t="str">
        <f ca="1">IFERROR(__xludf.DUMMYFUNCTION("""COMPUTED_VALUE"""),"White")</f>
        <v>White</v>
      </c>
      <c r="E1404" s="5" t="str">
        <f ca="1">IFERROR(__xludf.DUMMYFUNCTION("""COMPUTED_VALUE"""),"Parent")</f>
        <v>Parent</v>
      </c>
      <c r="F1404" s="5" t="str">
        <f ca="1">IFERROR(__xludf.DUMMYFUNCTION("""COMPUTED_VALUE"""),"Fled/Apprehended")</f>
        <v>Fled/Apprehended</v>
      </c>
      <c r="G1404" s="5" t="str">
        <f ca="1">IFERROR(__xludf.DUMMYFUNCTION("""COMPUTED_VALUE"""),"No")</f>
        <v>No</v>
      </c>
      <c r="H1404" s="5" t="str">
        <f ca="1">IFERROR(__xludf.DUMMYFUNCTION("""COMPUTED_VALUE"""),"None")</f>
        <v>None</v>
      </c>
    </row>
    <row r="1405" spans="1:8" ht="13">
      <c r="A1405" s="5" t="str">
        <f ca="1">IFERROR(__xludf.DUMMYFUNCTION("""COMPUTED_VALUE"""),"20120525AZWEA")</f>
        <v>20120525AZWEA</v>
      </c>
      <c r="B1405" s="5">
        <f ca="1">IFERROR(__xludf.DUMMYFUNCTION("""COMPUTED_VALUE"""),38)</f>
        <v>38</v>
      </c>
      <c r="C1405" s="5" t="str">
        <f ca="1">IFERROR(__xludf.DUMMYFUNCTION("""COMPUTED_VALUE"""),"Male")</f>
        <v>Male</v>
      </c>
      <c r="D1405" s="5" t="str">
        <f ca="1">IFERROR(__xludf.DUMMYFUNCTION("""COMPUTED_VALUE"""),"Black")</f>
        <v>Black</v>
      </c>
      <c r="E1405" s="5" t="str">
        <f ca="1">IFERROR(__xludf.DUMMYFUNCTION("""COMPUTED_VALUE"""),"Unknown")</f>
        <v>Unknown</v>
      </c>
      <c r="F1405" s="5" t="str">
        <f ca="1">IFERROR(__xludf.DUMMYFUNCTION("""COMPUTED_VALUE"""),"Fled/Apprehended")</f>
        <v>Fled/Apprehended</v>
      </c>
      <c r="G1405" s="5" t="str">
        <f ca="1">IFERROR(__xludf.DUMMYFUNCTION("""COMPUTED_VALUE"""),"No")</f>
        <v>No</v>
      </c>
      <c r="H1405" s="5" t="str">
        <f ca="1">IFERROR(__xludf.DUMMYFUNCTION("""COMPUTED_VALUE"""),"None")</f>
        <v>None</v>
      </c>
    </row>
    <row r="1406" spans="1:8" ht="13">
      <c r="A1406" s="5" t="str">
        <f ca="1">IFERROR(__xludf.DUMMYFUNCTION("""COMPUTED_VALUE"""),"20120401ARKIR")</f>
        <v>20120401ARKIR</v>
      </c>
      <c r="B1406" s="5">
        <f ca="1">IFERROR(__xludf.DUMMYFUNCTION("""COMPUTED_VALUE"""),18)</f>
        <v>18</v>
      </c>
      <c r="C1406" s="5" t="str">
        <f ca="1">IFERROR(__xludf.DUMMYFUNCTION("""COMPUTED_VALUE"""),"Male")</f>
        <v>Male</v>
      </c>
      <c r="D1406" s="5" t="str">
        <f ca="1">IFERROR(__xludf.DUMMYFUNCTION("""COMPUTED_VALUE"""),"White")</f>
        <v>White</v>
      </c>
      <c r="E1406" s="5" t="str">
        <f ca="1">IFERROR(__xludf.DUMMYFUNCTION("""COMPUTED_VALUE"""),"No Relation")</f>
        <v>No Relation</v>
      </c>
      <c r="F1406" s="5" t="str">
        <f ca="1">IFERROR(__xludf.DUMMYFUNCTION("""COMPUTED_VALUE"""),"Fled/Apprehended")</f>
        <v>Fled/Apprehended</v>
      </c>
      <c r="G1406" s="5" t="str">
        <f ca="1">IFERROR(__xludf.DUMMYFUNCTION("""COMPUTED_VALUE"""),"No")</f>
        <v>No</v>
      </c>
      <c r="H1406" s="5" t="str">
        <f ca="1">IFERROR(__xludf.DUMMYFUNCTION("""COMPUTED_VALUE"""),"None")</f>
        <v>None</v>
      </c>
    </row>
    <row r="1407" spans="1:8" ht="13">
      <c r="A1407" s="5" t="str">
        <f ca="1">IFERROR(__xludf.DUMMYFUNCTION("""COMPUTED_VALUE"""),"20120315ALLEM")</f>
        <v>20120315ALLEM</v>
      </c>
      <c r="B1407" s="5">
        <f ca="1">IFERROR(__xludf.DUMMYFUNCTION("""COMPUTED_VALUE"""),16)</f>
        <v>16</v>
      </c>
      <c r="C1407" s="5" t="str">
        <f ca="1">IFERROR(__xludf.DUMMYFUNCTION("""COMPUTED_VALUE"""),"Male")</f>
        <v>Male</v>
      </c>
      <c r="D1407" s="5" t="str">
        <f ca="1">IFERROR(__xludf.DUMMYFUNCTION("""COMPUTED_VALUE"""),"Black")</f>
        <v>Black</v>
      </c>
      <c r="E1407" s="5" t="str">
        <f ca="1">IFERROR(__xludf.DUMMYFUNCTION("""COMPUTED_VALUE"""),"Former Student")</f>
        <v>Former Student</v>
      </c>
      <c r="F1407" s="5" t="str">
        <f ca="1">IFERROR(__xludf.DUMMYFUNCTION("""COMPUTED_VALUE"""),"Surrendered")</f>
        <v>Surrendered</v>
      </c>
      <c r="G1407" s="5" t="str">
        <f ca="1">IFERROR(__xludf.DUMMYFUNCTION("""COMPUTED_VALUE"""),"No")</f>
        <v>No</v>
      </c>
      <c r="H1407" s="5" t="str">
        <f ca="1">IFERROR(__xludf.DUMMYFUNCTION("""COMPUTED_VALUE"""),"None")</f>
        <v>None</v>
      </c>
    </row>
    <row r="1408" spans="1:8" ht="13">
      <c r="A1408" s="5" t="str">
        <f ca="1">IFERROR(__xludf.DUMMYFUNCTION("""COMPUTED_VALUE"""),"20120306FLEPJ")</f>
        <v>20120306FLEPJ</v>
      </c>
      <c r="B1408" s="5">
        <f ca="1">IFERROR(__xludf.DUMMYFUNCTION("""COMPUTED_VALUE"""),28)</f>
        <v>28</v>
      </c>
      <c r="C1408" s="5" t="str">
        <f ca="1">IFERROR(__xludf.DUMMYFUNCTION("""COMPUTED_VALUE"""),"Male")</f>
        <v>Male</v>
      </c>
      <c r="D1408" s="5" t="str">
        <f ca="1">IFERROR(__xludf.DUMMYFUNCTION("""COMPUTED_VALUE"""),"White")</f>
        <v>White</v>
      </c>
      <c r="E1408" s="5" t="str">
        <f ca="1">IFERROR(__xludf.DUMMYFUNCTION("""COMPUTED_VALUE"""),"Former Teacher")</f>
        <v>Former Teacher</v>
      </c>
      <c r="F1408" s="5" t="str">
        <f ca="1">IFERROR(__xludf.DUMMYFUNCTION("""COMPUTED_VALUE"""),"Suicide")</f>
        <v>Suicide</v>
      </c>
      <c r="G1408" s="5" t="str">
        <f ca="1">IFERROR(__xludf.DUMMYFUNCTION("""COMPUTED_VALUE"""),"Yes")</f>
        <v>Yes</v>
      </c>
      <c r="H1408" s="5" t="str">
        <f ca="1">IFERROR(__xludf.DUMMYFUNCTION("""COMPUTED_VALUE"""),"Suicide")</f>
        <v>Suicide</v>
      </c>
    </row>
    <row r="1409" spans="1:8" ht="13">
      <c r="A1409" s="5" t="str">
        <f ca="1">IFERROR(__xludf.DUMMYFUNCTION("""COMPUTED_VALUE"""),"20120227OHCHC")</f>
        <v>20120227OHCHC</v>
      </c>
      <c r="B1409" s="5">
        <f ca="1">IFERROR(__xludf.DUMMYFUNCTION("""COMPUTED_VALUE"""),17)</f>
        <v>17</v>
      </c>
      <c r="C1409" s="5" t="str">
        <f ca="1">IFERROR(__xludf.DUMMYFUNCTION("""COMPUTED_VALUE"""),"Male")</f>
        <v>Male</v>
      </c>
      <c r="D1409" s="5" t="str">
        <f ca="1">IFERROR(__xludf.DUMMYFUNCTION("""COMPUTED_VALUE"""),"White")</f>
        <v>White</v>
      </c>
      <c r="E1409" s="5" t="str">
        <f ca="1">IFERROR(__xludf.DUMMYFUNCTION("""COMPUTED_VALUE"""),"Student")</f>
        <v>Student</v>
      </c>
      <c r="F1409" s="5" t="str">
        <f ca="1">IFERROR(__xludf.DUMMYFUNCTION("""COMPUTED_VALUE"""),"Surrendered")</f>
        <v>Surrendered</v>
      </c>
      <c r="G1409" s="5" t="str">
        <f ca="1">IFERROR(__xludf.DUMMYFUNCTION("""COMPUTED_VALUE"""),"No")</f>
        <v>No</v>
      </c>
      <c r="H1409" s="5" t="str">
        <f ca="1">IFERROR(__xludf.DUMMYFUNCTION("""COMPUTED_VALUE"""),"None")</f>
        <v>None</v>
      </c>
    </row>
    <row r="1410" spans="1:8" ht="13">
      <c r="A1410" s="5" t="str">
        <f ca="1">IFERROR(__xludf.DUMMYFUNCTION("""COMPUTED_VALUE"""),"20120222WAARB")</f>
        <v>20120222WAARB</v>
      </c>
      <c r="B1410" s="5">
        <f ca="1">IFERROR(__xludf.DUMMYFUNCTION("""COMPUTED_VALUE"""),10)</f>
        <v>10</v>
      </c>
      <c r="C1410" s="5" t="str">
        <f ca="1">IFERROR(__xludf.DUMMYFUNCTION("""COMPUTED_VALUE"""),"Male")</f>
        <v>Male</v>
      </c>
      <c r="D1410" s="5" t="str">
        <f ca="1">IFERROR(__xludf.DUMMYFUNCTION("""COMPUTED_VALUE"""),"White")</f>
        <v>White</v>
      </c>
      <c r="E1410" s="5" t="str">
        <f ca="1">IFERROR(__xludf.DUMMYFUNCTION("""COMPUTED_VALUE"""),"Student")</f>
        <v>Student</v>
      </c>
      <c r="F1410" s="5" t="str">
        <f ca="1">IFERROR(__xludf.DUMMYFUNCTION("""COMPUTED_VALUE"""),"Surrendered")</f>
        <v>Surrendered</v>
      </c>
      <c r="G1410" s="5" t="str">
        <f ca="1">IFERROR(__xludf.DUMMYFUNCTION("""COMPUTED_VALUE"""),"No")</f>
        <v>No</v>
      </c>
      <c r="H1410" s="5" t="str">
        <f ca="1">IFERROR(__xludf.DUMMYFUNCTION("""COMPUTED_VALUE"""),"None")</f>
        <v>None</v>
      </c>
    </row>
    <row r="1411" spans="1:8" ht="13">
      <c r="A1411" s="5" t="str">
        <f ca="1">IFERROR(__xludf.DUMMYFUNCTION("""COMPUTED_VALUE"""),"20120210NHWAW")</f>
        <v>20120210NHWAW</v>
      </c>
      <c r="B1411" s="5">
        <f ca="1">IFERROR(__xludf.DUMMYFUNCTION("""COMPUTED_VALUE"""),14)</f>
        <v>14</v>
      </c>
      <c r="C1411" s="5" t="str">
        <f ca="1">IFERROR(__xludf.DUMMYFUNCTION("""COMPUTED_VALUE"""),"Male")</f>
        <v>Male</v>
      </c>
      <c r="D1411" s="5" t="str">
        <f ca="1">IFERROR(__xludf.DUMMYFUNCTION("""COMPUTED_VALUE"""),"White")</f>
        <v>White</v>
      </c>
      <c r="E1411" s="5" t="str">
        <f ca="1">IFERROR(__xludf.DUMMYFUNCTION("""COMPUTED_VALUE"""),"Student")</f>
        <v>Student</v>
      </c>
      <c r="F1411" s="5" t="str">
        <f ca="1">IFERROR(__xludf.DUMMYFUNCTION("""COMPUTED_VALUE"""),"Attempted Suicide")</f>
        <v>Attempted Suicide</v>
      </c>
      <c r="G1411" s="5" t="str">
        <f ca="1">IFERROR(__xludf.DUMMYFUNCTION("""COMPUTED_VALUE"""),"No")</f>
        <v>No</v>
      </c>
      <c r="H1411" s="5" t="str">
        <f ca="1">IFERROR(__xludf.DUMMYFUNCTION("""COMPUTED_VALUE"""),"Wounded")</f>
        <v>Wounded</v>
      </c>
    </row>
    <row r="1412" spans="1:8" ht="13">
      <c r="A1412" s="5" t="str">
        <f ca="1">IFERROR(__xludf.DUMMYFUNCTION("""COMPUTED_VALUE"""),"20120110TXNOH")</f>
        <v>20120110TXNOH</v>
      </c>
      <c r="B1412" s="5">
        <f ca="1">IFERROR(__xludf.DUMMYFUNCTION("""COMPUTED_VALUE"""),18)</f>
        <v>18</v>
      </c>
      <c r="C1412" s="5" t="str">
        <f ca="1">IFERROR(__xludf.DUMMYFUNCTION("""COMPUTED_VALUE"""),"Male")</f>
        <v>Male</v>
      </c>
      <c r="D1412" s="5" t="str">
        <f ca="1">IFERROR(__xludf.DUMMYFUNCTION("""COMPUTED_VALUE"""),"Black")</f>
        <v>Black</v>
      </c>
      <c r="E1412" s="5" t="str">
        <f ca="1">IFERROR(__xludf.DUMMYFUNCTION("""COMPUTED_VALUE"""),"Student")</f>
        <v>Student</v>
      </c>
      <c r="F1412" s="5" t="str">
        <f ca="1">IFERROR(__xludf.DUMMYFUNCTION("""COMPUTED_VALUE"""),"Subdued by Students/Staff/Other")</f>
        <v>Subdued by Students/Staff/Other</v>
      </c>
      <c r="G1412" s="5" t="str">
        <f ca="1">IFERROR(__xludf.DUMMYFUNCTION("""COMPUTED_VALUE"""),"No")</f>
        <v>No</v>
      </c>
      <c r="H1412" s="5" t="str">
        <f ca="1">IFERROR(__xludf.DUMMYFUNCTION("""COMPUTED_VALUE"""),"None")</f>
        <v>None</v>
      </c>
    </row>
    <row r="1413" spans="1:8" ht="13">
      <c r="A1413" s="5" t="str">
        <f ca="1">IFERROR(__xludf.DUMMYFUNCTION("""COMPUTED_VALUE"""),"20120104TXCUB")</f>
        <v>20120104TXCUB</v>
      </c>
      <c r="B1413" s="5" t="str">
        <f ca="1">IFERROR(__xludf.DUMMYFUNCTION("""COMPUTED_VALUE"""),"Child")</f>
        <v>Child</v>
      </c>
      <c r="C1413" s="5"/>
      <c r="D1413" s="5"/>
      <c r="E1413" s="5" t="str">
        <f ca="1">IFERROR(__xludf.DUMMYFUNCTION("""COMPUTED_VALUE"""),"Student")</f>
        <v>Student</v>
      </c>
      <c r="F1413" s="5" t="str">
        <f ca="1">IFERROR(__xludf.DUMMYFUNCTION("""COMPUTED_VALUE"""),"Apprehended/Killed by LE")</f>
        <v>Apprehended/Killed by LE</v>
      </c>
      <c r="G1413" s="5" t="str">
        <f ca="1">IFERROR(__xludf.DUMMYFUNCTION("""COMPUTED_VALUE"""),"Yes")</f>
        <v>Yes</v>
      </c>
      <c r="H1413" s="5" t="str">
        <f ca="1">IFERROR(__xludf.DUMMYFUNCTION("""COMPUTED_VALUE"""),"Fatal")</f>
        <v>Fatal</v>
      </c>
    </row>
    <row r="1414" spans="1:8" ht="13">
      <c r="A1414" s="5" t="str">
        <f ca="1">IFERROR(__xludf.DUMMYFUNCTION("""COMPUTED_VALUE"""),"20111228MINOF")</f>
        <v>20111228MINOF</v>
      </c>
      <c r="B1414" s="5">
        <f ca="1">IFERROR(__xludf.DUMMYFUNCTION("""COMPUTED_VALUE"""),17)</f>
        <v>17</v>
      </c>
      <c r="C1414" s="5" t="str">
        <f ca="1">IFERROR(__xludf.DUMMYFUNCTION("""COMPUTED_VALUE"""),"Male")</f>
        <v>Male</v>
      </c>
      <c r="D1414" s="5" t="str">
        <f ca="1">IFERROR(__xludf.DUMMYFUNCTION("""COMPUTED_VALUE"""),"Black")</f>
        <v>Black</v>
      </c>
      <c r="E1414" s="5" t="str">
        <f ca="1">IFERROR(__xludf.DUMMYFUNCTION("""COMPUTED_VALUE"""),"Unknown")</f>
        <v>Unknown</v>
      </c>
      <c r="F1414" s="5" t="str">
        <f ca="1">IFERROR(__xludf.DUMMYFUNCTION("""COMPUTED_VALUE"""),"Fled/Apprehended")</f>
        <v>Fled/Apprehended</v>
      </c>
      <c r="G1414" s="5" t="str">
        <f ca="1">IFERROR(__xludf.DUMMYFUNCTION("""COMPUTED_VALUE"""),"No")</f>
        <v>No</v>
      </c>
      <c r="H1414" s="5" t="str">
        <f ca="1">IFERROR(__xludf.DUMMYFUNCTION("""COMPUTED_VALUE"""),"None")</f>
        <v>None</v>
      </c>
    </row>
    <row r="1415" spans="1:8" ht="13">
      <c r="A1415" s="5" t="str">
        <f ca="1">IFERROR(__xludf.DUMMYFUNCTION("""COMPUTED_VALUE"""),"20111228MINOF")</f>
        <v>20111228MINOF</v>
      </c>
      <c r="B1415" s="5">
        <f ca="1">IFERROR(__xludf.DUMMYFUNCTION("""COMPUTED_VALUE"""),17)</f>
        <v>17</v>
      </c>
      <c r="C1415" s="5" t="str">
        <f ca="1">IFERROR(__xludf.DUMMYFUNCTION("""COMPUTED_VALUE"""),"Male")</f>
        <v>Male</v>
      </c>
      <c r="D1415" s="5" t="str">
        <f ca="1">IFERROR(__xludf.DUMMYFUNCTION("""COMPUTED_VALUE"""),"Black")</f>
        <v>Black</v>
      </c>
      <c r="E1415" s="5" t="str">
        <f ca="1">IFERROR(__xludf.DUMMYFUNCTION("""COMPUTED_VALUE"""),"Unknown")</f>
        <v>Unknown</v>
      </c>
      <c r="F1415" s="5" t="str">
        <f ca="1">IFERROR(__xludf.DUMMYFUNCTION("""COMPUTED_VALUE"""),"Fled/Apprehended")</f>
        <v>Fled/Apprehended</v>
      </c>
      <c r="G1415" s="5" t="str">
        <f ca="1">IFERROR(__xludf.DUMMYFUNCTION("""COMPUTED_VALUE"""),"No")</f>
        <v>No</v>
      </c>
      <c r="H1415" s="5" t="str">
        <f ca="1">IFERROR(__xludf.DUMMYFUNCTION("""COMPUTED_VALUE"""),"None")</f>
        <v>None</v>
      </c>
    </row>
    <row r="1416" spans="1:8" ht="13">
      <c r="A1416" s="5" t="str">
        <f ca="1">IFERROR(__xludf.DUMMYFUNCTION("""COMPUTED_VALUE"""),"20111212TXHAE")</f>
        <v>20111212TXHAE</v>
      </c>
      <c r="B1416" s="5">
        <f ca="1">IFERROR(__xludf.DUMMYFUNCTION("""COMPUTED_VALUE"""),36)</f>
        <v>36</v>
      </c>
      <c r="C1416" s="5" t="str">
        <f ca="1">IFERROR(__xludf.DUMMYFUNCTION("""COMPUTED_VALUE"""),"Male")</f>
        <v>Male</v>
      </c>
      <c r="D1416" s="5" t="str">
        <f ca="1">IFERROR(__xludf.DUMMYFUNCTION("""COMPUTED_VALUE"""),"White")</f>
        <v>White</v>
      </c>
      <c r="E1416" s="5" t="str">
        <f ca="1">IFERROR(__xludf.DUMMYFUNCTION("""COMPUTED_VALUE"""),"No Relation")</f>
        <v>No Relation</v>
      </c>
      <c r="F1416" s="5" t="str">
        <f ca="1">IFERROR(__xludf.DUMMYFUNCTION("""COMPUTED_VALUE"""),"Surrendered")</f>
        <v>Surrendered</v>
      </c>
      <c r="G1416" s="5" t="str">
        <f ca="1">IFERROR(__xludf.DUMMYFUNCTION("""COMPUTED_VALUE"""),"No")</f>
        <v>No</v>
      </c>
      <c r="H1416" s="5" t="str">
        <f ca="1">IFERROR(__xludf.DUMMYFUNCTION("""COMPUTED_VALUE"""),"None")</f>
        <v>None</v>
      </c>
    </row>
    <row r="1417" spans="1:8" ht="13">
      <c r="A1417" s="5" t="str">
        <f ca="1">IFERROR(__xludf.DUMMYFUNCTION("""COMPUTED_VALUE"""),"20111024NCCAF")</f>
        <v>20111024NCCAF</v>
      </c>
      <c r="B1417" s="5">
        <f ca="1">IFERROR(__xludf.DUMMYFUNCTION("""COMPUTED_VALUE"""),15)</f>
        <v>15</v>
      </c>
      <c r="C1417" s="5" t="str">
        <f ca="1">IFERROR(__xludf.DUMMYFUNCTION("""COMPUTED_VALUE"""),"Male")</f>
        <v>Male</v>
      </c>
      <c r="D1417" s="5" t="str">
        <f ca="1">IFERROR(__xludf.DUMMYFUNCTION("""COMPUTED_VALUE"""),"Black")</f>
        <v>Black</v>
      </c>
      <c r="E1417" s="5" t="str">
        <f ca="1">IFERROR(__xludf.DUMMYFUNCTION("""COMPUTED_VALUE"""),"Student")</f>
        <v>Student</v>
      </c>
      <c r="F1417" s="5" t="str">
        <f ca="1">IFERROR(__xludf.DUMMYFUNCTION("""COMPUTED_VALUE"""),"Fled/Apprehended")</f>
        <v>Fled/Apprehended</v>
      </c>
      <c r="G1417" s="5" t="str">
        <f ca="1">IFERROR(__xludf.DUMMYFUNCTION("""COMPUTED_VALUE"""),"No")</f>
        <v>No</v>
      </c>
      <c r="H1417" s="5" t="str">
        <f ca="1">IFERROR(__xludf.DUMMYFUNCTION("""COMPUTED_VALUE"""),"None")</f>
        <v>None</v>
      </c>
    </row>
    <row r="1418" spans="1:8" ht="13">
      <c r="A1418" s="5" t="str">
        <f ca="1">IFERROR(__xludf.DUMMYFUNCTION("""COMPUTED_VALUE"""),"20110930ORWIP")</f>
        <v>20110930ORWIP</v>
      </c>
      <c r="B1418" s="5">
        <f ca="1">IFERROR(__xludf.DUMMYFUNCTION("""COMPUTED_VALUE"""),20)</f>
        <v>20</v>
      </c>
      <c r="C1418" s="5" t="str">
        <f ca="1">IFERROR(__xludf.DUMMYFUNCTION("""COMPUTED_VALUE"""),"Male")</f>
        <v>Male</v>
      </c>
      <c r="D1418" s="5" t="str">
        <f ca="1">IFERROR(__xludf.DUMMYFUNCTION("""COMPUTED_VALUE"""),"White")</f>
        <v>White</v>
      </c>
      <c r="E1418" s="5" t="str">
        <f ca="1">IFERROR(__xludf.DUMMYFUNCTION("""COMPUTED_VALUE"""),"Unknown")</f>
        <v>Unknown</v>
      </c>
      <c r="F1418" s="5" t="str">
        <f ca="1">IFERROR(__xludf.DUMMYFUNCTION("""COMPUTED_VALUE"""),"Fled/Apprehended")</f>
        <v>Fled/Apprehended</v>
      </c>
      <c r="G1418" s="5" t="str">
        <f ca="1">IFERROR(__xludf.DUMMYFUNCTION("""COMPUTED_VALUE"""),"No")</f>
        <v>No</v>
      </c>
      <c r="H1418" s="5" t="str">
        <f ca="1">IFERROR(__xludf.DUMMYFUNCTION("""COMPUTED_VALUE"""),"None")</f>
        <v>None</v>
      </c>
    </row>
    <row r="1419" spans="1:8" ht="13">
      <c r="A1419" s="5" t="str">
        <f ca="1">IFERROR(__xludf.DUMMYFUNCTION("""COMPUTED_VALUE"""),"20110930ORWIP")</f>
        <v>20110930ORWIP</v>
      </c>
      <c r="B1419" s="5">
        <f ca="1">IFERROR(__xludf.DUMMYFUNCTION("""COMPUTED_VALUE"""),20)</f>
        <v>20</v>
      </c>
      <c r="C1419" s="5" t="str">
        <f ca="1">IFERROR(__xludf.DUMMYFUNCTION("""COMPUTED_VALUE"""),"Male")</f>
        <v>Male</v>
      </c>
      <c r="D1419" s="5" t="str">
        <f ca="1">IFERROR(__xludf.DUMMYFUNCTION("""COMPUTED_VALUE"""),"White")</f>
        <v>White</v>
      </c>
      <c r="E1419" s="5" t="str">
        <f ca="1">IFERROR(__xludf.DUMMYFUNCTION("""COMPUTED_VALUE"""),"Unknown")</f>
        <v>Unknown</v>
      </c>
      <c r="F1419" s="5" t="str">
        <f ca="1">IFERROR(__xludf.DUMMYFUNCTION("""COMPUTED_VALUE"""),"Fled/Apprehended")</f>
        <v>Fled/Apprehended</v>
      </c>
      <c r="G1419" s="5" t="str">
        <f ca="1">IFERROR(__xludf.DUMMYFUNCTION("""COMPUTED_VALUE"""),"No")</f>
        <v>No</v>
      </c>
      <c r="H1419" s="5" t="str">
        <f ca="1">IFERROR(__xludf.DUMMYFUNCTION("""COMPUTED_VALUE"""),"None")</f>
        <v>None</v>
      </c>
    </row>
    <row r="1420" spans="1:8" ht="13">
      <c r="A1420" s="5" t="str">
        <f ca="1">IFERROR(__xludf.DUMMYFUNCTION("""COMPUTED_VALUE"""),"20110930NCGAC")</f>
        <v>20110930NCGAC</v>
      </c>
      <c r="B1420" s="5"/>
      <c r="C1420" s="5" t="str">
        <f ca="1">IFERROR(__xludf.DUMMYFUNCTION("""COMPUTED_VALUE"""),"Male")</f>
        <v>Male</v>
      </c>
      <c r="D1420" s="5"/>
      <c r="E1420" s="5" t="str">
        <f ca="1">IFERROR(__xludf.DUMMYFUNCTION("""COMPUTED_VALUE"""),"Unknown")</f>
        <v>Unknown</v>
      </c>
      <c r="F1420" s="5" t="str">
        <f ca="1">IFERROR(__xludf.DUMMYFUNCTION("""COMPUTED_VALUE"""),"Fled/Escaped")</f>
        <v>Fled/Escaped</v>
      </c>
      <c r="G1420" s="5" t="str">
        <f ca="1">IFERROR(__xludf.DUMMYFUNCTION("""COMPUTED_VALUE"""),"No")</f>
        <v>No</v>
      </c>
      <c r="H1420" s="5" t="str">
        <f ca="1">IFERROR(__xludf.DUMMYFUNCTION("""COMPUTED_VALUE"""),"None")</f>
        <v>None</v>
      </c>
    </row>
    <row r="1421" spans="1:8" ht="13">
      <c r="A1421" s="5" t="str">
        <f ca="1">IFERROR(__xludf.DUMMYFUNCTION("""COMPUTED_VALUE"""),"20110923WAISS")</f>
        <v>20110923WAISS</v>
      </c>
      <c r="B1421" s="5">
        <f ca="1">IFERROR(__xludf.DUMMYFUNCTION("""COMPUTED_VALUE"""),51)</f>
        <v>51</v>
      </c>
      <c r="C1421" s="5" t="str">
        <f ca="1">IFERROR(__xludf.DUMMYFUNCTION("""COMPUTED_VALUE"""),"Male")</f>
        <v>Male</v>
      </c>
      <c r="D1421" s="5"/>
      <c r="E1421" s="5" t="str">
        <f ca="1">IFERROR(__xludf.DUMMYFUNCTION("""COMPUTED_VALUE"""),"No Relation")</f>
        <v>No Relation</v>
      </c>
      <c r="F1421" s="5" t="str">
        <f ca="1">IFERROR(__xludf.DUMMYFUNCTION("""COMPUTED_VALUE"""),"Apprehended/Killed by LE")</f>
        <v>Apprehended/Killed by LE</v>
      </c>
      <c r="G1421" s="5" t="str">
        <f ca="1">IFERROR(__xludf.DUMMYFUNCTION("""COMPUTED_VALUE"""),"Yes")</f>
        <v>Yes</v>
      </c>
      <c r="H1421" s="5" t="str">
        <f ca="1">IFERROR(__xludf.DUMMYFUNCTION("""COMPUTED_VALUE"""),"Fatal")</f>
        <v>Fatal</v>
      </c>
    </row>
    <row r="1422" spans="1:8" ht="13">
      <c r="A1422" s="5" t="str">
        <f ca="1">IFERROR(__xludf.DUMMYFUNCTION("""COMPUTED_VALUE"""),"20110523HIHIP")</f>
        <v>20110523HIHIP</v>
      </c>
      <c r="B1422" s="5">
        <f ca="1">IFERROR(__xludf.DUMMYFUNCTION("""COMPUTED_VALUE"""),14)</f>
        <v>14</v>
      </c>
      <c r="C1422" s="5" t="str">
        <f ca="1">IFERROR(__xludf.DUMMYFUNCTION("""COMPUTED_VALUE"""),"Male")</f>
        <v>Male</v>
      </c>
      <c r="D1422" s="5" t="str">
        <f ca="1">IFERROR(__xludf.DUMMYFUNCTION("""COMPUTED_VALUE"""),"Hawaiian/Pacific Islander")</f>
        <v>Hawaiian/Pacific Islander</v>
      </c>
      <c r="E1422" s="5" t="str">
        <f ca="1">IFERROR(__xludf.DUMMYFUNCTION("""COMPUTED_VALUE"""),"Student")</f>
        <v>Student</v>
      </c>
      <c r="F1422" s="5" t="str">
        <f ca="1">IFERROR(__xludf.DUMMYFUNCTION("""COMPUTED_VALUE"""),"Surrendered")</f>
        <v>Surrendered</v>
      </c>
      <c r="G1422" s="5" t="str">
        <f ca="1">IFERROR(__xludf.DUMMYFUNCTION("""COMPUTED_VALUE"""),"No")</f>
        <v>No</v>
      </c>
      <c r="H1422" s="5" t="str">
        <f ca="1">IFERROR(__xludf.DUMMYFUNCTION("""COMPUTED_VALUE"""),"None")</f>
        <v>None</v>
      </c>
    </row>
    <row r="1423" spans="1:8" ht="13">
      <c r="A1423" s="5" t="str">
        <f ca="1">IFERROR(__xludf.DUMMYFUNCTION("""COMPUTED_VALUE"""),"20110517WAHOE")</f>
        <v>20110517WAHOE</v>
      </c>
      <c r="B1423" s="5">
        <f ca="1">IFERROR(__xludf.DUMMYFUNCTION("""COMPUTED_VALUE"""),16)</f>
        <v>16</v>
      </c>
      <c r="C1423" s="5" t="str">
        <f ca="1">IFERROR(__xludf.DUMMYFUNCTION("""COMPUTED_VALUE"""),"Male")</f>
        <v>Male</v>
      </c>
      <c r="D1423" s="5"/>
      <c r="E1423" s="5" t="str">
        <f ca="1">IFERROR(__xludf.DUMMYFUNCTION("""COMPUTED_VALUE"""),"Unknown")</f>
        <v>Unknown</v>
      </c>
      <c r="F1423" s="5" t="str">
        <f ca="1">IFERROR(__xludf.DUMMYFUNCTION("""COMPUTED_VALUE"""),"Fled/Apprehended")</f>
        <v>Fled/Apprehended</v>
      </c>
      <c r="G1423" s="5" t="str">
        <f ca="1">IFERROR(__xludf.DUMMYFUNCTION("""COMPUTED_VALUE"""),"No")</f>
        <v>No</v>
      </c>
      <c r="H1423" s="5" t="str">
        <f ca="1">IFERROR(__xludf.DUMMYFUNCTION("""COMPUTED_VALUE"""),"None")</f>
        <v>None</v>
      </c>
    </row>
    <row r="1424" spans="1:8" ht="13">
      <c r="A1424" s="5" t="str">
        <f ca="1">IFERROR(__xludf.DUMMYFUNCTION("""COMPUTED_VALUE"""),"20110419TXBEH")</f>
        <v>20110419TXBEH</v>
      </c>
      <c r="B1424" s="5">
        <f ca="1">IFERROR(__xludf.DUMMYFUNCTION("""COMPUTED_VALUE"""),6)</f>
        <v>6</v>
      </c>
      <c r="C1424" s="5" t="str">
        <f ca="1">IFERROR(__xludf.DUMMYFUNCTION("""COMPUTED_VALUE"""),"Male")</f>
        <v>Male</v>
      </c>
      <c r="D1424" s="5"/>
      <c r="E1424" s="5" t="str">
        <f ca="1">IFERROR(__xludf.DUMMYFUNCTION("""COMPUTED_VALUE"""),"Student")</f>
        <v>Student</v>
      </c>
      <c r="F1424" s="5" t="str">
        <f ca="1">IFERROR(__xludf.DUMMYFUNCTION("""COMPUTED_VALUE"""),"Unknown")</f>
        <v>Unknown</v>
      </c>
      <c r="G1424" s="5" t="str">
        <f ca="1">IFERROR(__xludf.DUMMYFUNCTION("""COMPUTED_VALUE"""),"No")</f>
        <v>No</v>
      </c>
      <c r="H1424" s="5" t="str">
        <f ca="1">IFERROR(__xludf.DUMMYFUNCTION("""COMPUTED_VALUE"""),"None")</f>
        <v>None</v>
      </c>
    </row>
    <row r="1425" spans="1:8" ht="13">
      <c r="A1425" s="5" t="str">
        <f ca="1">IFERROR(__xludf.DUMMYFUNCTION("""COMPUTED_VALUE"""),"20110413FLSHA")</f>
        <v>20110413FLSHA</v>
      </c>
      <c r="B1425" s="5">
        <f ca="1">IFERROR(__xludf.DUMMYFUNCTION("""COMPUTED_VALUE"""),17)</f>
        <v>17</v>
      </c>
      <c r="C1425" s="5" t="str">
        <f ca="1">IFERROR(__xludf.DUMMYFUNCTION("""COMPUTED_VALUE"""),"Male")</f>
        <v>Male</v>
      </c>
      <c r="D1425" s="5"/>
      <c r="E1425" s="5" t="str">
        <f ca="1">IFERROR(__xludf.DUMMYFUNCTION("""COMPUTED_VALUE"""),"Unknown")</f>
        <v>Unknown</v>
      </c>
      <c r="F1425" s="5" t="str">
        <f ca="1">IFERROR(__xludf.DUMMYFUNCTION("""COMPUTED_VALUE"""),"Fled/Apprehended")</f>
        <v>Fled/Apprehended</v>
      </c>
      <c r="G1425" s="5" t="str">
        <f ca="1">IFERROR(__xludf.DUMMYFUNCTION("""COMPUTED_VALUE"""),"No")</f>
        <v>No</v>
      </c>
      <c r="H1425" s="5" t="str">
        <f ca="1">IFERROR(__xludf.DUMMYFUNCTION("""COMPUTED_VALUE"""),"None")</f>
        <v>None</v>
      </c>
    </row>
    <row r="1426" spans="1:8" ht="13">
      <c r="A1426" s="5" t="str">
        <f ca="1">IFERROR(__xludf.DUMMYFUNCTION("""COMPUTED_VALUE"""),"20110330TXWOH")</f>
        <v>20110330TXWOH</v>
      </c>
      <c r="B1426" s="5" t="str">
        <f ca="1">IFERROR(__xludf.DUMMYFUNCTION("""COMPUTED_VALUE"""),"Teen")</f>
        <v>Teen</v>
      </c>
      <c r="C1426" s="5" t="str">
        <f ca="1">IFERROR(__xludf.DUMMYFUNCTION("""COMPUTED_VALUE"""),"Male")</f>
        <v>Male</v>
      </c>
      <c r="D1426" s="5" t="str">
        <f ca="1">IFERROR(__xludf.DUMMYFUNCTION("""COMPUTED_VALUE"""),"Black")</f>
        <v>Black</v>
      </c>
      <c r="E1426" s="5" t="str">
        <f ca="1">IFERROR(__xludf.DUMMYFUNCTION("""COMPUTED_VALUE"""),"Rival School Student")</f>
        <v>Rival School Student</v>
      </c>
      <c r="F1426" s="5" t="str">
        <f ca="1">IFERROR(__xludf.DUMMYFUNCTION("""COMPUTED_VALUE"""),"Fled/Escaped")</f>
        <v>Fled/Escaped</v>
      </c>
      <c r="G1426" s="5" t="str">
        <f ca="1">IFERROR(__xludf.DUMMYFUNCTION("""COMPUTED_VALUE"""),"No")</f>
        <v>No</v>
      </c>
      <c r="H1426" s="5" t="str">
        <f ca="1">IFERROR(__xludf.DUMMYFUNCTION("""COMPUTED_VALUE"""),"Wounded")</f>
        <v>Wounded</v>
      </c>
    </row>
    <row r="1427" spans="1:8" ht="13">
      <c r="A1427" s="5" t="str">
        <f ca="1">IFERROR(__xludf.DUMMYFUNCTION("""COMPUTED_VALUE"""),"20110330TXWOH")</f>
        <v>20110330TXWOH</v>
      </c>
      <c r="B1427" s="5" t="str">
        <f ca="1">IFERROR(__xludf.DUMMYFUNCTION("""COMPUTED_VALUE"""),"Teen")</f>
        <v>Teen</v>
      </c>
      <c r="C1427" s="5" t="str">
        <f ca="1">IFERROR(__xludf.DUMMYFUNCTION("""COMPUTED_VALUE"""),"Male")</f>
        <v>Male</v>
      </c>
      <c r="D1427" s="5" t="str">
        <f ca="1">IFERROR(__xludf.DUMMYFUNCTION("""COMPUTED_VALUE"""),"Black")</f>
        <v>Black</v>
      </c>
      <c r="E1427" s="5" t="str">
        <f ca="1">IFERROR(__xludf.DUMMYFUNCTION("""COMPUTED_VALUE"""),"Rival School Student")</f>
        <v>Rival School Student</v>
      </c>
      <c r="F1427" s="5" t="str">
        <f ca="1">IFERROR(__xludf.DUMMYFUNCTION("""COMPUTED_VALUE"""),"Fled/Escaped")</f>
        <v>Fled/Escaped</v>
      </c>
      <c r="G1427" s="5" t="str">
        <f ca="1">IFERROR(__xludf.DUMMYFUNCTION("""COMPUTED_VALUE"""),"No")</f>
        <v>No</v>
      </c>
      <c r="H1427" s="5" t="str">
        <f ca="1">IFERROR(__xludf.DUMMYFUNCTION("""COMPUTED_VALUE"""),"Wounded")</f>
        <v>Wounded</v>
      </c>
    </row>
    <row r="1428" spans="1:8" ht="13">
      <c r="A1428" s="5" t="str">
        <f ca="1">IFERROR(__xludf.DUMMYFUNCTION("""COMPUTED_VALUE"""),"20110330TXWOH")</f>
        <v>20110330TXWOH</v>
      </c>
      <c r="B1428" s="5"/>
      <c r="C1428" s="5" t="str">
        <f ca="1">IFERROR(__xludf.DUMMYFUNCTION("""COMPUTED_VALUE"""),"Male")</f>
        <v>Male</v>
      </c>
      <c r="D1428" s="5" t="str">
        <f ca="1">IFERROR(__xludf.DUMMYFUNCTION("""COMPUTED_VALUE"""),"Black")</f>
        <v>Black</v>
      </c>
      <c r="E1428" s="5" t="str">
        <f ca="1">IFERROR(__xludf.DUMMYFUNCTION("""COMPUTED_VALUE"""),"Unknown")</f>
        <v>Unknown</v>
      </c>
      <c r="F1428" s="5" t="str">
        <f ca="1">IFERROR(__xludf.DUMMYFUNCTION("""COMPUTED_VALUE"""),"Fled/Escaped")</f>
        <v>Fled/Escaped</v>
      </c>
      <c r="G1428" s="5" t="str">
        <f ca="1">IFERROR(__xludf.DUMMYFUNCTION("""COMPUTED_VALUE"""),"No")</f>
        <v>No</v>
      </c>
      <c r="H1428" s="5" t="str">
        <f ca="1">IFERROR(__xludf.DUMMYFUNCTION("""COMPUTED_VALUE"""),"None")</f>
        <v>None</v>
      </c>
    </row>
    <row r="1429" spans="1:8" ht="13">
      <c r="A1429" s="5" t="str">
        <f ca="1">IFERROR(__xludf.DUMMYFUNCTION("""COMPUTED_VALUE"""),"20110325INMAM")</f>
        <v>20110325INMAM</v>
      </c>
      <c r="B1429" s="5">
        <f ca="1">IFERROR(__xludf.DUMMYFUNCTION("""COMPUTED_VALUE"""),16)</f>
        <v>16</v>
      </c>
      <c r="C1429" s="5" t="str">
        <f ca="1">IFERROR(__xludf.DUMMYFUNCTION("""COMPUTED_VALUE"""),"Male")</f>
        <v>Male</v>
      </c>
      <c r="D1429" s="5" t="str">
        <f ca="1">IFERROR(__xludf.DUMMYFUNCTION("""COMPUTED_VALUE"""),"White")</f>
        <v>White</v>
      </c>
      <c r="E1429" s="5" t="str">
        <f ca="1">IFERROR(__xludf.DUMMYFUNCTION("""COMPUTED_VALUE"""),"Former Student")</f>
        <v>Former Student</v>
      </c>
      <c r="F1429" s="5" t="str">
        <f ca="1">IFERROR(__xludf.DUMMYFUNCTION("""COMPUTED_VALUE"""),"Fled/Apprehended")</f>
        <v>Fled/Apprehended</v>
      </c>
      <c r="G1429" s="5" t="str">
        <f ca="1">IFERROR(__xludf.DUMMYFUNCTION("""COMPUTED_VALUE"""),"No")</f>
        <v>No</v>
      </c>
      <c r="H1429" s="5" t="str">
        <f ca="1">IFERROR(__xludf.DUMMYFUNCTION("""COMPUTED_VALUE"""),"None")</f>
        <v>None</v>
      </c>
    </row>
    <row r="1430" spans="1:8" ht="13">
      <c r="A1430" s="5" t="str">
        <f ca="1">IFERROR(__xludf.DUMMYFUNCTION("""COMPUTED_VALUE"""),"20110202CALOP")</f>
        <v>20110202CALOP</v>
      </c>
      <c r="B1430" s="5">
        <f ca="1">IFERROR(__xludf.DUMMYFUNCTION("""COMPUTED_VALUE"""),44)</f>
        <v>44</v>
      </c>
      <c r="C1430" s="5" t="str">
        <f ca="1">IFERROR(__xludf.DUMMYFUNCTION("""COMPUTED_VALUE"""),"Male")</f>
        <v>Male</v>
      </c>
      <c r="D1430" s="5" t="str">
        <f ca="1">IFERROR(__xludf.DUMMYFUNCTION("""COMPUTED_VALUE"""),"White")</f>
        <v>White</v>
      </c>
      <c r="E1430" s="5" t="str">
        <f ca="1">IFERROR(__xludf.DUMMYFUNCTION("""COMPUTED_VALUE"""),"Other Staff")</f>
        <v>Other Staff</v>
      </c>
      <c r="F1430" s="5" t="str">
        <f ca="1">IFERROR(__xludf.DUMMYFUNCTION("""COMPUTED_VALUE"""),"Fled/Apprehended")</f>
        <v>Fled/Apprehended</v>
      </c>
      <c r="G1430" s="5" t="str">
        <f ca="1">IFERROR(__xludf.DUMMYFUNCTION("""COMPUTED_VALUE"""),"No")</f>
        <v>No</v>
      </c>
      <c r="H1430" s="5" t="str">
        <f ca="1">IFERROR(__xludf.DUMMYFUNCTION("""COMPUTED_VALUE"""),"None")</f>
        <v>None</v>
      </c>
    </row>
    <row r="1431" spans="1:8" ht="13">
      <c r="A1431" s="5" t="str">
        <f ca="1">IFERROR(__xludf.DUMMYFUNCTION("""COMPUTED_VALUE"""),"20110118CAGAL")</f>
        <v>20110118CAGAL</v>
      </c>
      <c r="B1431" s="5">
        <f ca="1">IFERROR(__xludf.DUMMYFUNCTION("""COMPUTED_VALUE"""),17)</f>
        <v>17</v>
      </c>
      <c r="C1431" s="5" t="str">
        <f ca="1">IFERROR(__xludf.DUMMYFUNCTION("""COMPUTED_VALUE"""),"Male")</f>
        <v>Male</v>
      </c>
      <c r="D1431" s="5" t="str">
        <f ca="1">IFERROR(__xludf.DUMMYFUNCTION("""COMPUTED_VALUE"""),"Black")</f>
        <v>Black</v>
      </c>
      <c r="E1431" s="5" t="str">
        <f ca="1">IFERROR(__xludf.DUMMYFUNCTION("""COMPUTED_VALUE"""),"Student")</f>
        <v>Student</v>
      </c>
      <c r="F1431" s="5" t="str">
        <f ca="1">IFERROR(__xludf.DUMMYFUNCTION("""COMPUTED_VALUE"""),"Surrendered")</f>
        <v>Surrendered</v>
      </c>
      <c r="G1431" s="5" t="str">
        <f ca="1">IFERROR(__xludf.DUMMYFUNCTION("""COMPUTED_VALUE"""),"No")</f>
        <v>No</v>
      </c>
      <c r="H1431" s="5" t="str">
        <f ca="1">IFERROR(__xludf.DUMMYFUNCTION("""COMPUTED_VALUE"""),"None")</f>
        <v>None</v>
      </c>
    </row>
    <row r="1432" spans="1:8" ht="13">
      <c r="A1432" s="5" t="str">
        <f ca="1">IFERROR(__xludf.DUMMYFUNCTION("""COMPUTED_VALUE"""),"20110105NEMIO")</f>
        <v>20110105NEMIO</v>
      </c>
      <c r="B1432" s="5">
        <f ca="1">IFERROR(__xludf.DUMMYFUNCTION("""COMPUTED_VALUE"""),17)</f>
        <v>17</v>
      </c>
      <c r="C1432" s="5" t="str">
        <f ca="1">IFERROR(__xludf.DUMMYFUNCTION("""COMPUTED_VALUE"""),"Male")</f>
        <v>Male</v>
      </c>
      <c r="D1432" s="5" t="str">
        <f ca="1">IFERROR(__xludf.DUMMYFUNCTION("""COMPUTED_VALUE"""),"Other")</f>
        <v>Other</v>
      </c>
      <c r="E1432" s="5" t="str">
        <f ca="1">IFERROR(__xludf.DUMMYFUNCTION("""COMPUTED_VALUE"""),"Student")</f>
        <v>Student</v>
      </c>
      <c r="F1432" s="5" t="str">
        <f ca="1">IFERROR(__xludf.DUMMYFUNCTION("""COMPUTED_VALUE"""),"Fled/Escaped")</f>
        <v>Fled/Escaped</v>
      </c>
      <c r="G1432" s="5" t="str">
        <f ca="1">IFERROR(__xludf.DUMMYFUNCTION("""COMPUTED_VALUE"""),"Yes")</f>
        <v>Yes</v>
      </c>
      <c r="H1432" s="5" t="str">
        <f ca="1">IFERROR(__xludf.DUMMYFUNCTION("""COMPUTED_VALUE"""),"Suicide")</f>
        <v>Suicide</v>
      </c>
    </row>
    <row r="1433" spans="1:8" ht="13">
      <c r="A1433" s="5" t="str">
        <f ca="1">IFERROR(__xludf.DUMMYFUNCTION("""COMPUTED_VALUE"""),"20110104INCRC")</f>
        <v>20110104INCRC</v>
      </c>
      <c r="B1433" s="5"/>
      <c r="C1433" s="5"/>
      <c r="D1433" s="5"/>
      <c r="E1433" s="5" t="str">
        <f ca="1">IFERROR(__xludf.DUMMYFUNCTION("""COMPUTED_VALUE"""),"Unknown")</f>
        <v>Unknown</v>
      </c>
      <c r="F1433" s="5" t="str">
        <f ca="1">IFERROR(__xludf.DUMMYFUNCTION("""COMPUTED_VALUE"""),"Fled/Escaped")</f>
        <v>Fled/Escaped</v>
      </c>
      <c r="G1433" s="5" t="str">
        <f ca="1">IFERROR(__xludf.DUMMYFUNCTION("""COMPUTED_VALUE"""),"No")</f>
        <v>No</v>
      </c>
      <c r="H1433" s="5" t="str">
        <f ca="1">IFERROR(__xludf.DUMMYFUNCTION("""COMPUTED_VALUE"""),"None")</f>
        <v>None</v>
      </c>
    </row>
    <row r="1434" spans="1:8" ht="13">
      <c r="A1434" s="5" t="str">
        <f ca="1">IFERROR(__xludf.DUMMYFUNCTION("""COMPUTED_VALUE"""),"20101206COAUA")</f>
        <v>20101206COAUA</v>
      </c>
      <c r="B1434" s="5">
        <f ca="1">IFERROR(__xludf.DUMMYFUNCTION("""COMPUTED_VALUE"""),23)</f>
        <v>23</v>
      </c>
      <c r="C1434" s="5" t="str">
        <f ca="1">IFERROR(__xludf.DUMMYFUNCTION("""COMPUTED_VALUE"""),"Male")</f>
        <v>Male</v>
      </c>
      <c r="D1434" s="5" t="str">
        <f ca="1">IFERROR(__xludf.DUMMYFUNCTION("""COMPUTED_VALUE"""),"White")</f>
        <v>White</v>
      </c>
      <c r="E1434" s="5" t="str">
        <f ca="1">IFERROR(__xludf.DUMMYFUNCTION("""COMPUTED_VALUE"""),"Former Student")</f>
        <v>Former Student</v>
      </c>
      <c r="F1434" s="5" t="str">
        <f ca="1">IFERROR(__xludf.DUMMYFUNCTION("""COMPUTED_VALUE"""),"Fled/Apprehended")</f>
        <v>Fled/Apprehended</v>
      </c>
      <c r="G1434" s="5" t="str">
        <f ca="1">IFERROR(__xludf.DUMMYFUNCTION("""COMPUTED_VALUE"""),"No")</f>
        <v>No</v>
      </c>
      <c r="H1434" s="5" t="str">
        <f ca="1">IFERROR(__xludf.DUMMYFUNCTION("""COMPUTED_VALUE"""),"None")</f>
        <v>None</v>
      </c>
    </row>
    <row r="1435" spans="1:8" ht="13">
      <c r="A1435" s="5" t="str">
        <f ca="1">IFERROR(__xludf.DUMMYFUNCTION("""COMPUTED_VALUE"""),"20101129WIMAM")</f>
        <v>20101129WIMAM</v>
      </c>
      <c r="B1435" s="5">
        <f ca="1">IFERROR(__xludf.DUMMYFUNCTION("""COMPUTED_VALUE"""),15)</f>
        <v>15</v>
      </c>
      <c r="C1435" s="5" t="str">
        <f ca="1">IFERROR(__xludf.DUMMYFUNCTION("""COMPUTED_VALUE"""),"Male")</f>
        <v>Male</v>
      </c>
      <c r="D1435" s="5" t="str">
        <f ca="1">IFERROR(__xludf.DUMMYFUNCTION("""COMPUTED_VALUE"""),"White")</f>
        <v>White</v>
      </c>
      <c r="E1435" s="5" t="str">
        <f ca="1">IFERROR(__xludf.DUMMYFUNCTION("""COMPUTED_VALUE"""),"Student")</f>
        <v>Student</v>
      </c>
      <c r="F1435" s="5" t="str">
        <f ca="1">IFERROR(__xludf.DUMMYFUNCTION("""COMPUTED_VALUE"""),"Suicide")</f>
        <v>Suicide</v>
      </c>
      <c r="G1435" s="5" t="str">
        <f ca="1">IFERROR(__xludf.DUMMYFUNCTION("""COMPUTED_VALUE"""),"Yes")</f>
        <v>Yes</v>
      </c>
      <c r="H1435" s="5" t="str">
        <f ca="1">IFERROR(__xludf.DUMMYFUNCTION("""COMPUTED_VALUE"""),"Suicide")</f>
        <v>Suicide</v>
      </c>
    </row>
    <row r="1436" spans="1:8" ht="13">
      <c r="A1436" s="5" t="str">
        <f ca="1">IFERROR(__xludf.DUMMYFUNCTION("""COMPUTED_VALUE"""),"20101023KSTOT")</f>
        <v>20101023KSTOT</v>
      </c>
      <c r="B1436" s="5">
        <f ca="1">IFERROR(__xludf.DUMMYFUNCTION("""COMPUTED_VALUE"""),19)</f>
        <v>19</v>
      </c>
      <c r="C1436" s="5" t="str">
        <f ca="1">IFERROR(__xludf.DUMMYFUNCTION("""COMPUTED_VALUE"""),"Male")</f>
        <v>Male</v>
      </c>
      <c r="D1436" s="5" t="str">
        <f ca="1">IFERROR(__xludf.DUMMYFUNCTION("""COMPUTED_VALUE"""),"White")</f>
        <v>White</v>
      </c>
      <c r="E1436" s="5" t="str">
        <f ca="1">IFERROR(__xludf.DUMMYFUNCTION("""COMPUTED_VALUE"""),"No Relation")</f>
        <v>No Relation</v>
      </c>
      <c r="F1436" s="5" t="str">
        <f ca="1">IFERROR(__xludf.DUMMYFUNCTION("""COMPUTED_VALUE"""),"Fled/Apprehended")</f>
        <v>Fled/Apprehended</v>
      </c>
      <c r="G1436" s="5" t="str">
        <f ca="1">IFERROR(__xludf.DUMMYFUNCTION("""COMPUTED_VALUE"""),"No")</f>
        <v>No</v>
      </c>
      <c r="H1436" s="5" t="str">
        <f ca="1">IFERROR(__xludf.DUMMYFUNCTION("""COMPUTED_VALUE"""),"None")</f>
        <v>None</v>
      </c>
    </row>
    <row r="1437" spans="1:8" ht="13">
      <c r="A1437" s="5" t="str">
        <f ca="1">IFERROR(__xludf.DUMMYFUNCTION("""COMPUTED_VALUE"""),"20101023KSTOT")</f>
        <v>20101023KSTOT</v>
      </c>
      <c r="B1437" s="5">
        <f ca="1">IFERROR(__xludf.DUMMYFUNCTION("""COMPUTED_VALUE"""),21)</f>
        <v>21</v>
      </c>
      <c r="C1437" s="5" t="str">
        <f ca="1">IFERROR(__xludf.DUMMYFUNCTION("""COMPUTED_VALUE"""),"Male")</f>
        <v>Male</v>
      </c>
      <c r="D1437" s="5" t="str">
        <f ca="1">IFERROR(__xludf.DUMMYFUNCTION("""COMPUTED_VALUE"""),"White")</f>
        <v>White</v>
      </c>
      <c r="E1437" s="5" t="str">
        <f ca="1">IFERROR(__xludf.DUMMYFUNCTION("""COMPUTED_VALUE"""),"No Relation")</f>
        <v>No Relation</v>
      </c>
      <c r="F1437" s="5" t="str">
        <f ca="1">IFERROR(__xludf.DUMMYFUNCTION("""COMPUTED_VALUE"""),"Fled/Apprehended")</f>
        <v>Fled/Apprehended</v>
      </c>
      <c r="G1437" s="5" t="str">
        <f ca="1">IFERROR(__xludf.DUMMYFUNCTION("""COMPUTED_VALUE"""),"No")</f>
        <v>No</v>
      </c>
      <c r="H1437" s="5" t="str">
        <f ca="1">IFERROR(__xludf.DUMMYFUNCTION("""COMPUTED_VALUE"""),"None")</f>
        <v>None</v>
      </c>
    </row>
    <row r="1438" spans="1:8" ht="13">
      <c r="A1438" s="5" t="str">
        <f ca="1">IFERROR(__xludf.DUMMYFUNCTION("""COMPUTED_VALUE"""),"20101008CAKEC")</f>
        <v>20101008CAKEC</v>
      </c>
      <c r="B1438" s="5">
        <f ca="1">IFERROR(__xludf.DUMMYFUNCTION("""COMPUTED_VALUE"""),41)</f>
        <v>41</v>
      </c>
      <c r="C1438" s="5" t="str">
        <f ca="1">IFERROR(__xludf.DUMMYFUNCTION("""COMPUTED_VALUE"""),"Male")</f>
        <v>Male</v>
      </c>
      <c r="D1438" s="5" t="str">
        <f ca="1">IFERROR(__xludf.DUMMYFUNCTION("""COMPUTED_VALUE"""),"White")</f>
        <v>White</v>
      </c>
      <c r="E1438" s="5" t="str">
        <f ca="1">IFERROR(__xludf.DUMMYFUNCTION("""COMPUTED_VALUE"""),"No Relation")</f>
        <v>No Relation</v>
      </c>
      <c r="F1438" s="5" t="str">
        <f ca="1">IFERROR(__xludf.DUMMYFUNCTION("""COMPUTED_VALUE"""),"Subdued by Students/Staff/Other")</f>
        <v>Subdued by Students/Staff/Other</v>
      </c>
      <c r="G1438" s="5" t="str">
        <f ca="1">IFERROR(__xludf.DUMMYFUNCTION("""COMPUTED_VALUE"""),"No")</f>
        <v>No</v>
      </c>
      <c r="H1438" s="5" t="str">
        <f ca="1">IFERROR(__xludf.DUMMYFUNCTION("""COMPUTED_VALUE"""),"None")</f>
        <v>None</v>
      </c>
    </row>
    <row r="1439" spans="1:8" ht="13">
      <c r="A1439" s="5" t="str">
        <f ca="1">IFERROR(__xludf.DUMMYFUNCTION("""COMPUTED_VALUE"""),"20101001CAALS")</f>
        <v>20101001CAALS</v>
      </c>
      <c r="B1439" s="5"/>
      <c r="C1439" s="5"/>
      <c r="D1439" s="5"/>
      <c r="E1439" s="5" t="str">
        <f ca="1">IFERROR(__xludf.DUMMYFUNCTION("""COMPUTED_VALUE"""),"Unknown")</f>
        <v>Unknown</v>
      </c>
      <c r="F1439" s="5" t="str">
        <f ca="1">IFERROR(__xludf.DUMMYFUNCTION("""COMPUTED_VALUE"""),"Fled/Apprehended")</f>
        <v>Fled/Apprehended</v>
      </c>
      <c r="G1439" s="5" t="str">
        <f ca="1">IFERROR(__xludf.DUMMYFUNCTION("""COMPUTED_VALUE"""),"No")</f>
        <v>No</v>
      </c>
      <c r="H1439" s="5" t="str">
        <f ca="1">IFERROR(__xludf.DUMMYFUNCTION("""COMPUTED_VALUE"""),"None")</f>
        <v>None</v>
      </c>
    </row>
    <row r="1440" spans="1:8" ht="13">
      <c r="A1440" s="5" t="str">
        <f ca="1">IFERROR(__xludf.DUMMYFUNCTION("""COMPUTED_VALUE"""),"20100921SCSOC")</f>
        <v>20100921SCSOC</v>
      </c>
      <c r="B1440" s="5">
        <f ca="1">IFERROR(__xludf.DUMMYFUNCTION("""COMPUTED_VALUE"""),15)</f>
        <v>15</v>
      </c>
      <c r="C1440" s="5" t="str">
        <f ca="1">IFERROR(__xludf.DUMMYFUNCTION("""COMPUTED_VALUE"""),"Male")</f>
        <v>Male</v>
      </c>
      <c r="D1440" s="5" t="str">
        <f ca="1">IFERROR(__xludf.DUMMYFUNCTION("""COMPUTED_VALUE"""),"White")</f>
        <v>White</v>
      </c>
      <c r="E1440" s="5" t="str">
        <f ca="1">IFERROR(__xludf.DUMMYFUNCTION("""COMPUTED_VALUE"""),"Student")</f>
        <v>Student</v>
      </c>
      <c r="F1440" s="5" t="str">
        <f ca="1">IFERROR(__xludf.DUMMYFUNCTION("""COMPUTED_VALUE"""),"Apprehended/Killed by SRO")</f>
        <v>Apprehended/Killed by SRO</v>
      </c>
      <c r="G1440" s="5" t="str">
        <f ca="1">IFERROR(__xludf.DUMMYFUNCTION("""COMPUTED_VALUE"""),"No")</f>
        <v>No</v>
      </c>
      <c r="H1440" s="5" t="str">
        <f ca="1">IFERROR(__xludf.DUMMYFUNCTION("""COMPUTED_VALUE"""),"None")</f>
        <v>None</v>
      </c>
    </row>
    <row r="1441" spans="1:8" ht="13">
      <c r="A1441" s="5" t="str">
        <f ca="1">IFERROR(__xludf.DUMMYFUNCTION("""COMPUTED_VALUE"""),"20100908MIMUD")</f>
        <v>20100908MIMUD</v>
      </c>
      <c r="B1441" s="5">
        <f ca="1">IFERROR(__xludf.DUMMYFUNCTION("""COMPUTED_VALUE"""),17)</f>
        <v>17</v>
      </c>
      <c r="C1441" s="5" t="str">
        <f ca="1">IFERROR(__xludf.DUMMYFUNCTION("""COMPUTED_VALUE"""),"Male")</f>
        <v>Male</v>
      </c>
      <c r="D1441" s="5" t="str">
        <f ca="1">IFERROR(__xludf.DUMMYFUNCTION("""COMPUTED_VALUE"""),"Black")</f>
        <v>Black</v>
      </c>
      <c r="E1441" s="5" t="str">
        <f ca="1">IFERROR(__xludf.DUMMYFUNCTION("""COMPUTED_VALUE"""),"Student")</f>
        <v>Student</v>
      </c>
      <c r="F1441" s="5" t="str">
        <f ca="1">IFERROR(__xludf.DUMMYFUNCTION("""COMPUTED_VALUE"""),"Fled/Apprehended")</f>
        <v>Fled/Apprehended</v>
      </c>
      <c r="G1441" s="5" t="str">
        <f ca="1">IFERROR(__xludf.DUMMYFUNCTION("""COMPUTED_VALUE"""),"No")</f>
        <v>No</v>
      </c>
      <c r="H1441" s="5" t="str">
        <f ca="1">IFERROR(__xludf.DUMMYFUNCTION("""COMPUTED_VALUE"""),"None")</f>
        <v>None</v>
      </c>
    </row>
    <row r="1442" spans="1:8" ht="13">
      <c r="A1442" s="5" t="str">
        <f ca="1">IFERROR(__xludf.DUMMYFUNCTION("""COMPUTED_VALUE"""),"20100830TNSUB")</f>
        <v>20100830TNSUB</v>
      </c>
      <c r="B1442" s="5">
        <f ca="1">IFERROR(__xludf.DUMMYFUNCTION("""COMPUTED_VALUE"""),62)</f>
        <v>62</v>
      </c>
      <c r="C1442" s="5" t="str">
        <f ca="1">IFERROR(__xludf.DUMMYFUNCTION("""COMPUTED_VALUE"""),"Male")</f>
        <v>Male</v>
      </c>
      <c r="D1442" s="5" t="str">
        <f ca="1">IFERROR(__xludf.DUMMYFUNCTION("""COMPUTED_VALUE"""),"White")</f>
        <v>White</v>
      </c>
      <c r="E1442" s="5" t="str">
        <f ca="1">IFERROR(__xludf.DUMMYFUNCTION("""COMPUTED_VALUE"""),"Relative")</f>
        <v>Relative</v>
      </c>
      <c r="F1442" s="5" t="str">
        <f ca="1">IFERROR(__xludf.DUMMYFUNCTION("""COMPUTED_VALUE"""),"Apprehended/Killed by SRO")</f>
        <v>Apprehended/Killed by SRO</v>
      </c>
      <c r="G1442" s="5" t="str">
        <f ca="1">IFERROR(__xludf.DUMMYFUNCTION("""COMPUTED_VALUE"""),"No")</f>
        <v>No</v>
      </c>
      <c r="H1442" s="5" t="str">
        <f ca="1">IFERROR(__xludf.DUMMYFUNCTION("""COMPUTED_VALUE"""),"None")</f>
        <v>None</v>
      </c>
    </row>
    <row r="1443" spans="1:8" ht="13">
      <c r="A1443" s="5" t="str">
        <f ca="1">IFERROR(__xludf.DUMMYFUNCTION("""COMPUTED_VALUE"""),"20100518CASOS")</f>
        <v>20100518CASOS</v>
      </c>
      <c r="B1443" s="5">
        <f ca="1">IFERROR(__xludf.DUMMYFUNCTION("""COMPUTED_VALUE"""),17)</f>
        <v>17</v>
      </c>
      <c r="C1443" s="5" t="str">
        <f ca="1">IFERROR(__xludf.DUMMYFUNCTION("""COMPUTED_VALUE"""),"Male")</f>
        <v>Male</v>
      </c>
      <c r="D1443" s="5"/>
      <c r="E1443" s="5" t="str">
        <f ca="1">IFERROR(__xludf.DUMMYFUNCTION("""COMPUTED_VALUE"""),"Former Student")</f>
        <v>Former Student</v>
      </c>
      <c r="F1443" s="5" t="str">
        <f ca="1">IFERROR(__xludf.DUMMYFUNCTION("""COMPUTED_VALUE"""),"Fled/Apprehended")</f>
        <v>Fled/Apprehended</v>
      </c>
      <c r="G1443" s="5" t="str">
        <f ca="1">IFERROR(__xludf.DUMMYFUNCTION("""COMPUTED_VALUE"""),"No")</f>
        <v>No</v>
      </c>
      <c r="H1443" s="5" t="str">
        <f ca="1">IFERROR(__xludf.DUMMYFUNCTION("""COMPUTED_VALUE"""),"None")</f>
        <v>None</v>
      </c>
    </row>
    <row r="1444" spans="1:8" ht="13">
      <c r="A1444" s="5" t="str">
        <f ca="1">IFERROR(__xludf.DUMMYFUNCTION("""COMPUTED_VALUE"""),"20100428VAWOP")</f>
        <v>20100428VAWOP</v>
      </c>
      <c r="B1444" s="5">
        <f ca="1">IFERROR(__xludf.DUMMYFUNCTION("""COMPUTED_VALUE"""),15)</f>
        <v>15</v>
      </c>
      <c r="C1444" s="5" t="str">
        <f ca="1">IFERROR(__xludf.DUMMYFUNCTION("""COMPUTED_VALUE"""),"Male")</f>
        <v>Male</v>
      </c>
      <c r="D1444" s="5" t="str">
        <f ca="1">IFERROR(__xludf.DUMMYFUNCTION("""COMPUTED_VALUE"""),"Black")</f>
        <v>Black</v>
      </c>
      <c r="E1444" s="5" t="str">
        <f ca="1">IFERROR(__xludf.DUMMYFUNCTION("""COMPUTED_VALUE"""),"Student")</f>
        <v>Student</v>
      </c>
      <c r="F1444" s="5" t="str">
        <f ca="1">IFERROR(__xludf.DUMMYFUNCTION("""COMPUTED_VALUE"""),"Fled/Apprehended")</f>
        <v>Fled/Apprehended</v>
      </c>
      <c r="G1444" s="5" t="str">
        <f ca="1">IFERROR(__xludf.DUMMYFUNCTION("""COMPUTED_VALUE"""),"No")</f>
        <v>No</v>
      </c>
      <c r="H1444" s="5" t="str">
        <f ca="1">IFERROR(__xludf.DUMMYFUNCTION("""COMPUTED_VALUE"""),"None")</f>
        <v>None</v>
      </c>
    </row>
    <row r="1445" spans="1:8" ht="13">
      <c r="A1445" s="5" t="str">
        <f ca="1">IFERROR(__xludf.DUMMYFUNCTION("""COMPUTED_VALUE"""),"20100226WABIT")</f>
        <v>20100226WABIT</v>
      </c>
      <c r="B1445" s="5">
        <f ca="1">IFERROR(__xludf.DUMMYFUNCTION("""COMPUTED_VALUE"""),30)</f>
        <v>30</v>
      </c>
      <c r="C1445" s="5" t="str">
        <f ca="1">IFERROR(__xludf.DUMMYFUNCTION("""COMPUTED_VALUE"""),"Male")</f>
        <v>Male</v>
      </c>
      <c r="D1445" s="5" t="str">
        <f ca="1">IFERROR(__xludf.DUMMYFUNCTION("""COMPUTED_VALUE"""),"White")</f>
        <v>White</v>
      </c>
      <c r="E1445" s="5" t="str">
        <f ca="1">IFERROR(__xludf.DUMMYFUNCTION("""COMPUTED_VALUE"""),"Intimate Relationship")</f>
        <v>Intimate Relationship</v>
      </c>
      <c r="F1445" s="5" t="str">
        <f ca="1">IFERROR(__xludf.DUMMYFUNCTION("""COMPUTED_VALUE"""),"Fled/Apprehended")</f>
        <v>Fled/Apprehended</v>
      </c>
      <c r="G1445" s="5" t="str">
        <f ca="1">IFERROR(__xludf.DUMMYFUNCTION("""COMPUTED_VALUE"""),"No")</f>
        <v>No</v>
      </c>
      <c r="H1445" s="5" t="str">
        <f ca="1">IFERROR(__xludf.DUMMYFUNCTION("""COMPUTED_VALUE"""),"None")</f>
        <v>None</v>
      </c>
    </row>
    <row r="1446" spans="1:8" ht="13">
      <c r="A1446" s="5" t="str">
        <f ca="1">IFERROR(__xludf.DUMMYFUNCTION("""COMPUTED_VALUE"""),"20100223CODEL")</f>
        <v>20100223CODEL</v>
      </c>
      <c r="B1446" s="5">
        <f ca="1">IFERROR(__xludf.DUMMYFUNCTION("""COMPUTED_VALUE"""),32)</f>
        <v>32</v>
      </c>
      <c r="C1446" s="5" t="str">
        <f ca="1">IFERROR(__xludf.DUMMYFUNCTION("""COMPUTED_VALUE"""),"Male")</f>
        <v>Male</v>
      </c>
      <c r="D1446" s="5" t="str">
        <f ca="1">IFERROR(__xludf.DUMMYFUNCTION("""COMPUTED_VALUE"""),"White")</f>
        <v>White</v>
      </c>
      <c r="E1446" s="5" t="str">
        <f ca="1">IFERROR(__xludf.DUMMYFUNCTION("""COMPUTED_VALUE"""),"Former Student")</f>
        <v>Former Student</v>
      </c>
      <c r="F1446" s="5" t="str">
        <f ca="1">IFERROR(__xludf.DUMMYFUNCTION("""COMPUTED_VALUE"""),"Subdued by Students/Staff/Other")</f>
        <v>Subdued by Students/Staff/Other</v>
      </c>
      <c r="G1446" s="5" t="str">
        <f ca="1">IFERROR(__xludf.DUMMYFUNCTION("""COMPUTED_VALUE"""),"No")</f>
        <v>No</v>
      </c>
      <c r="H1446" s="5" t="str">
        <f ca="1">IFERROR(__xludf.DUMMYFUNCTION("""COMPUTED_VALUE"""),"None")</f>
        <v>None</v>
      </c>
    </row>
    <row r="1447" spans="1:8" ht="13">
      <c r="A1447" s="5" t="str">
        <f ca="1">IFERROR(__xludf.DUMMYFUNCTION("""COMPUTED_VALUE"""),"20100210TNINK")</f>
        <v>20100210TNINK</v>
      </c>
      <c r="B1447" s="5">
        <f ca="1">IFERROR(__xludf.DUMMYFUNCTION("""COMPUTED_VALUE"""),48)</f>
        <v>48</v>
      </c>
      <c r="C1447" s="5" t="str">
        <f ca="1">IFERROR(__xludf.DUMMYFUNCTION("""COMPUTED_VALUE"""),"Male")</f>
        <v>Male</v>
      </c>
      <c r="D1447" s="5"/>
      <c r="E1447" s="5" t="str">
        <f ca="1">IFERROR(__xludf.DUMMYFUNCTION("""COMPUTED_VALUE"""),"Teacher")</f>
        <v>Teacher</v>
      </c>
      <c r="F1447" s="5" t="str">
        <f ca="1">IFERROR(__xludf.DUMMYFUNCTION("""COMPUTED_VALUE"""),"Fled/Apprehended")</f>
        <v>Fled/Apprehended</v>
      </c>
      <c r="G1447" s="5" t="str">
        <f ca="1">IFERROR(__xludf.DUMMYFUNCTION("""COMPUTED_VALUE"""),"No")</f>
        <v>No</v>
      </c>
      <c r="H1447" s="5" t="str">
        <f ca="1">IFERROR(__xludf.DUMMYFUNCTION("""COMPUTED_VALUE"""),"None")</f>
        <v>None</v>
      </c>
    </row>
    <row r="1448" spans="1:8" ht="13">
      <c r="A1448" s="5" t="str">
        <f ca="1">IFERROR(__xludf.DUMMYFUNCTION("""COMPUTED_VALUE"""),"20100205ALDIM")</f>
        <v>20100205ALDIM</v>
      </c>
      <c r="B1448" s="5">
        <f ca="1">IFERROR(__xludf.DUMMYFUNCTION("""COMPUTED_VALUE"""),14)</f>
        <v>14</v>
      </c>
      <c r="C1448" s="5" t="str">
        <f ca="1">IFERROR(__xludf.DUMMYFUNCTION("""COMPUTED_VALUE"""),"Male")</f>
        <v>Male</v>
      </c>
      <c r="D1448" s="5" t="str">
        <f ca="1">IFERROR(__xludf.DUMMYFUNCTION("""COMPUTED_VALUE"""),"Middle Eastern")</f>
        <v>Middle Eastern</v>
      </c>
      <c r="E1448" s="5" t="str">
        <f ca="1">IFERROR(__xludf.DUMMYFUNCTION("""COMPUTED_VALUE"""),"Student")</f>
        <v>Student</v>
      </c>
      <c r="F1448" s="5" t="str">
        <f ca="1">IFERROR(__xludf.DUMMYFUNCTION("""COMPUTED_VALUE"""),"Apprehended/Killed by SRO")</f>
        <v>Apprehended/Killed by SRO</v>
      </c>
      <c r="G1448" s="5" t="str">
        <f ca="1">IFERROR(__xludf.DUMMYFUNCTION("""COMPUTED_VALUE"""),"No")</f>
        <v>No</v>
      </c>
      <c r="H1448" s="5" t="str">
        <f ca="1">IFERROR(__xludf.DUMMYFUNCTION("""COMPUTED_VALUE"""),"None")</f>
        <v>None</v>
      </c>
    </row>
    <row r="1449" spans="1:8" ht="13">
      <c r="A1449" s="5" t="str">
        <f ca="1">IFERROR(__xludf.DUMMYFUNCTION("""COMPUTED_VALUE"""),"20100120ALLIL")</f>
        <v>20100120ALLIL</v>
      </c>
      <c r="B1449" s="5">
        <f ca="1">IFERROR(__xludf.DUMMYFUNCTION("""COMPUTED_VALUE"""),32)</f>
        <v>32</v>
      </c>
      <c r="C1449" s="5" t="str">
        <f ca="1">IFERROR(__xludf.DUMMYFUNCTION("""COMPUTED_VALUE"""),"Male")</f>
        <v>Male</v>
      </c>
      <c r="D1449" s="5" t="str">
        <f ca="1">IFERROR(__xludf.DUMMYFUNCTION("""COMPUTED_VALUE"""),"Black")</f>
        <v>Black</v>
      </c>
      <c r="E1449" s="5" t="str">
        <f ca="1">IFERROR(__xludf.DUMMYFUNCTION("""COMPUTED_VALUE"""),"Intimate Relationship")</f>
        <v>Intimate Relationship</v>
      </c>
      <c r="F1449" s="5" t="str">
        <f ca="1">IFERROR(__xludf.DUMMYFUNCTION("""COMPUTED_VALUE"""),"Fled/Apprehended")</f>
        <v>Fled/Apprehended</v>
      </c>
      <c r="G1449" s="5" t="str">
        <f ca="1">IFERROR(__xludf.DUMMYFUNCTION("""COMPUTED_VALUE"""),"No")</f>
        <v>No</v>
      </c>
      <c r="H1449" s="5" t="str">
        <f ca="1">IFERROR(__xludf.DUMMYFUNCTION("""COMPUTED_VALUE"""),"None")</f>
        <v>None</v>
      </c>
    </row>
    <row r="1450" spans="1:8" ht="13">
      <c r="A1450" s="5" t="str">
        <f ca="1">IFERROR(__xludf.DUMMYFUNCTION("""COMPUTED_VALUE"""),"20091211LABOS")</f>
        <v>20091211LABOS</v>
      </c>
      <c r="B1450" s="5">
        <f ca="1">IFERROR(__xludf.DUMMYFUNCTION("""COMPUTED_VALUE"""),28)</f>
        <v>28</v>
      </c>
      <c r="C1450" s="5" t="str">
        <f ca="1">IFERROR(__xludf.DUMMYFUNCTION("""COMPUTED_VALUE"""),"Male")</f>
        <v>Male</v>
      </c>
      <c r="D1450" s="5"/>
      <c r="E1450" s="5" t="str">
        <f ca="1">IFERROR(__xludf.DUMMYFUNCTION("""COMPUTED_VALUE"""),"Intimate Relationship")</f>
        <v>Intimate Relationship</v>
      </c>
      <c r="F1450" s="5" t="str">
        <f ca="1">IFERROR(__xludf.DUMMYFUNCTION("""COMPUTED_VALUE"""),"Fled/Apprehended")</f>
        <v>Fled/Apprehended</v>
      </c>
      <c r="G1450" s="5" t="str">
        <f ca="1">IFERROR(__xludf.DUMMYFUNCTION("""COMPUTED_VALUE"""),"No")</f>
        <v>No</v>
      </c>
      <c r="H1450" s="5" t="str">
        <f ca="1">IFERROR(__xludf.DUMMYFUNCTION("""COMPUTED_VALUE"""),"None")</f>
        <v>None</v>
      </c>
    </row>
    <row r="1451" spans="1:8" ht="13">
      <c r="A1451" s="5" t="str">
        <f ca="1">IFERROR(__xludf.DUMMYFUNCTION("""COMPUTED_VALUE"""),"20091106PAHAW")</f>
        <v>20091106PAHAW</v>
      </c>
      <c r="B1451" s="5">
        <f ca="1">IFERROR(__xludf.DUMMYFUNCTION("""COMPUTED_VALUE"""),15)</f>
        <v>15</v>
      </c>
      <c r="C1451" s="5" t="str">
        <f ca="1">IFERROR(__xludf.DUMMYFUNCTION("""COMPUTED_VALUE"""),"Male")</f>
        <v>Male</v>
      </c>
      <c r="D1451" s="5"/>
      <c r="E1451" s="5" t="str">
        <f ca="1">IFERROR(__xludf.DUMMYFUNCTION("""COMPUTED_VALUE"""),"Student")</f>
        <v>Student</v>
      </c>
      <c r="F1451" s="5" t="str">
        <f ca="1">IFERROR(__xludf.DUMMYFUNCTION("""COMPUTED_VALUE"""),"Fled/Apprehended")</f>
        <v>Fled/Apprehended</v>
      </c>
      <c r="G1451" s="5" t="str">
        <f ca="1">IFERROR(__xludf.DUMMYFUNCTION("""COMPUTED_VALUE"""),"No")</f>
        <v>No</v>
      </c>
      <c r="H1451" s="5" t="str">
        <f ca="1">IFERROR(__xludf.DUMMYFUNCTION("""COMPUTED_VALUE"""),"None")</f>
        <v>None</v>
      </c>
    </row>
    <row r="1452" spans="1:8" ht="13">
      <c r="A1452" s="5" t="str">
        <f ca="1">IFERROR(__xludf.DUMMYFUNCTION("""COMPUTED_VALUE"""),"20091030CAWIL")</f>
        <v>20091030CAWIL</v>
      </c>
      <c r="B1452" s="5">
        <f ca="1">IFERROR(__xludf.DUMMYFUNCTION("""COMPUTED_VALUE"""),18)</f>
        <v>18</v>
      </c>
      <c r="C1452" s="5" t="str">
        <f ca="1">IFERROR(__xludf.DUMMYFUNCTION("""COMPUTED_VALUE"""),"Male")</f>
        <v>Male</v>
      </c>
      <c r="D1452" s="5" t="str">
        <f ca="1">IFERROR(__xludf.DUMMYFUNCTION("""COMPUTED_VALUE"""),"Black")</f>
        <v>Black</v>
      </c>
      <c r="E1452" s="5" t="str">
        <f ca="1">IFERROR(__xludf.DUMMYFUNCTION("""COMPUTED_VALUE"""),"Nonstudent Using Athletic Facilities/Attending Game")</f>
        <v>Nonstudent Using Athletic Facilities/Attending Game</v>
      </c>
      <c r="F1452" s="5" t="str">
        <f ca="1">IFERROR(__xludf.DUMMYFUNCTION("""COMPUTED_VALUE"""),"Fled/Apprehended")</f>
        <v>Fled/Apprehended</v>
      </c>
      <c r="G1452" s="5" t="str">
        <f ca="1">IFERROR(__xludf.DUMMYFUNCTION("""COMPUTED_VALUE"""),"No")</f>
        <v>No</v>
      </c>
      <c r="H1452" s="5" t="str">
        <f ca="1">IFERROR(__xludf.DUMMYFUNCTION("""COMPUTED_VALUE"""),"None")</f>
        <v>None</v>
      </c>
    </row>
    <row r="1453" spans="1:8" ht="13">
      <c r="A1453" s="5" t="str">
        <f ca="1">IFERROR(__xludf.DUMMYFUNCTION("""COMPUTED_VALUE"""),"20091016SCCAC")</f>
        <v>20091016SCCAC</v>
      </c>
      <c r="B1453" s="5" t="str">
        <f ca="1">IFERROR(__xludf.DUMMYFUNCTION("""COMPUTED_VALUE"""),"Adult")</f>
        <v>Adult</v>
      </c>
      <c r="C1453" s="5" t="str">
        <f ca="1">IFERROR(__xludf.DUMMYFUNCTION("""COMPUTED_VALUE"""),"Male")</f>
        <v>Male</v>
      </c>
      <c r="D1453" s="5"/>
      <c r="E1453" s="5" t="str">
        <f ca="1">IFERROR(__xludf.DUMMYFUNCTION("""COMPUTED_VALUE"""),"Police Officer/SRO")</f>
        <v>Police Officer/SRO</v>
      </c>
      <c r="F1453" s="5" t="str">
        <f ca="1">IFERROR(__xludf.DUMMYFUNCTION("""COMPUTED_VALUE"""),"Law Enforcement")</f>
        <v>Law Enforcement</v>
      </c>
      <c r="G1453" s="5" t="str">
        <f ca="1">IFERROR(__xludf.DUMMYFUNCTION("""COMPUTED_VALUE"""),"No")</f>
        <v>No</v>
      </c>
      <c r="H1453" s="5" t="str">
        <f ca="1">IFERROR(__xludf.DUMMYFUNCTION("""COMPUTED_VALUE"""),"None")</f>
        <v>None</v>
      </c>
    </row>
    <row r="1454" spans="1:8" ht="13">
      <c r="A1454" s="5" t="str">
        <f ca="1">IFERROR(__xludf.DUMMYFUNCTION("""COMPUTED_VALUE"""),"20091008NYMAM")</f>
        <v>20091008NYMAM</v>
      </c>
      <c r="B1454" s="5">
        <f ca="1">IFERROR(__xludf.DUMMYFUNCTION("""COMPUTED_VALUE"""),28)</f>
        <v>28</v>
      </c>
      <c r="C1454" s="5" t="str">
        <f ca="1">IFERROR(__xludf.DUMMYFUNCTION("""COMPUTED_VALUE"""),"Male")</f>
        <v>Male</v>
      </c>
      <c r="D1454" s="5"/>
      <c r="E1454" s="5" t="str">
        <f ca="1">IFERROR(__xludf.DUMMYFUNCTION("""COMPUTED_VALUE"""),"No Relation")</f>
        <v>No Relation</v>
      </c>
      <c r="F1454" s="5" t="str">
        <f ca="1">IFERROR(__xludf.DUMMYFUNCTION("""COMPUTED_VALUE"""),"Unknown")</f>
        <v>Unknown</v>
      </c>
      <c r="G1454" s="5" t="str">
        <f ca="1">IFERROR(__xludf.DUMMYFUNCTION("""COMPUTED_VALUE"""),"No")</f>
        <v>No</v>
      </c>
      <c r="H1454" s="5" t="str">
        <f ca="1">IFERROR(__xludf.DUMMYFUNCTION("""COMPUTED_VALUE"""),"None")</f>
        <v>None</v>
      </c>
    </row>
    <row r="1455" spans="1:8" ht="13">
      <c r="A1455" s="5" t="str">
        <f ca="1">IFERROR(__xludf.DUMMYFUNCTION("""COMPUTED_VALUE"""),"20090916VAVIG")</f>
        <v>20090916VAVIG</v>
      </c>
      <c r="B1455" s="5">
        <f ca="1">IFERROR(__xludf.DUMMYFUNCTION("""COMPUTED_VALUE"""),16)</f>
        <v>16</v>
      </c>
      <c r="C1455" s="5" t="str">
        <f ca="1">IFERROR(__xludf.DUMMYFUNCTION("""COMPUTED_VALUE"""),"Male")</f>
        <v>Male</v>
      </c>
      <c r="D1455" s="5"/>
      <c r="E1455" s="5" t="str">
        <f ca="1">IFERROR(__xludf.DUMMYFUNCTION("""COMPUTED_VALUE"""),"Student")</f>
        <v>Student</v>
      </c>
      <c r="F1455" s="5" t="str">
        <f ca="1">IFERROR(__xludf.DUMMYFUNCTION("""COMPUTED_VALUE"""),"Fled/Apprehended")</f>
        <v>Fled/Apprehended</v>
      </c>
      <c r="G1455" s="5" t="str">
        <f ca="1">IFERROR(__xludf.DUMMYFUNCTION("""COMPUTED_VALUE"""),"No")</f>
        <v>No</v>
      </c>
      <c r="H1455" s="5" t="str">
        <f ca="1">IFERROR(__xludf.DUMMYFUNCTION("""COMPUTED_VALUE"""),"None")</f>
        <v>None</v>
      </c>
    </row>
    <row r="1456" spans="1:8" ht="13">
      <c r="A1456" s="5" t="str">
        <f ca="1">IFERROR(__xludf.DUMMYFUNCTION("""COMPUTED_VALUE"""),"20090908CTSTS")</f>
        <v>20090908CTSTS</v>
      </c>
      <c r="B1456" s="5">
        <f ca="1">IFERROR(__xludf.DUMMYFUNCTION("""COMPUTED_VALUE"""),16)</f>
        <v>16</v>
      </c>
      <c r="C1456" s="5" t="str">
        <f ca="1">IFERROR(__xludf.DUMMYFUNCTION("""COMPUTED_VALUE"""),"Male")</f>
        <v>Male</v>
      </c>
      <c r="D1456" s="5"/>
      <c r="E1456" s="5" t="str">
        <f ca="1">IFERROR(__xludf.DUMMYFUNCTION("""COMPUTED_VALUE"""),"Student")</f>
        <v>Student</v>
      </c>
      <c r="F1456" s="5" t="str">
        <f ca="1">IFERROR(__xludf.DUMMYFUNCTION("""COMPUTED_VALUE"""),"Fled/Apprehended")</f>
        <v>Fled/Apprehended</v>
      </c>
      <c r="G1456" s="5" t="str">
        <f ca="1">IFERROR(__xludf.DUMMYFUNCTION("""COMPUTED_VALUE"""),"No")</f>
        <v>No</v>
      </c>
      <c r="H1456" s="5" t="str">
        <f ca="1">IFERROR(__xludf.DUMMYFUNCTION("""COMPUTED_VALUE"""),"None")</f>
        <v>None</v>
      </c>
    </row>
    <row r="1457" spans="1:8" ht="13">
      <c r="A1457" s="5" t="str">
        <f ca="1">IFERROR(__xludf.DUMMYFUNCTION("""COMPUTED_VALUE"""),"20090827NCWEF")</f>
        <v>20090827NCWEF</v>
      </c>
      <c r="B1457" s="5">
        <f ca="1">IFERROR(__xludf.DUMMYFUNCTION("""COMPUTED_VALUE"""),16)</f>
        <v>16</v>
      </c>
      <c r="C1457" s="5" t="str">
        <f ca="1">IFERROR(__xludf.DUMMYFUNCTION("""COMPUTED_VALUE"""),"Male")</f>
        <v>Male</v>
      </c>
      <c r="D1457" s="5"/>
      <c r="E1457" s="5" t="str">
        <f ca="1">IFERROR(__xludf.DUMMYFUNCTION("""COMPUTED_VALUE"""),"Student")</f>
        <v>Student</v>
      </c>
      <c r="F1457" s="5" t="str">
        <f ca="1">IFERROR(__xludf.DUMMYFUNCTION("""COMPUTED_VALUE"""),"Fled/Apprehended")</f>
        <v>Fled/Apprehended</v>
      </c>
      <c r="G1457" s="5" t="str">
        <f ca="1">IFERROR(__xludf.DUMMYFUNCTION("""COMPUTED_VALUE"""),"No")</f>
        <v>No</v>
      </c>
      <c r="H1457" s="5" t="str">
        <f ca="1">IFERROR(__xludf.DUMMYFUNCTION("""COMPUTED_VALUE"""),"None")</f>
        <v>None</v>
      </c>
    </row>
    <row r="1458" spans="1:8" ht="13">
      <c r="A1458" s="5" t="str">
        <f ca="1">IFERROR(__xludf.DUMMYFUNCTION("""COMPUTED_VALUE"""),"20090624IAAPP")</f>
        <v>20090624IAAPP</v>
      </c>
      <c r="B1458" s="5">
        <f ca="1">IFERROR(__xludf.DUMMYFUNCTION("""COMPUTED_VALUE"""),24)</f>
        <v>24</v>
      </c>
      <c r="C1458" s="5" t="str">
        <f ca="1">IFERROR(__xludf.DUMMYFUNCTION("""COMPUTED_VALUE"""),"Male")</f>
        <v>Male</v>
      </c>
      <c r="D1458" s="5" t="str">
        <f ca="1">IFERROR(__xludf.DUMMYFUNCTION("""COMPUTED_VALUE"""),"White")</f>
        <v>White</v>
      </c>
      <c r="E1458" s="5" t="str">
        <f ca="1">IFERROR(__xludf.DUMMYFUNCTION("""COMPUTED_VALUE"""),"Former Student")</f>
        <v>Former Student</v>
      </c>
      <c r="F1458" s="5" t="str">
        <f ca="1">IFERROR(__xludf.DUMMYFUNCTION("""COMPUTED_VALUE"""),"Fled/Apprehended")</f>
        <v>Fled/Apprehended</v>
      </c>
      <c r="G1458" s="5" t="str">
        <f ca="1">IFERROR(__xludf.DUMMYFUNCTION("""COMPUTED_VALUE"""),"No")</f>
        <v>No</v>
      </c>
      <c r="H1458" s="5" t="str">
        <f ca="1">IFERROR(__xludf.DUMMYFUNCTION("""COMPUTED_VALUE"""),"None")</f>
        <v>None</v>
      </c>
    </row>
    <row r="1459" spans="1:8" ht="13">
      <c r="A1459" s="5" t="str">
        <f ca="1">IFERROR(__xludf.DUMMYFUNCTION("""COMPUTED_VALUE"""),"20090615CAINS")</f>
        <v>20090615CAINS</v>
      </c>
      <c r="B1459" s="5"/>
      <c r="C1459" s="5" t="str">
        <f ca="1">IFERROR(__xludf.DUMMYFUNCTION("""COMPUTED_VALUE"""),"Male")</f>
        <v>Male</v>
      </c>
      <c r="D1459" s="5"/>
      <c r="E1459" s="5" t="str">
        <f ca="1">IFERROR(__xludf.DUMMYFUNCTION("""COMPUTED_VALUE"""),"Unknown")</f>
        <v>Unknown</v>
      </c>
      <c r="F1459" s="5" t="str">
        <f ca="1">IFERROR(__xludf.DUMMYFUNCTION("""COMPUTED_VALUE"""),"Fled/Apprehended")</f>
        <v>Fled/Apprehended</v>
      </c>
      <c r="G1459" s="5" t="str">
        <f ca="1">IFERROR(__xludf.DUMMYFUNCTION("""COMPUTED_VALUE"""),"No")</f>
        <v>No</v>
      </c>
      <c r="H1459" s="5" t="str">
        <f ca="1">IFERROR(__xludf.DUMMYFUNCTION("""COMPUTED_VALUE"""),"None")</f>
        <v>None</v>
      </c>
    </row>
    <row r="1460" spans="1:8" ht="13">
      <c r="A1460" s="5" t="str">
        <f ca="1">IFERROR(__xludf.DUMMYFUNCTION("""COMPUTED_VALUE"""),"20090518LALAL")</f>
        <v>20090518LALAL</v>
      </c>
      <c r="B1460" s="5">
        <f ca="1">IFERROR(__xludf.DUMMYFUNCTION("""COMPUTED_VALUE"""),15)</f>
        <v>15</v>
      </c>
      <c r="C1460" s="5" t="str">
        <f ca="1">IFERROR(__xludf.DUMMYFUNCTION("""COMPUTED_VALUE"""),"Male")</f>
        <v>Male</v>
      </c>
      <c r="D1460" s="5" t="str">
        <f ca="1">IFERROR(__xludf.DUMMYFUNCTION("""COMPUTED_VALUE"""),"White")</f>
        <v>White</v>
      </c>
      <c r="E1460" s="5" t="str">
        <f ca="1">IFERROR(__xludf.DUMMYFUNCTION("""COMPUTED_VALUE"""),"Student")</f>
        <v>Student</v>
      </c>
      <c r="F1460" s="5" t="str">
        <f ca="1">IFERROR(__xludf.DUMMYFUNCTION("""COMPUTED_VALUE"""),"Suicide")</f>
        <v>Suicide</v>
      </c>
      <c r="G1460" s="5" t="str">
        <f ca="1">IFERROR(__xludf.DUMMYFUNCTION("""COMPUTED_VALUE"""),"Yes")</f>
        <v>Yes</v>
      </c>
      <c r="H1460" s="5" t="str">
        <f ca="1">IFERROR(__xludf.DUMMYFUNCTION("""COMPUTED_VALUE"""),"Suicide")</f>
        <v>Suicide</v>
      </c>
    </row>
    <row r="1461" spans="1:8" ht="13">
      <c r="A1461" s="5" t="str">
        <f ca="1">IFERROR(__xludf.DUMMYFUNCTION("""COMPUTED_VALUE"""),"20090505NYCAC")</f>
        <v>20090505NYCAC</v>
      </c>
      <c r="B1461" s="5">
        <f ca="1">IFERROR(__xludf.DUMMYFUNCTION("""COMPUTED_VALUE"""),17)</f>
        <v>17</v>
      </c>
      <c r="C1461" s="5" t="str">
        <f ca="1">IFERROR(__xludf.DUMMYFUNCTION("""COMPUTED_VALUE"""),"Male")</f>
        <v>Male</v>
      </c>
      <c r="D1461" s="5" t="str">
        <f ca="1">IFERROR(__xludf.DUMMYFUNCTION("""COMPUTED_VALUE"""),"White")</f>
        <v>White</v>
      </c>
      <c r="E1461" s="5" t="str">
        <f ca="1">IFERROR(__xludf.DUMMYFUNCTION("""COMPUTED_VALUE"""),"Student")</f>
        <v>Student</v>
      </c>
      <c r="F1461" s="5" t="str">
        <f ca="1">IFERROR(__xludf.DUMMYFUNCTION("""COMPUTED_VALUE"""),"Suicide")</f>
        <v>Suicide</v>
      </c>
      <c r="G1461" s="5" t="str">
        <f ca="1">IFERROR(__xludf.DUMMYFUNCTION("""COMPUTED_VALUE"""),"Yes")</f>
        <v>Yes</v>
      </c>
      <c r="H1461" s="5" t="str">
        <f ca="1">IFERROR(__xludf.DUMMYFUNCTION("""COMPUTED_VALUE"""),"Suicide")</f>
        <v>Suicide</v>
      </c>
    </row>
    <row r="1462" spans="1:8" ht="13">
      <c r="A1462" s="5" t="str">
        <f ca="1">IFERROR(__xludf.DUMMYFUNCTION("""COMPUTED_VALUE"""),"20090501WISHS")</f>
        <v>20090501WISHS</v>
      </c>
      <c r="B1462" s="5">
        <f ca="1">IFERROR(__xludf.DUMMYFUNCTION("""COMPUTED_VALUE"""),17)</f>
        <v>17</v>
      </c>
      <c r="C1462" s="5" t="str">
        <f ca="1">IFERROR(__xludf.DUMMYFUNCTION("""COMPUTED_VALUE"""),"Male")</f>
        <v>Male</v>
      </c>
      <c r="D1462" s="5"/>
      <c r="E1462" s="5" t="str">
        <f ca="1">IFERROR(__xludf.DUMMYFUNCTION("""COMPUTED_VALUE"""),"Student")</f>
        <v>Student</v>
      </c>
      <c r="F1462" s="5" t="str">
        <f ca="1">IFERROR(__xludf.DUMMYFUNCTION("""COMPUTED_VALUE"""),"Suicide")</f>
        <v>Suicide</v>
      </c>
      <c r="G1462" s="5" t="str">
        <f ca="1">IFERROR(__xludf.DUMMYFUNCTION("""COMPUTED_VALUE"""),"Yes")</f>
        <v>Yes</v>
      </c>
      <c r="H1462" s="5" t="str">
        <f ca="1">IFERROR(__xludf.DUMMYFUNCTION("""COMPUTED_VALUE"""),"Suicide")</f>
        <v>Suicide</v>
      </c>
    </row>
    <row r="1463" spans="1:8" ht="13">
      <c r="A1463" s="5" t="str">
        <f ca="1">IFERROR(__xludf.DUMMYFUNCTION("""COMPUTED_VALUE"""),"20090413CALOL")</f>
        <v>20090413CALOL</v>
      </c>
      <c r="B1463" s="5"/>
      <c r="C1463" s="5" t="str">
        <f ca="1">IFERROR(__xludf.DUMMYFUNCTION("""COMPUTED_VALUE"""),"Male")</f>
        <v>Male</v>
      </c>
      <c r="D1463" s="5" t="str">
        <f ca="1">IFERROR(__xludf.DUMMYFUNCTION("""COMPUTED_VALUE"""),"Hispanic")</f>
        <v>Hispanic</v>
      </c>
      <c r="E1463" s="5" t="str">
        <f ca="1">IFERROR(__xludf.DUMMYFUNCTION("""COMPUTED_VALUE"""),"Unknown")</f>
        <v>Unknown</v>
      </c>
      <c r="F1463" s="5" t="str">
        <f ca="1">IFERROR(__xludf.DUMMYFUNCTION("""COMPUTED_VALUE"""),"Fled/Escaped")</f>
        <v>Fled/Escaped</v>
      </c>
      <c r="G1463" s="5" t="str">
        <f ca="1">IFERROR(__xludf.DUMMYFUNCTION("""COMPUTED_VALUE"""),"No")</f>
        <v>No</v>
      </c>
      <c r="H1463" s="5" t="str">
        <f ca="1">IFERROR(__xludf.DUMMYFUNCTION("""COMPUTED_VALUE"""),"None")</f>
        <v>None</v>
      </c>
    </row>
    <row r="1464" spans="1:8" ht="13">
      <c r="A1464" s="5" t="str">
        <f ca="1">IFERROR(__xludf.DUMMYFUNCTION("""COMPUTED_VALUE"""),"20090311TXCYH")</f>
        <v>20090311TXCYH</v>
      </c>
      <c r="B1464" s="5" t="str">
        <f ca="1">IFERROR(__xludf.DUMMYFUNCTION("""COMPUTED_VALUE"""),"Teen")</f>
        <v>Teen</v>
      </c>
      <c r="C1464" s="5" t="str">
        <f ca="1">IFERROR(__xludf.DUMMYFUNCTION("""COMPUTED_VALUE"""),"Male")</f>
        <v>Male</v>
      </c>
      <c r="D1464" s="5"/>
      <c r="E1464" s="5" t="str">
        <f ca="1">IFERROR(__xludf.DUMMYFUNCTION("""COMPUTED_VALUE"""),"Student")</f>
        <v>Student</v>
      </c>
      <c r="F1464" s="5" t="str">
        <f ca="1">IFERROR(__xludf.DUMMYFUNCTION("""COMPUTED_VALUE"""),"Unknown")</f>
        <v>Unknown</v>
      </c>
      <c r="G1464" s="5" t="str">
        <f ca="1">IFERROR(__xludf.DUMMYFUNCTION("""COMPUTED_VALUE"""),"No")</f>
        <v>No</v>
      </c>
      <c r="H1464" s="5" t="str">
        <f ca="1">IFERROR(__xludf.DUMMYFUNCTION("""COMPUTED_VALUE"""),"None")</f>
        <v>None</v>
      </c>
    </row>
    <row r="1465" spans="1:8" ht="13">
      <c r="A1465" s="5" t="str">
        <f ca="1">IFERROR(__xludf.DUMMYFUNCTION("""COMPUTED_VALUE"""),"20090310FLRIJ")</f>
        <v>20090310FLRIJ</v>
      </c>
      <c r="B1465" s="5" t="str">
        <f ca="1">IFERROR(__xludf.DUMMYFUNCTION("""COMPUTED_VALUE"""),"Teen")</f>
        <v>Teen</v>
      </c>
      <c r="C1465" s="5" t="str">
        <f ca="1">IFERROR(__xludf.DUMMYFUNCTION("""COMPUTED_VALUE"""),"Male")</f>
        <v>Male</v>
      </c>
      <c r="D1465" s="5"/>
      <c r="E1465" s="5" t="str">
        <f ca="1">IFERROR(__xludf.DUMMYFUNCTION("""COMPUTED_VALUE"""),"Student")</f>
        <v>Student</v>
      </c>
      <c r="F1465" s="5" t="str">
        <f ca="1">IFERROR(__xludf.DUMMYFUNCTION("""COMPUTED_VALUE"""),"Fled/Escaped")</f>
        <v>Fled/Escaped</v>
      </c>
      <c r="G1465" s="5" t="str">
        <f ca="1">IFERROR(__xludf.DUMMYFUNCTION("""COMPUTED_VALUE"""),"No")</f>
        <v>No</v>
      </c>
      <c r="H1465" s="5" t="str">
        <f ca="1">IFERROR(__xludf.DUMMYFUNCTION("""COMPUTED_VALUE"""),"None")</f>
        <v>None</v>
      </c>
    </row>
    <row r="1466" spans="1:8" ht="13">
      <c r="A1466" s="5" t="str">
        <f ca="1">IFERROR(__xludf.DUMMYFUNCTION("""COMPUTED_VALUE"""),"20090310FLRIJ")</f>
        <v>20090310FLRIJ</v>
      </c>
      <c r="B1466" s="5" t="str">
        <f ca="1">IFERROR(__xludf.DUMMYFUNCTION("""COMPUTED_VALUE"""),"Teen")</f>
        <v>Teen</v>
      </c>
      <c r="C1466" s="5" t="str">
        <f ca="1">IFERROR(__xludf.DUMMYFUNCTION("""COMPUTED_VALUE"""),"Male")</f>
        <v>Male</v>
      </c>
      <c r="D1466" s="5"/>
      <c r="E1466" s="5" t="str">
        <f ca="1">IFERROR(__xludf.DUMMYFUNCTION("""COMPUTED_VALUE"""),"Student")</f>
        <v>Student</v>
      </c>
      <c r="F1466" s="5" t="str">
        <f ca="1">IFERROR(__xludf.DUMMYFUNCTION("""COMPUTED_VALUE"""),"Fled/Escaped")</f>
        <v>Fled/Escaped</v>
      </c>
      <c r="G1466" s="5" t="str">
        <f ca="1">IFERROR(__xludf.DUMMYFUNCTION("""COMPUTED_VALUE"""),"No")</f>
        <v>No</v>
      </c>
      <c r="H1466" s="5" t="str">
        <f ca="1">IFERROR(__xludf.DUMMYFUNCTION("""COMPUTED_VALUE"""),"None")</f>
        <v>None</v>
      </c>
    </row>
    <row r="1467" spans="1:8" ht="13">
      <c r="A1467" s="5" t="str">
        <f ca="1">IFERROR(__xludf.DUMMYFUNCTION("""COMPUTED_VALUE"""),"20090306NCWEF")</f>
        <v>20090306NCWEF</v>
      </c>
      <c r="B1467" s="5">
        <f ca="1">IFERROR(__xludf.DUMMYFUNCTION("""COMPUTED_VALUE"""),19)</f>
        <v>19</v>
      </c>
      <c r="C1467" s="5" t="str">
        <f ca="1">IFERROR(__xludf.DUMMYFUNCTION("""COMPUTED_VALUE"""),"Male")</f>
        <v>Male</v>
      </c>
      <c r="D1467" s="5"/>
      <c r="E1467" s="5" t="str">
        <f ca="1">IFERROR(__xludf.DUMMYFUNCTION("""COMPUTED_VALUE"""),"Unknown")</f>
        <v>Unknown</v>
      </c>
      <c r="F1467" s="5" t="str">
        <f ca="1">IFERROR(__xludf.DUMMYFUNCTION("""COMPUTED_VALUE"""),"Fled/Apprehended")</f>
        <v>Fled/Apprehended</v>
      </c>
      <c r="G1467" s="5" t="str">
        <f ca="1">IFERROR(__xludf.DUMMYFUNCTION("""COMPUTED_VALUE"""),"No")</f>
        <v>No</v>
      </c>
      <c r="H1467" s="5" t="str">
        <f ca="1">IFERROR(__xludf.DUMMYFUNCTION("""COMPUTED_VALUE"""),"None")</f>
        <v>None</v>
      </c>
    </row>
    <row r="1468" spans="1:8" ht="13">
      <c r="A1468" s="5" t="str">
        <f ca="1">IFERROR(__xludf.DUMMYFUNCTION("""COMPUTED_VALUE"""),"20090302SDROS")</f>
        <v>20090302SDROS</v>
      </c>
      <c r="B1468" s="5">
        <f ca="1">IFERROR(__xludf.DUMMYFUNCTION("""COMPUTED_VALUE"""),10)</f>
        <v>10</v>
      </c>
      <c r="C1468" s="5" t="str">
        <f ca="1">IFERROR(__xludf.DUMMYFUNCTION("""COMPUTED_VALUE"""),"Male")</f>
        <v>Male</v>
      </c>
      <c r="D1468" s="5"/>
      <c r="E1468" s="5" t="str">
        <f ca="1">IFERROR(__xludf.DUMMYFUNCTION("""COMPUTED_VALUE"""),"Student")</f>
        <v>Student</v>
      </c>
      <c r="F1468" s="5" t="str">
        <f ca="1">IFERROR(__xludf.DUMMYFUNCTION("""COMPUTED_VALUE"""),"Apprehended/Killed by LE")</f>
        <v>Apprehended/Killed by LE</v>
      </c>
      <c r="G1468" s="5" t="str">
        <f ca="1">IFERROR(__xludf.DUMMYFUNCTION("""COMPUTED_VALUE"""),"No")</f>
        <v>No</v>
      </c>
      <c r="H1468" s="5" t="str">
        <f ca="1">IFERROR(__xludf.DUMMYFUNCTION("""COMPUTED_VALUE"""),"None")</f>
        <v>None</v>
      </c>
    </row>
    <row r="1469" spans="1:8" ht="13">
      <c r="A1469" s="5" t="str">
        <f ca="1">IFERROR(__xludf.DUMMYFUNCTION("""COMPUTED_VALUE"""),"20090223CTBRN")</f>
        <v>20090223CTBRN</v>
      </c>
      <c r="B1469" s="5">
        <f ca="1">IFERROR(__xludf.DUMMYFUNCTION("""COMPUTED_VALUE"""),19)</f>
        <v>19</v>
      </c>
      <c r="C1469" s="5" t="str">
        <f ca="1">IFERROR(__xludf.DUMMYFUNCTION("""COMPUTED_VALUE"""),"Male")</f>
        <v>Male</v>
      </c>
      <c r="D1469" s="5"/>
      <c r="E1469" s="5" t="str">
        <f ca="1">IFERROR(__xludf.DUMMYFUNCTION("""COMPUTED_VALUE"""),"Nonstudent")</f>
        <v>Nonstudent</v>
      </c>
      <c r="F1469" s="5" t="str">
        <f ca="1">IFERROR(__xludf.DUMMYFUNCTION("""COMPUTED_VALUE"""),"Fled/Escaped")</f>
        <v>Fled/Escaped</v>
      </c>
      <c r="G1469" s="5" t="str">
        <f ca="1">IFERROR(__xludf.DUMMYFUNCTION("""COMPUTED_VALUE"""),"No")</f>
        <v>No</v>
      </c>
      <c r="H1469" s="5" t="str">
        <f ca="1">IFERROR(__xludf.DUMMYFUNCTION("""COMPUTED_VALUE"""),"Wounded")</f>
        <v>Wounded</v>
      </c>
    </row>
    <row r="1470" spans="1:8" ht="13">
      <c r="A1470" s="5" t="str">
        <f ca="1">IFERROR(__xludf.DUMMYFUNCTION("""COMPUTED_VALUE"""),"20090220CAJOH")</f>
        <v>20090220CAJOH</v>
      </c>
      <c r="B1470" s="5"/>
      <c r="C1470" s="5" t="str">
        <f ca="1">IFERROR(__xludf.DUMMYFUNCTION("""COMPUTED_VALUE"""),"Male")</f>
        <v>Male</v>
      </c>
      <c r="D1470" s="5"/>
      <c r="E1470" s="5" t="str">
        <f ca="1">IFERROR(__xludf.DUMMYFUNCTION("""COMPUTED_VALUE"""),"Unknown")</f>
        <v>Unknown</v>
      </c>
      <c r="F1470" s="5" t="str">
        <f ca="1">IFERROR(__xludf.DUMMYFUNCTION("""COMPUTED_VALUE"""),"Fled/Escaped")</f>
        <v>Fled/Escaped</v>
      </c>
      <c r="G1470" s="5" t="str">
        <f ca="1">IFERROR(__xludf.DUMMYFUNCTION("""COMPUTED_VALUE"""),"No")</f>
        <v>No</v>
      </c>
      <c r="H1470" s="5" t="str">
        <f ca="1">IFERROR(__xludf.DUMMYFUNCTION("""COMPUTED_VALUE"""),"None")</f>
        <v>None</v>
      </c>
    </row>
    <row r="1471" spans="1:8" ht="13">
      <c r="A1471" s="5" t="str">
        <f ca="1">IFERROR(__xludf.DUMMYFUNCTION("""COMPUTED_VALUE"""),"20090217MICED")</f>
        <v>20090217MICED</v>
      </c>
      <c r="B1471" s="5">
        <f ca="1">IFERROR(__xludf.DUMMYFUNCTION("""COMPUTED_VALUE"""),17)</f>
        <v>17</v>
      </c>
      <c r="C1471" s="5" t="str">
        <f ca="1">IFERROR(__xludf.DUMMYFUNCTION("""COMPUTED_VALUE"""),"Male")</f>
        <v>Male</v>
      </c>
      <c r="D1471" s="5"/>
      <c r="E1471" s="5" t="str">
        <f ca="1">IFERROR(__xludf.DUMMYFUNCTION("""COMPUTED_VALUE"""),"Nonstudent")</f>
        <v>Nonstudent</v>
      </c>
      <c r="F1471" s="5" t="str">
        <f ca="1">IFERROR(__xludf.DUMMYFUNCTION("""COMPUTED_VALUE"""),"Fled/Escaped")</f>
        <v>Fled/Escaped</v>
      </c>
      <c r="G1471" s="5" t="str">
        <f ca="1">IFERROR(__xludf.DUMMYFUNCTION("""COMPUTED_VALUE"""),"No")</f>
        <v>No</v>
      </c>
      <c r="H1471" s="5" t="str">
        <f ca="1">IFERROR(__xludf.DUMMYFUNCTION("""COMPUTED_VALUE"""),"Wounded")</f>
        <v>Wounded</v>
      </c>
    </row>
    <row r="1472" spans="1:8" ht="13">
      <c r="A1472" s="5" t="str">
        <f ca="1">IFERROR(__xludf.DUMMYFUNCTION("""COMPUTED_VALUE"""),"20090217MICED")</f>
        <v>20090217MICED</v>
      </c>
      <c r="B1472" s="5">
        <f ca="1">IFERROR(__xludf.DUMMYFUNCTION("""COMPUTED_VALUE"""),19)</f>
        <v>19</v>
      </c>
      <c r="C1472" s="5" t="str">
        <f ca="1">IFERROR(__xludf.DUMMYFUNCTION("""COMPUTED_VALUE"""),"Male")</f>
        <v>Male</v>
      </c>
      <c r="D1472" s="5"/>
      <c r="E1472" s="5" t="str">
        <f ca="1">IFERROR(__xludf.DUMMYFUNCTION("""COMPUTED_VALUE"""),"Nonstudent")</f>
        <v>Nonstudent</v>
      </c>
      <c r="F1472" s="5" t="str">
        <f ca="1">IFERROR(__xludf.DUMMYFUNCTION("""COMPUTED_VALUE"""),"Fled/Escaped")</f>
        <v>Fled/Escaped</v>
      </c>
      <c r="G1472" s="5" t="str">
        <f ca="1">IFERROR(__xludf.DUMMYFUNCTION("""COMPUTED_VALUE"""),"No")</f>
        <v>No</v>
      </c>
      <c r="H1472" s="5" t="str">
        <f ca="1">IFERROR(__xludf.DUMMYFUNCTION("""COMPUTED_VALUE"""),"Wounded")</f>
        <v>Wounded</v>
      </c>
    </row>
    <row r="1473" spans="1:8" ht="13">
      <c r="A1473" s="5" t="str">
        <f ca="1">IFERROR(__xludf.DUMMYFUNCTION("""COMPUTED_VALUE"""),"20090211NCSCZ")</f>
        <v>20090211NCSCZ</v>
      </c>
      <c r="B1473" s="5">
        <f ca="1">IFERROR(__xludf.DUMMYFUNCTION("""COMPUTED_VALUE"""),11)</f>
        <v>11</v>
      </c>
      <c r="C1473" s="5" t="str">
        <f ca="1">IFERROR(__xludf.DUMMYFUNCTION("""COMPUTED_VALUE"""),"Male")</f>
        <v>Male</v>
      </c>
      <c r="D1473" s="5"/>
      <c r="E1473" s="5" t="str">
        <f ca="1">IFERROR(__xludf.DUMMYFUNCTION("""COMPUTED_VALUE"""),"Student")</f>
        <v>Student</v>
      </c>
      <c r="F1473" s="5" t="str">
        <f ca="1">IFERROR(__xludf.DUMMYFUNCTION("""COMPUTED_VALUE"""),"Surrendered")</f>
        <v>Surrendered</v>
      </c>
      <c r="G1473" s="5" t="str">
        <f ca="1">IFERROR(__xludf.DUMMYFUNCTION("""COMPUTED_VALUE"""),"No")</f>
        <v>No</v>
      </c>
      <c r="H1473" s="5" t="str">
        <f ca="1">IFERROR(__xludf.DUMMYFUNCTION("""COMPUTED_VALUE"""),"None")</f>
        <v>None</v>
      </c>
    </row>
    <row r="1474" spans="1:8" ht="13">
      <c r="A1474" s="5" t="str">
        <f ca="1">IFERROR(__xludf.DUMMYFUNCTION("""COMPUTED_VALUE"""),"20090210CABAE")</f>
        <v>20090210CABAE</v>
      </c>
      <c r="B1474" s="5">
        <f ca="1">IFERROR(__xludf.DUMMYFUNCTION("""COMPUTED_VALUE"""),9)</f>
        <v>9</v>
      </c>
      <c r="C1474" s="5" t="str">
        <f ca="1">IFERROR(__xludf.DUMMYFUNCTION("""COMPUTED_VALUE"""),"Male")</f>
        <v>Male</v>
      </c>
      <c r="D1474" s="5"/>
      <c r="E1474" s="5" t="str">
        <f ca="1">IFERROR(__xludf.DUMMYFUNCTION("""COMPUTED_VALUE"""),"Student")</f>
        <v>Student</v>
      </c>
      <c r="F1474" s="5" t="str">
        <f ca="1">IFERROR(__xludf.DUMMYFUNCTION("""COMPUTED_VALUE"""),"Unknown")</f>
        <v>Unknown</v>
      </c>
      <c r="G1474" s="5" t="str">
        <f ca="1">IFERROR(__xludf.DUMMYFUNCTION("""COMPUTED_VALUE"""),"No")</f>
        <v>No</v>
      </c>
      <c r="H1474" s="5" t="str">
        <f ca="1">IFERROR(__xludf.DUMMYFUNCTION("""COMPUTED_VALUE"""),"None")</f>
        <v>None</v>
      </c>
    </row>
    <row r="1475" spans="1:8" ht="13">
      <c r="A1475" s="5" t="str">
        <f ca="1">IFERROR(__xludf.DUMMYFUNCTION("""COMPUTED_VALUE"""),"20090127NCCLC")</f>
        <v>20090127NCCLC</v>
      </c>
      <c r="B1475" s="5">
        <f ca="1">IFERROR(__xludf.DUMMYFUNCTION("""COMPUTED_VALUE"""),18)</f>
        <v>18</v>
      </c>
      <c r="C1475" s="5" t="str">
        <f ca="1">IFERROR(__xludf.DUMMYFUNCTION("""COMPUTED_VALUE"""),"Male")</f>
        <v>Male</v>
      </c>
      <c r="D1475" s="5" t="str">
        <f ca="1">IFERROR(__xludf.DUMMYFUNCTION("""COMPUTED_VALUE"""),"Black")</f>
        <v>Black</v>
      </c>
      <c r="E1475" s="5" t="str">
        <f ca="1">IFERROR(__xludf.DUMMYFUNCTION("""COMPUTED_VALUE"""),"Nonstudent Using Athletic Facilities/Attending Game")</f>
        <v>Nonstudent Using Athletic Facilities/Attending Game</v>
      </c>
      <c r="F1475" s="5" t="str">
        <f ca="1">IFERROR(__xludf.DUMMYFUNCTION("""COMPUTED_VALUE"""),"Fled/Apprehended")</f>
        <v>Fled/Apprehended</v>
      </c>
      <c r="G1475" s="5" t="str">
        <f ca="1">IFERROR(__xludf.DUMMYFUNCTION("""COMPUTED_VALUE"""),"No")</f>
        <v>No</v>
      </c>
      <c r="H1475" s="5" t="str">
        <f ca="1">IFERROR(__xludf.DUMMYFUNCTION("""COMPUTED_VALUE"""),"None")</f>
        <v>None</v>
      </c>
    </row>
    <row r="1476" spans="1:8" ht="13">
      <c r="A1476" s="5" t="str">
        <f ca="1">IFERROR(__xludf.DUMMYFUNCTION("""COMPUTED_VALUE"""),"20090123ILCAC")</f>
        <v>20090123ILCAC</v>
      </c>
      <c r="B1476" s="5">
        <f ca="1">IFERROR(__xludf.DUMMYFUNCTION("""COMPUTED_VALUE"""),18)</f>
        <v>18</v>
      </c>
      <c r="C1476" s="5" t="str">
        <f ca="1">IFERROR(__xludf.DUMMYFUNCTION("""COMPUTED_VALUE"""),"Male")</f>
        <v>Male</v>
      </c>
      <c r="D1476" s="5"/>
      <c r="E1476" s="5" t="str">
        <f ca="1">IFERROR(__xludf.DUMMYFUNCTION("""COMPUTED_VALUE"""),"Nonstudent Using Athletic Facilities/Attending Game")</f>
        <v>Nonstudent Using Athletic Facilities/Attending Game</v>
      </c>
      <c r="F1476" s="5" t="str">
        <f ca="1">IFERROR(__xludf.DUMMYFUNCTION("""COMPUTED_VALUE"""),"Fled/Apprehended")</f>
        <v>Fled/Apprehended</v>
      </c>
      <c r="G1476" s="5" t="str">
        <f ca="1">IFERROR(__xludf.DUMMYFUNCTION("""COMPUTED_VALUE"""),"No")</f>
        <v>No</v>
      </c>
      <c r="H1476" s="5" t="str">
        <f ca="1">IFERROR(__xludf.DUMMYFUNCTION("""COMPUTED_VALUE"""),"None")</f>
        <v>None</v>
      </c>
    </row>
    <row r="1477" spans="1:8" ht="13">
      <c r="A1477" s="5" t="str">
        <f ca="1">IFERROR(__xludf.DUMMYFUNCTION("""COMPUTED_VALUE"""),"20090120PAEAE")</f>
        <v>20090120PAEAE</v>
      </c>
      <c r="B1477" s="5">
        <f ca="1">IFERROR(__xludf.DUMMYFUNCTION("""COMPUTED_VALUE"""),15)</f>
        <v>15</v>
      </c>
      <c r="C1477" s="5" t="str">
        <f ca="1">IFERROR(__xludf.DUMMYFUNCTION("""COMPUTED_VALUE"""),"Male")</f>
        <v>Male</v>
      </c>
      <c r="D1477" s="5" t="str">
        <f ca="1">IFERROR(__xludf.DUMMYFUNCTION("""COMPUTED_VALUE"""),"Hispanic")</f>
        <v>Hispanic</v>
      </c>
      <c r="E1477" s="5" t="str">
        <f ca="1">IFERROR(__xludf.DUMMYFUNCTION("""COMPUTED_VALUE"""),"No Relation")</f>
        <v>No Relation</v>
      </c>
      <c r="F1477" s="5" t="str">
        <f ca="1">IFERROR(__xludf.DUMMYFUNCTION("""COMPUTED_VALUE"""),"Fled/Apprehended")</f>
        <v>Fled/Apprehended</v>
      </c>
      <c r="G1477" s="5" t="str">
        <f ca="1">IFERROR(__xludf.DUMMYFUNCTION("""COMPUTED_VALUE"""),"No")</f>
        <v>No</v>
      </c>
      <c r="H1477" s="5" t="str">
        <f ca="1">IFERROR(__xludf.DUMMYFUNCTION("""COMPUTED_VALUE"""),"None")</f>
        <v>None</v>
      </c>
    </row>
    <row r="1478" spans="1:8" ht="13">
      <c r="A1478" s="5" t="str">
        <f ca="1">IFERROR(__xludf.DUMMYFUNCTION("""COMPUTED_VALUE"""),"20090120MIBEM")</f>
        <v>20090120MIBEM</v>
      </c>
      <c r="B1478" s="5">
        <f ca="1">IFERROR(__xludf.DUMMYFUNCTION("""COMPUTED_VALUE"""),18)</f>
        <v>18</v>
      </c>
      <c r="C1478" s="5" t="str">
        <f ca="1">IFERROR(__xludf.DUMMYFUNCTION("""COMPUTED_VALUE"""),"Male")</f>
        <v>Male</v>
      </c>
      <c r="D1478" s="5"/>
      <c r="E1478" s="5" t="str">
        <f ca="1">IFERROR(__xludf.DUMMYFUNCTION("""COMPUTED_VALUE"""),"Nonstudent Using Athletic Facilities/Attending Game")</f>
        <v>Nonstudent Using Athletic Facilities/Attending Game</v>
      </c>
      <c r="F1478" s="5" t="str">
        <f ca="1">IFERROR(__xludf.DUMMYFUNCTION("""COMPUTED_VALUE"""),"Fled/Apprehended")</f>
        <v>Fled/Apprehended</v>
      </c>
      <c r="G1478" s="5" t="str">
        <f ca="1">IFERROR(__xludf.DUMMYFUNCTION("""COMPUTED_VALUE"""),"No")</f>
        <v>No</v>
      </c>
      <c r="H1478" s="5" t="str">
        <f ca="1">IFERROR(__xludf.DUMMYFUNCTION("""COMPUTED_VALUE"""),"None")</f>
        <v>None</v>
      </c>
    </row>
    <row r="1479" spans="1:8" ht="13">
      <c r="A1479" s="5" t="str">
        <f ca="1">IFERROR(__xludf.DUMMYFUNCTION("""COMPUTED_VALUE"""),"20090120ILCOC")</f>
        <v>20090120ILCOC</v>
      </c>
      <c r="B1479" s="5">
        <f ca="1">IFERROR(__xludf.DUMMYFUNCTION("""COMPUTED_VALUE"""),16)</f>
        <v>16</v>
      </c>
      <c r="C1479" s="5" t="str">
        <f ca="1">IFERROR(__xludf.DUMMYFUNCTION("""COMPUTED_VALUE"""),"Male")</f>
        <v>Male</v>
      </c>
      <c r="D1479" s="5"/>
      <c r="E1479" s="5" t="str">
        <f ca="1">IFERROR(__xludf.DUMMYFUNCTION("""COMPUTED_VALUE"""),"Student")</f>
        <v>Student</v>
      </c>
      <c r="F1479" s="5" t="str">
        <f ca="1">IFERROR(__xludf.DUMMYFUNCTION("""COMPUTED_VALUE"""),"Fled/Apprehended")</f>
        <v>Fled/Apprehended</v>
      </c>
      <c r="G1479" s="5" t="str">
        <f ca="1">IFERROR(__xludf.DUMMYFUNCTION("""COMPUTED_VALUE"""),"No")</f>
        <v>No</v>
      </c>
      <c r="H1479" s="5" t="str">
        <f ca="1">IFERROR(__xludf.DUMMYFUNCTION("""COMPUTED_VALUE"""),"None")</f>
        <v>None</v>
      </c>
    </row>
    <row r="1480" spans="1:8" ht="13">
      <c r="A1480" s="5" t="str">
        <f ca="1">IFERROR(__xludf.DUMMYFUNCTION("""COMPUTED_VALUE"""),"20090120ILCOC")</f>
        <v>20090120ILCOC</v>
      </c>
      <c r="B1480" s="5">
        <f ca="1">IFERROR(__xludf.DUMMYFUNCTION("""COMPUTED_VALUE"""),16)</f>
        <v>16</v>
      </c>
      <c r="C1480" s="5" t="str">
        <f ca="1">IFERROR(__xludf.DUMMYFUNCTION("""COMPUTED_VALUE"""),"Male")</f>
        <v>Male</v>
      </c>
      <c r="D1480" s="5"/>
      <c r="E1480" s="5" t="str">
        <f ca="1">IFERROR(__xludf.DUMMYFUNCTION("""COMPUTED_VALUE"""),"Student")</f>
        <v>Student</v>
      </c>
      <c r="F1480" s="5" t="str">
        <f ca="1">IFERROR(__xludf.DUMMYFUNCTION("""COMPUTED_VALUE"""),"Fled/Apprehended")</f>
        <v>Fled/Apprehended</v>
      </c>
      <c r="G1480" s="5" t="str">
        <f ca="1">IFERROR(__xludf.DUMMYFUNCTION("""COMPUTED_VALUE"""),"No")</f>
        <v>No</v>
      </c>
      <c r="H1480" s="5" t="str">
        <f ca="1">IFERROR(__xludf.DUMMYFUNCTION("""COMPUTED_VALUE"""),"None")</f>
        <v>None</v>
      </c>
    </row>
    <row r="1481" spans="1:8" ht="13">
      <c r="A1481" s="5" t="str">
        <f ca="1">IFERROR(__xludf.DUMMYFUNCTION("""COMPUTED_VALUE"""),"20090114ILPEC")</f>
        <v>20090114ILPEC</v>
      </c>
      <c r="B1481" s="5"/>
      <c r="C1481" s="5"/>
      <c r="D1481" s="5"/>
      <c r="E1481" s="5" t="str">
        <f ca="1">IFERROR(__xludf.DUMMYFUNCTION("""COMPUTED_VALUE"""),"Unknown")</f>
        <v>Unknown</v>
      </c>
      <c r="F1481" s="5" t="str">
        <f ca="1">IFERROR(__xludf.DUMMYFUNCTION("""COMPUTED_VALUE"""),"Fled/Escaped")</f>
        <v>Fled/Escaped</v>
      </c>
      <c r="G1481" s="5" t="str">
        <f ca="1">IFERROR(__xludf.DUMMYFUNCTION("""COMPUTED_VALUE"""),"No")</f>
        <v>No</v>
      </c>
      <c r="H1481" s="5" t="str">
        <f ca="1">IFERROR(__xludf.DUMMYFUNCTION("""COMPUTED_VALUE"""),"None")</f>
        <v>None</v>
      </c>
    </row>
    <row r="1482" spans="1:8" ht="13">
      <c r="A1482" s="5" t="str">
        <f ca="1">IFERROR(__xludf.DUMMYFUNCTION("""COMPUTED_VALUE"""),"20090109ILDUC")</f>
        <v>20090109ILDUC</v>
      </c>
      <c r="B1482" s="5">
        <f ca="1">IFERROR(__xludf.DUMMYFUNCTION("""COMPUTED_VALUE"""),18)</f>
        <v>18</v>
      </c>
      <c r="C1482" s="5" t="str">
        <f ca="1">IFERROR(__xludf.DUMMYFUNCTION("""COMPUTED_VALUE"""),"Male")</f>
        <v>Male</v>
      </c>
      <c r="D1482" s="5" t="str">
        <f ca="1">IFERROR(__xludf.DUMMYFUNCTION("""COMPUTED_VALUE"""),"Black")</f>
        <v>Black</v>
      </c>
      <c r="E1482" s="5" t="str">
        <f ca="1">IFERROR(__xludf.DUMMYFUNCTION("""COMPUTED_VALUE"""),"Student")</f>
        <v>Student</v>
      </c>
      <c r="F1482" s="5" t="str">
        <f ca="1">IFERROR(__xludf.DUMMYFUNCTION("""COMPUTED_VALUE"""),"Fled/Apprehended")</f>
        <v>Fled/Apprehended</v>
      </c>
      <c r="G1482" s="5" t="str">
        <f ca="1">IFERROR(__xludf.DUMMYFUNCTION("""COMPUTED_VALUE"""),"No")</f>
        <v>No</v>
      </c>
      <c r="H1482" s="5" t="str">
        <f ca="1">IFERROR(__xludf.DUMMYFUNCTION("""COMPUTED_VALUE"""),"None")</f>
        <v>None</v>
      </c>
    </row>
    <row r="1483" spans="1:8" ht="13">
      <c r="A1483" s="5" t="str">
        <f ca="1">IFERROR(__xludf.DUMMYFUNCTION("""COMPUTED_VALUE"""),"20090108DEWIN")</f>
        <v>20090108DEWIN</v>
      </c>
      <c r="B1483" s="5" t="str">
        <f ca="1">IFERROR(__xludf.DUMMYFUNCTION("""COMPUTED_VALUE"""),"Adult")</f>
        <v>Adult</v>
      </c>
      <c r="C1483" s="5" t="str">
        <f ca="1">IFERROR(__xludf.DUMMYFUNCTION("""COMPUTED_VALUE"""),"Female")</f>
        <v>Female</v>
      </c>
      <c r="D1483" s="5"/>
      <c r="E1483" s="5" t="str">
        <f ca="1">IFERROR(__xludf.DUMMYFUNCTION("""COMPUTED_VALUE"""),"Police Officer/SRO")</f>
        <v>Police Officer/SRO</v>
      </c>
      <c r="F1483" s="5" t="str">
        <f ca="1">IFERROR(__xludf.DUMMYFUNCTION("""COMPUTED_VALUE"""),"Law Enforcement")</f>
        <v>Law Enforcement</v>
      </c>
      <c r="G1483" s="5" t="str">
        <f ca="1">IFERROR(__xludf.DUMMYFUNCTION("""COMPUTED_VALUE"""),"No")</f>
        <v>No</v>
      </c>
      <c r="H1483" s="5" t="str">
        <f ca="1">IFERROR(__xludf.DUMMYFUNCTION("""COMPUTED_VALUE"""),"None")</f>
        <v>None</v>
      </c>
    </row>
    <row r="1484" spans="1:8" ht="13">
      <c r="A1484" s="5" t="str">
        <f ca="1">IFERROR(__xludf.DUMMYFUNCTION("""COMPUTED_VALUE"""),"20081231OKKEN")</f>
        <v>20081231OKKEN</v>
      </c>
      <c r="B1484" s="5">
        <f ca="1">IFERROR(__xludf.DUMMYFUNCTION("""COMPUTED_VALUE"""),68)</f>
        <v>68</v>
      </c>
      <c r="C1484" s="5" t="str">
        <f ca="1">IFERROR(__xludf.DUMMYFUNCTION("""COMPUTED_VALUE"""),"Male")</f>
        <v>Male</v>
      </c>
      <c r="D1484" s="5"/>
      <c r="E1484" s="5" t="str">
        <f ca="1">IFERROR(__xludf.DUMMYFUNCTION("""COMPUTED_VALUE"""),"Unknown")</f>
        <v>Unknown</v>
      </c>
      <c r="F1484" s="5" t="str">
        <f ca="1">IFERROR(__xludf.DUMMYFUNCTION("""COMPUTED_VALUE"""),"Suicide")</f>
        <v>Suicide</v>
      </c>
      <c r="G1484" s="5" t="str">
        <f ca="1">IFERROR(__xludf.DUMMYFUNCTION("""COMPUTED_VALUE"""),"Yes")</f>
        <v>Yes</v>
      </c>
      <c r="H1484" s="5" t="str">
        <f ca="1">IFERROR(__xludf.DUMMYFUNCTION("""COMPUTED_VALUE"""),"Suicide")</f>
        <v>Suicide</v>
      </c>
    </row>
    <row r="1485" spans="1:8" ht="13">
      <c r="A1485" s="5" t="str">
        <f ca="1">IFERROR(__xludf.DUMMYFUNCTION("""COMPUTED_VALUE"""),"20081231GASHS")</f>
        <v>20081231GASHS</v>
      </c>
      <c r="B1485" s="5">
        <f ca="1">IFERROR(__xludf.DUMMYFUNCTION("""COMPUTED_VALUE"""),18)</f>
        <v>18</v>
      </c>
      <c r="C1485" s="5" t="str">
        <f ca="1">IFERROR(__xludf.DUMMYFUNCTION("""COMPUTED_VALUE"""),"Female")</f>
        <v>Female</v>
      </c>
      <c r="D1485" s="5"/>
      <c r="E1485" s="5" t="str">
        <f ca="1">IFERROR(__xludf.DUMMYFUNCTION("""COMPUTED_VALUE"""),"Unknown")</f>
        <v>Unknown</v>
      </c>
      <c r="F1485" s="5" t="str">
        <f ca="1">IFERROR(__xludf.DUMMYFUNCTION("""COMPUTED_VALUE"""),"Unknown")</f>
        <v>Unknown</v>
      </c>
      <c r="G1485" s="5" t="str">
        <f ca="1">IFERROR(__xludf.DUMMYFUNCTION("""COMPUTED_VALUE"""),"No")</f>
        <v>No</v>
      </c>
      <c r="H1485" s="5" t="str">
        <f ca="1">IFERROR(__xludf.DUMMYFUNCTION("""COMPUTED_VALUE"""),"None")</f>
        <v>None</v>
      </c>
    </row>
    <row r="1486" spans="1:8" ht="13">
      <c r="A1486" s="5" t="str">
        <f ca="1">IFERROR(__xludf.DUMMYFUNCTION("""COMPUTED_VALUE"""),"20081227PAWIP")</f>
        <v>20081227PAWIP</v>
      </c>
      <c r="B1486" s="5"/>
      <c r="C1486" s="5"/>
      <c r="D1486" s="5"/>
      <c r="E1486" s="5" t="str">
        <f ca="1">IFERROR(__xludf.DUMMYFUNCTION("""COMPUTED_VALUE"""),"Unknown")</f>
        <v>Unknown</v>
      </c>
      <c r="F1486" s="5" t="str">
        <f ca="1">IFERROR(__xludf.DUMMYFUNCTION("""COMPUTED_VALUE"""),"Fled/Escaped")</f>
        <v>Fled/Escaped</v>
      </c>
      <c r="G1486" s="5" t="str">
        <f ca="1">IFERROR(__xludf.DUMMYFUNCTION("""COMPUTED_VALUE"""),"No")</f>
        <v>No</v>
      </c>
      <c r="H1486" s="5" t="str">
        <f ca="1">IFERROR(__xludf.DUMMYFUNCTION("""COMPUTED_VALUE"""),"None")</f>
        <v>None</v>
      </c>
    </row>
    <row r="1487" spans="1:8" ht="13">
      <c r="A1487" s="5" t="str">
        <f ca="1">IFERROR(__xludf.DUMMYFUNCTION("""COMPUTED_VALUE"""),"20081222FLLAL")</f>
        <v>20081222FLLAL</v>
      </c>
      <c r="B1487" s="5">
        <f ca="1">IFERROR(__xludf.DUMMYFUNCTION("""COMPUTED_VALUE"""),47)</f>
        <v>47</v>
      </c>
      <c r="C1487" s="5" t="str">
        <f ca="1">IFERROR(__xludf.DUMMYFUNCTION("""COMPUTED_VALUE"""),"Female")</f>
        <v>Female</v>
      </c>
      <c r="D1487" s="5" t="str">
        <f ca="1">IFERROR(__xludf.DUMMYFUNCTION("""COMPUTED_VALUE"""),"White")</f>
        <v>White</v>
      </c>
      <c r="E1487" s="5" t="str">
        <f ca="1">IFERROR(__xludf.DUMMYFUNCTION("""COMPUTED_VALUE"""),"Unknown")</f>
        <v>Unknown</v>
      </c>
      <c r="F1487" s="5" t="str">
        <f ca="1">IFERROR(__xludf.DUMMYFUNCTION("""COMPUTED_VALUE"""),"Suicide")</f>
        <v>Suicide</v>
      </c>
      <c r="G1487" s="5" t="str">
        <f ca="1">IFERROR(__xludf.DUMMYFUNCTION("""COMPUTED_VALUE"""),"Yes")</f>
        <v>Yes</v>
      </c>
      <c r="H1487" s="5" t="str">
        <f ca="1">IFERROR(__xludf.DUMMYFUNCTION("""COMPUTED_VALUE"""),"Suicide")</f>
        <v>Suicide</v>
      </c>
    </row>
    <row r="1488" spans="1:8" ht="13">
      <c r="A1488" s="5" t="str">
        <f ca="1">IFERROR(__xludf.DUMMYFUNCTION("""COMPUTED_VALUE"""),"20081221SCSUS")</f>
        <v>20081221SCSUS</v>
      </c>
      <c r="B1488" s="5">
        <f ca="1">IFERROR(__xludf.DUMMYFUNCTION("""COMPUTED_VALUE"""),22)</f>
        <v>22</v>
      </c>
      <c r="C1488" s="5" t="str">
        <f ca="1">IFERROR(__xludf.DUMMYFUNCTION("""COMPUTED_VALUE"""),"Male")</f>
        <v>Male</v>
      </c>
      <c r="D1488" s="5"/>
      <c r="E1488" s="5" t="str">
        <f ca="1">IFERROR(__xludf.DUMMYFUNCTION("""COMPUTED_VALUE"""),"Unknown")</f>
        <v>Unknown</v>
      </c>
      <c r="F1488" s="5" t="str">
        <f ca="1">IFERROR(__xludf.DUMMYFUNCTION("""COMPUTED_VALUE"""),"Fled/Apprehended")</f>
        <v>Fled/Apprehended</v>
      </c>
      <c r="G1488" s="5" t="str">
        <f ca="1">IFERROR(__xludf.DUMMYFUNCTION("""COMPUTED_VALUE"""),"No")</f>
        <v>No</v>
      </c>
      <c r="H1488" s="5" t="str">
        <f ca="1">IFERROR(__xludf.DUMMYFUNCTION("""COMPUTED_VALUE"""),"None")</f>
        <v>None</v>
      </c>
    </row>
    <row r="1489" spans="1:8" ht="13">
      <c r="A1489" s="5" t="str">
        <f ca="1">IFERROR(__xludf.DUMMYFUNCTION("""COMPUTED_VALUE"""),"20081212NYWIM")</f>
        <v>20081212NYWIM</v>
      </c>
      <c r="B1489" s="5">
        <f ca="1">IFERROR(__xludf.DUMMYFUNCTION("""COMPUTED_VALUE"""),27)</f>
        <v>27</v>
      </c>
      <c r="C1489" s="5" t="str">
        <f ca="1">IFERROR(__xludf.DUMMYFUNCTION("""COMPUTED_VALUE"""),"Male")</f>
        <v>Male</v>
      </c>
      <c r="D1489" s="5" t="str">
        <f ca="1">IFERROR(__xludf.DUMMYFUNCTION("""COMPUTED_VALUE"""),"Black")</f>
        <v>Black</v>
      </c>
      <c r="E1489" s="5" t="str">
        <f ca="1">IFERROR(__xludf.DUMMYFUNCTION("""COMPUTED_VALUE"""),"Unknown")</f>
        <v>Unknown</v>
      </c>
      <c r="F1489" s="5" t="str">
        <f ca="1">IFERROR(__xludf.DUMMYFUNCTION("""COMPUTED_VALUE"""),"Fled/Apprehended")</f>
        <v>Fled/Apprehended</v>
      </c>
      <c r="G1489" s="5" t="str">
        <f ca="1">IFERROR(__xludf.DUMMYFUNCTION("""COMPUTED_VALUE"""),"No")</f>
        <v>No</v>
      </c>
      <c r="H1489" s="5" t="str">
        <f ca="1">IFERROR(__xludf.DUMMYFUNCTION("""COMPUTED_VALUE"""),"None")</f>
        <v>None</v>
      </c>
    </row>
    <row r="1490" spans="1:8" ht="13">
      <c r="A1490" s="5" t="str">
        <f ca="1">IFERROR(__xludf.DUMMYFUNCTION("""COMPUTED_VALUE"""),"20081212NCGUA")</f>
        <v>20081212NCGUA</v>
      </c>
      <c r="B1490" s="5">
        <f ca="1">IFERROR(__xludf.DUMMYFUNCTION("""COMPUTED_VALUE"""),16)</f>
        <v>16</v>
      </c>
      <c r="C1490" s="5" t="str">
        <f ca="1">IFERROR(__xludf.DUMMYFUNCTION("""COMPUTED_VALUE"""),"Female")</f>
        <v>Female</v>
      </c>
      <c r="D1490" s="5"/>
      <c r="E1490" s="5" t="str">
        <f ca="1">IFERROR(__xludf.DUMMYFUNCTION("""COMPUTED_VALUE"""),"Unknown")</f>
        <v>Unknown</v>
      </c>
      <c r="F1490" s="5" t="str">
        <f ca="1">IFERROR(__xludf.DUMMYFUNCTION("""COMPUTED_VALUE"""),"Surrendered")</f>
        <v>Surrendered</v>
      </c>
      <c r="G1490" s="5" t="str">
        <f ca="1">IFERROR(__xludf.DUMMYFUNCTION("""COMPUTED_VALUE"""),"No")</f>
        <v>No</v>
      </c>
      <c r="H1490" s="5" t="str">
        <f ca="1">IFERROR(__xludf.DUMMYFUNCTION("""COMPUTED_VALUE"""),"None")</f>
        <v>None</v>
      </c>
    </row>
    <row r="1491" spans="1:8" ht="13">
      <c r="A1491" s="5" t="str">
        <f ca="1">IFERROR(__xludf.DUMMYFUNCTION("""COMPUTED_VALUE"""),"20081205MNSHF")</f>
        <v>20081205MNSHF</v>
      </c>
      <c r="B1491" s="5">
        <f ca="1">IFERROR(__xludf.DUMMYFUNCTION("""COMPUTED_VALUE"""),34)</f>
        <v>34</v>
      </c>
      <c r="C1491" s="5" t="str">
        <f ca="1">IFERROR(__xludf.DUMMYFUNCTION("""COMPUTED_VALUE"""),"Male")</f>
        <v>Male</v>
      </c>
      <c r="D1491" s="5"/>
      <c r="E1491" s="5" t="str">
        <f ca="1">IFERROR(__xludf.DUMMYFUNCTION("""COMPUTED_VALUE"""),"Teacher")</f>
        <v>Teacher</v>
      </c>
      <c r="F1491" s="5" t="str">
        <f ca="1">IFERROR(__xludf.DUMMYFUNCTION("""COMPUTED_VALUE"""),"Suicide")</f>
        <v>Suicide</v>
      </c>
      <c r="G1491" s="5" t="str">
        <f ca="1">IFERROR(__xludf.DUMMYFUNCTION("""COMPUTED_VALUE"""),"Yes")</f>
        <v>Yes</v>
      </c>
      <c r="H1491" s="5" t="str">
        <f ca="1">IFERROR(__xludf.DUMMYFUNCTION("""COMPUTED_VALUE"""),"Suicide")</f>
        <v>Suicide</v>
      </c>
    </row>
    <row r="1492" spans="1:8" ht="13">
      <c r="A1492" s="5" t="str">
        <f ca="1">IFERROR(__xludf.DUMMYFUNCTION("""COMPUTED_VALUE"""),"20081202CAKIK")</f>
        <v>20081202CAKIK</v>
      </c>
      <c r="B1492" s="5">
        <f ca="1">IFERROR(__xludf.DUMMYFUNCTION("""COMPUTED_VALUE"""),17)</f>
        <v>17</v>
      </c>
      <c r="C1492" s="5" t="str">
        <f ca="1">IFERROR(__xludf.DUMMYFUNCTION("""COMPUTED_VALUE"""),"Male")</f>
        <v>Male</v>
      </c>
      <c r="D1492" s="5"/>
      <c r="E1492" s="5" t="str">
        <f ca="1">IFERROR(__xludf.DUMMYFUNCTION("""COMPUTED_VALUE"""),"Unknown")</f>
        <v>Unknown</v>
      </c>
      <c r="F1492" s="5" t="str">
        <f ca="1">IFERROR(__xludf.DUMMYFUNCTION("""COMPUTED_VALUE"""),"Fled/Apprehended")</f>
        <v>Fled/Apprehended</v>
      </c>
      <c r="G1492" s="5" t="str">
        <f ca="1">IFERROR(__xludf.DUMMYFUNCTION("""COMPUTED_VALUE"""),"No")</f>
        <v>No</v>
      </c>
      <c r="H1492" s="5" t="str">
        <f ca="1">IFERROR(__xludf.DUMMYFUNCTION("""COMPUTED_VALUE"""),"None")</f>
        <v>None</v>
      </c>
    </row>
    <row r="1493" spans="1:8" ht="13">
      <c r="A1493" s="5" t="str">
        <f ca="1">IFERROR(__xludf.DUMMYFUNCTION("""COMPUTED_VALUE"""),"20081130CAOAG")</f>
        <v>20081130CAOAG</v>
      </c>
      <c r="B1493" s="5" t="str">
        <f ca="1">IFERROR(__xludf.DUMMYFUNCTION("""COMPUTED_VALUE"""),"Adult")</f>
        <v>Adult</v>
      </c>
      <c r="C1493" s="5" t="str">
        <f ca="1">IFERROR(__xludf.DUMMYFUNCTION("""COMPUTED_VALUE"""),"Male")</f>
        <v>Male</v>
      </c>
      <c r="D1493" s="5"/>
      <c r="E1493" s="5" t="str">
        <f ca="1">IFERROR(__xludf.DUMMYFUNCTION("""COMPUTED_VALUE"""),"No Relation")</f>
        <v>No Relation</v>
      </c>
      <c r="F1493" s="5" t="str">
        <f ca="1">IFERROR(__xludf.DUMMYFUNCTION("""COMPUTED_VALUE"""),"Fled/Escaped")</f>
        <v>Fled/Escaped</v>
      </c>
      <c r="G1493" s="5" t="str">
        <f ca="1">IFERROR(__xludf.DUMMYFUNCTION("""COMPUTED_VALUE"""),"No")</f>
        <v>No</v>
      </c>
      <c r="H1493" s="5" t="str">
        <f ca="1">IFERROR(__xludf.DUMMYFUNCTION("""COMPUTED_VALUE"""),"None")</f>
        <v>None</v>
      </c>
    </row>
    <row r="1494" spans="1:8" ht="13">
      <c r="A1494" s="5" t="str">
        <f ca="1">IFERROR(__xludf.DUMMYFUNCTION("""COMPUTED_VALUE"""),"20081125TXNOH")</f>
        <v>20081125TXNOH</v>
      </c>
      <c r="B1494" s="5">
        <f ca="1">IFERROR(__xludf.DUMMYFUNCTION("""COMPUTED_VALUE"""),18)</f>
        <v>18</v>
      </c>
      <c r="C1494" s="5" t="str">
        <f ca="1">IFERROR(__xludf.DUMMYFUNCTION("""COMPUTED_VALUE"""),"Male")</f>
        <v>Male</v>
      </c>
      <c r="D1494" s="5"/>
      <c r="E1494" s="5" t="str">
        <f ca="1">IFERROR(__xludf.DUMMYFUNCTION("""COMPUTED_VALUE"""),"Unknown")</f>
        <v>Unknown</v>
      </c>
      <c r="F1494" s="5" t="str">
        <f ca="1">IFERROR(__xludf.DUMMYFUNCTION("""COMPUTED_VALUE"""),"Fled/Escaped")</f>
        <v>Fled/Escaped</v>
      </c>
      <c r="G1494" s="5" t="str">
        <f ca="1">IFERROR(__xludf.DUMMYFUNCTION("""COMPUTED_VALUE"""),"No")</f>
        <v>No</v>
      </c>
      <c r="H1494" s="5" t="str">
        <f ca="1">IFERROR(__xludf.DUMMYFUNCTION("""COMPUTED_VALUE"""),"None")</f>
        <v>None</v>
      </c>
    </row>
    <row r="1495" spans="1:8" ht="13">
      <c r="A1495" s="5" t="str">
        <f ca="1">IFERROR(__xludf.DUMMYFUNCTION("""COMPUTED_VALUE"""),"20081118CACOO")</f>
        <v>20081118CACOO</v>
      </c>
      <c r="B1495" s="5">
        <f ca="1">IFERROR(__xludf.DUMMYFUNCTION("""COMPUTED_VALUE"""),13)</f>
        <v>13</v>
      </c>
      <c r="C1495" s="5" t="str">
        <f ca="1">IFERROR(__xludf.DUMMYFUNCTION("""COMPUTED_VALUE"""),"Male")</f>
        <v>Male</v>
      </c>
      <c r="D1495" s="5"/>
      <c r="E1495" s="5" t="str">
        <f ca="1">IFERROR(__xludf.DUMMYFUNCTION("""COMPUTED_VALUE"""),"Student")</f>
        <v>Student</v>
      </c>
      <c r="F1495" s="5" t="str">
        <f ca="1">IFERROR(__xludf.DUMMYFUNCTION("""COMPUTED_VALUE"""),"Surrendered")</f>
        <v>Surrendered</v>
      </c>
      <c r="G1495" s="5" t="str">
        <f ca="1">IFERROR(__xludf.DUMMYFUNCTION("""COMPUTED_VALUE"""),"No")</f>
        <v>No</v>
      </c>
      <c r="H1495" s="5" t="str">
        <f ca="1">IFERROR(__xludf.DUMMYFUNCTION("""COMPUTED_VALUE"""),"None")</f>
        <v>None</v>
      </c>
    </row>
    <row r="1496" spans="1:8" ht="13">
      <c r="A1496" s="5" t="str">
        <f ca="1">IFERROR(__xludf.DUMMYFUNCTION("""COMPUTED_VALUE"""),"20081118CACEC")</f>
        <v>20081118CACEC</v>
      </c>
      <c r="B1496" s="5">
        <f ca="1">IFERROR(__xludf.DUMMYFUNCTION("""COMPUTED_VALUE"""),18)</f>
        <v>18</v>
      </c>
      <c r="C1496" s="5" t="str">
        <f ca="1">IFERROR(__xludf.DUMMYFUNCTION("""COMPUTED_VALUE"""),"Male")</f>
        <v>Male</v>
      </c>
      <c r="D1496" s="5"/>
      <c r="E1496" s="5" t="str">
        <f ca="1">IFERROR(__xludf.DUMMYFUNCTION("""COMPUTED_VALUE"""),"Student")</f>
        <v>Student</v>
      </c>
      <c r="F1496" s="5" t="str">
        <f ca="1">IFERROR(__xludf.DUMMYFUNCTION("""COMPUTED_VALUE"""),"Fled/Apprehended")</f>
        <v>Fled/Apprehended</v>
      </c>
      <c r="G1496" s="5" t="str">
        <f ca="1">IFERROR(__xludf.DUMMYFUNCTION("""COMPUTED_VALUE"""),"No")</f>
        <v>No</v>
      </c>
      <c r="H1496" s="5" t="str">
        <f ca="1">IFERROR(__xludf.DUMMYFUNCTION("""COMPUTED_VALUE"""),"None")</f>
        <v>None</v>
      </c>
    </row>
    <row r="1497" spans="1:8" ht="13">
      <c r="A1497" s="5" t="str">
        <f ca="1">IFERROR(__xludf.DUMMYFUNCTION("""COMPUTED_VALUE"""),"20081115UTDES")</f>
        <v>20081115UTDES</v>
      </c>
      <c r="B1497" s="5">
        <f ca="1">IFERROR(__xludf.DUMMYFUNCTION("""COMPUTED_VALUE"""),15)</f>
        <v>15</v>
      </c>
      <c r="C1497" s="5" t="str">
        <f ca="1">IFERROR(__xludf.DUMMYFUNCTION("""COMPUTED_VALUE"""),"Male")</f>
        <v>Male</v>
      </c>
      <c r="D1497" s="5"/>
      <c r="E1497" s="5" t="str">
        <f ca="1">IFERROR(__xludf.DUMMYFUNCTION("""COMPUTED_VALUE"""),"Student")</f>
        <v>Student</v>
      </c>
      <c r="F1497" s="5" t="str">
        <f ca="1">IFERROR(__xludf.DUMMYFUNCTION("""COMPUTED_VALUE"""),"Other")</f>
        <v>Other</v>
      </c>
      <c r="G1497" s="5" t="str">
        <f ca="1">IFERROR(__xludf.DUMMYFUNCTION("""COMPUTED_VALUE"""),"No")</f>
        <v>No</v>
      </c>
      <c r="H1497" s="5" t="str">
        <f ca="1">IFERROR(__xludf.DUMMYFUNCTION("""COMPUTED_VALUE"""),"None")</f>
        <v>None</v>
      </c>
    </row>
    <row r="1498" spans="1:8" ht="13">
      <c r="A1498" s="5" t="str">
        <f ca="1">IFERROR(__xludf.DUMMYFUNCTION("""COMPUTED_VALUE"""),"20081115COTHL")</f>
        <v>20081115COTHL</v>
      </c>
      <c r="B1498" s="5">
        <f ca="1">IFERROR(__xludf.DUMMYFUNCTION("""COMPUTED_VALUE"""),18)</f>
        <v>18</v>
      </c>
      <c r="C1498" s="5" t="str">
        <f ca="1">IFERROR(__xludf.DUMMYFUNCTION("""COMPUTED_VALUE"""),"Male")</f>
        <v>Male</v>
      </c>
      <c r="D1498" s="5"/>
      <c r="E1498" s="5" t="str">
        <f ca="1">IFERROR(__xludf.DUMMYFUNCTION("""COMPUTED_VALUE"""),"Student")</f>
        <v>Student</v>
      </c>
      <c r="F1498" s="5" t="str">
        <f ca="1">IFERROR(__xludf.DUMMYFUNCTION("""COMPUTED_VALUE"""),"Apprehended/Killed by LE")</f>
        <v>Apprehended/Killed by LE</v>
      </c>
      <c r="G1498" s="5" t="str">
        <f ca="1">IFERROR(__xludf.DUMMYFUNCTION("""COMPUTED_VALUE"""),"No")</f>
        <v>No</v>
      </c>
      <c r="H1498" s="5" t="str">
        <f ca="1">IFERROR(__xludf.DUMMYFUNCTION("""COMPUTED_VALUE"""),"None")</f>
        <v>None</v>
      </c>
    </row>
    <row r="1499" spans="1:8" ht="13">
      <c r="A1499" s="5" t="str">
        <f ca="1">IFERROR(__xludf.DUMMYFUNCTION("""COMPUTED_VALUE"""),"20081112FLDIF")</f>
        <v>20081112FLDIF</v>
      </c>
      <c r="B1499" s="5">
        <f ca="1">IFERROR(__xludf.DUMMYFUNCTION("""COMPUTED_VALUE"""),15)</f>
        <v>15</v>
      </c>
      <c r="C1499" s="5" t="str">
        <f ca="1">IFERROR(__xludf.DUMMYFUNCTION("""COMPUTED_VALUE"""),"Female")</f>
        <v>Female</v>
      </c>
      <c r="D1499" s="5" t="str">
        <f ca="1">IFERROR(__xludf.DUMMYFUNCTION("""COMPUTED_VALUE"""),"Black")</f>
        <v>Black</v>
      </c>
      <c r="E1499" s="5" t="str">
        <f ca="1">IFERROR(__xludf.DUMMYFUNCTION("""COMPUTED_VALUE"""),"Student")</f>
        <v>Student</v>
      </c>
      <c r="F1499" s="5" t="str">
        <f ca="1">IFERROR(__xludf.DUMMYFUNCTION("""COMPUTED_VALUE"""),"Fled/Apprehended")</f>
        <v>Fled/Apprehended</v>
      </c>
      <c r="G1499" s="5" t="str">
        <f ca="1">IFERROR(__xludf.DUMMYFUNCTION("""COMPUTED_VALUE"""),"No")</f>
        <v>No</v>
      </c>
      <c r="H1499" s="5" t="str">
        <f ca="1">IFERROR(__xludf.DUMMYFUNCTION("""COMPUTED_VALUE"""),"None")</f>
        <v>None</v>
      </c>
    </row>
    <row r="1500" spans="1:8" ht="13">
      <c r="A1500" s="5" t="str">
        <f ca="1">IFERROR(__xludf.DUMMYFUNCTION("""COMPUTED_VALUE"""),"20081103CAELO")</f>
        <v>20081103CAELO</v>
      </c>
      <c r="B1500" s="5"/>
      <c r="C1500" s="5"/>
      <c r="D1500" s="5"/>
      <c r="E1500" s="5" t="str">
        <f ca="1">IFERROR(__xludf.DUMMYFUNCTION("""COMPUTED_VALUE"""),"Unknown")</f>
        <v>Unknown</v>
      </c>
      <c r="F1500" s="5" t="str">
        <f ca="1">IFERROR(__xludf.DUMMYFUNCTION("""COMPUTED_VALUE"""),"Fled/Escaped")</f>
        <v>Fled/Escaped</v>
      </c>
      <c r="G1500" s="5" t="str">
        <f ca="1">IFERROR(__xludf.DUMMYFUNCTION("""COMPUTED_VALUE"""),"No")</f>
        <v>No</v>
      </c>
      <c r="H1500" s="5" t="str">
        <f ca="1">IFERROR(__xludf.DUMMYFUNCTION("""COMPUTED_VALUE"""),"None")</f>
        <v>None</v>
      </c>
    </row>
    <row r="1501" spans="1:8" ht="13">
      <c r="A1501" s="5" t="str">
        <f ca="1">IFERROR(__xludf.DUMMYFUNCTION("""COMPUTED_VALUE"""),"20081103CABEB")</f>
        <v>20081103CABEB</v>
      </c>
      <c r="B1501" s="5"/>
      <c r="C1501" s="5"/>
      <c r="D1501" s="5"/>
      <c r="E1501" s="5" t="str">
        <f ca="1">IFERROR(__xludf.DUMMYFUNCTION("""COMPUTED_VALUE"""),"Unknown")</f>
        <v>Unknown</v>
      </c>
      <c r="F1501" s="5" t="str">
        <f ca="1">IFERROR(__xludf.DUMMYFUNCTION("""COMPUTED_VALUE"""),"Fled/Escaped")</f>
        <v>Fled/Escaped</v>
      </c>
      <c r="G1501" s="5" t="str">
        <f ca="1">IFERROR(__xludf.DUMMYFUNCTION("""COMPUTED_VALUE"""),"No")</f>
        <v>No</v>
      </c>
      <c r="H1501" s="5" t="str">
        <f ca="1">IFERROR(__xludf.DUMMYFUNCTION("""COMPUTED_VALUE"""),"None")</f>
        <v>None</v>
      </c>
    </row>
    <row r="1502" spans="1:8" ht="13">
      <c r="A1502" s="5" t="str">
        <f ca="1">IFERROR(__xludf.DUMMYFUNCTION("""COMPUTED_VALUE"""),"20081031MESTS")</f>
        <v>20081031MESTS</v>
      </c>
      <c r="B1502" s="5">
        <f ca="1">IFERROR(__xludf.DUMMYFUNCTION("""COMPUTED_VALUE"""),55)</f>
        <v>55</v>
      </c>
      <c r="C1502" s="5" t="str">
        <f ca="1">IFERROR(__xludf.DUMMYFUNCTION("""COMPUTED_VALUE"""),"Male")</f>
        <v>Male</v>
      </c>
      <c r="D1502" s="5"/>
      <c r="E1502" s="5" t="str">
        <f ca="1">IFERROR(__xludf.DUMMYFUNCTION("""COMPUTED_VALUE"""),"No Relation")</f>
        <v>No Relation</v>
      </c>
      <c r="F1502" s="5" t="str">
        <f ca="1">IFERROR(__xludf.DUMMYFUNCTION("""COMPUTED_VALUE"""),"Apprehended/Killed by LE")</f>
        <v>Apprehended/Killed by LE</v>
      </c>
      <c r="G1502" s="5" t="str">
        <f ca="1">IFERROR(__xludf.DUMMYFUNCTION("""COMPUTED_VALUE"""),"No")</f>
        <v>No</v>
      </c>
      <c r="H1502" s="5" t="str">
        <f ca="1">IFERROR(__xludf.DUMMYFUNCTION("""COMPUTED_VALUE"""),"None")</f>
        <v>None</v>
      </c>
    </row>
    <row r="1503" spans="1:8" ht="13">
      <c r="A1503" s="5" t="str">
        <f ca="1">IFERROR(__xludf.DUMMYFUNCTION("""COMPUTED_VALUE"""),"20081029CAELG")</f>
        <v>20081029CAELG</v>
      </c>
      <c r="B1503" s="5">
        <f ca="1">IFERROR(__xludf.DUMMYFUNCTION("""COMPUTED_VALUE"""),10)</f>
        <v>10</v>
      </c>
      <c r="C1503" s="5" t="str">
        <f ca="1">IFERROR(__xludf.DUMMYFUNCTION("""COMPUTED_VALUE"""),"Male")</f>
        <v>Male</v>
      </c>
      <c r="D1503" s="5"/>
      <c r="E1503" s="5" t="str">
        <f ca="1">IFERROR(__xludf.DUMMYFUNCTION("""COMPUTED_VALUE"""),"Student")</f>
        <v>Student</v>
      </c>
      <c r="F1503" s="5" t="str">
        <f ca="1">IFERROR(__xludf.DUMMYFUNCTION("""COMPUTED_VALUE"""),"Subdued by Students/Staff/Other")</f>
        <v>Subdued by Students/Staff/Other</v>
      </c>
      <c r="G1503" s="5" t="str">
        <f ca="1">IFERROR(__xludf.DUMMYFUNCTION("""COMPUTED_VALUE"""),"No")</f>
        <v>No</v>
      </c>
      <c r="H1503" s="5" t="str">
        <f ca="1">IFERROR(__xludf.DUMMYFUNCTION("""COMPUTED_VALUE"""),"None")</f>
        <v>None</v>
      </c>
    </row>
    <row r="1504" spans="1:8" ht="13">
      <c r="A1504" s="5" t="str">
        <f ca="1">IFERROR(__xludf.DUMMYFUNCTION("""COMPUTED_VALUE"""),"20081023ALPRP")</f>
        <v>20081023ALPRP</v>
      </c>
      <c r="B1504" s="5">
        <f ca="1">IFERROR(__xludf.DUMMYFUNCTION("""COMPUTED_VALUE"""),50)</f>
        <v>50</v>
      </c>
      <c r="C1504" s="5" t="str">
        <f ca="1">IFERROR(__xludf.DUMMYFUNCTION("""COMPUTED_VALUE"""),"Male")</f>
        <v>Male</v>
      </c>
      <c r="D1504" s="5"/>
      <c r="E1504" s="5" t="str">
        <f ca="1">IFERROR(__xludf.DUMMYFUNCTION("""COMPUTED_VALUE"""),"Parent")</f>
        <v>Parent</v>
      </c>
      <c r="F1504" s="5" t="str">
        <f ca="1">IFERROR(__xludf.DUMMYFUNCTION("""COMPUTED_VALUE"""),"Surrendered")</f>
        <v>Surrendered</v>
      </c>
      <c r="G1504" s="5" t="str">
        <f ca="1">IFERROR(__xludf.DUMMYFUNCTION("""COMPUTED_VALUE"""),"No")</f>
        <v>No</v>
      </c>
      <c r="H1504" s="5" t="str">
        <f ca="1">IFERROR(__xludf.DUMMYFUNCTION("""COMPUTED_VALUE"""),"None")</f>
        <v>None</v>
      </c>
    </row>
    <row r="1505" spans="1:8" ht="13">
      <c r="A1505" s="5" t="str">
        <f ca="1">IFERROR(__xludf.DUMMYFUNCTION("""COMPUTED_VALUE"""),"20081020CAVAA")</f>
        <v>20081020CAVAA</v>
      </c>
      <c r="B1505" s="5">
        <f ca="1">IFERROR(__xludf.DUMMYFUNCTION("""COMPUTED_VALUE"""),14)</f>
        <v>14</v>
      </c>
      <c r="C1505" s="5" t="str">
        <f ca="1">IFERROR(__xludf.DUMMYFUNCTION("""COMPUTED_VALUE"""),"Male")</f>
        <v>Male</v>
      </c>
      <c r="D1505" s="5" t="str">
        <f ca="1">IFERROR(__xludf.DUMMYFUNCTION("""COMPUTED_VALUE"""),"White")</f>
        <v>White</v>
      </c>
      <c r="E1505" s="5" t="str">
        <f ca="1">IFERROR(__xludf.DUMMYFUNCTION("""COMPUTED_VALUE"""),"Student")</f>
        <v>Student</v>
      </c>
      <c r="F1505" s="5" t="str">
        <f ca="1">IFERROR(__xludf.DUMMYFUNCTION("""COMPUTED_VALUE"""),"Suicide")</f>
        <v>Suicide</v>
      </c>
      <c r="G1505" s="5" t="str">
        <f ca="1">IFERROR(__xludf.DUMMYFUNCTION("""COMPUTED_VALUE"""),"Yes")</f>
        <v>Yes</v>
      </c>
      <c r="H1505" s="5" t="str">
        <f ca="1">IFERROR(__xludf.DUMMYFUNCTION("""COMPUTED_VALUE"""),"Suicide")</f>
        <v>Suicide</v>
      </c>
    </row>
    <row r="1506" spans="1:8" ht="13">
      <c r="A1506" s="5" t="str">
        <f ca="1">IFERROR(__xludf.DUMMYFUNCTION("""COMPUTED_VALUE"""),"20081016MIHED")</f>
        <v>20081016MIHED</v>
      </c>
      <c r="B1506" s="5">
        <f ca="1">IFERROR(__xludf.DUMMYFUNCTION("""COMPUTED_VALUE"""),15)</f>
        <v>15</v>
      </c>
      <c r="C1506" s="5" t="str">
        <f ca="1">IFERROR(__xludf.DUMMYFUNCTION("""COMPUTED_VALUE"""),"Male")</f>
        <v>Male</v>
      </c>
      <c r="D1506" s="5" t="str">
        <f ca="1">IFERROR(__xludf.DUMMYFUNCTION("""COMPUTED_VALUE"""),"Black")</f>
        <v>Black</v>
      </c>
      <c r="E1506" s="5" t="str">
        <f ca="1">IFERROR(__xludf.DUMMYFUNCTION("""COMPUTED_VALUE"""),"Student")</f>
        <v>Student</v>
      </c>
      <c r="F1506" s="5" t="str">
        <f ca="1">IFERROR(__xludf.DUMMYFUNCTION("""COMPUTED_VALUE"""),"Fled/Apprehended")</f>
        <v>Fled/Apprehended</v>
      </c>
      <c r="G1506" s="5" t="str">
        <f ca="1">IFERROR(__xludf.DUMMYFUNCTION("""COMPUTED_VALUE"""),"No")</f>
        <v>No</v>
      </c>
      <c r="H1506" s="5" t="str">
        <f ca="1">IFERROR(__xludf.DUMMYFUNCTION("""COMPUTED_VALUE"""),"None")</f>
        <v>None</v>
      </c>
    </row>
    <row r="1507" spans="1:8" ht="13">
      <c r="A1507" s="5" t="str">
        <f ca="1">IFERROR(__xludf.DUMMYFUNCTION("""COMPUTED_VALUE"""),"20080919CAGEA")</f>
        <v>20080919CAGEA</v>
      </c>
      <c r="B1507" s="5"/>
      <c r="C1507" s="5" t="str">
        <f ca="1">IFERROR(__xludf.DUMMYFUNCTION("""COMPUTED_VALUE"""),"Male")</f>
        <v>Male</v>
      </c>
      <c r="D1507" s="5"/>
      <c r="E1507" s="5" t="str">
        <f ca="1">IFERROR(__xludf.DUMMYFUNCTION("""COMPUTED_VALUE"""),"Unknown")</f>
        <v>Unknown</v>
      </c>
      <c r="F1507" s="5" t="str">
        <f ca="1">IFERROR(__xludf.DUMMYFUNCTION("""COMPUTED_VALUE"""),"Fled/Escaped")</f>
        <v>Fled/Escaped</v>
      </c>
      <c r="G1507" s="5" t="str">
        <f ca="1">IFERROR(__xludf.DUMMYFUNCTION("""COMPUTED_VALUE"""),"No")</f>
        <v>No</v>
      </c>
      <c r="H1507" s="5" t="str">
        <f ca="1">IFERROR(__xludf.DUMMYFUNCTION("""COMPUTED_VALUE"""),"None")</f>
        <v>None</v>
      </c>
    </row>
    <row r="1508" spans="1:8" ht="13">
      <c r="A1508" s="5" t="str">
        <f ca="1">IFERROR(__xludf.DUMMYFUNCTION("""COMPUTED_VALUE"""),"20080915CAMIS")</f>
        <v>20080915CAMIS</v>
      </c>
      <c r="B1508" s="5">
        <f ca="1">IFERROR(__xludf.DUMMYFUNCTION("""COMPUTED_VALUE"""),17)</f>
        <v>17</v>
      </c>
      <c r="C1508" s="5" t="str">
        <f ca="1">IFERROR(__xludf.DUMMYFUNCTION("""COMPUTED_VALUE"""),"Male")</f>
        <v>Male</v>
      </c>
      <c r="D1508" s="5"/>
      <c r="E1508" s="5" t="str">
        <f ca="1">IFERROR(__xludf.DUMMYFUNCTION("""COMPUTED_VALUE"""),"Student")</f>
        <v>Student</v>
      </c>
      <c r="F1508" s="5" t="str">
        <f ca="1">IFERROR(__xludf.DUMMYFUNCTION("""COMPUTED_VALUE"""),"Suicide")</f>
        <v>Suicide</v>
      </c>
      <c r="G1508" s="5" t="str">
        <f ca="1">IFERROR(__xludf.DUMMYFUNCTION("""COMPUTED_VALUE"""),"Yes")</f>
        <v>Yes</v>
      </c>
      <c r="H1508" s="5" t="str">
        <f ca="1">IFERROR(__xludf.DUMMYFUNCTION("""COMPUTED_VALUE"""),"Suicide")</f>
        <v>Suicide</v>
      </c>
    </row>
    <row r="1509" spans="1:8" ht="13">
      <c r="A1509" s="5" t="str">
        <f ca="1">IFERROR(__xludf.DUMMYFUNCTION("""COMPUTED_VALUE"""),"20080902OHSOW")</f>
        <v>20080902OHSOW</v>
      </c>
      <c r="B1509" s="5">
        <f ca="1">IFERROR(__xludf.DUMMYFUNCTION("""COMPUTED_VALUE"""),15)</f>
        <v>15</v>
      </c>
      <c r="C1509" s="5" t="str">
        <f ca="1">IFERROR(__xludf.DUMMYFUNCTION("""COMPUTED_VALUE"""),"Male")</f>
        <v>Male</v>
      </c>
      <c r="D1509" s="5"/>
      <c r="E1509" s="5" t="str">
        <f ca="1">IFERROR(__xludf.DUMMYFUNCTION("""COMPUTED_VALUE"""),"Student")</f>
        <v>Student</v>
      </c>
      <c r="F1509" s="5" t="str">
        <f ca="1">IFERROR(__xludf.DUMMYFUNCTION("""COMPUTED_VALUE"""),"Surrendered")</f>
        <v>Surrendered</v>
      </c>
      <c r="G1509" s="5" t="str">
        <f ca="1">IFERROR(__xludf.DUMMYFUNCTION("""COMPUTED_VALUE"""),"No")</f>
        <v>No</v>
      </c>
      <c r="H1509" s="5" t="str">
        <f ca="1">IFERROR(__xludf.DUMMYFUNCTION("""COMPUTED_VALUE"""),"None")</f>
        <v>None</v>
      </c>
    </row>
    <row r="1510" spans="1:8" ht="13">
      <c r="A1510" s="5" t="str">
        <f ca="1">IFERROR(__xludf.DUMMYFUNCTION("""COMPUTED_VALUE"""),"20080821TNCEK")</f>
        <v>20080821TNCEK</v>
      </c>
      <c r="B1510" s="5">
        <f ca="1">IFERROR(__xludf.DUMMYFUNCTION("""COMPUTED_VALUE"""),15)</f>
        <v>15</v>
      </c>
      <c r="C1510" s="5" t="str">
        <f ca="1">IFERROR(__xludf.DUMMYFUNCTION("""COMPUTED_VALUE"""),"Male")</f>
        <v>Male</v>
      </c>
      <c r="D1510" s="5" t="str">
        <f ca="1">IFERROR(__xludf.DUMMYFUNCTION("""COMPUTED_VALUE"""),"Hispanic")</f>
        <v>Hispanic</v>
      </c>
      <c r="E1510" s="5" t="str">
        <f ca="1">IFERROR(__xludf.DUMMYFUNCTION("""COMPUTED_VALUE"""),"Student")</f>
        <v>Student</v>
      </c>
      <c r="F1510" s="5" t="str">
        <f ca="1">IFERROR(__xludf.DUMMYFUNCTION("""COMPUTED_VALUE"""),"Fled/Apprehended")</f>
        <v>Fled/Apprehended</v>
      </c>
      <c r="G1510" s="5" t="str">
        <f ca="1">IFERROR(__xludf.DUMMYFUNCTION("""COMPUTED_VALUE"""),"No")</f>
        <v>No</v>
      </c>
      <c r="H1510" s="5" t="str">
        <f ca="1">IFERROR(__xludf.DUMMYFUNCTION("""COMPUTED_VALUE"""),"None")</f>
        <v>None</v>
      </c>
    </row>
    <row r="1511" spans="1:8" ht="13">
      <c r="A1511" s="5" t="str">
        <f ca="1">IFERROR(__xludf.DUMMYFUNCTION("""COMPUTED_VALUE"""),"20080814WALAF")</f>
        <v>20080814WALAF</v>
      </c>
      <c r="B1511" s="5">
        <f ca="1">IFERROR(__xludf.DUMMYFUNCTION("""COMPUTED_VALUE"""),17)</f>
        <v>17</v>
      </c>
      <c r="C1511" s="5" t="str">
        <f ca="1">IFERROR(__xludf.DUMMYFUNCTION("""COMPUTED_VALUE"""),"Male")</f>
        <v>Male</v>
      </c>
      <c r="D1511" s="5" t="str">
        <f ca="1">IFERROR(__xludf.DUMMYFUNCTION("""COMPUTED_VALUE"""),"Hispanic")</f>
        <v>Hispanic</v>
      </c>
      <c r="E1511" s="5" t="str">
        <f ca="1">IFERROR(__xludf.DUMMYFUNCTION("""COMPUTED_VALUE"""),"Relative")</f>
        <v>Relative</v>
      </c>
      <c r="F1511" s="5" t="str">
        <f ca="1">IFERROR(__xludf.DUMMYFUNCTION("""COMPUTED_VALUE"""),"Fled/Apprehended")</f>
        <v>Fled/Apprehended</v>
      </c>
      <c r="G1511" s="5" t="str">
        <f ca="1">IFERROR(__xludf.DUMMYFUNCTION("""COMPUTED_VALUE"""),"No")</f>
        <v>No</v>
      </c>
      <c r="H1511" s="5" t="str">
        <f ca="1">IFERROR(__xludf.DUMMYFUNCTION("""COMPUTED_VALUE"""),"None")</f>
        <v>None</v>
      </c>
    </row>
    <row r="1512" spans="1:8" ht="13">
      <c r="A1512" s="5" t="str">
        <f ca="1">IFERROR(__xludf.DUMMYFUNCTION("""COMPUTED_VALUE"""),"20080811WAWAK")</f>
        <v>20080811WAWAK</v>
      </c>
      <c r="B1512" s="5">
        <f ca="1">IFERROR(__xludf.DUMMYFUNCTION("""COMPUTED_VALUE"""),49)</f>
        <v>49</v>
      </c>
      <c r="C1512" s="5" t="str">
        <f ca="1">IFERROR(__xludf.DUMMYFUNCTION("""COMPUTED_VALUE"""),"Male")</f>
        <v>Male</v>
      </c>
      <c r="D1512" s="5"/>
      <c r="E1512" s="5" t="str">
        <f ca="1">IFERROR(__xludf.DUMMYFUNCTION("""COMPUTED_VALUE"""),"No Relation")</f>
        <v>No Relation</v>
      </c>
      <c r="F1512" s="5" t="str">
        <f ca="1">IFERROR(__xludf.DUMMYFUNCTION("""COMPUTED_VALUE"""),"Unknown")</f>
        <v>Unknown</v>
      </c>
      <c r="G1512" s="5" t="str">
        <f ca="1">IFERROR(__xludf.DUMMYFUNCTION("""COMPUTED_VALUE"""),"No")</f>
        <v>No</v>
      </c>
      <c r="H1512" s="5" t="str">
        <f ca="1">IFERROR(__xludf.DUMMYFUNCTION("""COMPUTED_VALUE"""),"None")</f>
        <v>None</v>
      </c>
    </row>
    <row r="1513" spans="1:8" ht="13">
      <c r="A1513" s="5" t="str">
        <f ca="1">IFERROR(__xludf.DUMMYFUNCTION("""COMPUTED_VALUE"""),"20080516LAMAT")</f>
        <v>20080516LAMAT</v>
      </c>
      <c r="B1513" s="5" t="str">
        <f ca="1">IFERROR(__xludf.DUMMYFUNCTION("""COMPUTED_VALUE"""),"Teen")</f>
        <v>Teen</v>
      </c>
      <c r="C1513" s="5" t="str">
        <f ca="1">IFERROR(__xludf.DUMMYFUNCTION("""COMPUTED_VALUE"""),"Male")</f>
        <v>Male</v>
      </c>
      <c r="D1513" s="5"/>
      <c r="E1513" s="5" t="str">
        <f ca="1">IFERROR(__xludf.DUMMYFUNCTION("""COMPUTED_VALUE"""),"Student")</f>
        <v>Student</v>
      </c>
      <c r="F1513" s="5" t="str">
        <f ca="1">IFERROR(__xludf.DUMMYFUNCTION("""COMPUTED_VALUE"""),"Suicide")</f>
        <v>Suicide</v>
      </c>
      <c r="G1513" s="5" t="str">
        <f ca="1">IFERROR(__xludf.DUMMYFUNCTION("""COMPUTED_VALUE"""),"Yes")</f>
        <v>Yes</v>
      </c>
      <c r="H1513" s="5" t="str">
        <f ca="1">IFERROR(__xludf.DUMMYFUNCTION("""COMPUTED_VALUE"""),"Suicide")</f>
        <v>Suicide</v>
      </c>
    </row>
    <row r="1514" spans="1:8" ht="13">
      <c r="A1514" s="5" t="str">
        <f ca="1">IFERROR(__xludf.DUMMYFUNCTION("""COMPUTED_VALUE"""),"20080416CAROF")</f>
        <v>20080416CAROF</v>
      </c>
      <c r="B1514" s="5" t="str">
        <f ca="1">IFERROR(__xludf.DUMMYFUNCTION("""COMPUTED_VALUE"""),"Adult")</f>
        <v>Adult</v>
      </c>
      <c r="C1514" s="5"/>
      <c r="D1514" s="5"/>
      <c r="E1514" s="5" t="str">
        <f ca="1">IFERROR(__xludf.DUMMYFUNCTION("""COMPUTED_VALUE"""),"Police Officer/SRO")</f>
        <v>Police Officer/SRO</v>
      </c>
      <c r="F1514" s="5" t="str">
        <f ca="1">IFERROR(__xludf.DUMMYFUNCTION("""COMPUTED_VALUE"""),"Law Enforcement")</f>
        <v>Law Enforcement</v>
      </c>
      <c r="G1514" s="5" t="str">
        <f ca="1">IFERROR(__xludf.DUMMYFUNCTION("""COMPUTED_VALUE"""),"No")</f>
        <v>No</v>
      </c>
      <c r="H1514" s="5" t="str">
        <f ca="1">IFERROR(__xludf.DUMMYFUNCTION("""COMPUTED_VALUE"""),"None")</f>
        <v>None</v>
      </c>
    </row>
    <row r="1515" spans="1:8" ht="13">
      <c r="A1515" s="5" t="str">
        <f ca="1">IFERROR(__xludf.DUMMYFUNCTION("""COMPUTED_VALUE"""),"20080306ALDAM")</f>
        <v>20080306ALDAM</v>
      </c>
      <c r="B1515" s="5">
        <f ca="1">IFERROR(__xludf.DUMMYFUNCTION("""COMPUTED_VALUE"""),18)</f>
        <v>18</v>
      </c>
      <c r="C1515" s="5" t="str">
        <f ca="1">IFERROR(__xludf.DUMMYFUNCTION("""COMPUTED_VALUE"""),"Male")</f>
        <v>Male</v>
      </c>
      <c r="D1515" s="5"/>
      <c r="E1515" s="5" t="str">
        <f ca="1">IFERROR(__xludf.DUMMYFUNCTION("""COMPUTED_VALUE"""),"Student")</f>
        <v>Student</v>
      </c>
      <c r="F1515" s="5" t="str">
        <f ca="1">IFERROR(__xludf.DUMMYFUNCTION("""COMPUTED_VALUE"""),"Suicide")</f>
        <v>Suicide</v>
      </c>
      <c r="G1515" s="5" t="str">
        <f ca="1">IFERROR(__xludf.DUMMYFUNCTION("""COMPUTED_VALUE"""),"Yes")</f>
        <v>Yes</v>
      </c>
      <c r="H1515" s="5" t="str">
        <f ca="1">IFERROR(__xludf.DUMMYFUNCTION("""COMPUTED_VALUE"""),"Suicide")</f>
        <v>Suicide</v>
      </c>
    </row>
    <row r="1516" spans="1:8" ht="13">
      <c r="A1516" s="5" t="str">
        <f ca="1">IFERROR(__xludf.DUMMYFUNCTION("""COMPUTED_VALUE"""),"20080214CAEOO")</f>
        <v>20080214CAEOO</v>
      </c>
      <c r="B1516" s="5">
        <f ca="1">IFERROR(__xludf.DUMMYFUNCTION("""COMPUTED_VALUE"""),14)</f>
        <v>14</v>
      </c>
      <c r="C1516" s="5" t="str">
        <f ca="1">IFERROR(__xludf.DUMMYFUNCTION("""COMPUTED_VALUE"""),"Male")</f>
        <v>Male</v>
      </c>
      <c r="D1516" s="5"/>
      <c r="E1516" s="5" t="str">
        <f ca="1">IFERROR(__xludf.DUMMYFUNCTION("""COMPUTED_VALUE"""),"Student")</f>
        <v>Student</v>
      </c>
      <c r="F1516" s="5" t="str">
        <f ca="1">IFERROR(__xludf.DUMMYFUNCTION("""COMPUTED_VALUE"""),"Fled/Apprehended")</f>
        <v>Fled/Apprehended</v>
      </c>
      <c r="G1516" s="5" t="str">
        <f ca="1">IFERROR(__xludf.DUMMYFUNCTION("""COMPUTED_VALUE"""),"No")</f>
        <v>No</v>
      </c>
      <c r="H1516" s="5" t="str">
        <f ca="1">IFERROR(__xludf.DUMMYFUNCTION("""COMPUTED_VALUE"""),"None")</f>
        <v>None</v>
      </c>
    </row>
    <row r="1517" spans="1:8" ht="13">
      <c r="A1517" s="5" t="str">
        <f ca="1">IFERROR(__xludf.DUMMYFUNCTION("""COMPUTED_VALUE"""),"20080211TNMIM")</f>
        <v>20080211TNMIM</v>
      </c>
      <c r="B1517" s="5">
        <f ca="1">IFERROR(__xludf.DUMMYFUNCTION("""COMPUTED_VALUE"""),17)</f>
        <v>17</v>
      </c>
      <c r="C1517" s="5" t="str">
        <f ca="1">IFERROR(__xludf.DUMMYFUNCTION("""COMPUTED_VALUE"""),"Male")</f>
        <v>Male</v>
      </c>
      <c r="D1517" s="5"/>
      <c r="E1517" s="5" t="str">
        <f ca="1">IFERROR(__xludf.DUMMYFUNCTION("""COMPUTED_VALUE"""),"Student")</f>
        <v>Student</v>
      </c>
      <c r="F1517" s="5" t="str">
        <f ca="1">IFERROR(__xludf.DUMMYFUNCTION("""COMPUTED_VALUE"""),"Surrendered")</f>
        <v>Surrendered</v>
      </c>
      <c r="G1517" s="5" t="str">
        <f ca="1">IFERROR(__xludf.DUMMYFUNCTION("""COMPUTED_VALUE"""),"No")</f>
        <v>No</v>
      </c>
      <c r="H1517" s="5" t="str">
        <f ca="1">IFERROR(__xludf.DUMMYFUNCTION("""COMPUTED_VALUE"""),"None")</f>
        <v>None</v>
      </c>
    </row>
    <row r="1518" spans="1:8" ht="13">
      <c r="A1518" s="5" t="str">
        <f ca="1">IFERROR(__xludf.DUMMYFUNCTION("""COMPUTED_VALUE"""),"20080204TNHAM")</f>
        <v>20080204TNHAM</v>
      </c>
      <c r="B1518" s="5">
        <f ca="1">IFERROR(__xludf.DUMMYFUNCTION("""COMPUTED_VALUE"""),16)</f>
        <v>16</v>
      </c>
      <c r="C1518" s="5" t="str">
        <f ca="1">IFERROR(__xludf.DUMMYFUNCTION("""COMPUTED_VALUE"""),"Male")</f>
        <v>Male</v>
      </c>
      <c r="D1518" s="5" t="str">
        <f ca="1">IFERROR(__xludf.DUMMYFUNCTION("""COMPUTED_VALUE"""),"Black")</f>
        <v>Black</v>
      </c>
      <c r="E1518" s="5" t="str">
        <f ca="1">IFERROR(__xludf.DUMMYFUNCTION("""COMPUTED_VALUE"""),"Student")</f>
        <v>Student</v>
      </c>
      <c r="F1518" s="5" t="str">
        <f ca="1">IFERROR(__xludf.DUMMYFUNCTION("""COMPUTED_VALUE"""),"Fled/Apprehended")</f>
        <v>Fled/Apprehended</v>
      </c>
      <c r="G1518" s="5" t="str">
        <f ca="1">IFERROR(__xludf.DUMMYFUNCTION("""COMPUTED_VALUE"""),"No")</f>
        <v>No</v>
      </c>
      <c r="H1518" s="5" t="str">
        <f ca="1">IFERROR(__xludf.DUMMYFUNCTION("""COMPUTED_VALUE"""),"None")</f>
        <v>None</v>
      </c>
    </row>
    <row r="1519" spans="1:8" ht="13">
      <c r="A1519" s="5" t="str">
        <f ca="1">IFERROR(__xludf.DUMMYFUNCTION("""COMPUTED_VALUE"""),"20071221CABAU")</f>
        <v>20071221CABAU</v>
      </c>
      <c r="B1519" s="5">
        <f ca="1">IFERROR(__xludf.DUMMYFUNCTION("""COMPUTED_VALUE"""),21)</f>
        <v>21</v>
      </c>
      <c r="C1519" s="5" t="str">
        <f ca="1">IFERROR(__xludf.DUMMYFUNCTION("""COMPUTED_VALUE"""),"Male")</f>
        <v>Male</v>
      </c>
      <c r="D1519" s="5" t="str">
        <f ca="1">IFERROR(__xludf.DUMMYFUNCTION("""COMPUTED_VALUE"""),"Hispanic")</f>
        <v>Hispanic</v>
      </c>
      <c r="E1519" s="5" t="str">
        <f ca="1">IFERROR(__xludf.DUMMYFUNCTION("""COMPUTED_VALUE"""),"No Relation")</f>
        <v>No Relation</v>
      </c>
      <c r="F1519" s="5" t="str">
        <f ca="1">IFERROR(__xludf.DUMMYFUNCTION("""COMPUTED_VALUE"""),"Fled/Apprehended")</f>
        <v>Fled/Apprehended</v>
      </c>
      <c r="G1519" s="5" t="str">
        <f ca="1">IFERROR(__xludf.DUMMYFUNCTION("""COMPUTED_VALUE"""),"No")</f>
        <v>No</v>
      </c>
      <c r="H1519" s="5" t="str">
        <f ca="1">IFERROR(__xludf.DUMMYFUNCTION("""COMPUTED_VALUE"""),"None")</f>
        <v>None</v>
      </c>
    </row>
    <row r="1520" spans="1:8" ht="13">
      <c r="A1520" s="5" t="str">
        <f ca="1">IFERROR(__xludf.DUMMYFUNCTION("""COMPUTED_VALUE"""),"20071126NYHOH")</f>
        <v>20071126NYHOH</v>
      </c>
      <c r="B1520" s="5">
        <f ca="1">IFERROR(__xludf.DUMMYFUNCTION("""COMPUTED_VALUE"""),17)</f>
        <v>17</v>
      </c>
      <c r="C1520" s="5" t="str">
        <f ca="1">IFERROR(__xludf.DUMMYFUNCTION("""COMPUTED_VALUE"""),"Male")</f>
        <v>Male</v>
      </c>
      <c r="D1520" s="5" t="str">
        <f ca="1">IFERROR(__xludf.DUMMYFUNCTION("""COMPUTED_VALUE"""),"White")</f>
        <v>White</v>
      </c>
      <c r="E1520" s="5" t="str">
        <f ca="1">IFERROR(__xludf.DUMMYFUNCTION("""COMPUTED_VALUE"""),"Student")</f>
        <v>Student</v>
      </c>
      <c r="F1520" s="5" t="str">
        <f ca="1">IFERROR(__xludf.DUMMYFUNCTION("""COMPUTED_VALUE"""),"Unknown")</f>
        <v>Unknown</v>
      </c>
      <c r="G1520" s="5" t="str">
        <f ca="1">IFERROR(__xludf.DUMMYFUNCTION("""COMPUTED_VALUE"""),"No")</f>
        <v>No</v>
      </c>
      <c r="H1520" s="5" t="str">
        <f ca="1">IFERROR(__xludf.DUMMYFUNCTION("""COMPUTED_VALUE"""),"None")</f>
        <v>None</v>
      </c>
    </row>
    <row r="1521" spans="1:8" ht="13">
      <c r="A1521" s="5" t="str">
        <f ca="1">IFERROR(__xludf.DUMMYFUNCTION("""COMPUTED_VALUE"""),"20071105LAJOR")</f>
        <v>20071105LAJOR</v>
      </c>
      <c r="B1521" s="5">
        <f ca="1">IFERROR(__xludf.DUMMYFUNCTION("""COMPUTED_VALUE"""),13)</f>
        <v>13</v>
      </c>
      <c r="C1521" s="5" t="str">
        <f ca="1">IFERROR(__xludf.DUMMYFUNCTION("""COMPUTED_VALUE"""),"Male")</f>
        <v>Male</v>
      </c>
      <c r="D1521" s="5"/>
      <c r="E1521" s="5" t="str">
        <f ca="1">IFERROR(__xludf.DUMMYFUNCTION("""COMPUTED_VALUE"""),"Student")</f>
        <v>Student</v>
      </c>
      <c r="F1521" s="5" t="str">
        <f ca="1">IFERROR(__xludf.DUMMYFUNCTION("""COMPUTED_VALUE"""),"Suicide")</f>
        <v>Suicide</v>
      </c>
      <c r="G1521" s="5" t="str">
        <f ca="1">IFERROR(__xludf.DUMMYFUNCTION("""COMPUTED_VALUE"""),"Yes")</f>
        <v>Yes</v>
      </c>
      <c r="H1521" s="5" t="str">
        <f ca="1">IFERROR(__xludf.DUMMYFUNCTION("""COMPUTED_VALUE"""),"Suicide")</f>
        <v>Suicide</v>
      </c>
    </row>
    <row r="1522" spans="1:8" ht="13">
      <c r="A1522" s="5" t="str">
        <f ca="1">IFERROR(__xludf.DUMMYFUNCTION("""COMPUTED_VALUE"""),"20071024TNMAM")</f>
        <v>20071024TNMAM</v>
      </c>
      <c r="B1522" s="5">
        <f ca="1">IFERROR(__xludf.DUMMYFUNCTION("""COMPUTED_VALUE"""),15)</f>
        <v>15</v>
      </c>
      <c r="C1522" s="5" t="str">
        <f ca="1">IFERROR(__xludf.DUMMYFUNCTION("""COMPUTED_VALUE"""),"Male")</f>
        <v>Male</v>
      </c>
      <c r="D1522" s="5"/>
      <c r="E1522" s="5" t="str">
        <f ca="1">IFERROR(__xludf.DUMMYFUNCTION("""COMPUTED_VALUE"""),"Student")</f>
        <v>Student</v>
      </c>
      <c r="F1522" s="5" t="str">
        <f ca="1">IFERROR(__xludf.DUMMYFUNCTION("""COMPUTED_VALUE"""),"Unknown")</f>
        <v>Unknown</v>
      </c>
      <c r="G1522" s="5" t="str">
        <f ca="1">IFERROR(__xludf.DUMMYFUNCTION("""COMPUTED_VALUE"""),"No")</f>
        <v>No</v>
      </c>
      <c r="H1522" s="5" t="str">
        <f ca="1">IFERROR(__xludf.DUMMYFUNCTION("""COMPUTED_VALUE"""),"None")</f>
        <v>None</v>
      </c>
    </row>
    <row r="1523" spans="1:8" ht="13">
      <c r="A1523" s="5" t="str">
        <f ca="1">IFERROR(__xludf.DUMMYFUNCTION("""COMPUTED_VALUE"""),"20071010OHSUC")</f>
        <v>20071010OHSUC</v>
      </c>
      <c r="B1523" s="5">
        <f ca="1">IFERROR(__xludf.DUMMYFUNCTION("""COMPUTED_VALUE"""),14)</f>
        <v>14</v>
      </c>
      <c r="C1523" s="5" t="str">
        <f ca="1">IFERROR(__xludf.DUMMYFUNCTION("""COMPUTED_VALUE"""),"Male")</f>
        <v>Male</v>
      </c>
      <c r="D1523" s="5" t="str">
        <f ca="1">IFERROR(__xludf.DUMMYFUNCTION("""COMPUTED_VALUE"""),"White")</f>
        <v>White</v>
      </c>
      <c r="E1523" s="5" t="str">
        <f ca="1">IFERROR(__xludf.DUMMYFUNCTION("""COMPUTED_VALUE"""),"Student")</f>
        <v>Student</v>
      </c>
      <c r="F1523" s="5" t="str">
        <f ca="1">IFERROR(__xludf.DUMMYFUNCTION("""COMPUTED_VALUE"""),"Suicide")</f>
        <v>Suicide</v>
      </c>
      <c r="G1523" s="5" t="str">
        <f ca="1">IFERROR(__xludf.DUMMYFUNCTION("""COMPUTED_VALUE"""),"Yes")</f>
        <v>Yes</v>
      </c>
      <c r="H1523" s="5" t="str">
        <f ca="1">IFERROR(__xludf.DUMMYFUNCTION("""COMPUTED_VALUE"""),"Suicide")</f>
        <v>Suicide</v>
      </c>
    </row>
    <row r="1524" spans="1:8" ht="13">
      <c r="A1524" s="5" t="str">
        <f ca="1">IFERROR(__xludf.DUMMYFUNCTION("""COMPUTED_VALUE"""),"20071001CTPLM")</f>
        <v>20071001CTPLM</v>
      </c>
      <c r="B1524" s="5">
        <f ca="1">IFERROR(__xludf.DUMMYFUNCTION("""COMPUTED_VALUE"""),15)</f>
        <v>15</v>
      </c>
      <c r="C1524" s="5" t="str">
        <f ca="1">IFERROR(__xludf.DUMMYFUNCTION("""COMPUTED_VALUE"""),"Male")</f>
        <v>Male</v>
      </c>
      <c r="D1524" s="5"/>
      <c r="E1524" s="5" t="str">
        <f ca="1">IFERROR(__xludf.DUMMYFUNCTION("""COMPUTED_VALUE"""),"Student")</f>
        <v>Student</v>
      </c>
      <c r="F1524" s="5" t="str">
        <f ca="1">IFERROR(__xludf.DUMMYFUNCTION("""COMPUTED_VALUE"""),"Fled/Apprehended")</f>
        <v>Fled/Apprehended</v>
      </c>
      <c r="G1524" s="5" t="str">
        <f ca="1">IFERROR(__xludf.DUMMYFUNCTION("""COMPUTED_VALUE"""),"No")</f>
        <v>No</v>
      </c>
      <c r="H1524" s="5" t="str">
        <f ca="1">IFERROR(__xludf.DUMMYFUNCTION("""COMPUTED_VALUE"""),"None")</f>
        <v>None</v>
      </c>
    </row>
    <row r="1525" spans="1:8" ht="13">
      <c r="A1525" s="5" t="str">
        <f ca="1">IFERROR(__xludf.DUMMYFUNCTION("""COMPUTED_VALUE"""),"20070930AZSSP")</f>
        <v>20070930AZSSP</v>
      </c>
      <c r="B1525" s="5">
        <f ca="1">IFERROR(__xludf.DUMMYFUNCTION("""COMPUTED_VALUE"""),18)</f>
        <v>18</v>
      </c>
      <c r="C1525" s="5" t="str">
        <f ca="1">IFERROR(__xludf.DUMMYFUNCTION("""COMPUTED_VALUE"""),"Male")</f>
        <v>Male</v>
      </c>
      <c r="D1525" s="5" t="str">
        <f ca="1">IFERROR(__xludf.DUMMYFUNCTION("""COMPUTED_VALUE"""),"Other")</f>
        <v>Other</v>
      </c>
      <c r="E1525" s="5" t="str">
        <f ca="1">IFERROR(__xludf.DUMMYFUNCTION("""COMPUTED_VALUE"""),"Unknown")</f>
        <v>Unknown</v>
      </c>
      <c r="F1525" s="5" t="str">
        <f ca="1">IFERROR(__xludf.DUMMYFUNCTION("""COMPUTED_VALUE"""),"Fled/Escaped")</f>
        <v>Fled/Escaped</v>
      </c>
      <c r="G1525" s="5" t="str">
        <f ca="1">IFERROR(__xludf.DUMMYFUNCTION("""COMPUTED_VALUE"""),"No")</f>
        <v>No</v>
      </c>
      <c r="H1525" s="5" t="str">
        <f ca="1">IFERROR(__xludf.DUMMYFUNCTION("""COMPUTED_VALUE"""),"None")</f>
        <v>None</v>
      </c>
    </row>
    <row r="1526" spans="1:8" ht="13">
      <c r="A1526" s="5" t="str">
        <f ca="1">IFERROR(__xludf.DUMMYFUNCTION("""COMPUTED_VALUE"""),"20070928CALAO")</f>
        <v>20070928CALAO</v>
      </c>
      <c r="B1526" s="5">
        <f ca="1">IFERROR(__xludf.DUMMYFUNCTION("""COMPUTED_VALUE"""),17)</f>
        <v>17</v>
      </c>
      <c r="C1526" s="5" t="str">
        <f ca="1">IFERROR(__xludf.DUMMYFUNCTION("""COMPUTED_VALUE"""),"Male")</f>
        <v>Male</v>
      </c>
      <c r="D1526" s="5" t="str">
        <f ca="1">IFERROR(__xludf.DUMMYFUNCTION("""COMPUTED_VALUE"""),"White")</f>
        <v>White</v>
      </c>
      <c r="E1526" s="5" t="str">
        <f ca="1">IFERROR(__xludf.DUMMYFUNCTION("""COMPUTED_VALUE"""),"Student")</f>
        <v>Student</v>
      </c>
      <c r="F1526" s="5" t="str">
        <f ca="1">IFERROR(__xludf.DUMMYFUNCTION("""COMPUTED_VALUE"""),"Surrendered")</f>
        <v>Surrendered</v>
      </c>
      <c r="G1526" s="5" t="str">
        <f ca="1">IFERROR(__xludf.DUMMYFUNCTION("""COMPUTED_VALUE"""),"No")</f>
        <v>No</v>
      </c>
      <c r="H1526" s="5" t="str">
        <f ca="1">IFERROR(__xludf.DUMMYFUNCTION("""COMPUTED_VALUE"""),"None")</f>
        <v>None</v>
      </c>
    </row>
    <row r="1527" spans="1:8" ht="13">
      <c r="A1527" s="5" t="str">
        <f ca="1">IFERROR(__xludf.DUMMYFUNCTION("""COMPUTED_VALUE"""),"20070804NJMON")</f>
        <v>20070804NJMON</v>
      </c>
      <c r="B1527" s="5">
        <f ca="1">IFERROR(__xludf.DUMMYFUNCTION("""COMPUTED_VALUE"""),19)</f>
        <v>19</v>
      </c>
      <c r="C1527" s="5" t="str">
        <f ca="1">IFERROR(__xludf.DUMMYFUNCTION("""COMPUTED_VALUE"""),"Male")</f>
        <v>Male</v>
      </c>
      <c r="D1527" s="5"/>
      <c r="E1527" s="5" t="str">
        <f ca="1">IFERROR(__xludf.DUMMYFUNCTION("""COMPUTED_VALUE"""),"Unknown")</f>
        <v>Unknown</v>
      </c>
      <c r="F1527" s="5" t="str">
        <f ca="1">IFERROR(__xludf.DUMMYFUNCTION("""COMPUTED_VALUE"""),"Fled/Apprehended")</f>
        <v>Fled/Apprehended</v>
      </c>
      <c r="G1527" s="5" t="str">
        <f ca="1">IFERROR(__xludf.DUMMYFUNCTION("""COMPUTED_VALUE"""),"No")</f>
        <v>No</v>
      </c>
      <c r="H1527" s="5" t="str">
        <f ca="1">IFERROR(__xludf.DUMMYFUNCTION("""COMPUTED_VALUE"""),"None")</f>
        <v>None</v>
      </c>
    </row>
    <row r="1528" spans="1:8" ht="13">
      <c r="A1528" s="5" t="str">
        <f ca="1">IFERROR(__xludf.DUMMYFUNCTION("""COMPUTED_VALUE"""),"20070709ILCAC")</f>
        <v>20070709ILCAC</v>
      </c>
      <c r="B1528" s="5"/>
      <c r="C1528" s="5" t="str">
        <f ca="1">IFERROR(__xludf.DUMMYFUNCTION("""COMPUTED_VALUE"""),"Male")</f>
        <v>Male</v>
      </c>
      <c r="D1528" s="5"/>
      <c r="E1528" s="5" t="str">
        <f ca="1">IFERROR(__xludf.DUMMYFUNCTION("""COMPUTED_VALUE"""),"Unknown")</f>
        <v>Unknown</v>
      </c>
      <c r="F1528" s="5" t="str">
        <f ca="1">IFERROR(__xludf.DUMMYFUNCTION("""COMPUTED_VALUE"""),"Fled/Escaped")</f>
        <v>Fled/Escaped</v>
      </c>
      <c r="G1528" s="5" t="str">
        <f ca="1">IFERROR(__xludf.DUMMYFUNCTION("""COMPUTED_VALUE"""),"No")</f>
        <v>No</v>
      </c>
      <c r="H1528" s="5" t="str">
        <f ca="1">IFERROR(__xludf.DUMMYFUNCTION("""COMPUTED_VALUE"""),"None")</f>
        <v>None</v>
      </c>
    </row>
    <row r="1529" spans="1:8" ht="13">
      <c r="A1529" s="5" t="str">
        <f ca="1">IFERROR(__xludf.DUMMYFUNCTION("""COMPUTED_VALUE"""),"20070628TXDAD")</f>
        <v>20070628TXDAD</v>
      </c>
      <c r="B1529" s="5">
        <f ca="1">IFERROR(__xludf.DUMMYFUNCTION("""COMPUTED_VALUE"""),17)</f>
        <v>17</v>
      </c>
      <c r="C1529" s="5" t="str">
        <f ca="1">IFERROR(__xludf.DUMMYFUNCTION("""COMPUTED_VALUE"""),"Male")</f>
        <v>Male</v>
      </c>
      <c r="D1529" s="5"/>
      <c r="E1529" s="5" t="str">
        <f ca="1">IFERROR(__xludf.DUMMYFUNCTION("""COMPUTED_VALUE"""),"Rival School Student")</f>
        <v>Rival School Student</v>
      </c>
      <c r="F1529" s="5" t="str">
        <f ca="1">IFERROR(__xludf.DUMMYFUNCTION("""COMPUTED_VALUE"""),"Fled/Apprehended")</f>
        <v>Fled/Apprehended</v>
      </c>
      <c r="G1529" s="5" t="str">
        <f ca="1">IFERROR(__xludf.DUMMYFUNCTION("""COMPUTED_VALUE"""),"No")</f>
        <v>No</v>
      </c>
      <c r="H1529" s="5" t="str">
        <f ca="1">IFERROR(__xludf.DUMMYFUNCTION("""COMPUTED_VALUE"""),"None")</f>
        <v>None</v>
      </c>
    </row>
    <row r="1530" spans="1:8" ht="13">
      <c r="A1530" s="5" t="str">
        <f ca="1">IFERROR(__xludf.DUMMYFUNCTION("""COMPUTED_VALUE"""),"20070617SCBRB")</f>
        <v>20070617SCBRB</v>
      </c>
      <c r="B1530" s="5">
        <f ca="1">IFERROR(__xludf.DUMMYFUNCTION("""COMPUTED_VALUE"""),21)</f>
        <v>21</v>
      </c>
      <c r="C1530" s="5" t="str">
        <f ca="1">IFERROR(__xludf.DUMMYFUNCTION("""COMPUTED_VALUE"""),"Male")</f>
        <v>Male</v>
      </c>
      <c r="D1530" s="5"/>
      <c r="E1530" s="5" t="str">
        <f ca="1">IFERROR(__xludf.DUMMYFUNCTION("""COMPUTED_VALUE"""),"No Relation")</f>
        <v>No Relation</v>
      </c>
      <c r="F1530" s="5" t="str">
        <f ca="1">IFERROR(__xludf.DUMMYFUNCTION("""COMPUTED_VALUE"""),"Surrendered")</f>
        <v>Surrendered</v>
      </c>
      <c r="G1530" s="5" t="str">
        <f ca="1">IFERROR(__xludf.DUMMYFUNCTION("""COMPUTED_VALUE"""),"No")</f>
        <v>No</v>
      </c>
      <c r="H1530" s="5" t="str">
        <f ca="1">IFERROR(__xludf.DUMMYFUNCTION("""COMPUTED_VALUE"""),"None")</f>
        <v>None</v>
      </c>
    </row>
    <row r="1531" spans="1:8" ht="13">
      <c r="A1531" s="5" t="str">
        <f ca="1">IFERROR(__xludf.DUMMYFUNCTION("""COMPUTED_VALUE"""),"20070531NCNOG")</f>
        <v>20070531NCNOG</v>
      </c>
      <c r="B1531" s="5"/>
      <c r="C1531" s="5" t="str">
        <f ca="1">IFERROR(__xludf.DUMMYFUNCTION("""COMPUTED_VALUE"""),"Male")</f>
        <v>Male</v>
      </c>
      <c r="D1531" s="5"/>
      <c r="E1531" s="5" t="str">
        <f ca="1">IFERROR(__xludf.DUMMYFUNCTION("""COMPUTED_VALUE"""),"Unknown")</f>
        <v>Unknown</v>
      </c>
      <c r="F1531" s="5" t="str">
        <f ca="1">IFERROR(__xludf.DUMMYFUNCTION("""COMPUTED_VALUE"""),"Fled/Escaped")</f>
        <v>Fled/Escaped</v>
      </c>
      <c r="G1531" s="5" t="str">
        <f ca="1">IFERROR(__xludf.DUMMYFUNCTION("""COMPUTED_VALUE"""),"No")</f>
        <v>No</v>
      </c>
      <c r="H1531" s="5" t="str">
        <f ca="1">IFERROR(__xludf.DUMMYFUNCTION("""COMPUTED_VALUE"""),"None")</f>
        <v>None</v>
      </c>
    </row>
    <row r="1532" spans="1:8" ht="13">
      <c r="A1532" s="5" t="str">
        <f ca="1">IFERROR(__xludf.DUMMYFUNCTION("""COMPUTED_VALUE"""),"20070530NCVAG")</f>
        <v>20070530NCVAG</v>
      </c>
      <c r="B1532" s="5"/>
      <c r="C1532" s="5" t="str">
        <f ca="1">IFERROR(__xludf.DUMMYFUNCTION("""COMPUTED_VALUE"""),"Male")</f>
        <v>Male</v>
      </c>
      <c r="D1532" s="5"/>
      <c r="E1532" s="5" t="str">
        <f ca="1">IFERROR(__xludf.DUMMYFUNCTION("""COMPUTED_VALUE"""),"Unknown")</f>
        <v>Unknown</v>
      </c>
      <c r="F1532" s="5" t="str">
        <f ca="1">IFERROR(__xludf.DUMMYFUNCTION("""COMPUTED_VALUE"""),"Fled/Escaped")</f>
        <v>Fled/Escaped</v>
      </c>
      <c r="G1532" s="5" t="str">
        <f ca="1">IFERROR(__xludf.DUMMYFUNCTION("""COMPUTED_VALUE"""),"No")</f>
        <v>No</v>
      </c>
      <c r="H1532" s="5" t="str">
        <f ca="1">IFERROR(__xludf.DUMMYFUNCTION("""COMPUTED_VALUE"""),"None")</f>
        <v>None</v>
      </c>
    </row>
    <row r="1533" spans="1:8" ht="13">
      <c r="A1533" s="5" t="str">
        <f ca="1">IFERROR(__xludf.DUMMYFUNCTION("""COMPUTED_VALUE"""),"20070523RIOAC")</f>
        <v>20070523RIOAC</v>
      </c>
      <c r="B1533" s="5">
        <f ca="1">IFERROR(__xludf.DUMMYFUNCTION("""COMPUTED_VALUE"""),11)</f>
        <v>11</v>
      </c>
      <c r="C1533" s="5" t="str">
        <f ca="1">IFERROR(__xludf.DUMMYFUNCTION("""COMPUTED_VALUE"""),"Male")</f>
        <v>Male</v>
      </c>
      <c r="D1533" s="5"/>
      <c r="E1533" s="5" t="str">
        <f ca="1">IFERROR(__xludf.DUMMYFUNCTION("""COMPUTED_VALUE"""),"Student")</f>
        <v>Student</v>
      </c>
      <c r="F1533" s="5" t="str">
        <f ca="1">IFERROR(__xludf.DUMMYFUNCTION("""COMPUTED_VALUE"""),"Subdued by Students/Staff/Other")</f>
        <v>Subdued by Students/Staff/Other</v>
      </c>
      <c r="G1533" s="5" t="str">
        <f ca="1">IFERROR(__xludf.DUMMYFUNCTION("""COMPUTED_VALUE"""),"No")</f>
        <v>No</v>
      </c>
      <c r="H1533" s="5" t="str">
        <f ca="1">IFERROR(__xludf.DUMMYFUNCTION("""COMPUTED_VALUE"""),"None")</f>
        <v>None</v>
      </c>
    </row>
    <row r="1534" spans="1:8" ht="13">
      <c r="A1534" s="5" t="str">
        <f ca="1">IFERROR(__xludf.DUMMYFUNCTION("""COMPUTED_VALUE"""),"20070515TXLIL")</f>
        <v>20070515TXLIL</v>
      </c>
      <c r="B1534" s="5">
        <f ca="1">IFERROR(__xludf.DUMMYFUNCTION("""COMPUTED_VALUE"""),14)</f>
        <v>14</v>
      </c>
      <c r="C1534" s="5" t="str">
        <f ca="1">IFERROR(__xludf.DUMMYFUNCTION("""COMPUTED_VALUE"""),"Male")</f>
        <v>Male</v>
      </c>
      <c r="D1534" s="5"/>
      <c r="E1534" s="5" t="str">
        <f ca="1">IFERROR(__xludf.DUMMYFUNCTION("""COMPUTED_VALUE"""),"Student")</f>
        <v>Student</v>
      </c>
      <c r="F1534" s="5" t="str">
        <f ca="1">IFERROR(__xludf.DUMMYFUNCTION("""COMPUTED_VALUE"""),"Surrendered")</f>
        <v>Surrendered</v>
      </c>
      <c r="G1534" s="5" t="str">
        <f ca="1">IFERROR(__xludf.DUMMYFUNCTION("""COMPUTED_VALUE"""),"No")</f>
        <v>No</v>
      </c>
      <c r="H1534" s="5" t="str">
        <f ca="1">IFERROR(__xludf.DUMMYFUNCTION("""COMPUTED_VALUE"""),"None")</f>
        <v>None</v>
      </c>
    </row>
    <row r="1535" spans="1:8" ht="13">
      <c r="A1535" s="5" t="str">
        <f ca="1">IFERROR(__xludf.DUMMYFUNCTION("""COMPUTED_VALUE"""),"20070512TXWEM")</f>
        <v>20070512TXWEM</v>
      </c>
      <c r="B1535" s="5">
        <f ca="1">IFERROR(__xludf.DUMMYFUNCTION("""COMPUTED_VALUE"""),17)</f>
        <v>17</v>
      </c>
      <c r="C1535" s="5" t="str">
        <f ca="1">IFERROR(__xludf.DUMMYFUNCTION("""COMPUTED_VALUE"""),"Male")</f>
        <v>Male</v>
      </c>
      <c r="D1535" s="5"/>
      <c r="E1535" s="5" t="str">
        <f ca="1">IFERROR(__xludf.DUMMYFUNCTION("""COMPUTED_VALUE"""),"Student")</f>
        <v>Student</v>
      </c>
      <c r="F1535" s="5" t="str">
        <f ca="1">IFERROR(__xludf.DUMMYFUNCTION("""COMPUTED_VALUE"""),"Fled/Apprehended")</f>
        <v>Fled/Apprehended</v>
      </c>
      <c r="G1535" s="5" t="str">
        <f ca="1">IFERROR(__xludf.DUMMYFUNCTION("""COMPUTED_VALUE"""),"No")</f>
        <v>No</v>
      </c>
      <c r="H1535" s="5" t="str">
        <f ca="1">IFERROR(__xludf.DUMMYFUNCTION("""COMPUTED_VALUE"""),"None")</f>
        <v>None</v>
      </c>
    </row>
    <row r="1536" spans="1:8" ht="13">
      <c r="A1536" s="5" t="str">
        <f ca="1">IFERROR(__xludf.DUMMYFUNCTION("""COMPUTED_VALUE"""),"20070510MIHED")</f>
        <v>20070510MIHED</v>
      </c>
      <c r="B1536" s="5"/>
      <c r="C1536" s="5"/>
      <c r="D1536" s="5"/>
      <c r="E1536" s="5" t="str">
        <f ca="1">IFERROR(__xludf.DUMMYFUNCTION("""COMPUTED_VALUE"""),"Unknown")</f>
        <v>Unknown</v>
      </c>
      <c r="F1536" s="5" t="str">
        <f ca="1">IFERROR(__xludf.DUMMYFUNCTION("""COMPUTED_VALUE"""),"Fled/Escaped")</f>
        <v>Fled/Escaped</v>
      </c>
      <c r="G1536" s="5" t="str">
        <f ca="1">IFERROR(__xludf.DUMMYFUNCTION("""COMPUTED_VALUE"""),"No")</f>
        <v>No</v>
      </c>
      <c r="H1536" s="5" t="str">
        <f ca="1">IFERROR(__xludf.DUMMYFUNCTION("""COMPUTED_VALUE"""),"Wounded")</f>
        <v>Wounded</v>
      </c>
    </row>
    <row r="1537" spans="1:8" ht="13">
      <c r="A1537" s="5" t="str">
        <f ca="1">IFERROR(__xludf.DUMMYFUNCTION("""COMPUTED_VALUE"""),"20070504TXTIE")</f>
        <v>20070504TXTIE</v>
      </c>
      <c r="B1537" s="5">
        <f ca="1">IFERROR(__xludf.DUMMYFUNCTION("""COMPUTED_VALUE"""),15)</f>
        <v>15</v>
      </c>
      <c r="C1537" s="5" t="str">
        <f ca="1">IFERROR(__xludf.DUMMYFUNCTION("""COMPUTED_VALUE"""),"Female")</f>
        <v>Female</v>
      </c>
      <c r="D1537" s="5"/>
      <c r="E1537" s="5" t="str">
        <f ca="1">IFERROR(__xludf.DUMMYFUNCTION("""COMPUTED_VALUE"""),"Student")</f>
        <v>Student</v>
      </c>
      <c r="F1537" s="5" t="str">
        <f ca="1">IFERROR(__xludf.DUMMYFUNCTION("""COMPUTED_VALUE"""),"Suicide")</f>
        <v>Suicide</v>
      </c>
      <c r="G1537" s="5" t="str">
        <f ca="1">IFERROR(__xludf.DUMMYFUNCTION("""COMPUTED_VALUE"""),"Yes")</f>
        <v>Yes</v>
      </c>
      <c r="H1537" s="5" t="str">
        <f ca="1">IFERROR(__xludf.DUMMYFUNCTION("""COMPUTED_VALUE"""),"Suicide")</f>
        <v>Suicide</v>
      </c>
    </row>
    <row r="1538" spans="1:8" ht="13">
      <c r="A1538" s="5" t="str">
        <f ca="1">IFERROR(__xludf.DUMMYFUNCTION("""COMPUTED_VALUE"""),"20070503OHGED")</f>
        <v>20070503OHGED</v>
      </c>
      <c r="B1538" s="5">
        <f ca="1">IFERROR(__xludf.DUMMYFUNCTION("""COMPUTED_VALUE"""),16)</f>
        <v>16</v>
      </c>
      <c r="C1538" s="5" t="str">
        <f ca="1">IFERROR(__xludf.DUMMYFUNCTION("""COMPUTED_VALUE"""),"Male")</f>
        <v>Male</v>
      </c>
      <c r="D1538" s="5"/>
      <c r="E1538" s="5" t="str">
        <f ca="1">IFERROR(__xludf.DUMMYFUNCTION("""COMPUTED_VALUE"""),"Unknown")</f>
        <v>Unknown</v>
      </c>
      <c r="F1538" s="5" t="str">
        <f ca="1">IFERROR(__xludf.DUMMYFUNCTION("""COMPUTED_VALUE"""),"Apprehended/Killed by LE")</f>
        <v>Apprehended/Killed by LE</v>
      </c>
      <c r="G1538" s="5" t="str">
        <f ca="1">IFERROR(__xludf.DUMMYFUNCTION("""COMPUTED_VALUE"""),"No")</f>
        <v>No</v>
      </c>
      <c r="H1538" s="5" t="str">
        <f ca="1">IFERROR(__xludf.DUMMYFUNCTION("""COMPUTED_VALUE"""),"None")</f>
        <v>None</v>
      </c>
    </row>
    <row r="1539" spans="1:8" ht="13">
      <c r="A1539" s="5" t="str">
        <f ca="1">IFERROR(__xludf.DUMMYFUNCTION("""COMPUTED_VALUE"""),"20070418NCNOH")</f>
        <v>20070418NCNOH</v>
      </c>
      <c r="B1539" s="5">
        <f ca="1">IFERROR(__xludf.DUMMYFUNCTION("""COMPUTED_VALUE"""),16)</f>
        <v>16</v>
      </c>
      <c r="C1539" s="5" t="str">
        <f ca="1">IFERROR(__xludf.DUMMYFUNCTION("""COMPUTED_VALUE"""),"Male")</f>
        <v>Male</v>
      </c>
      <c r="D1539" s="5"/>
      <c r="E1539" s="5" t="str">
        <f ca="1">IFERROR(__xludf.DUMMYFUNCTION("""COMPUTED_VALUE"""),"Student")</f>
        <v>Student</v>
      </c>
      <c r="F1539" s="5" t="str">
        <f ca="1">IFERROR(__xludf.DUMMYFUNCTION("""COMPUTED_VALUE"""),"Suicide")</f>
        <v>Suicide</v>
      </c>
      <c r="G1539" s="5" t="str">
        <f ca="1">IFERROR(__xludf.DUMMYFUNCTION("""COMPUTED_VALUE"""),"Yes")</f>
        <v>Yes</v>
      </c>
      <c r="H1539" s="5" t="str">
        <f ca="1">IFERROR(__xludf.DUMMYFUNCTION("""COMPUTED_VALUE"""),"Suicide")</f>
        <v>Suicide</v>
      </c>
    </row>
    <row r="1540" spans="1:8" ht="13">
      <c r="A1540" s="5" t="str">
        <f ca="1">IFERROR(__xludf.DUMMYFUNCTION("""COMPUTED_VALUE"""),"20070410ORSPG")</f>
        <v>20070410ORSPG</v>
      </c>
      <c r="B1540" s="5">
        <f ca="1">IFERROR(__xludf.DUMMYFUNCTION("""COMPUTED_VALUE"""),15)</f>
        <v>15</v>
      </c>
      <c r="C1540" s="5" t="str">
        <f ca="1">IFERROR(__xludf.DUMMYFUNCTION("""COMPUTED_VALUE"""),"Male")</f>
        <v>Male</v>
      </c>
      <c r="D1540" s="5"/>
      <c r="E1540" s="5" t="str">
        <f ca="1">IFERROR(__xludf.DUMMYFUNCTION("""COMPUTED_VALUE"""),"Student")</f>
        <v>Student</v>
      </c>
      <c r="F1540" s="5" t="str">
        <f ca="1">IFERROR(__xludf.DUMMYFUNCTION("""COMPUTED_VALUE"""),"Fled/Apprehended")</f>
        <v>Fled/Apprehended</v>
      </c>
      <c r="G1540" s="5" t="str">
        <f ca="1">IFERROR(__xludf.DUMMYFUNCTION("""COMPUTED_VALUE"""),"No")</f>
        <v>No</v>
      </c>
      <c r="H1540" s="5" t="str">
        <f ca="1">IFERROR(__xludf.DUMMYFUNCTION("""COMPUTED_VALUE"""),"None")</f>
        <v>None</v>
      </c>
    </row>
    <row r="1541" spans="1:8" ht="13">
      <c r="A1541" s="5" t="str">
        <f ca="1">IFERROR(__xludf.DUMMYFUNCTION("""COMPUTED_VALUE"""),"20070410ILCHC")</f>
        <v>20070410ILCHC</v>
      </c>
      <c r="B1541" s="5">
        <f ca="1">IFERROR(__xludf.DUMMYFUNCTION("""COMPUTED_VALUE"""),15)</f>
        <v>15</v>
      </c>
      <c r="C1541" s="5" t="str">
        <f ca="1">IFERROR(__xludf.DUMMYFUNCTION("""COMPUTED_VALUE"""),"Male")</f>
        <v>Male</v>
      </c>
      <c r="D1541" s="5"/>
      <c r="E1541" s="5" t="str">
        <f ca="1">IFERROR(__xludf.DUMMYFUNCTION("""COMPUTED_VALUE"""),"Student")</f>
        <v>Student</v>
      </c>
      <c r="F1541" s="5" t="str">
        <f ca="1">IFERROR(__xludf.DUMMYFUNCTION("""COMPUTED_VALUE"""),"Fled/Apprehended")</f>
        <v>Fled/Apprehended</v>
      </c>
      <c r="G1541" s="5" t="str">
        <f ca="1">IFERROR(__xludf.DUMMYFUNCTION("""COMPUTED_VALUE"""),"No")</f>
        <v>No</v>
      </c>
      <c r="H1541" s="5" t="str">
        <f ca="1">IFERROR(__xludf.DUMMYFUNCTION("""COMPUTED_VALUE"""),"None")</f>
        <v>None</v>
      </c>
    </row>
    <row r="1542" spans="1:8" ht="13">
      <c r="A1542" s="5" t="str">
        <f ca="1">IFERROR(__xludf.DUMMYFUNCTION("""COMPUTED_VALUE"""),"20070329SCMYM")</f>
        <v>20070329SCMYM</v>
      </c>
      <c r="B1542" s="5">
        <f ca="1">IFERROR(__xludf.DUMMYFUNCTION("""COMPUTED_VALUE"""),18)</f>
        <v>18</v>
      </c>
      <c r="C1542" s="5" t="str">
        <f ca="1">IFERROR(__xludf.DUMMYFUNCTION("""COMPUTED_VALUE"""),"Male")</f>
        <v>Male</v>
      </c>
      <c r="D1542" s="5"/>
      <c r="E1542" s="5" t="str">
        <f ca="1">IFERROR(__xludf.DUMMYFUNCTION("""COMPUTED_VALUE"""),"Student")</f>
        <v>Student</v>
      </c>
      <c r="F1542" s="5" t="str">
        <f ca="1">IFERROR(__xludf.DUMMYFUNCTION("""COMPUTED_VALUE"""),"Surrendered")</f>
        <v>Surrendered</v>
      </c>
      <c r="G1542" s="5" t="str">
        <f ca="1">IFERROR(__xludf.DUMMYFUNCTION("""COMPUTED_VALUE"""),"No")</f>
        <v>No</v>
      </c>
      <c r="H1542" s="5" t="str">
        <f ca="1">IFERROR(__xludf.DUMMYFUNCTION("""COMPUTED_VALUE"""),"Wounded")</f>
        <v>Wounded</v>
      </c>
    </row>
    <row r="1543" spans="1:8" ht="13">
      <c r="A1543" s="5" t="str">
        <f ca="1">IFERROR(__xludf.DUMMYFUNCTION("""COMPUTED_VALUE"""),"20070327CTSAH")</f>
        <v>20070327CTSAH</v>
      </c>
      <c r="B1543" s="5"/>
      <c r="C1543" s="5" t="str">
        <f ca="1">IFERROR(__xludf.DUMMYFUNCTION("""COMPUTED_VALUE"""),"Male")</f>
        <v>Male</v>
      </c>
      <c r="D1543" s="5"/>
      <c r="E1543" s="5" t="str">
        <f ca="1">IFERROR(__xludf.DUMMYFUNCTION("""COMPUTED_VALUE"""),"Unknown")</f>
        <v>Unknown</v>
      </c>
      <c r="F1543" s="5" t="str">
        <f ca="1">IFERROR(__xludf.DUMMYFUNCTION("""COMPUTED_VALUE"""),"Fled/Escaped")</f>
        <v>Fled/Escaped</v>
      </c>
      <c r="G1543" s="5" t="str">
        <f ca="1">IFERROR(__xludf.DUMMYFUNCTION("""COMPUTED_VALUE"""),"No")</f>
        <v>No</v>
      </c>
      <c r="H1543" s="5" t="str">
        <f ca="1">IFERROR(__xludf.DUMMYFUNCTION("""COMPUTED_VALUE"""),"None")</f>
        <v>None</v>
      </c>
    </row>
    <row r="1544" spans="1:8" ht="13">
      <c r="A1544" s="5" t="str">
        <f ca="1">IFERROR(__xludf.DUMMYFUNCTION("""COMPUTED_VALUE"""),"20070323FLUNO")</f>
        <v>20070323FLUNO</v>
      </c>
      <c r="B1544" s="5">
        <f ca="1">IFERROR(__xludf.DUMMYFUNCTION("""COMPUTED_VALUE"""),10)</f>
        <v>10</v>
      </c>
      <c r="C1544" s="5" t="str">
        <f ca="1">IFERROR(__xludf.DUMMYFUNCTION("""COMPUTED_VALUE"""),"Male")</f>
        <v>Male</v>
      </c>
      <c r="D1544" s="5"/>
      <c r="E1544" s="5" t="str">
        <f ca="1">IFERROR(__xludf.DUMMYFUNCTION("""COMPUTED_VALUE"""),"Student")</f>
        <v>Student</v>
      </c>
      <c r="F1544" s="5" t="str">
        <f ca="1">IFERROR(__xludf.DUMMYFUNCTION("""COMPUTED_VALUE"""),"Unknown")</f>
        <v>Unknown</v>
      </c>
      <c r="G1544" s="5" t="str">
        <f ca="1">IFERROR(__xludf.DUMMYFUNCTION("""COMPUTED_VALUE"""),"No")</f>
        <v>No</v>
      </c>
      <c r="H1544" s="5" t="str">
        <f ca="1">IFERROR(__xludf.DUMMYFUNCTION("""COMPUTED_VALUE"""),"None")</f>
        <v>None</v>
      </c>
    </row>
    <row r="1545" spans="1:8" ht="13">
      <c r="A1545" s="5" t="str">
        <f ca="1">IFERROR(__xludf.DUMMYFUNCTION("""COMPUTED_VALUE"""),"20070308TNEAC")</f>
        <v>20070308TNEAC</v>
      </c>
      <c r="B1545" s="5">
        <f ca="1">IFERROR(__xludf.DUMMYFUNCTION("""COMPUTED_VALUE"""),62)</f>
        <v>62</v>
      </c>
      <c r="C1545" s="5" t="str">
        <f ca="1">IFERROR(__xludf.DUMMYFUNCTION("""COMPUTED_VALUE"""),"Male")</f>
        <v>Male</v>
      </c>
      <c r="D1545" s="5"/>
      <c r="E1545" s="5" t="str">
        <f ca="1">IFERROR(__xludf.DUMMYFUNCTION("""COMPUTED_VALUE"""),"Other Staff")</f>
        <v>Other Staff</v>
      </c>
      <c r="F1545" s="5" t="str">
        <f ca="1">IFERROR(__xludf.DUMMYFUNCTION("""COMPUTED_VALUE"""),"Suicide")</f>
        <v>Suicide</v>
      </c>
      <c r="G1545" s="5" t="str">
        <f ca="1">IFERROR(__xludf.DUMMYFUNCTION("""COMPUTED_VALUE"""),"No")</f>
        <v>No</v>
      </c>
      <c r="H1545" s="5" t="str">
        <f ca="1">IFERROR(__xludf.DUMMYFUNCTION("""COMPUTED_VALUE"""),"Wounded")</f>
        <v>Wounded</v>
      </c>
    </row>
    <row r="1546" spans="1:8" ht="13">
      <c r="A1546" s="5" t="str">
        <f ca="1">IFERROR(__xludf.DUMMYFUNCTION("""COMPUTED_VALUE"""),"20070307TXGRG")</f>
        <v>20070307TXGRG</v>
      </c>
      <c r="B1546" s="5">
        <f ca="1">IFERROR(__xludf.DUMMYFUNCTION("""COMPUTED_VALUE"""),16)</f>
        <v>16</v>
      </c>
      <c r="C1546" s="5" t="str">
        <f ca="1">IFERROR(__xludf.DUMMYFUNCTION("""COMPUTED_VALUE"""),"Male")</f>
        <v>Male</v>
      </c>
      <c r="D1546" s="5"/>
      <c r="E1546" s="5" t="str">
        <f ca="1">IFERROR(__xludf.DUMMYFUNCTION("""COMPUTED_VALUE"""),"Student")</f>
        <v>Student</v>
      </c>
      <c r="F1546" s="5" t="str">
        <f ca="1">IFERROR(__xludf.DUMMYFUNCTION("""COMPUTED_VALUE"""),"Suicide")</f>
        <v>Suicide</v>
      </c>
      <c r="G1546" s="5" t="str">
        <f ca="1">IFERROR(__xludf.DUMMYFUNCTION("""COMPUTED_VALUE"""),"Yes")</f>
        <v>Yes</v>
      </c>
      <c r="H1546" s="5" t="str">
        <f ca="1">IFERROR(__xludf.DUMMYFUNCTION("""COMPUTED_VALUE"""),"Suicide")</f>
        <v>Suicide</v>
      </c>
    </row>
    <row r="1547" spans="1:8" ht="13">
      <c r="A1547" s="5" t="str">
        <f ca="1">IFERROR(__xludf.DUMMYFUNCTION("""COMPUTED_VALUE"""),"20070307MIHEM")</f>
        <v>20070307MIHEM</v>
      </c>
      <c r="B1547" s="5">
        <f ca="1">IFERROR(__xludf.DUMMYFUNCTION("""COMPUTED_VALUE"""),17)</f>
        <v>17</v>
      </c>
      <c r="C1547" s="5" t="str">
        <f ca="1">IFERROR(__xludf.DUMMYFUNCTION("""COMPUTED_VALUE"""),"Male")</f>
        <v>Male</v>
      </c>
      <c r="D1547" s="5"/>
      <c r="E1547" s="5" t="str">
        <f ca="1">IFERROR(__xludf.DUMMYFUNCTION("""COMPUTED_VALUE"""),"Intimate Relationship")</f>
        <v>Intimate Relationship</v>
      </c>
      <c r="F1547" s="5" t="str">
        <f ca="1">IFERROR(__xludf.DUMMYFUNCTION("""COMPUTED_VALUE"""),"Suicide")</f>
        <v>Suicide</v>
      </c>
      <c r="G1547" s="5" t="str">
        <f ca="1">IFERROR(__xludf.DUMMYFUNCTION("""COMPUTED_VALUE"""),"Yes")</f>
        <v>Yes</v>
      </c>
      <c r="H1547" s="5" t="str">
        <f ca="1">IFERROR(__xludf.DUMMYFUNCTION("""COMPUTED_VALUE"""),"Suicide")</f>
        <v>Suicide</v>
      </c>
    </row>
    <row r="1548" spans="1:8" ht="13">
      <c r="A1548" s="5" t="str">
        <f ca="1">IFERROR(__xludf.DUMMYFUNCTION("""COMPUTED_VALUE"""),"20070307CACEC")</f>
        <v>20070307CACEC</v>
      </c>
      <c r="B1548" s="5"/>
      <c r="C1548" s="5" t="str">
        <f ca="1">IFERROR(__xludf.DUMMYFUNCTION("""COMPUTED_VALUE"""),"Male")</f>
        <v>Male</v>
      </c>
      <c r="D1548" s="5"/>
      <c r="E1548" s="5" t="str">
        <f ca="1">IFERROR(__xludf.DUMMYFUNCTION("""COMPUTED_VALUE"""),"No Relation")</f>
        <v>No Relation</v>
      </c>
      <c r="F1548" s="5" t="str">
        <f ca="1">IFERROR(__xludf.DUMMYFUNCTION("""COMPUTED_VALUE"""),"Fled/Escaped")</f>
        <v>Fled/Escaped</v>
      </c>
      <c r="G1548" s="5" t="str">
        <f ca="1">IFERROR(__xludf.DUMMYFUNCTION("""COMPUTED_VALUE"""),"No")</f>
        <v>No</v>
      </c>
      <c r="H1548" s="5" t="str">
        <f ca="1">IFERROR(__xludf.DUMMYFUNCTION("""COMPUTED_VALUE"""),"None")</f>
        <v>None</v>
      </c>
    </row>
    <row r="1549" spans="1:8" ht="13">
      <c r="A1549" s="5" t="str">
        <f ca="1">IFERROR(__xludf.DUMMYFUNCTION("""COMPUTED_VALUE"""),"20070227GACLA")</f>
        <v>20070227GACLA</v>
      </c>
      <c r="B1549" s="5">
        <f ca="1">IFERROR(__xludf.DUMMYFUNCTION("""COMPUTED_VALUE"""),10)</f>
        <v>10</v>
      </c>
      <c r="C1549" s="5" t="str">
        <f ca="1">IFERROR(__xludf.DUMMYFUNCTION("""COMPUTED_VALUE"""),"Male")</f>
        <v>Male</v>
      </c>
      <c r="D1549" s="5"/>
      <c r="E1549" s="5" t="str">
        <f ca="1">IFERROR(__xludf.DUMMYFUNCTION("""COMPUTED_VALUE"""),"Student")</f>
        <v>Student</v>
      </c>
      <c r="F1549" s="5" t="str">
        <f ca="1">IFERROR(__xludf.DUMMYFUNCTION("""COMPUTED_VALUE"""),"Unknown")</f>
        <v>Unknown</v>
      </c>
      <c r="G1549" s="5" t="str">
        <f ca="1">IFERROR(__xludf.DUMMYFUNCTION("""COMPUTED_VALUE"""),"No")</f>
        <v>No</v>
      </c>
      <c r="H1549" s="5" t="str">
        <f ca="1">IFERROR(__xludf.DUMMYFUNCTION("""COMPUTED_VALUE"""),"None")</f>
        <v>None</v>
      </c>
    </row>
    <row r="1550" spans="1:8" ht="13">
      <c r="A1550" s="5" t="str">
        <f ca="1">IFERROR(__xludf.DUMMYFUNCTION("""COMPUTED_VALUE"""),"20070226CASLA")</f>
        <v>20070226CASLA</v>
      </c>
      <c r="B1550" s="5">
        <f ca="1">IFERROR(__xludf.DUMMYFUNCTION("""COMPUTED_VALUE"""),12)</f>
        <v>12</v>
      </c>
      <c r="C1550" s="5" t="str">
        <f ca="1">IFERROR(__xludf.DUMMYFUNCTION("""COMPUTED_VALUE"""),"Male")</f>
        <v>Male</v>
      </c>
      <c r="D1550" s="5"/>
      <c r="E1550" s="5" t="str">
        <f ca="1">IFERROR(__xludf.DUMMYFUNCTION("""COMPUTED_VALUE"""),"Student")</f>
        <v>Student</v>
      </c>
      <c r="F1550" s="5" t="str">
        <f ca="1">IFERROR(__xludf.DUMMYFUNCTION("""COMPUTED_VALUE"""),"Unknown")</f>
        <v>Unknown</v>
      </c>
      <c r="G1550" s="5" t="str">
        <f ca="1">IFERROR(__xludf.DUMMYFUNCTION("""COMPUTED_VALUE"""),"No")</f>
        <v>No</v>
      </c>
      <c r="H1550" s="5" t="str">
        <f ca="1">IFERROR(__xludf.DUMMYFUNCTION("""COMPUTED_VALUE"""),"None")</f>
        <v>None</v>
      </c>
    </row>
    <row r="1551" spans="1:8" ht="13">
      <c r="A1551" s="5" t="str">
        <f ca="1">IFERROR(__xludf.DUMMYFUNCTION("""COMPUTED_VALUE"""),"20070208TXSTP")</f>
        <v>20070208TXSTP</v>
      </c>
      <c r="B1551" s="5" t="str">
        <f ca="1">IFERROR(__xludf.DUMMYFUNCTION("""COMPUTED_VALUE"""),"Teen")</f>
        <v>Teen</v>
      </c>
      <c r="C1551" s="5" t="str">
        <f ca="1">IFERROR(__xludf.DUMMYFUNCTION("""COMPUTED_VALUE"""),"Male")</f>
        <v>Male</v>
      </c>
      <c r="D1551" s="5"/>
      <c r="E1551" s="5" t="str">
        <f ca="1">IFERROR(__xludf.DUMMYFUNCTION("""COMPUTED_VALUE"""),"Student")</f>
        <v>Student</v>
      </c>
      <c r="F1551" s="5" t="str">
        <f ca="1">IFERROR(__xludf.DUMMYFUNCTION("""COMPUTED_VALUE"""),"Unknown")</f>
        <v>Unknown</v>
      </c>
      <c r="G1551" s="5" t="str">
        <f ca="1">IFERROR(__xludf.DUMMYFUNCTION("""COMPUTED_VALUE"""),"No")</f>
        <v>No</v>
      </c>
      <c r="H1551" s="5" t="str">
        <f ca="1">IFERROR(__xludf.DUMMYFUNCTION("""COMPUTED_VALUE"""),"None")</f>
        <v>None</v>
      </c>
    </row>
    <row r="1552" spans="1:8" ht="13">
      <c r="A1552" s="5" t="str">
        <f ca="1">IFERROR(__xludf.DUMMYFUNCTION("""COMPUTED_VALUE"""),"20070208ORCRP")</f>
        <v>20070208ORCRP</v>
      </c>
      <c r="B1552" s="5">
        <f ca="1">IFERROR(__xludf.DUMMYFUNCTION("""COMPUTED_VALUE"""),18)</f>
        <v>18</v>
      </c>
      <c r="C1552" s="5" t="str">
        <f ca="1">IFERROR(__xludf.DUMMYFUNCTION("""COMPUTED_VALUE"""),"Male")</f>
        <v>Male</v>
      </c>
      <c r="D1552" s="5"/>
      <c r="E1552" s="5" t="str">
        <f ca="1">IFERROR(__xludf.DUMMYFUNCTION("""COMPUTED_VALUE"""),"Student")</f>
        <v>Student</v>
      </c>
      <c r="F1552" s="5" t="str">
        <f ca="1">IFERROR(__xludf.DUMMYFUNCTION("""COMPUTED_VALUE"""),"Suicide")</f>
        <v>Suicide</v>
      </c>
      <c r="G1552" s="5" t="str">
        <f ca="1">IFERROR(__xludf.DUMMYFUNCTION("""COMPUTED_VALUE"""),"Yes")</f>
        <v>Yes</v>
      </c>
      <c r="H1552" s="5" t="str">
        <f ca="1">IFERROR(__xludf.DUMMYFUNCTION("""COMPUTED_VALUE"""),"Suicide")</f>
        <v>Suicide</v>
      </c>
    </row>
    <row r="1553" spans="1:8" ht="13">
      <c r="A1553" s="5" t="str">
        <f ca="1">IFERROR(__xludf.DUMMYFUNCTION("""COMPUTED_VALUE"""),"20070207FLPAJ")</f>
        <v>20070207FLPAJ</v>
      </c>
      <c r="B1553" s="5">
        <f ca="1">IFERROR(__xludf.DUMMYFUNCTION("""COMPUTED_VALUE"""),16)</f>
        <v>16</v>
      </c>
      <c r="C1553" s="5" t="str">
        <f ca="1">IFERROR(__xludf.DUMMYFUNCTION("""COMPUTED_VALUE"""),"Male")</f>
        <v>Male</v>
      </c>
      <c r="D1553" s="5"/>
      <c r="E1553" s="5" t="str">
        <f ca="1">IFERROR(__xludf.DUMMYFUNCTION("""COMPUTED_VALUE"""),"Student")</f>
        <v>Student</v>
      </c>
      <c r="F1553" s="5" t="str">
        <f ca="1">IFERROR(__xludf.DUMMYFUNCTION("""COMPUTED_VALUE"""),"Fled/Apprehended")</f>
        <v>Fled/Apprehended</v>
      </c>
      <c r="G1553" s="5" t="str">
        <f ca="1">IFERROR(__xludf.DUMMYFUNCTION("""COMPUTED_VALUE"""),"No")</f>
        <v>No</v>
      </c>
      <c r="H1553" s="5" t="str">
        <f ca="1">IFERROR(__xludf.DUMMYFUNCTION("""COMPUTED_VALUE"""),"None")</f>
        <v>None</v>
      </c>
    </row>
    <row r="1554" spans="1:8" ht="13">
      <c r="A1554" s="5" t="str">
        <f ca="1">IFERROR(__xludf.DUMMYFUNCTION("""COMPUTED_VALUE"""),"20070131ILHIC")</f>
        <v>20070131ILHIC</v>
      </c>
      <c r="B1554" s="5"/>
      <c r="C1554" s="5" t="str">
        <f ca="1">IFERROR(__xludf.DUMMYFUNCTION("""COMPUTED_VALUE"""),"Male")</f>
        <v>Male</v>
      </c>
      <c r="D1554" s="5"/>
      <c r="E1554" s="5" t="str">
        <f ca="1">IFERROR(__xludf.DUMMYFUNCTION("""COMPUTED_VALUE"""),"Nonstudent")</f>
        <v>Nonstudent</v>
      </c>
      <c r="F1554" s="5" t="str">
        <f ca="1">IFERROR(__xludf.DUMMYFUNCTION("""COMPUTED_VALUE"""),"Fled/Escaped")</f>
        <v>Fled/Escaped</v>
      </c>
      <c r="G1554" s="5" t="str">
        <f ca="1">IFERROR(__xludf.DUMMYFUNCTION("""COMPUTED_VALUE"""),"No")</f>
        <v>No</v>
      </c>
      <c r="H1554" s="5" t="str">
        <f ca="1">IFERROR(__xludf.DUMMYFUNCTION("""COMPUTED_VALUE"""),"None")</f>
        <v>None</v>
      </c>
    </row>
    <row r="1555" spans="1:8" ht="13">
      <c r="A1555" s="5" t="str">
        <f ca="1">IFERROR(__xludf.DUMMYFUNCTION("""COMPUTED_VALUE"""),"20070124TNHAS")</f>
        <v>20070124TNHAS</v>
      </c>
      <c r="B1555" s="5">
        <f ca="1">IFERROR(__xludf.DUMMYFUNCTION("""COMPUTED_VALUE"""),17)</f>
        <v>17</v>
      </c>
      <c r="C1555" s="5" t="str">
        <f ca="1">IFERROR(__xludf.DUMMYFUNCTION("""COMPUTED_VALUE"""),"Male")</f>
        <v>Male</v>
      </c>
      <c r="D1555" s="5"/>
      <c r="E1555" s="5" t="str">
        <f ca="1">IFERROR(__xludf.DUMMYFUNCTION("""COMPUTED_VALUE"""),"Student")</f>
        <v>Student</v>
      </c>
      <c r="F1555" s="5" t="str">
        <f ca="1">IFERROR(__xludf.DUMMYFUNCTION("""COMPUTED_VALUE"""),"Attempted Suicide")</f>
        <v>Attempted Suicide</v>
      </c>
      <c r="G1555" s="5" t="str">
        <f ca="1">IFERROR(__xludf.DUMMYFUNCTION("""COMPUTED_VALUE"""),"No")</f>
        <v>No</v>
      </c>
      <c r="H1555" s="5" t="str">
        <f ca="1">IFERROR(__xludf.DUMMYFUNCTION("""COMPUTED_VALUE"""),"Wounded")</f>
        <v>Wounded</v>
      </c>
    </row>
    <row r="1556" spans="1:8" ht="13">
      <c r="A1556" s="5" t="str">
        <f ca="1">IFERROR(__xludf.DUMMYFUNCTION("""COMPUTED_VALUE"""),"20070118PAWIP")</f>
        <v>20070118PAWIP</v>
      </c>
      <c r="B1556" s="5" t="str">
        <f ca="1">IFERROR(__xludf.DUMMYFUNCTION("""COMPUTED_VALUE"""),"Teen")</f>
        <v>Teen</v>
      </c>
      <c r="C1556" s="5" t="str">
        <f ca="1">IFERROR(__xludf.DUMMYFUNCTION("""COMPUTED_VALUE"""),"Male")</f>
        <v>Male</v>
      </c>
      <c r="D1556" s="5"/>
      <c r="E1556" s="5" t="str">
        <f ca="1">IFERROR(__xludf.DUMMYFUNCTION("""COMPUTED_VALUE"""),"Student")</f>
        <v>Student</v>
      </c>
      <c r="F1556" s="5" t="str">
        <f ca="1">IFERROR(__xludf.DUMMYFUNCTION("""COMPUTED_VALUE"""),"Fled/Escaped")</f>
        <v>Fled/Escaped</v>
      </c>
      <c r="G1556" s="5" t="str">
        <f ca="1">IFERROR(__xludf.DUMMYFUNCTION("""COMPUTED_VALUE"""),"No")</f>
        <v>No</v>
      </c>
      <c r="H1556" s="5" t="str">
        <f ca="1">IFERROR(__xludf.DUMMYFUNCTION("""COMPUTED_VALUE"""),"None")</f>
        <v>None</v>
      </c>
    </row>
    <row r="1557" spans="1:8" ht="13">
      <c r="A1557" s="5" t="str">
        <f ca="1">IFERROR(__xludf.DUMMYFUNCTION("""COMPUTED_VALUE"""),"20070109NVWEL")</f>
        <v>20070109NVWEL</v>
      </c>
      <c r="B1557" s="5" t="str">
        <f ca="1">IFERROR(__xludf.DUMMYFUNCTION("""COMPUTED_VALUE"""),"Adult")</f>
        <v>Adult</v>
      </c>
      <c r="C1557" s="5" t="str">
        <f ca="1">IFERROR(__xludf.DUMMYFUNCTION("""COMPUTED_VALUE"""),"Male")</f>
        <v>Male</v>
      </c>
      <c r="D1557" s="5"/>
      <c r="E1557" s="5" t="str">
        <f ca="1">IFERROR(__xludf.DUMMYFUNCTION("""COMPUTED_VALUE"""),"No Relation")</f>
        <v>No Relation</v>
      </c>
      <c r="F1557" s="5" t="str">
        <f ca="1">IFERROR(__xludf.DUMMYFUNCTION("""COMPUTED_VALUE"""),"Fled/Apprehended")</f>
        <v>Fled/Apprehended</v>
      </c>
      <c r="G1557" s="5" t="str">
        <f ca="1">IFERROR(__xludf.DUMMYFUNCTION("""COMPUTED_VALUE"""),"No")</f>
        <v>No</v>
      </c>
      <c r="H1557" s="5" t="str">
        <f ca="1">IFERROR(__xludf.DUMMYFUNCTION("""COMPUTED_VALUE"""),"None")</f>
        <v>None</v>
      </c>
    </row>
    <row r="1558" spans="1:8" ht="13">
      <c r="A1558" s="5" t="str">
        <f ca="1">IFERROR(__xludf.DUMMYFUNCTION("""COMPUTED_VALUE"""),"20070109CAGRV")</f>
        <v>20070109CAGRV</v>
      </c>
      <c r="B1558" s="5"/>
      <c r="C1558" s="5" t="str">
        <f ca="1">IFERROR(__xludf.DUMMYFUNCTION("""COMPUTED_VALUE"""),"Male")</f>
        <v>Male</v>
      </c>
      <c r="D1558" s="5"/>
      <c r="E1558" s="5" t="str">
        <f ca="1">IFERROR(__xludf.DUMMYFUNCTION("""COMPUTED_VALUE"""),"Unknown")</f>
        <v>Unknown</v>
      </c>
      <c r="F1558" s="5" t="str">
        <f ca="1">IFERROR(__xludf.DUMMYFUNCTION("""COMPUTED_VALUE"""),"Fled/Escaped")</f>
        <v>Fled/Escaped</v>
      </c>
      <c r="G1558" s="5" t="str">
        <f ca="1">IFERROR(__xludf.DUMMYFUNCTION("""COMPUTED_VALUE"""),"No")</f>
        <v>No</v>
      </c>
      <c r="H1558" s="5" t="str">
        <f ca="1">IFERROR(__xludf.DUMMYFUNCTION("""COMPUTED_VALUE"""),"None")</f>
        <v>None</v>
      </c>
    </row>
    <row r="1559" spans="1:8" ht="13">
      <c r="A1559" s="5" t="str">
        <f ca="1">IFERROR(__xludf.DUMMYFUNCTION("""COMPUTED_VALUE"""),"20070108OHROC")</f>
        <v>20070108OHROC</v>
      </c>
      <c r="B1559" s="5">
        <f ca="1">IFERROR(__xludf.DUMMYFUNCTION("""COMPUTED_VALUE"""),16)</f>
        <v>16</v>
      </c>
      <c r="C1559" s="5" t="str">
        <f ca="1">IFERROR(__xludf.DUMMYFUNCTION("""COMPUTED_VALUE"""),"Male")</f>
        <v>Male</v>
      </c>
      <c r="D1559" s="5"/>
      <c r="E1559" s="5" t="str">
        <f ca="1">IFERROR(__xludf.DUMMYFUNCTION("""COMPUTED_VALUE"""),"Student")</f>
        <v>Student</v>
      </c>
      <c r="F1559" s="5" t="str">
        <f ca="1">IFERROR(__xludf.DUMMYFUNCTION("""COMPUTED_VALUE"""),"Fled/Apprehended")</f>
        <v>Fled/Apprehended</v>
      </c>
      <c r="G1559" s="5" t="str">
        <f ca="1">IFERROR(__xludf.DUMMYFUNCTION("""COMPUTED_VALUE"""),"No")</f>
        <v>No</v>
      </c>
      <c r="H1559" s="5" t="str">
        <f ca="1">IFERROR(__xludf.DUMMYFUNCTION("""COMPUTED_VALUE"""),"None")</f>
        <v>None</v>
      </c>
    </row>
    <row r="1560" spans="1:8" ht="13">
      <c r="A1560" s="5" t="str">
        <f ca="1">IFERROR(__xludf.DUMMYFUNCTION("""COMPUTED_VALUE"""),"20070104MINOD")</f>
        <v>20070104MINOD</v>
      </c>
      <c r="B1560" s="5"/>
      <c r="C1560" s="5" t="str">
        <f ca="1">IFERROR(__xludf.DUMMYFUNCTION("""COMPUTED_VALUE"""),"Male")</f>
        <v>Male</v>
      </c>
      <c r="D1560" s="5"/>
      <c r="E1560" s="5" t="str">
        <f ca="1">IFERROR(__xludf.DUMMYFUNCTION("""COMPUTED_VALUE"""),"Unknown")</f>
        <v>Unknown</v>
      </c>
      <c r="F1560" s="5" t="str">
        <f ca="1">IFERROR(__xludf.DUMMYFUNCTION("""COMPUTED_VALUE"""),"Fled/Escaped")</f>
        <v>Fled/Escaped</v>
      </c>
      <c r="G1560" s="5" t="str">
        <f ca="1">IFERROR(__xludf.DUMMYFUNCTION("""COMPUTED_VALUE"""),"No")</f>
        <v>No</v>
      </c>
      <c r="H1560" s="5" t="str">
        <f ca="1">IFERROR(__xludf.DUMMYFUNCTION("""COMPUTED_VALUE"""),"None")</f>
        <v>None</v>
      </c>
    </row>
    <row r="1561" spans="1:8" ht="13">
      <c r="A1561" s="5" t="str">
        <f ca="1">IFERROR(__xludf.DUMMYFUNCTION("""COMPUTED_VALUE"""),"20070103WAHET")</f>
        <v>20070103WAHET</v>
      </c>
      <c r="B1561" s="5">
        <f ca="1">IFERROR(__xludf.DUMMYFUNCTION("""COMPUTED_VALUE"""),18)</f>
        <v>18</v>
      </c>
      <c r="C1561" s="5" t="str">
        <f ca="1">IFERROR(__xludf.DUMMYFUNCTION("""COMPUTED_VALUE"""),"Male")</f>
        <v>Male</v>
      </c>
      <c r="D1561" s="5" t="str">
        <f ca="1">IFERROR(__xludf.DUMMYFUNCTION("""COMPUTED_VALUE"""),"Asian")</f>
        <v>Asian</v>
      </c>
      <c r="E1561" s="5" t="str">
        <f ca="1">IFERROR(__xludf.DUMMYFUNCTION("""COMPUTED_VALUE"""),"Student")</f>
        <v>Student</v>
      </c>
      <c r="F1561" s="5" t="str">
        <f ca="1">IFERROR(__xludf.DUMMYFUNCTION("""COMPUTED_VALUE"""),"Surrendered")</f>
        <v>Surrendered</v>
      </c>
      <c r="G1561" s="5" t="str">
        <f ca="1">IFERROR(__xludf.DUMMYFUNCTION("""COMPUTED_VALUE"""),"No")</f>
        <v>No</v>
      </c>
      <c r="H1561" s="5" t="str">
        <f ca="1">IFERROR(__xludf.DUMMYFUNCTION("""COMPUTED_VALUE"""),"None")</f>
        <v>None</v>
      </c>
    </row>
    <row r="1562" spans="1:8" ht="13">
      <c r="A1562" s="5" t="str">
        <f ca="1">IFERROR(__xludf.DUMMYFUNCTION("""COMPUTED_VALUE"""),"20070102NCWEF")</f>
        <v>20070102NCWEF</v>
      </c>
      <c r="B1562" s="5">
        <f ca="1">IFERROR(__xludf.DUMMYFUNCTION("""COMPUTED_VALUE"""),14)</f>
        <v>14</v>
      </c>
      <c r="C1562" s="5" t="str">
        <f ca="1">IFERROR(__xludf.DUMMYFUNCTION("""COMPUTED_VALUE"""),"Male")</f>
        <v>Male</v>
      </c>
      <c r="D1562" s="5"/>
      <c r="E1562" s="5" t="str">
        <f ca="1">IFERROR(__xludf.DUMMYFUNCTION("""COMPUTED_VALUE"""),"Student")</f>
        <v>Student</v>
      </c>
      <c r="F1562" s="5" t="str">
        <f ca="1">IFERROR(__xludf.DUMMYFUNCTION("""COMPUTED_VALUE"""),"Fled/Apprehended")</f>
        <v>Fled/Apprehended</v>
      </c>
      <c r="G1562" s="5" t="str">
        <f ca="1">IFERROR(__xludf.DUMMYFUNCTION("""COMPUTED_VALUE"""),"No")</f>
        <v>No</v>
      </c>
      <c r="H1562" s="5" t="str">
        <f ca="1">IFERROR(__xludf.DUMMYFUNCTION("""COMPUTED_VALUE"""),"None")</f>
        <v>None</v>
      </c>
    </row>
    <row r="1563" spans="1:8" ht="13">
      <c r="A1563" s="5" t="str">
        <f ca="1">IFERROR(__xludf.DUMMYFUNCTION("""COMPUTED_VALUE"""),"20061214PAMCC")</f>
        <v>20061214PAMCC</v>
      </c>
      <c r="B1563" s="5">
        <f ca="1">IFERROR(__xludf.DUMMYFUNCTION("""COMPUTED_VALUE"""),17)</f>
        <v>17</v>
      </c>
      <c r="C1563" s="5" t="str">
        <f ca="1">IFERROR(__xludf.DUMMYFUNCTION("""COMPUTED_VALUE"""),"Male")</f>
        <v>Male</v>
      </c>
      <c r="D1563" s="5" t="str">
        <f ca="1">IFERROR(__xludf.DUMMYFUNCTION("""COMPUTED_VALUE"""),"White")</f>
        <v>White</v>
      </c>
      <c r="E1563" s="5" t="str">
        <f ca="1">IFERROR(__xludf.DUMMYFUNCTION("""COMPUTED_VALUE"""),"Student")</f>
        <v>Student</v>
      </c>
      <c r="F1563" s="5" t="str">
        <f ca="1">IFERROR(__xludf.DUMMYFUNCTION("""COMPUTED_VALUE"""),"Suicide")</f>
        <v>Suicide</v>
      </c>
      <c r="G1563" s="5" t="str">
        <f ca="1">IFERROR(__xludf.DUMMYFUNCTION("""COMPUTED_VALUE"""),"Yes")</f>
        <v>Yes</v>
      </c>
      <c r="H1563" s="5" t="str">
        <f ca="1">IFERROR(__xludf.DUMMYFUNCTION("""COMPUTED_VALUE"""),"Suicide")</f>
        <v>Suicide</v>
      </c>
    </row>
    <row r="1564" spans="1:8" ht="13">
      <c r="A1564" s="5" t="str">
        <f ca="1">IFERROR(__xludf.DUMMYFUNCTION("""COMPUTED_VALUE"""),"20061213PABAB")</f>
        <v>20061213PABAB</v>
      </c>
      <c r="B1564" s="5" t="str">
        <f ca="1">IFERROR(__xludf.DUMMYFUNCTION("""COMPUTED_VALUE"""),"Teen")</f>
        <v>Teen</v>
      </c>
      <c r="C1564" s="5" t="str">
        <f ca="1">IFERROR(__xludf.DUMMYFUNCTION("""COMPUTED_VALUE"""),"Male")</f>
        <v>Male</v>
      </c>
      <c r="D1564" s="5"/>
      <c r="E1564" s="5" t="str">
        <f ca="1">IFERROR(__xludf.DUMMYFUNCTION("""COMPUTED_VALUE"""),"Student")</f>
        <v>Student</v>
      </c>
      <c r="F1564" s="5" t="str">
        <f ca="1">IFERROR(__xludf.DUMMYFUNCTION("""COMPUTED_VALUE"""),"Unknown")</f>
        <v>Unknown</v>
      </c>
      <c r="G1564" s="5" t="str">
        <f ca="1">IFERROR(__xludf.DUMMYFUNCTION("""COMPUTED_VALUE"""),"No")</f>
        <v>No</v>
      </c>
      <c r="H1564" s="5" t="str">
        <f ca="1">IFERROR(__xludf.DUMMYFUNCTION("""COMPUTED_VALUE"""),"None")</f>
        <v>None</v>
      </c>
    </row>
    <row r="1565" spans="1:8" ht="13">
      <c r="A1565" s="5" t="str">
        <f ca="1">IFERROR(__xludf.DUMMYFUNCTION("""COMPUTED_VALUE"""),"20061212PASPS")</f>
        <v>20061212PASPS</v>
      </c>
      <c r="B1565" s="5">
        <f ca="1">IFERROR(__xludf.DUMMYFUNCTION("""COMPUTED_VALUE"""),16)</f>
        <v>16</v>
      </c>
      <c r="C1565" s="5" t="str">
        <f ca="1">IFERROR(__xludf.DUMMYFUNCTION("""COMPUTED_VALUE"""),"Male")</f>
        <v>Male</v>
      </c>
      <c r="D1565" s="5"/>
      <c r="E1565" s="5" t="str">
        <f ca="1">IFERROR(__xludf.DUMMYFUNCTION("""COMPUTED_VALUE"""),"Student")</f>
        <v>Student</v>
      </c>
      <c r="F1565" s="5" t="str">
        <f ca="1">IFERROR(__xludf.DUMMYFUNCTION("""COMPUTED_VALUE"""),"Suicide")</f>
        <v>Suicide</v>
      </c>
      <c r="G1565" s="5" t="str">
        <f ca="1">IFERROR(__xludf.DUMMYFUNCTION("""COMPUTED_VALUE"""),"Yes")</f>
        <v>Yes</v>
      </c>
      <c r="H1565" s="5" t="str">
        <f ca="1">IFERROR(__xludf.DUMMYFUNCTION("""COMPUTED_VALUE"""),"Suicide")</f>
        <v>Suicide</v>
      </c>
    </row>
    <row r="1566" spans="1:8" ht="13">
      <c r="A1566" s="5" t="str">
        <f ca="1">IFERROR(__xludf.DUMMYFUNCTION("""COMPUTED_VALUE"""),"20061211ILCLC")</f>
        <v>20061211ILCLC</v>
      </c>
      <c r="B1566" s="5">
        <f ca="1">IFERROR(__xludf.DUMMYFUNCTION("""COMPUTED_VALUE"""),17)</f>
        <v>17</v>
      </c>
      <c r="C1566" s="5" t="str">
        <f ca="1">IFERROR(__xludf.DUMMYFUNCTION("""COMPUTED_VALUE"""),"Male")</f>
        <v>Male</v>
      </c>
      <c r="D1566" s="5"/>
      <c r="E1566" s="5" t="str">
        <f ca="1">IFERROR(__xludf.DUMMYFUNCTION("""COMPUTED_VALUE"""),"Student")</f>
        <v>Student</v>
      </c>
      <c r="F1566" s="5" t="str">
        <f ca="1">IFERROR(__xludf.DUMMYFUNCTION("""COMPUTED_VALUE"""),"Fled/Apprehended")</f>
        <v>Fled/Apprehended</v>
      </c>
      <c r="G1566" s="5" t="str">
        <f ca="1">IFERROR(__xludf.DUMMYFUNCTION("""COMPUTED_VALUE"""),"No")</f>
        <v>No</v>
      </c>
      <c r="H1566" s="5" t="str">
        <f ca="1">IFERROR(__xludf.DUMMYFUNCTION("""COMPUTED_VALUE"""),"None")</f>
        <v>None</v>
      </c>
    </row>
    <row r="1567" spans="1:8" ht="13">
      <c r="A1567" s="5" t="str">
        <f ca="1">IFERROR(__xludf.DUMMYFUNCTION("""COMPUTED_VALUE"""),"20061207NENOO")</f>
        <v>20061207NENOO</v>
      </c>
      <c r="B1567" s="5">
        <f ca="1">IFERROR(__xludf.DUMMYFUNCTION("""COMPUTED_VALUE"""),17)</f>
        <v>17</v>
      </c>
      <c r="C1567" s="5" t="str">
        <f ca="1">IFERROR(__xludf.DUMMYFUNCTION("""COMPUTED_VALUE"""),"Male")</f>
        <v>Male</v>
      </c>
      <c r="D1567" s="5"/>
      <c r="E1567" s="5" t="str">
        <f ca="1">IFERROR(__xludf.DUMMYFUNCTION("""COMPUTED_VALUE"""),"Student")</f>
        <v>Student</v>
      </c>
      <c r="F1567" s="5" t="str">
        <f ca="1">IFERROR(__xludf.DUMMYFUNCTION("""COMPUTED_VALUE"""),"Fled/Apprehended")</f>
        <v>Fled/Apprehended</v>
      </c>
      <c r="G1567" s="5" t="str">
        <f ca="1">IFERROR(__xludf.DUMMYFUNCTION("""COMPUTED_VALUE"""),"No")</f>
        <v>No</v>
      </c>
      <c r="H1567" s="5" t="str">
        <f ca="1">IFERROR(__xludf.DUMMYFUNCTION("""COMPUTED_VALUE"""),"None")</f>
        <v>None</v>
      </c>
    </row>
    <row r="1568" spans="1:8" ht="13">
      <c r="A1568" s="5" t="str">
        <f ca="1">IFERROR(__xludf.DUMMYFUNCTION("""COMPUTED_VALUE"""),"20061201NCJOT")</f>
        <v>20061201NCJOT</v>
      </c>
      <c r="B1568" s="5">
        <f ca="1">IFERROR(__xludf.DUMMYFUNCTION("""COMPUTED_VALUE"""),20)</f>
        <v>20</v>
      </c>
      <c r="C1568" s="5" t="str">
        <f ca="1">IFERROR(__xludf.DUMMYFUNCTION("""COMPUTED_VALUE"""),"Male")</f>
        <v>Male</v>
      </c>
      <c r="D1568" s="5"/>
      <c r="E1568" s="5" t="str">
        <f ca="1">IFERROR(__xludf.DUMMYFUNCTION("""COMPUTED_VALUE"""),"Nonstudent Using Athletic Facilities/Attending Game")</f>
        <v>Nonstudent Using Athletic Facilities/Attending Game</v>
      </c>
      <c r="F1568" s="5" t="str">
        <f ca="1">IFERROR(__xludf.DUMMYFUNCTION("""COMPUTED_VALUE"""),"Fled/Apprehended")</f>
        <v>Fled/Apprehended</v>
      </c>
      <c r="G1568" s="5" t="str">
        <f ca="1">IFERROR(__xludf.DUMMYFUNCTION("""COMPUTED_VALUE"""),"No")</f>
        <v>No</v>
      </c>
      <c r="H1568" s="5" t="str">
        <f ca="1">IFERROR(__xludf.DUMMYFUNCTION("""COMPUTED_VALUE"""),"None")</f>
        <v>None</v>
      </c>
    </row>
    <row r="1569" spans="1:8" ht="13">
      <c r="A1569" s="5" t="str">
        <f ca="1">IFERROR(__xludf.DUMMYFUNCTION("""COMPUTED_VALUE"""),"20061122GASAA")</f>
        <v>20061122GASAA</v>
      </c>
      <c r="B1569" s="5"/>
      <c r="C1569" s="5" t="str">
        <f ca="1">IFERROR(__xludf.DUMMYFUNCTION("""COMPUTED_VALUE"""),"Male")</f>
        <v>Male</v>
      </c>
      <c r="D1569" s="5"/>
      <c r="E1569" s="5" t="str">
        <f ca="1">IFERROR(__xludf.DUMMYFUNCTION("""COMPUTED_VALUE"""),"Unknown")</f>
        <v>Unknown</v>
      </c>
      <c r="F1569" s="5" t="str">
        <f ca="1">IFERROR(__xludf.DUMMYFUNCTION("""COMPUTED_VALUE"""),"Fled/Escaped")</f>
        <v>Fled/Escaped</v>
      </c>
      <c r="G1569" s="5" t="str">
        <f ca="1">IFERROR(__xludf.DUMMYFUNCTION("""COMPUTED_VALUE"""),"No")</f>
        <v>No</v>
      </c>
      <c r="H1569" s="5" t="str">
        <f ca="1">IFERROR(__xludf.DUMMYFUNCTION("""COMPUTED_VALUE"""),"None")</f>
        <v>None</v>
      </c>
    </row>
    <row r="1570" spans="1:8" ht="13">
      <c r="A1570" s="5" t="str">
        <f ca="1">IFERROR(__xludf.DUMMYFUNCTION("""COMPUTED_VALUE"""),"20061111CALIO")</f>
        <v>20061111CALIO</v>
      </c>
      <c r="B1570" s="5" t="str">
        <f ca="1">IFERROR(__xludf.DUMMYFUNCTION("""COMPUTED_VALUE"""),"Adult")</f>
        <v>Adult</v>
      </c>
      <c r="C1570" s="5" t="str">
        <f ca="1">IFERROR(__xludf.DUMMYFUNCTION("""COMPUTED_VALUE"""),"Male")</f>
        <v>Male</v>
      </c>
      <c r="D1570" s="5"/>
      <c r="E1570" s="5" t="str">
        <f ca="1">IFERROR(__xludf.DUMMYFUNCTION("""COMPUTED_VALUE"""),"Nonstudent Using Athletic Facilities/Attending Game")</f>
        <v>Nonstudent Using Athletic Facilities/Attending Game</v>
      </c>
      <c r="F1570" s="5" t="str">
        <f ca="1">IFERROR(__xludf.DUMMYFUNCTION("""COMPUTED_VALUE"""),"Fled/Escaped")</f>
        <v>Fled/Escaped</v>
      </c>
      <c r="G1570" s="5" t="str">
        <f ca="1">IFERROR(__xludf.DUMMYFUNCTION("""COMPUTED_VALUE"""),"No")</f>
        <v>No</v>
      </c>
      <c r="H1570" s="5" t="str">
        <f ca="1">IFERROR(__xludf.DUMMYFUNCTION("""COMPUTED_VALUE"""),"None")</f>
        <v>None</v>
      </c>
    </row>
    <row r="1571" spans="1:8" ht="13">
      <c r="A1571" s="5" t="str">
        <f ca="1">IFERROR(__xludf.DUMMYFUNCTION("""COMPUTED_VALUE"""),"20061031TNHAK")</f>
        <v>20061031TNHAK</v>
      </c>
      <c r="B1571" s="5">
        <f ca="1">IFERROR(__xludf.DUMMYFUNCTION("""COMPUTED_VALUE"""),39)</f>
        <v>39</v>
      </c>
      <c r="C1571" s="5" t="str">
        <f ca="1">IFERROR(__xludf.DUMMYFUNCTION("""COMPUTED_VALUE"""),"Male")</f>
        <v>Male</v>
      </c>
      <c r="D1571" s="5"/>
      <c r="E1571" s="5" t="str">
        <f ca="1">IFERROR(__xludf.DUMMYFUNCTION("""COMPUTED_VALUE"""),"No Relation")</f>
        <v>No Relation</v>
      </c>
      <c r="F1571" s="5" t="str">
        <f ca="1">IFERROR(__xludf.DUMMYFUNCTION("""COMPUTED_VALUE"""),"Fled/Apprehended")</f>
        <v>Fled/Apprehended</v>
      </c>
      <c r="G1571" s="5" t="str">
        <f ca="1">IFERROR(__xludf.DUMMYFUNCTION("""COMPUTED_VALUE"""),"No")</f>
        <v>No</v>
      </c>
      <c r="H1571" s="5" t="str">
        <f ca="1">IFERROR(__xludf.DUMMYFUNCTION("""COMPUTED_VALUE"""),"None")</f>
        <v>None</v>
      </c>
    </row>
    <row r="1572" spans="1:8" ht="13">
      <c r="A1572" s="5" t="str">
        <f ca="1">IFERROR(__xludf.DUMMYFUNCTION("""COMPUTED_VALUE"""),"20061017TXSEK")</f>
        <v>20061017TXSEK</v>
      </c>
      <c r="B1572" s="5">
        <f ca="1">IFERROR(__xludf.DUMMYFUNCTION("""COMPUTED_VALUE"""),16)</f>
        <v>16</v>
      </c>
      <c r="C1572" s="5" t="str">
        <f ca="1">IFERROR(__xludf.DUMMYFUNCTION("""COMPUTED_VALUE"""),"Female")</f>
        <v>Female</v>
      </c>
      <c r="D1572" s="5"/>
      <c r="E1572" s="5" t="str">
        <f ca="1">IFERROR(__xludf.DUMMYFUNCTION("""COMPUTED_VALUE"""),"Student")</f>
        <v>Student</v>
      </c>
      <c r="F1572" s="5" t="str">
        <f ca="1">IFERROR(__xludf.DUMMYFUNCTION("""COMPUTED_VALUE"""),"Suicide")</f>
        <v>Suicide</v>
      </c>
      <c r="G1572" s="5" t="str">
        <f ca="1">IFERROR(__xludf.DUMMYFUNCTION("""COMPUTED_VALUE"""),"Yes")</f>
        <v>Yes</v>
      </c>
      <c r="H1572" s="5" t="str">
        <f ca="1">IFERROR(__xludf.DUMMYFUNCTION("""COMPUTED_VALUE"""),"Suicide")</f>
        <v>Suicide</v>
      </c>
    </row>
    <row r="1573" spans="1:8" ht="13">
      <c r="A1573" s="5" t="str">
        <f ca="1">IFERROR(__xludf.DUMMYFUNCTION("""COMPUTED_VALUE"""),"20061012MDGRB")</f>
        <v>20061012MDGRB</v>
      </c>
      <c r="B1573" s="5">
        <f ca="1">IFERROR(__xludf.DUMMYFUNCTION("""COMPUTED_VALUE"""),8)</f>
        <v>8</v>
      </c>
      <c r="C1573" s="5" t="str">
        <f ca="1">IFERROR(__xludf.DUMMYFUNCTION("""COMPUTED_VALUE"""),"Male")</f>
        <v>Male</v>
      </c>
      <c r="D1573" s="5"/>
      <c r="E1573" s="5" t="str">
        <f ca="1">IFERROR(__xludf.DUMMYFUNCTION("""COMPUTED_VALUE"""),"Student")</f>
        <v>Student</v>
      </c>
      <c r="F1573" s="5" t="str">
        <f ca="1">IFERROR(__xludf.DUMMYFUNCTION("""COMPUTED_VALUE"""),"Unknown")</f>
        <v>Unknown</v>
      </c>
      <c r="G1573" s="5" t="str">
        <f ca="1">IFERROR(__xludf.DUMMYFUNCTION("""COMPUTED_VALUE"""),"No")</f>
        <v>No</v>
      </c>
      <c r="H1573" s="5" t="str">
        <f ca="1">IFERROR(__xludf.DUMMYFUNCTION("""COMPUTED_VALUE"""),"None")</f>
        <v>None</v>
      </c>
    </row>
    <row r="1574" spans="1:8" ht="13">
      <c r="A1574" s="5" t="str">
        <f ca="1">IFERROR(__xludf.DUMMYFUNCTION("""COMPUTED_VALUE"""),"20061010NYPOP")</f>
        <v>20061010NYPOP</v>
      </c>
      <c r="B1574" s="5" t="str">
        <f ca="1">IFERROR(__xludf.DUMMYFUNCTION("""COMPUTED_VALUE"""),"Teen")</f>
        <v>Teen</v>
      </c>
      <c r="C1574" s="5" t="str">
        <f ca="1">IFERROR(__xludf.DUMMYFUNCTION("""COMPUTED_VALUE"""),"Male")</f>
        <v>Male</v>
      </c>
      <c r="D1574" s="5"/>
      <c r="E1574" s="5" t="str">
        <f ca="1">IFERROR(__xludf.DUMMYFUNCTION("""COMPUTED_VALUE"""),"Student")</f>
        <v>Student</v>
      </c>
      <c r="F1574" s="5" t="str">
        <f ca="1">IFERROR(__xludf.DUMMYFUNCTION("""COMPUTED_VALUE"""),"Fled/Apprehended")</f>
        <v>Fled/Apprehended</v>
      </c>
      <c r="G1574" s="5" t="str">
        <f ca="1">IFERROR(__xludf.DUMMYFUNCTION("""COMPUTED_VALUE"""),"No")</f>
        <v>No</v>
      </c>
      <c r="H1574" s="5" t="str">
        <f ca="1">IFERROR(__xludf.DUMMYFUNCTION("""COMPUTED_VALUE"""),"None")</f>
        <v>None</v>
      </c>
    </row>
    <row r="1575" spans="1:8" ht="13">
      <c r="A1575" s="5" t="str">
        <f ca="1">IFERROR(__xludf.DUMMYFUNCTION("""COMPUTED_VALUE"""),"20061009MOMEJ")</f>
        <v>20061009MOMEJ</v>
      </c>
      <c r="B1575" s="5">
        <f ca="1">IFERROR(__xludf.DUMMYFUNCTION("""COMPUTED_VALUE"""),13)</f>
        <v>13</v>
      </c>
      <c r="C1575" s="5" t="str">
        <f ca="1">IFERROR(__xludf.DUMMYFUNCTION("""COMPUTED_VALUE"""),"Male")</f>
        <v>Male</v>
      </c>
      <c r="D1575" s="5" t="str">
        <f ca="1">IFERROR(__xludf.DUMMYFUNCTION("""COMPUTED_VALUE"""),"White")</f>
        <v>White</v>
      </c>
      <c r="E1575" s="5" t="str">
        <f ca="1">IFERROR(__xludf.DUMMYFUNCTION("""COMPUTED_VALUE"""),"Student")</f>
        <v>Student</v>
      </c>
      <c r="F1575" s="5" t="str">
        <f ca="1">IFERROR(__xludf.DUMMYFUNCTION("""COMPUTED_VALUE"""),"Surrendered")</f>
        <v>Surrendered</v>
      </c>
      <c r="G1575" s="5" t="str">
        <f ca="1">IFERROR(__xludf.DUMMYFUNCTION("""COMPUTED_VALUE"""),"No")</f>
        <v>No</v>
      </c>
      <c r="H1575" s="5" t="str">
        <f ca="1">IFERROR(__xludf.DUMMYFUNCTION("""COMPUTED_VALUE"""),"None")</f>
        <v>None</v>
      </c>
    </row>
    <row r="1576" spans="1:8" ht="13">
      <c r="A1576" s="5" t="str">
        <f ca="1">IFERROR(__xludf.DUMMYFUNCTION("""COMPUTED_VALUE"""),"20061002PAWEN")</f>
        <v>20061002PAWEN</v>
      </c>
      <c r="B1576" s="5">
        <f ca="1">IFERROR(__xludf.DUMMYFUNCTION("""COMPUTED_VALUE"""),32)</f>
        <v>32</v>
      </c>
      <c r="C1576" s="5" t="str">
        <f ca="1">IFERROR(__xludf.DUMMYFUNCTION("""COMPUTED_VALUE"""),"Male")</f>
        <v>Male</v>
      </c>
      <c r="D1576" s="5" t="str">
        <f ca="1">IFERROR(__xludf.DUMMYFUNCTION("""COMPUTED_VALUE"""),"White")</f>
        <v>White</v>
      </c>
      <c r="E1576" s="5" t="str">
        <f ca="1">IFERROR(__xludf.DUMMYFUNCTION("""COMPUTED_VALUE"""),"No Relation")</f>
        <v>No Relation</v>
      </c>
      <c r="F1576" s="5" t="str">
        <f ca="1">IFERROR(__xludf.DUMMYFUNCTION("""COMPUTED_VALUE"""),"Suicide")</f>
        <v>Suicide</v>
      </c>
      <c r="G1576" s="5" t="str">
        <f ca="1">IFERROR(__xludf.DUMMYFUNCTION("""COMPUTED_VALUE"""),"Yes")</f>
        <v>Yes</v>
      </c>
      <c r="H1576" s="5" t="str">
        <f ca="1">IFERROR(__xludf.DUMMYFUNCTION("""COMPUTED_VALUE"""),"Suicide")</f>
        <v>Suicide</v>
      </c>
    </row>
    <row r="1577" spans="1:8" ht="13">
      <c r="A1577" s="5" t="str">
        <f ca="1">IFERROR(__xludf.DUMMYFUNCTION("""COMPUTED_VALUE"""),"20060929WIWEC")</f>
        <v>20060929WIWEC</v>
      </c>
      <c r="B1577" s="5">
        <f ca="1">IFERROR(__xludf.DUMMYFUNCTION("""COMPUTED_VALUE"""),15)</f>
        <v>15</v>
      </c>
      <c r="C1577" s="5" t="str">
        <f ca="1">IFERROR(__xludf.DUMMYFUNCTION("""COMPUTED_VALUE"""),"Male")</f>
        <v>Male</v>
      </c>
      <c r="D1577" s="5" t="str">
        <f ca="1">IFERROR(__xludf.DUMMYFUNCTION("""COMPUTED_VALUE"""),"White")</f>
        <v>White</v>
      </c>
      <c r="E1577" s="5" t="str">
        <f ca="1">IFERROR(__xludf.DUMMYFUNCTION("""COMPUTED_VALUE"""),"Student")</f>
        <v>Student</v>
      </c>
      <c r="F1577" s="5" t="str">
        <f ca="1">IFERROR(__xludf.DUMMYFUNCTION("""COMPUTED_VALUE"""),"Subdued by Students/Staff/Other")</f>
        <v>Subdued by Students/Staff/Other</v>
      </c>
      <c r="G1577" s="5" t="str">
        <f ca="1">IFERROR(__xludf.DUMMYFUNCTION("""COMPUTED_VALUE"""),"No")</f>
        <v>No</v>
      </c>
      <c r="H1577" s="5" t="str">
        <f ca="1">IFERROR(__xludf.DUMMYFUNCTION("""COMPUTED_VALUE"""),"None")</f>
        <v>None</v>
      </c>
    </row>
    <row r="1578" spans="1:8" ht="13">
      <c r="A1578" s="5" t="str">
        <f ca="1">IFERROR(__xludf.DUMMYFUNCTION("""COMPUTED_VALUE"""),"20060927COPLB")</f>
        <v>20060927COPLB</v>
      </c>
      <c r="B1578" s="5">
        <f ca="1">IFERROR(__xludf.DUMMYFUNCTION("""COMPUTED_VALUE"""),53)</f>
        <v>53</v>
      </c>
      <c r="C1578" s="5" t="str">
        <f ca="1">IFERROR(__xludf.DUMMYFUNCTION("""COMPUTED_VALUE"""),"Male")</f>
        <v>Male</v>
      </c>
      <c r="D1578" s="5" t="str">
        <f ca="1">IFERROR(__xludf.DUMMYFUNCTION("""COMPUTED_VALUE"""),"White")</f>
        <v>White</v>
      </c>
      <c r="E1578" s="5" t="str">
        <f ca="1">IFERROR(__xludf.DUMMYFUNCTION("""COMPUTED_VALUE"""),"Unknown")</f>
        <v>Unknown</v>
      </c>
      <c r="F1578" s="5" t="str">
        <f ca="1">IFERROR(__xludf.DUMMYFUNCTION("""COMPUTED_VALUE"""),"Suicide")</f>
        <v>Suicide</v>
      </c>
      <c r="G1578" s="5" t="str">
        <f ca="1">IFERROR(__xludf.DUMMYFUNCTION("""COMPUTED_VALUE"""),"Yes")</f>
        <v>Yes</v>
      </c>
      <c r="H1578" s="5" t="str">
        <f ca="1">IFERROR(__xludf.DUMMYFUNCTION("""COMPUTED_VALUE"""),"Suicide")</f>
        <v>Suicide</v>
      </c>
    </row>
    <row r="1579" spans="1:8" ht="13">
      <c r="A1579" s="5" t="str">
        <f ca="1">IFERROR(__xludf.DUMMYFUNCTION("""COMPUTED_VALUE"""),"20060921DCCAW")</f>
        <v>20060921DCCAW</v>
      </c>
      <c r="B1579" s="5">
        <f ca="1">IFERROR(__xludf.DUMMYFUNCTION("""COMPUTED_VALUE"""),17)</f>
        <v>17</v>
      </c>
      <c r="C1579" s="5" t="str">
        <f ca="1">IFERROR(__xludf.DUMMYFUNCTION("""COMPUTED_VALUE"""),"Male")</f>
        <v>Male</v>
      </c>
      <c r="D1579" s="5"/>
      <c r="E1579" s="5" t="str">
        <f ca="1">IFERROR(__xludf.DUMMYFUNCTION("""COMPUTED_VALUE"""),"Student")</f>
        <v>Student</v>
      </c>
      <c r="F1579" s="5" t="str">
        <f ca="1">IFERROR(__xludf.DUMMYFUNCTION("""COMPUTED_VALUE"""),"Fled/Apprehended")</f>
        <v>Fled/Apprehended</v>
      </c>
      <c r="G1579" s="5" t="str">
        <f ca="1">IFERROR(__xludf.DUMMYFUNCTION("""COMPUTED_VALUE"""),"No")</f>
        <v>No</v>
      </c>
      <c r="H1579" s="5" t="str">
        <f ca="1">IFERROR(__xludf.DUMMYFUNCTION("""COMPUTED_VALUE"""),"None")</f>
        <v>None</v>
      </c>
    </row>
    <row r="1580" spans="1:8" ht="13">
      <c r="A1580" s="5" t="str">
        <f ca="1">IFERROR(__xludf.DUMMYFUNCTION("""COMPUTED_VALUE"""),"20060913MOWEC")</f>
        <v>20060913MOWEC</v>
      </c>
      <c r="B1580" s="5">
        <f ca="1">IFERROR(__xludf.DUMMYFUNCTION("""COMPUTED_VALUE"""),17)</f>
        <v>17</v>
      </c>
      <c r="C1580" s="5" t="str">
        <f ca="1">IFERROR(__xludf.DUMMYFUNCTION("""COMPUTED_VALUE"""),"Male")</f>
        <v>Male</v>
      </c>
      <c r="D1580" s="5"/>
      <c r="E1580" s="5" t="str">
        <f ca="1">IFERROR(__xludf.DUMMYFUNCTION("""COMPUTED_VALUE"""),"Student")</f>
        <v>Student</v>
      </c>
      <c r="F1580" s="5" t="str">
        <f ca="1">IFERROR(__xludf.DUMMYFUNCTION("""COMPUTED_VALUE"""),"Apprehended/Killed by LE")</f>
        <v>Apprehended/Killed by LE</v>
      </c>
      <c r="G1580" s="5" t="str">
        <f ca="1">IFERROR(__xludf.DUMMYFUNCTION("""COMPUTED_VALUE"""),"No")</f>
        <v>No</v>
      </c>
      <c r="H1580" s="5" t="str">
        <f ca="1">IFERROR(__xludf.DUMMYFUNCTION("""COMPUTED_VALUE"""),"Wounded")</f>
        <v>Wounded</v>
      </c>
    </row>
    <row r="1581" spans="1:8" ht="13">
      <c r="A1581" s="5" t="str">
        <f ca="1">IFERROR(__xludf.DUMMYFUNCTION("""COMPUTED_VALUE"""),"20060908TXSOF")</f>
        <v>20060908TXSOF</v>
      </c>
      <c r="B1581" s="5" t="str">
        <f ca="1">IFERROR(__xludf.DUMMYFUNCTION("""COMPUTED_VALUE"""),"Adult")</f>
        <v>Adult</v>
      </c>
      <c r="C1581" s="5" t="str">
        <f ca="1">IFERROR(__xludf.DUMMYFUNCTION("""COMPUTED_VALUE"""),"Male")</f>
        <v>Male</v>
      </c>
      <c r="D1581" s="5"/>
      <c r="E1581" s="5" t="str">
        <f ca="1">IFERROR(__xludf.DUMMYFUNCTION("""COMPUTED_VALUE"""),"Police Officer/SRO")</f>
        <v>Police Officer/SRO</v>
      </c>
      <c r="F1581" s="5" t="str">
        <f ca="1">IFERROR(__xludf.DUMMYFUNCTION("""COMPUTED_VALUE"""),"Law Enforcement")</f>
        <v>Law Enforcement</v>
      </c>
      <c r="G1581" s="5" t="str">
        <f ca="1">IFERROR(__xludf.DUMMYFUNCTION("""COMPUTED_VALUE"""),"No")</f>
        <v>No</v>
      </c>
      <c r="H1581" s="5" t="str">
        <f ca="1">IFERROR(__xludf.DUMMYFUNCTION("""COMPUTED_VALUE"""),"None")</f>
        <v>None</v>
      </c>
    </row>
    <row r="1582" spans="1:8" ht="13">
      <c r="A1582" s="5" t="str">
        <f ca="1">IFERROR(__xludf.DUMMYFUNCTION("""COMPUTED_VALUE"""),"20060905TNKIM")</f>
        <v>20060905TNKIM</v>
      </c>
      <c r="B1582" s="5" t="str">
        <f ca="1">IFERROR(__xludf.DUMMYFUNCTION("""COMPUTED_VALUE"""),"Adult")</f>
        <v>Adult</v>
      </c>
      <c r="C1582" s="5"/>
      <c r="D1582" s="5"/>
      <c r="E1582" s="5" t="str">
        <f ca="1">IFERROR(__xludf.DUMMYFUNCTION("""COMPUTED_VALUE"""),"Parent")</f>
        <v>Parent</v>
      </c>
      <c r="F1582" s="5" t="str">
        <f ca="1">IFERROR(__xludf.DUMMYFUNCTION("""COMPUTED_VALUE"""),"Fled/Escaped")</f>
        <v>Fled/Escaped</v>
      </c>
      <c r="G1582" s="5" t="str">
        <f ca="1">IFERROR(__xludf.DUMMYFUNCTION("""COMPUTED_VALUE"""),"No")</f>
        <v>No</v>
      </c>
      <c r="H1582" s="5" t="str">
        <f ca="1">IFERROR(__xludf.DUMMYFUNCTION("""COMPUTED_VALUE"""),"None")</f>
        <v>None</v>
      </c>
    </row>
    <row r="1583" spans="1:8" ht="13">
      <c r="A1583" s="5" t="str">
        <f ca="1">IFERROR(__xludf.DUMMYFUNCTION("""COMPUTED_VALUE"""),"20060831ALOXO")</f>
        <v>20060831ALOXO</v>
      </c>
      <c r="B1583" s="5">
        <f ca="1">IFERROR(__xludf.DUMMYFUNCTION("""COMPUTED_VALUE"""),21)</f>
        <v>21</v>
      </c>
      <c r="C1583" s="5" t="str">
        <f ca="1">IFERROR(__xludf.DUMMYFUNCTION("""COMPUTED_VALUE"""),"Male")</f>
        <v>Male</v>
      </c>
      <c r="D1583" s="5"/>
      <c r="E1583" s="5" t="str">
        <f ca="1">IFERROR(__xludf.DUMMYFUNCTION("""COMPUTED_VALUE"""),"Nonstudent Using Athletic Facilities/Attending Game")</f>
        <v>Nonstudent Using Athletic Facilities/Attending Game</v>
      </c>
      <c r="F1583" s="5" t="str">
        <f ca="1">IFERROR(__xludf.DUMMYFUNCTION("""COMPUTED_VALUE"""),"Fled/Apprehended")</f>
        <v>Fled/Apprehended</v>
      </c>
      <c r="G1583" s="5" t="str">
        <f ca="1">IFERROR(__xludf.DUMMYFUNCTION("""COMPUTED_VALUE"""),"No")</f>
        <v>No</v>
      </c>
      <c r="H1583" s="5" t="str">
        <f ca="1">IFERROR(__xludf.DUMMYFUNCTION("""COMPUTED_VALUE"""),"None")</f>
        <v>None</v>
      </c>
    </row>
    <row r="1584" spans="1:8" ht="13">
      <c r="A1584" s="5" t="str">
        <f ca="1">IFERROR(__xludf.DUMMYFUNCTION("""COMPUTED_VALUE"""),"20060830NCORH")</f>
        <v>20060830NCORH</v>
      </c>
      <c r="B1584" s="5">
        <f ca="1">IFERROR(__xludf.DUMMYFUNCTION("""COMPUTED_VALUE"""),18)</f>
        <v>18</v>
      </c>
      <c r="C1584" s="5" t="str">
        <f ca="1">IFERROR(__xludf.DUMMYFUNCTION("""COMPUTED_VALUE"""),"Male")</f>
        <v>Male</v>
      </c>
      <c r="D1584" s="5" t="str">
        <f ca="1">IFERROR(__xludf.DUMMYFUNCTION("""COMPUTED_VALUE"""),"Hispanic")</f>
        <v>Hispanic</v>
      </c>
      <c r="E1584" s="5" t="str">
        <f ca="1">IFERROR(__xludf.DUMMYFUNCTION("""COMPUTED_VALUE"""),"Former Student")</f>
        <v>Former Student</v>
      </c>
      <c r="F1584" s="5" t="str">
        <f ca="1">IFERROR(__xludf.DUMMYFUNCTION("""COMPUTED_VALUE"""),"Surrendered")</f>
        <v>Surrendered</v>
      </c>
      <c r="G1584" s="5" t="str">
        <f ca="1">IFERROR(__xludf.DUMMYFUNCTION("""COMPUTED_VALUE"""),"No")</f>
        <v>No</v>
      </c>
      <c r="H1584" s="5" t="str">
        <f ca="1">IFERROR(__xludf.DUMMYFUNCTION("""COMPUTED_VALUE"""),"None")</f>
        <v>None</v>
      </c>
    </row>
    <row r="1585" spans="1:8" ht="13">
      <c r="A1585" s="5" t="str">
        <f ca="1">IFERROR(__xludf.DUMMYFUNCTION("""COMPUTED_VALUE"""),"20060829DCANW")</f>
        <v>20060829DCANW</v>
      </c>
      <c r="B1585" s="5">
        <f ca="1">IFERROR(__xludf.DUMMYFUNCTION("""COMPUTED_VALUE"""),16)</f>
        <v>16</v>
      </c>
      <c r="C1585" s="5" t="str">
        <f ca="1">IFERROR(__xludf.DUMMYFUNCTION("""COMPUTED_VALUE"""),"Male")</f>
        <v>Male</v>
      </c>
      <c r="D1585" s="5"/>
      <c r="E1585" s="5" t="str">
        <f ca="1">IFERROR(__xludf.DUMMYFUNCTION("""COMPUTED_VALUE"""),"Student")</f>
        <v>Student</v>
      </c>
      <c r="F1585" s="5" t="str">
        <f ca="1">IFERROR(__xludf.DUMMYFUNCTION("""COMPUTED_VALUE"""),"Fled/Apprehended")</f>
        <v>Fled/Apprehended</v>
      </c>
      <c r="G1585" s="5" t="str">
        <f ca="1">IFERROR(__xludf.DUMMYFUNCTION("""COMPUTED_VALUE"""),"No")</f>
        <v>No</v>
      </c>
      <c r="H1585" s="5" t="str">
        <f ca="1">IFERROR(__xludf.DUMMYFUNCTION("""COMPUTED_VALUE"""),"None")</f>
        <v>None</v>
      </c>
    </row>
    <row r="1586" spans="1:8" ht="13">
      <c r="A1586" s="5" t="str">
        <f ca="1">IFERROR(__xludf.DUMMYFUNCTION("""COMPUTED_VALUE"""),"20060824VTESE")</f>
        <v>20060824VTESE</v>
      </c>
      <c r="B1586" s="5">
        <f ca="1">IFERROR(__xludf.DUMMYFUNCTION("""COMPUTED_VALUE"""),26)</f>
        <v>26</v>
      </c>
      <c r="C1586" s="5" t="str">
        <f ca="1">IFERROR(__xludf.DUMMYFUNCTION("""COMPUTED_VALUE"""),"Male")</f>
        <v>Male</v>
      </c>
      <c r="D1586" s="5" t="str">
        <f ca="1">IFERROR(__xludf.DUMMYFUNCTION("""COMPUTED_VALUE"""),"Black")</f>
        <v>Black</v>
      </c>
      <c r="E1586" s="5" t="str">
        <f ca="1">IFERROR(__xludf.DUMMYFUNCTION("""COMPUTED_VALUE"""),"Intimate Relationship")</f>
        <v>Intimate Relationship</v>
      </c>
      <c r="F1586" s="5" t="str">
        <f ca="1">IFERROR(__xludf.DUMMYFUNCTION("""COMPUTED_VALUE"""),"Fled/Apprehended")</f>
        <v>Fled/Apprehended</v>
      </c>
      <c r="G1586" s="5" t="str">
        <f ca="1">IFERROR(__xludf.DUMMYFUNCTION("""COMPUTED_VALUE"""),"No")</f>
        <v>No</v>
      </c>
      <c r="H1586" s="5" t="str">
        <f ca="1">IFERROR(__xludf.DUMMYFUNCTION("""COMPUTED_VALUE"""),"Wounded")</f>
        <v>Wounded</v>
      </c>
    </row>
    <row r="1587" spans="1:8" ht="13">
      <c r="A1587" s="5" t="str">
        <f ca="1">IFERROR(__xludf.DUMMYFUNCTION("""COMPUTED_VALUE"""),"20060821INCAN")</f>
        <v>20060821INCAN</v>
      </c>
      <c r="B1587" s="5">
        <f ca="1">IFERROR(__xludf.DUMMYFUNCTION("""COMPUTED_VALUE"""),16)</f>
        <v>16</v>
      </c>
      <c r="C1587" s="5" t="str">
        <f ca="1">IFERROR(__xludf.DUMMYFUNCTION("""COMPUTED_VALUE"""),"Male")</f>
        <v>Male</v>
      </c>
      <c r="D1587" s="5"/>
      <c r="E1587" s="5" t="str">
        <f ca="1">IFERROR(__xludf.DUMMYFUNCTION("""COMPUTED_VALUE"""),"Student")</f>
        <v>Student</v>
      </c>
      <c r="F1587" s="5" t="str">
        <f ca="1">IFERROR(__xludf.DUMMYFUNCTION("""COMPUTED_VALUE"""),"Suicide")</f>
        <v>Suicide</v>
      </c>
      <c r="G1587" s="5" t="str">
        <f ca="1">IFERROR(__xludf.DUMMYFUNCTION("""COMPUTED_VALUE"""),"Yes")</f>
        <v>Yes</v>
      </c>
      <c r="H1587" s="5" t="str">
        <f ca="1">IFERROR(__xludf.DUMMYFUNCTION("""COMPUTED_VALUE"""),"Suicide")</f>
        <v>Suicide</v>
      </c>
    </row>
    <row r="1588" spans="1:8" ht="13">
      <c r="A1588" s="5" t="str">
        <f ca="1">IFERROR(__xludf.DUMMYFUNCTION("""COMPUTED_VALUE"""),"20060820GALYH")</f>
        <v>20060820GALYH</v>
      </c>
      <c r="B1588" s="5" t="str">
        <f ca="1">IFERROR(__xludf.DUMMYFUNCTION("""COMPUTED_VALUE"""),"Teen")</f>
        <v>Teen</v>
      </c>
      <c r="C1588" s="5" t="str">
        <f ca="1">IFERROR(__xludf.DUMMYFUNCTION("""COMPUTED_VALUE"""),"Male")</f>
        <v>Male</v>
      </c>
      <c r="D1588" s="5"/>
      <c r="E1588" s="5" t="str">
        <f ca="1">IFERROR(__xludf.DUMMYFUNCTION("""COMPUTED_VALUE"""),"Unknown")</f>
        <v>Unknown</v>
      </c>
      <c r="F1588" s="5" t="str">
        <f ca="1">IFERROR(__xludf.DUMMYFUNCTION("""COMPUTED_VALUE"""),"Fled/Escaped")</f>
        <v>Fled/Escaped</v>
      </c>
      <c r="G1588" s="5" t="str">
        <f ca="1">IFERROR(__xludf.DUMMYFUNCTION("""COMPUTED_VALUE"""),"No")</f>
        <v>No</v>
      </c>
      <c r="H1588" s="5" t="str">
        <f ca="1">IFERROR(__xludf.DUMMYFUNCTION("""COMPUTED_VALUE"""),"None")</f>
        <v>None</v>
      </c>
    </row>
    <row r="1589" spans="1:8" ht="13">
      <c r="A1589" s="5" t="str">
        <f ca="1">IFERROR(__xludf.DUMMYFUNCTION("""COMPUTED_VALUE"""),"20060819OHSOY")</f>
        <v>20060819OHSOY</v>
      </c>
      <c r="B1589" s="5">
        <f ca="1">IFERROR(__xludf.DUMMYFUNCTION("""COMPUTED_VALUE"""),25)</f>
        <v>25</v>
      </c>
      <c r="C1589" s="5" t="str">
        <f ca="1">IFERROR(__xludf.DUMMYFUNCTION("""COMPUTED_VALUE"""),"Male")</f>
        <v>Male</v>
      </c>
      <c r="D1589" s="5"/>
      <c r="E1589" s="5" t="str">
        <f ca="1">IFERROR(__xludf.DUMMYFUNCTION("""COMPUTED_VALUE"""),"Nonstudent Using Athletic Facilities/Attending Game")</f>
        <v>Nonstudent Using Athletic Facilities/Attending Game</v>
      </c>
      <c r="F1589" s="5" t="str">
        <f ca="1">IFERROR(__xludf.DUMMYFUNCTION("""COMPUTED_VALUE"""),"Fled/Apprehended")</f>
        <v>Fled/Apprehended</v>
      </c>
      <c r="G1589" s="5" t="str">
        <f ca="1">IFERROR(__xludf.DUMMYFUNCTION("""COMPUTED_VALUE"""),"No")</f>
        <v>No</v>
      </c>
      <c r="H1589" s="5" t="str">
        <f ca="1">IFERROR(__xludf.DUMMYFUNCTION("""COMPUTED_VALUE"""),"None")</f>
        <v>None</v>
      </c>
    </row>
    <row r="1590" spans="1:8" ht="13">
      <c r="A1590" s="5" t="str">
        <f ca="1">IFERROR(__xludf.DUMMYFUNCTION("""COMPUTED_VALUE"""),"20060817TXMEA")</f>
        <v>20060817TXMEA</v>
      </c>
      <c r="B1590" s="5">
        <f ca="1">IFERROR(__xludf.DUMMYFUNCTION("""COMPUTED_VALUE"""),20)</f>
        <v>20</v>
      </c>
      <c r="C1590" s="5" t="str">
        <f ca="1">IFERROR(__xludf.DUMMYFUNCTION("""COMPUTED_VALUE"""),"Male")</f>
        <v>Male</v>
      </c>
      <c r="D1590" s="5" t="str">
        <f ca="1">IFERROR(__xludf.DUMMYFUNCTION("""COMPUTED_VALUE"""),"Hispanic")</f>
        <v>Hispanic</v>
      </c>
      <c r="E1590" s="5" t="str">
        <f ca="1">IFERROR(__xludf.DUMMYFUNCTION("""COMPUTED_VALUE"""),"No Relation")</f>
        <v>No Relation</v>
      </c>
      <c r="F1590" s="5" t="str">
        <f ca="1">IFERROR(__xludf.DUMMYFUNCTION("""COMPUTED_VALUE"""),"Fled/Apprehended")</f>
        <v>Fled/Apprehended</v>
      </c>
      <c r="G1590" s="5" t="str">
        <f ca="1">IFERROR(__xludf.DUMMYFUNCTION("""COMPUTED_VALUE"""),"No")</f>
        <v>No</v>
      </c>
      <c r="H1590" s="5" t="str">
        <f ca="1">IFERROR(__xludf.DUMMYFUNCTION("""COMPUTED_VALUE"""),"None")</f>
        <v>None</v>
      </c>
    </row>
    <row r="1591" spans="1:8" ht="13">
      <c r="A1591" s="5" t="str">
        <f ca="1">IFERROR(__xludf.DUMMYFUNCTION("""COMPUTED_VALUE"""),"20060817TXMEA")</f>
        <v>20060817TXMEA</v>
      </c>
      <c r="B1591" s="5">
        <f ca="1">IFERROR(__xludf.DUMMYFUNCTION("""COMPUTED_VALUE"""),17)</f>
        <v>17</v>
      </c>
      <c r="C1591" s="5" t="str">
        <f ca="1">IFERROR(__xludf.DUMMYFUNCTION("""COMPUTED_VALUE"""),"Male")</f>
        <v>Male</v>
      </c>
      <c r="D1591" s="5" t="str">
        <f ca="1">IFERROR(__xludf.DUMMYFUNCTION("""COMPUTED_VALUE"""),"Hispanic")</f>
        <v>Hispanic</v>
      </c>
      <c r="E1591" s="5" t="str">
        <f ca="1">IFERROR(__xludf.DUMMYFUNCTION("""COMPUTED_VALUE"""),"No Relation")</f>
        <v>No Relation</v>
      </c>
      <c r="F1591" s="5" t="str">
        <f ca="1">IFERROR(__xludf.DUMMYFUNCTION("""COMPUTED_VALUE"""),"Fled/Apprehended")</f>
        <v>Fled/Apprehended</v>
      </c>
      <c r="G1591" s="5" t="str">
        <f ca="1">IFERROR(__xludf.DUMMYFUNCTION("""COMPUTED_VALUE"""),"No")</f>
        <v>No</v>
      </c>
      <c r="H1591" s="5" t="str">
        <f ca="1">IFERROR(__xludf.DUMMYFUNCTION("""COMPUTED_VALUE"""),"None")</f>
        <v>None</v>
      </c>
    </row>
    <row r="1592" spans="1:8" ht="13">
      <c r="A1592" s="5" t="str">
        <f ca="1">IFERROR(__xludf.DUMMYFUNCTION("""COMPUTED_VALUE"""),"20060815KYJTV")</f>
        <v>20060815KYJTV</v>
      </c>
      <c r="B1592" s="5">
        <f ca="1">IFERROR(__xludf.DUMMYFUNCTION("""COMPUTED_VALUE"""),13)</f>
        <v>13</v>
      </c>
      <c r="C1592" s="5" t="str">
        <f ca="1">IFERROR(__xludf.DUMMYFUNCTION("""COMPUTED_VALUE"""),"Male")</f>
        <v>Male</v>
      </c>
      <c r="D1592" s="5"/>
      <c r="E1592" s="5" t="str">
        <f ca="1">IFERROR(__xludf.DUMMYFUNCTION("""COMPUTED_VALUE"""),"Student")</f>
        <v>Student</v>
      </c>
      <c r="F1592" s="5" t="str">
        <f ca="1">IFERROR(__xludf.DUMMYFUNCTION("""COMPUTED_VALUE"""),"Surrendered")</f>
        <v>Surrendered</v>
      </c>
      <c r="G1592" s="5" t="str">
        <f ca="1">IFERROR(__xludf.DUMMYFUNCTION("""COMPUTED_VALUE"""),"No")</f>
        <v>No</v>
      </c>
      <c r="H1592" s="5" t="str">
        <f ca="1">IFERROR(__xludf.DUMMYFUNCTION("""COMPUTED_VALUE"""),"None")</f>
        <v>None</v>
      </c>
    </row>
    <row r="1593" spans="1:8" ht="13">
      <c r="A1593" s="5" t="str">
        <f ca="1">IFERROR(__xludf.DUMMYFUNCTION("""COMPUTED_VALUE"""),"20060731FLYOT")</f>
        <v>20060731FLYOT</v>
      </c>
      <c r="B1593" s="5">
        <f ca="1">IFERROR(__xludf.DUMMYFUNCTION("""COMPUTED_VALUE"""),54)</f>
        <v>54</v>
      </c>
      <c r="C1593" s="5" t="str">
        <f ca="1">IFERROR(__xludf.DUMMYFUNCTION("""COMPUTED_VALUE"""),"Male")</f>
        <v>Male</v>
      </c>
      <c r="D1593" s="5" t="str">
        <f ca="1">IFERROR(__xludf.DUMMYFUNCTION("""COMPUTED_VALUE"""),"Hispanic")</f>
        <v>Hispanic</v>
      </c>
      <c r="E1593" s="5" t="str">
        <f ca="1">IFERROR(__xludf.DUMMYFUNCTION("""COMPUTED_VALUE"""),"Intimate Relationship")</f>
        <v>Intimate Relationship</v>
      </c>
      <c r="F1593" s="5" t="str">
        <f ca="1">IFERROR(__xludf.DUMMYFUNCTION("""COMPUTED_VALUE"""),"Suicide")</f>
        <v>Suicide</v>
      </c>
      <c r="G1593" s="5" t="str">
        <f ca="1">IFERROR(__xludf.DUMMYFUNCTION("""COMPUTED_VALUE"""),"Yes")</f>
        <v>Yes</v>
      </c>
      <c r="H1593" s="5" t="str">
        <f ca="1">IFERROR(__xludf.DUMMYFUNCTION("""COMPUTED_VALUE"""),"Suicide")</f>
        <v>Suicide</v>
      </c>
    </row>
    <row r="1594" spans="1:8" ht="13">
      <c r="A1594" s="5" t="str">
        <f ca="1">IFERROR(__xludf.DUMMYFUNCTION("""COMPUTED_VALUE"""),"20060615MIPED")</f>
        <v>20060615MIPED</v>
      </c>
      <c r="B1594" s="5" t="str">
        <f ca="1">IFERROR(__xludf.DUMMYFUNCTION("""COMPUTED_VALUE"""),"Adult")</f>
        <v>Adult</v>
      </c>
      <c r="C1594" s="5" t="str">
        <f ca="1">IFERROR(__xludf.DUMMYFUNCTION("""COMPUTED_VALUE"""),"Male")</f>
        <v>Male</v>
      </c>
      <c r="D1594" s="5"/>
      <c r="E1594" s="5" t="str">
        <f ca="1">IFERROR(__xludf.DUMMYFUNCTION("""COMPUTED_VALUE"""),"No Relation")</f>
        <v>No Relation</v>
      </c>
      <c r="F1594" s="5" t="str">
        <f ca="1">IFERROR(__xludf.DUMMYFUNCTION("""COMPUTED_VALUE"""),"Fled/Escaped")</f>
        <v>Fled/Escaped</v>
      </c>
      <c r="G1594" s="5" t="str">
        <f ca="1">IFERROR(__xludf.DUMMYFUNCTION("""COMPUTED_VALUE"""),"No")</f>
        <v>No</v>
      </c>
      <c r="H1594" s="5" t="str">
        <f ca="1">IFERROR(__xludf.DUMMYFUNCTION("""COMPUTED_VALUE"""),"None")</f>
        <v>None</v>
      </c>
    </row>
    <row r="1595" spans="1:8" ht="13">
      <c r="A1595" s="5" t="str">
        <f ca="1">IFERROR(__xludf.DUMMYFUNCTION("""COMPUTED_VALUE"""),"20060606INWIG")</f>
        <v>20060606INWIG</v>
      </c>
      <c r="B1595" s="5">
        <f ca="1">IFERROR(__xludf.DUMMYFUNCTION("""COMPUTED_VALUE"""),19)</f>
        <v>19</v>
      </c>
      <c r="C1595" s="5" t="str">
        <f ca="1">IFERROR(__xludf.DUMMYFUNCTION("""COMPUTED_VALUE"""),"Male")</f>
        <v>Male</v>
      </c>
      <c r="D1595" s="5"/>
      <c r="E1595" s="5" t="str">
        <f ca="1">IFERROR(__xludf.DUMMYFUNCTION("""COMPUTED_VALUE"""),"Relative")</f>
        <v>Relative</v>
      </c>
      <c r="F1595" s="5" t="str">
        <f ca="1">IFERROR(__xludf.DUMMYFUNCTION("""COMPUTED_VALUE"""),"Fled/Apprehended")</f>
        <v>Fled/Apprehended</v>
      </c>
      <c r="G1595" s="5" t="str">
        <f ca="1">IFERROR(__xludf.DUMMYFUNCTION("""COMPUTED_VALUE"""),"No")</f>
        <v>No</v>
      </c>
      <c r="H1595" s="5" t="str">
        <f ca="1">IFERROR(__xludf.DUMMYFUNCTION("""COMPUTED_VALUE"""),"None")</f>
        <v>None</v>
      </c>
    </row>
    <row r="1596" spans="1:8" ht="13">
      <c r="A1596" s="5" t="str">
        <f ca="1">IFERROR(__xludf.DUMMYFUNCTION("""COMPUTED_VALUE"""),"20060605CAVEL")</f>
        <v>20060605CAVEL</v>
      </c>
      <c r="B1596" s="5"/>
      <c r="C1596" s="5" t="str">
        <f ca="1">IFERROR(__xludf.DUMMYFUNCTION("""COMPUTED_VALUE"""),"Male")</f>
        <v>Male</v>
      </c>
      <c r="D1596" s="5" t="str">
        <f ca="1">IFERROR(__xludf.DUMMYFUNCTION("""COMPUTED_VALUE"""),"Black")</f>
        <v>Black</v>
      </c>
      <c r="E1596" s="5" t="str">
        <f ca="1">IFERROR(__xludf.DUMMYFUNCTION("""COMPUTED_VALUE"""),"Unknown")</f>
        <v>Unknown</v>
      </c>
      <c r="F1596" s="5" t="str">
        <f ca="1">IFERROR(__xludf.DUMMYFUNCTION("""COMPUTED_VALUE"""),"Fled/Escaped")</f>
        <v>Fled/Escaped</v>
      </c>
      <c r="G1596" s="5" t="str">
        <f ca="1">IFERROR(__xludf.DUMMYFUNCTION("""COMPUTED_VALUE"""),"No")</f>
        <v>No</v>
      </c>
      <c r="H1596" s="5" t="str">
        <f ca="1">IFERROR(__xludf.DUMMYFUNCTION("""COMPUTED_VALUE"""),"None")</f>
        <v>None</v>
      </c>
    </row>
    <row r="1597" spans="1:8" ht="13">
      <c r="A1597" s="5" t="str">
        <f ca="1">IFERROR(__xludf.DUMMYFUNCTION("""COMPUTED_VALUE"""),"20060525PANON")</f>
        <v>20060525PANON</v>
      </c>
      <c r="B1597" s="5">
        <f ca="1">IFERROR(__xludf.DUMMYFUNCTION("""COMPUTED_VALUE"""),18)</f>
        <v>18</v>
      </c>
      <c r="C1597" s="5" t="str">
        <f ca="1">IFERROR(__xludf.DUMMYFUNCTION("""COMPUTED_VALUE"""),"Male")</f>
        <v>Male</v>
      </c>
      <c r="D1597" s="5"/>
      <c r="E1597" s="5" t="str">
        <f ca="1">IFERROR(__xludf.DUMMYFUNCTION("""COMPUTED_VALUE"""),"Student")</f>
        <v>Student</v>
      </c>
      <c r="F1597" s="5" t="str">
        <f ca="1">IFERROR(__xludf.DUMMYFUNCTION("""COMPUTED_VALUE"""),"Surrendered")</f>
        <v>Surrendered</v>
      </c>
      <c r="G1597" s="5" t="str">
        <f ca="1">IFERROR(__xludf.DUMMYFUNCTION("""COMPUTED_VALUE"""),"No")</f>
        <v>No</v>
      </c>
      <c r="H1597" s="5" t="str">
        <f ca="1">IFERROR(__xludf.DUMMYFUNCTION("""COMPUTED_VALUE"""),"None")</f>
        <v>None</v>
      </c>
    </row>
    <row r="1598" spans="1:8" ht="13">
      <c r="A1598" s="5" t="str">
        <f ca="1">IFERROR(__xludf.DUMMYFUNCTION("""COMPUTED_VALUE"""),"20060522SCBUI")</f>
        <v>20060522SCBUI</v>
      </c>
      <c r="B1598" s="5">
        <f ca="1">IFERROR(__xludf.DUMMYFUNCTION("""COMPUTED_VALUE"""),19)</f>
        <v>19</v>
      </c>
      <c r="C1598" s="5" t="str">
        <f ca="1">IFERROR(__xludf.DUMMYFUNCTION("""COMPUTED_VALUE"""),"Male")</f>
        <v>Male</v>
      </c>
      <c r="D1598" s="5"/>
      <c r="E1598" s="5" t="str">
        <f ca="1">IFERROR(__xludf.DUMMYFUNCTION("""COMPUTED_VALUE"""),"Student")</f>
        <v>Student</v>
      </c>
      <c r="F1598" s="5" t="str">
        <f ca="1">IFERROR(__xludf.DUMMYFUNCTION("""COMPUTED_VALUE"""),"Apprehended/Killed by SRO")</f>
        <v>Apprehended/Killed by SRO</v>
      </c>
      <c r="G1598" s="5" t="str">
        <f ca="1">IFERROR(__xludf.DUMMYFUNCTION("""COMPUTED_VALUE"""),"No")</f>
        <v>No</v>
      </c>
      <c r="H1598" s="5" t="str">
        <f ca="1">IFERROR(__xludf.DUMMYFUNCTION("""COMPUTED_VALUE"""),"None")</f>
        <v>None</v>
      </c>
    </row>
    <row r="1599" spans="1:8" ht="13">
      <c r="A1599" s="5" t="str">
        <f ca="1">IFERROR(__xludf.DUMMYFUNCTION("""COMPUTED_VALUE"""),"20060505FLPAM")</f>
        <v>20060505FLPAM</v>
      </c>
      <c r="B1599" s="5" t="str">
        <f ca="1">IFERROR(__xludf.DUMMYFUNCTION("""COMPUTED_VALUE"""),"Teen")</f>
        <v>Teen</v>
      </c>
      <c r="C1599" s="5" t="str">
        <f ca="1">IFERROR(__xludf.DUMMYFUNCTION("""COMPUTED_VALUE"""),"Male")</f>
        <v>Male</v>
      </c>
      <c r="D1599" s="5"/>
      <c r="E1599" s="5" t="str">
        <f ca="1">IFERROR(__xludf.DUMMYFUNCTION("""COMPUTED_VALUE"""),"Student")</f>
        <v>Student</v>
      </c>
      <c r="F1599" s="5" t="str">
        <f ca="1">IFERROR(__xludf.DUMMYFUNCTION("""COMPUTED_VALUE"""),"Fled/Escaped")</f>
        <v>Fled/Escaped</v>
      </c>
      <c r="G1599" s="5" t="str">
        <f ca="1">IFERROR(__xludf.DUMMYFUNCTION("""COMPUTED_VALUE"""),"No")</f>
        <v>No</v>
      </c>
      <c r="H1599" s="5" t="str">
        <f ca="1">IFERROR(__xludf.DUMMYFUNCTION("""COMPUTED_VALUE"""),"None")</f>
        <v>None</v>
      </c>
    </row>
    <row r="1600" spans="1:8" ht="13">
      <c r="A1600" s="5" t="str">
        <f ca="1">IFERROR(__xludf.DUMMYFUNCTION("""COMPUTED_VALUE"""),"20060424NCEAC")</f>
        <v>20060424NCEAC</v>
      </c>
      <c r="B1600" s="5">
        <f ca="1">IFERROR(__xludf.DUMMYFUNCTION("""COMPUTED_VALUE"""),17)</f>
        <v>17</v>
      </c>
      <c r="C1600" s="5" t="str">
        <f ca="1">IFERROR(__xludf.DUMMYFUNCTION("""COMPUTED_VALUE"""),"Male")</f>
        <v>Male</v>
      </c>
      <c r="D1600" s="5"/>
      <c r="E1600" s="5" t="str">
        <f ca="1">IFERROR(__xludf.DUMMYFUNCTION("""COMPUTED_VALUE"""),"Student")</f>
        <v>Student</v>
      </c>
      <c r="F1600" s="5" t="str">
        <f ca="1">IFERROR(__xludf.DUMMYFUNCTION("""COMPUTED_VALUE"""),"Fled/Apprehended")</f>
        <v>Fled/Apprehended</v>
      </c>
      <c r="G1600" s="5" t="str">
        <f ca="1">IFERROR(__xludf.DUMMYFUNCTION("""COMPUTED_VALUE"""),"No")</f>
        <v>No</v>
      </c>
      <c r="H1600" s="5" t="str">
        <f ca="1">IFERROR(__xludf.DUMMYFUNCTION("""COMPUTED_VALUE"""),"None")</f>
        <v>None</v>
      </c>
    </row>
    <row r="1601" spans="1:8" ht="13">
      <c r="A1601" s="5" t="str">
        <f ca="1">IFERROR(__xludf.DUMMYFUNCTION("""COMPUTED_VALUE"""),"20060418TXWEH")</f>
        <v>20060418TXWEH</v>
      </c>
      <c r="B1601" s="5"/>
      <c r="C1601" s="5" t="str">
        <f ca="1">IFERROR(__xludf.DUMMYFUNCTION("""COMPUTED_VALUE"""),"Male")</f>
        <v>Male</v>
      </c>
      <c r="D1601" s="5"/>
      <c r="E1601" s="5" t="str">
        <f ca="1">IFERROR(__xludf.DUMMYFUNCTION("""COMPUTED_VALUE"""),"No Relation")</f>
        <v>No Relation</v>
      </c>
      <c r="F1601" s="5" t="str">
        <f ca="1">IFERROR(__xludf.DUMMYFUNCTION("""COMPUTED_VALUE"""),"Fled/Escaped")</f>
        <v>Fled/Escaped</v>
      </c>
      <c r="G1601" s="5" t="str">
        <f ca="1">IFERROR(__xludf.DUMMYFUNCTION("""COMPUTED_VALUE"""),"No")</f>
        <v>No</v>
      </c>
      <c r="H1601" s="5" t="str">
        <f ca="1">IFERROR(__xludf.DUMMYFUNCTION("""COMPUTED_VALUE"""),"None")</f>
        <v>None</v>
      </c>
    </row>
    <row r="1602" spans="1:8" ht="13">
      <c r="A1602" s="5" t="str">
        <f ca="1">IFERROR(__xludf.DUMMYFUNCTION("""COMPUTED_VALUE"""),"20060405DCROW")</f>
        <v>20060405DCROW</v>
      </c>
      <c r="B1602" s="5"/>
      <c r="C1602" s="5"/>
      <c r="D1602" s="5"/>
      <c r="E1602" s="5" t="str">
        <f ca="1">IFERROR(__xludf.DUMMYFUNCTION("""COMPUTED_VALUE"""),"Unknown")</f>
        <v>Unknown</v>
      </c>
      <c r="F1602" s="5" t="str">
        <f ca="1">IFERROR(__xludf.DUMMYFUNCTION("""COMPUTED_VALUE"""),"Fled/Escaped")</f>
        <v>Fled/Escaped</v>
      </c>
      <c r="G1602" s="5" t="str">
        <f ca="1">IFERROR(__xludf.DUMMYFUNCTION("""COMPUTED_VALUE"""),"No")</f>
        <v>No</v>
      </c>
      <c r="H1602" s="5" t="str">
        <f ca="1">IFERROR(__xludf.DUMMYFUNCTION("""COMPUTED_VALUE"""),"None")</f>
        <v>None</v>
      </c>
    </row>
    <row r="1603" spans="1:8" ht="13">
      <c r="A1603" s="5" t="str">
        <f ca="1">IFERROR(__xludf.DUMMYFUNCTION("""COMPUTED_VALUE"""),"20060314NVPIR")</f>
        <v>20060314NVPIR</v>
      </c>
      <c r="B1603" s="5">
        <f ca="1">IFERROR(__xludf.DUMMYFUNCTION("""COMPUTED_VALUE"""),14)</f>
        <v>14</v>
      </c>
      <c r="C1603" s="5" t="str">
        <f ca="1">IFERROR(__xludf.DUMMYFUNCTION("""COMPUTED_VALUE"""),"Male")</f>
        <v>Male</v>
      </c>
      <c r="D1603" s="5" t="str">
        <f ca="1">IFERROR(__xludf.DUMMYFUNCTION("""COMPUTED_VALUE"""),"White")</f>
        <v>White</v>
      </c>
      <c r="E1603" s="5" t="str">
        <f ca="1">IFERROR(__xludf.DUMMYFUNCTION("""COMPUTED_VALUE"""),"Student")</f>
        <v>Student</v>
      </c>
      <c r="F1603" s="5" t="str">
        <f ca="1">IFERROR(__xludf.DUMMYFUNCTION("""COMPUTED_VALUE"""),"Subdued by Students/Staff/Other")</f>
        <v>Subdued by Students/Staff/Other</v>
      </c>
      <c r="G1603" s="5" t="str">
        <f ca="1">IFERROR(__xludf.DUMMYFUNCTION("""COMPUTED_VALUE"""),"No")</f>
        <v>No</v>
      </c>
      <c r="H1603" s="5" t="str">
        <f ca="1">IFERROR(__xludf.DUMMYFUNCTION("""COMPUTED_VALUE"""),"None")</f>
        <v>None</v>
      </c>
    </row>
    <row r="1604" spans="1:8" ht="13">
      <c r="A1604" s="5" t="str">
        <f ca="1">IFERROR(__xludf.DUMMYFUNCTION("""COMPUTED_VALUE"""),"20060310NYISN")</f>
        <v>20060310NYISN</v>
      </c>
      <c r="B1604" s="5">
        <f ca="1">IFERROR(__xludf.DUMMYFUNCTION("""COMPUTED_VALUE"""),14)</f>
        <v>14</v>
      </c>
      <c r="C1604" s="5" t="str">
        <f ca="1">IFERROR(__xludf.DUMMYFUNCTION("""COMPUTED_VALUE"""),"Male")</f>
        <v>Male</v>
      </c>
      <c r="D1604" s="5"/>
      <c r="E1604" s="5" t="str">
        <f ca="1">IFERROR(__xludf.DUMMYFUNCTION("""COMPUTED_VALUE"""),"Student")</f>
        <v>Student</v>
      </c>
      <c r="F1604" s="5" t="str">
        <f ca="1">IFERROR(__xludf.DUMMYFUNCTION("""COMPUTED_VALUE"""),"Surrendered")</f>
        <v>Surrendered</v>
      </c>
      <c r="G1604" s="5" t="str">
        <f ca="1">IFERROR(__xludf.DUMMYFUNCTION("""COMPUTED_VALUE"""),"No")</f>
        <v>No</v>
      </c>
      <c r="H1604" s="5" t="str">
        <f ca="1">IFERROR(__xludf.DUMMYFUNCTION("""COMPUTED_VALUE"""),"None")</f>
        <v>None</v>
      </c>
    </row>
    <row r="1605" spans="1:8" ht="13">
      <c r="A1605" s="5" t="str">
        <f ca="1">IFERROR(__xludf.DUMMYFUNCTION("""COMPUTED_VALUE"""),"20060310NYISN")</f>
        <v>20060310NYISN</v>
      </c>
      <c r="B1605" s="5">
        <f ca="1">IFERROR(__xludf.DUMMYFUNCTION("""COMPUTED_VALUE"""),16)</f>
        <v>16</v>
      </c>
      <c r="C1605" s="5" t="str">
        <f ca="1">IFERROR(__xludf.DUMMYFUNCTION("""COMPUTED_VALUE"""),"Male")</f>
        <v>Male</v>
      </c>
      <c r="D1605" s="5"/>
      <c r="E1605" s="5" t="str">
        <f ca="1">IFERROR(__xludf.DUMMYFUNCTION("""COMPUTED_VALUE"""),"Student")</f>
        <v>Student</v>
      </c>
      <c r="F1605" s="5" t="str">
        <f ca="1">IFERROR(__xludf.DUMMYFUNCTION("""COMPUTED_VALUE"""),"Surrendered")</f>
        <v>Surrendered</v>
      </c>
      <c r="G1605" s="5" t="str">
        <f ca="1">IFERROR(__xludf.DUMMYFUNCTION("""COMPUTED_VALUE"""),"No")</f>
        <v>No</v>
      </c>
      <c r="H1605" s="5" t="str">
        <f ca="1">IFERROR(__xludf.DUMMYFUNCTION("""COMPUTED_VALUE"""),"None")</f>
        <v>None</v>
      </c>
    </row>
    <row r="1606" spans="1:8" ht="13">
      <c r="A1606" s="5" t="str">
        <f ca="1">IFERROR(__xludf.DUMMYFUNCTION("""COMPUTED_VALUE"""),"20060223ORROR")</f>
        <v>20060223ORROR</v>
      </c>
      <c r="B1606" s="5">
        <f ca="1">IFERROR(__xludf.DUMMYFUNCTION("""COMPUTED_VALUE"""),14)</f>
        <v>14</v>
      </c>
      <c r="C1606" s="5" t="str">
        <f ca="1">IFERROR(__xludf.DUMMYFUNCTION("""COMPUTED_VALUE"""),"Male")</f>
        <v>Male</v>
      </c>
      <c r="D1606" s="5" t="str">
        <f ca="1">IFERROR(__xludf.DUMMYFUNCTION("""COMPUTED_VALUE"""),"White")</f>
        <v>White</v>
      </c>
      <c r="E1606" s="5" t="str">
        <f ca="1">IFERROR(__xludf.DUMMYFUNCTION("""COMPUTED_VALUE"""),"Student")</f>
        <v>Student</v>
      </c>
      <c r="F1606" s="5" t="str">
        <f ca="1">IFERROR(__xludf.DUMMYFUNCTION("""COMPUTED_VALUE"""),"Fled/Apprehended")</f>
        <v>Fled/Apprehended</v>
      </c>
      <c r="G1606" s="5" t="str">
        <f ca="1">IFERROR(__xludf.DUMMYFUNCTION("""COMPUTED_VALUE"""),"No")</f>
        <v>No</v>
      </c>
      <c r="H1606" s="5" t="str">
        <f ca="1">IFERROR(__xludf.DUMMYFUNCTION("""COMPUTED_VALUE"""),"None")</f>
        <v>None</v>
      </c>
    </row>
    <row r="1607" spans="1:8" ht="13">
      <c r="A1607" s="5" t="str">
        <f ca="1">IFERROR(__xludf.DUMMYFUNCTION("""COMPUTED_VALUE"""),"20060221PAWEP")</f>
        <v>20060221PAWEP</v>
      </c>
      <c r="B1607" s="5">
        <f ca="1">IFERROR(__xludf.DUMMYFUNCTION("""COMPUTED_VALUE"""),23)</f>
        <v>23</v>
      </c>
      <c r="C1607" s="5" t="str">
        <f ca="1">IFERROR(__xludf.DUMMYFUNCTION("""COMPUTED_VALUE"""),"Male")</f>
        <v>Male</v>
      </c>
      <c r="D1607" s="5"/>
      <c r="E1607" s="5" t="str">
        <f ca="1">IFERROR(__xludf.DUMMYFUNCTION("""COMPUTED_VALUE"""),"No Relation")</f>
        <v>No Relation</v>
      </c>
      <c r="F1607" s="5" t="str">
        <f ca="1">IFERROR(__xludf.DUMMYFUNCTION("""COMPUTED_VALUE"""),"Fled/Apprehended")</f>
        <v>Fled/Apprehended</v>
      </c>
      <c r="G1607" s="5" t="str">
        <f ca="1">IFERROR(__xludf.DUMMYFUNCTION("""COMPUTED_VALUE"""),"No")</f>
        <v>No</v>
      </c>
      <c r="H1607" s="5" t="str">
        <f ca="1">IFERROR(__xludf.DUMMYFUNCTION("""COMPUTED_VALUE"""),"None")</f>
        <v>None</v>
      </c>
    </row>
    <row r="1608" spans="1:8" ht="13">
      <c r="A1608" s="5" t="str">
        <f ca="1">IFERROR(__xludf.DUMMYFUNCTION("""COMPUTED_VALUE"""),"20060215PAWEY")</f>
        <v>20060215PAWEY</v>
      </c>
      <c r="B1608" s="5" t="str">
        <f ca="1">IFERROR(__xludf.DUMMYFUNCTION("""COMPUTED_VALUE"""),"Adult")</f>
        <v>Adult</v>
      </c>
      <c r="C1608" s="5" t="str">
        <f ca="1">IFERROR(__xludf.DUMMYFUNCTION("""COMPUTED_VALUE"""),"Male")</f>
        <v>Male</v>
      </c>
      <c r="D1608" s="5"/>
      <c r="E1608" s="5" t="str">
        <f ca="1">IFERROR(__xludf.DUMMYFUNCTION("""COMPUTED_VALUE"""),"Teacher")</f>
        <v>Teacher</v>
      </c>
      <c r="F1608" s="5" t="str">
        <f ca="1">IFERROR(__xludf.DUMMYFUNCTION("""COMPUTED_VALUE"""),"Suicide")</f>
        <v>Suicide</v>
      </c>
      <c r="G1608" s="5" t="str">
        <f ca="1">IFERROR(__xludf.DUMMYFUNCTION("""COMPUTED_VALUE"""),"Yes")</f>
        <v>Yes</v>
      </c>
      <c r="H1608" s="5" t="str">
        <f ca="1">IFERROR(__xludf.DUMMYFUNCTION("""COMPUTED_VALUE"""),"Suicide")</f>
        <v>Suicide</v>
      </c>
    </row>
    <row r="1609" spans="1:8" ht="13">
      <c r="A1609" s="5" t="str">
        <f ca="1">IFERROR(__xludf.DUMMYFUNCTION("""COMPUTED_VALUE"""),"20060209DEWIN")</f>
        <v>20060209DEWIN</v>
      </c>
      <c r="B1609" s="5"/>
      <c r="C1609" s="5" t="str">
        <f ca="1">IFERROR(__xludf.DUMMYFUNCTION("""COMPUTED_VALUE"""),"Male")</f>
        <v>Male</v>
      </c>
      <c r="D1609" s="5"/>
      <c r="E1609" s="5" t="str">
        <f ca="1">IFERROR(__xludf.DUMMYFUNCTION("""COMPUTED_VALUE"""),"Nonstudent Using Athletic Facilities/Attending Game")</f>
        <v>Nonstudent Using Athletic Facilities/Attending Game</v>
      </c>
      <c r="F1609" s="5" t="str">
        <f ca="1">IFERROR(__xludf.DUMMYFUNCTION("""COMPUTED_VALUE"""),"Fled/Escaped")</f>
        <v>Fled/Escaped</v>
      </c>
      <c r="G1609" s="5" t="str">
        <f ca="1">IFERROR(__xludf.DUMMYFUNCTION("""COMPUTED_VALUE"""),"No")</f>
        <v>No</v>
      </c>
      <c r="H1609" s="5" t="str">
        <f ca="1">IFERROR(__xludf.DUMMYFUNCTION("""COMPUTED_VALUE"""),"None")</f>
        <v>None</v>
      </c>
    </row>
    <row r="1610" spans="1:8" ht="13">
      <c r="A1610" s="5" t="str">
        <f ca="1">IFERROR(__xludf.DUMMYFUNCTION("""COMPUTED_VALUE"""),"20060203CALOC")</f>
        <v>20060203CALOC</v>
      </c>
      <c r="B1610" s="5">
        <f ca="1">IFERROR(__xludf.DUMMYFUNCTION("""COMPUTED_VALUE"""),9)</f>
        <v>9</v>
      </c>
      <c r="C1610" s="5" t="str">
        <f ca="1">IFERROR(__xludf.DUMMYFUNCTION("""COMPUTED_VALUE"""),"Male")</f>
        <v>Male</v>
      </c>
      <c r="D1610" s="5"/>
      <c r="E1610" s="5" t="str">
        <f ca="1">IFERROR(__xludf.DUMMYFUNCTION("""COMPUTED_VALUE"""),"Student")</f>
        <v>Student</v>
      </c>
      <c r="F1610" s="5" t="str">
        <f ca="1">IFERROR(__xludf.DUMMYFUNCTION("""COMPUTED_VALUE"""),"Unknown")</f>
        <v>Unknown</v>
      </c>
      <c r="G1610" s="5" t="str">
        <f ca="1">IFERROR(__xludf.DUMMYFUNCTION("""COMPUTED_VALUE"""),"No")</f>
        <v>No</v>
      </c>
      <c r="H1610" s="5" t="str">
        <f ca="1">IFERROR(__xludf.DUMMYFUNCTION("""COMPUTED_VALUE"""),"None")</f>
        <v>None</v>
      </c>
    </row>
    <row r="1611" spans="1:8" ht="13">
      <c r="A1611" s="5" t="str">
        <f ca="1">IFERROR(__xludf.DUMMYFUNCTION("""COMPUTED_VALUE"""),"20060130MTCMG")</f>
        <v>20060130MTCMG</v>
      </c>
      <c r="B1611" s="5">
        <f ca="1">IFERROR(__xludf.DUMMYFUNCTION("""COMPUTED_VALUE"""),16)</f>
        <v>16</v>
      </c>
      <c r="C1611" s="5" t="str">
        <f ca="1">IFERROR(__xludf.DUMMYFUNCTION("""COMPUTED_VALUE"""),"Male")</f>
        <v>Male</v>
      </c>
      <c r="D1611" s="5"/>
      <c r="E1611" s="5" t="str">
        <f ca="1">IFERROR(__xludf.DUMMYFUNCTION("""COMPUTED_VALUE"""),"Student")</f>
        <v>Student</v>
      </c>
      <c r="F1611" s="5" t="str">
        <f ca="1">IFERROR(__xludf.DUMMYFUNCTION("""COMPUTED_VALUE"""),"Suicide")</f>
        <v>Suicide</v>
      </c>
      <c r="G1611" s="5" t="str">
        <f ca="1">IFERROR(__xludf.DUMMYFUNCTION("""COMPUTED_VALUE"""),"Yes")</f>
        <v>Yes</v>
      </c>
      <c r="H1611" s="5" t="str">
        <f ca="1">IFERROR(__xludf.DUMMYFUNCTION("""COMPUTED_VALUE"""),"Suicide")</f>
        <v>Suicide</v>
      </c>
    </row>
    <row r="1612" spans="1:8" ht="13">
      <c r="A1612" s="5" t="str">
        <f ca="1">IFERROR(__xludf.DUMMYFUNCTION("""COMPUTED_VALUE"""),"20060127TXLAG")</f>
        <v>20060127TXLAG</v>
      </c>
      <c r="B1612" s="5">
        <f ca="1">IFERROR(__xludf.DUMMYFUNCTION("""COMPUTED_VALUE"""),16)</f>
        <v>16</v>
      </c>
      <c r="C1612" s="5" t="str">
        <f ca="1">IFERROR(__xludf.DUMMYFUNCTION("""COMPUTED_VALUE"""),"Male")</f>
        <v>Male</v>
      </c>
      <c r="D1612" s="5"/>
      <c r="E1612" s="5" t="str">
        <f ca="1">IFERROR(__xludf.DUMMYFUNCTION("""COMPUTED_VALUE"""),"Student")</f>
        <v>Student</v>
      </c>
      <c r="F1612" s="5" t="str">
        <f ca="1">IFERROR(__xludf.DUMMYFUNCTION("""COMPUTED_VALUE"""),"Unknown")</f>
        <v>Unknown</v>
      </c>
      <c r="G1612" s="5" t="str">
        <f ca="1">IFERROR(__xludf.DUMMYFUNCTION("""COMPUTED_VALUE"""),"No")</f>
        <v>No</v>
      </c>
      <c r="H1612" s="5" t="str">
        <f ca="1">IFERROR(__xludf.DUMMYFUNCTION("""COMPUTED_VALUE"""),"None")</f>
        <v>None</v>
      </c>
    </row>
    <row r="1613" spans="1:8" ht="13">
      <c r="A1613" s="5" t="str">
        <f ca="1">IFERROR(__xludf.DUMMYFUNCTION("""COMPUTED_VALUE"""),"20060123CAWIV")</f>
        <v>20060123CAWIV</v>
      </c>
      <c r="B1613" s="5">
        <f ca="1">IFERROR(__xludf.DUMMYFUNCTION("""COMPUTED_VALUE"""),14)</f>
        <v>14</v>
      </c>
      <c r="C1613" s="5" t="str">
        <f ca="1">IFERROR(__xludf.DUMMYFUNCTION("""COMPUTED_VALUE"""),"Male")</f>
        <v>Male</v>
      </c>
      <c r="D1613" s="5"/>
      <c r="E1613" s="5" t="str">
        <f ca="1">IFERROR(__xludf.DUMMYFUNCTION("""COMPUTED_VALUE"""),"Student")</f>
        <v>Student</v>
      </c>
      <c r="F1613" s="5" t="str">
        <f ca="1">IFERROR(__xludf.DUMMYFUNCTION("""COMPUTED_VALUE"""),"Unknown")</f>
        <v>Unknown</v>
      </c>
      <c r="G1613" s="5" t="str">
        <f ca="1">IFERROR(__xludf.DUMMYFUNCTION("""COMPUTED_VALUE"""),"No")</f>
        <v>No</v>
      </c>
      <c r="H1613" s="5" t="str">
        <f ca="1">IFERROR(__xludf.DUMMYFUNCTION("""COMPUTED_VALUE"""),"None")</f>
        <v>None</v>
      </c>
    </row>
    <row r="1614" spans="1:8" ht="13">
      <c r="A1614" s="5" t="str">
        <f ca="1">IFERROR(__xludf.DUMMYFUNCTION("""COMPUTED_VALUE"""),"20060119OHWIC")</f>
        <v>20060119OHWIC</v>
      </c>
      <c r="B1614" s="5">
        <f ca="1">IFERROR(__xludf.DUMMYFUNCTION("""COMPUTED_VALUE"""),19)</f>
        <v>19</v>
      </c>
      <c r="C1614" s="5" t="str">
        <f ca="1">IFERROR(__xludf.DUMMYFUNCTION("""COMPUTED_VALUE"""),"Male")</f>
        <v>Male</v>
      </c>
      <c r="D1614" s="5"/>
      <c r="E1614" s="5" t="str">
        <f ca="1">IFERROR(__xludf.DUMMYFUNCTION("""COMPUTED_VALUE"""),"Nonstudent")</f>
        <v>Nonstudent</v>
      </c>
      <c r="F1614" s="5" t="str">
        <f ca="1">IFERROR(__xludf.DUMMYFUNCTION("""COMPUTED_VALUE"""),"Fled/Apprehended")</f>
        <v>Fled/Apprehended</v>
      </c>
      <c r="G1614" s="5" t="str">
        <f ca="1">IFERROR(__xludf.DUMMYFUNCTION("""COMPUTED_VALUE"""),"No")</f>
        <v>No</v>
      </c>
      <c r="H1614" s="5" t="str">
        <f ca="1">IFERROR(__xludf.DUMMYFUNCTION("""COMPUTED_VALUE"""),"None")</f>
        <v>None</v>
      </c>
    </row>
    <row r="1615" spans="1:8" ht="13">
      <c r="A1615" s="5" t="str">
        <f ca="1">IFERROR(__xludf.DUMMYFUNCTION("""COMPUTED_VALUE"""),"20060119OHWIC")</f>
        <v>20060119OHWIC</v>
      </c>
      <c r="B1615" s="5">
        <f ca="1">IFERROR(__xludf.DUMMYFUNCTION("""COMPUTED_VALUE"""),20)</f>
        <v>20</v>
      </c>
      <c r="C1615" s="5" t="str">
        <f ca="1">IFERROR(__xludf.DUMMYFUNCTION("""COMPUTED_VALUE"""),"Male")</f>
        <v>Male</v>
      </c>
      <c r="D1615" s="5"/>
      <c r="E1615" s="5" t="str">
        <f ca="1">IFERROR(__xludf.DUMMYFUNCTION("""COMPUTED_VALUE"""),"Nonstudent")</f>
        <v>Nonstudent</v>
      </c>
      <c r="F1615" s="5" t="str">
        <f ca="1">IFERROR(__xludf.DUMMYFUNCTION("""COMPUTED_VALUE"""),"Fled/Apprehended")</f>
        <v>Fled/Apprehended</v>
      </c>
      <c r="G1615" s="5" t="str">
        <f ca="1">IFERROR(__xludf.DUMMYFUNCTION("""COMPUTED_VALUE"""),"No")</f>
        <v>No</v>
      </c>
      <c r="H1615" s="5" t="str">
        <f ca="1">IFERROR(__xludf.DUMMYFUNCTION("""COMPUTED_VALUE"""),"None")</f>
        <v>None</v>
      </c>
    </row>
    <row r="1616" spans="1:8" ht="13">
      <c r="A1616" s="5" t="str">
        <f ca="1">IFERROR(__xludf.DUMMYFUNCTION("""COMPUTED_VALUE"""),"20060118VAINC")</f>
        <v>20060118VAINC</v>
      </c>
      <c r="B1616" s="5">
        <f ca="1">IFERROR(__xludf.DUMMYFUNCTION("""COMPUTED_VALUE"""),20)</f>
        <v>20</v>
      </c>
      <c r="C1616" s="5" t="str">
        <f ca="1">IFERROR(__xludf.DUMMYFUNCTION("""COMPUTED_VALUE"""),"Male")</f>
        <v>Male</v>
      </c>
      <c r="D1616" s="5"/>
      <c r="E1616" s="5" t="str">
        <f ca="1">IFERROR(__xludf.DUMMYFUNCTION("""COMPUTED_VALUE"""),"Nonstudent")</f>
        <v>Nonstudent</v>
      </c>
      <c r="F1616" s="5" t="str">
        <f ca="1">IFERROR(__xludf.DUMMYFUNCTION("""COMPUTED_VALUE"""),"Fled/Apprehended")</f>
        <v>Fled/Apprehended</v>
      </c>
      <c r="G1616" s="5" t="str">
        <f ca="1">IFERROR(__xludf.DUMMYFUNCTION("""COMPUTED_VALUE"""),"No")</f>
        <v>No</v>
      </c>
      <c r="H1616" s="5" t="str">
        <f ca="1">IFERROR(__xludf.DUMMYFUNCTION("""COMPUTED_VALUE"""),"None")</f>
        <v>None</v>
      </c>
    </row>
    <row r="1617" spans="1:8" ht="13">
      <c r="A1617" s="5" t="str">
        <f ca="1">IFERROR(__xludf.DUMMYFUNCTION("""COMPUTED_VALUE"""),"20060118TXPAA")</f>
        <v>20060118TXPAA</v>
      </c>
      <c r="B1617" s="5" t="str">
        <f ca="1">IFERROR(__xludf.DUMMYFUNCTION("""COMPUTED_VALUE"""),"Teen")</f>
        <v>Teen</v>
      </c>
      <c r="C1617" s="5" t="str">
        <f ca="1">IFERROR(__xludf.DUMMYFUNCTION("""COMPUTED_VALUE"""),"Male")</f>
        <v>Male</v>
      </c>
      <c r="D1617" s="5"/>
      <c r="E1617" s="5" t="str">
        <f ca="1">IFERROR(__xludf.DUMMYFUNCTION("""COMPUTED_VALUE"""),"Student")</f>
        <v>Student</v>
      </c>
      <c r="F1617" s="5" t="str">
        <f ca="1">IFERROR(__xludf.DUMMYFUNCTION("""COMPUTED_VALUE"""),"Surrendered")</f>
        <v>Surrendered</v>
      </c>
      <c r="G1617" s="5" t="str">
        <f ca="1">IFERROR(__xludf.DUMMYFUNCTION("""COMPUTED_VALUE"""),"No")</f>
        <v>No</v>
      </c>
      <c r="H1617" s="5" t="str">
        <f ca="1">IFERROR(__xludf.DUMMYFUNCTION("""COMPUTED_VALUE"""),"None")</f>
        <v>None</v>
      </c>
    </row>
    <row r="1618" spans="1:8" ht="13">
      <c r="A1618" s="5" t="str">
        <f ca="1">IFERROR(__xludf.DUMMYFUNCTION("""COMPUTED_VALUE"""),"20060118MTFRA")</f>
        <v>20060118MTFRA</v>
      </c>
      <c r="B1618" s="5">
        <f ca="1">IFERROR(__xludf.DUMMYFUNCTION("""COMPUTED_VALUE"""),15)</f>
        <v>15</v>
      </c>
      <c r="C1618" s="5" t="str">
        <f ca="1">IFERROR(__xludf.DUMMYFUNCTION("""COMPUTED_VALUE"""),"Female")</f>
        <v>Female</v>
      </c>
      <c r="D1618" s="5"/>
      <c r="E1618" s="5" t="str">
        <f ca="1">IFERROR(__xludf.DUMMYFUNCTION("""COMPUTED_VALUE"""),"Student")</f>
        <v>Student</v>
      </c>
      <c r="F1618" s="5" t="str">
        <f ca="1">IFERROR(__xludf.DUMMYFUNCTION("""COMPUTED_VALUE"""),"Fled/Apprehended")</f>
        <v>Fled/Apprehended</v>
      </c>
      <c r="G1618" s="5" t="str">
        <f ca="1">IFERROR(__xludf.DUMMYFUNCTION("""COMPUTED_VALUE"""),"No")</f>
        <v>No</v>
      </c>
      <c r="H1618" s="5" t="str">
        <f ca="1">IFERROR(__xludf.DUMMYFUNCTION("""COMPUTED_VALUE"""),"None")</f>
        <v>None</v>
      </c>
    </row>
    <row r="1619" spans="1:8" ht="13">
      <c r="A1619" s="5" t="str">
        <f ca="1">IFERROR(__xludf.DUMMYFUNCTION("""COMPUTED_VALUE"""),"20060113MIOSD")</f>
        <v>20060113MIOSD</v>
      </c>
      <c r="B1619" s="5" t="str">
        <f ca="1">IFERROR(__xludf.DUMMYFUNCTION("""COMPUTED_VALUE"""),"Teen")</f>
        <v>Teen</v>
      </c>
      <c r="C1619" s="5" t="str">
        <f ca="1">IFERROR(__xludf.DUMMYFUNCTION("""COMPUTED_VALUE"""),"Male")</f>
        <v>Male</v>
      </c>
      <c r="D1619" s="5"/>
      <c r="E1619" s="5" t="str">
        <f ca="1">IFERROR(__xludf.DUMMYFUNCTION("""COMPUTED_VALUE"""),"Student")</f>
        <v>Student</v>
      </c>
      <c r="F1619" s="5" t="str">
        <f ca="1">IFERROR(__xludf.DUMMYFUNCTION("""COMPUTED_VALUE"""),"Fled/Apprehended")</f>
        <v>Fled/Apprehended</v>
      </c>
      <c r="G1619" s="5" t="str">
        <f ca="1">IFERROR(__xludf.DUMMYFUNCTION("""COMPUTED_VALUE"""),"No")</f>
        <v>No</v>
      </c>
      <c r="H1619" s="5" t="str">
        <f ca="1">IFERROR(__xludf.DUMMYFUNCTION("""COMPUTED_VALUE"""),"None")</f>
        <v>None</v>
      </c>
    </row>
    <row r="1620" spans="1:8" ht="13">
      <c r="A1620" s="5" t="str">
        <f ca="1">IFERROR(__xludf.DUMMYFUNCTION("""COMPUTED_VALUE"""),"20060113FLMIL")</f>
        <v>20060113FLMIL</v>
      </c>
      <c r="B1620" s="5">
        <f ca="1">IFERROR(__xludf.DUMMYFUNCTION("""COMPUTED_VALUE"""),15)</f>
        <v>15</v>
      </c>
      <c r="C1620" s="5" t="str">
        <f ca="1">IFERROR(__xludf.DUMMYFUNCTION("""COMPUTED_VALUE"""),"Male")</f>
        <v>Male</v>
      </c>
      <c r="D1620" s="5" t="str">
        <f ca="1">IFERROR(__xludf.DUMMYFUNCTION("""COMPUTED_VALUE"""),"White")</f>
        <v>White</v>
      </c>
      <c r="E1620" s="5" t="str">
        <f ca="1">IFERROR(__xludf.DUMMYFUNCTION("""COMPUTED_VALUE"""),"Student")</f>
        <v>Student</v>
      </c>
      <c r="F1620" s="5" t="str">
        <f ca="1">IFERROR(__xludf.DUMMYFUNCTION("""COMPUTED_VALUE"""),"Apprehended/Killed by LE")</f>
        <v>Apprehended/Killed by LE</v>
      </c>
      <c r="G1620" s="5" t="str">
        <f ca="1">IFERROR(__xludf.DUMMYFUNCTION("""COMPUTED_VALUE"""),"Yes")</f>
        <v>Yes</v>
      </c>
      <c r="H1620" s="5" t="str">
        <f ca="1">IFERROR(__xludf.DUMMYFUNCTION("""COMPUTED_VALUE"""),"Fatal")</f>
        <v>Fatal</v>
      </c>
    </row>
    <row r="1621" spans="1:8" ht="13">
      <c r="A1621" s="5" t="str">
        <f ca="1">IFERROR(__xludf.DUMMYFUNCTION("""COMPUTED_VALUE"""),"20060113ALPIP")</f>
        <v>20060113ALPIP</v>
      </c>
      <c r="B1621" s="5">
        <f ca="1">IFERROR(__xludf.DUMMYFUNCTION("""COMPUTED_VALUE"""),20)</f>
        <v>20</v>
      </c>
      <c r="C1621" s="5" t="str">
        <f ca="1">IFERROR(__xludf.DUMMYFUNCTION("""COMPUTED_VALUE"""),"Male")</f>
        <v>Male</v>
      </c>
      <c r="D1621" s="5"/>
      <c r="E1621" s="5" t="str">
        <f ca="1">IFERROR(__xludf.DUMMYFUNCTION("""COMPUTED_VALUE"""),"Nonstudent Using Athletic Facilities/Attending Game")</f>
        <v>Nonstudent Using Athletic Facilities/Attending Game</v>
      </c>
      <c r="F1621" s="5" t="str">
        <f ca="1">IFERROR(__xludf.DUMMYFUNCTION("""COMPUTED_VALUE"""),"Apprehended/Killed by LE")</f>
        <v>Apprehended/Killed by LE</v>
      </c>
      <c r="G1621" s="5" t="str">
        <f ca="1">IFERROR(__xludf.DUMMYFUNCTION("""COMPUTED_VALUE"""),"No")</f>
        <v>No</v>
      </c>
      <c r="H1621" s="5" t="str">
        <f ca="1">IFERROR(__xludf.DUMMYFUNCTION("""COMPUTED_VALUE"""),"None")</f>
        <v>None</v>
      </c>
    </row>
    <row r="1622" spans="1:8" ht="13">
      <c r="A1622" s="5" t="str">
        <f ca="1">IFERROR(__xludf.DUMMYFUNCTION("""COMPUTED_VALUE"""),"20060111WIMAM")</f>
        <v>20060111WIMAM</v>
      </c>
      <c r="B1622" s="5"/>
      <c r="C1622" s="5"/>
      <c r="D1622" s="5"/>
      <c r="E1622" s="5" t="str">
        <f ca="1">IFERROR(__xludf.DUMMYFUNCTION("""COMPUTED_VALUE"""),"Unknown")</f>
        <v>Unknown</v>
      </c>
      <c r="F1622" s="5" t="str">
        <f ca="1">IFERROR(__xludf.DUMMYFUNCTION("""COMPUTED_VALUE"""),"Fled/Escaped")</f>
        <v>Fled/Escaped</v>
      </c>
      <c r="G1622" s="5" t="str">
        <f ca="1">IFERROR(__xludf.DUMMYFUNCTION("""COMPUTED_VALUE"""),"No")</f>
        <v>No</v>
      </c>
      <c r="H1622" s="5" t="str">
        <f ca="1">IFERROR(__xludf.DUMMYFUNCTION("""COMPUTED_VALUE"""),"None")</f>
        <v>None</v>
      </c>
    </row>
    <row r="1623" spans="1:8" ht="13">
      <c r="A1623" s="5" t="str">
        <f ca="1">IFERROR(__xludf.DUMMYFUNCTION("""COMPUTED_VALUE"""),"20060110DEMOW")</f>
        <v>20060110DEMOW</v>
      </c>
      <c r="B1623" s="5" t="str">
        <f ca="1">IFERROR(__xludf.DUMMYFUNCTION("""COMPUTED_VALUE"""),"Teen")</f>
        <v>Teen</v>
      </c>
      <c r="C1623" s="5" t="str">
        <f ca="1">IFERROR(__xludf.DUMMYFUNCTION("""COMPUTED_VALUE"""),"Male")</f>
        <v>Male</v>
      </c>
      <c r="D1623" s="5"/>
      <c r="E1623" s="5" t="str">
        <f ca="1">IFERROR(__xludf.DUMMYFUNCTION("""COMPUTED_VALUE"""),"Student")</f>
        <v>Student</v>
      </c>
      <c r="F1623" s="5" t="str">
        <f ca="1">IFERROR(__xludf.DUMMYFUNCTION("""COMPUTED_VALUE"""),"Fled/Escaped")</f>
        <v>Fled/Escaped</v>
      </c>
      <c r="G1623" s="5" t="str">
        <f ca="1">IFERROR(__xludf.DUMMYFUNCTION("""COMPUTED_VALUE"""),"No")</f>
        <v>No</v>
      </c>
      <c r="H1623" s="5" t="str">
        <f ca="1">IFERROR(__xludf.DUMMYFUNCTION("""COMPUTED_VALUE"""),"None")</f>
        <v>None</v>
      </c>
    </row>
    <row r="1624" spans="1:8" ht="13">
      <c r="A1624" s="5" t="str">
        <f ca="1">IFERROR(__xludf.DUMMYFUNCTION("""COMPUTED_VALUE"""),"20060103NJLIJ")</f>
        <v>20060103NJLIJ</v>
      </c>
      <c r="B1624" s="5" t="str">
        <f ca="1">IFERROR(__xludf.DUMMYFUNCTION("""COMPUTED_VALUE"""),"Teen")</f>
        <v>Teen</v>
      </c>
      <c r="C1624" s="5" t="str">
        <f ca="1">IFERROR(__xludf.DUMMYFUNCTION("""COMPUTED_VALUE"""),"Male")</f>
        <v>Male</v>
      </c>
      <c r="D1624" s="5"/>
      <c r="E1624" s="5" t="str">
        <f ca="1">IFERROR(__xludf.DUMMYFUNCTION("""COMPUTED_VALUE"""),"Student")</f>
        <v>Student</v>
      </c>
      <c r="F1624" s="5" t="str">
        <f ca="1">IFERROR(__xludf.DUMMYFUNCTION("""COMPUTED_VALUE"""),"Fled/Escaped")</f>
        <v>Fled/Escaped</v>
      </c>
      <c r="G1624" s="5" t="str">
        <f ca="1">IFERROR(__xludf.DUMMYFUNCTION("""COMPUTED_VALUE"""),"No")</f>
        <v>No</v>
      </c>
      <c r="H1624" s="5" t="str">
        <f ca="1">IFERROR(__xludf.DUMMYFUNCTION("""COMPUTED_VALUE"""),"None")</f>
        <v>None</v>
      </c>
    </row>
    <row r="1625" spans="1:8" ht="13">
      <c r="A1625" s="5" t="str">
        <f ca="1">IFERROR(__xludf.DUMMYFUNCTION("""COMPUTED_VALUE"""),"20051206MICED")</f>
        <v>20051206MICED</v>
      </c>
      <c r="B1625" s="5"/>
      <c r="C1625" s="5"/>
      <c r="D1625" s="5"/>
      <c r="E1625" s="5" t="str">
        <f ca="1">IFERROR(__xludf.DUMMYFUNCTION("""COMPUTED_VALUE"""),"Nonstudent")</f>
        <v>Nonstudent</v>
      </c>
      <c r="F1625" s="5" t="str">
        <f ca="1">IFERROR(__xludf.DUMMYFUNCTION("""COMPUTED_VALUE"""),"Fled/Escaped")</f>
        <v>Fled/Escaped</v>
      </c>
      <c r="G1625" s="5" t="str">
        <f ca="1">IFERROR(__xludf.DUMMYFUNCTION("""COMPUTED_VALUE"""),"No")</f>
        <v>No</v>
      </c>
      <c r="H1625" s="5" t="str">
        <f ca="1">IFERROR(__xludf.DUMMYFUNCTION("""COMPUTED_VALUE"""),"None")</f>
        <v>None</v>
      </c>
    </row>
    <row r="1626" spans="1:8" ht="13">
      <c r="A1626" s="5" t="str">
        <f ca="1">IFERROR(__xludf.DUMMYFUNCTION("""COMPUTED_VALUE"""),"20051206CASAG")</f>
        <v>20051206CASAG</v>
      </c>
      <c r="B1626" s="5"/>
      <c r="C1626" s="5" t="str">
        <f ca="1">IFERROR(__xludf.DUMMYFUNCTION("""COMPUTED_VALUE"""),"Male")</f>
        <v>Male</v>
      </c>
      <c r="D1626" s="5" t="str">
        <f ca="1">IFERROR(__xludf.DUMMYFUNCTION("""COMPUTED_VALUE"""),"Hispanic")</f>
        <v>Hispanic</v>
      </c>
      <c r="E1626" s="5" t="str">
        <f ca="1">IFERROR(__xludf.DUMMYFUNCTION("""COMPUTED_VALUE"""),"Unknown")</f>
        <v>Unknown</v>
      </c>
      <c r="F1626" s="5" t="str">
        <f ca="1">IFERROR(__xludf.DUMMYFUNCTION("""COMPUTED_VALUE"""),"Fled/Escaped")</f>
        <v>Fled/Escaped</v>
      </c>
      <c r="G1626" s="5" t="str">
        <f ca="1">IFERROR(__xludf.DUMMYFUNCTION("""COMPUTED_VALUE"""),"No")</f>
        <v>No</v>
      </c>
      <c r="H1626" s="5" t="str">
        <f ca="1">IFERROR(__xludf.DUMMYFUNCTION("""COMPUTED_VALUE"""),"None")</f>
        <v>None</v>
      </c>
    </row>
    <row r="1627" spans="1:8" ht="13">
      <c r="A1627" s="5" t="str">
        <f ca="1">IFERROR(__xludf.DUMMYFUNCTION("""COMPUTED_VALUE"""),"20051205MABOR")</f>
        <v>20051205MABOR</v>
      </c>
      <c r="B1627" s="5">
        <f ca="1">IFERROR(__xludf.DUMMYFUNCTION("""COMPUTED_VALUE"""),17)</f>
        <v>17</v>
      </c>
      <c r="C1627" s="5" t="str">
        <f ca="1">IFERROR(__xludf.DUMMYFUNCTION("""COMPUTED_VALUE"""),"Male")</f>
        <v>Male</v>
      </c>
      <c r="D1627" s="5" t="str">
        <f ca="1">IFERROR(__xludf.DUMMYFUNCTION("""COMPUTED_VALUE"""),"Black")</f>
        <v>Black</v>
      </c>
      <c r="E1627" s="5" t="str">
        <f ca="1">IFERROR(__xludf.DUMMYFUNCTION("""COMPUTED_VALUE"""),"Student")</f>
        <v>Student</v>
      </c>
      <c r="F1627" s="5" t="str">
        <f ca="1">IFERROR(__xludf.DUMMYFUNCTION("""COMPUTED_VALUE"""),"Surrendered")</f>
        <v>Surrendered</v>
      </c>
      <c r="G1627" s="5" t="str">
        <f ca="1">IFERROR(__xludf.DUMMYFUNCTION("""COMPUTED_VALUE"""),"No")</f>
        <v>No</v>
      </c>
      <c r="H1627" s="5" t="str">
        <f ca="1">IFERROR(__xludf.DUMMYFUNCTION("""COMPUTED_VALUE"""),"None")</f>
        <v>None</v>
      </c>
    </row>
    <row r="1628" spans="1:8" ht="13">
      <c r="A1628" s="5" t="str">
        <f ca="1">IFERROR(__xludf.DUMMYFUNCTION("""COMPUTED_VALUE"""),"20051116TXIRS")</f>
        <v>20051116TXIRS</v>
      </c>
      <c r="B1628" s="5" t="str">
        <f ca="1">IFERROR(__xludf.DUMMYFUNCTION("""COMPUTED_VALUE"""),"Adult")</f>
        <v>Adult</v>
      </c>
      <c r="C1628" s="5" t="str">
        <f ca="1">IFERROR(__xludf.DUMMYFUNCTION("""COMPUTED_VALUE"""),"Male")</f>
        <v>Male</v>
      </c>
      <c r="D1628" s="5"/>
      <c r="E1628" s="5" t="str">
        <f ca="1">IFERROR(__xludf.DUMMYFUNCTION("""COMPUTED_VALUE"""),"Police Officer/SRO")</f>
        <v>Police Officer/SRO</v>
      </c>
      <c r="F1628" s="5" t="str">
        <f ca="1">IFERROR(__xludf.DUMMYFUNCTION("""COMPUTED_VALUE"""),"Law Enforcement")</f>
        <v>Law Enforcement</v>
      </c>
      <c r="G1628" s="5" t="str">
        <f ca="1">IFERROR(__xludf.DUMMYFUNCTION("""COMPUTED_VALUE"""),"No")</f>
        <v>No</v>
      </c>
      <c r="H1628" s="5" t="str">
        <f ca="1">IFERROR(__xludf.DUMMYFUNCTION("""COMPUTED_VALUE"""),"None")</f>
        <v>None</v>
      </c>
    </row>
    <row r="1629" spans="1:8" ht="13">
      <c r="A1629" s="5" t="str">
        <f ca="1">IFERROR(__xludf.DUMMYFUNCTION("""COMPUTED_VALUE"""),"20051115FLPAM")</f>
        <v>20051115FLPAM</v>
      </c>
      <c r="B1629" s="5">
        <f ca="1">IFERROR(__xludf.DUMMYFUNCTION("""COMPUTED_VALUE"""),17)</f>
        <v>17</v>
      </c>
      <c r="C1629" s="5" t="str">
        <f ca="1">IFERROR(__xludf.DUMMYFUNCTION("""COMPUTED_VALUE"""),"Female")</f>
        <v>Female</v>
      </c>
      <c r="D1629" s="5"/>
      <c r="E1629" s="5" t="str">
        <f ca="1">IFERROR(__xludf.DUMMYFUNCTION("""COMPUTED_VALUE"""),"Student")</f>
        <v>Student</v>
      </c>
      <c r="F1629" s="5" t="str">
        <f ca="1">IFERROR(__xludf.DUMMYFUNCTION("""COMPUTED_VALUE"""),"Surrendered")</f>
        <v>Surrendered</v>
      </c>
      <c r="G1629" s="5" t="str">
        <f ca="1">IFERROR(__xludf.DUMMYFUNCTION("""COMPUTED_VALUE"""),"No")</f>
        <v>No</v>
      </c>
      <c r="H1629" s="5" t="str">
        <f ca="1">IFERROR(__xludf.DUMMYFUNCTION("""COMPUTED_VALUE"""),"None")</f>
        <v>None</v>
      </c>
    </row>
    <row r="1630" spans="1:8" ht="13">
      <c r="A1630" s="5" t="str">
        <f ca="1">IFERROR(__xludf.DUMMYFUNCTION("""COMPUTED_VALUE"""),"20051108TNCAJ")</f>
        <v>20051108TNCAJ</v>
      </c>
      <c r="B1630" s="5">
        <f ca="1">IFERROR(__xludf.DUMMYFUNCTION("""COMPUTED_VALUE"""),15)</f>
        <v>15</v>
      </c>
      <c r="C1630" s="5" t="str">
        <f ca="1">IFERROR(__xludf.DUMMYFUNCTION("""COMPUTED_VALUE"""),"Male")</f>
        <v>Male</v>
      </c>
      <c r="D1630" s="5" t="str">
        <f ca="1">IFERROR(__xludf.DUMMYFUNCTION("""COMPUTED_VALUE"""),"White")</f>
        <v>White</v>
      </c>
      <c r="E1630" s="5" t="str">
        <f ca="1">IFERROR(__xludf.DUMMYFUNCTION("""COMPUTED_VALUE"""),"Student")</f>
        <v>Student</v>
      </c>
      <c r="F1630" s="5" t="str">
        <f ca="1">IFERROR(__xludf.DUMMYFUNCTION("""COMPUTED_VALUE"""),"Subdued by Students/Staff/Other")</f>
        <v>Subdued by Students/Staff/Other</v>
      </c>
      <c r="G1630" s="5" t="str">
        <f ca="1">IFERROR(__xludf.DUMMYFUNCTION("""COMPUTED_VALUE"""),"No")</f>
        <v>No</v>
      </c>
      <c r="H1630" s="5" t="str">
        <f ca="1">IFERROR(__xludf.DUMMYFUNCTION("""COMPUTED_VALUE"""),"None")</f>
        <v>None</v>
      </c>
    </row>
    <row r="1631" spans="1:8" ht="13">
      <c r="A1631" s="5" t="str">
        <f ca="1">IFERROR(__xludf.DUMMYFUNCTION("""COMPUTED_VALUE"""),"20051028NYFAF")</f>
        <v>20051028NYFAF</v>
      </c>
      <c r="B1631" s="5"/>
      <c r="C1631" s="5" t="str">
        <f ca="1">IFERROR(__xludf.DUMMYFUNCTION("""COMPUTED_VALUE"""),"Male")</f>
        <v>Male</v>
      </c>
      <c r="D1631" s="5"/>
      <c r="E1631" s="5" t="str">
        <f ca="1">IFERROR(__xludf.DUMMYFUNCTION("""COMPUTED_VALUE"""),"Unknown")</f>
        <v>Unknown</v>
      </c>
      <c r="F1631" s="5" t="str">
        <f ca="1">IFERROR(__xludf.DUMMYFUNCTION("""COMPUTED_VALUE"""),"Fled/Escaped")</f>
        <v>Fled/Escaped</v>
      </c>
      <c r="G1631" s="5" t="str">
        <f ca="1">IFERROR(__xludf.DUMMYFUNCTION("""COMPUTED_VALUE"""),"No")</f>
        <v>No</v>
      </c>
      <c r="H1631" s="5" t="str">
        <f ca="1">IFERROR(__xludf.DUMMYFUNCTION("""COMPUTED_VALUE"""),"None")</f>
        <v>None</v>
      </c>
    </row>
    <row r="1632" spans="1:8" ht="13">
      <c r="A1632" s="5" t="str">
        <f ca="1">IFERROR(__xludf.DUMMYFUNCTION("""COMPUTED_VALUE"""),"20051028MDANA")</f>
        <v>20051028MDANA</v>
      </c>
      <c r="B1632" s="5">
        <f ca="1">IFERROR(__xludf.DUMMYFUNCTION("""COMPUTED_VALUE"""),17)</f>
        <v>17</v>
      </c>
      <c r="C1632" s="5" t="str">
        <f ca="1">IFERROR(__xludf.DUMMYFUNCTION("""COMPUTED_VALUE"""),"Male")</f>
        <v>Male</v>
      </c>
      <c r="D1632" s="5"/>
      <c r="E1632" s="5" t="str">
        <f ca="1">IFERROR(__xludf.DUMMYFUNCTION("""COMPUTED_VALUE"""),"Student")</f>
        <v>Student</v>
      </c>
      <c r="F1632" s="5" t="str">
        <f ca="1">IFERROR(__xludf.DUMMYFUNCTION("""COMPUTED_VALUE"""),"Fled/Apprehended")</f>
        <v>Fled/Apprehended</v>
      </c>
      <c r="G1632" s="5" t="str">
        <f ca="1">IFERROR(__xludf.DUMMYFUNCTION("""COMPUTED_VALUE"""),"No")</f>
        <v>No</v>
      </c>
      <c r="H1632" s="5" t="str">
        <f ca="1">IFERROR(__xludf.DUMMYFUNCTION("""COMPUTED_VALUE"""),"None")</f>
        <v>None</v>
      </c>
    </row>
    <row r="1633" spans="1:8" ht="13">
      <c r="A1633" s="5" t="str">
        <f ca="1">IFERROR(__xludf.DUMMYFUNCTION("""COMPUTED_VALUE"""),"20051027CABIF")</f>
        <v>20051027CABIF</v>
      </c>
      <c r="B1633" s="5" t="str">
        <f ca="1">IFERROR(__xludf.DUMMYFUNCTION("""COMPUTED_VALUE"""),"Adult")</f>
        <v>Adult</v>
      </c>
      <c r="C1633" s="5" t="str">
        <f ca="1">IFERROR(__xludf.DUMMYFUNCTION("""COMPUTED_VALUE"""),"Male")</f>
        <v>Male</v>
      </c>
      <c r="D1633" s="5"/>
      <c r="E1633" s="5" t="str">
        <f ca="1">IFERROR(__xludf.DUMMYFUNCTION("""COMPUTED_VALUE"""),"No Relation")</f>
        <v>No Relation</v>
      </c>
      <c r="F1633" s="5" t="str">
        <f ca="1">IFERROR(__xludf.DUMMYFUNCTION("""COMPUTED_VALUE"""),"Fled/Escaped")</f>
        <v>Fled/Escaped</v>
      </c>
      <c r="G1633" s="5" t="str">
        <f ca="1">IFERROR(__xludf.DUMMYFUNCTION("""COMPUTED_VALUE"""),"No")</f>
        <v>No</v>
      </c>
      <c r="H1633" s="5" t="str">
        <f ca="1">IFERROR(__xludf.DUMMYFUNCTION("""COMPUTED_VALUE"""),"None")</f>
        <v>None</v>
      </c>
    </row>
    <row r="1634" spans="1:8" ht="13">
      <c r="A1634" s="5" t="str">
        <f ca="1">IFERROR(__xludf.DUMMYFUNCTION("""COMPUTED_VALUE"""),"20051020MISAS")</f>
        <v>20051020MISAS</v>
      </c>
      <c r="B1634" s="5">
        <f ca="1">IFERROR(__xludf.DUMMYFUNCTION("""COMPUTED_VALUE"""),15)</f>
        <v>15</v>
      </c>
      <c r="C1634" s="5" t="str">
        <f ca="1">IFERROR(__xludf.DUMMYFUNCTION("""COMPUTED_VALUE"""),"Male")</f>
        <v>Male</v>
      </c>
      <c r="D1634" s="5"/>
      <c r="E1634" s="5" t="str">
        <f ca="1">IFERROR(__xludf.DUMMYFUNCTION("""COMPUTED_VALUE"""),"Student")</f>
        <v>Student</v>
      </c>
      <c r="F1634" s="5" t="str">
        <f ca="1">IFERROR(__xludf.DUMMYFUNCTION("""COMPUTED_VALUE"""),"Fled/Apprehended")</f>
        <v>Fled/Apprehended</v>
      </c>
      <c r="G1634" s="5" t="str">
        <f ca="1">IFERROR(__xludf.DUMMYFUNCTION("""COMPUTED_VALUE"""),"No")</f>
        <v>No</v>
      </c>
      <c r="H1634" s="5" t="str">
        <f ca="1">IFERROR(__xludf.DUMMYFUNCTION("""COMPUTED_VALUE"""),"None")</f>
        <v>None</v>
      </c>
    </row>
    <row r="1635" spans="1:8" ht="13">
      <c r="A1635" s="5" t="str">
        <f ca="1">IFERROR(__xludf.DUMMYFUNCTION("""COMPUTED_VALUE"""),"20051019CASAS")</f>
        <v>20051019CASAS</v>
      </c>
      <c r="B1635" s="5">
        <f ca="1">IFERROR(__xludf.DUMMYFUNCTION("""COMPUTED_VALUE"""),17)</f>
        <v>17</v>
      </c>
      <c r="C1635" s="5" t="str">
        <f ca="1">IFERROR(__xludf.DUMMYFUNCTION("""COMPUTED_VALUE"""),"Male")</f>
        <v>Male</v>
      </c>
      <c r="D1635" s="5"/>
      <c r="E1635" s="5" t="str">
        <f ca="1">IFERROR(__xludf.DUMMYFUNCTION("""COMPUTED_VALUE"""),"Student")</f>
        <v>Student</v>
      </c>
      <c r="F1635" s="5" t="str">
        <f ca="1">IFERROR(__xludf.DUMMYFUNCTION("""COMPUTED_VALUE"""),"Fled/Apprehended")</f>
        <v>Fled/Apprehended</v>
      </c>
      <c r="G1635" s="5" t="str">
        <f ca="1">IFERROR(__xludf.DUMMYFUNCTION("""COMPUTED_VALUE"""),"No")</f>
        <v>No</v>
      </c>
      <c r="H1635" s="5" t="str">
        <f ca="1">IFERROR(__xludf.DUMMYFUNCTION("""COMPUTED_VALUE"""),"None")</f>
        <v>None</v>
      </c>
    </row>
    <row r="1636" spans="1:8" ht="13">
      <c r="A1636" s="5" t="str">
        <f ca="1">IFERROR(__xludf.DUMMYFUNCTION("""COMPUTED_VALUE"""),"20051014NYSAN")</f>
        <v>20051014NYSAN</v>
      </c>
      <c r="B1636" s="5" t="str">
        <f ca="1">IFERROR(__xludf.DUMMYFUNCTION("""COMPUTED_VALUE"""),"Teen")</f>
        <v>Teen</v>
      </c>
      <c r="C1636" s="5" t="str">
        <f ca="1">IFERROR(__xludf.DUMMYFUNCTION("""COMPUTED_VALUE"""),"Male")</f>
        <v>Male</v>
      </c>
      <c r="D1636" s="5"/>
      <c r="E1636" s="5" t="str">
        <f ca="1">IFERROR(__xludf.DUMMYFUNCTION("""COMPUTED_VALUE"""),"Student")</f>
        <v>Student</v>
      </c>
      <c r="F1636" s="5" t="str">
        <f ca="1">IFERROR(__xludf.DUMMYFUNCTION("""COMPUTED_VALUE"""),"Fled/Escaped")</f>
        <v>Fled/Escaped</v>
      </c>
      <c r="G1636" s="5" t="str">
        <f ca="1">IFERROR(__xludf.DUMMYFUNCTION("""COMPUTED_VALUE"""),"No")</f>
        <v>No</v>
      </c>
      <c r="H1636" s="5" t="str">
        <f ca="1">IFERROR(__xludf.DUMMYFUNCTION("""COMPUTED_VALUE"""),"None")</f>
        <v>None</v>
      </c>
    </row>
    <row r="1637" spans="1:8" ht="13">
      <c r="A1637" s="5" t="str">
        <f ca="1">IFERROR(__xludf.DUMMYFUNCTION("""COMPUTED_VALUE"""),"20051011MIFAF")</f>
        <v>20051011MIFAF</v>
      </c>
      <c r="B1637" s="5">
        <f ca="1">IFERROR(__xludf.DUMMYFUNCTION("""COMPUTED_VALUE"""),17)</f>
        <v>17</v>
      </c>
      <c r="C1637" s="5" t="str">
        <f ca="1">IFERROR(__xludf.DUMMYFUNCTION("""COMPUTED_VALUE"""),"Male")</f>
        <v>Male</v>
      </c>
      <c r="D1637" s="5"/>
      <c r="E1637" s="5" t="str">
        <f ca="1">IFERROR(__xludf.DUMMYFUNCTION("""COMPUTED_VALUE"""),"Student")</f>
        <v>Student</v>
      </c>
      <c r="F1637" s="5" t="str">
        <f ca="1">IFERROR(__xludf.DUMMYFUNCTION("""COMPUTED_VALUE"""),"Surrendered")</f>
        <v>Surrendered</v>
      </c>
      <c r="G1637" s="5" t="str">
        <f ca="1">IFERROR(__xludf.DUMMYFUNCTION("""COMPUTED_VALUE"""),"No")</f>
        <v>No</v>
      </c>
      <c r="H1637" s="5" t="str">
        <f ca="1">IFERROR(__xludf.DUMMYFUNCTION("""COMPUTED_VALUE"""),"None")</f>
        <v>None</v>
      </c>
    </row>
    <row r="1638" spans="1:8" ht="13">
      <c r="A1638" s="5" t="str">
        <f ca="1">IFERROR(__xludf.DUMMYFUNCTION("""COMPUTED_VALUE"""),"20050924MISAS")</f>
        <v>20050924MISAS</v>
      </c>
      <c r="B1638" s="5"/>
      <c r="C1638" s="5"/>
      <c r="D1638" s="5"/>
      <c r="E1638" s="5" t="str">
        <f ca="1">IFERROR(__xludf.DUMMYFUNCTION("""COMPUTED_VALUE"""),"Unknown")</f>
        <v>Unknown</v>
      </c>
      <c r="F1638" s="5" t="str">
        <f ca="1">IFERROR(__xludf.DUMMYFUNCTION("""COMPUTED_VALUE"""),"Fled/Escaped")</f>
        <v>Fled/Escaped</v>
      </c>
      <c r="G1638" s="5" t="str">
        <f ca="1">IFERROR(__xludf.DUMMYFUNCTION("""COMPUTED_VALUE"""),"No")</f>
        <v>No</v>
      </c>
      <c r="H1638" s="5" t="str">
        <f ca="1">IFERROR(__xludf.DUMMYFUNCTION("""COMPUTED_VALUE"""),"None")</f>
        <v>None</v>
      </c>
    </row>
    <row r="1639" spans="1:8" ht="13">
      <c r="A1639" s="5" t="str">
        <f ca="1">IFERROR(__xludf.DUMMYFUNCTION("""COMPUTED_VALUE"""),"20050913ILHAC")</f>
        <v>20050913ILHAC</v>
      </c>
      <c r="B1639" s="5">
        <f ca="1">IFERROR(__xludf.DUMMYFUNCTION("""COMPUTED_VALUE"""),15)</f>
        <v>15</v>
      </c>
      <c r="C1639" s="5" t="str">
        <f ca="1">IFERROR(__xludf.DUMMYFUNCTION("""COMPUTED_VALUE"""),"Male")</f>
        <v>Male</v>
      </c>
      <c r="D1639" s="5" t="str">
        <f ca="1">IFERROR(__xludf.DUMMYFUNCTION("""COMPUTED_VALUE"""),"Black")</f>
        <v>Black</v>
      </c>
      <c r="E1639" s="5" t="str">
        <f ca="1">IFERROR(__xludf.DUMMYFUNCTION("""COMPUTED_VALUE"""),"Student")</f>
        <v>Student</v>
      </c>
      <c r="F1639" s="5" t="str">
        <f ca="1">IFERROR(__xludf.DUMMYFUNCTION("""COMPUTED_VALUE"""),"Apprehended/Killed by LE")</f>
        <v>Apprehended/Killed by LE</v>
      </c>
      <c r="G1639" s="5" t="str">
        <f ca="1">IFERROR(__xludf.DUMMYFUNCTION("""COMPUTED_VALUE"""),"No")</f>
        <v>No</v>
      </c>
      <c r="H1639" s="5" t="str">
        <f ca="1">IFERROR(__xludf.DUMMYFUNCTION("""COMPUTED_VALUE"""),"None")</f>
        <v>None</v>
      </c>
    </row>
    <row r="1640" spans="1:8" ht="13">
      <c r="A1640" s="5" t="str">
        <f ca="1">IFERROR(__xludf.DUMMYFUNCTION("""COMPUTED_VALUE"""),"20050902FLSOJ")</f>
        <v>20050902FLSOJ</v>
      </c>
      <c r="B1640" s="5">
        <f ca="1">IFERROR(__xludf.DUMMYFUNCTION("""COMPUTED_VALUE"""),21)</f>
        <v>21</v>
      </c>
      <c r="C1640" s="5" t="str">
        <f ca="1">IFERROR(__xludf.DUMMYFUNCTION("""COMPUTED_VALUE"""),"Male")</f>
        <v>Male</v>
      </c>
      <c r="D1640" s="5"/>
      <c r="E1640" s="5" t="str">
        <f ca="1">IFERROR(__xludf.DUMMYFUNCTION("""COMPUTED_VALUE"""),"No Relation")</f>
        <v>No Relation</v>
      </c>
      <c r="F1640" s="5" t="str">
        <f ca="1">IFERROR(__xludf.DUMMYFUNCTION("""COMPUTED_VALUE"""),"Fled/Escaped")</f>
        <v>Fled/Escaped</v>
      </c>
      <c r="G1640" s="5" t="str">
        <f ca="1">IFERROR(__xludf.DUMMYFUNCTION("""COMPUTED_VALUE"""),"No")</f>
        <v>No</v>
      </c>
      <c r="H1640" s="5" t="str">
        <f ca="1">IFERROR(__xludf.DUMMYFUNCTION("""COMPUTED_VALUE"""),"None")</f>
        <v>None</v>
      </c>
    </row>
    <row r="1641" spans="1:8" ht="13">
      <c r="A1641" s="5" t="str">
        <f ca="1">IFERROR(__xludf.DUMMYFUNCTION("""COMPUTED_VALUE"""),"20050901AKDIA")</f>
        <v>20050901AKDIA</v>
      </c>
      <c r="B1641" s="5">
        <f ca="1">IFERROR(__xludf.DUMMYFUNCTION("""COMPUTED_VALUE"""),15)</f>
        <v>15</v>
      </c>
      <c r="C1641" s="5" t="str">
        <f ca="1">IFERROR(__xludf.DUMMYFUNCTION("""COMPUTED_VALUE"""),"Male")</f>
        <v>Male</v>
      </c>
      <c r="D1641" s="5"/>
      <c r="E1641" s="5" t="str">
        <f ca="1">IFERROR(__xludf.DUMMYFUNCTION("""COMPUTED_VALUE"""),"Student")</f>
        <v>Student</v>
      </c>
      <c r="F1641" s="5" t="str">
        <f ca="1">IFERROR(__xludf.DUMMYFUNCTION("""COMPUTED_VALUE"""),"Fled/Apprehended")</f>
        <v>Fled/Apprehended</v>
      </c>
      <c r="G1641" s="5" t="str">
        <f ca="1">IFERROR(__xludf.DUMMYFUNCTION("""COMPUTED_VALUE"""),"No")</f>
        <v>No</v>
      </c>
      <c r="H1641" s="5" t="str">
        <f ca="1">IFERROR(__xludf.DUMMYFUNCTION("""COMPUTED_VALUE"""),"None")</f>
        <v>None</v>
      </c>
    </row>
    <row r="1642" spans="1:8" ht="13">
      <c r="A1642" s="5" t="str">
        <f ca="1">IFERROR(__xludf.DUMMYFUNCTION("""COMPUTED_VALUE"""),"20050825TNMAD")</f>
        <v>20050825TNMAD</v>
      </c>
      <c r="B1642" s="5" t="str">
        <f ca="1">IFERROR(__xludf.DUMMYFUNCTION("""COMPUTED_VALUE"""),"Teen")</f>
        <v>Teen</v>
      </c>
      <c r="C1642" s="5" t="str">
        <f ca="1">IFERROR(__xludf.DUMMYFUNCTION("""COMPUTED_VALUE"""),"Male")</f>
        <v>Male</v>
      </c>
      <c r="D1642" s="5"/>
      <c r="E1642" s="5" t="str">
        <f ca="1">IFERROR(__xludf.DUMMYFUNCTION("""COMPUTED_VALUE"""),"Student")</f>
        <v>Student</v>
      </c>
      <c r="F1642" s="5" t="str">
        <f ca="1">IFERROR(__xludf.DUMMYFUNCTION("""COMPUTED_VALUE"""),"Apprehended/Killed by LE")</f>
        <v>Apprehended/Killed by LE</v>
      </c>
      <c r="G1642" s="5" t="str">
        <f ca="1">IFERROR(__xludf.DUMMYFUNCTION("""COMPUTED_VALUE"""),"No")</f>
        <v>No</v>
      </c>
      <c r="H1642" s="5" t="str">
        <f ca="1">IFERROR(__xludf.DUMMYFUNCTION("""COMPUTED_VALUE"""),"None")</f>
        <v>None</v>
      </c>
    </row>
    <row r="1643" spans="1:8" ht="13">
      <c r="A1643" s="5" t="str">
        <f ca="1">IFERROR(__xludf.DUMMYFUNCTION("""COMPUTED_VALUE"""),"20050819GAMOM")</f>
        <v>20050819GAMOM</v>
      </c>
      <c r="B1643" s="5"/>
      <c r="C1643" s="5" t="str">
        <f ca="1">IFERROR(__xludf.DUMMYFUNCTION("""COMPUTED_VALUE"""),"Male")</f>
        <v>Male</v>
      </c>
      <c r="D1643" s="5"/>
      <c r="E1643" s="5" t="str">
        <f ca="1">IFERROR(__xludf.DUMMYFUNCTION("""COMPUTED_VALUE"""),"Unknown")</f>
        <v>Unknown</v>
      </c>
      <c r="F1643" s="5" t="str">
        <f ca="1">IFERROR(__xludf.DUMMYFUNCTION("""COMPUTED_VALUE"""),"Fled/Escaped")</f>
        <v>Fled/Escaped</v>
      </c>
      <c r="G1643" s="5" t="str">
        <f ca="1">IFERROR(__xludf.DUMMYFUNCTION("""COMPUTED_VALUE"""),"No")</f>
        <v>No</v>
      </c>
      <c r="H1643" s="5" t="str">
        <f ca="1">IFERROR(__xludf.DUMMYFUNCTION("""COMPUTED_VALUE"""),"None")</f>
        <v>None</v>
      </c>
    </row>
    <row r="1644" spans="1:8" ht="13">
      <c r="A1644" s="5" t="str">
        <f ca="1">IFERROR(__xludf.DUMMYFUNCTION("""COMPUTED_VALUE"""),"20050817CAPLB")</f>
        <v>20050817CAPLB</v>
      </c>
      <c r="B1644" s="5">
        <f ca="1">IFERROR(__xludf.DUMMYFUNCTION("""COMPUTED_VALUE"""),26)</f>
        <v>26</v>
      </c>
      <c r="C1644" s="5" t="str">
        <f ca="1">IFERROR(__xludf.DUMMYFUNCTION("""COMPUTED_VALUE"""),"Male")</f>
        <v>Male</v>
      </c>
      <c r="D1644" s="5"/>
      <c r="E1644" s="5" t="str">
        <f ca="1">IFERROR(__xludf.DUMMYFUNCTION("""COMPUTED_VALUE"""),"No Relation")</f>
        <v>No Relation</v>
      </c>
      <c r="F1644" s="5" t="str">
        <f ca="1">IFERROR(__xludf.DUMMYFUNCTION("""COMPUTED_VALUE"""),"Fled/Apprehended")</f>
        <v>Fled/Apprehended</v>
      </c>
      <c r="G1644" s="5" t="str">
        <f ca="1">IFERROR(__xludf.DUMMYFUNCTION("""COMPUTED_VALUE"""),"No")</f>
        <v>No</v>
      </c>
      <c r="H1644" s="5" t="str">
        <f ca="1">IFERROR(__xludf.DUMMYFUNCTION("""COMPUTED_VALUE"""),"None")</f>
        <v>None</v>
      </c>
    </row>
    <row r="1645" spans="1:8" ht="13">
      <c r="A1645" s="5" t="str">
        <f ca="1">IFERROR(__xludf.DUMMYFUNCTION("""COMPUTED_VALUE"""),"20050816VICOE")</f>
        <v>20050816VICOE</v>
      </c>
      <c r="B1645" s="5" t="str">
        <f ca="1">IFERROR(__xludf.DUMMYFUNCTION("""COMPUTED_VALUE"""),"Adult")</f>
        <v>Adult</v>
      </c>
      <c r="C1645" s="5" t="str">
        <f ca="1">IFERROR(__xludf.DUMMYFUNCTION("""COMPUTED_VALUE"""),"Male")</f>
        <v>Male</v>
      </c>
      <c r="D1645" s="5"/>
      <c r="E1645" s="5" t="str">
        <f ca="1">IFERROR(__xludf.DUMMYFUNCTION("""COMPUTED_VALUE"""),"No Relation")</f>
        <v>No Relation</v>
      </c>
      <c r="F1645" s="5" t="str">
        <f ca="1">IFERROR(__xludf.DUMMYFUNCTION("""COMPUTED_VALUE"""),"Fled/Escaped")</f>
        <v>Fled/Escaped</v>
      </c>
      <c r="G1645" s="5" t="str">
        <f ca="1">IFERROR(__xludf.DUMMYFUNCTION("""COMPUTED_VALUE"""),"No")</f>
        <v>No</v>
      </c>
      <c r="H1645" s="5" t="str">
        <f ca="1">IFERROR(__xludf.DUMMYFUNCTION("""COMPUTED_VALUE"""),"None")</f>
        <v>None</v>
      </c>
    </row>
    <row r="1646" spans="1:8" ht="13">
      <c r="A1646" s="5" t="str">
        <f ca="1">IFERROR(__xludf.DUMMYFUNCTION("""COMPUTED_VALUE"""),"20050816VICOE")</f>
        <v>20050816VICOE</v>
      </c>
      <c r="B1646" s="5" t="str">
        <f ca="1">IFERROR(__xludf.DUMMYFUNCTION("""COMPUTED_VALUE"""),"Adult")</f>
        <v>Adult</v>
      </c>
      <c r="C1646" s="5" t="str">
        <f ca="1">IFERROR(__xludf.DUMMYFUNCTION("""COMPUTED_VALUE"""),"Male")</f>
        <v>Male</v>
      </c>
      <c r="D1646" s="5"/>
      <c r="E1646" s="5" t="str">
        <f ca="1">IFERROR(__xludf.DUMMYFUNCTION("""COMPUTED_VALUE"""),"No Relation")</f>
        <v>No Relation</v>
      </c>
      <c r="F1646" s="5" t="str">
        <f ca="1">IFERROR(__xludf.DUMMYFUNCTION("""COMPUTED_VALUE"""),"Fled/Escaped")</f>
        <v>Fled/Escaped</v>
      </c>
      <c r="G1646" s="5" t="str">
        <f ca="1">IFERROR(__xludf.DUMMYFUNCTION("""COMPUTED_VALUE"""),"No")</f>
        <v>No</v>
      </c>
      <c r="H1646" s="5" t="str">
        <f ca="1">IFERROR(__xludf.DUMMYFUNCTION("""COMPUTED_VALUE"""),"None")</f>
        <v>None</v>
      </c>
    </row>
    <row r="1647" spans="1:8" ht="13">
      <c r="A1647" s="5" t="str">
        <f ca="1">IFERROR(__xludf.DUMMYFUNCTION("""COMPUTED_VALUE"""),"20050718NJWEN")</f>
        <v>20050718NJWEN</v>
      </c>
      <c r="B1647" s="5">
        <f ca="1">IFERROR(__xludf.DUMMYFUNCTION("""COMPUTED_VALUE"""),25)</f>
        <v>25</v>
      </c>
      <c r="C1647" s="5" t="str">
        <f ca="1">IFERROR(__xludf.DUMMYFUNCTION("""COMPUTED_VALUE"""),"Male")</f>
        <v>Male</v>
      </c>
      <c r="D1647" s="5"/>
      <c r="E1647" s="5" t="str">
        <f ca="1">IFERROR(__xludf.DUMMYFUNCTION("""COMPUTED_VALUE"""),"Relative")</f>
        <v>Relative</v>
      </c>
      <c r="F1647" s="5" t="str">
        <f ca="1">IFERROR(__xludf.DUMMYFUNCTION("""COMPUTED_VALUE"""),"Fled/Apprehended")</f>
        <v>Fled/Apprehended</v>
      </c>
      <c r="G1647" s="5" t="str">
        <f ca="1">IFERROR(__xludf.DUMMYFUNCTION("""COMPUTED_VALUE"""),"No")</f>
        <v>No</v>
      </c>
      <c r="H1647" s="5" t="str">
        <f ca="1">IFERROR(__xludf.DUMMYFUNCTION("""COMPUTED_VALUE"""),"Wounded")</f>
        <v>Wounded</v>
      </c>
    </row>
    <row r="1648" spans="1:8" ht="13">
      <c r="A1648" s="5" t="str">
        <f ca="1">IFERROR(__xludf.DUMMYFUNCTION("""COMPUTED_VALUE"""),"20050612NJBAA")</f>
        <v>20050612NJBAA</v>
      </c>
      <c r="B1648" s="5" t="str">
        <f ca="1">IFERROR(__xludf.DUMMYFUNCTION("""COMPUTED_VALUE"""),"Adult")</f>
        <v>Adult</v>
      </c>
      <c r="C1648" s="5" t="str">
        <f ca="1">IFERROR(__xludf.DUMMYFUNCTION("""COMPUTED_VALUE"""),"Male")</f>
        <v>Male</v>
      </c>
      <c r="D1648" s="5"/>
      <c r="E1648" s="5" t="str">
        <f ca="1">IFERROR(__xludf.DUMMYFUNCTION("""COMPUTED_VALUE"""),"No Relation")</f>
        <v>No Relation</v>
      </c>
      <c r="F1648" s="5" t="str">
        <f ca="1">IFERROR(__xludf.DUMMYFUNCTION("""COMPUTED_VALUE"""),"Fled/Escaped")</f>
        <v>Fled/Escaped</v>
      </c>
      <c r="G1648" s="5" t="str">
        <f ca="1">IFERROR(__xludf.DUMMYFUNCTION("""COMPUTED_VALUE"""),"No")</f>
        <v>No</v>
      </c>
      <c r="H1648" s="5" t="str">
        <f ca="1">IFERROR(__xludf.DUMMYFUNCTION("""COMPUTED_VALUE"""),"None")</f>
        <v>None</v>
      </c>
    </row>
    <row r="1649" spans="1:8" ht="13">
      <c r="A1649" s="5" t="str">
        <f ca="1">IFERROR(__xludf.DUMMYFUNCTION("""COMPUTED_VALUE"""),"20050608NYARP")</f>
        <v>20050608NYARP</v>
      </c>
      <c r="B1649" s="5">
        <f ca="1">IFERROR(__xludf.DUMMYFUNCTION("""COMPUTED_VALUE"""),17)</f>
        <v>17</v>
      </c>
      <c r="C1649" s="5" t="str">
        <f ca="1">IFERROR(__xludf.DUMMYFUNCTION("""COMPUTED_VALUE"""),"Male")</f>
        <v>Male</v>
      </c>
      <c r="D1649" s="5"/>
      <c r="E1649" s="5" t="str">
        <f ca="1">IFERROR(__xludf.DUMMYFUNCTION("""COMPUTED_VALUE"""),"Student")</f>
        <v>Student</v>
      </c>
      <c r="F1649" s="5" t="str">
        <f ca="1">IFERROR(__xludf.DUMMYFUNCTION("""COMPUTED_VALUE"""),"Fled/Apprehended")</f>
        <v>Fled/Apprehended</v>
      </c>
      <c r="G1649" s="5" t="str">
        <f ca="1">IFERROR(__xludf.DUMMYFUNCTION("""COMPUTED_VALUE"""),"No")</f>
        <v>No</v>
      </c>
      <c r="H1649" s="5" t="str">
        <f ca="1">IFERROR(__xludf.DUMMYFUNCTION("""COMPUTED_VALUE"""),"None")</f>
        <v>None</v>
      </c>
    </row>
    <row r="1650" spans="1:8" ht="13">
      <c r="A1650" s="5" t="str">
        <f ca="1">IFERROR(__xludf.DUMMYFUNCTION("""COMPUTED_VALUE"""),"20050524LABOS")</f>
        <v>20050524LABOS</v>
      </c>
      <c r="B1650" s="5">
        <f ca="1">IFERROR(__xludf.DUMMYFUNCTION("""COMPUTED_VALUE"""),16)</f>
        <v>16</v>
      </c>
      <c r="C1650" s="5" t="str">
        <f ca="1">IFERROR(__xludf.DUMMYFUNCTION("""COMPUTED_VALUE"""),"Male")</f>
        <v>Male</v>
      </c>
      <c r="D1650" s="5"/>
      <c r="E1650" s="5" t="str">
        <f ca="1">IFERROR(__xludf.DUMMYFUNCTION("""COMPUTED_VALUE"""),"Student")</f>
        <v>Student</v>
      </c>
      <c r="F1650" s="5" t="str">
        <f ca="1">IFERROR(__xludf.DUMMYFUNCTION("""COMPUTED_VALUE"""),"Fled/Apprehended")</f>
        <v>Fled/Apprehended</v>
      </c>
      <c r="G1650" s="5" t="str">
        <f ca="1">IFERROR(__xludf.DUMMYFUNCTION("""COMPUTED_VALUE"""),"No")</f>
        <v>No</v>
      </c>
      <c r="H1650" s="5" t="str">
        <f ca="1">IFERROR(__xludf.DUMMYFUNCTION("""COMPUTED_VALUE"""),"Wounded")</f>
        <v>Wounded</v>
      </c>
    </row>
    <row r="1651" spans="1:8" ht="13">
      <c r="A1651" s="5" t="str">
        <f ca="1">IFERROR(__xludf.DUMMYFUNCTION("""COMPUTED_VALUE"""),"20050524COACD")</f>
        <v>20050524COACD</v>
      </c>
      <c r="B1651" s="5"/>
      <c r="C1651" s="5"/>
      <c r="D1651" s="5"/>
      <c r="E1651" s="5" t="str">
        <f ca="1">IFERROR(__xludf.DUMMYFUNCTION("""COMPUTED_VALUE"""),"Unknown")</f>
        <v>Unknown</v>
      </c>
      <c r="F1651" s="5" t="str">
        <f ca="1">IFERROR(__xludf.DUMMYFUNCTION("""COMPUTED_VALUE"""),"Fled/Escaped")</f>
        <v>Fled/Escaped</v>
      </c>
      <c r="G1651" s="5" t="str">
        <f ca="1">IFERROR(__xludf.DUMMYFUNCTION("""COMPUTED_VALUE"""),"No")</f>
        <v>No</v>
      </c>
      <c r="H1651" s="5" t="str">
        <f ca="1">IFERROR(__xludf.DUMMYFUNCTION("""COMPUTED_VALUE"""),"None")</f>
        <v>None</v>
      </c>
    </row>
    <row r="1652" spans="1:8" ht="13">
      <c r="A1652" s="5" t="str">
        <f ca="1">IFERROR(__xludf.DUMMYFUNCTION("""COMPUTED_VALUE"""),"20050520ILLOM")</f>
        <v>20050520ILLOM</v>
      </c>
      <c r="B1652" s="5">
        <f ca="1">IFERROR(__xludf.DUMMYFUNCTION("""COMPUTED_VALUE"""),19)</f>
        <v>19</v>
      </c>
      <c r="C1652" s="5" t="str">
        <f ca="1">IFERROR(__xludf.DUMMYFUNCTION("""COMPUTED_VALUE"""),"Male")</f>
        <v>Male</v>
      </c>
      <c r="D1652" s="5"/>
      <c r="E1652" s="5" t="str">
        <f ca="1">IFERROR(__xludf.DUMMYFUNCTION("""COMPUTED_VALUE"""),"Former Student")</f>
        <v>Former Student</v>
      </c>
      <c r="F1652" s="5" t="str">
        <f ca="1">IFERROR(__xludf.DUMMYFUNCTION("""COMPUTED_VALUE"""),"Unknown")</f>
        <v>Unknown</v>
      </c>
      <c r="G1652" s="5" t="str">
        <f ca="1">IFERROR(__xludf.DUMMYFUNCTION("""COMPUTED_VALUE"""),"No")</f>
        <v>No</v>
      </c>
      <c r="H1652" s="5" t="str">
        <f ca="1">IFERROR(__xludf.DUMMYFUNCTION("""COMPUTED_VALUE"""),"None")</f>
        <v>None</v>
      </c>
    </row>
    <row r="1653" spans="1:8" ht="13">
      <c r="A1653" s="5" t="str">
        <f ca="1">IFERROR(__xludf.DUMMYFUNCTION("""COMPUTED_VALUE"""),"20050517PAHIL")</f>
        <v>20050517PAHIL</v>
      </c>
      <c r="B1653" s="5">
        <f ca="1">IFERROR(__xludf.DUMMYFUNCTION("""COMPUTED_VALUE"""),47)</f>
        <v>47</v>
      </c>
      <c r="C1653" s="5" t="str">
        <f ca="1">IFERROR(__xludf.DUMMYFUNCTION("""COMPUTED_VALUE"""),"Male")</f>
        <v>Male</v>
      </c>
      <c r="D1653" s="5"/>
      <c r="E1653" s="5" t="str">
        <f ca="1">IFERROR(__xludf.DUMMYFUNCTION("""COMPUTED_VALUE"""),"Intimate Relationship")</f>
        <v>Intimate Relationship</v>
      </c>
      <c r="F1653" s="5" t="str">
        <f ca="1">IFERROR(__xludf.DUMMYFUNCTION("""COMPUTED_VALUE"""),"Suicide")</f>
        <v>Suicide</v>
      </c>
      <c r="G1653" s="5" t="str">
        <f ca="1">IFERROR(__xludf.DUMMYFUNCTION("""COMPUTED_VALUE"""),"Yes")</f>
        <v>Yes</v>
      </c>
      <c r="H1653" s="5" t="str">
        <f ca="1">IFERROR(__xludf.DUMMYFUNCTION("""COMPUTED_VALUE"""),"Suicide")</f>
        <v>Suicide</v>
      </c>
    </row>
    <row r="1654" spans="1:8" ht="13">
      <c r="A1654" s="5" t="str">
        <f ca="1">IFERROR(__xludf.DUMMYFUNCTION("""COMPUTED_VALUE"""),"20050514TXBER")</f>
        <v>20050514TXBER</v>
      </c>
      <c r="B1654" s="5">
        <f ca="1">IFERROR(__xludf.DUMMYFUNCTION("""COMPUTED_VALUE"""),17)</f>
        <v>17</v>
      </c>
      <c r="C1654" s="5" t="str">
        <f ca="1">IFERROR(__xludf.DUMMYFUNCTION("""COMPUTED_VALUE"""),"Male")</f>
        <v>Male</v>
      </c>
      <c r="D1654" s="5"/>
      <c r="E1654" s="5" t="str">
        <f ca="1">IFERROR(__xludf.DUMMYFUNCTION("""COMPUTED_VALUE"""),"Rival School Student")</f>
        <v>Rival School Student</v>
      </c>
      <c r="F1654" s="5" t="str">
        <f ca="1">IFERROR(__xludf.DUMMYFUNCTION("""COMPUTED_VALUE"""),"Fled/Apprehended")</f>
        <v>Fled/Apprehended</v>
      </c>
      <c r="G1654" s="5" t="str">
        <f ca="1">IFERROR(__xludf.DUMMYFUNCTION("""COMPUTED_VALUE"""),"No")</f>
        <v>No</v>
      </c>
      <c r="H1654" s="5" t="str">
        <f ca="1">IFERROR(__xludf.DUMMYFUNCTION("""COMPUTED_VALUE"""),"None")</f>
        <v>None</v>
      </c>
    </row>
    <row r="1655" spans="1:8" ht="13">
      <c r="A1655" s="5" t="str">
        <f ca="1">IFERROR(__xludf.DUMMYFUNCTION("""COMPUTED_VALUE"""),"20050429OHDAC")</f>
        <v>20050429OHDAC</v>
      </c>
      <c r="B1655" s="5">
        <f ca="1">IFERROR(__xludf.DUMMYFUNCTION("""COMPUTED_VALUE"""),17)</f>
        <v>17</v>
      </c>
      <c r="C1655" s="5" t="str">
        <f ca="1">IFERROR(__xludf.DUMMYFUNCTION("""COMPUTED_VALUE"""),"Male")</f>
        <v>Male</v>
      </c>
      <c r="D1655" s="5"/>
      <c r="E1655" s="5" t="str">
        <f ca="1">IFERROR(__xludf.DUMMYFUNCTION("""COMPUTED_VALUE"""),"Unknown")</f>
        <v>Unknown</v>
      </c>
      <c r="F1655" s="5" t="str">
        <f ca="1">IFERROR(__xludf.DUMMYFUNCTION("""COMPUTED_VALUE"""),"Fled/Apprehended")</f>
        <v>Fled/Apprehended</v>
      </c>
      <c r="G1655" s="5" t="str">
        <f ca="1">IFERROR(__xludf.DUMMYFUNCTION("""COMPUTED_VALUE"""),"No")</f>
        <v>No</v>
      </c>
      <c r="H1655" s="5" t="str">
        <f ca="1">IFERROR(__xludf.DUMMYFUNCTION("""COMPUTED_VALUE"""),"None")</f>
        <v>None</v>
      </c>
    </row>
    <row r="1656" spans="1:8" ht="13">
      <c r="A1656" s="5" t="str">
        <f ca="1">IFERROR(__xludf.DUMMYFUNCTION("""COMPUTED_VALUE"""),"20050427LALER")</f>
        <v>20050427LALER</v>
      </c>
      <c r="B1656" s="5">
        <f ca="1">IFERROR(__xludf.DUMMYFUNCTION("""COMPUTED_VALUE"""),15)</f>
        <v>15</v>
      </c>
      <c r="C1656" s="5" t="str">
        <f ca="1">IFERROR(__xludf.DUMMYFUNCTION("""COMPUTED_VALUE"""),"Male")</f>
        <v>Male</v>
      </c>
      <c r="D1656" s="5"/>
      <c r="E1656" s="5" t="str">
        <f ca="1">IFERROR(__xludf.DUMMYFUNCTION("""COMPUTED_VALUE"""),"Student")</f>
        <v>Student</v>
      </c>
      <c r="F1656" s="5" t="str">
        <f ca="1">IFERROR(__xludf.DUMMYFUNCTION("""COMPUTED_VALUE"""),"Fled/Apprehended")</f>
        <v>Fled/Apprehended</v>
      </c>
      <c r="G1656" s="5" t="str">
        <f ca="1">IFERROR(__xludf.DUMMYFUNCTION("""COMPUTED_VALUE"""),"No")</f>
        <v>No</v>
      </c>
      <c r="H1656" s="5" t="str">
        <f ca="1">IFERROR(__xludf.DUMMYFUNCTION("""COMPUTED_VALUE"""),"None")</f>
        <v>None</v>
      </c>
    </row>
    <row r="1657" spans="1:8" ht="13">
      <c r="A1657" s="5" t="str">
        <f ca="1">IFERROR(__xludf.DUMMYFUNCTION("""COMPUTED_VALUE"""),"20050407TXCAC")</f>
        <v>20050407TXCAC</v>
      </c>
      <c r="B1657" s="5">
        <f ca="1">IFERROR(__xludf.DUMMYFUNCTION("""COMPUTED_VALUE"""),45)</f>
        <v>45</v>
      </c>
      <c r="C1657" s="5" t="str">
        <f ca="1">IFERROR(__xludf.DUMMYFUNCTION("""COMPUTED_VALUE"""),"Male")</f>
        <v>Male</v>
      </c>
      <c r="D1657" s="5" t="str">
        <f ca="1">IFERROR(__xludf.DUMMYFUNCTION("""COMPUTED_VALUE"""),"White")</f>
        <v>White</v>
      </c>
      <c r="E1657" s="5" t="str">
        <f ca="1">IFERROR(__xludf.DUMMYFUNCTION("""COMPUTED_VALUE"""),"Parent")</f>
        <v>Parent</v>
      </c>
      <c r="F1657" s="5" t="str">
        <f ca="1">IFERROR(__xludf.DUMMYFUNCTION("""COMPUTED_VALUE"""),"Fled/Apprehended")</f>
        <v>Fled/Apprehended</v>
      </c>
      <c r="G1657" s="5" t="str">
        <f ca="1">IFERROR(__xludf.DUMMYFUNCTION("""COMPUTED_VALUE"""),"No")</f>
        <v>No</v>
      </c>
      <c r="H1657" s="5" t="str">
        <f ca="1">IFERROR(__xludf.DUMMYFUNCTION("""COMPUTED_VALUE"""),"None")</f>
        <v>None</v>
      </c>
    </row>
    <row r="1658" spans="1:8" ht="13">
      <c r="A1658" s="5" t="str">
        <f ca="1">IFERROR(__xludf.DUMMYFUNCTION("""COMPUTED_VALUE"""),"20050330TNEAM")</f>
        <v>20050330TNEAM</v>
      </c>
      <c r="B1658" s="5">
        <f ca="1">IFERROR(__xludf.DUMMYFUNCTION("""COMPUTED_VALUE"""),17)</f>
        <v>17</v>
      </c>
      <c r="C1658" s="5" t="str">
        <f ca="1">IFERROR(__xludf.DUMMYFUNCTION("""COMPUTED_VALUE"""),"Male")</f>
        <v>Male</v>
      </c>
      <c r="D1658" s="5"/>
      <c r="E1658" s="5" t="str">
        <f ca="1">IFERROR(__xludf.DUMMYFUNCTION("""COMPUTED_VALUE"""),"Student")</f>
        <v>Student</v>
      </c>
      <c r="F1658" s="5" t="str">
        <f ca="1">IFERROR(__xludf.DUMMYFUNCTION("""COMPUTED_VALUE"""),"Fled/Apprehended")</f>
        <v>Fled/Apprehended</v>
      </c>
      <c r="G1658" s="5" t="str">
        <f ca="1">IFERROR(__xludf.DUMMYFUNCTION("""COMPUTED_VALUE"""),"No")</f>
        <v>No</v>
      </c>
      <c r="H1658" s="5" t="str">
        <f ca="1">IFERROR(__xludf.DUMMYFUNCTION("""COMPUTED_VALUE"""),"Wounded")</f>
        <v>Wounded</v>
      </c>
    </row>
    <row r="1659" spans="1:8" ht="13">
      <c r="A1659" s="5" t="str">
        <f ca="1">IFERROR(__xludf.DUMMYFUNCTION("""COMPUTED_VALUE"""),"20050324TNFAM")</f>
        <v>20050324TNFAM</v>
      </c>
      <c r="B1659" s="5">
        <f ca="1">IFERROR(__xludf.DUMMYFUNCTION("""COMPUTED_VALUE"""),17)</f>
        <v>17</v>
      </c>
      <c r="C1659" s="5" t="str">
        <f ca="1">IFERROR(__xludf.DUMMYFUNCTION("""COMPUTED_VALUE"""),"Female")</f>
        <v>Female</v>
      </c>
      <c r="D1659" s="5"/>
      <c r="E1659" s="5" t="str">
        <f ca="1">IFERROR(__xludf.DUMMYFUNCTION("""COMPUTED_VALUE"""),"Student")</f>
        <v>Student</v>
      </c>
      <c r="F1659" s="5" t="str">
        <f ca="1">IFERROR(__xludf.DUMMYFUNCTION("""COMPUTED_VALUE"""),"Unknown")</f>
        <v>Unknown</v>
      </c>
      <c r="G1659" s="5" t="str">
        <f ca="1">IFERROR(__xludf.DUMMYFUNCTION("""COMPUTED_VALUE"""),"No")</f>
        <v>No</v>
      </c>
      <c r="H1659" s="5" t="str">
        <f ca="1">IFERROR(__xludf.DUMMYFUNCTION("""COMPUTED_VALUE"""),"Wounded")</f>
        <v>Wounded</v>
      </c>
    </row>
    <row r="1660" spans="1:8" ht="13">
      <c r="A1660" s="5" t="str">
        <f ca="1">IFERROR(__xludf.DUMMYFUNCTION("""COMPUTED_VALUE"""),"20050321NYNEB")</f>
        <v>20050321NYNEB</v>
      </c>
      <c r="B1660" s="5">
        <f ca="1">IFERROR(__xludf.DUMMYFUNCTION("""COMPUTED_VALUE"""),15)</f>
        <v>15</v>
      </c>
      <c r="C1660" s="5" t="str">
        <f ca="1">IFERROR(__xludf.DUMMYFUNCTION("""COMPUTED_VALUE"""),"Male")</f>
        <v>Male</v>
      </c>
      <c r="D1660" s="5"/>
      <c r="E1660" s="5" t="str">
        <f ca="1">IFERROR(__xludf.DUMMYFUNCTION("""COMPUTED_VALUE"""),"Student")</f>
        <v>Student</v>
      </c>
      <c r="F1660" s="5" t="str">
        <f ca="1">IFERROR(__xludf.DUMMYFUNCTION("""COMPUTED_VALUE"""),"Fled/Apprehended")</f>
        <v>Fled/Apprehended</v>
      </c>
      <c r="G1660" s="5" t="str">
        <f ca="1">IFERROR(__xludf.DUMMYFUNCTION("""COMPUTED_VALUE"""),"No")</f>
        <v>No</v>
      </c>
      <c r="H1660" s="5" t="str">
        <f ca="1">IFERROR(__xludf.DUMMYFUNCTION("""COMPUTED_VALUE"""),"Wounded")</f>
        <v>Wounded</v>
      </c>
    </row>
    <row r="1661" spans="1:8" ht="13">
      <c r="A1661" s="5" t="str">
        <f ca="1">IFERROR(__xludf.DUMMYFUNCTION("""COMPUTED_VALUE"""),"20050321MNRER")</f>
        <v>20050321MNRER</v>
      </c>
      <c r="B1661" s="5">
        <f ca="1">IFERROR(__xludf.DUMMYFUNCTION("""COMPUTED_VALUE"""),16)</f>
        <v>16</v>
      </c>
      <c r="C1661" s="5" t="str">
        <f ca="1">IFERROR(__xludf.DUMMYFUNCTION("""COMPUTED_VALUE"""),"Male")</f>
        <v>Male</v>
      </c>
      <c r="D1661" s="5" t="str">
        <f ca="1">IFERROR(__xludf.DUMMYFUNCTION("""COMPUTED_VALUE"""),"Native American/Alaska Native")</f>
        <v>Native American/Alaska Native</v>
      </c>
      <c r="E1661" s="5" t="str">
        <f ca="1">IFERROR(__xludf.DUMMYFUNCTION("""COMPUTED_VALUE"""),"Former Student")</f>
        <v>Former Student</v>
      </c>
      <c r="F1661" s="5" t="str">
        <f ca="1">IFERROR(__xludf.DUMMYFUNCTION("""COMPUTED_VALUE"""),"Suicide")</f>
        <v>Suicide</v>
      </c>
      <c r="G1661" s="5" t="str">
        <f ca="1">IFERROR(__xludf.DUMMYFUNCTION("""COMPUTED_VALUE"""),"Yes")</f>
        <v>Yes</v>
      </c>
      <c r="H1661" s="5" t="str">
        <f ca="1">IFERROR(__xludf.DUMMYFUNCTION("""COMPUTED_VALUE"""),"Suicide")</f>
        <v>Suicide</v>
      </c>
    </row>
    <row r="1662" spans="1:8" ht="13">
      <c r="A1662" s="5" t="str">
        <f ca="1">IFERROR(__xludf.DUMMYFUNCTION("""COMPUTED_VALUE"""),"20050317LAOPA")</f>
        <v>20050317LAOPA</v>
      </c>
      <c r="B1662" s="5"/>
      <c r="C1662" s="5" t="str">
        <f ca="1">IFERROR(__xludf.DUMMYFUNCTION("""COMPUTED_VALUE"""),"Male")</f>
        <v>Male</v>
      </c>
      <c r="D1662" s="5"/>
      <c r="E1662" s="5" t="str">
        <f ca="1">IFERROR(__xludf.DUMMYFUNCTION("""COMPUTED_VALUE"""),"Student")</f>
        <v>Student</v>
      </c>
      <c r="F1662" s="5" t="str">
        <f ca="1">IFERROR(__xludf.DUMMYFUNCTION("""COMPUTED_VALUE"""),"Fled/Escaped")</f>
        <v>Fled/Escaped</v>
      </c>
      <c r="G1662" s="5" t="str">
        <f ca="1">IFERROR(__xludf.DUMMYFUNCTION("""COMPUTED_VALUE"""),"No")</f>
        <v>No</v>
      </c>
      <c r="H1662" s="5" t="str">
        <f ca="1">IFERROR(__xludf.DUMMYFUNCTION("""COMPUTED_VALUE"""),"None")</f>
        <v>None</v>
      </c>
    </row>
    <row r="1663" spans="1:8" ht="13">
      <c r="A1663" s="5" t="str">
        <f ca="1">IFERROR(__xludf.DUMMYFUNCTION("""COMPUTED_VALUE"""),"20050317CALOL")</f>
        <v>20050317CALOL</v>
      </c>
      <c r="B1663" s="5">
        <f ca="1">IFERROR(__xludf.DUMMYFUNCTION("""COMPUTED_VALUE"""),18)</f>
        <v>18</v>
      </c>
      <c r="C1663" s="5" t="str">
        <f ca="1">IFERROR(__xludf.DUMMYFUNCTION("""COMPUTED_VALUE"""),"Male")</f>
        <v>Male</v>
      </c>
      <c r="D1663" s="5" t="str">
        <f ca="1">IFERROR(__xludf.DUMMYFUNCTION("""COMPUTED_VALUE"""),"Black")</f>
        <v>Black</v>
      </c>
      <c r="E1663" s="5" t="str">
        <f ca="1">IFERROR(__xludf.DUMMYFUNCTION("""COMPUTED_VALUE"""),"No Relation")</f>
        <v>No Relation</v>
      </c>
      <c r="F1663" s="5" t="str">
        <f ca="1">IFERROR(__xludf.DUMMYFUNCTION("""COMPUTED_VALUE"""),"Fled/Apprehended")</f>
        <v>Fled/Apprehended</v>
      </c>
      <c r="G1663" s="5" t="str">
        <f ca="1">IFERROR(__xludf.DUMMYFUNCTION("""COMPUTED_VALUE"""),"No")</f>
        <v>No</v>
      </c>
      <c r="H1663" s="5" t="str">
        <f ca="1">IFERROR(__xludf.DUMMYFUNCTION("""COMPUTED_VALUE"""),"None")</f>
        <v>None</v>
      </c>
    </row>
    <row r="1664" spans="1:8" ht="13">
      <c r="A1664" s="5" t="str">
        <f ca="1">IFERROR(__xludf.DUMMYFUNCTION("""COMPUTED_VALUE"""),"20050316PACAP")</f>
        <v>20050316PACAP</v>
      </c>
      <c r="B1664" s="5">
        <f ca="1">IFERROR(__xludf.DUMMYFUNCTION("""COMPUTED_VALUE"""),21)</f>
        <v>21</v>
      </c>
      <c r="C1664" s="5" t="str">
        <f ca="1">IFERROR(__xludf.DUMMYFUNCTION("""COMPUTED_VALUE"""),"Male")</f>
        <v>Male</v>
      </c>
      <c r="D1664" s="5"/>
      <c r="E1664" s="5" t="str">
        <f ca="1">IFERROR(__xludf.DUMMYFUNCTION("""COMPUTED_VALUE"""),"No Relation")</f>
        <v>No Relation</v>
      </c>
      <c r="F1664" s="5" t="str">
        <f ca="1">IFERROR(__xludf.DUMMYFUNCTION("""COMPUTED_VALUE"""),"Fled/Apprehended")</f>
        <v>Fled/Apprehended</v>
      </c>
      <c r="G1664" s="5" t="str">
        <f ca="1">IFERROR(__xludf.DUMMYFUNCTION("""COMPUTED_VALUE"""),"No")</f>
        <v>No</v>
      </c>
      <c r="H1664" s="5" t="str">
        <f ca="1">IFERROR(__xludf.DUMMYFUNCTION("""COMPUTED_VALUE"""),"None")</f>
        <v>None</v>
      </c>
    </row>
    <row r="1665" spans="1:8" ht="13">
      <c r="A1665" s="5" t="str">
        <f ca="1">IFERROR(__xludf.DUMMYFUNCTION("""COMPUTED_VALUE"""),"20050314OHLEC")</f>
        <v>20050314OHLEC</v>
      </c>
      <c r="B1665" s="5">
        <f ca="1">IFERROR(__xludf.DUMMYFUNCTION("""COMPUTED_VALUE"""),7)</f>
        <v>7</v>
      </c>
      <c r="C1665" s="5" t="str">
        <f ca="1">IFERROR(__xludf.DUMMYFUNCTION("""COMPUTED_VALUE"""),"Male")</f>
        <v>Male</v>
      </c>
      <c r="D1665" s="5"/>
      <c r="E1665" s="5" t="str">
        <f ca="1">IFERROR(__xludf.DUMMYFUNCTION("""COMPUTED_VALUE"""),"Student")</f>
        <v>Student</v>
      </c>
      <c r="F1665" s="5" t="str">
        <f ca="1">IFERROR(__xludf.DUMMYFUNCTION("""COMPUTED_VALUE"""),"Surrendered")</f>
        <v>Surrendered</v>
      </c>
      <c r="G1665" s="5" t="str">
        <f ca="1">IFERROR(__xludf.DUMMYFUNCTION("""COMPUTED_VALUE"""),"No")</f>
        <v>No</v>
      </c>
      <c r="H1665" s="5" t="str">
        <f ca="1">IFERROR(__xludf.DUMMYFUNCTION("""COMPUTED_VALUE"""),"None")</f>
        <v>None</v>
      </c>
    </row>
    <row r="1666" spans="1:8" ht="13">
      <c r="A1666" s="5" t="str">
        <f ca="1">IFERROR(__xludf.DUMMYFUNCTION("""COMPUTED_VALUE"""),"20050310TXZAD")</f>
        <v>20050310TXZAD</v>
      </c>
      <c r="B1666" s="5"/>
      <c r="C1666" s="5" t="str">
        <f ca="1">IFERROR(__xludf.DUMMYFUNCTION("""COMPUTED_VALUE"""),"Male")</f>
        <v>Male</v>
      </c>
      <c r="D1666" s="5"/>
      <c r="E1666" s="5" t="str">
        <f ca="1">IFERROR(__xludf.DUMMYFUNCTION("""COMPUTED_VALUE"""),"Unknown")</f>
        <v>Unknown</v>
      </c>
      <c r="F1666" s="5" t="str">
        <f ca="1">IFERROR(__xludf.DUMMYFUNCTION("""COMPUTED_VALUE"""),"Fled/Escaped")</f>
        <v>Fled/Escaped</v>
      </c>
      <c r="G1666" s="5" t="str">
        <f ca="1">IFERROR(__xludf.DUMMYFUNCTION("""COMPUTED_VALUE"""),"No")</f>
        <v>No</v>
      </c>
      <c r="H1666" s="5" t="str">
        <f ca="1">IFERROR(__xludf.DUMMYFUNCTION("""COMPUTED_VALUE"""),"None")</f>
        <v>None</v>
      </c>
    </row>
    <row r="1667" spans="1:8" ht="13">
      <c r="A1667" s="5" t="str">
        <f ca="1">IFERROR(__xludf.DUMMYFUNCTION("""COMPUTED_VALUE"""),"20050309TNMAN")</f>
        <v>20050309TNMAN</v>
      </c>
      <c r="B1667" s="5">
        <f ca="1">IFERROR(__xludf.DUMMYFUNCTION("""COMPUTED_VALUE"""),16)</f>
        <v>16</v>
      </c>
      <c r="C1667" s="5" t="str">
        <f ca="1">IFERROR(__xludf.DUMMYFUNCTION("""COMPUTED_VALUE"""),"Male")</f>
        <v>Male</v>
      </c>
      <c r="D1667" s="5"/>
      <c r="E1667" s="5" t="str">
        <f ca="1">IFERROR(__xludf.DUMMYFUNCTION("""COMPUTED_VALUE"""),"Former Student")</f>
        <v>Former Student</v>
      </c>
      <c r="F1667" s="5" t="str">
        <f ca="1">IFERROR(__xludf.DUMMYFUNCTION("""COMPUTED_VALUE"""),"Fled/Escaped")</f>
        <v>Fled/Escaped</v>
      </c>
      <c r="G1667" s="5" t="str">
        <f ca="1">IFERROR(__xludf.DUMMYFUNCTION("""COMPUTED_VALUE"""),"No")</f>
        <v>No</v>
      </c>
      <c r="H1667" s="5" t="str">
        <f ca="1">IFERROR(__xludf.DUMMYFUNCTION("""COMPUTED_VALUE"""),"None")</f>
        <v>None</v>
      </c>
    </row>
    <row r="1668" spans="1:8" ht="13">
      <c r="A1668" s="5" t="str">
        <f ca="1">IFERROR(__xludf.DUMMYFUNCTION("""COMPUTED_VALUE"""),"20050302TNSTD")</f>
        <v>20050302TNSTD</v>
      </c>
      <c r="B1668" s="5">
        <f ca="1">IFERROR(__xludf.DUMMYFUNCTION("""COMPUTED_VALUE"""),14)</f>
        <v>14</v>
      </c>
      <c r="C1668" s="5" t="str">
        <f ca="1">IFERROR(__xludf.DUMMYFUNCTION("""COMPUTED_VALUE"""),"Male")</f>
        <v>Male</v>
      </c>
      <c r="D1668" s="5" t="str">
        <f ca="1">IFERROR(__xludf.DUMMYFUNCTION("""COMPUTED_VALUE"""),"White")</f>
        <v>White</v>
      </c>
      <c r="E1668" s="5" t="str">
        <f ca="1">IFERROR(__xludf.DUMMYFUNCTION("""COMPUTED_VALUE"""),"Student")</f>
        <v>Student</v>
      </c>
      <c r="F1668" s="5" t="str">
        <f ca="1">IFERROR(__xludf.DUMMYFUNCTION("""COMPUTED_VALUE"""),"Fled/Apprehended")</f>
        <v>Fled/Apprehended</v>
      </c>
      <c r="G1668" s="5" t="str">
        <f ca="1">IFERROR(__xludf.DUMMYFUNCTION("""COMPUTED_VALUE"""),"No")</f>
        <v>No</v>
      </c>
      <c r="H1668" s="5" t="str">
        <f ca="1">IFERROR(__xludf.DUMMYFUNCTION("""COMPUTED_VALUE"""),"None")</f>
        <v>None</v>
      </c>
    </row>
    <row r="1669" spans="1:8" ht="13">
      <c r="A1669" s="5" t="str">
        <f ca="1">IFERROR(__xludf.DUMMYFUNCTION("""COMPUTED_VALUE"""),"20050208ILBOC")</f>
        <v>20050208ILBOC</v>
      </c>
      <c r="B1669" s="5" t="str">
        <f ca="1">IFERROR(__xludf.DUMMYFUNCTION("""COMPUTED_VALUE"""),"Teen")</f>
        <v>Teen</v>
      </c>
      <c r="C1669" s="5" t="str">
        <f ca="1">IFERROR(__xludf.DUMMYFUNCTION("""COMPUTED_VALUE"""),"Male")</f>
        <v>Male</v>
      </c>
      <c r="D1669" s="5"/>
      <c r="E1669" s="5" t="str">
        <f ca="1">IFERROR(__xludf.DUMMYFUNCTION("""COMPUTED_VALUE"""),"Student")</f>
        <v>Student</v>
      </c>
      <c r="F1669" s="5" t="str">
        <f ca="1">IFERROR(__xludf.DUMMYFUNCTION("""COMPUTED_VALUE"""),"Fled/Escaped")</f>
        <v>Fled/Escaped</v>
      </c>
      <c r="G1669" s="5" t="str">
        <f ca="1">IFERROR(__xludf.DUMMYFUNCTION("""COMPUTED_VALUE"""),"No")</f>
        <v>No</v>
      </c>
      <c r="H1669" s="5" t="str">
        <f ca="1">IFERROR(__xludf.DUMMYFUNCTION("""COMPUTED_VALUE"""),"None")</f>
        <v>None</v>
      </c>
    </row>
    <row r="1670" spans="1:8" ht="13">
      <c r="A1670" s="5" t="str">
        <f ca="1">IFERROR(__xludf.DUMMYFUNCTION("""COMPUTED_VALUE"""),"20050204GAMCA")</f>
        <v>20050204GAMCA</v>
      </c>
      <c r="B1670" s="5">
        <f ca="1">IFERROR(__xludf.DUMMYFUNCTION("""COMPUTED_VALUE"""),19)</f>
        <v>19</v>
      </c>
      <c r="C1670" s="5" t="str">
        <f ca="1">IFERROR(__xludf.DUMMYFUNCTION("""COMPUTED_VALUE"""),"Male")</f>
        <v>Male</v>
      </c>
      <c r="D1670" s="5"/>
      <c r="E1670" s="5" t="str">
        <f ca="1">IFERROR(__xludf.DUMMYFUNCTION("""COMPUTED_VALUE"""),"Relative")</f>
        <v>Relative</v>
      </c>
      <c r="F1670" s="5" t="str">
        <f ca="1">IFERROR(__xludf.DUMMYFUNCTION("""COMPUTED_VALUE"""),"Unknown")</f>
        <v>Unknown</v>
      </c>
      <c r="G1670" s="5" t="str">
        <f ca="1">IFERROR(__xludf.DUMMYFUNCTION("""COMPUTED_VALUE"""),"No")</f>
        <v>No</v>
      </c>
      <c r="H1670" s="5" t="str">
        <f ca="1">IFERROR(__xludf.DUMMYFUNCTION("""COMPUTED_VALUE"""),"None")</f>
        <v>None</v>
      </c>
    </row>
    <row r="1671" spans="1:8" ht="13">
      <c r="A1671" s="5" t="str">
        <f ca="1">IFERROR(__xludf.DUMMYFUNCTION("""COMPUTED_VALUE"""),"20050126ILWOP")</f>
        <v>20050126ILWOP</v>
      </c>
      <c r="B1671" s="5">
        <f ca="1">IFERROR(__xludf.DUMMYFUNCTION("""COMPUTED_VALUE"""),15)</f>
        <v>15</v>
      </c>
      <c r="C1671" s="5" t="str">
        <f ca="1">IFERROR(__xludf.DUMMYFUNCTION("""COMPUTED_VALUE"""),"Male")</f>
        <v>Male</v>
      </c>
      <c r="D1671" s="5"/>
      <c r="E1671" s="5" t="str">
        <f ca="1">IFERROR(__xludf.DUMMYFUNCTION("""COMPUTED_VALUE"""),"Student")</f>
        <v>Student</v>
      </c>
      <c r="F1671" s="5" t="str">
        <f ca="1">IFERROR(__xludf.DUMMYFUNCTION("""COMPUTED_VALUE"""),"Fled/Apprehended")</f>
        <v>Fled/Apprehended</v>
      </c>
      <c r="G1671" s="5" t="str">
        <f ca="1">IFERROR(__xludf.DUMMYFUNCTION("""COMPUTED_VALUE"""),"No")</f>
        <v>No</v>
      </c>
      <c r="H1671" s="5" t="str">
        <f ca="1">IFERROR(__xludf.DUMMYFUNCTION("""COMPUTED_VALUE"""),"None")</f>
        <v>None</v>
      </c>
    </row>
    <row r="1672" spans="1:8" ht="13">
      <c r="A1672" s="5" t="str">
        <f ca="1">IFERROR(__xludf.DUMMYFUNCTION("""COMPUTED_VALUE"""),"20050105PAMUN")</f>
        <v>20050105PAMUN</v>
      </c>
      <c r="B1672" s="5">
        <f ca="1">IFERROR(__xludf.DUMMYFUNCTION("""COMPUTED_VALUE"""),16)</f>
        <v>16</v>
      </c>
      <c r="C1672" s="5" t="str">
        <f ca="1">IFERROR(__xludf.DUMMYFUNCTION("""COMPUTED_VALUE"""),"Male")</f>
        <v>Male</v>
      </c>
      <c r="D1672" s="5"/>
      <c r="E1672" s="5" t="str">
        <f ca="1">IFERROR(__xludf.DUMMYFUNCTION("""COMPUTED_VALUE"""),"Unknown")</f>
        <v>Unknown</v>
      </c>
      <c r="F1672" s="5" t="str">
        <f ca="1">IFERROR(__xludf.DUMMYFUNCTION("""COMPUTED_VALUE"""),"Fled/Apprehended")</f>
        <v>Fled/Apprehended</v>
      </c>
      <c r="G1672" s="5" t="str">
        <f ca="1">IFERROR(__xludf.DUMMYFUNCTION("""COMPUTED_VALUE"""),"No")</f>
        <v>No</v>
      </c>
      <c r="H1672" s="5" t="str">
        <f ca="1">IFERROR(__xludf.DUMMYFUNCTION("""COMPUTED_VALUE"""),"None")</f>
        <v>None</v>
      </c>
    </row>
    <row r="1673" spans="1:8" ht="13">
      <c r="A1673" s="5" t="str">
        <f ca="1">IFERROR(__xludf.DUMMYFUNCTION("""COMPUTED_VALUE"""),"20041231TXRIR")</f>
        <v>20041231TXRIR</v>
      </c>
      <c r="B1673" s="5">
        <f ca="1">IFERROR(__xludf.DUMMYFUNCTION("""COMPUTED_VALUE"""),38)</f>
        <v>38</v>
      </c>
      <c r="C1673" s="5" t="str">
        <f ca="1">IFERROR(__xludf.DUMMYFUNCTION("""COMPUTED_VALUE"""),"Male")</f>
        <v>Male</v>
      </c>
      <c r="D1673" s="5"/>
      <c r="E1673" s="5" t="str">
        <f ca="1">IFERROR(__xludf.DUMMYFUNCTION("""COMPUTED_VALUE"""),"Other Staff")</f>
        <v>Other Staff</v>
      </c>
      <c r="F1673" s="5" t="str">
        <f ca="1">IFERROR(__xludf.DUMMYFUNCTION("""COMPUTED_VALUE"""),"Suicide")</f>
        <v>Suicide</v>
      </c>
      <c r="G1673" s="5" t="str">
        <f ca="1">IFERROR(__xludf.DUMMYFUNCTION("""COMPUTED_VALUE"""),"Yes")</f>
        <v>Yes</v>
      </c>
      <c r="H1673" s="5" t="str">
        <f ca="1">IFERROR(__xludf.DUMMYFUNCTION("""COMPUTED_VALUE"""),"Suicide")</f>
        <v>Suicide</v>
      </c>
    </row>
    <row r="1674" spans="1:8" ht="13">
      <c r="A1674" s="5" t="str">
        <f ca="1">IFERROR(__xludf.DUMMYFUNCTION("""COMPUTED_VALUE"""),"20041213LALAL")</f>
        <v>20041213LALAL</v>
      </c>
      <c r="B1674" s="5"/>
      <c r="C1674" s="5" t="str">
        <f ca="1">IFERROR(__xludf.DUMMYFUNCTION("""COMPUTED_VALUE"""),"Male")</f>
        <v>Male</v>
      </c>
      <c r="D1674" s="5"/>
      <c r="E1674" s="5" t="str">
        <f ca="1">IFERROR(__xludf.DUMMYFUNCTION("""COMPUTED_VALUE"""),"Unknown")</f>
        <v>Unknown</v>
      </c>
      <c r="F1674" s="5" t="str">
        <f ca="1">IFERROR(__xludf.DUMMYFUNCTION("""COMPUTED_VALUE"""),"Fled/Escaped")</f>
        <v>Fled/Escaped</v>
      </c>
      <c r="G1674" s="5" t="str">
        <f ca="1">IFERROR(__xludf.DUMMYFUNCTION("""COMPUTED_VALUE"""),"No")</f>
        <v>No</v>
      </c>
      <c r="H1674" s="5" t="str">
        <f ca="1">IFERROR(__xludf.DUMMYFUNCTION("""COMPUTED_VALUE"""),"None")</f>
        <v>None</v>
      </c>
    </row>
    <row r="1675" spans="1:8" ht="13">
      <c r="A1675" s="5" t="str">
        <f ca="1">IFERROR(__xludf.DUMMYFUNCTION("""COMPUTED_VALUE"""),"20041209WALAS")</f>
        <v>20041209WALAS</v>
      </c>
      <c r="B1675" s="5">
        <f ca="1">IFERROR(__xludf.DUMMYFUNCTION("""COMPUTED_VALUE"""),16)</f>
        <v>16</v>
      </c>
      <c r="C1675" s="5" t="str">
        <f ca="1">IFERROR(__xludf.DUMMYFUNCTION("""COMPUTED_VALUE"""),"Male")</f>
        <v>Male</v>
      </c>
      <c r="D1675" s="5"/>
      <c r="E1675" s="5" t="str">
        <f ca="1">IFERROR(__xludf.DUMMYFUNCTION("""COMPUTED_VALUE"""),"Student")</f>
        <v>Student</v>
      </c>
      <c r="F1675" s="5" t="str">
        <f ca="1">IFERROR(__xludf.DUMMYFUNCTION("""COMPUTED_VALUE"""),"Suicide")</f>
        <v>Suicide</v>
      </c>
      <c r="G1675" s="5" t="str">
        <f ca="1">IFERROR(__xludf.DUMMYFUNCTION("""COMPUTED_VALUE"""),"Yes")</f>
        <v>Yes</v>
      </c>
      <c r="H1675" s="5" t="str">
        <f ca="1">IFERROR(__xludf.DUMMYFUNCTION("""COMPUTED_VALUE"""),"Suicide")</f>
        <v>Suicide</v>
      </c>
    </row>
    <row r="1676" spans="1:8" ht="13">
      <c r="A1676" s="5" t="str">
        <f ca="1">IFERROR(__xludf.DUMMYFUNCTION("""COMPUTED_VALUE"""),"20041119FLTEJ")</f>
        <v>20041119FLTEJ</v>
      </c>
      <c r="B1676" s="5" t="str">
        <f ca="1">IFERROR(__xludf.DUMMYFUNCTION("""COMPUTED_VALUE"""),"Teen")</f>
        <v>Teen</v>
      </c>
      <c r="C1676" s="5" t="str">
        <f ca="1">IFERROR(__xludf.DUMMYFUNCTION("""COMPUTED_VALUE"""),"Male")</f>
        <v>Male</v>
      </c>
      <c r="D1676" s="5"/>
      <c r="E1676" s="5" t="str">
        <f ca="1">IFERROR(__xludf.DUMMYFUNCTION("""COMPUTED_VALUE"""),"Student")</f>
        <v>Student</v>
      </c>
      <c r="F1676" s="5" t="str">
        <f ca="1">IFERROR(__xludf.DUMMYFUNCTION("""COMPUTED_VALUE"""),"Surrendered")</f>
        <v>Surrendered</v>
      </c>
      <c r="G1676" s="5" t="str">
        <f ca="1">IFERROR(__xludf.DUMMYFUNCTION("""COMPUTED_VALUE"""),"No")</f>
        <v>No</v>
      </c>
      <c r="H1676" s="5" t="str">
        <f ca="1">IFERROR(__xludf.DUMMYFUNCTION("""COMPUTED_VALUE"""),"None")</f>
        <v>None</v>
      </c>
    </row>
    <row r="1677" spans="1:8" ht="13">
      <c r="A1677" s="5" t="str">
        <f ca="1">IFERROR(__xludf.DUMMYFUNCTION("""COMPUTED_VALUE"""),"20041117FLAPA")</f>
        <v>20041117FLAPA</v>
      </c>
      <c r="B1677" s="5">
        <f ca="1">IFERROR(__xludf.DUMMYFUNCTION("""COMPUTED_VALUE"""),14)</f>
        <v>14</v>
      </c>
      <c r="C1677" s="5" t="str">
        <f ca="1">IFERROR(__xludf.DUMMYFUNCTION("""COMPUTED_VALUE"""),"Male")</f>
        <v>Male</v>
      </c>
      <c r="D1677" s="5"/>
      <c r="E1677" s="5" t="str">
        <f ca="1">IFERROR(__xludf.DUMMYFUNCTION("""COMPUTED_VALUE"""),"Student")</f>
        <v>Student</v>
      </c>
      <c r="F1677" s="5" t="str">
        <f ca="1">IFERROR(__xludf.DUMMYFUNCTION("""COMPUTED_VALUE"""),"Apprehended/Killed by LE")</f>
        <v>Apprehended/Killed by LE</v>
      </c>
      <c r="G1677" s="5" t="str">
        <f ca="1">IFERROR(__xludf.DUMMYFUNCTION("""COMPUTED_VALUE"""),"No")</f>
        <v>No</v>
      </c>
      <c r="H1677" s="5" t="str">
        <f ca="1">IFERROR(__xludf.DUMMYFUNCTION("""COMPUTED_VALUE"""),"None")</f>
        <v>None</v>
      </c>
    </row>
    <row r="1678" spans="1:8" ht="13">
      <c r="A1678" s="5" t="str">
        <f ca="1">IFERROR(__xludf.DUMMYFUNCTION("""COMPUTED_VALUE"""),"20041116SCBAB")</f>
        <v>20041116SCBAB</v>
      </c>
      <c r="B1678" s="5">
        <f ca="1">IFERROR(__xludf.DUMMYFUNCTION("""COMPUTED_VALUE"""),20)</f>
        <v>20</v>
      </c>
      <c r="C1678" s="5" t="str">
        <f ca="1">IFERROR(__xludf.DUMMYFUNCTION("""COMPUTED_VALUE"""),"Male")</f>
        <v>Male</v>
      </c>
      <c r="D1678" s="5"/>
      <c r="E1678" s="5" t="str">
        <f ca="1">IFERROR(__xludf.DUMMYFUNCTION("""COMPUTED_VALUE"""),"Nonstudent Using Athletic Facilities/Attending Game")</f>
        <v>Nonstudent Using Athletic Facilities/Attending Game</v>
      </c>
      <c r="F1678" s="5" t="str">
        <f ca="1">IFERROR(__xludf.DUMMYFUNCTION("""COMPUTED_VALUE"""),"Fled/Apprehended")</f>
        <v>Fled/Apprehended</v>
      </c>
      <c r="G1678" s="5" t="str">
        <f ca="1">IFERROR(__xludf.DUMMYFUNCTION("""COMPUTED_VALUE"""),"No")</f>
        <v>No</v>
      </c>
      <c r="H1678" s="5" t="str">
        <f ca="1">IFERROR(__xludf.DUMMYFUNCTION("""COMPUTED_VALUE"""),"None")</f>
        <v>None</v>
      </c>
    </row>
    <row r="1679" spans="1:8" ht="13">
      <c r="A1679" s="5" t="str">
        <f ca="1">IFERROR(__xludf.DUMMYFUNCTION("""COMPUTED_VALUE"""),"20041115INBRG")</f>
        <v>20041115INBRG</v>
      </c>
      <c r="B1679" s="5">
        <f ca="1">IFERROR(__xludf.DUMMYFUNCTION("""COMPUTED_VALUE"""),22)</f>
        <v>22</v>
      </c>
      <c r="C1679" s="5" t="str">
        <f ca="1">IFERROR(__xludf.DUMMYFUNCTION("""COMPUTED_VALUE"""),"Male")</f>
        <v>Male</v>
      </c>
      <c r="D1679" s="5"/>
      <c r="E1679" s="5" t="str">
        <f ca="1">IFERROR(__xludf.DUMMYFUNCTION("""COMPUTED_VALUE"""),"Parent")</f>
        <v>Parent</v>
      </c>
      <c r="F1679" s="5" t="str">
        <f ca="1">IFERROR(__xludf.DUMMYFUNCTION("""COMPUTED_VALUE"""),"Fled/Apprehended")</f>
        <v>Fled/Apprehended</v>
      </c>
      <c r="G1679" s="5" t="str">
        <f ca="1">IFERROR(__xludf.DUMMYFUNCTION("""COMPUTED_VALUE"""),"No")</f>
        <v>No</v>
      </c>
      <c r="H1679" s="5" t="str">
        <f ca="1">IFERROR(__xludf.DUMMYFUNCTION("""COMPUTED_VALUE"""),"None")</f>
        <v>None</v>
      </c>
    </row>
    <row r="1680" spans="1:8" ht="13">
      <c r="A1680" s="5" t="str">
        <f ca="1">IFERROR(__xludf.DUMMYFUNCTION("""COMPUTED_VALUE"""),"20041115INBRG")</f>
        <v>20041115INBRG</v>
      </c>
      <c r="B1680" s="5">
        <f ca="1">IFERROR(__xludf.DUMMYFUNCTION("""COMPUTED_VALUE"""),22)</f>
        <v>22</v>
      </c>
      <c r="C1680" s="5" t="str">
        <f ca="1">IFERROR(__xludf.DUMMYFUNCTION("""COMPUTED_VALUE"""),"Male")</f>
        <v>Male</v>
      </c>
      <c r="D1680" s="5"/>
      <c r="E1680" s="5" t="str">
        <f ca="1">IFERROR(__xludf.DUMMYFUNCTION("""COMPUTED_VALUE"""),"Parent")</f>
        <v>Parent</v>
      </c>
      <c r="F1680" s="5" t="str">
        <f ca="1">IFERROR(__xludf.DUMMYFUNCTION("""COMPUTED_VALUE"""),"Fled/Apprehended")</f>
        <v>Fled/Apprehended</v>
      </c>
      <c r="G1680" s="5" t="str">
        <f ca="1">IFERROR(__xludf.DUMMYFUNCTION("""COMPUTED_VALUE"""),"No")</f>
        <v>No</v>
      </c>
      <c r="H1680" s="5" t="str">
        <f ca="1">IFERROR(__xludf.DUMMYFUNCTION("""COMPUTED_VALUE"""),"None")</f>
        <v>None</v>
      </c>
    </row>
    <row r="1681" spans="1:8" ht="13">
      <c r="A1681" s="5" t="str">
        <f ca="1">IFERROR(__xludf.DUMMYFUNCTION("""COMPUTED_VALUE"""),"20041115ALPAB")</f>
        <v>20041115ALPAB</v>
      </c>
      <c r="B1681" s="5">
        <f ca="1">IFERROR(__xludf.DUMMYFUNCTION("""COMPUTED_VALUE"""),20)</f>
        <v>20</v>
      </c>
      <c r="C1681" s="5" t="str">
        <f ca="1">IFERROR(__xludf.DUMMYFUNCTION("""COMPUTED_VALUE"""),"Male")</f>
        <v>Male</v>
      </c>
      <c r="D1681" s="5"/>
      <c r="E1681" s="5" t="str">
        <f ca="1">IFERROR(__xludf.DUMMYFUNCTION("""COMPUTED_VALUE"""),"Nonstudent Using Athletic Facilities/Attending Game")</f>
        <v>Nonstudent Using Athletic Facilities/Attending Game</v>
      </c>
      <c r="F1681" s="5" t="str">
        <f ca="1">IFERROR(__xludf.DUMMYFUNCTION("""COMPUTED_VALUE"""),"Fled/Apprehended")</f>
        <v>Fled/Apprehended</v>
      </c>
      <c r="G1681" s="5" t="str">
        <f ca="1">IFERROR(__xludf.DUMMYFUNCTION("""COMPUTED_VALUE"""),"No")</f>
        <v>No</v>
      </c>
      <c r="H1681" s="5" t="str">
        <f ca="1">IFERROR(__xludf.DUMMYFUNCTION("""COMPUTED_VALUE"""),"None")</f>
        <v>None</v>
      </c>
    </row>
    <row r="1682" spans="1:8" ht="13">
      <c r="A1682" s="5" t="str">
        <f ca="1">IFERROR(__xludf.DUMMYFUNCTION("""COMPUTED_VALUE"""),"20041022CATYH")</f>
        <v>20041022CATYH</v>
      </c>
      <c r="B1682" s="5"/>
      <c r="C1682" s="5"/>
      <c r="D1682" s="5"/>
      <c r="E1682" s="5" t="str">
        <f ca="1">IFERROR(__xludf.DUMMYFUNCTION("""COMPUTED_VALUE"""),"Unknown")</f>
        <v>Unknown</v>
      </c>
      <c r="F1682" s="5" t="str">
        <f ca="1">IFERROR(__xludf.DUMMYFUNCTION("""COMPUTED_VALUE"""),"Fled/Escaped")</f>
        <v>Fled/Escaped</v>
      </c>
      <c r="G1682" s="5" t="str">
        <f ca="1">IFERROR(__xludf.DUMMYFUNCTION("""COMPUTED_VALUE"""),"No")</f>
        <v>No</v>
      </c>
      <c r="H1682" s="5" t="str">
        <f ca="1">IFERROR(__xludf.DUMMYFUNCTION("""COMPUTED_VALUE"""),"None")</f>
        <v>None</v>
      </c>
    </row>
    <row r="1683" spans="1:8" ht="13">
      <c r="A1683" s="5" t="str">
        <f ca="1">IFERROR(__xludf.DUMMYFUNCTION("""COMPUTED_VALUE"""),"20041021MDTHB")</f>
        <v>20041021MDTHB</v>
      </c>
      <c r="B1683" s="5">
        <f ca="1">IFERROR(__xludf.DUMMYFUNCTION("""COMPUTED_VALUE"""),16)</f>
        <v>16</v>
      </c>
      <c r="C1683" s="5" t="str">
        <f ca="1">IFERROR(__xludf.DUMMYFUNCTION("""COMPUTED_VALUE"""),"Male")</f>
        <v>Male</v>
      </c>
      <c r="D1683" s="5"/>
      <c r="E1683" s="5" t="str">
        <f ca="1">IFERROR(__xludf.DUMMYFUNCTION("""COMPUTED_VALUE"""),"Student")</f>
        <v>Student</v>
      </c>
      <c r="F1683" s="5" t="str">
        <f ca="1">IFERROR(__xludf.DUMMYFUNCTION("""COMPUTED_VALUE"""),"Fled/Apprehended")</f>
        <v>Fled/Apprehended</v>
      </c>
      <c r="G1683" s="5" t="str">
        <f ca="1">IFERROR(__xludf.DUMMYFUNCTION("""COMPUTED_VALUE"""),"No")</f>
        <v>No</v>
      </c>
      <c r="H1683" s="5" t="str">
        <f ca="1">IFERROR(__xludf.DUMMYFUNCTION("""COMPUTED_VALUE"""),"None")</f>
        <v>None</v>
      </c>
    </row>
    <row r="1684" spans="1:8" ht="13">
      <c r="A1684" s="5" t="str">
        <f ca="1">IFERROR(__xludf.DUMMYFUNCTION("""COMPUTED_VALUE"""),"20041015CABIB")</f>
        <v>20041015CABIB</v>
      </c>
      <c r="B1684" s="5">
        <f ca="1">IFERROR(__xludf.DUMMYFUNCTION("""COMPUTED_VALUE"""),19)</f>
        <v>19</v>
      </c>
      <c r="C1684" s="5" t="str">
        <f ca="1">IFERROR(__xludf.DUMMYFUNCTION("""COMPUTED_VALUE"""),"Male")</f>
        <v>Male</v>
      </c>
      <c r="D1684" s="5"/>
      <c r="E1684" s="5" t="str">
        <f ca="1">IFERROR(__xludf.DUMMYFUNCTION("""COMPUTED_VALUE"""),"Unknown")</f>
        <v>Unknown</v>
      </c>
      <c r="F1684" s="5" t="str">
        <f ca="1">IFERROR(__xludf.DUMMYFUNCTION("""COMPUTED_VALUE"""),"Fled/Apprehended")</f>
        <v>Fled/Apprehended</v>
      </c>
      <c r="G1684" s="5" t="str">
        <f ca="1">IFERROR(__xludf.DUMMYFUNCTION("""COMPUTED_VALUE"""),"No")</f>
        <v>No</v>
      </c>
      <c r="H1684" s="5" t="str">
        <f ca="1">IFERROR(__xludf.DUMMYFUNCTION("""COMPUTED_VALUE"""),"None")</f>
        <v>None</v>
      </c>
    </row>
    <row r="1685" spans="1:8" ht="13">
      <c r="A1685" s="5" t="str">
        <f ca="1">IFERROR(__xludf.DUMMYFUNCTION("""COMPUTED_VALUE"""),"20041012CALAS")</f>
        <v>20041012CALAS</v>
      </c>
      <c r="B1685" s="5">
        <f ca="1">IFERROR(__xludf.DUMMYFUNCTION("""COMPUTED_VALUE"""),25)</f>
        <v>25</v>
      </c>
      <c r="C1685" s="5" t="str">
        <f ca="1">IFERROR(__xludf.DUMMYFUNCTION("""COMPUTED_VALUE"""),"Male")</f>
        <v>Male</v>
      </c>
      <c r="D1685" s="5"/>
      <c r="E1685" s="5" t="str">
        <f ca="1">IFERROR(__xludf.DUMMYFUNCTION("""COMPUTED_VALUE"""),"No Relation")</f>
        <v>No Relation</v>
      </c>
      <c r="F1685" s="5" t="str">
        <f ca="1">IFERROR(__xludf.DUMMYFUNCTION("""COMPUTED_VALUE"""),"Apprehended/Killed by Other")</f>
        <v>Apprehended/Killed by Other</v>
      </c>
      <c r="G1685" s="5" t="str">
        <f ca="1">IFERROR(__xludf.DUMMYFUNCTION("""COMPUTED_VALUE"""),"Yes")</f>
        <v>Yes</v>
      </c>
      <c r="H1685" s="5" t="str">
        <f ca="1">IFERROR(__xludf.DUMMYFUNCTION("""COMPUTED_VALUE"""),"Fatal")</f>
        <v>Fatal</v>
      </c>
    </row>
    <row r="1686" spans="1:8" ht="13">
      <c r="A1686" s="5" t="str">
        <f ca="1">IFERROR(__xludf.DUMMYFUNCTION("""COMPUTED_VALUE"""),"20041012CALAS")</f>
        <v>20041012CALAS</v>
      </c>
      <c r="B1686" s="5">
        <f ca="1">IFERROR(__xludf.DUMMYFUNCTION("""COMPUTED_VALUE"""),25)</f>
        <v>25</v>
      </c>
      <c r="C1686" s="5" t="str">
        <f ca="1">IFERROR(__xludf.DUMMYFUNCTION("""COMPUTED_VALUE"""),"Male")</f>
        <v>Male</v>
      </c>
      <c r="D1686" s="5"/>
      <c r="E1686" s="5" t="str">
        <f ca="1">IFERROR(__xludf.DUMMYFUNCTION("""COMPUTED_VALUE"""),"No Relation")</f>
        <v>No Relation</v>
      </c>
      <c r="F1686" s="5" t="str">
        <f ca="1">IFERROR(__xludf.DUMMYFUNCTION("""COMPUTED_VALUE"""),"Apprehended/Killed by Other")</f>
        <v>Apprehended/Killed by Other</v>
      </c>
      <c r="G1686" s="5" t="str">
        <f ca="1">IFERROR(__xludf.DUMMYFUNCTION("""COMPUTED_VALUE"""),"Yes")</f>
        <v>Yes</v>
      </c>
      <c r="H1686" s="5" t="str">
        <f ca="1">IFERROR(__xludf.DUMMYFUNCTION("""COMPUTED_VALUE"""),"Fatal")</f>
        <v>Fatal</v>
      </c>
    </row>
    <row r="1687" spans="1:8" ht="13">
      <c r="A1687" s="5" t="str">
        <f ca="1">IFERROR(__xludf.DUMMYFUNCTION("""COMPUTED_VALUE"""),"20041007MANEN")</f>
        <v>20041007MANEN</v>
      </c>
      <c r="B1687" s="5">
        <f ca="1">IFERROR(__xludf.DUMMYFUNCTION("""COMPUTED_VALUE"""),15)</f>
        <v>15</v>
      </c>
      <c r="C1687" s="5" t="str">
        <f ca="1">IFERROR(__xludf.DUMMYFUNCTION("""COMPUTED_VALUE"""),"Male")</f>
        <v>Male</v>
      </c>
      <c r="D1687" s="5"/>
      <c r="E1687" s="5" t="str">
        <f ca="1">IFERROR(__xludf.DUMMYFUNCTION("""COMPUTED_VALUE"""),"Student")</f>
        <v>Student</v>
      </c>
      <c r="F1687" s="5" t="str">
        <f ca="1">IFERROR(__xludf.DUMMYFUNCTION("""COMPUTED_VALUE"""),"Suicide")</f>
        <v>Suicide</v>
      </c>
      <c r="G1687" s="5" t="str">
        <f ca="1">IFERROR(__xludf.DUMMYFUNCTION("""COMPUTED_VALUE"""),"Yes")</f>
        <v>Yes</v>
      </c>
      <c r="H1687" s="5" t="str">
        <f ca="1">IFERROR(__xludf.DUMMYFUNCTION("""COMPUTED_VALUE"""),"Suicide")</f>
        <v>Suicide</v>
      </c>
    </row>
    <row r="1688" spans="1:8" ht="13">
      <c r="A1688" s="5" t="str">
        <f ca="1">IFERROR(__xludf.DUMMYFUNCTION("""COMPUTED_VALUE"""),"20041002NEJEG")</f>
        <v>20041002NEJEG</v>
      </c>
      <c r="B1688" s="5">
        <f ca="1">IFERROR(__xludf.DUMMYFUNCTION("""COMPUTED_VALUE"""),20)</f>
        <v>20</v>
      </c>
      <c r="C1688" s="5" t="str">
        <f ca="1">IFERROR(__xludf.DUMMYFUNCTION("""COMPUTED_VALUE"""),"Male")</f>
        <v>Male</v>
      </c>
      <c r="D1688" s="5"/>
      <c r="E1688" s="5" t="str">
        <f ca="1">IFERROR(__xludf.DUMMYFUNCTION("""COMPUTED_VALUE"""),"No Relation")</f>
        <v>No Relation</v>
      </c>
      <c r="F1688" s="5" t="str">
        <f ca="1">IFERROR(__xludf.DUMMYFUNCTION("""COMPUTED_VALUE"""),"Fled/Apprehended")</f>
        <v>Fled/Apprehended</v>
      </c>
      <c r="G1688" s="5" t="str">
        <f ca="1">IFERROR(__xludf.DUMMYFUNCTION("""COMPUTED_VALUE"""),"No")</f>
        <v>No</v>
      </c>
      <c r="H1688" s="5" t="str">
        <f ca="1">IFERROR(__xludf.DUMMYFUNCTION("""COMPUTED_VALUE"""),"None")</f>
        <v>None</v>
      </c>
    </row>
    <row r="1689" spans="1:8" ht="13">
      <c r="A1689" s="5" t="str">
        <f ca="1">IFERROR(__xludf.DUMMYFUNCTION("""COMPUTED_VALUE"""),"20040915INWIG")</f>
        <v>20040915INWIG</v>
      </c>
      <c r="B1689" s="5">
        <f ca="1">IFERROR(__xludf.DUMMYFUNCTION("""COMPUTED_VALUE"""),16)</f>
        <v>16</v>
      </c>
      <c r="C1689" s="5" t="str">
        <f ca="1">IFERROR(__xludf.DUMMYFUNCTION("""COMPUTED_VALUE"""),"Male")</f>
        <v>Male</v>
      </c>
      <c r="D1689" s="5"/>
      <c r="E1689" s="5" t="str">
        <f ca="1">IFERROR(__xludf.DUMMYFUNCTION("""COMPUTED_VALUE"""),"Student")</f>
        <v>Student</v>
      </c>
      <c r="F1689" s="5" t="str">
        <f ca="1">IFERROR(__xludf.DUMMYFUNCTION("""COMPUTED_VALUE"""),"Fled/Apprehended")</f>
        <v>Fled/Apprehended</v>
      </c>
      <c r="G1689" s="5" t="str">
        <f ca="1">IFERROR(__xludf.DUMMYFUNCTION("""COMPUTED_VALUE"""),"No")</f>
        <v>No</v>
      </c>
      <c r="H1689" s="5" t="str">
        <f ca="1">IFERROR(__xludf.DUMMYFUNCTION("""COMPUTED_VALUE"""),"None")</f>
        <v>None</v>
      </c>
    </row>
    <row r="1690" spans="1:8" ht="13">
      <c r="A1690" s="5" t="str">
        <f ca="1">IFERROR(__xludf.DUMMYFUNCTION("""COMPUTED_VALUE"""),"20040912LABON")</f>
        <v>20040912LABON</v>
      </c>
      <c r="B1690" s="5">
        <f ca="1">IFERROR(__xludf.DUMMYFUNCTION("""COMPUTED_VALUE"""),34)</f>
        <v>34</v>
      </c>
      <c r="C1690" s="5" t="str">
        <f ca="1">IFERROR(__xludf.DUMMYFUNCTION("""COMPUTED_VALUE"""),"Female")</f>
        <v>Female</v>
      </c>
      <c r="D1690" s="5"/>
      <c r="E1690" s="5" t="str">
        <f ca="1">IFERROR(__xludf.DUMMYFUNCTION("""COMPUTED_VALUE"""),"Unknown")</f>
        <v>Unknown</v>
      </c>
      <c r="F1690" s="5" t="str">
        <f ca="1">IFERROR(__xludf.DUMMYFUNCTION("""COMPUTED_VALUE"""),"Unknown")</f>
        <v>Unknown</v>
      </c>
      <c r="G1690" s="5" t="str">
        <f ca="1">IFERROR(__xludf.DUMMYFUNCTION("""COMPUTED_VALUE"""),"No")</f>
        <v>No</v>
      </c>
      <c r="H1690" s="5" t="str">
        <f ca="1">IFERROR(__xludf.DUMMYFUNCTION("""COMPUTED_VALUE"""),"None")</f>
        <v>None</v>
      </c>
    </row>
    <row r="1691" spans="1:8" ht="13">
      <c r="A1691" s="5" t="str">
        <f ca="1">IFERROR(__xludf.DUMMYFUNCTION("""COMPUTED_VALUE"""),"20040830ILPRM")</f>
        <v>20040830ILPRM</v>
      </c>
      <c r="B1691" s="5" t="str">
        <f ca="1">IFERROR(__xludf.DUMMYFUNCTION("""COMPUTED_VALUE"""),"Adult")</f>
        <v>Adult</v>
      </c>
      <c r="C1691" s="5" t="str">
        <f ca="1">IFERROR(__xludf.DUMMYFUNCTION("""COMPUTED_VALUE"""),"Male")</f>
        <v>Male</v>
      </c>
      <c r="D1691" s="5" t="str">
        <f ca="1">IFERROR(__xludf.DUMMYFUNCTION("""COMPUTED_VALUE"""),"Black")</f>
        <v>Black</v>
      </c>
      <c r="E1691" s="5" t="str">
        <f ca="1">IFERROR(__xludf.DUMMYFUNCTION("""COMPUTED_VALUE"""),"No Relation")</f>
        <v>No Relation</v>
      </c>
      <c r="F1691" s="5" t="str">
        <f ca="1">IFERROR(__xludf.DUMMYFUNCTION("""COMPUTED_VALUE"""),"Fled/Escaped")</f>
        <v>Fled/Escaped</v>
      </c>
      <c r="G1691" s="5" t="str">
        <f ca="1">IFERROR(__xludf.DUMMYFUNCTION("""COMPUTED_VALUE"""),"No")</f>
        <v>No</v>
      </c>
      <c r="H1691" s="5" t="str">
        <f ca="1">IFERROR(__xludf.DUMMYFUNCTION("""COMPUTED_VALUE"""),"None")</f>
        <v>None</v>
      </c>
    </row>
    <row r="1692" spans="1:8" ht="13">
      <c r="A1692" s="5" t="str">
        <f ca="1">IFERROR(__xludf.DUMMYFUNCTION("""COMPUTED_VALUE"""),"20040824TNHAM")</f>
        <v>20040824TNHAM</v>
      </c>
      <c r="B1692" s="5">
        <f ca="1">IFERROR(__xludf.DUMMYFUNCTION("""COMPUTED_VALUE"""),16)</f>
        <v>16</v>
      </c>
      <c r="C1692" s="5" t="str">
        <f ca="1">IFERROR(__xludf.DUMMYFUNCTION("""COMPUTED_VALUE"""),"Male")</f>
        <v>Male</v>
      </c>
      <c r="D1692" s="5"/>
      <c r="E1692" s="5" t="str">
        <f ca="1">IFERROR(__xludf.DUMMYFUNCTION("""COMPUTED_VALUE"""),"Student")</f>
        <v>Student</v>
      </c>
      <c r="F1692" s="5" t="str">
        <f ca="1">IFERROR(__xludf.DUMMYFUNCTION("""COMPUTED_VALUE"""),"Unknown")</f>
        <v>Unknown</v>
      </c>
      <c r="G1692" s="5" t="str">
        <f ca="1">IFERROR(__xludf.DUMMYFUNCTION("""COMPUTED_VALUE"""),"No")</f>
        <v>No</v>
      </c>
      <c r="H1692" s="5" t="str">
        <f ca="1">IFERROR(__xludf.DUMMYFUNCTION("""COMPUTED_VALUE"""),"None")</f>
        <v>None</v>
      </c>
    </row>
    <row r="1693" spans="1:8" ht="13">
      <c r="A1693" s="5" t="str">
        <f ca="1">IFERROR(__xludf.DUMMYFUNCTION("""COMPUTED_VALUE"""),"20040803ALHUB")</f>
        <v>20040803ALHUB</v>
      </c>
      <c r="B1693" s="5">
        <f ca="1">IFERROR(__xludf.DUMMYFUNCTION("""COMPUTED_VALUE"""),17)</f>
        <v>17</v>
      </c>
      <c r="C1693" s="5" t="str">
        <f ca="1">IFERROR(__xludf.DUMMYFUNCTION("""COMPUTED_VALUE"""),"Male")</f>
        <v>Male</v>
      </c>
      <c r="D1693" s="5"/>
      <c r="E1693" s="5" t="str">
        <f ca="1">IFERROR(__xludf.DUMMYFUNCTION("""COMPUTED_VALUE"""),"Student")</f>
        <v>Student</v>
      </c>
      <c r="F1693" s="5" t="str">
        <f ca="1">IFERROR(__xludf.DUMMYFUNCTION("""COMPUTED_VALUE"""),"Fled/Apprehended")</f>
        <v>Fled/Apprehended</v>
      </c>
      <c r="G1693" s="5" t="str">
        <f ca="1">IFERROR(__xludf.DUMMYFUNCTION("""COMPUTED_VALUE"""),"No")</f>
        <v>No</v>
      </c>
      <c r="H1693" s="5" t="str">
        <f ca="1">IFERROR(__xludf.DUMMYFUNCTION("""COMPUTED_VALUE"""),"None")</f>
        <v>None</v>
      </c>
    </row>
    <row r="1694" spans="1:8" ht="13">
      <c r="A1694" s="5" t="str">
        <f ca="1">IFERROR(__xludf.DUMMYFUNCTION("""COMPUTED_VALUE"""),"20040609CACAO")</f>
        <v>20040609CACAO</v>
      </c>
      <c r="B1694" s="5"/>
      <c r="C1694" s="5" t="str">
        <f ca="1">IFERROR(__xludf.DUMMYFUNCTION("""COMPUTED_VALUE"""),"Male")</f>
        <v>Male</v>
      </c>
      <c r="D1694" s="5"/>
      <c r="E1694" s="5" t="str">
        <f ca="1">IFERROR(__xludf.DUMMYFUNCTION("""COMPUTED_VALUE"""),"Unknown")</f>
        <v>Unknown</v>
      </c>
      <c r="F1694" s="5" t="str">
        <f ca="1">IFERROR(__xludf.DUMMYFUNCTION("""COMPUTED_VALUE"""),"Fled/Escaped")</f>
        <v>Fled/Escaped</v>
      </c>
      <c r="G1694" s="5" t="str">
        <f ca="1">IFERROR(__xludf.DUMMYFUNCTION("""COMPUTED_VALUE"""),"No")</f>
        <v>No</v>
      </c>
      <c r="H1694" s="5" t="str">
        <f ca="1">IFERROR(__xludf.DUMMYFUNCTION("""COMPUTED_VALUE"""),"None")</f>
        <v>None</v>
      </c>
    </row>
    <row r="1695" spans="1:8" ht="13">
      <c r="A1695" s="5" t="str">
        <f ca="1">IFERROR(__xludf.DUMMYFUNCTION("""COMPUTED_VALUE"""),"20040524UTWES")</f>
        <v>20040524UTWES</v>
      </c>
      <c r="B1695" s="5">
        <f ca="1">IFERROR(__xludf.DUMMYFUNCTION("""COMPUTED_VALUE"""),52)</f>
        <v>52</v>
      </c>
      <c r="C1695" s="5" t="str">
        <f ca="1">IFERROR(__xludf.DUMMYFUNCTION("""COMPUTED_VALUE"""),"Male")</f>
        <v>Male</v>
      </c>
      <c r="D1695" s="5"/>
      <c r="E1695" s="5" t="str">
        <f ca="1">IFERROR(__xludf.DUMMYFUNCTION("""COMPUTED_VALUE"""),"Intimate Relationship")</f>
        <v>Intimate Relationship</v>
      </c>
      <c r="F1695" s="5" t="str">
        <f ca="1">IFERROR(__xludf.DUMMYFUNCTION("""COMPUTED_VALUE"""),"Suicide")</f>
        <v>Suicide</v>
      </c>
      <c r="G1695" s="5" t="str">
        <f ca="1">IFERROR(__xludf.DUMMYFUNCTION("""COMPUTED_VALUE"""),"Yes")</f>
        <v>Yes</v>
      </c>
      <c r="H1695" s="5" t="str">
        <f ca="1">IFERROR(__xludf.DUMMYFUNCTION("""COMPUTED_VALUE"""),"Suicide")</f>
        <v>Suicide</v>
      </c>
    </row>
    <row r="1696" spans="1:8" ht="13">
      <c r="A1696" s="5" t="str">
        <f ca="1">IFERROR(__xludf.DUMMYFUNCTION("""COMPUTED_VALUE"""),"20040512CAEAM")</f>
        <v>20040512CAEAM</v>
      </c>
      <c r="B1696" s="5">
        <f ca="1">IFERROR(__xludf.DUMMYFUNCTION("""COMPUTED_VALUE"""),20)</f>
        <v>20</v>
      </c>
      <c r="C1696" s="5" t="str">
        <f ca="1">IFERROR(__xludf.DUMMYFUNCTION("""COMPUTED_VALUE"""),"Male")</f>
        <v>Male</v>
      </c>
      <c r="D1696" s="5"/>
      <c r="E1696" s="5" t="str">
        <f ca="1">IFERROR(__xludf.DUMMYFUNCTION("""COMPUTED_VALUE"""),"Gang Member")</f>
        <v>Gang Member</v>
      </c>
      <c r="F1696" s="5" t="str">
        <f ca="1">IFERROR(__xludf.DUMMYFUNCTION("""COMPUTED_VALUE"""),"Fled/Apprehended")</f>
        <v>Fled/Apprehended</v>
      </c>
      <c r="G1696" s="5" t="str">
        <f ca="1">IFERROR(__xludf.DUMMYFUNCTION("""COMPUTED_VALUE"""),"No")</f>
        <v>No</v>
      </c>
      <c r="H1696" s="5" t="str">
        <f ca="1">IFERROR(__xludf.DUMMYFUNCTION("""COMPUTED_VALUE"""),"None")</f>
        <v>None</v>
      </c>
    </row>
    <row r="1697" spans="1:8" ht="13">
      <c r="A1697" s="5" t="str">
        <f ca="1">IFERROR(__xludf.DUMMYFUNCTION("""COMPUTED_VALUE"""),"20040507MDRAR")</f>
        <v>20040507MDRAR</v>
      </c>
      <c r="B1697" s="5">
        <f ca="1">IFERROR(__xludf.DUMMYFUNCTION("""COMPUTED_VALUE"""),17)</f>
        <v>17</v>
      </c>
      <c r="C1697" s="5" t="str">
        <f ca="1">IFERROR(__xludf.DUMMYFUNCTION("""COMPUTED_VALUE"""),"Male")</f>
        <v>Male</v>
      </c>
      <c r="D1697" s="5" t="str">
        <f ca="1">IFERROR(__xludf.DUMMYFUNCTION("""COMPUTED_VALUE"""),"Black")</f>
        <v>Black</v>
      </c>
      <c r="E1697" s="5" t="str">
        <f ca="1">IFERROR(__xludf.DUMMYFUNCTION("""COMPUTED_VALUE"""),"Unknown")</f>
        <v>Unknown</v>
      </c>
      <c r="F1697" s="5" t="str">
        <f ca="1">IFERROR(__xludf.DUMMYFUNCTION("""COMPUTED_VALUE"""),"Fled/Apprehended")</f>
        <v>Fled/Apprehended</v>
      </c>
      <c r="G1697" s="5" t="str">
        <f ca="1">IFERROR(__xludf.DUMMYFUNCTION("""COMPUTED_VALUE"""),"No")</f>
        <v>No</v>
      </c>
      <c r="H1697" s="5" t="str">
        <f ca="1">IFERROR(__xludf.DUMMYFUNCTION("""COMPUTED_VALUE"""),"None")</f>
        <v>None</v>
      </c>
    </row>
    <row r="1698" spans="1:8" ht="13">
      <c r="A1698" s="5" t="str">
        <f ca="1">IFERROR(__xludf.DUMMYFUNCTION("""COMPUTED_VALUE"""),"20040507MDRAR")</f>
        <v>20040507MDRAR</v>
      </c>
      <c r="B1698" s="5">
        <f ca="1">IFERROR(__xludf.DUMMYFUNCTION("""COMPUTED_VALUE"""),21)</f>
        <v>21</v>
      </c>
      <c r="C1698" s="5" t="str">
        <f ca="1">IFERROR(__xludf.DUMMYFUNCTION("""COMPUTED_VALUE"""),"Male")</f>
        <v>Male</v>
      </c>
      <c r="D1698" s="5" t="str">
        <f ca="1">IFERROR(__xludf.DUMMYFUNCTION("""COMPUTED_VALUE"""),"Black")</f>
        <v>Black</v>
      </c>
      <c r="E1698" s="5" t="str">
        <f ca="1">IFERROR(__xludf.DUMMYFUNCTION("""COMPUTED_VALUE"""),"Student")</f>
        <v>Student</v>
      </c>
      <c r="F1698" s="5" t="str">
        <f ca="1">IFERROR(__xludf.DUMMYFUNCTION("""COMPUTED_VALUE"""),"Fled/Apprehended")</f>
        <v>Fled/Apprehended</v>
      </c>
      <c r="G1698" s="5" t="str">
        <f ca="1">IFERROR(__xludf.DUMMYFUNCTION("""COMPUTED_VALUE"""),"No")</f>
        <v>No</v>
      </c>
      <c r="H1698" s="5" t="str">
        <f ca="1">IFERROR(__xludf.DUMMYFUNCTION("""COMPUTED_VALUE"""),"None")</f>
        <v>None</v>
      </c>
    </row>
    <row r="1699" spans="1:8" ht="13">
      <c r="A1699" s="5" t="str">
        <f ca="1">IFERROR(__xludf.DUMMYFUNCTION("""COMPUTED_VALUE"""),"20040504TXKAH")</f>
        <v>20040504TXKAH</v>
      </c>
      <c r="B1699" s="5" t="str">
        <f ca="1">IFERROR(__xludf.DUMMYFUNCTION("""COMPUTED_VALUE"""),"Teen")</f>
        <v>Teen</v>
      </c>
      <c r="C1699" s="5" t="str">
        <f ca="1">IFERROR(__xludf.DUMMYFUNCTION("""COMPUTED_VALUE"""),"Male")</f>
        <v>Male</v>
      </c>
      <c r="D1699" s="5"/>
      <c r="E1699" s="5" t="str">
        <f ca="1">IFERROR(__xludf.DUMMYFUNCTION("""COMPUTED_VALUE"""),"Unknown")</f>
        <v>Unknown</v>
      </c>
      <c r="F1699" s="5" t="str">
        <f ca="1">IFERROR(__xludf.DUMMYFUNCTION("""COMPUTED_VALUE"""),"Fled/Escaped")</f>
        <v>Fled/Escaped</v>
      </c>
      <c r="G1699" s="5" t="str">
        <f ca="1">IFERROR(__xludf.DUMMYFUNCTION("""COMPUTED_VALUE"""),"No")</f>
        <v>No</v>
      </c>
      <c r="H1699" s="5" t="str">
        <f ca="1">IFERROR(__xludf.DUMMYFUNCTION("""COMPUTED_VALUE"""),"None")</f>
        <v>None</v>
      </c>
    </row>
    <row r="1700" spans="1:8" ht="13">
      <c r="A1700" s="5" t="str">
        <f ca="1">IFERROR(__xludf.DUMMYFUNCTION("""COMPUTED_VALUE"""),"20040317WACRJ")</f>
        <v>20040317WACRJ</v>
      </c>
      <c r="B1700" s="5">
        <f ca="1">IFERROR(__xludf.DUMMYFUNCTION("""COMPUTED_VALUE"""),13)</f>
        <v>13</v>
      </c>
      <c r="C1700" s="5" t="str">
        <f ca="1">IFERROR(__xludf.DUMMYFUNCTION("""COMPUTED_VALUE"""),"Male")</f>
        <v>Male</v>
      </c>
      <c r="D1700" s="5"/>
      <c r="E1700" s="5" t="str">
        <f ca="1">IFERROR(__xludf.DUMMYFUNCTION("""COMPUTED_VALUE"""),"Student")</f>
        <v>Student</v>
      </c>
      <c r="F1700" s="5" t="str">
        <f ca="1">IFERROR(__xludf.DUMMYFUNCTION("""COMPUTED_VALUE"""),"Suicide")</f>
        <v>Suicide</v>
      </c>
      <c r="G1700" s="5" t="str">
        <f ca="1">IFERROR(__xludf.DUMMYFUNCTION("""COMPUTED_VALUE"""),"Yes")</f>
        <v>Yes</v>
      </c>
      <c r="H1700" s="5" t="str">
        <f ca="1">IFERROR(__xludf.DUMMYFUNCTION("""COMPUTED_VALUE"""),"Suicide")</f>
        <v>Suicide</v>
      </c>
    </row>
    <row r="1701" spans="1:8" ht="13">
      <c r="A1701" s="5" t="str">
        <f ca="1">IFERROR(__xludf.DUMMYFUNCTION("""COMPUTED_VALUE"""),"20040305CASAL")</f>
        <v>20040305CASAL</v>
      </c>
      <c r="B1701" s="5"/>
      <c r="C1701" s="5" t="str">
        <f ca="1">IFERROR(__xludf.DUMMYFUNCTION("""COMPUTED_VALUE"""),"Male")</f>
        <v>Male</v>
      </c>
      <c r="D1701" s="5"/>
      <c r="E1701" s="5" t="str">
        <f ca="1">IFERROR(__xludf.DUMMYFUNCTION("""COMPUTED_VALUE"""),"Unknown")</f>
        <v>Unknown</v>
      </c>
      <c r="F1701" s="5" t="str">
        <f ca="1">IFERROR(__xludf.DUMMYFUNCTION("""COMPUTED_VALUE"""),"Fled/Escaped")</f>
        <v>Fled/Escaped</v>
      </c>
      <c r="G1701" s="5" t="str">
        <f ca="1">IFERROR(__xludf.DUMMYFUNCTION("""COMPUTED_VALUE"""),"No")</f>
        <v>No</v>
      </c>
      <c r="H1701" s="5" t="str">
        <f ca="1">IFERROR(__xludf.DUMMYFUNCTION("""COMPUTED_VALUE"""),"None")</f>
        <v>None</v>
      </c>
    </row>
    <row r="1702" spans="1:8" ht="13">
      <c r="A1702" s="5" t="str">
        <f ca="1">IFERROR(__xludf.DUMMYFUNCTION("""COMPUTED_VALUE"""),"20040220LAGAS")</f>
        <v>20040220LAGAS</v>
      </c>
      <c r="B1702" s="5">
        <f ca="1">IFERROR(__xludf.DUMMYFUNCTION("""COMPUTED_VALUE"""),41)</f>
        <v>41</v>
      </c>
      <c r="C1702" s="5" t="str">
        <f ca="1">IFERROR(__xludf.DUMMYFUNCTION("""COMPUTED_VALUE"""),"Male")</f>
        <v>Male</v>
      </c>
      <c r="D1702" s="5"/>
      <c r="E1702" s="5" t="str">
        <f ca="1">IFERROR(__xludf.DUMMYFUNCTION("""COMPUTED_VALUE"""),"Intimate Relationship")</f>
        <v>Intimate Relationship</v>
      </c>
      <c r="F1702" s="5" t="str">
        <f ca="1">IFERROR(__xludf.DUMMYFUNCTION("""COMPUTED_VALUE"""),"Fled/Escaped")</f>
        <v>Fled/Escaped</v>
      </c>
      <c r="G1702" s="5" t="str">
        <f ca="1">IFERROR(__xludf.DUMMYFUNCTION("""COMPUTED_VALUE"""),"Yes")</f>
        <v>Yes</v>
      </c>
      <c r="H1702" s="5" t="str">
        <f ca="1">IFERROR(__xludf.DUMMYFUNCTION("""COMPUTED_VALUE"""),"Suicide")</f>
        <v>Suicide</v>
      </c>
    </row>
    <row r="1703" spans="1:8" ht="13">
      <c r="A1703" s="5" t="str">
        <f ca="1">IFERROR(__xludf.DUMMYFUNCTION("""COMPUTED_VALUE"""),"20040213OHCOD")</f>
        <v>20040213OHCOD</v>
      </c>
      <c r="B1703" s="5">
        <f ca="1">IFERROR(__xludf.DUMMYFUNCTION("""COMPUTED_VALUE"""),17)</f>
        <v>17</v>
      </c>
      <c r="C1703" s="5" t="str">
        <f ca="1">IFERROR(__xludf.DUMMYFUNCTION("""COMPUTED_VALUE"""),"Male")</f>
        <v>Male</v>
      </c>
      <c r="D1703" s="5"/>
      <c r="E1703" s="5" t="str">
        <f ca="1">IFERROR(__xludf.DUMMYFUNCTION("""COMPUTED_VALUE"""),"Student")</f>
        <v>Student</v>
      </c>
      <c r="F1703" s="5" t="str">
        <f ca="1">IFERROR(__xludf.DUMMYFUNCTION("""COMPUTED_VALUE"""),"Fled/Apprehended")</f>
        <v>Fled/Apprehended</v>
      </c>
      <c r="G1703" s="5" t="str">
        <f ca="1">IFERROR(__xludf.DUMMYFUNCTION("""COMPUTED_VALUE"""),"No")</f>
        <v>No</v>
      </c>
      <c r="H1703" s="5" t="str">
        <f ca="1">IFERROR(__xludf.DUMMYFUNCTION("""COMPUTED_VALUE"""),"None")</f>
        <v>None</v>
      </c>
    </row>
    <row r="1704" spans="1:8" ht="13">
      <c r="A1704" s="5" t="str">
        <f ca="1">IFERROR(__xludf.DUMMYFUNCTION("""COMPUTED_VALUE"""),"20040211PATMP")</f>
        <v>20040211PATMP</v>
      </c>
      <c r="B1704" s="5">
        <f ca="1">IFERROR(__xludf.DUMMYFUNCTION("""COMPUTED_VALUE"""),22)</f>
        <v>22</v>
      </c>
      <c r="C1704" s="5" t="str">
        <f ca="1">IFERROR(__xludf.DUMMYFUNCTION("""COMPUTED_VALUE"""),"Male")</f>
        <v>Male</v>
      </c>
      <c r="D1704" s="5" t="str">
        <f ca="1">IFERROR(__xludf.DUMMYFUNCTION("""COMPUTED_VALUE"""),"Black")</f>
        <v>Black</v>
      </c>
      <c r="E1704" s="5" t="str">
        <f ca="1">IFERROR(__xludf.DUMMYFUNCTION("""COMPUTED_VALUE"""),"No Relation")</f>
        <v>No Relation</v>
      </c>
      <c r="F1704" s="5" t="str">
        <f ca="1">IFERROR(__xludf.DUMMYFUNCTION("""COMPUTED_VALUE"""),"Fled/Apprehended")</f>
        <v>Fled/Apprehended</v>
      </c>
      <c r="G1704" s="5" t="str">
        <f ca="1">IFERROR(__xludf.DUMMYFUNCTION("""COMPUTED_VALUE"""),"No")</f>
        <v>No</v>
      </c>
      <c r="H1704" s="5" t="str">
        <f ca="1">IFERROR(__xludf.DUMMYFUNCTION("""COMPUTED_VALUE"""),"None")</f>
        <v>None</v>
      </c>
    </row>
    <row r="1705" spans="1:8" ht="13">
      <c r="A1705" s="5" t="str">
        <f ca="1">IFERROR(__xludf.DUMMYFUNCTION("""COMPUTED_VALUE"""),"20040211PATMP")</f>
        <v>20040211PATMP</v>
      </c>
      <c r="B1705" s="5">
        <f ca="1">IFERROR(__xludf.DUMMYFUNCTION("""COMPUTED_VALUE"""),21)</f>
        <v>21</v>
      </c>
      <c r="C1705" s="5" t="str">
        <f ca="1">IFERROR(__xludf.DUMMYFUNCTION("""COMPUTED_VALUE"""),"Male")</f>
        <v>Male</v>
      </c>
      <c r="D1705" s="5" t="str">
        <f ca="1">IFERROR(__xludf.DUMMYFUNCTION("""COMPUTED_VALUE"""),"Black")</f>
        <v>Black</v>
      </c>
      <c r="E1705" s="5" t="str">
        <f ca="1">IFERROR(__xludf.DUMMYFUNCTION("""COMPUTED_VALUE"""),"No Relation")</f>
        <v>No Relation</v>
      </c>
      <c r="F1705" s="5" t="str">
        <f ca="1">IFERROR(__xludf.DUMMYFUNCTION("""COMPUTED_VALUE"""),"Fled/Apprehended")</f>
        <v>Fled/Apprehended</v>
      </c>
      <c r="G1705" s="5" t="str">
        <f ca="1">IFERROR(__xludf.DUMMYFUNCTION("""COMPUTED_VALUE"""),"No")</f>
        <v>No</v>
      </c>
      <c r="H1705" s="5" t="str">
        <f ca="1">IFERROR(__xludf.DUMMYFUNCTION("""COMPUTED_VALUE"""),"None")</f>
        <v>None</v>
      </c>
    </row>
    <row r="1706" spans="1:8" ht="13">
      <c r="A1706" s="5" t="str">
        <f ca="1">IFERROR(__xludf.DUMMYFUNCTION("""COMPUTED_VALUE"""),"20040209NYCOE")</f>
        <v>20040209NYCOE</v>
      </c>
      <c r="B1706" s="5">
        <f ca="1">IFERROR(__xludf.DUMMYFUNCTION("""COMPUTED_VALUE"""),16)</f>
        <v>16</v>
      </c>
      <c r="C1706" s="5" t="str">
        <f ca="1">IFERROR(__xludf.DUMMYFUNCTION("""COMPUTED_VALUE"""),"Male")</f>
        <v>Male</v>
      </c>
      <c r="D1706" s="5" t="str">
        <f ca="1">IFERROR(__xludf.DUMMYFUNCTION("""COMPUTED_VALUE"""),"White")</f>
        <v>White</v>
      </c>
      <c r="E1706" s="5" t="str">
        <f ca="1">IFERROR(__xludf.DUMMYFUNCTION("""COMPUTED_VALUE"""),"Student")</f>
        <v>Student</v>
      </c>
      <c r="F1706" s="5" t="str">
        <f ca="1">IFERROR(__xludf.DUMMYFUNCTION("""COMPUTED_VALUE"""),"Subdued by Students/Staff/Other")</f>
        <v>Subdued by Students/Staff/Other</v>
      </c>
      <c r="G1706" s="5" t="str">
        <f ca="1">IFERROR(__xludf.DUMMYFUNCTION("""COMPUTED_VALUE"""),"No")</f>
        <v>No</v>
      </c>
      <c r="H1706" s="5" t="str">
        <f ca="1">IFERROR(__xludf.DUMMYFUNCTION("""COMPUTED_VALUE"""),"None")</f>
        <v>None</v>
      </c>
    </row>
    <row r="1707" spans="1:8" ht="13">
      <c r="A1707" s="5" t="str">
        <f ca="1">IFERROR(__xludf.DUMMYFUNCTION("""COMPUTED_VALUE"""),"20040206LAFAS")</f>
        <v>20040206LAFAS</v>
      </c>
      <c r="B1707" s="5" t="str">
        <f ca="1">IFERROR(__xludf.DUMMYFUNCTION("""COMPUTED_VALUE"""),"Adult")</f>
        <v>Adult</v>
      </c>
      <c r="C1707" s="5"/>
      <c r="D1707" s="5"/>
      <c r="E1707" s="5" t="str">
        <f ca="1">IFERROR(__xludf.DUMMYFUNCTION("""COMPUTED_VALUE"""),"Police Officer/SRO")</f>
        <v>Police Officer/SRO</v>
      </c>
      <c r="F1707" s="5" t="str">
        <f ca="1">IFERROR(__xludf.DUMMYFUNCTION("""COMPUTED_VALUE"""),"Law Enforcement")</f>
        <v>Law Enforcement</v>
      </c>
      <c r="G1707" s="5" t="str">
        <f ca="1">IFERROR(__xludf.DUMMYFUNCTION("""COMPUTED_VALUE"""),"No")</f>
        <v>No</v>
      </c>
      <c r="H1707" s="5" t="str">
        <f ca="1">IFERROR(__xludf.DUMMYFUNCTION("""COMPUTED_VALUE"""),"None")</f>
        <v>None</v>
      </c>
    </row>
    <row r="1708" spans="1:8" ht="13">
      <c r="A1708" s="5" t="str">
        <f ca="1">IFERROR(__xludf.DUMMYFUNCTION("""COMPUTED_VALUE"""),"20040203TXYOH")</f>
        <v>20040203TXYOH</v>
      </c>
      <c r="B1708" s="5">
        <f ca="1">IFERROR(__xludf.DUMMYFUNCTION("""COMPUTED_VALUE"""),12)</f>
        <v>12</v>
      </c>
      <c r="C1708" s="5" t="str">
        <f ca="1">IFERROR(__xludf.DUMMYFUNCTION("""COMPUTED_VALUE"""),"Male")</f>
        <v>Male</v>
      </c>
      <c r="D1708" s="5"/>
      <c r="E1708" s="5" t="str">
        <f ca="1">IFERROR(__xludf.DUMMYFUNCTION("""COMPUTED_VALUE"""),"Student")</f>
        <v>Student</v>
      </c>
      <c r="F1708" s="5" t="str">
        <f ca="1">IFERROR(__xludf.DUMMYFUNCTION("""COMPUTED_VALUE"""),"Surrendered")</f>
        <v>Surrendered</v>
      </c>
      <c r="G1708" s="5" t="str">
        <f ca="1">IFERROR(__xludf.DUMMYFUNCTION("""COMPUTED_VALUE"""),"No")</f>
        <v>No</v>
      </c>
      <c r="H1708" s="5" t="str">
        <f ca="1">IFERROR(__xludf.DUMMYFUNCTION("""COMPUTED_VALUE"""),"Wounded")</f>
        <v>Wounded</v>
      </c>
    </row>
    <row r="1709" spans="1:8" ht="13">
      <c r="A1709" s="5" t="str">
        <f ca="1">IFERROR(__xludf.DUMMYFUNCTION("""COMPUTED_VALUE"""),"20040202DCBAW")</f>
        <v>20040202DCBAW</v>
      </c>
      <c r="B1709" s="5">
        <f ca="1">IFERROR(__xludf.DUMMYFUNCTION("""COMPUTED_VALUE"""),18)</f>
        <v>18</v>
      </c>
      <c r="C1709" s="5" t="str">
        <f ca="1">IFERROR(__xludf.DUMMYFUNCTION("""COMPUTED_VALUE"""),"Male")</f>
        <v>Male</v>
      </c>
      <c r="D1709" s="5" t="str">
        <f ca="1">IFERROR(__xludf.DUMMYFUNCTION("""COMPUTED_VALUE"""),"Black")</f>
        <v>Black</v>
      </c>
      <c r="E1709" s="5" t="str">
        <f ca="1">IFERROR(__xludf.DUMMYFUNCTION("""COMPUTED_VALUE"""),"Student")</f>
        <v>Student</v>
      </c>
      <c r="F1709" s="5" t="str">
        <f ca="1">IFERROR(__xludf.DUMMYFUNCTION("""COMPUTED_VALUE"""),"Fled/Apprehended")</f>
        <v>Fled/Apprehended</v>
      </c>
      <c r="G1709" s="5" t="str">
        <f ca="1">IFERROR(__xludf.DUMMYFUNCTION("""COMPUTED_VALUE"""),"No")</f>
        <v>No</v>
      </c>
      <c r="H1709" s="5" t="str">
        <f ca="1">IFERROR(__xludf.DUMMYFUNCTION("""COMPUTED_VALUE"""),"None")</f>
        <v>None</v>
      </c>
    </row>
    <row r="1710" spans="1:8" ht="13">
      <c r="A1710" s="5" t="str">
        <f ca="1">IFERROR(__xludf.DUMMYFUNCTION("""COMPUTED_VALUE"""),"20040121NVFAH")</f>
        <v>20040121NVFAH</v>
      </c>
      <c r="B1710" s="5">
        <f ca="1">IFERROR(__xludf.DUMMYFUNCTION("""COMPUTED_VALUE"""),40)</f>
        <v>40</v>
      </c>
      <c r="C1710" s="5" t="str">
        <f ca="1">IFERROR(__xludf.DUMMYFUNCTION("""COMPUTED_VALUE"""),"Male")</f>
        <v>Male</v>
      </c>
      <c r="D1710" s="5" t="str">
        <f ca="1">IFERROR(__xludf.DUMMYFUNCTION("""COMPUTED_VALUE"""),"Black")</f>
        <v>Black</v>
      </c>
      <c r="E1710" s="5" t="str">
        <f ca="1">IFERROR(__xludf.DUMMYFUNCTION("""COMPUTED_VALUE"""),"Intimate Relationship")</f>
        <v>Intimate Relationship</v>
      </c>
      <c r="F1710" s="5" t="str">
        <f ca="1">IFERROR(__xludf.DUMMYFUNCTION("""COMPUTED_VALUE"""),"Apprehended/Killed by LE")</f>
        <v>Apprehended/Killed by LE</v>
      </c>
      <c r="G1710" s="5" t="str">
        <f ca="1">IFERROR(__xludf.DUMMYFUNCTION("""COMPUTED_VALUE"""),"Yes")</f>
        <v>Yes</v>
      </c>
      <c r="H1710" s="5" t="str">
        <f ca="1">IFERROR(__xludf.DUMMYFUNCTION("""COMPUTED_VALUE"""),"Fatal")</f>
        <v>Fatal</v>
      </c>
    </row>
    <row r="1711" spans="1:8" ht="13">
      <c r="A1711" s="5" t="str">
        <f ca="1">IFERROR(__xludf.DUMMYFUNCTION("""COMPUTED_VALUE"""),"20040115CAPOP")</f>
        <v>20040115CAPOP</v>
      </c>
      <c r="B1711" s="5">
        <f ca="1">IFERROR(__xludf.DUMMYFUNCTION("""COMPUTED_VALUE"""),17)</f>
        <v>17</v>
      </c>
      <c r="C1711" s="5" t="str">
        <f ca="1">IFERROR(__xludf.DUMMYFUNCTION("""COMPUTED_VALUE"""),"Male")</f>
        <v>Male</v>
      </c>
      <c r="D1711" s="5"/>
      <c r="E1711" s="5" t="str">
        <f ca="1">IFERROR(__xludf.DUMMYFUNCTION("""COMPUTED_VALUE"""),"Student")</f>
        <v>Student</v>
      </c>
      <c r="F1711" s="5" t="str">
        <f ca="1">IFERROR(__xludf.DUMMYFUNCTION("""COMPUTED_VALUE"""),"Unknown")</f>
        <v>Unknown</v>
      </c>
      <c r="G1711" s="5" t="str">
        <f ca="1">IFERROR(__xludf.DUMMYFUNCTION("""COMPUTED_VALUE"""),"No")</f>
        <v>No</v>
      </c>
      <c r="H1711" s="5" t="str">
        <f ca="1">IFERROR(__xludf.DUMMYFUNCTION("""COMPUTED_VALUE"""),"None")</f>
        <v>None</v>
      </c>
    </row>
    <row r="1712" spans="1:8" ht="13">
      <c r="A1712" s="5" t="str">
        <f ca="1">IFERROR(__xludf.DUMMYFUNCTION("""COMPUTED_VALUE"""),"20031229FLABE")</f>
        <v>20031229FLABE</v>
      </c>
      <c r="B1712" s="5">
        <f ca="1">IFERROR(__xludf.DUMMYFUNCTION("""COMPUTED_VALUE"""),16)</f>
        <v>16</v>
      </c>
      <c r="C1712" s="5" t="str">
        <f ca="1">IFERROR(__xludf.DUMMYFUNCTION("""COMPUTED_VALUE"""),"Male")</f>
        <v>Male</v>
      </c>
      <c r="D1712" s="5"/>
      <c r="E1712" s="5" t="str">
        <f ca="1">IFERROR(__xludf.DUMMYFUNCTION("""COMPUTED_VALUE"""),"Unknown")</f>
        <v>Unknown</v>
      </c>
      <c r="F1712" s="5" t="str">
        <f ca="1">IFERROR(__xludf.DUMMYFUNCTION("""COMPUTED_VALUE"""),"Fled/Apprehended")</f>
        <v>Fled/Apprehended</v>
      </c>
      <c r="G1712" s="5" t="str">
        <f ca="1">IFERROR(__xludf.DUMMYFUNCTION("""COMPUTED_VALUE"""),"No")</f>
        <v>No</v>
      </c>
      <c r="H1712" s="5" t="str">
        <f ca="1">IFERROR(__xludf.DUMMYFUNCTION("""COMPUTED_VALUE"""),"Wounded")</f>
        <v>Wounded</v>
      </c>
    </row>
    <row r="1713" spans="1:8" ht="13">
      <c r="A1713" s="5" t="str">
        <f ca="1">IFERROR(__xludf.DUMMYFUNCTION("""COMPUTED_VALUE"""),"20031222NJCOW")</f>
        <v>20031222NJCOW</v>
      </c>
      <c r="B1713" s="5">
        <f ca="1">IFERROR(__xludf.DUMMYFUNCTION("""COMPUTED_VALUE"""),23)</f>
        <v>23</v>
      </c>
      <c r="C1713" s="5" t="str">
        <f ca="1">IFERROR(__xludf.DUMMYFUNCTION("""COMPUTED_VALUE"""),"Male")</f>
        <v>Male</v>
      </c>
      <c r="D1713" s="5"/>
      <c r="E1713" s="5" t="str">
        <f ca="1">IFERROR(__xludf.DUMMYFUNCTION("""COMPUTED_VALUE"""),"Nonstudent Using Athletic Facilities/Attending Game")</f>
        <v>Nonstudent Using Athletic Facilities/Attending Game</v>
      </c>
      <c r="F1713" s="5" t="str">
        <f ca="1">IFERROR(__xludf.DUMMYFUNCTION("""COMPUTED_VALUE"""),"Fled/Apprehended")</f>
        <v>Fled/Apprehended</v>
      </c>
      <c r="G1713" s="5" t="str">
        <f ca="1">IFERROR(__xludf.DUMMYFUNCTION("""COMPUTED_VALUE"""),"No")</f>
        <v>No</v>
      </c>
      <c r="H1713" s="5" t="str">
        <f ca="1">IFERROR(__xludf.DUMMYFUNCTION("""COMPUTED_VALUE"""),"None")</f>
        <v>None</v>
      </c>
    </row>
    <row r="1714" spans="1:8" ht="13">
      <c r="A1714" s="5" t="str">
        <f ca="1">IFERROR(__xludf.DUMMYFUNCTION("""COMPUTED_VALUE"""),"20031217MDOLM")</f>
        <v>20031217MDOLM</v>
      </c>
      <c r="B1714" s="5"/>
      <c r="C1714" s="5"/>
      <c r="D1714" s="5"/>
      <c r="E1714" s="5" t="str">
        <f ca="1">IFERROR(__xludf.DUMMYFUNCTION("""COMPUTED_VALUE"""),"Unknown")</f>
        <v>Unknown</v>
      </c>
      <c r="F1714" s="5" t="str">
        <f ca="1">IFERROR(__xludf.DUMMYFUNCTION("""COMPUTED_VALUE"""),"Fled/Escaped")</f>
        <v>Fled/Escaped</v>
      </c>
      <c r="G1714" s="5" t="str">
        <f ca="1">IFERROR(__xludf.DUMMYFUNCTION("""COMPUTED_VALUE"""),"No")</f>
        <v>No</v>
      </c>
      <c r="H1714" s="5" t="str">
        <f ca="1">IFERROR(__xludf.DUMMYFUNCTION("""COMPUTED_VALUE"""),"None")</f>
        <v>None</v>
      </c>
    </row>
    <row r="1715" spans="1:8" ht="13">
      <c r="A1715" s="5" t="str">
        <f ca="1">IFERROR(__xludf.DUMMYFUNCTION("""COMPUTED_VALUE"""),"20031205ILCAC")</f>
        <v>20031205ILCAC</v>
      </c>
      <c r="B1715" s="5">
        <f ca="1">IFERROR(__xludf.DUMMYFUNCTION("""COMPUTED_VALUE"""),17)</f>
        <v>17</v>
      </c>
      <c r="C1715" s="5" t="str">
        <f ca="1">IFERROR(__xludf.DUMMYFUNCTION("""COMPUTED_VALUE"""),"Male")</f>
        <v>Male</v>
      </c>
      <c r="D1715" s="5"/>
      <c r="E1715" s="5" t="str">
        <f ca="1">IFERROR(__xludf.DUMMYFUNCTION("""COMPUTED_VALUE"""),"Student")</f>
        <v>Student</v>
      </c>
      <c r="F1715" s="5" t="str">
        <f ca="1">IFERROR(__xludf.DUMMYFUNCTION("""COMPUTED_VALUE"""),"Fled/Apprehended")</f>
        <v>Fled/Apprehended</v>
      </c>
      <c r="G1715" s="5" t="str">
        <f ca="1">IFERROR(__xludf.DUMMYFUNCTION("""COMPUTED_VALUE"""),"No")</f>
        <v>No</v>
      </c>
      <c r="H1715" s="5" t="str">
        <f ca="1">IFERROR(__xludf.DUMMYFUNCTION("""COMPUTED_VALUE"""),"None")</f>
        <v>None</v>
      </c>
    </row>
    <row r="1716" spans="1:8" ht="13">
      <c r="A1716" s="5" t="str">
        <f ca="1">IFERROR(__xludf.DUMMYFUNCTION("""COMPUTED_VALUE"""),"20031204OKDOO")</f>
        <v>20031204OKDOO</v>
      </c>
      <c r="B1716" s="5">
        <f ca="1">IFERROR(__xludf.DUMMYFUNCTION("""COMPUTED_VALUE"""),18)</f>
        <v>18</v>
      </c>
      <c r="C1716" s="5" t="str">
        <f ca="1">IFERROR(__xludf.DUMMYFUNCTION("""COMPUTED_VALUE"""),"Male")</f>
        <v>Male</v>
      </c>
      <c r="D1716" s="5"/>
      <c r="E1716" s="5" t="str">
        <f ca="1">IFERROR(__xludf.DUMMYFUNCTION("""COMPUTED_VALUE"""),"Student")</f>
        <v>Student</v>
      </c>
      <c r="F1716" s="5" t="str">
        <f ca="1">IFERROR(__xludf.DUMMYFUNCTION("""COMPUTED_VALUE"""),"Fled/Apprehended")</f>
        <v>Fled/Apprehended</v>
      </c>
      <c r="G1716" s="5" t="str">
        <f ca="1">IFERROR(__xludf.DUMMYFUNCTION("""COMPUTED_VALUE"""),"No")</f>
        <v>No</v>
      </c>
      <c r="H1716" s="5" t="str">
        <f ca="1">IFERROR(__xludf.DUMMYFUNCTION("""COMPUTED_VALUE"""),"None")</f>
        <v>None</v>
      </c>
    </row>
    <row r="1717" spans="1:8" ht="13">
      <c r="A1717" s="5" t="str">
        <f ca="1">IFERROR(__xludf.DUMMYFUNCTION("""COMPUTED_VALUE"""),"20031202ILFEC")</f>
        <v>20031202ILFEC</v>
      </c>
      <c r="B1717" s="5" t="str">
        <f ca="1">IFERROR(__xludf.DUMMYFUNCTION("""COMPUTED_VALUE"""),"Adult")</f>
        <v>Adult</v>
      </c>
      <c r="C1717" s="5" t="str">
        <f ca="1">IFERROR(__xludf.DUMMYFUNCTION("""COMPUTED_VALUE"""),"Male")</f>
        <v>Male</v>
      </c>
      <c r="D1717" s="5"/>
      <c r="E1717" s="5" t="str">
        <f ca="1">IFERROR(__xludf.DUMMYFUNCTION("""COMPUTED_VALUE"""),"Police Officer/SRO")</f>
        <v>Police Officer/SRO</v>
      </c>
      <c r="F1717" s="5" t="str">
        <f ca="1">IFERROR(__xludf.DUMMYFUNCTION("""COMPUTED_VALUE"""),"Apprehended/Killed by LE")</f>
        <v>Apprehended/Killed by LE</v>
      </c>
      <c r="G1717" s="5" t="str">
        <f ca="1">IFERROR(__xludf.DUMMYFUNCTION("""COMPUTED_VALUE"""),"Yes")</f>
        <v>Yes</v>
      </c>
      <c r="H1717" s="5" t="str">
        <f ca="1">IFERROR(__xludf.DUMMYFUNCTION("""COMPUTED_VALUE"""),"Fatal")</f>
        <v>Fatal</v>
      </c>
    </row>
    <row r="1718" spans="1:8" ht="13">
      <c r="A1718" s="5" t="str">
        <f ca="1">IFERROR(__xludf.DUMMYFUNCTION("""COMPUTED_VALUE"""),"20031113NCEAC")</f>
        <v>20031113NCEAC</v>
      </c>
      <c r="B1718" s="5">
        <f ca="1">IFERROR(__xludf.DUMMYFUNCTION("""COMPUTED_VALUE"""),15)</f>
        <v>15</v>
      </c>
      <c r="C1718" s="5" t="str">
        <f ca="1">IFERROR(__xludf.DUMMYFUNCTION("""COMPUTED_VALUE"""),"Male")</f>
        <v>Male</v>
      </c>
      <c r="D1718" s="5"/>
      <c r="E1718" s="5" t="str">
        <f ca="1">IFERROR(__xludf.DUMMYFUNCTION("""COMPUTED_VALUE"""),"Student")</f>
        <v>Student</v>
      </c>
      <c r="F1718" s="5" t="str">
        <f ca="1">IFERROR(__xludf.DUMMYFUNCTION("""COMPUTED_VALUE"""),"Unknown")</f>
        <v>Unknown</v>
      </c>
      <c r="G1718" s="5" t="str">
        <f ca="1">IFERROR(__xludf.DUMMYFUNCTION("""COMPUTED_VALUE"""),"No")</f>
        <v>No</v>
      </c>
      <c r="H1718" s="5" t="str">
        <f ca="1">IFERROR(__xludf.DUMMYFUNCTION("""COMPUTED_VALUE"""),"None")</f>
        <v>None</v>
      </c>
    </row>
    <row r="1719" spans="1:8" ht="13">
      <c r="A1719" s="5" t="str">
        <f ca="1">IFERROR(__xludf.DUMMYFUNCTION("""COMPUTED_VALUE"""),"20031108TXHIS")</f>
        <v>20031108TXHIS</v>
      </c>
      <c r="B1719" s="5">
        <f ca="1">IFERROR(__xludf.DUMMYFUNCTION("""COMPUTED_VALUE"""),21)</f>
        <v>21</v>
      </c>
      <c r="C1719" s="5" t="str">
        <f ca="1">IFERROR(__xludf.DUMMYFUNCTION("""COMPUTED_VALUE"""),"Male")</f>
        <v>Male</v>
      </c>
      <c r="D1719" s="5"/>
      <c r="E1719" s="5" t="str">
        <f ca="1">IFERROR(__xludf.DUMMYFUNCTION("""COMPUTED_VALUE"""),"Nonstudent Using Athletic Facilities/Attending Game")</f>
        <v>Nonstudent Using Athletic Facilities/Attending Game</v>
      </c>
      <c r="F1719" s="5" t="str">
        <f ca="1">IFERROR(__xludf.DUMMYFUNCTION("""COMPUTED_VALUE"""),"Fled/Apprehended")</f>
        <v>Fled/Apprehended</v>
      </c>
      <c r="G1719" s="5" t="str">
        <f ca="1">IFERROR(__xludf.DUMMYFUNCTION("""COMPUTED_VALUE"""),"No")</f>
        <v>No</v>
      </c>
      <c r="H1719" s="5" t="str">
        <f ca="1">IFERROR(__xludf.DUMMYFUNCTION("""COMPUTED_VALUE"""),"None")</f>
        <v>None</v>
      </c>
    </row>
    <row r="1720" spans="1:8" ht="13">
      <c r="A1720" s="5" t="str">
        <f ca="1">IFERROR(__xludf.DUMMYFUNCTION("""COMPUTED_VALUE"""),"20031030DCANW")</f>
        <v>20031030DCANW</v>
      </c>
      <c r="B1720" s="5"/>
      <c r="C1720" s="5" t="str">
        <f ca="1">IFERROR(__xludf.DUMMYFUNCTION("""COMPUTED_VALUE"""),"Male")</f>
        <v>Male</v>
      </c>
      <c r="D1720" s="5"/>
      <c r="E1720" s="5" t="str">
        <f ca="1">IFERROR(__xludf.DUMMYFUNCTION("""COMPUTED_VALUE"""),"Unknown")</f>
        <v>Unknown</v>
      </c>
      <c r="F1720" s="5" t="str">
        <f ca="1">IFERROR(__xludf.DUMMYFUNCTION("""COMPUTED_VALUE"""),"Fled/Escaped")</f>
        <v>Fled/Escaped</v>
      </c>
      <c r="G1720" s="5" t="str">
        <f ca="1">IFERROR(__xludf.DUMMYFUNCTION("""COMPUTED_VALUE"""),"No")</f>
        <v>No</v>
      </c>
      <c r="H1720" s="5" t="str">
        <f ca="1">IFERROR(__xludf.DUMMYFUNCTION("""COMPUTED_VALUE"""),"None")</f>
        <v>None</v>
      </c>
    </row>
    <row r="1721" spans="1:8" ht="13">
      <c r="A1721" s="5" t="str">
        <f ca="1">IFERROR(__xludf.DUMMYFUNCTION("""COMPUTED_VALUE"""),"20031029LAMAM")</f>
        <v>20031029LAMAM</v>
      </c>
      <c r="B1721" s="5">
        <f ca="1">IFERROR(__xludf.DUMMYFUNCTION("""COMPUTED_VALUE"""),14)</f>
        <v>14</v>
      </c>
      <c r="C1721" s="5" t="str">
        <f ca="1">IFERROR(__xludf.DUMMYFUNCTION("""COMPUTED_VALUE"""),"Male")</f>
        <v>Male</v>
      </c>
      <c r="D1721" s="5"/>
      <c r="E1721" s="5" t="str">
        <f ca="1">IFERROR(__xludf.DUMMYFUNCTION("""COMPUTED_VALUE"""),"Student")</f>
        <v>Student</v>
      </c>
      <c r="F1721" s="5" t="str">
        <f ca="1">IFERROR(__xludf.DUMMYFUNCTION("""COMPUTED_VALUE"""),"Apprehended/Killed by LE")</f>
        <v>Apprehended/Killed by LE</v>
      </c>
      <c r="G1721" s="5" t="str">
        <f ca="1">IFERROR(__xludf.DUMMYFUNCTION("""COMPUTED_VALUE"""),"No")</f>
        <v>No</v>
      </c>
      <c r="H1721" s="5" t="str">
        <f ca="1">IFERROR(__xludf.DUMMYFUNCTION("""COMPUTED_VALUE"""),"None")</f>
        <v>None</v>
      </c>
    </row>
    <row r="1722" spans="1:8" ht="13">
      <c r="A1722" s="5" t="str">
        <f ca="1">IFERROR(__xludf.DUMMYFUNCTION("""COMPUTED_VALUE"""),"20031007OHKEA")</f>
        <v>20031007OHKEA</v>
      </c>
      <c r="B1722" s="5">
        <f ca="1">IFERROR(__xludf.DUMMYFUNCTION("""COMPUTED_VALUE"""),17)</f>
        <v>17</v>
      </c>
      <c r="C1722" s="5" t="str">
        <f ca="1">IFERROR(__xludf.DUMMYFUNCTION("""COMPUTED_VALUE"""),"Male")</f>
        <v>Male</v>
      </c>
      <c r="D1722" s="5"/>
      <c r="E1722" s="5" t="str">
        <f ca="1">IFERROR(__xludf.DUMMYFUNCTION("""COMPUTED_VALUE"""),"Student")</f>
        <v>Student</v>
      </c>
      <c r="F1722" s="5" t="str">
        <f ca="1">IFERROR(__xludf.DUMMYFUNCTION("""COMPUTED_VALUE"""),"Fled/Apprehended")</f>
        <v>Fled/Apprehended</v>
      </c>
      <c r="G1722" s="5" t="str">
        <f ca="1">IFERROR(__xludf.DUMMYFUNCTION("""COMPUTED_VALUE"""),"No")</f>
        <v>No</v>
      </c>
      <c r="H1722" s="5" t="str">
        <f ca="1">IFERROR(__xludf.DUMMYFUNCTION("""COMPUTED_VALUE"""),"None")</f>
        <v>None</v>
      </c>
    </row>
    <row r="1723" spans="1:8" ht="13">
      <c r="A1723" s="5" t="str">
        <f ca="1">IFERROR(__xludf.DUMMYFUNCTION("""COMPUTED_VALUE"""),"20031001CARIS")</f>
        <v>20031001CARIS</v>
      </c>
      <c r="B1723" s="5">
        <f ca="1">IFERROR(__xludf.DUMMYFUNCTION("""COMPUTED_VALUE"""),18)</f>
        <v>18</v>
      </c>
      <c r="C1723" s="5" t="str">
        <f ca="1">IFERROR(__xludf.DUMMYFUNCTION("""COMPUTED_VALUE"""),"Male")</f>
        <v>Male</v>
      </c>
      <c r="D1723" s="5"/>
      <c r="E1723" s="5" t="str">
        <f ca="1">IFERROR(__xludf.DUMMYFUNCTION("""COMPUTED_VALUE"""),"Police Officer/SRO")</f>
        <v>Police Officer/SRO</v>
      </c>
      <c r="F1723" s="5" t="str">
        <f ca="1">IFERROR(__xludf.DUMMYFUNCTION("""COMPUTED_VALUE"""),"Apprehended/Killed by LE")</f>
        <v>Apprehended/Killed by LE</v>
      </c>
      <c r="G1723" s="5" t="str">
        <f ca="1">IFERROR(__xludf.DUMMYFUNCTION("""COMPUTED_VALUE"""),"No")</f>
        <v>No</v>
      </c>
      <c r="H1723" s="5" t="str">
        <f ca="1">IFERROR(__xludf.DUMMYFUNCTION("""COMPUTED_VALUE"""),"Wounded")</f>
        <v>Wounded</v>
      </c>
    </row>
    <row r="1724" spans="1:8" ht="13">
      <c r="A1724" s="5" t="str">
        <f ca="1">IFERROR(__xludf.DUMMYFUNCTION("""COMPUTED_VALUE"""),"20030925NCBUL")</f>
        <v>20030925NCBUL</v>
      </c>
      <c r="B1724" s="5">
        <f ca="1">IFERROR(__xludf.DUMMYFUNCTION("""COMPUTED_VALUE"""),13)</f>
        <v>13</v>
      </c>
      <c r="C1724" s="5" t="str">
        <f ca="1">IFERROR(__xludf.DUMMYFUNCTION("""COMPUTED_VALUE"""),"Male")</f>
        <v>Male</v>
      </c>
      <c r="D1724" s="5"/>
      <c r="E1724" s="5" t="str">
        <f ca="1">IFERROR(__xludf.DUMMYFUNCTION("""COMPUTED_VALUE"""),"Student")</f>
        <v>Student</v>
      </c>
      <c r="F1724" s="5" t="str">
        <f ca="1">IFERROR(__xludf.DUMMYFUNCTION("""COMPUTED_VALUE"""),"Apprehended/Killed by LE")</f>
        <v>Apprehended/Killed by LE</v>
      </c>
      <c r="G1724" s="5" t="str">
        <f ca="1">IFERROR(__xludf.DUMMYFUNCTION("""COMPUTED_VALUE"""),"No")</f>
        <v>No</v>
      </c>
      <c r="H1724" s="5" t="str">
        <f ca="1">IFERROR(__xludf.DUMMYFUNCTION("""COMPUTED_VALUE"""),"None")</f>
        <v>None</v>
      </c>
    </row>
    <row r="1725" spans="1:8" ht="13">
      <c r="A1725" s="5" t="str">
        <f ca="1">IFERROR(__xludf.DUMMYFUNCTION("""COMPUTED_VALUE"""),"20030924MNROC")</f>
        <v>20030924MNROC</v>
      </c>
      <c r="B1725" s="5">
        <f ca="1">IFERROR(__xludf.DUMMYFUNCTION("""COMPUTED_VALUE"""),16)</f>
        <v>16</v>
      </c>
      <c r="C1725" s="5" t="str">
        <f ca="1">IFERROR(__xludf.DUMMYFUNCTION("""COMPUTED_VALUE"""),"Male")</f>
        <v>Male</v>
      </c>
      <c r="D1725" s="5" t="str">
        <f ca="1">IFERROR(__xludf.DUMMYFUNCTION("""COMPUTED_VALUE"""),"White")</f>
        <v>White</v>
      </c>
      <c r="E1725" s="5" t="str">
        <f ca="1">IFERROR(__xludf.DUMMYFUNCTION("""COMPUTED_VALUE"""),"Student")</f>
        <v>Student</v>
      </c>
      <c r="F1725" s="5" t="str">
        <f ca="1">IFERROR(__xludf.DUMMYFUNCTION("""COMPUTED_VALUE"""),"Surrendered")</f>
        <v>Surrendered</v>
      </c>
      <c r="G1725" s="5" t="str">
        <f ca="1">IFERROR(__xludf.DUMMYFUNCTION("""COMPUTED_VALUE"""),"No")</f>
        <v>No</v>
      </c>
      <c r="H1725" s="5" t="str">
        <f ca="1">IFERROR(__xludf.DUMMYFUNCTION("""COMPUTED_VALUE"""),"None")</f>
        <v>None</v>
      </c>
    </row>
    <row r="1726" spans="1:8" ht="13">
      <c r="A1726" s="5" t="str">
        <f ca="1">IFERROR(__xludf.DUMMYFUNCTION("""COMPUTED_VALUE"""),"20030922WALES")</f>
        <v>20030922WALES</v>
      </c>
      <c r="B1726" s="5">
        <f ca="1">IFERROR(__xludf.DUMMYFUNCTION("""COMPUTED_VALUE"""),16)</f>
        <v>16</v>
      </c>
      <c r="C1726" s="5" t="str">
        <f ca="1">IFERROR(__xludf.DUMMYFUNCTION("""COMPUTED_VALUE"""),"Male")</f>
        <v>Male</v>
      </c>
      <c r="D1726" s="5" t="str">
        <f ca="1">IFERROR(__xludf.DUMMYFUNCTION("""COMPUTED_VALUE"""),"White")</f>
        <v>White</v>
      </c>
      <c r="E1726" s="5" t="str">
        <f ca="1">IFERROR(__xludf.DUMMYFUNCTION("""COMPUTED_VALUE"""),"Student")</f>
        <v>Student</v>
      </c>
      <c r="F1726" s="5" t="str">
        <f ca="1">IFERROR(__xludf.DUMMYFUNCTION("""COMPUTED_VALUE"""),"Apprehended/Killed by LE")</f>
        <v>Apprehended/Killed by LE</v>
      </c>
      <c r="G1726" s="5" t="str">
        <f ca="1">IFERROR(__xludf.DUMMYFUNCTION("""COMPUTED_VALUE"""),"No")</f>
        <v>No</v>
      </c>
      <c r="H1726" s="5" t="str">
        <f ca="1">IFERROR(__xludf.DUMMYFUNCTION("""COMPUTED_VALUE"""),"None")</f>
        <v>None</v>
      </c>
    </row>
    <row r="1727" spans="1:8" ht="13">
      <c r="A1727" s="5" t="str">
        <f ca="1">IFERROR(__xludf.DUMMYFUNCTION("""COMPUTED_VALUE"""),"20030917MDOKE")</f>
        <v>20030917MDOKE</v>
      </c>
      <c r="B1727" s="5">
        <f ca="1">IFERROR(__xludf.DUMMYFUNCTION("""COMPUTED_VALUE"""),13)</f>
        <v>13</v>
      </c>
      <c r="C1727" s="5" t="str">
        <f ca="1">IFERROR(__xludf.DUMMYFUNCTION("""COMPUTED_VALUE"""),"Male")</f>
        <v>Male</v>
      </c>
      <c r="D1727" s="5"/>
      <c r="E1727" s="5" t="str">
        <f ca="1">IFERROR(__xludf.DUMMYFUNCTION("""COMPUTED_VALUE"""),"Student")</f>
        <v>Student</v>
      </c>
      <c r="F1727" s="5" t="str">
        <f ca="1">IFERROR(__xludf.DUMMYFUNCTION("""COMPUTED_VALUE"""),"Surrendered")</f>
        <v>Surrendered</v>
      </c>
      <c r="G1727" s="5" t="str">
        <f ca="1">IFERROR(__xludf.DUMMYFUNCTION("""COMPUTED_VALUE"""),"No")</f>
        <v>No</v>
      </c>
      <c r="H1727" s="5" t="str">
        <f ca="1">IFERROR(__xludf.DUMMYFUNCTION("""COMPUTED_VALUE"""),"None")</f>
        <v>None</v>
      </c>
    </row>
    <row r="1728" spans="1:8" ht="13">
      <c r="A1728" s="5" t="str">
        <f ca="1">IFERROR(__xludf.DUMMYFUNCTION("""COMPUTED_VALUE"""),"20030917MACHB")</f>
        <v>20030917MACHB</v>
      </c>
      <c r="B1728" s="5">
        <f ca="1">IFERROR(__xludf.DUMMYFUNCTION("""COMPUTED_VALUE"""),14)</f>
        <v>14</v>
      </c>
      <c r="C1728" s="5" t="str">
        <f ca="1">IFERROR(__xludf.DUMMYFUNCTION("""COMPUTED_VALUE"""),"Male")</f>
        <v>Male</v>
      </c>
      <c r="D1728" s="5"/>
      <c r="E1728" s="5" t="str">
        <f ca="1">IFERROR(__xludf.DUMMYFUNCTION("""COMPUTED_VALUE"""),"Student")</f>
        <v>Student</v>
      </c>
      <c r="F1728" s="5" t="str">
        <f ca="1">IFERROR(__xludf.DUMMYFUNCTION("""COMPUTED_VALUE"""),"Fled/Apprehended")</f>
        <v>Fled/Apprehended</v>
      </c>
      <c r="G1728" s="5" t="str">
        <f ca="1">IFERROR(__xludf.DUMMYFUNCTION("""COMPUTED_VALUE"""),"No")</f>
        <v>No</v>
      </c>
      <c r="H1728" s="5" t="str">
        <f ca="1">IFERROR(__xludf.DUMMYFUNCTION("""COMPUTED_VALUE"""),"None")</f>
        <v>None</v>
      </c>
    </row>
    <row r="1729" spans="1:8" ht="13">
      <c r="A1729" s="5" t="str">
        <f ca="1">IFERROR(__xludf.DUMMYFUNCTION("""COMPUTED_VALUE"""),"20030910MSVIV")</f>
        <v>20030910MSVIV</v>
      </c>
      <c r="B1729" s="5">
        <f ca="1">IFERROR(__xludf.DUMMYFUNCTION("""COMPUTED_VALUE"""),20)</f>
        <v>20</v>
      </c>
      <c r="C1729" s="5" t="str">
        <f ca="1">IFERROR(__xludf.DUMMYFUNCTION("""COMPUTED_VALUE"""),"Male")</f>
        <v>Male</v>
      </c>
      <c r="D1729" s="5"/>
      <c r="E1729" s="5" t="str">
        <f ca="1">IFERROR(__xludf.DUMMYFUNCTION("""COMPUTED_VALUE"""),"No Relation")</f>
        <v>No Relation</v>
      </c>
      <c r="F1729" s="5" t="str">
        <f ca="1">IFERROR(__xludf.DUMMYFUNCTION("""COMPUTED_VALUE"""),"Fled/Apprehended")</f>
        <v>Fled/Apprehended</v>
      </c>
      <c r="G1729" s="5" t="str">
        <f ca="1">IFERROR(__xludf.DUMMYFUNCTION("""COMPUTED_VALUE"""),"No")</f>
        <v>No</v>
      </c>
      <c r="H1729" s="5" t="str">
        <f ca="1">IFERROR(__xludf.DUMMYFUNCTION("""COMPUTED_VALUE"""),"None")</f>
        <v>None</v>
      </c>
    </row>
    <row r="1730" spans="1:8" ht="13">
      <c r="A1730" s="5" t="str">
        <f ca="1">IFERROR(__xludf.DUMMYFUNCTION("""COMPUTED_VALUE"""),"20030604PAROW")</f>
        <v>20030604PAROW</v>
      </c>
      <c r="B1730" s="5">
        <f ca="1">IFERROR(__xludf.DUMMYFUNCTION("""COMPUTED_VALUE"""),12)</f>
        <v>12</v>
      </c>
      <c r="C1730" s="5" t="str">
        <f ca="1">IFERROR(__xludf.DUMMYFUNCTION("""COMPUTED_VALUE"""),"Male")</f>
        <v>Male</v>
      </c>
      <c r="D1730" s="5"/>
      <c r="E1730" s="5" t="str">
        <f ca="1">IFERROR(__xludf.DUMMYFUNCTION("""COMPUTED_VALUE"""),"Student")</f>
        <v>Student</v>
      </c>
      <c r="F1730" s="5" t="str">
        <f ca="1">IFERROR(__xludf.DUMMYFUNCTION("""COMPUTED_VALUE"""),"Suicide")</f>
        <v>Suicide</v>
      </c>
      <c r="G1730" s="5" t="str">
        <f ca="1">IFERROR(__xludf.DUMMYFUNCTION("""COMPUTED_VALUE"""),"Yes")</f>
        <v>Yes</v>
      </c>
      <c r="H1730" s="5" t="str">
        <f ca="1">IFERROR(__xludf.DUMMYFUNCTION("""COMPUTED_VALUE"""),"Suicide")</f>
        <v>Suicide</v>
      </c>
    </row>
    <row r="1731" spans="1:8" ht="13">
      <c r="A1731" s="5" t="str">
        <f ca="1">IFERROR(__xludf.DUMMYFUNCTION("""COMPUTED_VALUE"""),"20030513PAFOJ")</f>
        <v>20030513PAFOJ</v>
      </c>
      <c r="B1731" s="5">
        <f ca="1">IFERROR(__xludf.DUMMYFUNCTION("""COMPUTED_VALUE"""),18)</f>
        <v>18</v>
      </c>
      <c r="C1731" s="5" t="str">
        <f ca="1">IFERROR(__xludf.DUMMYFUNCTION("""COMPUTED_VALUE"""),"Male")</f>
        <v>Male</v>
      </c>
      <c r="D1731" s="5"/>
      <c r="E1731" s="5" t="str">
        <f ca="1">IFERROR(__xludf.DUMMYFUNCTION("""COMPUTED_VALUE"""),"Student")</f>
        <v>Student</v>
      </c>
      <c r="F1731" s="5" t="str">
        <f ca="1">IFERROR(__xludf.DUMMYFUNCTION("""COMPUTED_VALUE"""),"Suicide")</f>
        <v>Suicide</v>
      </c>
      <c r="G1731" s="5" t="str">
        <f ca="1">IFERROR(__xludf.DUMMYFUNCTION("""COMPUTED_VALUE"""),"Yes")</f>
        <v>Yes</v>
      </c>
      <c r="H1731" s="5" t="str">
        <f ca="1">IFERROR(__xludf.DUMMYFUNCTION("""COMPUTED_VALUE"""),"Suicide")</f>
        <v>Suicide</v>
      </c>
    </row>
    <row r="1732" spans="1:8" ht="13">
      <c r="A1732" s="5" t="str">
        <f ca="1">IFERROR(__xludf.DUMMYFUNCTION("""COMPUTED_VALUE"""),"20030424PARER")</f>
        <v>20030424PARER</v>
      </c>
      <c r="B1732" s="5">
        <f ca="1">IFERROR(__xludf.DUMMYFUNCTION("""COMPUTED_VALUE"""),14)</f>
        <v>14</v>
      </c>
      <c r="C1732" s="5" t="str">
        <f ca="1">IFERROR(__xludf.DUMMYFUNCTION("""COMPUTED_VALUE"""),"Male")</f>
        <v>Male</v>
      </c>
      <c r="D1732" s="5" t="str">
        <f ca="1">IFERROR(__xludf.DUMMYFUNCTION("""COMPUTED_VALUE"""),"White")</f>
        <v>White</v>
      </c>
      <c r="E1732" s="5" t="str">
        <f ca="1">IFERROR(__xludf.DUMMYFUNCTION("""COMPUTED_VALUE"""),"Student")</f>
        <v>Student</v>
      </c>
      <c r="F1732" s="5" t="str">
        <f ca="1">IFERROR(__xludf.DUMMYFUNCTION("""COMPUTED_VALUE"""),"Suicide")</f>
        <v>Suicide</v>
      </c>
      <c r="G1732" s="5" t="str">
        <f ca="1">IFERROR(__xludf.DUMMYFUNCTION("""COMPUTED_VALUE"""),"Yes")</f>
        <v>Yes</v>
      </c>
      <c r="H1732" s="5" t="str">
        <f ca="1">IFERROR(__xludf.DUMMYFUNCTION("""COMPUTED_VALUE"""),"Suicide")</f>
        <v>Suicide</v>
      </c>
    </row>
    <row r="1733" spans="1:8" ht="13">
      <c r="A1733" s="5" t="str">
        <f ca="1">IFERROR(__xludf.DUMMYFUNCTION("""COMPUTED_VALUE"""),"20030416TXGRA")</f>
        <v>20030416TXGRA</v>
      </c>
      <c r="B1733" s="5">
        <f ca="1">IFERROR(__xludf.DUMMYFUNCTION("""COMPUTED_VALUE"""),12)</f>
        <v>12</v>
      </c>
      <c r="C1733" s="5" t="str">
        <f ca="1">IFERROR(__xludf.DUMMYFUNCTION("""COMPUTED_VALUE"""),"Female")</f>
        <v>Female</v>
      </c>
      <c r="D1733" s="5"/>
      <c r="E1733" s="5" t="str">
        <f ca="1">IFERROR(__xludf.DUMMYFUNCTION("""COMPUTED_VALUE"""),"Student")</f>
        <v>Student</v>
      </c>
      <c r="F1733" s="5" t="str">
        <f ca="1">IFERROR(__xludf.DUMMYFUNCTION("""COMPUTED_VALUE"""),"Suicide")</f>
        <v>Suicide</v>
      </c>
      <c r="G1733" s="5" t="str">
        <f ca="1">IFERROR(__xludf.DUMMYFUNCTION("""COMPUTED_VALUE"""),"Yes")</f>
        <v>Yes</v>
      </c>
      <c r="H1733" s="5" t="str">
        <f ca="1">IFERROR(__xludf.DUMMYFUNCTION("""COMPUTED_VALUE"""),"Suicide")</f>
        <v>Suicide</v>
      </c>
    </row>
    <row r="1734" spans="1:8" ht="13">
      <c r="A1734" s="5" t="str">
        <f ca="1">IFERROR(__xludf.DUMMYFUNCTION("""COMPUTED_VALUE"""),"20030414LAJON")</f>
        <v>20030414LAJON</v>
      </c>
      <c r="B1734" s="5">
        <f ca="1">IFERROR(__xludf.DUMMYFUNCTION("""COMPUTED_VALUE"""),17)</f>
        <v>17</v>
      </c>
      <c r="C1734" s="5" t="str">
        <f ca="1">IFERROR(__xludf.DUMMYFUNCTION("""COMPUTED_VALUE"""),"Male")</f>
        <v>Male</v>
      </c>
      <c r="D1734" s="5" t="str">
        <f ca="1">IFERROR(__xludf.DUMMYFUNCTION("""COMPUTED_VALUE"""),"Black")</f>
        <v>Black</v>
      </c>
      <c r="E1734" s="5" t="str">
        <f ca="1">IFERROR(__xludf.DUMMYFUNCTION("""COMPUTED_VALUE"""),"Rival School Student")</f>
        <v>Rival School Student</v>
      </c>
      <c r="F1734" s="5" t="str">
        <f ca="1">IFERROR(__xludf.DUMMYFUNCTION("""COMPUTED_VALUE"""),"Fled/Apprehended")</f>
        <v>Fled/Apprehended</v>
      </c>
      <c r="G1734" s="5" t="str">
        <f ca="1">IFERROR(__xludf.DUMMYFUNCTION("""COMPUTED_VALUE"""),"No")</f>
        <v>No</v>
      </c>
      <c r="H1734" s="5" t="str">
        <f ca="1">IFERROR(__xludf.DUMMYFUNCTION("""COMPUTED_VALUE"""),"None")</f>
        <v>None</v>
      </c>
    </row>
    <row r="1735" spans="1:8" ht="13">
      <c r="A1735" s="5" t="str">
        <f ca="1">IFERROR(__xludf.DUMMYFUNCTION("""COMPUTED_VALUE"""),"20030414LAJON")</f>
        <v>20030414LAJON</v>
      </c>
      <c r="B1735" s="5">
        <f ca="1">IFERROR(__xludf.DUMMYFUNCTION("""COMPUTED_VALUE"""),17)</f>
        <v>17</v>
      </c>
      <c r="C1735" s="5" t="str">
        <f ca="1">IFERROR(__xludf.DUMMYFUNCTION("""COMPUTED_VALUE"""),"Male")</f>
        <v>Male</v>
      </c>
      <c r="D1735" s="5" t="str">
        <f ca="1">IFERROR(__xludf.DUMMYFUNCTION("""COMPUTED_VALUE"""),"Black")</f>
        <v>Black</v>
      </c>
      <c r="E1735" s="5" t="str">
        <f ca="1">IFERROR(__xludf.DUMMYFUNCTION("""COMPUTED_VALUE"""),"Rival School Student")</f>
        <v>Rival School Student</v>
      </c>
      <c r="F1735" s="5" t="str">
        <f ca="1">IFERROR(__xludf.DUMMYFUNCTION("""COMPUTED_VALUE"""),"Fled/Apprehended")</f>
        <v>Fled/Apprehended</v>
      </c>
      <c r="G1735" s="5" t="str">
        <f ca="1">IFERROR(__xludf.DUMMYFUNCTION("""COMPUTED_VALUE"""),"No")</f>
        <v>No</v>
      </c>
      <c r="H1735" s="5" t="str">
        <f ca="1">IFERROR(__xludf.DUMMYFUNCTION("""COMPUTED_VALUE"""),"None")</f>
        <v>None</v>
      </c>
    </row>
    <row r="1736" spans="1:8" ht="13">
      <c r="A1736" s="5" t="str">
        <f ca="1">IFERROR(__xludf.DUMMYFUNCTION("""COMPUTED_VALUE"""),"20030414LAJON")</f>
        <v>20030414LAJON</v>
      </c>
      <c r="B1736" s="5">
        <f ca="1">IFERROR(__xludf.DUMMYFUNCTION("""COMPUTED_VALUE"""),18)</f>
        <v>18</v>
      </c>
      <c r="C1736" s="5" t="str">
        <f ca="1">IFERROR(__xludf.DUMMYFUNCTION("""COMPUTED_VALUE"""),"Male")</f>
        <v>Male</v>
      </c>
      <c r="D1736" s="5" t="str">
        <f ca="1">IFERROR(__xludf.DUMMYFUNCTION("""COMPUTED_VALUE"""),"Black")</f>
        <v>Black</v>
      </c>
      <c r="E1736" s="5" t="str">
        <f ca="1">IFERROR(__xludf.DUMMYFUNCTION("""COMPUTED_VALUE"""),"Rival School Student")</f>
        <v>Rival School Student</v>
      </c>
      <c r="F1736" s="5" t="str">
        <f ca="1">IFERROR(__xludf.DUMMYFUNCTION("""COMPUTED_VALUE"""),"Fled/Apprehended")</f>
        <v>Fled/Apprehended</v>
      </c>
      <c r="G1736" s="5" t="str">
        <f ca="1">IFERROR(__xludf.DUMMYFUNCTION("""COMPUTED_VALUE"""),"No")</f>
        <v>No</v>
      </c>
      <c r="H1736" s="5" t="str">
        <f ca="1">IFERROR(__xludf.DUMMYFUNCTION("""COMPUTED_VALUE"""),"None")</f>
        <v>None</v>
      </c>
    </row>
    <row r="1737" spans="1:8" ht="13">
      <c r="A1737" s="5" t="str">
        <f ca="1">IFERROR(__xludf.DUMMYFUNCTION("""COMPUTED_VALUE"""),"20030414LAFAS")</f>
        <v>20030414LAFAS</v>
      </c>
      <c r="B1737" s="5">
        <f ca="1">IFERROR(__xludf.DUMMYFUNCTION("""COMPUTED_VALUE"""),18)</f>
        <v>18</v>
      </c>
      <c r="C1737" s="5" t="str">
        <f ca="1">IFERROR(__xludf.DUMMYFUNCTION("""COMPUTED_VALUE"""),"Male")</f>
        <v>Male</v>
      </c>
      <c r="D1737" s="5"/>
      <c r="E1737" s="5" t="str">
        <f ca="1">IFERROR(__xludf.DUMMYFUNCTION("""COMPUTED_VALUE"""),"Student")</f>
        <v>Student</v>
      </c>
      <c r="F1737" s="5" t="str">
        <f ca="1">IFERROR(__xludf.DUMMYFUNCTION("""COMPUTED_VALUE"""),"Fled/Apprehended")</f>
        <v>Fled/Apprehended</v>
      </c>
      <c r="G1737" s="5" t="str">
        <f ca="1">IFERROR(__xludf.DUMMYFUNCTION("""COMPUTED_VALUE"""),"No")</f>
        <v>No</v>
      </c>
      <c r="H1737" s="5" t="str">
        <f ca="1">IFERROR(__xludf.DUMMYFUNCTION("""COMPUTED_VALUE"""),"None")</f>
        <v>None</v>
      </c>
    </row>
    <row r="1738" spans="1:8" ht="13">
      <c r="A1738" s="5" t="str">
        <f ca="1">IFERROR(__xludf.DUMMYFUNCTION("""COMPUTED_VALUE"""),"20030410CAWAW")</f>
        <v>20030410CAWAW</v>
      </c>
      <c r="B1738" s="5">
        <f ca="1">IFERROR(__xludf.DUMMYFUNCTION("""COMPUTED_VALUE"""),18)</f>
        <v>18</v>
      </c>
      <c r="C1738" s="5" t="str">
        <f ca="1">IFERROR(__xludf.DUMMYFUNCTION("""COMPUTED_VALUE"""),"Male")</f>
        <v>Male</v>
      </c>
      <c r="D1738" s="5"/>
      <c r="E1738" s="5" t="str">
        <f ca="1">IFERROR(__xludf.DUMMYFUNCTION("""COMPUTED_VALUE"""),"Student")</f>
        <v>Student</v>
      </c>
      <c r="F1738" s="5" t="str">
        <f ca="1">IFERROR(__xludf.DUMMYFUNCTION("""COMPUTED_VALUE"""),"Suicide")</f>
        <v>Suicide</v>
      </c>
      <c r="G1738" s="5" t="str">
        <f ca="1">IFERROR(__xludf.DUMMYFUNCTION("""COMPUTED_VALUE"""),"Yes")</f>
        <v>Yes</v>
      </c>
      <c r="H1738" s="5" t="str">
        <f ca="1">IFERROR(__xludf.DUMMYFUNCTION("""COMPUTED_VALUE"""),"Suicide")</f>
        <v>Suicide</v>
      </c>
    </row>
    <row r="1739" spans="1:8" ht="13">
      <c r="A1739" s="5" t="str">
        <f ca="1">IFERROR(__xludf.DUMMYFUNCTION("""COMPUTED_VALUE"""),"20030401DCCAW")</f>
        <v>20030401DCCAW</v>
      </c>
      <c r="B1739" s="5">
        <f ca="1">IFERROR(__xludf.DUMMYFUNCTION("""COMPUTED_VALUE"""),15)</f>
        <v>15</v>
      </c>
      <c r="C1739" s="5" t="str">
        <f ca="1">IFERROR(__xludf.DUMMYFUNCTION("""COMPUTED_VALUE"""),"Male")</f>
        <v>Male</v>
      </c>
      <c r="D1739" s="5"/>
      <c r="E1739" s="5" t="str">
        <f ca="1">IFERROR(__xludf.DUMMYFUNCTION("""COMPUTED_VALUE"""),"Student")</f>
        <v>Student</v>
      </c>
      <c r="F1739" s="5" t="str">
        <f ca="1">IFERROR(__xludf.DUMMYFUNCTION("""COMPUTED_VALUE"""),"Fled/Apprehended")</f>
        <v>Fled/Apprehended</v>
      </c>
      <c r="G1739" s="5" t="str">
        <f ca="1">IFERROR(__xludf.DUMMYFUNCTION("""COMPUTED_VALUE"""),"No")</f>
        <v>No</v>
      </c>
      <c r="H1739" s="5" t="str">
        <f ca="1">IFERROR(__xludf.DUMMYFUNCTION("""COMPUTED_VALUE"""),"None")</f>
        <v>None</v>
      </c>
    </row>
    <row r="1740" spans="1:8" ht="13">
      <c r="A1740" s="5" t="str">
        <f ca="1">IFERROR(__xludf.DUMMYFUNCTION("""COMPUTED_VALUE"""),"20030330CAROW")</f>
        <v>20030330CAROW</v>
      </c>
      <c r="B1740" s="5">
        <f ca="1">IFERROR(__xludf.DUMMYFUNCTION("""COMPUTED_VALUE"""),20)</f>
        <v>20</v>
      </c>
      <c r="C1740" s="5" t="str">
        <f ca="1">IFERROR(__xludf.DUMMYFUNCTION("""COMPUTED_VALUE"""),"Male")</f>
        <v>Male</v>
      </c>
      <c r="D1740" s="5"/>
      <c r="E1740" s="5" t="str">
        <f ca="1">IFERROR(__xludf.DUMMYFUNCTION("""COMPUTED_VALUE"""),"No Relation")</f>
        <v>No Relation</v>
      </c>
      <c r="F1740" s="5" t="str">
        <f ca="1">IFERROR(__xludf.DUMMYFUNCTION("""COMPUTED_VALUE"""),"Fled/Apprehended")</f>
        <v>Fled/Apprehended</v>
      </c>
      <c r="G1740" s="5" t="str">
        <f ca="1">IFERROR(__xludf.DUMMYFUNCTION("""COMPUTED_VALUE"""),"No")</f>
        <v>No</v>
      </c>
      <c r="H1740" s="5" t="str">
        <f ca="1">IFERROR(__xludf.DUMMYFUNCTION("""COMPUTED_VALUE"""),"None")</f>
        <v>None</v>
      </c>
    </row>
    <row r="1741" spans="1:8" ht="13">
      <c r="A1741" s="5" t="str">
        <f ca="1">IFERROR(__xludf.DUMMYFUNCTION("""COMPUTED_VALUE"""),"20030321MSNOM")</f>
        <v>20030321MSNOM</v>
      </c>
      <c r="B1741" s="5">
        <f ca="1">IFERROR(__xludf.DUMMYFUNCTION("""COMPUTED_VALUE"""),15)</f>
        <v>15</v>
      </c>
      <c r="C1741" s="5" t="str">
        <f ca="1">IFERROR(__xludf.DUMMYFUNCTION("""COMPUTED_VALUE"""),"Male")</f>
        <v>Male</v>
      </c>
      <c r="D1741" s="5"/>
      <c r="E1741" s="5" t="str">
        <f ca="1">IFERROR(__xludf.DUMMYFUNCTION("""COMPUTED_VALUE"""),"Student")</f>
        <v>Student</v>
      </c>
      <c r="F1741" s="5" t="str">
        <f ca="1">IFERROR(__xludf.DUMMYFUNCTION("""COMPUTED_VALUE"""),"Suicide")</f>
        <v>Suicide</v>
      </c>
      <c r="G1741" s="5" t="str">
        <f ca="1">IFERROR(__xludf.DUMMYFUNCTION("""COMPUTED_VALUE"""),"Yes")</f>
        <v>Yes</v>
      </c>
      <c r="H1741" s="5" t="str">
        <f ca="1">IFERROR(__xludf.DUMMYFUNCTION("""COMPUTED_VALUE"""),"Suicide")</f>
        <v>Suicide</v>
      </c>
    </row>
    <row r="1742" spans="1:8" ht="13">
      <c r="A1742" s="5" t="str">
        <f ca="1">IFERROR(__xludf.DUMMYFUNCTION("""COMPUTED_VALUE"""),"20030318IACLG")</f>
        <v>20030318IACLG</v>
      </c>
      <c r="B1742" s="5">
        <f ca="1">IFERROR(__xludf.DUMMYFUNCTION("""COMPUTED_VALUE"""),17)</f>
        <v>17</v>
      </c>
      <c r="C1742" s="5" t="str">
        <f ca="1">IFERROR(__xludf.DUMMYFUNCTION("""COMPUTED_VALUE"""),"Male")</f>
        <v>Male</v>
      </c>
      <c r="D1742" s="5"/>
      <c r="E1742" s="5" t="str">
        <f ca="1">IFERROR(__xludf.DUMMYFUNCTION("""COMPUTED_VALUE"""),"Student")</f>
        <v>Student</v>
      </c>
      <c r="F1742" s="5" t="str">
        <f ca="1">IFERROR(__xludf.DUMMYFUNCTION("""COMPUTED_VALUE"""),"Attempted Suicide")</f>
        <v>Attempted Suicide</v>
      </c>
      <c r="G1742" s="5" t="str">
        <f ca="1">IFERROR(__xludf.DUMMYFUNCTION("""COMPUTED_VALUE"""),"No")</f>
        <v>No</v>
      </c>
      <c r="H1742" s="5" t="str">
        <f ca="1">IFERROR(__xludf.DUMMYFUNCTION("""COMPUTED_VALUE"""),"Wounded")</f>
        <v>Wounded</v>
      </c>
    </row>
    <row r="1743" spans="1:8" ht="13">
      <c r="A1743" s="5" t="str">
        <f ca="1">IFERROR(__xludf.DUMMYFUNCTION("""COMPUTED_VALUE"""),"20030205CORAW")</f>
        <v>20030205CORAW</v>
      </c>
      <c r="B1743" s="5">
        <f ca="1">IFERROR(__xludf.DUMMYFUNCTION("""COMPUTED_VALUE"""),14)</f>
        <v>14</v>
      </c>
      <c r="C1743" s="5" t="str">
        <f ca="1">IFERROR(__xludf.DUMMYFUNCTION("""COMPUTED_VALUE"""),"Male")</f>
        <v>Male</v>
      </c>
      <c r="D1743" s="5"/>
      <c r="E1743" s="5" t="str">
        <f ca="1">IFERROR(__xludf.DUMMYFUNCTION("""COMPUTED_VALUE"""),"Student")</f>
        <v>Student</v>
      </c>
      <c r="F1743" s="5" t="str">
        <f ca="1">IFERROR(__xludf.DUMMYFUNCTION("""COMPUTED_VALUE"""),"Fled/Apprehended")</f>
        <v>Fled/Apprehended</v>
      </c>
      <c r="G1743" s="5" t="str">
        <f ca="1">IFERROR(__xludf.DUMMYFUNCTION("""COMPUTED_VALUE"""),"No")</f>
        <v>No</v>
      </c>
      <c r="H1743" s="5" t="str">
        <f ca="1">IFERROR(__xludf.DUMMYFUNCTION("""COMPUTED_VALUE"""),"None")</f>
        <v>None</v>
      </c>
    </row>
    <row r="1744" spans="1:8" ht="13">
      <c r="A1744" s="5" t="str">
        <f ca="1">IFERROR(__xludf.DUMMYFUNCTION("""COMPUTED_VALUE"""),"20030130OKJEJ")</f>
        <v>20030130OKJEJ</v>
      </c>
      <c r="B1744" s="5">
        <f ca="1">IFERROR(__xludf.DUMMYFUNCTION("""COMPUTED_VALUE"""),17)</f>
        <v>17</v>
      </c>
      <c r="C1744" s="5" t="str">
        <f ca="1">IFERROR(__xludf.DUMMYFUNCTION("""COMPUTED_VALUE"""),"Male")</f>
        <v>Male</v>
      </c>
      <c r="D1744" s="5"/>
      <c r="E1744" s="5" t="str">
        <f ca="1">IFERROR(__xludf.DUMMYFUNCTION("""COMPUTED_VALUE"""),"Student")</f>
        <v>Student</v>
      </c>
      <c r="F1744" s="5" t="str">
        <f ca="1">IFERROR(__xludf.DUMMYFUNCTION("""COMPUTED_VALUE"""),"Surrendered")</f>
        <v>Surrendered</v>
      </c>
      <c r="G1744" s="5" t="str">
        <f ca="1">IFERROR(__xludf.DUMMYFUNCTION("""COMPUTED_VALUE"""),"No")</f>
        <v>No</v>
      </c>
      <c r="H1744" s="5" t="str">
        <f ca="1">IFERROR(__xludf.DUMMYFUNCTION("""COMPUTED_VALUE"""),"None")</f>
        <v>None</v>
      </c>
    </row>
    <row r="1745" spans="1:8" ht="13">
      <c r="A1745" s="5" t="str">
        <f ca="1">IFERROR(__xludf.DUMMYFUNCTION("""COMPUTED_VALUE"""),"20030121KYWEO")</f>
        <v>20030121KYWEO</v>
      </c>
      <c r="B1745" s="5">
        <f ca="1">IFERROR(__xludf.DUMMYFUNCTION("""COMPUTED_VALUE"""),12)</f>
        <v>12</v>
      </c>
      <c r="C1745" s="5" t="str">
        <f ca="1">IFERROR(__xludf.DUMMYFUNCTION("""COMPUTED_VALUE"""),"Male")</f>
        <v>Male</v>
      </c>
      <c r="D1745" s="5"/>
      <c r="E1745" s="5" t="str">
        <f ca="1">IFERROR(__xludf.DUMMYFUNCTION("""COMPUTED_VALUE"""),"Student")</f>
        <v>Student</v>
      </c>
      <c r="F1745" s="5" t="str">
        <f ca="1">IFERROR(__xludf.DUMMYFUNCTION("""COMPUTED_VALUE"""),"Surrendered")</f>
        <v>Surrendered</v>
      </c>
      <c r="G1745" s="5" t="str">
        <f ca="1">IFERROR(__xludf.DUMMYFUNCTION("""COMPUTED_VALUE"""),"No")</f>
        <v>No</v>
      </c>
      <c r="H1745" s="5" t="str">
        <f ca="1">IFERROR(__xludf.DUMMYFUNCTION("""COMPUTED_VALUE"""),"None")</f>
        <v>None</v>
      </c>
    </row>
    <row r="1746" spans="1:8" ht="13">
      <c r="A1746" s="5" t="str">
        <f ca="1">IFERROR(__xludf.DUMMYFUNCTION("""COMPUTED_VALUE"""),"20021216ILENC")</f>
        <v>20021216ILENC</v>
      </c>
      <c r="B1746" s="5">
        <f ca="1">IFERROR(__xludf.DUMMYFUNCTION("""COMPUTED_VALUE"""),17)</f>
        <v>17</v>
      </c>
      <c r="C1746" s="5" t="str">
        <f ca="1">IFERROR(__xludf.DUMMYFUNCTION("""COMPUTED_VALUE"""),"Male")</f>
        <v>Male</v>
      </c>
      <c r="D1746" s="5"/>
      <c r="E1746" s="5" t="str">
        <f ca="1">IFERROR(__xludf.DUMMYFUNCTION("""COMPUTED_VALUE"""),"Student")</f>
        <v>Student</v>
      </c>
      <c r="F1746" s="5" t="str">
        <f ca="1">IFERROR(__xludf.DUMMYFUNCTION("""COMPUTED_VALUE"""),"Fled/Apprehended")</f>
        <v>Fled/Apprehended</v>
      </c>
      <c r="G1746" s="5" t="str">
        <f ca="1">IFERROR(__xludf.DUMMYFUNCTION("""COMPUTED_VALUE"""),"No")</f>
        <v>No</v>
      </c>
      <c r="H1746" s="5" t="str">
        <f ca="1">IFERROR(__xludf.DUMMYFUNCTION("""COMPUTED_VALUE"""),"None")</f>
        <v>None</v>
      </c>
    </row>
    <row r="1747" spans="1:8" ht="13">
      <c r="A1747" s="5" t="str">
        <f ca="1">IFERROR(__xludf.DUMMYFUNCTION("""COMPUTED_VALUE"""),"20021212WAWIC")</f>
        <v>20021212WAWIC</v>
      </c>
      <c r="B1747" s="5">
        <f ca="1">IFERROR(__xludf.DUMMYFUNCTION("""COMPUTED_VALUE"""),13)</f>
        <v>13</v>
      </c>
      <c r="C1747" s="5" t="str">
        <f ca="1">IFERROR(__xludf.DUMMYFUNCTION("""COMPUTED_VALUE"""),"Male")</f>
        <v>Male</v>
      </c>
      <c r="D1747" s="5"/>
      <c r="E1747" s="5" t="str">
        <f ca="1">IFERROR(__xludf.DUMMYFUNCTION("""COMPUTED_VALUE"""),"Student")</f>
        <v>Student</v>
      </c>
      <c r="F1747" s="5" t="str">
        <f ca="1">IFERROR(__xludf.DUMMYFUNCTION("""COMPUTED_VALUE"""),"Suicide")</f>
        <v>Suicide</v>
      </c>
      <c r="G1747" s="5" t="str">
        <f ca="1">IFERROR(__xludf.DUMMYFUNCTION("""COMPUTED_VALUE"""),"Yes")</f>
        <v>Yes</v>
      </c>
      <c r="H1747" s="5" t="str">
        <f ca="1">IFERROR(__xludf.DUMMYFUNCTION("""COMPUTED_VALUE"""),"Suicide")</f>
        <v>Suicide</v>
      </c>
    </row>
    <row r="1748" spans="1:8" ht="13">
      <c r="A1748" s="5" t="str">
        <f ca="1">IFERROR(__xludf.DUMMYFUNCTION("""COMPUTED_VALUE"""),"20021202MIOSD")</f>
        <v>20021202MIOSD</v>
      </c>
      <c r="B1748" s="5">
        <f ca="1">IFERROR(__xludf.DUMMYFUNCTION("""COMPUTED_VALUE"""),15)</f>
        <v>15</v>
      </c>
      <c r="C1748" s="5" t="str">
        <f ca="1">IFERROR(__xludf.DUMMYFUNCTION("""COMPUTED_VALUE"""),"Male")</f>
        <v>Male</v>
      </c>
      <c r="D1748" s="5"/>
      <c r="E1748" s="5" t="str">
        <f ca="1">IFERROR(__xludf.DUMMYFUNCTION("""COMPUTED_VALUE"""),"Student")</f>
        <v>Student</v>
      </c>
      <c r="F1748" s="5" t="str">
        <f ca="1">IFERROR(__xludf.DUMMYFUNCTION("""COMPUTED_VALUE"""),"Unknown")</f>
        <v>Unknown</v>
      </c>
      <c r="G1748" s="5" t="str">
        <f ca="1">IFERROR(__xludf.DUMMYFUNCTION("""COMPUTED_VALUE"""),"No")</f>
        <v>No</v>
      </c>
      <c r="H1748" s="5" t="str">
        <f ca="1">IFERROR(__xludf.DUMMYFUNCTION("""COMPUTED_VALUE"""),"Wounded")</f>
        <v>Wounded</v>
      </c>
    </row>
    <row r="1749" spans="1:8" ht="13">
      <c r="A1749" s="5" t="str">
        <f ca="1">IFERROR(__xludf.DUMMYFUNCTION("""COMPUTED_VALUE"""),"20021115TXSCS")</f>
        <v>20021115TXSCS</v>
      </c>
      <c r="B1749" s="5">
        <f ca="1">IFERROR(__xludf.DUMMYFUNCTION("""COMPUTED_VALUE"""),18)</f>
        <v>18</v>
      </c>
      <c r="C1749" s="5" t="str">
        <f ca="1">IFERROR(__xludf.DUMMYFUNCTION("""COMPUTED_VALUE"""),"Male")</f>
        <v>Male</v>
      </c>
      <c r="D1749" s="5"/>
      <c r="E1749" s="5" t="str">
        <f ca="1">IFERROR(__xludf.DUMMYFUNCTION("""COMPUTED_VALUE"""),"Former Student")</f>
        <v>Former Student</v>
      </c>
      <c r="F1749" s="5" t="str">
        <f ca="1">IFERROR(__xludf.DUMMYFUNCTION("""COMPUTED_VALUE"""),"Subdued by Students/Staff/Other")</f>
        <v>Subdued by Students/Staff/Other</v>
      </c>
      <c r="G1749" s="5" t="str">
        <f ca="1">IFERROR(__xludf.DUMMYFUNCTION("""COMPUTED_VALUE"""),"No")</f>
        <v>No</v>
      </c>
      <c r="H1749" s="5" t="str">
        <f ca="1">IFERROR(__xludf.DUMMYFUNCTION("""COMPUTED_VALUE"""),"None")</f>
        <v>None</v>
      </c>
    </row>
    <row r="1750" spans="1:8" ht="13">
      <c r="A1750" s="5" t="str">
        <f ca="1">IFERROR(__xludf.DUMMYFUNCTION("""COMPUTED_VALUE"""),"20021115CAAML")</f>
        <v>20021115CAAML</v>
      </c>
      <c r="B1750" s="5"/>
      <c r="C1750" s="5"/>
      <c r="D1750" s="5"/>
      <c r="E1750" s="5" t="str">
        <f ca="1">IFERROR(__xludf.DUMMYFUNCTION("""COMPUTED_VALUE"""),"Unknown")</f>
        <v>Unknown</v>
      </c>
      <c r="F1750" s="5" t="str">
        <f ca="1">IFERROR(__xludf.DUMMYFUNCTION("""COMPUTED_VALUE"""),"Fled/Escaped")</f>
        <v>Fled/Escaped</v>
      </c>
      <c r="G1750" s="5" t="str">
        <f ca="1">IFERROR(__xludf.DUMMYFUNCTION("""COMPUTED_VALUE"""),"No")</f>
        <v>No</v>
      </c>
      <c r="H1750" s="5" t="str">
        <f ca="1">IFERROR(__xludf.DUMMYFUNCTION("""COMPUTED_VALUE"""),"None")</f>
        <v>None</v>
      </c>
    </row>
    <row r="1751" spans="1:8" ht="13">
      <c r="A1751" s="5" t="str">
        <f ca="1">IFERROR(__xludf.DUMMYFUNCTION("""COMPUTED_VALUE"""),"20021107MOSTL")</f>
        <v>20021107MOSTL</v>
      </c>
      <c r="B1751" s="5">
        <f ca="1">IFERROR(__xludf.DUMMYFUNCTION("""COMPUTED_VALUE"""),43)</f>
        <v>43</v>
      </c>
      <c r="C1751" s="5" t="str">
        <f ca="1">IFERROR(__xludf.DUMMYFUNCTION("""COMPUTED_VALUE"""),"Male")</f>
        <v>Male</v>
      </c>
      <c r="D1751" s="5"/>
      <c r="E1751" s="5" t="str">
        <f ca="1">IFERROR(__xludf.DUMMYFUNCTION("""COMPUTED_VALUE"""),"Parent")</f>
        <v>Parent</v>
      </c>
      <c r="F1751" s="5" t="str">
        <f ca="1">IFERROR(__xludf.DUMMYFUNCTION("""COMPUTED_VALUE"""),"Fled/Apprehended")</f>
        <v>Fled/Apprehended</v>
      </c>
      <c r="G1751" s="5" t="str">
        <f ca="1">IFERROR(__xludf.DUMMYFUNCTION("""COMPUTED_VALUE"""),"No")</f>
        <v>No</v>
      </c>
      <c r="H1751" s="5" t="str">
        <f ca="1">IFERROR(__xludf.DUMMYFUNCTION("""COMPUTED_VALUE"""),"None")</f>
        <v>None</v>
      </c>
    </row>
    <row r="1752" spans="1:8" ht="13">
      <c r="A1752" s="5" t="str">
        <f ca="1">IFERROR(__xludf.DUMMYFUNCTION("""COMPUTED_VALUE"""),"20021029NJLIJ")</f>
        <v>20021029NJLIJ</v>
      </c>
      <c r="B1752" s="5">
        <f ca="1">IFERROR(__xludf.DUMMYFUNCTION("""COMPUTED_VALUE"""),15)</f>
        <v>15</v>
      </c>
      <c r="C1752" s="5" t="str">
        <f ca="1">IFERROR(__xludf.DUMMYFUNCTION("""COMPUTED_VALUE"""),"Male")</f>
        <v>Male</v>
      </c>
      <c r="D1752" s="5"/>
      <c r="E1752" s="5" t="str">
        <f ca="1">IFERROR(__xludf.DUMMYFUNCTION("""COMPUTED_VALUE"""),"Student")</f>
        <v>Student</v>
      </c>
      <c r="F1752" s="5" t="str">
        <f ca="1">IFERROR(__xludf.DUMMYFUNCTION("""COMPUTED_VALUE"""),"Fled/Apprehended")</f>
        <v>Fled/Apprehended</v>
      </c>
      <c r="G1752" s="5" t="str">
        <f ca="1">IFERROR(__xludf.DUMMYFUNCTION("""COMPUTED_VALUE"""),"No")</f>
        <v>No</v>
      </c>
      <c r="H1752" s="5" t="str">
        <f ca="1">IFERROR(__xludf.DUMMYFUNCTION("""COMPUTED_VALUE"""),"None")</f>
        <v>None</v>
      </c>
    </row>
    <row r="1753" spans="1:8" ht="13">
      <c r="A1753" s="5" t="str">
        <f ca="1">IFERROR(__xludf.DUMMYFUNCTION("""COMPUTED_VALUE"""),"20021007MDBEB")</f>
        <v>20021007MDBEB</v>
      </c>
      <c r="B1753" s="5">
        <f ca="1">IFERROR(__xludf.DUMMYFUNCTION("""COMPUTED_VALUE"""),17)</f>
        <v>17</v>
      </c>
      <c r="C1753" s="5" t="str">
        <f ca="1">IFERROR(__xludf.DUMMYFUNCTION("""COMPUTED_VALUE"""),"Male")</f>
        <v>Male</v>
      </c>
      <c r="D1753" s="5" t="str">
        <f ca="1">IFERROR(__xludf.DUMMYFUNCTION("""COMPUTED_VALUE"""),"Black")</f>
        <v>Black</v>
      </c>
      <c r="E1753" s="5" t="str">
        <f ca="1">IFERROR(__xludf.DUMMYFUNCTION("""COMPUTED_VALUE"""),"No Relation")</f>
        <v>No Relation</v>
      </c>
      <c r="F1753" s="5" t="str">
        <f ca="1">IFERROR(__xludf.DUMMYFUNCTION("""COMPUTED_VALUE"""),"Fled/Apprehended")</f>
        <v>Fled/Apprehended</v>
      </c>
      <c r="G1753" s="5" t="str">
        <f ca="1">IFERROR(__xludf.DUMMYFUNCTION("""COMPUTED_VALUE"""),"No")</f>
        <v>No</v>
      </c>
      <c r="H1753" s="5" t="str">
        <f ca="1">IFERROR(__xludf.DUMMYFUNCTION("""COMPUTED_VALUE"""),"None")</f>
        <v>None</v>
      </c>
    </row>
    <row r="1754" spans="1:8" ht="13">
      <c r="A1754" s="5" t="str">
        <f ca="1">IFERROR(__xludf.DUMMYFUNCTION("""COMPUTED_VALUE"""),"20021004TXPAS")</f>
        <v>20021004TXPAS</v>
      </c>
      <c r="B1754" s="5">
        <f ca="1">IFERROR(__xludf.DUMMYFUNCTION("""COMPUTED_VALUE"""),13)</f>
        <v>13</v>
      </c>
      <c r="C1754" s="5" t="str">
        <f ca="1">IFERROR(__xludf.DUMMYFUNCTION("""COMPUTED_VALUE"""),"Female")</f>
        <v>Female</v>
      </c>
      <c r="D1754" s="5"/>
      <c r="E1754" s="5" t="str">
        <f ca="1">IFERROR(__xludf.DUMMYFUNCTION("""COMPUTED_VALUE"""),"Student")</f>
        <v>Student</v>
      </c>
      <c r="F1754" s="5" t="str">
        <f ca="1">IFERROR(__xludf.DUMMYFUNCTION("""COMPUTED_VALUE"""),"Suicide")</f>
        <v>Suicide</v>
      </c>
      <c r="G1754" s="5" t="str">
        <f ca="1">IFERROR(__xludf.DUMMYFUNCTION("""COMPUTED_VALUE"""),"Yes")</f>
        <v>Yes</v>
      </c>
      <c r="H1754" s="5" t="str">
        <f ca="1">IFERROR(__xludf.DUMMYFUNCTION("""COMPUTED_VALUE"""),"Suicide")</f>
        <v>Suicide</v>
      </c>
    </row>
    <row r="1755" spans="1:8" ht="13">
      <c r="A1755" s="5" t="str">
        <f ca="1">IFERROR(__xludf.DUMMYFUNCTION("""COMPUTED_VALUE"""),"20021004MTCMG")</f>
        <v>20021004MTCMG</v>
      </c>
      <c r="B1755" s="5">
        <f ca="1">IFERROR(__xludf.DUMMYFUNCTION("""COMPUTED_VALUE"""),18)</f>
        <v>18</v>
      </c>
      <c r="C1755" s="5" t="str">
        <f ca="1">IFERROR(__xludf.DUMMYFUNCTION("""COMPUTED_VALUE"""),"Male")</f>
        <v>Male</v>
      </c>
      <c r="D1755" s="5" t="str">
        <f ca="1">IFERROR(__xludf.DUMMYFUNCTION("""COMPUTED_VALUE"""),"White")</f>
        <v>White</v>
      </c>
      <c r="E1755" s="5" t="str">
        <f ca="1">IFERROR(__xludf.DUMMYFUNCTION("""COMPUTED_VALUE"""),"Relative")</f>
        <v>Relative</v>
      </c>
      <c r="F1755" s="5" t="str">
        <f ca="1">IFERROR(__xludf.DUMMYFUNCTION("""COMPUTED_VALUE"""),"Fled/Apprehended")</f>
        <v>Fled/Apprehended</v>
      </c>
      <c r="G1755" s="5" t="str">
        <f ca="1">IFERROR(__xludf.DUMMYFUNCTION("""COMPUTED_VALUE"""),"No")</f>
        <v>No</v>
      </c>
      <c r="H1755" s="5" t="str">
        <f ca="1">IFERROR(__xludf.DUMMYFUNCTION("""COMPUTED_VALUE"""),"None")</f>
        <v>None</v>
      </c>
    </row>
    <row r="1756" spans="1:8" ht="13">
      <c r="A1756" s="5" t="str">
        <f ca="1">IFERROR(__xludf.DUMMYFUNCTION("""COMPUTED_VALUE"""),"20020426LAABN")</f>
        <v>20020426LAABN</v>
      </c>
      <c r="B1756" s="5">
        <f ca="1">IFERROR(__xludf.DUMMYFUNCTION("""COMPUTED_VALUE"""),38)</f>
        <v>38</v>
      </c>
      <c r="C1756" s="5" t="str">
        <f ca="1">IFERROR(__xludf.DUMMYFUNCTION("""COMPUTED_VALUE"""),"Male")</f>
        <v>Male</v>
      </c>
      <c r="D1756" s="5"/>
      <c r="E1756" s="5" t="str">
        <f ca="1">IFERROR(__xludf.DUMMYFUNCTION("""COMPUTED_VALUE"""),"Security Guard")</f>
        <v>Security Guard</v>
      </c>
      <c r="F1756" s="5" t="str">
        <f ca="1">IFERROR(__xludf.DUMMYFUNCTION("""COMPUTED_VALUE"""),"Surrendered")</f>
        <v>Surrendered</v>
      </c>
      <c r="G1756" s="5" t="str">
        <f ca="1">IFERROR(__xludf.DUMMYFUNCTION("""COMPUTED_VALUE"""),"No")</f>
        <v>No</v>
      </c>
      <c r="H1756" s="5" t="str">
        <f ca="1">IFERROR(__xludf.DUMMYFUNCTION("""COMPUTED_VALUE"""),"None")</f>
        <v>None</v>
      </c>
    </row>
    <row r="1757" spans="1:8" ht="13">
      <c r="A1757" s="5" t="str">
        <f ca="1">IFERROR(__xludf.DUMMYFUNCTION("""COMPUTED_VALUE"""),"20020406MDLEB")</f>
        <v>20020406MDLEB</v>
      </c>
      <c r="B1757" s="5" t="str">
        <f ca="1">IFERROR(__xludf.DUMMYFUNCTION("""COMPUTED_VALUE"""),"Adult")</f>
        <v>Adult</v>
      </c>
      <c r="C1757" s="5" t="str">
        <f ca="1">IFERROR(__xludf.DUMMYFUNCTION("""COMPUTED_VALUE"""),"Male")</f>
        <v>Male</v>
      </c>
      <c r="D1757" s="5" t="str">
        <f ca="1">IFERROR(__xludf.DUMMYFUNCTION("""COMPUTED_VALUE"""),"N/A")</f>
        <v>N/A</v>
      </c>
      <c r="E1757" s="5" t="str">
        <f ca="1">IFERROR(__xludf.DUMMYFUNCTION("""COMPUTED_VALUE"""),"Police Officer/SRO")</f>
        <v>Police Officer/SRO</v>
      </c>
      <c r="F1757" s="5" t="str">
        <f ca="1">IFERROR(__xludf.DUMMYFUNCTION("""COMPUTED_VALUE"""),"Law Enforcement")</f>
        <v>Law Enforcement</v>
      </c>
      <c r="G1757" s="5" t="str">
        <f ca="1">IFERROR(__xludf.DUMMYFUNCTION("""COMPUTED_VALUE"""),"No")</f>
        <v>No</v>
      </c>
      <c r="H1757" s="5" t="str">
        <f ca="1">IFERROR(__xludf.DUMMYFUNCTION("""COMPUTED_VALUE"""),"None")</f>
        <v>None</v>
      </c>
    </row>
    <row r="1758" spans="1:8" ht="13">
      <c r="A1758" s="5" t="str">
        <f ca="1">IFERROR(__xludf.DUMMYFUNCTION("""COMPUTED_VALUE"""),"20020322CAJOC")</f>
        <v>20020322CAJOC</v>
      </c>
      <c r="B1758" s="5">
        <f ca="1">IFERROR(__xludf.DUMMYFUNCTION("""COMPUTED_VALUE"""),13)</f>
        <v>13</v>
      </c>
      <c r="C1758" s="5" t="str">
        <f ca="1">IFERROR(__xludf.DUMMYFUNCTION("""COMPUTED_VALUE"""),"Male")</f>
        <v>Male</v>
      </c>
      <c r="D1758" s="5"/>
      <c r="E1758" s="5" t="str">
        <f ca="1">IFERROR(__xludf.DUMMYFUNCTION("""COMPUTED_VALUE"""),"Student")</f>
        <v>Student</v>
      </c>
      <c r="F1758" s="5" t="str">
        <f ca="1">IFERROR(__xludf.DUMMYFUNCTION("""COMPUTED_VALUE"""),"Surrendered")</f>
        <v>Surrendered</v>
      </c>
      <c r="G1758" s="5" t="str">
        <f ca="1">IFERROR(__xludf.DUMMYFUNCTION("""COMPUTED_VALUE"""),"No")</f>
        <v>No</v>
      </c>
      <c r="H1758" s="5" t="str">
        <f ca="1">IFERROR(__xludf.DUMMYFUNCTION("""COMPUTED_VALUE"""),"None")</f>
        <v>None</v>
      </c>
    </row>
    <row r="1759" spans="1:8" ht="13">
      <c r="A1759" s="5" t="str">
        <f ca="1">IFERROR(__xludf.DUMMYFUNCTION("""COMPUTED_VALUE"""),"20020207ILROC")</f>
        <v>20020207ILROC</v>
      </c>
      <c r="B1759" s="5">
        <f ca="1">IFERROR(__xludf.DUMMYFUNCTION("""COMPUTED_VALUE"""),15)</f>
        <v>15</v>
      </c>
      <c r="C1759" s="5" t="str">
        <f ca="1">IFERROR(__xludf.DUMMYFUNCTION("""COMPUTED_VALUE"""),"Male")</f>
        <v>Male</v>
      </c>
      <c r="D1759" s="5"/>
      <c r="E1759" s="5" t="str">
        <f ca="1">IFERROR(__xludf.DUMMYFUNCTION("""COMPUTED_VALUE"""),"Student")</f>
        <v>Student</v>
      </c>
      <c r="F1759" s="5" t="str">
        <f ca="1">IFERROR(__xludf.DUMMYFUNCTION("""COMPUTED_VALUE"""),"Fled/Apprehended")</f>
        <v>Fled/Apprehended</v>
      </c>
      <c r="G1759" s="5" t="str">
        <f ca="1">IFERROR(__xludf.DUMMYFUNCTION("""COMPUTED_VALUE"""),"No")</f>
        <v>No</v>
      </c>
      <c r="H1759" s="5" t="str">
        <f ca="1">IFERROR(__xludf.DUMMYFUNCTION("""COMPUTED_VALUE"""),"None")</f>
        <v>None</v>
      </c>
    </row>
    <row r="1760" spans="1:8" ht="13">
      <c r="A1760" s="5" t="str">
        <f ca="1">IFERROR(__xludf.DUMMYFUNCTION("""COMPUTED_VALUE"""),"20020206CAGAL")</f>
        <v>20020206CAGAL</v>
      </c>
      <c r="B1760" s="5">
        <f ca="1">IFERROR(__xludf.DUMMYFUNCTION("""COMPUTED_VALUE"""),17)</f>
        <v>17</v>
      </c>
      <c r="C1760" s="5" t="str">
        <f ca="1">IFERROR(__xludf.DUMMYFUNCTION("""COMPUTED_VALUE"""),"Male")</f>
        <v>Male</v>
      </c>
      <c r="D1760" s="5"/>
      <c r="E1760" s="5" t="str">
        <f ca="1">IFERROR(__xludf.DUMMYFUNCTION("""COMPUTED_VALUE"""),"Student")</f>
        <v>Student</v>
      </c>
      <c r="F1760" s="5" t="str">
        <f ca="1">IFERROR(__xludf.DUMMYFUNCTION("""COMPUTED_VALUE"""),"Fled/Apprehended")</f>
        <v>Fled/Apprehended</v>
      </c>
      <c r="G1760" s="5" t="str">
        <f ca="1">IFERROR(__xludf.DUMMYFUNCTION("""COMPUTED_VALUE"""),"No")</f>
        <v>No</v>
      </c>
      <c r="H1760" s="5" t="str">
        <f ca="1">IFERROR(__xludf.DUMMYFUNCTION("""COMPUTED_VALUE"""),"None")</f>
        <v>None</v>
      </c>
    </row>
    <row r="1761" spans="1:8" ht="13">
      <c r="A1761" s="5" t="str">
        <f ca="1">IFERROR(__xludf.DUMMYFUNCTION("""COMPUTED_VALUE"""),"20020201TXBRB")</f>
        <v>20020201TXBRB</v>
      </c>
      <c r="B1761" s="5">
        <f ca="1">IFERROR(__xludf.DUMMYFUNCTION("""COMPUTED_VALUE"""),39)</f>
        <v>39</v>
      </c>
      <c r="C1761" s="5" t="str">
        <f ca="1">IFERROR(__xludf.DUMMYFUNCTION("""COMPUTED_VALUE"""),"Male")</f>
        <v>Male</v>
      </c>
      <c r="D1761" s="5"/>
      <c r="E1761" s="5" t="str">
        <f ca="1">IFERROR(__xludf.DUMMYFUNCTION("""COMPUTED_VALUE"""),"Other Staff")</f>
        <v>Other Staff</v>
      </c>
      <c r="F1761" s="5" t="str">
        <f ca="1">IFERROR(__xludf.DUMMYFUNCTION("""COMPUTED_VALUE"""),"Unknown")</f>
        <v>Unknown</v>
      </c>
      <c r="G1761" s="5" t="str">
        <f ca="1">IFERROR(__xludf.DUMMYFUNCTION("""COMPUTED_VALUE"""),"No")</f>
        <v>No</v>
      </c>
      <c r="H1761" s="5" t="str">
        <f ca="1">IFERROR(__xludf.DUMMYFUNCTION("""COMPUTED_VALUE"""),"None")</f>
        <v>None</v>
      </c>
    </row>
    <row r="1762" spans="1:8" ht="13">
      <c r="A1762" s="5" t="str">
        <f ca="1">IFERROR(__xludf.DUMMYFUNCTION("""COMPUTED_VALUE"""),"20020124PAOLO")</f>
        <v>20020124PAOLO</v>
      </c>
      <c r="B1762" s="5">
        <f ca="1">IFERROR(__xludf.DUMMYFUNCTION("""COMPUTED_VALUE"""),63)</f>
        <v>63</v>
      </c>
      <c r="C1762" s="5" t="str">
        <f ca="1">IFERROR(__xludf.DUMMYFUNCTION("""COMPUTED_VALUE"""),"Male")</f>
        <v>Male</v>
      </c>
      <c r="D1762" s="5"/>
      <c r="E1762" s="5" t="str">
        <f ca="1">IFERROR(__xludf.DUMMYFUNCTION("""COMPUTED_VALUE"""),"Other Staff")</f>
        <v>Other Staff</v>
      </c>
      <c r="F1762" s="5" t="str">
        <f ca="1">IFERROR(__xludf.DUMMYFUNCTION("""COMPUTED_VALUE"""),"Surrendered")</f>
        <v>Surrendered</v>
      </c>
      <c r="G1762" s="5" t="str">
        <f ca="1">IFERROR(__xludf.DUMMYFUNCTION("""COMPUTED_VALUE"""),"No")</f>
        <v>No</v>
      </c>
      <c r="H1762" s="5" t="str">
        <f ca="1">IFERROR(__xludf.DUMMYFUNCTION("""COMPUTED_VALUE"""),"None")</f>
        <v>None</v>
      </c>
    </row>
    <row r="1763" spans="1:8" ht="13">
      <c r="A1763" s="5" t="str">
        <f ca="1">IFERROR(__xludf.DUMMYFUNCTION("""COMPUTED_VALUE"""),"20020115NYMAN")</f>
        <v>20020115NYMAN</v>
      </c>
      <c r="B1763" s="5">
        <f ca="1">IFERROR(__xludf.DUMMYFUNCTION("""COMPUTED_VALUE"""),18)</f>
        <v>18</v>
      </c>
      <c r="C1763" s="5" t="str">
        <f ca="1">IFERROR(__xludf.DUMMYFUNCTION("""COMPUTED_VALUE"""),"Male")</f>
        <v>Male</v>
      </c>
      <c r="D1763" s="5" t="str">
        <f ca="1">IFERROR(__xludf.DUMMYFUNCTION("""COMPUTED_VALUE"""),"Hispanic")</f>
        <v>Hispanic</v>
      </c>
      <c r="E1763" s="5" t="str">
        <f ca="1">IFERROR(__xludf.DUMMYFUNCTION("""COMPUTED_VALUE"""),"Student")</f>
        <v>Student</v>
      </c>
      <c r="F1763" s="5" t="str">
        <f ca="1">IFERROR(__xludf.DUMMYFUNCTION("""COMPUTED_VALUE"""),"Fled/Apprehended")</f>
        <v>Fled/Apprehended</v>
      </c>
      <c r="G1763" s="5" t="str">
        <f ca="1">IFERROR(__xludf.DUMMYFUNCTION("""COMPUTED_VALUE"""),"No")</f>
        <v>No</v>
      </c>
      <c r="H1763" s="5" t="str">
        <f ca="1">IFERROR(__xludf.DUMMYFUNCTION("""COMPUTED_VALUE"""),"None")</f>
        <v>None</v>
      </c>
    </row>
    <row r="1764" spans="1:8" ht="13">
      <c r="A1764" s="5" t="str">
        <f ca="1">IFERROR(__xludf.DUMMYFUNCTION("""COMPUTED_VALUE"""),"20020111MSRAJ")</f>
        <v>20020111MSRAJ</v>
      </c>
      <c r="B1764" s="5">
        <f ca="1">IFERROR(__xludf.DUMMYFUNCTION("""COMPUTED_VALUE"""),18)</f>
        <v>18</v>
      </c>
      <c r="C1764" s="5" t="str">
        <f ca="1">IFERROR(__xludf.DUMMYFUNCTION("""COMPUTED_VALUE"""),"Male")</f>
        <v>Male</v>
      </c>
      <c r="D1764" s="5" t="str">
        <f ca="1">IFERROR(__xludf.DUMMYFUNCTION("""COMPUTED_VALUE"""),"Black")</f>
        <v>Black</v>
      </c>
      <c r="E1764" s="5" t="str">
        <f ca="1">IFERROR(__xludf.DUMMYFUNCTION("""COMPUTED_VALUE"""),"Student")</f>
        <v>Student</v>
      </c>
      <c r="F1764" s="5" t="str">
        <f ca="1">IFERROR(__xludf.DUMMYFUNCTION("""COMPUTED_VALUE"""),"Surrendered")</f>
        <v>Surrendered</v>
      </c>
      <c r="G1764" s="5" t="str">
        <f ca="1">IFERROR(__xludf.DUMMYFUNCTION("""COMPUTED_VALUE"""),"No")</f>
        <v>No</v>
      </c>
      <c r="H1764" s="5" t="str">
        <f ca="1">IFERROR(__xludf.DUMMYFUNCTION("""COMPUTED_VALUE"""),"None")</f>
        <v>None</v>
      </c>
    </row>
    <row r="1765" spans="1:8" ht="13">
      <c r="A1765" s="5" t="str">
        <f ca="1">IFERROR(__xludf.DUMMYFUNCTION("""COMPUTED_VALUE"""),"20011130TXFRF")</f>
        <v>20011130TXFRF</v>
      </c>
      <c r="B1765" s="5">
        <f ca="1">IFERROR(__xludf.DUMMYFUNCTION("""COMPUTED_VALUE"""),54)</f>
        <v>54</v>
      </c>
      <c r="C1765" s="5" t="str">
        <f ca="1">IFERROR(__xludf.DUMMYFUNCTION("""COMPUTED_VALUE"""),"Female")</f>
        <v>Female</v>
      </c>
      <c r="D1765" s="5"/>
      <c r="E1765" s="5" t="str">
        <f ca="1">IFERROR(__xludf.DUMMYFUNCTION("""COMPUTED_VALUE"""),"Teacher")</f>
        <v>Teacher</v>
      </c>
      <c r="F1765" s="5" t="str">
        <f ca="1">IFERROR(__xludf.DUMMYFUNCTION("""COMPUTED_VALUE"""),"Surrendered")</f>
        <v>Surrendered</v>
      </c>
      <c r="G1765" s="5" t="str">
        <f ca="1">IFERROR(__xludf.DUMMYFUNCTION("""COMPUTED_VALUE"""),"No")</f>
        <v>No</v>
      </c>
      <c r="H1765" s="5" t="str">
        <f ca="1">IFERROR(__xludf.DUMMYFUNCTION("""COMPUTED_VALUE"""),"None")</f>
        <v>None</v>
      </c>
    </row>
    <row r="1766" spans="1:8" ht="13">
      <c r="A1766" s="5" t="str">
        <f ca="1">IFERROR(__xludf.DUMMYFUNCTION("""COMPUTED_VALUE"""),"20011112MICAC")</f>
        <v>20011112MICAC</v>
      </c>
      <c r="B1766" s="5">
        <f ca="1">IFERROR(__xludf.DUMMYFUNCTION("""COMPUTED_VALUE"""),17)</f>
        <v>17</v>
      </c>
      <c r="C1766" s="5" t="str">
        <f ca="1">IFERROR(__xludf.DUMMYFUNCTION("""COMPUTED_VALUE"""),"Male")</f>
        <v>Male</v>
      </c>
      <c r="D1766" s="5"/>
      <c r="E1766" s="5" t="str">
        <f ca="1">IFERROR(__xludf.DUMMYFUNCTION("""COMPUTED_VALUE"""),"Former Student")</f>
        <v>Former Student</v>
      </c>
      <c r="F1766" s="5" t="str">
        <f ca="1">IFERROR(__xludf.DUMMYFUNCTION("""COMPUTED_VALUE"""),"Suicide")</f>
        <v>Suicide</v>
      </c>
      <c r="G1766" s="5" t="str">
        <f ca="1">IFERROR(__xludf.DUMMYFUNCTION("""COMPUTED_VALUE"""),"Yes")</f>
        <v>Yes</v>
      </c>
      <c r="H1766" s="5" t="str">
        <f ca="1">IFERROR(__xludf.DUMMYFUNCTION("""COMPUTED_VALUE"""),"Suicide")</f>
        <v>Suicide</v>
      </c>
    </row>
    <row r="1767" spans="1:8" ht="13">
      <c r="A1767" s="5" t="str">
        <f ca="1">IFERROR(__xludf.DUMMYFUNCTION("""COMPUTED_VALUE"""),"20011026MIBES")</f>
        <v>20011026MIBES</v>
      </c>
      <c r="B1767" s="5" t="str">
        <f ca="1">IFERROR(__xludf.DUMMYFUNCTION("""COMPUTED_VALUE"""),"Teen")</f>
        <v>Teen</v>
      </c>
      <c r="C1767" s="5" t="str">
        <f ca="1">IFERROR(__xludf.DUMMYFUNCTION("""COMPUTED_VALUE"""),"Male")</f>
        <v>Male</v>
      </c>
      <c r="D1767" s="5"/>
      <c r="E1767" s="5" t="str">
        <f ca="1">IFERROR(__xludf.DUMMYFUNCTION("""COMPUTED_VALUE"""),"Student")</f>
        <v>Student</v>
      </c>
      <c r="F1767" s="5" t="str">
        <f ca="1">IFERROR(__xludf.DUMMYFUNCTION("""COMPUTED_VALUE"""),"Unknown")</f>
        <v>Unknown</v>
      </c>
      <c r="G1767" s="5" t="str">
        <f ca="1">IFERROR(__xludf.DUMMYFUNCTION("""COMPUTED_VALUE"""),"No")</f>
        <v>No</v>
      </c>
      <c r="H1767" s="5" t="str">
        <f ca="1">IFERROR(__xludf.DUMMYFUNCTION("""COMPUTED_VALUE"""),"None")</f>
        <v>None</v>
      </c>
    </row>
    <row r="1768" spans="1:8" ht="13">
      <c r="A1768" s="5" t="str">
        <f ca="1">IFERROR(__xludf.DUMMYFUNCTION("""COMPUTED_VALUE"""),"20011026CARER")</f>
        <v>20011026CARER</v>
      </c>
      <c r="B1768" s="5">
        <f ca="1">IFERROR(__xludf.DUMMYFUNCTION("""COMPUTED_VALUE"""),17)</f>
        <v>17</v>
      </c>
      <c r="C1768" s="5" t="str">
        <f ca="1">IFERROR(__xludf.DUMMYFUNCTION("""COMPUTED_VALUE"""),"Male")</f>
        <v>Male</v>
      </c>
      <c r="D1768" s="5"/>
      <c r="E1768" s="5" t="str">
        <f ca="1">IFERROR(__xludf.DUMMYFUNCTION("""COMPUTED_VALUE"""),"Student")</f>
        <v>Student</v>
      </c>
      <c r="F1768" s="5" t="str">
        <f ca="1">IFERROR(__xludf.DUMMYFUNCTION("""COMPUTED_VALUE"""),"Surrendered")</f>
        <v>Surrendered</v>
      </c>
      <c r="G1768" s="5" t="str">
        <f ca="1">IFERROR(__xludf.DUMMYFUNCTION("""COMPUTED_VALUE"""),"No")</f>
        <v>No</v>
      </c>
      <c r="H1768" s="5" t="str">
        <f ca="1">IFERROR(__xludf.DUMMYFUNCTION("""COMPUTED_VALUE"""),"None")</f>
        <v>None</v>
      </c>
    </row>
    <row r="1769" spans="1:8" ht="13">
      <c r="A1769" s="5" t="str">
        <f ca="1">IFERROR(__xludf.DUMMYFUNCTION("""COMPUTED_VALUE"""),"20011012UTTAT")</f>
        <v>20011012UTTAT</v>
      </c>
      <c r="B1769" s="5">
        <f ca="1">IFERROR(__xludf.DUMMYFUNCTION("""COMPUTED_VALUE"""),17)</f>
        <v>17</v>
      </c>
      <c r="C1769" s="5" t="str">
        <f ca="1">IFERROR(__xludf.DUMMYFUNCTION("""COMPUTED_VALUE"""),"Male")</f>
        <v>Male</v>
      </c>
      <c r="D1769" s="5"/>
      <c r="E1769" s="5" t="str">
        <f ca="1">IFERROR(__xludf.DUMMYFUNCTION("""COMPUTED_VALUE"""),"Student")</f>
        <v>Student</v>
      </c>
      <c r="F1769" s="5" t="str">
        <f ca="1">IFERROR(__xludf.DUMMYFUNCTION("""COMPUTED_VALUE"""),"Suicide")</f>
        <v>Suicide</v>
      </c>
      <c r="G1769" s="5" t="str">
        <f ca="1">IFERROR(__xludf.DUMMYFUNCTION("""COMPUTED_VALUE"""),"Yes")</f>
        <v>Yes</v>
      </c>
      <c r="H1769" s="5" t="str">
        <f ca="1">IFERROR(__xludf.DUMMYFUNCTION("""COMPUTED_VALUE"""),"Suicide")</f>
        <v>Suicide</v>
      </c>
    </row>
    <row r="1770" spans="1:8" ht="13">
      <c r="A1770" s="5" t="str">
        <f ca="1">IFERROR(__xludf.DUMMYFUNCTION("""COMPUTED_VALUE"""),"20010921MDLAB")</f>
        <v>20010921MDLAB</v>
      </c>
      <c r="B1770" s="5">
        <f ca="1">IFERROR(__xludf.DUMMYFUNCTION("""COMPUTED_VALUE"""),16)</f>
        <v>16</v>
      </c>
      <c r="C1770" s="5" t="str">
        <f ca="1">IFERROR(__xludf.DUMMYFUNCTION("""COMPUTED_VALUE"""),"Male")</f>
        <v>Male</v>
      </c>
      <c r="D1770" s="5"/>
      <c r="E1770" s="5" t="str">
        <f ca="1">IFERROR(__xludf.DUMMYFUNCTION("""COMPUTED_VALUE"""),"Student")</f>
        <v>Student</v>
      </c>
      <c r="F1770" s="5" t="str">
        <f ca="1">IFERROR(__xludf.DUMMYFUNCTION("""COMPUTED_VALUE"""),"Fled/Apprehended")</f>
        <v>Fled/Apprehended</v>
      </c>
      <c r="G1770" s="5" t="str">
        <f ca="1">IFERROR(__xludf.DUMMYFUNCTION("""COMPUTED_VALUE"""),"No")</f>
        <v>No</v>
      </c>
      <c r="H1770" s="5" t="str">
        <f ca="1">IFERROR(__xludf.DUMMYFUNCTION("""COMPUTED_VALUE"""),"None")</f>
        <v>None</v>
      </c>
    </row>
    <row r="1771" spans="1:8" ht="13">
      <c r="A1771" s="5" t="str">
        <f ca="1">IFERROR(__xludf.DUMMYFUNCTION("""COMPUTED_VALUE"""),"20010912KYLAC")</f>
        <v>20010912KYLAC</v>
      </c>
      <c r="B1771" s="5">
        <f ca="1">IFERROR(__xludf.DUMMYFUNCTION("""COMPUTED_VALUE"""),30)</f>
        <v>30</v>
      </c>
      <c r="C1771" s="5" t="str">
        <f ca="1">IFERROR(__xludf.DUMMYFUNCTION("""COMPUTED_VALUE"""),"Female")</f>
        <v>Female</v>
      </c>
      <c r="D1771" s="5" t="str">
        <f ca="1">IFERROR(__xludf.DUMMYFUNCTION("""COMPUTED_VALUE"""),"White")</f>
        <v>White</v>
      </c>
      <c r="E1771" s="5" t="str">
        <f ca="1">IFERROR(__xludf.DUMMYFUNCTION("""COMPUTED_VALUE"""),"Parent")</f>
        <v>Parent</v>
      </c>
      <c r="F1771" s="5" t="str">
        <f ca="1">IFERROR(__xludf.DUMMYFUNCTION("""COMPUTED_VALUE"""),"Surrendered")</f>
        <v>Surrendered</v>
      </c>
      <c r="G1771" s="5" t="str">
        <f ca="1">IFERROR(__xludf.DUMMYFUNCTION("""COMPUTED_VALUE"""),"No")</f>
        <v>No</v>
      </c>
      <c r="H1771" s="5" t="str">
        <f ca="1">IFERROR(__xludf.DUMMYFUNCTION("""COMPUTED_VALUE"""),"None")</f>
        <v>None</v>
      </c>
    </row>
    <row r="1772" spans="1:8" ht="13">
      <c r="A1772" s="5" t="str">
        <f ca="1">IFERROR(__xludf.DUMMYFUNCTION("""COMPUTED_VALUE"""),"20010730CABEL")</f>
        <v>20010730CABEL</v>
      </c>
      <c r="B1772" s="5"/>
      <c r="C1772" s="5" t="str">
        <f ca="1">IFERROR(__xludf.DUMMYFUNCTION("""COMPUTED_VALUE"""),"Male")</f>
        <v>Male</v>
      </c>
      <c r="D1772" s="5"/>
      <c r="E1772" s="5" t="str">
        <f ca="1">IFERROR(__xludf.DUMMYFUNCTION("""COMPUTED_VALUE"""),"No Relation")</f>
        <v>No Relation</v>
      </c>
      <c r="F1772" s="5" t="str">
        <f ca="1">IFERROR(__xludf.DUMMYFUNCTION("""COMPUTED_VALUE"""),"Fled/Escaped")</f>
        <v>Fled/Escaped</v>
      </c>
      <c r="G1772" s="5" t="str">
        <f ca="1">IFERROR(__xludf.DUMMYFUNCTION("""COMPUTED_VALUE"""),"No")</f>
        <v>No</v>
      </c>
      <c r="H1772" s="5" t="str">
        <f ca="1">IFERROR(__xludf.DUMMYFUNCTION("""COMPUTED_VALUE"""),"None")</f>
        <v>None</v>
      </c>
    </row>
    <row r="1773" spans="1:8" ht="13">
      <c r="A1773" s="5" t="str">
        <f ca="1">IFERROR(__xludf.DUMMYFUNCTION("""COMPUTED_VALUE"""),"20010607TXOUA")</f>
        <v>20010607TXOUA</v>
      </c>
      <c r="B1773" s="5" t="str">
        <f ca="1">IFERROR(__xludf.DUMMYFUNCTION("""COMPUTED_VALUE"""),"Adult")</f>
        <v>Adult</v>
      </c>
      <c r="C1773" s="5"/>
      <c r="D1773" s="5"/>
      <c r="E1773" s="5" t="str">
        <f ca="1">IFERROR(__xludf.DUMMYFUNCTION("""COMPUTED_VALUE"""),"Police Officer/SRO")</f>
        <v>Police Officer/SRO</v>
      </c>
      <c r="F1773" s="5" t="str">
        <f ca="1">IFERROR(__xludf.DUMMYFUNCTION("""COMPUTED_VALUE"""),"Law Enforcement")</f>
        <v>Law Enforcement</v>
      </c>
      <c r="G1773" s="5" t="str">
        <f ca="1">IFERROR(__xludf.DUMMYFUNCTION("""COMPUTED_VALUE"""),"No")</f>
        <v>No</v>
      </c>
      <c r="H1773" s="5" t="str">
        <f ca="1">IFERROR(__xludf.DUMMYFUNCTION("""COMPUTED_VALUE"""),"None")</f>
        <v>None</v>
      </c>
    </row>
    <row r="1774" spans="1:8" ht="13">
      <c r="A1774" s="5" t="str">
        <f ca="1">IFERROR(__xludf.DUMMYFUNCTION("""COMPUTED_VALUE"""),"20010515TXENE")</f>
        <v>20010515TXENE</v>
      </c>
      <c r="B1774" s="5">
        <f ca="1">IFERROR(__xludf.DUMMYFUNCTION("""COMPUTED_VALUE"""),16)</f>
        <v>16</v>
      </c>
      <c r="C1774" s="5" t="str">
        <f ca="1">IFERROR(__xludf.DUMMYFUNCTION("""COMPUTED_VALUE"""),"Male")</f>
        <v>Male</v>
      </c>
      <c r="D1774" s="5"/>
      <c r="E1774" s="5" t="str">
        <f ca="1">IFERROR(__xludf.DUMMYFUNCTION("""COMPUTED_VALUE"""),"Student")</f>
        <v>Student</v>
      </c>
      <c r="F1774" s="5" t="str">
        <f ca="1">IFERROR(__xludf.DUMMYFUNCTION("""COMPUTED_VALUE"""),"Suicide")</f>
        <v>Suicide</v>
      </c>
      <c r="G1774" s="5" t="str">
        <f ca="1">IFERROR(__xludf.DUMMYFUNCTION("""COMPUTED_VALUE"""),"Yes")</f>
        <v>Yes</v>
      </c>
      <c r="H1774" s="5" t="str">
        <f ca="1">IFERROR(__xludf.DUMMYFUNCTION("""COMPUTED_VALUE"""),"Suicide")</f>
        <v>Suicide</v>
      </c>
    </row>
    <row r="1775" spans="1:8" ht="13">
      <c r="A1775" s="5" t="str">
        <f ca="1">IFERROR(__xludf.DUMMYFUNCTION("""COMPUTED_VALUE"""),"20010425OHJOC")</f>
        <v>20010425OHJOC</v>
      </c>
      <c r="B1775" s="5"/>
      <c r="C1775" s="5"/>
      <c r="D1775" s="5"/>
      <c r="E1775" s="5" t="str">
        <f ca="1">IFERROR(__xludf.DUMMYFUNCTION("""COMPUTED_VALUE"""),"Unknown")</f>
        <v>Unknown</v>
      </c>
      <c r="F1775" s="5" t="str">
        <f ca="1">IFERROR(__xludf.DUMMYFUNCTION("""COMPUTED_VALUE"""),"Fled/Escaped")</f>
        <v>Fled/Escaped</v>
      </c>
      <c r="G1775" s="5" t="str">
        <f ca="1">IFERROR(__xludf.DUMMYFUNCTION("""COMPUTED_VALUE"""),"No")</f>
        <v>No</v>
      </c>
      <c r="H1775" s="5" t="str">
        <f ca="1">IFERROR(__xludf.DUMMYFUNCTION("""COMPUTED_VALUE"""),"None")</f>
        <v>None</v>
      </c>
    </row>
    <row r="1776" spans="1:8" ht="13">
      <c r="A1776" s="5" t="str">
        <f ca="1">IFERROR(__xludf.DUMMYFUNCTION("""COMPUTED_VALUE"""),"20010420LAMOM")</f>
        <v>20010420LAMOM</v>
      </c>
      <c r="B1776" s="5">
        <f ca="1">IFERROR(__xludf.DUMMYFUNCTION("""COMPUTED_VALUE"""),14)</f>
        <v>14</v>
      </c>
      <c r="C1776" s="5" t="str">
        <f ca="1">IFERROR(__xludf.DUMMYFUNCTION("""COMPUTED_VALUE"""),"Male")</f>
        <v>Male</v>
      </c>
      <c r="D1776" s="5"/>
      <c r="E1776" s="5" t="str">
        <f ca="1">IFERROR(__xludf.DUMMYFUNCTION("""COMPUTED_VALUE"""),"Student")</f>
        <v>Student</v>
      </c>
      <c r="F1776" s="5" t="str">
        <f ca="1">IFERROR(__xludf.DUMMYFUNCTION("""COMPUTED_VALUE"""),"Apprehended/Killed by LE")</f>
        <v>Apprehended/Killed by LE</v>
      </c>
      <c r="G1776" s="5" t="str">
        <f ca="1">IFERROR(__xludf.DUMMYFUNCTION("""COMPUTED_VALUE"""),"No")</f>
        <v>No</v>
      </c>
      <c r="H1776" s="5" t="str">
        <f ca="1">IFERROR(__xludf.DUMMYFUNCTION("""COMPUTED_VALUE"""),"None")</f>
        <v>None</v>
      </c>
    </row>
    <row r="1777" spans="1:8" ht="13">
      <c r="A1777" s="5" t="str">
        <f ca="1">IFERROR(__xludf.DUMMYFUNCTION("""COMPUTED_VALUE"""),"20010410WAWAM")</f>
        <v>20010410WAWAM</v>
      </c>
      <c r="B1777" s="5">
        <f ca="1">IFERROR(__xludf.DUMMYFUNCTION("""COMPUTED_VALUE"""),16)</f>
        <v>16</v>
      </c>
      <c r="C1777" s="5" t="str">
        <f ca="1">IFERROR(__xludf.DUMMYFUNCTION("""COMPUTED_VALUE"""),"Male")</f>
        <v>Male</v>
      </c>
      <c r="D1777" s="5"/>
      <c r="E1777" s="5" t="str">
        <f ca="1">IFERROR(__xludf.DUMMYFUNCTION("""COMPUTED_VALUE"""),"Student")</f>
        <v>Student</v>
      </c>
      <c r="F1777" s="5" t="str">
        <f ca="1">IFERROR(__xludf.DUMMYFUNCTION("""COMPUTED_VALUE"""),"Surrendered")</f>
        <v>Surrendered</v>
      </c>
      <c r="G1777" s="5" t="str">
        <f ca="1">IFERROR(__xludf.DUMMYFUNCTION("""COMPUTED_VALUE"""),"No")</f>
        <v>No</v>
      </c>
      <c r="H1777" s="5" t="str">
        <f ca="1">IFERROR(__xludf.DUMMYFUNCTION("""COMPUTED_VALUE"""),"None")</f>
        <v>None</v>
      </c>
    </row>
    <row r="1778" spans="1:8" ht="13">
      <c r="A1778" s="5" t="str">
        <f ca="1">IFERROR(__xludf.DUMMYFUNCTION("""COMPUTED_VALUE"""),"20010402TXKLH")</f>
        <v>20010402TXKLH</v>
      </c>
      <c r="B1778" s="5">
        <f ca="1">IFERROR(__xludf.DUMMYFUNCTION("""COMPUTED_VALUE"""),13)</f>
        <v>13</v>
      </c>
      <c r="C1778" s="5" t="str">
        <f ca="1">IFERROR(__xludf.DUMMYFUNCTION("""COMPUTED_VALUE"""),"Female")</f>
        <v>Female</v>
      </c>
      <c r="D1778" s="5"/>
      <c r="E1778" s="5" t="str">
        <f ca="1">IFERROR(__xludf.DUMMYFUNCTION("""COMPUTED_VALUE"""),"Student")</f>
        <v>Student</v>
      </c>
      <c r="F1778" s="5" t="str">
        <f ca="1">IFERROR(__xludf.DUMMYFUNCTION("""COMPUTED_VALUE"""),"Suicide")</f>
        <v>Suicide</v>
      </c>
      <c r="G1778" s="5" t="str">
        <f ca="1">IFERROR(__xludf.DUMMYFUNCTION("""COMPUTED_VALUE"""),"Yes")</f>
        <v>Yes</v>
      </c>
      <c r="H1778" s="5" t="str">
        <f ca="1">IFERROR(__xludf.DUMMYFUNCTION("""COMPUTED_VALUE"""),"Suicide")</f>
        <v>Suicide</v>
      </c>
    </row>
    <row r="1779" spans="1:8" ht="13">
      <c r="A1779" s="5" t="str">
        <f ca="1">IFERROR(__xludf.DUMMYFUNCTION("""COMPUTED_VALUE"""),"20010330INLEG")</f>
        <v>20010330INLEG</v>
      </c>
      <c r="B1779" s="5">
        <f ca="1">IFERROR(__xludf.DUMMYFUNCTION("""COMPUTED_VALUE"""),17)</f>
        <v>17</v>
      </c>
      <c r="C1779" s="5" t="str">
        <f ca="1">IFERROR(__xludf.DUMMYFUNCTION("""COMPUTED_VALUE"""),"Male")</f>
        <v>Male</v>
      </c>
      <c r="D1779" s="5" t="str">
        <f ca="1">IFERROR(__xludf.DUMMYFUNCTION("""COMPUTED_VALUE"""),"Black")</f>
        <v>Black</v>
      </c>
      <c r="E1779" s="5" t="str">
        <f ca="1">IFERROR(__xludf.DUMMYFUNCTION("""COMPUTED_VALUE"""),"Former Student")</f>
        <v>Former Student</v>
      </c>
      <c r="F1779" s="5" t="str">
        <f ca="1">IFERROR(__xludf.DUMMYFUNCTION("""COMPUTED_VALUE"""),"Fled/Apprehended")</f>
        <v>Fled/Apprehended</v>
      </c>
      <c r="G1779" s="5" t="str">
        <f ca="1">IFERROR(__xludf.DUMMYFUNCTION("""COMPUTED_VALUE"""),"No")</f>
        <v>No</v>
      </c>
      <c r="H1779" s="5" t="str">
        <f ca="1">IFERROR(__xludf.DUMMYFUNCTION("""COMPUTED_VALUE"""),"None")</f>
        <v>None</v>
      </c>
    </row>
    <row r="1780" spans="1:8" ht="13">
      <c r="A1780" s="5" t="str">
        <f ca="1">IFERROR(__xludf.DUMMYFUNCTION("""COMPUTED_VALUE"""),"20010322CAGRE")</f>
        <v>20010322CAGRE</v>
      </c>
      <c r="B1780" s="5">
        <f ca="1">IFERROR(__xludf.DUMMYFUNCTION("""COMPUTED_VALUE"""),18)</f>
        <v>18</v>
      </c>
      <c r="C1780" s="5" t="str">
        <f ca="1">IFERROR(__xludf.DUMMYFUNCTION("""COMPUTED_VALUE"""),"Male")</f>
        <v>Male</v>
      </c>
      <c r="D1780" s="5" t="str">
        <f ca="1">IFERROR(__xludf.DUMMYFUNCTION("""COMPUTED_VALUE"""),"White")</f>
        <v>White</v>
      </c>
      <c r="E1780" s="5" t="str">
        <f ca="1">IFERROR(__xludf.DUMMYFUNCTION("""COMPUTED_VALUE"""),"Student")</f>
        <v>Student</v>
      </c>
      <c r="F1780" s="5" t="str">
        <f ca="1">IFERROR(__xludf.DUMMYFUNCTION("""COMPUTED_VALUE"""),"Fled/Apprehended")</f>
        <v>Fled/Apprehended</v>
      </c>
      <c r="G1780" s="5" t="str">
        <f ca="1">IFERROR(__xludf.DUMMYFUNCTION("""COMPUTED_VALUE"""),"Yes")</f>
        <v>Yes</v>
      </c>
      <c r="H1780" s="5" t="str">
        <f ca="1">IFERROR(__xludf.DUMMYFUNCTION("""COMPUTED_VALUE"""),"Suicide")</f>
        <v>Suicide</v>
      </c>
    </row>
    <row r="1781" spans="1:8" ht="13">
      <c r="A1781" s="5" t="str">
        <f ca="1">IFERROR(__xludf.DUMMYFUNCTION("""COMPUTED_VALUE"""),"20010307WAKEC")</f>
        <v>20010307WAKEC</v>
      </c>
      <c r="B1781" s="5">
        <f ca="1">IFERROR(__xludf.DUMMYFUNCTION("""COMPUTED_VALUE"""),16)</f>
        <v>16</v>
      </c>
      <c r="C1781" s="5" t="str">
        <f ca="1">IFERROR(__xludf.DUMMYFUNCTION("""COMPUTED_VALUE"""),"Male")</f>
        <v>Male</v>
      </c>
      <c r="D1781" s="5"/>
      <c r="E1781" s="5" t="str">
        <f ca="1">IFERROR(__xludf.DUMMYFUNCTION("""COMPUTED_VALUE"""),"Student")</f>
        <v>Student</v>
      </c>
      <c r="F1781" s="5" t="str">
        <f ca="1">IFERROR(__xludf.DUMMYFUNCTION("""COMPUTED_VALUE"""),"Surrendered")</f>
        <v>Surrendered</v>
      </c>
      <c r="G1781" s="5" t="str">
        <f ca="1">IFERROR(__xludf.DUMMYFUNCTION("""COMPUTED_VALUE"""),"No")</f>
        <v>No</v>
      </c>
      <c r="H1781" s="5" t="str">
        <f ca="1">IFERROR(__xludf.DUMMYFUNCTION("""COMPUTED_VALUE"""),"None")</f>
        <v>None</v>
      </c>
    </row>
    <row r="1782" spans="1:8" ht="13">
      <c r="A1782" s="5" t="str">
        <f ca="1">IFERROR(__xludf.DUMMYFUNCTION("""COMPUTED_VALUE"""),"20010307PABIW")</f>
        <v>20010307PABIW</v>
      </c>
      <c r="B1782" s="5">
        <f ca="1">IFERROR(__xludf.DUMMYFUNCTION("""COMPUTED_VALUE"""),14)</f>
        <v>14</v>
      </c>
      <c r="C1782" s="5" t="str">
        <f ca="1">IFERROR(__xludf.DUMMYFUNCTION("""COMPUTED_VALUE"""),"Female")</f>
        <v>Female</v>
      </c>
      <c r="D1782" s="5" t="str">
        <f ca="1">IFERROR(__xludf.DUMMYFUNCTION("""COMPUTED_VALUE"""),"White")</f>
        <v>White</v>
      </c>
      <c r="E1782" s="5" t="str">
        <f ca="1">IFERROR(__xludf.DUMMYFUNCTION("""COMPUTED_VALUE"""),"Student")</f>
        <v>Student</v>
      </c>
      <c r="F1782" s="5" t="str">
        <f ca="1">IFERROR(__xludf.DUMMYFUNCTION("""COMPUTED_VALUE"""),"Surrendered")</f>
        <v>Surrendered</v>
      </c>
      <c r="G1782" s="5" t="str">
        <f ca="1">IFERROR(__xludf.DUMMYFUNCTION("""COMPUTED_VALUE"""),"No")</f>
        <v>No</v>
      </c>
      <c r="H1782" s="5" t="str">
        <f ca="1">IFERROR(__xludf.DUMMYFUNCTION("""COMPUTED_VALUE"""),"None")</f>
        <v>None</v>
      </c>
    </row>
    <row r="1783" spans="1:8" ht="13">
      <c r="A1783" s="5" t="str">
        <f ca="1">IFERROR(__xludf.DUMMYFUNCTION("""COMPUTED_VALUE"""),"20010306MDLAL")</f>
        <v>20010306MDLAL</v>
      </c>
      <c r="B1783" s="5">
        <f ca="1">IFERROR(__xludf.DUMMYFUNCTION("""COMPUTED_VALUE"""),14)</f>
        <v>14</v>
      </c>
      <c r="C1783" s="5" t="str">
        <f ca="1">IFERROR(__xludf.DUMMYFUNCTION("""COMPUTED_VALUE"""),"Male")</f>
        <v>Male</v>
      </c>
      <c r="D1783" s="5"/>
      <c r="E1783" s="5" t="str">
        <f ca="1">IFERROR(__xludf.DUMMYFUNCTION("""COMPUTED_VALUE"""),"Student")</f>
        <v>Student</v>
      </c>
      <c r="F1783" s="5" t="str">
        <f ca="1">IFERROR(__xludf.DUMMYFUNCTION("""COMPUTED_VALUE"""),"Fled/Apprehended")</f>
        <v>Fled/Apprehended</v>
      </c>
      <c r="G1783" s="5" t="str">
        <f ca="1">IFERROR(__xludf.DUMMYFUNCTION("""COMPUTED_VALUE"""),"No")</f>
        <v>No</v>
      </c>
      <c r="H1783" s="5" t="str">
        <f ca="1">IFERROR(__xludf.DUMMYFUNCTION("""COMPUTED_VALUE"""),"None")</f>
        <v>None</v>
      </c>
    </row>
    <row r="1784" spans="1:8" ht="13">
      <c r="A1784" s="5" t="str">
        <f ca="1">IFERROR(__xludf.DUMMYFUNCTION("""COMPUTED_VALUE"""),"20010305CASAS")</f>
        <v>20010305CASAS</v>
      </c>
      <c r="B1784" s="5">
        <f ca="1">IFERROR(__xludf.DUMMYFUNCTION("""COMPUTED_VALUE"""),15)</f>
        <v>15</v>
      </c>
      <c r="C1784" s="5" t="str">
        <f ca="1">IFERROR(__xludf.DUMMYFUNCTION("""COMPUTED_VALUE"""),"Male")</f>
        <v>Male</v>
      </c>
      <c r="D1784" s="5" t="str">
        <f ca="1">IFERROR(__xludf.DUMMYFUNCTION("""COMPUTED_VALUE"""),"White")</f>
        <v>White</v>
      </c>
      <c r="E1784" s="5" t="str">
        <f ca="1">IFERROR(__xludf.DUMMYFUNCTION("""COMPUTED_VALUE"""),"Student")</f>
        <v>Student</v>
      </c>
      <c r="F1784" s="5" t="str">
        <f ca="1">IFERROR(__xludf.DUMMYFUNCTION("""COMPUTED_VALUE"""),"Apprehended/Killed by LE")</f>
        <v>Apprehended/Killed by LE</v>
      </c>
      <c r="G1784" s="5" t="str">
        <f ca="1">IFERROR(__xludf.DUMMYFUNCTION("""COMPUTED_VALUE"""),"No")</f>
        <v>No</v>
      </c>
      <c r="H1784" s="5" t="str">
        <f ca="1">IFERROR(__xludf.DUMMYFUNCTION("""COMPUTED_VALUE"""),"None")</f>
        <v>None</v>
      </c>
    </row>
    <row r="1785" spans="1:8" ht="13">
      <c r="A1785" s="5" t="str">
        <f ca="1">IFERROR(__xludf.DUMMYFUNCTION("""COMPUTED_VALUE"""),"20010302CAHOS")</f>
        <v>20010302CAHOS</v>
      </c>
      <c r="B1785" s="5">
        <f ca="1">IFERROR(__xludf.DUMMYFUNCTION("""COMPUTED_VALUE"""),18)</f>
        <v>18</v>
      </c>
      <c r="C1785" s="5" t="str">
        <f ca="1">IFERROR(__xludf.DUMMYFUNCTION("""COMPUTED_VALUE"""),"Male")</f>
        <v>Male</v>
      </c>
      <c r="D1785" s="5"/>
      <c r="E1785" s="5" t="str">
        <f ca="1">IFERROR(__xludf.DUMMYFUNCTION("""COMPUTED_VALUE"""),"Student")</f>
        <v>Student</v>
      </c>
      <c r="F1785" s="5" t="str">
        <f ca="1">IFERROR(__xludf.DUMMYFUNCTION("""COMPUTED_VALUE"""),"Suicide")</f>
        <v>Suicide</v>
      </c>
      <c r="G1785" s="5" t="str">
        <f ca="1">IFERROR(__xludf.DUMMYFUNCTION("""COMPUTED_VALUE"""),"Yes")</f>
        <v>Yes</v>
      </c>
      <c r="H1785" s="5" t="str">
        <f ca="1">IFERROR(__xludf.DUMMYFUNCTION("""COMPUTED_VALUE"""),"Suicide")</f>
        <v>Suicide</v>
      </c>
    </row>
    <row r="1786" spans="1:8" ht="13">
      <c r="A1786" s="5" t="str">
        <f ca="1">IFERROR(__xludf.DUMMYFUNCTION("""COMPUTED_VALUE"""),"20010202MIOSD")</f>
        <v>20010202MIOSD</v>
      </c>
      <c r="B1786" s="5" t="str">
        <f ca="1">IFERROR(__xludf.DUMMYFUNCTION("""COMPUTED_VALUE"""),"Teen")</f>
        <v>Teen</v>
      </c>
      <c r="C1786" s="5" t="str">
        <f ca="1">IFERROR(__xludf.DUMMYFUNCTION("""COMPUTED_VALUE"""),"Male")</f>
        <v>Male</v>
      </c>
      <c r="D1786" s="5"/>
      <c r="E1786" s="5" t="str">
        <f ca="1">IFERROR(__xludf.DUMMYFUNCTION("""COMPUTED_VALUE"""),"Student")</f>
        <v>Student</v>
      </c>
      <c r="F1786" s="5" t="str">
        <f ca="1">IFERROR(__xludf.DUMMYFUNCTION("""COMPUTED_VALUE"""),"Fled/Escaped")</f>
        <v>Fled/Escaped</v>
      </c>
      <c r="G1786" s="5" t="str">
        <f ca="1">IFERROR(__xludf.DUMMYFUNCTION("""COMPUTED_VALUE"""),"No")</f>
        <v>No</v>
      </c>
      <c r="H1786" s="5" t="str">
        <f ca="1">IFERROR(__xludf.DUMMYFUNCTION("""COMPUTED_VALUE"""),"None")</f>
        <v>None</v>
      </c>
    </row>
    <row r="1787" spans="1:8" ht="13">
      <c r="A1787" s="5" t="str">
        <f ca="1">IFERROR(__xludf.DUMMYFUNCTION("""COMPUTED_VALUE"""),"20010117MDLAB")</f>
        <v>20010117MDLAB</v>
      </c>
      <c r="B1787" s="5">
        <f ca="1">IFERROR(__xludf.DUMMYFUNCTION("""COMPUTED_VALUE"""),19)</f>
        <v>19</v>
      </c>
      <c r="C1787" s="5" t="str">
        <f ca="1">IFERROR(__xludf.DUMMYFUNCTION("""COMPUTED_VALUE"""),"Male")</f>
        <v>Male</v>
      </c>
      <c r="D1787" s="5"/>
      <c r="E1787" s="5" t="str">
        <f ca="1">IFERROR(__xludf.DUMMYFUNCTION("""COMPUTED_VALUE"""),"Unknown")</f>
        <v>Unknown</v>
      </c>
      <c r="F1787" s="5" t="str">
        <f ca="1">IFERROR(__xludf.DUMMYFUNCTION("""COMPUTED_VALUE"""),"Fled/Apprehended")</f>
        <v>Fled/Apprehended</v>
      </c>
      <c r="G1787" s="5" t="str">
        <f ca="1">IFERROR(__xludf.DUMMYFUNCTION("""COMPUTED_VALUE"""),"No")</f>
        <v>No</v>
      </c>
      <c r="H1787" s="5" t="str">
        <f ca="1">IFERROR(__xludf.DUMMYFUNCTION("""COMPUTED_VALUE"""),"None")</f>
        <v>None</v>
      </c>
    </row>
    <row r="1788" spans="1:8" ht="13">
      <c r="A1788" s="5" t="str">
        <f ca="1">IFERROR(__xludf.DUMMYFUNCTION("""COMPUTED_VALUE"""),"20010110CAHUO")</f>
        <v>20010110CAHUO</v>
      </c>
      <c r="B1788" s="5">
        <f ca="1">IFERROR(__xludf.DUMMYFUNCTION("""COMPUTED_VALUE"""),17)</f>
        <v>17</v>
      </c>
      <c r="C1788" s="5" t="str">
        <f ca="1">IFERROR(__xludf.DUMMYFUNCTION("""COMPUTED_VALUE"""),"Male")</f>
        <v>Male</v>
      </c>
      <c r="D1788" s="5" t="str">
        <f ca="1">IFERROR(__xludf.DUMMYFUNCTION("""COMPUTED_VALUE"""),"Hispanic")</f>
        <v>Hispanic</v>
      </c>
      <c r="E1788" s="5" t="str">
        <f ca="1">IFERROR(__xludf.DUMMYFUNCTION("""COMPUTED_VALUE"""),"Nonstudent")</f>
        <v>Nonstudent</v>
      </c>
      <c r="F1788" s="5" t="str">
        <f ca="1">IFERROR(__xludf.DUMMYFUNCTION("""COMPUTED_VALUE"""),"Apprehended/Killed by LE")</f>
        <v>Apprehended/Killed by LE</v>
      </c>
      <c r="G1788" s="5" t="str">
        <f ca="1">IFERROR(__xludf.DUMMYFUNCTION("""COMPUTED_VALUE"""),"Yes")</f>
        <v>Yes</v>
      </c>
      <c r="H1788" s="5" t="str">
        <f ca="1">IFERROR(__xludf.DUMMYFUNCTION("""COMPUTED_VALUE"""),"Fatal")</f>
        <v>Fatal</v>
      </c>
    </row>
    <row r="1789" spans="1:8" ht="13">
      <c r="A1789" s="5" t="str">
        <f ca="1">IFERROR(__xludf.DUMMYFUNCTION("""COMPUTED_VALUE"""),"20010103CABAS")</f>
        <v>20010103CABAS</v>
      </c>
      <c r="B1789" s="5">
        <f ca="1">IFERROR(__xludf.DUMMYFUNCTION("""COMPUTED_VALUE"""),15)</f>
        <v>15</v>
      </c>
      <c r="C1789" s="5" t="str">
        <f ca="1">IFERROR(__xludf.DUMMYFUNCTION("""COMPUTED_VALUE"""),"Male")</f>
        <v>Male</v>
      </c>
      <c r="D1789" s="5"/>
      <c r="E1789" s="5" t="str">
        <f ca="1">IFERROR(__xludf.DUMMYFUNCTION("""COMPUTED_VALUE"""),"Student")</f>
        <v>Student</v>
      </c>
      <c r="F1789" s="5" t="str">
        <f ca="1">IFERROR(__xludf.DUMMYFUNCTION("""COMPUTED_VALUE"""),"Fled/Apprehended")</f>
        <v>Fled/Apprehended</v>
      </c>
      <c r="G1789" s="5" t="str">
        <f ca="1">IFERROR(__xludf.DUMMYFUNCTION("""COMPUTED_VALUE"""),"No")</f>
        <v>No</v>
      </c>
      <c r="H1789" s="5" t="str">
        <f ca="1">IFERROR(__xludf.DUMMYFUNCTION("""COMPUTED_VALUE"""),"Wounded")</f>
        <v>Wounded</v>
      </c>
    </row>
    <row r="1790" spans="1:8" ht="13">
      <c r="A1790" s="5" t="str">
        <f ca="1">IFERROR(__xludf.DUMMYFUNCTION("""COMPUTED_VALUE"""),"20001221FLNOM")</f>
        <v>20001221FLNOM</v>
      </c>
      <c r="B1790" s="5" t="str">
        <f ca="1">IFERROR(__xludf.DUMMYFUNCTION("""COMPUTED_VALUE"""),"Teen")</f>
        <v>Teen</v>
      </c>
      <c r="C1790" s="5" t="str">
        <f ca="1">IFERROR(__xludf.DUMMYFUNCTION("""COMPUTED_VALUE"""),"Male")</f>
        <v>Male</v>
      </c>
      <c r="D1790" s="5"/>
      <c r="E1790" s="5" t="str">
        <f ca="1">IFERROR(__xludf.DUMMYFUNCTION("""COMPUTED_VALUE"""),"No Relation")</f>
        <v>No Relation</v>
      </c>
      <c r="F1790" s="5" t="str">
        <f ca="1">IFERROR(__xludf.DUMMYFUNCTION("""COMPUTED_VALUE"""),"Fled/Escaped")</f>
        <v>Fled/Escaped</v>
      </c>
      <c r="G1790" s="5" t="str">
        <f ca="1">IFERROR(__xludf.DUMMYFUNCTION("""COMPUTED_VALUE"""),"No")</f>
        <v>No</v>
      </c>
      <c r="H1790" s="5" t="str">
        <f ca="1">IFERROR(__xludf.DUMMYFUNCTION("""COMPUTED_VALUE"""),"None")</f>
        <v>None</v>
      </c>
    </row>
    <row r="1791" spans="1:8" ht="13">
      <c r="A1791" s="5" t="str">
        <f ca="1">IFERROR(__xludf.DUMMYFUNCTION("""COMPUTED_VALUE"""),"20001207CARIR")</f>
        <v>20001207CARIR</v>
      </c>
      <c r="B1791" s="5" t="str">
        <f ca="1">IFERROR(__xludf.DUMMYFUNCTION("""COMPUTED_VALUE"""),"Teen")</f>
        <v>Teen</v>
      </c>
      <c r="C1791" s="5"/>
      <c r="D1791" s="5"/>
      <c r="E1791" s="5" t="str">
        <f ca="1">IFERROR(__xludf.DUMMYFUNCTION("""COMPUTED_VALUE"""),"Unknown")</f>
        <v>Unknown</v>
      </c>
      <c r="F1791" s="5" t="str">
        <f ca="1">IFERROR(__xludf.DUMMYFUNCTION("""COMPUTED_VALUE"""),"Fled/Escaped")</f>
        <v>Fled/Escaped</v>
      </c>
      <c r="G1791" s="5" t="str">
        <f ca="1">IFERROR(__xludf.DUMMYFUNCTION("""COMPUTED_VALUE"""),"No")</f>
        <v>No</v>
      </c>
      <c r="H1791" s="5" t="str">
        <f ca="1">IFERROR(__xludf.DUMMYFUNCTION("""COMPUTED_VALUE"""),"None")</f>
        <v>None</v>
      </c>
    </row>
    <row r="1792" spans="1:8" ht="13">
      <c r="A1792" s="5" t="str">
        <f ca="1">IFERROR(__xludf.DUMMYFUNCTION("""COMPUTED_VALUE"""),"20001201CAJUS")</f>
        <v>20001201CAJUS</v>
      </c>
      <c r="B1792" s="5">
        <f ca="1">IFERROR(__xludf.DUMMYFUNCTION("""COMPUTED_VALUE"""),15)</f>
        <v>15</v>
      </c>
      <c r="C1792" s="5" t="str">
        <f ca="1">IFERROR(__xludf.DUMMYFUNCTION("""COMPUTED_VALUE"""),"Male")</f>
        <v>Male</v>
      </c>
      <c r="D1792" s="5"/>
      <c r="E1792" s="5" t="str">
        <f ca="1">IFERROR(__xludf.DUMMYFUNCTION("""COMPUTED_VALUE"""),"Student")</f>
        <v>Student</v>
      </c>
      <c r="F1792" s="5" t="str">
        <f ca="1">IFERROR(__xludf.DUMMYFUNCTION("""COMPUTED_VALUE"""),"Surrendered")</f>
        <v>Surrendered</v>
      </c>
      <c r="G1792" s="5" t="str">
        <f ca="1">IFERROR(__xludf.DUMMYFUNCTION("""COMPUTED_VALUE"""),"No")</f>
        <v>No</v>
      </c>
      <c r="H1792" s="5" t="str">
        <f ca="1">IFERROR(__xludf.DUMMYFUNCTION("""COMPUTED_VALUE"""),"Wounded")</f>
        <v>Wounded</v>
      </c>
    </row>
    <row r="1793" spans="1:8" ht="13">
      <c r="A1793" s="5" t="str">
        <f ca="1">IFERROR(__xludf.DUMMYFUNCTION("""COMPUTED_VALUE"""),"20001201CAGRL")</f>
        <v>20001201CAGRL</v>
      </c>
      <c r="B1793" s="5">
        <f ca="1">IFERROR(__xludf.DUMMYFUNCTION("""COMPUTED_VALUE"""),17)</f>
        <v>17</v>
      </c>
      <c r="C1793" s="5" t="str">
        <f ca="1">IFERROR(__xludf.DUMMYFUNCTION("""COMPUTED_VALUE"""),"Male")</f>
        <v>Male</v>
      </c>
      <c r="D1793" s="5"/>
      <c r="E1793" s="5" t="str">
        <f ca="1">IFERROR(__xludf.DUMMYFUNCTION("""COMPUTED_VALUE"""),"Student")</f>
        <v>Student</v>
      </c>
      <c r="F1793" s="5" t="str">
        <f ca="1">IFERROR(__xludf.DUMMYFUNCTION("""COMPUTED_VALUE"""),"Suicide")</f>
        <v>Suicide</v>
      </c>
      <c r="G1793" s="5" t="str">
        <f ca="1">IFERROR(__xludf.DUMMYFUNCTION("""COMPUTED_VALUE"""),"Yes")</f>
        <v>Yes</v>
      </c>
      <c r="H1793" s="5" t="str">
        <f ca="1">IFERROR(__xludf.DUMMYFUNCTION("""COMPUTED_VALUE"""),"Suicide")</f>
        <v>Suicide</v>
      </c>
    </row>
    <row r="1794" spans="1:8" ht="13">
      <c r="A1794" s="5" t="str">
        <f ca="1">IFERROR(__xludf.DUMMYFUNCTION("""COMPUTED_VALUE"""),"20001101TXNEC")</f>
        <v>20001101TXNEC</v>
      </c>
      <c r="B1794" s="5">
        <f ca="1">IFERROR(__xludf.DUMMYFUNCTION("""COMPUTED_VALUE"""),15)</f>
        <v>15</v>
      </c>
      <c r="C1794" s="5" t="str">
        <f ca="1">IFERROR(__xludf.DUMMYFUNCTION("""COMPUTED_VALUE"""),"Male")</f>
        <v>Male</v>
      </c>
      <c r="D1794" s="5"/>
      <c r="E1794" s="5" t="str">
        <f ca="1">IFERROR(__xludf.DUMMYFUNCTION("""COMPUTED_VALUE"""),"Student")</f>
        <v>Student</v>
      </c>
      <c r="F1794" s="5" t="str">
        <f ca="1">IFERROR(__xludf.DUMMYFUNCTION("""COMPUTED_VALUE"""),"Apprehended/Killed by LE")</f>
        <v>Apprehended/Killed by LE</v>
      </c>
      <c r="G1794" s="5" t="str">
        <f ca="1">IFERROR(__xludf.DUMMYFUNCTION("""COMPUTED_VALUE"""),"No")</f>
        <v>No</v>
      </c>
      <c r="H1794" s="5" t="str">
        <f ca="1">IFERROR(__xludf.DUMMYFUNCTION("""COMPUTED_VALUE"""),"None")</f>
        <v>None</v>
      </c>
    </row>
    <row r="1795" spans="1:8" ht="13">
      <c r="A1795" s="5" t="str">
        <f ca="1">IFERROR(__xludf.DUMMYFUNCTION("""COMPUTED_VALUE"""),"20001024AZPIG")</f>
        <v>20001024AZPIG</v>
      </c>
      <c r="B1795" s="5">
        <f ca="1">IFERROR(__xludf.DUMMYFUNCTION("""COMPUTED_VALUE"""),14)</f>
        <v>14</v>
      </c>
      <c r="C1795" s="5" t="str">
        <f ca="1">IFERROR(__xludf.DUMMYFUNCTION("""COMPUTED_VALUE"""),"Male")</f>
        <v>Male</v>
      </c>
      <c r="D1795" s="5"/>
      <c r="E1795" s="5" t="str">
        <f ca="1">IFERROR(__xludf.DUMMYFUNCTION("""COMPUTED_VALUE"""),"Former Student")</f>
        <v>Former Student</v>
      </c>
      <c r="F1795" s="5" t="str">
        <f ca="1">IFERROR(__xludf.DUMMYFUNCTION("""COMPUTED_VALUE"""),"Surrendered")</f>
        <v>Surrendered</v>
      </c>
      <c r="G1795" s="5" t="str">
        <f ca="1">IFERROR(__xludf.DUMMYFUNCTION("""COMPUTED_VALUE"""),"No")</f>
        <v>No</v>
      </c>
      <c r="H1795" s="5" t="str">
        <f ca="1">IFERROR(__xludf.DUMMYFUNCTION("""COMPUTED_VALUE"""),"None")</f>
        <v>None</v>
      </c>
    </row>
    <row r="1796" spans="1:8" ht="13">
      <c r="A1796" s="5" t="str">
        <f ca="1">IFERROR(__xludf.DUMMYFUNCTION("""COMPUTED_VALUE"""),"20001005MNMIM")</f>
        <v>20001005MNMIM</v>
      </c>
      <c r="B1796" s="5"/>
      <c r="C1796" s="5" t="str">
        <f ca="1">IFERROR(__xludf.DUMMYFUNCTION("""COMPUTED_VALUE"""),"Male")</f>
        <v>Male</v>
      </c>
      <c r="D1796" s="5"/>
      <c r="E1796" s="5" t="str">
        <f ca="1">IFERROR(__xludf.DUMMYFUNCTION("""COMPUTED_VALUE"""),"Nonstudent")</f>
        <v>Nonstudent</v>
      </c>
      <c r="F1796" s="5" t="str">
        <f ca="1">IFERROR(__xludf.DUMMYFUNCTION("""COMPUTED_VALUE"""),"Fled/Escaped")</f>
        <v>Fled/Escaped</v>
      </c>
      <c r="G1796" s="5" t="str">
        <f ca="1">IFERROR(__xludf.DUMMYFUNCTION("""COMPUTED_VALUE"""),"No")</f>
        <v>No</v>
      </c>
      <c r="H1796" s="5" t="str">
        <f ca="1">IFERROR(__xludf.DUMMYFUNCTION("""COMPUTED_VALUE"""),"None")</f>
        <v>None</v>
      </c>
    </row>
    <row r="1797" spans="1:8" ht="13">
      <c r="A1797" s="5" t="str">
        <f ca="1">IFERROR(__xludf.DUMMYFUNCTION("""COMPUTED_VALUE"""),"20000926LACAN")</f>
        <v>20000926LACAN</v>
      </c>
      <c r="B1797" s="5">
        <f ca="1">IFERROR(__xludf.DUMMYFUNCTION("""COMPUTED_VALUE"""),13)</f>
        <v>13</v>
      </c>
      <c r="C1797" s="5" t="str">
        <f ca="1">IFERROR(__xludf.DUMMYFUNCTION("""COMPUTED_VALUE"""),"Male")</f>
        <v>Male</v>
      </c>
      <c r="D1797" s="5" t="str">
        <f ca="1">IFERROR(__xludf.DUMMYFUNCTION("""COMPUTED_VALUE"""),"Black")</f>
        <v>Black</v>
      </c>
      <c r="E1797" s="5" t="str">
        <f ca="1">IFERROR(__xludf.DUMMYFUNCTION("""COMPUTED_VALUE"""),"Student")</f>
        <v>Student</v>
      </c>
      <c r="F1797" s="5" t="str">
        <f ca="1">IFERROR(__xludf.DUMMYFUNCTION("""COMPUTED_VALUE"""),"Apprehended/Killed by LE")</f>
        <v>Apprehended/Killed by LE</v>
      </c>
      <c r="G1797" s="5" t="str">
        <f ca="1">IFERROR(__xludf.DUMMYFUNCTION("""COMPUTED_VALUE"""),"No")</f>
        <v>No</v>
      </c>
      <c r="H1797" s="5" t="str">
        <f ca="1">IFERROR(__xludf.DUMMYFUNCTION("""COMPUTED_VALUE"""),"None")</f>
        <v>None</v>
      </c>
    </row>
    <row r="1798" spans="1:8" ht="13">
      <c r="A1798" s="5" t="str">
        <f ca="1">IFERROR(__xludf.DUMMYFUNCTION("""COMPUTED_VALUE"""),"20000926LACAN")</f>
        <v>20000926LACAN</v>
      </c>
      <c r="B1798" s="5">
        <f ca="1">IFERROR(__xludf.DUMMYFUNCTION("""COMPUTED_VALUE"""),15)</f>
        <v>15</v>
      </c>
      <c r="C1798" s="5" t="str">
        <f ca="1">IFERROR(__xludf.DUMMYFUNCTION("""COMPUTED_VALUE"""),"Male")</f>
        <v>Male</v>
      </c>
      <c r="D1798" s="5" t="str">
        <f ca="1">IFERROR(__xludf.DUMMYFUNCTION("""COMPUTED_VALUE"""),"Black")</f>
        <v>Black</v>
      </c>
      <c r="E1798" s="5" t="str">
        <f ca="1">IFERROR(__xludf.DUMMYFUNCTION("""COMPUTED_VALUE"""),"Student")</f>
        <v>Student</v>
      </c>
      <c r="F1798" s="5" t="str">
        <f ca="1">IFERROR(__xludf.DUMMYFUNCTION("""COMPUTED_VALUE"""),"Apprehended/Killed by LE")</f>
        <v>Apprehended/Killed by LE</v>
      </c>
      <c r="G1798" s="5" t="str">
        <f ca="1">IFERROR(__xludf.DUMMYFUNCTION("""COMPUTED_VALUE"""),"No")</f>
        <v>No</v>
      </c>
      <c r="H1798" s="5" t="str">
        <f ca="1">IFERROR(__xludf.DUMMYFUNCTION("""COMPUTED_VALUE"""),"None")</f>
        <v>None</v>
      </c>
    </row>
    <row r="1799" spans="1:8" ht="13">
      <c r="A1799" s="5" t="str">
        <f ca="1">IFERROR(__xludf.DUMMYFUNCTION("""COMPUTED_VALUE"""),"20000918OHMOM")</f>
        <v>20000918OHMOM</v>
      </c>
      <c r="B1799" s="5">
        <f ca="1">IFERROR(__xludf.DUMMYFUNCTION("""COMPUTED_VALUE"""),14)</f>
        <v>14</v>
      </c>
      <c r="C1799" s="5" t="str">
        <f ca="1">IFERROR(__xludf.DUMMYFUNCTION("""COMPUTED_VALUE"""),"Male")</f>
        <v>Male</v>
      </c>
      <c r="D1799" s="5"/>
      <c r="E1799" s="5" t="str">
        <f ca="1">IFERROR(__xludf.DUMMYFUNCTION("""COMPUTED_VALUE"""),"Student")</f>
        <v>Student</v>
      </c>
      <c r="F1799" s="5" t="str">
        <f ca="1">IFERROR(__xludf.DUMMYFUNCTION("""COMPUTED_VALUE"""),"Surrendered")</f>
        <v>Surrendered</v>
      </c>
      <c r="G1799" s="5" t="str">
        <f ca="1">IFERROR(__xludf.DUMMYFUNCTION("""COMPUTED_VALUE"""),"No")</f>
        <v>No</v>
      </c>
      <c r="H1799" s="5" t="str">
        <f ca="1">IFERROR(__xludf.DUMMYFUNCTION("""COMPUTED_VALUE"""),"None")</f>
        <v>None</v>
      </c>
    </row>
    <row r="1800" spans="1:8" ht="13">
      <c r="A1800" s="5" t="str">
        <f ca="1">IFERROR(__xludf.DUMMYFUNCTION("""COMPUTED_VALUE"""),"20000907ILLOR")</f>
        <v>20000907ILLOR</v>
      </c>
      <c r="B1800" s="5">
        <f ca="1">IFERROR(__xludf.DUMMYFUNCTION("""COMPUTED_VALUE"""),19)</f>
        <v>19</v>
      </c>
      <c r="C1800" s="5" t="str">
        <f ca="1">IFERROR(__xludf.DUMMYFUNCTION("""COMPUTED_VALUE"""),"Male")</f>
        <v>Male</v>
      </c>
      <c r="D1800" s="5" t="str">
        <f ca="1">IFERROR(__xludf.DUMMYFUNCTION("""COMPUTED_VALUE"""),"White")</f>
        <v>White</v>
      </c>
      <c r="E1800" s="5" t="str">
        <f ca="1">IFERROR(__xludf.DUMMYFUNCTION("""COMPUTED_VALUE"""),"No Relation")</f>
        <v>No Relation</v>
      </c>
      <c r="F1800" s="5" t="str">
        <f ca="1">IFERROR(__xludf.DUMMYFUNCTION("""COMPUTED_VALUE"""),"Fled/Apprehended")</f>
        <v>Fled/Apprehended</v>
      </c>
      <c r="G1800" s="5" t="str">
        <f ca="1">IFERROR(__xludf.DUMMYFUNCTION("""COMPUTED_VALUE"""),"No")</f>
        <v>No</v>
      </c>
      <c r="H1800" s="5" t="str">
        <f ca="1">IFERROR(__xludf.DUMMYFUNCTION("""COMPUTED_VALUE"""),"None")</f>
        <v>None</v>
      </c>
    </row>
    <row r="1801" spans="1:8" ht="13">
      <c r="A1801" s="5" t="str">
        <f ca="1">IFERROR(__xludf.DUMMYFUNCTION("""COMPUTED_VALUE"""),"20000905OHBIB")</f>
        <v>20000905OHBIB</v>
      </c>
      <c r="B1801" s="5">
        <f ca="1">IFERROR(__xludf.DUMMYFUNCTION("""COMPUTED_VALUE"""),66)</f>
        <v>66</v>
      </c>
      <c r="C1801" s="5" t="str">
        <f ca="1">IFERROR(__xludf.DUMMYFUNCTION("""COMPUTED_VALUE"""),"Male")</f>
        <v>Male</v>
      </c>
      <c r="D1801" s="5"/>
      <c r="E1801" s="5" t="str">
        <f ca="1">IFERROR(__xludf.DUMMYFUNCTION("""COMPUTED_VALUE"""),"Intimate Relationship")</f>
        <v>Intimate Relationship</v>
      </c>
      <c r="F1801" s="5" t="str">
        <f ca="1">IFERROR(__xludf.DUMMYFUNCTION("""COMPUTED_VALUE"""),"Fled/Escaped")</f>
        <v>Fled/Escaped</v>
      </c>
      <c r="G1801" s="5" t="str">
        <f ca="1">IFERROR(__xludf.DUMMYFUNCTION("""COMPUTED_VALUE"""),"Yes")</f>
        <v>Yes</v>
      </c>
      <c r="H1801" s="5" t="str">
        <f ca="1">IFERROR(__xludf.DUMMYFUNCTION("""COMPUTED_VALUE"""),"Suicide")</f>
        <v>Suicide</v>
      </c>
    </row>
    <row r="1802" spans="1:8" ht="13">
      <c r="A1802" s="5" t="str">
        <f ca="1">IFERROR(__xludf.DUMMYFUNCTION("""COMPUTED_VALUE"""),"20000726OHTIC")</f>
        <v>20000726OHTIC</v>
      </c>
      <c r="B1802" s="5">
        <f ca="1">IFERROR(__xludf.DUMMYFUNCTION("""COMPUTED_VALUE"""),18)</f>
        <v>18</v>
      </c>
      <c r="C1802" s="5" t="str">
        <f ca="1">IFERROR(__xludf.DUMMYFUNCTION("""COMPUTED_VALUE"""),"Male")</f>
        <v>Male</v>
      </c>
      <c r="D1802" s="5"/>
      <c r="E1802" s="5" t="str">
        <f ca="1">IFERROR(__xludf.DUMMYFUNCTION("""COMPUTED_VALUE"""),"Student")</f>
        <v>Student</v>
      </c>
      <c r="F1802" s="5" t="str">
        <f ca="1">IFERROR(__xludf.DUMMYFUNCTION("""COMPUTED_VALUE"""),"Fled/Apprehended")</f>
        <v>Fled/Apprehended</v>
      </c>
      <c r="G1802" s="5" t="str">
        <f ca="1">IFERROR(__xludf.DUMMYFUNCTION("""COMPUTED_VALUE"""),"No")</f>
        <v>No</v>
      </c>
      <c r="H1802" s="5" t="str">
        <f ca="1">IFERROR(__xludf.DUMMYFUNCTION("""COMPUTED_VALUE"""),"None")</f>
        <v>None</v>
      </c>
    </row>
    <row r="1803" spans="1:8" ht="13">
      <c r="A1803" s="5" t="str">
        <f ca="1">IFERROR(__xludf.DUMMYFUNCTION("""COMPUTED_VALUE"""),"20000717WADIR")</f>
        <v>20000717WADIR</v>
      </c>
      <c r="B1803" s="5">
        <f ca="1">IFERROR(__xludf.DUMMYFUNCTION("""COMPUTED_VALUE"""),13)</f>
        <v>13</v>
      </c>
      <c r="C1803" s="5" t="str">
        <f ca="1">IFERROR(__xludf.DUMMYFUNCTION("""COMPUTED_VALUE"""),"Male")</f>
        <v>Male</v>
      </c>
      <c r="D1803" s="5"/>
      <c r="E1803" s="5" t="str">
        <f ca="1">IFERROR(__xludf.DUMMYFUNCTION("""COMPUTED_VALUE"""),"Student")</f>
        <v>Student</v>
      </c>
      <c r="F1803" s="5" t="str">
        <f ca="1">IFERROR(__xludf.DUMMYFUNCTION("""COMPUTED_VALUE"""),"Fled/Apprehended")</f>
        <v>Fled/Apprehended</v>
      </c>
      <c r="G1803" s="5" t="str">
        <f ca="1">IFERROR(__xludf.DUMMYFUNCTION("""COMPUTED_VALUE"""),"No")</f>
        <v>No</v>
      </c>
      <c r="H1803" s="5" t="str">
        <f ca="1">IFERROR(__xludf.DUMMYFUNCTION("""COMPUTED_VALUE"""),"None")</f>
        <v>None</v>
      </c>
    </row>
    <row r="1804" spans="1:8" ht="13">
      <c r="A1804" s="5" t="str">
        <f ca="1">IFERROR(__xludf.DUMMYFUNCTION("""COMPUTED_VALUE"""),"20000526FLLAL")</f>
        <v>20000526FLLAL</v>
      </c>
      <c r="B1804" s="5">
        <f ca="1">IFERROR(__xludf.DUMMYFUNCTION("""COMPUTED_VALUE"""),13)</f>
        <v>13</v>
      </c>
      <c r="C1804" s="5" t="str">
        <f ca="1">IFERROR(__xludf.DUMMYFUNCTION("""COMPUTED_VALUE"""),"Male")</f>
        <v>Male</v>
      </c>
      <c r="D1804" s="5" t="str">
        <f ca="1">IFERROR(__xludf.DUMMYFUNCTION("""COMPUTED_VALUE"""),"Black")</f>
        <v>Black</v>
      </c>
      <c r="E1804" s="5" t="str">
        <f ca="1">IFERROR(__xludf.DUMMYFUNCTION("""COMPUTED_VALUE"""),"Student")</f>
        <v>Student</v>
      </c>
      <c r="F1804" s="5" t="str">
        <f ca="1">IFERROR(__xludf.DUMMYFUNCTION("""COMPUTED_VALUE"""),"Subdued by Students/Staff/Other")</f>
        <v>Subdued by Students/Staff/Other</v>
      </c>
      <c r="G1804" s="5" t="str">
        <f ca="1">IFERROR(__xludf.DUMMYFUNCTION("""COMPUTED_VALUE"""),"No")</f>
        <v>No</v>
      </c>
      <c r="H1804" s="5" t="str">
        <f ca="1">IFERROR(__xludf.DUMMYFUNCTION("""COMPUTED_VALUE"""),"None")</f>
        <v>None</v>
      </c>
    </row>
    <row r="1805" spans="1:8" ht="13">
      <c r="A1805" s="5" t="str">
        <f ca="1">IFERROR(__xludf.DUMMYFUNCTION("""COMPUTED_VALUE"""),"20000510AZCAS")</f>
        <v>20000510AZCAS</v>
      </c>
      <c r="B1805" s="5">
        <f ca="1">IFERROR(__xludf.DUMMYFUNCTION("""COMPUTED_VALUE"""),39)</f>
        <v>39</v>
      </c>
      <c r="C1805" s="5" t="str">
        <f ca="1">IFERROR(__xludf.DUMMYFUNCTION("""COMPUTED_VALUE"""),"Male")</f>
        <v>Male</v>
      </c>
      <c r="D1805" s="5"/>
      <c r="E1805" s="5" t="str">
        <f ca="1">IFERROR(__xludf.DUMMYFUNCTION("""COMPUTED_VALUE"""),"Intimate Relationship")</f>
        <v>Intimate Relationship</v>
      </c>
      <c r="F1805" s="5" t="str">
        <f ca="1">IFERROR(__xludf.DUMMYFUNCTION("""COMPUTED_VALUE"""),"Suicide")</f>
        <v>Suicide</v>
      </c>
      <c r="G1805" s="5" t="str">
        <f ca="1">IFERROR(__xludf.DUMMYFUNCTION("""COMPUTED_VALUE"""),"Yes")</f>
        <v>Yes</v>
      </c>
      <c r="H1805" s="5" t="str">
        <f ca="1">IFERROR(__xludf.DUMMYFUNCTION("""COMPUTED_VALUE"""),"Suicide")</f>
        <v>Suicide</v>
      </c>
    </row>
    <row r="1806" spans="1:8" ht="13">
      <c r="A1806" s="5" t="str">
        <f ca="1">IFERROR(__xludf.DUMMYFUNCTION("""COMPUTED_VALUE"""),"20000502COTHD")</f>
        <v>20000502COTHD</v>
      </c>
      <c r="B1806" s="5">
        <f ca="1">IFERROR(__xludf.DUMMYFUNCTION("""COMPUTED_VALUE"""),16)</f>
        <v>16</v>
      </c>
      <c r="C1806" s="5" t="str">
        <f ca="1">IFERROR(__xludf.DUMMYFUNCTION("""COMPUTED_VALUE"""),"Male")</f>
        <v>Male</v>
      </c>
      <c r="D1806" s="5"/>
      <c r="E1806" s="5" t="str">
        <f ca="1">IFERROR(__xludf.DUMMYFUNCTION("""COMPUTED_VALUE"""),"Student")</f>
        <v>Student</v>
      </c>
      <c r="F1806" s="5" t="str">
        <f ca="1">IFERROR(__xludf.DUMMYFUNCTION("""COMPUTED_VALUE"""),"Attempted Suicide")</f>
        <v>Attempted Suicide</v>
      </c>
      <c r="G1806" s="5" t="str">
        <f ca="1">IFERROR(__xludf.DUMMYFUNCTION("""COMPUTED_VALUE"""),"No")</f>
        <v>No</v>
      </c>
      <c r="H1806" s="5" t="str">
        <f ca="1">IFERROR(__xludf.DUMMYFUNCTION("""COMPUTED_VALUE"""),"Wounded")</f>
        <v>Wounded</v>
      </c>
    </row>
    <row r="1807" spans="1:8" ht="13">
      <c r="A1807" s="5" t="str">
        <f ca="1">IFERROR(__xludf.DUMMYFUNCTION("""COMPUTED_VALUE"""),"20000410AZLAT")</f>
        <v>20000410AZLAT</v>
      </c>
      <c r="B1807" s="5">
        <f ca="1">IFERROR(__xludf.DUMMYFUNCTION("""COMPUTED_VALUE"""),35)</f>
        <v>35</v>
      </c>
      <c r="C1807" s="5" t="str">
        <f ca="1">IFERROR(__xludf.DUMMYFUNCTION("""COMPUTED_VALUE"""),"Female")</f>
        <v>Female</v>
      </c>
      <c r="D1807" s="5"/>
      <c r="E1807" s="5" t="str">
        <f ca="1">IFERROR(__xludf.DUMMYFUNCTION("""COMPUTED_VALUE"""),"Teacher")</f>
        <v>Teacher</v>
      </c>
      <c r="F1807" s="5" t="str">
        <f ca="1">IFERROR(__xludf.DUMMYFUNCTION("""COMPUTED_VALUE"""),"Surrendered")</f>
        <v>Surrendered</v>
      </c>
      <c r="G1807" s="5" t="str">
        <f ca="1">IFERROR(__xludf.DUMMYFUNCTION("""COMPUTED_VALUE"""),"No")</f>
        <v>No</v>
      </c>
      <c r="H1807" s="5" t="str">
        <f ca="1">IFERROR(__xludf.DUMMYFUNCTION("""COMPUTED_VALUE"""),"Wounded")</f>
        <v>Wounded</v>
      </c>
    </row>
    <row r="1808" spans="1:8" ht="13">
      <c r="A1808" s="5" t="str">
        <f ca="1">IFERROR(__xludf.DUMMYFUNCTION("""COMPUTED_VALUE"""),"20000406OKHUH")</f>
        <v>20000406OKHUH</v>
      </c>
      <c r="B1808" s="5">
        <f ca="1">IFERROR(__xludf.DUMMYFUNCTION("""COMPUTED_VALUE"""),35)</f>
        <v>35</v>
      </c>
      <c r="C1808" s="5" t="str">
        <f ca="1">IFERROR(__xludf.DUMMYFUNCTION("""COMPUTED_VALUE"""),"Female")</f>
        <v>Female</v>
      </c>
      <c r="D1808" s="5"/>
      <c r="E1808" s="5" t="str">
        <f ca="1">IFERROR(__xludf.DUMMYFUNCTION("""COMPUTED_VALUE"""),"Parent")</f>
        <v>Parent</v>
      </c>
      <c r="F1808" s="5" t="str">
        <f ca="1">IFERROR(__xludf.DUMMYFUNCTION("""COMPUTED_VALUE"""),"Apprehended/Killed by LE")</f>
        <v>Apprehended/Killed by LE</v>
      </c>
      <c r="G1808" s="5" t="str">
        <f ca="1">IFERROR(__xludf.DUMMYFUNCTION("""COMPUTED_VALUE"""),"No")</f>
        <v>No</v>
      </c>
      <c r="H1808" s="5" t="str">
        <f ca="1">IFERROR(__xludf.DUMMYFUNCTION("""COMPUTED_VALUE"""),"None")</f>
        <v>None</v>
      </c>
    </row>
    <row r="1809" spans="1:8" ht="13">
      <c r="A1809" s="5" t="str">
        <f ca="1">IFERROR(__xludf.DUMMYFUNCTION("""COMPUTED_VALUE"""),"20000323OHMCL")</f>
        <v>20000323OHMCL</v>
      </c>
      <c r="B1809" s="5">
        <f ca="1">IFERROR(__xludf.DUMMYFUNCTION("""COMPUTED_VALUE"""),13)</f>
        <v>13</v>
      </c>
      <c r="C1809" s="5" t="str">
        <f ca="1">IFERROR(__xludf.DUMMYFUNCTION("""COMPUTED_VALUE"""),"Male")</f>
        <v>Male</v>
      </c>
      <c r="D1809" s="5"/>
      <c r="E1809" s="5" t="str">
        <f ca="1">IFERROR(__xludf.DUMMYFUNCTION("""COMPUTED_VALUE"""),"Student")</f>
        <v>Student</v>
      </c>
      <c r="F1809" s="5" t="str">
        <f ca="1">IFERROR(__xludf.DUMMYFUNCTION("""COMPUTED_VALUE"""),"Surrendered")</f>
        <v>Surrendered</v>
      </c>
      <c r="G1809" s="5" t="str">
        <f ca="1">IFERROR(__xludf.DUMMYFUNCTION("""COMPUTED_VALUE"""),"No")</f>
        <v>No</v>
      </c>
      <c r="H1809" s="5" t="str">
        <f ca="1">IFERROR(__xludf.DUMMYFUNCTION("""COMPUTED_VALUE"""),"None")</f>
        <v>None</v>
      </c>
    </row>
    <row r="1810" spans="1:8" ht="13">
      <c r="A1810" s="5" t="str">
        <f ca="1">IFERROR(__xludf.DUMMYFUNCTION("""COMPUTED_VALUE"""),"20000310GABES")</f>
        <v>20000310GABES</v>
      </c>
      <c r="B1810" s="5">
        <f ca="1">IFERROR(__xludf.DUMMYFUNCTION("""COMPUTED_VALUE"""),19)</f>
        <v>19</v>
      </c>
      <c r="C1810" s="5" t="str">
        <f ca="1">IFERROR(__xludf.DUMMYFUNCTION("""COMPUTED_VALUE"""),"Male")</f>
        <v>Male</v>
      </c>
      <c r="D1810" s="5"/>
      <c r="E1810" s="5" t="str">
        <f ca="1">IFERROR(__xludf.DUMMYFUNCTION("""COMPUTED_VALUE"""),"Nonstudent Using Athletic Facilities/Attending Game")</f>
        <v>Nonstudent Using Athletic Facilities/Attending Game</v>
      </c>
      <c r="F1810" s="5" t="str">
        <f ca="1">IFERROR(__xludf.DUMMYFUNCTION("""COMPUTED_VALUE"""),"Fled/Apprehended")</f>
        <v>Fled/Apprehended</v>
      </c>
      <c r="G1810" s="5" t="str">
        <f ca="1">IFERROR(__xludf.DUMMYFUNCTION("""COMPUTED_VALUE"""),"No")</f>
        <v>No</v>
      </c>
      <c r="H1810" s="5" t="str">
        <f ca="1">IFERROR(__xludf.DUMMYFUNCTION("""COMPUTED_VALUE"""),"None")</f>
        <v>None</v>
      </c>
    </row>
    <row r="1811" spans="1:8" ht="13">
      <c r="A1811" s="5" t="str">
        <f ca="1">IFERROR(__xludf.DUMMYFUNCTION("""COMPUTED_VALUE"""),"20000229MIBUF")</f>
        <v>20000229MIBUF</v>
      </c>
      <c r="B1811" s="5">
        <f ca="1">IFERROR(__xludf.DUMMYFUNCTION("""COMPUTED_VALUE"""),6)</f>
        <v>6</v>
      </c>
      <c r="C1811" s="5" t="str">
        <f ca="1">IFERROR(__xludf.DUMMYFUNCTION("""COMPUTED_VALUE"""),"Male")</f>
        <v>Male</v>
      </c>
      <c r="D1811" s="5" t="str">
        <f ca="1">IFERROR(__xludf.DUMMYFUNCTION("""COMPUTED_VALUE"""),"Black")</f>
        <v>Black</v>
      </c>
      <c r="E1811" s="5" t="str">
        <f ca="1">IFERROR(__xludf.DUMMYFUNCTION("""COMPUTED_VALUE"""),"Student")</f>
        <v>Student</v>
      </c>
      <c r="F1811" s="5" t="str">
        <f ca="1">IFERROR(__xludf.DUMMYFUNCTION("""COMPUTED_VALUE"""),"Unknown")</f>
        <v>Unknown</v>
      </c>
      <c r="G1811" s="5" t="str">
        <f ca="1">IFERROR(__xludf.DUMMYFUNCTION("""COMPUTED_VALUE"""),"No")</f>
        <v>No</v>
      </c>
      <c r="H1811" s="5" t="str">
        <f ca="1">IFERROR(__xludf.DUMMYFUNCTION("""COMPUTED_VALUE"""),"None")</f>
        <v>None</v>
      </c>
    </row>
    <row r="1812" spans="1:8" ht="13">
      <c r="A1812" s="5" t="str">
        <f ca="1">IFERROR(__xludf.DUMMYFUNCTION("""COMPUTED_VALUE"""),"20000214ILDUC")</f>
        <v>20000214ILDUC</v>
      </c>
      <c r="B1812" s="5">
        <f ca="1">IFERROR(__xludf.DUMMYFUNCTION("""COMPUTED_VALUE"""),12)</f>
        <v>12</v>
      </c>
      <c r="C1812" s="5" t="str">
        <f ca="1">IFERROR(__xludf.DUMMYFUNCTION("""COMPUTED_VALUE"""),"Male")</f>
        <v>Male</v>
      </c>
      <c r="D1812" s="5"/>
      <c r="E1812" s="5" t="str">
        <f ca="1">IFERROR(__xludf.DUMMYFUNCTION("""COMPUTED_VALUE"""),"Student")</f>
        <v>Student</v>
      </c>
      <c r="F1812" s="5" t="str">
        <f ca="1">IFERROR(__xludf.DUMMYFUNCTION("""COMPUTED_VALUE"""),"Fled/Escaped")</f>
        <v>Fled/Escaped</v>
      </c>
      <c r="G1812" s="5" t="str">
        <f ca="1">IFERROR(__xludf.DUMMYFUNCTION("""COMPUTED_VALUE"""),"No")</f>
        <v>No</v>
      </c>
      <c r="H1812" s="5" t="str">
        <f ca="1">IFERROR(__xludf.DUMMYFUNCTION("""COMPUTED_VALUE"""),"None")</f>
        <v>None</v>
      </c>
    </row>
    <row r="1813" spans="1:8" ht="13">
      <c r="A1813" s="5" t="str">
        <f ca="1">IFERROR(__xludf.DUMMYFUNCTION("""COMPUTED_VALUE"""),"20000210PAPEY")</f>
        <v>20000210PAPEY</v>
      </c>
      <c r="B1813" s="5">
        <f ca="1">IFERROR(__xludf.DUMMYFUNCTION("""COMPUTED_VALUE"""),13)</f>
        <v>13</v>
      </c>
      <c r="C1813" s="5" t="str">
        <f ca="1">IFERROR(__xludf.DUMMYFUNCTION("""COMPUTED_VALUE"""),"Male")</f>
        <v>Male</v>
      </c>
      <c r="D1813" s="5"/>
      <c r="E1813" s="5" t="str">
        <f ca="1">IFERROR(__xludf.DUMMYFUNCTION("""COMPUTED_VALUE"""),"Student")</f>
        <v>Student</v>
      </c>
      <c r="F1813" s="5" t="str">
        <f ca="1">IFERROR(__xludf.DUMMYFUNCTION("""COMPUTED_VALUE"""),"Fled/Apprehended")</f>
        <v>Fled/Apprehended</v>
      </c>
      <c r="G1813" s="5" t="str">
        <f ca="1">IFERROR(__xludf.DUMMYFUNCTION("""COMPUTED_VALUE"""),"No")</f>
        <v>No</v>
      </c>
      <c r="H1813" s="5" t="str">
        <f ca="1">IFERROR(__xludf.DUMMYFUNCTION("""COMPUTED_VALUE"""),"None")</f>
        <v>None</v>
      </c>
    </row>
    <row r="1814" spans="1:8" ht="13">
      <c r="A1814" s="5" t="str">
        <f ca="1">IFERROR(__xludf.DUMMYFUNCTION("""COMPUTED_VALUE"""),"20000126NESOO")</f>
        <v>20000126NESOO</v>
      </c>
      <c r="B1814" s="5" t="str">
        <f ca="1">IFERROR(__xludf.DUMMYFUNCTION("""COMPUTED_VALUE"""),"Teen")</f>
        <v>Teen</v>
      </c>
      <c r="C1814" s="5" t="str">
        <f ca="1">IFERROR(__xludf.DUMMYFUNCTION("""COMPUTED_VALUE"""),"Male")</f>
        <v>Male</v>
      </c>
      <c r="D1814" s="5"/>
      <c r="E1814" s="5" t="str">
        <f ca="1">IFERROR(__xludf.DUMMYFUNCTION("""COMPUTED_VALUE"""),"Student")</f>
        <v>Student</v>
      </c>
      <c r="F1814" s="5" t="str">
        <f ca="1">IFERROR(__xludf.DUMMYFUNCTION("""COMPUTED_VALUE"""),"Fled/Escaped")</f>
        <v>Fled/Escaped</v>
      </c>
      <c r="G1814" s="5" t="str">
        <f ca="1">IFERROR(__xludf.DUMMYFUNCTION("""COMPUTED_VALUE"""),"No")</f>
        <v>No</v>
      </c>
      <c r="H1814" s="5" t="str">
        <f ca="1">IFERROR(__xludf.DUMMYFUNCTION("""COMPUTED_VALUE"""),"None")</f>
        <v>None</v>
      </c>
    </row>
    <row r="1815" spans="1:8" ht="13">
      <c r="A1815" s="5" t="str">
        <f ca="1">IFERROR(__xludf.DUMMYFUNCTION("""COMPUTED_VALUE"""),"20000126CAALM")</f>
        <v>20000126CAALM</v>
      </c>
      <c r="B1815" s="5">
        <f ca="1">IFERROR(__xludf.DUMMYFUNCTION("""COMPUTED_VALUE"""),13)</f>
        <v>13</v>
      </c>
      <c r="C1815" s="5" t="str">
        <f ca="1">IFERROR(__xludf.DUMMYFUNCTION("""COMPUTED_VALUE"""),"Male")</f>
        <v>Male</v>
      </c>
      <c r="D1815" s="5"/>
      <c r="E1815" s="5" t="str">
        <f ca="1">IFERROR(__xludf.DUMMYFUNCTION("""COMPUTED_VALUE"""),"Student")</f>
        <v>Student</v>
      </c>
      <c r="F1815" s="5" t="str">
        <f ca="1">IFERROR(__xludf.DUMMYFUNCTION("""COMPUTED_VALUE"""),"Fled/Apprehended")</f>
        <v>Fled/Apprehended</v>
      </c>
      <c r="G1815" s="5" t="str">
        <f ca="1">IFERROR(__xludf.DUMMYFUNCTION("""COMPUTED_VALUE"""),"No")</f>
        <v>No</v>
      </c>
      <c r="H1815" s="5" t="str">
        <f ca="1">IFERROR(__xludf.DUMMYFUNCTION("""COMPUTED_VALUE"""),"None")</f>
        <v>None</v>
      </c>
    </row>
    <row r="1816" spans="1:8" ht="13">
      <c r="A1816" s="5" t="str">
        <f ca="1">IFERROR(__xludf.DUMMYFUNCTION("""COMPUTED_VALUE"""),"20000120NCERA")</f>
        <v>20000120NCERA</v>
      </c>
      <c r="B1816" s="5">
        <f ca="1">IFERROR(__xludf.DUMMYFUNCTION("""COMPUTED_VALUE"""),17)</f>
        <v>17</v>
      </c>
      <c r="C1816" s="5" t="str">
        <f ca="1">IFERROR(__xludf.DUMMYFUNCTION("""COMPUTED_VALUE"""),"Male")</f>
        <v>Male</v>
      </c>
      <c r="D1816" s="5"/>
      <c r="E1816" s="5" t="str">
        <f ca="1">IFERROR(__xludf.DUMMYFUNCTION("""COMPUTED_VALUE"""),"Former Student")</f>
        <v>Former Student</v>
      </c>
      <c r="F1816" s="5" t="str">
        <f ca="1">IFERROR(__xludf.DUMMYFUNCTION("""COMPUTED_VALUE"""),"Fled/Apprehended")</f>
        <v>Fled/Apprehended</v>
      </c>
      <c r="G1816" s="5" t="str">
        <f ca="1">IFERROR(__xludf.DUMMYFUNCTION("""COMPUTED_VALUE"""),"No")</f>
        <v>No</v>
      </c>
      <c r="H1816" s="5" t="str">
        <f ca="1">IFERROR(__xludf.DUMMYFUNCTION("""COMPUTED_VALUE"""),"None")</f>
        <v>None</v>
      </c>
    </row>
    <row r="1817" spans="1:8" ht="13">
      <c r="A1817" s="5" t="str">
        <f ca="1">IFERROR(__xludf.DUMMYFUNCTION("""COMPUTED_VALUE"""),"20000119FLRIN")</f>
        <v>20000119FLRIN</v>
      </c>
      <c r="B1817" s="5">
        <f ca="1">IFERROR(__xludf.DUMMYFUNCTION("""COMPUTED_VALUE"""),16)</f>
        <v>16</v>
      </c>
      <c r="C1817" s="5" t="str">
        <f ca="1">IFERROR(__xludf.DUMMYFUNCTION("""COMPUTED_VALUE"""),"Male")</f>
        <v>Male</v>
      </c>
      <c r="D1817" s="5" t="str">
        <f ca="1">IFERROR(__xludf.DUMMYFUNCTION("""COMPUTED_VALUE"""),"White")</f>
        <v>White</v>
      </c>
      <c r="E1817" s="5" t="str">
        <f ca="1">IFERROR(__xludf.DUMMYFUNCTION("""COMPUTED_VALUE"""),"Student")</f>
        <v>Student</v>
      </c>
      <c r="F1817" s="5" t="str">
        <f ca="1">IFERROR(__xludf.DUMMYFUNCTION("""COMPUTED_VALUE"""),"Unknown")</f>
        <v>Unknown</v>
      </c>
      <c r="G1817" s="5" t="str">
        <f ca="1">IFERROR(__xludf.DUMMYFUNCTION("""COMPUTED_VALUE"""),"No")</f>
        <v>No</v>
      </c>
      <c r="H1817" s="5" t="str">
        <f ca="1">IFERROR(__xludf.DUMMYFUNCTION("""COMPUTED_VALUE"""),"None")</f>
        <v>None</v>
      </c>
    </row>
    <row r="1818" spans="1:8" ht="13">
      <c r="A1818" s="5" t="str">
        <f ca="1">IFERROR(__xludf.DUMMYFUNCTION("""COMPUTED_VALUE"""),"20000113NMALA")</f>
        <v>20000113NMALA</v>
      </c>
      <c r="B1818" s="5" t="str">
        <f ca="1">IFERROR(__xludf.DUMMYFUNCTION("""COMPUTED_VALUE"""),"Teen")</f>
        <v>Teen</v>
      </c>
      <c r="C1818" s="5" t="str">
        <f ca="1">IFERROR(__xludf.DUMMYFUNCTION("""COMPUTED_VALUE"""),"Male")</f>
        <v>Male</v>
      </c>
      <c r="D1818" s="5"/>
      <c r="E1818" s="5" t="str">
        <f ca="1">IFERROR(__xludf.DUMMYFUNCTION("""COMPUTED_VALUE"""),"Rival School Student")</f>
        <v>Rival School Student</v>
      </c>
      <c r="F1818" s="5" t="str">
        <f ca="1">IFERROR(__xludf.DUMMYFUNCTION("""COMPUTED_VALUE"""),"Fled/Apprehended")</f>
        <v>Fled/Apprehended</v>
      </c>
      <c r="G1818" s="5" t="str">
        <f ca="1">IFERROR(__xludf.DUMMYFUNCTION("""COMPUTED_VALUE"""),"No")</f>
        <v>No</v>
      </c>
      <c r="H1818" s="5" t="str">
        <f ca="1">IFERROR(__xludf.DUMMYFUNCTION("""COMPUTED_VALUE"""),"None")</f>
        <v>None</v>
      </c>
    </row>
    <row r="1819" spans="1:8" ht="13">
      <c r="A1819" s="5" t="str">
        <f ca="1">IFERROR(__xludf.DUMMYFUNCTION("""COMPUTED_VALUE"""),"20000110AKBAA")</f>
        <v>20000110AKBAA</v>
      </c>
      <c r="B1819" s="5">
        <f ca="1">IFERROR(__xludf.DUMMYFUNCTION("""COMPUTED_VALUE"""),16)</f>
        <v>16</v>
      </c>
      <c r="C1819" s="5" t="str">
        <f ca="1">IFERROR(__xludf.DUMMYFUNCTION("""COMPUTED_VALUE"""),"Male")</f>
        <v>Male</v>
      </c>
      <c r="D1819" s="5"/>
      <c r="E1819" s="5" t="str">
        <f ca="1">IFERROR(__xludf.DUMMYFUNCTION("""COMPUTED_VALUE"""),"Student")</f>
        <v>Student</v>
      </c>
      <c r="F1819" s="5" t="str">
        <f ca="1">IFERROR(__xludf.DUMMYFUNCTION("""COMPUTED_VALUE"""),"Fled/Escaped")</f>
        <v>Fled/Escaped</v>
      </c>
      <c r="G1819" s="5" t="str">
        <f ca="1">IFERROR(__xludf.DUMMYFUNCTION("""COMPUTED_VALUE"""),"No")</f>
        <v>No</v>
      </c>
      <c r="H1819" s="5" t="str">
        <f ca="1">IFERROR(__xludf.DUMMYFUNCTION("""COMPUTED_VALUE"""),"None")</f>
        <v>None</v>
      </c>
    </row>
    <row r="1820" spans="1:8" ht="13">
      <c r="A1820" s="5" t="str">
        <f ca="1">IFERROR(__xludf.DUMMYFUNCTION("""COMPUTED_VALUE"""),"19991206OKFOF")</f>
        <v>19991206OKFOF</v>
      </c>
      <c r="B1820" s="5">
        <f ca="1">IFERROR(__xludf.DUMMYFUNCTION("""COMPUTED_VALUE"""),13)</f>
        <v>13</v>
      </c>
      <c r="C1820" s="5" t="str">
        <f ca="1">IFERROR(__xludf.DUMMYFUNCTION("""COMPUTED_VALUE"""),"Male")</f>
        <v>Male</v>
      </c>
      <c r="D1820" s="5" t="str">
        <f ca="1">IFERROR(__xludf.DUMMYFUNCTION("""COMPUTED_VALUE"""),"White")</f>
        <v>White</v>
      </c>
      <c r="E1820" s="5" t="str">
        <f ca="1">IFERROR(__xludf.DUMMYFUNCTION("""COMPUTED_VALUE"""),"Student")</f>
        <v>Student</v>
      </c>
      <c r="F1820" s="5" t="str">
        <f ca="1">IFERROR(__xludf.DUMMYFUNCTION("""COMPUTED_VALUE"""),"Subdued by Students/Staff/Other")</f>
        <v>Subdued by Students/Staff/Other</v>
      </c>
      <c r="G1820" s="5" t="str">
        <f ca="1">IFERROR(__xludf.DUMMYFUNCTION("""COMPUTED_VALUE"""),"No")</f>
        <v>No</v>
      </c>
      <c r="H1820" s="5" t="str">
        <f ca="1">IFERROR(__xludf.DUMMYFUNCTION("""COMPUTED_VALUE"""),"None")</f>
        <v>None</v>
      </c>
    </row>
    <row r="1821" spans="1:8" ht="13">
      <c r="A1821" s="5" t="str">
        <f ca="1">IFERROR(__xludf.DUMMYFUNCTION("""COMPUTED_VALUE"""),"19991119NMDED")</f>
        <v>19991119NMDED</v>
      </c>
      <c r="B1821" s="5">
        <f ca="1">IFERROR(__xludf.DUMMYFUNCTION("""COMPUTED_VALUE"""),13)</f>
        <v>13</v>
      </c>
      <c r="C1821" s="5" t="str">
        <f ca="1">IFERROR(__xludf.DUMMYFUNCTION("""COMPUTED_VALUE"""),"Male")</f>
        <v>Male</v>
      </c>
      <c r="D1821" s="5" t="str">
        <f ca="1">IFERROR(__xludf.DUMMYFUNCTION("""COMPUTED_VALUE"""),"Hispanic")</f>
        <v>Hispanic</v>
      </c>
      <c r="E1821" s="5" t="str">
        <f ca="1">IFERROR(__xludf.DUMMYFUNCTION("""COMPUTED_VALUE"""),"Student")</f>
        <v>Student</v>
      </c>
      <c r="F1821" s="5" t="str">
        <f ca="1">IFERROR(__xludf.DUMMYFUNCTION("""COMPUTED_VALUE"""),"Surrendered")</f>
        <v>Surrendered</v>
      </c>
      <c r="G1821" s="5" t="str">
        <f ca="1">IFERROR(__xludf.DUMMYFUNCTION("""COMPUTED_VALUE"""),"No")</f>
        <v>No</v>
      </c>
      <c r="H1821" s="5" t="str">
        <f ca="1">IFERROR(__xludf.DUMMYFUNCTION("""COMPUTED_VALUE"""),"None")</f>
        <v>None</v>
      </c>
    </row>
    <row r="1822" spans="1:8" ht="13">
      <c r="A1822" s="5" t="str">
        <f ca="1">IFERROR(__xludf.DUMMYFUNCTION("""COMPUTED_VALUE"""),"19991117TXDID")</f>
        <v>19991117TXDID</v>
      </c>
      <c r="B1822" s="5">
        <f ca="1">IFERROR(__xludf.DUMMYFUNCTION("""COMPUTED_VALUE"""),16)</f>
        <v>16</v>
      </c>
      <c r="C1822" s="5" t="str">
        <f ca="1">IFERROR(__xludf.DUMMYFUNCTION("""COMPUTED_VALUE"""),"Male")</f>
        <v>Male</v>
      </c>
      <c r="D1822" s="5"/>
      <c r="E1822" s="5" t="str">
        <f ca="1">IFERROR(__xludf.DUMMYFUNCTION("""COMPUTED_VALUE"""),"Student")</f>
        <v>Student</v>
      </c>
      <c r="F1822" s="5" t="str">
        <f ca="1">IFERROR(__xludf.DUMMYFUNCTION("""COMPUTED_VALUE"""),"Fled/Apprehended")</f>
        <v>Fled/Apprehended</v>
      </c>
      <c r="G1822" s="5" t="str">
        <f ca="1">IFERROR(__xludf.DUMMYFUNCTION("""COMPUTED_VALUE"""),"No")</f>
        <v>No</v>
      </c>
      <c r="H1822" s="5" t="str">
        <f ca="1">IFERROR(__xludf.DUMMYFUNCTION("""COMPUTED_VALUE"""),"None")</f>
        <v>None</v>
      </c>
    </row>
    <row r="1823" spans="1:8" ht="13">
      <c r="A1823" s="5" t="str">
        <f ca="1">IFERROR(__xludf.DUMMYFUNCTION("""COMPUTED_VALUE"""),"19991026WVGUB")</f>
        <v>19991026WVGUB</v>
      </c>
      <c r="B1823" s="5">
        <f ca="1">IFERROR(__xludf.DUMMYFUNCTION("""COMPUTED_VALUE"""),66)</f>
        <v>66</v>
      </c>
      <c r="C1823" s="5" t="str">
        <f ca="1">IFERROR(__xludf.DUMMYFUNCTION("""COMPUTED_VALUE"""),"Male")</f>
        <v>Male</v>
      </c>
      <c r="D1823" s="5"/>
      <c r="E1823" s="5" t="str">
        <f ca="1">IFERROR(__xludf.DUMMYFUNCTION("""COMPUTED_VALUE"""),"Other Staff")</f>
        <v>Other Staff</v>
      </c>
      <c r="F1823" s="5" t="str">
        <f ca="1">IFERROR(__xludf.DUMMYFUNCTION("""COMPUTED_VALUE"""),"Suicide")</f>
        <v>Suicide</v>
      </c>
      <c r="G1823" s="5" t="str">
        <f ca="1">IFERROR(__xludf.DUMMYFUNCTION("""COMPUTED_VALUE"""),"Yes")</f>
        <v>Yes</v>
      </c>
      <c r="H1823" s="5" t="str">
        <f ca="1">IFERROR(__xludf.DUMMYFUNCTION("""COMPUTED_VALUE"""),"Suicide")</f>
        <v>Suicide</v>
      </c>
    </row>
    <row r="1824" spans="1:8" ht="13">
      <c r="A1824" s="5" t="str">
        <f ca="1">IFERROR(__xludf.DUMMYFUNCTION("""COMPUTED_VALUE"""),"19991026PAMAP")</f>
        <v>19991026PAMAP</v>
      </c>
      <c r="B1824" s="5">
        <f ca="1">IFERROR(__xludf.DUMMYFUNCTION("""COMPUTED_VALUE"""),19)</f>
        <v>19</v>
      </c>
      <c r="C1824" s="5" t="str">
        <f ca="1">IFERROR(__xludf.DUMMYFUNCTION("""COMPUTED_VALUE"""),"Male")</f>
        <v>Male</v>
      </c>
      <c r="D1824" s="5"/>
      <c r="E1824" s="5" t="str">
        <f ca="1">IFERROR(__xludf.DUMMYFUNCTION("""COMPUTED_VALUE"""),"Former Student")</f>
        <v>Former Student</v>
      </c>
      <c r="F1824" s="5" t="str">
        <f ca="1">IFERROR(__xludf.DUMMYFUNCTION("""COMPUTED_VALUE"""),"Fled/Apprehended")</f>
        <v>Fled/Apprehended</v>
      </c>
      <c r="G1824" s="5" t="str">
        <f ca="1">IFERROR(__xludf.DUMMYFUNCTION("""COMPUTED_VALUE"""),"No")</f>
        <v>No</v>
      </c>
      <c r="H1824" s="5" t="str">
        <f ca="1">IFERROR(__xludf.DUMMYFUNCTION("""COMPUTED_VALUE"""),"None")</f>
        <v>None</v>
      </c>
    </row>
    <row r="1825" spans="1:8" ht="13">
      <c r="A1825" s="5" t="str">
        <f ca="1">IFERROR(__xludf.DUMMYFUNCTION("""COMPUTED_VALUE"""),"19991021CASAP")</f>
        <v>19991021CASAP</v>
      </c>
      <c r="B1825" s="5" t="str">
        <f ca="1">IFERROR(__xludf.DUMMYFUNCTION("""COMPUTED_VALUE"""),"Teen")</f>
        <v>Teen</v>
      </c>
      <c r="C1825" s="5" t="str">
        <f ca="1">IFERROR(__xludf.DUMMYFUNCTION("""COMPUTED_VALUE"""),"Male")</f>
        <v>Male</v>
      </c>
      <c r="D1825" s="5"/>
      <c r="E1825" s="5" t="str">
        <f ca="1">IFERROR(__xludf.DUMMYFUNCTION("""COMPUTED_VALUE"""),"Unknown")</f>
        <v>Unknown</v>
      </c>
      <c r="F1825" s="5" t="str">
        <f ca="1">IFERROR(__xludf.DUMMYFUNCTION("""COMPUTED_VALUE"""),"Fled/Escaped")</f>
        <v>Fled/Escaped</v>
      </c>
      <c r="G1825" s="5" t="str">
        <f ca="1">IFERROR(__xludf.DUMMYFUNCTION("""COMPUTED_VALUE"""),"No")</f>
        <v>No</v>
      </c>
      <c r="H1825" s="5" t="str">
        <f ca="1">IFERROR(__xludf.DUMMYFUNCTION("""COMPUTED_VALUE"""),"None")</f>
        <v>None</v>
      </c>
    </row>
    <row r="1826" spans="1:8" ht="13">
      <c r="A1826" s="5" t="str">
        <f ca="1">IFERROR(__xludf.DUMMYFUNCTION("""COMPUTED_VALUE"""),"19991011NVCLL")</f>
        <v>19991011NVCLL</v>
      </c>
      <c r="B1826" s="5">
        <f ca="1">IFERROR(__xludf.DUMMYFUNCTION("""COMPUTED_VALUE"""),18)</f>
        <v>18</v>
      </c>
      <c r="C1826" s="5" t="str">
        <f ca="1">IFERROR(__xludf.DUMMYFUNCTION("""COMPUTED_VALUE"""),"Male")</f>
        <v>Male</v>
      </c>
      <c r="D1826" s="5" t="str">
        <f ca="1">IFERROR(__xludf.DUMMYFUNCTION("""COMPUTED_VALUE"""),"Hispanic")</f>
        <v>Hispanic</v>
      </c>
      <c r="E1826" s="5" t="str">
        <f ca="1">IFERROR(__xludf.DUMMYFUNCTION("""COMPUTED_VALUE"""),"Unknown")</f>
        <v>Unknown</v>
      </c>
      <c r="F1826" s="5" t="str">
        <f ca="1">IFERROR(__xludf.DUMMYFUNCTION("""COMPUTED_VALUE"""),"Fled/Apprehended")</f>
        <v>Fled/Apprehended</v>
      </c>
      <c r="G1826" s="5" t="str">
        <f ca="1">IFERROR(__xludf.DUMMYFUNCTION("""COMPUTED_VALUE"""),"No")</f>
        <v>No</v>
      </c>
      <c r="H1826" s="5" t="str">
        <f ca="1">IFERROR(__xludf.DUMMYFUNCTION("""COMPUTED_VALUE"""),"None")</f>
        <v>None</v>
      </c>
    </row>
    <row r="1827" spans="1:8" ht="13">
      <c r="A1827" s="5" t="str">
        <f ca="1">IFERROR(__xludf.DUMMYFUNCTION("""COMPUTED_VALUE"""),"19991004SDJOP")</f>
        <v>19991004SDJOP</v>
      </c>
      <c r="B1827" s="5">
        <f ca="1">IFERROR(__xludf.DUMMYFUNCTION("""COMPUTED_VALUE"""),17)</f>
        <v>17</v>
      </c>
      <c r="C1827" s="5" t="str">
        <f ca="1">IFERROR(__xludf.DUMMYFUNCTION("""COMPUTED_VALUE"""),"Male")</f>
        <v>Male</v>
      </c>
      <c r="D1827" s="5"/>
      <c r="E1827" s="5" t="str">
        <f ca="1">IFERROR(__xludf.DUMMYFUNCTION("""COMPUTED_VALUE"""),"Student")</f>
        <v>Student</v>
      </c>
      <c r="F1827" s="5" t="str">
        <f ca="1">IFERROR(__xludf.DUMMYFUNCTION("""COMPUTED_VALUE"""),"Fled/Apprehended")</f>
        <v>Fled/Apprehended</v>
      </c>
      <c r="G1827" s="5" t="str">
        <f ca="1">IFERROR(__xludf.DUMMYFUNCTION("""COMPUTED_VALUE"""),"No")</f>
        <v>No</v>
      </c>
      <c r="H1827" s="5" t="str">
        <f ca="1">IFERROR(__xludf.DUMMYFUNCTION("""COMPUTED_VALUE"""),"None")</f>
        <v>None</v>
      </c>
    </row>
    <row r="1828" spans="1:8" ht="13">
      <c r="A1828" s="5" t="str">
        <f ca="1">IFERROR(__xludf.DUMMYFUNCTION("""COMPUTED_VALUE"""),"19990927FLEGT")</f>
        <v>19990927FLEGT</v>
      </c>
      <c r="B1828" s="5"/>
      <c r="C1828" s="5"/>
      <c r="D1828" s="5"/>
      <c r="E1828" s="5" t="str">
        <f ca="1">IFERROR(__xludf.DUMMYFUNCTION("""COMPUTED_VALUE"""),"Unknown")</f>
        <v>Unknown</v>
      </c>
      <c r="F1828" s="5" t="str">
        <f ca="1">IFERROR(__xludf.DUMMYFUNCTION("""COMPUTED_VALUE"""),"Unknown")</f>
        <v>Unknown</v>
      </c>
      <c r="G1828" s="5" t="str">
        <f ca="1">IFERROR(__xludf.DUMMYFUNCTION("""COMPUTED_VALUE"""),"No")</f>
        <v>No</v>
      </c>
      <c r="H1828" s="5" t="str">
        <f ca="1">IFERROR(__xludf.DUMMYFUNCTION("""COMPUTED_VALUE"""),"None")</f>
        <v>None</v>
      </c>
    </row>
    <row r="1829" spans="1:8" ht="13">
      <c r="A1829" s="5" t="str">
        <f ca="1">IFERROR(__xludf.DUMMYFUNCTION("""COMPUTED_VALUE"""),"19990909CASAS")</f>
        <v>19990909CASAS</v>
      </c>
      <c r="B1829" s="5">
        <f ca="1">IFERROR(__xludf.DUMMYFUNCTION("""COMPUTED_VALUE"""),16)</f>
        <v>16</v>
      </c>
      <c r="C1829" s="5" t="str">
        <f ca="1">IFERROR(__xludf.DUMMYFUNCTION("""COMPUTED_VALUE"""),"Male")</f>
        <v>Male</v>
      </c>
      <c r="D1829" s="5"/>
      <c r="E1829" s="5" t="str">
        <f ca="1">IFERROR(__xludf.DUMMYFUNCTION("""COMPUTED_VALUE"""),"Student")</f>
        <v>Student</v>
      </c>
      <c r="F1829" s="5" t="str">
        <f ca="1">IFERROR(__xludf.DUMMYFUNCTION("""COMPUTED_VALUE"""),"Suicide")</f>
        <v>Suicide</v>
      </c>
      <c r="G1829" s="5" t="str">
        <f ca="1">IFERROR(__xludf.DUMMYFUNCTION("""COMPUTED_VALUE"""),"Yes")</f>
        <v>Yes</v>
      </c>
      <c r="H1829" s="5" t="str">
        <f ca="1">IFERROR(__xludf.DUMMYFUNCTION("""COMPUTED_VALUE"""),"Suicide")</f>
        <v>Suicide</v>
      </c>
    </row>
    <row r="1830" spans="1:8" ht="13">
      <c r="A1830" s="5" t="str">
        <f ca="1">IFERROR(__xludf.DUMMYFUNCTION("""COMPUTED_VALUE"""),"19990825GAJAM")</f>
        <v>19990825GAJAM</v>
      </c>
      <c r="B1830" s="5">
        <f ca="1">IFERROR(__xludf.DUMMYFUNCTION("""COMPUTED_VALUE"""),16)</f>
        <v>16</v>
      </c>
      <c r="C1830" s="5" t="str">
        <f ca="1">IFERROR(__xludf.DUMMYFUNCTION("""COMPUTED_VALUE"""),"Female")</f>
        <v>Female</v>
      </c>
      <c r="D1830" s="5"/>
      <c r="E1830" s="5" t="str">
        <f ca="1">IFERROR(__xludf.DUMMYFUNCTION("""COMPUTED_VALUE"""),"Student")</f>
        <v>Student</v>
      </c>
      <c r="F1830" s="5" t="str">
        <f ca="1">IFERROR(__xludf.DUMMYFUNCTION("""COMPUTED_VALUE"""),"Suicide")</f>
        <v>Suicide</v>
      </c>
      <c r="G1830" s="5" t="str">
        <f ca="1">IFERROR(__xludf.DUMMYFUNCTION("""COMPUTED_VALUE"""),"Yes")</f>
        <v>Yes</v>
      </c>
      <c r="H1830" s="5" t="str">
        <f ca="1">IFERROR(__xludf.DUMMYFUNCTION("""COMPUTED_VALUE"""),"Suicide")</f>
        <v>Suicide</v>
      </c>
    </row>
    <row r="1831" spans="1:8" ht="13">
      <c r="A1831" s="5" t="str">
        <f ca="1">IFERROR(__xludf.DUMMYFUNCTION("""COMPUTED_VALUE"""),"19990520GAHEC")</f>
        <v>19990520GAHEC</v>
      </c>
      <c r="B1831" s="5">
        <f ca="1">IFERROR(__xludf.DUMMYFUNCTION("""COMPUTED_VALUE"""),15)</f>
        <v>15</v>
      </c>
      <c r="C1831" s="5" t="str">
        <f ca="1">IFERROR(__xludf.DUMMYFUNCTION("""COMPUTED_VALUE"""),"Male")</f>
        <v>Male</v>
      </c>
      <c r="D1831" s="5" t="str">
        <f ca="1">IFERROR(__xludf.DUMMYFUNCTION("""COMPUTED_VALUE"""),"White")</f>
        <v>White</v>
      </c>
      <c r="E1831" s="5" t="str">
        <f ca="1">IFERROR(__xludf.DUMMYFUNCTION("""COMPUTED_VALUE"""),"Student")</f>
        <v>Student</v>
      </c>
      <c r="F1831" s="5" t="str">
        <f ca="1">IFERROR(__xludf.DUMMYFUNCTION("""COMPUTED_VALUE"""),"Fled/Apprehended")</f>
        <v>Fled/Apprehended</v>
      </c>
      <c r="G1831" s="5" t="str">
        <f ca="1">IFERROR(__xludf.DUMMYFUNCTION("""COMPUTED_VALUE"""),"No")</f>
        <v>No</v>
      </c>
      <c r="H1831" s="5" t="str">
        <f ca="1">IFERROR(__xludf.DUMMYFUNCTION("""COMPUTED_VALUE"""),"None")</f>
        <v>None</v>
      </c>
    </row>
    <row r="1832" spans="1:8" ht="13">
      <c r="A1832" s="5" t="str">
        <f ca="1">IFERROR(__xludf.DUMMYFUNCTION("""COMPUTED_VALUE"""),"19990422LASCB")</f>
        <v>19990422LASCB</v>
      </c>
      <c r="B1832" s="5">
        <f ca="1">IFERROR(__xludf.DUMMYFUNCTION("""COMPUTED_VALUE"""),14)</f>
        <v>14</v>
      </c>
      <c r="C1832" s="5" t="str">
        <f ca="1">IFERROR(__xludf.DUMMYFUNCTION("""COMPUTED_VALUE"""),"Male")</f>
        <v>Male</v>
      </c>
      <c r="D1832" s="5"/>
      <c r="E1832" s="5" t="str">
        <f ca="1">IFERROR(__xludf.DUMMYFUNCTION("""COMPUTED_VALUE"""),"Former Student")</f>
        <v>Former Student</v>
      </c>
      <c r="F1832" s="5" t="str">
        <f ca="1">IFERROR(__xludf.DUMMYFUNCTION("""COMPUTED_VALUE"""),"Fled/Apprehended")</f>
        <v>Fled/Apprehended</v>
      </c>
      <c r="G1832" s="5" t="str">
        <f ca="1">IFERROR(__xludf.DUMMYFUNCTION("""COMPUTED_VALUE"""),"No")</f>
        <v>No</v>
      </c>
      <c r="H1832" s="5" t="str">
        <f ca="1">IFERROR(__xludf.DUMMYFUNCTION("""COMPUTED_VALUE"""),"None")</f>
        <v>None</v>
      </c>
    </row>
    <row r="1833" spans="1:8" ht="13">
      <c r="A1833" s="5" t="str">
        <f ca="1">IFERROR(__xludf.DUMMYFUNCTION("""COMPUTED_VALUE"""),"19990422GAMAA")</f>
        <v>19990422GAMAA</v>
      </c>
      <c r="B1833" s="5">
        <f ca="1">IFERROR(__xludf.DUMMYFUNCTION("""COMPUTED_VALUE"""),17)</f>
        <v>17</v>
      </c>
      <c r="C1833" s="5" t="str">
        <f ca="1">IFERROR(__xludf.DUMMYFUNCTION("""COMPUTED_VALUE"""),"Male")</f>
        <v>Male</v>
      </c>
      <c r="D1833" s="5"/>
      <c r="E1833" s="5" t="str">
        <f ca="1">IFERROR(__xludf.DUMMYFUNCTION("""COMPUTED_VALUE"""),"Student")</f>
        <v>Student</v>
      </c>
      <c r="F1833" s="5" t="str">
        <f ca="1">IFERROR(__xludf.DUMMYFUNCTION("""COMPUTED_VALUE"""),"Fled/Apprehended")</f>
        <v>Fled/Apprehended</v>
      </c>
      <c r="G1833" s="5" t="str">
        <f ca="1">IFERROR(__xludf.DUMMYFUNCTION("""COMPUTED_VALUE"""),"No")</f>
        <v>No</v>
      </c>
      <c r="H1833" s="5" t="str">
        <f ca="1">IFERROR(__xludf.DUMMYFUNCTION("""COMPUTED_VALUE"""),"None")</f>
        <v>None</v>
      </c>
    </row>
    <row r="1834" spans="1:8" ht="13">
      <c r="A1834" s="5" t="str">
        <f ca="1">IFERROR(__xludf.DUMMYFUNCTION("""COMPUTED_VALUE"""),"19990420COCOL")</f>
        <v>19990420COCOL</v>
      </c>
      <c r="B1834" s="5">
        <f ca="1">IFERROR(__xludf.DUMMYFUNCTION("""COMPUTED_VALUE"""),17)</f>
        <v>17</v>
      </c>
      <c r="C1834" s="5" t="str">
        <f ca="1">IFERROR(__xludf.DUMMYFUNCTION("""COMPUTED_VALUE"""),"Male")</f>
        <v>Male</v>
      </c>
      <c r="D1834" s="5" t="str">
        <f ca="1">IFERROR(__xludf.DUMMYFUNCTION("""COMPUTED_VALUE"""),"White")</f>
        <v>White</v>
      </c>
      <c r="E1834" s="5" t="str">
        <f ca="1">IFERROR(__xludf.DUMMYFUNCTION("""COMPUTED_VALUE"""),"Student")</f>
        <v>Student</v>
      </c>
      <c r="F1834" s="5" t="str">
        <f ca="1">IFERROR(__xludf.DUMMYFUNCTION("""COMPUTED_VALUE"""),"Suicide")</f>
        <v>Suicide</v>
      </c>
      <c r="G1834" s="5" t="str">
        <f ca="1">IFERROR(__xludf.DUMMYFUNCTION("""COMPUTED_VALUE"""),"Yes")</f>
        <v>Yes</v>
      </c>
      <c r="H1834" s="5" t="str">
        <f ca="1">IFERROR(__xludf.DUMMYFUNCTION("""COMPUTED_VALUE"""),"Suicide")</f>
        <v>Suicide</v>
      </c>
    </row>
    <row r="1835" spans="1:8" ht="13">
      <c r="A1835" s="5" t="str">
        <f ca="1">IFERROR(__xludf.DUMMYFUNCTION("""COMPUTED_VALUE"""),"19990420COCOL")</f>
        <v>19990420COCOL</v>
      </c>
      <c r="B1835" s="5">
        <f ca="1">IFERROR(__xludf.DUMMYFUNCTION("""COMPUTED_VALUE"""),18)</f>
        <v>18</v>
      </c>
      <c r="C1835" s="5" t="str">
        <f ca="1">IFERROR(__xludf.DUMMYFUNCTION("""COMPUTED_VALUE"""),"Male")</f>
        <v>Male</v>
      </c>
      <c r="D1835" s="5" t="str">
        <f ca="1">IFERROR(__xludf.DUMMYFUNCTION("""COMPUTED_VALUE"""),"White")</f>
        <v>White</v>
      </c>
      <c r="E1835" s="5" t="str">
        <f ca="1">IFERROR(__xludf.DUMMYFUNCTION("""COMPUTED_VALUE"""),"Student")</f>
        <v>Student</v>
      </c>
      <c r="F1835" s="5" t="str">
        <f ca="1">IFERROR(__xludf.DUMMYFUNCTION("""COMPUTED_VALUE"""),"Suicide")</f>
        <v>Suicide</v>
      </c>
      <c r="G1835" s="5" t="str">
        <f ca="1">IFERROR(__xludf.DUMMYFUNCTION("""COMPUTED_VALUE"""),"Yes")</f>
        <v>Yes</v>
      </c>
      <c r="H1835" s="5" t="str">
        <f ca="1">IFERROR(__xludf.DUMMYFUNCTION("""COMPUTED_VALUE"""),"Suicide")</f>
        <v>Suicide</v>
      </c>
    </row>
    <row r="1836" spans="1:8" ht="13">
      <c r="A1836" s="5" t="str">
        <f ca="1">IFERROR(__xludf.DUMMYFUNCTION("""COMPUTED_VALUE"""),"19990416IDNON")</f>
        <v>19990416IDNON</v>
      </c>
      <c r="B1836" s="5">
        <f ca="1">IFERROR(__xludf.DUMMYFUNCTION("""COMPUTED_VALUE"""),16)</f>
        <v>16</v>
      </c>
      <c r="C1836" s="5" t="str">
        <f ca="1">IFERROR(__xludf.DUMMYFUNCTION("""COMPUTED_VALUE"""),"Male")</f>
        <v>Male</v>
      </c>
      <c r="D1836" s="5" t="str">
        <f ca="1">IFERROR(__xludf.DUMMYFUNCTION("""COMPUTED_VALUE"""),"White")</f>
        <v>White</v>
      </c>
      <c r="E1836" s="5" t="str">
        <f ca="1">IFERROR(__xludf.DUMMYFUNCTION("""COMPUTED_VALUE"""),"Student")</f>
        <v>Student</v>
      </c>
      <c r="F1836" s="5" t="str">
        <f ca="1">IFERROR(__xludf.DUMMYFUNCTION("""COMPUTED_VALUE"""),"Surrendered")</f>
        <v>Surrendered</v>
      </c>
      <c r="G1836" s="5" t="str">
        <f ca="1">IFERROR(__xludf.DUMMYFUNCTION("""COMPUTED_VALUE"""),"No")</f>
        <v>No</v>
      </c>
      <c r="H1836" s="5" t="str">
        <f ca="1">IFERROR(__xludf.DUMMYFUNCTION("""COMPUTED_VALUE"""),"None")</f>
        <v>None</v>
      </c>
    </row>
    <row r="1837" spans="1:8" ht="13">
      <c r="A1837" s="5" t="str">
        <f ca="1">IFERROR(__xludf.DUMMYFUNCTION("""COMPUTED_VALUE"""),"19990304ILNIS")</f>
        <v>19990304ILNIS</v>
      </c>
      <c r="B1837" s="5">
        <f ca="1">IFERROR(__xludf.DUMMYFUNCTION("""COMPUTED_VALUE"""),26)</f>
        <v>26</v>
      </c>
      <c r="C1837" s="5" t="str">
        <f ca="1">IFERROR(__xludf.DUMMYFUNCTION("""COMPUTED_VALUE"""),"Male")</f>
        <v>Male</v>
      </c>
      <c r="D1837" s="5"/>
      <c r="E1837" s="5" t="str">
        <f ca="1">IFERROR(__xludf.DUMMYFUNCTION("""COMPUTED_VALUE"""),"Nonstudent Using Athletic Facilities/Attending Game")</f>
        <v>Nonstudent Using Athletic Facilities/Attending Game</v>
      </c>
      <c r="F1837" s="5" t="str">
        <f ca="1">IFERROR(__xludf.DUMMYFUNCTION("""COMPUTED_VALUE"""),"Fled/Escaped")</f>
        <v>Fled/Escaped</v>
      </c>
      <c r="G1837" s="5" t="str">
        <f ca="1">IFERROR(__xludf.DUMMYFUNCTION("""COMPUTED_VALUE"""),"Yes")</f>
        <v>Yes</v>
      </c>
      <c r="H1837" s="5" t="str">
        <f ca="1">IFERROR(__xludf.DUMMYFUNCTION("""COMPUTED_VALUE"""),"Suicide")</f>
        <v>Suicide</v>
      </c>
    </row>
    <row r="1838" spans="1:8" ht="13">
      <c r="A1838" s="5" t="str">
        <f ca="1">IFERROR(__xludf.DUMMYFUNCTION("""COMPUTED_VALUE"""),"19990211MSJEP")</f>
        <v>19990211MSJEP</v>
      </c>
      <c r="B1838" s="5">
        <f ca="1">IFERROR(__xludf.DUMMYFUNCTION("""COMPUTED_VALUE"""),44)</f>
        <v>44</v>
      </c>
      <c r="C1838" s="5" t="str">
        <f ca="1">IFERROR(__xludf.DUMMYFUNCTION("""COMPUTED_VALUE"""),"Male")</f>
        <v>Male</v>
      </c>
      <c r="D1838" s="5"/>
      <c r="E1838" s="5" t="str">
        <f ca="1">IFERROR(__xludf.DUMMYFUNCTION("""COMPUTED_VALUE"""),"Unknown")</f>
        <v>Unknown</v>
      </c>
      <c r="F1838" s="5" t="str">
        <f ca="1">IFERROR(__xludf.DUMMYFUNCTION("""COMPUTED_VALUE"""),"Surrendered")</f>
        <v>Surrendered</v>
      </c>
      <c r="G1838" s="5" t="str">
        <f ca="1">IFERROR(__xludf.DUMMYFUNCTION("""COMPUTED_VALUE"""),"No")</f>
        <v>No</v>
      </c>
      <c r="H1838" s="5" t="str">
        <f ca="1">IFERROR(__xludf.DUMMYFUNCTION("""COMPUTED_VALUE"""),"None")</f>
        <v>None</v>
      </c>
    </row>
    <row r="1839" spans="1:8" ht="13">
      <c r="A1839" s="5" t="str">
        <f ca="1">IFERROR(__xludf.DUMMYFUNCTION("""COMPUTED_VALUE"""),"19990211ILOME")</f>
        <v>19990211ILOME</v>
      </c>
      <c r="B1839" s="5"/>
      <c r="C1839" s="5" t="str">
        <f ca="1">IFERROR(__xludf.DUMMYFUNCTION("""COMPUTED_VALUE"""),"Male")</f>
        <v>Male</v>
      </c>
      <c r="D1839" s="5"/>
      <c r="E1839" s="5" t="str">
        <f ca="1">IFERROR(__xludf.DUMMYFUNCTION("""COMPUTED_VALUE"""),"Unknown")</f>
        <v>Unknown</v>
      </c>
      <c r="F1839" s="5" t="str">
        <f ca="1">IFERROR(__xludf.DUMMYFUNCTION("""COMPUTED_VALUE"""),"Fled/Escaped")</f>
        <v>Fled/Escaped</v>
      </c>
      <c r="G1839" s="5" t="str">
        <f ca="1">IFERROR(__xludf.DUMMYFUNCTION("""COMPUTED_VALUE"""),"No")</f>
        <v>No</v>
      </c>
      <c r="H1839" s="5" t="str">
        <f ca="1">IFERROR(__xludf.DUMMYFUNCTION("""COMPUTED_VALUE"""),"None")</f>
        <v>None</v>
      </c>
    </row>
    <row r="1840" spans="1:8" ht="13">
      <c r="A1840" s="5" t="str">
        <f ca="1">IFERROR(__xludf.DUMMYFUNCTION("""COMPUTED_VALUE"""),"19990121TXRIN")</f>
        <v>19990121TXRIN</v>
      </c>
      <c r="B1840" s="5">
        <f ca="1">IFERROR(__xludf.DUMMYFUNCTION("""COMPUTED_VALUE"""),16)</f>
        <v>16</v>
      </c>
      <c r="C1840" s="5" t="str">
        <f ca="1">IFERROR(__xludf.DUMMYFUNCTION("""COMPUTED_VALUE"""),"Male")</f>
        <v>Male</v>
      </c>
      <c r="D1840" s="5"/>
      <c r="E1840" s="5" t="str">
        <f ca="1">IFERROR(__xludf.DUMMYFUNCTION("""COMPUTED_VALUE"""),"Student")</f>
        <v>Student</v>
      </c>
      <c r="F1840" s="5" t="str">
        <f ca="1">IFERROR(__xludf.DUMMYFUNCTION("""COMPUTED_VALUE"""),"Suicide")</f>
        <v>Suicide</v>
      </c>
      <c r="G1840" s="5" t="str">
        <f ca="1">IFERROR(__xludf.DUMMYFUNCTION("""COMPUTED_VALUE"""),"Yes")</f>
        <v>Yes</v>
      </c>
      <c r="H1840" s="5" t="str">
        <f ca="1">IFERROR(__xludf.DUMMYFUNCTION("""COMPUTED_VALUE"""),"Suicide")</f>
        <v>Suicide</v>
      </c>
    </row>
    <row r="1841" spans="1:8" ht="13">
      <c r="A1841" s="5" t="str">
        <f ca="1">IFERROR(__xludf.DUMMYFUNCTION("""COMPUTED_VALUE"""),"19990114NYHAN")</f>
        <v>19990114NYHAN</v>
      </c>
      <c r="B1841" s="5">
        <f ca="1">IFERROR(__xludf.DUMMYFUNCTION("""COMPUTED_VALUE"""),16)</f>
        <v>16</v>
      </c>
      <c r="C1841" s="5" t="str">
        <f ca="1">IFERROR(__xludf.DUMMYFUNCTION("""COMPUTED_VALUE"""),"Male")</f>
        <v>Male</v>
      </c>
      <c r="D1841" s="5"/>
      <c r="E1841" s="5" t="str">
        <f ca="1">IFERROR(__xludf.DUMMYFUNCTION("""COMPUTED_VALUE"""),"Unknown")</f>
        <v>Unknown</v>
      </c>
      <c r="F1841" s="5" t="str">
        <f ca="1">IFERROR(__xludf.DUMMYFUNCTION("""COMPUTED_VALUE"""),"Fled/Apprehended")</f>
        <v>Fled/Apprehended</v>
      </c>
      <c r="G1841" s="5" t="str">
        <f ca="1">IFERROR(__xludf.DUMMYFUNCTION("""COMPUTED_VALUE"""),"No")</f>
        <v>No</v>
      </c>
      <c r="H1841" s="5" t="str">
        <f ca="1">IFERROR(__xludf.DUMMYFUNCTION("""COMPUTED_VALUE"""),"None")</f>
        <v>None</v>
      </c>
    </row>
    <row r="1842" spans="1:8" ht="13">
      <c r="A1842" s="5" t="str">
        <f ca="1">IFERROR(__xludf.DUMMYFUNCTION("""COMPUTED_VALUE"""),"19990108GACEC")</f>
        <v>19990108GACEC</v>
      </c>
      <c r="B1842" s="5">
        <f ca="1">IFERROR(__xludf.DUMMYFUNCTION("""COMPUTED_VALUE"""),15)</f>
        <v>15</v>
      </c>
      <c r="C1842" s="5" t="str">
        <f ca="1">IFERROR(__xludf.DUMMYFUNCTION("""COMPUTED_VALUE"""),"Female")</f>
        <v>Female</v>
      </c>
      <c r="D1842" s="5"/>
      <c r="E1842" s="5" t="str">
        <f ca="1">IFERROR(__xludf.DUMMYFUNCTION("""COMPUTED_VALUE"""),"Student")</f>
        <v>Student</v>
      </c>
      <c r="F1842" s="5" t="str">
        <f ca="1">IFERROR(__xludf.DUMMYFUNCTION("""COMPUTED_VALUE"""),"Suicide")</f>
        <v>Suicide</v>
      </c>
      <c r="G1842" s="5" t="str">
        <f ca="1">IFERROR(__xludf.DUMMYFUNCTION("""COMPUTED_VALUE"""),"Yes")</f>
        <v>Yes</v>
      </c>
      <c r="H1842" s="5" t="str">
        <f ca="1">IFERROR(__xludf.DUMMYFUNCTION("""COMPUTED_VALUE"""),"Suicide")</f>
        <v>Suicide</v>
      </c>
    </row>
    <row r="1843" spans="1:8" ht="13">
      <c r="A1843" s="5" t="str">
        <f ca="1">IFERROR(__xludf.DUMMYFUNCTION("""COMPUTED_VALUE"""),"19990108GACEC")</f>
        <v>19990108GACEC</v>
      </c>
      <c r="B1843" s="5">
        <f ca="1">IFERROR(__xludf.DUMMYFUNCTION("""COMPUTED_VALUE"""),17)</f>
        <v>17</v>
      </c>
      <c r="C1843" s="5" t="str">
        <f ca="1">IFERROR(__xludf.DUMMYFUNCTION("""COMPUTED_VALUE"""),"Male")</f>
        <v>Male</v>
      </c>
      <c r="D1843" s="5"/>
      <c r="E1843" s="5" t="str">
        <f ca="1">IFERROR(__xludf.DUMMYFUNCTION("""COMPUTED_VALUE"""),"Student")</f>
        <v>Student</v>
      </c>
      <c r="F1843" s="5" t="str">
        <f ca="1">IFERROR(__xludf.DUMMYFUNCTION("""COMPUTED_VALUE"""),"Suicide")</f>
        <v>Suicide</v>
      </c>
      <c r="G1843" s="5" t="str">
        <f ca="1">IFERROR(__xludf.DUMMYFUNCTION("""COMPUTED_VALUE"""),"Yes")</f>
        <v>Yes</v>
      </c>
      <c r="H1843" s="5" t="str">
        <f ca="1">IFERROR(__xludf.DUMMYFUNCTION("""COMPUTED_VALUE"""),"Suicide")</f>
        <v>Suicide</v>
      </c>
    </row>
    <row r="1844" spans="1:8" ht="13">
      <c r="A1844" s="5" t="str">
        <f ca="1">IFERROR(__xludf.DUMMYFUNCTION("""COMPUTED_VALUE"""),"19981211INBEI")</f>
        <v>19981211INBEI</v>
      </c>
      <c r="B1844" s="5" t="str">
        <f ca="1">IFERROR(__xludf.DUMMYFUNCTION("""COMPUTED_VALUE"""),"Teen")</f>
        <v>Teen</v>
      </c>
      <c r="C1844" s="5" t="str">
        <f ca="1">IFERROR(__xludf.DUMMYFUNCTION("""COMPUTED_VALUE"""),"Male")</f>
        <v>Male</v>
      </c>
      <c r="D1844" s="5"/>
      <c r="E1844" s="5" t="str">
        <f ca="1">IFERROR(__xludf.DUMMYFUNCTION("""COMPUTED_VALUE"""),"Student")</f>
        <v>Student</v>
      </c>
      <c r="F1844" s="5" t="str">
        <f ca="1">IFERROR(__xludf.DUMMYFUNCTION("""COMPUTED_VALUE"""),"Unknown")</f>
        <v>Unknown</v>
      </c>
      <c r="G1844" s="5" t="str">
        <f ca="1">IFERROR(__xludf.DUMMYFUNCTION("""COMPUTED_VALUE"""),"No")</f>
        <v>No</v>
      </c>
      <c r="H1844" s="5" t="str">
        <f ca="1">IFERROR(__xludf.DUMMYFUNCTION("""COMPUTED_VALUE"""),"None")</f>
        <v>None</v>
      </c>
    </row>
    <row r="1845" spans="1:8" ht="13">
      <c r="A1845" s="5" t="str">
        <f ca="1">IFERROR(__xludf.DUMMYFUNCTION("""COMPUTED_VALUE"""),"19981203INERG")</f>
        <v>19981203INERG</v>
      </c>
      <c r="B1845" s="5">
        <f ca="1">IFERROR(__xludf.DUMMYFUNCTION("""COMPUTED_VALUE"""),36)</f>
        <v>36</v>
      </c>
      <c r="C1845" s="5" t="str">
        <f ca="1">IFERROR(__xludf.DUMMYFUNCTION("""COMPUTED_VALUE"""),"Female")</f>
        <v>Female</v>
      </c>
      <c r="D1845" s="5"/>
      <c r="E1845" s="5" t="str">
        <f ca="1">IFERROR(__xludf.DUMMYFUNCTION("""COMPUTED_VALUE"""),"Parent")</f>
        <v>Parent</v>
      </c>
      <c r="F1845" s="5" t="str">
        <f ca="1">IFERROR(__xludf.DUMMYFUNCTION("""COMPUTED_VALUE"""),"Fled/Apprehended")</f>
        <v>Fled/Apprehended</v>
      </c>
      <c r="G1845" s="5" t="str">
        <f ca="1">IFERROR(__xludf.DUMMYFUNCTION("""COMPUTED_VALUE"""),"No")</f>
        <v>No</v>
      </c>
      <c r="H1845" s="5" t="str">
        <f ca="1">IFERROR(__xludf.DUMMYFUNCTION("""COMPUTED_VALUE"""),"None")</f>
        <v>None</v>
      </c>
    </row>
    <row r="1846" spans="1:8" ht="13">
      <c r="A1846" s="5" t="str">
        <f ca="1">IFERROR(__xludf.DUMMYFUNCTION("""COMPUTED_VALUE"""),"19981130NYHAH")</f>
        <v>19981130NYHAH</v>
      </c>
      <c r="B1846" s="5">
        <f ca="1">IFERROR(__xludf.DUMMYFUNCTION("""COMPUTED_VALUE"""),14)</f>
        <v>14</v>
      </c>
      <c r="C1846" s="5" t="str">
        <f ca="1">IFERROR(__xludf.DUMMYFUNCTION("""COMPUTED_VALUE"""),"Female")</f>
        <v>Female</v>
      </c>
      <c r="D1846" s="5"/>
      <c r="E1846" s="5" t="str">
        <f ca="1">IFERROR(__xludf.DUMMYFUNCTION("""COMPUTED_VALUE"""),"Student")</f>
        <v>Student</v>
      </c>
      <c r="F1846" s="5" t="str">
        <f ca="1">IFERROR(__xludf.DUMMYFUNCTION("""COMPUTED_VALUE"""),"Suicide")</f>
        <v>Suicide</v>
      </c>
      <c r="G1846" s="5" t="str">
        <f ca="1">IFERROR(__xludf.DUMMYFUNCTION("""COMPUTED_VALUE"""),"Yes")</f>
        <v>Yes</v>
      </c>
      <c r="H1846" s="5" t="str">
        <f ca="1">IFERROR(__xludf.DUMMYFUNCTION("""COMPUTED_VALUE"""),"Suicide")</f>
        <v>Suicide</v>
      </c>
    </row>
    <row r="1847" spans="1:8" ht="13">
      <c r="A1847" s="5" t="str">
        <f ca="1">IFERROR(__xludf.DUMMYFUNCTION("""COMPUTED_VALUE"""),"19981103PAMAP")</f>
        <v>19981103PAMAP</v>
      </c>
      <c r="B1847" s="5">
        <f ca="1">IFERROR(__xludf.DUMMYFUNCTION("""COMPUTED_VALUE"""),19)</f>
        <v>19</v>
      </c>
      <c r="C1847" s="5" t="str">
        <f ca="1">IFERROR(__xludf.DUMMYFUNCTION("""COMPUTED_VALUE"""),"Male")</f>
        <v>Male</v>
      </c>
      <c r="D1847" s="5"/>
      <c r="E1847" s="5" t="str">
        <f ca="1">IFERROR(__xludf.DUMMYFUNCTION("""COMPUTED_VALUE"""),"No Relation")</f>
        <v>No Relation</v>
      </c>
      <c r="F1847" s="5" t="str">
        <f ca="1">IFERROR(__xludf.DUMMYFUNCTION("""COMPUTED_VALUE"""),"Fled/Apprehended")</f>
        <v>Fled/Apprehended</v>
      </c>
      <c r="G1847" s="5" t="str">
        <f ca="1">IFERROR(__xludf.DUMMYFUNCTION("""COMPUTED_VALUE"""),"No")</f>
        <v>No</v>
      </c>
      <c r="H1847" s="5" t="str">
        <f ca="1">IFERROR(__xludf.DUMMYFUNCTION("""COMPUTED_VALUE"""),"None")</f>
        <v>None</v>
      </c>
    </row>
    <row r="1848" spans="1:8" ht="13">
      <c r="A1848" s="5" t="str">
        <f ca="1">IFERROR(__xludf.DUMMYFUNCTION("""COMPUTED_VALUE"""),"19981103PAMAP")</f>
        <v>19981103PAMAP</v>
      </c>
      <c r="B1848" s="5">
        <f ca="1">IFERROR(__xludf.DUMMYFUNCTION("""COMPUTED_VALUE"""),17)</f>
        <v>17</v>
      </c>
      <c r="C1848" s="5" t="str">
        <f ca="1">IFERROR(__xludf.DUMMYFUNCTION("""COMPUTED_VALUE"""),"Male")</f>
        <v>Male</v>
      </c>
      <c r="D1848" s="5"/>
      <c r="E1848" s="5" t="str">
        <f ca="1">IFERROR(__xludf.DUMMYFUNCTION("""COMPUTED_VALUE"""),"No Relation")</f>
        <v>No Relation</v>
      </c>
      <c r="F1848" s="5" t="str">
        <f ca="1">IFERROR(__xludf.DUMMYFUNCTION("""COMPUTED_VALUE"""),"Fled/Apprehended")</f>
        <v>Fled/Apprehended</v>
      </c>
      <c r="G1848" s="5" t="str">
        <f ca="1">IFERROR(__xludf.DUMMYFUNCTION("""COMPUTED_VALUE"""),"No")</f>
        <v>No</v>
      </c>
      <c r="H1848" s="5" t="str">
        <f ca="1">IFERROR(__xludf.DUMMYFUNCTION("""COMPUTED_VALUE"""),"None")</f>
        <v>None</v>
      </c>
    </row>
    <row r="1849" spans="1:8" ht="13">
      <c r="A1849" s="5" t="str">
        <f ca="1">IFERROR(__xludf.DUMMYFUNCTION("""COMPUTED_VALUE"""),"19980930FLNOM")</f>
        <v>19980930FLNOM</v>
      </c>
      <c r="B1849" s="5">
        <f ca="1">IFERROR(__xludf.DUMMYFUNCTION("""COMPUTED_VALUE"""),18)</f>
        <v>18</v>
      </c>
      <c r="C1849" s="5" t="str">
        <f ca="1">IFERROR(__xludf.DUMMYFUNCTION("""COMPUTED_VALUE"""),"Male")</f>
        <v>Male</v>
      </c>
      <c r="D1849" s="5"/>
      <c r="E1849" s="5" t="str">
        <f ca="1">IFERROR(__xludf.DUMMYFUNCTION("""COMPUTED_VALUE"""),"Student")</f>
        <v>Student</v>
      </c>
      <c r="F1849" s="5" t="str">
        <f ca="1">IFERROR(__xludf.DUMMYFUNCTION("""COMPUTED_VALUE"""),"Fled/Apprehended")</f>
        <v>Fled/Apprehended</v>
      </c>
      <c r="G1849" s="5" t="str">
        <f ca="1">IFERROR(__xludf.DUMMYFUNCTION("""COMPUTED_VALUE"""),"No")</f>
        <v>No</v>
      </c>
      <c r="H1849" s="5" t="str">
        <f ca="1">IFERROR(__xludf.DUMMYFUNCTION("""COMPUTED_VALUE"""),"None")</f>
        <v>None</v>
      </c>
    </row>
    <row r="1850" spans="1:8" ht="13">
      <c r="A1850" s="5" t="str">
        <f ca="1">IFERROR(__xludf.DUMMYFUNCTION("""COMPUTED_VALUE"""),"19980930FLNOM")</f>
        <v>19980930FLNOM</v>
      </c>
      <c r="B1850" s="5">
        <f ca="1">IFERROR(__xludf.DUMMYFUNCTION("""COMPUTED_VALUE"""),17)</f>
        <v>17</v>
      </c>
      <c r="C1850" s="5" t="str">
        <f ca="1">IFERROR(__xludf.DUMMYFUNCTION("""COMPUTED_VALUE"""),"Male")</f>
        <v>Male</v>
      </c>
      <c r="D1850" s="5"/>
      <c r="E1850" s="5" t="str">
        <f ca="1">IFERROR(__xludf.DUMMYFUNCTION("""COMPUTED_VALUE"""),"Student")</f>
        <v>Student</v>
      </c>
      <c r="F1850" s="5" t="str">
        <f ca="1">IFERROR(__xludf.DUMMYFUNCTION("""COMPUTED_VALUE"""),"Fled/Apprehended")</f>
        <v>Fled/Apprehended</v>
      </c>
      <c r="G1850" s="5" t="str">
        <f ca="1">IFERROR(__xludf.DUMMYFUNCTION("""COMPUTED_VALUE"""),"No")</f>
        <v>No</v>
      </c>
      <c r="H1850" s="5" t="str">
        <f ca="1">IFERROR(__xludf.DUMMYFUNCTION("""COMPUTED_VALUE"""),"None")</f>
        <v>None</v>
      </c>
    </row>
    <row r="1851" spans="1:8" ht="13">
      <c r="A1851" s="5" t="str">
        <f ca="1">IFERROR(__xludf.DUMMYFUNCTION("""COMPUTED_VALUE"""),"19980930FLLEL")</f>
        <v>19980930FLLEL</v>
      </c>
      <c r="B1851" s="5">
        <f ca="1">IFERROR(__xludf.DUMMYFUNCTION("""COMPUTED_VALUE"""),17)</f>
        <v>17</v>
      </c>
      <c r="C1851" s="5" t="str">
        <f ca="1">IFERROR(__xludf.DUMMYFUNCTION("""COMPUTED_VALUE"""),"Male")</f>
        <v>Male</v>
      </c>
      <c r="D1851" s="5"/>
      <c r="E1851" s="5" t="str">
        <f ca="1">IFERROR(__xludf.DUMMYFUNCTION("""COMPUTED_VALUE"""),"Student")</f>
        <v>Student</v>
      </c>
      <c r="F1851" s="5" t="str">
        <f ca="1">IFERROR(__xludf.DUMMYFUNCTION("""COMPUTED_VALUE"""),"Apprehended/Killed by LE")</f>
        <v>Apprehended/Killed by LE</v>
      </c>
      <c r="G1851" s="5" t="str">
        <f ca="1">IFERROR(__xludf.DUMMYFUNCTION("""COMPUTED_VALUE"""),"No")</f>
        <v>No</v>
      </c>
      <c r="H1851" s="5" t="str">
        <f ca="1">IFERROR(__xludf.DUMMYFUNCTION("""COMPUTED_VALUE"""),"Wounded")</f>
        <v>Wounded</v>
      </c>
    </row>
    <row r="1852" spans="1:8" ht="13">
      <c r="A1852" s="5" t="str">
        <f ca="1">IFERROR(__xludf.DUMMYFUNCTION("""COMPUTED_VALUE"""),"19980911CAHEG")</f>
        <v>19980911CAHEG</v>
      </c>
      <c r="B1852" s="5">
        <f ca="1">IFERROR(__xludf.DUMMYFUNCTION("""COMPUTED_VALUE"""),17)</f>
        <v>17</v>
      </c>
      <c r="C1852" s="5" t="str">
        <f ca="1">IFERROR(__xludf.DUMMYFUNCTION("""COMPUTED_VALUE"""),"Male")</f>
        <v>Male</v>
      </c>
      <c r="D1852" s="5"/>
      <c r="E1852" s="5" t="str">
        <f ca="1">IFERROR(__xludf.DUMMYFUNCTION("""COMPUTED_VALUE"""),"Unknown")</f>
        <v>Unknown</v>
      </c>
      <c r="F1852" s="5" t="str">
        <f ca="1">IFERROR(__xludf.DUMMYFUNCTION("""COMPUTED_VALUE"""),"Fled/Apprehended")</f>
        <v>Fled/Apprehended</v>
      </c>
      <c r="G1852" s="5" t="str">
        <f ca="1">IFERROR(__xludf.DUMMYFUNCTION("""COMPUTED_VALUE"""),"No")</f>
        <v>No</v>
      </c>
      <c r="H1852" s="5" t="str">
        <f ca="1">IFERROR(__xludf.DUMMYFUNCTION("""COMPUTED_VALUE"""),"None")</f>
        <v>None</v>
      </c>
    </row>
    <row r="1853" spans="1:8" ht="13">
      <c r="A1853" s="5" t="str">
        <f ca="1">IFERROR(__xludf.DUMMYFUNCTION("""COMPUTED_VALUE"""),"19980615VAARR")</f>
        <v>19980615VAARR</v>
      </c>
      <c r="B1853" s="5">
        <f ca="1">IFERROR(__xludf.DUMMYFUNCTION("""COMPUTED_VALUE"""),15)</f>
        <v>15</v>
      </c>
      <c r="C1853" s="5" t="str">
        <f ca="1">IFERROR(__xludf.DUMMYFUNCTION("""COMPUTED_VALUE"""),"Male")</f>
        <v>Male</v>
      </c>
      <c r="D1853" s="5"/>
      <c r="E1853" s="5" t="str">
        <f ca="1">IFERROR(__xludf.DUMMYFUNCTION("""COMPUTED_VALUE"""),"Student")</f>
        <v>Student</v>
      </c>
      <c r="F1853" s="5" t="str">
        <f ca="1">IFERROR(__xludf.DUMMYFUNCTION("""COMPUTED_VALUE"""),"Fled/Apprehended")</f>
        <v>Fled/Apprehended</v>
      </c>
      <c r="G1853" s="5" t="str">
        <f ca="1">IFERROR(__xludf.DUMMYFUNCTION("""COMPUTED_VALUE"""),"No")</f>
        <v>No</v>
      </c>
      <c r="H1853" s="5" t="str">
        <f ca="1">IFERROR(__xludf.DUMMYFUNCTION("""COMPUTED_VALUE"""),"None")</f>
        <v>None</v>
      </c>
    </row>
    <row r="1854" spans="1:8" ht="13">
      <c r="A1854" s="5" t="str">
        <f ca="1">IFERROR(__xludf.DUMMYFUNCTION("""COMPUTED_VALUE"""),"19980529FLSTF")</f>
        <v>19980529FLSTF</v>
      </c>
      <c r="B1854" s="5">
        <f ca="1">IFERROR(__xludf.DUMMYFUNCTION("""COMPUTED_VALUE"""),29)</f>
        <v>29</v>
      </c>
      <c r="C1854" s="5" t="str">
        <f ca="1">IFERROR(__xludf.DUMMYFUNCTION("""COMPUTED_VALUE"""),"Male")</f>
        <v>Male</v>
      </c>
      <c r="D1854" s="5" t="str">
        <f ca="1">IFERROR(__xludf.DUMMYFUNCTION("""COMPUTED_VALUE"""),"White")</f>
        <v>White</v>
      </c>
      <c r="E1854" s="5" t="str">
        <f ca="1">IFERROR(__xludf.DUMMYFUNCTION("""COMPUTED_VALUE"""),"Intimate Relationship")</f>
        <v>Intimate Relationship</v>
      </c>
      <c r="F1854" s="5" t="str">
        <f ca="1">IFERROR(__xludf.DUMMYFUNCTION("""COMPUTED_VALUE"""),"Suicide")</f>
        <v>Suicide</v>
      </c>
      <c r="G1854" s="5" t="str">
        <f ca="1">IFERROR(__xludf.DUMMYFUNCTION("""COMPUTED_VALUE"""),"Yes")</f>
        <v>Yes</v>
      </c>
      <c r="H1854" s="5" t="str">
        <f ca="1">IFERROR(__xludf.DUMMYFUNCTION("""COMPUTED_VALUE"""),"Suicide")</f>
        <v>Suicide</v>
      </c>
    </row>
    <row r="1855" spans="1:8" ht="13">
      <c r="A1855" s="5" t="str">
        <f ca="1">IFERROR(__xludf.DUMMYFUNCTION("""COMPUTED_VALUE"""),"19980527CAWAP")</f>
        <v>19980527CAWAP</v>
      </c>
      <c r="B1855" s="5"/>
      <c r="C1855" s="5" t="str">
        <f ca="1">IFERROR(__xludf.DUMMYFUNCTION("""COMPUTED_VALUE"""),"Male")</f>
        <v>Male</v>
      </c>
      <c r="D1855" s="5"/>
      <c r="E1855" s="5" t="str">
        <f ca="1">IFERROR(__xludf.DUMMYFUNCTION("""COMPUTED_VALUE"""),"Unknown")</f>
        <v>Unknown</v>
      </c>
      <c r="F1855" s="5" t="str">
        <f ca="1">IFERROR(__xludf.DUMMYFUNCTION("""COMPUTED_VALUE"""),"Fled/Escaped")</f>
        <v>Fled/Escaped</v>
      </c>
      <c r="G1855" s="5" t="str">
        <f ca="1">IFERROR(__xludf.DUMMYFUNCTION("""COMPUTED_VALUE"""),"No")</f>
        <v>No</v>
      </c>
      <c r="H1855" s="5" t="str">
        <f ca="1">IFERROR(__xludf.DUMMYFUNCTION("""COMPUTED_VALUE"""),"None")</f>
        <v>None</v>
      </c>
    </row>
    <row r="1856" spans="1:8" ht="13">
      <c r="A1856" s="5" t="str">
        <f ca="1">IFERROR(__xludf.DUMMYFUNCTION("""COMPUTED_VALUE"""),"19980521WAONO")</f>
        <v>19980521WAONO</v>
      </c>
      <c r="B1856" s="5">
        <f ca="1">IFERROR(__xludf.DUMMYFUNCTION("""COMPUTED_VALUE"""),14)</f>
        <v>14</v>
      </c>
      <c r="C1856" s="5" t="str">
        <f ca="1">IFERROR(__xludf.DUMMYFUNCTION("""COMPUTED_VALUE"""),"Male")</f>
        <v>Male</v>
      </c>
      <c r="D1856" s="5"/>
      <c r="E1856" s="5" t="str">
        <f ca="1">IFERROR(__xludf.DUMMYFUNCTION("""COMPUTED_VALUE"""),"Student")</f>
        <v>Student</v>
      </c>
      <c r="F1856" s="5" t="str">
        <f ca="1">IFERROR(__xludf.DUMMYFUNCTION("""COMPUTED_VALUE"""),"Suicide")</f>
        <v>Suicide</v>
      </c>
      <c r="G1856" s="5" t="str">
        <f ca="1">IFERROR(__xludf.DUMMYFUNCTION("""COMPUTED_VALUE"""),"Yes")</f>
        <v>Yes</v>
      </c>
      <c r="H1856" s="5" t="str">
        <f ca="1">IFERROR(__xludf.DUMMYFUNCTION("""COMPUTED_VALUE"""),"Suicide")</f>
        <v>Suicide</v>
      </c>
    </row>
    <row r="1857" spans="1:8" ht="13">
      <c r="A1857" s="5" t="str">
        <f ca="1">IFERROR(__xludf.DUMMYFUNCTION("""COMPUTED_VALUE"""),"19980521ORTHS")</f>
        <v>19980521ORTHS</v>
      </c>
      <c r="B1857" s="5">
        <f ca="1">IFERROR(__xludf.DUMMYFUNCTION("""COMPUTED_VALUE"""),15)</f>
        <v>15</v>
      </c>
      <c r="C1857" s="5" t="str">
        <f ca="1">IFERROR(__xludf.DUMMYFUNCTION("""COMPUTED_VALUE"""),"Male")</f>
        <v>Male</v>
      </c>
      <c r="D1857" s="5" t="str">
        <f ca="1">IFERROR(__xludf.DUMMYFUNCTION("""COMPUTED_VALUE"""),"White")</f>
        <v>White</v>
      </c>
      <c r="E1857" s="5" t="str">
        <f ca="1">IFERROR(__xludf.DUMMYFUNCTION("""COMPUTED_VALUE"""),"Student")</f>
        <v>Student</v>
      </c>
      <c r="F1857" s="5" t="str">
        <f ca="1">IFERROR(__xludf.DUMMYFUNCTION("""COMPUTED_VALUE"""),"Apprehended/Killed by LE")</f>
        <v>Apprehended/Killed by LE</v>
      </c>
      <c r="G1857" s="5" t="str">
        <f ca="1">IFERROR(__xludf.DUMMYFUNCTION("""COMPUTED_VALUE"""),"No")</f>
        <v>No</v>
      </c>
      <c r="H1857" s="5" t="str">
        <f ca="1">IFERROR(__xludf.DUMMYFUNCTION("""COMPUTED_VALUE"""),"None")</f>
        <v>None</v>
      </c>
    </row>
    <row r="1858" spans="1:8" ht="13">
      <c r="A1858" s="5" t="str">
        <f ca="1">IFERROR(__xludf.DUMMYFUNCTION("""COMPUTED_VALUE"""),"19980521CARIR")</f>
        <v>19980521CARIR</v>
      </c>
      <c r="B1858" s="5">
        <f ca="1">IFERROR(__xludf.DUMMYFUNCTION("""COMPUTED_VALUE"""),15)</f>
        <v>15</v>
      </c>
      <c r="C1858" s="5" t="str">
        <f ca="1">IFERROR(__xludf.DUMMYFUNCTION("""COMPUTED_VALUE"""),"Male")</f>
        <v>Male</v>
      </c>
      <c r="D1858" s="5" t="str">
        <f ca="1">IFERROR(__xludf.DUMMYFUNCTION("""COMPUTED_VALUE"""),"Hispanic")</f>
        <v>Hispanic</v>
      </c>
      <c r="E1858" s="5" t="str">
        <f ca="1">IFERROR(__xludf.DUMMYFUNCTION("""COMPUTED_VALUE"""),"Student")</f>
        <v>Student</v>
      </c>
      <c r="F1858" s="5" t="str">
        <f ca="1">IFERROR(__xludf.DUMMYFUNCTION("""COMPUTED_VALUE"""),"Suicide")</f>
        <v>Suicide</v>
      </c>
      <c r="G1858" s="5" t="str">
        <f ca="1">IFERROR(__xludf.DUMMYFUNCTION("""COMPUTED_VALUE"""),"Yes")</f>
        <v>Yes</v>
      </c>
      <c r="H1858" s="5" t="str">
        <f ca="1">IFERROR(__xludf.DUMMYFUNCTION("""COMPUTED_VALUE"""),"Suicide")</f>
        <v>Suicide</v>
      </c>
    </row>
    <row r="1859" spans="1:8" ht="13">
      <c r="A1859" s="5" t="str">
        <f ca="1">IFERROR(__xludf.DUMMYFUNCTION("""COMPUTED_VALUE"""),"19980519TNLIF")</f>
        <v>19980519TNLIF</v>
      </c>
      <c r="B1859" s="5">
        <f ca="1">IFERROR(__xludf.DUMMYFUNCTION("""COMPUTED_VALUE"""),18)</f>
        <v>18</v>
      </c>
      <c r="C1859" s="5" t="str">
        <f ca="1">IFERROR(__xludf.DUMMYFUNCTION("""COMPUTED_VALUE"""),"Male")</f>
        <v>Male</v>
      </c>
      <c r="D1859" s="5"/>
      <c r="E1859" s="5" t="str">
        <f ca="1">IFERROR(__xludf.DUMMYFUNCTION("""COMPUTED_VALUE"""),"Student")</f>
        <v>Student</v>
      </c>
      <c r="F1859" s="5" t="str">
        <f ca="1">IFERROR(__xludf.DUMMYFUNCTION("""COMPUTED_VALUE"""),"Unknown")</f>
        <v>Unknown</v>
      </c>
      <c r="G1859" s="5" t="str">
        <f ca="1">IFERROR(__xludf.DUMMYFUNCTION("""COMPUTED_VALUE"""),"No")</f>
        <v>No</v>
      </c>
      <c r="H1859" s="5" t="str">
        <f ca="1">IFERROR(__xludf.DUMMYFUNCTION("""COMPUTED_VALUE"""),"None")</f>
        <v>None</v>
      </c>
    </row>
    <row r="1860" spans="1:8" ht="13">
      <c r="A1860" s="5" t="str">
        <f ca="1">IFERROR(__xludf.DUMMYFUNCTION("""COMPUTED_VALUE"""),"19980501NYPUB")</f>
        <v>19980501NYPUB</v>
      </c>
      <c r="B1860" s="5">
        <f ca="1">IFERROR(__xludf.DUMMYFUNCTION("""COMPUTED_VALUE"""),37)</f>
        <v>37</v>
      </c>
      <c r="C1860" s="5" t="str">
        <f ca="1">IFERROR(__xludf.DUMMYFUNCTION("""COMPUTED_VALUE"""),"Male")</f>
        <v>Male</v>
      </c>
      <c r="D1860" s="5"/>
      <c r="E1860" s="5" t="str">
        <f ca="1">IFERROR(__xludf.DUMMYFUNCTION("""COMPUTED_VALUE"""),"Police Officer/SRO")</f>
        <v>Police Officer/SRO</v>
      </c>
      <c r="F1860" s="5" t="str">
        <f ca="1">IFERROR(__xludf.DUMMYFUNCTION("""COMPUTED_VALUE"""),"Fled/Apprehended")</f>
        <v>Fled/Apprehended</v>
      </c>
      <c r="G1860" s="5" t="str">
        <f ca="1">IFERROR(__xludf.DUMMYFUNCTION("""COMPUTED_VALUE"""),"No")</f>
        <v>No</v>
      </c>
      <c r="H1860" s="5" t="str">
        <f ca="1">IFERROR(__xludf.DUMMYFUNCTION("""COMPUTED_VALUE"""),"None")</f>
        <v>None</v>
      </c>
    </row>
    <row r="1861" spans="1:8" ht="13">
      <c r="A1861" s="5" t="str">
        <f ca="1">IFERROR(__xludf.DUMMYFUNCTION("""COMPUTED_VALUE"""),"19980501FLNOM")</f>
        <v>19980501FLNOM</v>
      </c>
      <c r="B1861" s="5" t="str">
        <f ca="1">IFERROR(__xludf.DUMMYFUNCTION("""COMPUTED_VALUE"""),"Teen")</f>
        <v>Teen</v>
      </c>
      <c r="C1861" s="5" t="str">
        <f ca="1">IFERROR(__xludf.DUMMYFUNCTION("""COMPUTED_VALUE"""),"Male")</f>
        <v>Male</v>
      </c>
      <c r="D1861" s="5"/>
      <c r="E1861" s="5" t="str">
        <f ca="1">IFERROR(__xludf.DUMMYFUNCTION("""COMPUTED_VALUE"""),"Unknown")</f>
        <v>Unknown</v>
      </c>
      <c r="F1861" s="5" t="str">
        <f ca="1">IFERROR(__xludf.DUMMYFUNCTION("""COMPUTED_VALUE"""),"Fled/Apprehended")</f>
        <v>Fled/Apprehended</v>
      </c>
      <c r="G1861" s="5" t="str">
        <f ca="1">IFERROR(__xludf.DUMMYFUNCTION("""COMPUTED_VALUE"""),"No")</f>
        <v>No</v>
      </c>
      <c r="H1861" s="5" t="str">
        <f ca="1">IFERROR(__xludf.DUMMYFUNCTION("""COMPUTED_VALUE"""),"None")</f>
        <v>None</v>
      </c>
    </row>
    <row r="1862" spans="1:8" ht="13">
      <c r="A1862" s="5" t="str">
        <f ca="1">IFERROR(__xludf.DUMMYFUNCTION("""COMPUTED_VALUE"""),"19980428WIPAP")</f>
        <v>19980428WIPAP</v>
      </c>
      <c r="B1862" s="5">
        <f ca="1">IFERROR(__xludf.DUMMYFUNCTION("""COMPUTED_VALUE"""),15)</f>
        <v>15</v>
      </c>
      <c r="C1862" s="5" t="str">
        <f ca="1">IFERROR(__xludf.DUMMYFUNCTION("""COMPUTED_VALUE"""),"Male")</f>
        <v>Male</v>
      </c>
      <c r="D1862" s="5"/>
      <c r="E1862" s="5" t="str">
        <f ca="1">IFERROR(__xludf.DUMMYFUNCTION("""COMPUTED_VALUE"""),"No Relation")</f>
        <v>No Relation</v>
      </c>
      <c r="F1862" s="5" t="str">
        <f ca="1">IFERROR(__xludf.DUMMYFUNCTION("""COMPUTED_VALUE"""),"Fled/Apprehended")</f>
        <v>Fled/Apprehended</v>
      </c>
      <c r="G1862" s="5" t="str">
        <f ca="1">IFERROR(__xludf.DUMMYFUNCTION("""COMPUTED_VALUE"""),"No")</f>
        <v>No</v>
      </c>
      <c r="H1862" s="5" t="str">
        <f ca="1">IFERROR(__xludf.DUMMYFUNCTION("""COMPUTED_VALUE"""),"None")</f>
        <v>None</v>
      </c>
    </row>
    <row r="1863" spans="1:8" ht="13">
      <c r="A1863" s="5" t="str">
        <f ca="1">IFERROR(__xludf.DUMMYFUNCTION("""COMPUTED_VALUE"""),"19980428CAPHP")</f>
        <v>19980428CAPHP</v>
      </c>
      <c r="B1863" s="5">
        <f ca="1">IFERROR(__xludf.DUMMYFUNCTION("""COMPUTED_VALUE"""),14)</f>
        <v>14</v>
      </c>
      <c r="C1863" s="5" t="str">
        <f ca="1">IFERROR(__xludf.DUMMYFUNCTION("""COMPUTED_VALUE"""),"Male")</f>
        <v>Male</v>
      </c>
      <c r="D1863" s="5"/>
      <c r="E1863" s="5" t="str">
        <f ca="1">IFERROR(__xludf.DUMMYFUNCTION("""COMPUTED_VALUE"""),"No Relation")</f>
        <v>No Relation</v>
      </c>
      <c r="F1863" s="5" t="str">
        <f ca="1">IFERROR(__xludf.DUMMYFUNCTION("""COMPUTED_VALUE"""),"Fled/Apprehended")</f>
        <v>Fled/Apprehended</v>
      </c>
      <c r="G1863" s="5" t="str">
        <f ca="1">IFERROR(__xludf.DUMMYFUNCTION("""COMPUTED_VALUE"""),"No")</f>
        <v>No</v>
      </c>
      <c r="H1863" s="5" t="str">
        <f ca="1">IFERROR(__xludf.DUMMYFUNCTION("""COMPUTED_VALUE"""),"None")</f>
        <v>None</v>
      </c>
    </row>
    <row r="1864" spans="1:8" ht="13">
      <c r="A1864" s="5" t="str">
        <f ca="1">IFERROR(__xludf.DUMMYFUNCTION("""COMPUTED_VALUE"""),"19980424PAPAE")</f>
        <v>19980424PAPAE</v>
      </c>
      <c r="B1864" s="5">
        <f ca="1">IFERROR(__xludf.DUMMYFUNCTION("""COMPUTED_VALUE"""),14)</f>
        <v>14</v>
      </c>
      <c r="C1864" s="5" t="str">
        <f ca="1">IFERROR(__xludf.DUMMYFUNCTION("""COMPUTED_VALUE"""),"Male")</f>
        <v>Male</v>
      </c>
      <c r="D1864" s="5" t="str">
        <f ca="1">IFERROR(__xludf.DUMMYFUNCTION("""COMPUTED_VALUE"""),"White")</f>
        <v>White</v>
      </c>
      <c r="E1864" s="5" t="str">
        <f ca="1">IFERROR(__xludf.DUMMYFUNCTION("""COMPUTED_VALUE"""),"Student")</f>
        <v>Student</v>
      </c>
      <c r="F1864" s="5" t="str">
        <f ca="1">IFERROR(__xludf.DUMMYFUNCTION("""COMPUTED_VALUE"""),"Fled/Apprehended")</f>
        <v>Fled/Apprehended</v>
      </c>
      <c r="G1864" s="5" t="str">
        <f ca="1">IFERROR(__xludf.DUMMYFUNCTION("""COMPUTED_VALUE"""),"No")</f>
        <v>No</v>
      </c>
      <c r="H1864" s="5" t="str">
        <f ca="1">IFERROR(__xludf.DUMMYFUNCTION("""COMPUTED_VALUE"""),"None")</f>
        <v>None</v>
      </c>
    </row>
    <row r="1865" spans="1:8" ht="13">
      <c r="A1865" s="5" t="str">
        <f ca="1">IFERROR(__xludf.DUMMYFUNCTION("""COMPUTED_VALUE"""),"19980423CACUL")</f>
        <v>19980423CACUL</v>
      </c>
      <c r="B1865" s="5"/>
      <c r="C1865" s="5"/>
      <c r="D1865" s="5"/>
      <c r="E1865" s="5" t="str">
        <f ca="1">IFERROR(__xludf.DUMMYFUNCTION("""COMPUTED_VALUE"""),"Unknown")</f>
        <v>Unknown</v>
      </c>
      <c r="F1865" s="5" t="str">
        <f ca="1">IFERROR(__xludf.DUMMYFUNCTION("""COMPUTED_VALUE"""),"Fled/Escaped")</f>
        <v>Fled/Escaped</v>
      </c>
      <c r="G1865" s="5" t="str">
        <f ca="1">IFERROR(__xludf.DUMMYFUNCTION("""COMPUTED_VALUE"""),"No")</f>
        <v>No</v>
      </c>
      <c r="H1865" s="5" t="str">
        <f ca="1">IFERROR(__xludf.DUMMYFUNCTION("""COMPUTED_VALUE"""),"None")</f>
        <v>None</v>
      </c>
    </row>
    <row r="1866" spans="1:8" ht="13">
      <c r="A1866" s="5" t="str">
        <f ca="1">IFERROR(__xludf.DUMMYFUNCTION("""COMPUTED_VALUE"""),"19980409IDTHA")</f>
        <v>19980409IDTHA</v>
      </c>
      <c r="B1866" s="5">
        <f ca="1">IFERROR(__xludf.DUMMYFUNCTION("""COMPUTED_VALUE"""),14)</f>
        <v>14</v>
      </c>
      <c r="C1866" s="5" t="str">
        <f ca="1">IFERROR(__xludf.DUMMYFUNCTION("""COMPUTED_VALUE"""),"Male")</f>
        <v>Male</v>
      </c>
      <c r="D1866" s="5" t="str">
        <f ca="1">IFERROR(__xludf.DUMMYFUNCTION("""COMPUTED_VALUE"""),"White")</f>
        <v>White</v>
      </c>
      <c r="E1866" s="5" t="str">
        <f ca="1">IFERROR(__xludf.DUMMYFUNCTION("""COMPUTED_VALUE"""),"Student")</f>
        <v>Student</v>
      </c>
      <c r="F1866" s="5" t="str">
        <f ca="1">IFERROR(__xludf.DUMMYFUNCTION("""COMPUTED_VALUE"""),"Surrendered")</f>
        <v>Surrendered</v>
      </c>
      <c r="G1866" s="5" t="str">
        <f ca="1">IFERROR(__xludf.DUMMYFUNCTION("""COMPUTED_VALUE"""),"No")</f>
        <v>No</v>
      </c>
      <c r="H1866" s="5" t="str">
        <f ca="1">IFERROR(__xludf.DUMMYFUNCTION("""COMPUTED_VALUE"""),"None")</f>
        <v>None</v>
      </c>
    </row>
    <row r="1867" spans="1:8" ht="13">
      <c r="A1867" s="5" t="str">
        <f ca="1">IFERROR(__xludf.DUMMYFUNCTION("""COMPUTED_VALUE"""),"19980331WIOAO")</f>
        <v>19980331WIOAO</v>
      </c>
      <c r="B1867" s="5">
        <f ca="1">IFERROR(__xludf.DUMMYFUNCTION("""COMPUTED_VALUE"""),14)</f>
        <v>14</v>
      </c>
      <c r="C1867" s="5" t="str">
        <f ca="1">IFERROR(__xludf.DUMMYFUNCTION("""COMPUTED_VALUE"""),"Male")</f>
        <v>Male</v>
      </c>
      <c r="D1867" s="5"/>
      <c r="E1867" s="5" t="str">
        <f ca="1">IFERROR(__xludf.DUMMYFUNCTION("""COMPUTED_VALUE"""),"Student")</f>
        <v>Student</v>
      </c>
      <c r="F1867" s="5" t="str">
        <f ca="1">IFERROR(__xludf.DUMMYFUNCTION("""COMPUTED_VALUE"""),"Fled/Apprehended")</f>
        <v>Fled/Apprehended</v>
      </c>
      <c r="G1867" s="5" t="str">
        <f ca="1">IFERROR(__xludf.DUMMYFUNCTION("""COMPUTED_VALUE"""),"No")</f>
        <v>No</v>
      </c>
      <c r="H1867" s="5" t="str">
        <f ca="1">IFERROR(__xludf.DUMMYFUNCTION("""COMPUTED_VALUE"""),"None")</f>
        <v>None</v>
      </c>
    </row>
    <row r="1868" spans="1:8" ht="13">
      <c r="A1868" s="5" t="str">
        <f ca="1">IFERROR(__xludf.DUMMYFUNCTION("""COMPUTED_VALUE"""),"19980330NCGRC")</f>
        <v>19980330NCGRC</v>
      </c>
      <c r="B1868" s="5">
        <f ca="1">IFERROR(__xludf.DUMMYFUNCTION("""COMPUTED_VALUE"""),13)</f>
        <v>13</v>
      </c>
      <c r="C1868" s="5" t="str">
        <f ca="1">IFERROR(__xludf.DUMMYFUNCTION("""COMPUTED_VALUE"""),"Female")</f>
        <v>Female</v>
      </c>
      <c r="D1868" s="5"/>
      <c r="E1868" s="5" t="str">
        <f ca="1">IFERROR(__xludf.DUMMYFUNCTION("""COMPUTED_VALUE"""),"Student")</f>
        <v>Student</v>
      </c>
      <c r="F1868" s="5" t="str">
        <f ca="1">IFERROR(__xludf.DUMMYFUNCTION("""COMPUTED_VALUE"""),"Suicide")</f>
        <v>Suicide</v>
      </c>
      <c r="G1868" s="5" t="str">
        <f ca="1">IFERROR(__xludf.DUMMYFUNCTION("""COMPUTED_VALUE"""),"Yes")</f>
        <v>Yes</v>
      </c>
      <c r="H1868" s="5" t="str">
        <f ca="1">IFERROR(__xludf.DUMMYFUNCTION("""COMPUTED_VALUE"""),"Suicide")</f>
        <v>Suicide</v>
      </c>
    </row>
    <row r="1869" spans="1:8" ht="13">
      <c r="A1869" s="5" t="str">
        <f ca="1">IFERROR(__xludf.DUMMYFUNCTION("""COMPUTED_VALUE"""),"19980325MICOC")</f>
        <v>19980325MICOC</v>
      </c>
      <c r="B1869" s="5">
        <f ca="1">IFERROR(__xludf.DUMMYFUNCTION("""COMPUTED_VALUE"""),18)</f>
        <v>18</v>
      </c>
      <c r="C1869" s="5" t="str">
        <f ca="1">IFERROR(__xludf.DUMMYFUNCTION("""COMPUTED_VALUE"""),"Male")</f>
        <v>Male</v>
      </c>
      <c r="D1869" s="5"/>
      <c r="E1869" s="5" t="str">
        <f ca="1">IFERROR(__xludf.DUMMYFUNCTION("""COMPUTED_VALUE"""),"Student")</f>
        <v>Student</v>
      </c>
      <c r="F1869" s="5" t="str">
        <f ca="1">IFERROR(__xludf.DUMMYFUNCTION("""COMPUTED_VALUE"""),"Suicide")</f>
        <v>Suicide</v>
      </c>
      <c r="G1869" s="5" t="str">
        <f ca="1">IFERROR(__xludf.DUMMYFUNCTION("""COMPUTED_VALUE"""),"Yes")</f>
        <v>Yes</v>
      </c>
      <c r="H1869" s="5" t="str">
        <f ca="1">IFERROR(__xludf.DUMMYFUNCTION("""COMPUTED_VALUE"""),"Suicide")</f>
        <v>Suicide</v>
      </c>
    </row>
    <row r="1870" spans="1:8" ht="13">
      <c r="A1870" s="5" t="str">
        <f ca="1">IFERROR(__xludf.DUMMYFUNCTION("""COMPUTED_VALUE"""),"19980325CAFED")</f>
        <v>19980325CAFED</v>
      </c>
      <c r="B1870" s="5">
        <f ca="1">IFERROR(__xludf.DUMMYFUNCTION("""COMPUTED_VALUE"""),13)</f>
        <v>13</v>
      </c>
      <c r="C1870" s="5" t="str">
        <f ca="1">IFERROR(__xludf.DUMMYFUNCTION("""COMPUTED_VALUE"""),"Male")</f>
        <v>Male</v>
      </c>
      <c r="D1870" s="5"/>
      <c r="E1870" s="5" t="str">
        <f ca="1">IFERROR(__xludf.DUMMYFUNCTION("""COMPUTED_VALUE"""),"Student")</f>
        <v>Student</v>
      </c>
      <c r="F1870" s="5" t="str">
        <f ca="1">IFERROR(__xludf.DUMMYFUNCTION("""COMPUTED_VALUE"""),"Fled/Apprehended")</f>
        <v>Fled/Apprehended</v>
      </c>
      <c r="G1870" s="5" t="str">
        <f ca="1">IFERROR(__xludf.DUMMYFUNCTION("""COMPUTED_VALUE"""),"No")</f>
        <v>No</v>
      </c>
      <c r="H1870" s="5" t="str">
        <f ca="1">IFERROR(__xludf.DUMMYFUNCTION("""COMPUTED_VALUE"""),"None")</f>
        <v>None</v>
      </c>
    </row>
    <row r="1871" spans="1:8" ht="13">
      <c r="A1871" s="5" t="str">
        <f ca="1">IFERROR(__xludf.DUMMYFUNCTION("""COMPUTED_VALUE"""),"19980324ARWEJ")</f>
        <v>19980324ARWEJ</v>
      </c>
      <c r="B1871" s="5">
        <f ca="1">IFERROR(__xludf.DUMMYFUNCTION("""COMPUTED_VALUE"""),11)</f>
        <v>11</v>
      </c>
      <c r="C1871" s="5" t="str">
        <f ca="1">IFERROR(__xludf.DUMMYFUNCTION("""COMPUTED_VALUE"""),"Male")</f>
        <v>Male</v>
      </c>
      <c r="D1871" s="5" t="str">
        <f ca="1">IFERROR(__xludf.DUMMYFUNCTION("""COMPUTED_VALUE"""),"White")</f>
        <v>White</v>
      </c>
      <c r="E1871" s="5" t="str">
        <f ca="1">IFERROR(__xludf.DUMMYFUNCTION("""COMPUTED_VALUE"""),"Student")</f>
        <v>Student</v>
      </c>
      <c r="F1871" s="5" t="str">
        <f ca="1">IFERROR(__xludf.DUMMYFUNCTION("""COMPUTED_VALUE"""),"Fled/Apprehended")</f>
        <v>Fled/Apprehended</v>
      </c>
      <c r="G1871" s="5" t="str">
        <f ca="1">IFERROR(__xludf.DUMMYFUNCTION("""COMPUTED_VALUE"""),"No")</f>
        <v>No</v>
      </c>
      <c r="H1871" s="5" t="str">
        <f ca="1">IFERROR(__xludf.DUMMYFUNCTION("""COMPUTED_VALUE"""),"None")</f>
        <v>None</v>
      </c>
    </row>
    <row r="1872" spans="1:8" ht="13">
      <c r="A1872" s="5" t="str">
        <f ca="1">IFERROR(__xludf.DUMMYFUNCTION("""COMPUTED_VALUE"""),"19980324ARWEJ")</f>
        <v>19980324ARWEJ</v>
      </c>
      <c r="B1872" s="5">
        <f ca="1">IFERROR(__xludf.DUMMYFUNCTION("""COMPUTED_VALUE"""),13)</f>
        <v>13</v>
      </c>
      <c r="C1872" s="5" t="str">
        <f ca="1">IFERROR(__xludf.DUMMYFUNCTION("""COMPUTED_VALUE"""),"Male")</f>
        <v>Male</v>
      </c>
      <c r="D1872" s="5" t="str">
        <f ca="1">IFERROR(__xludf.DUMMYFUNCTION("""COMPUTED_VALUE"""),"White")</f>
        <v>White</v>
      </c>
      <c r="E1872" s="5" t="str">
        <f ca="1">IFERROR(__xludf.DUMMYFUNCTION("""COMPUTED_VALUE"""),"Student")</f>
        <v>Student</v>
      </c>
      <c r="F1872" s="5" t="str">
        <f ca="1">IFERROR(__xludf.DUMMYFUNCTION("""COMPUTED_VALUE"""),"Fled/Apprehended")</f>
        <v>Fled/Apprehended</v>
      </c>
      <c r="G1872" s="5" t="str">
        <f ca="1">IFERROR(__xludf.DUMMYFUNCTION("""COMPUTED_VALUE"""),"No")</f>
        <v>No</v>
      </c>
      <c r="H1872" s="5" t="str">
        <f ca="1">IFERROR(__xludf.DUMMYFUNCTION("""COMPUTED_VALUE"""),"None")</f>
        <v>None</v>
      </c>
    </row>
    <row r="1873" spans="1:8" ht="13">
      <c r="A1873" s="5" t="str">
        <f ca="1">IFERROR(__xludf.DUMMYFUNCTION("""COMPUTED_VALUE"""),"19980227VAMAF")</f>
        <v>19980227VAMAF</v>
      </c>
      <c r="B1873" s="5">
        <f ca="1">IFERROR(__xludf.DUMMYFUNCTION("""COMPUTED_VALUE"""),18)</f>
        <v>18</v>
      </c>
      <c r="C1873" s="5" t="str">
        <f ca="1">IFERROR(__xludf.DUMMYFUNCTION("""COMPUTED_VALUE"""),"Male")</f>
        <v>Male</v>
      </c>
      <c r="D1873" s="5" t="str">
        <f ca="1">IFERROR(__xludf.DUMMYFUNCTION("""COMPUTED_VALUE"""),"Asian")</f>
        <v>Asian</v>
      </c>
      <c r="E1873" s="5" t="str">
        <f ca="1">IFERROR(__xludf.DUMMYFUNCTION("""COMPUTED_VALUE"""),"Unknown")</f>
        <v>Unknown</v>
      </c>
      <c r="F1873" s="5" t="str">
        <f ca="1">IFERROR(__xludf.DUMMYFUNCTION("""COMPUTED_VALUE"""),"Fled/Apprehended")</f>
        <v>Fled/Apprehended</v>
      </c>
      <c r="G1873" s="5" t="str">
        <f ca="1">IFERROR(__xludf.DUMMYFUNCTION("""COMPUTED_VALUE"""),"No")</f>
        <v>No</v>
      </c>
      <c r="H1873" s="5" t="str">
        <f ca="1">IFERROR(__xludf.DUMMYFUNCTION("""COMPUTED_VALUE"""),"None")</f>
        <v>None</v>
      </c>
    </row>
    <row r="1874" spans="1:8" ht="13">
      <c r="A1874" s="5" t="str">
        <f ca="1">IFERROR(__xludf.DUMMYFUNCTION("""COMPUTED_VALUE"""),"19980225MIRER")</f>
        <v>19980225MIRER</v>
      </c>
      <c r="B1874" s="5">
        <f ca="1">IFERROR(__xludf.DUMMYFUNCTION("""COMPUTED_VALUE"""),14)</f>
        <v>14</v>
      </c>
      <c r="C1874" s="5" t="str">
        <f ca="1">IFERROR(__xludf.DUMMYFUNCTION("""COMPUTED_VALUE"""),"Male")</f>
        <v>Male</v>
      </c>
      <c r="D1874" s="5"/>
      <c r="E1874" s="5" t="str">
        <f ca="1">IFERROR(__xludf.DUMMYFUNCTION("""COMPUTED_VALUE"""),"Student")</f>
        <v>Student</v>
      </c>
      <c r="F1874" s="5" t="str">
        <f ca="1">IFERROR(__xludf.DUMMYFUNCTION("""COMPUTED_VALUE"""),"Suicide")</f>
        <v>Suicide</v>
      </c>
      <c r="G1874" s="5" t="str">
        <f ca="1">IFERROR(__xludf.DUMMYFUNCTION("""COMPUTED_VALUE"""),"Yes")</f>
        <v>Yes</v>
      </c>
      <c r="H1874" s="5" t="str">
        <f ca="1">IFERROR(__xludf.DUMMYFUNCTION("""COMPUTED_VALUE"""),"Suicide")</f>
        <v>Suicide</v>
      </c>
    </row>
    <row r="1875" spans="1:8" ht="13">
      <c r="A1875" s="5" t="str">
        <f ca="1">IFERROR(__xludf.DUMMYFUNCTION("""COMPUTED_VALUE"""),"19980212NJHOH")</f>
        <v>19980212NJHOH</v>
      </c>
      <c r="B1875" s="5">
        <f ca="1">IFERROR(__xludf.DUMMYFUNCTION("""COMPUTED_VALUE"""),61)</f>
        <v>61</v>
      </c>
      <c r="C1875" s="5" t="str">
        <f ca="1">IFERROR(__xludf.DUMMYFUNCTION("""COMPUTED_VALUE"""),"Male")</f>
        <v>Male</v>
      </c>
      <c r="D1875" s="5"/>
      <c r="E1875" s="5" t="str">
        <f ca="1">IFERROR(__xludf.DUMMYFUNCTION("""COMPUTED_VALUE"""),"Intimate Relationship")</f>
        <v>Intimate Relationship</v>
      </c>
      <c r="F1875" s="5" t="str">
        <f ca="1">IFERROR(__xludf.DUMMYFUNCTION("""COMPUTED_VALUE"""),"Fled/Escaped")</f>
        <v>Fled/Escaped</v>
      </c>
      <c r="G1875" s="5" t="str">
        <f ca="1">IFERROR(__xludf.DUMMYFUNCTION("""COMPUTED_VALUE"""),"Yes")</f>
        <v>Yes</v>
      </c>
      <c r="H1875" s="5" t="str">
        <f ca="1">IFERROR(__xludf.DUMMYFUNCTION("""COMPUTED_VALUE"""),"Suicide")</f>
        <v>Suicide</v>
      </c>
    </row>
    <row r="1876" spans="1:8" ht="13">
      <c r="A1876" s="5" t="str">
        <f ca="1">IFERROR(__xludf.DUMMYFUNCTION("""COMPUTED_VALUE"""),"19971215ARSTS")</f>
        <v>19971215ARSTS</v>
      </c>
      <c r="B1876" s="5">
        <f ca="1">IFERROR(__xludf.DUMMYFUNCTION("""COMPUTED_VALUE"""),14)</f>
        <v>14</v>
      </c>
      <c r="C1876" s="5" t="str">
        <f ca="1">IFERROR(__xludf.DUMMYFUNCTION("""COMPUTED_VALUE"""),"Male")</f>
        <v>Male</v>
      </c>
      <c r="D1876" s="5" t="str">
        <f ca="1">IFERROR(__xludf.DUMMYFUNCTION("""COMPUTED_VALUE"""),"White")</f>
        <v>White</v>
      </c>
      <c r="E1876" s="5" t="str">
        <f ca="1">IFERROR(__xludf.DUMMYFUNCTION("""COMPUTED_VALUE"""),"Student")</f>
        <v>Student</v>
      </c>
      <c r="F1876" s="5" t="str">
        <f ca="1">IFERROR(__xludf.DUMMYFUNCTION("""COMPUTED_VALUE"""),"Fled/Apprehended")</f>
        <v>Fled/Apprehended</v>
      </c>
      <c r="G1876" s="5" t="str">
        <f ca="1">IFERROR(__xludf.DUMMYFUNCTION("""COMPUTED_VALUE"""),"No")</f>
        <v>No</v>
      </c>
      <c r="H1876" s="5" t="str">
        <f ca="1">IFERROR(__xludf.DUMMYFUNCTION("""COMPUTED_VALUE"""),"None")</f>
        <v>None</v>
      </c>
    </row>
    <row r="1877" spans="1:8" ht="13">
      <c r="A1877" s="5" t="str">
        <f ca="1">IFERROR(__xludf.DUMMYFUNCTION("""COMPUTED_VALUE"""),"19971201KYHEW")</f>
        <v>19971201KYHEW</v>
      </c>
      <c r="B1877" s="5">
        <f ca="1">IFERROR(__xludf.DUMMYFUNCTION("""COMPUTED_VALUE"""),14)</f>
        <v>14</v>
      </c>
      <c r="C1877" s="5" t="str">
        <f ca="1">IFERROR(__xludf.DUMMYFUNCTION("""COMPUTED_VALUE"""),"Male")</f>
        <v>Male</v>
      </c>
      <c r="D1877" s="5" t="str">
        <f ca="1">IFERROR(__xludf.DUMMYFUNCTION("""COMPUTED_VALUE"""),"White")</f>
        <v>White</v>
      </c>
      <c r="E1877" s="5" t="str">
        <f ca="1">IFERROR(__xludf.DUMMYFUNCTION("""COMPUTED_VALUE"""),"Student")</f>
        <v>Student</v>
      </c>
      <c r="F1877" s="5" t="str">
        <f ca="1">IFERROR(__xludf.DUMMYFUNCTION("""COMPUTED_VALUE"""),"Surrendered")</f>
        <v>Surrendered</v>
      </c>
      <c r="G1877" s="5" t="str">
        <f ca="1">IFERROR(__xludf.DUMMYFUNCTION("""COMPUTED_VALUE"""),"No")</f>
        <v>No</v>
      </c>
      <c r="H1877" s="5" t="str">
        <f ca="1">IFERROR(__xludf.DUMMYFUNCTION("""COMPUTED_VALUE"""),"None")</f>
        <v>None</v>
      </c>
    </row>
    <row r="1878" spans="1:8" ht="13">
      <c r="A1878" s="5" t="str">
        <f ca="1">IFERROR(__xludf.DUMMYFUNCTION("""COMPUTED_VALUE"""),"19971113CACRS")</f>
        <v>19971113CACRS</v>
      </c>
      <c r="B1878" s="5">
        <f ca="1">IFERROR(__xludf.DUMMYFUNCTION("""COMPUTED_VALUE"""),39)</f>
        <v>39</v>
      </c>
      <c r="C1878" s="5" t="str">
        <f ca="1">IFERROR(__xludf.DUMMYFUNCTION("""COMPUTED_VALUE"""),"Male")</f>
        <v>Male</v>
      </c>
      <c r="D1878" s="5"/>
      <c r="E1878" s="5" t="str">
        <f ca="1">IFERROR(__xludf.DUMMYFUNCTION("""COMPUTED_VALUE"""),"Relative")</f>
        <v>Relative</v>
      </c>
      <c r="F1878" s="5" t="str">
        <f ca="1">IFERROR(__xludf.DUMMYFUNCTION("""COMPUTED_VALUE"""),"Surrendered")</f>
        <v>Surrendered</v>
      </c>
      <c r="G1878" s="5" t="str">
        <f ca="1">IFERROR(__xludf.DUMMYFUNCTION("""COMPUTED_VALUE"""),"No")</f>
        <v>No</v>
      </c>
      <c r="H1878" s="5" t="str">
        <f ca="1">IFERROR(__xludf.DUMMYFUNCTION("""COMPUTED_VALUE"""),"None")</f>
        <v>None</v>
      </c>
    </row>
    <row r="1879" spans="1:8" ht="13">
      <c r="A1879" s="5" t="str">
        <f ca="1">IFERROR(__xludf.DUMMYFUNCTION("""COMPUTED_VALUE"""),"19971107FLRIJ")</f>
        <v>19971107FLRIJ</v>
      </c>
      <c r="B1879" s="5">
        <f ca="1">IFERROR(__xludf.DUMMYFUNCTION("""COMPUTED_VALUE"""),18)</f>
        <v>18</v>
      </c>
      <c r="C1879" s="5" t="str">
        <f ca="1">IFERROR(__xludf.DUMMYFUNCTION("""COMPUTED_VALUE"""),"Male")</f>
        <v>Male</v>
      </c>
      <c r="D1879" s="5"/>
      <c r="E1879" s="5" t="str">
        <f ca="1">IFERROR(__xludf.DUMMYFUNCTION("""COMPUTED_VALUE"""),"Student")</f>
        <v>Student</v>
      </c>
      <c r="F1879" s="5" t="str">
        <f ca="1">IFERROR(__xludf.DUMMYFUNCTION("""COMPUTED_VALUE"""),"Fled/Apprehended")</f>
        <v>Fled/Apprehended</v>
      </c>
      <c r="G1879" s="5" t="str">
        <f ca="1">IFERROR(__xludf.DUMMYFUNCTION("""COMPUTED_VALUE"""),"No")</f>
        <v>No</v>
      </c>
      <c r="H1879" s="5" t="str">
        <f ca="1">IFERROR(__xludf.DUMMYFUNCTION("""COMPUTED_VALUE"""),"None")</f>
        <v>None</v>
      </c>
    </row>
    <row r="1880" spans="1:8" ht="13">
      <c r="A1880" s="5" t="str">
        <f ca="1">IFERROR(__xludf.DUMMYFUNCTION("""COMPUTED_VALUE"""),"19971022CAJON")</f>
        <v>19971022CAJON</v>
      </c>
      <c r="B1880" s="5">
        <f ca="1">IFERROR(__xludf.DUMMYFUNCTION("""COMPUTED_VALUE"""),21)</f>
        <v>21</v>
      </c>
      <c r="C1880" s="5" t="str">
        <f ca="1">IFERROR(__xludf.DUMMYFUNCTION("""COMPUTED_VALUE"""),"Male")</f>
        <v>Male</v>
      </c>
      <c r="D1880" s="5" t="str">
        <f ca="1">IFERROR(__xludf.DUMMYFUNCTION("""COMPUTED_VALUE"""),"Asian")</f>
        <v>Asian</v>
      </c>
      <c r="E1880" s="5" t="str">
        <f ca="1">IFERROR(__xludf.DUMMYFUNCTION("""COMPUTED_VALUE"""),"Former Student")</f>
        <v>Former Student</v>
      </c>
      <c r="F1880" s="5" t="str">
        <f ca="1">IFERROR(__xludf.DUMMYFUNCTION("""COMPUTED_VALUE"""),"Suicide")</f>
        <v>Suicide</v>
      </c>
      <c r="G1880" s="5" t="str">
        <f ca="1">IFERROR(__xludf.DUMMYFUNCTION("""COMPUTED_VALUE"""),"Yes")</f>
        <v>Yes</v>
      </c>
      <c r="H1880" s="5" t="str">
        <f ca="1">IFERROR(__xludf.DUMMYFUNCTION("""COMPUTED_VALUE"""),"Suicide")</f>
        <v>Suicide</v>
      </c>
    </row>
    <row r="1881" spans="1:8" ht="13">
      <c r="A1881" s="5" t="str">
        <f ca="1">IFERROR(__xludf.DUMMYFUNCTION("""COMPUTED_VALUE"""),"19971020CAMCO")</f>
        <v>19971020CAMCO</v>
      </c>
      <c r="B1881" s="5"/>
      <c r="C1881" s="5"/>
      <c r="D1881" s="5"/>
      <c r="E1881" s="5" t="str">
        <f ca="1">IFERROR(__xludf.DUMMYFUNCTION("""COMPUTED_VALUE"""),"Unknown")</f>
        <v>Unknown</v>
      </c>
      <c r="F1881" s="5" t="str">
        <f ca="1">IFERROR(__xludf.DUMMYFUNCTION("""COMPUTED_VALUE"""),"Fled/Escaped")</f>
        <v>Fled/Escaped</v>
      </c>
      <c r="G1881" s="5" t="str">
        <f ca="1">IFERROR(__xludf.DUMMYFUNCTION("""COMPUTED_VALUE"""),"No")</f>
        <v>No</v>
      </c>
      <c r="H1881" s="5" t="str">
        <f ca="1">IFERROR(__xludf.DUMMYFUNCTION("""COMPUTED_VALUE"""),"None")</f>
        <v>None</v>
      </c>
    </row>
    <row r="1882" spans="1:8" ht="13">
      <c r="A1882" s="5" t="str">
        <f ca="1">IFERROR(__xludf.DUMMYFUNCTION("""COMPUTED_VALUE"""),"19971015FLLIP")</f>
        <v>19971015FLLIP</v>
      </c>
      <c r="B1882" s="5">
        <f ca="1">IFERROR(__xludf.DUMMYFUNCTION("""COMPUTED_VALUE"""),13)</f>
        <v>13</v>
      </c>
      <c r="C1882" s="5" t="str">
        <f ca="1">IFERROR(__xludf.DUMMYFUNCTION("""COMPUTED_VALUE"""),"Male")</f>
        <v>Male</v>
      </c>
      <c r="D1882" s="5"/>
      <c r="E1882" s="5" t="str">
        <f ca="1">IFERROR(__xludf.DUMMYFUNCTION("""COMPUTED_VALUE"""),"Student")</f>
        <v>Student</v>
      </c>
      <c r="F1882" s="5" t="str">
        <f ca="1">IFERROR(__xludf.DUMMYFUNCTION("""COMPUTED_VALUE"""),"Fled/Apprehended")</f>
        <v>Fled/Apprehended</v>
      </c>
      <c r="G1882" s="5" t="str">
        <f ca="1">IFERROR(__xludf.DUMMYFUNCTION("""COMPUTED_VALUE"""),"No")</f>
        <v>No</v>
      </c>
      <c r="H1882" s="5" t="str">
        <f ca="1">IFERROR(__xludf.DUMMYFUNCTION("""COMPUTED_VALUE"""),"None")</f>
        <v>None</v>
      </c>
    </row>
    <row r="1883" spans="1:8" ht="13">
      <c r="A1883" s="5" t="str">
        <f ca="1">IFERROR(__xludf.DUMMYFUNCTION("""COMPUTED_VALUE"""),"19971014TXLAG")</f>
        <v>19971014TXLAG</v>
      </c>
      <c r="B1883" s="5">
        <f ca="1">IFERROR(__xludf.DUMMYFUNCTION("""COMPUTED_VALUE"""),19)</f>
        <v>19</v>
      </c>
      <c r="C1883" s="5" t="str">
        <f ca="1">IFERROR(__xludf.DUMMYFUNCTION("""COMPUTED_VALUE"""),"Male")</f>
        <v>Male</v>
      </c>
      <c r="D1883" s="5"/>
      <c r="E1883" s="5" t="str">
        <f ca="1">IFERROR(__xludf.DUMMYFUNCTION("""COMPUTED_VALUE"""),"Student")</f>
        <v>Student</v>
      </c>
      <c r="F1883" s="5" t="str">
        <f ca="1">IFERROR(__xludf.DUMMYFUNCTION("""COMPUTED_VALUE"""),"Suicide")</f>
        <v>Suicide</v>
      </c>
      <c r="G1883" s="5" t="str">
        <f ca="1">IFERROR(__xludf.DUMMYFUNCTION("""COMPUTED_VALUE"""),"Yes")</f>
        <v>Yes</v>
      </c>
      <c r="H1883" s="5" t="str">
        <f ca="1">IFERROR(__xludf.DUMMYFUNCTION("""COMPUTED_VALUE"""),"Suicide")</f>
        <v>Suicide</v>
      </c>
    </row>
    <row r="1884" spans="1:8" ht="13">
      <c r="A1884" s="5" t="str">
        <f ca="1">IFERROR(__xludf.DUMMYFUNCTION("""COMPUTED_VALUE"""),"19971010INWAG")</f>
        <v>19971010INWAG</v>
      </c>
      <c r="B1884" s="5">
        <f ca="1">IFERROR(__xludf.DUMMYFUNCTION("""COMPUTED_VALUE"""),20)</f>
        <v>20</v>
      </c>
      <c r="C1884" s="5" t="str">
        <f ca="1">IFERROR(__xludf.DUMMYFUNCTION("""COMPUTED_VALUE"""),"Male")</f>
        <v>Male</v>
      </c>
      <c r="D1884" s="5"/>
      <c r="E1884" s="5" t="str">
        <f ca="1">IFERROR(__xludf.DUMMYFUNCTION("""COMPUTED_VALUE"""),"Former Student")</f>
        <v>Former Student</v>
      </c>
      <c r="F1884" s="5" t="str">
        <f ca="1">IFERROR(__xludf.DUMMYFUNCTION("""COMPUTED_VALUE"""),"Fled/Apprehended")</f>
        <v>Fled/Apprehended</v>
      </c>
      <c r="G1884" s="5" t="str">
        <f ca="1">IFERROR(__xludf.DUMMYFUNCTION("""COMPUTED_VALUE"""),"No")</f>
        <v>No</v>
      </c>
      <c r="H1884" s="5" t="str">
        <f ca="1">IFERROR(__xludf.DUMMYFUNCTION("""COMPUTED_VALUE"""),"None")</f>
        <v>None</v>
      </c>
    </row>
    <row r="1885" spans="1:8" ht="13">
      <c r="A1885" s="5" t="str">
        <f ca="1">IFERROR(__xludf.DUMMYFUNCTION("""COMPUTED_VALUE"""),"19971005OKMOO")</f>
        <v>19971005OKMOO</v>
      </c>
      <c r="B1885" s="5"/>
      <c r="C1885" s="5" t="str">
        <f ca="1">IFERROR(__xludf.DUMMYFUNCTION("""COMPUTED_VALUE"""),"Male")</f>
        <v>Male</v>
      </c>
      <c r="D1885" s="5" t="str">
        <f ca="1">IFERROR(__xludf.DUMMYFUNCTION("""COMPUTED_VALUE"""),"White")</f>
        <v>White</v>
      </c>
      <c r="E1885" s="5" t="str">
        <f ca="1">IFERROR(__xludf.DUMMYFUNCTION("""COMPUTED_VALUE"""),"Unknown")</f>
        <v>Unknown</v>
      </c>
      <c r="F1885" s="5" t="str">
        <f ca="1">IFERROR(__xludf.DUMMYFUNCTION("""COMPUTED_VALUE"""),"Fled/Escaped")</f>
        <v>Fled/Escaped</v>
      </c>
      <c r="G1885" s="5" t="str">
        <f ca="1">IFERROR(__xludf.DUMMYFUNCTION("""COMPUTED_VALUE"""),"No")</f>
        <v>No</v>
      </c>
      <c r="H1885" s="5" t="str">
        <f ca="1">IFERROR(__xludf.DUMMYFUNCTION("""COMPUTED_VALUE"""),"None")</f>
        <v>None</v>
      </c>
    </row>
    <row r="1886" spans="1:8" ht="13">
      <c r="A1886" s="5" t="str">
        <f ca="1">IFERROR(__xludf.DUMMYFUNCTION("""COMPUTED_VALUE"""),"19971001MSPEP")</f>
        <v>19971001MSPEP</v>
      </c>
      <c r="B1886" s="5">
        <f ca="1">IFERROR(__xludf.DUMMYFUNCTION("""COMPUTED_VALUE"""),16)</f>
        <v>16</v>
      </c>
      <c r="C1886" s="5" t="str">
        <f ca="1">IFERROR(__xludf.DUMMYFUNCTION("""COMPUTED_VALUE"""),"Male")</f>
        <v>Male</v>
      </c>
      <c r="D1886" s="5" t="str">
        <f ca="1">IFERROR(__xludf.DUMMYFUNCTION("""COMPUTED_VALUE"""),"White")</f>
        <v>White</v>
      </c>
      <c r="E1886" s="5" t="str">
        <f ca="1">IFERROR(__xludf.DUMMYFUNCTION("""COMPUTED_VALUE"""),"Student")</f>
        <v>Student</v>
      </c>
      <c r="F1886" s="5" t="str">
        <f ca="1">IFERROR(__xludf.DUMMYFUNCTION("""COMPUTED_VALUE"""),"Fled/Apprehended")</f>
        <v>Fled/Apprehended</v>
      </c>
      <c r="G1886" s="5" t="str">
        <f ca="1">IFERROR(__xludf.DUMMYFUNCTION("""COMPUTED_VALUE"""),"No")</f>
        <v>No</v>
      </c>
      <c r="H1886" s="5" t="str">
        <f ca="1">IFERROR(__xludf.DUMMYFUNCTION("""COMPUTED_VALUE"""),"None")</f>
        <v>None</v>
      </c>
    </row>
    <row r="1887" spans="1:8" ht="13">
      <c r="A1887" s="5" t="str">
        <f ca="1">IFERROR(__xludf.DUMMYFUNCTION("""COMPUTED_VALUE"""),"19970624ALJEM")</f>
        <v>19970624ALJEM</v>
      </c>
      <c r="B1887" s="5">
        <f ca="1">IFERROR(__xludf.DUMMYFUNCTION("""COMPUTED_VALUE"""),16)</f>
        <v>16</v>
      </c>
      <c r="C1887" s="5" t="str">
        <f ca="1">IFERROR(__xludf.DUMMYFUNCTION("""COMPUTED_VALUE"""),"Male")</f>
        <v>Male</v>
      </c>
      <c r="D1887" s="5" t="str">
        <f ca="1">IFERROR(__xludf.DUMMYFUNCTION("""COMPUTED_VALUE"""),"Black")</f>
        <v>Black</v>
      </c>
      <c r="E1887" s="5" t="str">
        <f ca="1">IFERROR(__xludf.DUMMYFUNCTION("""COMPUTED_VALUE"""),"Student")</f>
        <v>Student</v>
      </c>
      <c r="F1887" s="5" t="str">
        <f ca="1">IFERROR(__xludf.DUMMYFUNCTION("""COMPUTED_VALUE"""),"Surrendered")</f>
        <v>Surrendered</v>
      </c>
      <c r="G1887" s="5" t="str">
        <f ca="1">IFERROR(__xludf.DUMMYFUNCTION("""COMPUTED_VALUE"""),"No")</f>
        <v>No</v>
      </c>
      <c r="H1887" s="5" t="str">
        <f ca="1">IFERROR(__xludf.DUMMYFUNCTION("""COMPUTED_VALUE"""),"None")</f>
        <v>None</v>
      </c>
    </row>
    <row r="1888" spans="1:8" ht="13">
      <c r="A1888" s="5" t="str">
        <f ca="1">IFERROR(__xludf.DUMMYFUNCTION("""COMPUTED_VALUE"""),"19970520OHDUD")</f>
        <v>19970520OHDUD</v>
      </c>
      <c r="B1888" s="5">
        <f ca="1">IFERROR(__xludf.DUMMYFUNCTION("""COMPUTED_VALUE"""),16)</f>
        <v>16</v>
      </c>
      <c r="C1888" s="5" t="str">
        <f ca="1">IFERROR(__xludf.DUMMYFUNCTION("""COMPUTED_VALUE"""),"Male")</f>
        <v>Male</v>
      </c>
      <c r="D1888" s="5"/>
      <c r="E1888" s="5" t="str">
        <f ca="1">IFERROR(__xludf.DUMMYFUNCTION("""COMPUTED_VALUE"""),"Student")</f>
        <v>Student</v>
      </c>
      <c r="F1888" s="5" t="str">
        <f ca="1">IFERROR(__xludf.DUMMYFUNCTION("""COMPUTED_VALUE"""),"Unknown")</f>
        <v>Unknown</v>
      </c>
      <c r="G1888" s="5" t="str">
        <f ca="1">IFERROR(__xludf.DUMMYFUNCTION("""COMPUTED_VALUE"""),"No")</f>
        <v>No</v>
      </c>
      <c r="H1888" s="5" t="str">
        <f ca="1">IFERROR(__xludf.DUMMYFUNCTION("""COMPUTED_VALUE"""),"None")</f>
        <v>None</v>
      </c>
    </row>
    <row r="1889" spans="1:8" ht="13">
      <c r="A1889" s="5" t="str">
        <f ca="1">IFERROR(__xludf.DUMMYFUNCTION("""COMPUTED_VALUE"""),"19970513FLNOM")</f>
        <v>19970513FLNOM</v>
      </c>
      <c r="B1889" s="5">
        <f ca="1">IFERROR(__xludf.DUMMYFUNCTION("""COMPUTED_VALUE"""),17)</f>
        <v>17</v>
      </c>
      <c r="C1889" s="5" t="str">
        <f ca="1">IFERROR(__xludf.DUMMYFUNCTION("""COMPUTED_VALUE"""),"Male")</f>
        <v>Male</v>
      </c>
      <c r="D1889" s="5"/>
      <c r="E1889" s="5" t="str">
        <f ca="1">IFERROR(__xludf.DUMMYFUNCTION("""COMPUTED_VALUE"""),"Student")</f>
        <v>Student</v>
      </c>
      <c r="F1889" s="5" t="str">
        <f ca="1">IFERROR(__xludf.DUMMYFUNCTION("""COMPUTED_VALUE"""),"Fled/Apprehended")</f>
        <v>Fled/Apprehended</v>
      </c>
      <c r="G1889" s="5" t="str">
        <f ca="1">IFERROR(__xludf.DUMMYFUNCTION("""COMPUTED_VALUE"""),"No")</f>
        <v>No</v>
      </c>
      <c r="H1889" s="5" t="str">
        <f ca="1">IFERROR(__xludf.DUMMYFUNCTION("""COMPUTED_VALUE"""),"None")</f>
        <v>None</v>
      </c>
    </row>
    <row r="1890" spans="1:8" ht="13">
      <c r="A1890" s="5" t="str">
        <f ca="1">IFERROR(__xludf.DUMMYFUNCTION("""COMPUTED_VALUE"""),"19970430NYCIN")</f>
        <v>19970430NYCIN</v>
      </c>
      <c r="B1890" s="5"/>
      <c r="C1890" s="5"/>
      <c r="D1890" s="5"/>
      <c r="E1890" s="5" t="str">
        <f ca="1">IFERROR(__xludf.DUMMYFUNCTION("""COMPUTED_VALUE"""),"Unknown")</f>
        <v>Unknown</v>
      </c>
      <c r="F1890" s="5" t="str">
        <f ca="1">IFERROR(__xludf.DUMMYFUNCTION("""COMPUTED_VALUE"""),"Fled/Escaped")</f>
        <v>Fled/Escaped</v>
      </c>
      <c r="G1890" s="5" t="str">
        <f ca="1">IFERROR(__xludf.DUMMYFUNCTION("""COMPUTED_VALUE"""),"No")</f>
        <v>No</v>
      </c>
      <c r="H1890" s="5" t="str">
        <f ca="1">IFERROR(__xludf.DUMMYFUNCTION("""COMPUTED_VALUE"""),"None")</f>
        <v>None</v>
      </c>
    </row>
    <row r="1891" spans="1:8" ht="13">
      <c r="A1891" s="5" t="str">
        <f ca="1">IFERROR(__xludf.DUMMYFUNCTION("""COMPUTED_VALUE"""),"19970428CAJOL")</f>
        <v>19970428CAJOL</v>
      </c>
      <c r="B1891" s="5">
        <f ca="1">IFERROR(__xludf.DUMMYFUNCTION("""COMPUTED_VALUE"""),15)</f>
        <v>15</v>
      </c>
      <c r="C1891" s="5" t="str">
        <f ca="1">IFERROR(__xludf.DUMMYFUNCTION("""COMPUTED_VALUE"""),"Male")</f>
        <v>Male</v>
      </c>
      <c r="D1891" s="5"/>
      <c r="E1891" s="5" t="str">
        <f ca="1">IFERROR(__xludf.DUMMYFUNCTION("""COMPUTED_VALUE"""),"Student")</f>
        <v>Student</v>
      </c>
      <c r="F1891" s="5" t="str">
        <f ca="1">IFERROR(__xludf.DUMMYFUNCTION("""COMPUTED_VALUE"""),"Fled/Apprehended")</f>
        <v>Fled/Apprehended</v>
      </c>
      <c r="G1891" s="5" t="str">
        <f ca="1">IFERROR(__xludf.DUMMYFUNCTION("""COMPUTED_VALUE"""),"No")</f>
        <v>No</v>
      </c>
      <c r="H1891" s="5" t="str">
        <f ca="1">IFERROR(__xludf.DUMMYFUNCTION("""COMPUTED_VALUE"""),"None")</f>
        <v>None</v>
      </c>
    </row>
    <row r="1892" spans="1:8" ht="13">
      <c r="A1892" s="5" t="str">
        <f ca="1">IFERROR(__xludf.DUMMYFUNCTION("""COMPUTED_VALUE"""),"19970403CAMAM")</f>
        <v>19970403CAMAM</v>
      </c>
      <c r="B1892" s="5"/>
      <c r="C1892" s="5"/>
      <c r="D1892" s="5"/>
      <c r="E1892" s="5" t="str">
        <f ca="1">IFERROR(__xludf.DUMMYFUNCTION("""COMPUTED_VALUE"""),"Unknown")</f>
        <v>Unknown</v>
      </c>
      <c r="F1892" s="5" t="str">
        <f ca="1">IFERROR(__xludf.DUMMYFUNCTION("""COMPUTED_VALUE"""),"Fled/Escaped")</f>
        <v>Fled/Escaped</v>
      </c>
      <c r="G1892" s="5" t="str">
        <f ca="1">IFERROR(__xludf.DUMMYFUNCTION("""COMPUTED_VALUE"""),"No")</f>
        <v>No</v>
      </c>
      <c r="H1892" s="5" t="str">
        <f ca="1">IFERROR(__xludf.DUMMYFUNCTION("""COMPUTED_VALUE"""),"None")</f>
        <v>None</v>
      </c>
    </row>
    <row r="1893" spans="1:8" ht="13">
      <c r="A1893" s="5" t="str">
        <f ca="1">IFERROR(__xludf.DUMMYFUNCTION("""COMPUTED_VALUE"""),"19970317MIPED")</f>
        <v>19970317MIPED</v>
      </c>
      <c r="B1893" s="5">
        <f ca="1">IFERROR(__xludf.DUMMYFUNCTION("""COMPUTED_VALUE"""),15)</f>
        <v>15</v>
      </c>
      <c r="C1893" s="5" t="str">
        <f ca="1">IFERROR(__xludf.DUMMYFUNCTION("""COMPUTED_VALUE"""),"Male")</f>
        <v>Male</v>
      </c>
      <c r="D1893" s="5"/>
      <c r="E1893" s="5" t="str">
        <f ca="1">IFERROR(__xludf.DUMMYFUNCTION("""COMPUTED_VALUE"""),"Student")</f>
        <v>Student</v>
      </c>
      <c r="F1893" s="5" t="str">
        <f ca="1">IFERROR(__xludf.DUMMYFUNCTION("""COMPUTED_VALUE"""),"Fled/Apprehended")</f>
        <v>Fled/Apprehended</v>
      </c>
      <c r="G1893" s="5" t="str">
        <f ca="1">IFERROR(__xludf.DUMMYFUNCTION("""COMPUTED_VALUE"""),"No")</f>
        <v>No</v>
      </c>
      <c r="H1893" s="5" t="str">
        <f ca="1">IFERROR(__xludf.DUMMYFUNCTION("""COMPUTED_VALUE"""),"None")</f>
        <v>None</v>
      </c>
    </row>
    <row r="1894" spans="1:8" ht="13">
      <c r="A1894" s="5" t="str">
        <f ca="1">IFERROR(__xludf.DUMMYFUNCTION("""COMPUTED_VALUE"""),"19970221NVRAL")</f>
        <v>19970221NVRAL</v>
      </c>
      <c r="B1894" s="5">
        <f ca="1">IFERROR(__xludf.DUMMYFUNCTION("""COMPUTED_VALUE"""),20)</f>
        <v>20</v>
      </c>
      <c r="C1894" s="5" t="str">
        <f ca="1">IFERROR(__xludf.DUMMYFUNCTION("""COMPUTED_VALUE"""),"Male")</f>
        <v>Male</v>
      </c>
      <c r="D1894" s="5" t="str">
        <f ca="1">IFERROR(__xludf.DUMMYFUNCTION("""COMPUTED_VALUE"""),"Other")</f>
        <v>Other</v>
      </c>
      <c r="E1894" s="5" t="str">
        <f ca="1">IFERROR(__xludf.DUMMYFUNCTION("""COMPUTED_VALUE"""),"Unknown")</f>
        <v>Unknown</v>
      </c>
      <c r="F1894" s="5" t="str">
        <f ca="1">IFERROR(__xludf.DUMMYFUNCTION("""COMPUTED_VALUE"""),"Fled/Apprehended")</f>
        <v>Fled/Apprehended</v>
      </c>
      <c r="G1894" s="5" t="str">
        <f ca="1">IFERROR(__xludf.DUMMYFUNCTION("""COMPUTED_VALUE"""),"No")</f>
        <v>No</v>
      </c>
      <c r="H1894" s="5" t="str">
        <f ca="1">IFERROR(__xludf.DUMMYFUNCTION("""COMPUTED_VALUE"""),"None")</f>
        <v>None</v>
      </c>
    </row>
    <row r="1895" spans="1:8" ht="13">
      <c r="A1895" s="5" t="str">
        <f ca="1">IFERROR(__xludf.DUMMYFUNCTION("""COMPUTED_VALUE"""),"19970220FLFIJ")</f>
        <v>19970220FLFIJ</v>
      </c>
      <c r="B1895" s="5">
        <f ca="1">IFERROR(__xludf.DUMMYFUNCTION("""COMPUTED_VALUE"""),17)</f>
        <v>17</v>
      </c>
      <c r="C1895" s="5" t="str">
        <f ca="1">IFERROR(__xludf.DUMMYFUNCTION("""COMPUTED_VALUE"""),"Female")</f>
        <v>Female</v>
      </c>
      <c r="D1895" s="5"/>
      <c r="E1895" s="5" t="str">
        <f ca="1">IFERROR(__xludf.DUMMYFUNCTION("""COMPUTED_VALUE"""),"Student")</f>
        <v>Student</v>
      </c>
      <c r="F1895" s="5" t="str">
        <f ca="1">IFERROR(__xludf.DUMMYFUNCTION("""COMPUTED_VALUE"""),"Suicide")</f>
        <v>Suicide</v>
      </c>
      <c r="G1895" s="5" t="str">
        <f ca="1">IFERROR(__xludf.DUMMYFUNCTION("""COMPUTED_VALUE"""),"Yes")</f>
        <v>Yes</v>
      </c>
      <c r="H1895" s="5" t="str">
        <f ca="1">IFERROR(__xludf.DUMMYFUNCTION("""COMPUTED_VALUE"""),"Suicide")</f>
        <v>Suicide</v>
      </c>
    </row>
    <row r="1896" spans="1:8" ht="13">
      <c r="A1896" s="5" t="str">
        <f ca="1">IFERROR(__xludf.DUMMYFUNCTION("""COMPUTED_VALUE"""),"19970219AKBEB")</f>
        <v>19970219AKBEB</v>
      </c>
      <c r="B1896" s="5">
        <f ca="1">IFERROR(__xludf.DUMMYFUNCTION("""COMPUTED_VALUE"""),16)</f>
        <v>16</v>
      </c>
      <c r="C1896" s="5" t="str">
        <f ca="1">IFERROR(__xludf.DUMMYFUNCTION("""COMPUTED_VALUE"""),"Male")</f>
        <v>Male</v>
      </c>
      <c r="D1896" s="5" t="str">
        <f ca="1">IFERROR(__xludf.DUMMYFUNCTION("""COMPUTED_VALUE"""),"Native American/Alaska Native")</f>
        <v>Native American/Alaska Native</v>
      </c>
      <c r="E1896" s="5" t="str">
        <f ca="1">IFERROR(__xludf.DUMMYFUNCTION("""COMPUTED_VALUE"""),"Student")</f>
        <v>Student</v>
      </c>
      <c r="F1896" s="5" t="str">
        <f ca="1">IFERROR(__xludf.DUMMYFUNCTION("""COMPUTED_VALUE"""),"Surrendered")</f>
        <v>Surrendered</v>
      </c>
      <c r="G1896" s="5" t="str">
        <f ca="1">IFERROR(__xludf.DUMMYFUNCTION("""COMPUTED_VALUE"""),"No")</f>
        <v>No</v>
      </c>
      <c r="H1896" s="5" t="str">
        <f ca="1">IFERROR(__xludf.DUMMYFUNCTION("""COMPUTED_VALUE"""),"None")</f>
        <v>None</v>
      </c>
    </row>
    <row r="1897" spans="1:8" ht="13">
      <c r="A1897" s="5" t="str">
        <f ca="1">IFERROR(__xludf.DUMMYFUNCTION("""COMPUTED_VALUE"""),"19970213NYSAB")</f>
        <v>19970213NYSAB</v>
      </c>
      <c r="B1897" s="5" t="str">
        <f ca="1">IFERROR(__xludf.DUMMYFUNCTION("""COMPUTED_VALUE"""),"Teen")</f>
        <v>Teen</v>
      </c>
      <c r="C1897" s="5" t="str">
        <f ca="1">IFERROR(__xludf.DUMMYFUNCTION("""COMPUTED_VALUE"""),"Male")</f>
        <v>Male</v>
      </c>
      <c r="D1897" s="5"/>
      <c r="E1897" s="5" t="str">
        <f ca="1">IFERROR(__xludf.DUMMYFUNCTION("""COMPUTED_VALUE"""),"Student")</f>
        <v>Student</v>
      </c>
      <c r="F1897" s="5" t="str">
        <f ca="1">IFERROR(__xludf.DUMMYFUNCTION("""COMPUTED_VALUE"""),"Fled/Escaped")</f>
        <v>Fled/Escaped</v>
      </c>
      <c r="G1897" s="5" t="str">
        <f ca="1">IFERROR(__xludf.DUMMYFUNCTION("""COMPUTED_VALUE"""),"No")</f>
        <v>No</v>
      </c>
      <c r="H1897" s="5" t="str">
        <f ca="1">IFERROR(__xludf.DUMMYFUNCTION("""COMPUTED_VALUE"""),"None")</f>
        <v>None</v>
      </c>
    </row>
    <row r="1898" spans="1:8" ht="13">
      <c r="A1898" s="5" t="str">
        <f ca="1">IFERROR(__xludf.DUMMYFUNCTION("""COMPUTED_VALUE"""),"19970213NYMOB")</f>
        <v>19970213NYMOB</v>
      </c>
      <c r="B1898" s="5">
        <f ca="1">IFERROR(__xludf.DUMMYFUNCTION("""COMPUTED_VALUE"""),17)</f>
        <v>17</v>
      </c>
      <c r="C1898" s="5" t="str">
        <f ca="1">IFERROR(__xludf.DUMMYFUNCTION("""COMPUTED_VALUE"""),"Male")</f>
        <v>Male</v>
      </c>
      <c r="D1898" s="5"/>
      <c r="E1898" s="5" t="str">
        <f ca="1">IFERROR(__xludf.DUMMYFUNCTION("""COMPUTED_VALUE"""),"Student")</f>
        <v>Student</v>
      </c>
      <c r="F1898" s="5" t="str">
        <f ca="1">IFERROR(__xludf.DUMMYFUNCTION("""COMPUTED_VALUE"""),"Unknown")</f>
        <v>Unknown</v>
      </c>
      <c r="G1898" s="5" t="str">
        <f ca="1">IFERROR(__xludf.DUMMYFUNCTION("""COMPUTED_VALUE"""),"No")</f>
        <v>No</v>
      </c>
      <c r="H1898" s="5" t="str">
        <f ca="1">IFERROR(__xludf.DUMMYFUNCTION("""COMPUTED_VALUE"""),"None")</f>
        <v>None</v>
      </c>
    </row>
    <row r="1899" spans="1:8" ht="13">
      <c r="A1899" s="5" t="str">
        <f ca="1">IFERROR(__xludf.DUMMYFUNCTION("""COMPUTED_VALUE"""),"19970206MSWIJ")</f>
        <v>19970206MSWIJ</v>
      </c>
      <c r="B1899" s="5">
        <f ca="1">IFERROR(__xludf.DUMMYFUNCTION("""COMPUTED_VALUE"""),16)</f>
        <v>16</v>
      </c>
      <c r="C1899" s="5" t="str">
        <f ca="1">IFERROR(__xludf.DUMMYFUNCTION("""COMPUTED_VALUE"""),"Male")</f>
        <v>Male</v>
      </c>
      <c r="D1899" s="5" t="str">
        <f ca="1">IFERROR(__xludf.DUMMYFUNCTION("""COMPUTED_VALUE"""),"Black")</f>
        <v>Black</v>
      </c>
      <c r="E1899" s="5" t="str">
        <f ca="1">IFERROR(__xludf.DUMMYFUNCTION("""COMPUTED_VALUE"""),"Student")</f>
        <v>Student</v>
      </c>
      <c r="F1899" s="5" t="str">
        <f ca="1">IFERROR(__xludf.DUMMYFUNCTION("""COMPUTED_VALUE"""),"Fled/Apprehended")</f>
        <v>Fled/Apprehended</v>
      </c>
      <c r="G1899" s="5" t="str">
        <f ca="1">IFERROR(__xludf.DUMMYFUNCTION("""COMPUTED_VALUE"""),"No")</f>
        <v>No</v>
      </c>
      <c r="H1899" s="5" t="str">
        <f ca="1">IFERROR(__xludf.DUMMYFUNCTION("""COMPUTED_VALUE"""),"None")</f>
        <v>None</v>
      </c>
    </row>
    <row r="1900" spans="1:8" ht="13">
      <c r="A1900" s="5" t="str">
        <f ca="1">IFERROR(__xludf.DUMMYFUNCTION("""COMPUTED_VALUE"""),"19970127FLCOW")</f>
        <v>19970127FLCOW</v>
      </c>
      <c r="B1900" s="5">
        <f ca="1">IFERROR(__xludf.DUMMYFUNCTION("""COMPUTED_VALUE"""),13)</f>
        <v>13</v>
      </c>
      <c r="C1900" s="5" t="str">
        <f ca="1">IFERROR(__xludf.DUMMYFUNCTION("""COMPUTED_VALUE"""),"Male")</f>
        <v>Male</v>
      </c>
      <c r="D1900" s="5" t="str">
        <f ca="1">IFERROR(__xludf.DUMMYFUNCTION("""COMPUTED_VALUE"""),"Black")</f>
        <v>Black</v>
      </c>
      <c r="E1900" s="5" t="str">
        <f ca="1">IFERROR(__xludf.DUMMYFUNCTION("""COMPUTED_VALUE"""),"Student")</f>
        <v>Student</v>
      </c>
      <c r="F1900" s="5" t="str">
        <f ca="1">IFERROR(__xludf.DUMMYFUNCTION("""COMPUTED_VALUE"""),"Fled/Apprehended")</f>
        <v>Fled/Apprehended</v>
      </c>
      <c r="G1900" s="5" t="str">
        <f ca="1">IFERROR(__xludf.DUMMYFUNCTION("""COMPUTED_VALUE"""),"No")</f>
        <v>No</v>
      </c>
      <c r="H1900" s="5" t="str">
        <f ca="1">IFERROR(__xludf.DUMMYFUNCTION("""COMPUTED_VALUE"""),"None")</f>
        <v>None</v>
      </c>
    </row>
    <row r="1901" spans="1:8" ht="13">
      <c r="A1901" s="5" t="str">
        <f ca="1">IFERROR(__xludf.DUMMYFUNCTION("""COMPUTED_VALUE"""),"19970108NYCRN")</f>
        <v>19970108NYCRN</v>
      </c>
      <c r="B1901" s="5">
        <f ca="1">IFERROR(__xludf.DUMMYFUNCTION("""COMPUTED_VALUE"""),18)</f>
        <v>18</v>
      </c>
      <c r="C1901" s="5" t="str">
        <f ca="1">IFERROR(__xludf.DUMMYFUNCTION("""COMPUTED_VALUE"""),"Male")</f>
        <v>Male</v>
      </c>
      <c r="D1901" s="5" t="str">
        <f ca="1">IFERROR(__xludf.DUMMYFUNCTION("""COMPUTED_VALUE"""),"Hispanic")</f>
        <v>Hispanic</v>
      </c>
      <c r="E1901" s="5" t="str">
        <f ca="1">IFERROR(__xludf.DUMMYFUNCTION("""COMPUTED_VALUE"""),"Rival School Student")</f>
        <v>Rival School Student</v>
      </c>
      <c r="F1901" s="5" t="str">
        <f ca="1">IFERROR(__xludf.DUMMYFUNCTION("""COMPUTED_VALUE"""),"Fled/Apprehended")</f>
        <v>Fled/Apprehended</v>
      </c>
      <c r="G1901" s="5" t="str">
        <f ca="1">IFERROR(__xludf.DUMMYFUNCTION("""COMPUTED_VALUE"""),"No")</f>
        <v>No</v>
      </c>
      <c r="H1901" s="5" t="str">
        <f ca="1">IFERROR(__xludf.DUMMYFUNCTION("""COMPUTED_VALUE"""),"None")</f>
        <v>None</v>
      </c>
    </row>
    <row r="1902" spans="1:8" ht="13">
      <c r="A1902" s="5" t="str">
        <f ca="1">IFERROR(__xludf.DUMMYFUNCTION("""COMPUTED_VALUE"""),"19970108NYCRN")</f>
        <v>19970108NYCRN</v>
      </c>
      <c r="B1902" s="5">
        <f ca="1">IFERROR(__xludf.DUMMYFUNCTION("""COMPUTED_VALUE"""),18)</f>
        <v>18</v>
      </c>
      <c r="C1902" s="5" t="str">
        <f ca="1">IFERROR(__xludf.DUMMYFUNCTION("""COMPUTED_VALUE"""),"Male")</f>
        <v>Male</v>
      </c>
      <c r="D1902" s="5" t="str">
        <f ca="1">IFERROR(__xludf.DUMMYFUNCTION("""COMPUTED_VALUE"""),"Hispanic")</f>
        <v>Hispanic</v>
      </c>
      <c r="E1902" s="5" t="str">
        <f ca="1">IFERROR(__xludf.DUMMYFUNCTION("""COMPUTED_VALUE"""),"Rival School Student")</f>
        <v>Rival School Student</v>
      </c>
      <c r="F1902" s="5" t="str">
        <f ca="1">IFERROR(__xludf.DUMMYFUNCTION("""COMPUTED_VALUE"""),"Fled/Apprehended")</f>
        <v>Fled/Apprehended</v>
      </c>
      <c r="G1902" s="5" t="str">
        <f ca="1">IFERROR(__xludf.DUMMYFUNCTION("""COMPUTED_VALUE"""),"No")</f>
        <v>No</v>
      </c>
      <c r="H1902" s="5" t="str">
        <f ca="1">IFERROR(__xludf.DUMMYFUNCTION("""COMPUTED_VALUE"""),"None")</f>
        <v>None</v>
      </c>
    </row>
    <row r="1903" spans="1:8" ht="13">
      <c r="A1903" s="5" t="str">
        <f ca="1">IFERROR(__xludf.DUMMYFUNCTION("""COMPUTED_VALUE"""),"19970108NYCRN")</f>
        <v>19970108NYCRN</v>
      </c>
      <c r="B1903" s="5">
        <f ca="1">IFERROR(__xludf.DUMMYFUNCTION("""COMPUTED_VALUE"""),21)</f>
        <v>21</v>
      </c>
      <c r="C1903" s="5" t="str">
        <f ca="1">IFERROR(__xludf.DUMMYFUNCTION("""COMPUTED_VALUE"""),"Male")</f>
        <v>Male</v>
      </c>
      <c r="D1903" s="5" t="str">
        <f ca="1">IFERROR(__xludf.DUMMYFUNCTION("""COMPUTED_VALUE"""),"Hispanic")</f>
        <v>Hispanic</v>
      </c>
      <c r="E1903" s="5" t="str">
        <f ca="1">IFERROR(__xludf.DUMMYFUNCTION("""COMPUTED_VALUE"""),"Rival School Student")</f>
        <v>Rival School Student</v>
      </c>
      <c r="F1903" s="5" t="str">
        <f ca="1">IFERROR(__xludf.DUMMYFUNCTION("""COMPUTED_VALUE"""),"Fled/Apprehended")</f>
        <v>Fled/Apprehended</v>
      </c>
      <c r="G1903" s="5" t="str">
        <f ca="1">IFERROR(__xludf.DUMMYFUNCTION("""COMPUTED_VALUE"""),"No")</f>
        <v>No</v>
      </c>
      <c r="H1903" s="5" t="str">
        <f ca="1">IFERROR(__xludf.DUMMYFUNCTION("""COMPUTED_VALUE"""),"None")</f>
        <v>None</v>
      </c>
    </row>
    <row r="1904" spans="1:8" ht="13">
      <c r="A1904" s="5" t="str">
        <f ca="1">IFERROR(__xludf.DUMMYFUNCTION("""COMPUTED_VALUE"""),"19961127CAHIS")</f>
        <v>19961127CAHIS</v>
      </c>
      <c r="B1904" s="5"/>
      <c r="C1904" s="5"/>
      <c r="D1904" s="5"/>
      <c r="E1904" s="5" t="str">
        <f ca="1">IFERROR(__xludf.DUMMYFUNCTION("""COMPUTED_VALUE"""),"Police Officer/SRO")</f>
        <v>Police Officer/SRO</v>
      </c>
      <c r="F1904" s="5" t="str">
        <f ca="1">IFERROR(__xludf.DUMMYFUNCTION("""COMPUTED_VALUE"""),"Law Enforcement")</f>
        <v>Law Enforcement</v>
      </c>
      <c r="G1904" s="5" t="str">
        <f ca="1">IFERROR(__xludf.DUMMYFUNCTION("""COMPUTED_VALUE"""),"No")</f>
        <v>No</v>
      </c>
      <c r="H1904" s="5" t="str">
        <f ca="1">IFERROR(__xludf.DUMMYFUNCTION("""COMPUTED_VALUE"""),"None")</f>
        <v>None</v>
      </c>
    </row>
    <row r="1905" spans="1:8" ht="13">
      <c r="A1905" s="5" t="str">
        <f ca="1">IFERROR(__xludf.DUMMYFUNCTION("""COMPUTED_VALUE"""),"19961014MOSUS")</f>
        <v>19961014MOSUS</v>
      </c>
      <c r="B1905" s="5">
        <f ca="1">IFERROR(__xludf.DUMMYFUNCTION("""COMPUTED_VALUE"""),14)</f>
        <v>14</v>
      </c>
      <c r="C1905" s="5" t="str">
        <f ca="1">IFERROR(__xludf.DUMMYFUNCTION("""COMPUTED_VALUE"""),"Male")</f>
        <v>Male</v>
      </c>
      <c r="D1905" s="5"/>
      <c r="E1905" s="5" t="str">
        <f ca="1">IFERROR(__xludf.DUMMYFUNCTION("""COMPUTED_VALUE"""),"Student")</f>
        <v>Student</v>
      </c>
      <c r="F1905" s="5" t="str">
        <f ca="1">IFERROR(__xludf.DUMMYFUNCTION("""COMPUTED_VALUE"""),"Fled/Apprehended")</f>
        <v>Fled/Apprehended</v>
      </c>
      <c r="G1905" s="5" t="str">
        <f ca="1">IFERROR(__xludf.DUMMYFUNCTION("""COMPUTED_VALUE"""),"No")</f>
        <v>No</v>
      </c>
      <c r="H1905" s="5" t="str">
        <f ca="1">IFERROR(__xludf.DUMMYFUNCTION("""COMPUTED_VALUE"""),"None")</f>
        <v>None</v>
      </c>
    </row>
    <row r="1906" spans="1:8" ht="13">
      <c r="A1906" s="5" t="str">
        <f ca="1">IFERROR(__xludf.DUMMYFUNCTION("""COMPUTED_VALUE"""),"19961009ARJAS")</f>
        <v>19961009ARJAS</v>
      </c>
      <c r="B1906" s="5">
        <f ca="1">IFERROR(__xludf.DUMMYFUNCTION("""COMPUTED_VALUE"""),14)</f>
        <v>14</v>
      </c>
      <c r="C1906" s="5" t="str">
        <f ca="1">IFERROR(__xludf.DUMMYFUNCTION("""COMPUTED_VALUE"""),"Male")</f>
        <v>Male</v>
      </c>
      <c r="D1906" s="5" t="str">
        <f ca="1">IFERROR(__xludf.DUMMYFUNCTION("""COMPUTED_VALUE"""),"Black")</f>
        <v>Black</v>
      </c>
      <c r="E1906" s="5" t="str">
        <f ca="1">IFERROR(__xludf.DUMMYFUNCTION("""COMPUTED_VALUE"""),"Student")</f>
        <v>Student</v>
      </c>
      <c r="F1906" s="5" t="str">
        <f ca="1">IFERROR(__xludf.DUMMYFUNCTION("""COMPUTED_VALUE"""),"Fled/Apprehended")</f>
        <v>Fled/Apprehended</v>
      </c>
      <c r="G1906" s="5" t="str">
        <f ca="1">IFERROR(__xludf.DUMMYFUNCTION("""COMPUTED_VALUE"""),"No")</f>
        <v>No</v>
      </c>
      <c r="H1906" s="5" t="str">
        <f ca="1">IFERROR(__xludf.DUMMYFUNCTION("""COMPUTED_VALUE"""),"None")</f>
        <v>None</v>
      </c>
    </row>
    <row r="1907" spans="1:8" ht="13">
      <c r="A1907" s="5" t="str">
        <f ca="1">IFERROR(__xludf.DUMMYFUNCTION("""COMPUTED_VALUE"""),"19961004CASTP")</f>
        <v>19961004CASTP</v>
      </c>
      <c r="B1907" s="5">
        <f ca="1">IFERROR(__xludf.DUMMYFUNCTION("""COMPUTED_VALUE"""),17)</f>
        <v>17</v>
      </c>
      <c r="C1907" s="5" t="str">
        <f ca="1">IFERROR(__xludf.DUMMYFUNCTION("""COMPUTED_VALUE"""),"Male")</f>
        <v>Male</v>
      </c>
      <c r="D1907" s="5"/>
      <c r="E1907" s="5" t="str">
        <f ca="1">IFERROR(__xludf.DUMMYFUNCTION("""COMPUTED_VALUE"""),"Student")</f>
        <v>Student</v>
      </c>
      <c r="F1907" s="5" t="str">
        <f ca="1">IFERROR(__xludf.DUMMYFUNCTION("""COMPUTED_VALUE"""),"Fled/Apprehended")</f>
        <v>Fled/Apprehended</v>
      </c>
      <c r="G1907" s="5" t="str">
        <f ca="1">IFERROR(__xludf.DUMMYFUNCTION("""COMPUTED_VALUE"""),"No")</f>
        <v>No</v>
      </c>
      <c r="H1907" s="5" t="str">
        <f ca="1">IFERROR(__xludf.DUMMYFUNCTION("""COMPUTED_VALUE"""),"None")</f>
        <v>None</v>
      </c>
    </row>
    <row r="1908" spans="1:8" ht="13">
      <c r="A1908" s="5" t="str">
        <f ca="1">IFERROR(__xludf.DUMMYFUNCTION("""COMPUTED_VALUE"""),"19961002PASMP")</f>
        <v>19961002PASMP</v>
      </c>
      <c r="B1908" s="5" t="str">
        <f ca="1">IFERROR(__xludf.DUMMYFUNCTION("""COMPUTED_VALUE"""),"Adult")</f>
        <v>Adult</v>
      </c>
      <c r="C1908" s="5" t="str">
        <f ca="1">IFERROR(__xludf.DUMMYFUNCTION("""COMPUTED_VALUE"""),"Male")</f>
        <v>Male</v>
      </c>
      <c r="D1908" s="5"/>
      <c r="E1908" s="5" t="str">
        <f ca="1">IFERROR(__xludf.DUMMYFUNCTION("""COMPUTED_VALUE"""),"Parent")</f>
        <v>Parent</v>
      </c>
      <c r="F1908" s="5" t="str">
        <f ca="1">IFERROR(__xludf.DUMMYFUNCTION("""COMPUTED_VALUE"""),"Fled/Apprehended")</f>
        <v>Fled/Apprehended</v>
      </c>
      <c r="G1908" s="5" t="str">
        <f ca="1">IFERROR(__xludf.DUMMYFUNCTION("""COMPUTED_VALUE"""),"No")</f>
        <v>No</v>
      </c>
      <c r="H1908" s="5" t="str">
        <f ca="1">IFERROR(__xludf.DUMMYFUNCTION("""COMPUTED_VALUE"""),"None")</f>
        <v>None</v>
      </c>
    </row>
    <row r="1909" spans="1:8" ht="13">
      <c r="A1909" s="5" t="str">
        <f ca="1">IFERROR(__xludf.DUMMYFUNCTION("""COMPUTED_VALUE"""),"19960925GADED")</f>
        <v>19960925GADED</v>
      </c>
      <c r="B1909" s="5">
        <f ca="1">IFERROR(__xludf.DUMMYFUNCTION("""COMPUTED_VALUE"""),16)</f>
        <v>16</v>
      </c>
      <c r="C1909" s="5" t="str">
        <f ca="1">IFERROR(__xludf.DUMMYFUNCTION("""COMPUTED_VALUE"""),"Male")</f>
        <v>Male</v>
      </c>
      <c r="D1909" s="5" t="str">
        <f ca="1">IFERROR(__xludf.DUMMYFUNCTION("""COMPUTED_VALUE"""),"Black")</f>
        <v>Black</v>
      </c>
      <c r="E1909" s="5" t="str">
        <f ca="1">IFERROR(__xludf.DUMMYFUNCTION("""COMPUTED_VALUE"""),"Student")</f>
        <v>Student</v>
      </c>
      <c r="F1909" s="5" t="str">
        <f ca="1">IFERROR(__xludf.DUMMYFUNCTION("""COMPUTED_VALUE"""),"Subdued by Students/Staff/Other")</f>
        <v>Subdued by Students/Staff/Other</v>
      </c>
      <c r="G1909" s="5" t="str">
        <f ca="1">IFERROR(__xludf.DUMMYFUNCTION("""COMPUTED_VALUE"""),"No")</f>
        <v>No</v>
      </c>
      <c r="H1909" s="5" t="str">
        <f ca="1">IFERROR(__xludf.DUMMYFUNCTION("""COMPUTED_VALUE"""),"None")</f>
        <v>None</v>
      </c>
    </row>
    <row r="1910" spans="1:8" ht="13">
      <c r="A1910" s="5" t="str">
        <f ca="1">IFERROR(__xludf.DUMMYFUNCTION("""COMPUTED_VALUE"""),"19960726CAJOL")</f>
        <v>19960726CAJOL</v>
      </c>
      <c r="B1910" s="5">
        <f ca="1">IFERROR(__xludf.DUMMYFUNCTION("""COMPUTED_VALUE"""),18)</f>
        <v>18</v>
      </c>
      <c r="C1910" s="5" t="str">
        <f ca="1">IFERROR(__xludf.DUMMYFUNCTION("""COMPUTED_VALUE"""),"Male")</f>
        <v>Male</v>
      </c>
      <c r="D1910" s="5" t="str">
        <f ca="1">IFERROR(__xludf.DUMMYFUNCTION("""COMPUTED_VALUE"""),"Hispanic")</f>
        <v>Hispanic</v>
      </c>
      <c r="E1910" s="5" t="str">
        <f ca="1">IFERROR(__xludf.DUMMYFUNCTION("""COMPUTED_VALUE"""),"Student")</f>
        <v>Student</v>
      </c>
      <c r="F1910" s="5" t="str">
        <f ca="1">IFERROR(__xludf.DUMMYFUNCTION("""COMPUTED_VALUE"""),"Fled/Apprehended")</f>
        <v>Fled/Apprehended</v>
      </c>
      <c r="G1910" s="5" t="str">
        <f ca="1">IFERROR(__xludf.DUMMYFUNCTION("""COMPUTED_VALUE"""),"No")</f>
        <v>No</v>
      </c>
      <c r="H1910" s="5" t="str">
        <f ca="1">IFERROR(__xludf.DUMMYFUNCTION("""COMPUTED_VALUE"""),"None")</f>
        <v>None</v>
      </c>
    </row>
    <row r="1911" spans="1:8" ht="13">
      <c r="A1911" s="5" t="str">
        <f ca="1">IFERROR(__xludf.DUMMYFUNCTION("""COMPUTED_VALUE"""),"19960604CAWEH")</f>
        <v>19960604CAWEH</v>
      </c>
      <c r="B1911" s="5">
        <f ca="1">IFERROR(__xludf.DUMMYFUNCTION("""COMPUTED_VALUE"""),16)</f>
        <v>16</v>
      </c>
      <c r="C1911" s="5" t="str">
        <f ca="1">IFERROR(__xludf.DUMMYFUNCTION("""COMPUTED_VALUE"""),"Male")</f>
        <v>Male</v>
      </c>
      <c r="D1911" s="5"/>
      <c r="E1911" s="5" t="str">
        <f ca="1">IFERROR(__xludf.DUMMYFUNCTION("""COMPUTED_VALUE"""),"Student")</f>
        <v>Student</v>
      </c>
      <c r="F1911" s="5" t="str">
        <f ca="1">IFERROR(__xludf.DUMMYFUNCTION("""COMPUTED_VALUE"""),"Suicide")</f>
        <v>Suicide</v>
      </c>
      <c r="G1911" s="5" t="str">
        <f ca="1">IFERROR(__xludf.DUMMYFUNCTION("""COMPUTED_VALUE"""),"Yes")</f>
        <v>Yes</v>
      </c>
      <c r="H1911" s="5" t="str">
        <f ca="1">IFERROR(__xludf.DUMMYFUNCTION("""COMPUTED_VALUE"""),"Suicide")</f>
        <v>Suicide</v>
      </c>
    </row>
    <row r="1912" spans="1:8" ht="13">
      <c r="A1912" s="5" t="str">
        <f ca="1">IFERROR(__xludf.DUMMYFUNCTION("""COMPUTED_VALUE"""),"19960522CACOC")</f>
        <v>19960522CACOC</v>
      </c>
      <c r="B1912" s="5">
        <f ca="1">IFERROR(__xludf.DUMMYFUNCTION("""COMPUTED_VALUE"""),14)</f>
        <v>14</v>
      </c>
      <c r="C1912" s="5" t="str">
        <f ca="1">IFERROR(__xludf.DUMMYFUNCTION("""COMPUTED_VALUE"""),"Male")</f>
        <v>Male</v>
      </c>
      <c r="D1912" s="5" t="str">
        <f ca="1">IFERROR(__xludf.DUMMYFUNCTION("""COMPUTED_VALUE"""),"Hispanic")</f>
        <v>Hispanic</v>
      </c>
      <c r="E1912" s="5" t="str">
        <f ca="1">IFERROR(__xludf.DUMMYFUNCTION("""COMPUTED_VALUE"""),"Former Student")</f>
        <v>Former Student</v>
      </c>
      <c r="F1912" s="5" t="str">
        <f ca="1">IFERROR(__xludf.DUMMYFUNCTION("""COMPUTED_VALUE"""),"Fled/Apprehended")</f>
        <v>Fled/Apprehended</v>
      </c>
      <c r="G1912" s="5" t="str">
        <f ca="1">IFERROR(__xludf.DUMMYFUNCTION("""COMPUTED_VALUE"""),"No")</f>
        <v>No</v>
      </c>
      <c r="H1912" s="5" t="str">
        <f ca="1">IFERROR(__xludf.DUMMYFUNCTION("""COMPUTED_VALUE"""),"None")</f>
        <v>None</v>
      </c>
    </row>
    <row r="1913" spans="1:8" ht="13">
      <c r="A1913" s="5" t="str">
        <f ca="1">IFERROR(__xludf.DUMMYFUNCTION("""COMPUTED_VALUE"""),"19960514UTBIT")</f>
        <v>19960514UTBIT</v>
      </c>
      <c r="B1913" s="5">
        <f ca="1">IFERROR(__xludf.DUMMYFUNCTION("""COMPUTED_VALUE"""),15)</f>
        <v>15</v>
      </c>
      <c r="C1913" s="5" t="str">
        <f ca="1">IFERROR(__xludf.DUMMYFUNCTION("""COMPUTED_VALUE"""),"Male")</f>
        <v>Male</v>
      </c>
      <c r="D1913" s="5" t="str">
        <f ca="1">IFERROR(__xludf.DUMMYFUNCTION("""COMPUTED_VALUE"""),"White")</f>
        <v>White</v>
      </c>
      <c r="E1913" s="5" t="str">
        <f ca="1">IFERROR(__xludf.DUMMYFUNCTION("""COMPUTED_VALUE"""),"Student")</f>
        <v>Student</v>
      </c>
      <c r="F1913" s="5" t="str">
        <f ca="1">IFERROR(__xludf.DUMMYFUNCTION("""COMPUTED_VALUE"""),"Suicide")</f>
        <v>Suicide</v>
      </c>
      <c r="G1913" s="5" t="str">
        <f ca="1">IFERROR(__xludf.DUMMYFUNCTION("""COMPUTED_VALUE"""),"Yes")</f>
        <v>Yes</v>
      </c>
      <c r="H1913" s="5" t="str">
        <f ca="1">IFERROR(__xludf.DUMMYFUNCTION("""COMPUTED_VALUE"""),"Suicide")</f>
        <v>Suicide</v>
      </c>
    </row>
    <row r="1914" spans="1:8" ht="13">
      <c r="A1914" s="5" t="str">
        <f ca="1">IFERROR(__xludf.DUMMYFUNCTION("""COMPUTED_VALUE"""),"19960415DCMCW")</f>
        <v>19960415DCMCW</v>
      </c>
      <c r="B1914" s="5"/>
      <c r="C1914" s="5"/>
      <c r="D1914" s="5"/>
      <c r="E1914" s="5" t="str">
        <f ca="1">IFERROR(__xludf.DUMMYFUNCTION("""COMPUTED_VALUE"""),"Unknown")</f>
        <v>Unknown</v>
      </c>
      <c r="F1914" s="5" t="str">
        <f ca="1">IFERROR(__xludf.DUMMYFUNCTION("""COMPUTED_VALUE"""),"Unknown")</f>
        <v>Unknown</v>
      </c>
      <c r="G1914" s="5" t="str">
        <f ca="1">IFERROR(__xludf.DUMMYFUNCTION("""COMPUTED_VALUE"""),"No")</f>
        <v>No</v>
      </c>
      <c r="H1914" s="5" t="str">
        <f ca="1">IFERROR(__xludf.DUMMYFUNCTION("""COMPUTED_VALUE"""),"None")</f>
        <v>None</v>
      </c>
    </row>
    <row r="1915" spans="1:8" ht="13">
      <c r="A1915" s="5" t="str">
        <f ca="1">IFERROR(__xludf.DUMMYFUNCTION("""COMPUTED_VALUE"""),"19960411ALTAT")</f>
        <v>19960411ALTAT</v>
      </c>
      <c r="B1915" s="5">
        <f ca="1">IFERROR(__xludf.DUMMYFUNCTION("""COMPUTED_VALUE"""),16)</f>
        <v>16</v>
      </c>
      <c r="C1915" s="5" t="str">
        <f ca="1">IFERROR(__xludf.DUMMYFUNCTION("""COMPUTED_VALUE"""),"Male")</f>
        <v>Male</v>
      </c>
      <c r="D1915" s="5"/>
      <c r="E1915" s="5" t="str">
        <f ca="1">IFERROR(__xludf.DUMMYFUNCTION("""COMPUTED_VALUE"""),"Student")</f>
        <v>Student</v>
      </c>
      <c r="F1915" s="5" t="str">
        <f ca="1">IFERROR(__xludf.DUMMYFUNCTION("""COMPUTED_VALUE"""),"Unknown")</f>
        <v>Unknown</v>
      </c>
      <c r="G1915" s="5" t="str">
        <f ca="1">IFERROR(__xludf.DUMMYFUNCTION("""COMPUTED_VALUE"""),"No")</f>
        <v>No</v>
      </c>
      <c r="H1915" s="5" t="str">
        <f ca="1">IFERROR(__xludf.DUMMYFUNCTION("""COMPUTED_VALUE"""),"None")</f>
        <v>None</v>
      </c>
    </row>
    <row r="1916" spans="1:8" ht="13">
      <c r="A1916" s="5" t="str">
        <f ca="1">IFERROR(__xludf.DUMMYFUNCTION("""COMPUTED_VALUE"""),"19960319NVSWL")</f>
        <v>19960319NVSWL</v>
      </c>
      <c r="B1916" s="5" t="str">
        <f ca="1">IFERROR(__xludf.DUMMYFUNCTION("""COMPUTED_VALUE"""),"Teen")</f>
        <v>Teen</v>
      </c>
      <c r="C1916" s="5"/>
      <c r="D1916" s="5"/>
      <c r="E1916" s="5" t="str">
        <f ca="1">IFERROR(__xludf.DUMMYFUNCTION("""COMPUTED_VALUE"""),"Student")</f>
        <v>Student</v>
      </c>
      <c r="F1916" s="5" t="str">
        <f ca="1">IFERROR(__xludf.DUMMYFUNCTION("""COMPUTED_VALUE"""),"Unknown")</f>
        <v>Unknown</v>
      </c>
      <c r="G1916" s="5" t="str">
        <f ca="1">IFERROR(__xludf.DUMMYFUNCTION("""COMPUTED_VALUE"""),"No")</f>
        <v>No</v>
      </c>
      <c r="H1916" s="5" t="str">
        <f ca="1">IFERROR(__xludf.DUMMYFUNCTION("""COMPUTED_VALUE"""),"None")</f>
        <v>None</v>
      </c>
    </row>
    <row r="1917" spans="1:8" ht="13">
      <c r="A1917" s="5" t="str">
        <f ca="1">IFERROR(__xludf.DUMMYFUNCTION("""COMPUTED_VALUE"""),"19960311NCNON")</f>
        <v>19960311NCNON</v>
      </c>
      <c r="B1917" s="5">
        <f ca="1">IFERROR(__xludf.DUMMYFUNCTION("""COMPUTED_VALUE"""),15)</f>
        <v>15</v>
      </c>
      <c r="C1917" s="5" t="str">
        <f ca="1">IFERROR(__xludf.DUMMYFUNCTION("""COMPUTED_VALUE"""),"Male")</f>
        <v>Male</v>
      </c>
      <c r="D1917" s="5" t="str">
        <f ca="1">IFERROR(__xludf.DUMMYFUNCTION("""COMPUTED_VALUE"""),"White")</f>
        <v>White</v>
      </c>
      <c r="E1917" s="5" t="str">
        <f ca="1">IFERROR(__xludf.DUMMYFUNCTION("""COMPUTED_VALUE"""),"Student")</f>
        <v>Student</v>
      </c>
      <c r="F1917" s="5" t="str">
        <f ca="1">IFERROR(__xludf.DUMMYFUNCTION("""COMPUTED_VALUE"""),"Suicide")</f>
        <v>Suicide</v>
      </c>
      <c r="G1917" s="5" t="str">
        <f ca="1">IFERROR(__xludf.DUMMYFUNCTION("""COMPUTED_VALUE"""),"Yes")</f>
        <v>Yes</v>
      </c>
      <c r="H1917" s="5" t="str">
        <f ca="1">IFERROR(__xludf.DUMMYFUNCTION("""COMPUTED_VALUE"""),"Suicide")</f>
        <v>Suicide</v>
      </c>
    </row>
    <row r="1918" spans="1:8" ht="13">
      <c r="A1918" s="5" t="str">
        <f ca="1">IFERROR(__xludf.DUMMYFUNCTION("""COMPUTED_VALUE"""),"19960229MOBES")</f>
        <v>19960229MOBES</v>
      </c>
      <c r="B1918" s="5">
        <f ca="1">IFERROR(__xludf.DUMMYFUNCTION("""COMPUTED_VALUE"""),21)</f>
        <v>21</v>
      </c>
      <c r="C1918" s="5" t="str">
        <f ca="1">IFERROR(__xludf.DUMMYFUNCTION("""COMPUTED_VALUE"""),"Male")</f>
        <v>Male</v>
      </c>
      <c r="D1918" s="5" t="str">
        <f ca="1">IFERROR(__xludf.DUMMYFUNCTION("""COMPUTED_VALUE"""),"Black")</f>
        <v>Black</v>
      </c>
      <c r="E1918" s="5" t="str">
        <f ca="1">IFERROR(__xludf.DUMMYFUNCTION("""COMPUTED_VALUE"""),"Hitman")</f>
        <v>Hitman</v>
      </c>
      <c r="F1918" s="5" t="str">
        <f ca="1">IFERROR(__xludf.DUMMYFUNCTION("""COMPUTED_VALUE"""),"Fled/Apprehended")</f>
        <v>Fled/Apprehended</v>
      </c>
      <c r="G1918" s="5" t="str">
        <f ca="1">IFERROR(__xludf.DUMMYFUNCTION("""COMPUTED_VALUE"""),"No")</f>
        <v>No</v>
      </c>
      <c r="H1918" s="5" t="str">
        <f ca="1">IFERROR(__xludf.DUMMYFUNCTION("""COMPUTED_VALUE"""),"None")</f>
        <v>None</v>
      </c>
    </row>
    <row r="1919" spans="1:8" ht="13">
      <c r="A1919" s="5" t="str">
        <f ca="1">IFERROR(__xludf.DUMMYFUNCTION("""COMPUTED_VALUE"""),"19960222GAJES")</f>
        <v>19960222GAJES</v>
      </c>
      <c r="B1919" s="5">
        <f ca="1">IFERROR(__xludf.DUMMYFUNCTION("""COMPUTED_VALUE"""),15)</f>
        <v>15</v>
      </c>
      <c r="C1919" s="5" t="str">
        <f ca="1">IFERROR(__xludf.DUMMYFUNCTION("""COMPUTED_VALUE"""),"Male")</f>
        <v>Male</v>
      </c>
      <c r="D1919" s="5" t="str">
        <f ca="1">IFERROR(__xludf.DUMMYFUNCTION("""COMPUTED_VALUE"""),"Black")</f>
        <v>Black</v>
      </c>
      <c r="E1919" s="5" t="str">
        <f ca="1">IFERROR(__xludf.DUMMYFUNCTION("""COMPUTED_VALUE"""),"Student")</f>
        <v>Student</v>
      </c>
      <c r="F1919" s="5" t="str">
        <f ca="1">IFERROR(__xludf.DUMMYFUNCTION("""COMPUTED_VALUE"""),"Fled/Apprehended")</f>
        <v>Fled/Apprehended</v>
      </c>
      <c r="G1919" s="5" t="str">
        <f ca="1">IFERROR(__xludf.DUMMYFUNCTION("""COMPUTED_VALUE"""),"No")</f>
        <v>No</v>
      </c>
      <c r="H1919" s="5" t="str">
        <f ca="1">IFERROR(__xludf.DUMMYFUNCTION("""COMPUTED_VALUE"""),"None")</f>
        <v>None</v>
      </c>
    </row>
    <row r="1920" spans="1:8" ht="13">
      <c r="A1920" s="5" t="str">
        <f ca="1">IFERROR(__xludf.DUMMYFUNCTION("""COMPUTED_VALUE"""),"19960208CAMIM")</f>
        <v>19960208CAMIM</v>
      </c>
      <c r="B1920" s="5">
        <f ca="1">IFERROR(__xludf.DUMMYFUNCTION("""COMPUTED_VALUE"""),16)</f>
        <v>16</v>
      </c>
      <c r="C1920" s="5" t="str">
        <f ca="1">IFERROR(__xludf.DUMMYFUNCTION("""COMPUTED_VALUE"""),"Male")</f>
        <v>Male</v>
      </c>
      <c r="D1920" s="5" t="str">
        <f ca="1">IFERROR(__xludf.DUMMYFUNCTION("""COMPUTED_VALUE"""),"White")</f>
        <v>White</v>
      </c>
      <c r="E1920" s="5" t="str">
        <f ca="1">IFERROR(__xludf.DUMMYFUNCTION("""COMPUTED_VALUE"""),"Student")</f>
        <v>Student</v>
      </c>
      <c r="F1920" s="5" t="str">
        <f ca="1">IFERROR(__xludf.DUMMYFUNCTION("""COMPUTED_VALUE"""),"Suicide")</f>
        <v>Suicide</v>
      </c>
      <c r="G1920" s="5" t="str">
        <f ca="1">IFERROR(__xludf.DUMMYFUNCTION("""COMPUTED_VALUE"""),"Yes")</f>
        <v>Yes</v>
      </c>
      <c r="H1920" s="5" t="str">
        <f ca="1">IFERROR(__xludf.DUMMYFUNCTION("""COMPUTED_VALUE"""),"Suicide")</f>
        <v>Suicide</v>
      </c>
    </row>
    <row r="1921" spans="1:8" ht="13">
      <c r="A1921" s="5" t="str">
        <f ca="1">IFERROR(__xludf.DUMMYFUNCTION("""COMPUTED_VALUE"""),"19960202WAFRM")</f>
        <v>19960202WAFRM</v>
      </c>
      <c r="B1921" s="5">
        <f ca="1">IFERROR(__xludf.DUMMYFUNCTION("""COMPUTED_VALUE"""),14)</f>
        <v>14</v>
      </c>
      <c r="C1921" s="5" t="str">
        <f ca="1">IFERROR(__xludf.DUMMYFUNCTION("""COMPUTED_VALUE"""),"Male")</f>
        <v>Male</v>
      </c>
      <c r="D1921" s="5" t="str">
        <f ca="1">IFERROR(__xludf.DUMMYFUNCTION("""COMPUTED_VALUE"""),"White")</f>
        <v>White</v>
      </c>
      <c r="E1921" s="5" t="str">
        <f ca="1">IFERROR(__xludf.DUMMYFUNCTION("""COMPUTED_VALUE"""),"Student")</f>
        <v>Student</v>
      </c>
      <c r="F1921" s="5" t="str">
        <f ca="1">IFERROR(__xludf.DUMMYFUNCTION("""COMPUTED_VALUE"""),"Subdued by Students/Staff/Other")</f>
        <v>Subdued by Students/Staff/Other</v>
      </c>
      <c r="G1921" s="5" t="str">
        <f ca="1">IFERROR(__xludf.DUMMYFUNCTION("""COMPUTED_VALUE"""),"No")</f>
        <v>No</v>
      </c>
      <c r="H1921" s="5" t="str">
        <f ca="1">IFERROR(__xludf.DUMMYFUNCTION("""COMPUTED_VALUE"""),"None")</f>
        <v>None</v>
      </c>
    </row>
    <row r="1922" spans="1:8" ht="13">
      <c r="A1922" s="5" t="str">
        <f ca="1">IFERROR(__xludf.DUMMYFUNCTION("""COMPUTED_VALUE"""),"19960126TNEAM")</f>
        <v>19960126TNEAM</v>
      </c>
      <c r="B1922" s="5" t="str">
        <f ca="1">IFERROR(__xludf.DUMMYFUNCTION("""COMPUTED_VALUE"""),"Adult")</f>
        <v>Adult</v>
      </c>
      <c r="C1922" s="5"/>
      <c r="D1922" s="5"/>
      <c r="E1922" s="5" t="str">
        <f ca="1">IFERROR(__xludf.DUMMYFUNCTION("""COMPUTED_VALUE"""),"Nonstudent Using Athletic Facilities/Attending Game")</f>
        <v>Nonstudent Using Athletic Facilities/Attending Game</v>
      </c>
      <c r="F1922" s="5" t="str">
        <f ca="1">IFERROR(__xludf.DUMMYFUNCTION("""COMPUTED_VALUE"""),"Fled/Escaped")</f>
        <v>Fled/Escaped</v>
      </c>
      <c r="G1922" s="5" t="str">
        <f ca="1">IFERROR(__xludf.DUMMYFUNCTION("""COMPUTED_VALUE"""),"No")</f>
        <v>No</v>
      </c>
      <c r="H1922" s="5" t="str">
        <f ca="1">IFERROR(__xludf.DUMMYFUNCTION("""COMPUTED_VALUE"""),"None")</f>
        <v>None</v>
      </c>
    </row>
    <row r="1923" spans="1:8" ht="13">
      <c r="A1923" s="5" t="str">
        <f ca="1">IFERROR(__xludf.DUMMYFUNCTION("""COMPUTED_VALUE"""),"19960119DCWIW")</f>
        <v>19960119DCWIW</v>
      </c>
      <c r="B1923" s="5">
        <f ca="1">IFERROR(__xludf.DUMMYFUNCTION("""COMPUTED_VALUE"""),18)</f>
        <v>18</v>
      </c>
      <c r="C1923" s="5" t="str">
        <f ca="1">IFERROR(__xludf.DUMMYFUNCTION("""COMPUTED_VALUE"""),"Male")</f>
        <v>Male</v>
      </c>
      <c r="D1923" s="5" t="str">
        <f ca="1">IFERROR(__xludf.DUMMYFUNCTION("""COMPUTED_VALUE"""),"Black")</f>
        <v>Black</v>
      </c>
      <c r="E1923" s="5" t="str">
        <f ca="1">IFERROR(__xludf.DUMMYFUNCTION("""COMPUTED_VALUE"""),"Unknown")</f>
        <v>Unknown</v>
      </c>
      <c r="F1923" s="5" t="str">
        <f ca="1">IFERROR(__xludf.DUMMYFUNCTION("""COMPUTED_VALUE"""),"Fled/Apprehended")</f>
        <v>Fled/Apprehended</v>
      </c>
      <c r="G1923" s="5" t="str">
        <f ca="1">IFERROR(__xludf.DUMMYFUNCTION("""COMPUTED_VALUE"""),"No")</f>
        <v>No</v>
      </c>
      <c r="H1923" s="5" t="str">
        <f ca="1">IFERROR(__xludf.DUMMYFUNCTION("""COMPUTED_VALUE"""),"None")</f>
        <v>None</v>
      </c>
    </row>
    <row r="1924" spans="1:8" ht="13">
      <c r="A1924" s="5" t="str">
        <f ca="1">IFERROR(__xludf.DUMMYFUNCTION("""COMPUTED_VALUE"""),"19960102PAGIG")</f>
        <v>19960102PAGIG</v>
      </c>
      <c r="B1924" s="5">
        <f ca="1">IFERROR(__xludf.DUMMYFUNCTION("""COMPUTED_VALUE"""),16)</f>
        <v>16</v>
      </c>
      <c r="C1924" s="5" t="str">
        <f ca="1">IFERROR(__xludf.DUMMYFUNCTION("""COMPUTED_VALUE"""),"Male")</f>
        <v>Male</v>
      </c>
      <c r="D1924" s="5"/>
      <c r="E1924" s="5" t="str">
        <f ca="1">IFERROR(__xludf.DUMMYFUNCTION("""COMPUTED_VALUE"""),"Unknown")</f>
        <v>Unknown</v>
      </c>
      <c r="F1924" s="5" t="str">
        <f ca="1">IFERROR(__xludf.DUMMYFUNCTION("""COMPUTED_VALUE"""),"Suicide")</f>
        <v>Suicide</v>
      </c>
      <c r="G1924" s="5" t="str">
        <f ca="1">IFERROR(__xludf.DUMMYFUNCTION("""COMPUTED_VALUE"""),"Yes")</f>
        <v>Yes</v>
      </c>
      <c r="H1924" s="5" t="str">
        <f ca="1">IFERROR(__xludf.DUMMYFUNCTION("""COMPUTED_VALUE"""),"Suicide")</f>
        <v>Suicide</v>
      </c>
    </row>
    <row r="1925" spans="1:8" ht="13">
      <c r="A1925" s="5" t="str">
        <f ca="1">IFERROR(__xludf.DUMMYFUNCTION("""COMPUTED_VALUE"""),"19951128NYTHN")</f>
        <v>19951128NYTHN</v>
      </c>
      <c r="B1925" s="5"/>
      <c r="C1925" s="5" t="str">
        <f ca="1">IFERROR(__xludf.DUMMYFUNCTION("""COMPUTED_VALUE"""),"Male")</f>
        <v>Male</v>
      </c>
      <c r="D1925" s="5"/>
      <c r="E1925" s="5" t="str">
        <f ca="1">IFERROR(__xludf.DUMMYFUNCTION("""COMPUTED_VALUE"""),"Unknown")</f>
        <v>Unknown</v>
      </c>
      <c r="F1925" s="5" t="str">
        <f ca="1">IFERROR(__xludf.DUMMYFUNCTION("""COMPUTED_VALUE"""),"Fled/Escaped")</f>
        <v>Fled/Escaped</v>
      </c>
      <c r="G1925" s="5" t="str">
        <f ca="1">IFERROR(__xludf.DUMMYFUNCTION("""COMPUTED_VALUE"""),"No")</f>
        <v>No</v>
      </c>
      <c r="H1925" s="5" t="str">
        <f ca="1">IFERROR(__xludf.DUMMYFUNCTION("""COMPUTED_VALUE"""),"None")</f>
        <v>None</v>
      </c>
    </row>
    <row r="1926" spans="1:8" ht="13">
      <c r="A1926" s="5" t="str">
        <f ca="1">IFERROR(__xludf.DUMMYFUNCTION("""COMPUTED_VALUE"""),"19951115TNRIL")</f>
        <v>19951115TNRIL</v>
      </c>
      <c r="B1926" s="5">
        <f ca="1">IFERROR(__xludf.DUMMYFUNCTION("""COMPUTED_VALUE"""),17)</f>
        <v>17</v>
      </c>
      <c r="C1926" s="5" t="str">
        <f ca="1">IFERROR(__xludf.DUMMYFUNCTION("""COMPUTED_VALUE"""),"Male")</f>
        <v>Male</v>
      </c>
      <c r="D1926" s="5" t="str">
        <f ca="1">IFERROR(__xludf.DUMMYFUNCTION("""COMPUTED_VALUE"""),"White")</f>
        <v>White</v>
      </c>
      <c r="E1926" s="5" t="str">
        <f ca="1">IFERROR(__xludf.DUMMYFUNCTION("""COMPUTED_VALUE"""),"Student")</f>
        <v>Student</v>
      </c>
      <c r="F1926" s="5" t="str">
        <f ca="1">IFERROR(__xludf.DUMMYFUNCTION("""COMPUTED_VALUE"""),"Subdued by Students/Staff/Other")</f>
        <v>Subdued by Students/Staff/Other</v>
      </c>
      <c r="G1926" s="5" t="str">
        <f ca="1">IFERROR(__xludf.DUMMYFUNCTION("""COMPUTED_VALUE"""),"No")</f>
        <v>No</v>
      </c>
      <c r="H1926" s="5" t="str">
        <f ca="1">IFERROR(__xludf.DUMMYFUNCTION("""COMPUTED_VALUE"""),"None")</f>
        <v>None</v>
      </c>
    </row>
    <row r="1927" spans="1:8" ht="13">
      <c r="A1927" s="5" t="str">
        <f ca="1">IFERROR(__xludf.DUMMYFUNCTION("""COMPUTED_VALUE"""),"19951102FLBLM")</f>
        <v>19951102FLBLM</v>
      </c>
      <c r="B1927" s="5">
        <f ca="1">IFERROR(__xludf.DUMMYFUNCTION("""COMPUTED_VALUE"""),42)</f>
        <v>42</v>
      </c>
      <c r="C1927" s="5" t="str">
        <f ca="1">IFERROR(__xludf.DUMMYFUNCTION("""COMPUTED_VALUE"""),"Male")</f>
        <v>Male</v>
      </c>
      <c r="D1927" s="5" t="str">
        <f ca="1">IFERROR(__xludf.DUMMYFUNCTION("""COMPUTED_VALUE"""),"Asian")</f>
        <v>Asian</v>
      </c>
      <c r="E1927" s="5" t="str">
        <f ca="1">IFERROR(__xludf.DUMMYFUNCTION("""COMPUTED_VALUE"""),"No Relation")</f>
        <v>No Relation</v>
      </c>
      <c r="F1927" s="5" t="str">
        <f ca="1">IFERROR(__xludf.DUMMYFUNCTION("""COMPUTED_VALUE"""),"Apprehended/Killed by LE")</f>
        <v>Apprehended/Killed by LE</v>
      </c>
      <c r="G1927" s="5" t="str">
        <f ca="1">IFERROR(__xludf.DUMMYFUNCTION("""COMPUTED_VALUE"""),"Yes")</f>
        <v>Yes</v>
      </c>
      <c r="H1927" s="5" t="str">
        <f ca="1">IFERROR(__xludf.DUMMYFUNCTION("""COMPUTED_VALUE"""),"Fatal")</f>
        <v>Fatal</v>
      </c>
    </row>
    <row r="1928" spans="1:8" ht="13">
      <c r="A1928" s="5" t="str">
        <f ca="1">IFERROR(__xludf.DUMMYFUNCTION("""COMPUTED_VALUE"""),"19951030VAJOR")</f>
        <v>19951030VAJOR</v>
      </c>
      <c r="B1928" s="5">
        <f ca="1">IFERROR(__xludf.DUMMYFUNCTION("""COMPUTED_VALUE"""),17)</f>
        <v>17</v>
      </c>
      <c r="C1928" s="5" t="str">
        <f ca="1">IFERROR(__xludf.DUMMYFUNCTION("""COMPUTED_VALUE"""),"Male")</f>
        <v>Male</v>
      </c>
      <c r="D1928" s="5" t="str">
        <f ca="1">IFERROR(__xludf.DUMMYFUNCTION("""COMPUTED_VALUE"""),"Black")</f>
        <v>Black</v>
      </c>
      <c r="E1928" s="5" t="str">
        <f ca="1">IFERROR(__xludf.DUMMYFUNCTION("""COMPUTED_VALUE"""),"Student")</f>
        <v>Student</v>
      </c>
      <c r="F1928" s="5" t="str">
        <f ca="1">IFERROR(__xludf.DUMMYFUNCTION("""COMPUTED_VALUE"""),"Fled/Apprehended")</f>
        <v>Fled/Apprehended</v>
      </c>
      <c r="G1928" s="5" t="str">
        <f ca="1">IFERROR(__xludf.DUMMYFUNCTION("""COMPUTED_VALUE"""),"No")</f>
        <v>No</v>
      </c>
      <c r="H1928" s="5" t="str">
        <f ca="1">IFERROR(__xludf.DUMMYFUNCTION("""COMPUTED_VALUE"""),"None")</f>
        <v>None</v>
      </c>
    </row>
    <row r="1929" spans="1:8" ht="13">
      <c r="A1929" s="5" t="str">
        <f ca="1">IFERROR(__xludf.DUMMYFUNCTION("""COMPUTED_VALUE"""),"19951023FLLAC")</f>
        <v>19951023FLLAC</v>
      </c>
      <c r="B1929" s="5">
        <f ca="1">IFERROR(__xludf.DUMMYFUNCTION("""COMPUTED_VALUE"""),16)</f>
        <v>16</v>
      </c>
      <c r="C1929" s="5" t="str">
        <f ca="1">IFERROR(__xludf.DUMMYFUNCTION("""COMPUTED_VALUE"""),"Female")</f>
        <v>Female</v>
      </c>
      <c r="D1929" s="5"/>
      <c r="E1929" s="5" t="str">
        <f ca="1">IFERROR(__xludf.DUMMYFUNCTION("""COMPUTED_VALUE"""),"Student")</f>
        <v>Student</v>
      </c>
      <c r="F1929" s="5" t="str">
        <f ca="1">IFERROR(__xludf.DUMMYFUNCTION("""COMPUTED_VALUE"""),"Other")</f>
        <v>Other</v>
      </c>
      <c r="G1929" s="5" t="str">
        <f ca="1">IFERROR(__xludf.DUMMYFUNCTION("""COMPUTED_VALUE"""),"No")</f>
        <v>No</v>
      </c>
      <c r="H1929" s="5" t="str">
        <f ca="1">IFERROR(__xludf.DUMMYFUNCTION("""COMPUTED_VALUE"""),"Wounded")</f>
        <v>Wounded</v>
      </c>
    </row>
    <row r="1930" spans="1:8" ht="13">
      <c r="A1930" s="5" t="str">
        <f ca="1">IFERROR(__xludf.DUMMYFUNCTION("""COMPUTED_VALUE"""),"19951012SCBLB")</f>
        <v>19951012SCBLB</v>
      </c>
      <c r="B1930" s="5">
        <f ca="1">IFERROR(__xludf.DUMMYFUNCTION("""COMPUTED_VALUE"""),16)</f>
        <v>16</v>
      </c>
      <c r="C1930" s="5" t="str">
        <f ca="1">IFERROR(__xludf.DUMMYFUNCTION("""COMPUTED_VALUE"""),"Male")</f>
        <v>Male</v>
      </c>
      <c r="D1930" s="5" t="str">
        <f ca="1">IFERROR(__xludf.DUMMYFUNCTION("""COMPUTED_VALUE"""),"Black")</f>
        <v>Black</v>
      </c>
      <c r="E1930" s="5" t="str">
        <f ca="1">IFERROR(__xludf.DUMMYFUNCTION("""COMPUTED_VALUE"""),"Student")</f>
        <v>Student</v>
      </c>
      <c r="F1930" s="5" t="str">
        <f ca="1">IFERROR(__xludf.DUMMYFUNCTION("""COMPUTED_VALUE"""),"Suicide")</f>
        <v>Suicide</v>
      </c>
      <c r="G1930" s="5" t="str">
        <f ca="1">IFERROR(__xludf.DUMMYFUNCTION("""COMPUTED_VALUE"""),"Yes")</f>
        <v>Yes</v>
      </c>
      <c r="H1930" s="5" t="str">
        <f ca="1">IFERROR(__xludf.DUMMYFUNCTION("""COMPUTED_VALUE"""),"Suicide")</f>
        <v>Suicide</v>
      </c>
    </row>
    <row r="1931" spans="1:8" ht="13">
      <c r="A1931" s="5" t="str">
        <f ca="1">IFERROR(__xludf.DUMMYFUNCTION("""COMPUTED_VALUE"""),"19950929FLTAT")</f>
        <v>19950929FLTAT</v>
      </c>
      <c r="B1931" s="5">
        <f ca="1">IFERROR(__xludf.DUMMYFUNCTION("""COMPUTED_VALUE"""),14)</f>
        <v>14</v>
      </c>
      <c r="C1931" s="5" t="str">
        <f ca="1">IFERROR(__xludf.DUMMYFUNCTION("""COMPUTED_VALUE"""),"Male")</f>
        <v>Male</v>
      </c>
      <c r="D1931" s="5" t="str">
        <f ca="1">IFERROR(__xludf.DUMMYFUNCTION("""COMPUTED_VALUE"""),"White")</f>
        <v>White</v>
      </c>
      <c r="E1931" s="5" t="str">
        <f ca="1">IFERROR(__xludf.DUMMYFUNCTION("""COMPUTED_VALUE"""),"Student")</f>
        <v>Student</v>
      </c>
      <c r="F1931" s="5" t="str">
        <f ca="1">IFERROR(__xludf.DUMMYFUNCTION("""COMPUTED_VALUE"""),"Fled/Apprehended")</f>
        <v>Fled/Apprehended</v>
      </c>
      <c r="G1931" s="5" t="str">
        <f ca="1">IFERROR(__xludf.DUMMYFUNCTION("""COMPUTED_VALUE"""),"No")</f>
        <v>No</v>
      </c>
      <c r="H1931" s="5" t="str">
        <f ca="1">IFERROR(__xludf.DUMMYFUNCTION("""COMPUTED_VALUE"""),"None")</f>
        <v>None</v>
      </c>
    </row>
    <row r="1932" spans="1:8" ht="13">
      <c r="A1932" s="5" t="str">
        <f ca="1">IFERROR(__xludf.DUMMYFUNCTION("""COMPUTED_VALUE"""),"19950927ALBLP")</f>
        <v>19950927ALBLP</v>
      </c>
      <c r="B1932" s="5">
        <f ca="1">IFERROR(__xludf.DUMMYFUNCTION("""COMPUTED_VALUE"""),19)</f>
        <v>19</v>
      </c>
      <c r="C1932" s="5" t="str">
        <f ca="1">IFERROR(__xludf.DUMMYFUNCTION("""COMPUTED_VALUE"""),"Male")</f>
        <v>Male</v>
      </c>
      <c r="D1932" s="5"/>
      <c r="E1932" s="5" t="str">
        <f ca="1">IFERROR(__xludf.DUMMYFUNCTION("""COMPUTED_VALUE"""),"Relative")</f>
        <v>Relative</v>
      </c>
      <c r="F1932" s="5" t="str">
        <f ca="1">IFERROR(__xludf.DUMMYFUNCTION("""COMPUTED_VALUE"""),"Unknown")</f>
        <v>Unknown</v>
      </c>
      <c r="G1932" s="5" t="str">
        <f ca="1">IFERROR(__xludf.DUMMYFUNCTION("""COMPUTED_VALUE"""),"No")</f>
        <v>No</v>
      </c>
      <c r="H1932" s="5" t="str">
        <f ca="1">IFERROR(__xludf.DUMMYFUNCTION("""COMPUTED_VALUE"""),"None")</f>
        <v>None</v>
      </c>
    </row>
    <row r="1933" spans="1:8" ht="13">
      <c r="A1933" s="5" t="str">
        <f ca="1">IFERROR(__xludf.DUMMYFUNCTION("""COMPUTED_VALUE"""),"19950915KYGEW")</f>
        <v>19950915KYGEW</v>
      </c>
      <c r="B1933" s="5" t="str">
        <f ca="1">IFERROR(__xludf.DUMMYFUNCTION("""COMPUTED_VALUE"""),"Teen")</f>
        <v>Teen</v>
      </c>
      <c r="C1933" s="5" t="str">
        <f ca="1">IFERROR(__xludf.DUMMYFUNCTION("""COMPUTED_VALUE"""),"Male")</f>
        <v>Male</v>
      </c>
      <c r="D1933" s="5"/>
      <c r="E1933" s="5" t="str">
        <f ca="1">IFERROR(__xludf.DUMMYFUNCTION("""COMPUTED_VALUE"""),"Student")</f>
        <v>Student</v>
      </c>
      <c r="F1933" s="5" t="str">
        <f ca="1">IFERROR(__xludf.DUMMYFUNCTION("""COMPUTED_VALUE"""),"Unknown")</f>
        <v>Unknown</v>
      </c>
      <c r="G1933" s="5" t="str">
        <f ca="1">IFERROR(__xludf.DUMMYFUNCTION("""COMPUTED_VALUE"""),"No")</f>
        <v>No</v>
      </c>
      <c r="H1933" s="5" t="str">
        <f ca="1">IFERROR(__xludf.DUMMYFUNCTION("""COMPUTED_VALUE"""),"None")</f>
        <v>None</v>
      </c>
    </row>
    <row r="1934" spans="1:8" ht="13">
      <c r="A1934" s="5" t="str">
        <f ca="1">IFERROR(__xludf.DUMMYFUNCTION("""COMPUTED_VALUE"""),"19950914KSOLO")</f>
        <v>19950914KSOLO</v>
      </c>
      <c r="B1934" s="5">
        <f ca="1">IFERROR(__xludf.DUMMYFUNCTION("""COMPUTED_VALUE"""),17)</f>
        <v>17</v>
      </c>
      <c r="C1934" s="5" t="str">
        <f ca="1">IFERROR(__xludf.DUMMYFUNCTION("""COMPUTED_VALUE"""),"Male")</f>
        <v>Male</v>
      </c>
      <c r="D1934" s="5" t="str">
        <f ca="1">IFERROR(__xludf.DUMMYFUNCTION("""COMPUTED_VALUE"""),"Black")</f>
        <v>Black</v>
      </c>
      <c r="E1934" s="5" t="str">
        <f ca="1">IFERROR(__xludf.DUMMYFUNCTION("""COMPUTED_VALUE"""),"Rival School Student")</f>
        <v>Rival School Student</v>
      </c>
      <c r="F1934" s="5" t="str">
        <f ca="1">IFERROR(__xludf.DUMMYFUNCTION("""COMPUTED_VALUE"""),"Fled/Apprehended")</f>
        <v>Fled/Apprehended</v>
      </c>
      <c r="G1934" s="5" t="str">
        <f ca="1">IFERROR(__xludf.DUMMYFUNCTION("""COMPUTED_VALUE"""),"No")</f>
        <v>No</v>
      </c>
      <c r="H1934" s="5" t="str">
        <f ca="1">IFERROR(__xludf.DUMMYFUNCTION("""COMPUTED_VALUE"""),"None")</f>
        <v>None</v>
      </c>
    </row>
    <row r="1935" spans="1:8" ht="13">
      <c r="A1935" s="5" t="str">
        <f ca="1">IFERROR(__xludf.DUMMYFUNCTION("""COMPUTED_VALUE"""),"19950912TNCYM")</f>
        <v>19950912TNCYM</v>
      </c>
      <c r="B1935" s="5">
        <f ca="1">IFERROR(__xludf.DUMMYFUNCTION("""COMPUTED_VALUE"""),15)</f>
        <v>15</v>
      </c>
      <c r="C1935" s="5" t="str">
        <f ca="1">IFERROR(__xludf.DUMMYFUNCTION("""COMPUTED_VALUE"""),"Male")</f>
        <v>Male</v>
      </c>
      <c r="D1935" s="5" t="str">
        <f ca="1">IFERROR(__xludf.DUMMYFUNCTION("""COMPUTED_VALUE"""),"Black")</f>
        <v>Black</v>
      </c>
      <c r="E1935" s="5" t="str">
        <f ca="1">IFERROR(__xludf.DUMMYFUNCTION("""COMPUTED_VALUE"""),"Student")</f>
        <v>Student</v>
      </c>
      <c r="F1935" s="5" t="str">
        <f ca="1">IFERROR(__xludf.DUMMYFUNCTION("""COMPUTED_VALUE"""),"Unknown")</f>
        <v>Unknown</v>
      </c>
      <c r="G1935" s="5" t="str">
        <f ca="1">IFERROR(__xludf.DUMMYFUNCTION("""COMPUTED_VALUE"""),"No")</f>
        <v>No</v>
      </c>
      <c r="H1935" s="5" t="str">
        <f ca="1">IFERROR(__xludf.DUMMYFUNCTION("""COMPUTED_VALUE"""),"None")</f>
        <v>None</v>
      </c>
    </row>
    <row r="1936" spans="1:8" ht="13">
      <c r="A1936" s="5" t="str">
        <f ca="1">IFERROR(__xludf.DUMMYFUNCTION("""COMPUTED_VALUE"""),"19950829TXMEL")</f>
        <v>19950829TXMEL</v>
      </c>
      <c r="B1936" s="5">
        <f ca="1">IFERROR(__xludf.DUMMYFUNCTION("""COMPUTED_VALUE"""),12)</f>
        <v>12</v>
      </c>
      <c r="C1936" s="5" t="str">
        <f ca="1">IFERROR(__xludf.DUMMYFUNCTION("""COMPUTED_VALUE"""),"Male")</f>
        <v>Male</v>
      </c>
      <c r="D1936" s="5" t="str">
        <f ca="1">IFERROR(__xludf.DUMMYFUNCTION("""COMPUTED_VALUE"""),"White")</f>
        <v>White</v>
      </c>
      <c r="E1936" s="5" t="str">
        <f ca="1">IFERROR(__xludf.DUMMYFUNCTION("""COMPUTED_VALUE"""),"Student")</f>
        <v>Student</v>
      </c>
      <c r="F1936" s="5" t="str">
        <f ca="1">IFERROR(__xludf.DUMMYFUNCTION("""COMPUTED_VALUE"""),"Fled/Apprehended")</f>
        <v>Fled/Apprehended</v>
      </c>
      <c r="G1936" s="5" t="str">
        <f ca="1">IFERROR(__xludf.DUMMYFUNCTION("""COMPUTED_VALUE"""),"No")</f>
        <v>No</v>
      </c>
      <c r="H1936" s="5" t="str">
        <f ca="1">IFERROR(__xludf.DUMMYFUNCTION("""COMPUTED_VALUE"""),"None")</f>
        <v>None</v>
      </c>
    </row>
    <row r="1937" spans="1:8" ht="13">
      <c r="A1937" s="5" t="str">
        <f ca="1">IFERROR(__xludf.DUMMYFUNCTION("""COMPUTED_VALUE"""),"19950614FLLAL")</f>
        <v>19950614FLLAL</v>
      </c>
      <c r="B1937" s="5">
        <f ca="1">IFERROR(__xludf.DUMMYFUNCTION("""COMPUTED_VALUE"""),19)</f>
        <v>19</v>
      </c>
      <c r="C1937" s="5" t="str">
        <f ca="1">IFERROR(__xludf.DUMMYFUNCTION("""COMPUTED_VALUE"""),"Male")</f>
        <v>Male</v>
      </c>
      <c r="D1937" s="5"/>
      <c r="E1937" s="5" t="str">
        <f ca="1">IFERROR(__xludf.DUMMYFUNCTION("""COMPUTED_VALUE"""),"Former Student")</f>
        <v>Former Student</v>
      </c>
      <c r="F1937" s="5" t="str">
        <f ca="1">IFERROR(__xludf.DUMMYFUNCTION("""COMPUTED_VALUE"""),"Fled/Apprehended")</f>
        <v>Fled/Apprehended</v>
      </c>
      <c r="G1937" s="5" t="str">
        <f ca="1">IFERROR(__xludf.DUMMYFUNCTION("""COMPUTED_VALUE"""),"No")</f>
        <v>No</v>
      </c>
      <c r="H1937" s="5" t="str">
        <f ca="1">IFERROR(__xludf.DUMMYFUNCTION("""COMPUTED_VALUE"""),"None")</f>
        <v>None</v>
      </c>
    </row>
    <row r="1938" spans="1:8" ht="13">
      <c r="A1938" s="5" t="str">
        <f ca="1">IFERROR(__xludf.DUMMYFUNCTION("""COMPUTED_VALUE"""),"19950327MIRED")</f>
        <v>19950327MIRED</v>
      </c>
      <c r="B1938" s="5">
        <f ca="1">IFERROR(__xludf.DUMMYFUNCTION("""COMPUTED_VALUE"""),18)</f>
        <v>18</v>
      </c>
      <c r="C1938" s="5" t="str">
        <f ca="1">IFERROR(__xludf.DUMMYFUNCTION("""COMPUTED_VALUE"""),"Male")</f>
        <v>Male</v>
      </c>
      <c r="D1938" s="5"/>
      <c r="E1938" s="5" t="str">
        <f ca="1">IFERROR(__xludf.DUMMYFUNCTION("""COMPUTED_VALUE"""),"Student")</f>
        <v>Student</v>
      </c>
      <c r="F1938" s="5" t="str">
        <f ca="1">IFERROR(__xludf.DUMMYFUNCTION("""COMPUTED_VALUE"""),"Fled/Apprehended")</f>
        <v>Fled/Apprehended</v>
      </c>
      <c r="G1938" s="5" t="str">
        <f ca="1">IFERROR(__xludf.DUMMYFUNCTION("""COMPUTED_VALUE"""),"No")</f>
        <v>No</v>
      </c>
      <c r="H1938" s="5" t="str">
        <f ca="1">IFERROR(__xludf.DUMMYFUNCTION("""COMPUTED_VALUE"""),"None")</f>
        <v>None</v>
      </c>
    </row>
    <row r="1939" spans="1:8" ht="13">
      <c r="A1939" s="5" t="str">
        <f ca="1">IFERROR(__xludf.DUMMYFUNCTION("""COMPUTED_VALUE"""),"19950303MIPED")</f>
        <v>19950303MIPED</v>
      </c>
      <c r="B1939" s="5"/>
      <c r="C1939" s="5"/>
      <c r="D1939" s="5"/>
      <c r="E1939" s="5" t="str">
        <f ca="1">IFERROR(__xludf.DUMMYFUNCTION("""COMPUTED_VALUE"""),"Unknown")</f>
        <v>Unknown</v>
      </c>
      <c r="F1939" s="5" t="str">
        <f ca="1">IFERROR(__xludf.DUMMYFUNCTION("""COMPUTED_VALUE"""),"Fled/Escaped")</f>
        <v>Fled/Escaped</v>
      </c>
      <c r="G1939" s="5" t="str">
        <f ca="1">IFERROR(__xludf.DUMMYFUNCTION("""COMPUTED_VALUE"""),"No")</f>
        <v>No</v>
      </c>
      <c r="H1939" s="5" t="str">
        <f ca="1">IFERROR(__xludf.DUMMYFUNCTION("""COMPUTED_VALUE"""),"None")</f>
        <v>None</v>
      </c>
    </row>
    <row r="1940" spans="1:8" ht="13">
      <c r="A1940" s="5" t="str">
        <f ca="1">IFERROR(__xludf.DUMMYFUNCTION("""COMPUTED_VALUE"""),"19950208NECHS")</f>
        <v>19950208NECHS</v>
      </c>
      <c r="B1940" s="5">
        <f ca="1">IFERROR(__xludf.DUMMYFUNCTION("""COMPUTED_VALUE"""),13)</f>
        <v>13</v>
      </c>
      <c r="C1940" s="5" t="str">
        <f ca="1">IFERROR(__xludf.DUMMYFUNCTION("""COMPUTED_VALUE"""),"Male")</f>
        <v>Male</v>
      </c>
      <c r="D1940" s="5"/>
      <c r="E1940" s="5" t="str">
        <f ca="1">IFERROR(__xludf.DUMMYFUNCTION("""COMPUTED_VALUE"""),"Student")</f>
        <v>Student</v>
      </c>
      <c r="F1940" s="5" t="str">
        <f ca="1">IFERROR(__xludf.DUMMYFUNCTION("""COMPUTED_VALUE"""),"Unknown")</f>
        <v>Unknown</v>
      </c>
      <c r="G1940" s="5" t="str">
        <f ca="1">IFERROR(__xludf.DUMMYFUNCTION("""COMPUTED_VALUE"""),"No")</f>
        <v>No</v>
      </c>
      <c r="H1940" s="5" t="str">
        <f ca="1">IFERROR(__xludf.DUMMYFUNCTION("""COMPUTED_VALUE"""),"None")</f>
        <v>None</v>
      </c>
    </row>
    <row r="1941" spans="1:8" ht="13">
      <c r="A1941" s="5" t="str">
        <f ca="1">IFERROR(__xludf.DUMMYFUNCTION("""COMPUTED_VALUE"""),"19950202CAJOL")</f>
        <v>19950202CAJOL</v>
      </c>
      <c r="B1941" s="5"/>
      <c r="C1941" s="5" t="str">
        <f ca="1">IFERROR(__xludf.DUMMYFUNCTION("""COMPUTED_VALUE"""),"Male")</f>
        <v>Male</v>
      </c>
      <c r="D1941" s="5"/>
      <c r="E1941" s="5" t="str">
        <f ca="1">IFERROR(__xludf.DUMMYFUNCTION("""COMPUTED_VALUE"""),"Unknown")</f>
        <v>Unknown</v>
      </c>
      <c r="F1941" s="5" t="str">
        <f ca="1">IFERROR(__xludf.DUMMYFUNCTION("""COMPUTED_VALUE"""),"Fled/Escaped")</f>
        <v>Fled/Escaped</v>
      </c>
      <c r="G1941" s="5" t="str">
        <f ca="1">IFERROR(__xludf.DUMMYFUNCTION("""COMPUTED_VALUE"""),"No")</f>
        <v>No</v>
      </c>
      <c r="H1941" s="5" t="str">
        <f ca="1">IFERROR(__xludf.DUMMYFUNCTION("""COMPUTED_VALUE"""),"None")</f>
        <v>None</v>
      </c>
    </row>
    <row r="1942" spans="1:8" ht="13">
      <c r="A1942" s="5" t="str">
        <f ca="1">IFERROR(__xludf.DUMMYFUNCTION("""COMPUTED_VALUE"""),"19950124DCSPW")</f>
        <v>19950124DCSPW</v>
      </c>
      <c r="B1942" s="5">
        <f ca="1">IFERROR(__xludf.DUMMYFUNCTION("""COMPUTED_VALUE"""),16)</f>
        <v>16</v>
      </c>
      <c r="C1942" s="5" t="str">
        <f ca="1">IFERROR(__xludf.DUMMYFUNCTION("""COMPUTED_VALUE"""),"Male")</f>
        <v>Male</v>
      </c>
      <c r="D1942" s="5"/>
      <c r="E1942" s="5" t="str">
        <f ca="1">IFERROR(__xludf.DUMMYFUNCTION("""COMPUTED_VALUE"""),"Rival School Student")</f>
        <v>Rival School Student</v>
      </c>
      <c r="F1942" s="5" t="str">
        <f ca="1">IFERROR(__xludf.DUMMYFUNCTION("""COMPUTED_VALUE"""),"Fled/Apprehended")</f>
        <v>Fled/Apprehended</v>
      </c>
      <c r="G1942" s="5" t="str">
        <f ca="1">IFERROR(__xludf.DUMMYFUNCTION("""COMPUTED_VALUE"""),"No")</f>
        <v>No</v>
      </c>
      <c r="H1942" s="5" t="str">
        <f ca="1">IFERROR(__xludf.DUMMYFUNCTION("""COMPUTED_VALUE"""),"None")</f>
        <v>None</v>
      </c>
    </row>
    <row r="1943" spans="1:8" ht="13">
      <c r="A1943" s="5" t="str">
        <f ca="1">IFERROR(__xludf.DUMMYFUNCTION("""COMPUTED_VALUE"""),"19950123CASAR")</f>
        <v>19950123CASAR</v>
      </c>
      <c r="B1943" s="5">
        <f ca="1">IFERROR(__xludf.DUMMYFUNCTION("""COMPUTED_VALUE"""),13)</f>
        <v>13</v>
      </c>
      <c r="C1943" s="5" t="str">
        <f ca="1">IFERROR(__xludf.DUMMYFUNCTION("""COMPUTED_VALUE"""),"Male")</f>
        <v>Male</v>
      </c>
      <c r="D1943" s="5" t="str">
        <f ca="1">IFERROR(__xludf.DUMMYFUNCTION("""COMPUTED_VALUE"""),"White")</f>
        <v>White</v>
      </c>
      <c r="E1943" s="5" t="str">
        <f ca="1">IFERROR(__xludf.DUMMYFUNCTION("""COMPUTED_VALUE"""),"Student")</f>
        <v>Student</v>
      </c>
      <c r="F1943" s="5" t="str">
        <f ca="1">IFERROR(__xludf.DUMMYFUNCTION("""COMPUTED_VALUE"""),"Fled/Escaped")</f>
        <v>Fled/Escaped</v>
      </c>
      <c r="G1943" s="5" t="str">
        <f ca="1">IFERROR(__xludf.DUMMYFUNCTION("""COMPUTED_VALUE"""),"Yes")</f>
        <v>Yes</v>
      </c>
      <c r="H1943" s="5" t="str">
        <f ca="1">IFERROR(__xludf.DUMMYFUNCTION("""COMPUTED_VALUE"""),"Suicide")</f>
        <v>Suicide</v>
      </c>
    </row>
    <row r="1944" spans="1:8" ht="13">
      <c r="A1944" s="5" t="str">
        <f ca="1">IFERROR(__xludf.DUMMYFUNCTION("""COMPUTED_VALUE"""),"19950112WAGAS")</f>
        <v>19950112WAGAS</v>
      </c>
      <c r="B1944" s="5">
        <f ca="1">IFERROR(__xludf.DUMMYFUNCTION("""COMPUTED_VALUE"""),15)</f>
        <v>15</v>
      </c>
      <c r="C1944" s="5" t="str">
        <f ca="1">IFERROR(__xludf.DUMMYFUNCTION("""COMPUTED_VALUE"""),"Male")</f>
        <v>Male</v>
      </c>
      <c r="D1944" s="5" t="str">
        <f ca="1">IFERROR(__xludf.DUMMYFUNCTION("""COMPUTED_VALUE"""),"Black")</f>
        <v>Black</v>
      </c>
      <c r="E1944" s="5" t="str">
        <f ca="1">IFERROR(__xludf.DUMMYFUNCTION("""COMPUTED_VALUE"""),"Student")</f>
        <v>Student</v>
      </c>
      <c r="F1944" s="5" t="str">
        <f ca="1">IFERROR(__xludf.DUMMYFUNCTION("""COMPUTED_VALUE"""),"Fled/Apprehended")</f>
        <v>Fled/Apprehended</v>
      </c>
      <c r="G1944" s="5" t="str">
        <f ca="1">IFERROR(__xludf.DUMMYFUNCTION("""COMPUTED_VALUE"""),"No")</f>
        <v>No</v>
      </c>
      <c r="H1944" s="5" t="str">
        <f ca="1">IFERROR(__xludf.DUMMYFUNCTION("""COMPUTED_VALUE"""),"None")</f>
        <v>None</v>
      </c>
    </row>
    <row r="1945" spans="1:8" ht="13">
      <c r="A1945" s="5" t="str">
        <f ca="1">IFERROR(__xludf.DUMMYFUNCTION("""COMPUTED_VALUE"""),"19950110FLPAP")</f>
        <v>19950110FLPAP</v>
      </c>
      <c r="B1945" s="5">
        <f ca="1">IFERROR(__xludf.DUMMYFUNCTION("""COMPUTED_VALUE"""),15)</f>
        <v>15</v>
      </c>
      <c r="C1945" s="5" t="str">
        <f ca="1">IFERROR(__xludf.DUMMYFUNCTION("""COMPUTED_VALUE"""),"Male")</f>
        <v>Male</v>
      </c>
      <c r="D1945" s="5"/>
      <c r="E1945" s="5" t="str">
        <f ca="1">IFERROR(__xludf.DUMMYFUNCTION("""COMPUTED_VALUE"""),"Student")</f>
        <v>Student</v>
      </c>
      <c r="F1945" s="5" t="str">
        <f ca="1">IFERROR(__xludf.DUMMYFUNCTION("""COMPUTED_VALUE"""),"Suicide")</f>
        <v>Suicide</v>
      </c>
      <c r="G1945" s="5" t="str">
        <f ca="1">IFERROR(__xludf.DUMMYFUNCTION("""COMPUTED_VALUE"""),"Yes")</f>
        <v>Yes</v>
      </c>
      <c r="H1945" s="5" t="str">
        <f ca="1">IFERROR(__xludf.DUMMYFUNCTION("""COMPUTED_VALUE"""),"Suicide")</f>
        <v>Suicide</v>
      </c>
    </row>
    <row r="1946" spans="1:8" ht="13">
      <c r="A1946" s="5" t="str">
        <f ca="1">IFERROR(__xludf.DUMMYFUNCTION("""COMPUTED_VALUE"""),"19950105DCCAW")</f>
        <v>19950105DCCAW</v>
      </c>
      <c r="B1946" s="5">
        <f ca="1">IFERROR(__xludf.DUMMYFUNCTION("""COMPUTED_VALUE"""),14)</f>
        <v>14</v>
      </c>
      <c r="C1946" s="5" t="str">
        <f ca="1">IFERROR(__xludf.DUMMYFUNCTION("""COMPUTED_VALUE"""),"Male")</f>
        <v>Male</v>
      </c>
      <c r="D1946" s="5" t="str">
        <f ca="1">IFERROR(__xludf.DUMMYFUNCTION("""COMPUTED_VALUE"""),"Black")</f>
        <v>Black</v>
      </c>
      <c r="E1946" s="5" t="str">
        <f ca="1">IFERROR(__xludf.DUMMYFUNCTION("""COMPUTED_VALUE"""),"Student")</f>
        <v>Student</v>
      </c>
      <c r="F1946" s="5" t="str">
        <f ca="1">IFERROR(__xludf.DUMMYFUNCTION("""COMPUTED_VALUE"""),"Fled/Apprehended")</f>
        <v>Fled/Apprehended</v>
      </c>
      <c r="G1946" s="5" t="str">
        <f ca="1">IFERROR(__xludf.DUMMYFUNCTION("""COMPUTED_VALUE"""),"No")</f>
        <v>No</v>
      </c>
      <c r="H1946" s="5" t="str">
        <f ca="1">IFERROR(__xludf.DUMMYFUNCTION("""COMPUTED_VALUE"""),"None")</f>
        <v>None</v>
      </c>
    </row>
    <row r="1947" spans="1:8" ht="13">
      <c r="A1947" s="5" t="str">
        <f ca="1">IFERROR(__xludf.DUMMYFUNCTION("""COMPUTED_VALUE"""),"19941207FLPAM")</f>
        <v>19941207FLPAM</v>
      </c>
      <c r="B1947" s="5">
        <f ca="1">IFERROR(__xludf.DUMMYFUNCTION("""COMPUTED_VALUE"""),19)</f>
        <v>19</v>
      </c>
      <c r="C1947" s="5" t="str">
        <f ca="1">IFERROR(__xludf.DUMMYFUNCTION("""COMPUTED_VALUE"""),"Male")</f>
        <v>Male</v>
      </c>
      <c r="D1947" s="5"/>
      <c r="E1947" s="5" t="str">
        <f ca="1">IFERROR(__xludf.DUMMYFUNCTION("""COMPUTED_VALUE"""),"Former Student")</f>
        <v>Former Student</v>
      </c>
      <c r="F1947" s="5" t="str">
        <f ca="1">IFERROR(__xludf.DUMMYFUNCTION("""COMPUTED_VALUE"""),"Apprehended/Killed by SRO")</f>
        <v>Apprehended/Killed by SRO</v>
      </c>
      <c r="G1947" s="5" t="str">
        <f ca="1">IFERROR(__xludf.DUMMYFUNCTION("""COMPUTED_VALUE"""),"No")</f>
        <v>No</v>
      </c>
      <c r="H1947" s="5" t="str">
        <f ca="1">IFERROR(__xludf.DUMMYFUNCTION("""COMPUTED_VALUE"""),"None")</f>
        <v>None</v>
      </c>
    </row>
    <row r="1948" spans="1:8" ht="13">
      <c r="A1948" s="5" t="str">
        <f ca="1">IFERROR(__xludf.DUMMYFUNCTION("""COMPUTED_VALUE"""),"19941115WASTT")</f>
        <v>19941115WASTT</v>
      </c>
      <c r="B1948" s="5">
        <f ca="1">IFERROR(__xludf.DUMMYFUNCTION("""COMPUTED_VALUE"""),17)</f>
        <v>17</v>
      </c>
      <c r="C1948" s="5" t="str">
        <f ca="1">IFERROR(__xludf.DUMMYFUNCTION("""COMPUTED_VALUE"""),"Male")</f>
        <v>Male</v>
      </c>
      <c r="D1948" s="5" t="str">
        <f ca="1">IFERROR(__xludf.DUMMYFUNCTION("""COMPUTED_VALUE"""),"White")</f>
        <v>White</v>
      </c>
      <c r="E1948" s="5" t="str">
        <f ca="1">IFERROR(__xludf.DUMMYFUNCTION("""COMPUTED_VALUE"""),"Student")</f>
        <v>Student</v>
      </c>
      <c r="F1948" s="5" t="str">
        <f ca="1">IFERROR(__xludf.DUMMYFUNCTION("""COMPUTED_VALUE"""),"Suicide")</f>
        <v>Suicide</v>
      </c>
      <c r="G1948" s="5" t="str">
        <f ca="1">IFERROR(__xludf.DUMMYFUNCTION("""COMPUTED_VALUE"""),"Yes")</f>
        <v>Yes</v>
      </c>
      <c r="H1948" s="5" t="str">
        <f ca="1">IFERROR(__xludf.DUMMYFUNCTION("""COMPUTED_VALUE"""),"Suicide")</f>
        <v>Suicide</v>
      </c>
    </row>
    <row r="1949" spans="1:8" ht="13">
      <c r="A1949" s="5" t="str">
        <f ca="1">IFERROR(__xludf.DUMMYFUNCTION("""COMPUTED_VALUE"""),"19941108IAWEM")</f>
        <v>19941108IAWEM</v>
      </c>
      <c r="B1949" s="5">
        <f ca="1">IFERROR(__xludf.DUMMYFUNCTION("""COMPUTED_VALUE"""),16)</f>
        <v>16</v>
      </c>
      <c r="C1949" s="5" t="str">
        <f ca="1">IFERROR(__xludf.DUMMYFUNCTION("""COMPUTED_VALUE"""),"Male")</f>
        <v>Male</v>
      </c>
      <c r="D1949" s="5"/>
      <c r="E1949" s="5" t="str">
        <f ca="1">IFERROR(__xludf.DUMMYFUNCTION("""COMPUTED_VALUE"""),"Student")</f>
        <v>Student</v>
      </c>
      <c r="F1949" s="5" t="str">
        <f ca="1">IFERROR(__xludf.DUMMYFUNCTION("""COMPUTED_VALUE"""),"Fled/Escaped")</f>
        <v>Fled/Escaped</v>
      </c>
      <c r="G1949" s="5" t="str">
        <f ca="1">IFERROR(__xludf.DUMMYFUNCTION("""COMPUTED_VALUE"""),"No")</f>
        <v>No</v>
      </c>
      <c r="H1949" s="5" t="str">
        <f ca="1">IFERROR(__xludf.DUMMYFUNCTION("""COMPUTED_VALUE"""),"None")</f>
        <v>None</v>
      </c>
    </row>
    <row r="1950" spans="1:8" ht="13">
      <c r="A1950" s="5" t="str">
        <f ca="1">IFERROR(__xludf.DUMMYFUNCTION("""COMPUTED_VALUE"""),"19941107OHWIW")</f>
        <v>19941107OHWIW</v>
      </c>
      <c r="B1950" s="5">
        <f ca="1">IFERROR(__xludf.DUMMYFUNCTION("""COMPUTED_VALUE"""),37)</f>
        <v>37</v>
      </c>
      <c r="C1950" s="5" t="str">
        <f ca="1">IFERROR(__xludf.DUMMYFUNCTION("""COMPUTED_VALUE"""),"Male")</f>
        <v>Male</v>
      </c>
      <c r="D1950" s="5" t="str">
        <f ca="1">IFERROR(__xludf.DUMMYFUNCTION("""COMPUTED_VALUE"""),"White")</f>
        <v>White</v>
      </c>
      <c r="E1950" s="5" t="str">
        <f ca="1">IFERROR(__xludf.DUMMYFUNCTION("""COMPUTED_VALUE"""),"Former Student")</f>
        <v>Former Student</v>
      </c>
      <c r="F1950" s="5" t="str">
        <f ca="1">IFERROR(__xludf.DUMMYFUNCTION("""COMPUTED_VALUE"""),"Unknown")</f>
        <v>Unknown</v>
      </c>
      <c r="G1950" s="5" t="str">
        <f ca="1">IFERROR(__xludf.DUMMYFUNCTION("""COMPUTED_VALUE"""),"No")</f>
        <v>No</v>
      </c>
      <c r="H1950" s="5" t="str">
        <f ca="1">IFERROR(__xludf.DUMMYFUNCTION("""COMPUTED_VALUE"""),"None")</f>
        <v>None</v>
      </c>
    </row>
    <row r="1951" spans="1:8" ht="13">
      <c r="A1951" s="5" t="str">
        <f ca="1">IFERROR(__xludf.DUMMYFUNCTION("""COMPUTED_VALUE"""),"19941105CATHS")</f>
        <v>19941105CATHS</v>
      </c>
      <c r="B1951" s="5" t="str">
        <f ca="1">IFERROR(__xludf.DUMMYFUNCTION("""COMPUTED_VALUE"""),"Adult")</f>
        <v>Adult</v>
      </c>
      <c r="C1951" s="5" t="str">
        <f ca="1">IFERROR(__xludf.DUMMYFUNCTION("""COMPUTED_VALUE"""),"Male")</f>
        <v>Male</v>
      </c>
      <c r="D1951" s="5"/>
      <c r="E1951" s="5" t="str">
        <f ca="1">IFERROR(__xludf.DUMMYFUNCTION("""COMPUTED_VALUE"""),"Unknown")</f>
        <v>Unknown</v>
      </c>
      <c r="F1951" s="5" t="str">
        <f ca="1">IFERROR(__xludf.DUMMYFUNCTION("""COMPUTED_VALUE"""),"Fled/Escaped")</f>
        <v>Fled/Escaped</v>
      </c>
      <c r="G1951" s="5" t="str">
        <f ca="1">IFERROR(__xludf.DUMMYFUNCTION("""COMPUTED_VALUE"""),"No")</f>
        <v>No</v>
      </c>
      <c r="H1951" s="5" t="str">
        <f ca="1">IFERROR(__xludf.DUMMYFUNCTION("""COMPUTED_VALUE"""),"None")</f>
        <v>None</v>
      </c>
    </row>
    <row r="1952" spans="1:8" ht="13">
      <c r="A1952" s="5" t="str">
        <f ca="1">IFERROR(__xludf.DUMMYFUNCTION("""COMPUTED_VALUE"""),"19941031CAALA")</f>
        <v>19941031CAALA</v>
      </c>
      <c r="B1952" s="5">
        <f ca="1">IFERROR(__xludf.DUMMYFUNCTION("""COMPUTED_VALUE"""),16)</f>
        <v>16</v>
      </c>
      <c r="C1952" s="5" t="str">
        <f ca="1">IFERROR(__xludf.DUMMYFUNCTION("""COMPUTED_VALUE"""),"Male")</f>
        <v>Male</v>
      </c>
      <c r="D1952" s="5"/>
      <c r="E1952" s="5" t="str">
        <f ca="1">IFERROR(__xludf.DUMMYFUNCTION("""COMPUTED_VALUE"""),"Student")</f>
        <v>Student</v>
      </c>
      <c r="F1952" s="5" t="str">
        <f ca="1">IFERROR(__xludf.DUMMYFUNCTION("""COMPUTED_VALUE"""),"Attempted Suicide")</f>
        <v>Attempted Suicide</v>
      </c>
      <c r="G1952" s="5" t="str">
        <f ca="1">IFERROR(__xludf.DUMMYFUNCTION("""COMPUTED_VALUE"""),"No")</f>
        <v>No</v>
      </c>
      <c r="H1952" s="5" t="str">
        <f ca="1">IFERROR(__xludf.DUMMYFUNCTION("""COMPUTED_VALUE"""),"Wounded")</f>
        <v>Wounded</v>
      </c>
    </row>
    <row r="1953" spans="1:8" ht="13">
      <c r="A1953" s="5" t="str">
        <f ca="1">IFERROR(__xludf.DUMMYFUNCTION("""COMPUTED_VALUE"""),"19941017ILHUC")</f>
        <v>19941017ILHUC</v>
      </c>
      <c r="B1953" s="5"/>
      <c r="C1953" s="5" t="str">
        <f ca="1">IFERROR(__xludf.DUMMYFUNCTION("""COMPUTED_VALUE"""),"Male")</f>
        <v>Male</v>
      </c>
      <c r="D1953" s="5"/>
      <c r="E1953" s="5" t="str">
        <f ca="1">IFERROR(__xludf.DUMMYFUNCTION("""COMPUTED_VALUE"""),"Unknown")</f>
        <v>Unknown</v>
      </c>
      <c r="F1953" s="5" t="str">
        <f ca="1">IFERROR(__xludf.DUMMYFUNCTION("""COMPUTED_VALUE"""),"Fled/Escaped")</f>
        <v>Fled/Escaped</v>
      </c>
      <c r="G1953" s="5" t="str">
        <f ca="1">IFERROR(__xludf.DUMMYFUNCTION("""COMPUTED_VALUE"""),"No")</f>
        <v>No</v>
      </c>
      <c r="H1953" s="5" t="str">
        <f ca="1">IFERROR(__xludf.DUMMYFUNCTION("""COMPUTED_VALUE"""),"None")</f>
        <v>None</v>
      </c>
    </row>
    <row r="1954" spans="1:8" ht="13">
      <c r="A1954" s="5" t="str">
        <f ca="1">IFERROR(__xludf.DUMMYFUNCTION("""COMPUTED_VALUE"""),"19941012NCGRG")</f>
        <v>19941012NCGRG</v>
      </c>
      <c r="B1954" s="5">
        <f ca="1">IFERROR(__xludf.DUMMYFUNCTION("""COMPUTED_VALUE"""),16)</f>
        <v>16</v>
      </c>
      <c r="C1954" s="5" t="str">
        <f ca="1">IFERROR(__xludf.DUMMYFUNCTION("""COMPUTED_VALUE"""),"Male")</f>
        <v>Male</v>
      </c>
      <c r="D1954" s="5" t="str">
        <f ca="1">IFERROR(__xludf.DUMMYFUNCTION("""COMPUTED_VALUE"""),"White")</f>
        <v>White</v>
      </c>
      <c r="E1954" s="5" t="str">
        <f ca="1">IFERROR(__xludf.DUMMYFUNCTION("""COMPUTED_VALUE"""),"Student")</f>
        <v>Student</v>
      </c>
      <c r="F1954" s="5" t="str">
        <f ca="1">IFERROR(__xludf.DUMMYFUNCTION("""COMPUTED_VALUE"""),"Suicide")</f>
        <v>Suicide</v>
      </c>
      <c r="G1954" s="5" t="str">
        <f ca="1">IFERROR(__xludf.DUMMYFUNCTION("""COMPUTED_VALUE"""),"Yes")</f>
        <v>Yes</v>
      </c>
      <c r="H1954" s="5" t="str">
        <f ca="1">IFERROR(__xludf.DUMMYFUNCTION("""COMPUTED_VALUE"""),"Suicide")</f>
        <v>Suicide</v>
      </c>
    </row>
    <row r="1955" spans="1:8" ht="13">
      <c r="A1955" s="5" t="str">
        <f ca="1">IFERROR(__xludf.DUMMYFUNCTION("""COMPUTED_VALUE"""),"19940922ORLEL")</f>
        <v>19940922ORLEL</v>
      </c>
      <c r="B1955" s="5">
        <f ca="1">IFERROR(__xludf.DUMMYFUNCTION("""COMPUTED_VALUE"""),15)</f>
        <v>15</v>
      </c>
      <c r="C1955" s="5" t="str">
        <f ca="1">IFERROR(__xludf.DUMMYFUNCTION("""COMPUTED_VALUE"""),"Male")</f>
        <v>Male</v>
      </c>
      <c r="D1955" s="5"/>
      <c r="E1955" s="5" t="str">
        <f ca="1">IFERROR(__xludf.DUMMYFUNCTION("""COMPUTED_VALUE"""),"Student")</f>
        <v>Student</v>
      </c>
      <c r="F1955" s="5" t="str">
        <f ca="1">IFERROR(__xludf.DUMMYFUNCTION("""COMPUTED_VALUE"""),"Unknown")</f>
        <v>Unknown</v>
      </c>
      <c r="G1955" s="5" t="str">
        <f ca="1">IFERROR(__xludf.DUMMYFUNCTION("""COMPUTED_VALUE"""),"No")</f>
        <v>No</v>
      </c>
      <c r="H1955" s="5" t="str">
        <f ca="1">IFERROR(__xludf.DUMMYFUNCTION("""COMPUTED_VALUE"""),"None")</f>
        <v>None</v>
      </c>
    </row>
    <row r="1956" spans="1:8" ht="13">
      <c r="A1956" s="5" t="str">
        <f ca="1">IFERROR(__xludf.DUMMYFUNCTION("""COMPUTED_VALUE"""),"19940919CALOL")</f>
        <v>19940919CALOL</v>
      </c>
      <c r="B1956" s="5"/>
      <c r="C1956" s="5" t="str">
        <f ca="1">IFERROR(__xludf.DUMMYFUNCTION("""COMPUTED_VALUE"""),"Male")</f>
        <v>Male</v>
      </c>
      <c r="D1956" s="5"/>
      <c r="E1956" s="5" t="str">
        <f ca="1">IFERROR(__xludf.DUMMYFUNCTION("""COMPUTED_VALUE"""),"Unknown")</f>
        <v>Unknown</v>
      </c>
      <c r="F1956" s="5" t="str">
        <f ca="1">IFERROR(__xludf.DUMMYFUNCTION("""COMPUTED_VALUE"""),"Fled/Escaped")</f>
        <v>Fled/Escaped</v>
      </c>
      <c r="G1956" s="5" t="str">
        <f ca="1">IFERROR(__xludf.DUMMYFUNCTION("""COMPUTED_VALUE"""),"No")</f>
        <v>No</v>
      </c>
      <c r="H1956" s="5" t="str">
        <f ca="1">IFERROR(__xludf.DUMMYFUNCTION("""COMPUTED_VALUE"""),"None")</f>
        <v>None</v>
      </c>
    </row>
    <row r="1957" spans="1:8" ht="13">
      <c r="A1957" s="5" t="str">
        <f ca="1">IFERROR(__xludf.DUMMYFUNCTION("""COMPUTED_VALUE"""),"19940908NYSWA")</f>
        <v>19940908NYSWA</v>
      </c>
      <c r="B1957" s="5">
        <f ca="1">IFERROR(__xludf.DUMMYFUNCTION("""COMPUTED_VALUE"""),14)</f>
        <v>14</v>
      </c>
      <c r="C1957" s="5" t="str">
        <f ca="1">IFERROR(__xludf.DUMMYFUNCTION("""COMPUTED_VALUE"""),"Male")</f>
        <v>Male</v>
      </c>
      <c r="D1957" s="5"/>
      <c r="E1957" s="5" t="str">
        <f ca="1">IFERROR(__xludf.DUMMYFUNCTION("""COMPUTED_VALUE"""),"Student")</f>
        <v>Student</v>
      </c>
      <c r="F1957" s="5" t="str">
        <f ca="1">IFERROR(__xludf.DUMMYFUNCTION("""COMPUTED_VALUE"""),"Fled/Apprehended")</f>
        <v>Fled/Apprehended</v>
      </c>
      <c r="G1957" s="5" t="str">
        <f ca="1">IFERROR(__xludf.DUMMYFUNCTION("""COMPUTED_VALUE"""),"No")</f>
        <v>No</v>
      </c>
      <c r="H1957" s="5" t="str">
        <f ca="1">IFERROR(__xludf.DUMMYFUNCTION("""COMPUTED_VALUE"""),"None")</f>
        <v>None</v>
      </c>
    </row>
    <row r="1958" spans="1:8" ht="13">
      <c r="A1958" s="5" t="str">
        <f ca="1">IFERROR(__xludf.DUMMYFUNCTION("""COMPUTED_VALUE"""),"19940907CAHOL")</f>
        <v>19940907CAHOL</v>
      </c>
      <c r="B1958" s="5"/>
      <c r="C1958" s="5" t="str">
        <f ca="1">IFERROR(__xludf.DUMMYFUNCTION("""COMPUTED_VALUE"""),"Male")</f>
        <v>Male</v>
      </c>
      <c r="D1958" s="5"/>
      <c r="E1958" s="5" t="str">
        <f ca="1">IFERROR(__xludf.DUMMYFUNCTION("""COMPUTED_VALUE"""),"Unknown")</f>
        <v>Unknown</v>
      </c>
      <c r="F1958" s="5" t="str">
        <f ca="1">IFERROR(__xludf.DUMMYFUNCTION("""COMPUTED_VALUE"""),"Fled/Escaped")</f>
        <v>Fled/Escaped</v>
      </c>
      <c r="G1958" s="5" t="str">
        <f ca="1">IFERROR(__xludf.DUMMYFUNCTION("""COMPUTED_VALUE"""),"No")</f>
        <v>No</v>
      </c>
      <c r="H1958" s="5" t="str">
        <f ca="1">IFERROR(__xludf.DUMMYFUNCTION("""COMPUTED_VALUE"""),"None")</f>
        <v>None</v>
      </c>
    </row>
    <row r="1959" spans="1:8" ht="13">
      <c r="A1959" s="5" t="str">
        <f ca="1">IFERROR(__xludf.DUMMYFUNCTION("""COMPUTED_VALUE"""),"19940725IAOTO")</f>
        <v>19940725IAOTO</v>
      </c>
      <c r="B1959" s="5">
        <f ca="1">IFERROR(__xludf.DUMMYFUNCTION("""COMPUTED_VALUE"""),16)</f>
        <v>16</v>
      </c>
      <c r="C1959" s="5" t="str">
        <f ca="1">IFERROR(__xludf.DUMMYFUNCTION("""COMPUTED_VALUE"""),"Male")</f>
        <v>Male</v>
      </c>
      <c r="D1959" s="5"/>
      <c r="E1959" s="5" t="str">
        <f ca="1">IFERROR(__xludf.DUMMYFUNCTION("""COMPUTED_VALUE"""),"Student")</f>
        <v>Student</v>
      </c>
      <c r="F1959" s="5" t="str">
        <f ca="1">IFERROR(__xludf.DUMMYFUNCTION("""COMPUTED_VALUE"""),"Fled/Apprehended")</f>
        <v>Fled/Apprehended</v>
      </c>
      <c r="G1959" s="5" t="str">
        <f ca="1">IFERROR(__xludf.DUMMYFUNCTION("""COMPUTED_VALUE"""),"No")</f>
        <v>No</v>
      </c>
      <c r="H1959" s="5" t="str">
        <f ca="1">IFERROR(__xludf.DUMMYFUNCTION("""COMPUTED_VALUE"""),"None")</f>
        <v>None</v>
      </c>
    </row>
    <row r="1960" spans="1:8" ht="13">
      <c r="A1960" s="5" t="str">
        <f ca="1">IFERROR(__xludf.DUMMYFUNCTION("""COMPUTED_VALUE"""),"19940724PAMAM")</f>
        <v>19940724PAMAM</v>
      </c>
      <c r="B1960" s="5">
        <f ca="1">IFERROR(__xludf.DUMMYFUNCTION("""COMPUTED_VALUE"""),15)</f>
        <v>15</v>
      </c>
      <c r="C1960" s="5" t="str">
        <f ca="1">IFERROR(__xludf.DUMMYFUNCTION("""COMPUTED_VALUE"""),"Male")</f>
        <v>Male</v>
      </c>
      <c r="D1960" s="5"/>
      <c r="E1960" s="5" t="str">
        <f ca="1">IFERROR(__xludf.DUMMYFUNCTION("""COMPUTED_VALUE"""),"Nonstudent Using Athletic Facilities/Attending Game")</f>
        <v>Nonstudent Using Athletic Facilities/Attending Game</v>
      </c>
      <c r="F1960" s="5" t="str">
        <f ca="1">IFERROR(__xludf.DUMMYFUNCTION("""COMPUTED_VALUE"""),"Fled/Apprehended")</f>
        <v>Fled/Apprehended</v>
      </c>
      <c r="G1960" s="5" t="str">
        <f ca="1">IFERROR(__xludf.DUMMYFUNCTION("""COMPUTED_VALUE"""),"No")</f>
        <v>No</v>
      </c>
      <c r="H1960" s="5" t="str">
        <f ca="1">IFERROR(__xludf.DUMMYFUNCTION("""COMPUTED_VALUE"""),"None")</f>
        <v>None</v>
      </c>
    </row>
    <row r="1961" spans="1:8" ht="13">
      <c r="A1961" s="5" t="str">
        <f ca="1">IFERROR(__xludf.DUMMYFUNCTION("""COMPUTED_VALUE"""),"19940526KYLAU")</f>
        <v>19940526KYLAU</v>
      </c>
      <c r="B1961" s="5">
        <f ca="1">IFERROR(__xludf.DUMMYFUNCTION("""COMPUTED_VALUE"""),17)</f>
        <v>17</v>
      </c>
      <c r="C1961" s="5" t="str">
        <f ca="1">IFERROR(__xludf.DUMMYFUNCTION("""COMPUTED_VALUE"""),"Male")</f>
        <v>Male</v>
      </c>
      <c r="D1961" s="5" t="str">
        <f ca="1">IFERROR(__xludf.DUMMYFUNCTION("""COMPUTED_VALUE"""),"White")</f>
        <v>White</v>
      </c>
      <c r="E1961" s="5" t="str">
        <f ca="1">IFERROR(__xludf.DUMMYFUNCTION("""COMPUTED_VALUE"""),"Student")</f>
        <v>Student</v>
      </c>
      <c r="F1961" s="5" t="str">
        <f ca="1">IFERROR(__xludf.DUMMYFUNCTION("""COMPUTED_VALUE"""),"Subdued by Students/Staff/Other")</f>
        <v>Subdued by Students/Staff/Other</v>
      </c>
      <c r="G1961" s="5" t="str">
        <f ca="1">IFERROR(__xludf.DUMMYFUNCTION("""COMPUTED_VALUE"""),"No")</f>
        <v>No</v>
      </c>
      <c r="H1961" s="5" t="str">
        <f ca="1">IFERROR(__xludf.DUMMYFUNCTION("""COMPUTED_VALUE"""),"None")</f>
        <v>None</v>
      </c>
    </row>
    <row r="1962" spans="1:8" ht="13">
      <c r="A1962" s="5" t="str">
        <f ca="1">IFERROR(__xludf.DUMMYFUNCTION("""COMPUTED_VALUE"""),"19940525NJLAW")</f>
        <v>19940525NJLAW</v>
      </c>
      <c r="B1962" s="5">
        <f ca="1">IFERROR(__xludf.DUMMYFUNCTION("""COMPUTED_VALUE"""),17)</f>
        <v>17</v>
      </c>
      <c r="C1962" s="5" t="str">
        <f ca="1">IFERROR(__xludf.DUMMYFUNCTION("""COMPUTED_VALUE"""),"Female")</f>
        <v>Female</v>
      </c>
      <c r="D1962" s="5"/>
      <c r="E1962" s="5" t="str">
        <f ca="1">IFERROR(__xludf.DUMMYFUNCTION("""COMPUTED_VALUE"""),"Student")</f>
        <v>Student</v>
      </c>
      <c r="F1962" s="5" t="str">
        <f ca="1">IFERROR(__xludf.DUMMYFUNCTION("""COMPUTED_VALUE"""),"Suicide")</f>
        <v>Suicide</v>
      </c>
      <c r="G1962" s="5" t="str">
        <f ca="1">IFERROR(__xludf.DUMMYFUNCTION("""COMPUTED_VALUE"""),"Yes")</f>
        <v>Yes</v>
      </c>
      <c r="H1962" s="5" t="str">
        <f ca="1">IFERROR(__xludf.DUMMYFUNCTION("""COMPUTED_VALUE"""),"Suicide")</f>
        <v>Suicide</v>
      </c>
    </row>
    <row r="1963" spans="1:8" ht="13">
      <c r="A1963" s="5" t="str">
        <f ca="1">IFERROR(__xludf.DUMMYFUNCTION("""COMPUTED_VALUE"""),"19940525INLAS")</f>
        <v>19940525INLAS</v>
      </c>
      <c r="B1963" s="5">
        <f ca="1">IFERROR(__xludf.DUMMYFUNCTION("""COMPUTED_VALUE"""),16)</f>
        <v>16</v>
      </c>
      <c r="C1963" s="5" t="str">
        <f ca="1">IFERROR(__xludf.DUMMYFUNCTION("""COMPUTED_VALUE"""),"Male")</f>
        <v>Male</v>
      </c>
      <c r="D1963" s="5"/>
      <c r="E1963" s="5" t="str">
        <f ca="1">IFERROR(__xludf.DUMMYFUNCTION("""COMPUTED_VALUE"""),"Student")</f>
        <v>Student</v>
      </c>
      <c r="F1963" s="5" t="str">
        <f ca="1">IFERROR(__xludf.DUMMYFUNCTION("""COMPUTED_VALUE"""),"Fled/Apprehended")</f>
        <v>Fled/Apprehended</v>
      </c>
      <c r="G1963" s="5" t="str">
        <f ca="1">IFERROR(__xludf.DUMMYFUNCTION("""COMPUTED_VALUE"""),"No")</f>
        <v>No</v>
      </c>
      <c r="H1963" s="5" t="str">
        <f ca="1">IFERROR(__xludf.DUMMYFUNCTION("""COMPUTED_VALUE"""),"None")</f>
        <v>None</v>
      </c>
    </row>
    <row r="1964" spans="1:8" ht="13">
      <c r="A1964" s="5" t="str">
        <f ca="1">IFERROR(__xludf.DUMMYFUNCTION("""COMPUTED_VALUE"""),"19940502FLNON")</f>
        <v>19940502FLNON</v>
      </c>
      <c r="B1964" s="5">
        <f ca="1">IFERROR(__xludf.DUMMYFUNCTION("""COMPUTED_VALUE"""),18)</f>
        <v>18</v>
      </c>
      <c r="C1964" s="5" t="str">
        <f ca="1">IFERROR(__xludf.DUMMYFUNCTION("""COMPUTED_VALUE"""),"Male")</f>
        <v>Male</v>
      </c>
      <c r="D1964" s="5"/>
      <c r="E1964" s="5" t="str">
        <f ca="1">IFERROR(__xludf.DUMMYFUNCTION("""COMPUTED_VALUE"""),"Student")</f>
        <v>Student</v>
      </c>
      <c r="F1964" s="5" t="str">
        <f ca="1">IFERROR(__xludf.DUMMYFUNCTION("""COMPUTED_VALUE"""),"Unknown")</f>
        <v>Unknown</v>
      </c>
      <c r="G1964" s="5" t="str">
        <f ca="1">IFERROR(__xludf.DUMMYFUNCTION("""COMPUTED_VALUE"""),"No")</f>
        <v>No</v>
      </c>
      <c r="H1964" s="5" t="str">
        <f ca="1">IFERROR(__xludf.DUMMYFUNCTION("""COMPUTED_VALUE"""),"None")</f>
        <v>None</v>
      </c>
    </row>
    <row r="1965" spans="1:8" ht="13">
      <c r="A1965" s="5" t="str">
        <f ca="1">IFERROR(__xludf.DUMMYFUNCTION("""COMPUTED_VALUE"""),"19940421TNJTN")</f>
        <v>19940421TNJTN</v>
      </c>
      <c r="B1965" s="5">
        <f ca="1">IFERROR(__xludf.DUMMYFUNCTION("""COMPUTED_VALUE"""),14)</f>
        <v>14</v>
      </c>
      <c r="C1965" s="5" t="str">
        <f ca="1">IFERROR(__xludf.DUMMYFUNCTION("""COMPUTED_VALUE"""),"Male")</f>
        <v>Male</v>
      </c>
      <c r="D1965" s="5" t="str">
        <f ca="1">IFERROR(__xludf.DUMMYFUNCTION("""COMPUTED_VALUE"""),"Black")</f>
        <v>Black</v>
      </c>
      <c r="E1965" s="5" t="str">
        <f ca="1">IFERROR(__xludf.DUMMYFUNCTION("""COMPUTED_VALUE"""),"Student")</f>
        <v>Student</v>
      </c>
      <c r="F1965" s="5" t="str">
        <f ca="1">IFERROR(__xludf.DUMMYFUNCTION("""COMPUTED_VALUE"""),"Fled/Apprehended")</f>
        <v>Fled/Apprehended</v>
      </c>
      <c r="G1965" s="5" t="str">
        <f ca="1">IFERROR(__xludf.DUMMYFUNCTION("""COMPUTED_VALUE"""),"No")</f>
        <v>No</v>
      </c>
      <c r="H1965" s="5" t="str">
        <f ca="1">IFERROR(__xludf.DUMMYFUNCTION("""COMPUTED_VALUE"""),"None")</f>
        <v>None</v>
      </c>
    </row>
    <row r="1966" spans="1:8" ht="13">
      <c r="A1966" s="5" t="str">
        <f ca="1">IFERROR(__xludf.DUMMYFUNCTION("""COMPUTED_VALUE"""),"19940420INDIS")</f>
        <v>19940420INDIS</v>
      </c>
      <c r="B1966" s="5">
        <f ca="1">IFERROR(__xludf.DUMMYFUNCTION("""COMPUTED_VALUE"""),14)</f>
        <v>14</v>
      </c>
      <c r="C1966" s="5" t="str">
        <f ca="1">IFERROR(__xludf.DUMMYFUNCTION("""COMPUTED_VALUE"""),"Male")</f>
        <v>Male</v>
      </c>
      <c r="D1966" s="5"/>
      <c r="E1966" s="5" t="str">
        <f ca="1">IFERROR(__xludf.DUMMYFUNCTION("""COMPUTED_VALUE"""),"Student")</f>
        <v>Student</v>
      </c>
      <c r="F1966" s="5" t="str">
        <f ca="1">IFERROR(__xludf.DUMMYFUNCTION("""COMPUTED_VALUE"""),"Unknown")</f>
        <v>Unknown</v>
      </c>
      <c r="G1966" s="5" t="str">
        <f ca="1">IFERROR(__xludf.DUMMYFUNCTION("""COMPUTED_VALUE"""),"No")</f>
        <v>No</v>
      </c>
      <c r="H1966" s="5" t="str">
        <f ca="1">IFERROR(__xludf.DUMMYFUNCTION("""COMPUTED_VALUE"""),"None")</f>
        <v>None</v>
      </c>
    </row>
    <row r="1967" spans="1:8" ht="13">
      <c r="A1967" s="5" t="str">
        <f ca="1">IFERROR(__xludf.DUMMYFUNCTION("""COMPUTED_VALUE"""),"19940419DCELW")</f>
        <v>19940419DCELW</v>
      </c>
      <c r="B1967" s="5"/>
      <c r="C1967" s="5"/>
      <c r="D1967" s="5"/>
      <c r="E1967" s="5" t="str">
        <f ca="1">IFERROR(__xludf.DUMMYFUNCTION("""COMPUTED_VALUE"""),"Unknown")</f>
        <v>Unknown</v>
      </c>
      <c r="F1967" s="5" t="str">
        <f ca="1">IFERROR(__xludf.DUMMYFUNCTION("""COMPUTED_VALUE"""),"Fled/Escaped")</f>
        <v>Fled/Escaped</v>
      </c>
      <c r="G1967" s="5" t="str">
        <f ca="1">IFERROR(__xludf.DUMMYFUNCTION("""COMPUTED_VALUE"""),"No")</f>
        <v>No</v>
      </c>
      <c r="H1967" s="5" t="str">
        <f ca="1">IFERROR(__xludf.DUMMYFUNCTION("""COMPUTED_VALUE"""),"None")</f>
        <v>None</v>
      </c>
    </row>
    <row r="1968" spans="1:8" ht="13">
      <c r="A1968" s="5" t="str">
        <f ca="1">IFERROR(__xludf.DUMMYFUNCTION("""COMPUTED_VALUE"""),"19940413CA49L")</f>
        <v>19940413CA49L</v>
      </c>
      <c r="B1968" s="5">
        <f ca="1">IFERROR(__xludf.DUMMYFUNCTION("""COMPUTED_VALUE"""),10)</f>
        <v>10</v>
      </c>
      <c r="C1968" s="5" t="str">
        <f ca="1">IFERROR(__xludf.DUMMYFUNCTION("""COMPUTED_VALUE"""),"Male")</f>
        <v>Male</v>
      </c>
      <c r="D1968" s="5" t="str">
        <f ca="1">IFERROR(__xludf.DUMMYFUNCTION("""COMPUTED_VALUE"""),"White")</f>
        <v>White</v>
      </c>
      <c r="E1968" s="5" t="str">
        <f ca="1">IFERROR(__xludf.DUMMYFUNCTION("""COMPUTED_VALUE"""),"Student")</f>
        <v>Student</v>
      </c>
      <c r="F1968" s="5" t="str">
        <f ca="1">IFERROR(__xludf.DUMMYFUNCTION("""COMPUTED_VALUE"""),"Suicide")</f>
        <v>Suicide</v>
      </c>
      <c r="G1968" s="5" t="str">
        <f ca="1">IFERROR(__xludf.DUMMYFUNCTION("""COMPUTED_VALUE"""),"Yes")</f>
        <v>Yes</v>
      </c>
      <c r="H1968" s="5" t="str">
        <f ca="1">IFERROR(__xludf.DUMMYFUNCTION("""COMPUTED_VALUE"""),"Suicide")</f>
        <v>Suicide</v>
      </c>
    </row>
    <row r="1969" spans="1:8" ht="13">
      <c r="A1969" s="5" t="str">
        <f ca="1">IFERROR(__xludf.DUMMYFUNCTION("""COMPUTED_VALUE"""),"19940412MTMAB")</f>
        <v>19940412MTMAB</v>
      </c>
      <c r="B1969" s="5">
        <f ca="1">IFERROR(__xludf.DUMMYFUNCTION("""COMPUTED_VALUE"""),10)</f>
        <v>10</v>
      </c>
      <c r="C1969" s="5" t="str">
        <f ca="1">IFERROR(__xludf.DUMMYFUNCTION("""COMPUTED_VALUE"""),"Male")</f>
        <v>Male</v>
      </c>
      <c r="D1969" s="5" t="str">
        <f ca="1">IFERROR(__xludf.DUMMYFUNCTION("""COMPUTED_VALUE"""),"White")</f>
        <v>White</v>
      </c>
      <c r="E1969" s="5" t="str">
        <f ca="1">IFERROR(__xludf.DUMMYFUNCTION("""COMPUTED_VALUE"""),"Student")</f>
        <v>Student</v>
      </c>
      <c r="F1969" s="5" t="str">
        <f ca="1">IFERROR(__xludf.DUMMYFUNCTION("""COMPUTED_VALUE"""),"Apprehended/Killed by LE")</f>
        <v>Apprehended/Killed by LE</v>
      </c>
      <c r="G1969" s="5" t="str">
        <f ca="1">IFERROR(__xludf.DUMMYFUNCTION("""COMPUTED_VALUE"""),"No")</f>
        <v>No</v>
      </c>
      <c r="H1969" s="5" t="str">
        <f ca="1">IFERROR(__xludf.DUMMYFUNCTION("""COMPUTED_VALUE"""),"None")</f>
        <v>None</v>
      </c>
    </row>
    <row r="1970" spans="1:8" ht="13">
      <c r="A1970" s="5" t="str">
        <f ca="1">IFERROR(__xludf.DUMMYFUNCTION("""COMPUTED_VALUE"""),"19940408MDLAU")</f>
        <v>19940408MDLAU</v>
      </c>
      <c r="B1970" s="5">
        <f ca="1">IFERROR(__xludf.DUMMYFUNCTION("""COMPUTED_VALUE"""),17)</f>
        <v>17</v>
      </c>
      <c r="C1970" s="5" t="str">
        <f ca="1">IFERROR(__xludf.DUMMYFUNCTION("""COMPUTED_VALUE"""),"Male")</f>
        <v>Male</v>
      </c>
      <c r="D1970" s="5"/>
      <c r="E1970" s="5" t="str">
        <f ca="1">IFERROR(__xludf.DUMMYFUNCTION("""COMPUTED_VALUE"""),"Student")</f>
        <v>Student</v>
      </c>
      <c r="F1970" s="5" t="str">
        <f ca="1">IFERROR(__xludf.DUMMYFUNCTION("""COMPUTED_VALUE"""),"Fled/Apprehended")</f>
        <v>Fled/Apprehended</v>
      </c>
      <c r="G1970" s="5" t="str">
        <f ca="1">IFERROR(__xludf.DUMMYFUNCTION("""COMPUTED_VALUE"""),"No")</f>
        <v>No</v>
      </c>
      <c r="H1970" s="5" t="str">
        <f ca="1">IFERROR(__xludf.DUMMYFUNCTION("""COMPUTED_VALUE"""),"None")</f>
        <v>None</v>
      </c>
    </row>
    <row r="1971" spans="1:8" ht="13">
      <c r="A1971" s="5" t="str">
        <f ca="1">IFERROR(__xludf.DUMMYFUNCTION("""COMPUTED_VALUE"""),"19940405TXMCA")</f>
        <v>19940405TXMCA</v>
      </c>
      <c r="B1971" s="5">
        <f ca="1">IFERROR(__xludf.DUMMYFUNCTION("""COMPUTED_VALUE"""),16)</f>
        <v>16</v>
      </c>
      <c r="C1971" s="5" t="str">
        <f ca="1">IFERROR(__xludf.DUMMYFUNCTION("""COMPUTED_VALUE"""),"Male")</f>
        <v>Male</v>
      </c>
      <c r="D1971" s="5"/>
      <c r="E1971" s="5" t="str">
        <f ca="1">IFERROR(__xludf.DUMMYFUNCTION("""COMPUTED_VALUE"""),"Student")</f>
        <v>Student</v>
      </c>
      <c r="F1971" s="5" t="str">
        <f ca="1">IFERROR(__xludf.DUMMYFUNCTION("""COMPUTED_VALUE"""),"Surrendered")</f>
        <v>Surrendered</v>
      </c>
      <c r="G1971" s="5" t="str">
        <f ca="1">IFERROR(__xludf.DUMMYFUNCTION("""COMPUTED_VALUE"""),"No")</f>
        <v>No</v>
      </c>
      <c r="H1971" s="5" t="str">
        <f ca="1">IFERROR(__xludf.DUMMYFUNCTION("""COMPUTED_VALUE"""),"None")</f>
        <v>None</v>
      </c>
    </row>
    <row r="1972" spans="1:8" ht="13">
      <c r="A1972" s="5" t="str">
        <f ca="1">IFERROR(__xludf.DUMMYFUNCTION("""COMPUTED_VALUE"""),"19940325GAETC")</f>
        <v>19940325GAETC</v>
      </c>
      <c r="B1972" s="5">
        <f ca="1">IFERROR(__xludf.DUMMYFUNCTION("""COMPUTED_VALUE"""),15)</f>
        <v>15</v>
      </c>
      <c r="C1972" s="5" t="str">
        <f ca="1">IFERROR(__xludf.DUMMYFUNCTION("""COMPUTED_VALUE"""),"Male")</f>
        <v>Male</v>
      </c>
      <c r="D1972" s="5"/>
      <c r="E1972" s="5" t="str">
        <f ca="1">IFERROR(__xludf.DUMMYFUNCTION("""COMPUTED_VALUE"""),"Student")</f>
        <v>Student</v>
      </c>
      <c r="F1972" s="5" t="str">
        <f ca="1">IFERROR(__xludf.DUMMYFUNCTION("""COMPUTED_VALUE"""),"Suicide")</f>
        <v>Suicide</v>
      </c>
      <c r="G1972" s="5" t="str">
        <f ca="1">IFERROR(__xludf.DUMMYFUNCTION("""COMPUTED_VALUE"""),"Yes")</f>
        <v>Yes</v>
      </c>
      <c r="H1972" s="5" t="str">
        <f ca="1">IFERROR(__xludf.DUMMYFUNCTION("""COMPUTED_VALUE"""),"Suicide")</f>
        <v>Suicide</v>
      </c>
    </row>
    <row r="1973" spans="1:8" ht="13">
      <c r="A1973" s="5" t="str">
        <f ca="1">IFERROR(__xludf.DUMMYFUNCTION("""COMPUTED_VALUE"""),"19940323WABAS")</f>
        <v>19940323WABAS</v>
      </c>
      <c r="B1973" s="5">
        <f ca="1">IFERROR(__xludf.DUMMYFUNCTION("""COMPUTED_VALUE"""),16)</f>
        <v>16</v>
      </c>
      <c r="C1973" s="5" t="str">
        <f ca="1">IFERROR(__xludf.DUMMYFUNCTION("""COMPUTED_VALUE"""),"Male")</f>
        <v>Male</v>
      </c>
      <c r="D1973" s="5" t="str">
        <f ca="1">IFERROR(__xludf.DUMMYFUNCTION("""COMPUTED_VALUE"""),"Hispanic")</f>
        <v>Hispanic</v>
      </c>
      <c r="E1973" s="5" t="str">
        <f ca="1">IFERROR(__xludf.DUMMYFUNCTION("""COMPUTED_VALUE"""),"Unknown")</f>
        <v>Unknown</v>
      </c>
      <c r="F1973" s="5" t="str">
        <f ca="1">IFERROR(__xludf.DUMMYFUNCTION("""COMPUTED_VALUE"""),"Fled/Apprehended")</f>
        <v>Fled/Apprehended</v>
      </c>
      <c r="G1973" s="5" t="str">
        <f ca="1">IFERROR(__xludf.DUMMYFUNCTION("""COMPUTED_VALUE"""),"No")</f>
        <v>No</v>
      </c>
      <c r="H1973" s="5" t="str">
        <f ca="1">IFERROR(__xludf.DUMMYFUNCTION("""COMPUTED_VALUE"""),"None")</f>
        <v>None</v>
      </c>
    </row>
    <row r="1974" spans="1:8" ht="13">
      <c r="A1974" s="5" t="str">
        <f ca="1">IFERROR(__xludf.DUMMYFUNCTION("""COMPUTED_VALUE"""),"19940315SCGOC")</f>
        <v>19940315SCGOC</v>
      </c>
      <c r="B1974" s="5" t="str">
        <f ca="1">IFERROR(__xludf.DUMMYFUNCTION("""COMPUTED_VALUE"""),"Teen")</f>
        <v>Teen</v>
      </c>
      <c r="C1974" s="5" t="str">
        <f ca="1">IFERROR(__xludf.DUMMYFUNCTION("""COMPUTED_VALUE"""),"Male")</f>
        <v>Male</v>
      </c>
      <c r="D1974" s="5"/>
      <c r="E1974" s="5" t="str">
        <f ca="1">IFERROR(__xludf.DUMMYFUNCTION("""COMPUTED_VALUE"""),"Student")</f>
        <v>Student</v>
      </c>
      <c r="F1974" s="5" t="str">
        <f ca="1">IFERROR(__xludf.DUMMYFUNCTION("""COMPUTED_VALUE"""),"Fled/Escaped")</f>
        <v>Fled/Escaped</v>
      </c>
      <c r="G1974" s="5" t="str">
        <f ca="1">IFERROR(__xludf.DUMMYFUNCTION("""COMPUTED_VALUE"""),"No")</f>
        <v>No</v>
      </c>
      <c r="H1974" s="5" t="str">
        <f ca="1">IFERROR(__xludf.DUMMYFUNCTION("""COMPUTED_VALUE"""),"None")</f>
        <v>None</v>
      </c>
    </row>
    <row r="1975" spans="1:8" ht="13">
      <c r="A1975" s="5" t="str">
        <f ca="1">IFERROR(__xludf.DUMMYFUNCTION("""COMPUTED_VALUE"""),"19940309DCEAW")</f>
        <v>19940309DCEAW</v>
      </c>
      <c r="B1975" s="5">
        <f ca="1">IFERROR(__xludf.DUMMYFUNCTION("""COMPUTED_VALUE"""),17)</f>
        <v>17</v>
      </c>
      <c r="C1975" s="5" t="str">
        <f ca="1">IFERROR(__xludf.DUMMYFUNCTION("""COMPUTED_VALUE"""),"Male")</f>
        <v>Male</v>
      </c>
      <c r="D1975" s="5"/>
      <c r="E1975" s="5" t="str">
        <f ca="1">IFERROR(__xludf.DUMMYFUNCTION("""COMPUTED_VALUE"""),"Student")</f>
        <v>Student</v>
      </c>
      <c r="F1975" s="5" t="str">
        <f ca="1">IFERROR(__xludf.DUMMYFUNCTION("""COMPUTED_VALUE"""),"Fled/Apprehended")</f>
        <v>Fled/Apprehended</v>
      </c>
      <c r="G1975" s="5" t="str">
        <f ca="1">IFERROR(__xludf.DUMMYFUNCTION("""COMPUTED_VALUE"""),"No")</f>
        <v>No</v>
      </c>
      <c r="H1975" s="5" t="str">
        <f ca="1">IFERROR(__xludf.DUMMYFUNCTION("""COMPUTED_VALUE"""),"None")</f>
        <v>None</v>
      </c>
    </row>
    <row r="1976" spans="1:8" ht="13">
      <c r="A1976" s="5" t="str">
        <f ca="1">IFERROR(__xludf.DUMMYFUNCTION("""COMPUTED_VALUE"""),"19940303ALENB")</f>
        <v>19940303ALENB</v>
      </c>
      <c r="B1976" s="5">
        <f ca="1">IFERROR(__xludf.DUMMYFUNCTION("""COMPUTED_VALUE"""),17)</f>
        <v>17</v>
      </c>
      <c r="C1976" s="5" t="str">
        <f ca="1">IFERROR(__xludf.DUMMYFUNCTION("""COMPUTED_VALUE"""),"Male")</f>
        <v>Male</v>
      </c>
      <c r="D1976" s="5"/>
      <c r="E1976" s="5" t="str">
        <f ca="1">IFERROR(__xludf.DUMMYFUNCTION("""COMPUTED_VALUE"""),"Student")</f>
        <v>Student</v>
      </c>
      <c r="F1976" s="5" t="str">
        <f ca="1">IFERROR(__xludf.DUMMYFUNCTION("""COMPUTED_VALUE"""),"Fled/Apprehended")</f>
        <v>Fled/Apprehended</v>
      </c>
      <c r="G1976" s="5" t="str">
        <f ca="1">IFERROR(__xludf.DUMMYFUNCTION("""COMPUTED_VALUE"""),"No")</f>
        <v>No</v>
      </c>
      <c r="H1976" s="5" t="str">
        <f ca="1">IFERROR(__xludf.DUMMYFUNCTION("""COMPUTED_VALUE"""),"None")</f>
        <v>None</v>
      </c>
    </row>
    <row r="1977" spans="1:8" ht="13">
      <c r="A1977" s="5" t="str">
        <f ca="1">IFERROR(__xludf.DUMMYFUNCTION("""COMPUTED_VALUE"""),"19940301MOKEB")</f>
        <v>19940301MOKEB</v>
      </c>
      <c r="B1977" s="5">
        <f ca="1">IFERROR(__xludf.DUMMYFUNCTION("""COMPUTED_VALUE"""),33)</f>
        <v>33</v>
      </c>
      <c r="C1977" s="5" t="str">
        <f ca="1">IFERROR(__xludf.DUMMYFUNCTION("""COMPUTED_VALUE"""),"Male")</f>
        <v>Male</v>
      </c>
      <c r="D1977" s="5" t="str">
        <f ca="1">IFERROR(__xludf.DUMMYFUNCTION("""COMPUTED_VALUE"""),"Black")</f>
        <v>Black</v>
      </c>
      <c r="E1977" s="5" t="str">
        <f ca="1">IFERROR(__xludf.DUMMYFUNCTION("""COMPUTED_VALUE"""),"Intimate Relationship")</f>
        <v>Intimate Relationship</v>
      </c>
      <c r="F1977" s="5" t="str">
        <f ca="1">IFERROR(__xludf.DUMMYFUNCTION("""COMPUTED_VALUE"""),"Surrendered")</f>
        <v>Surrendered</v>
      </c>
      <c r="G1977" s="5" t="str">
        <f ca="1">IFERROR(__xludf.DUMMYFUNCTION("""COMPUTED_VALUE"""),"No")</f>
        <v>No</v>
      </c>
      <c r="H1977" s="5" t="str">
        <f ca="1">IFERROR(__xludf.DUMMYFUNCTION("""COMPUTED_VALUE"""),"None")</f>
        <v>None</v>
      </c>
    </row>
    <row r="1978" spans="1:8" ht="13">
      <c r="A1978" s="5" t="str">
        <f ca="1">IFERROR(__xludf.DUMMYFUNCTION("""COMPUTED_VALUE"""),"19940218SCSPS")</f>
        <v>19940218SCSPS</v>
      </c>
      <c r="B1978" s="5" t="str">
        <f ca="1">IFERROR(__xludf.DUMMYFUNCTION("""COMPUTED_VALUE"""),"Adult")</f>
        <v>Adult</v>
      </c>
      <c r="C1978" s="5" t="str">
        <f ca="1">IFERROR(__xludf.DUMMYFUNCTION("""COMPUTED_VALUE"""),"Male")</f>
        <v>Male</v>
      </c>
      <c r="D1978" s="5"/>
      <c r="E1978" s="5" t="str">
        <f ca="1">IFERROR(__xludf.DUMMYFUNCTION("""COMPUTED_VALUE"""),"Unknown")</f>
        <v>Unknown</v>
      </c>
      <c r="F1978" s="5" t="str">
        <f ca="1">IFERROR(__xludf.DUMMYFUNCTION("""COMPUTED_VALUE"""),"Fled/Apprehended")</f>
        <v>Fled/Apprehended</v>
      </c>
      <c r="G1978" s="5" t="str">
        <f ca="1">IFERROR(__xludf.DUMMYFUNCTION("""COMPUTED_VALUE"""),"No")</f>
        <v>No</v>
      </c>
      <c r="H1978" s="5" t="str">
        <f ca="1">IFERROR(__xludf.DUMMYFUNCTION("""COMPUTED_VALUE"""),"None")</f>
        <v>None</v>
      </c>
    </row>
    <row r="1979" spans="1:8" ht="13">
      <c r="A1979" s="5" t="str">
        <f ca="1">IFERROR(__xludf.DUMMYFUNCTION("""COMPUTED_VALUE"""),"19940208MIOSD")</f>
        <v>19940208MIOSD</v>
      </c>
      <c r="B1979" s="5"/>
      <c r="C1979" s="5"/>
      <c r="D1979" s="5"/>
      <c r="E1979" s="5" t="str">
        <f ca="1">IFERROR(__xludf.DUMMYFUNCTION("""COMPUTED_VALUE"""),"Unknown")</f>
        <v>Unknown</v>
      </c>
      <c r="F1979" s="5" t="str">
        <f ca="1">IFERROR(__xludf.DUMMYFUNCTION("""COMPUTED_VALUE"""),"Fled/Escaped")</f>
        <v>Fled/Escaped</v>
      </c>
      <c r="G1979" s="5" t="str">
        <f ca="1">IFERROR(__xludf.DUMMYFUNCTION("""COMPUTED_VALUE"""),"No")</f>
        <v>No</v>
      </c>
      <c r="H1979" s="5" t="str">
        <f ca="1">IFERROR(__xludf.DUMMYFUNCTION("""COMPUTED_VALUE"""),"None")</f>
        <v>None</v>
      </c>
    </row>
    <row r="1980" spans="1:8" ht="13">
      <c r="A1980" s="5" t="str">
        <f ca="1">IFERROR(__xludf.DUMMYFUNCTION("""COMPUTED_VALUE"""),"19940131WAWHS")</f>
        <v>19940131WAWHS</v>
      </c>
      <c r="B1980" s="5">
        <f ca="1">IFERROR(__xludf.DUMMYFUNCTION("""COMPUTED_VALUE"""),24)</f>
        <v>24</v>
      </c>
      <c r="C1980" s="5" t="str">
        <f ca="1">IFERROR(__xludf.DUMMYFUNCTION("""COMPUTED_VALUE"""),"Male")</f>
        <v>Male</v>
      </c>
      <c r="D1980" s="5" t="str">
        <f ca="1">IFERROR(__xludf.DUMMYFUNCTION("""COMPUTED_VALUE"""),"White")</f>
        <v>White</v>
      </c>
      <c r="E1980" s="5" t="str">
        <f ca="1">IFERROR(__xludf.DUMMYFUNCTION("""COMPUTED_VALUE"""),"Former Student")</f>
        <v>Former Student</v>
      </c>
      <c r="F1980" s="5" t="str">
        <f ca="1">IFERROR(__xludf.DUMMYFUNCTION("""COMPUTED_VALUE"""),"Fled/Apprehended")</f>
        <v>Fled/Apprehended</v>
      </c>
      <c r="G1980" s="5" t="str">
        <f ca="1">IFERROR(__xludf.DUMMYFUNCTION("""COMPUTED_VALUE"""),"No")</f>
        <v>No</v>
      </c>
      <c r="H1980" s="5" t="str">
        <f ca="1">IFERROR(__xludf.DUMMYFUNCTION("""COMPUTED_VALUE"""),"None")</f>
        <v>None</v>
      </c>
    </row>
    <row r="1981" spans="1:8" ht="13">
      <c r="A1981" s="5" t="str">
        <f ca="1">IFERROR(__xludf.DUMMYFUNCTION("""COMPUTED_VALUE"""),"19940127CAWAS")</f>
        <v>19940127CAWAS</v>
      </c>
      <c r="B1981" s="5" t="str">
        <f ca="1">IFERROR(__xludf.DUMMYFUNCTION("""COMPUTED_VALUE"""),"Adult")</f>
        <v>Adult</v>
      </c>
      <c r="C1981" s="5" t="str">
        <f ca="1">IFERROR(__xludf.DUMMYFUNCTION("""COMPUTED_VALUE"""),"Male")</f>
        <v>Male</v>
      </c>
      <c r="D1981" s="5" t="str">
        <f ca="1">IFERROR(__xludf.DUMMYFUNCTION("""COMPUTED_VALUE"""),"N/A")</f>
        <v>N/A</v>
      </c>
      <c r="E1981" s="5" t="str">
        <f ca="1">IFERROR(__xludf.DUMMYFUNCTION("""COMPUTED_VALUE"""),"No Relation")</f>
        <v>No Relation</v>
      </c>
      <c r="F1981" s="5" t="str">
        <f ca="1">IFERROR(__xludf.DUMMYFUNCTION("""COMPUTED_VALUE"""),"Fled/Apprehended")</f>
        <v>Fled/Apprehended</v>
      </c>
      <c r="G1981" s="5" t="str">
        <f ca="1">IFERROR(__xludf.DUMMYFUNCTION("""COMPUTED_VALUE"""),"No")</f>
        <v>No</v>
      </c>
      <c r="H1981" s="5" t="str">
        <f ca="1">IFERROR(__xludf.DUMMYFUNCTION("""COMPUTED_VALUE"""),"None")</f>
        <v>None</v>
      </c>
    </row>
    <row r="1982" spans="1:8" ht="13">
      <c r="A1982" s="5" t="str">
        <f ca="1">IFERROR(__xludf.DUMMYFUNCTION("""COMPUTED_VALUE"""),"19940126DCPAW")</f>
        <v>19940126DCPAW</v>
      </c>
      <c r="B1982" s="5" t="str">
        <f ca="1">IFERROR(__xludf.DUMMYFUNCTION("""COMPUTED_VALUE"""),"Teen")</f>
        <v>Teen</v>
      </c>
      <c r="C1982" s="5" t="str">
        <f ca="1">IFERROR(__xludf.DUMMYFUNCTION("""COMPUTED_VALUE"""),"Male")</f>
        <v>Male</v>
      </c>
      <c r="D1982" s="5"/>
      <c r="E1982" s="5" t="str">
        <f ca="1">IFERROR(__xludf.DUMMYFUNCTION("""COMPUTED_VALUE"""),"Unknown")</f>
        <v>Unknown</v>
      </c>
      <c r="F1982" s="5" t="str">
        <f ca="1">IFERROR(__xludf.DUMMYFUNCTION("""COMPUTED_VALUE"""),"Fled/Apprehended")</f>
        <v>Fled/Apprehended</v>
      </c>
      <c r="G1982" s="5" t="str">
        <f ca="1">IFERROR(__xludf.DUMMYFUNCTION("""COMPUTED_VALUE"""),"No")</f>
        <v>No</v>
      </c>
      <c r="H1982" s="5" t="str">
        <f ca="1">IFERROR(__xludf.DUMMYFUNCTION("""COMPUTED_VALUE"""),"None")</f>
        <v>None</v>
      </c>
    </row>
    <row r="1983" spans="1:8" ht="13">
      <c r="A1983" s="5" t="str">
        <f ca="1">IFERROR(__xludf.DUMMYFUNCTION("""COMPUTED_VALUE"""),"19940126DCELW")</f>
        <v>19940126DCELW</v>
      </c>
      <c r="B1983" s="5"/>
      <c r="C1983" s="5"/>
      <c r="D1983" s="5"/>
      <c r="E1983" s="5" t="str">
        <f ca="1">IFERROR(__xludf.DUMMYFUNCTION("""COMPUTED_VALUE"""),"Unknown")</f>
        <v>Unknown</v>
      </c>
      <c r="F1983" s="5" t="str">
        <f ca="1">IFERROR(__xludf.DUMMYFUNCTION("""COMPUTED_VALUE"""),"Fled/Escaped")</f>
        <v>Fled/Escaped</v>
      </c>
      <c r="G1983" s="5" t="str">
        <f ca="1">IFERROR(__xludf.DUMMYFUNCTION("""COMPUTED_VALUE"""),"No")</f>
        <v>No</v>
      </c>
      <c r="H1983" s="5" t="str">
        <f ca="1">IFERROR(__xludf.DUMMYFUNCTION("""COMPUTED_VALUE"""),"None")</f>
        <v>None</v>
      </c>
    </row>
    <row r="1984" spans="1:8" ht="13">
      <c r="A1984" s="5" t="str">
        <f ca="1">IFERROR(__xludf.DUMMYFUNCTION("""COMPUTED_VALUE"""),"19940124SCEAC")</f>
        <v>19940124SCEAC</v>
      </c>
      <c r="B1984" s="5">
        <f ca="1">IFERROR(__xludf.DUMMYFUNCTION("""COMPUTED_VALUE"""),18)</f>
        <v>18</v>
      </c>
      <c r="C1984" s="5" t="str">
        <f ca="1">IFERROR(__xludf.DUMMYFUNCTION("""COMPUTED_VALUE"""),"Male")</f>
        <v>Male</v>
      </c>
      <c r="D1984" s="5" t="str">
        <f ca="1">IFERROR(__xludf.DUMMYFUNCTION("""COMPUTED_VALUE"""),"Black")</f>
        <v>Black</v>
      </c>
      <c r="E1984" s="5" t="str">
        <f ca="1">IFERROR(__xludf.DUMMYFUNCTION("""COMPUTED_VALUE"""),"Student")</f>
        <v>Student</v>
      </c>
      <c r="F1984" s="5" t="str">
        <f ca="1">IFERROR(__xludf.DUMMYFUNCTION("""COMPUTED_VALUE"""),"Fled/Apprehended")</f>
        <v>Fled/Apprehended</v>
      </c>
      <c r="G1984" s="5" t="str">
        <f ca="1">IFERROR(__xludf.DUMMYFUNCTION("""COMPUTED_VALUE"""),"No")</f>
        <v>No</v>
      </c>
      <c r="H1984" s="5" t="str">
        <f ca="1">IFERROR(__xludf.DUMMYFUNCTION("""COMPUTED_VALUE"""),"None")</f>
        <v>None</v>
      </c>
    </row>
    <row r="1985" spans="1:8" ht="13">
      <c r="A1985" s="5" t="str">
        <f ca="1">IFERROR(__xludf.DUMMYFUNCTION("""COMPUTED_VALUE"""),"19940121TXKEK")</f>
        <v>19940121TXKEK</v>
      </c>
      <c r="B1985" s="5">
        <f ca="1">IFERROR(__xludf.DUMMYFUNCTION("""COMPUTED_VALUE"""),17)</f>
        <v>17</v>
      </c>
      <c r="C1985" s="5" t="str">
        <f ca="1">IFERROR(__xludf.DUMMYFUNCTION("""COMPUTED_VALUE"""),"Male")</f>
        <v>Male</v>
      </c>
      <c r="D1985" s="5"/>
      <c r="E1985" s="5" t="str">
        <f ca="1">IFERROR(__xludf.DUMMYFUNCTION("""COMPUTED_VALUE"""),"Student")</f>
        <v>Student</v>
      </c>
      <c r="F1985" s="5" t="str">
        <f ca="1">IFERROR(__xludf.DUMMYFUNCTION("""COMPUTED_VALUE"""),"Suicide")</f>
        <v>Suicide</v>
      </c>
      <c r="G1985" s="5" t="str">
        <f ca="1">IFERROR(__xludf.DUMMYFUNCTION("""COMPUTED_VALUE"""),"Yes")</f>
        <v>Yes</v>
      </c>
      <c r="H1985" s="5" t="str">
        <f ca="1">IFERROR(__xludf.DUMMYFUNCTION("""COMPUTED_VALUE"""),"Suicide")</f>
        <v>Suicide</v>
      </c>
    </row>
    <row r="1986" spans="1:8" ht="13">
      <c r="A1986" s="5" t="str">
        <f ca="1">IFERROR(__xludf.DUMMYFUNCTION("""COMPUTED_VALUE"""),"19940120CALOH")</f>
        <v>19940120CALOH</v>
      </c>
      <c r="B1986" s="5" t="str">
        <f ca="1">IFERROR(__xludf.DUMMYFUNCTION("""COMPUTED_VALUE"""),"Teen")</f>
        <v>Teen</v>
      </c>
      <c r="C1986" s="5" t="str">
        <f ca="1">IFERROR(__xludf.DUMMYFUNCTION("""COMPUTED_VALUE"""),"Male")</f>
        <v>Male</v>
      </c>
      <c r="D1986" s="5"/>
      <c r="E1986" s="5" t="str">
        <f ca="1">IFERROR(__xludf.DUMMYFUNCTION("""COMPUTED_VALUE"""),"Student")</f>
        <v>Student</v>
      </c>
      <c r="F1986" s="5" t="str">
        <f ca="1">IFERROR(__xludf.DUMMYFUNCTION("""COMPUTED_VALUE"""),"Fled/Escaped")</f>
        <v>Fled/Escaped</v>
      </c>
      <c r="G1986" s="5" t="str">
        <f ca="1">IFERROR(__xludf.DUMMYFUNCTION("""COMPUTED_VALUE"""),"No")</f>
        <v>No</v>
      </c>
      <c r="H1986" s="5" t="str">
        <f ca="1">IFERROR(__xludf.DUMMYFUNCTION("""COMPUTED_VALUE"""),"None")</f>
        <v>None</v>
      </c>
    </row>
    <row r="1987" spans="1:8" ht="13">
      <c r="A1987" s="5" t="str">
        <f ca="1">IFERROR(__xludf.DUMMYFUNCTION("""COMPUTED_VALUE"""),"19931217MICHC")</f>
        <v>19931217MICHC</v>
      </c>
      <c r="B1987" s="5" t="str">
        <f ca="1">IFERROR(__xludf.DUMMYFUNCTION("""COMPUTED_VALUE"""),"Teen")</f>
        <v>Teen</v>
      </c>
      <c r="C1987" s="5" t="str">
        <f ca="1">IFERROR(__xludf.DUMMYFUNCTION("""COMPUTED_VALUE"""),"Male")</f>
        <v>Male</v>
      </c>
      <c r="D1987" s="5"/>
      <c r="E1987" s="5" t="str">
        <f ca="1">IFERROR(__xludf.DUMMYFUNCTION("""COMPUTED_VALUE"""),"Teacher")</f>
        <v>Teacher</v>
      </c>
      <c r="F1987" s="5" t="str">
        <f ca="1">IFERROR(__xludf.DUMMYFUNCTION("""COMPUTED_VALUE"""),"Surrendered")</f>
        <v>Surrendered</v>
      </c>
      <c r="G1987" s="5" t="str">
        <f ca="1">IFERROR(__xludf.DUMMYFUNCTION("""COMPUTED_VALUE"""),"No")</f>
        <v>No</v>
      </c>
      <c r="H1987" s="5" t="str">
        <f ca="1">IFERROR(__xludf.DUMMYFUNCTION("""COMPUTED_VALUE"""),"None")</f>
        <v>None</v>
      </c>
    </row>
    <row r="1988" spans="1:8" ht="13">
      <c r="A1988" s="5" t="str">
        <f ca="1">IFERROR(__xludf.DUMMYFUNCTION("""COMPUTED_VALUE"""),"19931215CACHS")</f>
        <v>19931215CACHS</v>
      </c>
      <c r="B1988" s="5">
        <f ca="1">IFERROR(__xludf.DUMMYFUNCTION("""COMPUTED_VALUE"""),14)</f>
        <v>14</v>
      </c>
      <c r="C1988" s="5" t="str">
        <f ca="1">IFERROR(__xludf.DUMMYFUNCTION("""COMPUTED_VALUE"""),"Male")</f>
        <v>Male</v>
      </c>
      <c r="D1988" s="5"/>
      <c r="E1988" s="5" t="str">
        <f ca="1">IFERROR(__xludf.DUMMYFUNCTION("""COMPUTED_VALUE"""),"Student")</f>
        <v>Student</v>
      </c>
      <c r="F1988" s="5" t="str">
        <f ca="1">IFERROR(__xludf.DUMMYFUNCTION("""COMPUTED_VALUE"""),"Fled/Apprehended")</f>
        <v>Fled/Apprehended</v>
      </c>
      <c r="G1988" s="5" t="str">
        <f ca="1">IFERROR(__xludf.DUMMYFUNCTION("""COMPUTED_VALUE"""),"No")</f>
        <v>No</v>
      </c>
      <c r="H1988" s="5" t="str">
        <f ca="1">IFERROR(__xludf.DUMMYFUNCTION("""COMPUTED_VALUE"""),"None")</f>
        <v>None</v>
      </c>
    </row>
    <row r="1989" spans="1:8" ht="13">
      <c r="A1989" s="5" t="str">
        <f ca="1">IFERROR(__xludf.DUMMYFUNCTION("""COMPUTED_VALUE"""),"19931208GABES")</f>
        <v>19931208GABES</v>
      </c>
      <c r="B1989" s="5">
        <f ca="1">IFERROR(__xludf.DUMMYFUNCTION("""COMPUTED_VALUE"""),16)</f>
        <v>16</v>
      </c>
      <c r="C1989" s="5" t="str">
        <f ca="1">IFERROR(__xludf.DUMMYFUNCTION("""COMPUTED_VALUE"""),"Male")</f>
        <v>Male</v>
      </c>
      <c r="D1989" s="5"/>
      <c r="E1989" s="5" t="str">
        <f ca="1">IFERROR(__xludf.DUMMYFUNCTION("""COMPUTED_VALUE"""),"Nonstudent")</f>
        <v>Nonstudent</v>
      </c>
      <c r="F1989" s="5" t="str">
        <f ca="1">IFERROR(__xludf.DUMMYFUNCTION("""COMPUTED_VALUE"""),"Fled/Apprehended")</f>
        <v>Fled/Apprehended</v>
      </c>
      <c r="G1989" s="5" t="str">
        <f ca="1">IFERROR(__xludf.DUMMYFUNCTION("""COMPUTED_VALUE"""),"No")</f>
        <v>No</v>
      </c>
      <c r="H1989" s="5" t="str">
        <f ca="1">IFERROR(__xludf.DUMMYFUNCTION("""COMPUTED_VALUE"""),"None")</f>
        <v>None</v>
      </c>
    </row>
    <row r="1990" spans="1:8" ht="13">
      <c r="A1990" s="5" t="str">
        <f ca="1">IFERROR(__xludf.DUMMYFUNCTION("""COMPUTED_VALUE"""),"19931202CTNEN")</f>
        <v>19931202CTNEN</v>
      </c>
      <c r="B1990" s="5"/>
      <c r="C1990" s="5" t="str">
        <f ca="1">IFERROR(__xludf.DUMMYFUNCTION("""COMPUTED_VALUE"""),"Male")</f>
        <v>Male</v>
      </c>
      <c r="D1990" s="5"/>
      <c r="E1990" s="5" t="str">
        <f ca="1">IFERROR(__xludf.DUMMYFUNCTION("""COMPUTED_VALUE"""),"Unknown")</f>
        <v>Unknown</v>
      </c>
      <c r="F1990" s="5" t="str">
        <f ca="1">IFERROR(__xludf.DUMMYFUNCTION("""COMPUTED_VALUE"""),"Fled/Escaped")</f>
        <v>Fled/Escaped</v>
      </c>
      <c r="G1990" s="5" t="str">
        <f ca="1">IFERROR(__xludf.DUMMYFUNCTION("""COMPUTED_VALUE"""),"No")</f>
        <v>No</v>
      </c>
      <c r="H1990" s="5" t="str">
        <f ca="1">IFERROR(__xludf.DUMMYFUNCTION("""COMPUTED_VALUE"""),"None")</f>
        <v>None</v>
      </c>
    </row>
    <row r="1991" spans="1:8" ht="13">
      <c r="A1991" s="5" t="str">
        <f ca="1">IFERROR(__xludf.DUMMYFUNCTION("""COMPUTED_VALUE"""),"19931201WIWAW")</f>
        <v>19931201WIWAW</v>
      </c>
      <c r="B1991" s="5">
        <f ca="1">IFERROR(__xludf.DUMMYFUNCTION("""COMPUTED_VALUE"""),21)</f>
        <v>21</v>
      </c>
      <c r="C1991" s="5" t="str">
        <f ca="1">IFERROR(__xludf.DUMMYFUNCTION("""COMPUTED_VALUE"""),"Male")</f>
        <v>Male</v>
      </c>
      <c r="D1991" s="5" t="str">
        <f ca="1">IFERROR(__xludf.DUMMYFUNCTION("""COMPUTED_VALUE"""),"White")</f>
        <v>White</v>
      </c>
      <c r="E1991" s="5" t="str">
        <f ca="1">IFERROR(__xludf.DUMMYFUNCTION("""COMPUTED_VALUE"""),"Former Student")</f>
        <v>Former Student</v>
      </c>
      <c r="F1991" s="5" t="str">
        <f ca="1">IFERROR(__xludf.DUMMYFUNCTION("""COMPUTED_VALUE"""),"Fled/Apprehended")</f>
        <v>Fled/Apprehended</v>
      </c>
      <c r="G1991" s="5" t="str">
        <f ca="1">IFERROR(__xludf.DUMMYFUNCTION("""COMPUTED_VALUE"""),"No")</f>
        <v>No</v>
      </c>
      <c r="H1991" s="5" t="str">
        <f ca="1">IFERROR(__xludf.DUMMYFUNCTION("""COMPUTED_VALUE"""),"None")</f>
        <v>None</v>
      </c>
    </row>
    <row r="1992" spans="1:8" ht="13">
      <c r="A1992" s="5" t="str">
        <f ca="1">IFERROR(__xludf.DUMMYFUNCTION("""COMPUTED_VALUE"""),"19931111ILRIS")</f>
        <v>19931111ILRIS</v>
      </c>
      <c r="B1992" s="5"/>
      <c r="C1992" s="5"/>
      <c r="D1992" s="5"/>
      <c r="E1992" s="5" t="str">
        <f ca="1">IFERROR(__xludf.DUMMYFUNCTION("""COMPUTED_VALUE"""),"Unknown")</f>
        <v>Unknown</v>
      </c>
      <c r="F1992" s="5" t="str">
        <f ca="1">IFERROR(__xludf.DUMMYFUNCTION("""COMPUTED_VALUE"""),"Fled/Escaped")</f>
        <v>Fled/Escaped</v>
      </c>
      <c r="G1992" s="5" t="str">
        <f ca="1">IFERROR(__xludf.DUMMYFUNCTION("""COMPUTED_VALUE"""),"No")</f>
        <v>No</v>
      </c>
      <c r="H1992" s="5" t="str">
        <f ca="1">IFERROR(__xludf.DUMMYFUNCTION("""COMPUTED_VALUE"""),"None")</f>
        <v>None</v>
      </c>
    </row>
    <row r="1993" spans="1:8" ht="13">
      <c r="A1993" s="5" t="str">
        <f ca="1">IFERROR(__xludf.DUMMYFUNCTION("""COMPUTED_VALUE"""),"19931104MSBAB")</f>
        <v>19931104MSBAB</v>
      </c>
      <c r="B1993" s="5"/>
      <c r="C1993" s="5"/>
      <c r="D1993" s="5"/>
      <c r="E1993" s="5" t="str">
        <f ca="1">IFERROR(__xludf.DUMMYFUNCTION("""COMPUTED_VALUE"""),"Unknown")</f>
        <v>Unknown</v>
      </c>
      <c r="F1993" s="5" t="str">
        <f ca="1">IFERROR(__xludf.DUMMYFUNCTION("""COMPUTED_VALUE"""),"Fled/Escaped")</f>
        <v>Fled/Escaped</v>
      </c>
      <c r="G1993" s="5" t="str">
        <f ca="1">IFERROR(__xludf.DUMMYFUNCTION("""COMPUTED_VALUE"""),"No")</f>
        <v>No</v>
      </c>
      <c r="H1993" s="5" t="str">
        <f ca="1">IFERROR(__xludf.DUMMYFUNCTION("""COMPUTED_VALUE"""),"None")</f>
        <v>None</v>
      </c>
    </row>
    <row r="1994" spans="1:8" ht="13">
      <c r="A1994" s="5" t="str">
        <f ca="1">IFERROR(__xludf.DUMMYFUNCTION("""COMPUTED_VALUE"""),"19931104FLTEJ")</f>
        <v>19931104FLTEJ</v>
      </c>
      <c r="B1994" s="5">
        <f ca="1">IFERROR(__xludf.DUMMYFUNCTION("""COMPUTED_VALUE"""),19)</f>
        <v>19</v>
      </c>
      <c r="C1994" s="5" t="str">
        <f ca="1">IFERROR(__xludf.DUMMYFUNCTION("""COMPUTED_VALUE"""),"Male")</f>
        <v>Male</v>
      </c>
      <c r="D1994" s="5"/>
      <c r="E1994" s="5" t="str">
        <f ca="1">IFERROR(__xludf.DUMMYFUNCTION("""COMPUTED_VALUE"""),"Student")</f>
        <v>Student</v>
      </c>
      <c r="F1994" s="5" t="str">
        <f ca="1">IFERROR(__xludf.DUMMYFUNCTION("""COMPUTED_VALUE"""),"Fled/Apprehended")</f>
        <v>Fled/Apprehended</v>
      </c>
      <c r="G1994" s="5" t="str">
        <f ca="1">IFERROR(__xludf.DUMMYFUNCTION("""COMPUTED_VALUE"""),"No")</f>
        <v>No</v>
      </c>
      <c r="H1994" s="5" t="str">
        <f ca="1">IFERROR(__xludf.DUMMYFUNCTION("""COMPUTED_VALUE"""),"None")</f>
        <v>None</v>
      </c>
    </row>
    <row r="1995" spans="1:8" ht="13">
      <c r="A1995" s="5" t="str">
        <f ca="1">IFERROR(__xludf.DUMMYFUNCTION("""COMPUTED_VALUE"""),"19931104CTNEN")</f>
        <v>19931104CTNEN</v>
      </c>
      <c r="B1995" s="5">
        <f ca="1">IFERROR(__xludf.DUMMYFUNCTION("""COMPUTED_VALUE"""),20)</f>
        <v>20</v>
      </c>
      <c r="C1995" s="5" t="str">
        <f ca="1">IFERROR(__xludf.DUMMYFUNCTION("""COMPUTED_VALUE"""),"Male")</f>
        <v>Male</v>
      </c>
      <c r="D1995" s="5" t="str">
        <f ca="1">IFERROR(__xludf.DUMMYFUNCTION("""COMPUTED_VALUE"""),"Hispanic")</f>
        <v>Hispanic</v>
      </c>
      <c r="E1995" s="5" t="str">
        <f ca="1">IFERROR(__xludf.DUMMYFUNCTION("""COMPUTED_VALUE"""),"Unknown")</f>
        <v>Unknown</v>
      </c>
      <c r="F1995" s="5" t="str">
        <f ca="1">IFERROR(__xludf.DUMMYFUNCTION("""COMPUTED_VALUE"""),"Fled/Apprehended")</f>
        <v>Fled/Apprehended</v>
      </c>
      <c r="G1995" s="5" t="str">
        <f ca="1">IFERROR(__xludf.DUMMYFUNCTION("""COMPUTED_VALUE"""),"No")</f>
        <v>No</v>
      </c>
      <c r="H1995" s="5" t="str">
        <f ca="1">IFERROR(__xludf.DUMMYFUNCTION("""COMPUTED_VALUE"""),"None")</f>
        <v>None</v>
      </c>
    </row>
    <row r="1996" spans="1:8" ht="13">
      <c r="A1996" s="5" t="str">
        <f ca="1">IFERROR(__xludf.DUMMYFUNCTION("""COMPUTED_VALUE"""),"19931101ILSUC")</f>
        <v>19931101ILSUC</v>
      </c>
      <c r="B1996" s="5">
        <f ca="1">IFERROR(__xludf.DUMMYFUNCTION("""COMPUTED_VALUE"""),16)</f>
        <v>16</v>
      </c>
      <c r="C1996" s="5" t="str">
        <f ca="1">IFERROR(__xludf.DUMMYFUNCTION("""COMPUTED_VALUE"""),"Male")</f>
        <v>Male</v>
      </c>
      <c r="D1996" s="5"/>
      <c r="E1996" s="5" t="str">
        <f ca="1">IFERROR(__xludf.DUMMYFUNCTION("""COMPUTED_VALUE"""),"Student")</f>
        <v>Student</v>
      </c>
      <c r="F1996" s="5" t="str">
        <f ca="1">IFERROR(__xludf.DUMMYFUNCTION("""COMPUTED_VALUE"""),"Fled/Apprehended")</f>
        <v>Fled/Apprehended</v>
      </c>
      <c r="G1996" s="5" t="str">
        <f ca="1">IFERROR(__xludf.DUMMYFUNCTION("""COMPUTED_VALUE"""),"No")</f>
        <v>No</v>
      </c>
      <c r="H1996" s="5" t="str">
        <f ca="1">IFERROR(__xludf.DUMMYFUNCTION("""COMPUTED_VALUE"""),"None")</f>
        <v>None</v>
      </c>
    </row>
    <row r="1997" spans="1:8" ht="13">
      <c r="A1997" s="5" t="str">
        <f ca="1">IFERROR(__xludf.DUMMYFUNCTION("""COMPUTED_VALUE"""),"19931018DCJHW")</f>
        <v>19931018DCJHW</v>
      </c>
      <c r="B1997" s="5">
        <f ca="1">IFERROR(__xludf.DUMMYFUNCTION("""COMPUTED_VALUE"""),15)</f>
        <v>15</v>
      </c>
      <c r="C1997" s="5" t="str">
        <f ca="1">IFERROR(__xludf.DUMMYFUNCTION("""COMPUTED_VALUE"""),"Male")</f>
        <v>Male</v>
      </c>
      <c r="D1997" s="5"/>
      <c r="E1997" s="5" t="str">
        <f ca="1">IFERROR(__xludf.DUMMYFUNCTION("""COMPUTED_VALUE"""),"Student")</f>
        <v>Student</v>
      </c>
      <c r="F1997" s="5" t="str">
        <f ca="1">IFERROR(__xludf.DUMMYFUNCTION("""COMPUTED_VALUE"""),"Fled/Apprehended")</f>
        <v>Fled/Apprehended</v>
      </c>
      <c r="G1997" s="5" t="str">
        <f ca="1">IFERROR(__xludf.DUMMYFUNCTION("""COMPUTED_VALUE"""),"No")</f>
        <v>No</v>
      </c>
      <c r="H1997" s="5" t="str">
        <f ca="1">IFERROR(__xludf.DUMMYFUNCTION("""COMPUTED_VALUE"""),"None")</f>
        <v>None</v>
      </c>
    </row>
    <row r="1998" spans="1:8" ht="13">
      <c r="A1998" s="5" t="str">
        <f ca="1">IFERROR(__xludf.DUMMYFUNCTION("""COMPUTED_VALUE"""),"19931012DEDON")</f>
        <v>19931012DEDON</v>
      </c>
      <c r="B1998" s="5">
        <f ca="1">IFERROR(__xludf.DUMMYFUNCTION("""COMPUTED_VALUE"""),16)</f>
        <v>16</v>
      </c>
      <c r="C1998" s="5" t="str">
        <f ca="1">IFERROR(__xludf.DUMMYFUNCTION("""COMPUTED_VALUE"""),"Female")</f>
        <v>Female</v>
      </c>
      <c r="D1998" s="5"/>
      <c r="E1998" s="5" t="str">
        <f ca="1">IFERROR(__xludf.DUMMYFUNCTION("""COMPUTED_VALUE"""),"Student")</f>
        <v>Student</v>
      </c>
      <c r="F1998" s="5" t="str">
        <f ca="1">IFERROR(__xludf.DUMMYFUNCTION("""COMPUTED_VALUE"""),"Suicide")</f>
        <v>Suicide</v>
      </c>
      <c r="G1998" s="5" t="str">
        <f ca="1">IFERROR(__xludf.DUMMYFUNCTION("""COMPUTED_VALUE"""),"Yes")</f>
        <v>Yes</v>
      </c>
      <c r="H1998" s="5" t="str">
        <f ca="1">IFERROR(__xludf.DUMMYFUNCTION("""COMPUTED_VALUE"""),"Suicide")</f>
        <v>Suicide</v>
      </c>
    </row>
    <row r="1999" spans="1:8" ht="13">
      <c r="A1999" s="5" t="str">
        <f ca="1">IFERROR(__xludf.DUMMYFUNCTION("""COMPUTED_VALUE"""),"19930928MSCOG")</f>
        <v>19930928MSCOG</v>
      </c>
      <c r="B1999" s="5">
        <f ca="1">IFERROR(__xludf.DUMMYFUNCTION("""COMPUTED_VALUE"""),16)</f>
        <v>16</v>
      </c>
      <c r="C1999" s="5" t="str">
        <f ca="1">IFERROR(__xludf.DUMMYFUNCTION("""COMPUTED_VALUE"""),"Male")</f>
        <v>Male</v>
      </c>
      <c r="D1999" s="5"/>
      <c r="E1999" s="5" t="str">
        <f ca="1">IFERROR(__xludf.DUMMYFUNCTION("""COMPUTED_VALUE"""),"Student")</f>
        <v>Student</v>
      </c>
      <c r="F1999" s="5" t="str">
        <f ca="1">IFERROR(__xludf.DUMMYFUNCTION("""COMPUTED_VALUE"""),"Fled/Apprehended")</f>
        <v>Fled/Apprehended</v>
      </c>
      <c r="G1999" s="5" t="str">
        <f ca="1">IFERROR(__xludf.DUMMYFUNCTION("""COMPUTED_VALUE"""),"No")</f>
        <v>No</v>
      </c>
      <c r="H1999" s="5" t="str">
        <f ca="1">IFERROR(__xludf.DUMMYFUNCTION("""COMPUTED_VALUE"""),"None")</f>
        <v>None</v>
      </c>
    </row>
    <row r="2000" spans="1:8" ht="13">
      <c r="A2000" s="5" t="str">
        <f ca="1">IFERROR(__xludf.DUMMYFUNCTION("""COMPUTED_VALUE"""),"19930925DCWEW")</f>
        <v>19930925DCWEW</v>
      </c>
      <c r="B2000" s="5">
        <f ca="1">IFERROR(__xludf.DUMMYFUNCTION("""COMPUTED_VALUE"""),23)</f>
        <v>23</v>
      </c>
      <c r="C2000" s="5" t="str">
        <f ca="1">IFERROR(__xludf.DUMMYFUNCTION("""COMPUTED_VALUE"""),"Male")</f>
        <v>Male</v>
      </c>
      <c r="D2000" s="5"/>
      <c r="E2000" s="5" t="str">
        <f ca="1">IFERROR(__xludf.DUMMYFUNCTION("""COMPUTED_VALUE"""),"Nonstudent Using Athletic Facilities/Attending Game")</f>
        <v>Nonstudent Using Athletic Facilities/Attending Game</v>
      </c>
      <c r="F2000" s="5" t="str">
        <f ca="1">IFERROR(__xludf.DUMMYFUNCTION("""COMPUTED_VALUE"""),"Fled/Apprehended")</f>
        <v>Fled/Apprehended</v>
      </c>
      <c r="G2000" s="5" t="str">
        <f ca="1">IFERROR(__xludf.DUMMYFUNCTION("""COMPUTED_VALUE"""),"No")</f>
        <v>No</v>
      </c>
      <c r="H2000" s="5" t="str">
        <f ca="1">IFERROR(__xludf.DUMMYFUNCTION("""COMPUTED_VALUE"""),"None")</f>
        <v>None</v>
      </c>
    </row>
    <row r="2001" spans="1:8" ht="13">
      <c r="A2001" s="5" t="str">
        <f ca="1">IFERROR(__xludf.DUMMYFUNCTION("""COMPUTED_VALUE"""),"19930925DCWEW")</f>
        <v>19930925DCWEW</v>
      </c>
      <c r="B2001" s="5">
        <f ca="1">IFERROR(__xludf.DUMMYFUNCTION("""COMPUTED_VALUE"""),15)</f>
        <v>15</v>
      </c>
      <c r="C2001" s="5" t="str">
        <f ca="1">IFERROR(__xludf.DUMMYFUNCTION("""COMPUTED_VALUE"""),"Male")</f>
        <v>Male</v>
      </c>
      <c r="D2001" s="5"/>
      <c r="E2001" s="5" t="str">
        <f ca="1">IFERROR(__xludf.DUMMYFUNCTION("""COMPUTED_VALUE"""),"Nonstudent Using Athletic Facilities/Attending Game")</f>
        <v>Nonstudent Using Athletic Facilities/Attending Game</v>
      </c>
      <c r="F2001" s="5" t="str">
        <f ca="1">IFERROR(__xludf.DUMMYFUNCTION("""COMPUTED_VALUE"""),"Fled/Apprehended")</f>
        <v>Fled/Apprehended</v>
      </c>
      <c r="G2001" s="5" t="str">
        <f ca="1">IFERROR(__xludf.DUMMYFUNCTION("""COMPUTED_VALUE"""),"No")</f>
        <v>No</v>
      </c>
      <c r="H2001" s="5" t="str">
        <f ca="1">IFERROR(__xludf.DUMMYFUNCTION("""COMPUTED_VALUE"""),"None")</f>
        <v>None</v>
      </c>
    </row>
    <row r="2002" spans="1:8" ht="13">
      <c r="A2002" s="5" t="str">
        <f ca="1">IFERROR(__xludf.DUMMYFUNCTION("""COMPUTED_VALUE"""),"19930917WYCES")</f>
        <v>19930917WYCES</v>
      </c>
      <c r="B2002" s="5">
        <f ca="1">IFERROR(__xludf.DUMMYFUNCTION("""COMPUTED_VALUE"""),29)</f>
        <v>29</v>
      </c>
      <c r="C2002" s="5" t="str">
        <f ca="1">IFERROR(__xludf.DUMMYFUNCTION("""COMPUTED_VALUE"""),"Male")</f>
        <v>Male</v>
      </c>
      <c r="D2002" s="5" t="str">
        <f ca="1">IFERROR(__xludf.DUMMYFUNCTION("""COMPUTED_VALUE"""),"White")</f>
        <v>White</v>
      </c>
      <c r="E2002" s="5" t="str">
        <f ca="1">IFERROR(__xludf.DUMMYFUNCTION("""COMPUTED_VALUE"""),"No Relation")</f>
        <v>No Relation</v>
      </c>
      <c r="F2002" s="5" t="str">
        <f ca="1">IFERROR(__xludf.DUMMYFUNCTION("""COMPUTED_VALUE"""),"Suicide")</f>
        <v>Suicide</v>
      </c>
      <c r="G2002" s="5" t="str">
        <f ca="1">IFERROR(__xludf.DUMMYFUNCTION("""COMPUTED_VALUE"""),"Yes")</f>
        <v>Yes</v>
      </c>
      <c r="H2002" s="5" t="str">
        <f ca="1">IFERROR(__xludf.DUMMYFUNCTION("""COMPUTED_VALUE"""),"Suicide")</f>
        <v>Suicide</v>
      </c>
    </row>
    <row r="2003" spans="1:8" ht="13">
      <c r="A2003" s="5" t="str">
        <f ca="1">IFERROR(__xludf.DUMMYFUNCTION("""COMPUTED_VALUE"""),"19930917ILDOD")</f>
        <v>19930917ILDOD</v>
      </c>
      <c r="B2003" s="5">
        <f ca="1">IFERROR(__xludf.DUMMYFUNCTION("""COMPUTED_VALUE"""),16)</f>
        <v>16</v>
      </c>
      <c r="C2003" s="5" t="str">
        <f ca="1">IFERROR(__xludf.DUMMYFUNCTION("""COMPUTED_VALUE"""),"Male")</f>
        <v>Male</v>
      </c>
      <c r="D2003" s="5" t="str">
        <f ca="1">IFERROR(__xludf.DUMMYFUNCTION("""COMPUTED_VALUE"""),"White")</f>
        <v>White</v>
      </c>
      <c r="E2003" s="5" t="str">
        <f ca="1">IFERROR(__xludf.DUMMYFUNCTION("""COMPUTED_VALUE"""),"Other Student")</f>
        <v>Other Student</v>
      </c>
      <c r="F2003" s="5" t="str">
        <f ca="1">IFERROR(__xludf.DUMMYFUNCTION("""COMPUTED_VALUE"""),"Fled/Apprehended")</f>
        <v>Fled/Apprehended</v>
      </c>
      <c r="G2003" s="5" t="str">
        <f ca="1">IFERROR(__xludf.DUMMYFUNCTION("""COMPUTED_VALUE"""),"No")</f>
        <v>No</v>
      </c>
      <c r="H2003" s="5" t="str">
        <f ca="1">IFERROR(__xludf.DUMMYFUNCTION("""COMPUTED_VALUE"""),"None")</f>
        <v>None</v>
      </c>
    </row>
    <row r="2004" spans="1:8" ht="13">
      <c r="A2004" s="5" t="str">
        <f ca="1">IFERROR(__xludf.DUMMYFUNCTION("""COMPUTED_VALUE"""),"19930916ILROC")</f>
        <v>19930916ILROC</v>
      </c>
      <c r="B2004" s="5"/>
      <c r="C2004" s="5" t="str">
        <f ca="1">IFERROR(__xludf.DUMMYFUNCTION("""COMPUTED_VALUE"""),"Male")</f>
        <v>Male</v>
      </c>
      <c r="D2004" s="5"/>
      <c r="E2004" s="5" t="str">
        <f ca="1">IFERROR(__xludf.DUMMYFUNCTION("""COMPUTED_VALUE"""),"Unknown")</f>
        <v>Unknown</v>
      </c>
      <c r="F2004" s="5" t="str">
        <f ca="1">IFERROR(__xludf.DUMMYFUNCTION("""COMPUTED_VALUE"""),"Fled/Escaped")</f>
        <v>Fled/Escaped</v>
      </c>
      <c r="G2004" s="5" t="str">
        <f ca="1">IFERROR(__xludf.DUMMYFUNCTION("""COMPUTED_VALUE"""),"No")</f>
        <v>No</v>
      </c>
      <c r="H2004" s="5" t="str">
        <f ca="1">IFERROR(__xludf.DUMMYFUNCTION("""COMPUTED_VALUE"""),"None")</f>
        <v>None</v>
      </c>
    </row>
    <row r="2005" spans="1:8" ht="13">
      <c r="A2005" s="5" t="str">
        <f ca="1">IFERROR(__xludf.DUMMYFUNCTION("""COMPUTED_VALUE"""),"19930912ALFAF")</f>
        <v>19930912ALFAF</v>
      </c>
      <c r="B2005" s="5"/>
      <c r="C2005" s="5"/>
      <c r="D2005" s="5"/>
      <c r="E2005" s="5" t="str">
        <f ca="1">IFERROR(__xludf.DUMMYFUNCTION("""COMPUTED_VALUE"""),"Nonstudent Using Athletic Facilities/Attending Game")</f>
        <v>Nonstudent Using Athletic Facilities/Attending Game</v>
      </c>
      <c r="F2005" s="5" t="str">
        <f ca="1">IFERROR(__xludf.DUMMYFUNCTION("""COMPUTED_VALUE"""),"Fled/Escaped")</f>
        <v>Fled/Escaped</v>
      </c>
      <c r="G2005" s="5" t="str">
        <f ca="1">IFERROR(__xludf.DUMMYFUNCTION("""COMPUTED_VALUE"""),"No")</f>
        <v>No</v>
      </c>
      <c r="H2005" s="5" t="str">
        <f ca="1">IFERROR(__xludf.DUMMYFUNCTION("""COMPUTED_VALUE"""),"None")</f>
        <v>None</v>
      </c>
    </row>
    <row r="2006" spans="1:8" ht="13">
      <c r="A2006" s="5" t="str">
        <f ca="1">IFERROR(__xludf.DUMMYFUNCTION("""COMPUTED_VALUE"""),"19930902TXROD")</f>
        <v>19930902TXROD</v>
      </c>
      <c r="B2006" s="5">
        <f ca="1">IFERROR(__xludf.DUMMYFUNCTION("""COMPUTED_VALUE"""),16)</f>
        <v>16</v>
      </c>
      <c r="C2006" s="5" t="str">
        <f ca="1">IFERROR(__xludf.DUMMYFUNCTION("""COMPUTED_VALUE"""),"Male")</f>
        <v>Male</v>
      </c>
      <c r="D2006" s="5"/>
      <c r="E2006" s="5" t="str">
        <f ca="1">IFERROR(__xludf.DUMMYFUNCTION("""COMPUTED_VALUE"""),"Student")</f>
        <v>Student</v>
      </c>
      <c r="F2006" s="5" t="str">
        <f ca="1">IFERROR(__xludf.DUMMYFUNCTION("""COMPUTED_VALUE"""),"Fled/Apprehended")</f>
        <v>Fled/Apprehended</v>
      </c>
      <c r="G2006" s="5" t="str">
        <f ca="1">IFERROR(__xludf.DUMMYFUNCTION("""COMPUTED_VALUE"""),"No")</f>
        <v>No</v>
      </c>
      <c r="H2006" s="5" t="str">
        <f ca="1">IFERROR(__xludf.DUMMYFUNCTION("""COMPUTED_VALUE"""),"None")</f>
        <v>None</v>
      </c>
    </row>
    <row r="2007" spans="1:8" ht="13">
      <c r="A2007" s="5" t="str">
        <f ca="1">IFERROR(__xludf.DUMMYFUNCTION("""COMPUTED_VALUE"""),"19930901KSJUJ")</f>
        <v>19930901KSJUJ</v>
      </c>
      <c r="B2007" s="5">
        <f ca="1">IFERROR(__xludf.DUMMYFUNCTION("""COMPUTED_VALUE"""),15)</f>
        <v>15</v>
      </c>
      <c r="C2007" s="5" t="str">
        <f ca="1">IFERROR(__xludf.DUMMYFUNCTION("""COMPUTED_VALUE"""),"Male")</f>
        <v>Male</v>
      </c>
      <c r="D2007" s="5"/>
      <c r="E2007" s="5" t="str">
        <f ca="1">IFERROR(__xludf.DUMMYFUNCTION("""COMPUTED_VALUE"""),"Student")</f>
        <v>Student</v>
      </c>
      <c r="F2007" s="5" t="str">
        <f ca="1">IFERROR(__xludf.DUMMYFUNCTION("""COMPUTED_VALUE"""),"Fled/Apprehended")</f>
        <v>Fled/Apprehended</v>
      </c>
      <c r="G2007" s="5" t="str">
        <f ca="1">IFERROR(__xludf.DUMMYFUNCTION("""COMPUTED_VALUE"""),"No")</f>
        <v>No</v>
      </c>
      <c r="H2007" s="5" t="str">
        <f ca="1">IFERROR(__xludf.DUMMYFUNCTION("""COMPUTED_VALUE"""),"None")</f>
        <v>None</v>
      </c>
    </row>
    <row r="2008" spans="1:8" ht="13">
      <c r="A2008" s="5" t="str">
        <f ca="1">IFERROR(__xludf.DUMMYFUNCTION("""COMPUTED_VALUE"""),"19930831GAHAA")</f>
        <v>19930831GAHAA</v>
      </c>
      <c r="B2008" s="5">
        <f ca="1">IFERROR(__xludf.DUMMYFUNCTION("""COMPUTED_VALUE"""),15)</f>
        <v>15</v>
      </c>
      <c r="C2008" s="5" t="str">
        <f ca="1">IFERROR(__xludf.DUMMYFUNCTION("""COMPUTED_VALUE"""),"Male")</f>
        <v>Male</v>
      </c>
      <c r="D2008" s="5" t="str">
        <f ca="1">IFERROR(__xludf.DUMMYFUNCTION("""COMPUTED_VALUE"""),"Black")</f>
        <v>Black</v>
      </c>
      <c r="E2008" s="5" t="str">
        <f ca="1">IFERROR(__xludf.DUMMYFUNCTION("""COMPUTED_VALUE"""),"Student")</f>
        <v>Student</v>
      </c>
      <c r="F2008" s="5" t="str">
        <f ca="1">IFERROR(__xludf.DUMMYFUNCTION("""COMPUTED_VALUE"""),"Unknown")</f>
        <v>Unknown</v>
      </c>
      <c r="G2008" s="5" t="str">
        <f ca="1">IFERROR(__xludf.DUMMYFUNCTION("""COMPUTED_VALUE"""),"No")</f>
        <v>No</v>
      </c>
      <c r="H2008" s="5" t="str">
        <f ca="1">IFERROR(__xludf.DUMMYFUNCTION("""COMPUTED_VALUE"""),"None")</f>
        <v>None</v>
      </c>
    </row>
    <row r="2009" spans="1:8" ht="13">
      <c r="A2009" s="5" t="str">
        <f ca="1">IFERROR(__xludf.DUMMYFUNCTION("""COMPUTED_VALUE"""),"19930803NYTHN")</f>
        <v>19930803NYTHN</v>
      </c>
      <c r="B2009" s="5"/>
      <c r="C2009" s="5" t="str">
        <f ca="1">IFERROR(__xludf.DUMMYFUNCTION("""COMPUTED_VALUE"""),"Male")</f>
        <v>Male</v>
      </c>
      <c r="D2009" s="5"/>
      <c r="E2009" s="5" t="str">
        <f ca="1">IFERROR(__xludf.DUMMYFUNCTION("""COMPUTED_VALUE"""),"Unknown")</f>
        <v>Unknown</v>
      </c>
      <c r="F2009" s="5" t="str">
        <f ca="1">IFERROR(__xludf.DUMMYFUNCTION("""COMPUTED_VALUE"""),"Fled/Escaped")</f>
        <v>Fled/Escaped</v>
      </c>
      <c r="G2009" s="5" t="str">
        <f ca="1">IFERROR(__xludf.DUMMYFUNCTION("""COMPUTED_VALUE"""),"No")</f>
        <v>No</v>
      </c>
      <c r="H2009" s="5" t="str">
        <f ca="1">IFERROR(__xludf.DUMMYFUNCTION("""COMPUTED_VALUE"""),"None")</f>
        <v>None</v>
      </c>
    </row>
    <row r="2010" spans="1:8" ht="13">
      <c r="A2010" s="5" t="str">
        <f ca="1">IFERROR(__xludf.DUMMYFUNCTION("""COMPUTED_VALUE"""),"19930707CADOL")</f>
        <v>19930707CADOL</v>
      </c>
      <c r="B2010" s="5" t="str">
        <f ca="1">IFERROR(__xludf.DUMMYFUNCTION("""COMPUTED_VALUE"""),"Teen")</f>
        <v>Teen</v>
      </c>
      <c r="C2010" s="5" t="str">
        <f ca="1">IFERROR(__xludf.DUMMYFUNCTION("""COMPUTED_VALUE"""),"Male")</f>
        <v>Male</v>
      </c>
      <c r="D2010" s="5"/>
      <c r="E2010" s="5" t="str">
        <f ca="1">IFERROR(__xludf.DUMMYFUNCTION("""COMPUTED_VALUE"""),"Student")</f>
        <v>Student</v>
      </c>
      <c r="F2010" s="5" t="str">
        <f ca="1">IFERROR(__xludf.DUMMYFUNCTION("""COMPUTED_VALUE"""),"Fled/Escaped")</f>
        <v>Fled/Escaped</v>
      </c>
      <c r="G2010" s="5" t="str">
        <f ca="1">IFERROR(__xludf.DUMMYFUNCTION("""COMPUTED_VALUE"""),"No")</f>
        <v>No</v>
      </c>
      <c r="H2010" s="5" t="str">
        <f ca="1">IFERROR(__xludf.DUMMYFUNCTION("""COMPUTED_VALUE"""),"None")</f>
        <v>None</v>
      </c>
    </row>
    <row r="2011" spans="1:8" ht="13">
      <c r="A2011" s="5" t="str">
        <f ca="1">IFERROR(__xludf.DUMMYFUNCTION("""COMPUTED_VALUE"""),"19930527LAFRN")</f>
        <v>19930527LAFRN</v>
      </c>
      <c r="B2011" s="5">
        <f ca="1">IFERROR(__xludf.DUMMYFUNCTION("""COMPUTED_VALUE"""),17)</f>
        <v>17</v>
      </c>
      <c r="C2011" s="5" t="str">
        <f ca="1">IFERROR(__xludf.DUMMYFUNCTION("""COMPUTED_VALUE"""),"Male")</f>
        <v>Male</v>
      </c>
      <c r="D2011" s="5" t="str">
        <f ca="1">IFERROR(__xludf.DUMMYFUNCTION("""COMPUTED_VALUE"""),"Black")</f>
        <v>Black</v>
      </c>
      <c r="E2011" s="5" t="str">
        <f ca="1">IFERROR(__xludf.DUMMYFUNCTION("""COMPUTED_VALUE"""),"Student")</f>
        <v>Student</v>
      </c>
      <c r="F2011" s="5" t="str">
        <f ca="1">IFERROR(__xludf.DUMMYFUNCTION("""COMPUTED_VALUE"""),"Fled/Apprehended")</f>
        <v>Fled/Apprehended</v>
      </c>
      <c r="G2011" s="5" t="str">
        <f ca="1">IFERROR(__xludf.DUMMYFUNCTION("""COMPUTED_VALUE"""),"No")</f>
        <v>No</v>
      </c>
      <c r="H2011" s="5" t="str">
        <f ca="1">IFERROR(__xludf.DUMMYFUNCTION("""COMPUTED_VALUE"""),"None")</f>
        <v>None</v>
      </c>
    </row>
    <row r="2012" spans="1:8" ht="13">
      <c r="A2012" s="5" t="str">
        <f ca="1">IFERROR(__xludf.DUMMYFUNCTION("""COMPUTED_VALUE"""),"19930524PAUPP")</f>
        <v>19930524PAUPP</v>
      </c>
      <c r="B2012" s="5">
        <f ca="1">IFERROR(__xludf.DUMMYFUNCTION("""COMPUTED_VALUE"""),15)</f>
        <v>15</v>
      </c>
      <c r="C2012" s="5" t="str">
        <f ca="1">IFERROR(__xludf.DUMMYFUNCTION("""COMPUTED_VALUE"""),"Male")</f>
        <v>Male</v>
      </c>
      <c r="D2012" s="5" t="str">
        <f ca="1">IFERROR(__xludf.DUMMYFUNCTION("""COMPUTED_VALUE"""),"White")</f>
        <v>White</v>
      </c>
      <c r="E2012" s="5" t="str">
        <f ca="1">IFERROR(__xludf.DUMMYFUNCTION("""COMPUTED_VALUE"""),"Student")</f>
        <v>Student</v>
      </c>
      <c r="F2012" s="5" t="str">
        <f ca="1">IFERROR(__xludf.DUMMYFUNCTION("""COMPUTED_VALUE"""),"Surrendered")</f>
        <v>Surrendered</v>
      </c>
      <c r="G2012" s="5" t="str">
        <f ca="1">IFERROR(__xludf.DUMMYFUNCTION("""COMPUTED_VALUE"""),"No")</f>
        <v>No</v>
      </c>
      <c r="H2012" s="5" t="str">
        <f ca="1">IFERROR(__xludf.DUMMYFUNCTION("""COMPUTED_VALUE"""),"None")</f>
        <v>None</v>
      </c>
    </row>
    <row r="2013" spans="1:8" ht="13">
      <c r="A2013" s="5" t="str">
        <f ca="1">IFERROR(__xludf.DUMMYFUNCTION("""COMPUTED_VALUE"""),"19930514TXNII")</f>
        <v>19930514TXNII</v>
      </c>
      <c r="B2013" s="5">
        <f ca="1">IFERROR(__xludf.DUMMYFUNCTION("""COMPUTED_VALUE"""),17)</f>
        <v>17</v>
      </c>
      <c r="C2013" s="5" t="str">
        <f ca="1">IFERROR(__xludf.DUMMYFUNCTION("""COMPUTED_VALUE"""),"Male")</f>
        <v>Male</v>
      </c>
      <c r="D2013" s="5" t="str">
        <f ca="1">IFERROR(__xludf.DUMMYFUNCTION("""COMPUTED_VALUE"""),"Hispanic")</f>
        <v>Hispanic</v>
      </c>
      <c r="E2013" s="5" t="str">
        <f ca="1">IFERROR(__xludf.DUMMYFUNCTION("""COMPUTED_VALUE"""),"Student")</f>
        <v>Student</v>
      </c>
      <c r="F2013" s="5" t="str">
        <f ca="1">IFERROR(__xludf.DUMMYFUNCTION("""COMPUTED_VALUE"""),"Fled/Apprehended")</f>
        <v>Fled/Apprehended</v>
      </c>
      <c r="G2013" s="5" t="str">
        <f ca="1">IFERROR(__xludf.DUMMYFUNCTION("""COMPUTED_VALUE"""),"No")</f>
        <v>No</v>
      </c>
      <c r="H2013" s="5" t="str">
        <f ca="1">IFERROR(__xludf.DUMMYFUNCTION("""COMPUTED_VALUE"""),"None")</f>
        <v>None</v>
      </c>
    </row>
    <row r="2014" spans="1:8" ht="13">
      <c r="A2014" s="5" t="str">
        <f ca="1">IFERROR(__xludf.DUMMYFUNCTION("""COMPUTED_VALUE"""),"19930416WAMOT")</f>
        <v>19930416WAMOT</v>
      </c>
      <c r="B2014" s="5">
        <f ca="1">IFERROR(__xludf.DUMMYFUNCTION("""COMPUTED_VALUE"""),33)</f>
        <v>33</v>
      </c>
      <c r="C2014" s="5" t="str">
        <f ca="1">IFERROR(__xludf.DUMMYFUNCTION("""COMPUTED_VALUE"""),"Female")</f>
        <v>Female</v>
      </c>
      <c r="D2014" s="5"/>
      <c r="E2014" s="5" t="str">
        <f ca="1">IFERROR(__xludf.DUMMYFUNCTION("""COMPUTED_VALUE"""),"No Relation")</f>
        <v>No Relation</v>
      </c>
      <c r="F2014" s="5" t="str">
        <f ca="1">IFERROR(__xludf.DUMMYFUNCTION("""COMPUTED_VALUE"""),"Suicide")</f>
        <v>Suicide</v>
      </c>
      <c r="G2014" s="5" t="str">
        <f ca="1">IFERROR(__xludf.DUMMYFUNCTION("""COMPUTED_VALUE"""),"Yes")</f>
        <v>Yes</v>
      </c>
      <c r="H2014" s="5" t="str">
        <f ca="1">IFERROR(__xludf.DUMMYFUNCTION("""COMPUTED_VALUE"""),"Suicide")</f>
        <v>Suicide</v>
      </c>
    </row>
    <row r="2015" spans="1:8" ht="13">
      <c r="A2015" s="5" t="str">
        <f ca="1">IFERROR(__xludf.DUMMYFUNCTION("""COMPUTED_VALUE"""),"19930416CAGRS")</f>
        <v>19930416CAGRS</v>
      </c>
      <c r="B2015" s="5"/>
      <c r="C2015" s="5"/>
      <c r="D2015" s="5"/>
      <c r="E2015" s="5" t="str">
        <f ca="1">IFERROR(__xludf.DUMMYFUNCTION("""COMPUTED_VALUE"""),"Unknown")</f>
        <v>Unknown</v>
      </c>
      <c r="F2015" s="5" t="str">
        <f ca="1">IFERROR(__xludf.DUMMYFUNCTION("""COMPUTED_VALUE"""),"Fled/Escaped")</f>
        <v>Fled/Escaped</v>
      </c>
      <c r="G2015" s="5" t="str">
        <f ca="1">IFERROR(__xludf.DUMMYFUNCTION("""COMPUTED_VALUE"""),"No")</f>
        <v>No</v>
      </c>
      <c r="H2015" s="5" t="str">
        <f ca="1">IFERROR(__xludf.DUMMYFUNCTION("""COMPUTED_VALUE"""),"None")</f>
        <v>None</v>
      </c>
    </row>
    <row r="2016" spans="1:8" ht="13">
      <c r="A2016" s="5" t="str">
        <f ca="1">IFERROR(__xludf.DUMMYFUNCTION("""COMPUTED_VALUE"""),"19930415MAFOA")</f>
        <v>19930415MAFOA</v>
      </c>
      <c r="B2016" s="5">
        <f ca="1">IFERROR(__xludf.DUMMYFUNCTION("""COMPUTED_VALUE"""),42)</f>
        <v>42</v>
      </c>
      <c r="C2016" s="5" t="str">
        <f ca="1">IFERROR(__xludf.DUMMYFUNCTION("""COMPUTED_VALUE"""),"Male")</f>
        <v>Male</v>
      </c>
      <c r="D2016" s="5" t="str">
        <f ca="1">IFERROR(__xludf.DUMMYFUNCTION("""COMPUTED_VALUE"""),"White")</f>
        <v>White</v>
      </c>
      <c r="E2016" s="5" t="str">
        <f ca="1">IFERROR(__xludf.DUMMYFUNCTION("""COMPUTED_VALUE"""),"No Relation")</f>
        <v>No Relation</v>
      </c>
      <c r="F2016" s="5" t="str">
        <f ca="1">IFERROR(__xludf.DUMMYFUNCTION("""COMPUTED_VALUE"""),"Subdued by Students/Staff/Other")</f>
        <v>Subdued by Students/Staff/Other</v>
      </c>
      <c r="G2016" s="5" t="str">
        <f ca="1">IFERROR(__xludf.DUMMYFUNCTION("""COMPUTED_VALUE"""),"No")</f>
        <v>No</v>
      </c>
      <c r="H2016" s="5" t="str">
        <f ca="1">IFERROR(__xludf.DUMMYFUNCTION("""COMPUTED_VALUE"""),"None")</f>
        <v>None</v>
      </c>
    </row>
    <row r="2017" spans="1:8" ht="13">
      <c r="A2017" s="5" t="str">
        <f ca="1">IFERROR(__xludf.DUMMYFUNCTION("""COMPUTED_VALUE"""),"19930403CAGRS")</f>
        <v>19930403CAGRS</v>
      </c>
      <c r="B2017" s="5"/>
      <c r="C2017" s="5" t="str">
        <f ca="1">IFERROR(__xludf.DUMMYFUNCTION("""COMPUTED_VALUE"""),"Male")</f>
        <v>Male</v>
      </c>
      <c r="D2017" s="5"/>
      <c r="E2017" s="5" t="str">
        <f ca="1">IFERROR(__xludf.DUMMYFUNCTION("""COMPUTED_VALUE"""),"Unknown")</f>
        <v>Unknown</v>
      </c>
      <c r="F2017" s="5" t="str">
        <f ca="1">IFERROR(__xludf.DUMMYFUNCTION("""COMPUTED_VALUE"""),"Fled/Escaped")</f>
        <v>Fled/Escaped</v>
      </c>
      <c r="G2017" s="5" t="str">
        <f ca="1">IFERROR(__xludf.DUMMYFUNCTION("""COMPUTED_VALUE"""),"No")</f>
        <v>No</v>
      </c>
      <c r="H2017" s="5" t="str">
        <f ca="1">IFERROR(__xludf.DUMMYFUNCTION("""COMPUTED_VALUE"""),"None")</f>
        <v>None</v>
      </c>
    </row>
    <row r="2018" spans="1:8" ht="13">
      <c r="A2018" s="5" t="str">
        <f ca="1">IFERROR(__xludf.DUMMYFUNCTION("""COMPUTED_VALUE"""),"19930325MOSUS")</f>
        <v>19930325MOSUS</v>
      </c>
      <c r="B2018" s="5">
        <f ca="1">IFERROR(__xludf.DUMMYFUNCTION("""COMPUTED_VALUE"""),17)</f>
        <v>17</v>
      </c>
      <c r="C2018" s="5" t="str">
        <f ca="1">IFERROR(__xludf.DUMMYFUNCTION("""COMPUTED_VALUE"""),"Female")</f>
        <v>Female</v>
      </c>
      <c r="D2018" s="5"/>
      <c r="E2018" s="5" t="str">
        <f ca="1">IFERROR(__xludf.DUMMYFUNCTION("""COMPUTED_VALUE"""),"Student")</f>
        <v>Student</v>
      </c>
      <c r="F2018" s="5" t="str">
        <f ca="1">IFERROR(__xludf.DUMMYFUNCTION("""COMPUTED_VALUE"""),"Unknown")</f>
        <v>Unknown</v>
      </c>
      <c r="G2018" s="5" t="str">
        <f ca="1">IFERROR(__xludf.DUMMYFUNCTION("""COMPUTED_VALUE"""),"No")</f>
        <v>No</v>
      </c>
      <c r="H2018" s="5" t="str">
        <f ca="1">IFERROR(__xludf.DUMMYFUNCTION("""COMPUTED_VALUE"""),"None")</f>
        <v>None</v>
      </c>
    </row>
    <row r="2019" spans="1:8" ht="13">
      <c r="A2019" s="5" t="str">
        <f ca="1">IFERROR(__xludf.DUMMYFUNCTION("""COMPUTED_VALUE"""),"19930318GAHAH")</f>
        <v>19930318GAHAH</v>
      </c>
      <c r="B2019" s="5">
        <f ca="1">IFERROR(__xludf.DUMMYFUNCTION("""COMPUTED_VALUE"""),15)</f>
        <v>15</v>
      </c>
      <c r="C2019" s="5" t="str">
        <f ca="1">IFERROR(__xludf.DUMMYFUNCTION("""COMPUTED_VALUE"""),"Male")</f>
        <v>Male</v>
      </c>
      <c r="D2019" s="5"/>
      <c r="E2019" s="5" t="str">
        <f ca="1">IFERROR(__xludf.DUMMYFUNCTION("""COMPUTED_VALUE"""),"Student")</f>
        <v>Student</v>
      </c>
      <c r="F2019" s="5" t="str">
        <f ca="1">IFERROR(__xludf.DUMMYFUNCTION("""COMPUTED_VALUE"""),"Apprehended/Killed by LE")</f>
        <v>Apprehended/Killed by LE</v>
      </c>
      <c r="G2019" s="5" t="str">
        <f ca="1">IFERROR(__xludf.DUMMYFUNCTION("""COMPUTED_VALUE"""),"No")</f>
        <v>No</v>
      </c>
      <c r="H2019" s="5" t="str">
        <f ca="1">IFERROR(__xludf.DUMMYFUNCTION("""COMPUTED_VALUE"""),"None")</f>
        <v>None</v>
      </c>
    </row>
    <row r="2020" spans="1:8" ht="13">
      <c r="A2020" s="5" t="str">
        <f ca="1">IFERROR(__xludf.DUMMYFUNCTION("""COMPUTED_VALUE"""),"19930308VADOD")</f>
        <v>19930308VADOD</v>
      </c>
      <c r="B2020" s="5">
        <f ca="1">IFERROR(__xludf.DUMMYFUNCTION("""COMPUTED_VALUE"""),32)</f>
        <v>32</v>
      </c>
      <c r="C2020" s="5" t="str">
        <f ca="1">IFERROR(__xludf.DUMMYFUNCTION("""COMPUTED_VALUE"""),"Male")</f>
        <v>Male</v>
      </c>
      <c r="D2020" s="5" t="str">
        <f ca="1">IFERROR(__xludf.DUMMYFUNCTION("""COMPUTED_VALUE"""),"Black")</f>
        <v>Black</v>
      </c>
      <c r="E2020" s="5" t="str">
        <f ca="1">IFERROR(__xludf.DUMMYFUNCTION("""COMPUTED_VALUE"""),"No Relation")</f>
        <v>No Relation</v>
      </c>
      <c r="F2020" s="5" t="str">
        <f ca="1">IFERROR(__xludf.DUMMYFUNCTION("""COMPUTED_VALUE"""),"Fled/Apprehended")</f>
        <v>Fled/Apprehended</v>
      </c>
      <c r="G2020" s="5" t="str">
        <f ca="1">IFERROR(__xludf.DUMMYFUNCTION("""COMPUTED_VALUE"""),"No")</f>
        <v>No</v>
      </c>
      <c r="H2020" s="5" t="str">
        <f ca="1">IFERROR(__xludf.DUMMYFUNCTION("""COMPUTED_VALUE"""),"None")</f>
        <v>None</v>
      </c>
    </row>
    <row r="2021" spans="1:8" ht="13">
      <c r="A2021" s="5" t="str">
        <f ca="1">IFERROR(__xludf.DUMMYFUNCTION("""COMPUTED_VALUE"""),"19930226MAGLG")</f>
        <v>19930226MAGLG</v>
      </c>
      <c r="B2021" s="5">
        <f ca="1">IFERROR(__xludf.DUMMYFUNCTION("""COMPUTED_VALUE"""),15)</f>
        <v>15</v>
      </c>
      <c r="C2021" s="5" t="str">
        <f ca="1">IFERROR(__xludf.DUMMYFUNCTION("""COMPUTED_VALUE"""),"Male")</f>
        <v>Male</v>
      </c>
      <c r="D2021" s="5"/>
      <c r="E2021" s="5" t="str">
        <f ca="1">IFERROR(__xludf.DUMMYFUNCTION("""COMPUTED_VALUE"""),"Student")</f>
        <v>Student</v>
      </c>
      <c r="F2021" s="5" t="str">
        <f ca="1">IFERROR(__xludf.DUMMYFUNCTION("""COMPUTED_VALUE"""),"Suicide")</f>
        <v>Suicide</v>
      </c>
      <c r="G2021" s="5" t="str">
        <f ca="1">IFERROR(__xludf.DUMMYFUNCTION("""COMPUTED_VALUE"""),"Yes")</f>
        <v>Yes</v>
      </c>
      <c r="H2021" s="5" t="str">
        <f ca="1">IFERROR(__xludf.DUMMYFUNCTION("""COMPUTED_VALUE"""),"Suicide")</f>
        <v>Suicide</v>
      </c>
    </row>
    <row r="2022" spans="1:8" ht="13">
      <c r="A2022" s="5" t="str">
        <f ca="1">IFERROR(__xludf.DUMMYFUNCTION("""COMPUTED_VALUE"""),"19930222CAREL")</f>
        <v>19930222CAREL</v>
      </c>
      <c r="B2022" s="5">
        <f ca="1">IFERROR(__xludf.DUMMYFUNCTION("""COMPUTED_VALUE"""),15)</f>
        <v>15</v>
      </c>
      <c r="C2022" s="5" t="str">
        <f ca="1">IFERROR(__xludf.DUMMYFUNCTION("""COMPUTED_VALUE"""),"Male")</f>
        <v>Male</v>
      </c>
      <c r="D2022" s="5" t="str">
        <f ca="1">IFERROR(__xludf.DUMMYFUNCTION("""COMPUTED_VALUE"""),"Black")</f>
        <v>Black</v>
      </c>
      <c r="E2022" s="5" t="str">
        <f ca="1">IFERROR(__xludf.DUMMYFUNCTION("""COMPUTED_VALUE"""),"Student")</f>
        <v>Student</v>
      </c>
      <c r="F2022" s="5" t="str">
        <f ca="1">IFERROR(__xludf.DUMMYFUNCTION("""COMPUTED_VALUE"""),"Fled/Apprehended")</f>
        <v>Fled/Apprehended</v>
      </c>
      <c r="G2022" s="5" t="str">
        <f ca="1">IFERROR(__xludf.DUMMYFUNCTION("""COMPUTED_VALUE"""),"No")</f>
        <v>No</v>
      </c>
      <c r="H2022" s="5" t="str">
        <f ca="1">IFERROR(__xludf.DUMMYFUNCTION("""COMPUTED_VALUE"""),"None")</f>
        <v>None</v>
      </c>
    </row>
    <row r="2023" spans="1:8" ht="13">
      <c r="A2023" s="5" t="str">
        <f ca="1">IFERROR(__xludf.DUMMYFUNCTION("""COMPUTED_VALUE"""),"19930208MNMIM")</f>
        <v>19930208MNMIM</v>
      </c>
      <c r="B2023" s="5">
        <f ca="1">IFERROR(__xludf.DUMMYFUNCTION("""COMPUTED_VALUE"""),14)</f>
        <v>14</v>
      </c>
      <c r="C2023" s="5" t="str">
        <f ca="1">IFERROR(__xludf.DUMMYFUNCTION("""COMPUTED_VALUE"""),"Male")</f>
        <v>Male</v>
      </c>
      <c r="D2023" s="5"/>
      <c r="E2023" s="5" t="str">
        <f ca="1">IFERROR(__xludf.DUMMYFUNCTION("""COMPUTED_VALUE"""),"Student")</f>
        <v>Student</v>
      </c>
      <c r="F2023" s="5" t="str">
        <f ca="1">IFERROR(__xludf.DUMMYFUNCTION("""COMPUTED_VALUE"""),"Suicide")</f>
        <v>Suicide</v>
      </c>
      <c r="G2023" s="5" t="str">
        <f ca="1">IFERROR(__xludf.DUMMYFUNCTION("""COMPUTED_VALUE"""),"Yes")</f>
        <v>Yes</v>
      </c>
      <c r="H2023" s="5" t="str">
        <f ca="1">IFERROR(__xludf.DUMMYFUNCTION("""COMPUTED_VALUE"""),"Suicide")</f>
        <v>Suicide</v>
      </c>
    </row>
    <row r="2024" spans="1:8" ht="13">
      <c r="A2024" s="5" t="str">
        <f ca="1">IFERROR(__xludf.DUMMYFUNCTION("""COMPUTED_VALUE"""),"19930208DCWAW")</f>
        <v>19930208DCWAW</v>
      </c>
      <c r="B2024" s="5"/>
      <c r="C2024" s="5" t="str">
        <f ca="1">IFERROR(__xludf.DUMMYFUNCTION("""COMPUTED_VALUE"""),"Male")</f>
        <v>Male</v>
      </c>
      <c r="D2024" s="5"/>
      <c r="E2024" s="5" t="str">
        <f ca="1">IFERROR(__xludf.DUMMYFUNCTION("""COMPUTED_VALUE"""),"Unknown")</f>
        <v>Unknown</v>
      </c>
      <c r="F2024" s="5" t="str">
        <f ca="1">IFERROR(__xludf.DUMMYFUNCTION("""COMPUTED_VALUE"""),"Fled/Escaped")</f>
        <v>Fled/Escaped</v>
      </c>
      <c r="G2024" s="5" t="str">
        <f ca="1">IFERROR(__xludf.DUMMYFUNCTION("""COMPUTED_VALUE"""),"No")</f>
        <v>No</v>
      </c>
      <c r="H2024" s="5" t="str">
        <f ca="1">IFERROR(__xludf.DUMMYFUNCTION("""COMPUTED_VALUE"""),"None")</f>
        <v>None</v>
      </c>
    </row>
    <row r="2025" spans="1:8" ht="13">
      <c r="A2025" s="5" t="str">
        <f ca="1">IFERROR(__xludf.DUMMYFUNCTION("""COMPUTED_VALUE"""),"19930204GACLA")</f>
        <v>19930204GACLA</v>
      </c>
      <c r="B2025" s="5">
        <f ca="1">IFERROR(__xludf.DUMMYFUNCTION("""COMPUTED_VALUE"""),17)</f>
        <v>17</v>
      </c>
      <c r="C2025" s="5" t="str">
        <f ca="1">IFERROR(__xludf.DUMMYFUNCTION("""COMPUTED_VALUE"""),"Male")</f>
        <v>Male</v>
      </c>
      <c r="D2025" s="5"/>
      <c r="E2025" s="5" t="str">
        <f ca="1">IFERROR(__xludf.DUMMYFUNCTION("""COMPUTED_VALUE"""),"Nonstudent")</f>
        <v>Nonstudent</v>
      </c>
      <c r="F2025" s="5" t="str">
        <f ca="1">IFERROR(__xludf.DUMMYFUNCTION("""COMPUTED_VALUE"""),"Surrendered")</f>
        <v>Surrendered</v>
      </c>
      <c r="G2025" s="5" t="str">
        <f ca="1">IFERROR(__xludf.DUMMYFUNCTION("""COMPUTED_VALUE"""),"No")</f>
        <v>No</v>
      </c>
      <c r="H2025" s="5" t="str">
        <f ca="1">IFERROR(__xludf.DUMMYFUNCTION("""COMPUTED_VALUE"""),"None")</f>
        <v>None</v>
      </c>
    </row>
    <row r="2026" spans="1:8" ht="13">
      <c r="A2026" s="5" t="str">
        <f ca="1">IFERROR(__xludf.DUMMYFUNCTION("""COMPUTED_VALUE"""),"19930203SCLEL")</f>
        <v>19930203SCLEL</v>
      </c>
      <c r="B2026" s="5">
        <f ca="1">IFERROR(__xludf.DUMMYFUNCTION("""COMPUTED_VALUE"""),22)</f>
        <v>22</v>
      </c>
      <c r="C2026" s="5" t="str">
        <f ca="1">IFERROR(__xludf.DUMMYFUNCTION("""COMPUTED_VALUE"""),"Male")</f>
        <v>Male</v>
      </c>
      <c r="D2026" s="5"/>
      <c r="E2026" s="5" t="str">
        <f ca="1">IFERROR(__xludf.DUMMYFUNCTION("""COMPUTED_VALUE"""),"Student")</f>
        <v>Student</v>
      </c>
      <c r="F2026" s="5" t="str">
        <f ca="1">IFERROR(__xludf.DUMMYFUNCTION("""COMPUTED_VALUE"""),"Fled/Apprehended")</f>
        <v>Fled/Apprehended</v>
      </c>
      <c r="G2026" s="5" t="str">
        <f ca="1">IFERROR(__xludf.DUMMYFUNCTION("""COMPUTED_VALUE"""),"No")</f>
        <v>No</v>
      </c>
      <c r="H2026" s="5" t="str">
        <f ca="1">IFERROR(__xludf.DUMMYFUNCTION("""COMPUTED_VALUE"""),"None")</f>
        <v>None</v>
      </c>
    </row>
    <row r="2027" spans="1:8" ht="13">
      <c r="A2027" s="5" t="str">
        <f ca="1">IFERROR(__xludf.DUMMYFUNCTION("""COMPUTED_VALUE"""),"19930203SCGAC")</f>
        <v>19930203SCGAC</v>
      </c>
      <c r="B2027" s="5"/>
      <c r="C2027" s="5"/>
      <c r="D2027" s="5"/>
      <c r="E2027" s="5"/>
      <c r="F2027" s="5" t="str">
        <f ca="1">IFERROR(__xludf.DUMMYFUNCTION("""COMPUTED_VALUE"""),"Fled/Escaped")</f>
        <v>Fled/Escaped</v>
      </c>
      <c r="G2027" s="5" t="str">
        <f ca="1">IFERROR(__xludf.DUMMYFUNCTION("""COMPUTED_VALUE"""),"No")</f>
        <v>No</v>
      </c>
      <c r="H2027" s="5" t="str">
        <f ca="1">IFERROR(__xludf.DUMMYFUNCTION("""COMPUTED_VALUE"""),"None")</f>
        <v>None</v>
      </c>
    </row>
    <row r="2028" spans="1:8" ht="13">
      <c r="A2028" s="5" t="str">
        <f ca="1">IFERROR(__xludf.DUMMYFUNCTION("""COMPUTED_VALUE"""),"19930201WARER")</f>
        <v>19930201WARER</v>
      </c>
      <c r="B2028" s="5">
        <f ca="1">IFERROR(__xludf.DUMMYFUNCTION("""COMPUTED_VALUE"""),14)</f>
        <v>14</v>
      </c>
      <c r="C2028" s="5" t="str">
        <f ca="1">IFERROR(__xludf.DUMMYFUNCTION("""COMPUTED_VALUE"""),"Male")</f>
        <v>Male</v>
      </c>
      <c r="D2028" s="5"/>
      <c r="E2028" s="5" t="str">
        <f ca="1">IFERROR(__xludf.DUMMYFUNCTION("""COMPUTED_VALUE"""),"Student")</f>
        <v>Student</v>
      </c>
      <c r="F2028" s="5" t="str">
        <f ca="1">IFERROR(__xludf.DUMMYFUNCTION("""COMPUTED_VALUE"""),"Suicide")</f>
        <v>Suicide</v>
      </c>
      <c r="G2028" s="5" t="str">
        <f ca="1">IFERROR(__xludf.DUMMYFUNCTION("""COMPUTED_VALUE"""),"Yes")</f>
        <v>Yes</v>
      </c>
      <c r="H2028" s="5" t="str">
        <f ca="1">IFERROR(__xludf.DUMMYFUNCTION("""COMPUTED_VALUE"""),"Suicide")</f>
        <v>Suicide</v>
      </c>
    </row>
    <row r="2029" spans="1:8" ht="13">
      <c r="A2029" s="5" t="str">
        <f ca="1">IFERROR(__xludf.DUMMYFUNCTION("""COMPUTED_VALUE"""),"19930201NYAMA")</f>
        <v>19930201NYAMA</v>
      </c>
      <c r="B2029" s="5">
        <f ca="1">IFERROR(__xludf.DUMMYFUNCTION("""COMPUTED_VALUE"""),17)</f>
        <v>17</v>
      </c>
      <c r="C2029" s="5" t="str">
        <f ca="1">IFERROR(__xludf.DUMMYFUNCTION("""COMPUTED_VALUE"""),"Male")</f>
        <v>Male</v>
      </c>
      <c r="D2029" s="5"/>
      <c r="E2029" s="5" t="str">
        <f ca="1">IFERROR(__xludf.DUMMYFUNCTION("""COMPUTED_VALUE"""),"Student")</f>
        <v>Student</v>
      </c>
      <c r="F2029" s="5" t="str">
        <f ca="1">IFERROR(__xludf.DUMMYFUNCTION("""COMPUTED_VALUE"""),"Fled/Apprehended")</f>
        <v>Fled/Apprehended</v>
      </c>
      <c r="G2029" s="5" t="str">
        <f ca="1">IFERROR(__xludf.DUMMYFUNCTION("""COMPUTED_VALUE"""),"No")</f>
        <v>No</v>
      </c>
      <c r="H2029" s="5" t="str">
        <f ca="1">IFERROR(__xludf.DUMMYFUNCTION("""COMPUTED_VALUE"""),"None")</f>
        <v>None</v>
      </c>
    </row>
    <row r="2030" spans="1:8" ht="13">
      <c r="A2030" s="5" t="str">
        <f ca="1">IFERROR(__xludf.DUMMYFUNCTION("""COMPUTED_VALUE"""),"19930121CAFAL")</f>
        <v>19930121CAFAL</v>
      </c>
      <c r="B2030" s="5" t="str">
        <f ca="1">IFERROR(__xludf.DUMMYFUNCTION("""COMPUTED_VALUE"""),"Teen")</f>
        <v>Teen</v>
      </c>
      <c r="C2030" s="5" t="str">
        <f ca="1">IFERROR(__xludf.DUMMYFUNCTION("""COMPUTED_VALUE"""),"Male")</f>
        <v>Male</v>
      </c>
      <c r="D2030" s="5"/>
      <c r="E2030" s="5" t="str">
        <f ca="1">IFERROR(__xludf.DUMMYFUNCTION("""COMPUTED_VALUE"""),"Student")</f>
        <v>Student</v>
      </c>
      <c r="F2030" s="5" t="str">
        <f ca="1">IFERROR(__xludf.DUMMYFUNCTION("""COMPUTED_VALUE"""),"Surrendered")</f>
        <v>Surrendered</v>
      </c>
      <c r="G2030" s="5" t="str">
        <f ca="1">IFERROR(__xludf.DUMMYFUNCTION("""COMPUTED_VALUE"""),"No")</f>
        <v>No</v>
      </c>
      <c r="H2030" s="5" t="str">
        <f ca="1">IFERROR(__xludf.DUMMYFUNCTION("""COMPUTED_VALUE"""),"None")</f>
        <v>None</v>
      </c>
    </row>
    <row r="2031" spans="1:8" ht="13">
      <c r="A2031" s="5" t="str">
        <f ca="1">IFERROR(__xludf.DUMMYFUNCTION("""COMPUTED_VALUE"""),"19930118KYEAG")</f>
        <v>19930118KYEAG</v>
      </c>
      <c r="B2031" s="5">
        <f ca="1">IFERROR(__xludf.DUMMYFUNCTION("""COMPUTED_VALUE"""),17)</f>
        <v>17</v>
      </c>
      <c r="C2031" s="5" t="str">
        <f ca="1">IFERROR(__xludf.DUMMYFUNCTION("""COMPUTED_VALUE"""),"Male")</f>
        <v>Male</v>
      </c>
      <c r="D2031" s="5" t="str">
        <f ca="1">IFERROR(__xludf.DUMMYFUNCTION("""COMPUTED_VALUE"""),"White")</f>
        <v>White</v>
      </c>
      <c r="E2031" s="5" t="str">
        <f ca="1">IFERROR(__xludf.DUMMYFUNCTION("""COMPUTED_VALUE"""),"Student")</f>
        <v>Student</v>
      </c>
      <c r="F2031" s="5" t="str">
        <f ca="1">IFERROR(__xludf.DUMMYFUNCTION("""COMPUTED_VALUE"""),"Surrendered")</f>
        <v>Surrendered</v>
      </c>
      <c r="G2031" s="5" t="str">
        <f ca="1">IFERROR(__xludf.DUMMYFUNCTION("""COMPUTED_VALUE"""),"No")</f>
        <v>No</v>
      </c>
      <c r="H2031" s="5" t="str">
        <f ca="1">IFERROR(__xludf.DUMMYFUNCTION("""COMPUTED_VALUE"""),"None")</f>
        <v>None</v>
      </c>
    </row>
    <row r="2032" spans="1:8" ht="13">
      <c r="A2032" s="5" t="str">
        <f ca="1">IFERROR(__xludf.DUMMYFUNCTION("""COMPUTED_VALUE"""),"19930112FLNOM")</f>
        <v>19930112FLNOM</v>
      </c>
      <c r="B2032" s="5" t="str">
        <f ca="1">IFERROR(__xludf.DUMMYFUNCTION("""COMPUTED_VALUE"""),"Teen")</f>
        <v>Teen</v>
      </c>
      <c r="C2032" s="5" t="str">
        <f ca="1">IFERROR(__xludf.DUMMYFUNCTION("""COMPUTED_VALUE"""),"Male")</f>
        <v>Male</v>
      </c>
      <c r="D2032" s="5"/>
      <c r="E2032" s="5" t="str">
        <f ca="1">IFERROR(__xludf.DUMMYFUNCTION("""COMPUTED_VALUE"""),"Student")</f>
        <v>Student</v>
      </c>
      <c r="F2032" s="5" t="str">
        <f ca="1">IFERROR(__xludf.DUMMYFUNCTION("""COMPUTED_VALUE"""),"Fled/Escaped")</f>
        <v>Fled/Escaped</v>
      </c>
      <c r="G2032" s="5" t="str">
        <f ca="1">IFERROR(__xludf.DUMMYFUNCTION("""COMPUTED_VALUE"""),"No")</f>
        <v>No</v>
      </c>
      <c r="H2032" s="5" t="str">
        <f ca="1">IFERROR(__xludf.DUMMYFUNCTION("""COMPUTED_VALUE"""),"None")</f>
        <v>None</v>
      </c>
    </row>
    <row r="2033" spans="1:8" ht="13">
      <c r="A2033" s="5" t="str">
        <f ca="1">IFERROR(__xludf.DUMMYFUNCTION("""COMPUTED_VALUE"""),"19930108PACRM")</f>
        <v>19930108PACRM</v>
      </c>
      <c r="B2033" s="5"/>
      <c r="C2033" s="5" t="str">
        <f ca="1">IFERROR(__xludf.DUMMYFUNCTION("""COMPUTED_VALUE"""),"Male")</f>
        <v>Male</v>
      </c>
      <c r="D2033" s="5"/>
      <c r="E2033" s="5"/>
      <c r="F2033" s="5" t="str">
        <f ca="1">IFERROR(__xludf.DUMMYFUNCTION("""COMPUTED_VALUE"""),"Fled/Escaped")</f>
        <v>Fled/Escaped</v>
      </c>
      <c r="G2033" s="5" t="str">
        <f ca="1">IFERROR(__xludf.DUMMYFUNCTION("""COMPUTED_VALUE"""),"No")</f>
        <v>No</v>
      </c>
      <c r="H2033" s="5" t="str">
        <f ca="1">IFERROR(__xludf.DUMMYFUNCTION("""COMPUTED_VALUE"""),"None")</f>
        <v>None</v>
      </c>
    </row>
    <row r="2034" spans="1:8" ht="13">
      <c r="A2034" s="5" t="str">
        <f ca="1">IFERROR(__xludf.DUMMYFUNCTION("""COMPUTED_VALUE"""),"19930105NYBRB")</f>
        <v>19930105NYBRB</v>
      </c>
      <c r="B2034" s="5" t="str">
        <f ca="1">IFERROR(__xludf.DUMMYFUNCTION("""COMPUTED_VALUE"""),"Teen")</f>
        <v>Teen</v>
      </c>
      <c r="C2034" s="5" t="str">
        <f ca="1">IFERROR(__xludf.DUMMYFUNCTION("""COMPUTED_VALUE"""),"Male")</f>
        <v>Male</v>
      </c>
      <c r="D2034" s="5"/>
      <c r="E2034" s="5" t="str">
        <f ca="1">IFERROR(__xludf.DUMMYFUNCTION("""COMPUTED_VALUE"""),"Rival School Student")</f>
        <v>Rival School Student</v>
      </c>
      <c r="F2034" s="5" t="str">
        <f ca="1">IFERROR(__xludf.DUMMYFUNCTION("""COMPUTED_VALUE"""),"Fled/Escaped")</f>
        <v>Fled/Escaped</v>
      </c>
      <c r="G2034" s="5" t="str">
        <f ca="1">IFERROR(__xludf.DUMMYFUNCTION("""COMPUTED_VALUE"""),"No")</f>
        <v>No</v>
      </c>
      <c r="H2034" s="5" t="str">
        <f ca="1">IFERROR(__xludf.DUMMYFUNCTION("""COMPUTED_VALUE"""),"None")</f>
        <v>None</v>
      </c>
    </row>
    <row r="2035" spans="1:8" ht="13">
      <c r="A2035" s="5" t="str">
        <f ca="1">IFERROR(__xludf.DUMMYFUNCTION("""COMPUTED_VALUE"""),"19930105NYBRB")</f>
        <v>19930105NYBRB</v>
      </c>
      <c r="B2035" s="5" t="str">
        <f ca="1">IFERROR(__xludf.DUMMYFUNCTION("""COMPUTED_VALUE"""),"Teen")</f>
        <v>Teen</v>
      </c>
      <c r="C2035" s="5" t="str">
        <f ca="1">IFERROR(__xludf.DUMMYFUNCTION("""COMPUTED_VALUE"""),"Male")</f>
        <v>Male</v>
      </c>
      <c r="D2035" s="5"/>
      <c r="E2035" s="5" t="str">
        <f ca="1">IFERROR(__xludf.DUMMYFUNCTION("""COMPUTED_VALUE"""),"Rival School Student")</f>
        <v>Rival School Student</v>
      </c>
      <c r="F2035" s="5" t="str">
        <f ca="1">IFERROR(__xludf.DUMMYFUNCTION("""COMPUTED_VALUE"""),"Fled/Escaped")</f>
        <v>Fled/Escaped</v>
      </c>
      <c r="G2035" s="5" t="str">
        <f ca="1">IFERROR(__xludf.DUMMYFUNCTION("""COMPUTED_VALUE"""),"No")</f>
        <v>No</v>
      </c>
      <c r="H2035" s="5" t="str">
        <f ca="1">IFERROR(__xludf.DUMMYFUNCTION("""COMPUTED_VALUE"""),"None")</f>
        <v>None</v>
      </c>
    </row>
    <row r="2036" spans="1:8" ht="13">
      <c r="A2036" s="5" t="str">
        <f ca="1">IFERROR(__xludf.DUMMYFUNCTION("""COMPUTED_VALUE"""),"19921214NYWAW")</f>
        <v>19921214NYWAW</v>
      </c>
      <c r="B2036" s="5">
        <f ca="1">IFERROR(__xludf.DUMMYFUNCTION("""COMPUTED_VALUE"""),15)</f>
        <v>15</v>
      </c>
      <c r="C2036" s="5" t="str">
        <f ca="1">IFERROR(__xludf.DUMMYFUNCTION("""COMPUTED_VALUE"""),"Male")</f>
        <v>Male</v>
      </c>
      <c r="D2036" s="5"/>
      <c r="E2036" s="5" t="str">
        <f ca="1">IFERROR(__xludf.DUMMYFUNCTION("""COMPUTED_VALUE"""),"Student")</f>
        <v>Student</v>
      </c>
      <c r="F2036" s="5" t="str">
        <f ca="1">IFERROR(__xludf.DUMMYFUNCTION("""COMPUTED_VALUE"""),"Surrendered")</f>
        <v>Surrendered</v>
      </c>
      <c r="G2036" s="5" t="str">
        <f ca="1">IFERROR(__xludf.DUMMYFUNCTION("""COMPUTED_VALUE"""),"No")</f>
        <v>No</v>
      </c>
      <c r="H2036" s="5" t="str">
        <f ca="1">IFERROR(__xludf.DUMMYFUNCTION("""COMPUTED_VALUE"""),"None")</f>
        <v>None</v>
      </c>
    </row>
    <row r="2037" spans="1:8" ht="13">
      <c r="A2037" s="5" t="str">
        <f ca="1">IFERROR(__xludf.DUMMYFUNCTION("""COMPUTED_VALUE"""),"19921203ILWOC")</f>
        <v>19921203ILWOC</v>
      </c>
      <c r="B2037" s="5">
        <f ca="1">IFERROR(__xludf.DUMMYFUNCTION("""COMPUTED_VALUE"""),23)</f>
        <v>23</v>
      </c>
      <c r="C2037" s="5" t="str">
        <f ca="1">IFERROR(__xludf.DUMMYFUNCTION("""COMPUTED_VALUE"""),"Male")</f>
        <v>Male</v>
      </c>
      <c r="D2037" s="5"/>
      <c r="E2037" s="5" t="str">
        <f ca="1">IFERROR(__xludf.DUMMYFUNCTION("""COMPUTED_VALUE"""),"Nonstudent Using Athletic Facilities/Attending Game")</f>
        <v>Nonstudent Using Athletic Facilities/Attending Game</v>
      </c>
      <c r="F2037" s="5" t="str">
        <f ca="1">IFERROR(__xludf.DUMMYFUNCTION("""COMPUTED_VALUE"""),"Fled/Apprehended")</f>
        <v>Fled/Apprehended</v>
      </c>
      <c r="G2037" s="5" t="str">
        <f ca="1">IFERROR(__xludf.DUMMYFUNCTION("""COMPUTED_VALUE"""),"No")</f>
        <v>No</v>
      </c>
      <c r="H2037" s="5" t="str">
        <f ca="1">IFERROR(__xludf.DUMMYFUNCTION("""COMPUTED_VALUE"""),"None")</f>
        <v>None</v>
      </c>
    </row>
    <row r="2038" spans="1:8" ht="13">
      <c r="A2038" s="5" t="str">
        <f ca="1">IFERROR(__xludf.DUMMYFUNCTION("""COMPUTED_VALUE"""),"19921203ILWOC")</f>
        <v>19921203ILWOC</v>
      </c>
      <c r="B2038" s="5" t="str">
        <f ca="1">IFERROR(__xludf.DUMMYFUNCTION("""COMPUTED_VALUE"""),"Adult")</f>
        <v>Adult</v>
      </c>
      <c r="C2038" s="5" t="str">
        <f ca="1">IFERROR(__xludf.DUMMYFUNCTION("""COMPUTED_VALUE"""),"Male")</f>
        <v>Male</v>
      </c>
      <c r="D2038" s="5"/>
      <c r="E2038" s="5" t="str">
        <f ca="1">IFERROR(__xludf.DUMMYFUNCTION("""COMPUTED_VALUE"""),"Nonstudent Using Athletic Facilities/Attending Game")</f>
        <v>Nonstudent Using Athletic Facilities/Attending Game</v>
      </c>
      <c r="F2038" s="5" t="str">
        <f ca="1">IFERROR(__xludf.DUMMYFUNCTION("""COMPUTED_VALUE"""),"Fled/Apprehended")</f>
        <v>Fled/Apprehended</v>
      </c>
      <c r="G2038" s="5" t="str">
        <f ca="1">IFERROR(__xludf.DUMMYFUNCTION("""COMPUTED_VALUE"""),"No")</f>
        <v>No</v>
      </c>
      <c r="H2038" s="5" t="str">
        <f ca="1">IFERROR(__xludf.DUMMYFUNCTION("""COMPUTED_VALUE"""),"None")</f>
        <v>None</v>
      </c>
    </row>
    <row r="2039" spans="1:8" ht="13">
      <c r="A2039" s="5" t="str">
        <f ca="1">IFERROR(__xludf.DUMMYFUNCTION("""COMPUTED_VALUE"""),"19921130ILORC")</f>
        <v>19921130ILORC</v>
      </c>
      <c r="B2039" s="5">
        <f ca="1">IFERROR(__xludf.DUMMYFUNCTION("""COMPUTED_VALUE"""),17)</f>
        <v>17</v>
      </c>
      <c r="C2039" s="5" t="str">
        <f ca="1">IFERROR(__xludf.DUMMYFUNCTION("""COMPUTED_VALUE"""),"Male")</f>
        <v>Male</v>
      </c>
      <c r="D2039" s="5"/>
      <c r="E2039" s="5" t="str">
        <f ca="1">IFERROR(__xludf.DUMMYFUNCTION("""COMPUTED_VALUE"""),"Student")</f>
        <v>Student</v>
      </c>
      <c r="F2039" s="5" t="str">
        <f ca="1">IFERROR(__xludf.DUMMYFUNCTION("""COMPUTED_VALUE"""),"Fled/Apprehended")</f>
        <v>Fled/Apprehended</v>
      </c>
      <c r="G2039" s="5" t="str">
        <f ca="1">IFERROR(__xludf.DUMMYFUNCTION("""COMPUTED_VALUE"""),"No")</f>
        <v>No</v>
      </c>
      <c r="H2039" s="5" t="str">
        <f ca="1">IFERROR(__xludf.DUMMYFUNCTION("""COMPUTED_VALUE"""),"None")</f>
        <v>None</v>
      </c>
    </row>
    <row r="2040" spans="1:8" ht="13">
      <c r="A2040" s="5" t="str">
        <f ca="1">IFERROR(__xludf.DUMMYFUNCTION("""COMPUTED_VALUE"""),"19921124ALROM")</f>
        <v>19921124ALROM</v>
      </c>
      <c r="B2040" s="5">
        <f ca="1">IFERROR(__xludf.DUMMYFUNCTION("""COMPUTED_VALUE"""),18)</f>
        <v>18</v>
      </c>
      <c r="C2040" s="5"/>
      <c r="D2040" s="5"/>
      <c r="E2040" s="5" t="str">
        <f ca="1">IFERROR(__xludf.DUMMYFUNCTION("""COMPUTED_VALUE"""),"Student")</f>
        <v>Student</v>
      </c>
      <c r="F2040" s="5" t="str">
        <f ca="1">IFERROR(__xludf.DUMMYFUNCTION("""COMPUTED_VALUE"""),"Unknown")</f>
        <v>Unknown</v>
      </c>
      <c r="G2040" s="5" t="str">
        <f ca="1">IFERROR(__xludf.DUMMYFUNCTION("""COMPUTED_VALUE"""),"No")</f>
        <v>No</v>
      </c>
      <c r="H2040" s="5" t="str">
        <f ca="1">IFERROR(__xludf.DUMMYFUNCTION("""COMPUTED_VALUE"""),"None")</f>
        <v>None</v>
      </c>
    </row>
    <row r="2041" spans="1:8" ht="13">
      <c r="A2041" s="5" t="str">
        <f ca="1">IFERROR(__xludf.DUMMYFUNCTION("""COMPUTED_VALUE"""),"19921120ILTIC")</f>
        <v>19921120ILTIC</v>
      </c>
      <c r="B2041" s="5">
        <f ca="1">IFERROR(__xludf.DUMMYFUNCTION("""COMPUTED_VALUE"""),15)</f>
        <v>15</v>
      </c>
      <c r="C2041" s="5" t="str">
        <f ca="1">IFERROR(__xludf.DUMMYFUNCTION("""COMPUTED_VALUE"""),"Male")</f>
        <v>Male</v>
      </c>
      <c r="D2041" s="5"/>
      <c r="E2041" s="5" t="str">
        <f ca="1">IFERROR(__xludf.DUMMYFUNCTION("""COMPUTED_VALUE"""),"Student")</f>
        <v>Student</v>
      </c>
      <c r="F2041" s="5" t="str">
        <f ca="1">IFERROR(__xludf.DUMMYFUNCTION("""COMPUTED_VALUE"""),"Fled/Apprehended")</f>
        <v>Fled/Apprehended</v>
      </c>
      <c r="G2041" s="5" t="str">
        <f ca="1">IFERROR(__xludf.DUMMYFUNCTION("""COMPUTED_VALUE"""),"No")</f>
        <v>No</v>
      </c>
      <c r="H2041" s="5" t="str">
        <f ca="1">IFERROR(__xludf.DUMMYFUNCTION("""COMPUTED_VALUE"""),"None")</f>
        <v>None</v>
      </c>
    </row>
    <row r="2042" spans="1:8" ht="13">
      <c r="A2042" s="5" t="str">
        <f ca="1">IFERROR(__xludf.DUMMYFUNCTION("""COMPUTED_VALUE"""),"19921116ALFAB")</f>
        <v>19921116ALFAB</v>
      </c>
      <c r="B2042" s="5" t="str">
        <f ca="1">IFERROR(__xludf.DUMMYFUNCTION("""COMPUTED_VALUE"""),"Teen")</f>
        <v>Teen</v>
      </c>
      <c r="C2042" s="5" t="str">
        <f ca="1">IFERROR(__xludf.DUMMYFUNCTION("""COMPUTED_VALUE"""),"Male")</f>
        <v>Male</v>
      </c>
      <c r="D2042" s="5"/>
      <c r="E2042" s="5" t="str">
        <f ca="1">IFERROR(__xludf.DUMMYFUNCTION("""COMPUTED_VALUE"""),"Student")</f>
        <v>Student</v>
      </c>
      <c r="F2042" s="5" t="str">
        <f ca="1">IFERROR(__xludf.DUMMYFUNCTION("""COMPUTED_VALUE"""),"Fled/Escaped")</f>
        <v>Fled/Escaped</v>
      </c>
      <c r="G2042" s="5" t="str">
        <f ca="1">IFERROR(__xludf.DUMMYFUNCTION("""COMPUTED_VALUE"""),"No")</f>
        <v>No</v>
      </c>
      <c r="H2042" s="5" t="str">
        <f ca="1">IFERROR(__xludf.DUMMYFUNCTION("""COMPUTED_VALUE"""),"None")</f>
        <v>None</v>
      </c>
    </row>
    <row r="2043" spans="1:8" ht="13">
      <c r="A2043" s="5" t="str">
        <f ca="1">IFERROR(__xludf.DUMMYFUNCTION("""COMPUTED_VALUE"""),"19921113TXLAC")</f>
        <v>19921113TXLAC</v>
      </c>
      <c r="B2043" s="5">
        <f ca="1">IFERROR(__xludf.DUMMYFUNCTION("""COMPUTED_VALUE"""),39)</f>
        <v>39</v>
      </c>
      <c r="C2043" s="5" t="str">
        <f ca="1">IFERROR(__xludf.DUMMYFUNCTION("""COMPUTED_VALUE"""),"Male")</f>
        <v>Male</v>
      </c>
      <c r="D2043" s="5"/>
      <c r="E2043" s="5" t="str">
        <f ca="1">IFERROR(__xludf.DUMMYFUNCTION("""COMPUTED_VALUE"""),"Intimate Relationship")</f>
        <v>Intimate Relationship</v>
      </c>
      <c r="F2043" s="5" t="str">
        <f ca="1">IFERROR(__xludf.DUMMYFUNCTION("""COMPUTED_VALUE"""),"Suicide")</f>
        <v>Suicide</v>
      </c>
      <c r="G2043" s="5" t="str">
        <f ca="1">IFERROR(__xludf.DUMMYFUNCTION("""COMPUTED_VALUE"""),"Yes")</f>
        <v>Yes</v>
      </c>
      <c r="H2043" s="5" t="str">
        <f ca="1">IFERROR(__xludf.DUMMYFUNCTION("""COMPUTED_VALUE"""),"Suicide")</f>
        <v>Suicide</v>
      </c>
    </row>
    <row r="2044" spans="1:8" ht="13">
      <c r="A2044" s="5" t="str">
        <f ca="1">IFERROR(__xludf.DUMMYFUNCTION("""COMPUTED_VALUE"""),"19921110ILSHC")</f>
        <v>19921110ILSHC</v>
      </c>
      <c r="B2044" s="5">
        <f ca="1">IFERROR(__xludf.DUMMYFUNCTION("""COMPUTED_VALUE"""),13)</f>
        <v>13</v>
      </c>
      <c r="C2044" s="5" t="str">
        <f ca="1">IFERROR(__xludf.DUMMYFUNCTION("""COMPUTED_VALUE"""),"Male")</f>
        <v>Male</v>
      </c>
      <c r="D2044" s="5"/>
      <c r="E2044" s="5" t="str">
        <f ca="1">IFERROR(__xludf.DUMMYFUNCTION("""COMPUTED_VALUE"""),"Student")</f>
        <v>Student</v>
      </c>
      <c r="F2044" s="5" t="str">
        <f ca="1">IFERROR(__xludf.DUMMYFUNCTION("""COMPUTED_VALUE"""),"Suicide")</f>
        <v>Suicide</v>
      </c>
      <c r="G2044" s="5" t="str">
        <f ca="1">IFERROR(__xludf.DUMMYFUNCTION("""COMPUTED_VALUE"""),"Yes")</f>
        <v>Yes</v>
      </c>
      <c r="H2044" s="5" t="str">
        <f ca="1">IFERROR(__xludf.DUMMYFUNCTION("""COMPUTED_VALUE"""),"Suicide")</f>
        <v>Suicide</v>
      </c>
    </row>
    <row r="2045" spans="1:8" ht="13">
      <c r="A2045" s="5" t="str">
        <f ca="1">IFERROR(__xludf.DUMMYFUNCTION("""COMPUTED_VALUE"""),"19921104MIMUD")</f>
        <v>19921104MIMUD</v>
      </c>
      <c r="B2045" s="5">
        <f ca="1">IFERROR(__xludf.DUMMYFUNCTION("""COMPUTED_VALUE"""),14)</f>
        <v>14</v>
      </c>
      <c r="C2045" s="5" t="str">
        <f ca="1">IFERROR(__xludf.DUMMYFUNCTION("""COMPUTED_VALUE"""),"Male")</f>
        <v>Male</v>
      </c>
      <c r="D2045" s="5"/>
      <c r="E2045" s="5" t="str">
        <f ca="1">IFERROR(__xludf.DUMMYFUNCTION("""COMPUTED_VALUE"""),"No Relation")</f>
        <v>No Relation</v>
      </c>
      <c r="F2045" s="5" t="str">
        <f ca="1">IFERROR(__xludf.DUMMYFUNCTION("""COMPUTED_VALUE"""),"Fled/Apprehended")</f>
        <v>Fled/Apprehended</v>
      </c>
      <c r="G2045" s="5" t="str">
        <f ca="1">IFERROR(__xludf.DUMMYFUNCTION("""COMPUTED_VALUE"""),"No")</f>
        <v>No</v>
      </c>
      <c r="H2045" s="5" t="str">
        <f ca="1">IFERROR(__xludf.DUMMYFUNCTION("""COMPUTED_VALUE"""),"None")</f>
        <v>None</v>
      </c>
    </row>
    <row r="2046" spans="1:8" ht="13">
      <c r="A2046" s="5" t="str">
        <f ca="1">IFERROR(__xludf.DUMMYFUNCTION("""COMPUTED_VALUE"""),"19921104MIMUD")</f>
        <v>19921104MIMUD</v>
      </c>
      <c r="B2046" s="5">
        <f ca="1">IFERROR(__xludf.DUMMYFUNCTION("""COMPUTED_VALUE"""),14)</f>
        <v>14</v>
      </c>
      <c r="C2046" s="5" t="str">
        <f ca="1">IFERROR(__xludf.DUMMYFUNCTION("""COMPUTED_VALUE"""),"Female")</f>
        <v>Female</v>
      </c>
      <c r="D2046" s="5"/>
      <c r="E2046" s="5" t="str">
        <f ca="1">IFERROR(__xludf.DUMMYFUNCTION("""COMPUTED_VALUE"""),"No Relation")</f>
        <v>No Relation</v>
      </c>
      <c r="F2046" s="5" t="str">
        <f ca="1">IFERROR(__xludf.DUMMYFUNCTION("""COMPUTED_VALUE"""),"Fled/Apprehended")</f>
        <v>Fled/Apprehended</v>
      </c>
      <c r="G2046" s="5" t="str">
        <f ca="1">IFERROR(__xludf.DUMMYFUNCTION("""COMPUTED_VALUE"""),"No")</f>
        <v>No</v>
      </c>
      <c r="H2046" s="5" t="str">
        <f ca="1">IFERROR(__xludf.DUMMYFUNCTION("""COMPUTED_VALUE"""),"None")</f>
        <v>None</v>
      </c>
    </row>
    <row r="2047" spans="1:8" ht="13">
      <c r="A2047" s="5" t="str">
        <f ca="1">IFERROR(__xludf.DUMMYFUNCTION("""COMPUTED_VALUE"""),"19921104MIMUD")</f>
        <v>19921104MIMUD</v>
      </c>
      <c r="B2047" s="5">
        <f ca="1">IFERROR(__xludf.DUMMYFUNCTION("""COMPUTED_VALUE"""),13)</f>
        <v>13</v>
      </c>
      <c r="C2047" s="5" t="str">
        <f ca="1">IFERROR(__xludf.DUMMYFUNCTION("""COMPUTED_VALUE"""),"Female")</f>
        <v>Female</v>
      </c>
      <c r="D2047" s="5"/>
      <c r="E2047" s="5" t="str">
        <f ca="1">IFERROR(__xludf.DUMMYFUNCTION("""COMPUTED_VALUE"""),"No Relation")</f>
        <v>No Relation</v>
      </c>
      <c r="F2047" s="5" t="str">
        <f ca="1">IFERROR(__xludf.DUMMYFUNCTION("""COMPUTED_VALUE"""),"Fled/Apprehended")</f>
        <v>Fled/Apprehended</v>
      </c>
      <c r="G2047" s="5" t="str">
        <f ca="1">IFERROR(__xludf.DUMMYFUNCTION("""COMPUTED_VALUE"""),"No")</f>
        <v>No</v>
      </c>
      <c r="H2047" s="5" t="str">
        <f ca="1">IFERROR(__xludf.DUMMYFUNCTION("""COMPUTED_VALUE"""),"None")</f>
        <v>None</v>
      </c>
    </row>
    <row r="2048" spans="1:8" ht="13">
      <c r="A2048" s="5" t="str">
        <f ca="1">IFERROR(__xludf.DUMMYFUNCTION("""COMPUTED_VALUE"""),"19921104MIMAD")</f>
        <v>19921104MIMAD</v>
      </c>
      <c r="B2048" s="5"/>
      <c r="C2048" s="5"/>
      <c r="D2048" s="5"/>
      <c r="E2048" s="5" t="str">
        <f ca="1">IFERROR(__xludf.DUMMYFUNCTION("""COMPUTED_VALUE"""),"Unknown")</f>
        <v>Unknown</v>
      </c>
      <c r="F2048" s="5" t="str">
        <f ca="1">IFERROR(__xludf.DUMMYFUNCTION("""COMPUTED_VALUE"""),"Fled/Escaped")</f>
        <v>Fled/Escaped</v>
      </c>
      <c r="G2048" s="5" t="str">
        <f ca="1">IFERROR(__xludf.DUMMYFUNCTION("""COMPUTED_VALUE"""),"No")</f>
        <v>No</v>
      </c>
      <c r="H2048" s="5" t="str">
        <f ca="1">IFERROR(__xludf.DUMMYFUNCTION("""COMPUTED_VALUE"""),"None")</f>
        <v>None</v>
      </c>
    </row>
    <row r="2049" spans="1:8" ht="13">
      <c r="A2049" s="5" t="str">
        <f ca="1">IFERROR(__xludf.DUMMYFUNCTION("""COMPUTED_VALUE"""),"19921104MIFID")</f>
        <v>19921104MIFID</v>
      </c>
      <c r="B2049" s="5" t="str">
        <f ca="1">IFERROR(__xludf.DUMMYFUNCTION("""COMPUTED_VALUE"""),"Minor")</f>
        <v>Minor</v>
      </c>
      <c r="C2049" s="5" t="str">
        <f ca="1">IFERROR(__xludf.DUMMYFUNCTION("""COMPUTED_VALUE"""),"Male")</f>
        <v>Male</v>
      </c>
      <c r="D2049" s="5" t="str">
        <f ca="1">IFERROR(__xludf.DUMMYFUNCTION("""COMPUTED_VALUE"""),"Black")</f>
        <v>Black</v>
      </c>
      <c r="E2049" s="5" t="str">
        <f ca="1">IFERROR(__xludf.DUMMYFUNCTION("""COMPUTED_VALUE"""),"Student")</f>
        <v>Student</v>
      </c>
      <c r="F2049" s="5" t="str">
        <f ca="1">IFERROR(__xludf.DUMMYFUNCTION("""COMPUTED_VALUE"""),"Fled/Apprehended")</f>
        <v>Fled/Apprehended</v>
      </c>
      <c r="G2049" s="5" t="str">
        <f ca="1">IFERROR(__xludf.DUMMYFUNCTION("""COMPUTED_VALUE"""),"No")</f>
        <v>No</v>
      </c>
      <c r="H2049" s="5" t="str">
        <f ca="1">IFERROR(__xludf.DUMMYFUNCTION("""COMPUTED_VALUE"""),"None")</f>
        <v>None</v>
      </c>
    </row>
    <row r="2050" spans="1:8" ht="13">
      <c r="A2050" s="5" t="str">
        <f ca="1">IFERROR(__xludf.DUMMYFUNCTION("""COMPUTED_VALUE"""),"19921104MIFID")</f>
        <v>19921104MIFID</v>
      </c>
      <c r="B2050" s="5">
        <f ca="1">IFERROR(__xludf.DUMMYFUNCTION("""COMPUTED_VALUE"""),18)</f>
        <v>18</v>
      </c>
      <c r="C2050" s="5" t="str">
        <f ca="1">IFERROR(__xludf.DUMMYFUNCTION("""COMPUTED_VALUE"""),"Male")</f>
        <v>Male</v>
      </c>
      <c r="D2050" s="5" t="str">
        <f ca="1">IFERROR(__xludf.DUMMYFUNCTION("""COMPUTED_VALUE"""),"Black")</f>
        <v>Black</v>
      </c>
      <c r="E2050" s="5" t="str">
        <f ca="1">IFERROR(__xludf.DUMMYFUNCTION("""COMPUTED_VALUE"""),"Student")</f>
        <v>Student</v>
      </c>
      <c r="F2050" s="5" t="str">
        <f ca="1">IFERROR(__xludf.DUMMYFUNCTION("""COMPUTED_VALUE"""),"Fled/Apprehended")</f>
        <v>Fled/Apprehended</v>
      </c>
      <c r="G2050" s="5" t="str">
        <f ca="1">IFERROR(__xludf.DUMMYFUNCTION("""COMPUTED_VALUE"""),"No")</f>
        <v>No</v>
      </c>
      <c r="H2050" s="5" t="str">
        <f ca="1">IFERROR(__xludf.DUMMYFUNCTION("""COMPUTED_VALUE"""),"None")</f>
        <v>None</v>
      </c>
    </row>
    <row r="2051" spans="1:8" ht="13">
      <c r="A2051" s="5" t="str">
        <f ca="1">IFERROR(__xludf.DUMMYFUNCTION("""COMPUTED_VALUE"""),"19921104MIFID")</f>
        <v>19921104MIFID</v>
      </c>
      <c r="B2051" s="5">
        <f ca="1">IFERROR(__xludf.DUMMYFUNCTION("""COMPUTED_VALUE"""),18)</f>
        <v>18</v>
      </c>
      <c r="C2051" s="5" t="str">
        <f ca="1">IFERROR(__xludf.DUMMYFUNCTION("""COMPUTED_VALUE"""),"Male")</f>
        <v>Male</v>
      </c>
      <c r="D2051" s="5" t="str">
        <f ca="1">IFERROR(__xludf.DUMMYFUNCTION("""COMPUTED_VALUE"""),"Black")</f>
        <v>Black</v>
      </c>
      <c r="E2051" s="5" t="str">
        <f ca="1">IFERROR(__xludf.DUMMYFUNCTION("""COMPUTED_VALUE"""),"Student")</f>
        <v>Student</v>
      </c>
      <c r="F2051" s="5" t="str">
        <f ca="1">IFERROR(__xludf.DUMMYFUNCTION("""COMPUTED_VALUE"""),"Fled/Apprehended")</f>
        <v>Fled/Apprehended</v>
      </c>
      <c r="G2051" s="5" t="str">
        <f ca="1">IFERROR(__xludf.DUMMYFUNCTION("""COMPUTED_VALUE"""),"No")</f>
        <v>No</v>
      </c>
      <c r="H2051" s="5" t="str">
        <f ca="1">IFERROR(__xludf.DUMMYFUNCTION("""COMPUTED_VALUE"""),"None")</f>
        <v>None</v>
      </c>
    </row>
    <row r="2052" spans="1:8" ht="13">
      <c r="A2052" s="5" t="str">
        <f ca="1">IFERROR(__xludf.DUMMYFUNCTION("""COMPUTED_VALUE"""),"19921019NYEVB")</f>
        <v>19921019NYEVB</v>
      </c>
      <c r="B2052" s="5"/>
      <c r="C2052" s="5" t="str">
        <f ca="1">IFERROR(__xludf.DUMMYFUNCTION("""COMPUTED_VALUE"""),"Male")</f>
        <v>Male</v>
      </c>
      <c r="D2052" s="5" t="str">
        <f ca="1">IFERROR(__xludf.DUMMYFUNCTION("""COMPUTED_VALUE"""),"Black")</f>
        <v>Black</v>
      </c>
      <c r="E2052" s="5" t="str">
        <f ca="1">IFERROR(__xludf.DUMMYFUNCTION("""COMPUTED_VALUE"""),"Student")</f>
        <v>Student</v>
      </c>
      <c r="F2052" s="5" t="str">
        <f ca="1">IFERROR(__xludf.DUMMYFUNCTION("""COMPUTED_VALUE"""),"Fled/Escaped")</f>
        <v>Fled/Escaped</v>
      </c>
      <c r="G2052" s="5" t="str">
        <f ca="1">IFERROR(__xludf.DUMMYFUNCTION("""COMPUTED_VALUE"""),"No")</f>
        <v>No</v>
      </c>
      <c r="H2052" s="5" t="str">
        <f ca="1">IFERROR(__xludf.DUMMYFUNCTION("""COMPUTED_VALUE"""),"None")</f>
        <v>None</v>
      </c>
    </row>
    <row r="2053" spans="1:8" ht="13">
      <c r="A2053" s="5" t="str">
        <f ca="1">IFERROR(__xludf.DUMMYFUNCTION("""COMPUTED_VALUE"""),"19921013AZDET")</f>
        <v>19921013AZDET</v>
      </c>
      <c r="B2053" s="5">
        <f ca="1">IFERROR(__xludf.DUMMYFUNCTION("""COMPUTED_VALUE"""),20)</f>
        <v>20</v>
      </c>
      <c r="C2053" s="5" t="str">
        <f ca="1">IFERROR(__xludf.DUMMYFUNCTION("""COMPUTED_VALUE"""),"Male")</f>
        <v>Male</v>
      </c>
      <c r="D2053" s="5" t="str">
        <f ca="1">IFERROR(__xludf.DUMMYFUNCTION("""COMPUTED_VALUE"""),"White")</f>
        <v>White</v>
      </c>
      <c r="E2053" s="5" t="str">
        <f ca="1">IFERROR(__xludf.DUMMYFUNCTION("""COMPUTED_VALUE"""),"No Relation")</f>
        <v>No Relation</v>
      </c>
      <c r="F2053" s="5" t="str">
        <f ca="1">IFERROR(__xludf.DUMMYFUNCTION("""COMPUTED_VALUE"""),"Fled/Apprehended")</f>
        <v>Fled/Apprehended</v>
      </c>
      <c r="G2053" s="5" t="str">
        <f ca="1">IFERROR(__xludf.DUMMYFUNCTION("""COMPUTED_VALUE"""),"No")</f>
        <v>No</v>
      </c>
      <c r="H2053" s="5" t="str">
        <f ca="1">IFERROR(__xludf.DUMMYFUNCTION("""COMPUTED_VALUE"""),"None")</f>
        <v>None</v>
      </c>
    </row>
    <row r="2054" spans="1:8" ht="13">
      <c r="A2054" s="5" t="str">
        <f ca="1">IFERROR(__xludf.DUMMYFUNCTION("""COMPUTED_VALUE"""),"19920930TXHOH")</f>
        <v>19920930TXHOH</v>
      </c>
      <c r="B2054" s="5">
        <f ca="1">IFERROR(__xludf.DUMMYFUNCTION("""COMPUTED_VALUE"""),15)</f>
        <v>15</v>
      </c>
      <c r="C2054" s="5" t="str">
        <f ca="1">IFERROR(__xludf.DUMMYFUNCTION("""COMPUTED_VALUE"""),"Male")</f>
        <v>Male</v>
      </c>
      <c r="D2054" s="5" t="str">
        <f ca="1">IFERROR(__xludf.DUMMYFUNCTION("""COMPUTED_VALUE"""),"White")</f>
        <v>White</v>
      </c>
      <c r="E2054" s="5" t="str">
        <f ca="1">IFERROR(__xludf.DUMMYFUNCTION("""COMPUTED_VALUE"""),"Student")</f>
        <v>Student</v>
      </c>
      <c r="F2054" s="5" t="str">
        <f ca="1">IFERROR(__xludf.DUMMYFUNCTION("""COMPUTED_VALUE"""),"Fled/Apprehended")</f>
        <v>Fled/Apprehended</v>
      </c>
      <c r="G2054" s="5" t="str">
        <f ca="1">IFERROR(__xludf.DUMMYFUNCTION("""COMPUTED_VALUE"""),"No")</f>
        <v>No</v>
      </c>
      <c r="H2054" s="5" t="str">
        <f ca="1">IFERROR(__xludf.DUMMYFUNCTION("""COMPUTED_VALUE"""),"None")</f>
        <v>None</v>
      </c>
    </row>
    <row r="2055" spans="1:8" ht="13">
      <c r="A2055" s="5" t="str">
        <f ca="1">IFERROR(__xludf.DUMMYFUNCTION("""COMPUTED_VALUE"""),"19920930CAPAL")</f>
        <v>19920930CAPAL</v>
      </c>
      <c r="B2055" s="5" t="str">
        <f ca="1">IFERROR(__xludf.DUMMYFUNCTION("""COMPUTED_VALUE"""),"Teen")</f>
        <v>Teen</v>
      </c>
      <c r="C2055" s="5" t="str">
        <f ca="1">IFERROR(__xludf.DUMMYFUNCTION("""COMPUTED_VALUE"""),"Male")</f>
        <v>Male</v>
      </c>
      <c r="D2055" s="5"/>
      <c r="E2055" s="5" t="str">
        <f ca="1">IFERROR(__xludf.DUMMYFUNCTION("""COMPUTED_VALUE"""),"Gang Member")</f>
        <v>Gang Member</v>
      </c>
      <c r="F2055" s="5" t="str">
        <f ca="1">IFERROR(__xludf.DUMMYFUNCTION("""COMPUTED_VALUE"""),"Fled/Escaped")</f>
        <v>Fled/Escaped</v>
      </c>
      <c r="G2055" s="5" t="str">
        <f ca="1">IFERROR(__xludf.DUMMYFUNCTION("""COMPUTED_VALUE"""),"No")</f>
        <v>No</v>
      </c>
      <c r="H2055" s="5" t="str">
        <f ca="1">IFERROR(__xludf.DUMMYFUNCTION("""COMPUTED_VALUE"""),"None")</f>
        <v>None</v>
      </c>
    </row>
    <row r="2056" spans="1:8" ht="13">
      <c r="A2056" s="5" t="str">
        <f ca="1">IFERROR(__xludf.DUMMYFUNCTION("""COMPUTED_VALUE"""),"19920928CAHIS")</f>
        <v>19920928CAHIS</v>
      </c>
      <c r="B2056" s="5">
        <f ca="1">IFERROR(__xludf.DUMMYFUNCTION("""COMPUTED_VALUE"""),18)</f>
        <v>18</v>
      </c>
      <c r="C2056" s="5" t="str">
        <f ca="1">IFERROR(__xludf.DUMMYFUNCTION("""COMPUTED_VALUE"""),"Male")</f>
        <v>Male</v>
      </c>
      <c r="D2056" s="5" t="str">
        <f ca="1">IFERROR(__xludf.DUMMYFUNCTION("""COMPUTED_VALUE"""),"Asian")</f>
        <v>Asian</v>
      </c>
      <c r="E2056" s="5" t="str">
        <f ca="1">IFERROR(__xludf.DUMMYFUNCTION("""COMPUTED_VALUE"""),"Student")</f>
        <v>Student</v>
      </c>
      <c r="F2056" s="5" t="str">
        <f ca="1">IFERROR(__xludf.DUMMYFUNCTION("""COMPUTED_VALUE"""),"Fled/Apprehended")</f>
        <v>Fled/Apprehended</v>
      </c>
      <c r="G2056" s="5" t="str">
        <f ca="1">IFERROR(__xludf.DUMMYFUNCTION("""COMPUTED_VALUE"""),"No")</f>
        <v>No</v>
      </c>
      <c r="H2056" s="5" t="str">
        <f ca="1">IFERROR(__xludf.DUMMYFUNCTION("""COMPUTED_VALUE"""),"None")</f>
        <v>None</v>
      </c>
    </row>
    <row r="2057" spans="1:8" ht="13">
      <c r="A2057" s="5" t="str">
        <f ca="1">IFERROR(__xludf.DUMMYFUNCTION("""COMPUTED_VALUE"""),"19920928CAHIS")</f>
        <v>19920928CAHIS</v>
      </c>
      <c r="B2057" s="5">
        <f ca="1">IFERROR(__xludf.DUMMYFUNCTION("""COMPUTED_VALUE"""),19)</f>
        <v>19</v>
      </c>
      <c r="C2057" s="5" t="str">
        <f ca="1">IFERROR(__xludf.DUMMYFUNCTION("""COMPUTED_VALUE"""),"Male")</f>
        <v>Male</v>
      </c>
      <c r="D2057" s="5" t="str">
        <f ca="1">IFERROR(__xludf.DUMMYFUNCTION("""COMPUTED_VALUE"""),"Asian")</f>
        <v>Asian</v>
      </c>
      <c r="E2057" s="5" t="str">
        <f ca="1">IFERROR(__xludf.DUMMYFUNCTION("""COMPUTED_VALUE"""),"Student")</f>
        <v>Student</v>
      </c>
      <c r="F2057" s="5" t="str">
        <f ca="1">IFERROR(__xludf.DUMMYFUNCTION("""COMPUTED_VALUE"""),"Fled/Apprehended")</f>
        <v>Fled/Apprehended</v>
      </c>
      <c r="G2057" s="5" t="str">
        <f ca="1">IFERROR(__xludf.DUMMYFUNCTION("""COMPUTED_VALUE"""),"No")</f>
        <v>No</v>
      </c>
      <c r="H2057" s="5" t="str">
        <f ca="1">IFERROR(__xludf.DUMMYFUNCTION("""COMPUTED_VALUE"""),"None")</f>
        <v>None</v>
      </c>
    </row>
    <row r="2058" spans="1:8" ht="13">
      <c r="A2058" s="5" t="str">
        <f ca="1">IFERROR(__xludf.DUMMYFUNCTION("""COMPUTED_VALUE"""),"19920928CAHIS")</f>
        <v>19920928CAHIS</v>
      </c>
      <c r="B2058" s="5">
        <f ca="1">IFERROR(__xludf.DUMMYFUNCTION("""COMPUTED_VALUE"""),20)</f>
        <v>20</v>
      </c>
      <c r="C2058" s="5" t="str">
        <f ca="1">IFERROR(__xludf.DUMMYFUNCTION("""COMPUTED_VALUE"""),"Male")</f>
        <v>Male</v>
      </c>
      <c r="D2058" s="5" t="str">
        <f ca="1">IFERROR(__xludf.DUMMYFUNCTION("""COMPUTED_VALUE"""),"Asian")</f>
        <v>Asian</v>
      </c>
      <c r="E2058" s="5" t="str">
        <f ca="1">IFERROR(__xludf.DUMMYFUNCTION("""COMPUTED_VALUE"""),"Student")</f>
        <v>Student</v>
      </c>
      <c r="F2058" s="5" t="str">
        <f ca="1">IFERROR(__xludf.DUMMYFUNCTION("""COMPUTED_VALUE"""),"Fled/Apprehended")</f>
        <v>Fled/Apprehended</v>
      </c>
      <c r="G2058" s="5" t="str">
        <f ca="1">IFERROR(__xludf.DUMMYFUNCTION("""COMPUTED_VALUE"""),"No")</f>
        <v>No</v>
      </c>
      <c r="H2058" s="5" t="str">
        <f ca="1">IFERROR(__xludf.DUMMYFUNCTION("""COMPUTED_VALUE"""),"None")</f>
        <v>None</v>
      </c>
    </row>
    <row r="2059" spans="1:8" ht="13">
      <c r="A2059" s="5" t="str">
        <f ca="1">IFERROR(__xludf.DUMMYFUNCTION("""COMPUTED_VALUE"""),"19920911TXPAA")</f>
        <v>19920911TXPAA</v>
      </c>
      <c r="B2059" s="5">
        <f ca="1">IFERROR(__xludf.DUMMYFUNCTION("""COMPUTED_VALUE"""),17)</f>
        <v>17</v>
      </c>
      <c r="C2059" s="5" t="str">
        <f ca="1">IFERROR(__xludf.DUMMYFUNCTION("""COMPUTED_VALUE"""),"Male")</f>
        <v>Male</v>
      </c>
      <c r="D2059" s="5"/>
      <c r="E2059" s="5" t="str">
        <f ca="1">IFERROR(__xludf.DUMMYFUNCTION("""COMPUTED_VALUE"""),"Student")</f>
        <v>Student</v>
      </c>
      <c r="F2059" s="5" t="str">
        <f ca="1">IFERROR(__xludf.DUMMYFUNCTION("""COMPUTED_VALUE"""),"Fled/Apprehended")</f>
        <v>Fled/Apprehended</v>
      </c>
      <c r="G2059" s="5" t="str">
        <f ca="1">IFERROR(__xludf.DUMMYFUNCTION("""COMPUTED_VALUE"""),"No")</f>
        <v>No</v>
      </c>
      <c r="H2059" s="5" t="str">
        <f ca="1">IFERROR(__xludf.DUMMYFUNCTION("""COMPUTED_VALUE"""),"None")</f>
        <v>None</v>
      </c>
    </row>
    <row r="2060" spans="1:8" ht="13">
      <c r="A2060" s="5" t="str">
        <f ca="1">IFERROR(__xludf.DUMMYFUNCTION("""COMPUTED_VALUE"""),"19920606CAMEM")</f>
        <v>19920606CAMEM</v>
      </c>
      <c r="B2060" s="5">
        <f ca="1">IFERROR(__xludf.DUMMYFUNCTION("""COMPUTED_VALUE"""),17)</f>
        <v>17</v>
      </c>
      <c r="C2060" s="5" t="str">
        <f ca="1">IFERROR(__xludf.DUMMYFUNCTION("""COMPUTED_VALUE"""),"Male")</f>
        <v>Male</v>
      </c>
      <c r="D2060" s="5" t="str">
        <f ca="1">IFERROR(__xludf.DUMMYFUNCTION("""COMPUTED_VALUE"""),"Asian")</f>
        <v>Asian</v>
      </c>
      <c r="E2060" s="5" t="str">
        <f ca="1">IFERROR(__xludf.DUMMYFUNCTION("""COMPUTED_VALUE"""),"Student")</f>
        <v>Student</v>
      </c>
      <c r="F2060" s="5" t="str">
        <f ca="1">IFERROR(__xludf.DUMMYFUNCTION("""COMPUTED_VALUE"""),"Fled/Escaped")</f>
        <v>Fled/Escaped</v>
      </c>
      <c r="G2060" s="5" t="str">
        <f ca="1">IFERROR(__xludf.DUMMYFUNCTION("""COMPUTED_VALUE"""),"No")</f>
        <v>No</v>
      </c>
      <c r="H2060" s="5" t="str">
        <f ca="1">IFERROR(__xludf.DUMMYFUNCTION("""COMPUTED_VALUE"""),"None")</f>
        <v>None</v>
      </c>
    </row>
    <row r="2061" spans="1:8" ht="13">
      <c r="A2061" s="5" t="str">
        <f ca="1">IFERROR(__xludf.DUMMYFUNCTION("""COMPUTED_VALUE"""),"19920530DCARW")</f>
        <v>19920530DCARW</v>
      </c>
      <c r="B2061" s="5"/>
      <c r="C2061" s="5" t="str">
        <f ca="1">IFERROR(__xludf.DUMMYFUNCTION("""COMPUTED_VALUE"""),"Male")</f>
        <v>Male</v>
      </c>
      <c r="D2061" s="5"/>
      <c r="E2061" s="5"/>
      <c r="F2061" s="5" t="str">
        <f ca="1">IFERROR(__xludf.DUMMYFUNCTION("""COMPUTED_VALUE"""),"Fled/Escaped")</f>
        <v>Fled/Escaped</v>
      </c>
      <c r="G2061" s="5" t="str">
        <f ca="1">IFERROR(__xludf.DUMMYFUNCTION("""COMPUTED_VALUE"""),"No")</f>
        <v>No</v>
      </c>
      <c r="H2061" s="5" t="str">
        <f ca="1">IFERROR(__xludf.DUMMYFUNCTION("""COMPUTED_VALUE"""),"None")</f>
        <v>None</v>
      </c>
    </row>
    <row r="2062" spans="1:8" ht="13">
      <c r="A2062" s="5" t="str">
        <f ca="1">IFERROR(__xludf.DUMMYFUNCTION("""COMPUTED_VALUE"""),"19920529CAVEL")</f>
        <v>19920529CAVEL</v>
      </c>
      <c r="B2062" s="5"/>
      <c r="C2062" s="5"/>
      <c r="D2062" s="5"/>
      <c r="E2062" s="5" t="str">
        <f ca="1">IFERROR(__xludf.DUMMYFUNCTION("""COMPUTED_VALUE"""),"Unknown")</f>
        <v>Unknown</v>
      </c>
      <c r="F2062" s="5" t="str">
        <f ca="1">IFERROR(__xludf.DUMMYFUNCTION("""COMPUTED_VALUE"""),"Fled/Escaped")</f>
        <v>Fled/Escaped</v>
      </c>
      <c r="G2062" s="5" t="str">
        <f ca="1">IFERROR(__xludf.DUMMYFUNCTION("""COMPUTED_VALUE"""),"No")</f>
        <v>No</v>
      </c>
      <c r="H2062" s="5" t="str">
        <f ca="1">IFERROR(__xludf.DUMMYFUNCTION("""COMPUTED_VALUE"""),"None")</f>
        <v>None</v>
      </c>
    </row>
    <row r="2063" spans="1:8" ht="13">
      <c r="A2063" s="5" t="str">
        <f ca="1">IFERROR(__xludf.DUMMYFUNCTION("""COMPUTED_VALUE"""),"19920514TXHUH")</f>
        <v>19920514TXHUH</v>
      </c>
      <c r="B2063" s="5">
        <f ca="1">IFERROR(__xludf.DUMMYFUNCTION("""COMPUTED_VALUE"""),14)</f>
        <v>14</v>
      </c>
      <c r="C2063" s="5" t="str">
        <f ca="1">IFERROR(__xludf.DUMMYFUNCTION("""COMPUTED_VALUE"""),"Male")</f>
        <v>Male</v>
      </c>
      <c r="D2063" s="5" t="str">
        <f ca="1">IFERROR(__xludf.DUMMYFUNCTION("""COMPUTED_VALUE"""),"White")</f>
        <v>White</v>
      </c>
      <c r="E2063" s="5" t="str">
        <f ca="1">IFERROR(__xludf.DUMMYFUNCTION("""COMPUTED_VALUE"""),"Student")</f>
        <v>Student</v>
      </c>
      <c r="F2063" s="5" t="str">
        <f ca="1">IFERROR(__xludf.DUMMYFUNCTION("""COMPUTED_VALUE"""),"Surrendered")</f>
        <v>Surrendered</v>
      </c>
      <c r="G2063" s="5" t="str">
        <f ca="1">IFERROR(__xludf.DUMMYFUNCTION("""COMPUTED_VALUE"""),"No")</f>
        <v>No</v>
      </c>
      <c r="H2063" s="5" t="str">
        <f ca="1">IFERROR(__xludf.DUMMYFUNCTION("""COMPUTED_VALUE"""),"None")</f>
        <v>None</v>
      </c>
    </row>
    <row r="2064" spans="1:8" ht="13">
      <c r="A2064" s="5" t="str">
        <f ca="1">IFERROR(__xludf.DUMMYFUNCTION("""COMPUTED_VALUE"""),"19920514CASIN")</f>
        <v>19920514CASIN</v>
      </c>
      <c r="B2064" s="5">
        <f ca="1">IFERROR(__xludf.DUMMYFUNCTION("""COMPUTED_VALUE"""),14)</f>
        <v>14</v>
      </c>
      <c r="C2064" s="5" t="str">
        <f ca="1">IFERROR(__xludf.DUMMYFUNCTION("""COMPUTED_VALUE"""),"Male")</f>
        <v>Male</v>
      </c>
      <c r="D2064" s="5"/>
      <c r="E2064" s="5" t="str">
        <f ca="1">IFERROR(__xludf.DUMMYFUNCTION("""COMPUTED_VALUE"""),"Student")</f>
        <v>Student</v>
      </c>
      <c r="F2064" s="5" t="str">
        <f ca="1">IFERROR(__xludf.DUMMYFUNCTION("""COMPUTED_VALUE"""),"Surrendered")</f>
        <v>Surrendered</v>
      </c>
      <c r="G2064" s="5" t="str">
        <f ca="1">IFERROR(__xludf.DUMMYFUNCTION("""COMPUTED_VALUE"""),"No")</f>
        <v>No</v>
      </c>
      <c r="H2064" s="5" t="str">
        <f ca="1">IFERROR(__xludf.DUMMYFUNCTION("""COMPUTED_VALUE"""),"None")</f>
        <v>None</v>
      </c>
    </row>
    <row r="2065" spans="1:8" ht="13">
      <c r="A2065" s="5" t="str">
        <f ca="1">IFERROR(__xludf.DUMMYFUNCTION("""COMPUTED_VALUE"""),"19920501CALIO")</f>
        <v>19920501CALIO</v>
      </c>
      <c r="B2065" s="5">
        <f ca="1">IFERROR(__xludf.DUMMYFUNCTION("""COMPUTED_VALUE"""),20)</f>
        <v>20</v>
      </c>
      <c r="C2065" s="5" t="str">
        <f ca="1">IFERROR(__xludf.DUMMYFUNCTION("""COMPUTED_VALUE"""),"Male")</f>
        <v>Male</v>
      </c>
      <c r="D2065" s="5" t="str">
        <f ca="1">IFERROR(__xludf.DUMMYFUNCTION("""COMPUTED_VALUE"""),"White")</f>
        <v>White</v>
      </c>
      <c r="E2065" s="5" t="str">
        <f ca="1">IFERROR(__xludf.DUMMYFUNCTION("""COMPUTED_VALUE"""),"Former Student")</f>
        <v>Former Student</v>
      </c>
      <c r="F2065" s="5" t="str">
        <f ca="1">IFERROR(__xludf.DUMMYFUNCTION("""COMPUTED_VALUE"""),"Surrendered")</f>
        <v>Surrendered</v>
      </c>
      <c r="G2065" s="5" t="str">
        <f ca="1">IFERROR(__xludf.DUMMYFUNCTION("""COMPUTED_VALUE"""),"No")</f>
        <v>No</v>
      </c>
      <c r="H2065" s="5" t="str">
        <f ca="1">IFERROR(__xludf.DUMMYFUNCTION("""COMPUTED_VALUE"""),"None")</f>
        <v>None</v>
      </c>
    </row>
    <row r="2066" spans="1:8" ht="13">
      <c r="A2066" s="5" t="str">
        <f ca="1">IFERROR(__xludf.DUMMYFUNCTION("""COMPUTED_VALUE"""),"19920417TXLID")</f>
        <v>19920417TXLID</v>
      </c>
      <c r="B2066" s="5"/>
      <c r="C2066" s="5"/>
      <c r="D2066" s="5"/>
      <c r="E2066" s="5" t="str">
        <f ca="1">IFERROR(__xludf.DUMMYFUNCTION("""COMPUTED_VALUE"""),"Unknown")</f>
        <v>Unknown</v>
      </c>
      <c r="F2066" s="5" t="str">
        <f ca="1">IFERROR(__xludf.DUMMYFUNCTION("""COMPUTED_VALUE"""),"Surrendered")</f>
        <v>Surrendered</v>
      </c>
      <c r="G2066" s="5" t="str">
        <f ca="1">IFERROR(__xludf.DUMMYFUNCTION("""COMPUTED_VALUE"""),"No")</f>
        <v>No</v>
      </c>
      <c r="H2066" s="5" t="str">
        <f ca="1">IFERROR(__xludf.DUMMYFUNCTION("""COMPUTED_VALUE"""),"None")</f>
        <v>None</v>
      </c>
    </row>
    <row r="2067" spans="1:8" ht="13">
      <c r="A2067" s="5" t="str">
        <f ca="1">IFERROR(__xludf.DUMMYFUNCTION("""COMPUTED_VALUE"""),"19920409FLFOF")</f>
        <v>19920409FLFOF</v>
      </c>
      <c r="B2067" s="5">
        <f ca="1">IFERROR(__xludf.DUMMYFUNCTION("""COMPUTED_VALUE"""),16)</f>
        <v>16</v>
      </c>
      <c r="C2067" s="5" t="str">
        <f ca="1">IFERROR(__xludf.DUMMYFUNCTION("""COMPUTED_VALUE"""),"Male")</f>
        <v>Male</v>
      </c>
      <c r="D2067" s="5" t="str">
        <f ca="1">IFERROR(__xludf.DUMMYFUNCTION("""COMPUTED_VALUE"""),"Black")</f>
        <v>Black</v>
      </c>
      <c r="E2067" s="5" t="str">
        <f ca="1">IFERROR(__xludf.DUMMYFUNCTION("""COMPUTED_VALUE"""),"Student")</f>
        <v>Student</v>
      </c>
      <c r="F2067" s="5" t="str">
        <f ca="1">IFERROR(__xludf.DUMMYFUNCTION("""COMPUTED_VALUE"""),"Fled/Apprehended")</f>
        <v>Fled/Apprehended</v>
      </c>
      <c r="G2067" s="5" t="str">
        <f ca="1">IFERROR(__xludf.DUMMYFUNCTION("""COMPUTED_VALUE"""),"No")</f>
        <v>No</v>
      </c>
      <c r="H2067" s="5" t="str">
        <f ca="1">IFERROR(__xludf.DUMMYFUNCTION("""COMPUTED_VALUE"""),"None")</f>
        <v>None</v>
      </c>
    </row>
    <row r="2068" spans="1:8" ht="13">
      <c r="A2068" s="5" t="str">
        <f ca="1">IFERROR(__xludf.DUMMYFUNCTION("""COMPUTED_VALUE"""),"19920331LAOPA")</f>
        <v>19920331LAOPA</v>
      </c>
      <c r="B2068" s="5">
        <f ca="1">IFERROR(__xludf.DUMMYFUNCTION("""COMPUTED_VALUE"""),15)</f>
        <v>15</v>
      </c>
      <c r="C2068" s="5" t="str">
        <f ca="1">IFERROR(__xludf.DUMMYFUNCTION("""COMPUTED_VALUE"""),"Male")</f>
        <v>Male</v>
      </c>
      <c r="D2068" s="5"/>
      <c r="E2068" s="5" t="str">
        <f ca="1">IFERROR(__xludf.DUMMYFUNCTION("""COMPUTED_VALUE"""),"Student")</f>
        <v>Student</v>
      </c>
      <c r="F2068" s="5" t="str">
        <f ca="1">IFERROR(__xludf.DUMMYFUNCTION("""COMPUTED_VALUE"""),"Surrendered")</f>
        <v>Surrendered</v>
      </c>
      <c r="G2068" s="5" t="str">
        <f ca="1">IFERROR(__xludf.DUMMYFUNCTION("""COMPUTED_VALUE"""),"No")</f>
        <v>No</v>
      </c>
      <c r="H2068" s="5" t="str">
        <f ca="1">IFERROR(__xludf.DUMMYFUNCTION("""COMPUTED_VALUE"""),"None")</f>
        <v>None</v>
      </c>
    </row>
    <row r="2069" spans="1:8" ht="13">
      <c r="A2069" s="5" t="str">
        <f ca="1">IFERROR(__xludf.DUMMYFUNCTION("""COMPUTED_VALUE"""),"19920305OHHAO")</f>
        <v>19920305OHHAO</v>
      </c>
      <c r="B2069" s="5">
        <f ca="1">IFERROR(__xludf.DUMMYFUNCTION("""COMPUTED_VALUE"""),12)</f>
        <v>12</v>
      </c>
      <c r="C2069" s="5" t="str">
        <f ca="1">IFERROR(__xludf.DUMMYFUNCTION("""COMPUTED_VALUE"""),"Male")</f>
        <v>Male</v>
      </c>
      <c r="D2069" s="5" t="str">
        <f ca="1">IFERROR(__xludf.DUMMYFUNCTION("""COMPUTED_VALUE"""),"White")</f>
        <v>White</v>
      </c>
      <c r="E2069" s="5" t="str">
        <f ca="1">IFERROR(__xludf.DUMMYFUNCTION("""COMPUTED_VALUE"""),"Student")</f>
        <v>Student</v>
      </c>
      <c r="F2069" s="5" t="str">
        <f ca="1">IFERROR(__xludf.DUMMYFUNCTION("""COMPUTED_VALUE"""),"Fled/Apprehended")</f>
        <v>Fled/Apprehended</v>
      </c>
      <c r="G2069" s="5" t="str">
        <f ca="1">IFERROR(__xludf.DUMMYFUNCTION("""COMPUTED_VALUE"""),"No")</f>
        <v>No</v>
      </c>
      <c r="H2069" s="5" t="str">
        <f ca="1">IFERROR(__xludf.DUMMYFUNCTION("""COMPUTED_VALUE"""),"None")</f>
        <v>None</v>
      </c>
    </row>
    <row r="2070" spans="1:8" ht="13">
      <c r="A2070" s="5" t="str">
        <f ca="1">IFERROR(__xludf.DUMMYFUNCTION("""COMPUTED_VALUE"""),"19920226NYTHB")</f>
        <v>19920226NYTHB</v>
      </c>
      <c r="B2070" s="5">
        <f ca="1">IFERROR(__xludf.DUMMYFUNCTION("""COMPUTED_VALUE"""),15)</f>
        <v>15</v>
      </c>
      <c r="C2070" s="5" t="str">
        <f ca="1">IFERROR(__xludf.DUMMYFUNCTION("""COMPUTED_VALUE"""),"Male")</f>
        <v>Male</v>
      </c>
      <c r="D2070" s="5" t="str">
        <f ca="1">IFERROR(__xludf.DUMMYFUNCTION("""COMPUTED_VALUE"""),"Black")</f>
        <v>Black</v>
      </c>
      <c r="E2070" s="5" t="str">
        <f ca="1">IFERROR(__xludf.DUMMYFUNCTION("""COMPUTED_VALUE"""),"Student")</f>
        <v>Student</v>
      </c>
      <c r="F2070" s="5" t="str">
        <f ca="1">IFERROR(__xludf.DUMMYFUNCTION("""COMPUTED_VALUE"""),"Fled/Apprehended")</f>
        <v>Fled/Apprehended</v>
      </c>
      <c r="G2070" s="5" t="str">
        <f ca="1">IFERROR(__xludf.DUMMYFUNCTION("""COMPUTED_VALUE"""),"No")</f>
        <v>No</v>
      </c>
      <c r="H2070" s="5" t="str">
        <f ca="1">IFERROR(__xludf.DUMMYFUNCTION("""COMPUTED_VALUE"""),"None")</f>
        <v>None</v>
      </c>
    </row>
    <row r="2071" spans="1:8" ht="13">
      <c r="A2071" s="5" t="str">
        <f ca="1">IFERROR(__xludf.DUMMYFUNCTION("""COMPUTED_VALUE"""),"19920207VABON")</f>
        <v>19920207VABON</v>
      </c>
      <c r="B2071" s="5"/>
      <c r="C2071" s="5" t="str">
        <f ca="1">IFERROR(__xludf.DUMMYFUNCTION("""COMPUTED_VALUE"""),"Male")</f>
        <v>Male</v>
      </c>
      <c r="D2071" s="5"/>
      <c r="E2071" s="5" t="str">
        <f ca="1">IFERROR(__xludf.DUMMYFUNCTION("""COMPUTED_VALUE"""),"No Relation")</f>
        <v>No Relation</v>
      </c>
      <c r="F2071" s="5" t="str">
        <f ca="1">IFERROR(__xludf.DUMMYFUNCTION("""COMPUTED_VALUE"""),"Fled/Escaped")</f>
        <v>Fled/Escaped</v>
      </c>
      <c r="G2071" s="5" t="str">
        <f ca="1">IFERROR(__xludf.DUMMYFUNCTION("""COMPUTED_VALUE"""),"No")</f>
        <v>No</v>
      </c>
      <c r="H2071" s="5" t="str">
        <f ca="1">IFERROR(__xludf.DUMMYFUNCTION("""COMPUTED_VALUE"""),"None")</f>
        <v>None</v>
      </c>
    </row>
    <row r="2072" spans="1:8" ht="13">
      <c r="A2072" s="5" t="str">
        <f ca="1">IFERROR(__xludf.DUMMYFUNCTION("""COMPUTED_VALUE"""),"19920206OKDOO")</f>
        <v>19920206OKDOO</v>
      </c>
      <c r="B2072" s="5">
        <f ca="1">IFERROR(__xludf.DUMMYFUNCTION("""COMPUTED_VALUE"""),14)</f>
        <v>14</v>
      </c>
      <c r="C2072" s="5" t="str">
        <f ca="1">IFERROR(__xludf.DUMMYFUNCTION("""COMPUTED_VALUE"""),"Male")</f>
        <v>Male</v>
      </c>
      <c r="D2072" s="5"/>
      <c r="E2072" s="5" t="str">
        <f ca="1">IFERROR(__xludf.DUMMYFUNCTION("""COMPUTED_VALUE"""),"Student")</f>
        <v>Student</v>
      </c>
      <c r="F2072" s="5" t="str">
        <f ca="1">IFERROR(__xludf.DUMMYFUNCTION("""COMPUTED_VALUE"""),"Unknown")</f>
        <v>Unknown</v>
      </c>
      <c r="G2072" s="5" t="str">
        <f ca="1">IFERROR(__xludf.DUMMYFUNCTION("""COMPUTED_VALUE"""),"No")</f>
        <v>No</v>
      </c>
      <c r="H2072" s="5" t="str">
        <f ca="1">IFERROR(__xludf.DUMMYFUNCTION("""COMPUTED_VALUE"""),"None")</f>
        <v>None</v>
      </c>
    </row>
    <row r="2073" spans="1:8" ht="13">
      <c r="A2073" s="5" t="str">
        <f ca="1">IFERROR(__xludf.DUMMYFUNCTION("""COMPUTED_VALUE"""),"19920131LAFRG")</f>
        <v>19920131LAFRG</v>
      </c>
      <c r="B2073" s="5" t="str">
        <f ca="1">IFERROR(__xludf.DUMMYFUNCTION("""COMPUTED_VALUE"""),"Teen")</f>
        <v>Teen</v>
      </c>
      <c r="C2073" s="5" t="str">
        <f ca="1">IFERROR(__xludf.DUMMYFUNCTION("""COMPUTED_VALUE"""),"Male")</f>
        <v>Male</v>
      </c>
      <c r="D2073" s="5"/>
      <c r="E2073" s="5" t="str">
        <f ca="1">IFERROR(__xludf.DUMMYFUNCTION("""COMPUTED_VALUE"""),"Student")</f>
        <v>Student</v>
      </c>
      <c r="F2073" s="5" t="str">
        <f ca="1">IFERROR(__xludf.DUMMYFUNCTION("""COMPUTED_VALUE"""),"Fled/Escaped")</f>
        <v>Fled/Escaped</v>
      </c>
      <c r="G2073" s="5" t="str">
        <f ca="1">IFERROR(__xludf.DUMMYFUNCTION("""COMPUTED_VALUE"""),"No")</f>
        <v>No</v>
      </c>
      <c r="H2073" s="5" t="str">
        <f ca="1">IFERROR(__xludf.DUMMYFUNCTION("""COMPUTED_VALUE"""),"None")</f>
        <v>None</v>
      </c>
    </row>
    <row r="2074" spans="1:8" ht="13">
      <c r="A2074" s="5" t="str">
        <f ca="1">IFERROR(__xludf.DUMMYFUNCTION("""COMPUTED_VALUE"""),"19920128LAFRG")</f>
        <v>19920128LAFRG</v>
      </c>
      <c r="B2074" s="5" t="str">
        <f ca="1">IFERROR(__xludf.DUMMYFUNCTION("""COMPUTED_VALUE"""),"Teen")</f>
        <v>Teen</v>
      </c>
      <c r="C2074" s="5" t="str">
        <f ca="1">IFERROR(__xludf.DUMMYFUNCTION("""COMPUTED_VALUE"""),"Male")</f>
        <v>Male</v>
      </c>
      <c r="D2074" s="5"/>
      <c r="E2074" s="5" t="str">
        <f ca="1">IFERROR(__xludf.DUMMYFUNCTION("""COMPUTED_VALUE"""),"Student")</f>
        <v>Student</v>
      </c>
      <c r="F2074" s="5" t="str">
        <f ca="1">IFERROR(__xludf.DUMMYFUNCTION("""COMPUTED_VALUE"""),"Fled/Escaped")</f>
        <v>Fled/Escaped</v>
      </c>
      <c r="G2074" s="5" t="str">
        <f ca="1">IFERROR(__xludf.DUMMYFUNCTION("""COMPUTED_VALUE"""),"No")</f>
        <v>No</v>
      </c>
      <c r="H2074" s="5" t="str">
        <f ca="1">IFERROR(__xludf.DUMMYFUNCTION("""COMPUTED_VALUE"""),"None")</f>
        <v>None</v>
      </c>
    </row>
    <row r="2075" spans="1:8" ht="13">
      <c r="A2075" s="5" t="str">
        <f ca="1">IFERROR(__xludf.DUMMYFUNCTION("""COMPUTED_VALUE"""),"19920117SCGRG")</f>
        <v>19920117SCGRG</v>
      </c>
      <c r="B2075" s="5">
        <f ca="1">IFERROR(__xludf.DUMMYFUNCTION("""COMPUTED_VALUE"""),16)</f>
        <v>16</v>
      </c>
      <c r="C2075" s="5" t="str">
        <f ca="1">IFERROR(__xludf.DUMMYFUNCTION("""COMPUTED_VALUE"""),"Male")</f>
        <v>Male</v>
      </c>
      <c r="D2075" s="5"/>
      <c r="E2075" s="5" t="str">
        <f ca="1">IFERROR(__xludf.DUMMYFUNCTION("""COMPUTED_VALUE"""),"Student")</f>
        <v>Student</v>
      </c>
      <c r="F2075" s="5" t="str">
        <f ca="1">IFERROR(__xludf.DUMMYFUNCTION("""COMPUTED_VALUE"""),"Fled/Apprehended")</f>
        <v>Fled/Apprehended</v>
      </c>
      <c r="G2075" s="5" t="str">
        <f ca="1">IFERROR(__xludf.DUMMYFUNCTION("""COMPUTED_VALUE"""),"No")</f>
        <v>No</v>
      </c>
      <c r="H2075" s="5" t="str">
        <f ca="1">IFERROR(__xludf.DUMMYFUNCTION("""COMPUTED_VALUE"""),"None")</f>
        <v>None</v>
      </c>
    </row>
    <row r="2076" spans="1:8" ht="13">
      <c r="A2076" s="5" t="str">
        <f ca="1">IFERROR(__xludf.DUMMYFUNCTION("""COMPUTED_VALUE"""),"19911226NCWHW")</f>
        <v>19911226NCWHW</v>
      </c>
      <c r="B2076" s="5">
        <f ca="1">IFERROR(__xludf.DUMMYFUNCTION("""COMPUTED_VALUE"""),18)</f>
        <v>18</v>
      </c>
      <c r="C2076" s="5" t="str">
        <f ca="1">IFERROR(__xludf.DUMMYFUNCTION("""COMPUTED_VALUE"""),"Male")</f>
        <v>Male</v>
      </c>
      <c r="D2076" s="5"/>
      <c r="E2076" s="5" t="str">
        <f ca="1">IFERROR(__xludf.DUMMYFUNCTION("""COMPUTED_VALUE"""),"Nonstudent Using Athletic Facilities/Attending Game")</f>
        <v>Nonstudent Using Athletic Facilities/Attending Game</v>
      </c>
      <c r="F2076" s="5" t="str">
        <f ca="1">IFERROR(__xludf.DUMMYFUNCTION("""COMPUTED_VALUE"""),"Fled/Apprehended")</f>
        <v>Fled/Apprehended</v>
      </c>
      <c r="G2076" s="5" t="str">
        <f ca="1">IFERROR(__xludf.DUMMYFUNCTION("""COMPUTED_VALUE"""),"No")</f>
        <v>No</v>
      </c>
      <c r="H2076" s="5" t="str">
        <f ca="1">IFERROR(__xludf.DUMMYFUNCTION("""COMPUTED_VALUE"""),"None")</f>
        <v>None</v>
      </c>
    </row>
    <row r="2077" spans="1:8" ht="13">
      <c r="A2077" s="5" t="str">
        <f ca="1">IFERROR(__xludf.DUMMYFUNCTION("""COMPUTED_VALUE"""),"19911125NYTHB")</f>
        <v>19911125NYTHB</v>
      </c>
      <c r="B2077" s="5">
        <f ca="1">IFERROR(__xludf.DUMMYFUNCTION("""COMPUTED_VALUE"""),14)</f>
        <v>14</v>
      </c>
      <c r="C2077" s="5" t="str">
        <f ca="1">IFERROR(__xludf.DUMMYFUNCTION("""COMPUTED_VALUE"""),"Male")</f>
        <v>Male</v>
      </c>
      <c r="D2077" s="5" t="str">
        <f ca="1">IFERROR(__xludf.DUMMYFUNCTION("""COMPUTED_VALUE"""),"Black")</f>
        <v>Black</v>
      </c>
      <c r="E2077" s="5" t="str">
        <f ca="1">IFERROR(__xludf.DUMMYFUNCTION("""COMPUTED_VALUE"""),"Student")</f>
        <v>Student</v>
      </c>
      <c r="F2077" s="5" t="str">
        <f ca="1">IFERROR(__xludf.DUMMYFUNCTION("""COMPUTED_VALUE"""),"Fled/Apprehended")</f>
        <v>Fled/Apprehended</v>
      </c>
      <c r="G2077" s="5" t="str">
        <f ca="1">IFERROR(__xludf.DUMMYFUNCTION("""COMPUTED_VALUE"""),"No")</f>
        <v>No</v>
      </c>
      <c r="H2077" s="5" t="str">
        <f ca="1">IFERROR(__xludf.DUMMYFUNCTION("""COMPUTED_VALUE"""),"None")</f>
        <v>None</v>
      </c>
    </row>
    <row r="2078" spans="1:8" ht="13">
      <c r="A2078" s="5" t="str">
        <f ca="1">IFERROR(__xludf.DUMMYFUNCTION("""COMPUTED_VALUE"""),"19911114TXMIH")</f>
        <v>19911114TXMIH</v>
      </c>
      <c r="B2078" s="5">
        <f ca="1">IFERROR(__xludf.DUMMYFUNCTION("""COMPUTED_VALUE"""),16)</f>
        <v>16</v>
      </c>
      <c r="C2078" s="5" t="str">
        <f ca="1">IFERROR(__xludf.DUMMYFUNCTION("""COMPUTED_VALUE"""),"Male")</f>
        <v>Male</v>
      </c>
      <c r="D2078" s="5"/>
      <c r="E2078" s="5" t="str">
        <f ca="1">IFERROR(__xludf.DUMMYFUNCTION("""COMPUTED_VALUE"""),"Student")</f>
        <v>Student</v>
      </c>
      <c r="F2078" s="5" t="str">
        <f ca="1">IFERROR(__xludf.DUMMYFUNCTION("""COMPUTED_VALUE"""),"Apprehended/Killed by SRO")</f>
        <v>Apprehended/Killed by SRO</v>
      </c>
      <c r="G2078" s="5" t="str">
        <f ca="1">IFERROR(__xludf.DUMMYFUNCTION("""COMPUTED_VALUE"""),"No")</f>
        <v>No</v>
      </c>
      <c r="H2078" s="5" t="str">
        <f ca="1">IFERROR(__xludf.DUMMYFUNCTION("""COMPUTED_VALUE"""),"None")</f>
        <v>None</v>
      </c>
    </row>
    <row r="2079" spans="1:8" ht="13">
      <c r="A2079" s="5" t="str">
        <f ca="1">IFERROR(__xludf.DUMMYFUNCTION("""COMPUTED_VALUE"""),"19911111TXYSE")</f>
        <v>19911111TXYSE</v>
      </c>
      <c r="B2079" s="5">
        <f ca="1">IFERROR(__xludf.DUMMYFUNCTION("""COMPUTED_VALUE"""),19)</f>
        <v>19</v>
      </c>
      <c r="C2079" s="5" t="str">
        <f ca="1">IFERROR(__xludf.DUMMYFUNCTION("""COMPUTED_VALUE"""),"Male")</f>
        <v>Male</v>
      </c>
      <c r="D2079" s="5"/>
      <c r="E2079" s="5" t="str">
        <f ca="1">IFERROR(__xludf.DUMMYFUNCTION("""COMPUTED_VALUE"""),"Former Student")</f>
        <v>Former Student</v>
      </c>
      <c r="F2079" s="5" t="str">
        <f ca="1">IFERROR(__xludf.DUMMYFUNCTION("""COMPUTED_VALUE"""),"Fled/Apprehended")</f>
        <v>Fled/Apprehended</v>
      </c>
      <c r="G2079" s="5" t="str">
        <f ca="1">IFERROR(__xludf.DUMMYFUNCTION("""COMPUTED_VALUE"""),"No")</f>
        <v>No</v>
      </c>
      <c r="H2079" s="5" t="str">
        <f ca="1">IFERROR(__xludf.DUMMYFUNCTION("""COMPUTED_VALUE"""),"None")</f>
        <v>None</v>
      </c>
    </row>
    <row r="2080" spans="1:8" ht="13">
      <c r="A2080" s="5" t="str">
        <f ca="1">IFERROR(__xludf.DUMMYFUNCTION("""COMPUTED_VALUE"""),"19911111TXYSE")</f>
        <v>19911111TXYSE</v>
      </c>
      <c r="B2080" s="5">
        <f ca="1">IFERROR(__xludf.DUMMYFUNCTION("""COMPUTED_VALUE"""),17)</f>
        <v>17</v>
      </c>
      <c r="C2080" s="5" t="str">
        <f ca="1">IFERROR(__xludf.DUMMYFUNCTION("""COMPUTED_VALUE"""),"Male")</f>
        <v>Male</v>
      </c>
      <c r="D2080" s="5"/>
      <c r="E2080" s="5" t="str">
        <f ca="1">IFERROR(__xludf.DUMMYFUNCTION("""COMPUTED_VALUE"""),"Former Student")</f>
        <v>Former Student</v>
      </c>
      <c r="F2080" s="5" t="str">
        <f ca="1">IFERROR(__xludf.DUMMYFUNCTION("""COMPUTED_VALUE"""),"Fled/Apprehended")</f>
        <v>Fled/Apprehended</v>
      </c>
      <c r="G2080" s="5" t="str">
        <f ca="1">IFERROR(__xludf.DUMMYFUNCTION("""COMPUTED_VALUE"""),"No")</f>
        <v>No</v>
      </c>
      <c r="H2080" s="5" t="str">
        <f ca="1">IFERROR(__xludf.DUMMYFUNCTION("""COMPUTED_VALUE"""),"None")</f>
        <v>None</v>
      </c>
    </row>
    <row r="2081" spans="1:8" ht="13">
      <c r="A2081" s="5" t="str">
        <f ca="1">IFERROR(__xludf.DUMMYFUNCTION("""COMPUTED_VALUE"""),"19911111TXYSE")</f>
        <v>19911111TXYSE</v>
      </c>
      <c r="B2081" s="5">
        <f ca="1">IFERROR(__xludf.DUMMYFUNCTION("""COMPUTED_VALUE"""),18)</f>
        <v>18</v>
      </c>
      <c r="C2081" s="5" t="str">
        <f ca="1">IFERROR(__xludf.DUMMYFUNCTION("""COMPUTED_VALUE"""),"Male")</f>
        <v>Male</v>
      </c>
      <c r="D2081" s="5"/>
      <c r="E2081" s="5" t="str">
        <f ca="1">IFERROR(__xludf.DUMMYFUNCTION("""COMPUTED_VALUE"""),"Former Student")</f>
        <v>Former Student</v>
      </c>
      <c r="F2081" s="5" t="str">
        <f ca="1">IFERROR(__xludf.DUMMYFUNCTION("""COMPUTED_VALUE"""),"Fled/Apprehended")</f>
        <v>Fled/Apprehended</v>
      </c>
      <c r="G2081" s="5" t="str">
        <f ca="1">IFERROR(__xludf.DUMMYFUNCTION("""COMPUTED_VALUE"""),"No")</f>
        <v>No</v>
      </c>
      <c r="H2081" s="5" t="str">
        <f ca="1">IFERROR(__xludf.DUMMYFUNCTION("""COMPUTED_VALUE"""),"None")</f>
        <v>None</v>
      </c>
    </row>
    <row r="2082" spans="1:8" ht="13">
      <c r="A2082" s="5" t="str">
        <f ca="1">IFERROR(__xludf.DUMMYFUNCTION("""COMPUTED_VALUE"""),"19911111TXYSE")</f>
        <v>19911111TXYSE</v>
      </c>
      <c r="B2082" s="5">
        <f ca="1">IFERROR(__xludf.DUMMYFUNCTION("""COMPUTED_VALUE"""),17)</f>
        <v>17</v>
      </c>
      <c r="C2082" s="5" t="str">
        <f ca="1">IFERROR(__xludf.DUMMYFUNCTION("""COMPUTED_VALUE"""),"Male")</f>
        <v>Male</v>
      </c>
      <c r="D2082" s="5"/>
      <c r="E2082" s="5" t="str">
        <f ca="1">IFERROR(__xludf.DUMMYFUNCTION("""COMPUTED_VALUE"""),"Former Student")</f>
        <v>Former Student</v>
      </c>
      <c r="F2082" s="5" t="str">
        <f ca="1">IFERROR(__xludf.DUMMYFUNCTION("""COMPUTED_VALUE"""),"Fled/Apprehended")</f>
        <v>Fled/Apprehended</v>
      </c>
      <c r="G2082" s="5" t="str">
        <f ca="1">IFERROR(__xludf.DUMMYFUNCTION("""COMPUTED_VALUE"""),"No")</f>
        <v>No</v>
      </c>
      <c r="H2082" s="5" t="str">
        <f ca="1">IFERROR(__xludf.DUMMYFUNCTION("""COMPUTED_VALUE"""),"None")</f>
        <v>None</v>
      </c>
    </row>
    <row r="2083" spans="1:8" ht="13">
      <c r="A2083" s="5" t="str">
        <f ca="1">IFERROR(__xludf.DUMMYFUNCTION("""COMPUTED_VALUE"""),"19911106LAWAN")</f>
        <v>19911106LAWAN</v>
      </c>
      <c r="B2083" s="5">
        <f ca="1">IFERROR(__xludf.DUMMYFUNCTION("""COMPUTED_VALUE"""),18)</f>
        <v>18</v>
      </c>
      <c r="C2083" s="5" t="str">
        <f ca="1">IFERROR(__xludf.DUMMYFUNCTION("""COMPUTED_VALUE"""),"Male")</f>
        <v>Male</v>
      </c>
      <c r="D2083" s="5" t="str">
        <f ca="1">IFERROR(__xludf.DUMMYFUNCTION("""COMPUTED_VALUE"""),"Black")</f>
        <v>Black</v>
      </c>
      <c r="E2083" s="5" t="str">
        <f ca="1">IFERROR(__xludf.DUMMYFUNCTION("""COMPUTED_VALUE"""),"Student")</f>
        <v>Student</v>
      </c>
      <c r="F2083" s="5" t="str">
        <f ca="1">IFERROR(__xludf.DUMMYFUNCTION("""COMPUTED_VALUE"""),"Fled/Escaped")</f>
        <v>Fled/Escaped</v>
      </c>
      <c r="G2083" s="5" t="str">
        <f ca="1">IFERROR(__xludf.DUMMYFUNCTION("""COMPUTED_VALUE"""),"No")</f>
        <v>No</v>
      </c>
      <c r="H2083" s="5" t="str">
        <f ca="1">IFERROR(__xludf.DUMMYFUNCTION("""COMPUTED_VALUE"""),"None")</f>
        <v>None</v>
      </c>
    </row>
    <row r="2084" spans="1:8" ht="13">
      <c r="A2084" s="5" t="str">
        <f ca="1">IFERROR(__xludf.DUMMYFUNCTION("""COMPUTED_VALUE"""),"19911023TXOAD")</f>
        <v>19911023TXOAD</v>
      </c>
      <c r="B2084" s="5">
        <f ca="1">IFERROR(__xludf.DUMMYFUNCTION("""COMPUTED_VALUE"""),18)</f>
        <v>18</v>
      </c>
      <c r="C2084" s="5" t="str">
        <f ca="1">IFERROR(__xludf.DUMMYFUNCTION("""COMPUTED_VALUE"""),"Male")</f>
        <v>Male</v>
      </c>
      <c r="D2084" s="5"/>
      <c r="E2084" s="5" t="str">
        <f ca="1">IFERROR(__xludf.DUMMYFUNCTION("""COMPUTED_VALUE"""),"Relative")</f>
        <v>Relative</v>
      </c>
      <c r="F2084" s="5" t="str">
        <f ca="1">IFERROR(__xludf.DUMMYFUNCTION("""COMPUTED_VALUE"""),"Fled/Apprehended")</f>
        <v>Fled/Apprehended</v>
      </c>
      <c r="G2084" s="5" t="str">
        <f ca="1">IFERROR(__xludf.DUMMYFUNCTION("""COMPUTED_VALUE"""),"No")</f>
        <v>No</v>
      </c>
      <c r="H2084" s="5" t="str">
        <f ca="1">IFERROR(__xludf.DUMMYFUNCTION("""COMPUTED_VALUE"""),"None")</f>
        <v>None</v>
      </c>
    </row>
    <row r="2085" spans="1:8" ht="13">
      <c r="A2085" s="5" t="str">
        <f ca="1">IFERROR(__xludf.DUMMYFUNCTION("""COMPUTED_VALUE"""),"19911015TXGEP")</f>
        <v>19911015TXGEP</v>
      </c>
      <c r="B2085" s="5">
        <f ca="1">IFERROR(__xludf.DUMMYFUNCTION("""COMPUTED_VALUE"""),13)</f>
        <v>13</v>
      </c>
      <c r="C2085" s="5" t="str">
        <f ca="1">IFERROR(__xludf.DUMMYFUNCTION("""COMPUTED_VALUE"""),"Male")</f>
        <v>Male</v>
      </c>
      <c r="D2085" s="5"/>
      <c r="E2085" s="5" t="str">
        <f ca="1">IFERROR(__xludf.DUMMYFUNCTION("""COMPUTED_VALUE"""),"No Relation")</f>
        <v>No Relation</v>
      </c>
      <c r="F2085" s="5" t="str">
        <f ca="1">IFERROR(__xludf.DUMMYFUNCTION("""COMPUTED_VALUE"""),"Unknown")</f>
        <v>Unknown</v>
      </c>
      <c r="G2085" s="5" t="str">
        <f ca="1">IFERROR(__xludf.DUMMYFUNCTION("""COMPUTED_VALUE"""),"No")</f>
        <v>No</v>
      </c>
      <c r="H2085" s="5" t="str">
        <f ca="1">IFERROR(__xludf.DUMMYFUNCTION("""COMPUTED_VALUE"""),"None")</f>
        <v>None</v>
      </c>
    </row>
    <row r="2086" spans="1:8" ht="13">
      <c r="A2086" s="5" t="str">
        <f ca="1">IFERROR(__xludf.DUMMYFUNCTION("""COMPUTED_VALUE"""),"19911015SCWOW")</f>
        <v>19911015SCWOW</v>
      </c>
      <c r="B2086" s="5">
        <f ca="1">IFERROR(__xludf.DUMMYFUNCTION("""COMPUTED_VALUE"""),15)</f>
        <v>15</v>
      </c>
      <c r="C2086" s="5" t="str">
        <f ca="1">IFERROR(__xludf.DUMMYFUNCTION("""COMPUTED_VALUE"""),"Male")</f>
        <v>Male</v>
      </c>
      <c r="D2086" s="5"/>
      <c r="E2086" s="5" t="str">
        <f ca="1">IFERROR(__xludf.DUMMYFUNCTION("""COMPUTED_VALUE"""),"Student")</f>
        <v>Student</v>
      </c>
      <c r="F2086" s="5" t="str">
        <f ca="1">IFERROR(__xludf.DUMMYFUNCTION("""COMPUTED_VALUE"""),"Fled/Apprehended")</f>
        <v>Fled/Apprehended</v>
      </c>
      <c r="G2086" s="5" t="str">
        <f ca="1">IFERROR(__xludf.DUMMYFUNCTION("""COMPUTED_VALUE"""),"No")</f>
        <v>No</v>
      </c>
      <c r="H2086" s="5" t="str">
        <f ca="1">IFERROR(__xludf.DUMMYFUNCTION("""COMPUTED_VALUE"""),"None")</f>
        <v>None</v>
      </c>
    </row>
    <row r="2087" spans="1:8" ht="13">
      <c r="A2087" s="5" t="str">
        <f ca="1">IFERROR(__xludf.DUMMYFUNCTION("""COMPUTED_VALUE"""),"19911015NHMOS")</f>
        <v>19911015NHMOS</v>
      </c>
      <c r="B2087" s="5">
        <f ca="1">IFERROR(__xludf.DUMMYFUNCTION("""COMPUTED_VALUE"""),16)</f>
        <v>16</v>
      </c>
      <c r="C2087" s="5" t="str">
        <f ca="1">IFERROR(__xludf.DUMMYFUNCTION("""COMPUTED_VALUE"""),"Male")</f>
        <v>Male</v>
      </c>
      <c r="D2087" s="5"/>
      <c r="E2087" s="5" t="str">
        <f ca="1">IFERROR(__xludf.DUMMYFUNCTION("""COMPUTED_VALUE"""),"Former Student")</f>
        <v>Former Student</v>
      </c>
      <c r="F2087" s="5" t="str">
        <f ca="1">IFERROR(__xludf.DUMMYFUNCTION("""COMPUTED_VALUE"""),"Apprehended/Killed by LE")</f>
        <v>Apprehended/Killed by LE</v>
      </c>
      <c r="G2087" s="5" t="str">
        <f ca="1">IFERROR(__xludf.DUMMYFUNCTION("""COMPUTED_VALUE"""),"No")</f>
        <v>No</v>
      </c>
      <c r="H2087" s="5" t="str">
        <f ca="1">IFERROR(__xludf.DUMMYFUNCTION("""COMPUTED_VALUE"""),"None")</f>
        <v>None</v>
      </c>
    </row>
    <row r="2088" spans="1:8" ht="13">
      <c r="A2088" s="5" t="str">
        <f ca="1">IFERROR(__xludf.DUMMYFUNCTION("""COMPUTED_VALUE"""),"19911011MAMAR")</f>
        <v>19911011MAMAR</v>
      </c>
      <c r="B2088" s="5">
        <f ca="1">IFERROR(__xludf.DUMMYFUNCTION("""COMPUTED_VALUE"""),18)</f>
        <v>18</v>
      </c>
      <c r="C2088" s="5" t="str">
        <f ca="1">IFERROR(__xludf.DUMMYFUNCTION("""COMPUTED_VALUE"""),"Male")</f>
        <v>Male</v>
      </c>
      <c r="D2088" s="5" t="str">
        <f ca="1">IFERROR(__xludf.DUMMYFUNCTION("""COMPUTED_VALUE"""),"Black")</f>
        <v>Black</v>
      </c>
      <c r="E2088" s="5" t="str">
        <f ca="1">IFERROR(__xludf.DUMMYFUNCTION("""COMPUTED_VALUE"""),"Unknown")</f>
        <v>Unknown</v>
      </c>
      <c r="F2088" s="5" t="str">
        <f ca="1">IFERROR(__xludf.DUMMYFUNCTION("""COMPUTED_VALUE"""),"Fled/Escaped")</f>
        <v>Fled/Escaped</v>
      </c>
      <c r="G2088" s="5" t="str">
        <f ca="1">IFERROR(__xludf.DUMMYFUNCTION("""COMPUTED_VALUE"""),"No")</f>
        <v>No</v>
      </c>
      <c r="H2088" s="5" t="str">
        <f ca="1">IFERROR(__xludf.DUMMYFUNCTION("""COMPUTED_VALUE"""),"None")</f>
        <v>None</v>
      </c>
    </row>
    <row r="2089" spans="1:8" ht="13">
      <c r="A2089" s="5" t="str">
        <f ca="1">IFERROR(__xludf.DUMMYFUNCTION("""COMPUTED_VALUE"""),"19911009NYJAB")</f>
        <v>19911009NYJAB</v>
      </c>
      <c r="B2089" s="5"/>
      <c r="C2089" s="5" t="str">
        <f ca="1">IFERROR(__xludf.DUMMYFUNCTION("""COMPUTED_VALUE"""),"Male")</f>
        <v>Male</v>
      </c>
      <c r="D2089" s="5"/>
      <c r="E2089" s="5" t="str">
        <f ca="1">IFERROR(__xludf.DUMMYFUNCTION("""COMPUTED_VALUE"""),"Unknown")</f>
        <v>Unknown</v>
      </c>
      <c r="F2089" s="5" t="str">
        <f ca="1">IFERROR(__xludf.DUMMYFUNCTION("""COMPUTED_VALUE"""),"Fled/Escaped")</f>
        <v>Fled/Escaped</v>
      </c>
      <c r="G2089" s="5" t="str">
        <f ca="1">IFERROR(__xludf.DUMMYFUNCTION("""COMPUTED_VALUE"""),"No")</f>
        <v>No</v>
      </c>
      <c r="H2089" s="5" t="str">
        <f ca="1">IFERROR(__xludf.DUMMYFUNCTION("""COMPUTED_VALUE"""),"None")</f>
        <v>None</v>
      </c>
    </row>
    <row r="2090" spans="1:8" ht="13">
      <c r="A2090" s="5" t="str">
        <f ca="1">IFERROR(__xludf.DUMMYFUNCTION("""COMPUTED_VALUE"""),"19911004CAROL")</f>
        <v>19911004CAROL</v>
      </c>
      <c r="B2090" s="5"/>
      <c r="C2090" s="5"/>
      <c r="D2090" s="5"/>
      <c r="E2090" s="5" t="str">
        <f ca="1">IFERROR(__xludf.DUMMYFUNCTION("""COMPUTED_VALUE"""),"Nonstudent Using Athletic Facilities/Attending Game")</f>
        <v>Nonstudent Using Athletic Facilities/Attending Game</v>
      </c>
      <c r="F2090" s="5" t="str">
        <f ca="1">IFERROR(__xludf.DUMMYFUNCTION("""COMPUTED_VALUE"""),"Fled/Escaped")</f>
        <v>Fled/Escaped</v>
      </c>
      <c r="G2090" s="5" t="str">
        <f ca="1">IFERROR(__xludf.DUMMYFUNCTION("""COMPUTED_VALUE"""),"No")</f>
        <v>No</v>
      </c>
      <c r="H2090" s="5" t="str">
        <f ca="1">IFERROR(__xludf.DUMMYFUNCTION("""COMPUTED_VALUE"""),"None")</f>
        <v>None</v>
      </c>
    </row>
    <row r="2091" spans="1:8" ht="13">
      <c r="A2091" s="5" t="str">
        <f ca="1">IFERROR(__xludf.DUMMYFUNCTION("""COMPUTED_VALUE"""),"19911004CADOL")</f>
        <v>19911004CADOL</v>
      </c>
      <c r="B2091" s="5"/>
      <c r="C2091" s="5"/>
      <c r="D2091" s="5"/>
      <c r="E2091" s="5" t="str">
        <f ca="1">IFERROR(__xludf.DUMMYFUNCTION("""COMPUTED_VALUE"""),"Unknown")</f>
        <v>Unknown</v>
      </c>
      <c r="F2091" s="5" t="str">
        <f ca="1">IFERROR(__xludf.DUMMYFUNCTION("""COMPUTED_VALUE"""),"Fled/Escaped")</f>
        <v>Fled/Escaped</v>
      </c>
      <c r="G2091" s="5" t="str">
        <f ca="1">IFERROR(__xludf.DUMMYFUNCTION("""COMPUTED_VALUE"""),"No")</f>
        <v>No</v>
      </c>
      <c r="H2091" s="5" t="str">
        <f ca="1">IFERROR(__xludf.DUMMYFUNCTION("""COMPUTED_VALUE"""),"None")</f>
        <v>None</v>
      </c>
    </row>
    <row r="2092" spans="1:8" ht="13">
      <c r="A2092" s="5" t="str">
        <f ca="1">IFERROR(__xludf.DUMMYFUNCTION("""COMPUTED_VALUE"""),"19911002TXSPH")</f>
        <v>19911002TXSPH</v>
      </c>
      <c r="B2092" s="5">
        <f ca="1">IFERROR(__xludf.DUMMYFUNCTION("""COMPUTED_VALUE"""),16)</f>
        <v>16</v>
      </c>
      <c r="C2092" s="5" t="str">
        <f ca="1">IFERROR(__xludf.DUMMYFUNCTION("""COMPUTED_VALUE"""),"Male")</f>
        <v>Male</v>
      </c>
      <c r="D2092" s="5"/>
      <c r="E2092" s="5" t="str">
        <f ca="1">IFERROR(__xludf.DUMMYFUNCTION("""COMPUTED_VALUE"""),"Student")</f>
        <v>Student</v>
      </c>
      <c r="F2092" s="5" t="str">
        <f ca="1">IFERROR(__xludf.DUMMYFUNCTION("""COMPUTED_VALUE"""),"Fled/Escaped")</f>
        <v>Fled/Escaped</v>
      </c>
      <c r="G2092" s="5" t="str">
        <f ca="1">IFERROR(__xludf.DUMMYFUNCTION("""COMPUTED_VALUE"""),"No")</f>
        <v>No</v>
      </c>
      <c r="H2092" s="5" t="str">
        <f ca="1">IFERROR(__xludf.DUMMYFUNCTION("""COMPUTED_VALUE"""),"None")</f>
        <v>None</v>
      </c>
    </row>
    <row r="2093" spans="1:8" ht="13">
      <c r="A2093" s="5" t="str">
        <f ca="1">IFERROR(__xludf.DUMMYFUNCTION("""COMPUTED_VALUE"""),"19910918TXCRC")</f>
        <v>19910918TXCRC</v>
      </c>
      <c r="B2093" s="5">
        <f ca="1">IFERROR(__xludf.DUMMYFUNCTION("""COMPUTED_VALUE"""),15)</f>
        <v>15</v>
      </c>
      <c r="C2093" s="5" t="str">
        <f ca="1">IFERROR(__xludf.DUMMYFUNCTION("""COMPUTED_VALUE"""),"Female")</f>
        <v>Female</v>
      </c>
      <c r="D2093" s="5" t="str">
        <f ca="1">IFERROR(__xludf.DUMMYFUNCTION("""COMPUTED_VALUE"""),"Black")</f>
        <v>Black</v>
      </c>
      <c r="E2093" s="5" t="str">
        <f ca="1">IFERROR(__xludf.DUMMYFUNCTION("""COMPUTED_VALUE"""),"Student")</f>
        <v>Student</v>
      </c>
      <c r="F2093" s="5" t="str">
        <f ca="1">IFERROR(__xludf.DUMMYFUNCTION("""COMPUTED_VALUE"""),"Unknown")</f>
        <v>Unknown</v>
      </c>
      <c r="G2093" s="5" t="str">
        <f ca="1">IFERROR(__xludf.DUMMYFUNCTION("""COMPUTED_VALUE"""),"No")</f>
        <v>No</v>
      </c>
      <c r="H2093" s="5" t="str">
        <f ca="1">IFERROR(__xludf.DUMMYFUNCTION("""COMPUTED_VALUE"""),"None")</f>
        <v>None</v>
      </c>
    </row>
    <row r="2094" spans="1:8" ht="13">
      <c r="A2094" s="5" t="str">
        <f ca="1">IFERROR(__xludf.DUMMYFUNCTION("""COMPUTED_VALUE"""),"19910917ILWOC")</f>
        <v>19910917ILWOC</v>
      </c>
      <c r="B2094" s="5">
        <f ca="1">IFERROR(__xludf.DUMMYFUNCTION("""COMPUTED_VALUE"""),14)</f>
        <v>14</v>
      </c>
      <c r="C2094" s="5" t="str">
        <f ca="1">IFERROR(__xludf.DUMMYFUNCTION("""COMPUTED_VALUE"""),"Male")</f>
        <v>Male</v>
      </c>
      <c r="D2094" s="5" t="str">
        <f ca="1">IFERROR(__xludf.DUMMYFUNCTION("""COMPUTED_VALUE"""),"Black")</f>
        <v>Black</v>
      </c>
      <c r="E2094" s="5" t="str">
        <f ca="1">IFERROR(__xludf.DUMMYFUNCTION("""COMPUTED_VALUE"""),"Student")</f>
        <v>Student</v>
      </c>
      <c r="F2094" s="5" t="str">
        <f ca="1">IFERROR(__xludf.DUMMYFUNCTION("""COMPUTED_VALUE"""),"Fled/Apprehended")</f>
        <v>Fled/Apprehended</v>
      </c>
      <c r="G2094" s="5" t="str">
        <f ca="1">IFERROR(__xludf.DUMMYFUNCTION("""COMPUTED_VALUE"""),"No")</f>
        <v>No</v>
      </c>
      <c r="H2094" s="5" t="str">
        <f ca="1">IFERROR(__xludf.DUMMYFUNCTION("""COMPUTED_VALUE"""),"None")</f>
        <v>None</v>
      </c>
    </row>
    <row r="2095" spans="1:8" ht="13">
      <c r="A2095" s="5" t="str">
        <f ca="1">IFERROR(__xludf.DUMMYFUNCTION("""COMPUTED_VALUE"""),"19910913TXMAH")</f>
        <v>19910913TXMAH</v>
      </c>
      <c r="B2095" s="5"/>
      <c r="C2095" s="5"/>
      <c r="D2095" s="5"/>
      <c r="E2095" s="5" t="str">
        <f ca="1">IFERROR(__xludf.DUMMYFUNCTION("""COMPUTED_VALUE"""),"Nonstudent Using Athletic Facilities/Attending Game")</f>
        <v>Nonstudent Using Athletic Facilities/Attending Game</v>
      </c>
      <c r="F2095" s="5" t="str">
        <f ca="1">IFERROR(__xludf.DUMMYFUNCTION("""COMPUTED_VALUE"""),"Fled/Escaped")</f>
        <v>Fled/Escaped</v>
      </c>
      <c r="G2095" s="5" t="str">
        <f ca="1">IFERROR(__xludf.DUMMYFUNCTION("""COMPUTED_VALUE"""),"No")</f>
        <v>No</v>
      </c>
      <c r="H2095" s="5" t="str">
        <f ca="1">IFERROR(__xludf.DUMMYFUNCTION("""COMPUTED_VALUE"""),"None")</f>
        <v>None</v>
      </c>
    </row>
    <row r="2096" spans="1:8" ht="13">
      <c r="A2096" s="5" t="str">
        <f ca="1">IFERROR(__xludf.DUMMYFUNCTION("""COMPUTED_VALUE"""),"19910730CAENC")</f>
        <v>19910730CAENC</v>
      </c>
      <c r="B2096" s="5"/>
      <c r="C2096" s="5" t="str">
        <f ca="1">IFERROR(__xludf.DUMMYFUNCTION("""COMPUTED_VALUE"""),"Male")</f>
        <v>Male</v>
      </c>
      <c r="D2096" s="5"/>
      <c r="E2096" s="5" t="str">
        <f ca="1">IFERROR(__xludf.DUMMYFUNCTION("""COMPUTED_VALUE"""),"Student")</f>
        <v>Student</v>
      </c>
      <c r="F2096" s="5" t="str">
        <f ca="1">IFERROR(__xludf.DUMMYFUNCTION("""COMPUTED_VALUE"""),"Fled/Escaped")</f>
        <v>Fled/Escaped</v>
      </c>
      <c r="G2096" s="5" t="str">
        <f ca="1">IFERROR(__xludf.DUMMYFUNCTION("""COMPUTED_VALUE"""),"No")</f>
        <v>No</v>
      </c>
      <c r="H2096" s="5" t="str">
        <f ca="1">IFERROR(__xludf.DUMMYFUNCTION("""COMPUTED_VALUE"""),"None")</f>
        <v>None</v>
      </c>
    </row>
    <row r="2097" spans="1:8" ht="13">
      <c r="A2097" s="5" t="str">
        <f ca="1">IFERROR(__xludf.DUMMYFUNCTION("""COMPUTED_VALUE"""),"19910722CAWEL")</f>
        <v>19910722CAWEL</v>
      </c>
      <c r="B2097" s="5"/>
      <c r="C2097" s="5" t="str">
        <f ca="1">IFERROR(__xludf.DUMMYFUNCTION("""COMPUTED_VALUE"""),"Male")</f>
        <v>Male</v>
      </c>
      <c r="D2097" s="5"/>
      <c r="E2097" s="5" t="str">
        <f ca="1">IFERROR(__xludf.DUMMYFUNCTION("""COMPUTED_VALUE"""),"Unknown")</f>
        <v>Unknown</v>
      </c>
      <c r="F2097" s="5" t="str">
        <f ca="1">IFERROR(__xludf.DUMMYFUNCTION("""COMPUTED_VALUE"""),"Fled/Escaped")</f>
        <v>Fled/Escaped</v>
      </c>
      <c r="G2097" s="5" t="str">
        <f ca="1">IFERROR(__xludf.DUMMYFUNCTION("""COMPUTED_VALUE"""),"No")</f>
        <v>No</v>
      </c>
      <c r="H2097" s="5" t="str">
        <f ca="1">IFERROR(__xludf.DUMMYFUNCTION("""COMPUTED_VALUE"""),"None")</f>
        <v>None</v>
      </c>
    </row>
    <row r="2098" spans="1:8" ht="13">
      <c r="A2098" s="5" t="str">
        <f ca="1">IFERROR(__xludf.DUMMYFUNCTION("""COMPUTED_VALUE"""),"19910521FLSCP")</f>
        <v>19910521FLSCP</v>
      </c>
      <c r="B2098" s="5">
        <f ca="1">IFERROR(__xludf.DUMMYFUNCTION("""COMPUTED_VALUE"""),18)</f>
        <v>18</v>
      </c>
      <c r="C2098" s="5" t="str">
        <f ca="1">IFERROR(__xludf.DUMMYFUNCTION("""COMPUTED_VALUE"""),"Male")</f>
        <v>Male</v>
      </c>
      <c r="D2098" s="5"/>
      <c r="E2098" s="5" t="str">
        <f ca="1">IFERROR(__xludf.DUMMYFUNCTION("""COMPUTED_VALUE"""),"Student")</f>
        <v>Student</v>
      </c>
      <c r="F2098" s="5" t="str">
        <f ca="1">IFERROR(__xludf.DUMMYFUNCTION("""COMPUTED_VALUE"""),"Subdued by Students/Staff/Other")</f>
        <v>Subdued by Students/Staff/Other</v>
      </c>
      <c r="G2098" s="5" t="str">
        <f ca="1">IFERROR(__xludf.DUMMYFUNCTION("""COMPUTED_VALUE"""),"No")</f>
        <v>No</v>
      </c>
      <c r="H2098" s="5" t="str">
        <f ca="1">IFERROR(__xludf.DUMMYFUNCTION("""COMPUTED_VALUE"""),"None")</f>
        <v>None</v>
      </c>
    </row>
    <row r="2099" spans="1:8" ht="13">
      <c r="A2099" s="5" t="str">
        <f ca="1">IFERROR(__xludf.DUMMYFUNCTION("""COMPUTED_VALUE"""),"19910521CAROS")</f>
        <v>19910521CAROS</v>
      </c>
      <c r="B2099" s="5">
        <f ca="1">IFERROR(__xludf.DUMMYFUNCTION("""COMPUTED_VALUE"""),20)</f>
        <v>20</v>
      </c>
      <c r="C2099" s="5" t="str">
        <f ca="1">IFERROR(__xludf.DUMMYFUNCTION("""COMPUTED_VALUE"""),"Male")</f>
        <v>Male</v>
      </c>
      <c r="D2099" s="5" t="str">
        <f ca="1">IFERROR(__xludf.DUMMYFUNCTION("""COMPUTED_VALUE"""),"Hispanic")</f>
        <v>Hispanic</v>
      </c>
      <c r="E2099" s="5" t="str">
        <f ca="1">IFERROR(__xludf.DUMMYFUNCTION("""COMPUTED_VALUE"""),"No Relation")</f>
        <v>No Relation</v>
      </c>
      <c r="F2099" s="5" t="str">
        <f ca="1">IFERROR(__xludf.DUMMYFUNCTION("""COMPUTED_VALUE"""),"Fled/Escaped")</f>
        <v>Fled/Escaped</v>
      </c>
      <c r="G2099" s="5" t="str">
        <f ca="1">IFERROR(__xludf.DUMMYFUNCTION("""COMPUTED_VALUE"""),"No")</f>
        <v>No</v>
      </c>
      <c r="H2099" s="5" t="str">
        <f ca="1">IFERROR(__xludf.DUMMYFUNCTION("""COMPUTED_VALUE"""),"None")</f>
        <v>None</v>
      </c>
    </row>
    <row r="2100" spans="1:8" ht="13">
      <c r="A2100" s="5" t="str">
        <f ca="1">IFERROR(__xludf.DUMMYFUNCTION("""COMPUTED_VALUE"""),"19910516KSCOK")</f>
        <v>19910516KSCOK</v>
      </c>
      <c r="B2100" s="5">
        <f ca="1">IFERROR(__xludf.DUMMYFUNCTION("""COMPUTED_VALUE"""),13)</f>
        <v>13</v>
      </c>
      <c r="C2100" s="5" t="str">
        <f ca="1">IFERROR(__xludf.DUMMYFUNCTION("""COMPUTED_VALUE"""),"Male")</f>
        <v>Male</v>
      </c>
      <c r="D2100" s="5"/>
      <c r="E2100" s="5" t="str">
        <f ca="1">IFERROR(__xludf.DUMMYFUNCTION("""COMPUTED_VALUE"""),"Student")</f>
        <v>Student</v>
      </c>
      <c r="F2100" s="5" t="str">
        <f ca="1">IFERROR(__xludf.DUMMYFUNCTION("""COMPUTED_VALUE"""),"Fled/Apprehended")</f>
        <v>Fled/Apprehended</v>
      </c>
      <c r="G2100" s="5" t="str">
        <f ca="1">IFERROR(__xludf.DUMMYFUNCTION("""COMPUTED_VALUE"""),"No")</f>
        <v>No</v>
      </c>
      <c r="H2100" s="5" t="str">
        <f ca="1">IFERROR(__xludf.DUMMYFUNCTION("""COMPUTED_VALUE"""),"None")</f>
        <v>None</v>
      </c>
    </row>
    <row r="2101" spans="1:8" ht="13">
      <c r="A2101" s="5" t="str">
        <f ca="1">IFERROR(__xludf.DUMMYFUNCTION("""COMPUTED_VALUE"""),"19910510OHFRC")</f>
        <v>19910510OHFRC</v>
      </c>
      <c r="B2101" s="5">
        <f ca="1">IFERROR(__xludf.DUMMYFUNCTION("""COMPUTED_VALUE"""),15)</f>
        <v>15</v>
      </c>
      <c r="C2101" s="5" t="str">
        <f ca="1">IFERROR(__xludf.DUMMYFUNCTION("""COMPUTED_VALUE"""),"Male")</f>
        <v>Male</v>
      </c>
      <c r="D2101" s="5"/>
      <c r="E2101" s="5" t="str">
        <f ca="1">IFERROR(__xludf.DUMMYFUNCTION("""COMPUTED_VALUE"""),"Student")</f>
        <v>Student</v>
      </c>
      <c r="F2101" s="5" t="str">
        <f ca="1">IFERROR(__xludf.DUMMYFUNCTION("""COMPUTED_VALUE"""),"Fled/Apprehended")</f>
        <v>Fled/Apprehended</v>
      </c>
      <c r="G2101" s="5" t="str">
        <f ca="1">IFERROR(__xludf.DUMMYFUNCTION("""COMPUTED_VALUE"""),"No")</f>
        <v>No</v>
      </c>
      <c r="H2101" s="5" t="str">
        <f ca="1">IFERROR(__xludf.DUMMYFUNCTION("""COMPUTED_VALUE"""),"None")</f>
        <v>None</v>
      </c>
    </row>
    <row r="2102" spans="1:8" ht="13">
      <c r="A2102" s="5" t="str">
        <f ca="1">IFERROR(__xludf.DUMMYFUNCTION("""COMPUTED_VALUE"""),"19910423MSHUB")</f>
        <v>19910423MSHUB</v>
      </c>
      <c r="B2102" s="5">
        <f ca="1">IFERROR(__xludf.DUMMYFUNCTION("""COMPUTED_VALUE"""),16)</f>
        <v>16</v>
      </c>
      <c r="C2102" s="5" t="str">
        <f ca="1">IFERROR(__xludf.DUMMYFUNCTION("""COMPUTED_VALUE"""),"Male")</f>
        <v>Male</v>
      </c>
      <c r="D2102" s="5"/>
      <c r="E2102" s="5" t="str">
        <f ca="1">IFERROR(__xludf.DUMMYFUNCTION("""COMPUTED_VALUE"""),"Student")</f>
        <v>Student</v>
      </c>
      <c r="F2102" s="5" t="str">
        <f ca="1">IFERROR(__xludf.DUMMYFUNCTION("""COMPUTED_VALUE"""),"Surrendered")</f>
        <v>Surrendered</v>
      </c>
      <c r="G2102" s="5" t="str">
        <f ca="1">IFERROR(__xludf.DUMMYFUNCTION("""COMPUTED_VALUE"""),"No")</f>
        <v>No</v>
      </c>
      <c r="H2102" s="5" t="str">
        <f ca="1">IFERROR(__xludf.DUMMYFUNCTION("""COMPUTED_VALUE"""),"None")</f>
        <v>None</v>
      </c>
    </row>
    <row r="2103" spans="1:8" ht="13">
      <c r="A2103" s="5" t="str">
        <f ca="1">IFERROR(__xludf.DUMMYFUNCTION("""COMPUTED_VALUE"""),"19910423CARAC")</f>
        <v>19910423CARAC</v>
      </c>
      <c r="B2103" s="5">
        <f ca="1">IFERROR(__xludf.DUMMYFUNCTION("""COMPUTED_VALUE"""),14)</f>
        <v>14</v>
      </c>
      <c r="C2103" s="5" t="str">
        <f ca="1">IFERROR(__xludf.DUMMYFUNCTION("""COMPUTED_VALUE"""),"Male")</f>
        <v>Male</v>
      </c>
      <c r="D2103" s="5"/>
      <c r="E2103" s="5" t="str">
        <f ca="1">IFERROR(__xludf.DUMMYFUNCTION("""COMPUTED_VALUE"""),"Unknown")</f>
        <v>Unknown</v>
      </c>
      <c r="F2103" s="5" t="str">
        <f ca="1">IFERROR(__xludf.DUMMYFUNCTION("""COMPUTED_VALUE"""),"Fled/Apprehended")</f>
        <v>Fled/Apprehended</v>
      </c>
      <c r="G2103" s="5" t="str">
        <f ca="1">IFERROR(__xludf.DUMMYFUNCTION("""COMPUTED_VALUE"""),"No")</f>
        <v>No</v>
      </c>
      <c r="H2103" s="5" t="str">
        <f ca="1">IFERROR(__xludf.DUMMYFUNCTION("""COMPUTED_VALUE"""),"None")</f>
        <v>None</v>
      </c>
    </row>
    <row r="2104" spans="1:8" ht="13">
      <c r="A2104" s="5" t="str">
        <f ca="1">IFERROR(__xludf.DUMMYFUNCTION("""COMPUTED_VALUE"""),"19910423CARAC")</f>
        <v>19910423CARAC</v>
      </c>
      <c r="B2104" s="5">
        <f ca="1">IFERROR(__xludf.DUMMYFUNCTION("""COMPUTED_VALUE"""),17)</f>
        <v>17</v>
      </c>
      <c r="C2104" s="5" t="str">
        <f ca="1">IFERROR(__xludf.DUMMYFUNCTION("""COMPUTED_VALUE"""),"Male")</f>
        <v>Male</v>
      </c>
      <c r="D2104" s="5"/>
      <c r="E2104" s="5" t="str">
        <f ca="1">IFERROR(__xludf.DUMMYFUNCTION("""COMPUTED_VALUE"""),"Unknown")</f>
        <v>Unknown</v>
      </c>
      <c r="F2104" s="5" t="str">
        <f ca="1">IFERROR(__xludf.DUMMYFUNCTION("""COMPUTED_VALUE"""),"Fled/Apprehended")</f>
        <v>Fled/Apprehended</v>
      </c>
      <c r="G2104" s="5" t="str">
        <f ca="1">IFERROR(__xludf.DUMMYFUNCTION("""COMPUTED_VALUE"""),"No")</f>
        <v>No</v>
      </c>
      <c r="H2104" s="5" t="str">
        <f ca="1">IFERROR(__xludf.DUMMYFUNCTION("""COMPUTED_VALUE"""),"None")</f>
        <v>None</v>
      </c>
    </row>
    <row r="2105" spans="1:8" ht="13">
      <c r="A2105" s="5" t="str">
        <f ca="1">IFERROR(__xludf.DUMMYFUNCTION("""COMPUTED_VALUE"""),"19910411SCNOR")</f>
        <v>19910411SCNOR</v>
      </c>
      <c r="B2105" s="5">
        <f ca="1">IFERROR(__xludf.DUMMYFUNCTION("""COMPUTED_VALUE"""),18)</f>
        <v>18</v>
      </c>
      <c r="C2105" s="5" t="str">
        <f ca="1">IFERROR(__xludf.DUMMYFUNCTION("""COMPUTED_VALUE"""),"Male")</f>
        <v>Male</v>
      </c>
      <c r="D2105" s="5" t="str">
        <f ca="1">IFERROR(__xludf.DUMMYFUNCTION("""COMPUTED_VALUE"""),"White")</f>
        <v>White</v>
      </c>
      <c r="E2105" s="5" t="str">
        <f ca="1">IFERROR(__xludf.DUMMYFUNCTION("""COMPUTED_VALUE"""),"Student")</f>
        <v>Student</v>
      </c>
      <c r="F2105" s="5" t="str">
        <f ca="1">IFERROR(__xludf.DUMMYFUNCTION("""COMPUTED_VALUE"""),"Suicide")</f>
        <v>Suicide</v>
      </c>
      <c r="G2105" s="5" t="str">
        <f ca="1">IFERROR(__xludf.DUMMYFUNCTION("""COMPUTED_VALUE"""),"Yes")</f>
        <v>Yes</v>
      </c>
      <c r="H2105" s="5" t="str">
        <f ca="1">IFERROR(__xludf.DUMMYFUNCTION("""COMPUTED_VALUE"""),"Suicide")</f>
        <v>Suicide</v>
      </c>
    </row>
    <row r="2106" spans="1:8" ht="13">
      <c r="A2106" s="5" t="str">
        <f ca="1">IFERROR(__xludf.DUMMYFUNCTION("""COMPUTED_VALUE"""),"19910325NCGAC")</f>
        <v>19910325NCGAC</v>
      </c>
      <c r="B2106" s="5">
        <f ca="1">IFERROR(__xludf.DUMMYFUNCTION("""COMPUTED_VALUE"""),20)</f>
        <v>20</v>
      </c>
      <c r="C2106" s="5" t="str">
        <f ca="1">IFERROR(__xludf.DUMMYFUNCTION("""COMPUTED_VALUE"""),"Male")</f>
        <v>Male</v>
      </c>
      <c r="D2106" s="5"/>
      <c r="E2106" s="5" t="str">
        <f ca="1">IFERROR(__xludf.DUMMYFUNCTION("""COMPUTED_VALUE"""),"Former Student")</f>
        <v>Former Student</v>
      </c>
      <c r="F2106" s="5" t="str">
        <f ca="1">IFERROR(__xludf.DUMMYFUNCTION("""COMPUTED_VALUE"""),"Fled/Apprehended")</f>
        <v>Fled/Apprehended</v>
      </c>
      <c r="G2106" s="5" t="str">
        <f ca="1">IFERROR(__xludf.DUMMYFUNCTION("""COMPUTED_VALUE"""),"No")</f>
        <v>No</v>
      </c>
      <c r="H2106" s="5" t="str">
        <f ca="1">IFERROR(__xludf.DUMMYFUNCTION("""COMPUTED_VALUE"""),"None")</f>
        <v>None</v>
      </c>
    </row>
    <row r="2107" spans="1:8" ht="13">
      <c r="A2107" s="5" t="str">
        <f ca="1">IFERROR(__xludf.DUMMYFUNCTION("""COMPUTED_VALUE"""),"19910314SCWOP")</f>
        <v>19910314SCWOP</v>
      </c>
      <c r="B2107" s="5">
        <f ca="1">IFERROR(__xludf.DUMMYFUNCTION("""COMPUTED_VALUE"""),18)</f>
        <v>18</v>
      </c>
      <c r="C2107" s="5" t="str">
        <f ca="1">IFERROR(__xludf.DUMMYFUNCTION("""COMPUTED_VALUE"""),"Male")</f>
        <v>Male</v>
      </c>
      <c r="D2107" s="5" t="str">
        <f ca="1">IFERROR(__xludf.DUMMYFUNCTION("""COMPUTED_VALUE"""),"Black")</f>
        <v>Black</v>
      </c>
      <c r="E2107" s="5" t="str">
        <f ca="1">IFERROR(__xludf.DUMMYFUNCTION("""COMPUTED_VALUE"""),"Former Student")</f>
        <v>Former Student</v>
      </c>
      <c r="F2107" s="5" t="str">
        <f ca="1">IFERROR(__xludf.DUMMYFUNCTION("""COMPUTED_VALUE"""),"Fled/Apprehended")</f>
        <v>Fled/Apprehended</v>
      </c>
      <c r="G2107" s="5" t="str">
        <f ca="1">IFERROR(__xludf.DUMMYFUNCTION("""COMPUTED_VALUE"""),"No")</f>
        <v>No</v>
      </c>
      <c r="H2107" s="5" t="str">
        <f ca="1">IFERROR(__xludf.DUMMYFUNCTION("""COMPUTED_VALUE"""),"None")</f>
        <v>None</v>
      </c>
    </row>
    <row r="2108" spans="1:8" ht="13">
      <c r="A2108" s="5" t="str">
        <f ca="1">IFERROR(__xludf.DUMMYFUNCTION("""COMPUTED_VALUE"""),"19910314SCWOP")</f>
        <v>19910314SCWOP</v>
      </c>
      <c r="B2108" s="5"/>
      <c r="C2108" s="5" t="str">
        <f ca="1">IFERROR(__xludf.DUMMYFUNCTION("""COMPUTED_VALUE"""),"Male")</f>
        <v>Male</v>
      </c>
      <c r="D2108" s="5" t="str">
        <f ca="1">IFERROR(__xludf.DUMMYFUNCTION("""COMPUTED_VALUE"""),"Black")</f>
        <v>Black</v>
      </c>
      <c r="E2108" s="5" t="str">
        <f ca="1">IFERROR(__xludf.DUMMYFUNCTION("""COMPUTED_VALUE"""),"Former Student")</f>
        <v>Former Student</v>
      </c>
      <c r="F2108" s="5" t="str">
        <f ca="1">IFERROR(__xludf.DUMMYFUNCTION("""COMPUTED_VALUE"""),"Fled/Apprehended")</f>
        <v>Fled/Apprehended</v>
      </c>
      <c r="G2108" s="5" t="str">
        <f ca="1">IFERROR(__xludf.DUMMYFUNCTION("""COMPUTED_VALUE"""),"No")</f>
        <v>No</v>
      </c>
      <c r="H2108" s="5" t="str">
        <f ca="1">IFERROR(__xludf.DUMMYFUNCTION("""COMPUTED_VALUE"""),"None")</f>
        <v>None</v>
      </c>
    </row>
    <row r="2109" spans="1:8" ht="13">
      <c r="A2109" s="5" t="str">
        <f ca="1">IFERROR(__xludf.DUMMYFUNCTION("""COMPUTED_VALUE"""),"19910313ALSES")</f>
        <v>19910313ALSES</v>
      </c>
      <c r="B2109" s="5">
        <f ca="1">IFERROR(__xludf.DUMMYFUNCTION("""COMPUTED_VALUE"""),15)</f>
        <v>15</v>
      </c>
      <c r="C2109" s="5" t="str">
        <f ca="1">IFERROR(__xludf.DUMMYFUNCTION("""COMPUTED_VALUE"""),"Male")</f>
        <v>Male</v>
      </c>
      <c r="D2109" s="5"/>
      <c r="E2109" s="5" t="str">
        <f ca="1">IFERROR(__xludf.DUMMYFUNCTION("""COMPUTED_VALUE"""),"Student")</f>
        <v>Student</v>
      </c>
      <c r="F2109" s="5" t="str">
        <f ca="1">IFERROR(__xludf.DUMMYFUNCTION("""COMPUTED_VALUE"""),"Fled/Apprehended")</f>
        <v>Fled/Apprehended</v>
      </c>
      <c r="G2109" s="5" t="str">
        <f ca="1">IFERROR(__xludf.DUMMYFUNCTION("""COMPUTED_VALUE"""),"No")</f>
        <v>No</v>
      </c>
      <c r="H2109" s="5" t="str">
        <f ca="1">IFERROR(__xludf.DUMMYFUNCTION("""COMPUTED_VALUE"""),"None")</f>
        <v>None</v>
      </c>
    </row>
    <row r="2110" spans="1:8" ht="13">
      <c r="A2110" s="5" t="str">
        <f ca="1">IFERROR(__xludf.DUMMYFUNCTION("""COMPUTED_VALUE"""),"19910219LABON")</f>
        <v>19910219LABON</v>
      </c>
      <c r="B2110" s="5">
        <f ca="1">IFERROR(__xludf.DUMMYFUNCTION("""COMPUTED_VALUE"""),20)</f>
        <v>20</v>
      </c>
      <c r="C2110" s="5" t="str">
        <f ca="1">IFERROR(__xludf.DUMMYFUNCTION("""COMPUTED_VALUE"""),"Male")</f>
        <v>Male</v>
      </c>
      <c r="D2110" s="5" t="str">
        <f ca="1">IFERROR(__xludf.DUMMYFUNCTION("""COMPUTED_VALUE"""),"Black")</f>
        <v>Black</v>
      </c>
      <c r="E2110" s="5" t="str">
        <f ca="1">IFERROR(__xludf.DUMMYFUNCTION("""COMPUTED_VALUE"""),"No Relation")</f>
        <v>No Relation</v>
      </c>
      <c r="F2110" s="5" t="str">
        <f ca="1">IFERROR(__xludf.DUMMYFUNCTION("""COMPUTED_VALUE"""),"Fled/Apprehended")</f>
        <v>Fled/Apprehended</v>
      </c>
      <c r="G2110" s="5" t="str">
        <f ca="1">IFERROR(__xludf.DUMMYFUNCTION("""COMPUTED_VALUE"""),"No")</f>
        <v>No</v>
      </c>
      <c r="H2110" s="5" t="str">
        <f ca="1">IFERROR(__xludf.DUMMYFUNCTION("""COMPUTED_VALUE"""),"None")</f>
        <v>None</v>
      </c>
    </row>
    <row r="2111" spans="1:8" ht="13">
      <c r="A2111" s="5" t="str">
        <f ca="1">IFERROR(__xludf.DUMMYFUNCTION("""COMPUTED_VALUE"""),"19910117TXHOD")</f>
        <v>19910117TXHOD</v>
      </c>
      <c r="B2111" s="5"/>
      <c r="C2111" s="5"/>
      <c r="D2111" s="5"/>
      <c r="E2111" s="5" t="str">
        <f ca="1">IFERROR(__xludf.DUMMYFUNCTION("""COMPUTED_VALUE"""),"Unknown")</f>
        <v>Unknown</v>
      </c>
      <c r="F2111" s="5" t="str">
        <f ca="1">IFERROR(__xludf.DUMMYFUNCTION("""COMPUTED_VALUE"""),"Fled/Escaped")</f>
        <v>Fled/Escaped</v>
      </c>
      <c r="G2111" s="5" t="str">
        <f ca="1">IFERROR(__xludf.DUMMYFUNCTION("""COMPUTED_VALUE"""),"No")</f>
        <v>No</v>
      </c>
      <c r="H2111" s="5" t="str">
        <f ca="1">IFERROR(__xludf.DUMMYFUNCTION("""COMPUTED_VALUE"""),"None")</f>
        <v>None</v>
      </c>
    </row>
    <row r="2112" spans="1:8" ht="13">
      <c r="A2112" s="5" t="str">
        <f ca="1">IFERROR(__xludf.DUMMYFUNCTION("""COMPUTED_VALUE"""),"19910117TXHOD")</f>
        <v>19910117TXHOD</v>
      </c>
      <c r="B2112" s="5"/>
      <c r="C2112" s="5"/>
      <c r="D2112" s="5"/>
      <c r="E2112" s="5" t="str">
        <f ca="1">IFERROR(__xludf.DUMMYFUNCTION("""COMPUTED_VALUE"""),"Unknown")</f>
        <v>Unknown</v>
      </c>
      <c r="F2112" s="5" t="str">
        <f ca="1">IFERROR(__xludf.DUMMYFUNCTION("""COMPUTED_VALUE"""),"Fled/Escaped")</f>
        <v>Fled/Escaped</v>
      </c>
      <c r="G2112" s="5" t="str">
        <f ca="1">IFERROR(__xludf.DUMMYFUNCTION("""COMPUTED_VALUE"""),"No")</f>
        <v>No</v>
      </c>
      <c r="H2112" s="5" t="str">
        <f ca="1">IFERROR(__xludf.DUMMYFUNCTION("""COMPUTED_VALUE"""),"None")</f>
        <v>None</v>
      </c>
    </row>
    <row r="2113" spans="1:8" ht="13">
      <c r="A2113" s="5" t="str">
        <f ca="1">IFERROR(__xludf.DUMMYFUNCTION("""COMPUTED_VALUE"""),"19910108TXRIR")</f>
        <v>19910108TXRIR</v>
      </c>
      <c r="B2113" s="5">
        <f ca="1">IFERROR(__xludf.DUMMYFUNCTION("""COMPUTED_VALUE"""),15)</f>
        <v>15</v>
      </c>
      <c r="C2113" s="5" t="str">
        <f ca="1">IFERROR(__xludf.DUMMYFUNCTION("""COMPUTED_VALUE"""),"Male")</f>
        <v>Male</v>
      </c>
      <c r="D2113" s="5" t="str">
        <f ca="1">IFERROR(__xludf.DUMMYFUNCTION("""COMPUTED_VALUE"""),"White")</f>
        <v>White</v>
      </c>
      <c r="E2113" s="5" t="str">
        <f ca="1">IFERROR(__xludf.DUMMYFUNCTION("""COMPUTED_VALUE"""),"Student")</f>
        <v>Student</v>
      </c>
      <c r="F2113" s="5" t="str">
        <f ca="1">IFERROR(__xludf.DUMMYFUNCTION("""COMPUTED_VALUE"""),"Suicide")</f>
        <v>Suicide</v>
      </c>
      <c r="G2113" s="5" t="str">
        <f ca="1">IFERROR(__xludf.DUMMYFUNCTION("""COMPUTED_VALUE"""),"Yes")</f>
        <v>Yes</v>
      </c>
      <c r="H2113" s="5" t="str">
        <f ca="1">IFERROR(__xludf.DUMMYFUNCTION("""COMPUTED_VALUE"""),"Suicide")</f>
        <v>Suicide</v>
      </c>
    </row>
    <row r="2114" spans="1:8" ht="13">
      <c r="A2114" s="5" t="str">
        <f ca="1">IFERROR(__xludf.DUMMYFUNCTION("""COMPUTED_VALUE"""),"19901213LASAS")</f>
        <v>19901213LASAS</v>
      </c>
      <c r="B2114" s="5"/>
      <c r="C2114" s="5"/>
      <c r="D2114" s="5"/>
      <c r="E2114" s="5" t="str">
        <f ca="1">IFERROR(__xludf.DUMMYFUNCTION("""COMPUTED_VALUE"""),"Unknown")</f>
        <v>Unknown</v>
      </c>
      <c r="F2114" s="5" t="str">
        <f ca="1">IFERROR(__xludf.DUMMYFUNCTION("""COMPUTED_VALUE"""),"Fled/Escaped")</f>
        <v>Fled/Escaped</v>
      </c>
      <c r="G2114" s="5" t="str">
        <f ca="1">IFERROR(__xludf.DUMMYFUNCTION("""COMPUTED_VALUE"""),"No")</f>
        <v>No</v>
      </c>
      <c r="H2114" s="5" t="str">
        <f ca="1">IFERROR(__xludf.DUMMYFUNCTION("""COMPUTED_VALUE"""),"None")</f>
        <v>None</v>
      </c>
    </row>
    <row r="2115" spans="1:8" ht="13">
      <c r="A2115" s="5" t="str">
        <f ca="1">IFERROR(__xludf.DUMMYFUNCTION("""COMPUTED_VALUE"""),"19901110TXJUD")</f>
        <v>19901110TXJUD</v>
      </c>
      <c r="B2115" s="5"/>
      <c r="C2115" s="5"/>
      <c r="D2115" s="5"/>
      <c r="E2115" s="5" t="str">
        <f ca="1">IFERROR(__xludf.DUMMYFUNCTION("""COMPUTED_VALUE"""),"Nonstudent Using Athletic Facilities/Attending Game")</f>
        <v>Nonstudent Using Athletic Facilities/Attending Game</v>
      </c>
      <c r="F2115" s="5" t="str">
        <f ca="1">IFERROR(__xludf.DUMMYFUNCTION("""COMPUTED_VALUE"""),"Fled/Escaped")</f>
        <v>Fled/Escaped</v>
      </c>
      <c r="G2115" s="5" t="str">
        <f ca="1">IFERROR(__xludf.DUMMYFUNCTION("""COMPUTED_VALUE"""),"No")</f>
        <v>No</v>
      </c>
      <c r="H2115" s="5" t="str">
        <f ca="1">IFERROR(__xludf.DUMMYFUNCTION("""COMPUTED_VALUE"""),"None")</f>
        <v>None</v>
      </c>
    </row>
    <row r="2116" spans="1:8" ht="13">
      <c r="A2116" s="5" t="str">
        <f ca="1">IFERROR(__xludf.DUMMYFUNCTION("""COMPUTED_VALUE"""),"19901030TXNAG")</f>
        <v>19901030TXNAG</v>
      </c>
      <c r="B2116" s="5">
        <f ca="1">IFERROR(__xludf.DUMMYFUNCTION("""COMPUTED_VALUE"""),32)</f>
        <v>32</v>
      </c>
      <c r="C2116" s="5" t="str">
        <f ca="1">IFERROR(__xludf.DUMMYFUNCTION("""COMPUTED_VALUE"""),"Female")</f>
        <v>Female</v>
      </c>
      <c r="D2116" s="5" t="str">
        <f ca="1">IFERROR(__xludf.DUMMYFUNCTION("""COMPUTED_VALUE"""),"Hispanic")</f>
        <v>Hispanic</v>
      </c>
      <c r="E2116" s="5" t="str">
        <f ca="1">IFERROR(__xludf.DUMMYFUNCTION("""COMPUTED_VALUE"""),"Parent")</f>
        <v>Parent</v>
      </c>
      <c r="F2116" s="5" t="str">
        <f ca="1">IFERROR(__xludf.DUMMYFUNCTION("""COMPUTED_VALUE"""),"Apprehended/Killed by LE")</f>
        <v>Apprehended/Killed by LE</v>
      </c>
      <c r="G2116" s="5" t="str">
        <f ca="1">IFERROR(__xludf.DUMMYFUNCTION("""COMPUTED_VALUE"""),"No")</f>
        <v>No</v>
      </c>
      <c r="H2116" s="5" t="str">
        <f ca="1">IFERROR(__xludf.DUMMYFUNCTION("""COMPUTED_VALUE"""),"None")</f>
        <v>None</v>
      </c>
    </row>
    <row r="2117" spans="1:8" ht="13">
      <c r="A2117" s="5" t="str">
        <f ca="1">IFERROR(__xludf.DUMMYFUNCTION("""COMPUTED_VALUE"""),"19901029INCHC")</f>
        <v>19901029INCHC</v>
      </c>
      <c r="B2117" s="5">
        <f ca="1">IFERROR(__xludf.DUMMYFUNCTION("""COMPUTED_VALUE"""),18)</f>
        <v>18</v>
      </c>
      <c r="C2117" s="5" t="str">
        <f ca="1">IFERROR(__xludf.DUMMYFUNCTION("""COMPUTED_VALUE"""),"Male")</f>
        <v>Male</v>
      </c>
      <c r="D2117" s="5" t="str">
        <f ca="1">IFERROR(__xludf.DUMMYFUNCTION("""COMPUTED_VALUE"""),"White")</f>
        <v>White</v>
      </c>
      <c r="E2117" s="5" t="str">
        <f ca="1">IFERROR(__xludf.DUMMYFUNCTION("""COMPUTED_VALUE"""),"Student")</f>
        <v>Student</v>
      </c>
      <c r="F2117" s="5" t="str">
        <f ca="1">IFERROR(__xludf.DUMMYFUNCTION("""COMPUTED_VALUE"""),"Apprehended/Killed by LE")</f>
        <v>Apprehended/Killed by LE</v>
      </c>
      <c r="G2117" s="5" t="str">
        <f ca="1">IFERROR(__xludf.DUMMYFUNCTION("""COMPUTED_VALUE"""),"No")</f>
        <v>No</v>
      </c>
      <c r="H2117" s="5" t="str">
        <f ca="1">IFERROR(__xludf.DUMMYFUNCTION("""COMPUTED_VALUE"""),"None")</f>
        <v>None</v>
      </c>
    </row>
    <row r="2118" spans="1:8" ht="13">
      <c r="A2118" s="5" t="str">
        <f ca="1">IFERROR(__xludf.DUMMYFUNCTION("""COMPUTED_VALUE"""),"19901002TXWHD")</f>
        <v>19901002TXWHD</v>
      </c>
      <c r="B2118" s="5" t="str">
        <f ca="1">IFERROR(__xludf.DUMMYFUNCTION("""COMPUTED_VALUE"""),"Adult")</f>
        <v>Adult</v>
      </c>
      <c r="C2118" s="5" t="str">
        <f ca="1">IFERROR(__xludf.DUMMYFUNCTION("""COMPUTED_VALUE"""),"Female")</f>
        <v>Female</v>
      </c>
      <c r="D2118" s="5" t="str">
        <f ca="1">IFERROR(__xludf.DUMMYFUNCTION("""COMPUTED_VALUE"""),"Hispanic")</f>
        <v>Hispanic</v>
      </c>
      <c r="E2118" s="5" t="str">
        <f ca="1">IFERROR(__xludf.DUMMYFUNCTION("""COMPUTED_VALUE"""),"No Relation")</f>
        <v>No Relation</v>
      </c>
      <c r="F2118" s="5" t="str">
        <f ca="1">IFERROR(__xludf.DUMMYFUNCTION("""COMPUTED_VALUE"""),"Fled/Escaped")</f>
        <v>Fled/Escaped</v>
      </c>
      <c r="G2118" s="5" t="str">
        <f ca="1">IFERROR(__xludf.DUMMYFUNCTION("""COMPUTED_VALUE"""),"No")</f>
        <v>No</v>
      </c>
      <c r="H2118" s="5" t="str">
        <f ca="1">IFERROR(__xludf.DUMMYFUNCTION("""COMPUTED_VALUE"""),"None")</f>
        <v>None</v>
      </c>
    </row>
    <row r="2119" spans="1:8" ht="13">
      <c r="A2119" s="5" t="str">
        <f ca="1">IFERROR(__xludf.DUMMYFUNCTION("""COMPUTED_VALUE"""),"19900922ALLEB")</f>
        <v>19900922ALLEB</v>
      </c>
      <c r="B2119" s="5"/>
      <c r="C2119" s="5" t="str">
        <f ca="1">IFERROR(__xludf.DUMMYFUNCTION("""COMPUTED_VALUE"""),"Male")</f>
        <v>Male</v>
      </c>
      <c r="D2119" s="5"/>
      <c r="E2119" s="5" t="str">
        <f ca="1">IFERROR(__xludf.DUMMYFUNCTION("""COMPUTED_VALUE"""),"Unknown")</f>
        <v>Unknown</v>
      </c>
      <c r="F2119" s="5" t="str">
        <f ca="1">IFERROR(__xludf.DUMMYFUNCTION("""COMPUTED_VALUE"""),"Fled/Escaped")</f>
        <v>Fled/Escaped</v>
      </c>
      <c r="G2119" s="5" t="str">
        <f ca="1">IFERROR(__xludf.DUMMYFUNCTION("""COMPUTED_VALUE"""),"No")</f>
        <v>No</v>
      </c>
      <c r="H2119" s="5" t="str">
        <f ca="1">IFERROR(__xludf.DUMMYFUNCTION("""COMPUTED_VALUE"""),"None")</f>
        <v>None</v>
      </c>
    </row>
    <row r="2120" spans="1:8" ht="13">
      <c r="A2120" s="5" t="str">
        <f ca="1">IFERROR(__xludf.DUMMYFUNCTION("""COMPUTED_VALUE"""),"19900911TXSAS")</f>
        <v>19900911TXSAS</v>
      </c>
      <c r="B2120" s="5"/>
      <c r="C2120" s="5" t="str">
        <f ca="1">IFERROR(__xludf.DUMMYFUNCTION("""COMPUTED_VALUE"""),"Male")</f>
        <v>Male</v>
      </c>
      <c r="D2120" s="5" t="str">
        <f ca="1">IFERROR(__xludf.DUMMYFUNCTION("""COMPUTED_VALUE"""),"Black")</f>
        <v>Black</v>
      </c>
      <c r="E2120" s="5" t="str">
        <f ca="1">IFERROR(__xludf.DUMMYFUNCTION("""COMPUTED_VALUE"""),"Student")</f>
        <v>Student</v>
      </c>
      <c r="F2120" s="5" t="str">
        <f ca="1">IFERROR(__xludf.DUMMYFUNCTION("""COMPUTED_VALUE"""),"Fled/Apprehended")</f>
        <v>Fled/Apprehended</v>
      </c>
      <c r="G2120" s="5" t="str">
        <f ca="1">IFERROR(__xludf.DUMMYFUNCTION("""COMPUTED_VALUE"""),"No")</f>
        <v>No</v>
      </c>
      <c r="H2120" s="5" t="str">
        <f ca="1">IFERROR(__xludf.DUMMYFUNCTION("""COMPUTED_VALUE"""),"None")</f>
        <v>None</v>
      </c>
    </row>
    <row r="2121" spans="1:8" ht="13">
      <c r="A2121" s="5" t="str">
        <f ca="1">IFERROR(__xludf.DUMMYFUNCTION("""COMPUTED_VALUE"""),"19900906GASOC")</f>
        <v>19900906GASOC</v>
      </c>
      <c r="B2121" s="5">
        <f ca="1">IFERROR(__xludf.DUMMYFUNCTION("""COMPUTED_VALUE"""),16)</f>
        <v>16</v>
      </c>
      <c r="C2121" s="5" t="str">
        <f ca="1">IFERROR(__xludf.DUMMYFUNCTION("""COMPUTED_VALUE"""),"Male")</f>
        <v>Male</v>
      </c>
      <c r="D2121" s="5"/>
      <c r="E2121" s="5" t="str">
        <f ca="1">IFERROR(__xludf.DUMMYFUNCTION("""COMPUTED_VALUE"""),"Student")</f>
        <v>Student</v>
      </c>
      <c r="F2121" s="5" t="str">
        <f ca="1">IFERROR(__xludf.DUMMYFUNCTION("""COMPUTED_VALUE"""),"Surrendered")</f>
        <v>Surrendered</v>
      </c>
      <c r="G2121" s="5" t="str">
        <f ca="1">IFERROR(__xludf.DUMMYFUNCTION("""COMPUTED_VALUE"""),"No")</f>
        <v>No</v>
      </c>
      <c r="H2121" s="5" t="str">
        <f ca="1">IFERROR(__xludf.DUMMYFUNCTION("""COMPUTED_VALUE"""),"None")</f>
        <v>None</v>
      </c>
    </row>
    <row r="2122" spans="1:8" ht="13">
      <c r="A2122" s="5" t="str">
        <f ca="1">IFERROR(__xludf.DUMMYFUNCTION("""COMPUTED_VALUE"""),"19900827TXWHD")</f>
        <v>19900827TXWHD</v>
      </c>
      <c r="B2122" s="5"/>
      <c r="C2122" s="5" t="str">
        <f ca="1">IFERROR(__xludf.DUMMYFUNCTION("""COMPUTED_VALUE"""),"Male")</f>
        <v>Male</v>
      </c>
      <c r="D2122" s="5"/>
      <c r="E2122" s="5" t="str">
        <f ca="1">IFERROR(__xludf.DUMMYFUNCTION("""COMPUTED_VALUE"""),"Unknown")</f>
        <v>Unknown</v>
      </c>
      <c r="F2122" s="5" t="str">
        <f ca="1">IFERROR(__xludf.DUMMYFUNCTION("""COMPUTED_VALUE"""),"Fled/Escaped")</f>
        <v>Fled/Escaped</v>
      </c>
      <c r="G2122" s="5" t="str">
        <f ca="1">IFERROR(__xludf.DUMMYFUNCTION("""COMPUTED_VALUE"""),"No")</f>
        <v>No</v>
      </c>
      <c r="H2122" s="5" t="str">
        <f ca="1">IFERROR(__xludf.DUMMYFUNCTION("""COMPUTED_VALUE"""),"None")</f>
        <v>None</v>
      </c>
    </row>
    <row r="2123" spans="1:8" ht="13">
      <c r="A2123" s="5" t="str">
        <f ca="1">IFERROR(__xludf.DUMMYFUNCTION("""COMPUTED_VALUE"""),"19900827NVELL")</f>
        <v>19900827NVELL</v>
      </c>
      <c r="B2123" s="5">
        <f ca="1">IFERROR(__xludf.DUMMYFUNCTION("""COMPUTED_VALUE"""),15)</f>
        <v>15</v>
      </c>
      <c r="C2123" s="5" t="str">
        <f ca="1">IFERROR(__xludf.DUMMYFUNCTION("""COMPUTED_VALUE"""),"Male")</f>
        <v>Male</v>
      </c>
      <c r="D2123" s="5"/>
      <c r="E2123" s="5" t="str">
        <f ca="1">IFERROR(__xludf.DUMMYFUNCTION("""COMPUTED_VALUE"""),"Student")</f>
        <v>Student</v>
      </c>
      <c r="F2123" s="5" t="str">
        <f ca="1">IFERROR(__xludf.DUMMYFUNCTION("""COMPUTED_VALUE"""),"Unknown")</f>
        <v>Unknown</v>
      </c>
      <c r="G2123" s="5" t="str">
        <f ca="1">IFERROR(__xludf.DUMMYFUNCTION("""COMPUTED_VALUE"""),"No")</f>
        <v>No</v>
      </c>
      <c r="H2123" s="5" t="str">
        <f ca="1">IFERROR(__xludf.DUMMYFUNCTION("""COMPUTED_VALUE"""),"None")</f>
        <v>None</v>
      </c>
    </row>
    <row r="2124" spans="1:8" ht="13">
      <c r="A2124" s="5" t="str">
        <f ca="1">IFERROR(__xludf.DUMMYFUNCTION("""COMPUTED_VALUE"""),"19900824NCMYC")</f>
        <v>19900824NCMYC</v>
      </c>
      <c r="B2124" s="5"/>
      <c r="C2124" s="5"/>
      <c r="D2124" s="5"/>
      <c r="E2124" s="5" t="str">
        <f ca="1">IFERROR(__xludf.DUMMYFUNCTION("""COMPUTED_VALUE"""),"Unknown")</f>
        <v>Unknown</v>
      </c>
      <c r="F2124" s="5" t="str">
        <f ca="1">IFERROR(__xludf.DUMMYFUNCTION("""COMPUTED_VALUE"""),"Fled/Escaped")</f>
        <v>Fled/Escaped</v>
      </c>
      <c r="G2124" s="5" t="str">
        <f ca="1">IFERROR(__xludf.DUMMYFUNCTION("""COMPUTED_VALUE"""),"No")</f>
        <v>No</v>
      </c>
      <c r="H2124" s="5" t="str">
        <f ca="1">IFERROR(__xludf.DUMMYFUNCTION("""COMPUTED_VALUE"""),"None")</f>
        <v>None</v>
      </c>
    </row>
    <row r="2125" spans="1:8" ht="13">
      <c r="A2125" s="5" t="str">
        <f ca="1">IFERROR(__xludf.DUMMYFUNCTION("""COMPUTED_VALUE"""),"19900531TXSUF")</f>
        <v>19900531TXSUF</v>
      </c>
      <c r="B2125" s="5">
        <f ca="1">IFERROR(__xludf.DUMMYFUNCTION("""COMPUTED_VALUE"""),16)</f>
        <v>16</v>
      </c>
      <c r="C2125" s="5" t="str">
        <f ca="1">IFERROR(__xludf.DUMMYFUNCTION("""COMPUTED_VALUE"""),"Male")</f>
        <v>Male</v>
      </c>
      <c r="D2125" s="5" t="str">
        <f ca="1">IFERROR(__xludf.DUMMYFUNCTION("""COMPUTED_VALUE"""),"White")</f>
        <v>White</v>
      </c>
      <c r="E2125" s="5" t="str">
        <f ca="1">IFERROR(__xludf.DUMMYFUNCTION("""COMPUTED_VALUE"""),"No Relation")</f>
        <v>No Relation</v>
      </c>
      <c r="F2125" s="5" t="str">
        <f ca="1">IFERROR(__xludf.DUMMYFUNCTION("""COMPUTED_VALUE"""),"Fled/Apprehended")</f>
        <v>Fled/Apprehended</v>
      </c>
      <c r="G2125" s="5" t="str">
        <f ca="1">IFERROR(__xludf.DUMMYFUNCTION("""COMPUTED_VALUE"""),"No")</f>
        <v>No</v>
      </c>
      <c r="H2125" s="5" t="str">
        <f ca="1">IFERROR(__xludf.DUMMYFUNCTION("""COMPUTED_VALUE"""),"None")</f>
        <v>None</v>
      </c>
    </row>
    <row r="2126" spans="1:8" ht="13">
      <c r="A2126" s="5" t="str">
        <f ca="1">IFERROR(__xludf.DUMMYFUNCTION("""COMPUTED_VALUE"""),"19900520TNHIC")</f>
        <v>19900520TNHIC</v>
      </c>
      <c r="B2126" s="5">
        <f ca="1">IFERROR(__xludf.DUMMYFUNCTION("""COMPUTED_VALUE"""),50)</f>
        <v>50</v>
      </c>
      <c r="C2126" s="5" t="str">
        <f ca="1">IFERROR(__xludf.DUMMYFUNCTION("""COMPUTED_VALUE"""),"Male")</f>
        <v>Male</v>
      </c>
      <c r="D2126" s="5"/>
      <c r="E2126" s="5" t="str">
        <f ca="1">IFERROR(__xludf.DUMMYFUNCTION("""COMPUTED_VALUE"""),"Teacher")</f>
        <v>Teacher</v>
      </c>
      <c r="F2126" s="5" t="str">
        <f ca="1">IFERROR(__xludf.DUMMYFUNCTION("""COMPUTED_VALUE"""),"Fled/Apprehended")</f>
        <v>Fled/Apprehended</v>
      </c>
      <c r="G2126" s="5" t="str">
        <f ca="1">IFERROR(__xludf.DUMMYFUNCTION("""COMPUTED_VALUE"""),"No")</f>
        <v>No</v>
      </c>
      <c r="H2126" s="5" t="str">
        <f ca="1">IFERROR(__xludf.DUMMYFUNCTION("""COMPUTED_VALUE"""),"None")</f>
        <v>None</v>
      </c>
    </row>
    <row r="2127" spans="1:8" ht="13">
      <c r="A2127" s="5" t="str">
        <f ca="1">IFERROR(__xludf.DUMMYFUNCTION("""COMPUTED_VALUE"""),"19900504CAMOE")</f>
        <v>19900504CAMOE</v>
      </c>
      <c r="B2127" s="5">
        <f ca="1">IFERROR(__xludf.DUMMYFUNCTION("""COMPUTED_VALUE"""),17)</f>
        <v>17</v>
      </c>
      <c r="C2127" s="5" t="str">
        <f ca="1">IFERROR(__xludf.DUMMYFUNCTION("""COMPUTED_VALUE"""),"Male")</f>
        <v>Male</v>
      </c>
      <c r="D2127" s="5" t="str">
        <f ca="1">IFERROR(__xludf.DUMMYFUNCTION("""COMPUTED_VALUE"""),"Asian")</f>
        <v>Asian</v>
      </c>
      <c r="E2127" s="5" t="str">
        <f ca="1">IFERROR(__xludf.DUMMYFUNCTION("""COMPUTED_VALUE"""),"Student")</f>
        <v>Student</v>
      </c>
      <c r="F2127" s="5" t="str">
        <f ca="1">IFERROR(__xludf.DUMMYFUNCTION("""COMPUTED_VALUE"""),"Fled/Apprehended")</f>
        <v>Fled/Apprehended</v>
      </c>
      <c r="G2127" s="5" t="str">
        <f ca="1">IFERROR(__xludf.DUMMYFUNCTION("""COMPUTED_VALUE"""),"No")</f>
        <v>No</v>
      </c>
      <c r="H2127" s="5" t="str">
        <f ca="1">IFERROR(__xludf.DUMMYFUNCTION("""COMPUTED_VALUE"""),"None")</f>
        <v>None</v>
      </c>
    </row>
    <row r="2128" spans="1:8" ht="13">
      <c r="A2128" s="5" t="str">
        <f ca="1">IFERROR(__xludf.DUMMYFUNCTION("""COMPUTED_VALUE"""),"19900403TXSKD")</f>
        <v>19900403TXSKD</v>
      </c>
      <c r="B2128" s="5">
        <f ca="1">IFERROR(__xludf.DUMMYFUNCTION("""COMPUTED_VALUE"""),18)</f>
        <v>18</v>
      </c>
      <c r="C2128" s="5" t="str">
        <f ca="1">IFERROR(__xludf.DUMMYFUNCTION("""COMPUTED_VALUE"""),"Male")</f>
        <v>Male</v>
      </c>
      <c r="D2128" s="5"/>
      <c r="E2128" s="5" t="str">
        <f ca="1">IFERROR(__xludf.DUMMYFUNCTION("""COMPUTED_VALUE"""),"Student")</f>
        <v>Student</v>
      </c>
      <c r="F2128" s="5" t="str">
        <f ca="1">IFERROR(__xludf.DUMMYFUNCTION("""COMPUTED_VALUE"""),"Fled/Escaped")</f>
        <v>Fled/Escaped</v>
      </c>
      <c r="G2128" s="5" t="str">
        <f ca="1">IFERROR(__xludf.DUMMYFUNCTION("""COMPUTED_VALUE"""),"No")</f>
        <v>No</v>
      </c>
      <c r="H2128" s="5" t="str">
        <f ca="1">IFERROR(__xludf.DUMMYFUNCTION("""COMPUTED_VALUE"""),"None")</f>
        <v>None</v>
      </c>
    </row>
    <row r="2129" spans="1:8" ht="13">
      <c r="A2129" s="5" t="str">
        <f ca="1">IFERROR(__xludf.DUMMYFUNCTION("""COMPUTED_VALUE"""),"19900327NYNEB")</f>
        <v>19900327NYNEB</v>
      </c>
      <c r="B2129" s="5" t="str">
        <f ca="1">IFERROR(__xludf.DUMMYFUNCTION("""COMPUTED_VALUE"""),"Teen")</f>
        <v>Teen</v>
      </c>
      <c r="C2129" s="5" t="str">
        <f ca="1">IFERROR(__xludf.DUMMYFUNCTION("""COMPUTED_VALUE"""),"Male")</f>
        <v>Male</v>
      </c>
      <c r="D2129" s="5" t="str">
        <f ca="1">IFERROR(__xludf.DUMMYFUNCTION("""COMPUTED_VALUE"""),"White")</f>
        <v>White</v>
      </c>
      <c r="E2129" s="5" t="str">
        <f ca="1">IFERROR(__xludf.DUMMYFUNCTION("""COMPUTED_VALUE"""),"Student")</f>
        <v>Student</v>
      </c>
      <c r="F2129" s="5" t="str">
        <f ca="1">IFERROR(__xludf.DUMMYFUNCTION("""COMPUTED_VALUE"""),"Fled/Escaped")</f>
        <v>Fled/Escaped</v>
      </c>
      <c r="G2129" s="5" t="str">
        <f ca="1">IFERROR(__xludf.DUMMYFUNCTION("""COMPUTED_VALUE"""),"No")</f>
        <v>No</v>
      </c>
      <c r="H2129" s="5" t="str">
        <f ca="1">IFERROR(__xludf.DUMMYFUNCTION("""COMPUTED_VALUE"""),"None")</f>
        <v>None</v>
      </c>
    </row>
    <row r="2130" spans="1:8" ht="13">
      <c r="A2130" s="5" t="str">
        <f ca="1">IFERROR(__xludf.DUMMYFUNCTION("""COMPUTED_VALUE"""),"19900220OHTAC")</f>
        <v>19900220OHTAC</v>
      </c>
      <c r="B2130" s="5">
        <f ca="1">IFERROR(__xludf.DUMMYFUNCTION("""COMPUTED_VALUE"""),17)</f>
        <v>17</v>
      </c>
      <c r="C2130" s="5" t="str">
        <f ca="1">IFERROR(__xludf.DUMMYFUNCTION("""COMPUTED_VALUE"""),"Male")</f>
        <v>Male</v>
      </c>
      <c r="D2130" s="5"/>
      <c r="E2130" s="5" t="str">
        <f ca="1">IFERROR(__xludf.DUMMYFUNCTION("""COMPUTED_VALUE"""),"Student")</f>
        <v>Student</v>
      </c>
      <c r="F2130" s="5" t="str">
        <f ca="1">IFERROR(__xludf.DUMMYFUNCTION("""COMPUTED_VALUE"""),"Fled/Apprehended")</f>
        <v>Fled/Apprehended</v>
      </c>
      <c r="G2130" s="5" t="str">
        <f ca="1">IFERROR(__xludf.DUMMYFUNCTION("""COMPUTED_VALUE"""),"No")</f>
        <v>No</v>
      </c>
      <c r="H2130" s="5" t="str">
        <f ca="1">IFERROR(__xludf.DUMMYFUNCTION("""COMPUTED_VALUE"""),"None")</f>
        <v>None</v>
      </c>
    </row>
    <row r="2131" spans="1:8" ht="13">
      <c r="A2131" s="5" t="str">
        <f ca="1">IFERROR(__xludf.DUMMYFUNCTION("""COMPUTED_VALUE"""),"19900116RICEP")</f>
        <v>19900116RICEP</v>
      </c>
      <c r="B2131" s="5">
        <f ca="1">IFERROR(__xludf.DUMMYFUNCTION("""COMPUTED_VALUE"""),17)</f>
        <v>17</v>
      </c>
      <c r="C2131" s="5" t="str">
        <f ca="1">IFERROR(__xludf.DUMMYFUNCTION("""COMPUTED_VALUE"""),"Male")</f>
        <v>Male</v>
      </c>
      <c r="D2131" s="5" t="str">
        <f ca="1">IFERROR(__xludf.DUMMYFUNCTION("""COMPUTED_VALUE"""),"Asian")</f>
        <v>Asian</v>
      </c>
      <c r="E2131" s="5" t="str">
        <f ca="1">IFERROR(__xludf.DUMMYFUNCTION("""COMPUTED_VALUE"""),"Student")</f>
        <v>Student</v>
      </c>
      <c r="F2131" s="5" t="str">
        <f ca="1">IFERROR(__xludf.DUMMYFUNCTION("""COMPUTED_VALUE"""),"Fled/Apprehended")</f>
        <v>Fled/Apprehended</v>
      </c>
      <c r="G2131" s="5" t="str">
        <f ca="1">IFERROR(__xludf.DUMMYFUNCTION("""COMPUTED_VALUE"""),"No")</f>
        <v>No</v>
      </c>
      <c r="H2131" s="5" t="str">
        <f ca="1">IFERROR(__xludf.DUMMYFUNCTION("""COMPUTED_VALUE"""),"None")</f>
        <v>None</v>
      </c>
    </row>
    <row r="2132" spans="1:8" ht="13">
      <c r="A2132" s="5" t="str">
        <f ca="1">IFERROR(__xludf.DUMMYFUNCTION("""COMPUTED_VALUE"""),"19891212SCCHC")</f>
        <v>19891212SCCHC</v>
      </c>
      <c r="B2132" s="5">
        <f ca="1">IFERROR(__xludf.DUMMYFUNCTION("""COMPUTED_VALUE"""),21)</f>
        <v>21</v>
      </c>
      <c r="C2132" s="5" t="str">
        <f ca="1">IFERROR(__xludf.DUMMYFUNCTION("""COMPUTED_VALUE"""),"Male")</f>
        <v>Male</v>
      </c>
      <c r="D2132" s="5"/>
      <c r="E2132" s="5" t="str">
        <f ca="1">IFERROR(__xludf.DUMMYFUNCTION("""COMPUTED_VALUE"""),"Former Student")</f>
        <v>Former Student</v>
      </c>
      <c r="F2132" s="5" t="str">
        <f ca="1">IFERROR(__xludf.DUMMYFUNCTION("""COMPUTED_VALUE"""),"Fled/Apprehended")</f>
        <v>Fled/Apprehended</v>
      </c>
      <c r="G2132" s="5" t="str">
        <f ca="1">IFERROR(__xludf.DUMMYFUNCTION("""COMPUTED_VALUE"""),"No")</f>
        <v>No</v>
      </c>
      <c r="H2132" s="5" t="str">
        <f ca="1">IFERROR(__xludf.DUMMYFUNCTION("""COMPUTED_VALUE"""),"None")</f>
        <v>None</v>
      </c>
    </row>
    <row r="2133" spans="1:8" ht="13">
      <c r="A2133" s="5" t="str">
        <f ca="1">IFERROR(__xludf.DUMMYFUNCTION("""COMPUTED_VALUE"""),"19891205TXWWD")</f>
        <v>19891205TXWWD</v>
      </c>
      <c r="B2133" s="5">
        <f ca="1">IFERROR(__xludf.DUMMYFUNCTION("""COMPUTED_VALUE"""),18)</f>
        <v>18</v>
      </c>
      <c r="C2133" s="5" t="str">
        <f ca="1">IFERROR(__xludf.DUMMYFUNCTION("""COMPUTED_VALUE"""),"Male")</f>
        <v>Male</v>
      </c>
      <c r="D2133" s="5" t="str">
        <f ca="1">IFERROR(__xludf.DUMMYFUNCTION("""COMPUTED_VALUE"""),"Hispanic")</f>
        <v>Hispanic</v>
      </c>
      <c r="E2133" s="5" t="str">
        <f ca="1">IFERROR(__xludf.DUMMYFUNCTION("""COMPUTED_VALUE"""),"Unknown")</f>
        <v>Unknown</v>
      </c>
      <c r="F2133" s="5" t="str">
        <f ca="1">IFERROR(__xludf.DUMMYFUNCTION("""COMPUTED_VALUE"""),"Fled/Apprehended")</f>
        <v>Fled/Apprehended</v>
      </c>
      <c r="G2133" s="5" t="str">
        <f ca="1">IFERROR(__xludf.DUMMYFUNCTION("""COMPUTED_VALUE"""),"No")</f>
        <v>No</v>
      </c>
      <c r="H2133" s="5" t="str">
        <f ca="1">IFERROR(__xludf.DUMMYFUNCTION("""COMPUTED_VALUE"""),"None")</f>
        <v>None</v>
      </c>
    </row>
    <row r="2134" spans="1:8" ht="13">
      <c r="A2134" s="5" t="str">
        <f ca="1">IFERROR(__xludf.DUMMYFUNCTION("""COMPUTED_VALUE"""),"19891205PASEM")</f>
        <v>19891205PASEM</v>
      </c>
      <c r="B2134" s="5">
        <f ca="1">IFERROR(__xludf.DUMMYFUNCTION("""COMPUTED_VALUE"""),16)</f>
        <v>16</v>
      </c>
      <c r="C2134" s="5" t="str">
        <f ca="1">IFERROR(__xludf.DUMMYFUNCTION("""COMPUTED_VALUE"""),"Male")</f>
        <v>Male</v>
      </c>
      <c r="D2134" s="5" t="str">
        <f ca="1">IFERROR(__xludf.DUMMYFUNCTION("""COMPUTED_VALUE"""),"White")</f>
        <v>White</v>
      </c>
      <c r="E2134" s="5" t="str">
        <f ca="1">IFERROR(__xludf.DUMMYFUNCTION("""COMPUTED_VALUE"""),"Student")</f>
        <v>Student</v>
      </c>
      <c r="F2134" s="5" t="str">
        <f ca="1">IFERROR(__xludf.DUMMYFUNCTION("""COMPUTED_VALUE"""),"Suicide")</f>
        <v>Suicide</v>
      </c>
      <c r="G2134" s="5" t="str">
        <f ca="1">IFERROR(__xludf.DUMMYFUNCTION("""COMPUTED_VALUE"""),"Yes")</f>
        <v>Yes</v>
      </c>
      <c r="H2134" s="5" t="str">
        <f ca="1">IFERROR(__xludf.DUMMYFUNCTION("""COMPUTED_VALUE"""),"Suicide")</f>
        <v>Suicide</v>
      </c>
    </row>
    <row r="2135" spans="1:8" ht="13">
      <c r="A2135" s="5" t="str">
        <f ca="1">IFERROR(__xludf.DUMMYFUNCTION("""COMPUTED_VALUE"""),"19891204LACAS")</f>
        <v>19891204LACAS</v>
      </c>
      <c r="B2135" s="5" t="str">
        <f ca="1">IFERROR(__xludf.DUMMYFUNCTION("""COMPUTED_VALUE"""),"Teen")</f>
        <v>Teen</v>
      </c>
      <c r="C2135" s="5" t="str">
        <f ca="1">IFERROR(__xludf.DUMMYFUNCTION("""COMPUTED_VALUE"""),"Male")</f>
        <v>Male</v>
      </c>
      <c r="D2135" s="5"/>
      <c r="E2135" s="5" t="str">
        <f ca="1">IFERROR(__xludf.DUMMYFUNCTION("""COMPUTED_VALUE"""),"Student")</f>
        <v>Student</v>
      </c>
      <c r="F2135" s="5" t="str">
        <f ca="1">IFERROR(__xludf.DUMMYFUNCTION("""COMPUTED_VALUE"""),"Unknown")</f>
        <v>Unknown</v>
      </c>
      <c r="G2135" s="5" t="str">
        <f ca="1">IFERROR(__xludf.DUMMYFUNCTION("""COMPUTED_VALUE"""),"No")</f>
        <v>No</v>
      </c>
      <c r="H2135" s="5" t="str">
        <f ca="1">IFERROR(__xludf.DUMMYFUNCTION("""COMPUTED_VALUE"""),"None")</f>
        <v>None</v>
      </c>
    </row>
    <row r="2136" spans="1:8" ht="13">
      <c r="A2136" s="5" t="str">
        <f ca="1">IFERROR(__xludf.DUMMYFUNCTION("""COMPUTED_VALUE"""),"19891122CACHO")</f>
        <v>19891122CACHO</v>
      </c>
      <c r="B2136" s="5">
        <f ca="1">IFERROR(__xludf.DUMMYFUNCTION("""COMPUTED_VALUE"""),19)</f>
        <v>19</v>
      </c>
      <c r="C2136" s="5" t="str">
        <f ca="1">IFERROR(__xludf.DUMMYFUNCTION("""COMPUTED_VALUE"""),"Male")</f>
        <v>Male</v>
      </c>
      <c r="D2136" s="5" t="str">
        <f ca="1">IFERROR(__xludf.DUMMYFUNCTION("""COMPUTED_VALUE"""),"Hispanic")</f>
        <v>Hispanic</v>
      </c>
      <c r="E2136" s="5" t="str">
        <f ca="1">IFERROR(__xludf.DUMMYFUNCTION("""COMPUTED_VALUE"""),"Unknown")</f>
        <v>Unknown</v>
      </c>
      <c r="F2136" s="5" t="str">
        <f ca="1">IFERROR(__xludf.DUMMYFUNCTION("""COMPUTED_VALUE"""),"Fled/Apprehended")</f>
        <v>Fled/Apprehended</v>
      </c>
      <c r="G2136" s="5" t="str">
        <f ca="1">IFERROR(__xludf.DUMMYFUNCTION("""COMPUTED_VALUE"""),"No")</f>
        <v>No</v>
      </c>
      <c r="H2136" s="5" t="str">
        <f ca="1">IFERROR(__xludf.DUMMYFUNCTION("""COMPUTED_VALUE"""),"None")</f>
        <v>None</v>
      </c>
    </row>
    <row r="2137" spans="1:8" ht="13">
      <c r="A2137" s="5" t="str">
        <f ca="1">IFERROR(__xludf.DUMMYFUNCTION("""COMPUTED_VALUE"""),"19891115TXWOA")</f>
        <v>19891115TXWOA</v>
      </c>
      <c r="B2137" s="5">
        <f ca="1">IFERROR(__xludf.DUMMYFUNCTION("""COMPUTED_VALUE"""),13)</f>
        <v>13</v>
      </c>
      <c r="C2137" s="5" t="str">
        <f ca="1">IFERROR(__xludf.DUMMYFUNCTION("""COMPUTED_VALUE"""),"Male")</f>
        <v>Male</v>
      </c>
      <c r="D2137" s="5"/>
      <c r="E2137" s="5" t="str">
        <f ca="1">IFERROR(__xludf.DUMMYFUNCTION("""COMPUTED_VALUE"""),"Student")</f>
        <v>Student</v>
      </c>
      <c r="F2137" s="5" t="str">
        <f ca="1">IFERROR(__xludf.DUMMYFUNCTION("""COMPUTED_VALUE"""),"Fled/Apprehended")</f>
        <v>Fled/Apprehended</v>
      </c>
      <c r="G2137" s="5" t="str">
        <f ca="1">IFERROR(__xludf.DUMMYFUNCTION("""COMPUTED_VALUE"""),"No")</f>
        <v>No</v>
      </c>
      <c r="H2137" s="5" t="str">
        <f ca="1">IFERROR(__xludf.DUMMYFUNCTION("""COMPUTED_VALUE"""),"None")</f>
        <v>None</v>
      </c>
    </row>
    <row r="2138" spans="1:8" ht="13">
      <c r="A2138" s="5" t="str">
        <f ca="1">IFERROR(__xludf.DUMMYFUNCTION("""COMPUTED_VALUE"""),"19891113NYALN")</f>
        <v>19891113NYALN</v>
      </c>
      <c r="B2138" s="5">
        <f ca="1">IFERROR(__xludf.DUMMYFUNCTION("""COMPUTED_VALUE"""),15)</f>
        <v>15</v>
      </c>
      <c r="C2138" s="5" t="str">
        <f ca="1">IFERROR(__xludf.DUMMYFUNCTION("""COMPUTED_VALUE"""),"Male")</f>
        <v>Male</v>
      </c>
      <c r="D2138" s="5"/>
      <c r="E2138" s="5" t="str">
        <f ca="1">IFERROR(__xludf.DUMMYFUNCTION("""COMPUTED_VALUE"""),"Student")</f>
        <v>Student</v>
      </c>
      <c r="F2138" s="5" t="str">
        <f ca="1">IFERROR(__xludf.DUMMYFUNCTION("""COMPUTED_VALUE"""),"Unknown")</f>
        <v>Unknown</v>
      </c>
      <c r="G2138" s="5" t="str">
        <f ca="1">IFERROR(__xludf.DUMMYFUNCTION("""COMPUTED_VALUE"""),"No")</f>
        <v>No</v>
      </c>
      <c r="H2138" s="5" t="str">
        <f ca="1">IFERROR(__xludf.DUMMYFUNCTION("""COMPUTED_VALUE"""),"None")</f>
        <v>None</v>
      </c>
    </row>
    <row r="2139" spans="1:8" ht="13">
      <c r="A2139" s="5" t="str">
        <f ca="1">IFERROR(__xludf.DUMMYFUNCTION("""COMPUTED_VALUE"""),"19891031TXOLD")</f>
        <v>19891031TXOLD</v>
      </c>
      <c r="B2139" s="5">
        <f ca="1">IFERROR(__xludf.DUMMYFUNCTION("""COMPUTED_VALUE"""),14)</f>
        <v>14</v>
      </c>
      <c r="C2139" s="5" t="str">
        <f ca="1">IFERROR(__xludf.DUMMYFUNCTION("""COMPUTED_VALUE"""),"Male")</f>
        <v>Male</v>
      </c>
      <c r="D2139" s="5"/>
      <c r="E2139" s="5" t="str">
        <f ca="1">IFERROR(__xludf.DUMMYFUNCTION("""COMPUTED_VALUE"""),"Student")</f>
        <v>Student</v>
      </c>
      <c r="F2139" s="5" t="str">
        <f ca="1">IFERROR(__xludf.DUMMYFUNCTION("""COMPUTED_VALUE"""),"Surrendered")</f>
        <v>Surrendered</v>
      </c>
      <c r="G2139" s="5" t="str">
        <f ca="1">IFERROR(__xludf.DUMMYFUNCTION("""COMPUTED_VALUE"""),"No")</f>
        <v>No</v>
      </c>
      <c r="H2139" s="5" t="str">
        <f ca="1">IFERROR(__xludf.DUMMYFUNCTION("""COMPUTED_VALUE"""),"None")</f>
        <v>None</v>
      </c>
    </row>
    <row r="2140" spans="1:8" ht="13">
      <c r="A2140" s="5" t="str">
        <f ca="1">IFERROR(__xludf.DUMMYFUNCTION("""COMPUTED_VALUE"""),"19891005CALOA")</f>
        <v>19891005CALOA</v>
      </c>
      <c r="B2140" s="5">
        <f ca="1">IFERROR(__xludf.DUMMYFUNCTION("""COMPUTED_VALUE"""),15)</f>
        <v>15</v>
      </c>
      <c r="C2140" s="5" t="str">
        <f ca="1">IFERROR(__xludf.DUMMYFUNCTION("""COMPUTED_VALUE"""),"Male")</f>
        <v>Male</v>
      </c>
      <c r="D2140" s="5"/>
      <c r="E2140" s="5" t="str">
        <f ca="1">IFERROR(__xludf.DUMMYFUNCTION("""COMPUTED_VALUE"""),"Student")</f>
        <v>Student</v>
      </c>
      <c r="F2140" s="5" t="str">
        <f ca="1">IFERROR(__xludf.DUMMYFUNCTION("""COMPUTED_VALUE"""),"Surrendered")</f>
        <v>Surrendered</v>
      </c>
      <c r="G2140" s="5" t="str">
        <f ca="1">IFERROR(__xludf.DUMMYFUNCTION("""COMPUTED_VALUE"""),"No")</f>
        <v>No</v>
      </c>
      <c r="H2140" s="5" t="str">
        <f ca="1">IFERROR(__xludf.DUMMYFUNCTION("""COMPUTED_VALUE"""),"None")</f>
        <v>None</v>
      </c>
    </row>
    <row r="2141" spans="1:8" ht="13">
      <c r="A2141" s="5" t="str">
        <f ca="1">IFERROR(__xludf.DUMMYFUNCTION("""COMPUTED_VALUE"""),"19890918KYJAM")</f>
        <v>19890918KYJAM</v>
      </c>
      <c r="B2141" s="5">
        <f ca="1">IFERROR(__xludf.DUMMYFUNCTION("""COMPUTED_VALUE"""),17)</f>
        <v>17</v>
      </c>
      <c r="C2141" s="5" t="str">
        <f ca="1">IFERROR(__xludf.DUMMYFUNCTION("""COMPUTED_VALUE"""),"Male")</f>
        <v>Male</v>
      </c>
      <c r="D2141" s="5"/>
      <c r="E2141" s="5" t="str">
        <f ca="1">IFERROR(__xludf.DUMMYFUNCTION("""COMPUTED_VALUE"""),"Student")</f>
        <v>Student</v>
      </c>
      <c r="F2141" s="5" t="str">
        <f ca="1">IFERROR(__xludf.DUMMYFUNCTION("""COMPUTED_VALUE"""),"Surrendered")</f>
        <v>Surrendered</v>
      </c>
      <c r="G2141" s="5" t="str">
        <f ca="1">IFERROR(__xludf.DUMMYFUNCTION("""COMPUTED_VALUE"""),"No")</f>
        <v>No</v>
      </c>
      <c r="H2141" s="5" t="str">
        <f ca="1">IFERROR(__xludf.DUMMYFUNCTION("""COMPUTED_VALUE"""),"None")</f>
        <v>None</v>
      </c>
    </row>
    <row r="2142" spans="1:8" ht="13">
      <c r="A2142" s="5" t="str">
        <f ca="1">IFERROR(__xludf.DUMMYFUNCTION("""COMPUTED_VALUE"""),"19890911AZDYE")</f>
        <v>19890911AZDYE</v>
      </c>
      <c r="B2142" s="5"/>
      <c r="C2142" s="5" t="str">
        <f ca="1">IFERROR(__xludf.DUMMYFUNCTION("""COMPUTED_VALUE"""),"Male")</f>
        <v>Male</v>
      </c>
      <c r="D2142" s="5"/>
      <c r="E2142" s="5" t="str">
        <f ca="1">IFERROR(__xludf.DUMMYFUNCTION("""COMPUTED_VALUE"""),"Student")</f>
        <v>Student</v>
      </c>
      <c r="F2142" s="5" t="str">
        <f ca="1">IFERROR(__xludf.DUMMYFUNCTION("""COMPUTED_VALUE"""),"Fled/Escaped")</f>
        <v>Fled/Escaped</v>
      </c>
      <c r="G2142" s="5" t="str">
        <f ca="1">IFERROR(__xludf.DUMMYFUNCTION("""COMPUTED_VALUE"""),"No")</f>
        <v>No</v>
      </c>
      <c r="H2142" s="5" t="str">
        <f ca="1">IFERROR(__xludf.DUMMYFUNCTION("""COMPUTED_VALUE"""),"None")</f>
        <v>None</v>
      </c>
    </row>
    <row r="2143" spans="1:8" ht="13">
      <c r="A2143" s="5" t="str">
        <f ca="1">IFERROR(__xludf.DUMMYFUNCTION("""COMPUTED_VALUE"""),"19890901VASAV")</f>
        <v>19890901VASAV</v>
      </c>
      <c r="B2143" s="5">
        <f ca="1">IFERROR(__xludf.DUMMYFUNCTION("""COMPUTED_VALUE"""),19)</f>
        <v>19</v>
      </c>
      <c r="C2143" s="5" t="str">
        <f ca="1">IFERROR(__xludf.DUMMYFUNCTION("""COMPUTED_VALUE"""),"Male")</f>
        <v>Male</v>
      </c>
      <c r="D2143" s="5"/>
      <c r="E2143" s="5" t="str">
        <f ca="1">IFERROR(__xludf.DUMMYFUNCTION("""COMPUTED_VALUE"""),"Nonstudent Using Athletic Facilities/Attending Game")</f>
        <v>Nonstudent Using Athletic Facilities/Attending Game</v>
      </c>
      <c r="F2143" s="5" t="str">
        <f ca="1">IFERROR(__xludf.DUMMYFUNCTION("""COMPUTED_VALUE"""),"Fled/Apprehended")</f>
        <v>Fled/Apprehended</v>
      </c>
      <c r="G2143" s="5" t="str">
        <f ca="1">IFERROR(__xludf.DUMMYFUNCTION("""COMPUTED_VALUE"""),"No")</f>
        <v>No</v>
      </c>
      <c r="H2143" s="5" t="str">
        <f ca="1">IFERROR(__xludf.DUMMYFUNCTION("""COMPUTED_VALUE"""),"None")</f>
        <v>None</v>
      </c>
    </row>
    <row r="2144" spans="1:8" ht="13">
      <c r="A2144" s="5" t="str">
        <f ca="1">IFERROR(__xludf.DUMMYFUNCTION("""COMPUTED_VALUE"""),"19890901VASAV")</f>
        <v>19890901VASAV</v>
      </c>
      <c r="B2144" s="5">
        <f ca="1">IFERROR(__xludf.DUMMYFUNCTION("""COMPUTED_VALUE"""),18)</f>
        <v>18</v>
      </c>
      <c r="C2144" s="5" t="str">
        <f ca="1">IFERROR(__xludf.DUMMYFUNCTION("""COMPUTED_VALUE"""),"Male")</f>
        <v>Male</v>
      </c>
      <c r="D2144" s="5"/>
      <c r="E2144" s="5" t="str">
        <f ca="1">IFERROR(__xludf.DUMMYFUNCTION("""COMPUTED_VALUE"""),"Student")</f>
        <v>Student</v>
      </c>
      <c r="F2144" s="5" t="str">
        <f ca="1">IFERROR(__xludf.DUMMYFUNCTION("""COMPUTED_VALUE"""),"Fled/Apprehended")</f>
        <v>Fled/Apprehended</v>
      </c>
      <c r="G2144" s="5" t="str">
        <f ca="1">IFERROR(__xludf.DUMMYFUNCTION("""COMPUTED_VALUE"""),"No")</f>
        <v>No</v>
      </c>
      <c r="H2144" s="5" t="str">
        <f ca="1">IFERROR(__xludf.DUMMYFUNCTION("""COMPUTED_VALUE"""),"None")</f>
        <v>None</v>
      </c>
    </row>
    <row r="2145" spans="1:8" ht="13">
      <c r="A2145" s="5" t="str">
        <f ca="1">IFERROR(__xludf.DUMMYFUNCTION("""COMPUTED_VALUE"""),"19890426TXAMD")</f>
        <v>19890426TXAMD</v>
      </c>
      <c r="B2145" s="5">
        <f ca="1">IFERROR(__xludf.DUMMYFUNCTION("""COMPUTED_VALUE"""),18)</f>
        <v>18</v>
      </c>
      <c r="C2145" s="5" t="str">
        <f ca="1">IFERROR(__xludf.DUMMYFUNCTION("""COMPUTED_VALUE"""),"Male")</f>
        <v>Male</v>
      </c>
      <c r="D2145" s="5"/>
      <c r="E2145" s="5" t="str">
        <f ca="1">IFERROR(__xludf.DUMMYFUNCTION("""COMPUTED_VALUE"""),"Nonstudent")</f>
        <v>Nonstudent</v>
      </c>
      <c r="F2145" s="5" t="str">
        <f ca="1">IFERROR(__xludf.DUMMYFUNCTION("""COMPUTED_VALUE"""),"Fled/Apprehended")</f>
        <v>Fled/Apprehended</v>
      </c>
      <c r="G2145" s="5" t="str">
        <f ca="1">IFERROR(__xludf.DUMMYFUNCTION("""COMPUTED_VALUE"""),"No")</f>
        <v>No</v>
      </c>
      <c r="H2145" s="5" t="str">
        <f ca="1">IFERROR(__xludf.DUMMYFUNCTION("""COMPUTED_VALUE"""),"None")</f>
        <v>None</v>
      </c>
    </row>
    <row r="2146" spans="1:8" ht="13">
      <c r="A2146" s="5" t="str">
        <f ca="1">IFERROR(__xludf.DUMMYFUNCTION("""COMPUTED_VALUE"""),"19890303INWIG")</f>
        <v>19890303INWIG</v>
      </c>
      <c r="B2146" s="5">
        <f ca="1">IFERROR(__xludf.DUMMYFUNCTION("""COMPUTED_VALUE"""),16)</f>
        <v>16</v>
      </c>
      <c r="C2146" s="5" t="str">
        <f ca="1">IFERROR(__xludf.DUMMYFUNCTION("""COMPUTED_VALUE"""),"Male")</f>
        <v>Male</v>
      </c>
      <c r="D2146" s="5"/>
      <c r="E2146" s="5" t="str">
        <f ca="1">IFERROR(__xludf.DUMMYFUNCTION("""COMPUTED_VALUE"""),"Student")</f>
        <v>Student</v>
      </c>
      <c r="F2146" s="5" t="str">
        <f ca="1">IFERROR(__xludf.DUMMYFUNCTION("""COMPUTED_VALUE"""),"Fled/Apprehended")</f>
        <v>Fled/Apprehended</v>
      </c>
      <c r="G2146" s="5" t="str">
        <f ca="1">IFERROR(__xludf.DUMMYFUNCTION("""COMPUTED_VALUE"""),"No")</f>
        <v>No</v>
      </c>
      <c r="H2146" s="5" t="str">
        <f ca="1">IFERROR(__xludf.DUMMYFUNCTION("""COMPUTED_VALUE"""),"None")</f>
        <v>None</v>
      </c>
    </row>
    <row r="2147" spans="1:8" ht="13">
      <c r="A2147" s="5" t="str">
        <f ca="1">IFERROR(__xludf.DUMMYFUNCTION("""COMPUTED_VALUE"""),"19890210UTTHK")</f>
        <v>19890210UTTHK</v>
      </c>
      <c r="B2147" s="5">
        <f ca="1">IFERROR(__xludf.DUMMYFUNCTION("""COMPUTED_VALUE"""),12)</f>
        <v>12</v>
      </c>
      <c r="C2147" s="5" t="str">
        <f ca="1">IFERROR(__xludf.DUMMYFUNCTION("""COMPUTED_VALUE"""),"Male")</f>
        <v>Male</v>
      </c>
      <c r="D2147" s="5"/>
      <c r="E2147" s="5" t="str">
        <f ca="1">IFERROR(__xludf.DUMMYFUNCTION("""COMPUTED_VALUE"""),"Student")</f>
        <v>Student</v>
      </c>
      <c r="F2147" s="5" t="str">
        <f ca="1">IFERROR(__xludf.DUMMYFUNCTION("""COMPUTED_VALUE"""),"Fled/Apprehended")</f>
        <v>Fled/Apprehended</v>
      </c>
      <c r="G2147" s="5" t="str">
        <f ca="1">IFERROR(__xludf.DUMMYFUNCTION("""COMPUTED_VALUE"""),"No")</f>
        <v>No</v>
      </c>
      <c r="H2147" s="5" t="str">
        <f ca="1">IFERROR(__xludf.DUMMYFUNCTION("""COMPUTED_VALUE"""),"None")</f>
        <v>None</v>
      </c>
    </row>
    <row r="2148" spans="1:8" ht="13">
      <c r="A2148" s="5" t="str">
        <f ca="1">IFERROR(__xludf.DUMMYFUNCTION("""COMPUTED_VALUE"""),"19890209IDRIR")</f>
        <v>19890209IDRIR</v>
      </c>
      <c r="B2148" s="5">
        <f ca="1">IFERROR(__xludf.DUMMYFUNCTION("""COMPUTED_VALUE"""),14)</f>
        <v>14</v>
      </c>
      <c r="C2148" s="5" t="str">
        <f ca="1">IFERROR(__xludf.DUMMYFUNCTION("""COMPUTED_VALUE"""),"Male")</f>
        <v>Male</v>
      </c>
      <c r="D2148" s="5"/>
      <c r="E2148" s="5" t="str">
        <f ca="1">IFERROR(__xludf.DUMMYFUNCTION("""COMPUTED_VALUE"""),"Student")</f>
        <v>Student</v>
      </c>
      <c r="F2148" s="5" t="str">
        <f ca="1">IFERROR(__xludf.DUMMYFUNCTION("""COMPUTED_VALUE"""),"Apprehended/Killed by LE")</f>
        <v>Apprehended/Killed by LE</v>
      </c>
      <c r="G2148" s="5" t="str">
        <f ca="1">IFERROR(__xludf.DUMMYFUNCTION("""COMPUTED_VALUE"""),"No")</f>
        <v>No</v>
      </c>
      <c r="H2148" s="5" t="str">
        <f ca="1">IFERROR(__xludf.DUMMYFUNCTION("""COMPUTED_VALUE"""),"None")</f>
        <v>None</v>
      </c>
    </row>
    <row r="2149" spans="1:8" ht="13">
      <c r="A2149" s="5" t="str">
        <f ca="1">IFERROR(__xludf.DUMMYFUNCTION("""COMPUTED_VALUE"""),"19890126DCWOW")</f>
        <v>19890126DCWOW</v>
      </c>
      <c r="B2149" s="5">
        <f ca="1">IFERROR(__xludf.DUMMYFUNCTION("""COMPUTED_VALUE"""),16)</f>
        <v>16</v>
      </c>
      <c r="C2149" s="5" t="str">
        <f ca="1">IFERROR(__xludf.DUMMYFUNCTION("""COMPUTED_VALUE"""),"Male")</f>
        <v>Male</v>
      </c>
      <c r="D2149" s="5"/>
      <c r="E2149" s="5" t="str">
        <f ca="1">IFERROR(__xludf.DUMMYFUNCTION("""COMPUTED_VALUE"""),"Student")</f>
        <v>Student</v>
      </c>
      <c r="F2149" s="5" t="str">
        <f ca="1">IFERROR(__xludf.DUMMYFUNCTION("""COMPUTED_VALUE"""),"Fled/Apprehended")</f>
        <v>Fled/Apprehended</v>
      </c>
      <c r="G2149" s="5" t="str">
        <f ca="1">IFERROR(__xludf.DUMMYFUNCTION("""COMPUTED_VALUE"""),"No")</f>
        <v>No</v>
      </c>
      <c r="H2149" s="5" t="str">
        <f ca="1">IFERROR(__xludf.DUMMYFUNCTION("""COMPUTED_VALUE"""),"None")</f>
        <v>None</v>
      </c>
    </row>
    <row r="2150" spans="1:8" ht="13">
      <c r="A2150" s="5" t="str">
        <f ca="1">IFERROR(__xludf.DUMMYFUNCTION("""COMPUTED_VALUE"""),"19890126DCWOW")</f>
        <v>19890126DCWOW</v>
      </c>
      <c r="B2150" s="5">
        <f ca="1">IFERROR(__xludf.DUMMYFUNCTION("""COMPUTED_VALUE"""),18)</f>
        <v>18</v>
      </c>
      <c r="C2150" s="5" t="str">
        <f ca="1">IFERROR(__xludf.DUMMYFUNCTION("""COMPUTED_VALUE"""),"Male")</f>
        <v>Male</v>
      </c>
      <c r="D2150" s="5"/>
      <c r="E2150" s="5" t="str">
        <f ca="1">IFERROR(__xludf.DUMMYFUNCTION("""COMPUTED_VALUE"""),"Student")</f>
        <v>Student</v>
      </c>
      <c r="F2150" s="5" t="str">
        <f ca="1">IFERROR(__xludf.DUMMYFUNCTION("""COMPUTED_VALUE"""),"Fled/Apprehended")</f>
        <v>Fled/Apprehended</v>
      </c>
      <c r="G2150" s="5" t="str">
        <f ca="1">IFERROR(__xludf.DUMMYFUNCTION("""COMPUTED_VALUE"""),"No")</f>
        <v>No</v>
      </c>
      <c r="H2150" s="5" t="str">
        <f ca="1">IFERROR(__xludf.DUMMYFUNCTION("""COMPUTED_VALUE"""),"None")</f>
        <v>None</v>
      </c>
    </row>
    <row r="2151" spans="1:8" ht="13">
      <c r="A2151" s="5" t="str">
        <f ca="1">IFERROR(__xludf.DUMMYFUNCTION("""COMPUTED_VALUE"""),"19890117CACLS")</f>
        <v>19890117CACLS</v>
      </c>
      <c r="B2151" s="5">
        <f ca="1">IFERROR(__xludf.DUMMYFUNCTION("""COMPUTED_VALUE"""),24)</f>
        <v>24</v>
      </c>
      <c r="C2151" s="5" t="str">
        <f ca="1">IFERROR(__xludf.DUMMYFUNCTION("""COMPUTED_VALUE"""),"Male")</f>
        <v>Male</v>
      </c>
      <c r="D2151" s="5" t="str">
        <f ca="1">IFERROR(__xludf.DUMMYFUNCTION("""COMPUTED_VALUE"""),"White")</f>
        <v>White</v>
      </c>
      <c r="E2151" s="5" t="str">
        <f ca="1">IFERROR(__xludf.DUMMYFUNCTION("""COMPUTED_VALUE"""),"Former Student")</f>
        <v>Former Student</v>
      </c>
      <c r="F2151" s="5" t="str">
        <f ca="1">IFERROR(__xludf.DUMMYFUNCTION("""COMPUTED_VALUE"""),"Suicide")</f>
        <v>Suicide</v>
      </c>
      <c r="G2151" s="5" t="str">
        <f ca="1">IFERROR(__xludf.DUMMYFUNCTION("""COMPUTED_VALUE"""),"Yes")</f>
        <v>Yes</v>
      </c>
      <c r="H2151" s="5" t="str">
        <f ca="1">IFERROR(__xludf.DUMMYFUNCTION("""COMPUTED_VALUE"""),"Suicide")</f>
        <v>Suicide</v>
      </c>
    </row>
    <row r="2152" spans="1:8" ht="13">
      <c r="A2152" s="5" t="str">
        <f ca="1">IFERROR(__xludf.DUMMYFUNCTION("""COMPUTED_VALUE"""),"19890105ARHEL")</f>
        <v>19890105ARHEL</v>
      </c>
      <c r="B2152" s="5">
        <f ca="1">IFERROR(__xludf.DUMMYFUNCTION("""COMPUTED_VALUE"""),19)</f>
        <v>19</v>
      </c>
      <c r="C2152" s="5" t="str">
        <f ca="1">IFERROR(__xludf.DUMMYFUNCTION("""COMPUTED_VALUE"""),"Male")</f>
        <v>Male</v>
      </c>
      <c r="D2152" s="5"/>
      <c r="E2152" s="5" t="str">
        <f ca="1">IFERROR(__xludf.DUMMYFUNCTION("""COMPUTED_VALUE"""),"Unknown")</f>
        <v>Unknown</v>
      </c>
      <c r="F2152" s="5" t="str">
        <f ca="1">IFERROR(__xludf.DUMMYFUNCTION("""COMPUTED_VALUE"""),"Unknown")</f>
        <v>Unknown</v>
      </c>
      <c r="G2152" s="5" t="str">
        <f ca="1">IFERROR(__xludf.DUMMYFUNCTION("""COMPUTED_VALUE"""),"No")</f>
        <v>No</v>
      </c>
      <c r="H2152" s="5" t="str">
        <f ca="1">IFERROR(__xludf.DUMMYFUNCTION("""COMPUTED_VALUE"""),"None")</f>
        <v>None</v>
      </c>
    </row>
    <row r="2153" spans="1:8" ht="13">
      <c r="A2153" s="5" t="str">
        <f ca="1">IFERROR(__xludf.DUMMYFUNCTION("""COMPUTED_VALUE"""),"19881216VAATV")</f>
        <v>19881216VAATV</v>
      </c>
      <c r="B2153" s="5">
        <f ca="1">IFERROR(__xludf.DUMMYFUNCTION("""COMPUTED_VALUE"""),16)</f>
        <v>16</v>
      </c>
      <c r="C2153" s="5" t="str">
        <f ca="1">IFERROR(__xludf.DUMMYFUNCTION("""COMPUTED_VALUE"""),"Male")</f>
        <v>Male</v>
      </c>
      <c r="D2153" s="5" t="str">
        <f ca="1">IFERROR(__xludf.DUMMYFUNCTION("""COMPUTED_VALUE"""),"Black")</f>
        <v>Black</v>
      </c>
      <c r="E2153" s="5" t="str">
        <f ca="1">IFERROR(__xludf.DUMMYFUNCTION("""COMPUTED_VALUE"""),"Student")</f>
        <v>Student</v>
      </c>
      <c r="F2153" s="5" t="str">
        <f ca="1">IFERROR(__xludf.DUMMYFUNCTION("""COMPUTED_VALUE"""),"Subdued by Students/Staff/Other")</f>
        <v>Subdued by Students/Staff/Other</v>
      </c>
      <c r="G2153" s="5" t="str">
        <f ca="1">IFERROR(__xludf.DUMMYFUNCTION("""COMPUTED_VALUE"""),"No")</f>
        <v>No</v>
      </c>
      <c r="H2153" s="5" t="str">
        <f ca="1">IFERROR(__xludf.DUMMYFUNCTION("""COMPUTED_VALUE"""),"None")</f>
        <v>None</v>
      </c>
    </row>
    <row r="2154" spans="1:8" ht="13">
      <c r="A2154" s="5" t="str">
        <f ca="1">IFERROR(__xludf.DUMMYFUNCTION("""COMPUTED_VALUE"""),"19881122TXABA")</f>
        <v>19881122TXABA</v>
      </c>
      <c r="B2154" s="5">
        <f ca="1">IFERROR(__xludf.DUMMYFUNCTION("""COMPUTED_VALUE"""),16)</f>
        <v>16</v>
      </c>
      <c r="C2154" s="5" t="str">
        <f ca="1">IFERROR(__xludf.DUMMYFUNCTION("""COMPUTED_VALUE"""),"Male")</f>
        <v>Male</v>
      </c>
      <c r="D2154" s="5" t="str">
        <f ca="1">IFERROR(__xludf.DUMMYFUNCTION("""COMPUTED_VALUE"""),"White")</f>
        <v>White</v>
      </c>
      <c r="E2154" s="5" t="str">
        <f ca="1">IFERROR(__xludf.DUMMYFUNCTION("""COMPUTED_VALUE"""),"Student")</f>
        <v>Student</v>
      </c>
      <c r="F2154" s="5" t="str">
        <f ca="1">IFERROR(__xludf.DUMMYFUNCTION("""COMPUTED_VALUE"""),"Fled/Apprehended")</f>
        <v>Fled/Apprehended</v>
      </c>
      <c r="G2154" s="5" t="str">
        <f ca="1">IFERROR(__xludf.DUMMYFUNCTION("""COMPUTED_VALUE"""),"No")</f>
        <v>No</v>
      </c>
      <c r="H2154" s="5" t="str">
        <f ca="1">IFERROR(__xludf.DUMMYFUNCTION("""COMPUTED_VALUE"""),"None")</f>
        <v>None</v>
      </c>
    </row>
    <row r="2155" spans="1:8" ht="13">
      <c r="A2155" s="5" t="str">
        <f ca="1">IFERROR(__xludf.DUMMYFUNCTION("""COMPUTED_VALUE"""),"19881107UTGLS")</f>
        <v>19881107UTGLS</v>
      </c>
      <c r="B2155" s="5">
        <f ca="1">IFERROR(__xludf.DUMMYFUNCTION("""COMPUTED_VALUE"""),14)</f>
        <v>14</v>
      </c>
      <c r="C2155" s="5" t="str">
        <f ca="1">IFERROR(__xludf.DUMMYFUNCTION("""COMPUTED_VALUE"""),"Male")</f>
        <v>Male</v>
      </c>
      <c r="D2155" s="5"/>
      <c r="E2155" s="5" t="str">
        <f ca="1">IFERROR(__xludf.DUMMYFUNCTION("""COMPUTED_VALUE"""),"Student")</f>
        <v>Student</v>
      </c>
      <c r="F2155" s="5" t="str">
        <f ca="1">IFERROR(__xludf.DUMMYFUNCTION("""COMPUTED_VALUE"""),"Apprehended/Killed by LE")</f>
        <v>Apprehended/Killed by LE</v>
      </c>
      <c r="G2155" s="5" t="str">
        <f ca="1">IFERROR(__xludf.DUMMYFUNCTION("""COMPUTED_VALUE"""),"No")</f>
        <v>No</v>
      </c>
      <c r="H2155" s="5" t="str">
        <f ca="1">IFERROR(__xludf.DUMMYFUNCTION("""COMPUTED_VALUE"""),"None")</f>
        <v>None</v>
      </c>
    </row>
    <row r="2156" spans="1:8" ht="13">
      <c r="A2156" s="5" t="str">
        <f ca="1">IFERROR(__xludf.DUMMYFUNCTION("""COMPUTED_VALUE"""),"19881101FLPAJ")</f>
        <v>19881101FLPAJ</v>
      </c>
      <c r="B2156" s="5">
        <f ca="1">IFERROR(__xludf.DUMMYFUNCTION("""COMPUTED_VALUE"""),15)</f>
        <v>15</v>
      </c>
      <c r="C2156" s="5" t="str">
        <f ca="1">IFERROR(__xludf.DUMMYFUNCTION("""COMPUTED_VALUE"""),"Male")</f>
        <v>Male</v>
      </c>
      <c r="D2156" s="5"/>
      <c r="E2156" s="5" t="str">
        <f ca="1">IFERROR(__xludf.DUMMYFUNCTION("""COMPUTED_VALUE"""),"Student")</f>
        <v>Student</v>
      </c>
      <c r="F2156" s="5" t="str">
        <f ca="1">IFERROR(__xludf.DUMMYFUNCTION("""COMPUTED_VALUE"""),"Fled/Apprehended")</f>
        <v>Fled/Apprehended</v>
      </c>
      <c r="G2156" s="5" t="str">
        <f ca="1">IFERROR(__xludf.DUMMYFUNCTION("""COMPUTED_VALUE"""),"No")</f>
        <v>No</v>
      </c>
      <c r="H2156" s="5" t="str">
        <f ca="1">IFERROR(__xludf.DUMMYFUNCTION("""COMPUTED_VALUE"""),"None")</f>
        <v>None</v>
      </c>
    </row>
    <row r="2157" spans="1:8" ht="13">
      <c r="A2157" s="5" t="str">
        <f ca="1">IFERROR(__xludf.DUMMYFUNCTION("""COMPUTED_VALUE"""),"19881007TXDIP")</f>
        <v>19881007TXDIP</v>
      </c>
      <c r="B2157" s="5">
        <f ca="1">IFERROR(__xludf.DUMMYFUNCTION("""COMPUTED_VALUE"""),10)</f>
        <v>10</v>
      </c>
      <c r="C2157" s="5" t="str">
        <f ca="1">IFERROR(__xludf.DUMMYFUNCTION("""COMPUTED_VALUE"""),"Male")</f>
        <v>Male</v>
      </c>
      <c r="D2157" s="5"/>
      <c r="E2157" s="5" t="str">
        <f ca="1">IFERROR(__xludf.DUMMYFUNCTION("""COMPUTED_VALUE"""),"Student")</f>
        <v>Student</v>
      </c>
      <c r="F2157" s="5" t="str">
        <f ca="1">IFERROR(__xludf.DUMMYFUNCTION("""COMPUTED_VALUE"""),"Fled/Apprehended")</f>
        <v>Fled/Apprehended</v>
      </c>
      <c r="G2157" s="5" t="str">
        <f ca="1">IFERROR(__xludf.DUMMYFUNCTION("""COMPUTED_VALUE"""),"No")</f>
        <v>No</v>
      </c>
      <c r="H2157" s="5" t="str">
        <f ca="1">IFERROR(__xludf.DUMMYFUNCTION("""COMPUTED_VALUE"""),"None")</f>
        <v>None</v>
      </c>
    </row>
    <row r="2158" spans="1:8" ht="13">
      <c r="A2158" s="5" t="str">
        <f ca="1">IFERROR(__xludf.DUMMYFUNCTION("""COMPUTED_VALUE"""),"19881007MDSOB")</f>
        <v>19881007MDSOB</v>
      </c>
      <c r="B2158" s="5">
        <f ca="1">IFERROR(__xludf.DUMMYFUNCTION("""COMPUTED_VALUE"""),17)</f>
        <v>17</v>
      </c>
      <c r="C2158" s="5" t="str">
        <f ca="1">IFERROR(__xludf.DUMMYFUNCTION("""COMPUTED_VALUE"""),"Male")</f>
        <v>Male</v>
      </c>
      <c r="D2158" s="5"/>
      <c r="E2158" s="5" t="str">
        <f ca="1">IFERROR(__xludf.DUMMYFUNCTION("""COMPUTED_VALUE"""),"Student")</f>
        <v>Student</v>
      </c>
      <c r="F2158" s="5" t="str">
        <f ca="1">IFERROR(__xludf.DUMMYFUNCTION("""COMPUTED_VALUE"""),"Fled/Apprehended")</f>
        <v>Fled/Apprehended</v>
      </c>
      <c r="G2158" s="5" t="str">
        <f ca="1">IFERROR(__xludf.DUMMYFUNCTION("""COMPUTED_VALUE"""),"No")</f>
        <v>No</v>
      </c>
      <c r="H2158" s="5" t="str">
        <f ca="1">IFERROR(__xludf.DUMMYFUNCTION("""COMPUTED_VALUE"""),"None")</f>
        <v>None</v>
      </c>
    </row>
    <row r="2159" spans="1:8" ht="13">
      <c r="A2159" s="5" t="str">
        <f ca="1">IFERROR(__xludf.DUMMYFUNCTION("""COMPUTED_VALUE"""),"19881006ALMOM")</f>
        <v>19881006ALMOM</v>
      </c>
      <c r="B2159" s="5">
        <f ca="1">IFERROR(__xludf.DUMMYFUNCTION("""COMPUTED_VALUE"""),29)</f>
        <v>29</v>
      </c>
      <c r="C2159" s="5" t="str">
        <f ca="1">IFERROR(__xludf.DUMMYFUNCTION("""COMPUTED_VALUE"""),"Female")</f>
        <v>Female</v>
      </c>
      <c r="D2159" s="5"/>
      <c r="E2159" s="5" t="str">
        <f ca="1">IFERROR(__xludf.DUMMYFUNCTION("""COMPUTED_VALUE"""),"Relative")</f>
        <v>Relative</v>
      </c>
      <c r="F2159" s="5" t="str">
        <f ca="1">IFERROR(__xludf.DUMMYFUNCTION("""COMPUTED_VALUE"""),"Fled/Apprehended")</f>
        <v>Fled/Apprehended</v>
      </c>
      <c r="G2159" s="5" t="str">
        <f ca="1">IFERROR(__xludf.DUMMYFUNCTION("""COMPUTED_VALUE"""),"No")</f>
        <v>No</v>
      </c>
      <c r="H2159" s="5" t="str">
        <f ca="1">IFERROR(__xludf.DUMMYFUNCTION("""COMPUTED_VALUE"""),"None")</f>
        <v>None</v>
      </c>
    </row>
    <row r="2160" spans="1:8" ht="13">
      <c r="A2160" s="5" t="str">
        <f ca="1">IFERROR(__xludf.DUMMYFUNCTION("""COMPUTED_VALUE"""),"19881005MDEDB")</f>
        <v>19881005MDEDB</v>
      </c>
      <c r="B2160" s="5">
        <f ca="1">IFERROR(__xludf.DUMMYFUNCTION("""COMPUTED_VALUE"""),17)</f>
        <v>17</v>
      </c>
      <c r="C2160" s="5" t="str">
        <f ca="1">IFERROR(__xludf.DUMMYFUNCTION("""COMPUTED_VALUE"""),"Male")</f>
        <v>Male</v>
      </c>
      <c r="D2160" s="5"/>
      <c r="E2160" s="5" t="str">
        <f ca="1">IFERROR(__xludf.DUMMYFUNCTION("""COMPUTED_VALUE"""),"Student")</f>
        <v>Student</v>
      </c>
      <c r="F2160" s="5" t="str">
        <f ca="1">IFERROR(__xludf.DUMMYFUNCTION("""COMPUTED_VALUE"""),"Unknown")</f>
        <v>Unknown</v>
      </c>
      <c r="G2160" s="5" t="str">
        <f ca="1">IFERROR(__xludf.DUMMYFUNCTION("""COMPUTED_VALUE"""),"No")</f>
        <v>No</v>
      </c>
      <c r="H2160" s="5" t="str">
        <f ca="1">IFERROR(__xludf.DUMMYFUNCTION("""COMPUTED_VALUE"""),"None")</f>
        <v>None</v>
      </c>
    </row>
    <row r="2161" spans="1:8" ht="13">
      <c r="A2161" s="5" t="str">
        <f ca="1">IFERROR(__xludf.DUMMYFUNCTION("""COMPUTED_VALUE"""),"19881004LAISB")</f>
        <v>19881004LAISB</v>
      </c>
      <c r="B2161" s="5">
        <f ca="1">IFERROR(__xludf.DUMMYFUNCTION("""COMPUTED_VALUE"""),33)</f>
        <v>33</v>
      </c>
      <c r="C2161" s="5" t="str">
        <f ca="1">IFERROR(__xludf.DUMMYFUNCTION("""COMPUTED_VALUE"""),"Female")</f>
        <v>Female</v>
      </c>
      <c r="D2161" s="5"/>
      <c r="E2161" s="5" t="str">
        <f ca="1">IFERROR(__xludf.DUMMYFUNCTION("""COMPUTED_VALUE"""),"Teacher")</f>
        <v>Teacher</v>
      </c>
      <c r="F2161" s="5" t="str">
        <f ca="1">IFERROR(__xludf.DUMMYFUNCTION("""COMPUTED_VALUE"""),"Unknown")</f>
        <v>Unknown</v>
      </c>
      <c r="G2161" s="5" t="str">
        <f ca="1">IFERROR(__xludf.DUMMYFUNCTION("""COMPUTED_VALUE"""),"No")</f>
        <v>No</v>
      </c>
      <c r="H2161" s="5" t="str">
        <f ca="1">IFERROR(__xludf.DUMMYFUNCTION("""COMPUTED_VALUE"""),"None")</f>
        <v>None</v>
      </c>
    </row>
    <row r="2162" spans="1:8" ht="13">
      <c r="A2162" s="5" t="str">
        <f ca="1">IFERROR(__xludf.DUMMYFUNCTION("""COMPUTED_VALUE"""),"19881004FLJEJ")</f>
        <v>19881004FLJEJ</v>
      </c>
      <c r="B2162" s="5"/>
      <c r="C2162" s="5"/>
      <c r="D2162" s="5"/>
      <c r="E2162" s="5" t="str">
        <f ca="1">IFERROR(__xludf.DUMMYFUNCTION("""COMPUTED_VALUE"""),"Unknown")</f>
        <v>Unknown</v>
      </c>
      <c r="F2162" s="5" t="str">
        <f ca="1">IFERROR(__xludf.DUMMYFUNCTION("""COMPUTED_VALUE"""),"Fled/Escaped")</f>
        <v>Fled/Escaped</v>
      </c>
      <c r="G2162" s="5" t="str">
        <f ca="1">IFERROR(__xludf.DUMMYFUNCTION("""COMPUTED_VALUE"""),"No")</f>
        <v>No</v>
      </c>
      <c r="H2162" s="5" t="str">
        <f ca="1">IFERROR(__xludf.DUMMYFUNCTION("""COMPUTED_VALUE"""),"None")</f>
        <v>None</v>
      </c>
    </row>
    <row r="2163" spans="1:8" ht="13">
      <c r="A2163" s="5" t="str">
        <f ca="1">IFERROR(__xludf.DUMMYFUNCTION("""COMPUTED_VALUE"""),"19881003FLMAM")</f>
        <v>19881003FLMAM</v>
      </c>
      <c r="B2163" s="5"/>
      <c r="C2163" s="5"/>
      <c r="D2163" s="5"/>
      <c r="E2163" s="5" t="str">
        <f ca="1">IFERROR(__xludf.DUMMYFUNCTION("""COMPUTED_VALUE"""),"Unknown")</f>
        <v>Unknown</v>
      </c>
      <c r="F2163" s="5" t="str">
        <f ca="1">IFERROR(__xludf.DUMMYFUNCTION("""COMPUTED_VALUE"""),"Fled/Escaped")</f>
        <v>Fled/Escaped</v>
      </c>
      <c r="G2163" s="5" t="str">
        <f ca="1">IFERROR(__xludf.DUMMYFUNCTION("""COMPUTED_VALUE"""),"No")</f>
        <v>No</v>
      </c>
      <c r="H2163" s="5" t="str">
        <f ca="1">IFERROR(__xludf.DUMMYFUNCTION("""COMPUTED_VALUE"""),"None")</f>
        <v>None</v>
      </c>
    </row>
    <row r="2164" spans="1:8" ht="13">
      <c r="A2164" s="5" t="str">
        <f ca="1">IFERROR(__xludf.DUMMYFUNCTION("""COMPUTED_VALUE"""),"19880926SCOAG")</f>
        <v>19880926SCOAG</v>
      </c>
      <c r="B2164" s="5">
        <f ca="1">IFERROR(__xludf.DUMMYFUNCTION("""COMPUTED_VALUE"""),19)</f>
        <v>19</v>
      </c>
      <c r="C2164" s="5" t="str">
        <f ca="1">IFERROR(__xludf.DUMMYFUNCTION("""COMPUTED_VALUE"""),"Male")</f>
        <v>Male</v>
      </c>
      <c r="D2164" s="5" t="str">
        <f ca="1">IFERROR(__xludf.DUMMYFUNCTION("""COMPUTED_VALUE"""),"White")</f>
        <v>White</v>
      </c>
      <c r="E2164" s="5" t="str">
        <f ca="1">IFERROR(__xludf.DUMMYFUNCTION("""COMPUTED_VALUE"""),"Former Student")</f>
        <v>Former Student</v>
      </c>
      <c r="F2164" s="5" t="str">
        <f ca="1">IFERROR(__xludf.DUMMYFUNCTION("""COMPUTED_VALUE"""),"Apprehended/Killed by LE")</f>
        <v>Apprehended/Killed by LE</v>
      </c>
      <c r="G2164" s="5" t="str">
        <f ca="1">IFERROR(__xludf.DUMMYFUNCTION("""COMPUTED_VALUE"""),"No")</f>
        <v>No</v>
      </c>
      <c r="H2164" s="5" t="str">
        <f ca="1">IFERROR(__xludf.DUMMYFUNCTION("""COMPUTED_VALUE"""),"None")</f>
        <v>None</v>
      </c>
    </row>
    <row r="2165" spans="1:8" ht="13">
      <c r="A2165" s="5" t="str">
        <f ca="1">IFERROR(__xludf.DUMMYFUNCTION("""COMPUTED_VALUE"""),"19880922ILMOC")</f>
        <v>19880922ILMOC</v>
      </c>
      <c r="B2165" s="5">
        <f ca="1">IFERROR(__xludf.DUMMYFUNCTION("""COMPUTED_VALUE"""),40)</f>
        <v>40</v>
      </c>
      <c r="C2165" s="5" t="str">
        <f ca="1">IFERROR(__xludf.DUMMYFUNCTION("""COMPUTED_VALUE"""),"Male")</f>
        <v>Male</v>
      </c>
      <c r="D2165" s="5" t="str">
        <f ca="1">IFERROR(__xludf.DUMMYFUNCTION("""COMPUTED_VALUE"""),"Black")</f>
        <v>Black</v>
      </c>
      <c r="E2165" s="5" t="str">
        <f ca="1">IFERROR(__xludf.DUMMYFUNCTION("""COMPUTED_VALUE"""),"No Relation")</f>
        <v>No Relation</v>
      </c>
      <c r="F2165" s="5" t="str">
        <f ca="1">IFERROR(__xludf.DUMMYFUNCTION("""COMPUTED_VALUE"""),"Apprehended/Killed by LE")</f>
        <v>Apprehended/Killed by LE</v>
      </c>
      <c r="G2165" s="5" t="str">
        <f ca="1">IFERROR(__xludf.DUMMYFUNCTION("""COMPUTED_VALUE"""),"Yes")</f>
        <v>Yes</v>
      </c>
      <c r="H2165" s="5" t="str">
        <f ca="1">IFERROR(__xludf.DUMMYFUNCTION("""COMPUTED_VALUE"""),"Fatal")</f>
        <v>Fatal</v>
      </c>
    </row>
    <row r="2166" spans="1:8" ht="13">
      <c r="A2166" s="5" t="str">
        <f ca="1">IFERROR(__xludf.DUMMYFUNCTION("""COMPUTED_VALUE"""),"19880903TXLID")</f>
        <v>19880903TXLID</v>
      </c>
      <c r="B2166" s="5" t="str">
        <f ca="1">IFERROR(__xludf.DUMMYFUNCTION("""COMPUTED_VALUE"""),"Teen")</f>
        <v>Teen</v>
      </c>
      <c r="C2166" s="5" t="str">
        <f ca="1">IFERROR(__xludf.DUMMYFUNCTION("""COMPUTED_VALUE"""),"Male")</f>
        <v>Male</v>
      </c>
      <c r="D2166" s="5"/>
      <c r="E2166" s="5" t="str">
        <f ca="1">IFERROR(__xludf.DUMMYFUNCTION("""COMPUTED_VALUE"""),"No Relation")</f>
        <v>No Relation</v>
      </c>
      <c r="F2166" s="5" t="str">
        <f ca="1">IFERROR(__xludf.DUMMYFUNCTION("""COMPUTED_VALUE"""),"Fled/Escaped")</f>
        <v>Fled/Escaped</v>
      </c>
      <c r="G2166" s="5" t="str">
        <f ca="1">IFERROR(__xludf.DUMMYFUNCTION("""COMPUTED_VALUE"""),"No")</f>
        <v>No</v>
      </c>
      <c r="H2166" s="5" t="str">
        <f ca="1">IFERROR(__xludf.DUMMYFUNCTION("""COMPUTED_VALUE"""),"None")</f>
        <v>None</v>
      </c>
    </row>
    <row r="2167" spans="1:8" ht="13">
      <c r="A2167" s="5" t="str">
        <f ca="1">IFERROR(__xludf.DUMMYFUNCTION("""COMPUTED_VALUE"""),"19880903TXLID")</f>
        <v>19880903TXLID</v>
      </c>
      <c r="B2167" s="5" t="str">
        <f ca="1">IFERROR(__xludf.DUMMYFUNCTION("""COMPUTED_VALUE"""),"Teen")</f>
        <v>Teen</v>
      </c>
      <c r="C2167" s="5" t="str">
        <f ca="1">IFERROR(__xludf.DUMMYFUNCTION("""COMPUTED_VALUE"""),"Male")</f>
        <v>Male</v>
      </c>
      <c r="D2167" s="5"/>
      <c r="E2167" s="5" t="str">
        <f ca="1">IFERROR(__xludf.DUMMYFUNCTION("""COMPUTED_VALUE"""),"No Relation")</f>
        <v>No Relation</v>
      </c>
      <c r="F2167" s="5" t="str">
        <f ca="1">IFERROR(__xludf.DUMMYFUNCTION("""COMPUTED_VALUE"""),"Fled/Escaped")</f>
        <v>Fled/Escaped</v>
      </c>
      <c r="G2167" s="5" t="str">
        <f ca="1">IFERROR(__xludf.DUMMYFUNCTION("""COMPUTED_VALUE"""),"No")</f>
        <v>No</v>
      </c>
      <c r="H2167" s="5" t="str">
        <f ca="1">IFERROR(__xludf.DUMMYFUNCTION("""COMPUTED_VALUE"""),"None")</f>
        <v>None</v>
      </c>
    </row>
    <row r="2168" spans="1:8" ht="13">
      <c r="A2168" s="5" t="str">
        <f ca="1">IFERROR(__xludf.DUMMYFUNCTION("""COMPUTED_VALUE"""),"19880903TXLID")</f>
        <v>19880903TXLID</v>
      </c>
      <c r="B2168" s="5" t="str">
        <f ca="1">IFERROR(__xludf.DUMMYFUNCTION("""COMPUTED_VALUE"""),"Teen")</f>
        <v>Teen</v>
      </c>
      <c r="C2168" s="5" t="str">
        <f ca="1">IFERROR(__xludf.DUMMYFUNCTION("""COMPUTED_VALUE"""),"Male")</f>
        <v>Male</v>
      </c>
      <c r="D2168" s="5"/>
      <c r="E2168" s="5" t="str">
        <f ca="1">IFERROR(__xludf.DUMMYFUNCTION("""COMPUTED_VALUE"""),"No Relation")</f>
        <v>No Relation</v>
      </c>
      <c r="F2168" s="5" t="str">
        <f ca="1">IFERROR(__xludf.DUMMYFUNCTION("""COMPUTED_VALUE"""),"Fled/Escaped")</f>
        <v>Fled/Escaped</v>
      </c>
      <c r="G2168" s="5" t="str">
        <f ca="1">IFERROR(__xludf.DUMMYFUNCTION("""COMPUTED_VALUE"""),"No")</f>
        <v>No</v>
      </c>
      <c r="H2168" s="5" t="str">
        <f ca="1">IFERROR(__xludf.DUMMYFUNCTION("""COMPUTED_VALUE"""),"None")</f>
        <v>None</v>
      </c>
    </row>
    <row r="2169" spans="1:8" ht="13">
      <c r="A2169" s="5" t="str">
        <f ca="1">IFERROR(__xludf.DUMMYFUNCTION("""COMPUTED_VALUE"""),"19880903TXLID")</f>
        <v>19880903TXLID</v>
      </c>
      <c r="B2169" s="5" t="str">
        <f ca="1">IFERROR(__xludf.DUMMYFUNCTION("""COMPUTED_VALUE"""),"Teen")</f>
        <v>Teen</v>
      </c>
      <c r="C2169" s="5" t="str">
        <f ca="1">IFERROR(__xludf.DUMMYFUNCTION("""COMPUTED_VALUE"""),"Male")</f>
        <v>Male</v>
      </c>
      <c r="D2169" s="5"/>
      <c r="E2169" s="5" t="str">
        <f ca="1">IFERROR(__xludf.DUMMYFUNCTION("""COMPUTED_VALUE"""),"No Relation")</f>
        <v>No Relation</v>
      </c>
      <c r="F2169" s="5" t="str">
        <f ca="1">IFERROR(__xludf.DUMMYFUNCTION("""COMPUTED_VALUE"""),"Fled/Escaped")</f>
        <v>Fled/Escaped</v>
      </c>
      <c r="G2169" s="5" t="str">
        <f ca="1">IFERROR(__xludf.DUMMYFUNCTION("""COMPUTED_VALUE"""),"No")</f>
        <v>No</v>
      </c>
      <c r="H2169" s="5" t="str">
        <f ca="1">IFERROR(__xludf.DUMMYFUNCTION("""COMPUTED_VALUE"""),"None")</f>
        <v>None</v>
      </c>
    </row>
    <row r="2170" spans="1:8" ht="13">
      <c r="A2170" s="5" t="str">
        <f ca="1">IFERROR(__xludf.DUMMYFUNCTION("""COMPUTED_VALUE"""),"19880902NCGAC")</f>
        <v>19880902NCGAC</v>
      </c>
      <c r="B2170" s="5">
        <f ca="1">IFERROR(__xludf.DUMMYFUNCTION("""COMPUTED_VALUE"""),16)</f>
        <v>16</v>
      </c>
      <c r="C2170" s="5" t="str">
        <f ca="1">IFERROR(__xludf.DUMMYFUNCTION("""COMPUTED_VALUE"""),"Male")</f>
        <v>Male</v>
      </c>
      <c r="D2170" s="5"/>
      <c r="E2170" s="5" t="str">
        <f ca="1">IFERROR(__xludf.DUMMYFUNCTION("""COMPUTED_VALUE"""),"Student")</f>
        <v>Student</v>
      </c>
      <c r="F2170" s="5" t="str">
        <f ca="1">IFERROR(__xludf.DUMMYFUNCTION("""COMPUTED_VALUE"""),"Fled/Apprehended")</f>
        <v>Fled/Apprehended</v>
      </c>
      <c r="G2170" s="5" t="str">
        <f ca="1">IFERROR(__xludf.DUMMYFUNCTION("""COMPUTED_VALUE"""),"No")</f>
        <v>No</v>
      </c>
      <c r="H2170" s="5" t="str">
        <f ca="1">IFERROR(__xludf.DUMMYFUNCTION("""COMPUTED_VALUE"""),"None")</f>
        <v>None</v>
      </c>
    </row>
    <row r="2171" spans="1:8" ht="13">
      <c r="A2171" s="5" t="str">
        <f ca="1">IFERROR(__xludf.DUMMYFUNCTION("""COMPUTED_VALUE"""),"19880902GAGLA")</f>
        <v>19880902GAGLA</v>
      </c>
      <c r="B2171" s="5"/>
      <c r="C2171" s="5"/>
      <c r="D2171" s="5"/>
      <c r="E2171" s="5" t="str">
        <f ca="1">IFERROR(__xludf.DUMMYFUNCTION("""COMPUTED_VALUE"""),"Nonstudent Using Athletic Facilities/Attending Game")</f>
        <v>Nonstudent Using Athletic Facilities/Attending Game</v>
      </c>
      <c r="F2171" s="5" t="str">
        <f ca="1">IFERROR(__xludf.DUMMYFUNCTION("""COMPUTED_VALUE"""),"Fled/Escaped")</f>
        <v>Fled/Escaped</v>
      </c>
      <c r="G2171" s="5" t="str">
        <f ca="1">IFERROR(__xludf.DUMMYFUNCTION("""COMPUTED_VALUE"""),"No")</f>
        <v>No</v>
      </c>
      <c r="H2171" s="5" t="str">
        <f ca="1">IFERROR(__xludf.DUMMYFUNCTION("""COMPUTED_VALUE"""),"None")</f>
        <v>None</v>
      </c>
    </row>
    <row r="2172" spans="1:8" ht="13">
      <c r="A2172" s="5" t="str">
        <f ca="1">IFERROR(__xludf.DUMMYFUNCTION("""COMPUTED_VALUE"""),"19880831SCWEA")</f>
        <v>19880831SCWEA</v>
      </c>
      <c r="B2172" s="5">
        <f ca="1">IFERROR(__xludf.DUMMYFUNCTION("""COMPUTED_VALUE"""),20)</f>
        <v>20</v>
      </c>
      <c r="C2172" s="5" t="str">
        <f ca="1">IFERROR(__xludf.DUMMYFUNCTION("""COMPUTED_VALUE"""),"Male")</f>
        <v>Male</v>
      </c>
      <c r="D2172" s="5"/>
      <c r="E2172" s="5" t="str">
        <f ca="1">IFERROR(__xludf.DUMMYFUNCTION("""COMPUTED_VALUE"""),"No Relation")</f>
        <v>No Relation</v>
      </c>
      <c r="F2172" s="5" t="str">
        <f ca="1">IFERROR(__xludf.DUMMYFUNCTION("""COMPUTED_VALUE"""),"Fled/Apprehended")</f>
        <v>Fled/Apprehended</v>
      </c>
      <c r="G2172" s="5" t="str">
        <f ca="1">IFERROR(__xludf.DUMMYFUNCTION("""COMPUTED_VALUE"""),"No")</f>
        <v>No</v>
      </c>
      <c r="H2172" s="5" t="str">
        <f ca="1">IFERROR(__xludf.DUMMYFUNCTION("""COMPUTED_VALUE"""),"None")</f>
        <v>None</v>
      </c>
    </row>
    <row r="2173" spans="1:8" ht="13">
      <c r="A2173" s="5" t="str">
        <f ca="1">IFERROR(__xludf.DUMMYFUNCTION("""COMPUTED_VALUE"""),"19880831MICED")</f>
        <v>19880831MICED</v>
      </c>
      <c r="B2173" s="5">
        <f ca="1">IFERROR(__xludf.DUMMYFUNCTION("""COMPUTED_VALUE"""),16)</f>
        <v>16</v>
      </c>
      <c r="C2173" s="5" t="str">
        <f ca="1">IFERROR(__xludf.DUMMYFUNCTION("""COMPUTED_VALUE"""),"Male")</f>
        <v>Male</v>
      </c>
      <c r="D2173" s="5"/>
      <c r="E2173" s="5" t="str">
        <f ca="1">IFERROR(__xludf.DUMMYFUNCTION("""COMPUTED_VALUE"""),"Former Student")</f>
        <v>Former Student</v>
      </c>
      <c r="F2173" s="5" t="str">
        <f ca="1">IFERROR(__xludf.DUMMYFUNCTION("""COMPUTED_VALUE"""),"Fled/Apprehended")</f>
        <v>Fled/Apprehended</v>
      </c>
      <c r="G2173" s="5" t="str">
        <f ca="1">IFERROR(__xludf.DUMMYFUNCTION("""COMPUTED_VALUE"""),"No")</f>
        <v>No</v>
      </c>
      <c r="H2173" s="5" t="str">
        <f ca="1">IFERROR(__xludf.DUMMYFUNCTION("""COMPUTED_VALUE"""),"None")</f>
        <v>None</v>
      </c>
    </row>
    <row r="2174" spans="1:8" ht="13">
      <c r="A2174" s="5" t="str">
        <f ca="1">IFERROR(__xludf.DUMMYFUNCTION("""COMPUTED_VALUE"""),"19880831MICED")</f>
        <v>19880831MICED</v>
      </c>
      <c r="B2174" s="5">
        <f ca="1">IFERROR(__xludf.DUMMYFUNCTION("""COMPUTED_VALUE"""),17)</f>
        <v>17</v>
      </c>
      <c r="C2174" s="5" t="str">
        <f ca="1">IFERROR(__xludf.DUMMYFUNCTION("""COMPUTED_VALUE"""),"Male")</f>
        <v>Male</v>
      </c>
      <c r="D2174" s="5"/>
      <c r="E2174" s="5" t="str">
        <f ca="1">IFERROR(__xludf.DUMMYFUNCTION("""COMPUTED_VALUE"""),"Former Student")</f>
        <v>Former Student</v>
      </c>
      <c r="F2174" s="5" t="str">
        <f ca="1">IFERROR(__xludf.DUMMYFUNCTION("""COMPUTED_VALUE"""),"Fled/Apprehended")</f>
        <v>Fled/Apprehended</v>
      </c>
      <c r="G2174" s="5" t="str">
        <f ca="1">IFERROR(__xludf.DUMMYFUNCTION("""COMPUTED_VALUE"""),"No")</f>
        <v>No</v>
      </c>
      <c r="H2174" s="5" t="str">
        <f ca="1">IFERROR(__xludf.DUMMYFUNCTION("""COMPUTED_VALUE"""),"None")</f>
        <v>None</v>
      </c>
    </row>
    <row r="2175" spans="1:8" ht="13">
      <c r="A2175" s="5" t="str">
        <f ca="1">IFERROR(__xludf.DUMMYFUNCTION("""COMPUTED_VALUE"""),"19880711MSLAJ")</f>
        <v>19880711MSLAJ</v>
      </c>
      <c r="B2175" s="5">
        <f ca="1">IFERROR(__xludf.DUMMYFUNCTION("""COMPUTED_VALUE"""),17)</f>
        <v>17</v>
      </c>
      <c r="C2175" s="5" t="str">
        <f ca="1">IFERROR(__xludf.DUMMYFUNCTION("""COMPUTED_VALUE"""),"Male")</f>
        <v>Male</v>
      </c>
      <c r="D2175" s="5"/>
      <c r="E2175" s="5" t="str">
        <f ca="1">IFERROR(__xludf.DUMMYFUNCTION("""COMPUTED_VALUE"""),"Student")</f>
        <v>Student</v>
      </c>
      <c r="F2175" s="5" t="str">
        <f ca="1">IFERROR(__xludf.DUMMYFUNCTION("""COMPUTED_VALUE"""),"Fled/Apprehended")</f>
        <v>Fled/Apprehended</v>
      </c>
      <c r="G2175" s="5" t="str">
        <f ca="1">IFERROR(__xludf.DUMMYFUNCTION("""COMPUTED_VALUE"""),"No")</f>
        <v>No</v>
      </c>
      <c r="H2175" s="5" t="str">
        <f ca="1">IFERROR(__xludf.DUMMYFUNCTION("""COMPUTED_VALUE"""),"None")</f>
        <v>None</v>
      </c>
    </row>
    <row r="2176" spans="1:8" ht="13">
      <c r="A2176" s="5" t="str">
        <f ca="1">IFERROR(__xludf.DUMMYFUNCTION("""COMPUTED_VALUE"""),"19880710WISIM")</f>
        <v>19880710WISIM</v>
      </c>
      <c r="B2176" s="5">
        <f ca="1">IFERROR(__xludf.DUMMYFUNCTION("""COMPUTED_VALUE"""),28)</f>
        <v>28</v>
      </c>
      <c r="C2176" s="5" t="str">
        <f ca="1">IFERROR(__xludf.DUMMYFUNCTION("""COMPUTED_VALUE"""),"Male")</f>
        <v>Male</v>
      </c>
      <c r="D2176" s="5"/>
      <c r="E2176" s="5" t="str">
        <f ca="1">IFERROR(__xludf.DUMMYFUNCTION("""COMPUTED_VALUE"""),"Nonstudent Using Athletic Facilities/Attending Game")</f>
        <v>Nonstudent Using Athletic Facilities/Attending Game</v>
      </c>
      <c r="F2176" s="5" t="str">
        <f ca="1">IFERROR(__xludf.DUMMYFUNCTION("""COMPUTED_VALUE"""),"Fled/Escaped")</f>
        <v>Fled/Escaped</v>
      </c>
      <c r="G2176" s="5" t="str">
        <f ca="1">IFERROR(__xludf.DUMMYFUNCTION("""COMPUTED_VALUE"""),"No")</f>
        <v>No</v>
      </c>
      <c r="H2176" s="5" t="str">
        <f ca="1">IFERROR(__xludf.DUMMYFUNCTION("""COMPUTED_VALUE"""),"None")</f>
        <v>None</v>
      </c>
    </row>
    <row r="2177" spans="1:8" ht="13">
      <c r="A2177" s="5" t="str">
        <f ca="1">IFERROR(__xludf.DUMMYFUNCTION("""COMPUTED_VALUE"""),"19880630HIAIO")</f>
        <v>19880630HIAIO</v>
      </c>
      <c r="B2177" s="5">
        <f ca="1">IFERROR(__xludf.DUMMYFUNCTION("""COMPUTED_VALUE"""),18)</f>
        <v>18</v>
      </c>
      <c r="C2177" s="5" t="str">
        <f ca="1">IFERROR(__xludf.DUMMYFUNCTION("""COMPUTED_VALUE"""),"Male")</f>
        <v>Male</v>
      </c>
      <c r="D2177" s="5" t="str">
        <f ca="1">IFERROR(__xludf.DUMMYFUNCTION("""COMPUTED_VALUE"""),"Hawaiian/Pacific Islander")</f>
        <v>Hawaiian/Pacific Islander</v>
      </c>
      <c r="E2177" s="5" t="str">
        <f ca="1">IFERROR(__xludf.DUMMYFUNCTION("""COMPUTED_VALUE"""),"Student")</f>
        <v>Student</v>
      </c>
      <c r="F2177" s="5" t="str">
        <f ca="1">IFERROR(__xludf.DUMMYFUNCTION("""COMPUTED_VALUE"""),"Fled/Apprehended")</f>
        <v>Fled/Apprehended</v>
      </c>
      <c r="G2177" s="5" t="str">
        <f ca="1">IFERROR(__xludf.DUMMYFUNCTION("""COMPUTED_VALUE"""),"No")</f>
        <v>No</v>
      </c>
      <c r="H2177" s="5" t="str">
        <f ca="1">IFERROR(__xludf.DUMMYFUNCTION("""COMPUTED_VALUE"""),"None")</f>
        <v>None</v>
      </c>
    </row>
    <row r="2178" spans="1:8" ht="13">
      <c r="A2178" s="5" t="str">
        <f ca="1">IFERROR(__xludf.DUMMYFUNCTION("""COMPUTED_VALUE"""),"19880617MIJOD")</f>
        <v>19880617MIJOD</v>
      </c>
      <c r="B2178" s="5">
        <f ca="1">IFERROR(__xludf.DUMMYFUNCTION("""COMPUTED_VALUE"""),14)</f>
        <v>14</v>
      </c>
      <c r="C2178" s="5" t="str">
        <f ca="1">IFERROR(__xludf.DUMMYFUNCTION("""COMPUTED_VALUE"""),"Male")</f>
        <v>Male</v>
      </c>
      <c r="D2178" s="5"/>
      <c r="E2178" s="5" t="str">
        <f ca="1">IFERROR(__xludf.DUMMYFUNCTION("""COMPUTED_VALUE"""),"Student")</f>
        <v>Student</v>
      </c>
      <c r="F2178" s="5" t="str">
        <f ca="1">IFERROR(__xludf.DUMMYFUNCTION("""COMPUTED_VALUE"""),"Fled/Apprehended")</f>
        <v>Fled/Apprehended</v>
      </c>
      <c r="G2178" s="5" t="str">
        <f ca="1">IFERROR(__xludf.DUMMYFUNCTION("""COMPUTED_VALUE"""),"No")</f>
        <v>No</v>
      </c>
      <c r="H2178" s="5" t="str">
        <f ca="1">IFERROR(__xludf.DUMMYFUNCTION("""COMPUTED_VALUE"""),"None")</f>
        <v>None</v>
      </c>
    </row>
    <row r="2179" spans="1:8" ht="13">
      <c r="A2179" s="5" t="str">
        <f ca="1">IFERROR(__xludf.DUMMYFUNCTION("""COMPUTED_VALUE"""),"19880602MSWIJ")</f>
        <v>19880602MSWIJ</v>
      </c>
      <c r="B2179" s="5" t="str">
        <f ca="1">IFERROR(__xludf.DUMMYFUNCTION("""COMPUTED_VALUE"""),"Adult")</f>
        <v>Adult</v>
      </c>
      <c r="C2179" s="5" t="str">
        <f ca="1">IFERROR(__xludf.DUMMYFUNCTION("""COMPUTED_VALUE"""),"Male")</f>
        <v>Male</v>
      </c>
      <c r="D2179" s="5"/>
      <c r="E2179" s="5" t="str">
        <f ca="1">IFERROR(__xludf.DUMMYFUNCTION("""COMPUTED_VALUE"""),"Former Student")</f>
        <v>Former Student</v>
      </c>
      <c r="F2179" s="5" t="str">
        <f ca="1">IFERROR(__xludf.DUMMYFUNCTION("""COMPUTED_VALUE"""),"Fled/Apprehended")</f>
        <v>Fled/Apprehended</v>
      </c>
      <c r="G2179" s="5" t="str">
        <f ca="1">IFERROR(__xludf.DUMMYFUNCTION("""COMPUTED_VALUE"""),"No")</f>
        <v>No</v>
      </c>
      <c r="H2179" s="5" t="str">
        <f ca="1">IFERROR(__xludf.DUMMYFUNCTION("""COMPUTED_VALUE"""),"None")</f>
        <v>None</v>
      </c>
    </row>
    <row r="2180" spans="1:8" ht="13">
      <c r="A2180" s="5" t="str">
        <f ca="1">IFERROR(__xludf.DUMMYFUNCTION("""COMPUTED_VALUE"""),"19880602MSWIJ")</f>
        <v>19880602MSWIJ</v>
      </c>
      <c r="B2180" s="5" t="str">
        <f ca="1">IFERROR(__xludf.DUMMYFUNCTION("""COMPUTED_VALUE"""),"Adult")</f>
        <v>Adult</v>
      </c>
      <c r="C2180" s="5" t="str">
        <f ca="1">IFERROR(__xludf.DUMMYFUNCTION("""COMPUTED_VALUE"""),"Male")</f>
        <v>Male</v>
      </c>
      <c r="D2180" s="5"/>
      <c r="E2180" s="5" t="str">
        <f ca="1">IFERROR(__xludf.DUMMYFUNCTION("""COMPUTED_VALUE"""),"Former Student")</f>
        <v>Former Student</v>
      </c>
      <c r="F2180" s="5" t="str">
        <f ca="1">IFERROR(__xludf.DUMMYFUNCTION("""COMPUTED_VALUE"""),"Fled/Apprehended")</f>
        <v>Fled/Apprehended</v>
      </c>
      <c r="G2180" s="5" t="str">
        <f ca="1">IFERROR(__xludf.DUMMYFUNCTION("""COMPUTED_VALUE"""),"No")</f>
        <v>No</v>
      </c>
      <c r="H2180" s="5" t="str">
        <f ca="1">IFERROR(__xludf.DUMMYFUNCTION("""COMPUTED_VALUE"""),"None")</f>
        <v>None</v>
      </c>
    </row>
    <row r="2181" spans="1:8" ht="13">
      <c r="A2181" s="5" t="str">
        <f ca="1">IFERROR(__xludf.DUMMYFUNCTION("""COMPUTED_VALUE"""),"19880602MSWIJ")</f>
        <v>19880602MSWIJ</v>
      </c>
      <c r="B2181" s="5" t="str">
        <f ca="1">IFERROR(__xludf.DUMMYFUNCTION("""COMPUTED_VALUE"""),"Adult")</f>
        <v>Adult</v>
      </c>
      <c r="C2181" s="5" t="str">
        <f ca="1">IFERROR(__xludf.DUMMYFUNCTION("""COMPUTED_VALUE"""),"Male")</f>
        <v>Male</v>
      </c>
      <c r="D2181" s="5"/>
      <c r="E2181" s="5" t="str">
        <f ca="1">IFERROR(__xludf.DUMMYFUNCTION("""COMPUTED_VALUE"""),"Former Student")</f>
        <v>Former Student</v>
      </c>
      <c r="F2181" s="5" t="str">
        <f ca="1">IFERROR(__xludf.DUMMYFUNCTION("""COMPUTED_VALUE"""),"Fled/Apprehended")</f>
        <v>Fled/Apprehended</v>
      </c>
      <c r="G2181" s="5" t="str">
        <f ca="1">IFERROR(__xludf.DUMMYFUNCTION("""COMPUTED_VALUE"""),"No")</f>
        <v>No</v>
      </c>
      <c r="H2181" s="5" t="str">
        <f ca="1">IFERROR(__xludf.DUMMYFUNCTION("""COMPUTED_VALUE"""),"None")</f>
        <v>None</v>
      </c>
    </row>
    <row r="2182" spans="1:8" ht="13">
      <c r="A2182" s="5" t="str">
        <f ca="1">IFERROR(__xludf.DUMMYFUNCTION("""COMPUTED_VALUE"""),"19880531NYPUB")</f>
        <v>19880531NYPUB</v>
      </c>
      <c r="B2182" s="5" t="str">
        <f ca="1">IFERROR(__xludf.DUMMYFUNCTION("""COMPUTED_VALUE"""),"Adult")</f>
        <v>Adult</v>
      </c>
      <c r="C2182" s="5" t="str">
        <f ca="1">IFERROR(__xludf.DUMMYFUNCTION("""COMPUTED_VALUE"""),"Male")</f>
        <v>Male</v>
      </c>
      <c r="D2182" s="5"/>
      <c r="E2182" s="5" t="str">
        <f ca="1">IFERROR(__xludf.DUMMYFUNCTION("""COMPUTED_VALUE"""),"No Relation")</f>
        <v>No Relation</v>
      </c>
      <c r="F2182" s="5" t="str">
        <f ca="1">IFERROR(__xludf.DUMMYFUNCTION("""COMPUTED_VALUE"""),"Fled/Escaped")</f>
        <v>Fled/Escaped</v>
      </c>
      <c r="G2182" s="5" t="str">
        <f ca="1">IFERROR(__xludf.DUMMYFUNCTION("""COMPUTED_VALUE"""),"No")</f>
        <v>No</v>
      </c>
      <c r="H2182" s="5" t="str">
        <f ca="1">IFERROR(__xludf.DUMMYFUNCTION("""COMPUTED_VALUE"""),"None")</f>
        <v>None</v>
      </c>
    </row>
    <row r="2183" spans="1:8" ht="13">
      <c r="A2183" s="5" t="str">
        <f ca="1">IFERROR(__xludf.DUMMYFUNCTION("""COMPUTED_VALUE"""),"19880520ILHUW")</f>
        <v>19880520ILHUW</v>
      </c>
      <c r="B2183" s="5">
        <f ca="1">IFERROR(__xludf.DUMMYFUNCTION("""COMPUTED_VALUE"""),30)</f>
        <v>30</v>
      </c>
      <c r="C2183" s="5" t="str">
        <f ca="1">IFERROR(__xludf.DUMMYFUNCTION("""COMPUTED_VALUE"""),"Female")</f>
        <v>Female</v>
      </c>
      <c r="D2183" s="5" t="str">
        <f ca="1">IFERROR(__xludf.DUMMYFUNCTION("""COMPUTED_VALUE"""),"White")</f>
        <v>White</v>
      </c>
      <c r="E2183" s="5" t="str">
        <f ca="1">IFERROR(__xludf.DUMMYFUNCTION("""COMPUTED_VALUE"""),"Nonstudent")</f>
        <v>Nonstudent</v>
      </c>
      <c r="F2183" s="5" t="str">
        <f ca="1">IFERROR(__xludf.DUMMYFUNCTION("""COMPUTED_VALUE"""),"Fled/Apprehended")</f>
        <v>Fled/Apprehended</v>
      </c>
      <c r="G2183" s="5" t="str">
        <f ca="1">IFERROR(__xludf.DUMMYFUNCTION("""COMPUTED_VALUE"""),"Yes")</f>
        <v>Yes</v>
      </c>
      <c r="H2183" s="5" t="str">
        <f ca="1">IFERROR(__xludf.DUMMYFUNCTION("""COMPUTED_VALUE"""),"Suicide")</f>
        <v>Suicide</v>
      </c>
    </row>
    <row r="2184" spans="1:8" ht="13">
      <c r="A2184" s="5" t="str">
        <f ca="1">IFERROR(__xludf.DUMMYFUNCTION("""COMPUTED_VALUE"""),"19880516FLFOF")</f>
        <v>19880516FLFOF</v>
      </c>
      <c r="B2184" s="5">
        <f ca="1">IFERROR(__xludf.DUMMYFUNCTION("""COMPUTED_VALUE"""),14)</f>
        <v>14</v>
      </c>
      <c r="C2184" s="5" t="str">
        <f ca="1">IFERROR(__xludf.DUMMYFUNCTION("""COMPUTED_VALUE"""),"Male")</f>
        <v>Male</v>
      </c>
      <c r="D2184" s="5"/>
      <c r="E2184" s="5" t="str">
        <f ca="1">IFERROR(__xludf.DUMMYFUNCTION("""COMPUTED_VALUE"""),"Student")</f>
        <v>Student</v>
      </c>
      <c r="F2184" s="5" t="str">
        <f ca="1">IFERROR(__xludf.DUMMYFUNCTION("""COMPUTED_VALUE"""),"Fled/Apprehended")</f>
        <v>Fled/Apprehended</v>
      </c>
      <c r="G2184" s="5" t="str">
        <f ca="1">IFERROR(__xludf.DUMMYFUNCTION("""COMPUTED_VALUE"""),"No")</f>
        <v>No</v>
      </c>
      <c r="H2184" s="5" t="str">
        <f ca="1">IFERROR(__xludf.DUMMYFUNCTION("""COMPUTED_VALUE"""),"None")</f>
        <v>None</v>
      </c>
    </row>
    <row r="2185" spans="1:8" ht="13">
      <c r="A2185" s="5" t="str">
        <f ca="1">IFERROR(__xludf.DUMMYFUNCTION("""COMPUTED_VALUE"""),"19880505ILMAC")</f>
        <v>19880505ILMAC</v>
      </c>
      <c r="B2185" s="5">
        <f ca="1">IFERROR(__xludf.DUMMYFUNCTION("""COMPUTED_VALUE"""),16)</f>
        <v>16</v>
      </c>
      <c r="C2185" s="5" t="str">
        <f ca="1">IFERROR(__xludf.DUMMYFUNCTION("""COMPUTED_VALUE"""),"Male")</f>
        <v>Male</v>
      </c>
      <c r="D2185" s="5"/>
      <c r="E2185" s="5" t="str">
        <f ca="1">IFERROR(__xludf.DUMMYFUNCTION("""COMPUTED_VALUE"""),"Student")</f>
        <v>Student</v>
      </c>
      <c r="F2185" s="5" t="str">
        <f ca="1">IFERROR(__xludf.DUMMYFUNCTION("""COMPUTED_VALUE"""),"Surrendered")</f>
        <v>Surrendered</v>
      </c>
      <c r="G2185" s="5" t="str">
        <f ca="1">IFERROR(__xludf.DUMMYFUNCTION("""COMPUTED_VALUE"""),"No")</f>
        <v>No</v>
      </c>
      <c r="H2185" s="5" t="str">
        <f ca="1">IFERROR(__xludf.DUMMYFUNCTION("""COMPUTED_VALUE"""),"None")</f>
        <v>None</v>
      </c>
    </row>
    <row r="2186" spans="1:8" ht="13">
      <c r="A2186" s="5" t="str">
        <f ca="1">IFERROR(__xludf.DUMMYFUNCTION("""COMPUTED_VALUE"""),"19880324TXTRA")</f>
        <v>19880324TXTRA</v>
      </c>
      <c r="B2186" s="5">
        <f ca="1">IFERROR(__xludf.DUMMYFUNCTION("""COMPUTED_VALUE"""),16)</f>
        <v>16</v>
      </c>
      <c r="C2186" s="5" t="str">
        <f ca="1">IFERROR(__xludf.DUMMYFUNCTION("""COMPUTED_VALUE"""),"Male")</f>
        <v>Male</v>
      </c>
      <c r="D2186" s="5"/>
      <c r="E2186" s="5" t="str">
        <f ca="1">IFERROR(__xludf.DUMMYFUNCTION("""COMPUTED_VALUE"""),"Student")</f>
        <v>Student</v>
      </c>
      <c r="F2186" s="5" t="str">
        <f ca="1">IFERROR(__xludf.DUMMYFUNCTION("""COMPUTED_VALUE"""),"Fled/Apprehended")</f>
        <v>Fled/Apprehended</v>
      </c>
      <c r="G2186" s="5" t="str">
        <f ca="1">IFERROR(__xludf.DUMMYFUNCTION("""COMPUTED_VALUE"""),"No")</f>
        <v>No</v>
      </c>
      <c r="H2186" s="5" t="str">
        <f ca="1">IFERROR(__xludf.DUMMYFUNCTION("""COMPUTED_VALUE"""),"None")</f>
        <v>None</v>
      </c>
    </row>
    <row r="2187" spans="1:8" ht="13">
      <c r="A2187" s="5" t="str">
        <f ca="1">IFERROR(__xludf.DUMMYFUNCTION("""COMPUTED_VALUE"""),"19880323CACAS")</f>
        <v>19880323CACAS</v>
      </c>
      <c r="B2187" s="5"/>
      <c r="C2187" s="5"/>
      <c r="D2187" s="5"/>
      <c r="E2187" s="5" t="str">
        <f ca="1">IFERROR(__xludf.DUMMYFUNCTION("""COMPUTED_VALUE"""),"Unknown")</f>
        <v>Unknown</v>
      </c>
      <c r="F2187" s="5" t="str">
        <f ca="1">IFERROR(__xludf.DUMMYFUNCTION("""COMPUTED_VALUE"""),"Fled/Escaped")</f>
        <v>Fled/Escaped</v>
      </c>
      <c r="G2187" s="5" t="str">
        <f ca="1">IFERROR(__xludf.DUMMYFUNCTION("""COMPUTED_VALUE"""),"No")</f>
        <v>No</v>
      </c>
      <c r="H2187" s="5" t="str">
        <f ca="1">IFERROR(__xludf.DUMMYFUNCTION("""COMPUTED_VALUE"""),"None")</f>
        <v>None</v>
      </c>
    </row>
    <row r="2188" spans="1:8" ht="13">
      <c r="A2188" s="5" t="str">
        <f ca="1">IFERROR(__xludf.DUMMYFUNCTION("""COMPUTED_VALUE"""),"19880304MILED")</f>
        <v>19880304MILED</v>
      </c>
      <c r="B2188" s="5">
        <f ca="1">IFERROR(__xludf.DUMMYFUNCTION("""COMPUTED_VALUE"""),13)</f>
        <v>13</v>
      </c>
      <c r="C2188" s="5" t="str">
        <f ca="1">IFERROR(__xludf.DUMMYFUNCTION("""COMPUTED_VALUE"""),"Female")</f>
        <v>Female</v>
      </c>
      <c r="D2188" s="5"/>
      <c r="E2188" s="5" t="str">
        <f ca="1">IFERROR(__xludf.DUMMYFUNCTION("""COMPUTED_VALUE"""),"Student")</f>
        <v>Student</v>
      </c>
      <c r="F2188" s="5" t="str">
        <f ca="1">IFERROR(__xludf.DUMMYFUNCTION("""COMPUTED_VALUE"""),"Unknown")</f>
        <v>Unknown</v>
      </c>
      <c r="G2188" s="5" t="str">
        <f ca="1">IFERROR(__xludf.DUMMYFUNCTION("""COMPUTED_VALUE"""),"No")</f>
        <v>No</v>
      </c>
      <c r="H2188" s="5" t="str">
        <f ca="1">IFERROR(__xludf.DUMMYFUNCTION("""COMPUTED_VALUE"""),"None")</f>
        <v>None</v>
      </c>
    </row>
    <row r="2189" spans="1:8" ht="13">
      <c r="A2189" s="5" t="str">
        <f ca="1">IFERROR(__xludf.DUMMYFUNCTION("""COMPUTED_VALUE"""),"19880226RIBRB")</f>
        <v>19880226RIBRB</v>
      </c>
      <c r="B2189" s="5">
        <f ca="1">IFERROR(__xludf.DUMMYFUNCTION("""COMPUTED_VALUE"""),15)</f>
        <v>15</v>
      </c>
      <c r="C2189" s="5" t="str">
        <f ca="1">IFERROR(__xludf.DUMMYFUNCTION("""COMPUTED_VALUE"""),"Male")</f>
        <v>Male</v>
      </c>
      <c r="D2189" s="5"/>
      <c r="E2189" s="5" t="str">
        <f ca="1">IFERROR(__xludf.DUMMYFUNCTION("""COMPUTED_VALUE"""),"Student")</f>
        <v>Student</v>
      </c>
      <c r="F2189" s="5" t="str">
        <f ca="1">IFERROR(__xludf.DUMMYFUNCTION("""COMPUTED_VALUE"""),"Fled/Apprehended")</f>
        <v>Fled/Apprehended</v>
      </c>
      <c r="G2189" s="5" t="str">
        <f ca="1">IFERROR(__xludf.DUMMYFUNCTION("""COMPUTED_VALUE"""),"No")</f>
        <v>No</v>
      </c>
      <c r="H2189" s="5" t="str">
        <f ca="1">IFERROR(__xludf.DUMMYFUNCTION("""COMPUTED_VALUE"""),"None")</f>
        <v>None</v>
      </c>
    </row>
    <row r="2190" spans="1:8" ht="13">
      <c r="A2190" s="5" t="str">
        <f ca="1">IFERROR(__xludf.DUMMYFUNCTION("""COMPUTED_VALUE"""),"19880211FLPIL")</f>
        <v>19880211FLPIL</v>
      </c>
      <c r="B2190" s="5">
        <f ca="1">IFERROR(__xludf.DUMMYFUNCTION("""COMPUTED_VALUE"""),15)</f>
        <v>15</v>
      </c>
      <c r="C2190" s="5" t="str">
        <f ca="1">IFERROR(__xludf.DUMMYFUNCTION("""COMPUTED_VALUE"""),"Male")</f>
        <v>Male</v>
      </c>
      <c r="D2190" s="5" t="str">
        <f ca="1">IFERROR(__xludf.DUMMYFUNCTION("""COMPUTED_VALUE"""),"White")</f>
        <v>White</v>
      </c>
      <c r="E2190" s="5" t="str">
        <f ca="1">IFERROR(__xludf.DUMMYFUNCTION("""COMPUTED_VALUE"""),"Student")</f>
        <v>Student</v>
      </c>
      <c r="F2190" s="5" t="str">
        <f ca="1">IFERROR(__xludf.DUMMYFUNCTION("""COMPUTED_VALUE"""),"Fled/Apprehended")</f>
        <v>Fled/Apprehended</v>
      </c>
      <c r="G2190" s="5" t="str">
        <f ca="1">IFERROR(__xludf.DUMMYFUNCTION("""COMPUTED_VALUE"""),"No")</f>
        <v>No</v>
      </c>
      <c r="H2190" s="5" t="str">
        <f ca="1">IFERROR(__xludf.DUMMYFUNCTION("""COMPUTED_VALUE"""),"None")</f>
        <v>None</v>
      </c>
    </row>
    <row r="2191" spans="1:8" ht="13">
      <c r="A2191" s="5" t="str">
        <f ca="1">IFERROR(__xludf.DUMMYFUNCTION("""COMPUTED_VALUE"""),"19880211FLPIL")</f>
        <v>19880211FLPIL</v>
      </c>
      <c r="B2191" s="5">
        <f ca="1">IFERROR(__xludf.DUMMYFUNCTION("""COMPUTED_VALUE"""),15)</f>
        <v>15</v>
      </c>
      <c r="C2191" s="5" t="str">
        <f ca="1">IFERROR(__xludf.DUMMYFUNCTION("""COMPUTED_VALUE"""),"Male")</f>
        <v>Male</v>
      </c>
      <c r="D2191" s="5" t="str">
        <f ca="1">IFERROR(__xludf.DUMMYFUNCTION("""COMPUTED_VALUE"""),"White")</f>
        <v>White</v>
      </c>
      <c r="E2191" s="5" t="str">
        <f ca="1">IFERROR(__xludf.DUMMYFUNCTION("""COMPUTED_VALUE"""),"Student")</f>
        <v>Student</v>
      </c>
      <c r="F2191" s="5" t="str">
        <f ca="1">IFERROR(__xludf.DUMMYFUNCTION("""COMPUTED_VALUE"""),"Fled/Apprehended")</f>
        <v>Fled/Apprehended</v>
      </c>
      <c r="G2191" s="5" t="str">
        <f ca="1">IFERROR(__xludf.DUMMYFUNCTION("""COMPUTED_VALUE"""),"No")</f>
        <v>No</v>
      </c>
      <c r="H2191" s="5" t="str">
        <f ca="1">IFERROR(__xludf.DUMMYFUNCTION("""COMPUTED_VALUE"""),"None")</f>
        <v>None</v>
      </c>
    </row>
    <row r="2192" spans="1:8" ht="13">
      <c r="A2192" s="5" t="str">
        <f ca="1">IFERROR(__xludf.DUMMYFUNCTION("""COMPUTED_VALUE"""),"19880202ALWET")</f>
        <v>19880202ALWET</v>
      </c>
      <c r="B2192" s="5">
        <f ca="1">IFERROR(__xludf.DUMMYFUNCTION("""COMPUTED_VALUE"""),42)</f>
        <v>42</v>
      </c>
      <c r="C2192" s="5" t="str">
        <f ca="1">IFERROR(__xludf.DUMMYFUNCTION("""COMPUTED_VALUE"""),"Male")</f>
        <v>Male</v>
      </c>
      <c r="D2192" s="5"/>
      <c r="E2192" s="5" t="str">
        <f ca="1">IFERROR(__xludf.DUMMYFUNCTION("""COMPUTED_VALUE"""),"No Relation")</f>
        <v>No Relation</v>
      </c>
      <c r="F2192" s="5" t="str">
        <f ca="1">IFERROR(__xludf.DUMMYFUNCTION("""COMPUTED_VALUE"""),"Surrendered")</f>
        <v>Surrendered</v>
      </c>
      <c r="G2192" s="5" t="str">
        <f ca="1">IFERROR(__xludf.DUMMYFUNCTION("""COMPUTED_VALUE"""),"No")</f>
        <v>No</v>
      </c>
      <c r="H2192" s="5" t="str">
        <f ca="1">IFERROR(__xludf.DUMMYFUNCTION("""COMPUTED_VALUE"""),"None")</f>
        <v>None</v>
      </c>
    </row>
    <row r="2193" spans="1:8" ht="13">
      <c r="A2193" s="5" t="str">
        <f ca="1">IFERROR(__xludf.DUMMYFUNCTION("""COMPUTED_VALUE"""),"19880202ALWET")</f>
        <v>19880202ALWET</v>
      </c>
      <c r="B2193" s="5">
        <f ca="1">IFERROR(__xludf.DUMMYFUNCTION("""COMPUTED_VALUE"""),42)</f>
        <v>42</v>
      </c>
      <c r="C2193" s="5" t="str">
        <f ca="1">IFERROR(__xludf.DUMMYFUNCTION("""COMPUTED_VALUE"""),"Male")</f>
        <v>Male</v>
      </c>
      <c r="D2193" s="5"/>
      <c r="E2193" s="5" t="str">
        <f ca="1">IFERROR(__xludf.DUMMYFUNCTION("""COMPUTED_VALUE"""),"No Relation")</f>
        <v>No Relation</v>
      </c>
      <c r="F2193" s="5" t="str">
        <f ca="1">IFERROR(__xludf.DUMMYFUNCTION("""COMPUTED_VALUE"""),"Surrendered")</f>
        <v>Surrendered</v>
      </c>
      <c r="G2193" s="5" t="str">
        <f ca="1">IFERROR(__xludf.DUMMYFUNCTION("""COMPUTED_VALUE"""),"No")</f>
        <v>No</v>
      </c>
      <c r="H2193" s="5" t="str">
        <f ca="1">IFERROR(__xludf.DUMMYFUNCTION("""COMPUTED_VALUE"""),"None")</f>
        <v>None</v>
      </c>
    </row>
    <row r="2194" spans="1:8" ht="13">
      <c r="A2194" s="5" t="str">
        <f ca="1">IFERROR(__xludf.DUMMYFUNCTION("""COMPUTED_VALUE"""),"19880129TXREA")</f>
        <v>19880129TXREA</v>
      </c>
      <c r="B2194" s="5">
        <f ca="1">IFERROR(__xludf.DUMMYFUNCTION("""COMPUTED_VALUE"""),18)</f>
        <v>18</v>
      </c>
      <c r="C2194" s="5" t="str">
        <f ca="1">IFERROR(__xludf.DUMMYFUNCTION("""COMPUTED_VALUE"""),"Male")</f>
        <v>Male</v>
      </c>
      <c r="D2194" s="5"/>
      <c r="E2194" s="5" t="str">
        <f ca="1">IFERROR(__xludf.DUMMYFUNCTION("""COMPUTED_VALUE"""),"Student")</f>
        <v>Student</v>
      </c>
      <c r="F2194" s="5" t="str">
        <f ca="1">IFERROR(__xludf.DUMMYFUNCTION("""COMPUTED_VALUE"""),"Fled/Apprehended")</f>
        <v>Fled/Apprehended</v>
      </c>
      <c r="G2194" s="5" t="str">
        <f ca="1">IFERROR(__xludf.DUMMYFUNCTION("""COMPUTED_VALUE"""),"No")</f>
        <v>No</v>
      </c>
      <c r="H2194" s="5" t="str">
        <f ca="1">IFERROR(__xludf.DUMMYFUNCTION("""COMPUTED_VALUE"""),"None")</f>
        <v>None</v>
      </c>
    </row>
    <row r="2195" spans="1:8" ht="13">
      <c r="A2195" s="5" t="str">
        <f ca="1">IFERROR(__xludf.DUMMYFUNCTION("""COMPUTED_VALUE"""),"19880120LASIR")</f>
        <v>19880120LASIR</v>
      </c>
      <c r="B2195" s="5">
        <f ca="1">IFERROR(__xludf.DUMMYFUNCTION("""COMPUTED_VALUE"""),18)</f>
        <v>18</v>
      </c>
      <c r="C2195" s="5" t="str">
        <f ca="1">IFERROR(__xludf.DUMMYFUNCTION("""COMPUTED_VALUE"""),"Male")</f>
        <v>Male</v>
      </c>
      <c r="D2195" s="5"/>
      <c r="E2195" s="5" t="str">
        <f ca="1">IFERROR(__xludf.DUMMYFUNCTION("""COMPUTED_VALUE"""),"Student")</f>
        <v>Student</v>
      </c>
      <c r="F2195" s="5" t="str">
        <f ca="1">IFERROR(__xludf.DUMMYFUNCTION("""COMPUTED_VALUE"""),"Unknown")</f>
        <v>Unknown</v>
      </c>
      <c r="G2195" s="5" t="str">
        <f ca="1">IFERROR(__xludf.DUMMYFUNCTION("""COMPUTED_VALUE"""),"No")</f>
        <v>No</v>
      </c>
      <c r="H2195" s="5" t="str">
        <f ca="1">IFERROR(__xludf.DUMMYFUNCTION("""COMPUTED_VALUE"""),"None")</f>
        <v>None</v>
      </c>
    </row>
    <row r="2196" spans="1:8" ht="13">
      <c r="A2196" s="5" t="str">
        <f ca="1">IFERROR(__xludf.DUMMYFUNCTION("""COMPUTED_VALUE"""),"19880108PACRM")</f>
        <v>19880108PACRM</v>
      </c>
      <c r="B2196" s="5">
        <f ca="1">IFERROR(__xludf.DUMMYFUNCTION("""COMPUTED_VALUE"""),15)</f>
        <v>15</v>
      </c>
      <c r="C2196" s="5" t="str">
        <f ca="1">IFERROR(__xludf.DUMMYFUNCTION("""COMPUTED_VALUE"""),"Male")</f>
        <v>Male</v>
      </c>
      <c r="D2196" s="5"/>
      <c r="E2196" s="5" t="str">
        <f ca="1">IFERROR(__xludf.DUMMYFUNCTION("""COMPUTED_VALUE"""),"Student")</f>
        <v>Student</v>
      </c>
      <c r="F2196" s="5" t="str">
        <f ca="1">IFERROR(__xludf.DUMMYFUNCTION("""COMPUTED_VALUE"""),"Attempted Suicide")</f>
        <v>Attempted Suicide</v>
      </c>
      <c r="G2196" s="5" t="str">
        <f ca="1">IFERROR(__xludf.DUMMYFUNCTION("""COMPUTED_VALUE"""),"No")</f>
        <v>No</v>
      </c>
      <c r="H2196" s="5" t="str">
        <f ca="1">IFERROR(__xludf.DUMMYFUNCTION("""COMPUTED_VALUE"""),"None")</f>
        <v>None</v>
      </c>
    </row>
    <row r="2197" spans="1:8" ht="13">
      <c r="A2197" s="5" t="str">
        <f ca="1">IFERROR(__xludf.DUMMYFUNCTION("""COMPUTED_VALUE"""),"19880106FLGAT")</f>
        <v>19880106FLGAT</v>
      </c>
      <c r="B2197" s="5">
        <f ca="1">IFERROR(__xludf.DUMMYFUNCTION("""COMPUTED_VALUE"""),17)</f>
        <v>17</v>
      </c>
      <c r="C2197" s="5" t="str">
        <f ca="1">IFERROR(__xludf.DUMMYFUNCTION("""COMPUTED_VALUE"""),"Female")</f>
        <v>Female</v>
      </c>
      <c r="D2197" s="5"/>
      <c r="E2197" s="5" t="str">
        <f ca="1">IFERROR(__xludf.DUMMYFUNCTION("""COMPUTED_VALUE"""),"Student")</f>
        <v>Student</v>
      </c>
      <c r="F2197" s="5" t="str">
        <f ca="1">IFERROR(__xludf.DUMMYFUNCTION("""COMPUTED_VALUE"""),"Attempted Suicide")</f>
        <v>Attempted Suicide</v>
      </c>
      <c r="G2197" s="5" t="str">
        <f ca="1">IFERROR(__xludf.DUMMYFUNCTION("""COMPUTED_VALUE"""),"No")</f>
        <v>No</v>
      </c>
      <c r="H2197" s="5" t="str">
        <f ca="1">IFERROR(__xludf.DUMMYFUNCTION("""COMPUTED_VALUE"""),"Wounded")</f>
        <v>Wounded</v>
      </c>
    </row>
    <row r="2198" spans="1:8" ht="13">
      <c r="A2198" s="5" t="str">
        <f ca="1">IFERROR(__xludf.DUMMYFUNCTION("""COMPUTED_VALUE"""),"19880105PASPS")</f>
        <v>19880105PASPS</v>
      </c>
      <c r="B2198" s="5">
        <f ca="1">IFERROR(__xludf.DUMMYFUNCTION("""COMPUTED_VALUE"""),20)</f>
        <v>20</v>
      </c>
      <c r="C2198" s="5" t="str">
        <f ca="1">IFERROR(__xludf.DUMMYFUNCTION("""COMPUTED_VALUE"""),"Male")</f>
        <v>Male</v>
      </c>
      <c r="D2198" s="5"/>
      <c r="E2198" s="5" t="str">
        <f ca="1">IFERROR(__xludf.DUMMYFUNCTION("""COMPUTED_VALUE"""),"Nonstudent Using Athletic Facilities/Attending Game")</f>
        <v>Nonstudent Using Athletic Facilities/Attending Game</v>
      </c>
      <c r="F2198" s="5" t="str">
        <f ca="1">IFERROR(__xludf.DUMMYFUNCTION("""COMPUTED_VALUE"""),"Fled/Apprehended")</f>
        <v>Fled/Apprehended</v>
      </c>
      <c r="G2198" s="5" t="str">
        <f ca="1">IFERROR(__xludf.DUMMYFUNCTION("""COMPUTED_VALUE"""),"No")</f>
        <v>No</v>
      </c>
      <c r="H2198" s="5" t="str">
        <f ca="1">IFERROR(__xludf.DUMMYFUNCTION("""COMPUTED_VALUE"""),"None")</f>
        <v>None</v>
      </c>
    </row>
    <row r="2199" spans="1:8" ht="13">
      <c r="A2199" s="5" t="str">
        <f ca="1">IFERROR(__xludf.DUMMYFUNCTION("""COMPUTED_VALUE"""),"19871216TXMAK")</f>
        <v>19871216TXMAK</v>
      </c>
      <c r="B2199" s="5">
        <f ca="1">IFERROR(__xludf.DUMMYFUNCTION("""COMPUTED_VALUE"""),15)</f>
        <v>15</v>
      </c>
      <c r="C2199" s="5" t="str">
        <f ca="1">IFERROR(__xludf.DUMMYFUNCTION("""COMPUTED_VALUE"""),"Male")</f>
        <v>Male</v>
      </c>
      <c r="D2199" s="5" t="str">
        <f ca="1">IFERROR(__xludf.DUMMYFUNCTION("""COMPUTED_VALUE"""),"Other")</f>
        <v>Other</v>
      </c>
      <c r="E2199" s="5" t="str">
        <f ca="1">IFERROR(__xludf.DUMMYFUNCTION("""COMPUTED_VALUE"""),"Student")</f>
        <v>Student</v>
      </c>
      <c r="F2199" s="5" t="str">
        <f ca="1">IFERROR(__xludf.DUMMYFUNCTION("""COMPUTED_VALUE"""),"Suicide")</f>
        <v>Suicide</v>
      </c>
      <c r="G2199" s="5" t="str">
        <f ca="1">IFERROR(__xludf.DUMMYFUNCTION("""COMPUTED_VALUE"""),"Yes")</f>
        <v>Yes</v>
      </c>
      <c r="H2199" s="5" t="str">
        <f ca="1">IFERROR(__xludf.DUMMYFUNCTION("""COMPUTED_VALUE"""),"Suicide")</f>
        <v>Suicide</v>
      </c>
    </row>
    <row r="2200" spans="1:8" ht="13">
      <c r="A2200" s="5" t="str">
        <f ca="1">IFERROR(__xludf.DUMMYFUNCTION("""COMPUTED_VALUE"""),"19871215NYGRB")</f>
        <v>19871215NYGRB</v>
      </c>
      <c r="B2200" s="5">
        <f ca="1">IFERROR(__xludf.DUMMYFUNCTION("""COMPUTED_VALUE"""),15)</f>
        <v>15</v>
      </c>
      <c r="C2200" s="5" t="str">
        <f ca="1">IFERROR(__xludf.DUMMYFUNCTION("""COMPUTED_VALUE"""),"Male")</f>
        <v>Male</v>
      </c>
      <c r="D2200" s="5"/>
      <c r="E2200" s="5" t="str">
        <f ca="1">IFERROR(__xludf.DUMMYFUNCTION("""COMPUTED_VALUE"""),"Student")</f>
        <v>Student</v>
      </c>
      <c r="F2200" s="5" t="str">
        <f ca="1">IFERROR(__xludf.DUMMYFUNCTION("""COMPUTED_VALUE"""),"Fled/Apprehended")</f>
        <v>Fled/Apprehended</v>
      </c>
      <c r="G2200" s="5" t="str">
        <f ca="1">IFERROR(__xludf.DUMMYFUNCTION("""COMPUTED_VALUE"""),"No")</f>
        <v>No</v>
      </c>
      <c r="H2200" s="5" t="str">
        <f ca="1">IFERROR(__xludf.DUMMYFUNCTION("""COMPUTED_VALUE"""),"None")</f>
        <v>None</v>
      </c>
    </row>
    <row r="2201" spans="1:8" ht="13">
      <c r="A2201" s="5" t="str">
        <f ca="1">IFERROR(__xludf.DUMMYFUNCTION("""COMPUTED_VALUE"""),"19871204NYEAN")</f>
        <v>19871204NYEAN</v>
      </c>
      <c r="B2201" s="5">
        <f ca="1">IFERROR(__xludf.DUMMYFUNCTION("""COMPUTED_VALUE"""),17)</f>
        <v>17</v>
      </c>
      <c r="C2201" s="5" t="str">
        <f ca="1">IFERROR(__xludf.DUMMYFUNCTION("""COMPUTED_VALUE"""),"Male")</f>
        <v>Male</v>
      </c>
      <c r="D2201" s="5"/>
      <c r="E2201" s="5" t="str">
        <f ca="1">IFERROR(__xludf.DUMMYFUNCTION("""COMPUTED_VALUE"""),"Student")</f>
        <v>Student</v>
      </c>
      <c r="F2201" s="5" t="str">
        <f ca="1">IFERROR(__xludf.DUMMYFUNCTION("""COMPUTED_VALUE"""),"Fled/Apprehended")</f>
        <v>Fled/Apprehended</v>
      </c>
      <c r="G2201" s="5" t="str">
        <f ca="1">IFERROR(__xludf.DUMMYFUNCTION("""COMPUTED_VALUE"""),"No")</f>
        <v>No</v>
      </c>
      <c r="H2201" s="5" t="str">
        <f ca="1">IFERROR(__xludf.DUMMYFUNCTION("""COMPUTED_VALUE"""),"None")</f>
        <v>None</v>
      </c>
    </row>
    <row r="2202" spans="1:8" ht="13">
      <c r="A2202" s="5" t="str">
        <f ca="1">IFERROR(__xludf.DUMMYFUNCTION("""COMPUTED_VALUE"""),"19871202FLENJ")</f>
        <v>19871202FLENJ</v>
      </c>
      <c r="B2202" s="5">
        <f ca="1">IFERROR(__xludf.DUMMYFUNCTION("""COMPUTED_VALUE"""),16)</f>
        <v>16</v>
      </c>
      <c r="C2202" s="5" t="str">
        <f ca="1">IFERROR(__xludf.DUMMYFUNCTION("""COMPUTED_VALUE"""),"Male")</f>
        <v>Male</v>
      </c>
      <c r="D2202" s="5"/>
      <c r="E2202" s="5" t="str">
        <f ca="1">IFERROR(__xludf.DUMMYFUNCTION("""COMPUTED_VALUE"""),"Student")</f>
        <v>Student</v>
      </c>
      <c r="F2202" s="5" t="str">
        <f ca="1">IFERROR(__xludf.DUMMYFUNCTION("""COMPUTED_VALUE"""),"Surrendered")</f>
        <v>Surrendered</v>
      </c>
      <c r="G2202" s="5" t="str">
        <f ca="1">IFERROR(__xludf.DUMMYFUNCTION("""COMPUTED_VALUE"""),"No")</f>
        <v>No</v>
      </c>
      <c r="H2202" s="5" t="str">
        <f ca="1">IFERROR(__xludf.DUMMYFUNCTION("""COMPUTED_VALUE"""),"None")</f>
        <v>None</v>
      </c>
    </row>
    <row r="2203" spans="1:8" ht="13">
      <c r="A2203" s="5" t="str">
        <f ca="1">IFERROR(__xludf.DUMMYFUNCTION("""COMPUTED_VALUE"""),"19871130TXPES")</f>
        <v>19871130TXPES</v>
      </c>
      <c r="B2203" s="5">
        <f ca="1">IFERROR(__xludf.DUMMYFUNCTION("""COMPUTED_VALUE"""),51)</f>
        <v>51</v>
      </c>
      <c r="C2203" s="5" t="str">
        <f ca="1">IFERROR(__xludf.DUMMYFUNCTION("""COMPUTED_VALUE"""),"Male")</f>
        <v>Male</v>
      </c>
      <c r="D2203" s="5"/>
      <c r="E2203" s="5" t="str">
        <f ca="1">IFERROR(__xludf.DUMMYFUNCTION("""COMPUTED_VALUE"""),"Intimate Relationship")</f>
        <v>Intimate Relationship</v>
      </c>
      <c r="F2203" s="5" t="str">
        <f ca="1">IFERROR(__xludf.DUMMYFUNCTION("""COMPUTED_VALUE"""),"Suicide")</f>
        <v>Suicide</v>
      </c>
      <c r="G2203" s="5" t="str">
        <f ca="1">IFERROR(__xludf.DUMMYFUNCTION("""COMPUTED_VALUE"""),"Yes")</f>
        <v>Yes</v>
      </c>
      <c r="H2203" s="5" t="str">
        <f ca="1">IFERROR(__xludf.DUMMYFUNCTION("""COMPUTED_VALUE"""),"Suicide")</f>
        <v>Suicide</v>
      </c>
    </row>
    <row r="2204" spans="1:8" ht="13">
      <c r="A2204" s="5" t="str">
        <f ca="1">IFERROR(__xludf.DUMMYFUNCTION("""COMPUTED_VALUE"""),"19871114FLCLC")</f>
        <v>19871114FLCLC</v>
      </c>
      <c r="B2204" s="5">
        <f ca="1">IFERROR(__xludf.DUMMYFUNCTION("""COMPUTED_VALUE"""),18)</f>
        <v>18</v>
      </c>
      <c r="C2204" s="5" t="str">
        <f ca="1">IFERROR(__xludf.DUMMYFUNCTION("""COMPUTED_VALUE"""),"Male")</f>
        <v>Male</v>
      </c>
      <c r="D2204" s="5"/>
      <c r="E2204" s="5" t="str">
        <f ca="1">IFERROR(__xludf.DUMMYFUNCTION("""COMPUTED_VALUE"""),"Student")</f>
        <v>Student</v>
      </c>
      <c r="F2204" s="5" t="str">
        <f ca="1">IFERROR(__xludf.DUMMYFUNCTION("""COMPUTED_VALUE"""),"Suicide")</f>
        <v>Suicide</v>
      </c>
      <c r="G2204" s="5" t="str">
        <f ca="1">IFERROR(__xludf.DUMMYFUNCTION("""COMPUTED_VALUE"""),"Yes")</f>
        <v>Yes</v>
      </c>
      <c r="H2204" s="5" t="str">
        <f ca="1">IFERROR(__xludf.DUMMYFUNCTION("""COMPUTED_VALUE"""),"Suicide")</f>
        <v>Suicide</v>
      </c>
    </row>
    <row r="2205" spans="1:8" ht="13">
      <c r="A2205" s="5" t="str">
        <f ca="1">IFERROR(__xludf.DUMMYFUNCTION("""COMPUTED_VALUE"""),"19871104MISOD")</f>
        <v>19871104MISOD</v>
      </c>
      <c r="B2205" s="5"/>
      <c r="C2205" s="5" t="str">
        <f ca="1">IFERROR(__xludf.DUMMYFUNCTION("""COMPUTED_VALUE"""),"Male")</f>
        <v>Male</v>
      </c>
      <c r="D2205" s="5"/>
      <c r="E2205" s="5" t="str">
        <f ca="1">IFERROR(__xludf.DUMMYFUNCTION("""COMPUTED_VALUE"""),"No Relation")</f>
        <v>No Relation</v>
      </c>
      <c r="F2205" s="5" t="str">
        <f ca="1">IFERROR(__xludf.DUMMYFUNCTION("""COMPUTED_VALUE"""),"Fled/Escaped")</f>
        <v>Fled/Escaped</v>
      </c>
      <c r="G2205" s="5" t="str">
        <f ca="1">IFERROR(__xludf.DUMMYFUNCTION("""COMPUTED_VALUE"""),"No")</f>
        <v>No</v>
      </c>
      <c r="H2205" s="5" t="str">
        <f ca="1">IFERROR(__xludf.DUMMYFUNCTION("""COMPUTED_VALUE"""),"None")</f>
        <v>None</v>
      </c>
    </row>
    <row r="2206" spans="1:8" ht="13">
      <c r="A2206" s="5" t="str">
        <f ca="1">IFERROR(__xludf.DUMMYFUNCTION("""COMPUTED_VALUE"""),"19871031SCANA")</f>
        <v>19871031SCANA</v>
      </c>
      <c r="B2206" s="5"/>
      <c r="C2206" s="5" t="str">
        <f ca="1">IFERROR(__xludf.DUMMYFUNCTION("""COMPUTED_VALUE"""),"Male")</f>
        <v>Male</v>
      </c>
      <c r="D2206" s="5"/>
      <c r="E2206" s="5"/>
      <c r="F2206" s="5" t="str">
        <f ca="1">IFERROR(__xludf.DUMMYFUNCTION("""COMPUTED_VALUE"""),"Fled/Escaped")</f>
        <v>Fled/Escaped</v>
      </c>
      <c r="G2206" s="5" t="str">
        <f ca="1">IFERROR(__xludf.DUMMYFUNCTION("""COMPUTED_VALUE"""),"No")</f>
        <v>No</v>
      </c>
      <c r="H2206" s="5" t="str">
        <f ca="1">IFERROR(__xludf.DUMMYFUNCTION("""COMPUTED_VALUE"""),"None")</f>
        <v>None</v>
      </c>
    </row>
    <row r="2207" spans="1:8" ht="13">
      <c r="A2207" s="5" t="str">
        <f ca="1">IFERROR(__xludf.DUMMYFUNCTION("""COMPUTED_VALUE"""),"19871030NCSOK")</f>
        <v>19871030NCSOK</v>
      </c>
      <c r="B2207" s="5">
        <f ca="1">IFERROR(__xludf.DUMMYFUNCTION("""COMPUTED_VALUE"""),15)</f>
        <v>15</v>
      </c>
      <c r="C2207" s="5" t="str">
        <f ca="1">IFERROR(__xludf.DUMMYFUNCTION("""COMPUTED_VALUE"""),"Male")</f>
        <v>Male</v>
      </c>
      <c r="D2207" s="5"/>
      <c r="E2207" s="5" t="str">
        <f ca="1">IFERROR(__xludf.DUMMYFUNCTION("""COMPUTED_VALUE"""),"Relative")</f>
        <v>Relative</v>
      </c>
      <c r="F2207" s="5" t="str">
        <f ca="1">IFERROR(__xludf.DUMMYFUNCTION("""COMPUTED_VALUE"""),"Fled/Apprehended")</f>
        <v>Fled/Apprehended</v>
      </c>
      <c r="G2207" s="5" t="str">
        <f ca="1">IFERROR(__xludf.DUMMYFUNCTION("""COMPUTED_VALUE"""),"No")</f>
        <v>No</v>
      </c>
      <c r="H2207" s="5" t="str">
        <f ca="1">IFERROR(__xludf.DUMMYFUNCTION("""COMPUTED_VALUE"""),"None")</f>
        <v>None</v>
      </c>
    </row>
    <row r="2208" spans="1:8" ht="13">
      <c r="A2208" s="5" t="str">
        <f ca="1">IFERROR(__xludf.DUMMYFUNCTION("""COMPUTED_VALUE"""),"19871014ILDUC")</f>
        <v>19871014ILDUC</v>
      </c>
      <c r="B2208" s="5">
        <f ca="1">IFERROR(__xludf.DUMMYFUNCTION("""COMPUTED_VALUE"""),16)</f>
        <v>16</v>
      </c>
      <c r="C2208" s="5" t="str">
        <f ca="1">IFERROR(__xludf.DUMMYFUNCTION("""COMPUTED_VALUE"""),"Male")</f>
        <v>Male</v>
      </c>
      <c r="D2208" s="5"/>
      <c r="E2208" s="5" t="str">
        <f ca="1">IFERROR(__xludf.DUMMYFUNCTION("""COMPUTED_VALUE"""),"Student")</f>
        <v>Student</v>
      </c>
      <c r="F2208" s="5" t="str">
        <f ca="1">IFERROR(__xludf.DUMMYFUNCTION("""COMPUTED_VALUE"""),"Fled/Apprehended")</f>
        <v>Fled/Apprehended</v>
      </c>
      <c r="G2208" s="5" t="str">
        <f ca="1">IFERROR(__xludf.DUMMYFUNCTION("""COMPUTED_VALUE"""),"No")</f>
        <v>No</v>
      </c>
      <c r="H2208" s="5" t="str">
        <f ca="1">IFERROR(__xludf.DUMMYFUNCTION("""COMPUTED_VALUE"""),"None")</f>
        <v>None</v>
      </c>
    </row>
    <row r="2209" spans="1:8" ht="13">
      <c r="A2209" s="5" t="str">
        <f ca="1">IFERROR(__xludf.DUMMYFUNCTION("""COMPUTED_VALUE"""),"19870928ILILL")</f>
        <v>19870928ILILL</v>
      </c>
      <c r="B2209" s="5">
        <f ca="1">IFERROR(__xludf.DUMMYFUNCTION("""COMPUTED_VALUE"""),16)</f>
        <v>16</v>
      </c>
      <c r="C2209" s="5" t="str">
        <f ca="1">IFERROR(__xludf.DUMMYFUNCTION("""COMPUTED_VALUE"""),"Male")</f>
        <v>Male</v>
      </c>
      <c r="D2209" s="5"/>
      <c r="E2209" s="5" t="str">
        <f ca="1">IFERROR(__xludf.DUMMYFUNCTION("""COMPUTED_VALUE"""),"Student")</f>
        <v>Student</v>
      </c>
      <c r="F2209" s="5" t="str">
        <f ca="1">IFERROR(__xludf.DUMMYFUNCTION("""COMPUTED_VALUE"""),"Fled/Apprehended")</f>
        <v>Fled/Apprehended</v>
      </c>
      <c r="G2209" s="5" t="str">
        <f ca="1">IFERROR(__xludf.DUMMYFUNCTION("""COMPUTED_VALUE"""),"No")</f>
        <v>No</v>
      </c>
      <c r="H2209" s="5" t="str">
        <f ca="1">IFERROR(__xludf.DUMMYFUNCTION("""COMPUTED_VALUE"""),"None")</f>
        <v>None</v>
      </c>
    </row>
    <row r="2210" spans="1:8" ht="13">
      <c r="A2210" s="5" t="str">
        <f ca="1">IFERROR(__xludf.DUMMYFUNCTION("""COMPUTED_VALUE"""),"19870513ILOAO")</f>
        <v>19870513ILOAO</v>
      </c>
      <c r="B2210" s="5">
        <f ca="1">IFERROR(__xludf.DUMMYFUNCTION("""COMPUTED_VALUE"""),17)</f>
        <v>17</v>
      </c>
      <c r="C2210" s="5" t="str">
        <f ca="1">IFERROR(__xludf.DUMMYFUNCTION("""COMPUTED_VALUE"""),"Male")</f>
        <v>Male</v>
      </c>
      <c r="D2210" s="5"/>
      <c r="E2210" s="5" t="str">
        <f ca="1">IFERROR(__xludf.DUMMYFUNCTION("""COMPUTED_VALUE"""),"Student")</f>
        <v>Student</v>
      </c>
      <c r="F2210" s="5" t="str">
        <f ca="1">IFERROR(__xludf.DUMMYFUNCTION("""COMPUTED_VALUE"""),"Attempted Suicide")</f>
        <v>Attempted Suicide</v>
      </c>
      <c r="G2210" s="5" t="str">
        <f ca="1">IFERROR(__xludf.DUMMYFUNCTION("""COMPUTED_VALUE"""),"No")</f>
        <v>No</v>
      </c>
      <c r="H2210" s="5" t="str">
        <f ca="1">IFERROR(__xludf.DUMMYFUNCTION("""COMPUTED_VALUE"""),"Wounded")</f>
        <v>Wounded</v>
      </c>
    </row>
    <row r="2211" spans="1:8" ht="13">
      <c r="A2211" s="5" t="str">
        <f ca="1">IFERROR(__xludf.DUMMYFUNCTION("""COMPUTED_VALUE"""),"19870506FLLET")</f>
        <v>19870506FLLET</v>
      </c>
      <c r="B2211" s="5">
        <f ca="1">IFERROR(__xludf.DUMMYFUNCTION("""COMPUTED_VALUE"""),15)</f>
        <v>15</v>
      </c>
      <c r="C2211" s="5" t="str">
        <f ca="1">IFERROR(__xludf.DUMMYFUNCTION("""COMPUTED_VALUE"""),"Male")</f>
        <v>Male</v>
      </c>
      <c r="D2211" s="5" t="str">
        <f ca="1">IFERROR(__xludf.DUMMYFUNCTION("""COMPUTED_VALUE"""),"White")</f>
        <v>White</v>
      </c>
      <c r="E2211" s="5" t="str">
        <f ca="1">IFERROR(__xludf.DUMMYFUNCTION("""COMPUTED_VALUE"""),"Student")</f>
        <v>Student</v>
      </c>
      <c r="F2211" s="5" t="str">
        <f ca="1">IFERROR(__xludf.DUMMYFUNCTION("""COMPUTED_VALUE"""),"Suicide")</f>
        <v>Suicide</v>
      </c>
      <c r="G2211" s="5" t="str">
        <f ca="1">IFERROR(__xludf.DUMMYFUNCTION("""COMPUTED_VALUE"""),"Yes")</f>
        <v>Yes</v>
      </c>
      <c r="H2211" s="5" t="str">
        <f ca="1">IFERROR(__xludf.DUMMYFUNCTION("""COMPUTED_VALUE"""),"Suicide")</f>
        <v>Suicide</v>
      </c>
    </row>
    <row r="2212" spans="1:8" ht="13">
      <c r="A2212" s="5" t="str">
        <f ca="1">IFERROR(__xludf.DUMMYFUNCTION("""COMPUTED_VALUE"""),"19870506ARMAJ")</f>
        <v>19870506ARMAJ</v>
      </c>
      <c r="B2212" s="5">
        <f ca="1">IFERROR(__xludf.DUMMYFUNCTION("""COMPUTED_VALUE"""),15)</f>
        <v>15</v>
      </c>
      <c r="C2212" s="5" t="str">
        <f ca="1">IFERROR(__xludf.DUMMYFUNCTION("""COMPUTED_VALUE"""),"Male")</f>
        <v>Male</v>
      </c>
      <c r="D2212" s="5"/>
      <c r="E2212" s="5" t="str">
        <f ca="1">IFERROR(__xludf.DUMMYFUNCTION("""COMPUTED_VALUE"""),"Student")</f>
        <v>Student</v>
      </c>
      <c r="F2212" s="5" t="str">
        <f ca="1">IFERROR(__xludf.DUMMYFUNCTION("""COMPUTED_VALUE"""),"Attempted Suicide")</f>
        <v>Attempted Suicide</v>
      </c>
      <c r="G2212" s="5" t="str">
        <f ca="1">IFERROR(__xludf.DUMMYFUNCTION("""COMPUTED_VALUE"""),"No")</f>
        <v>No</v>
      </c>
      <c r="H2212" s="5" t="str">
        <f ca="1">IFERROR(__xludf.DUMMYFUNCTION("""COMPUTED_VALUE"""),"Wounded")</f>
        <v>Wounded</v>
      </c>
    </row>
    <row r="2213" spans="1:8" ht="13">
      <c r="A2213" s="5" t="str">
        <f ca="1">IFERROR(__xludf.DUMMYFUNCTION("""COMPUTED_VALUE"""),"19870503INPII")</f>
        <v>19870503INPII</v>
      </c>
      <c r="B2213" s="5">
        <f ca="1">IFERROR(__xludf.DUMMYFUNCTION("""COMPUTED_VALUE"""),17)</f>
        <v>17</v>
      </c>
      <c r="C2213" s="5" t="str">
        <f ca="1">IFERROR(__xludf.DUMMYFUNCTION("""COMPUTED_VALUE"""),"Male")</f>
        <v>Male</v>
      </c>
      <c r="D2213" s="5" t="str">
        <f ca="1">IFERROR(__xludf.DUMMYFUNCTION("""COMPUTED_VALUE"""),"Black")</f>
        <v>Black</v>
      </c>
      <c r="E2213" s="5" t="str">
        <f ca="1">IFERROR(__xludf.DUMMYFUNCTION("""COMPUTED_VALUE"""),"Unknown")</f>
        <v>Unknown</v>
      </c>
      <c r="F2213" s="5" t="str">
        <f ca="1">IFERROR(__xludf.DUMMYFUNCTION("""COMPUTED_VALUE"""),"Fled/Apprehended")</f>
        <v>Fled/Apprehended</v>
      </c>
      <c r="G2213" s="5" t="str">
        <f ca="1">IFERROR(__xludf.DUMMYFUNCTION("""COMPUTED_VALUE"""),"No")</f>
        <v>No</v>
      </c>
      <c r="H2213" s="5" t="str">
        <f ca="1">IFERROR(__xludf.DUMMYFUNCTION("""COMPUTED_VALUE"""),"None")</f>
        <v>None</v>
      </c>
    </row>
    <row r="2214" spans="1:8" ht="13">
      <c r="A2214" s="5" t="str">
        <f ca="1">IFERROR(__xludf.DUMMYFUNCTION("""COMPUTED_VALUE"""),"19870430ORGRP")</f>
        <v>19870430ORGRP</v>
      </c>
      <c r="B2214" s="5">
        <f ca="1">IFERROR(__xludf.DUMMYFUNCTION("""COMPUTED_VALUE"""),16)</f>
        <v>16</v>
      </c>
      <c r="C2214" s="5" t="str">
        <f ca="1">IFERROR(__xludf.DUMMYFUNCTION("""COMPUTED_VALUE"""),"Male")</f>
        <v>Male</v>
      </c>
      <c r="D2214" s="5"/>
      <c r="E2214" s="5" t="str">
        <f ca="1">IFERROR(__xludf.DUMMYFUNCTION("""COMPUTED_VALUE"""),"Student")</f>
        <v>Student</v>
      </c>
      <c r="F2214" s="5" t="str">
        <f ca="1">IFERROR(__xludf.DUMMYFUNCTION("""COMPUTED_VALUE"""),"Fled/Apprehended")</f>
        <v>Fled/Apprehended</v>
      </c>
      <c r="G2214" s="5" t="str">
        <f ca="1">IFERROR(__xludf.DUMMYFUNCTION("""COMPUTED_VALUE"""),"No")</f>
        <v>No</v>
      </c>
      <c r="H2214" s="5" t="str">
        <f ca="1">IFERROR(__xludf.DUMMYFUNCTION("""COMPUTED_VALUE"""),"None")</f>
        <v>None</v>
      </c>
    </row>
    <row r="2215" spans="1:8" ht="13">
      <c r="A2215" s="5" t="str">
        <f ca="1">IFERROR(__xludf.DUMMYFUNCTION("""COMPUTED_VALUE"""),"19870416MIMUD")</f>
        <v>19870416MIMUD</v>
      </c>
      <c r="B2215" s="5">
        <f ca="1">IFERROR(__xludf.DUMMYFUNCTION("""COMPUTED_VALUE"""),14)</f>
        <v>14</v>
      </c>
      <c r="C2215" s="5" t="str">
        <f ca="1">IFERROR(__xludf.DUMMYFUNCTION("""COMPUTED_VALUE"""),"Male")</f>
        <v>Male</v>
      </c>
      <c r="D2215" s="5"/>
      <c r="E2215" s="5" t="str">
        <f ca="1">IFERROR(__xludf.DUMMYFUNCTION("""COMPUTED_VALUE"""),"Student")</f>
        <v>Student</v>
      </c>
      <c r="F2215" s="5" t="str">
        <f ca="1">IFERROR(__xludf.DUMMYFUNCTION("""COMPUTED_VALUE"""),"Fled/Apprehended")</f>
        <v>Fled/Apprehended</v>
      </c>
      <c r="G2215" s="5" t="str">
        <f ca="1">IFERROR(__xludf.DUMMYFUNCTION("""COMPUTED_VALUE"""),"No")</f>
        <v>No</v>
      </c>
      <c r="H2215" s="5" t="str">
        <f ca="1">IFERROR(__xludf.DUMMYFUNCTION("""COMPUTED_VALUE"""),"None")</f>
        <v>None</v>
      </c>
    </row>
    <row r="2216" spans="1:8" ht="13">
      <c r="A2216" s="5" t="str">
        <f ca="1">IFERROR(__xludf.DUMMYFUNCTION("""COMPUTED_VALUE"""),"19870330CAPAS")</f>
        <v>19870330CAPAS</v>
      </c>
      <c r="B2216" s="5">
        <f ca="1">IFERROR(__xludf.DUMMYFUNCTION("""COMPUTED_VALUE"""),44)</f>
        <v>44</v>
      </c>
      <c r="C2216" s="5" t="str">
        <f ca="1">IFERROR(__xludf.DUMMYFUNCTION("""COMPUTED_VALUE"""),"Female")</f>
        <v>Female</v>
      </c>
      <c r="D2216" s="5"/>
      <c r="E2216" s="5" t="str">
        <f ca="1">IFERROR(__xludf.DUMMYFUNCTION("""COMPUTED_VALUE"""),"No Relation")</f>
        <v>No Relation</v>
      </c>
      <c r="F2216" s="5" t="str">
        <f ca="1">IFERROR(__xludf.DUMMYFUNCTION("""COMPUTED_VALUE"""),"Suicide")</f>
        <v>Suicide</v>
      </c>
      <c r="G2216" s="5" t="str">
        <f ca="1">IFERROR(__xludf.DUMMYFUNCTION("""COMPUTED_VALUE"""),"Yes")</f>
        <v>Yes</v>
      </c>
      <c r="H2216" s="5" t="str">
        <f ca="1">IFERROR(__xludf.DUMMYFUNCTION("""COMPUTED_VALUE"""),"Suicide")</f>
        <v>Suicide</v>
      </c>
    </row>
    <row r="2217" spans="1:8" ht="13">
      <c r="A2217" s="5" t="str">
        <f ca="1">IFERROR(__xludf.DUMMYFUNCTION("""COMPUTED_VALUE"""),"19870306TXRIE")</f>
        <v>19870306TXRIE</v>
      </c>
      <c r="B2217" s="5">
        <f ca="1">IFERROR(__xludf.DUMMYFUNCTION("""COMPUTED_VALUE"""),19)</f>
        <v>19</v>
      </c>
      <c r="C2217" s="5" t="str">
        <f ca="1">IFERROR(__xludf.DUMMYFUNCTION("""COMPUTED_VALUE"""),"Male")</f>
        <v>Male</v>
      </c>
      <c r="D2217" s="5"/>
      <c r="E2217" s="5" t="str">
        <f ca="1">IFERROR(__xludf.DUMMYFUNCTION("""COMPUTED_VALUE"""),"No Relation")</f>
        <v>No Relation</v>
      </c>
      <c r="F2217" s="5" t="str">
        <f ca="1">IFERROR(__xludf.DUMMYFUNCTION("""COMPUTED_VALUE"""),"Fled/Apprehended")</f>
        <v>Fled/Apprehended</v>
      </c>
      <c r="G2217" s="5" t="str">
        <f ca="1">IFERROR(__xludf.DUMMYFUNCTION("""COMPUTED_VALUE"""),"No")</f>
        <v>No</v>
      </c>
      <c r="H2217" s="5" t="str">
        <f ca="1">IFERROR(__xludf.DUMMYFUNCTION("""COMPUTED_VALUE"""),"None")</f>
        <v>None</v>
      </c>
    </row>
    <row r="2218" spans="1:8" ht="13">
      <c r="A2218" s="5" t="str">
        <f ca="1">IFERROR(__xludf.DUMMYFUNCTION("""COMPUTED_VALUE"""),"19870306TXRIE")</f>
        <v>19870306TXRIE</v>
      </c>
      <c r="B2218" s="5" t="str">
        <f ca="1">IFERROR(__xludf.DUMMYFUNCTION("""COMPUTED_VALUE"""),"Adult")</f>
        <v>Adult</v>
      </c>
      <c r="C2218" s="5" t="str">
        <f ca="1">IFERROR(__xludf.DUMMYFUNCTION("""COMPUTED_VALUE"""),"Male")</f>
        <v>Male</v>
      </c>
      <c r="D2218" s="5"/>
      <c r="E2218" s="5" t="str">
        <f ca="1">IFERROR(__xludf.DUMMYFUNCTION("""COMPUTED_VALUE"""),"No Relation")</f>
        <v>No Relation</v>
      </c>
      <c r="F2218" s="5" t="str">
        <f ca="1">IFERROR(__xludf.DUMMYFUNCTION("""COMPUTED_VALUE"""),"Fled/Apprehended")</f>
        <v>Fled/Apprehended</v>
      </c>
      <c r="G2218" s="5" t="str">
        <f ca="1">IFERROR(__xludf.DUMMYFUNCTION("""COMPUTED_VALUE"""),"No")</f>
        <v>No</v>
      </c>
      <c r="H2218" s="5" t="str">
        <f ca="1">IFERROR(__xludf.DUMMYFUNCTION("""COMPUTED_VALUE"""),"None")</f>
        <v>None</v>
      </c>
    </row>
    <row r="2219" spans="1:8" ht="13">
      <c r="A2219" s="5" t="str">
        <f ca="1">IFERROR(__xludf.DUMMYFUNCTION("""COMPUTED_VALUE"""),"19870302MODED")</f>
        <v>19870302MODED</v>
      </c>
      <c r="B2219" s="5">
        <f ca="1">IFERROR(__xludf.DUMMYFUNCTION("""COMPUTED_VALUE"""),12)</f>
        <v>12</v>
      </c>
      <c r="C2219" s="5" t="str">
        <f ca="1">IFERROR(__xludf.DUMMYFUNCTION("""COMPUTED_VALUE"""),"Male")</f>
        <v>Male</v>
      </c>
      <c r="D2219" s="5" t="str">
        <f ca="1">IFERROR(__xludf.DUMMYFUNCTION("""COMPUTED_VALUE"""),"White")</f>
        <v>White</v>
      </c>
      <c r="E2219" s="5" t="str">
        <f ca="1">IFERROR(__xludf.DUMMYFUNCTION("""COMPUTED_VALUE"""),"Student")</f>
        <v>Student</v>
      </c>
      <c r="F2219" s="5" t="str">
        <f ca="1">IFERROR(__xludf.DUMMYFUNCTION("""COMPUTED_VALUE"""),"Suicide")</f>
        <v>Suicide</v>
      </c>
      <c r="G2219" s="5" t="str">
        <f ca="1">IFERROR(__xludf.DUMMYFUNCTION("""COMPUTED_VALUE"""),"Yes")</f>
        <v>Yes</v>
      </c>
      <c r="H2219" s="5" t="str">
        <f ca="1">IFERROR(__xludf.DUMMYFUNCTION("""COMPUTED_VALUE"""),"Suicide")</f>
        <v>Suicide</v>
      </c>
    </row>
    <row r="2220" spans="1:8" ht="13">
      <c r="A2220" s="5" t="str">
        <f ca="1">IFERROR(__xludf.DUMMYFUNCTION("""COMPUTED_VALUE"""),"19870224NYMON")</f>
        <v>19870224NYMON</v>
      </c>
      <c r="B2220" s="5" t="str">
        <f ca="1">IFERROR(__xludf.DUMMYFUNCTION("""COMPUTED_VALUE"""),"Adult")</f>
        <v>Adult</v>
      </c>
      <c r="C2220" s="5" t="str">
        <f ca="1">IFERROR(__xludf.DUMMYFUNCTION("""COMPUTED_VALUE"""),"Male")</f>
        <v>Male</v>
      </c>
      <c r="D2220" s="5"/>
      <c r="E2220" s="5" t="str">
        <f ca="1">IFERROR(__xludf.DUMMYFUNCTION("""COMPUTED_VALUE"""),"No Relation")</f>
        <v>No Relation</v>
      </c>
      <c r="F2220" s="5" t="str">
        <f ca="1">IFERROR(__xludf.DUMMYFUNCTION("""COMPUTED_VALUE"""),"Fled/Escaped")</f>
        <v>Fled/Escaped</v>
      </c>
      <c r="G2220" s="5" t="str">
        <f ca="1">IFERROR(__xludf.DUMMYFUNCTION("""COMPUTED_VALUE"""),"No")</f>
        <v>No</v>
      </c>
      <c r="H2220" s="5" t="str">
        <f ca="1">IFERROR(__xludf.DUMMYFUNCTION("""COMPUTED_VALUE"""),"None")</f>
        <v>None</v>
      </c>
    </row>
    <row r="2221" spans="1:8" ht="13">
      <c r="A2221" s="5" t="str">
        <f ca="1">IFERROR(__xludf.DUMMYFUNCTION("""COMPUTED_VALUE"""),"19870224NYMON")</f>
        <v>19870224NYMON</v>
      </c>
      <c r="B2221" s="5" t="str">
        <f ca="1">IFERROR(__xludf.DUMMYFUNCTION("""COMPUTED_VALUE"""),"Adult")</f>
        <v>Adult</v>
      </c>
      <c r="C2221" s="5" t="str">
        <f ca="1">IFERROR(__xludf.DUMMYFUNCTION("""COMPUTED_VALUE"""),"Male")</f>
        <v>Male</v>
      </c>
      <c r="D2221" s="5"/>
      <c r="E2221" s="5" t="str">
        <f ca="1">IFERROR(__xludf.DUMMYFUNCTION("""COMPUTED_VALUE"""),"No Relation")</f>
        <v>No Relation</v>
      </c>
      <c r="F2221" s="5" t="str">
        <f ca="1">IFERROR(__xludf.DUMMYFUNCTION("""COMPUTED_VALUE"""),"Fled/Escaped")</f>
        <v>Fled/Escaped</v>
      </c>
      <c r="G2221" s="5" t="str">
        <f ca="1">IFERROR(__xludf.DUMMYFUNCTION("""COMPUTED_VALUE"""),"No")</f>
        <v>No</v>
      </c>
      <c r="H2221" s="5" t="str">
        <f ca="1">IFERROR(__xludf.DUMMYFUNCTION("""COMPUTED_VALUE"""),"None")</f>
        <v>None</v>
      </c>
    </row>
    <row r="2222" spans="1:8" ht="13">
      <c r="A2222" s="5" t="str">
        <f ca="1">IFERROR(__xludf.DUMMYFUNCTION("""COMPUTED_VALUE"""),"19870213AZORM")</f>
        <v>19870213AZORM</v>
      </c>
      <c r="B2222" s="5">
        <f ca="1">IFERROR(__xludf.DUMMYFUNCTION("""COMPUTED_VALUE"""),17)</f>
        <v>17</v>
      </c>
      <c r="C2222" s="5" t="str">
        <f ca="1">IFERROR(__xludf.DUMMYFUNCTION("""COMPUTED_VALUE"""),"Male")</f>
        <v>Male</v>
      </c>
      <c r="D2222" s="5" t="str">
        <f ca="1">IFERROR(__xludf.DUMMYFUNCTION("""COMPUTED_VALUE"""),"White")</f>
        <v>White</v>
      </c>
      <c r="E2222" s="5" t="str">
        <f ca="1">IFERROR(__xludf.DUMMYFUNCTION("""COMPUTED_VALUE"""),"Student")</f>
        <v>Student</v>
      </c>
      <c r="F2222" s="5" t="str">
        <f ca="1">IFERROR(__xludf.DUMMYFUNCTION("""COMPUTED_VALUE"""),"Fled/Apprehended")</f>
        <v>Fled/Apprehended</v>
      </c>
      <c r="G2222" s="5" t="str">
        <f ca="1">IFERROR(__xludf.DUMMYFUNCTION("""COMPUTED_VALUE"""),"No")</f>
        <v>No</v>
      </c>
      <c r="H2222" s="5" t="str">
        <f ca="1">IFERROR(__xludf.DUMMYFUNCTION("""COMPUTED_VALUE"""),"None")</f>
        <v>None</v>
      </c>
    </row>
    <row r="2223" spans="1:8" ht="13">
      <c r="A2223" s="5" t="str">
        <f ca="1">IFERROR(__xludf.DUMMYFUNCTION("""COMPUTED_VALUE"""),"19870210ARDAD")</f>
        <v>19870210ARDAD</v>
      </c>
      <c r="B2223" s="5">
        <f ca="1">IFERROR(__xludf.DUMMYFUNCTION("""COMPUTED_VALUE"""),17)</f>
        <v>17</v>
      </c>
      <c r="C2223" s="5" t="str">
        <f ca="1">IFERROR(__xludf.DUMMYFUNCTION("""COMPUTED_VALUE"""),"Male")</f>
        <v>Male</v>
      </c>
      <c r="D2223" s="5"/>
      <c r="E2223" s="5" t="str">
        <f ca="1">IFERROR(__xludf.DUMMYFUNCTION("""COMPUTED_VALUE"""),"Student")</f>
        <v>Student</v>
      </c>
      <c r="F2223" s="5" t="str">
        <f ca="1">IFERROR(__xludf.DUMMYFUNCTION("""COMPUTED_VALUE"""),"Suicide")</f>
        <v>Suicide</v>
      </c>
      <c r="G2223" s="5" t="str">
        <f ca="1">IFERROR(__xludf.DUMMYFUNCTION("""COMPUTED_VALUE"""),"Yes")</f>
        <v>Yes</v>
      </c>
      <c r="H2223" s="5" t="str">
        <f ca="1">IFERROR(__xludf.DUMMYFUNCTION("""COMPUTED_VALUE"""),"Suicide")</f>
        <v>Suicide</v>
      </c>
    </row>
    <row r="2224" spans="1:8" ht="13">
      <c r="A2224" s="5" t="str">
        <f ca="1">IFERROR(__xludf.DUMMYFUNCTION("""COMPUTED_VALUE"""),"19870123MIRED")</f>
        <v>19870123MIRED</v>
      </c>
      <c r="B2224" s="5">
        <f ca="1">IFERROR(__xludf.DUMMYFUNCTION("""COMPUTED_VALUE"""),15)</f>
        <v>15</v>
      </c>
      <c r="C2224" s="5" t="str">
        <f ca="1">IFERROR(__xludf.DUMMYFUNCTION("""COMPUTED_VALUE"""),"Male")</f>
        <v>Male</v>
      </c>
      <c r="D2224" s="5"/>
      <c r="E2224" s="5" t="str">
        <f ca="1">IFERROR(__xludf.DUMMYFUNCTION("""COMPUTED_VALUE"""),"Student")</f>
        <v>Student</v>
      </c>
      <c r="F2224" s="5" t="str">
        <f ca="1">IFERROR(__xludf.DUMMYFUNCTION("""COMPUTED_VALUE"""),"Fled/Apprehended")</f>
        <v>Fled/Apprehended</v>
      </c>
      <c r="G2224" s="5" t="str">
        <f ca="1">IFERROR(__xludf.DUMMYFUNCTION("""COMPUTED_VALUE"""),"No")</f>
        <v>No</v>
      </c>
      <c r="H2224" s="5" t="str">
        <f ca="1">IFERROR(__xludf.DUMMYFUNCTION("""COMPUTED_VALUE"""),"None")</f>
        <v>None</v>
      </c>
    </row>
    <row r="2225" spans="1:8" ht="13">
      <c r="A2225" s="5" t="str">
        <f ca="1">IFERROR(__xludf.DUMMYFUNCTION("""COMPUTED_VALUE"""),"19870114CALOL")</f>
        <v>19870114CALOL</v>
      </c>
      <c r="B2225" s="5">
        <f ca="1">IFERROR(__xludf.DUMMYFUNCTION("""COMPUTED_VALUE"""),18)</f>
        <v>18</v>
      </c>
      <c r="C2225" s="5" t="str">
        <f ca="1">IFERROR(__xludf.DUMMYFUNCTION("""COMPUTED_VALUE"""),"Male")</f>
        <v>Male</v>
      </c>
      <c r="D2225" s="5"/>
      <c r="E2225" s="5" t="str">
        <f ca="1">IFERROR(__xludf.DUMMYFUNCTION("""COMPUTED_VALUE"""),"Student")</f>
        <v>Student</v>
      </c>
      <c r="F2225" s="5" t="str">
        <f ca="1">IFERROR(__xludf.DUMMYFUNCTION("""COMPUTED_VALUE"""),"Attempted Suicide")</f>
        <v>Attempted Suicide</v>
      </c>
      <c r="G2225" s="5" t="str">
        <f ca="1">IFERROR(__xludf.DUMMYFUNCTION("""COMPUTED_VALUE"""),"No")</f>
        <v>No</v>
      </c>
      <c r="H2225" s="5" t="str">
        <f ca="1">IFERROR(__xludf.DUMMYFUNCTION("""COMPUTED_VALUE"""),"Wounded")</f>
        <v>Wounded</v>
      </c>
    </row>
    <row r="2226" spans="1:8" ht="13">
      <c r="A2226" s="5" t="str">
        <f ca="1">IFERROR(__xludf.DUMMYFUNCTION("""COMPUTED_VALUE"""),"19861204MTFEL")</f>
        <v>19861204MTFEL</v>
      </c>
      <c r="B2226" s="5">
        <f ca="1">IFERROR(__xludf.DUMMYFUNCTION("""COMPUTED_VALUE"""),14)</f>
        <v>14</v>
      </c>
      <c r="C2226" s="5" t="str">
        <f ca="1">IFERROR(__xludf.DUMMYFUNCTION("""COMPUTED_VALUE"""),"Male")</f>
        <v>Male</v>
      </c>
      <c r="D2226" s="5"/>
      <c r="E2226" s="5" t="str">
        <f ca="1">IFERROR(__xludf.DUMMYFUNCTION("""COMPUTED_VALUE"""),"Student")</f>
        <v>Student</v>
      </c>
      <c r="F2226" s="5" t="str">
        <f ca="1">IFERROR(__xludf.DUMMYFUNCTION("""COMPUTED_VALUE"""),"Fled/Apprehended")</f>
        <v>Fled/Apprehended</v>
      </c>
      <c r="G2226" s="5" t="str">
        <f ca="1">IFERROR(__xludf.DUMMYFUNCTION("""COMPUTED_VALUE"""),"No")</f>
        <v>No</v>
      </c>
      <c r="H2226" s="5" t="str">
        <f ca="1">IFERROR(__xludf.DUMMYFUNCTION("""COMPUTED_VALUE"""),"None")</f>
        <v>None</v>
      </c>
    </row>
    <row r="2227" spans="1:8" ht="13">
      <c r="A2227" s="5" t="str">
        <f ca="1">IFERROR(__xludf.DUMMYFUNCTION("""COMPUTED_VALUE"""),"19861008TXSOD")</f>
        <v>19861008TXSOD</v>
      </c>
      <c r="B2227" s="5">
        <f ca="1">IFERROR(__xludf.DUMMYFUNCTION("""COMPUTED_VALUE"""),19)</f>
        <v>19</v>
      </c>
      <c r="C2227" s="5" t="str">
        <f ca="1">IFERROR(__xludf.DUMMYFUNCTION("""COMPUTED_VALUE"""),"Male")</f>
        <v>Male</v>
      </c>
      <c r="D2227" s="5"/>
      <c r="E2227" s="5" t="str">
        <f ca="1">IFERROR(__xludf.DUMMYFUNCTION("""COMPUTED_VALUE"""),"Student")</f>
        <v>Student</v>
      </c>
      <c r="F2227" s="5" t="str">
        <f ca="1">IFERROR(__xludf.DUMMYFUNCTION("""COMPUTED_VALUE"""),"Fled/Apprehended")</f>
        <v>Fled/Apprehended</v>
      </c>
      <c r="G2227" s="5" t="str">
        <f ca="1">IFERROR(__xludf.DUMMYFUNCTION("""COMPUTED_VALUE"""),"No")</f>
        <v>No</v>
      </c>
      <c r="H2227" s="5" t="str">
        <f ca="1">IFERROR(__xludf.DUMMYFUNCTION("""COMPUTED_VALUE"""),"None")</f>
        <v>None</v>
      </c>
    </row>
    <row r="2228" spans="1:8" ht="13">
      <c r="A2228" s="5" t="str">
        <f ca="1">IFERROR(__xludf.DUMMYFUNCTION("""COMPUTED_VALUE"""),"19861003CAMOM")</f>
        <v>19861003CAMOM</v>
      </c>
      <c r="B2228" s="5">
        <f ca="1">IFERROR(__xludf.DUMMYFUNCTION("""COMPUTED_VALUE"""),19)</f>
        <v>19</v>
      </c>
      <c r="C2228" s="5" t="str">
        <f ca="1">IFERROR(__xludf.DUMMYFUNCTION("""COMPUTED_VALUE"""),"Male")</f>
        <v>Male</v>
      </c>
      <c r="D2228" s="5"/>
      <c r="E2228" s="5" t="str">
        <f ca="1">IFERROR(__xludf.DUMMYFUNCTION("""COMPUTED_VALUE"""),"Nonstudent Using Athletic Facilities/Attending Game")</f>
        <v>Nonstudent Using Athletic Facilities/Attending Game</v>
      </c>
      <c r="F2228" s="5" t="str">
        <f ca="1">IFERROR(__xludf.DUMMYFUNCTION("""COMPUTED_VALUE"""),"Fled/Apprehended")</f>
        <v>Fled/Apprehended</v>
      </c>
      <c r="G2228" s="5" t="str">
        <f ca="1">IFERROR(__xludf.DUMMYFUNCTION("""COMPUTED_VALUE"""),"No")</f>
        <v>No</v>
      </c>
      <c r="H2228" s="5" t="str">
        <f ca="1">IFERROR(__xludf.DUMMYFUNCTION("""COMPUTED_VALUE"""),"None")</f>
        <v>None</v>
      </c>
    </row>
    <row r="2229" spans="1:8" ht="13">
      <c r="A2229" s="5" t="str">
        <f ca="1">IFERROR(__xludf.DUMMYFUNCTION("""COMPUTED_VALUE"""),"19861003CAMOM")</f>
        <v>19861003CAMOM</v>
      </c>
      <c r="B2229" s="5">
        <f ca="1">IFERROR(__xludf.DUMMYFUNCTION("""COMPUTED_VALUE"""),18)</f>
        <v>18</v>
      </c>
      <c r="C2229" s="5" t="str">
        <f ca="1">IFERROR(__xludf.DUMMYFUNCTION("""COMPUTED_VALUE"""),"Male")</f>
        <v>Male</v>
      </c>
      <c r="D2229" s="5"/>
      <c r="E2229" s="5" t="str">
        <f ca="1">IFERROR(__xludf.DUMMYFUNCTION("""COMPUTED_VALUE"""),"Nonstudent Using Athletic Facilities/Attending Game")</f>
        <v>Nonstudent Using Athletic Facilities/Attending Game</v>
      </c>
      <c r="F2229" s="5" t="str">
        <f ca="1">IFERROR(__xludf.DUMMYFUNCTION("""COMPUTED_VALUE"""),"Fled/Apprehended")</f>
        <v>Fled/Apprehended</v>
      </c>
      <c r="G2229" s="5" t="str">
        <f ca="1">IFERROR(__xludf.DUMMYFUNCTION("""COMPUTED_VALUE"""),"No")</f>
        <v>No</v>
      </c>
      <c r="H2229" s="5" t="str">
        <f ca="1">IFERROR(__xludf.DUMMYFUNCTION("""COMPUTED_VALUE"""),"None")</f>
        <v>None</v>
      </c>
    </row>
    <row r="2230" spans="1:8" ht="13">
      <c r="A2230" s="5" t="str">
        <f ca="1">IFERROR(__xludf.DUMMYFUNCTION("""COMPUTED_VALUE"""),"19861003CAMOM")</f>
        <v>19861003CAMOM</v>
      </c>
      <c r="B2230" s="5">
        <f ca="1">IFERROR(__xludf.DUMMYFUNCTION("""COMPUTED_VALUE"""),17)</f>
        <v>17</v>
      </c>
      <c r="C2230" s="5" t="str">
        <f ca="1">IFERROR(__xludf.DUMMYFUNCTION("""COMPUTED_VALUE"""),"Male")</f>
        <v>Male</v>
      </c>
      <c r="D2230" s="5"/>
      <c r="E2230" s="5" t="str">
        <f ca="1">IFERROR(__xludf.DUMMYFUNCTION("""COMPUTED_VALUE"""),"Nonstudent Using Athletic Facilities/Attending Game")</f>
        <v>Nonstudent Using Athletic Facilities/Attending Game</v>
      </c>
      <c r="F2230" s="5" t="str">
        <f ca="1">IFERROR(__xludf.DUMMYFUNCTION("""COMPUTED_VALUE"""),"Fled/Apprehended")</f>
        <v>Fled/Apprehended</v>
      </c>
      <c r="G2230" s="5" t="str">
        <f ca="1">IFERROR(__xludf.DUMMYFUNCTION("""COMPUTED_VALUE"""),"No")</f>
        <v>No</v>
      </c>
      <c r="H2230" s="5" t="str">
        <f ca="1">IFERROR(__xludf.DUMMYFUNCTION("""COMPUTED_VALUE"""),"None")</f>
        <v>None</v>
      </c>
    </row>
    <row r="2231" spans="1:8" ht="13">
      <c r="A2231" s="5" t="str">
        <f ca="1">IFERROR(__xludf.DUMMYFUNCTION("""COMPUTED_VALUE"""),"19860918CABEB")</f>
        <v>19860918CABEB</v>
      </c>
      <c r="B2231" s="5">
        <f ca="1">IFERROR(__xludf.DUMMYFUNCTION("""COMPUTED_VALUE"""),18)</f>
        <v>18</v>
      </c>
      <c r="C2231" s="5" t="str">
        <f ca="1">IFERROR(__xludf.DUMMYFUNCTION("""COMPUTED_VALUE"""),"Male")</f>
        <v>Male</v>
      </c>
      <c r="D2231" s="5"/>
      <c r="E2231" s="5" t="str">
        <f ca="1">IFERROR(__xludf.DUMMYFUNCTION("""COMPUTED_VALUE"""),"Student")</f>
        <v>Student</v>
      </c>
      <c r="F2231" s="5" t="str">
        <f ca="1">IFERROR(__xludf.DUMMYFUNCTION("""COMPUTED_VALUE"""),"Surrendered")</f>
        <v>Surrendered</v>
      </c>
      <c r="G2231" s="5" t="str">
        <f ca="1">IFERROR(__xludf.DUMMYFUNCTION("""COMPUTED_VALUE"""),"No")</f>
        <v>No</v>
      </c>
      <c r="H2231" s="5" t="str">
        <f ca="1">IFERROR(__xludf.DUMMYFUNCTION("""COMPUTED_VALUE"""),"None")</f>
        <v>None</v>
      </c>
    </row>
    <row r="2232" spans="1:8" ht="13">
      <c r="A2232" s="5" t="str">
        <f ca="1">IFERROR(__xludf.DUMMYFUNCTION("""COMPUTED_VALUE"""),"19860912CAFAL")</f>
        <v>19860912CAFAL</v>
      </c>
      <c r="B2232" s="5">
        <f ca="1">IFERROR(__xludf.DUMMYFUNCTION("""COMPUTED_VALUE"""),16)</f>
        <v>16</v>
      </c>
      <c r="C2232" s="5" t="str">
        <f ca="1">IFERROR(__xludf.DUMMYFUNCTION("""COMPUTED_VALUE"""),"Male")</f>
        <v>Male</v>
      </c>
      <c r="D2232" s="5"/>
      <c r="E2232" s="5" t="str">
        <f ca="1">IFERROR(__xludf.DUMMYFUNCTION("""COMPUTED_VALUE"""),"Student")</f>
        <v>Student</v>
      </c>
      <c r="F2232" s="5" t="str">
        <f ca="1">IFERROR(__xludf.DUMMYFUNCTION("""COMPUTED_VALUE"""),"Fled/Apprehended")</f>
        <v>Fled/Apprehended</v>
      </c>
      <c r="G2232" s="5" t="str">
        <f ca="1">IFERROR(__xludf.DUMMYFUNCTION("""COMPUTED_VALUE"""),"No")</f>
        <v>No</v>
      </c>
      <c r="H2232" s="5" t="str">
        <f ca="1">IFERROR(__xludf.DUMMYFUNCTION("""COMPUTED_VALUE"""),"None")</f>
        <v>None</v>
      </c>
    </row>
    <row r="2233" spans="1:8" ht="13">
      <c r="A2233" s="5" t="str">
        <f ca="1">IFERROR(__xludf.DUMMYFUNCTION("""COMPUTED_VALUE"""),"19860517TNMAN")</f>
        <v>19860517TNMAN</v>
      </c>
      <c r="B2233" s="5">
        <f ca="1">IFERROR(__xludf.DUMMYFUNCTION("""COMPUTED_VALUE"""),16)</f>
        <v>16</v>
      </c>
      <c r="C2233" s="5" t="str">
        <f ca="1">IFERROR(__xludf.DUMMYFUNCTION("""COMPUTED_VALUE"""),"Male")</f>
        <v>Male</v>
      </c>
      <c r="D2233" s="5"/>
      <c r="E2233" s="5" t="str">
        <f ca="1">IFERROR(__xludf.DUMMYFUNCTION("""COMPUTED_VALUE"""),"Student")</f>
        <v>Student</v>
      </c>
      <c r="F2233" s="5" t="str">
        <f ca="1">IFERROR(__xludf.DUMMYFUNCTION("""COMPUTED_VALUE"""),"Fled/Apprehended")</f>
        <v>Fled/Apprehended</v>
      </c>
      <c r="G2233" s="5" t="str">
        <f ca="1">IFERROR(__xludf.DUMMYFUNCTION("""COMPUTED_VALUE"""),"No")</f>
        <v>No</v>
      </c>
      <c r="H2233" s="5" t="str">
        <f ca="1">IFERROR(__xludf.DUMMYFUNCTION("""COMPUTED_VALUE"""),"None")</f>
        <v>None</v>
      </c>
    </row>
    <row r="2234" spans="1:8" ht="13">
      <c r="A2234" s="5" t="str">
        <f ca="1">IFERROR(__xludf.DUMMYFUNCTION("""COMPUTED_VALUE"""),"19860516WYCOC")</f>
        <v>19860516WYCOC</v>
      </c>
      <c r="B2234" s="5">
        <f ca="1">IFERROR(__xludf.DUMMYFUNCTION("""COMPUTED_VALUE"""),43)</f>
        <v>43</v>
      </c>
      <c r="C2234" s="5" t="str">
        <f ca="1">IFERROR(__xludf.DUMMYFUNCTION("""COMPUTED_VALUE"""),"Male")</f>
        <v>Male</v>
      </c>
      <c r="D2234" s="5" t="str">
        <f ca="1">IFERROR(__xludf.DUMMYFUNCTION("""COMPUTED_VALUE"""),"White")</f>
        <v>White</v>
      </c>
      <c r="E2234" s="5" t="str">
        <f ca="1">IFERROR(__xludf.DUMMYFUNCTION("""COMPUTED_VALUE"""),"No Relation")</f>
        <v>No Relation</v>
      </c>
      <c r="F2234" s="5" t="str">
        <f ca="1">IFERROR(__xludf.DUMMYFUNCTION("""COMPUTED_VALUE"""),"Suicide")</f>
        <v>Suicide</v>
      </c>
      <c r="G2234" s="5" t="str">
        <f ca="1">IFERROR(__xludf.DUMMYFUNCTION("""COMPUTED_VALUE"""),"Yes")</f>
        <v>Yes</v>
      </c>
      <c r="H2234" s="5" t="str">
        <f ca="1">IFERROR(__xludf.DUMMYFUNCTION("""COMPUTED_VALUE"""),"Suicide")</f>
        <v>Suicide</v>
      </c>
    </row>
    <row r="2235" spans="1:8" ht="13">
      <c r="A2235" s="5" t="str">
        <f ca="1">IFERROR(__xludf.DUMMYFUNCTION("""COMPUTED_VALUE"""),"19860516WYCOC")</f>
        <v>19860516WYCOC</v>
      </c>
      <c r="B2235" s="5">
        <f ca="1">IFERROR(__xludf.DUMMYFUNCTION("""COMPUTED_VALUE"""),47)</f>
        <v>47</v>
      </c>
      <c r="C2235" s="5" t="str">
        <f ca="1">IFERROR(__xludf.DUMMYFUNCTION("""COMPUTED_VALUE"""),"Female")</f>
        <v>Female</v>
      </c>
      <c r="D2235" s="5" t="str">
        <f ca="1">IFERROR(__xludf.DUMMYFUNCTION("""COMPUTED_VALUE"""),"White")</f>
        <v>White</v>
      </c>
      <c r="E2235" s="5" t="str">
        <f ca="1">IFERROR(__xludf.DUMMYFUNCTION("""COMPUTED_VALUE"""),"No Relation")</f>
        <v>No Relation</v>
      </c>
      <c r="F2235" s="5" t="str">
        <f ca="1">IFERROR(__xludf.DUMMYFUNCTION("""COMPUTED_VALUE"""),"Apprehended/Killed by LE")</f>
        <v>Apprehended/Killed by LE</v>
      </c>
      <c r="G2235" s="5" t="str">
        <f ca="1">IFERROR(__xludf.DUMMYFUNCTION("""COMPUTED_VALUE"""),"No")</f>
        <v>No</v>
      </c>
      <c r="H2235" s="5" t="str">
        <f ca="1">IFERROR(__xludf.DUMMYFUNCTION("""COMPUTED_VALUE"""),"Wounded")</f>
        <v>Wounded</v>
      </c>
    </row>
    <row r="2236" spans="1:8" ht="13">
      <c r="A2236" s="5" t="str">
        <f ca="1">IFERROR(__xludf.DUMMYFUNCTION("""COMPUTED_VALUE"""),"19860515GACAA")</f>
        <v>19860515GACAA</v>
      </c>
      <c r="B2236" s="5" t="str">
        <f ca="1">IFERROR(__xludf.DUMMYFUNCTION("""COMPUTED_VALUE"""),"Teen")</f>
        <v>Teen</v>
      </c>
      <c r="C2236" s="5"/>
      <c r="D2236" s="5"/>
      <c r="E2236" s="5" t="str">
        <f ca="1">IFERROR(__xludf.DUMMYFUNCTION("""COMPUTED_VALUE"""),"Student")</f>
        <v>Student</v>
      </c>
      <c r="F2236" s="5" t="str">
        <f ca="1">IFERROR(__xludf.DUMMYFUNCTION("""COMPUTED_VALUE"""),"Surrendered")</f>
        <v>Surrendered</v>
      </c>
      <c r="G2236" s="5" t="str">
        <f ca="1">IFERROR(__xludf.DUMMYFUNCTION("""COMPUTED_VALUE"""),"No")</f>
        <v>No</v>
      </c>
      <c r="H2236" s="5" t="str">
        <f ca="1">IFERROR(__xludf.DUMMYFUNCTION("""COMPUTED_VALUE"""),"None")</f>
        <v>None</v>
      </c>
    </row>
    <row r="2237" spans="1:8" ht="13">
      <c r="A2237" s="5" t="str">
        <f ca="1">IFERROR(__xludf.DUMMYFUNCTION("""COMPUTED_VALUE"""),"19860509NCPIF")</f>
        <v>19860509NCPIF</v>
      </c>
      <c r="B2237" s="5">
        <f ca="1">IFERROR(__xludf.DUMMYFUNCTION("""COMPUTED_VALUE"""),17)</f>
        <v>17</v>
      </c>
      <c r="C2237" s="5" t="str">
        <f ca="1">IFERROR(__xludf.DUMMYFUNCTION("""COMPUTED_VALUE"""),"Male")</f>
        <v>Male</v>
      </c>
      <c r="D2237" s="5"/>
      <c r="E2237" s="5" t="str">
        <f ca="1">IFERROR(__xludf.DUMMYFUNCTION("""COMPUTED_VALUE"""),"Student")</f>
        <v>Student</v>
      </c>
      <c r="F2237" s="5" t="str">
        <f ca="1">IFERROR(__xludf.DUMMYFUNCTION("""COMPUTED_VALUE"""),"Apprehended/Killed by LE")</f>
        <v>Apprehended/Killed by LE</v>
      </c>
      <c r="G2237" s="5" t="str">
        <f ca="1">IFERROR(__xludf.DUMMYFUNCTION("""COMPUTED_VALUE"""),"No")</f>
        <v>No</v>
      </c>
      <c r="H2237" s="5" t="str">
        <f ca="1">IFERROR(__xludf.DUMMYFUNCTION("""COMPUTED_VALUE"""),"None")</f>
        <v>None</v>
      </c>
    </row>
    <row r="2238" spans="1:8" ht="13">
      <c r="A2238" s="5" t="str">
        <f ca="1">IFERROR(__xludf.DUMMYFUNCTION("""COMPUTED_VALUE"""),"19860506PAMOK")</f>
        <v>19860506PAMOK</v>
      </c>
      <c r="B2238" s="5">
        <f ca="1">IFERROR(__xludf.DUMMYFUNCTION("""COMPUTED_VALUE"""),16)</f>
        <v>16</v>
      </c>
      <c r="C2238" s="5" t="str">
        <f ca="1">IFERROR(__xludf.DUMMYFUNCTION("""COMPUTED_VALUE"""),"Male")</f>
        <v>Male</v>
      </c>
      <c r="D2238" s="5"/>
      <c r="E2238" s="5" t="str">
        <f ca="1">IFERROR(__xludf.DUMMYFUNCTION("""COMPUTED_VALUE"""),"Student")</f>
        <v>Student</v>
      </c>
      <c r="F2238" s="5" t="str">
        <f ca="1">IFERROR(__xludf.DUMMYFUNCTION("""COMPUTED_VALUE"""),"Surrendered")</f>
        <v>Surrendered</v>
      </c>
      <c r="G2238" s="5" t="str">
        <f ca="1">IFERROR(__xludf.DUMMYFUNCTION("""COMPUTED_VALUE"""),"No")</f>
        <v>No</v>
      </c>
      <c r="H2238" s="5" t="str">
        <f ca="1">IFERROR(__xludf.DUMMYFUNCTION("""COMPUTED_VALUE"""),"None")</f>
        <v>None</v>
      </c>
    </row>
    <row r="2239" spans="1:8" ht="13">
      <c r="A2239" s="5" t="str">
        <f ca="1">IFERROR(__xludf.DUMMYFUNCTION("""COMPUTED_VALUE"""),"19860429MOSES")</f>
        <v>19860429MOSES</v>
      </c>
      <c r="B2239" s="5">
        <f ca="1">IFERROR(__xludf.DUMMYFUNCTION("""COMPUTED_VALUE"""),16)</f>
        <v>16</v>
      </c>
      <c r="C2239" s="5" t="str">
        <f ca="1">IFERROR(__xludf.DUMMYFUNCTION("""COMPUTED_VALUE"""),"Male")</f>
        <v>Male</v>
      </c>
      <c r="D2239" s="5"/>
      <c r="E2239" s="5" t="str">
        <f ca="1">IFERROR(__xludf.DUMMYFUNCTION("""COMPUTED_VALUE"""),"Student")</f>
        <v>Student</v>
      </c>
      <c r="F2239" s="5" t="str">
        <f ca="1">IFERROR(__xludf.DUMMYFUNCTION("""COMPUTED_VALUE"""),"Surrendered")</f>
        <v>Surrendered</v>
      </c>
      <c r="G2239" s="5" t="str">
        <f ca="1">IFERROR(__xludf.DUMMYFUNCTION("""COMPUTED_VALUE"""),"No")</f>
        <v>No</v>
      </c>
      <c r="H2239" s="5" t="str">
        <f ca="1">IFERROR(__xludf.DUMMYFUNCTION("""COMPUTED_VALUE"""),"None")</f>
        <v>None</v>
      </c>
    </row>
    <row r="2240" spans="1:8" ht="13">
      <c r="A2240" s="5" t="str">
        <f ca="1">IFERROR(__xludf.DUMMYFUNCTION("""COMPUTED_VALUE"""),"19860423FLCHM")</f>
        <v>19860423FLCHM</v>
      </c>
      <c r="B2240" s="5">
        <f ca="1">IFERROR(__xludf.DUMMYFUNCTION("""COMPUTED_VALUE"""),17)</f>
        <v>17</v>
      </c>
      <c r="C2240" s="5" t="str">
        <f ca="1">IFERROR(__xludf.DUMMYFUNCTION("""COMPUTED_VALUE"""),"Male")</f>
        <v>Male</v>
      </c>
      <c r="D2240" s="5"/>
      <c r="E2240" s="5" t="str">
        <f ca="1">IFERROR(__xludf.DUMMYFUNCTION("""COMPUTED_VALUE"""),"Student")</f>
        <v>Student</v>
      </c>
      <c r="F2240" s="5" t="str">
        <f ca="1">IFERROR(__xludf.DUMMYFUNCTION("""COMPUTED_VALUE"""),"Surrendered")</f>
        <v>Surrendered</v>
      </c>
      <c r="G2240" s="5" t="str">
        <f ca="1">IFERROR(__xludf.DUMMYFUNCTION("""COMPUTED_VALUE"""),"No")</f>
        <v>No</v>
      </c>
      <c r="H2240" s="5" t="str">
        <f ca="1">IFERROR(__xludf.DUMMYFUNCTION("""COMPUTED_VALUE"""),"None")</f>
        <v>None</v>
      </c>
    </row>
    <row r="2241" spans="1:8" ht="13">
      <c r="A2241" s="5" t="str">
        <f ca="1">IFERROR(__xludf.DUMMYFUNCTION("""COMPUTED_VALUE"""),"19860306ILTHD")</f>
        <v>19860306ILTHD</v>
      </c>
      <c r="B2241" s="5">
        <f ca="1">IFERROR(__xludf.DUMMYFUNCTION("""COMPUTED_VALUE"""),14)</f>
        <v>14</v>
      </c>
      <c r="C2241" s="5" t="str">
        <f ca="1">IFERROR(__xludf.DUMMYFUNCTION("""COMPUTED_VALUE"""),"Male")</f>
        <v>Male</v>
      </c>
      <c r="D2241" s="5"/>
      <c r="E2241" s="5" t="str">
        <f ca="1">IFERROR(__xludf.DUMMYFUNCTION("""COMPUTED_VALUE"""),"Student")</f>
        <v>Student</v>
      </c>
      <c r="F2241" s="5" t="str">
        <f ca="1">IFERROR(__xludf.DUMMYFUNCTION("""COMPUTED_VALUE"""),"Surrendered")</f>
        <v>Surrendered</v>
      </c>
      <c r="G2241" s="5" t="str">
        <f ca="1">IFERROR(__xludf.DUMMYFUNCTION("""COMPUTED_VALUE"""),"No")</f>
        <v>No</v>
      </c>
      <c r="H2241" s="5" t="str">
        <f ca="1">IFERROR(__xludf.DUMMYFUNCTION("""COMPUTED_VALUE"""),"None")</f>
        <v>None</v>
      </c>
    </row>
    <row r="2242" spans="1:8" ht="13">
      <c r="A2242" s="5" t="str">
        <f ca="1">IFERROR(__xludf.DUMMYFUNCTION("""COMPUTED_VALUE"""),"19860224LABOS")</f>
        <v>19860224LABOS</v>
      </c>
      <c r="B2242" s="5">
        <f ca="1">IFERROR(__xludf.DUMMYFUNCTION("""COMPUTED_VALUE"""),13)</f>
        <v>13</v>
      </c>
      <c r="C2242" s="5" t="str">
        <f ca="1">IFERROR(__xludf.DUMMYFUNCTION("""COMPUTED_VALUE"""),"Male")</f>
        <v>Male</v>
      </c>
      <c r="D2242" s="5"/>
      <c r="E2242" s="5" t="str">
        <f ca="1">IFERROR(__xludf.DUMMYFUNCTION("""COMPUTED_VALUE"""),"Student")</f>
        <v>Student</v>
      </c>
      <c r="F2242" s="5" t="str">
        <f ca="1">IFERROR(__xludf.DUMMYFUNCTION("""COMPUTED_VALUE"""),"Suicide")</f>
        <v>Suicide</v>
      </c>
      <c r="G2242" s="5" t="str">
        <f ca="1">IFERROR(__xludf.DUMMYFUNCTION("""COMPUTED_VALUE"""),"Yes")</f>
        <v>Yes</v>
      </c>
      <c r="H2242" s="5" t="str">
        <f ca="1">IFERROR(__xludf.DUMMYFUNCTION("""COMPUTED_VALUE"""),"Suicide")</f>
        <v>Suicide</v>
      </c>
    </row>
    <row r="2243" spans="1:8" ht="13">
      <c r="A2243" s="5" t="str">
        <f ca="1">IFERROR(__xludf.DUMMYFUNCTION("""COMPUTED_VALUE"""),"19860129MDLAB")</f>
        <v>19860129MDLAB</v>
      </c>
      <c r="B2243" s="5">
        <f ca="1">IFERROR(__xludf.DUMMYFUNCTION("""COMPUTED_VALUE"""),14)</f>
        <v>14</v>
      </c>
      <c r="C2243" s="5" t="str">
        <f ca="1">IFERROR(__xludf.DUMMYFUNCTION("""COMPUTED_VALUE"""),"Male")</f>
        <v>Male</v>
      </c>
      <c r="D2243" s="5"/>
      <c r="E2243" s="5" t="str">
        <f ca="1">IFERROR(__xludf.DUMMYFUNCTION("""COMPUTED_VALUE"""),"Student")</f>
        <v>Student</v>
      </c>
      <c r="F2243" s="5" t="str">
        <f ca="1">IFERROR(__xludf.DUMMYFUNCTION("""COMPUTED_VALUE"""),"Fled/Apprehended")</f>
        <v>Fled/Apprehended</v>
      </c>
      <c r="G2243" s="5" t="str">
        <f ca="1">IFERROR(__xludf.DUMMYFUNCTION("""COMPUTED_VALUE"""),"No")</f>
        <v>No</v>
      </c>
      <c r="H2243" s="5" t="str">
        <f ca="1">IFERROR(__xludf.DUMMYFUNCTION("""COMPUTED_VALUE"""),"None")</f>
        <v>None</v>
      </c>
    </row>
    <row r="2244" spans="1:8" ht="13">
      <c r="A2244" s="5" t="str">
        <f ca="1">IFERROR(__xludf.DUMMYFUNCTION("""COMPUTED_VALUE"""),"19860117CAVAL")</f>
        <v>19860117CAVAL</v>
      </c>
      <c r="B2244" s="5">
        <f ca="1">IFERROR(__xludf.DUMMYFUNCTION("""COMPUTED_VALUE"""),14)</f>
        <v>14</v>
      </c>
      <c r="C2244" s="5" t="str">
        <f ca="1">IFERROR(__xludf.DUMMYFUNCTION("""COMPUTED_VALUE"""),"Male")</f>
        <v>Male</v>
      </c>
      <c r="D2244" s="5"/>
      <c r="E2244" s="5" t="str">
        <f ca="1">IFERROR(__xludf.DUMMYFUNCTION("""COMPUTED_VALUE"""),"Student")</f>
        <v>Student</v>
      </c>
      <c r="F2244" s="5" t="str">
        <f ca="1">IFERROR(__xludf.DUMMYFUNCTION("""COMPUTED_VALUE"""),"Fled/Apprehended")</f>
        <v>Fled/Apprehended</v>
      </c>
      <c r="G2244" s="5" t="str">
        <f ca="1">IFERROR(__xludf.DUMMYFUNCTION("""COMPUTED_VALUE"""),"No")</f>
        <v>No</v>
      </c>
      <c r="H2244" s="5" t="str">
        <f ca="1">IFERROR(__xludf.DUMMYFUNCTION("""COMPUTED_VALUE"""),"None")</f>
        <v>None</v>
      </c>
    </row>
    <row r="2245" spans="1:8" ht="13">
      <c r="A2245" s="5" t="str">
        <f ca="1">IFERROR(__xludf.DUMMYFUNCTION("""COMPUTED_VALUE"""),"19860109NCNOD")</f>
        <v>19860109NCNOD</v>
      </c>
      <c r="B2245" s="5">
        <f ca="1">IFERROR(__xludf.DUMMYFUNCTION("""COMPUTED_VALUE"""),17)</f>
        <v>17</v>
      </c>
      <c r="C2245" s="5" t="str">
        <f ca="1">IFERROR(__xludf.DUMMYFUNCTION("""COMPUTED_VALUE"""),"Male")</f>
        <v>Male</v>
      </c>
      <c r="D2245" s="5"/>
      <c r="E2245" s="5" t="str">
        <f ca="1">IFERROR(__xludf.DUMMYFUNCTION("""COMPUTED_VALUE"""),"Student")</f>
        <v>Student</v>
      </c>
      <c r="F2245" s="5" t="str">
        <f ca="1">IFERROR(__xludf.DUMMYFUNCTION("""COMPUTED_VALUE"""),"Fled/Apprehended")</f>
        <v>Fled/Apprehended</v>
      </c>
      <c r="G2245" s="5" t="str">
        <f ca="1">IFERROR(__xludf.DUMMYFUNCTION("""COMPUTED_VALUE"""),"No")</f>
        <v>No</v>
      </c>
      <c r="H2245" s="5" t="str">
        <f ca="1">IFERROR(__xludf.DUMMYFUNCTION("""COMPUTED_VALUE"""),"None")</f>
        <v>None</v>
      </c>
    </row>
    <row r="2246" spans="1:8" ht="13">
      <c r="A2246" s="5" t="str">
        <f ca="1">IFERROR(__xludf.DUMMYFUNCTION("""COMPUTED_VALUE"""),"19851210CTPOP")</f>
        <v>19851210CTPOP</v>
      </c>
      <c r="B2246" s="5">
        <f ca="1">IFERROR(__xludf.DUMMYFUNCTION("""COMPUTED_VALUE"""),13)</f>
        <v>13</v>
      </c>
      <c r="C2246" s="5" t="str">
        <f ca="1">IFERROR(__xludf.DUMMYFUNCTION("""COMPUTED_VALUE"""),"Male")</f>
        <v>Male</v>
      </c>
      <c r="D2246" s="5"/>
      <c r="E2246" s="5" t="str">
        <f ca="1">IFERROR(__xludf.DUMMYFUNCTION("""COMPUTED_VALUE"""),"Student")</f>
        <v>Student</v>
      </c>
      <c r="F2246" s="5" t="str">
        <f ca="1">IFERROR(__xludf.DUMMYFUNCTION("""COMPUTED_VALUE"""),"Surrendered")</f>
        <v>Surrendered</v>
      </c>
      <c r="G2246" s="5" t="str">
        <f ca="1">IFERROR(__xludf.DUMMYFUNCTION("""COMPUTED_VALUE"""),"No")</f>
        <v>No</v>
      </c>
      <c r="H2246" s="5" t="str">
        <f ca="1">IFERROR(__xludf.DUMMYFUNCTION("""COMPUTED_VALUE"""),"None")</f>
        <v>None</v>
      </c>
    </row>
    <row r="2247" spans="1:8" ht="13">
      <c r="A2247" s="5" t="str">
        <f ca="1">IFERROR(__xludf.DUMMYFUNCTION("""COMPUTED_VALUE"""),"19851209PAARP")</f>
        <v>19851209PAARP</v>
      </c>
      <c r="B2247" s="5">
        <f ca="1">IFERROR(__xludf.DUMMYFUNCTION("""COMPUTED_VALUE"""),22)</f>
        <v>22</v>
      </c>
      <c r="C2247" s="5" t="str">
        <f ca="1">IFERROR(__xludf.DUMMYFUNCTION("""COMPUTED_VALUE"""),"Male")</f>
        <v>Male</v>
      </c>
      <c r="D2247" s="5"/>
      <c r="E2247" s="5" t="str">
        <f ca="1">IFERROR(__xludf.DUMMYFUNCTION("""COMPUTED_VALUE"""),"No Relation")</f>
        <v>No Relation</v>
      </c>
      <c r="F2247" s="5" t="str">
        <f ca="1">IFERROR(__xludf.DUMMYFUNCTION("""COMPUTED_VALUE"""),"Subdued by Students/Staff/Other")</f>
        <v>Subdued by Students/Staff/Other</v>
      </c>
      <c r="G2247" s="5" t="str">
        <f ca="1">IFERROR(__xludf.DUMMYFUNCTION("""COMPUTED_VALUE"""),"No")</f>
        <v>No</v>
      </c>
      <c r="H2247" s="5" t="str">
        <f ca="1">IFERROR(__xludf.DUMMYFUNCTION("""COMPUTED_VALUE"""),"None")</f>
        <v>None</v>
      </c>
    </row>
    <row r="2248" spans="1:8" ht="13">
      <c r="A2248" s="5" t="str">
        <f ca="1">IFERROR(__xludf.DUMMYFUNCTION("""COMPUTED_VALUE"""),"19851203NHCOC")</f>
        <v>19851203NHCOC</v>
      </c>
      <c r="B2248" s="5">
        <f ca="1">IFERROR(__xludf.DUMMYFUNCTION("""COMPUTED_VALUE"""),16)</f>
        <v>16</v>
      </c>
      <c r="C2248" s="5" t="str">
        <f ca="1">IFERROR(__xludf.DUMMYFUNCTION("""COMPUTED_VALUE"""),"Male")</f>
        <v>Male</v>
      </c>
      <c r="D2248" s="5" t="str">
        <f ca="1">IFERROR(__xludf.DUMMYFUNCTION("""COMPUTED_VALUE"""),"White")</f>
        <v>White</v>
      </c>
      <c r="E2248" s="5" t="str">
        <f ca="1">IFERROR(__xludf.DUMMYFUNCTION("""COMPUTED_VALUE"""),"Former Student")</f>
        <v>Former Student</v>
      </c>
      <c r="F2248" s="5" t="str">
        <f ca="1">IFERROR(__xludf.DUMMYFUNCTION("""COMPUTED_VALUE"""),"Apprehended/Killed by LE")</f>
        <v>Apprehended/Killed by LE</v>
      </c>
      <c r="G2248" s="5" t="str">
        <f ca="1">IFERROR(__xludf.DUMMYFUNCTION("""COMPUTED_VALUE"""),"Yes")</f>
        <v>Yes</v>
      </c>
      <c r="H2248" s="5" t="str">
        <f ca="1">IFERROR(__xludf.DUMMYFUNCTION("""COMPUTED_VALUE"""),"Fatal")</f>
        <v>Fatal</v>
      </c>
    </row>
    <row r="2249" spans="1:8" ht="13">
      <c r="A2249" s="5" t="str">
        <f ca="1">IFERROR(__xludf.DUMMYFUNCTION("""COMPUTED_VALUE"""),"19851127ALCHB")</f>
        <v>19851127ALCHB</v>
      </c>
      <c r="B2249" s="5">
        <f ca="1">IFERROR(__xludf.DUMMYFUNCTION("""COMPUTED_VALUE"""),16)</f>
        <v>16</v>
      </c>
      <c r="C2249" s="5" t="str">
        <f ca="1">IFERROR(__xludf.DUMMYFUNCTION("""COMPUTED_VALUE"""),"Male")</f>
        <v>Male</v>
      </c>
      <c r="D2249" s="5"/>
      <c r="E2249" s="5" t="str">
        <f ca="1">IFERROR(__xludf.DUMMYFUNCTION("""COMPUTED_VALUE"""),"Student")</f>
        <v>Student</v>
      </c>
      <c r="F2249" s="5" t="str">
        <f ca="1">IFERROR(__xludf.DUMMYFUNCTION("""COMPUTED_VALUE"""),"Suicide")</f>
        <v>Suicide</v>
      </c>
      <c r="G2249" s="5" t="str">
        <f ca="1">IFERROR(__xludf.DUMMYFUNCTION("""COMPUTED_VALUE"""),"Yes")</f>
        <v>Yes</v>
      </c>
      <c r="H2249" s="5" t="str">
        <f ca="1">IFERROR(__xludf.DUMMYFUNCTION("""COMPUTED_VALUE"""),"Suicide")</f>
        <v>Suicide</v>
      </c>
    </row>
    <row r="2250" spans="1:8" ht="13">
      <c r="A2250" s="5" t="str">
        <f ca="1">IFERROR(__xludf.DUMMYFUNCTION("""COMPUTED_VALUE"""),"19851126WASPS")</f>
        <v>19851126WASPS</v>
      </c>
      <c r="B2250" s="5">
        <f ca="1">IFERROR(__xludf.DUMMYFUNCTION("""COMPUTED_VALUE"""),14)</f>
        <v>14</v>
      </c>
      <c r="C2250" s="5" t="str">
        <f ca="1">IFERROR(__xludf.DUMMYFUNCTION("""COMPUTED_VALUE"""),"Female")</f>
        <v>Female</v>
      </c>
      <c r="D2250" s="5"/>
      <c r="E2250" s="5" t="str">
        <f ca="1">IFERROR(__xludf.DUMMYFUNCTION("""COMPUTED_VALUE"""),"Student")</f>
        <v>Student</v>
      </c>
      <c r="F2250" s="5" t="str">
        <f ca="1">IFERROR(__xludf.DUMMYFUNCTION("""COMPUTED_VALUE"""),"Suicide")</f>
        <v>Suicide</v>
      </c>
      <c r="G2250" s="5" t="str">
        <f ca="1">IFERROR(__xludf.DUMMYFUNCTION("""COMPUTED_VALUE"""),"Yes")</f>
        <v>Yes</v>
      </c>
      <c r="H2250" s="5" t="str">
        <f ca="1">IFERROR(__xludf.DUMMYFUNCTION("""COMPUTED_VALUE"""),"Suicide")</f>
        <v>Suicide</v>
      </c>
    </row>
    <row r="2251" spans="1:8" ht="13">
      <c r="A2251" s="5" t="str">
        <f ca="1">IFERROR(__xludf.DUMMYFUNCTION("""COMPUTED_VALUE"""),"19851022OHSOG")</f>
        <v>19851022OHSOG</v>
      </c>
      <c r="B2251" s="5" t="str">
        <f ca="1">IFERROR(__xludf.DUMMYFUNCTION("""COMPUTED_VALUE"""),"Adult")</f>
        <v>Adult</v>
      </c>
      <c r="C2251" s="5"/>
      <c r="D2251" s="5"/>
      <c r="E2251" s="5" t="str">
        <f ca="1">IFERROR(__xludf.DUMMYFUNCTION("""COMPUTED_VALUE"""),"Police Officer/SRO")</f>
        <v>Police Officer/SRO</v>
      </c>
      <c r="F2251" s="5" t="str">
        <f ca="1">IFERROR(__xludf.DUMMYFUNCTION("""COMPUTED_VALUE"""),"Law Enforcement")</f>
        <v>Law Enforcement</v>
      </c>
      <c r="G2251" s="5" t="str">
        <f ca="1">IFERROR(__xludf.DUMMYFUNCTION("""COMPUTED_VALUE"""),"No")</f>
        <v>No</v>
      </c>
      <c r="H2251" s="5" t="str">
        <f ca="1">IFERROR(__xludf.DUMMYFUNCTION("""COMPUTED_VALUE"""),"None")</f>
        <v>None</v>
      </c>
    </row>
    <row r="2252" spans="1:8" ht="13">
      <c r="A2252" s="5" t="str">
        <f ca="1">IFERROR(__xludf.DUMMYFUNCTION("""COMPUTED_VALUE"""),"19851018MIMUD")</f>
        <v>19851018MIMUD</v>
      </c>
      <c r="B2252" s="5"/>
      <c r="C2252" s="5"/>
      <c r="D2252" s="5"/>
      <c r="E2252" s="5" t="str">
        <f ca="1">IFERROR(__xludf.DUMMYFUNCTION("""COMPUTED_VALUE"""),"Unknown")</f>
        <v>Unknown</v>
      </c>
      <c r="F2252" s="5" t="str">
        <f ca="1">IFERROR(__xludf.DUMMYFUNCTION("""COMPUTED_VALUE"""),"Fled/Escaped")</f>
        <v>Fled/Escaped</v>
      </c>
      <c r="G2252" s="5" t="str">
        <f ca="1">IFERROR(__xludf.DUMMYFUNCTION("""COMPUTED_VALUE"""),"No")</f>
        <v>No</v>
      </c>
      <c r="H2252" s="5" t="str">
        <f ca="1">IFERROR(__xludf.DUMMYFUNCTION("""COMPUTED_VALUE"""),"None")</f>
        <v>None</v>
      </c>
    </row>
    <row r="2253" spans="1:8" ht="13">
      <c r="A2253" s="5" t="str">
        <f ca="1">IFERROR(__xludf.DUMMYFUNCTION("""COMPUTED_VALUE"""),"19851008MDLAB")</f>
        <v>19851008MDLAB</v>
      </c>
      <c r="B2253" s="5">
        <f ca="1">IFERROR(__xludf.DUMMYFUNCTION("""COMPUTED_VALUE"""),18)</f>
        <v>18</v>
      </c>
      <c r="C2253" s="5" t="str">
        <f ca="1">IFERROR(__xludf.DUMMYFUNCTION("""COMPUTED_VALUE"""),"Male")</f>
        <v>Male</v>
      </c>
      <c r="D2253" s="5"/>
      <c r="E2253" s="5" t="str">
        <f ca="1">IFERROR(__xludf.DUMMYFUNCTION("""COMPUTED_VALUE"""),"Student")</f>
        <v>Student</v>
      </c>
      <c r="F2253" s="5" t="str">
        <f ca="1">IFERROR(__xludf.DUMMYFUNCTION("""COMPUTED_VALUE"""),"Fled/Apprehended")</f>
        <v>Fled/Apprehended</v>
      </c>
      <c r="G2253" s="5" t="str">
        <f ca="1">IFERROR(__xludf.DUMMYFUNCTION("""COMPUTED_VALUE"""),"No")</f>
        <v>No</v>
      </c>
      <c r="H2253" s="5" t="str">
        <f ca="1">IFERROR(__xludf.DUMMYFUNCTION("""COMPUTED_VALUE"""),"None")</f>
        <v>None</v>
      </c>
    </row>
    <row r="2254" spans="1:8" ht="13">
      <c r="A2254" s="5" t="str">
        <f ca="1">IFERROR(__xludf.DUMMYFUNCTION("""COMPUTED_VALUE"""),"19851008MDLAB")</f>
        <v>19851008MDLAB</v>
      </c>
      <c r="B2254" s="5">
        <f ca="1">IFERROR(__xludf.DUMMYFUNCTION("""COMPUTED_VALUE"""),22)</f>
        <v>22</v>
      </c>
      <c r="C2254" s="5" t="str">
        <f ca="1">IFERROR(__xludf.DUMMYFUNCTION("""COMPUTED_VALUE"""),"Male")</f>
        <v>Male</v>
      </c>
      <c r="D2254" s="5"/>
      <c r="E2254" s="5" t="str">
        <f ca="1">IFERROR(__xludf.DUMMYFUNCTION("""COMPUTED_VALUE"""),"Relative")</f>
        <v>Relative</v>
      </c>
      <c r="F2254" s="5" t="str">
        <f ca="1">IFERROR(__xludf.DUMMYFUNCTION("""COMPUTED_VALUE"""),"Fled/Apprehended")</f>
        <v>Fled/Apprehended</v>
      </c>
      <c r="G2254" s="5" t="str">
        <f ca="1">IFERROR(__xludf.DUMMYFUNCTION("""COMPUTED_VALUE"""),"No")</f>
        <v>No</v>
      </c>
      <c r="H2254" s="5" t="str">
        <f ca="1">IFERROR(__xludf.DUMMYFUNCTION("""COMPUTED_VALUE"""),"None")</f>
        <v>None</v>
      </c>
    </row>
    <row r="2255" spans="1:8" ht="13">
      <c r="A2255" s="5" t="str">
        <f ca="1">IFERROR(__xludf.DUMMYFUNCTION("""COMPUTED_VALUE"""),"19851008MDLAB")</f>
        <v>19851008MDLAB</v>
      </c>
      <c r="B2255" s="5">
        <f ca="1">IFERROR(__xludf.DUMMYFUNCTION("""COMPUTED_VALUE"""),19)</f>
        <v>19</v>
      </c>
      <c r="C2255" s="5" t="str">
        <f ca="1">IFERROR(__xludf.DUMMYFUNCTION("""COMPUTED_VALUE"""),"Male")</f>
        <v>Male</v>
      </c>
      <c r="D2255" s="5"/>
      <c r="E2255" s="5" t="str">
        <f ca="1">IFERROR(__xludf.DUMMYFUNCTION("""COMPUTED_VALUE"""),"Former Student")</f>
        <v>Former Student</v>
      </c>
      <c r="F2255" s="5" t="str">
        <f ca="1">IFERROR(__xludf.DUMMYFUNCTION("""COMPUTED_VALUE"""),"Fled/Apprehended")</f>
        <v>Fled/Apprehended</v>
      </c>
      <c r="G2255" s="5" t="str">
        <f ca="1">IFERROR(__xludf.DUMMYFUNCTION("""COMPUTED_VALUE"""),"No")</f>
        <v>No</v>
      </c>
      <c r="H2255" s="5" t="str">
        <f ca="1">IFERROR(__xludf.DUMMYFUNCTION("""COMPUTED_VALUE"""),"None")</f>
        <v>None</v>
      </c>
    </row>
    <row r="2256" spans="1:8" ht="13">
      <c r="A2256" s="5" t="str">
        <f ca="1">IFERROR(__xludf.DUMMYFUNCTION("""COMPUTED_VALUE"""),"19850925OHTRT")</f>
        <v>19850925OHTRT</v>
      </c>
      <c r="B2256" s="5">
        <f ca="1">IFERROR(__xludf.DUMMYFUNCTION("""COMPUTED_VALUE"""),16)</f>
        <v>16</v>
      </c>
      <c r="C2256" s="5" t="str">
        <f ca="1">IFERROR(__xludf.DUMMYFUNCTION("""COMPUTED_VALUE"""),"Male")</f>
        <v>Male</v>
      </c>
      <c r="D2256" s="5"/>
      <c r="E2256" s="5" t="str">
        <f ca="1">IFERROR(__xludf.DUMMYFUNCTION("""COMPUTED_VALUE"""),"Student")</f>
        <v>Student</v>
      </c>
      <c r="F2256" s="5" t="str">
        <f ca="1">IFERROR(__xludf.DUMMYFUNCTION("""COMPUTED_VALUE"""),"Fled/Apprehended")</f>
        <v>Fled/Apprehended</v>
      </c>
      <c r="G2256" s="5" t="str">
        <f ca="1">IFERROR(__xludf.DUMMYFUNCTION("""COMPUTED_VALUE"""),"No")</f>
        <v>No</v>
      </c>
      <c r="H2256" s="5" t="str">
        <f ca="1">IFERROR(__xludf.DUMMYFUNCTION("""COMPUTED_VALUE"""),"None")</f>
        <v>None</v>
      </c>
    </row>
    <row r="2257" spans="1:8" ht="13">
      <c r="A2257" s="5" t="str">
        <f ca="1">IFERROR(__xludf.DUMMYFUNCTION("""COMPUTED_VALUE"""),"19850920TXLAC")</f>
        <v>19850920TXLAC</v>
      </c>
      <c r="B2257" s="5">
        <f ca="1">IFERROR(__xludf.DUMMYFUNCTION("""COMPUTED_VALUE"""),16)</f>
        <v>16</v>
      </c>
      <c r="C2257" s="5" t="str">
        <f ca="1">IFERROR(__xludf.DUMMYFUNCTION("""COMPUTED_VALUE"""),"Male")</f>
        <v>Male</v>
      </c>
      <c r="D2257" s="5"/>
      <c r="E2257" s="5" t="str">
        <f ca="1">IFERROR(__xludf.DUMMYFUNCTION("""COMPUTED_VALUE"""),"Student")</f>
        <v>Student</v>
      </c>
      <c r="F2257" s="5" t="str">
        <f ca="1">IFERROR(__xludf.DUMMYFUNCTION("""COMPUTED_VALUE"""),"Unknown")</f>
        <v>Unknown</v>
      </c>
      <c r="G2257" s="5" t="str">
        <f ca="1">IFERROR(__xludf.DUMMYFUNCTION("""COMPUTED_VALUE"""),"No")</f>
        <v>No</v>
      </c>
      <c r="H2257" s="5" t="str">
        <f ca="1">IFERROR(__xludf.DUMMYFUNCTION("""COMPUTED_VALUE"""),"None")</f>
        <v>None</v>
      </c>
    </row>
    <row r="2258" spans="1:8" ht="13">
      <c r="A2258" s="5" t="str">
        <f ca="1">IFERROR(__xludf.DUMMYFUNCTION("""COMPUTED_VALUE"""),"19850909TXWHH")</f>
        <v>19850909TXWHH</v>
      </c>
      <c r="B2258" s="5">
        <f ca="1">IFERROR(__xludf.DUMMYFUNCTION("""COMPUTED_VALUE"""),18)</f>
        <v>18</v>
      </c>
      <c r="C2258" s="5" t="str">
        <f ca="1">IFERROR(__xludf.DUMMYFUNCTION("""COMPUTED_VALUE"""),"Male")</f>
        <v>Male</v>
      </c>
      <c r="D2258" s="5"/>
      <c r="E2258" s="5" t="str">
        <f ca="1">IFERROR(__xludf.DUMMYFUNCTION("""COMPUTED_VALUE"""),"No Relation")</f>
        <v>No Relation</v>
      </c>
      <c r="F2258" s="5" t="str">
        <f ca="1">IFERROR(__xludf.DUMMYFUNCTION("""COMPUTED_VALUE"""),"Fled/Apprehended")</f>
        <v>Fled/Apprehended</v>
      </c>
      <c r="G2258" s="5" t="str">
        <f ca="1">IFERROR(__xludf.DUMMYFUNCTION("""COMPUTED_VALUE"""),"No")</f>
        <v>No</v>
      </c>
      <c r="H2258" s="5" t="str">
        <f ca="1">IFERROR(__xludf.DUMMYFUNCTION("""COMPUTED_VALUE"""),"None")</f>
        <v>None</v>
      </c>
    </row>
    <row r="2259" spans="1:8" ht="13">
      <c r="A2259" s="5" t="str">
        <f ca="1">IFERROR(__xludf.DUMMYFUNCTION("""COMPUTED_VALUE"""),"19850904VAEAR")</f>
        <v>19850904VAEAR</v>
      </c>
      <c r="B2259" s="5">
        <f ca="1">IFERROR(__xludf.DUMMYFUNCTION("""COMPUTED_VALUE"""),12)</f>
        <v>12</v>
      </c>
      <c r="C2259" s="5" t="str">
        <f ca="1">IFERROR(__xludf.DUMMYFUNCTION("""COMPUTED_VALUE"""),"Male")</f>
        <v>Male</v>
      </c>
      <c r="D2259" s="5"/>
      <c r="E2259" s="5" t="str">
        <f ca="1">IFERROR(__xludf.DUMMYFUNCTION("""COMPUTED_VALUE"""),"Student")</f>
        <v>Student</v>
      </c>
      <c r="F2259" s="5" t="str">
        <f ca="1">IFERROR(__xludf.DUMMYFUNCTION("""COMPUTED_VALUE"""),"Fled/Apprehended")</f>
        <v>Fled/Apprehended</v>
      </c>
      <c r="G2259" s="5" t="str">
        <f ca="1">IFERROR(__xludf.DUMMYFUNCTION("""COMPUTED_VALUE"""),"No")</f>
        <v>No</v>
      </c>
      <c r="H2259" s="5" t="str">
        <f ca="1">IFERROR(__xludf.DUMMYFUNCTION("""COMPUTED_VALUE"""),"None")</f>
        <v>None</v>
      </c>
    </row>
    <row r="2260" spans="1:8" ht="13">
      <c r="A2260" s="5" t="str">
        <f ca="1">IFERROR(__xludf.DUMMYFUNCTION("""COMPUTED_VALUE"""),"19850724TXHIH")</f>
        <v>19850724TXHIH</v>
      </c>
      <c r="B2260" s="5">
        <f ca="1">IFERROR(__xludf.DUMMYFUNCTION("""COMPUTED_VALUE"""),65)</f>
        <v>65</v>
      </c>
      <c r="C2260" s="5" t="str">
        <f ca="1">IFERROR(__xludf.DUMMYFUNCTION("""COMPUTED_VALUE"""),"Female")</f>
        <v>Female</v>
      </c>
      <c r="D2260" s="5"/>
      <c r="E2260" s="5" t="str">
        <f ca="1">IFERROR(__xludf.DUMMYFUNCTION("""COMPUTED_VALUE"""),"No Relation")</f>
        <v>No Relation</v>
      </c>
      <c r="F2260" s="5" t="str">
        <f ca="1">IFERROR(__xludf.DUMMYFUNCTION("""COMPUTED_VALUE"""),"Surrendered")</f>
        <v>Surrendered</v>
      </c>
      <c r="G2260" s="5" t="str">
        <f ca="1">IFERROR(__xludf.DUMMYFUNCTION("""COMPUTED_VALUE"""),"No")</f>
        <v>No</v>
      </c>
      <c r="H2260" s="5" t="str">
        <f ca="1">IFERROR(__xludf.DUMMYFUNCTION("""COMPUTED_VALUE"""),"None")</f>
        <v>None</v>
      </c>
    </row>
    <row r="2261" spans="1:8" ht="13">
      <c r="A2261" s="5" t="str">
        <f ca="1">IFERROR(__xludf.DUMMYFUNCTION("""COMPUTED_VALUE"""),"19850516FLPAB")</f>
        <v>19850516FLPAB</v>
      </c>
      <c r="B2261" s="5">
        <f ca="1">IFERROR(__xludf.DUMMYFUNCTION("""COMPUTED_VALUE"""),15)</f>
        <v>15</v>
      </c>
      <c r="C2261" s="5" t="str">
        <f ca="1">IFERROR(__xludf.DUMMYFUNCTION("""COMPUTED_VALUE"""),"Female")</f>
        <v>Female</v>
      </c>
      <c r="D2261" s="5"/>
      <c r="E2261" s="5" t="str">
        <f ca="1">IFERROR(__xludf.DUMMYFUNCTION("""COMPUTED_VALUE"""),"Student")</f>
        <v>Student</v>
      </c>
      <c r="F2261" s="5" t="str">
        <f ca="1">IFERROR(__xludf.DUMMYFUNCTION("""COMPUTED_VALUE"""),"Attempted Suicide")</f>
        <v>Attempted Suicide</v>
      </c>
      <c r="G2261" s="5" t="str">
        <f ca="1">IFERROR(__xludf.DUMMYFUNCTION("""COMPUTED_VALUE"""),"No")</f>
        <v>No</v>
      </c>
      <c r="H2261" s="5" t="str">
        <f ca="1">IFERROR(__xludf.DUMMYFUNCTION("""COMPUTED_VALUE"""),"Wounded")</f>
        <v>Wounded</v>
      </c>
    </row>
    <row r="2262" spans="1:8" ht="13">
      <c r="A2262" s="5" t="str">
        <f ca="1">IFERROR(__xludf.DUMMYFUNCTION("""COMPUTED_VALUE"""),"19850418TNSOS")</f>
        <v>19850418TNSOS</v>
      </c>
      <c r="B2262" s="5">
        <f ca="1">IFERROR(__xludf.DUMMYFUNCTION("""COMPUTED_VALUE"""),18)</f>
        <v>18</v>
      </c>
      <c r="C2262" s="5" t="str">
        <f ca="1">IFERROR(__xludf.DUMMYFUNCTION("""COMPUTED_VALUE"""),"Male")</f>
        <v>Male</v>
      </c>
      <c r="D2262" s="5"/>
      <c r="E2262" s="5" t="str">
        <f ca="1">IFERROR(__xludf.DUMMYFUNCTION("""COMPUTED_VALUE"""),"Student")</f>
        <v>Student</v>
      </c>
      <c r="F2262" s="5" t="str">
        <f ca="1">IFERROR(__xludf.DUMMYFUNCTION("""COMPUTED_VALUE"""),"Apprehended/Killed by LE")</f>
        <v>Apprehended/Killed by LE</v>
      </c>
      <c r="G2262" s="5" t="str">
        <f ca="1">IFERROR(__xludf.DUMMYFUNCTION("""COMPUTED_VALUE"""),"No")</f>
        <v>No</v>
      </c>
      <c r="H2262" s="5" t="str">
        <f ca="1">IFERROR(__xludf.DUMMYFUNCTION("""COMPUTED_VALUE"""),"None")</f>
        <v>None</v>
      </c>
    </row>
    <row r="2263" spans="1:8" ht="13">
      <c r="A2263" s="5" t="str">
        <f ca="1">IFERROR(__xludf.DUMMYFUNCTION("""COMPUTED_VALUE"""),"19850416TXMAA")</f>
        <v>19850416TXMAA</v>
      </c>
      <c r="B2263" s="5">
        <f ca="1">IFERROR(__xludf.DUMMYFUNCTION("""COMPUTED_VALUE"""),31)</f>
        <v>31</v>
      </c>
      <c r="C2263" s="5" t="str">
        <f ca="1">IFERROR(__xludf.DUMMYFUNCTION("""COMPUTED_VALUE"""),"Male")</f>
        <v>Male</v>
      </c>
      <c r="D2263" s="5"/>
      <c r="E2263" s="5" t="str">
        <f ca="1">IFERROR(__xludf.DUMMYFUNCTION("""COMPUTED_VALUE"""),"Police Officer/SRO")</f>
        <v>Police Officer/SRO</v>
      </c>
      <c r="F2263" s="5" t="str">
        <f ca="1">IFERROR(__xludf.DUMMYFUNCTION("""COMPUTED_VALUE"""),"Surrendered")</f>
        <v>Surrendered</v>
      </c>
      <c r="G2263" s="5" t="str">
        <f ca="1">IFERROR(__xludf.DUMMYFUNCTION("""COMPUTED_VALUE"""),"No")</f>
        <v>No</v>
      </c>
      <c r="H2263" s="5" t="str">
        <f ca="1">IFERROR(__xludf.DUMMYFUNCTION("""COMPUTED_VALUE"""),"None")</f>
        <v>None</v>
      </c>
    </row>
    <row r="2264" spans="1:8" ht="13">
      <c r="A2264" s="5" t="str">
        <f ca="1">IFERROR(__xludf.DUMMYFUNCTION("""COMPUTED_VALUE"""),"19850205CTAIH")</f>
        <v>19850205CTAIH</v>
      </c>
      <c r="B2264" s="5">
        <f ca="1">IFERROR(__xludf.DUMMYFUNCTION("""COMPUTED_VALUE"""),18)</f>
        <v>18</v>
      </c>
      <c r="C2264" s="5" t="str">
        <f ca="1">IFERROR(__xludf.DUMMYFUNCTION("""COMPUTED_VALUE"""),"Male")</f>
        <v>Male</v>
      </c>
      <c r="D2264" s="5"/>
      <c r="E2264" s="5" t="str">
        <f ca="1">IFERROR(__xludf.DUMMYFUNCTION("""COMPUTED_VALUE"""),"Intimate Relationship")</f>
        <v>Intimate Relationship</v>
      </c>
      <c r="F2264" s="5" t="str">
        <f ca="1">IFERROR(__xludf.DUMMYFUNCTION("""COMPUTED_VALUE"""),"Fled/Escaped")</f>
        <v>Fled/Escaped</v>
      </c>
      <c r="G2264" s="5" t="str">
        <f ca="1">IFERROR(__xludf.DUMMYFUNCTION("""COMPUTED_VALUE"""),"No")</f>
        <v>No</v>
      </c>
      <c r="H2264" s="5" t="str">
        <f ca="1">IFERROR(__xludf.DUMMYFUNCTION("""COMPUTED_VALUE"""),"None")</f>
        <v>None</v>
      </c>
    </row>
    <row r="2265" spans="1:8" ht="13">
      <c r="A2265" s="5" t="str">
        <f ca="1">IFERROR(__xludf.DUMMYFUNCTION("""COMPUTED_VALUE"""),"19850126MASTB")</f>
        <v>19850126MASTB</v>
      </c>
      <c r="B2265" s="5">
        <f ca="1">IFERROR(__xludf.DUMMYFUNCTION("""COMPUTED_VALUE"""),16)</f>
        <v>16</v>
      </c>
      <c r="C2265" s="5" t="str">
        <f ca="1">IFERROR(__xludf.DUMMYFUNCTION("""COMPUTED_VALUE"""),"Male")</f>
        <v>Male</v>
      </c>
      <c r="D2265" s="5"/>
      <c r="E2265" s="5" t="str">
        <f ca="1">IFERROR(__xludf.DUMMYFUNCTION("""COMPUTED_VALUE"""),"Student")</f>
        <v>Student</v>
      </c>
      <c r="F2265" s="5" t="str">
        <f ca="1">IFERROR(__xludf.DUMMYFUNCTION("""COMPUTED_VALUE"""),"Fled/Apprehended")</f>
        <v>Fled/Apprehended</v>
      </c>
      <c r="G2265" s="5" t="str">
        <f ca="1">IFERROR(__xludf.DUMMYFUNCTION("""COMPUTED_VALUE"""),"No")</f>
        <v>No</v>
      </c>
      <c r="H2265" s="5" t="str">
        <f ca="1">IFERROR(__xludf.DUMMYFUNCTION("""COMPUTED_VALUE"""),"None")</f>
        <v>None</v>
      </c>
    </row>
    <row r="2266" spans="1:8" ht="13">
      <c r="A2266" s="5" t="str">
        <f ca="1">IFERROR(__xludf.DUMMYFUNCTION("""COMPUTED_VALUE"""),"19850121KSGOG")</f>
        <v>19850121KSGOG</v>
      </c>
      <c r="B2266" s="5">
        <f ca="1">IFERROR(__xludf.DUMMYFUNCTION("""COMPUTED_VALUE"""),14)</f>
        <v>14</v>
      </c>
      <c r="C2266" s="5" t="str">
        <f ca="1">IFERROR(__xludf.DUMMYFUNCTION("""COMPUTED_VALUE"""),"Male")</f>
        <v>Male</v>
      </c>
      <c r="D2266" s="5" t="str">
        <f ca="1">IFERROR(__xludf.DUMMYFUNCTION("""COMPUTED_VALUE"""),"White")</f>
        <v>White</v>
      </c>
      <c r="E2266" s="5" t="str">
        <f ca="1">IFERROR(__xludf.DUMMYFUNCTION("""COMPUTED_VALUE"""),"Student")</f>
        <v>Student</v>
      </c>
      <c r="F2266" s="5" t="str">
        <f ca="1">IFERROR(__xludf.DUMMYFUNCTION("""COMPUTED_VALUE"""),"Fled/Apprehended")</f>
        <v>Fled/Apprehended</v>
      </c>
      <c r="G2266" s="5" t="str">
        <f ca="1">IFERROR(__xludf.DUMMYFUNCTION("""COMPUTED_VALUE"""),"No")</f>
        <v>No</v>
      </c>
      <c r="H2266" s="5" t="str">
        <f ca="1">IFERROR(__xludf.DUMMYFUNCTION("""COMPUTED_VALUE"""),"None")</f>
        <v>None</v>
      </c>
    </row>
    <row r="2267" spans="1:8" ht="13">
      <c r="A2267" s="5" t="str">
        <f ca="1">IFERROR(__xludf.DUMMYFUNCTION("""COMPUTED_VALUE"""),"19850118TXARA")</f>
        <v>19850118TXARA</v>
      </c>
      <c r="B2267" s="5">
        <f ca="1">IFERROR(__xludf.DUMMYFUNCTION("""COMPUTED_VALUE"""),17)</f>
        <v>17</v>
      </c>
      <c r="C2267" s="5" t="str">
        <f ca="1">IFERROR(__xludf.DUMMYFUNCTION("""COMPUTED_VALUE"""),"Male")</f>
        <v>Male</v>
      </c>
      <c r="D2267" s="5" t="str">
        <f ca="1">IFERROR(__xludf.DUMMYFUNCTION("""COMPUTED_VALUE"""),"White")</f>
        <v>White</v>
      </c>
      <c r="E2267" s="5" t="str">
        <f ca="1">IFERROR(__xludf.DUMMYFUNCTION("""COMPUTED_VALUE"""),"Student")</f>
        <v>Student</v>
      </c>
      <c r="F2267" s="5" t="str">
        <f ca="1">IFERROR(__xludf.DUMMYFUNCTION("""COMPUTED_VALUE"""),"Suicide")</f>
        <v>Suicide</v>
      </c>
      <c r="G2267" s="5" t="str">
        <f ca="1">IFERROR(__xludf.DUMMYFUNCTION("""COMPUTED_VALUE"""),"Yes")</f>
        <v>Yes</v>
      </c>
      <c r="H2267" s="5" t="str">
        <f ca="1">IFERROR(__xludf.DUMMYFUNCTION("""COMPUTED_VALUE"""),"Suicide")</f>
        <v>Suicide</v>
      </c>
    </row>
    <row r="2268" spans="1:8" ht="13">
      <c r="A2268" s="5" t="str">
        <f ca="1">IFERROR(__xludf.DUMMYFUNCTION("""COMPUTED_VALUE"""),"19841207MOEDS")</f>
        <v>19841207MOEDS</v>
      </c>
      <c r="B2268" s="5">
        <f ca="1">IFERROR(__xludf.DUMMYFUNCTION("""COMPUTED_VALUE"""),17)</f>
        <v>17</v>
      </c>
      <c r="C2268" s="5" t="str">
        <f ca="1">IFERROR(__xludf.DUMMYFUNCTION("""COMPUTED_VALUE"""),"Male")</f>
        <v>Male</v>
      </c>
      <c r="D2268" s="5" t="str">
        <f ca="1">IFERROR(__xludf.DUMMYFUNCTION("""COMPUTED_VALUE"""),"White")</f>
        <v>White</v>
      </c>
      <c r="E2268" s="5" t="str">
        <f ca="1">IFERROR(__xludf.DUMMYFUNCTION("""COMPUTED_VALUE"""),"Student")</f>
        <v>Student</v>
      </c>
      <c r="F2268" s="5" t="str">
        <f ca="1">IFERROR(__xludf.DUMMYFUNCTION("""COMPUTED_VALUE"""),"Surrendered")</f>
        <v>Surrendered</v>
      </c>
      <c r="G2268" s="5" t="str">
        <f ca="1">IFERROR(__xludf.DUMMYFUNCTION("""COMPUTED_VALUE"""),"No")</f>
        <v>No</v>
      </c>
      <c r="H2268" s="5" t="str">
        <f ca="1">IFERROR(__xludf.DUMMYFUNCTION("""COMPUTED_VALUE"""),"None")</f>
        <v>None</v>
      </c>
    </row>
    <row r="2269" spans="1:8" ht="13">
      <c r="A2269" s="5" t="str">
        <f ca="1">IFERROR(__xludf.DUMMYFUNCTION("""COMPUTED_VALUE"""),"19841126MDMIR")</f>
        <v>19841126MDMIR</v>
      </c>
      <c r="B2269" s="5">
        <f ca="1">IFERROR(__xludf.DUMMYFUNCTION("""COMPUTED_VALUE"""),16)</f>
        <v>16</v>
      </c>
      <c r="C2269" s="5" t="str">
        <f ca="1">IFERROR(__xludf.DUMMYFUNCTION("""COMPUTED_VALUE"""),"Male")</f>
        <v>Male</v>
      </c>
      <c r="D2269" s="5"/>
      <c r="E2269" s="5" t="str">
        <f ca="1">IFERROR(__xludf.DUMMYFUNCTION("""COMPUTED_VALUE"""),"Unknown")</f>
        <v>Unknown</v>
      </c>
      <c r="F2269" s="5" t="str">
        <f ca="1">IFERROR(__xludf.DUMMYFUNCTION("""COMPUTED_VALUE"""),"Fled/Apprehended")</f>
        <v>Fled/Apprehended</v>
      </c>
      <c r="G2269" s="5" t="str">
        <f ca="1">IFERROR(__xludf.DUMMYFUNCTION("""COMPUTED_VALUE"""),"No")</f>
        <v>No</v>
      </c>
      <c r="H2269" s="5" t="str">
        <f ca="1">IFERROR(__xludf.DUMMYFUNCTION("""COMPUTED_VALUE"""),"None")</f>
        <v>None</v>
      </c>
    </row>
    <row r="2270" spans="1:8" ht="13">
      <c r="A2270" s="5" t="str">
        <f ca="1">IFERROR(__xludf.DUMMYFUNCTION("""COMPUTED_VALUE"""),"19841109CTWIN")</f>
        <v>19841109CTWIN</v>
      </c>
      <c r="B2270" s="5">
        <f ca="1">IFERROR(__xludf.DUMMYFUNCTION("""COMPUTED_VALUE"""),16)</f>
        <v>16</v>
      </c>
      <c r="C2270" s="5" t="str">
        <f ca="1">IFERROR(__xludf.DUMMYFUNCTION("""COMPUTED_VALUE"""),"Male")</f>
        <v>Male</v>
      </c>
      <c r="D2270" s="5"/>
      <c r="E2270" s="5" t="str">
        <f ca="1">IFERROR(__xludf.DUMMYFUNCTION("""COMPUTED_VALUE"""),"Student")</f>
        <v>Student</v>
      </c>
      <c r="F2270" s="5" t="str">
        <f ca="1">IFERROR(__xludf.DUMMYFUNCTION("""COMPUTED_VALUE"""),"Fled/Apprehended")</f>
        <v>Fled/Apprehended</v>
      </c>
      <c r="G2270" s="5" t="str">
        <f ca="1">IFERROR(__xludf.DUMMYFUNCTION("""COMPUTED_VALUE"""),"No")</f>
        <v>No</v>
      </c>
      <c r="H2270" s="5" t="str">
        <f ca="1">IFERROR(__xludf.DUMMYFUNCTION("""COMPUTED_VALUE"""),"None")</f>
        <v>None</v>
      </c>
    </row>
    <row r="2271" spans="1:8" ht="13">
      <c r="A2271" s="5" t="str">
        <f ca="1">IFERROR(__xludf.DUMMYFUNCTION("""COMPUTED_VALUE"""),"19841031LAEAG")</f>
        <v>19841031LAEAG</v>
      </c>
      <c r="B2271" s="5">
        <f ca="1">IFERROR(__xludf.DUMMYFUNCTION("""COMPUTED_VALUE"""),16)</f>
        <v>16</v>
      </c>
      <c r="C2271" s="5" t="str">
        <f ca="1">IFERROR(__xludf.DUMMYFUNCTION("""COMPUTED_VALUE"""),"Male")</f>
        <v>Male</v>
      </c>
      <c r="D2271" s="5" t="str">
        <f ca="1">IFERROR(__xludf.DUMMYFUNCTION("""COMPUTED_VALUE"""),"White")</f>
        <v>White</v>
      </c>
      <c r="E2271" s="5" t="str">
        <f ca="1">IFERROR(__xludf.DUMMYFUNCTION("""COMPUTED_VALUE"""),"Student")</f>
        <v>Student</v>
      </c>
      <c r="F2271" s="5" t="str">
        <f ca="1">IFERROR(__xludf.DUMMYFUNCTION("""COMPUTED_VALUE"""),"Unknown")</f>
        <v>Unknown</v>
      </c>
      <c r="G2271" s="5" t="str">
        <f ca="1">IFERROR(__xludf.DUMMYFUNCTION("""COMPUTED_VALUE"""),"No")</f>
        <v>No</v>
      </c>
      <c r="H2271" s="5" t="str">
        <f ca="1">IFERROR(__xludf.DUMMYFUNCTION("""COMPUTED_VALUE"""),"None")</f>
        <v>None</v>
      </c>
    </row>
    <row r="2272" spans="1:8" ht="13">
      <c r="A2272" s="5" t="str">
        <f ca="1">IFERROR(__xludf.DUMMYFUNCTION("""COMPUTED_VALUE"""),"19841030SCPEP")</f>
        <v>19841030SCPEP</v>
      </c>
      <c r="B2272" s="5">
        <f ca="1">IFERROR(__xludf.DUMMYFUNCTION("""COMPUTED_VALUE"""),21)</f>
        <v>21</v>
      </c>
      <c r="C2272" s="5" t="str">
        <f ca="1">IFERROR(__xludf.DUMMYFUNCTION("""COMPUTED_VALUE"""),"Male")</f>
        <v>Male</v>
      </c>
      <c r="D2272" s="5"/>
      <c r="E2272" s="5" t="str">
        <f ca="1">IFERROR(__xludf.DUMMYFUNCTION("""COMPUTED_VALUE"""),"Intimate Relationship")</f>
        <v>Intimate Relationship</v>
      </c>
      <c r="F2272" s="5" t="str">
        <f ca="1">IFERROR(__xludf.DUMMYFUNCTION("""COMPUTED_VALUE"""),"Apprehended/Killed by LE")</f>
        <v>Apprehended/Killed by LE</v>
      </c>
      <c r="G2272" s="5" t="str">
        <f ca="1">IFERROR(__xludf.DUMMYFUNCTION("""COMPUTED_VALUE"""),"No")</f>
        <v>No</v>
      </c>
      <c r="H2272" s="5" t="str">
        <f ca="1">IFERROR(__xludf.DUMMYFUNCTION("""COMPUTED_VALUE"""),"None")</f>
        <v>None</v>
      </c>
    </row>
    <row r="2273" spans="1:8" ht="13">
      <c r="A2273" s="5" t="str">
        <f ca="1">IFERROR(__xludf.DUMMYFUNCTION("""COMPUTED_VALUE"""),"19841024OHWEC")</f>
        <v>19841024OHWEC</v>
      </c>
      <c r="B2273" s="5">
        <f ca="1">IFERROR(__xludf.DUMMYFUNCTION("""COMPUTED_VALUE"""),45)</f>
        <v>45</v>
      </c>
      <c r="C2273" s="5" t="str">
        <f ca="1">IFERROR(__xludf.DUMMYFUNCTION("""COMPUTED_VALUE"""),"Female")</f>
        <v>Female</v>
      </c>
      <c r="D2273" s="5" t="str">
        <f ca="1">IFERROR(__xludf.DUMMYFUNCTION("""COMPUTED_VALUE"""),"White")</f>
        <v>White</v>
      </c>
      <c r="E2273" s="5" t="str">
        <f ca="1">IFERROR(__xludf.DUMMYFUNCTION("""COMPUTED_VALUE"""),"Parent")</f>
        <v>Parent</v>
      </c>
      <c r="F2273" s="5" t="str">
        <f ca="1">IFERROR(__xludf.DUMMYFUNCTION("""COMPUTED_VALUE"""),"Fled/Apprehended")</f>
        <v>Fled/Apprehended</v>
      </c>
      <c r="G2273" s="5" t="str">
        <f ca="1">IFERROR(__xludf.DUMMYFUNCTION("""COMPUTED_VALUE"""),"No")</f>
        <v>No</v>
      </c>
      <c r="H2273" s="5" t="str">
        <f ca="1">IFERROR(__xludf.DUMMYFUNCTION("""COMPUTED_VALUE"""),"None")</f>
        <v>None</v>
      </c>
    </row>
    <row r="2274" spans="1:8" ht="13">
      <c r="A2274" s="5" t="str">
        <f ca="1">IFERROR(__xludf.DUMMYFUNCTION("""COMPUTED_VALUE"""),"19841024MISOD")</f>
        <v>19841024MISOD</v>
      </c>
      <c r="B2274" s="5">
        <f ca="1">IFERROR(__xludf.DUMMYFUNCTION("""COMPUTED_VALUE"""),17)</f>
        <v>17</v>
      </c>
      <c r="C2274" s="5" t="str">
        <f ca="1">IFERROR(__xludf.DUMMYFUNCTION("""COMPUTED_VALUE"""),"Male")</f>
        <v>Male</v>
      </c>
      <c r="D2274" s="5"/>
      <c r="E2274" s="5" t="str">
        <f ca="1">IFERROR(__xludf.DUMMYFUNCTION("""COMPUTED_VALUE"""),"Student")</f>
        <v>Student</v>
      </c>
      <c r="F2274" s="5" t="str">
        <f ca="1">IFERROR(__xludf.DUMMYFUNCTION("""COMPUTED_VALUE"""),"Surrendered")</f>
        <v>Surrendered</v>
      </c>
      <c r="G2274" s="5" t="str">
        <f ca="1">IFERROR(__xludf.DUMMYFUNCTION("""COMPUTED_VALUE"""),"No")</f>
        <v>No</v>
      </c>
      <c r="H2274" s="5" t="str">
        <f ca="1">IFERROR(__xludf.DUMMYFUNCTION("""COMPUTED_VALUE"""),"None")</f>
        <v>None</v>
      </c>
    </row>
    <row r="2275" spans="1:8" ht="13">
      <c r="A2275" s="5" t="str">
        <f ca="1">IFERROR(__xludf.DUMMYFUNCTION("""COMPUTED_VALUE"""),"19841022MICED")</f>
        <v>19841022MICED</v>
      </c>
      <c r="B2275" s="5">
        <f ca="1">IFERROR(__xludf.DUMMYFUNCTION("""COMPUTED_VALUE"""),16)</f>
        <v>16</v>
      </c>
      <c r="C2275" s="5" t="str">
        <f ca="1">IFERROR(__xludf.DUMMYFUNCTION("""COMPUTED_VALUE"""),"Male")</f>
        <v>Male</v>
      </c>
      <c r="D2275" s="5" t="str">
        <f ca="1">IFERROR(__xludf.DUMMYFUNCTION("""COMPUTED_VALUE"""),"Black")</f>
        <v>Black</v>
      </c>
      <c r="E2275" s="5" t="str">
        <f ca="1">IFERROR(__xludf.DUMMYFUNCTION("""COMPUTED_VALUE"""),"Student")</f>
        <v>Student</v>
      </c>
      <c r="F2275" s="5" t="str">
        <f ca="1">IFERROR(__xludf.DUMMYFUNCTION("""COMPUTED_VALUE"""),"Fled/Apprehended")</f>
        <v>Fled/Apprehended</v>
      </c>
      <c r="G2275" s="5" t="str">
        <f ca="1">IFERROR(__xludf.DUMMYFUNCTION("""COMPUTED_VALUE"""),"No")</f>
        <v>No</v>
      </c>
      <c r="H2275" s="5" t="str">
        <f ca="1">IFERROR(__xludf.DUMMYFUNCTION("""COMPUTED_VALUE"""),"None")</f>
        <v>None</v>
      </c>
    </row>
    <row r="2276" spans="1:8" ht="13">
      <c r="A2276" s="5" t="str">
        <f ca="1">IFERROR(__xludf.DUMMYFUNCTION("""COMPUTED_VALUE"""),"19841021PAWYE")</f>
        <v>19841021PAWYE</v>
      </c>
      <c r="B2276" s="5"/>
      <c r="C2276" s="5" t="str">
        <f ca="1">IFERROR(__xludf.DUMMYFUNCTION("""COMPUTED_VALUE"""),"Male")</f>
        <v>Male</v>
      </c>
      <c r="D2276" s="5"/>
      <c r="E2276" s="5" t="str">
        <f ca="1">IFERROR(__xludf.DUMMYFUNCTION("""COMPUTED_VALUE"""),"Unknown")</f>
        <v>Unknown</v>
      </c>
      <c r="F2276" s="5" t="str">
        <f ca="1">IFERROR(__xludf.DUMMYFUNCTION("""COMPUTED_VALUE"""),"Unknown")</f>
        <v>Unknown</v>
      </c>
      <c r="G2276" s="5" t="str">
        <f ca="1">IFERROR(__xludf.DUMMYFUNCTION("""COMPUTED_VALUE"""),"No")</f>
        <v>No</v>
      </c>
      <c r="H2276" s="5" t="str">
        <f ca="1">IFERROR(__xludf.DUMMYFUNCTION("""COMPUTED_VALUE"""),"None")</f>
        <v>None</v>
      </c>
    </row>
    <row r="2277" spans="1:8" ht="13">
      <c r="A2277" s="5" t="str">
        <f ca="1">IFERROR(__xludf.DUMMYFUNCTION("""COMPUTED_VALUE"""),"19840928TXRIN")</f>
        <v>19840928TXRIN</v>
      </c>
      <c r="B2277" s="5">
        <f ca="1">IFERROR(__xludf.DUMMYFUNCTION("""COMPUTED_VALUE"""),21)</f>
        <v>21</v>
      </c>
      <c r="C2277" s="5" t="str">
        <f ca="1">IFERROR(__xludf.DUMMYFUNCTION("""COMPUTED_VALUE"""),"Male")</f>
        <v>Male</v>
      </c>
      <c r="D2277" s="5" t="str">
        <f ca="1">IFERROR(__xludf.DUMMYFUNCTION("""COMPUTED_VALUE"""),"White")</f>
        <v>White</v>
      </c>
      <c r="E2277" s="5" t="str">
        <f ca="1">IFERROR(__xludf.DUMMYFUNCTION("""COMPUTED_VALUE"""),"Former Student")</f>
        <v>Former Student</v>
      </c>
      <c r="F2277" s="5" t="str">
        <f ca="1">IFERROR(__xludf.DUMMYFUNCTION("""COMPUTED_VALUE"""),"Surrendered")</f>
        <v>Surrendered</v>
      </c>
      <c r="G2277" s="5" t="str">
        <f ca="1">IFERROR(__xludf.DUMMYFUNCTION("""COMPUTED_VALUE"""),"No")</f>
        <v>No</v>
      </c>
      <c r="H2277" s="5" t="str">
        <f ca="1">IFERROR(__xludf.DUMMYFUNCTION("""COMPUTED_VALUE"""),"None")</f>
        <v>None</v>
      </c>
    </row>
    <row r="2278" spans="1:8" ht="13">
      <c r="A2278" s="5" t="str">
        <f ca="1">IFERROR(__xludf.DUMMYFUNCTION("""COMPUTED_VALUE"""),"19840928TXMIH")</f>
        <v>19840928TXMIH</v>
      </c>
      <c r="B2278" s="5"/>
      <c r="C2278" s="5"/>
      <c r="D2278" s="5"/>
      <c r="E2278" s="5" t="str">
        <f ca="1">IFERROR(__xludf.DUMMYFUNCTION("""COMPUTED_VALUE"""),"Unknown")</f>
        <v>Unknown</v>
      </c>
      <c r="F2278" s="5" t="str">
        <f ca="1">IFERROR(__xludf.DUMMYFUNCTION("""COMPUTED_VALUE"""),"Fled/Escaped")</f>
        <v>Fled/Escaped</v>
      </c>
      <c r="G2278" s="5" t="str">
        <f ca="1">IFERROR(__xludf.DUMMYFUNCTION("""COMPUTED_VALUE"""),"No")</f>
        <v>No</v>
      </c>
      <c r="H2278" s="5" t="str">
        <f ca="1">IFERROR(__xludf.DUMMYFUNCTION("""COMPUTED_VALUE"""),"None")</f>
        <v>None</v>
      </c>
    </row>
    <row r="2279" spans="1:8" ht="13">
      <c r="A2279" s="5" t="str">
        <f ca="1">IFERROR(__xludf.DUMMYFUNCTION("""COMPUTED_VALUE"""),"19840831LABOS")</f>
        <v>19840831LABOS</v>
      </c>
      <c r="B2279" s="5"/>
      <c r="C2279" s="5" t="str">
        <f ca="1">IFERROR(__xludf.DUMMYFUNCTION("""COMPUTED_VALUE"""),"Male")</f>
        <v>Male</v>
      </c>
      <c r="D2279" s="5"/>
      <c r="E2279" s="5" t="str">
        <f ca="1">IFERROR(__xludf.DUMMYFUNCTION("""COMPUTED_VALUE"""),"Gang Member")</f>
        <v>Gang Member</v>
      </c>
      <c r="F2279" s="5" t="str">
        <f ca="1">IFERROR(__xludf.DUMMYFUNCTION("""COMPUTED_VALUE"""),"Fled/Escaped")</f>
        <v>Fled/Escaped</v>
      </c>
      <c r="G2279" s="5" t="str">
        <f ca="1">IFERROR(__xludf.DUMMYFUNCTION("""COMPUTED_VALUE"""),"No")</f>
        <v>No</v>
      </c>
      <c r="H2279" s="5" t="str">
        <f ca="1">IFERROR(__xludf.DUMMYFUNCTION("""COMPUTED_VALUE"""),"None")</f>
        <v>None</v>
      </c>
    </row>
    <row r="2280" spans="1:8" ht="13">
      <c r="A2280" s="5" t="str">
        <f ca="1">IFERROR(__xludf.DUMMYFUNCTION("""COMPUTED_VALUE"""),"19840710MIMUD")</f>
        <v>19840710MIMUD</v>
      </c>
      <c r="B2280" s="5" t="str">
        <f ca="1">IFERROR(__xludf.DUMMYFUNCTION("""COMPUTED_VALUE"""),"Adult")</f>
        <v>Adult</v>
      </c>
      <c r="C2280" s="5" t="str">
        <f ca="1">IFERROR(__xludf.DUMMYFUNCTION("""COMPUTED_VALUE"""),"Male")</f>
        <v>Male</v>
      </c>
      <c r="D2280" s="5"/>
      <c r="E2280" s="5" t="str">
        <f ca="1">IFERROR(__xludf.DUMMYFUNCTION("""COMPUTED_VALUE"""),"No Relation")</f>
        <v>No Relation</v>
      </c>
      <c r="F2280" s="5" t="str">
        <f ca="1">IFERROR(__xludf.DUMMYFUNCTION("""COMPUTED_VALUE"""),"Fled/Escaped")</f>
        <v>Fled/Escaped</v>
      </c>
      <c r="G2280" s="5" t="str">
        <f ca="1">IFERROR(__xludf.DUMMYFUNCTION("""COMPUTED_VALUE"""),"No")</f>
        <v>No</v>
      </c>
      <c r="H2280" s="5" t="str">
        <f ca="1">IFERROR(__xludf.DUMMYFUNCTION("""COMPUTED_VALUE"""),"None")</f>
        <v>None</v>
      </c>
    </row>
    <row r="2281" spans="1:8" ht="13">
      <c r="A2281" s="5" t="str">
        <f ca="1">IFERROR(__xludf.DUMMYFUNCTION("""COMPUTED_VALUE"""),"19840522OHCLC")</f>
        <v>19840522OHCLC</v>
      </c>
      <c r="B2281" s="5">
        <f ca="1">IFERROR(__xludf.DUMMYFUNCTION("""COMPUTED_VALUE"""),18)</f>
        <v>18</v>
      </c>
      <c r="C2281" s="5" t="str">
        <f ca="1">IFERROR(__xludf.DUMMYFUNCTION("""COMPUTED_VALUE"""),"Male")</f>
        <v>Male</v>
      </c>
      <c r="D2281" s="5"/>
      <c r="E2281" s="5" t="str">
        <f ca="1">IFERROR(__xludf.DUMMYFUNCTION("""COMPUTED_VALUE"""),"Student")</f>
        <v>Student</v>
      </c>
      <c r="F2281" s="5" t="str">
        <f ca="1">IFERROR(__xludf.DUMMYFUNCTION("""COMPUTED_VALUE"""),"Surrendered")</f>
        <v>Surrendered</v>
      </c>
      <c r="G2281" s="5" t="str">
        <f ca="1">IFERROR(__xludf.DUMMYFUNCTION("""COMPUTED_VALUE"""),"No")</f>
        <v>No</v>
      </c>
      <c r="H2281" s="5" t="str">
        <f ca="1">IFERROR(__xludf.DUMMYFUNCTION("""COMPUTED_VALUE"""),"None")</f>
        <v>None</v>
      </c>
    </row>
    <row r="2282" spans="1:8" ht="13">
      <c r="A2282" s="5" t="str">
        <f ca="1">IFERROR(__xludf.DUMMYFUNCTION("""COMPUTED_VALUE"""),"19840518CANON")</f>
        <v>19840518CANON</v>
      </c>
      <c r="B2282" s="5">
        <f ca="1">IFERROR(__xludf.DUMMYFUNCTION("""COMPUTED_VALUE"""),17)</f>
        <v>17</v>
      </c>
      <c r="C2282" s="5" t="str">
        <f ca="1">IFERROR(__xludf.DUMMYFUNCTION("""COMPUTED_VALUE"""),"Male")</f>
        <v>Male</v>
      </c>
      <c r="D2282" s="5"/>
      <c r="E2282" s="5" t="str">
        <f ca="1">IFERROR(__xludf.DUMMYFUNCTION("""COMPUTED_VALUE"""),"Student")</f>
        <v>Student</v>
      </c>
      <c r="F2282" s="5" t="str">
        <f ca="1">IFERROR(__xludf.DUMMYFUNCTION("""COMPUTED_VALUE"""),"Subdued by Students/Staff/Other")</f>
        <v>Subdued by Students/Staff/Other</v>
      </c>
      <c r="G2282" s="5" t="str">
        <f ca="1">IFERROR(__xludf.DUMMYFUNCTION("""COMPUTED_VALUE"""),"No")</f>
        <v>No</v>
      </c>
      <c r="H2282" s="5" t="str">
        <f ca="1">IFERROR(__xludf.DUMMYFUNCTION("""COMPUTED_VALUE"""),"None")</f>
        <v>None</v>
      </c>
    </row>
    <row r="2283" spans="1:8" ht="13">
      <c r="A2283" s="5" t="str">
        <f ca="1">IFERROR(__xludf.DUMMYFUNCTION("""COMPUTED_VALUE"""),"19840517TXBOH")</f>
        <v>19840517TXBOH</v>
      </c>
      <c r="B2283" s="5">
        <f ca="1">IFERROR(__xludf.DUMMYFUNCTION("""COMPUTED_VALUE"""),18)</f>
        <v>18</v>
      </c>
      <c r="C2283" s="5" t="str">
        <f ca="1">IFERROR(__xludf.DUMMYFUNCTION("""COMPUTED_VALUE"""),"Male")</f>
        <v>Male</v>
      </c>
      <c r="D2283" s="5"/>
      <c r="E2283" s="5" t="str">
        <f ca="1">IFERROR(__xludf.DUMMYFUNCTION("""COMPUTED_VALUE"""),"Student")</f>
        <v>Student</v>
      </c>
      <c r="F2283" s="5" t="str">
        <f ca="1">IFERROR(__xludf.DUMMYFUNCTION("""COMPUTED_VALUE"""),"Suicide")</f>
        <v>Suicide</v>
      </c>
      <c r="G2283" s="5" t="str">
        <f ca="1">IFERROR(__xludf.DUMMYFUNCTION("""COMPUTED_VALUE"""),"Yes")</f>
        <v>Yes</v>
      </c>
      <c r="H2283" s="5" t="str">
        <f ca="1">IFERROR(__xludf.DUMMYFUNCTION("""COMPUTED_VALUE"""),"Suicide")</f>
        <v>Suicide</v>
      </c>
    </row>
    <row r="2284" spans="1:8" ht="13">
      <c r="A2284" s="5" t="str">
        <f ca="1">IFERROR(__xludf.DUMMYFUNCTION("""COMPUTED_VALUE"""),"19840517IASOP")</f>
        <v>19840517IASOP</v>
      </c>
      <c r="B2284" s="5">
        <f ca="1">IFERROR(__xludf.DUMMYFUNCTION("""COMPUTED_VALUE"""),17)</f>
        <v>17</v>
      </c>
      <c r="C2284" s="5" t="str">
        <f ca="1">IFERROR(__xludf.DUMMYFUNCTION("""COMPUTED_VALUE"""),"Male")</f>
        <v>Male</v>
      </c>
      <c r="D2284" s="5"/>
      <c r="E2284" s="5" t="str">
        <f ca="1">IFERROR(__xludf.DUMMYFUNCTION("""COMPUTED_VALUE"""),"Student")</f>
        <v>Student</v>
      </c>
      <c r="F2284" s="5" t="str">
        <f ca="1">IFERROR(__xludf.DUMMYFUNCTION("""COMPUTED_VALUE"""),"Suicide")</f>
        <v>Suicide</v>
      </c>
      <c r="G2284" s="5" t="str">
        <f ca="1">IFERROR(__xludf.DUMMYFUNCTION("""COMPUTED_VALUE"""),"Yes")</f>
        <v>Yes</v>
      </c>
      <c r="H2284" s="5" t="str">
        <f ca="1">IFERROR(__xludf.DUMMYFUNCTION("""COMPUTED_VALUE"""),"Suicide")</f>
        <v>Suicide</v>
      </c>
    </row>
    <row r="2285" spans="1:8" ht="13">
      <c r="A2285" s="5" t="str">
        <f ca="1">IFERROR(__xludf.DUMMYFUNCTION("""COMPUTED_VALUE"""),"19840515MTCMG")</f>
        <v>19840515MTCMG</v>
      </c>
      <c r="B2285" s="5">
        <f ca="1">IFERROR(__xludf.DUMMYFUNCTION("""COMPUTED_VALUE"""),18)</f>
        <v>18</v>
      </c>
      <c r="C2285" s="5" t="str">
        <f ca="1">IFERROR(__xludf.DUMMYFUNCTION("""COMPUTED_VALUE"""),"Male")</f>
        <v>Male</v>
      </c>
      <c r="D2285" s="5"/>
      <c r="E2285" s="5" t="str">
        <f ca="1">IFERROR(__xludf.DUMMYFUNCTION("""COMPUTED_VALUE"""),"Student")</f>
        <v>Student</v>
      </c>
      <c r="F2285" s="5" t="str">
        <f ca="1">IFERROR(__xludf.DUMMYFUNCTION("""COMPUTED_VALUE"""),"Attempted Suicide")</f>
        <v>Attempted Suicide</v>
      </c>
      <c r="G2285" s="5" t="str">
        <f ca="1">IFERROR(__xludf.DUMMYFUNCTION("""COMPUTED_VALUE"""),"No")</f>
        <v>No</v>
      </c>
      <c r="H2285" s="5" t="str">
        <f ca="1">IFERROR(__xludf.DUMMYFUNCTION("""COMPUTED_VALUE"""),"Wounded")</f>
        <v>Wounded</v>
      </c>
    </row>
    <row r="2286" spans="1:8" ht="13">
      <c r="A2286" s="5" t="str">
        <f ca="1">IFERROR(__xludf.DUMMYFUNCTION("""COMPUTED_VALUE"""),"19840426NCROW")</f>
        <v>19840426NCROW</v>
      </c>
      <c r="B2286" s="5">
        <f ca="1">IFERROR(__xludf.DUMMYFUNCTION("""COMPUTED_VALUE"""),11)</f>
        <v>11</v>
      </c>
      <c r="C2286" s="5" t="str">
        <f ca="1">IFERROR(__xludf.DUMMYFUNCTION("""COMPUTED_VALUE"""),"Male")</f>
        <v>Male</v>
      </c>
      <c r="D2286" s="5"/>
      <c r="E2286" s="5" t="str">
        <f ca="1">IFERROR(__xludf.DUMMYFUNCTION("""COMPUTED_VALUE"""),"Student")</f>
        <v>Student</v>
      </c>
      <c r="F2286" s="5" t="str">
        <f ca="1">IFERROR(__xludf.DUMMYFUNCTION("""COMPUTED_VALUE"""),"Attempted Suicide")</f>
        <v>Attempted Suicide</v>
      </c>
      <c r="G2286" s="5" t="str">
        <f ca="1">IFERROR(__xludf.DUMMYFUNCTION("""COMPUTED_VALUE"""),"No")</f>
        <v>No</v>
      </c>
      <c r="H2286" s="5" t="str">
        <f ca="1">IFERROR(__xludf.DUMMYFUNCTION("""COMPUTED_VALUE"""),"Wounded")</f>
        <v>Wounded</v>
      </c>
    </row>
    <row r="2287" spans="1:8" ht="13">
      <c r="A2287" s="5" t="str">
        <f ca="1">IFERROR(__xludf.DUMMYFUNCTION("""COMPUTED_VALUE"""),"19840420MIPRD")</f>
        <v>19840420MIPRD</v>
      </c>
      <c r="B2287" s="5">
        <f ca="1">IFERROR(__xludf.DUMMYFUNCTION("""COMPUTED_VALUE"""),13)</f>
        <v>13</v>
      </c>
      <c r="C2287" s="5"/>
      <c r="D2287" s="5"/>
      <c r="E2287" s="5" t="str">
        <f ca="1">IFERROR(__xludf.DUMMYFUNCTION("""COMPUTED_VALUE"""),"Student")</f>
        <v>Student</v>
      </c>
      <c r="F2287" s="5" t="str">
        <f ca="1">IFERROR(__xludf.DUMMYFUNCTION("""COMPUTED_VALUE"""),"Unknown")</f>
        <v>Unknown</v>
      </c>
      <c r="G2287" s="5" t="str">
        <f ca="1">IFERROR(__xludf.DUMMYFUNCTION("""COMPUTED_VALUE"""),"No")</f>
        <v>No</v>
      </c>
      <c r="H2287" s="5" t="str">
        <f ca="1">IFERROR(__xludf.DUMMYFUNCTION("""COMPUTED_VALUE"""),"None")</f>
        <v>None</v>
      </c>
    </row>
    <row r="2288" spans="1:8" ht="13">
      <c r="A2288" s="5" t="str">
        <f ca="1">IFERROR(__xludf.DUMMYFUNCTION("""COMPUTED_VALUE"""),"19840405LACLC")</f>
        <v>19840405LACLC</v>
      </c>
      <c r="B2288" s="5">
        <f ca="1">IFERROR(__xludf.DUMMYFUNCTION("""COMPUTED_VALUE"""),17)</f>
        <v>17</v>
      </c>
      <c r="C2288" s="5" t="str">
        <f ca="1">IFERROR(__xludf.DUMMYFUNCTION("""COMPUTED_VALUE"""),"Male")</f>
        <v>Male</v>
      </c>
      <c r="D2288" s="5" t="str">
        <f ca="1">IFERROR(__xludf.DUMMYFUNCTION("""COMPUTED_VALUE"""),"Black")</f>
        <v>Black</v>
      </c>
      <c r="E2288" s="5" t="str">
        <f ca="1">IFERROR(__xludf.DUMMYFUNCTION("""COMPUTED_VALUE"""),"Student")</f>
        <v>Student</v>
      </c>
      <c r="F2288" s="5" t="str">
        <f ca="1">IFERROR(__xludf.DUMMYFUNCTION("""COMPUTED_VALUE"""),"Unknown")</f>
        <v>Unknown</v>
      </c>
      <c r="G2288" s="5" t="str">
        <f ca="1">IFERROR(__xludf.DUMMYFUNCTION("""COMPUTED_VALUE"""),"No")</f>
        <v>No</v>
      </c>
      <c r="H2288" s="5" t="str">
        <f ca="1">IFERROR(__xludf.DUMMYFUNCTION("""COMPUTED_VALUE"""),"None")</f>
        <v>None</v>
      </c>
    </row>
    <row r="2289" spans="1:8" ht="13">
      <c r="A2289" s="5" t="str">
        <f ca="1">IFERROR(__xludf.DUMMYFUNCTION("""COMPUTED_VALUE"""),"19840224CA49L")</f>
        <v>19840224CA49L</v>
      </c>
      <c r="B2289" s="5">
        <f ca="1">IFERROR(__xludf.DUMMYFUNCTION("""COMPUTED_VALUE"""),28)</f>
        <v>28</v>
      </c>
      <c r="C2289" s="5" t="str">
        <f ca="1">IFERROR(__xludf.DUMMYFUNCTION("""COMPUTED_VALUE"""),"Male")</f>
        <v>Male</v>
      </c>
      <c r="D2289" s="5" t="str">
        <f ca="1">IFERROR(__xludf.DUMMYFUNCTION("""COMPUTED_VALUE"""),"Black")</f>
        <v>Black</v>
      </c>
      <c r="E2289" s="5" t="str">
        <f ca="1">IFERROR(__xludf.DUMMYFUNCTION("""COMPUTED_VALUE"""),"Former Student")</f>
        <v>Former Student</v>
      </c>
      <c r="F2289" s="5" t="str">
        <f ca="1">IFERROR(__xludf.DUMMYFUNCTION("""COMPUTED_VALUE"""),"Suicide")</f>
        <v>Suicide</v>
      </c>
      <c r="G2289" s="5" t="str">
        <f ca="1">IFERROR(__xludf.DUMMYFUNCTION("""COMPUTED_VALUE"""),"Yes")</f>
        <v>Yes</v>
      </c>
      <c r="H2289" s="5" t="str">
        <f ca="1">IFERROR(__xludf.DUMMYFUNCTION("""COMPUTED_VALUE"""),"Suicide")</f>
        <v>Suicide</v>
      </c>
    </row>
    <row r="2290" spans="1:8" ht="13">
      <c r="A2290" s="5" t="str">
        <f ca="1">IFERROR(__xludf.DUMMYFUNCTION("""COMPUTED_VALUE"""),"19840221TXSHH")</f>
        <v>19840221TXSHH</v>
      </c>
      <c r="B2290" s="5">
        <f ca="1">IFERROR(__xludf.DUMMYFUNCTION("""COMPUTED_VALUE"""),16)</f>
        <v>16</v>
      </c>
      <c r="C2290" s="5" t="str">
        <f ca="1">IFERROR(__xludf.DUMMYFUNCTION("""COMPUTED_VALUE"""),"Male")</f>
        <v>Male</v>
      </c>
      <c r="D2290" s="5"/>
      <c r="E2290" s="5" t="str">
        <f ca="1">IFERROR(__xludf.DUMMYFUNCTION("""COMPUTED_VALUE"""),"Student")</f>
        <v>Student</v>
      </c>
      <c r="F2290" s="5" t="str">
        <f ca="1">IFERROR(__xludf.DUMMYFUNCTION("""COMPUTED_VALUE"""),"Surrendered")</f>
        <v>Surrendered</v>
      </c>
      <c r="G2290" s="5" t="str">
        <f ca="1">IFERROR(__xludf.DUMMYFUNCTION("""COMPUTED_VALUE"""),"No")</f>
        <v>No</v>
      </c>
      <c r="H2290" s="5" t="str">
        <f ca="1">IFERROR(__xludf.DUMMYFUNCTION("""COMPUTED_VALUE"""),"None")</f>
        <v>None</v>
      </c>
    </row>
    <row r="2291" spans="1:8" ht="13">
      <c r="A2291" s="5" t="str">
        <f ca="1">IFERROR(__xludf.DUMMYFUNCTION("""COMPUTED_VALUE"""),"19840206KYCEL")</f>
        <v>19840206KYCEL</v>
      </c>
      <c r="B2291" s="5">
        <f ca="1">IFERROR(__xludf.DUMMYFUNCTION("""COMPUTED_VALUE"""),16)</f>
        <v>16</v>
      </c>
      <c r="C2291" s="5" t="str">
        <f ca="1">IFERROR(__xludf.DUMMYFUNCTION("""COMPUTED_VALUE"""),"Male")</f>
        <v>Male</v>
      </c>
      <c r="D2291" s="5"/>
      <c r="E2291" s="5" t="str">
        <f ca="1">IFERROR(__xludf.DUMMYFUNCTION("""COMPUTED_VALUE"""),"Student")</f>
        <v>Student</v>
      </c>
      <c r="F2291" s="5" t="str">
        <f ca="1">IFERROR(__xludf.DUMMYFUNCTION("""COMPUTED_VALUE"""),"Fled/Apprehended")</f>
        <v>Fled/Apprehended</v>
      </c>
      <c r="G2291" s="5" t="str">
        <f ca="1">IFERROR(__xludf.DUMMYFUNCTION("""COMPUTED_VALUE"""),"No")</f>
        <v>No</v>
      </c>
      <c r="H2291" s="5" t="str">
        <f ca="1">IFERROR(__xludf.DUMMYFUNCTION("""COMPUTED_VALUE"""),"None")</f>
        <v>None</v>
      </c>
    </row>
    <row r="2292" spans="1:8" ht="13">
      <c r="A2292" s="5" t="str">
        <f ca="1">IFERROR(__xludf.DUMMYFUNCTION("""COMPUTED_VALUE"""),"19840105MDLAB")</f>
        <v>19840105MDLAB</v>
      </c>
      <c r="B2292" s="5"/>
      <c r="C2292" s="5" t="str">
        <f ca="1">IFERROR(__xludf.DUMMYFUNCTION("""COMPUTED_VALUE"""),"Male")</f>
        <v>Male</v>
      </c>
      <c r="D2292" s="5"/>
      <c r="E2292" s="5" t="str">
        <f ca="1">IFERROR(__xludf.DUMMYFUNCTION("""COMPUTED_VALUE"""),"Unknown")</f>
        <v>Unknown</v>
      </c>
      <c r="F2292" s="5" t="str">
        <f ca="1">IFERROR(__xludf.DUMMYFUNCTION("""COMPUTED_VALUE"""),"Fled/Escaped")</f>
        <v>Fled/Escaped</v>
      </c>
      <c r="G2292" s="5" t="str">
        <f ca="1">IFERROR(__xludf.DUMMYFUNCTION("""COMPUTED_VALUE"""),"No")</f>
        <v>No</v>
      </c>
      <c r="H2292" s="5" t="str">
        <f ca="1">IFERROR(__xludf.DUMMYFUNCTION("""COMPUTED_VALUE"""),"None")</f>
        <v>None</v>
      </c>
    </row>
    <row r="2293" spans="1:8" ht="13">
      <c r="A2293" s="5" t="str">
        <f ca="1">IFERROR(__xludf.DUMMYFUNCTION("""COMPUTED_VALUE"""),"19831216ILBOR")</f>
        <v>19831216ILBOR</v>
      </c>
      <c r="B2293" s="5">
        <f ca="1">IFERROR(__xludf.DUMMYFUNCTION("""COMPUTED_VALUE"""),15)</f>
        <v>15</v>
      </c>
      <c r="C2293" s="5" t="str">
        <f ca="1">IFERROR(__xludf.DUMMYFUNCTION("""COMPUTED_VALUE"""),"Male")</f>
        <v>Male</v>
      </c>
      <c r="D2293" s="5"/>
      <c r="E2293" s="5" t="str">
        <f ca="1">IFERROR(__xludf.DUMMYFUNCTION("""COMPUTED_VALUE"""),"Student")</f>
        <v>Student</v>
      </c>
      <c r="F2293" s="5" t="str">
        <f ca="1">IFERROR(__xludf.DUMMYFUNCTION("""COMPUTED_VALUE"""),"Fled/Apprehended")</f>
        <v>Fled/Apprehended</v>
      </c>
      <c r="G2293" s="5" t="str">
        <f ca="1">IFERROR(__xludf.DUMMYFUNCTION("""COMPUTED_VALUE"""),"No")</f>
        <v>No</v>
      </c>
      <c r="H2293" s="5" t="str">
        <f ca="1">IFERROR(__xludf.DUMMYFUNCTION("""COMPUTED_VALUE"""),"None")</f>
        <v>None</v>
      </c>
    </row>
    <row r="2294" spans="1:8" ht="13">
      <c r="A2294" s="5" t="str">
        <f ca="1">IFERROR(__xludf.DUMMYFUNCTION("""COMPUTED_VALUE"""),"19831202INCRC")</f>
        <v>19831202INCRC</v>
      </c>
      <c r="B2294" s="5">
        <f ca="1">IFERROR(__xludf.DUMMYFUNCTION("""COMPUTED_VALUE"""),17)</f>
        <v>17</v>
      </c>
      <c r="C2294" s="5" t="str">
        <f ca="1">IFERROR(__xludf.DUMMYFUNCTION("""COMPUTED_VALUE"""),"Male")</f>
        <v>Male</v>
      </c>
      <c r="D2294" s="5"/>
      <c r="E2294" s="5" t="str">
        <f ca="1">IFERROR(__xludf.DUMMYFUNCTION("""COMPUTED_VALUE"""),"Student")</f>
        <v>Student</v>
      </c>
      <c r="F2294" s="5" t="str">
        <f ca="1">IFERROR(__xludf.DUMMYFUNCTION("""COMPUTED_VALUE"""),"Fled/Apprehended")</f>
        <v>Fled/Apprehended</v>
      </c>
      <c r="G2294" s="5" t="str">
        <f ca="1">IFERROR(__xludf.DUMMYFUNCTION("""COMPUTED_VALUE"""),"No")</f>
        <v>No</v>
      </c>
      <c r="H2294" s="5" t="str">
        <f ca="1">IFERROR(__xludf.DUMMYFUNCTION("""COMPUTED_VALUE"""),"None")</f>
        <v>None</v>
      </c>
    </row>
    <row r="2295" spans="1:8" ht="13">
      <c r="A2295" s="5" t="str">
        <f ca="1">IFERROR(__xludf.DUMMYFUNCTION("""COMPUTED_VALUE"""),"19831118MDHAB")</f>
        <v>19831118MDHAB</v>
      </c>
      <c r="B2295" s="5">
        <f ca="1">IFERROR(__xludf.DUMMYFUNCTION("""COMPUTED_VALUE"""),17)</f>
        <v>17</v>
      </c>
      <c r="C2295" s="5" t="str">
        <f ca="1">IFERROR(__xludf.DUMMYFUNCTION("""COMPUTED_VALUE"""),"Male")</f>
        <v>Male</v>
      </c>
      <c r="D2295" s="5" t="str">
        <f ca="1">IFERROR(__xludf.DUMMYFUNCTION("""COMPUTED_VALUE"""),"Black")</f>
        <v>Black</v>
      </c>
      <c r="E2295" s="5" t="str">
        <f ca="1">IFERROR(__xludf.DUMMYFUNCTION("""COMPUTED_VALUE"""),"Student")</f>
        <v>Student</v>
      </c>
      <c r="F2295" s="5" t="str">
        <f ca="1">IFERROR(__xludf.DUMMYFUNCTION("""COMPUTED_VALUE"""),"Fled/Apprehended")</f>
        <v>Fled/Apprehended</v>
      </c>
      <c r="G2295" s="5" t="str">
        <f ca="1">IFERROR(__xludf.DUMMYFUNCTION("""COMPUTED_VALUE"""),"No")</f>
        <v>No</v>
      </c>
      <c r="H2295" s="5" t="str">
        <f ca="1">IFERROR(__xludf.DUMMYFUNCTION("""COMPUTED_VALUE"""),"None")</f>
        <v>None</v>
      </c>
    </row>
    <row r="2296" spans="1:8" ht="13">
      <c r="A2296" s="5" t="str">
        <f ca="1">IFERROR(__xludf.DUMMYFUNCTION("""COMPUTED_VALUE"""),"19831117ILJAC")</f>
        <v>19831117ILJAC</v>
      </c>
      <c r="B2296" s="5">
        <f ca="1">IFERROR(__xludf.DUMMYFUNCTION("""COMPUTED_VALUE"""),14)</f>
        <v>14</v>
      </c>
      <c r="C2296" s="5" t="str">
        <f ca="1">IFERROR(__xludf.DUMMYFUNCTION("""COMPUTED_VALUE"""),"Male")</f>
        <v>Male</v>
      </c>
      <c r="D2296" s="5"/>
      <c r="E2296" s="5" t="str">
        <f ca="1">IFERROR(__xludf.DUMMYFUNCTION("""COMPUTED_VALUE"""),"Gang Member")</f>
        <v>Gang Member</v>
      </c>
      <c r="F2296" s="5" t="str">
        <f ca="1">IFERROR(__xludf.DUMMYFUNCTION("""COMPUTED_VALUE"""),"Fled/Apprehended")</f>
        <v>Fled/Apprehended</v>
      </c>
      <c r="G2296" s="5" t="str">
        <f ca="1">IFERROR(__xludf.DUMMYFUNCTION("""COMPUTED_VALUE"""),"No")</f>
        <v>No</v>
      </c>
      <c r="H2296" s="5" t="str">
        <f ca="1">IFERROR(__xludf.DUMMYFUNCTION("""COMPUTED_VALUE"""),"None")</f>
        <v>None</v>
      </c>
    </row>
    <row r="2297" spans="1:8" ht="13">
      <c r="A2297" s="5" t="str">
        <f ca="1">IFERROR(__xludf.DUMMYFUNCTION("""COMPUTED_VALUE"""),"19831108MIHIH")</f>
        <v>19831108MIHIH</v>
      </c>
      <c r="B2297" s="5">
        <f ca="1">IFERROR(__xludf.DUMMYFUNCTION("""COMPUTED_VALUE"""),15)</f>
        <v>15</v>
      </c>
      <c r="C2297" s="5" t="str">
        <f ca="1">IFERROR(__xludf.DUMMYFUNCTION("""COMPUTED_VALUE"""),"Male")</f>
        <v>Male</v>
      </c>
      <c r="D2297" s="5"/>
      <c r="E2297" s="5" t="str">
        <f ca="1">IFERROR(__xludf.DUMMYFUNCTION("""COMPUTED_VALUE"""),"Student")</f>
        <v>Student</v>
      </c>
      <c r="F2297" s="5" t="str">
        <f ca="1">IFERROR(__xludf.DUMMYFUNCTION("""COMPUTED_VALUE"""),"Surrendered")</f>
        <v>Surrendered</v>
      </c>
      <c r="G2297" s="5" t="str">
        <f ca="1">IFERROR(__xludf.DUMMYFUNCTION("""COMPUTED_VALUE"""),"No")</f>
        <v>No</v>
      </c>
      <c r="H2297" s="5" t="str">
        <f ca="1">IFERROR(__xludf.DUMMYFUNCTION("""COMPUTED_VALUE"""),"None")</f>
        <v>None</v>
      </c>
    </row>
    <row r="2298" spans="1:8" ht="13">
      <c r="A2298" s="5" t="str">
        <f ca="1">IFERROR(__xludf.DUMMYFUNCTION("""COMPUTED_VALUE"""),"19831022MDCAB")</f>
        <v>19831022MDCAB</v>
      </c>
      <c r="B2298" s="5">
        <f ca="1">IFERROR(__xludf.DUMMYFUNCTION("""COMPUTED_VALUE"""),18)</f>
        <v>18</v>
      </c>
      <c r="C2298" s="5" t="str">
        <f ca="1">IFERROR(__xludf.DUMMYFUNCTION("""COMPUTED_VALUE"""),"Male")</f>
        <v>Male</v>
      </c>
      <c r="D2298" s="5"/>
      <c r="E2298" s="5" t="str">
        <f ca="1">IFERROR(__xludf.DUMMYFUNCTION("""COMPUTED_VALUE"""),"Unknown")</f>
        <v>Unknown</v>
      </c>
      <c r="F2298" s="5" t="str">
        <f ca="1">IFERROR(__xludf.DUMMYFUNCTION("""COMPUTED_VALUE"""),"Fled/Apprehended")</f>
        <v>Fled/Apprehended</v>
      </c>
      <c r="G2298" s="5" t="str">
        <f ca="1">IFERROR(__xludf.DUMMYFUNCTION("""COMPUTED_VALUE"""),"No")</f>
        <v>No</v>
      </c>
      <c r="H2298" s="5" t="str">
        <f ca="1">IFERROR(__xludf.DUMMYFUNCTION("""COMPUTED_VALUE"""),"None")</f>
        <v>None</v>
      </c>
    </row>
    <row r="2299" spans="1:8" ht="13">
      <c r="A2299" s="5" t="str">
        <f ca="1">IFERROR(__xludf.DUMMYFUNCTION("""COMPUTED_VALUE"""),"19831007CACOL")</f>
        <v>19831007CACOL</v>
      </c>
      <c r="B2299" s="5"/>
      <c r="C2299" s="5" t="str">
        <f ca="1">IFERROR(__xludf.DUMMYFUNCTION("""COMPUTED_VALUE"""),"Male")</f>
        <v>Male</v>
      </c>
      <c r="D2299" s="5"/>
      <c r="E2299" s="5" t="str">
        <f ca="1">IFERROR(__xludf.DUMMYFUNCTION("""COMPUTED_VALUE"""),"Gang Member")</f>
        <v>Gang Member</v>
      </c>
      <c r="F2299" s="5" t="str">
        <f ca="1">IFERROR(__xludf.DUMMYFUNCTION("""COMPUTED_VALUE"""),"Fled/Escaped")</f>
        <v>Fled/Escaped</v>
      </c>
      <c r="G2299" s="5" t="str">
        <f ca="1">IFERROR(__xludf.DUMMYFUNCTION("""COMPUTED_VALUE"""),"No")</f>
        <v>No</v>
      </c>
      <c r="H2299" s="5" t="str">
        <f ca="1">IFERROR(__xludf.DUMMYFUNCTION("""COMPUTED_VALUE"""),"None")</f>
        <v>None</v>
      </c>
    </row>
    <row r="2300" spans="1:8" ht="13">
      <c r="A2300" s="5" t="str">
        <f ca="1">IFERROR(__xludf.DUMMYFUNCTION("""COMPUTED_VALUE"""),"19830930TXTET")</f>
        <v>19830930TXTET</v>
      </c>
      <c r="B2300" s="5">
        <f ca="1">IFERROR(__xludf.DUMMYFUNCTION("""COMPUTED_VALUE"""),20)</f>
        <v>20</v>
      </c>
      <c r="C2300" s="5" t="str">
        <f ca="1">IFERROR(__xludf.DUMMYFUNCTION("""COMPUTED_VALUE"""),"Male")</f>
        <v>Male</v>
      </c>
      <c r="D2300" s="5"/>
      <c r="E2300" s="5" t="str">
        <f ca="1">IFERROR(__xludf.DUMMYFUNCTION("""COMPUTED_VALUE"""),"Former Student")</f>
        <v>Former Student</v>
      </c>
      <c r="F2300" s="5" t="str">
        <f ca="1">IFERROR(__xludf.DUMMYFUNCTION("""COMPUTED_VALUE"""),"Fled/Apprehended")</f>
        <v>Fled/Apprehended</v>
      </c>
      <c r="G2300" s="5" t="str">
        <f ca="1">IFERROR(__xludf.DUMMYFUNCTION("""COMPUTED_VALUE"""),"No")</f>
        <v>No</v>
      </c>
      <c r="H2300" s="5" t="str">
        <f ca="1">IFERROR(__xludf.DUMMYFUNCTION("""COMPUTED_VALUE"""),"None")</f>
        <v>None</v>
      </c>
    </row>
    <row r="2301" spans="1:8" ht="13">
      <c r="A2301" s="5" t="str">
        <f ca="1">IFERROR(__xludf.DUMMYFUNCTION("""COMPUTED_VALUE"""),"19830921MDWAB")</f>
        <v>19830921MDWAB</v>
      </c>
      <c r="B2301" s="5">
        <f ca="1">IFERROR(__xludf.DUMMYFUNCTION("""COMPUTED_VALUE"""),18)</f>
        <v>18</v>
      </c>
      <c r="C2301" s="5" t="str">
        <f ca="1">IFERROR(__xludf.DUMMYFUNCTION("""COMPUTED_VALUE"""),"Male")</f>
        <v>Male</v>
      </c>
      <c r="D2301" s="5"/>
      <c r="E2301" s="5" t="str">
        <f ca="1">IFERROR(__xludf.DUMMYFUNCTION("""COMPUTED_VALUE"""),"Student")</f>
        <v>Student</v>
      </c>
      <c r="F2301" s="5" t="str">
        <f ca="1">IFERROR(__xludf.DUMMYFUNCTION("""COMPUTED_VALUE"""),"Surrendered")</f>
        <v>Surrendered</v>
      </c>
      <c r="G2301" s="5" t="str">
        <f ca="1">IFERROR(__xludf.DUMMYFUNCTION("""COMPUTED_VALUE"""),"No")</f>
        <v>No</v>
      </c>
      <c r="H2301" s="5" t="str">
        <f ca="1">IFERROR(__xludf.DUMMYFUNCTION("""COMPUTED_VALUE"""),"Wounded")</f>
        <v>Wounded</v>
      </c>
    </row>
    <row r="2302" spans="1:8" ht="13">
      <c r="A2302" s="5" t="str">
        <f ca="1">IFERROR(__xludf.DUMMYFUNCTION("""COMPUTED_VALUE"""),"19830912MIHED")</f>
        <v>19830912MIHED</v>
      </c>
      <c r="B2302" s="5">
        <f ca="1">IFERROR(__xludf.DUMMYFUNCTION("""COMPUTED_VALUE"""),16)</f>
        <v>16</v>
      </c>
      <c r="C2302" s="5" t="str">
        <f ca="1">IFERROR(__xludf.DUMMYFUNCTION("""COMPUTED_VALUE"""),"Male")</f>
        <v>Male</v>
      </c>
      <c r="D2302" s="5" t="str">
        <f ca="1">IFERROR(__xludf.DUMMYFUNCTION("""COMPUTED_VALUE"""),"Black")</f>
        <v>Black</v>
      </c>
      <c r="E2302" s="5" t="str">
        <f ca="1">IFERROR(__xludf.DUMMYFUNCTION("""COMPUTED_VALUE"""),"Student")</f>
        <v>Student</v>
      </c>
      <c r="F2302" s="5" t="str">
        <f ca="1">IFERROR(__xludf.DUMMYFUNCTION("""COMPUTED_VALUE"""),"Fled/Escaped")</f>
        <v>Fled/Escaped</v>
      </c>
      <c r="G2302" s="5" t="str">
        <f ca="1">IFERROR(__xludf.DUMMYFUNCTION("""COMPUTED_VALUE"""),"No")</f>
        <v>No</v>
      </c>
      <c r="H2302" s="5" t="str">
        <f ca="1">IFERROR(__xludf.DUMMYFUNCTION("""COMPUTED_VALUE"""),"None")</f>
        <v>None</v>
      </c>
    </row>
    <row r="2303" spans="1:8" ht="13">
      <c r="A2303" s="5" t="str">
        <f ca="1">IFERROR(__xludf.DUMMYFUNCTION("""COMPUTED_VALUE"""),"19830912CAMAC")</f>
        <v>19830912CAMAC</v>
      </c>
      <c r="B2303" s="5" t="str">
        <f ca="1">IFERROR(__xludf.DUMMYFUNCTION("""COMPUTED_VALUE"""),"Teen")</f>
        <v>Teen</v>
      </c>
      <c r="C2303" s="5" t="str">
        <f ca="1">IFERROR(__xludf.DUMMYFUNCTION("""COMPUTED_VALUE"""),"Male")</f>
        <v>Male</v>
      </c>
      <c r="D2303" s="5"/>
      <c r="E2303" s="5" t="str">
        <f ca="1">IFERROR(__xludf.DUMMYFUNCTION("""COMPUTED_VALUE"""),"Student")</f>
        <v>Student</v>
      </c>
      <c r="F2303" s="5" t="str">
        <f ca="1">IFERROR(__xludf.DUMMYFUNCTION("""COMPUTED_VALUE"""),"Fled/Apprehended")</f>
        <v>Fled/Apprehended</v>
      </c>
      <c r="G2303" s="5" t="str">
        <f ca="1">IFERROR(__xludf.DUMMYFUNCTION("""COMPUTED_VALUE"""),"No")</f>
        <v>No</v>
      </c>
      <c r="H2303" s="5" t="str">
        <f ca="1">IFERROR(__xludf.DUMMYFUNCTION("""COMPUTED_VALUE"""),"None")</f>
        <v>None</v>
      </c>
    </row>
    <row r="2304" spans="1:8" ht="13">
      <c r="A2304" s="5" t="str">
        <f ca="1">IFERROR(__xludf.DUMMYFUNCTION("""COMPUTED_VALUE"""),"19830912CAMAC")</f>
        <v>19830912CAMAC</v>
      </c>
      <c r="B2304" s="5" t="str">
        <f ca="1">IFERROR(__xludf.DUMMYFUNCTION("""COMPUTED_VALUE"""),"Teen")</f>
        <v>Teen</v>
      </c>
      <c r="C2304" s="5" t="str">
        <f ca="1">IFERROR(__xludf.DUMMYFUNCTION("""COMPUTED_VALUE"""),"Male")</f>
        <v>Male</v>
      </c>
      <c r="D2304" s="5"/>
      <c r="E2304" s="5" t="str">
        <f ca="1">IFERROR(__xludf.DUMMYFUNCTION("""COMPUTED_VALUE"""),"Student")</f>
        <v>Student</v>
      </c>
      <c r="F2304" s="5" t="str">
        <f ca="1">IFERROR(__xludf.DUMMYFUNCTION("""COMPUTED_VALUE"""),"Fled/Apprehended")</f>
        <v>Fled/Apprehended</v>
      </c>
      <c r="G2304" s="5" t="str">
        <f ca="1">IFERROR(__xludf.DUMMYFUNCTION("""COMPUTED_VALUE"""),"No")</f>
        <v>No</v>
      </c>
      <c r="H2304" s="5" t="str">
        <f ca="1">IFERROR(__xludf.DUMMYFUNCTION("""COMPUTED_VALUE"""),"None")</f>
        <v>None</v>
      </c>
    </row>
    <row r="2305" spans="1:8" ht="13">
      <c r="A2305" s="5" t="str">
        <f ca="1">IFERROR(__xludf.DUMMYFUNCTION("""COMPUTED_VALUE"""),"19830526PAGRJ")</f>
        <v>19830526PAGRJ</v>
      </c>
      <c r="B2305" s="5">
        <f ca="1">IFERROR(__xludf.DUMMYFUNCTION("""COMPUTED_VALUE"""),17)</f>
        <v>17</v>
      </c>
      <c r="C2305" s="5" t="str">
        <f ca="1">IFERROR(__xludf.DUMMYFUNCTION("""COMPUTED_VALUE"""),"Male")</f>
        <v>Male</v>
      </c>
      <c r="D2305" s="5"/>
      <c r="E2305" s="5" t="str">
        <f ca="1">IFERROR(__xludf.DUMMYFUNCTION("""COMPUTED_VALUE"""),"Student")</f>
        <v>Student</v>
      </c>
      <c r="F2305" s="5" t="str">
        <f ca="1">IFERROR(__xludf.DUMMYFUNCTION("""COMPUTED_VALUE"""),"Suicide")</f>
        <v>Suicide</v>
      </c>
      <c r="G2305" s="5" t="str">
        <f ca="1">IFERROR(__xludf.DUMMYFUNCTION("""COMPUTED_VALUE"""),"Yes")</f>
        <v>Yes</v>
      </c>
      <c r="H2305" s="5" t="str">
        <f ca="1">IFERROR(__xludf.DUMMYFUNCTION("""COMPUTED_VALUE"""),"Suicide")</f>
        <v>Suicide</v>
      </c>
    </row>
    <row r="2306" spans="1:8" ht="13">
      <c r="A2306" s="5" t="str">
        <f ca="1">IFERROR(__xludf.DUMMYFUNCTION("""COMPUTED_VALUE"""),"19830523OHMAM")</f>
        <v>19830523OHMAM</v>
      </c>
      <c r="B2306" s="5">
        <f ca="1">IFERROR(__xludf.DUMMYFUNCTION("""COMPUTED_VALUE"""),15)</f>
        <v>15</v>
      </c>
      <c r="C2306" s="5" t="str">
        <f ca="1">IFERROR(__xludf.DUMMYFUNCTION("""COMPUTED_VALUE"""),"Male")</f>
        <v>Male</v>
      </c>
      <c r="D2306" s="5"/>
      <c r="E2306" s="5" t="str">
        <f ca="1">IFERROR(__xludf.DUMMYFUNCTION("""COMPUTED_VALUE"""),"Student")</f>
        <v>Student</v>
      </c>
      <c r="F2306" s="5" t="str">
        <f ca="1">IFERROR(__xludf.DUMMYFUNCTION("""COMPUTED_VALUE"""),"Fled/Apprehended")</f>
        <v>Fled/Apprehended</v>
      </c>
      <c r="G2306" s="5" t="str">
        <f ca="1">IFERROR(__xludf.DUMMYFUNCTION("""COMPUTED_VALUE"""),"No")</f>
        <v>No</v>
      </c>
      <c r="H2306" s="5" t="str">
        <f ca="1">IFERROR(__xludf.DUMMYFUNCTION("""COMPUTED_VALUE"""),"None")</f>
        <v>None</v>
      </c>
    </row>
    <row r="2307" spans="1:8" ht="13">
      <c r="A2307" s="5" t="str">
        <f ca="1">IFERROR(__xludf.DUMMYFUNCTION("""COMPUTED_VALUE"""),"19830518FLNOM")</f>
        <v>19830518FLNOM</v>
      </c>
      <c r="B2307" s="5">
        <f ca="1">IFERROR(__xludf.DUMMYFUNCTION("""COMPUTED_VALUE"""),22)</f>
        <v>22</v>
      </c>
      <c r="C2307" s="5" t="str">
        <f ca="1">IFERROR(__xludf.DUMMYFUNCTION("""COMPUTED_VALUE"""),"Male")</f>
        <v>Male</v>
      </c>
      <c r="D2307" s="5" t="str">
        <f ca="1">IFERROR(__xludf.DUMMYFUNCTION("""COMPUTED_VALUE"""),"Black")</f>
        <v>Black</v>
      </c>
      <c r="E2307" s="5" t="str">
        <f ca="1">IFERROR(__xludf.DUMMYFUNCTION("""COMPUTED_VALUE"""),"No Relation")</f>
        <v>No Relation</v>
      </c>
      <c r="F2307" s="5" t="str">
        <f ca="1">IFERROR(__xludf.DUMMYFUNCTION("""COMPUTED_VALUE"""),"Fled/Apprehended")</f>
        <v>Fled/Apprehended</v>
      </c>
      <c r="G2307" s="5" t="str">
        <f ca="1">IFERROR(__xludf.DUMMYFUNCTION("""COMPUTED_VALUE"""),"No")</f>
        <v>No</v>
      </c>
      <c r="H2307" s="5" t="str">
        <f ca="1">IFERROR(__xludf.DUMMYFUNCTION("""COMPUTED_VALUE"""),"None")</f>
        <v>None</v>
      </c>
    </row>
    <row r="2308" spans="1:8" ht="13">
      <c r="A2308" s="5" t="str">
        <f ca="1">IFERROR(__xludf.DUMMYFUNCTION("""COMPUTED_VALUE"""),"19830516TXLAD")</f>
        <v>19830516TXLAD</v>
      </c>
      <c r="B2308" s="5">
        <f ca="1">IFERROR(__xludf.DUMMYFUNCTION("""COMPUTED_VALUE"""),41)</f>
        <v>41</v>
      </c>
      <c r="C2308" s="5" t="str">
        <f ca="1">IFERROR(__xludf.DUMMYFUNCTION("""COMPUTED_VALUE"""),"Male")</f>
        <v>Male</v>
      </c>
      <c r="D2308" s="5"/>
      <c r="E2308" s="5" t="str">
        <f ca="1">IFERROR(__xludf.DUMMYFUNCTION("""COMPUTED_VALUE"""),"No Relation")</f>
        <v>No Relation</v>
      </c>
      <c r="F2308" s="5" t="str">
        <f ca="1">IFERROR(__xludf.DUMMYFUNCTION("""COMPUTED_VALUE"""),"Fled/Apprehended")</f>
        <v>Fled/Apprehended</v>
      </c>
      <c r="G2308" s="5" t="str">
        <f ca="1">IFERROR(__xludf.DUMMYFUNCTION("""COMPUTED_VALUE"""),"No")</f>
        <v>No</v>
      </c>
      <c r="H2308" s="5" t="str">
        <f ca="1">IFERROR(__xludf.DUMMYFUNCTION("""COMPUTED_VALUE"""),"None")</f>
        <v>None</v>
      </c>
    </row>
    <row r="2309" spans="1:8" ht="13">
      <c r="A2309" s="5" t="str">
        <f ca="1">IFERROR(__xludf.DUMMYFUNCTION("""COMPUTED_VALUE"""),"19830516NYBRN")</f>
        <v>19830516NYBRN</v>
      </c>
      <c r="B2309" s="5">
        <f ca="1">IFERROR(__xludf.DUMMYFUNCTION("""COMPUTED_VALUE"""),24)</f>
        <v>24</v>
      </c>
      <c r="C2309" s="5" t="str">
        <f ca="1">IFERROR(__xludf.DUMMYFUNCTION("""COMPUTED_VALUE"""),"Male")</f>
        <v>Male</v>
      </c>
      <c r="D2309" s="5"/>
      <c r="E2309" s="5" t="str">
        <f ca="1">IFERROR(__xludf.DUMMYFUNCTION("""COMPUTED_VALUE"""),"Former Teacher")</f>
        <v>Former Teacher</v>
      </c>
      <c r="F2309" s="5" t="str">
        <f ca="1">IFERROR(__xludf.DUMMYFUNCTION("""COMPUTED_VALUE"""),"Suicide")</f>
        <v>Suicide</v>
      </c>
      <c r="G2309" s="5" t="str">
        <f ca="1">IFERROR(__xludf.DUMMYFUNCTION("""COMPUTED_VALUE"""),"Yes")</f>
        <v>Yes</v>
      </c>
      <c r="H2309" s="5" t="str">
        <f ca="1">IFERROR(__xludf.DUMMYFUNCTION("""COMPUTED_VALUE"""),"Suicide")</f>
        <v>Suicide</v>
      </c>
    </row>
    <row r="2310" spans="1:8" ht="13">
      <c r="A2310" s="5" t="str">
        <f ca="1">IFERROR(__xludf.DUMMYFUNCTION("""COMPUTED_VALUE"""),"19830421MOBES")</f>
        <v>19830421MOBES</v>
      </c>
      <c r="B2310" s="5" t="str">
        <f ca="1">IFERROR(__xludf.DUMMYFUNCTION("""COMPUTED_VALUE"""),"Adult")</f>
        <v>Adult</v>
      </c>
      <c r="C2310" s="5" t="str">
        <f ca="1">IFERROR(__xludf.DUMMYFUNCTION("""COMPUTED_VALUE"""),"Male")</f>
        <v>Male</v>
      </c>
      <c r="D2310" s="5"/>
      <c r="E2310" s="5" t="str">
        <f ca="1">IFERROR(__xludf.DUMMYFUNCTION("""COMPUTED_VALUE"""),"Unknown")</f>
        <v>Unknown</v>
      </c>
      <c r="F2310" s="5" t="str">
        <f ca="1">IFERROR(__xludf.DUMMYFUNCTION("""COMPUTED_VALUE"""),"Fled/Escaped")</f>
        <v>Fled/Escaped</v>
      </c>
      <c r="G2310" s="5" t="str">
        <f ca="1">IFERROR(__xludf.DUMMYFUNCTION("""COMPUTED_VALUE"""),"No")</f>
        <v>No</v>
      </c>
      <c r="H2310" s="5" t="str">
        <f ca="1">IFERROR(__xludf.DUMMYFUNCTION("""COMPUTED_VALUE"""),"None")</f>
        <v>None</v>
      </c>
    </row>
    <row r="2311" spans="1:8" ht="13">
      <c r="A2311" s="5" t="str">
        <f ca="1">IFERROR(__xludf.DUMMYFUNCTION("""COMPUTED_VALUE"""),"19830331ILSAC")</f>
        <v>19830331ILSAC</v>
      </c>
      <c r="B2311" s="5">
        <f ca="1">IFERROR(__xludf.DUMMYFUNCTION("""COMPUTED_VALUE"""),11)</f>
        <v>11</v>
      </c>
      <c r="C2311" s="5" t="str">
        <f ca="1">IFERROR(__xludf.DUMMYFUNCTION("""COMPUTED_VALUE"""),"Male")</f>
        <v>Male</v>
      </c>
      <c r="D2311" s="5"/>
      <c r="E2311" s="5" t="str">
        <f ca="1">IFERROR(__xludf.DUMMYFUNCTION("""COMPUTED_VALUE"""),"Student")</f>
        <v>Student</v>
      </c>
      <c r="F2311" s="5" t="str">
        <f ca="1">IFERROR(__xludf.DUMMYFUNCTION("""COMPUTED_VALUE"""),"Surrendered")</f>
        <v>Surrendered</v>
      </c>
      <c r="G2311" s="5" t="str">
        <f ca="1">IFERROR(__xludf.DUMMYFUNCTION("""COMPUTED_VALUE"""),"No")</f>
        <v>No</v>
      </c>
      <c r="H2311" s="5" t="str">
        <f ca="1">IFERROR(__xludf.DUMMYFUNCTION("""COMPUTED_VALUE"""),"None")</f>
        <v>None</v>
      </c>
    </row>
    <row r="2312" spans="1:8" ht="13">
      <c r="A2312" s="5" t="str">
        <f ca="1">IFERROR(__xludf.DUMMYFUNCTION("""COMPUTED_VALUE"""),"19830202NMALA")</f>
        <v>19830202NMALA</v>
      </c>
      <c r="B2312" s="5"/>
      <c r="C2312" s="5" t="str">
        <f ca="1">IFERROR(__xludf.DUMMYFUNCTION("""COMPUTED_VALUE"""),"Male")</f>
        <v>Male</v>
      </c>
      <c r="D2312" s="5"/>
      <c r="E2312" s="5" t="str">
        <f ca="1">IFERROR(__xludf.DUMMYFUNCTION("""COMPUTED_VALUE"""),"Unknown")</f>
        <v>Unknown</v>
      </c>
      <c r="F2312" s="5" t="str">
        <f ca="1">IFERROR(__xludf.DUMMYFUNCTION("""COMPUTED_VALUE"""),"Fled/Escaped")</f>
        <v>Fled/Escaped</v>
      </c>
      <c r="G2312" s="5" t="str">
        <f ca="1">IFERROR(__xludf.DUMMYFUNCTION("""COMPUTED_VALUE"""),"No")</f>
        <v>No</v>
      </c>
      <c r="H2312" s="5" t="str">
        <f ca="1">IFERROR(__xludf.DUMMYFUNCTION("""COMPUTED_VALUE"""),"None")</f>
        <v>None</v>
      </c>
    </row>
    <row r="2313" spans="1:8" ht="13">
      <c r="A2313" s="5" t="str">
        <f ca="1">IFERROR(__xludf.DUMMYFUNCTION("""COMPUTED_VALUE"""),"19830201TNRIM")</f>
        <v>19830201TNRIM</v>
      </c>
      <c r="B2313" s="5">
        <f ca="1">IFERROR(__xludf.DUMMYFUNCTION("""COMPUTED_VALUE"""),16)</f>
        <v>16</v>
      </c>
      <c r="C2313" s="5" t="str">
        <f ca="1">IFERROR(__xludf.DUMMYFUNCTION("""COMPUTED_VALUE"""),"Male")</f>
        <v>Male</v>
      </c>
      <c r="D2313" s="5"/>
      <c r="E2313" s="5" t="str">
        <f ca="1">IFERROR(__xludf.DUMMYFUNCTION("""COMPUTED_VALUE"""),"Student")</f>
        <v>Student</v>
      </c>
      <c r="F2313" s="5" t="str">
        <f ca="1">IFERROR(__xludf.DUMMYFUNCTION("""COMPUTED_VALUE"""),"Surrendered")</f>
        <v>Surrendered</v>
      </c>
      <c r="G2313" s="5" t="str">
        <f ca="1">IFERROR(__xludf.DUMMYFUNCTION("""COMPUTED_VALUE"""),"No")</f>
        <v>No</v>
      </c>
      <c r="H2313" s="5" t="str">
        <f ca="1">IFERROR(__xludf.DUMMYFUNCTION("""COMPUTED_VALUE"""),"Wounded")</f>
        <v>Wounded</v>
      </c>
    </row>
    <row r="2314" spans="1:8" ht="13">
      <c r="A2314" s="5" t="str">
        <f ca="1">IFERROR(__xludf.DUMMYFUNCTION("""COMPUTED_VALUE"""),"19830131FLDED")</f>
        <v>19830131FLDED</v>
      </c>
      <c r="B2314" s="5">
        <f ca="1">IFERROR(__xludf.DUMMYFUNCTION("""COMPUTED_VALUE"""),16)</f>
        <v>16</v>
      </c>
      <c r="C2314" s="5" t="str">
        <f ca="1">IFERROR(__xludf.DUMMYFUNCTION("""COMPUTED_VALUE"""),"Female")</f>
        <v>Female</v>
      </c>
      <c r="D2314" s="5"/>
      <c r="E2314" s="5" t="str">
        <f ca="1">IFERROR(__xludf.DUMMYFUNCTION("""COMPUTED_VALUE"""),"Student")</f>
        <v>Student</v>
      </c>
      <c r="F2314" s="5" t="str">
        <f ca="1">IFERROR(__xludf.DUMMYFUNCTION("""COMPUTED_VALUE"""),"Attempted Suicide")</f>
        <v>Attempted Suicide</v>
      </c>
      <c r="G2314" s="5" t="str">
        <f ca="1">IFERROR(__xludf.DUMMYFUNCTION("""COMPUTED_VALUE"""),"No")</f>
        <v>No</v>
      </c>
      <c r="H2314" s="5" t="str">
        <f ca="1">IFERROR(__xludf.DUMMYFUNCTION("""COMPUTED_VALUE"""),"Wounded")</f>
        <v>Wounded</v>
      </c>
    </row>
    <row r="2315" spans="1:8" ht="13">
      <c r="A2315" s="5" t="str">
        <f ca="1">IFERROR(__xludf.DUMMYFUNCTION("""COMPUTED_VALUE"""),"19830130TXWEC")</f>
        <v>19830130TXWEC</v>
      </c>
      <c r="B2315" s="5"/>
      <c r="C2315" s="5" t="str">
        <f ca="1">IFERROR(__xludf.DUMMYFUNCTION("""COMPUTED_VALUE"""),"Male")</f>
        <v>Male</v>
      </c>
      <c r="D2315" s="5"/>
      <c r="E2315" s="5" t="str">
        <f ca="1">IFERROR(__xludf.DUMMYFUNCTION("""COMPUTED_VALUE"""),"Unknown")</f>
        <v>Unknown</v>
      </c>
      <c r="F2315" s="5" t="str">
        <f ca="1">IFERROR(__xludf.DUMMYFUNCTION("""COMPUTED_VALUE"""),"Fled/Apprehended")</f>
        <v>Fled/Apprehended</v>
      </c>
      <c r="G2315" s="5" t="str">
        <f ca="1">IFERROR(__xludf.DUMMYFUNCTION("""COMPUTED_VALUE"""),"No")</f>
        <v>No</v>
      </c>
      <c r="H2315" s="5" t="str">
        <f ca="1">IFERROR(__xludf.DUMMYFUNCTION("""COMPUTED_VALUE"""),"None")</f>
        <v>None</v>
      </c>
    </row>
    <row r="2316" spans="1:8" ht="13">
      <c r="A2316" s="5" t="str">
        <f ca="1">IFERROR(__xludf.DUMMYFUNCTION("""COMPUTED_VALUE"""),"19830128MDWIB")</f>
        <v>19830128MDWIB</v>
      </c>
      <c r="B2316" s="5">
        <f ca="1">IFERROR(__xludf.DUMMYFUNCTION("""COMPUTED_VALUE"""),14)</f>
        <v>14</v>
      </c>
      <c r="C2316" s="5" t="str">
        <f ca="1">IFERROR(__xludf.DUMMYFUNCTION("""COMPUTED_VALUE"""),"Male")</f>
        <v>Male</v>
      </c>
      <c r="D2316" s="5"/>
      <c r="E2316" s="5" t="str">
        <f ca="1">IFERROR(__xludf.DUMMYFUNCTION("""COMPUTED_VALUE"""),"Student")</f>
        <v>Student</v>
      </c>
      <c r="F2316" s="5" t="str">
        <f ca="1">IFERROR(__xludf.DUMMYFUNCTION("""COMPUTED_VALUE"""),"Surrendered")</f>
        <v>Surrendered</v>
      </c>
      <c r="G2316" s="5" t="str">
        <f ca="1">IFERROR(__xludf.DUMMYFUNCTION("""COMPUTED_VALUE"""),"No")</f>
        <v>No</v>
      </c>
      <c r="H2316" s="5" t="str">
        <f ca="1">IFERROR(__xludf.DUMMYFUNCTION("""COMPUTED_VALUE"""),"Wounded")</f>
        <v>Wounded</v>
      </c>
    </row>
    <row r="2317" spans="1:8" ht="13">
      <c r="A2317" s="5" t="str">
        <f ca="1">IFERROR(__xludf.DUMMYFUNCTION("""COMPUTED_VALUE"""),"19830120MOPAB")</f>
        <v>19830120MOPAB</v>
      </c>
      <c r="B2317" s="5">
        <f ca="1">IFERROR(__xludf.DUMMYFUNCTION("""COMPUTED_VALUE"""),14)</f>
        <v>14</v>
      </c>
      <c r="C2317" s="5" t="str">
        <f ca="1">IFERROR(__xludf.DUMMYFUNCTION("""COMPUTED_VALUE"""),"Male")</f>
        <v>Male</v>
      </c>
      <c r="D2317" s="5" t="str">
        <f ca="1">IFERROR(__xludf.DUMMYFUNCTION("""COMPUTED_VALUE"""),"White")</f>
        <v>White</v>
      </c>
      <c r="E2317" s="5" t="str">
        <f ca="1">IFERROR(__xludf.DUMMYFUNCTION("""COMPUTED_VALUE"""),"Student")</f>
        <v>Student</v>
      </c>
      <c r="F2317" s="5" t="str">
        <f ca="1">IFERROR(__xludf.DUMMYFUNCTION("""COMPUTED_VALUE"""),"Suicide")</f>
        <v>Suicide</v>
      </c>
      <c r="G2317" s="5" t="str">
        <f ca="1">IFERROR(__xludf.DUMMYFUNCTION("""COMPUTED_VALUE"""),"Yes")</f>
        <v>Yes</v>
      </c>
      <c r="H2317" s="5" t="str">
        <f ca="1">IFERROR(__xludf.DUMMYFUNCTION("""COMPUTED_VALUE"""),"Suicide")</f>
        <v>Suicide</v>
      </c>
    </row>
    <row r="2318" spans="1:8" ht="13">
      <c r="A2318" s="5" t="str">
        <f ca="1">IFERROR(__xludf.DUMMYFUNCTION("""COMPUTED_VALUE"""),"19830118TXJOH")</f>
        <v>19830118TXJOH</v>
      </c>
      <c r="B2318" s="5">
        <f ca="1">IFERROR(__xludf.DUMMYFUNCTION("""COMPUTED_VALUE"""),21)</f>
        <v>21</v>
      </c>
      <c r="C2318" s="5" t="str">
        <f ca="1">IFERROR(__xludf.DUMMYFUNCTION("""COMPUTED_VALUE"""),"Male")</f>
        <v>Male</v>
      </c>
      <c r="D2318" s="5"/>
      <c r="E2318" s="5" t="str">
        <f ca="1">IFERROR(__xludf.DUMMYFUNCTION("""COMPUTED_VALUE"""),"Student")</f>
        <v>Student</v>
      </c>
      <c r="F2318" s="5" t="str">
        <f ca="1">IFERROR(__xludf.DUMMYFUNCTION("""COMPUTED_VALUE"""),"Suicide")</f>
        <v>Suicide</v>
      </c>
      <c r="G2318" s="5" t="str">
        <f ca="1">IFERROR(__xludf.DUMMYFUNCTION("""COMPUTED_VALUE"""),"Yes")</f>
        <v>Yes</v>
      </c>
      <c r="H2318" s="5" t="str">
        <f ca="1">IFERROR(__xludf.DUMMYFUNCTION("""COMPUTED_VALUE"""),"Suicide")</f>
        <v>Suicide</v>
      </c>
    </row>
    <row r="2319" spans="1:8" ht="13">
      <c r="A2319" s="5" t="str">
        <f ca="1">IFERROR(__xludf.DUMMYFUNCTION("""COMPUTED_VALUE"""),"19821220MIFID")</f>
        <v>19821220MIFID</v>
      </c>
      <c r="B2319" s="5" t="str">
        <f ca="1">IFERROR(__xludf.DUMMYFUNCTION("""COMPUTED_VALUE"""),"Adult")</f>
        <v>Adult</v>
      </c>
      <c r="C2319" s="5" t="str">
        <f ca="1">IFERROR(__xludf.DUMMYFUNCTION("""COMPUTED_VALUE"""),"Male")</f>
        <v>Male</v>
      </c>
      <c r="D2319" s="5"/>
      <c r="E2319" s="5" t="str">
        <f ca="1">IFERROR(__xludf.DUMMYFUNCTION("""COMPUTED_VALUE"""),"Unknown")</f>
        <v>Unknown</v>
      </c>
      <c r="F2319" s="5" t="str">
        <f ca="1">IFERROR(__xludf.DUMMYFUNCTION("""COMPUTED_VALUE"""),"Fled/Escaped")</f>
        <v>Fled/Escaped</v>
      </c>
      <c r="G2319" s="5" t="str">
        <f ca="1">IFERROR(__xludf.DUMMYFUNCTION("""COMPUTED_VALUE"""),"No")</f>
        <v>No</v>
      </c>
      <c r="H2319" s="5" t="str">
        <f ca="1">IFERROR(__xludf.DUMMYFUNCTION("""COMPUTED_VALUE"""),"None")</f>
        <v>None</v>
      </c>
    </row>
    <row r="2320" spans="1:8" ht="13">
      <c r="A2320" s="5" t="str">
        <f ca="1">IFERROR(__xludf.DUMMYFUNCTION("""COMPUTED_VALUE"""),"19821206ALHUH")</f>
        <v>19821206ALHUH</v>
      </c>
      <c r="B2320" s="5">
        <f ca="1">IFERROR(__xludf.DUMMYFUNCTION("""COMPUTED_VALUE"""),17)</f>
        <v>17</v>
      </c>
      <c r="C2320" s="5" t="str">
        <f ca="1">IFERROR(__xludf.DUMMYFUNCTION("""COMPUTED_VALUE"""),"Male")</f>
        <v>Male</v>
      </c>
      <c r="D2320" s="5"/>
      <c r="E2320" s="5" t="str">
        <f ca="1">IFERROR(__xludf.DUMMYFUNCTION("""COMPUTED_VALUE"""),"Student")</f>
        <v>Student</v>
      </c>
      <c r="F2320" s="5" t="str">
        <f ca="1">IFERROR(__xludf.DUMMYFUNCTION("""COMPUTED_VALUE"""),"Suicide")</f>
        <v>Suicide</v>
      </c>
      <c r="G2320" s="5" t="str">
        <f ca="1">IFERROR(__xludf.DUMMYFUNCTION("""COMPUTED_VALUE"""),"Yes")</f>
        <v>Yes</v>
      </c>
      <c r="H2320" s="5" t="str">
        <f ca="1">IFERROR(__xludf.DUMMYFUNCTION("""COMPUTED_VALUE"""),"Suicide")</f>
        <v>Suicide</v>
      </c>
    </row>
    <row r="2321" spans="1:8" ht="13">
      <c r="A2321" s="5" t="str">
        <f ca="1">IFERROR(__xludf.DUMMYFUNCTION("""COMPUTED_VALUE"""),"19821112MSWIJ")</f>
        <v>19821112MSWIJ</v>
      </c>
      <c r="B2321" s="5">
        <f ca="1">IFERROR(__xludf.DUMMYFUNCTION("""COMPUTED_VALUE"""),20)</f>
        <v>20</v>
      </c>
      <c r="C2321" s="5" t="str">
        <f ca="1">IFERROR(__xludf.DUMMYFUNCTION("""COMPUTED_VALUE"""),"Male")</f>
        <v>Male</v>
      </c>
      <c r="D2321" s="5"/>
      <c r="E2321" s="5" t="str">
        <f ca="1">IFERROR(__xludf.DUMMYFUNCTION("""COMPUTED_VALUE"""),"Intimate Relationship")</f>
        <v>Intimate Relationship</v>
      </c>
      <c r="F2321" s="5" t="str">
        <f ca="1">IFERROR(__xludf.DUMMYFUNCTION("""COMPUTED_VALUE"""),"Suicide")</f>
        <v>Suicide</v>
      </c>
      <c r="G2321" s="5" t="str">
        <f ca="1">IFERROR(__xludf.DUMMYFUNCTION("""COMPUTED_VALUE"""),"Yes")</f>
        <v>Yes</v>
      </c>
      <c r="H2321" s="5" t="str">
        <f ca="1">IFERROR(__xludf.DUMMYFUNCTION("""COMPUTED_VALUE"""),"Suicide")</f>
        <v>Suicide</v>
      </c>
    </row>
    <row r="2322" spans="1:8" ht="13">
      <c r="A2322" s="5" t="str">
        <f ca="1">IFERROR(__xludf.DUMMYFUNCTION("""COMPUTED_VALUE"""),"19821108MICOD")</f>
        <v>19821108MICOD</v>
      </c>
      <c r="B2322" s="5">
        <f ca="1">IFERROR(__xludf.DUMMYFUNCTION("""COMPUTED_VALUE"""),15)</f>
        <v>15</v>
      </c>
      <c r="C2322" s="5" t="str">
        <f ca="1">IFERROR(__xludf.DUMMYFUNCTION("""COMPUTED_VALUE"""),"Male")</f>
        <v>Male</v>
      </c>
      <c r="D2322" s="5"/>
      <c r="E2322" s="5" t="str">
        <f ca="1">IFERROR(__xludf.DUMMYFUNCTION("""COMPUTED_VALUE"""),"Student")</f>
        <v>Student</v>
      </c>
      <c r="F2322" s="5" t="str">
        <f ca="1">IFERROR(__xludf.DUMMYFUNCTION("""COMPUTED_VALUE"""),"Surrendered")</f>
        <v>Surrendered</v>
      </c>
      <c r="G2322" s="5" t="str">
        <f ca="1">IFERROR(__xludf.DUMMYFUNCTION("""COMPUTED_VALUE"""),"No")</f>
        <v>No</v>
      </c>
      <c r="H2322" s="5" t="str">
        <f ca="1">IFERROR(__xludf.DUMMYFUNCTION("""COMPUTED_VALUE"""),"None")</f>
        <v>None</v>
      </c>
    </row>
    <row r="2323" spans="1:8" ht="13">
      <c r="A2323" s="5" t="str">
        <f ca="1">IFERROR(__xludf.DUMMYFUNCTION("""COMPUTED_VALUE"""),"19821101NYELE")</f>
        <v>19821101NYELE</v>
      </c>
      <c r="B2323" s="5">
        <f ca="1">IFERROR(__xludf.DUMMYFUNCTION("""COMPUTED_VALUE"""),16)</f>
        <v>16</v>
      </c>
      <c r="C2323" s="5" t="str">
        <f ca="1">IFERROR(__xludf.DUMMYFUNCTION("""COMPUTED_VALUE"""),"Male")</f>
        <v>Male</v>
      </c>
      <c r="D2323" s="5"/>
      <c r="E2323" s="5" t="str">
        <f ca="1">IFERROR(__xludf.DUMMYFUNCTION("""COMPUTED_VALUE"""),"Student")</f>
        <v>Student</v>
      </c>
      <c r="F2323" s="5" t="str">
        <f ca="1">IFERROR(__xludf.DUMMYFUNCTION("""COMPUTED_VALUE"""),"Fled/Escaped")</f>
        <v>Fled/Escaped</v>
      </c>
      <c r="G2323" s="5" t="str">
        <f ca="1">IFERROR(__xludf.DUMMYFUNCTION("""COMPUTED_VALUE"""),"No")</f>
        <v>No</v>
      </c>
      <c r="H2323" s="5" t="str">
        <f ca="1">IFERROR(__xludf.DUMMYFUNCTION("""COMPUTED_VALUE"""),"None")</f>
        <v>None</v>
      </c>
    </row>
    <row r="2324" spans="1:8" ht="13">
      <c r="A2324" s="5" t="str">
        <f ca="1">IFERROR(__xludf.DUMMYFUNCTION("""COMPUTED_VALUE"""),"19820915ARSOP")</f>
        <v>19820915ARSOP</v>
      </c>
      <c r="B2324" s="5">
        <f ca="1">IFERROR(__xludf.DUMMYFUNCTION("""COMPUTED_VALUE"""),12)</f>
        <v>12</v>
      </c>
      <c r="C2324" s="5" t="str">
        <f ca="1">IFERROR(__xludf.DUMMYFUNCTION("""COMPUTED_VALUE"""),"Male")</f>
        <v>Male</v>
      </c>
      <c r="D2324" s="5"/>
      <c r="E2324" s="5" t="str">
        <f ca="1">IFERROR(__xludf.DUMMYFUNCTION("""COMPUTED_VALUE"""),"Student")</f>
        <v>Student</v>
      </c>
      <c r="F2324" s="5" t="str">
        <f ca="1">IFERROR(__xludf.DUMMYFUNCTION("""COMPUTED_VALUE"""),"Attempted Suicide")</f>
        <v>Attempted Suicide</v>
      </c>
      <c r="G2324" s="5" t="str">
        <f ca="1">IFERROR(__xludf.DUMMYFUNCTION("""COMPUTED_VALUE"""),"No")</f>
        <v>No</v>
      </c>
      <c r="H2324" s="5" t="str">
        <f ca="1">IFERROR(__xludf.DUMMYFUNCTION("""COMPUTED_VALUE"""),"Wounded")</f>
        <v>Wounded</v>
      </c>
    </row>
    <row r="2325" spans="1:8" ht="13">
      <c r="A2325" s="5" t="str">
        <f ca="1">IFERROR(__xludf.DUMMYFUNCTION("""COMPUTED_VALUE"""),"19820910VALAB")</f>
        <v>19820910VALAB</v>
      </c>
      <c r="B2325" s="5">
        <f ca="1">IFERROR(__xludf.DUMMYFUNCTION("""COMPUTED_VALUE"""),18)</f>
        <v>18</v>
      </c>
      <c r="C2325" s="5" t="str">
        <f ca="1">IFERROR(__xludf.DUMMYFUNCTION("""COMPUTED_VALUE"""),"Male")</f>
        <v>Male</v>
      </c>
      <c r="D2325" s="5"/>
      <c r="E2325" s="5" t="str">
        <f ca="1">IFERROR(__xludf.DUMMYFUNCTION("""COMPUTED_VALUE"""),"Former Student")</f>
        <v>Former Student</v>
      </c>
      <c r="F2325" s="5" t="str">
        <f ca="1">IFERROR(__xludf.DUMMYFUNCTION("""COMPUTED_VALUE"""),"Surrendered")</f>
        <v>Surrendered</v>
      </c>
      <c r="G2325" s="5" t="str">
        <f ca="1">IFERROR(__xludf.DUMMYFUNCTION("""COMPUTED_VALUE"""),"No")</f>
        <v>No</v>
      </c>
      <c r="H2325" s="5" t="str">
        <f ca="1">IFERROR(__xludf.DUMMYFUNCTION("""COMPUTED_VALUE"""),"None")</f>
        <v>None</v>
      </c>
    </row>
    <row r="2326" spans="1:8" ht="13">
      <c r="A2326" s="5" t="str">
        <f ca="1">IFERROR(__xludf.DUMMYFUNCTION("""COMPUTED_VALUE"""),"19820527NVGAL")</f>
        <v>19820527NVGAL</v>
      </c>
      <c r="B2326" s="5" t="str">
        <f ca="1">IFERROR(__xludf.DUMMYFUNCTION("""COMPUTED_VALUE"""),"Teen")</f>
        <v>Teen</v>
      </c>
      <c r="C2326" s="5" t="str">
        <f ca="1">IFERROR(__xludf.DUMMYFUNCTION("""COMPUTED_VALUE"""),"Male")</f>
        <v>Male</v>
      </c>
      <c r="D2326" s="5"/>
      <c r="E2326" s="5" t="str">
        <f ca="1">IFERROR(__xludf.DUMMYFUNCTION("""COMPUTED_VALUE"""),"Unknown")</f>
        <v>Unknown</v>
      </c>
      <c r="F2326" s="5" t="str">
        <f ca="1">IFERROR(__xludf.DUMMYFUNCTION("""COMPUTED_VALUE"""),"Fled/Escaped")</f>
        <v>Fled/Escaped</v>
      </c>
      <c r="G2326" s="5" t="str">
        <f ca="1">IFERROR(__xludf.DUMMYFUNCTION("""COMPUTED_VALUE"""),"No")</f>
        <v>No</v>
      </c>
      <c r="H2326" s="5" t="str">
        <f ca="1">IFERROR(__xludf.DUMMYFUNCTION("""COMPUTED_VALUE"""),"None")</f>
        <v>None</v>
      </c>
    </row>
    <row r="2327" spans="1:8" ht="13">
      <c r="A2327" s="5" t="str">
        <f ca="1">IFERROR(__xludf.DUMMYFUNCTION("""COMPUTED_VALUE"""),"19820527NVGAL")</f>
        <v>19820527NVGAL</v>
      </c>
      <c r="B2327" s="5" t="str">
        <f ca="1">IFERROR(__xludf.DUMMYFUNCTION("""COMPUTED_VALUE"""),"Teen")</f>
        <v>Teen</v>
      </c>
      <c r="C2327" s="5" t="str">
        <f ca="1">IFERROR(__xludf.DUMMYFUNCTION("""COMPUTED_VALUE"""),"Male")</f>
        <v>Male</v>
      </c>
      <c r="D2327" s="5"/>
      <c r="E2327" s="5" t="str">
        <f ca="1">IFERROR(__xludf.DUMMYFUNCTION("""COMPUTED_VALUE"""),"Unknown")</f>
        <v>Unknown</v>
      </c>
      <c r="F2327" s="5" t="str">
        <f ca="1">IFERROR(__xludf.DUMMYFUNCTION("""COMPUTED_VALUE"""),"Fled/Escaped")</f>
        <v>Fled/Escaped</v>
      </c>
      <c r="G2327" s="5" t="str">
        <f ca="1">IFERROR(__xludf.DUMMYFUNCTION("""COMPUTED_VALUE"""),"No")</f>
        <v>No</v>
      </c>
      <c r="H2327" s="5" t="str">
        <f ca="1">IFERROR(__xludf.DUMMYFUNCTION("""COMPUTED_VALUE"""),"None")</f>
        <v>None</v>
      </c>
    </row>
    <row r="2328" spans="1:8" ht="13">
      <c r="A2328" s="5" t="str">
        <f ca="1">IFERROR(__xludf.DUMMYFUNCTION("""COMPUTED_VALUE"""),"19820527NVGAL")</f>
        <v>19820527NVGAL</v>
      </c>
      <c r="B2328" s="5" t="str">
        <f ca="1">IFERROR(__xludf.DUMMYFUNCTION("""COMPUTED_VALUE"""),"Teen")</f>
        <v>Teen</v>
      </c>
      <c r="C2328" s="5" t="str">
        <f ca="1">IFERROR(__xludf.DUMMYFUNCTION("""COMPUTED_VALUE"""),"Male")</f>
        <v>Male</v>
      </c>
      <c r="D2328" s="5"/>
      <c r="E2328" s="5" t="str">
        <f ca="1">IFERROR(__xludf.DUMMYFUNCTION("""COMPUTED_VALUE"""),"Unknown")</f>
        <v>Unknown</v>
      </c>
      <c r="F2328" s="5" t="str">
        <f ca="1">IFERROR(__xludf.DUMMYFUNCTION("""COMPUTED_VALUE"""),"Fled/Escaped")</f>
        <v>Fled/Escaped</v>
      </c>
      <c r="G2328" s="5" t="str">
        <f ca="1">IFERROR(__xludf.DUMMYFUNCTION("""COMPUTED_VALUE"""),"No")</f>
        <v>No</v>
      </c>
      <c r="H2328" s="5" t="str">
        <f ca="1">IFERROR(__xludf.DUMMYFUNCTION("""COMPUTED_VALUE"""),"None")</f>
        <v>None</v>
      </c>
    </row>
    <row r="2329" spans="1:8" ht="13">
      <c r="A2329" s="5" t="str">
        <f ca="1">IFERROR(__xludf.DUMMYFUNCTION("""COMPUTED_VALUE"""),"19820430FLANA")</f>
        <v>19820430FLANA</v>
      </c>
      <c r="B2329" s="5">
        <f ca="1">IFERROR(__xludf.DUMMYFUNCTION("""COMPUTED_VALUE"""),19)</f>
        <v>19</v>
      </c>
      <c r="C2329" s="5" t="str">
        <f ca="1">IFERROR(__xludf.DUMMYFUNCTION("""COMPUTED_VALUE"""),"Male")</f>
        <v>Male</v>
      </c>
      <c r="D2329" s="5"/>
      <c r="E2329" s="5" t="str">
        <f ca="1">IFERROR(__xludf.DUMMYFUNCTION("""COMPUTED_VALUE"""),"Student")</f>
        <v>Student</v>
      </c>
      <c r="F2329" s="5" t="str">
        <f ca="1">IFERROR(__xludf.DUMMYFUNCTION("""COMPUTED_VALUE"""),"Fled/Apprehended")</f>
        <v>Fled/Apprehended</v>
      </c>
      <c r="G2329" s="5" t="str">
        <f ca="1">IFERROR(__xludf.DUMMYFUNCTION("""COMPUTED_VALUE"""),"No")</f>
        <v>No</v>
      </c>
      <c r="H2329" s="5" t="str">
        <f ca="1">IFERROR(__xludf.DUMMYFUNCTION("""COMPUTED_VALUE"""),"None")</f>
        <v>None</v>
      </c>
    </row>
    <row r="2330" spans="1:8" ht="13">
      <c r="A2330" s="5" t="str">
        <f ca="1">IFERROR(__xludf.DUMMYFUNCTION("""COMPUTED_VALUE"""),"19820429GARUE")</f>
        <v>19820429GARUE</v>
      </c>
      <c r="B2330" s="5">
        <f ca="1">IFERROR(__xludf.DUMMYFUNCTION("""COMPUTED_VALUE"""),16)</f>
        <v>16</v>
      </c>
      <c r="C2330" s="5" t="str">
        <f ca="1">IFERROR(__xludf.DUMMYFUNCTION("""COMPUTED_VALUE"""),"Male")</f>
        <v>Male</v>
      </c>
      <c r="D2330" s="5" t="str">
        <f ca="1">IFERROR(__xludf.DUMMYFUNCTION("""COMPUTED_VALUE"""),"White")</f>
        <v>White</v>
      </c>
      <c r="E2330" s="5" t="str">
        <f ca="1">IFERROR(__xludf.DUMMYFUNCTION("""COMPUTED_VALUE"""),"Student")</f>
        <v>Student</v>
      </c>
      <c r="F2330" s="5" t="str">
        <f ca="1">IFERROR(__xludf.DUMMYFUNCTION("""COMPUTED_VALUE"""),"Surrendered")</f>
        <v>Surrendered</v>
      </c>
      <c r="G2330" s="5" t="str">
        <f ca="1">IFERROR(__xludf.DUMMYFUNCTION("""COMPUTED_VALUE"""),"No")</f>
        <v>No</v>
      </c>
      <c r="H2330" s="5" t="str">
        <f ca="1">IFERROR(__xludf.DUMMYFUNCTION("""COMPUTED_VALUE"""),"Wounded")</f>
        <v>Wounded</v>
      </c>
    </row>
    <row r="2331" spans="1:8" ht="13">
      <c r="A2331" s="5" t="str">
        <f ca="1">IFERROR(__xludf.DUMMYFUNCTION("""COMPUTED_VALUE"""),"19820415MDFOB")</f>
        <v>19820415MDFOB</v>
      </c>
      <c r="B2331" s="5" t="str">
        <f ca="1">IFERROR(__xludf.DUMMYFUNCTION("""COMPUTED_VALUE"""),"Teen")</f>
        <v>Teen</v>
      </c>
      <c r="C2331" s="5" t="str">
        <f ca="1">IFERROR(__xludf.DUMMYFUNCTION("""COMPUTED_VALUE"""),"Male")</f>
        <v>Male</v>
      </c>
      <c r="D2331" s="5"/>
      <c r="E2331" s="5" t="str">
        <f ca="1">IFERROR(__xludf.DUMMYFUNCTION("""COMPUTED_VALUE"""),"Unknown")</f>
        <v>Unknown</v>
      </c>
      <c r="F2331" s="5" t="str">
        <f ca="1">IFERROR(__xludf.DUMMYFUNCTION("""COMPUTED_VALUE"""),"Fled/Apprehended")</f>
        <v>Fled/Apprehended</v>
      </c>
      <c r="G2331" s="5" t="str">
        <f ca="1">IFERROR(__xludf.DUMMYFUNCTION("""COMPUTED_VALUE"""),"No")</f>
        <v>No</v>
      </c>
      <c r="H2331" s="5" t="str">
        <f ca="1">IFERROR(__xludf.DUMMYFUNCTION("""COMPUTED_VALUE"""),"None")</f>
        <v>None</v>
      </c>
    </row>
    <row r="2332" spans="1:8" ht="13">
      <c r="A2332" s="5" t="str">
        <f ca="1">IFERROR(__xludf.DUMMYFUNCTION("""COMPUTED_VALUE"""),"19820407CODEL")</f>
        <v>19820407CODEL</v>
      </c>
      <c r="B2332" s="5">
        <f ca="1">IFERROR(__xludf.DUMMYFUNCTION("""COMPUTED_VALUE"""),14)</f>
        <v>14</v>
      </c>
      <c r="C2332" s="5" t="str">
        <f ca="1">IFERROR(__xludf.DUMMYFUNCTION("""COMPUTED_VALUE"""),"Male")</f>
        <v>Male</v>
      </c>
      <c r="D2332" s="5" t="str">
        <f ca="1">IFERROR(__xludf.DUMMYFUNCTION("""COMPUTED_VALUE"""),"White")</f>
        <v>White</v>
      </c>
      <c r="E2332" s="5" t="str">
        <f ca="1">IFERROR(__xludf.DUMMYFUNCTION("""COMPUTED_VALUE"""),"Student")</f>
        <v>Student</v>
      </c>
      <c r="F2332" s="5" t="str">
        <f ca="1">IFERROR(__xludf.DUMMYFUNCTION("""COMPUTED_VALUE"""),"Unknown")</f>
        <v>Unknown</v>
      </c>
      <c r="G2332" s="5" t="str">
        <f ca="1">IFERROR(__xludf.DUMMYFUNCTION("""COMPUTED_VALUE"""),"No")</f>
        <v>No</v>
      </c>
      <c r="H2332" s="5" t="str">
        <f ca="1">IFERROR(__xludf.DUMMYFUNCTION("""COMPUTED_VALUE"""),"None")</f>
        <v>None</v>
      </c>
    </row>
    <row r="2333" spans="1:8" ht="13">
      <c r="A2333" s="5" t="str">
        <f ca="1">IFERROR(__xludf.DUMMYFUNCTION("""COMPUTED_VALUE"""),"19820319NVVAL")</f>
        <v>19820319NVVAL</v>
      </c>
      <c r="B2333" s="5">
        <f ca="1">IFERROR(__xludf.DUMMYFUNCTION("""COMPUTED_VALUE"""),17)</f>
        <v>17</v>
      </c>
      <c r="C2333" s="5" t="str">
        <f ca="1">IFERROR(__xludf.DUMMYFUNCTION("""COMPUTED_VALUE"""),"Male")</f>
        <v>Male</v>
      </c>
      <c r="D2333" s="5" t="str">
        <f ca="1">IFERROR(__xludf.DUMMYFUNCTION("""COMPUTED_VALUE"""),"Black")</f>
        <v>Black</v>
      </c>
      <c r="E2333" s="5" t="str">
        <f ca="1">IFERROR(__xludf.DUMMYFUNCTION("""COMPUTED_VALUE"""),"Student")</f>
        <v>Student</v>
      </c>
      <c r="F2333" s="5" t="str">
        <f ca="1">IFERROR(__xludf.DUMMYFUNCTION("""COMPUTED_VALUE"""),"Fled/Apprehended")</f>
        <v>Fled/Apprehended</v>
      </c>
      <c r="G2333" s="5" t="str">
        <f ca="1">IFERROR(__xludf.DUMMYFUNCTION("""COMPUTED_VALUE"""),"No")</f>
        <v>No</v>
      </c>
      <c r="H2333" s="5" t="str">
        <f ca="1">IFERROR(__xludf.DUMMYFUNCTION("""COMPUTED_VALUE"""),"None")</f>
        <v>None</v>
      </c>
    </row>
    <row r="2334" spans="1:8" ht="13">
      <c r="A2334" s="5" t="str">
        <f ca="1">IFERROR(__xludf.DUMMYFUNCTION("""COMPUTED_VALUE"""),"19820317OHLOL")</f>
        <v>19820317OHLOL</v>
      </c>
      <c r="B2334" s="5">
        <f ca="1">IFERROR(__xludf.DUMMYFUNCTION("""COMPUTED_VALUE"""),17)</f>
        <v>17</v>
      </c>
      <c r="C2334" s="5" t="str">
        <f ca="1">IFERROR(__xludf.DUMMYFUNCTION("""COMPUTED_VALUE"""),"Male")</f>
        <v>Male</v>
      </c>
      <c r="D2334" s="5"/>
      <c r="E2334" s="5" t="str">
        <f ca="1">IFERROR(__xludf.DUMMYFUNCTION("""COMPUTED_VALUE"""),"Student")</f>
        <v>Student</v>
      </c>
      <c r="F2334" s="5" t="str">
        <f ca="1">IFERROR(__xludf.DUMMYFUNCTION("""COMPUTED_VALUE"""),"Attempted Suicide")</f>
        <v>Attempted Suicide</v>
      </c>
      <c r="G2334" s="5" t="str">
        <f ca="1">IFERROR(__xludf.DUMMYFUNCTION("""COMPUTED_VALUE"""),"No")</f>
        <v>No</v>
      </c>
      <c r="H2334" s="5" t="str">
        <f ca="1">IFERROR(__xludf.DUMMYFUNCTION("""COMPUTED_VALUE"""),"Wounded")</f>
        <v>Wounded</v>
      </c>
    </row>
    <row r="2335" spans="1:8" ht="13">
      <c r="A2335" s="5" t="str">
        <f ca="1">IFERROR(__xludf.DUMMYFUNCTION("""COMPUTED_VALUE"""),"19820315ORSPS")</f>
        <v>19820315ORSPS</v>
      </c>
      <c r="B2335" s="5">
        <f ca="1">IFERROR(__xludf.DUMMYFUNCTION("""COMPUTED_VALUE"""),14)</f>
        <v>14</v>
      </c>
      <c r="C2335" s="5" t="str">
        <f ca="1">IFERROR(__xludf.DUMMYFUNCTION("""COMPUTED_VALUE"""),"Male")</f>
        <v>Male</v>
      </c>
      <c r="D2335" s="5"/>
      <c r="E2335" s="5" t="str">
        <f ca="1">IFERROR(__xludf.DUMMYFUNCTION("""COMPUTED_VALUE"""),"Student")</f>
        <v>Student</v>
      </c>
      <c r="F2335" s="5" t="str">
        <f ca="1">IFERROR(__xludf.DUMMYFUNCTION("""COMPUTED_VALUE"""),"Suicide")</f>
        <v>Suicide</v>
      </c>
      <c r="G2335" s="5" t="str">
        <f ca="1">IFERROR(__xludf.DUMMYFUNCTION("""COMPUTED_VALUE"""),"Yes")</f>
        <v>Yes</v>
      </c>
      <c r="H2335" s="5" t="str">
        <f ca="1">IFERROR(__xludf.DUMMYFUNCTION("""COMPUTED_VALUE"""),"Suicide")</f>
        <v>Suicide</v>
      </c>
    </row>
    <row r="2336" spans="1:8" ht="13">
      <c r="A2336" s="5" t="str">
        <f ca="1">IFERROR(__xludf.DUMMYFUNCTION("""COMPUTED_VALUE"""),"19820209LAJON")</f>
        <v>19820209LAJON</v>
      </c>
      <c r="B2336" s="5">
        <f ca="1">IFERROR(__xludf.DUMMYFUNCTION("""COMPUTED_VALUE"""),16)</f>
        <v>16</v>
      </c>
      <c r="C2336" s="5" t="str">
        <f ca="1">IFERROR(__xludf.DUMMYFUNCTION("""COMPUTED_VALUE"""),"Male")</f>
        <v>Male</v>
      </c>
      <c r="D2336" s="5"/>
      <c r="E2336" s="5" t="str">
        <f ca="1">IFERROR(__xludf.DUMMYFUNCTION("""COMPUTED_VALUE"""),"Former Student")</f>
        <v>Former Student</v>
      </c>
      <c r="F2336" s="5" t="str">
        <f ca="1">IFERROR(__xludf.DUMMYFUNCTION("""COMPUTED_VALUE"""),"Fled/Apprehended")</f>
        <v>Fled/Apprehended</v>
      </c>
      <c r="G2336" s="5" t="str">
        <f ca="1">IFERROR(__xludf.DUMMYFUNCTION("""COMPUTED_VALUE"""),"No")</f>
        <v>No</v>
      </c>
      <c r="H2336" s="5" t="str">
        <f ca="1">IFERROR(__xludf.DUMMYFUNCTION("""COMPUTED_VALUE"""),"Wounded")</f>
        <v>Wounded</v>
      </c>
    </row>
    <row r="2337" spans="1:8" ht="13">
      <c r="A2337" s="5" t="str">
        <f ca="1">IFERROR(__xludf.DUMMYFUNCTION("""COMPUTED_VALUE"""),"19820209LAJON")</f>
        <v>19820209LAJON</v>
      </c>
      <c r="B2337" s="5">
        <f ca="1">IFERROR(__xludf.DUMMYFUNCTION("""COMPUTED_VALUE"""),15)</f>
        <v>15</v>
      </c>
      <c r="C2337" s="5" t="str">
        <f ca="1">IFERROR(__xludf.DUMMYFUNCTION("""COMPUTED_VALUE"""),"Male")</f>
        <v>Male</v>
      </c>
      <c r="D2337" s="5"/>
      <c r="E2337" s="5" t="str">
        <f ca="1">IFERROR(__xludf.DUMMYFUNCTION("""COMPUTED_VALUE"""),"Former Student")</f>
        <v>Former Student</v>
      </c>
      <c r="F2337" s="5" t="str">
        <f ca="1">IFERROR(__xludf.DUMMYFUNCTION("""COMPUTED_VALUE"""),"Fled/Apprehended")</f>
        <v>Fled/Apprehended</v>
      </c>
      <c r="G2337" s="5" t="str">
        <f ca="1">IFERROR(__xludf.DUMMYFUNCTION("""COMPUTED_VALUE"""),"No")</f>
        <v>No</v>
      </c>
      <c r="H2337" s="5" t="str">
        <f ca="1">IFERROR(__xludf.DUMMYFUNCTION("""COMPUTED_VALUE"""),"Wounded")</f>
        <v>Wounded</v>
      </c>
    </row>
    <row r="2338" spans="1:8" ht="13">
      <c r="A2338" s="5" t="str">
        <f ca="1">IFERROR(__xludf.DUMMYFUNCTION("""COMPUTED_VALUE"""),"19820208MADOD")</f>
        <v>19820208MADOD</v>
      </c>
      <c r="B2338" s="5">
        <f ca="1">IFERROR(__xludf.DUMMYFUNCTION("""COMPUTED_VALUE"""),19)</f>
        <v>19</v>
      </c>
      <c r="C2338" s="5" t="str">
        <f ca="1">IFERROR(__xludf.DUMMYFUNCTION("""COMPUTED_VALUE"""),"Male")</f>
        <v>Male</v>
      </c>
      <c r="D2338" s="5" t="str">
        <f ca="1">IFERROR(__xludf.DUMMYFUNCTION("""COMPUTED_VALUE"""),"Black")</f>
        <v>Black</v>
      </c>
      <c r="E2338" s="5" t="str">
        <f ca="1">IFERROR(__xludf.DUMMYFUNCTION("""COMPUTED_VALUE"""),"Student")</f>
        <v>Student</v>
      </c>
      <c r="F2338" s="5" t="str">
        <f ca="1">IFERROR(__xludf.DUMMYFUNCTION("""COMPUTED_VALUE"""),"Fled/Apprehended")</f>
        <v>Fled/Apprehended</v>
      </c>
      <c r="G2338" s="5" t="str">
        <f ca="1">IFERROR(__xludf.DUMMYFUNCTION("""COMPUTED_VALUE"""),"No")</f>
        <v>No</v>
      </c>
      <c r="H2338" s="5" t="str">
        <f ca="1">IFERROR(__xludf.DUMMYFUNCTION("""COMPUTED_VALUE"""),"None")</f>
        <v>None</v>
      </c>
    </row>
    <row r="2339" spans="1:8" ht="13">
      <c r="A2339" s="5" t="str">
        <f ca="1">IFERROR(__xludf.DUMMYFUNCTION("""COMPUTED_VALUE"""),"19820205TNHAM")</f>
        <v>19820205TNHAM</v>
      </c>
      <c r="B2339" s="5"/>
      <c r="C2339" s="5" t="str">
        <f ca="1">IFERROR(__xludf.DUMMYFUNCTION("""COMPUTED_VALUE"""),"Male")</f>
        <v>Male</v>
      </c>
      <c r="D2339" s="5"/>
      <c r="E2339" s="5" t="str">
        <f ca="1">IFERROR(__xludf.DUMMYFUNCTION("""COMPUTED_VALUE"""),"Unknown")</f>
        <v>Unknown</v>
      </c>
      <c r="F2339" s="5" t="str">
        <f ca="1">IFERROR(__xludf.DUMMYFUNCTION("""COMPUTED_VALUE"""),"Fled/Escaped")</f>
        <v>Fled/Escaped</v>
      </c>
      <c r="G2339" s="5" t="str">
        <f ca="1">IFERROR(__xludf.DUMMYFUNCTION("""COMPUTED_VALUE"""),"No")</f>
        <v>No</v>
      </c>
      <c r="H2339" s="5" t="str">
        <f ca="1">IFERROR(__xludf.DUMMYFUNCTION("""COMPUTED_VALUE"""),"None")</f>
        <v>None</v>
      </c>
    </row>
    <row r="2340" spans="1:8" ht="13">
      <c r="A2340" s="5" t="str">
        <f ca="1">IFERROR(__xludf.DUMMYFUNCTION("""COMPUTED_VALUE"""),"19811223NYJAB")</f>
        <v>19811223NYJAB</v>
      </c>
      <c r="B2340" s="5" t="str">
        <f ca="1">IFERROR(__xludf.DUMMYFUNCTION("""COMPUTED_VALUE"""),"Teen")</f>
        <v>Teen</v>
      </c>
      <c r="C2340" s="5" t="str">
        <f ca="1">IFERROR(__xludf.DUMMYFUNCTION("""COMPUTED_VALUE"""),"Male")</f>
        <v>Male</v>
      </c>
      <c r="D2340" s="5"/>
      <c r="E2340" s="5" t="str">
        <f ca="1">IFERROR(__xludf.DUMMYFUNCTION("""COMPUTED_VALUE"""),"Student")</f>
        <v>Student</v>
      </c>
      <c r="F2340" s="5" t="str">
        <f ca="1">IFERROR(__xludf.DUMMYFUNCTION("""COMPUTED_VALUE"""),"Fled/Escaped")</f>
        <v>Fled/Escaped</v>
      </c>
      <c r="G2340" s="5" t="str">
        <f ca="1">IFERROR(__xludf.DUMMYFUNCTION("""COMPUTED_VALUE"""),"No")</f>
        <v>No</v>
      </c>
      <c r="H2340" s="5" t="str">
        <f ca="1">IFERROR(__xludf.DUMMYFUNCTION("""COMPUTED_VALUE"""),"None")</f>
        <v>None</v>
      </c>
    </row>
    <row r="2341" spans="1:8" ht="13">
      <c r="A2341" s="5" t="str">
        <f ca="1">IFERROR(__xludf.DUMMYFUNCTION("""COMPUTED_VALUE"""),"19811216TXUNH")</f>
        <v>19811216TXUNH</v>
      </c>
      <c r="B2341" s="5">
        <f ca="1">IFERROR(__xludf.DUMMYFUNCTION("""COMPUTED_VALUE"""),17)</f>
        <v>17</v>
      </c>
      <c r="C2341" s="5" t="str">
        <f ca="1">IFERROR(__xludf.DUMMYFUNCTION("""COMPUTED_VALUE"""),"Male")</f>
        <v>Male</v>
      </c>
      <c r="D2341" s="5"/>
      <c r="E2341" s="5" t="str">
        <f ca="1">IFERROR(__xludf.DUMMYFUNCTION("""COMPUTED_VALUE"""),"Student")</f>
        <v>Student</v>
      </c>
      <c r="F2341" s="5" t="str">
        <f ca="1">IFERROR(__xludf.DUMMYFUNCTION("""COMPUTED_VALUE"""),"Fled/Apprehended")</f>
        <v>Fled/Apprehended</v>
      </c>
      <c r="G2341" s="5" t="str">
        <f ca="1">IFERROR(__xludf.DUMMYFUNCTION("""COMPUTED_VALUE"""),"No")</f>
        <v>No</v>
      </c>
      <c r="H2341" s="5" t="str">
        <f ca="1">IFERROR(__xludf.DUMMYFUNCTION("""COMPUTED_VALUE"""),"None")</f>
        <v>None</v>
      </c>
    </row>
    <row r="2342" spans="1:8" ht="13">
      <c r="A2342" s="5" t="str">
        <f ca="1">IFERROR(__xludf.DUMMYFUNCTION("""COMPUTED_VALUE"""),"19811209NYGEB")</f>
        <v>19811209NYGEB</v>
      </c>
      <c r="B2342" s="5"/>
      <c r="C2342" s="5" t="str">
        <f ca="1">IFERROR(__xludf.DUMMYFUNCTION("""COMPUTED_VALUE"""),"Male")</f>
        <v>Male</v>
      </c>
      <c r="D2342" s="5"/>
      <c r="E2342" s="5" t="str">
        <f ca="1">IFERROR(__xludf.DUMMYFUNCTION("""COMPUTED_VALUE"""),"Unknown")</f>
        <v>Unknown</v>
      </c>
      <c r="F2342" s="5" t="str">
        <f ca="1">IFERROR(__xludf.DUMMYFUNCTION("""COMPUTED_VALUE"""),"Fled/Escaped")</f>
        <v>Fled/Escaped</v>
      </c>
      <c r="G2342" s="5" t="str">
        <f ca="1">IFERROR(__xludf.DUMMYFUNCTION("""COMPUTED_VALUE"""),"No")</f>
        <v>No</v>
      </c>
      <c r="H2342" s="5" t="str">
        <f ca="1">IFERROR(__xludf.DUMMYFUNCTION("""COMPUTED_VALUE"""),"None")</f>
        <v>None</v>
      </c>
    </row>
    <row r="2343" spans="1:8" ht="13">
      <c r="A2343" s="5" t="str">
        <f ca="1">IFERROR(__xludf.DUMMYFUNCTION("""COMPUTED_VALUE"""),"19811013CTHAH")</f>
        <v>19811013CTHAH</v>
      </c>
      <c r="B2343" s="5">
        <f ca="1">IFERROR(__xludf.DUMMYFUNCTION("""COMPUTED_VALUE"""),16)</f>
        <v>16</v>
      </c>
      <c r="C2343" s="5" t="str">
        <f ca="1">IFERROR(__xludf.DUMMYFUNCTION("""COMPUTED_VALUE"""),"Male")</f>
        <v>Male</v>
      </c>
      <c r="D2343" s="5"/>
      <c r="E2343" s="5" t="str">
        <f ca="1">IFERROR(__xludf.DUMMYFUNCTION("""COMPUTED_VALUE"""),"Student")</f>
        <v>Student</v>
      </c>
      <c r="F2343" s="5" t="str">
        <f ca="1">IFERROR(__xludf.DUMMYFUNCTION("""COMPUTED_VALUE"""),"Fled/Apprehended")</f>
        <v>Fled/Apprehended</v>
      </c>
      <c r="G2343" s="5" t="str">
        <f ca="1">IFERROR(__xludf.DUMMYFUNCTION("""COMPUTED_VALUE"""),"No")</f>
        <v>No</v>
      </c>
      <c r="H2343" s="5" t="str">
        <f ca="1">IFERROR(__xludf.DUMMYFUNCTION("""COMPUTED_VALUE"""),"None")</f>
        <v>None</v>
      </c>
    </row>
    <row r="2344" spans="1:8" ht="13">
      <c r="A2344" s="5" t="str">
        <f ca="1">IFERROR(__xludf.DUMMYFUNCTION("""COMPUTED_VALUE"""),"19810913MDABA")</f>
        <v>19810913MDABA</v>
      </c>
      <c r="B2344" s="5" t="str">
        <f ca="1">IFERROR(__xludf.DUMMYFUNCTION("""COMPUTED_VALUE"""),"Adult")</f>
        <v>Adult</v>
      </c>
      <c r="C2344" s="5"/>
      <c r="D2344" s="5"/>
      <c r="E2344" s="5" t="str">
        <f ca="1">IFERROR(__xludf.DUMMYFUNCTION("""COMPUTED_VALUE"""),"Police Officer/SRO")</f>
        <v>Police Officer/SRO</v>
      </c>
      <c r="F2344" s="5" t="str">
        <f ca="1">IFERROR(__xludf.DUMMYFUNCTION("""COMPUTED_VALUE"""),"Law Enforcement")</f>
        <v>Law Enforcement</v>
      </c>
      <c r="G2344" s="5" t="str">
        <f ca="1">IFERROR(__xludf.DUMMYFUNCTION("""COMPUTED_VALUE"""),"No")</f>
        <v>No</v>
      </c>
      <c r="H2344" s="5" t="str">
        <f ca="1">IFERROR(__xludf.DUMMYFUNCTION("""COMPUTED_VALUE"""),"None")</f>
        <v>None</v>
      </c>
    </row>
    <row r="2345" spans="1:8" ht="13">
      <c r="A2345" s="5" t="str">
        <f ca="1">IFERROR(__xludf.DUMMYFUNCTION("""COMPUTED_VALUE"""),"19810908FLSTW")</f>
        <v>19810908FLSTW</v>
      </c>
      <c r="B2345" s="5">
        <f ca="1">IFERROR(__xludf.DUMMYFUNCTION("""COMPUTED_VALUE"""),12)</f>
        <v>12</v>
      </c>
      <c r="C2345" s="5" t="str">
        <f ca="1">IFERROR(__xludf.DUMMYFUNCTION("""COMPUTED_VALUE"""),"Male")</f>
        <v>Male</v>
      </c>
      <c r="D2345" s="5"/>
      <c r="E2345" s="5" t="str">
        <f ca="1">IFERROR(__xludf.DUMMYFUNCTION("""COMPUTED_VALUE"""),"Student")</f>
        <v>Student</v>
      </c>
      <c r="F2345" s="5" t="str">
        <f ca="1">IFERROR(__xludf.DUMMYFUNCTION("""COMPUTED_VALUE"""),"Fled/Apprehended")</f>
        <v>Fled/Apprehended</v>
      </c>
      <c r="G2345" s="5" t="str">
        <f ca="1">IFERROR(__xludf.DUMMYFUNCTION("""COMPUTED_VALUE"""),"No")</f>
        <v>No</v>
      </c>
      <c r="H2345" s="5" t="str">
        <f ca="1">IFERROR(__xludf.DUMMYFUNCTION("""COMPUTED_VALUE"""),"Wounded")</f>
        <v>Wounded</v>
      </c>
    </row>
    <row r="2346" spans="1:8" ht="13">
      <c r="A2346" s="5" t="str">
        <f ca="1">IFERROR(__xludf.DUMMYFUNCTION("""COMPUTED_VALUE"""),"19810904NMHOS")</f>
        <v>19810904NMHOS</v>
      </c>
      <c r="B2346" s="5">
        <f ca="1">IFERROR(__xludf.DUMMYFUNCTION("""COMPUTED_VALUE"""),16)</f>
        <v>16</v>
      </c>
      <c r="C2346" s="5" t="str">
        <f ca="1">IFERROR(__xludf.DUMMYFUNCTION("""COMPUTED_VALUE"""),"Male")</f>
        <v>Male</v>
      </c>
      <c r="D2346" s="5"/>
      <c r="E2346" s="5" t="str">
        <f ca="1">IFERROR(__xludf.DUMMYFUNCTION("""COMPUTED_VALUE"""),"Student")</f>
        <v>Student</v>
      </c>
      <c r="F2346" s="5" t="str">
        <f ca="1">IFERROR(__xludf.DUMMYFUNCTION("""COMPUTED_VALUE"""),"Fled/Apprehended")</f>
        <v>Fled/Apprehended</v>
      </c>
      <c r="G2346" s="5" t="str">
        <f ca="1">IFERROR(__xludf.DUMMYFUNCTION("""COMPUTED_VALUE"""),"No")</f>
        <v>No</v>
      </c>
      <c r="H2346" s="5" t="str">
        <f ca="1">IFERROR(__xludf.DUMMYFUNCTION("""COMPUTED_VALUE"""),"None")</f>
        <v>None</v>
      </c>
    </row>
    <row r="2347" spans="1:8" ht="13">
      <c r="A2347" s="5" t="str">
        <f ca="1">IFERROR(__xludf.DUMMYFUNCTION("""COMPUTED_VALUE"""),"19810901PAWIP")</f>
        <v>19810901PAWIP</v>
      </c>
      <c r="B2347" s="5"/>
      <c r="C2347" s="5" t="str">
        <f ca="1">IFERROR(__xludf.DUMMYFUNCTION("""COMPUTED_VALUE"""),"Male")</f>
        <v>Male</v>
      </c>
      <c r="D2347" s="5"/>
      <c r="E2347" s="5" t="str">
        <f ca="1">IFERROR(__xludf.DUMMYFUNCTION("""COMPUTED_VALUE"""),"Unknown")</f>
        <v>Unknown</v>
      </c>
      <c r="F2347" s="5" t="str">
        <f ca="1">IFERROR(__xludf.DUMMYFUNCTION("""COMPUTED_VALUE"""),"Fled/Escaped")</f>
        <v>Fled/Escaped</v>
      </c>
      <c r="G2347" s="5" t="str">
        <f ca="1">IFERROR(__xludf.DUMMYFUNCTION("""COMPUTED_VALUE"""),"No")</f>
        <v>No</v>
      </c>
      <c r="H2347" s="5" t="str">
        <f ca="1">IFERROR(__xludf.DUMMYFUNCTION("""COMPUTED_VALUE"""),"None")</f>
        <v>None</v>
      </c>
    </row>
    <row r="2348" spans="1:8" ht="13">
      <c r="A2348" s="5" t="str">
        <f ca="1">IFERROR(__xludf.DUMMYFUNCTION("""COMPUTED_VALUE"""),"19810515LANEN")</f>
        <v>19810515LANEN</v>
      </c>
      <c r="B2348" s="5">
        <f ca="1">IFERROR(__xludf.DUMMYFUNCTION("""COMPUTED_VALUE"""),42)</f>
        <v>42</v>
      </c>
      <c r="C2348" s="5" t="str">
        <f ca="1">IFERROR(__xludf.DUMMYFUNCTION("""COMPUTED_VALUE"""),"Male")</f>
        <v>Male</v>
      </c>
      <c r="D2348" s="5"/>
      <c r="E2348" s="5" t="str">
        <f ca="1">IFERROR(__xludf.DUMMYFUNCTION("""COMPUTED_VALUE"""),"Other Staff")</f>
        <v>Other Staff</v>
      </c>
      <c r="F2348" s="5" t="str">
        <f ca="1">IFERROR(__xludf.DUMMYFUNCTION("""COMPUTED_VALUE"""),"Surrendered")</f>
        <v>Surrendered</v>
      </c>
      <c r="G2348" s="5" t="str">
        <f ca="1">IFERROR(__xludf.DUMMYFUNCTION("""COMPUTED_VALUE"""),"No")</f>
        <v>No</v>
      </c>
      <c r="H2348" s="5" t="str">
        <f ca="1">IFERROR(__xludf.DUMMYFUNCTION("""COMPUTED_VALUE"""),"None")</f>
        <v>None</v>
      </c>
    </row>
    <row r="2349" spans="1:8" ht="13">
      <c r="A2349" s="5" t="str">
        <f ca="1">IFERROR(__xludf.DUMMYFUNCTION("""COMPUTED_VALUE"""),"19810407MSPOP")</f>
        <v>19810407MSPOP</v>
      </c>
      <c r="B2349" s="5"/>
      <c r="C2349" s="5"/>
      <c r="D2349" s="5"/>
      <c r="E2349" s="5" t="str">
        <f ca="1">IFERROR(__xludf.DUMMYFUNCTION("""COMPUTED_VALUE"""),"Unknown")</f>
        <v>Unknown</v>
      </c>
      <c r="F2349" s="5" t="str">
        <f ca="1">IFERROR(__xludf.DUMMYFUNCTION("""COMPUTED_VALUE"""),"Fled/Escaped")</f>
        <v>Fled/Escaped</v>
      </c>
      <c r="G2349" s="5" t="str">
        <f ca="1">IFERROR(__xludf.DUMMYFUNCTION("""COMPUTED_VALUE"""),"No")</f>
        <v>No</v>
      </c>
      <c r="H2349" s="5" t="str">
        <f ca="1">IFERROR(__xludf.DUMMYFUNCTION("""COMPUTED_VALUE"""),"None")</f>
        <v>None</v>
      </c>
    </row>
    <row r="2350" spans="1:8" ht="13">
      <c r="A2350" s="5" t="str">
        <f ca="1">IFERROR(__xludf.DUMMYFUNCTION("""COMPUTED_VALUE"""),"19810402OHALC")</f>
        <v>19810402OHALC</v>
      </c>
      <c r="B2350" s="5">
        <f ca="1">IFERROR(__xludf.DUMMYFUNCTION("""COMPUTED_VALUE"""),14)</f>
        <v>14</v>
      </c>
      <c r="C2350" s="5" t="str">
        <f ca="1">IFERROR(__xludf.DUMMYFUNCTION("""COMPUTED_VALUE"""),"Male")</f>
        <v>Male</v>
      </c>
      <c r="D2350" s="5"/>
      <c r="E2350" s="5" t="str">
        <f ca="1">IFERROR(__xludf.DUMMYFUNCTION("""COMPUTED_VALUE"""),"Student")</f>
        <v>Student</v>
      </c>
      <c r="F2350" s="5" t="str">
        <f ca="1">IFERROR(__xludf.DUMMYFUNCTION("""COMPUTED_VALUE"""),"Fled/Apprehended")</f>
        <v>Fled/Apprehended</v>
      </c>
      <c r="G2350" s="5" t="str">
        <f ca="1">IFERROR(__xludf.DUMMYFUNCTION("""COMPUTED_VALUE"""),"No")</f>
        <v>No</v>
      </c>
      <c r="H2350" s="5" t="str">
        <f ca="1">IFERROR(__xludf.DUMMYFUNCTION("""COMPUTED_VALUE"""),"None")</f>
        <v>None</v>
      </c>
    </row>
    <row r="2351" spans="1:8" ht="13">
      <c r="A2351" s="5" t="str">
        <f ca="1">IFERROR(__xludf.DUMMYFUNCTION("""COMPUTED_VALUE"""),"19810328FLDIF")</f>
        <v>19810328FLDIF</v>
      </c>
      <c r="B2351" s="5">
        <f ca="1">IFERROR(__xludf.DUMMYFUNCTION("""COMPUTED_VALUE"""),18)</f>
        <v>18</v>
      </c>
      <c r="C2351" s="5" t="str">
        <f ca="1">IFERROR(__xludf.DUMMYFUNCTION("""COMPUTED_VALUE"""),"Male")</f>
        <v>Male</v>
      </c>
      <c r="D2351" s="5"/>
      <c r="E2351" s="5" t="str">
        <f ca="1">IFERROR(__xludf.DUMMYFUNCTION("""COMPUTED_VALUE"""),"Student")</f>
        <v>Student</v>
      </c>
      <c r="F2351" s="5" t="str">
        <f ca="1">IFERROR(__xludf.DUMMYFUNCTION("""COMPUTED_VALUE"""),"Fled/Apprehended")</f>
        <v>Fled/Apprehended</v>
      </c>
      <c r="G2351" s="5" t="str">
        <f ca="1">IFERROR(__xludf.DUMMYFUNCTION("""COMPUTED_VALUE"""),"No")</f>
        <v>No</v>
      </c>
      <c r="H2351" s="5" t="str">
        <f ca="1">IFERROR(__xludf.DUMMYFUNCTION("""COMPUTED_VALUE"""),"None")</f>
        <v>None</v>
      </c>
    </row>
    <row r="2352" spans="1:8" ht="13">
      <c r="A2352" s="5" t="str">
        <f ca="1">IFERROR(__xludf.DUMMYFUNCTION("""COMPUTED_VALUE"""),"19810303INMAI")</f>
        <v>19810303INMAI</v>
      </c>
      <c r="B2352" s="5">
        <f ca="1">IFERROR(__xludf.DUMMYFUNCTION("""COMPUTED_VALUE"""),15)</f>
        <v>15</v>
      </c>
      <c r="C2352" s="5" t="str">
        <f ca="1">IFERROR(__xludf.DUMMYFUNCTION("""COMPUTED_VALUE"""),"Male")</f>
        <v>Male</v>
      </c>
      <c r="D2352" s="5"/>
      <c r="E2352" s="5" t="str">
        <f ca="1">IFERROR(__xludf.DUMMYFUNCTION("""COMPUTED_VALUE"""),"Student")</f>
        <v>Student</v>
      </c>
      <c r="F2352" s="5" t="str">
        <f ca="1">IFERROR(__xludf.DUMMYFUNCTION("""COMPUTED_VALUE"""),"Fled/Apprehended")</f>
        <v>Fled/Apprehended</v>
      </c>
      <c r="G2352" s="5" t="str">
        <f ca="1">IFERROR(__xludf.DUMMYFUNCTION("""COMPUTED_VALUE"""),"No")</f>
        <v>No</v>
      </c>
      <c r="H2352" s="5" t="str">
        <f ca="1">IFERROR(__xludf.DUMMYFUNCTION("""COMPUTED_VALUE"""),"None")</f>
        <v>None</v>
      </c>
    </row>
    <row r="2353" spans="1:8" ht="13">
      <c r="A2353" s="5" t="str">
        <f ca="1">IFERROR(__xludf.DUMMYFUNCTION("""COMPUTED_VALUE"""),"19810210CAMAL")</f>
        <v>19810210CAMAL</v>
      </c>
      <c r="B2353" s="5">
        <f ca="1">IFERROR(__xludf.DUMMYFUNCTION("""COMPUTED_VALUE"""),19)</f>
        <v>19</v>
      </c>
      <c r="C2353" s="5" t="str">
        <f ca="1">IFERROR(__xludf.DUMMYFUNCTION("""COMPUTED_VALUE"""),"Male")</f>
        <v>Male</v>
      </c>
      <c r="D2353" s="5"/>
      <c r="E2353" s="5" t="str">
        <f ca="1">IFERROR(__xludf.DUMMYFUNCTION("""COMPUTED_VALUE"""),"Unknown")</f>
        <v>Unknown</v>
      </c>
      <c r="F2353" s="5" t="str">
        <f ca="1">IFERROR(__xludf.DUMMYFUNCTION("""COMPUTED_VALUE"""),"Fled/Apprehended")</f>
        <v>Fled/Apprehended</v>
      </c>
      <c r="G2353" s="5" t="str">
        <f ca="1">IFERROR(__xludf.DUMMYFUNCTION("""COMPUTED_VALUE"""),"No")</f>
        <v>No</v>
      </c>
      <c r="H2353" s="5" t="str">
        <f ca="1">IFERROR(__xludf.DUMMYFUNCTION("""COMPUTED_VALUE"""),"None")</f>
        <v>None</v>
      </c>
    </row>
    <row r="2354" spans="1:8" ht="13">
      <c r="A2354" s="5" t="str">
        <f ca="1">IFERROR(__xludf.DUMMYFUNCTION("""COMPUTED_VALUE"""),"19810210ARLIL")</f>
        <v>19810210ARLIL</v>
      </c>
      <c r="B2354" s="5">
        <f ca="1">IFERROR(__xludf.DUMMYFUNCTION("""COMPUTED_VALUE"""),16)</f>
        <v>16</v>
      </c>
      <c r="C2354" s="5" t="str">
        <f ca="1">IFERROR(__xludf.DUMMYFUNCTION("""COMPUTED_VALUE"""),"Male")</f>
        <v>Male</v>
      </c>
      <c r="D2354" s="5"/>
      <c r="E2354" s="5" t="str">
        <f ca="1">IFERROR(__xludf.DUMMYFUNCTION("""COMPUTED_VALUE"""),"Student")</f>
        <v>Student</v>
      </c>
      <c r="F2354" s="5" t="str">
        <f ca="1">IFERROR(__xludf.DUMMYFUNCTION("""COMPUTED_VALUE"""),"Fled/Apprehended")</f>
        <v>Fled/Apprehended</v>
      </c>
      <c r="G2354" s="5" t="str">
        <f ca="1">IFERROR(__xludf.DUMMYFUNCTION("""COMPUTED_VALUE"""),"No")</f>
        <v>No</v>
      </c>
      <c r="H2354" s="5" t="str">
        <f ca="1">IFERROR(__xludf.DUMMYFUNCTION("""COMPUTED_VALUE"""),"None")</f>
        <v>None</v>
      </c>
    </row>
    <row r="2355" spans="1:8" ht="13">
      <c r="A2355" s="5" t="str">
        <f ca="1">IFERROR(__xludf.DUMMYFUNCTION("""COMPUTED_VALUE"""),"19810122MDFRB")</f>
        <v>19810122MDFRB</v>
      </c>
      <c r="B2355" s="5">
        <f ca="1">IFERROR(__xludf.DUMMYFUNCTION("""COMPUTED_VALUE"""),17)</f>
        <v>17</v>
      </c>
      <c r="C2355" s="5" t="str">
        <f ca="1">IFERROR(__xludf.DUMMYFUNCTION("""COMPUTED_VALUE"""),"Male")</f>
        <v>Male</v>
      </c>
      <c r="D2355" s="5"/>
      <c r="E2355" s="5" t="str">
        <f ca="1">IFERROR(__xludf.DUMMYFUNCTION("""COMPUTED_VALUE"""),"Student")</f>
        <v>Student</v>
      </c>
      <c r="F2355" s="5" t="str">
        <f ca="1">IFERROR(__xludf.DUMMYFUNCTION("""COMPUTED_VALUE"""),"Fled/Apprehended")</f>
        <v>Fled/Apprehended</v>
      </c>
      <c r="G2355" s="5" t="str">
        <f ca="1">IFERROR(__xludf.DUMMYFUNCTION("""COMPUTED_VALUE"""),"No")</f>
        <v>No</v>
      </c>
      <c r="H2355" s="5" t="str">
        <f ca="1">IFERROR(__xludf.DUMMYFUNCTION("""COMPUTED_VALUE"""),"None")</f>
        <v>None</v>
      </c>
    </row>
    <row r="2356" spans="1:8" ht="13">
      <c r="A2356" s="5" t="str">
        <f ca="1">IFERROR(__xludf.DUMMYFUNCTION("""COMPUTED_VALUE"""),"19810121OHWIB")</f>
        <v>19810121OHWIB</v>
      </c>
      <c r="B2356" s="5">
        <f ca="1">IFERROR(__xludf.DUMMYFUNCTION("""COMPUTED_VALUE"""),14)</f>
        <v>14</v>
      </c>
      <c r="C2356" s="5" t="str">
        <f ca="1">IFERROR(__xludf.DUMMYFUNCTION("""COMPUTED_VALUE"""),"Male")</f>
        <v>Male</v>
      </c>
      <c r="D2356" s="5" t="str">
        <f ca="1">IFERROR(__xludf.DUMMYFUNCTION("""COMPUTED_VALUE"""),"White")</f>
        <v>White</v>
      </c>
      <c r="E2356" s="5" t="str">
        <f ca="1">IFERROR(__xludf.DUMMYFUNCTION("""COMPUTED_VALUE"""),"Student")</f>
        <v>Student</v>
      </c>
      <c r="F2356" s="5" t="str">
        <f ca="1">IFERROR(__xludf.DUMMYFUNCTION("""COMPUTED_VALUE"""),"Fled/Apprehended")</f>
        <v>Fled/Apprehended</v>
      </c>
      <c r="G2356" s="5" t="str">
        <f ca="1">IFERROR(__xludf.DUMMYFUNCTION("""COMPUTED_VALUE"""),"No")</f>
        <v>No</v>
      </c>
      <c r="H2356" s="5" t="str">
        <f ca="1">IFERROR(__xludf.DUMMYFUNCTION("""COMPUTED_VALUE"""),"None")</f>
        <v>None</v>
      </c>
    </row>
    <row r="2357" spans="1:8" ht="13">
      <c r="A2357" s="5" t="str">
        <f ca="1">IFERROR(__xludf.DUMMYFUNCTION("""COMPUTED_VALUE"""),"19801212OHLOL")</f>
        <v>19801212OHLOL</v>
      </c>
      <c r="B2357" s="5">
        <f ca="1">IFERROR(__xludf.DUMMYFUNCTION("""COMPUTED_VALUE"""),14)</f>
        <v>14</v>
      </c>
      <c r="C2357" s="5" t="str">
        <f ca="1">IFERROR(__xludf.DUMMYFUNCTION("""COMPUTED_VALUE"""),"Male")</f>
        <v>Male</v>
      </c>
      <c r="D2357" s="5"/>
      <c r="E2357" s="5" t="str">
        <f ca="1">IFERROR(__xludf.DUMMYFUNCTION("""COMPUTED_VALUE"""),"Student")</f>
        <v>Student</v>
      </c>
      <c r="F2357" s="5" t="str">
        <f ca="1">IFERROR(__xludf.DUMMYFUNCTION("""COMPUTED_VALUE"""),"Surrendered")</f>
        <v>Surrendered</v>
      </c>
      <c r="G2357" s="5" t="str">
        <f ca="1">IFERROR(__xludf.DUMMYFUNCTION("""COMPUTED_VALUE"""),"No")</f>
        <v>No</v>
      </c>
      <c r="H2357" s="5" t="str">
        <f ca="1">IFERROR(__xludf.DUMMYFUNCTION("""COMPUTED_VALUE"""),"None")</f>
        <v>None</v>
      </c>
    </row>
    <row r="2358" spans="1:8" ht="13">
      <c r="A2358" s="5" t="str">
        <f ca="1">IFERROR(__xludf.DUMMYFUNCTION("""COMPUTED_VALUE"""),"19801212ALPAB")</f>
        <v>19801212ALPAB</v>
      </c>
      <c r="B2358" s="5">
        <f ca="1">IFERROR(__xludf.DUMMYFUNCTION("""COMPUTED_VALUE"""),15)</f>
        <v>15</v>
      </c>
      <c r="C2358" s="5" t="str">
        <f ca="1">IFERROR(__xludf.DUMMYFUNCTION("""COMPUTED_VALUE"""),"Male")</f>
        <v>Male</v>
      </c>
      <c r="D2358" s="5"/>
      <c r="E2358" s="5" t="str">
        <f ca="1">IFERROR(__xludf.DUMMYFUNCTION("""COMPUTED_VALUE"""),"No Relation")</f>
        <v>No Relation</v>
      </c>
      <c r="F2358" s="5" t="str">
        <f ca="1">IFERROR(__xludf.DUMMYFUNCTION("""COMPUTED_VALUE"""),"Fled/Apprehended")</f>
        <v>Fled/Apprehended</v>
      </c>
      <c r="G2358" s="5" t="str">
        <f ca="1">IFERROR(__xludf.DUMMYFUNCTION("""COMPUTED_VALUE"""),"No")</f>
        <v>No</v>
      </c>
      <c r="H2358" s="5" t="str">
        <f ca="1">IFERROR(__xludf.DUMMYFUNCTION("""COMPUTED_VALUE"""),"None")</f>
        <v>None</v>
      </c>
    </row>
    <row r="2359" spans="1:8" ht="13">
      <c r="A2359" s="5" t="str">
        <f ca="1">IFERROR(__xludf.DUMMYFUNCTION("""COMPUTED_VALUE"""),"19801117TXEAF")</f>
        <v>19801117TXEAF</v>
      </c>
      <c r="B2359" s="5">
        <f ca="1">IFERROR(__xludf.DUMMYFUNCTION("""COMPUTED_VALUE"""),16)</f>
        <v>16</v>
      </c>
      <c r="C2359" s="5" t="str">
        <f ca="1">IFERROR(__xludf.DUMMYFUNCTION("""COMPUTED_VALUE"""),"Male")</f>
        <v>Male</v>
      </c>
      <c r="D2359" s="5"/>
      <c r="E2359" s="5" t="str">
        <f ca="1">IFERROR(__xludf.DUMMYFUNCTION("""COMPUTED_VALUE"""),"Student")</f>
        <v>Student</v>
      </c>
      <c r="F2359" s="5" t="str">
        <f ca="1">IFERROR(__xludf.DUMMYFUNCTION("""COMPUTED_VALUE"""),"Subdued by Students/Staff/Other")</f>
        <v>Subdued by Students/Staff/Other</v>
      </c>
      <c r="G2359" s="5" t="str">
        <f ca="1">IFERROR(__xludf.DUMMYFUNCTION("""COMPUTED_VALUE"""),"No")</f>
        <v>No</v>
      </c>
      <c r="H2359" s="5" t="str">
        <f ca="1">IFERROR(__xludf.DUMMYFUNCTION("""COMPUTED_VALUE"""),"None")</f>
        <v>None</v>
      </c>
    </row>
    <row r="2360" spans="1:8" ht="13">
      <c r="A2360" s="5" t="str">
        <f ca="1">IFERROR(__xludf.DUMMYFUNCTION("""COMPUTED_VALUE"""),"19801031ALHUH")</f>
        <v>19801031ALHUH</v>
      </c>
      <c r="B2360" s="5">
        <f ca="1">IFERROR(__xludf.DUMMYFUNCTION("""COMPUTED_VALUE"""),17)</f>
        <v>17</v>
      </c>
      <c r="C2360" s="5" t="str">
        <f ca="1">IFERROR(__xludf.DUMMYFUNCTION("""COMPUTED_VALUE"""),"Male")</f>
        <v>Male</v>
      </c>
      <c r="D2360" s="5"/>
      <c r="E2360" s="5" t="str">
        <f ca="1">IFERROR(__xludf.DUMMYFUNCTION("""COMPUTED_VALUE"""),"Student")</f>
        <v>Student</v>
      </c>
      <c r="F2360" s="5" t="str">
        <f ca="1">IFERROR(__xludf.DUMMYFUNCTION("""COMPUTED_VALUE"""),"Suicide")</f>
        <v>Suicide</v>
      </c>
      <c r="G2360" s="5" t="str">
        <f ca="1">IFERROR(__xludf.DUMMYFUNCTION("""COMPUTED_VALUE"""),"Yes")</f>
        <v>Yes</v>
      </c>
      <c r="H2360" s="5" t="str">
        <f ca="1">IFERROR(__xludf.DUMMYFUNCTION("""COMPUTED_VALUE"""),"Suicide")</f>
        <v>Suicide</v>
      </c>
    </row>
    <row r="2361" spans="1:8" ht="13">
      <c r="A2361" s="5" t="str">
        <f ca="1">IFERROR(__xludf.DUMMYFUNCTION("""COMPUTED_VALUE"""),"19801013ALCET")</f>
        <v>19801013ALCET</v>
      </c>
      <c r="B2361" s="5">
        <f ca="1">IFERROR(__xludf.DUMMYFUNCTION("""COMPUTED_VALUE"""),17)</f>
        <v>17</v>
      </c>
      <c r="C2361" s="5" t="str">
        <f ca="1">IFERROR(__xludf.DUMMYFUNCTION("""COMPUTED_VALUE"""),"Male")</f>
        <v>Male</v>
      </c>
      <c r="D2361" s="5"/>
      <c r="E2361" s="5" t="str">
        <f ca="1">IFERROR(__xludf.DUMMYFUNCTION("""COMPUTED_VALUE"""),"Student")</f>
        <v>Student</v>
      </c>
      <c r="F2361" s="5" t="str">
        <f ca="1">IFERROR(__xludf.DUMMYFUNCTION("""COMPUTED_VALUE"""),"Fled/Apprehended")</f>
        <v>Fled/Apprehended</v>
      </c>
      <c r="G2361" s="5" t="str">
        <f ca="1">IFERROR(__xludf.DUMMYFUNCTION("""COMPUTED_VALUE"""),"No")</f>
        <v>No</v>
      </c>
      <c r="H2361" s="5" t="str">
        <f ca="1">IFERROR(__xludf.DUMMYFUNCTION("""COMPUTED_VALUE"""),"None")</f>
        <v>None</v>
      </c>
    </row>
    <row r="2362" spans="1:8" ht="13">
      <c r="A2362" s="5" t="str">
        <f ca="1">IFERROR(__xludf.DUMMYFUNCTION("""COMPUTED_VALUE"""),"19800926CTBRB")</f>
        <v>19800926CTBRB</v>
      </c>
      <c r="B2362" s="5">
        <f ca="1">IFERROR(__xludf.DUMMYFUNCTION("""COMPUTED_VALUE"""),19)</f>
        <v>19</v>
      </c>
      <c r="C2362" s="5" t="str">
        <f ca="1">IFERROR(__xludf.DUMMYFUNCTION("""COMPUTED_VALUE"""),"Male")</f>
        <v>Male</v>
      </c>
      <c r="D2362" s="5"/>
      <c r="E2362" s="5" t="str">
        <f ca="1">IFERROR(__xludf.DUMMYFUNCTION("""COMPUTED_VALUE"""),"Former Student")</f>
        <v>Former Student</v>
      </c>
      <c r="F2362" s="5" t="str">
        <f ca="1">IFERROR(__xludf.DUMMYFUNCTION("""COMPUTED_VALUE"""),"Fled/Escaped")</f>
        <v>Fled/Escaped</v>
      </c>
      <c r="G2362" s="5" t="str">
        <f ca="1">IFERROR(__xludf.DUMMYFUNCTION("""COMPUTED_VALUE"""),"No")</f>
        <v>No</v>
      </c>
      <c r="H2362" s="5" t="str">
        <f ca="1">IFERROR(__xludf.DUMMYFUNCTION("""COMPUTED_VALUE"""),"None")</f>
        <v>None</v>
      </c>
    </row>
    <row r="2363" spans="1:8" ht="13">
      <c r="A2363" s="5" t="str">
        <f ca="1">IFERROR(__xludf.DUMMYFUNCTION("""COMPUTED_VALUE"""),"19800911ALJOM")</f>
        <v>19800911ALJOM</v>
      </c>
      <c r="B2363" s="5">
        <f ca="1">IFERROR(__xludf.DUMMYFUNCTION("""COMPUTED_VALUE"""),29)</f>
        <v>29</v>
      </c>
      <c r="C2363" s="5" t="str">
        <f ca="1">IFERROR(__xludf.DUMMYFUNCTION("""COMPUTED_VALUE"""),"Female")</f>
        <v>Female</v>
      </c>
      <c r="D2363" s="5"/>
      <c r="E2363" s="5" t="str">
        <f ca="1">IFERROR(__xludf.DUMMYFUNCTION("""COMPUTED_VALUE"""),"Teacher")</f>
        <v>Teacher</v>
      </c>
      <c r="F2363" s="5" t="str">
        <f ca="1">IFERROR(__xludf.DUMMYFUNCTION("""COMPUTED_VALUE"""),"Surrendered")</f>
        <v>Surrendered</v>
      </c>
      <c r="G2363" s="5" t="str">
        <f ca="1">IFERROR(__xludf.DUMMYFUNCTION("""COMPUTED_VALUE"""),"No")</f>
        <v>No</v>
      </c>
      <c r="H2363" s="5" t="str">
        <f ca="1">IFERROR(__xludf.DUMMYFUNCTION("""COMPUTED_VALUE"""),"None")</f>
        <v>None</v>
      </c>
    </row>
    <row r="2364" spans="1:8" ht="13">
      <c r="A2364" s="5" t="str">
        <f ca="1">IFERROR(__xludf.DUMMYFUNCTION("""COMPUTED_VALUE"""),"19800910DCSPW")</f>
        <v>19800910DCSPW</v>
      </c>
      <c r="B2364" s="5">
        <f ca="1">IFERROR(__xludf.DUMMYFUNCTION("""COMPUTED_VALUE"""),18)</f>
        <v>18</v>
      </c>
      <c r="C2364" s="5" t="str">
        <f ca="1">IFERROR(__xludf.DUMMYFUNCTION("""COMPUTED_VALUE"""),"Male")</f>
        <v>Male</v>
      </c>
      <c r="D2364" s="5"/>
      <c r="E2364" s="5" t="str">
        <f ca="1">IFERROR(__xludf.DUMMYFUNCTION("""COMPUTED_VALUE"""),"Student")</f>
        <v>Student</v>
      </c>
      <c r="F2364" s="5" t="str">
        <f ca="1">IFERROR(__xludf.DUMMYFUNCTION("""COMPUTED_VALUE"""),"Surrendered")</f>
        <v>Surrendered</v>
      </c>
      <c r="G2364" s="5" t="str">
        <f ca="1">IFERROR(__xludf.DUMMYFUNCTION("""COMPUTED_VALUE"""),"No")</f>
        <v>No</v>
      </c>
      <c r="H2364" s="5" t="str">
        <f ca="1">IFERROR(__xludf.DUMMYFUNCTION("""COMPUTED_VALUE"""),"None")</f>
        <v>None</v>
      </c>
    </row>
    <row r="2365" spans="1:8" ht="13">
      <c r="A2365" s="5" t="str">
        <f ca="1">IFERROR(__xludf.DUMMYFUNCTION("""COMPUTED_VALUE"""),"19800908FLFOJ")</f>
        <v>19800908FLFOJ</v>
      </c>
      <c r="B2365" s="5" t="str">
        <f ca="1">IFERROR(__xludf.DUMMYFUNCTION("""COMPUTED_VALUE"""),"Teen")</f>
        <v>Teen</v>
      </c>
      <c r="C2365" s="5" t="str">
        <f ca="1">IFERROR(__xludf.DUMMYFUNCTION("""COMPUTED_VALUE"""),"Male")</f>
        <v>Male</v>
      </c>
      <c r="D2365" s="5"/>
      <c r="E2365" s="5" t="str">
        <f ca="1">IFERROR(__xludf.DUMMYFUNCTION("""COMPUTED_VALUE"""),"Student")</f>
        <v>Student</v>
      </c>
      <c r="F2365" s="5" t="str">
        <f ca="1">IFERROR(__xludf.DUMMYFUNCTION("""COMPUTED_VALUE"""),"Fled/Apprehended")</f>
        <v>Fled/Apprehended</v>
      </c>
      <c r="G2365" s="5" t="str">
        <f ca="1">IFERROR(__xludf.DUMMYFUNCTION("""COMPUTED_VALUE"""),"No")</f>
        <v>No</v>
      </c>
      <c r="H2365" s="5" t="str">
        <f ca="1">IFERROR(__xludf.DUMMYFUNCTION("""COMPUTED_VALUE"""),"None")</f>
        <v>None</v>
      </c>
    </row>
    <row r="2366" spans="1:8" ht="13">
      <c r="A2366" s="5" t="str">
        <f ca="1">IFERROR(__xludf.DUMMYFUNCTION("""COMPUTED_VALUE"""),"19800902CAWHL")</f>
        <v>19800902CAWHL</v>
      </c>
      <c r="B2366" s="5">
        <f ca="1">IFERROR(__xludf.DUMMYFUNCTION("""COMPUTED_VALUE"""),18)</f>
        <v>18</v>
      </c>
      <c r="C2366" s="5" t="str">
        <f ca="1">IFERROR(__xludf.DUMMYFUNCTION("""COMPUTED_VALUE"""),"Male")</f>
        <v>Male</v>
      </c>
      <c r="D2366" s="5" t="str">
        <f ca="1">IFERROR(__xludf.DUMMYFUNCTION("""COMPUTED_VALUE"""),"White")</f>
        <v>White</v>
      </c>
      <c r="E2366" s="5" t="str">
        <f ca="1">IFERROR(__xludf.DUMMYFUNCTION("""COMPUTED_VALUE"""),"No Relation")</f>
        <v>No Relation</v>
      </c>
      <c r="F2366" s="5" t="str">
        <f ca="1">IFERROR(__xludf.DUMMYFUNCTION("""COMPUTED_VALUE"""),"Fled/Apprehended")</f>
        <v>Fled/Apprehended</v>
      </c>
      <c r="G2366" s="5" t="str">
        <f ca="1">IFERROR(__xludf.DUMMYFUNCTION("""COMPUTED_VALUE"""),"No")</f>
        <v>No</v>
      </c>
      <c r="H2366" s="5" t="str">
        <f ca="1">IFERROR(__xludf.DUMMYFUNCTION("""COMPUTED_VALUE"""),"None")</f>
        <v>None</v>
      </c>
    </row>
    <row r="2367" spans="1:8" ht="13">
      <c r="A2367" s="5" t="str">
        <f ca="1">IFERROR(__xludf.DUMMYFUNCTION("""COMPUTED_VALUE"""),"19800530NYCLB")</f>
        <v>19800530NYCLB</v>
      </c>
      <c r="B2367" s="5">
        <f ca="1">IFERROR(__xludf.DUMMYFUNCTION("""COMPUTED_VALUE"""),15)</f>
        <v>15</v>
      </c>
      <c r="C2367" s="5" t="str">
        <f ca="1">IFERROR(__xludf.DUMMYFUNCTION("""COMPUTED_VALUE"""),"Male")</f>
        <v>Male</v>
      </c>
      <c r="D2367" s="5"/>
      <c r="E2367" s="5" t="str">
        <f ca="1">IFERROR(__xludf.DUMMYFUNCTION("""COMPUTED_VALUE"""),"Student")</f>
        <v>Student</v>
      </c>
      <c r="F2367" s="5" t="str">
        <f ca="1">IFERROR(__xludf.DUMMYFUNCTION("""COMPUTED_VALUE"""),"Fled/Apprehended")</f>
        <v>Fled/Apprehended</v>
      </c>
      <c r="G2367" s="5" t="str">
        <f ca="1">IFERROR(__xludf.DUMMYFUNCTION("""COMPUTED_VALUE"""),"No")</f>
        <v>No</v>
      </c>
      <c r="H2367" s="5" t="str">
        <f ca="1">IFERROR(__xludf.DUMMYFUNCTION("""COMPUTED_VALUE"""),"Wounded")</f>
        <v>Wounded</v>
      </c>
    </row>
    <row r="2368" spans="1:8" ht="13">
      <c r="A2368" s="5" t="str">
        <f ca="1">IFERROR(__xludf.DUMMYFUNCTION("""COMPUTED_VALUE"""),"19800417VACAC")</f>
        <v>19800417VACAC</v>
      </c>
      <c r="B2368" s="5">
        <f ca="1">IFERROR(__xludf.DUMMYFUNCTION("""COMPUTED_VALUE"""),53)</f>
        <v>53</v>
      </c>
      <c r="C2368" s="5" t="str">
        <f ca="1">IFERROR(__xludf.DUMMYFUNCTION("""COMPUTED_VALUE"""),"Male")</f>
        <v>Male</v>
      </c>
      <c r="D2368" s="5"/>
      <c r="E2368" s="5" t="str">
        <f ca="1">IFERROR(__xludf.DUMMYFUNCTION("""COMPUTED_VALUE"""),"Intimate Relationship")</f>
        <v>Intimate Relationship</v>
      </c>
      <c r="F2368" s="5" t="str">
        <f ca="1">IFERROR(__xludf.DUMMYFUNCTION("""COMPUTED_VALUE"""),"Surrendered")</f>
        <v>Surrendered</v>
      </c>
      <c r="G2368" s="5" t="str">
        <f ca="1">IFERROR(__xludf.DUMMYFUNCTION("""COMPUTED_VALUE"""),"No")</f>
        <v>No</v>
      </c>
      <c r="H2368" s="5" t="str">
        <f ca="1">IFERROR(__xludf.DUMMYFUNCTION("""COMPUTED_VALUE"""),"None")</f>
        <v>None</v>
      </c>
    </row>
    <row r="2369" spans="1:8" ht="13">
      <c r="A2369" s="5" t="str">
        <f ca="1">IFERROR(__xludf.DUMMYFUNCTION("""COMPUTED_VALUE"""),"19800331MDFRB")</f>
        <v>19800331MDFRB</v>
      </c>
      <c r="B2369" s="5">
        <f ca="1">IFERROR(__xludf.DUMMYFUNCTION("""COMPUTED_VALUE"""),16)</f>
        <v>16</v>
      </c>
      <c r="C2369" s="5" t="str">
        <f ca="1">IFERROR(__xludf.DUMMYFUNCTION("""COMPUTED_VALUE"""),"Male")</f>
        <v>Male</v>
      </c>
      <c r="D2369" s="5" t="str">
        <f ca="1">IFERROR(__xludf.DUMMYFUNCTION("""COMPUTED_VALUE"""),"Black")</f>
        <v>Black</v>
      </c>
      <c r="E2369" s="5" t="str">
        <f ca="1">IFERROR(__xludf.DUMMYFUNCTION("""COMPUTED_VALUE"""),"Former Student")</f>
        <v>Former Student</v>
      </c>
      <c r="F2369" s="5" t="str">
        <f ca="1">IFERROR(__xludf.DUMMYFUNCTION("""COMPUTED_VALUE"""),"Fled/Apprehended")</f>
        <v>Fled/Apprehended</v>
      </c>
      <c r="G2369" s="5" t="str">
        <f ca="1">IFERROR(__xludf.DUMMYFUNCTION("""COMPUTED_VALUE"""),"No")</f>
        <v>No</v>
      </c>
      <c r="H2369" s="5" t="str">
        <f ca="1">IFERROR(__xludf.DUMMYFUNCTION("""COMPUTED_VALUE"""),"None")</f>
        <v>None</v>
      </c>
    </row>
    <row r="2370" spans="1:8" ht="13">
      <c r="A2370" s="5" t="str">
        <f ca="1">IFERROR(__xludf.DUMMYFUNCTION("""COMPUTED_VALUE"""),"19800320TXJLD")</f>
        <v>19800320TXJLD</v>
      </c>
      <c r="B2370" s="5">
        <f ca="1">IFERROR(__xludf.DUMMYFUNCTION("""COMPUTED_VALUE"""),30)</f>
        <v>30</v>
      </c>
      <c r="C2370" s="5" t="str">
        <f ca="1">IFERROR(__xludf.DUMMYFUNCTION("""COMPUTED_VALUE"""),"Male")</f>
        <v>Male</v>
      </c>
      <c r="D2370" s="5"/>
      <c r="E2370" s="5" t="str">
        <f ca="1">IFERROR(__xludf.DUMMYFUNCTION("""COMPUTED_VALUE"""),"Unknown")</f>
        <v>Unknown</v>
      </c>
      <c r="F2370" s="5" t="str">
        <f ca="1">IFERROR(__xludf.DUMMYFUNCTION("""COMPUTED_VALUE"""),"Fled/Apprehended")</f>
        <v>Fled/Apprehended</v>
      </c>
      <c r="G2370" s="5" t="str">
        <f ca="1">IFERROR(__xludf.DUMMYFUNCTION("""COMPUTED_VALUE"""),"No")</f>
        <v>No</v>
      </c>
      <c r="H2370" s="5" t="str">
        <f ca="1">IFERROR(__xludf.DUMMYFUNCTION("""COMPUTED_VALUE"""),"None")</f>
        <v>None</v>
      </c>
    </row>
    <row r="2371" spans="1:8" ht="13">
      <c r="A2371" s="5" t="str">
        <f ca="1">IFERROR(__xludf.DUMMYFUNCTION("""COMPUTED_VALUE"""),"19800215MSHUM")</f>
        <v>19800215MSHUM</v>
      </c>
      <c r="B2371" s="5">
        <f ca="1">IFERROR(__xludf.DUMMYFUNCTION("""COMPUTED_VALUE"""),32)</f>
        <v>32</v>
      </c>
      <c r="C2371" s="5" t="str">
        <f ca="1">IFERROR(__xludf.DUMMYFUNCTION("""COMPUTED_VALUE"""),"Male")</f>
        <v>Male</v>
      </c>
      <c r="D2371" s="5"/>
      <c r="E2371" s="5" t="str">
        <f ca="1">IFERROR(__xludf.DUMMYFUNCTION("""COMPUTED_VALUE"""),"Intimate Relationship")</f>
        <v>Intimate Relationship</v>
      </c>
      <c r="F2371" s="5" t="str">
        <f ca="1">IFERROR(__xludf.DUMMYFUNCTION("""COMPUTED_VALUE"""),"Fled/Apprehended")</f>
        <v>Fled/Apprehended</v>
      </c>
      <c r="G2371" s="5" t="str">
        <f ca="1">IFERROR(__xludf.DUMMYFUNCTION("""COMPUTED_VALUE"""),"No")</f>
        <v>No</v>
      </c>
      <c r="H2371" s="5" t="str">
        <f ca="1">IFERROR(__xludf.DUMMYFUNCTION("""COMPUTED_VALUE"""),"None")</f>
        <v>None</v>
      </c>
    </row>
    <row r="2372" spans="1:8" ht="13">
      <c r="A2372" s="5" t="str">
        <f ca="1">IFERROR(__xludf.DUMMYFUNCTION("""COMPUTED_VALUE"""),"19800211INARI")</f>
        <v>19800211INARI</v>
      </c>
      <c r="B2372" s="5">
        <f ca="1">IFERROR(__xludf.DUMMYFUNCTION("""COMPUTED_VALUE"""),17)</f>
        <v>17</v>
      </c>
      <c r="C2372" s="5" t="str">
        <f ca="1">IFERROR(__xludf.DUMMYFUNCTION("""COMPUTED_VALUE"""),"Male")</f>
        <v>Male</v>
      </c>
      <c r="D2372" s="5"/>
      <c r="E2372" s="5" t="str">
        <f ca="1">IFERROR(__xludf.DUMMYFUNCTION("""COMPUTED_VALUE"""),"Student")</f>
        <v>Student</v>
      </c>
      <c r="F2372" s="5" t="str">
        <f ca="1">IFERROR(__xludf.DUMMYFUNCTION("""COMPUTED_VALUE"""),"Fled/Apprehended")</f>
        <v>Fled/Apprehended</v>
      </c>
      <c r="G2372" s="5" t="str">
        <f ca="1">IFERROR(__xludf.DUMMYFUNCTION("""COMPUTED_VALUE"""),"No")</f>
        <v>No</v>
      </c>
      <c r="H2372" s="5" t="str">
        <f ca="1">IFERROR(__xludf.DUMMYFUNCTION("""COMPUTED_VALUE"""),"None")</f>
        <v>None</v>
      </c>
    </row>
    <row r="2373" spans="1:8" ht="13">
      <c r="A2373" s="5" t="str">
        <f ca="1">IFERROR(__xludf.DUMMYFUNCTION("""COMPUTED_VALUE"""),"19800211INARI")</f>
        <v>19800211INARI</v>
      </c>
      <c r="B2373" s="5">
        <f ca="1">IFERROR(__xludf.DUMMYFUNCTION("""COMPUTED_VALUE"""),19)</f>
        <v>19</v>
      </c>
      <c r="C2373" s="5" t="str">
        <f ca="1">IFERROR(__xludf.DUMMYFUNCTION("""COMPUTED_VALUE"""),"Male")</f>
        <v>Male</v>
      </c>
      <c r="D2373" s="5"/>
      <c r="E2373" s="5" t="str">
        <f ca="1">IFERROR(__xludf.DUMMYFUNCTION("""COMPUTED_VALUE"""),"Student")</f>
        <v>Student</v>
      </c>
      <c r="F2373" s="5" t="str">
        <f ca="1">IFERROR(__xludf.DUMMYFUNCTION("""COMPUTED_VALUE"""),"Fled/Apprehended")</f>
        <v>Fled/Apprehended</v>
      </c>
      <c r="G2373" s="5" t="str">
        <f ca="1">IFERROR(__xludf.DUMMYFUNCTION("""COMPUTED_VALUE"""),"No")</f>
        <v>No</v>
      </c>
      <c r="H2373" s="5" t="str">
        <f ca="1">IFERROR(__xludf.DUMMYFUNCTION("""COMPUTED_VALUE"""),"None")</f>
        <v>None</v>
      </c>
    </row>
    <row r="2374" spans="1:8" ht="13">
      <c r="A2374" s="5" t="str">
        <f ca="1">IFERROR(__xludf.DUMMYFUNCTION("""COMPUTED_VALUE"""),"19800207TXVAL")</f>
        <v>19800207TXVAL</v>
      </c>
      <c r="B2374" s="5">
        <f ca="1">IFERROR(__xludf.DUMMYFUNCTION("""COMPUTED_VALUE"""),9)</f>
        <v>9</v>
      </c>
      <c r="C2374" s="5" t="str">
        <f ca="1">IFERROR(__xludf.DUMMYFUNCTION("""COMPUTED_VALUE"""),"Male")</f>
        <v>Male</v>
      </c>
      <c r="D2374" s="5"/>
      <c r="E2374" s="5" t="str">
        <f ca="1">IFERROR(__xludf.DUMMYFUNCTION("""COMPUTED_VALUE"""),"Student")</f>
        <v>Student</v>
      </c>
      <c r="F2374" s="5" t="str">
        <f ca="1">IFERROR(__xludf.DUMMYFUNCTION("""COMPUTED_VALUE"""),"Surrendered")</f>
        <v>Surrendered</v>
      </c>
      <c r="G2374" s="5" t="str">
        <f ca="1">IFERROR(__xludf.DUMMYFUNCTION("""COMPUTED_VALUE"""),"No")</f>
        <v>No</v>
      </c>
      <c r="H2374" s="5" t="str">
        <f ca="1">IFERROR(__xludf.DUMMYFUNCTION("""COMPUTED_VALUE"""),"None")</f>
        <v>None</v>
      </c>
    </row>
    <row r="2375" spans="1:8" ht="13">
      <c r="A2375" s="5" t="str">
        <f ca="1">IFERROR(__xludf.DUMMYFUNCTION("""COMPUTED_VALUE"""),"19800201DCLAW")</f>
        <v>19800201DCLAW</v>
      </c>
      <c r="B2375" s="5">
        <f ca="1">IFERROR(__xludf.DUMMYFUNCTION("""COMPUTED_VALUE"""),9)</f>
        <v>9</v>
      </c>
      <c r="C2375" s="5" t="str">
        <f ca="1">IFERROR(__xludf.DUMMYFUNCTION("""COMPUTED_VALUE"""),"Male")</f>
        <v>Male</v>
      </c>
      <c r="D2375" s="5"/>
      <c r="E2375" s="5" t="str">
        <f ca="1">IFERROR(__xludf.DUMMYFUNCTION("""COMPUTED_VALUE"""),"Student")</f>
        <v>Student</v>
      </c>
      <c r="F2375" s="5" t="str">
        <f ca="1">IFERROR(__xludf.DUMMYFUNCTION("""COMPUTED_VALUE"""),"Surrendered")</f>
        <v>Surrendered</v>
      </c>
      <c r="G2375" s="5" t="str">
        <f ca="1">IFERROR(__xludf.DUMMYFUNCTION("""COMPUTED_VALUE"""),"No")</f>
        <v>No</v>
      </c>
      <c r="H2375" s="5" t="str">
        <f ca="1">IFERROR(__xludf.DUMMYFUNCTION("""COMPUTED_VALUE"""),"None")</f>
        <v>None</v>
      </c>
    </row>
    <row r="2376" spans="1:8" ht="13">
      <c r="A2376" s="5" t="str">
        <f ca="1">IFERROR(__xludf.DUMMYFUNCTION("""COMPUTED_VALUE"""),"19800129VALAW")</f>
        <v>19800129VALAW</v>
      </c>
      <c r="B2376" s="5">
        <f ca="1">IFERROR(__xludf.DUMMYFUNCTION("""COMPUTED_VALUE"""),17)</f>
        <v>17</v>
      </c>
      <c r="C2376" s="5" t="str">
        <f ca="1">IFERROR(__xludf.DUMMYFUNCTION("""COMPUTED_VALUE"""),"Male")</f>
        <v>Male</v>
      </c>
      <c r="D2376" s="5"/>
      <c r="E2376" s="5" t="str">
        <f ca="1">IFERROR(__xludf.DUMMYFUNCTION("""COMPUTED_VALUE"""),"Student")</f>
        <v>Student</v>
      </c>
      <c r="F2376" s="5" t="str">
        <f ca="1">IFERROR(__xludf.DUMMYFUNCTION("""COMPUTED_VALUE"""),"Attempted Suicide")</f>
        <v>Attempted Suicide</v>
      </c>
      <c r="G2376" s="5" t="str">
        <f ca="1">IFERROR(__xludf.DUMMYFUNCTION("""COMPUTED_VALUE"""),"No")</f>
        <v>No</v>
      </c>
      <c r="H2376" s="5" t="str">
        <f ca="1">IFERROR(__xludf.DUMMYFUNCTION("""COMPUTED_VALUE"""),"Wounded")</f>
        <v>Wounded</v>
      </c>
    </row>
    <row r="2377" spans="1:8" ht="13">
      <c r="A2377" s="5" t="str">
        <f ca="1">IFERROR(__xludf.DUMMYFUNCTION("""COMPUTED_VALUE"""),"19800107ARSTS")</f>
        <v>19800107ARSTS</v>
      </c>
      <c r="B2377" s="5">
        <f ca="1">IFERROR(__xludf.DUMMYFUNCTION("""COMPUTED_VALUE"""),16)</f>
        <v>16</v>
      </c>
      <c r="C2377" s="5" t="str">
        <f ca="1">IFERROR(__xludf.DUMMYFUNCTION("""COMPUTED_VALUE"""),"Male")</f>
        <v>Male</v>
      </c>
      <c r="D2377" s="5" t="str">
        <f ca="1">IFERROR(__xludf.DUMMYFUNCTION("""COMPUTED_VALUE"""),"White")</f>
        <v>White</v>
      </c>
      <c r="E2377" s="5" t="str">
        <f ca="1">IFERROR(__xludf.DUMMYFUNCTION("""COMPUTED_VALUE"""),"Student")</f>
        <v>Student</v>
      </c>
      <c r="F2377" s="5" t="str">
        <f ca="1">IFERROR(__xludf.DUMMYFUNCTION("""COMPUTED_VALUE"""),"Surrendered")</f>
        <v>Surrendered</v>
      </c>
      <c r="G2377" s="5" t="str">
        <f ca="1">IFERROR(__xludf.DUMMYFUNCTION("""COMPUTED_VALUE"""),"No")</f>
        <v>No</v>
      </c>
      <c r="H2377" s="5" t="str">
        <f ca="1">IFERROR(__xludf.DUMMYFUNCTION("""COMPUTED_VALUE"""),"None")</f>
        <v>None</v>
      </c>
    </row>
    <row r="2378" spans="1:8" ht="13">
      <c r="A2378" s="5" t="str">
        <f ca="1">IFERROR(__xludf.DUMMYFUNCTION("""COMPUTED_VALUE"""),"19791221MOBLS")</f>
        <v>19791221MOBLS</v>
      </c>
      <c r="B2378" s="5">
        <f ca="1">IFERROR(__xludf.DUMMYFUNCTION("""COMPUTED_VALUE"""),14)</f>
        <v>14</v>
      </c>
      <c r="C2378" s="5" t="str">
        <f ca="1">IFERROR(__xludf.DUMMYFUNCTION("""COMPUTED_VALUE"""),"Male")</f>
        <v>Male</v>
      </c>
      <c r="D2378" s="5"/>
      <c r="E2378" s="5" t="str">
        <f ca="1">IFERROR(__xludf.DUMMYFUNCTION("""COMPUTED_VALUE"""),"Student")</f>
        <v>Student</v>
      </c>
      <c r="F2378" s="5" t="str">
        <f ca="1">IFERROR(__xludf.DUMMYFUNCTION("""COMPUTED_VALUE"""),"Fled/Apprehended")</f>
        <v>Fled/Apprehended</v>
      </c>
      <c r="G2378" s="5" t="str">
        <f ca="1">IFERROR(__xludf.DUMMYFUNCTION("""COMPUTED_VALUE"""),"No")</f>
        <v>No</v>
      </c>
      <c r="H2378" s="5" t="str">
        <f ca="1">IFERROR(__xludf.DUMMYFUNCTION("""COMPUTED_VALUE"""),"None")</f>
        <v>None</v>
      </c>
    </row>
    <row r="2379" spans="1:8" ht="13">
      <c r="A2379" s="5" t="str">
        <f ca="1">IFERROR(__xludf.DUMMYFUNCTION("""COMPUTED_VALUE"""),"19791203MDEAB")</f>
        <v>19791203MDEAB</v>
      </c>
      <c r="B2379" s="5" t="str">
        <f ca="1">IFERROR(__xludf.DUMMYFUNCTION("""COMPUTED_VALUE"""),"Teen")</f>
        <v>Teen</v>
      </c>
      <c r="C2379" s="5" t="str">
        <f ca="1">IFERROR(__xludf.DUMMYFUNCTION("""COMPUTED_VALUE"""),"Male")</f>
        <v>Male</v>
      </c>
      <c r="D2379" s="5"/>
      <c r="E2379" s="5" t="str">
        <f ca="1">IFERROR(__xludf.DUMMYFUNCTION("""COMPUTED_VALUE"""),"Student")</f>
        <v>Student</v>
      </c>
      <c r="F2379" s="5" t="str">
        <f ca="1">IFERROR(__xludf.DUMMYFUNCTION("""COMPUTED_VALUE"""),"Fled/Escaped")</f>
        <v>Fled/Escaped</v>
      </c>
      <c r="G2379" s="5" t="str">
        <f ca="1">IFERROR(__xludf.DUMMYFUNCTION("""COMPUTED_VALUE"""),"No")</f>
        <v>No</v>
      </c>
      <c r="H2379" s="5" t="str">
        <f ca="1">IFERROR(__xludf.DUMMYFUNCTION("""COMPUTED_VALUE"""),"None")</f>
        <v>None</v>
      </c>
    </row>
    <row r="2380" spans="1:8" ht="13">
      <c r="A2380" s="5" t="str">
        <f ca="1">IFERROR(__xludf.DUMMYFUNCTION("""COMPUTED_VALUE"""),"19791203MDEAB")</f>
        <v>19791203MDEAB</v>
      </c>
      <c r="B2380" s="5" t="str">
        <f ca="1">IFERROR(__xludf.DUMMYFUNCTION("""COMPUTED_VALUE"""),"Teen")</f>
        <v>Teen</v>
      </c>
      <c r="C2380" s="5" t="str">
        <f ca="1">IFERROR(__xludf.DUMMYFUNCTION("""COMPUTED_VALUE"""),"Male")</f>
        <v>Male</v>
      </c>
      <c r="D2380" s="5"/>
      <c r="E2380" s="5" t="str">
        <f ca="1">IFERROR(__xludf.DUMMYFUNCTION("""COMPUTED_VALUE"""),"Student")</f>
        <v>Student</v>
      </c>
      <c r="F2380" s="5" t="str">
        <f ca="1">IFERROR(__xludf.DUMMYFUNCTION("""COMPUTED_VALUE"""),"Fled/Escaped")</f>
        <v>Fled/Escaped</v>
      </c>
      <c r="G2380" s="5" t="str">
        <f ca="1">IFERROR(__xludf.DUMMYFUNCTION("""COMPUTED_VALUE"""),"No")</f>
        <v>No</v>
      </c>
      <c r="H2380" s="5" t="str">
        <f ca="1">IFERROR(__xludf.DUMMYFUNCTION("""COMPUTED_VALUE"""),"None")</f>
        <v>None</v>
      </c>
    </row>
    <row r="2381" spans="1:8" ht="13">
      <c r="A2381" s="5" t="str">
        <f ca="1">IFERROR(__xludf.DUMMYFUNCTION("""COMPUTED_VALUE"""),"19791203MDEAB")</f>
        <v>19791203MDEAB</v>
      </c>
      <c r="B2381" s="5" t="str">
        <f ca="1">IFERROR(__xludf.DUMMYFUNCTION("""COMPUTED_VALUE"""),"Teen")</f>
        <v>Teen</v>
      </c>
      <c r="C2381" s="5" t="str">
        <f ca="1">IFERROR(__xludf.DUMMYFUNCTION("""COMPUTED_VALUE"""),"Male")</f>
        <v>Male</v>
      </c>
      <c r="D2381" s="5"/>
      <c r="E2381" s="5" t="str">
        <f ca="1">IFERROR(__xludf.DUMMYFUNCTION("""COMPUTED_VALUE"""),"Student")</f>
        <v>Student</v>
      </c>
      <c r="F2381" s="5" t="str">
        <f ca="1">IFERROR(__xludf.DUMMYFUNCTION("""COMPUTED_VALUE"""),"Fled/Escaped")</f>
        <v>Fled/Escaped</v>
      </c>
      <c r="G2381" s="5" t="str">
        <f ca="1">IFERROR(__xludf.DUMMYFUNCTION("""COMPUTED_VALUE"""),"No")</f>
        <v>No</v>
      </c>
      <c r="H2381" s="5" t="str">
        <f ca="1">IFERROR(__xludf.DUMMYFUNCTION("""COMPUTED_VALUE"""),"None")</f>
        <v>None</v>
      </c>
    </row>
    <row r="2382" spans="1:8" ht="13">
      <c r="A2382" s="5" t="str">
        <f ca="1">IFERROR(__xludf.DUMMYFUNCTION("""COMPUTED_VALUE"""),"19791203MDEAB")</f>
        <v>19791203MDEAB</v>
      </c>
      <c r="B2382" s="5" t="str">
        <f ca="1">IFERROR(__xludf.DUMMYFUNCTION("""COMPUTED_VALUE"""),"Teen")</f>
        <v>Teen</v>
      </c>
      <c r="C2382" s="5" t="str">
        <f ca="1">IFERROR(__xludf.DUMMYFUNCTION("""COMPUTED_VALUE"""),"Male")</f>
        <v>Male</v>
      </c>
      <c r="D2382" s="5"/>
      <c r="E2382" s="5" t="str">
        <f ca="1">IFERROR(__xludf.DUMMYFUNCTION("""COMPUTED_VALUE"""),"Student")</f>
        <v>Student</v>
      </c>
      <c r="F2382" s="5" t="str">
        <f ca="1">IFERROR(__xludf.DUMMYFUNCTION("""COMPUTED_VALUE"""),"Fled/Escaped")</f>
        <v>Fled/Escaped</v>
      </c>
      <c r="G2382" s="5" t="str">
        <f ca="1">IFERROR(__xludf.DUMMYFUNCTION("""COMPUTED_VALUE"""),"No")</f>
        <v>No</v>
      </c>
      <c r="H2382" s="5" t="str">
        <f ca="1">IFERROR(__xludf.DUMMYFUNCTION("""COMPUTED_VALUE"""),"None")</f>
        <v>None</v>
      </c>
    </row>
    <row r="2383" spans="1:8" ht="13">
      <c r="A2383" s="5" t="str">
        <f ca="1">IFERROR(__xludf.DUMMYFUNCTION("""COMPUTED_VALUE"""),"19791130TXUNL")</f>
        <v>19791130TXUNL</v>
      </c>
      <c r="B2383" s="5">
        <f ca="1">IFERROR(__xludf.DUMMYFUNCTION("""COMPUTED_VALUE"""),14)</f>
        <v>14</v>
      </c>
      <c r="C2383" s="5" t="str">
        <f ca="1">IFERROR(__xludf.DUMMYFUNCTION("""COMPUTED_VALUE"""),"Male")</f>
        <v>Male</v>
      </c>
      <c r="D2383" s="5"/>
      <c r="E2383" s="5" t="str">
        <f ca="1">IFERROR(__xludf.DUMMYFUNCTION("""COMPUTED_VALUE"""),"Student")</f>
        <v>Student</v>
      </c>
      <c r="F2383" s="5" t="str">
        <f ca="1">IFERROR(__xludf.DUMMYFUNCTION("""COMPUTED_VALUE"""),"Surrendered")</f>
        <v>Surrendered</v>
      </c>
      <c r="G2383" s="5" t="str">
        <f ca="1">IFERROR(__xludf.DUMMYFUNCTION("""COMPUTED_VALUE"""),"No")</f>
        <v>No</v>
      </c>
      <c r="H2383" s="5" t="str">
        <f ca="1">IFERROR(__xludf.DUMMYFUNCTION("""COMPUTED_VALUE"""),"None")</f>
        <v>None</v>
      </c>
    </row>
    <row r="2384" spans="1:8" ht="13">
      <c r="A2384" s="5" t="str">
        <f ca="1">IFERROR(__xludf.DUMMYFUNCTION("""COMPUTED_VALUE"""),"19791105INWAI")</f>
        <v>19791105INWAI</v>
      </c>
      <c r="B2384" s="5">
        <f ca="1">IFERROR(__xludf.DUMMYFUNCTION("""COMPUTED_VALUE"""),18)</f>
        <v>18</v>
      </c>
      <c r="C2384" s="5" t="str">
        <f ca="1">IFERROR(__xludf.DUMMYFUNCTION("""COMPUTED_VALUE"""),"Male")</f>
        <v>Male</v>
      </c>
      <c r="D2384" s="5"/>
      <c r="E2384" s="5" t="str">
        <f ca="1">IFERROR(__xludf.DUMMYFUNCTION("""COMPUTED_VALUE"""),"Student")</f>
        <v>Student</v>
      </c>
      <c r="F2384" s="5" t="str">
        <f ca="1">IFERROR(__xludf.DUMMYFUNCTION("""COMPUTED_VALUE"""),"Fled/Apprehended")</f>
        <v>Fled/Apprehended</v>
      </c>
      <c r="G2384" s="5" t="str">
        <f ca="1">IFERROR(__xludf.DUMMYFUNCTION("""COMPUTED_VALUE"""),"No")</f>
        <v>No</v>
      </c>
      <c r="H2384" s="5" t="str">
        <f ca="1">IFERROR(__xludf.DUMMYFUNCTION("""COMPUTED_VALUE"""),"None")</f>
        <v>None</v>
      </c>
    </row>
    <row r="2385" spans="1:8" ht="13">
      <c r="A2385" s="5" t="str">
        <f ca="1">IFERROR(__xludf.DUMMYFUNCTION("""COMPUTED_VALUE"""),"19791023MOOFS")</f>
        <v>19791023MOOFS</v>
      </c>
      <c r="B2385" s="5">
        <f ca="1">IFERROR(__xludf.DUMMYFUNCTION("""COMPUTED_VALUE"""),16)</f>
        <v>16</v>
      </c>
      <c r="C2385" s="5" t="str">
        <f ca="1">IFERROR(__xludf.DUMMYFUNCTION("""COMPUTED_VALUE"""),"Male")</f>
        <v>Male</v>
      </c>
      <c r="D2385" s="5"/>
      <c r="E2385" s="5" t="str">
        <f ca="1">IFERROR(__xludf.DUMMYFUNCTION("""COMPUTED_VALUE"""),"Student")</f>
        <v>Student</v>
      </c>
      <c r="F2385" s="5" t="str">
        <f ca="1">IFERROR(__xludf.DUMMYFUNCTION("""COMPUTED_VALUE"""),"Fled/Apprehended")</f>
        <v>Fled/Apprehended</v>
      </c>
      <c r="G2385" s="5" t="str">
        <f ca="1">IFERROR(__xludf.DUMMYFUNCTION("""COMPUTED_VALUE"""),"No")</f>
        <v>No</v>
      </c>
      <c r="H2385" s="5" t="str">
        <f ca="1">IFERROR(__xludf.DUMMYFUNCTION("""COMPUTED_VALUE"""),"None")</f>
        <v>None</v>
      </c>
    </row>
    <row r="2386" spans="1:8" ht="13">
      <c r="A2386" s="5" t="str">
        <f ca="1">IFERROR(__xludf.DUMMYFUNCTION("""COMPUTED_VALUE"""),"19790928MACHC")</f>
        <v>19790928MACHC</v>
      </c>
      <c r="B2386" s="5" t="str">
        <f ca="1">IFERROR(__xludf.DUMMYFUNCTION("""COMPUTED_VALUE"""),"Teen")</f>
        <v>Teen</v>
      </c>
      <c r="C2386" s="5" t="str">
        <f ca="1">IFERROR(__xludf.DUMMYFUNCTION("""COMPUTED_VALUE"""),"Male")</f>
        <v>Male</v>
      </c>
      <c r="D2386" s="5" t="str">
        <f ca="1">IFERROR(__xludf.DUMMYFUNCTION("""COMPUTED_VALUE"""),"White")</f>
        <v>White</v>
      </c>
      <c r="E2386" s="5" t="str">
        <f ca="1">IFERROR(__xludf.DUMMYFUNCTION("""COMPUTED_VALUE"""),"Unknown")</f>
        <v>Unknown</v>
      </c>
      <c r="F2386" s="5" t="str">
        <f ca="1">IFERROR(__xludf.DUMMYFUNCTION("""COMPUTED_VALUE"""),"Fled/Escaped")</f>
        <v>Fled/Escaped</v>
      </c>
      <c r="G2386" s="5" t="str">
        <f ca="1">IFERROR(__xludf.DUMMYFUNCTION("""COMPUTED_VALUE"""),"No")</f>
        <v>No</v>
      </c>
      <c r="H2386" s="5" t="str">
        <f ca="1">IFERROR(__xludf.DUMMYFUNCTION("""COMPUTED_VALUE"""),"None")</f>
        <v>None</v>
      </c>
    </row>
    <row r="2387" spans="1:8" ht="13">
      <c r="A2387" s="5" t="str">
        <f ca="1">IFERROR(__xludf.DUMMYFUNCTION("""COMPUTED_VALUE"""),"19790928MACHC")</f>
        <v>19790928MACHC</v>
      </c>
      <c r="B2387" s="5" t="str">
        <f ca="1">IFERROR(__xludf.DUMMYFUNCTION("""COMPUTED_VALUE"""),"Teen")</f>
        <v>Teen</v>
      </c>
      <c r="C2387" s="5" t="str">
        <f ca="1">IFERROR(__xludf.DUMMYFUNCTION("""COMPUTED_VALUE"""),"Male")</f>
        <v>Male</v>
      </c>
      <c r="D2387" s="5" t="str">
        <f ca="1">IFERROR(__xludf.DUMMYFUNCTION("""COMPUTED_VALUE"""),"White")</f>
        <v>White</v>
      </c>
      <c r="E2387" s="5" t="str">
        <f ca="1">IFERROR(__xludf.DUMMYFUNCTION("""COMPUTED_VALUE"""),"Unknown")</f>
        <v>Unknown</v>
      </c>
      <c r="F2387" s="5" t="str">
        <f ca="1">IFERROR(__xludf.DUMMYFUNCTION("""COMPUTED_VALUE"""),"Fled/Escaped")</f>
        <v>Fled/Escaped</v>
      </c>
      <c r="G2387" s="5" t="str">
        <f ca="1">IFERROR(__xludf.DUMMYFUNCTION("""COMPUTED_VALUE"""),"No")</f>
        <v>No</v>
      </c>
      <c r="H2387" s="5" t="str">
        <f ca="1">IFERROR(__xludf.DUMMYFUNCTION("""COMPUTED_VALUE"""),"None")</f>
        <v>None</v>
      </c>
    </row>
    <row r="2388" spans="1:8" ht="13">
      <c r="A2388" s="5" t="str">
        <f ca="1">IFERROR(__xludf.DUMMYFUNCTION("""COMPUTED_VALUE"""),"19790926LACAN")</f>
        <v>19790926LACAN</v>
      </c>
      <c r="B2388" s="5">
        <f ca="1">IFERROR(__xludf.DUMMYFUNCTION("""COMPUTED_VALUE"""),13)</f>
        <v>13</v>
      </c>
      <c r="C2388" s="5" t="str">
        <f ca="1">IFERROR(__xludf.DUMMYFUNCTION("""COMPUTED_VALUE"""),"Male")</f>
        <v>Male</v>
      </c>
      <c r="D2388" s="5"/>
      <c r="E2388" s="5" t="str">
        <f ca="1">IFERROR(__xludf.DUMMYFUNCTION("""COMPUTED_VALUE"""),"Student")</f>
        <v>Student</v>
      </c>
      <c r="F2388" s="5" t="str">
        <f ca="1">IFERROR(__xludf.DUMMYFUNCTION("""COMPUTED_VALUE"""),"Surrendered")</f>
        <v>Surrendered</v>
      </c>
      <c r="G2388" s="5" t="str">
        <f ca="1">IFERROR(__xludf.DUMMYFUNCTION("""COMPUTED_VALUE"""),"No")</f>
        <v>No</v>
      </c>
      <c r="H2388" s="5" t="str">
        <f ca="1">IFERROR(__xludf.DUMMYFUNCTION("""COMPUTED_VALUE"""),"None")</f>
        <v>None</v>
      </c>
    </row>
    <row r="2389" spans="1:8" ht="13">
      <c r="A2389" s="5" t="str">
        <f ca="1">IFERROR(__xludf.DUMMYFUNCTION("""COMPUTED_VALUE"""),"19790926LACAN")</f>
        <v>19790926LACAN</v>
      </c>
      <c r="B2389" s="5">
        <f ca="1">IFERROR(__xludf.DUMMYFUNCTION("""COMPUTED_VALUE"""),15)</f>
        <v>15</v>
      </c>
      <c r="C2389" s="5" t="str">
        <f ca="1">IFERROR(__xludf.DUMMYFUNCTION("""COMPUTED_VALUE"""),"Male")</f>
        <v>Male</v>
      </c>
      <c r="D2389" s="5"/>
      <c r="E2389" s="5" t="str">
        <f ca="1">IFERROR(__xludf.DUMMYFUNCTION("""COMPUTED_VALUE"""),"Student")</f>
        <v>Student</v>
      </c>
      <c r="F2389" s="5" t="str">
        <f ca="1">IFERROR(__xludf.DUMMYFUNCTION("""COMPUTED_VALUE"""),"Surrendered")</f>
        <v>Surrendered</v>
      </c>
      <c r="G2389" s="5" t="str">
        <f ca="1">IFERROR(__xludf.DUMMYFUNCTION("""COMPUTED_VALUE"""),"No")</f>
        <v>No</v>
      </c>
      <c r="H2389" s="5" t="str">
        <f ca="1">IFERROR(__xludf.DUMMYFUNCTION("""COMPUTED_VALUE"""),"None")</f>
        <v>None</v>
      </c>
    </row>
    <row r="2390" spans="1:8" ht="13">
      <c r="A2390" s="5" t="str">
        <f ca="1">IFERROR(__xludf.DUMMYFUNCTION("""COMPUTED_VALUE"""),"19790614OHNEN")</f>
        <v>19790614OHNEN</v>
      </c>
      <c r="B2390" s="5">
        <f ca="1">IFERROR(__xludf.DUMMYFUNCTION("""COMPUTED_VALUE"""),13)</f>
        <v>13</v>
      </c>
      <c r="C2390" s="5" t="str">
        <f ca="1">IFERROR(__xludf.DUMMYFUNCTION("""COMPUTED_VALUE"""),"Male")</f>
        <v>Male</v>
      </c>
      <c r="D2390" s="5"/>
      <c r="E2390" s="5" t="str">
        <f ca="1">IFERROR(__xludf.DUMMYFUNCTION("""COMPUTED_VALUE"""),"Unknown")</f>
        <v>Unknown</v>
      </c>
      <c r="F2390" s="5" t="str">
        <f ca="1">IFERROR(__xludf.DUMMYFUNCTION("""COMPUTED_VALUE"""),"Fled/Apprehended")</f>
        <v>Fled/Apprehended</v>
      </c>
      <c r="G2390" s="5" t="str">
        <f ca="1">IFERROR(__xludf.DUMMYFUNCTION("""COMPUTED_VALUE"""),"No")</f>
        <v>No</v>
      </c>
      <c r="H2390" s="5" t="str">
        <f ca="1">IFERROR(__xludf.DUMMYFUNCTION("""COMPUTED_VALUE"""),"None")</f>
        <v>None</v>
      </c>
    </row>
    <row r="2391" spans="1:8" ht="13">
      <c r="A2391" s="5" t="str">
        <f ca="1">IFERROR(__xludf.DUMMYFUNCTION("""COMPUTED_VALUE"""),"19790426TXAZA")</f>
        <v>19790426TXAZA</v>
      </c>
      <c r="B2391" s="5">
        <f ca="1">IFERROR(__xludf.DUMMYFUNCTION("""COMPUTED_VALUE"""),14)</f>
        <v>14</v>
      </c>
      <c r="C2391" s="5" t="str">
        <f ca="1">IFERROR(__xludf.DUMMYFUNCTION("""COMPUTED_VALUE"""),"Male")</f>
        <v>Male</v>
      </c>
      <c r="D2391" s="5"/>
      <c r="E2391" s="5" t="str">
        <f ca="1">IFERROR(__xludf.DUMMYFUNCTION("""COMPUTED_VALUE"""),"Student")</f>
        <v>Student</v>
      </c>
      <c r="F2391" s="5" t="str">
        <f ca="1">IFERROR(__xludf.DUMMYFUNCTION("""COMPUTED_VALUE"""),"Fled/Apprehended")</f>
        <v>Fled/Apprehended</v>
      </c>
      <c r="G2391" s="5" t="str">
        <f ca="1">IFERROR(__xludf.DUMMYFUNCTION("""COMPUTED_VALUE"""),"No")</f>
        <v>No</v>
      </c>
      <c r="H2391" s="5" t="str">
        <f ca="1">IFERROR(__xludf.DUMMYFUNCTION("""COMPUTED_VALUE"""),"None")</f>
        <v>None</v>
      </c>
    </row>
    <row r="2392" spans="1:8" ht="13">
      <c r="A2392" s="5" t="str">
        <f ca="1">IFERROR(__xludf.DUMMYFUNCTION("""COMPUTED_VALUE"""),"19790425PAMAH")</f>
        <v>19790425PAMAH</v>
      </c>
      <c r="B2392" s="5"/>
      <c r="C2392" s="5"/>
      <c r="D2392" s="5"/>
      <c r="E2392" s="5" t="str">
        <f ca="1">IFERROR(__xludf.DUMMYFUNCTION("""COMPUTED_VALUE"""),"Unknown")</f>
        <v>Unknown</v>
      </c>
      <c r="F2392" s="5" t="str">
        <f ca="1">IFERROR(__xludf.DUMMYFUNCTION("""COMPUTED_VALUE"""),"Unknown")</f>
        <v>Unknown</v>
      </c>
      <c r="G2392" s="5" t="str">
        <f ca="1">IFERROR(__xludf.DUMMYFUNCTION("""COMPUTED_VALUE"""),"No")</f>
        <v>No</v>
      </c>
      <c r="H2392" s="5" t="str">
        <f ca="1">IFERROR(__xludf.DUMMYFUNCTION("""COMPUTED_VALUE"""),"None")</f>
        <v>None</v>
      </c>
    </row>
    <row r="2393" spans="1:8" ht="13">
      <c r="A2393" s="5" t="str">
        <f ca="1">IFERROR(__xludf.DUMMYFUNCTION("""COMPUTED_VALUE"""),"19790416WIWIM")</f>
        <v>19790416WIWIM</v>
      </c>
      <c r="B2393" s="5">
        <f ca="1">IFERROR(__xludf.DUMMYFUNCTION("""COMPUTED_VALUE"""),28)</f>
        <v>28</v>
      </c>
      <c r="C2393" s="5" t="str">
        <f ca="1">IFERROR(__xludf.DUMMYFUNCTION("""COMPUTED_VALUE"""),"Male")</f>
        <v>Male</v>
      </c>
      <c r="D2393" s="5"/>
      <c r="E2393" s="5" t="str">
        <f ca="1">IFERROR(__xludf.DUMMYFUNCTION("""COMPUTED_VALUE"""),"Other Staff")</f>
        <v>Other Staff</v>
      </c>
      <c r="F2393" s="5" t="str">
        <f ca="1">IFERROR(__xludf.DUMMYFUNCTION("""COMPUTED_VALUE"""),"Surrendered")</f>
        <v>Surrendered</v>
      </c>
      <c r="G2393" s="5" t="str">
        <f ca="1">IFERROR(__xludf.DUMMYFUNCTION("""COMPUTED_VALUE"""),"No")</f>
        <v>No</v>
      </c>
      <c r="H2393" s="5" t="str">
        <f ca="1">IFERROR(__xludf.DUMMYFUNCTION("""COMPUTED_VALUE"""),"None")</f>
        <v>None</v>
      </c>
    </row>
    <row r="2394" spans="1:8" ht="13">
      <c r="A2394" s="5" t="str">
        <f ca="1">IFERROR(__xludf.DUMMYFUNCTION("""COMPUTED_VALUE"""),"19790328CALOL")</f>
        <v>19790328CALOL</v>
      </c>
      <c r="B2394" s="5">
        <f ca="1">IFERROR(__xludf.DUMMYFUNCTION("""COMPUTED_VALUE"""),19)</f>
        <v>19</v>
      </c>
      <c r="C2394" s="5" t="str">
        <f ca="1">IFERROR(__xludf.DUMMYFUNCTION("""COMPUTED_VALUE"""),"Male")</f>
        <v>Male</v>
      </c>
      <c r="D2394" s="5"/>
      <c r="E2394" s="5" t="str">
        <f ca="1">IFERROR(__xludf.DUMMYFUNCTION("""COMPUTED_VALUE"""),"Unknown")</f>
        <v>Unknown</v>
      </c>
      <c r="F2394" s="5" t="str">
        <f ca="1">IFERROR(__xludf.DUMMYFUNCTION("""COMPUTED_VALUE"""),"Fled/Apprehended")</f>
        <v>Fled/Apprehended</v>
      </c>
      <c r="G2394" s="5" t="str">
        <f ca="1">IFERROR(__xludf.DUMMYFUNCTION("""COMPUTED_VALUE"""),"No")</f>
        <v>No</v>
      </c>
      <c r="H2394" s="5" t="str">
        <f ca="1">IFERROR(__xludf.DUMMYFUNCTION("""COMPUTED_VALUE"""),"None")</f>
        <v>None</v>
      </c>
    </row>
    <row r="2395" spans="1:8" ht="13">
      <c r="A2395" s="5" t="str">
        <f ca="1">IFERROR(__xludf.DUMMYFUNCTION("""COMPUTED_VALUE"""),"19790314FLMCM")</f>
        <v>19790314FLMCM</v>
      </c>
      <c r="B2395" s="5" t="str">
        <f ca="1">IFERROR(__xludf.DUMMYFUNCTION("""COMPUTED_VALUE"""),"Teen")</f>
        <v>Teen</v>
      </c>
      <c r="C2395" s="5" t="str">
        <f ca="1">IFERROR(__xludf.DUMMYFUNCTION("""COMPUTED_VALUE"""),"Male")</f>
        <v>Male</v>
      </c>
      <c r="D2395" s="5" t="str">
        <f ca="1">IFERROR(__xludf.DUMMYFUNCTION("""COMPUTED_VALUE"""),"Black")</f>
        <v>Black</v>
      </c>
      <c r="E2395" s="5" t="str">
        <f ca="1">IFERROR(__xludf.DUMMYFUNCTION("""COMPUTED_VALUE"""),"Unknown")</f>
        <v>Unknown</v>
      </c>
      <c r="F2395" s="5" t="str">
        <f ca="1">IFERROR(__xludf.DUMMYFUNCTION("""COMPUTED_VALUE"""),"Fled/Apprehended")</f>
        <v>Fled/Apprehended</v>
      </c>
      <c r="G2395" s="5" t="str">
        <f ca="1">IFERROR(__xludf.DUMMYFUNCTION("""COMPUTED_VALUE"""),"No")</f>
        <v>No</v>
      </c>
      <c r="H2395" s="5" t="str">
        <f ca="1">IFERROR(__xludf.DUMMYFUNCTION("""COMPUTED_VALUE"""),"None")</f>
        <v>None</v>
      </c>
    </row>
    <row r="2396" spans="1:8" ht="13">
      <c r="A2396" s="5" t="str">
        <f ca="1">IFERROR(__xludf.DUMMYFUNCTION("""COMPUTED_VALUE"""),"19790226CABAB")</f>
        <v>19790226CABAB</v>
      </c>
      <c r="B2396" s="5">
        <f ca="1">IFERROR(__xludf.DUMMYFUNCTION("""COMPUTED_VALUE"""),18)</f>
        <v>18</v>
      </c>
      <c r="C2396" s="5" t="str">
        <f ca="1">IFERROR(__xludf.DUMMYFUNCTION("""COMPUTED_VALUE"""),"Male")</f>
        <v>Male</v>
      </c>
      <c r="D2396" s="5" t="str">
        <f ca="1">IFERROR(__xludf.DUMMYFUNCTION("""COMPUTED_VALUE"""),"White")</f>
        <v>White</v>
      </c>
      <c r="E2396" s="5" t="str">
        <f ca="1">IFERROR(__xludf.DUMMYFUNCTION("""COMPUTED_VALUE"""),"Student")</f>
        <v>Student</v>
      </c>
      <c r="F2396" s="5" t="str">
        <f ca="1">IFERROR(__xludf.DUMMYFUNCTION("""COMPUTED_VALUE"""),"Fled/Apprehended")</f>
        <v>Fled/Apprehended</v>
      </c>
      <c r="G2396" s="5" t="str">
        <f ca="1">IFERROR(__xludf.DUMMYFUNCTION("""COMPUTED_VALUE"""),"No")</f>
        <v>No</v>
      </c>
      <c r="H2396" s="5" t="str">
        <f ca="1">IFERROR(__xludf.DUMMYFUNCTION("""COMPUTED_VALUE"""),"None")</f>
        <v>None</v>
      </c>
    </row>
    <row r="2397" spans="1:8" ht="13">
      <c r="A2397" s="5" t="str">
        <f ca="1">IFERROR(__xludf.DUMMYFUNCTION("""COMPUTED_VALUE"""),"19790129CAGRS")</f>
        <v>19790129CAGRS</v>
      </c>
      <c r="B2397" s="5">
        <f ca="1">IFERROR(__xludf.DUMMYFUNCTION("""COMPUTED_VALUE"""),16)</f>
        <v>16</v>
      </c>
      <c r="C2397" s="5" t="str">
        <f ca="1">IFERROR(__xludf.DUMMYFUNCTION("""COMPUTED_VALUE"""),"Female")</f>
        <v>Female</v>
      </c>
      <c r="D2397" s="5" t="str">
        <f ca="1">IFERROR(__xludf.DUMMYFUNCTION("""COMPUTED_VALUE"""),"White")</f>
        <v>White</v>
      </c>
      <c r="E2397" s="5" t="str">
        <f ca="1">IFERROR(__xludf.DUMMYFUNCTION("""COMPUTED_VALUE"""),"No Relation")</f>
        <v>No Relation</v>
      </c>
      <c r="F2397" s="5" t="str">
        <f ca="1">IFERROR(__xludf.DUMMYFUNCTION("""COMPUTED_VALUE"""),"Apprehended/Killed by LE")</f>
        <v>Apprehended/Killed by LE</v>
      </c>
      <c r="G2397" s="5" t="str">
        <f ca="1">IFERROR(__xludf.DUMMYFUNCTION("""COMPUTED_VALUE"""),"No")</f>
        <v>No</v>
      </c>
      <c r="H2397" s="5" t="str">
        <f ca="1">IFERROR(__xludf.DUMMYFUNCTION("""COMPUTED_VALUE"""),"None")</f>
        <v>None</v>
      </c>
    </row>
    <row r="2398" spans="1:8" ht="13">
      <c r="A2398" s="5" t="str">
        <f ca="1">IFERROR(__xludf.DUMMYFUNCTION("""COMPUTED_VALUE"""),"19781214CTWIN")</f>
        <v>19781214CTWIN</v>
      </c>
      <c r="B2398" s="5">
        <f ca="1">IFERROR(__xludf.DUMMYFUNCTION("""COMPUTED_VALUE"""),17)</f>
        <v>17</v>
      </c>
      <c r="C2398" s="5" t="str">
        <f ca="1">IFERROR(__xludf.DUMMYFUNCTION("""COMPUTED_VALUE"""),"Male")</f>
        <v>Male</v>
      </c>
      <c r="D2398" s="5"/>
      <c r="E2398" s="5" t="str">
        <f ca="1">IFERROR(__xludf.DUMMYFUNCTION("""COMPUTED_VALUE"""),"No Relation")</f>
        <v>No Relation</v>
      </c>
      <c r="F2398" s="5" t="str">
        <f ca="1">IFERROR(__xludf.DUMMYFUNCTION("""COMPUTED_VALUE"""),"Apprehended/Killed by LE")</f>
        <v>Apprehended/Killed by LE</v>
      </c>
      <c r="G2398" s="5" t="str">
        <f ca="1">IFERROR(__xludf.DUMMYFUNCTION("""COMPUTED_VALUE"""),"No")</f>
        <v>No</v>
      </c>
      <c r="H2398" s="5" t="str">
        <f ca="1">IFERROR(__xludf.DUMMYFUNCTION("""COMPUTED_VALUE"""),"None")</f>
        <v>None</v>
      </c>
    </row>
    <row r="2399" spans="1:8" ht="13">
      <c r="A2399" s="5" t="str">
        <f ca="1">IFERROR(__xludf.DUMMYFUNCTION("""COMPUTED_VALUE"""),"19781129NYPAN")</f>
        <v>19781129NYPAN</v>
      </c>
      <c r="B2399" s="5">
        <f ca="1">IFERROR(__xludf.DUMMYFUNCTION("""COMPUTED_VALUE"""),15)</f>
        <v>15</v>
      </c>
      <c r="C2399" s="5" t="str">
        <f ca="1">IFERROR(__xludf.DUMMYFUNCTION("""COMPUTED_VALUE"""),"Male")</f>
        <v>Male</v>
      </c>
      <c r="D2399" s="5"/>
      <c r="E2399" s="5" t="str">
        <f ca="1">IFERROR(__xludf.DUMMYFUNCTION("""COMPUTED_VALUE"""),"Student")</f>
        <v>Student</v>
      </c>
      <c r="F2399" s="5" t="str">
        <f ca="1">IFERROR(__xludf.DUMMYFUNCTION("""COMPUTED_VALUE"""),"Fled/Apprehended")</f>
        <v>Fled/Apprehended</v>
      </c>
      <c r="G2399" s="5" t="str">
        <f ca="1">IFERROR(__xludf.DUMMYFUNCTION("""COMPUTED_VALUE"""),"No")</f>
        <v>No</v>
      </c>
      <c r="H2399" s="5" t="str">
        <f ca="1">IFERROR(__xludf.DUMMYFUNCTION("""COMPUTED_VALUE"""),"None")</f>
        <v>None</v>
      </c>
    </row>
    <row r="2400" spans="1:8" ht="13">
      <c r="A2400" s="5" t="str">
        <f ca="1">IFERROR(__xludf.DUMMYFUNCTION("""COMPUTED_VALUE"""),"19781017MOUNU")</f>
        <v>19781017MOUNU</v>
      </c>
      <c r="B2400" s="5" t="str">
        <f ca="1">IFERROR(__xludf.DUMMYFUNCTION("""COMPUTED_VALUE"""),"Teen")</f>
        <v>Teen</v>
      </c>
      <c r="C2400" s="5" t="str">
        <f ca="1">IFERROR(__xludf.DUMMYFUNCTION("""COMPUTED_VALUE"""),"Male")</f>
        <v>Male</v>
      </c>
      <c r="D2400" s="5" t="str">
        <f ca="1">IFERROR(__xludf.DUMMYFUNCTION("""COMPUTED_VALUE"""),"White")</f>
        <v>White</v>
      </c>
      <c r="E2400" s="5" t="str">
        <f ca="1">IFERROR(__xludf.DUMMYFUNCTION("""COMPUTED_VALUE"""),"Former Student")</f>
        <v>Former Student</v>
      </c>
      <c r="F2400" s="5" t="str">
        <f ca="1">IFERROR(__xludf.DUMMYFUNCTION("""COMPUTED_VALUE"""),"Fled/Escaped")</f>
        <v>Fled/Escaped</v>
      </c>
      <c r="G2400" s="5" t="str">
        <f ca="1">IFERROR(__xludf.DUMMYFUNCTION("""COMPUTED_VALUE"""),"No")</f>
        <v>No</v>
      </c>
      <c r="H2400" s="5" t="str">
        <f ca="1">IFERROR(__xludf.DUMMYFUNCTION("""COMPUTED_VALUE"""),"None")</f>
        <v>None</v>
      </c>
    </row>
    <row r="2401" spans="1:8" ht="13">
      <c r="A2401" s="5" t="str">
        <f ca="1">IFERROR(__xludf.DUMMYFUNCTION("""COMPUTED_VALUE"""),"19781017ALLAL")</f>
        <v>19781017ALLAL</v>
      </c>
      <c r="B2401" s="5">
        <f ca="1">IFERROR(__xludf.DUMMYFUNCTION("""COMPUTED_VALUE"""),13)</f>
        <v>13</v>
      </c>
      <c r="C2401" s="5" t="str">
        <f ca="1">IFERROR(__xludf.DUMMYFUNCTION("""COMPUTED_VALUE"""),"Male")</f>
        <v>Male</v>
      </c>
      <c r="D2401" s="5" t="str">
        <f ca="1">IFERROR(__xludf.DUMMYFUNCTION("""COMPUTED_VALUE"""),"White")</f>
        <v>White</v>
      </c>
      <c r="E2401" s="5" t="str">
        <f ca="1">IFERROR(__xludf.DUMMYFUNCTION("""COMPUTED_VALUE"""),"Student")</f>
        <v>Student</v>
      </c>
      <c r="F2401" s="5" t="str">
        <f ca="1">IFERROR(__xludf.DUMMYFUNCTION("""COMPUTED_VALUE"""),"Fled/Apprehended")</f>
        <v>Fled/Apprehended</v>
      </c>
      <c r="G2401" s="5" t="str">
        <f ca="1">IFERROR(__xludf.DUMMYFUNCTION("""COMPUTED_VALUE"""),"No")</f>
        <v>No</v>
      </c>
      <c r="H2401" s="5" t="str">
        <f ca="1">IFERROR(__xludf.DUMMYFUNCTION("""COMPUTED_VALUE"""),"None")</f>
        <v>None</v>
      </c>
    </row>
    <row r="2402" spans="1:8" ht="13">
      <c r="A2402" s="5" t="str">
        <f ca="1">IFERROR(__xludf.DUMMYFUNCTION("""COMPUTED_VALUE"""),"19780610MAWEW")</f>
        <v>19780610MAWEW</v>
      </c>
      <c r="B2402" s="5">
        <f ca="1">IFERROR(__xludf.DUMMYFUNCTION("""COMPUTED_VALUE"""),17)</f>
        <v>17</v>
      </c>
      <c r="C2402" s="5" t="str">
        <f ca="1">IFERROR(__xludf.DUMMYFUNCTION("""COMPUTED_VALUE"""),"Male")</f>
        <v>Male</v>
      </c>
      <c r="D2402" s="5"/>
      <c r="E2402" s="5" t="str">
        <f ca="1">IFERROR(__xludf.DUMMYFUNCTION("""COMPUTED_VALUE"""),"Student")</f>
        <v>Student</v>
      </c>
      <c r="F2402" s="5" t="str">
        <f ca="1">IFERROR(__xludf.DUMMYFUNCTION("""COMPUTED_VALUE"""),"Attempted Suicide")</f>
        <v>Attempted Suicide</v>
      </c>
      <c r="G2402" s="5" t="str">
        <f ca="1">IFERROR(__xludf.DUMMYFUNCTION("""COMPUTED_VALUE"""),"No")</f>
        <v>No</v>
      </c>
      <c r="H2402" s="5" t="str">
        <f ca="1">IFERROR(__xludf.DUMMYFUNCTION("""COMPUTED_VALUE"""),"Wounded")</f>
        <v>Wounded</v>
      </c>
    </row>
    <row r="2403" spans="1:8" ht="13">
      <c r="A2403" s="5" t="str">
        <f ca="1">IFERROR(__xludf.DUMMYFUNCTION("""COMPUTED_VALUE"""),"19780607DEDOD")</f>
        <v>19780607DEDOD</v>
      </c>
      <c r="B2403" s="5">
        <f ca="1">IFERROR(__xludf.DUMMYFUNCTION("""COMPUTED_VALUE"""),17)</f>
        <v>17</v>
      </c>
      <c r="C2403" s="5" t="str">
        <f ca="1">IFERROR(__xludf.DUMMYFUNCTION("""COMPUTED_VALUE"""),"Male")</f>
        <v>Male</v>
      </c>
      <c r="D2403" s="5"/>
      <c r="E2403" s="5" t="str">
        <f ca="1">IFERROR(__xludf.DUMMYFUNCTION("""COMPUTED_VALUE"""),"Student")</f>
        <v>Student</v>
      </c>
      <c r="F2403" s="5" t="str">
        <f ca="1">IFERROR(__xludf.DUMMYFUNCTION("""COMPUTED_VALUE"""),"Unknown")</f>
        <v>Unknown</v>
      </c>
      <c r="G2403" s="5" t="str">
        <f ca="1">IFERROR(__xludf.DUMMYFUNCTION("""COMPUTED_VALUE"""),"No")</f>
        <v>No</v>
      </c>
      <c r="H2403" s="5" t="str">
        <f ca="1">IFERROR(__xludf.DUMMYFUNCTION("""COMPUTED_VALUE"""),"None")</f>
        <v>None</v>
      </c>
    </row>
    <row r="2404" spans="1:8" ht="13">
      <c r="A2404" s="5" t="str">
        <f ca="1">IFERROR(__xludf.DUMMYFUNCTION("""COMPUTED_VALUE"""),"19780519PADOP")</f>
        <v>19780519PADOP</v>
      </c>
      <c r="B2404" s="5"/>
      <c r="C2404" s="5"/>
      <c r="D2404" s="5"/>
      <c r="E2404" s="5" t="str">
        <f ca="1">IFERROR(__xludf.DUMMYFUNCTION("""COMPUTED_VALUE"""),"Unknown")</f>
        <v>Unknown</v>
      </c>
      <c r="F2404" s="5" t="str">
        <f ca="1">IFERROR(__xludf.DUMMYFUNCTION("""COMPUTED_VALUE"""),"Fled/Escaped")</f>
        <v>Fled/Escaped</v>
      </c>
      <c r="G2404" s="5" t="str">
        <f ca="1">IFERROR(__xludf.DUMMYFUNCTION("""COMPUTED_VALUE"""),"No")</f>
        <v>No</v>
      </c>
      <c r="H2404" s="5" t="str">
        <f ca="1">IFERROR(__xludf.DUMMYFUNCTION("""COMPUTED_VALUE"""),"None")</f>
        <v>None</v>
      </c>
    </row>
    <row r="2405" spans="1:8" ht="13">
      <c r="A2405" s="5" t="str">
        <f ca="1">IFERROR(__xludf.DUMMYFUNCTION("""COMPUTED_VALUE"""),"19780518TXMUA")</f>
        <v>19780518TXMUA</v>
      </c>
      <c r="B2405" s="5">
        <f ca="1">IFERROR(__xludf.DUMMYFUNCTION("""COMPUTED_VALUE"""),13)</f>
        <v>13</v>
      </c>
      <c r="C2405" s="5" t="str">
        <f ca="1">IFERROR(__xludf.DUMMYFUNCTION("""COMPUTED_VALUE"""),"Male")</f>
        <v>Male</v>
      </c>
      <c r="D2405" s="5" t="str">
        <f ca="1">IFERROR(__xludf.DUMMYFUNCTION("""COMPUTED_VALUE"""),"White")</f>
        <v>White</v>
      </c>
      <c r="E2405" s="5" t="str">
        <f ca="1">IFERROR(__xludf.DUMMYFUNCTION("""COMPUTED_VALUE"""),"Student")</f>
        <v>Student</v>
      </c>
      <c r="F2405" s="5" t="str">
        <f ca="1">IFERROR(__xludf.DUMMYFUNCTION("""COMPUTED_VALUE"""),"Fled/Apprehended")</f>
        <v>Fled/Apprehended</v>
      </c>
      <c r="G2405" s="5" t="str">
        <f ca="1">IFERROR(__xludf.DUMMYFUNCTION("""COMPUTED_VALUE"""),"No")</f>
        <v>No</v>
      </c>
      <c r="H2405" s="5" t="str">
        <f ca="1">IFERROR(__xludf.DUMMYFUNCTION("""COMPUTED_VALUE"""),"None")</f>
        <v>None</v>
      </c>
    </row>
    <row r="2406" spans="1:8" ht="13">
      <c r="A2406" s="5" t="str">
        <f ca="1">IFERROR(__xludf.DUMMYFUNCTION("""COMPUTED_VALUE"""),"19780428ILRIN")</f>
        <v>19780428ILRIN</v>
      </c>
      <c r="B2406" s="5" t="str">
        <f ca="1">IFERROR(__xludf.DUMMYFUNCTION("""COMPUTED_VALUE"""),"Teen")</f>
        <v>Teen</v>
      </c>
      <c r="C2406" s="5" t="str">
        <f ca="1">IFERROR(__xludf.DUMMYFUNCTION("""COMPUTED_VALUE"""),"Male")</f>
        <v>Male</v>
      </c>
      <c r="D2406" s="5"/>
      <c r="E2406" s="5" t="str">
        <f ca="1">IFERROR(__xludf.DUMMYFUNCTION("""COMPUTED_VALUE"""),"Student")</f>
        <v>Student</v>
      </c>
      <c r="F2406" s="5" t="str">
        <f ca="1">IFERROR(__xludf.DUMMYFUNCTION("""COMPUTED_VALUE"""),"Unknown")</f>
        <v>Unknown</v>
      </c>
      <c r="G2406" s="5" t="str">
        <f ca="1">IFERROR(__xludf.DUMMYFUNCTION("""COMPUTED_VALUE"""),"No")</f>
        <v>No</v>
      </c>
      <c r="H2406" s="5" t="str">
        <f ca="1">IFERROR(__xludf.DUMMYFUNCTION("""COMPUTED_VALUE"""),"None")</f>
        <v>None</v>
      </c>
    </row>
    <row r="2407" spans="1:8" ht="13">
      <c r="A2407" s="5" t="str">
        <f ca="1">IFERROR(__xludf.DUMMYFUNCTION("""COMPUTED_VALUE"""),"19780426TXPAD")</f>
        <v>19780426TXPAD</v>
      </c>
      <c r="B2407" s="5">
        <f ca="1">IFERROR(__xludf.DUMMYFUNCTION("""COMPUTED_VALUE"""),56)</f>
        <v>56</v>
      </c>
      <c r="C2407" s="5" t="str">
        <f ca="1">IFERROR(__xludf.DUMMYFUNCTION("""COMPUTED_VALUE"""),"Female")</f>
        <v>Female</v>
      </c>
      <c r="D2407" s="5"/>
      <c r="E2407" s="5" t="str">
        <f ca="1">IFERROR(__xludf.DUMMYFUNCTION("""COMPUTED_VALUE"""),"Relative")</f>
        <v>Relative</v>
      </c>
      <c r="F2407" s="5" t="str">
        <f ca="1">IFERROR(__xludf.DUMMYFUNCTION("""COMPUTED_VALUE"""),"Surrendered")</f>
        <v>Surrendered</v>
      </c>
      <c r="G2407" s="5" t="str">
        <f ca="1">IFERROR(__xludf.DUMMYFUNCTION("""COMPUTED_VALUE"""),"No")</f>
        <v>No</v>
      </c>
      <c r="H2407" s="5" t="str">
        <f ca="1">IFERROR(__xludf.DUMMYFUNCTION("""COMPUTED_VALUE"""),"None")</f>
        <v>None</v>
      </c>
    </row>
    <row r="2408" spans="1:8" ht="13">
      <c r="A2408" s="5" t="str">
        <f ca="1">IFERROR(__xludf.DUMMYFUNCTION("""COMPUTED_VALUE"""),"19780414MIFOD")</f>
        <v>19780414MIFOD</v>
      </c>
      <c r="B2408" s="5">
        <f ca="1">IFERROR(__xludf.DUMMYFUNCTION("""COMPUTED_VALUE"""),16)</f>
        <v>16</v>
      </c>
      <c r="C2408" s="5" t="str">
        <f ca="1">IFERROR(__xludf.DUMMYFUNCTION("""COMPUTED_VALUE"""),"Male")</f>
        <v>Male</v>
      </c>
      <c r="D2408" s="5"/>
      <c r="E2408" s="5" t="str">
        <f ca="1">IFERROR(__xludf.DUMMYFUNCTION("""COMPUTED_VALUE"""),"Student")</f>
        <v>Student</v>
      </c>
      <c r="F2408" s="5" t="str">
        <f ca="1">IFERROR(__xludf.DUMMYFUNCTION("""COMPUTED_VALUE"""),"Unknown")</f>
        <v>Unknown</v>
      </c>
      <c r="G2408" s="5" t="str">
        <f ca="1">IFERROR(__xludf.DUMMYFUNCTION("""COMPUTED_VALUE"""),"No")</f>
        <v>No</v>
      </c>
      <c r="H2408" s="5" t="str">
        <f ca="1">IFERROR(__xludf.DUMMYFUNCTION("""COMPUTED_VALUE"""),"None")</f>
        <v>None</v>
      </c>
    </row>
    <row r="2409" spans="1:8" ht="13">
      <c r="A2409" s="5" t="str">
        <f ca="1">IFERROR(__xludf.DUMMYFUNCTION("""COMPUTED_VALUE"""),"19780329TNGAN")</f>
        <v>19780329TNGAN</v>
      </c>
      <c r="B2409" s="5" t="str">
        <f ca="1">IFERROR(__xludf.DUMMYFUNCTION("""COMPUTED_VALUE"""),"Adult")</f>
        <v>Adult</v>
      </c>
      <c r="C2409" s="5" t="str">
        <f ca="1">IFERROR(__xludf.DUMMYFUNCTION("""COMPUTED_VALUE"""),"Male")</f>
        <v>Male</v>
      </c>
      <c r="D2409" s="5" t="str">
        <f ca="1">IFERROR(__xludf.DUMMYFUNCTION("""COMPUTED_VALUE"""),"Black")</f>
        <v>Black</v>
      </c>
      <c r="E2409" s="5" t="str">
        <f ca="1">IFERROR(__xludf.DUMMYFUNCTION("""COMPUTED_VALUE"""),"Other Staff")</f>
        <v>Other Staff</v>
      </c>
      <c r="F2409" s="5" t="str">
        <f ca="1">IFERROR(__xludf.DUMMYFUNCTION("""COMPUTED_VALUE"""),"Surrendered")</f>
        <v>Surrendered</v>
      </c>
      <c r="G2409" s="5" t="str">
        <f ca="1">IFERROR(__xludf.DUMMYFUNCTION("""COMPUTED_VALUE"""),"No")</f>
        <v>No</v>
      </c>
      <c r="H2409" s="5" t="str">
        <f ca="1">IFERROR(__xludf.DUMMYFUNCTION("""COMPUTED_VALUE"""),"None")</f>
        <v>None</v>
      </c>
    </row>
    <row r="2410" spans="1:8" ht="13">
      <c r="A2410" s="5" t="str">
        <f ca="1">IFERROR(__xludf.DUMMYFUNCTION("""COMPUTED_VALUE"""),"19780309CAMOS")</f>
        <v>19780309CAMOS</v>
      </c>
      <c r="B2410" s="5">
        <f ca="1">IFERROR(__xludf.DUMMYFUNCTION("""COMPUTED_VALUE"""),14)</f>
        <v>14</v>
      </c>
      <c r="C2410" s="5" t="str">
        <f ca="1">IFERROR(__xludf.DUMMYFUNCTION("""COMPUTED_VALUE"""),"Male")</f>
        <v>Male</v>
      </c>
      <c r="D2410" s="5"/>
      <c r="E2410" s="5" t="str">
        <f ca="1">IFERROR(__xludf.DUMMYFUNCTION("""COMPUTED_VALUE"""),"No Relation")</f>
        <v>No Relation</v>
      </c>
      <c r="F2410" s="5" t="str">
        <f ca="1">IFERROR(__xludf.DUMMYFUNCTION("""COMPUTED_VALUE"""),"Surrendered")</f>
        <v>Surrendered</v>
      </c>
      <c r="G2410" s="5" t="str">
        <f ca="1">IFERROR(__xludf.DUMMYFUNCTION("""COMPUTED_VALUE"""),"No")</f>
        <v>No</v>
      </c>
      <c r="H2410" s="5" t="str">
        <f ca="1">IFERROR(__xludf.DUMMYFUNCTION("""COMPUTED_VALUE"""),"None")</f>
        <v>None</v>
      </c>
    </row>
    <row r="2411" spans="1:8" ht="13">
      <c r="A2411" s="5" t="str">
        <f ca="1">IFERROR(__xludf.DUMMYFUNCTION("""COMPUTED_VALUE"""),"19780222MIEVL")</f>
        <v>19780222MIEVL</v>
      </c>
      <c r="B2411" s="5">
        <f ca="1">IFERROR(__xludf.DUMMYFUNCTION("""COMPUTED_VALUE"""),15)</f>
        <v>15</v>
      </c>
      <c r="C2411" s="5" t="str">
        <f ca="1">IFERROR(__xludf.DUMMYFUNCTION("""COMPUTED_VALUE"""),"Male")</f>
        <v>Male</v>
      </c>
      <c r="D2411" s="5" t="str">
        <f ca="1">IFERROR(__xludf.DUMMYFUNCTION("""COMPUTED_VALUE"""),"White")</f>
        <v>White</v>
      </c>
      <c r="E2411" s="5" t="str">
        <f ca="1">IFERROR(__xludf.DUMMYFUNCTION("""COMPUTED_VALUE"""),"Student")</f>
        <v>Student</v>
      </c>
      <c r="F2411" s="5" t="str">
        <f ca="1">IFERROR(__xludf.DUMMYFUNCTION("""COMPUTED_VALUE"""),"Surrendered")</f>
        <v>Surrendered</v>
      </c>
      <c r="G2411" s="5" t="str">
        <f ca="1">IFERROR(__xludf.DUMMYFUNCTION("""COMPUTED_VALUE"""),"No")</f>
        <v>No</v>
      </c>
      <c r="H2411" s="5" t="str">
        <f ca="1">IFERROR(__xludf.DUMMYFUNCTION("""COMPUTED_VALUE"""),"None")</f>
        <v>None</v>
      </c>
    </row>
    <row r="2412" spans="1:8" ht="13">
      <c r="A2412" s="5" t="str">
        <f ca="1">IFERROR(__xludf.DUMMYFUNCTION("""COMPUTED_VALUE"""),"19780209WVHAS")</f>
        <v>19780209WVHAS</v>
      </c>
      <c r="B2412" s="5">
        <f ca="1">IFERROR(__xludf.DUMMYFUNCTION("""COMPUTED_VALUE"""),15)</f>
        <v>15</v>
      </c>
      <c r="C2412" s="5" t="str">
        <f ca="1">IFERROR(__xludf.DUMMYFUNCTION("""COMPUTED_VALUE"""),"Male")</f>
        <v>Male</v>
      </c>
      <c r="D2412" s="5" t="str">
        <f ca="1">IFERROR(__xludf.DUMMYFUNCTION("""COMPUTED_VALUE"""),"White")</f>
        <v>White</v>
      </c>
      <c r="E2412" s="5" t="str">
        <f ca="1">IFERROR(__xludf.DUMMYFUNCTION("""COMPUTED_VALUE"""),"Student")</f>
        <v>Student</v>
      </c>
      <c r="F2412" s="5" t="str">
        <f ca="1">IFERROR(__xludf.DUMMYFUNCTION("""COMPUTED_VALUE"""),"Fled/Apprehended")</f>
        <v>Fled/Apprehended</v>
      </c>
      <c r="G2412" s="5" t="str">
        <f ca="1">IFERROR(__xludf.DUMMYFUNCTION("""COMPUTED_VALUE"""),"No")</f>
        <v>No</v>
      </c>
      <c r="H2412" s="5" t="str">
        <f ca="1">IFERROR(__xludf.DUMMYFUNCTION("""COMPUTED_VALUE"""),"None")</f>
        <v>None</v>
      </c>
    </row>
    <row r="2413" spans="1:8" ht="13">
      <c r="A2413" s="5" t="str">
        <f ca="1">IFERROR(__xludf.DUMMYFUNCTION("""COMPUTED_VALUE"""),"19780111KYCHH")</f>
        <v>19780111KYCHH</v>
      </c>
      <c r="B2413" s="5">
        <f ca="1">IFERROR(__xludf.DUMMYFUNCTION("""COMPUTED_VALUE"""),16)</f>
        <v>16</v>
      </c>
      <c r="C2413" s="5" t="str">
        <f ca="1">IFERROR(__xludf.DUMMYFUNCTION("""COMPUTED_VALUE"""),"Male")</f>
        <v>Male</v>
      </c>
      <c r="D2413" s="5"/>
      <c r="E2413" s="5" t="str">
        <f ca="1">IFERROR(__xludf.DUMMYFUNCTION("""COMPUTED_VALUE"""),"Student")</f>
        <v>Student</v>
      </c>
      <c r="F2413" s="5" t="str">
        <f ca="1">IFERROR(__xludf.DUMMYFUNCTION("""COMPUTED_VALUE"""),"Subdued by Students/Staff/Other")</f>
        <v>Subdued by Students/Staff/Other</v>
      </c>
      <c r="G2413" s="5" t="str">
        <f ca="1">IFERROR(__xludf.DUMMYFUNCTION("""COMPUTED_VALUE"""),"No")</f>
        <v>No</v>
      </c>
      <c r="H2413" s="5" t="str">
        <f ca="1">IFERROR(__xludf.DUMMYFUNCTION("""COMPUTED_VALUE"""),"None")</f>
        <v>None</v>
      </c>
    </row>
    <row r="2414" spans="1:8" ht="13">
      <c r="A2414" s="5" t="str">
        <f ca="1">IFERROR(__xludf.DUMMYFUNCTION("""COMPUTED_VALUE"""),"19771215MABLC")</f>
        <v>19771215MABLC</v>
      </c>
      <c r="B2414" s="5"/>
      <c r="C2414" s="5" t="str">
        <f ca="1">IFERROR(__xludf.DUMMYFUNCTION("""COMPUTED_VALUE"""),"Male")</f>
        <v>Male</v>
      </c>
      <c r="D2414" s="5"/>
      <c r="E2414" s="5" t="str">
        <f ca="1">IFERROR(__xludf.DUMMYFUNCTION("""COMPUTED_VALUE"""),"Unknown")</f>
        <v>Unknown</v>
      </c>
      <c r="F2414" s="5" t="str">
        <f ca="1">IFERROR(__xludf.DUMMYFUNCTION("""COMPUTED_VALUE"""),"Fled/Escaped")</f>
        <v>Fled/Escaped</v>
      </c>
      <c r="G2414" s="5" t="str">
        <f ca="1">IFERROR(__xludf.DUMMYFUNCTION("""COMPUTED_VALUE"""),"No")</f>
        <v>No</v>
      </c>
      <c r="H2414" s="5" t="str">
        <f ca="1">IFERROR(__xludf.DUMMYFUNCTION("""COMPUTED_VALUE"""),"None")</f>
        <v>None</v>
      </c>
    </row>
    <row r="2415" spans="1:8" ht="13">
      <c r="A2415" s="5" t="str">
        <f ca="1">IFERROR(__xludf.DUMMYFUNCTION("""COMPUTED_VALUE"""),"19771212FLWEW")</f>
        <v>19771212FLWEW</v>
      </c>
      <c r="B2415" s="5">
        <f ca="1">IFERROR(__xludf.DUMMYFUNCTION("""COMPUTED_VALUE"""),41)</f>
        <v>41</v>
      </c>
      <c r="C2415" s="5" t="str">
        <f ca="1">IFERROR(__xludf.DUMMYFUNCTION("""COMPUTED_VALUE"""),"Male")</f>
        <v>Male</v>
      </c>
      <c r="D2415" s="5"/>
      <c r="E2415" s="5" t="str">
        <f ca="1">IFERROR(__xludf.DUMMYFUNCTION("""COMPUTED_VALUE"""),"Other Staff")</f>
        <v>Other Staff</v>
      </c>
      <c r="F2415" s="5" t="str">
        <f ca="1">IFERROR(__xludf.DUMMYFUNCTION("""COMPUTED_VALUE"""),"Surrendered")</f>
        <v>Surrendered</v>
      </c>
      <c r="G2415" s="5" t="str">
        <f ca="1">IFERROR(__xludf.DUMMYFUNCTION("""COMPUTED_VALUE"""),"No")</f>
        <v>No</v>
      </c>
      <c r="H2415" s="5" t="str">
        <f ca="1">IFERROR(__xludf.DUMMYFUNCTION("""COMPUTED_VALUE"""),"None")</f>
        <v>None</v>
      </c>
    </row>
    <row r="2416" spans="1:8" ht="13">
      <c r="A2416" s="5" t="str">
        <f ca="1">IFERROR(__xludf.DUMMYFUNCTION("""COMPUTED_VALUE"""),"19771209CAPES")</f>
        <v>19771209CAPES</v>
      </c>
      <c r="B2416" s="5">
        <f ca="1">IFERROR(__xludf.DUMMYFUNCTION("""COMPUTED_VALUE"""),40)</f>
        <v>40</v>
      </c>
      <c r="C2416" s="5" t="str">
        <f ca="1">IFERROR(__xludf.DUMMYFUNCTION("""COMPUTED_VALUE"""),"Male")</f>
        <v>Male</v>
      </c>
      <c r="D2416" s="5"/>
      <c r="E2416" s="5" t="str">
        <f ca="1">IFERROR(__xludf.DUMMYFUNCTION("""COMPUTED_VALUE"""),"Intimate Relationship")</f>
        <v>Intimate Relationship</v>
      </c>
      <c r="F2416" s="5" t="str">
        <f ca="1">IFERROR(__xludf.DUMMYFUNCTION("""COMPUTED_VALUE"""),"Subdued by Students/Staff/Other")</f>
        <v>Subdued by Students/Staff/Other</v>
      </c>
      <c r="G2416" s="5" t="str">
        <f ca="1">IFERROR(__xludf.DUMMYFUNCTION("""COMPUTED_VALUE"""),"No")</f>
        <v>No</v>
      </c>
      <c r="H2416" s="5" t="str">
        <f ca="1">IFERROR(__xludf.DUMMYFUNCTION("""COMPUTED_VALUE"""),"None")</f>
        <v>None</v>
      </c>
    </row>
    <row r="2417" spans="1:8" ht="13">
      <c r="A2417" s="5" t="str">
        <f ca="1">IFERROR(__xludf.DUMMYFUNCTION("""COMPUTED_VALUE"""),"19771129MOVAS")</f>
        <v>19771129MOVAS</v>
      </c>
      <c r="B2417" s="5">
        <f ca="1">IFERROR(__xludf.DUMMYFUNCTION("""COMPUTED_VALUE"""),18)</f>
        <v>18</v>
      </c>
      <c r="C2417" s="5" t="str">
        <f ca="1">IFERROR(__xludf.DUMMYFUNCTION("""COMPUTED_VALUE"""),"Male")</f>
        <v>Male</v>
      </c>
      <c r="D2417" s="5"/>
      <c r="E2417" s="5" t="str">
        <f ca="1">IFERROR(__xludf.DUMMYFUNCTION("""COMPUTED_VALUE"""),"Student")</f>
        <v>Student</v>
      </c>
      <c r="F2417" s="5" t="str">
        <f ca="1">IFERROR(__xludf.DUMMYFUNCTION("""COMPUTED_VALUE"""),"Unknown")</f>
        <v>Unknown</v>
      </c>
      <c r="G2417" s="5" t="str">
        <f ca="1">IFERROR(__xludf.DUMMYFUNCTION("""COMPUTED_VALUE"""),"No")</f>
        <v>No</v>
      </c>
      <c r="H2417" s="5" t="str">
        <f ca="1">IFERROR(__xludf.DUMMYFUNCTION("""COMPUTED_VALUE"""),"None")</f>
        <v>None</v>
      </c>
    </row>
    <row r="2418" spans="1:8" ht="13">
      <c r="A2418" s="5" t="str">
        <f ca="1">IFERROR(__xludf.DUMMYFUNCTION("""COMPUTED_VALUE"""),"19771129MOHAS")</f>
        <v>19771129MOHAS</v>
      </c>
      <c r="B2418" s="5">
        <f ca="1">IFERROR(__xludf.DUMMYFUNCTION("""COMPUTED_VALUE"""),19)</f>
        <v>19</v>
      </c>
      <c r="C2418" s="5" t="str">
        <f ca="1">IFERROR(__xludf.DUMMYFUNCTION("""COMPUTED_VALUE"""),"Male")</f>
        <v>Male</v>
      </c>
      <c r="D2418" s="5"/>
      <c r="E2418" s="5" t="str">
        <f ca="1">IFERROR(__xludf.DUMMYFUNCTION("""COMPUTED_VALUE"""),"Former Student")</f>
        <v>Former Student</v>
      </c>
      <c r="F2418" s="5" t="str">
        <f ca="1">IFERROR(__xludf.DUMMYFUNCTION("""COMPUTED_VALUE"""),"Apprehended/Killed by LE")</f>
        <v>Apprehended/Killed by LE</v>
      </c>
      <c r="G2418" s="5" t="str">
        <f ca="1">IFERROR(__xludf.DUMMYFUNCTION("""COMPUTED_VALUE"""),"No")</f>
        <v>No</v>
      </c>
      <c r="H2418" s="5" t="str">
        <f ca="1">IFERROR(__xludf.DUMMYFUNCTION("""COMPUTED_VALUE"""),"None")</f>
        <v>None</v>
      </c>
    </row>
    <row r="2419" spans="1:8" ht="13">
      <c r="A2419" s="5" t="str">
        <f ca="1">IFERROR(__xludf.DUMMYFUNCTION("""COMPUTED_VALUE"""),"19770711COSOC")</f>
        <v>19770711COSOC</v>
      </c>
      <c r="B2419" s="5">
        <f ca="1">IFERROR(__xludf.DUMMYFUNCTION("""COMPUTED_VALUE"""),15)</f>
        <v>15</v>
      </c>
      <c r="C2419" s="5"/>
      <c r="D2419" s="5"/>
      <c r="E2419" s="5" t="str">
        <f ca="1">IFERROR(__xludf.DUMMYFUNCTION("""COMPUTED_VALUE"""),"Student")</f>
        <v>Student</v>
      </c>
      <c r="F2419" s="5" t="str">
        <f ca="1">IFERROR(__xludf.DUMMYFUNCTION("""COMPUTED_VALUE"""),"Fled/Escaped")</f>
        <v>Fled/Escaped</v>
      </c>
      <c r="G2419" s="5" t="str">
        <f ca="1">IFERROR(__xludf.DUMMYFUNCTION("""COMPUTED_VALUE"""),"No")</f>
        <v>No</v>
      </c>
      <c r="H2419" s="5" t="str">
        <f ca="1">IFERROR(__xludf.DUMMYFUNCTION("""COMPUTED_VALUE"""),"None")</f>
        <v>None</v>
      </c>
    </row>
    <row r="2420" spans="1:8" ht="13">
      <c r="A2420" s="5" t="str">
        <f ca="1">IFERROR(__xludf.DUMMYFUNCTION("""COMPUTED_VALUE"""),"19770622ILHOC")</f>
        <v>19770622ILHOC</v>
      </c>
      <c r="B2420" s="5" t="str">
        <f ca="1">IFERROR(__xludf.DUMMYFUNCTION("""COMPUTED_VALUE"""),"Teen")</f>
        <v>Teen</v>
      </c>
      <c r="C2420" s="5"/>
      <c r="D2420" s="5"/>
      <c r="E2420" s="5" t="str">
        <f ca="1">IFERROR(__xludf.DUMMYFUNCTION("""COMPUTED_VALUE"""),"Unknown")</f>
        <v>Unknown</v>
      </c>
      <c r="F2420" s="5" t="str">
        <f ca="1">IFERROR(__xludf.DUMMYFUNCTION("""COMPUTED_VALUE"""),"Fled/Escaped")</f>
        <v>Fled/Escaped</v>
      </c>
      <c r="G2420" s="5" t="str">
        <f ca="1">IFERROR(__xludf.DUMMYFUNCTION("""COMPUTED_VALUE"""),"No")</f>
        <v>No</v>
      </c>
      <c r="H2420" s="5" t="str">
        <f ca="1">IFERROR(__xludf.DUMMYFUNCTION("""COMPUTED_VALUE"""),"None")</f>
        <v>None</v>
      </c>
    </row>
    <row r="2421" spans="1:8" ht="13">
      <c r="A2421" s="5" t="str">
        <f ca="1">IFERROR(__xludf.DUMMYFUNCTION("""COMPUTED_VALUE"""),"19770517FLSTC")</f>
        <v>19770517FLSTC</v>
      </c>
      <c r="B2421" s="5">
        <f ca="1">IFERROR(__xludf.DUMMYFUNCTION("""COMPUTED_VALUE"""),22)</f>
        <v>22</v>
      </c>
      <c r="C2421" s="5" t="str">
        <f ca="1">IFERROR(__xludf.DUMMYFUNCTION("""COMPUTED_VALUE"""),"Male")</f>
        <v>Male</v>
      </c>
      <c r="D2421" s="5"/>
      <c r="E2421" s="5" t="str">
        <f ca="1">IFERROR(__xludf.DUMMYFUNCTION("""COMPUTED_VALUE"""),"No Relation")</f>
        <v>No Relation</v>
      </c>
      <c r="F2421" s="5" t="str">
        <f ca="1">IFERROR(__xludf.DUMMYFUNCTION("""COMPUTED_VALUE"""),"Fled/Apprehended")</f>
        <v>Fled/Apprehended</v>
      </c>
      <c r="G2421" s="5" t="str">
        <f ca="1">IFERROR(__xludf.DUMMYFUNCTION("""COMPUTED_VALUE"""),"No")</f>
        <v>No</v>
      </c>
      <c r="H2421" s="5" t="str">
        <f ca="1">IFERROR(__xludf.DUMMYFUNCTION("""COMPUTED_VALUE"""),"None")</f>
        <v>None</v>
      </c>
    </row>
    <row r="2422" spans="1:8" ht="13">
      <c r="A2422" s="5" t="str">
        <f ca="1">IFERROR(__xludf.DUMMYFUNCTION("""COMPUTED_VALUE"""),"19770418TNPIN")</f>
        <v>19770418TNPIN</v>
      </c>
      <c r="B2422" s="5">
        <f ca="1">IFERROR(__xludf.DUMMYFUNCTION("""COMPUTED_VALUE"""),46)</f>
        <v>46</v>
      </c>
      <c r="C2422" s="5" t="str">
        <f ca="1">IFERROR(__xludf.DUMMYFUNCTION("""COMPUTED_VALUE"""),"Male")</f>
        <v>Male</v>
      </c>
      <c r="D2422" s="5"/>
      <c r="E2422" s="5" t="str">
        <f ca="1">IFERROR(__xludf.DUMMYFUNCTION("""COMPUTED_VALUE"""),"Unknown")</f>
        <v>Unknown</v>
      </c>
      <c r="F2422" s="5" t="str">
        <f ca="1">IFERROR(__xludf.DUMMYFUNCTION("""COMPUTED_VALUE"""),"Fled/Apprehended")</f>
        <v>Fled/Apprehended</v>
      </c>
      <c r="G2422" s="5" t="str">
        <f ca="1">IFERROR(__xludf.DUMMYFUNCTION("""COMPUTED_VALUE"""),"No")</f>
        <v>No</v>
      </c>
      <c r="H2422" s="5" t="str">
        <f ca="1">IFERROR(__xludf.DUMMYFUNCTION("""COMPUTED_VALUE"""),"None")</f>
        <v>None</v>
      </c>
    </row>
    <row r="2423" spans="1:8" ht="13">
      <c r="A2423" s="5" t="str">
        <f ca="1">IFERROR(__xludf.DUMMYFUNCTION("""COMPUTED_VALUE"""),"19770407TXWHW")</f>
        <v>19770407TXWHW</v>
      </c>
      <c r="B2423" s="5">
        <f ca="1">IFERROR(__xludf.DUMMYFUNCTION("""COMPUTED_VALUE"""),17)</f>
        <v>17</v>
      </c>
      <c r="C2423" s="5" t="str">
        <f ca="1">IFERROR(__xludf.DUMMYFUNCTION("""COMPUTED_VALUE"""),"Male")</f>
        <v>Male</v>
      </c>
      <c r="D2423" s="5"/>
      <c r="E2423" s="5" t="str">
        <f ca="1">IFERROR(__xludf.DUMMYFUNCTION("""COMPUTED_VALUE"""),"Student")</f>
        <v>Student</v>
      </c>
      <c r="F2423" s="5" t="str">
        <f ca="1">IFERROR(__xludf.DUMMYFUNCTION("""COMPUTED_VALUE"""),"Unknown")</f>
        <v>Unknown</v>
      </c>
      <c r="G2423" s="5" t="str">
        <f ca="1">IFERROR(__xludf.DUMMYFUNCTION("""COMPUTED_VALUE"""),"No")</f>
        <v>No</v>
      </c>
      <c r="H2423" s="5" t="str">
        <f ca="1">IFERROR(__xludf.DUMMYFUNCTION("""COMPUTED_VALUE"""),"None")</f>
        <v>None</v>
      </c>
    </row>
    <row r="2424" spans="1:8" ht="13">
      <c r="A2424" s="5" t="str">
        <f ca="1">IFERROR(__xludf.DUMMYFUNCTION("""COMPUTED_VALUE"""),"19770321NYPAH")</f>
        <v>19770321NYPAH</v>
      </c>
      <c r="B2424" s="5">
        <f ca="1">IFERROR(__xludf.DUMMYFUNCTION("""COMPUTED_VALUE"""),18)</f>
        <v>18</v>
      </c>
      <c r="C2424" s="5" t="str">
        <f ca="1">IFERROR(__xludf.DUMMYFUNCTION("""COMPUTED_VALUE"""),"Male")</f>
        <v>Male</v>
      </c>
      <c r="D2424" s="5"/>
      <c r="E2424" s="5" t="str">
        <f ca="1">IFERROR(__xludf.DUMMYFUNCTION("""COMPUTED_VALUE"""),"Other Staff")</f>
        <v>Other Staff</v>
      </c>
      <c r="F2424" s="5" t="str">
        <f ca="1">IFERROR(__xludf.DUMMYFUNCTION("""COMPUTED_VALUE"""),"Apprehended/Killed by LE")</f>
        <v>Apprehended/Killed by LE</v>
      </c>
      <c r="G2424" s="5" t="str">
        <f ca="1">IFERROR(__xludf.DUMMYFUNCTION("""COMPUTED_VALUE"""),"No")</f>
        <v>No</v>
      </c>
      <c r="H2424" s="5" t="str">
        <f ca="1">IFERROR(__xludf.DUMMYFUNCTION("""COMPUTED_VALUE"""),"None")</f>
        <v>None</v>
      </c>
    </row>
    <row r="2425" spans="1:8" ht="13">
      <c r="A2425" s="5" t="str">
        <f ca="1">IFERROR(__xludf.DUMMYFUNCTION("""COMPUTED_VALUE"""),"19770308ILCOE")</f>
        <v>19770308ILCOE</v>
      </c>
      <c r="B2425" s="5">
        <f ca="1">IFERROR(__xludf.DUMMYFUNCTION("""COMPUTED_VALUE"""),16)</f>
        <v>16</v>
      </c>
      <c r="C2425" s="5" t="str">
        <f ca="1">IFERROR(__xludf.DUMMYFUNCTION("""COMPUTED_VALUE"""),"Male")</f>
        <v>Male</v>
      </c>
      <c r="D2425" s="5"/>
      <c r="E2425" s="5" t="str">
        <f ca="1">IFERROR(__xludf.DUMMYFUNCTION("""COMPUTED_VALUE"""),"Student")</f>
        <v>Student</v>
      </c>
      <c r="F2425" s="5" t="str">
        <f ca="1">IFERROR(__xludf.DUMMYFUNCTION("""COMPUTED_VALUE"""),"Fled/Apprehended")</f>
        <v>Fled/Apprehended</v>
      </c>
      <c r="G2425" s="5" t="str">
        <f ca="1">IFERROR(__xludf.DUMMYFUNCTION("""COMPUTED_VALUE"""),"No")</f>
        <v>No</v>
      </c>
      <c r="H2425" s="5" t="str">
        <f ca="1">IFERROR(__xludf.DUMMYFUNCTION("""COMPUTED_VALUE"""),"None")</f>
        <v>None</v>
      </c>
    </row>
    <row r="2426" spans="1:8" ht="13">
      <c r="A2426" s="5" t="str">
        <f ca="1">IFERROR(__xludf.DUMMYFUNCTION("""COMPUTED_VALUE"""),"19770228TXHOA")</f>
        <v>19770228TXHOA</v>
      </c>
      <c r="B2426" s="5">
        <f ca="1">IFERROR(__xludf.DUMMYFUNCTION("""COMPUTED_VALUE"""),15)</f>
        <v>15</v>
      </c>
      <c r="C2426" s="5" t="str">
        <f ca="1">IFERROR(__xludf.DUMMYFUNCTION("""COMPUTED_VALUE"""),"Male")</f>
        <v>Male</v>
      </c>
      <c r="D2426" s="5"/>
      <c r="E2426" s="5" t="str">
        <f ca="1">IFERROR(__xludf.DUMMYFUNCTION("""COMPUTED_VALUE"""),"Student")</f>
        <v>Student</v>
      </c>
      <c r="F2426" s="5" t="str">
        <f ca="1">IFERROR(__xludf.DUMMYFUNCTION("""COMPUTED_VALUE"""),"Unknown")</f>
        <v>Unknown</v>
      </c>
      <c r="G2426" s="5" t="str">
        <f ca="1">IFERROR(__xludf.DUMMYFUNCTION("""COMPUTED_VALUE"""),"No")</f>
        <v>No</v>
      </c>
      <c r="H2426" s="5" t="str">
        <f ca="1">IFERROR(__xludf.DUMMYFUNCTION("""COMPUTED_VALUE"""),"None")</f>
        <v>None</v>
      </c>
    </row>
    <row r="2427" spans="1:8" ht="13">
      <c r="A2427" s="5" t="str">
        <f ca="1">IFERROR(__xludf.DUMMYFUNCTION("""COMPUTED_VALUE"""),"19770228MOROS")</f>
        <v>19770228MOROS</v>
      </c>
      <c r="B2427" s="5">
        <f ca="1">IFERROR(__xludf.DUMMYFUNCTION("""COMPUTED_VALUE"""),19)</f>
        <v>19</v>
      </c>
      <c r="C2427" s="5" t="str">
        <f ca="1">IFERROR(__xludf.DUMMYFUNCTION("""COMPUTED_VALUE"""),"Male")</f>
        <v>Male</v>
      </c>
      <c r="D2427" s="5"/>
      <c r="E2427" s="5" t="str">
        <f ca="1">IFERROR(__xludf.DUMMYFUNCTION("""COMPUTED_VALUE"""),"Student")</f>
        <v>Student</v>
      </c>
      <c r="F2427" s="5" t="str">
        <f ca="1">IFERROR(__xludf.DUMMYFUNCTION("""COMPUTED_VALUE"""),"Unknown")</f>
        <v>Unknown</v>
      </c>
      <c r="G2427" s="5" t="str">
        <f ca="1">IFERROR(__xludf.DUMMYFUNCTION("""COMPUTED_VALUE"""),"No")</f>
        <v>No</v>
      </c>
      <c r="H2427" s="5" t="str">
        <f ca="1">IFERROR(__xludf.DUMMYFUNCTION("""COMPUTED_VALUE"""),"None")</f>
        <v>None</v>
      </c>
    </row>
    <row r="2428" spans="1:8" ht="13">
      <c r="A2428" s="5" t="str">
        <f ca="1">IFERROR(__xludf.DUMMYFUNCTION("""COMPUTED_VALUE"""),"19770209ILFEC")</f>
        <v>19770209ILFEC</v>
      </c>
      <c r="B2428" s="5">
        <f ca="1">IFERROR(__xludf.DUMMYFUNCTION("""COMPUTED_VALUE"""),14)</f>
        <v>14</v>
      </c>
      <c r="C2428" s="5" t="str">
        <f ca="1">IFERROR(__xludf.DUMMYFUNCTION("""COMPUTED_VALUE"""),"Male")</f>
        <v>Male</v>
      </c>
      <c r="D2428" s="5"/>
      <c r="E2428" s="5" t="str">
        <f ca="1">IFERROR(__xludf.DUMMYFUNCTION("""COMPUTED_VALUE"""),"Student")</f>
        <v>Student</v>
      </c>
      <c r="F2428" s="5" t="str">
        <f ca="1">IFERROR(__xludf.DUMMYFUNCTION("""COMPUTED_VALUE"""),"Fled/Apprehended")</f>
        <v>Fled/Apprehended</v>
      </c>
      <c r="G2428" s="5" t="str">
        <f ca="1">IFERROR(__xludf.DUMMYFUNCTION("""COMPUTED_VALUE"""),"No")</f>
        <v>No</v>
      </c>
      <c r="H2428" s="5" t="str">
        <f ca="1">IFERROR(__xludf.DUMMYFUNCTION("""COMPUTED_VALUE"""),"None")</f>
        <v>None</v>
      </c>
    </row>
    <row r="2429" spans="1:8" ht="13">
      <c r="A2429" s="5" t="str">
        <f ca="1">IFERROR(__xludf.DUMMYFUNCTION("""COMPUTED_VALUE"""),"19770113ILOLB")</f>
        <v>19770113ILOLB</v>
      </c>
      <c r="B2429" s="5">
        <f ca="1">IFERROR(__xludf.DUMMYFUNCTION("""COMPUTED_VALUE"""),15)</f>
        <v>15</v>
      </c>
      <c r="C2429" s="5" t="str">
        <f ca="1">IFERROR(__xludf.DUMMYFUNCTION("""COMPUTED_VALUE"""),"Male")</f>
        <v>Male</v>
      </c>
      <c r="D2429" s="5"/>
      <c r="E2429" s="5" t="str">
        <f ca="1">IFERROR(__xludf.DUMMYFUNCTION("""COMPUTED_VALUE"""),"Student")</f>
        <v>Student</v>
      </c>
      <c r="F2429" s="5" t="str">
        <f ca="1">IFERROR(__xludf.DUMMYFUNCTION("""COMPUTED_VALUE"""),"Subdued by Students/Staff/Other")</f>
        <v>Subdued by Students/Staff/Other</v>
      </c>
      <c r="G2429" s="5" t="str">
        <f ca="1">IFERROR(__xludf.DUMMYFUNCTION("""COMPUTED_VALUE"""),"No")</f>
        <v>No</v>
      </c>
      <c r="H2429" s="5" t="str">
        <f ca="1">IFERROR(__xludf.DUMMYFUNCTION("""COMPUTED_VALUE"""),"None")</f>
        <v>None</v>
      </c>
    </row>
    <row r="2430" spans="1:8" ht="13">
      <c r="A2430" s="5" t="str">
        <f ca="1">IFERROR(__xludf.DUMMYFUNCTION("""COMPUTED_VALUE"""),"19761210MOFRS")</f>
        <v>19761210MOFRS</v>
      </c>
      <c r="B2430" s="5">
        <f ca="1">IFERROR(__xludf.DUMMYFUNCTION("""COMPUTED_VALUE"""),11)</f>
        <v>11</v>
      </c>
      <c r="C2430" s="5" t="str">
        <f ca="1">IFERROR(__xludf.DUMMYFUNCTION("""COMPUTED_VALUE"""),"Male")</f>
        <v>Male</v>
      </c>
      <c r="D2430" s="5"/>
      <c r="E2430" s="5" t="str">
        <f ca="1">IFERROR(__xludf.DUMMYFUNCTION("""COMPUTED_VALUE"""),"Student")</f>
        <v>Student</v>
      </c>
      <c r="F2430" s="5" t="str">
        <f ca="1">IFERROR(__xludf.DUMMYFUNCTION("""COMPUTED_VALUE"""),"Surrendered")</f>
        <v>Surrendered</v>
      </c>
      <c r="G2430" s="5" t="str">
        <f ca="1">IFERROR(__xludf.DUMMYFUNCTION("""COMPUTED_VALUE"""),"No")</f>
        <v>No</v>
      </c>
      <c r="H2430" s="5" t="str">
        <f ca="1">IFERROR(__xludf.DUMMYFUNCTION("""COMPUTED_VALUE"""),"None")</f>
        <v>None</v>
      </c>
    </row>
    <row r="2431" spans="1:8" ht="13">
      <c r="A2431" s="5" t="str">
        <f ca="1">IFERROR(__xludf.DUMMYFUNCTION("""COMPUTED_VALUE"""),"19761110MIBUD")</f>
        <v>19761110MIBUD</v>
      </c>
      <c r="B2431" s="5">
        <f ca="1">IFERROR(__xludf.DUMMYFUNCTION("""COMPUTED_VALUE"""),46)</f>
        <v>46</v>
      </c>
      <c r="C2431" s="5" t="str">
        <f ca="1">IFERROR(__xludf.DUMMYFUNCTION("""COMPUTED_VALUE"""),"Male")</f>
        <v>Male</v>
      </c>
      <c r="D2431" s="5"/>
      <c r="E2431" s="5" t="str">
        <f ca="1">IFERROR(__xludf.DUMMYFUNCTION("""COMPUTED_VALUE"""),"Intimate Relationship")</f>
        <v>Intimate Relationship</v>
      </c>
      <c r="F2431" s="5" t="str">
        <f ca="1">IFERROR(__xludf.DUMMYFUNCTION("""COMPUTED_VALUE"""),"Fled/Apprehended")</f>
        <v>Fled/Apprehended</v>
      </c>
      <c r="G2431" s="5" t="str">
        <f ca="1">IFERROR(__xludf.DUMMYFUNCTION("""COMPUTED_VALUE"""),"No")</f>
        <v>No</v>
      </c>
      <c r="H2431" s="5" t="str">
        <f ca="1">IFERROR(__xludf.DUMMYFUNCTION("""COMPUTED_VALUE"""),"None")</f>
        <v>None</v>
      </c>
    </row>
    <row r="2432" spans="1:8" ht="13">
      <c r="A2432" s="5" t="str">
        <f ca="1">IFERROR(__xludf.DUMMYFUNCTION("""COMPUTED_VALUE"""),"19760920NCGUG")</f>
        <v>19760920NCGUG</v>
      </c>
      <c r="B2432" s="5">
        <f ca="1">IFERROR(__xludf.DUMMYFUNCTION("""COMPUTED_VALUE"""),38)</f>
        <v>38</v>
      </c>
      <c r="C2432" s="5" t="str">
        <f ca="1">IFERROR(__xludf.DUMMYFUNCTION("""COMPUTED_VALUE"""),"Male")</f>
        <v>Male</v>
      </c>
      <c r="D2432" s="5"/>
      <c r="E2432" s="5" t="str">
        <f ca="1">IFERROR(__xludf.DUMMYFUNCTION("""COMPUTED_VALUE"""),"No Relation")</f>
        <v>No Relation</v>
      </c>
      <c r="F2432" s="5" t="str">
        <f ca="1">IFERROR(__xludf.DUMMYFUNCTION("""COMPUTED_VALUE"""),"Suicide")</f>
        <v>Suicide</v>
      </c>
      <c r="G2432" s="5" t="str">
        <f ca="1">IFERROR(__xludf.DUMMYFUNCTION("""COMPUTED_VALUE"""),"Yes")</f>
        <v>Yes</v>
      </c>
      <c r="H2432" s="5" t="str">
        <f ca="1">IFERROR(__xludf.DUMMYFUNCTION("""COMPUTED_VALUE"""),"Suicide")</f>
        <v>Suicide</v>
      </c>
    </row>
    <row r="2433" spans="1:8" ht="13">
      <c r="A2433" s="5" t="str">
        <f ca="1">IFERROR(__xludf.DUMMYFUNCTION("""COMPUTED_VALUE"""),"19760602MDMTC")</f>
        <v>19760602MDMTC</v>
      </c>
      <c r="B2433" s="5"/>
      <c r="C2433" s="5"/>
      <c r="D2433" s="5"/>
      <c r="E2433" s="5" t="str">
        <f ca="1">IFERROR(__xludf.DUMMYFUNCTION("""COMPUTED_VALUE"""),"Unknown")</f>
        <v>Unknown</v>
      </c>
      <c r="F2433" s="5" t="str">
        <f ca="1">IFERROR(__xludf.DUMMYFUNCTION("""COMPUTED_VALUE"""),"Fled/Escaped")</f>
        <v>Fled/Escaped</v>
      </c>
      <c r="G2433" s="5" t="str">
        <f ca="1">IFERROR(__xludf.DUMMYFUNCTION("""COMPUTED_VALUE"""),"No")</f>
        <v>No</v>
      </c>
      <c r="H2433" s="5" t="str">
        <f ca="1">IFERROR(__xludf.DUMMYFUNCTION("""COMPUTED_VALUE"""),"None")</f>
        <v>None</v>
      </c>
    </row>
    <row r="2434" spans="1:8" ht="13">
      <c r="A2434" s="5" t="str">
        <f ca="1">IFERROR(__xludf.DUMMYFUNCTION("""COMPUTED_VALUE"""),"19760514FLPAW")</f>
        <v>19760514FLPAW</v>
      </c>
      <c r="B2434" s="5">
        <f ca="1">IFERROR(__xludf.DUMMYFUNCTION("""COMPUTED_VALUE"""),17)</f>
        <v>17</v>
      </c>
      <c r="C2434" s="5" t="str">
        <f ca="1">IFERROR(__xludf.DUMMYFUNCTION("""COMPUTED_VALUE"""),"Male")</f>
        <v>Male</v>
      </c>
      <c r="D2434" s="5"/>
      <c r="E2434" s="5" t="str">
        <f ca="1">IFERROR(__xludf.DUMMYFUNCTION("""COMPUTED_VALUE"""),"Former Student")</f>
        <v>Former Student</v>
      </c>
      <c r="F2434" s="5" t="str">
        <f ca="1">IFERROR(__xludf.DUMMYFUNCTION("""COMPUTED_VALUE"""),"Apprehended/Killed by LE")</f>
        <v>Apprehended/Killed by LE</v>
      </c>
      <c r="G2434" s="5" t="str">
        <f ca="1">IFERROR(__xludf.DUMMYFUNCTION("""COMPUTED_VALUE"""),"No")</f>
        <v>No</v>
      </c>
      <c r="H2434" s="5" t="str">
        <f ca="1">IFERROR(__xludf.DUMMYFUNCTION("""COMPUTED_VALUE"""),"None")</f>
        <v>None</v>
      </c>
    </row>
    <row r="2435" spans="1:8" ht="13">
      <c r="A2435" s="5" t="str">
        <f ca="1">IFERROR(__xludf.DUMMYFUNCTION("""COMPUTED_VALUE"""),"19760513MOMAS")</f>
        <v>19760513MOMAS</v>
      </c>
      <c r="B2435" s="5">
        <f ca="1">IFERROR(__xludf.DUMMYFUNCTION("""COMPUTED_VALUE"""),15)</f>
        <v>15</v>
      </c>
      <c r="C2435" s="5" t="str">
        <f ca="1">IFERROR(__xludf.DUMMYFUNCTION("""COMPUTED_VALUE"""),"Male")</f>
        <v>Male</v>
      </c>
      <c r="D2435" s="5"/>
      <c r="E2435" s="5" t="str">
        <f ca="1">IFERROR(__xludf.DUMMYFUNCTION("""COMPUTED_VALUE"""),"Student")</f>
        <v>Student</v>
      </c>
      <c r="F2435" s="5" t="str">
        <f ca="1">IFERROR(__xludf.DUMMYFUNCTION("""COMPUTED_VALUE"""),"Subdued by Students/Staff/Other")</f>
        <v>Subdued by Students/Staff/Other</v>
      </c>
      <c r="G2435" s="5" t="str">
        <f ca="1">IFERROR(__xludf.DUMMYFUNCTION("""COMPUTED_VALUE"""),"No")</f>
        <v>No</v>
      </c>
      <c r="H2435" s="5" t="str">
        <f ca="1">IFERROR(__xludf.DUMMYFUNCTION("""COMPUTED_VALUE"""),"None")</f>
        <v>None</v>
      </c>
    </row>
    <row r="2436" spans="1:8" ht="13">
      <c r="A2436" s="5" t="str">
        <f ca="1">IFERROR(__xludf.DUMMYFUNCTION("""COMPUTED_VALUE"""),"19760412TXODF")</f>
        <v>19760412TXODF</v>
      </c>
      <c r="B2436" s="5">
        <f ca="1">IFERROR(__xludf.DUMMYFUNCTION("""COMPUTED_VALUE"""),15)</f>
        <v>15</v>
      </c>
      <c r="C2436" s="5" t="str">
        <f ca="1">IFERROR(__xludf.DUMMYFUNCTION("""COMPUTED_VALUE"""),"Male")</f>
        <v>Male</v>
      </c>
      <c r="D2436" s="5"/>
      <c r="E2436" s="5" t="str">
        <f ca="1">IFERROR(__xludf.DUMMYFUNCTION("""COMPUTED_VALUE"""),"Student")</f>
        <v>Student</v>
      </c>
      <c r="F2436" s="5" t="str">
        <f ca="1">IFERROR(__xludf.DUMMYFUNCTION("""COMPUTED_VALUE"""),"Fled/Apprehended")</f>
        <v>Fled/Apprehended</v>
      </c>
      <c r="G2436" s="5" t="str">
        <f ca="1">IFERROR(__xludf.DUMMYFUNCTION("""COMPUTED_VALUE"""),"No")</f>
        <v>No</v>
      </c>
      <c r="H2436" s="5" t="str">
        <f ca="1">IFERROR(__xludf.DUMMYFUNCTION("""COMPUTED_VALUE"""),"None")</f>
        <v>None</v>
      </c>
    </row>
    <row r="2437" spans="1:8" ht="13">
      <c r="A2437" s="5" t="str">
        <f ca="1">IFERROR(__xludf.DUMMYFUNCTION("""COMPUTED_VALUE"""),"19760212MIMUD")</f>
        <v>19760212MIMUD</v>
      </c>
      <c r="B2437" s="5" t="str">
        <f ca="1">IFERROR(__xludf.DUMMYFUNCTION("""COMPUTED_VALUE"""),"Teen")</f>
        <v>Teen</v>
      </c>
      <c r="C2437" s="5" t="str">
        <f ca="1">IFERROR(__xludf.DUMMYFUNCTION("""COMPUTED_VALUE"""),"Male")</f>
        <v>Male</v>
      </c>
      <c r="D2437" s="5"/>
      <c r="E2437" s="5" t="str">
        <f ca="1">IFERROR(__xludf.DUMMYFUNCTION("""COMPUTED_VALUE"""),"Other Student")</f>
        <v>Other Student</v>
      </c>
      <c r="F2437" s="5" t="str">
        <f ca="1">IFERROR(__xludf.DUMMYFUNCTION("""COMPUTED_VALUE"""),"Fled/Escaped")</f>
        <v>Fled/Escaped</v>
      </c>
      <c r="G2437" s="5" t="str">
        <f ca="1">IFERROR(__xludf.DUMMYFUNCTION("""COMPUTED_VALUE"""),"No")</f>
        <v>No</v>
      </c>
      <c r="H2437" s="5" t="str">
        <f ca="1">IFERROR(__xludf.DUMMYFUNCTION("""COMPUTED_VALUE"""),"None")</f>
        <v>None</v>
      </c>
    </row>
    <row r="2438" spans="1:8" ht="13">
      <c r="A2438" s="5" t="str">
        <f ca="1">IFERROR(__xludf.DUMMYFUNCTION("""COMPUTED_VALUE"""),"19760212MIMUD")</f>
        <v>19760212MIMUD</v>
      </c>
      <c r="B2438" s="5" t="str">
        <f ca="1">IFERROR(__xludf.DUMMYFUNCTION("""COMPUTED_VALUE"""),"Teen")</f>
        <v>Teen</v>
      </c>
      <c r="C2438" s="5" t="str">
        <f ca="1">IFERROR(__xludf.DUMMYFUNCTION("""COMPUTED_VALUE"""),"Male")</f>
        <v>Male</v>
      </c>
      <c r="D2438" s="5"/>
      <c r="E2438" s="5" t="str">
        <f ca="1">IFERROR(__xludf.DUMMYFUNCTION("""COMPUTED_VALUE"""),"Other Student")</f>
        <v>Other Student</v>
      </c>
      <c r="F2438" s="5" t="str">
        <f ca="1">IFERROR(__xludf.DUMMYFUNCTION("""COMPUTED_VALUE"""),"Fled/Escaped")</f>
        <v>Fled/Escaped</v>
      </c>
      <c r="G2438" s="5" t="str">
        <f ca="1">IFERROR(__xludf.DUMMYFUNCTION("""COMPUTED_VALUE"""),"No")</f>
        <v>No</v>
      </c>
      <c r="H2438" s="5" t="str">
        <f ca="1">IFERROR(__xludf.DUMMYFUNCTION("""COMPUTED_VALUE"""),"None")</f>
        <v>None</v>
      </c>
    </row>
    <row r="2439" spans="1:8" ht="13">
      <c r="A2439" s="5" t="str">
        <f ca="1">IFERROR(__xludf.DUMMYFUNCTION("""COMPUTED_VALUE"""),"19760212MIMUD")</f>
        <v>19760212MIMUD</v>
      </c>
      <c r="B2439" s="5" t="str">
        <f ca="1">IFERROR(__xludf.DUMMYFUNCTION("""COMPUTED_VALUE"""),"Teen")</f>
        <v>Teen</v>
      </c>
      <c r="C2439" s="5" t="str">
        <f ca="1">IFERROR(__xludf.DUMMYFUNCTION("""COMPUTED_VALUE"""),"Male")</f>
        <v>Male</v>
      </c>
      <c r="D2439" s="5"/>
      <c r="E2439" s="5" t="str">
        <f ca="1">IFERROR(__xludf.DUMMYFUNCTION("""COMPUTED_VALUE"""),"Other Student")</f>
        <v>Other Student</v>
      </c>
      <c r="F2439" s="5" t="str">
        <f ca="1">IFERROR(__xludf.DUMMYFUNCTION("""COMPUTED_VALUE"""),"Fled/Escaped")</f>
        <v>Fled/Escaped</v>
      </c>
      <c r="G2439" s="5" t="str">
        <f ca="1">IFERROR(__xludf.DUMMYFUNCTION("""COMPUTED_VALUE"""),"No")</f>
        <v>No</v>
      </c>
      <c r="H2439" s="5" t="str">
        <f ca="1">IFERROR(__xludf.DUMMYFUNCTION("""COMPUTED_VALUE"""),"None")</f>
        <v>None</v>
      </c>
    </row>
    <row r="2440" spans="1:8" ht="13">
      <c r="A2440" s="5" t="str">
        <f ca="1">IFERROR(__xludf.DUMMYFUNCTION("""COMPUTED_VALUE"""),"19760212MIMUD")</f>
        <v>19760212MIMUD</v>
      </c>
      <c r="B2440" s="5" t="str">
        <f ca="1">IFERROR(__xludf.DUMMYFUNCTION("""COMPUTED_VALUE"""),"Teen")</f>
        <v>Teen</v>
      </c>
      <c r="C2440" s="5" t="str">
        <f ca="1">IFERROR(__xludf.DUMMYFUNCTION("""COMPUTED_VALUE"""),"Male")</f>
        <v>Male</v>
      </c>
      <c r="D2440" s="5"/>
      <c r="E2440" s="5" t="str">
        <f ca="1">IFERROR(__xludf.DUMMYFUNCTION("""COMPUTED_VALUE"""),"Other Student")</f>
        <v>Other Student</v>
      </c>
      <c r="F2440" s="5" t="str">
        <f ca="1">IFERROR(__xludf.DUMMYFUNCTION("""COMPUTED_VALUE"""),"Fled/Escaped")</f>
        <v>Fled/Escaped</v>
      </c>
      <c r="G2440" s="5" t="str">
        <f ca="1">IFERROR(__xludf.DUMMYFUNCTION("""COMPUTED_VALUE"""),"No")</f>
        <v>No</v>
      </c>
      <c r="H2440" s="5" t="str">
        <f ca="1">IFERROR(__xludf.DUMMYFUNCTION("""COMPUTED_VALUE"""),"None")</f>
        <v>None</v>
      </c>
    </row>
    <row r="2441" spans="1:8" ht="13">
      <c r="A2441" s="5" t="str">
        <f ca="1">IFERROR(__xludf.DUMMYFUNCTION("""COMPUTED_VALUE"""),"19760212MIMUD")</f>
        <v>19760212MIMUD</v>
      </c>
      <c r="B2441" s="5" t="str">
        <f ca="1">IFERROR(__xludf.DUMMYFUNCTION("""COMPUTED_VALUE"""),"Teen")</f>
        <v>Teen</v>
      </c>
      <c r="C2441" s="5" t="str">
        <f ca="1">IFERROR(__xludf.DUMMYFUNCTION("""COMPUTED_VALUE"""),"Male")</f>
        <v>Male</v>
      </c>
      <c r="D2441" s="5"/>
      <c r="E2441" s="5" t="str">
        <f ca="1">IFERROR(__xludf.DUMMYFUNCTION("""COMPUTED_VALUE"""),"Other Student")</f>
        <v>Other Student</v>
      </c>
      <c r="F2441" s="5" t="str">
        <f ca="1">IFERROR(__xludf.DUMMYFUNCTION("""COMPUTED_VALUE"""),"Fled/Escaped")</f>
        <v>Fled/Escaped</v>
      </c>
      <c r="G2441" s="5" t="str">
        <f ca="1">IFERROR(__xludf.DUMMYFUNCTION("""COMPUTED_VALUE"""),"No")</f>
        <v>No</v>
      </c>
      <c r="H2441" s="5" t="str">
        <f ca="1">IFERROR(__xludf.DUMMYFUNCTION("""COMPUTED_VALUE"""),"None")</f>
        <v>None</v>
      </c>
    </row>
    <row r="2442" spans="1:8" ht="13">
      <c r="A2442" s="5" t="str">
        <f ca="1">IFERROR(__xludf.DUMMYFUNCTION("""COMPUTED_VALUE"""),"19760212MIMUD")</f>
        <v>19760212MIMUD</v>
      </c>
      <c r="B2442" s="5" t="str">
        <f ca="1">IFERROR(__xludf.DUMMYFUNCTION("""COMPUTED_VALUE"""),"Teen")</f>
        <v>Teen</v>
      </c>
      <c r="C2442" s="5" t="str">
        <f ca="1">IFERROR(__xludf.DUMMYFUNCTION("""COMPUTED_VALUE"""),"Male")</f>
        <v>Male</v>
      </c>
      <c r="D2442" s="5"/>
      <c r="E2442" s="5" t="str">
        <f ca="1">IFERROR(__xludf.DUMMYFUNCTION("""COMPUTED_VALUE"""),"Other Student")</f>
        <v>Other Student</v>
      </c>
      <c r="F2442" s="5" t="str">
        <f ca="1">IFERROR(__xludf.DUMMYFUNCTION("""COMPUTED_VALUE"""),"Fled/Escaped")</f>
        <v>Fled/Escaped</v>
      </c>
      <c r="G2442" s="5" t="str">
        <f ca="1">IFERROR(__xludf.DUMMYFUNCTION("""COMPUTED_VALUE"""),"No")</f>
        <v>No</v>
      </c>
      <c r="H2442" s="5" t="str">
        <f ca="1">IFERROR(__xludf.DUMMYFUNCTION("""COMPUTED_VALUE"""),"None")</f>
        <v>None</v>
      </c>
    </row>
    <row r="2443" spans="1:8" ht="13">
      <c r="A2443" s="5" t="str">
        <f ca="1">IFERROR(__xludf.DUMMYFUNCTION("""COMPUTED_VALUE"""),"19760206FLESP")</f>
        <v>19760206FLESP</v>
      </c>
      <c r="B2443" s="5"/>
      <c r="C2443" s="5"/>
      <c r="D2443" s="5"/>
      <c r="E2443" s="5" t="str">
        <f ca="1">IFERROR(__xludf.DUMMYFUNCTION("""COMPUTED_VALUE"""),"Unknown")</f>
        <v>Unknown</v>
      </c>
      <c r="F2443" s="5" t="str">
        <f ca="1">IFERROR(__xludf.DUMMYFUNCTION("""COMPUTED_VALUE"""),"Fled/Escaped")</f>
        <v>Fled/Escaped</v>
      </c>
      <c r="G2443" s="5" t="str">
        <f ca="1">IFERROR(__xludf.DUMMYFUNCTION("""COMPUTED_VALUE"""),"No")</f>
        <v>No</v>
      </c>
      <c r="H2443" s="5" t="str">
        <f ca="1">IFERROR(__xludf.DUMMYFUNCTION("""COMPUTED_VALUE"""),"None")</f>
        <v>None</v>
      </c>
    </row>
    <row r="2444" spans="1:8" ht="13">
      <c r="A2444" s="5" t="str">
        <f ca="1">IFERROR(__xludf.DUMMYFUNCTION("""COMPUTED_VALUE"""),"19760123OHCOC")</f>
        <v>19760123OHCOC</v>
      </c>
      <c r="B2444" s="5">
        <f ca="1">IFERROR(__xludf.DUMMYFUNCTION("""COMPUTED_VALUE"""),17)</f>
        <v>17</v>
      </c>
      <c r="C2444" s="5" t="str">
        <f ca="1">IFERROR(__xludf.DUMMYFUNCTION("""COMPUTED_VALUE"""),"Male")</f>
        <v>Male</v>
      </c>
      <c r="D2444" s="5"/>
      <c r="E2444" s="5" t="str">
        <f ca="1">IFERROR(__xludf.DUMMYFUNCTION("""COMPUTED_VALUE"""),"Student")</f>
        <v>Student</v>
      </c>
      <c r="F2444" s="5" t="str">
        <f ca="1">IFERROR(__xludf.DUMMYFUNCTION("""COMPUTED_VALUE"""),"Fled/Apprehended")</f>
        <v>Fled/Apprehended</v>
      </c>
      <c r="G2444" s="5" t="str">
        <f ca="1">IFERROR(__xludf.DUMMYFUNCTION("""COMPUTED_VALUE"""),"No")</f>
        <v>No</v>
      </c>
      <c r="H2444" s="5" t="str">
        <f ca="1">IFERROR(__xludf.DUMMYFUNCTION("""COMPUTED_VALUE"""),"None")</f>
        <v>None</v>
      </c>
    </row>
    <row r="2445" spans="1:8" ht="13">
      <c r="A2445" s="5" t="str">
        <f ca="1">IFERROR(__xludf.DUMMYFUNCTION("""COMPUTED_VALUE"""),"19760101AZCAP")</f>
        <v>19760101AZCAP</v>
      </c>
      <c r="B2445" s="5"/>
      <c r="C2445" s="5"/>
      <c r="D2445" s="5"/>
      <c r="E2445" s="5" t="str">
        <f ca="1">IFERROR(__xludf.DUMMYFUNCTION("""COMPUTED_VALUE"""),"Unknown")</f>
        <v>Unknown</v>
      </c>
      <c r="F2445" s="5" t="str">
        <f ca="1">IFERROR(__xludf.DUMMYFUNCTION("""COMPUTED_VALUE"""),"Fled/Escaped")</f>
        <v>Fled/Escaped</v>
      </c>
      <c r="G2445" s="5" t="str">
        <f ca="1">IFERROR(__xludf.DUMMYFUNCTION("""COMPUTED_VALUE"""),"No")</f>
        <v>No</v>
      </c>
      <c r="H2445" s="5" t="str">
        <f ca="1">IFERROR(__xludf.DUMMYFUNCTION("""COMPUTED_VALUE"""),"None")</f>
        <v>None</v>
      </c>
    </row>
    <row r="2446" spans="1:8" ht="13">
      <c r="A2446" s="5" t="str">
        <f ca="1">IFERROR(__xludf.DUMMYFUNCTION("""COMPUTED_VALUE"""),"19751218CAORS")</f>
        <v>19751218CAORS</v>
      </c>
      <c r="B2446" s="5">
        <f ca="1">IFERROR(__xludf.DUMMYFUNCTION("""COMPUTED_VALUE"""),16)</f>
        <v>16</v>
      </c>
      <c r="C2446" s="5" t="str">
        <f ca="1">IFERROR(__xludf.DUMMYFUNCTION("""COMPUTED_VALUE"""),"Male")</f>
        <v>Male</v>
      </c>
      <c r="D2446" s="5"/>
      <c r="E2446" s="5" t="str">
        <f ca="1">IFERROR(__xludf.DUMMYFUNCTION("""COMPUTED_VALUE"""),"Student")</f>
        <v>Student</v>
      </c>
      <c r="F2446" s="5" t="str">
        <f ca="1">IFERROR(__xludf.DUMMYFUNCTION("""COMPUTED_VALUE"""),"Fled/Escaped")</f>
        <v>Fled/Escaped</v>
      </c>
      <c r="G2446" s="5" t="str">
        <f ca="1">IFERROR(__xludf.DUMMYFUNCTION("""COMPUTED_VALUE"""),"No")</f>
        <v>No</v>
      </c>
      <c r="H2446" s="5" t="str">
        <f ca="1">IFERROR(__xludf.DUMMYFUNCTION("""COMPUTED_VALUE"""),"None")</f>
        <v>None</v>
      </c>
    </row>
    <row r="2447" spans="1:8" ht="13">
      <c r="A2447" s="5" t="str">
        <f ca="1">IFERROR(__xludf.DUMMYFUNCTION("""COMPUTED_VALUE"""),"19751024GAMUA")</f>
        <v>19751024GAMUA</v>
      </c>
      <c r="B2447" s="5">
        <f ca="1">IFERROR(__xludf.DUMMYFUNCTION("""COMPUTED_VALUE"""),15)</f>
        <v>15</v>
      </c>
      <c r="C2447" s="5" t="str">
        <f ca="1">IFERROR(__xludf.DUMMYFUNCTION("""COMPUTED_VALUE"""),"Male")</f>
        <v>Male</v>
      </c>
      <c r="D2447" s="5"/>
      <c r="E2447" s="5" t="str">
        <f ca="1">IFERROR(__xludf.DUMMYFUNCTION("""COMPUTED_VALUE"""),"Student")</f>
        <v>Student</v>
      </c>
      <c r="F2447" s="5" t="str">
        <f ca="1">IFERROR(__xludf.DUMMYFUNCTION("""COMPUTED_VALUE"""),"Fled/Apprehended")</f>
        <v>Fled/Apprehended</v>
      </c>
      <c r="G2447" s="5" t="str">
        <f ca="1">IFERROR(__xludf.DUMMYFUNCTION("""COMPUTED_VALUE"""),"No")</f>
        <v>No</v>
      </c>
      <c r="H2447" s="5" t="str">
        <f ca="1">IFERROR(__xludf.DUMMYFUNCTION("""COMPUTED_VALUE"""),"None")</f>
        <v>None</v>
      </c>
    </row>
    <row r="2448" spans="1:8" ht="13">
      <c r="A2448" s="5" t="str">
        <f ca="1">IFERROR(__xludf.DUMMYFUNCTION("""COMPUTED_VALUE"""),"19751001NMHEA")</f>
        <v>19751001NMHEA</v>
      </c>
      <c r="B2448" s="5">
        <f ca="1">IFERROR(__xludf.DUMMYFUNCTION("""COMPUTED_VALUE"""),35)</f>
        <v>35</v>
      </c>
      <c r="C2448" s="5" t="str">
        <f ca="1">IFERROR(__xludf.DUMMYFUNCTION("""COMPUTED_VALUE"""),"Male")</f>
        <v>Male</v>
      </c>
      <c r="D2448" s="5"/>
      <c r="E2448" s="5" t="str">
        <f ca="1">IFERROR(__xludf.DUMMYFUNCTION("""COMPUTED_VALUE"""),"Unknown")</f>
        <v>Unknown</v>
      </c>
      <c r="F2448" s="5" t="str">
        <f ca="1">IFERROR(__xludf.DUMMYFUNCTION("""COMPUTED_VALUE"""),"Surrendered")</f>
        <v>Surrendered</v>
      </c>
      <c r="G2448" s="5" t="str">
        <f ca="1">IFERROR(__xludf.DUMMYFUNCTION("""COMPUTED_VALUE"""),"No")</f>
        <v>No</v>
      </c>
      <c r="H2448" s="5" t="str">
        <f ca="1">IFERROR(__xludf.DUMMYFUNCTION("""COMPUTED_VALUE"""),"None")</f>
        <v>None</v>
      </c>
    </row>
    <row r="2449" spans="1:8" ht="13">
      <c r="A2449" s="5" t="str">
        <f ca="1">IFERROR(__xludf.DUMMYFUNCTION("""COMPUTED_VALUE"""),"19750911OKGRO")</f>
        <v>19750911OKGRO</v>
      </c>
      <c r="B2449" s="5">
        <f ca="1">IFERROR(__xludf.DUMMYFUNCTION("""COMPUTED_VALUE"""),15)</f>
        <v>15</v>
      </c>
      <c r="C2449" s="5" t="str">
        <f ca="1">IFERROR(__xludf.DUMMYFUNCTION("""COMPUTED_VALUE"""),"Male")</f>
        <v>Male</v>
      </c>
      <c r="D2449" s="5" t="str">
        <f ca="1">IFERROR(__xludf.DUMMYFUNCTION("""COMPUTED_VALUE"""),"White")</f>
        <v>White</v>
      </c>
      <c r="E2449" s="5" t="str">
        <f ca="1">IFERROR(__xludf.DUMMYFUNCTION("""COMPUTED_VALUE"""),"Student")</f>
        <v>Student</v>
      </c>
      <c r="F2449" s="5" t="str">
        <f ca="1">IFERROR(__xludf.DUMMYFUNCTION("""COMPUTED_VALUE"""),"Unknown")</f>
        <v>Unknown</v>
      </c>
      <c r="G2449" s="5" t="str">
        <f ca="1">IFERROR(__xludf.DUMMYFUNCTION("""COMPUTED_VALUE"""),"No")</f>
        <v>No</v>
      </c>
      <c r="H2449" s="5" t="str">
        <f ca="1">IFERROR(__xludf.DUMMYFUNCTION("""COMPUTED_VALUE"""),"None")</f>
        <v>None</v>
      </c>
    </row>
    <row r="2450" spans="1:8" ht="13">
      <c r="A2450" s="5" t="str">
        <f ca="1">IFERROR(__xludf.DUMMYFUNCTION("""COMPUTED_VALUE"""),"19750711MOCES")</f>
        <v>19750711MOCES</v>
      </c>
      <c r="B2450" s="5">
        <f ca="1">IFERROR(__xludf.DUMMYFUNCTION("""COMPUTED_VALUE"""),18)</f>
        <v>18</v>
      </c>
      <c r="C2450" s="5" t="str">
        <f ca="1">IFERROR(__xludf.DUMMYFUNCTION("""COMPUTED_VALUE"""),"Male")</f>
        <v>Male</v>
      </c>
      <c r="D2450" s="5"/>
      <c r="E2450" s="5" t="str">
        <f ca="1">IFERROR(__xludf.DUMMYFUNCTION("""COMPUTED_VALUE"""),"Student")</f>
        <v>Student</v>
      </c>
      <c r="F2450" s="5" t="str">
        <f ca="1">IFERROR(__xludf.DUMMYFUNCTION("""COMPUTED_VALUE"""),"Fled/Apprehended")</f>
        <v>Fled/Apprehended</v>
      </c>
      <c r="G2450" s="5" t="str">
        <f ca="1">IFERROR(__xludf.DUMMYFUNCTION("""COMPUTED_VALUE"""),"No")</f>
        <v>No</v>
      </c>
      <c r="H2450" s="5" t="str">
        <f ca="1">IFERROR(__xludf.DUMMYFUNCTION("""COMPUTED_VALUE"""),"None")</f>
        <v>None</v>
      </c>
    </row>
    <row r="2451" spans="1:8" ht="13">
      <c r="A2451" s="5" t="str">
        <f ca="1">IFERROR(__xludf.DUMMYFUNCTION("""COMPUTED_VALUE"""),"19750709ILDEC")</f>
        <v>19750709ILDEC</v>
      </c>
      <c r="B2451" s="5" t="str">
        <f ca="1">IFERROR(__xludf.DUMMYFUNCTION("""COMPUTED_VALUE"""),"Adult")</f>
        <v>Adult</v>
      </c>
      <c r="C2451" s="5" t="str">
        <f ca="1">IFERROR(__xludf.DUMMYFUNCTION("""COMPUTED_VALUE"""),"Male")</f>
        <v>Male</v>
      </c>
      <c r="D2451" s="5" t="str">
        <f ca="1">IFERROR(__xludf.DUMMYFUNCTION("""COMPUTED_VALUE"""),"Black")</f>
        <v>Black</v>
      </c>
      <c r="E2451" s="5" t="str">
        <f ca="1">IFERROR(__xludf.DUMMYFUNCTION("""COMPUTED_VALUE"""),"Intimate Relationship")</f>
        <v>Intimate Relationship</v>
      </c>
      <c r="F2451" s="5" t="str">
        <f ca="1">IFERROR(__xludf.DUMMYFUNCTION("""COMPUTED_VALUE"""),"Fled/Apprehended")</f>
        <v>Fled/Apprehended</v>
      </c>
      <c r="G2451" s="5" t="str">
        <f ca="1">IFERROR(__xludf.DUMMYFUNCTION("""COMPUTED_VALUE"""),"No")</f>
        <v>No</v>
      </c>
      <c r="H2451" s="5" t="str">
        <f ca="1">IFERROR(__xludf.DUMMYFUNCTION("""COMPUTED_VALUE"""),"None")</f>
        <v>None</v>
      </c>
    </row>
    <row r="2452" spans="1:8" ht="13">
      <c r="A2452" s="5" t="str">
        <f ca="1">IFERROR(__xludf.DUMMYFUNCTION("""COMPUTED_VALUE"""),"19750527MIPID")</f>
        <v>19750527MIPID</v>
      </c>
      <c r="B2452" s="5">
        <f ca="1">IFERROR(__xludf.DUMMYFUNCTION("""COMPUTED_VALUE"""),9)</f>
        <v>9</v>
      </c>
      <c r="C2452" s="5" t="str">
        <f ca="1">IFERROR(__xludf.DUMMYFUNCTION("""COMPUTED_VALUE"""),"Male")</f>
        <v>Male</v>
      </c>
      <c r="D2452" s="5"/>
      <c r="E2452" s="5" t="str">
        <f ca="1">IFERROR(__xludf.DUMMYFUNCTION("""COMPUTED_VALUE"""),"Student")</f>
        <v>Student</v>
      </c>
      <c r="F2452" s="5" t="str">
        <f ca="1">IFERROR(__xludf.DUMMYFUNCTION("""COMPUTED_VALUE"""),"Fled/Apprehended")</f>
        <v>Fled/Apprehended</v>
      </c>
      <c r="G2452" s="5" t="str">
        <f ca="1">IFERROR(__xludf.DUMMYFUNCTION("""COMPUTED_VALUE"""),"No")</f>
        <v>No</v>
      </c>
      <c r="H2452" s="5" t="str">
        <f ca="1">IFERROR(__xludf.DUMMYFUNCTION("""COMPUTED_VALUE"""),"None")</f>
        <v>None</v>
      </c>
    </row>
    <row r="2453" spans="1:8" ht="13">
      <c r="A2453" s="5" t="str">
        <f ca="1">IFERROR(__xludf.DUMMYFUNCTION("""COMPUTED_VALUE"""),"19750515MOROS")</f>
        <v>19750515MOROS</v>
      </c>
      <c r="B2453" s="5">
        <f ca="1">IFERROR(__xludf.DUMMYFUNCTION("""COMPUTED_VALUE"""),13)</f>
        <v>13</v>
      </c>
      <c r="C2453" s="5" t="str">
        <f ca="1">IFERROR(__xludf.DUMMYFUNCTION("""COMPUTED_VALUE"""),"Male")</f>
        <v>Male</v>
      </c>
      <c r="D2453" s="5"/>
      <c r="E2453" s="5" t="str">
        <f ca="1">IFERROR(__xludf.DUMMYFUNCTION("""COMPUTED_VALUE"""),"Student")</f>
        <v>Student</v>
      </c>
      <c r="F2453" s="5" t="str">
        <f ca="1">IFERROR(__xludf.DUMMYFUNCTION("""COMPUTED_VALUE"""),"Fled/Apprehended")</f>
        <v>Fled/Apprehended</v>
      </c>
      <c r="G2453" s="5" t="str">
        <f ca="1">IFERROR(__xludf.DUMMYFUNCTION("""COMPUTED_VALUE"""),"No")</f>
        <v>No</v>
      </c>
      <c r="H2453" s="5" t="str">
        <f ca="1">IFERROR(__xludf.DUMMYFUNCTION("""COMPUTED_VALUE"""),"None")</f>
        <v>None</v>
      </c>
    </row>
    <row r="2454" spans="1:8" ht="13">
      <c r="A2454" s="5" t="str">
        <f ca="1">IFERROR(__xludf.DUMMYFUNCTION("""COMPUTED_VALUE"""),"19750321VAFAR")</f>
        <v>19750321VAFAR</v>
      </c>
      <c r="B2454" s="5">
        <f ca="1">IFERROR(__xludf.DUMMYFUNCTION("""COMPUTED_VALUE"""),18)</f>
        <v>18</v>
      </c>
      <c r="C2454" s="5" t="str">
        <f ca="1">IFERROR(__xludf.DUMMYFUNCTION("""COMPUTED_VALUE"""),"Male")</f>
        <v>Male</v>
      </c>
      <c r="D2454" s="5"/>
      <c r="E2454" s="5" t="str">
        <f ca="1">IFERROR(__xludf.DUMMYFUNCTION("""COMPUTED_VALUE"""),"No Relation")</f>
        <v>No Relation</v>
      </c>
      <c r="F2454" s="5" t="str">
        <f ca="1">IFERROR(__xludf.DUMMYFUNCTION("""COMPUTED_VALUE"""),"Other")</f>
        <v>Other</v>
      </c>
      <c r="G2454" s="5" t="str">
        <f ca="1">IFERROR(__xludf.DUMMYFUNCTION("""COMPUTED_VALUE"""),"No")</f>
        <v>No</v>
      </c>
      <c r="H2454" s="5" t="str">
        <f ca="1">IFERROR(__xludf.DUMMYFUNCTION("""COMPUTED_VALUE"""),"None")</f>
        <v>None</v>
      </c>
    </row>
    <row r="2455" spans="1:8" ht="13">
      <c r="A2455" s="5" t="str">
        <f ca="1">IFERROR(__xludf.DUMMYFUNCTION("""COMPUTED_VALUE"""),"19750321OHPAD")</f>
        <v>19750321OHPAD</v>
      </c>
      <c r="B2455" s="5">
        <f ca="1">IFERROR(__xludf.DUMMYFUNCTION("""COMPUTED_VALUE"""),15)</f>
        <v>15</v>
      </c>
      <c r="C2455" s="5" t="str">
        <f ca="1">IFERROR(__xludf.DUMMYFUNCTION("""COMPUTED_VALUE"""),"Male")</f>
        <v>Male</v>
      </c>
      <c r="D2455" s="5"/>
      <c r="E2455" s="5" t="str">
        <f ca="1">IFERROR(__xludf.DUMMYFUNCTION("""COMPUTED_VALUE"""),"No Relation")</f>
        <v>No Relation</v>
      </c>
      <c r="F2455" s="5" t="str">
        <f ca="1">IFERROR(__xludf.DUMMYFUNCTION("""COMPUTED_VALUE"""),"Fled/Escaped")</f>
        <v>Fled/Escaped</v>
      </c>
      <c r="G2455" s="5" t="str">
        <f ca="1">IFERROR(__xludf.DUMMYFUNCTION("""COMPUTED_VALUE"""),"No")</f>
        <v>No</v>
      </c>
      <c r="H2455" s="5" t="str">
        <f ca="1">IFERROR(__xludf.DUMMYFUNCTION("""COMPUTED_VALUE"""),"None")</f>
        <v>None</v>
      </c>
    </row>
    <row r="2456" spans="1:8" ht="13">
      <c r="A2456" s="5" t="str">
        <f ca="1">IFERROR(__xludf.DUMMYFUNCTION("""COMPUTED_VALUE"""),"19750318MOSUS")</f>
        <v>19750318MOSUS</v>
      </c>
      <c r="B2456" s="5">
        <f ca="1">IFERROR(__xludf.DUMMYFUNCTION("""COMPUTED_VALUE"""),19)</f>
        <v>19</v>
      </c>
      <c r="C2456" s="5" t="str">
        <f ca="1">IFERROR(__xludf.DUMMYFUNCTION("""COMPUTED_VALUE"""),"Male")</f>
        <v>Male</v>
      </c>
      <c r="D2456" s="5"/>
      <c r="E2456" s="5" t="str">
        <f ca="1">IFERROR(__xludf.DUMMYFUNCTION("""COMPUTED_VALUE"""),"Unknown")</f>
        <v>Unknown</v>
      </c>
      <c r="F2456" s="5" t="str">
        <f ca="1">IFERROR(__xludf.DUMMYFUNCTION("""COMPUTED_VALUE"""),"Fled/Apprehended")</f>
        <v>Fled/Apprehended</v>
      </c>
      <c r="G2456" s="5" t="str">
        <f ca="1">IFERROR(__xludf.DUMMYFUNCTION("""COMPUTED_VALUE"""),"No")</f>
        <v>No</v>
      </c>
      <c r="H2456" s="5" t="str">
        <f ca="1">IFERROR(__xludf.DUMMYFUNCTION("""COMPUTED_VALUE"""),"None")</f>
        <v>None</v>
      </c>
    </row>
    <row r="2457" spans="1:8" ht="13">
      <c r="A2457" s="5" t="str">
        <f ca="1">IFERROR(__xludf.DUMMYFUNCTION("""COMPUTED_VALUE"""),"19750312TXJOH")</f>
        <v>19750312TXJOH</v>
      </c>
      <c r="B2457" s="5" t="str">
        <f ca="1">IFERROR(__xludf.DUMMYFUNCTION("""COMPUTED_VALUE"""),"Teen")</f>
        <v>Teen</v>
      </c>
      <c r="C2457" s="5"/>
      <c r="D2457" s="5"/>
      <c r="E2457" s="5" t="str">
        <f ca="1">IFERROR(__xludf.DUMMYFUNCTION("""COMPUTED_VALUE"""),"Student")</f>
        <v>Student</v>
      </c>
      <c r="F2457" s="5" t="str">
        <f ca="1">IFERROR(__xludf.DUMMYFUNCTION("""COMPUTED_VALUE"""),"Fled/Escaped")</f>
        <v>Fled/Escaped</v>
      </c>
      <c r="G2457" s="5" t="str">
        <f ca="1">IFERROR(__xludf.DUMMYFUNCTION("""COMPUTED_VALUE"""),"No")</f>
        <v>No</v>
      </c>
      <c r="H2457" s="5" t="str">
        <f ca="1">IFERROR(__xludf.DUMMYFUNCTION("""COMPUTED_VALUE"""),"None")</f>
        <v>None</v>
      </c>
    </row>
    <row r="2458" spans="1:8" ht="13">
      <c r="A2458" s="5" t="str">
        <f ca="1">IFERROR(__xludf.DUMMYFUNCTION("""COMPUTED_VALUE"""),"19750224NJSTP")</f>
        <v>19750224NJSTP</v>
      </c>
      <c r="B2458" s="5">
        <f ca="1">IFERROR(__xludf.DUMMYFUNCTION("""COMPUTED_VALUE"""),24)</f>
        <v>24</v>
      </c>
      <c r="C2458" s="5" t="str">
        <f ca="1">IFERROR(__xludf.DUMMYFUNCTION("""COMPUTED_VALUE"""),"Male")</f>
        <v>Male</v>
      </c>
      <c r="D2458" s="5"/>
      <c r="E2458" s="5" t="str">
        <f ca="1">IFERROR(__xludf.DUMMYFUNCTION("""COMPUTED_VALUE"""),"Former Student")</f>
        <v>Former Student</v>
      </c>
      <c r="F2458" s="5" t="str">
        <f ca="1">IFERROR(__xludf.DUMMYFUNCTION("""COMPUTED_VALUE"""),"Fled/Apprehended")</f>
        <v>Fled/Apprehended</v>
      </c>
      <c r="G2458" s="5" t="str">
        <f ca="1">IFERROR(__xludf.DUMMYFUNCTION("""COMPUTED_VALUE"""),"No")</f>
        <v>No</v>
      </c>
      <c r="H2458" s="5" t="str">
        <f ca="1">IFERROR(__xludf.DUMMYFUNCTION("""COMPUTED_VALUE"""),"None")</f>
        <v>None</v>
      </c>
    </row>
    <row r="2459" spans="1:8" ht="13">
      <c r="A2459" s="5" t="str">
        <f ca="1">IFERROR(__xludf.DUMMYFUNCTION("""COMPUTED_VALUE"""),"19750207NYBOM")</f>
        <v>19750207NYBOM</v>
      </c>
      <c r="B2459" s="5">
        <f ca="1">IFERROR(__xludf.DUMMYFUNCTION("""COMPUTED_VALUE"""),16)</f>
        <v>16</v>
      </c>
      <c r="C2459" s="5" t="str">
        <f ca="1">IFERROR(__xludf.DUMMYFUNCTION("""COMPUTED_VALUE"""),"Male")</f>
        <v>Male</v>
      </c>
      <c r="D2459" s="5"/>
      <c r="E2459" s="5" t="str">
        <f ca="1">IFERROR(__xludf.DUMMYFUNCTION("""COMPUTED_VALUE"""),"Student")</f>
        <v>Student</v>
      </c>
      <c r="F2459" s="5" t="str">
        <f ca="1">IFERROR(__xludf.DUMMYFUNCTION("""COMPUTED_VALUE"""),"Attempted Suicide")</f>
        <v>Attempted Suicide</v>
      </c>
      <c r="G2459" s="5" t="str">
        <f ca="1">IFERROR(__xludf.DUMMYFUNCTION("""COMPUTED_VALUE"""),"No")</f>
        <v>No</v>
      </c>
      <c r="H2459" s="5" t="str">
        <f ca="1">IFERROR(__xludf.DUMMYFUNCTION("""COMPUTED_VALUE"""),"Wounded")</f>
        <v>Wounded</v>
      </c>
    </row>
    <row r="2460" spans="1:8" ht="13">
      <c r="A2460" s="5" t="str">
        <f ca="1">IFERROR(__xludf.DUMMYFUNCTION("""COMPUTED_VALUE"""),"19741230NYOLO")</f>
        <v>19741230NYOLO</v>
      </c>
      <c r="B2460" s="5">
        <f ca="1">IFERROR(__xludf.DUMMYFUNCTION("""COMPUTED_VALUE"""),17)</f>
        <v>17</v>
      </c>
      <c r="C2460" s="5" t="str">
        <f ca="1">IFERROR(__xludf.DUMMYFUNCTION("""COMPUTED_VALUE"""),"Male")</f>
        <v>Male</v>
      </c>
      <c r="D2460" s="5" t="str">
        <f ca="1">IFERROR(__xludf.DUMMYFUNCTION("""COMPUTED_VALUE"""),"White")</f>
        <v>White</v>
      </c>
      <c r="E2460" s="5" t="str">
        <f ca="1">IFERROR(__xludf.DUMMYFUNCTION("""COMPUTED_VALUE"""),"Student")</f>
        <v>Student</v>
      </c>
      <c r="F2460" s="5" t="str">
        <f ca="1">IFERROR(__xludf.DUMMYFUNCTION("""COMPUTED_VALUE"""),"Apprehended/Killed by LE")</f>
        <v>Apprehended/Killed by LE</v>
      </c>
      <c r="G2460" s="5" t="str">
        <f ca="1">IFERROR(__xludf.DUMMYFUNCTION("""COMPUTED_VALUE"""),"No")</f>
        <v>No</v>
      </c>
      <c r="H2460" s="5" t="str">
        <f ca="1">IFERROR(__xludf.DUMMYFUNCTION("""COMPUTED_VALUE"""),"None")</f>
        <v>None</v>
      </c>
    </row>
    <row r="2461" spans="1:8" ht="13">
      <c r="A2461" s="5" t="str">
        <f ca="1">IFERROR(__xludf.DUMMYFUNCTION("""COMPUTED_VALUE"""),"19741218CAMAL")</f>
        <v>19741218CAMAL</v>
      </c>
      <c r="B2461" s="5">
        <f ca="1">IFERROR(__xludf.DUMMYFUNCTION("""COMPUTED_VALUE"""),17)</f>
        <v>17</v>
      </c>
      <c r="C2461" s="5" t="str">
        <f ca="1">IFERROR(__xludf.DUMMYFUNCTION("""COMPUTED_VALUE"""),"Male")</f>
        <v>Male</v>
      </c>
      <c r="D2461" s="5"/>
      <c r="E2461" s="5" t="str">
        <f ca="1">IFERROR(__xludf.DUMMYFUNCTION("""COMPUTED_VALUE"""),"No Relation")</f>
        <v>No Relation</v>
      </c>
      <c r="F2461" s="5" t="str">
        <f ca="1">IFERROR(__xludf.DUMMYFUNCTION("""COMPUTED_VALUE"""),"Fled/Escaped")</f>
        <v>Fled/Escaped</v>
      </c>
      <c r="G2461" s="5" t="str">
        <f ca="1">IFERROR(__xludf.DUMMYFUNCTION("""COMPUTED_VALUE"""),"No")</f>
        <v>No</v>
      </c>
      <c r="H2461" s="5" t="str">
        <f ca="1">IFERROR(__xludf.DUMMYFUNCTION("""COMPUTED_VALUE"""),"None")</f>
        <v>None</v>
      </c>
    </row>
    <row r="2462" spans="1:8" ht="13">
      <c r="A2462" s="5" t="str">
        <f ca="1">IFERROR(__xludf.DUMMYFUNCTION("""COMPUTED_VALUE"""),"19741125SCCAC")</f>
        <v>19741125SCCAC</v>
      </c>
      <c r="B2462" s="5" t="str">
        <f ca="1">IFERROR(__xludf.DUMMYFUNCTION("""COMPUTED_VALUE"""),"Teen")</f>
        <v>Teen</v>
      </c>
      <c r="C2462" s="5" t="str">
        <f ca="1">IFERROR(__xludf.DUMMYFUNCTION("""COMPUTED_VALUE"""),"Male")</f>
        <v>Male</v>
      </c>
      <c r="D2462" s="5"/>
      <c r="E2462" s="5" t="str">
        <f ca="1">IFERROR(__xludf.DUMMYFUNCTION("""COMPUTED_VALUE"""),"Student")</f>
        <v>Student</v>
      </c>
      <c r="F2462" s="5" t="str">
        <f ca="1">IFERROR(__xludf.DUMMYFUNCTION("""COMPUTED_VALUE"""),"Fled/Escaped")</f>
        <v>Fled/Escaped</v>
      </c>
      <c r="G2462" s="5" t="str">
        <f ca="1">IFERROR(__xludf.DUMMYFUNCTION("""COMPUTED_VALUE"""),"No")</f>
        <v>No</v>
      </c>
      <c r="H2462" s="5" t="str">
        <f ca="1">IFERROR(__xludf.DUMMYFUNCTION("""COMPUTED_VALUE"""),"None")</f>
        <v>None</v>
      </c>
    </row>
    <row r="2463" spans="1:8" ht="13">
      <c r="A2463" s="5" t="str">
        <f ca="1">IFERROR(__xludf.DUMMYFUNCTION("""COMPUTED_VALUE"""),"19741125SCCAC")</f>
        <v>19741125SCCAC</v>
      </c>
      <c r="B2463" s="5" t="str">
        <f ca="1">IFERROR(__xludf.DUMMYFUNCTION("""COMPUTED_VALUE"""),"Teen")</f>
        <v>Teen</v>
      </c>
      <c r="C2463" s="5" t="str">
        <f ca="1">IFERROR(__xludf.DUMMYFUNCTION("""COMPUTED_VALUE"""),"Male")</f>
        <v>Male</v>
      </c>
      <c r="D2463" s="5"/>
      <c r="E2463" s="5" t="str">
        <f ca="1">IFERROR(__xludf.DUMMYFUNCTION("""COMPUTED_VALUE"""),"Student")</f>
        <v>Student</v>
      </c>
      <c r="F2463" s="5" t="str">
        <f ca="1">IFERROR(__xludf.DUMMYFUNCTION("""COMPUTED_VALUE"""),"Fled/Escaped")</f>
        <v>Fled/Escaped</v>
      </c>
      <c r="G2463" s="5" t="str">
        <f ca="1">IFERROR(__xludf.DUMMYFUNCTION("""COMPUTED_VALUE"""),"No")</f>
        <v>No</v>
      </c>
      <c r="H2463" s="5" t="str">
        <f ca="1">IFERROR(__xludf.DUMMYFUNCTION("""COMPUTED_VALUE"""),"None")</f>
        <v>None</v>
      </c>
    </row>
    <row r="2464" spans="1:8" ht="13">
      <c r="A2464" s="5" t="str">
        <f ca="1">IFERROR(__xludf.DUMMYFUNCTION("""COMPUTED_VALUE"""),"19741121ARBOL")</f>
        <v>19741121ARBOL</v>
      </c>
      <c r="B2464" s="5">
        <f ca="1">IFERROR(__xludf.DUMMYFUNCTION("""COMPUTED_VALUE"""),15)</f>
        <v>15</v>
      </c>
      <c r="C2464" s="5" t="str">
        <f ca="1">IFERROR(__xludf.DUMMYFUNCTION("""COMPUTED_VALUE"""),"Male")</f>
        <v>Male</v>
      </c>
      <c r="D2464" s="5"/>
      <c r="E2464" s="5" t="str">
        <f ca="1">IFERROR(__xludf.DUMMYFUNCTION("""COMPUTED_VALUE"""),"Student")</f>
        <v>Student</v>
      </c>
      <c r="F2464" s="5" t="str">
        <f ca="1">IFERROR(__xludf.DUMMYFUNCTION("""COMPUTED_VALUE"""),"Surrendered")</f>
        <v>Surrendered</v>
      </c>
      <c r="G2464" s="5" t="str">
        <f ca="1">IFERROR(__xludf.DUMMYFUNCTION("""COMPUTED_VALUE"""),"No")</f>
        <v>No</v>
      </c>
      <c r="H2464" s="5" t="str">
        <f ca="1">IFERROR(__xludf.DUMMYFUNCTION("""COMPUTED_VALUE"""),"None")</f>
        <v>None</v>
      </c>
    </row>
    <row r="2465" spans="1:8" ht="13">
      <c r="A2465" s="5" t="str">
        <f ca="1">IFERROR(__xludf.DUMMYFUNCTION("""COMPUTED_VALUE"""),"19741118SCCAC")</f>
        <v>19741118SCCAC</v>
      </c>
      <c r="B2465" s="5"/>
      <c r="C2465" s="5" t="str">
        <f ca="1">IFERROR(__xludf.DUMMYFUNCTION("""COMPUTED_VALUE"""),"Male")</f>
        <v>Male</v>
      </c>
      <c r="D2465" s="5"/>
      <c r="E2465" s="5" t="str">
        <f ca="1">IFERROR(__xludf.DUMMYFUNCTION("""COMPUTED_VALUE"""),"No Relation")</f>
        <v>No Relation</v>
      </c>
      <c r="F2465" s="5" t="str">
        <f ca="1">IFERROR(__xludf.DUMMYFUNCTION("""COMPUTED_VALUE"""),"Fled/Escaped")</f>
        <v>Fled/Escaped</v>
      </c>
      <c r="G2465" s="5" t="str">
        <f ca="1">IFERROR(__xludf.DUMMYFUNCTION("""COMPUTED_VALUE"""),"No")</f>
        <v>No</v>
      </c>
      <c r="H2465" s="5" t="str">
        <f ca="1">IFERROR(__xludf.DUMMYFUNCTION("""COMPUTED_VALUE"""),"None")</f>
        <v>None</v>
      </c>
    </row>
    <row r="2466" spans="1:8" ht="13">
      <c r="A2466" s="5" t="str">
        <f ca="1">IFERROR(__xludf.DUMMYFUNCTION("""COMPUTED_VALUE"""),"19741021MDDOB")</f>
        <v>19741021MDDOB</v>
      </c>
      <c r="B2466" s="5">
        <f ca="1">IFERROR(__xludf.DUMMYFUNCTION("""COMPUTED_VALUE"""),15)</f>
        <v>15</v>
      </c>
      <c r="C2466" s="5" t="str">
        <f ca="1">IFERROR(__xludf.DUMMYFUNCTION("""COMPUTED_VALUE"""),"Male")</f>
        <v>Male</v>
      </c>
      <c r="D2466" s="5"/>
      <c r="E2466" s="5" t="str">
        <f ca="1">IFERROR(__xludf.DUMMYFUNCTION("""COMPUTED_VALUE"""),"No Relation")</f>
        <v>No Relation</v>
      </c>
      <c r="F2466" s="5" t="str">
        <f ca="1">IFERROR(__xludf.DUMMYFUNCTION("""COMPUTED_VALUE"""),"Fled/Apprehended")</f>
        <v>Fled/Apprehended</v>
      </c>
      <c r="G2466" s="5" t="str">
        <f ca="1">IFERROR(__xludf.DUMMYFUNCTION("""COMPUTED_VALUE"""),"No")</f>
        <v>No</v>
      </c>
      <c r="H2466" s="5" t="str">
        <f ca="1">IFERROR(__xludf.DUMMYFUNCTION("""COMPUTED_VALUE"""),"None")</f>
        <v>None</v>
      </c>
    </row>
    <row r="2467" spans="1:8" ht="13">
      <c r="A2467" s="5" t="str">
        <f ca="1">IFERROR(__xludf.DUMMYFUNCTION("""COMPUTED_VALUE"""),"19741007LADEH")</f>
        <v>19741007LADEH</v>
      </c>
      <c r="B2467" s="5">
        <f ca="1">IFERROR(__xludf.DUMMYFUNCTION("""COMPUTED_VALUE"""),17)</f>
        <v>17</v>
      </c>
      <c r="C2467" s="5" t="str">
        <f ca="1">IFERROR(__xludf.DUMMYFUNCTION("""COMPUTED_VALUE"""),"Male")</f>
        <v>Male</v>
      </c>
      <c r="D2467" s="5" t="str">
        <f ca="1">IFERROR(__xludf.DUMMYFUNCTION("""COMPUTED_VALUE"""),"Black")</f>
        <v>Black</v>
      </c>
      <c r="E2467" s="5" t="str">
        <f ca="1">IFERROR(__xludf.DUMMYFUNCTION("""COMPUTED_VALUE"""),"Student")</f>
        <v>Student</v>
      </c>
      <c r="F2467" s="5" t="str">
        <f ca="1">IFERROR(__xludf.DUMMYFUNCTION("""COMPUTED_VALUE"""),"Apprehended/Killed by LE")</f>
        <v>Apprehended/Killed by LE</v>
      </c>
      <c r="G2467" s="5" t="str">
        <f ca="1">IFERROR(__xludf.DUMMYFUNCTION("""COMPUTED_VALUE"""),"No")</f>
        <v>No</v>
      </c>
      <c r="H2467" s="5" t="str">
        <f ca="1">IFERROR(__xludf.DUMMYFUNCTION("""COMPUTED_VALUE"""),"None")</f>
        <v>None</v>
      </c>
    </row>
    <row r="2468" spans="1:8" ht="13">
      <c r="A2468" s="5" t="str">
        <f ca="1">IFERROR(__xludf.DUMMYFUNCTION("""COMPUTED_VALUE"""),"19740925CASAL")</f>
        <v>19740925CASAL</v>
      </c>
      <c r="B2468" s="5">
        <f ca="1">IFERROR(__xludf.DUMMYFUNCTION("""COMPUTED_VALUE"""),17)</f>
        <v>17</v>
      </c>
      <c r="C2468" s="5" t="str">
        <f ca="1">IFERROR(__xludf.DUMMYFUNCTION("""COMPUTED_VALUE"""),"Male")</f>
        <v>Male</v>
      </c>
      <c r="D2468" s="5"/>
      <c r="E2468" s="5" t="str">
        <f ca="1">IFERROR(__xludf.DUMMYFUNCTION("""COMPUTED_VALUE"""),"Student")</f>
        <v>Student</v>
      </c>
      <c r="F2468" s="5" t="str">
        <f ca="1">IFERROR(__xludf.DUMMYFUNCTION("""COMPUTED_VALUE"""),"Fled/Apprehended")</f>
        <v>Fled/Apprehended</v>
      </c>
      <c r="G2468" s="5" t="str">
        <f ca="1">IFERROR(__xludf.DUMMYFUNCTION("""COMPUTED_VALUE"""),"No")</f>
        <v>No</v>
      </c>
      <c r="H2468" s="5" t="str">
        <f ca="1">IFERROR(__xludf.DUMMYFUNCTION("""COMPUTED_VALUE"""),"None")</f>
        <v>None</v>
      </c>
    </row>
    <row r="2469" spans="1:8" ht="13">
      <c r="A2469" s="5" t="str">
        <f ca="1">IFERROR(__xludf.DUMMYFUNCTION("""COMPUTED_VALUE"""),"19740923CAJED")</f>
        <v>19740923CAJED</v>
      </c>
      <c r="B2469" s="5" t="str">
        <f ca="1">IFERROR(__xludf.DUMMYFUNCTION("""COMPUTED_VALUE"""),"Teen")</f>
        <v>Teen</v>
      </c>
      <c r="C2469" s="5" t="str">
        <f ca="1">IFERROR(__xludf.DUMMYFUNCTION("""COMPUTED_VALUE"""),"Male")</f>
        <v>Male</v>
      </c>
      <c r="D2469" s="5"/>
      <c r="E2469" s="5" t="str">
        <f ca="1">IFERROR(__xludf.DUMMYFUNCTION("""COMPUTED_VALUE"""),"Student")</f>
        <v>Student</v>
      </c>
      <c r="F2469" s="5" t="str">
        <f ca="1">IFERROR(__xludf.DUMMYFUNCTION("""COMPUTED_VALUE"""),"Fled/Apprehended")</f>
        <v>Fled/Apprehended</v>
      </c>
      <c r="G2469" s="5" t="str">
        <f ca="1">IFERROR(__xludf.DUMMYFUNCTION("""COMPUTED_VALUE"""),"No")</f>
        <v>No</v>
      </c>
      <c r="H2469" s="5" t="str">
        <f ca="1">IFERROR(__xludf.DUMMYFUNCTION("""COMPUTED_VALUE"""),"None")</f>
        <v>None</v>
      </c>
    </row>
    <row r="2470" spans="1:8" ht="13">
      <c r="A2470" s="5" t="str">
        <f ca="1">IFERROR(__xludf.DUMMYFUNCTION("""COMPUTED_VALUE"""),"19740923CAJED")</f>
        <v>19740923CAJED</v>
      </c>
      <c r="B2470" s="5" t="str">
        <f ca="1">IFERROR(__xludf.DUMMYFUNCTION("""COMPUTED_VALUE"""),"Teen")</f>
        <v>Teen</v>
      </c>
      <c r="C2470" s="5" t="str">
        <f ca="1">IFERROR(__xludf.DUMMYFUNCTION("""COMPUTED_VALUE"""),"Male")</f>
        <v>Male</v>
      </c>
      <c r="D2470" s="5"/>
      <c r="E2470" s="5" t="str">
        <f ca="1">IFERROR(__xludf.DUMMYFUNCTION("""COMPUTED_VALUE"""),"Student")</f>
        <v>Student</v>
      </c>
      <c r="F2470" s="5" t="str">
        <f ca="1">IFERROR(__xludf.DUMMYFUNCTION("""COMPUTED_VALUE"""),"Fled/Apprehended")</f>
        <v>Fled/Apprehended</v>
      </c>
      <c r="G2470" s="5" t="str">
        <f ca="1">IFERROR(__xludf.DUMMYFUNCTION("""COMPUTED_VALUE"""),"No")</f>
        <v>No</v>
      </c>
      <c r="H2470" s="5" t="str">
        <f ca="1">IFERROR(__xludf.DUMMYFUNCTION("""COMPUTED_VALUE"""),"None")</f>
        <v>None</v>
      </c>
    </row>
    <row r="2471" spans="1:8" ht="13">
      <c r="A2471" s="5" t="str">
        <f ca="1">IFERROR(__xludf.DUMMYFUNCTION("""COMPUTED_VALUE"""),"19740923CAJED")</f>
        <v>19740923CAJED</v>
      </c>
      <c r="B2471" s="5" t="str">
        <f ca="1">IFERROR(__xludf.DUMMYFUNCTION("""COMPUTED_VALUE"""),"Teen")</f>
        <v>Teen</v>
      </c>
      <c r="C2471" s="5" t="str">
        <f ca="1">IFERROR(__xludf.DUMMYFUNCTION("""COMPUTED_VALUE"""),"Male")</f>
        <v>Male</v>
      </c>
      <c r="D2471" s="5"/>
      <c r="E2471" s="5" t="str">
        <f ca="1">IFERROR(__xludf.DUMMYFUNCTION("""COMPUTED_VALUE"""),"Student")</f>
        <v>Student</v>
      </c>
      <c r="F2471" s="5" t="str">
        <f ca="1">IFERROR(__xludf.DUMMYFUNCTION("""COMPUTED_VALUE"""),"Fled/Apprehended")</f>
        <v>Fled/Apprehended</v>
      </c>
      <c r="G2471" s="5" t="str">
        <f ca="1">IFERROR(__xludf.DUMMYFUNCTION("""COMPUTED_VALUE"""),"No")</f>
        <v>No</v>
      </c>
      <c r="H2471" s="5" t="str">
        <f ca="1">IFERROR(__xludf.DUMMYFUNCTION("""COMPUTED_VALUE"""),"None")</f>
        <v>None</v>
      </c>
    </row>
    <row r="2472" spans="1:8" ht="13">
      <c r="A2472" s="5" t="str">
        <f ca="1">IFERROR(__xludf.DUMMYFUNCTION("""COMPUTED_VALUE"""),"19740519FLHIO")</f>
        <v>19740519FLHIO</v>
      </c>
      <c r="B2472" s="5">
        <f ca="1">IFERROR(__xludf.DUMMYFUNCTION("""COMPUTED_VALUE"""),35)</f>
        <v>35</v>
      </c>
      <c r="C2472" s="5" t="str">
        <f ca="1">IFERROR(__xludf.DUMMYFUNCTION("""COMPUTED_VALUE"""),"Male")</f>
        <v>Male</v>
      </c>
      <c r="D2472" s="5"/>
      <c r="E2472" s="5" t="str">
        <f ca="1">IFERROR(__xludf.DUMMYFUNCTION("""COMPUTED_VALUE"""),"Intimate Relationship")</f>
        <v>Intimate Relationship</v>
      </c>
      <c r="F2472" s="5" t="str">
        <f ca="1">IFERROR(__xludf.DUMMYFUNCTION("""COMPUTED_VALUE"""),"Fled/Apprehended")</f>
        <v>Fled/Apprehended</v>
      </c>
      <c r="G2472" s="5" t="str">
        <f ca="1">IFERROR(__xludf.DUMMYFUNCTION("""COMPUTED_VALUE"""),"No")</f>
        <v>No</v>
      </c>
      <c r="H2472" s="5" t="str">
        <f ca="1">IFERROR(__xludf.DUMMYFUNCTION("""COMPUTED_VALUE"""),"None")</f>
        <v>None</v>
      </c>
    </row>
    <row r="2473" spans="1:8" ht="13">
      <c r="A2473" s="5" t="str">
        <f ca="1">IFERROR(__xludf.DUMMYFUNCTION("""COMPUTED_VALUE"""),"19740510TNCHR")</f>
        <v>19740510TNCHR</v>
      </c>
      <c r="B2473" s="5">
        <f ca="1">IFERROR(__xludf.DUMMYFUNCTION("""COMPUTED_VALUE"""),20)</f>
        <v>20</v>
      </c>
      <c r="C2473" s="5" t="str">
        <f ca="1">IFERROR(__xludf.DUMMYFUNCTION("""COMPUTED_VALUE"""),"Male")</f>
        <v>Male</v>
      </c>
      <c r="D2473" s="5"/>
      <c r="E2473" s="5" t="str">
        <f ca="1">IFERROR(__xludf.DUMMYFUNCTION("""COMPUTED_VALUE"""),"Student")</f>
        <v>Student</v>
      </c>
      <c r="F2473" s="5" t="str">
        <f ca="1">IFERROR(__xludf.DUMMYFUNCTION("""COMPUTED_VALUE"""),"Surrendered")</f>
        <v>Surrendered</v>
      </c>
      <c r="G2473" s="5" t="str">
        <f ca="1">IFERROR(__xludf.DUMMYFUNCTION("""COMPUTED_VALUE"""),"No")</f>
        <v>No</v>
      </c>
      <c r="H2473" s="5" t="str">
        <f ca="1">IFERROR(__xludf.DUMMYFUNCTION("""COMPUTED_VALUE"""),"None")</f>
        <v>None</v>
      </c>
    </row>
    <row r="2474" spans="1:8" ht="13">
      <c r="A2474" s="5" t="str">
        <f ca="1">IFERROR(__xludf.DUMMYFUNCTION("""COMPUTED_VALUE"""),"19740402CTSTB")</f>
        <v>19740402CTSTB</v>
      </c>
      <c r="B2474" s="5"/>
      <c r="C2474" s="5"/>
      <c r="D2474" s="5"/>
      <c r="E2474" s="5" t="str">
        <f ca="1">IFERROR(__xludf.DUMMYFUNCTION("""COMPUTED_VALUE"""),"Unknown")</f>
        <v>Unknown</v>
      </c>
      <c r="F2474" s="5" t="str">
        <f ca="1">IFERROR(__xludf.DUMMYFUNCTION("""COMPUTED_VALUE"""),"Fled/Escaped")</f>
        <v>Fled/Escaped</v>
      </c>
      <c r="G2474" s="5" t="str">
        <f ca="1">IFERROR(__xludf.DUMMYFUNCTION("""COMPUTED_VALUE"""),"No")</f>
        <v>No</v>
      </c>
      <c r="H2474" s="5" t="str">
        <f ca="1">IFERROR(__xludf.DUMMYFUNCTION("""COMPUTED_VALUE"""),"None")</f>
        <v>None</v>
      </c>
    </row>
    <row r="2475" spans="1:8" ht="13">
      <c r="A2475" s="5" t="str">
        <f ca="1">IFERROR(__xludf.DUMMYFUNCTION("""COMPUTED_VALUE"""),"19740322INBRB")</f>
        <v>19740322INBRB</v>
      </c>
      <c r="B2475" s="5">
        <f ca="1">IFERROR(__xludf.DUMMYFUNCTION("""COMPUTED_VALUE"""),17)</f>
        <v>17</v>
      </c>
      <c r="C2475" s="5" t="str">
        <f ca="1">IFERROR(__xludf.DUMMYFUNCTION("""COMPUTED_VALUE"""),"Male")</f>
        <v>Male</v>
      </c>
      <c r="D2475" s="5" t="str">
        <f ca="1">IFERROR(__xludf.DUMMYFUNCTION("""COMPUTED_VALUE"""),"White")</f>
        <v>White</v>
      </c>
      <c r="E2475" s="5" t="str">
        <f ca="1">IFERROR(__xludf.DUMMYFUNCTION("""COMPUTED_VALUE"""),"Student")</f>
        <v>Student</v>
      </c>
      <c r="F2475" s="5" t="str">
        <f ca="1">IFERROR(__xludf.DUMMYFUNCTION("""COMPUTED_VALUE"""),"Surrendered")</f>
        <v>Surrendered</v>
      </c>
      <c r="G2475" s="5" t="str">
        <f ca="1">IFERROR(__xludf.DUMMYFUNCTION("""COMPUTED_VALUE"""),"No")</f>
        <v>No</v>
      </c>
      <c r="H2475" s="5" t="str">
        <f ca="1">IFERROR(__xludf.DUMMYFUNCTION("""COMPUTED_VALUE"""),"None")</f>
        <v>None</v>
      </c>
    </row>
    <row r="2476" spans="1:8" ht="13">
      <c r="A2476" s="5" t="str">
        <f ca="1">IFERROR(__xludf.DUMMYFUNCTION("""COMPUTED_VALUE"""),"19740207CAJAO")</f>
        <v>19740207CAJAO</v>
      </c>
      <c r="B2476" s="5">
        <f ca="1">IFERROR(__xludf.DUMMYFUNCTION("""COMPUTED_VALUE"""),24)</f>
        <v>24</v>
      </c>
      <c r="C2476" s="5" t="str">
        <f ca="1">IFERROR(__xludf.DUMMYFUNCTION("""COMPUTED_VALUE"""),"Male")</f>
        <v>Male</v>
      </c>
      <c r="D2476" s="5" t="str">
        <f ca="1">IFERROR(__xludf.DUMMYFUNCTION("""COMPUTED_VALUE"""),"Black")</f>
        <v>Black</v>
      </c>
      <c r="E2476" s="5" t="str">
        <f ca="1">IFERROR(__xludf.DUMMYFUNCTION("""COMPUTED_VALUE"""),"No Relation")</f>
        <v>No Relation</v>
      </c>
      <c r="F2476" s="5" t="str">
        <f ca="1">IFERROR(__xludf.DUMMYFUNCTION("""COMPUTED_VALUE"""),"Fled/Apprehended")</f>
        <v>Fled/Apprehended</v>
      </c>
      <c r="G2476" s="5" t="str">
        <f ca="1">IFERROR(__xludf.DUMMYFUNCTION("""COMPUTED_VALUE"""),"No")</f>
        <v>No</v>
      </c>
      <c r="H2476" s="5" t="str">
        <f ca="1">IFERROR(__xludf.DUMMYFUNCTION("""COMPUTED_VALUE"""),"None")</f>
        <v>None</v>
      </c>
    </row>
    <row r="2477" spans="1:8" ht="13">
      <c r="A2477" s="5" t="str">
        <f ca="1">IFERROR(__xludf.DUMMYFUNCTION("""COMPUTED_VALUE"""),"19740122CALOL")</f>
        <v>19740122CALOL</v>
      </c>
      <c r="B2477" s="5">
        <f ca="1">IFERROR(__xludf.DUMMYFUNCTION("""COMPUTED_VALUE"""),15)</f>
        <v>15</v>
      </c>
      <c r="C2477" s="5" t="str">
        <f ca="1">IFERROR(__xludf.DUMMYFUNCTION("""COMPUTED_VALUE"""),"Male")</f>
        <v>Male</v>
      </c>
      <c r="D2477" s="5"/>
      <c r="E2477" s="5" t="str">
        <f ca="1">IFERROR(__xludf.DUMMYFUNCTION("""COMPUTED_VALUE"""),"No Relation")</f>
        <v>No Relation</v>
      </c>
      <c r="F2477" s="5" t="str">
        <f ca="1">IFERROR(__xludf.DUMMYFUNCTION("""COMPUTED_VALUE"""),"Fled/Apprehended")</f>
        <v>Fled/Apprehended</v>
      </c>
      <c r="G2477" s="5" t="str">
        <f ca="1">IFERROR(__xludf.DUMMYFUNCTION("""COMPUTED_VALUE"""),"No")</f>
        <v>No</v>
      </c>
      <c r="H2477" s="5" t="str">
        <f ca="1">IFERROR(__xludf.DUMMYFUNCTION("""COMPUTED_VALUE"""),"None")</f>
        <v>None</v>
      </c>
    </row>
    <row r="2478" spans="1:8" ht="13">
      <c r="A2478" s="5" t="str">
        <f ca="1">IFERROR(__xludf.DUMMYFUNCTION("""COMPUTED_VALUE"""),"19740117ILBAC")</f>
        <v>19740117ILBAC</v>
      </c>
      <c r="B2478" s="5">
        <f ca="1">IFERROR(__xludf.DUMMYFUNCTION("""COMPUTED_VALUE"""),14)</f>
        <v>14</v>
      </c>
      <c r="C2478" s="5" t="str">
        <f ca="1">IFERROR(__xludf.DUMMYFUNCTION("""COMPUTED_VALUE"""),"Male")</f>
        <v>Male</v>
      </c>
      <c r="D2478" s="5"/>
      <c r="E2478" s="5" t="str">
        <f ca="1">IFERROR(__xludf.DUMMYFUNCTION("""COMPUTED_VALUE"""),"Former Student")</f>
        <v>Former Student</v>
      </c>
      <c r="F2478" s="5" t="str">
        <f ca="1">IFERROR(__xludf.DUMMYFUNCTION("""COMPUTED_VALUE"""),"Subdued by Students/Staff/Other")</f>
        <v>Subdued by Students/Staff/Other</v>
      </c>
      <c r="G2478" s="5" t="str">
        <f ca="1">IFERROR(__xludf.DUMMYFUNCTION("""COMPUTED_VALUE"""),"No")</f>
        <v>No</v>
      </c>
      <c r="H2478" s="5" t="str">
        <f ca="1">IFERROR(__xludf.DUMMYFUNCTION("""COMPUTED_VALUE"""),"None")</f>
        <v>None</v>
      </c>
    </row>
    <row r="2479" spans="1:8" ht="13">
      <c r="A2479" s="5" t="str">
        <f ca="1">IFERROR(__xludf.DUMMYFUNCTION("""COMPUTED_VALUE"""),"19731213OHHUC")</f>
        <v>19731213OHHUC</v>
      </c>
      <c r="B2479" s="5">
        <f ca="1">IFERROR(__xludf.DUMMYFUNCTION("""COMPUTED_VALUE"""),16)</f>
        <v>16</v>
      </c>
      <c r="C2479" s="5" t="str">
        <f ca="1">IFERROR(__xludf.DUMMYFUNCTION("""COMPUTED_VALUE"""),"Male")</f>
        <v>Male</v>
      </c>
      <c r="D2479" s="5"/>
      <c r="E2479" s="5" t="str">
        <f ca="1">IFERROR(__xludf.DUMMYFUNCTION("""COMPUTED_VALUE"""),"Student")</f>
        <v>Student</v>
      </c>
      <c r="F2479" s="5" t="str">
        <f ca="1">IFERROR(__xludf.DUMMYFUNCTION("""COMPUTED_VALUE"""),"Fled/Apprehended")</f>
        <v>Fled/Apprehended</v>
      </c>
      <c r="G2479" s="5" t="str">
        <f ca="1">IFERROR(__xludf.DUMMYFUNCTION("""COMPUTED_VALUE"""),"No")</f>
        <v>No</v>
      </c>
      <c r="H2479" s="5" t="str">
        <f ca="1">IFERROR(__xludf.DUMMYFUNCTION("""COMPUTED_VALUE"""),"None")</f>
        <v>None</v>
      </c>
    </row>
    <row r="2480" spans="1:8" ht="13">
      <c r="A2480" s="5" t="str">
        <f ca="1">IFERROR(__xludf.DUMMYFUNCTION("""COMPUTED_VALUE"""),"19731206CAFRL")</f>
        <v>19731206CAFRL</v>
      </c>
      <c r="B2480" s="5"/>
      <c r="C2480" s="5"/>
      <c r="D2480" s="5"/>
      <c r="E2480" s="5" t="str">
        <f ca="1">IFERROR(__xludf.DUMMYFUNCTION("""COMPUTED_VALUE"""),"Student")</f>
        <v>Student</v>
      </c>
      <c r="F2480" s="5" t="str">
        <f ca="1">IFERROR(__xludf.DUMMYFUNCTION("""COMPUTED_VALUE"""),"Fled/Apprehended")</f>
        <v>Fled/Apprehended</v>
      </c>
      <c r="G2480" s="5" t="str">
        <f ca="1">IFERROR(__xludf.DUMMYFUNCTION("""COMPUTED_VALUE"""),"No")</f>
        <v>No</v>
      </c>
      <c r="H2480" s="5" t="str">
        <f ca="1">IFERROR(__xludf.DUMMYFUNCTION("""COMPUTED_VALUE"""),"None")</f>
        <v>None</v>
      </c>
    </row>
    <row r="2481" spans="1:8" ht="13">
      <c r="A2481" s="5" t="str">
        <f ca="1">IFERROR(__xludf.DUMMYFUNCTION("""COMPUTED_VALUE"""),"19731109CALOL")</f>
        <v>19731109CALOL</v>
      </c>
      <c r="B2481" s="5" t="str">
        <f ca="1">IFERROR(__xludf.DUMMYFUNCTION("""COMPUTED_VALUE"""),"Teen")</f>
        <v>Teen</v>
      </c>
      <c r="C2481" s="5" t="str">
        <f ca="1">IFERROR(__xludf.DUMMYFUNCTION("""COMPUTED_VALUE"""),"Male")</f>
        <v>Male</v>
      </c>
      <c r="D2481" s="5"/>
      <c r="E2481" s="5" t="str">
        <f ca="1">IFERROR(__xludf.DUMMYFUNCTION("""COMPUTED_VALUE"""),"Unknown")</f>
        <v>Unknown</v>
      </c>
      <c r="F2481" s="5" t="str">
        <f ca="1">IFERROR(__xludf.DUMMYFUNCTION("""COMPUTED_VALUE"""),"Fled/Apprehended")</f>
        <v>Fled/Apprehended</v>
      </c>
      <c r="G2481" s="5" t="str">
        <f ca="1">IFERROR(__xludf.DUMMYFUNCTION("""COMPUTED_VALUE"""),"No")</f>
        <v>No</v>
      </c>
      <c r="H2481" s="5" t="str">
        <f ca="1">IFERROR(__xludf.DUMMYFUNCTION("""COMPUTED_VALUE"""),"None")</f>
        <v>None</v>
      </c>
    </row>
    <row r="2482" spans="1:8" ht="13">
      <c r="A2482" s="5" t="str">
        <f ca="1">IFERROR(__xludf.DUMMYFUNCTION("""COMPUTED_VALUE"""),"19731108ILWOC")</f>
        <v>19731108ILWOC</v>
      </c>
      <c r="B2482" s="5">
        <f ca="1">IFERROR(__xludf.DUMMYFUNCTION("""COMPUTED_VALUE"""),16)</f>
        <v>16</v>
      </c>
      <c r="C2482" s="5" t="str">
        <f ca="1">IFERROR(__xludf.DUMMYFUNCTION("""COMPUTED_VALUE"""),"Male")</f>
        <v>Male</v>
      </c>
      <c r="D2482" s="5"/>
      <c r="E2482" s="5" t="str">
        <f ca="1">IFERROR(__xludf.DUMMYFUNCTION("""COMPUTED_VALUE"""),"Student")</f>
        <v>Student</v>
      </c>
      <c r="F2482" s="5" t="str">
        <f ca="1">IFERROR(__xludf.DUMMYFUNCTION("""COMPUTED_VALUE"""),"Fled/Apprehended")</f>
        <v>Fled/Apprehended</v>
      </c>
      <c r="G2482" s="5" t="str">
        <f ca="1">IFERROR(__xludf.DUMMYFUNCTION("""COMPUTED_VALUE"""),"No")</f>
        <v>No</v>
      </c>
      <c r="H2482" s="5" t="str">
        <f ca="1">IFERROR(__xludf.DUMMYFUNCTION("""COMPUTED_VALUE"""),"None")</f>
        <v>None</v>
      </c>
    </row>
    <row r="2483" spans="1:8" ht="13">
      <c r="A2483" s="5" t="str">
        <f ca="1">IFERROR(__xludf.DUMMYFUNCTION("""COMPUTED_VALUE"""),"19731031MONOS")</f>
        <v>19731031MONOS</v>
      </c>
      <c r="B2483" s="5">
        <f ca="1">IFERROR(__xludf.DUMMYFUNCTION("""COMPUTED_VALUE"""),18)</f>
        <v>18</v>
      </c>
      <c r="C2483" s="5" t="str">
        <f ca="1">IFERROR(__xludf.DUMMYFUNCTION("""COMPUTED_VALUE"""),"Male")</f>
        <v>Male</v>
      </c>
      <c r="D2483" s="5"/>
      <c r="E2483" s="5" t="str">
        <f ca="1">IFERROR(__xludf.DUMMYFUNCTION("""COMPUTED_VALUE"""),"No Relation")</f>
        <v>No Relation</v>
      </c>
      <c r="F2483" s="5" t="str">
        <f ca="1">IFERROR(__xludf.DUMMYFUNCTION("""COMPUTED_VALUE"""),"Fled/Apprehended")</f>
        <v>Fled/Apprehended</v>
      </c>
      <c r="G2483" s="5" t="str">
        <f ca="1">IFERROR(__xludf.DUMMYFUNCTION("""COMPUTED_VALUE"""),"No")</f>
        <v>No</v>
      </c>
      <c r="H2483" s="5" t="str">
        <f ca="1">IFERROR(__xludf.DUMMYFUNCTION("""COMPUTED_VALUE"""),"None")</f>
        <v>None</v>
      </c>
    </row>
    <row r="2484" spans="1:8" ht="13">
      <c r="A2484" s="5" t="str">
        <f ca="1">IFERROR(__xludf.DUMMYFUNCTION("""COMPUTED_VALUE"""),"19731024MNCEM")</f>
        <v>19731024MNCEM</v>
      </c>
      <c r="B2484" s="5">
        <f ca="1">IFERROR(__xludf.DUMMYFUNCTION("""COMPUTED_VALUE"""),17)</f>
        <v>17</v>
      </c>
      <c r="C2484" s="5" t="str">
        <f ca="1">IFERROR(__xludf.DUMMYFUNCTION("""COMPUTED_VALUE"""),"Male")</f>
        <v>Male</v>
      </c>
      <c r="D2484" s="5"/>
      <c r="E2484" s="5" t="str">
        <f ca="1">IFERROR(__xludf.DUMMYFUNCTION("""COMPUTED_VALUE"""),"Student")</f>
        <v>Student</v>
      </c>
      <c r="F2484" s="5" t="str">
        <f ca="1">IFERROR(__xludf.DUMMYFUNCTION("""COMPUTED_VALUE"""),"Fled/Apprehended")</f>
        <v>Fled/Apprehended</v>
      </c>
      <c r="G2484" s="5" t="str">
        <f ca="1">IFERROR(__xludf.DUMMYFUNCTION("""COMPUTED_VALUE"""),"No")</f>
        <v>No</v>
      </c>
      <c r="H2484" s="5" t="str">
        <f ca="1">IFERROR(__xludf.DUMMYFUNCTION("""COMPUTED_VALUE"""),"None")</f>
        <v>None</v>
      </c>
    </row>
    <row r="2485" spans="1:8" ht="13">
      <c r="A2485" s="5" t="str">
        <f ca="1">IFERROR(__xludf.DUMMYFUNCTION("""COMPUTED_VALUE"""),"19731023OHBAB")</f>
        <v>19731023OHBAB</v>
      </c>
      <c r="B2485" s="5">
        <f ca="1">IFERROR(__xludf.DUMMYFUNCTION("""COMPUTED_VALUE"""),17)</f>
        <v>17</v>
      </c>
      <c r="C2485" s="5" t="str">
        <f ca="1">IFERROR(__xludf.DUMMYFUNCTION("""COMPUTED_VALUE"""),"Male")</f>
        <v>Male</v>
      </c>
      <c r="D2485" s="5" t="str">
        <f ca="1">IFERROR(__xludf.DUMMYFUNCTION("""COMPUTED_VALUE"""),"White")</f>
        <v>White</v>
      </c>
      <c r="E2485" s="5" t="str">
        <f ca="1">IFERROR(__xludf.DUMMYFUNCTION("""COMPUTED_VALUE"""),"Student")</f>
        <v>Student</v>
      </c>
      <c r="F2485" s="5" t="str">
        <f ca="1">IFERROR(__xludf.DUMMYFUNCTION("""COMPUTED_VALUE"""),"Fled/Apprehended")</f>
        <v>Fled/Apprehended</v>
      </c>
      <c r="G2485" s="5" t="str">
        <f ca="1">IFERROR(__xludf.DUMMYFUNCTION("""COMPUTED_VALUE"""),"No")</f>
        <v>No</v>
      </c>
      <c r="H2485" s="5" t="str">
        <f ca="1">IFERROR(__xludf.DUMMYFUNCTION("""COMPUTED_VALUE"""),"None")</f>
        <v>None</v>
      </c>
    </row>
    <row r="2486" spans="1:8" ht="13">
      <c r="A2486" s="5" t="str">
        <f ca="1">IFERROR(__xludf.DUMMYFUNCTION("""COMPUTED_VALUE"""),"19731023MOSUS")</f>
        <v>19731023MOSUS</v>
      </c>
      <c r="B2486" s="5">
        <f ca="1">IFERROR(__xludf.DUMMYFUNCTION("""COMPUTED_VALUE"""),14)</f>
        <v>14</v>
      </c>
      <c r="C2486" s="5" t="str">
        <f ca="1">IFERROR(__xludf.DUMMYFUNCTION("""COMPUTED_VALUE"""),"Male")</f>
        <v>Male</v>
      </c>
      <c r="D2486" s="5"/>
      <c r="E2486" s="5" t="str">
        <f ca="1">IFERROR(__xludf.DUMMYFUNCTION("""COMPUTED_VALUE"""),"Unknown")</f>
        <v>Unknown</v>
      </c>
      <c r="F2486" s="5" t="str">
        <f ca="1">IFERROR(__xludf.DUMMYFUNCTION("""COMPUTED_VALUE"""),"Fled/Apprehended")</f>
        <v>Fled/Apprehended</v>
      </c>
      <c r="G2486" s="5" t="str">
        <f ca="1">IFERROR(__xludf.DUMMYFUNCTION("""COMPUTED_VALUE"""),"No")</f>
        <v>No</v>
      </c>
      <c r="H2486" s="5" t="str">
        <f ca="1">IFERROR(__xludf.DUMMYFUNCTION("""COMPUTED_VALUE"""),"None")</f>
        <v>None</v>
      </c>
    </row>
    <row r="2487" spans="1:8" ht="13">
      <c r="A2487" s="5" t="str">
        <f ca="1">IFERROR(__xludf.DUMMYFUNCTION("""COMPUTED_VALUE"""),"19731023MOSUS")</f>
        <v>19731023MOSUS</v>
      </c>
      <c r="B2487" s="5" t="str">
        <f ca="1">IFERROR(__xludf.DUMMYFUNCTION("""COMPUTED_VALUE"""),"Teen")</f>
        <v>Teen</v>
      </c>
      <c r="C2487" s="5" t="str">
        <f ca="1">IFERROR(__xludf.DUMMYFUNCTION("""COMPUTED_VALUE"""),"Male")</f>
        <v>Male</v>
      </c>
      <c r="D2487" s="5"/>
      <c r="E2487" s="5" t="str">
        <f ca="1">IFERROR(__xludf.DUMMYFUNCTION("""COMPUTED_VALUE"""),"Unknown")</f>
        <v>Unknown</v>
      </c>
      <c r="F2487" s="5" t="str">
        <f ca="1">IFERROR(__xludf.DUMMYFUNCTION("""COMPUTED_VALUE"""),"Fled/Apprehended")</f>
        <v>Fled/Apprehended</v>
      </c>
      <c r="G2487" s="5" t="str">
        <f ca="1">IFERROR(__xludf.DUMMYFUNCTION("""COMPUTED_VALUE"""),"No")</f>
        <v>No</v>
      </c>
      <c r="H2487" s="5" t="str">
        <f ca="1">IFERROR(__xludf.DUMMYFUNCTION("""COMPUTED_VALUE"""),"None")</f>
        <v>None</v>
      </c>
    </row>
    <row r="2488" spans="1:8" ht="13">
      <c r="A2488" s="5" t="str">
        <f ca="1">IFERROR(__xludf.DUMMYFUNCTION("""COMPUTED_VALUE"""),"19731019MOBES")</f>
        <v>19731019MOBES</v>
      </c>
      <c r="B2488" s="5">
        <f ca="1">IFERROR(__xludf.DUMMYFUNCTION("""COMPUTED_VALUE"""),14)</f>
        <v>14</v>
      </c>
      <c r="C2488" s="5" t="str">
        <f ca="1">IFERROR(__xludf.DUMMYFUNCTION("""COMPUTED_VALUE"""),"Male")</f>
        <v>Male</v>
      </c>
      <c r="D2488" s="5"/>
      <c r="E2488" s="5" t="str">
        <f ca="1">IFERROR(__xludf.DUMMYFUNCTION("""COMPUTED_VALUE"""),"Student")</f>
        <v>Student</v>
      </c>
      <c r="F2488" s="5" t="str">
        <f ca="1">IFERROR(__xludf.DUMMYFUNCTION("""COMPUTED_VALUE"""),"Fled/Apprehended")</f>
        <v>Fled/Apprehended</v>
      </c>
      <c r="G2488" s="5" t="str">
        <f ca="1">IFERROR(__xludf.DUMMYFUNCTION("""COMPUTED_VALUE"""),"No")</f>
        <v>No</v>
      </c>
      <c r="H2488" s="5" t="str">
        <f ca="1">IFERROR(__xludf.DUMMYFUNCTION("""COMPUTED_VALUE"""),"None")</f>
        <v>None</v>
      </c>
    </row>
    <row r="2489" spans="1:8" ht="13">
      <c r="A2489" s="5" t="str">
        <f ca="1">IFERROR(__xludf.DUMMYFUNCTION("""COMPUTED_VALUE"""),"19731002ILELA")</f>
        <v>19731002ILELA</v>
      </c>
      <c r="B2489" s="5">
        <f ca="1">IFERROR(__xludf.DUMMYFUNCTION("""COMPUTED_VALUE"""),17)</f>
        <v>17</v>
      </c>
      <c r="C2489" s="5" t="str">
        <f ca="1">IFERROR(__xludf.DUMMYFUNCTION("""COMPUTED_VALUE"""),"Male")</f>
        <v>Male</v>
      </c>
      <c r="D2489" s="5"/>
      <c r="E2489" s="5" t="str">
        <f ca="1">IFERROR(__xludf.DUMMYFUNCTION("""COMPUTED_VALUE"""),"Student")</f>
        <v>Student</v>
      </c>
      <c r="F2489" s="5" t="str">
        <f ca="1">IFERROR(__xludf.DUMMYFUNCTION("""COMPUTED_VALUE"""),"Suicide")</f>
        <v>Suicide</v>
      </c>
      <c r="G2489" s="5" t="str">
        <f ca="1">IFERROR(__xludf.DUMMYFUNCTION("""COMPUTED_VALUE"""),"Yes")</f>
        <v>Yes</v>
      </c>
      <c r="H2489" s="5" t="str">
        <f ca="1">IFERROR(__xludf.DUMMYFUNCTION("""COMPUTED_VALUE"""),"Suicide")</f>
        <v>Suicide</v>
      </c>
    </row>
    <row r="2490" spans="1:8" ht="13">
      <c r="A2490" s="5" t="str">
        <f ca="1">IFERROR(__xludf.DUMMYFUNCTION("""COMPUTED_VALUE"""),"19730928CAWIL")</f>
        <v>19730928CAWIL</v>
      </c>
      <c r="B2490" s="5">
        <f ca="1">IFERROR(__xludf.DUMMYFUNCTION("""COMPUTED_VALUE"""),16)</f>
        <v>16</v>
      </c>
      <c r="C2490" s="5" t="str">
        <f ca="1">IFERROR(__xludf.DUMMYFUNCTION("""COMPUTED_VALUE"""),"Male")</f>
        <v>Male</v>
      </c>
      <c r="D2490" s="5"/>
      <c r="E2490" s="5" t="str">
        <f ca="1">IFERROR(__xludf.DUMMYFUNCTION("""COMPUTED_VALUE"""),"Student")</f>
        <v>Student</v>
      </c>
      <c r="F2490" s="5" t="str">
        <f ca="1">IFERROR(__xludf.DUMMYFUNCTION("""COMPUTED_VALUE"""),"Apprehended/Killed by SRO")</f>
        <v>Apprehended/Killed by SRO</v>
      </c>
      <c r="G2490" s="5" t="str">
        <f ca="1">IFERROR(__xludf.DUMMYFUNCTION("""COMPUTED_VALUE"""),"No")</f>
        <v>No</v>
      </c>
      <c r="H2490" s="5" t="str">
        <f ca="1">IFERROR(__xludf.DUMMYFUNCTION("""COMPUTED_VALUE"""),"Wounded")</f>
        <v>Wounded</v>
      </c>
    </row>
    <row r="2491" spans="1:8" ht="13">
      <c r="A2491" s="5" t="str">
        <f ca="1">IFERROR(__xludf.DUMMYFUNCTION("""COMPUTED_VALUE"""),"19730501OHRAY")</f>
        <v>19730501OHRAY</v>
      </c>
      <c r="B2491" s="5">
        <f ca="1">IFERROR(__xludf.DUMMYFUNCTION("""COMPUTED_VALUE"""),15)</f>
        <v>15</v>
      </c>
      <c r="C2491" s="5" t="str">
        <f ca="1">IFERROR(__xludf.DUMMYFUNCTION("""COMPUTED_VALUE"""),"Male")</f>
        <v>Male</v>
      </c>
      <c r="D2491" s="5"/>
      <c r="E2491" s="5" t="str">
        <f ca="1">IFERROR(__xludf.DUMMYFUNCTION("""COMPUTED_VALUE"""),"Student")</f>
        <v>Student</v>
      </c>
      <c r="F2491" s="5" t="str">
        <f ca="1">IFERROR(__xludf.DUMMYFUNCTION("""COMPUTED_VALUE"""),"Fled/Apprehended")</f>
        <v>Fled/Apprehended</v>
      </c>
      <c r="G2491" s="5" t="str">
        <f ca="1">IFERROR(__xludf.DUMMYFUNCTION("""COMPUTED_VALUE"""),"No")</f>
        <v>No</v>
      </c>
      <c r="H2491" s="5" t="str">
        <f ca="1">IFERROR(__xludf.DUMMYFUNCTION("""COMPUTED_VALUE"""),"None")</f>
        <v>None</v>
      </c>
    </row>
    <row r="2492" spans="1:8" ht="13">
      <c r="A2492" s="5" t="str">
        <f ca="1">IFERROR(__xludf.DUMMYFUNCTION("""COMPUTED_VALUE"""),"19730405CALOL")</f>
        <v>19730405CALOL</v>
      </c>
      <c r="B2492" s="5"/>
      <c r="C2492" s="5" t="str">
        <f ca="1">IFERROR(__xludf.DUMMYFUNCTION("""COMPUTED_VALUE"""),"Male")</f>
        <v>Male</v>
      </c>
      <c r="D2492" s="5"/>
      <c r="E2492" s="5" t="str">
        <f ca="1">IFERROR(__xludf.DUMMYFUNCTION("""COMPUTED_VALUE"""),"Student")</f>
        <v>Student</v>
      </c>
      <c r="F2492" s="5" t="str">
        <f ca="1">IFERROR(__xludf.DUMMYFUNCTION("""COMPUTED_VALUE"""),"Fled/Escaped")</f>
        <v>Fled/Escaped</v>
      </c>
      <c r="G2492" s="5" t="str">
        <f ca="1">IFERROR(__xludf.DUMMYFUNCTION("""COMPUTED_VALUE"""),"No")</f>
        <v>No</v>
      </c>
      <c r="H2492" s="5" t="str">
        <f ca="1">IFERROR(__xludf.DUMMYFUNCTION("""COMPUTED_VALUE"""),"None")</f>
        <v>None</v>
      </c>
    </row>
    <row r="2493" spans="1:8" ht="13">
      <c r="A2493" s="5" t="str">
        <f ca="1">IFERROR(__xludf.DUMMYFUNCTION("""COMPUTED_VALUE"""),"19730226VAARR")</f>
        <v>19730226VAARR</v>
      </c>
      <c r="B2493" s="5">
        <f ca="1">IFERROR(__xludf.DUMMYFUNCTION("""COMPUTED_VALUE"""),18)</f>
        <v>18</v>
      </c>
      <c r="C2493" s="5" t="str">
        <f ca="1">IFERROR(__xludf.DUMMYFUNCTION("""COMPUTED_VALUE"""),"Male")</f>
        <v>Male</v>
      </c>
      <c r="D2493" s="5" t="str">
        <f ca="1">IFERROR(__xludf.DUMMYFUNCTION("""COMPUTED_VALUE"""),"Black")</f>
        <v>Black</v>
      </c>
      <c r="E2493" s="5" t="str">
        <f ca="1">IFERROR(__xludf.DUMMYFUNCTION("""COMPUTED_VALUE"""),"Student")</f>
        <v>Student</v>
      </c>
      <c r="F2493" s="5" t="str">
        <f ca="1">IFERROR(__xludf.DUMMYFUNCTION("""COMPUTED_VALUE"""),"Fled/Apprehended")</f>
        <v>Fled/Apprehended</v>
      </c>
      <c r="G2493" s="5" t="str">
        <f ca="1">IFERROR(__xludf.DUMMYFUNCTION("""COMPUTED_VALUE"""),"No")</f>
        <v>No</v>
      </c>
      <c r="H2493" s="5" t="str">
        <f ca="1">IFERROR(__xludf.DUMMYFUNCTION("""COMPUTED_VALUE"""),"None")</f>
        <v>None</v>
      </c>
    </row>
    <row r="2494" spans="1:8" ht="13">
      <c r="A2494" s="5" t="str">
        <f ca="1">IFERROR(__xludf.DUMMYFUNCTION("""COMPUTED_VALUE"""),"19730212ALBOM")</f>
        <v>19730212ALBOM</v>
      </c>
      <c r="B2494" s="5">
        <f ca="1">IFERROR(__xludf.DUMMYFUNCTION("""COMPUTED_VALUE"""),19)</f>
        <v>19</v>
      </c>
      <c r="C2494" s="5" t="str">
        <f ca="1">IFERROR(__xludf.DUMMYFUNCTION("""COMPUTED_VALUE"""),"Male")</f>
        <v>Male</v>
      </c>
      <c r="D2494" s="5"/>
      <c r="E2494" s="5" t="str">
        <f ca="1">IFERROR(__xludf.DUMMYFUNCTION("""COMPUTED_VALUE"""),"No Relation")</f>
        <v>No Relation</v>
      </c>
      <c r="F2494" s="5" t="str">
        <f ca="1">IFERROR(__xludf.DUMMYFUNCTION("""COMPUTED_VALUE"""),"Fled/Apprehended")</f>
        <v>Fled/Apprehended</v>
      </c>
      <c r="G2494" s="5" t="str">
        <f ca="1">IFERROR(__xludf.DUMMYFUNCTION("""COMPUTED_VALUE"""),"No")</f>
        <v>No</v>
      </c>
      <c r="H2494" s="5" t="str">
        <f ca="1">IFERROR(__xludf.DUMMYFUNCTION("""COMPUTED_VALUE"""),"None")</f>
        <v>None</v>
      </c>
    </row>
    <row r="2495" spans="1:8" ht="13">
      <c r="A2495" s="5" t="str">
        <f ca="1">IFERROR(__xludf.DUMMYFUNCTION("""COMPUTED_VALUE"""),"19730131NCCUB")</f>
        <v>19730131NCCUB</v>
      </c>
      <c r="B2495" s="5">
        <f ca="1">IFERROR(__xludf.DUMMYFUNCTION("""COMPUTED_VALUE"""),17)</f>
        <v>17</v>
      </c>
      <c r="C2495" s="5" t="str">
        <f ca="1">IFERROR(__xludf.DUMMYFUNCTION("""COMPUTED_VALUE"""),"Male")</f>
        <v>Male</v>
      </c>
      <c r="D2495" s="5"/>
      <c r="E2495" s="5" t="str">
        <f ca="1">IFERROR(__xludf.DUMMYFUNCTION("""COMPUTED_VALUE"""),"Student")</f>
        <v>Student</v>
      </c>
      <c r="F2495" s="5" t="str">
        <f ca="1">IFERROR(__xludf.DUMMYFUNCTION("""COMPUTED_VALUE"""),"Fled/Apprehended")</f>
        <v>Fled/Apprehended</v>
      </c>
      <c r="G2495" s="5" t="str">
        <f ca="1">IFERROR(__xludf.DUMMYFUNCTION("""COMPUTED_VALUE"""),"No")</f>
        <v>No</v>
      </c>
      <c r="H2495" s="5" t="str">
        <f ca="1">IFERROR(__xludf.DUMMYFUNCTION("""COMPUTED_VALUE"""),"None")</f>
        <v>None</v>
      </c>
    </row>
    <row r="2496" spans="1:8" ht="13">
      <c r="A2496" s="5" t="str">
        <f ca="1">IFERROR(__xludf.DUMMYFUNCTION("""COMPUTED_VALUE"""),"19730118CAJOL")</f>
        <v>19730118CAJOL</v>
      </c>
      <c r="B2496" s="5">
        <f ca="1">IFERROR(__xludf.DUMMYFUNCTION("""COMPUTED_VALUE"""),19)</f>
        <v>19</v>
      </c>
      <c r="C2496" s="5" t="str">
        <f ca="1">IFERROR(__xludf.DUMMYFUNCTION("""COMPUTED_VALUE"""),"Male")</f>
        <v>Male</v>
      </c>
      <c r="D2496" s="5"/>
      <c r="E2496" s="5" t="str">
        <f ca="1">IFERROR(__xludf.DUMMYFUNCTION("""COMPUTED_VALUE"""),"Unknown")</f>
        <v>Unknown</v>
      </c>
      <c r="F2496" s="5" t="str">
        <f ca="1">IFERROR(__xludf.DUMMYFUNCTION("""COMPUTED_VALUE"""),"Fled/Apprehended")</f>
        <v>Fled/Apprehended</v>
      </c>
      <c r="G2496" s="5" t="str">
        <f ca="1">IFERROR(__xludf.DUMMYFUNCTION("""COMPUTED_VALUE"""),"No")</f>
        <v>No</v>
      </c>
      <c r="H2496" s="5" t="str">
        <f ca="1">IFERROR(__xludf.DUMMYFUNCTION("""COMPUTED_VALUE"""),"None")</f>
        <v>None</v>
      </c>
    </row>
    <row r="2497" spans="1:8" ht="13">
      <c r="A2497" s="5" t="str">
        <f ca="1">IFERROR(__xludf.DUMMYFUNCTION("""COMPUTED_VALUE"""),"19730118CAJOL")</f>
        <v>19730118CAJOL</v>
      </c>
      <c r="B2497" s="5">
        <f ca="1">IFERROR(__xludf.DUMMYFUNCTION("""COMPUTED_VALUE"""),18)</f>
        <v>18</v>
      </c>
      <c r="C2497" s="5" t="str">
        <f ca="1">IFERROR(__xludf.DUMMYFUNCTION("""COMPUTED_VALUE"""),"Male")</f>
        <v>Male</v>
      </c>
      <c r="D2497" s="5"/>
      <c r="E2497" s="5" t="str">
        <f ca="1">IFERROR(__xludf.DUMMYFUNCTION("""COMPUTED_VALUE"""),"Unknown")</f>
        <v>Unknown</v>
      </c>
      <c r="F2497" s="5" t="str">
        <f ca="1">IFERROR(__xludf.DUMMYFUNCTION("""COMPUTED_VALUE"""),"Fled/Apprehended")</f>
        <v>Fled/Apprehended</v>
      </c>
      <c r="G2497" s="5" t="str">
        <f ca="1">IFERROR(__xludf.DUMMYFUNCTION("""COMPUTED_VALUE"""),"No")</f>
        <v>No</v>
      </c>
      <c r="H2497" s="5" t="str">
        <f ca="1">IFERROR(__xludf.DUMMYFUNCTION("""COMPUTED_VALUE"""),"None")</f>
        <v>None</v>
      </c>
    </row>
    <row r="2498" spans="1:8" ht="13">
      <c r="A2498" s="5" t="str">
        <f ca="1">IFERROR(__xludf.DUMMYFUNCTION("""COMPUTED_VALUE"""),"19730105NCSOS")</f>
        <v>19730105NCSOS</v>
      </c>
      <c r="B2498" s="5" t="str">
        <f ca="1">IFERROR(__xludf.DUMMYFUNCTION("""COMPUTED_VALUE"""),"Teen")</f>
        <v>Teen</v>
      </c>
      <c r="C2498" s="5" t="str">
        <f ca="1">IFERROR(__xludf.DUMMYFUNCTION("""COMPUTED_VALUE"""),"Male")</f>
        <v>Male</v>
      </c>
      <c r="D2498" s="5" t="str">
        <f ca="1">IFERROR(__xludf.DUMMYFUNCTION("""COMPUTED_VALUE"""),"Black")</f>
        <v>Black</v>
      </c>
      <c r="E2498" s="5" t="str">
        <f ca="1">IFERROR(__xludf.DUMMYFUNCTION("""COMPUTED_VALUE"""),"Student")</f>
        <v>Student</v>
      </c>
      <c r="F2498" s="5" t="str">
        <f ca="1">IFERROR(__xludf.DUMMYFUNCTION("""COMPUTED_VALUE"""),"Fled/Apprehended")</f>
        <v>Fled/Apprehended</v>
      </c>
      <c r="G2498" s="5" t="str">
        <f ca="1">IFERROR(__xludf.DUMMYFUNCTION("""COMPUTED_VALUE"""),"No")</f>
        <v>No</v>
      </c>
      <c r="H2498" s="5" t="str">
        <f ca="1">IFERROR(__xludf.DUMMYFUNCTION("""COMPUTED_VALUE"""),"None")</f>
        <v>None</v>
      </c>
    </row>
    <row r="2499" spans="1:8" ht="13">
      <c r="A2499" s="5" t="str">
        <f ca="1">IFERROR(__xludf.DUMMYFUNCTION("""COMPUTED_VALUE"""),"19721129FLMIM")</f>
        <v>19721129FLMIM</v>
      </c>
      <c r="B2499" s="5" t="str">
        <f ca="1">IFERROR(__xludf.DUMMYFUNCTION("""COMPUTED_VALUE"""),"Teen")</f>
        <v>Teen</v>
      </c>
      <c r="C2499" s="5" t="str">
        <f ca="1">IFERROR(__xludf.DUMMYFUNCTION("""COMPUTED_VALUE"""),"Male")</f>
        <v>Male</v>
      </c>
      <c r="D2499" s="5"/>
      <c r="E2499" s="5" t="str">
        <f ca="1">IFERROR(__xludf.DUMMYFUNCTION("""COMPUTED_VALUE"""),"Unknown")</f>
        <v>Unknown</v>
      </c>
      <c r="F2499" s="5" t="str">
        <f ca="1">IFERROR(__xludf.DUMMYFUNCTION("""COMPUTED_VALUE"""),"Fled/Escaped")</f>
        <v>Fled/Escaped</v>
      </c>
      <c r="G2499" s="5" t="str">
        <f ca="1">IFERROR(__xludf.DUMMYFUNCTION("""COMPUTED_VALUE"""),"No")</f>
        <v>No</v>
      </c>
      <c r="H2499" s="5" t="str">
        <f ca="1">IFERROR(__xludf.DUMMYFUNCTION("""COMPUTED_VALUE"""),"None")</f>
        <v>None</v>
      </c>
    </row>
    <row r="2500" spans="1:8" ht="13">
      <c r="A2500" s="5" t="str">
        <f ca="1">IFERROR(__xludf.DUMMYFUNCTION("""COMPUTED_VALUE"""),"19721127MIPOP")</f>
        <v>19721127MIPOP</v>
      </c>
      <c r="B2500" s="5">
        <f ca="1">IFERROR(__xludf.DUMMYFUNCTION("""COMPUTED_VALUE"""),16)</f>
        <v>16</v>
      </c>
      <c r="C2500" s="5" t="str">
        <f ca="1">IFERROR(__xludf.DUMMYFUNCTION("""COMPUTED_VALUE"""),"Male")</f>
        <v>Male</v>
      </c>
      <c r="D2500" s="5" t="str">
        <f ca="1">IFERROR(__xludf.DUMMYFUNCTION("""COMPUTED_VALUE"""),"Black")</f>
        <v>Black</v>
      </c>
      <c r="E2500" s="5" t="str">
        <f ca="1">IFERROR(__xludf.DUMMYFUNCTION("""COMPUTED_VALUE"""),"Student")</f>
        <v>Student</v>
      </c>
      <c r="F2500" s="5" t="str">
        <f ca="1">IFERROR(__xludf.DUMMYFUNCTION("""COMPUTED_VALUE"""),"Fled/Apprehended")</f>
        <v>Fled/Apprehended</v>
      </c>
      <c r="G2500" s="5" t="str">
        <f ca="1">IFERROR(__xludf.DUMMYFUNCTION("""COMPUTED_VALUE"""),"No")</f>
        <v>No</v>
      </c>
      <c r="H2500" s="5" t="str">
        <f ca="1">IFERROR(__xludf.DUMMYFUNCTION("""COMPUTED_VALUE"""),"None")</f>
        <v>None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500"/>
  <sheetViews>
    <sheetView topLeftCell="A229" workbookViewId="0"/>
  </sheetViews>
  <sheetFormatPr baseColWidth="10" defaultColWidth="12.5" defaultRowHeight="15.75" customHeight="1"/>
  <sheetData>
    <row r="1" spans="1:6" ht="15.75" customHeight="1">
      <c r="A1" s="12" t="str">
        <f ca="1">IFERROR(__xludf.DUMMYFUNCTION("IMPORTRANGE(""https://docs.google.com/spreadsheets/d/13by1rx0kMN24Sm2nKqqR6GsRtIyhgOO8U6IyuCHwhEU/edit#gid=1519919770"", ""Victim!A1:F2500"")"),"Incident_ID")</f>
        <v>Incident_ID</v>
      </c>
      <c r="B1" s="5" t="str">
        <f ca="1">IFERROR(__xludf.DUMMYFUNCTION("""COMPUTED_VALUE"""),"Injury")</f>
        <v>Injury</v>
      </c>
      <c r="C1" s="5" t="str">
        <f ca="1">IFERROR(__xludf.DUMMYFUNCTION("""COMPUTED_VALUE"""),"Gender")</f>
        <v>Gender</v>
      </c>
      <c r="D1" s="5" t="str">
        <f ca="1">IFERROR(__xludf.DUMMYFUNCTION("""COMPUTED_VALUE"""),"School_Affiliation")</f>
        <v>School_Affiliation</v>
      </c>
      <c r="E1" s="5" t="str">
        <f ca="1">IFERROR(__xludf.DUMMYFUNCTION("""COMPUTED_VALUE"""),"Age")</f>
        <v>Age</v>
      </c>
      <c r="F1" s="5" t="str">
        <f ca="1">IFERROR(__xludf.DUMMYFUNCTION("""COMPUTED_VALUE"""),"Race")</f>
        <v>Race</v>
      </c>
    </row>
    <row r="2" spans="1:6" ht="13">
      <c r="A2" s="5" t="str">
        <f ca="1">IFERROR(__xludf.DUMMYFUNCTION("""COMPUTED_VALUE"""),"20230327TNCON")</f>
        <v>20230327TNCON</v>
      </c>
      <c r="B2" s="5" t="str">
        <f ca="1">IFERROR(__xludf.DUMMYFUNCTION("""COMPUTED_VALUE"""),"Fatal")</f>
        <v>Fatal</v>
      </c>
      <c r="C2" s="5" t="str">
        <f ca="1">IFERROR(__xludf.DUMMYFUNCTION("""COMPUTED_VALUE"""),"Female")</f>
        <v>Female</v>
      </c>
      <c r="D2" s="5" t="str">
        <f ca="1">IFERROR(__xludf.DUMMYFUNCTION("""COMPUTED_VALUE"""),"Student")</f>
        <v>Student</v>
      </c>
      <c r="E2" s="5">
        <f ca="1">IFERROR(__xludf.DUMMYFUNCTION("""COMPUTED_VALUE"""),9)</f>
        <v>9</v>
      </c>
      <c r="F2" s="5"/>
    </row>
    <row r="3" spans="1:6" ht="13">
      <c r="A3" s="5" t="str">
        <f ca="1">IFERROR(__xludf.DUMMYFUNCTION("""COMPUTED_VALUE"""),"20230327TNCON")</f>
        <v>20230327TNCON</v>
      </c>
      <c r="B3" s="5" t="str">
        <f ca="1">IFERROR(__xludf.DUMMYFUNCTION("""COMPUTED_VALUE"""),"Fatal")</f>
        <v>Fatal</v>
      </c>
      <c r="C3" s="5" t="str">
        <f ca="1">IFERROR(__xludf.DUMMYFUNCTION("""COMPUTED_VALUE"""),"Male")</f>
        <v>Male</v>
      </c>
      <c r="D3" s="5" t="str">
        <f ca="1">IFERROR(__xludf.DUMMYFUNCTION("""COMPUTED_VALUE"""),"Student")</f>
        <v>Student</v>
      </c>
      <c r="E3" s="5">
        <f ca="1">IFERROR(__xludf.DUMMYFUNCTION("""COMPUTED_VALUE"""),9)</f>
        <v>9</v>
      </c>
      <c r="F3" s="5"/>
    </row>
    <row r="4" spans="1:6" ht="13">
      <c r="A4" s="5" t="str">
        <f ca="1">IFERROR(__xludf.DUMMYFUNCTION("""COMPUTED_VALUE"""),"20230327TNCON")</f>
        <v>20230327TNCON</v>
      </c>
      <c r="B4" s="5" t="str">
        <f ca="1">IFERROR(__xludf.DUMMYFUNCTION("""COMPUTED_VALUE"""),"Fatal")</f>
        <v>Fatal</v>
      </c>
      <c r="C4" s="5" t="str">
        <f ca="1">IFERROR(__xludf.DUMMYFUNCTION("""COMPUTED_VALUE"""),"Female")</f>
        <v>Female</v>
      </c>
      <c r="D4" s="5" t="str">
        <f ca="1">IFERROR(__xludf.DUMMYFUNCTION("""COMPUTED_VALUE"""),"Student")</f>
        <v>Student</v>
      </c>
      <c r="E4" s="5">
        <f ca="1">IFERROR(__xludf.DUMMYFUNCTION("""COMPUTED_VALUE"""),9)</f>
        <v>9</v>
      </c>
      <c r="F4" s="5"/>
    </row>
    <row r="5" spans="1:6" ht="13">
      <c r="A5" s="5" t="str">
        <f ca="1">IFERROR(__xludf.DUMMYFUNCTION("""COMPUTED_VALUE"""),"20230327TNCON")</f>
        <v>20230327TNCON</v>
      </c>
      <c r="B5" s="5" t="str">
        <f ca="1">IFERROR(__xludf.DUMMYFUNCTION("""COMPUTED_VALUE"""),"Fatal")</f>
        <v>Fatal</v>
      </c>
      <c r="C5" s="5" t="str">
        <f ca="1">IFERROR(__xludf.DUMMYFUNCTION("""COMPUTED_VALUE"""),"Male")</f>
        <v>Male</v>
      </c>
      <c r="D5" s="5" t="str">
        <f ca="1">IFERROR(__xludf.DUMMYFUNCTION("""COMPUTED_VALUE"""),"Teacher")</f>
        <v>Teacher</v>
      </c>
      <c r="E5" s="5">
        <f ca="1">IFERROR(__xludf.DUMMYFUNCTION("""COMPUTED_VALUE"""),61)</f>
        <v>61</v>
      </c>
      <c r="F5" s="5"/>
    </row>
    <row r="6" spans="1:6" ht="13">
      <c r="A6" s="5" t="str">
        <f ca="1">IFERROR(__xludf.DUMMYFUNCTION("""COMPUTED_VALUE"""),"20230327TNCON")</f>
        <v>20230327TNCON</v>
      </c>
      <c r="B6" s="5" t="str">
        <f ca="1">IFERROR(__xludf.DUMMYFUNCTION("""COMPUTED_VALUE"""),"Fatal")</f>
        <v>Fatal</v>
      </c>
      <c r="C6" s="5" t="str">
        <f ca="1">IFERROR(__xludf.DUMMYFUNCTION("""COMPUTED_VALUE"""),"Female")</f>
        <v>Female</v>
      </c>
      <c r="D6" s="5" t="str">
        <f ca="1">IFERROR(__xludf.DUMMYFUNCTION("""COMPUTED_VALUE"""),"Teacher")</f>
        <v>Teacher</v>
      </c>
      <c r="E6" s="5">
        <f ca="1">IFERROR(__xludf.DUMMYFUNCTION("""COMPUTED_VALUE"""),61)</f>
        <v>61</v>
      </c>
      <c r="F6" s="5"/>
    </row>
    <row r="7" spans="1:6" ht="13">
      <c r="A7" s="5" t="str">
        <f ca="1">IFERROR(__xludf.DUMMYFUNCTION("""COMPUTED_VALUE"""),"20230327TNCON")</f>
        <v>20230327TNCON</v>
      </c>
      <c r="B7" s="5" t="str">
        <f ca="1">IFERROR(__xludf.DUMMYFUNCTION("""COMPUTED_VALUE"""),"Fatal")</f>
        <v>Fatal</v>
      </c>
      <c r="C7" s="5" t="str">
        <f ca="1">IFERROR(__xludf.DUMMYFUNCTION("""COMPUTED_VALUE"""),"Female")</f>
        <v>Female</v>
      </c>
      <c r="D7" s="5" t="str">
        <f ca="1">IFERROR(__xludf.DUMMYFUNCTION("""COMPUTED_VALUE"""),"Other Staff")</f>
        <v>Other Staff</v>
      </c>
      <c r="E7" s="5">
        <f ca="1">IFERROR(__xludf.DUMMYFUNCTION("""COMPUTED_VALUE"""),60)</f>
        <v>60</v>
      </c>
      <c r="F7" s="5"/>
    </row>
    <row r="8" spans="1:6" ht="13">
      <c r="A8" s="5" t="str">
        <f ca="1">IFERROR(__xludf.DUMMYFUNCTION("""COMPUTED_VALUE"""),"20230327TNCON")</f>
        <v>20230327TNCON</v>
      </c>
      <c r="B8" s="5" t="str">
        <f ca="1">IFERROR(__xludf.DUMMYFUNCTION("""COMPUTED_VALUE"""),"Wounded")</f>
        <v>Wounded</v>
      </c>
      <c r="C8" s="5"/>
      <c r="D8" s="5" t="str">
        <f ca="1">IFERROR(__xludf.DUMMYFUNCTION("""COMPUTED_VALUE"""),"Police Officer/SRO")</f>
        <v>Police Officer/SRO</v>
      </c>
      <c r="E8" s="5" t="str">
        <f ca="1">IFERROR(__xludf.DUMMYFUNCTION("""COMPUTED_VALUE"""),"Adult")</f>
        <v>Adult</v>
      </c>
      <c r="F8" s="5"/>
    </row>
    <row r="9" spans="1:6" ht="13">
      <c r="A9" s="5" t="str">
        <f ca="1">IFERROR(__xludf.DUMMYFUNCTION("""COMPUTED_VALUE"""),"20230322ALANA")</f>
        <v>20230322ALANA</v>
      </c>
      <c r="B9" s="5" t="str">
        <f ca="1">IFERROR(__xludf.DUMMYFUNCTION("""COMPUTED_VALUE"""),"Wounded")</f>
        <v>Wounded</v>
      </c>
      <c r="C9" s="5" t="str">
        <f ca="1">IFERROR(__xludf.DUMMYFUNCTION("""COMPUTED_VALUE"""),"Male")</f>
        <v>Male</v>
      </c>
      <c r="D9" s="5" t="str">
        <f ca="1">IFERROR(__xludf.DUMMYFUNCTION("""COMPUTED_VALUE"""),"Student")</f>
        <v>Student</v>
      </c>
      <c r="E9" s="5">
        <f ca="1">IFERROR(__xludf.DUMMYFUNCTION("""COMPUTED_VALUE"""),18)</f>
        <v>18</v>
      </c>
      <c r="F9" s="5"/>
    </row>
    <row r="10" spans="1:6" ht="13">
      <c r="A10" s="5" t="str">
        <f ca="1">IFERROR(__xludf.DUMMYFUNCTION("""COMPUTED_VALUE"""),"20230322COEAD")</f>
        <v>20230322COEAD</v>
      </c>
      <c r="B10" s="5" t="str">
        <f ca="1">IFERROR(__xludf.DUMMYFUNCTION("""COMPUTED_VALUE"""),"Wounded")</f>
        <v>Wounded</v>
      </c>
      <c r="C10" s="5" t="str">
        <f ca="1">IFERROR(__xludf.DUMMYFUNCTION("""COMPUTED_VALUE"""),"Male")</f>
        <v>Male</v>
      </c>
      <c r="D10" s="5" t="str">
        <f ca="1">IFERROR(__xludf.DUMMYFUNCTION("""COMPUTED_VALUE"""),"Other Staff")</f>
        <v>Other Staff</v>
      </c>
      <c r="E10" s="5" t="str">
        <f ca="1">IFERROR(__xludf.DUMMYFUNCTION("""COMPUTED_VALUE"""),"Adult")</f>
        <v>Adult</v>
      </c>
      <c r="F10" s="5"/>
    </row>
    <row r="11" spans="1:6" ht="13">
      <c r="A11" s="5" t="str">
        <f ca="1">IFERROR(__xludf.DUMMYFUNCTION("""COMPUTED_VALUE"""),"20230322COEAD")</f>
        <v>20230322COEAD</v>
      </c>
      <c r="B11" s="5" t="str">
        <f ca="1">IFERROR(__xludf.DUMMYFUNCTION("""COMPUTED_VALUE"""),"Wounded")</f>
        <v>Wounded</v>
      </c>
      <c r="C11" s="5" t="str">
        <f ca="1">IFERROR(__xludf.DUMMYFUNCTION("""COMPUTED_VALUE"""),"Male")</f>
        <v>Male</v>
      </c>
      <c r="D11" s="5" t="str">
        <f ca="1">IFERROR(__xludf.DUMMYFUNCTION("""COMPUTED_VALUE"""),"Other Staff")</f>
        <v>Other Staff</v>
      </c>
      <c r="E11" s="5" t="str">
        <f ca="1">IFERROR(__xludf.DUMMYFUNCTION("""COMPUTED_VALUE"""),"Adult")</f>
        <v>Adult</v>
      </c>
      <c r="F11" s="5"/>
    </row>
    <row r="12" spans="1:6" ht="13">
      <c r="A12" s="5" t="str">
        <f ca="1">IFERROR(__xludf.DUMMYFUNCTION("""COMPUTED_VALUE"""),"20230321TXTHD")</f>
        <v>20230321TXTHD</v>
      </c>
      <c r="B12" s="5" t="str">
        <f ca="1">IFERROR(__xludf.DUMMYFUNCTION("""COMPUTED_VALUE"""),"Wounded")</f>
        <v>Wounded</v>
      </c>
      <c r="C12" s="5" t="str">
        <f ca="1">IFERROR(__xludf.DUMMYFUNCTION("""COMPUTED_VALUE"""),"Male")</f>
        <v>Male</v>
      </c>
      <c r="D12" s="5" t="str">
        <f ca="1">IFERROR(__xludf.DUMMYFUNCTION("""COMPUTED_VALUE"""),"Student")</f>
        <v>Student</v>
      </c>
      <c r="E12" s="5" t="str">
        <f ca="1">IFERROR(__xludf.DUMMYFUNCTION("""COMPUTED_VALUE"""),"Teen")</f>
        <v>Teen</v>
      </c>
      <c r="F12" s="5"/>
    </row>
    <row r="13" spans="1:6" ht="13">
      <c r="A13" s="5" t="str">
        <f ca="1">IFERROR(__xludf.DUMMYFUNCTION("""COMPUTED_VALUE"""),"20230320TXLAA")</f>
        <v>20230320TXLAA</v>
      </c>
      <c r="B13" s="5" t="str">
        <f ca="1">IFERROR(__xludf.DUMMYFUNCTION("""COMPUTED_VALUE"""),"Fatal")</f>
        <v>Fatal</v>
      </c>
      <c r="C13" s="5" t="str">
        <f ca="1">IFERROR(__xludf.DUMMYFUNCTION("""COMPUTED_VALUE"""),"Male")</f>
        <v>Male</v>
      </c>
      <c r="D13" s="5" t="str">
        <f ca="1">IFERROR(__xludf.DUMMYFUNCTION("""COMPUTED_VALUE"""),"Student")</f>
        <v>Student</v>
      </c>
      <c r="E13" s="5">
        <f ca="1">IFERROR(__xludf.DUMMYFUNCTION("""COMPUTED_VALUE"""),16)</f>
        <v>16</v>
      </c>
      <c r="F13" s="5"/>
    </row>
    <row r="14" spans="1:6" ht="13">
      <c r="A14" s="5" t="str">
        <f ca="1">IFERROR(__xludf.DUMMYFUNCTION("""COMPUTED_VALUE"""),"20230320TXLAA")</f>
        <v>20230320TXLAA</v>
      </c>
      <c r="B14" s="5" t="str">
        <f ca="1">IFERROR(__xludf.DUMMYFUNCTION("""COMPUTED_VALUE"""),"Wounded")</f>
        <v>Wounded</v>
      </c>
      <c r="C14" s="5" t="str">
        <f ca="1">IFERROR(__xludf.DUMMYFUNCTION("""COMPUTED_VALUE"""),"Female")</f>
        <v>Female</v>
      </c>
      <c r="D14" s="5" t="str">
        <f ca="1">IFERROR(__xludf.DUMMYFUNCTION("""COMPUTED_VALUE"""),"Student")</f>
        <v>Student</v>
      </c>
      <c r="E14" s="5">
        <f ca="1">IFERROR(__xludf.DUMMYFUNCTION("""COMPUTED_VALUE"""),16)</f>
        <v>16</v>
      </c>
      <c r="F14" s="5"/>
    </row>
    <row r="15" spans="1:6" ht="13">
      <c r="A15" s="5" t="str">
        <f ca="1">IFERROR(__xludf.DUMMYFUNCTION("""COMPUTED_VALUE"""),"20230316NCLOD")</f>
        <v>20230316NCLOD</v>
      </c>
      <c r="B15" s="5" t="str">
        <f ca="1">IFERROR(__xludf.DUMMYFUNCTION("""COMPUTED_VALUE"""),"None")</f>
        <v>None</v>
      </c>
      <c r="C15" s="5" t="str">
        <f ca="1">IFERROR(__xludf.DUMMYFUNCTION("""COMPUTED_VALUE"""),"Male")</f>
        <v>Male</v>
      </c>
      <c r="D15" s="5" t="str">
        <f ca="1">IFERROR(__xludf.DUMMYFUNCTION("""COMPUTED_VALUE"""),"Student")</f>
        <v>Student</v>
      </c>
      <c r="E15" s="5" t="str">
        <f ca="1">IFERROR(__xludf.DUMMYFUNCTION("""COMPUTED_VALUE"""),"Teen")</f>
        <v>Teen</v>
      </c>
      <c r="F15" s="5"/>
    </row>
    <row r="16" spans="1:6" ht="13">
      <c r="A16" s="5" t="str">
        <f ca="1">IFERROR(__xludf.DUMMYFUNCTION("""COMPUTED_VALUE"""),"20230316NYPSB")</f>
        <v>20230316NYPSB</v>
      </c>
      <c r="B16" s="5" t="str">
        <f ca="1">IFERROR(__xludf.DUMMYFUNCTION("""COMPUTED_VALUE"""),"Wounded")</f>
        <v>Wounded</v>
      </c>
      <c r="C16" s="5" t="str">
        <f ca="1">IFERROR(__xludf.DUMMYFUNCTION("""COMPUTED_VALUE"""),"Male")</f>
        <v>Male</v>
      </c>
      <c r="D16" s="5" t="str">
        <f ca="1">IFERROR(__xludf.DUMMYFUNCTION("""COMPUTED_VALUE"""),"No Relation")</f>
        <v>No Relation</v>
      </c>
      <c r="E16" s="5">
        <f ca="1">IFERROR(__xludf.DUMMYFUNCTION("""COMPUTED_VALUE"""),16)</f>
        <v>16</v>
      </c>
      <c r="F16" s="5"/>
    </row>
    <row r="17" spans="1:6" ht="13">
      <c r="A17" s="5" t="str">
        <f ca="1">IFERROR(__xludf.DUMMYFUNCTION("""COMPUTED_VALUE"""),"20230315COINB")</f>
        <v>20230315COINB</v>
      </c>
      <c r="B17" s="5" t="str">
        <f ca="1">IFERROR(__xludf.DUMMYFUNCTION("""COMPUTED_VALUE"""),"Wounded")</f>
        <v>Wounded</v>
      </c>
      <c r="C17" s="5" t="str">
        <f ca="1">IFERROR(__xludf.DUMMYFUNCTION("""COMPUTED_VALUE"""),"Male")</f>
        <v>Male</v>
      </c>
      <c r="D17" s="5" t="str">
        <f ca="1">IFERROR(__xludf.DUMMYFUNCTION("""COMPUTED_VALUE"""),"Student")</f>
        <v>Student</v>
      </c>
      <c r="E17" s="5" t="str">
        <f ca="1">IFERROR(__xludf.DUMMYFUNCTION("""COMPUTED_VALUE"""),"Teen")</f>
        <v>Teen</v>
      </c>
      <c r="F17" s="5"/>
    </row>
    <row r="18" spans="1:6" ht="13">
      <c r="A18" s="5" t="str">
        <f ca="1">IFERROR(__xludf.DUMMYFUNCTION("""COMPUTED_VALUE"""),"20230315CALIG")</f>
        <v>20230315CALIG</v>
      </c>
      <c r="B18" s="5" t="str">
        <f ca="1">IFERROR(__xludf.DUMMYFUNCTION("""COMPUTED_VALUE"""),"Wounded")</f>
        <v>Wounded</v>
      </c>
      <c r="C18" s="5" t="str">
        <f ca="1">IFERROR(__xludf.DUMMYFUNCTION("""COMPUTED_VALUE"""),"Male")</f>
        <v>Male</v>
      </c>
      <c r="D18" s="5" t="str">
        <f ca="1">IFERROR(__xludf.DUMMYFUNCTION("""COMPUTED_VALUE"""),"Student")</f>
        <v>Student</v>
      </c>
      <c r="E18" s="5">
        <f ca="1">IFERROR(__xludf.DUMMYFUNCTION("""COMPUTED_VALUE"""),15)</f>
        <v>15</v>
      </c>
      <c r="F18" s="5"/>
    </row>
    <row r="19" spans="1:6" ht="13">
      <c r="A19" s="5" t="str">
        <f ca="1">IFERROR(__xludf.DUMMYFUNCTION("""COMPUTED_VALUE"""),"20230315CALIG")</f>
        <v>20230315CALIG</v>
      </c>
      <c r="B19" s="5" t="str">
        <f ca="1">IFERROR(__xludf.DUMMYFUNCTION("""COMPUTED_VALUE"""),"Wounded")</f>
        <v>Wounded</v>
      </c>
      <c r="C19" s="5" t="str">
        <f ca="1">IFERROR(__xludf.DUMMYFUNCTION("""COMPUTED_VALUE"""),"Male")</f>
        <v>Male</v>
      </c>
      <c r="D19" s="5" t="str">
        <f ca="1">IFERROR(__xludf.DUMMYFUNCTION("""COMPUTED_VALUE"""),"Student")</f>
        <v>Student</v>
      </c>
      <c r="E19" s="5">
        <f ca="1">IFERROR(__xludf.DUMMYFUNCTION("""COMPUTED_VALUE"""),17)</f>
        <v>17</v>
      </c>
      <c r="F19" s="5"/>
    </row>
    <row r="20" spans="1:6" ht="13">
      <c r="A20" s="5" t="str">
        <f ca="1">IFERROR(__xludf.DUMMYFUNCTION("""COMPUTED_VALUE"""),"20230314NYHAN")</f>
        <v>20230314NYHAN</v>
      </c>
      <c r="B20" s="5" t="str">
        <f ca="1">IFERROR(__xludf.DUMMYFUNCTION("""COMPUTED_VALUE"""),"Wounded")</f>
        <v>Wounded</v>
      </c>
      <c r="C20" s="5" t="str">
        <f ca="1">IFERROR(__xludf.DUMMYFUNCTION("""COMPUTED_VALUE"""),"Male")</f>
        <v>Male</v>
      </c>
      <c r="D20" s="5" t="str">
        <f ca="1">IFERROR(__xludf.DUMMYFUNCTION("""COMPUTED_VALUE"""),"Student")</f>
        <v>Student</v>
      </c>
      <c r="E20" s="5">
        <f ca="1">IFERROR(__xludf.DUMMYFUNCTION("""COMPUTED_VALUE"""),16)</f>
        <v>16</v>
      </c>
      <c r="F20" s="5"/>
    </row>
    <row r="21" spans="1:6" ht="13">
      <c r="A21" s="5" t="str">
        <f ca="1">IFERROR(__xludf.DUMMYFUNCTION("""COMPUTED_VALUE"""),"20230314NYHAN")</f>
        <v>20230314NYHAN</v>
      </c>
      <c r="B21" s="5" t="str">
        <f ca="1">IFERROR(__xludf.DUMMYFUNCTION("""COMPUTED_VALUE"""),"Wounded")</f>
        <v>Wounded</v>
      </c>
      <c r="C21" s="5" t="str">
        <f ca="1">IFERROR(__xludf.DUMMYFUNCTION("""COMPUTED_VALUE"""),"Male")</f>
        <v>Male</v>
      </c>
      <c r="D21" s="5" t="str">
        <f ca="1">IFERROR(__xludf.DUMMYFUNCTION("""COMPUTED_VALUE"""),"No Relation")</f>
        <v>No Relation</v>
      </c>
      <c r="E21" s="5">
        <f ca="1">IFERROR(__xludf.DUMMYFUNCTION("""COMPUTED_VALUE"""),27)</f>
        <v>27</v>
      </c>
      <c r="F21" s="5"/>
    </row>
    <row r="22" spans="1:6" ht="13">
      <c r="A22" s="5" t="str">
        <f ca="1">IFERROR(__xludf.DUMMYFUNCTION("""COMPUTED_VALUE"""),"20230314NYMAM")</f>
        <v>20230314NYMAM</v>
      </c>
      <c r="B22" s="5" t="str">
        <f ca="1">IFERROR(__xludf.DUMMYFUNCTION("""COMPUTED_VALUE"""),"Wounded")</f>
        <v>Wounded</v>
      </c>
      <c r="C22" s="5" t="str">
        <f ca="1">IFERROR(__xludf.DUMMYFUNCTION("""COMPUTED_VALUE"""),"Male")</f>
        <v>Male</v>
      </c>
      <c r="D22" s="5" t="str">
        <f ca="1">IFERROR(__xludf.DUMMYFUNCTION("""COMPUTED_VALUE"""),"Student")</f>
        <v>Student</v>
      </c>
      <c r="E22" s="5">
        <f ca="1">IFERROR(__xludf.DUMMYFUNCTION("""COMPUTED_VALUE"""),17)</f>
        <v>17</v>
      </c>
      <c r="F22" s="5"/>
    </row>
    <row r="23" spans="1:6" ht="13">
      <c r="A23" s="5" t="str">
        <f ca="1">IFERROR(__xludf.DUMMYFUNCTION("""COMPUTED_VALUE"""),"20230309OHMAM")</f>
        <v>20230309OHMAM</v>
      </c>
      <c r="B23" s="5" t="str">
        <f ca="1">IFERROR(__xludf.DUMMYFUNCTION("""COMPUTED_VALUE"""),"Wounded")</f>
        <v>Wounded</v>
      </c>
      <c r="C23" s="5" t="str">
        <f ca="1">IFERROR(__xludf.DUMMYFUNCTION("""COMPUTED_VALUE"""),"Male")</f>
        <v>Male</v>
      </c>
      <c r="D23" s="5"/>
      <c r="E23" s="5">
        <f ca="1">IFERROR(__xludf.DUMMYFUNCTION("""COMPUTED_VALUE"""),17)</f>
        <v>17</v>
      </c>
      <c r="F23" s="5"/>
    </row>
    <row r="24" spans="1:6" ht="13">
      <c r="A24" s="5" t="str">
        <f ca="1">IFERROR(__xludf.DUMMYFUNCTION("""COMPUTED_VALUE"""),"20230308PAHEP")</f>
        <v>20230308PAHEP</v>
      </c>
      <c r="B24" s="5" t="str">
        <f ca="1">IFERROR(__xludf.DUMMYFUNCTION("""COMPUTED_VALUE"""),"Wounded")</f>
        <v>Wounded</v>
      </c>
      <c r="C24" s="5" t="str">
        <f ca="1">IFERROR(__xludf.DUMMYFUNCTION("""COMPUTED_VALUE"""),"Male")</f>
        <v>Male</v>
      </c>
      <c r="D24" s="5" t="str">
        <f ca="1">IFERROR(__xludf.DUMMYFUNCTION("""COMPUTED_VALUE"""),"No Relation")</f>
        <v>No Relation</v>
      </c>
      <c r="E24" s="5">
        <f ca="1">IFERROR(__xludf.DUMMYFUNCTION("""COMPUTED_VALUE"""),21)</f>
        <v>21</v>
      </c>
      <c r="F24" s="5"/>
    </row>
    <row r="25" spans="1:6" ht="13">
      <c r="A25" s="5" t="str">
        <f ca="1">IFERROR(__xludf.DUMMYFUNCTION("""COMPUTED_VALUE"""),"20230307INTHI")</f>
        <v>20230307INTHI</v>
      </c>
      <c r="B25" s="5" t="str">
        <f ca="1">IFERROR(__xludf.DUMMYFUNCTION("""COMPUTED_VALUE"""),"Fatal")</f>
        <v>Fatal</v>
      </c>
      <c r="C25" s="5" t="str">
        <f ca="1">IFERROR(__xludf.DUMMYFUNCTION("""COMPUTED_VALUE"""),"Male")</f>
        <v>Male</v>
      </c>
      <c r="D25" s="5" t="str">
        <f ca="1">IFERROR(__xludf.DUMMYFUNCTION("""COMPUTED_VALUE"""),"Nonstudent Using Athletic Facilities/Attending Game")</f>
        <v>Nonstudent Using Athletic Facilities/Attending Game</v>
      </c>
      <c r="E25" s="5">
        <f ca="1">IFERROR(__xludf.DUMMYFUNCTION("""COMPUTED_VALUE"""),19)</f>
        <v>19</v>
      </c>
      <c r="F25" s="5"/>
    </row>
    <row r="26" spans="1:6" ht="13">
      <c r="A26" s="5" t="str">
        <f ca="1">IFERROR(__xludf.DUMMYFUNCTION("""COMPUTED_VALUE"""),"20230306NYPAN")</f>
        <v>20230306NYPAN</v>
      </c>
      <c r="B26" s="5" t="str">
        <f ca="1">IFERROR(__xludf.DUMMYFUNCTION("""COMPUTED_VALUE"""),"Wounded")</f>
        <v>Wounded</v>
      </c>
      <c r="C26" s="5" t="str">
        <f ca="1">IFERROR(__xludf.DUMMYFUNCTION("""COMPUTED_VALUE"""),"Male")</f>
        <v>Male</v>
      </c>
      <c r="D26" s="5" t="str">
        <f ca="1">IFERROR(__xludf.DUMMYFUNCTION("""COMPUTED_VALUE"""),"Student")</f>
        <v>Student</v>
      </c>
      <c r="E26" s="5">
        <f ca="1">IFERROR(__xludf.DUMMYFUNCTION("""COMPUTED_VALUE"""),15)</f>
        <v>15</v>
      </c>
      <c r="F26" s="5"/>
    </row>
    <row r="27" spans="1:6" ht="13">
      <c r="A27" s="5" t="str">
        <f ca="1">IFERROR(__xludf.DUMMYFUNCTION("""COMPUTED_VALUE"""),"20230306TXPAA")</f>
        <v>20230306TXPAA</v>
      </c>
      <c r="B27" s="5" t="str">
        <f ca="1">IFERROR(__xludf.DUMMYFUNCTION("""COMPUTED_VALUE"""),"Wounded")</f>
        <v>Wounded</v>
      </c>
      <c r="C27" s="5" t="str">
        <f ca="1">IFERROR(__xludf.DUMMYFUNCTION("""COMPUTED_VALUE"""),"Male")</f>
        <v>Male</v>
      </c>
      <c r="D27" s="5" t="str">
        <f ca="1">IFERROR(__xludf.DUMMYFUNCTION("""COMPUTED_VALUE"""),"Student")</f>
        <v>Student</v>
      </c>
      <c r="E27" s="5" t="str">
        <f ca="1">IFERROR(__xludf.DUMMYFUNCTION("""COMPUTED_VALUE"""),"Teen")</f>
        <v>Teen</v>
      </c>
      <c r="F27" s="5"/>
    </row>
    <row r="28" spans="1:6" ht="13">
      <c r="A28" s="5" t="str">
        <f ca="1">IFERROR(__xludf.DUMMYFUNCTION("""COMPUTED_VALUE"""),"20230306MISTR")</f>
        <v>20230306MISTR</v>
      </c>
      <c r="B28" s="5" t="str">
        <f ca="1">IFERROR(__xludf.DUMMYFUNCTION("""COMPUTED_VALUE"""),"Wounded")</f>
        <v>Wounded</v>
      </c>
      <c r="C28" s="5" t="str">
        <f ca="1">IFERROR(__xludf.DUMMYFUNCTION("""COMPUTED_VALUE"""),"Male")</f>
        <v>Male</v>
      </c>
      <c r="D28" s="5" t="str">
        <f ca="1">IFERROR(__xludf.DUMMYFUNCTION("""COMPUTED_VALUE"""),"Parent")</f>
        <v>Parent</v>
      </c>
      <c r="E28" s="5">
        <f ca="1">IFERROR(__xludf.DUMMYFUNCTION("""COMPUTED_VALUE"""),40)</f>
        <v>40</v>
      </c>
      <c r="F28" s="5"/>
    </row>
    <row r="29" spans="1:6" ht="13">
      <c r="A29" s="5" t="str">
        <f ca="1">IFERROR(__xludf.DUMMYFUNCTION("""COMPUTED_VALUE"""),"20230306MDPAB")</f>
        <v>20230306MDPAB</v>
      </c>
      <c r="B29" s="5" t="str">
        <f ca="1">IFERROR(__xludf.DUMMYFUNCTION("""COMPUTED_VALUE"""),"Fatal")</f>
        <v>Fatal</v>
      </c>
      <c r="C29" s="5" t="str">
        <f ca="1">IFERROR(__xludf.DUMMYFUNCTION("""COMPUTED_VALUE"""),"Male")</f>
        <v>Male</v>
      </c>
      <c r="D29" s="5" t="str">
        <f ca="1">IFERROR(__xludf.DUMMYFUNCTION("""COMPUTED_VALUE"""),"Student")</f>
        <v>Student</v>
      </c>
      <c r="E29" s="5">
        <f ca="1">IFERROR(__xludf.DUMMYFUNCTION("""COMPUTED_VALUE"""),16)</f>
        <v>16</v>
      </c>
      <c r="F29" s="5"/>
    </row>
    <row r="30" spans="1:6" ht="13">
      <c r="A30" s="5" t="str">
        <f ca="1">IFERROR(__xludf.DUMMYFUNCTION("""COMPUTED_VALUE"""),"20230303MTGAL")</f>
        <v>20230303MTGAL</v>
      </c>
      <c r="B30" s="5" t="str">
        <f ca="1">IFERROR(__xludf.DUMMYFUNCTION("""COMPUTED_VALUE"""),"Minor Injuries")</f>
        <v>Minor Injuries</v>
      </c>
      <c r="C30" s="5"/>
      <c r="D30" s="5" t="str">
        <f ca="1">IFERROR(__xludf.DUMMYFUNCTION("""COMPUTED_VALUE"""),"Other Staff")</f>
        <v>Other Staff</v>
      </c>
      <c r="E30" s="5" t="str">
        <f ca="1">IFERROR(__xludf.DUMMYFUNCTION("""COMPUTED_VALUE"""),"Adult")</f>
        <v>Adult</v>
      </c>
      <c r="F30" s="5"/>
    </row>
    <row r="31" spans="1:6" ht="13">
      <c r="A31" s="5" t="str">
        <f ca="1">IFERROR(__xludf.DUMMYFUNCTION("""COMPUTED_VALUE"""),"20230301GASAS")</f>
        <v>20230301GASAS</v>
      </c>
      <c r="B31" s="5" t="str">
        <f ca="1">IFERROR(__xludf.DUMMYFUNCTION("""COMPUTED_VALUE"""),"Wounded")</f>
        <v>Wounded</v>
      </c>
      <c r="C31" s="5" t="str">
        <f ca="1">IFERROR(__xludf.DUMMYFUNCTION("""COMPUTED_VALUE"""),"Male")</f>
        <v>Male</v>
      </c>
      <c r="D31" s="5" t="str">
        <f ca="1">IFERROR(__xludf.DUMMYFUNCTION("""COMPUTED_VALUE"""),"Student")</f>
        <v>Student</v>
      </c>
      <c r="E31" s="5">
        <f ca="1">IFERROR(__xludf.DUMMYFUNCTION("""COMPUTED_VALUE"""),15)</f>
        <v>15</v>
      </c>
      <c r="F31" s="5"/>
    </row>
    <row r="32" spans="1:6" ht="13">
      <c r="A32" s="5" t="str">
        <f ca="1">IFERROR(__xludf.DUMMYFUNCTION("""COMPUTED_VALUE"""),"20230301ILSAC")</f>
        <v>20230301ILSAC</v>
      </c>
      <c r="B32" s="5" t="str">
        <f ca="1">IFERROR(__xludf.DUMMYFUNCTION("""COMPUTED_VALUE"""),"Fatal")</f>
        <v>Fatal</v>
      </c>
      <c r="C32" s="5" t="str">
        <f ca="1">IFERROR(__xludf.DUMMYFUNCTION("""COMPUTED_VALUE"""),"Male")</f>
        <v>Male</v>
      </c>
      <c r="D32" s="5" t="str">
        <f ca="1">IFERROR(__xludf.DUMMYFUNCTION("""COMPUTED_VALUE"""),"Police Officer/SRO")</f>
        <v>Police Officer/SRO</v>
      </c>
      <c r="E32" s="5">
        <f ca="1">IFERROR(__xludf.DUMMYFUNCTION("""COMPUTED_VALUE"""),32)</f>
        <v>32</v>
      </c>
      <c r="F32" s="5"/>
    </row>
    <row r="33" spans="1:6" ht="13">
      <c r="A33" s="5" t="str">
        <f ca="1">IFERROR(__xludf.DUMMYFUNCTION("""COMPUTED_VALUE"""),"20230227CAGAC")</f>
        <v>20230227CAGAC</v>
      </c>
      <c r="B33" s="5" t="str">
        <f ca="1">IFERROR(__xludf.DUMMYFUNCTION("""COMPUTED_VALUE"""),"Fatal")</f>
        <v>Fatal</v>
      </c>
      <c r="C33" s="5" t="str">
        <f ca="1">IFERROR(__xludf.DUMMYFUNCTION("""COMPUTED_VALUE"""),"Male")</f>
        <v>Male</v>
      </c>
      <c r="D33" s="5" t="str">
        <f ca="1">IFERROR(__xludf.DUMMYFUNCTION("""COMPUTED_VALUE"""),"No Relation")</f>
        <v>No Relation</v>
      </c>
      <c r="E33" s="5" t="str">
        <f ca="1">IFERROR(__xludf.DUMMYFUNCTION("""COMPUTED_VALUE"""),"Adult")</f>
        <v>Adult</v>
      </c>
      <c r="F33" s="5"/>
    </row>
    <row r="34" spans="1:6" ht="13">
      <c r="A34" s="5" t="str">
        <f ca="1">IFERROR(__xludf.DUMMYFUNCTION("""COMPUTED_VALUE"""),"20230223OHWOC")</f>
        <v>20230223OHWOC</v>
      </c>
      <c r="B34" s="5" t="str">
        <f ca="1">IFERROR(__xludf.DUMMYFUNCTION("""COMPUTED_VALUE"""),"Wounded")</f>
        <v>Wounded</v>
      </c>
      <c r="C34" s="5" t="str">
        <f ca="1">IFERROR(__xludf.DUMMYFUNCTION("""COMPUTED_VALUE"""),"Male")</f>
        <v>Male</v>
      </c>
      <c r="D34" s="5" t="str">
        <f ca="1">IFERROR(__xludf.DUMMYFUNCTION("""COMPUTED_VALUE"""),"Student")</f>
        <v>Student</v>
      </c>
      <c r="E34" s="5">
        <f ca="1">IFERROR(__xludf.DUMMYFUNCTION("""COMPUTED_VALUE"""),17)</f>
        <v>17</v>
      </c>
      <c r="F34" s="5"/>
    </row>
    <row r="35" spans="1:6" ht="13">
      <c r="A35" s="5" t="str">
        <f ca="1">IFERROR(__xludf.DUMMYFUNCTION("""COMPUTED_VALUE"""),"20230217NCERE")</f>
        <v>20230217NCERE</v>
      </c>
      <c r="B35" s="5" t="str">
        <f ca="1">IFERROR(__xludf.DUMMYFUNCTION("""COMPUTED_VALUE"""),"None")</f>
        <v>None</v>
      </c>
      <c r="C35" s="5" t="str">
        <f ca="1">IFERROR(__xludf.DUMMYFUNCTION("""COMPUTED_VALUE"""),"Male")</f>
        <v>Male</v>
      </c>
      <c r="D35" s="5" t="str">
        <f ca="1">IFERROR(__xludf.DUMMYFUNCTION("""COMPUTED_VALUE"""),"Student")</f>
        <v>Student</v>
      </c>
      <c r="E35" s="5">
        <f ca="1">IFERROR(__xludf.DUMMYFUNCTION("""COMPUTED_VALUE"""),9)</f>
        <v>9</v>
      </c>
      <c r="F35" s="5"/>
    </row>
    <row r="36" spans="1:6" ht="13">
      <c r="A36" s="5" t="str">
        <f ca="1">IFERROR(__xludf.DUMMYFUNCTION("""COMPUTED_VALUE"""),"20230217ILCAC")</f>
        <v>20230217ILCAC</v>
      </c>
      <c r="B36" s="5" t="str">
        <f ca="1">IFERROR(__xludf.DUMMYFUNCTION("""COMPUTED_VALUE"""),"Wounded")</f>
        <v>Wounded</v>
      </c>
      <c r="C36" s="5" t="str">
        <f ca="1">IFERROR(__xludf.DUMMYFUNCTION("""COMPUTED_VALUE"""),"Female")</f>
        <v>Female</v>
      </c>
      <c r="D36" s="5" t="str">
        <f ca="1">IFERROR(__xludf.DUMMYFUNCTION("""COMPUTED_VALUE"""),"Student")</f>
        <v>Student</v>
      </c>
      <c r="E36" s="5">
        <f ca="1">IFERROR(__xludf.DUMMYFUNCTION("""COMPUTED_VALUE"""),17)</f>
        <v>17</v>
      </c>
      <c r="F36" s="5"/>
    </row>
    <row r="37" spans="1:6" ht="13">
      <c r="A37" s="5" t="str">
        <f ca="1">IFERROR(__xludf.DUMMYFUNCTION("""COMPUTED_VALUE"""),"20230216TXGAG")</f>
        <v>20230216TXGAG</v>
      </c>
      <c r="B37" s="5" t="str">
        <f ca="1">IFERROR(__xludf.DUMMYFUNCTION("""COMPUTED_VALUE"""),"Fatal")</f>
        <v>Fatal</v>
      </c>
      <c r="C37" s="5" t="str">
        <f ca="1">IFERROR(__xludf.DUMMYFUNCTION("""COMPUTED_VALUE"""),"Male")</f>
        <v>Male</v>
      </c>
      <c r="D37" s="5" t="str">
        <f ca="1">IFERROR(__xludf.DUMMYFUNCTION("""COMPUTED_VALUE"""),"Student")</f>
        <v>Student</v>
      </c>
      <c r="E37" s="5">
        <f ca="1">IFERROR(__xludf.DUMMYFUNCTION("""COMPUTED_VALUE"""),17)</f>
        <v>17</v>
      </c>
      <c r="F37" s="5"/>
    </row>
    <row r="38" spans="1:6" ht="13">
      <c r="A38" s="5" t="str">
        <f ca="1">IFERROR(__xludf.DUMMYFUNCTION("""COMPUTED_VALUE"""),"20230215OHCOC")</f>
        <v>20230215OHCOC</v>
      </c>
      <c r="B38" s="5" t="str">
        <f ca="1">IFERROR(__xludf.DUMMYFUNCTION("""COMPUTED_VALUE"""),"None")</f>
        <v>None</v>
      </c>
      <c r="C38" s="5" t="str">
        <f ca="1">IFERROR(__xludf.DUMMYFUNCTION("""COMPUTED_VALUE"""),"Male")</f>
        <v>Male</v>
      </c>
      <c r="D38" s="5" t="str">
        <f ca="1">IFERROR(__xludf.DUMMYFUNCTION("""COMPUTED_VALUE"""),"Student")</f>
        <v>Student</v>
      </c>
      <c r="E38" s="5" t="str">
        <f ca="1">IFERROR(__xludf.DUMMYFUNCTION("""COMPUTED_VALUE"""),"Teen")</f>
        <v>Teen</v>
      </c>
      <c r="F38" s="5"/>
    </row>
    <row r="39" spans="1:6" ht="13">
      <c r="A39" s="5" t="str">
        <f ca="1">IFERROR(__xludf.DUMMYFUNCTION("""COMPUTED_VALUE"""),"20230215MDWAB")</f>
        <v>20230215MDWAB</v>
      </c>
      <c r="B39" s="5" t="str">
        <f ca="1">IFERROR(__xludf.DUMMYFUNCTION("""COMPUTED_VALUE"""),"Wounded")</f>
        <v>Wounded</v>
      </c>
      <c r="C39" s="5" t="str">
        <f ca="1">IFERROR(__xludf.DUMMYFUNCTION("""COMPUTED_VALUE"""),"Female")</f>
        <v>Female</v>
      </c>
      <c r="D39" s="5" t="str">
        <f ca="1">IFERROR(__xludf.DUMMYFUNCTION("""COMPUTED_VALUE"""),"Student")</f>
        <v>Student</v>
      </c>
      <c r="E39" s="5">
        <f ca="1">IFERROR(__xludf.DUMMYFUNCTION("""COMPUTED_VALUE"""),15)</f>
        <v>15</v>
      </c>
      <c r="F39" s="5"/>
    </row>
    <row r="40" spans="1:6" ht="13">
      <c r="A40" s="5" t="str">
        <f ca="1">IFERROR(__xludf.DUMMYFUNCTION("""COMPUTED_VALUE"""),"20230214PAWEP")</f>
        <v>20230214PAWEP</v>
      </c>
      <c r="B40" s="5" t="str">
        <f ca="1">IFERROR(__xludf.DUMMYFUNCTION("""COMPUTED_VALUE"""),"Wounded")</f>
        <v>Wounded</v>
      </c>
      <c r="C40" s="5" t="str">
        <f ca="1">IFERROR(__xludf.DUMMYFUNCTION("""COMPUTED_VALUE"""),"Female")</f>
        <v>Female</v>
      </c>
      <c r="D40" s="5" t="str">
        <f ca="1">IFERROR(__xludf.DUMMYFUNCTION("""COMPUTED_VALUE"""),"Student")</f>
        <v>Student</v>
      </c>
      <c r="E40" s="5">
        <f ca="1">IFERROR(__xludf.DUMMYFUNCTION("""COMPUTED_VALUE"""),15)</f>
        <v>15</v>
      </c>
      <c r="F40" s="5"/>
    </row>
    <row r="41" spans="1:6" ht="13">
      <c r="A41" s="5" t="str">
        <f ca="1">IFERROR(__xludf.DUMMYFUNCTION("""COMPUTED_VALUE"""),"20230214PAWEP")</f>
        <v>20230214PAWEP</v>
      </c>
      <c r="B41" s="5" t="str">
        <f ca="1">IFERROR(__xludf.DUMMYFUNCTION("""COMPUTED_VALUE"""),"Wounded")</f>
        <v>Wounded</v>
      </c>
      <c r="C41" s="5" t="str">
        <f ca="1">IFERROR(__xludf.DUMMYFUNCTION("""COMPUTED_VALUE"""),"Male")</f>
        <v>Male</v>
      </c>
      <c r="D41" s="5" t="str">
        <f ca="1">IFERROR(__xludf.DUMMYFUNCTION("""COMPUTED_VALUE"""),"Student")</f>
        <v>Student</v>
      </c>
      <c r="E41" s="5">
        <f ca="1">IFERROR(__xludf.DUMMYFUNCTION("""COMPUTED_VALUE"""),15)</f>
        <v>15</v>
      </c>
      <c r="F41" s="5"/>
    </row>
    <row r="42" spans="1:6" ht="13">
      <c r="A42" s="5" t="str">
        <f ca="1">IFERROR(__xludf.DUMMYFUNCTION("""COMPUTED_VALUE"""),"20230214PAWEP")</f>
        <v>20230214PAWEP</v>
      </c>
      <c r="B42" s="5" t="str">
        <f ca="1">IFERROR(__xludf.DUMMYFUNCTION("""COMPUTED_VALUE"""),"Wounded")</f>
        <v>Wounded</v>
      </c>
      <c r="C42" s="5" t="str">
        <f ca="1">IFERROR(__xludf.DUMMYFUNCTION("""COMPUTED_VALUE"""),"Male")</f>
        <v>Male</v>
      </c>
      <c r="D42" s="5" t="str">
        <f ca="1">IFERROR(__xludf.DUMMYFUNCTION("""COMPUTED_VALUE"""),"Student")</f>
        <v>Student</v>
      </c>
      <c r="E42" s="5">
        <f ca="1">IFERROR(__xludf.DUMMYFUNCTION("""COMPUTED_VALUE"""),15)</f>
        <v>15</v>
      </c>
      <c r="F42" s="5"/>
    </row>
    <row r="43" spans="1:6" ht="13">
      <c r="A43" s="5" t="str">
        <f ca="1">IFERROR(__xludf.DUMMYFUNCTION("""COMPUTED_VALUE"""),"20230214PAWEP")</f>
        <v>20230214PAWEP</v>
      </c>
      <c r="B43" s="5" t="str">
        <f ca="1">IFERROR(__xludf.DUMMYFUNCTION("""COMPUTED_VALUE"""),"Wounded")</f>
        <v>Wounded</v>
      </c>
      <c r="C43" s="5" t="str">
        <f ca="1">IFERROR(__xludf.DUMMYFUNCTION("""COMPUTED_VALUE"""),"Male")</f>
        <v>Male</v>
      </c>
      <c r="D43" s="5" t="str">
        <f ca="1">IFERROR(__xludf.DUMMYFUNCTION("""COMPUTED_VALUE"""),"Student")</f>
        <v>Student</v>
      </c>
      <c r="E43" s="5">
        <f ca="1">IFERROR(__xludf.DUMMYFUNCTION("""COMPUTED_VALUE"""),17)</f>
        <v>17</v>
      </c>
      <c r="F43" s="5"/>
    </row>
    <row r="44" spans="1:6" ht="13">
      <c r="A44" s="5" t="str">
        <f ca="1">IFERROR(__xludf.DUMMYFUNCTION("""COMPUTED_VALUE"""),"20230213COEAD")</f>
        <v>20230213COEAD</v>
      </c>
      <c r="B44" s="5" t="str">
        <f ca="1">IFERROR(__xludf.DUMMYFUNCTION("""COMPUTED_VALUE"""),"Fatal")</f>
        <v>Fatal</v>
      </c>
      <c r="C44" s="5" t="str">
        <f ca="1">IFERROR(__xludf.DUMMYFUNCTION("""COMPUTED_VALUE"""),"Male")</f>
        <v>Male</v>
      </c>
      <c r="D44" s="5" t="str">
        <f ca="1">IFERROR(__xludf.DUMMYFUNCTION("""COMPUTED_VALUE"""),"Student")</f>
        <v>Student</v>
      </c>
      <c r="E44" s="5">
        <f ca="1">IFERROR(__xludf.DUMMYFUNCTION("""COMPUTED_VALUE"""),16)</f>
        <v>16</v>
      </c>
      <c r="F44" s="5"/>
    </row>
    <row r="45" spans="1:6" ht="13">
      <c r="A45" s="5" t="str">
        <f ca="1">IFERROR(__xludf.DUMMYFUNCTION("""COMPUTED_VALUE"""),"20230213TXDAD")</f>
        <v>20230213TXDAD</v>
      </c>
      <c r="B45" s="5" t="str">
        <f ca="1">IFERROR(__xludf.DUMMYFUNCTION("""COMPUTED_VALUE"""),"Fatal")</f>
        <v>Fatal</v>
      </c>
      <c r="C45" s="5" t="str">
        <f ca="1">IFERROR(__xludf.DUMMYFUNCTION("""COMPUTED_VALUE"""),"Male")</f>
        <v>Male</v>
      </c>
      <c r="D45" s="5" t="str">
        <f ca="1">IFERROR(__xludf.DUMMYFUNCTION("""COMPUTED_VALUE"""),"Student")</f>
        <v>Student</v>
      </c>
      <c r="E45" s="5">
        <f ca="1">IFERROR(__xludf.DUMMYFUNCTION("""COMPUTED_VALUE"""),15)</f>
        <v>15</v>
      </c>
      <c r="F45" s="5"/>
    </row>
    <row r="46" spans="1:6" ht="13">
      <c r="A46" s="5" t="str">
        <f ca="1">IFERROR(__xludf.DUMMYFUNCTION("""COMPUTED_VALUE"""),"20230210CAHEF")</f>
        <v>20230210CAHEF</v>
      </c>
      <c r="B46" s="5" t="str">
        <f ca="1">IFERROR(__xludf.DUMMYFUNCTION("""COMPUTED_VALUE"""),"Wounded")</f>
        <v>Wounded</v>
      </c>
      <c r="C46" s="5" t="str">
        <f ca="1">IFERROR(__xludf.DUMMYFUNCTION("""COMPUTED_VALUE"""),"Female")</f>
        <v>Female</v>
      </c>
      <c r="D46" s="5" t="str">
        <f ca="1">IFERROR(__xludf.DUMMYFUNCTION("""COMPUTED_VALUE"""),"Other Staff")</f>
        <v>Other Staff</v>
      </c>
      <c r="E46" s="5" t="str">
        <f ca="1">IFERROR(__xludf.DUMMYFUNCTION("""COMPUTED_VALUE"""),"Adult")</f>
        <v>Adult</v>
      </c>
      <c r="F46" s="5"/>
    </row>
    <row r="47" spans="1:6" ht="13">
      <c r="A47" s="5" t="str">
        <f ca="1">IFERROR(__xludf.DUMMYFUNCTION("""COMPUTED_VALUE"""),"20230208NYWIB")</f>
        <v>20230208NYWIB</v>
      </c>
      <c r="B47" s="5" t="str">
        <f ca="1">IFERROR(__xludf.DUMMYFUNCTION("""COMPUTED_VALUE"""),"Wounded")</f>
        <v>Wounded</v>
      </c>
      <c r="C47" s="5" t="str">
        <f ca="1">IFERROR(__xludf.DUMMYFUNCTION("""COMPUTED_VALUE"""),"Male")</f>
        <v>Male</v>
      </c>
      <c r="D47" s="5" t="str">
        <f ca="1">IFERROR(__xludf.DUMMYFUNCTION("""COMPUTED_VALUE"""),"Student")</f>
        <v>Student</v>
      </c>
      <c r="E47" s="5">
        <f ca="1">IFERROR(__xludf.DUMMYFUNCTION("""COMPUTED_VALUE"""),17)</f>
        <v>17</v>
      </c>
      <c r="F47" s="5"/>
    </row>
    <row r="48" spans="1:6" ht="13">
      <c r="A48" s="5" t="str">
        <f ca="1">IFERROR(__xludf.DUMMYFUNCTION("""COMPUTED_VALUE"""),"20230208NYWIB")</f>
        <v>20230208NYWIB</v>
      </c>
      <c r="B48" s="5" t="str">
        <f ca="1">IFERROR(__xludf.DUMMYFUNCTION("""COMPUTED_VALUE"""),"Wounded")</f>
        <v>Wounded</v>
      </c>
      <c r="C48" s="5" t="str">
        <f ca="1">IFERROR(__xludf.DUMMYFUNCTION("""COMPUTED_VALUE"""),"Female")</f>
        <v>Female</v>
      </c>
      <c r="D48" s="5" t="str">
        <f ca="1">IFERROR(__xludf.DUMMYFUNCTION("""COMPUTED_VALUE"""),"Student")</f>
        <v>Student</v>
      </c>
      <c r="E48" s="5">
        <f ca="1">IFERROR(__xludf.DUMMYFUNCTION("""COMPUTED_VALUE"""),15)</f>
        <v>15</v>
      </c>
      <c r="F48" s="5"/>
    </row>
    <row r="49" spans="1:6" ht="13">
      <c r="A49" s="5" t="str">
        <f ca="1">IFERROR(__xludf.DUMMYFUNCTION("""COMPUTED_VALUE"""),"20230208NYWIB")</f>
        <v>20230208NYWIB</v>
      </c>
      <c r="B49" s="5" t="str">
        <f ca="1">IFERROR(__xludf.DUMMYFUNCTION("""COMPUTED_VALUE"""),"Wounded")</f>
        <v>Wounded</v>
      </c>
      <c r="C49" s="5" t="str">
        <f ca="1">IFERROR(__xludf.DUMMYFUNCTION("""COMPUTED_VALUE"""),"Male")</f>
        <v>Male</v>
      </c>
      <c r="D49" s="5" t="str">
        <f ca="1">IFERROR(__xludf.DUMMYFUNCTION("""COMPUTED_VALUE"""),"Security Guard")</f>
        <v>Security Guard</v>
      </c>
      <c r="E49" s="5">
        <f ca="1">IFERROR(__xludf.DUMMYFUNCTION("""COMPUTED_VALUE"""),37)</f>
        <v>37</v>
      </c>
      <c r="F49" s="5"/>
    </row>
    <row r="50" spans="1:6" ht="13">
      <c r="A50" s="5" t="str">
        <f ca="1">IFERROR(__xludf.DUMMYFUNCTION("""COMPUTED_VALUE"""),"20230206FLMIM")</f>
        <v>20230206FLMIM</v>
      </c>
      <c r="B50" s="5" t="str">
        <f ca="1">IFERROR(__xludf.DUMMYFUNCTION("""COMPUTED_VALUE"""),"Wounded")</f>
        <v>Wounded</v>
      </c>
      <c r="C50" s="5" t="str">
        <f ca="1">IFERROR(__xludf.DUMMYFUNCTION("""COMPUTED_VALUE"""),"Male")</f>
        <v>Male</v>
      </c>
      <c r="D50" s="5" t="str">
        <f ca="1">IFERROR(__xludf.DUMMYFUNCTION("""COMPUTED_VALUE"""),"Student")</f>
        <v>Student</v>
      </c>
      <c r="E50" s="5">
        <f ca="1">IFERROR(__xludf.DUMMYFUNCTION("""COMPUTED_VALUE"""),18)</f>
        <v>18</v>
      </c>
      <c r="F50" s="5"/>
    </row>
    <row r="51" spans="1:6" ht="13">
      <c r="A51" s="5" t="str">
        <f ca="1">IFERROR(__xludf.DUMMYFUNCTION("""COMPUTED_VALUE"""),"20230130DCCOW")</f>
        <v>20230130DCCOW</v>
      </c>
      <c r="B51" s="5" t="str">
        <f ca="1">IFERROR(__xludf.DUMMYFUNCTION("""COMPUTED_VALUE"""),"Fatal")</f>
        <v>Fatal</v>
      </c>
      <c r="C51" s="5" t="str">
        <f ca="1">IFERROR(__xludf.DUMMYFUNCTION("""COMPUTED_VALUE"""),"Male")</f>
        <v>Male</v>
      </c>
      <c r="D51" s="5" t="str">
        <f ca="1">IFERROR(__xludf.DUMMYFUNCTION("""COMPUTED_VALUE"""),"Other Staff")</f>
        <v>Other Staff</v>
      </c>
      <c r="E51" s="5" t="str">
        <f ca="1">IFERROR(__xludf.DUMMYFUNCTION("""COMPUTED_VALUE"""),"Adult")</f>
        <v>Adult</v>
      </c>
      <c r="F51" s="5"/>
    </row>
    <row r="52" spans="1:6" ht="13">
      <c r="A52" s="5" t="str">
        <f ca="1">IFERROR(__xludf.DUMMYFUNCTION("""COMPUTED_VALUE"""),"20230130AZGIY")</f>
        <v>20230130AZGIY</v>
      </c>
      <c r="B52" s="5" t="str">
        <f ca="1">IFERROR(__xludf.DUMMYFUNCTION("""COMPUTED_VALUE"""),"Minor Injuries")</f>
        <v>Minor Injuries</v>
      </c>
      <c r="C52" s="5" t="str">
        <f ca="1">IFERROR(__xludf.DUMMYFUNCTION("""COMPUTED_VALUE"""),"Male")</f>
        <v>Male</v>
      </c>
      <c r="D52" s="5" t="str">
        <f ca="1">IFERROR(__xludf.DUMMYFUNCTION("""COMPUTED_VALUE"""),"Student")</f>
        <v>Student</v>
      </c>
      <c r="E52" s="5" t="str">
        <f ca="1">IFERROR(__xludf.DUMMYFUNCTION("""COMPUTED_VALUE"""),"Teen")</f>
        <v>Teen</v>
      </c>
      <c r="F52" s="5"/>
    </row>
    <row r="53" spans="1:6" ht="13">
      <c r="A53" s="5" t="str">
        <f ca="1">IFERROR(__xludf.DUMMYFUNCTION("""COMPUTED_VALUE"""),"20230130AZGIY")</f>
        <v>20230130AZGIY</v>
      </c>
      <c r="B53" s="5" t="str">
        <f ca="1">IFERROR(__xludf.DUMMYFUNCTION("""COMPUTED_VALUE"""),"Minor Injuries")</f>
        <v>Minor Injuries</v>
      </c>
      <c r="C53" s="5" t="str">
        <f ca="1">IFERROR(__xludf.DUMMYFUNCTION("""COMPUTED_VALUE"""),"Male")</f>
        <v>Male</v>
      </c>
      <c r="D53" s="5" t="str">
        <f ca="1">IFERROR(__xludf.DUMMYFUNCTION("""COMPUTED_VALUE"""),"Student")</f>
        <v>Student</v>
      </c>
      <c r="E53" s="5" t="str">
        <f ca="1">IFERROR(__xludf.DUMMYFUNCTION("""COMPUTED_VALUE"""),"Teen")</f>
        <v>Teen</v>
      </c>
      <c r="F53" s="5"/>
    </row>
    <row r="54" spans="1:6" ht="13">
      <c r="A54" s="5" t="str">
        <f ca="1">IFERROR(__xludf.DUMMYFUNCTION("""COMPUTED_VALUE"""),"20230128MOGLS")</f>
        <v>20230128MOGLS</v>
      </c>
      <c r="B54" s="5" t="str">
        <f ca="1">IFERROR(__xludf.DUMMYFUNCTION("""COMPUTED_VALUE"""),"Wounded")</f>
        <v>Wounded</v>
      </c>
      <c r="C54" s="5" t="str">
        <f ca="1">IFERROR(__xludf.DUMMYFUNCTION("""COMPUTED_VALUE"""),"Male")</f>
        <v>Male</v>
      </c>
      <c r="D54" s="5" t="str">
        <f ca="1">IFERROR(__xludf.DUMMYFUNCTION("""COMPUTED_VALUE"""),"No Relation")</f>
        <v>No Relation</v>
      </c>
      <c r="E54" s="5" t="str">
        <f ca="1">IFERROR(__xludf.DUMMYFUNCTION("""COMPUTED_VALUE"""),"Adult")</f>
        <v>Adult</v>
      </c>
      <c r="F54" s="5"/>
    </row>
    <row r="55" spans="1:6" ht="13">
      <c r="A55" s="5" t="str">
        <f ca="1">IFERROR(__xludf.DUMMYFUNCTION("""COMPUTED_VALUE"""),"20230127NJHOW")</f>
        <v>20230127NJHOW</v>
      </c>
      <c r="B55" s="5" t="str">
        <f ca="1">IFERROR(__xludf.DUMMYFUNCTION("""COMPUTED_VALUE"""),"None")</f>
        <v>None</v>
      </c>
      <c r="C55" s="5"/>
      <c r="D55" s="5" t="str">
        <f ca="1">IFERROR(__xludf.DUMMYFUNCTION("""COMPUTED_VALUE"""),"Nonstudent")</f>
        <v>Nonstudent</v>
      </c>
      <c r="E55" s="5" t="str">
        <f ca="1">IFERROR(__xludf.DUMMYFUNCTION("""COMPUTED_VALUE"""),"Teen")</f>
        <v>Teen</v>
      </c>
      <c r="F55" s="5"/>
    </row>
    <row r="56" spans="1:6" ht="13">
      <c r="A56" s="5" t="str">
        <f ca="1">IFERROR(__xludf.DUMMYFUNCTION("""COMPUTED_VALUE"""),"20230124MOTHK")</f>
        <v>20230124MOTHK</v>
      </c>
      <c r="B56" s="5" t="str">
        <f ca="1">IFERROR(__xludf.DUMMYFUNCTION("""COMPUTED_VALUE"""),"Wounded")</f>
        <v>Wounded</v>
      </c>
      <c r="C56" s="5"/>
      <c r="D56" s="5" t="str">
        <f ca="1">IFERROR(__xludf.DUMMYFUNCTION("""COMPUTED_VALUE"""),"Other Staff")</f>
        <v>Other Staff</v>
      </c>
      <c r="E56" s="5" t="str">
        <f ca="1">IFERROR(__xludf.DUMMYFUNCTION("""COMPUTED_VALUE"""),"Adult")</f>
        <v>Adult</v>
      </c>
      <c r="F56" s="5"/>
    </row>
    <row r="57" spans="1:6" ht="13">
      <c r="A57" s="5" t="str">
        <f ca="1">IFERROR(__xludf.DUMMYFUNCTION("""COMPUTED_VALUE"""),"20230123TXABA")</f>
        <v>20230123TXABA</v>
      </c>
      <c r="B57" s="5" t="str">
        <f ca="1">IFERROR(__xludf.DUMMYFUNCTION("""COMPUTED_VALUE"""),"Minor Injuries")</f>
        <v>Minor Injuries</v>
      </c>
      <c r="C57" s="5"/>
      <c r="D57" s="5" t="str">
        <f ca="1">IFERROR(__xludf.DUMMYFUNCTION("""COMPUTED_VALUE"""),"Student")</f>
        <v>Student</v>
      </c>
      <c r="E57" s="5" t="str">
        <f ca="1">IFERROR(__xludf.DUMMYFUNCTION("""COMPUTED_VALUE"""),"Child")</f>
        <v>Child</v>
      </c>
      <c r="F57" s="5"/>
    </row>
    <row r="58" spans="1:6" ht="13">
      <c r="A58" s="5" t="str">
        <f ca="1">IFERROR(__xludf.DUMMYFUNCTION("""COMPUTED_VALUE"""),"20230123TXABA")</f>
        <v>20230123TXABA</v>
      </c>
      <c r="B58" s="5" t="str">
        <f ca="1">IFERROR(__xludf.DUMMYFUNCTION("""COMPUTED_VALUE"""),"Minor Injuries")</f>
        <v>Minor Injuries</v>
      </c>
      <c r="C58" s="5"/>
      <c r="D58" s="5" t="str">
        <f ca="1">IFERROR(__xludf.DUMMYFUNCTION("""COMPUTED_VALUE"""),"Student")</f>
        <v>Student</v>
      </c>
      <c r="E58" s="5" t="str">
        <f ca="1">IFERROR(__xludf.DUMMYFUNCTION("""COMPUTED_VALUE"""),"Child")</f>
        <v>Child</v>
      </c>
      <c r="F58" s="5"/>
    </row>
    <row r="59" spans="1:6" ht="13">
      <c r="A59" s="5" t="str">
        <f ca="1">IFERROR(__xludf.DUMMYFUNCTION("""COMPUTED_VALUE"""),"20230123IASTD")</f>
        <v>20230123IASTD</v>
      </c>
      <c r="B59" s="5" t="str">
        <f ca="1">IFERROR(__xludf.DUMMYFUNCTION("""COMPUTED_VALUE"""),"Fatal")</f>
        <v>Fatal</v>
      </c>
      <c r="C59" s="5"/>
      <c r="D59" s="5" t="str">
        <f ca="1">IFERROR(__xludf.DUMMYFUNCTION("""COMPUTED_VALUE"""),"Student")</f>
        <v>Student</v>
      </c>
      <c r="E59" s="5">
        <f ca="1">IFERROR(__xludf.DUMMYFUNCTION("""COMPUTED_VALUE"""),18)</f>
        <v>18</v>
      </c>
      <c r="F59" s="5" t="str">
        <f ca="1">IFERROR(__xludf.DUMMYFUNCTION("""COMPUTED_VALUE"""),"Black")</f>
        <v>Black</v>
      </c>
    </row>
    <row r="60" spans="1:6" ht="13">
      <c r="A60" s="5" t="str">
        <f ca="1">IFERROR(__xludf.DUMMYFUNCTION("""COMPUTED_VALUE"""),"20230123IASTD")</f>
        <v>20230123IASTD</v>
      </c>
      <c r="B60" s="5" t="str">
        <f ca="1">IFERROR(__xludf.DUMMYFUNCTION("""COMPUTED_VALUE"""),"Fatal")</f>
        <v>Fatal</v>
      </c>
      <c r="C60" s="5"/>
      <c r="D60" s="5" t="str">
        <f ca="1">IFERROR(__xludf.DUMMYFUNCTION("""COMPUTED_VALUE"""),"Student")</f>
        <v>Student</v>
      </c>
      <c r="E60" s="5">
        <f ca="1">IFERROR(__xludf.DUMMYFUNCTION("""COMPUTED_VALUE"""),16)</f>
        <v>16</v>
      </c>
      <c r="F60" s="5" t="str">
        <f ca="1">IFERROR(__xludf.DUMMYFUNCTION("""COMPUTED_VALUE"""),"Black")</f>
        <v>Black</v>
      </c>
    </row>
    <row r="61" spans="1:6" ht="13">
      <c r="A61" s="5" t="str">
        <f ca="1">IFERROR(__xludf.DUMMYFUNCTION("""COMPUTED_VALUE"""),"20230123IASTD")</f>
        <v>20230123IASTD</v>
      </c>
      <c r="B61" s="5" t="str">
        <f ca="1">IFERROR(__xludf.DUMMYFUNCTION("""COMPUTED_VALUE"""),"Wounded")</f>
        <v>Wounded</v>
      </c>
      <c r="C61" s="5"/>
      <c r="D61" s="5" t="str">
        <f ca="1">IFERROR(__xludf.DUMMYFUNCTION("""COMPUTED_VALUE"""),"Other Staff")</f>
        <v>Other Staff</v>
      </c>
      <c r="E61" s="5" t="str">
        <f ca="1">IFERROR(__xludf.DUMMYFUNCTION("""COMPUTED_VALUE"""),"Will Holmes")</f>
        <v>Will Holmes</v>
      </c>
      <c r="F61" s="5" t="str">
        <f ca="1">IFERROR(__xludf.DUMMYFUNCTION("""COMPUTED_VALUE"""),"Black")</f>
        <v>Black</v>
      </c>
    </row>
    <row r="62" spans="1:6" ht="13">
      <c r="A62" s="5" t="str">
        <f ca="1">IFERROR(__xludf.DUMMYFUNCTION("""COMPUTED_VALUE"""),"20230122WAMOT")</f>
        <v>20230122WAMOT</v>
      </c>
      <c r="B62" s="5" t="str">
        <f ca="1">IFERROR(__xludf.DUMMYFUNCTION("""COMPUTED_VALUE"""),"Wounded")</f>
        <v>Wounded</v>
      </c>
      <c r="C62" s="5"/>
      <c r="D62" s="5" t="str">
        <f ca="1">IFERROR(__xludf.DUMMYFUNCTION("""COMPUTED_VALUE"""),"No Relation")</f>
        <v>No Relation</v>
      </c>
      <c r="E62" s="5" t="str">
        <f ca="1">IFERROR(__xludf.DUMMYFUNCTION("""COMPUTED_VALUE"""),"Adult")</f>
        <v>Adult</v>
      </c>
      <c r="F62" s="5"/>
    </row>
    <row r="63" spans="1:6" ht="13">
      <c r="A63" s="5" t="str">
        <f ca="1">IFERROR(__xludf.DUMMYFUNCTION("""COMPUTED_VALUE"""),"20230122WAMOT")</f>
        <v>20230122WAMOT</v>
      </c>
      <c r="B63" s="5" t="str">
        <f ca="1">IFERROR(__xludf.DUMMYFUNCTION("""COMPUTED_VALUE"""),"Wounded")</f>
        <v>Wounded</v>
      </c>
      <c r="C63" s="5"/>
      <c r="D63" s="5" t="str">
        <f ca="1">IFERROR(__xludf.DUMMYFUNCTION("""COMPUTED_VALUE"""),"No Relation")</f>
        <v>No Relation</v>
      </c>
      <c r="E63" s="5" t="str">
        <f ca="1">IFERROR(__xludf.DUMMYFUNCTION("""COMPUTED_VALUE"""),"Adult")</f>
        <v>Adult</v>
      </c>
      <c r="F63" s="5"/>
    </row>
    <row r="64" spans="1:6" ht="13">
      <c r="A64" s="5" t="str">
        <f ca="1">IFERROR(__xludf.DUMMYFUNCTION("""COMPUTED_VALUE"""),"20230120MNWAS")</f>
        <v>20230120MNWAS</v>
      </c>
      <c r="B64" s="5" t="str">
        <f ca="1">IFERROR(__xludf.DUMMYFUNCTION("""COMPUTED_VALUE"""),"Wounded")</f>
        <v>Wounded</v>
      </c>
      <c r="C64" s="5" t="str">
        <f ca="1">IFERROR(__xludf.DUMMYFUNCTION("""COMPUTED_VALUE"""),"Female")</f>
        <v>Female</v>
      </c>
      <c r="D64" s="5" t="str">
        <f ca="1">IFERROR(__xludf.DUMMYFUNCTION("""COMPUTED_VALUE"""),"Other Staff")</f>
        <v>Other Staff</v>
      </c>
      <c r="E64" s="5" t="str">
        <f ca="1">IFERROR(__xludf.DUMMYFUNCTION("""COMPUTED_VALUE"""),"Adult")</f>
        <v>Adult</v>
      </c>
      <c r="F64" s="5"/>
    </row>
    <row r="65" spans="1:6" ht="13">
      <c r="A65" s="5" t="str">
        <f ca="1">IFERROR(__xludf.DUMMYFUNCTION("""COMPUTED_VALUE"""),"20230119NYEAB")</f>
        <v>20230119NYEAB</v>
      </c>
      <c r="B65" s="5" t="str">
        <f ca="1">IFERROR(__xludf.DUMMYFUNCTION("""COMPUTED_VALUE"""),"Wounded")</f>
        <v>Wounded</v>
      </c>
      <c r="C65" s="5" t="str">
        <f ca="1">IFERROR(__xludf.DUMMYFUNCTION("""COMPUTED_VALUE"""),"Male")</f>
        <v>Male</v>
      </c>
      <c r="D65" s="5" t="str">
        <f ca="1">IFERROR(__xludf.DUMMYFUNCTION("""COMPUTED_VALUE"""),"Student")</f>
        <v>Student</v>
      </c>
      <c r="E65" s="5">
        <f ca="1">IFERROR(__xludf.DUMMYFUNCTION("""COMPUTED_VALUE"""),15)</f>
        <v>15</v>
      </c>
      <c r="F65" s="5"/>
    </row>
    <row r="66" spans="1:6" ht="13">
      <c r="A66" s="5" t="str">
        <f ca="1">IFERROR(__xludf.DUMMYFUNCTION("""COMPUTED_VALUE"""),"20230118NYCAQ")</f>
        <v>20230118NYCAQ</v>
      </c>
      <c r="B66" s="5" t="str">
        <f ca="1">IFERROR(__xludf.DUMMYFUNCTION("""COMPUTED_VALUE"""),"Wounded")</f>
        <v>Wounded</v>
      </c>
      <c r="C66" s="5" t="str">
        <f ca="1">IFERROR(__xludf.DUMMYFUNCTION("""COMPUTED_VALUE"""),"Female")</f>
        <v>Female</v>
      </c>
      <c r="D66" s="5" t="str">
        <f ca="1">IFERROR(__xludf.DUMMYFUNCTION("""COMPUTED_VALUE"""),"Student")</f>
        <v>Student</v>
      </c>
      <c r="E66" s="5">
        <f ca="1">IFERROR(__xludf.DUMMYFUNCTION("""COMPUTED_VALUE"""),16)</f>
        <v>16</v>
      </c>
      <c r="F66" s="5"/>
    </row>
    <row r="67" spans="1:6" ht="13">
      <c r="A67" s="5" t="str">
        <f ca="1">IFERROR(__xludf.DUMMYFUNCTION("""COMPUTED_VALUE"""),"20230118NYCAQ")</f>
        <v>20230118NYCAQ</v>
      </c>
      <c r="B67" s="5" t="str">
        <f ca="1">IFERROR(__xludf.DUMMYFUNCTION("""COMPUTED_VALUE"""),"Wounded")</f>
        <v>Wounded</v>
      </c>
      <c r="C67" s="5" t="str">
        <f ca="1">IFERROR(__xludf.DUMMYFUNCTION("""COMPUTED_VALUE"""),"Male")</f>
        <v>Male</v>
      </c>
      <c r="D67" s="5" t="str">
        <f ca="1">IFERROR(__xludf.DUMMYFUNCTION("""COMPUTED_VALUE"""),"Student")</f>
        <v>Student</v>
      </c>
      <c r="E67" s="5">
        <f ca="1">IFERROR(__xludf.DUMMYFUNCTION("""COMPUTED_VALUE"""),14)</f>
        <v>14</v>
      </c>
      <c r="F67" s="5"/>
    </row>
    <row r="68" spans="1:6" ht="13">
      <c r="A68" s="5" t="str">
        <f ca="1">IFERROR(__xludf.DUMMYFUNCTION("""COMPUTED_VALUE"""),"20230118OKDED")</f>
        <v>20230118OKDED</v>
      </c>
      <c r="B68" s="5" t="str">
        <f ca="1">IFERROR(__xludf.DUMMYFUNCTION("""COMPUTED_VALUE"""),"Wounded")</f>
        <v>Wounded</v>
      </c>
      <c r="C68" s="5" t="str">
        <f ca="1">IFERROR(__xludf.DUMMYFUNCTION("""COMPUTED_VALUE"""),"Male")</f>
        <v>Male</v>
      </c>
      <c r="D68" s="5" t="str">
        <f ca="1">IFERROR(__xludf.DUMMYFUNCTION("""COMPUTED_VALUE"""),"Nonstudent Using Athletic Facilities/Attending Game")</f>
        <v>Nonstudent Using Athletic Facilities/Attending Game</v>
      </c>
      <c r="E68" s="5" t="str">
        <f ca="1">IFERROR(__xludf.DUMMYFUNCTION("""COMPUTED_VALUE"""),"Teen")</f>
        <v>Teen</v>
      </c>
      <c r="F68" s="5"/>
    </row>
    <row r="69" spans="1:6" ht="13">
      <c r="A69" s="5" t="str">
        <f ca="1">IFERROR(__xludf.DUMMYFUNCTION("""COMPUTED_VALUE"""),"20230111VTSPV")</f>
        <v>20230111VTSPV</v>
      </c>
      <c r="B69" s="5" t="str">
        <f ca="1">IFERROR(__xludf.DUMMYFUNCTION("""COMPUTED_VALUE"""),"Minor Injuries")</f>
        <v>Minor Injuries</v>
      </c>
      <c r="C69" s="5"/>
      <c r="D69" s="5" t="str">
        <f ca="1">IFERROR(__xludf.DUMMYFUNCTION("""COMPUTED_VALUE"""),"Teacher")</f>
        <v>Teacher</v>
      </c>
      <c r="E69" s="5" t="str">
        <f ca="1">IFERROR(__xludf.DUMMYFUNCTION("""COMPUTED_VALUE"""),"Adult")</f>
        <v>Adult</v>
      </c>
      <c r="F69" s="5"/>
    </row>
    <row r="70" spans="1:6" ht="13">
      <c r="A70" s="5" t="str">
        <f ca="1">IFERROR(__xludf.DUMMYFUNCTION("""COMPUTED_VALUE"""),"20230110UTWES")</f>
        <v>20230110UTWES</v>
      </c>
      <c r="B70" s="5" t="str">
        <f ca="1">IFERROR(__xludf.DUMMYFUNCTION("""COMPUTED_VALUE"""),"Wounded")</f>
        <v>Wounded</v>
      </c>
      <c r="C70" s="5"/>
      <c r="D70" s="5" t="str">
        <f ca="1">IFERROR(__xludf.DUMMYFUNCTION("""COMPUTED_VALUE"""),"Student")</f>
        <v>Student</v>
      </c>
      <c r="E70" s="5" t="str">
        <f ca="1">IFERROR(__xludf.DUMMYFUNCTION("""COMPUTED_VALUE"""),"Teen")</f>
        <v>Teen</v>
      </c>
      <c r="F70" s="5"/>
    </row>
    <row r="71" spans="1:6" ht="13">
      <c r="A71" s="5" t="str">
        <f ca="1">IFERROR(__xludf.DUMMYFUNCTION("""COMPUTED_VALUE"""),"20230110LABON")</f>
        <v>20230110LABON</v>
      </c>
      <c r="B71" s="5" t="str">
        <f ca="1">IFERROR(__xludf.DUMMYFUNCTION("""COMPUTED_VALUE"""),"Wounded")</f>
        <v>Wounded</v>
      </c>
      <c r="C71" s="5" t="str">
        <f ca="1">IFERROR(__xludf.DUMMYFUNCTION("""COMPUTED_VALUE"""),"Male")</f>
        <v>Male</v>
      </c>
      <c r="D71" s="5" t="str">
        <f ca="1">IFERROR(__xludf.DUMMYFUNCTION("""COMPUTED_VALUE"""),"Student")</f>
        <v>Student</v>
      </c>
      <c r="E71" s="5">
        <f ca="1">IFERROR(__xludf.DUMMYFUNCTION("""COMPUTED_VALUE"""),16)</f>
        <v>16</v>
      </c>
      <c r="F71" s="5"/>
    </row>
    <row r="72" spans="1:6" ht="13">
      <c r="A72" s="5" t="str">
        <f ca="1">IFERROR(__xludf.DUMMYFUNCTION("""COMPUTED_VALUE"""),"20230110OHJOC")</f>
        <v>20230110OHJOC</v>
      </c>
      <c r="B72" s="5" t="str">
        <f ca="1">IFERROR(__xludf.DUMMYFUNCTION("""COMPUTED_VALUE"""),"Fatal")</f>
        <v>Fatal</v>
      </c>
      <c r="C72" s="5" t="str">
        <f ca="1">IFERROR(__xludf.DUMMYFUNCTION("""COMPUTED_VALUE"""),"Male")</f>
        <v>Male</v>
      </c>
      <c r="D72" s="5" t="str">
        <f ca="1">IFERROR(__xludf.DUMMYFUNCTION("""COMPUTED_VALUE"""),"Student")</f>
        <v>Student</v>
      </c>
      <c r="E72" s="5">
        <f ca="1">IFERROR(__xludf.DUMMYFUNCTION("""COMPUTED_VALUE"""),18)</f>
        <v>18</v>
      </c>
      <c r="F72" s="5"/>
    </row>
    <row r="73" spans="1:6" ht="13">
      <c r="A73" s="5" t="str">
        <f ca="1">IFERROR(__xludf.DUMMYFUNCTION("""COMPUTED_VALUE"""),"20230107ORFRP")</f>
        <v>20230107ORFRP</v>
      </c>
      <c r="B73" s="5" t="str">
        <f ca="1">IFERROR(__xludf.DUMMYFUNCTION("""COMPUTED_VALUE"""),"Wounded")</f>
        <v>Wounded</v>
      </c>
      <c r="C73" s="5" t="str">
        <f ca="1">IFERROR(__xludf.DUMMYFUNCTION("""COMPUTED_VALUE"""),"Male")</f>
        <v>Male</v>
      </c>
      <c r="D73" s="5" t="str">
        <f ca="1">IFERROR(__xludf.DUMMYFUNCTION("""COMPUTED_VALUE"""),"Student")</f>
        <v>Student</v>
      </c>
      <c r="E73" s="5" t="str">
        <f ca="1">IFERROR(__xludf.DUMMYFUNCTION("""COMPUTED_VALUE"""),"Teen")</f>
        <v>Teen</v>
      </c>
      <c r="F73" s="5"/>
    </row>
    <row r="74" spans="1:6" ht="13">
      <c r="A74" s="5" t="str">
        <f ca="1">IFERROR(__xludf.DUMMYFUNCTION("""COMPUTED_VALUE"""),"20230106MDBEB")</f>
        <v>20230106MDBEB</v>
      </c>
      <c r="B74" s="5" t="str">
        <f ca="1">IFERROR(__xludf.DUMMYFUNCTION("""COMPUTED_VALUE"""),"Wounded")</f>
        <v>Wounded</v>
      </c>
      <c r="C74" s="5" t="str">
        <f ca="1">IFERROR(__xludf.DUMMYFUNCTION("""COMPUTED_VALUE"""),"Male")</f>
        <v>Male</v>
      </c>
      <c r="D74" s="5" t="str">
        <f ca="1">IFERROR(__xludf.DUMMYFUNCTION("""COMPUTED_VALUE"""),"Student")</f>
        <v>Student</v>
      </c>
      <c r="E74" s="5">
        <f ca="1">IFERROR(__xludf.DUMMYFUNCTION("""COMPUTED_VALUE"""),16)</f>
        <v>16</v>
      </c>
      <c r="F74" s="5"/>
    </row>
    <row r="75" spans="1:6" ht="13">
      <c r="A75" s="5" t="str">
        <f ca="1">IFERROR(__xludf.DUMMYFUNCTION("""COMPUTED_VALUE"""),"20230106MDBEB")</f>
        <v>20230106MDBEB</v>
      </c>
      <c r="B75" s="5" t="str">
        <f ca="1">IFERROR(__xludf.DUMMYFUNCTION("""COMPUTED_VALUE"""),"Wounded")</f>
        <v>Wounded</v>
      </c>
      <c r="C75" s="5" t="str">
        <f ca="1">IFERROR(__xludf.DUMMYFUNCTION("""COMPUTED_VALUE"""),"Female")</f>
        <v>Female</v>
      </c>
      <c r="D75" s="5" t="str">
        <f ca="1">IFERROR(__xludf.DUMMYFUNCTION("""COMPUTED_VALUE"""),"Student")</f>
        <v>Student</v>
      </c>
      <c r="E75" s="5">
        <f ca="1">IFERROR(__xludf.DUMMYFUNCTION("""COMPUTED_VALUE"""),17)</f>
        <v>17</v>
      </c>
      <c r="F75" s="5"/>
    </row>
    <row r="76" spans="1:6" ht="13">
      <c r="A76" s="5" t="str">
        <f ca="1">IFERROR(__xludf.DUMMYFUNCTION("""COMPUTED_VALUE"""),"20230106MIOAD")</f>
        <v>20230106MIOAD</v>
      </c>
      <c r="B76" s="5" t="str">
        <f ca="1">IFERROR(__xludf.DUMMYFUNCTION("""COMPUTED_VALUE"""),"Wounded")</f>
        <v>Wounded</v>
      </c>
      <c r="C76" s="5" t="str">
        <f ca="1">IFERROR(__xludf.DUMMYFUNCTION("""COMPUTED_VALUE"""),"Male")</f>
        <v>Male</v>
      </c>
      <c r="D76" s="5" t="str">
        <f ca="1">IFERROR(__xludf.DUMMYFUNCTION("""COMPUTED_VALUE"""),"Student")</f>
        <v>Student</v>
      </c>
      <c r="E76" s="5" t="str">
        <f ca="1">IFERROR(__xludf.DUMMYFUNCTION("""COMPUTED_VALUE"""),"Teen")</f>
        <v>Teen</v>
      </c>
      <c r="F76" s="5"/>
    </row>
    <row r="77" spans="1:6" ht="13">
      <c r="A77" s="5" t="str">
        <f ca="1">IFERROR(__xludf.DUMMYFUNCTION("""COMPUTED_VALUE"""),"20230106FLWEA")</f>
        <v>20230106FLWEA</v>
      </c>
      <c r="B77" s="5" t="str">
        <f ca="1">IFERROR(__xludf.DUMMYFUNCTION("""COMPUTED_VALUE"""),"Wounded")</f>
        <v>Wounded</v>
      </c>
      <c r="C77" s="5" t="str">
        <f ca="1">IFERROR(__xludf.DUMMYFUNCTION("""COMPUTED_VALUE"""),"Male")</f>
        <v>Male</v>
      </c>
      <c r="D77" s="5" t="str">
        <f ca="1">IFERROR(__xludf.DUMMYFUNCTION("""COMPUTED_VALUE"""),"Student")</f>
        <v>Student</v>
      </c>
      <c r="E77" s="5" t="str">
        <f ca="1">IFERROR(__xludf.DUMMYFUNCTION("""COMPUTED_VALUE"""),"Teen")</f>
        <v>Teen</v>
      </c>
      <c r="F77" s="5"/>
    </row>
    <row r="78" spans="1:6" ht="13">
      <c r="A78" s="5" t="str">
        <f ca="1">IFERROR(__xludf.DUMMYFUNCTION("""COMPUTED_VALUE"""),"20230106VARIN")</f>
        <v>20230106VARIN</v>
      </c>
      <c r="B78" s="5" t="str">
        <f ca="1">IFERROR(__xludf.DUMMYFUNCTION("""COMPUTED_VALUE"""),"Wounded")</f>
        <v>Wounded</v>
      </c>
      <c r="C78" s="5" t="str">
        <f ca="1">IFERROR(__xludf.DUMMYFUNCTION("""COMPUTED_VALUE"""),"Female")</f>
        <v>Female</v>
      </c>
      <c r="D78" s="5" t="str">
        <f ca="1">IFERROR(__xludf.DUMMYFUNCTION("""COMPUTED_VALUE"""),"Teacher")</f>
        <v>Teacher</v>
      </c>
      <c r="E78" s="5" t="str">
        <f ca="1">IFERROR(__xludf.DUMMYFUNCTION("""COMPUTED_VALUE"""),"Adult")</f>
        <v>Adult</v>
      </c>
      <c r="F78" s="5"/>
    </row>
    <row r="79" spans="1:6" ht="13">
      <c r="A79" s="5" t="str">
        <f ca="1">IFERROR(__xludf.DUMMYFUNCTION("""COMPUTED_VALUE"""),"20230105NYFRR")</f>
        <v>20230105NYFRR</v>
      </c>
      <c r="B79" s="5" t="str">
        <f ca="1">IFERROR(__xludf.DUMMYFUNCTION("""COMPUTED_VALUE"""),"None")</f>
        <v>None</v>
      </c>
      <c r="C79" s="5" t="str">
        <f ca="1">IFERROR(__xludf.DUMMYFUNCTION("""COMPUTED_VALUE"""),"Male")</f>
        <v>Male</v>
      </c>
      <c r="D79" s="5" t="str">
        <f ca="1">IFERROR(__xludf.DUMMYFUNCTION("""COMPUTED_VALUE"""),"Student")</f>
        <v>Student</v>
      </c>
      <c r="E79" s="5">
        <f ca="1">IFERROR(__xludf.DUMMYFUNCTION("""COMPUTED_VALUE"""),16)</f>
        <v>16</v>
      </c>
      <c r="F79" s="5"/>
    </row>
    <row r="80" spans="1:6" ht="13">
      <c r="A80" s="5" t="str">
        <f ca="1">IFERROR(__xludf.DUMMYFUNCTION("""COMPUTED_VALUE"""),"20230104MITRD")</f>
        <v>20230104MITRD</v>
      </c>
      <c r="B80" s="5" t="str">
        <f ca="1">IFERROR(__xludf.DUMMYFUNCTION("""COMPUTED_VALUE"""),"Fatal")</f>
        <v>Fatal</v>
      </c>
      <c r="C80" s="5" t="str">
        <f ca="1">IFERROR(__xludf.DUMMYFUNCTION("""COMPUTED_VALUE"""),"Male")</f>
        <v>Male</v>
      </c>
      <c r="D80" s="5" t="str">
        <f ca="1">IFERROR(__xludf.DUMMYFUNCTION("""COMPUTED_VALUE"""),"No Relation")</f>
        <v>No Relation</v>
      </c>
      <c r="E80" s="5" t="str">
        <f ca="1">IFERROR(__xludf.DUMMYFUNCTION("""COMPUTED_VALUE"""),"Adult")</f>
        <v>Adult</v>
      </c>
      <c r="F80" s="5"/>
    </row>
    <row r="81" spans="1:6" ht="13">
      <c r="A81" s="5" t="str">
        <f ca="1">IFERROR(__xludf.DUMMYFUNCTION("""COMPUTED_VALUE"""),"20221216ILBEC")</f>
        <v>20221216ILBEC</v>
      </c>
      <c r="B81" s="5" t="str">
        <f ca="1">IFERROR(__xludf.DUMMYFUNCTION("""COMPUTED_VALUE"""),"Fatal")</f>
        <v>Fatal</v>
      </c>
      <c r="C81" s="5" t="str">
        <f ca="1">IFERROR(__xludf.DUMMYFUNCTION("""COMPUTED_VALUE"""),"Male")</f>
        <v>Male</v>
      </c>
      <c r="D81" s="5" t="str">
        <f ca="1">IFERROR(__xludf.DUMMYFUNCTION("""COMPUTED_VALUE"""),"Student")</f>
        <v>Student</v>
      </c>
      <c r="E81" s="5">
        <f ca="1">IFERROR(__xludf.DUMMYFUNCTION("""COMPUTED_VALUE"""),14)</f>
        <v>14</v>
      </c>
      <c r="F81" s="5"/>
    </row>
    <row r="82" spans="1:6" ht="13">
      <c r="A82" s="5" t="str">
        <f ca="1">IFERROR(__xludf.DUMMYFUNCTION("""COMPUTED_VALUE"""),"20221216ILBEC")</f>
        <v>20221216ILBEC</v>
      </c>
      <c r="B82" s="5" t="str">
        <f ca="1">IFERROR(__xludf.DUMMYFUNCTION("""COMPUTED_VALUE"""),"Fatal")</f>
        <v>Fatal</v>
      </c>
      <c r="C82" s="5" t="str">
        <f ca="1">IFERROR(__xludf.DUMMYFUNCTION("""COMPUTED_VALUE"""),"Male")</f>
        <v>Male</v>
      </c>
      <c r="D82" s="5" t="str">
        <f ca="1">IFERROR(__xludf.DUMMYFUNCTION("""COMPUTED_VALUE"""),"Student")</f>
        <v>Student</v>
      </c>
      <c r="E82" s="5">
        <f ca="1">IFERROR(__xludf.DUMMYFUNCTION("""COMPUTED_VALUE"""),15)</f>
        <v>15</v>
      </c>
      <c r="F82" s="5"/>
    </row>
    <row r="83" spans="1:6" ht="13">
      <c r="A83" s="5" t="str">
        <f ca="1">IFERROR(__xludf.DUMMYFUNCTION("""COMPUTED_VALUE"""),"20221216ILBEC")</f>
        <v>20221216ILBEC</v>
      </c>
      <c r="B83" s="5" t="str">
        <f ca="1">IFERROR(__xludf.DUMMYFUNCTION("""COMPUTED_VALUE"""),"Wounded")</f>
        <v>Wounded</v>
      </c>
      <c r="C83" s="5" t="str">
        <f ca="1">IFERROR(__xludf.DUMMYFUNCTION("""COMPUTED_VALUE"""),"Male")</f>
        <v>Male</v>
      </c>
      <c r="D83" s="5" t="str">
        <f ca="1">IFERROR(__xludf.DUMMYFUNCTION("""COMPUTED_VALUE"""),"Student")</f>
        <v>Student</v>
      </c>
      <c r="E83" s="5">
        <f ca="1">IFERROR(__xludf.DUMMYFUNCTION("""COMPUTED_VALUE"""),15)</f>
        <v>15</v>
      </c>
      <c r="F83" s="5"/>
    </row>
    <row r="84" spans="1:6" ht="13">
      <c r="A84" s="5" t="str">
        <f ca="1">IFERROR(__xludf.DUMMYFUNCTION("""COMPUTED_VALUE"""),"20221216ILBEC")</f>
        <v>20221216ILBEC</v>
      </c>
      <c r="B84" s="5" t="str">
        <f ca="1">IFERROR(__xludf.DUMMYFUNCTION("""COMPUTED_VALUE"""),"Wounded")</f>
        <v>Wounded</v>
      </c>
      <c r="C84" s="5" t="str">
        <f ca="1">IFERROR(__xludf.DUMMYFUNCTION("""COMPUTED_VALUE"""),"Female")</f>
        <v>Female</v>
      </c>
      <c r="D84" s="5" t="str">
        <f ca="1">IFERROR(__xludf.DUMMYFUNCTION("""COMPUTED_VALUE"""),"Student")</f>
        <v>Student</v>
      </c>
      <c r="E84" s="5">
        <f ca="1">IFERROR(__xludf.DUMMYFUNCTION("""COMPUTED_VALUE"""),15)</f>
        <v>15</v>
      </c>
      <c r="F84" s="5"/>
    </row>
    <row r="85" spans="1:6" ht="13">
      <c r="A85" s="5" t="str">
        <f ca="1">IFERROR(__xludf.DUMMYFUNCTION("""COMPUTED_VALUE"""),"20221212ORGRP")</f>
        <v>20221212ORGRP</v>
      </c>
      <c r="B85" s="5" t="str">
        <f ca="1">IFERROR(__xludf.DUMMYFUNCTION("""COMPUTED_VALUE"""),"Wounded")</f>
        <v>Wounded</v>
      </c>
      <c r="C85" s="5" t="str">
        <f ca="1">IFERROR(__xludf.DUMMYFUNCTION("""COMPUTED_VALUE"""),"Male")</f>
        <v>Male</v>
      </c>
      <c r="D85" s="5" t="str">
        <f ca="1">IFERROR(__xludf.DUMMYFUNCTION("""COMPUTED_VALUE"""),"Student")</f>
        <v>Student</v>
      </c>
      <c r="E85" s="5">
        <f ca="1">IFERROR(__xludf.DUMMYFUNCTION("""COMPUTED_VALUE"""),16)</f>
        <v>16</v>
      </c>
      <c r="F85" s="5"/>
    </row>
    <row r="86" spans="1:6" ht="13">
      <c r="A86" s="5" t="str">
        <f ca="1">IFERROR(__xludf.DUMMYFUNCTION("""COMPUTED_VALUE"""),"20221209PAMEP")</f>
        <v>20221209PAMEP</v>
      </c>
      <c r="B86" s="5" t="str">
        <f ca="1">IFERROR(__xludf.DUMMYFUNCTION("""COMPUTED_VALUE"""),"Fatal")</f>
        <v>Fatal</v>
      </c>
      <c r="C86" s="5" t="str">
        <f ca="1">IFERROR(__xludf.DUMMYFUNCTION("""COMPUTED_VALUE"""),"Male")</f>
        <v>Male</v>
      </c>
      <c r="D86" s="5" t="str">
        <f ca="1">IFERROR(__xludf.DUMMYFUNCTION("""COMPUTED_VALUE"""),"No Relation")</f>
        <v>No Relation</v>
      </c>
      <c r="E86" s="5">
        <f ca="1">IFERROR(__xludf.DUMMYFUNCTION("""COMPUTED_VALUE"""),31)</f>
        <v>31</v>
      </c>
      <c r="F86" s="5"/>
    </row>
    <row r="87" spans="1:6" ht="13">
      <c r="A87" s="5" t="str">
        <f ca="1">IFERROR(__xludf.DUMMYFUNCTION("""COMPUTED_VALUE"""),"20221207MDSUD")</f>
        <v>20221207MDSUD</v>
      </c>
      <c r="B87" s="5" t="str">
        <f ca="1">IFERROR(__xludf.DUMMYFUNCTION("""COMPUTED_VALUE"""),"Wounded")</f>
        <v>Wounded</v>
      </c>
      <c r="C87" s="5" t="str">
        <f ca="1">IFERROR(__xludf.DUMMYFUNCTION("""COMPUTED_VALUE"""),"Male")</f>
        <v>Male</v>
      </c>
      <c r="D87" s="5" t="str">
        <f ca="1">IFERROR(__xludf.DUMMYFUNCTION("""COMPUTED_VALUE"""),"Student")</f>
        <v>Student</v>
      </c>
      <c r="E87" s="5">
        <f ca="1">IFERROR(__xludf.DUMMYFUNCTION("""COMPUTED_VALUE"""),15)</f>
        <v>15</v>
      </c>
      <c r="F87" s="5"/>
    </row>
    <row r="88" spans="1:6" ht="13">
      <c r="A88" s="5" t="str">
        <f ca="1">IFERROR(__xludf.DUMMYFUNCTION("""COMPUTED_VALUE"""),"20221206MOCOS")</f>
        <v>20221206MOCOS</v>
      </c>
      <c r="B88" s="5" t="str">
        <f ca="1">IFERROR(__xludf.DUMMYFUNCTION("""COMPUTED_VALUE"""),"None")</f>
        <v>None</v>
      </c>
      <c r="C88" s="5" t="str">
        <f ca="1">IFERROR(__xludf.DUMMYFUNCTION("""COMPUTED_VALUE"""),"Female")</f>
        <v>Female</v>
      </c>
      <c r="D88" s="5" t="str">
        <f ca="1">IFERROR(__xludf.DUMMYFUNCTION("""COMPUTED_VALUE"""),"Student")</f>
        <v>Student</v>
      </c>
      <c r="E88" s="5" t="str">
        <f ca="1">IFERROR(__xludf.DUMMYFUNCTION("""COMPUTED_VALUE"""),"Teen")</f>
        <v>Teen</v>
      </c>
      <c r="F88" s="5"/>
    </row>
    <row r="89" spans="1:6" ht="13">
      <c r="A89" s="5" t="str">
        <f ca="1">IFERROR(__xludf.DUMMYFUNCTION("""COMPUTED_VALUE"""),"20221206ILMIC")</f>
        <v>20221206ILMIC</v>
      </c>
      <c r="B89" s="5" t="str">
        <f ca="1">IFERROR(__xludf.DUMMYFUNCTION("""COMPUTED_VALUE"""),"Fatal")</f>
        <v>Fatal</v>
      </c>
      <c r="C89" s="5">
        <f ca="1">IFERROR(__xludf.DUMMYFUNCTION("""COMPUTED_VALUE"""),15)</f>
        <v>15</v>
      </c>
      <c r="D89" s="5" t="str">
        <f ca="1">IFERROR(__xludf.DUMMYFUNCTION("""COMPUTED_VALUE"""),"Student")</f>
        <v>Student</v>
      </c>
      <c r="E89" s="5">
        <f ca="1">IFERROR(__xludf.DUMMYFUNCTION("""COMPUTED_VALUE"""),15)</f>
        <v>15</v>
      </c>
      <c r="F89" s="5" t="str">
        <f ca="1">IFERROR(__xludf.DUMMYFUNCTION("""COMPUTED_VALUE"""),"Black")</f>
        <v>Black</v>
      </c>
    </row>
    <row r="90" spans="1:6" ht="13">
      <c r="A90" s="5" t="str">
        <f ca="1">IFERROR(__xludf.DUMMYFUNCTION("""COMPUTED_VALUE"""),"20221205TNFRM")</f>
        <v>20221205TNFRM</v>
      </c>
      <c r="B90" s="5" t="str">
        <f ca="1">IFERROR(__xludf.DUMMYFUNCTION("""COMPUTED_VALUE"""),"Wounded")</f>
        <v>Wounded</v>
      </c>
      <c r="C90" s="5" t="str">
        <f ca="1">IFERROR(__xludf.DUMMYFUNCTION("""COMPUTED_VALUE"""),"Male")</f>
        <v>Male</v>
      </c>
      <c r="D90" s="5" t="str">
        <f ca="1">IFERROR(__xludf.DUMMYFUNCTION("""COMPUTED_VALUE"""),"Student")</f>
        <v>Student</v>
      </c>
      <c r="E90" s="5">
        <f ca="1">IFERROR(__xludf.DUMMYFUNCTION("""COMPUTED_VALUE"""),15)</f>
        <v>15</v>
      </c>
      <c r="F90" s="5" t="str">
        <f ca="1">IFERROR(__xludf.DUMMYFUNCTION("""COMPUTED_VALUE"""),"Black")</f>
        <v>Black</v>
      </c>
    </row>
    <row r="91" spans="1:6" ht="13">
      <c r="A91" s="5" t="str">
        <f ca="1">IFERROR(__xludf.DUMMYFUNCTION("""COMPUTED_VALUE"""),"20221203WISOM")</f>
        <v>20221203WISOM</v>
      </c>
      <c r="B91" s="5" t="str">
        <f ca="1">IFERROR(__xludf.DUMMYFUNCTION("""COMPUTED_VALUE"""),"Fatal")</f>
        <v>Fatal</v>
      </c>
      <c r="C91" s="5" t="str">
        <f ca="1">IFERROR(__xludf.DUMMYFUNCTION("""COMPUTED_VALUE"""),"Male")</f>
        <v>Male</v>
      </c>
      <c r="D91" s="5" t="str">
        <f ca="1">IFERROR(__xludf.DUMMYFUNCTION("""COMPUTED_VALUE"""),"Student")</f>
        <v>Student</v>
      </c>
      <c r="E91" s="5">
        <f ca="1">IFERROR(__xludf.DUMMYFUNCTION("""COMPUTED_VALUE"""),16)</f>
        <v>16</v>
      </c>
      <c r="F91" s="5"/>
    </row>
    <row r="92" spans="1:6" ht="13">
      <c r="A92" s="5" t="str">
        <f ca="1">IFERROR(__xludf.DUMMYFUNCTION("""COMPUTED_VALUE"""),"20221121MIHED")</f>
        <v>20221121MIHED</v>
      </c>
      <c r="B92" s="5" t="str">
        <f ca="1">IFERROR(__xludf.DUMMYFUNCTION("""COMPUTED_VALUE"""),"Wounded")</f>
        <v>Wounded</v>
      </c>
      <c r="C92" s="5" t="str">
        <f ca="1">IFERROR(__xludf.DUMMYFUNCTION("""COMPUTED_VALUE"""),"Male")</f>
        <v>Male</v>
      </c>
      <c r="D92" s="5"/>
      <c r="E92" s="5" t="str">
        <f ca="1">IFERROR(__xludf.DUMMYFUNCTION("""COMPUTED_VALUE"""),"Teen")</f>
        <v>Teen</v>
      </c>
      <c r="F92" s="5"/>
    </row>
    <row r="93" spans="1:6" ht="13">
      <c r="A93" s="5" t="str">
        <f ca="1">IFERROR(__xludf.DUMMYFUNCTION("""COMPUTED_VALUE"""),"20221121MIHED")</f>
        <v>20221121MIHED</v>
      </c>
      <c r="B93" s="5" t="str">
        <f ca="1">IFERROR(__xludf.DUMMYFUNCTION("""COMPUTED_VALUE"""),"Wounded")</f>
        <v>Wounded</v>
      </c>
      <c r="C93" s="5" t="str">
        <f ca="1">IFERROR(__xludf.DUMMYFUNCTION("""COMPUTED_VALUE"""),"Male")</f>
        <v>Male</v>
      </c>
      <c r="D93" s="5"/>
      <c r="E93" s="5" t="str">
        <f ca="1">IFERROR(__xludf.DUMMYFUNCTION("""COMPUTED_VALUE"""),"Teen")</f>
        <v>Teen</v>
      </c>
      <c r="F93" s="5"/>
    </row>
    <row r="94" spans="1:6" ht="13">
      <c r="A94" s="5" t="str">
        <f ca="1">IFERROR(__xludf.DUMMYFUNCTION("""COMPUTED_VALUE"""),"20221117INSOC")</f>
        <v>20221117INSOC</v>
      </c>
      <c r="B94" s="5" t="str">
        <f ca="1">IFERROR(__xludf.DUMMYFUNCTION("""COMPUTED_VALUE"""),"Wounded")</f>
        <v>Wounded</v>
      </c>
      <c r="C94" s="5" t="str">
        <f ca="1">IFERROR(__xludf.DUMMYFUNCTION("""COMPUTED_VALUE"""),"Male")</f>
        <v>Male</v>
      </c>
      <c r="D94" s="5" t="str">
        <f ca="1">IFERROR(__xludf.DUMMYFUNCTION("""COMPUTED_VALUE"""),"Student")</f>
        <v>Student</v>
      </c>
      <c r="E94" s="5">
        <f ca="1">IFERROR(__xludf.DUMMYFUNCTION("""COMPUTED_VALUE"""),17)</f>
        <v>17</v>
      </c>
      <c r="F94" s="5"/>
    </row>
    <row r="95" spans="1:6" ht="13">
      <c r="A95" s="5" t="str">
        <f ca="1">IFERROR(__xludf.DUMMYFUNCTION("""COMPUTED_VALUE"""),"20221116NCLUL")</f>
        <v>20221116NCLUL</v>
      </c>
      <c r="B95" s="5" t="str">
        <f ca="1">IFERROR(__xludf.DUMMYFUNCTION("""COMPUTED_VALUE"""),"Wounded")</f>
        <v>Wounded</v>
      </c>
      <c r="C95" s="5" t="str">
        <f ca="1">IFERROR(__xludf.DUMMYFUNCTION("""COMPUTED_VALUE"""),"Female")</f>
        <v>Female</v>
      </c>
      <c r="D95" s="5" t="str">
        <f ca="1">IFERROR(__xludf.DUMMYFUNCTION("""COMPUTED_VALUE"""),"Nonstudent Using Athletic Facilities/Attending Game")</f>
        <v>Nonstudent Using Athletic Facilities/Attending Game</v>
      </c>
      <c r="E95" s="5">
        <f ca="1">IFERROR(__xludf.DUMMYFUNCTION("""COMPUTED_VALUE"""),43)</f>
        <v>43</v>
      </c>
      <c r="F95" s="5"/>
    </row>
    <row r="96" spans="1:6" ht="13">
      <c r="A96" s="5" t="str">
        <f ca="1">IFERROR(__xludf.DUMMYFUNCTION("""COMPUTED_VALUE"""),"20221115TNMAN")</f>
        <v>20221115TNMAN</v>
      </c>
      <c r="B96" s="5" t="str">
        <f ca="1">IFERROR(__xludf.DUMMYFUNCTION("""COMPUTED_VALUE"""),"Wounded")</f>
        <v>Wounded</v>
      </c>
      <c r="C96" s="5" t="str">
        <f ca="1">IFERROR(__xludf.DUMMYFUNCTION("""COMPUTED_VALUE"""),"Female")</f>
        <v>Female</v>
      </c>
      <c r="D96" s="5" t="str">
        <f ca="1">IFERROR(__xludf.DUMMYFUNCTION("""COMPUTED_VALUE"""),"No Relation")</f>
        <v>No Relation</v>
      </c>
      <c r="E96" s="5">
        <f ca="1">IFERROR(__xludf.DUMMYFUNCTION("""COMPUTED_VALUE"""),19)</f>
        <v>19</v>
      </c>
      <c r="F96" s="5" t="str">
        <f ca="1">IFERROR(__xludf.DUMMYFUNCTION("""COMPUTED_VALUE"""),"Black")</f>
        <v>Black</v>
      </c>
    </row>
    <row r="97" spans="1:6" ht="13">
      <c r="A97" s="5" t="str">
        <f ca="1">IFERROR(__xludf.DUMMYFUNCTION("""COMPUTED_VALUE"""),"20221112FLJOO")</f>
        <v>20221112FLJOO</v>
      </c>
      <c r="B97" s="5" t="str">
        <f ca="1">IFERROR(__xludf.DUMMYFUNCTION("""COMPUTED_VALUE"""),"Fatal")</f>
        <v>Fatal</v>
      </c>
      <c r="C97" s="5" t="str">
        <f ca="1">IFERROR(__xludf.DUMMYFUNCTION("""COMPUTED_VALUE"""),"Male")</f>
        <v>Male</v>
      </c>
      <c r="D97" s="5" t="str">
        <f ca="1">IFERROR(__xludf.DUMMYFUNCTION("""COMPUTED_VALUE"""),"Former Student")</f>
        <v>Former Student</v>
      </c>
      <c r="E97" s="5">
        <f ca="1">IFERROR(__xludf.DUMMYFUNCTION("""COMPUTED_VALUE"""),19)</f>
        <v>19</v>
      </c>
      <c r="F97" s="5"/>
    </row>
    <row r="98" spans="1:6" ht="13">
      <c r="A98" s="5" t="str">
        <f ca="1">IFERROR(__xludf.DUMMYFUNCTION("""COMPUTED_VALUE"""),"20221112FLJOO")</f>
        <v>20221112FLJOO</v>
      </c>
      <c r="B98" s="5" t="str">
        <f ca="1">IFERROR(__xludf.DUMMYFUNCTION("""COMPUTED_VALUE"""),"Wounded")</f>
        <v>Wounded</v>
      </c>
      <c r="C98" s="5" t="str">
        <f ca="1">IFERROR(__xludf.DUMMYFUNCTION("""COMPUTED_VALUE"""),"Male")</f>
        <v>Male</v>
      </c>
      <c r="D98" s="5" t="str">
        <f ca="1">IFERROR(__xludf.DUMMYFUNCTION("""COMPUTED_VALUE"""),"Nonstudent Using Athletic Facilities/Attending Game")</f>
        <v>Nonstudent Using Athletic Facilities/Attending Game</v>
      </c>
      <c r="E98" s="5" t="str">
        <f ca="1">IFERROR(__xludf.DUMMYFUNCTION("""COMPUTED_VALUE"""),"Adult")</f>
        <v>Adult</v>
      </c>
      <c r="F98" s="5"/>
    </row>
    <row r="99" spans="1:6" ht="13">
      <c r="A99" s="5" t="str">
        <f ca="1">IFERROR(__xludf.DUMMYFUNCTION("""COMPUTED_VALUE"""),"20221112FLJOO")</f>
        <v>20221112FLJOO</v>
      </c>
      <c r="B99" s="5" t="str">
        <f ca="1">IFERROR(__xludf.DUMMYFUNCTION("""COMPUTED_VALUE"""),"Wounded")</f>
        <v>Wounded</v>
      </c>
      <c r="C99" s="5" t="str">
        <f ca="1">IFERROR(__xludf.DUMMYFUNCTION("""COMPUTED_VALUE"""),"Male")</f>
        <v>Male</v>
      </c>
      <c r="D99" s="5" t="str">
        <f ca="1">IFERROR(__xludf.DUMMYFUNCTION("""COMPUTED_VALUE"""),"Nonstudent Using Athletic Facilities/Attending Game")</f>
        <v>Nonstudent Using Athletic Facilities/Attending Game</v>
      </c>
      <c r="E99" s="5" t="str">
        <f ca="1">IFERROR(__xludf.DUMMYFUNCTION("""COMPUTED_VALUE"""),"Adult")</f>
        <v>Adult</v>
      </c>
      <c r="F99" s="5"/>
    </row>
    <row r="100" spans="1:6" ht="13">
      <c r="A100" s="5" t="str">
        <f ca="1">IFERROR(__xludf.DUMMYFUNCTION("""COMPUTED_VALUE"""),"20221111MSRAR")</f>
        <v>20221111MSRAR</v>
      </c>
      <c r="B100" s="5" t="str">
        <f ca="1">IFERROR(__xludf.DUMMYFUNCTION("""COMPUTED_VALUE"""),"Wounded")</f>
        <v>Wounded</v>
      </c>
      <c r="C100" s="5" t="str">
        <f ca="1">IFERROR(__xludf.DUMMYFUNCTION("""COMPUTED_VALUE"""),"Female")</f>
        <v>Female</v>
      </c>
      <c r="D100" s="5" t="str">
        <f ca="1">IFERROR(__xludf.DUMMYFUNCTION("""COMPUTED_VALUE"""),"Nonstudent Using Athletic Facilities/Attending Game")</f>
        <v>Nonstudent Using Athletic Facilities/Attending Game</v>
      </c>
      <c r="E100" s="5">
        <f ca="1">IFERROR(__xludf.DUMMYFUNCTION("""COMPUTED_VALUE"""),21)</f>
        <v>21</v>
      </c>
      <c r="F100" s="5" t="str">
        <f ca="1">IFERROR(__xludf.DUMMYFUNCTION("""COMPUTED_VALUE"""),"Black")</f>
        <v>Black</v>
      </c>
    </row>
    <row r="101" spans="1:6" ht="13">
      <c r="A101" s="5" t="str">
        <f ca="1">IFERROR(__xludf.DUMMYFUNCTION("""COMPUTED_VALUE"""),"20221108WAINS")</f>
        <v>20221108WAINS</v>
      </c>
      <c r="B101" s="5" t="str">
        <f ca="1">IFERROR(__xludf.DUMMYFUNCTION("""COMPUTED_VALUE"""),"Fatal")</f>
        <v>Fatal</v>
      </c>
      <c r="C101" s="5" t="str">
        <f ca="1">IFERROR(__xludf.DUMMYFUNCTION("""COMPUTED_VALUE"""),"Male")</f>
        <v>Male</v>
      </c>
      <c r="D101" s="5" t="str">
        <f ca="1">IFERROR(__xludf.DUMMYFUNCTION("""COMPUTED_VALUE"""),"Student")</f>
        <v>Student</v>
      </c>
      <c r="E101" s="5">
        <f ca="1">IFERROR(__xludf.DUMMYFUNCTION("""COMPUTED_VALUE"""),17)</f>
        <v>17</v>
      </c>
      <c r="F101" s="5"/>
    </row>
    <row r="102" spans="1:6" ht="13">
      <c r="A102" s="5" t="str">
        <f ca="1">IFERROR(__xludf.DUMMYFUNCTION("""COMPUTED_VALUE"""),"20221105TXDAF")</f>
        <v>20221105TXDAF</v>
      </c>
      <c r="B102" s="5" t="str">
        <f ca="1">IFERROR(__xludf.DUMMYFUNCTION("""COMPUTED_VALUE"""),"Wounded")</f>
        <v>Wounded</v>
      </c>
      <c r="C102" s="5" t="str">
        <f ca="1">IFERROR(__xludf.DUMMYFUNCTION("""COMPUTED_VALUE"""),"Female")</f>
        <v>Female</v>
      </c>
      <c r="D102" s="5" t="str">
        <f ca="1">IFERROR(__xludf.DUMMYFUNCTION("""COMPUTED_VALUE"""),"Police Officer/SRO")</f>
        <v>Police Officer/SRO</v>
      </c>
      <c r="E102" s="5" t="str">
        <f ca="1">IFERROR(__xludf.DUMMYFUNCTION("""COMPUTED_VALUE"""),"Adult")</f>
        <v>Adult</v>
      </c>
      <c r="F102" s="5"/>
    </row>
    <row r="103" spans="1:6" ht="13">
      <c r="A103" s="5" t="str">
        <f ca="1">IFERROR(__xludf.DUMMYFUNCTION("""COMPUTED_VALUE"""),"20221103GASHS")</f>
        <v>20221103GASHS</v>
      </c>
      <c r="B103" s="5" t="str">
        <f ca="1">IFERROR(__xludf.DUMMYFUNCTION("""COMPUTED_VALUE"""),"Wounded")</f>
        <v>Wounded</v>
      </c>
      <c r="C103" s="5"/>
      <c r="D103" s="5"/>
      <c r="E103" s="5"/>
      <c r="F103" s="5"/>
    </row>
    <row r="104" spans="1:6" ht="13">
      <c r="A104" s="5" t="str">
        <f ca="1">IFERROR(__xludf.DUMMYFUNCTION("""COMPUTED_VALUE"""),"20221029TXAVA")</f>
        <v>20221029TXAVA</v>
      </c>
      <c r="B104" s="5" t="str">
        <f ca="1">IFERROR(__xludf.DUMMYFUNCTION("""COMPUTED_VALUE"""),"Wounded")</f>
        <v>Wounded</v>
      </c>
      <c r="C104" s="5" t="str">
        <f ca="1">IFERROR(__xludf.DUMMYFUNCTION("""COMPUTED_VALUE"""),"Male")</f>
        <v>Male</v>
      </c>
      <c r="D104" s="5" t="str">
        <f ca="1">IFERROR(__xludf.DUMMYFUNCTION("""COMPUTED_VALUE"""),"No Relation")</f>
        <v>No Relation</v>
      </c>
      <c r="E104" s="5"/>
      <c r="F104" s="5"/>
    </row>
    <row r="105" spans="1:6" ht="13">
      <c r="A105" s="5" t="str">
        <f ca="1">IFERROR(__xludf.DUMMYFUNCTION("""COMPUTED_VALUE"""),"20221028TXROR")</f>
        <v>20221028TXROR</v>
      </c>
      <c r="B105" s="5" t="str">
        <f ca="1">IFERROR(__xludf.DUMMYFUNCTION("""COMPUTED_VALUE"""),"Minor Injuries")</f>
        <v>Minor Injuries</v>
      </c>
      <c r="C105" s="5" t="str">
        <f ca="1">IFERROR(__xludf.DUMMYFUNCTION("""COMPUTED_VALUE"""),"Male")</f>
        <v>Male</v>
      </c>
      <c r="D105" s="5" t="str">
        <f ca="1">IFERROR(__xludf.DUMMYFUNCTION("""COMPUTED_VALUE"""),"Student")</f>
        <v>Student</v>
      </c>
      <c r="E105" s="5" t="str">
        <f ca="1">IFERROR(__xludf.DUMMYFUNCTION("""COMPUTED_VALUE"""),"Teen")</f>
        <v>Teen</v>
      </c>
      <c r="F105" s="5"/>
    </row>
    <row r="106" spans="1:6" ht="13">
      <c r="A106" s="5" t="str">
        <f ca="1">IFERROR(__xludf.DUMMYFUNCTION("""COMPUTED_VALUE"""),"20221026ILMIW")</f>
        <v>20221026ILMIW</v>
      </c>
      <c r="B106" s="5" t="str">
        <f ca="1">IFERROR(__xludf.DUMMYFUNCTION("""COMPUTED_VALUE"""),"Wounded")</f>
        <v>Wounded</v>
      </c>
      <c r="C106" s="5" t="str">
        <f ca="1">IFERROR(__xludf.DUMMYFUNCTION("""COMPUTED_VALUE"""),"Male")</f>
        <v>Male</v>
      </c>
      <c r="D106" s="5" t="str">
        <f ca="1">IFERROR(__xludf.DUMMYFUNCTION("""COMPUTED_VALUE"""),"No Relation")</f>
        <v>No Relation</v>
      </c>
      <c r="E106" s="5">
        <f ca="1">IFERROR(__xludf.DUMMYFUNCTION("""COMPUTED_VALUE"""),16)</f>
        <v>16</v>
      </c>
      <c r="F106" s="5"/>
    </row>
    <row r="107" spans="1:6" ht="13">
      <c r="A107" s="5" t="str">
        <f ca="1">IFERROR(__xludf.DUMMYFUNCTION("""COMPUTED_VALUE"""),"20221025NYTOS")</f>
        <v>20221025NYTOS</v>
      </c>
      <c r="B107" s="5" t="str">
        <f ca="1">IFERROR(__xludf.DUMMYFUNCTION("""COMPUTED_VALUE"""),"Wounded")</f>
        <v>Wounded</v>
      </c>
      <c r="C107" s="5" t="str">
        <f ca="1">IFERROR(__xludf.DUMMYFUNCTION("""COMPUTED_VALUE"""),"Male")</f>
        <v>Male</v>
      </c>
      <c r="D107" s="5" t="str">
        <f ca="1">IFERROR(__xludf.DUMMYFUNCTION("""COMPUTED_VALUE"""),"Student")</f>
        <v>Student</v>
      </c>
      <c r="E107" s="5" t="str">
        <f ca="1">IFERROR(__xludf.DUMMYFUNCTION("""COMPUTED_VALUE"""),"Teen")</f>
        <v>Teen</v>
      </c>
      <c r="F107" s="5"/>
    </row>
    <row r="108" spans="1:6" ht="13">
      <c r="A108" s="5" t="str">
        <f ca="1">IFERROR(__xludf.DUMMYFUNCTION("""COMPUTED_VALUE"""),"20221024MOCES")</f>
        <v>20221024MOCES</v>
      </c>
      <c r="B108" s="5" t="str">
        <f ca="1">IFERROR(__xludf.DUMMYFUNCTION("""COMPUTED_VALUE"""),"Fatal")</f>
        <v>Fatal</v>
      </c>
      <c r="C108" s="5" t="str">
        <f ca="1">IFERROR(__xludf.DUMMYFUNCTION("""COMPUTED_VALUE"""),"Female")</f>
        <v>Female</v>
      </c>
      <c r="D108" s="5" t="str">
        <f ca="1">IFERROR(__xludf.DUMMYFUNCTION("""COMPUTED_VALUE"""),"Student")</f>
        <v>Student</v>
      </c>
      <c r="E108" s="5" t="str">
        <f ca="1">IFERROR(__xludf.DUMMYFUNCTION("""COMPUTED_VALUE"""),"Teen")</f>
        <v>Teen</v>
      </c>
      <c r="F108" s="5"/>
    </row>
    <row r="109" spans="1:6" ht="13">
      <c r="A109" s="5" t="str">
        <f ca="1">IFERROR(__xludf.DUMMYFUNCTION("""COMPUTED_VALUE"""),"20221024MOCES")</f>
        <v>20221024MOCES</v>
      </c>
      <c r="B109" s="5" t="str">
        <f ca="1">IFERROR(__xludf.DUMMYFUNCTION("""COMPUTED_VALUE"""),"Fatal")</f>
        <v>Fatal</v>
      </c>
      <c r="C109" s="5" t="str">
        <f ca="1">IFERROR(__xludf.DUMMYFUNCTION("""COMPUTED_VALUE"""),"Female")</f>
        <v>Female</v>
      </c>
      <c r="D109" s="5" t="str">
        <f ca="1">IFERROR(__xludf.DUMMYFUNCTION("""COMPUTED_VALUE"""),"Teacher")</f>
        <v>Teacher</v>
      </c>
      <c r="E109" s="5">
        <f ca="1">IFERROR(__xludf.DUMMYFUNCTION("""COMPUTED_VALUE"""),61)</f>
        <v>61</v>
      </c>
      <c r="F109" s="5"/>
    </row>
    <row r="110" spans="1:6" ht="13">
      <c r="A110" s="5" t="str">
        <f ca="1">IFERROR(__xludf.DUMMYFUNCTION("""COMPUTED_VALUE"""),"20221024MOCES")</f>
        <v>20221024MOCES</v>
      </c>
      <c r="B110" s="5" t="str">
        <f ca="1">IFERROR(__xludf.DUMMYFUNCTION("""COMPUTED_VALUE"""),"Wounded")</f>
        <v>Wounded</v>
      </c>
      <c r="C110" s="5"/>
      <c r="D110" s="5" t="str">
        <f ca="1">IFERROR(__xludf.DUMMYFUNCTION("""COMPUTED_VALUE"""),"Student")</f>
        <v>Student</v>
      </c>
      <c r="E110" s="5" t="str">
        <f ca="1">IFERROR(__xludf.DUMMYFUNCTION("""COMPUTED_VALUE"""),"Teen")</f>
        <v>Teen</v>
      </c>
      <c r="F110" s="5"/>
    </row>
    <row r="111" spans="1:6" ht="13">
      <c r="A111" s="5" t="str">
        <f ca="1">IFERROR(__xludf.DUMMYFUNCTION("""COMPUTED_VALUE"""),"20221024MOCES")</f>
        <v>20221024MOCES</v>
      </c>
      <c r="B111" s="5" t="str">
        <f ca="1">IFERROR(__xludf.DUMMYFUNCTION("""COMPUTED_VALUE"""),"Wounded")</f>
        <v>Wounded</v>
      </c>
      <c r="C111" s="5"/>
      <c r="D111" s="5" t="str">
        <f ca="1">IFERROR(__xludf.DUMMYFUNCTION("""COMPUTED_VALUE"""),"Student")</f>
        <v>Student</v>
      </c>
      <c r="E111" s="5" t="str">
        <f ca="1">IFERROR(__xludf.DUMMYFUNCTION("""COMPUTED_VALUE"""),"Teen")</f>
        <v>Teen</v>
      </c>
      <c r="F111" s="5"/>
    </row>
    <row r="112" spans="1:6" ht="13">
      <c r="A112" s="5" t="str">
        <f ca="1">IFERROR(__xludf.DUMMYFUNCTION("""COMPUTED_VALUE"""),"20221024MOCES")</f>
        <v>20221024MOCES</v>
      </c>
      <c r="B112" s="5" t="str">
        <f ca="1">IFERROR(__xludf.DUMMYFUNCTION("""COMPUTED_VALUE"""),"Wounded")</f>
        <v>Wounded</v>
      </c>
      <c r="C112" s="5"/>
      <c r="D112" s="5" t="str">
        <f ca="1">IFERROR(__xludf.DUMMYFUNCTION("""COMPUTED_VALUE"""),"Student")</f>
        <v>Student</v>
      </c>
      <c r="E112" s="5" t="str">
        <f ca="1">IFERROR(__xludf.DUMMYFUNCTION("""COMPUTED_VALUE"""),"Teen")</f>
        <v>Teen</v>
      </c>
      <c r="F112" s="5"/>
    </row>
    <row r="113" spans="1:6" ht="13">
      <c r="A113" s="5" t="str">
        <f ca="1">IFERROR(__xludf.DUMMYFUNCTION("""COMPUTED_VALUE"""),"20221024MOCES")</f>
        <v>20221024MOCES</v>
      </c>
      <c r="B113" s="5" t="str">
        <f ca="1">IFERROR(__xludf.DUMMYFUNCTION("""COMPUTED_VALUE"""),"Wounded")</f>
        <v>Wounded</v>
      </c>
      <c r="C113" s="5"/>
      <c r="D113" s="5" t="str">
        <f ca="1">IFERROR(__xludf.DUMMYFUNCTION("""COMPUTED_VALUE"""),"Student")</f>
        <v>Student</v>
      </c>
      <c r="E113" s="5" t="str">
        <f ca="1">IFERROR(__xludf.DUMMYFUNCTION("""COMPUTED_VALUE"""),"Teen")</f>
        <v>Teen</v>
      </c>
      <c r="F113" s="5"/>
    </row>
    <row r="114" spans="1:6" ht="13">
      <c r="A114" s="5" t="str">
        <f ca="1">IFERROR(__xludf.DUMMYFUNCTION("""COMPUTED_VALUE"""),"20221024MOCES")</f>
        <v>20221024MOCES</v>
      </c>
      <c r="B114" s="5" t="str">
        <f ca="1">IFERROR(__xludf.DUMMYFUNCTION("""COMPUTED_VALUE"""),"Wounded")</f>
        <v>Wounded</v>
      </c>
      <c r="C114" s="5"/>
      <c r="D114" s="5" t="str">
        <f ca="1">IFERROR(__xludf.DUMMYFUNCTION("""COMPUTED_VALUE"""),"Student")</f>
        <v>Student</v>
      </c>
      <c r="E114" s="5" t="str">
        <f ca="1">IFERROR(__xludf.DUMMYFUNCTION("""COMPUTED_VALUE"""),"Teen")</f>
        <v>Teen</v>
      </c>
      <c r="F114" s="5"/>
    </row>
    <row r="115" spans="1:6" ht="13">
      <c r="A115" s="5" t="str">
        <f ca="1">IFERROR(__xludf.DUMMYFUNCTION("""COMPUTED_VALUE"""),"20221024MOCES")</f>
        <v>20221024MOCES</v>
      </c>
      <c r="B115" s="5" t="str">
        <f ca="1">IFERROR(__xludf.DUMMYFUNCTION("""COMPUTED_VALUE"""),"Wounded")</f>
        <v>Wounded</v>
      </c>
      <c r="C115" s="5"/>
      <c r="D115" s="5" t="str">
        <f ca="1">IFERROR(__xludf.DUMMYFUNCTION("""COMPUTED_VALUE"""),"Student")</f>
        <v>Student</v>
      </c>
      <c r="E115" s="5" t="str">
        <f ca="1">IFERROR(__xludf.DUMMYFUNCTION("""COMPUTED_VALUE"""),"Teen")</f>
        <v>Teen</v>
      </c>
      <c r="F115" s="5"/>
    </row>
    <row r="116" spans="1:6" ht="13">
      <c r="A116" s="5" t="str">
        <f ca="1">IFERROR(__xludf.DUMMYFUNCTION("""COMPUTED_VALUE"""),"20221024MOCES")</f>
        <v>20221024MOCES</v>
      </c>
      <c r="B116" s="5" t="str">
        <f ca="1">IFERROR(__xludf.DUMMYFUNCTION("""COMPUTED_VALUE"""),"Wounded")</f>
        <v>Wounded</v>
      </c>
      <c r="C116" s="5"/>
      <c r="D116" s="5" t="str">
        <f ca="1">IFERROR(__xludf.DUMMYFUNCTION("""COMPUTED_VALUE"""),"Student")</f>
        <v>Student</v>
      </c>
      <c r="E116" s="5" t="str">
        <f ca="1">IFERROR(__xludf.DUMMYFUNCTION("""COMPUTED_VALUE"""),"Teen")</f>
        <v>Teen</v>
      </c>
      <c r="F116" s="5"/>
    </row>
    <row r="117" spans="1:6" ht="13">
      <c r="A117" s="5" t="str">
        <f ca="1">IFERROR(__xludf.DUMMYFUNCTION("""COMPUTED_VALUE"""),"20221022OHDUC")</f>
        <v>20221022OHDUC</v>
      </c>
      <c r="B117" s="5" t="str">
        <f ca="1">IFERROR(__xludf.DUMMYFUNCTION("""COMPUTED_VALUE"""),"Wounded")</f>
        <v>Wounded</v>
      </c>
      <c r="C117" s="5" t="str">
        <f ca="1">IFERROR(__xludf.DUMMYFUNCTION("""COMPUTED_VALUE"""),"Female")</f>
        <v>Female</v>
      </c>
      <c r="D117" s="5" t="str">
        <f ca="1">IFERROR(__xludf.DUMMYFUNCTION("""COMPUTED_VALUE"""),"No Relation")</f>
        <v>No Relation</v>
      </c>
      <c r="E117" s="5">
        <f ca="1">IFERROR(__xludf.DUMMYFUNCTION("""COMPUTED_VALUE"""),17)</f>
        <v>17</v>
      </c>
      <c r="F117" s="5"/>
    </row>
    <row r="118" spans="1:6" ht="13">
      <c r="A118" s="5" t="str">
        <f ca="1">IFERROR(__xludf.DUMMYFUNCTION("""COMPUTED_VALUE"""),"20221022ILCHC")</f>
        <v>20221022ILCHC</v>
      </c>
      <c r="B118" s="5" t="str">
        <f ca="1">IFERROR(__xludf.DUMMYFUNCTION("""COMPUTED_VALUE"""),"Fatal")</f>
        <v>Fatal</v>
      </c>
      <c r="C118" s="5" t="str">
        <f ca="1">IFERROR(__xludf.DUMMYFUNCTION("""COMPUTED_VALUE"""),"Male")</f>
        <v>Male</v>
      </c>
      <c r="D118" s="5" t="str">
        <f ca="1">IFERROR(__xludf.DUMMYFUNCTION("""COMPUTED_VALUE"""),"No Relation")</f>
        <v>No Relation</v>
      </c>
      <c r="E118" s="5">
        <f ca="1">IFERROR(__xludf.DUMMYFUNCTION("""COMPUTED_VALUE"""),16)</f>
        <v>16</v>
      </c>
      <c r="F118" s="5"/>
    </row>
    <row r="119" spans="1:6" ht="13">
      <c r="A119" s="5" t="str">
        <f ca="1">IFERROR(__xludf.DUMMYFUNCTION("""COMPUTED_VALUE"""),"20221022ILCHC")</f>
        <v>20221022ILCHC</v>
      </c>
      <c r="B119" s="5" t="str">
        <f ca="1">IFERROR(__xludf.DUMMYFUNCTION("""COMPUTED_VALUE"""),"Wounded")</f>
        <v>Wounded</v>
      </c>
      <c r="C119" s="5" t="str">
        <f ca="1">IFERROR(__xludf.DUMMYFUNCTION("""COMPUTED_VALUE"""),"Female")</f>
        <v>Female</v>
      </c>
      <c r="D119" s="5" t="str">
        <f ca="1">IFERROR(__xludf.DUMMYFUNCTION("""COMPUTED_VALUE"""),"No Relation")</f>
        <v>No Relation</v>
      </c>
      <c r="E119" s="5">
        <f ca="1">IFERROR(__xludf.DUMMYFUNCTION("""COMPUTED_VALUE"""),13)</f>
        <v>13</v>
      </c>
      <c r="F119" s="5"/>
    </row>
    <row r="120" spans="1:6" ht="13">
      <c r="A120" s="5" t="str">
        <f ca="1">IFERROR(__xludf.DUMMYFUNCTION("""COMPUTED_VALUE"""),"20221021OHSHS")</f>
        <v>20221021OHSHS</v>
      </c>
      <c r="B120" s="5" t="str">
        <f ca="1">IFERROR(__xludf.DUMMYFUNCTION("""COMPUTED_VALUE"""),"Wounded")</f>
        <v>Wounded</v>
      </c>
      <c r="C120" s="5" t="str">
        <f ca="1">IFERROR(__xludf.DUMMYFUNCTION("""COMPUTED_VALUE"""),"Male")</f>
        <v>Male</v>
      </c>
      <c r="D120" s="5" t="str">
        <f ca="1">IFERROR(__xludf.DUMMYFUNCTION("""COMPUTED_VALUE"""),"No Relation")</f>
        <v>No Relation</v>
      </c>
      <c r="E120" s="5" t="str">
        <f ca="1">IFERROR(__xludf.DUMMYFUNCTION("""COMPUTED_VALUE"""),"Adult")</f>
        <v>Adult</v>
      </c>
      <c r="F120" s="5"/>
    </row>
    <row r="121" spans="1:6" ht="13">
      <c r="A121" s="5" t="str">
        <f ca="1">IFERROR(__xludf.DUMMYFUNCTION("""COMPUTED_VALUE"""),"20221021CAGRS")</f>
        <v>20221021CAGRS</v>
      </c>
      <c r="B121" s="5" t="str">
        <f ca="1">IFERROR(__xludf.DUMMYFUNCTION("""COMPUTED_VALUE"""),"Fatal")</f>
        <v>Fatal</v>
      </c>
      <c r="C121" s="5" t="str">
        <f ca="1">IFERROR(__xludf.DUMMYFUNCTION("""COMPUTED_VALUE"""),"Male")</f>
        <v>Male</v>
      </c>
      <c r="D121" s="5" t="str">
        <f ca="1">IFERROR(__xludf.DUMMYFUNCTION("""COMPUTED_VALUE"""),"Nonstudent Using Athletic Facilities/Attending Game")</f>
        <v>Nonstudent Using Athletic Facilities/Attending Game</v>
      </c>
      <c r="E121" s="5">
        <f ca="1">IFERROR(__xludf.DUMMYFUNCTION("""COMPUTED_VALUE"""),24)</f>
        <v>24</v>
      </c>
      <c r="F121" s="5"/>
    </row>
    <row r="122" spans="1:6" ht="13">
      <c r="A122" s="5" t="str">
        <f ca="1">IFERROR(__xludf.DUMMYFUNCTION("""COMPUTED_VALUE"""),"20221020PAPAP")</f>
        <v>20221020PAPAP</v>
      </c>
      <c r="B122" s="5" t="str">
        <f ca="1">IFERROR(__xludf.DUMMYFUNCTION("""COMPUTED_VALUE"""),"Wounded")</f>
        <v>Wounded</v>
      </c>
      <c r="C122" s="5" t="str">
        <f ca="1">IFERROR(__xludf.DUMMYFUNCTION("""COMPUTED_VALUE"""),"Male")</f>
        <v>Male</v>
      </c>
      <c r="D122" s="5" t="str">
        <f ca="1">IFERROR(__xludf.DUMMYFUNCTION("""COMPUTED_VALUE"""),"No Relation")</f>
        <v>No Relation</v>
      </c>
      <c r="E122" s="5" t="str">
        <f ca="1">IFERROR(__xludf.DUMMYFUNCTION("""COMPUTED_VALUE"""),"Adult")</f>
        <v>Adult</v>
      </c>
      <c r="F122" s="5"/>
    </row>
    <row r="123" spans="1:6" ht="13">
      <c r="A123" s="5" t="str">
        <f ca="1">IFERROR(__xludf.DUMMYFUNCTION("""COMPUTED_VALUE"""),"20221019TNROR")</f>
        <v>20221019TNROR</v>
      </c>
      <c r="B123" s="5" t="str">
        <f ca="1">IFERROR(__xludf.DUMMYFUNCTION("""COMPUTED_VALUE"""),"Wounded")</f>
        <v>Wounded</v>
      </c>
      <c r="C123" s="5" t="str">
        <f ca="1">IFERROR(__xludf.DUMMYFUNCTION("""COMPUTED_VALUE"""),"Female")</f>
        <v>Female</v>
      </c>
      <c r="D123" s="5"/>
      <c r="E123" s="5">
        <f ca="1">IFERROR(__xludf.DUMMYFUNCTION("""COMPUTED_VALUE"""),17)</f>
        <v>17</v>
      </c>
      <c r="F123" s="5"/>
    </row>
    <row r="124" spans="1:6" ht="13">
      <c r="A124" s="5" t="str">
        <f ca="1">IFERROR(__xludf.DUMMYFUNCTION("""COMPUTED_VALUE"""),"20221018NVSUL")</f>
        <v>20221018NVSUL</v>
      </c>
      <c r="B124" s="5" t="str">
        <f ca="1">IFERROR(__xludf.DUMMYFUNCTION("""COMPUTED_VALUE"""),"Fatal")</f>
        <v>Fatal</v>
      </c>
      <c r="C124" s="5" t="str">
        <f ca="1">IFERROR(__xludf.DUMMYFUNCTION("""COMPUTED_VALUE"""),"Male")</f>
        <v>Male</v>
      </c>
      <c r="D124" s="5" t="str">
        <f ca="1">IFERROR(__xludf.DUMMYFUNCTION("""COMPUTED_VALUE"""),"No Relation")</f>
        <v>No Relation</v>
      </c>
      <c r="E124" s="5" t="str">
        <f ca="1">IFERROR(__xludf.DUMMYFUNCTION("""COMPUTED_VALUE"""),"Adult")</f>
        <v>Adult</v>
      </c>
      <c r="F124" s="5"/>
    </row>
    <row r="125" spans="1:6" ht="13">
      <c r="A125" s="5" t="str">
        <f ca="1">IFERROR(__xludf.DUMMYFUNCTION("""COMPUTED_VALUE"""),"20221018ORJEP")</f>
        <v>20221018ORJEP</v>
      </c>
      <c r="B125" s="5" t="str">
        <f ca="1">IFERROR(__xludf.DUMMYFUNCTION("""COMPUTED_VALUE"""),"Wounded")</f>
        <v>Wounded</v>
      </c>
      <c r="C125" s="5" t="str">
        <f ca="1">IFERROR(__xludf.DUMMYFUNCTION("""COMPUTED_VALUE"""),"Male")</f>
        <v>Male</v>
      </c>
      <c r="D125" s="5" t="str">
        <f ca="1">IFERROR(__xludf.DUMMYFUNCTION("""COMPUTED_VALUE"""),"Student")</f>
        <v>Student</v>
      </c>
      <c r="E125" s="5" t="str">
        <f ca="1">IFERROR(__xludf.DUMMYFUNCTION("""COMPUTED_VALUE"""),"Teen")</f>
        <v>Teen</v>
      </c>
      <c r="F125" s="5"/>
    </row>
    <row r="126" spans="1:6" ht="13">
      <c r="A126" s="5" t="str">
        <f ca="1">IFERROR(__xludf.DUMMYFUNCTION("""COMPUTED_VALUE"""),"20221018ORJEP")</f>
        <v>20221018ORJEP</v>
      </c>
      <c r="B126" s="5" t="str">
        <f ca="1">IFERROR(__xludf.DUMMYFUNCTION("""COMPUTED_VALUE"""),"Wounded")</f>
        <v>Wounded</v>
      </c>
      <c r="C126" s="5" t="str">
        <f ca="1">IFERROR(__xludf.DUMMYFUNCTION("""COMPUTED_VALUE"""),"Male")</f>
        <v>Male</v>
      </c>
      <c r="D126" s="5" t="str">
        <f ca="1">IFERROR(__xludf.DUMMYFUNCTION("""COMPUTED_VALUE"""),"Student")</f>
        <v>Student</v>
      </c>
      <c r="E126" s="5" t="str">
        <f ca="1">IFERROR(__xludf.DUMMYFUNCTION("""COMPUTED_VALUE"""),"Teen")</f>
        <v>Teen</v>
      </c>
      <c r="F126" s="5"/>
    </row>
    <row r="127" spans="1:6" ht="13">
      <c r="A127" s="5" t="str">
        <f ca="1">IFERROR(__xludf.DUMMYFUNCTION("""COMPUTED_VALUE"""),"20221016VAFAR")</f>
        <v>20221016VAFAR</v>
      </c>
      <c r="B127" s="5" t="str">
        <f ca="1">IFERROR(__xludf.DUMMYFUNCTION("""COMPUTED_VALUE"""),"Wounded")</f>
        <v>Wounded</v>
      </c>
      <c r="C127" s="5" t="str">
        <f ca="1">IFERROR(__xludf.DUMMYFUNCTION("""COMPUTED_VALUE"""),"Male")</f>
        <v>Male</v>
      </c>
      <c r="D127" s="5" t="str">
        <f ca="1">IFERROR(__xludf.DUMMYFUNCTION("""COMPUTED_VALUE"""),"No Relation")</f>
        <v>No Relation</v>
      </c>
      <c r="E127" s="5" t="str">
        <f ca="1">IFERROR(__xludf.DUMMYFUNCTION("""COMPUTED_VALUE"""),"Adult")</f>
        <v>Adult</v>
      </c>
      <c r="F127" s="5"/>
    </row>
    <row r="128" spans="1:6" ht="13">
      <c r="A128" s="5" t="str">
        <f ca="1">IFERROR(__xludf.DUMMYFUNCTION("""COMPUTED_VALUE"""),"20221016VAFAR")</f>
        <v>20221016VAFAR</v>
      </c>
      <c r="B128" s="5" t="str">
        <f ca="1">IFERROR(__xludf.DUMMYFUNCTION("""COMPUTED_VALUE"""),"Wounded")</f>
        <v>Wounded</v>
      </c>
      <c r="C128" s="5" t="str">
        <f ca="1">IFERROR(__xludf.DUMMYFUNCTION("""COMPUTED_VALUE"""),"Male")</f>
        <v>Male</v>
      </c>
      <c r="D128" s="5" t="str">
        <f ca="1">IFERROR(__xludf.DUMMYFUNCTION("""COMPUTED_VALUE"""),"No Relation")</f>
        <v>No Relation</v>
      </c>
      <c r="E128" s="5" t="str">
        <f ca="1">IFERROR(__xludf.DUMMYFUNCTION("""COMPUTED_VALUE"""),"Adult")</f>
        <v>Adult</v>
      </c>
      <c r="F128" s="5"/>
    </row>
    <row r="129" spans="1:6" ht="13">
      <c r="A129" s="5" t="str">
        <f ca="1">IFERROR(__xludf.DUMMYFUNCTION("""COMPUTED_VALUE"""),"20221016VAFAR")</f>
        <v>20221016VAFAR</v>
      </c>
      <c r="B129" s="5" t="str">
        <f ca="1">IFERROR(__xludf.DUMMYFUNCTION("""COMPUTED_VALUE"""),"Wounded")</f>
        <v>Wounded</v>
      </c>
      <c r="C129" s="5" t="str">
        <f ca="1">IFERROR(__xludf.DUMMYFUNCTION("""COMPUTED_VALUE"""),"Male")</f>
        <v>Male</v>
      </c>
      <c r="D129" s="5" t="str">
        <f ca="1">IFERROR(__xludf.DUMMYFUNCTION("""COMPUTED_VALUE"""),"No Relation")</f>
        <v>No Relation</v>
      </c>
      <c r="E129" s="5" t="str">
        <f ca="1">IFERROR(__xludf.DUMMYFUNCTION("""COMPUTED_VALUE"""),"Adult")</f>
        <v>Adult</v>
      </c>
      <c r="F129" s="5"/>
    </row>
    <row r="130" spans="1:6" ht="13">
      <c r="A130" s="5" t="str">
        <f ca="1">IFERROR(__xludf.DUMMYFUNCTION("""COMPUTED_VALUE"""),"20221014NCJAG")</f>
        <v>20221014NCJAG</v>
      </c>
      <c r="B130" s="5" t="str">
        <f ca="1">IFERROR(__xludf.DUMMYFUNCTION("""COMPUTED_VALUE"""),"Wounded")</f>
        <v>Wounded</v>
      </c>
      <c r="C130" s="5" t="str">
        <f ca="1">IFERROR(__xludf.DUMMYFUNCTION("""COMPUTED_VALUE"""),"Male")</f>
        <v>Male</v>
      </c>
      <c r="D130" s="5" t="str">
        <f ca="1">IFERROR(__xludf.DUMMYFUNCTION("""COMPUTED_VALUE"""),"Nonstudent Using Athletic Facilities/Attending Game")</f>
        <v>Nonstudent Using Athletic Facilities/Attending Game</v>
      </c>
      <c r="E130" s="5" t="str">
        <f ca="1">IFERROR(__xludf.DUMMYFUNCTION("""COMPUTED_VALUE"""),"Adult")</f>
        <v>Adult</v>
      </c>
      <c r="F130" s="5"/>
    </row>
    <row r="131" spans="1:6" ht="13">
      <c r="A131" s="5" t="str">
        <f ca="1">IFERROR(__xludf.DUMMYFUNCTION("""COMPUTED_VALUE"""),"20221014VAWER")</f>
        <v>20221014VAWER</v>
      </c>
      <c r="B131" s="5" t="str">
        <f ca="1">IFERROR(__xludf.DUMMYFUNCTION("""COMPUTED_VALUE"""),"Fatal")</f>
        <v>Fatal</v>
      </c>
      <c r="C131" s="5" t="str">
        <f ca="1">IFERROR(__xludf.DUMMYFUNCTION("""COMPUTED_VALUE"""),"Female")</f>
        <v>Female</v>
      </c>
      <c r="D131" s="5"/>
      <c r="E131" s="5" t="str">
        <f ca="1">IFERROR(__xludf.DUMMYFUNCTION("""COMPUTED_VALUE"""),"Adult")</f>
        <v>Adult</v>
      </c>
      <c r="F131" s="5"/>
    </row>
    <row r="132" spans="1:6" ht="13">
      <c r="A132" s="5" t="str">
        <f ca="1">IFERROR(__xludf.DUMMYFUNCTION("""COMPUTED_VALUE"""),"20221014VAWER")</f>
        <v>20221014VAWER</v>
      </c>
      <c r="B132" s="5" t="str">
        <f ca="1">IFERROR(__xludf.DUMMYFUNCTION("""COMPUTED_VALUE"""),"Wounded")</f>
        <v>Wounded</v>
      </c>
      <c r="C132" s="5" t="str">
        <f ca="1">IFERROR(__xludf.DUMMYFUNCTION("""COMPUTED_VALUE"""),"Male")</f>
        <v>Male</v>
      </c>
      <c r="D132" s="5"/>
      <c r="E132" s="5" t="str">
        <f ca="1">IFERROR(__xludf.DUMMYFUNCTION("""COMPUTED_VALUE"""),"Adult")</f>
        <v>Adult</v>
      </c>
      <c r="F132" s="5"/>
    </row>
    <row r="133" spans="1:6" ht="13">
      <c r="A133" s="5" t="str">
        <f ca="1">IFERROR(__xludf.DUMMYFUNCTION("""COMPUTED_VALUE"""),"20221014LABOB")</f>
        <v>20221014LABOB</v>
      </c>
      <c r="B133" s="5" t="str">
        <f ca="1">IFERROR(__xludf.DUMMYFUNCTION("""COMPUTED_VALUE"""),"Fatal")</f>
        <v>Fatal</v>
      </c>
      <c r="C133" s="5" t="str">
        <f ca="1">IFERROR(__xludf.DUMMYFUNCTION("""COMPUTED_VALUE"""),"Male")</f>
        <v>Male</v>
      </c>
      <c r="D133" s="5" t="str">
        <f ca="1">IFERROR(__xludf.DUMMYFUNCTION("""COMPUTED_VALUE"""),"Student")</f>
        <v>Student</v>
      </c>
      <c r="E133" s="5">
        <f ca="1">IFERROR(__xludf.DUMMYFUNCTION("""COMPUTED_VALUE"""),15)</f>
        <v>15</v>
      </c>
      <c r="F133" s="5"/>
    </row>
    <row r="134" spans="1:6" ht="13">
      <c r="A134" s="5" t="str">
        <f ca="1">IFERROR(__xludf.DUMMYFUNCTION("""COMPUTED_VALUE"""),"20221013NYSCB")</f>
        <v>20221013NYSCB</v>
      </c>
      <c r="B134" s="5" t="str">
        <f ca="1">IFERROR(__xludf.DUMMYFUNCTION("""COMPUTED_VALUE"""),"Wounded")</f>
        <v>Wounded</v>
      </c>
      <c r="C134" s="5" t="str">
        <f ca="1">IFERROR(__xludf.DUMMYFUNCTION("""COMPUTED_VALUE"""),"Male")</f>
        <v>Male</v>
      </c>
      <c r="D134" s="5" t="str">
        <f ca="1">IFERROR(__xludf.DUMMYFUNCTION("""COMPUTED_VALUE"""),"No Relation")</f>
        <v>No Relation</v>
      </c>
      <c r="E134" s="5">
        <f ca="1">IFERROR(__xludf.DUMMYFUNCTION("""COMPUTED_VALUE"""),30)</f>
        <v>30</v>
      </c>
      <c r="F134" s="5"/>
    </row>
    <row r="135" spans="1:6" ht="13">
      <c r="A135" s="5" t="str">
        <f ca="1">IFERROR(__xludf.DUMMYFUNCTION("""COMPUTED_VALUE"""),"20221010WIJAM")</f>
        <v>20221010WIJAM</v>
      </c>
      <c r="B135" s="5" t="str">
        <f ca="1">IFERROR(__xludf.DUMMYFUNCTION("""COMPUTED_VALUE"""),"Wounded")</f>
        <v>Wounded</v>
      </c>
      <c r="C135" s="5" t="str">
        <f ca="1">IFERROR(__xludf.DUMMYFUNCTION("""COMPUTED_VALUE"""),"Male")</f>
        <v>Male</v>
      </c>
      <c r="D135" s="5" t="str">
        <f ca="1">IFERROR(__xludf.DUMMYFUNCTION("""COMPUTED_VALUE"""),"Nonstudent")</f>
        <v>Nonstudent</v>
      </c>
      <c r="E135" s="5" t="str">
        <f ca="1">IFERROR(__xludf.DUMMYFUNCTION("""COMPUTED_VALUE"""),"Teen")</f>
        <v>Teen</v>
      </c>
      <c r="F135" s="5"/>
    </row>
    <row r="136" spans="1:6" ht="13">
      <c r="A136" s="5" t="str">
        <f ca="1">IFERROR(__xludf.DUMMYFUNCTION("""COMPUTED_VALUE"""),"20221009MAWAA")</f>
        <v>20221009MAWAA</v>
      </c>
      <c r="B136" s="5" t="str">
        <f ca="1">IFERROR(__xludf.DUMMYFUNCTION("""COMPUTED_VALUE"""),"Wounded")</f>
        <v>Wounded</v>
      </c>
      <c r="C136" s="5" t="str">
        <f ca="1">IFERROR(__xludf.DUMMYFUNCTION("""COMPUTED_VALUE"""),"Male")</f>
        <v>Male</v>
      </c>
      <c r="D136" s="5" t="str">
        <f ca="1">IFERROR(__xludf.DUMMYFUNCTION("""COMPUTED_VALUE"""),"No Relation")</f>
        <v>No Relation</v>
      </c>
      <c r="E136" s="5">
        <f ca="1">IFERROR(__xludf.DUMMYFUNCTION("""COMPUTED_VALUE"""),20)</f>
        <v>20</v>
      </c>
      <c r="F136" s="5"/>
    </row>
    <row r="137" spans="1:6" ht="13">
      <c r="A137" s="5" t="str">
        <f ca="1">IFERROR(__xludf.DUMMYFUNCTION("""COMPUTED_VALUE"""),"20221007NCJHG")</f>
        <v>20221007NCJHG</v>
      </c>
      <c r="B137" s="5" t="str">
        <f ca="1">IFERROR(__xludf.DUMMYFUNCTION("""COMPUTED_VALUE"""),"Wounded")</f>
        <v>Wounded</v>
      </c>
      <c r="C137" s="5" t="str">
        <f ca="1">IFERROR(__xludf.DUMMYFUNCTION("""COMPUTED_VALUE"""),"Male")</f>
        <v>Male</v>
      </c>
      <c r="D137" s="5" t="str">
        <f ca="1">IFERROR(__xludf.DUMMYFUNCTION("""COMPUTED_VALUE"""),"Student")</f>
        <v>Student</v>
      </c>
      <c r="E137" s="5">
        <f ca="1">IFERROR(__xludf.DUMMYFUNCTION("""COMPUTED_VALUE"""),17)</f>
        <v>17</v>
      </c>
      <c r="F137" s="5"/>
    </row>
    <row r="138" spans="1:6" ht="13">
      <c r="A138" s="5" t="str">
        <f ca="1">IFERROR(__xludf.DUMMYFUNCTION("""COMPUTED_VALUE"""),"20221007OHWHT")</f>
        <v>20221007OHWHT</v>
      </c>
      <c r="B138" s="5" t="str">
        <f ca="1">IFERROR(__xludf.DUMMYFUNCTION("""COMPUTED_VALUE"""),"Wounded")</f>
        <v>Wounded</v>
      </c>
      <c r="C138" s="5" t="str">
        <f ca="1">IFERROR(__xludf.DUMMYFUNCTION("""COMPUTED_VALUE"""),"Male")</f>
        <v>Male</v>
      </c>
      <c r="D138" s="5" t="str">
        <f ca="1">IFERROR(__xludf.DUMMYFUNCTION("""COMPUTED_VALUE"""),"Student")</f>
        <v>Student</v>
      </c>
      <c r="E138" s="5" t="str">
        <f ca="1">IFERROR(__xludf.DUMMYFUNCTION("""COMPUTED_VALUE"""),"Teen")</f>
        <v>Teen</v>
      </c>
      <c r="F138" s="5"/>
    </row>
    <row r="139" spans="1:6" ht="13">
      <c r="A139" s="5" t="str">
        <f ca="1">IFERROR(__xludf.DUMMYFUNCTION("""COMPUTED_VALUE"""),"20221007OHWHT")</f>
        <v>20221007OHWHT</v>
      </c>
      <c r="B139" s="5" t="str">
        <f ca="1">IFERROR(__xludf.DUMMYFUNCTION("""COMPUTED_VALUE"""),"Wounded")</f>
        <v>Wounded</v>
      </c>
      <c r="C139" s="5" t="str">
        <f ca="1">IFERROR(__xludf.DUMMYFUNCTION("""COMPUTED_VALUE"""),"Female")</f>
        <v>Female</v>
      </c>
      <c r="D139" s="5" t="str">
        <f ca="1">IFERROR(__xludf.DUMMYFUNCTION("""COMPUTED_VALUE"""),"Nonstudent Using Athletic Facilities/Attending Game")</f>
        <v>Nonstudent Using Athletic Facilities/Attending Game</v>
      </c>
      <c r="E139" s="5" t="str">
        <f ca="1">IFERROR(__xludf.DUMMYFUNCTION("""COMPUTED_VALUE"""),"Adult")</f>
        <v>Adult</v>
      </c>
      <c r="F139" s="5"/>
    </row>
    <row r="140" spans="1:6" ht="13">
      <c r="A140" s="5" t="str">
        <f ca="1">IFERROR(__xludf.DUMMYFUNCTION("""COMPUTED_VALUE"""),"20221007OHWHT")</f>
        <v>20221007OHWHT</v>
      </c>
      <c r="B140" s="5" t="str">
        <f ca="1">IFERROR(__xludf.DUMMYFUNCTION("""COMPUTED_VALUE"""),"Wounded")</f>
        <v>Wounded</v>
      </c>
      <c r="C140" s="5" t="str">
        <f ca="1">IFERROR(__xludf.DUMMYFUNCTION("""COMPUTED_VALUE"""),"Male")</f>
        <v>Male</v>
      </c>
      <c r="D140" s="5" t="str">
        <f ca="1">IFERROR(__xludf.DUMMYFUNCTION("""COMPUTED_VALUE"""),"Nonstudent Using Athletic Facilities/Attending Game")</f>
        <v>Nonstudent Using Athletic Facilities/Attending Game</v>
      </c>
      <c r="E140" s="5" t="str">
        <f ca="1">IFERROR(__xludf.DUMMYFUNCTION("""COMPUTED_VALUE"""),"Adult")</f>
        <v>Adult</v>
      </c>
      <c r="F140" s="5"/>
    </row>
    <row r="141" spans="1:6" ht="13">
      <c r="A141" s="5" t="str">
        <f ca="1">IFERROR(__xludf.DUMMYFUNCTION("""COMPUTED_VALUE"""),"20221004MAJB")</f>
        <v>20221004MAJB</v>
      </c>
      <c r="B141" s="5" t="str">
        <f ca="1">IFERROR(__xludf.DUMMYFUNCTION("""COMPUTED_VALUE"""),"Wounded")</f>
        <v>Wounded</v>
      </c>
      <c r="C141" s="5" t="str">
        <f ca="1">IFERROR(__xludf.DUMMYFUNCTION("""COMPUTED_VALUE"""),"Male")</f>
        <v>Male</v>
      </c>
      <c r="D141" s="5" t="str">
        <f ca="1">IFERROR(__xludf.DUMMYFUNCTION("""COMPUTED_VALUE"""),"Student")</f>
        <v>Student</v>
      </c>
      <c r="E141" s="5">
        <f ca="1">IFERROR(__xludf.DUMMYFUNCTION("""COMPUTED_VALUE"""),17)</f>
        <v>17</v>
      </c>
      <c r="F141" s="5"/>
    </row>
    <row r="142" spans="1:6" ht="13">
      <c r="A142" s="5" t="str">
        <f ca="1">IFERROR(__xludf.DUMMYFUNCTION("""COMPUTED_VALUE"""),"20221001CACOO")</f>
        <v>20221001CACOO</v>
      </c>
      <c r="B142" s="5" t="str">
        <f ca="1">IFERROR(__xludf.DUMMYFUNCTION("""COMPUTED_VALUE"""),"Wounded")</f>
        <v>Wounded</v>
      </c>
      <c r="C142" s="5" t="str">
        <f ca="1">IFERROR(__xludf.DUMMYFUNCTION("""COMPUTED_VALUE"""),"Male")</f>
        <v>Male</v>
      </c>
      <c r="D142" s="5" t="str">
        <f ca="1">IFERROR(__xludf.DUMMYFUNCTION("""COMPUTED_VALUE"""),"Nonstudent Using Athletic Facilities/Attending Game")</f>
        <v>Nonstudent Using Athletic Facilities/Attending Game</v>
      </c>
      <c r="E142" s="5">
        <f ca="1">IFERROR(__xludf.DUMMYFUNCTION("""COMPUTED_VALUE"""),34)</f>
        <v>34</v>
      </c>
      <c r="F142" s="5"/>
    </row>
    <row r="143" spans="1:6" ht="13">
      <c r="A143" s="5" t="str">
        <f ca="1">IFERROR(__xludf.DUMMYFUNCTION("""COMPUTED_VALUE"""),"20220930OKMCT")</f>
        <v>20220930OKMCT</v>
      </c>
      <c r="B143" s="5" t="str">
        <f ca="1">IFERROR(__xludf.DUMMYFUNCTION("""COMPUTED_VALUE"""),"Fatal")</f>
        <v>Fatal</v>
      </c>
      <c r="C143" s="5" t="str">
        <f ca="1">IFERROR(__xludf.DUMMYFUNCTION("""COMPUTED_VALUE"""),"Male")</f>
        <v>Male</v>
      </c>
      <c r="D143" s="5" t="str">
        <f ca="1">IFERROR(__xludf.DUMMYFUNCTION("""COMPUTED_VALUE"""),"Student")</f>
        <v>Student</v>
      </c>
      <c r="E143" s="5">
        <f ca="1">IFERROR(__xludf.DUMMYFUNCTION("""COMPUTED_VALUE"""),17)</f>
        <v>17</v>
      </c>
      <c r="F143" s="5"/>
    </row>
    <row r="144" spans="1:6" ht="13">
      <c r="A144" s="5" t="str">
        <f ca="1">IFERROR(__xludf.DUMMYFUNCTION("""COMPUTED_VALUE"""),"20220930OKMCT")</f>
        <v>20220930OKMCT</v>
      </c>
      <c r="B144" s="5" t="str">
        <f ca="1">IFERROR(__xludf.DUMMYFUNCTION("""COMPUTED_VALUE"""),"Wounded")</f>
        <v>Wounded</v>
      </c>
      <c r="C144" s="5" t="str">
        <f ca="1">IFERROR(__xludf.DUMMYFUNCTION("""COMPUTED_VALUE"""),"Male")</f>
        <v>Male</v>
      </c>
      <c r="D144" s="5" t="str">
        <f ca="1">IFERROR(__xludf.DUMMYFUNCTION("""COMPUTED_VALUE"""),"Student")</f>
        <v>Student</v>
      </c>
      <c r="E144" s="5">
        <f ca="1">IFERROR(__xludf.DUMMYFUNCTION("""COMPUTED_VALUE"""),17)</f>
        <v>17</v>
      </c>
      <c r="F144" s="5"/>
    </row>
    <row r="145" spans="1:6" ht="13">
      <c r="A145" s="5" t="str">
        <f ca="1">IFERROR(__xludf.DUMMYFUNCTION("""COMPUTED_VALUE"""),"20220930OKMCT")</f>
        <v>20220930OKMCT</v>
      </c>
      <c r="B145" s="5" t="str">
        <f ca="1">IFERROR(__xludf.DUMMYFUNCTION("""COMPUTED_VALUE"""),"Wounded")</f>
        <v>Wounded</v>
      </c>
      <c r="C145" s="5" t="str">
        <f ca="1">IFERROR(__xludf.DUMMYFUNCTION("""COMPUTED_VALUE"""),"Female")</f>
        <v>Female</v>
      </c>
      <c r="D145" s="5" t="str">
        <f ca="1">IFERROR(__xludf.DUMMYFUNCTION("""COMPUTED_VALUE"""),"Nonstudent Using Athletic Facilities/Attending Game")</f>
        <v>Nonstudent Using Athletic Facilities/Attending Game</v>
      </c>
      <c r="E145" s="5">
        <f ca="1">IFERROR(__xludf.DUMMYFUNCTION("""COMPUTED_VALUE"""),20)</f>
        <v>20</v>
      </c>
      <c r="F145" s="5"/>
    </row>
    <row r="146" spans="1:6" ht="13">
      <c r="A146" s="5" t="str">
        <f ca="1">IFERROR(__xludf.DUMMYFUNCTION("""COMPUTED_VALUE"""),"20220930OKMCT")</f>
        <v>20220930OKMCT</v>
      </c>
      <c r="B146" s="5" t="str">
        <f ca="1">IFERROR(__xludf.DUMMYFUNCTION("""COMPUTED_VALUE"""),"Wounded")</f>
        <v>Wounded</v>
      </c>
      <c r="C146" s="5" t="str">
        <f ca="1">IFERROR(__xludf.DUMMYFUNCTION("""COMPUTED_VALUE"""),"Female")</f>
        <v>Female</v>
      </c>
      <c r="D146" s="5" t="str">
        <f ca="1">IFERROR(__xludf.DUMMYFUNCTION("""COMPUTED_VALUE"""),"Nonstudent Using Athletic Facilities/Attending Game")</f>
        <v>Nonstudent Using Athletic Facilities/Attending Game</v>
      </c>
      <c r="E146" s="5">
        <f ca="1">IFERROR(__xludf.DUMMYFUNCTION("""COMPUTED_VALUE"""),9)</f>
        <v>9</v>
      </c>
      <c r="F146" s="5"/>
    </row>
    <row r="147" spans="1:6" ht="13">
      <c r="A147" s="5" t="str">
        <f ca="1">IFERROR(__xludf.DUMMYFUNCTION("""COMPUTED_VALUE"""),"20220930NYNEN")</f>
        <v>20220930NYNEN</v>
      </c>
      <c r="B147" s="5" t="str">
        <f ca="1">IFERROR(__xludf.DUMMYFUNCTION("""COMPUTED_VALUE"""),"Wounded")</f>
        <v>Wounded</v>
      </c>
      <c r="C147" s="5" t="str">
        <f ca="1">IFERROR(__xludf.DUMMYFUNCTION("""COMPUTED_VALUE"""),"Female")</f>
        <v>Female</v>
      </c>
      <c r="D147" s="5" t="str">
        <f ca="1">IFERROR(__xludf.DUMMYFUNCTION("""COMPUTED_VALUE"""),"Nonstudent Using Athletic Facilities/Attending Game")</f>
        <v>Nonstudent Using Athletic Facilities/Attending Game</v>
      </c>
      <c r="E147" s="5">
        <f ca="1">IFERROR(__xludf.DUMMYFUNCTION("""COMPUTED_VALUE"""),43)</f>
        <v>43</v>
      </c>
      <c r="F147" s="5"/>
    </row>
    <row r="148" spans="1:6" ht="13">
      <c r="A148" s="5" t="str">
        <f ca="1">IFERROR(__xludf.DUMMYFUNCTION("""COMPUTED_VALUE"""),"20220930NYNEN")</f>
        <v>20220930NYNEN</v>
      </c>
      <c r="B148" s="5" t="str">
        <f ca="1">IFERROR(__xludf.DUMMYFUNCTION("""COMPUTED_VALUE"""),"Wounded")</f>
        <v>Wounded</v>
      </c>
      <c r="C148" s="5" t="str">
        <f ca="1">IFERROR(__xludf.DUMMYFUNCTION("""COMPUTED_VALUE"""),"Female")</f>
        <v>Female</v>
      </c>
      <c r="D148" s="5" t="str">
        <f ca="1">IFERROR(__xludf.DUMMYFUNCTION("""COMPUTED_VALUE"""),"Student")</f>
        <v>Student</v>
      </c>
      <c r="E148" s="5">
        <f ca="1">IFERROR(__xludf.DUMMYFUNCTION("""COMPUTED_VALUE"""),17)</f>
        <v>17</v>
      </c>
      <c r="F148" s="5"/>
    </row>
    <row r="149" spans="1:6" ht="13">
      <c r="A149" s="5" t="str">
        <f ca="1">IFERROR(__xludf.DUMMYFUNCTION("""COMPUTED_VALUE"""),"20220930NYNEN")</f>
        <v>20220930NYNEN</v>
      </c>
      <c r="B149" s="5" t="str">
        <f ca="1">IFERROR(__xludf.DUMMYFUNCTION("""COMPUTED_VALUE"""),"Wounded")</f>
        <v>Wounded</v>
      </c>
      <c r="C149" s="5" t="str">
        <f ca="1">IFERROR(__xludf.DUMMYFUNCTION("""COMPUTED_VALUE"""),"Male")</f>
        <v>Male</v>
      </c>
      <c r="D149" s="5" t="str">
        <f ca="1">IFERROR(__xludf.DUMMYFUNCTION("""COMPUTED_VALUE"""),"Nonstudent Using Athletic Facilities/Attending Game")</f>
        <v>Nonstudent Using Athletic Facilities/Attending Game</v>
      </c>
      <c r="E149" s="5">
        <f ca="1">IFERROR(__xludf.DUMMYFUNCTION("""COMPUTED_VALUE"""),21)</f>
        <v>21</v>
      </c>
      <c r="F149" s="5"/>
    </row>
    <row r="150" spans="1:6" ht="13">
      <c r="A150" s="5" t="str">
        <f ca="1">IFERROR(__xludf.DUMMYFUNCTION("""COMPUTED_VALUE"""),"20220928CARUO")</f>
        <v>20220928CARUO</v>
      </c>
      <c r="B150" s="5" t="str">
        <f ca="1">IFERROR(__xludf.DUMMYFUNCTION("""COMPUTED_VALUE"""),"Fatal")</f>
        <v>Fatal</v>
      </c>
      <c r="C150" s="5"/>
      <c r="D150" s="5" t="str">
        <f ca="1">IFERROR(__xludf.DUMMYFUNCTION("""COMPUTED_VALUE"""),"Other Staff")</f>
        <v>Other Staff</v>
      </c>
      <c r="E150" s="5" t="str">
        <f ca="1">IFERROR(__xludf.DUMMYFUNCTION("""COMPUTED_VALUE"""),"Adult")</f>
        <v>Adult</v>
      </c>
      <c r="F150" s="5"/>
    </row>
    <row r="151" spans="1:6" ht="13">
      <c r="A151" s="5" t="str">
        <f ca="1">IFERROR(__xludf.DUMMYFUNCTION("""COMPUTED_VALUE"""),"20220928CARUO")</f>
        <v>20220928CARUO</v>
      </c>
      <c r="B151" s="5" t="str">
        <f ca="1">IFERROR(__xludf.DUMMYFUNCTION("""COMPUTED_VALUE"""),"Wounded")</f>
        <v>Wounded</v>
      </c>
      <c r="C151" s="5"/>
      <c r="D151" s="5" t="str">
        <f ca="1">IFERROR(__xludf.DUMMYFUNCTION("""COMPUTED_VALUE"""),"Student")</f>
        <v>Student</v>
      </c>
      <c r="E151" s="5" t="str">
        <f ca="1">IFERROR(__xludf.DUMMYFUNCTION("""COMPUTED_VALUE"""),"Teen")</f>
        <v>Teen</v>
      </c>
      <c r="F151" s="5"/>
    </row>
    <row r="152" spans="1:6" ht="13">
      <c r="A152" s="5" t="str">
        <f ca="1">IFERROR(__xludf.DUMMYFUNCTION("""COMPUTED_VALUE"""),"20220928CARUO")</f>
        <v>20220928CARUO</v>
      </c>
      <c r="B152" s="5" t="str">
        <f ca="1">IFERROR(__xludf.DUMMYFUNCTION("""COMPUTED_VALUE"""),"Wounded")</f>
        <v>Wounded</v>
      </c>
      <c r="C152" s="5"/>
      <c r="D152" s="5" t="str">
        <f ca="1">IFERROR(__xludf.DUMMYFUNCTION("""COMPUTED_VALUE"""),"Student")</f>
        <v>Student</v>
      </c>
      <c r="E152" s="5" t="str">
        <f ca="1">IFERROR(__xludf.DUMMYFUNCTION("""COMPUTED_VALUE"""),"Teen")</f>
        <v>Teen</v>
      </c>
      <c r="F152" s="5"/>
    </row>
    <row r="153" spans="1:6" ht="13">
      <c r="A153" s="5" t="str">
        <f ca="1">IFERROR(__xludf.DUMMYFUNCTION("""COMPUTED_VALUE"""),"20220928CARUO")</f>
        <v>20220928CARUO</v>
      </c>
      <c r="B153" s="5" t="str">
        <f ca="1">IFERROR(__xludf.DUMMYFUNCTION("""COMPUTED_VALUE"""),"Wounded")</f>
        <v>Wounded</v>
      </c>
      <c r="C153" s="5"/>
      <c r="D153" s="5" t="str">
        <f ca="1">IFERROR(__xludf.DUMMYFUNCTION("""COMPUTED_VALUE"""),"Student")</f>
        <v>Student</v>
      </c>
      <c r="E153" s="5" t="str">
        <f ca="1">IFERROR(__xludf.DUMMYFUNCTION("""COMPUTED_VALUE"""),"Teen")</f>
        <v>Teen</v>
      </c>
      <c r="F153" s="5"/>
    </row>
    <row r="154" spans="1:6" ht="13">
      <c r="A154" s="5" t="str">
        <f ca="1">IFERROR(__xludf.DUMMYFUNCTION("""COMPUTED_VALUE"""),"20220928CARUO")</f>
        <v>20220928CARUO</v>
      </c>
      <c r="B154" s="5" t="str">
        <f ca="1">IFERROR(__xludf.DUMMYFUNCTION("""COMPUTED_VALUE"""),"Wounded")</f>
        <v>Wounded</v>
      </c>
      <c r="C154" s="5"/>
      <c r="D154" s="5" t="str">
        <f ca="1">IFERROR(__xludf.DUMMYFUNCTION("""COMPUTED_VALUE"""),"Teacher")</f>
        <v>Teacher</v>
      </c>
      <c r="E154" s="5" t="str">
        <f ca="1">IFERROR(__xludf.DUMMYFUNCTION("""COMPUTED_VALUE"""),"Adult")</f>
        <v>Adult</v>
      </c>
      <c r="F154" s="5"/>
    </row>
    <row r="155" spans="1:6" ht="13">
      <c r="A155" s="5" t="str">
        <f ca="1">IFERROR(__xludf.DUMMYFUNCTION("""COMPUTED_VALUE"""),"20220928CARUO")</f>
        <v>20220928CARUO</v>
      </c>
      <c r="B155" s="5" t="str">
        <f ca="1">IFERROR(__xludf.DUMMYFUNCTION("""COMPUTED_VALUE"""),"Wounded")</f>
        <v>Wounded</v>
      </c>
      <c r="C155" s="5"/>
      <c r="D155" s="5" t="str">
        <f ca="1">IFERROR(__xludf.DUMMYFUNCTION("""COMPUTED_VALUE"""),"Police Officer/SRO")</f>
        <v>Police Officer/SRO</v>
      </c>
      <c r="E155" s="5" t="str">
        <f ca="1">IFERROR(__xludf.DUMMYFUNCTION("""COMPUTED_VALUE"""),"Adult")</f>
        <v>Adult</v>
      </c>
      <c r="F155" s="5"/>
    </row>
    <row r="156" spans="1:6" ht="13">
      <c r="A156" s="5" t="str">
        <f ca="1">IFERROR(__xludf.DUMMYFUNCTION("""COMPUTED_VALUE"""),"20220927PAROP")</f>
        <v>20220927PAROP</v>
      </c>
      <c r="B156" s="5" t="str">
        <f ca="1">IFERROR(__xludf.DUMMYFUNCTION("""COMPUTED_VALUE"""),"Fatal")</f>
        <v>Fatal</v>
      </c>
      <c r="C156" s="5" t="str">
        <f ca="1">IFERROR(__xludf.DUMMYFUNCTION("""COMPUTED_VALUE"""),"Male")</f>
        <v>Male</v>
      </c>
      <c r="D156" s="5" t="str">
        <f ca="1">IFERROR(__xludf.DUMMYFUNCTION("""COMPUTED_VALUE"""),"Student")</f>
        <v>Student</v>
      </c>
      <c r="E156" s="5">
        <f ca="1">IFERROR(__xludf.DUMMYFUNCTION("""COMPUTED_VALUE"""),14)</f>
        <v>14</v>
      </c>
      <c r="F156" s="5"/>
    </row>
    <row r="157" spans="1:6" ht="13">
      <c r="A157" s="5" t="str">
        <f ca="1">IFERROR(__xludf.DUMMYFUNCTION("""COMPUTED_VALUE"""),"20220927PAROP")</f>
        <v>20220927PAROP</v>
      </c>
      <c r="B157" s="5" t="str">
        <f ca="1">IFERROR(__xludf.DUMMYFUNCTION("""COMPUTED_VALUE"""),"Wounded")</f>
        <v>Wounded</v>
      </c>
      <c r="C157" s="5" t="str">
        <f ca="1">IFERROR(__xludf.DUMMYFUNCTION("""COMPUTED_VALUE"""),"Male")</f>
        <v>Male</v>
      </c>
      <c r="D157" s="5" t="str">
        <f ca="1">IFERROR(__xludf.DUMMYFUNCTION("""COMPUTED_VALUE"""),"Student")</f>
        <v>Student</v>
      </c>
      <c r="E157" s="5">
        <f ca="1">IFERROR(__xludf.DUMMYFUNCTION("""COMPUTED_VALUE"""),14)</f>
        <v>14</v>
      </c>
      <c r="F157" s="5"/>
    </row>
    <row r="158" spans="1:6" ht="13">
      <c r="A158" s="5" t="str">
        <f ca="1">IFERROR(__xludf.DUMMYFUNCTION("""COMPUTED_VALUE"""),"20220927PAROP")</f>
        <v>20220927PAROP</v>
      </c>
      <c r="B158" s="5" t="str">
        <f ca="1">IFERROR(__xludf.DUMMYFUNCTION("""COMPUTED_VALUE"""),"Wounded")</f>
        <v>Wounded</v>
      </c>
      <c r="C158" s="5" t="str">
        <f ca="1">IFERROR(__xludf.DUMMYFUNCTION("""COMPUTED_VALUE"""),"Male")</f>
        <v>Male</v>
      </c>
      <c r="D158" s="5" t="str">
        <f ca="1">IFERROR(__xludf.DUMMYFUNCTION("""COMPUTED_VALUE"""),"Student")</f>
        <v>Student</v>
      </c>
      <c r="E158" s="5">
        <f ca="1">IFERROR(__xludf.DUMMYFUNCTION("""COMPUTED_VALUE"""),17)</f>
        <v>17</v>
      </c>
      <c r="F158" s="5"/>
    </row>
    <row r="159" spans="1:6" ht="13">
      <c r="A159" s="5" t="str">
        <f ca="1">IFERROR(__xludf.DUMMYFUNCTION("""COMPUTED_VALUE"""),"20220927PAROP")</f>
        <v>20220927PAROP</v>
      </c>
      <c r="B159" s="5" t="str">
        <f ca="1">IFERROR(__xludf.DUMMYFUNCTION("""COMPUTED_VALUE"""),"Wounded")</f>
        <v>Wounded</v>
      </c>
      <c r="C159" s="5" t="str">
        <f ca="1">IFERROR(__xludf.DUMMYFUNCTION("""COMPUTED_VALUE"""),"Male")</f>
        <v>Male</v>
      </c>
      <c r="D159" s="5" t="str">
        <f ca="1">IFERROR(__xludf.DUMMYFUNCTION("""COMPUTED_VALUE"""),"Student")</f>
        <v>Student</v>
      </c>
      <c r="E159" s="5" t="str">
        <f ca="1">IFERROR(__xludf.DUMMYFUNCTION("""COMPUTED_VALUE"""),"Teen")</f>
        <v>Teen</v>
      </c>
      <c r="F159" s="5"/>
    </row>
    <row r="160" spans="1:6" ht="13">
      <c r="A160" s="5" t="str">
        <f ca="1">IFERROR(__xludf.DUMMYFUNCTION("""COMPUTED_VALUE"""),"20220927PAROP")</f>
        <v>20220927PAROP</v>
      </c>
      <c r="B160" s="5" t="str">
        <f ca="1">IFERROR(__xludf.DUMMYFUNCTION("""COMPUTED_VALUE"""),"Wounded")</f>
        <v>Wounded</v>
      </c>
      <c r="C160" s="5" t="str">
        <f ca="1">IFERROR(__xludf.DUMMYFUNCTION("""COMPUTED_VALUE"""),"Male")</f>
        <v>Male</v>
      </c>
      <c r="D160" s="5" t="str">
        <f ca="1">IFERROR(__xludf.DUMMYFUNCTION("""COMPUTED_VALUE"""),"Student")</f>
        <v>Student</v>
      </c>
      <c r="E160" s="5" t="str">
        <f ca="1">IFERROR(__xludf.DUMMYFUNCTION("""COMPUTED_VALUE"""),"Teen")</f>
        <v>Teen</v>
      </c>
      <c r="F160" s="5"/>
    </row>
    <row r="161" spans="1:6" ht="13">
      <c r="A161" s="5" t="str">
        <f ca="1">IFERROR(__xludf.DUMMYFUNCTION("""COMPUTED_VALUE"""),"20220927TXHGD")</f>
        <v>20220927TXHGD</v>
      </c>
      <c r="B161" s="5" t="str">
        <f ca="1">IFERROR(__xludf.DUMMYFUNCTION("""COMPUTED_VALUE"""),"Wounded")</f>
        <v>Wounded</v>
      </c>
      <c r="C161" s="5" t="str">
        <f ca="1">IFERROR(__xludf.DUMMYFUNCTION("""COMPUTED_VALUE"""),"Male")</f>
        <v>Male</v>
      </c>
      <c r="D161" s="5" t="str">
        <f ca="1">IFERROR(__xludf.DUMMYFUNCTION("""COMPUTED_VALUE"""),"Student")</f>
        <v>Student</v>
      </c>
      <c r="E161" s="5" t="str">
        <f ca="1">IFERROR(__xludf.DUMMYFUNCTION("""COMPUTED_VALUE"""),"Teen")</f>
        <v>Teen</v>
      </c>
      <c r="F161" s="5"/>
    </row>
    <row r="162" spans="1:6" ht="13">
      <c r="A162" s="5" t="str">
        <f ca="1">IFERROR(__xludf.DUMMYFUNCTION("""COMPUTED_VALUE"""),"20220926GAVAV")</f>
        <v>20220926GAVAV</v>
      </c>
      <c r="B162" s="5" t="str">
        <f ca="1">IFERROR(__xludf.DUMMYFUNCTION("""COMPUTED_VALUE"""),"Wounded")</f>
        <v>Wounded</v>
      </c>
      <c r="C162" s="5" t="str">
        <f ca="1">IFERROR(__xludf.DUMMYFUNCTION("""COMPUTED_VALUE"""),"Male")</f>
        <v>Male</v>
      </c>
      <c r="D162" s="5" t="str">
        <f ca="1">IFERROR(__xludf.DUMMYFUNCTION("""COMPUTED_VALUE"""),"Student")</f>
        <v>Student</v>
      </c>
      <c r="E162" s="5">
        <f ca="1">IFERROR(__xludf.DUMMYFUNCTION("""COMPUTED_VALUE"""),17)</f>
        <v>17</v>
      </c>
      <c r="F162" s="5"/>
    </row>
    <row r="163" spans="1:6" ht="13">
      <c r="A163" s="5" t="str">
        <f ca="1">IFERROR(__xludf.DUMMYFUNCTION("""COMPUTED_VALUE"""),"20220923CANOC")</f>
        <v>20220923CANOC</v>
      </c>
      <c r="B163" s="5" t="str">
        <f ca="1">IFERROR(__xludf.DUMMYFUNCTION("""COMPUTED_VALUE"""),"Wounded")</f>
        <v>Wounded</v>
      </c>
      <c r="C163" s="5" t="str">
        <f ca="1">IFERROR(__xludf.DUMMYFUNCTION("""COMPUTED_VALUE"""),"Male")</f>
        <v>Male</v>
      </c>
      <c r="D163" s="5" t="str">
        <f ca="1">IFERROR(__xludf.DUMMYFUNCTION("""COMPUTED_VALUE"""),"Nonstudent Using Athletic Facilities/Attending Game")</f>
        <v>Nonstudent Using Athletic Facilities/Attending Game</v>
      </c>
      <c r="E163" s="5"/>
      <c r="F163" s="5"/>
    </row>
    <row r="164" spans="1:6" ht="13">
      <c r="A164" s="5" t="str">
        <f ca="1">IFERROR(__xludf.DUMMYFUNCTION("""COMPUTED_VALUE"""),"20220923WIROM")</f>
        <v>20220923WIROM</v>
      </c>
      <c r="B164" s="5" t="str">
        <f ca="1">IFERROR(__xludf.DUMMYFUNCTION("""COMPUTED_VALUE"""),"Wounded")</f>
        <v>Wounded</v>
      </c>
      <c r="C164" s="5" t="str">
        <f ca="1">IFERROR(__xludf.DUMMYFUNCTION("""COMPUTED_VALUE"""),"Male")</f>
        <v>Male</v>
      </c>
      <c r="D164" s="5" t="str">
        <f ca="1">IFERROR(__xludf.DUMMYFUNCTION("""COMPUTED_VALUE"""),"No Relation")</f>
        <v>No Relation</v>
      </c>
      <c r="E164" s="5">
        <f ca="1">IFERROR(__xludf.DUMMYFUNCTION("""COMPUTED_VALUE"""),38)</f>
        <v>38</v>
      </c>
      <c r="F164" s="5"/>
    </row>
    <row r="165" spans="1:6" ht="13">
      <c r="A165" s="5" t="str">
        <f ca="1">IFERROR(__xludf.DUMMYFUNCTION("""COMPUTED_VALUE"""),"20220923DEAPM")</f>
        <v>20220923DEAPM</v>
      </c>
      <c r="B165" s="5" t="str">
        <f ca="1">IFERROR(__xludf.DUMMYFUNCTION("""COMPUTED_VALUE"""),"Wounded")</f>
        <v>Wounded</v>
      </c>
      <c r="C165" s="5" t="str">
        <f ca="1">IFERROR(__xludf.DUMMYFUNCTION("""COMPUTED_VALUE"""),"Male")</f>
        <v>Male</v>
      </c>
      <c r="D165" s="5" t="str">
        <f ca="1">IFERROR(__xludf.DUMMYFUNCTION("""COMPUTED_VALUE"""),"Student")</f>
        <v>Student</v>
      </c>
      <c r="E165" s="5">
        <f ca="1">IFERROR(__xludf.DUMMYFUNCTION("""COMPUTED_VALUE"""),16)</f>
        <v>16</v>
      </c>
      <c r="F165" s="5"/>
    </row>
    <row r="166" spans="1:6" ht="13">
      <c r="A166" s="5" t="str">
        <f ca="1">IFERROR(__xludf.DUMMYFUNCTION("""COMPUTED_VALUE"""),"20220923DEAPM")</f>
        <v>20220923DEAPM</v>
      </c>
      <c r="B166" s="5" t="str">
        <f ca="1">IFERROR(__xludf.DUMMYFUNCTION("""COMPUTED_VALUE"""),"Wounded")</f>
        <v>Wounded</v>
      </c>
      <c r="C166" s="5" t="str">
        <f ca="1">IFERROR(__xludf.DUMMYFUNCTION("""COMPUTED_VALUE"""),"Female")</f>
        <v>Female</v>
      </c>
      <c r="D166" s="5" t="str">
        <f ca="1">IFERROR(__xludf.DUMMYFUNCTION("""COMPUTED_VALUE"""),"Student")</f>
        <v>Student</v>
      </c>
      <c r="E166" s="5">
        <f ca="1">IFERROR(__xludf.DUMMYFUNCTION("""COMPUTED_VALUE"""),17)</f>
        <v>17</v>
      </c>
      <c r="F166" s="5"/>
    </row>
    <row r="167" spans="1:6" ht="13">
      <c r="A167" s="5" t="str">
        <f ca="1">IFERROR(__xludf.DUMMYFUNCTION("""COMPUTED_VALUE"""),"20220923MNRIM")</f>
        <v>20220923MNRIM</v>
      </c>
      <c r="B167" s="5" t="str">
        <f ca="1">IFERROR(__xludf.DUMMYFUNCTION("""COMPUTED_VALUE"""),"Wounded")</f>
        <v>Wounded</v>
      </c>
      <c r="C167" s="5" t="str">
        <f ca="1">IFERROR(__xludf.DUMMYFUNCTION("""COMPUTED_VALUE"""),"Male")</f>
        <v>Male</v>
      </c>
      <c r="D167" s="5" t="str">
        <f ca="1">IFERROR(__xludf.DUMMYFUNCTION("""COMPUTED_VALUE"""),"Nonstudent Using Athletic Facilities/Attending Game")</f>
        <v>Nonstudent Using Athletic Facilities/Attending Game</v>
      </c>
      <c r="E167" s="5">
        <f ca="1">IFERROR(__xludf.DUMMYFUNCTION("""COMPUTED_VALUE"""),18)</f>
        <v>18</v>
      </c>
      <c r="F167" s="5"/>
    </row>
    <row r="168" spans="1:6" ht="13">
      <c r="A168" s="5" t="str">
        <f ca="1">IFERROR(__xludf.DUMMYFUNCTION("""COMPUTED_VALUE"""),"20220923MNRIM")</f>
        <v>20220923MNRIM</v>
      </c>
      <c r="B168" s="5" t="str">
        <f ca="1">IFERROR(__xludf.DUMMYFUNCTION("""COMPUTED_VALUE"""),"Wounded")</f>
        <v>Wounded</v>
      </c>
      <c r="C168" s="5" t="str">
        <f ca="1">IFERROR(__xludf.DUMMYFUNCTION("""COMPUTED_VALUE"""),"Male")</f>
        <v>Male</v>
      </c>
      <c r="D168" s="5" t="str">
        <f ca="1">IFERROR(__xludf.DUMMYFUNCTION("""COMPUTED_VALUE"""),"Nonstudent Using Athletic Facilities/Attending Game")</f>
        <v>Nonstudent Using Athletic Facilities/Attending Game</v>
      </c>
      <c r="E168" s="5">
        <f ca="1">IFERROR(__xludf.DUMMYFUNCTION("""COMPUTED_VALUE"""),21)</f>
        <v>21</v>
      </c>
      <c r="F168" s="5"/>
    </row>
    <row r="169" spans="1:6" ht="13">
      <c r="A169" s="5" t="str">
        <f ca="1">IFERROR(__xludf.DUMMYFUNCTION("""COMPUTED_VALUE"""),"20220917GAJOA")</f>
        <v>20220917GAJOA</v>
      </c>
      <c r="B169" s="5" t="str">
        <f ca="1">IFERROR(__xludf.DUMMYFUNCTION("""COMPUTED_VALUE"""),"Wounded")</f>
        <v>Wounded</v>
      </c>
      <c r="C169" s="5" t="str">
        <f ca="1">IFERROR(__xludf.DUMMYFUNCTION("""COMPUTED_VALUE"""),"Male")</f>
        <v>Male</v>
      </c>
      <c r="D169" s="5" t="str">
        <f ca="1">IFERROR(__xludf.DUMMYFUNCTION("""COMPUTED_VALUE"""),"Nonstudent Using Athletic Facilities/Attending Game")</f>
        <v>Nonstudent Using Athletic Facilities/Attending Game</v>
      </c>
      <c r="E169" s="5"/>
      <c r="F169" s="5"/>
    </row>
    <row r="170" spans="1:6" ht="13">
      <c r="A170" s="5" t="str">
        <f ca="1">IFERROR(__xludf.DUMMYFUNCTION("""COMPUTED_VALUE"""),"20220917GAJOA")</f>
        <v>20220917GAJOA</v>
      </c>
      <c r="B170" s="5" t="str">
        <f ca="1">IFERROR(__xludf.DUMMYFUNCTION("""COMPUTED_VALUE"""),"Wounded")</f>
        <v>Wounded</v>
      </c>
      <c r="C170" s="5"/>
      <c r="D170" s="5" t="str">
        <f ca="1">IFERROR(__xludf.DUMMYFUNCTION("""COMPUTED_VALUE"""),"Nonstudent Using Athletic Facilities/Attending Game")</f>
        <v>Nonstudent Using Athletic Facilities/Attending Game</v>
      </c>
      <c r="E170" s="5"/>
      <c r="F170" s="5"/>
    </row>
    <row r="171" spans="1:6" ht="13">
      <c r="A171" s="5" t="str">
        <f ca="1">IFERROR(__xludf.DUMMYFUNCTION("""COMPUTED_VALUE"""),"20220916NYPSN")</f>
        <v>20220916NYPSN</v>
      </c>
      <c r="B171" s="5" t="str">
        <f ca="1">IFERROR(__xludf.DUMMYFUNCTION("""COMPUTED_VALUE"""),"Minor Injuries")</f>
        <v>Minor Injuries</v>
      </c>
      <c r="C171" s="5"/>
      <c r="D171" s="5" t="str">
        <f ca="1">IFERROR(__xludf.DUMMYFUNCTION("""COMPUTED_VALUE"""),"Student")</f>
        <v>Student</v>
      </c>
      <c r="E171" s="5" t="str">
        <f ca="1">IFERROR(__xludf.DUMMYFUNCTION("""COMPUTED_VALUE"""),"Child")</f>
        <v>Child</v>
      </c>
      <c r="F171" s="5"/>
    </row>
    <row r="172" spans="1:6" ht="13">
      <c r="A172" s="5" t="str">
        <f ca="1">IFERROR(__xludf.DUMMYFUNCTION("""COMPUTED_VALUE"""),"20220916NYPSN")</f>
        <v>20220916NYPSN</v>
      </c>
      <c r="B172" s="5" t="str">
        <f ca="1">IFERROR(__xludf.DUMMYFUNCTION("""COMPUTED_VALUE"""),"Minor Injuries")</f>
        <v>Minor Injuries</v>
      </c>
      <c r="C172" s="5"/>
      <c r="D172" s="5" t="str">
        <f ca="1">IFERROR(__xludf.DUMMYFUNCTION("""COMPUTED_VALUE"""),"Student")</f>
        <v>Student</v>
      </c>
      <c r="E172" s="5" t="str">
        <f ca="1">IFERROR(__xludf.DUMMYFUNCTION("""COMPUTED_VALUE"""),"Child")</f>
        <v>Child</v>
      </c>
      <c r="F172" s="5"/>
    </row>
    <row r="173" spans="1:6" ht="13">
      <c r="A173" s="5" t="str">
        <f ca="1">IFERROR(__xludf.DUMMYFUNCTION("""COMPUTED_VALUE"""),"20220916NYPSN")</f>
        <v>20220916NYPSN</v>
      </c>
      <c r="B173" s="5" t="str">
        <f ca="1">IFERROR(__xludf.DUMMYFUNCTION("""COMPUTED_VALUE"""),"Minor Injuries")</f>
        <v>Minor Injuries</v>
      </c>
      <c r="C173" s="5"/>
      <c r="D173" s="5" t="str">
        <f ca="1">IFERROR(__xludf.DUMMYFUNCTION("""COMPUTED_VALUE"""),"Student")</f>
        <v>Student</v>
      </c>
      <c r="E173" s="5" t="str">
        <f ca="1">IFERROR(__xludf.DUMMYFUNCTION("""COMPUTED_VALUE"""),"Child")</f>
        <v>Child</v>
      </c>
      <c r="F173" s="5"/>
    </row>
    <row r="174" spans="1:6" ht="13">
      <c r="A174" s="5" t="str">
        <f ca="1">IFERROR(__xludf.DUMMYFUNCTION("""COMPUTED_VALUE"""),"20220916NYPSN")</f>
        <v>20220916NYPSN</v>
      </c>
      <c r="B174" s="5" t="str">
        <f ca="1">IFERROR(__xludf.DUMMYFUNCTION("""COMPUTED_VALUE"""),"Minor Injuries")</f>
        <v>Minor Injuries</v>
      </c>
      <c r="C174" s="5"/>
      <c r="D174" s="5" t="str">
        <f ca="1">IFERROR(__xludf.DUMMYFUNCTION("""COMPUTED_VALUE"""),"Student")</f>
        <v>Student</v>
      </c>
      <c r="E174" s="5" t="str">
        <f ca="1">IFERROR(__xludf.DUMMYFUNCTION("""COMPUTED_VALUE"""),"Child")</f>
        <v>Child</v>
      </c>
      <c r="F174" s="5"/>
    </row>
    <row r="175" spans="1:6" ht="13">
      <c r="A175" s="5" t="str">
        <f ca="1">IFERROR(__xludf.DUMMYFUNCTION("""COMPUTED_VALUE"""),"20220916NYPSN")</f>
        <v>20220916NYPSN</v>
      </c>
      <c r="B175" s="5" t="str">
        <f ca="1">IFERROR(__xludf.DUMMYFUNCTION("""COMPUTED_VALUE"""),"Minor Injuries")</f>
        <v>Minor Injuries</v>
      </c>
      <c r="C175" s="5"/>
      <c r="D175" s="5" t="str">
        <f ca="1">IFERROR(__xludf.DUMMYFUNCTION("""COMPUTED_VALUE"""),"Student")</f>
        <v>Student</v>
      </c>
      <c r="E175" s="5" t="str">
        <f ca="1">IFERROR(__xludf.DUMMYFUNCTION("""COMPUTED_VALUE"""),"Child")</f>
        <v>Child</v>
      </c>
      <c r="F175" s="5"/>
    </row>
    <row r="176" spans="1:6" ht="13">
      <c r="A176" s="5" t="str">
        <f ca="1">IFERROR(__xludf.DUMMYFUNCTION("""COMPUTED_VALUE"""),"20220913MDOXO")</f>
        <v>20220913MDOXO</v>
      </c>
      <c r="B176" s="5" t="str">
        <f ca="1">IFERROR(__xludf.DUMMYFUNCTION("""COMPUTED_VALUE"""),"Wounded")</f>
        <v>Wounded</v>
      </c>
      <c r="C176" s="5"/>
      <c r="D176" s="5"/>
      <c r="E176" s="5"/>
      <c r="F176" s="5"/>
    </row>
    <row r="177" spans="1:6" ht="13">
      <c r="A177" s="5" t="str">
        <f ca="1">IFERROR(__xludf.DUMMYFUNCTION("""COMPUTED_VALUE"""),"20220913CAVAV")</f>
        <v>20220913CAVAV</v>
      </c>
      <c r="B177" s="5" t="str">
        <f ca="1">IFERROR(__xludf.DUMMYFUNCTION("""COMPUTED_VALUE"""),"Wounded")</f>
        <v>Wounded</v>
      </c>
      <c r="C177" s="5" t="str">
        <f ca="1">IFERROR(__xludf.DUMMYFUNCTION("""COMPUTED_VALUE"""),"Male")</f>
        <v>Male</v>
      </c>
      <c r="D177" s="5" t="str">
        <f ca="1">IFERROR(__xludf.DUMMYFUNCTION("""COMPUTED_VALUE"""),"Other Staff")</f>
        <v>Other Staff</v>
      </c>
      <c r="E177" s="5" t="str">
        <f ca="1">IFERROR(__xludf.DUMMYFUNCTION("""COMPUTED_VALUE"""),"Adult")</f>
        <v>Adult</v>
      </c>
      <c r="F177" s="5"/>
    </row>
    <row r="178" spans="1:6" ht="13">
      <c r="A178" s="5" t="str">
        <f ca="1">IFERROR(__xludf.DUMMYFUNCTION("""COMPUTED_VALUE"""),"20220909WIWIR")</f>
        <v>20220909WIWIR</v>
      </c>
      <c r="B178" s="5" t="str">
        <f ca="1">IFERROR(__xludf.DUMMYFUNCTION("""COMPUTED_VALUE"""),"Wounded")</f>
        <v>Wounded</v>
      </c>
      <c r="C178" s="5" t="str">
        <f ca="1">IFERROR(__xludf.DUMMYFUNCTION("""COMPUTED_VALUE"""),"Female")</f>
        <v>Female</v>
      </c>
      <c r="D178" s="5" t="str">
        <f ca="1">IFERROR(__xludf.DUMMYFUNCTION("""COMPUTED_VALUE"""),"Student")</f>
        <v>Student</v>
      </c>
      <c r="E178" s="5" t="str">
        <f ca="1">IFERROR(__xludf.DUMMYFUNCTION("""COMPUTED_VALUE"""),"Teen")</f>
        <v>Teen</v>
      </c>
      <c r="F178" s="5"/>
    </row>
    <row r="179" spans="1:6" ht="13">
      <c r="A179" s="5" t="str">
        <f ca="1">IFERROR(__xludf.DUMMYFUNCTION("""COMPUTED_VALUE"""),"20220907MDCAB")</f>
        <v>20220907MDCAB</v>
      </c>
      <c r="B179" s="5" t="str">
        <f ca="1">IFERROR(__xludf.DUMMYFUNCTION("""COMPUTED_VALUE"""),"Wounded")</f>
        <v>Wounded</v>
      </c>
      <c r="C179" s="5" t="str">
        <f ca="1">IFERROR(__xludf.DUMMYFUNCTION("""COMPUTED_VALUE"""),"Male")</f>
        <v>Male</v>
      </c>
      <c r="D179" s="5" t="str">
        <f ca="1">IFERROR(__xludf.DUMMYFUNCTION("""COMPUTED_VALUE"""),"Student")</f>
        <v>Student</v>
      </c>
      <c r="E179" s="5">
        <f ca="1">IFERROR(__xludf.DUMMYFUNCTION("""COMPUTED_VALUE"""),15)</f>
        <v>15</v>
      </c>
      <c r="F179" s="5"/>
    </row>
    <row r="180" spans="1:6" ht="13">
      <c r="A180" s="5" t="str">
        <f ca="1">IFERROR(__xludf.DUMMYFUNCTION("""COMPUTED_VALUE"""),"20220906IANOS")</f>
        <v>20220906IANOS</v>
      </c>
      <c r="B180" s="5" t="str">
        <f ca="1">IFERROR(__xludf.DUMMYFUNCTION("""COMPUTED_VALUE"""),"Minor Injuries")</f>
        <v>Minor Injuries</v>
      </c>
      <c r="C180" s="5"/>
      <c r="D180" s="5" t="str">
        <f ca="1">IFERROR(__xludf.DUMMYFUNCTION("""COMPUTED_VALUE"""),"Student")</f>
        <v>Student</v>
      </c>
      <c r="E180" s="5" t="str">
        <f ca="1">IFERROR(__xludf.DUMMYFUNCTION("""COMPUTED_VALUE"""),"Teen")</f>
        <v>Teen</v>
      </c>
      <c r="F180" s="5"/>
    </row>
    <row r="181" spans="1:6" ht="13">
      <c r="A181" s="5" t="str">
        <f ca="1">IFERROR(__xludf.DUMMYFUNCTION("""COMPUTED_VALUE"""),"20220906IANOS")</f>
        <v>20220906IANOS</v>
      </c>
      <c r="B181" s="5" t="str">
        <f ca="1">IFERROR(__xludf.DUMMYFUNCTION("""COMPUTED_VALUE"""),"Minor Injuries")</f>
        <v>Minor Injuries</v>
      </c>
      <c r="C181" s="5"/>
      <c r="D181" s="5" t="str">
        <f ca="1">IFERROR(__xludf.DUMMYFUNCTION("""COMPUTED_VALUE"""),"Student")</f>
        <v>Student</v>
      </c>
      <c r="E181" s="5" t="str">
        <f ca="1">IFERROR(__xludf.DUMMYFUNCTION("""COMPUTED_VALUE"""),"Teen")</f>
        <v>Teen</v>
      </c>
      <c r="F181" s="5"/>
    </row>
    <row r="182" spans="1:6" ht="13">
      <c r="A182" s="5" t="str">
        <f ca="1">IFERROR(__xludf.DUMMYFUNCTION("""COMPUTED_VALUE"""),"20220906IANOS")</f>
        <v>20220906IANOS</v>
      </c>
      <c r="B182" s="5" t="str">
        <f ca="1">IFERROR(__xludf.DUMMYFUNCTION("""COMPUTED_VALUE"""),"Minor Injuries")</f>
        <v>Minor Injuries</v>
      </c>
      <c r="C182" s="5"/>
      <c r="D182" s="5" t="str">
        <f ca="1">IFERROR(__xludf.DUMMYFUNCTION("""COMPUTED_VALUE"""),"Student")</f>
        <v>Student</v>
      </c>
      <c r="E182" s="5" t="str">
        <f ca="1">IFERROR(__xludf.DUMMYFUNCTION("""COMPUTED_VALUE"""),"Teen")</f>
        <v>Teen</v>
      </c>
      <c r="F182" s="5"/>
    </row>
    <row r="183" spans="1:6" ht="13">
      <c r="A183" s="5" t="str">
        <f ca="1">IFERROR(__xludf.DUMMYFUNCTION("""COMPUTED_VALUE"""),"20220906IANOS")</f>
        <v>20220906IANOS</v>
      </c>
      <c r="B183" s="5" t="str">
        <f ca="1">IFERROR(__xludf.DUMMYFUNCTION("""COMPUTED_VALUE"""),"Minor Injuries")</f>
        <v>Minor Injuries</v>
      </c>
      <c r="C183" s="5"/>
      <c r="D183" s="5" t="str">
        <f ca="1">IFERROR(__xludf.DUMMYFUNCTION("""COMPUTED_VALUE"""),"Student")</f>
        <v>Student</v>
      </c>
      <c r="E183" s="5" t="str">
        <f ca="1">IFERROR(__xludf.DUMMYFUNCTION("""COMPUTED_VALUE"""),"Teen")</f>
        <v>Teen</v>
      </c>
      <c r="F183" s="5"/>
    </row>
    <row r="184" spans="1:6" ht="13">
      <c r="A184" s="5" t="str">
        <f ca="1">IFERROR(__xludf.DUMMYFUNCTION("""COMPUTED_VALUE"""),"20220906IANOS")</f>
        <v>20220906IANOS</v>
      </c>
      <c r="B184" s="5" t="str">
        <f ca="1">IFERROR(__xludf.DUMMYFUNCTION("""COMPUTED_VALUE"""),"Minor Injuries")</f>
        <v>Minor Injuries</v>
      </c>
      <c r="C184" s="5"/>
      <c r="D184" s="5" t="str">
        <f ca="1">IFERROR(__xludf.DUMMYFUNCTION("""COMPUTED_VALUE"""),"Other Staff")</f>
        <v>Other Staff</v>
      </c>
      <c r="E184" s="5" t="str">
        <f ca="1">IFERROR(__xludf.DUMMYFUNCTION("""COMPUTED_VALUE"""),"Adult")</f>
        <v>Adult</v>
      </c>
      <c r="F184" s="5"/>
    </row>
    <row r="185" spans="1:6" ht="13">
      <c r="A185" s="5" t="str">
        <f ca="1">IFERROR(__xludf.DUMMYFUNCTION("""COMPUTED_VALUE"""),"20220904FLBOL")</f>
        <v>20220904FLBOL</v>
      </c>
      <c r="B185" s="5" t="str">
        <f ca="1">IFERROR(__xludf.DUMMYFUNCTION("""COMPUTED_VALUE"""),"Wounded")</f>
        <v>Wounded</v>
      </c>
      <c r="C185" s="5"/>
      <c r="D185" s="5" t="str">
        <f ca="1">IFERROR(__xludf.DUMMYFUNCTION("""COMPUTED_VALUE"""),"Nonstudent Using Athletic Facilities/Attending Game")</f>
        <v>Nonstudent Using Athletic Facilities/Attending Game</v>
      </c>
      <c r="E185" s="5">
        <f ca="1">IFERROR(__xludf.DUMMYFUNCTION("""COMPUTED_VALUE"""),18)</f>
        <v>18</v>
      </c>
      <c r="F185" s="5"/>
    </row>
    <row r="186" spans="1:6" ht="13">
      <c r="A186" s="5" t="str">
        <f ca="1">IFERROR(__xludf.DUMMYFUNCTION("""COMPUTED_VALUE"""),"20220904FLBOL")</f>
        <v>20220904FLBOL</v>
      </c>
      <c r="B186" s="5" t="str">
        <f ca="1">IFERROR(__xludf.DUMMYFUNCTION("""COMPUTED_VALUE"""),"Wounded")</f>
        <v>Wounded</v>
      </c>
      <c r="C186" s="5"/>
      <c r="D186" s="5" t="str">
        <f ca="1">IFERROR(__xludf.DUMMYFUNCTION("""COMPUTED_VALUE"""),"Nonstudent Using Athletic Facilities/Attending Game")</f>
        <v>Nonstudent Using Athletic Facilities/Attending Game</v>
      </c>
      <c r="E186" s="5" t="str">
        <f ca="1">IFERROR(__xludf.DUMMYFUNCTION("""COMPUTED_VALUE"""),"Teen")</f>
        <v>Teen</v>
      </c>
      <c r="F186" s="5"/>
    </row>
    <row r="187" spans="1:6" ht="13">
      <c r="A187" s="5" t="str">
        <f ca="1">IFERROR(__xludf.DUMMYFUNCTION("""COMPUTED_VALUE"""),"20220904FLBOL")</f>
        <v>20220904FLBOL</v>
      </c>
      <c r="B187" s="5" t="str">
        <f ca="1">IFERROR(__xludf.DUMMYFUNCTION("""COMPUTED_VALUE"""),"Wounded")</f>
        <v>Wounded</v>
      </c>
      <c r="C187" s="5"/>
      <c r="D187" s="5" t="str">
        <f ca="1">IFERROR(__xludf.DUMMYFUNCTION("""COMPUTED_VALUE"""),"Nonstudent Using Athletic Facilities/Attending Game")</f>
        <v>Nonstudent Using Athletic Facilities/Attending Game</v>
      </c>
      <c r="E187" s="5" t="str">
        <f ca="1">IFERROR(__xludf.DUMMYFUNCTION("""COMPUTED_VALUE"""),"Teen")</f>
        <v>Teen</v>
      </c>
      <c r="F187" s="5"/>
    </row>
    <row r="188" spans="1:6" ht="13">
      <c r="A188" s="5" t="str">
        <f ca="1">IFERROR(__xludf.DUMMYFUNCTION("""COMPUTED_VALUE"""),"20220904FLBOL")</f>
        <v>20220904FLBOL</v>
      </c>
      <c r="B188" s="5" t="str">
        <f ca="1">IFERROR(__xludf.DUMMYFUNCTION("""COMPUTED_VALUE"""),"Wounded")</f>
        <v>Wounded</v>
      </c>
      <c r="C188" s="5"/>
      <c r="D188" s="5" t="str">
        <f ca="1">IFERROR(__xludf.DUMMYFUNCTION("""COMPUTED_VALUE"""),"Nonstudent Using Athletic Facilities/Attending Game")</f>
        <v>Nonstudent Using Athletic Facilities/Attending Game</v>
      </c>
      <c r="E188" s="5" t="str">
        <f ca="1">IFERROR(__xludf.DUMMYFUNCTION("""COMPUTED_VALUE"""),"Teen")</f>
        <v>Teen</v>
      </c>
      <c r="F188" s="5"/>
    </row>
    <row r="189" spans="1:6" ht="13">
      <c r="A189" s="5" t="str">
        <f ca="1">IFERROR(__xludf.DUMMYFUNCTION("""COMPUTED_VALUE"""),"20220902MDMEB")</f>
        <v>20220902MDMEB</v>
      </c>
      <c r="B189" s="5" t="str">
        <f ca="1">IFERROR(__xludf.DUMMYFUNCTION("""COMPUTED_VALUE"""),"Fatal")</f>
        <v>Fatal</v>
      </c>
      <c r="C189" s="5" t="str">
        <f ca="1">IFERROR(__xludf.DUMMYFUNCTION("""COMPUTED_VALUE"""),"Male")</f>
        <v>Male</v>
      </c>
      <c r="D189" s="5" t="str">
        <f ca="1">IFERROR(__xludf.DUMMYFUNCTION("""COMPUTED_VALUE"""),"Student")</f>
        <v>Student</v>
      </c>
      <c r="E189" s="5">
        <f ca="1">IFERROR(__xludf.DUMMYFUNCTION("""COMPUTED_VALUE"""),17)</f>
        <v>17</v>
      </c>
      <c r="F189" s="5" t="str">
        <f ca="1">IFERROR(__xludf.DUMMYFUNCTION("""COMPUTED_VALUE"""),"Black")</f>
        <v>Black</v>
      </c>
    </row>
    <row r="190" spans="1:6" ht="13">
      <c r="A190" s="5" t="str">
        <f ca="1">IFERROR(__xludf.DUMMYFUNCTION("""COMPUTED_VALUE"""),"20220831DCIDW")</f>
        <v>20220831DCIDW</v>
      </c>
      <c r="B190" s="5" t="str">
        <f ca="1">IFERROR(__xludf.DUMMYFUNCTION("""COMPUTED_VALUE"""),"Wounded")</f>
        <v>Wounded</v>
      </c>
      <c r="C190" s="5" t="str">
        <f ca="1">IFERROR(__xludf.DUMMYFUNCTION("""COMPUTED_VALUE"""),"Male")</f>
        <v>Male</v>
      </c>
      <c r="D190" s="5" t="str">
        <f ca="1">IFERROR(__xludf.DUMMYFUNCTION("""COMPUTED_VALUE"""),"Student")</f>
        <v>Student</v>
      </c>
      <c r="E190" s="5" t="str">
        <f ca="1">IFERROR(__xludf.DUMMYFUNCTION("""COMPUTED_VALUE"""),"Teen")</f>
        <v>Teen</v>
      </c>
      <c r="F190" s="5"/>
    </row>
    <row r="191" spans="1:6" ht="13">
      <c r="A191" s="5" t="str">
        <f ca="1">IFERROR(__xludf.DUMMYFUNCTION("""COMPUTED_VALUE"""),"20220831DCIDW")</f>
        <v>20220831DCIDW</v>
      </c>
      <c r="B191" s="5" t="str">
        <f ca="1">IFERROR(__xludf.DUMMYFUNCTION("""COMPUTED_VALUE"""),"Wounded")</f>
        <v>Wounded</v>
      </c>
      <c r="C191" s="5" t="str">
        <f ca="1">IFERROR(__xludf.DUMMYFUNCTION("""COMPUTED_VALUE"""),"Male")</f>
        <v>Male</v>
      </c>
      <c r="D191" s="5" t="str">
        <f ca="1">IFERROR(__xludf.DUMMYFUNCTION("""COMPUTED_VALUE"""),"Student")</f>
        <v>Student</v>
      </c>
      <c r="E191" s="5" t="str">
        <f ca="1">IFERROR(__xludf.DUMMYFUNCTION("""COMPUTED_VALUE"""),"Teen")</f>
        <v>Teen</v>
      </c>
      <c r="F191" s="5"/>
    </row>
    <row r="192" spans="1:6" ht="13">
      <c r="A192" s="5" t="str">
        <f ca="1">IFERROR(__xludf.DUMMYFUNCTION("""COMPUTED_VALUE"""),"20220831PAFRP")</f>
        <v>20220831PAFRP</v>
      </c>
      <c r="B192" s="5" t="str">
        <f ca="1">IFERROR(__xludf.DUMMYFUNCTION("""COMPUTED_VALUE"""),"Wounded")</f>
        <v>Wounded</v>
      </c>
      <c r="C192" s="5" t="str">
        <f ca="1">IFERROR(__xludf.DUMMYFUNCTION("""COMPUTED_VALUE"""),"Male")</f>
        <v>Male</v>
      </c>
      <c r="D192" s="5" t="str">
        <f ca="1">IFERROR(__xludf.DUMMYFUNCTION("""COMPUTED_VALUE"""),"No Relation")</f>
        <v>No Relation</v>
      </c>
      <c r="E192" s="5">
        <f ca="1">IFERROR(__xludf.DUMMYFUNCTION("""COMPUTED_VALUE"""),20)</f>
        <v>20</v>
      </c>
      <c r="F192" s="5"/>
    </row>
    <row r="193" spans="1:6" ht="13">
      <c r="A193" s="5" t="str">
        <f ca="1">IFERROR(__xludf.DUMMYFUNCTION("""COMPUTED_VALUE"""),"20220831PAFRP")</f>
        <v>20220831PAFRP</v>
      </c>
      <c r="B193" s="5" t="str">
        <f ca="1">IFERROR(__xludf.DUMMYFUNCTION("""COMPUTED_VALUE"""),"Wounded")</f>
        <v>Wounded</v>
      </c>
      <c r="C193" s="5" t="str">
        <f ca="1">IFERROR(__xludf.DUMMYFUNCTION("""COMPUTED_VALUE"""),"Female")</f>
        <v>Female</v>
      </c>
      <c r="D193" s="5" t="str">
        <f ca="1">IFERROR(__xludf.DUMMYFUNCTION("""COMPUTED_VALUE"""),"No Relation")</f>
        <v>No Relation</v>
      </c>
      <c r="E193" s="5">
        <f ca="1">IFERROR(__xludf.DUMMYFUNCTION("""COMPUTED_VALUE"""),20)</f>
        <v>20</v>
      </c>
      <c r="F193" s="5"/>
    </row>
    <row r="194" spans="1:6" ht="13">
      <c r="A194" s="5" t="str">
        <f ca="1">IFERROR(__xludf.DUMMYFUNCTION("""COMPUTED_VALUE"""),"20220831PAFRP")</f>
        <v>20220831PAFRP</v>
      </c>
      <c r="B194" s="5" t="str">
        <f ca="1">IFERROR(__xludf.DUMMYFUNCTION("""COMPUTED_VALUE"""),"Wounded")</f>
        <v>Wounded</v>
      </c>
      <c r="C194" s="5" t="str">
        <f ca="1">IFERROR(__xludf.DUMMYFUNCTION("""COMPUTED_VALUE"""),"Male")</f>
        <v>Male</v>
      </c>
      <c r="D194" s="5" t="str">
        <f ca="1">IFERROR(__xludf.DUMMYFUNCTION("""COMPUTED_VALUE"""),"No Relation")</f>
        <v>No Relation</v>
      </c>
      <c r="E194" s="5">
        <f ca="1">IFERROR(__xludf.DUMMYFUNCTION("""COMPUTED_VALUE"""),17)</f>
        <v>17</v>
      </c>
      <c r="F194" s="5"/>
    </row>
    <row r="195" spans="1:6" ht="13">
      <c r="A195" s="5" t="str">
        <f ca="1">IFERROR(__xludf.DUMMYFUNCTION("""COMPUTED_VALUE"""),"20220829CAMAO")</f>
        <v>20220829CAMAO</v>
      </c>
      <c r="B195" s="5" t="str">
        <f ca="1">IFERROR(__xludf.DUMMYFUNCTION("""COMPUTED_VALUE"""),"Wounded")</f>
        <v>Wounded</v>
      </c>
      <c r="C195" s="5" t="str">
        <f ca="1">IFERROR(__xludf.DUMMYFUNCTION("""COMPUTED_VALUE"""),"Male")</f>
        <v>Male</v>
      </c>
      <c r="D195" s="5" t="str">
        <f ca="1">IFERROR(__xludf.DUMMYFUNCTION("""COMPUTED_VALUE"""),"Student")</f>
        <v>Student</v>
      </c>
      <c r="E195" s="5">
        <f ca="1">IFERROR(__xludf.DUMMYFUNCTION("""COMPUTED_VALUE"""),13)</f>
        <v>13</v>
      </c>
      <c r="F195" s="5"/>
    </row>
    <row r="196" spans="1:6" ht="13">
      <c r="A196" s="5" t="str">
        <f ca="1">IFERROR(__xludf.DUMMYFUNCTION("""COMPUTED_VALUE"""),"20220823OHINC")</f>
        <v>20220823OHINC</v>
      </c>
      <c r="B196" s="5" t="str">
        <f ca="1">IFERROR(__xludf.DUMMYFUNCTION("""COMPUTED_VALUE"""),"Minor Injuries")</f>
        <v>Minor Injuries</v>
      </c>
      <c r="C196" s="5"/>
      <c r="D196" s="5" t="str">
        <f ca="1">IFERROR(__xludf.DUMMYFUNCTION("""COMPUTED_VALUE"""),"Teacher")</f>
        <v>Teacher</v>
      </c>
      <c r="E196" s="5" t="str">
        <f ca="1">IFERROR(__xludf.DUMMYFUNCTION("""COMPUTED_VALUE"""),"Adult")</f>
        <v>Adult</v>
      </c>
      <c r="F196" s="5"/>
    </row>
    <row r="197" spans="1:6" ht="13">
      <c r="A197" s="5" t="str">
        <f ca="1">IFERROR(__xludf.DUMMYFUNCTION("""COMPUTED_VALUE"""),"20220823OHINC")</f>
        <v>20220823OHINC</v>
      </c>
      <c r="B197" s="5" t="str">
        <f ca="1">IFERROR(__xludf.DUMMYFUNCTION("""COMPUTED_VALUE"""),"Minor Injuries")</f>
        <v>Minor Injuries</v>
      </c>
      <c r="C197" s="5"/>
      <c r="D197" s="5" t="str">
        <f ca="1">IFERROR(__xludf.DUMMYFUNCTION("""COMPUTED_VALUE"""),"Teacher")</f>
        <v>Teacher</v>
      </c>
      <c r="E197" s="5" t="str">
        <f ca="1">IFERROR(__xludf.DUMMYFUNCTION("""COMPUTED_VALUE"""),"Adult")</f>
        <v>Adult</v>
      </c>
      <c r="F197" s="5"/>
    </row>
    <row r="198" spans="1:6" ht="13">
      <c r="A198" s="5" t="str">
        <f ca="1">IFERROR(__xludf.DUMMYFUNCTION("""COMPUTED_VALUE"""),"20220823OHINC")</f>
        <v>20220823OHINC</v>
      </c>
      <c r="B198" s="5" t="str">
        <f ca="1">IFERROR(__xludf.DUMMYFUNCTION("""COMPUTED_VALUE"""),"Minor Injuries")</f>
        <v>Minor Injuries</v>
      </c>
      <c r="C198" s="5"/>
      <c r="D198" s="5" t="str">
        <f ca="1">IFERROR(__xludf.DUMMYFUNCTION("""COMPUTED_VALUE"""),"Teacher")</f>
        <v>Teacher</v>
      </c>
      <c r="E198" s="5" t="str">
        <f ca="1">IFERROR(__xludf.DUMMYFUNCTION("""COMPUTED_VALUE"""),"Adult")</f>
        <v>Adult</v>
      </c>
      <c r="F198" s="5"/>
    </row>
    <row r="199" spans="1:6" ht="13">
      <c r="A199" s="5" t="str">
        <f ca="1">IFERROR(__xludf.DUMMYFUNCTION("""COMPUTED_VALUE"""),"20220809PACHP")</f>
        <v>20220809PACHP</v>
      </c>
      <c r="B199" s="5" t="str">
        <f ca="1">IFERROR(__xludf.DUMMYFUNCTION("""COMPUTED_VALUE"""),"Fatal")</f>
        <v>Fatal</v>
      </c>
      <c r="C199" s="5" t="str">
        <f ca="1">IFERROR(__xludf.DUMMYFUNCTION("""COMPUTED_VALUE"""),"Male")</f>
        <v>Male</v>
      </c>
      <c r="D199" s="5" t="str">
        <f ca="1">IFERROR(__xludf.DUMMYFUNCTION("""COMPUTED_VALUE"""),"No Relation")</f>
        <v>No Relation</v>
      </c>
      <c r="E199" s="5">
        <f ca="1">IFERROR(__xludf.DUMMYFUNCTION("""COMPUTED_VALUE"""),28)</f>
        <v>28</v>
      </c>
      <c r="F199" s="5"/>
    </row>
    <row r="200" spans="1:6" ht="13">
      <c r="A200" s="5" t="str">
        <f ca="1">IFERROR(__xludf.DUMMYFUNCTION("""COMPUTED_VALUE"""),"20220809PACHP")</f>
        <v>20220809PACHP</v>
      </c>
      <c r="B200" s="5" t="str">
        <f ca="1">IFERROR(__xludf.DUMMYFUNCTION("""COMPUTED_VALUE"""),"Wounded")</f>
        <v>Wounded</v>
      </c>
      <c r="C200" s="5" t="str">
        <f ca="1">IFERROR(__xludf.DUMMYFUNCTION("""COMPUTED_VALUE"""),"Male")</f>
        <v>Male</v>
      </c>
      <c r="D200" s="5" t="str">
        <f ca="1">IFERROR(__xludf.DUMMYFUNCTION("""COMPUTED_VALUE"""),"No Relation")</f>
        <v>No Relation</v>
      </c>
      <c r="E200" s="5" t="str">
        <f ca="1">IFERROR(__xludf.DUMMYFUNCTION("""COMPUTED_VALUE"""),"Adult")</f>
        <v>Adult</v>
      </c>
      <c r="F200" s="5"/>
    </row>
    <row r="201" spans="1:6" ht="13">
      <c r="A201" s="5" t="str">
        <f ca="1">IFERROR(__xludf.DUMMYFUNCTION("""COMPUTED_VALUE"""),"20220803PALEP")</f>
        <v>20220803PALEP</v>
      </c>
      <c r="B201" s="5" t="str">
        <f ca="1">IFERROR(__xludf.DUMMYFUNCTION("""COMPUTED_VALUE"""),"Fatal")</f>
        <v>Fatal</v>
      </c>
      <c r="C201" s="5" t="str">
        <f ca="1">IFERROR(__xludf.DUMMYFUNCTION("""COMPUTED_VALUE"""),"Male")</f>
        <v>Male</v>
      </c>
      <c r="D201" s="5" t="str">
        <f ca="1">IFERROR(__xludf.DUMMYFUNCTION("""COMPUTED_VALUE"""),"No Relation")</f>
        <v>No Relation</v>
      </c>
      <c r="E201" s="5">
        <f ca="1">IFERROR(__xludf.DUMMYFUNCTION("""COMPUTED_VALUE"""),26)</f>
        <v>26</v>
      </c>
      <c r="F201" s="5"/>
    </row>
    <row r="202" spans="1:6" ht="13">
      <c r="A202" s="5" t="str">
        <f ca="1">IFERROR(__xludf.DUMMYFUNCTION("""COMPUTED_VALUE"""),"20220803PALEP")</f>
        <v>20220803PALEP</v>
      </c>
      <c r="B202" s="5" t="str">
        <f ca="1">IFERROR(__xludf.DUMMYFUNCTION("""COMPUTED_VALUE"""),"Wounded")</f>
        <v>Wounded</v>
      </c>
      <c r="C202" s="5" t="str">
        <f ca="1">IFERROR(__xludf.DUMMYFUNCTION("""COMPUTED_VALUE"""),"Male")</f>
        <v>Male</v>
      </c>
      <c r="D202" s="5" t="str">
        <f ca="1">IFERROR(__xludf.DUMMYFUNCTION("""COMPUTED_VALUE"""),"No Relation")</f>
        <v>No Relation</v>
      </c>
      <c r="E202" s="5">
        <f ca="1">IFERROR(__xludf.DUMMYFUNCTION("""COMPUTED_VALUE"""),24)</f>
        <v>24</v>
      </c>
      <c r="F202" s="5"/>
    </row>
    <row r="203" spans="1:6" ht="13">
      <c r="A203" s="5" t="str">
        <f ca="1">IFERROR(__xludf.DUMMYFUNCTION("""COMPUTED_VALUE"""),"20220731CAOAO")</f>
        <v>20220731CAOAO</v>
      </c>
      <c r="B203" s="5" t="str">
        <f ca="1">IFERROR(__xludf.DUMMYFUNCTION("""COMPUTED_VALUE"""),"Wounded")</f>
        <v>Wounded</v>
      </c>
      <c r="C203" s="5" t="str">
        <f ca="1">IFERROR(__xludf.DUMMYFUNCTION("""COMPUTED_VALUE"""),"Female")</f>
        <v>Female</v>
      </c>
      <c r="D203" s="5" t="str">
        <f ca="1">IFERROR(__xludf.DUMMYFUNCTION("""COMPUTED_VALUE"""),"Nonstudent Using Athletic Facilities/Attending Game")</f>
        <v>Nonstudent Using Athletic Facilities/Attending Game</v>
      </c>
      <c r="E203" s="5">
        <f ca="1">IFERROR(__xludf.DUMMYFUNCTION("""COMPUTED_VALUE"""),6)</f>
        <v>6</v>
      </c>
      <c r="F203" s="5"/>
    </row>
    <row r="204" spans="1:6" ht="13">
      <c r="A204" s="5" t="str">
        <f ca="1">IFERROR(__xludf.DUMMYFUNCTION("""COMPUTED_VALUE"""),"20220731CAOAO")</f>
        <v>20220731CAOAO</v>
      </c>
      <c r="B204" s="5" t="str">
        <f ca="1">IFERROR(__xludf.DUMMYFUNCTION("""COMPUTED_VALUE"""),"Wounded")</f>
        <v>Wounded</v>
      </c>
      <c r="C204" s="5" t="str">
        <f ca="1">IFERROR(__xludf.DUMMYFUNCTION("""COMPUTED_VALUE"""),"Female")</f>
        <v>Female</v>
      </c>
      <c r="D204" s="5" t="str">
        <f ca="1">IFERROR(__xludf.DUMMYFUNCTION("""COMPUTED_VALUE"""),"Nonstudent Using Athletic Facilities/Attending Game")</f>
        <v>Nonstudent Using Athletic Facilities/Attending Game</v>
      </c>
      <c r="E204" s="5" t="str">
        <f ca="1">IFERROR(__xludf.DUMMYFUNCTION("""COMPUTED_VALUE"""),"Adult")</f>
        <v>Adult</v>
      </c>
      <c r="F204" s="5"/>
    </row>
    <row r="205" spans="1:6" ht="13">
      <c r="A205" s="5" t="str">
        <f ca="1">IFERROR(__xludf.DUMMYFUNCTION("""COMPUTED_VALUE"""),"20220731CAOAO")</f>
        <v>20220731CAOAO</v>
      </c>
      <c r="B205" s="5" t="str">
        <f ca="1">IFERROR(__xludf.DUMMYFUNCTION("""COMPUTED_VALUE"""),"Wounded")</f>
        <v>Wounded</v>
      </c>
      <c r="C205" s="5" t="str">
        <f ca="1">IFERROR(__xludf.DUMMYFUNCTION("""COMPUTED_VALUE"""),"Male")</f>
        <v>Male</v>
      </c>
      <c r="D205" s="5" t="str">
        <f ca="1">IFERROR(__xludf.DUMMYFUNCTION("""COMPUTED_VALUE"""),"Nonstudent Using Athletic Facilities/Attending Game")</f>
        <v>Nonstudent Using Athletic Facilities/Attending Game</v>
      </c>
      <c r="E205" s="5" t="str">
        <f ca="1">IFERROR(__xludf.DUMMYFUNCTION("""COMPUTED_VALUE"""),"Adult")</f>
        <v>Adult</v>
      </c>
      <c r="F205" s="5"/>
    </row>
    <row r="206" spans="1:6" ht="13">
      <c r="A206" s="5" t="str">
        <f ca="1">IFERROR(__xludf.DUMMYFUNCTION("""COMPUTED_VALUE"""),"20220725NYBRB")</f>
        <v>20220725NYBRB</v>
      </c>
      <c r="B206" s="5" t="str">
        <f ca="1">IFERROR(__xludf.DUMMYFUNCTION("""COMPUTED_VALUE"""),"Wounded")</f>
        <v>Wounded</v>
      </c>
      <c r="C206" s="5" t="str">
        <f ca="1">IFERROR(__xludf.DUMMYFUNCTION("""COMPUTED_VALUE"""),"Female")</f>
        <v>Female</v>
      </c>
      <c r="D206" s="5" t="str">
        <f ca="1">IFERROR(__xludf.DUMMYFUNCTION("""COMPUTED_VALUE"""),"Nonstudent Using Athletic Facilities/Attending Game")</f>
        <v>Nonstudent Using Athletic Facilities/Attending Game</v>
      </c>
      <c r="E206" s="5">
        <f ca="1">IFERROR(__xludf.DUMMYFUNCTION("""COMPUTED_VALUE"""),12)</f>
        <v>12</v>
      </c>
      <c r="F206" s="5"/>
    </row>
    <row r="207" spans="1:6" ht="13">
      <c r="A207" s="5" t="str">
        <f ca="1">IFERROR(__xludf.DUMMYFUNCTION("""COMPUTED_VALUE"""),"20220725NYBRB")</f>
        <v>20220725NYBRB</v>
      </c>
      <c r="B207" s="5" t="str">
        <f ca="1">IFERROR(__xludf.DUMMYFUNCTION("""COMPUTED_VALUE"""),"Wounded")</f>
        <v>Wounded</v>
      </c>
      <c r="C207" s="5" t="str">
        <f ca="1">IFERROR(__xludf.DUMMYFUNCTION("""COMPUTED_VALUE"""),"Male")</f>
        <v>Male</v>
      </c>
      <c r="D207" s="5" t="str">
        <f ca="1">IFERROR(__xludf.DUMMYFUNCTION("""COMPUTED_VALUE"""),"Nonstudent Using Athletic Facilities/Attending Game")</f>
        <v>Nonstudent Using Athletic Facilities/Attending Game</v>
      </c>
      <c r="E207" s="5">
        <f ca="1">IFERROR(__xludf.DUMMYFUNCTION("""COMPUTED_VALUE"""),16)</f>
        <v>16</v>
      </c>
      <c r="F207" s="5"/>
    </row>
    <row r="208" spans="1:6" ht="13">
      <c r="A208" s="5" t="str">
        <f ca="1">IFERROR(__xludf.DUMMYFUNCTION("""COMPUTED_VALUE"""),"20220716GAAPF")</f>
        <v>20220716GAAPF</v>
      </c>
      <c r="B208" s="5" t="str">
        <f ca="1">IFERROR(__xludf.DUMMYFUNCTION("""COMPUTED_VALUE"""),"Wounded")</f>
        <v>Wounded</v>
      </c>
      <c r="C208" s="5" t="str">
        <f ca="1">IFERROR(__xludf.DUMMYFUNCTION("""COMPUTED_VALUE"""),"Male")</f>
        <v>Male</v>
      </c>
      <c r="D208" s="5" t="str">
        <f ca="1">IFERROR(__xludf.DUMMYFUNCTION("""COMPUTED_VALUE"""),"No Relation")</f>
        <v>No Relation</v>
      </c>
      <c r="E208" s="5">
        <f ca="1">IFERROR(__xludf.DUMMYFUNCTION("""COMPUTED_VALUE"""),19)</f>
        <v>19</v>
      </c>
      <c r="F208" s="5"/>
    </row>
    <row r="209" spans="1:6" ht="13">
      <c r="A209" s="5" t="str">
        <f ca="1">IFERROR(__xludf.DUMMYFUNCTION("""COMPUTED_VALUE"""),"20220629CABUA")</f>
        <v>20220629CABUA</v>
      </c>
      <c r="B209" s="5" t="str">
        <f ca="1">IFERROR(__xludf.DUMMYFUNCTION("""COMPUTED_VALUE"""),"Fatal")</f>
        <v>Fatal</v>
      </c>
      <c r="C209" s="5" t="str">
        <f ca="1">IFERROR(__xludf.DUMMYFUNCTION("""COMPUTED_VALUE"""),"Male")</f>
        <v>Male</v>
      </c>
      <c r="D209" s="5" t="str">
        <f ca="1">IFERROR(__xludf.DUMMYFUNCTION("""COMPUTED_VALUE"""),"No Relation")</f>
        <v>No Relation</v>
      </c>
      <c r="E209" s="5" t="str">
        <f ca="1">IFERROR(__xludf.DUMMYFUNCTION("""COMPUTED_VALUE"""),"Adult")</f>
        <v>Adult</v>
      </c>
      <c r="F209" s="5"/>
    </row>
    <row r="210" spans="1:6" ht="13">
      <c r="A210" s="5" t="str">
        <f ca="1">IFERROR(__xludf.DUMMYFUNCTION("""COMPUTED_VALUE"""),"20220620ILGRC")</f>
        <v>20220620ILGRC</v>
      </c>
      <c r="B210" s="5" t="str">
        <f ca="1">IFERROR(__xludf.DUMMYFUNCTION("""COMPUTED_VALUE"""),"Wounded")</f>
        <v>Wounded</v>
      </c>
      <c r="C210" s="5" t="str">
        <f ca="1">IFERROR(__xludf.DUMMYFUNCTION("""COMPUTED_VALUE"""),"Female")</f>
        <v>Female</v>
      </c>
      <c r="D210" s="5" t="str">
        <f ca="1">IFERROR(__xludf.DUMMYFUNCTION("""COMPUTED_VALUE"""),"No Relation")</f>
        <v>No Relation</v>
      </c>
      <c r="E210" s="5">
        <f ca="1">IFERROR(__xludf.DUMMYFUNCTION("""COMPUTED_VALUE"""),34)</f>
        <v>34</v>
      </c>
      <c r="F210" s="5"/>
    </row>
    <row r="211" spans="1:6" ht="13">
      <c r="A211" s="5" t="str">
        <f ca="1">IFERROR(__xludf.DUMMYFUNCTION("""COMPUTED_VALUE"""),"20220620ILGRC")</f>
        <v>20220620ILGRC</v>
      </c>
      <c r="B211" s="5" t="str">
        <f ca="1">IFERROR(__xludf.DUMMYFUNCTION("""COMPUTED_VALUE"""),"Wounded")</f>
        <v>Wounded</v>
      </c>
      <c r="C211" s="5" t="str">
        <f ca="1">IFERROR(__xludf.DUMMYFUNCTION("""COMPUTED_VALUE"""),"Male")</f>
        <v>Male</v>
      </c>
      <c r="D211" s="5" t="str">
        <f ca="1">IFERROR(__xludf.DUMMYFUNCTION("""COMPUTED_VALUE"""),"No Relation")</f>
        <v>No Relation</v>
      </c>
      <c r="E211" s="5">
        <f ca="1">IFERROR(__xludf.DUMMYFUNCTION("""COMPUTED_VALUE"""),16)</f>
        <v>16</v>
      </c>
      <c r="F211" s="5"/>
    </row>
    <row r="212" spans="1:6" ht="13">
      <c r="A212" s="5" t="str">
        <f ca="1">IFERROR(__xludf.DUMMYFUNCTION("""COMPUTED_VALUE"""),"20220620ILGRC")</f>
        <v>20220620ILGRC</v>
      </c>
      <c r="B212" s="5" t="str">
        <f ca="1">IFERROR(__xludf.DUMMYFUNCTION("""COMPUTED_VALUE"""),"Wounded")</f>
        <v>Wounded</v>
      </c>
      <c r="C212" s="5" t="str">
        <f ca="1">IFERROR(__xludf.DUMMYFUNCTION("""COMPUTED_VALUE"""),"Female")</f>
        <v>Female</v>
      </c>
      <c r="D212" s="5" t="str">
        <f ca="1">IFERROR(__xludf.DUMMYFUNCTION("""COMPUTED_VALUE"""),"No Relation")</f>
        <v>No Relation</v>
      </c>
      <c r="E212" s="5">
        <f ca="1">IFERROR(__xludf.DUMMYFUNCTION("""COMPUTED_VALUE"""),17)</f>
        <v>17</v>
      </c>
      <c r="F212" s="5"/>
    </row>
    <row r="213" spans="1:6" ht="13">
      <c r="A213" s="5" t="str">
        <f ca="1">IFERROR(__xludf.DUMMYFUNCTION("""COMPUTED_VALUE"""),"20220609ALWAG")</f>
        <v>20220609ALWAG</v>
      </c>
      <c r="B213" s="5" t="str">
        <f ca="1">IFERROR(__xludf.DUMMYFUNCTION("""COMPUTED_VALUE"""),"Fatal")</f>
        <v>Fatal</v>
      </c>
      <c r="C213" s="5" t="str">
        <f ca="1">IFERROR(__xludf.DUMMYFUNCTION("""COMPUTED_VALUE"""),"Male")</f>
        <v>Male</v>
      </c>
      <c r="D213" s="5" t="str">
        <f ca="1">IFERROR(__xludf.DUMMYFUNCTION("""COMPUTED_VALUE"""),"No Relation")</f>
        <v>No Relation</v>
      </c>
      <c r="E213" s="5">
        <f ca="1">IFERROR(__xludf.DUMMYFUNCTION("""COMPUTED_VALUE"""),32)</f>
        <v>32</v>
      </c>
      <c r="F213" s="5" t="str">
        <f ca="1">IFERROR(__xludf.DUMMYFUNCTION("""COMPUTED_VALUE"""),"Black")</f>
        <v>Black</v>
      </c>
    </row>
    <row r="214" spans="1:6" ht="13">
      <c r="A214" s="5" t="str">
        <f ca="1">IFERROR(__xludf.DUMMYFUNCTION("""COMPUTED_VALUE"""),"20220605INWEG")</f>
        <v>20220605INWEG</v>
      </c>
      <c r="B214" s="5" t="str">
        <f ca="1">IFERROR(__xludf.DUMMYFUNCTION("""COMPUTED_VALUE"""),"Wounded")</f>
        <v>Wounded</v>
      </c>
      <c r="C214" s="5" t="str">
        <f ca="1">IFERROR(__xludf.DUMMYFUNCTION("""COMPUTED_VALUE"""),"Male")</f>
        <v>Male</v>
      </c>
      <c r="D214" s="5"/>
      <c r="E214" s="5">
        <f ca="1">IFERROR(__xludf.DUMMYFUNCTION("""COMPUTED_VALUE"""),19)</f>
        <v>19</v>
      </c>
      <c r="F214" s="5"/>
    </row>
    <row r="215" spans="1:6" ht="13">
      <c r="A215" s="5" t="str">
        <f ca="1">IFERROR(__xludf.DUMMYFUNCTION("""COMPUTED_VALUE"""),"20220605INWEG")</f>
        <v>20220605INWEG</v>
      </c>
      <c r="B215" s="5" t="str">
        <f ca="1">IFERROR(__xludf.DUMMYFUNCTION("""COMPUTED_VALUE"""),"Wounded")</f>
        <v>Wounded</v>
      </c>
      <c r="C215" s="5" t="str">
        <f ca="1">IFERROR(__xludf.DUMMYFUNCTION("""COMPUTED_VALUE"""),"Female")</f>
        <v>Female</v>
      </c>
      <c r="D215" s="5"/>
      <c r="E215" s="5">
        <f ca="1">IFERROR(__xludf.DUMMYFUNCTION("""COMPUTED_VALUE"""),19)</f>
        <v>19</v>
      </c>
      <c r="F215" s="5"/>
    </row>
    <row r="216" spans="1:6" ht="13">
      <c r="A216" s="5" t="str">
        <f ca="1">IFERROR(__xludf.DUMMYFUNCTION("""COMPUTED_VALUE"""),"20220601CAULL")</f>
        <v>20220601CAULL</v>
      </c>
      <c r="B216" s="5" t="str">
        <f ca="1">IFERROR(__xludf.DUMMYFUNCTION("""COMPUTED_VALUE"""),"Wounded")</f>
        <v>Wounded</v>
      </c>
      <c r="C216" s="5" t="str">
        <f ca="1">IFERROR(__xludf.DUMMYFUNCTION("""COMPUTED_VALUE"""),"Male")</f>
        <v>Male</v>
      </c>
      <c r="D216" s="5" t="str">
        <f ca="1">IFERROR(__xludf.DUMMYFUNCTION("""COMPUTED_VALUE"""),"Student")</f>
        <v>Student</v>
      </c>
      <c r="E216" s="5">
        <f ca="1">IFERROR(__xludf.DUMMYFUNCTION("""COMPUTED_VALUE"""),16)</f>
        <v>16</v>
      </c>
      <c r="F216" s="5"/>
    </row>
    <row r="217" spans="1:6" ht="13">
      <c r="A217" s="5" t="str">
        <f ca="1">IFERROR(__xludf.DUMMYFUNCTION("""COMPUTED_VALUE"""),"20220531LAMON")</f>
        <v>20220531LAMON</v>
      </c>
      <c r="B217" s="5" t="str">
        <f ca="1">IFERROR(__xludf.DUMMYFUNCTION("""COMPUTED_VALUE"""),"Wounded")</f>
        <v>Wounded</v>
      </c>
      <c r="C217" s="5" t="str">
        <f ca="1">IFERROR(__xludf.DUMMYFUNCTION("""COMPUTED_VALUE"""),"Male")</f>
        <v>Male</v>
      </c>
      <c r="D217" s="5" t="str">
        <f ca="1">IFERROR(__xludf.DUMMYFUNCTION("""COMPUTED_VALUE"""),"Relative")</f>
        <v>Relative</v>
      </c>
      <c r="E217" s="5" t="str">
        <f ca="1">IFERROR(__xludf.DUMMYFUNCTION("""COMPUTED_VALUE"""),"Adult")</f>
        <v>Adult</v>
      </c>
      <c r="F217" s="5"/>
    </row>
    <row r="218" spans="1:6" ht="13">
      <c r="A218" s="5" t="str">
        <f ca="1">IFERROR(__xludf.DUMMYFUNCTION("""COMPUTED_VALUE"""),"20220531LAMON")</f>
        <v>20220531LAMON</v>
      </c>
      <c r="B218" s="5" t="str">
        <f ca="1">IFERROR(__xludf.DUMMYFUNCTION("""COMPUTED_VALUE"""),"Wounded")</f>
        <v>Wounded</v>
      </c>
      <c r="C218" s="5" t="str">
        <f ca="1">IFERROR(__xludf.DUMMYFUNCTION("""COMPUTED_VALUE"""),"Male")</f>
        <v>Male</v>
      </c>
      <c r="D218" s="5" t="str">
        <f ca="1">IFERROR(__xludf.DUMMYFUNCTION("""COMPUTED_VALUE"""),"Relative")</f>
        <v>Relative</v>
      </c>
      <c r="E218" s="5" t="str">
        <f ca="1">IFERROR(__xludf.DUMMYFUNCTION("""COMPUTED_VALUE"""),"Adult")</f>
        <v>Adult</v>
      </c>
      <c r="F218" s="5"/>
    </row>
    <row r="219" spans="1:6" ht="13">
      <c r="A219" s="5" t="str">
        <f ca="1">IFERROR(__xludf.DUMMYFUNCTION("""COMPUTED_VALUE"""),"20220531LAMON")</f>
        <v>20220531LAMON</v>
      </c>
      <c r="B219" s="5" t="str">
        <f ca="1">IFERROR(__xludf.DUMMYFUNCTION("""COMPUTED_VALUE"""),"Fatal")</f>
        <v>Fatal</v>
      </c>
      <c r="C219" s="5" t="str">
        <f ca="1">IFERROR(__xludf.DUMMYFUNCTION("""COMPUTED_VALUE"""),"Female")</f>
        <v>Female</v>
      </c>
      <c r="D219" s="5" t="str">
        <f ca="1">IFERROR(__xludf.DUMMYFUNCTION("""COMPUTED_VALUE"""),"Relative")</f>
        <v>Relative</v>
      </c>
      <c r="E219" s="5">
        <f ca="1">IFERROR(__xludf.DUMMYFUNCTION("""COMPUTED_VALUE"""),80)</f>
        <v>80</v>
      </c>
      <c r="F219" s="5" t="str">
        <f ca="1">IFERROR(__xludf.DUMMYFUNCTION("""COMPUTED_VALUE"""),"Black")</f>
        <v>Black</v>
      </c>
    </row>
    <row r="220" spans="1:6" ht="13">
      <c r="A220" s="5" t="str">
        <f ca="1">IFERROR(__xludf.DUMMYFUNCTION("""COMPUTED_VALUE"""),"20220530CAHEL")</f>
        <v>20220530CAHEL</v>
      </c>
      <c r="B220" s="5" t="str">
        <f ca="1">IFERROR(__xludf.DUMMYFUNCTION("""COMPUTED_VALUE"""),"Wounded")</f>
        <v>Wounded</v>
      </c>
      <c r="C220" s="5" t="str">
        <f ca="1">IFERROR(__xludf.DUMMYFUNCTION("""COMPUTED_VALUE"""),"Male")</f>
        <v>Male</v>
      </c>
      <c r="D220" s="5" t="str">
        <f ca="1">IFERROR(__xludf.DUMMYFUNCTION("""COMPUTED_VALUE"""),"No Relation")</f>
        <v>No Relation</v>
      </c>
      <c r="E220" s="5">
        <f ca="1">IFERROR(__xludf.DUMMYFUNCTION("""COMPUTED_VALUE"""),20)</f>
        <v>20</v>
      </c>
      <c r="F220" s="5"/>
    </row>
    <row r="221" spans="1:6" ht="13">
      <c r="A221" s="5" t="str">
        <f ca="1">IFERROR(__xludf.DUMMYFUNCTION("""COMPUTED_VALUE"""),"20220529ILDAC")</f>
        <v>20220529ILDAC</v>
      </c>
      <c r="B221" s="5" t="str">
        <f ca="1">IFERROR(__xludf.DUMMYFUNCTION("""COMPUTED_VALUE"""),"Wounded")</f>
        <v>Wounded</v>
      </c>
      <c r="C221" s="5" t="str">
        <f ca="1">IFERROR(__xludf.DUMMYFUNCTION("""COMPUTED_VALUE"""),"Male")</f>
        <v>Male</v>
      </c>
      <c r="D221" s="5"/>
      <c r="E221" s="5">
        <f ca="1">IFERROR(__xludf.DUMMYFUNCTION("""COMPUTED_VALUE"""),21)</f>
        <v>21</v>
      </c>
      <c r="F221" s="5"/>
    </row>
    <row r="222" spans="1:6" ht="13">
      <c r="A222" s="5" t="str">
        <f ca="1">IFERROR(__xludf.DUMMYFUNCTION("""COMPUTED_VALUE"""),"20220529ILDAC")</f>
        <v>20220529ILDAC</v>
      </c>
      <c r="B222" s="5" t="str">
        <f ca="1">IFERROR(__xludf.DUMMYFUNCTION("""COMPUTED_VALUE"""),"Wounded")</f>
        <v>Wounded</v>
      </c>
      <c r="C222" s="5" t="str">
        <f ca="1">IFERROR(__xludf.DUMMYFUNCTION("""COMPUTED_VALUE"""),"Male")</f>
        <v>Male</v>
      </c>
      <c r="D222" s="5"/>
      <c r="E222" s="5">
        <f ca="1">IFERROR(__xludf.DUMMYFUNCTION("""COMPUTED_VALUE"""),21)</f>
        <v>21</v>
      </c>
      <c r="F222" s="5"/>
    </row>
    <row r="223" spans="1:6" ht="13">
      <c r="A223" s="5" t="str">
        <f ca="1">IFERROR(__xludf.DUMMYFUNCTION("""COMPUTED_VALUE"""),"20220529ILDAC")</f>
        <v>20220529ILDAC</v>
      </c>
      <c r="B223" s="5" t="str">
        <f ca="1">IFERROR(__xludf.DUMMYFUNCTION("""COMPUTED_VALUE"""),"Wounded")</f>
        <v>Wounded</v>
      </c>
      <c r="C223" s="5" t="str">
        <f ca="1">IFERROR(__xludf.DUMMYFUNCTION("""COMPUTED_VALUE"""),"Female")</f>
        <v>Female</v>
      </c>
      <c r="D223" s="5"/>
      <c r="E223" s="5">
        <f ca="1">IFERROR(__xludf.DUMMYFUNCTION("""COMPUTED_VALUE"""),21)</f>
        <v>21</v>
      </c>
      <c r="F223" s="5"/>
    </row>
    <row r="224" spans="1:6" ht="13">
      <c r="A224" s="5" t="str">
        <f ca="1">IFERROR(__xludf.DUMMYFUNCTION("""COMPUTED_VALUE"""),"20220529ILDAC")</f>
        <v>20220529ILDAC</v>
      </c>
      <c r="B224" s="5" t="str">
        <f ca="1">IFERROR(__xludf.DUMMYFUNCTION("""COMPUTED_VALUE"""),"Wounded")</f>
        <v>Wounded</v>
      </c>
      <c r="C224" s="5" t="str">
        <f ca="1">IFERROR(__xludf.DUMMYFUNCTION("""COMPUTED_VALUE"""),"Female")</f>
        <v>Female</v>
      </c>
      <c r="D224" s="5"/>
      <c r="E224" s="5">
        <f ca="1">IFERROR(__xludf.DUMMYFUNCTION("""COMPUTED_VALUE"""),16)</f>
        <v>16</v>
      </c>
      <c r="F224" s="5"/>
    </row>
    <row r="225" spans="1:6" ht="13">
      <c r="A225" s="5" t="str">
        <f ca="1">IFERROR(__xludf.DUMMYFUNCTION("""COMPUTED_VALUE"""),"20220529ILDAC")</f>
        <v>20220529ILDAC</v>
      </c>
      <c r="B225" s="5" t="str">
        <f ca="1">IFERROR(__xludf.DUMMYFUNCTION("""COMPUTED_VALUE"""),"Wounded")</f>
        <v>Wounded</v>
      </c>
      <c r="C225" s="5" t="str">
        <f ca="1">IFERROR(__xludf.DUMMYFUNCTION("""COMPUTED_VALUE"""),"Male")</f>
        <v>Male</v>
      </c>
      <c r="D225" s="5"/>
      <c r="E225" s="5">
        <f ca="1">IFERROR(__xludf.DUMMYFUNCTION("""COMPUTED_VALUE"""),33)</f>
        <v>33</v>
      </c>
      <c r="F225" s="5"/>
    </row>
    <row r="226" spans="1:6" ht="13">
      <c r="A226" s="5" t="str">
        <f ca="1">IFERROR(__xludf.DUMMYFUNCTION("""COMPUTED_VALUE"""),"20220526SCMEG")</f>
        <v>20220526SCMEG</v>
      </c>
      <c r="B226" s="5" t="str">
        <f ca="1">IFERROR(__xludf.DUMMYFUNCTION("""COMPUTED_VALUE"""),"Fatal")</f>
        <v>Fatal</v>
      </c>
      <c r="C226" s="5" t="str">
        <f ca="1">IFERROR(__xludf.DUMMYFUNCTION("""COMPUTED_VALUE"""),"Male")</f>
        <v>Male</v>
      </c>
      <c r="D226" s="5" t="str">
        <f ca="1">IFERROR(__xludf.DUMMYFUNCTION("""COMPUTED_VALUE"""),"No Relation")</f>
        <v>No Relation</v>
      </c>
      <c r="E226" s="5">
        <f ca="1">IFERROR(__xludf.DUMMYFUNCTION("""COMPUTED_VALUE"""),31)</f>
        <v>31</v>
      </c>
      <c r="F226" s="5"/>
    </row>
    <row r="227" spans="1:6" ht="13">
      <c r="A227" s="5" t="str">
        <f ca="1">IFERROR(__xludf.DUMMYFUNCTION("""COMPUTED_VALUE"""),"20220524TXROU")</f>
        <v>20220524TXROU</v>
      </c>
      <c r="B227" s="5" t="str">
        <f ca="1">IFERROR(__xludf.DUMMYFUNCTION("""COMPUTED_VALUE"""),"Wounded")</f>
        <v>Wounded</v>
      </c>
      <c r="C227" s="5"/>
      <c r="D227" s="5"/>
      <c r="E227" s="5"/>
      <c r="F227" s="5"/>
    </row>
    <row r="228" spans="1:6" ht="13">
      <c r="A228" s="5" t="str">
        <f ca="1">IFERROR(__xludf.DUMMYFUNCTION("""COMPUTED_VALUE"""),"20220524TXROU")</f>
        <v>20220524TXROU</v>
      </c>
      <c r="B228" s="5" t="str">
        <f ca="1">IFERROR(__xludf.DUMMYFUNCTION("""COMPUTED_VALUE"""),"Fatal")</f>
        <v>Fatal</v>
      </c>
      <c r="C228" s="5"/>
      <c r="D228" s="5" t="str">
        <f ca="1">IFERROR(__xludf.DUMMYFUNCTION("""COMPUTED_VALUE"""),"Student")</f>
        <v>Student</v>
      </c>
      <c r="E228" s="5" t="str">
        <f ca="1">IFERROR(__xludf.DUMMYFUNCTION("""COMPUTED_VALUE"""),"Child")</f>
        <v>Child</v>
      </c>
      <c r="F228" s="5"/>
    </row>
    <row r="229" spans="1:6" ht="13">
      <c r="A229" s="5" t="str">
        <f ca="1">IFERROR(__xludf.DUMMYFUNCTION("""COMPUTED_VALUE"""),"20220524TXROU")</f>
        <v>20220524TXROU</v>
      </c>
      <c r="B229" s="5" t="str">
        <f ca="1">IFERROR(__xludf.DUMMYFUNCTION("""COMPUTED_VALUE"""),"Wounded")</f>
        <v>Wounded</v>
      </c>
      <c r="C229" s="5"/>
      <c r="D229" s="5" t="str">
        <f ca="1">IFERROR(__xludf.DUMMYFUNCTION("""COMPUTED_VALUE"""),"Student")</f>
        <v>Student</v>
      </c>
      <c r="E229" s="5" t="str">
        <f ca="1">IFERROR(__xludf.DUMMYFUNCTION("""COMPUTED_VALUE"""),"Child")</f>
        <v>Child</v>
      </c>
      <c r="F229" s="5"/>
    </row>
    <row r="230" spans="1:6" ht="13">
      <c r="A230" s="5" t="str">
        <f ca="1">IFERROR(__xludf.DUMMYFUNCTION("""COMPUTED_VALUE"""),"20220524TXROU")</f>
        <v>20220524TXROU</v>
      </c>
      <c r="B230" s="5" t="str">
        <f ca="1">IFERROR(__xludf.DUMMYFUNCTION("""COMPUTED_VALUE"""),"Fatal")</f>
        <v>Fatal</v>
      </c>
      <c r="C230" s="5"/>
      <c r="D230" s="5" t="str">
        <f ca="1">IFERROR(__xludf.DUMMYFUNCTION("""COMPUTED_VALUE"""),"Student")</f>
        <v>Student</v>
      </c>
      <c r="E230" s="5" t="str">
        <f ca="1">IFERROR(__xludf.DUMMYFUNCTION("""COMPUTED_VALUE"""),"Child")</f>
        <v>Child</v>
      </c>
      <c r="F230" s="5"/>
    </row>
    <row r="231" spans="1:6" ht="13">
      <c r="A231" s="5" t="str">
        <f ca="1">IFERROR(__xludf.DUMMYFUNCTION("""COMPUTED_VALUE"""),"20220524TXROU")</f>
        <v>20220524TXROU</v>
      </c>
      <c r="B231" s="5" t="str">
        <f ca="1">IFERROR(__xludf.DUMMYFUNCTION("""COMPUTED_VALUE"""),"Fatal")</f>
        <v>Fatal</v>
      </c>
      <c r="C231" s="5"/>
      <c r="D231" s="5" t="str">
        <f ca="1">IFERROR(__xludf.DUMMYFUNCTION("""COMPUTED_VALUE"""),"Student")</f>
        <v>Student</v>
      </c>
      <c r="E231" s="5" t="str">
        <f ca="1">IFERROR(__xludf.DUMMYFUNCTION("""COMPUTED_VALUE"""),"Child")</f>
        <v>Child</v>
      </c>
      <c r="F231" s="5"/>
    </row>
    <row r="232" spans="1:6" ht="13">
      <c r="A232" s="5" t="str">
        <f ca="1">IFERROR(__xludf.DUMMYFUNCTION("""COMPUTED_VALUE"""),"20220524TXROU")</f>
        <v>20220524TXROU</v>
      </c>
      <c r="B232" s="5" t="str">
        <f ca="1">IFERROR(__xludf.DUMMYFUNCTION("""COMPUTED_VALUE"""),"Wounded")</f>
        <v>Wounded</v>
      </c>
      <c r="C232" s="5"/>
      <c r="D232" s="5"/>
      <c r="E232" s="5"/>
      <c r="F232" s="5"/>
    </row>
    <row r="233" spans="1:6" ht="13">
      <c r="A233" s="5" t="str">
        <f ca="1">IFERROR(__xludf.DUMMYFUNCTION("""COMPUTED_VALUE"""),"20220524TXROU")</f>
        <v>20220524TXROU</v>
      </c>
      <c r="B233" s="5" t="str">
        <f ca="1">IFERROR(__xludf.DUMMYFUNCTION("""COMPUTED_VALUE"""),"Fatal")</f>
        <v>Fatal</v>
      </c>
      <c r="C233" s="5"/>
      <c r="D233" s="5" t="str">
        <f ca="1">IFERROR(__xludf.DUMMYFUNCTION("""COMPUTED_VALUE"""),"Student")</f>
        <v>Student</v>
      </c>
      <c r="E233" s="5" t="str">
        <f ca="1">IFERROR(__xludf.DUMMYFUNCTION("""COMPUTED_VALUE"""),"Child")</f>
        <v>Child</v>
      </c>
      <c r="F233" s="5"/>
    </row>
    <row r="234" spans="1:6" ht="13">
      <c r="A234" s="5" t="str">
        <f ca="1">IFERROR(__xludf.DUMMYFUNCTION("""COMPUTED_VALUE"""),"20220524TXROU")</f>
        <v>20220524TXROU</v>
      </c>
      <c r="B234" s="5" t="str">
        <f ca="1">IFERROR(__xludf.DUMMYFUNCTION("""COMPUTED_VALUE"""),"Wounded")</f>
        <v>Wounded</v>
      </c>
      <c r="C234" s="5"/>
      <c r="D234" s="5"/>
      <c r="E234" s="5"/>
      <c r="F234" s="5"/>
    </row>
    <row r="235" spans="1:6" ht="13">
      <c r="A235" s="5" t="str">
        <f ca="1">IFERROR(__xludf.DUMMYFUNCTION("""COMPUTED_VALUE"""),"20220524TXROU")</f>
        <v>20220524TXROU</v>
      </c>
      <c r="B235" s="5" t="str">
        <f ca="1">IFERROR(__xludf.DUMMYFUNCTION("""COMPUTED_VALUE"""),"Wounded")</f>
        <v>Wounded</v>
      </c>
      <c r="C235" s="5"/>
      <c r="D235" s="5" t="str">
        <f ca="1">IFERROR(__xludf.DUMMYFUNCTION("""COMPUTED_VALUE"""),"Student")</f>
        <v>Student</v>
      </c>
      <c r="E235" s="5" t="str">
        <f ca="1">IFERROR(__xludf.DUMMYFUNCTION("""COMPUTED_VALUE"""),"Child")</f>
        <v>Child</v>
      </c>
      <c r="F235" s="5"/>
    </row>
    <row r="236" spans="1:6" ht="13">
      <c r="A236" s="5" t="str">
        <f ca="1">IFERROR(__xludf.DUMMYFUNCTION("""COMPUTED_VALUE"""),"20220524TXROU")</f>
        <v>20220524TXROU</v>
      </c>
      <c r="B236" s="5" t="str">
        <f ca="1">IFERROR(__xludf.DUMMYFUNCTION("""COMPUTED_VALUE"""),"Wounded")</f>
        <v>Wounded</v>
      </c>
      <c r="C236" s="5"/>
      <c r="D236" s="5"/>
      <c r="E236" s="5"/>
      <c r="F236" s="5"/>
    </row>
    <row r="237" spans="1:6" ht="13">
      <c r="A237" s="5" t="str">
        <f ca="1">IFERROR(__xludf.DUMMYFUNCTION("""COMPUTED_VALUE"""),"20220524TXROU")</f>
        <v>20220524TXROU</v>
      </c>
      <c r="B237" s="5" t="str">
        <f ca="1">IFERROR(__xludf.DUMMYFUNCTION("""COMPUTED_VALUE"""),"Fatal")</f>
        <v>Fatal</v>
      </c>
      <c r="C237" s="5"/>
      <c r="D237" s="5" t="str">
        <f ca="1">IFERROR(__xludf.DUMMYFUNCTION("""COMPUTED_VALUE"""),"Student")</f>
        <v>Student</v>
      </c>
      <c r="E237" s="5" t="str">
        <f ca="1">IFERROR(__xludf.DUMMYFUNCTION("""COMPUTED_VALUE"""),"Child")</f>
        <v>Child</v>
      </c>
      <c r="F237" s="5"/>
    </row>
    <row r="238" spans="1:6" ht="13">
      <c r="A238" s="5" t="str">
        <f ca="1">IFERROR(__xludf.DUMMYFUNCTION("""COMPUTED_VALUE"""),"20220524TXROU")</f>
        <v>20220524TXROU</v>
      </c>
      <c r="B238" s="5" t="str">
        <f ca="1">IFERROR(__xludf.DUMMYFUNCTION("""COMPUTED_VALUE"""),"Fatal")</f>
        <v>Fatal</v>
      </c>
      <c r="C238" s="5"/>
      <c r="D238" s="5" t="str">
        <f ca="1">IFERROR(__xludf.DUMMYFUNCTION("""COMPUTED_VALUE"""),"Student")</f>
        <v>Student</v>
      </c>
      <c r="E238" s="5" t="str">
        <f ca="1">IFERROR(__xludf.DUMMYFUNCTION("""COMPUTED_VALUE"""),"Child")</f>
        <v>Child</v>
      </c>
      <c r="F238" s="5"/>
    </row>
    <row r="239" spans="1:6" ht="13">
      <c r="A239" s="5" t="str">
        <f ca="1">IFERROR(__xludf.DUMMYFUNCTION("""COMPUTED_VALUE"""),"20220524TXROU")</f>
        <v>20220524TXROU</v>
      </c>
      <c r="B239" s="5" t="str">
        <f ca="1">IFERROR(__xludf.DUMMYFUNCTION("""COMPUTED_VALUE"""),"Fatal")</f>
        <v>Fatal</v>
      </c>
      <c r="C239" s="5"/>
      <c r="D239" s="5" t="str">
        <f ca="1">IFERROR(__xludf.DUMMYFUNCTION("""COMPUTED_VALUE"""),"Student")</f>
        <v>Student</v>
      </c>
      <c r="E239" s="5" t="str">
        <f ca="1">IFERROR(__xludf.DUMMYFUNCTION("""COMPUTED_VALUE"""),"Child")</f>
        <v>Child</v>
      </c>
      <c r="F239" s="5"/>
    </row>
    <row r="240" spans="1:6" ht="13">
      <c r="A240" s="5" t="str">
        <f ca="1">IFERROR(__xludf.DUMMYFUNCTION("""COMPUTED_VALUE"""),"20220524TXROU")</f>
        <v>20220524TXROU</v>
      </c>
      <c r="B240" s="5" t="str">
        <f ca="1">IFERROR(__xludf.DUMMYFUNCTION("""COMPUTED_VALUE"""),"Wounded")</f>
        <v>Wounded</v>
      </c>
      <c r="C240" s="5"/>
      <c r="D240" s="5"/>
      <c r="E240" s="5"/>
      <c r="F240" s="5"/>
    </row>
    <row r="241" spans="1:6" ht="13">
      <c r="A241" s="5" t="str">
        <f ca="1">IFERROR(__xludf.DUMMYFUNCTION("""COMPUTED_VALUE"""),"20220524TXROU")</f>
        <v>20220524TXROU</v>
      </c>
      <c r="B241" s="5" t="str">
        <f ca="1">IFERROR(__xludf.DUMMYFUNCTION("""COMPUTED_VALUE"""),"Fatal")</f>
        <v>Fatal</v>
      </c>
      <c r="C241" s="5"/>
      <c r="D241" s="5" t="str">
        <f ca="1">IFERROR(__xludf.DUMMYFUNCTION("""COMPUTED_VALUE"""),"Student")</f>
        <v>Student</v>
      </c>
      <c r="E241" s="5" t="str">
        <f ca="1">IFERROR(__xludf.DUMMYFUNCTION("""COMPUTED_VALUE"""),"Child")</f>
        <v>Child</v>
      </c>
      <c r="F241" s="5"/>
    </row>
    <row r="242" spans="1:6" ht="13">
      <c r="A242" s="5" t="str">
        <f ca="1">IFERROR(__xludf.DUMMYFUNCTION("""COMPUTED_VALUE"""),"20220524TXROU")</f>
        <v>20220524TXROU</v>
      </c>
      <c r="B242" s="5" t="str">
        <f ca="1">IFERROR(__xludf.DUMMYFUNCTION("""COMPUTED_VALUE"""),"Wounded")</f>
        <v>Wounded</v>
      </c>
      <c r="C242" s="5"/>
      <c r="D242" s="5"/>
      <c r="E242" s="5"/>
      <c r="F242" s="5"/>
    </row>
    <row r="243" spans="1:6" ht="13">
      <c r="A243" s="5" t="str">
        <f ca="1">IFERROR(__xludf.DUMMYFUNCTION("""COMPUTED_VALUE"""),"20220524TXROU")</f>
        <v>20220524TXROU</v>
      </c>
      <c r="B243" s="5" t="str">
        <f ca="1">IFERROR(__xludf.DUMMYFUNCTION("""COMPUTED_VALUE"""),"Wounded")</f>
        <v>Wounded</v>
      </c>
      <c r="C243" s="5"/>
      <c r="D243" s="5" t="str">
        <f ca="1">IFERROR(__xludf.DUMMYFUNCTION("""COMPUTED_VALUE"""),"Student")</f>
        <v>Student</v>
      </c>
      <c r="E243" s="5" t="str">
        <f ca="1">IFERROR(__xludf.DUMMYFUNCTION("""COMPUTED_VALUE"""),"Child")</f>
        <v>Child</v>
      </c>
      <c r="F243" s="5"/>
    </row>
    <row r="244" spans="1:6" ht="13">
      <c r="A244" s="5" t="str">
        <f ca="1">IFERROR(__xludf.DUMMYFUNCTION("""COMPUTED_VALUE"""),"20220524TXROU")</f>
        <v>20220524TXROU</v>
      </c>
      <c r="B244" s="5" t="str">
        <f ca="1">IFERROR(__xludf.DUMMYFUNCTION("""COMPUTED_VALUE"""),"Fatal")</f>
        <v>Fatal</v>
      </c>
      <c r="C244" s="5"/>
      <c r="D244" s="5" t="str">
        <f ca="1">IFERROR(__xludf.DUMMYFUNCTION("""COMPUTED_VALUE"""),"Student")</f>
        <v>Student</v>
      </c>
      <c r="E244" s="5" t="str">
        <f ca="1">IFERROR(__xludf.DUMMYFUNCTION("""COMPUTED_VALUE"""),"Child")</f>
        <v>Child</v>
      </c>
      <c r="F244" s="5"/>
    </row>
    <row r="245" spans="1:6" ht="13">
      <c r="A245" s="5" t="str">
        <f ca="1">IFERROR(__xludf.DUMMYFUNCTION("""COMPUTED_VALUE"""),"20220524TXROU")</f>
        <v>20220524TXROU</v>
      </c>
      <c r="B245" s="5" t="str">
        <f ca="1">IFERROR(__xludf.DUMMYFUNCTION("""COMPUTED_VALUE"""),"Wounded")</f>
        <v>Wounded</v>
      </c>
      <c r="C245" s="5"/>
      <c r="D245" s="5"/>
      <c r="E245" s="5"/>
      <c r="F245" s="5"/>
    </row>
    <row r="246" spans="1:6" ht="13">
      <c r="A246" s="5" t="str">
        <f ca="1">IFERROR(__xludf.DUMMYFUNCTION("""COMPUTED_VALUE"""),"20220524TXROU")</f>
        <v>20220524TXROU</v>
      </c>
      <c r="B246" s="5" t="str">
        <f ca="1">IFERROR(__xludf.DUMMYFUNCTION("""COMPUTED_VALUE"""),"Fatal")</f>
        <v>Fatal</v>
      </c>
      <c r="C246" s="5"/>
      <c r="D246" s="5" t="str">
        <f ca="1">IFERROR(__xludf.DUMMYFUNCTION("""COMPUTED_VALUE"""),"Student")</f>
        <v>Student</v>
      </c>
      <c r="E246" s="5" t="str">
        <f ca="1">IFERROR(__xludf.DUMMYFUNCTION("""COMPUTED_VALUE"""),"Child")</f>
        <v>Child</v>
      </c>
      <c r="F246" s="5"/>
    </row>
    <row r="247" spans="1:6" ht="13">
      <c r="A247" s="5" t="str">
        <f ca="1">IFERROR(__xludf.DUMMYFUNCTION("""COMPUTED_VALUE"""),"20220524TXROU")</f>
        <v>20220524TXROU</v>
      </c>
      <c r="B247" s="5" t="str">
        <f ca="1">IFERROR(__xludf.DUMMYFUNCTION("""COMPUTED_VALUE"""),"Fatal")</f>
        <v>Fatal</v>
      </c>
      <c r="C247" s="5"/>
      <c r="D247" s="5" t="str">
        <f ca="1">IFERROR(__xludf.DUMMYFUNCTION("""COMPUTED_VALUE"""),"Student")</f>
        <v>Student</v>
      </c>
      <c r="E247" s="5" t="str">
        <f ca="1">IFERROR(__xludf.DUMMYFUNCTION("""COMPUTED_VALUE"""),"Child")</f>
        <v>Child</v>
      </c>
      <c r="F247" s="5"/>
    </row>
    <row r="248" spans="1:6" ht="13">
      <c r="A248" s="5" t="str">
        <f ca="1">IFERROR(__xludf.DUMMYFUNCTION("""COMPUTED_VALUE"""),"20220524TXROU")</f>
        <v>20220524TXROU</v>
      </c>
      <c r="B248" s="5" t="str">
        <f ca="1">IFERROR(__xludf.DUMMYFUNCTION("""COMPUTED_VALUE"""),"Fatal")</f>
        <v>Fatal</v>
      </c>
      <c r="C248" s="5"/>
      <c r="D248" s="5" t="str">
        <f ca="1">IFERROR(__xludf.DUMMYFUNCTION("""COMPUTED_VALUE"""),"Student")</f>
        <v>Student</v>
      </c>
      <c r="E248" s="5" t="str">
        <f ca="1">IFERROR(__xludf.DUMMYFUNCTION("""COMPUTED_VALUE"""),"Child")</f>
        <v>Child</v>
      </c>
      <c r="F248" s="5"/>
    </row>
    <row r="249" spans="1:6" ht="13">
      <c r="A249" s="5" t="str">
        <f ca="1">IFERROR(__xludf.DUMMYFUNCTION("""COMPUTED_VALUE"""),"20220524TXROU")</f>
        <v>20220524TXROU</v>
      </c>
      <c r="B249" s="5" t="str">
        <f ca="1">IFERROR(__xludf.DUMMYFUNCTION("""COMPUTED_VALUE"""),"Wounded")</f>
        <v>Wounded</v>
      </c>
      <c r="C249" s="5"/>
      <c r="D249" s="5"/>
      <c r="E249" s="5"/>
      <c r="F249" s="5"/>
    </row>
    <row r="250" spans="1:6" ht="13">
      <c r="A250" s="5" t="str">
        <f ca="1">IFERROR(__xludf.DUMMYFUNCTION("""COMPUTED_VALUE"""),"20220524TXROU")</f>
        <v>20220524TXROU</v>
      </c>
      <c r="B250" s="5" t="str">
        <f ca="1">IFERROR(__xludf.DUMMYFUNCTION("""COMPUTED_VALUE"""),"Wounded")</f>
        <v>Wounded</v>
      </c>
      <c r="C250" s="5"/>
      <c r="D250" s="5"/>
      <c r="E250" s="5" t="str">
        <f ca="1">IFERROR(__xludf.DUMMYFUNCTION("""COMPUTED_VALUE"""),"Adult")</f>
        <v>Adult</v>
      </c>
      <c r="F250" s="5"/>
    </row>
    <row r="251" spans="1:6" ht="13">
      <c r="A251" s="5" t="str">
        <f ca="1">IFERROR(__xludf.DUMMYFUNCTION("""COMPUTED_VALUE"""),"20220524TXROU")</f>
        <v>20220524TXROU</v>
      </c>
      <c r="B251" s="5" t="str">
        <f ca="1">IFERROR(__xludf.DUMMYFUNCTION("""COMPUTED_VALUE"""),"Fatal")</f>
        <v>Fatal</v>
      </c>
      <c r="C251" s="5"/>
      <c r="D251" s="5" t="str">
        <f ca="1">IFERROR(__xludf.DUMMYFUNCTION("""COMPUTED_VALUE"""),"Student")</f>
        <v>Student</v>
      </c>
      <c r="E251" s="5" t="str">
        <f ca="1">IFERROR(__xludf.DUMMYFUNCTION("""COMPUTED_VALUE"""),"Child")</f>
        <v>Child</v>
      </c>
      <c r="F251" s="5"/>
    </row>
    <row r="252" spans="1:6" ht="13">
      <c r="A252" s="5" t="str">
        <f ca="1">IFERROR(__xludf.DUMMYFUNCTION("""COMPUTED_VALUE"""),"20220524TXROU")</f>
        <v>20220524TXROU</v>
      </c>
      <c r="B252" s="5" t="str">
        <f ca="1">IFERROR(__xludf.DUMMYFUNCTION("""COMPUTED_VALUE"""),"Wounded")</f>
        <v>Wounded</v>
      </c>
      <c r="C252" s="5"/>
      <c r="D252" s="5"/>
      <c r="E252" s="5"/>
      <c r="F252" s="5"/>
    </row>
    <row r="253" spans="1:6" ht="13">
      <c r="A253" s="5" t="str">
        <f ca="1">IFERROR(__xludf.DUMMYFUNCTION("""COMPUTED_VALUE"""),"20220524TXROU")</f>
        <v>20220524TXROU</v>
      </c>
      <c r="B253" s="5" t="str">
        <f ca="1">IFERROR(__xludf.DUMMYFUNCTION("""COMPUTED_VALUE"""),"Fatal")</f>
        <v>Fatal</v>
      </c>
      <c r="C253" s="5"/>
      <c r="D253" s="5" t="str">
        <f ca="1">IFERROR(__xludf.DUMMYFUNCTION("""COMPUTED_VALUE"""),"Student")</f>
        <v>Student</v>
      </c>
      <c r="E253" s="5" t="str">
        <f ca="1">IFERROR(__xludf.DUMMYFUNCTION("""COMPUTED_VALUE"""),"Child")</f>
        <v>Child</v>
      </c>
      <c r="F253" s="5"/>
    </row>
    <row r="254" spans="1:6" ht="13">
      <c r="A254" s="5" t="str">
        <f ca="1">IFERROR(__xludf.DUMMYFUNCTION("""COMPUTED_VALUE"""),"20220524TXROU")</f>
        <v>20220524TXROU</v>
      </c>
      <c r="B254" s="5" t="str">
        <f ca="1">IFERROR(__xludf.DUMMYFUNCTION("""COMPUTED_VALUE"""),"Fatal")</f>
        <v>Fatal</v>
      </c>
      <c r="C254" s="5" t="str">
        <f ca="1">IFERROR(__xludf.DUMMYFUNCTION("""COMPUTED_VALUE"""),"Female")</f>
        <v>Female</v>
      </c>
      <c r="D254" s="5" t="str">
        <f ca="1">IFERROR(__xludf.DUMMYFUNCTION("""COMPUTED_VALUE"""),"Teacher")</f>
        <v>Teacher</v>
      </c>
      <c r="E254" s="5" t="str">
        <f ca="1">IFERROR(__xludf.DUMMYFUNCTION("""COMPUTED_VALUE"""),"Adult")</f>
        <v>Adult</v>
      </c>
      <c r="F254" s="5"/>
    </row>
    <row r="255" spans="1:6" ht="13">
      <c r="A255" s="5" t="str">
        <f ca="1">IFERROR(__xludf.DUMMYFUNCTION("""COMPUTED_VALUE"""),"20220524TXROU")</f>
        <v>20220524TXROU</v>
      </c>
      <c r="B255" s="5" t="str">
        <f ca="1">IFERROR(__xludf.DUMMYFUNCTION("""COMPUTED_VALUE"""),"Fatal")</f>
        <v>Fatal</v>
      </c>
      <c r="C255" s="5"/>
      <c r="D255" s="5" t="str">
        <f ca="1">IFERROR(__xludf.DUMMYFUNCTION("""COMPUTED_VALUE"""),"Student")</f>
        <v>Student</v>
      </c>
      <c r="E255" s="5" t="str">
        <f ca="1">IFERROR(__xludf.DUMMYFUNCTION("""COMPUTED_VALUE"""),"Child")</f>
        <v>Child</v>
      </c>
      <c r="F255" s="5"/>
    </row>
    <row r="256" spans="1:6" ht="13">
      <c r="A256" s="5" t="str">
        <f ca="1">IFERROR(__xludf.DUMMYFUNCTION("""COMPUTED_VALUE"""),"20220524TXROU")</f>
        <v>20220524TXROU</v>
      </c>
      <c r="B256" s="5" t="str">
        <f ca="1">IFERROR(__xludf.DUMMYFUNCTION("""COMPUTED_VALUE"""),"Wounded")</f>
        <v>Wounded</v>
      </c>
      <c r="C256" s="5"/>
      <c r="D256" s="5"/>
      <c r="E256" s="5"/>
      <c r="F256" s="5"/>
    </row>
    <row r="257" spans="1:6" ht="13">
      <c r="A257" s="5" t="str">
        <f ca="1">IFERROR(__xludf.DUMMYFUNCTION("""COMPUTED_VALUE"""),"20220524TXROU")</f>
        <v>20220524TXROU</v>
      </c>
      <c r="B257" s="5" t="str">
        <f ca="1">IFERROR(__xludf.DUMMYFUNCTION("""COMPUTED_VALUE"""),"Wounded")</f>
        <v>Wounded</v>
      </c>
      <c r="C257" s="5"/>
      <c r="D257" s="5"/>
      <c r="E257" s="5"/>
      <c r="F257" s="5"/>
    </row>
    <row r="258" spans="1:6" ht="13">
      <c r="A258" s="5" t="str">
        <f ca="1">IFERROR(__xludf.DUMMYFUNCTION("""COMPUTED_VALUE"""),"20220524TXROU")</f>
        <v>20220524TXROU</v>
      </c>
      <c r="B258" s="5" t="str">
        <f ca="1">IFERROR(__xludf.DUMMYFUNCTION("""COMPUTED_VALUE"""),"Fatal")</f>
        <v>Fatal</v>
      </c>
      <c r="C258" s="5"/>
      <c r="D258" s="5" t="str">
        <f ca="1">IFERROR(__xludf.DUMMYFUNCTION("""COMPUTED_VALUE"""),"Student")</f>
        <v>Student</v>
      </c>
      <c r="E258" s="5" t="str">
        <f ca="1">IFERROR(__xludf.DUMMYFUNCTION("""COMPUTED_VALUE"""),"Child")</f>
        <v>Child</v>
      </c>
      <c r="F258" s="5"/>
    </row>
    <row r="259" spans="1:6" ht="13">
      <c r="A259" s="5" t="str">
        <f ca="1">IFERROR(__xludf.DUMMYFUNCTION("""COMPUTED_VALUE"""),"20220524TXROU")</f>
        <v>20220524TXROU</v>
      </c>
      <c r="B259" s="5" t="str">
        <f ca="1">IFERROR(__xludf.DUMMYFUNCTION("""COMPUTED_VALUE"""),"Wounded")</f>
        <v>Wounded</v>
      </c>
      <c r="C259" s="5"/>
      <c r="D259" s="5"/>
      <c r="E259" s="5"/>
      <c r="F259" s="5"/>
    </row>
    <row r="260" spans="1:6" ht="13">
      <c r="A260" s="5" t="str">
        <f ca="1">IFERROR(__xludf.DUMMYFUNCTION("""COMPUTED_VALUE"""),"20220524TXROU")</f>
        <v>20220524TXROU</v>
      </c>
      <c r="B260" s="5" t="str">
        <f ca="1">IFERROR(__xludf.DUMMYFUNCTION("""COMPUTED_VALUE"""),"Fatal")</f>
        <v>Fatal</v>
      </c>
      <c r="C260" s="5"/>
      <c r="D260" s="5" t="str">
        <f ca="1">IFERROR(__xludf.DUMMYFUNCTION("""COMPUTED_VALUE"""),"Student")</f>
        <v>Student</v>
      </c>
      <c r="E260" s="5" t="str">
        <f ca="1">IFERROR(__xludf.DUMMYFUNCTION("""COMPUTED_VALUE"""),"Child")</f>
        <v>Child</v>
      </c>
      <c r="F260" s="5"/>
    </row>
    <row r="261" spans="1:6" ht="13">
      <c r="A261" s="5" t="str">
        <f ca="1">IFERROR(__xludf.DUMMYFUNCTION("""COMPUTED_VALUE"""),"20220524TXROU")</f>
        <v>20220524TXROU</v>
      </c>
      <c r="B261" s="5" t="str">
        <f ca="1">IFERROR(__xludf.DUMMYFUNCTION("""COMPUTED_VALUE"""),"Fatal")</f>
        <v>Fatal</v>
      </c>
      <c r="C261" s="5"/>
      <c r="D261" s="5" t="str">
        <f ca="1">IFERROR(__xludf.DUMMYFUNCTION("""COMPUTED_VALUE"""),"Teacher")</f>
        <v>Teacher</v>
      </c>
      <c r="E261" s="5" t="str">
        <f ca="1">IFERROR(__xludf.DUMMYFUNCTION("""COMPUTED_VALUE"""),"Adult")</f>
        <v>Adult</v>
      </c>
      <c r="F261" s="5"/>
    </row>
    <row r="262" spans="1:6" ht="13">
      <c r="A262" s="5" t="str">
        <f ca="1">IFERROR(__xludf.DUMMYFUNCTION("""COMPUTED_VALUE"""),"20220524TXROU")</f>
        <v>20220524TXROU</v>
      </c>
      <c r="B262" s="5" t="str">
        <f ca="1">IFERROR(__xludf.DUMMYFUNCTION("""COMPUTED_VALUE"""),"Fatal")</f>
        <v>Fatal</v>
      </c>
      <c r="C262" s="5"/>
      <c r="D262" s="5" t="str">
        <f ca="1">IFERROR(__xludf.DUMMYFUNCTION("""COMPUTED_VALUE"""),"Student")</f>
        <v>Student</v>
      </c>
      <c r="E262" s="5" t="str">
        <f ca="1">IFERROR(__xludf.DUMMYFUNCTION("""COMPUTED_VALUE"""),"Child")</f>
        <v>Child</v>
      </c>
      <c r="F262" s="5"/>
    </row>
    <row r="263" spans="1:6" ht="13">
      <c r="A263" s="5" t="str">
        <f ca="1">IFERROR(__xludf.DUMMYFUNCTION("""COMPUTED_VALUE"""),"20220524TXROU")</f>
        <v>20220524TXROU</v>
      </c>
      <c r="B263" s="5" t="str">
        <f ca="1">IFERROR(__xludf.DUMMYFUNCTION("""COMPUTED_VALUE"""),"Wounded")</f>
        <v>Wounded</v>
      </c>
      <c r="C263" s="5"/>
      <c r="D263" s="5"/>
      <c r="E263" s="5"/>
      <c r="F263" s="5"/>
    </row>
    <row r="264" spans="1:6" ht="13">
      <c r="A264" s="5" t="str">
        <f ca="1">IFERROR(__xludf.DUMMYFUNCTION("""COMPUTED_VALUE"""),"20220524TXROU")</f>
        <v>20220524TXROU</v>
      </c>
      <c r="B264" s="5" t="str">
        <f ca="1">IFERROR(__xludf.DUMMYFUNCTION("""COMPUTED_VALUE"""),"Fatal")</f>
        <v>Fatal</v>
      </c>
      <c r="C264" s="5"/>
      <c r="D264" s="5" t="str">
        <f ca="1">IFERROR(__xludf.DUMMYFUNCTION("""COMPUTED_VALUE"""),"Student")</f>
        <v>Student</v>
      </c>
      <c r="E264" s="5" t="str">
        <f ca="1">IFERROR(__xludf.DUMMYFUNCTION("""COMPUTED_VALUE"""),"Child")</f>
        <v>Child</v>
      </c>
      <c r="F264" s="5"/>
    </row>
    <row r="265" spans="1:6" ht="13">
      <c r="A265" s="5" t="str">
        <f ca="1">IFERROR(__xludf.DUMMYFUNCTION("""COMPUTED_VALUE"""),"20220524TXROU")</f>
        <v>20220524TXROU</v>
      </c>
      <c r="B265" s="5" t="str">
        <f ca="1">IFERROR(__xludf.DUMMYFUNCTION("""COMPUTED_VALUE"""),"Wounded")</f>
        <v>Wounded</v>
      </c>
      <c r="C265" s="5"/>
      <c r="D265" s="5"/>
      <c r="E265" s="5"/>
      <c r="F265" s="5"/>
    </row>
    <row r="266" spans="1:6" ht="13">
      <c r="A266" s="5" t="str">
        <f ca="1">IFERROR(__xludf.DUMMYFUNCTION("""COMPUTED_VALUE"""),"20220524DCPOW")</f>
        <v>20220524DCPOW</v>
      </c>
      <c r="B266" s="5" t="str">
        <f ca="1">IFERROR(__xludf.DUMMYFUNCTION("""COMPUTED_VALUE"""),"Wounded")</f>
        <v>Wounded</v>
      </c>
      <c r="C266" s="5" t="str">
        <f ca="1">IFERROR(__xludf.DUMMYFUNCTION("""COMPUTED_VALUE"""),"Male")</f>
        <v>Male</v>
      </c>
      <c r="D266" s="5" t="str">
        <f ca="1">IFERROR(__xludf.DUMMYFUNCTION("""COMPUTED_VALUE"""),"No Relation")</f>
        <v>No Relation</v>
      </c>
      <c r="E266" s="5">
        <f ca="1">IFERROR(__xludf.DUMMYFUNCTION("""COMPUTED_VALUE"""),19)</f>
        <v>19</v>
      </c>
      <c r="F266" s="5"/>
    </row>
    <row r="267" spans="1:6" ht="13">
      <c r="A267" s="5" t="str">
        <f ca="1">IFERROR(__xludf.DUMMYFUNCTION("""COMPUTED_VALUE"""),"20220523PASIP")</f>
        <v>20220523PASIP</v>
      </c>
      <c r="B267" s="5" t="str">
        <f ca="1">IFERROR(__xludf.DUMMYFUNCTION("""COMPUTED_VALUE"""),"Wounded")</f>
        <v>Wounded</v>
      </c>
      <c r="C267" s="5" t="str">
        <f ca="1">IFERROR(__xludf.DUMMYFUNCTION("""COMPUTED_VALUE"""),"Male")</f>
        <v>Male</v>
      </c>
      <c r="D267" s="5" t="str">
        <f ca="1">IFERROR(__xludf.DUMMYFUNCTION("""COMPUTED_VALUE"""),"Student")</f>
        <v>Student</v>
      </c>
      <c r="E267" s="5">
        <f ca="1">IFERROR(__xludf.DUMMYFUNCTION("""COMPUTED_VALUE"""),15)</f>
        <v>15</v>
      </c>
      <c r="F267" s="5"/>
    </row>
    <row r="268" spans="1:6" ht="13">
      <c r="A268" s="5" t="str">
        <f ca="1">IFERROR(__xludf.DUMMYFUNCTION("""COMPUTED_VALUE"""),"20220523PASIP")</f>
        <v>20220523PASIP</v>
      </c>
      <c r="B268" s="5" t="str">
        <f ca="1">IFERROR(__xludf.DUMMYFUNCTION("""COMPUTED_VALUE"""),"Wounded")</f>
        <v>Wounded</v>
      </c>
      <c r="C268" s="5" t="str">
        <f ca="1">IFERROR(__xludf.DUMMYFUNCTION("""COMPUTED_VALUE"""),"Male")</f>
        <v>Male</v>
      </c>
      <c r="D268" s="5" t="str">
        <f ca="1">IFERROR(__xludf.DUMMYFUNCTION("""COMPUTED_VALUE"""),"Student")</f>
        <v>Student</v>
      </c>
      <c r="E268" s="5">
        <f ca="1">IFERROR(__xludf.DUMMYFUNCTION("""COMPUTED_VALUE"""),16)</f>
        <v>16</v>
      </c>
      <c r="F268" s="5"/>
    </row>
    <row r="269" spans="1:6" ht="13">
      <c r="A269" s="5" t="str">
        <f ca="1">IFERROR(__xludf.DUMMYFUNCTION("""COMPUTED_VALUE"""),"20220523PASIP")</f>
        <v>20220523PASIP</v>
      </c>
      <c r="B269" s="5" t="str">
        <f ca="1">IFERROR(__xludf.DUMMYFUNCTION("""COMPUTED_VALUE"""),"Wounded")</f>
        <v>Wounded</v>
      </c>
      <c r="C269" s="5" t="str">
        <f ca="1">IFERROR(__xludf.DUMMYFUNCTION("""COMPUTED_VALUE"""),"Male")</f>
        <v>Male</v>
      </c>
      <c r="D269" s="5" t="str">
        <f ca="1">IFERROR(__xludf.DUMMYFUNCTION("""COMPUTED_VALUE"""),"Student")</f>
        <v>Student</v>
      </c>
      <c r="E269" s="5">
        <f ca="1">IFERROR(__xludf.DUMMYFUNCTION("""COMPUTED_VALUE"""),17)</f>
        <v>17</v>
      </c>
      <c r="F269" s="5"/>
    </row>
    <row r="270" spans="1:6" ht="13">
      <c r="A270" s="5" t="str">
        <f ca="1">IFERROR(__xludf.DUMMYFUNCTION("""COMPUTED_VALUE"""),"20220520VAPOD")</f>
        <v>20220520VAPOD</v>
      </c>
      <c r="B270" s="5" t="str">
        <f ca="1">IFERROR(__xludf.DUMMYFUNCTION("""COMPUTED_VALUE"""),"None")</f>
        <v>None</v>
      </c>
      <c r="C270" s="5" t="str">
        <f ca="1">IFERROR(__xludf.DUMMYFUNCTION("""COMPUTED_VALUE"""),"Male")</f>
        <v>Male</v>
      </c>
      <c r="D270" s="5" t="str">
        <f ca="1">IFERROR(__xludf.DUMMYFUNCTION("""COMPUTED_VALUE"""),"Student")</f>
        <v>Student</v>
      </c>
      <c r="E270" s="5" t="str">
        <f ca="1">IFERROR(__xludf.DUMMYFUNCTION("""COMPUTED_VALUE"""),"Teen")</f>
        <v>Teen</v>
      </c>
      <c r="F270" s="5"/>
    </row>
    <row r="271" spans="1:6" ht="13">
      <c r="A271" s="5" t="str">
        <f ca="1">IFERROR(__xludf.DUMMYFUNCTION("""COMPUTED_VALUE"""),"20220520TNEAC")</f>
        <v>20220520TNEAC</v>
      </c>
      <c r="B271" s="5" t="str">
        <f ca="1">IFERROR(__xludf.DUMMYFUNCTION("""COMPUTED_VALUE"""),"Fatal")</f>
        <v>Fatal</v>
      </c>
      <c r="C271" s="5" t="str">
        <f ca="1">IFERROR(__xludf.DUMMYFUNCTION("""COMPUTED_VALUE"""),"Male")</f>
        <v>Male</v>
      </c>
      <c r="D271" s="5" t="str">
        <f ca="1">IFERROR(__xludf.DUMMYFUNCTION("""COMPUTED_VALUE"""),"No Relation")</f>
        <v>No Relation</v>
      </c>
      <c r="E271" s="5">
        <f ca="1">IFERROR(__xludf.DUMMYFUNCTION("""COMPUTED_VALUE"""),25)</f>
        <v>25</v>
      </c>
      <c r="F271" s="5"/>
    </row>
    <row r="272" spans="1:6" ht="13">
      <c r="A272" s="5" t="str">
        <f ca="1">IFERROR(__xludf.DUMMYFUNCTION("""COMPUTED_VALUE"""),"20220520OHCAC")</f>
        <v>20220520OHCAC</v>
      </c>
      <c r="B272" s="5" t="str">
        <f ca="1">IFERROR(__xludf.DUMMYFUNCTION("""COMPUTED_VALUE"""),"Minor Injuries")</f>
        <v>Minor Injuries</v>
      </c>
      <c r="C272" s="5"/>
      <c r="D272" s="5" t="str">
        <f ca="1">IFERROR(__xludf.DUMMYFUNCTION("""COMPUTED_VALUE"""),"Bus Driver")</f>
        <v>Bus Driver</v>
      </c>
      <c r="E272" s="5" t="str">
        <f ca="1">IFERROR(__xludf.DUMMYFUNCTION("""COMPUTED_VALUE"""),"Adult")</f>
        <v>Adult</v>
      </c>
      <c r="F272" s="5"/>
    </row>
    <row r="273" spans="1:6" ht="13">
      <c r="A273" s="5" t="str">
        <f ca="1">IFERROR(__xludf.DUMMYFUNCTION("""COMPUTED_VALUE"""),"20220519MIEAK")</f>
        <v>20220519MIEAK</v>
      </c>
      <c r="B273" s="5" t="str">
        <f ca="1">IFERROR(__xludf.DUMMYFUNCTION("""COMPUTED_VALUE"""),"Wounded")</f>
        <v>Wounded</v>
      </c>
      <c r="C273" s="5" t="str">
        <f ca="1">IFERROR(__xludf.DUMMYFUNCTION("""COMPUTED_VALUE"""),"Female")</f>
        <v>Female</v>
      </c>
      <c r="D273" s="5" t="str">
        <f ca="1">IFERROR(__xludf.DUMMYFUNCTION("""COMPUTED_VALUE"""),"Relative")</f>
        <v>Relative</v>
      </c>
      <c r="E273" s="5">
        <f ca="1">IFERROR(__xludf.DUMMYFUNCTION("""COMPUTED_VALUE"""),40)</f>
        <v>40</v>
      </c>
      <c r="F273" s="5"/>
    </row>
    <row r="274" spans="1:6" ht="13">
      <c r="A274" s="5" t="str">
        <f ca="1">IFERROR(__xludf.DUMMYFUNCTION("""COMPUTED_VALUE"""),"20220519MIEAK")</f>
        <v>20220519MIEAK</v>
      </c>
      <c r="B274" s="5" t="str">
        <f ca="1">IFERROR(__xludf.DUMMYFUNCTION("""COMPUTED_VALUE"""),"Wounded")</f>
        <v>Wounded</v>
      </c>
      <c r="C274" s="5" t="str">
        <f ca="1">IFERROR(__xludf.DUMMYFUNCTION("""COMPUTED_VALUE"""),"Male")</f>
        <v>Male</v>
      </c>
      <c r="D274" s="5" t="str">
        <f ca="1">IFERROR(__xludf.DUMMYFUNCTION("""COMPUTED_VALUE"""),"Relative")</f>
        <v>Relative</v>
      </c>
      <c r="E274" s="5">
        <f ca="1">IFERROR(__xludf.DUMMYFUNCTION("""COMPUTED_VALUE"""),16)</f>
        <v>16</v>
      </c>
      <c r="F274" s="5"/>
    </row>
    <row r="275" spans="1:6" ht="13">
      <c r="A275" s="5" t="str">
        <f ca="1">IFERROR(__xludf.DUMMYFUNCTION("""COMPUTED_VALUE"""),"20220519LAHAH")</f>
        <v>20220519LAHAH</v>
      </c>
      <c r="B275" s="5" t="str">
        <f ca="1">IFERROR(__xludf.DUMMYFUNCTION("""COMPUTED_VALUE"""),"Wounded")</f>
        <v>Wounded</v>
      </c>
      <c r="C275" s="5"/>
      <c r="D275" s="5"/>
      <c r="E275" s="5" t="str">
        <f ca="1">IFERROR(__xludf.DUMMYFUNCTION("""COMPUTED_VALUE"""),"Adult")</f>
        <v>Adult</v>
      </c>
      <c r="F275" s="5"/>
    </row>
    <row r="276" spans="1:6" ht="13">
      <c r="A276" s="5" t="str">
        <f ca="1">IFERROR(__xludf.DUMMYFUNCTION("""COMPUTED_VALUE"""),"20220519LAHAH")</f>
        <v>20220519LAHAH</v>
      </c>
      <c r="B276" s="5" t="str">
        <f ca="1">IFERROR(__xludf.DUMMYFUNCTION("""COMPUTED_VALUE"""),"Wounded")</f>
        <v>Wounded</v>
      </c>
      <c r="C276" s="5"/>
      <c r="D276" s="5"/>
      <c r="E276" s="5" t="str">
        <f ca="1">IFERROR(__xludf.DUMMYFUNCTION("""COMPUTED_VALUE"""),"Adult")</f>
        <v>Adult</v>
      </c>
      <c r="F276" s="5"/>
    </row>
    <row r="277" spans="1:6" ht="13">
      <c r="A277" s="5" t="str">
        <f ca="1">IFERROR(__xludf.DUMMYFUNCTION("""COMPUTED_VALUE"""),"20220519LAHAH")</f>
        <v>20220519LAHAH</v>
      </c>
      <c r="B277" s="5" t="str">
        <f ca="1">IFERROR(__xludf.DUMMYFUNCTION("""COMPUTED_VALUE"""),"Minor Injuries")</f>
        <v>Minor Injuries</v>
      </c>
      <c r="C277" s="5"/>
      <c r="D277" s="5"/>
      <c r="E277" s="5" t="str">
        <f ca="1">IFERROR(__xludf.DUMMYFUNCTION("""COMPUTED_VALUE"""),"Adult")</f>
        <v>Adult</v>
      </c>
      <c r="F277" s="5"/>
    </row>
    <row r="278" spans="1:6" ht="13">
      <c r="A278" s="5" t="str">
        <f ca="1">IFERROR(__xludf.DUMMYFUNCTION("""COMPUTED_VALUE"""),"20220519LAHAH")</f>
        <v>20220519LAHAH</v>
      </c>
      <c r="B278" s="5" t="str">
        <f ca="1">IFERROR(__xludf.DUMMYFUNCTION("""COMPUTED_VALUE"""),"Wounded")</f>
        <v>Wounded</v>
      </c>
      <c r="C278" s="5"/>
      <c r="D278" s="5"/>
      <c r="E278" s="5" t="str">
        <f ca="1">IFERROR(__xludf.DUMMYFUNCTION("""COMPUTED_VALUE"""),"Adult")</f>
        <v>Adult</v>
      </c>
      <c r="F278" s="5"/>
    </row>
    <row r="279" spans="1:6" ht="13">
      <c r="A279" s="5" t="str">
        <f ca="1">IFERROR(__xludf.DUMMYFUNCTION("""COMPUTED_VALUE"""),"20220518TNRIM")</f>
        <v>20220518TNRIM</v>
      </c>
      <c r="B279" s="5" t="str">
        <f ca="1">IFERROR(__xludf.DUMMYFUNCTION("""COMPUTED_VALUE"""),"Fatal")</f>
        <v>Fatal</v>
      </c>
      <c r="C279" s="5" t="str">
        <f ca="1">IFERROR(__xludf.DUMMYFUNCTION("""COMPUTED_VALUE"""),"Male")</f>
        <v>Male</v>
      </c>
      <c r="D279" s="5" t="str">
        <f ca="1">IFERROR(__xludf.DUMMYFUNCTION("""COMPUTED_VALUE"""),"Student")</f>
        <v>Student</v>
      </c>
      <c r="E279" s="5">
        <f ca="1">IFERROR(__xludf.DUMMYFUNCTION("""COMPUTED_VALUE"""),18)</f>
        <v>18</v>
      </c>
      <c r="F279" s="5"/>
    </row>
    <row r="280" spans="1:6" ht="13">
      <c r="A280" s="5" t="str">
        <f ca="1">IFERROR(__xludf.DUMMYFUNCTION("""COMPUTED_VALUE"""),"20220518TNRIM")</f>
        <v>20220518TNRIM</v>
      </c>
      <c r="B280" s="5" t="str">
        <f ca="1">IFERROR(__xludf.DUMMYFUNCTION("""COMPUTED_VALUE"""),"Wounded")</f>
        <v>Wounded</v>
      </c>
      <c r="C280" s="5"/>
      <c r="D280" s="5"/>
      <c r="E280" s="5"/>
      <c r="F280" s="5"/>
    </row>
    <row r="281" spans="1:6" ht="13">
      <c r="A281" s="5" t="str">
        <f ca="1">IFERROR(__xludf.DUMMYFUNCTION("""COMPUTED_VALUE"""),"20220517ILWAC")</f>
        <v>20220517ILWAC</v>
      </c>
      <c r="B281" s="5" t="str">
        <f ca="1">IFERROR(__xludf.DUMMYFUNCTION("""COMPUTED_VALUE"""),"Wounded")</f>
        <v>Wounded</v>
      </c>
      <c r="C281" s="5" t="str">
        <f ca="1">IFERROR(__xludf.DUMMYFUNCTION("""COMPUTED_VALUE"""),"Male")</f>
        <v>Male</v>
      </c>
      <c r="D281" s="5" t="str">
        <f ca="1">IFERROR(__xludf.DUMMYFUNCTION("""COMPUTED_VALUE"""),"Student")</f>
        <v>Student</v>
      </c>
      <c r="E281" s="5">
        <f ca="1">IFERROR(__xludf.DUMMYFUNCTION("""COMPUTED_VALUE"""),7)</f>
        <v>7</v>
      </c>
      <c r="F281" s="5"/>
    </row>
    <row r="282" spans="1:6" ht="13">
      <c r="A282" s="5" t="str">
        <f ca="1">IFERROR(__xludf.DUMMYFUNCTION("""COMPUTED_VALUE"""),"20220515NHBEB")</f>
        <v>20220515NHBEB</v>
      </c>
      <c r="B282" s="5" t="str">
        <f ca="1">IFERROR(__xludf.DUMMYFUNCTION("""COMPUTED_VALUE"""),"Minor Injuries")</f>
        <v>Minor Injuries</v>
      </c>
      <c r="C282" s="5" t="str">
        <f ca="1">IFERROR(__xludf.DUMMYFUNCTION("""COMPUTED_VALUE"""),"Male")</f>
        <v>Male</v>
      </c>
      <c r="D282" s="5" t="str">
        <f ca="1">IFERROR(__xludf.DUMMYFUNCTION("""COMPUTED_VALUE"""),"No Relation")</f>
        <v>No Relation</v>
      </c>
      <c r="E282" s="5">
        <f ca="1">IFERROR(__xludf.DUMMYFUNCTION("""COMPUTED_VALUE"""),13)</f>
        <v>13</v>
      </c>
      <c r="F282" s="5"/>
    </row>
    <row r="283" spans="1:6" ht="13">
      <c r="A283" s="5" t="str">
        <f ca="1">IFERROR(__xludf.DUMMYFUNCTION("""COMPUTED_VALUE"""),"20220515NHBEB")</f>
        <v>20220515NHBEB</v>
      </c>
      <c r="B283" s="5" t="str">
        <f ca="1">IFERROR(__xludf.DUMMYFUNCTION("""COMPUTED_VALUE"""),"Minor Injuries")</f>
        <v>Minor Injuries</v>
      </c>
      <c r="C283" s="5" t="str">
        <f ca="1">IFERROR(__xludf.DUMMYFUNCTION("""COMPUTED_VALUE"""),"Female")</f>
        <v>Female</v>
      </c>
      <c r="D283" s="5" t="str">
        <f ca="1">IFERROR(__xludf.DUMMYFUNCTION("""COMPUTED_VALUE"""),"No Relation")</f>
        <v>No Relation</v>
      </c>
      <c r="E283" s="5">
        <f ca="1">IFERROR(__xludf.DUMMYFUNCTION("""COMPUTED_VALUE"""),12)</f>
        <v>12</v>
      </c>
      <c r="F283" s="5"/>
    </row>
    <row r="284" spans="1:6" ht="13">
      <c r="A284" s="5" t="str">
        <f ca="1">IFERROR(__xludf.DUMMYFUNCTION("""COMPUTED_VALUE"""),"20220515ILMEP")</f>
        <v>20220515ILMEP</v>
      </c>
      <c r="B284" s="5" t="str">
        <f ca="1">IFERROR(__xludf.DUMMYFUNCTION("""COMPUTED_VALUE"""),"Wounded")</f>
        <v>Wounded</v>
      </c>
      <c r="C284" s="5" t="str">
        <f ca="1">IFERROR(__xludf.DUMMYFUNCTION("""COMPUTED_VALUE"""),"Male")</f>
        <v>Male</v>
      </c>
      <c r="D284" s="5" t="str">
        <f ca="1">IFERROR(__xludf.DUMMYFUNCTION("""COMPUTED_VALUE"""),"No Relation")</f>
        <v>No Relation</v>
      </c>
      <c r="E284" s="5">
        <f ca="1">IFERROR(__xludf.DUMMYFUNCTION("""COMPUTED_VALUE"""),17)</f>
        <v>17</v>
      </c>
      <c r="F284" s="5"/>
    </row>
    <row r="285" spans="1:6" ht="13">
      <c r="A285" s="5" t="str">
        <f ca="1">IFERROR(__xludf.DUMMYFUNCTION("""COMPUTED_VALUE"""),"20220513GASOM")</f>
        <v>20220513GASOM</v>
      </c>
      <c r="B285" s="5" t="str">
        <f ca="1">IFERROR(__xludf.DUMMYFUNCTION("""COMPUTED_VALUE"""),"Wounded")</f>
        <v>Wounded</v>
      </c>
      <c r="C285" s="5" t="str">
        <f ca="1">IFERROR(__xludf.DUMMYFUNCTION("""COMPUTED_VALUE"""),"Male")</f>
        <v>Male</v>
      </c>
      <c r="D285" s="5"/>
      <c r="E285" s="5">
        <f ca="1">IFERROR(__xludf.DUMMYFUNCTION("""COMPUTED_VALUE"""),21)</f>
        <v>21</v>
      </c>
      <c r="F285" s="5"/>
    </row>
    <row r="286" spans="1:6" ht="13">
      <c r="A286" s="5" t="str">
        <f ca="1">IFERROR(__xludf.DUMMYFUNCTION("""COMPUTED_VALUE"""),"20220513FLALW")</f>
        <v>20220513FLALW</v>
      </c>
      <c r="B286" s="5" t="str">
        <f ca="1">IFERROR(__xludf.DUMMYFUNCTION("""COMPUTED_VALUE"""),"Fatal")</f>
        <v>Fatal</v>
      </c>
      <c r="C286" s="5" t="str">
        <f ca="1">IFERROR(__xludf.DUMMYFUNCTION("""COMPUTED_VALUE"""),"Male")</f>
        <v>Male</v>
      </c>
      <c r="D286" s="5" t="str">
        <f ca="1">IFERROR(__xludf.DUMMYFUNCTION("""COMPUTED_VALUE"""),"Former Student")</f>
        <v>Former Student</v>
      </c>
      <c r="E286" s="5">
        <f ca="1">IFERROR(__xludf.DUMMYFUNCTION("""COMPUTED_VALUE"""),33)</f>
        <v>33</v>
      </c>
      <c r="F286" s="5"/>
    </row>
    <row r="287" spans="1:6" ht="13">
      <c r="A287" s="5" t="str">
        <f ca="1">IFERROR(__xludf.DUMMYFUNCTION("""COMPUTED_VALUE"""),"20220512TXHEH")</f>
        <v>20220512TXHEH</v>
      </c>
      <c r="B287" s="5" t="str">
        <f ca="1">IFERROR(__xludf.DUMMYFUNCTION("""COMPUTED_VALUE"""),"Wounded")</f>
        <v>Wounded</v>
      </c>
      <c r="C287" s="5"/>
      <c r="D287" s="5" t="str">
        <f ca="1">IFERROR(__xludf.DUMMYFUNCTION("""COMPUTED_VALUE"""),"Student")</f>
        <v>Student</v>
      </c>
      <c r="E287" s="5" t="str">
        <f ca="1">IFERROR(__xludf.DUMMYFUNCTION("""COMPUTED_VALUE"""),"Teen")</f>
        <v>Teen</v>
      </c>
      <c r="F287" s="5"/>
    </row>
    <row r="288" spans="1:6" ht="13">
      <c r="A288" s="5" t="str">
        <f ca="1">IFERROR(__xludf.DUMMYFUNCTION("""COMPUTED_VALUE"""),"20220512ARHOH")</f>
        <v>20220512ARHOH</v>
      </c>
      <c r="B288" s="5" t="str">
        <f ca="1">IFERROR(__xludf.DUMMYFUNCTION("""COMPUTED_VALUE"""),"Wounded")</f>
        <v>Wounded</v>
      </c>
      <c r="C288" s="5"/>
      <c r="D288" s="5"/>
      <c r="E288" s="5"/>
      <c r="F288" s="5"/>
    </row>
    <row r="289" spans="1:6" ht="13">
      <c r="A289" s="5" t="str">
        <f ca="1">IFERROR(__xludf.DUMMYFUNCTION("""COMPUTED_VALUE"""),"20220512ARHOH")</f>
        <v>20220512ARHOH</v>
      </c>
      <c r="B289" s="5" t="str">
        <f ca="1">IFERROR(__xludf.DUMMYFUNCTION("""COMPUTED_VALUE"""),"Wounded")</f>
        <v>Wounded</v>
      </c>
      <c r="C289" s="5"/>
      <c r="D289" s="5"/>
      <c r="E289" s="5"/>
      <c r="F289" s="5"/>
    </row>
    <row r="290" spans="1:6" ht="13">
      <c r="A290" s="5" t="str">
        <f ca="1">IFERROR(__xludf.DUMMYFUNCTION("""COMPUTED_VALUE"""),"20220512ARHOH")</f>
        <v>20220512ARHOH</v>
      </c>
      <c r="B290" s="5" t="str">
        <f ca="1">IFERROR(__xludf.DUMMYFUNCTION("""COMPUTED_VALUE"""),"Fatal")</f>
        <v>Fatal</v>
      </c>
      <c r="C290" s="5" t="str">
        <f ca="1">IFERROR(__xludf.DUMMYFUNCTION("""COMPUTED_VALUE"""),"Male")</f>
        <v>Male</v>
      </c>
      <c r="D290" s="5"/>
      <c r="E290" s="5">
        <f ca="1">IFERROR(__xludf.DUMMYFUNCTION("""COMPUTED_VALUE"""),39)</f>
        <v>39</v>
      </c>
      <c r="F290" s="5"/>
    </row>
    <row r="291" spans="1:6" ht="13">
      <c r="A291" s="5" t="str">
        <f ca="1">IFERROR(__xludf.DUMMYFUNCTION("""COMPUTED_VALUE"""),"20220511FLJAJ")</f>
        <v>20220511FLJAJ</v>
      </c>
      <c r="B291" s="5" t="str">
        <f ca="1">IFERROR(__xludf.DUMMYFUNCTION("""COMPUTED_VALUE"""),"Wounded")</f>
        <v>Wounded</v>
      </c>
      <c r="C291" s="5" t="str">
        <f ca="1">IFERROR(__xludf.DUMMYFUNCTION("""COMPUTED_VALUE"""),"Male")</f>
        <v>Male</v>
      </c>
      <c r="D291" s="5" t="str">
        <f ca="1">IFERROR(__xludf.DUMMYFUNCTION("""COMPUTED_VALUE"""),"Student")</f>
        <v>Student</v>
      </c>
      <c r="E291" s="5">
        <f ca="1">IFERROR(__xludf.DUMMYFUNCTION("""COMPUTED_VALUE"""),17)</f>
        <v>17</v>
      </c>
      <c r="F291" s="5"/>
    </row>
    <row r="292" spans="1:6" ht="13">
      <c r="A292" s="5" t="str">
        <f ca="1">IFERROR(__xludf.DUMMYFUNCTION("""COMPUTED_VALUE"""),"20220509NYEDS")</f>
        <v>20220509NYEDS</v>
      </c>
      <c r="B292" s="5" t="str">
        <f ca="1">IFERROR(__xludf.DUMMYFUNCTION("""COMPUTED_VALUE"""),"Fatal")</f>
        <v>Fatal</v>
      </c>
      <c r="C292" s="5" t="str">
        <f ca="1">IFERROR(__xludf.DUMMYFUNCTION("""COMPUTED_VALUE"""),"Male")</f>
        <v>Male</v>
      </c>
      <c r="D292" s="5"/>
      <c r="E292" s="5">
        <f ca="1">IFERROR(__xludf.DUMMYFUNCTION("""COMPUTED_VALUE"""),26)</f>
        <v>26</v>
      </c>
      <c r="F292" s="5"/>
    </row>
    <row r="293" spans="1:6" ht="13">
      <c r="A293" s="5" t="str">
        <f ca="1">IFERROR(__xludf.DUMMYFUNCTION("""COMPUTED_VALUE"""),"20220509GARIS")</f>
        <v>20220509GARIS</v>
      </c>
      <c r="B293" s="5" t="str">
        <f ca="1">IFERROR(__xludf.DUMMYFUNCTION("""COMPUTED_VALUE"""),"Minor Injuries")</f>
        <v>Minor Injuries</v>
      </c>
      <c r="C293" s="5" t="str">
        <f ca="1">IFERROR(__xludf.DUMMYFUNCTION("""COMPUTED_VALUE"""),"Female")</f>
        <v>Female</v>
      </c>
      <c r="D293" s="5" t="str">
        <f ca="1">IFERROR(__xludf.DUMMYFUNCTION("""COMPUTED_VALUE"""),"Bus Driver")</f>
        <v>Bus Driver</v>
      </c>
      <c r="E293" s="5" t="str">
        <f ca="1">IFERROR(__xludf.DUMMYFUNCTION("""COMPUTED_VALUE"""),"Adult")</f>
        <v>Adult</v>
      </c>
      <c r="F293" s="5"/>
    </row>
    <row r="294" spans="1:6" ht="13">
      <c r="A294" s="5" t="str">
        <f ca="1">IFERROR(__xludf.DUMMYFUNCTION("""COMPUTED_VALUE"""),"20220501VALOM")</f>
        <v>20220501VALOM</v>
      </c>
      <c r="B294" s="5" t="str">
        <f ca="1">IFERROR(__xludf.DUMMYFUNCTION("""COMPUTED_VALUE"""),"Wounded")</f>
        <v>Wounded</v>
      </c>
      <c r="C294" s="5" t="str">
        <f ca="1">IFERROR(__xludf.DUMMYFUNCTION("""COMPUTED_VALUE"""),"Male")</f>
        <v>Male</v>
      </c>
      <c r="D294" s="5" t="str">
        <f ca="1">IFERROR(__xludf.DUMMYFUNCTION("""COMPUTED_VALUE"""),"Nonstudent Using Athletic Facilities/Attending Game")</f>
        <v>Nonstudent Using Athletic Facilities/Attending Game</v>
      </c>
      <c r="E294" s="5" t="str">
        <f ca="1">IFERROR(__xludf.DUMMYFUNCTION("""COMPUTED_VALUE"""),"Adult")</f>
        <v>Adult</v>
      </c>
      <c r="F294" s="5"/>
    </row>
    <row r="295" spans="1:6" ht="13">
      <c r="A295" s="5" t="str">
        <f ca="1">IFERROR(__xludf.DUMMYFUNCTION("""COMPUTED_VALUE"""),"20220501VALOM")</f>
        <v>20220501VALOM</v>
      </c>
      <c r="B295" s="5" t="str">
        <f ca="1">IFERROR(__xludf.DUMMYFUNCTION("""COMPUTED_VALUE"""),"Wounded")</f>
        <v>Wounded</v>
      </c>
      <c r="C295" s="5" t="str">
        <f ca="1">IFERROR(__xludf.DUMMYFUNCTION("""COMPUTED_VALUE"""),"Male")</f>
        <v>Male</v>
      </c>
      <c r="D295" s="5" t="str">
        <f ca="1">IFERROR(__xludf.DUMMYFUNCTION("""COMPUTED_VALUE"""),"Nonstudent Using Athletic Facilities/Attending Game")</f>
        <v>Nonstudent Using Athletic Facilities/Attending Game</v>
      </c>
      <c r="E295" s="5" t="str">
        <f ca="1">IFERROR(__xludf.DUMMYFUNCTION("""COMPUTED_VALUE"""),"Adult")</f>
        <v>Adult</v>
      </c>
      <c r="F295" s="5"/>
    </row>
    <row r="296" spans="1:6" ht="13">
      <c r="A296" s="5" t="str">
        <f ca="1">IFERROR(__xludf.DUMMYFUNCTION("""COMPUTED_VALUE"""),"20220501OHHAC")</f>
        <v>20220501OHHAC</v>
      </c>
      <c r="B296" s="5" t="str">
        <f ca="1">IFERROR(__xludf.DUMMYFUNCTION("""COMPUTED_VALUE"""),"Fatal")</f>
        <v>Fatal</v>
      </c>
      <c r="C296" s="5" t="str">
        <f ca="1">IFERROR(__xludf.DUMMYFUNCTION("""COMPUTED_VALUE"""),"Male")</f>
        <v>Male</v>
      </c>
      <c r="D296" s="5"/>
      <c r="E296" s="5" t="str">
        <f ca="1">IFERROR(__xludf.DUMMYFUNCTION("""COMPUTED_VALUE"""),"Adult")</f>
        <v>Adult</v>
      </c>
      <c r="F296" s="5"/>
    </row>
    <row r="297" spans="1:6" ht="13">
      <c r="A297" s="5" t="str">
        <f ca="1">IFERROR(__xludf.DUMMYFUNCTION("""COMPUTED_VALUE"""),"20220430PAMCJ")</f>
        <v>20220430PAMCJ</v>
      </c>
      <c r="B297" s="5" t="str">
        <f ca="1">IFERROR(__xludf.DUMMYFUNCTION("""COMPUTED_VALUE"""),"None")</f>
        <v>None</v>
      </c>
      <c r="C297" s="5" t="str">
        <f ca="1">IFERROR(__xludf.DUMMYFUNCTION("""COMPUTED_VALUE"""),"Male")</f>
        <v>Male</v>
      </c>
      <c r="D297" s="5" t="str">
        <f ca="1">IFERROR(__xludf.DUMMYFUNCTION("""COMPUTED_VALUE"""),"Nonstudent Using Athletic Facilities/Attending Game")</f>
        <v>Nonstudent Using Athletic Facilities/Attending Game</v>
      </c>
      <c r="E297" s="5" t="str">
        <f ca="1">IFERROR(__xludf.DUMMYFUNCTION("""COMPUTED_VALUE"""),"Adult")</f>
        <v>Adult</v>
      </c>
      <c r="F297" s="5"/>
    </row>
    <row r="298" spans="1:6" ht="13">
      <c r="A298" s="5" t="str">
        <f ca="1">IFERROR(__xludf.DUMMYFUNCTION("""COMPUTED_VALUE"""),"20220427TXMOS")</f>
        <v>20220427TXMOS</v>
      </c>
      <c r="B298" s="5" t="str">
        <f ca="1">IFERROR(__xludf.DUMMYFUNCTION("""COMPUTED_VALUE"""),"Wounded")</f>
        <v>Wounded</v>
      </c>
      <c r="C298" s="5" t="str">
        <f ca="1">IFERROR(__xludf.DUMMYFUNCTION("""COMPUTED_VALUE"""),"Male")</f>
        <v>Male</v>
      </c>
      <c r="D298" s="5" t="str">
        <f ca="1">IFERROR(__xludf.DUMMYFUNCTION("""COMPUTED_VALUE"""),"No Relation")</f>
        <v>No Relation</v>
      </c>
      <c r="E298" s="5" t="str">
        <f ca="1">IFERROR(__xludf.DUMMYFUNCTION("""COMPUTED_VALUE"""),"Adult")</f>
        <v>Adult</v>
      </c>
      <c r="F298" s="5"/>
    </row>
    <row r="299" spans="1:6" ht="13">
      <c r="A299" s="5" t="str">
        <f ca="1">IFERROR(__xludf.DUMMYFUNCTION("""COMPUTED_VALUE"""),"20220426GASOM")</f>
        <v>20220426GASOM</v>
      </c>
      <c r="B299" s="5" t="str">
        <f ca="1">IFERROR(__xludf.DUMMYFUNCTION("""COMPUTED_VALUE"""),"Fatal")</f>
        <v>Fatal</v>
      </c>
      <c r="C299" s="5" t="str">
        <f ca="1">IFERROR(__xludf.DUMMYFUNCTION("""COMPUTED_VALUE"""),"Male")</f>
        <v>Male</v>
      </c>
      <c r="D299" s="5"/>
      <c r="E299" s="5">
        <f ca="1">IFERROR(__xludf.DUMMYFUNCTION("""COMPUTED_VALUE"""),15)</f>
        <v>15</v>
      </c>
      <c r="F299" s="5" t="str">
        <f ca="1">IFERROR(__xludf.DUMMYFUNCTION("""COMPUTED_VALUE"""),"Black")</f>
        <v>Black</v>
      </c>
    </row>
    <row r="300" spans="1:6" ht="13">
      <c r="A300" s="5" t="str">
        <f ca="1">IFERROR(__xludf.DUMMYFUNCTION("""COMPUTED_VALUE"""),"20220424MOHAF")</f>
        <v>20220424MOHAF</v>
      </c>
      <c r="B300" s="5" t="str">
        <f ca="1">IFERROR(__xludf.DUMMYFUNCTION("""COMPUTED_VALUE"""),"Fatal")</f>
        <v>Fatal</v>
      </c>
      <c r="C300" s="5" t="str">
        <f ca="1">IFERROR(__xludf.DUMMYFUNCTION("""COMPUTED_VALUE"""),"Male")</f>
        <v>Male</v>
      </c>
      <c r="D300" s="5" t="str">
        <f ca="1">IFERROR(__xludf.DUMMYFUNCTION("""COMPUTED_VALUE"""),"No Relation")</f>
        <v>No Relation</v>
      </c>
      <c r="E300" s="5" t="str">
        <f ca="1">IFERROR(__xludf.DUMMYFUNCTION("""COMPUTED_VALUE"""),"Adult")</f>
        <v>Adult</v>
      </c>
      <c r="F300" s="5"/>
    </row>
    <row r="301" spans="1:6" ht="13">
      <c r="A301" s="5" t="str">
        <f ca="1">IFERROR(__xludf.DUMMYFUNCTION("""COMPUTED_VALUE"""),"20220422DCEDW")</f>
        <v>20220422DCEDW</v>
      </c>
      <c r="B301" s="5" t="str">
        <f ca="1">IFERROR(__xludf.DUMMYFUNCTION("""COMPUTED_VALUE"""),"Wounded")</f>
        <v>Wounded</v>
      </c>
      <c r="C301" s="5" t="str">
        <f ca="1">IFERROR(__xludf.DUMMYFUNCTION("""COMPUTED_VALUE"""),"Female")</f>
        <v>Female</v>
      </c>
      <c r="D301" s="5" t="str">
        <f ca="1">IFERROR(__xludf.DUMMYFUNCTION("""COMPUTED_VALUE"""),"Parent")</f>
        <v>Parent</v>
      </c>
      <c r="E301" s="5" t="str">
        <f ca="1">IFERROR(__xludf.DUMMYFUNCTION("""COMPUTED_VALUE"""),"Adult")</f>
        <v>Adult</v>
      </c>
      <c r="F301" s="5"/>
    </row>
    <row r="302" spans="1:6" ht="13">
      <c r="A302" s="5" t="str">
        <f ca="1">IFERROR(__xludf.DUMMYFUNCTION("""COMPUTED_VALUE"""),"20220422DCEDW")</f>
        <v>20220422DCEDW</v>
      </c>
      <c r="B302" s="5" t="str">
        <f ca="1">IFERROR(__xludf.DUMMYFUNCTION("""COMPUTED_VALUE"""),"Wounded")</f>
        <v>Wounded</v>
      </c>
      <c r="C302" s="5" t="str">
        <f ca="1">IFERROR(__xludf.DUMMYFUNCTION("""COMPUTED_VALUE"""),"Female")</f>
        <v>Female</v>
      </c>
      <c r="D302" s="5" t="str">
        <f ca="1">IFERROR(__xludf.DUMMYFUNCTION("""COMPUTED_VALUE"""),"Student")</f>
        <v>Student</v>
      </c>
      <c r="E302" s="5">
        <f ca="1">IFERROR(__xludf.DUMMYFUNCTION("""COMPUTED_VALUE"""),12)</f>
        <v>12</v>
      </c>
      <c r="F302" s="5"/>
    </row>
    <row r="303" spans="1:6" ht="13">
      <c r="A303" s="5" t="str">
        <f ca="1">IFERROR(__xludf.DUMMYFUNCTION("""COMPUTED_VALUE"""),"20220422DCEDW")</f>
        <v>20220422DCEDW</v>
      </c>
      <c r="B303" s="5" t="str">
        <f ca="1">IFERROR(__xludf.DUMMYFUNCTION("""COMPUTED_VALUE"""),"Minor Injuries")</f>
        <v>Minor Injuries</v>
      </c>
      <c r="C303" s="5" t="str">
        <f ca="1">IFERROR(__xludf.DUMMYFUNCTION("""COMPUTED_VALUE"""),"Female")</f>
        <v>Female</v>
      </c>
      <c r="D303" s="5" t="str">
        <f ca="1">IFERROR(__xludf.DUMMYFUNCTION("""COMPUTED_VALUE"""),"Student")</f>
        <v>Student</v>
      </c>
      <c r="E303" s="5">
        <f ca="1">IFERROR(__xludf.DUMMYFUNCTION("""COMPUTED_VALUE"""),16)</f>
        <v>16</v>
      </c>
      <c r="F303" s="5"/>
    </row>
    <row r="304" spans="1:6" ht="13">
      <c r="A304" s="5" t="str">
        <f ca="1">IFERROR(__xludf.DUMMYFUNCTION("""COMPUTED_VALUE"""),"20220422DCEDW")</f>
        <v>20220422DCEDW</v>
      </c>
      <c r="B304" s="5" t="str">
        <f ca="1">IFERROR(__xludf.DUMMYFUNCTION("""COMPUTED_VALUE"""),"Wounded")</f>
        <v>Wounded</v>
      </c>
      <c r="C304" s="5" t="str">
        <f ca="1">IFERROR(__xludf.DUMMYFUNCTION("""COMPUTED_VALUE"""),"Male")</f>
        <v>Male</v>
      </c>
      <c r="D304" s="5" t="str">
        <f ca="1">IFERROR(__xludf.DUMMYFUNCTION("""COMPUTED_VALUE"""),"Security Guard")</f>
        <v>Security Guard</v>
      </c>
      <c r="E304" s="5" t="str">
        <f ca="1">IFERROR(__xludf.DUMMYFUNCTION("""COMPUTED_VALUE"""),"Adult")</f>
        <v>Adult</v>
      </c>
      <c r="F304" s="5"/>
    </row>
    <row r="305" spans="1:6" ht="13">
      <c r="A305" s="5" t="str">
        <f ca="1">IFERROR(__xludf.DUMMYFUNCTION("""COMPUTED_VALUE"""),"20220422DCEDW")</f>
        <v>20220422DCEDW</v>
      </c>
      <c r="B305" s="5" t="str">
        <f ca="1">IFERROR(__xludf.DUMMYFUNCTION("""COMPUTED_VALUE"""),"Wounded")</f>
        <v>Wounded</v>
      </c>
      <c r="C305" s="5" t="str">
        <f ca="1">IFERROR(__xludf.DUMMYFUNCTION("""COMPUTED_VALUE"""),"Female")</f>
        <v>Female</v>
      </c>
      <c r="D305" s="5" t="str">
        <f ca="1">IFERROR(__xludf.DUMMYFUNCTION("""COMPUTED_VALUE"""),"No Relation")</f>
        <v>No Relation</v>
      </c>
      <c r="E305" s="5" t="str">
        <f ca="1">IFERROR(__xludf.DUMMYFUNCTION("""COMPUTED_VALUE"""),"Adult")</f>
        <v>Adult</v>
      </c>
      <c r="F305" s="5"/>
    </row>
    <row r="306" spans="1:6" ht="13">
      <c r="A306" s="5" t="str">
        <f ca="1">IFERROR(__xludf.DUMMYFUNCTION("""COMPUTED_VALUE"""),"20220421NDMOM")</f>
        <v>20220421NDMOM</v>
      </c>
      <c r="B306" s="5" t="str">
        <f ca="1">IFERROR(__xludf.DUMMYFUNCTION("""COMPUTED_VALUE"""),"Fatal")</f>
        <v>Fatal</v>
      </c>
      <c r="C306" s="5" t="str">
        <f ca="1">IFERROR(__xludf.DUMMYFUNCTION("""COMPUTED_VALUE"""),"Male")</f>
        <v>Male</v>
      </c>
      <c r="D306" s="5"/>
      <c r="E306" s="5">
        <f ca="1">IFERROR(__xludf.DUMMYFUNCTION("""COMPUTED_VALUE"""),34)</f>
        <v>34</v>
      </c>
      <c r="F306" s="5"/>
    </row>
    <row r="307" spans="1:6" ht="13">
      <c r="A307" s="5" t="str">
        <f ca="1">IFERROR(__xludf.DUMMYFUNCTION("""COMPUTED_VALUE"""),"20220416IAMED")</f>
        <v>20220416IAMED</v>
      </c>
      <c r="B307" s="5" t="str">
        <f ca="1">IFERROR(__xludf.DUMMYFUNCTION("""COMPUTED_VALUE"""),"Wounded")</f>
        <v>Wounded</v>
      </c>
      <c r="C307" s="5"/>
      <c r="D307" s="5"/>
      <c r="E307" s="5" t="str">
        <f ca="1">IFERROR(__xludf.DUMMYFUNCTION("""COMPUTED_VALUE"""),"Adult")</f>
        <v>Adult</v>
      </c>
      <c r="F307" s="5"/>
    </row>
    <row r="308" spans="1:6" ht="13">
      <c r="A308" s="5" t="str">
        <f ca="1">IFERROR(__xludf.DUMMYFUNCTION("""COMPUTED_VALUE"""),"20220415VAGAW")</f>
        <v>20220415VAGAW</v>
      </c>
      <c r="B308" s="5" t="str">
        <f ca="1">IFERROR(__xludf.DUMMYFUNCTION("""COMPUTED_VALUE"""),"Wounded")</f>
        <v>Wounded</v>
      </c>
      <c r="C308" s="5" t="str">
        <f ca="1">IFERROR(__xludf.DUMMYFUNCTION("""COMPUTED_VALUE"""),"Female")</f>
        <v>Female</v>
      </c>
      <c r="D308" s="5" t="str">
        <f ca="1">IFERROR(__xludf.DUMMYFUNCTION("""COMPUTED_VALUE"""),"Student")</f>
        <v>Student</v>
      </c>
      <c r="E308" s="5" t="str">
        <f ca="1">IFERROR(__xludf.DUMMYFUNCTION("""COMPUTED_VALUE"""),"Teen")</f>
        <v>Teen</v>
      </c>
      <c r="F308" s="5"/>
    </row>
    <row r="309" spans="1:6" ht="13">
      <c r="A309" s="5" t="str">
        <f ca="1">IFERROR(__xludf.DUMMYFUNCTION("""COMPUTED_VALUE"""),"20220414MSNEP")</f>
        <v>20220414MSNEP</v>
      </c>
      <c r="B309" s="5" t="str">
        <f ca="1">IFERROR(__xludf.DUMMYFUNCTION("""COMPUTED_VALUE"""),"Wounded")</f>
        <v>Wounded</v>
      </c>
      <c r="C309" s="5" t="str">
        <f ca="1">IFERROR(__xludf.DUMMYFUNCTION("""COMPUTED_VALUE"""),"Male")</f>
        <v>Male</v>
      </c>
      <c r="D309" s="5" t="str">
        <f ca="1">IFERROR(__xludf.DUMMYFUNCTION("""COMPUTED_VALUE"""),"Student")</f>
        <v>Student</v>
      </c>
      <c r="E309" s="5" t="str">
        <f ca="1">IFERROR(__xludf.DUMMYFUNCTION("""COMPUTED_VALUE"""),"Teen")</f>
        <v>Teen</v>
      </c>
      <c r="F309" s="5"/>
    </row>
    <row r="310" spans="1:6" ht="13">
      <c r="A310" s="5" t="str">
        <f ca="1">IFERROR(__xludf.DUMMYFUNCTION("""COMPUTED_VALUE"""),"20220414MSNEP")</f>
        <v>20220414MSNEP</v>
      </c>
      <c r="B310" s="5" t="str">
        <f ca="1">IFERROR(__xludf.DUMMYFUNCTION("""COMPUTED_VALUE"""),"Minor Injuries")</f>
        <v>Minor Injuries</v>
      </c>
      <c r="C310" s="5" t="str">
        <f ca="1">IFERROR(__xludf.DUMMYFUNCTION("""COMPUTED_VALUE"""),"Male")</f>
        <v>Male</v>
      </c>
      <c r="D310" s="5" t="str">
        <f ca="1">IFERROR(__xludf.DUMMYFUNCTION("""COMPUTED_VALUE"""),"Student")</f>
        <v>Student</v>
      </c>
      <c r="E310" s="5" t="str">
        <f ca="1">IFERROR(__xludf.DUMMYFUNCTION("""COMPUTED_VALUE"""),"Teen")</f>
        <v>Teen</v>
      </c>
      <c r="F310" s="5"/>
    </row>
    <row r="311" spans="1:6" ht="13">
      <c r="A311" s="5" t="str">
        <f ca="1">IFERROR(__xludf.DUMMYFUNCTION("""COMPUTED_VALUE"""),"20220414MSNEP")</f>
        <v>20220414MSNEP</v>
      </c>
      <c r="B311" s="5" t="str">
        <f ca="1">IFERROR(__xludf.DUMMYFUNCTION("""COMPUTED_VALUE"""),"Wounded")</f>
        <v>Wounded</v>
      </c>
      <c r="C311" s="5" t="str">
        <f ca="1">IFERROR(__xludf.DUMMYFUNCTION("""COMPUTED_VALUE"""),"Male")</f>
        <v>Male</v>
      </c>
      <c r="D311" s="5" t="str">
        <f ca="1">IFERROR(__xludf.DUMMYFUNCTION("""COMPUTED_VALUE"""),"Student")</f>
        <v>Student</v>
      </c>
      <c r="E311" s="5" t="str">
        <f ca="1">IFERROR(__xludf.DUMMYFUNCTION("""COMPUTED_VALUE"""),"Teen")</f>
        <v>Teen</v>
      </c>
      <c r="F311" s="5"/>
    </row>
    <row r="312" spans="1:6" ht="13">
      <c r="A312" s="5" t="str">
        <f ca="1">IFERROR(__xludf.DUMMYFUNCTION("""COMPUTED_VALUE"""),"20220413MISHS")</f>
        <v>20220413MISHS</v>
      </c>
      <c r="B312" s="5" t="str">
        <f ca="1">IFERROR(__xludf.DUMMYFUNCTION("""COMPUTED_VALUE"""),"Minor Injuries")</f>
        <v>Minor Injuries</v>
      </c>
      <c r="C312" s="5"/>
      <c r="D312" s="5" t="str">
        <f ca="1">IFERROR(__xludf.DUMMYFUNCTION("""COMPUTED_VALUE"""),"Student")</f>
        <v>Student</v>
      </c>
      <c r="E312" s="5" t="str">
        <f ca="1">IFERROR(__xludf.DUMMYFUNCTION("""COMPUTED_VALUE"""),"Child")</f>
        <v>Child</v>
      </c>
      <c r="F312" s="5"/>
    </row>
    <row r="313" spans="1:6" ht="13">
      <c r="A313" s="5" t="str">
        <f ca="1">IFERROR(__xludf.DUMMYFUNCTION("""COMPUTED_VALUE"""),"20220410MALYL")</f>
        <v>20220410MALYL</v>
      </c>
      <c r="B313" s="5" t="str">
        <f ca="1">IFERROR(__xludf.DUMMYFUNCTION("""COMPUTED_VALUE"""),"Fatal")</f>
        <v>Fatal</v>
      </c>
      <c r="C313" s="5" t="str">
        <f ca="1">IFERROR(__xludf.DUMMYFUNCTION("""COMPUTED_VALUE"""),"Male")</f>
        <v>Male</v>
      </c>
      <c r="D313" s="5" t="str">
        <f ca="1">IFERROR(__xludf.DUMMYFUNCTION("""COMPUTED_VALUE"""),"No Relation")</f>
        <v>No Relation</v>
      </c>
      <c r="E313" s="5">
        <f ca="1">IFERROR(__xludf.DUMMYFUNCTION("""COMPUTED_VALUE"""),20)</f>
        <v>20</v>
      </c>
      <c r="F313" s="5"/>
    </row>
    <row r="314" spans="1:6" ht="13">
      <c r="A314" s="5" t="str">
        <f ca="1">IFERROR(__xludf.DUMMYFUNCTION("""COMPUTED_VALUE"""),"20220406WASTM")</f>
        <v>20220406WASTM</v>
      </c>
      <c r="B314" s="5" t="str">
        <f ca="1">IFERROR(__xludf.DUMMYFUNCTION("""COMPUTED_VALUE"""),"None")</f>
        <v>None</v>
      </c>
      <c r="C314" s="5"/>
      <c r="D314" s="5" t="str">
        <f ca="1">IFERROR(__xludf.DUMMYFUNCTION("""COMPUTED_VALUE"""),"Student")</f>
        <v>Student</v>
      </c>
      <c r="E314" s="5" t="str">
        <f ca="1">IFERROR(__xludf.DUMMYFUNCTION("""COMPUTED_VALUE"""),"Child")</f>
        <v>Child</v>
      </c>
      <c r="F314" s="5"/>
    </row>
    <row r="315" spans="1:6" ht="13">
      <c r="A315" s="5" t="str">
        <f ca="1">IFERROR(__xludf.DUMMYFUNCTION("""COMPUTED_VALUE"""),"20220406WASTM")</f>
        <v>20220406WASTM</v>
      </c>
      <c r="B315" s="5" t="str">
        <f ca="1">IFERROR(__xludf.DUMMYFUNCTION("""COMPUTED_VALUE"""),"None")</f>
        <v>None</v>
      </c>
      <c r="C315" s="5"/>
      <c r="D315" s="5" t="str">
        <f ca="1">IFERROR(__xludf.DUMMYFUNCTION("""COMPUTED_VALUE"""),"Student")</f>
        <v>Student</v>
      </c>
      <c r="E315" s="5" t="str">
        <f ca="1">IFERROR(__xludf.DUMMYFUNCTION("""COMPUTED_VALUE"""),"Child")</f>
        <v>Child</v>
      </c>
      <c r="F315" s="5"/>
    </row>
    <row r="316" spans="1:6" ht="13">
      <c r="A316" s="5" t="str">
        <f ca="1">IFERROR(__xludf.DUMMYFUNCTION("""COMPUTED_VALUE"""),"20220406ORROP")</f>
        <v>20220406ORROP</v>
      </c>
      <c r="B316" s="5" t="str">
        <f ca="1">IFERROR(__xludf.DUMMYFUNCTION("""COMPUTED_VALUE"""),"Wounded")</f>
        <v>Wounded</v>
      </c>
      <c r="C316" s="5"/>
      <c r="D316" s="5"/>
      <c r="E316" s="5" t="str">
        <f ca="1">IFERROR(__xludf.DUMMYFUNCTION("""COMPUTED_VALUE"""),"Adult")</f>
        <v>Adult</v>
      </c>
      <c r="F316" s="5"/>
    </row>
    <row r="317" spans="1:6" ht="13">
      <c r="A317" s="5" t="str">
        <f ca="1">IFERROR(__xludf.DUMMYFUNCTION("""COMPUTED_VALUE"""),"20220405PAERE")</f>
        <v>20220405PAERE</v>
      </c>
      <c r="B317" s="5" t="str">
        <f ca="1">IFERROR(__xludf.DUMMYFUNCTION("""COMPUTED_VALUE"""),"Wounded")</f>
        <v>Wounded</v>
      </c>
      <c r="C317" s="5"/>
      <c r="D317" s="5" t="str">
        <f ca="1">IFERROR(__xludf.DUMMYFUNCTION("""COMPUTED_VALUE"""),"Student")</f>
        <v>Student</v>
      </c>
      <c r="E317" s="5" t="str">
        <f ca="1">IFERROR(__xludf.DUMMYFUNCTION("""COMPUTED_VALUE"""),"Teen")</f>
        <v>Teen</v>
      </c>
      <c r="F317" s="5"/>
    </row>
    <row r="318" spans="1:6" ht="13">
      <c r="A318" s="5" t="str">
        <f ca="1">IFERROR(__xludf.DUMMYFUNCTION("""COMPUTED_VALUE"""),"20220403INBLB")</f>
        <v>20220403INBLB</v>
      </c>
      <c r="B318" s="5" t="str">
        <f ca="1">IFERROR(__xludf.DUMMYFUNCTION("""COMPUTED_VALUE"""),"Wounded")</f>
        <v>Wounded</v>
      </c>
      <c r="C318" s="5" t="str">
        <f ca="1">IFERROR(__xludf.DUMMYFUNCTION("""COMPUTED_VALUE"""),"Male")</f>
        <v>Male</v>
      </c>
      <c r="D318" s="5"/>
      <c r="E318" s="5">
        <f ca="1">IFERROR(__xludf.DUMMYFUNCTION("""COMPUTED_VALUE"""),17)</f>
        <v>17</v>
      </c>
      <c r="F318" s="5"/>
    </row>
    <row r="319" spans="1:6" ht="13">
      <c r="A319" s="5" t="str">
        <f ca="1">IFERROR(__xludf.DUMMYFUNCTION("""COMPUTED_VALUE"""),"20220331SCTAG")</f>
        <v>20220331SCTAG</v>
      </c>
      <c r="B319" s="5" t="str">
        <f ca="1">IFERROR(__xludf.DUMMYFUNCTION("""COMPUTED_VALUE"""),"Fatal")</f>
        <v>Fatal</v>
      </c>
      <c r="C319" s="5" t="str">
        <f ca="1">IFERROR(__xludf.DUMMYFUNCTION("""COMPUTED_VALUE"""),"Male")</f>
        <v>Male</v>
      </c>
      <c r="D319" s="5" t="str">
        <f ca="1">IFERROR(__xludf.DUMMYFUNCTION("""COMPUTED_VALUE"""),"Student")</f>
        <v>Student</v>
      </c>
      <c r="E319" s="5">
        <f ca="1">IFERROR(__xludf.DUMMYFUNCTION("""COMPUTED_VALUE"""),12)</f>
        <v>12</v>
      </c>
      <c r="F319" s="5" t="str">
        <f ca="1">IFERROR(__xludf.DUMMYFUNCTION("""COMPUTED_VALUE"""),"Black")</f>
        <v>Black</v>
      </c>
    </row>
    <row r="320" spans="1:6" ht="13">
      <c r="A320" s="5" t="str">
        <f ca="1">IFERROR(__xludf.DUMMYFUNCTION("""COMPUTED_VALUE"""),"20220330AZKIK")</f>
        <v>20220330AZKIK</v>
      </c>
      <c r="B320" s="5" t="str">
        <f ca="1">IFERROR(__xludf.DUMMYFUNCTION("""COMPUTED_VALUE"""),"Wounded")</f>
        <v>Wounded</v>
      </c>
      <c r="C320" s="5" t="str">
        <f ca="1">IFERROR(__xludf.DUMMYFUNCTION("""COMPUTED_VALUE"""),"Male")</f>
        <v>Male</v>
      </c>
      <c r="D320" s="5" t="str">
        <f ca="1">IFERROR(__xludf.DUMMYFUNCTION("""COMPUTED_VALUE"""),"Student")</f>
        <v>Student</v>
      </c>
      <c r="E320" s="5">
        <f ca="1">IFERROR(__xludf.DUMMYFUNCTION("""COMPUTED_VALUE"""),15)</f>
        <v>15</v>
      </c>
      <c r="F320" s="5"/>
    </row>
    <row r="321" spans="1:6" ht="13">
      <c r="A321" s="5" t="str">
        <f ca="1">IFERROR(__xludf.DUMMYFUNCTION("""COMPUTED_VALUE"""),"20220329NVWEL")</f>
        <v>20220329NVWEL</v>
      </c>
      <c r="B321" s="5" t="str">
        <f ca="1">IFERROR(__xludf.DUMMYFUNCTION("""COMPUTED_VALUE"""),"Wounded")</f>
        <v>Wounded</v>
      </c>
      <c r="C321" s="5" t="str">
        <f ca="1">IFERROR(__xludf.DUMMYFUNCTION("""COMPUTED_VALUE"""),"Male")</f>
        <v>Male</v>
      </c>
      <c r="D321" s="5" t="str">
        <f ca="1">IFERROR(__xludf.DUMMYFUNCTION("""COMPUTED_VALUE"""),"Student")</f>
        <v>Student</v>
      </c>
      <c r="E321" s="5">
        <f ca="1">IFERROR(__xludf.DUMMYFUNCTION("""COMPUTED_VALUE"""),16)</f>
        <v>16</v>
      </c>
      <c r="F321" s="5"/>
    </row>
    <row r="322" spans="1:6" ht="13">
      <c r="A322" s="5" t="str">
        <f ca="1">IFERROR(__xludf.DUMMYFUNCTION("""COMPUTED_VALUE"""),"20220329NVWEL")</f>
        <v>20220329NVWEL</v>
      </c>
      <c r="B322" s="5" t="str">
        <f ca="1">IFERROR(__xludf.DUMMYFUNCTION("""COMPUTED_VALUE"""),"Wounded")</f>
        <v>Wounded</v>
      </c>
      <c r="C322" s="5" t="str">
        <f ca="1">IFERROR(__xludf.DUMMYFUNCTION("""COMPUTED_VALUE"""),"Male")</f>
        <v>Male</v>
      </c>
      <c r="D322" s="5" t="str">
        <f ca="1">IFERROR(__xludf.DUMMYFUNCTION("""COMPUTED_VALUE"""),"Nonstudent")</f>
        <v>Nonstudent</v>
      </c>
      <c r="E322" s="5" t="str">
        <f ca="1">IFERROR(__xludf.DUMMYFUNCTION("""COMPUTED_VALUE"""),"Teen")</f>
        <v>Teen</v>
      </c>
      <c r="F322" s="5"/>
    </row>
    <row r="323" spans="1:6" ht="13">
      <c r="A323" s="5" t="str">
        <f ca="1">IFERROR(__xludf.DUMMYFUNCTION("""COMPUTED_VALUE"""),"20220329NVWEL")</f>
        <v>20220329NVWEL</v>
      </c>
      <c r="B323" s="5" t="str">
        <f ca="1">IFERROR(__xludf.DUMMYFUNCTION("""COMPUTED_VALUE"""),"Minor Injuries")</f>
        <v>Minor Injuries</v>
      </c>
      <c r="C323" s="5" t="str">
        <f ca="1">IFERROR(__xludf.DUMMYFUNCTION("""COMPUTED_VALUE"""),"Female")</f>
        <v>Female</v>
      </c>
      <c r="D323" s="5" t="str">
        <f ca="1">IFERROR(__xludf.DUMMYFUNCTION("""COMPUTED_VALUE"""),"Student")</f>
        <v>Student</v>
      </c>
      <c r="E323" s="5" t="str">
        <f ca="1">IFERROR(__xludf.DUMMYFUNCTION("""COMPUTED_VALUE"""),"Teen")</f>
        <v>Teen</v>
      </c>
      <c r="F323" s="5"/>
    </row>
    <row r="324" spans="1:6" ht="13">
      <c r="A324" s="5" t="str">
        <f ca="1">IFERROR(__xludf.DUMMYFUNCTION("""COMPUTED_VALUE"""),"20220328NCOAC")</f>
        <v>20220328NCOAC</v>
      </c>
      <c r="B324" s="5" t="str">
        <f ca="1">IFERROR(__xludf.DUMMYFUNCTION("""COMPUTED_VALUE"""),"Wounded")</f>
        <v>Wounded</v>
      </c>
      <c r="C324" s="5" t="str">
        <f ca="1">IFERROR(__xludf.DUMMYFUNCTION("""COMPUTED_VALUE"""),"Male")</f>
        <v>Male</v>
      </c>
      <c r="D324" s="5" t="str">
        <f ca="1">IFERROR(__xludf.DUMMYFUNCTION("""COMPUTED_VALUE"""),"No Relation")</f>
        <v>No Relation</v>
      </c>
      <c r="E324" s="5">
        <f ca="1">IFERROR(__xludf.DUMMYFUNCTION("""COMPUTED_VALUE"""),16)</f>
        <v>16</v>
      </c>
      <c r="F324" s="5"/>
    </row>
    <row r="325" spans="1:6" ht="13">
      <c r="A325" s="5" t="str">
        <f ca="1">IFERROR(__xludf.DUMMYFUNCTION("""COMPUTED_VALUE"""),"20220322FLNEN")</f>
        <v>20220322FLNEN</v>
      </c>
      <c r="B325" s="5" t="str">
        <f ca="1">IFERROR(__xludf.DUMMYFUNCTION("""COMPUTED_VALUE"""),"Minor Injuries")</f>
        <v>Minor Injuries</v>
      </c>
      <c r="C325" s="5" t="str">
        <f ca="1">IFERROR(__xludf.DUMMYFUNCTION("""COMPUTED_VALUE"""),"Female")</f>
        <v>Female</v>
      </c>
      <c r="D325" s="5" t="str">
        <f ca="1">IFERROR(__xludf.DUMMYFUNCTION("""COMPUTED_VALUE"""),"Other Staff")</f>
        <v>Other Staff</v>
      </c>
      <c r="E325" s="5" t="str">
        <f ca="1">IFERROR(__xludf.DUMMYFUNCTION("""COMPUTED_VALUE"""),"Adult")</f>
        <v>Adult</v>
      </c>
      <c r="F325" s="5"/>
    </row>
    <row r="326" spans="1:6" ht="13">
      <c r="A326" s="5" t="str">
        <f ca="1">IFERROR(__xludf.DUMMYFUNCTION("""COMPUTED_VALUE"""),"20220321MIMAK")</f>
        <v>20220321MIMAK</v>
      </c>
      <c r="B326" s="5" t="str">
        <f ca="1">IFERROR(__xludf.DUMMYFUNCTION("""COMPUTED_VALUE"""),"None")</f>
        <v>None</v>
      </c>
      <c r="C326" s="5" t="str">
        <f ca="1">IFERROR(__xludf.DUMMYFUNCTION("""COMPUTED_VALUE"""),"Male")</f>
        <v>Male</v>
      </c>
      <c r="D326" s="5" t="str">
        <f ca="1">IFERROR(__xludf.DUMMYFUNCTION("""COMPUTED_VALUE"""),"Parent")</f>
        <v>Parent</v>
      </c>
      <c r="E326" s="5" t="str">
        <f ca="1">IFERROR(__xludf.DUMMYFUNCTION("""COMPUTED_VALUE"""),"Adult")</f>
        <v>Adult</v>
      </c>
      <c r="F326" s="5"/>
    </row>
    <row r="327" spans="1:6" ht="13">
      <c r="A327" s="5" t="str">
        <f ca="1">IFERROR(__xludf.DUMMYFUNCTION("""COMPUTED_VALUE"""),"20220319ALCEL")</f>
        <v>20220319ALCEL</v>
      </c>
      <c r="B327" s="5" t="str">
        <f ca="1">IFERROR(__xludf.DUMMYFUNCTION("""COMPUTED_VALUE"""),"None")</f>
        <v>None</v>
      </c>
      <c r="C327" s="5" t="str">
        <f ca="1">IFERROR(__xludf.DUMMYFUNCTION("""COMPUTED_VALUE"""),"Male")</f>
        <v>Male</v>
      </c>
      <c r="D327" s="5" t="str">
        <f ca="1">IFERROR(__xludf.DUMMYFUNCTION("""COMPUTED_VALUE"""),"No Relation")</f>
        <v>No Relation</v>
      </c>
      <c r="E327" s="5" t="str">
        <f ca="1">IFERROR(__xludf.DUMMYFUNCTION("""COMPUTED_VALUE"""),"Adult")</f>
        <v>Adult</v>
      </c>
      <c r="F327" s="5"/>
    </row>
    <row r="328" spans="1:6" ht="13">
      <c r="A328" s="5" t="str">
        <f ca="1">IFERROR(__xludf.DUMMYFUNCTION("""COMPUTED_VALUE"""),"20220318RICEP")</f>
        <v>20220318RICEP</v>
      </c>
      <c r="B328" s="5" t="str">
        <f ca="1">IFERROR(__xludf.DUMMYFUNCTION("""COMPUTED_VALUE"""),"Minor Injuries")</f>
        <v>Minor Injuries</v>
      </c>
      <c r="C328" s="5"/>
      <c r="D328" s="5" t="str">
        <f ca="1">IFERROR(__xludf.DUMMYFUNCTION("""COMPUTED_VALUE"""),"Other Staff")</f>
        <v>Other Staff</v>
      </c>
      <c r="E328" s="5" t="str">
        <f ca="1">IFERROR(__xludf.DUMMYFUNCTION("""COMPUTED_VALUE"""),"Adult")</f>
        <v>Adult</v>
      </c>
      <c r="F328" s="5"/>
    </row>
    <row r="329" spans="1:6" ht="13">
      <c r="A329" s="5" t="str">
        <f ca="1">IFERROR(__xludf.DUMMYFUNCTION("""COMPUTED_VALUE"""),"20220318ILBAB")</f>
        <v>20220318ILBAB</v>
      </c>
      <c r="B329" s="5" t="str">
        <f ca="1">IFERROR(__xludf.DUMMYFUNCTION("""COMPUTED_VALUE"""),"Minor Injuries")</f>
        <v>Minor Injuries</v>
      </c>
      <c r="C329" s="5" t="str">
        <f ca="1">IFERROR(__xludf.DUMMYFUNCTION("""COMPUTED_VALUE"""),"Male")</f>
        <v>Male</v>
      </c>
      <c r="D329" s="5" t="str">
        <f ca="1">IFERROR(__xludf.DUMMYFUNCTION("""COMPUTED_VALUE"""),"Student")</f>
        <v>Student</v>
      </c>
      <c r="E329" s="5" t="str">
        <f ca="1">IFERROR(__xludf.DUMMYFUNCTION("""COMPUTED_VALUE"""),"Teen")</f>
        <v>Teen</v>
      </c>
      <c r="F329" s="5"/>
    </row>
    <row r="330" spans="1:6" ht="13">
      <c r="A330" s="5" t="str">
        <f ca="1">IFERROR(__xludf.DUMMYFUNCTION("""COMPUTED_VALUE"""),"20220318ILBAB")</f>
        <v>20220318ILBAB</v>
      </c>
      <c r="B330" s="5" t="str">
        <f ca="1">IFERROR(__xludf.DUMMYFUNCTION("""COMPUTED_VALUE"""),"Minor Injuries")</f>
        <v>Minor Injuries</v>
      </c>
      <c r="C330" s="5" t="str">
        <f ca="1">IFERROR(__xludf.DUMMYFUNCTION("""COMPUTED_VALUE"""),"Male")</f>
        <v>Male</v>
      </c>
      <c r="D330" s="5" t="str">
        <f ca="1">IFERROR(__xludf.DUMMYFUNCTION("""COMPUTED_VALUE"""),"Student")</f>
        <v>Student</v>
      </c>
      <c r="E330" s="5" t="str">
        <f ca="1">IFERROR(__xludf.DUMMYFUNCTION("""COMPUTED_VALUE"""),"Teen")</f>
        <v>Teen</v>
      </c>
      <c r="F330" s="5"/>
    </row>
    <row r="331" spans="1:6" ht="13">
      <c r="A331" s="5" t="str">
        <f ca="1">IFERROR(__xludf.DUMMYFUNCTION("""COMPUTED_VALUE"""),"20220315WAEIY")</f>
        <v>20220315WAEIY</v>
      </c>
      <c r="B331" s="5" t="str">
        <f ca="1">IFERROR(__xludf.DUMMYFUNCTION("""COMPUTED_VALUE"""),"Fatal")</f>
        <v>Fatal</v>
      </c>
      <c r="C331" s="5" t="str">
        <f ca="1">IFERROR(__xludf.DUMMYFUNCTION("""COMPUTED_VALUE"""),"Male")</f>
        <v>Male</v>
      </c>
      <c r="D331" s="5" t="str">
        <f ca="1">IFERROR(__xludf.DUMMYFUNCTION("""COMPUTED_VALUE"""),"Student")</f>
        <v>Student</v>
      </c>
      <c r="E331" s="5">
        <f ca="1">IFERROR(__xludf.DUMMYFUNCTION("""COMPUTED_VALUE"""),16)</f>
        <v>16</v>
      </c>
      <c r="F331" s="5"/>
    </row>
    <row r="332" spans="1:6" ht="13">
      <c r="A332" s="5" t="str">
        <f ca="1">IFERROR(__xludf.DUMMYFUNCTION("""COMPUTED_VALUE"""),"20220315WAEIY")</f>
        <v>20220315WAEIY</v>
      </c>
      <c r="B332" s="5" t="str">
        <f ca="1">IFERROR(__xludf.DUMMYFUNCTION("""COMPUTED_VALUE"""),"Wounded")</f>
        <v>Wounded</v>
      </c>
      <c r="C332" s="5" t="str">
        <f ca="1">IFERROR(__xludf.DUMMYFUNCTION("""COMPUTED_VALUE"""),"Male")</f>
        <v>Male</v>
      </c>
      <c r="D332" s="5" t="str">
        <f ca="1">IFERROR(__xludf.DUMMYFUNCTION("""COMPUTED_VALUE"""),"Student")</f>
        <v>Student</v>
      </c>
      <c r="E332" s="5">
        <f ca="1">IFERROR(__xludf.DUMMYFUNCTION("""COMPUTED_VALUE"""),18)</f>
        <v>18</v>
      </c>
      <c r="F332" s="5"/>
    </row>
    <row r="333" spans="1:6" ht="13">
      <c r="A333" s="5" t="str">
        <f ca="1">IFERROR(__xludf.DUMMYFUNCTION("""COMPUTED_VALUE"""),"20220315MDPAB")</f>
        <v>20220315MDPAB</v>
      </c>
      <c r="B333" s="5" t="str">
        <f ca="1">IFERROR(__xludf.DUMMYFUNCTION("""COMPUTED_VALUE"""),"Wounded")</f>
        <v>Wounded</v>
      </c>
      <c r="C333" s="5" t="str">
        <f ca="1">IFERROR(__xludf.DUMMYFUNCTION("""COMPUTED_VALUE"""),"Male")</f>
        <v>Male</v>
      </c>
      <c r="D333" s="5" t="str">
        <f ca="1">IFERROR(__xludf.DUMMYFUNCTION("""COMPUTED_VALUE"""),"Student")</f>
        <v>Student</v>
      </c>
      <c r="E333" s="5">
        <f ca="1">IFERROR(__xludf.DUMMYFUNCTION("""COMPUTED_VALUE"""),18)</f>
        <v>18</v>
      </c>
      <c r="F333" s="5"/>
    </row>
    <row r="334" spans="1:6" ht="13">
      <c r="A334" s="5" t="str">
        <f ca="1">IFERROR(__xludf.DUMMYFUNCTION("""COMPUTED_VALUE"""),"20220315MATEB")</f>
        <v>20220315MATEB</v>
      </c>
      <c r="B334" s="5" t="str">
        <f ca="1">IFERROR(__xludf.DUMMYFUNCTION("""COMPUTED_VALUE"""),"Wounded")</f>
        <v>Wounded</v>
      </c>
      <c r="C334" s="5"/>
      <c r="D334" s="5" t="str">
        <f ca="1">IFERROR(__xludf.DUMMYFUNCTION("""COMPUTED_VALUE"""),"Student")</f>
        <v>Student</v>
      </c>
      <c r="E334" s="5">
        <f ca="1">IFERROR(__xludf.DUMMYFUNCTION("""COMPUTED_VALUE"""),17)</f>
        <v>17</v>
      </c>
      <c r="F334" s="5"/>
    </row>
    <row r="335" spans="1:6" ht="13">
      <c r="A335" s="5" t="str">
        <f ca="1">IFERROR(__xludf.DUMMYFUNCTION("""COMPUTED_VALUE"""),"20220315MATEB")</f>
        <v>20220315MATEB</v>
      </c>
      <c r="B335" s="5" t="str">
        <f ca="1">IFERROR(__xludf.DUMMYFUNCTION("""COMPUTED_VALUE"""),"Wounded")</f>
        <v>Wounded</v>
      </c>
      <c r="C335" s="5"/>
      <c r="D335" s="5" t="str">
        <f ca="1">IFERROR(__xludf.DUMMYFUNCTION("""COMPUTED_VALUE"""),"Teacher")</f>
        <v>Teacher</v>
      </c>
      <c r="E335" s="5">
        <f ca="1">IFERROR(__xludf.DUMMYFUNCTION("""COMPUTED_VALUE"""),31)</f>
        <v>31</v>
      </c>
      <c r="F335" s="5"/>
    </row>
    <row r="336" spans="1:6" ht="13">
      <c r="A336" s="5" t="str">
        <f ca="1">IFERROR(__xludf.DUMMYFUNCTION("""COMPUTED_VALUE"""),"20220311OHFAP")</f>
        <v>20220311OHFAP</v>
      </c>
      <c r="B336" s="5" t="str">
        <f ca="1">IFERROR(__xludf.DUMMYFUNCTION("""COMPUTED_VALUE"""),"None")</f>
        <v>None</v>
      </c>
      <c r="C336" s="5" t="str">
        <f ca="1">IFERROR(__xludf.DUMMYFUNCTION("""COMPUTED_VALUE"""),"Male")</f>
        <v>Male</v>
      </c>
      <c r="D336" s="5" t="str">
        <f ca="1">IFERROR(__xludf.DUMMYFUNCTION("""COMPUTED_VALUE"""),"No Relation")</f>
        <v>No Relation</v>
      </c>
      <c r="E336" s="5">
        <f ca="1">IFERROR(__xludf.DUMMYFUNCTION("""COMPUTED_VALUE"""),43)</f>
        <v>43</v>
      </c>
      <c r="F336" s="5"/>
    </row>
    <row r="337" spans="1:6" ht="13">
      <c r="A337" s="5" t="str">
        <f ca="1">IFERROR(__xludf.DUMMYFUNCTION("""COMPUTED_VALUE"""),"20220311CADER")</f>
        <v>20220311CADER</v>
      </c>
      <c r="B337" s="5" t="str">
        <f ca="1">IFERROR(__xludf.DUMMYFUNCTION("""COMPUTED_VALUE"""),"Minor Injuries")</f>
        <v>Minor Injuries</v>
      </c>
      <c r="C337" s="5" t="str">
        <f ca="1">IFERROR(__xludf.DUMMYFUNCTION("""COMPUTED_VALUE"""),"Male")</f>
        <v>Male</v>
      </c>
      <c r="D337" s="5" t="str">
        <f ca="1">IFERROR(__xludf.DUMMYFUNCTION("""COMPUTED_VALUE"""),"Student")</f>
        <v>Student</v>
      </c>
      <c r="E337" s="5" t="str">
        <f ca="1">IFERROR(__xludf.DUMMYFUNCTION("""COMPUTED_VALUE"""),"Teen")</f>
        <v>Teen</v>
      </c>
      <c r="F337" s="5"/>
    </row>
    <row r="338" spans="1:6" ht="13">
      <c r="A338" s="5" t="str">
        <f ca="1">IFERROR(__xludf.DUMMYFUNCTION("""COMPUTED_VALUE"""),"20220310TNHAM")</f>
        <v>20220310TNHAM</v>
      </c>
      <c r="B338" s="5" t="str">
        <f ca="1">IFERROR(__xludf.DUMMYFUNCTION("""COMPUTED_VALUE"""),"None")</f>
        <v>None</v>
      </c>
      <c r="C338" s="5"/>
      <c r="D338" s="5" t="str">
        <f ca="1">IFERROR(__xludf.DUMMYFUNCTION("""COMPUTED_VALUE"""),"Student")</f>
        <v>Student</v>
      </c>
      <c r="E338" s="5" t="str">
        <f ca="1">IFERROR(__xludf.DUMMYFUNCTION("""COMPUTED_VALUE"""),"Child")</f>
        <v>Child</v>
      </c>
      <c r="F338" s="5"/>
    </row>
    <row r="339" spans="1:6" ht="13">
      <c r="A339" s="5" t="str">
        <f ca="1">IFERROR(__xludf.DUMMYFUNCTION("""COMPUTED_VALUE"""),"20220310TNHAM")</f>
        <v>20220310TNHAM</v>
      </c>
      <c r="B339" s="5" t="str">
        <f ca="1">IFERROR(__xludf.DUMMYFUNCTION("""COMPUTED_VALUE"""),"None")</f>
        <v>None</v>
      </c>
      <c r="C339" s="5"/>
      <c r="D339" s="5" t="str">
        <f ca="1">IFERROR(__xludf.DUMMYFUNCTION("""COMPUTED_VALUE"""),"Student")</f>
        <v>Student</v>
      </c>
      <c r="E339" s="5" t="str">
        <f ca="1">IFERROR(__xludf.DUMMYFUNCTION("""COMPUTED_VALUE"""),"Child")</f>
        <v>Child</v>
      </c>
      <c r="F339" s="5"/>
    </row>
    <row r="340" spans="1:6" ht="13">
      <c r="A340" s="5" t="str">
        <f ca="1">IFERROR(__xludf.DUMMYFUNCTION("""COMPUTED_VALUE"""),"20220310TNHAM")</f>
        <v>20220310TNHAM</v>
      </c>
      <c r="B340" s="5" t="str">
        <f ca="1">IFERROR(__xludf.DUMMYFUNCTION("""COMPUTED_VALUE"""),"None")</f>
        <v>None</v>
      </c>
      <c r="C340" s="5"/>
      <c r="D340" s="5" t="str">
        <f ca="1">IFERROR(__xludf.DUMMYFUNCTION("""COMPUTED_VALUE"""),"Student")</f>
        <v>Student</v>
      </c>
      <c r="E340" s="5" t="str">
        <f ca="1">IFERROR(__xludf.DUMMYFUNCTION("""COMPUTED_VALUE"""),"Child")</f>
        <v>Child</v>
      </c>
      <c r="F340" s="5"/>
    </row>
    <row r="341" spans="1:6" ht="13">
      <c r="A341" s="5" t="str">
        <f ca="1">IFERROR(__xludf.DUMMYFUNCTION("""COMPUTED_VALUE"""),"20220310TNHAM")</f>
        <v>20220310TNHAM</v>
      </c>
      <c r="B341" s="5" t="str">
        <f ca="1">IFERROR(__xludf.DUMMYFUNCTION("""COMPUTED_VALUE"""),"None")</f>
        <v>None</v>
      </c>
      <c r="C341" s="5"/>
      <c r="D341" s="5" t="str">
        <f ca="1">IFERROR(__xludf.DUMMYFUNCTION("""COMPUTED_VALUE"""),"Student")</f>
        <v>Student</v>
      </c>
      <c r="E341" s="5" t="str">
        <f ca="1">IFERROR(__xludf.DUMMYFUNCTION("""COMPUTED_VALUE"""),"Child")</f>
        <v>Child</v>
      </c>
      <c r="F341" s="5"/>
    </row>
    <row r="342" spans="1:6" ht="13">
      <c r="A342" s="5" t="str">
        <f ca="1">IFERROR(__xludf.DUMMYFUNCTION("""COMPUTED_VALUE"""),"20220310TNHAM")</f>
        <v>20220310TNHAM</v>
      </c>
      <c r="B342" s="5" t="str">
        <f ca="1">IFERROR(__xludf.DUMMYFUNCTION("""COMPUTED_VALUE"""),"None")</f>
        <v>None</v>
      </c>
      <c r="C342" s="5"/>
      <c r="D342" s="5" t="str">
        <f ca="1">IFERROR(__xludf.DUMMYFUNCTION("""COMPUTED_VALUE"""),"Student")</f>
        <v>Student</v>
      </c>
      <c r="E342" s="5" t="str">
        <f ca="1">IFERROR(__xludf.DUMMYFUNCTION("""COMPUTED_VALUE"""),"Child")</f>
        <v>Child</v>
      </c>
      <c r="F342" s="5"/>
    </row>
    <row r="343" spans="1:6" ht="13">
      <c r="A343" s="5" t="str">
        <f ca="1">IFERROR(__xludf.DUMMYFUNCTION("""COMPUTED_VALUE"""),"20220310MDCOL")</f>
        <v>20220310MDCOL</v>
      </c>
      <c r="B343" s="5" t="str">
        <f ca="1">IFERROR(__xludf.DUMMYFUNCTION("""COMPUTED_VALUE"""),"Fatal")</f>
        <v>Fatal</v>
      </c>
      <c r="C343" s="5" t="str">
        <f ca="1">IFERROR(__xludf.DUMMYFUNCTION("""COMPUTED_VALUE"""),"Male")</f>
        <v>Male</v>
      </c>
      <c r="D343" s="5"/>
      <c r="E343" s="5" t="str">
        <f ca="1">IFERROR(__xludf.DUMMYFUNCTION("""COMPUTED_VALUE"""),"Adult")</f>
        <v>Adult</v>
      </c>
      <c r="F343" s="5"/>
    </row>
    <row r="344" spans="1:6" ht="13">
      <c r="A344" s="5" t="str">
        <f ca="1">IFERROR(__xludf.DUMMYFUNCTION("""COMPUTED_VALUE"""),"20220309TXNOH")</f>
        <v>20220309TXNOH</v>
      </c>
      <c r="B344" s="5" t="str">
        <f ca="1">IFERROR(__xludf.DUMMYFUNCTION("""COMPUTED_VALUE"""),"Wounded")</f>
        <v>Wounded</v>
      </c>
      <c r="C344" s="5" t="str">
        <f ca="1">IFERROR(__xludf.DUMMYFUNCTION("""COMPUTED_VALUE"""),"Female")</f>
        <v>Female</v>
      </c>
      <c r="D344" s="5" t="str">
        <f ca="1">IFERROR(__xludf.DUMMYFUNCTION("""COMPUTED_VALUE"""),"Student")</f>
        <v>Student</v>
      </c>
      <c r="E344" s="5">
        <f ca="1">IFERROR(__xludf.DUMMYFUNCTION("""COMPUTED_VALUE"""),17)</f>
        <v>17</v>
      </c>
      <c r="F344" s="5"/>
    </row>
    <row r="345" spans="1:6" ht="13">
      <c r="A345" s="5" t="str">
        <f ca="1">IFERROR(__xludf.DUMMYFUNCTION("""COMPUTED_VALUE"""),"20220309FLNOM")</f>
        <v>20220309FLNOM</v>
      </c>
      <c r="B345" s="5" t="str">
        <f ca="1">IFERROR(__xludf.DUMMYFUNCTION("""COMPUTED_VALUE"""),"Wounded")</f>
        <v>Wounded</v>
      </c>
      <c r="C345" s="5" t="str">
        <f ca="1">IFERROR(__xludf.DUMMYFUNCTION("""COMPUTED_VALUE"""),"Male")</f>
        <v>Male</v>
      </c>
      <c r="D345" s="5" t="str">
        <f ca="1">IFERROR(__xludf.DUMMYFUNCTION("""COMPUTED_VALUE"""),"Student")</f>
        <v>Student</v>
      </c>
      <c r="E345" s="5">
        <f ca="1">IFERROR(__xludf.DUMMYFUNCTION("""COMPUTED_VALUE"""),17)</f>
        <v>17</v>
      </c>
      <c r="F345" s="5"/>
    </row>
    <row r="346" spans="1:6" ht="13">
      <c r="A346" s="5" t="str">
        <f ca="1">IFERROR(__xludf.DUMMYFUNCTION("""COMPUTED_VALUE"""),"20220309FLNOM")</f>
        <v>20220309FLNOM</v>
      </c>
      <c r="B346" s="5" t="str">
        <f ca="1">IFERROR(__xludf.DUMMYFUNCTION("""COMPUTED_VALUE"""),"Wounded")</f>
        <v>Wounded</v>
      </c>
      <c r="C346" s="5" t="str">
        <f ca="1">IFERROR(__xludf.DUMMYFUNCTION("""COMPUTED_VALUE"""),"Male")</f>
        <v>Male</v>
      </c>
      <c r="D346" s="5" t="str">
        <f ca="1">IFERROR(__xludf.DUMMYFUNCTION("""COMPUTED_VALUE"""),"Student")</f>
        <v>Student</v>
      </c>
      <c r="E346" s="5">
        <f ca="1">IFERROR(__xludf.DUMMYFUNCTION("""COMPUTED_VALUE"""),18)</f>
        <v>18</v>
      </c>
      <c r="F346" s="5"/>
    </row>
    <row r="347" spans="1:6" ht="13">
      <c r="A347" s="5" t="str">
        <f ca="1">IFERROR(__xludf.DUMMYFUNCTION("""COMPUTED_VALUE"""),"20220309FLNOM")</f>
        <v>20220309FLNOM</v>
      </c>
      <c r="B347" s="5" t="str">
        <f ca="1">IFERROR(__xludf.DUMMYFUNCTION("""COMPUTED_VALUE"""),"Wounded")</f>
        <v>Wounded</v>
      </c>
      <c r="C347" s="5"/>
      <c r="D347" s="5" t="str">
        <f ca="1">IFERROR(__xludf.DUMMYFUNCTION("""COMPUTED_VALUE"""),"Student")</f>
        <v>Student</v>
      </c>
      <c r="E347" s="5" t="str">
        <f ca="1">IFERROR(__xludf.DUMMYFUNCTION("""COMPUTED_VALUE"""),"Teen")</f>
        <v>Teen</v>
      </c>
      <c r="F347" s="5"/>
    </row>
    <row r="348" spans="1:6" ht="13">
      <c r="A348" s="5" t="str">
        <f ca="1">IFERROR(__xludf.DUMMYFUNCTION("""COMPUTED_VALUE"""),"20220307IAEAD")</f>
        <v>20220307IAEAD</v>
      </c>
      <c r="B348" s="5" t="str">
        <f ca="1">IFERROR(__xludf.DUMMYFUNCTION("""COMPUTED_VALUE"""),"Fatal")</f>
        <v>Fatal</v>
      </c>
      <c r="C348" s="5" t="str">
        <f ca="1">IFERROR(__xludf.DUMMYFUNCTION("""COMPUTED_VALUE"""),"Male")</f>
        <v>Male</v>
      </c>
      <c r="D348" s="5" t="str">
        <f ca="1">IFERROR(__xludf.DUMMYFUNCTION("""COMPUTED_VALUE"""),"Former Student")</f>
        <v>Former Student</v>
      </c>
      <c r="E348" s="5">
        <f ca="1">IFERROR(__xludf.DUMMYFUNCTION("""COMPUTED_VALUE"""),15)</f>
        <v>15</v>
      </c>
      <c r="F348" s="5" t="str">
        <f ca="1">IFERROR(__xludf.DUMMYFUNCTION("""COMPUTED_VALUE"""),"Hispanic")</f>
        <v>Hispanic</v>
      </c>
    </row>
    <row r="349" spans="1:6" ht="13">
      <c r="A349" s="5" t="str">
        <f ca="1">IFERROR(__xludf.DUMMYFUNCTION("""COMPUTED_VALUE"""),"20220307IAEAD")</f>
        <v>20220307IAEAD</v>
      </c>
      <c r="B349" s="5" t="str">
        <f ca="1">IFERROR(__xludf.DUMMYFUNCTION("""COMPUTED_VALUE"""),"Wounded")</f>
        <v>Wounded</v>
      </c>
      <c r="C349" s="5" t="str">
        <f ca="1">IFERROR(__xludf.DUMMYFUNCTION("""COMPUTED_VALUE"""),"Female")</f>
        <v>Female</v>
      </c>
      <c r="D349" s="5" t="str">
        <f ca="1">IFERROR(__xludf.DUMMYFUNCTION("""COMPUTED_VALUE"""),"Student")</f>
        <v>Student</v>
      </c>
      <c r="E349" s="5">
        <f ca="1">IFERROR(__xludf.DUMMYFUNCTION("""COMPUTED_VALUE"""),16)</f>
        <v>16</v>
      </c>
      <c r="F349" s="5"/>
    </row>
    <row r="350" spans="1:6" ht="13">
      <c r="A350" s="5" t="str">
        <f ca="1">IFERROR(__xludf.DUMMYFUNCTION("""COMPUTED_VALUE"""),"20220307IAEAD")</f>
        <v>20220307IAEAD</v>
      </c>
      <c r="B350" s="5" t="str">
        <f ca="1">IFERROR(__xludf.DUMMYFUNCTION("""COMPUTED_VALUE"""),"Wounded")</f>
        <v>Wounded</v>
      </c>
      <c r="C350" s="5" t="str">
        <f ca="1">IFERROR(__xludf.DUMMYFUNCTION("""COMPUTED_VALUE"""),"Female")</f>
        <v>Female</v>
      </c>
      <c r="D350" s="5" t="str">
        <f ca="1">IFERROR(__xludf.DUMMYFUNCTION("""COMPUTED_VALUE"""),"Student")</f>
        <v>Student</v>
      </c>
      <c r="E350" s="5">
        <f ca="1">IFERROR(__xludf.DUMMYFUNCTION("""COMPUTED_VALUE"""),18)</f>
        <v>18</v>
      </c>
      <c r="F350" s="5"/>
    </row>
    <row r="351" spans="1:6" ht="13">
      <c r="A351" s="5" t="str">
        <f ca="1">IFERROR(__xludf.DUMMYFUNCTION("""COMPUTED_VALUE"""),"20220304KSOLO")</f>
        <v>20220304KSOLO</v>
      </c>
      <c r="B351" s="5" t="str">
        <f ca="1">IFERROR(__xludf.DUMMYFUNCTION("""COMPUTED_VALUE"""),"Wounded")</f>
        <v>Wounded</v>
      </c>
      <c r="C351" s="5" t="str">
        <f ca="1">IFERROR(__xludf.DUMMYFUNCTION("""COMPUTED_VALUE"""),"Male")</f>
        <v>Male</v>
      </c>
      <c r="D351" s="5" t="str">
        <f ca="1">IFERROR(__xludf.DUMMYFUNCTION("""COMPUTED_VALUE"""),"Principal/Vice-Principal")</f>
        <v>Principal/Vice-Principal</v>
      </c>
      <c r="E351" s="5" t="str">
        <f ca="1">IFERROR(__xludf.DUMMYFUNCTION("""COMPUTED_VALUE"""),"Adult")</f>
        <v>Adult</v>
      </c>
      <c r="F351" s="5"/>
    </row>
    <row r="352" spans="1:6" ht="13">
      <c r="A352" s="5" t="str">
        <f ca="1">IFERROR(__xludf.DUMMYFUNCTION("""COMPUTED_VALUE"""),"20220304KSOLO")</f>
        <v>20220304KSOLO</v>
      </c>
      <c r="B352" s="5" t="str">
        <f ca="1">IFERROR(__xludf.DUMMYFUNCTION("""COMPUTED_VALUE"""),"Wounded")</f>
        <v>Wounded</v>
      </c>
      <c r="C352" s="5" t="str">
        <f ca="1">IFERROR(__xludf.DUMMYFUNCTION("""COMPUTED_VALUE"""),"Male")</f>
        <v>Male</v>
      </c>
      <c r="D352" s="5" t="str">
        <f ca="1">IFERROR(__xludf.DUMMYFUNCTION("""COMPUTED_VALUE"""),"Police Officer/SRO")</f>
        <v>Police Officer/SRO</v>
      </c>
      <c r="E352" s="5" t="str">
        <f ca="1">IFERROR(__xludf.DUMMYFUNCTION("""COMPUTED_VALUE"""),"Adult")</f>
        <v>Adult</v>
      </c>
      <c r="F352" s="5"/>
    </row>
    <row r="353" spans="1:6" ht="13">
      <c r="A353" s="5" t="str">
        <f ca="1">IFERROR(__xludf.DUMMYFUNCTION("""COMPUTED_VALUE"""),"20220303MIJWL")</f>
        <v>20220303MIJWL</v>
      </c>
      <c r="B353" s="5" t="str">
        <f ca="1">IFERROR(__xludf.DUMMYFUNCTION("""COMPUTED_VALUE"""),"Wounded")</f>
        <v>Wounded</v>
      </c>
      <c r="C353" s="5" t="str">
        <f ca="1">IFERROR(__xludf.DUMMYFUNCTION("""COMPUTED_VALUE"""),"Male")</f>
        <v>Male</v>
      </c>
      <c r="D353" s="5"/>
      <c r="E353" s="5">
        <f ca="1">IFERROR(__xludf.DUMMYFUNCTION("""COMPUTED_VALUE"""),17)</f>
        <v>17</v>
      </c>
      <c r="F353" s="5"/>
    </row>
    <row r="354" spans="1:6" ht="13">
      <c r="A354" s="5" t="str">
        <f ca="1">IFERROR(__xludf.DUMMYFUNCTION("""COMPUTED_VALUE"""),"20220228NYBOB")</f>
        <v>20220228NYBOB</v>
      </c>
      <c r="B354" s="5" t="str">
        <f ca="1">IFERROR(__xludf.DUMMYFUNCTION("""COMPUTED_VALUE"""),"Wounded")</f>
        <v>Wounded</v>
      </c>
      <c r="C354" s="5" t="str">
        <f ca="1">IFERROR(__xludf.DUMMYFUNCTION("""COMPUTED_VALUE"""),"Male")</f>
        <v>Male</v>
      </c>
      <c r="D354" s="5" t="str">
        <f ca="1">IFERROR(__xludf.DUMMYFUNCTION("""COMPUTED_VALUE"""),"Student")</f>
        <v>Student</v>
      </c>
      <c r="E354" s="5">
        <f ca="1">IFERROR(__xludf.DUMMYFUNCTION("""COMPUTED_VALUE"""),14)</f>
        <v>14</v>
      </c>
      <c r="F354" s="5"/>
    </row>
    <row r="355" spans="1:6" ht="13">
      <c r="A355" s="5" t="str">
        <f ca="1">IFERROR(__xludf.DUMMYFUNCTION("""COMPUTED_VALUE"""),"20220227DCDUW")</f>
        <v>20220227DCDUW</v>
      </c>
      <c r="B355" s="5" t="str">
        <f ca="1">IFERROR(__xludf.DUMMYFUNCTION("""COMPUTED_VALUE"""),"Fatal")</f>
        <v>Fatal</v>
      </c>
      <c r="C355" s="5" t="str">
        <f ca="1">IFERROR(__xludf.DUMMYFUNCTION("""COMPUTED_VALUE"""),"Male")</f>
        <v>Male</v>
      </c>
      <c r="D355" s="5" t="str">
        <f ca="1">IFERROR(__xludf.DUMMYFUNCTION("""COMPUTED_VALUE"""),"No Relation")</f>
        <v>No Relation</v>
      </c>
      <c r="E355" s="5">
        <f ca="1">IFERROR(__xludf.DUMMYFUNCTION("""COMPUTED_VALUE"""),32)</f>
        <v>32</v>
      </c>
      <c r="F355" s="5"/>
    </row>
    <row r="356" spans="1:6" ht="13">
      <c r="A356" s="5" t="str">
        <f ca="1">IFERROR(__xludf.DUMMYFUNCTION("""COMPUTED_VALUE"""),"20220225NMWEA")</f>
        <v>20220225NMWEA</v>
      </c>
      <c r="B356" s="5" t="str">
        <f ca="1">IFERROR(__xludf.DUMMYFUNCTION("""COMPUTED_VALUE"""),"Fatal")</f>
        <v>Fatal</v>
      </c>
      <c r="C356" s="5" t="str">
        <f ca="1">IFERROR(__xludf.DUMMYFUNCTION("""COMPUTED_VALUE"""),"Male")</f>
        <v>Male</v>
      </c>
      <c r="D356" s="5" t="str">
        <f ca="1">IFERROR(__xludf.DUMMYFUNCTION("""COMPUTED_VALUE"""),"Student")</f>
        <v>Student</v>
      </c>
      <c r="E356" s="5">
        <f ca="1">IFERROR(__xludf.DUMMYFUNCTION("""COMPUTED_VALUE"""),16)</f>
        <v>16</v>
      </c>
      <c r="F356" s="5"/>
    </row>
    <row r="357" spans="1:6" ht="13">
      <c r="A357" s="5" t="str">
        <f ca="1">IFERROR(__xludf.DUMMYFUNCTION("""COMPUTED_VALUE"""),"20220222TXALH")</f>
        <v>20220222TXALH</v>
      </c>
      <c r="B357" s="5" t="str">
        <f ca="1">IFERROR(__xludf.DUMMYFUNCTION("""COMPUTED_VALUE"""),"Fatal")</f>
        <v>Fatal</v>
      </c>
      <c r="C357" s="5" t="str">
        <f ca="1">IFERROR(__xludf.DUMMYFUNCTION("""COMPUTED_VALUE"""),"Male")</f>
        <v>Male</v>
      </c>
      <c r="D357" s="5" t="str">
        <f ca="1">IFERROR(__xludf.DUMMYFUNCTION("""COMPUTED_VALUE"""),"No Relation")</f>
        <v>No Relation</v>
      </c>
      <c r="E357" s="5" t="str">
        <f ca="1">IFERROR(__xludf.DUMMYFUNCTION("""COMPUTED_VALUE"""),"Adult")</f>
        <v>Adult</v>
      </c>
      <c r="F357" s="5"/>
    </row>
    <row r="358" spans="1:6" ht="13">
      <c r="A358" s="5" t="str">
        <f ca="1">IFERROR(__xludf.DUMMYFUNCTION("""COMPUTED_VALUE"""),"20220222COLIP")</f>
        <v>20220222COLIP</v>
      </c>
      <c r="B358" s="5" t="str">
        <f ca="1">IFERROR(__xludf.DUMMYFUNCTION("""COMPUTED_VALUE"""),"Fatal")</f>
        <v>Fatal</v>
      </c>
      <c r="C358" s="5" t="str">
        <f ca="1">IFERROR(__xludf.DUMMYFUNCTION("""COMPUTED_VALUE"""),"Male")</f>
        <v>Male</v>
      </c>
      <c r="D358" s="5" t="str">
        <f ca="1">IFERROR(__xludf.DUMMYFUNCTION("""COMPUTED_VALUE"""),"No Relation")</f>
        <v>No Relation</v>
      </c>
      <c r="E358" s="5" t="str">
        <f ca="1">IFERROR(__xludf.DUMMYFUNCTION("""COMPUTED_VALUE"""),"Adult")</f>
        <v>Adult</v>
      </c>
      <c r="F358" s="5"/>
    </row>
    <row r="359" spans="1:6" ht="13">
      <c r="A359" s="5" t="str">
        <f ca="1">IFERROR(__xludf.DUMMYFUNCTION("""COMPUTED_VALUE"""),"20220221MDJOH")</f>
        <v>20220221MDJOH</v>
      </c>
      <c r="B359" s="5" t="str">
        <f ca="1">IFERROR(__xludf.DUMMYFUNCTION("""COMPUTED_VALUE"""),"Fatal")</f>
        <v>Fatal</v>
      </c>
      <c r="C359" s="5" t="str">
        <f ca="1">IFERROR(__xludf.DUMMYFUNCTION("""COMPUTED_VALUE"""),"Male")</f>
        <v>Male</v>
      </c>
      <c r="D359" s="5" t="str">
        <f ca="1">IFERROR(__xludf.DUMMYFUNCTION("""COMPUTED_VALUE"""),"No Relation")</f>
        <v>No Relation</v>
      </c>
      <c r="E359" s="5">
        <f ca="1">IFERROR(__xludf.DUMMYFUNCTION("""COMPUTED_VALUE"""),18)</f>
        <v>18</v>
      </c>
      <c r="F359" s="5"/>
    </row>
    <row r="360" spans="1:6" ht="13">
      <c r="A360" s="5" t="str">
        <f ca="1">IFERROR(__xludf.DUMMYFUNCTION("""COMPUTED_VALUE"""),"20220220OKWIW")</f>
        <v>20220220OKWIW</v>
      </c>
      <c r="B360" s="5" t="str">
        <f ca="1">IFERROR(__xludf.DUMMYFUNCTION("""COMPUTED_VALUE"""),"Wounded")</f>
        <v>Wounded</v>
      </c>
      <c r="C360" s="5" t="str">
        <f ca="1">IFERROR(__xludf.DUMMYFUNCTION("""COMPUTED_VALUE"""),"Male")</f>
        <v>Male</v>
      </c>
      <c r="D360" s="5" t="str">
        <f ca="1">IFERROR(__xludf.DUMMYFUNCTION("""COMPUTED_VALUE"""),"Police Officer/SRO")</f>
        <v>Police Officer/SRO</v>
      </c>
      <c r="E360" s="5" t="str">
        <f ca="1">IFERROR(__xludf.DUMMYFUNCTION("""COMPUTED_VALUE"""),"Adult")</f>
        <v>Adult</v>
      </c>
      <c r="F360" s="5"/>
    </row>
    <row r="361" spans="1:6" ht="13">
      <c r="A361" s="5" t="str">
        <f ca="1">IFERROR(__xludf.DUMMYFUNCTION("""COMPUTED_VALUE"""),"20220220MSMCM")</f>
        <v>20220220MSMCM</v>
      </c>
      <c r="B361" s="5" t="str">
        <f ca="1">IFERROR(__xludf.DUMMYFUNCTION("""COMPUTED_VALUE"""),"Wounded")</f>
        <v>Wounded</v>
      </c>
      <c r="C361" s="5"/>
      <c r="D361" s="5"/>
      <c r="E361" s="5"/>
      <c r="F361" s="5"/>
    </row>
    <row r="362" spans="1:6" ht="13">
      <c r="A362" s="5" t="str">
        <f ca="1">IFERROR(__xludf.DUMMYFUNCTION("""COMPUTED_VALUE"""),"20220220MSMCM")</f>
        <v>20220220MSMCM</v>
      </c>
      <c r="B362" s="5" t="str">
        <f ca="1">IFERROR(__xludf.DUMMYFUNCTION("""COMPUTED_VALUE"""),"Wounded")</f>
        <v>Wounded</v>
      </c>
      <c r="C362" s="5"/>
      <c r="D362" s="5"/>
      <c r="E362" s="5"/>
      <c r="F362" s="5"/>
    </row>
    <row r="363" spans="1:6" ht="13">
      <c r="A363" s="5" t="str">
        <f ca="1">IFERROR(__xludf.DUMMYFUNCTION("""COMPUTED_VALUE"""),"20220220MSMCM")</f>
        <v>20220220MSMCM</v>
      </c>
      <c r="B363" s="5" t="str">
        <f ca="1">IFERROR(__xludf.DUMMYFUNCTION("""COMPUTED_VALUE"""),"Wounded")</f>
        <v>Wounded</v>
      </c>
      <c r="C363" s="5"/>
      <c r="D363" s="5"/>
      <c r="E363" s="5"/>
      <c r="F363" s="5"/>
    </row>
    <row r="364" spans="1:6" ht="13">
      <c r="A364" s="5" t="str">
        <f ca="1">IFERROR(__xludf.DUMMYFUNCTION("""COMPUTED_VALUE"""),"20220220MSMCM")</f>
        <v>20220220MSMCM</v>
      </c>
      <c r="B364" s="5" t="str">
        <f ca="1">IFERROR(__xludf.DUMMYFUNCTION("""COMPUTED_VALUE"""),"Wounded")</f>
        <v>Wounded</v>
      </c>
      <c r="C364" s="5"/>
      <c r="D364" s="5"/>
      <c r="E364" s="5"/>
      <c r="F364" s="5"/>
    </row>
    <row r="365" spans="1:6" ht="13">
      <c r="A365" s="5" t="str">
        <f ca="1">IFERROR(__xludf.DUMMYFUNCTION("""COMPUTED_VALUE"""),"20220220MSMCM")</f>
        <v>20220220MSMCM</v>
      </c>
      <c r="B365" s="5" t="str">
        <f ca="1">IFERROR(__xludf.DUMMYFUNCTION("""COMPUTED_VALUE"""),"Fatal")</f>
        <v>Fatal</v>
      </c>
      <c r="C365" s="5" t="str">
        <f ca="1">IFERROR(__xludf.DUMMYFUNCTION("""COMPUTED_VALUE"""),"Male")</f>
        <v>Male</v>
      </c>
      <c r="D365" s="5" t="str">
        <f ca="1">IFERROR(__xludf.DUMMYFUNCTION("""COMPUTED_VALUE"""),"Nonstudent Using Athletic Facilities/Attending Game")</f>
        <v>Nonstudent Using Athletic Facilities/Attending Game</v>
      </c>
      <c r="E365" s="5">
        <f ca="1">IFERROR(__xludf.DUMMYFUNCTION("""COMPUTED_VALUE"""),6)</f>
        <v>6</v>
      </c>
      <c r="F365" s="5"/>
    </row>
    <row r="366" spans="1:6" ht="13">
      <c r="A366" s="5" t="str">
        <f ca="1">IFERROR(__xludf.DUMMYFUNCTION("""COMPUTED_VALUE"""),"20220219VACAC")</f>
        <v>20220219VACAC</v>
      </c>
      <c r="B366" s="5" t="str">
        <f ca="1">IFERROR(__xludf.DUMMYFUNCTION("""COMPUTED_VALUE"""),"Fatal")</f>
        <v>Fatal</v>
      </c>
      <c r="C366" s="5" t="str">
        <f ca="1">IFERROR(__xludf.DUMMYFUNCTION("""COMPUTED_VALUE"""),"Male")</f>
        <v>Male</v>
      </c>
      <c r="D366" s="5"/>
      <c r="E366" s="5">
        <f ca="1">IFERROR(__xludf.DUMMYFUNCTION("""COMPUTED_VALUE"""),17)</f>
        <v>17</v>
      </c>
      <c r="F366" s="5"/>
    </row>
    <row r="367" spans="1:6" ht="13">
      <c r="A367" s="5" t="str">
        <f ca="1">IFERROR(__xludf.DUMMYFUNCTION("""COMPUTED_VALUE"""),"20220218MATET")</f>
        <v>20220218MATET</v>
      </c>
      <c r="B367" s="5" t="str">
        <f ca="1">IFERROR(__xludf.DUMMYFUNCTION("""COMPUTED_VALUE"""),"Minor Injuries")</f>
        <v>Minor Injuries</v>
      </c>
      <c r="C367" s="5"/>
      <c r="D367" s="5" t="str">
        <f ca="1">IFERROR(__xludf.DUMMYFUNCTION("""COMPUTED_VALUE"""),"Student")</f>
        <v>Student</v>
      </c>
      <c r="E367" s="5" t="str">
        <f ca="1">IFERROR(__xludf.DUMMYFUNCTION("""COMPUTED_VALUE"""),"Teen")</f>
        <v>Teen</v>
      </c>
      <c r="F367" s="5"/>
    </row>
    <row r="368" spans="1:6" ht="13">
      <c r="A368" s="5" t="str">
        <f ca="1">IFERROR(__xludf.DUMMYFUNCTION("""COMPUTED_VALUE"""),"20220218MATET")</f>
        <v>20220218MATET</v>
      </c>
      <c r="B368" s="5" t="str">
        <f ca="1">IFERROR(__xludf.DUMMYFUNCTION("""COMPUTED_VALUE"""),"Minor Injuries")</f>
        <v>Minor Injuries</v>
      </c>
      <c r="C368" s="5" t="str">
        <f ca="1">IFERROR(__xludf.DUMMYFUNCTION("""COMPUTED_VALUE"""),"Female")</f>
        <v>Female</v>
      </c>
      <c r="D368" s="5" t="str">
        <f ca="1">IFERROR(__xludf.DUMMYFUNCTION("""COMPUTED_VALUE"""),"Student")</f>
        <v>Student</v>
      </c>
      <c r="E368" s="5" t="str">
        <f ca="1">IFERROR(__xludf.DUMMYFUNCTION("""COMPUTED_VALUE"""),"Teen")</f>
        <v>Teen</v>
      </c>
      <c r="F368" s="5"/>
    </row>
    <row r="369" spans="1:6" ht="13">
      <c r="A369" s="5" t="str">
        <f ca="1">IFERROR(__xludf.DUMMYFUNCTION("""COMPUTED_VALUE"""),"20220218MATET")</f>
        <v>20220218MATET</v>
      </c>
      <c r="B369" s="5" t="str">
        <f ca="1">IFERROR(__xludf.DUMMYFUNCTION("""COMPUTED_VALUE"""),"Minor Injuries")</f>
        <v>Minor Injuries</v>
      </c>
      <c r="C369" s="5"/>
      <c r="D369" s="5" t="str">
        <f ca="1">IFERROR(__xludf.DUMMYFUNCTION("""COMPUTED_VALUE"""),"Student")</f>
        <v>Student</v>
      </c>
      <c r="E369" s="5" t="str">
        <f ca="1">IFERROR(__xludf.DUMMYFUNCTION("""COMPUTED_VALUE"""),"Teen")</f>
        <v>Teen</v>
      </c>
      <c r="F369" s="5"/>
    </row>
    <row r="370" spans="1:6" ht="13">
      <c r="A370" s="5" t="str">
        <f ca="1">IFERROR(__xludf.DUMMYFUNCTION("""COMPUTED_VALUE"""),"20220218MATET")</f>
        <v>20220218MATET</v>
      </c>
      <c r="B370" s="5" t="str">
        <f ca="1">IFERROR(__xludf.DUMMYFUNCTION("""COMPUTED_VALUE"""),"Minor Injuries")</f>
        <v>Minor Injuries</v>
      </c>
      <c r="C370" s="5"/>
      <c r="D370" s="5" t="str">
        <f ca="1">IFERROR(__xludf.DUMMYFUNCTION("""COMPUTED_VALUE"""),"Student")</f>
        <v>Student</v>
      </c>
      <c r="E370" s="5" t="str">
        <f ca="1">IFERROR(__xludf.DUMMYFUNCTION("""COMPUTED_VALUE"""),"Teen")</f>
        <v>Teen</v>
      </c>
      <c r="F370" s="5"/>
    </row>
    <row r="371" spans="1:6" ht="13">
      <c r="A371" s="5" t="str">
        <f ca="1">IFERROR(__xludf.DUMMYFUNCTION("""COMPUTED_VALUE"""),"20220218MATET")</f>
        <v>20220218MATET</v>
      </c>
      <c r="B371" s="5" t="str">
        <f ca="1">IFERROR(__xludf.DUMMYFUNCTION("""COMPUTED_VALUE"""),"Minor Injuries")</f>
        <v>Minor Injuries</v>
      </c>
      <c r="C371" s="5"/>
      <c r="D371" s="5" t="str">
        <f ca="1">IFERROR(__xludf.DUMMYFUNCTION("""COMPUTED_VALUE"""),"Student")</f>
        <v>Student</v>
      </c>
      <c r="E371" s="5" t="str">
        <f ca="1">IFERROR(__xludf.DUMMYFUNCTION("""COMPUTED_VALUE"""),"Teen")</f>
        <v>Teen</v>
      </c>
      <c r="F371" s="5"/>
    </row>
    <row r="372" spans="1:6" ht="13">
      <c r="A372" s="5" t="str">
        <f ca="1">IFERROR(__xludf.DUMMYFUNCTION("""COMPUTED_VALUE"""),"20220218MATET")</f>
        <v>20220218MATET</v>
      </c>
      <c r="B372" s="5" t="str">
        <f ca="1">IFERROR(__xludf.DUMMYFUNCTION("""COMPUTED_VALUE"""),"Minor Injuries")</f>
        <v>Minor Injuries</v>
      </c>
      <c r="C372" s="5"/>
      <c r="D372" s="5" t="str">
        <f ca="1">IFERROR(__xludf.DUMMYFUNCTION("""COMPUTED_VALUE"""),"Student")</f>
        <v>Student</v>
      </c>
      <c r="E372" s="5" t="str">
        <f ca="1">IFERROR(__xludf.DUMMYFUNCTION("""COMPUTED_VALUE"""),"Teen")</f>
        <v>Teen</v>
      </c>
      <c r="F372" s="5"/>
    </row>
    <row r="373" spans="1:6" ht="13">
      <c r="A373" s="5" t="str">
        <f ca="1">IFERROR(__xludf.DUMMYFUNCTION("""COMPUTED_VALUE"""),"20220218MATET")</f>
        <v>20220218MATET</v>
      </c>
      <c r="B373" s="5" t="str">
        <f ca="1">IFERROR(__xludf.DUMMYFUNCTION("""COMPUTED_VALUE"""),"Minor Injuries")</f>
        <v>Minor Injuries</v>
      </c>
      <c r="C373" s="5"/>
      <c r="D373" s="5" t="str">
        <f ca="1">IFERROR(__xludf.DUMMYFUNCTION("""COMPUTED_VALUE"""),"Student")</f>
        <v>Student</v>
      </c>
      <c r="E373" s="5" t="str">
        <f ca="1">IFERROR(__xludf.DUMMYFUNCTION("""COMPUTED_VALUE"""),"Teen")</f>
        <v>Teen</v>
      </c>
      <c r="F373" s="5"/>
    </row>
    <row r="374" spans="1:6" ht="13">
      <c r="A374" s="5" t="str">
        <f ca="1">IFERROR(__xludf.DUMMYFUNCTION("""COMPUTED_VALUE"""),"20220217WAMCG")</f>
        <v>20220217WAMCG</v>
      </c>
      <c r="B374" s="5" t="str">
        <f ca="1">IFERROR(__xludf.DUMMYFUNCTION("""COMPUTED_VALUE"""),"Wounded")</f>
        <v>Wounded</v>
      </c>
      <c r="C374" s="5" t="str">
        <f ca="1">IFERROR(__xludf.DUMMYFUNCTION("""COMPUTED_VALUE"""),"Male")</f>
        <v>Male</v>
      </c>
      <c r="D374" s="5" t="str">
        <f ca="1">IFERROR(__xludf.DUMMYFUNCTION("""COMPUTED_VALUE"""),"Gang Member")</f>
        <v>Gang Member</v>
      </c>
      <c r="E374" s="5" t="str">
        <f ca="1">IFERROR(__xludf.DUMMYFUNCTION("""COMPUTED_VALUE"""),"Adult")</f>
        <v>Adult</v>
      </c>
      <c r="F374" s="5"/>
    </row>
    <row r="375" spans="1:6" ht="13">
      <c r="A375" s="5" t="str">
        <f ca="1">IFERROR(__xludf.DUMMYFUNCTION("""COMPUTED_VALUE"""),"20220211DCEAW")</f>
        <v>20220211DCEAW</v>
      </c>
      <c r="B375" s="5" t="str">
        <f ca="1">IFERROR(__xludf.DUMMYFUNCTION("""COMPUTED_VALUE"""),"Wounded")</f>
        <v>Wounded</v>
      </c>
      <c r="C375" s="5" t="str">
        <f ca="1">IFERROR(__xludf.DUMMYFUNCTION("""COMPUTED_VALUE"""),"Male")</f>
        <v>Male</v>
      </c>
      <c r="D375" s="5"/>
      <c r="E375" s="5" t="str">
        <f ca="1">IFERROR(__xludf.DUMMYFUNCTION("""COMPUTED_VALUE"""),"Adult")</f>
        <v>Adult</v>
      </c>
      <c r="F375" s="5"/>
    </row>
    <row r="376" spans="1:6" ht="13">
      <c r="A376" s="5" t="str">
        <f ca="1">IFERROR(__xludf.DUMMYFUNCTION("""COMPUTED_VALUE"""),"20220209NYMCB")</f>
        <v>20220209NYMCB</v>
      </c>
      <c r="B376" s="5" t="str">
        <f ca="1">IFERROR(__xludf.DUMMYFUNCTION("""COMPUTED_VALUE"""),"Wounded")</f>
        <v>Wounded</v>
      </c>
      <c r="C376" s="5" t="str">
        <f ca="1">IFERROR(__xludf.DUMMYFUNCTION("""COMPUTED_VALUE"""),"Male")</f>
        <v>Male</v>
      </c>
      <c r="D376" s="5" t="str">
        <f ca="1">IFERROR(__xludf.DUMMYFUNCTION("""COMPUTED_VALUE"""),"Police Officer/SRO")</f>
        <v>Police Officer/SRO</v>
      </c>
      <c r="E376" s="5" t="str">
        <f ca="1">IFERROR(__xludf.DUMMYFUNCTION("""COMPUTED_VALUE"""),"Adult")</f>
        <v>Adult</v>
      </c>
      <c r="F376" s="5"/>
    </row>
    <row r="377" spans="1:6" ht="13">
      <c r="A377" s="5" t="str">
        <f ca="1">IFERROR(__xludf.DUMMYFUNCTION("""COMPUTED_VALUE"""),"20220209NYMCB")</f>
        <v>20220209NYMCB</v>
      </c>
      <c r="B377" s="5" t="str">
        <f ca="1">IFERROR(__xludf.DUMMYFUNCTION("""COMPUTED_VALUE"""),"Wounded")</f>
        <v>Wounded</v>
      </c>
      <c r="C377" s="5" t="str">
        <f ca="1">IFERROR(__xludf.DUMMYFUNCTION("""COMPUTED_VALUE"""),"Male")</f>
        <v>Male</v>
      </c>
      <c r="D377" s="5" t="str">
        <f ca="1">IFERROR(__xludf.DUMMYFUNCTION("""COMPUTED_VALUE"""),"Student")</f>
        <v>Student</v>
      </c>
      <c r="E377" s="5">
        <f ca="1">IFERROR(__xludf.DUMMYFUNCTION("""COMPUTED_VALUE"""),13)</f>
        <v>13</v>
      </c>
      <c r="F377" s="5"/>
    </row>
    <row r="378" spans="1:6" ht="13">
      <c r="A378" s="5" t="str">
        <f ca="1">IFERROR(__xludf.DUMMYFUNCTION("""COMPUTED_VALUE"""),"20220209MNMIM")</f>
        <v>20220209MNMIM</v>
      </c>
      <c r="B378" s="5" t="str">
        <f ca="1">IFERROR(__xludf.DUMMYFUNCTION("""COMPUTED_VALUE"""),"Wounded")</f>
        <v>Wounded</v>
      </c>
      <c r="C378" s="5"/>
      <c r="D378" s="5" t="str">
        <f ca="1">IFERROR(__xludf.DUMMYFUNCTION("""COMPUTED_VALUE"""),"Bus Driver")</f>
        <v>Bus Driver</v>
      </c>
      <c r="E378" s="5" t="str">
        <f ca="1">IFERROR(__xludf.DUMMYFUNCTION("""COMPUTED_VALUE"""),"Adult")</f>
        <v>Adult</v>
      </c>
      <c r="F378" s="5"/>
    </row>
    <row r="379" spans="1:6" ht="13">
      <c r="A379" s="5" t="str">
        <f ca="1">IFERROR(__xludf.DUMMYFUNCTION("""COMPUTED_VALUE"""),"20220208MDCAC")</f>
        <v>20220208MDCAC</v>
      </c>
      <c r="B379" s="5" t="str">
        <f ca="1">IFERROR(__xludf.DUMMYFUNCTION("""COMPUTED_VALUE"""),"Wounded")</f>
        <v>Wounded</v>
      </c>
      <c r="C379" s="5" t="str">
        <f ca="1">IFERROR(__xludf.DUMMYFUNCTION("""COMPUTED_VALUE"""),"Male")</f>
        <v>Male</v>
      </c>
      <c r="D379" s="5" t="str">
        <f ca="1">IFERROR(__xludf.DUMMYFUNCTION("""COMPUTED_VALUE"""),"Student")</f>
        <v>Student</v>
      </c>
      <c r="E379" s="5">
        <f ca="1">IFERROR(__xludf.DUMMYFUNCTION("""COMPUTED_VALUE"""),16)</f>
        <v>16</v>
      </c>
      <c r="F379" s="5"/>
    </row>
    <row r="380" spans="1:6" ht="13">
      <c r="A380" s="5" t="str">
        <f ca="1">IFERROR(__xludf.DUMMYFUNCTION("""COMPUTED_VALUE"""),"20220208MDCAC")</f>
        <v>20220208MDCAC</v>
      </c>
      <c r="B380" s="5" t="str">
        <f ca="1">IFERROR(__xludf.DUMMYFUNCTION("""COMPUTED_VALUE"""),"Wounded")</f>
        <v>Wounded</v>
      </c>
      <c r="C380" s="5"/>
      <c r="D380" s="5" t="str">
        <f ca="1">IFERROR(__xludf.DUMMYFUNCTION("""COMPUTED_VALUE"""),"Student")</f>
        <v>Student</v>
      </c>
      <c r="E380" s="5">
        <f ca="1">IFERROR(__xludf.DUMMYFUNCTION("""COMPUTED_VALUE"""),16)</f>
        <v>16</v>
      </c>
      <c r="F380" s="5"/>
    </row>
    <row r="381" spans="1:6" ht="13">
      <c r="A381" s="5" t="str">
        <f ca="1">IFERROR(__xludf.DUMMYFUNCTION("""COMPUTED_VALUE"""),"20220204ALWEB")</f>
        <v>20220204ALWEB</v>
      </c>
      <c r="B381" s="5" t="str">
        <f ca="1">IFERROR(__xludf.DUMMYFUNCTION("""COMPUTED_VALUE"""),"Wounded")</f>
        <v>Wounded</v>
      </c>
      <c r="C381" s="5"/>
      <c r="D381" s="5" t="str">
        <f ca="1">IFERROR(__xludf.DUMMYFUNCTION("""COMPUTED_VALUE"""),"Student")</f>
        <v>Student</v>
      </c>
      <c r="E381" s="5">
        <f ca="1">IFERROR(__xludf.DUMMYFUNCTION("""COMPUTED_VALUE"""),16)</f>
        <v>16</v>
      </c>
      <c r="F381" s="5"/>
    </row>
    <row r="382" spans="1:6" ht="13">
      <c r="A382" s="5" t="str">
        <f ca="1">IFERROR(__xludf.DUMMYFUNCTION("""COMPUTED_VALUE"""),"20220201WIRUM")</f>
        <v>20220201WIRUM</v>
      </c>
      <c r="B382" s="5" t="str">
        <f ca="1">IFERROR(__xludf.DUMMYFUNCTION("""COMPUTED_VALUE"""),"Wounded")</f>
        <v>Wounded</v>
      </c>
      <c r="C382" s="5" t="str">
        <f ca="1">IFERROR(__xludf.DUMMYFUNCTION("""COMPUTED_VALUE"""),"Female")</f>
        <v>Female</v>
      </c>
      <c r="D382" s="5" t="str">
        <f ca="1">IFERROR(__xludf.DUMMYFUNCTION("""COMPUTED_VALUE"""),"Student")</f>
        <v>Student</v>
      </c>
      <c r="E382" s="5">
        <f ca="1">IFERROR(__xludf.DUMMYFUNCTION("""COMPUTED_VALUE"""),15)</f>
        <v>15</v>
      </c>
      <c r="F382" s="5"/>
    </row>
    <row r="383" spans="1:6" ht="13">
      <c r="A383" s="5" t="str">
        <f ca="1">IFERROR(__xludf.DUMMYFUNCTION("""COMPUTED_VALUE"""),"20220201WIRUM")</f>
        <v>20220201WIRUM</v>
      </c>
      <c r="B383" s="5" t="str">
        <f ca="1">IFERROR(__xludf.DUMMYFUNCTION("""COMPUTED_VALUE"""),"Wounded")</f>
        <v>Wounded</v>
      </c>
      <c r="C383" s="5" t="str">
        <f ca="1">IFERROR(__xludf.DUMMYFUNCTION("""COMPUTED_VALUE"""),"Female")</f>
        <v>Female</v>
      </c>
      <c r="D383" s="5" t="str">
        <f ca="1">IFERROR(__xludf.DUMMYFUNCTION("""COMPUTED_VALUE"""),"Student")</f>
        <v>Student</v>
      </c>
      <c r="E383" s="5">
        <f ca="1">IFERROR(__xludf.DUMMYFUNCTION("""COMPUTED_VALUE"""),15)</f>
        <v>15</v>
      </c>
      <c r="F383" s="5"/>
    </row>
    <row r="384" spans="1:6" ht="13">
      <c r="A384" s="5" t="str">
        <f ca="1">IFERROR(__xludf.DUMMYFUNCTION("""COMPUTED_VALUE"""),"20220201WIRUM")</f>
        <v>20220201WIRUM</v>
      </c>
      <c r="B384" s="5" t="str">
        <f ca="1">IFERROR(__xludf.DUMMYFUNCTION("""COMPUTED_VALUE"""),"Wounded")</f>
        <v>Wounded</v>
      </c>
      <c r="C384" s="5" t="str">
        <f ca="1">IFERROR(__xludf.DUMMYFUNCTION("""COMPUTED_VALUE"""),"Female")</f>
        <v>Female</v>
      </c>
      <c r="D384" s="5" t="str">
        <f ca="1">IFERROR(__xludf.DUMMYFUNCTION("""COMPUTED_VALUE"""),"Student")</f>
        <v>Student</v>
      </c>
      <c r="E384" s="5">
        <f ca="1">IFERROR(__xludf.DUMMYFUNCTION("""COMPUTED_VALUE"""),16)</f>
        <v>16</v>
      </c>
      <c r="F384" s="5"/>
    </row>
    <row r="385" spans="1:6" ht="13">
      <c r="A385" s="5" t="str">
        <f ca="1">IFERROR(__xludf.DUMMYFUNCTION("""COMPUTED_VALUE"""),"20220201WIRUM")</f>
        <v>20220201WIRUM</v>
      </c>
      <c r="B385" s="5" t="str">
        <f ca="1">IFERROR(__xludf.DUMMYFUNCTION("""COMPUTED_VALUE"""),"Wounded")</f>
        <v>Wounded</v>
      </c>
      <c r="C385" s="5" t="str">
        <f ca="1">IFERROR(__xludf.DUMMYFUNCTION("""COMPUTED_VALUE"""),"Female")</f>
        <v>Female</v>
      </c>
      <c r="D385" s="5" t="str">
        <f ca="1">IFERROR(__xludf.DUMMYFUNCTION("""COMPUTED_VALUE"""),"Student")</f>
        <v>Student</v>
      </c>
      <c r="E385" s="5">
        <f ca="1">IFERROR(__xludf.DUMMYFUNCTION("""COMPUTED_VALUE"""),17)</f>
        <v>17</v>
      </c>
      <c r="F385" s="5"/>
    </row>
    <row r="386" spans="1:6" ht="13">
      <c r="A386" s="5" t="str">
        <f ca="1">IFERROR(__xludf.DUMMYFUNCTION("""COMPUTED_VALUE"""),"20220201WIRUM")</f>
        <v>20220201WIRUM</v>
      </c>
      <c r="B386" s="5" t="str">
        <f ca="1">IFERROR(__xludf.DUMMYFUNCTION("""COMPUTED_VALUE"""),"Wounded")</f>
        <v>Wounded</v>
      </c>
      <c r="C386" s="5" t="str">
        <f ca="1">IFERROR(__xludf.DUMMYFUNCTION("""COMPUTED_VALUE"""),"Female")</f>
        <v>Female</v>
      </c>
      <c r="D386" s="5" t="str">
        <f ca="1">IFERROR(__xludf.DUMMYFUNCTION("""COMPUTED_VALUE"""),"Nonstudent Using Athletic Facilities/Attending Game")</f>
        <v>Nonstudent Using Athletic Facilities/Attending Game</v>
      </c>
      <c r="E386" s="5">
        <f ca="1">IFERROR(__xludf.DUMMYFUNCTION("""COMPUTED_VALUE"""),20)</f>
        <v>20</v>
      </c>
      <c r="F386" s="5"/>
    </row>
    <row r="387" spans="1:6" ht="13">
      <c r="A387" s="5" t="str">
        <f ca="1">IFERROR(__xludf.DUMMYFUNCTION("""COMPUTED_VALUE"""),"20220201MNSOR")</f>
        <v>20220201MNSOR</v>
      </c>
      <c r="B387" s="5" t="str">
        <f ca="1">IFERROR(__xludf.DUMMYFUNCTION("""COMPUTED_VALUE"""),"Fatal")</f>
        <v>Fatal</v>
      </c>
      <c r="C387" s="5" t="str">
        <f ca="1">IFERROR(__xludf.DUMMYFUNCTION("""COMPUTED_VALUE"""),"Male")</f>
        <v>Male</v>
      </c>
      <c r="D387" s="5" t="str">
        <f ca="1">IFERROR(__xludf.DUMMYFUNCTION("""COMPUTED_VALUE"""),"Student")</f>
        <v>Student</v>
      </c>
      <c r="E387" s="5">
        <f ca="1">IFERROR(__xludf.DUMMYFUNCTION("""COMPUTED_VALUE"""),15)</f>
        <v>15</v>
      </c>
      <c r="F387" s="5" t="str">
        <f ca="1">IFERROR(__xludf.DUMMYFUNCTION("""COMPUTED_VALUE"""),"Black")</f>
        <v>Black</v>
      </c>
    </row>
    <row r="388" spans="1:6" ht="13">
      <c r="A388" s="5" t="str">
        <f ca="1">IFERROR(__xludf.DUMMYFUNCTION("""COMPUTED_VALUE"""),"20220201MNSOR")</f>
        <v>20220201MNSOR</v>
      </c>
      <c r="B388" s="5" t="str">
        <f ca="1">IFERROR(__xludf.DUMMYFUNCTION("""COMPUTED_VALUE"""),"Wounded")</f>
        <v>Wounded</v>
      </c>
      <c r="C388" s="5" t="str">
        <f ca="1">IFERROR(__xludf.DUMMYFUNCTION("""COMPUTED_VALUE"""),"Male")</f>
        <v>Male</v>
      </c>
      <c r="D388" s="5" t="str">
        <f ca="1">IFERROR(__xludf.DUMMYFUNCTION("""COMPUTED_VALUE"""),"Student")</f>
        <v>Student</v>
      </c>
      <c r="E388" s="5">
        <f ca="1">IFERROR(__xludf.DUMMYFUNCTION("""COMPUTED_VALUE"""),17)</f>
        <v>17</v>
      </c>
      <c r="F388" s="5"/>
    </row>
    <row r="389" spans="1:6" ht="13">
      <c r="A389" s="5" t="str">
        <f ca="1">IFERROR(__xludf.DUMMYFUNCTION("""COMPUTED_VALUE"""),"20220201MNSOR")</f>
        <v>20220201MNSOR</v>
      </c>
      <c r="B389" s="5" t="str">
        <f ca="1">IFERROR(__xludf.DUMMYFUNCTION("""COMPUTED_VALUE"""),"Wounded")</f>
        <v>Wounded</v>
      </c>
      <c r="C389" s="5" t="str">
        <f ca="1">IFERROR(__xludf.DUMMYFUNCTION("""COMPUTED_VALUE"""),"Male")</f>
        <v>Male</v>
      </c>
      <c r="D389" s="5" t="str">
        <f ca="1">IFERROR(__xludf.DUMMYFUNCTION("""COMPUTED_VALUE"""),"Student")</f>
        <v>Student</v>
      </c>
      <c r="E389" s="5">
        <f ca="1">IFERROR(__xludf.DUMMYFUNCTION("""COMPUTED_VALUE"""),19)</f>
        <v>19</v>
      </c>
      <c r="F389" s="5"/>
    </row>
    <row r="390" spans="1:6" ht="13">
      <c r="A390" s="5" t="str">
        <f ca="1">IFERROR(__xludf.DUMMYFUNCTION("""COMPUTED_VALUE"""),"20220201ILALC")</f>
        <v>20220201ILALC</v>
      </c>
      <c r="B390" s="5" t="str">
        <f ca="1">IFERROR(__xludf.DUMMYFUNCTION("""COMPUTED_VALUE"""),"Wounded")</f>
        <v>Wounded</v>
      </c>
      <c r="C390" s="5" t="str">
        <f ca="1">IFERROR(__xludf.DUMMYFUNCTION("""COMPUTED_VALUE"""),"Female")</f>
        <v>Female</v>
      </c>
      <c r="D390" s="5" t="str">
        <f ca="1">IFERROR(__xludf.DUMMYFUNCTION("""COMPUTED_VALUE"""),"No Relation")</f>
        <v>No Relation</v>
      </c>
      <c r="E390" s="5">
        <f ca="1">IFERROR(__xludf.DUMMYFUNCTION("""COMPUTED_VALUE"""),16)</f>
        <v>16</v>
      </c>
      <c r="F390" s="5"/>
    </row>
    <row r="391" spans="1:6" ht="13">
      <c r="A391" s="5" t="str">
        <f ca="1">IFERROR(__xludf.DUMMYFUNCTION("""COMPUTED_VALUE"""),"20220129WIBEB")</f>
        <v>20220129WIBEB</v>
      </c>
      <c r="B391" s="5" t="str">
        <f ca="1">IFERROR(__xludf.DUMMYFUNCTION("""COMPUTED_VALUE"""),"Fatal")</f>
        <v>Fatal</v>
      </c>
      <c r="C391" s="5" t="str">
        <f ca="1">IFERROR(__xludf.DUMMYFUNCTION("""COMPUTED_VALUE"""),"Male")</f>
        <v>Male</v>
      </c>
      <c r="D391" s="5" t="str">
        <f ca="1">IFERROR(__xludf.DUMMYFUNCTION("""COMPUTED_VALUE"""),"Nonstudent Using Athletic Facilities/Attending Game")</f>
        <v>Nonstudent Using Athletic Facilities/Attending Game</v>
      </c>
      <c r="E391" s="5">
        <f ca="1">IFERROR(__xludf.DUMMYFUNCTION("""COMPUTED_VALUE"""),19)</f>
        <v>19</v>
      </c>
      <c r="F391" s="5"/>
    </row>
    <row r="392" spans="1:6" ht="13">
      <c r="A392" s="5" t="str">
        <f ca="1">IFERROR(__xludf.DUMMYFUNCTION("""COMPUTED_VALUE"""),"20220128LACAM")</f>
        <v>20220128LACAM</v>
      </c>
      <c r="B392" s="5" t="str">
        <f ca="1">IFERROR(__xludf.DUMMYFUNCTION("""COMPUTED_VALUE"""),"None")</f>
        <v>None</v>
      </c>
      <c r="C392" s="5"/>
      <c r="D392" s="5" t="str">
        <f ca="1">IFERROR(__xludf.DUMMYFUNCTION("""COMPUTED_VALUE"""),"Nonstudent Using Athletic Facilities/Attending Game")</f>
        <v>Nonstudent Using Athletic Facilities/Attending Game</v>
      </c>
      <c r="E392" s="5" t="str">
        <f ca="1">IFERROR(__xludf.DUMMYFUNCTION("""COMPUTED_VALUE"""),"Adult")</f>
        <v>Adult</v>
      </c>
      <c r="F392" s="5"/>
    </row>
    <row r="393" spans="1:6" ht="13">
      <c r="A393" s="5" t="str">
        <f ca="1">IFERROR(__xludf.DUMMYFUNCTION("""COMPUTED_VALUE"""),"20220128LACAM")</f>
        <v>20220128LACAM</v>
      </c>
      <c r="B393" s="5" t="str">
        <f ca="1">IFERROR(__xludf.DUMMYFUNCTION("""COMPUTED_VALUE"""),"None")</f>
        <v>None</v>
      </c>
      <c r="C393" s="5"/>
      <c r="D393" s="5" t="str">
        <f ca="1">IFERROR(__xludf.DUMMYFUNCTION("""COMPUTED_VALUE"""),"Nonstudent Using Athletic Facilities/Attending Game")</f>
        <v>Nonstudent Using Athletic Facilities/Attending Game</v>
      </c>
      <c r="E393" s="5" t="str">
        <f ca="1">IFERROR(__xludf.DUMMYFUNCTION("""COMPUTED_VALUE"""),"Adult")</f>
        <v>Adult</v>
      </c>
      <c r="F393" s="5"/>
    </row>
    <row r="394" spans="1:6" ht="13">
      <c r="A394" s="5" t="str">
        <f ca="1">IFERROR(__xludf.DUMMYFUNCTION("""COMPUTED_VALUE"""),"20220127TXMOH")</f>
        <v>20220127TXMOH</v>
      </c>
      <c r="B394" s="5" t="str">
        <f ca="1">IFERROR(__xludf.DUMMYFUNCTION("""COMPUTED_VALUE"""),"Wounded")</f>
        <v>Wounded</v>
      </c>
      <c r="C394" s="5" t="str">
        <f ca="1">IFERROR(__xludf.DUMMYFUNCTION("""COMPUTED_VALUE"""),"Female")</f>
        <v>Female</v>
      </c>
      <c r="D394" s="5" t="str">
        <f ca="1">IFERROR(__xludf.DUMMYFUNCTION("""COMPUTED_VALUE"""),"No Relation")</f>
        <v>No Relation</v>
      </c>
      <c r="E394" s="5" t="str">
        <f ca="1">IFERROR(__xludf.DUMMYFUNCTION("""COMPUTED_VALUE"""),"Adult")</f>
        <v>Adult</v>
      </c>
      <c r="F394" s="5"/>
    </row>
    <row r="395" spans="1:6" ht="13">
      <c r="A395" s="5" t="str">
        <f ca="1">IFERROR(__xludf.DUMMYFUNCTION("""COMPUTED_VALUE"""),"20220126PABAP")</f>
        <v>20220126PABAP</v>
      </c>
      <c r="B395" s="5" t="str">
        <f ca="1">IFERROR(__xludf.DUMMYFUNCTION("""COMPUTED_VALUE"""),"Fatal")</f>
        <v>Fatal</v>
      </c>
      <c r="C395" s="5" t="str">
        <f ca="1">IFERROR(__xludf.DUMMYFUNCTION("""COMPUTED_VALUE"""),"Male")</f>
        <v>Male</v>
      </c>
      <c r="D395" s="5" t="str">
        <f ca="1">IFERROR(__xludf.DUMMYFUNCTION("""COMPUTED_VALUE"""),"Student")</f>
        <v>Student</v>
      </c>
      <c r="E395" s="5">
        <f ca="1">IFERROR(__xludf.DUMMYFUNCTION("""COMPUTED_VALUE"""),17)</f>
        <v>17</v>
      </c>
      <c r="F395" s="5" t="str">
        <f ca="1">IFERROR(__xludf.DUMMYFUNCTION("""COMPUTED_VALUE"""),"Black")</f>
        <v>Black</v>
      </c>
    </row>
    <row r="396" spans="1:6" ht="13">
      <c r="A396" s="5" t="str">
        <f ca="1">IFERROR(__xludf.DUMMYFUNCTION("""COMPUTED_VALUE"""),"20220124NVSUL")</f>
        <v>20220124NVSUL</v>
      </c>
      <c r="B396" s="5" t="str">
        <f ca="1">IFERROR(__xludf.DUMMYFUNCTION("""COMPUTED_VALUE"""),"Wounded")</f>
        <v>Wounded</v>
      </c>
      <c r="C396" s="5"/>
      <c r="D396" s="5"/>
      <c r="E396" s="5"/>
      <c r="F396" s="5"/>
    </row>
    <row r="397" spans="1:6" ht="13">
      <c r="A397" s="5" t="str">
        <f ca="1">IFERROR(__xludf.DUMMYFUNCTION("""COMPUTED_VALUE"""),"20220121MDMAR")</f>
        <v>20220121MDMAR</v>
      </c>
      <c r="B397" s="5" t="str">
        <f ca="1">IFERROR(__xludf.DUMMYFUNCTION("""COMPUTED_VALUE"""),"Wounded")</f>
        <v>Wounded</v>
      </c>
      <c r="C397" s="5" t="str">
        <f ca="1">IFERROR(__xludf.DUMMYFUNCTION("""COMPUTED_VALUE"""),"Male")</f>
        <v>Male</v>
      </c>
      <c r="D397" s="5" t="str">
        <f ca="1">IFERROR(__xludf.DUMMYFUNCTION("""COMPUTED_VALUE"""),"Student")</f>
        <v>Student</v>
      </c>
      <c r="E397" s="5">
        <f ca="1">IFERROR(__xludf.DUMMYFUNCTION("""COMPUTED_VALUE"""),15)</f>
        <v>15</v>
      </c>
      <c r="F397" s="5"/>
    </row>
    <row r="398" spans="1:6" ht="13">
      <c r="A398" s="5" t="str">
        <f ca="1">IFERROR(__xludf.DUMMYFUNCTION("""COMPUTED_VALUE"""),"20220119VAMAP")</f>
        <v>20220119VAMAP</v>
      </c>
      <c r="B398" s="5" t="str">
        <f ca="1">IFERROR(__xludf.DUMMYFUNCTION("""COMPUTED_VALUE"""),"Wounded")</f>
        <v>Wounded</v>
      </c>
      <c r="C398" s="5" t="str">
        <f ca="1">IFERROR(__xludf.DUMMYFUNCTION("""COMPUTED_VALUE"""),"Male")</f>
        <v>Male</v>
      </c>
      <c r="D398" s="5" t="str">
        <f ca="1">IFERROR(__xludf.DUMMYFUNCTION("""COMPUTED_VALUE"""),"Student")</f>
        <v>Student</v>
      </c>
      <c r="E398" s="5" t="str">
        <f ca="1">IFERROR(__xludf.DUMMYFUNCTION("""COMPUTED_VALUE"""),"Teen")</f>
        <v>Teen</v>
      </c>
      <c r="F398" s="5"/>
    </row>
    <row r="399" spans="1:6" ht="13">
      <c r="A399" s="5" t="str">
        <f ca="1">IFERROR(__xludf.DUMMYFUNCTION("""COMPUTED_VALUE"""),"20220119PAPIP")</f>
        <v>20220119PAPIP</v>
      </c>
      <c r="B399" s="5" t="str">
        <f ca="1">IFERROR(__xludf.DUMMYFUNCTION("""COMPUTED_VALUE"""),"Fatal")</f>
        <v>Fatal</v>
      </c>
      <c r="C399" s="5" t="str">
        <f ca="1">IFERROR(__xludf.DUMMYFUNCTION("""COMPUTED_VALUE"""),"Male")</f>
        <v>Male</v>
      </c>
      <c r="D399" s="5" t="str">
        <f ca="1">IFERROR(__xludf.DUMMYFUNCTION("""COMPUTED_VALUE"""),"Student")</f>
        <v>Student</v>
      </c>
      <c r="E399" s="5">
        <f ca="1">IFERROR(__xludf.DUMMYFUNCTION("""COMPUTED_VALUE"""),15)</f>
        <v>15</v>
      </c>
      <c r="F399" s="5" t="str">
        <f ca="1">IFERROR(__xludf.DUMMYFUNCTION("""COMPUTED_VALUE"""),"Black")</f>
        <v>Black</v>
      </c>
    </row>
    <row r="400" spans="1:6" ht="13">
      <c r="A400" s="5" t="str">
        <f ca="1">IFERROR(__xludf.DUMMYFUNCTION("""COMPUTED_VALUE"""),"20220119FLSES")</f>
        <v>20220119FLSES</v>
      </c>
      <c r="B400" s="5" t="str">
        <f ca="1">IFERROR(__xludf.DUMMYFUNCTION("""COMPUTED_VALUE"""),"Wounded")</f>
        <v>Wounded</v>
      </c>
      <c r="C400" s="5" t="str">
        <f ca="1">IFERROR(__xludf.DUMMYFUNCTION("""COMPUTED_VALUE"""),"Male")</f>
        <v>Male</v>
      </c>
      <c r="D400" s="5" t="str">
        <f ca="1">IFERROR(__xludf.DUMMYFUNCTION("""COMPUTED_VALUE"""),"Student")</f>
        <v>Student</v>
      </c>
      <c r="E400" s="5">
        <f ca="1">IFERROR(__xludf.DUMMYFUNCTION("""COMPUTED_VALUE"""),17)</f>
        <v>17</v>
      </c>
      <c r="F400" s="5"/>
    </row>
    <row r="401" spans="1:6" ht="13">
      <c r="A401" s="5" t="str">
        <f ca="1">IFERROR(__xludf.DUMMYFUNCTION("""COMPUTED_VALUE"""),"20220119DCANW")</f>
        <v>20220119DCANW</v>
      </c>
      <c r="B401" s="5" t="str">
        <f ca="1">IFERROR(__xludf.DUMMYFUNCTION("""COMPUTED_VALUE"""),"None")</f>
        <v>None</v>
      </c>
      <c r="C401" s="5" t="str">
        <f ca="1">IFERROR(__xludf.DUMMYFUNCTION("""COMPUTED_VALUE"""),"Male")</f>
        <v>Male</v>
      </c>
      <c r="D401" s="5"/>
      <c r="E401" s="5"/>
      <c r="F401" s="5"/>
    </row>
    <row r="402" spans="1:6" ht="13">
      <c r="A402" s="5" t="str">
        <f ca="1">IFERROR(__xludf.DUMMYFUNCTION("""COMPUTED_VALUE"""),"20220117TXPYH")</f>
        <v>20220117TXPYH</v>
      </c>
      <c r="B402" s="5" t="str">
        <f ca="1">IFERROR(__xludf.DUMMYFUNCTION("""COMPUTED_VALUE"""),"Fatal")</f>
        <v>Fatal</v>
      </c>
      <c r="C402" s="5" t="str">
        <f ca="1">IFERROR(__xludf.DUMMYFUNCTION("""COMPUTED_VALUE"""),"Male")</f>
        <v>Male</v>
      </c>
      <c r="D402" s="5" t="str">
        <f ca="1">IFERROR(__xludf.DUMMYFUNCTION("""COMPUTED_VALUE"""),"No Relation")</f>
        <v>No Relation</v>
      </c>
      <c r="E402" s="5" t="str">
        <f ca="1">IFERROR(__xludf.DUMMYFUNCTION("""COMPUTED_VALUE"""),"Adult")</f>
        <v>Adult</v>
      </c>
      <c r="F402" s="5"/>
    </row>
    <row r="403" spans="1:6" ht="13">
      <c r="A403" s="5" t="str">
        <f ca="1">IFERROR(__xludf.DUMMYFUNCTION("""COMPUTED_VALUE"""),"20220117TXPYH")</f>
        <v>20220117TXPYH</v>
      </c>
      <c r="B403" s="5" t="str">
        <f ca="1">IFERROR(__xludf.DUMMYFUNCTION("""COMPUTED_VALUE"""),"Fatal")</f>
        <v>Fatal</v>
      </c>
      <c r="C403" s="5" t="str">
        <f ca="1">IFERROR(__xludf.DUMMYFUNCTION("""COMPUTED_VALUE"""),"Female")</f>
        <v>Female</v>
      </c>
      <c r="D403" s="5" t="str">
        <f ca="1">IFERROR(__xludf.DUMMYFUNCTION("""COMPUTED_VALUE"""),"No Relation")</f>
        <v>No Relation</v>
      </c>
      <c r="E403" s="5" t="str">
        <f ca="1">IFERROR(__xludf.DUMMYFUNCTION("""COMPUTED_VALUE"""),"Adult")</f>
        <v>Adult</v>
      </c>
      <c r="F403" s="5"/>
    </row>
    <row r="404" spans="1:6" ht="13">
      <c r="A404" s="5" t="str">
        <f ca="1">IFERROR(__xludf.DUMMYFUNCTION("""COMPUTED_VALUE"""),"20220106CAFLS")</f>
        <v>20220106CAFLS</v>
      </c>
      <c r="B404" s="5" t="str">
        <f ca="1">IFERROR(__xludf.DUMMYFUNCTION("""COMPUTED_VALUE"""),"Wounded")</f>
        <v>Wounded</v>
      </c>
      <c r="C404" s="5" t="str">
        <f ca="1">IFERROR(__xludf.DUMMYFUNCTION("""COMPUTED_VALUE"""),"Male")</f>
        <v>Male</v>
      </c>
      <c r="D404" s="5" t="str">
        <f ca="1">IFERROR(__xludf.DUMMYFUNCTION("""COMPUTED_VALUE"""),"Student")</f>
        <v>Student</v>
      </c>
      <c r="E404" s="5">
        <f ca="1">IFERROR(__xludf.DUMMYFUNCTION("""COMPUTED_VALUE"""),17)</f>
        <v>17</v>
      </c>
      <c r="F404" s="5"/>
    </row>
    <row r="405" spans="1:6" ht="13">
      <c r="A405" s="5" t="str">
        <f ca="1">IFERROR(__xludf.DUMMYFUNCTION("""COMPUTED_VALUE"""),"20220106CAFLS")</f>
        <v>20220106CAFLS</v>
      </c>
      <c r="B405" s="5" t="str">
        <f ca="1">IFERROR(__xludf.DUMMYFUNCTION("""COMPUTED_VALUE"""),"Wounded")</f>
        <v>Wounded</v>
      </c>
      <c r="C405" s="5" t="str">
        <f ca="1">IFERROR(__xludf.DUMMYFUNCTION("""COMPUTED_VALUE"""),"Male")</f>
        <v>Male</v>
      </c>
      <c r="D405" s="5" t="str">
        <f ca="1">IFERROR(__xludf.DUMMYFUNCTION("""COMPUTED_VALUE"""),"Student")</f>
        <v>Student</v>
      </c>
      <c r="E405" s="5">
        <f ca="1">IFERROR(__xludf.DUMMYFUNCTION("""COMPUTED_VALUE"""),17)</f>
        <v>17</v>
      </c>
      <c r="F405" s="5"/>
    </row>
    <row r="406" spans="1:6" ht="13">
      <c r="A406" s="5" t="str">
        <f ca="1">IFERROR(__xludf.DUMMYFUNCTION("""COMPUTED_VALUE"""),"20220104ILAUR")</f>
        <v>20220104ILAUR</v>
      </c>
      <c r="B406" s="5" t="str">
        <f ca="1">IFERROR(__xludf.DUMMYFUNCTION("""COMPUTED_VALUE"""),"Wounded")</f>
        <v>Wounded</v>
      </c>
      <c r="C406" s="5" t="str">
        <f ca="1">IFERROR(__xludf.DUMMYFUNCTION("""COMPUTED_VALUE"""),"Male")</f>
        <v>Male</v>
      </c>
      <c r="D406" s="5" t="str">
        <f ca="1">IFERROR(__xludf.DUMMYFUNCTION("""COMPUTED_VALUE"""),"Student")</f>
        <v>Student</v>
      </c>
      <c r="E406" s="5">
        <f ca="1">IFERROR(__xludf.DUMMYFUNCTION("""COMPUTED_VALUE"""),15)</f>
        <v>15</v>
      </c>
      <c r="F406" s="5"/>
    </row>
    <row r="407" spans="1:6" ht="13">
      <c r="A407" s="5" t="str">
        <f ca="1">IFERROR(__xludf.DUMMYFUNCTION("""COMPUTED_VALUE"""),"20220104ILAUR")</f>
        <v>20220104ILAUR</v>
      </c>
      <c r="B407" s="5" t="str">
        <f ca="1">IFERROR(__xludf.DUMMYFUNCTION("""COMPUTED_VALUE"""),"Wounded")</f>
        <v>Wounded</v>
      </c>
      <c r="C407" s="5" t="str">
        <f ca="1">IFERROR(__xludf.DUMMYFUNCTION("""COMPUTED_VALUE"""),"Female")</f>
        <v>Female</v>
      </c>
      <c r="D407" s="5" t="str">
        <f ca="1">IFERROR(__xludf.DUMMYFUNCTION("""COMPUTED_VALUE"""),"Student")</f>
        <v>Student</v>
      </c>
      <c r="E407" s="5">
        <f ca="1">IFERROR(__xludf.DUMMYFUNCTION("""COMPUTED_VALUE"""),17)</f>
        <v>17</v>
      </c>
      <c r="F407" s="5"/>
    </row>
    <row r="408" spans="1:6" ht="13">
      <c r="A408" s="5" t="str">
        <f ca="1">IFERROR(__xludf.DUMMYFUNCTION("""COMPUTED_VALUE"""),"20211229NCCAS")</f>
        <v>20211229NCCAS</v>
      </c>
      <c r="B408" s="5" t="str">
        <f ca="1">IFERROR(__xludf.DUMMYFUNCTION("""COMPUTED_VALUE"""),"Wounded")</f>
        <v>Wounded</v>
      </c>
      <c r="C408" s="5" t="str">
        <f ca="1">IFERROR(__xludf.DUMMYFUNCTION("""COMPUTED_VALUE"""),"Male")</f>
        <v>Male</v>
      </c>
      <c r="D408" s="5" t="str">
        <f ca="1">IFERROR(__xludf.DUMMYFUNCTION("""COMPUTED_VALUE"""),"Student")</f>
        <v>Student</v>
      </c>
      <c r="E408" s="5">
        <f ca="1">IFERROR(__xludf.DUMMYFUNCTION("""COMPUTED_VALUE"""),13)</f>
        <v>13</v>
      </c>
      <c r="F408" s="5"/>
    </row>
    <row r="409" spans="1:6" ht="13">
      <c r="A409" s="5" t="str">
        <f ca="1">IFERROR(__xludf.DUMMYFUNCTION("""COMPUTED_VALUE"""),"20211229NCCAS")</f>
        <v>20211229NCCAS</v>
      </c>
      <c r="B409" s="5" t="str">
        <f ca="1">IFERROR(__xludf.DUMMYFUNCTION("""COMPUTED_VALUE"""),"Wounded")</f>
        <v>Wounded</v>
      </c>
      <c r="C409" s="5" t="str">
        <f ca="1">IFERROR(__xludf.DUMMYFUNCTION("""COMPUTED_VALUE"""),"Male")</f>
        <v>Male</v>
      </c>
      <c r="D409" s="5" t="str">
        <f ca="1">IFERROR(__xludf.DUMMYFUNCTION("""COMPUTED_VALUE"""),"Student")</f>
        <v>Student</v>
      </c>
      <c r="E409" s="5">
        <f ca="1">IFERROR(__xludf.DUMMYFUNCTION("""COMPUTED_VALUE"""),14)</f>
        <v>14</v>
      </c>
      <c r="F409" s="5"/>
    </row>
    <row r="410" spans="1:6" ht="13">
      <c r="A410" s="5" t="str">
        <f ca="1">IFERROR(__xludf.DUMMYFUNCTION("""COMPUTED_VALUE"""),"20211214VAMEN")</f>
        <v>20211214VAMEN</v>
      </c>
      <c r="B410" s="5" t="str">
        <f ca="1">IFERROR(__xludf.DUMMYFUNCTION("""COMPUTED_VALUE"""),"Fatal")</f>
        <v>Fatal</v>
      </c>
      <c r="C410" s="5" t="str">
        <f ca="1">IFERROR(__xludf.DUMMYFUNCTION("""COMPUTED_VALUE"""),"Male")</f>
        <v>Male</v>
      </c>
      <c r="D410" s="5" t="str">
        <f ca="1">IFERROR(__xludf.DUMMYFUNCTION("""COMPUTED_VALUE"""),"Student")</f>
        <v>Student</v>
      </c>
      <c r="E410" s="5">
        <f ca="1">IFERROR(__xludf.DUMMYFUNCTION("""COMPUTED_VALUE"""),17)</f>
        <v>17</v>
      </c>
      <c r="F410" s="5"/>
    </row>
    <row r="411" spans="1:6" ht="13">
      <c r="A411" s="5" t="str">
        <f ca="1">IFERROR(__xludf.DUMMYFUNCTION("""COMPUTED_VALUE"""),"20211213NCWEC")</f>
        <v>20211213NCWEC</v>
      </c>
      <c r="B411" s="5" t="str">
        <f ca="1">IFERROR(__xludf.DUMMYFUNCTION("""COMPUTED_VALUE"""),"None")</f>
        <v>None</v>
      </c>
      <c r="C411" s="5" t="str">
        <f ca="1">IFERROR(__xludf.DUMMYFUNCTION("""COMPUTED_VALUE"""),"Male")</f>
        <v>Male</v>
      </c>
      <c r="D411" s="5" t="str">
        <f ca="1">IFERROR(__xludf.DUMMYFUNCTION("""COMPUTED_VALUE"""),"Student")</f>
        <v>Student</v>
      </c>
      <c r="E411" s="5" t="str">
        <f ca="1">IFERROR(__xludf.DUMMYFUNCTION("""COMPUTED_VALUE"""),"Teen")</f>
        <v>Teen</v>
      </c>
      <c r="F411" s="5"/>
    </row>
    <row r="412" spans="1:6" ht="13">
      <c r="A412" s="5" t="str">
        <f ca="1">IFERROR(__xludf.DUMMYFUNCTION("""COMPUTED_VALUE"""),"20211212NYSCR")</f>
        <v>20211212NYSCR</v>
      </c>
      <c r="B412" s="5" t="str">
        <f ca="1">IFERROR(__xludf.DUMMYFUNCTION("""COMPUTED_VALUE"""),"Fatal")</f>
        <v>Fatal</v>
      </c>
      <c r="C412" s="5" t="str">
        <f ca="1">IFERROR(__xludf.DUMMYFUNCTION("""COMPUTED_VALUE"""),"Male")</f>
        <v>Male</v>
      </c>
      <c r="D412" s="5" t="str">
        <f ca="1">IFERROR(__xludf.DUMMYFUNCTION("""COMPUTED_VALUE"""),"No Relation")</f>
        <v>No Relation</v>
      </c>
      <c r="E412" s="5">
        <f ca="1">IFERROR(__xludf.DUMMYFUNCTION("""COMPUTED_VALUE"""),25)</f>
        <v>25</v>
      </c>
      <c r="F412" s="5"/>
    </row>
    <row r="413" spans="1:6" ht="13">
      <c r="A413" s="5" t="str">
        <f ca="1">IFERROR(__xludf.DUMMYFUNCTION("""COMPUTED_VALUE"""),"20211211FLEDL")</f>
        <v>20211211FLEDL</v>
      </c>
      <c r="B413" s="5" t="str">
        <f ca="1">IFERROR(__xludf.DUMMYFUNCTION("""COMPUTED_VALUE"""),"Wounded")</f>
        <v>Wounded</v>
      </c>
      <c r="C413" s="5" t="str">
        <f ca="1">IFERROR(__xludf.DUMMYFUNCTION("""COMPUTED_VALUE"""),"Male")</f>
        <v>Male</v>
      </c>
      <c r="D413" s="5" t="str">
        <f ca="1">IFERROR(__xludf.DUMMYFUNCTION("""COMPUTED_VALUE"""),"Nonstudent Using Athletic Facilities/Attending Game")</f>
        <v>Nonstudent Using Athletic Facilities/Attending Game</v>
      </c>
      <c r="E413" s="5" t="str">
        <f ca="1">IFERROR(__xludf.DUMMYFUNCTION("""COMPUTED_VALUE"""),"Adult")</f>
        <v>Adult</v>
      </c>
      <c r="F413" s="5"/>
    </row>
    <row r="414" spans="1:6" ht="13">
      <c r="A414" s="5" t="str">
        <f ca="1">IFERROR(__xludf.DUMMYFUNCTION("""COMPUTED_VALUE"""),"20211208MOEWK")</f>
        <v>20211208MOEWK</v>
      </c>
      <c r="B414" s="5" t="str">
        <f ca="1">IFERROR(__xludf.DUMMYFUNCTION("""COMPUTED_VALUE"""),"Wounded")</f>
        <v>Wounded</v>
      </c>
      <c r="C414" s="5" t="str">
        <f ca="1">IFERROR(__xludf.DUMMYFUNCTION("""COMPUTED_VALUE"""),"Male")</f>
        <v>Male</v>
      </c>
      <c r="D414" s="5" t="str">
        <f ca="1">IFERROR(__xludf.DUMMYFUNCTION("""COMPUTED_VALUE"""),"Nonstudent Using Athletic Facilities/Attending Game")</f>
        <v>Nonstudent Using Athletic Facilities/Attending Game</v>
      </c>
      <c r="E414" s="5" t="str">
        <f ca="1">IFERROR(__xludf.DUMMYFUNCTION("""COMPUTED_VALUE"""),"Teen")</f>
        <v>Teen</v>
      </c>
      <c r="F414" s="5"/>
    </row>
    <row r="415" spans="1:6" ht="13">
      <c r="A415" s="5" t="str">
        <f ca="1">IFERROR(__xludf.DUMMYFUNCTION("""COMPUTED_VALUE"""),"20211208MOEWK")</f>
        <v>20211208MOEWK</v>
      </c>
      <c r="B415" s="5" t="str">
        <f ca="1">IFERROR(__xludf.DUMMYFUNCTION("""COMPUTED_VALUE"""),"Wounded")</f>
        <v>Wounded</v>
      </c>
      <c r="C415" s="5" t="str">
        <f ca="1">IFERROR(__xludf.DUMMYFUNCTION("""COMPUTED_VALUE"""),"Male")</f>
        <v>Male</v>
      </c>
      <c r="D415" s="5" t="str">
        <f ca="1">IFERROR(__xludf.DUMMYFUNCTION("""COMPUTED_VALUE"""),"Nonstudent Using Athletic Facilities/Attending Game")</f>
        <v>Nonstudent Using Athletic Facilities/Attending Game</v>
      </c>
      <c r="E415" s="5" t="str">
        <f ca="1">IFERROR(__xludf.DUMMYFUNCTION("""COMPUTED_VALUE"""),"Teen")</f>
        <v>Teen</v>
      </c>
      <c r="F415" s="5"/>
    </row>
    <row r="416" spans="1:6" ht="13">
      <c r="A416" s="5" t="str">
        <f ca="1">IFERROR(__xludf.DUMMYFUNCTION("""COMPUTED_VALUE"""),"20211208KYSTL")</f>
        <v>20211208KYSTL</v>
      </c>
      <c r="B416" s="5" t="str">
        <f ca="1">IFERROR(__xludf.DUMMYFUNCTION("""COMPUTED_VALUE"""),"None")</f>
        <v>None</v>
      </c>
      <c r="C416" s="5"/>
      <c r="D416" s="5" t="str">
        <f ca="1">IFERROR(__xludf.DUMMYFUNCTION("""COMPUTED_VALUE"""),"No Relation")</f>
        <v>No Relation</v>
      </c>
      <c r="E416" s="5" t="str">
        <f ca="1">IFERROR(__xludf.DUMMYFUNCTION("""COMPUTED_VALUE"""),"Adult")</f>
        <v>Adult</v>
      </c>
      <c r="F416" s="5"/>
    </row>
    <row r="417" spans="1:6" ht="13">
      <c r="A417" s="5" t="str">
        <f ca="1">IFERROR(__xludf.DUMMYFUNCTION("""COMPUTED_VALUE"""),"20211207ILHAC")</f>
        <v>20211207ILHAC</v>
      </c>
      <c r="B417" s="5" t="str">
        <f ca="1">IFERROR(__xludf.DUMMYFUNCTION("""COMPUTED_VALUE"""),"Fatal")</f>
        <v>Fatal</v>
      </c>
      <c r="C417" s="5" t="str">
        <f ca="1">IFERROR(__xludf.DUMMYFUNCTION("""COMPUTED_VALUE"""),"Male")</f>
        <v>Male</v>
      </c>
      <c r="D417" s="5" t="str">
        <f ca="1">IFERROR(__xludf.DUMMYFUNCTION("""COMPUTED_VALUE"""),"No Relation")</f>
        <v>No Relation</v>
      </c>
      <c r="E417" s="5">
        <f ca="1">IFERROR(__xludf.DUMMYFUNCTION("""COMPUTED_VALUE"""),71)</f>
        <v>71</v>
      </c>
      <c r="F417" s="5" t="str">
        <f ca="1">IFERROR(__xludf.DUMMYFUNCTION("""COMPUTED_VALUE"""),"Asian")</f>
        <v>Asian</v>
      </c>
    </row>
    <row r="418" spans="1:6" ht="13">
      <c r="A418" s="5" t="str">
        <f ca="1">IFERROR(__xludf.DUMMYFUNCTION("""COMPUTED_VALUE"""),"20211206NYSUS")</f>
        <v>20211206NYSUS</v>
      </c>
      <c r="B418" s="5" t="str">
        <f ca="1">IFERROR(__xludf.DUMMYFUNCTION("""COMPUTED_VALUE"""),"Wounded")</f>
        <v>Wounded</v>
      </c>
      <c r="C418" s="5" t="str">
        <f ca="1">IFERROR(__xludf.DUMMYFUNCTION("""COMPUTED_VALUE"""),"Male")</f>
        <v>Male</v>
      </c>
      <c r="D418" s="5" t="str">
        <f ca="1">IFERROR(__xludf.DUMMYFUNCTION("""COMPUTED_VALUE"""),"Student")</f>
        <v>Student</v>
      </c>
      <c r="E418" s="5">
        <f ca="1">IFERROR(__xludf.DUMMYFUNCTION("""COMPUTED_VALUE"""),16)</f>
        <v>16</v>
      </c>
      <c r="F418" s="5"/>
    </row>
    <row r="419" spans="1:6" ht="13">
      <c r="A419" s="5" t="str">
        <f ca="1">IFERROR(__xludf.DUMMYFUNCTION("""COMPUTED_VALUE"""),"20211206CAWIW")</f>
        <v>20211206CAWIW</v>
      </c>
      <c r="B419" s="5" t="str">
        <f ca="1">IFERROR(__xludf.DUMMYFUNCTION("""COMPUTED_VALUE"""),"Fatal")</f>
        <v>Fatal</v>
      </c>
      <c r="C419" s="5" t="str">
        <f ca="1">IFERROR(__xludf.DUMMYFUNCTION("""COMPUTED_VALUE"""),"Male")</f>
        <v>Male</v>
      </c>
      <c r="D419" s="5"/>
      <c r="E419" s="5">
        <f ca="1">IFERROR(__xludf.DUMMYFUNCTION("""COMPUTED_VALUE"""),13)</f>
        <v>13</v>
      </c>
      <c r="F419" s="5"/>
    </row>
    <row r="420" spans="1:6" ht="13">
      <c r="A420" s="5" t="str">
        <f ca="1">IFERROR(__xludf.DUMMYFUNCTION("""COMPUTED_VALUE"""),"20211206CAWIW")</f>
        <v>20211206CAWIW</v>
      </c>
      <c r="B420" s="5" t="str">
        <f ca="1">IFERROR(__xludf.DUMMYFUNCTION("""COMPUTED_VALUE"""),"Wounded")</f>
        <v>Wounded</v>
      </c>
      <c r="C420" s="5" t="str">
        <f ca="1">IFERROR(__xludf.DUMMYFUNCTION("""COMPUTED_VALUE"""),"Female")</f>
        <v>Female</v>
      </c>
      <c r="D420" s="5"/>
      <c r="E420" s="5">
        <f ca="1">IFERROR(__xludf.DUMMYFUNCTION("""COMPUTED_VALUE"""),30)</f>
        <v>30</v>
      </c>
      <c r="F420" s="5"/>
    </row>
    <row r="421" spans="1:6" ht="13">
      <c r="A421" s="5" t="str">
        <f ca="1">IFERROR(__xludf.DUMMYFUNCTION("""COMPUTED_VALUE"""),"20211206CAWIW")</f>
        <v>20211206CAWIW</v>
      </c>
      <c r="B421" s="5" t="str">
        <f ca="1">IFERROR(__xludf.DUMMYFUNCTION("""COMPUTED_VALUE"""),"Wounded")</f>
        <v>Wounded</v>
      </c>
      <c r="C421" s="5" t="str">
        <f ca="1">IFERROR(__xludf.DUMMYFUNCTION("""COMPUTED_VALUE"""),"Female")</f>
        <v>Female</v>
      </c>
      <c r="D421" s="5" t="str">
        <f ca="1">IFERROR(__xludf.DUMMYFUNCTION("""COMPUTED_VALUE"""),"Student")</f>
        <v>Student</v>
      </c>
      <c r="E421" s="5">
        <f ca="1">IFERROR(__xludf.DUMMYFUNCTION("""COMPUTED_VALUE"""),9)</f>
        <v>9</v>
      </c>
      <c r="F421" s="5"/>
    </row>
    <row r="422" spans="1:6" ht="13">
      <c r="A422" s="5" t="str">
        <f ca="1">IFERROR(__xludf.DUMMYFUNCTION("""COMPUTED_VALUE"""),"20211203ARBLB")</f>
        <v>20211203ARBLB</v>
      </c>
      <c r="B422" s="5" t="str">
        <f ca="1">IFERROR(__xludf.DUMMYFUNCTION("""COMPUTED_VALUE"""),"None")</f>
        <v>None</v>
      </c>
      <c r="C422" s="5" t="str">
        <f ca="1">IFERROR(__xludf.DUMMYFUNCTION("""COMPUTED_VALUE"""),"Male")</f>
        <v>Male</v>
      </c>
      <c r="D422" s="5" t="str">
        <f ca="1">IFERROR(__xludf.DUMMYFUNCTION("""COMPUTED_VALUE"""),"No Relation")</f>
        <v>No Relation</v>
      </c>
      <c r="E422" s="5" t="str">
        <f ca="1">IFERROR(__xludf.DUMMYFUNCTION("""COMPUTED_VALUE"""),"Adult")</f>
        <v>Adult</v>
      </c>
      <c r="F422" s="5"/>
    </row>
    <row r="423" spans="1:6" ht="13">
      <c r="A423" s="5" t="str">
        <f ca="1">IFERROR(__xludf.DUMMYFUNCTION("""COMPUTED_VALUE"""),"20211201TXSAP")</f>
        <v>20211201TXSAP</v>
      </c>
      <c r="B423" s="5" t="str">
        <f ca="1">IFERROR(__xludf.DUMMYFUNCTION("""COMPUTED_VALUE"""),"None")</f>
        <v>None</v>
      </c>
      <c r="C423" s="5" t="str">
        <f ca="1">IFERROR(__xludf.DUMMYFUNCTION("""COMPUTED_VALUE"""),"Male")</f>
        <v>Male</v>
      </c>
      <c r="D423" s="5" t="str">
        <f ca="1">IFERROR(__xludf.DUMMYFUNCTION("""COMPUTED_VALUE"""),"Student")</f>
        <v>Student</v>
      </c>
      <c r="E423" s="5" t="str">
        <f ca="1">IFERROR(__xludf.DUMMYFUNCTION("""COMPUTED_VALUE"""),"Teen")</f>
        <v>Teen</v>
      </c>
      <c r="F423" s="5"/>
    </row>
    <row r="424" spans="1:6" ht="13">
      <c r="A424" s="5" t="str">
        <f ca="1">IFERROR(__xludf.DUMMYFUNCTION("""COMPUTED_VALUE"""),"20211130TNHUH")</f>
        <v>20211130TNHUH</v>
      </c>
      <c r="B424" s="5" t="str">
        <f ca="1">IFERROR(__xludf.DUMMYFUNCTION("""COMPUTED_VALUE"""),"Fatal")</f>
        <v>Fatal</v>
      </c>
      <c r="C424" s="5" t="str">
        <f ca="1">IFERROR(__xludf.DUMMYFUNCTION("""COMPUTED_VALUE"""),"Male")</f>
        <v>Male</v>
      </c>
      <c r="D424" s="5" t="str">
        <f ca="1">IFERROR(__xludf.DUMMYFUNCTION("""COMPUTED_VALUE"""),"Nonstudent Using Athletic Facilities/Attending Game")</f>
        <v>Nonstudent Using Athletic Facilities/Attending Game</v>
      </c>
      <c r="E424" s="5">
        <f ca="1">IFERROR(__xludf.DUMMYFUNCTION("""COMPUTED_VALUE"""),21)</f>
        <v>21</v>
      </c>
      <c r="F424" s="5"/>
    </row>
    <row r="425" spans="1:6" ht="13">
      <c r="A425" s="5" t="str">
        <f ca="1">IFERROR(__xludf.DUMMYFUNCTION("""COMPUTED_VALUE"""),"20211130TNHUH")</f>
        <v>20211130TNHUH</v>
      </c>
      <c r="B425" s="5" t="str">
        <f ca="1">IFERROR(__xludf.DUMMYFUNCTION("""COMPUTED_VALUE"""),"Wounded")</f>
        <v>Wounded</v>
      </c>
      <c r="C425" s="5" t="str">
        <f ca="1">IFERROR(__xludf.DUMMYFUNCTION("""COMPUTED_VALUE"""),"Male")</f>
        <v>Male</v>
      </c>
      <c r="D425" s="5" t="str">
        <f ca="1">IFERROR(__xludf.DUMMYFUNCTION("""COMPUTED_VALUE"""),"Nonstudent Using Athletic Facilities/Attending Game")</f>
        <v>Nonstudent Using Athletic Facilities/Attending Game</v>
      </c>
      <c r="E425" s="5">
        <f ca="1">IFERROR(__xludf.DUMMYFUNCTION("""COMPUTED_VALUE"""),18)</f>
        <v>18</v>
      </c>
      <c r="F425" s="5"/>
    </row>
    <row r="426" spans="1:6" ht="13">
      <c r="A426" s="5" t="str">
        <f ca="1">IFERROR(__xludf.DUMMYFUNCTION("""COMPUTED_VALUE"""),"20211130TNHUH")</f>
        <v>20211130TNHUH</v>
      </c>
      <c r="B426" s="5" t="str">
        <f ca="1">IFERROR(__xludf.DUMMYFUNCTION("""COMPUTED_VALUE"""),"Wounded")</f>
        <v>Wounded</v>
      </c>
      <c r="C426" s="5" t="str">
        <f ca="1">IFERROR(__xludf.DUMMYFUNCTION("""COMPUTED_VALUE"""),"Male")</f>
        <v>Male</v>
      </c>
      <c r="D426" s="5" t="str">
        <f ca="1">IFERROR(__xludf.DUMMYFUNCTION("""COMPUTED_VALUE"""),"Nonstudent Using Athletic Facilities/Attending Game")</f>
        <v>Nonstudent Using Athletic Facilities/Attending Game</v>
      </c>
      <c r="E426" s="5" t="str">
        <f ca="1">IFERROR(__xludf.DUMMYFUNCTION("""COMPUTED_VALUE"""),"Adult")</f>
        <v>Adult</v>
      </c>
      <c r="F426" s="5"/>
    </row>
    <row r="427" spans="1:6" ht="13">
      <c r="A427" s="5" t="str">
        <f ca="1">IFERROR(__xludf.DUMMYFUNCTION("""COMPUTED_VALUE"""),"20211130MIOXO")</f>
        <v>20211130MIOXO</v>
      </c>
      <c r="B427" s="5" t="str">
        <f ca="1">IFERROR(__xludf.DUMMYFUNCTION("""COMPUTED_VALUE"""),"Fatal")</f>
        <v>Fatal</v>
      </c>
      <c r="C427" s="5" t="str">
        <f ca="1">IFERROR(__xludf.DUMMYFUNCTION("""COMPUTED_VALUE"""),"Male")</f>
        <v>Male</v>
      </c>
      <c r="D427" s="5" t="str">
        <f ca="1">IFERROR(__xludf.DUMMYFUNCTION("""COMPUTED_VALUE"""),"Student")</f>
        <v>Student</v>
      </c>
      <c r="E427" s="5">
        <f ca="1">IFERROR(__xludf.DUMMYFUNCTION("""COMPUTED_VALUE"""),17)</f>
        <v>17</v>
      </c>
      <c r="F427" s="5"/>
    </row>
    <row r="428" spans="1:6" ht="13">
      <c r="A428" s="5" t="str">
        <f ca="1">IFERROR(__xludf.DUMMYFUNCTION("""COMPUTED_VALUE"""),"20211130MIOXO")</f>
        <v>20211130MIOXO</v>
      </c>
      <c r="B428" s="5" t="str">
        <f ca="1">IFERROR(__xludf.DUMMYFUNCTION("""COMPUTED_VALUE"""),"Wounded")</f>
        <v>Wounded</v>
      </c>
      <c r="C428" s="5" t="str">
        <f ca="1">IFERROR(__xludf.DUMMYFUNCTION("""COMPUTED_VALUE"""),"Male")</f>
        <v>Male</v>
      </c>
      <c r="D428" s="5" t="str">
        <f ca="1">IFERROR(__xludf.DUMMYFUNCTION("""COMPUTED_VALUE"""),"Student")</f>
        <v>Student</v>
      </c>
      <c r="E428" s="5">
        <f ca="1">IFERROR(__xludf.DUMMYFUNCTION("""COMPUTED_VALUE"""),14)</f>
        <v>14</v>
      </c>
      <c r="F428" s="5"/>
    </row>
    <row r="429" spans="1:6" ht="13">
      <c r="A429" s="5" t="str">
        <f ca="1">IFERROR(__xludf.DUMMYFUNCTION("""COMPUTED_VALUE"""),"20211130MIOXO")</f>
        <v>20211130MIOXO</v>
      </c>
      <c r="B429" s="5" t="str">
        <f ca="1">IFERROR(__xludf.DUMMYFUNCTION("""COMPUTED_VALUE"""),"Wounded")</f>
        <v>Wounded</v>
      </c>
      <c r="C429" s="5" t="str">
        <f ca="1">IFERROR(__xludf.DUMMYFUNCTION("""COMPUTED_VALUE"""),"Male")</f>
        <v>Male</v>
      </c>
      <c r="D429" s="5" t="str">
        <f ca="1">IFERROR(__xludf.DUMMYFUNCTION("""COMPUTED_VALUE"""),"Teacher")</f>
        <v>Teacher</v>
      </c>
      <c r="E429" s="5">
        <f ca="1">IFERROR(__xludf.DUMMYFUNCTION("""COMPUTED_VALUE"""),47)</f>
        <v>47</v>
      </c>
      <c r="F429" s="5"/>
    </row>
    <row r="430" spans="1:6" ht="13">
      <c r="A430" s="5" t="str">
        <f ca="1">IFERROR(__xludf.DUMMYFUNCTION("""COMPUTED_VALUE"""),"20211130MIOXO")</f>
        <v>20211130MIOXO</v>
      </c>
      <c r="B430" s="5" t="str">
        <f ca="1">IFERROR(__xludf.DUMMYFUNCTION("""COMPUTED_VALUE"""),"Wounded")</f>
        <v>Wounded</v>
      </c>
      <c r="C430" s="5" t="str">
        <f ca="1">IFERROR(__xludf.DUMMYFUNCTION("""COMPUTED_VALUE"""),"Male")</f>
        <v>Male</v>
      </c>
      <c r="D430" s="5" t="str">
        <f ca="1">IFERROR(__xludf.DUMMYFUNCTION("""COMPUTED_VALUE"""),"Student")</f>
        <v>Student</v>
      </c>
      <c r="E430" s="5">
        <f ca="1">IFERROR(__xludf.DUMMYFUNCTION("""COMPUTED_VALUE"""),14)</f>
        <v>14</v>
      </c>
      <c r="F430" s="5"/>
    </row>
    <row r="431" spans="1:6" ht="13">
      <c r="A431" s="5" t="str">
        <f ca="1">IFERROR(__xludf.DUMMYFUNCTION("""COMPUTED_VALUE"""),"20211130MIOXO")</f>
        <v>20211130MIOXO</v>
      </c>
      <c r="B431" s="5" t="str">
        <f ca="1">IFERROR(__xludf.DUMMYFUNCTION("""COMPUTED_VALUE"""),"Fatal")</f>
        <v>Fatal</v>
      </c>
      <c r="C431" s="5" t="str">
        <f ca="1">IFERROR(__xludf.DUMMYFUNCTION("""COMPUTED_VALUE"""),"Female")</f>
        <v>Female</v>
      </c>
      <c r="D431" s="5" t="str">
        <f ca="1">IFERROR(__xludf.DUMMYFUNCTION("""COMPUTED_VALUE"""),"Student")</f>
        <v>Student</v>
      </c>
      <c r="E431" s="5">
        <f ca="1">IFERROR(__xludf.DUMMYFUNCTION("""COMPUTED_VALUE"""),14)</f>
        <v>14</v>
      </c>
      <c r="F431" s="5"/>
    </row>
    <row r="432" spans="1:6" ht="13">
      <c r="A432" s="5" t="str">
        <f ca="1">IFERROR(__xludf.DUMMYFUNCTION("""COMPUTED_VALUE"""),"20211130MIOXO")</f>
        <v>20211130MIOXO</v>
      </c>
      <c r="B432" s="5" t="str">
        <f ca="1">IFERROR(__xludf.DUMMYFUNCTION("""COMPUTED_VALUE"""),"Wounded")</f>
        <v>Wounded</v>
      </c>
      <c r="C432" s="5" t="str">
        <f ca="1">IFERROR(__xludf.DUMMYFUNCTION("""COMPUTED_VALUE"""),"Female")</f>
        <v>Female</v>
      </c>
      <c r="D432" s="5" t="str">
        <f ca="1">IFERROR(__xludf.DUMMYFUNCTION("""COMPUTED_VALUE"""),"Student")</f>
        <v>Student</v>
      </c>
      <c r="E432" s="5">
        <f ca="1">IFERROR(__xludf.DUMMYFUNCTION("""COMPUTED_VALUE"""),17)</f>
        <v>17</v>
      </c>
      <c r="F432" s="5"/>
    </row>
    <row r="433" spans="1:6" ht="13">
      <c r="A433" s="5" t="str">
        <f ca="1">IFERROR(__xludf.DUMMYFUNCTION("""COMPUTED_VALUE"""),"20211130MIOXO")</f>
        <v>20211130MIOXO</v>
      </c>
      <c r="B433" s="5" t="str">
        <f ca="1">IFERROR(__xludf.DUMMYFUNCTION("""COMPUTED_VALUE"""),"Fatal")</f>
        <v>Fatal</v>
      </c>
      <c r="C433" s="5" t="str">
        <f ca="1">IFERROR(__xludf.DUMMYFUNCTION("""COMPUTED_VALUE"""),"Female")</f>
        <v>Female</v>
      </c>
      <c r="D433" s="5" t="str">
        <f ca="1">IFERROR(__xludf.DUMMYFUNCTION("""COMPUTED_VALUE"""),"Student")</f>
        <v>Student</v>
      </c>
      <c r="E433" s="5">
        <f ca="1">IFERROR(__xludf.DUMMYFUNCTION("""COMPUTED_VALUE"""),17)</f>
        <v>17</v>
      </c>
      <c r="F433" s="5" t="str">
        <f ca="1">IFERROR(__xludf.DUMMYFUNCTION("""COMPUTED_VALUE"""),"White")</f>
        <v>White</v>
      </c>
    </row>
    <row r="434" spans="1:6" ht="13">
      <c r="A434" s="5" t="str">
        <f ca="1">IFERROR(__xludf.DUMMYFUNCTION("""COMPUTED_VALUE"""),"20211130MIOXO")</f>
        <v>20211130MIOXO</v>
      </c>
      <c r="B434" s="5" t="str">
        <f ca="1">IFERROR(__xludf.DUMMYFUNCTION("""COMPUTED_VALUE"""),"Wounded")</f>
        <v>Wounded</v>
      </c>
      <c r="C434" s="5" t="str">
        <f ca="1">IFERROR(__xludf.DUMMYFUNCTION("""COMPUTED_VALUE"""),"Male")</f>
        <v>Male</v>
      </c>
      <c r="D434" s="5" t="str">
        <f ca="1">IFERROR(__xludf.DUMMYFUNCTION("""COMPUTED_VALUE"""),"Student")</f>
        <v>Student</v>
      </c>
      <c r="E434" s="5">
        <f ca="1">IFERROR(__xludf.DUMMYFUNCTION("""COMPUTED_VALUE"""),15)</f>
        <v>15</v>
      </c>
      <c r="F434" s="5"/>
    </row>
    <row r="435" spans="1:6" ht="13">
      <c r="A435" s="5" t="str">
        <f ca="1">IFERROR(__xludf.DUMMYFUNCTION("""COMPUTED_VALUE"""),"20211130MIOXO")</f>
        <v>20211130MIOXO</v>
      </c>
      <c r="B435" s="5" t="str">
        <f ca="1">IFERROR(__xludf.DUMMYFUNCTION("""COMPUTED_VALUE"""),"Fatal")</f>
        <v>Fatal</v>
      </c>
      <c r="C435" s="5" t="str">
        <f ca="1">IFERROR(__xludf.DUMMYFUNCTION("""COMPUTED_VALUE"""),"Male")</f>
        <v>Male</v>
      </c>
      <c r="D435" s="5" t="str">
        <f ca="1">IFERROR(__xludf.DUMMYFUNCTION("""COMPUTED_VALUE"""),"Student")</f>
        <v>Student</v>
      </c>
      <c r="E435" s="5">
        <f ca="1">IFERROR(__xludf.DUMMYFUNCTION("""COMPUTED_VALUE"""),16)</f>
        <v>16</v>
      </c>
      <c r="F435" s="5"/>
    </row>
    <row r="436" spans="1:6" ht="13">
      <c r="A436" s="5" t="str">
        <f ca="1">IFERROR(__xludf.DUMMYFUNCTION("""COMPUTED_VALUE"""),"20211130MIOXO")</f>
        <v>20211130MIOXO</v>
      </c>
      <c r="B436" s="5" t="str">
        <f ca="1">IFERROR(__xludf.DUMMYFUNCTION("""COMPUTED_VALUE"""),"Wounded")</f>
        <v>Wounded</v>
      </c>
      <c r="C436" s="5" t="str">
        <f ca="1">IFERROR(__xludf.DUMMYFUNCTION("""COMPUTED_VALUE"""),"Male")</f>
        <v>Male</v>
      </c>
      <c r="D436" s="5" t="str">
        <f ca="1">IFERROR(__xludf.DUMMYFUNCTION("""COMPUTED_VALUE"""),"Student")</f>
        <v>Student</v>
      </c>
      <c r="E436" s="5">
        <f ca="1">IFERROR(__xludf.DUMMYFUNCTION("""COMPUTED_VALUE"""),17)</f>
        <v>17</v>
      </c>
      <c r="F436" s="5"/>
    </row>
    <row r="437" spans="1:6" ht="13">
      <c r="A437" s="5" t="str">
        <f ca="1">IFERROR(__xludf.DUMMYFUNCTION("""COMPUTED_VALUE"""),"20211130MIOXO")</f>
        <v>20211130MIOXO</v>
      </c>
      <c r="B437" s="5" t="str">
        <f ca="1">IFERROR(__xludf.DUMMYFUNCTION("""COMPUTED_VALUE"""),"Wounded")</f>
        <v>Wounded</v>
      </c>
      <c r="C437" s="5" t="str">
        <f ca="1">IFERROR(__xludf.DUMMYFUNCTION("""COMPUTED_VALUE"""),"Female")</f>
        <v>Female</v>
      </c>
      <c r="D437" s="5" t="str">
        <f ca="1">IFERROR(__xludf.DUMMYFUNCTION("""COMPUTED_VALUE"""),"Student")</f>
        <v>Student</v>
      </c>
      <c r="E437" s="5">
        <f ca="1">IFERROR(__xludf.DUMMYFUNCTION("""COMPUTED_VALUE"""),14)</f>
        <v>14</v>
      </c>
      <c r="F437" s="5"/>
    </row>
    <row r="438" spans="1:6" ht="13">
      <c r="A438" s="5" t="str">
        <f ca="1">IFERROR(__xludf.DUMMYFUNCTION("""COMPUTED_VALUE"""),"20211129AZCHP")</f>
        <v>20211129AZCHP</v>
      </c>
      <c r="B438" s="5" t="str">
        <f ca="1">IFERROR(__xludf.DUMMYFUNCTION("""COMPUTED_VALUE"""),"Wounded")</f>
        <v>Wounded</v>
      </c>
      <c r="C438" s="5" t="str">
        <f ca="1">IFERROR(__xludf.DUMMYFUNCTION("""COMPUTED_VALUE"""),"Male")</f>
        <v>Male</v>
      </c>
      <c r="D438" s="5" t="str">
        <f ca="1">IFERROR(__xludf.DUMMYFUNCTION("""COMPUTED_VALUE"""),"Student")</f>
        <v>Student</v>
      </c>
      <c r="E438" s="5">
        <f ca="1">IFERROR(__xludf.DUMMYFUNCTION("""COMPUTED_VALUE"""),16)</f>
        <v>16</v>
      </c>
      <c r="F438" s="5"/>
    </row>
    <row r="439" spans="1:6" ht="13">
      <c r="A439" s="5" t="str">
        <f ca="1">IFERROR(__xludf.DUMMYFUNCTION("""COMPUTED_VALUE"""),"20211126CAWES")</f>
        <v>20211126CAWES</v>
      </c>
      <c r="B439" s="5" t="str">
        <f ca="1">IFERROR(__xludf.DUMMYFUNCTION("""COMPUTED_VALUE"""),"Wounded")</f>
        <v>Wounded</v>
      </c>
      <c r="C439" s="5" t="str">
        <f ca="1">IFERROR(__xludf.DUMMYFUNCTION("""COMPUTED_VALUE"""),"Male")</f>
        <v>Male</v>
      </c>
      <c r="D439" s="5" t="str">
        <f ca="1">IFERROR(__xludf.DUMMYFUNCTION("""COMPUTED_VALUE"""),"Nonstudent Using Athletic Facilities/Attending Game")</f>
        <v>Nonstudent Using Athletic Facilities/Attending Game</v>
      </c>
      <c r="E439" s="5" t="str">
        <f ca="1">IFERROR(__xludf.DUMMYFUNCTION("""COMPUTED_VALUE"""),"Adult")</f>
        <v>Adult</v>
      </c>
      <c r="F439" s="5"/>
    </row>
    <row r="440" spans="1:6" ht="13">
      <c r="A440" s="5" t="str">
        <f ca="1">IFERROR(__xludf.DUMMYFUNCTION("""COMPUTED_VALUE"""),"20211126CAWES")</f>
        <v>20211126CAWES</v>
      </c>
      <c r="B440" s="5" t="str">
        <f ca="1">IFERROR(__xludf.DUMMYFUNCTION("""COMPUTED_VALUE"""),"Wounded")</f>
        <v>Wounded</v>
      </c>
      <c r="C440" s="5" t="str">
        <f ca="1">IFERROR(__xludf.DUMMYFUNCTION("""COMPUTED_VALUE"""),"Male")</f>
        <v>Male</v>
      </c>
      <c r="D440" s="5" t="str">
        <f ca="1">IFERROR(__xludf.DUMMYFUNCTION("""COMPUTED_VALUE"""),"Nonstudent Using Athletic Facilities/Attending Game")</f>
        <v>Nonstudent Using Athletic Facilities/Attending Game</v>
      </c>
      <c r="E440" s="5" t="str">
        <f ca="1">IFERROR(__xludf.DUMMYFUNCTION("""COMPUTED_VALUE"""),"Adult")</f>
        <v>Adult</v>
      </c>
      <c r="F440" s="5"/>
    </row>
    <row r="441" spans="1:6" ht="13">
      <c r="A441" s="5" t="str">
        <f ca="1">IFERROR(__xludf.DUMMYFUNCTION("""COMPUTED_VALUE"""),"20211119MDGIB")</f>
        <v>20211119MDGIB</v>
      </c>
      <c r="B441" s="5" t="str">
        <f ca="1">IFERROR(__xludf.DUMMYFUNCTION("""COMPUTED_VALUE"""),"Fatal")</f>
        <v>Fatal</v>
      </c>
      <c r="C441" s="5" t="str">
        <f ca="1">IFERROR(__xludf.DUMMYFUNCTION("""COMPUTED_VALUE"""),"Female")</f>
        <v>Female</v>
      </c>
      <c r="D441" s="5"/>
      <c r="E441" s="5">
        <f ca="1">IFERROR(__xludf.DUMMYFUNCTION("""COMPUTED_VALUE"""),13)</f>
        <v>13</v>
      </c>
      <c r="F441" s="5"/>
    </row>
    <row r="442" spans="1:6" ht="13">
      <c r="A442" s="5" t="str">
        <f ca="1">IFERROR(__xludf.DUMMYFUNCTION("""COMPUTED_VALUE"""),"20211119COHIA")</f>
        <v>20211119COHIA</v>
      </c>
      <c r="B442" s="5" t="str">
        <f ca="1">IFERROR(__xludf.DUMMYFUNCTION("""COMPUTED_VALUE"""),"Wounded")</f>
        <v>Wounded</v>
      </c>
      <c r="C442" s="5" t="str">
        <f ca="1">IFERROR(__xludf.DUMMYFUNCTION("""COMPUTED_VALUE"""),"Male")</f>
        <v>Male</v>
      </c>
      <c r="D442" s="5" t="str">
        <f ca="1">IFERROR(__xludf.DUMMYFUNCTION("""COMPUTED_VALUE"""),"Student")</f>
        <v>Student</v>
      </c>
      <c r="E442" s="5" t="str">
        <f ca="1">IFERROR(__xludf.DUMMYFUNCTION("""COMPUTED_VALUE"""),"Teen")</f>
        <v>Teen</v>
      </c>
      <c r="F442" s="5"/>
    </row>
    <row r="443" spans="1:6" ht="13">
      <c r="A443" s="5" t="str">
        <f ca="1">IFERROR(__xludf.DUMMYFUNCTION("""COMPUTED_VALUE"""),"20211119COHIA")</f>
        <v>20211119COHIA</v>
      </c>
      <c r="B443" s="5" t="str">
        <f ca="1">IFERROR(__xludf.DUMMYFUNCTION("""COMPUTED_VALUE"""),"Wounded")</f>
        <v>Wounded</v>
      </c>
      <c r="C443" s="5" t="str">
        <f ca="1">IFERROR(__xludf.DUMMYFUNCTION("""COMPUTED_VALUE"""),"Male")</f>
        <v>Male</v>
      </c>
      <c r="D443" s="5" t="str">
        <f ca="1">IFERROR(__xludf.DUMMYFUNCTION("""COMPUTED_VALUE"""),"Student")</f>
        <v>Student</v>
      </c>
      <c r="E443" s="5" t="str">
        <f ca="1">IFERROR(__xludf.DUMMYFUNCTION("""COMPUTED_VALUE"""),"Teen")</f>
        <v>Teen</v>
      </c>
      <c r="F443" s="5"/>
    </row>
    <row r="444" spans="1:6" ht="13">
      <c r="A444" s="5" t="str">
        <f ca="1">IFERROR(__xludf.DUMMYFUNCTION("""COMPUTED_VALUE"""),"20211119COHIA")</f>
        <v>20211119COHIA</v>
      </c>
      <c r="B444" s="5" t="str">
        <f ca="1">IFERROR(__xludf.DUMMYFUNCTION("""COMPUTED_VALUE"""),"Wounded")</f>
        <v>Wounded</v>
      </c>
      <c r="C444" s="5" t="str">
        <f ca="1">IFERROR(__xludf.DUMMYFUNCTION("""COMPUTED_VALUE"""),"Male")</f>
        <v>Male</v>
      </c>
      <c r="D444" s="5" t="str">
        <f ca="1">IFERROR(__xludf.DUMMYFUNCTION("""COMPUTED_VALUE"""),"Student")</f>
        <v>Student</v>
      </c>
      <c r="E444" s="5" t="str">
        <f ca="1">IFERROR(__xludf.DUMMYFUNCTION("""COMPUTED_VALUE"""),"Teen")</f>
        <v>Teen</v>
      </c>
      <c r="F444" s="5"/>
    </row>
    <row r="445" spans="1:6" ht="13">
      <c r="A445" s="5" t="str">
        <f ca="1">IFERROR(__xludf.DUMMYFUNCTION("""COMPUTED_VALUE"""),"20211108NYTHB")</f>
        <v>20211108NYTHB</v>
      </c>
      <c r="B445" s="5" t="str">
        <f ca="1">IFERROR(__xludf.DUMMYFUNCTION("""COMPUTED_VALUE"""),"Wounded")</f>
        <v>Wounded</v>
      </c>
      <c r="C445" s="5" t="str">
        <f ca="1">IFERROR(__xludf.DUMMYFUNCTION("""COMPUTED_VALUE"""),"Male")</f>
        <v>Male</v>
      </c>
      <c r="D445" s="5" t="str">
        <f ca="1">IFERROR(__xludf.DUMMYFUNCTION("""COMPUTED_VALUE"""),"Student")</f>
        <v>Student</v>
      </c>
      <c r="E445" s="5">
        <f ca="1">IFERROR(__xludf.DUMMYFUNCTION("""COMPUTED_VALUE"""),17)</f>
        <v>17</v>
      </c>
      <c r="F445" s="5"/>
    </row>
    <row r="446" spans="1:6" ht="13">
      <c r="A446" s="5" t="str">
        <f ca="1">IFERROR(__xludf.DUMMYFUNCTION("""COMPUTED_VALUE"""),"20211102NMHIH")</f>
        <v>20211102NMHIH</v>
      </c>
      <c r="B446" s="5" t="str">
        <f ca="1">IFERROR(__xludf.DUMMYFUNCTION("""COMPUTED_VALUE"""),"Wounded")</f>
        <v>Wounded</v>
      </c>
      <c r="C446" s="5" t="str">
        <f ca="1">IFERROR(__xludf.DUMMYFUNCTION("""COMPUTED_VALUE"""),"Male")</f>
        <v>Male</v>
      </c>
      <c r="D446" s="5" t="str">
        <f ca="1">IFERROR(__xludf.DUMMYFUNCTION("""COMPUTED_VALUE"""),"Student")</f>
        <v>Student</v>
      </c>
      <c r="E446" s="5" t="str">
        <f ca="1">IFERROR(__xludf.DUMMYFUNCTION("""COMPUTED_VALUE"""),"Child")</f>
        <v>Child</v>
      </c>
      <c r="F446" s="5"/>
    </row>
    <row r="447" spans="1:6" ht="13">
      <c r="A447" s="5" t="str">
        <f ca="1">IFERROR(__xludf.DUMMYFUNCTION("""COMPUTED_VALUE"""),"20211102NMHIH")</f>
        <v>20211102NMHIH</v>
      </c>
      <c r="B447" s="5" t="str">
        <f ca="1">IFERROR(__xludf.DUMMYFUNCTION("""COMPUTED_VALUE"""),"Wounded")</f>
        <v>Wounded</v>
      </c>
      <c r="C447" s="5"/>
      <c r="D447" s="5" t="str">
        <f ca="1">IFERROR(__xludf.DUMMYFUNCTION("""COMPUTED_VALUE"""),"Student")</f>
        <v>Student</v>
      </c>
      <c r="E447" s="5" t="str">
        <f ca="1">IFERROR(__xludf.DUMMYFUNCTION("""COMPUTED_VALUE"""),"Child")</f>
        <v>Child</v>
      </c>
      <c r="F447" s="5"/>
    </row>
    <row r="448" spans="1:6" ht="13">
      <c r="A448" s="5" t="str">
        <f ca="1">IFERROR(__xludf.DUMMYFUNCTION("""COMPUTED_VALUE"""),"20211102NMHIH")</f>
        <v>20211102NMHIH</v>
      </c>
      <c r="B448" s="5" t="str">
        <f ca="1">IFERROR(__xludf.DUMMYFUNCTION("""COMPUTED_VALUE"""),"Wounded")</f>
        <v>Wounded</v>
      </c>
      <c r="C448" s="5"/>
      <c r="D448" s="5" t="str">
        <f ca="1">IFERROR(__xludf.DUMMYFUNCTION("""COMPUTED_VALUE"""),"Student")</f>
        <v>Student</v>
      </c>
      <c r="E448" s="5" t="str">
        <f ca="1">IFERROR(__xludf.DUMMYFUNCTION("""COMPUTED_VALUE"""),"Child")</f>
        <v>Child</v>
      </c>
      <c r="F448" s="5"/>
    </row>
    <row r="449" spans="1:6" ht="13">
      <c r="A449" s="5" t="str">
        <f ca="1">IFERROR(__xludf.DUMMYFUNCTION("""COMPUTED_VALUE"""),"20211102NMHIH")</f>
        <v>20211102NMHIH</v>
      </c>
      <c r="B449" s="5" t="str">
        <f ca="1">IFERROR(__xludf.DUMMYFUNCTION("""COMPUTED_VALUE"""),"None")</f>
        <v>None</v>
      </c>
      <c r="C449" s="5"/>
      <c r="D449" s="5" t="str">
        <f ca="1">IFERROR(__xludf.DUMMYFUNCTION("""COMPUTED_VALUE"""),"Teacher")</f>
        <v>Teacher</v>
      </c>
      <c r="E449" s="5" t="str">
        <f ca="1">IFERROR(__xludf.DUMMYFUNCTION("""COMPUTED_VALUE"""),"Adult")</f>
        <v>Adult</v>
      </c>
      <c r="F449" s="5"/>
    </row>
    <row r="450" spans="1:6" ht="13">
      <c r="A450" s="5" t="str">
        <f ca="1">IFERROR(__xludf.DUMMYFUNCTION("""COMPUTED_VALUE"""),"20211030PASTM")</f>
        <v>20211030PASTM</v>
      </c>
      <c r="B450" s="5" t="str">
        <f ca="1">IFERROR(__xludf.DUMMYFUNCTION("""COMPUTED_VALUE"""),"Wounded")</f>
        <v>Wounded</v>
      </c>
      <c r="C450" s="5" t="str">
        <f ca="1">IFERROR(__xludf.DUMMYFUNCTION("""COMPUTED_VALUE"""),"Male")</f>
        <v>Male</v>
      </c>
      <c r="D450" s="5" t="str">
        <f ca="1">IFERROR(__xludf.DUMMYFUNCTION("""COMPUTED_VALUE"""),"Nonstudent Using Athletic Facilities/Attending Game")</f>
        <v>Nonstudent Using Athletic Facilities/Attending Game</v>
      </c>
      <c r="E450" s="5" t="str">
        <f ca="1">IFERROR(__xludf.DUMMYFUNCTION("""COMPUTED_VALUE"""),"Adult")</f>
        <v>Adult</v>
      </c>
      <c r="F450" s="5"/>
    </row>
    <row r="451" spans="1:6" ht="13">
      <c r="A451" s="5" t="str">
        <f ca="1">IFERROR(__xludf.DUMMYFUNCTION("""COMPUTED_VALUE"""),"20211021NYPSB")</f>
        <v>20211021NYPSB</v>
      </c>
      <c r="B451" s="5" t="str">
        <f ca="1">IFERROR(__xludf.DUMMYFUNCTION("""COMPUTED_VALUE"""),"Wounded")</f>
        <v>Wounded</v>
      </c>
      <c r="C451" s="5" t="str">
        <f ca="1">IFERROR(__xludf.DUMMYFUNCTION("""COMPUTED_VALUE"""),"Male")</f>
        <v>Male</v>
      </c>
      <c r="D451" s="5" t="str">
        <f ca="1">IFERROR(__xludf.DUMMYFUNCTION("""COMPUTED_VALUE"""),"No Relation")</f>
        <v>No Relation</v>
      </c>
      <c r="E451" s="5">
        <f ca="1">IFERROR(__xludf.DUMMYFUNCTION("""COMPUTED_VALUE"""),25)</f>
        <v>25</v>
      </c>
      <c r="F451" s="5"/>
    </row>
    <row r="452" spans="1:6" ht="13">
      <c r="A452" s="5" t="str">
        <f ca="1">IFERROR(__xludf.DUMMYFUNCTION("""COMPUTED_VALUE"""),"20211021GABES")</f>
        <v>20211021GABES</v>
      </c>
      <c r="B452" s="5" t="str">
        <f ca="1">IFERROR(__xludf.DUMMYFUNCTION("""COMPUTED_VALUE"""),"Minor Injuries")</f>
        <v>Minor Injuries</v>
      </c>
      <c r="C452" s="5"/>
      <c r="D452" s="5"/>
      <c r="E452" s="5"/>
      <c r="F452" s="5"/>
    </row>
    <row r="453" spans="1:6" ht="13">
      <c r="A453" s="5" t="str">
        <f ca="1">IFERROR(__xludf.DUMMYFUNCTION("""COMPUTED_VALUE"""),"20211018PALIP")</f>
        <v>20211018PALIP</v>
      </c>
      <c r="B453" s="5" t="str">
        <f ca="1">IFERROR(__xludf.DUMMYFUNCTION("""COMPUTED_VALUE"""),"Wounded")</f>
        <v>Wounded</v>
      </c>
      <c r="C453" s="5" t="str">
        <f ca="1">IFERROR(__xludf.DUMMYFUNCTION("""COMPUTED_VALUE"""),"Male")</f>
        <v>Male</v>
      </c>
      <c r="D453" s="5" t="str">
        <f ca="1">IFERROR(__xludf.DUMMYFUNCTION("""COMPUTED_VALUE"""),"Student")</f>
        <v>Student</v>
      </c>
      <c r="E453" s="5">
        <f ca="1">IFERROR(__xludf.DUMMYFUNCTION("""COMPUTED_VALUE"""),16)</f>
        <v>16</v>
      </c>
      <c r="F453" s="5"/>
    </row>
    <row r="454" spans="1:6" ht="13">
      <c r="A454" s="5" t="str">
        <f ca="1">IFERROR(__xludf.DUMMYFUNCTION("""COMPUTED_VALUE"""),"20211018PALIP")</f>
        <v>20211018PALIP</v>
      </c>
      <c r="B454" s="5" t="str">
        <f ca="1">IFERROR(__xludf.DUMMYFUNCTION("""COMPUTED_VALUE"""),"Wounded")</f>
        <v>Wounded</v>
      </c>
      <c r="C454" s="5" t="str">
        <f ca="1">IFERROR(__xludf.DUMMYFUNCTION("""COMPUTED_VALUE"""),"Male")</f>
        <v>Male</v>
      </c>
      <c r="D454" s="5" t="str">
        <f ca="1">IFERROR(__xludf.DUMMYFUNCTION("""COMPUTED_VALUE"""),"No Relation")</f>
        <v>No Relation</v>
      </c>
      <c r="E454" s="5">
        <f ca="1">IFERROR(__xludf.DUMMYFUNCTION("""COMPUTED_VALUE"""),66)</f>
        <v>66</v>
      </c>
      <c r="F454" s="5"/>
    </row>
    <row r="455" spans="1:6" ht="13">
      <c r="A455" s="5" t="str">
        <f ca="1">IFERROR(__xludf.DUMMYFUNCTION("""COMPUTED_VALUE"""),"20211015CAKEF")</f>
        <v>20211015CAKEF</v>
      </c>
      <c r="B455" s="5" t="str">
        <f ca="1">IFERROR(__xludf.DUMMYFUNCTION("""COMPUTED_VALUE"""),"Wounded")</f>
        <v>Wounded</v>
      </c>
      <c r="C455" s="5"/>
      <c r="D455" s="5"/>
      <c r="E455" s="5"/>
      <c r="F455" s="5"/>
    </row>
    <row r="456" spans="1:6" ht="13">
      <c r="A456" s="5" t="str">
        <f ca="1">IFERROR(__xludf.DUMMYFUNCTION("""COMPUTED_VALUE"""),"20211015ALWIM")</f>
        <v>20211015ALWIM</v>
      </c>
      <c r="B456" s="5" t="str">
        <f ca="1">IFERROR(__xludf.DUMMYFUNCTION("""COMPUTED_VALUE"""),"Wounded")</f>
        <v>Wounded</v>
      </c>
      <c r="C456" s="5" t="str">
        <f ca="1">IFERROR(__xludf.DUMMYFUNCTION("""COMPUTED_VALUE"""),"Male")</f>
        <v>Male</v>
      </c>
      <c r="D456" s="5"/>
      <c r="E456" s="5"/>
      <c r="F456" s="5"/>
    </row>
    <row r="457" spans="1:6" ht="13">
      <c r="A457" s="5" t="str">
        <f ca="1">IFERROR(__xludf.DUMMYFUNCTION("""COMPUTED_VALUE"""),"20211015ALWIM")</f>
        <v>20211015ALWIM</v>
      </c>
      <c r="B457" s="5" t="str">
        <f ca="1">IFERROR(__xludf.DUMMYFUNCTION("""COMPUTED_VALUE"""),"Wounded")</f>
        <v>Wounded</v>
      </c>
      <c r="C457" s="5" t="str">
        <f ca="1">IFERROR(__xludf.DUMMYFUNCTION("""COMPUTED_VALUE"""),"Male")</f>
        <v>Male</v>
      </c>
      <c r="D457" s="5"/>
      <c r="E457" s="5"/>
      <c r="F457" s="5"/>
    </row>
    <row r="458" spans="1:6" ht="13">
      <c r="A458" s="5" t="str">
        <f ca="1">IFERROR(__xludf.DUMMYFUNCTION("""COMPUTED_VALUE"""),"20211015ALWIM")</f>
        <v>20211015ALWIM</v>
      </c>
      <c r="B458" s="5" t="str">
        <f ca="1">IFERROR(__xludf.DUMMYFUNCTION("""COMPUTED_VALUE"""),"Wounded")</f>
        <v>Wounded</v>
      </c>
      <c r="C458" s="5" t="str">
        <f ca="1">IFERROR(__xludf.DUMMYFUNCTION("""COMPUTED_VALUE"""),"Female")</f>
        <v>Female</v>
      </c>
      <c r="D458" s="5"/>
      <c r="E458" s="5"/>
      <c r="F458" s="5"/>
    </row>
    <row r="459" spans="1:6" ht="13">
      <c r="A459" s="5" t="str">
        <f ca="1">IFERROR(__xludf.DUMMYFUNCTION("""COMPUTED_VALUE"""),"20211015ALWIM")</f>
        <v>20211015ALWIM</v>
      </c>
      <c r="B459" s="5" t="str">
        <f ca="1">IFERROR(__xludf.DUMMYFUNCTION("""COMPUTED_VALUE"""),"Wounded")</f>
        <v>Wounded</v>
      </c>
      <c r="C459" s="5" t="str">
        <f ca="1">IFERROR(__xludf.DUMMYFUNCTION("""COMPUTED_VALUE"""),"Male")</f>
        <v>Male</v>
      </c>
      <c r="D459" s="5"/>
      <c r="E459" s="5"/>
      <c r="F459" s="5"/>
    </row>
    <row r="460" spans="1:6" ht="13">
      <c r="A460" s="5" t="str">
        <f ca="1">IFERROR(__xludf.DUMMYFUNCTION("""COMPUTED_VALUE"""),"20211014MEREP")</f>
        <v>20211014MEREP</v>
      </c>
      <c r="B460" s="5" t="str">
        <f ca="1">IFERROR(__xludf.DUMMYFUNCTION("""COMPUTED_VALUE"""),"Fatal")</f>
        <v>Fatal</v>
      </c>
      <c r="C460" s="5"/>
      <c r="D460" s="5" t="str">
        <f ca="1">IFERROR(__xludf.DUMMYFUNCTION("""COMPUTED_VALUE"""),"No Relation")</f>
        <v>No Relation</v>
      </c>
      <c r="E460" s="5"/>
      <c r="F460" s="5"/>
    </row>
    <row r="461" spans="1:6" ht="13">
      <c r="A461" s="5" t="str">
        <f ca="1">IFERROR(__xludf.DUMMYFUNCTION("""COMPUTED_VALUE"""),"20211013PACHD")</f>
        <v>20211013PACHD</v>
      </c>
      <c r="B461" s="5" t="str">
        <f ca="1">IFERROR(__xludf.DUMMYFUNCTION("""COMPUTED_VALUE"""),"Minor Injuries")</f>
        <v>Minor Injuries</v>
      </c>
      <c r="C461" s="5"/>
      <c r="D461" s="5" t="str">
        <f ca="1">IFERROR(__xludf.DUMMYFUNCTION("""COMPUTED_VALUE"""),"Student")</f>
        <v>Student</v>
      </c>
      <c r="E461" s="5" t="str">
        <f ca="1">IFERROR(__xludf.DUMMYFUNCTION("""COMPUTED_VALUE"""),"Child")</f>
        <v>Child</v>
      </c>
      <c r="F461" s="5"/>
    </row>
    <row r="462" spans="1:6" ht="13">
      <c r="A462" s="5" t="str">
        <f ca="1">IFERROR(__xludf.DUMMYFUNCTION("""COMPUTED_VALUE"""),"20211013PACHD")</f>
        <v>20211013PACHD</v>
      </c>
      <c r="B462" s="5" t="str">
        <f ca="1">IFERROR(__xludf.DUMMYFUNCTION("""COMPUTED_VALUE"""),"Minor Injuries")</f>
        <v>Minor Injuries</v>
      </c>
      <c r="C462" s="5"/>
      <c r="D462" s="5" t="str">
        <f ca="1">IFERROR(__xludf.DUMMYFUNCTION("""COMPUTED_VALUE"""),"Student")</f>
        <v>Student</v>
      </c>
      <c r="E462" s="5" t="str">
        <f ca="1">IFERROR(__xludf.DUMMYFUNCTION("""COMPUTED_VALUE"""),"Child")</f>
        <v>Child</v>
      </c>
      <c r="F462" s="5"/>
    </row>
    <row r="463" spans="1:6" ht="13">
      <c r="A463" s="5" t="str">
        <f ca="1">IFERROR(__xludf.DUMMYFUNCTION("""COMPUTED_VALUE"""),"20211013PACHD")</f>
        <v>20211013PACHD</v>
      </c>
      <c r="B463" s="5" t="str">
        <f ca="1">IFERROR(__xludf.DUMMYFUNCTION("""COMPUTED_VALUE"""),"Minor Injuries")</f>
        <v>Minor Injuries</v>
      </c>
      <c r="C463" s="5"/>
      <c r="D463" s="5" t="str">
        <f ca="1">IFERROR(__xludf.DUMMYFUNCTION("""COMPUTED_VALUE"""),"Student")</f>
        <v>Student</v>
      </c>
      <c r="E463" s="5" t="str">
        <f ca="1">IFERROR(__xludf.DUMMYFUNCTION("""COMPUTED_VALUE"""),"Child")</f>
        <v>Child</v>
      </c>
      <c r="F463" s="5"/>
    </row>
    <row r="464" spans="1:6" ht="13">
      <c r="A464" s="5" t="str">
        <f ca="1">IFERROR(__xludf.DUMMYFUNCTION("""COMPUTED_VALUE"""),"20211013PACHD")</f>
        <v>20211013PACHD</v>
      </c>
      <c r="B464" s="5" t="str">
        <f ca="1">IFERROR(__xludf.DUMMYFUNCTION("""COMPUTED_VALUE"""),"Minor Injuries")</f>
        <v>Minor Injuries</v>
      </c>
      <c r="C464" s="5"/>
      <c r="D464" s="5" t="str">
        <f ca="1">IFERROR(__xludf.DUMMYFUNCTION("""COMPUTED_VALUE"""),"Student")</f>
        <v>Student</v>
      </c>
      <c r="E464" s="5" t="str">
        <f ca="1">IFERROR(__xludf.DUMMYFUNCTION("""COMPUTED_VALUE"""),"Child")</f>
        <v>Child</v>
      </c>
      <c r="F464" s="5"/>
    </row>
    <row r="465" spans="1:6" ht="13">
      <c r="A465" s="5" t="str">
        <f ca="1">IFERROR(__xludf.DUMMYFUNCTION("""COMPUTED_VALUE"""),"20211012MIELK")</f>
        <v>20211012MIELK</v>
      </c>
      <c r="B465" s="5" t="str">
        <f ca="1">IFERROR(__xludf.DUMMYFUNCTION("""COMPUTED_VALUE"""),"Wounded")</f>
        <v>Wounded</v>
      </c>
      <c r="C465" s="5" t="str">
        <f ca="1">IFERROR(__xludf.DUMMYFUNCTION("""COMPUTED_VALUE"""),"Male")</f>
        <v>Male</v>
      </c>
      <c r="D465" s="5" t="str">
        <f ca="1">IFERROR(__xludf.DUMMYFUNCTION("""COMPUTED_VALUE"""),"No Relation")</f>
        <v>No Relation</v>
      </c>
      <c r="E465" s="5">
        <f ca="1">IFERROR(__xludf.DUMMYFUNCTION("""COMPUTED_VALUE"""),15)</f>
        <v>15</v>
      </c>
      <c r="F465" s="5"/>
    </row>
    <row r="466" spans="1:6" ht="13">
      <c r="A466" s="5" t="str">
        <f ca="1">IFERROR(__xludf.DUMMYFUNCTION("""COMPUTED_VALUE"""),"20211012MIELK")</f>
        <v>20211012MIELK</v>
      </c>
      <c r="B466" s="5" t="str">
        <f ca="1">IFERROR(__xludf.DUMMYFUNCTION("""COMPUTED_VALUE"""),"Wounded")</f>
        <v>Wounded</v>
      </c>
      <c r="C466" s="5" t="str">
        <f ca="1">IFERROR(__xludf.DUMMYFUNCTION("""COMPUTED_VALUE"""),"Male")</f>
        <v>Male</v>
      </c>
      <c r="D466" s="5" t="str">
        <f ca="1">IFERROR(__xludf.DUMMYFUNCTION("""COMPUTED_VALUE"""),"No Relation")</f>
        <v>No Relation</v>
      </c>
      <c r="E466" s="5">
        <f ca="1">IFERROR(__xludf.DUMMYFUNCTION("""COMPUTED_VALUE"""),17)</f>
        <v>17</v>
      </c>
      <c r="F466" s="5"/>
    </row>
    <row r="467" spans="1:6" ht="13">
      <c r="A467" s="5" t="str">
        <f ca="1">IFERROR(__xludf.DUMMYFUNCTION("""COMPUTED_VALUE"""),"20211012ILWEC")</f>
        <v>20211012ILWEC</v>
      </c>
      <c r="B467" s="5" t="str">
        <f ca="1">IFERROR(__xludf.DUMMYFUNCTION("""COMPUTED_VALUE"""),"Wounded")</f>
        <v>Wounded</v>
      </c>
      <c r="C467" s="5" t="str">
        <f ca="1">IFERROR(__xludf.DUMMYFUNCTION("""COMPUTED_VALUE"""),"Female")</f>
        <v>Female</v>
      </c>
      <c r="D467" s="5" t="str">
        <f ca="1">IFERROR(__xludf.DUMMYFUNCTION("""COMPUTED_VALUE"""),"Student")</f>
        <v>Student</v>
      </c>
      <c r="E467" s="5">
        <f ca="1">IFERROR(__xludf.DUMMYFUNCTION("""COMPUTED_VALUE"""),14)</f>
        <v>14</v>
      </c>
      <c r="F467" s="5"/>
    </row>
    <row r="468" spans="1:6" ht="13">
      <c r="A468" s="5" t="str">
        <f ca="1">IFERROR(__xludf.DUMMYFUNCTION("""COMPUTED_VALUE"""),"20211012ILWEC")</f>
        <v>20211012ILWEC</v>
      </c>
      <c r="B468" s="5" t="str">
        <f ca="1">IFERROR(__xludf.DUMMYFUNCTION("""COMPUTED_VALUE"""),"Wounded")</f>
        <v>Wounded</v>
      </c>
      <c r="C468" s="5" t="str">
        <f ca="1">IFERROR(__xludf.DUMMYFUNCTION("""COMPUTED_VALUE"""),"Male")</f>
        <v>Male</v>
      </c>
      <c r="D468" s="5" t="str">
        <f ca="1">IFERROR(__xludf.DUMMYFUNCTION("""COMPUTED_VALUE"""),"Security Guard")</f>
        <v>Security Guard</v>
      </c>
      <c r="E468" s="5">
        <f ca="1">IFERROR(__xludf.DUMMYFUNCTION("""COMPUTED_VALUE"""),46)</f>
        <v>46</v>
      </c>
      <c r="F468" s="5"/>
    </row>
    <row r="469" spans="1:6" ht="13">
      <c r="A469" s="5" t="str">
        <f ca="1">IFERROR(__xludf.DUMMYFUNCTION("""COMPUTED_VALUE"""),"20211011ORROP")</f>
        <v>20211011ORROP</v>
      </c>
      <c r="B469" s="5" t="str">
        <f ca="1">IFERROR(__xludf.DUMMYFUNCTION("""COMPUTED_VALUE"""),"Wounded")</f>
        <v>Wounded</v>
      </c>
      <c r="C469" s="5" t="str">
        <f ca="1">IFERROR(__xludf.DUMMYFUNCTION("""COMPUTED_VALUE"""),"Male")</f>
        <v>Male</v>
      </c>
      <c r="D469" s="5" t="str">
        <f ca="1">IFERROR(__xludf.DUMMYFUNCTION("""COMPUTED_VALUE"""),"Student")</f>
        <v>Student</v>
      </c>
      <c r="E469" s="5" t="str">
        <f ca="1">IFERROR(__xludf.DUMMYFUNCTION("""COMPUTED_VALUE"""),"Teen")</f>
        <v>Teen</v>
      </c>
      <c r="F469" s="5"/>
    </row>
    <row r="470" spans="1:6" ht="13">
      <c r="A470" s="5" t="str">
        <f ca="1">IFERROR(__xludf.DUMMYFUNCTION("""COMPUTED_VALUE"""),"20211007TXEAW")</f>
        <v>20211007TXEAW</v>
      </c>
      <c r="B470" s="5" t="str">
        <f ca="1">IFERROR(__xludf.DUMMYFUNCTION("""COMPUTED_VALUE"""),"Wounded")</f>
        <v>Wounded</v>
      </c>
      <c r="C470" s="5" t="str">
        <f ca="1">IFERROR(__xludf.DUMMYFUNCTION("""COMPUTED_VALUE"""),"Female")</f>
        <v>Female</v>
      </c>
      <c r="D470" s="5" t="str">
        <f ca="1">IFERROR(__xludf.DUMMYFUNCTION("""COMPUTED_VALUE"""),"Student")</f>
        <v>Student</v>
      </c>
      <c r="E470" s="5" t="str">
        <f ca="1">IFERROR(__xludf.DUMMYFUNCTION("""COMPUTED_VALUE"""),"Teen")</f>
        <v>Teen</v>
      </c>
      <c r="F470" s="5"/>
    </row>
    <row r="471" spans="1:6" ht="13">
      <c r="A471" s="5" t="str">
        <f ca="1">IFERROR(__xludf.DUMMYFUNCTION("""COMPUTED_VALUE"""),"20211007DCWAW")</f>
        <v>20211007DCWAW</v>
      </c>
      <c r="B471" s="5" t="str">
        <f ca="1">IFERROR(__xludf.DUMMYFUNCTION("""COMPUTED_VALUE"""),"Fatal")</f>
        <v>Fatal</v>
      </c>
      <c r="C471" s="5" t="str">
        <f ca="1">IFERROR(__xludf.DUMMYFUNCTION("""COMPUTED_VALUE"""),"Male")</f>
        <v>Male</v>
      </c>
      <c r="D471" s="5" t="str">
        <f ca="1">IFERROR(__xludf.DUMMYFUNCTION("""COMPUTED_VALUE"""),"Nonstudent Using Athletic Facilities/Attending Game")</f>
        <v>Nonstudent Using Athletic Facilities/Attending Game</v>
      </c>
      <c r="E471" s="5">
        <f ca="1">IFERROR(__xludf.DUMMYFUNCTION("""COMPUTED_VALUE"""),26)</f>
        <v>26</v>
      </c>
      <c r="F471" s="5"/>
    </row>
    <row r="472" spans="1:6" ht="13">
      <c r="A472" s="5" t="str">
        <f ca="1">IFERROR(__xludf.DUMMYFUNCTION("""COMPUTED_VALUE"""),"20211006TXTIA")</f>
        <v>20211006TXTIA</v>
      </c>
      <c r="B472" s="5" t="str">
        <f ca="1">IFERROR(__xludf.DUMMYFUNCTION("""COMPUTED_VALUE"""),"Wounded")</f>
        <v>Wounded</v>
      </c>
      <c r="C472" s="5" t="str">
        <f ca="1">IFERROR(__xludf.DUMMYFUNCTION("""COMPUTED_VALUE"""),"Female")</f>
        <v>Female</v>
      </c>
      <c r="D472" s="5" t="str">
        <f ca="1">IFERROR(__xludf.DUMMYFUNCTION("""COMPUTED_VALUE"""),"Student")</f>
        <v>Student</v>
      </c>
      <c r="E472" s="5" t="str">
        <f ca="1">IFERROR(__xludf.DUMMYFUNCTION("""COMPUTED_VALUE"""),"Teen")</f>
        <v>Teen</v>
      </c>
      <c r="F472" s="5"/>
    </row>
    <row r="473" spans="1:6" ht="13">
      <c r="A473" s="5" t="str">
        <f ca="1">IFERROR(__xludf.DUMMYFUNCTION("""COMPUTED_VALUE"""),"20211006TXTIA")</f>
        <v>20211006TXTIA</v>
      </c>
      <c r="B473" s="5" t="str">
        <f ca="1">IFERROR(__xludf.DUMMYFUNCTION("""COMPUTED_VALUE"""),"Wounded")</f>
        <v>Wounded</v>
      </c>
      <c r="C473" s="5" t="str">
        <f ca="1">IFERROR(__xludf.DUMMYFUNCTION("""COMPUTED_VALUE"""),"Male")</f>
        <v>Male</v>
      </c>
      <c r="D473" s="5" t="str">
        <f ca="1">IFERROR(__xludf.DUMMYFUNCTION("""COMPUTED_VALUE"""),"Teacher")</f>
        <v>Teacher</v>
      </c>
      <c r="E473" s="5">
        <f ca="1">IFERROR(__xludf.DUMMYFUNCTION("""COMPUTED_VALUE"""),25)</f>
        <v>25</v>
      </c>
      <c r="F473" s="5"/>
    </row>
    <row r="474" spans="1:6" ht="13">
      <c r="A474" s="5" t="str">
        <f ca="1">IFERROR(__xludf.DUMMYFUNCTION("""COMPUTED_VALUE"""),"20211006TXTIA")</f>
        <v>20211006TXTIA</v>
      </c>
      <c r="B474" s="5" t="str">
        <f ca="1">IFERROR(__xludf.DUMMYFUNCTION("""COMPUTED_VALUE"""),"Minor Injuries")</f>
        <v>Minor Injuries</v>
      </c>
      <c r="C474" s="5"/>
      <c r="D474" s="5" t="str">
        <f ca="1">IFERROR(__xludf.DUMMYFUNCTION("""COMPUTED_VALUE"""),"Student")</f>
        <v>Student</v>
      </c>
      <c r="E474" s="5" t="str">
        <f ca="1">IFERROR(__xludf.DUMMYFUNCTION("""COMPUTED_VALUE"""),"Teen")</f>
        <v>Teen</v>
      </c>
      <c r="F474" s="5"/>
    </row>
    <row r="475" spans="1:6" ht="13">
      <c r="A475" s="5" t="str">
        <f ca="1">IFERROR(__xludf.DUMMYFUNCTION("""COMPUTED_VALUE"""),"20211006TXTIA")</f>
        <v>20211006TXTIA</v>
      </c>
      <c r="B475" s="5" t="str">
        <f ca="1">IFERROR(__xludf.DUMMYFUNCTION("""COMPUTED_VALUE"""),"Wounded")</f>
        <v>Wounded</v>
      </c>
      <c r="C475" s="5" t="str">
        <f ca="1">IFERROR(__xludf.DUMMYFUNCTION("""COMPUTED_VALUE"""),"Male")</f>
        <v>Male</v>
      </c>
      <c r="D475" s="5" t="str">
        <f ca="1">IFERROR(__xludf.DUMMYFUNCTION("""COMPUTED_VALUE"""),"Student")</f>
        <v>Student</v>
      </c>
      <c r="E475" s="5">
        <f ca="1">IFERROR(__xludf.DUMMYFUNCTION("""COMPUTED_VALUE"""),15)</f>
        <v>15</v>
      </c>
      <c r="F475" s="5"/>
    </row>
    <row r="476" spans="1:6" ht="13">
      <c r="A476" s="5" t="str">
        <f ca="1">IFERROR(__xludf.DUMMYFUNCTION("""COMPUTED_VALUE"""),"20211004PASCP")</f>
        <v>20211004PASCP</v>
      </c>
      <c r="B476" s="5" t="str">
        <f ca="1">IFERROR(__xludf.DUMMYFUNCTION("""COMPUTED_VALUE"""),"Wounded")</f>
        <v>Wounded</v>
      </c>
      <c r="C476" s="5"/>
      <c r="D476" s="5" t="str">
        <f ca="1">IFERROR(__xludf.DUMMYFUNCTION("""COMPUTED_VALUE"""),"Police Officer/SRO")</f>
        <v>Police Officer/SRO</v>
      </c>
      <c r="E476" s="5" t="str">
        <f ca="1">IFERROR(__xludf.DUMMYFUNCTION("""COMPUTED_VALUE"""),"Adult")</f>
        <v>Adult</v>
      </c>
      <c r="F476" s="5"/>
    </row>
    <row r="477" spans="1:6" ht="13">
      <c r="A477" s="5" t="str">
        <f ca="1">IFERROR(__xludf.DUMMYFUNCTION("""COMPUTED_VALUE"""),"20211004PASCP")</f>
        <v>20211004PASCP</v>
      </c>
      <c r="B477" s="5" t="str">
        <f ca="1">IFERROR(__xludf.DUMMYFUNCTION("""COMPUTED_VALUE"""),"Wounded")</f>
        <v>Wounded</v>
      </c>
      <c r="C477" s="5"/>
      <c r="D477" s="5" t="str">
        <f ca="1">IFERROR(__xludf.DUMMYFUNCTION("""COMPUTED_VALUE"""),"Police Officer/SRO")</f>
        <v>Police Officer/SRO</v>
      </c>
      <c r="E477" s="5" t="str">
        <f ca="1">IFERROR(__xludf.DUMMYFUNCTION("""COMPUTED_VALUE"""),"Adult")</f>
        <v>Adult</v>
      </c>
      <c r="F477" s="5"/>
    </row>
    <row r="478" spans="1:6" ht="13">
      <c r="A478" s="5" t="str">
        <f ca="1">IFERROR(__xludf.DUMMYFUNCTION("""COMPUTED_VALUE"""),"20211004OHWOT")</f>
        <v>20211004OHWOT</v>
      </c>
      <c r="B478" s="5" t="str">
        <f ca="1">IFERROR(__xludf.DUMMYFUNCTION("""COMPUTED_VALUE"""),"Wounded")</f>
        <v>Wounded</v>
      </c>
      <c r="C478" s="5" t="str">
        <f ca="1">IFERROR(__xludf.DUMMYFUNCTION("""COMPUTED_VALUE"""),"Male")</f>
        <v>Male</v>
      </c>
      <c r="D478" s="5" t="str">
        <f ca="1">IFERROR(__xludf.DUMMYFUNCTION("""COMPUTED_VALUE"""),"Student")</f>
        <v>Student</v>
      </c>
      <c r="E478" s="5">
        <f ca="1">IFERROR(__xludf.DUMMYFUNCTION("""COMPUTED_VALUE"""),17)</f>
        <v>17</v>
      </c>
      <c r="F478" s="5"/>
    </row>
    <row r="479" spans="1:6" ht="13">
      <c r="A479" s="5" t="str">
        <f ca="1">IFERROR(__xludf.DUMMYFUNCTION("""COMPUTED_VALUE"""),"20211001TXYEH")</f>
        <v>20211001TXYEH</v>
      </c>
      <c r="B479" s="5" t="str">
        <f ca="1">IFERROR(__xludf.DUMMYFUNCTION("""COMPUTED_VALUE"""),"Wounded")</f>
        <v>Wounded</v>
      </c>
      <c r="C479" s="5" t="str">
        <f ca="1">IFERROR(__xludf.DUMMYFUNCTION("""COMPUTED_VALUE"""),"Male")</f>
        <v>Male</v>
      </c>
      <c r="D479" s="5" t="str">
        <f ca="1">IFERROR(__xludf.DUMMYFUNCTION("""COMPUTED_VALUE"""),"Principal/Vice-Principal")</f>
        <v>Principal/Vice-Principal</v>
      </c>
      <c r="E479" s="5" t="str">
        <f ca="1">IFERROR(__xludf.DUMMYFUNCTION("""COMPUTED_VALUE"""),"Adult")</f>
        <v>Adult</v>
      </c>
      <c r="F479" s="5"/>
    </row>
    <row r="480" spans="1:6" ht="13">
      <c r="A480" s="5" t="str">
        <f ca="1">IFERROR(__xludf.DUMMYFUNCTION("""COMPUTED_VALUE"""),"20211001NCSEF")</f>
        <v>20211001NCSEF</v>
      </c>
      <c r="B480" s="5" t="str">
        <f ca="1">IFERROR(__xludf.DUMMYFUNCTION("""COMPUTED_VALUE"""),"Wounded")</f>
        <v>Wounded</v>
      </c>
      <c r="C480" s="5" t="str">
        <f ca="1">IFERROR(__xludf.DUMMYFUNCTION("""COMPUTED_VALUE"""),"Male")</f>
        <v>Male</v>
      </c>
      <c r="D480" s="5" t="str">
        <f ca="1">IFERROR(__xludf.DUMMYFUNCTION("""COMPUTED_VALUE"""),"Nonstudent Using Athletic Facilities/Attending Game")</f>
        <v>Nonstudent Using Athletic Facilities/Attending Game</v>
      </c>
      <c r="E480" s="5">
        <f ca="1">IFERROR(__xludf.DUMMYFUNCTION("""COMPUTED_VALUE"""),18)</f>
        <v>18</v>
      </c>
      <c r="F480" s="5"/>
    </row>
    <row r="481" spans="1:6" ht="13">
      <c r="A481" s="5" t="str">
        <f ca="1">IFERROR(__xludf.DUMMYFUNCTION("""COMPUTED_VALUE"""),"20211001NCSEF")</f>
        <v>20211001NCSEF</v>
      </c>
      <c r="B481" s="5" t="str">
        <f ca="1">IFERROR(__xludf.DUMMYFUNCTION("""COMPUTED_VALUE"""),"Wounded")</f>
        <v>Wounded</v>
      </c>
      <c r="C481" s="5" t="str">
        <f ca="1">IFERROR(__xludf.DUMMYFUNCTION("""COMPUTED_VALUE"""),"Male")</f>
        <v>Male</v>
      </c>
      <c r="D481" s="5" t="str">
        <f ca="1">IFERROR(__xludf.DUMMYFUNCTION("""COMPUTED_VALUE"""),"Nonstudent Using Athletic Facilities/Attending Game")</f>
        <v>Nonstudent Using Athletic Facilities/Attending Game</v>
      </c>
      <c r="E481" s="5">
        <f ca="1">IFERROR(__xludf.DUMMYFUNCTION("""COMPUTED_VALUE"""),19)</f>
        <v>19</v>
      </c>
      <c r="F481" s="5"/>
    </row>
    <row r="482" spans="1:6" ht="13">
      <c r="A482" s="5" t="str">
        <f ca="1">IFERROR(__xludf.DUMMYFUNCTION("""COMPUTED_VALUE"""),"20211001NCNOD")</f>
        <v>20211001NCNOD</v>
      </c>
      <c r="B482" s="5" t="str">
        <f ca="1">IFERROR(__xludf.DUMMYFUNCTION("""COMPUTED_VALUE"""),"Wounded")</f>
        <v>Wounded</v>
      </c>
      <c r="C482" s="5" t="str">
        <f ca="1">IFERROR(__xludf.DUMMYFUNCTION("""COMPUTED_VALUE"""),"Male")</f>
        <v>Male</v>
      </c>
      <c r="D482" s="5" t="str">
        <f ca="1">IFERROR(__xludf.DUMMYFUNCTION("""COMPUTED_VALUE"""),"Student")</f>
        <v>Student</v>
      </c>
      <c r="E482" s="5">
        <f ca="1">IFERROR(__xludf.DUMMYFUNCTION("""COMPUTED_VALUE"""),17)</f>
        <v>17</v>
      </c>
      <c r="F482" s="5"/>
    </row>
    <row r="483" spans="1:6" ht="13">
      <c r="A483" s="5" t="str">
        <f ca="1">IFERROR(__xludf.DUMMYFUNCTION("""COMPUTED_VALUE"""),"20211001INBEI")</f>
        <v>20211001INBEI</v>
      </c>
      <c r="B483" s="5" t="str">
        <f ca="1">IFERROR(__xludf.DUMMYFUNCTION("""COMPUTED_VALUE"""),"Wounded")</f>
        <v>Wounded</v>
      </c>
      <c r="C483" s="5" t="str">
        <f ca="1">IFERROR(__xludf.DUMMYFUNCTION("""COMPUTED_VALUE"""),"Male")</f>
        <v>Male</v>
      </c>
      <c r="D483" s="5" t="str">
        <f ca="1">IFERROR(__xludf.DUMMYFUNCTION("""COMPUTED_VALUE"""),"Nonstudent Using Athletic Facilities/Attending Game")</f>
        <v>Nonstudent Using Athletic Facilities/Attending Game</v>
      </c>
      <c r="E483" s="5">
        <f ca="1">IFERROR(__xludf.DUMMYFUNCTION("""COMPUTED_VALUE"""),16)</f>
        <v>16</v>
      </c>
      <c r="F483" s="5"/>
    </row>
    <row r="484" spans="1:6" ht="13">
      <c r="A484" s="5" t="str">
        <f ca="1">IFERROR(__xludf.DUMMYFUNCTION("""COMPUTED_VALUE"""),"20210930TNCUM")</f>
        <v>20210930TNCUM</v>
      </c>
      <c r="B484" s="5" t="str">
        <f ca="1">IFERROR(__xludf.DUMMYFUNCTION("""COMPUTED_VALUE"""),"Wounded")</f>
        <v>Wounded</v>
      </c>
      <c r="C484" s="5" t="str">
        <f ca="1">IFERROR(__xludf.DUMMYFUNCTION("""COMPUTED_VALUE"""),"Male")</f>
        <v>Male</v>
      </c>
      <c r="D484" s="5" t="str">
        <f ca="1">IFERROR(__xludf.DUMMYFUNCTION("""COMPUTED_VALUE"""),"Student")</f>
        <v>Student</v>
      </c>
      <c r="E484" s="5">
        <f ca="1">IFERROR(__xludf.DUMMYFUNCTION("""COMPUTED_VALUE"""),13)</f>
        <v>13</v>
      </c>
      <c r="F484" s="5"/>
    </row>
    <row r="485" spans="1:6" ht="13">
      <c r="A485" s="5" t="str">
        <f ca="1">IFERROR(__xludf.DUMMYFUNCTION("""COMPUTED_VALUE"""),"20210930MSNEN")</f>
        <v>20210930MSNEN</v>
      </c>
      <c r="B485" s="5" t="str">
        <f ca="1">IFERROR(__xludf.DUMMYFUNCTION("""COMPUTED_VALUE"""),"Wounded")</f>
        <v>Wounded</v>
      </c>
      <c r="C485" s="5" t="str">
        <f ca="1">IFERROR(__xludf.DUMMYFUNCTION("""COMPUTED_VALUE"""),"Male")</f>
        <v>Male</v>
      </c>
      <c r="D485" s="5" t="str">
        <f ca="1">IFERROR(__xludf.DUMMYFUNCTION("""COMPUTED_VALUE"""),"Student")</f>
        <v>Student</v>
      </c>
      <c r="E485" s="5">
        <f ca="1">IFERROR(__xludf.DUMMYFUNCTION("""COMPUTED_VALUE"""),6)</f>
        <v>6</v>
      </c>
      <c r="F485" s="5"/>
    </row>
    <row r="486" spans="1:6" ht="13">
      <c r="A486" s="5" t="str">
        <f ca="1">IFERROR(__xludf.DUMMYFUNCTION("""COMPUTED_VALUE"""),"20210928MESOS")</f>
        <v>20210928MESOS</v>
      </c>
      <c r="B486" s="5" t="str">
        <f ca="1">IFERROR(__xludf.DUMMYFUNCTION("""COMPUTED_VALUE"""),"Wounded")</f>
        <v>Wounded</v>
      </c>
      <c r="C486" s="5" t="str">
        <f ca="1">IFERROR(__xludf.DUMMYFUNCTION("""COMPUTED_VALUE"""),"Male")</f>
        <v>Male</v>
      </c>
      <c r="D486" s="5" t="str">
        <f ca="1">IFERROR(__xludf.DUMMYFUNCTION("""COMPUTED_VALUE"""),"Student")</f>
        <v>Student</v>
      </c>
      <c r="E486" s="5" t="str">
        <f ca="1">IFERROR(__xludf.DUMMYFUNCTION("""COMPUTED_VALUE"""),"Teen")</f>
        <v>Teen</v>
      </c>
      <c r="F486" s="5"/>
    </row>
    <row r="487" spans="1:6" ht="13">
      <c r="A487" s="5" t="str">
        <f ca="1">IFERROR(__xludf.DUMMYFUNCTION("""COMPUTED_VALUE"""),"20210927ILCAC")</f>
        <v>20210927ILCAC</v>
      </c>
      <c r="B487" s="5" t="str">
        <f ca="1">IFERROR(__xludf.DUMMYFUNCTION("""COMPUTED_VALUE"""),"Minor Injuries")</f>
        <v>Minor Injuries</v>
      </c>
      <c r="C487" s="5"/>
      <c r="D487" s="5" t="str">
        <f ca="1">IFERROR(__xludf.DUMMYFUNCTION("""COMPUTED_VALUE"""),"Student")</f>
        <v>Student</v>
      </c>
      <c r="E487" s="5" t="str">
        <f ca="1">IFERROR(__xludf.DUMMYFUNCTION("""COMPUTED_VALUE"""),"Child")</f>
        <v>Child</v>
      </c>
      <c r="F487" s="5"/>
    </row>
    <row r="488" spans="1:6" ht="13">
      <c r="A488" s="5" t="str">
        <f ca="1">IFERROR(__xludf.DUMMYFUNCTION("""COMPUTED_VALUE"""),"20210927ILCAC")</f>
        <v>20210927ILCAC</v>
      </c>
      <c r="B488" s="5" t="str">
        <f ca="1">IFERROR(__xludf.DUMMYFUNCTION("""COMPUTED_VALUE"""),"Minor Injuries")</f>
        <v>Minor Injuries</v>
      </c>
      <c r="C488" s="5"/>
      <c r="D488" s="5" t="str">
        <f ca="1">IFERROR(__xludf.DUMMYFUNCTION("""COMPUTED_VALUE"""),"Student")</f>
        <v>Student</v>
      </c>
      <c r="E488" s="5" t="str">
        <f ca="1">IFERROR(__xludf.DUMMYFUNCTION("""COMPUTED_VALUE"""),"Child")</f>
        <v>Child</v>
      </c>
      <c r="F488" s="5"/>
    </row>
    <row r="489" spans="1:6" ht="13">
      <c r="A489" s="5" t="str">
        <f ca="1">IFERROR(__xludf.DUMMYFUNCTION("""COMPUTED_VALUE"""),"20210927ILCAC")</f>
        <v>20210927ILCAC</v>
      </c>
      <c r="B489" s="5" t="str">
        <f ca="1">IFERROR(__xludf.DUMMYFUNCTION("""COMPUTED_VALUE"""),"Minor Injuries")</f>
        <v>Minor Injuries</v>
      </c>
      <c r="C489" s="5"/>
      <c r="D489" s="5" t="str">
        <f ca="1">IFERROR(__xludf.DUMMYFUNCTION("""COMPUTED_VALUE"""),"Student")</f>
        <v>Student</v>
      </c>
      <c r="E489" s="5" t="str">
        <f ca="1">IFERROR(__xludf.DUMMYFUNCTION("""COMPUTED_VALUE"""),"Child")</f>
        <v>Child</v>
      </c>
      <c r="F489" s="5"/>
    </row>
    <row r="490" spans="1:6" ht="13">
      <c r="A490" s="5" t="str">
        <f ca="1">IFERROR(__xludf.DUMMYFUNCTION("""COMPUTED_VALUE"""),"20210924MDWIB")</f>
        <v>20210924MDWIB</v>
      </c>
      <c r="B490" s="5" t="str">
        <f ca="1">IFERROR(__xludf.DUMMYFUNCTION("""COMPUTED_VALUE"""),"Wounded")</f>
        <v>Wounded</v>
      </c>
      <c r="C490" s="5" t="str">
        <f ca="1">IFERROR(__xludf.DUMMYFUNCTION("""COMPUTED_VALUE"""),"Male")</f>
        <v>Male</v>
      </c>
      <c r="D490" s="5" t="str">
        <f ca="1">IFERROR(__xludf.DUMMYFUNCTION("""COMPUTED_VALUE"""),"No Relation")</f>
        <v>No Relation</v>
      </c>
      <c r="E490" s="5">
        <f ca="1">IFERROR(__xludf.DUMMYFUNCTION("""COMPUTED_VALUE"""),18)</f>
        <v>18</v>
      </c>
      <c r="F490" s="5"/>
    </row>
    <row r="491" spans="1:6" ht="13">
      <c r="A491" s="5" t="str">
        <f ca="1">IFERROR(__xludf.DUMMYFUNCTION("""COMPUTED_VALUE"""),"20210924ALFAF")</f>
        <v>20210924ALFAF</v>
      </c>
      <c r="B491" s="5" t="str">
        <f ca="1">IFERROR(__xludf.DUMMYFUNCTION("""COMPUTED_VALUE"""),"Wounded")</f>
        <v>Wounded</v>
      </c>
      <c r="C491" s="5" t="str">
        <f ca="1">IFERROR(__xludf.DUMMYFUNCTION("""COMPUTED_VALUE"""),"Male")</f>
        <v>Male</v>
      </c>
      <c r="D491" s="5" t="str">
        <f ca="1">IFERROR(__xludf.DUMMYFUNCTION("""COMPUTED_VALUE"""),"Nonstudent Using Athletic Facilities/Attending Game")</f>
        <v>Nonstudent Using Athletic Facilities/Attending Game</v>
      </c>
      <c r="E491" s="5" t="str">
        <f ca="1">IFERROR(__xludf.DUMMYFUNCTION("""COMPUTED_VALUE"""),"Adult")</f>
        <v>Adult</v>
      </c>
      <c r="F491" s="5"/>
    </row>
    <row r="492" spans="1:6" ht="13">
      <c r="A492" s="5" t="str">
        <f ca="1">IFERROR(__xludf.DUMMYFUNCTION("""COMPUTED_VALUE"""),"20210922NYSOB")</f>
        <v>20210922NYSOB</v>
      </c>
      <c r="B492" s="5" t="str">
        <f ca="1">IFERROR(__xludf.DUMMYFUNCTION("""COMPUTED_VALUE"""),"Wounded")</f>
        <v>Wounded</v>
      </c>
      <c r="C492" s="5" t="str">
        <f ca="1">IFERROR(__xludf.DUMMYFUNCTION("""COMPUTED_VALUE"""),"Male")</f>
        <v>Male</v>
      </c>
      <c r="D492" s="5" t="str">
        <f ca="1">IFERROR(__xludf.DUMMYFUNCTION("""COMPUTED_VALUE"""),"Student")</f>
        <v>Student</v>
      </c>
      <c r="E492" s="5">
        <f ca="1">IFERROR(__xludf.DUMMYFUNCTION("""COMPUTED_VALUE"""),17)</f>
        <v>17</v>
      </c>
      <c r="F492" s="5"/>
    </row>
    <row r="493" spans="1:6" ht="13">
      <c r="A493" s="5" t="str">
        <f ca="1">IFERROR(__xludf.DUMMYFUNCTION("""COMPUTED_VALUE"""),"20210921PAVAP")</f>
        <v>20210921PAVAP</v>
      </c>
      <c r="B493" s="5" t="str">
        <f ca="1">IFERROR(__xludf.DUMMYFUNCTION("""COMPUTED_VALUE"""),"Wounded")</f>
        <v>Wounded</v>
      </c>
      <c r="C493" s="5" t="str">
        <f ca="1">IFERROR(__xludf.DUMMYFUNCTION("""COMPUTED_VALUE"""),"Male")</f>
        <v>Male</v>
      </c>
      <c r="D493" s="5" t="str">
        <f ca="1">IFERROR(__xludf.DUMMYFUNCTION("""COMPUTED_VALUE"""),"Student")</f>
        <v>Student</v>
      </c>
      <c r="E493" s="5">
        <f ca="1">IFERROR(__xludf.DUMMYFUNCTION("""COMPUTED_VALUE"""),15)</f>
        <v>15</v>
      </c>
      <c r="F493" s="5"/>
    </row>
    <row r="494" spans="1:6" ht="13">
      <c r="A494" s="5" t="str">
        <f ca="1">IFERROR(__xludf.DUMMYFUNCTION("""COMPUTED_VALUE"""),"20210921KSEAW")</f>
        <v>20210921KSEAW</v>
      </c>
      <c r="B494" s="5" t="str">
        <f ca="1">IFERROR(__xludf.DUMMYFUNCTION("""COMPUTED_VALUE"""),"Wounded")</f>
        <v>Wounded</v>
      </c>
      <c r="C494" s="5" t="str">
        <f ca="1">IFERROR(__xludf.DUMMYFUNCTION("""COMPUTED_VALUE"""),"Male")</f>
        <v>Male</v>
      </c>
      <c r="D494" s="5" t="str">
        <f ca="1">IFERROR(__xludf.DUMMYFUNCTION("""COMPUTED_VALUE"""),"Student")</f>
        <v>Student</v>
      </c>
      <c r="E494" s="5">
        <f ca="1">IFERROR(__xludf.DUMMYFUNCTION("""COMPUTED_VALUE"""),15)</f>
        <v>15</v>
      </c>
      <c r="F494" s="5"/>
    </row>
    <row r="495" spans="1:6" ht="13">
      <c r="A495" s="5" t="str">
        <f ca="1">IFERROR(__xludf.DUMMYFUNCTION("""COMPUTED_VALUE"""),"20210921KSEAW")</f>
        <v>20210921KSEAW</v>
      </c>
      <c r="B495" s="5" t="str">
        <f ca="1">IFERROR(__xludf.DUMMYFUNCTION("""COMPUTED_VALUE"""),"Wounded")</f>
        <v>Wounded</v>
      </c>
      <c r="C495" s="5" t="str">
        <f ca="1">IFERROR(__xludf.DUMMYFUNCTION("""COMPUTED_VALUE"""),"Male")</f>
        <v>Male</v>
      </c>
      <c r="D495" s="5" t="str">
        <f ca="1">IFERROR(__xludf.DUMMYFUNCTION("""COMPUTED_VALUE"""),"Student")</f>
        <v>Student</v>
      </c>
      <c r="E495" s="5">
        <f ca="1">IFERROR(__xludf.DUMMYFUNCTION("""COMPUTED_VALUE"""),17)</f>
        <v>17</v>
      </c>
      <c r="F495" s="5"/>
    </row>
    <row r="496" spans="1:6" ht="13">
      <c r="A496" s="5" t="str">
        <f ca="1">IFERROR(__xludf.DUMMYFUNCTION("""COMPUTED_VALUE"""),"20210921KSEAW")</f>
        <v>20210921KSEAW</v>
      </c>
      <c r="B496" s="5" t="str">
        <f ca="1">IFERROR(__xludf.DUMMYFUNCTION("""COMPUTED_VALUE"""),"Wounded")</f>
        <v>Wounded</v>
      </c>
      <c r="C496" s="5" t="str">
        <f ca="1">IFERROR(__xludf.DUMMYFUNCTION("""COMPUTED_VALUE"""),"Male")</f>
        <v>Male</v>
      </c>
      <c r="D496" s="5" t="str">
        <f ca="1">IFERROR(__xludf.DUMMYFUNCTION("""COMPUTED_VALUE"""),"Student")</f>
        <v>Student</v>
      </c>
      <c r="E496" s="5">
        <f ca="1">IFERROR(__xludf.DUMMYFUNCTION("""COMPUTED_VALUE"""),15)</f>
        <v>15</v>
      </c>
      <c r="F496" s="5"/>
    </row>
    <row r="497" spans="1:6" ht="13">
      <c r="A497" s="5" t="str">
        <f ca="1">IFERROR(__xludf.DUMMYFUNCTION("""COMPUTED_VALUE"""),"20210920VAHEN")</f>
        <v>20210920VAHEN</v>
      </c>
      <c r="B497" s="5" t="str">
        <f ca="1">IFERROR(__xludf.DUMMYFUNCTION("""COMPUTED_VALUE"""),"Wounded")</f>
        <v>Wounded</v>
      </c>
      <c r="C497" s="5" t="str">
        <f ca="1">IFERROR(__xludf.DUMMYFUNCTION("""COMPUTED_VALUE"""),"Male")</f>
        <v>Male</v>
      </c>
      <c r="D497" s="5" t="str">
        <f ca="1">IFERROR(__xludf.DUMMYFUNCTION("""COMPUTED_VALUE"""),"Student")</f>
        <v>Student</v>
      </c>
      <c r="E497" s="5">
        <f ca="1">IFERROR(__xludf.DUMMYFUNCTION("""COMPUTED_VALUE"""),17)</f>
        <v>17</v>
      </c>
      <c r="F497" s="5"/>
    </row>
    <row r="498" spans="1:6" ht="13">
      <c r="A498" s="5" t="str">
        <f ca="1">IFERROR(__xludf.DUMMYFUNCTION("""COMPUTED_VALUE"""),"20210920VAHEN")</f>
        <v>20210920VAHEN</v>
      </c>
      <c r="B498" s="5" t="str">
        <f ca="1">IFERROR(__xludf.DUMMYFUNCTION("""COMPUTED_VALUE"""),"Wounded")</f>
        <v>Wounded</v>
      </c>
      <c r="C498" s="5" t="str">
        <f ca="1">IFERROR(__xludf.DUMMYFUNCTION("""COMPUTED_VALUE"""),"Female")</f>
        <v>Female</v>
      </c>
      <c r="D498" s="5" t="str">
        <f ca="1">IFERROR(__xludf.DUMMYFUNCTION("""COMPUTED_VALUE"""),"Student")</f>
        <v>Student</v>
      </c>
      <c r="E498" s="5">
        <f ca="1">IFERROR(__xludf.DUMMYFUNCTION("""COMPUTED_VALUE"""),17)</f>
        <v>17</v>
      </c>
      <c r="F498" s="5"/>
    </row>
    <row r="499" spans="1:6" ht="13">
      <c r="A499" s="5" t="str">
        <f ca="1">IFERROR(__xludf.DUMMYFUNCTION("""COMPUTED_VALUE"""),"20210920OHEAC")</f>
        <v>20210920OHEAC</v>
      </c>
      <c r="B499" s="5" t="str">
        <f ca="1">IFERROR(__xludf.DUMMYFUNCTION("""COMPUTED_VALUE"""),"Wounded")</f>
        <v>Wounded</v>
      </c>
      <c r="C499" s="5" t="str">
        <f ca="1">IFERROR(__xludf.DUMMYFUNCTION("""COMPUTED_VALUE"""),"Male")</f>
        <v>Male</v>
      </c>
      <c r="D499" s="5" t="str">
        <f ca="1">IFERROR(__xludf.DUMMYFUNCTION("""COMPUTED_VALUE"""),"No Relation")</f>
        <v>No Relation</v>
      </c>
      <c r="E499" s="5">
        <f ca="1">IFERROR(__xludf.DUMMYFUNCTION("""COMPUTED_VALUE"""),14)</f>
        <v>14</v>
      </c>
      <c r="F499" s="5"/>
    </row>
    <row r="500" spans="1:6" ht="13">
      <c r="A500" s="5" t="str">
        <f ca="1">IFERROR(__xludf.DUMMYFUNCTION("""COMPUTED_VALUE"""),"20210920OHEAC")</f>
        <v>20210920OHEAC</v>
      </c>
      <c r="B500" s="5" t="str">
        <f ca="1">IFERROR(__xludf.DUMMYFUNCTION("""COMPUTED_VALUE"""),"Wounded")</f>
        <v>Wounded</v>
      </c>
      <c r="C500" s="5" t="str">
        <f ca="1">IFERROR(__xludf.DUMMYFUNCTION("""COMPUTED_VALUE"""),"Male")</f>
        <v>Male</v>
      </c>
      <c r="D500" s="5" t="str">
        <f ca="1">IFERROR(__xludf.DUMMYFUNCTION("""COMPUTED_VALUE"""),"No Relation")</f>
        <v>No Relation</v>
      </c>
      <c r="E500" s="5">
        <f ca="1">IFERROR(__xludf.DUMMYFUNCTION("""COMPUTED_VALUE"""),15)</f>
        <v>15</v>
      </c>
      <c r="F500" s="5"/>
    </row>
    <row r="501" spans="1:6" ht="13">
      <c r="A501" s="5" t="str">
        <f ca="1">IFERROR(__xludf.DUMMYFUNCTION("""COMPUTED_VALUE"""),"20210920OHEAC")</f>
        <v>20210920OHEAC</v>
      </c>
      <c r="B501" s="5" t="str">
        <f ca="1">IFERROR(__xludf.DUMMYFUNCTION("""COMPUTED_VALUE"""),"Wounded")</f>
        <v>Wounded</v>
      </c>
      <c r="C501" s="5" t="str">
        <f ca="1">IFERROR(__xludf.DUMMYFUNCTION("""COMPUTED_VALUE"""),"Male")</f>
        <v>Male</v>
      </c>
      <c r="D501" s="5" t="str">
        <f ca="1">IFERROR(__xludf.DUMMYFUNCTION("""COMPUTED_VALUE"""),"No Relation")</f>
        <v>No Relation</v>
      </c>
      <c r="E501" s="5">
        <f ca="1">IFERROR(__xludf.DUMMYFUNCTION("""COMPUTED_VALUE"""),19)</f>
        <v>19</v>
      </c>
      <c r="F501" s="5"/>
    </row>
    <row r="502" spans="1:6" ht="13">
      <c r="A502" s="5" t="str">
        <f ca="1">IFERROR(__xludf.DUMMYFUNCTION("""COMPUTED_VALUE"""),"20210918COWIC")</f>
        <v>20210918COWIC</v>
      </c>
      <c r="B502" s="5" t="str">
        <f ca="1">IFERROR(__xludf.DUMMYFUNCTION("""COMPUTED_VALUE"""),"Wounded")</f>
        <v>Wounded</v>
      </c>
      <c r="C502" s="5"/>
      <c r="D502" s="5" t="str">
        <f ca="1">IFERROR(__xludf.DUMMYFUNCTION("""COMPUTED_VALUE"""),"Student")</f>
        <v>Student</v>
      </c>
      <c r="E502" s="5" t="str">
        <f ca="1">IFERROR(__xludf.DUMMYFUNCTION("""COMPUTED_VALUE"""),"Teen")</f>
        <v>Teen</v>
      </c>
      <c r="F502" s="5"/>
    </row>
    <row r="503" spans="1:6" ht="13">
      <c r="A503" s="5" t="str">
        <f ca="1">IFERROR(__xludf.DUMMYFUNCTION("""COMPUTED_VALUE"""),"20210918COWIC")</f>
        <v>20210918COWIC</v>
      </c>
      <c r="B503" s="5" t="str">
        <f ca="1">IFERROR(__xludf.DUMMYFUNCTION("""COMPUTED_VALUE"""),"Wounded")</f>
        <v>Wounded</v>
      </c>
      <c r="C503" s="5"/>
      <c r="D503" s="5" t="str">
        <f ca="1">IFERROR(__xludf.DUMMYFUNCTION("""COMPUTED_VALUE"""),"Student")</f>
        <v>Student</v>
      </c>
      <c r="E503" s="5" t="str">
        <f ca="1">IFERROR(__xludf.DUMMYFUNCTION("""COMPUTED_VALUE"""),"Teen")</f>
        <v>Teen</v>
      </c>
      <c r="F503" s="5"/>
    </row>
    <row r="504" spans="1:6" ht="13">
      <c r="A504" s="5" t="str">
        <f ca="1">IFERROR(__xludf.DUMMYFUNCTION("""COMPUTED_VALUE"""),"20210918COWIC")</f>
        <v>20210918COWIC</v>
      </c>
      <c r="B504" s="5" t="str">
        <f ca="1">IFERROR(__xludf.DUMMYFUNCTION("""COMPUTED_VALUE"""),"Wounded")</f>
        <v>Wounded</v>
      </c>
      <c r="C504" s="5"/>
      <c r="D504" s="5" t="str">
        <f ca="1">IFERROR(__xludf.DUMMYFUNCTION("""COMPUTED_VALUE"""),"Nonstudent Using Athletic Facilities/Attending Game")</f>
        <v>Nonstudent Using Athletic Facilities/Attending Game</v>
      </c>
      <c r="E504" s="5" t="str">
        <f ca="1">IFERROR(__xludf.DUMMYFUNCTION("""COMPUTED_VALUE"""),"Adult")</f>
        <v>Adult</v>
      </c>
      <c r="F504" s="5"/>
    </row>
    <row r="505" spans="1:6" ht="13">
      <c r="A505" s="5" t="str">
        <f ca="1">IFERROR(__xludf.DUMMYFUNCTION("""COMPUTED_VALUE"""),"20210917VAHEH")</f>
        <v>20210917VAHEH</v>
      </c>
      <c r="B505" s="5" t="str">
        <f ca="1">IFERROR(__xludf.DUMMYFUNCTION("""COMPUTED_VALUE"""),"Minor Injuries")</f>
        <v>Minor Injuries</v>
      </c>
      <c r="C505" s="5" t="str">
        <f ca="1">IFERROR(__xludf.DUMMYFUNCTION("""COMPUTED_VALUE"""),"Male")</f>
        <v>Male</v>
      </c>
      <c r="D505" s="5" t="str">
        <f ca="1">IFERROR(__xludf.DUMMYFUNCTION("""COMPUTED_VALUE"""),"Student")</f>
        <v>Student</v>
      </c>
      <c r="E505" s="5" t="str">
        <f ca="1">IFERROR(__xludf.DUMMYFUNCTION("""COMPUTED_VALUE"""),"Teen")</f>
        <v>Teen</v>
      </c>
      <c r="F505" s="5"/>
    </row>
    <row r="506" spans="1:6" ht="13">
      <c r="A506" s="5" t="str">
        <f ca="1">IFERROR(__xludf.DUMMYFUNCTION("""COMPUTED_VALUE"""),"20210917TNAUK")</f>
        <v>20210917TNAUK</v>
      </c>
      <c r="B506" s="5" t="str">
        <f ca="1">IFERROR(__xludf.DUMMYFUNCTION("""COMPUTED_VALUE"""),"Wounded")</f>
        <v>Wounded</v>
      </c>
      <c r="C506" s="5" t="str">
        <f ca="1">IFERROR(__xludf.DUMMYFUNCTION("""COMPUTED_VALUE"""),"Male")</f>
        <v>Male</v>
      </c>
      <c r="D506" s="5"/>
      <c r="E506" s="5" t="str">
        <f ca="1">IFERROR(__xludf.DUMMYFUNCTION("""COMPUTED_VALUE"""),"Teen")</f>
        <v>Teen</v>
      </c>
      <c r="F506" s="5"/>
    </row>
    <row r="507" spans="1:6" ht="13">
      <c r="A507" s="5" t="str">
        <f ca="1">IFERROR(__xludf.DUMMYFUNCTION("""COMPUTED_VALUE"""),"20210917PAWEP")</f>
        <v>20210917PAWEP</v>
      </c>
      <c r="B507" s="5" t="str">
        <f ca="1">IFERROR(__xludf.DUMMYFUNCTION("""COMPUTED_VALUE"""),"Wounded")</f>
        <v>Wounded</v>
      </c>
      <c r="C507" s="5"/>
      <c r="D507" s="5" t="str">
        <f ca="1">IFERROR(__xludf.DUMMYFUNCTION("""COMPUTED_VALUE"""),"Student")</f>
        <v>Student</v>
      </c>
      <c r="E507" s="5">
        <f ca="1">IFERROR(__xludf.DUMMYFUNCTION("""COMPUTED_VALUE"""),16)</f>
        <v>16</v>
      </c>
      <c r="F507" s="5"/>
    </row>
    <row r="508" spans="1:6" ht="13">
      <c r="A508" s="5" t="str">
        <f ca="1">IFERROR(__xludf.DUMMYFUNCTION("""COMPUTED_VALUE"""),"20210917PAWEP")</f>
        <v>20210917PAWEP</v>
      </c>
      <c r="B508" s="5" t="str">
        <f ca="1">IFERROR(__xludf.DUMMYFUNCTION("""COMPUTED_VALUE"""),"Wounded")</f>
        <v>Wounded</v>
      </c>
      <c r="C508" s="5"/>
      <c r="D508" s="5" t="str">
        <f ca="1">IFERROR(__xludf.DUMMYFUNCTION("""COMPUTED_VALUE"""),"Student")</f>
        <v>Student</v>
      </c>
      <c r="E508" s="5">
        <f ca="1">IFERROR(__xludf.DUMMYFUNCTION("""COMPUTED_VALUE"""),14)</f>
        <v>14</v>
      </c>
      <c r="F508" s="5"/>
    </row>
    <row r="509" spans="1:6" ht="13">
      <c r="A509" s="5" t="str">
        <f ca="1">IFERROR(__xludf.DUMMYFUNCTION("""COMPUTED_VALUE"""),"20210915VASPS")</f>
        <v>20210915VASPS</v>
      </c>
      <c r="B509" s="5" t="str">
        <f ca="1">IFERROR(__xludf.DUMMYFUNCTION("""COMPUTED_VALUE"""),"None")</f>
        <v>None</v>
      </c>
      <c r="C509" s="5"/>
      <c r="D509" s="5" t="str">
        <f ca="1">IFERROR(__xludf.DUMMYFUNCTION("""COMPUTED_VALUE"""),"Student")</f>
        <v>Student</v>
      </c>
      <c r="E509" s="5" t="str">
        <f ca="1">IFERROR(__xludf.DUMMYFUNCTION("""COMPUTED_VALUE"""),"Child")</f>
        <v>Child</v>
      </c>
      <c r="F509" s="5"/>
    </row>
    <row r="510" spans="1:6" ht="13">
      <c r="A510" s="5" t="str">
        <f ca="1">IFERROR(__xludf.DUMMYFUNCTION("""COMPUTED_VALUE"""),"20210915VASPS")</f>
        <v>20210915VASPS</v>
      </c>
      <c r="B510" s="5" t="str">
        <f ca="1">IFERROR(__xludf.DUMMYFUNCTION("""COMPUTED_VALUE"""),"None")</f>
        <v>None</v>
      </c>
      <c r="C510" s="5"/>
      <c r="D510" s="5" t="str">
        <f ca="1">IFERROR(__xludf.DUMMYFUNCTION("""COMPUTED_VALUE"""),"Student")</f>
        <v>Student</v>
      </c>
      <c r="E510" s="5" t="str">
        <f ca="1">IFERROR(__xludf.DUMMYFUNCTION("""COMPUTED_VALUE"""),"Child")</f>
        <v>Child</v>
      </c>
      <c r="F510" s="5"/>
    </row>
    <row r="511" spans="1:6" ht="13">
      <c r="A511" s="5" t="str">
        <f ca="1">IFERROR(__xludf.DUMMYFUNCTION("""COMPUTED_VALUE"""),"20210915VASPS")</f>
        <v>20210915VASPS</v>
      </c>
      <c r="B511" s="5" t="str">
        <f ca="1">IFERROR(__xludf.DUMMYFUNCTION("""COMPUTED_VALUE"""),"None")</f>
        <v>None</v>
      </c>
      <c r="C511" s="5"/>
      <c r="D511" s="5" t="str">
        <f ca="1">IFERROR(__xludf.DUMMYFUNCTION("""COMPUTED_VALUE"""),"Student")</f>
        <v>Student</v>
      </c>
      <c r="E511" s="5" t="str">
        <f ca="1">IFERROR(__xludf.DUMMYFUNCTION("""COMPUTED_VALUE"""),"Child")</f>
        <v>Child</v>
      </c>
      <c r="F511" s="5"/>
    </row>
    <row r="512" spans="1:6" ht="13">
      <c r="A512" s="5" t="str">
        <f ca="1">IFERROR(__xludf.DUMMYFUNCTION("""COMPUTED_VALUE"""),"20210915KYMAL")</f>
        <v>20210915KYMAL</v>
      </c>
      <c r="B512" s="5" t="str">
        <f ca="1">IFERROR(__xludf.DUMMYFUNCTION("""COMPUTED_VALUE"""),"Wounded")</f>
        <v>Wounded</v>
      </c>
      <c r="C512" s="5" t="str">
        <f ca="1">IFERROR(__xludf.DUMMYFUNCTION("""COMPUTED_VALUE"""),"Male")</f>
        <v>Male</v>
      </c>
      <c r="D512" s="5" t="str">
        <f ca="1">IFERROR(__xludf.DUMMYFUNCTION("""COMPUTED_VALUE"""),"No Relation")</f>
        <v>No Relation</v>
      </c>
      <c r="E512" s="5" t="str">
        <f ca="1">IFERROR(__xludf.DUMMYFUNCTION("""COMPUTED_VALUE"""),"Adult")</f>
        <v>Adult</v>
      </c>
      <c r="F512" s="5"/>
    </row>
    <row r="513" spans="1:6" ht="13">
      <c r="A513" s="5" t="str">
        <f ca="1">IFERROR(__xludf.DUMMYFUNCTION("""COMPUTED_VALUE"""),"20210913SCEDC")</f>
        <v>20210913SCEDC</v>
      </c>
      <c r="B513" s="5" t="str">
        <f ca="1">IFERROR(__xludf.DUMMYFUNCTION("""COMPUTED_VALUE"""),"Wounded")</f>
        <v>Wounded</v>
      </c>
      <c r="C513" s="5" t="str">
        <f ca="1">IFERROR(__xludf.DUMMYFUNCTION("""COMPUTED_VALUE"""),"Male")</f>
        <v>Male</v>
      </c>
      <c r="D513" s="5" t="str">
        <f ca="1">IFERROR(__xludf.DUMMYFUNCTION("""COMPUTED_VALUE"""),"Parent")</f>
        <v>Parent</v>
      </c>
      <c r="E513" s="5" t="str">
        <f ca="1">IFERROR(__xludf.DUMMYFUNCTION("""COMPUTED_VALUE"""),"Adult")</f>
        <v>Adult</v>
      </c>
      <c r="F513" s="5"/>
    </row>
    <row r="514" spans="1:6" ht="13">
      <c r="A514" s="5" t="str">
        <f ca="1">IFERROR(__xludf.DUMMYFUNCTION("""COMPUTED_VALUE"""),"20210909ILCHC")</f>
        <v>20210909ILCHC</v>
      </c>
      <c r="B514" s="5" t="str">
        <f ca="1">IFERROR(__xludf.DUMMYFUNCTION("""COMPUTED_VALUE"""),"Wounded")</f>
        <v>Wounded</v>
      </c>
      <c r="C514" s="5" t="str">
        <f ca="1">IFERROR(__xludf.DUMMYFUNCTION("""COMPUTED_VALUE"""),"Male")</f>
        <v>Male</v>
      </c>
      <c r="D514" s="5" t="str">
        <f ca="1">IFERROR(__xludf.DUMMYFUNCTION("""COMPUTED_VALUE"""),"No Relation")</f>
        <v>No Relation</v>
      </c>
      <c r="E514" s="5">
        <f ca="1">IFERROR(__xludf.DUMMYFUNCTION("""COMPUTED_VALUE"""),34)</f>
        <v>34</v>
      </c>
      <c r="F514" s="5"/>
    </row>
    <row r="515" spans="1:6" ht="13">
      <c r="A515" s="5" t="str">
        <f ca="1">IFERROR(__xludf.DUMMYFUNCTION("""COMPUTED_VALUE"""),"20210908MNPRB")</f>
        <v>20210908MNPRB</v>
      </c>
      <c r="B515" s="5" t="str">
        <f ca="1">IFERROR(__xludf.DUMMYFUNCTION("""COMPUTED_VALUE"""),"Wounded")</f>
        <v>Wounded</v>
      </c>
      <c r="C515" s="5" t="str">
        <f ca="1">IFERROR(__xludf.DUMMYFUNCTION("""COMPUTED_VALUE"""),"Male")</f>
        <v>Male</v>
      </c>
      <c r="D515" s="5" t="str">
        <f ca="1">IFERROR(__xludf.DUMMYFUNCTION("""COMPUTED_VALUE"""),"No Relation")</f>
        <v>No Relation</v>
      </c>
      <c r="E515" s="5" t="str">
        <f ca="1">IFERROR(__xludf.DUMMYFUNCTION("""COMPUTED_VALUE"""),"Adult")</f>
        <v>Adult</v>
      </c>
      <c r="F515" s="5"/>
    </row>
    <row r="516" spans="1:6" ht="13">
      <c r="A516" s="5" t="str">
        <f ca="1">IFERROR(__xludf.DUMMYFUNCTION("""COMPUTED_VALUE"""),"20210903CABUB")</f>
        <v>20210903CABUB</v>
      </c>
      <c r="B516" s="5" t="str">
        <f ca="1">IFERROR(__xludf.DUMMYFUNCTION("""COMPUTED_VALUE"""),"None")</f>
        <v>None</v>
      </c>
      <c r="C516" s="5" t="str">
        <f ca="1">IFERROR(__xludf.DUMMYFUNCTION("""COMPUTED_VALUE"""),"Female")</f>
        <v>Female</v>
      </c>
      <c r="D516" s="5" t="str">
        <f ca="1">IFERROR(__xludf.DUMMYFUNCTION("""COMPUTED_VALUE"""),"Bus Driver")</f>
        <v>Bus Driver</v>
      </c>
      <c r="E516" s="5" t="str">
        <f ca="1">IFERROR(__xludf.DUMMYFUNCTION("""COMPUTED_VALUE"""),"Adult")</f>
        <v>Adult</v>
      </c>
      <c r="F516" s="5"/>
    </row>
    <row r="517" spans="1:6" ht="13">
      <c r="A517" s="5" t="str">
        <f ca="1">IFERROR(__xludf.DUMMYFUNCTION("""COMPUTED_VALUE"""),"20210903CABUB")</f>
        <v>20210903CABUB</v>
      </c>
      <c r="B517" s="5" t="str">
        <f ca="1">IFERROR(__xludf.DUMMYFUNCTION("""COMPUTED_VALUE"""),"None")</f>
        <v>None</v>
      </c>
      <c r="C517" s="5"/>
      <c r="D517" s="5" t="str">
        <f ca="1">IFERROR(__xludf.DUMMYFUNCTION("""COMPUTED_VALUE"""),"Student")</f>
        <v>Student</v>
      </c>
      <c r="E517" s="5"/>
      <c r="F517" s="5"/>
    </row>
    <row r="518" spans="1:6" ht="13">
      <c r="A518" s="5" t="str">
        <f ca="1">IFERROR(__xludf.DUMMYFUNCTION("""COMPUTED_VALUE"""),"20210902INWEG")</f>
        <v>20210902INWEG</v>
      </c>
      <c r="B518" s="5" t="str">
        <f ca="1">IFERROR(__xludf.DUMMYFUNCTION("""COMPUTED_VALUE"""),"Wounded")</f>
        <v>Wounded</v>
      </c>
      <c r="C518" s="5" t="str">
        <f ca="1">IFERROR(__xludf.DUMMYFUNCTION("""COMPUTED_VALUE"""),"Male")</f>
        <v>Male</v>
      </c>
      <c r="D518" s="5" t="str">
        <f ca="1">IFERROR(__xludf.DUMMYFUNCTION("""COMPUTED_VALUE"""),"Student")</f>
        <v>Student</v>
      </c>
      <c r="E518" s="5" t="str">
        <f ca="1">IFERROR(__xludf.DUMMYFUNCTION("""COMPUTED_VALUE"""),"Teen")</f>
        <v>Teen</v>
      </c>
      <c r="F518" s="5"/>
    </row>
    <row r="519" spans="1:6" ht="13">
      <c r="A519" s="5" t="str">
        <f ca="1">IFERROR(__xludf.DUMMYFUNCTION("""COMPUTED_VALUE"""),"20210902CASAL")</f>
        <v>20210902CASAL</v>
      </c>
      <c r="B519" s="5" t="str">
        <f ca="1">IFERROR(__xludf.DUMMYFUNCTION("""COMPUTED_VALUE"""),"Wounded")</f>
        <v>Wounded</v>
      </c>
      <c r="C519" s="5" t="str">
        <f ca="1">IFERROR(__xludf.DUMMYFUNCTION("""COMPUTED_VALUE"""),"Male")</f>
        <v>Male</v>
      </c>
      <c r="D519" s="5" t="str">
        <f ca="1">IFERROR(__xludf.DUMMYFUNCTION("""COMPUTED_VALUE"""),"Student")</f>
        <v>Student</v>
      </c>
      <c r="E519" s="5">
        <f ca="1">IFERROR(__xludf.DUMMYFUNCTION("""COMPUTED_VALUE"""),17)</f>
        <v>17</v>
      </c>
      <c r="F519" s="5"/>
    </row>
    <row r="520" spans="1:6" ht="13">
      <c r="A520" s="5" t="str">
        <f ca="1">IFERROR(__xludf.DUMMYFUNCTION("""COMPUTED_VALUE"""),"20210902CASAL")</f>
        <v>20210902CASAL</v>
      </c>
      <c r="B520" s="5" t="str">
        <f ca="1">IFERROR(__xludf.DUMMYFUNCTION("""COMPUTED_VALUE"""),"Wounded")</f>
        <v>Wounded</v>
      </c>
      <c r="C520" s="5" t="str">
        <f ca="1">IFERROR(__xludf.DUMMYFUNCTION("""COMPUTED_VALUE"""),"Male")</f>
        <v>Male</v>
      </c>
      <c r="D520" s="5" t="str">
        <f ca="1">IFERROR(__xludf.DUMMYFUNCTION("""COMPUTED_VALUE"""),"Student")</f>
        <v>Student</v>
      </c>
      <c r="E520" s="5" t="str">
        <f ca="1">IFERROR(__xludf.DUMMYFUNCTION("""COMPUTED_VALUE"""),"Teen")</f>
        <v>Teen</v>
      </c>
      <c r="F520" s="5"/>
    </row>
    <row r="521" spans="1:6" ht="13">
      <c r="A521" s="5" t="str">
        <f ca="1">IFERROR(__xludf.DUMMYFUNCTION("""COMPUTED_VALUE"""),"20210901NCMTW")</f>
        <v>20210901NCMTW</v>
      </c>
      <c r="B521" s="5" t="str">
        <f ca="1">IFERROR(__xludf.DUMMYFUNCTION("""COMPUTED_VALUE"""),"Fatal")</f>
        <v>Fatal</v>
      </c>
      <c r="C521" s="5" t="str">
        <f ca="1">IFERROR(__xludf.DUMMYFUNCTION("""COMPUTED_VALUE"""),"Male")</f>
        <v>Male</v>
      </c>
      <c r="D521" s="5" t="str">
        <f ca="1">IFERROR(__xludf.DUMMYFUNCTION("""COMPUTED_VALUE"""),"Student")</f>
        <v>Student</v>
      </c>
      <c r="E521" s="5">
        <f ca="1">IFERROR(__xludf.DUMMYFUNCTION("""COMPUTED_VALUE"""),15)</f>
        <v>15</v>
      </c>
      <c r="F521" s="5" t="str">
        <f ca="1">IFERROR(__xludf.DUMMYFUNCTION("""COMPUTED_VALUE"""),"Black")</f>
        <v>Black</v>
      </c>
    </row>
    <row r="522" spans="1:6" ht="13">
      <c r="A522" s="5" t="str">
        <f ca="1">IFERROR(__xludf.DUMMYFUNCTION("""COMPUTED_VALUE"""),"20210901ILFRC")</f>
        <v>20210901ILFRC</v>
      </c>
      <c r="B522" s="5" t="str">
        <f ca="1">IFERROR(__xludf.DUMMYFUNCTION("""COMPUTED_VALUE"""),"Fatal")</f>
        <v>Fatal</v>
      </c>
      <c r="C522" s="5" t="str">
        <f ca="1">IFERROR(__xludf.DUMMYFUNCTION("""COMPUTED_VALUE"""),"Male")</f>
        <v>Male</v>
      </c>
      <c r="D522" s="5" t="str">
        <f ca="1">IFERROR(__xludf.DUMMYFUNCTION("""COMPUTED_VALUE"""),"No Relation")</f>
        <v>No Relation</v>
      </c>
      <c r="E522" s="5">
        <f ca="1">IFERROR(__xludf.DUMMYFUNCTION("""COMPUTED_VALUE"""),41)</f>
        <v>41</v>
      </c>
      <c r="F522" s="5"/>
    </row>
    <row r="523" spans="1:6" ht="13">
      <c r="A523" s="5" t="str">
        <f ca="1">IFERROR(__xludf.DUMMYFUNCTION("""COMPUTED_VALUE"""),"20210830NJWEN")</f>
        <v>20210830NJWEN</v>
      </c>
      <c r="B523" s="5" t="str">
        <f ca="1">IFERROR(__xludf.DUMMYFUNCTION("""COMPUTED_VALUE"""),"Fatal")</f>
        <v>Fatal</v>
      </c>
      <c r="C523" s="5" t="str">
        <f ca="1">IFERROR(__xludf.DUMMYFUNCTION("""COMPUTED_VALUE"""),"Male")</f>
        <v>Male</v>
      </c>
      <c r="D523" s="5" t="str">
        <f ca="1">IFERROR(__xludf.DUMMYFUNCTION("""COMPUTED_VALUE"""),"Student")</f>
        <v>Student</v>
      </c>
      <c r="E523" s="5" t="str">
        <f ca="1">IFERROR(__xludf.DUMMYFUNCTION("""COMPUTED_VALUE"""),"Teen")</f>
        <v>Teen</v>
      </c>
      <c r="F523" s="5"/>
    </row>
    <row r="524" spans="1:6" ht="13">
      <c r="A524" s="5" t="str">
        <f ca="1">IFERROR(__xludf.DUMMYFUNCTION("""COMPUTED_VALUE"""),"20210830NCNEW")</f>
        <v>20210830NCNEW</v>
      </c>
      <c r="B524" s="5" t="str">
        <f ca="1">IFERROR(__xludf.DUMMYFUNCTION("""COMPUTED_VALUE"""),"Wounded")</f>
        <v>Wounded</v>
      </c>
      <c r="C524" s="5" t="str">
        <f ca="1">IFERROR(__xludf.DUMMYFUNCTION("""COMPUTED_VALUE"""),"Male")</f>
        <v>Male</v>
      </c>
      <c r="D524" s="5" t="str">
        <f ca="1">IFERROR(__xludf.DUMMYFUNCTION("""COMPUTED_VALUE"""),"Student")</f>
        <v>Student</v>
      </c>
      <c r="E524" s="5" t="str">
        <f ca="1">IFERROR(__xludf.DUMMYFUNCTION("""COMPUTED_VALUE"""),"Teen")</f>
        <v>Teen</v>
      </c>
      <c r="F524" s="5"/>
    </row>
    <row r="525" spans="1:6" ht="13">
      <c r="A525" s="5" t="str">
        <f ca="1">IFERROR(__xludf.DUMMYFUNCTION("""COMPUTED_VALUE"""),"20210830FLOKW")</f>
        <v>20210830FLOKW</v>
      </c>
      <c r="B525" s="5" t="str">
        <f ca="1">IFERROR(__xludf.DUMMYFUNCTION("""COMPUTED_VALUE"""),"Minor Injuries")</f>
        <v>Minor Injuries</v>
      </c>
      <c r="C525" s="5" t="str">
        <f ca="1">IFERROR(__xludf.DUMMYFUNCTION("""COMPUTED_VALUE"""),"Female")</f>
        <v>Female</v>
      </c>
      <c r="D525" s="5" t="str">
        <f ca="1">IFERROR(__xludf.DUMMYFUNCTION("""COMPUTED_VALUE"""),"Student")</f>
        <v>Student</v>
      </c>
      <c r="E525" s="5" t="str">
        <f ca="1">IFERROR(__xludf.DUMMYFUNCTION("""COMPUTED_VALUE"""),"Teen")</f>
        <v>Teen</v>
      </c>
      <c r="F525" s="5"/>
    </row>
    <row r="526" spans="1:6" ht="13">
      <c r="A526" s="5" t="str">
        <f ca="1">IFERROR(__xludf.DUMMYFUNCTION("""COMPUTED_VALUE"""),"20210827VAFRW")</f>
        <v>20210827VAFRW</v>
      </c>
      <c r="B526" s="5" t="str">
        <f ca="1">IFERROR(__xludf.DUMMYFUNCTION("""COMPUTED_VALUE"""),"Wounded")</f>
        <v>Wounded</v>
      </c>
      <c r="C526" s="5" t="str">
        <f ca="1">IFERROR(__xludf.DUMMYFUNCTION("""COMPUTED_VALUE"""),"Male")</f>
        <v>Male</v>
      </c>
      <c r="D526" s="5" t="str">
        <f ca="1">IFERROR(__xludf.DUMMYFUNCTION("""COMPUTED_VALUE"""),"Student")</f>
        <v>Student</v>
      </c>
      <c r="E526" s="5">
        <f ca="1">IFERROR(__xludf.DUMMYFUNCTION("""COMPUTED_VALUE"""),15)</f>
        <v>15</v>
      </c>
      <c r="F526" s="5"/>
    </row>
    <row r="527" spans="1:6" ht="13">
      <c r="A527" s="5" t="str">
        <f ca="1">IFERROR(__xludf.DUMMYFUNCTION("""COMPUTED_VALUE"""),"20210827VAFRW")</f>
        <v>20210827VAFRW</v>
      </c>
      <c r="B527" s="5" t="str">
        <f ca="1">IFERROR(__xludf.DUMMYFUNCTION("""COMPUTED_VALUE"""),"Wounded")</f>
        <v>Wounded</v>
      </c>
      <c r="C527" s="5" t="str">
        <f ca="1">IFERROR(__xludf.DUMMYFUNCTION("""COMPUTED_VALUE"""),"Female")</f>
        <v>Female</v>
      </c>
      <c r="D527" s="5" t="str">
        <f ca="1">IFERROR(__xludf.DUMMYFUNCTION("""COMPUTED_VALUE"""),"Student")</f>
        <v>Student</v>
      </c>
      <c r="E527" s="5">
        <f ca="1">IFERROR(__xludf.DUMMYFUNCTION("""COMPUTED_VALUE"""),14)</f>
        <v>14</v>
      </c>
      <c r="F527" s="5"/>
    </row>
    <row r="528" spans="1:6" ht="13">
      <c r="A528" s="5" t="str">
        <f ca="1">IFERROR(__xludf.DUMMYFUNCTION("""COMPUTED_VALUE"""),"20210827PAACS")</f>
        <v>20210827PAACS</v>
      </c>
      <c r="B528" s="5" t="str">
        <f ca="1">IFERROR(__xludf.DUMMYFUNCTION("""COMPUTED_VALUE"""),"Wounded")</f>
        <v>Wounded</v>
      </c>
      <c r="C528" s="5"/>
      <c r="D528" s="5" t="str">
        <f ca="1">IFERROR(__xludf.DUMMYFUNCTION("""COMPUTED_VALUE"""),"Nonstudent Using Athletic Facilities/Attending Game")</f>
        <v>Nonstudent Using Athletic Facilities/Attending Game</v>
      </c>
      <c r="E528" s="5" t="str">
        <f ca="1">IFERROR(__xludf.DUMMYFUNCTION("""COMPUTED_VALUE"""),"Adult")</f>
        <v>Adult</v>
      </c>
      <c r="F528" s="5"/>
    </row>
    <row r="529" spans="1:6" ht="13">
      <c r="A529" s="5" t="str">
        <f ca="1">IFERROR(__xludf.DUMMYFUNCTION("""COMPUTED_VALUE"""),"20210827PAACS")</f>
        <v>20210827PAACS</v>
      </c>
      <c r="B529" s="5" t="str">
        <f ca="1">IFERROR(__xludf.DUMMYFUNCTION("""COMPUTED_VALUE"""),"Fatal")</f>
        <v>Fatal</v>
      </c>
      <c r="C529" s="5" t="str">
        <f ca="1">IFERROR(__xludf.DUMMYFUNCTION("""COMPUTED_VALUE"""),"Female")</f>
        <v>Female</v>
      </c>
      <c r="D529" s="5" t="str">
        <f ca="1">IFERROR(__xludf.DUMMYFUNCTION("""COMPUTED_VALUE"""),"Nonstudent Using Athletic Facilities/Attending Game")</f>
        <v>Nonstudent Using Athletic Facilities/Attending Game</v>
      </c>
      <c r="E529" s="5">
        <f ca="1">IFERROR(__xludf.DUMMYFUNCTION("""COMPUTED_VALUE"""),8)</f>
        <v>8</v>
      </c>
      <c r="F529" s="5" t="str">
        <f ca="1">IFERROR(__xludf.DUMMYFUNCTION("""COMPUTED_VALUE"""),"Black")</f>
        <v>Black</v>
      </c>
    </row>
    <row r="530" spans="1:6" ht="13">
      <c r="A530" s="5" t="str">
        <f ca="1">IFERROR(__xludf.DUMMYFUNCTION("""COMPUTED_VALUE"""),"20210827PAACS")</f>
        <v>20210827PAACS</v>
      </c>
      <c r="B530" s="5" t="str">
        <f ca="1">IFERROR(__xludf.DUMMYFUNCTION("""COMPUTED_VALUE"""),"Wounded")</f>
        <v>Wounded</v>
      </c>
      <c r="C530" s="5"/>
      <c r="D530" s="5" t="str">
        <f ca="1">IFERROR(__xludf.DUMMYFUNCTION("""COMPUTED_VALUE"""),"Student")</f>
        <v>Student</v>
      </c>
      <c r="E530" s="5" t="str">
        <f ca="1">IFERROR(__xludf.DUMMYFUNCTION("""COMPUTED_VALUE"""),"Teen")</f>
        <v>Teen</v>
      </c>
      <c r="F530" s="5"/>
    </row>
    <row r="531" spans="1:6" ht="13">
      <c r="A531" s="5" t="str">
        <f ca="1">IFERROR(__xludf.DUMMYFUNCTION("""COMPUTED_VALUE"""),"20210827PAACS")</f>
        <v>20210827PAACS</v>
      </c>
      <c r="B531" s="5" t="str">
        <f ca="1">IFERROR(__xludf.DUMMYFUNCTION("""COMPUTED_VALUE"""),"Wounded")</f>
        <v>Wounded</v>
      </c>
      <c r="C531" s="5"/>
      <c r="D531" s="5" t="str">
        <f ca="1">IFERROR(__xludf.DUMMYFUNCTION("""COMPUTED_VALUE"""),"Student")</f>
        <v>Student</v>
      </c>
      <c r="E531" s="5" t="str">
        <f ca="1">IFERROR(__xludf.DUMMYFUNCTION("""COMPUTED_VALUE"""),"Teen")</f>
        <v>Teen</v>
      </c>
      <c r="F531" s="5"/>
    </row>
    <row r="532" spans="1:6" ht="13">
      <c r="A532" s="5" t="str">
        <f ca="1">IFERROR(__xludf.DUMMYFUNCTION("""COMPUTED_VALUE"""),"20210827PAACS")</f>
        <v>20210827PAACS</v>
      </c>
      <c r="B532" s="5" t="str">
        <f ca="1">IFERROR(__xludf.DUMMYFUNCTION("""COMPUTED_VALUE"""),"Wounded")</f>
        <v>Wounded</v>
      </c>
      <c r="C532" s="5"/>
      <c r="D532" s="5" t="str">
        <f ca="1">IFERROR(__xludf.DUMMYFUNCTION("""COMPUTED_VALUE"""),"Nonstudent Using Athletic Facilities/Attending Game")</f>
        <v>Nonstudent Using Athletic Facilities/Attending Game</v>
      </c>
      <c r="E532" s="5" t="str">
        <f ca="1">IFERROR(__xludf.DUMMYFUNCTION("""COMPUTED_VALUE"""),"Adult")</f>
        <v>Adult</v>
      </c>
      <c r="F532" s="5"/>
    </row>
    <row r="533" spans="1:6" ht="13">
      <c r="A533" s="5" t="str">
        <f ca="1">IFERROR(__xludf.DUMMYFUNCTION("""COMPUTED_VALUE"""),"20210827KYAPO")</f>
        <v>20210827KYAPO</v>
      </c>
      <c r="B533" s="5" t="str">
        <f ca="1">IFERROR(__xludf.DUMMYFUNCTION("""COMPUTED_VALUE"""),"Wounded")</f>
        <v>Wounded</v>
      </c>
      <c r="C533" s="5" t="str">
        <f ca="1">IFERROR(__xludf.DUMMYFUNCTION("""COMPUTED_VALUE"""),"Male")</f>
        <v>Male</v>
      </c>
      <c r="D533" s="5" t="str">
        <f ca="1">IFERROR(__xludf.DUMMYFUNCTION("""COMPUTED_VALUE"""),"Nonstudent Using Athletic Facilities/Attending Game")</f>
        <v>Nonstudent Using Athletic Facilities/Attending Game</v>
      </c>
      <c r="E533" s="5" t="str">
        <f ca="1">IFERROR(__xludf.DUMMYFUNCTION("""COMPUTED_VALUE"""),"Adult")</f>
        <v>Adult</v>
      </c>
      <c r="F533" s="5"/>
    </row>
    <row r="534" spans="1:6" ht="13">
      <c r="A534" s="5" t="str">
        <f ca="1">IFERROR(__xludf.DUMMYFUNCTION("""COMPUTED_VALUE"""),"20210827INHAH")</f>
        <v>20210827INHAH</v>
      </c>
      <c r="B534" s="5" t="str">
        <f ca="1">IFERROR(__xludf.DUMMYFUNCTION("""COMPUTED_VALUE"""),"Wounded")</f>
        <v>Wounded</v>
      </c>
      <c r="C534" s="5"/>
      <c r="D534" s="5" t="str">
        <f ca="1">IFERROR(__xludf.DUMMYFUNCTION("""COMPUTED_VALUE"""),"Student")</f>
        <v>Student</v>
      </c>
      <c r="E534" s="5" t="str">
        <f ca="1">IFERROR(__xludf.DUMMYFUNCTION("""COMPUTED_VALUE"""),"Teen")</f>
        <v>Teen</v>
      </c>
      <c r="F534" s="5"/>
    </row>
    <row r="535" spans="1:6" ht="13">
      <c r="A535" s="5" t="str">
        <f ca="1">IFERROR(__xludf.DUMMYFUNCTION("""COMPUTED_VALUE"""),"20210827INHAH")</f>
        <v>20210827INHAH</v>
      </c>
      <c r="B535" s="5" t="str">
        <f ca="1">IFERROR(__xludf.DUMMYFUNCTION("""COMPUTED_VALUE"""),"Wounded")</f>
        <v>Wounded</v>
      </c>
      <c r="C535" s="5"/>
      <c r="D535" s="5" t="str">
        <f ca="1">IFERROR(__xludf.DUMMYFUNCTION("""COMPUTED_VALUE"""),"Student")</f>
        <v>Student</v>
      </c>
      <c r="E535" s="5" t="str">
        <f ca="1">IFERROR(__xludf.DUMMYFUNCTION("""COMPUTED_VALUE"""),"Teen")</f>
        <v>Teen</v>
      </c>
      <c r="F535" s="5"/>
    </row>
    <row r="536" spans="1:6" ht="13">
      <c r="A536" s="5" t="str">
        <f ca="1">IFERROR(__xludf.DUMMYFUNCTION("""COMPUTED_VALUE"""),"20210822ILWER")</f>
        <v>20210822ILWER</v>
      </c>
      <c r="B536" s="5" t="str">
        <f ca="1">IFERROR(__xludf.DUMMYFUNCTION("""COMPUTED_VALUE"""),"Wounded")</f>
        <v>Wounded</v>
      </c>
      <c r="C536" s="5" t="str">
        <f ca="1">IFERROR(__xludf.DUMMYFUNCTION("""COMPUTED_VALUE"""),"Male")</f>
        <v>Male</v>
      </c>
      <c r="D536" s="5" t="str">
        <f ca="1">IFERROR(__xludf.DUMMYFUNCTION("""COMPUTED_VALUE"""),"Student")</f>
        <v>Student</v>
      </c>
      <c r="E536" s="5">
        <f ca="1">IFERROR(__xludf.DUMMYFUNCTION("""COMPUTED_VALUE"""),13)</f>
        <v>13</v>
      </c>
      <c r="F536" s="5"/>
    </row>
    <row r="537" spans="1:6" ht="13">
      <c r="A537" s="5" t="str">
        <f ca="1">IFERROR(__xludf.DUMMYFUNCTION("""COMPUTED_VALUE"""),"20210820NEMIO")</f>
        <v>20210820NEMIO</v>
      </c>
      <c r="B537" s="5" t="str">
        <f ca="1">IFERROR(__xludf.DUMMYFUNCTION("""COMPUTED_VALUE"""),"Wounded")</f>
        <v>Wounded</v>
      </c>
      <c r="C537" s="5" t="str">
        <f ca="1">IFERROR(__xludf.DUMMYFUNCTION("""COMPUTED_VALUE"""),"Male")</f>
        <v>Male</v>
      </c>
      <c r="D537" s="5" t="str">
        <f ca="1">IFERROR(__xludf.DUMMYFUNCTION("""COMPUTED_VALUE"""),"No Relation")</f>
        <v>No Relation</v>
      </c>
      <c r="E537" s="5">
        <f ca="1">IFERROR(__xludf.DUMMYFUNCTION("""COMPUTED_VALUE"""),24)</f>
        <v>24</v>
      </c>
      <c r="F537" s="5" t="str">
        <f ca="1">IFERROR(__xludf.DUMMYFUNCTION("""COMPUTED_VALUE"""),"Black")</f>
        <v>Black</v>
      </c>
    </row>
    <row r="538" spans="1:6" ht="13">
      <c r="A538" s="5" t="str">
        <f ca="1">IFERROR(__xludf.DUMMYFUNCTION("""COMPUTED_VALUE"""),"20210820NEMIO")</f>
        <v>20210820NEMIO</v>
      </c>
      <c r="B538" s="5" t="str">
        <f ca="1">IFERROR(__xludf.DUMMYFUNCTION("""COMPUTED_VALUE"""),"Wounded")</f>
        <v>Wounded</v>
      </c>
      <c r="C538" s="5" t="str">
        <f ca="1">IFERROR(__xludf.DUMMYFUNCTION("""COMPUTED_VALUE"""),"Female")</f>
        <v>Female</v>
      </c>
      <c r="D538" s="5" t="str">
        <f ca="1">IFERROR(__xludf.DUMMYFUNCTION("""COMPUTED_VALUE"""),"No Relation")</f>
        <v>No Relation</v>
      </c>
      <c r="E538" s="5">
        <f ca="1">IFERROR(__xludf.DUMMYFUNCTION("""COMPUTED_VALUE"""),29)</f>
        <v>29</v>
      </c>
      <c r="F538" s="5" t="str">
        <f ca="1">IFERROR(__xludf.DUMMYFUNCTION("""COMPUTED_VALUE"""),"Black")</f>
        <v>Black</v>
      </c>
    </row>
    <row r="539" spans="1:6" ht="13">
      <c r="A539" s="5" t="str">
        <f ca="1">IFERROR(__xludf.DUMMYFUNCTION("""COMPUTED_VALUE"""),"20210820CACEF")</f>
        <v>20210820CACEF</v>
      </c>
      <c r="B539" s="5" t="str">
        <f ca="1">IFERROR(__xludf.DUMMYFUNCTION("""COMPUTED_VALUE"""),"Wounded")</f>
        <v>Wounded</v>
      </c>
      <c r="C539" s="5" t="str">
        <f ca="1">IFERROR(__xludf.DUMMYFUNCTION("""COMPUTED_VALUE"""),"Male")</f>
        <v>Male</v>
      </c>
      <c r="D539" s="5" t="str">
        <f ca="1">IFERROR(__xludf.DUMMYFUNCTION("""COMPUTED_VALUE"""),"Nonstudent Using Athletic Facilities/Attending Game")</f>
        <v>Nonstudent Using Athletic Facilities/Attending Game</v>
      </c>
      <c r="E539" s="5">
        <f ca="1">IFERROR(__xludf.DUMMYFUNCTION("""COMPUTED_VALUE"""),19)</f>
        <v>19</v>
      </c>
      <c r="F539" s="5" t="str">
        <f ca="1">IFERROR(__xludf.DUMMYFUNCTION("""COMPUTED_VALUE"""),"Black")</f>
        <v>Black</v>
      </c>
    </row>
    <row r="540" spans="1:6" ht="13">
      <c r="A540" s="5" t="str">
        <f ca="1">IFERROR(__xludf.DUMMYFUNCTION("""COMPUTED_VALUE"""),"20210818SCORO")</f>
        <v>20210818SCORO</v>
      </c>
      <c r="B540" s="5" t="str">
        <f ca="1">IFERROR(__xludf.DUMMYFUNCTION("""COMPUTED_VALUE"""),"Wounded")</f>
        <v>Wounded</v>
      </c>
      <c r="C540" s="5"/>
      <c r="D540" s="5" t="str">
        <f ca="1">IFERROR(__xludf.DUMMYFUNCTION("""COMPUTED_VALUE"""),"Student")</f>
        <v>Student</v>
      </c>
      <c r="E540" s="5" t="str">
        <f ca="1">IFERROR(__xludf.DUMMYFUNCTION("""COMPUTED_VALUE"""),"Teen")</f>
        <v>Teen</v>
      </c>
      <c r="F540" s="5"/>
    </row>
    <row r="541" spans="1:6" ht="13">
      <c r="A541" s="5" t="str">
        <f ca="1">IFERROR(__xludf.DUMMYFUNCTION("""COMPUTED_VALUE"""),"20210818SCORO")</f>
        <v>20210818SCORO</v>
      </c>
      <c r="B541" s="5" t="str">
        <f ca="1">IFERROR(__xludf.DUMMYFUNCTION("""COMPUTED_VALUE"""),"Wounded")</f>
        <v>Wounded</v>
      </c>
      <c r="C541" s="5"/>
      <c r="D541" s="5" t="str">
        <f ca="1">IFERROR(__xludf.DUMMYFUNCTION("""COMPUTED_VALUE"""),"Student")</f>
        <v>Student</v>
      </c>
      <c r="E541" s="5" t="str">
        <f ca="1">IFERROR(__xludf.DUMMYFUNCTION("""COMPUTED_VALUE"""),"Teen")</f>
        <v>Teen</v>
      </c>
      <c r="F541" s="5"/>
    </row>
    <row r="542" spans="1:6" ht="13">
      <c r="A542" s="5" t="str">
        <f ca="1">IFERROR(__xludf.DUMMYFUNCTION("""COMPUTED_VALUE"""),"20210818SCORO")</f>
        <v>20210818SCORO</v>
      </c>
      <c r="B542" s="5" t="str">
        <f ca="1">IFERROR(__xludf.DUMMYFUNCTION("""COMPUTED_VALUE"""),"Wounded")</f>
        <v>Wounded</v>
      </c>
      <c r="C542" s="5"/>
      <c r="D542" s="5" t="str">
        <f ca="1">IFERROR(__xludf.DUMMYFUNCTION("""COMPUTED_VALUE"""),"Student")</f>
        <v>Student</v>
      </c>
      <c r="E542" s="5" t="str">
        <f ca="1">IFERROR(__xludf.DUMMYFUNCTION("""COMPUTED_VALUE"""),"Teen")</f>
        <v>Teen</v>
      </c>
      <c r="F542" s="5"/>
    </row>
    <row r="543" spans="1:6" ht="13">
      <c r="A543" s="5" t="str">
        <f ca="1">IFERROR(__xludf.DUMMYFUNCTION("""COMPUTED_VALUE"""),"20210817COYED")</f>
        <v>20210817COYED</v>
      </c>
      <c r="B543" s="5" t="str">
        <f ca="1">IFERROR(__xludf.DUMMYFUNCTION("""COMPUTED_VALUE"""),"Fatal")</f>
        <v>Fatal</v>
      </c>
      <c r="C543" s="5" t="str">
        <f ca="1">IFERROR(__xludf.DUMMYFUNCTION("""COMPUTED_VALUE"""),"Male")</f>
        <v>Male</v>
      </c>
      <c r="D543" s="5" t="str">
        <f ca="1">IFERROR(__xludf.DUMMYFUNCTION("""COMPUTED_VALUE"""),"Student")</f>
        <v>Student</v>
      </c>
      <c r="E543" s="5">
        <f ca="1">IFERROR(__xludf.DUMMYFUNCTION("""COMPUTED_VALUE"""),18)</f>
        <v>18</v>
      </c>
      <c r="F543" s="5"/>
    </row>
    <row r="544" spans="1:6" ht="13">
      <c r="A544" s="5" t="str">
        <f ca="1">IFERROR(__xludf.DUMMYFUNCTION("""COMPUTED_VALUE"""),"20210814ILMAC")</f>
        <v>20210814ILMAC</v>
      </c>
      <c r="B544" s="5" t="str">
        <f ca="1">IFERROR(__xludf.DUMMYFUNCTION("""COMPUTED_VALUE"""),"Wounded")</f>
        <v>Wounded</v>
      </c>
      <c r="C544" s="5" t="str">
        <f ca="1">IFERROR(__xludf.DUMMYFUNCTION("""COMPUTED_VALUE"""),"Male")</f>
        <v>Male</v>
      </c>
      <c r="D544" s="5" t="str">
        <f ca="1">IFERROR(__xludf.DUMMYFUNCTION("""COMPUTED_VALUE"""),"No Relation")</f>
        <v>No Relation</v>
      </c>
      <c r="E544" s="5">
        <f ca="1">IFERROR(__xludf.DUMMYFUNCTION("""COMPUTED_VALUE"""),15)</f>
        <v>15</v>
      </c>
      <c r="F544" s="5"/>
    </row>
    <row r="545" spans="1:6" ht="13">
      <c r="A545" s="5" t="str">
        <f ca="1">IFERROR(__xludf.DUMMYFUNCTION("""COMPUTED_VALUE"""),"20210813NMWAA")</f>
        <v>20210813NMWAA</v>
      </c>
      <c r="B545" s="5" t="str">
        <f ca="1">IFERROR(__xludf.DUMMYFUNCTION("""COMPUTED_VALUE"""),"Fatal")</f>
        <v>Fatal</v>
      </c>
      <c r="C545" s="5" t="str">
        <f ca="1">IFERROR(__xludf.DUMMYFUNCTION("""COMPUTED_VALUE"""),"Male")</f>
        <v>Male</v>
      </c>
      <c r="D545" s="5" t="str">
        <f ca="1">IFERROR(__xludf.DUMMYFUNCTION("""COMPUTED_VALUE"""),"Student")</f>
        <v>Student</v>
      </c>
      <c r="E545" s="5">
        <f ca="1">IFERROR(__xludf.DUMMYFUNCTION("""COMPUTED_VALUE"""),13)</f>
        <v>13</v>
      </c>
      <c r="F545" s="5"/>
    </row>
    <row r="546" spans="1:6" ht="13">
      <c r="A546" s="5" t="str">
        <f ca="1">IFERROR(__xludf.DUMMYFUNCTION("""COMPUTED_VALUE"""),"20210812GALIL")</f>
        <v>20210812GALIL</v>
      </c>
      <c r="B546" s="5" t="str">
        <f ca="1">IFERROR(__xludf.DUMMYFUNCTION("""COMPUTED_VALUE"""),"Wounded")</f>
        <v>Wounded</v>
      </c>
      <c r="C546" s="5" t="str">
        <f ca="1">IFERROR(__xludf.DUMMYFUNCTION("""COMPUTED_VALUE"""),"Male")</f>
        <v>Male</v>
      </c>
      <c r="D546" s="5"/>
      <c r="E546" s="5" t="str">
        <f ca="1">IFERROR(__xludf.DUMMYFUNCTION("""COMPUTED_VALUE"""),"Adult")</f>
        <v>Adult</v>
      </c>
      <c r="F546" s="5"/>
    </row>
    <row r="547" spans="1:6" ht="13">
      <c r="A547" s="5" t="str">
        <f ca="1">IFERROR(__xludf.DUMMYFUNCTION("""COMPUTED_VALUE"""),"20210811COMAC")</f>
        <v>20210811COMAC</v>
      </c>
      <c r="B547" s="5" t="str">
        <f ca="1">IFERROR(__xludf.DUMMYFUNCTION("""COMPUTED_VALUE"""),"Wounded")</f>
        <v>Wounded</v>
      </c>
      <c r="C547" s="5" t="str">
        <f ca="1">IFERROR(__xludf.DUMMYFUNCTION("""COMPUTED_VALUE"""),"Male")</f>
        <v>Male</v>
      </c>
      <c r="D547" s="5" t="str">
        <f ca="1">IFERROR(__xludf.DUMMYFUNCTION("""COMPUTED_VALUE"""),"No Relation")</f>
        <v>No Relation</v>
      </c>
      <c r="E547" s="5" t="str">
        <f ca="1">IFERROR(__xludf.DUMMYFUNCTION("""COMPUTED_VALUE"""),"Adult")</f>
        <v>Adult</v>
      </c>
      <c r="F547" s="5"/>
    </row>
    <row r="548" spans="1:6" ht="13">
      <c r="A548" s="5" t="str">
        <f ca="1">IFERROR(__xludf.DUMMYFUNCTION("""COMPUTED_VALUE"""),"20210810OHEAC")</f>
        <v>20210810OHEAC</v>
      </c>
      <c r="B548" s="5" t="str">
        <f ca="1">IFERROR(__xludf.DUMMYFUNCTION("""COMPUTED_VALUE"""),"Wounded")</f>
        <v>Wounded</v>
      </c>
      <c r="C548" s="5" t="str">
        <f ca="1">IFERROR(__xludf.DUMMYFUNCTION("""COMPUTED_VALUE"""),"Male")</f>
        <v>Male</v>
      </c>
      <c r="D548" s="5" t="str">
        <f ca="1">IFERROR(__xludf.DUMMYFUNCTION("""COMPUTED_VALUE"""),"Former Student")</f>
        <v>Former Student</v>
      </c>
      <c r="E548" s="5">
        <f ca="1">IFERROR(__xludf.DUMMYFUNCTION("""COMPUTED_VALUE"""),15)</f>
        <v>15</v>
      </c>
      <c r="F548" s="5"/>
    </row>
    <row r="549" spans="1:6" ht="13">
      <c r="A549" s="5" t="str">
        <f ca="1">IFERROR(__xludf.DUMMYFUNCTION("""COMPUTED_VALUE"""),"20210807ORGIP")</f>
        <v>20210807ORGIP</v>
      </c>
      <c r="B549" s="5" t="str">
        <f ca="1">IFERROR(__xludf.DUMMYFUNCTION("""COMPUTED_VALUE"""),"Fatal")</f>
        <v>Fatal</v>
      </c>
      <c r="C549" s="5" t="str">
        <f ca="1">IFERROR(__xludf.DUMMYFUNCTION("""COMPUTED_VALUE"""),"Male")</f>
        <v>Male</v>
      </c>
      <c r="D549" s="5" t="str">
        <f ca="1">IFERROR(__xludf.DUMMYFUNCTION("""COMPUTED_VALUE"""),"No Relation")</f>
        <v>No Relation</v>
      </c>
      <c r="E549" s="5" t="str">
        <f ca="1">IFERROR(__xludf.DUMMYFUNCTION("""COMPUTED_VALUE"""),"Adult")</f>
        <v>Adult</v>
      </c>
      <c r="F549" s="5"/>
    </row>
    <row r="550" spans="1:6" ht="13">
      <c r="A550" s="5" t="str">
        <f ca="1">IFERROR(__xludf.DUMMYFUNCTION("""COMPUTED_VALUE"""),"20210806LASTH")</f>
        <v>20210806LASTH</v>
      </c>
      <c r="B550" s="5" t="str">
        <f ca="1">IFERROR(__xludf.DUMMYFUNCTION("""COMPUTED_VALUE"""),"Wounded")</f>
        <v>Wounded</v>
      </c>
      <c r="C550" s="5" t="str">
        <f ca="1">IFERROR(__xludf.DUMMYFUNCTION("""COMPUTED_VALUE"""),"Female")</f>
        <v>Female</v>
      </c>
      <c r="D550" s="5" t="str">
        <f ca="1">IFERROR(__xludf.DUMMYFUNCTION("""COMPUTED_VALUE"""),"Parent")</f>
        <v>Parent</v>
      </c>
      <c r="E550" s="5">
        <f ca="1">IFERROR(__xludf.DUMMYFUNCTION("""COMPUTED_VALUE"""),60)</f>
        <v>60</v>
      </c>
      <c r="F550" s="5"/>
    </row>
    <row r="551" spans="1:6" ht="13">
      <c r="A551" s="5" t="str">
        <f ca="1">IFERROR(__xludf.DUMMYFUNCTION("""COMPUTED_VALUE"""),"20210804ALBUM")</f>
        <v>20210804ALBUM</v>
      </c>
      <c r="B551" s="5" t="str">
        <f ca="1">IFERROR(__xludf.DUMMYFUNCTION("""COMPUTED_VALUE"""),"Wounded")</f>
        <v>Wounded</v>
      </c>
      <c r="C551" s="5" t="str">
        <f ca="1">IFERROR(__xludf.DUMMYFUNCTION("""COMPUTED_VALUE"""),"Male")</f>
        <v>Male</v>
      </c>
      <c r="D551" s="5"/>
      <c r="E551" s="5" t="str">
        <f ca="1">IFERROR(__xludf.DUMMYFUNCTION("""COMPUTED_VALUE"""),"Teen")</f>
        <v>Teen</v>
      </c>
      <c r="F551" s="5"/>
    </row>
    <row r="552" spans="1:6" ht="13">
      <c r="A552" s="5" t="str">
        <f ca="1">IFERROR(__xludf.DUMMYFUNCTION("""COMPUTED_VALUE"""),"20210804ALBUM")</f>
        <v>20210804ALBUM</v>
      </c>
      <c r="B552" s="5" t="str">
        <f ca="1">IFERROR(__xludf.DUMMYFUNCTION("""COMPUTED_VALUE"""),"Wounded")</f>
        <v>Wounded</v>
      </c>
      <c r="C552" s="5" t="str">
        <f ca="1">IFERROR(__xludf.DUMMYFUNCTION("""COMPUTED_VALUE"""),"Male")</f>
        <v>Male</v>
      </c>
      <c r="D552" s="5"/>
      <c r="E552" s="5" t="str">
        <f ca="1">IFERROR(__xludf.DUMMYFUNCTION("""COMPUTED_VALUE"""),"Teen")</f>
        <v>Teen</v>
      </c>
      <c r="F552" s="5"/>
    </row>
    <row r="553" spans="1:6" ht="13">
      <c r="A553" s="5" t="str">
        <f ca="1">IFERROR(__xludf.DUMMYFUNCTION("""COMPUTED_VALUE"""),"20210727WATYS")</f>
        <v>20210727WATYS</v>
      </c>
      <c r="B553" s="5" t="str">
        <f ca="1">IFERROR(__xludf.DUMMYFUNCTION("""COMPUTED_VALUE"""),"Fatal")</f>
        <v>Fatal</v>
      </c>
      <c r="C553" s="5" t="str">
        <f ca="1">IFERROR(__xludf.DUMMYFUNCTION("""COMPUTED_VALUE"""),"Male")</f>
        <v>Male</v>
      </c>
      <c r="D553" s="5" t="str">
        <f ca="1">IFERROR(__xludf.DUMMYFUNCTION("""COMPUTED_VALUE"""),"Nonstudent Using Athletic Facilities/Attending Game")</f>
        <v>Nonstudent Using Athletic Facilities/Attending Game</v>
      </c>
      <c r="E553" s="5" t="str">
        <f ca="1">IFERROR(__xludf.DUMMYFUNCTION("""COMPUTED_VALUE"""),"Adult")</f>
        <v>Adult</v>
      </c>
      <c r="F553" s="5"/>
    </row>
    <row r="554" spans="1:6" ht="13">
      <c r="A554" s="5" t="str">
        <f ca="1">IFERROR(__xludf.DUMMYFUNCTION("""COMPUTED_VALUE"""),"20210721ILTHC")</f>
        <v>20210721ILTHC</v>
      </c>
      <c r="B554" s="5" t="str">
        <f ca="1">IFERROR(__xludf.DUMMYFUNCTION("""COMPUTED_VALUE"""),"Wounded")</f>
        <v>Wounded</v>
      </c>
      <c r="C554" s="5" t="str">
        <f ca="1">IFERROR(__xludf.DUMMYFUNCTION("""COMPUTED_VALUE"""),"Male")</f>
        <v>Male</v>
      </c>
      <c r="D554" s="5" t="str">
        <f ca="1">IFERROR(__xludf.DUMMYFUNCTION("""COMPUTED_VALUE"""),"No Relation")</f>
        <v>No Relation</v>
      </c>
      <c r="E554" s="5">
        <f ca="1">IFERROR(__xludf.DUMMYFUNCTION("""COMPUTED_VALUE"""),22)</f>
        <v>22</v>
      </c>
      <c r="F554" s="5"/>
    </row>
    <row r="555" spans="1:6" ht="13">
      <c r="A555" s="5" t="str">
        <f ca="1">IFERROR(__xludf.DUMMYFUNCTION("""COMPUTED_VALUE"""),"20210721ILTHC")</f>
        <v>20210721ILTHC</v>
      </c>
      <c r="B555" s="5" t="str">
        <f ca="1">IFERROR(__xludf.DUMMYFUNCTION("""COMPUTED_VALUE"""),"Wounded")</f>
        <v>Wounded</v>
      </c>
      <c r="C555" s="5" t="str">
        <f ca="1">IFERROR(__xludf.DUMMYFUNCTION("""COMPUTED_VALUE"""),"Male")</f>
        <v>Male</v>
      </c>
      <c r="D555" s="5" t="str">
        <f ca="1">IFERROR(__xludf.DUMMYFUNCTION("""COMPUTED_VALUE"""),"No Relation")</f>
        <v>No Relation</v>
      </c>
      <c r="E555" s="5">
        <f ca="1">IFERROR(__xludf.DUMMYFUNCTION("""COMPUTED_VALUE"""),18)</f>
        <v>18</v>
      </c>
      <c r="F555" s="5"/>
    </row>
    <row r="556" spans="1:6" ht="13">
      <c r="A556" s="5" t="str">
        <f ca="1">IFERROR(__xludf.DUMMYFUNCTION("""COMPUTED_VALUE"""),"20210721ILTHC")</f>
        <v>20210721ILTHC</v>
      </c>
      <c r="B556" s="5" t="str">
        <f ca="1">IFERROR(__xludf.DUMMYFUNCTION("""COMPUTED_VALUE"""),"Wounded")</f>
        <v>Wounded</v>
      </c>
      <c r="C556" s="5" t="str">
        <f ca="1">IFERROR(__xludf.DUMMYFUNCTION("""COMPUTED_VALUE"""),"Male")</f>
        <v>Male</v>
      </c>
      <c r="D556" s="5" t="str">
        <f ca="1">IFERROR(__xludf.DUMMYFUNCTION("""COMPUTED_VALUE"""),"No Relation")</f>
        <v>No Relation</v>
      </c>
      <c r="E556" s="5">
        <f ca="1">IFERROR(__xludf.DUMMYFUNCTION("""COMPUTED_VALUE"""),15)</f>
        <v>15</v>
      </c>
      <c r="F556" s="5"/>
    </row>
    <row r="557" spans="1:6" ht="13">
      <c r="A557" s="5" t="str">
        <f ca="1">IFERROR(__xludf.DUMMYFUNCTION("""COMPUTED_VALUE"""),"20210721ILTHC")</f>
        <v>20210721ILTHC</v>
      </c>
      <c r="B557" s="5" t="str">
        <f ca="1">IFERROR(__xludf.DUMMYFUNCTION("""COMPUTED_VALUE"""),"Wounded")</f>
        <v>Wounded</v>
      </c>
      <c r="C557" s="5" t="str">
        <f ca="1">IFERROR(__xludf.DUMMYFUNCTION("""COMPUTED_VALUE"""),"Male")</f>
        <v>Male</v>
      </c>
      <c r="D557" s="5" t="str">
        <f ca="1">IFERROR(__xludf.DUMMYFUNCTION("""COMPUTED_VALUE"""),"No Relation")</f>
        <v>No Relation</v>
      </c>
      <c r="E557" s="5">
        <f ca="1">IFERROR(__xludf.DUMMYFUNCTION("""COMPUTED_VALUE"""),17)</f>
        <v>17</v>
      </c>
      <c r="F557" s="5"/>
    </row>
    <row r="558" spans="1:6" ht="13">
      <c r="A558" s="5" t="str">
        <f ca="1">IFERROR(__xludf.DUMMYFUNCTION("""COMPUTED_VALUE"""),"20210721ILTHC")</f>
        <v>20210721ILTHC</v>
      </c>
      <c r="B558" s="5" t="str">
        <f ca="1">IFERROR(__xludf.DUMMYFUNCTION("""COMPUTED_VALUE"""),"Wounded")</f>
        <v>Wounded</v>
      </c>
      <c r="C558" s="5" t="str">
        <f ca="1">IFERROR(__xludf.DUMMYFUNCTION("""COMPUTED_VALUE"""),"Male")</f>
        <v>Male</v>
      </c>
      <c r="D558" s="5" t="str">
        <f ca="1">IFERROR(__xludf.DUMMYFUNCTION("""COMPUTED_VALUE"""),"No Relation")</f>
        <v>No Relation</v>
      </c>
      <c r="E558" s="5">
        <f ca="1">IFERROR(__xludf.DUMMYFUNCTION("""COMPUTED_VALUE"""),14)</f>
        <v>14</v>
      </c>
      <c r="F558" s="5"/>
    </row>
    <row r="559" spans="1:6" ht="13">
      <c r="A559" s="5" t="str">
        <f ca="1">IFERROR(__xludf.DUMMYFUNCTION("""COMPUTED_VALUE"""),"20210719TXCAC")</f>
        <v>20210719TXCAC</v>
      </c>
      <c r="B559" s="5" t="str">
        <f ca="1">IFERROR(__xludf.DUMMYFUNCTION("""COMPUTED_VALUE"""),"Minor Injuries")</f>
        <v>Minor Injuries</v>
      </c>
      <c r="C559" s="5" t="str">
        <f ca="1">IFERROR(__xludf.DUMMYFUNCTION("""COMPUTED_VALUE"""),"Female")</f>
        <v>Female</v>
      </c>
      <c r="D559" s="5" t="str">
        <f ca="1">IFERROR(__xludf.DUMMYFUNCTION("""COMPUTED_VALUE"""),"Student")</f>
        <v>Student</v>
      </c>
      <c r="E559" s="5">
        <f ca="1">IFERROR(__xludf.DUMMYFUNCTION("""COMPUTED_VALUE"""),17)</f>
        <v>17</v>
      </c>
      <c r="F559" s="5"/>
    </row>
    <row r="560" spans="1:6" ht="13">
      <c r="A560" s="5" t="str">
        <f ca="1">IFERROR(__xludf.DUMMYFUNCTION("""COMPUTED_VALUE"""),"20210719TXCAC")</f>
        <v>20210719TXCAC</v>
      </c>
      <c r="B560" s="5" t="str">
        <f ca="1">IFERROR(__xludf.DUMMYFUNCTION("""COMPUTED_VALUE"""),"Minor Injuries")</f>
        <v>Minor Injuries</v>
      </c>
      <c r="C560" s="5" t="str">
        <f ca="1">IFERROR(__xludf.DUMMYFUNCTION("""COMPUTED_VALUE"""),"Male")</f>
        <v>Male</v>
      </c>
      <c r="D560" s="5" t="str">
        <f ca="1">IFERROR(__xludf.DUMMYFUNCTION("""COMPUTED_VALUE"""),"Student")</f>
        <v>Student</v>
      </c>
      <c r="E560" s="5">
        <f ca="1">IFERROR(__xludf.DUMMYFUNCTION("""COMPUTED_VALUE"""),17)</f>
        <v>17</v>
      </c>
      <c r="F560" s="5"/>
    </row>
    <row r="561" spans="1:6" ht="13">
      <c r="A561" s="5" t="str">
        <f ca="1">IFERROR(__xludf.DUMMYFUNCTION("""COMPUTED_VALUE"""),"20210708ILBEC")</f>
        <v>20210708ILBEC</v>
      </c>
      <c r="B561" s="5" t="str">
        <f ca="1">IFERROR(__xludf.DUMMYFUNCTION("""COMPUTED_VALUE"""),"Wounded")</f>
        <v>Wounded</v>
      </c>
      <c r="C561" s="5" t="str">
        <f ca="1">IFERROR(__xludf.DUMMYFUNCTION("""COMPUTED_VALUE"""),"Female")</f>
        <v>Female</v>
      </c>
      <c r="D561" s="5" t="str">
        <f ca="1">IFERROR(__xludf.DUMMYFUNCTION("""COMPUTED_VALUE"""),"No Relation")</f>
        <v>No Relation</v>
      </c>
      <c r="E561" s="5">
        <f ca="1">IFERROR(__xludf.DUMMYFUNCTION("""COMPUTED_VALUE"""),34)</f>
        <v>34</v>
      </c>
      <c r="F561" s="5"/>
    </row>
    <row r="562" spans="1:6" ht="13">
      <c r="A562" s="5" t="str">
        <f ca="1">IFERROR(__xludf.DUMMYFUNCTION("""COMPUTED_VALUE"""),"20210708ILBEC")</f>
        <v>20210708ILBEC</v>
      </c>
      <c r="B562" s="5" t="str">
        <f ca="1">IFERROR(__xludf.DUMMYFUNCTION("""COMPUTED_VALUE"""),"Wounded")</f>
        <v>Wounded</v>
      </c>
      <c r="C562" s="5" t="str">
        <f ca="1">IFERROR(__xludf.DUMMYFUNCTION("""COMPUTED_VALUE"""),"Male")</f>
        <v>Male</v>
      </c>
      <c r="D562" s="5" t="str">
        <f ca="1">IFERROR(__xludf.DUMMYFUNCTION("""COMPUTED_VALUE"""),"Student")</f>
        <v>Student</v>
      </c>
      <c r="E562" s="5">
        <f ca="1">IFERROR(__xludf.DUMMYFUNCTION("""COMPUTED_VALUE"""),16)</f>
        <v>16</v>
      </c>
      <c r="F562" s="5"/>
    </row>
    <row r="563" spans="1:6" ht="13">
      <c r="A563" s="5" t="str">
        <f ca="1">IFERROR(__xludf.DUMMYFUNCTION("""COMPUTED_VALUE"""),"20210704NYDRR")</f>
        <v>20210704NYDRR</v>
      </c>
      <c r="B563" s="5" t="str">
        <f ca="1">IFERROR(__xludf.DUMMYFUNCTION("""COMPUTED_VALUE"""),"Fatal")</f>
        <v>Fatal</v>
      </c>
      <c r="C563" s="5" t="str">
        <f ca="1">IFERROR(__xludf.DUMMYFUNCTION("""COMPUTED_VALUE"""),"Male")</f>
        <v>Male</v>
      </c>
      <c r="D563" s="5"/>
      <c r="E563" s="5">
        <f ca="1">IFERROR(__xludf.DUMMYFUNCTION("""COMPUTED_VALUE"""),16)</f>
        <v>16</v>
      </c>
      <c r="F563" s="5"/>
    </row>
    <row r="564" spans="1:6" ht="13">
      <c r="A564" s="5" t="str">
        <f ca="1">IFERROR(__xludf.DUMMYFUNCTION("""COMPUTED_VALUE"""),"20210628CASLF")</f>
        <v>20210628CASLF</v>
      </c>
      <c r="B564" s="5" t="str">
        <f ca="1">IFERROR(__xludf.DUMMYFUNCTION("""COMPUTED_VALUE"""),"Wounded")</f>
        <v>Wounded</v>
      </c>
      <c r="C564" s="5" t="str">
        <f ca="1">IFERROR(__xludf.DUMMYFUNCTION("""COMPUTED_VALUE"""),"Male")</f>
        <v>Male</v>
      </c>
      <c r="D564" s="5" t="str">
        <f ca="1">IFERROR(__xludf.DUMMYFUNCTION("""COMPUTED_VALUE"""),"No Relation")</f>
        <v>No Relation</v>
      </c>
      <c r="E564" s="5" t="str">
        <f ca="1">IFERROR(__xludf.DUMMYFUNCTION("""COMPUTED_VALUE"""),"Adult")</f>
        <v>Adult</v>
      </c>
      <c r="F564" s="5"/>
    </row>
    <row r="565" spans="1:6" ht="13">
      <c r="A565" s="5" t="str">
        <f ca="1">IFERROR(__xludf.DUMMYFUNCTION("""COMPUTED_VALUE"""),"20210624ILABR")</f>
        <v>20210624ILABR</v>
      </c>
      <c r="B565" s="5" t="str">
        <f ca="1">IFERROR(__xludf.DUMMYFUNCTION("""COMPUTED_VALUE"""),"Wounded")</f>
        <v>Wounded</v>
      </c>
      <c r="C565" s="5" t="str">
        <f ca="1">IFERROR(__xludf.DUMMYFUNCTION("""COMPUTED_VALUE"""),"Male")</f>
        <v>Male</v>
      </c>
      <c r="D565" s="5" t="str">
        <f ca="1">IFERROR(__xludf.DUMMYFUNCTION("""COMPUTED_VALUE"""),"No Relation")</f>
        <v>No Relation</v>
      </c>
      <c r="E565" s="5" t="str">
        <f ca="1">IFERROR(__xludf.DUMMYFUNCTION("""COMPUTED_VALUE"""),"Adult")</f>
        <v>Adult</v>
      </c>
      <c r="F565" s="5"/>
    </row>
    <row r="566" spans="1:6" ht="13">
      <c r="A566" s="5" t="str">
        <f ca="1">IFERROR(__xludf.DUMMYFUNCTION("""COMPUTED_VALUE"""),"20210620CAGRM")</f>
        <v>20210620CAGRM</v>
      </c>
      <c r="B566" s="5" t="str">
        <f ca="1">IFERROR(__xludf.DUMMYFUNCTION("""COMPUTED_VALUE"""),"Wounded")</f>
        <v>Wounded</v>
      </c>
      <c r="C566" s="5" t="str">
        <f ca="1">IFERROR(__xludf.DUMMYFUNCTION("""COMPUTED_VALUE"""),"Male")</f>
        <v>Male</v>
      </c>
      <c r="D566" s="5" t="str">
        <f ca="1">IFERROR(__xludf.DUMMYFUNCTION("""COMPUTED_VALUE"""),"No Relation")</f>
        <v>No Relation</v>
      </c>
      <c r="E566" s="5" t="str">
        <f ca="1">IFERROR(__xludf.DUMMYFUNCTION("""COMPUTED_VALUE"""),"Adult")</f>
        <v>Adult</v>
      </c>
      <c r="F566" s="5"/>
    </row>
    <row r="567" spans="1:6" ht="13">
      <c r="A567" s="5" t="str">
        <f ca="1">IFERROR(__xludf.DUMMYFUNCTION("""COMPUTED_VALUE"""),"20210614TXEAF")</f>
        <v>20210614TXEAF</v>
      </c>
      <c r="B567" s="5" t="str">
        <f ca="1">IFERROR(__xludf.DUMMYFUNCTION("""COMPUTED_VALUE"""),"Wounded")</f>
        <v>Wounded</v>
      </c>
      <c r="C567" s="5" t="str">
        <f ca="1">IFERROR(__xludf.DUMMYFUNCTION("""COMPUTED_VALUE"""),"Male")</f>
        <v>Male</v>
      </c>
      <c r="D567" s="5"/>
      <c r="E567" s="5" t="str">
        <f ca="1">IFERROR(__xludf.DUMMYFUNCTION("""COMPUTED_VALUE"""),"Adult")</f>
        <v>Adult</v>
      </c>
      <c r="F567" s="5"/>
    </row>
    <row r="568" spans="1:6" ht="13">
      <c r="A568" s="5" t="str">
        <f ca="1">IFERROR(__xludf.DUMMYFUNCTION("""COMPUTED_VALUE"""),"20210613PAWIP")</f>
        <v>20210613PAWIP</v>
      </c>
      <c r="B568" s="5" t="str">
        <f ca="1">IFERROR(__xludf.DUMMYFUNCTION("""COMPUTED_VALUE"""),"Fatal")</f>
        <v>Fatal</v>
      </c>
      <c r="C568" s="5" t="str">
        <f ca="1">IFERROR(__xludf.DUMMYFUNCTION("""COMPUTED_VALUE"""),"Male")</f>
        <v>Male</v>
      </c>
      <c r="D568" s="5" t="str">
        <f ca="1">IFERROR(__xludf.DUMMYFUNCTION("""COMPUTED_VALUE"""),"Nonstudent Using Athletic Facilities/Attending Game")</f>
        <v>Nonstudent Using Athletic Facilities/Attending Game</v>
      </c>
      <c r="E568" s="5" t="str">
        <f ca="1">IFERROR(__xludf.DUMMYFUNCTION("""COMPUTED_VALUE"""),"Adult")</f>
        <v>Adult</v>
      </c>
      <c r="F568" s="5"/>
    </row>
    <row r="569" spans="1:6" ht="13">
      <c r="A569" s="5" t="str">
        <f ca="1">IFERROR(__xludf.DUMMYFUNCTION("""COMPUTED_VALUE"""),"20210612MOMCF")</f>
        <v>20210612MOMCF</v>
      </c>
      <c r="B569" s="5" t="str">
        <f ca="1">IFERROR(__xludf.DUMMYFUNCTION("""COMPUTED_VALUE"""),"Fatal")</f>
        <v>Fatal</v>
      </c>
      <c r="C569" s="5" t="str">
        <f ca="1">IFERROR(__xludf.DUMMYFUNCTION("""COMPUTED_VALUE"""),"Male")</f>
        <v>Male</v>
      </c>
      <c r="D569" s="5" t="str">
        <f ca="1">IFERROR(__xludf.DUMMYFUNCTION("""COMPUTED_VALUE"""),"Student")</f>
        <v>Student</v>
      </c>
      <c r="E569" s="5">
        <f ca="1">IFERROR(__xludf.DUMMYFUNCTION("""COMPUTED_VALUE"""),18)</f>
        <v>18</v>
      </c>
      <c r="F569" s="5" t="str">
        <f ca="1">IFERROR(__xludf.DUMMYFUNCTION("""COMPUTED_VALUE"""),"Black")</f>
        <v>Black</v>
      </c>
    </row>
    <row r="570" spans="1:6" ht="13">
      <c r="A570" s="5" t="str">
        <f ca="1">IFERROR(__xludf.DUMMYFUNCTION("""COMPUTED_VALUE"""),"20210609VAWIR")</f>
        <v>20210609VAWIR</v>
      </c>
      <c r="B570" s="5" t="str">
        <f ca="1">IFERROR(__xludf.DUMMYFUNCTION("""COMPUTED_VALUE"""),"Wounded")</f>
        <v>Wounded</v>
      </c>
      <c r="C570" s="5" t="str">
        <f ca="1">IFERROR(__xludf.DUMMYFUNCTION("""COMPUTED_VALUE"""),"Male")</f>
        <v>Male</v>
      </c>
      <c r="D570" s="5" t="str">
        <f ca="1">IFERROR(__xludf.DUMMYFUNCTION("""COMPUTED_VALUE"""),"Student")</f>
        <v>Student</v>
      </c>
      <c r="E570" s="5" t="str">
        <f ca="1">IFERROR(__xludf.DUMMYFUNCTION("""COMPUTED_VALUE"""),"Teen")</f>
        <v>Teen</v>
      </c>
      <c r="F570" s="5"/>
    </row>
    <row r="571" spans="1:6" ht="13">
      <c r="A571" s="5" t="str">
        <f ca="1">IFERROR(__xludf.DUMMYFUNCTION("""COMPUTED_VALUE"""),"20210609TXNOH")</f>
        <v>20210609TXNOH</v>
      </c>
      <c r="B571" s="5" t="str">
        <f ca="1">IFERROR(__xludf.DUMMYFUNCTION("""COMPUTED_VALUE"""),"Wounded")</f>
        <v>Wounded</v>
      </c>
      <c r="C571" s="5" t="str">
        <f ca="1">IFERROR(__xludf.DUMMYFUNCTION("""COMPUTED_VALUE"""),"Male")</f>
        <v>Male</v>
      </c>
      <c r="D571" s="5" t="str">
        <f ca="1">IFERROR(__xludf.DUMMYFUNCTION("""COMPUTED_VALUE"""),"Student")</f>
        <v>Student</v>
      </c>
      <c r="E571" s="5">
        <f ca="1">IFERROR(__xludf.DUMMYFUNCTION("""COMPUTED_VALUE"""),18)</f>
        <v>18</v>
      </c>
      <c r="F571" s="5" t="str">
        <f ca="1">IFERROR(__xludf.DUMMYFUNCTION("""COMPUTED_VALUE"""),"Black")</f>
        <v>Black</v>
      </c>
    </row>
    <row r="572" spans="1:6" ht="13">
      <c r="A572" s="5" t="str">
        <f ca="1">IFERROR(__xludf.DUMMYFUNCTION("""COMPUTED_VALUE"""),"20210608KSHAK")</f>
        <v>20210608KSHAK</v>
      </c>
      <c r="B572" s="5" t="str">
        <f ca="1">IFERROR(__xludf.DUMMYFUNCTION("""COMPUTED_VALUE"""),"Fatal")</f>
        <v>Fatal</v>
      </c>
      <c r="C572" s="5" t="str">
        <f ca="1">IFERROR(__xludf.DUMMYFUNCTION("""COMPUTED_VALUE"""),"Male")</f>
        <v>Male</v>
      </c>
      <c r="D572" s="5" t="str">
        <f ca="1">IFERROR(__xludf.DUMMYFUNCTION("""COMPUTED_VALUE"""),"No Relation")</f>
        <v>No Relation</v>
      </c>
      <c r="E572" s="5">
        <f ca="1">IFERROR(__xludf.DUMMYFUNCTION("""COMPUTED_VALUE"""),15)</f>
        <v>15</v>
      </c>
      <c r="F572" s="5"/>
    </row>
    <row r="573" spans="1:6" ht="13">
      <c r="A573" s="5" t="str">
        <f ca="1">IFERROR(__xludf.DUMMYFUNCTION("""COMPUTED_VALUE"""),"20210607TXEAF")</f>
        <v>20210607TXEAF</v>
      </c>
      <c r="B573" s="5" t="str">
        <f ca="1">IFERROR(__xludf.DUMMYFUNCTION("""COMPUTED_VALUE"""),"Fatal")</f>
        <v>Fatal</v>
      </c>
      <c r="C573" s="5" t="str">
        <f ca="1">IFERROR(__xludf.DUMMYFUNCTION("""COMPUTED_VALUE"""),"Male")</f>
        <v>Male</v>
      </c>
      <c r="D573" s="5" t="str">
        <f ca="1">IFERROR(__xludf.DUMMYFUNCTION("""COMPUTED_VALUE"""),"Student")</f>
        <v>Student</v>
      </c>
      <c r="E573" s="5">
        <f ca="1">IFERROR(__xludf.DUMMYFUNCTION("""COMPUTED_VALUE"""),17)</f>
        <v>17</v>
      </c>
      <c r="F573" s="5"/>
    </row>
    <row r="574" spans="1:6" ht="13">
      <c r="A574" s="5" t="str">
        <f ca="1">IFERROR(__xludf.DUMMYFUNCTION("""COMPUTED_VALUE"""),"20210601ILLIC")</f>
        <v>20210601ILLIC</v>
      </c>
      <c r="B574" s="5" t="str">
        <f ca="1">IFERROR(__xludf.DUMMYFUNCTION("""COMPUTED_VALUE"""),"Wounded")</f>
        <v>Wounded</v>
      </c>
      <c r="C574" s="5" t="str">
        <f ca="1">IFERROR(__xludf.DUMMYFUNCTION("""COMPUTED_VALUE"""),"Male")</f>
        <v>Male</v>
      </c>
      <c r="D574" s="5"/>
      <c r="E574" s="5">
        <f ca="1">IFERROR(__xludf.DUMMYFUNCTION("""COMPUTED_VALUE"""),17)</f>
        <v>17</v>
      </c>
      <c r="F574" s="5"/>
    </row>
    <row r="575" spans="1:6" ht="13">
      <c r="A575" s="5" t="str">
        <f ca="1">IFERROR(__xludf.DUMMYFUNCTION("""COMPUTED_VALUE"""),"20210517TXBRE")</f>
        <v>20210517TXBRE</v>
      </c>
      <c r="B575" s="5" t="str">
        <f ca="1">IFERROR(__xludf.DUMMYFUNCTION("""COMPUTED_VALUE"""),"Minor Injuries")</f>
        <v>Minor Injuries</v>
      </c>
      <c r="C575" s="5" t="str">
        <f ca="1">IFERROR(__xludf.DUMMYFUNCTION("""COMPUTED_VALUE"""),"Female")</f>
        <v>Female</v>
      </c>
      <c r="D575" s="5" t="str">
        <f ca="1">IFERROR(__xludf.DUMMYFUNCTION("""COMPUTED_VALUE"""),"Student")</f>
        <v>Student</v>
      </c>
      <c r="E575" s="5">
        <f ca="1">IFERROR(__xludf.DUMMYFUNCTION("""COMPUTED_VALUE"""),13)</f>
        <v>13</v>
      </c>
      <c r="F575" s="5"/>
    </row>
    <row r="576" spans="1:6" ht="13">
      <c r="A576" s="5" t="str">
        <f ca="1">IFERROR(__xludf.DUMMYFUNCTION("""COMPUTED_VALUE"""),"20210517TXBRE")</f>
        <v>20210517TXBRE</v>
      </c>
      <c r="B576" s="5" t="str">
        <f ca="1">IFERROR(__xludf.DUMMYFUNCTION("""COMPUTED_VALUE"""),"Minor Injuries")</f>
        <v>Minor Injuries</v>
      </c>
      <c r="C576" s="5" t="str">
        <f ca="1">IFERROR(__xludf.DUMMYFUNCTION("""COMPUTED_VALUE"""),"Male")</f>
        <v>Male</v>
      </c>
      <c r="D576" s="5" t="str">
        <f ca="1">IFERROR(__xludf.DUMMYFUNCTION("""COMPUTED_VALUE"""),"Student")</f>
        <v>Student</v>
      </c>
      <c r="E576" s="5" t="str">
        <f ca="1">IFERROR(__xludf.DUMMYFUNCTION("""COMPUTED_VALUE"""),"Teen")</f>
        <v>Teen</v>
      </c>
      <c r="F576" s="5"/>
    </row>
    <row r="577" spans="1:6" ht="13">
      <c r="A577" s="5" t="str">
        <f ca="1">IFERROR(__xludf.DUMMYFUNCTION("""COMPUTED_VALUE"""),"20210517TNAUM")</f>
        <v>20210517TNAUM</v>
      </c>
      <c r="B577" s="5" t="str">
        <f ca="1">IFERROR(__xludf.DUMMYFUNCTION("""COMPUTED_VALUE"""),"Wounded")</f>
        <v>Wounded</v>
      </c>
      <c r="C577" s="5" t="str">
        <f ca="1">IFERROR(__xludf.DUMMYFUNCTION("""COMPUTED_VALUE"""),"Male")</f>
        <v>Male</v>
      </c>
      <c r="D577" s="5" t="str">
        <f ca="1">IFERROR(__xludf.DUMMYFUNCTION("""COMPUTED_VALUE"""),"No Relation")</f>
        <v>No Relation</v>
      </c>
      <c r="E577" s="5" t="str">
        <f ca="1">IFERROR(__xludf.DUMMYFUNCTION("""COMPUTED_VALUE"""),"Adult")</f>
        <v>Adult</v>
      </c>
      <c r="F577" s="5"/>
    </row>
    <row r="578" spans="1:6" ht="13">
      <c r="A578" s="5" t="str">
        <f ca="1">IFERROR(__xludf.DUMMYFUNCTION("""COMPUTED_VALUE"""),"20210514CASAS")</f>
        <v>20210514CASAS</v>
      </c>
      <c r="B578" s="5" t="str">
        <f ca="1">IFERROR(__xludf.DUMMYFUNCTION("""COMPUTED_VALUE"""),"Fatal")</f>
        <v>Fatal</v>
      </c>
      <c r="C578" s="5" t="str">
        <f ca="1">IFERROR(__xludf.DUMMYFUNCTION("""COMPUTED_VALUE"""),"Male")</f>
        <v>Male</v>
      </c>
      <c r="D578" s="5" t="str">
        <f ca="1">IFERROR(__xludf.DUMMYFUNCTION("""COMPUTED_VALUE"""),"No Relation")</f>
        <v>No Relation</v>
      </c>
      <c r="E578" s="5">
        <f ca="1">IFERROR(__xludf.DUMMYFUNCTION("""COMPUTED_VALUE"""),19)</f>
        <v>19</v>
      </c>
      <c r="F578" s="5" t="str">
        <f ca="1">IFERROR(__xludf.DUMMYFUNCTION("""COMPUTED_VALUE"""),"Asian")</f>
        <v>Asian</v>
      </c>
    </row>
    <row r="579" spans="1:6" ht="13">
      <c r="A579" s="5" t="str">
        <f ca="1">IFERROR(__xludf.DUMMYFUNCTION("""COMPUTED_VALUE"""),"20210511NYPSB")</f>
        <v>20210511NYPSB</v>
      </c>
      <c r="B579" s="5" t="str">
        <f ca="1">IFERROR(__xludf.DUMMYFUNCTION("""COMPUTED_VALUE"""),"Wounded")</f>
        <v>Wounded</v>
      </c>
      <c r="C579" s="5" t="str">
        <f ca="1">IFERROR(__xludf.DUMMYFUNCTION("""COMPUTED_VALUE"""),"Male")</f>
        <v>Male</v>
      </c>
      <c r="D579" s="5" t="str">
        <f ca="1">IFERROR(__xludf.DUMMYFUNCTION("""COMPUTED_VALUE"""),"No Relation")</f>
        <v>No Relation</v>
      </c>
      <c r="E579" s="5">
        <f ca="1">IFERROR(__xludf.DUMMYFUNCTION("""COMPUTED_VALUE"""),16)</f>
        <v>16</v>
      </c>
      <c r="F579" s="5"/>
    </row>
    <row r="580" spans="1:6" ht="13">
      <c r="A580" s="5" t="str">
        <f ca="1">IFERROR(__xludf.DUMMYFUNCTION("""COMPUTED_VALUE"""),"20210506SCFOC")</f>
        <v>20210506SCFOC</v>
      </c>
      <c r="B580" s="5" t="str">
        <f ca="1">IFERROR(__xludf.DUMMYFUNCTION("""COMPUTED_VALUE"""),"None")</f>
        <v>None</v>
      </c>
      <c r="C580" s="5" t="str">
        <f ca="1">IFERROR(__xludf.DUMMYFUNCTION("""COMPUTED_VALUE"""),"Male")</f>
        <v>Male</v>
      </c>
      <c r="D580" s="5" t="str">
        <f ca="1">IFERROR(__xludf.DUMMYFUNCTION("""COMPUTED_VALUE"""),"Bus Driver")</f>
        <v>Bus Driver</v>
      </c>
      <c r="E580" s="5" t="str">
        <f ca="1">IFERROR(__xludf.DUMMYFUNCTION("""COMPUTED_VALUE"""),"Adult")</f>
        <v>Adult</v>
      </c>
      <c r="F580" s="5"/>
    </row>
    <row r="581" spans="1:6" ht="13">
      <c r="A581" s="5" t="str">
        <f ca="1">IFERROR(__xludf.DUMMYFUNCTION("""COMPUTED_VALUE"""),"20210506IDRIR")</f>
        <v>20210506IDRIR</v>
      </c>
      <c r="B581" s="5" t="str">
        <f ca="1">IFERROR(__xludf.DUMMYFUNCTION("""COMPUTED_VALUE"""),"Wounded")</f>
        <v>Wounded</v>
      </c>
      <c r="C581" s="5" t="str">
        <f ca="1">IFERROR(__xludf.DUMMYFUNCTION("""COMPUTED_VALUE"""),"Male")</f>
        <v>Male</v>
      </c>
      <c r="D581" s="5" t="str">
        <f ca="1">IFERROR(__xludf.DUMMYFUNCTION("""COMPUTED_VALUE"""),"Student")</f>
        <v>Student</v>
      </c>
      <c r="E581" s="5" t="str">
        <f ca="1">IFERROR(__xludf.DUMMYFUNCTION("""COMPUTED_VALUE"""),"Teen")</f>
        <v>Teen</v>
      </c>
      <c r="F581" s="5"/>
    </row>
    <row r="582" spans="1:6" ht="13">
      <c r="A582" s="5" t="str">
        <f ca="1">IFERROR(__xludf.DUMMYFUNCTION("""COMPUTED_VALUE"""),"20210506IDRIR")</f>
        <v>20210506IDRIR</v>
      </c>
      <c r="B582" s="5" t="str">
        <f ca="1">IFERROR(__xludf.DUMMYFUNCTION("""COMPUTED_VALUE"""),"Wounded")</f>
        <v>Wounded</v>
      </c>
      <c r="C582" s="5" t="str">
        <f ca="1">IFERROR(__xludf.DUMMYFUNCTION("""COMPUTED_VALUE"""),"Female")</f>
        <v>Female</v>
      </c>
      <c r="D582" s="5" t="str">
        <f ca="1">IFERROR(__xludf.DUMMYFUNCTION("""COMPUTED_VALUE"""),"Student")</f>
        <v>Student</v>
      </c>
      <c r="E582" s="5">
        <f ca="1">IFERROR(__xludf.DUMMYFUNCTION("""COMPUTED_VALUE"""),11)</f>
        <v>11</v>
      </c>
      <c r="F582" s="5"/>
    </row>
    <row r="583" spans="1:6" ht="13">
      <c r="A583" s="5" t="str">
        <f ca="1">IFERROR(__xludf.DUMMYFUNCTION("""COMPUTED_VALUE"""),"20210506IDRIR")</f>
        <v>20210506IDRIR</v>
      </c>
      <c r="B583" s="5" t="str">
        <f ca="1">IFERROR(__xludf.DUMMYFUNCTION("""COMPUTED_VALUE"""),"Wounded")</f>
        <v>Wounded</v>
      </c>
      <c r="C583" s="5" t="str">
        <f ca="1">IFERROR(__xludf.DUMMYFUNCTION("""COMPUTED_VALUE"""),"Male")</f>
        <v>Male</v>
      </c>
      <c r="D583" s="5" t="str">
        <f ca="1">IFERROR(__xludf.DUMMYFUNCTION("""COMPUTED_VALUE"""),"Other Staff")</f>
        <v>Other Staff</v>
      </c>
      <c r="E583" s="5" t="str">
        <f ca="1">IFERROR(__xludf.DUMMYFUNCTION("""COMPUTED_VALUE"""),"Adult")</f>
        <v>Adult</v>
      </c>
      <c r="F583" s="5"/>
    </row>
    <row r="584" spans="1:6" ht="13">
      <c r="A584" s="5" t="str">
        <f ca="1">IFERROR(__xludf.DUMMYFUNCTION("""COMPUTED_VALUE"""),"20210505MICRC")</f>
        <v>20210505MICRC</v>
      </c>
      <c r="B584" s="5" t="str">
        <f ca="1">IFERROR(__xludf.DUMMYFUNCTION("""COMPUTED_VALUE"""),"Wounded")</f>
        <v>Wounded</v>
      </c>
      <c r="C584" s="5" t="str">
        <f ca="1">IFERROR(__xludf.DUMMYFUNCTION("""COMPUTED_VALUE"""),"Male")</f>
        <v>Male</v>
      </c>
      <c r="D584" s="5" t="str">
        <f ca="1">IFERROR(__xludf.DUMMYFUNCTION("""COMPUTED_VALUE"""),"No Relation")</f>
        <v>No Relation</v>
      </c>
      <c r="E584" s="5" t="str">
        <f ca="1">IFERROR(__xludf.DUMMYFUNCTION("""COMPUTED_VALUE"""),"Adult")</f>
        <v>Adult</v>
      </c>
      <c r="F584" s="5"/>
    </row>
    <row r="585" spans="1:6" ht="13">
      <c r="A585" s="5" t="str">
        <f ca="1">IFERROR(__xludf.DUMMYFUNCTION("""COMPUTED_VALUE"""),"20210502ILCHC")</f>
        <v>20210502ILCHC</v>
      </c>
      <c r="B585" s="5" t="str">
        <f ca="1">IFERROR(__xludf.DUMMYFUNCTION("""COMPUTED_VALUE"""),"Wounded")</f>
        <v>Wounded</v>
      </c>
      <c r="C585" s="5" t="str">
        <f ca="1">IFERROR(__xludf.DUMMYFUNCTION("""COMPUTED_VALUE"""),"Female")</f>
        <v>Female</v>
      </c>
      <c r="D585" s="5" t="str">
        <f ca="1">IFERROR(__xludf.DUMMYFUNCTION("""COMPUTED_VALUE"""),"No Relation")</f>
        <v>No Relation</v>
      </c>
      <c r="E585" s="5">
        <f ca="1">IFERROR(__xludf.DUMMYFUNCTION("""COMPUTED_VALUE"""),21)</f>
        <v>21</v>
      </c>
      <c r="F585" s="5"/>
    </row>
    <row r="586" spans="1:6" ht="13">
      <c r="A586" s="5" t="str">
        <f ca="1">IFERROR(__xludf.DUMMYFUNCTION("""COMPUTED_VALUE"""),"20210502ILCHC")</f>
        <v>20210502ILCHC</v>
      </c>
      <c r="B586" s="5" t="str">
        <f ca="1">IFERROR(__xludf.DUMMYFUNCTION("""COMPUTED_VALUE"""),"Wounded")</f>
        <v>Wounded</v>
      </c>
      <c r="C586" s="5" t="str">
        <f ca="1">IFERROR(__xludf.DUMMYFUNCTION("""COMPUTED_VALUE"""),"Male")</f>
        <v>Male</v>
      </c>
      <c r="D586" s="5" t="str">
        <f ca="1">IFERROR(__xludf.DUMMYFUNCTION("""COMPUTED_VALUE"""),"No Relation")</f>
        <v>No Relation</v>
      </c>
      <c r="E586" s="5">
        <f ca="1">IFERROR(__xludf.DUMMYFUNCTION("""COMPUTED_VALUE"""),29)</f>
        <v>29</v>
      </c>
      <c r="F586" s="5"/>
    </row>
    <row r="587" spans="1:6" ht="13">
      <c r="A587" s="5" t="str">
        <f ca="1">IFERROR(__xludf.DUMMYFUNCTION("""COMPUTED_VALUE"""),"20210502ILCHC")</f>
        <v>20210502ILCHC</v>
      </c>
      <c r="B587" s="5" t="str">
        <f ca="1">IFERROR(__xludf.DUMMYFUNCTION("""COMPUTED_VALUE"""),"Wounded")</f>
        <v>Wounded</v>
      </c>
      <c r="C587" s="5" t="str">
        <f ca="1">IFERROR(__xludf.DUMMYFUNCTION("""COMPUTED_VALUE"""),"Male")</f>
        <v>Male</v>
      </c>
      <c r="D587" s="5" t="str">
        <f ca="1">IFERROR(__xludf.DUMMYFUNCTION("""COMPUTED_VALUE"""),"No Relation")</f>
        <v>No Relation</v>
      </c>
      <c r="E587" s="5">
        <f ca="1">IFERROR(__xludf.DUMMYFUNCTION("""COMPUTED_VALUE"""),20)</f>
        <v>20</v>
      </c>
      <c r="F587" s="5"/>
    </row>
    <row r="588" spans="1:6" ht="13">
      <c r="A588" s="5" t="str">
        <f ca="1">IFERROR(__xludf.DUMMYFUNCTION("""COMPUTED_VALUE"""),"20210502ILCHC")</f>
        <v>20210502ILCHC</v>
      </c>
      <c r="B588" s="5" t="str">
        <f ca="1">IFERROR(__xludf.DUMMYFUNCTION("""COMPUTED_VALUE"""),"Wounded")</f>
        <v>Wounded</v>
      </c>
      <c r="C588" s="5" t="str">
        <f ca="1">IFERROR(__xludf.DUMMYFUNCTION("""COMPUTED_VALUE"""),"Female")</f>
        <v>Female</v>
      </c>
      <c r="D588" s="5" t="str">
        <f ca="1">IFERROR(__xludf.DUMMYFUNCTION("""COMPUTED_VALUE"""),"No Relation")</f>
        <v>No Relation</v>
      </c>
      <c r="E588" s="5">
        <f ca="1">IFERROR(__xludf.DUMMYFUNCTION("""COMPUTED_VALUE"""),32)</f>
        <v>32</v>
      </c>
      <c r="F588" s="5"/>
    </row>
    <row r="589" spans="1:6" ht="13">
      <c r="A589" s="5" t="str">
        <f ca="1">IFERROR(__xludf.DUMMYFUNCTION("""COMPUTED_VALUE"""),"20210502ILCHC")</f>
        <v>20210502ILCHC</v>
      </c>
      <c r="B589" s="5" t="str">
        <f ca="1">IFERROR(__xludf.DUMMYFUNCTION("""COMPUTED_VALUE"""),"Wounded")</f>
        <v>Wounded</v>
      </c>
      <c r="C589" s="5" t="str">
        <f ca="1">IFERROR(__xludf.DUMMYFUNCTION("""COMPUTED_VALUE"""),"Female")</f>
        <v>Female</v>
      </c>
      <c r="D589" s="5" t="str">
        <f ca="1">IFERROR(__xludf.DUMMYFUNCTION("""COMPUTED_VALUE"""),"No Relation")</f>
        <v>No Relation</v>
      </c>
      <c r="E589" s="5">
        <f ca="1">IFERROR(__xludf.DUMMYFUNCTION("""COMPUTED_VALUE"""),26)</f>
        <v>26</v>
      </c>
      <c r="F589" s="5"/>
    </row>
    <row r="590" spans="1:6" ht="13">
      <c r="A590" s="5" t="str">
        <f ca="1">IFERROR(__xludf.DUMMYFUNCTION("""COMPUTED_VALUE"""),"20210501MNBES")</f>
        <v>20210501MNBES</v>
      </c>
      <c r="B590" s="5" t="str">
        <f ca="1">IFERROR(__xludf.DUMMYFUNCTION("""COMPUTED_VALUE"""),"None")</f>
        <v>None</v>
      </c>
      <c r="C590" s="5" t="str">
        <f ca="1">IFERROR(__xludf.DUMMYFUNCTION("""COMPUTED_VALUE"""),"Male")</f>
        <v>Male</v>
      </c>
      <c r="D590" s="5" t="str">
        <f ca="1">IFERROR(__xludf.DUMMYFUNCTION("""COMPUTED_VALUE"""),"No Relation")</f>
        <v>No Relation</v>
      </c>
      <c r="E590" s="5" t="str">
        <f ca="1">IFERROR(__xludf.DUMMYFUNCTION("""COMPUTED_VALUE"""),"Adult")</f>
        <v>Adult</v>
      </c>
      <c r="F590" s="5"/>
    </row>
    <row r="591" spans="1:6" ht="13">
      <c r="A591" s="5" t="str">
        <f ca="1">IFERROR(__xludf.DUMMYFUNCTION("""COMPUTED_VALUE"""),"20210501MNBES")</f>
        <v>20210501MNBES</v>
      </c>
      <c r="B591" s="5" t="str">
        <f ca="1">IFERROR(__xludf.DUMMYFUNCTION("""COMPUTED_VALUE"""),"None")</f>
        <v>None</v>
      </c>
      <c r="C591" s="5" t="str">
        <f ca="1">IFERROR(__xludf.DUMMYFUNCTION("""COMPUTED_VALUE"""),"Male")</f>
        <v>Male</v>
      </c>
      <c r="D591" s="5" t="str">
        <f ca="1">IFERROR(__xludf.DUMMYFUNCTION("""COMPUTED_VALUE"""),"No Relation")</f>
        <v>No Relation</v>
      </c>
      <c r="E591" s="5" t="str">
        <f ca="1">IFERROR(__xludf.DUMMYFUNCTION("""COMPUTED_VALUE"""),"Adult")</f>
        <v>Adult</v>
      </c>
      <c r="F591" s="5"/>
    </row>
    <row r="592" spans="1:6" ht="13">
      <c r="A592" s="5" t="str">
        <f ca="1">IFERROR(__xludf.DUMMYFUNCTION("""COMPUTED_VALUE"""),"20210430INMAI")</f>
        <v>20210430INMAI</v>
      </c>
      <c r="B592" s="5" t="str">
        <f ca="1">IFERROR(__xludf.DUMMYFUNCTION("""COMPUTED_VALUE"""),"Wounded")</f>
        <v>Wounded</v>
      </c>
      <c r="C592" s="5" t="str">
        <f ca="1">IFERROR(__xludf.DUMMYFUNCTION("""COMPUTED_VALUE"""),"Female")</f>
        <v>Female</v>
      </c>
      <c r="D592" s="5" t="str">
        <f ca="1">IFERROR(__xludf.DUMMYFUNCTION("""COMPUTED_VALUE"""),"Parent")</f>
        <v>Parent</v>
      </c>
      <c r="E592" s="5" t="str">
        <f ca="1">IFERROR(__xludf.DUMMYFUNCTION("""COMPUTED_VALUE"""),"Adult")</f>
        <v>Adult</v>
      </c>
      <c r="F592" s="5"/>
    </row>
    <row r="593" spans="1:6" ht="13">
      <c r="A593" s="5" t="str">
        <f ca="1">IFERROR(__xludf.DUMMYFUNCTION("""COMPUTED_VALUE"""),"20210429NYURB")</f>
        <v>20210429NYURB</v>
      </c>
      <c r="B593" s="5" t="str">
        <f ca="1">IFERROR(__xludf.DUMMYFUNCTION("""COMPUTED_VALUE"""),"Fatal")</f>
        <v>Fatal</v>
      </c>
      <c r="C593" s="5" t="str">
        <f ca="1">IFERROR(__xludf.DUMMYFUNCTION("""COMPUTED_VALUE"""),"Male")</f>
        <v>Male</v>
      </c>
      <c r="D593" s="5" t="str">
        <f ca="1">IFERROR(__xludf.DUMMYFUNCTION("""COMPUTED_VALUE"""),"Student")</f>
        <v>Student</v>
      </c>
      <c r="E593" s="5">
        <f ca="1">IFERROR(__xludf.DUMMYFUNCTION("""COMPUTED_VALUE"""),17)</f>
        <v>17</v>
      </c>
      <c r="F593" s="5"/>
    </row>
    <row r="594" spans="1:6" ht="13">
      <c r="A594" s="5" t="str">
        <f ca="1">IFERROR(__xludf.DUMMYFUNCTION("""COMPUTED_VALUE"""),"20210429CAVIV")</f>
        <v>20210429CAVIV</v>
      </c>
      <c r="B594" s="5" t="str">
        <f ca="1">IFERROR(__xludf.DUMMYFUNCTION("""COMPUTED_VALUE"""),"Wounded")</f>
        <v>Wounded</v>
      </c>
      <c r="C594" s="5" t="str">
        <f ca="1">IFERROR(__xludf.DUMMYFUNCTION("""COMPUTED_VALUE"""),"Male")</f>
        <v>Male</v>
      </c>
      <c r="D594" s="5" t="str">
        <f ca="1">IFERROR(__xludf.DUMMYFUNCTION("""COMPUTED_VALUE"""),"Student")</f>
        <v>Student</v>
      </c>
      <c r="E594" s="5">
        <f ca="1">IFERROR(__xludf.DUMMYFUNCTION("""COMPUTED_VALUE"""),16)</f>
        <v>16</v>
      </c>
      <c r="F594" s="5"/>
    </row>
    <row r="595" spans="1:6" ht="13">
      <c r="A595" s="5" t="str">
        <f ca="1">IFERROR(__xludf.DUMMYFUNCTION("""COMPUTED_VALUE"""),"20210427DESMS")</f>
        <v>20210427DESMS</v>
      </c>
      <c r="B595" s="5" t="str">
        <f ca="1">IFERROR(__xludf.DUMMYFUNCTION("""COMPUTED_VALUE"""),"Fatal")</f>
        <v>Fatal</v>
      </c>
      <c r="C595" s="5" t="str">
        <f ca="1">IFERROR(__xludf.DUMMYFUNCTION("""COMPUTED_VALUE"""),"Female")</f>
        <v>Female</v>
      </c>
      <c r="D595" s="5" t="str">
        <f ca="1">IFERROR(__xludf.DUMMYFUNCTION("""COMPUTED_VALUE"""),"Parent")</f>
        <v>Parent</v>
      </c>
      <c r="E595" s="5">
        <f ca="1">IFERROR(__xludf.DUMMYFUNCTION("""COMPUTED_VALUE"""),38)</f>
        <v>38</v>
      </c>
      <c r="F595" s="5"/>
    </row>
    <row r="596" spans="1:6" ht="13">
      <c r="A596" s="5" t="str">
        <f ca="1">IFERROR(__xludf.DUMMYFUNCTION("""COMPUTED_VALUE"""),"20210420TXHAH")</f>
        <v>20210420TXHAH</v>
      </c>
      <c r="B596" s="5" t="str">
        <f ca="1">IFERROR(__xludf.DUMMYFUNCTION("""COMPUTED_VALUE"""),"Fatal")</f>
        <v>Fatal</v>
      </c>
      <c r="C596" s="5" t="str">
        <f ca="1">IFERROR(__xludf.DUMMYFUNCTION("""COMPUTED_VALUE"""),"Male")</f>
        <v>Male</v>
      </c>
      <c r="D596" s="5" t="str">
        <f ca="1">IFERROR(__xludf.DUMMYFUNCTION("""COMPUTED_VALUE"""),"No Relation")</f>
        <v>No Relation</v>
      </c>
      <c r="E596" s="5">
        <f ca="1">IFERROR(__xludf.DUMMYFUNCTION("""COMPUTED_VALUE"""),19)</f>
        <v>19</v>
      </c>
      <c r="F596" s="5" t="str">
        <f ca="1">IFERROR(__xludf.DUMMYFUNCTION("""COMPUTED_VALUE"""),"Black")</f>
        <v>Black</v>
      </c>
    </row>
    <row r="597" spans="1:6" ht="13">
      <c r="A597" s="5" t="str">
        <f ca="1">IFERROR(__xludf.DUMMYFUNCTION("""COMPUTED_VALUE"""),"20210418OHWED")</f>
        <v>20210418OHWED</v>
      </c>
      <c r="B597" s="5" t="str">
        <f ca="1">IFERROR(__xludf.DUMMYFUNCTION("""COMPUTED_VALUE"""),"Fatal")</f>
        <v>Fatal</v>
      </c>
      <c r="C597" s="5" t="str">
        <f ca="1">IFERROR(__xludf.DUMMYFUNCTION("""COMPUTED_VALUE"""),"Male")</f>
        <v>Male</v>
      </c>
      <c r="D597" s="5" t="str">
        <f ca="1">IFERROR(__xludf.DUMMYFUNCTION("""COMPUTED_VALUE"""),"No Relation")</f>
        <v>No Relation</v>
      </c>
      <c r="E597" s="5">
        <f ca="1">IFERROR(__xludf.DUMMYFUNCTION("""COMPUTED_VALUE"""),16)</f>
        <v>16</v>
      </c>
      <c r="F597" s="5"/>
    </row>
    <row r="598" spans="1:6" ht="13">
      <c r="A598" s="5" t="str">
        <f ca="1">IFERROR(__xludf.DUMMYFUNCTION("""COMPUTED_VALUE"""),"20210418OHWED")</f>
        <v>20210418OHWED</v>
      </c>
      <c r="B598" s="5" t="str">
        <f ca="1">IFERROR(__xludf.DUMMYFUNCTION("""COMPUTED_VALUE"""),"Wounded")</f>
        <v>Wounded</v>
      </c>
      <c r="C598" s="5" t="str">
        <f ca="1">IFERROR(__xludf.DUMMYFUNCTION("""COMPUTED_VALUE"""),"Male")</f>
        <v>Male</v>
      </c>
      <c r="D598" s="5" t="str">
        <f ca="1">IFERROR(__xludf.DUMMYFUNCTION("""COMPUTED_VALUE"""),"No Relation")</f>
        <v>No Relation</v>
      </c>
      <c r="E598" s="5" t="str">
        <f ca="1">IFERROR(__xludf.DUMMYFUNCTION("""COMPUTED_VALUE"""),"Teen")</f>
        <v>Teen</v>
      </c>
      <c r="F598" s="5"/>
    </row>
    <row r="599" spans="1:6" ht="13">
      <c r="A599" s="5" t="str">
        <f ca="1">IFERROR(__xludf.DUMMYFUNCTION("""COMPUTED_VALUE"""),"20210413TNMAC")</f>
        <v>20210413TNMAC</v>
      </c>
      <c r="B599" s="5" t="str">
        <f ca="1">IFERROR(__xludf.DUMMYFUNCTION("""COMPUTED_VALUE"""),"None")</f>
        <v>None</v>
      </c>
      <c r="C599" s="5"/>
      <c r="D599" s="5" t="str">
        <f ca="1">IFERROR(__xludf.DUMMYFUNCTION("""COMPUTED_VALUE"""),"Bus Driver")</f>
        <v>Bus Driver</v>
      </c>
      <c r="E599" s="5" t="str">
        <f ca="1">IFERROR(__xludf.DUMMYFUNCTION("""COMPUTED_VALUE"""),"Adult")</f>
        <v>Adult</v>
      </c>
      <c r="F599" s="5"/>
    </row>
    <row r="600" spans="1:6" ht="13">
      <c r="A600" s="5" t="str">
        <f ca="1">IFERROR(__xludf.DUMMYFUNCTION("""COMPUTED_VALUE"""),"20210412TNAUK")</f>
        <v>20210412TNAUK</v>
      </c>
      <c r="B600" s="5" t="str">
        <f ca="1">IFERROR(__xludf.DUMMYFUNCTION("""COMPUTED_VALUE"""),"Wounded")</f>
        <v>Wounded</v>
      </c>
      <c r="C600" s="5" t="str">
        <f ca="1">IFERROR(__xludf.DUMMYFUNCTION("""COMPUTED_VALUE"""),"Male")</f>
        <v>Male</v>
      </c>
      <c r="D600" s="5" t="str">
        <f ca="1">IFERROR(__xludf.DUMMYFUNCTION("""COMPUTED_VALUE"""),"Police Officer/SRO")</f>
        <v>Police Officer/SRO</v>
      </c>
      <c r="E600" s="5" t="str">
        <f ca="1">IFERROR(__xludf.DUMMYFUNCTION("""COMPUTED_VALUE"""),"Adult")</f>
        <v>Adult</v>
      </c>
      <c r="F600" s="5"/>
    </row>
    <row r="601" spans="1:6" ht="13">
      <c r="A601" s="5" t="str">
        <f ca="1">IFERROR(__xludf.DUMMYFUNCTION("""COMPUTED_VALUE"""),"20210412CASAS")</f>
        <v>20210412CASAS</v>
      </c>
      <c r="B601" s="5" t="str">
        <f ca="1">IFERROR(__xludf.DUMMYFUNCTION("""COMPUTED_VALUE"""),"None")</f>
        <v>None</v>
      </c>
      <c r="C601" s="5" t="str">
        <f ca="1">IFERROR(__xludf.DUMMYFUNCTION("""COMPUTED_VALUE"""),"Female")</f>
        <v>Female</v>
      </c>
      <c r="D601" s="5" t="str">
        <f ca="1">IFERROR(__xludf.DUMMYFUNCTION("""COMPUTED_VALUE"""),"No Relation")</f>
        <v>No Relation</v>
      </c>
      <c r="E601" s="5">
        <f ca="1">IFERROR(__xludf.DUMMYFUNCTION("""COMPUTED_VALUE"""),33)</f>
        <v>33</v>
      </c>
      <c r="F601" s="5"/>
    </row>
    <row r="602" spans="1:6" ht="13">
      <c r="A602" s="5" t="str">
        <f ca="1">IFERROR(__xludf.DUMMYFUNCTION("""COMPUTED_VALUE"""),"20210411INBIH")</f>
        <v>20210411INBIH</v>
      </c>
      <c r="B602" s="5" t="str">
        <f ca="1">IFERROR(__xludf.DUMMYFUNCTION("""COMPUTED_VALUE"""),"Fatal")</f>
        <v>Fatal</v>
      </c>
      <c r="C602" s="5" t="str">
        <f ca="1">IFERROR(__xludf.DUMMYFUNCTION("""COMPUTED_VALUE"""),"Female")</f>
        <v>Female</v>
      </c>
      <c r="D602" s="5" t="str">
        <f ca="1">IFERROR(__xludf.DUMMYFUNCTION("""COMPUTED_VALUE"""),"No Relation")</f>
        <v>No Relation</v>
      </c>
      <c r="E602" s="5">
        <f ca="1">IFERROR(__xludf.DUMMYFUNCTION("""COMPUTED_VALUE"""),43)</f>
        <v>43</v>
      </c>
      <c r="F602" s="5"/>
    </row>
    <row r="603" spans="1:6" ht="13">
      <c r="A603" s="5" t="str">
        <f ca="1">IFERROR(__xludf.DUMMYFUNCTION("""COMPUTED_VALUE"""),"20210407ILPEP")</f>
        <v>20210407ILPEP</v>
      </c>
      <c r="B603" s="5" t="str">
        <f ca="1">IFERROR(__xludf.DUMMYFUNCTION("""COMPUTED_VALUE"""),"None")</f>
        <v>None</v>
      </c>
      <c r="C603" s="5" t="str">
        <f ca="1">IFERROR(__xludf.DUMMYFUNCTION("""COMPUTED_VALUE"""),"Male")</f>
        <v>Male</v>
      </c>
      <c r="D603" s="5" t="str">
        <f ca="1">IFERROR(__xludf.DUMMYFUNCTION("""COMPUTED_VALUE"""),"Student")</f>
        <v>Student</v>
      </c>
      <c r="E603" s="5">
        <f ca="1">IFERROR(__xludf.DUMMYFUNCTION("""COMPUTED_VALUE"""),16)</f>
        <v>16</v>
      </c>
      <c r="F603" s="5"/>
    </row>
    <row r="604" spans="1:6" ht="13">
      <c r="A604" s="5" t="str">
        <f ca="1">IFERROR(__xludf.DUMMYFUNCTION("""COMPUTED_VALUE"""),"20210401ALSES")</f>
        <v>20210401ALSES</v>
      </c>
      <c r="B604" s="5" t="str">
        <f ca="1">IFERROR(__xludf.DUMMYFUNCTION("""COMPUTED_VALUE"""),"None")</f>
        <v>None</v>
      </c>
      <c r="C604" s="5" t="str">
        <f ca="1">IFERROR(__xludf.DUMMYFUNCTION("""COMPUTED_VALUE"""),"Male")</f>
        <v>Male</v>
      </c>
      <c r="D604" s="5" t="str">
        <f ca="1">IFERROR(__xludf.DUMMYFUNCTION("""COMPUTED_VALUE"""),"Student")</f>
        <v>Student</v>
      </c>
      <c r="E604" s="5" t="str">
        <f ca="1">IFERROR(__xludf.DUMMYFUNCTION("""COMPUTED_VALUE"""),"Teen")</f>
        <v>Teen</v>
      </c>
      <c r="F604" s="5"/>
    </row>
    <row r="605" spans="1:6" ht="13">
      <c r="A605" s="5" t="str">
        <f ca="1">IFERROR(__xludf.DUMMYFUNCTION("""COMPUTED_VALUE"""),"20210327MAPEC")</f>
        <v>20210327MAPEC</v>
      </c>
      <c r="B605" s="5" t="str">
        <f ca="1">IFERROR(__xludf.DUMMYFUNCTION("""COMPUTED_VALUE"""),"Fatal")</f>
        <v>Fatal</v>
      </c>
      <c r="C605" s="5" t="str">
        <f ca="1">IFERROR(__xludf.DUMMYFUNCTION("""COMPUTED_VALUE"""),"Male")</f>
        <v>Male</v>
      </c>
      <c r="D605" s="5" t="str">
        <f ca="1">IFERROR(__xludf.DUMMYFUNCTION("""COMPUTED_VALUE"""),"Nonstudent Using Athletic Facilities/Attending Game")</f>
        <v>Nonstudent Using Athletic Facilities/Attending Game</v>
      </c>
      <c r="E605" s="5">
        <f ca="1">IFERROR(__xludf.DUMMYFUNCTION("""COMPUTED_VALUE"""),19)</f>
        <v>19</v>
      </c>
      <c r="F605" s="5"/>
    </row>
    <row r="606" spans="1:6" ht="13">
      <c r="A606" s="5" t="str">
        <f ca="1">IFERROR(__xludf.DUMMYFUNCTION("""COMPUTED_VALUE"""),"20210324ORFOS")</f>
        <v>20210324ORFOS</v>
      </c>
      <c r="B606" s="5" t="str">
        <f ca="1">IFERROR(__xludf.DUMMYFUNCTION("""COMPUTED_VALUE"""),"Fatal")</f>
        <v>Fatal</v>
      </c>
      <c r="C606" s="5" t="str">
        <f ca="1">IFERROR(__xludf.DUMMYFUNCTION("""COMPUTED_VALUE"""),"Male")</f>
        <v>Male</v>
      </c>
      <c r="D606" s="5" t="str">
        <f ca="1">IFERROR(__xludf.DUMMYFUNCTION("""COMPUTED_VALUE"""),"No Relation")</f>
        <v>No Relation</v>
      </c>
      <c r="E606" s="5">
        <f ca="1">IFERROR(__xludf.DUMMYFUNCTION("""COMPUTED_VALUE"""),17)</f>
        <v>17</v>
      </c>
      <c r="F606" s="5"/>
    </row>
    <row r="607" spans="1:6" ht="13">
      <c r="A607" s="5" t="str">
        <f ca="1">IFERROR(__xludf.DUMMYFUNCTION("""COMPUTED_VALUE"""),"20210324ORFOS")</f>
        <v>20210324ORFOS</v>
      </c>
      <c r="B607" s="5" t="str">
        <f ca="1">IFERROR(__xludf.DUMMYFUNCTION("""COMPUTED_VALUE"""),"Wounded")</f>
        <v>Wounded</v>
      </c>
      <c r="C607" s="5" t="str">
        <f ca="1">IFERROR(__xludf.DUMMYFUNCTION("""COMPUTED_VALUE"""),"Male")</f>
        <v>Male</v>
      </c>
      <c r="D607" s="5" t="str">
        <f ca="1">IFERROR(__xludf.DUMMYFUNCTION("""COMPUTED_VALUE"""),"No Relation")</f>
        <v>No Relation</v>
      </c>
      <c r="E607" s="5">
        <f ca="1">IFERROR(__xludf.DUMMYFUNCTION("""COMPUTED_VALUE"""),17)</f>
        <v>17</v>
      </c>
      <c r="F607" s="5"/>
    </row>
    <row r="608" spans="1:6" ht="13">
      <c r="A608" s="5" t="str">
        <f ca="1">IFERROR(__xludf.DUMMYFUNCTION("""COMPUTED_VALUE"""),"20210315INMEM")</f>
        <v>20210315INMEM</v>
      </c>
      <c r="B608" s="5" t="str">
        <f ca="1">IFERROR(__xludf.DUMMYFUNCTION("""COMPUTED_VALUE"""),"Fatal")</f>
        <v>Fatal</v>
      </c>
      <c r="C608" s="5" t="str">
        <f ca="1">IFERROR(__xludf.DUMMYFUNCTION("""COMPUTED_VALUE"""),"Male")</f>
        <v>Male</v>
      </c>
      <c r="D608" s="5" t="str">
        <f ca="1">IFERROR(__xludf.DUMMYFUNCTION("""COMPUTED_VALUE"""),"No Relation")</f>
        <v>No Relation</v>
      </c>
      <c r="E608" s="5">
        <f ca="1">IFERROR(__xludf.DUMMYFUNCTION("""COMPUTED_VALUE"""),18)</f>
        <v>18</v>
      </c>
      <c r="F608" s="5" t="str">
        <f ca="1">IFERROR(__xludf.DUMMYFUNCTION("""COMPUTED_VALUE"""),"Black")</f>
        <v>Black</v>
      </c>
    </row>
    <row r="609" spans="1:6" ht="13">
      <c r="A609" s="5" t="str">
        <f ca="1">IFERROR(__xludf.DUMMYFUNCTION("""COMPUTED_VALUE"""),"20210315INMEM")</f>
        <v>20210315INMEM</v>
      </c>
      <c r="B609" s="5" t="str">
        <f ca="1">IFERROR(__xludf.DUMMYFUNCTION("""COMPUTED_VALUE"""),"Wounded")</f>
        <v>Wounded</v>
      </c>
      <c r="C609" s="5" t="str">
        <f ca="1">IFERROR(__xludf.DUMMYFUNCTION("""COMPUTED_VALUE"""),"Male")</f>
        <v>Male</v>
      </c>
      <c r="D609" s="5" t="str">
        <f ca="1">IFERROR(__xludf.DUMMYFUNCTION("""COMPUTED_VALUE"""),"No Relation")</f>
        <v>No Relation</v>
      </c>
      <c r="E609" s="5" t="str">
        <f ca="1">IFERROR(__xludf.DUMMYFUNCTION("""COMPUTED_VALUE"""),"Teen")</f>
        <v>Teen</v>
      </c>
      <c r="F609" s="5"/>
    </row>
    <row r="610" spans="1:6" ht="13">
      <c r="A610" s="5" t="str">
        <f ca="1">IFERROR(__xludf.DUMMYFUNCTION("""COMPUTED_VALUE"""),"20210313TXLEA")</f>
        <v>20210313TXLEA</v>
      </c>
      <c r="B610" s="5" t="str">
        <f ca="1">IFERROR(__xludf.DUMMYFUNCTION("""COMPUTED_VALUE"""),"Wounded")</f>
        <v>Wounded</v>
      </c>
      <c r="C610" s="5" t="str">
        <f ca="1">IFERROR(__xludf.DUMMYFUNCTION("""COMPUTED_VALUE"""),"Male")</f>
        <v>Male</v>
      </c>
      <c r="D610" s="5" t="str">
        <f ca="1">IFERROR(__xludf.DUMMYFUNCTION("""COMPUTED_VALUE"""),"Nonstudent Using Athletic Facilities/Attending Game")</f>
        <v>Nonstudent Using Athletic Facilities/Attending Game</v>
      </c>
      <c r="E610" s="5" t="str">
        <f ca="1">IFERROR(__xludf.DUMMYFUNCTION("""COMPUTED_VALUE"""),"Adult")</f>
        <v>Adult</v>
      </c>
      <c r="F610" s="5"/>
    </row>
    <row r="611" spans="1:6" ht="13">
      <c r="A611" s="5" t="str">
        <f ca="1">IFERROR(__xludf.DUMMYFUNCTION("""COMPUTED_VALUE"""),"20210311OHCIC")</f>
        <v>20210311OHCIC</v>
      </c>
      <c r="B611" s="5" t="str">
        <f ca="1">IFERROR(__xludf.DUMMYFUNCTION("""COMPUTED_VALUE"""),"Wounded")</f>
        <v>Wounded</v>
      </c>
      <c r="C611" s="5" t="str">
        <f ca="1">IFERROR(__xludf.DUMMYFUNCTION("""COMPUTED_VALUE"""),"Male")</f>
        <v>Male</v>
      </c>
      <c r="D611" s="5" t="str">
        <f ca="1">IFERROR(__xludf.DUMMYFUNCTION("""COMPUTED_VALUE"""),"No Relation")</f>
        <v>No Relation</v>
      </c>
      <c r="E611" s="5" t="str">
        <f ca="1">IFERROR(__xludf.DUMMYFUNCTION("""COMPUTED_VALUE"""),"Adult")</f>
        <v>Adult</v>
      </c>
      <c r="F611" s="5"/>
    </row>
    <row r="612" spans="1:6" ht="13">
      <c r="A612" s="5" t="str">
        <f ca="1">IFERROR(__xludf.DUMMYFUNCTION("""COMPUTED_VALUE"""),"20210308SCEDC")</f>
        <v>20210308SCEDC</v>
      </c>
      <c r="B612" s="5" t="str">
        <f ca="1">IFERROR(__xludf.DUMMYFUNCTION("""COMPUTED_VALUE"""),"Wounded")</f>
        <v>Wounded</v>
      </c>
      <c r="C612" s="5" t="str">
        <f ca="1">IFERROR(__xludf.DUMMYFUNCTION("""COMPUTED_VALUE"""),"Male")</f>
        <v>Male</v>
      </c>
      <c r="D612" s="5" t="str">
        <f ca="1">IFERROR(__xludf.DUMMYFUNCTION("""COMPUTED_VALUE"""),"Relative")</f>
        <v>Relative</v>
      </c>
      <c r="E612" s="5" t="str">
        <f ca="1">IFERROR(__xludf.DUMMYFUNCTION("""COMPUTED_VALUE"""),"Adult")</f>
        <v>Adult</v>
      </c>
      <c r="F612" s="5"/>
    </row>
    <row r="613" spans="1:6" ht="13">
      <c r="A613" s="5" t="str">
        <f ca="1">IFERROR(__xludf.DUMMYFUNCTION("""COMPUTED_VALUE"""),"20210301ARWAP")</f>
        <v>20210301ARWAP</v>
      </c>
      <c r="B613" s="5" t="str">
        <f ca="1">IFERROR(__xludf.DUMMYFUNCTION("""COMPUTED_VALUE"""),"Fatal")</f>
        <v>Fatal</v>
      </c>
      <c r="C613" s="5" t="str">
        <f ca="1">IFERROR(__xludf.DUMMYFUNCTION("""COMPUTED_VALUE"""),"Male")</f>
        <v>Male</v>
      </c>
      <c r="D613" s="5" t="str">
        <f ca="1">IFERROR(__xludf.DUMMYFUNCTION("""COMPUTED_VALUE"""),"Student")</f>
        <v>Student</v>
      </c>
      <c r="E613" s="5">
        <f ca="1">IFERROR(__xludf.DUMMYFUNCTION("""COMPUTED_VALUE"""),15)</f>
        <v>15</v>
      </c>
      <c r="F613" s="5"/>
    </row>
    <row r="614" spans="1:6" ht="13">
      <c r="A614" s="5" t="str">
        <f ca="1">IFERROR(__xludf.DUMMYFUNCTION("""COMPUTED_VALUE"""),"20210226LAGEN")</f>
        <v>20210226LAGEN</v>
      </c>
      <c r="B614" s="5" t="str">
        <f ca="1">IFERROR(__xludf.DUMMYFUNCTION("""COMPUTED_VALUE"""),"Fatal")</f>
        <v>Fatal</v>
      </c>
      <c r="C614" s="5" t="str">
        <f ca="1">IFERROR(__xludf.DUMMYFUNCTION("""COMPUTED_VALUE"""),"Male")</f>
        <v>Male</v>
      </c>
      <c r="D614" s="5" t="str">
        <f ca="1">IFERROR(__xludf.DUMMYFUNCTION("""COMPUTED_VALUE"""),"Police Officer/SRO")</f>
        <v>Police Officer/SRO</v>
      </c>
      <c r="E614" s="5">
        <f ca="1">IFERROR(__xludf.DUMMYFUNCTION("""COMPUTED_VALUE"""),38)</f>
        <v>38</v>
      </c>
      <c r="F614" s="5" t="str">
        <f ca="1">IFERROR(__xludf.DUMMYFUNCTION("""COMPUTED_VALUE"""),"Black")</f>
        <v>Black</v>
      </c>
    </row>
    <row r="615" spans="1:6" ht="13">
      <c r="A615" s="5" t="str">
        <f ca="1">IFERROR(__xludf.DUMMYFUNCTION("""COMPUTED_VALUE"""),"20210224WAGAY")</f>
        <v>20210224WAGAY</v>
      </c>
      <c r="B615" s="5" t="str">
        <f ca="1">IFERROR(__xludf.DUMMYFUNCTION("""COMPUTED_VALUE"""),"Wounded")</f>
        <v>Wounded</v>
      </c>
      <c r="C615" s="5" t="str">
        <f ca="1">IFERROR(__xludf.DUMMYFUNCTION("""COMPUTED_VALUE"""),"Male")</f>
        <v>Male</v>
      </c>
      <c r="D615" s="5" t="str">
        <f ca="1">IFERROR(__xludf.DUMMYFUNCTION("""COMPUTED_VALUE"""),"No Relation")</f>
        <v>No Relation</v>
      </c>
      <c r="E615" s="5">
        <f ca="1">IFERROR(__xludf.DUMMYFUNCTION("""COMPUTED_VALUE"""),16)</f>
        <v>16</v>
      </c>
      <c r="F615" s="5"/>
    </row>
    <row r="616" spans="1:6" ht="13">
      <c r="A616" s="5" t="str">
        <f ca="1">IFERROR(__xludf.DUMMYFUNCTION("""COMPUTED_VALUE"""),"20210222CAHOV")</f>
        <v>20210222CAHOV</v>
      </c>
      <c r="B616" s="5" t="str">
        <f ca="1">IFERROR(__xludf.DUMMYFUNCTION("""COMPUTED_VALUE"""),"Wounded")</f>
        <v>Wounded</v>
      </c>
      <c r="C616" s="5" t="str">
        <f ca="1">IFERROR(__xludf.DUMMYFUNCTION("""COMPUTED_VALUE"""),"Male")</f>
        <v>Male</v>
      </c>
      <c r="D616" s="5" t="str">
        <f ca="1">IFERROR(__xludf.DUMMYFUNCTION("""COMPUTED_VALUE"""),"No Relation")</f>
        <v>No Relation</v>
      </c>
      <c r="E616" s="5" t="str">
        <f ca="1">IFERROR(__xludf.DUMMYFUNCTION("""COMPUTED_VALUE"""),"Adult")</f>
        <v>Adult</v>
      </c>
      <c r="F616" s="5"/>
    </row>
    <row r="617" spans="1:6" ht="13">
      <c r="A617" s="5" t="str">
        <f ca="1">IFERROR(__xludf.DUMMYFUNCTION("""COMPUTED_VALUE"""),"20210219ILLIR")</f>
        <v>20210219ILLIR</v>
      </c>
      <c r="B617" s="5" t="str">
        <f ca="1">IFERROR(__xludf.DUMMYFUNCTION("""COMPUTED_VALUE"""),"Fatal")</f>
        <v>Fatal</v>
      </c>
      <c r="C617" s="5" t="str">
        <f ca="1">IFERROR(__xludf.DUMMYFUNCTION("""COMPUTED_VALUE"""),"Male")</f>
        <v>Male</v>
      </c>
      <c r="D617" s="5" t="str">
        <f ca="1">IFERROR(__xludf.DUMMYFUNCTION("""COMPUTED_VALUE"""),"No Relation")</f>
        <v>No Relation</v>
      </c>
      <c r="E617" s="5">
        <f ca="1">IFERROR(__xludf.DUMMYFUNCTION("""COMPUTED_VALUE"""),30)</f>
        <v>30</v>
      </c>
      <c r="F617" s="5"/>
    </row>
    <row r="618" spans="1:6" ht="13">
      <c r="A618" s="5" t="str">
        <f ca="1">IFERROR(__xludf.DUMMYFUNCTION("""COMPUTED_VALUE"""),"20210214MNROM")</f>
        <v>20210214MNROM</v>
      </c>
      <c r="B618" s="5" t="str">
        <f ca="1">IFERROR(__xludf.DUMMYFUNCTION("""COMPUTED_VALUE"""),"Wounded")</f>
        <v>Wounded</v>
      </c>
      <c r="C618" s="5"/>
      <c r="D618" s="5" t="str">
        <f ca="1">IFERROR(__xludf.DUMMYFUNCTION("""COMPUTED_VALUE"""),"No Relation")</f>
        <v>No Relation</v>
      </c>
      <c r="E618" s="5" t="str">
        <f ca="1">IFERROR(__xludf.DUMMYFUNCTION("""COMPUTED_VALUE"""),"Adult")</f>
        <v>Adult</v>
      </c>
      <c r="F618" s="5"/>
    </row>
    <row r="619" spans="1:6" ht="13">
      <c r="A619" s="5" t="str">
        <f ca="1">IFERROR(__xludf.DUMMYFUNCTION("""COMPUTED_VALUE"""),"20210214MNROM")</f>
        <v>20210214MNROM</v>
      </c>
      <c r="B619" s="5" t="str">
        <f ca="1">IFERROR(__xludf.DUMMYFUNCTION("""COMPUTED_VALUE"""),"Fatal")</f>
        <v>Fatal</v>
      </c>
      <c r="C619" s="5" t="str">
        <f ca="1">IFERROR(__xludf.DUMMYFUNCTION("""COMPUTED_VALUE"""),"Male")</f>
        <v>Male</v>
      </c>
      <c r="D619" s="5" t="str">
        <f ca="1">IFERROR(__xludf.DUMMYFUNCTION("""COMPUTED_VALUE"""),"No Relation")</f>
        <v>No Relation</v>
      </c>
      <c r="E619" s="5">
        <f ca="1">IFERROR(__xludf.DUMMYFUNCTION("""COMPUTED_VALUE"""),53)</f>
        <v>53</v>
      </c>
      <c r="F619" s="5"/>
    </row>
    <row r="620" spans="1:6" ht="13">
      <c r="A620" s="5" t="str">
        <f ca="1">IFERROR(__xludf.DUMMYFUNCTION("""COMPUTED_VALUE"""),"20210214MNROM")</f>
        <v>20210214MNROM</v>
      </c>
      <c r="B620" s="5" t="str">
        <f ca="1">IFERROR(__xludf.DUMMYFUNCTION("""COMPUTED_VALUE"""),"Fatal")</f>
        <v>Fatal</v>
      </c>
      <c r="C620" s="5" t="str">
        <f ca="1">IFERROR(__xludf.DUMMYFUNCTION("""COMPUTED_VALUE"""),"Female")</f>
        <v>Female</v>
      </c>
      <c r="D620" s="5" t="str">
        <f ca="1">IFERROR(__xludf.DUMMYFUNCTION("""COMPUTED_VALUE"""),"No Relation")</f>
        <v>No Relation</v>
      </c>
      <c r="E620" s="5">
        <f ca="1">IFERROR(__xludf.DUMMYFUNCTION("""COMPUTED_VALUE"""),34)</f>
        <v>34</v>
      </c>
      <c r="F620" s="5"/>
    </row>
    <row r="621" spans="1:6" ht="13">
      <c r="A621" s="5" t="str">
        <f ca="1">IFERROR(__xludf.DUMMYFUNCTION("""COMPUTED_VALUE"""),"20210210TXFOF")</f>
        <v>20210210TXFOF</v>
      </c>
      <c r="B621" s="5" t="str">
        <f ca="1">IFERROR(__xludf.DUMMYFUNCTION("""COMPUTED_VALUE"""),"Fatal")</f>
        <v>Fatal</v>
      </c>
      <c r="C621" s="5" t="str">
        <f ca="1">IFERROR(__xludf.DUMMYFUNCTION("""COMPUTED_VALUE"""),"Male")</f>
        <v>Male</v>
      </c>
      <c r="D621" s="5" t="str">
        <f ca="1">IFERROR(__xludf.DUMMYFUNCTION("""COMPUTED_VALUE"""),"No Relation")</f>
        <v>No Relation</v>
      </c>
      <c r="E621" s="5" t="str">
        <f ca="1">IFERROR(__xludf.DUMMYFUNCTION("""COMPUTED_VALUE"""),"Adult")</f>
        <v>Adult</v>
      </c>
      <c r="F621" s="5"/>
    </row>
    <row r="622" spans="1:6" ht="13">
      <c r="A622" s="5" t="str">
        <f ca="1">IFERROR(__xludf.DUMMYFUNCTION("""COMPUTED_VALUE"""),"20210210NJSCP")</f>
        <v>20210210NJSCP</v>
      </c>
      <c r="B622" s="5" t="str">
        <f ca="1">IFERROR(__xludf.DUMMYFUNCTION("""COMPUTED_VALUE"""),"Fatal")</f>
        <v>Fatal</v>
      </c>
      <c r="C622" s="5" t="str">
        <f ca="1">IFERROR(__xludf.DUMMYFUNCTION("""COMPUTED_VALUE"""),"Female")</f>
        <v>Female</v>
      </c>
      <c r="D622" s="5" t="str">
        <f ca="1">IFERROR(__xludf.DUMMYFUNCTION("""COMPUTED_VALUE"""),"No Relation")</f>
        <v>No Relation</v>
      </c>
      <c r="E622" s="5">
        <f ca="1">IFERROR(__xludf.DUMMYFUNCTION("""COMPUTED_VALUE"""),41)</f>
        <v>41</v>
      </c>
      <c r="F622" s="5"/>
    </row>
    <row r="623" spans="1:6" ht="13">
      <c r="A623" s="5" t="str">
        <f ca="1">IFERROR(__xludf.DUMMYFUNCTION("""COMPUTED_VALUE"""),"20210210LASTS")</f>
        <v>20210210LASTS</v>
      </c>
      <c r="B623" s="5" t="str">
        <f ca="1">IFERROR(__xludf.DUMMYFUNCTION("""COMPUTED_VALUE"""),"Minor Injuries")</f>
        <v>Minor Injuries</v>
      </c>
      <c r="C623" s="5" t="str">
        <f ca="1">IFERROR(__xludf.DUMMYFUNCTION("""COMPUTED_VALUE"""),"Male")</f>
        <v>Male</v>
      </c>
      <c r="D623" s="5" t="str">
        <f ca="1">IFERROR(__xludf.DUMMYFUNCTION("""COMPUTED_VALUE"""),"Student")</f>
        <v>Student</v>
      </c>
      <c r="E623" s="5">
        <f ca="1">IFERROR(__xludf.DUMMYFUNCTION("""COMPUTED_VALUE"""),4)</f>
        <v>4</v>
      </c>
      <c r="F623" s="5"/>
    </row>
    <row r="624" spans="1:6" ht="13">
      <c r="A624" s="5" t="str">
        <f ca="1">IFERROR(__xludf.DUMMYFUNCTION("""COMPUTED_VALUE"""),"20210205MDBEM")</f>
        <v>20210205MDBEM</v>
      </c>
      <c r="B624" s="5" t="str">
        <f ca="1">IFERROR(__xludf.DUMMYFUNCTION("""COMPUTED_VALUE"""),"Wounded")</f>
        <v>Wounded</v>
      </c>
      <c r="C624" s="5" t="str">
        <f ca="1">IFERROR(__xludf.DUMMYFUNCTION("""COMPUTED_VALUE"""),"Male")</f>
        <v>Male</v>
      </c>
      <c r="D624" s="5" t="str">
        <f ca="1">IFERROR(__xludf.DUMMYFUNCTION("""COMPUTED_VALUE"""),"No Relation")</f>
        <v>No Relation</v>
      </c>
      <c r="E624" s="5" t="str">
        <f ca="1">IFERROR(__xludf.DUMMYFUNCTION("""COMPUTED_VALUE"""),"Adult")</f>
        <v>Adult</v>
      </c>
      <c r="F624" s="5"/>
    </row>
    <row r="625" spans="1:6" ht="13">
      <c r="A625" s="5" t="str">
        <f ca="1">IFERROR(__xludf.DUMMYFUNCTION("""COMPUTED_VALUE"""),"20210201MIMUD")</f>
        <v>20210201MIMUD</v>
      </c>
      <c r="B625" s="5" t="str">
        <f ca="1">IFERROR(__xludf.DUMMYFUNCTION("""COMPUTED_VALUE"""),"Wounded")</f>
        <v>Wounded</v>
      </c>
      <c r="C625" s="5"/>
      <c r="D625" s="5" t="str">
        <f ca="1">IFERROR(__xludf.DUMMYFUNCTION("""COMPUTED_VALUE"""),"Nonstudent Using Athletic Facilities/Attending Game")</f>
        <v>Nonstudent Using Athletic Facilities/Attending Game</v>
      </c>
      <c r="E625" s="5"/>
      <c r="F625" s="5"/>
    </row>
    <row r="626" spans="1:6" ht="13">
      <c r="A626" s="5" t="str">
        <f ca="1">IFERROR(__xludf.DUMMYFUNCTION("""COMPUTED_VALUE"""),"20210127FLHOH")</f>
        <v>20210127FLHOH</v>
      </c>
      <c r="B626" s="5" t="str">
        <f ca="1">IFERROR(__xludf.DUMMYFUNCTION("""COMPUTED_VALUE"""),"Minor Injuries")</f>
        <v>Minor Injuries</v>
      </c>
      <c r="C626" s="5"/>
      <c r="D626" s="5" t="str">
        <f ca="1">IFERROR(__xludf.DUMMYFUNCTION("""COMPUTED_VALUE"""),"Student")</f>
        <v>Student</v>
      </c>
      <c r="E626" s="5" t="str">
        <f ca="1">IFERROR(__xludf.DUMMYFUNCTION("""COMPUTED_VALUE"""),"Teen")</f>
        <v>Teen</v>
      </c>
      <c r="F626" s="5"/>
    </row>
    <row r="627" spans="1:6" ht="13">
      <c r="A627" s="5" t="str">
        <f ca="1">IFERROR(__xludf.DUMMYFUNCTION("""COMPUTED_VALUE"""),"20210121OHEAC")</f>
        <v>20210121OHEAC</v>
      </c>
      <c r="B627" s="5" t="str">
        <f ca="1">IFERROR(__xludf.DUMMYFUNCTION("""COMPUTED_VALUE"""),"Wounded")</f>
        <v>Wounded</v>
      </c>
      <c r="C627" s="5" t="str">
        <f ca="1">IFERROR(__xludf.DUMMYFUNCTION("""COMPUTED_VALUE"""),"Male")</f>
        <v>Male</v>
      </c>
      <c r="D627" s="5" t="str">
        <f ca="1">IFERROR(__xludf.DUMMYFUNCTION("""COMPUTED_VALUE"""),"No Relation")</f>
        <v>No Relation</v>
      </c>
      <c r="E627" s="5">
        <f ca="1">IFERROR(__xludf.DUMMYFUNCTION("""COMPUTED_VALUE"""),19)</f>
        <v>19</v>
      </c>
      <c r="F627" s="5"/>
    </row>
    <row r="628" spans="1:6" ht="13">
      <c r="A628" s="5" t="str">
        <f ca="1">IFERROR(__xludf.DUMMYFUNCTION("""COMPUTED_VALUE"""),"20210114MDHIW")</f>
        <v>20210114MDHIW</v>
      </c>
      <c r="B628" s="5" t="str">
        <f ca="1">IFERROR(__xludf.DUMMYFUNCTION("""COMPUTED_VALUE"""),"Fatal")</f>
        <v>Fatal</v>
      </c>
      <c r="C628" s="5" t="str">
        <f ca="1">IFERROR(__xludf.DUMMYFUNCTION("""COMPUTED_VALUE"""),"Male")</f>
        <v>Male</v>
      </c>
      <c r="D628" s="5" t="str">
        <f ca="1">IFERROR(__xludf.DUMMYFUNCTION("""COMPUTED_VALUE"""),"No Relation")</f>
        <v>No Relation</v>
      </c>
      <c r="E628" s="5">
        <f ca="1">IFERROR(__xludf.DUMMYFUNCTION("""COMPUTED_VALUE"""),21)</f>
        <v>21</v>
      </c>
      <c r="F628" s="5"/>
    </row>
    <row r="629" spans="1:6" ht="13">
      <c r="A629" s="5" t="str">
        <f ca="1">IFERROR(__xludf.DUMMYFUNCTION("""COMPUTED_VALUE"""),"20210110ILSOS")</f>
        <v>20210110ILSOS</v>
      </c>
      <c r="B629" s="5" t="str">
        <f ca="1">IFERROR(__xludf.DUMMYFUNCTION("""COMPUTED_VALUE"""),"Wounded")</f>
        <v>Wounded</v>
      </c>
      <c r="C629" s="5" t="str">
        <f ca="1">IFERROR(__xludf.DUMMYFUNCTION("""COMPUTED_VALUE"""),"Female")</f>
        <v>Female</v>
      </c>
      <c r="D629" s="5" t="str">
        <f ca="1">IFERROR(__xludf.DUMMYFUNCTION("""COMPUTED_VALUE"""),"Student")</f>
        <v>Student</v>
      </c>
      <c r="E629" s="5">
        <f ca="1">IFERROR(__xludf.DUMMYFUNCTION("""COMPUTED_VALUE"""),16)</f>
        <v>16</v>
      </c>
      <c r="F629" s="5" t="str">
        <f ca="1">IFERROR(__xludf.DUMMYFUNCTION("""COMPUTED_VALUE"""),"Black")</f>
        <v>Black</v>
      </c>
    </row>
    <row r="630" spans="1:6" ht="13">
      <c r="A630" s="5" t="str">
        <f ca="1">IFERROR(__xludf.DUMMYFUNCTION("""COMPUTED_VALUE"""),"20210110ILSOS")</f>
        <v>20210110ILSOS</v>
      </c>
      <c r="B630" s="5" t="str">
        <f ca="1">IFERROR(__xludf.DUMMYFUNCTION("""COMPUTED_VALUE"""),"Wounded")</f>
        <v>Wounded</v>
      </c>
      <c r="C630" s="5" t="str">
        <f ca="1">IFERROR(__xludf.DUMMYFUNCTION("""COMPUTED_VALUE"""),"Female")</f>
        <v>Female</v>
      </c>
      <c r="D630" s="5" t="str">
        <f ca="1">IFERROR(__xludf.DUMMYFUNCTION("""COMPUTED_VALUE"""),"Relative")</f>
        <v>Relative</v>
      </c>
      <c r="E630" s="5">
        <f ca="1">IFERROR(__xludf.DUMMYFUNCTION("""COMPUTED_VALUE"""),20)</f>
        <v>20</v>
      </c>
      <c r="F630" s="5"/>
    </row>
    <row r="631" spans="1:6" ht="13">
      <c r="A631" s="5" t="str">
        <f ca="1">IFERROR(__xludf.DUMMYFUNCTION("""COMPUTED_VALUE"""),"20201229WAROS")</f>
        <v>20201229WAROS</v>
      </c>
      <c r="B631" s="5" t="str">
        <f ca="1">IFERROR(__xludf.DUMMYFUNCTION("""COMPUTED_VALUE"""),"Wounded")</f>
        <v>Wounded</v>
      </c>
      <c r="C631" s="5" t="str">
        <f ca="1">IFERROR(__xludf.DUMMYFUNCTION("""COMPUTED_VALUE"""),"Male")</f>
        <v>Male</v>
      </c>
      <c r="D631" s="5"/>
      <c r="E631" s="5" t="str">
        <f ca="1">IFERROR(__xludf.DUMMYFUNCTION("""COMPUTED_VALUE"""),"Teen")</f>
        <v>Teen</v>
      </c>
      <c r="F631" s="5"/>
    </row>
    <row r="632" spans="1:6" ht="13">
      <c r="A632" s="5" t="str">
        <f ca="1">IFERROR(__xludf.DUMMYFUNCTION("""COMPUTED_VALUE"""),"20201229WAROS")</f>
        <v>20201229WAROS</v>
      </c>
      <c r="B632" s="5" t="str">
        <f ca="1">IFERROR(__xludf.DUMMYFUNCTION("""COMPUTED_VALUE"""),"Wounded")</f>
        <v>Wounded</v>
      </c>
      <c r="C632" s="5" t="str">
        <f ca="1">IFERROR(__xludf.DUMMYFUNCTION("""COMPUTED_VALUE"""),"Male")</f>
        <v>Male</v>
      </c>
      <c r="D632" s="5"/>
      <c r="E632" s="5" t="str">
        <f ca="1">IFERROR(__xludf.DUMMYFUNCTION("""COMPUTED_VALUE"""),"Teen")</f>
        <v>Teen</v>
      </c>
      <c r="F632" s="5"/>
    </row>
    <row r="633" spans="1:6" ht="13">
      <c r="A633" s="5" t="str">
        <f ca="1">IFERROR(__xludf.DUMMYFUNCTION("""COMPUTED_VALUE"""),"20201216ILDUC")</f>
        <v>20201216ILDUC</v>
      </c>
      <c r="B633" s="5" t="str">
        <f ca="1">IFERROR(__xludf.DUMMYFUNCTION("""COMPUTED_VALUE"""),"Fatal")</f>
        <v>Fatal</v>
      </c>
      <c r="C633" s="5" t="str">
        <f ca="1">IFERROR(__xludf.DUMMYFUNCTION("""COMPUTED_VALUE"""),"Male")</f>
        <v>Male</v>
      </c>
      <c r="D633" s="5" t="str">
        <f ca="1">IFERROR(__xludf.DUMMYFUNCTION("""COMPUTED_VALUE"""),"No Relation")</f>
        <v>No Relation</v>
      </c>
      <c r="E633" s="5">
        <f ca="1">IFERROR(__xludf.DUMMYFUNCTION("""COMPUTED_VALUE"""),19)</f>
        <v>19</v>
      </c>
      <c r="F633" s="5" t="str">
        <f ca="1">IFERROR(__xludf.DUMMYFUNCTION("""COMPUTED_VALUE"""),"Black")</f>
        <v>Black</v>
      </c>
    </row>
    <row r="634" spans="1:6" ht="13">
      <c r="A634" s="5" t="str">
        <f ca="1">IFERROR(__xludf.DUMMYFUNCTION("""COMPUTED_VALUE"""),"20201207ILEAC")</f>
        <v>20201207ILEAC</v>
      </c>
      <c r="B634" s="5" t="str">
        <f ca="1">IFERROR(__xludf.DUMMYFUNCTION("""COMPUTED_VALUE"""),"Fatal")</f>
        <v>Fatal</v>
      </c>
      <c r="C634" s="5" t="str">
        <f ca="1">IFERROR(__xludf.DUMMYFUNCTION("""COMPUTED_VALUE"""),"Male")</f>
        <v>Male</v>
      </c>
      <c r="D634" s="5" t="str">
        <f ca="1">IFERROR(__xludf.DUMMYFUNCTION("""COMPUTED_VALUE"""),"No Relation")</f>
        <v>No Relation</v>
      </c>
      <c r="E634" s="5">
        <f ca="1">IFERROR(__xludf.DUMMYFUNCTION("""COMPUTED_VALUE"""),21)</f>
        <v>21</v>
      </c>
      <c r="F634" s="5"/>
    </row>
    <row r="635" spans="1:6" ht="13">
      <c r="A635" s="5" t="str">
        <f ca="1">IFERROR(__xludf.DUMMYFUNCTION("""COMPUTED_VALUE"""),"20201125KSABG")</f>
        <v>20201125KSABG</v>
      </c>
      <c r="B635" s="5" t="str">
        <f ca="1">IFERROR(__xludf.DUMMYFUNCTION("""COMPUTED_VALUE"""),"Wounded")</f>
        <v>Wounded</v>
      </c>
      <c r="C635" s="5" t="str">
        <f ca="1">IFERROR(__xludf.DUMMYFUNCTION("""COMPUTED_VALUE"""),"Male")</f>
        <v>Male</v>
      </c>
      <c r="D635" s="5" t="str">
        <f ca="1">IFERROR(__xludf.DUMMYFUNCTION("""COMPUTED_VALUE"""),"No Relation")</f>
        <v>No Relation</v>
      </c>
      <c r="E635" s="5">
        <f ca="1">IFERROR(__xludf.DUMMYFUNCTION("""COMPUTED_VALUE"""),16)</f>
        <v>16</v>
      </c>
      <c r="F635" s="5"/>
    </row>
    <row r="636" spans="1:6" ht="13">
      <c r="A636" s="5" t="str">
        <f ca="1">IFERROR(__xludf.DUMMYFUNCTION("""COMPUTED_VALUE"""),"20201124NCHEH")</f>
        <v>20201124NCHEH</v>
      </c>
      <c r="B636" s="5" t="str">
        <f ca="1">IFERROR(__xludf.DUMMYFUNCTION("""COMPUTED_VALUE"""),"Wounded")</f>
        <v>Wounded</v>
      </c>
      <c r="C636" s="5" t="str">
        <f ca="1">IFERROR(__xludf.DUMMYFUNCTION("""COMPUTED_VALUE"""),"Female")</f>
        <v>Female</v>
      </c>
      <c r="D636" s="5" t="str">
        <f ca="1">IFERROR(__xludf.DUMMYFUNCTION("""COMPUTED_VALUE"""),"Student")</f>
        <v>Student</v>
      </c>
      <c r="E636" s="5">
        <f ca="1">IFERROR(__xludf.DUMMYFUNCTION("""COMPUTED_VALUE"""),12)</f>
        <v>12</v>
      </c>
      <c r="F636" s="5"/>
    </row>
    <row r="637" spans="1:6" ht="13">
      <c r="A637" s="5" t="str">
        <f ca="1">IFERROR(__xludf.DUMMYFUNCTION("""COMPUTED_VALUE"""),"20201116TNWIM")</f>
        <v>20201116TNWIM</v>
      </c>
      <c r="B637" s="5" t="str">
        <f ca="1">IFERROR(__xludf.DUMMYFUNCTION("""COMPUTED_VALUE"""),"None")</f>
        <v>None</v>
      </c>
      <c r="C637" s="5" t="str">
        <f ca="1">IFERROR(__xludf.DUMMYFUNCTION("""COMPUTED_VALUE"""),"Female")</f>
        <v>Female</v>
      </c>
      <c r="D637" s="5" t="str">
        <f ca="1">IFERROR(__xludf.DUMMYFUNCTION("""COMPUTED_VALUE"""),"No Relation")</f>
        <v>No Relation</v>
      </c>
      <c r="E637" s="5" t="str">
        <f ca="1">IFERROR(__xludf.DUMMYFUNCTION("""COMPUTED_VALUE"""),"Adult")</f>
        <v>Adult</v>
      </c>
      <c r="F637" s="5"/>
    </row>
    <row r="638" spans="1:6" ht="13">
      <c r="A638" s="5" t="str">
        <f ca="1">IFERROR(__xludf.DUMMYFUNCTION("""COMPUTED_VALUE"""),"20201113NCLIL")</f>
        <v>20201113NCLIL</v>
      </c>
      <c r="B638" s="5" t="str">
        <f ca="1">IFERROR(__xludf.DUMMYFUNCTION("""COMPUTED_VALUE"""),"Wounded")</f>
        <v>Wounded</v>
      </c>
      <c r="C638" s="5" t="str">
        <f ca="1">IFERROR(__xludf.DUMMYFUNCTION("""COMPUTED_VALUE"""),"Male")</f>
        <v>Male</v>
      </c>
      <c r="D638" s="5" t="str">
        <f ca="1">IFERROR(__xludf.DUMMYFUNCTION("""COMPUTED_VALUE"""),"Student")</f>
        <v>Student</v>
      </c>
      <c r="E638" s="5">
        <f ca="1">IFERROR(__xludf.DUMMYFUNCTION("""COMPUTED_VALUE"""),6)</f>
        <v>6</v>
      </c>
      <c r="F638" s="5" t="str">
        <f ca="1">IFERROR(__xludf.DUMMYFUNCTION("""COMPUTED_VALUE"""),"White")</f>
        <v>White</v>
      </c>
    </row>
    <row r="639" spans="1:6" ht="13">
      <c r="A639" s="5" t="str">
        <f ca="1">IFERROR(__xludf.DUMMYFUNCTION("""COMPUTED_VALUE"""),"20201112PANAH")</f>
        <v>20201112PANAH</v>
      </c>
      <c r="B639" s="5" t="str">
        <f ca="1">IFERROR(__xludf.DUMMYFUNCTION("""COMPUTED_VALUE"""),"Fatal")</f>
        <v>Fatal</v>
      </c>
      <c r="C639" s="5" t="str">
        <f ca="1">IFERROR(__xludf.DUMMYFUNCTION("""COMPUTED_VALUE"""),"Male")</f>
        <v>Male</v>
      </c>
      <c r="D639" s="5" t="str">
        <f ca="1">IFERROR(__xludf.DUMMYFUNCTION("""COMPUTED_VALUE"""),"No Relation")</f>
        <v>No Relation</v>
      </c>
      <c r="E639" s="5">
        <f ca="1">IFERROR(__xludf.DUMMYFUNCTION("""COMPUTED_VALUE"""),17)</f>
        <v>17</v>
      </c>
      <c r="F639" s="5"/>
    </row>
    <row r="640" spans="1:6" ht="13">
      <c r="A640" s="5" t="str">
        <f ca="1">IFERROR(__xludf.DUMMYFUNCTION("""COMPUTED_VALUE"""),"20201112CACEU")</f>
        <v>20201112CACEU</v>
      </c>
      <c r="B640" s="5" t="str">
        <f ca="1">IFERROR(__xludf.DUMMYFUNCTION("""COMPUTED_VALUE"""),"Wounded")</f>
        <v>Wounded</v>
      </c>
      <c r="C640" s="5" t="str">
        <f ca="1">IFERROR(__xludf.DUMMYFUNCTION("""COMPUTED_VALUE"""),"Male")</f>
        <v>Male</v>
      </c>
      <c r="D640" s="5" t="str">
        <f ca="1">IFERROR(__xludf.DUMMYFUNCTION("""COMPUTED_VALUE"""),"No Relation")</f>
        <v>No Relation</v>
      </c>
      <c r="E640" s="5" t="str">
        <f ca="1">IFERROR(__xludf.DUMMYFUNCTION("""COMPUTED_VALUE"""),"Adult")</f>
        <v>Adult</v>
      </c>
      <c r="F640" s="5"/>
    </row>
    <row r="641" spans="1:6" ht="13">
      <c r="A641" s="5" t="str">
        <f ca="1">IFERROR(__xludf.DUMMYFUNCTION("""COMPUTED_VALUE"""),"20201109TXCOH")</f>
        <v>20201109TXCOH</v>
      </c>
      <c r="B641" s="5" t="str">
        <f ca="1">IFERROR(__xludf.DUMMYFUNCTION("""COMPUTED_VALUE"""),"Fatal")</f>
        <v>Fatal</v>
      </c>
      <c r="C641" s="5" t="str">
        <f ca="1">IFERROR(__xludf.DUMMYFUNCTION("""COMPUTED_VALUE"""),"Male")</f>
        <v>Male</v>
      </c>
      <c r="D641" s="5" t="str">
        <f ca="1">IFERROR(__xludf.DUMMYFUNCTION("""COMPUTED_VALUE"""),"No Relation")</f>
        <v>No Relation</v>
      </c>
      <c r="E641" s="5" t="str">
        <f ca="1">IFERROR(__xludf.DUMMYFUNCTION("""COMPUTED_VALUE"""),"Adult")</f>
        <v>Adult</v>
      </c>
      <c r="F641" s="5" t="str">
        <f ca="1">IFERROR(__xludf.DUMMYFUNCTION("""COMPUTED_VALUE"""),"Hispanic")</f>
        <v>Hispanic</v>
      </c>
    </row>
    <row r="642" spans="1:6" ht="13">
      <c r="A642" s="5" t="str">
        <f ca="1">IFERROR(__xludf.DUMMYFUNCTION("""COMPUTED_VALUE"""),"20201029FLLAM")</f>
        <v>20201029FLLAM</v>
      </c>
      <c r="B642" s="5" t="str">
        <f ca="1">IFERROR(__xludf.DUMMYFUNCTION("""COMPUTED_VALUE"""),"Fatal")</f>
        <v>Fatal</v>
      </c>
      <c r="C642" s="5" t="str">
        <f ca="1">IFERROR(__xludf.DUMMYFUNCTION("""COMPUTED_VALUE"""),"Male")</f>
        <v>Male</v>
      </c>
      <c r="D642" s="5" t="str">
        <f ca="1">IFERROR(__xludf.DUMMYFUNCTION("""COMPUTED_VALUE"""),"No Relation")</f>
        <v>No Relation</v>
      </c>
      <c r="E642" s="5" t="str">
        <f ca="1">IFERROR(__xludf.DUMMYFUNCTION("""COMPUTED_VALUE"""),"Adult")</f>
        <v>Adult</v>
      </c>
      <c r="F642" s="5"/>
    </row>
    <row r="643" spans="1:6" ht="13">
      <c r="A643" s="5" t="str">
        <f ca="1">IFERROR(__xludf.DUMMYFUNCTION("""COMPUTED_VALUE"""),"20201029FLLAM")</f>
        <v>20201029FLLAM</v>
      </c>
      <c r="B643" s="5" t="str">
        <f ca="1">IFERROR(__xludf.DUMMYFUNCTION("""COMPUTED_VALUE"""),"Fatal")</f>
        <v>Fatal</v>
      </c>
      <c r="C643" s="5" t="str">
        <f ca="1">IFERROR(__xludf.DUMMYFUNCTION("""COMPUTED_VALUE"""),"Male")</f>
        <v>Male</v>
      </c>
      <c r="D643" s="5" t="str">
        <f ca="1">IFERROR(__xludf.DUMMYFUNCTION("""COMPUTED_VALUE"""),"No Relation")</f>
        <v>No Relation</v>
      </c>
      <c r="E643" s="5" t="str">
        <f ca="1">IFERROR(__xludf.DUMMYFUNCTION("""COMPUTED_VALUE"""),"Adult")</f>
        <v>Adult</v>
      </c>
      <c r="F643" s="5"/>
    </row>
    <row r="644" spans="1:6" ht="13">
      <c r="A644" s="5" t="str">
        <f ca="1">IFERROR(__xludf.DUMMYFUNCTION("""COMPUTED_VALUE"""),"20201026GARIR")</f>
        <v>20201026GARIR</v>
      </c>
      <c r="B644" s="5" t="str">
        <f ca="1">IFERROR(__xludf.DUMMYFUNCTION("""COMPUTED_VALUE"""),"Fatal")</f>
        <v>Fatal</v>
      </c>
      <c r="C644" s="5" t="str">
        <f ca="1">IFERROR(__xludf.DUMMYFUNCTION("""COMPUTED_VALUE"""),"Male")</f>
        <v>Male</v>
      </c>
      <c r="D644" s="5" t="str">
        <f ca="1">IFERROR(__xludf.DUMMYFUNCTION("""COMPUTED_VALUE"""),"No Relation")</f>
        <v>No Relation</v>
      </c>
      <c r="E644" s="5">
        <f ca="1">IFERROR(__xludf.DUMMYFUNCTION("""COMPUTED_VALUE"""),28)</f>
        <v>28</v>
      </c>
      <c r="F644" s="5"/>
    </row>
    <row r="645" spans="1:6" ht="13">
      <c r="A645" s="5" t="str">
        <f ca="1">IFERROR(__xludf.DUMMYFUNCTION("""COMPUTED_VALUE"""),"20201020ARJAP")</f>
        <v>20201020ARJAP</v>
      </c>
      <c r="B645" s="5" t="str">
        <f ca="1">IFERROR(__xludf.DUMMYFUNCTION("""COMPUTED_VALUE"""),"Fatal")</f>
        <v>Fatal</v>
      </c>
      <c r="C645" s="5" t="str">
        <f ca="1">IFERROR(__xludf.DUMMYFUNCTION("""COMPUTED_VALUE"""),"Male")</f>
        <v>Male</v>
      </c>
      <c r="D645" s="5"/>
      <c r="E645" s="5">
        <f ca="1">IFERROR(__xludf.DUMMYFUNCTION("""COMPUTED_VALUE"""),16)</f>
        <v>16</v>
      </c>
      <c r="F645" s="5"/>
    </row>
    <row r="646" spans="1:6" ht="13">
      <c r="A646" s="5" t="str">
        <f ca="1">IFERROR(__xludf.DUMMYFUNCTION("""COMPUTED_VALUE"""),"20201018KYSEL")</f>
        <v>20201018KYSEL</v>
      </c>
      <c r="B646" s="5" t="str">
        <f ca="1">IFERROR(__xludf.DUMMYFUNCTION("""COMPUTED_VALUE"""),"Wounded")</f>
        <v>Wounded</v>
      </c>
      <c r="C646" s="5"/>
      <c r="D646" s="5"/>
      <c r="E646" s="5" t="str">
        <f ca="1">IFERROR(__xludf.DUMMYFUNCTION("""COMPUTED_VALUE"""),"Teen")</f>
        <v>Teen</v>
      </c>
      <c r="F646" s="5"/>
    </row>
    <row r="647" spans="1:6" ht="13">
      <c r="A647" s="5" t="str">
        <f ca="1">IFERROR(__xludf.DUMMYFUNCTION("""COMPUTED_VALUE"""),"20201018KYSEL")</f>
        <v>20201018KYSEL</v>
      </c>
      <c r="B647" s="5" t="str">
        <f ca="1">IFERROR(__xludf.DUMMYFUNCTION("""COMPUTED_VALUE"""),"Wounded")</f>
        <v>Wounded</v>
      </c>
      <c r="C647" s="5"/>
      <c r="D647" s="5"/>
      <c r="E647" s="5" t="str">
        <f ca="1">IFERROR(__xludf.DUMMYFUNCTION("""COMPUTED_VALUE"""),"Teen")</f>
        <v>Teen</v>
      </c>
      <c r="F647" s="5"/>
    </row>
    <row r="648" spans="1:6" ht="13">
      <c r="A648" s="5" t="str">
        <f ca="1">IFERROR(__xludf.DUMMYFUNCTION("""COMPUTED_VALUE"""),"20201018KYSEL")</f>
        <v>20201018KYSEL</v>
      </c>
      <c r="B648" s="5" t="str">
        <f ca="1">IFERROR(__xludf.DUMMYFUNCTION("""COMPUTED_VALUE"""),"Wounded")</f>
        <v>Wounded</v>
      </c>
      <c r="C648" s="5"/>
      <c r="D648" s="5"/>
      <c r="E648" s="5" t="str">
        <f ca="1">IFERROR(__xludf.DUMMYFUNCTION("""COMPUTED_VALUE"""),"Teen")</f>
        <v>Teen</v>
      </c>
      <c r="F648" s="5"/>
    </row>
    <row r="649" spans="1:6" ht="13">
      <c r="A649" s="5" t="str">
        <f ca="1">IFERROR(__xludf.DUMMYFUNCTION("""COMPUTED_VALUE"""),"20201014WAWAS")</f>
        <v>20201014WAWAS</v>
      </c>
      <c r="B649" s="5" t="str">
        <f ca="1">IFERROR(__xludf.DUMMYFUNCTION("""COMPUTED_VALUE"""),"None")</f>
        <v>None</v>
      </c>
      <c r="C649" s="5" t="str">
        <f ca="1">IFERROR(__xludf.DUMMYFUNCTION("""COMPUTED_VALUE"""),"Male")</f>
        <v>Male</v>
      </c>
      <c r="D649" s="5" t="str">
        <f ca="1">IFERROR(__xludf.DUMMYFUNCTION("""COMPUTED_VALUE"""),"No Relation")</f>
        <v>No Relation</v>
      </c>
      <c r="E649" s="5" t="str">
        <f ca="1">IFERROR(__xludf.DUMMYFUNCTION("""COMPUTED_VALUE"""),"Adult")</f>
        <v>Adult</v>
      </c>
      <c r="F649" s="5"/>
    </row>
    <row r="650" spans="1:6" ht="13">
      <c r="A650" s="5" t="str">
        <f ca="1">IFERROR(__xludf.DUMMYFUNCTION("""COMPUTED_VALUE"""),"20201014PABRB")</f>
        <v>20201014PABRB</v>
      </c>
      <c r="B650" s="5" t="str">
        <f ca="1">IFERROR(__xludf.DUMMYFUNCTION("""COMPUTED_VALUE"""),"None")</f>
        <v>None</v>
      </c>
      <c r="C650" s="5" t="str">
        <f ca="1">IFERROR(__xludf.DUMMYFUNCTION("""COMPUTED_VALUE"""),"Male")</f>
        <v>Male</v>
      </c>
      <c r="D650" s="5" t="str">
        <f ca="1">IFERROR(__xludf.DUMMYFUNCTION("""COMPUTED_VALUE"""),"Bus Driver")</f>
        <v>Bus Driver</v>
      </c>
      <c r="E650" s="5" t="str">
        <f ca="1">IFERROR(__xludf.DUMMYFUNCTION("""COMPUTED_VALUE"""),"Adult")</f>
        <v>Adult</v>
      </c>
      <c r="F650" s="5"/>
    </row>
    <row r="651" spans="1:6" ht="13">
      <c r="A651" s="5" t="str">
        <f ca="1">IFERROR(__xludf.DUMMYFUNCTION("""COMPUTED_VALUE"""),"20201013RIRHP")</f>
        <v>20201013RIRHP</v>
      </c>
      <c r="B651" s="5" t="str">
        <f ca="1">IFERROR(__xludf.DUMMYFUNCTION("""COMPUTED_VALUE"""),"Fatal")</f>
        <v>Fatal</v>
      </c>
      <c r="C651" s="5" t="str">
        <f ca="1">IFERROR(__xludf.DUMMYFUNCTION("""COMPUTED_VALUE"""),"Male")</f>
        <v>Male</v>
      </c>
      <c r="D651" s="5" t="str">
        <f ca="1">IFERROR(__xludf.DUMMYFUNCTION("""COMPUTED_VALUE"""),"No Relation")</f>
        <v>No Relation</v>
      </c>
      <c r="E651" s="5">
        <f ca="1">IFERROR(__xludf.DUMMYFUNCTION("""COMPUTED_VALUE"""),19)</f>
        <v>19</v>
      </c>
      <c r="F651" s="5" t="str">
        <f ca="1">IFERROR(__xludf.DUMMYFUNCTION("""COMPUTED_VALUE"""),"Black")</f>
        <v>Black</v>
      </c>
    </row>
    <row r="652" spans="1:6" ht="13">
      <c r="A652" s="5" t="str">
        <f ca="1">IFERROR(__xludf.DUMMYFUNCTION("""COMPUTED_VALUE"""),"20201013RIRHP")</f>
        <v>20201013RIRHP</v>
      </c>
      <c r="B652" s="5" t="str">
        <f ca="1">IFERROR(__xludf.DUMMYFUNCTION("""COMPUTED_VALUE"""),"Wounded")</f>
        <v>Wounded</v>
      </c>
      <c r="C652" s="5" t="str">
        <f ca="1">IFERROR(__xludf.DUMMYFUNCTION("""COMPUTED_VALUE"""),"Male")</f>
        <v>Male</v>
      </c>
      <c r="D652" s="5" t="str">
        <f ca="1">IFERROR(__xludf.DUMMYFUNCTION("""COMPUTED_VALUE"""),"No Relation")</f>
        <v>No Relation</v>
      </c>
      <c r="E652" s="5" t="str">
        <f ca="1">IFERROR(__xludf.DUMMYFUNCTION("""COMPUTED_VALUE"""),"Adult")</f>
        <v>Adult</v>
      </c>
      <c r="F652" s="5"/>
    </row>
    <row r="653" spans="1:6" ht="13">
      <c r="A653" s="5" t="str">
        <f ca="1">IFERROR(__xludf.DUMMYFUNCTION("""COMPUTED_VALUE"""),"20201013RIRHP")</f>
        <v>20201013RIRHP</v>
      </c>
      <c r="B653" s="5" t="str">
        <f ca="1">IFERROR(__xludf.DUMMYFUNCTION("""COMPUTED_VALUE"""),"Wounded")</f>
        <v>Wounded</v>
      </c>
      <c r="C653" s="5" t="str">
        <f ca="1">IFERROR(__xludf.DUMMYFUNCTION("""COMPUTED_VALUE"""),"Male")</f>
        <v>Male</v>
      </c>
      <c r="D653" s="5" t="str">
        <f ca="1">IFERROR(__xludf.DUMMYFUNCTION("""COMPUTED_VALUE"""),"No Relation")</f>
        <v>No Relation</v>
      </c>
      <c r="E653" s="5" t="str">
        <f ca="1">IFERROR(__xludf.DUMMYFUNCTION("""COMPUTED_VALUE"""),"Adult")</f>
        <v>Adult</v>
      </c>
      <c r="F653" s="5"/>
    </row>
    <row r="654" spans="1:6" ht="13">
      <c r="A654" s="5" t="str">
        <f ca="1">IFERROR(__xludf.DUMMYFUNCTION("""COMPUTED_VALUE"""),"20201012TXNOD")</f>
        <v>20201012TXNOD</v>
      </c>
      <c r="B654" s="5" t="str">
        <f ca="1">IFERROR(__xludf.DUMMYFUNCTION("""COMPUTED_VALUE"""),"None")</f>
        <v>None</v>
      </c>
      <c r="C654" s="5" t="str">
        <f ca="1">IFERROR(__xludf.DUMMYFUNCTION("""COMPUTED_VALUE"""),"Male")</f>
        <v>Male</v>
      </c>
      <c r="D654" s="5" t="str">
        <f ca="1">IFERROR(__xludf.DUMMYFUNCTION("""COMPUTED_VALUE"""),"No Relation")</f>
        <v>No Relation</v>
      </c>
      <c r="E654" s="5" t="str">
        <f ca="1">IFERROR(__xludf.DUMMYFUNCTION("""COMPUTED_VALUE"""),"Adult")</f>
        <v>Adult</v>
      </c>
      <c r="F654" s="5"/>
    </row>
    <row r="655" spans="1:6" ht="13">
      <c r="A655" s="5" t="str">
        <f ca="1">IFERROR(__xludf.DUMMYFUNCTION("""COMPUTED_VALUE"""),"20201009FLJEJ")</f>
        <v>20201009FLJEJ</v>
      </c>
      <c r="B655" s="5" t="str">
        <f ca="1">IFERROR(__xludf.DUMMYFUNCTION("""COMPUTED_VALUE"""),"Wounded")</f>
        <v>Wounded</v>
      </c>
      <c r="C655" s="5" t="str">
        <f ca="1">IFERROR(__xludf.DUMMYFUNCTION("""COMPUTED_VALUE"""),"Male")</f>
        <v>Male</v>
      </c>
      <c r="D655" s="5" t="str">
        <f ca="1">IFERROR(__xludf.DUMMYFUNCTION("""COMPUTED_VALUE"""),"Student")</f>
        <v>Student</v>
      </c>
      <c r="E655" s="5">
        <f ca="1">IFERROR(__xludf.DUMMYFUNCTION("""COMPUTED_VALUE"""),18)</f>
        <v>18</v>
      </c>
      <c r="F655" s="5"/>
    </row>
    <row r="656" spans="1:6" ht="13">
      <c r="A656" s="5" t="str">
        <f ca="1">IFERROR(__xludf.DUMMYFUNCTION("""COMPUTED_VALUE"""),"20201005OKSOM")</f>
        <v>20201005OKSOM</v>
      </c>
      <c r="B656" s="5" t="str">
        <f ca="1">IFERROR(__xludf.DUMMYFUNCTION("""COMPUTED_VALUE"""),"Minor Injuries")</f>
        <v>Minor Injuries</v>
      </c>
      <c r="C656" s="5"/>
      <c r="D656" s="5" t="str">
        <f ca="1">IFERROR(__xludf.DUMMYFUNCTION("""COMPUTED_VALUE"""),"Student")</f>
        <v>Student</v>
      </c>
      <c r="E656" s="5" t="str">
        <f ca="1">IFERROR(__xludf.DUMMYFUNCTION("""COMPUTED_VALUE"""),"Teen")</f>
        <v>Teen</v>
      </c>
      <c r="F656" s="5"/>
    </row>
    <row r="657" spans="1:6" ht="13">
      <c r="A657" s="5" t="str">
        <f ca="1">IFERROR(__xludf.DUMMYFUNCTION("""COMPUTED_VALUE"""),"20201005ARKIH")</f>
        <v>20201005ARKIH</v>
      </c>
      <c r="B657" s="5" t="str">
        <f ca="1">IFERROR(__xludf.DUMMYFUNCTION("""COMPUTED_VALUE"""),"Wounded")</f>
        <v>Wounded</v>
      </c>
      <c r="C657" s="5" t="str">
        <f ca="1">IFERROR(__xludf.DUMMYFUNCTION("""COMPUTED_VALUE"""),"Male")</f>
        <v>Male</v>
      </c>
      <c r="D657" s="5"/>
      <c r="E657" s="5" t="str">
        <f ca="1">IFERROR(__xludf.DUMMYFUNCTION("""COMPUTED_VALUE"""),"Adult")</f>
        <v>Adult</v>
      </c>
      <c r="F657" s="5"/>
    </row>
    <row r="658" spans="1:6" ht="13">
      <c r="A658" s="5" t="str">
        <f ca="1">IFERROR(__xludf.DUMMYFUNCTION("""COMPUTED_VALUE"""),"20201005ARKIH")</f>
        <v>20201005ARKIH</v>
      </c>
      <c r="B658" s="5" t="str">
        <f ca="1">IFERROR(__xludf.DUMMYFUNCTION("""COMPUTED_VALUE"""),"Fatal")</f>
        <v>Fatal</v>
      </c>
      <c r="C658" s="5" t="str">
        <f ca="1">IFERROR(__xludf.DUMMYFUNCTION("""COMPUTED_VALUE"""),"Male")</f>
        <v>Male</v>
      </c>
      <c r="D658" s="5"/>
      <c r="E658" s="5">
        <f ca="1">IFERROR(__xludf.DUMMYFUNCTION("""COMPUTED_VALUE"""),36)</f>
        <v>36</v>
      </c>
      <c r="F658" s="5" t="str">
        <f ca="1">IFERROR(__xludf.DUMMYFUNCTION("""COMPUTED_VALUE"""),"Black")</f>
        <v>Black</v>
      </c>
    </row>
    <row r="659" spans="1:6" ht="13">
      <c r="A659" s="5" t="str">
        <f ca="1">IFERROR(__xludf.DUMMYFUNCTION("""COMPUTED_VALUE"""),"20200930CADYL")</f>
        <v>20200930CADYL</v>
      </c>
      <c r="B659" s="5" t="str">
        <f ca="1">IFERROR(__xludf.DUMMYFUNCTION("""COMPUTED_VALUE"""),"Wounded")</f>
        <v>Wounded</v>
      </c>
      <c r="C659" s="5" t="str">
        <f ca="1">IFERROR(__xludf.DUMMYFUNCTION("""COMPUTED_VALUE"""),"Male")</f>
        <v>Male</v>
      </c>
      <c r="D659" s="5" t="str">
        <f ca="1">IFERROR(__xludf.DUMMYFUNCTION("""COMPUTED_VALUE"""),"Student")</f>
        <v>Student</v>
      </c>
      <c r="E659" s="5">
        <f ca="1">IFERROR(__xludf.DUMMYFUNCTION("""COMPUTED_VALUE"""),18)</f>
        <v>18</v>
      </c>
      <c r="F659" s="5" t="str">
        <f ca="1">IFERROR(__xludf.DUMMYFUNCTION("""COMPUTED_VALUE"""),"Black")</f>
        <v>Black</v>
      </c>
    </row>
    <row r="660" spans="1:6" ht="13">
      <c r="A660" s="5" t="str">
        <f ca="1">IFERROR(__xludf.DUMMYFUNCTION("""COMPUTED_VALUE"""),"20200930CADYL")</f>
        <v>20200930CADYL</v>
      </c>
      <c r="B660" s="5" t="str">
        <f ca="1">IFERROR(__xludf.DUMMYFUNCTION("""COMPUTED_VALUE"""),"Wounded")</f>
        <v>Wounded</v>
      </c>
      <c r="C660" s="5"/>
      <c r="D660" s="5" t="str">
        <f ca="1">IFERROR(__xludf.DUMMYFUNCTION("""COMPUTED_VALUE"""),"No Relation")</f>
        <v>No Relation</v>
      </c>
      <c r="E660" s="5" t="str">
        <f ca="1">IFERROR(__xludf.DUMMYFUNCTION("""COMPUTED_VALUE"""),"Adult")</f>
        <v>Adult</v>
      </c>
      <c r="F660" s="5"/>
    </row>
    <row r="661" spans="1:6" ht="13">
      <c r="A661" s="5" t="str">
        <f ca="1">IFERROR(__xludf.DUMMYFUNCTION("""COMPUTED_VALUE"""),"20200928CTEAN")</f>
        <v>20200928CTEAN</v>
      </c>
      <c r="B661" s="5" t="str">
        <f ca="1">IFERROR(__xludf.DUMMYFUNCTION("""COMPUTED_VALUE"""),"Wounded")</f>
        <v>Wounded</v>
      </c>
      <c r="C661" s="5" t="str">
        <f ca="1">IFERROR(__xludf.DUMMYFUNCTION("""COMPUTED_VALUE"""),"Male")</f>
        <v>Male</v>
      </c>
      <c r="D661" s="5" t="str">
        <f ca="1">IFERROR(__xludf.DUMMYFUNCTION("""COMPUTED_VALUE"""),"No Relation")</f>
        <v>No Relation</v>
      </c>
      <c r="E661" s="5">
        <f ca="1">IFERROR(__xludf.DUMMYFUNCTION("""COMPUTED_VALUE"""),18)</f>
        <v>18</v>
      </c>
      <c r="F661" s="5"/>
    </row>
    <row r="662" spans="1:6" ht="13">
      <c r="A662" s="5" t="str">
        <f ca="1">IFERROR(__xludf.DUMMYFUNCTION("""COMPUTED_VALUE"""),"20200925NJHAH")</f>
        <v>20200925NJHAH</v>
      </c>
      <c r="B662" s="5" t="str">
        <f ca="1">IFERROR(__xludf.DUMMYFUNCTION("""COMPUTED_VALUE"""),"Wounded")</f>
        <v>Wounded</v>
      </c>
      <c r="C662" s="5" t="str">
        <f ca="1">IFERROR(__xludf.DUMMYFUNCTION("""COMPUTED_VALUE"""),"Male")</f>
        <v>Male</v>
      </c>
      <c r="D662" s="5" t="str">
        <f ca="1">IFERROR(__xludf.DUMMYFUNCTION("""COMPUTED_VALUE"""),"No Relation")</f>
        <v>No Relation</v>
      </c>
      <c r="E662" s="5">
        <f ca="1">IFERROR(__xludf.DUMMYFUNCTION("""COMPUTED_VALUE"""),41)</f>
        <v>41</v>
      </c>
      <c r="F662" s="5"/>
    </row>
    <row r="663" spans="1:6" ht="13">
      <c r="A663" s="5" t="str">
        <f ca="1">IFERROR(__xludf.DUMMYFUNCTION("""COMPUTED_VALUE"""),"20200923PAWIW")</f>
        <v>20200923PAWIW</v>
      </c>
      <c r="B663" s="5" t="str">
        <f ca="1">IFERROR(__xludf.DUMMYFUNCTION("""COMPUTED_VALUE"""),"None")</f>
        <v>None</v>
      </c>
      <c r="C663" s="5" t="str">
        <f ca="1">IFERROR(__xludf.DUMMYFUNCTION("""COMPUTED_VALUE"""),"Male")</f>
        <v>Male</v>
      </c>
      <c r="D663" s="5"/>
      <c r="E663" s="5"/>
      <c r="F663" s="5"/>
    </row>
    <row r="664" spans="1:6" ht="13">
      <c r="A664" s="5" t="str">
        <f ca="1">IFERROR(__xludf.DUMMYFUNCTION("""COMPUTED_VALUE"""),"20200923FLHIJ")</f>
        <v>20200923FLHIJ</v>
      </c>
      <c r="B664" s="5" t="str">
        <f ca="1">IFERROR(__xludf.DUMMYFUNCTION("""COMPUTED_VALUE"""),"None")</f>
        <v>None</v>
      </c>
      <c r="C664" s="5"/>
      <c r="D664" s="5"/>
      <c r="E664" s="5"/>
      <c r="F664" s="5"/>
    </row>
    <row r="665" spans="1:6" ht="13">
      <c r="A665" s="5" t="str">
        <f ca="1">IFERROR(__xludf.DUMMYFUNCTION("""COMPUTED_VALUE"""),"20200918KYWIL")</f>
        <v>20200918KYWIL</v>
      </c>
      <c r="B665" s="5" t="str">
        <f ca="1">IFERROR(__xludf.DUMMYFUNCTION("""COMPUTED_VALUE"""),"Wounded")</f>
        <v>Wounded</v>
      </c>
      <c r="C665" s="5" t="str">
        <f ca="1">IFERROR(__xludf.DUMMYFUNCTION("""COMPUTED_VALUE"""),"Male")</f>
        <v>Male</v>
      </c>
      <c r="D665" s="5" t="str">
        <f ca="1">IFERROR(__xludf.DUMMYFUNCTION("""COMPUTED_VALUE"""),"Nonstudent Using Athletic Facilities/Attending Game")</f>
        <v>Nonstudent Using Athletic Facilities/Attending Game</v>
      </c>
      <c r="E665" s="5" t="str">
        <f ca="1">IFERROR(__xludf.DUMMYFUNCTION("""COMPUTED_VALUE"""),"Adult")</f>
        <v>Adult</v>
      </c>
      <c r="F665" s="5"/>
    </row>
    <row r="666" spans="1:6" ht="13">
      <c r="A666" s="5" t="str">
        <f ca="1">IFERROR(__xludf.DUMMYFUNCTION("""COMPUTED_VALUE"""),"20200917ORDRP")</f>
        <v>20200917ORDRP</v>
      </c>
      <c r="B666" s="5" t="str">
        <f ca="1">IFERROR(__xludf.DUMMYFUNCTION("""COMPUTED_VALUE"""),"Wounded")</f>
        <v>Wounded</v>
      </c>
      <c r="C666" s="5"/>
      <c r="D666" s="5" t="str">
        <f ca="1">IFERROR(__xludf.DUMMYFUNCTION("""COMPUTED_VALUE"""),"No Relation")</f>
        <v>No Relation</v>
      </c>
      <c r="E666" s="5" t="str">
        <f ca="1">IFERROR(__xludf.DUMMYFUNCTION("""COMPUTED_VALUE"""),"Adult")</f>
        <v>Adult</v>
      </c>
      <c r="F666" s="5"/>
    </row>
    <row r="667" spans="1:6" ht="13">
      <c r="A667" s="5" t="str">
        <f ca="1">IFERROR(__xludf.DUMMYFUNCTION("""COMPUTED_VALUE"""),"20200917OHELA")</f>
        <v>20200917OHELA</v>
      </c>
      <c r="B667" s="5" t="str">
        <f ca="1">IFERROR(__xludf.DUMMYFUNCTION("""COMPUTED_VALUE"""),"Wounded")</f>
        <v>Wounded</v>
      </c>
      <c r="C667" s="5" t="str">
        <f ca="1">IFERROR(__xludf.DUMMYFUNCTION("""COMPUTED_VALUE"""),"Male")</f>
        <v>Male</v>
      </c>
      <c r="D667" s="5" t="str">
        <f ca="1">IFERROR(__xludf.DUMMYFUNCTION("""COMPUTED_VALUE"""),"Nonstudent Using Athletic Facilities/Attending Game")</f>
        <v>Nonstudent Using Athletic Facilities/Attending Game</v>
      </c>
      <c r="E667" s="5">
        <f ca="1">IFERROR(__xludf.DUMMYFUNCTION("""COMPUTED_VALUE"""),19)</f>
        <v>19</v>
      </c>
      <c r="F667" s="5"/>
    </row>
    <row r="668" spans="1:6" ht="13">
      <c r="A668" s="5" t="str">
        <f ca="1">IFERROR(__xludf.DUMMYFUNCTION("""COMPUTED_VALUE"""),"20200917OHELA")</f>
        <v>20200917OHELA</v>
      </c>
      <c r="B668" s="5" t="str">
        <f ca="1">IFERROR(__xludf.DUMMYFUNCTION("""COMPUTED_VALUE"""),"Wounded")</f>
        <v>Wounded</v>
      </c>
      <c r="C668" s="5" t="str">
        <f ca="1">IFERROR(__xludf.DUMMYFUNCTION("""COMPUTED_VALUE"""),"Female")</f>
        <v>Female</v>
      </c>
      <c r="D668" s="5" t="str">
        <f ca="1">IFERROR(__xludf.DUMMYFUNCTION("""COMPUTED_VALUE"""),"Nonstudent Using Athletic Facilities/Attending Game")</f>
        <v>Nonstudent Using Athletic Facilities/Attending Game</v>
      </c>
      <c r="E668" s="5">
        <f ca="1">IFERROR(__xludf.DUMMYFUNCTION("""COMPUTED_VALUE"""),40)</f>
        <v>40</v>
      </c>
      <c r="F668" s="5"/>
    </row>
    <row r="669" spans="1:6" ht="13">
      <c r="A669" s="5" t="str">
        <f ca="1">IFERROR(__xludf.DUMMYFUNCTION("""COMPUTED_VALUE"""),"20200916WAARG")</f>
        <v>20200916WAARG</v>
      </c>
      <c r="B669" s="5" t="str">
        <f ca="1">IFERROR(__xludf.DUMMYFUNCTION("""COMPUTED_VALUE"""),"Wounded")</f>
        <v>Wounded</v>
      </c>
      <c r="C669" s="5" t="str">
        <f ca="1">IFERROR(__xludf.DUMMYFUNCTION("""COMPUTED_VALUE"""),"Male")</f>
        <v>Male</v>
      </c>
      <c r="D669" s="5" t="str">
        <f ca="1">IFERROR(__xludf.DUMMYFUNCTION("""COMPUTED_VALUE"""),"No Relation")</f>
        <v>No Relation</v>
      </c>
      <c r="E669" s="5" t="str">
        <f ca="1">IFERROR(__xludf.DUMMYFUNCTION("""COMPUTED_VALUE"""),"Adult")</f>
        <v>Adult</v>
      </c>
      <c r="F669" s="5"/>
    </row>
    <row r="670" spans="1:6" ht="13">
      <c r="A670" s="5" t="str">
        <f ca="1">IFERROR(__xludf.DUMMYFUNCTION("""COMPUTED_VALUE"""),"20200916CASOS")</f>
        <v>20200916CASOS</v>
      </c>
      <c r="B670" s="5" t="str">
        <f ca="1">IFERROR(__xludf.DUMMYFUNCTION("""COMPUTED_VALUE"""),"Fatal")</f>
        <v>Fatal</v>
      </c>
      <c r="C670" s="5" t="str">
        <f ca="1">IFERROR(__xludf.DUMMYFUNCTION("""COMPUTED_VALUE"""),"Male")</f>
        <v>Male</v>
      </c>
      <c r="D670" s="5"/>
      <c r="E670" s="5">
        <f ca="1">IFERROR(__xludf.DUMMYFUNCTION("""COMPUTED_VALUE"""),17)</f>
        <v>17</v>
      </c>
      <c r="F670" s="5"/>
    </row>
    <row r="671" spans="1:6" ht="13">
      <c r="A671" s="5" t="str">
        <f ca="1">IFERROR(__xludf.DUMMYFUNCTION("""COMPUTED_VALUE"""),"20200910ILPEP")</f>
        <v>20200910ILPEP</v>
      </c>
      <c r="B671" s="5" t="str">
        <f ca="1">IFERROR(__xludf.DUMMYFUNCTION("""COMPUTED_VALUE"""),"None")</f>
        <v>None</v>
      </c>
      <c r="C671" s="5"/>
      <c r="D671" s="5" t="str">
        <f ca="1">IFERROR(__xludf.DUMMYFUNCTION("""COMPUTED_VALUE"""),"Student")</f>
        <v>Student</v>
      </c>
      <c r="E671" s="5"/>
      <c r="F671" s="5"/>
    </row>
    <row r="672" spans="1:6" ht="13">
      <c r="A672" s="5" t="str">
        <f ca="1">IFERROR(__xludf.DUMMYFUNCTION("""COMPUTED_VALUE"""),"20200909TXSOH")</f>
        <v>20200909TXSOH</v>
      </c>
      <c r="B672" s="5" t="str">
        <f ca="1">IFERROR(__xludf.DUMMYFUNCTION("""COMPUTED_VALUE"""),"Wounded")</f>
        <v>Wounded</v>
      </c>
      <c r="C672" s="5" t="str">
        <f ca="1">IFERROR(__xludf.DUMMYFUNCTION("""COMPUTED_VALUE"""),"Male")</f>
        <v>Male</v>
      </c>
      <c r="D672" s="5" t="str">
        <f ca="1">IFERROR(__xludf.DUMMYFUNCTION("""COMPUTED_VALUE"""),"No Relation")</f>
        <v>No Relation</v>
      </c>
      <c r="E672" s="5">
        <f ca="1">IFERROR(__xludf.DUMMYFUNCTION("""COMPUTED_VALUE"""),18)</f>
        <v>18</v>
      </c>
      <c r="F672" s="5"/>
    </row>
    <row r="673" spans="1:6" ht="13">
      <c r="A673" s="5" t="str">
        <f ca="1">IFERROR(__xludf.DUMMYFUNCTION("""COMPUTED_VALUE"""),"20200909PAWEW")</f>
        <v>20200909PAWEW</v>
      </c>
      <c r="B673" s="5" t="str">
        <f ca="1">IFERROR(__xludf.DUMMYFUNCTION("""COMPUTED_VALUE"""),"None")</f>
        <v>None</v>
      </c>
      <c r="C673" s="5" t="str">
        <f ca="1">IFERROR(__xludf.DUMMYFUNCTION("""COMPUTED_VALUE"""),"Male")</f>
        <v>Male</v>
      </c>
      <c r="D673" s="5" t="str">
        <f ca="1">IFERROR(__xludf.DUMMYFUNCTION("""COMPUTED_VALUE"""),"No Relation")</f>
        <v>No Relation</v>
      </c>
      <c r="E673" s="5" t="str">
        <f ca="1">IFERROR(__xludf.DUMMYFUNCTION("""COMPUTED_VALUE"""),"Adult")</f>
        <v>Adult</v>
      </c>
      <c r="F673" s="5"/>
    </row>
    <row r="674" spans="1:6" ht="13">
      <c r="A674" s="5" t="str">
        <f ca="1">IFERROR(__xludf.DUMMYFUNCTION("""COMPUTED_VALUE"""),"20200904FLLOJ")</f>
        <v>20200904FLLOJ</v>
      </c>
      <c r="B674" s="5" t="str">
        <f ca="1">IFERROR(__xludf.DUMMYFUNCTION("""COMPUTED_VALUE"""),"Wounded")</f>
        <v>Wounded</v>
      </c>
      <c r="C674" s="5" t="str">
        <f ca="1">IFERROR(__xludf.DUMMYFUNCTION("""COMPUTED_VALUE"""),"Male")</f>
        <v>Male</v>
      </c>
      <c r="D674" s="5" t="str">
        <f ca="1">IFERROR(__xludf.DUMMYFUNCTION("""COMPUTED_VALUE"""),"No Relation")</f>
        <v>No Relation</v>
      </c>
      <c r="E674" s="5">
        <f ca="1">IFERROR(__xludf.DUMMYFUNCTION("""COMPUTED_VALUE"""),27)</f>
        <v>27</v>
      </c>
      <c r="F674" s="5"/>
    </row>
    <row r="675" spans="1:6" ht="13">
      <c r="A675" s="5" t="str">
        <f ca="1">IFERROR(__xludf.DUMMYFUNCTION("""COMPUTED_VALUE"""),"20200903GADOA")</f>
        <v>20200903GADOA</v>
      </c>
      <c r="B675" s="5" t="str">
        <f ca="1">IFERROR(__xludf.DUMMYFUNCTION("""COMPUTED_VALUE"""),"Fatal")</f>
        <v>Fatal</v>
      </c>
      <c r="C675" s="5" t="str">
        <f ca="1">IFERROR(__xludf.DUMMYFUNCTION("""COMPUTED_VALUE"""),"Male")</f>
        <v>Male</v>
      </c>
      <c r="D675" s="5" t="str">
        <f ca="1">IFERROR(__xludf.DUMMYFUNCTION("""COMPUTED_VALUE"""),"No Relation")</f>
        <v>No Relation</v>
      </c>
      <c r="E675" s="5">
        <f ca="1">IFERROR(__xludf.DUMMYFUNCTION("""COMPUTED_VALUE"""),18)</f>
        <v>18</v>
      </c>
      <c r="F675" s="5"/>
    </row>
    <row r="676" spans="1:6" ht="13">
      <c r="A676" s="5" t="str">
        <f ca="1">IFERROR(__xludf.DUMMYFUNCTION("""COMPUTED_VALUE"""),"20200830TXLOD")</f>
        <v>20200830TXLOD</v>
      </c>
      <c r="B676" s="5" t="str">
        <f ca="1">IFERROR(__xludf.DUMMYFUNCTION("""COMPUTED_VALUE"""),"Fatal")</f>
        <v>Fatal</v>
      </c>
      <c r="C676" s="5" t="str">
        <f ca="1">IFERROR(__xludf.DUMMYFUNCTION("""COMPUTED_VALUE"""),"Male")</f>
        <v>Male</v>
      </c>
      <c r="D676" s="5" t="str">
        <f ca="1">IFERROR(__xludf.DUMMYFUNCTION("""COMPUTED_VALUE"""),"No Relation")</f>
        <v>No Relation</v>
      </c>
      <c r="E676" s="5">
        <f ca="1">IFERROR(__xludf.DUMMYFUNCTION("""COMPUTED_VALUE"""),27)</f>
        <v>27</v>
      </c>
      <c r="F676" s="5" t="str">
        <f ca="1">IFERROR(__xludf.DUMMYFUNCTION("""COMPUTED_VALUE"""),"Hispanic")</f>
        <v>Hispanic</v>
      </c>
    </row>
    <row r="677" spans="1:6" ht="13">
      <c r="A677" s="5" t="str">
        <f ca="1">IFERROR(__xludf.DUMMYFUNCTION("""COMPUTED_VALUE"""),"20200825MOWEC")</f>
        <v>20200825MOWEC</v>
      </c>
      <c r="B677" s="5" t="str">
        <f ca="1">IFERROR(__xludf.DUMMYFUNCTION("""COMPUTED_VALUE"""),"Wounded")</f>
        <v>Wounded</v>
      </c>
      <c r="C677" s="5" t="str">
        <f ca="1">IFERROR(__xludf.DUMMYFUNCTION("""COMPUTED_VALUE"""),"Male")</f>
        <v>Male</v>
      </c>
      <c r="D677" s="5" t="str">
        <f ca="1">IFERROR(__xludf.DUMMYFUNCTION("""COMPUTED_VALUE"""),"No Relation")</f>
        <v>No Relation</v>
      </c>
      <c r="E677" s="5" t="str">
        <f ca="1">IFERROR(__xludf.DUMMYFUNCTION("""COMPUTED_VALUE"""),"Adult")</f>
        <v>Adult</v>
      </c>
      <c r="F677" s="5"/>
    </row>
    <row r="678" spans="1:6" ht="13">
      <c r="A678" s="5" t="str">
        <f ca="1">IFERROR(__xludf.DUMMYFUNCTION("""COMPUTED_VALUE"""),"20200817MIABG")</f>
        <v>20200817MIABG</v>
      </c>
      <c r="B678" s="5" t="str">
        <f ca="1">IFERROR(__xludf.DUMMYFUNCTION("""COMPUTED_VALUE"""),"Wounded")</f>
        <v>Wounded</v>
      </c>
      <c r="C678" s="5" t="str">
        <f ca="1">IFERROR(__xludf.DUMMYFUNCTION("""COMPUTED_VALUE"""),"Male")</f>
        <v>Male</v>
      </c>
      <c r="D678" s="5" t="str">
        <f ca="1">IFERROR(__xludf.DUMMYFUNCTION("""COMPUTED_VALUE"""),"No Relation")</f>
        <v>No Relation</v>
      </c>
      <c r="E678" s="5" t="str">
        <f ca="1">IFERROR(__xludf.DUMMYFUNCTION("""COMPUTED_VALUE"""),"Adult")</f>
        <v>Adult</v>
      </c>
      <c r="F678" s="5"/>
    </row>
    <row r="679" spans="1:6" ht="13">
      <c r="A679" s="5" t="str">
        <f ca="1">IFERROR(__xludf.DUMMYFUNCTION("""COMPUTED_VALUE"""),"20200804PAKEP")</f>
        <v>20200804PAKEP</v>
      </c>
      <c r="B679" s="5" t="str">
        <f ca="1">IFERROR(__xludf.DUMMYFUNCTION("""COMPUTED_VALUE"""),"Fatal")</f>
        <v>Fatal</v>
      </c>
      <c r="C679" s="5" t="str">
        <f ca="1">IFERROR(__xludf.DUMMYFUNCTION("""COMPUTED_VALUE"""),"Male")</f>
        <v>Male</v>
      </c>
      <c r="D679" s="5" t="str">
        <f ca="1">IFERROR(__xludf.DUMMYFUNCTION("""COMPUTED_VALUE"""),"No Relation")</f>
        <v>No Relation</v>
      </c>
      <c r="E679" s="5">
        <f ca="1">IFERROR(__xludf.DUMMYFUNCTION("""COMPUTED_VALUE"""),26)</f>
        <v>26</v>
      </c>
      <c r="F679" s="5"/>
    </row>
    <row r="680" spans="1:6" ht="13">
      <c r="A680" s="5" t="str">
        <f ca="1">IFERROR(__xludf.DUMMYFUNCTION("""COMPUTED_VALUE"""),"20200721SCBRO")</f>
        <v>20200721SCBRO</v>
      </c>
      <c r="B680" s="5" t="str">
        <f ca="1">IFERROR(__xludf.DUMMYFUNCTION("""COMPUTED_VALUE"""),"Fatal")</f>
        <v>Fatal</v>
      </c>
      <c r="C680" s="5" t="str">
        <f ca="1">IFERROR(__xludf.DUMMYFUNCTION("""COMPUTED_VALUE"""),"Male")</f>
        <v>Male</v>
      </c>
      <c r="D680" s="5" t="str">
        <f ca="1">IFERROR(__xludf.DUMMYFUNCTION("""COMPUTED_VALUE"""),"Nonstudent Using Athletic Facilities/Attending Game")</f>
        <v>Nonstudent Using Athletic Facilities/Attending Game</v>
      </c>
      <c r="E680" s="5">
        <f ca="1">IFERROR(__xludf.DUMMYFUNCTION("""COMPUTED_VALUE"""),28)</f>
        <v>28</v>
      </c>
      <c r="F680" s="5"/>
    </row>
    <row r="681" spans="1:6" ht="13">
      <c r="A681" s="5" t="str">
        <f ca="1">IFERROR(__xludf.DUMMYFUNCTION("""COMPUTED_VALUE"""),"20200714MIWID")</f>
        <v>20200714MIWID</v>
      </c>
      <c r="B681" s="5" t="str">
        <f ca="1">IFERROR(__xludf.DUMMYFUNCTION("""COMPUTED_VALUE"""),"None")</f>
        <v>None</v>
      </c>
      <c r="C681" s="5"/>
      <c r="D681" s="5"/>
      <c r="E681" s="5"/>
      <c r="F681" s="5"/>
    </row>
    <row r="682" spans="1:6" ht="13">
      <c r="A682" s="5" t="str">
        <f ca="1">IFERROR(__xludf.DUMMYFUNCTION("""COMPUTED_VALUE"""),"20200704INLAM")</f>
        <v>20200704INLAM</v>
      </c>
      <c r="B682" s="5" t="str">
        <f ca="1">IFERROR(__xludf.DUMMYFUNCTION("""COMPUTED_VALUE"""),"Fatal")</f>
        <v>Fatal</v>
      </c>
      <c r="C682" s="5" t="str">
        <f ca="1">IFERROR(__xludf.DUMMYFUNCTION("""COMPUTED_VALUE"""),"Male")</f>
        <v>Male</v>
      </c>
      <c r="D682" s="5" t="str">
        <f ca="1">IFERROR(__xludf.DUMMYFUNCTION("""COMPUTED_VALUE"""),"No Relation")</f>
        <v>No Relation</v>
      </c>
      <c r="E682" s="5"/>
      <c r="F682" s="5" t="str">
        <f ca="1">IFERROR(__xludf.DUMMYFUNCTION("""COMPUTED_VALUE"""),"Hispanic")</f>
        <v>Hispanic</v>
      </c>
    </row>
    <row r="683" spans="1:6" ht="13">
      <c r="A683" s="5" t="str">
        <f ca="1">IFERROR(__xludf.DUMMYFUNCTION("""COMPUTED_VALUE"""),"20200701ILFRP")</f>
        <v>20200701ILFRP</v>
      </c>
      <c r="B683" s="5" t="str">
        <f ca="1">IFERROR(__xludf.DUMMYFUNCTION("""COMPUTED_VALUE"""),"None")</f>
        <v>None</v>
      </c>
      <c r="C683" s="5"/>
      <c r="D683" s="5"/>
      <c r="E683" s="5"/>
      <c r="F683" s="5"/>
    </row>
    <row r="684" spans="1:6" ht="13">
      <c r="A684" s="5" t="str">
        <f ca="1">IFERROR(__xludf.DUMMYFUNCTION("""COMPUTED_VALUE"""),"20200618INJOI")</f>
        <v>20200618INJOI</v>
      </c>
      <c r="B684" s="5" t="str">
        <f ca="1">IFERROR(__xludf.DUMMYFUNCTION("""COMPUTED_VALUE"""),"Fatal")</f>
        <v>Fatal</v>
      </c>
      <c r="C684" s="5" t="str">
        <f ca="1">IFERROR(__xludf.DUMMYFUNCTION("""COMPUTED_VALUE"""),"Male")</f>
        <v>Male</v>
      </c>
      <c r="D684" s="5" t="str">
        <f ca="1">IFERROR(__xludf.DUMMYFUNCTION("""COMPUTED_VALUE"""),"No Relation")</f>
        <v>No Relation</v>
      </c>
      <c r="E684" s="5">
        <f ca="1">IFERROR(__xludf.DUMMYFUNCTION("""COMPUTED_VALUE"""),37)</f>
        <v>37</v>
      </c>
      <c r="F684" s="5"/>
    </row>
    <row r="685" spans="1:6" ht="13">
      <c r="A685" s="5" t="str">
        <f ca="1">IFERROR(__xludf.DUMMYFUNCTION("""COMPUTED_VALUE"""),"20200616FLTOM")</f>
        <v>20200616FLTOM</v>
      </c>
      <c r="B685" s="5" t="str">
        <f ca="1">IFERROR(__xludf.DUMMYFUNCTION("""COMPUTED_VALUE"""),"Fatal")</f>
        <v>Fatal</v>
      </c>
      <c r="C685" s="5" t="str">
        <f ca="1">IFERROR(__xludf.DUMMYFUNCTION("""COMPUTED_VALUE"""),"Male")</f>
        <v>Male</v>
      </c>
      <c r="D685" s="5" t="str">
        <f ca="1">IFERROR(__xludf.DUMMYFUNCTION("""COMPUTED_VALUE"""),"No Relation")</f>
        <v>No Relation</v>
      </c>
      <c r="E685" s="5" t="str">
        <f ca="1">IFERROR(__xludf.DUMMYFUNCTION("""COMPUTED_VALUE"""),"Adult")</f>
        <v>Adult</v>
      </c>
      <c r="F685" s="5"/>
    </row>
    <row r="686" spans="1:6" ht="13">
      <c r="A686" s="5" t="str">
        <f ca="1">IFERROR(__xludf.DUMMYFUNCTION("""COMPUTED_VALUE"""),"20200616FLTOM")</f>
        <v>20200616FLTOM</v>
      </c>
      <c r="B686" s="5" t="str">
        <f ca="1">IFERROR(__xludf.DUMMYFUNCTION("""COMPUTED_VALUE"""),"Wounded")</f>
        <v>Wounded</v>
      </c>
      <c r="C686" s="5" t="str">
        <f ca="1">IFERROR(__xludf.DUMMYFUNCTION("""COMPUTED_VALUE"""),"Male")</f>
        <v>Male</v>
      </c>
      <c r="D686" s="5" t="str">
        <f ca="1">IFERROR(__xludf.DUMMYFUNCTION("""COMPUTED_VALUE"""),"No Relation")</f>
        <v>No Relation</v>
      </c>
      <c r="E686" s="5" t="str">
        <f ca="1">IFERROR(__xludf.DUMMYFUNCTION("""COMPUTED_VALUE"""),"Adult")</f>
        <v>Adult</v>
      </c>
      <c r="F686" s="5"/>
    </row>
    <row r="687" spans="1:6" ht="13">
      <c r="A687" s="5" t="str">
        <f ca="1">IFERROR(__xludf.DUMMYFUNCTION("""COMPUTED_VALUE"""),"20200603IAGAD")</f>
        <v>20200603IAGAD</v>
      </c>
      <c r="B687" s="5" t="str">
        <f ca="1">IFERROR(__xludf.DUMMYFUNCTION("""COMPUTED_VALUE"""),"Wounded")</f>
        <v>Wounded</v>
      </c>
      <c r="C687" s="5" t="str">
        <f ca="1">IFERROR(__xludf.DUMMYFUNCTION("""COMPUTED_VALUE"""),"Male")</f>
        <v>Male</v>
      </c>
      <c r="D687" s="5" t="str">
        <f ca="1">IFERROR(__xludf.DUMMYFUNCTION("""COMPUTED_VALUE"""),"No Relation")</f>
        <v>No Relation</v>
      </c>
      <c r="E687" s="5">
        <f ca="1">IFERROR(__xludf.DUMMYFUNCTION("""COMPUTED_VALUE"""),18)</f>
        <v>18</v>
      </c>
      <c r="F687" s="5"/>
    </row>
    <row r="688" spans="1:6" ht="13">
      <c r="A688" s="5" t="str">
        <f ca="1">IFERROR(__xludf.DUMMYFUNCTION("""COMPUTED_VALUE"""),"20200527OHLUC")</f>
        <v>20200527OHLUC</v>
      </c>
      <c r="B688" s="5" t="str">
        <f ca="1">IFERROR(__xludf.DUMMYFUNCTION("""COMPUTED_VALUE"""),"None")</f>
        <v>None</v>
      </c>
      <c r="C688" s="5"/>
      <c r="D688" s="5"/>
      <c r="E688" s="5"/>
      <c r="F688" s="5"/>
    </row>
    <row r="689" spans="1:6" ht="13">
      <c r="A689" s="5" t="str">
        <f ca="1">IFERROR(__xludf.DUMMYFUNCTION("""COMPUTED_VALUE"""),"20200525ALORM")</f>
        <v>20200525ALORM</v>
      </c>
      <c r="B689" s="5" t="str">
        <f ca="1">IFERROR(__xludf.DUMMYFUNCTION("""COMPUTED_VALUE"""),"Wounded")</f>
        <v>Wounded</v>
      </c>
      <c r="C689" s="5" t="str">
        <f ca="1">IFERROR(__xludf.DUMMYFUNCTION("""COMPUTED_VALUE"""),"Male")</f>
        <v>Male</v>
      </c>
      <c r="D689" s="5" t="str">
        <f ca="1">IFERROR(__xludf.DUMMYFUNCTION("""COMPUTED_VALUE"""),"No Relation")</f>
        <v>No Relation</v>
      </c>
      <c r="E689" s="5" t="str">
        <f ca="1">IFERROR(__xludf.DUMMYFUNCTION("""COMPUTED_VALUE"""),"Adult")</f>
        <v>Adult</v>
      </c>
      <c r="F689" s="5"/>
    </row>
    <row r="690" spans="1:6" ht="13">
      <c r="A690" s="5" t="str">
        <f ca="1">IFERROR(__xludf.DUMMYFUNCTION("""COMPUTED_VALUE"""),"20200525ALORM")</f>
        <v>20200525ALORM</v>
      </c>
      <c r="B690" s="5" t="str">
        <f ca="1">IFERROR(__xludf.DUMMYFUNCTION("""COMPUTED_VALUE"""),"Wounded")</f>
        <v>Wounded</v>
      </c>
      <c r="C690" s="5" t="str">
        <f ca="1">IFERROR(__xludf.DUMMYFUNCTION("""COMPUTED_VALUE"""),"Male")</f>
        <v>Male</v>
      </c>
      <c r="D690" s="5" t="str">
        <f ca="1">IFERROR(__xludf.DUMMYFUNCTION("""COMPUTED_VALUE"""),"No Relation")</f>
        <v>No Relation</v>
      </c>
      <c r="E690" s="5" t="str">
        <f ca="1">IFERROR(__xludf.DUMMYFUNCTION("""COMPUTED_VALUE"""),"Adult")</f>
        <v>Adult</v>
      </c>
      <c r="F690" s="5"/>
    </row>
    <row r="691" spans="1:6" ht="13">
      <c r="A691" s="5" t="str">
        <f ca="1">IFERROR(__xludf.DUMMYFUNCTION("""COMPUTED_VALUE"""),"20200525ALORM")</f>
        <v>20200525ALORM</v>
      </c>
      <c r="B691" s="5" t="str">
        <f ca="1">IFERROR(__xludf.DUMMYFUNCTION("""COMPUTED_VALUE"""),"Wounded")</f>
        <v>Wounded</v>
      </c>
      <c r="C691" s="5" t="str">
        <f ca="1">IFERROR(__xludf.DUMMYFUNCTION("""COMPUTED_VALUE"""),"Male")</f>
        <v>Male</v>
      </c>
      <c r="D691" s="5" t="str">
        <f ca="1">IFERROR(__xludf.DUMMYFUNCTION("""COMPUTED_VALUE"""),"No Relation")</f>
        <v>No Relation</v>
      </c>
      <c r="E691" s="5" t="str">
        <f ca="1">IFERROR(__xludf.DUMMYFUNCTION("""COMPUTED_VALUE"""),"Adult")</f>
        <v>Adult</v>
      </c>
      <c r="F691" s="5"/>
    </row>
    <row r="692" spans="1:6" ht="13">
      <c r="A692" s="5" t="str">
        <f ca="1">IFERROR(__xludf.DUMMYFUNCTION("""COMPUTED_VALUE"""),"20200522OHMIC")</f>
        <v>20200522OHMIC</v>
      </c>
      <c r="B692" s="5" t="str">
        <f ca="1">IFERROR(__xludf.DUMMYFUNCTION("""COMPUTED_VALUE"""),"Fatal")</f>
        <v>Fatal</v>
      </c>
      <c r="C692" s="5" t="str">
        <f ca="1">IFERROR(__xludf.DUMMYFUNCTION("""COMPUTED_VALUE"""),"Male")</f>
        <v>Male</v>
      </c>
      <c r="D692" s="5" t="str">
        <f ca="1">IFERROR(__xludf.DUMMYFUNCTION("""COMPUTED_VALUE"""),"No Relation")</f>
        <v>No Relation</v>
      </c>
      <c r="E692" s="5">
        <f ca="1">IFERROR(__xludf.DUMMYFUNCTION("""COMPUTED_VALUE"""),34)</f>
        <v>34</v>
      </c>
      <c r="F692" s="5"/>
    </row>
    <row r="693" spans="1:6" ht="13">
      <c r="A693" s="5" t="str">
        <f ca="1">IFERROR(__xludf.DUMMYFUNCTION("""COMPUTED_VALUE"""),"20200519VAWEM")</f>
        <v>20200519VAWEM</v>
      </c>
      <c r="B693" s="5" t="str">
        <f ca="1">IFERROR(__xludf.DUMMYFUNCTION("""COMPUTED_VALUE"""),"None")</f>
        <v>None</v>
      </c>
      <c r="C693" s="5"/>
      <c r="D693" s="5"/>
      <c r="E693" s="5"/>
      <c r="F693" s="5"/>
    </row>
    <row r="694" spans="1:6" ht="13">
      <c r="A694" s="5" t="str">
        <f ca="1">IFERROR(__xludf.DUMMYFUNCTION("""COMPUTED_VALUE"""),"20200515NCSTC")</f>
        <v>20200515NCSTC</v>
      </c>
      <c r="B694" s="5" t="str">
        <f ca="1">IFERROR(__xludf.DUMMYFUNCTION("""COMPUTED_VALUE"""),"None")</f>
        <v>None</v>
      </c>
      <c r="C694" s="5"/>
      <c r="D694" s="5"/>
      <c r="E694" s="5"/>
      <c r="F694" s="5"/>
    </row>
    <row r="695" spans="1:6" ht="13">
      <c r="A695" s="5" t="str">
        <f ca="1">IFERROR(__xludf.DUMMYFUNCTION("""COMPUTED_VALUE"""),"20200505CAGOV")</f>
        <v>20200505CAGOV</v>
      </c>
      <c r="B695" s="5" t="str">
        <f ca="1">IFERROR(__xludf.DUMMYFUNCTION("""COMPUTED_VALUE"""),"Fatal")</f>
        <v>Fatal</v>
      </c>
      <c r="C695" s="5" t="str">
        <f ca="1">IFERROR(__xludf.DUMMYFUNCTION("""COMPUTED_VALUE"""),"Male")</f>
        <v>Male</v>
      </c>
      <c r="D695" s="5" t="str">
        <f ca="1">IFERROR(__xludf.DUMMYFUNCTION("""COMPUTED_VALUE"""),"No Relation")</f>
        <v>No Relation</v>
      </c>
      <c r="E695" s="5">
        <f ca="1">IFERROR(__xludf.DUMMYFUNCTION("""COMPUTED_VALUE"""),19)</f>
        <v>19</v>
      </c>
      <c r="F695" s="5" t="str">
        <f ca="1">IFERROR(__xludf.DUMMYFUNCTION("""COMPUTED_VALUE"""),"Hispanic")</f>
        <v>Hispanic</v>
      </c>
    </row>
    <row r="696" spans="1:6" ht="13">
      <c r="A696" s="5" t="str">
        <f ca="1">IFERROR(__xludf.DUMMYFUNCTION("""COMPUTED_VALUE"""),"20200505CAGOV")</f>
        <v>20200505CAGOV</v>
      </c>
      <c r="B696" s="5" t="str">
        <f ca="1">IFERROR(__xludf.DUMMYFUNCTION("""COMPUTED_VALUE"""),"Fatal")</f>
        <v>Fatal</v>
      </c>
      <c r="C696" s="5" t="str">
        <f ca="1">IFERROR(__xludf.DUMMYFUNCTION("""COMPUTED_VALUE"""),"Male")</f>
        <v>Male</v>
      </c>
      <c r="D696" s="5" t="str">
        <f ca="1">IFERROR(__xludf.DUMMYFUNCTION("""COMPUTED_VALUE"""),"No Relation")</f>
        <v>No Relation</v>
      </c>
      <c r="E696" s="5">
        <f ca="1">IFERROR(__xludf.DUMMYFUNCTION("""COMPUTED_VALUE"""),19)</f>
        <v>19</v>
      </c>
      <c r="F696" s="5" t="str">
        <f ca="1">IFERROR(__xludf.DUMMYFUNCTION("""COMPUTED_VALUE"""),"Hispanic")</f>
        <v>Hispanic</v>
      </c>
    </row>
    <row r="697" spans="1:6" ht="13">
      <c r="A697" s="5" t="str">
        <f ca="1">IFERROR(__xludf.DUMMYFUNCTION("""COMPUTED_VALUE"""),"20200505CAGOV")</f>
        <v>20200505CAGOV</v>
      </c>
      <c r="B697" s="5" t="str">
        <f ca="1">IFERROR(__xludf.DUMMYFUNCTION("""COMPUTED_VALUE"""),"Fatal")</f>
        <v>Fatal</v>
      </c>
      <c r="C697" s="5" t="str">
        <f ca="1">IFERROR(__xludf.DUMMYFUNCTION("""COMPUTED_VALUE"""),"Male")</f>
        <v>Male</v>
      </c>
      <c r="D697" s="5" t="str">
        <f ca="1">IFERROR(__xludf.DUMMYFUNCTION("""COMPUTED_VALUE"""),"No Relation")</f>
        <v>No Relation</v>
      </c>
      <c r="E697" s="5">
        <f ca="1">IFERROR(__xludf.DUMMYFUNCTION("""COMPUTED_VALUE"""),18)</f>
        <v>18</v>
      </c>
      <c r="F697" s="5" t="str">
        <f ca="1">IFERROR(__xludf.DUMMYFUNCTION("""COMPUTED_VALUE"""),"Hispanic")</f>
        <v>Hispanic</v>
      </c>
    </row>
    <row r="698" spans="1:6" ht="13">
      <c r="A698" s="5" t="str">
        <f ca="1">IFERROR(__xludf.DUMMYFUNCTION("""COMPUTED_VALUE"""),"20200413NEMOO")</f>
        <v>20200413NEMOO</v>
      </c>
      <c r="B698" s="5" t="str">
        <f ca="1">IFERROR(__xludf.DUMMYFUNCTION("""COMPUTED_VALUE"""),"Wounded")</f>
        <v>Wounded</v>
      </c>
      <c r="C698" s="5" t="str">
        <f ca="1">IFERROR(__xludf.DUMMYFUNCTION("""COMPUTED_VALUE"""),"Male")</f>
        <v>Male</v>
      </c>
      <c r="D698" s="5" t="str">
        <f ca="1">IFERROR(__xludf.DUMMYFUNCTION("""COMPUTED_VALUE"""),"No Relation")</f>
        <v>No Relation</v>
      </c>
      <c r="E698" s="5">
        <f ca="1">IFERROR(__xludf.DUMMYFUNCTION("""COMPUTED_VALUE"""),18)</f>
        <v>18</v>
      </c>
      <c r="F698" s="5"/>
    </row>
    <row r="699" spans="1:6" ht="13">
      <c r="A699" s="5" t="str">
        <f ca="1">IFERROR(__xludf.DUMMYFUNCTION("""COMPUTED_VALUE"""),"20200330GANAS")</f>
        <v>20200330GANAS</v>
      </c>
      <c r="B699" s="5" t="str">
        <f ca="1">IFERROR(__xludf.DUMMYFUNCTION("""COMPUTED_VALUE"""),"Wounded")</f>
        <v>Wounded</v>
      </c>
      <c r="C699" s="5"/>
      <c r="D699" s="5" t="str">
        <f ca="1">IFERROR(__xludf.DUMMYFUNCTION("""COMPUTED_VALUE"""),"No Relation")</f>
        <v>No Relation</v>
      </c>
      <c r="E699" s="5"/>
      <c r="F699" s="5"/>
    </row>
    <row r="700" spans="1:6" ht="13">
      <c r="A700" s="5" t="str">
        <f ca="1">IFERROR(__xludf.DUMMYFUNCTION("""COMPUTED_VALUE"""),"20200330GANAS")</f>
        <v>20200330GANAS</v>
      </c>
      <c r="B700" s="5" t="str">
        <f ca="1">IFERROR(__xludf.DUMMYFUNCTION("""COMPUTED_VALUE"""),"Wounded")</f>
        <v>Wounded</v>
      </c>
      <c r="C700" s="5"/>
      <c r="D700" s="5" t="str">
        <f ca="1">IFERROR(__xludf.DUMMYFUNCTION("""COMPUTED_VALUE"""),"No Relation")</f>
        <v>No Relation</v>
      </c>
      <c r="E700" s="5"/>
      <c r="F700" s="5"/>
    </row>
    <row r="701" spans="1:6" ht="13">
      <c r="A701" s="5" t="str">
        <f ca="1">IFERROR(__xludf.DUMMYFUNCTION("""COMPUTED_VALUE"""),"20200330GANAS")</f>
        <v>20200330GANAS</v>
      </c>
      <c r="B701" s="5" t="str">
        <f ca="1">IFERROR(__xludf.DUMMYFUNCTION("""COMPUTED_VALUE"""),"Wounded")</f>
        <v>Wounded</v>
      </c>
      <c r="C701" s="5"/>
      <c r="D701" s="5" t="str">
        <f ca="1">IFERROR(__xludf.DUMMYFUNCTION("""COMPUTED_VALUE"""),"No Relation")</f>
        <v>No Relation</v>
      </c>
      <c r="E701" s="5"/>
      <c r="F701" s="5"/>
    </row>
    <row r="702" spans="1:6" ht="13">
      <c r="A702" s="5" t="str">
        <f ca="1">IFERROR(__xludf.DUMMYFUNCTION("""COMPUTED_VALUE"""),"20200324LAROM")</f>
        <v>20200324LAROM</v>
      </c>
      <c r="B702" s="5" t="str">
        <f ca="1">IFERROR(__xludf.DUMMYFUNCTION("""COMPUTED_VALUE"""),"Wounded")</f>
        <v>Wounded</v>
      </c>
      <c r="C702" s="5" t="str">
        <f ca="1">IFERROR(__xludf.DUMMYFUNCTION("""COMPUTED_VALUE"""),"Male")</f>
        <v>Male</v>
      </c>
      <c r="D702" s="5"/>
      <c r="E702" s="5"/>
      <c r="F702" s="5"/>
    </row>
    <row r="703" spans="1:6" ht="13">
      <c r="A703" s="5" t="str">
        <f ca="1">IFERROR(__xludf.DUMMYFUNCTION("""COMPUTED_VALUE"""),"20200318LABOS")</f>
        <v>20200318LABOS</v>
      </c>
      <c r="B703" s="5" t="str">
        <f ca="1">IFERROR(__xludf.DUMMYFUNCTION("""COMPUTED_VALUE"""),"Wounded")</f>
        <v>Wounded</v>
      </c>
      <c r="C703" s="5" t="str">
        <f ca="1">IFERROR(__xludf.DUMMYFUNCTION("""COMPUTED_VALUE"""),"Male")</f>
        <v>Male</v>
      </c>
      <c r="D703" s="5" t="str">
        <f ca="1">IFERROR(__xludf.DUMMYFUNCTION("""COMPUTED_VALUE"""),"Student")</f>
        <v>Student</v>
      </c>
      <c r="E703" s="5">
        <f ca="1">IFERROR(__xludf.DUMMYFUNCTION("""COMPUTED_VALUE"""),15)</f>
        <v>15</v>
      </c>
      <c r="F703" s="5"/>
    </row>
    <row r="704" spans="1:6" ht="13">
      <c r="A704" s="5" t="str">
        <f ca="1">IFERROR(__xludf.DUMMYFUNCTION("""COMPUTED_VALUE"""),"20200315TXATH")</f>
        <v>20200315TXATH</v>
      </c>
      <c r="B704" s="5" t="str">
        <f ca="1">IFERROR(__xludf.DUMMYFUNCTION("""COMPUTED_VALUE"""),"Fatal")</f>
        <v>Fatal</v>
      </c>
      <c r="C704" s="5" t="str">
        <f ca="1">IFERROR(__xludf.DUMMYFUNCTION("""COMPUTED_VALUE"""),"Male")</f>
        <v>Male</v>
      </c>
      <c r="D704" s="5" t="str">
        <f ca="1">IFERROR(__xludf.DUMMYFUNCTION("""COMPUTED_VALUE"""),"Former Teacher")</f>
        <v>Former Teacher</v>
      </c>
      <c r="E704" s="5">
        <f ca="1">IFERROR(__xludf.DUMMYFUNCTION("""COMPUTED_VALUE"""),19)</f>
        <v>19</v>
      </c>
      <c r="F704" s="5" t="str">
        <f ca="1">IFERROR(__xludf.DUMMYFUNCTION("""COMPUTED_VALUE"""),"Black")</f>
        <v>Black</v>
      </c>
    </row>
    <row r="705" spans="1:6" ht="13">
      <c r="A705" s="5" t="str">
        <f ca="1">IFERROR(__xludf.DUMMYFUNCTION("""COMPUTED_VALUE"""),"20200313TNPIR")</f>
        <v>20200313TNPIR</v>
      </c>
      <c r="B705" s="5" t="str">
        <f ca="1">IFERROR(__xludf.DUMMYFUNCTION("""COMPUTED_VALUE"""),"None")</f>
        <v>None</v>
      </c>
      <c r="C705" s="5"/>
      <c r="D705" s="5"/>
      <c r="E705" s="5"/>
      <c r="F705" s="5"/>
    </row>
    <row r="706" spans="1:6" ht="13">
      <c r="A706" s="5" t="str">
        <f ca="1">IFERROR(__xludf.DUMMYFUNCTION("""COMPUTED_VALUE"""),"20200310PASHN")</f>
        <v>20200310PASHN</v>
      </c>
      <c r="B706" s="5" t="str">
        <f ca="1">IFERROR(__xludf.DUMMYFUNCTION("""COMPUTED_VALUE"""),"None")</f>
        <v>None</v>
      </c>
      <c r="C706" s="5"/>
      <c r="D706" s="5"/>
      <c r="E706" s="5"/>
      <c r="F706" s="5"/>
    </row>
    <row r="707" spans="1:6" ht="13">
      <c r="A707" s="5" t="str">
        <f ca="1">IFERROR(__xludf.DUMMYFUNCTION("""COMPUTED_VALUE"""),"20200305FLSAW")</f>
        <v>20200305FLSAW</v>
      </c>
      <c r="B707" s="5" t="str">
        <f ca="1">IFERROR(__xludf.DUMMYFUNCTION("""COMPUTED_VALUE"""),"Wounded")</f>
        <v>Wounded</v>
      </c>
      <c r="C707" s="5" t="str">
        <f ca="1">IFERROR(__xludf.DUMMYFUNCTION("""COMPUTED_VALUE"""),"Male")</f>
        <v>Male</v>
      </c>
      <c r="D707" s="5" t="str">
        <f ca="1">IFERROR(__xludf.DUMMYFUNCTION("""COMPUTED_VALUE"""),"Police Officer/SRO")</f>
        <v>Police Officer/SRO</v>
      </c>
      <c r="E707" s="5"/>
      <c r="F707" s="5"/>
    </row>
    <row r="708" spans="1:6" ht="13">
      <c r="A708" s="5" t="str">
        <f ca="1">IFERROR(__xludf.DUMMYFUNCTION("""COMPUTED_VALUE"""),"20200302TXNOF")</f>
        <v>20200302TXNOF</v>
      </c>
      <c r="B708" s="5" t="str">
        <f ca="1">IFERROR(__xludf.DUMMYFUNCTION("""COMPUTED_VALUE"""),"None")</f>
        <v>None</v>
      </c>
      <c r="C708" s="5"/>
      <c r="D708" s="5"/>
      <c r="E708" s="5"/>
      <c r="F708" s="5"/>
    </row>
    <row r="709" spans="1:6" ht="13">
      <c r="A709" s="5" t="str">
        <f ca="1">IFERROR(__xludf.DUMMYFUNCTION("""COMPUTED_VALUE"""),"20200221NMCEA")</f>
        <v>20200221NMCEA</v>
      </c>
      <c r="B709" s="5" t="str">
        <f ca="1">IFERROR(__xludf.DUMMYFUNCTION("""COMPUTED_VALUE"""),"None")</f>
        <v>None</v>
      </c>
      <c r="C709" s="5"/>
      <c r="D709" s="5"/>
      <c r="E709" s="5"/>
      <c r="F709" s="5"/>
    </row>
    <row r="710" spans="1:6" ht="13">
      <c r="A710" s="5" t="str">
        <f ca="1">IFERROR(__xludf.DUMMYFUNCTION("""COMPUTED_VALUE"""),"20200215DCDUW")</f>
        <v>20200215DCDUW</v>
      </c>
      <c r="B710" s="5" t="str">
        <f ca="1">IFERROR(__xludf.DUMMYFUNCTION("""COMPUTED_VALUE"""),"Fatal")</f>
        <v>Fatal</v>
      </c>
      <c r="C710" s="5" t="str">
        <f ca="1">IFERROR(__xludf.DUMMYFUNCTION("""COMPUTED_VALUE"""),"Male")</f>
        <v>Male</v>
      </c>
      <c r="D710" s="5" t="str">
        <f ca="1">IFERROR(__xludf.DUMMYFUNCTION("""COMPUTED_VALUE"""),"Nonstudent Using Athletic Facilities/Attending Game")</f>
        <v>Nonstudent Using Athletic Facilities/Attending Game</v>
      </c>
      <c r="E710" s="5">
        <f ca="1">IFERROR(__xludf.DUMMYFUNCTION("""COMPUTED_VALUE"""),34)</f>
        <v>34</v>
      </c>
      <c r="F710" s="5"/>
    </row>
    <row r="711" spans="1:6" ht="13">
      <c r="A711" s="5" t="str">
        <f ca="1">IFERROR(__xludf.DUMMYFUNCTION("""COMPUTED_VALUE"""),"20200212MOJOF")</f>
        <v>20200212MOJOF</v>
      </c>
      <c r="B711" s="5" t="str">
        <f ca="1">IFERROR(__xludf.DUMMYFUNCTION("""COMPUTED_VALUE"""),"None")</f>
        <v>None</v>
      </c>
      <c r="C711" s="5"/>
      <c r="D711" s="5"/>
      <c r="E711" s="5"/>
      <c r="F711" s="5"/>
    </row>
    <row r="712" spans="1:6" ht="13">
      <c r="A712" s="5" t="str">
        <f ca="1">IFERROR(__xludf.DUMMYFUNCTION("""COMPUTED_VALUE"""),"20200205NHSEC")</f>
        <v>20200205NHSEC</v>
      </c>
      <c r="B712" s="5" t="str">
        <f ca="1">IFERROR(__xludf.DUMMYFUNCTION("""COMPUTED_VALUE"""),"None")</f>
        <v>None</v>
      </c>
      <c r="C712" s="5" t="str">
        <f ca="1">IFERROR(__xludf.DUMMYFUNCTION("""COMPUTED_VALUE"""),"Male")</f>
        <v>Male</v>
      </c>
      <c r="D712" s="5" t="str">
        <f ca="1">IFERROR(__xludf.DUMMYFUNCTION("""COMPUTED_VALUE"""),"Student")</f>
        <v>Student</v>
      </c>
      <c r="E712" s="5">
        <f ca="1">IFERROR(__xludf.DUMMYFUNCTION("""COMPUTED_VALUE"""),17)</f>
        <v>17</v>
      </c>
      <c r="F712" s="5"/>
    </row>
    <row r="713" spans="1:6" ht="13">
      <c r="A713" s="5" t="str">
        <f ca="1">IFERROR(__xludf.DUMMYFUNCTION("""COMPUTED_VALUE"""),"20200205NHSEC")</f>
        <v>20200205NHSEC</v>
      </c>
      <c r="B713" s="5" t="str">
        <f ca="1">IFERROR(__xludf.DUMMYFUNCTION("""COMPUTED_VALUE"""),"None")</f>
        <v>None</v>
      </c>
      <c r="C713" s="5" t="str">
        <f ca="1">IFERROR(__xludf.DUMMYFUNCTION("""COMPUTED_VALUE"""),"Female")</f>
        <v>Female</v>
      </c>
      <c r="D713" s="5" t="str">
        <f ca="1">IFERROR(__xludf.DUMMYFUNCTION("""COMPUTED_VALUE"""),"Teacher")</f>
        <v>Teacher</v>
      </c>
      <c r="E713" s="5" t="str">
        <f ca="1">IFERROR(__xludf.DUMMYFUNCTION("""COMPUTED_VALUE"""),"Adult")</f>
        <v>Adult</v>
      </c>
      <c r="F713" s="5"/>
    </row>
    <row r="714" spans="1:6" ht="13">
      <c r="A714" s="5" t="str">
        <f ca="1">IFERROR(__xludf.DUMMYFUNCTION("""COMPUTED_VALUE"""),"20200204LABEA")</f>
        <v>20200204LABEA</v>
      </c>
      <c r="B714" s="5" t="str">
        <f ca="1">IFERROR(__xludf.DUMMYFUNCTION("""COMPUTED_VALUE"""),"None")</f>
        <v>None</v>
      </c>
      <c r="C714" s="5"/>
      <c r="D714" s="5"/>
      <c r="E714" s="5"/>
      <c r="F714" s="5"/>
    </row>
    <row r="715" spans="1:6" ht="13">
      <c r="A715" s="5" t="str">
        <f ca="1">IFERROR(__xludf.DUMMYFUNCTION("""COMPUTED_VALUE"""),"20200203FLGEJ")</f>
        <v>20200203FLGEJ</v>
      </c>
      <c r="B715" s="5" t="str">
        <f ca="1">IFERROR(__xludf.DUMMYFUNCTION("""COMPUTED_VALUE"""),"Wounded")</f>
        <v>Wounded</v>
      </c>
      <c r="C715" s="5" t="str">
        <f ca="1">IFERROR(__xludf.DUMMYFUNCTION("""COMPUTED_VALUE"""),"Male")</f>
        <v>Male</v>
      </c>
      <c r="D715" s="5" t="str">
        <f ca="1">IFERROR(__xludf.DUMMYFUNCTION("""COMPUTED_VALUE"""),"No Relation")</f>
        <v>No Relation</v>
      </c>
      <c r="E715" s="5" t="str">
        <f ca="1">IFERROR(__xludf.DUMMYFUNCTION("""COMPUTED_VALUE"""),"Adult")</f>
        <v>Adult</v>
      </c>
      <c r="F715" s="5"/>
    </row>
    <row r="716" spans="1:6" ht="13">
      <c r="A716" s="5" t="str">
        <f ca="1">IFERROR(__xludf.DUMMYFUNCTION("""COMPUTED_VALUE"""),"20200201TXHIH")</f>
        <v>20200201TXHIH</v>
      </c>
      <c r="B716" s="5" t="str">
        <f ca="1">IFERROR(__xludf.DUMMYFUNCTION("""COMPUTED_VALUE"""),"Wounded")</f>
        <v>Wounded</v>
      </c>
      <c r="C716" s="5" t="str">
        <f ca="1">IFERROR(__xludf.DUMMYFUNCTION("""COMPUTED_VALUE"""),"Male")</f>
        <v>Male</v>
      </c>
      <c r="D716" s="5" t="str">
        <f ca="1">IFERROR(__xludf.DUMMYFUNCTION("""COMPUTED_VALUE"""),"No Relation")</f>
        <v>No Relation</v>
      </c>
      <c r="E716" s="5" t="str">
        <f ca="1">IFERROR(__xludf.DUMMYFUNCTION("""COMPUTED_VALUE"""),"Adult")</f>
        <v>Adult</v>
      </c>
      <c r="F716" s="5"/>
    </row>
    <row r="717" spans="1:6" ht="13">
      <c r="A717" s="5" t="str">
        <f ca="1">IFERROR(__xludf.DUMMYFUNCTION("""COMPUTED_VALUE"""),"20200131CADEA")</f>
        <v>20200131CADEA</v>
      </c>
      <c r="B717" s="5" t="str">
        <f ca="1">IFERROR(__xludf.DUMMYFUNCTION("""COMPUTED_VALUE"""),"Fatal")</f>
        <v>Fatal</v>
      </c>
      <c r="C717" s="5" t="str">
        <f ca="1">IFERROR(__xludf.DUMMYFUNCTION("""COMPUTED_VALUE"""),"Male")</f>
        <v>Male</v>
      </c>
      <c r="D717" s="5" t="str">
        <f ca="1">IFERROR(__xludf.DUMMYFUNCTION("""COMPUTED_VALUE"""),"Student")</f>
        <v>Student</v>
      </c>
      <c r="E717" s="5">
        <f ca="1">IFERROR(__xludf.DUMMYFUNCTION("""COMPUTED_VALUE"""),16)</f>
        <v>16</v>
      </c>
      <c r="F717" s="5"/>
    </row>
    <row r="718" spans="1:6" ht="13">
      <c r="A718" s="5" t="str">
        <f ca="1">IFERROR(__xludf.DUMMYFUNCTION("""COMPUTED_VALUE"""),"20200128TXLUL")</f>
        <v>20200128TXLUL</v>
      </c>
      <c r="B718" s="5" t="str">
        <f ca="1">IFERROR(__xludf.DUMMYFUNCTION("""COMPUTED_VALUE"""),"Wounded")</f>
        <v>Wounded</v>
      </c>
      <c r="C718" s="5" t="str">
        <f ca="1">IFERROR(__xludf.DUMMYFUNCTION("""COMPUTED_VALUE"""),"Male")</f>
        <v>Male</v>
      </c>
      <c r="D718" s="5" t="str">
        <f ca="1">IFERROR(__xludf.DUMMYFUNCTION("""COMPUTED_VALUE"""),"Student")</f>
        <v>Student</v>
      </c>
      <c r="E718" s="5">
        <f ca="1">IFERROR(__xludf.DUMMYFUNCTION("""COMPUTED_VALUE"""),17)</f>
        <v>17</v>
      </c>
      <c r="F718" s="5" t="str">
        <f ca="1">IFERROR(__xludf.DUMMYFUNCTION("""COMPUTED_VALUE"""),"Black")</f>
        <v>Black</v>
      </c>
    </row>
    <row r="719" spans="1:6" ht="13">
      <c r="A719" s="5" t="str">
        <f ca="1">IFERROR(__xludf.DUMMYFUNCTION("""COMPUTED_VALUE"""),"20200128TNWHM")</f>
        <v>20200128TNWHM</v>
      </c>
      <c r="B719" s="5" t="str">
        <f ca="1">IFERROR(__xludf.DUMMYFUNCTION("""COMPUTED_VALUE"""),"Wounded")</f>
        <v>Wounded</v>
      </c>
      <c r="C719" s="5" t="str">
        <f ca="1">IFERROR(__xludf.DUMMYFUNCTION("""COMPUTED_VALUE"""),"Male")</f>
        <v>Male</v>
      </c>
      <c r="D719" s="5"/>
      <c r="E719" s="5"/>
      <c r="F719" s="5"/>
    </row>
    <row r="720" spans="1:6" ht="13">
      <c r="A720" s="5" t="str">
        <f ca="1">IFERROR(__xludf.DUMMYFUNCTION("""COMPUTED_VALUE"""),"20200128NYMAQ")</f>
        <v>20200128NYMAQ</v>
      </c>
      <c r="B720" s="5" t="str">
        <f ca="1">IFERROR(__xludf.DUMMYFUNCTION("""COMPUTED_VALUE"""),"None")</f>
        <v>None</v>
      </c>
      <c r="C720" s="5" t="str">
        <f ca="1">IFERROR(__xludf.DUMMYFUNCTION("""COMPUTED_VALUE"""),"Male")</f>
        <v>Male</v>
      </c>
      <c r="D720" s="5" t="str">
        <f ca="1">IFERROR(__xludf.DUMMYFUNCTION("""COMPUTED_VALUE"""),"Student")</f>
        <v>Student</v>
      </c>
      <c r="E720" s="5">
        <f ca="1">IFERROR(__xludf.DUMMYFUNCTION("""COMPUTED_VALUE"""),16)</f>
        <v>16</v>
      </c>
      <c r="F720" s="5"/>
    </row>
    <row r="721" spans="1:6" ht="13">
      <c r="A721" s="5" t="str">
        <f ca="1">IFERROR(__xludf.DUMMYFUNCTION("""COMPUTED_VALUE"""),"20200127WAROY")</f>
        <v>20200127WAROY</v>
      </c>
      <c r="B721" s="5" t="str">
        <f ca="1">IFERROR(__xludf.DUMMYFUNCTION("""COMPUTED_VALUE"""),"None")</f>
        <v>None</v>
      </c>
      <c r="C721" s="5"/>
      <c r="D721" s="5"/>
      <c r="E721" s="5"/>
      <c r="F721" s="5"/>
    </row>
    <row r="722" spans="1:6" ht="13">
      <c r="A722" s="5" t="str">
        <f ca="1">IFERROR(__xludf.DUMMYFUNCTION("""COMPUTED_VALUE"""),"20200123CAOXO")</f>
        <v>20200123CAOXO</v>
      </c>
      <c r="B722" s="5" t="str">
        <f ca="1">IFERROR(__xludf.DUMMYFUNCTION("""COMPUTED_VALUE"""),"Wounded")</f>
        <v>Wounded</v>
      </c>
      <c r="C722" s="5" t="str">
        <f ca="1">IFERROR(__xludf.DUMMYFUNCTION("""COMPUTED_VALUE"""),"Female")</f>
        <v>Female</v>
      </c>
      <c r="D722" s="5" t="str">
        <f ca="1">IFERROR(__xludf.DUMMYFUNCTION("""COMPUTED_VALUE"""),"Student")</f>
        <v>Student</v>
      </c>
      <c r="E722" s="5">
        <f ca="1">IFERROR(__xludf.DUMMYFUNCTION("""COMPUTED_VALUE"""),9)</f>
        <v>9</v>
      </c>
      <c r="F722" s="5"/>
    </row>
    <row r="723" spans="1:6" ht="13">
      <c r="A723" s="5" t="str">
        <f ca="1">IFERROR(__xludf.DUMMYFUNCTION("""COMPUTED_VALUE"""),"20200121NEPAL")</f>
        <v>20200121NEPAL</v>
      </c>
      <c r="B723" s="5" t="str">
        <f ca="1">IFERROR(__xludf.DUMMYFUNCTION("""COMPUTED_VALUE"""),"None")</f>
        <v>None</v>
      </c>
      <c r="C723" s="5"/>
      <c r="D723" s="5"/>
      <c r="E723" s="5"/>
      <c r="F723" s="5"/>
    </row>
    <row r="724" spans="1:6" ht="13">
      <c r="A724" s="5" t="str">
        <f ca="1">IFERROR(__xludf.DUMMYFUNCTION("""COMPUTED_VALUE"""),"20200121ILLIC")</f>
        <v>20200121ILLIC</v>
      </c>
      <c r="B724" s="5" t="str">
        <f ca="1">IFERROR(__xludf.DUMMYFUNCTION("""COMPUTED_VALUE"""),"Wounded")</f>
        <v>Wounded</v>
      </c>
      <c r="C724" s="5" t="str">
        <f ca="1">IFERROR(__xludf.DUMMYFUNCTION("""COMPUTED_VALUE"""),"Male")</f>
        <v>Male</v>
      </c>
      <c r="D724" s="5" t="str">
        <f ca="1">IFERROR(__xludf.DUMMYFUNCTION("""COMPUTED_VALUE"""),"Student")</f>
        <v>Student</v>
      </c>
      <c r="E724" s="5">
        <f ca="1">IFERROR(__xludf.DUMMYFUNCTION("""COMPUTED_VALUE"""),17)</f>
        <v>17</v>
      </c>
      <c r="F724" s="5"/>
    </row>
    <row r="725" spans="1:6" ht="13">
      <c r="A725" s="5" t="str">
        <f ca="1">IFERROR(__xludf.DUMMYFUNCTION("""COMPUTED_VALUE"""),"20200119TXNOF")</f>
        <v>20200119TXNOF</v>
      </c>
      <c r="B725" s="5" t="str">
        <f ca="1">IFERROR(__xludf.DUMMYFUNCTION("""COMPUTED_VALUE"""),"Wounded")</f>
        <v>Wounded</v>
      </c>
      <c r="C725" s="5"/>
      <c r="D725" s="5" t="str">
        <f ca="1">IFERROR(__xludf.DUMMYFUNCTION("""COMPUTED_VALUE"""),"Nonstudent Using Athletic Facilities/Attending Game")</f>
        <v>Nonstudent Using Athletic Facilities/Attending Game</v>
      </c>
      <c r="E725" s="5" t="str">
        <f ca="1">IFERROR(__xludf.DUMMYFUNCTION("""COMPUTED_VALUE"""),"Adult")</f>
        <v>Adult</v>
      </c>
      <c r="F725" s="5"/>
    </row>
    <row r="726" spans="1:6" ht="13">
      <c r="A726" s="5" t="str">
        <f ca="1">IFERROR(__xludf.DUMMYFUNCTION("""COMPUTED_VALUE"""),"20200119TXNOF")</f>
        <v>20200119TXNOF</v>
      </c>
      <c r="B726" s="5" t="str">
        <f ca="1">IFERROR(__xludf.DUMMYFUNCTION("""COMPUTED_VALUE"""),"Wounded")</f>
        <v>Wounded</v>
      </c>
      <c r="C726" s="5"/>
      <c r="D726" s="5" t="str">
        <f ca="1">IFERROR(__xludf.DUMMYFUNCTION("""COMPUTED_VALUE"""),"Nonstudent Using Athletic Facilities/Attending Game")</f>
        <v>Nonstudent Using Athletic Facilities/Attending Game</v>
      </c>
      <c r="E726" s="5">
        <f ca="1">IFERROR(__xludf.DUMMYFUNCTION("""COMPUTED_VALUE"""),10)</f>
        <v>10</v>
      </c>
      <c r="F726" s="5"/>
    </row>
    <row r="727" spans="1:6" ht="13">
      <c r="A727" s="5" t="str">
        <f ca="1">IFERROR(__xludf.DUMMYFUNCTION("""COMPUTED_VALUE"""),"20200117SCCAS")</f>
        <v>20200117SCCAS</v>
      </c>
      <c r="B727" s="5" t="str">
        <f ca="1">IFERROR(__xludf.DUMMYFUNCTION("""COMPUTED_VALUE"""),"None")</f>
        <v>None</v>
      </c>
      <c r="C727" s="5" t="str">
        <f ca="1">IFERROR(__xludf.DUMMYFUNCTION("""COMPUTED_VALUE"""),"Male")</f>
        <v>Male</v>
      </c>
      <c r="D727" s="5" t="str">
        <f ca="1">IFERROR(__xludf.DUMMYFUNCTION("""COMPUTED_VALUE"""),"Student")</f>
        <v>Student</v>
      </c>
      <c r="E727" s="5">
        <f ca="1">IFERROR(__xludf.DUMMYFUNCTION("""COMPUTED_VALUE"""),16)</f>
        <v>16</v>
      </c>
      <c r="F727" s="5"/>
    </row>
    <row r="728" spans="1:6" ht="13">
      <c r="A728" s="5" t="str">
        <f ca="1">IFERROR(__xludf.DUMMYFUNCTION("""COMPUTED_VALUE"""),"20200117MITHH")</f>
        <v>20200117MITHH</v>
      </c>
      <c r="B728" s="5" t="str">
        <f ca="1">IFERROR(__xludf.DUMMYFUNCTION("""COMPUTED_VALUE"""),"Wounded")</f>
        <v>Wounded</v>
      </c>
      <c r="C728" s="5" t="str">
        <f ca="1">IFERROR(__xludf.DUMMYFUNCTION("""COMPUTED_VALUE"""),"Male")</f>
        <v>Male</v>
      </c>
      <c r="D728" s="5" t="str">
        <f ca="1">IFERROR(__xludf.DUMMYFUNCTION("""COMPUTED_VALUE"""),"Parent")</f>
        <v>Parent</v>
      </c>
      <c r="E728" s="5" t="str">
        <f ca="1">IFERROR(__xludf.DUMMYFUNCTION("""COMPUTED_VALUE"""),"Adult")</f>
        <v>Adult</v>
      </c>
      <c r="F728" s="5"/>
    </row>
    <row r="729" spans="1:6" ht="13">
      <c r="A729" s="5" t="str">
        <f ca="1">IFERROR(__xludf.DUMMYFUNCTION("""COMPUTED_VALUE"""),"20200114TXPOM")</f>
        <v>20200114TXPOM</v>
      </c>
      <c r="B729" s="5" t="str">
        <f ca="1">IFERROR(__xludf.DUMMYFUNCTION("""COMPUTED_VALUE"""),"None")</f>
        <v>None</v>
      </c>
      <c r="C729" s="5"/>
      <c r="D729" s="5"/>
      <c r="E729" s="5"/>
      <c r="F729" s="5"/>
    </row>
    <row r="730" spans="1:6" ht="13">
      <c r="A730" s="5" t="str">
        <f ca="1">IFERROR(__xludf.DUMMYFUNCTION("""COMPUTED_VALUE"""),"20200114TXBEH")</f>
        <v>20200114TXBEH</v>
      </c>
      <c r="B730" s="5" t="str">
        <f ca="1">IFERROR(__xludf.DUMMYFUNCTION("""COMPUTED_VALUE"""),"Fatal")</f>
        <v>Fatal</v>
      </c>
      <c r="C730" s="5" t="str">
        <f ca="1">IFERROR(__xludf.DUMMYFUNCTION("""COMPUTED_VALUE"""),"Male")</f>
        <v>Male</v>
      </c>
      <c r="D730" s="5" t="str">
        <f ca="1">IFERROR(__xludf.DUMMYFUNCTION("""COMPUTED_VALUE"""),"Student")</f>
        <v>Student</v>
      </c>
      <c r="E730" s="5">
        <f ca="1">IFERROR(__xludf.DUMMYFUNCTION("""COMPUTED_VALUE"""),19)</f>
        <v>19</v>
      </c>
      <c r="F730" s="5"/>
    </row>
    <row r="731" spans="1:6" ht="13">
      <c r="A731" s="5" t="str">
        <f ca="1">IFERROR(__xludf.DUMMYFUNCTION("""COMPUTED_VALUE"""),"20200111TXELD")</f>
        <v>20200111TXELD</v>
      </c>
      <c r="B731" s="5" t="str">
        <f ca="1">IFERROR(__xludf.DUMMYFUNCTION("""COMPUTED_VALUE"""),"Fatal")</f>
        <v>Fatal</v>
      </c>
      <c r="C731" s="5" t="str">
        <f ca="1">IFERROR(__xludf.DUMMYFUNCTION("""COMPUTED_VALUE"""),"Male")</f>
        <v>Male</v>
      </c>
      <c r="D731" s="5" t="str">
        <f ca="1">IFERROR(__xludf.DUMMYFUNCTION("""COMPUTED_VALUE"""),"Former Student")</f>
        <v>Former Student</v>
      </c>
      <c r="E731" s="5">
        <f ca="1">IFERROR(__xludf.DUMMYFUNCTION("""COMPUTED_VALUE"""),18)</f>
        <v>18</v>
      </c>
      <c r="F731" s="5"/>
    </row>
    <row r="732" spans="1:6" ht="13">
      <c r="A732" s="5" t="str">
        <f ca="1">IFERROR(__xludf.DUMMYFUNCTION("""COMPUTED_VALUE"""),"20200111TXELD")</f>
        <v>20200111TXELD</v>
      </c>
      <c r="B732" s="5" t="str">
        <f ca="1">IFERROR(__xludf.DUMMYFUNCTION("""COMPUTED_VALUE"""),"Wounded")</f>
        <v>Wounded</v>
      </c>
      <c r="C732" s="5" t="str">
        <f ca="1">IFERROR(__xludf.DUMMYFUNCTION("""COMPUTED_VALUE"""),"Male")</f>
        <v>Male</v>
      </c>
      <c r="D732" s="5" t="str">
        <f ca="1">IFERROR(__xludf.DUMMYFUNCTION("""COMPUTED_VALUE"""),"Police Officer/SRO")</f>
        <v>Police Officer/SRO</v>
      </c>
      <c r="E732" s="5" t="str">
        <f ca="1">IFERROR(__xludf.DUMMYFUNCTION("""COMPUTED_VALUE"""),"Officer")</f>
        <v>Officer</v>
      </c>
      <c r="F732" s="5"/>
    </row>
    <row r="733" spans="1:6" ht="13">
      <c r="A733" s="5" t="str">
        <f ca="1">IFERROR(__xludf.DUMMYFUNCTION("""COMPUTED_VALUE"""),"20200110MSMCJ")</f>
        <v>20200110MSMCJ</v>
      </c>
      <c r="B733" s="5" t="str">
        <f ca="1">IFERROR(__xludf.DUMMYFUNCTION("""COMPUTED_VALUE"""),"Wounded")</f>
        <v>Wounded</v>
      </c>
      <c r="C733" s="5" t="str">
        <f ca="1">IFERROR(__xludf.DUMMYFUNCTION("""COMPUTED_VALUE"""),"Male")</f>
        <v>Male</v>
      </c>
      <c r="D733" s="5" t="str">
        <f ca="1">IFERROR(__xludf.DUMMYFUNCTION("""COMPUTED_VALUE"""),"Student")</f>
        <v>Student</v>
      </c>
      <c r="E733" s="5" t="str">
        <f ca="1">IFERROR(__xludf.DUMMYFUNCTION("""COMPUTED_VALUE"""),"Teen")</f>
        <v>Teen</v>
      </c>
      <c r="F733" s="5"/>
    </row>
    <row r="734" spans="1:6" ht="13">
      <c r="A734" s="5" t="str">
        <f ca="1">IFERROR(__xludf.DUMMYFUNCTION("""COMPUTED_VALUE"""),"20200108FLGLB")</f>
        <v>20200108FLGLB</v>
      </c>
      <c r="B734" s="5" t="str">
        <f ca="1">IFERROR(__xludf.DUMMYFUNCTION("""COMPUTED_VALUE"""),"None")</f>
        <v>None</v>
      </c>
      <c r="C734" s="5"/>
      <c r="D734" s="5"/>
      <c r="E734" s="5"/>
      <c r="F734" s="5"/>
    </row>
    <row r="735" spans="1:6" ht="13">
      <c r="A735" s="5" t="str">
        <f ca="1">IFERROR(__xludf.DUMMYFUNCTION("""COMPUTED_VALUE"""),"20200107WASOK")</f>
        <v>20200107WASOK</v>
      </c>
      <c r="B735" s="5" t="str">
        <f ca="1">IFERROR(__xludf.DUMMYFUNCTION("""COMPUTED_VALUE"""),"None")</f>
        <v>None</v>
      </c>
      <c r="C735" s="5"/>
      <c r="D735" s="5"/>
      <c r="E735" s="5"/>
      <c r="F735" s="5"/>
    </row>
    <row r="736" spans="1:6" ht="13">
      <c r="A736" s="5" t="str">
        <f ca="1">IFERROR(__xludf.DUMMYFUNCTION("""COMPUTED_VALUE"""),"20191228MOMAS")</f>
        <v>20191228MOMAS</v>
      </c>
      <c r="B736" s="5" t="str">
        <f ca="1">IFERROR(__xludf.DUMMYFUNCTION("""COMPUTED_VALUE"""),"Fatal")</f>
        <v>Fatal</v>
      </c>
      <c r="C736" s="5" t="str">
        <f ca="1">IFERROR(__xludf.DUMMYFUNCTION("""COMPUTED_VALUE"""),"Male")</f>
        <v>Male</v>
      </c>
      <c r="D736" s="5" t="str">
        <f ca="1">IFERROR(__xludf.DUMMYFUNCTION("""COMPUTED_VALUE"""),"Student")</f>
        <v>Student</v>
      </c>
      <c r="E736" s="5">
        <f ca="1">IFERROR(__xludf.DUMMYFUNCTION("""COMPUTED_VALUE"""),13)</f>
        <v>13</v>
      </c>
      <c r="F736" s="5" t="str">
        <f ca="1">IFERROR(__xludf.DUMMYFUNCTION("""COMPUTED_VALUE"""),"Black")</f>
        <v>Black</v>
      </c>
    </row>
    <row r="737" spans="1:6" ht="13">
      <c r="A737" s="5" t="str">
        <f ca="1">IFERROR(__xludf.DUMMYFUNCTION("""COMPUTED_VALUE"""),"20191221LAWES")</f>
        <v>20191221LAWES</v>
      </c>
      <c r="B737" s="5" t="str">
        <f ca="1">IFERROR(__xludf.DUMMYFUNCTION("""COMPUTED_VALUE"""),"Wounded")</f>
        <v>Wounded</v>
      </c>
      <c r="C737" s="5"/>
      <c r="D737" s="5" t="str">
        <f ca="1">IFERROR(__xludf.DUMMYFUNCTION("""COMPUTED_VALUE"""),"Nonstudent Using Athletic Facilities/Attending Game")</f>
        <v>Nonstudent Using Athletic Facilities/Attending Game</v>
      </c>
      <c r="E737" s="5" t="str">
        <f ca="1">IFERROR(__xludf.DUMMYFUNCTION("""COMPUTED_VALUE"""),"Adult")</f>
        <v>Adult</v>
      </c>
      <c r="F737" s="5"/>
    </row>
    <row r="738" spans="1:6" ht="13">
      <c r="A738" s="5" t="str">
        <f ca="1">IFERROR(__xludf.DUMMYFUNCTION("""COMPUTED_VALUE"""),"20191221LAWES")</f>
        <v>20191221LAWES</v>
      </c>
      <c r="B738" s="5" t="str">
        <f ca="1">IFERROR(__xludf.DUMMYFUNCTION("""COMPUTED_VALUE"""),"Wounded")</f>
        <v>Wounded</v>
      </c>
      <c r="C738" s="5"/>
      <c r="D738" s="5" t="str">
        <f ca="1">IFERROR(__xludf.DUMMYFUNCTION("""COMPUTED_VALUE"""),"Nonstudent Using Athletic Facilities/Attending Game")</f>
        <v>Nonstudent Using Athletic Facilities/Attending Game</v>
      </c>
      <c r="E738" s="5" t="str">
        <f ca="1">IFERROR(__xludf.DUMMYFUNCTION("""COMPUTED_VALUE"""),"Adult")</f>
        <v>Adult</v>
      </c>
      <c r="F738" s="5"/>
    </row>
    <row r="739" spans="1:6" ht="13">
      <c r="A739" s="5" t="str">
        <f ca="1">IFERROR(__xludf.DUMMYFUNCTION("""COMPUTED_VALUE"""),"20191221LAWES")</f>
        <v>20191221LAWES</v>
      </c>
      <c r="B739" s="5" t="str">
        <f ca="1">IFERROR(__xludf.DUMMYFUNCTION("""COMPUTED_VALUE"""),"Wounded")</f>
        <v>Wounded</v>
      </c>
      <c r="C739" s="5"/>
      <c r="D739" s="5" t="str">
        <f ca="1">IFERROR(__xludf.DUMMYFUNCTION("""COMPUTED_VALUE"""),"Nonstudent Using Athletic Facilities/Attending Game")</f>
        <v>Nonstudent Using Athletic Facilities/Attending Game</v>
      </c>
      <c r="E739" s="5" t="str">
        <f ca="1">IFERROR(__xludf.DUMMYFUNCTION("""COMPUTED_VALUE"""),"Adult")</f>
        <v>Adult</v>
      </c>
      <c r="F739" s="5"/>
    </row>
    <row r="740" spans="1:6" ht="13">
      <c r="A740" s="5" t="str">
        <f ca="1">IFERROR(__xludf.DUMMYFUNCTION("""COMPUTED_VALUE"""),"20191221LAWES")</f>
        <v>20191221LAWES</v>
      </c>
      <c r="B740" s="5" t="str">
        <f ca="1">IFERROR(__xludf.DUMMYFUNCTION("""COMPUTED_VALUE"""),"Wounded")</f>
        <v>Wounded</v>
      </c>
      <c r="C740" s="5"/>
      <c r="D740" s="5" t="str">
        <f ca="1">IFERROR(__xludf.DUMMYFUNCTION("""COMPUTED_VALUE"""),"Nonstudent Using Athletic Facilities/Attending Game")</f>
        <v>Nonstudent Using Athletic Facilities/Attending Game</v>
      </c>
      <c r="E740" s="5" t="str">
        <f ca="1">IFERROR(__xludf.DUMMYFUNCTION("""COMPUTED_VALUE"""),"Adult")</f>
        <v>Adult</v>
      </c>
      <c r="F740" s="5"/>
    </row>
    <row r="741" spans="1:6" ht="13">
      <c r="A741" s="5" t="str">
        <f ca="1">IFERROR(__xludf.DUMMYFUNCTION("""COMPUTED_VALUE"""),"20191219FLLEN")</f>
        <v>20191219FLLEN</v>
      </c>
      <c r="B741" s="5" t="str">
        <f ca="1">IFERROR(__xludf.DUMMYFUNCTION("""COMPUTED_VALUE"""),"Fatal")</f>
        <v>Fatal</v>
      </c>
      <c r="C741" s="5" t="str">
        <f ca="1">IFERROR(__xludf.DUMMYFUNCTION("""COMPUTED_VALUE"""),"Female")</f>
        <v>Female</v>
      </c>
      <c r="D741" s="5" t="str">
        <f ca="1">IFERROR(__xludf.DUMMYFUNCTION("""COMPUTED_VALUE"""),"Student")</f>
        <v>Student</v>
      </c>
      <c r="E741" s="5" t="str">
        <f ca="1">IFERROR(__xludf.DUMMYFUNCTION("""COMPUTED_VALUE"""),"Adult")</f>
        <v>Adult</v>
      </c>
      <c r="F741" s="5"/>
    </row>
    <row r="742" spans="1:6" ht="13">
      <c r="A742" s="5" t="str">
        <f ca="1">IFERROR(__xludf.DUMMYFUNCTION("""COMPUTED_VALUE"""),"20191216CTCAN")</f>
        <v>20191216CTCAN</v>
      </c>
      <c r="B742" s="5" t="str">
        <f ca="1">IFERROR(__xludf.DUMMYFUNCTION("""COMPUTED_VALUE"""),"Wounded")</f>
        <v>Wounded</v>
      </c>
      <c r="C742" s="5" t="str">
        <f ca="1">IFERROR(__xludf.DUMMYFUNCTION("""COMPUTED_VALUE"""),"Male")</f>
        <v>Male</v>
      </c>
      <c r="D742" s="5" t="str">
        <f ca="1">IFERROR(__xludf.DUMMYFUNCTION("""COMPUTED_VALUE"""),"Parent")</f>
        <v>Parent</v>
      </c>
      <c r="E742" s="5" t="str">
        <f ca="1">IFERROR(__xludf.DUMMYFUNCTION("""COMPUTED_VALUE"""),"Adult")</f>
        <v>Adult</v>
      </c>
      <c r="F742" s="5"/>
    </row>
    <row r="743" spans="1:6" ht="13">
      <c r="A743" s="5" t="str">
        <f ca="1">IFERROR(__xludf.DUMMYFUNCTION("""COMPUTED_VALUE"""),"20191213VAMAN")</f>
        <v>20191213VAMAN</v>
      </c>
      <c r="B743" s="5" t="str">
        <f ca="1">IFERROR(__xludf.DUMMYFUNCTION("""COMPUTED_VALUE"""),"None")</f>
        <v>None</v>
      </c>
      <c r="C743" s="5" t="str">
        <f ca="1">IFERROR(__xludf.DUMMYFUNCTION("""COMPUTED_VALUE"""),"Male")</f>
        <v>Male</v>
      </c>
      <c r="D743" s="5" t="str">
        <f ca="1">IFERROR(__xludf.DUMMYFUNCTION("""COMPUTED_VALUE"""),"Student")</f>
        <v>Student</v>
      </c>
      <c r="E743" s="5">
        <f ca="1">IFERROR(__xludf.DUMMYFUNCTION("""COMPUTED_VALUE"""),17)</f>
        <v>17</v>
      </c>
      <c r="F743" s="5"/>
    </row>
    <row r="744" spans="1:6" ht="13">
      <c r="A744" s="5" t="str">
        <f ca="1">IFERROR(__xludf.DUMMYFUNCTION("""COMPUTED_VALUE"""),"20191211KSCHT")</f>
        <v>20191211KSCHT</v>
      </c>
      <c r="B744" s="5" t="str">
        <f ca="1">IFERROR(__xludf.DUMMYFUNCTION("""COMPUTED_VALUE"""),"None")</f>
        <v>None</v>
      </c>
      <c r="C744" s="5"/>
      <c r="D744" s="5"/>
      <c r="E744" s="5"/>
      <c r="F744" s="5"/>
    </row>
    <row r="745" spans="1:6" ht="13">
      <c r="A745" s="5" t="str">
        <f ca="1">IFERROR(__xludf.DUMMYFUNCTION("""COMPUTED_VALUE"""),"20191211INEVE")</f>
        <v>20191211INEVE</v>
      </c>
      <c r="B745" s="5" t="str">
        <f ca="1">IFERROR(__xludf.DUMMYFUNCTION("""COMPUTED_VALUE"""),"None")</f>
        <v>None</v>
      </c>
      <c r="C745" s="5"/>
      <c r="D745" s="5"/>
      <c r="E745" s="5"/>
      <c r="F745" s="5"/>
    </row>
    <row r="746" spans="1:6" ht="13">
      <c r="A746" s="5" t="str">
        <f ca="1">IFERROR(__xludf.DUMMYFUNCTION("""COMPUTED_VALUE"""),"20191210NJSAJ")</f>
        <v>20191210NJSAJ</v>
      </c>
      <c r="B746" s="5" t="str">
        <f ca="1">IFERROR(__xludf.DUMMYFUNCTION("""COMPUTED_VALUE"""),"None")</f>
        <v>None</v>
      </c>
      <c r="C746" s="5"/>
      <c r="D746" s="5"/>
      <c r="E746" s="5"/>
      <c r="F746" s="5"/>
    </row>
    <row r="747" spans="1:6" ht="13">
      <c r="A747" s="5" t="str">
        <f ca="1">IFERROR(__xludf.DUMMYFUNCTION("""COMPUTED_VALUE"""),"20191210KSJCK")</f>
        <v>20191210KSJCK</v>
      </c>
      <c r="B747" s="5" t="str">
        <f ca="1">IFERROR(__xludf.DUMMYFUNCTION("""COMPUTED_VALUE"""),"None")</f>
        <v>None</v>
      </c>
      <c r="C747" s="5"/>
      <c r="D747" s="5"/>
      <c r="E747" s="5"/>
      <c r="F747" s="5"/>
    </row>
    <row r="748" spans="1:6" ht="13">
      <c r="A748" s="5" t="str">
        <f ca="1">IFERROR(__xludf.DUMMYFUNCTION("""COMPUTED_VALUE"""),"20191210ALDED")</f>
        <v>20191210ALDED</v>
      </c>
      <c r="B748" s="5" t="str">
        <f ca="1">IFERROR(__xludf.DUMMYFUNCTION("""COMPUTED_VALUE"""),"None")</f>
        <v>None</v>
      </c>
      <c r="C748" s="5"/>
      <c r="D748" s="5"/>
      <c r="E748" s="5"/>
      <c r="F748" s="5"/>
    </row>
    <row r="749" spans="1:6" ht="13">
      <c r="A749" s="5" t="str">
        <f ca="1">IFERROR(__xludf.DUMMYFUNCTION("""COMPUTED_VALUE"""),"20191204NMPIL")</f>
        <v>20191204NMPIL</v>
      </c>
      <c r="B749" s="5" t="str">
        <f ca="1">IFERROR(__xludf.DUMMYFUNCTION("""COMPUTED_VALUE"""),"None")</f>
        <v>None</v>
      </c>
      <c r="C749" s="5"/>
      <c r="D749" s="5"/>
      <c r="E749" s="5"/>
      <c r="F749" s="5"/>
    </row>
    <row r="750" spans="1:6" ht="13">
      <c r="A750" s="5" t="str">
        <f ca="1">IFERROR(__xludf.DUMMYFUNCTION("""COMPUTED_VALUE"""),"20191203WITHM")</f>
        <v>20191203WITHM</v>
      </c>
      <c r="B750" s="5" t="str">
        <f ca="1">IFERROR(__xludf.DUMMYFUNCTION("""COMPUTED_VALUE"""),"Wounded")</f>
        <v>Wounded</v>
      </c>
      <c r="C750" s="5" t="str">
        <f ca="1">IFERROR(__xludf.DUMMYFUNCTION("""COMPUTED_VALUE"""),"Female")</f>
        <v>Female</v>
      </c>
      <c r="D750" s="5" t="str">
        <f ca="1">IFERROR(__xludf.DUMMYFUNCTION("""COMPUTED_VALUE"""),"Student")</f>
        <v>Student</v>
      </c>
      <c r="E750" s="5" t="str">
        <f ca="1">IFERROR(__xludf.DUMMYFUNCTION("""COMPUTED_VALUE"""),"Teen")</f>
        <v>Teen</v>
      </c>
      <c r="F750" s="5"/>
    </row>
    <row r="751" spans="1:6" ht="13">
      <c r="A751" s="5" t="str">
        <f ca="1">IFERROR(__xludf.DUMMYFUNCTION("""COMPUTED_VALUE"""),"20191203WITHM")</f>
        <v>20191203WITHM</v>
      </c>
      <c r="B751" s="5" t="str">
        <f ca="1">IFERROR(__xludf.DUMMYFUNCTION("""COMPUTED_VALUE"""),"Wounded")</f>
        <v>Wounded</v>
      </c>
      <c r="C751" s="5" t="str">
        <f ca="1">IFERROR(__xludf.DUMMYFUNCTION("""COMPUTED_VALUE"""),"Female")</f>
        <v>Female</v>
      </c>
      <c r="D751" s="5" t="str">
        <f ca="1">IFERROR(__xludf.DUMMYFUNCTION("""COMPUTED_VALUE"""),"Student")</f>
        <v>Student</v>
      </c>
      <c r="E751" s="5" t="str">
        <f ca="1">IFERROR(__xludf.DUMMYFUNCTION("""COMPUTED_VALUE"""),"Teen")</f>
        <v>Teen</v>
      </c>
      <c r="F751" s="5"/>
    </row>
    <row r="752" spans="1:6" ht="13">
      <c r="A752" s="5" t="str">
        <f ca="1">IFERROR(__xludf.DUMMYFUNCTION("""COMPUTED_VALUE"""),"20191203WIOSO")</f>
        <v>20191203WIOSO</v>
      </c>
      <c r="B752" s="5" t="str">
        <f ca="1">IFERROR(__xludf.DUMMYFUNCTION("""COMPUTED_VALUE"""),"Wounded")</f>
        <v>Wounded</v>
      </c>
      <c r="C752" s="5" t="str">
        <f ca="1">IFERROR(__xludf.DUMMYFUNCTION("""COMPUTED_VALUE"""),"Male")</f>
        <v>Male</v>
      </c>
      <c r="D752" s="5" t="str">
        <f ca="1">IFERROR(__xludf.DUMMYFUNCTION("""COMPUTED_VALUE"""),"Student")</f>
        <v>Student</v>
      </c>
      <c r="E752" s="5">
        <f ca="1">IFERROR(__xludf.DUMMYFUNCTION("""COMPUTED_VALUE"""),16)</f>
        <v>16</v>
      </c>
      <c r="F752" s="5"/>
    </row>
    <row r="753" spans="1:6" ht="13">
      <c r="A753" s="5" t="str">
        <f ca="1">IFERROR(__xludf.DUMMYFUNCTION("""COMPUTED_VALUE"""),"20191202WIWAW")</f>
        <v>20191202WIWAW</v>
      </c>
      <c r="B753" s="5" t="str">
        <f ca="1">IFERROR(__xludf.DUMMYFUNCTION("""COMPUTED_VALUE"""),"None")</f>
        <v>None</v>
      </c>
      <c r="C753" s="5" t="str">
        <f ca="1">IFERROR(__xludf.DUMMYFUNCTION("""COMPUTED_VALUE"""),"Male")</f>
        <v>Male</v>
      </c>
      <c r="D753" s="5" t="str">
        <f ca="1">IFERROR(__xludf.DUMMYFUNCTION("""COMPUTED_VALUE"""),"Student")</f>
        <v>Student</v>
      </c>
      <c r="E753" s="5">
        <f ca="1">IFERROR(__xludf.DUMMYFUNCTION("""COMPUTED_VALUE"""),18)</f>
        <v>18</v>
      </c>
      <c r="F753" s="5"/>
    </row>
    <row r="754" spans="1:6" ht="13">
      <c r="A754" s="5" t="str">
        <f ca="1">IFERROR(__xludf.DUMMYFUNCTION("""COMPUTED_VALUE"""),"20191201ALMOM")</f>
        <v>20191201ALMOM</v>
      </c>
      <c r="B754" s="5" t="str">
        <f ca="1">IFERROR(__xludf.DUMMYFUNCTION("""COMPUTED_VALUE"""),"Fatal")</f>
        <v>Fatal</v>
      </c>
      <c r="C754" s="5" t="str">
        <f ca="1">IFERROR(__xludf.DUMMYFUNCTION("""COMPUTED_VALUE"""),"Female")</f>
        <v>Female</v>
      </c>
      <c r="D754" s="5" t="str">
        <f ca="1">IFERROR(__xludf.DUMMYFUNCTION("""COMPUTED_VALUE"""),"No Relation")</f>
        <v>No Relation</v>
      </c>
      <c r="E754" s="5">
        <f ca="1">IFERROR(__xludf.DUMMYFUNCTION("""COMPUTED_VALUE"""),31)</f>
        <v>31</v>
      </c>
      <c r="F754" s="5" t="str">
        <f ca="1">IFERROR(__xludf.DUMMYFUNCTION("""COMPUTED_VALUE"""),"White")</f>
        <v>White</v>
      </c>
    </row>
    <row r="755" spans="1:6" ht="13">
      <c r="A755" s="5" t="str">
        <f ca="1">IFERROR(__xludf.DUMMYFUNCTION("""COMPUTED_VALUE"""),"20191126WASAV")</f>
        <v>20191126WASAV</v>
      </c>
      <c r="B755" s="5" t="str">
        <f ca="1">IFERROR(__xludf.DUMMYFUNCTION("""COMPUTED_VALUE"""),"Wounded")</f>
        <v>Wounded</v>
      </c>
      <c r="C755" s="5" t="str">
        <f ca="1">IFERROR(__xludf.DUMMYFUNCTION("""COMPUTED_VALUE"""),"Female")</f>
        <v>Female</v>
      </c>
      <c r="D755" s="5" t="str">
        <f ca="1">IFERROR(__xludf.DUMMYFUNCTION("""COMPUTED_VALUE"""),"Parent")</f>
        <v>Parent</v>
      </c>
      <c r="E755" s="5" t="str">
        <f ca="1">IFERROR(__xludf.DUMMYFUNCTION("""COMPUTED_VALUE"""),"Adult")</f>
        <v>Adult</v>
      </c>
      <c r="F755" s="5"/>
    </row>
    <row r="756" spans="1:6" ht="13">
      <c r="A756" s="5" t="str">
        <f ca="1">IFERROR(__xludf.DUMMYFUNCTION("""COMPUTED_VALUE"""),"20191126WASAV")</f>
        <v>20191126WASAV</v>
      </c>
      <c r="B756" s="5" t="str">
        <f ca="1">IFERROR(__xludf.DUMMYFUNCTION("""COMPUTED_VALUE"""),"Wounded")</f>
        <v>Wounded</v>
      </c>
      <c r="C756" s="5" t="str">
        <f ca="1">IFERROR(__xludf.DUMMYFUNCTION("""COMPUTED_VALUE"""),"Female")</f>
        <v>Female</v>
      </c>
      <c r="D756" s="5" t="str">
        <f ca="1">IFERROR(__xludf.DUMMYFUNCTION("""COMPUTED_VALUE"""),"Parent")</f>
        <v>Parent</v>
      </c>
      <c r="E756" s="5" t="str">
        <f ca="1">IFERROR(__xludf.DUMMYFUNCTION("""COMPUTED_VALUE"""),"Adult")</f>
        <v>Adult</v>
      </c>
      <c r="F756" s="5"/>
    </row>
    <row r="757" spans="1:6" ht="13">
      <c r="A757" s="5" t="str">
        <f ca="1">IFERROR(__xludf.DUMMYFUNCTION("""COMPUTED_VALUE"""),"20191125ILCAC")</f>
        <v>20191125ILCAC</v>
      </c>
      <c r="B757" s="5" t="str">
        <f ca="1">IFERROR(__xludf.DUMMYFUNCTION("""COMPUTED_VALUE"""),"Wounded")</f>
        <v>Wounded</v>
      </c>
      <c r="C757" s="5" t="str">
        <f ca="1">IFERROR(__xludf.DUMMYFUNCTION("""COMPUTED_VALUE"""),"Male")</f>
        <v>Male</v>
      </c>
      <c r="D757" s="5" t="str">
        <f ca="1">IFERROR(__xludf.DUMMYFUNCTION("""COMPUTED_VALUE"""),"No Relation")</f>
        <v>No Relation</v>
      </c>
      <c r="E757" s="5">
        <f ca="1">IFERROR(__xludf.DUMMYFUNCTION("""COMPUTED_VALUE"""),37)</f>
        <v>37</v>
      </c>
      <c r="F757" s="5"/>
    </row>
    <row r="758" spans="1:6" ht="13">
      <c r="A758" s="5" t="str">
        <f ca="1">IFERROR(__xludf.DUMMYFUNCTION("""COMPUTED_VALUE"""),"20191124CASEU")</f>
        <v>20191124CASEU</v>
      </c>
      <c r="B758" s="5" t="str">
        <f ca="1">IFERROR(__xludf.DUMMYFUNCTION("""COMPUTED_VALUE"""),"Fatal")</f>
        <v>Fatal</v>
      </c>
      <c r="C758" s="5" t="str">
        <f ca="1">IFERROR(__xludf.DUMMYFUNCTION("""COMPUTED_VALUE"""),"Male")</f>
        <v>Male</v>
      </c>
      <c r="D758" s="5" t="str">
        <f ca="1">IFERROR(__xludf.DUMMYFUNCTION("""COMPUTED_VALUE"""),"No Relation")</f>
        <v>No Relation</v>
      </c>
      <c r="E758" s="5">
        <f ca="1">IFERROR(__xludf.DUMMYFUNCTION("""COMPUTED_VALUE"""),14)</f>
        <v>14</v>
      </c>
      <c r="F758" s="5"/>
    </row>
    <row r="759" spans="1:6" ht="13">
      <c r="A759" s="5" t="str">
        <f ca="1">IFERROR(__xludf.DUMMYFUNCTION("""COMPUTED_VALUE"""),"20191124CASEU")</f>
        <v>20191124CASEU</v>
      </c>
      <c r="B759" s="5" t="str">
        <f ca="1">IFERROR(__xludf.DUMMYFUNCTION("""COMPUTED_VALUE"""),"Fatal")</f>
        <v>Fatal</v>
      </c>
      <c r="C759" s="5" t="str">
        <f ca="1">IFERROR(__xludf.DUMMYFUNCTION("""COMPUTED_VALUE"""),"Male")</f>
        <v>Male</v>
      </c>
      <c r="D759" s="5" t="str">
        <f ca="1">IFERROR(__xludf.DUMMYFUNCTION("""COMPUTED_VALUE"""),"No Relation")</f>
        <v>No Relation</v>
      </c>
      <c r="E759" s="5">
        <f ca="1">IFERROR(__xludf.DUMMYFUNCTION("""COMPUTED_VALUE"""),11)</f>
        <v>11</v>
      </c>
      <c r="F759" s="5"/>
    </row>
    <row r="760" spans="1:6" ht="13">
      <c r="A760" s="5" t="str">
        <f ca="1">IFERROR(__xludf.DUMMYFUNCTION("""COMPUTED_VALUE"""),"20191121ILRIO")</f>
        <v>20191121ILRIO</v>
      </c>
      <c r="B760" s="5" t="str">
        <f ca="1">IFERROR(__xludf.DUMMYFUNCTION("""COMPUTED_VALUE"""),"Wounded")</f>
        <v>Wounded</v>
      </c>
      <c r="C760" s="5"/>
      <c r="D760" s="5" t="str">
        <f ca="1">IFERROR(__xludf.DUMMYFUNCTION("""COMPUTED_VALUE"""),"Student")</f>
        <v>Student</v>
      </c>
      <c r="E760" s="5">
        <f ca="1">IFERROR(__xludf.DUMMYFUNCTION("""COMPUTED_VALUE"""),14)</f>
        <v>14</v>
      </c>
      <c r="F760" s="5"/>
    </row>
    <row r="761" spans="1:6" ht="13">
      <c r="A761" s="5" t="str">
        <f ca="1">IFERROR(__xludf.DUMMYFUNCTION("""COMPUTED_VALUE"""),"20191115NJPLP")</f>
        <v>20191115NJPLP</v>
      </c>
      <c r="B761" s="5" t="str">
        <f ca="1">IFERROR(__xludf.DUMMYFUNCTION("""COMPUTED_VALUE"""),"Fatal")</f>
        <v>Fatal</v>
      </c>
      <c r="C761" s="5" t="str">
        <f ca="1">IFERROR(__xludf.DUMMYFUNCTION("""COMPUTED_VALUE"""),"Male")</f>
        <v>Male</v>
      </c>
      <c r="D761" s="5" t="str">
        <f ca="1">IFERROR(__xludf.DUMMYFUNCTION("""COMPUTED_VALUE"""),"Relative")</f>
        <v>Relative</v>
      </c>
      <c r="E761" s="5">
        <f ca="1">IFERROR(__xludf.DUMMYFUNCTION("""COMPUTED_VALUE"""),10)</f>
        <v>10</v>
      </c>
      <c r="F761" s="5"/>
    </row>
    <row r="762" spans="1:6" ht="13">
      <c r="A762" s="5" t="str">
        <f ca="1">IFERROR(__xludf.DUMMYFUNCTION("""COMPUTED_VALUE"""),"20191115NJPLP")</f>
        <v>20191115NJPLP</v>
      </c>
      <c r="B762" s="5" t="str">
        <f ca="1">IFERROR(__xludf.DUMMYFUNCTION("""COMPUTED_VALUE"""),"Wounded")</f>
        <v>Wounded</v>
      </c>
      <c r="C762" s="5" t="str">
        <f ca="1">IFERROR(__xludf.DUMMYFUNCTION("""COMPUTED_VALUE"""),"Male")</f>
        <v>Male</v>
      </c>
      <c r="D762" s="5" t="str">
        <f ca="1">IFERROR(__xludf.DUMMYFUNCTION("""COMPUTED_VALUE"""),"Student")</f>
        <v>Student</v>
      </c>
      <c r="E762" s="5">
        <f ca="1">IFERROR(__xludf.DUMMYFUNCTION("""COMPUTED_VALUE"""),15)</f>
        <v>15</v>
      </c>
      <c r="F762" s="5"/>
    </row>
    <row r="763" spans="1:6" ht="13">
      <c r="A763" s="5" t="str">
        <f ca="1">IFERROR(__xludf.DUMMYFUNCTION("""COMPUTED_VALUE"""),"20191115NJPLP")</f>
        <v>20191115NJPLP</v>
      </c>
      <c r="B763" s="5" t="str">
        <f ca="1">IFERROR(__xludf.DUMMYFUNCTION("""COMPUTED_VALUE"""),"Wounded")</f>
        <v>Wounded</v>
      </c>
      <c r="C763" s="5" t="str">
        <f ca="1">IFERROR(__xludf.DUMMYFUNCTION("""COMPUTED_VALUE"""),"Male")</f>
        <v>Male</v>
      </c>
      <c r="D763" s="5" t="str">
        <f ca="1">IFERROR(__xludf.DUMMYFUNCTION("""COMPUTED_VALUE"""),"Nonstudent Using Athletic Facilities/Attending Game")</f>
        <v>Nonstudent Using Athletic Facilities/Attending Game</v>
      </c>
      <c r="E763" s="5">
        <f ca="1">IFERROR(__xludf.DUMMYFUNCTION("""COMPUTED_VALUE"""),27)</f>
        <v>27</v>
      </c>
      <c r="F763" s="5"/>
    </row>
    <row r="764" spans="1:6" ht="13">
      <c r="A764" s="5" t="str">
        <f ca="1">IFERROR(__xludf.DUMMYFUNCTION("""COMPUTED_VALUE"""),"20191114CASAS")</f>
        <v>20191114CASAS</v>
      </c>
      <c r="B764" s="5" t="str">
        <f ca="1">IFERROR(__xludf.DUMMYFUNCTION("""COMPUTED_VALUE"""),"Fatal")</f>
        <v>Fatal</v>
      </c>
      <c r="C764" s="5" t="str">
        <f ca="1">IFERROR(__xludf.DUMMYFUNCTION("""COMPUTED_VALUE"""),"Female")</f>
        <v>Female</v>
      </c>
      <c r="D764" s="5" t="str">
        <f ca="1">IFERROR(__xludf.DUMMYFUNCTION("""COMPUTED_VALUE"""),"Student")</f>
        <v>Student</v>
      </c>
      <c r="E764" s="5">
        <f ca="1">IFERROR(__xludf.DUMMYFUNCTION("""COMPUTED_VALUE"""),15)</f>
        <v>15</v>
      </c>
      <c r="F764" s="5"/>
    </row>
    <row r="765" spans="1:6" ht="13">
      <c r="A765" s="5" t="str">
        <f ca="1">IFERROR(__xludf.DUMMYFUNCTION("""COMPUTED_VALUE"""),"20191114CASAS")</f>
        <v>20191114CASAS</v>
      </c>
      <c r="B765" s="5" t="str">
        <f ca="1">IFERROR(__xludf.DUMMYFUNCTION("""COMPUTED_VALUE"""),"Wounded")</f>
        <v>Wounded</v>
      </c>
      <c r="C765" s="5" t="str">
        <f ca="1">IFERROR(__xludf.DUMMYFUNCTION("""COMPUTED_VALUE"""),"Female")</f>
        <v>Female</v>
      </c>
      <c r="D765" s="5" t="str">
        <f ca="1">IFERROR(__xludf.DUMMYFUNCTION("""COMPUTED_VALUE"""),"Student")</f>
        <v>Student</v>
      </c>
      <c r="E765" s="5">
        <f ca="1">IFERROR(__xludf.DUMMYFUNCTION("""COMPUTED_VALUE"""),15)</f>
        <v>15</v>
      </c>
      <c r="F765" s="5"/>
    </row>
    <row r="766" spans="1:6" ht="13">
      <c r="A766" s="5" t="str">
        <f ca="1">IFERROR(__xludf.DUMMYFUNCTION("""COMPUTED_VALUE"""),"20191114CASAS")</f>
        <v>20191114CASAS</v>
      </c>
      <c r="B766" s="5" t="str">
        <f ca="1">IFERROR(__xludf.DUMMYFUNCTION("""COMPUTED_VALUE"""),"Wounded")</f>
        <v>Wounded</v>
      </c>
      <c r="C766" s="5" t="str">
        <f ca="1">IFERROR(__xludf.DUMMYFUNCTION("""COMPUTED_VALUE"""),"Female")</f>
        <v>Female</v>
      </c>
      <c r="D766" s="5" t="str">
        <f ca="1">IFERROR(__xludf.DUMMYFUNCTION("""COMPUTED_VALUE"""),"Student")</f>
        <v>Student</v>
      </c>
      <c r="E766" s="5">
        <f ca="1">IFERROR(__xludf.DUMMYFUNCTION("""COMPUTED_VALUE"""),14)</f>
        <v>14</v>
      </c>
      <c r="F766" s="5"/>
    </row>
    <row r="767" spans="1:6" ht="13">
      <c r="A767" s="5" t="str">
        <f ca="1">IFERROR(__xludf.DUMMYFUNCTION("""COMPUTED_VALUE"""),"20191114CASAS")</f>
        <v>20191114CASAS</v>
      </c>
      <c r="B767" s="5" t="str">
        <f ca="1">IFERROR(__xludf.DUMMYFUNCTION("""COMPUTED_VALUE"""),"Wounded")</f>
        <v>Wounded</v>
      </c>
      <c r="C767" s="5" t="str">
        <f ca="1">IFERROR(__xludf.DUMMYFUNCTION("""COMPUTED_VALUE"""),"Male")</f>
        <v>Male</v>
      </c>
      <c r="D767" s="5" t="str">
        <f ca="1">IFERROR(__xludf.DUMMYFUNCTION("""COMPUTED_VALUE"""),"Student")</f>
        <v>Student</v>
      </c>
      <c r="E767" s="5">
        <f ca="1">IFERROR(__xludf.DUMMYFUNCTION("""COMPUTED_VALUE"""),14)</f>
        <v>14</v>
      </c>
      <c r="F767" s="5"/>
    </row>
    <row r="768" spans="1:6" ht="13">
      <c r="A768" s="5" t="str">
        <f ca="1">IFERROR(__xludf.DUMMYFUNCTION("""COMPUTED_VALUE"""),"20191114CASAS")</f>
        <v>20191114CASAS</v>
      </c>
      <c r="B768" s="5" t="str">
        <f ca="1">IFERROR(__xludf.DUMMYFUNCTION("""COMPUTED_VALUE"""),"Fatal")</f>
        <v>Fatal</v>
      </c>
      <c r="C768" s="5" t="str">
        <f ca="1">IFERROR(__xludf.DUMMYFUNCTION("""COMPUTED_VALUE"""),"Male")</f>
        <v>Male</v>
      </c>
      <c r="D768" s="5" t="str">
        <f ca="1">IFERROR(__xludf.DUMMYFUNCTION("""COMPUTED_VALUE"""),"Student")</f>
        <v>Student</v>
      </c>
      <c r="E768" s="5">
        <f ca="1">IFERROR(__xludf.DUMMYFUNCTION("""COMPUTED_VALUE"""),14)</f>
        <v>14</v>
      </c>
      <c r="F768" s="5"/>
    </row>
    <row r="769" spans="1:6" ht="13">
      <c r="A769" s="5" t="str">
        <f ca="1">IFERROR(__xludf.DUMMYFUNCTION("""COMPUTED_VALUE"""),"20191113CAESL")</f>
        <v>20191113CAESL</v>
      </c>
      <c r="B769" s="5" t="str">
        <f ca="1">IFERROR(__xludf.DUMMYFUNCTION("""COMPUTED_VALUE"""),"Fatal")</f>
        <v>Fatal</v>
      </c>
      <c r="C769" s="5" t="str">
        <f ca="1">IFERROR(__xludf.DUMMYFUNCTION("""COMPUTED_VALUE"""),"Male")</f>
        <v>Male</v>
      </c>
      <c r="D769" s="5" t="str">
        <f ca="1">IFERROR(__xludf.DUMMYFUNCTION("""COMPUTED_VALUE"""),"No Relation")</f>
        <v>No Relation</v>
      </c>
      <c r="E769" s="5" t="str">
        <f ca="1">IFERROR(__xludf.DUMMYFUNCTION("""COMPUTED_VALUE"""),"Adult")</f>
        <v>Adult</v>
      </c>
      <c r="F769" s="5"/>
    </row>
    <row r="770" spans="1:6" ht="13">
      <c r="A770" s="5" t="str">
        <f ca="1">IFERROR(__xludf.DUMMYFUNCTION("""COMPUTED_VALUE"""),"20191111MDACB")</f>
        <v>20191111MDACB</v>
      </c>
      <c r="B770" s="5" t="str">
        <f ca="1">IFERROR(__xludf.DUMMYFUNCTION("""COMPUTED_VALUE"""),"Wounded")</f>
        <v>Wounded</v>
      </c>
      <c r="C770" s="5" t="str">
        <f ca="1">IFERROR(__xludf.DUMMYFUNCTION("""COMPUTED_VALUE"""),"Male")</f>
        <v>Male</v>
      </c>
      <c r="D770" s="5" t="str">
        <f ca="1">IFERROR(__xludf.DUMMYFUNCTION("""COMPUTED_VALUE"""),"Student")</f>
        <v>Student</v>
      </c>
      <c r="E770" s="5">
        <f ca="1">IFERROR(__xludf.DUMMYFUNCTION("""COMPUTED_VALUE"""),19)</f>
        <v>19</v>
      </c>
      <c r="F770" s="5"/>
    </row>
    <row r="771" spans="1:6" ht="13">
      <c r="A771" s="5" t="str">
        <f ca="1">IFERROR(__xludf.DUMMYFUNCTION("""COMPUTED_VALUE"""),"20191108TXROD")</f>
        <v>20191108TXROD</v>
      </c>
      <c r="B771" s="5" t="str">
        <f ca="1">IFERROR(__xludf.DUMMYFUNCTION("""COMPUTED_VALUE"""),"Fatal")</f>
        <v>Fatal</v>
      </c>
      <c r="C771" s="5" t="str">
        <f ca="1">IFERROR(__xludf.DUMMYFUNCTION("""COMPUTED_VALUE"""),"Male")</f>
        <v>Male</v>
      </c>
      <c r="D771" s="5" t="str">
        <f ca="1">IFERROR(__xludf.DUMMYFUNCTION("""COMPUTED_VALUE"""),"Former Student")</f>
        <v>Former Student</v>
      </c>
      <c r="E771" s="5">
        <f ca="1">IFERROR(__xludf.DUMMYFUNCTION("""COMPUTED_VALUE"""),15)</f>
        <v>15</v>
      </c>
      <c r="F771" s="5" t="str">
        <f ca="1">IFERROR(__xludf.DUMMYFUNCTION("""COMPUTED_VALUE"""),"Black")</f>
        <v>Black</v>
      </c>
    </row>
    <row r="772" spans="1:6" ht="13">
      <c r="A772" s="5" t="str">
        <f ca="1">IFERROR(__xludf.DUMMYFUNCTION("""COMPUTED_VALUE"""),"20191108CAEDS")</f>
        <v>20191108CAEDS</v>
      </c>
      <c r="B772" s="5" t="str">
        <f ca="1">IFERROR(__xludf.DUMMYFUNCTION("""COMPUTED_VALUE"""),"None")</f>
        <v>None</v>
      </c>
      <c r="C772" s="5"/>
      <c r="D772" s="5"/>
      <c r="E772" s="5"/>
      <c r="F772" s="5"/>
    </row>
    <row r="773" spans="1:6" ht="13">
      <c r="A773" s="5" t="str">
        <f ca="1">IFERROR(__xludf.DUMMYFUNCTION("""COMPUTED_VALUE"""),"20191029NYNEN")</f>
        <v>20191029NYNEN</v>
      </c>
      <c r="B773" s="5" t="str">
        <f ca="1">IFERROR(__xludf.DUMMYFUNCTION("""COMPUTED_VALUE"""),"Wounded")</f>
        <v>Wounded</v>
      </c>
      <c r="C773" s="5" t="str">
        <f ca="1">IFERROR(__xludf.DUMMYFUNCTION("""COMPUTED_VALUE"""),"Female")</f>
        <v>Female</v>
      </c>
      <c r="D773" s="5" t="str">
        <f ca="1">IFERROR(__xludf.DUMMYFUNCTION("""COMPUTED_VALUE"""),"Student")</f>
        <v>Student</v>
      </c>
      <c r="E773" s="5">
        <f ca="1">IFERROR(__xludf.DUMMYFUNCTION("""COMPUTED_VALUE"""),16)</f>
        <v>16</v>
      </c>
      <c r="F773" s="5"/>
    </row>
    <row r="774" spans="1:6" ht="13">
      <c r="A774" s="5" t="str">
        <f ca="1">IFERROR(__xludf.DUMMYFUNCTION("""COMPUTED_VALUE"""),"20191027MDLAL")</f>
        <v>20191027MDLAL</v>
      </c>
      <c r="B774" s="5" t="str">
        <f ca="1">IFERROR(__xludf.DUMMYFUNCTION("""COMPUTED_VALUE"""),"Wounded")</f>
        <v>Wounded</v>
      </c>
      <c r="C774" s="5" t="str">
        <f ca="1">IFERROR(__xludf.DUMMYFUNCTION("""COMPUTED_VALUE"""),"Female")</f>
        <v>Female</v>
      </c>
      <c r="D774" s="5" t="str">
        <f ca="1">IFERROR(__xludf.DUMMYFUNCTION("""COMPUTED_VALUE"""),"No Relation")</f>
        <v>No Relation</v>
      </c>
      <c r="E774" s="5">
        <f ca="1">IFERROR(__xludf.DUMMYFUNCTION("""COMPUTED_VALUE"""),38)</f>
        <v>38</v>
      </c>
      <c r="F774" s="5"/>
    </row>
    <row r="775" spans="1:6" ht="13">
      <c r="A775" s="5" t="str">
        <f ca="1">IFERROR(__xludf.DUMMYFUNCTION("""COMPUTED_VALUE"""),"20191022NJBRB")</f>
        <v>20191022NJBRB</v>
      </c>
      <c r="B775" s="5" t="str">
        <f ca="1">IFERROR(__xludf.DUMMYFUNCTION("""COMPUTED_VALUE"""),"Wounded")</f>
        <v>Wounded</v>
      </c>
      <c r="C775" s="5" t="str">
        <f ca="1">IFERROR(__xludf.DUMMYFUNCTION("""COMPUTED_VALUE"""),"Male")</f>
        <v>Male</v>
      </c>
      <c r="D775" s="5" t="str">
        <f ca="1">IFERROR(__xludf.DUMMYFUNCTION("""COMPUTED_VALUE"""),"Student")</f>
        <v>Student</v>
      </c>
      <c r="E775" s="5" t="str">
        <f ca="1">IFERROR(__xludf.DUMMYFUNCTION("""COMPUTED_VALUE"""),"Teen")</f>
        <v>Teen</v>
      </c>
      <c r="F775" s="5"/>
    </row>
    <row r="776" spans="1:6" ht="13">
      <c r="A776" s="5" t="str">
        <f ca="1">IFERROR(__xludf.DUMMYFUNCTION("""COMPUTED_VALUE"""),"20191022CARIS")</f>
        <v>20191022CARIS</v>
      </c>
      <c r="B776" s="5" t="str">
        <f ca="1">IFERROR(__xludf.DUMMYFUNCTION("""COMPUTED_VALUE"""),"Wounded")</f>
        <v>Wounded</v>
      </c>
      <c r="C776" s="5" t="str">
        <f ca="1">IFERROR(__xludf.DUMMYFUNCTION("""COMPUTED_VALUE"""),"Male")</f>
        <v>Male</v>
      </c>
      <c r="D776" s="5" t="str">
        <f ca="1">IFERROR(__xludf.DUMMYFUNCTION("""COMPUTED_VALUE"""),"Student")</f>
        <v>Student</v>
      </c>
      <c r="E776" s="5">
        <f ca="1">IFERROR(__xludf.DUMMYFUNCTION("""COMPUTED_VALUE"""),16)</f>
        <v>16</v>
      </c>
      <c r="F776" s="5"/>
    </row>
    <row r="777" spans="1:6" ht="13">
      <c r="A777" s="5" t="str">
        <f ca="1">IFERROR(__xludf.DUMMYFUNCTION("""COMPUTED_VALUE"""),"20191018OHWOT")</f>
        <v>20191018OHWOT</v>
      </c>
      <c r="B777" s="5" t="str">
        <f ca="1">IFERROR(__xludf.DUMMYFUNCTION("""COMPUTED_VALUE"""),"None")</f>
        <v>None</v>
      </c>
      <c r="C777" s="5"/>
      <c r="D777" s="5"/>
      <c r="E777" s="5"/>
      <c r="F777" s="5"/>
    </row>
    <row r="778" spans="1:6" ht="13">
      <c r="A778" s="5" t="str">
        <f ca="1">IFERROR(__xludf.DUMMYFUNCTION("""COMPUTED_VALUE"""),"20191018GACRS")</f>
        <v>20191018GACRS</v>
      </c>
      <c r="B778" s="5" t="str">
        <f ca="1">IFERROR(__xludf.DUMMYFUNCTION("""COMPUTED_VALUE"""),"Wounded")</f>
        <v>Wounded</v>
      </c>
      <c r="C778" s="5" t="str">
        <f ca="1">IFERROR(__xludf.DUMMYFUNCTION("""COMPUTED_VALUE"""),"Male")</f>
        <v>Male</v>
      </c>
      <c r="D778" s="5"/>
      <c r="E778" s="5"/>
      <c r="F778" s="5"/>
    </row>
    <row r="779" spans="1:6" ht="13">
      <c r="A779" s="5" t="str">
        <f ca="1">IFERROR(__xludf.DUMMYFUNCTION("""COMPUTED_VALUE"""),"20191015LAGEN")</f>
        <v>20191015LAGEN</v>
      </c>
      <c r="B779" s="5" t="str">
        <f ca="1">IFERROR(__xludf.DUMMYFUNCTION("""COMPUTED_VALUE"""),"Wounded")</f>
        <v>Wounded</v>
      </c>
      <c r="C779" s="5" t="str">
        <f ca="1">IFERROR(__xludf.DUMMYFUNCTION("""COMPUTED_VALUE"""),"Male")</f>
        <v>Male</v>
      </c>
      <c r="D779" s="5" t="str">
        <f ca="1">IFERROR(__xludf.DUMMYFUNCTION("""COMPUTED_VALUE"""),"Student")</f>
        <v>Student</v>
      </c>
      <c r="E779" s="5">
        <f ca="1">IFERROR(__xludf.DUMMYFUNCTION("""COMPUTED_VALUE"""),17)</f>
        <v>17</v>
      </c>
      <c r="F779" s="5"/>
    </row>
    <row r="780" spans="1:6" ht="13">
      <c r="A780" s="5" t="str">
        <f ca="1">IFERROR(__xludf.DUMMYFUNCTION("""COMPUTED_VALUE"""),"20191011LARAR")</f>
        <v>20191011LARAR</v>
      </c>
      <c r="B780" s="5" t="str">
        <f ca="1">IFERROR(__xludf.DUMMYFUNCTION("""COMPUTED_VALUE"""),"None")</f>
        <v>None</v>
      </c>
      <c r="C780" s="5"/>
      <c r="D780" s="5"/>
      <c r="E780" s="5"/>
      <c r="F780" s="5"/>
    </row>
    <row r="781" spans="1:6" ht="13">
      <c r="A781" s="5" t="str">
        <f ca="1">IFERROR(__xludf.DUMMYFUNCTION("""COMPUTED_VALUE"""),"20191009MAGRL")</f>
        <v>20191009MAGRL</v>
      </c>
      <c r="B781" s="5" t="str">
        <f ca="1">IFERROR(__xludf.DUMMYFUNCTION("""COMPUTED_VALUE"""),"Wounded")</f>
        <v>Wounded</v>
      </c>
      <c r="C781" s="5"/>
      <c r="D781" s="5" t="str">
        <f ca="1">IFERROR(__xludf.DUMMYFUNCTION("""COMPUTED_VALUE"""),"Student")</f>
        <v>Student</v>
      </c>
      <c r="E781" s="5" t="str">
        <f ca="1">IFERROR(__xludf.DUMMYFUNCTION("""COMPUTED_VALUE"""),"Child")</f>
        <v>Child</v>
      </c>
      <c r="F781" s="5"/>
    </row>
    <row r="782" spans="1:6" ht="13">
      <c r="A782" s="5" t="str">
        <f ca="1">IFERROR(__xludf.DUMMYFUNCTION("""COMPUTED_VALUE"""),"20191009MAGRL")</f>
        <v>20191009MAGRL</v>
      </c>
      <c r="B782" s="5" t="str">
        <f ca="1">IFERROR(__xludf.DUMMYFUNCTION("""COMPUTED_VALUE"""),"Wounded")</f>
        <v>Wounded</v>
      </c>
      <c r="C782" s="5"/>
      <c r="D782" s="5" t="str">
        <f ca="1">IFERROR(__xludf.DUMMYFUNCTION("""COMPUTED_VALUE"""),"Student")</f>
        <v>Student</v>
      </c>
      <c r="E782" s="5" t="str">
        <f ca="1">IFERROR(__xludf.DUMMYFUNCTION("""COMPUTED_VALUE"""),"Child")</f>
        <v>Child</v>
      </c>
      <c r="F782" s="5"/>
    </row>
    <row r="783" spans="1:6" ht="13">
      <c r="A783" s="5" t="str">
        <f ca="1">IFERROR(__xludf.DUMMYFUNCTION("""COMPUTED_VALUE"""),"20191009MAGRL")</f>
        <v>20191009MAGRL</v>
      </c>
      <c r="B783" s="5" t="str">
        <f ca="1">IFERROR(__xludf.DUMMYFUNCTION("""COMPUTED_VALUE"""),"Wounded")</f>
        <v>Wounded</v>
      </c>
      <c r="C783" s="5"/>
      <c r="D783" s="5" t="str">
        <f ca="1">IFERROR(__xludf.DUMMYFUNCTION("""COMPUTED_VALUE"""),"Student")</f>
        <v>Student</v>
      </c>
      <c r="E783" s="5" t="str">
        <f ca="1">IFERROR(__xludf.DUMMYFUNCTION("""COMPUTED_VALUE"""),"Child")</f>
        <v>Child</v>
      </c>
      <c r="F783" s="5"/>
    </row>
    <row r="784" spans="1:6" ht="13">
      <c r="A784" s="5" t="str">
        <f ca="1">IFERROR(__xludf.DUMMYFUNCTION("""COMPUTED_VALUE"""),"20191009MAGRL")</f>
        <v>20191009MAGRL</v>
      </c>
      <c r="B784" s="5" t="str">
        <f ca="1">IFERROR(__xludf.DUMMYFUNCTION("""COMPUTED_VALUE"""),"Wounded")</f>
        <v>Wounded</v>
      </c>
      <c r="C784" s="5"/>
      <c r="D784" s="5" t="str">
        <f ca="1">IFERROR(__xludf.DUMMYFUNCTION("""COMPUTED_VALUE"""),"Student")</f>
        <v>Student</v>
      </c>
      <c r="E784" s="5" t="str">
        <f ca="1">IFERROR(__xludf.DUMMYFUNCTION("""COMPUTED_VALUE"""),"Child")</f>
        <v>Child</v>
      </c>
      <c r="F784" s="5"/>
    </row>
    <row r="785" spans="1:6" ht="13">
      <c r="A785" s="5" t="str">
        <f ca="1">IFERROR(__xludf.DUMMYFUNCTION("""COMPUTED_VALUE"""),"20191009MAGRL")</f>
        <v>20191009MAGRL</v>
      </c>
      <c r="B785" s="5" t="str">
        <f ca="1">IFERROR(__xludf.DUMMYFUNCTION("""COMPUTED_VALUE"""),"Wounded")</f>
        <v>Wounded</v>
      </c>
      <c r="C785" s="5"/>
      <c r="D785" s="5" t="str">
        <f ca="1">IFERROR(__xludf.DUMMYFUNCTION("""COMPUTED_VALUE"""),"Student")</f>
        <v>Student</v>
      </c>
      <c r="E785" s="5" t="str">
        <f ca="1">IFERROR(__xludf.DUMMYFUNCTION("""COMPUTED_VALUE"""),"Child")</f>
        <v>Child</v>
      </c>
      <c r="F785" s="5"/>
    </row>
    <row r="786" spans="1:6" ht="13">
      <c r="A786" s="5" t="str">
        <f ca="1">IFERROR(__xludf.DUMMYFUNCTION("""COMPUTED_VALUE"""),"20191008TXWEH")</f>
        <v>20191008TXWEH</v>
      </c>
      <c r="B786" s="5" t="str">
        <f ca="1">IFERROR(__xludf.DUMMYFUNCTION("""COMPUTED_VALUE"""),"Wounded")</f>
        <v>Wounded</v>
      </c>
      <c r="C786" s="5"/>
      <c r="D786" s="5" t="str">
        <f ca="1">IFERROR(__xludf.DUMMYFUNCTION("""COMPUTED_VALUE"""),"Student")</f>
        <v>Student</v>
      </c>
      <c r="E786" s="5" t="str">
        <f ca="1">IFERROR(__xludf.DUMMYFUNCTION("""COMPUTED_VALUE"""),"Teen")</f>
        <v>Teen</v>
      </c>
      <c r="F786" s="5"/>
    </row>
    <row r="787" spans="1:6" ht="13">
      <c r="A787" s="5" t="str">
        <f ca="1">IFERROR(__xludf.DUMMYFUNCTION("""COMPUTED_VALUE"""),"20191008COSHS")</f>
        <v>20191008COSHS</v>
      </c>
      <c r="B787" s="5" t="str">
        <f ca="1">IFERROR(__xludf.DUMMYFUNCTION("""COMPUTED_VALUE"""),"Wounded")</f>
        <v>Wounded</v>
      </c>
      <c r="C787" s="5" t="str">
        <f ca="1">IFERROR(__xludf.DUMMYFUNCTION("""COMPUTED_VALUE"""),"Male")</f>
        <v>Male</v>
      </c>
      <c r="D787" s="5" t="str">
        <f ca="1">IFERROR(__xludf.DUMMYFUNCTION("""COMPUTED_VALUE"""),"Rival School Student")</f>
        <v>Rival School Student</v>
      </c>
      <c r="E787" s="5" t="str">
        <f ca="1">IFERROR(__xludf.DUMMYFUNCTION("""COMPUTED_VALUE"""),"Teen")</f>
        <v>Teen</v>
      </c>
      <c r="F787" s="5"/>
    </row>
    <row r="788" spans="1:6" ht="13">
      <c r="A788" s="5" t="str">
        <f ca="1">IFERROR(__xludf.DUMMYFUNCTION("""COMPUTED_VALUE"""),"20191002GASOA")</f>
        <v>20191002GASOA</v>
      </c>
      <c r="B788" s="5" t="str">
        <f ca="1">IFERROR(__xludf.DUMMYFUNCTION("""COMPUTED_VALUE"""),"None")</f>
        <v>None</v>
      </c>
      <c r="C788" s="5"/>
      <c r="D788" s="5"/>
      <c r="E788" s="5"/>
      <c r="F788" s="5"/>
    </row>
    <row r="789" spans="1:6" ht="13">
      <c r="A789" s="5" t="str">
        <f ca="1">IFERROR(__xludf.DUMMYFUNCTION("""COMPUTED_VALUE"""),"20190927NCZEC")</f>
        <v>20190927NCZEC</v>
      </c>
      <c r="B789" s="5" t="str">
        <f ca="1">IFERROR(__xludf.DUMMYFUNCTION("""COMPUTED_VALUE"""),"None")</f>
        <v>None</v>
      </c>
      <c r="C789" s="5"/>
      <c r="D789" s="5"/>
      <c r="E789" s="5"/>
      <c r="F789" s="5"/>
    </row>
    <row r="790" spans="1:6" ht="13">
      <c r="A790" s="5" t="str">
        <f ca="1">IFERROR(__xludf.DUMMYFUNCTION("""COMPUTED_VALUE"""),"20190927CADER")</f>
        <v>20190927CADER</v>
      </c>
      <c r="B790" s="5" t="str">
        <f ca="1">IFERROR(__xludf.DUMMYFUNCTION("""COMPUTED_VALUE"""),"Wounded")</f>
        <v>Wounded</v>
      </c>
      <c r="C790" s="5" t="str">
        <f ca="1">IFERROR(__xludf.DUMMYFUNCTION("""COMPUTED_VALUE"""),"Female")</f>
        <v>Female</v>
      </c>
      <c r="D790" s="5" t="str">
        <f ca="1">IFERROR(__xludf.DUMMYFUNCTION("""COMPUTED_VALUE"""),"Student")</f>
        <v>Student</v>
      </c>
      <c r="E790" s="5">
        <f ca="1">IFERROR(__xludf.DUMMYFUNCTION("""COMPUTED_VALUE"""),16)</f>
        <v>16</v>
      </c>
      <c r="F790" s="5"/>
    </row>
    <row r="791" spans="1:6" ht="13">
      <c r="A791" s="5" t="str">
        <f ca="1">IFERROR(__xludf.DUMMYFUNCTION("""COMPUTED_VALUE"""),"20190927CADER")</f>
        <v>20190927CADER</v>
      </c>
      <c r="B791" s="5" t="str">
        <f ca="1">IFERROR(__xludf.DUMMYFUNCTION("""COMPUTED_VALUE"""),"Wounded")</f>
        <v>Wounded</v>
      </c>
      <c r="C791" s="5" t="str">
        <f ca="1">IFERROR(__xludf.DUMMYFUNCTION("""COMPUTED_VALUE"""),"Male")</f>
        <v>Male</v>
      </c>
      <c r="D791" s="5" t="str">
        <f ca="1">IFERROR(__xludf.DUMMYFUNCTION("""COMPUTED_VALUE"""),"Student")</f>
        <v>Student</v>
      </c>
      <c r="E791" s="5">
        <f ca="1">IFERROR(__xludf.DUMMYFUNCTION("""COMPUTED_VALUE"""),17)</f>
        <v>17</v>
      </c>
      <c r="F791" s="5"/>
    </row>
    <row r="792" spans="1:6" ht="13">
      <c r="A792" s="5" t="str">
        <f ca="1">IFERROR(__xludf.DUMMYFUNCTION("""COMPUTED_VALUE"""),"20190927CADER")</f>
        <v>20190927CADER</v>
      </c>
      <c r="B792" s="5" t="str">
        <f ca="1">IFERROR(__xludf.DUMMYFUNCTION("""COMPUTED_VALUE"""),"Wounded")</f>
        <v>Wounded</v>
      </c>
      <c r="C792" s="5" t="str">
        <f ca="1">IFERROR(__xludf.DUMMYFUNCTION("""COMPUTED_VALUE"""),"Male")</f>
        <v>Male</v>
      </c>
      <c r="D792" s="5" t="str">
        <f ca="1">IFERROR(__xludf.DUMMYFUNCTION("""COMPUTED_VALUE"""),"Student")</f>
        <v>Student</v>
      </c>
      <c r="E792" s="5">
        <f ca="1">IFERROR(__xludf.DUMMYFUNCTION("""COMPUTED_VALUE"""),17)</f>
        <v>17</v>
      </c>
      <c r="F792" s="5"/>
    </row>
    <row r="793" spans="1:6" ht="13">
      <c r="A793" s="5" t="str">
        <f ca="1">IFERROR(__xludf.DUMMYFUNCTION("""COMPUTED_VALUE"""),"20190920PASIP")</f>
        <v>20190920PASIP</v>
      </c>
      <c r="B793" s="5" t="str">
        <f ca="1">IFERROR(__xludf.DUMMYFUNCTION("""COMPUTED_VALUE"""),"Wounded")</f>
        <v>Wounded</v>
      </c>
      <c r="C793" s="5" t="str">
        <f ca="1">IFERROR(__xludf.DUMMYFUNCTION("""COMPUTED_VALUE"""),"Male")</f>
        <v>Male</v>
      </c>
      <c r="D793" s="5" t="str">
        <f ca="1">IFERROR(__xludf.DUMMYFUNCTION("""COMPUTED_VALUE"""),"Unknown")</f>
        <v>Unknown</v>
      </c>
      <c r="E793" s="5">
        <f ca="1">IFERROR(__xludf.DUMMYFUNCTION("""COMPUTED_VALUE"""),14)</f>
        <v>14</v>
      </c>
      <c r="F793" s="5"/>
    </row>
    <row r="794" spans="1:6" ht="13">
      <c r="A794" s="5" t="str">
        <f ca="1">IFERROR(__xludf.DUMMYFUNCTION("""COMPUTED_VALUE"""),"20190920PASIP")</f>
        <v>20190920PASIP</v>
      </c>
      <c r="B794" s="5" t="str">
        <f ca="1">IFERROR(__xludf.DUMMYFUNCTION("""COMPUTED_VALUE"""),"Wounded")</f>
        <v>Wounded</v>
      </c>
      <c r="C794" s="5" t="str">
        <f ca="1">IFERROR(__xludf.DUMMYFUNCTION("""COMPUTED_VALUE"""),"Male")</f>
        <v>Male</v>
      </c>
      <c r="D794" s="5" t="str">
        <f ca="1">IFERROR(__xludf.DUMMYFUNCTION("""COMPUTED_VALUE"""),"Unknown")</f>
        <v>Unknown</v>
      </c>
      <c r="E794" s="5">
        <f ca="1">IFERROR(__xludf.DUMMYFUNCTION("""COMPUTED_VALUE"""),15)</f>
        <v>15</v>
      </c>
      <c r="F794" s="5"/>
    </row>
    <row r="795" spans="1:6" ht="13">
      <c r="A795" s="5" t="str">
        <f ca="1">IFERROR(__xludf.DUMMYFUNCTION("""COMPUTED_VALUE"""),"20190918MNFOC")</f>
        <v>20190918MNFOC</v>
      </c>
      <c r="B795" s="5" t="str">
        <f ca="1">IFERROR(__xludf.DUMMYFUNCTION("""COMPUTED_VALUE"""),"Wounded")</f>
        <v>Wounded</v>
      </c>
      <c r="C795" s="5" t="str">
        <f ca="1">IFERROR(__xludf.DUMMYFUNCTION("""COMPUTED_VALUE"""),"Male")</f>
        <v>Male</v>
      </c>
      <c r="D795" s="5" t="str">
        <f ca="1">IFERROR(__xludf.DUMMYFUNCTION("""COMPUTED_VALUE"""),"Nonstudent Using Athletic Facilities/Attending Game")</f>
        <v>Nonstudent Using Athletic Facilities/Attending Game</v>
      </c>
      <c r="E795" s="5">
        <f ca="1">IFERROR(__xludf.DUMMYFUNCTION("""COMPUTED_VALUE"""),45)</f>
        <v>45</v>
      </c>
      <c r="F795" s="5"/>
    </row>
    <row r="796" spans="1:6" ht="13">
      <c r="A796" s="5" t="str">
        <f ca="1">IFERROR(__xludf.DUMMYFUNCTION("""COMPUTED_VALUE"""),"20190916VAPHH")</f>
        <v>20190916VAPHH</v>
      </c>
      <c r="B796" s="5" t="str">
        <f ca="1">IFERROR(__xludf.DUMMYFUNCTION("""COMPUTED_VALUE"""),"Fatal")</f>
        <v>Fatal</v>
      </c>
      <c r="C796" s="5" t="str">
        <f ca="1">IFERROR(__xludf.DUMMYFUNCTION("""COMPUTED_VALUE"""),"Male")</f>
        <v>Male</v>
      </c>
      <c r="D796" s="5" t="str">
        <f ca="1">IFERROR(__xludf.DUMMYFUNCTION("""COMPUTED_VALUE"""),"No Relation")</f>
        <v>No Relation</v>
      </c>
      <c r="E796" s="5">
        <f ca="1">IFERROR(__xludf.DUMMYFUNCTION("""COMPUTED_VALUE"""),38)</f>
        <v>38</v>
      </c>
      <c r="F796" s="5"/>
    </row>
    <row r="797" spans="1:6" ht="13">
      <c r="A797" s="5" t="str">
        <f ca="1">IFERROR(__xludf.DUMMYFUNCTION("""COMPUTED_VALUE"""),"20190916ILILK")</f>
        <v>20190916ILILK</v>
      </c>
      <c r="B797" s="5" t="str">
        <f ca="1">IFERROR(__xludf.DUMMYFUNCTION("""COMPUTED_VALUE"""),"None")</f>
        <v>None</v>
      </c>
      <c r="C797" s="5"/>
      <c r="D797" s="5"/>
      <c r="E797" s="5"/>
      <c r="F797" s="5"/>
    </row>
    <row r="798" spans="1:6" ht="13">
      <c r="A798" s="5" t="str">
        <f ca="1">IFERROR(__xludf.DUMMYFUNCTION("""COMPUTED_VALUE"""),"20190914TXEAF")</f>
        <v>20190914TXEAF</v>
      </c>
      <c r="B798" s="5" t="str">
        <f ca="1">IFERROR(__xludf.DUMMYFUNCTION("""COMPUTED_VALUE"""),"Wounded")</f>
        <v>Wounded</v>
      </c>
      <c r="C798" s="5" t="str">
        <f ca="1">IFERROR(__xludf.DUMMYFUNCTION("""COMPUTED_VALUE"""),"Male")</f>
        <v>Male</v>
      </c>
      <c r="D798" s="5" t="str">
        <f ca="1">IFERROR(__xludf.DUMMYFUNCTION("""COMPUTED_VALUE"""),"Nonstudent Using Athletic Facilities/Attending Game")</f>
        <v>Nonstudent Using Athletic Facilities/Attending Game</v>
      </c>
      <c r="E798" s="5">
        <f ca="1">IFERROR(__xludf.DUMMYFUNCTION("""COMPUTED_VALUE"""),12)</f>
        <v>12</v>
      </c>
      <c r="F798" s="5"/>
    </row>
    <row r="799" spans="1:6" ht="13">
      <c r="A799" s="5" t="str">
        <f ca="1">IFERROR(__xludf.DUMMYFUNCTION("""COMPUTED_VALUE"""),"20190914TXEAF")</f>
        <v>20190914TXEAF</v>
      </c>
      <c r="B799" s="5" t="str">
        <f ca="1">IFERROR(__xludf.DUMMYFUNCTION("""COMPUTED_VALUE"""),"Wounded")</f>
        <v>Wounded</v>
      </c>
      <c r="C799" s="5" t="str">
        <f ca="1">IFERROR(__xludf.DUMMYFUNCTION("""COMPUTED_VALUE"""),"Female")</f>
        <v>Female</v>
      </c>
      <c r="D799" s="5" t="str">
        <f ca="1">IFERROR(__xludf.DUMMYFUNCTION("""COMPUTED_VALUE"""),"Nonstudent Using Athletic Facilities/Attending Game")</f>
        <v>Nonstudent Using Athletic Facilities/Attending Game</v>
      </c>
      <c r="E799" s="5" t="str">
        <f ca="1">IFERROR(__xludf.DUMMYFUNCTION("""COMPUTED_VALUE"""),"Adult")</f>
        <v>Adult</v>
      </c>
      <c r="F799" s="5"/>
    </row>
    <row r="800" spans="1:6" ht="13">
      <c r="A800" s="5" t="str">
        <f ca="1">IFERROR(__xludf.DUMMYFUNCTION("""COMPUTED_VALUE"""),"20190913VAETN")</f>
        <v>20190913VAETN</v>
      </c>
      <c r="B800" s="5" t="str">
        <f ca="1">IFERROR(__xludf.DUMMYFUNCTION("""COMPUTED_VALUE"""),"Wounded")</f>
        <v>Wounded</v>
      </c>
      <c r="C800" s="5"/>
      <c r="D800" s="5" t="str">
        <f ca="1">IFERROR(__xludf.DUMMYFUNCTION("""COMPUTED_VALUE"""),"Nonstudent Using Athletic Facilities/Attending Game")</f>
        <v>Nonstudent Using Athletic Facilities/Attending Game</v>
      </c>
      <c r="E800" s="5">
        <f ca="1">IFERROR(__xludf.DUMMYFUNCTION("""COMPUTED_VALUE"""),19)</f>
        <v>19</v>
      </c>
      <c r="F800" s="5"/>
    </row>
    <row r="801" spans="1:6" ht="13">
      <c r="A801" s="5" t="str">
        <f ca="1">IFERROR(__xludf.DUMMYFUNCTION("""COMPUTED_VALUE"""),"20190913VAETN")</f>
        <v>20190913VAETN</v>
      </c>
      <c r="B801" s="5" t="str">
        <f ca="1">IFERROR(__xludf.DUMMYFUNCTION("""COMPUTED_VALUE"""),"Wounded")</f>
        <v>Wounded</v>
      </c>
      <c r="C801" s="5"/>
      <c r="D801" s="5" t="str">
        <f ca="1">IFERROR(__xludf.DUMMYFUNCTION("""COMPUTED_VALUE"""),"Student")</f>
        <v>Student</v>
      </c>
      <c r="E801" s="5">
        <f ca="1">IFERROR(__xludf.DUMMYFUNCTION("""COMPUTED_VALUE"""),14)</f>
        <v>14</v>
      </c>
      <c r="F801" s="5"/>
    </row>
    <row r="802" spans="1:6" ht="13">
      <c r="A802" s="5" t="str">
        <f ca="1">IFERROR(__xludf.DUMMYFUNCTION("""COMPUTED_VALUE"""),"20190913VAETN")</f>
        <v>20190913VAETN</v>
      </c>
      <c r="B802" s="5" t="str">
        <f ca="1">IFERROR(__xludf.DUMMYFUNCTION("""COMPUTED_VALUE"""),"Wounded")</f>
        <v>Wounded</v>
      </c>
      <c r="C802" s="5"/>
      <c r="D802" s="5" t="str">
        <f ca="1">IFERROR(__xludf.DUMMYFUNCTION("""COMPUTED_VALUE"""),"Nonstudent Using Athletic Facilities/Attending Game")</f>
        <v>Nonstudent Using Athletic Facilities/Attending Game</v>
      </c>
      <c r="E802" s="5">
        <f ca="1">IFERROR(__xludf.DUMMYFUNCTION("""COMPUTED_VALUE"""),19)</f>
        <v>19</v>
      </c>
      <c r="F802" s="5"/>
    </row>
    <row r="803" spans="1:6" ht="13">
      <c r="A803" s="5" t="str">
        <f ca="1">IFERROR(__xludf.DUMMYFUNCTION("""COMPUTED_VALUE"""),"20190913UTGRW")</f>
        <v>20190913UTGRW</v>
      </c>
      <c r="B803" s="5" t="str">
        <f ca="1">IFERROR(__xludf.DUMMYFUNCTION("""COMPUTED_VALUE"""),"None")</f>
        <v>None</v>
      </c>
      <c r="C803" s="5"/>
      <c r="D803" s="5"/>
      <c r="E803" s="5"/>
      <c r="F803" s="5"/>
    </row>
    <row r="804" spans="1:6" ht="13">
      <c r="A804" s="5" t="str">
        <f ca="1">IFERROR(__xludf.DUMMYFUNCTION("""COMPUTED_VALUE"""),"20190912KSMAM")</f>
        <v>20190912KSMAM</v>
      </c>
      <c r="B804" s="5" t="str">
        <f ca="1">IFERROR(__xludf.DUMMYFUNCTION("""COMPUTED_VALUE"""),"None")</f>
        <v>None</v>
      </c>
      <c r="C804" s="5"/>
      <c r="D804" s="5"/>
      <c r="E804" s="5"/>
      <c r="F804" s="5"/>
    </row>
    <row r="805" spans="1:6" ht="13">
      <c r="A805" s="5" t="str">
        <f ca="1">IFERROR(__xludf.DUMMYFUNCTION("""COMPUTED_VALUE"""),"20190910SCSOA")</f>
        <v>20190910SCSOA</v>
      </c>
      <c r="B805" s="5" t="str">
        <f ca="1">IFERROR(__xludf.DUMMYFUNCTION("""COMPUTED_VALUE"""),"None")</f>
        <v>None</v>
      </c>
      <c r="C805" s="5"/>
      <c r="D805" s="5"/>
      <c r="E805" s="5"/>
      <c r="F805" s="5"/>
    </row>
    <row r="806" spans="1:6" ht="13">
      <c r="A806" s="5" t="str">
        <f ca="1">IFERROR(__xludf.DUMMYFUNCTION("""COMPUTED_VALUE"""),"20190906PAWEM")</f>
        <v>20190906PAWEM</v>
      </c>
      <c r="B806" s="5" t="str">
        <f ca="1">IFERROR(__xludf.DUMMYFUNCTION("""COMPUTED_VALUE"""),"Wounded")</f>
        <v>Wounded</v>
      </c>
      <c r="C806" s="5" t="str">
        <f ca="1">IFERROR(__xludf.DUMMYFUNCTION("""COMPUTED_VALUE"""),"Female")</f>
        <v>Female</v>
      </c>
      <c r="D806" s="5" t="str">
        <f ca="1">IFERROR(__xludf.DUMMYFUNCTION("""COMPUTED_VALUE"""),"Student")</f>
        <v>Student</v>
      </c>
      <c r="E806" s="5"/>
      <c r="F806" s="5"/>
    </row>
    <row r="807" spans="1:6" ht="13">
      <c r="A807" s="5" t="str">
        <f ca="1">IFERROR(__xludf.DUMMYFUNCTION("""COMPUTED_VALUE"""),"20190906PAMCJ")</f>
        <v>20190906PAMCJ</v>
      </c>
      <c r="B807" s="5" t="str">
        <f ca="1">IFERROR(__xludf.DUMMYFUNCTION("""COMPUTED_VALUE"""),"Fatal")</f>
        <v>Fatal</v>
      </c>
      <c r="C807" s="5" t="str">
        <f ca="1">IFERROR(__xludf.DUMMYFUNCTION("""COMPUTED_VALUE"""),"Male")</f>
        <v>Male</v>
      </c>
      <c r="D807" s="5"/>
      <c r="E807" s="5">
        <f ca="1">IFERROR(__xludf.DUMMYFUNCTION("""COMPUTED_VALUE"""),48)</f>
        <v>48</v>
      </c>
      <c r="F807" s="5" t="str">
        <f ca="1">IFERROR(__xludf.DUMMYFUNCTION("""COMPUTED_VALUE"""),"Black")</f>
        <v>Black</v>
      </c>
    </row>
    <row r="808" spans="1:6" ht="13">
      <c r="A808" s="5" t="str">
        <f ca="1">IFERROR(__xludf.DUMMYFUNCTION("""COMPUTED_VALUE"""),"20190906ALCEC")</f>
        <v>20190906ALCEC</v>
      </c>
      <c r="B808" s="5" t="str">
        <f ca="1">IFERROR(__xludf.DUMMYFUNCTION("""COMPUTED_VALUE"""),"None")</f>
        <v>None</v>
      </c>
      <c r="C808" s="5"/>
      <c r="D808" s="5"/>
      <c r="E808" s="5"/>
      <c r="F808" s="5"/>
    </row>
    <row r="809" spans="1:6" ht="13">
      <c r="A809" s="5" t="str">
        <f ca="1">IFERROR(__xludf.DUMMYFUNCTION("""COMPUTED_VALUE"""),"20190902MDNOB")</f>
        <v>20190902MDNOB</v>
      </c>
      <c r="B809" s="5" t="str">
        <f ca="1">IFERROR(__xludf.DUMMYFUNCTION("""COMPUTED_VALUE"""),"Fatal")</f>
        <v>Fatal</v>
      </c>
      <c r="C809" s="5" t="str">
        <f ca="1">IFERROR(__xludf.DUMMYFUNCTION("""COMPUTED_VALUE"""),"Male")</f>
        <v>Male</v>
      </c>
      <c r="D809" s="5" t="str">
        <f ca="1">IFERROR(__xludf.DUMMYFUNCTION("""COMPUTED_VALUE"""),"No Relation")</f>
        <v>No Relation</v>
      </c>
      <c r="E809" s="5" t="str">
        <f ca="1">IFERROR(__xludf.DUMMYFUNCTION("""COMPUTED_VALUE"""),"Adult")</f>
        <v>Adult</v>
      </c>
      <c r="F809" s="5"/>
    </row>
    <row r="810" spans="1:6" ht="13">
      <c r="A810" s="5" t="str">
        <f ca="1">IFERROR(__xludf.DUMMYFUNCTION("""COMPUTED_VALUE"""),"20190902MDNOB")</f>
        <v>20190902MDNOB</v>
      </c>
      <c r="B810" s="5" t="str">
        <f ca="1">IFERROR(__xludf.DUMMYFUNCTION("""COMPUTED_VALUE"""),"Wounded")</f>
        <v>Wounded</v>
      </c>
      <c r="C810" s="5" t="str">
        <f ca="1">IFERROR(__xludf.DUMMYFUNCTION("""COMPUTED_VALUE"""),"Male")</f>
        <v>Male</v>
      </c>
      <c r="D810" s="5" t="str">
        <f ca="1">IFERROR(__xludf.DUMMYFUNCTION("""COMPUTED_VALUE"""),"No Relation")</f>
        <v>No Relation</v>
      </c>
      <c r="E810" s="5" t="str">
        <f ca="1">IFERROR(__xludf.DUMMYFUNCTION("""COMPUTED_VALUE"""),"Adult")</f>
        <v>Adult</v>
      </c>
      <c r="F810" s="5"/>
    </row>
    <row r="811" spans="1:6" ht="13">
      <c r="A811" s="5" t="str">
        <f ca="1">IFERROR(__xludf.DUMMYFUNCTION("""COMPUTED_VALUE"""),"20190902MDNOB")</f>
        <v>20190902MDNOB</v>
      </c>
      <c r="B811" s="5" t="str">
        <f ca="1">IFERROR(__xludf.DUMMYFUNCTION("""COMPUTED_VALUE"""),"Wounded")</f>
        <v>Wounded</v>
      </c>
      <c r="C811" s="5" t="str">
        <f ca="1">IFERROR(__xludf.DUMMYFUNCTION("""COMPUTED_VALUE"""),"Male")</f>
        <v>Male</v>
      </c>
      <c r="D811" s="5" t="str">
        <f ca="1">IFERROR(__xludf.DUMMYFUNCTION("""COMPUTED_VALUE"""),"No Relation")</f>
        <v>No Relation</v>
      </c>
      <c r="E811" s="5" t="str">
        <f ca="1">IFERROR(__xludf.DUMMYFUNCTION("""COMPUTED_VALUE"""),"Adult")</f>
        <v>Adult</v>
      </c>
      <c r="F811" s="5"/>
    </row>
    <row r="812" spans="1:6" ht="13">
      <c r="A812" s="5" t="str">
        <f ca="1">IFERROR(__xludf.DUMMYFUNCTION("""COMPUTED_VALUE"""),"20190830OHCET")</f>
        <v>20190830OHCET</v>
      </c>
      <c r="B812" s="5" t="str">
        <f ca="1">IFERROR(__xludf.DUMMYFUNCTION("""COMPUTED_VALUE"""),"Wounded")</f>
        <v>Wounded</v>
      </c>
      <c r="C812" s="5" t="str">
        <f ca="1">IFERROR(__xludf.DUMMYFUNCTION("""COMPUTED_VALUE"""),"Male")</f>
        <v>Male</v>
      </c>
      <c r="D812" s="5" t="str">
        <f ca="1">IFERROR(__xludf.DUMMYFUNCTION("""COMPUTED_VALUE"""),"Nonstudent Using Athletic Facilities/Attending Game")</f>
        <v>Nonstudent Using Athletic Facilities/Attending Game</v>
      </c>
      <c r="E812" s="5">
        <f ca="1">IFERROR(__xludf.DUMMYFUNCTION("""COMPUTED_VALUE"""),16)</f>
        <v>16</v>
      </c>
      <c r="F812" s="5"/>
    </row>
    <row r="813" spans="1:6" ht="13">
      <c r="A813" s="5" t="str">
        <f ca="1">IFERROR(__xludf.DUMMYFUNCTION("""COMPUTED_VALUE"""),"20190830NCKIK")</f>
        <v>20190830NCKIK</v>
      </c>
      <c r="B813" s="5" t="str">
        <f ca="1">IFERROR(__xludf.DUMMYFUNCTION("""COMPUTED_VALUE"""),"None")</f>
        <v>None</v>
      </c>
      <c r="C813" s="5"/>
      <c r="D813" s="5"/>
      <c r="E813" s="5"/>
      <c r="F813" s="5"/>
    </row>
    <row r="814" spans="1:6" ht="13">
      <c r="A814" s="5" t="str">
        <f ca="1">IFERROR(__xludf.DUMMYFUNCTION("""COMPUTED_VALUE"""),"20190830ALLAM")</f>
        <v>20190830ALLAM</v>
      </c>
      <c r="B814" s="5" t="str">
        <f ca="1">IFERROR(__xludf.DUMMYFUNCTION("""COMPUTED_VALUE"""),"Wounded")</f>
        <v>Wounded</v>
      </c>
      <c r="C814" s="5"/>
      <c r="D814" s="5" t="str">
        <f ca="1">IFERROR(__xludf.DUMMYFUNCTION("""COMPUTED_VALUE"""),"Student")</f>
        <v>Student</v>
      </c>
      <c r="E814" s="5" t="str">
        <f ca="1">IFERROR(__xludf.DUMMYFUNCTION("""COMPUTED_VALUE"""),"Teen")</f>
        <v>Teen</v>
      </c>
      <c r="F814" s="5"/>
    </row>
    <row r="815" spans="1:6" ht="13">
      <c r="A815" s="5" t="str">
        <f ca="1">IFERROR(__xludf.DUMMYFUNCTION("""COMPUTED_VALUE"""),"20190830ALLAM")</f>
        <v>20190830ALLAM</v>
      </c>
      <c r="B815" s="5" t="str">
        <f ca="1">IFERROR(__xludf.DUMMYFUNCTION("""COMPUTED_VALUE"""),"Wounded")</f>
        <v>Wounded</v>
      </c>
      <c r="C815" s="5"/>
      <c r="D815" s="5" t="str">
        <f ca="1">IFERROR(__xludf.DUMMYFUNCTION("""COMPUTED_VALUE"""),"Student")</f>
        <v>Student</v>
      </c>
      <c r="E815" s="5" t="str">
        <f ca="1">IFERROR(__xludf.DUMMYFUNCTION("""COMPUTED_VALUE"""),"Teen")</f>
        <v>Teen</v>
      </c>
      <c r="F815" s="5"/>
    </row>
    <row r="816" spans="1:6" ht="13">
      <c r="A816" s="5" t="str">
        <f ca="1">IFERROR(__xludf.DUMMYFUNCTION("""COMPUTED_VALUE"""),"20190830ALLAM")</f>
        <v>20190830ALLAM</v>
      </c>
      <c r="B816" s="5" t="str">
        <f ca="1">IFERROR(__xludf.DUMMYFUNCTION("""COMPUTED_VALUE"""),"Wounded")</f>
        <v>Wounded</v>
      </c>
      <c r="C816" s="5"/>
      <c r="D816" s="5" t="str">
        <f ca="1">IFERROR(__xludf.DUMMYFUNCTION("""COMPUTED_VALUE"""),"Student")</f>
        <v>Student</v>
      </c>
      <c r="E816" s="5" t="str">
        <f ca="1">IFERROR(__xludf.DUMMYFUNCTION("""COMPUTED_VALUE"""),"Teen")</f>
        <v>Teen</v>
      </c>
      <c r="F816" s="5"/>
    </row>
    <row r="817" spans="1:6" ht="13">
      <c r="A817" s="5" t="str">
        <f ca="1">IFERROR(__xludf.DUMMYFUNCTION("""COMPUTED_VALUE"""),"20190830ALLAM")</f>
        <v>20190830ALLAM</v>
      </c>
      <c r="B817" s="5" t="str">
        <f ca="1">IFERROR(__xludf.DUMMYFUNCTION("""COMPUTED_VALUE"""),"Wounded")</f>
        <v>Wounded</v>
      </c>
      <c r="C817" s="5"/>
      <c r="D817" s="5" t="str">
        <f ca="1">IFERROR(__xludf.DUMMYFUNCTION("""COMPUTED_VALUE"""),"Student")</f>
        <v>Student</v>
      </c>
      <c r="E817" s="5" t="str">
        <f ca="1">IFERROR(__xludf.DUMMYFUNCTION("""COMPUTED_VALUE"""),"Teen")</f>
        <v>Teen</v>
      </c>
      <c r="F817" s="5"/>
    </row>
    <row r="818" spans="1:6" ht="13">
      <c r="A818" s="5" t="str">
        <f ca="1">IFERROR(__xludf.DUMMYFUNCTION("""COMPUTED_VALUE"""),"20190830ALLAM")</f>
        <v>20190830ALLAM</v>
      </c>
      <c r="B818" s="5" t="str">
        <f ca="1">IFERROR(__xludf.DUMMYFUNCTION("""COMPUTED_VALUE"""),"Wounded")</f>
        <v>Wounded</v>
      </c>
      <c r="C818" s="5"/>
      <c r="D818" s="5" t="str">
        <f ca="1">IFERROR(__xludf.DUMMYFUNCTION("""COMPUTED_VALUE"""),"Student")</f>
        <v>Student</v>
      </c>
      <c r="E818" s="5" t="str">
        <f ca="1">IFERROR(__xludf.DUMMYFUNCTION("""COMPUTED_VALUE"""),"Teen")</f>
        <v>Teen</v>
      </c>
      <c r="F818" s="5"/>
    </row>
    <row r="819" spans="1:6" ht="13">
      <c r="A819" s="5" t="str">
        <f ca="1">IFERROR(__xludf.DUMMYFUNCTION("""COMPUTED_VALUE"""),"20190830ALLAM")</f>
        <v>20190830ALLAM</v>
      </c>
      <c r="B819" s="5" t="str">
        <f ca="1">IFERROR(__xludf.DUMMYFUNCTION("""COMPUTED_VALUE"""),"Wounded")</f>
        <v>Wounded</v>
      </c>
      <c r="C819" s="5"/>
      <c r="D819" s="5" t="str">
        <f ca="1">IFERROR(__xludf.DUMMYFUNCTION("""COMPUTED_VALUE"""),"Student")</f>
        <v>Student</v>
      </c>
      <c r="E819" s="5" t="str">
        <f ca="1">IFERROR(__xludf.DUMMYFUNCTION("""COMPUTED_VALUE"""),"Teen")</f>
        <v>Teen</v>
      </c>
      <c r="F819" s="5"/>
    </row>
    <row r="820" spans="1:6" ht="13">
      <c r="A820" s="5" t="str">
        <f ca="1">IFERROR(__xludf.DUMMYFUNCTION("""COMPUTED_VALUE"""),"20190830ALLAM")</f>
        <v>20190830ALLAM</v>
      </c>
      <c r="B820" s="5" t="str">
        <f ca="1">IFERROR(__xludf.DUMMYFUNCTION("""COMPUTED_VALUE"""),"Wounded")</f>
        <v>Wounded</v>
      </c>
      <c r="C820" s="5"/>
      <c r="D820" s="5" t="str">
        <f ca="1">IFERROR(__xludf.DUMMYFUNCTION("""COMPUTED_VALUE"""),"Student")</f>
        <v>Student</v>
      </c>
      <c r="E820" s="5" t="str">
        <f ca="1">IFERROR(__xludf.DUMMYFUNCTION("""COMPUTED_VALUE"""),"Teen")</f>
        <v>Teen</v>
      </c>
      <c r="F820" s="5"/>
    </row>
    <row r="821" spans="1:6" ht="13">
      <c r="A821" s="5" t="str">
        <f ca="1">IFERROR(__xludf.DUMMYFUNCTION("""COMPUTED_VALUE"""),"20190830ALLAM")</f>
        <v>20190830ALLAM</v>
      </c>
      <c r="B821" s="5" t="str">
        <f ca="1">IFERROR(__xludf.DUMMYFUNCTION("""COMPUTED_VALUE"""),"Wounded")</f>
        <v>Wounded</v>
      </c>
      <c r="C821" s="5"/>
      <c r="D821" s="5" t="str">
        <f ca="1">IFERROR(__xludf.DUMMYFUNCTION("""COMPUTED_VALUE"""),"Student")</f>
        <v>Student</v>
      </c>
      <c r="E821" s="5" t="str">
        <f ca="1">IFERROR(__xludf.DUMMYFUNCTION("""COMPUTED_VALUE"""),"Teen")</f>
        <v>Teen</v>
      </c>
      <c r="F821" s="5"/>
    </row>
    <row r="822" spans="1:6" ht="13">
      <c r="A822" s="5" t="str">
        <f ca="1">IFERROR(__xludf.DUMMYFUNCTION("""COMPUTED_VALUE"""),"20190830ALLAM")</f>
        <v>20190830ALLAM</v>
      </c>
      <c r="B822" s="5" t="str">
        <f ca="1">IFERROR(__xludf.DUMMYFUNCTION("""COMPUTED_VALUE"""),"Wounded")</f>
        <v>Wounded</v>
      </c>
      <c r="C822" s="5"/>
      <c r="D822" s="5" t="str">
        <f ca="1">IFERROR(__xludf.DUMMYFUNCTION("""COMPUTED_VALUE"""),"Student")</f>
        <v>Student</v>
      </c>
      <c r="E822" s="5" t="str">
        <f ca="1">IFERROR(__xludf.DUMMYFUNCTION("""COMPUTED_VALUE"""),"Teen")</f>
        <v>Teen</v>
      </c>
      <c r="F822" s="5"/>
    </row>
    <row r="823" spans="1:6" ht="13">
      <c r="A823" s="5" t="str">
        <f ca="1">IFERROR(__xludf.DUMMYFUNCTION("""COMPUTED_VALUE"""),"20190830ALLAM")</f>
        <v>20190830ALLAM</v>
      </c>
      <c r="B823" s="5" t="str">
        <f ca="1">IFERROR(__xludf.DUMMYFUNCTION("""COMPUTED_VALUE"""),"Wounded")</f>
        <v>Wounded</v>
      </c>
      <c r="C823" s="5"/>
      <c r="D823" s="5" t="str">
        <f ca="1">IFERROR(__xludf.DUMMYFUNCTION("""COMPUTED_VALUE"""),"Student")</f>
        <v>Student</v>
      </c>
      <c r="E823" s="5" t="str">
        <f ca="1">IFERROR(__xludf.DUMMYFUNCTION("""COMPUTED_VALUE"""),"Teen")</f>
        <v>Teen</v>
      </c>
      <c r="F823" s="5"/>
    </row>
    <row r="824" spans="1:6" ht="13">
      <c r="A824" s="5" t="str">
        <f ca="1">IFERROR(__xludf.DUMMYFUNCTION("""COMPUTED_VALUE"""),"20190827NYROR")</f>
        <v>20190827NYROR</v>
      </c>
      <c r="B824" s="5" t="str">
        <f ca="1">IFERROR(__xludf.DUMMYFUNCTION("""COMPUTED_VALUE"""),"None")</f>
        <v>None</v>
      </c>
      <c r="C824" s="5"/>
      <c r="D824" s="5"/>
      <c r="E824" s="5"/>
      <c r="F824" s="5"/>
    </row>
    <row r="825" spans="1:6" ht="13">
      <c r="A825" s="5" t="str">
        <f ca="1">IFERROR(__xludf.DUMMYFUNCTION("""COMPUTED_VALUE"""),"20190827CAHOL")</f>
        <v>20190827CAHOL</v>
      </c>
      <c r="B825" s="5" t="str">
        <f ca="1">IFERROR(__xludf.DUMMYFUNCTION("""COMPUTED_VALUE"""),"Wounded")</f>
        <v>Wounded</v>
      </c>
      <c r="C825" s="5" t="str">
        <f ca="1">IFERROR(__xludf.DUMMYFUNCTION("""COMPUTED_VALUE"""),"Male")</f>
        <v>Male</v>
      </c>
      <c r="D825" s="5" t="str">
        <f ca="1">IFERROR(__xludf.DUMMYFUNCTION("""COMPUTED_VALUE"""),"Student")</f>
        <v>Student</v>
      </c>
      <c r="E825" s="5" t="str">
        <f ca="1">IFERROR(__xludf.DUMMYFUNCTION("""COMPUTED_VALUE"""),"Teen")</f>
        <v>Teen</v>
      </c>
      <c r="F825" s="5"/>
    </row>
    <row r="826" spans="1:6" ht="13">
      <c r="A826" s="5" t="str">
        <f ca="1">IFERROR(__xludf.DUMMYFUNCTION("""COMPUTED_VALUE"""),"20190824PAWIP")</f>
        <v>20190824PAWIP</v>
      </c>
      <c r="B826" s="5" t="str">
        <f ca="1">IFERROR(__xludf.DUMMYFUNCTION("""COMPUTED_VALUE"""),"Fatal")</f>
        <v>Fatal</v>
      </c>
      <c r="C826" s="5" t="str">
        <f ca="1">IFERROR(__xludf.DUMMYFUNCTION("""COMPUTED_VALUE"""),"Male")</f>
        <v>Male</v>
      </c>
      <c r="D826" s="5" t="str">
        <f ca="1">IFERROR(__xludf.DUMMYFUNCTION("""COMPUTED_VALUE"""),"No Relation")</f>
        <v>No Relation</v>
      </c>
      <c r="E826" s="5">
        <f ca="1">IFERROR(__xludf.DUMMYFUNCTION("""COMPUTED_VALUE"""),14)</f>
        <v>14</v>
      </c>
      <c r="F826" s="5" t="str">
        <f ca="1">IFERROR(__xludf.DUMMYFUNCTION("""COMPUTED_VALUE"""),"Black")</f>
        <v>Black</v>
      </c>
    </row>
    <row r="827" spans="1:6" ht="13">
      <c r="A827" s="5" t="str">
        <f ca="1">IFERROR(__xludf.DUMMYFUNCTION("""COMPUTED_VALUE"""),"20190823MOROS")</f>
        <v>20190823MOROS</v>
      </c>
      <c r="B827" s="5" t="str">
        <f ca="1">IFERROR(__xludf.DUMMYFUNCTION("""COMPUTED_VALUE"""),"Fatal")</f>
        <v>Fatal</v>
      </c>
      <c r="C827" s="5" t="str">
        <f ca="1">IFERROR(__xludf.DUMMYFUNCTION("""COMPUTED_VALUE"""),"Female")</f>
        <v>Female</v>
      </c>
      <c r="D827" s="5" t="str">
        <f ca="1">IFERROR(__xludf.DUMMYFUNCTION("""COMPUTED_VALUE"""),"Student")</f>
        <v>Student</v>
      </c>
      <c r="E827" s="5">
        <f ca="1">IFERROR(__xludf.DUMMYFUNCTION("""COMPUTED_VALUE"""),16)</f>
        <v>16</v>
      </c>
      <c r="F827" s="5" t="str">
        <f ca="1">IFERROR(__xludf.DUMMYFUNCTION("""COMPUTED_VALUE"""),"Black")</f>
        <v>Black</v>
      </c>
    </row>
    <row r="828" spans="1:6" ht="13">
      <c r="A828" s="5" t="str">
        <f ca="1">IFERROR(__xludf.DUMMYFUNCTION("""COMPUTED_VALUE"""),"20190823MOPAS")</f>
        <v>20190823MOPAS</v>
      </c>
      <c r="B828" s="5" t="str">
        <f ca="1">IFERROR(__xludf.DUMMYFUNCTION("""COMPUTED_VALUE"""),"None")</f>
        <v>None</v>
      </c>
      <c r="C828" s="5"/>
      <c r="D828" s="5"/>
      <c r="E828" s="5"/>
      <c r="F828" s="5"/>
    </row>
    <row r="829" spans="1:6" ht="13">
      <c r="A829" s="5" t="str">
        <f ca="1">IFERROR(__xludf.DUMMYFUNCTION("""COMPUTED_VALUE"""),"20190823GAPEC")</f>
        <v>20190823GAPEC</v>
      </c>
      <c r="B829" s="5" t="str">
        <f ca="1">IFERROR(__xludf.DUMMYFUNCTION("""COMPUTED_VALUE"""),"Wounded")</f>
        <v>Wounded</v>
      </c>
      <c r="C829" s="5" t="str">
        <f ca="1">IFERROR(__xludf.DUMMYFUNCTION("""COMPUTED_VALUE"""),"Male")</f>
        <v>Male</v>
      </c>
      <c r="D829" s="5" t="str">
        <f ca="1">IFERROR(__xludf.DUMMYFUNCTION("""COMPUTED_VALUE"""),"Nonstudent")</f>
        <v>Nonstudent</v>
      </c>
      <c r="E829" s="5">
        <f ca="1">IFERROR(__xludf.DUMMYFUNCTION("""COMPUTED_VALUE"""),12)</f>
        <v>12</v>
      </c>
      <c r="F829" s="5"/>
    </row>
    <row r="830" spans="1:6" ht="13">
      <c r="A830" s="5" t="str">
        <f ca="1">IFERROR(__xludf.DUMMYFUNCTION("""COMPUTED_VALUE"""),"20190820PASAC")</f>
        <v>20190820PASAC</v>
      </c>
      <c r="B830" s="5" t="str">
        <f ca="1">IFERROR(__xludf.DUMMYFUNCTION("""COMPUTED_VALUE"""),"None")</f>
        <v>None</v>
      </c>
      <c r="C830" s="5" t="str">
        <f ca="1">IFERROR(__xludf.DUMMYFUNCTION("""COMPUTED_VALUE"""),"Male")</f>
        <v>Male</v>
      </c>
      <c r="D830" s="5" t="str">
        <f ca="1">IFERROR(__xludf.DUMMYFUNCTION("""COMPUTED_VALUE"""),"Parent")</f>
        <v>Parent</v>
      </c>
      <c r="E830" s="5" t="str">
        <f ca="1">IFERROR(__xludf.DUMMYFUNCTION("""COMPUTED_VALUE"""),"Adult")</f>
        <v>Adult</v>
      </c>
      <c r="F830" s="5"/>
    </row>
    <row r="831" spans="1:6" ht="13">
      <c r="A831" s="5" t="str">
        <f ca="1">IFERROR(__xludf.DUMMYFUNCTION("""COMPUTED_VALUE"""),"20190817GALAA")</f>
        <v>20190817GALAA</v>
      </c>
      <c r="B831" s="5" t="str">
        <f ca="1">IFERROR(__xludf.DUMMYFUNCTION("""COMPUTED_VALUE"""),"Wounded")</f>
        <v>Wounded</v>
      </c>
      <c r="C831" s="5" t="str">
        <f ca="1">IFERROR(__xludf.DUMMYFUNCTION("""COMPUTED_VALUE"""),"Male")</f>
        <v>Male</v>
      </c>
      <c r="D831" s="5" t="str">
        <f ca="1">IFERROR(__xludf.DUMMYFUNCTION("""COMPUTED_VALUE"""),"Student")</f>
        <v>Student</v>
      </c>
      <c r="E831" s="5">
        <f ca="1">IFERROR(__xludf.DUMMYFUNCTION("""COMPUTED_VALUE"""),16)</f>
        <v>16</v>
      </c>
      <c r="F831" s="5" t="str">
        <f ca="1">IFERROR(__xludf.DUMMYFUNCTION("""COMPUTED_VALUE"""),"Black")</f>
        <v>Black</v>
      </c>
    </row>
    <row r="832" spans="1:6" ht="13">
      <c r="A832" s="5" t="str">
        <f ca="1">IFERROR(__xludf.DUMMYFUNCTION("""COMPUTED_VALUE"""),"20190817GALAA")</f>
        <v>20190817GALAA</v>
      </c>
      <c r="B832" s="5" t="str">
        <f ca="1">IFERROR(__xludf.DUMMYFUNCTION("""COMPUTED_VALUE"""),"Wounded")</f>
        <v>Wounded</v>
      </c>
      <c r="C832" s="5" t="str">
        <f ca="1">IFERROR(__xludf.DUMMYFUNCTION("""COMPUTED_VALUE"""),"Male")</f>
        <v>Male</v>
      </c>
      <c r="D832" s="5" t="str">
        <f ca="1">IFERROR(__xludf.DUMMYFUNCTION("""COMPUTED_VALUE"""),"Nonstudent Using Athletic Facilities/Attending Game")</f>
        <v>Nonstudent Using Athletic Facilities/Attending Game</v>
      </c>
      <c r="E832" s="5">
        <f ca="1">IFERROR(__xludf.DUMMYFUNCTION("""COMPUTED_VALUE"""),12)</f>
        <v>12</v>
      </c>
      <c r="F832" s="5" t="str">
        <f ca="1">IFERROR(__xludf.DUMMYFUNCTION("""COMPUTED_VALUE"""),"Black")</f>
        <v>Black</v>
      </c>
    </row>
    <row r="833" spans="1:6" ht="13">
      <c r="A833" s="5" t="str">
        <f ca="1">IFERROR(__xludf.DUMMYFUNCTION("""COMPUTED_VALUE"""),"20190815TNEAN")</f>
        <v>20190815TNEAN</v>
      </c>
      <c r="B833" s="5" t="str">
        <f ca="1">IFERROR(__xludf.DUMMYFUNCTION("""COMPUTED_VALUE"""),"None")</f>
        <v>None</v>
      </c>
      <c r="C833" s="5"/>
      <c r="D833" s="5"/>
      <c r="E833" s="5"/>
      <c r="F833" s="5"/>
    </row>
    <row r="834" spans="1:6" ht="13">
      <c r="A834" s="5" t="str">
        <f ca="1">IFERROR(__xludf.DUMMYFUNCTION("""COMPUTED_VALUE"""),"20190809NJWEN")</f>
        <v>20190809NJWEN</v>
      </c>
      <c r="B834" s="5" t="str">
        <f ca="1">IFERROR(__xludf.DUMMYFUNCTION("""COMPUTED_VALUE"""),"Wounded")</f>
        <v>Wounded</v>
      </c>
      <c r="C834" s="5"/>
      <c r="D834" s="5" t="str">
        <f ca="1">IFERROR(__xludf.DUMMYFUNCTION("""COMPUTED_VALUE"""),"Student")</f>
        <v>Student</v>
      </c>
      <c r="E834" s="5">
        <f ca="1">IFERROR(__xludf.DUMMYFUNCTION("""COMPUTED_VALUE"""),13)</f>
        <v>13</v>
      </c>
      <c r="F834" s="5"/>
    </row>
    <row r="835" spans="1:6" ht="13">
      <c r="A835" s="5" t="str">
        <f ca="1">IFERROR(__xludf.DUMMYFUNCTION("""COMPUTED_VALUE"""),"20190809NJWEN")</f>
        <v>20190809NJWEN</v>
      </c>
      <c r="B835" s="5" t="str">
        <f ca="1">IFERROR(__xludf.DUMMYFUNCTION("""COMPUTED_VALUE"""),"Wounded")</f>
        <v>Wounded</v>
      </c>
      <c r="C835" s="5"/>
      <c r="D835" s="5" t="str">
        <f ca="1">IFERROR(__xludf.DUMMYFUNCTION("""COMPUTED_VALUE"""),"Student")</f>
        <v>Student</v>
      </c>
      <c r="E835" s="5">
        <f ca="1">IFERROR(__xludf.DUMMYFUNCTION("""COMPUTED_VALUE"""),18)</f>
        <v>18</v>
      </c>
      <c r="F835" s="5"/>
    </row>
    <row r="836" spans="1:6" ht="13">
      <c r="A836" s="5" t="str">
        <f ca="1">IFERROR(__xludf.DUMMYFUNCTION("""COMPUTED_VALUE"""),"20190808ALBLM")</f>
        <v>20190808ALBLM</v>
      </c>
      <c r="B836" s="5" t="str">
        <f ca="1">IFERROR(__xludf.DUMMYFUNCTION("""COMPUTED_VALUE"""),"None")</f>
        <v>None</v>
      </c>
      <c r="C836" s="5"/>
      <c r="D836" s="5"/>
      <c r="E836" s="5"/>
      <c r="F836" s="5"/>
    </row>
    <row r="837" spans="1:6" ht="13">
      <c r="A837" s="5" t="str">
        <f ca="1">IFERROR(__xludf.DUMMYFUNCTION("""COMPUTED_VALUE"""),"20190719CAMOS")</f>
        <v>20190719CAMOS</v>
      </c>
      <c r="B837" s="5" t="str">
        <f ca="1">IFERROR(__xludf.DUMMYFUNCTION("""COMPUTED_VALUE"""),"None")</f>
        <v>None</v>
      </c>
      <c r="C837" s="5"/>
      <c r="D837" s="5"/>
      <c r="E837" s="5"/>
      <c r="F837" s="5"/>
    </row>
    <row r="838" spans="1:6" ht="13">
      <c r="A838" s="5" t="str">
        <f ca="1">IFERROR(__xludf.DUMMYFUNCTION("""COMPUTED_VALUE"""),"20190711CTBUH")</f>
        <v>20190711CTBUH</v>
      </c>
      <c r="B838" s="5" t="str">
        <f ca="1">IFERROR(__xludf.DUMMYFUNCTION("""COMPUTED_VALUE"""),"Fatal")</f>
        <v>Fatal</v>
      </c>
      <c r="C838" s="5" t="str">
        <f ca="1">IFERROR(__xludf.DUMMYFUNCTION("""COMPUTED_VALUE"""),"Male")</f>
        <v>Male</v>
      </c>
      <c r="D838" s="5" t="str">
        <f ca="1">IFERROR(__xludf.DUMMYFUNCTION("""COMPUTED_VALUE"""),"No Relation")</f>
        <v>No Relation</v>
      </c>
      <c r="E838" s="5">
        <f ca="1">IFERROR(__xludf.DUMMYFUNCTION("""COMPUTED_VALUE"""),34)</f>
        <v>34</v>
      </c>
      <c r="F838" s="5" t="str">
        <f ca="1">IFERROR(__xludf.DUMMYFUNCTION("""COMPUTED_VALUE"""),"Hispanic")</f>
        <v>Hispanic</v>
      </c>
    </row>
    <row r="839" spans="1:6" ht="13">
      <c r="A839" s="5" t="str">
        <f ca="1">IFERROR(__xludf.DUMMYFUNCTION("""COMPUTED_VALUE"""),"20190702AKWIA")</f>
        <v>20190702AKWIA</v>
      </c>
      <c r="B839" s="5" t="str">
        <f ca="1">IFERROR(__xludf.DUMMYFUNCTION("""COMPUTED_VALUE"""),"Wounded")</f>
        <v>Wounded</v>
      </c>
      <c r="C839" s="5" t="str">
        <f ca="1">IFERROR(__xludf.DUMMYFUNCTION("""COMPUTED_VALUE"""),"Male")</f>
        <v>Male</v>
      </c>
      <c r="D839" s="5" t="str">
        <f ca="1">IFERROR(__xludf.DUMMYFUNCTION("""COMPUTED_VALUE"""),"No Relation")</f>
        <v>No Relation</v>
      </c>
      <c r="E839" s="5" t="str">
        <f ca="1">IFERROR(__xludf.DUMMYFUNCTION("""COMPUTED_VALUE"""),"Teen")</f>
        <v>Teen</v>
      </c>
      <c r="F839" s="5"/>
    </row>
    <row r="840" spans="1:6" ht="13">
      <c r="A840" s="5" t="str">
        <f ca="1">IFERROR(__xludf.DUMMYFUNCTION("""COMPUTED_VALUE"""),"20190701NYSCN")</f>
        <v>20190701NYSCN</v>
      </c>
      <c r="B840" s="5" t="str">
        <f ca="1">IFERROR(__xludf.DUMMYFUNCTION("""COMPUTED_VALUE"""),"Wounded")</f>
        <v>Wounded</v>
      </c>
      <c r="C840" s="5" t="str">
        <f ca="1">IFERROR(__xludf.DUMMYFUNCTION("""COMPUTED_VALUE"""),"Male")</f>
        <v>Male</v>
      </c>
      <c r="D840" s="5" t="str">
        <f ca="1">IFERROR(__xludf.DUMMYFUNCTION("""COMPUTED_VALUE"""),"No Relation")</f>
        <v>No Relation</v>
      </c>
      <c r="E840" s="5">
        <f ca="1">IFERROR(__xludf.DUMMYFUNCTION("""COMPUTED_VALUE"""),13)</f>
        <v>13</v>
      </c>
      <c r="F840" s="5" t="str">
        <f ca="1">IFERROR(__xludf.DUMMYFUNCTION("""COMPUTED_VALUE"""),"Black")</f>
        <v>Black</v>
      </c>
    </row>
    <row r="841" spans="1:6" ht="13">
      <c r="A841" s="5" t="str">
        <f ca="1">IFERROR(__xludf.DUMMYFUNCTION("""COMPUTED_VALUE"""),"20190629COJAC")</f>
        <v>20190629COJAC</v>
      </c>
      <c r="B841" s="5" t="str">
        <f ca="1">IFERROR(__xludf.DUMMYFUNCTION("""COMPUTED_VALUE"""),"Fatal")</f>
        <v>Fatal</v>
      </c>
      <c r="C841" s="5" t="str">
        <f ca="1">IFERROR(__xludf.DUMMYFUNCTION("""COMPUTED_VALUE"""),"Male")</f>
        <v>Male</v>
      </c>
      <c r="D841" s="5" t="str">
        <f ca="1">IFERROR(__xludf.DUMMYFUNCTION("""COMPUTED_VALUE"""),"No Relation")</f>
        <v>No Relation</v>
      </c>
      <c r="E841" s="5">
        <f ca="1">IFERROR(__xludf.DUMMYFUNCTION("""COMPUTED_VALUE"""),18)</f>
        <v>18</v>
      </c>
      <c r="F841" s="5"/>
    </row>
    <row r="842" spans="1:6" ht="13">
      <c r="A842" s="5" t="str">
        <f ca="1">IFERROR(__xludf.DUMMYFUNCTION("""COMPUTED_VALUE"""),"20190629COJAC")</f>
        <v>20190629COJAC</v>
      </c>
      <c r="B842" s="5" t="str">
        <f ca="1">IFERROR(__xludf.DUMMYFUNCTION("""COMPUTED_VALUE"""),"Fatal")</f>
        <v>Fatal</v>
      </c>
      <c r="C842" s="5" t="str">
        <f ca="1">IFERROR(__xludf.DUMMYFUNCTION("""COMPUTED_VALUE"""),"Male")</f>
        <v>Male</v>
      </c>
      <c r="D842" s="5" t="str">
        <f ca="1">IFERROR(__xludf.DUMMYFUNCTION("""COMPUTED_VALUE"""),"No Relation")</f>
        <v>No Relation</v>
      </c>
      <c r="E842" s="5">
        <f ca="1">IFERROR(__xludf.DUMMYFUNCTION("""COMPUTED_VALUE"""),22)</f>
        <v>22</v>
      </c>
      <c r="F842" s="5"/>
    </row>
    <row r="843" spans="1:6" ht="13">
      <c r="A843" s="5" t="str">
        <f ca="1">IFERROR(__xludf.DUMMYFUNCTION("""COMPUTED_VALUE"""),"20190621MICAF")</f>
        <v>20190621MICAF</v>
      </c>
      <c r="B843" s="5" t="str">
        <f ca="1">IFERROR(__xludf.DUMMYFUNCTION("""COMPUTED_VALUE"""),"Wounded")</f>
        <v>Wounded</v>
      </c>
      <c r="C843" s="5" t="str">
        <f ca="1">IFERROR(__xludf.DUMMYFUNCTION("""COMPUTED_VALUE"""),"Male")</f>
        <v>Male</v>
      </c>
      <c r="D843" s="5" t="str">
        <f ca="1">IFERROR(__xludf.DUMMYFUNCTION("""COMPUTED_VALUE"""),"Unknown")</f>
        <v>Unknown</v>
      </c>
      <c r="E843" s="5">
        <f ca="1">IFERROR(__xludf.DUMMYFUNCTION("""COMPUTED_VALUE"""),15)</f>
        <v>15</v>
      </c>
      <c r="F843" s="5"/>
    </row>
    <row r="844" spans="1:6" ht="13">
      <c r="A844" s="5" t="str">
        <f ca="1">IFERROR(__xludf.DUMMYFUNCTION("""COMPUTED_VALUE"""),"20190613NJTAW")</f>
        <v>20190613NJTAW</v>
      </c>
      <c r="B844" s="5" t="str">
        <f ca="1">IFERROR(__xludf.DUMMYFUNCTION("""COMPUTED_VALUE"""),"None")</f>
        <v>None</v>
      </c>
      <c r="C844" s="5"/>
      <c r="D844" s="5"/>
      <c r="E844" s="5"/>
      <c r="F844" s="5"/>
    </row>
    <row r="845" spans="1:6" ht="13">
      <c r="A845" s="5" t="str">
        <f ca="1">IFERROR(__xludf.DUMMYFUNCTION("""COMPUTED_VALUE"""),"20190612PAJEE")</f>
        <v>20190612PAJEE</v>
      </c>
      <c r="B845" s="5" t="str">
        <f ca="1">IFERROR(__xludf.DUMMYFUNCTION("""COMPUTED_VALUE"""),"None")</f>
        <v>None</v>
      </c>
      <c r="C845" s="5" t="str">
        <f ca="1">IFERROR(__xludf.DUMMYFUNCTION("""COMPUTED_VALUE"""),"Male")</f>
        <v>Male</v>
      </c>
      <c r="D845" s="5" t="str">
        <f ca="1">IFERROR(__xludf.DUMMYFUNCTION("""COMPUTED_VALUE"""),"No Relation")</f>
        <v>No Relation</v>
      </c>
      <c r="E845" s="5">
        <f ca="1">IFERROR(__xludf.DUMMYFUNCTION("""COMPUTED_VALUE"""),18)</f>
        <v>18</v>
      </c>
      <c r="F845" s="5"/>
    </row>
    <row r="846" spans="1:6" ht="13">
      <c r="A846" s="5" t="str">
        <f ca="1">IFERROR(__xludf.DUMMYFUNCTION("""COMPUTED_VALUE"""),"20190612DCHEW")</f>
        <v>20190612DCHEW</v>
      </c>
      <c r="B846" s="5" t="str">
        <f ca="1">IFERROR(__xludf.DUMMYFUNCTION("""COMPUTED_VALUE"""),"None")</f>
        <v>None</v>
      </c>
      <c r="C846" s="5"/>
      <c r="D846" s="5"/>
      <c r="E846" s="5"/>
      <c r="F846" s="5"/>
    </row>
    <row r="847" spans="1:6" ht="13">
      <c r="A847" s="5" t="str">
        <f ca="1">IFERROR(__xludf.DUMMYFUNCTION("""COMPUTED_VALUE"""),"20190610ILMEW")</f>
        <v>20190610ILMEW</v>
      </c>
      <c r="B847" s="5" t="str">
        <f ca="1">IFERROR(__xludf.DUMMYFUNCTION("""COMPUTED_VALUE"""),"Wounded")</f>
        <v>Wounded</v>
      </c>
      <c r="C847" s="5" t="str">
        <f ca="1">IFERROR(__xludf.DUMMYFUNCTION("""COMPUTED_VALUE"""),"Male")</f>
        <v>Male</v>
      </c>
      <c r="D847" s="5" t="str">
        <f ca="1">IFERROR(__xludf.DUMMYFUNCTION("""COMPUTED_VALUE"""),"No Relation")</f>
        <v>No Relation</v>
      </c>
      <c r="E847" s="5">
        <f ca="1">IFERROR(__xludf.DUMMYFUNCTION("""COMPUTED_VALUE"""),27)</f>
        <v>27</v>
      </c>
      <c r="F847" s="5" t="str">
        <f ca="1">IFERROR(__xludf.DUMMYFUNCTION("""COMPUTED_VALUE"""),"Hispanic")</f>
        <v>Hispanic</v>
      </c>
    </row>
    <row r="848" spans="1:6" ht="13">
      <c r="A848" s="5" t="str">
        <f ca="1">IFERROR(__xludf.DUMMYFUNCTION("""COMPUTED_VALUE"""),"20190606ILGEC")</f>
        <v>20190606ILGEC</v>
      </c>
      <c r="B848" s="5" t="str">
        <f ca="1">IFERROR(__xludf.DUMMYFUNCTION("""COMPUTED_VALUE"""),"Wounded")</f>
        <v>Wounded</v>
      </c>
      <c r="C848" s="5" t="str">
        <f ca="1">IFERROR(__xludf.DUMMYFUNCTION("""COMPUTED_VALUE"""),"Male")</f>
        <v>Male</v>
      </c>
      <c r="D848" s="5" t="str">
        <f ca="1">IFERROR(__xludf.DUMMYFUNCTION("""COMPUTED_VALUE"""),"Nonstudent Using Athletic Facilities/Attending Game")</f>
        <v>Nonstudent Using Athletic Facilities/Attending Game</v>
      </c>
      <c r="E848" s="5">
        <f ca="1">IFERROR(__xludf.DUMMYFUNCTION("""COMPUTED_VALUE"""),25)</f>
        <v>25</v>
      </c>
      <c r="F848" s="5"/>
    </row>
    <row r="849" spans="1:6" ht="13">
      <c r="A849" s="5" t="str">
        <f ca="1">IFERROR(__xludf.DUMMYFUNCTION("""COMPUTED_VALUE"""),"20190530DCHEW")</f>
        <v>20190530DCHEW</v>
      </c>
      <c r="B849" s="5" t="str">
        <f ca="1">IFERROR(__xludf.DUMMYFUNCTION("""COMPUTED_VALUE"""),"None")</f>
        <v>None</v>
      </c>
      <c r="C849" s="5"/>
      <c r="D849" s="5"/>
      <c r="E849" s="5"/>
      <c r="F849" s="5"/>
    </row>
    <row r="850" spans="1:6" ht="13">
      <c r="A850" s="5" t="str">
        <f ca="1">IFERROR(__xludf.DUMMYFUNCTION("""COMPUTED_VALUE"""),"20190522OHSAC")</f>
        <v>20190522OHSAC</v>
      </c>
      <c r="B850" s="5" t="str">
        <f ca="1">IFERROR(__xludf.DUMMYFUNCTION("""COMPUTED_VALUE"""),"Fatal")</f>
        <v>Fatal</v>
      </c>
      <c r="C850" s="5" t="str">
        <f ca="1">IFERROR(__xludf.DUMMYFUNCTION("""COMPUTED_VALUE"""),"Male")</f>
        <v>Male</v>
      </c>
      <c r="D850" s="5" t="str">
        <f ca="1">IFERROR(__xludf.DUMMYFUNCTION("""COMPUTED_VALUE"""),"No Relation")</f>
        <v>No Relation</v>
      </c>
      <c r="E850" s="5">
        <f ca="1">IFERROR(__xludf.DUMMYFUNCTION("""COMPUTED_VALUE"""),14)</f>
        <v>14</v>
      </c>
      <c r="F850" s="5" t="str">
        <f ca="1">IFERROR(__xludf.DUMMYFUNCTION("""COMPUTED_VALUE"""),"Black")</f>
        <v>Black</v>
      </c>
    </row>
    <row r="851" spans="1:6" ht="13">
      <c r="A851" s="5" t="str">
        <f ca="1">IFERROR(__xludf.DUMMYFUNCTION("""COMPUTED_VALUE"""),"20190522OHSAC")</f>
        <v>20190522OHSAC</v>
      </c>
      <c r="B851" s="5" t="str">
        <f ca="1">IFERROR(__xludf.DUMMYFUNCTION("""COMPUTED_VALUE"""),"Wounded")</f>
        <v>Wounded</v>
      </c>
      <c r="C851" s="5" t="str">
        <f ca="1">IFERROR(__xludf.DUMMYFUNCTION("""COMPUTED_VALUE"""),"Female")</f>
        <v>Female</v>
      </c>
      <c r="D851" s="5" t="str">
        <f ca="1">IFERROR(__xludf.DUMMYFUNCTION("""COMPUTED_VALUE"""),"No Relation")</f>
        <v>No Relation</v>
      </c>
      <c r="E851" s="5">
        <f ca="1">IFERROR(__xludf.DUMMYFUNCTION("""COMPUTED_VALUE"""),14)</f>
        <v>14</v>
      </c>
      <c r="F851" s="5"/>
    </row>
    <row r="852" spans="1:6" ht="13">
      <c r="A852" s="5" t="str">
        <f ca="1">IFERROR(__xludf.DUMMYFUNCTION("""COMPUTED_VALUE"""),"20190517ORPAP")</f>
        <v>20190517ORPAP</v>
      </c>
      <c r="B852" s="5" t="str">
        <f ca="1">IFERROR(__xludf.DUMMYFUNCTION("""COMPUTED_VALUE"""),"None")</f>
        <v>None</v>
      </c>
      <c r="C852" s="5"/>
      <c r="D852" s="5"/>
      <c r="E852" s="5"/>
      <c r="F852" s="5"/>
    </row>
    <row r="853" spans="1:6" ht="13">
      <c r="A853" s="5" t="str">
        <f ca="1">IFERROR(__xludf.DUMMYFUNCTION("""COMPUTED_VALUE"""),"20190517FLTEJ")</f>
        <v>20190517FLTEJ</v>
      </c>
      <c r="B853" s="5" t="str">
        <f ca="1">IFERROR(__xludf.DUMMYFUNCTION("""COMPUTED_VALUE"""),"Wounded")</f>
        <v>Wounded</v>
      </c>
      <c r="C853" s="5" t="str">
        <f ca="1">IFERROR(__xludf.DUMMYFUNCTION("""COMPUTED_VALUE"""),"Male")</f>
        <v>Male</v>
      </c>
      <c r="D853" s="5" t="str">
        <f ca="1">IFERROR(__xludf.DUMMYFUNCTION("""COMPUTED_VALUE"""),"Student")</f>
        <v>Student</v>
      </c>
      <c r="E853" s="5">
        <f ca="1">IFERROR(__xludf.DUMMYFUNCTION("""COMPUTED_VALUE"""),16)</f>
        <v>16</v>
      </c>
      <c r="F853" s="5" t="str">
        <f ca="1">IFERROR(__xludf.DUMMYFUNCTION("""COMPUTED_VALUE"""),"Black")</f>
        <v>Black</v>
      </c>
    </row>
    <row r="854" spans="1:6" ht="13">
      <c r="A854" s="5" t="str">
        <f ca="1">IFERROR(__xludf.DUMMYFUNCTION("""COMPUTED_VALUE"""),"20190508ILSEC")</f>
        <v>20190508ILSEC</v>
      </c>
      <c r="B854" s="5" t="str">
        <f ca="1">IFERROR(__xludf.DUMMYFUNCTION("""COMPUTED_VALUE"""),"Wounded")</f>
        <v>Wounded</v>
      </c>
      <c r="C854" s="5" t="str">
        <f ca="1">IFERROR(__xludf.DUMMYFUNCTION("""COMPUTED_VALUE"""),"Male")</f>
        <v>Male</v>
      </c>
      <c r="D854" s="5" t="str">
        <f ca="1">IFERROR(__xludf.DUMMYFUNCTION("""COMPUTED_VALUE"""),"Student")</f>
        <v>Student</v>
      </c>
      <c r="E854" s="5">
        <f ca="1">IFERROR(__xludf.DUMMYFUNCTION("""COMPUTED_VALUE"""),19)</f>
        <v>19</v>
      </c>
      <c r="F854" s="5"/>
    </row>
    <row r="855" spans="1:6" ht="13">
      <c r="A855" s="5" t="str">
        <f ca="1">IFERROR(__xludf.DUMMYFUNCTION("""COMPUTED_VALUE"""),"20190507COSTH")</f>
        <v>20190507COSTH</v>
      </c>
      <c r="B855" s="5" t="str">
        <f ca="1">IFERROR(__xludf.DUMMYFUNCTION("""COMPUTED_VALUE"""),"Wounded")</f>
        <v>Wounded</v>
      </c>
      <c r="C855" s="5"/>
      <c r="D855" s="5" t="str">
        <f ca="1">IFERROR(__xludf.DUMMYFUNCTION("""COMPUTED_VALUE"""),"Student")</f>
        <v>Student</v>
      </c>
      <c r="E855" s="5" t="str">
        <f ca="1">IFERROR(__xludf.DUMMYFUNCTION("""COMPUTED_VALUE"""),"Teen")</f>
        <v>Teen</v>
      </c>
      <c r="F855" s="5"/>
    </row>
    <row r="856" spans="1:6" ht="13">
      <c r="A856" s="5" t="str">
        <f ca="1">IFERROR(__xludf.DUMMYFUNCTION("""COMPUTED_VALUE"""),"20190507COSTH")</f>
        <v>20190507COSTH</v>
      </c>
      <c r="B856" s="5" t="str">
        <f ca="1">IFERROR(__xludf.DUMMYFUNCTION("""COMPUTED_VALUE"""),"Wounded")</f>
        <v>Wounded</v>
      </c>
      <c r="C856" s="5"/>
      <c r="D856" s="5" t="str">
        <f ca="1">IFERROR(__xludf.DUMMYFUNCTION("""COMPUTED_VALUE"""),"Student")</f>
        <v>Student</v>
      </c>
      <c r="E856" s="5" t="str">
        <f ca="1">IFERROR(__xludf.DUMMYFUNCTION("""COMPUTED_VALUE"""),"Teen")</f>
        <v>Teen</v>
      </c>
      <c r="F856" s="5"/>
    </row>
    <row r="857" spans="1:6" ht="13">
      <c r="A857" s="5" t="str">
        <f ca="1">IFERROR(__xludf.DUMMYFUNCTION("""COMPUTED_VALUE"""),"20190507COSTH")</f>
        <v>20190507COSTH</v>
      </c>
      <c r="B857" s="5" t="str">
        <f ca="1">IFERROR(__xludf.DUMMYFUNCTION("""COMPUTED_VALUE"""),"Fatal")</f>
        <v>Fatal</v>
      </c>
      <c r="C857" s="5" t="str">
        <f ca="1">IFERROR(__xludf.DUMMYFUNCTION("""COMPUTED_VALUE"""),"Male")</f>
        <v>Male</v>
      </c>
      <c r="D857" s="5" t="str">
        <f ca="1">IFERROR(__xludf.DUMMYFUNCTION("""COMPUTED_VALUE"""),"Student")</f>
        <v>Student</v>
      </c>
      <c r="E857" s="5">
        <f ca="1">IFERROR(__xludf.DUMMYFUNCTION("""COMPUTED_VALUE"""),18)</f>
        <v>18</v>
      </c>
      <c r="F857" s="5"/>
    </row>
    <row r="858" spans="1:6" ht="13">
      <c r="A858" s="5" t="str">
        <f ca="1">IFERROR(__xludf.DUMMYFUNCTION("""COMPUTED_VALUE"""),"20190507COSTH")</f>
        <v>20190507COSTH</v>
      </c>
      <c r="B858" s="5" t="str">
        <f ca="1">IFERROR(__xludf.DUMMYFUNCTION("""COMPUTED_VALUE"""),"Wounded")</f>
        <v>Wounded</v>
      </c>
      <c r="C858" s="5"/>
      <c r="D858" s="5" t="str">
        <f ca="1">IFERROR(__xludf.DUMMYFUNCTION("""COMPUTED_VALUE"""),"Student")</f>
        <v>Student</v>
      </c>
      <c r="E858" s="5" t="str">
        <f ca="1">IFERROR(__xludf.DUMMYFUNCTION("""COMPUTED_VALUE"""),"Teen")</f>
        <v>Teen</v>
      </c>
      <c r="F858" s="5"/>
    </row>
    <row r="859" spans="1:6" ht="13">
      <c r="A859" s="5" t="str">
        <f ca="1">IFERROR(__xludf.DUMMYFUNCTION("""COMPUTED_VALUE"""),"20190507COSTH")</f>
        <v>20190507COSTH</v>
      </c>
      <c r="B859" s="5" t="str">
        <f ca="1">IFERROR(__xludf.DUMMYFUNCTION("""COMPUTED_VALUE"""),"Wounded")</f>
        <v>Wounded</v>
      </c>
      <c r="C859" s="5"/>
      <c r="D859" s="5" t="str">
        <f ca="1">IFERROR(__xludf.DUMMYFUNCTION("""COMPUTED_VALUE"""),"Student")</f>
        <v>Student</v>
      </c>
      <c r="E859" s="5" t="str">
        <f ca="1">IFERROR(__xludf.DUMMYFUNCTION("""COMPUTED_VALUE"""),"Teen")</f>
        <v>Teen</v>
      </c>
      <c r="F859" s="5"/>
    </row>
    <row r="860" spans="1:6" ht="13">
      <c r="A860" s="5" t="str">
        <f ca="1">IFERROR(__xludf.DUMMYFUNCTION("""COMPUTED_VALUE"""),"20190507COSTH")</f>
        <v>20190507COSTH</v>
      </c>
      <c r="B860" s="5" t="str">
        <f ca="1">IFERROR(__xludf.DUMMYFUNCTION("""COMPUTED_VALUE"""),"Wounded")</f>
        <v>Wounded</v>
      </c>
      <c r="C860" s="5"/>
      <c r="D860" s="5" t="str">
        <f ca="1">IFERROR(__xludf.DUMMYFUNCTION("""COMPUTED_VALUE"""),"Student")</f>
        <v>Student</v>
      </c>
      <c r="E860" s="5" t="str">
        <f ca="1">IFERROR(__xludf.DUMMYFUNCTION("""COMPUTED_VALUE"""),"Teen")</f>
        <v>Teen</v>
      </c>
      <c r="F860" s="5"/>
    </row>
    <row r="861" spans="1:6" ht="13">
      <c r="A861" s="5" t="str">
        <f ca="1">IFERROR(__xludf.DUMMYFUNCTION("""COMPUTED_VALUE"""),"20190507COSTH")</f>
        <v>20190507COSTH</v>
      </c>
      <c r="B861" s="5" t="str">
        <f ca="1">IFERROR(__xludf.DUMMYFUNCTION("""COMPUTED_VALUE"""),"Wounded")</f>
        <v>Wounded</v>
      </c>
      <c r="C861" s="5"/>
      <c r="D861" s="5" t="str">
        <f ca="1">IFERROR(__xludf.DUMMYFUNCTION("""COMPUTED_VALUE"""),"Student")</f>
        <v>Student</v>
      </c>
      <c r="E861" s="5" t="str">
        <f ca="1">IFERROR(__xludf.DUMMYFUNCTION("""COMPUTED_VALUE"""),"Teen")</f>
        <v>Teen</v>
      </c>
      <c r="F861" s="5"/>
    </row>
    <row r="862" spans="1:6" ht="13">
      <c r="A862" s="5" t="str">
        <f ca="1">IFERROR(__xludf.DUMMYFUNCTION("""COMPUTED_VALUE"""),"20190507COSTH")</f>
        <v>20190507COSTH</v>
      </c>
      <c r="B862" s="5" t="str">
        <f ca="1">IFERROR(__xludf.DUMMYFUNCTION("""COMPUTED_VALUE"""),"Wounded")</f>
        <v>Wounded</v>
      </c>
      <c r="C862" s="5"/>
      <c r="D862" s="5" t="str">
        <f ca="1">IFERROR(__xludf.DUMMYFUNCTION("""COMPUTED_VALUE"""),"Student")</f>
        <v>Student</v>
      </c>
      <c r="E862" s="5">
        <f ca="1">IFERROR(__xludf.DUMMYFUNCTION("""COMPUTED_VALUE"""),15)</f>
        <v>15</v>
      </c>
      <c r="F862" s="5"/>
    </row>
    <row r="863" spans="1:6" ht="13">
      <c r="A863" s="5" t="str">
        <f ca="1">IFERROR(__xludf.DUMMYFUNCTION("""COMPUTED_VALUE"""),"20190507COSTH")</f>
        <v>20190507COSTH</v>
      </c>
      <c r="B863" s="5" t="str">
        <f ca="1">IFERROR(__xludf.DUMMYFUNCTION("""COMPUTED_VALUE"""),"Wounded")</f>
        <v>Wounded</v>
      </c>
      <c r="C863" s="5"/>
      <c r="D863" s="5" t="str">
        <f ca="1">IFERROR(__xludf.DUMMYFUNCTION("""COMPUTED_VALUE"""),"Student")</f>
        <v>Student</v>
      </c>
      <c r="E863" s="5" t="str">
        <f ca="1">IFERROR(__xludf.DUMMYFUNCTION("""COMPUTED_VALUE"""),"Teen")</f>
        <v>Teen</v>
      </c>
      <c r="F863" s="5"/>
    </row>
    <row r="864" spans="1:6" ht="13">
      <c r="A864" s="5" t="str">
        <f ca="1">IFERROR(__xludf.DUMMYFUNCTION("""COMPUTED_VALUE"""),"20190430VACDW")</f>
        <v>20190430VACDW</v>
      </c>
      <c r="B864" s="5" t="str">
        <f ca="1">IFERROR(__xludf.DUMMYFUNCTION("""COMPUTED_VALUE"""),"None")</f>
        <v>None</v>
      </c>
      <c r="C864" s="5"/>
      <c r="D864" s="5"/>
      <c r="E864" s="5"/>
      <c r="F864" s="5"/>
    </row>
    <row r="865" spans="1:6" ht="13">
      <c r="A865" s="5" t="str">
        <f ca="1">IFERROR(__xludf.DUMMYFUNCTION("""COMPUTED_VALUE"""),"20190430FLWEW")</f>
        <v>20190430FLWEW</v>
      </c>
      <c r="B865" s="5" t="str">
        <f ca="1">IFERROR(__xludf.DUMMYFUNCTION("""COMPUTED_VALUE"""),"None")</f>
        <v>None</v>
      </c>
      <c r="C865" s="5"/>
      <c r="D865" s="5"/>
      <c r="E865" s="5"/>
      <c r="F865" s="5"/>
    </row>
    <row r="866" spans="1:6" ht="13">
      <c r="A866" s="5" t="str">
        <f ca="1">IFERROR(__xludf.DUMMYFUNCTION("""COMPUTED_VALUE"""),"20190426GACRF")</f>
        <v>20190426GACRF</v>
      </c>
      <c r="B866" s="5" t="str">
        <f ca="1">IFERROR(__xludf.DUMMYFUNCTION("""COMPUTED_VALUE"""),"None")</f>
        <v>None</v>
      </c>
      <c r="C866" s="5"/>
      <c r="D866" s="5"/>
      <c r="E866" s="5"/>
      <c r="F866" s="5"/>
    </row>
    <row r="867" spans="1:6" ht="13">
      <c r="A867" s="5" t="str">
        <f ca="1">IFERROR(__xludf.DUMMYFUNCTION("""COMPUTED_VALUE"""),"20190425GAWYS")</f>
        <v>20190425GAWYS</v>
      </c>
      <c r="B867" s="5" t="str">
        <f ca="1">IFERROR(__xludf.DUMMYFUNCTION("""COMPUTED_VALUE"""),"Minor Injuries")</f>
        <v>Minor Injuries</v>
      </c>
      <c r="C867" s="5"/>
      <c r="D867" s="5" t="str">
        <f ca="1">IFERROR(__xludf.DUMMYFUNCTION("""COMPUTED_VALUE"""),"Student")</f>
        <v>Student</v>
      </c>
      <c r="E867" s="5" t="str">
        <f ca="1">IFERROR(__xludf.DUMMYFUNCTION("""COMPUTED_VALUE"""),"Child")</f>
        <v>Child</v>
      </c>
      <c r="F867" s="5"/>
    </row>
    <row r="868" spans="1:6" ht="13">
      <c r="A868" s="5" t="str">
        <f ca="1">IFERROR(__xludf.DUMMYFUNCTION("""COMPUTED_VALUE"""),"20190425GAWYS")</f>
        <v>20190425GAWYS</v>
      </c>
      <c r="B868" s="5" t="str">
        <f ca="1">IFERROR(__xludf.DUMMYFUNCTION("""COMPUTED_VALUE"""),"Minor Injuries")</f>
        <v>Minor Injuries</v>
      </c>
      <c r="C868" s="5"/>
      <c r="D868" s="5" t="str">
        <f ca="1">IFERROR(__xludf.DUMMYFUNCTION("""COMPUTED_VALUE"""),"Student")</f>
        <v>Student</v>
      </c>
      <c r="E868" s="5" t="str">
        <f ca="1">IFERROR(__xludf.DUMMYFUNCTION("""COMPUTED_VALUE"""),"Child")</f>
        <v>Child</v>
      </c>
      <c r="F868" s="5"/>
    </row>
    <row r="869" spans="1:6" ht="13">
      <c r="A869" s="5" t="str">
        <f ca="1">IFERROR(__xludf.DUMMYFUNCTION("""COMPUTED_VALUE"""),"20190425GAWYS")</f>
        <v>20190425GAWYS</v>
      </c>
      <c r="B869" s="5" t="str">
        <f ca="1">IFERROR(__xludf.DUMMYFUNCTION("""COMPUTED_VALUE"""),"Minor Injuries")</f>
        <v>Minor Injuries</v>
      </c>
      <c r="C869" s="5"/>
      <c r="D869" s="5" t="str">
        <f ca="1">IFERROR(__xludf.DUMMYFUNCTION("""COMPUTED_VALUE"""),"Student")</f>
        <v>Student</v>
      </c>
      <c r="E869" s="5" t="str">
        <f ca="1">IFERROR(__xludf.DUMMYFUNCTION("""COMPUTED_VALUE"""),"Child")</f>
        <v>Child</v>
      </c>
      <c r="F869" s="5"/>
    </row>
    <row r="870" spans="1:6" ht="13">
      <c r="A870" s="5" t="str">
        <f ca="1">IFERROR(__xludf.DUMMYFUNCTION("""COMPUTED_VALUE"""),"20190425GAWYS")</f>
        <v>20190425GAWYS</v>
      </c>
      <c r="B870" s="5" t="str">
        <f ca="1">IFERROR(__xludf.DUMMYFUNCTION("""COMPUTED_VALUE"""),"Minor Injuries")</f>
        <v>Minor Injuries</v>
      </c>
      <c r="C870" s="5"/>
      <c r="D870" s="5" t="str">
        <f ca="1">IFERROR(__xludf.DUMMYFUNCTION("""COMPUTED_VALUE"""),"Student")</f>
        <v>Student</v>
      </c>
      <c r="E870" s="5" t="str">
        <f ca="1">IFERROR(__xludf.DUMMYFUNCTION("""COMPUTED_VALUE"""),"Child")</f>
        <v>Child</v>
      </c>
      <c r="F870" s="5"/>
    </row>
    <row r="871" spans="1:6" ht="13">
      <c r="A871" s="5" t="str">
        <f ca="1">IFERROR(__xludf.DUMMYFUNCTION("""COMPUTED_VALUE"""),"20190425GAWYS")</f>
        <v>20190425GAWYS</v>
      </c>
      <c r="B871" s="5" t="str">
        <f ca="1">IFERROR(__xludf.DUMMYFUNCTION("""COMPUTED_VALUE"""),"Minor Injuries")</f>
        <v>Minor Injuries</v>
      </c>
      <c r="C871" s="5"/>
      <c r="D871" s="5" t="str">
        <f ca="1">IFERROR(__xludf.DUMMYFUNCTION("""COMPUTED_VALUE"""),"Student")</f>
        <v>Student</v>
      </c>
      <c r="E871" s="5" t="str">
        <f ca="1">IFERROR(__xludf.DUMMYFUNCTION("""COMPUTED_VALUE"""),"Child")</f>
        <v>Child</v>
      </c>
      <c r="F871" s="5"/>
    </row>
    <row r="872" spans="1:6" ht="13">
      <c r="A872" s="5" t="str">
        <f ca="1">IFERROR(__xludf.DUMMYFUNCTION("""COMPUTED_VALUE"""),"20190425GAWYS")</f>
        <v>20190425GAWYS</v>
      </c>
      <c r="B872" s="5" t="str">
        <f ca="1">IFERROR(__xludf.DUMMYFUNCTION("""COMPUTED_VALUE"""),"Minor Injuries")</f>
        <v>Minor Injuries</v>
      </c>
      <c r="C872" s="5"/>
      <c r="D872" s="5" t="str">
        <f ca="1">IFERROR(__xludf.DUMMYFUNCTION("""COMPUTED_VALUE"""),"Student")</f>
        <v>Student</v>
      </c>
      <c r="E872" s="5" t="str">
        <f ca="1">IFERROR(__xludf.DUMMYFUNCTION("""COMPUTED_VALUE"""),"Child")</f>
        <v>Child</v>
      </c>
      <c r="F872" s="5"/>
    </row>
    <row r="873" spans="1:6" ht="13">
      <c r="A873" s="5" t="str">
        <f ca="1">IFERROR(__xludf.DUMMYFUNCTION("""COMPUTED_VALUE"""),"20190425GAWYS")</f>
        <v>20190425GAWYS</v>
      </c>
      <c r="B873" s="5" t="str">
        <f ca="1">IFERROR(__xludf.DUMMYFUNCTION("""COMPUTED_VALUE"""),"Minor Injuries")</f>
        <v>Minor Injuries</v>
      </c>
      <c r="C873" s="5"/>
      <c r="D873" s="5" t="str">
        <f ca="1">IFERROR(__xludf.DUMMYFUNCTION("""COMPUTED_VALUE"""),"Student")</f>
        <v>Student</v>
      </c>
      <c r="E873" s="5" t="str">
        <f ca="1">IFERROR(__xludf.DUMMYFUNCTION("""COMPUTED_VALUE"""),"Child")</f>
        <v>Child</v>
      </c>
      <c r="F873" s="5"/>
    </row>
    <row r="874" spans="1:6" ht="13">
      <c r="A874" s="5" t="str">
        <f ca="1">IFERROR(__xludf.DUMMYFUNCTION("""COMPUTED_VALUE"""),"20190425GAWYS")</f>
        <v>20190425GAWYS</v>
      </c>
      <c r="B874" s="5" t="str">
        <f ca="1">IFERROR(__xludf.DUMMYFUNCTION("""COMPUTED_VALUE"""),"Minor Injuries")</f>
        <v>Minor Injuries</v>
      </c>
      <c r="C874" s="5"/>
      <c r="D874" s="5" t="str">
        <f ca="1">IFERROR(__xludf.DUMMYFUNCTION("""COMPUTED_VALUE"""),"Student")</f>
        <v>Student</v>
      </c>
      <c r="E874" s="5" t="str">
        <f ca="1">IFERROR(__xludf.DUMMYFUNCTION("""COMPUTED_VALUE"""),"Child")</f>
        <v>Child</v>
      </c>
      <c r="F874" s="5"/>
    </row>
    <row r="875" spans="1:6" ht="13">
      <c r="A875" s="5" t="str">
        <f ca="1">IFERROR(__xludf.DUMMYFUNCTION("""COMPUTED_VALUE"""),"20190425GAWYS")</f>
        <v>20190425GAWYS</v>
      </c>
      <c r="B875" s="5" t="str">
        <f ca="1">IFERROR(__xludf.DUMMYFUNCTION("""COMPUTED_VALUE"""),"Minor Injuries")</f>
        <v>Minor Injuries</v>
      </c>
      <c r="C875" s="5"/>
      <c r="D875" s="5" t="str">
        <f ca="1">IFERROR(__xludf.DUMMYFUNCTION("""COMPUTED_VALUE"""),"Student")</f>
        <v>Student</v>
      </c>
      <c r="E875" s="5" t="str">
        <f ca="1">IFERROR(__xludf.DUMMYFUNCTION("""COMPUTED_VALUE"""),"Child")</f>
        <v>Child</v>
      </c>
      <c r="F875" s="5"/>
    </row>
    <row r="876" spans="1:6" ht="13">
      <c r="A876" s="5" t="str">
        <f ca="1">IFERROR(__xludf.DUMMYFUNCTION("""COMPUTED_VALUE"""),"20190425GAWYS")</f>
        <v>20190425GAWYS</v>
      </c>
      <c r="B876" s="5" t="str">
        <f ca="1">IFERROR(__xludf.DUMMYFUNCTION("""COMPUTED_VALUE"""),"Minor Injuries")</f>
        <v>Minor Injuries</v>
      </c>
      <c r="C876" s="5"/>
      <c r="D876" s="5" t="str">
        <f ca="1">IFERROR(__xludf.DUMMYFUNCTION("""COMPUTED_VALUE"""),"Student")</f>
        <v>Student</v>
      </c>
      <c r="E876" s="5" t="str">
        <f ca="1">IFERROR(__xludf.DUMMYFUNCTION("""COMPUTED_VALUE"""),"Child")</f>
        <v>Child</v>
      </c>
      <c r="F876" s="5"/>
    </row>
    <row r="877" spans="1:6" ht="13">
      <c r="A877" s="5" t="str">
        <f ca="1">IFERROR(__xludf.DUMMYFUNCTION("""COMPUTED_VALUE"""),"20190424ARCOC")</f>
        <v>20190424ARCOC</v>
      </c>
      <c r="B877" s="5" t="str">
        <f ca="1">IFERROR(__xludf.DUMMYFUNCTION("""COMPUTED_VALUE"""),"None")</f>
        <v>None</v>
      </c>
      <c r="C877" s="5" t="str">
        <f ca="1">IFERROR(__xludf.DUMMYFUNCTION("""COMPUTED_VALUE"""),"Male")</f>
        <v>Male</v>
      </c>
      <c r="D877" s="5" t="str">
        <f ca="1">IFERROR(__xludf.DUMMYFUNCTION("""COMPUTED_VALUE"""),"Student")</f>
        <v>Student</v>
      </c>
      <c r="E877" s="5">
        <f ca="1">IFERROR(__xludf.DUMMYFUNCTION("""COMPUTED_VALUE"""),14)</f>
        <v>14</v>
      </c>
      <c r="F877" s="5"/>
    </row>
    <row r="878" spans="1:6" ht="13">
      <c r="A878" s="5" t="str">
        <f ca="1">IFERROR(__xludf.DUMMYFUNCTION("""COMPUTED_VALUE"""),"20190417ILWAL")</f>
        <v>20190417ILWAL</v>
      </c>
      <c r="B878" s="5" t="str">
        <f ca="1">IFERROR(__xludf.DUMMYFUNCTION("""COMPUTED_VALUE"""),"None")</f>
        <v>None</v>
      </c>
      <c r="C878" s="5" t="str">
        <f ca="1">IFERROR(__xludf.DUMMYFUNCTION("""COMPUTED_VALUE"""),"Male")</f>
        <v>Male</v>
      </c>
      <c r="D878" s="5" t="str">
        <f ca="1">IFERROR(__xludf.DUMMYFUNCTION("""COMPUTED_VALUE"""),"Student")</f>
        <v>Student</v>
      </c>
      <c r="E878" s="5">
        <f ca="1">IFERROR(__xludf.DUMMYFUNCTION("""COMPUTED_VALUE"""),12)</f>
        <v>12</v>
      </c>
      <c r="F878" s="5"/>
    </row>
    <row r="879" spans="1:6" ht="13">
      <c r="A879" s="5" t="str">
        <f ca="1">IFERROR(__xludf.DUMMYFUNCTION("""COMPUTED_VALUE"""),"20190410TXROH")</f>
        <v>20190410TXROH</v>
      </c>
      <c r="B879" s="5" t="str">
        <f ca="1">IFERROR(__xludf.DUMMYFUNCTION("""COMPUTED_VALUE"""),"Wounded")</f>
        <v>Wounded</v>
      </c>
      <c r="C879" s="5" t="str">
        <f ca="1">IFERROR(__xludf.DUMMYFUNCTION("""COMPUTED_VALUE"""),"Male")</f>
        <v>Male</v>
      </c>
      <c r="D879" s="5" t="str">
        <f ca="1">IFERROR(__xludf.DUMMYFUNCTION("""COMPUTED_VALUE"""),"Student")</f>
        <v>Student</v>
      </c>
      <c r="E879" s="5">
        <f ca="1">IFERROR(__xludf.DUMMYFUNCTION("""COMPUTED_VALUE"""),15)</f>
        <v>15</v>
      </c>
      <c r="F879" s="5"/>
    </row>
    <row r="880" spans="1:6" ht="13">
      <c r="A880" s="5" t="str">
        <f ca="1">IFERROR(__xludf.DUMMYFUNCTION("""COMPUTED_VALUE"""),"20190407MAHOL")</f>
        <v>20190407MAHOL</v>
      </c>
      <c r="B880" s="5" t="str">
        <f ca="1">IFERROR(__xludf.DUMMYFUNCTION("""COMPUTED_VALUE"""),"None")</f>
        <v>None</v>
      </c>
      <c r="C880" s="5"/>
      <c r="D880" s="5"/>
      <c r="E880" s="5"/>
      <c r="F880" s="5"/>
    </row>
    <row r="881" spans="1:6" ht="13">
      <c r="A881" s="5" t="str">
        <f ca="1">IFERROR(__xludf.DUMMYFUNCTION("""COMPUTED_VALUE"""),"20190405WISTM")</f>
        <v>20190405WISTM</v>
      </c>
      <c r="B881" s="5" t="str">
        <f ca="1">IFERROR(__xludf.DUMMYFUNCTION("""COMPUTED_VALUE"""),"Wounded")</f>
        <v>Wounded</v>
      </c>
      <c r="C881" s="5"/>
      <c r="D881" s="5" t="str">
        <f ca="1">IFERROR(__xludf.DUMMYFUNCTION("""COMPUTED_VALUE"""),"Student")</f>
        <v>Student</v>
      </c>
      <c r="E881" s="5">
        <f ca="1">IFERROR(__xludf.DUMMYFUNCTION("""COMPUTED_VALUE"""),10)</f>
        <v>10</v>
      </c>
      <c r="F881" s="5"/>
    </row>
    <row r="882" spans="1:6" ht="13">
      <c r="A882" s="5" t="str">
        <f ca="1">IFERROR(__xludf.DUMMYFUNCTION("""COMPUTED_VALUE"""),"20190403FLSAJ")</f>
        <v>20190403FLSAJ</v>
      </c>
      <c r="B882" s="5" t="str">
        <f ca="1">IFERROR(__xludf.DUMMYFUNCTION("""COMPUTED_VALUE"""),"None")</f>
        <v>None</v>
      </c>
      <c r="C882" s="5"/>
      <c r="D882" s="5"/>
      <c r="E882" s="5"/>
      <c r="F882" s="5"/>
    </row>
    <row r="883" spans="1:6" ht="13">
      <c r="A883" s="5" t="str">
        <f ca="1">IFERROR(__xludf.DUMMYFUNCTION("""COMPUTED_VALUE"""),"20190403COAUA")</f>
        <v>20190403COAUA</v>
      </c>
      <c r="B883" s="5" t="str">
        <f ca="1">IFERROR(__xludf.DUMMYFUNCTION("""COMPUTED_VALUE"""),"None")</f>
        <v>None</v>
      </c>
      <c r="C883" s="5"/>
      <c r="D883" s="5"/>
      <c r="E883" s="5"/>
      <c r="F883" s="5"/>
    </row>
    <row r="884" spans="1:6" ht="13">
      <c r="A884" s="5" t="str">
        <f ca="1">IFERROR(__xludf.DUMMYFUNCTION("""COMPUTED_VALUE"""),"20190401ARPRP")</f>
        <v>20190401ARPRP</v>
      </c>
      <c r="B884" s="5" t="str">
        <f ca="1">IFERROR(__xludf.DUMMYFUNCTION("""COMPUTED_VALUE"""),"Wounded")</f>
        <v>Wounded</v>
      </c>
      <c r="C884" s="5" t="str">
        <f ca="1">IFERROR(__xludf.DUMMYFUNCTION("""COMPUTED_VALUE"""),"Male")</f>
        <v>Male</v>
      </c>
      <c r="D884" s="5" t="str">
        <f ca="1">IFERROR(__xludf.DUMMYFUNCTION("""COMPUTED_VALUE"""),"Student")</f>
        <v>Student</v>
      </c>
      <c r="E884" s="5">
        <f ca="1">IFERROR(__xludf.DUMMYFUNCTION("""COMPUTED_VALUE"""),14)</f>
        <v>14</v>
      </c>
      <c r="F884" s="5"/>
    </row>
    <row r="885" spans="1:6" ht="13">
      <c r="A885" s="5" t="str">
        <f ca="1">IFERROR(__xludf.DUMMYFUNCTION("""COMPUTED_VALUE"""),"20190327MSSVH")</f>
        <v>20190327MSSVH</v>
      </c>
      <c r="B885" s="5" t="str">
        <f ca="1">IFERROR(__xludf.DUMMYFUNCTION("""COMPUTED_VALUE"""),"Wounded")</f>
        <v>Wounded</v>
      </c>
      <c r="C885" s="5" t="str">
        <f ca="1">IFERROR(__xludf.DUMMYFUNCTION("""COMPUTED_VALUE"""),"Male")</f>
        <v>Male</v>
      </c>
      <c r="D885" s="5" t="str">
        <f ca="1">IFERROR(__xludf.DUMMYFUNCTION("""COMPUTED_VALUE"""),"Student")</f>
        <v>Student</v>
      </c>
      <c r="E885" s="5">
        <f ca="1">IFERROR(__xludf.DUMMYFUNCTION("""COMPUTED_VALUE"""),10)</f>
        <v>10</v>
      </c>
      <c r="F885" s="5" t="str">
        <f ca="1">IFERROR(__xludf.DUMMYFUNCTION("""COMPUTED_VALUE"""),"Black")</f>
        <v>Black</v>
      </c>
    </row>
    <row r="886" spans="1:6" ht="13">
      <c r="A886" s="5" t="str">
        <f ca="1">IFERROR(__xludf.DUMMYFUNCTION("""COMPUTED_VALUE"""),"20190327FLMAJ")</f>
        <v>20190327FLMAJ</v>
      </c>
      <c r="B886" s="5" t="str">
        <f ca="1">IFERROR(__xludf.DUMMYFUNCTION("""COMPUTED_VALUE"""),"Wounded")</f>
        <v>Wounded</v>
      </c>
      <c r="C886" s="5" t="str">
        <f ca="1">IFERROR(__xludf.DUMMYFUNCTION("""COMPUTED_VALUE"""),"Male")</f>
        <v>Male</v>
      </c>
      <c r="D886" s="5" t="str">
        <f ca="1">IFERROR(__xludf.DUMMYFUNCTION("""COMPUTED_VALUE"""),"Student")</f>
        <v>Student</v>
      </c>
      <c r="E886" s="5">
        <f ca="1">IFERROR(__xludf.DUMMYFUNCTION("""COMPUTED_VALUE"""),12)</f>
        <v>12</v>
      </c>
      <c r="F886" s="5"/>
    </row>
    <row r="887" spans="1:6" ht="13">
      <c r="A887" s="5" t="str">
        <f ca="1">IFERROR(__xludf.DUMMYFUNCTION("""COMPUTED_VALUE"""),"20190322ALBLB")</f>
        <v>20190322ALBLB</v>
      </c>
      <c r="B887" s="5" t="str">
        <f ca="1">IFERROR(__xludf.DUMMYFUNCTION("""COMPUTED_VALUE"""),"Minor Injuries")</f>
        <v>Minor Injuries</v>
      </c>
      <c r="C887" s="5" t="str">
        <f ca="1">IFERROR(__xludf.DUMMYFUNCTION("""COMPUTED_VALUE"""),"Unknown")</f>
        <v>Unknown</v>
      </c>
      <c r="D887" s="5" t="str">
        <f ca="1">IFERROR(__xludf.DUMMYFUNCTION("""COMPUTED_VALUE"""),"Student")</f>
        <v>Student</v>
      </c>
      <c r="E887" s="5" t="str">
        <f ca="1">IFERROR(__xludf.DUMMYFUNCTION("""COMPUTED_VALUE"""),"Child")</f>
        <v>Child</v>
      </c>
      <c r="F887" s="5"/>
    </row>
    <row r="888" spans="1:6" ht="13">
      <c r="A888" s="5" t="str">
        <f ca="1">IFERROR(__xludf.DUMMYFUNCTION("""COMPUTED_VALUE"""),"20190313FLLAO")</f>
        <v>20190313FLLAO</v>
      </c>
      <c r="B888" s="5" t="str">
        <f ca="1">IFERROR(__xludf.DUMMYFUNCTION("""COMPUTED_VALUE"""),"None")</f>
        <v>None</v>
      </c>
      <c r="C888" s="5" t="str">
        <f ca="1">IFERROR(__xludf.DUMMYFUNCTION("""COMPUTED_VALUE"""),"Female")</f>
        <v>Female</v>
      </c>
      <c r="D888" s="5" t="str">
        <f ca="1">IFERROR(__xludf.DUMMYFUNCTION("""COMPUTED_VALUE"""),"Student")</f>
        <v>Student</v>
      </c>
      <c r="E888" s="5">
        <f ca="1">IFERROR(__xludf.DUMMYFUNCTION("""COMPUTED_VALUE"""),17)</f>
        <v>17</v>
      </c>
      <c r="F888" s="5"/>
    </row>
    <row r="889" spans="1:6" ht="13">
      <c r="A889" s="5" t="str">
        <f ca="1">IFERROR(__xludf.DUMMYFUNCTION("""COMPUTED_VALUE"""),"20190301KSHIM")</f>
        <v>20190301KSHIM</v>
      </c>
      <c r="B889" s="5" t="str">
        <f ca="1">IFERROR(__xludf.DUMMYFUNCTION("""COMPUTED_VALUE"""),"None")</f>
        <v>None</v>
      </c>
      <c r="C889" s="5"/>
      <c r="D889" s="5"/>
      <c r="E889" s="5"/>
      <c r="F889" s="5"/>
    </row>
    <row r="890" spans="1:6" ht="13">
      <c r="A890" s="5" t="str">
        <f ca="1">IFERROR(__xludf.DUMMYFUNCTION("""COMPUTED_VALUE"""),"20190226ALROM")</f>
        <v>20190226ALROM</v>
      </c>
      <c r="B890" s="5" t="str">
        <f ca="1">IFERROR(__xludf.DUMMYFUNCTION("""COMPUTED_VALUE"""),"Wounded")</f>
        <v>Wounded</v>
      </c>
      <c r="C890" s="5" t="str">
        <f ca="1">IFERROR(__xludf.DUMMYFUNCTION("""COMPUTED_VALUE"""),"Male")</f>
        <v>Male</v>
      </c>
      <c r="D890" s="5" t="str">
        <f ca="1">IFERROR(__xludf.DUMMYFUNCTION("""COMPUTED_VALUE"""),"Student")</f>
        <v>Student</v>
      </c>
      <c r="E890" s="5">
        <f ca="1">IFERROR(__xludf.DUMMYFUNCTION("""COMPUTED_VALUE"""),17)</f>
        <v>17</v>
      </c>
      <c r="F890" s="5"/>
    </row>
    <row r="891" spans="1:6" ht="13">
      <c r="A891" s="5" t="str">
        <f ca="1">IFERROR(__xludf.DUMMYFUNCTION("""COMPUTED_VALUE"""),"20190217COEAA")</f>
        <v>20190217COEAA</v>
      </c>
      <c r="B891" s="5" t="str">
        <f ca="1">IFERROR(__xludf.DUMMYFUNCTION("""COMPUTED_VALUE"""),"Fatal")</f>
        <v>Fatal</v>
      </c>
      <c r="C891" s="5" t="str">
        <f ca="1">IFERROR(__xludf.DUMMYFUNCTION("""COMPUTED_VALUE"""),"Male")</f>
        <v>Male</v>
      </c>
      <c r="D891" s="5" t="str">
        <f ca="1">IFERROR(__xludf.DUMMYFUNCTION("""COMPUTED_VALUE"""),"Principal/Vice-Principal")</f>
        <v>Principal/Vice-Principal</v>
      </c>
      <c r="E891" s="5">
        <f ca="1">IFERROR(__xludf.DUMMYFUNCTION("""COMPUTED_VALUE"""),46)</f>
        <v>46</v>
      </c>
      <c r="F891" s="5" t="str">
        <f ca="1">IFERROR(__xludf.DUMMYFUNCTION("""COMPUTED_VALUE"""),"Black")</f>
        <v>Black</v>
      </c>
    </row>
    <row r="892" spans="1:6" ht="13">
      <c r="A892" s="5" t="str">
        <f ca="1">IFERROR(__xludf.DUMMYFUNCTION("""COMPUTED_VALUE"""),"20190214NMV.R")</f>
        <v>20190214NMV.R</v>
      </c>
      <c r="B892" s="5" t="str">
        <f ca="1">IFERROR(__xludf.DUMMYFUNCTION("""COMPUTED_VALUE"""),"None")</f>
        <v>None</v>
      </c>
      <c r="C892" s="5"/>
      <c r="D892" s="5"/>
      <c r="E892" s="5"/>
      <c r="F892" s="5"/>
    </row>
    <row r="893" spans="1:6" ht="13">
      <c r="A893" s="5" t="str">
        <f ca="1">IFERROR(__xludf.DUMMYFUNCTION("""COMPUTED_VALUE"""),"20190212MOCEK")</f>
        <v>20190212MOCEK</v>
      </c>
      <c r="B893" s="5" t="str">
        <f ca="1">IFERROR(__xludf.DUMMYFUNCTION("""COMPUTED_VALUE"""),"Fatal")</f>
        <v>Fatal</v>
      </c>
      <c r="C893" s="5" t="str">
        <f ca="1">IFERROR(__xludf.DUMMYFUNCTION("""COMPUTED_VALUE"""),"Female")</f>
        <v>Female</v>
      </c>
      <c r="D893" s="5" t="str">
        <f ca="1">IFERROR(__xludf.DUMMYFUNCTION("""COMPUTED_VALUE"""),"Student")</f>
        <v>Student</v>
      </c>
      <c r="E893" s="5">
        <f ca="1">IFERROR(__xludf.DUMMYFUNCTION("""COMPUTED_VALUE"""),15)</f>
        <v>15</v>
      </c>
      <c r="F893" s="5" t="str">
        <f ca="1">IFERROR(__xludf.DUMMYFUNCTION("""COMPUTED_VALUE"""),"Black")</f>
        <v>Black</v>
      </c>
    </row>
    <row r="894" spans="1:6" ht="13">
      <c r="A894" s="5" t="str">
        <f ca="1">IFERROR(__xludf.DUMMYFUNCTION("""COMPUTED_VALUE"""),"20190208MDFRB")</f>
        <v>20190208MDFRB</v>
      </c>
      <c r="B894" s="5" t="str">
        <f ca="1">IFERROR(__xludf.DUMMYFUNCTION("""COMPUTED_VALUE"""),"Wounded")</f>
        <v>Wounded</v>
      </c>
      <c r="C894" s="5" t="str">
        <f ca="1">IFERROR(__xludf.DUMMYFUNCTION("""COMPUTED_VALUE"""),"Male")</f>
        <v>Male</v>
      </c>
      <c r="D894" s="5" t="str">
        <f ca="1">IFERROR(__xludf.DUMMYFUNCTION("""COMPUTED_VALUE"""),"Other Staff")</f>
        <v>Other Staff</v>
      </c>
      <c r="E894" s="5">
        <f ca="1">IFERROR(__xludf.DUMMYFUNCTION("""COMPUTED_VALUE"""),56)</f>
        <v>56</v>
      </c>
      <c r="F894" s="5"/>
    </row>
    <row r="895" spans="1:6" ht="13">
      <c r="A895" s="5" t="str">
        <f ca="1">IFERROR(__xludf.DUMMYFUNCTION("""COMPUTED_VALUE"""),"20190205MNMIM")</f>
        <v>20190205MNMIM</v>
      </c>
      <c r="B895" s="5" t="str">
        <f ca="1">IFERROR(__xludf.DUMMYFUNCTION("""COMPUTED_VALUE"""),"Wounded")</f>
        <v>Wounded</v>
      </c>
      <c r="C895" s="5" t="str">
        <f ca="1">IFERROR(__xludf.DUMMYFUNCTION("""COMPUTED_VALUE"""),"Male")</f>
        <v>Male</v>
      </c>
      <c r="D895" s="5" t="str">
        <f ca="1">IFERROR(__xludf.DUMMYFUNCTION("""COMPUTED_VALUE"""),"Bus Driver")</f>
        <v>Bus Driver</v>
      </c>
      <c r="E895" s="5"/>
      <c r="F895" s="5"/>
    </row>
    <row r="896" spans="1:6" ht="13">
      <c r="A896" s="5" t="str">
        <f ca="1">IFERROR(__xludf.DUMMYFUNCTION("""COMPUTED_VALUE"""),"20190131TXATA")</f>
        <v>20190131TXATA</v>
      </c>
      <c r="B896" s="5" t="str">
        <f ca="1">IFERROR(__xludf.DUMMYFUNCTION("""COMPUTED_VALUE"""),"Wounded")</f>
        <v>Wounded</v>
      </c>
      <c r="C896" s="5" t="str">
        <f ca="1">IFERROR(__xludf.DUMMYFUNCTION("""COMPUTED_VALUE"""),"Male")</f>
        <v>Male</v>
      </c>
      <c r="D896" s="5" t="str">
        <f ca="1">IFERROR(__xludf.DUMMYFUNCTION("""COMPUTED_VALUE"""),"Student")</f>
        <v>Student</v>
      </c>
      <c r="E896" s="5">
        <f ca="1">IFERROR(__xludf.DUMMYFUNCTION("""COMPUTED_VALUE"""),16)</f>
        <v>16</v>
      </c>
      <c r="F896" s="5"/>
    </row>
    <row r="897" spans="1:6" ht="13">
      <c r="A897" s="5" t="str">
        <f ca="1">IFERROR(__xludf.DUMMYFUNCTION("""COMPUTED_VALUE"""),"20190131TNMAM")</f>
        <v>20190131TNMAM</v>
      </c>
      <c r="B897" s="5" t="str">
        <f ca="1">IFERROR(__xludf.DUMMYFUNCTION("""COMPUTED_VALUE"""),"Wounded")</f>
        <v>Wounded</v>
      </c>
      <c r="C897" s="5" t="str">
        <f ca="1">IFERROR(__xludf.DUMMYFUNCTION("""COMPUTED_VALUE"""),"Male")</f>
        <v>Male</v>
      </c>
      <c r="D897" s="5" t="str">
        <f ca="1">IFERROR(__xludf.DUMMYFUNCTION("""COMPUTED_VALUE"""),"Student")</f>
        <v>Student</v>
      </c>
      <c r="E897" s="5">
        <f ca="1">IFERROR(__xludf.DUMMYFUNCTION("""COMPUTED_VALUE"""),14)</f>
        <v>14</v>
      </c>
      <c r="F897" s="5"/>
    </row>
    <row r="898" spans="1:6" ht="13">
      <c r="A898" s="5" t="str">
        <f ca="1">IFERROR(__xludf.DUMMYFUNCTION("""COMPUTED_VALUE"""),"20190130GAMIL")</f>
        <v>20190130GAMIL</v>
      </c>
      <c r="B898" s="5" t="str">
        <f ca="1">IFERROR(__xludf.DUMMYFUNCTION("""COMPUTED_VALUE"""),"Wounded")</f>
        <v>Wounded</v>
      </c>
      <c r="C898" s="5" t="str">
        <f ca="1">IFERROR(__xludf.DUMMYFUNCTION("""COMPUTED_VALUE"""),"Male")</f>
        <v>Male</v>
      </c>
      <c r="D898" s="5" t="str">
        <f ca="1">IFERROR(__xludf.DUMMYFUNCTION("""COMPUTED_VALUE"""),"No Relation")</f>
        <v>No Relation</v>
      </c>
      <c r="E898" s="5" t="str">
        <f ca="1">IFERROR(__xludf.DUMMYFUNCTION("""COMPUTED_VALUE"""),"Adult")</f>
        <v>Adult</v>
      </c>
      <c r="F898" s="5"/>
    </row>
    <row r="899" spans="1:6" ht="13">
      <c r="A899" s="5" t="str">
        <f ca="1">IFERROR(__xludf.DUMMYFUNCTION("""COMPUTED_VALUE"""),"20190125TNMAM")</f>
        <v>20190125TNMAM</v>
      </c>
      <c r="B899" s="5" t="str">
        <f ca="1">IFERROR(__xludf.DUMMYFUNCTION("""COMPUTED_VALUE"""),"None")</f>
        <v>None</v>
      </c>
      <c r="C899" s="5"/>
      <c r="D899" s="5"/>
      <c r="E899" s="5"/>
      <c r="F899" s="5"/>
    </row>
    <row r="900" spans="1:6" ht="13">
      <c r="A900" s="5" t="str">
        <f ca="1">IFERROR(__xludf.DUMMYFUNCTION("""COMPUTED_VALUE"""),"20190125ALDAM")</f>
        <v>20190125ALDAM</v>
      </c>
      <c r="B900" s="5" t="str">
        <f ca="1">IFERROR(__xludf.DUMMYFUNCTION("""COMPUTED_VALUE"""),"Wounded")</f>
        <v>Wounded</v>
      </c>
      <c r="C900" s="5" t="str">
        <f ca="1">IFERROR(__xludf.DUMMYFUNCTION("""COMPUTED_VALUE"""),"Male")</f>
        <v>Male</v>
      </c>
      <c r="D900" s="5" t="str">
        <f ca="1">IFERROR(__xludf.DUMMYFUNCTION("""COMPUTED_VALUE"""),"Student")</f>
        <v>Student</v>
      </c>
      <c r="E900" s="5">
        <f ca="1">IFERROR(__xludf.DUMMYFUNCTION("""COMPUTED_VALUE"""),17)</f>
        <v>17</v>
      </c>
      <c r="F900" s="5"/>
    </row>
    <row r="901" spans="1:6" ht="13">
      <c r="A901" s="5" t="str">
        <f ca="1">IFERROR(__xludf.DUMMYFUNCTION("""COMPUTED_VALUE"""),"20190125ALDAM")</f>
        <v>20190125ALDAM</v>
      </c>
      <c r="B901" s="5" t="str">
        <f ca="1">IFERROR(__xludf.DUMMYFUNCTION("""COMPUTED_VALUE"""),"Wounded")</f>
        <v>Wounded</v>
      </c>
      <c r="C901" s="5" t="str">
        <f ca="1">IFERROR(__xludf.DUMMYFUNCTION("""COMPUTED_VALUE"""),"Male")</f>
        <v>Male</v>
      </c>
      <c r="D901" s="5" t="str">
        <f ca="1">IFERROR(__xludf.DUMMYFUNCTION("""COMPUTED_VALUE"""),"Nonstudent Using Athletic Facilities/Attending Game")</f>
        <v>Nonstudent Using Athletic Facilities/Attending Game</v>
      </c>
      <c r="E901" s="5">
        <f ca="1">IFERROR(__xludf.DUMMYFUNCTION("""COMPUTED_VALUE"""),20)</f>
        <v>20</v>
      </c>
      <c r="F901" s="5"/>
    </row>
    <row r="902" spans="1:6" ht="13">
      <c r="A902" s="5" t="str">
        <f ca="1">IFERROR(__xludf.DUMMYFUNCTION("""COMPUTED_VALUE"""),"20190123LASOS")</f>
        <v>20190123LASOS</v>
      </c>
      <c r="B902" s="5" t="str">
        <f ca="1">IFERROR(__xludf.DUMMYFUNCTION("""COMPUTED_VALUE"""),"Wounded")</f>
        <v>Wounded</v>
      </c>
      <c r="C902" s="5" t="str">
        <f ca="1">IFERROR(__xludf.DUMMYFUNCTION("""COMPUTED_VALUE"""),"Male")</f>
        <v>Male</v>
      </c>
      <c r="D902" s="5" t="str">
        <f ca="1">IFERROR(__xludf.DUMMYFUNCTION("""COMPUTED_VALUE"""),"No Relation")</f>
        <v>No Relation</v>
      </c>
      <c r="E902" s="5" t="str">
        <f ca="1">IFERROR(__xludf.DUMMYFUNCTION("""COMPUTED_VALUE"""),"Adult")</f>
        <v>Adult</v>
      </c>
      <c r="F902" s="5"/>
    </row>
    <row r="903" spans="1:6" ht="13">
      <c r="A903" s="5" t="str">
        <f ca="1">IFERROR(__xludf.DUMMYFUNCTION("""COMPUTED_VALUE"""),"20190119KSLAO")</f>
        <v>20190119KSLAO</v>
      </c>
      <c r="B903" s="5" t="str">
        <f ca="1">IFERROR(__xludf.DUMMYFUNCTION("""COMPUTED_VALUE"""),"Wounded")</f>
        <v>Wounded</v>
      </c>
      <c r="C903" s="5" t="str">
        <f ca="1">IFERROR(__xludf.DUMMYFUNCTION("""COMPUTED_VALUE"""),"Male")</f>
        <v>Male</v>
      </c>
      <c r="D903" s="5" t="str">
        <f ca="1">IFERROR(__xludf.DUMMYFUNCTION("""COMPUTED_VALUE"""),"No Relation")</f>
        <v>No Relation</v>
      </c>
      <c r="E903" s="5">
        <f ca="1">IFERROR(__xludf.DUMMYFUNCTION("""COMPUTED_VALUE"""),16)</f>
        <v>16</v>
      </c>
      <c r="F903" s="5"/>
    </row>
    <row r="904" spans="1:6" ht="13">
      <c r="A904" s="5" t="str">
        <f ca="1">IFERROR(__xludf.DUMMYFUNCTION("""COMPUTED_VALUE"""),"20190119KSLAO")</f>
        <v>20190119KSLAO</v>
      </c>
      <c r="B904" s="5" t="str">
        <f ca="1">IFERROR(__xludf.DUMMYFUNCTION("""COMPUTED_VALUE"""),"Wounded")</f>
        <v>Wounded</v>
      </c>
      <c r="C904" s="5" t="str">
        <f ca="1">IFERROR(__xludf.DUMMYFUNCTION("""COMPUTED_VALUE"""),"Male")</f>
        <v>Male</v>
      </c>
      <c r="D904" s="5" t="str">
        <f ca="1">IFERROR(__xludf.DUMMYFUNCTION("""COMPUTED_VALUE"""),"No Relation")</f>
        <v>No Relation</v>
      </c>
      <c r="E904" s="5">
        <f ca="1">IFERROR(__xludf.DUMMYFUNCTION("""COMPUTED_VALUE"""),15)</f>
        <v>15</v>
      </c>
      <c r="F904" s="5"/>
    </row>
    <row r="905" spans="1:6" ht="13">
      <c r="A905" s="5" t="str">
        <f ca="1">IFERROR(__xludf.DUMMYFUNCTION("""COMPUTED_VALUE"""),"20190118NCSHD")</f>
        <v>20190118NCSHD</v>
      </c>
      <c r="B905" s="5" t="str">
        <f ca="1">IFERROR(__xludf.DUMMYFUNCTION("""COMPUTED_VALUE"""),"Wounded")</f>
        <v>Wounded</v>
      </c>
      <c r="C905" s="5"/>
      <c r="D905" s="5" t="str">
        <f ca="1">IFERROR(__xludf.DUMMYFUNCTION("""COMPUTED_VALUE"""),"Bus Driver")</f>
        <v>Bus Driver</v>
      </c>
      <c r="E905" s="5" t="str">
        <f ca="1">IFERROR(__xludf.DUMMYFUNCTION("""COMPUTED_VALUE"""),"Adult")</f>
        <v>Adult</v>
      </c>
      <c r="F905" s="5"/>
    </row>
    <row r="906" spans="1:6" ht="13">
      <c r="A906" s="5" t="str">
        <f ca="1">IFERROR(__xludf.DUMMYFUNCTION("""COMPUTED_VALUE"""),"20190118MOHAS")</f>
        <v>20190118MOHAS</v>
      </c>
      <c r="B906" s="5" t="str">
        <f ca="1">IFERROR(__xludf.DUMMYFUNCTION("""COMPUTED_VALUE"""),"None")</f>
        <v>None</v>
      </c>
      <c r="C906" s="5"/>
      <c r="D906" s="5"/>
      <c r="E906" s="5"/>
      <c r="F906" s="5"/>
    </row>
    <row r="907" spans="1:6" ht="13">
      <c r="A907" s="5" t="str">
        <f ca="1">IFERROR(__xludf.DUMMYFUNCTION("""COMPUTED_VALUE"""),"20190118ALCET")</f>
        <v>20190118ALCET</v>
      </c>
      <c r="B907" s="5" t="str">
        <f ca="1">IFERROR(__xludf.DUMMYFUNCTION("""COMPUTED_VALUE"""),"None")</f>
        <v>None</v>
      </c>
      <c r="C907" s="5" t="str">
        <f ca="1">IFERROR(__xludf.DUMMYFUNCTION("""COMPUTED_VALUE"""),"Female")</f>
        <v>Female</v>
      </c>
      <c r="D907" s="5" t="str">
        <f ca="1">IFERROR(__xludf.DUMMYFUNCTION("""COMPUTED_VALUE"""),"Intimate Relationship")</f>
        <v>Intimate Relationship</v>
      </c>
      <c r="E907" s="5" t="str">
        <f ca="1">IFERROR(__xludf.DUMMYFUNCTION("""COMPUTED_VALUE"""),"Adult")</f>
        <v>Adult</v>
      </c>
      <c r="F907" s="5"/>
    </row>
    <row r="908" spans="1:6" ht="13">
      <c r="A908" s="5" t="str">
        <f ca="1">IFERROR(__xludf.DUMMYFUNCTION("""COMPUTED_VALUE"""),"20190111ORCAE")</f>
        <v>20190111ORCAE</v>
      </c>
      <c r="B908" s="5" t="str">
        <f ca="1">IFERROR(__xludf.DUMMYFUNCTION("""COMPUTED_VALUE"""),"Fatal")</f>
        <v>Fatal</v>
      </c>
      <c r="C908" s="5" t="str">
        <f ca="1">IFERROR(__xludf.DUMMYFUNCTION("""COMPUTED_VALUE"""),"Male")</f>
        <v>Male</v>
      </c>
      <c r="D908" s="5" t="str">
        <f ca="1">IFERROR(__xludf.DUMMYFUNCTION("""COMPUTED_VALUE"""),"Parent")</f>
        <v>Parent</v>
      </c>
      <c r="E908" s="5">
        <f ca="1">IFERROR(__xludf.DUMMYFUNCTION("""COMPUTED_VALUE"""),30)</f>
        <v>30</v>
      </c>
      <c r="F908" s="5"/>
    </row>
    <row r="909" spans="1:6" ht="13">
      <c r="A909" s="5" t="str">
        <f ca="1">IFERROR(__xludf.DUMMYFUNCTION("""COMPUTED_VALUE"""),"20190107CACEB")</f>
        <v>20190107CACEB</v>
      </c>
      <c r="B909" s="5" t="str">
        <f ca="1">IFERROR(__xludf.DUMMYFUNCTION("""COMPUTED_VALUE"""),"Fatal")</f>
        <v>Fatal</v>
      </c>
      <c r="C909" s="5" t="str">
        <f ca="1">IFERROR(__xludf.DUMMYFUNCTION("""COMPUTED_VALUE"""),"Male")</f>
        <v>Male</v>
      </c>
      <c r="D909" s="5" t="str">
        <f ca="1">IFERROR(__xludf.DUMMYFUNCTION("""COMPUTED_VALUE"""),"No Relation")</f>
        <v>No Relation</v>
      </c>
      <c r="E909" s="5">
        <f ca="1">IFERROR(__xludf.DUMMYFUNCTION("""COMPUTED_VALUE"""),17)</f>
        <v>17</v>
      </c>
      <c r="F909" s="5" t="str">
        <f ca="1">IFERROR(__xludf.DUMMYFUNCTION("""COMPUTED_VALUE"""),"Unknown")</f>
        <v>Unknown</v>
      </c>
    </row>
    <row r="910" spans="1:6" ht="13">
      <c r="A910" s="5" t="str">
        <f ca="1">IFERROR(__xludf.DUMMYFUNCTION("""COMPUTED_VALUE"""),"20181218DEAIG")</f>
        <v>20181218DEAIG</v>
      </c>
      <c r="B910" s="5" t="str">
        <f ca="1">IFERROR(__xludf.DUMMYFUNCTION("""COMPUTED_VALUE"""),"None")</f>
        <v>None</v>
      </c>
      <c r="C910" s="5"/>
      <c r="D910" s="5"/>
      <c r="E910" s="5"/>
      <c r="F910" s="5"/>
    </row>
    <row r="911" spans="1:6" ht="13">
      <c r="A911" s="5" t="str">
        <f ca="1">IFERROR(__xludf.DUMMYFUNCTION("""COMPUTED_VALUE"""),"20181214MOWIK")</f>
        <v>20181214MOWIK</v>
      </c>
      <c r="B911" s="5" t="str">
        <f ca="1">IFERROR(__xludf.DUMMYFUNCTION("""COMPUTED_VALUE"""),"None")</f>
        <v>None</v>
      </c>
      <c r="C911" s="5"/>
      <c r="D911" s="5"/>
      <c r="E911" s="5"/>
      <c r="F911" s="5"/>
    </row>
    <row r="912" spans="1:6" ht="13">
      <c r="A912" s="5" t="str">
        <f ca="1">IFERROR(__xludf.DUMMYFUNCTION("""COMPUTED_VALUE"""),"20181213INDER")</f>
        <v>20181213INDER</v>
      </c>
      <c r="B912" s="5" t="str">
        <f ca="1">IFERROR(__xludf.DUMMYFUNCTION("""COMPUTED_VALUE"""),"None")</f>
        <v>None</v>
      </c>
      <c r="C912" s="5" t="str">
        <f ca="1">IFERROR(__xludf.DUMMYFUNCTION("""COMPUTED_VALUE"""),"Male")</f>
        <v>Male</v>
      </c>
      <c r="D912" s="5" t="str">
        <f ca="1">IFERROR(__xludf.DUMMYFUNCTION("""COMPUTED_VALUE"""),"Student")</f>
        <v>Student</v>
      </c>
      <c r="E912" s="5">
        <f ca="1">IFERROR(__xludf.DUMMYFUNCTION("""COMPUTED_VALUE"""),14)</f>
        <v>14</v>
      </c>
      <c r="F912" s="5"/>
    </row>
    <row r="913" spans="1:6" ht="13">
      <c r="A913" s="5" t="str">
        <f ca="1">IFERROR(__xludf.DUMMYFUNCTION("""COMPUTED_VALUE"""),"20181211KYCAC")</f>
        <v>20181211KYCAC</v>
      </c>
      <c r="B913" s="5" t="str">
        <f ca="1">IFERROR(__xludf.DUMMYFUNCTION("""COMPUTED_VALUE"""),"Wounded")</f>
        <v>Wounded</v>
      </c>
      <c r="C913" s="5" t="str">
        <f ca="1">IFERROR(__xludf.DUMMYFUNCTION("""COMPUTED_VALUE"""),"Female")</f>
        <v>Female</v>
      </c>
      <c r="D913" s="5" t="str">
        <f ca="1">IFERROR(__xludf.DUMMYFUNCTION("""COMPUTED_VALUE"""),"No Relation")</f>
        <v>No Relation</v>
      </c>
      <c r="E913" s="5">
        <f ca="1">IFERROR(__xludf.DUMMYFUNCTION("""COMPUTED_VALUE"""),15)</f>
        <v>15</v>
      </c>
      <c r="F913" s="5"/>
    </row>
    <row r="914" spans="1:6" ht="13">
      <c r="A914" s="5" t="str">
        <f ca="1">IFERROR(__xludf.DUMMYFUNCTION("""COMPUTED_VALUE"""),"20181211KYCAC")</f>
        <v>20181211KYCAC</v>
      </c>
      <c r="B914" s="5" t="str">
        <f ca="1">IFERROR(__xludf.DUMMYFUNCTION("""COMPUTED_VALUE"""),"Wounded")</f>
        <v>Wounded</v>
      </c>
      <c r="C914" s="5" t="str">
        <f ca="1">IFERROR(__xludf.DUMMYFUNCTION("""COMPUTED_VALUE"""),"Male")</f>
        <v>Male</v>
      </c>
      <c r="D914" s="5" t="str">
        <f ca="1">IFERROR(__xludf.DUMMYFUNCTION("""COMPUTED_VALUE"""),"No Relation")</f>
        <v>No Relation</v>
      </c>
      <c r="E914" s="5">
        <f ca="1">IFERROR(__xludf.DUMMYFUNCTION("""COMPUTED_VALUE"""),20)</f>
        <v>20</v>
      </c>
      <c r="F914" s="5"/>
    </row>
    <row r="915" spans="1:6" ht="13">
      <c r="A915" s="5" t="str">
        <f ca="1">IFERROR(__xludf.DUMMYFUNCTION("""COMPUTED_VALUE"""),"20181210NYJEJ")</f>
        <v>20181210NYJEJ</v>
      </c>
      <c r="B915" s="5" t="str">
        <f ca="1">IFERROR(__xludf.DUMMYFUNCTION("""COMPUTED_VALUE"""),"None")</f>
        <v>None</v>
      </c>
      <c r="C915" s="5" t="str">
        <f ca="1">IFERROR(__xludf.DUMMYFUNCTION("""COMPUTED_VALUE"""),"Male")</f>
        <v>Male</v>
      </c>
      <c r="D915" s="5" t="str">
        <f ca="1">IFERROR(__xludf.DUMMYFUNCTION("""COMPUTED_VALUE"""),"Student")</f>
        <v>Student</v>
      </c>
      <c r="E915" s="5">
        <f ca="1">IFERROR(__xludf.DUMMYFUNCTION("""COMPUTED_VALUE"""),17)</f>
        <v>17</v>
      </c>
      <c r="F915" s="5"/>
    </row>
    <row r="916" spans="1:6" ht="13">
      <c r="A916" s="5" t="str">
        <f ca="1">IFERROR(__xludf.DUMMYFUNCTION("""COMPUTED_VALUE"""),"20181128PASTP")</f>
        <v>20181128PASTP</v>
      </c>
      <c r="B916" s="5" t="str">
        <f ca="1">IFERROR(__xludf.DUMMYFUNCTION("""COMPUTED_VALUE"""),"None")</f>
        <v>None</v>
      </c>
      <c r="C916" s="5"/>
      <c r="D916" s="5"/>
      <c r="E916" s="5"/>
      <c r="F916" s="5"/>
    </row>
    <row r="917" spans="1:6" ht="13">
      <c r="A917" s="5" t="str">
        <f ca="1">IFERROR(__xludf.DUMMYFUNCTION("""COMPUTED_VALUE"""),"20181124OHAFC")</f>
        <v>20181124OHAFC</v>
      </c>
      <c r="B917" s="5" t="str">
        <f ca="1">IFERROR(__xludf.DUMMYFUNCTION("""COMPUTED_VALUE"""),"Wounded")</f>
        <v>Wounded</v>
      </c>
      <c r="C917" s="5" t="str">
        <f ca="1">IFERROR(__xludf.DUMMYFUNCTION("""COMPUTED_VALUE"""),"Male")</f>
        <v>Male</v>
      </c>
      <c r="D917" s="5" t="str">
        <f ca="1">IFERROR(__xludf.DUMMYFUNCTION("""COMPUTED_VALUE"""),"No Relation")</f>
        <v>No Relation</v>
      </c>
      <c r="E917" s="5">
        <f ca="1">IFERROR(__xludf.DUMMYFUNCTION("""COMPUTED_VALUE"""),20)</f>
        <v>20</v>
      </c>
      <c r="F917" s="5"/>
    </row>
    <row r="918" spans="1:6" ht="13">
      <c r="A918" s="5" t="str">
        <f ca="1">IFERROR(__xludf.DUMMYFUNCTION("""COMPUTED_VALUE"""),"20181124OHAFC")</f>
        <v>20181124OHAFC</v>
      </c>
      <c r="B918" s="5" t="str">
        <f ca="1">IFERROR(__xludf.DUMMYFUNCTION("""COMPUTED_VALUE"""),"Wounded")</f>
        <v>Wounded</v>
      </c>
      <c r="C918" s="5" t="str">
        <f ca="1">IFERROR(__xludf.DUMMYFUNCTION("""COMPUTED_VALUE"""),"Male")</f>
        <v>Male</v>
      </c>
      <c r="D918" s="5" t="str">
        <f ca="1">IFERROR(__xludf.DUMMYFUNCTION("""COMPUTED_VALUE"""),"No Relation")</f>
        <v>No Relation</v>
      </c>
      <c r="E918" s="5" t="str">
        <f ca="1">IFERROR(__xludf.DUMMYFUNCTION("""COMPUTED_VALUE"""),"Adult")</f>
        <v>Adult</v>
      </c>
      <c r="F918" s="5"/>
    </row>
    <row r="919" spans="1:6" ht="13">
      <c r="A919" s="5" t="str">
        <f ca="1">IFERROR(__xludf.DUMMYFUNCTION("""COMPUTED_VALUE"""),"20181122WAMOD")</f>
        <v>20181122WAMOD</v>
      </c>
      <c r="B919" s="5" t="str">
        <f ca="1">IFERROR(__xludf.DUMMYFUNCTION("""COMPUTED_VALUE"""),"Wounded")</f>
        <v>Wounded</v>
      </c>
      <c r="C919" s="5" t="str">
        <f ca="1">IFERROR(__xludf.DUMMYFUNCTION("""COMPUTED_VALUE"""),"Male")</f>
        <v>Male</v>
      </c>
      <c r="D919" s="5" t="str">
        <f ca="1">IFERROR(__xludf.DUMMYFUNCTION("""COMPUTED_VALUE"""),"No Relation")</f>
        <v>No Relation</v>
      </c>
      <c r="E919" s="5">
        <f ca="1">IFERROR(__xludf.DUMMYFUNCTION("""COMPUTED_VALUE"""),21)</f>
        <v>21</v>
      </c>
      <c r="F919" s="5"/>
    </row>
    <row r="920" spans="1:6" ht="13">
      <c r="A920" s="5" t="str">
        <f ca="1">IFERROR(__xludf.DUMMYFUNCTION("""COMPUTED_VALUE"""),"20181122TXSKD")</f>
        <v>20181122TXSKD</v>
      </c>
      <c r="B920" s="5" t="str">
        <f ca="1">IFERROR(__xludf.DUMMYFUNCTION("""COMPUTED_VALUE"""),"Fatal")</f>
        <v>Fatal</v>
      </c>
      <c r="C920" s="5" t="str">
        <f ca="1">IFERROR(__xludf.DUMMYFUNCTION("""COMPUTED_VALUE"""),"Male")</f>
        <v>Male</v>
      </c>
      <c r="D920" s="5"/>
      <c r="E920" s="5">
        <f ca="1">IFERROR(__xludf.DUMMYFUNCTION("""COMPUTED_VALUE"""),17)</f>
        <v>17</v>
      </c>
      <c r="F920" s="5" t="str">
        <f ca="1">IFERROR(__xludf.DUMMYFUNCTION("""COMPUTED_VALUE"""),"Hispanic")</f>
        <v>Hispanic</v>
      </c>
    </row>
    <row r="921" spans="1:6" ht="13">
      <c r="A921" s="5" t="str">
        <f ca="1">IFERROR(__xludf.DUMMYFUNCTION("""COMPUTED_VALUE"""),"20181121MIPEP")</f>
        <v>20181121MIPEP</v>
      </c>
      <c r="B921" s="5" t="str">
        <f ca="1">IFERROR(__xludf.DUMMYFUNCTION("""COMPUTED_VALUE"""),"None")</f>
        <v>None</v>
      </c>
      <c r="C921" s="5"/>
      <c r="D921" s="5"/>
      <c r="E921" s="5"/>
      <c r="F921" s="5"/>
    </row>
    <row r="922" spans="1:6" ht="13">
      <c r="A922" s="5" t="str">
        <f ca="1">IFERROR(__xludf.DUMMYFUNCTION("""COMPUTED_VALUE"""),"20181120VASIP")</f>
        <v>20181120VASIP</v>
      </c>
      <c r="B922" s="5" t="str">
        <f ca="1">IFERROR(__xludf.DUMMYFUNCTION("""COMPUTED_VALUE"""),"Wounded")</f>
        <v>Wounded</v>
      </c>
      <c r="C922" s="5" t="str">
        <f ca="1">IFERROR(__xludf.DUMMYFUNCTION("""COMPUTED_VALUE"""),"Female")</f>
        <v>Female</v>
      </c>
      <c r="D922" s="5" t="str">
        <f ca="1">IFERROR(__xludf.DUMMYFUNCTION("""COMPUTED_VALUE"""),"Parent")</f>
        <v>Parent</v>
      </c>
      <c r="E922" s="5" t="str">
        <f ca="1">IFERROR(__xludf.DUMMYFUNCTION("""COMPUTED_VALUE"""),"Adult")</f>
        <v>Adult</v>
      </c>
      <c r="F922" s="5"/>
    </row>
    <row r="923" spans="1:6" ht="13">
      <c r="A923" s="5" t="str">
        <f ca="1">IFERROR(__xludf.DUMMYFUNCTION("""COMPUTED_VALUE"""),"20181112MDEAE")</f>
        <v>20181112MDEAE</v>
      </c>
      <c r="B923" s="5" t="str">
        <f ca="1">IFERROR(__xludf.DUMMYFUNCTION("""COMPUTED_VALUE"""),"None")</f>
        <v>None</v>
      </c>
      <c r="C923" s="5" t="str">
        <f ca="1">IFERROR(__xludf.DUMMYFUNCTION("""COMPUTED_VALUE"""),"Male")</f>
        <v>Male</v>
      </c>
      <c r="D923" s="5" t="str">
        <f ca="1">IFERROR(__xludf.DUMMYFUNCTION("""COMPUTED_VALUE"""),"Police Officer/SRO")</f>
        <v>Police Officer/SRO</v>
      </c>
      <c r="E923" s="5" t="str">
        <f ca="1">IFERROR(__xludf.DUMMYFUNCTION("""COMPUTED_VALUE"""),"Adult")</f>
        <v>Adult</v>
      </c>
      <c r="F923" s="5"/>
    </row>
    <row r="924" spans="1:6" ht="13">
      <c r="A924" s="5" t="str">
        <f ca="1">IFERROR(__xludf.DUMMYFUNCTION("""COMPUTED_VALUE"""),"20181109GAGAM")</f>
        <v>20181109GAGAM</v>
      </c>
      <c r="B924" s="5" t="str">
        <f ca="1">IFERROR(__xludf.DUMMYFUNCTION("""COMPUTED_VALUE"""),"None")</f>
        <v>None</v>
      </c>
      <c r="C924" s="5"/>
      <c r="D924" s="5"/>
      <c r="E924" s="5"/>
      <c r="F924" s="5"/>
    </row>
    <row r="925" spans="1:6" ht="13">
      <c r="A925" s="5" t="str">
        <f ca="1">IFERROR(__xludf.DUMMYFUNCTION("""COMPUTED_VALUE"""),"20181108CACLS")</f>
        <v>20181108CACLS</v>
      </c>
      <c r="B925" s="5" t="str">
        <f ca="1">IFERROR(__xludf.DUMMYFUNCTION("""COMPUTED_VALUE"""),"Wounded")</f>
        <v>Wounded</v>
      </c>
      <c r="C925" s="5" t="str">
        <f ca="1">IFERROR(__xludf.DUMMYFUNCTION("""COMPUTED_VALUE"""),"Male")</f>
        <v>Male</v>
      </c>
      <c r="D925" s="5" t="str">
        <f ca="1">IFERROR(__xludf.DUMMYFUNCTION("""COMPUTED_VALUE"""),"No Relation")</f>
        <v>No Relation</v>
      </c>
      <c r="E925" s="5" t="str">
        <f ca="1">IFERROR(__xludf.DUMMYFUNCTION("""COMPUTED_VALUE"""),"Adult")</f>
        <v>Adult</v>
      </c>
      <c r="F925" s="5"/>
    </row>
    <row r="926" spans="1:6" ht="13">
      <c r="A926" s="5" t="str">
        <f ca="1">IFERROR(__xludf.DUMMYFUNCTION("""COMPUTED_VALUE"""),"20181105SCACC")</f>
        <v>20181105SCACC</v>
      </c>
      <c r="B926" s="5" t="str">
        <f ca="1">IFERROR(__xludf.DUMMYFUNCTION("""COMPUTED_VALUE"""),"None")</f>
        <v>None</v>
      </c>
      <c r="C926" s="5" t="str">
        <f ca="1">IFERROR(__xludf.DUMMYFUNCTION("""COMPUTED_VALUE"""),"Male")</f>
        <v>Male</v>
      </c>
      <c r="D926" s="5" t="str">
        <f ca="1">IFERROR(__xludf.DUMMYFUNCTION("""COMPUTED_VALUE"""),"Student")</f>
        <v>Student</v>
      </c>
      <c r="E926" s="5">
        <f ca="1">IFERROR(__xludf.DUMMYFUNCTION("""COMPUTED_VALUE"""),13)</f>
        <v>13</v>
      </c>
      <c r="F926" s="5"/>
    </row>
    <row r="927" spans="1:6" ht="13">
      <c r="A927" s="5" t="str">
        <f ca="1">IFERROR(__xludf.DUMMYFUNCTION("""COMPUTED_VALUE"""),"20181104KYCRL")</f>
        <v>20181104KYCRL</v>
      </c>
      <c r="B927" s="5" t="str">
        <f ca="1">IFERROR(__xludf.DUMMYFUNCTION("""COMPUTED_VALUE"""),"Fatal")</f>
        <v>Fatal</v>
      </c>
      <c r="C927" s="5" t="str">
        <f ca="1">IFERROR(__xludf.DUMMYFUNCTION("""COMPUTED_VALUE"""),"Male")</f>
        <v>Male</v>
      </c>
      <c r="D927" s="5" t="str">
        <f ca="1">IFERROR(__xludf.DUMMYFUNCTION("""COMPUTED_VALUE"""),"No Relation")</f>
        <v>No Relation</v>
      </c>
      <c r="E927" s="5" t="str">
        <f ca="1">IFERROR(__xludf.DUMMYFUNCTION("""COMPUTED_VALUE"""),"Adult")</f>
        <v>Adult</v>
      </c>
      <c r="F927" s="5"/>
    </row>
    <row r="928" spans="1:6" ht="13">
      <c r="A928" s="5" t="str">
        <f ca="1">IFERROR(__xludf.DUMMYFUNCTION("""COMPUTED_VALUE"""),"20181104KYCRL")</f>
        <v>20181104KYCRL</v>
      </c>
      <c r="B928" s="5" t="str">
        <f ca="1">IFERROR(__xludf.DUMMYFUNCTION("""COMPUTED_VALUE"""),"Wounded")</f>
        <v>Wounded</v>
      </c>
      <c r="C928" s="5" t="str">
        <f ca="1">IFERROR(__xludf.DUMMYFUNCTION("""COMPUTED_VALUE"""),"Male")</f>
        <v>Male</v>
      </c>
      <c r="D928" s="5" t="str">
        <f ca="1">IFERROR(__xludf.DUMMYFUNCTION("""COMPUTED_VALUE"""),"No Relation")</f>
        <v>No Relation</v>
      </c>
      <c r="E928" s="5" t="str">
        <f ca="1">IFERROR(__xludf.DUMMYFUNCTION("""COMPUTED_VALUE"""),"Adult")</f>
        <v>Adult</v>
      </c>
      <c r="F928" s="5"/>
    </row>
    <row r="929" spans="1:6" ht="13">
      <c r="A929" s="5" t="str">
        <f ca="1">IFERROR(__xludf.DUMMYFUNCTION("""COMPUTED_VALUE"""),"20181029NCBUM")</f>
        <v>20181029NCBUM</v>
      </c>
      <c r="B929" s="5" t="str">
        <f ca="1">IFERROR(__xludf.DUMMYFUNCTION("""COMPUTED_VALUE"""),"Fatal")</f>
        <v>Fatal</v>
      </c>
      <c r="C929" s="5" t="str">
        <f ca="1">IFERROR(__xludf.DUMMYFUNCTION("""COMPUTED_VALUE"""),"Male")</f>
        <v>Male</v>
      </c>
      <c r="D929" s="5" t="str">
        <f ca="1">IFERROR(__xludf.DUMMYFUNCTION("""COMPUTED_VALUE"""),"Student")</f>
        <v>Student</v>
      </c>
      <c r="E929" s="5">
        <f ca="1">IFERROR(__xludf.DUMMYFUNCTION("""COMPUTED_VALUE"""),16)</f>
        <v>16</v>
      </c>
      <c r="F929" s="5" t="str">
        <f ca="1">IFERROR(__xludf.DUMMYFUNCTION("""COMPUTED_VALUE"""),"Black")</f>
        <v>Black</v>
      </c>
    </row>
    <row r="930" spans="1:6" ht="13">
      <c r="A930" s="5" t="str">
        <f ca="1">IFERROR(__xludf.DUMMYFUNCTION("""COMPUTED_VALUE"""),"20181026FLSAO")</f>
        <v>20181026FLSAO</v>
      </c>
      <c r="B930" s="5" t="str">
        <f ca="1">IFERROR(__xludf.DUMMYFUNCTION("""COMPUTED_VALUE"""),"Fatal")</f>
        <v>Fatal</v>
      </c>
      <c r="C930" s="5" t="str">
        <f ca="1">IFERROR(__xludf.DUMMYFUNCTION("""COMPUTED_VALUE"""),"Male")</f>
        <v>Male</v>
      </c>
      <c r="D930" s="5" t="str">
        <f ca="1">IFERROR(__xludf.DUMMYFUNCTION("""COMPUTED_VALUE"""),"No Relation")</f>
        <v>No Relation</v>
      </c>
      <c r="E930" s="5">
        <f ca="1">IFERROR(__xludf.DUMMYFUNCTION("""COMPUTED_VALUE"""),18)</f>
        <v>18</v>
      </c>
      <c r="F930" s="5"/>
    </row>
    <row r="931" spans="1:6" ht="13">
      <c r="A931" s="5" t="str">
        <f ca="1">IFERROR(__xludf.DUMMYFUNCTION("""COMPUTED_VALUE"""),"20181025MICOD")</f>
        <v>20181025MICOD</v>
      </c>
      <c r="B931" s="5" t="str">
        <f ca="1">IFERROR(__xludf.DUMMYFUNCTION("""COMPUTED_VALUE"""),"None")</f>
        <v>None</v>
      </c>
      <c r="C931" s="5" t="str">
        <f ca="1">IFERROR(__xludf.DUMMYFUNCTION("""COMPUTED_VALUE"""),"Male")</f>
        <v>Male</v>
      </c>
      <c r="D931" s="5" t="str">
        <f ca="1">IFERROR(__xludf.DUMMYFUNCTION("""COMPUTED_VALUE"""),"Student")</f>
        <v>Student</v>
      </c>
      <c r="E931" s="5">
        <f ca="1">IFERROR(__xludf.DUMMYFUNCTION("""COMPUTED_VALUE"""),15)</f>
        <v>15</v>
      </c>
      <c r="F931" s="5"/>
    </row>
    <row r="932" spans="1:6" ht="13">
      <c r="A932" s="5" t="str">
        <f ca="1">IFERROR(__xludf.DUMMYFUNCTION("""COMPUTED_VALUE"""),"20181023NHGOM")</f>
        <v>20181023NHGOM</v>
      </c>
      <c r="B932" s="5" t="str">
        <f ca="1">IFERROR(__xludf.DUMMYFUNCTION("""COMPUTED_VALUE"""),"Wounded")</f>
        <v>Wounded</v>
      </c>
      <c r="C932" s="5" t="str">
        <f ca="1">IFERROR(__xludf.DUMMYFUNCTION("""COMPUTED_VALUE"""),"Female")</f>
        <v>Female</v>
      </c>
      <c r="D932" s="5" t="str">
        <f ca="1">IFERROR(__xludf.DUMMYFUNCTION("""COMPUTED_VALUE"""),"Teacher")</f>
        <v>Teacher</v>
      </c>
      <c r="E932" s="5" t="str">
        <f ca="1">IFERROR(__xludf.DUMMYFUNCTION("""COMPUTED_VALUE"""),"Adult")</f>
        <v>Adult</v>
      </c>
      <c r="F932" s="5"/>
    </row>
    <row r="933" spans="1:6" ht="13">
      <c r="A933" s="5" t="str">
        <f ca="1">IFERROR(__xludf.DUMMYFUNCTION("""COMPUTED_VALUE"""),"20181022CTDUB")</f>
        <v>20181022CTDUB</v>
      </c>
      <c r="B933" s="5" t="str">
        <f ca="1">IFERROR(__xludf.DUMMYFUNCTION("""COMPUTED_VALUE"""),"None")</f>
        <v>None</v>
      </c>
      <c r="C933" s="5"/>
      <c r="D933" s="5"/>
      <c r="E933" s="5"/>
      <c r="F933" s="5"/>
    </row>
    <row r="934" spans="1:6" ht="13">
      <c r="A934" s="5" t="str">
        <f ca="1">IFERROR(__xludf.DUMMYFUNCTION("""COMPUTED_VALUE"""),"20181020GASHS")</f>
        <v>20181020GASHS</v>
      </c>
      <c r="B934" s="5" t="str">
        <f ca="1">IFERROR(__xludf.DUMMYFUNCTION("""COMPUTED_VALUE"""),"Fatal")</f>
        <v>Fatal</v>
      </c>
      <c r="C934" s="5" t="str">
        <f ca="1">IFERROR(__xludf.DUMMYFUNCTION("""COMPUTED_VALUE"""),"Male")</f>
        <v>Male</v>
      </c>
      <c r="D934" s="5" t="str">
        <f ca="1">IFERROR(__xludf.DUMMYFUNCTION("""COMPUTED_VALUE"""),"Police Officer/SRO")</f>
        <v>Police Officer/SRO</v>
      </c>
      <c r="E934" s="5" t="str">
        <f ca="1">IFERROR(__xludf.DUMMYFUNCTION("""COMPUTED_VALUE"""),"Adult")</f>
        <v>Adult</v>
      </c>
      <c r="F934" s="5" t="str">
        <f ca="1">IFERROR(__xludf.DUMMYFUNCTION("""COMPUTED_VALUE"""),"Black")</f>
        <v>Black</v>
      </c>
    </row>
    <row r="935" spans="1:6" ht="13">
      <c r="A935" s="5" t="str">
        <f ca="1">IFERROR(__xludf.DUMMYFUNCTION("""COMPUTED_VALUE"""),"20181013TNMCN")</f>
        <v>20181013TNMCN</v>
      </c>
      <c r="B935" s="5" t="str">
        <f ca="1">IFERROR(__xludf.DUMMYFUNCTION("""COMPUTED_VALUE"""),"Wounded")</f>
        <v>Wounded</v>
      </c>
      <c r="C935" s="5" t="str">
        <f ca="1">IFERROR(__xludf.DUMMYFUNCTION("""COMPUTED_VALUE"""),"Male")</f>
        <v>Male</v>
      </c>
      <c r="D935" s="5"/>
      <c r="E935" s="5" t="str">
        <f ca="1">IFERROR(__xludf.DUMMYFUNCTION("""COMPUTED_VALUE"""),"Adult")</f>
        <v>Adult</v>
      </c>
      <c r="F935" s="5"/>
    </row>
    <row r="936" spans="1:6" ht="13">
      <c r="A936" s="5" t="str">
        <f ca="1">IFERROR(__xludf.DUMMYFUNCTION("""COMPUTED_VALUE"""),"20181013TNMCN")</f>
        <v>20181013TNMCN</v>
      </c>
      <c r="B936" s="5" t="str">
        <f ca="1">IFERROR(__xludf.DUMMYFUNCTION("""COMPUTED_VALUE"""),"Fatal")</f>
        <v>Fatal</v>
      </c>
      <c r="C936" s="5" t="str">
        <f ca="1">IFERROR(__xludf.DUMMYFUNCTION("""COMPUTED_VALUE"""),"Male")</f>
        <v>Male</v>
      </c>
      <c r="D936" s="5"/>
      <c r="E936" s="5">
        <f ca="1">IFERROR(__xludf.DUMMYFUNCTION("""COMPUTED_VALUE"""),18)</f>
        <v>18</v>
      </c>
      <c r="F936" s="5"/>
    </row>
    <row r="937" spans="1:6" ht="13">
      <c r="A937" s="5" t="str">
        <f ca="1">IFERROR(__xludf.DUMMYFUNCTION("""COMPUTED_VALUE"""),"20181012MIBAB")</f>
        <v>20181012MIBAB</v>
      </c>
      <c r="B937" s="5" t="str">
        <f ca="1">IFERROR(__xludf.DUMMYFUNCTION("""COMPUTED_VALUE"""),"None")</f>
        <v>None</v>
      </c>
      <c r="C937" s="5"/>
      <c r="D937" s="5"/>
      <c r="E937" s="5"/>
      <c r="F937" s="5"/>
    </row>
    <row r="938" spans="1:6" ht="13">
      <c r="A938" s="5" t="str">
        <f ca="1">IFERROR(__xludf.DUMMYFUNCTION("""COMPUTED_VALUE"""),"20181007VAVAH")</f>
        <v>20181007VAVAH</v>
      </c>
      <c r="B938" s="5" t="str">
        <f ca="1">IFERROR(__xludf.DUMMYFUNCTION("""COMPUTED_VALUE"""),"Wounded")</f>
        <v>Wounded</v>
      </c>
      <c r="C938" s="5" t="str">
        <f ca="1">IFERROR(__xludf.DUMMYFUNCTION("""COMPUTED_VALUE"""),"Male")</f>
        <v>Male</v>
      </c>
      <c r="D938" s="5" t="str">
        <f ca="1">IFERROR(__xludf.DUMMYFUNCTION("""COMPUTED_VALUE"""),"Other Staff")</f>
        <v>Other Staff</v>
      </c>
      <c r="E938" s="5" t="str">
        <f ca="1">IFERROR(__xludf.DUMMYFUNCTION("""COMPUTED_VALUE"""),"Adult")</f>
        <v>Adult</v>
      </c>
      <c r="F938" s="5"/>
    </row>
    <row r="939" spans="1:6" ht="13">
      <c r="A939" s="5" t="str">
        <f ca="1">IFERROR(__xludf.DUMMYFUNCTION("""COMPUTED_VALUE"""),"20181005VALAN")</f>
        <v>20181005VALAN</v>
      </c>
      <c r="B939" s="5" t="str">
        <f ca="1">IFERROR(__xludf.DUMMYFUNCTION("""COMPUTED_VALUE"""),"Wounded")</f>
        <v>Wounded</v>
      </c>
      <c r="C939" s="5"/>
      <c r="D939" s="5"/>
      <c r="E939" s="5"/>
      <c r="F939" s="5"/>
    </row>
    <row r="940" spans="1:6" ht="13">
      <c r="A940" s="5" t="str">
        <f ca="1">IFERROR(__xludf.DUMMYFUNCTION("""COMPUTED_VALUE"""),"20181005TNHAB")</f>
        <v>20181005TNHAB</v>
      </c>
      <c r="B940" s="5" t="str">
        <f ca="1">IFERROR(__xludf.DUMMYFUNCTION("""COMPUTED_VALUE"""),"Wounded")</f>
        <v>Wounded</v>
      </c>
      <c r="C940" s="5" t="str">
        <f ca="1">IFERROR(__xludf.DUMMYFUNCTION("""COMPUTED_VALUE"""),"Unknown")</f>
        <v>Unknown</v>
      </c>
      <c r="D940" s="5" t="str">
        <f ca="1">IFERROR(__xludf.DUMMYFUNCTION("""COMPUTED_VALUE"""),"Student")</f>
        <v>Student</v>
      </c>
      <c r="E940" s="5" t="str">
        <f ca="1">IFERROR(__xludf.DUMMYFUNCTION("""COMPUTED_VALUE"""),"Teen")</f>
        <v>Teen</v>
      </c>
      <c r="F940" s="5"/>
    </row>
    <row r="941" spans="1:6" ht="13">
      <c r="A941" s="5" t="str">
        <f ca="1">IFERROR(__xludf.DUMMYFUNCTION("""COMPUTED_VALUE"""),"20181005TNHAB")</f>
        <v>20181005TNHAB</v>
      </c>
      <c r="B941" s="5" t="str">
        <f ca="1">IFERROR(__xludf.DUMMYFUNCTION("""COMPUTED_VALUE"""),"Wounded")</f>
        <v>Wounded</v>
      </c>
      <c r="C941" s="5" t="str">
        <f ca="1">IFERROR(__xludf.DUMMYFUNCTION("""COMPUTED_VALUE"""),"Unknown")</f>
        <v>Unknown</v>
      </c>
      <c r="D941" s="5" t="str">
        <f ca="1">IFERROR(__xludf.DUMMYFUNCTION("""COMPUTED_VALUE"""),"Student")</f>
        <v>Student</v>
      </c>
      <c r="E941" s="5" t="str">
        <f ca="1">IFERROR(__xludf.DUMMYFUNCTION("""COMPUTED_VALUE"""),"Teen")</f>
        <v>Teen</v>
      </c>
      <c r="F941" s="5"/>
    </row>
    <row r="942" spans="1:6" ht="13">
      <c r="A942" s="5" t="str">
        <f ca="1">IFERROR(__xludf.DUMMYFUNCTION("""COMPUTED_VALUE"""),"20181004ORJAP")</f>
        <v>20181004ORJAP</v>
      </c>
      <c r="B942" s="5" t="str">
        <f ca="1">IFERROR(__xludf.DUMMYFUNCTION("""COMPUTED_VALUE"""),"None")</f>
        <v>None</v>
      </c>
      <c r="C942" s="5"/>
      <c r="D942" s="5"/>
      <c r="E942" s="5"/>
      <c r="F942" s="5"/>
    </row>
    <row r="943" spans="1:6" ht="13">
      <c r="A943" s="5" t="str">
        <f ca="1">IFERROR(__xludf.DUMMYFUNCTION("""COMPUTED_VALUE"""),"20181003AKDEA")</f>
        <v>20181003AKDEA</v>
      </c>
      <c r="B943" s="5" t="str">
        <f ca="1">IFERROR(__xludf.DUMMYFUNCTION("""COMPUTED_VALUE"""),"Wounded")</f>
        <v>Wounded</v>
      </c>
      <c r="C943" s="5" t="str">
        <f ca="1">IFERROR(__xludf.DUMMYFUNCTION("""COMPUTED_VALUE"""),"Male")</f>
        <v>Male</v>
      </c>
      <c r="D943" s="5" t="str">
        <f ca="1">IFERROR(__xludf.DUMMYFUNCTION("""COMPUTED_VALUE"""),"Relative")</f>
        <v>Relative</v>
      </c>
      <c r="E943" s="5" t="str">
        <f ca="1">IFERROR(__xludf.DUMMYFUNCTION("""COMPUTED_VALUE"""),"Adult")</f>
        <v>Adult</v>
      </c>
      <c r="F943" s="5"/>
    </row>
    <row r="944" spans="1:6" ht="13">
      <c r="A944" s="5" t="str">
        <f ca="1">IFERROR(__xludf.DUMMYFUNCTION("""COMPUTED_VALUE"""),"20181002ARCHL")</f>
        <v>20181002ARCHL</v>
      </c>
      <c r="B944" s="5" t="str">
        <f ca="1">IFERROR(__xludf.DUMMYFUNCTION("""COMPUTED_VALUE"""),"None")</f>
        <v>None</v>
      </c>
      <c r="C944" s="5"/>
      <c r="D944" s="5"/>
      <c r="E944" s="5"/>
      <c r="F944" s="5"/>
    </row>
    <row r="945" spans="1:6" ht="13">
      <c r="A945" s="5" t="str">
        <f ca="1">IFERROR(__xludf.DUMMYFUNCTION("""COMPUTED_VALUE"""),"20180928SDCHC")</f>
        <v>20180928SDCHC</v>
      </c>
      <c r="B945" s="5" t="str">
        <f ca="1">IFERROR(__xludf.DUMMYFUNCTION("""COMPUTED_VALUE"""),"None")</f>
        <v>None</v>
      </c>
      <c r="C945" s="5" t="str">
        <f ca="1">IFERROR(__xludf.DUMMYFUNCTION("""COMPUTED_VALUE"""),"Male")</f>
        <v>Male</v>
      </c>
      <c r="D945" s="5" t="str">
        <f ca="1">IFERROR(__xludf.DUMMYFUNCTION("""COMPUTED_VALUE"""),"No Relation")</f>
        <v>No Relation</v>
      </c>
      <c r="E945" s="5">
        <f ca="1">IFERROR(__xludf.DUMMYFUNCTION("""COMPUTED_VALUE"""),20)</f>
        <v>20</v>
      </c>
      <c r="F945" s="5"/>
    </row>
    <row r="946" spans="1:6" ht="13">
      <c r="A946" s="5" t="str">
        <f ca="1">IFERROR(__xludf.DUMMYFUNCTION("""COMPUTED_VALUE"""),"20180927TXHEC")</f>
        <v>20180927TXHEC</v>
      </c>
      <c r="B946" s="5" t="str">
        <f ca="1">IFERROR(__xludf.DUMMYFUNCTION("""COMPUTED_VALUE"""),"Wounded")</f>
        <v>Wounded</v>
      </c>
      <c r="C946" s="5" t="str">
        <f ca="1">IFERROR(__xludf.DUMMYFUNCTION("""COMPUTED_VALUE"""),"Male")</f>
        <v>Male</v>
      </c>
      <c r="D946" s="5" t="str">
        <f ca="1">IFERROR(__xludf.DUMMYFUNCTION("""COMPUTED_VALUE"""),"Nonstudent")</f>
        <v>Nonstudent</v>
      </c>
      <c r="E946" s="5">
        <f ca="1">IFERROR(__xludf.DUMMYFUNCTION("""COMPUTED_VALUE"""),31)</f>
        <v>31</v>
      </c>
      <c r="F946" s="5"/>
    </row>
    <row r="947" spans="1:6" ht="13">
      <c r="A947" s="5" t="str">
        <f ca="1">IFERROR(__xludf.DUMMYFUNCTION("""COMPUTED_VALUE"""),"20180926MDMAB")</f>
        <v>20180926MDMAB</v>
      </c>
      <c r="B947" s="5" t="str">
        <f ca="1">IFERROR(__xludf.DUMMYFUNCTION("""COMPUTED_VALUE"""),"None")</f>
        <v>None</v>
      </c>
      <c r="C947" s="5"/>
      <c r="D947" s="5"/>
      <c r="E947" s="5"/>
      <c r="F947" s="5"/>
    </row>
    <row r="948" spans="1:6" ht="13">
      <c r="A948" s="5" t="str">
        <f ca="1">IFERROR(__xludf.DUMMYFUNCTION("""COMPUTED_VALUE"""),"20180924PACEP")</f>
        <v>20180924PACEP</v>
      </c>
      <c r="B948" s="5" t="str">
        <f ca="1">IFERROR(__xludf.DUMMYFUNCTION("""COMPUTED_VALUE"""),"Fatal")</f>
        <v>Fatal</v>
      </c>
      <c r="C948" s="5" t="str">
        <f ca="1">IFERROR(__xludf.DUMMYFUNCTION("""COMPUTED_VALUE"""),"Female")</f>
        <v>Female</v>
      </c>
      <c r="D948" s="5" t="str">
        <f ca="1">IFERROR(__xludf.DUMMYFUNCTION("""COMPUTED_VALUE"""),"Student")</f>
        <v>Student</v>
      </c>
      <c r="E948" s="5">
        <f ca="1">IFERROR(__xludf.DUMMYFUNCTION("""COMPUTED_VALUE"""),17)</f>
        <v>17</v>
      </c>
      <c r="F948" s="5"/>
    </row>
    <row r="949" spans="1:6" ht="13">
      <c r="A949" s="5" t="str">
        <f ca="1">IFERROR(__xludf.DUMMYFUNCTION("""COMPUTED_VALUE"""),"20180924NCLAC")</f>
        <v>20180924NCLAC</v>
      </c>
      <c r="B949" s="5" t="str">
        <f ca="1">IFERROR(__xludf.DUMMYFUNCTION("""COMPUTED_VALUE"""),"None")</f>
        <v>None</v>
      </c>
      <c r="C949" s="5"/>
      <c r="D949" s="5"/>
      <c r="E949" s="5"/>
      <c r="F949" s="5"/>
    </row>
    <row r="950" spans="1:6" ht="13">
      <c r="A950" s="5" t="str">
        <f ca="1">IFERROR(__xludf.DUMMYFUNCTION("""COMPUTED_VALUE"""),"20180924GAAPB")</f>
        <v>20180924GAAPB</v>
      </c>
      <c r="B950" s="5" t="str">
        <f ca="1">IFERROR(__xludf.DUMMYFUNCTION("""COMPUTED_VALUE"""),"None")</f>
        <v>None</v>
      </c>
      <c r="C950" s="5" t="str">
        <f ca="1">IFERROR(__xludf.DUMMYFUNCTION("""COMPUTED_VALUE"""),"Male")</f>
        <v>Male</v>
      </c>
      <c r="D950" s="5" t="str">
        <f ca="1">IFERROR(__xludf.DUMMYFUNCTION("""COMPUTED_VALUE"""),"Student")</f>
        <v>Student</v>
      </c>
      <c r="E950" s="5" t="str">
        <f ca="1">IFERROR(__xludf.DUMMYFUNCTION("""COMPUTED_VALUE"""),"Teen")</f>
        <v>Teen</v>
      </c>
      <c r="F950" s="5"/>
    </row>
    <row r="951" spans="1:6" ht="13">
      <c r="A951" s="5" t="str">
        <f ca="1">IFERROR(__xludf.DUMMYFUNCTION("""COMPUTED_VALUE"""),"20180920CAPOP")</f>
        <v>20180920CAPOP</v>
      </c>
      <c r="B951" s="5" t="str">
        <f ca="1">IFERROR(__xludf.DUMMYFUNCTION("""COMPUTED_VALUE"""),"None")</f>
        <v>None</v>
      </c>
      <c r="C951" s="5"/>
      <c r="D951" s="5"/>
      <c r="E951" s="5"/>
      <c r="F951" s="5"/>
    </row>
    <row r="952" spans="1:6" ht="13">
      <c r="A952" s="5" t="str">
        <f ca="1">IFERROR(__xludf.DUMMYFUNCTION("""COMPUTED_VALUE"""),"20180920CACHL")</f>
        <v>20180920CACHL</v>
      </c>
      <c r="B952" s="5" t="str">
        <f ca="1">IFERROR(__xludf.DUMMYFUNCTION("""COMPUTED_VALUE"""),"Wounded")</f>
        <v>Wounded</v>
      </c>
      <c r="C952" s="5"/>
      <c r="D952" s="5" t="str">
        <f ca="1">IFERROR(__xludf.DUMMYFUNCTION("""COMPUTED_VALUE"""),"Student")</f>
        <v>Student</v>
      </c>
      <c r="E952" s="5" t="str">
        <f ca="1">IFERROR(__xludf.DUMMYFUNCTION("""COMPUTED_VALUE"""),"Teen")</f>
        <v>Teen</v>
      </c>
      <c r="F952" s="5"/>
    </row>
    <row r="953" spans="1:6" ht="13">
      <c r="A953" s="5" t="str">
        <f ca="1">IFERROR(__xludf.DUMMYFUNCTION("""COMPUTED_VALUE"""),"20180920CACHL")</f>
        <v>20180920CACHL</v>
      </c>
      <c r="B953" s="5" t="str">
        <f ca="1">IFERROR(__xludf.DUMMYFUNCTION("""COMPUTED_VALUE"""),"Wounded")</f>
        <v>Wounded</v>
      </c>
      <c r="C953" s="5"/>
      <c r="D953" s="5" t="str">
        <f ca="1">IFERROR(__xludf.DUMMYFUNCTION("""COMPUTED_VALUE"""),"Other Staff")</f>
        <v>Other Staff</v>
      </c>
      <c r="E953" s="5" t="str">
        <f ca="1">IFERROR(__xludf.DUMMYFUNCTION("""COMPUTED_VALUE"""),"Adult")</f>
        <v>Adult</v>
      </c>
      <c r="F953" s="5"/>
    </row>
    <row r="954" spans="1:6" ht="13">
      <c r="A954" s="5" t="str">
        <f ca="1">IFERROR(__xludf.DUMMYFUNCTION("""COMPUTED_VALUE"""),"20180917ALBLH")</f>
        <v>20180917ALBLH</v>
      </c>
      <c r="B954" s="5" t="str">
        <f ca="1">IFERROR(__xludf.DUMMYFUNCTION("""COMPUTED_VALUE"""),"Wounded")</f>
        <v>Wounded</v>
      </c>
      <c r="C954" s="5" t="str">
        <f ca="1">IFERROR(__xludf.DUMMYFUNCTION("""COMPUTED_VALUE"""),"Male")</f>
        <v>Male</v>
      </c>
      <c r="D954" s="5" t="str">
        <f ca="1">IFERROR(__xludf.DUMMYFUNCTION("""COMPUTED_VALUE"""),"Student")</f>
        <v>Student</v>
      </c>
      <c r="E954" s="5">
        <f ca="1">IFERROR(__xludf.DUMMYFUNCTION("""COMPUTED_VALUE"""),7)</f>
        <v>7</v>
      </c>
      <c r="F954" s="5"/>
    </row>
    <row r="955" spans="1:6" ht="13">
      <c r="A955" s="5" t="str">
        <f ca="1">IFERROR(__xludf.DUMMYFUNCTION("""COMPUTED_VALUE"""),"20180914WAMAE")</f>
        <v>20180914WAMAE</v>
      </c>
      <c r="B955" s="5" t="str">
        <f ca="1">IFERROR(__xludf.DUMMYFUNCTION("""COMPUTED_VALUE"""),"None")</f>
        <v>None</v>
      </c>
      <c r="C955" s="5"/>
      <c r="D955" s="5"/>
      <c r="E955" s="5"/>
      <c r="F955" s="5"/>
    </row>
    <row r="956" spans="1:6" ht="13">
      <c r="A956" s="5" t="str">
        <f ca="1">IFERROR(__xludf.DUMMYFUNCTION("""COMPUTED_VALUE"""),"20180914FLBOB")</f>
        <v>20180914FLBOB</v>
      </c>
      <c r="B956" s="5" t="str">
        <f ca="1">IFERROR(__xludf.DUMMYFUNCTION("""COMPUTED_VALUE"""),"None")</f>
        <v>None</v>
      </c>
      <c r="C956" s="5"/>
      <c r="D956" s="5"/>
      <c r="E956" s="5"/>
      <c r="F956" s="5"/>
    </row>
    <row r="957" spans="1:6" ht="13">
      <c r="A957" s="5" t="str">
        <f ca="1">IFERROR(__xludf.DUMMYFUNCTION("""COMPUTED_VALUE"""),"20180911NVCAL")</f>
        <v>20180911NVCAL</v>
      </c>
      <c r="B957" s="5" t="str">
        <f ca="1">IFERROR(__xludf.DUMMYFUNCTION("""COMPUTED_VALUE"""),"Fatal")</f>
        <v>Fatal</v>
      </c>
      <c r="C957" s="5" t="str">
        <f ca="1">IFERROR(__xludf.DUMMYFUNCTION("""COMPUTED_VALUE"""),"Male")</f>
        <v>Male</v>
      </c>
      <c r="D957" s="5" t="str">
        <f ca="1">IFERROR(__xludf.DUMMYFUNCTION("""COMPUTED_VALUE"""),"Student")</f>
        <v>Student</v>
      </c>
      <c r="E957" s="5">
        <f ca="1">IFERROR(__xludf.DUMMYFUNCTION("""COMPUTED_VALUE"""),18)</f>
        <v>18</v>
      </c>
      <c r="F957" s="5"/>
    </row>
    <row r="958" spans="1:6" ht="13">
      <c r="A958" s="5" t="str">
        <f ca="1">IFERROR(__xludf.DUMMYFUNCTION("""COMPUTED_VALUE"""),"20180910TNFAM")</f>
        <v>20180910TNFAM</v>
      </c>
      <c r="B958" s="5" t="str">
        <f ca="1">IFERROR(__xludf.DUMMYFUNCTION("""COMPUTED_VALUE"""),"Wounded")</f>
        <v>Wounded</v>
      </c>
      <c r="C958" s="5" t="str">
        <f ca="1">IFERROR(__xludf.DUMMYFUNCTION("""COMPUTED_VALUE"""),"Female")</f>
        <v>Female</v>
      </c>
      <c r="D958" s="5" t="str">
        <f ca="1">IFERROR(__xludf.DUMMYFUNCTION("""COMPUTED_VALUE"""),"Student")</f>
        <v>Student</v>
      </c>
      <c r="E958" s="5">
        <f ca="1">IFERROR(__xludf.DUMMYFUNCTION("""COMPUTED_VALUE"""),15)</f>
        <v>15</v>
      </c>
      <c r="F958" s="5"/>
    </row>
    <row r="959" spans="1:6" ht="13">
      <c r="A959" s="5" t="str">
        <f ca="1">IFERROR(__xludf.DUMMYFUNCTION("""COMPUTED_VALUE"""),"20180910ILCHC")</f>
        <v>20180910ILCHC</v>
      </c>
      <c r="B959" s="5" t="str">
        <f ca="1">IFERROR(__xludf.DUMMYFUNCTION("""COMPUTED_VALUE"""),"Wounded")</f>
        <v>Wounded</v>
      </c>
      <c r="C959" s="5" t="str">
        <f ca="1">IFERROR(__xludf.DUMMYFUNCTION("""COMPUTED_VALUE"""),"Male")</f>
        <v>Male</v>
      </c>
      <c r="D959" s="5" t="str">
        <f ca="1">IFERROR(__xludf.DUMMYFUNCTION("""COMPUTED_VALUE"""),"Student")</f>
        <v>Student</v>
      </c>
      <c r="E959" s="5">
        <f ca="1">IFERROR(__xludf.DUMMYFUNCTION("""COMPUTED_VALUE"""),16)</f>
        <v>16</v>
      </c>
      <c r="F959" s="5"/>
    </row>
    <row r="960" spans="1:6" ht="13">
      <c r="A960" s="5" t="str">
        <f ca="1">IFERROR(__xludf.DUMMYFUNCTION("""COMPUTED_VALUE"""),"20180910ILCHC")</f>
        <v>20180910ILCHC</v>
      </c>
      <c r="B960" s="5" t="str">
        <f ca="1">IFERROR(__xludf.DUMMYFUNCTION("""COMPUTED_VALUE"""),"Wounded")</f>
        <v>Wounded</v>
      </c>
      <c r="C960" s="5" t="str">
        <f ca="1">IFERROR(__xludf.DUMMYFUNCTION("""COMPUTED_VALUE"""),"Male")</f>
        <v>Male</v>
      </c>
      <c r="D960" s="5" t="str">
        <f ca="1">IFERROR(__xludf.DUMMYFUNCTION("""COMPUTED_VALUE"""),"Student")</f>
        <v>Student</v>
      </c>
      <c r="E960" s="5">
        <f ca="1">IFERROR(__xludf.DUMMYFUNCTION("""COMPUTED_VALUE"""),17)</f>
        <v>17</v>
      </c>
      <c r="F960" s="5"/>
    </row>
    <row r="961" spans="1:6" ht="13">
      <c r="A961" s="5" t="str">
        <f ca="1">IFERROR(__xludf.DUMMYFUNCTION("""COMPUTED_VALUE"""),"20180910ILCHC")</f>
        <v>20180910ILCHC</v>
      </c>
      <c r="B961" s="5" t="str">
        <f ca="1">IFERROR(__xludf.DUMMYFUNCTION("""COMPUTED_VALUE"""),"Wounded")</f>
        <v>Wounded</v>
      </c>
      <c r="C961" s="5" t="str">
        <f ca="1">IFERROR(__xludf.DUMMYFUNCTION("""COMPUTED_VALUE"""),"Male")</f>
        <v>Male</v>
      </c>
      <c r="D961" s="5" t="str">
        <f ca="1">IFERROR(__xludf.DUMMYFUNCTION("""COMPUTED_VALUE"""),"Student")</f>
        <v>Student</v>
      </c>
      <c r="E961" s="5">
        <f ca="1">IFERROR(__xludf.DUMMYFUNCTION("""COMPUTED_VALUE"""),18)</f>
        <v>18</v>
      </c>
      <c r="F961" s="5"/>
    </row>
    <row r="962" spans="1:6" ht="13">
      <c r="A962" s="5" t="str">
        <f ca="1">IFERROR(__xludf.DUMMYFUNCTION("""COMPUTED_VALUE"""),"20180909CAGIG")</f>
        <v>20180909CAGIG</v>
      </c>
      <c r="B962" s="5" t="str">
        <f ca="1">IFERROR(__xludf.DUMMYFUNCTION("""COMPUTED_VALUE"""),"None")</f>
        <v>None</v>
      </c>
      <c r="C962" s="5"/>
      <c r="D962" s="5"/>
      <c r="E962" s="5"/>
      <c r="F962" s="5"/>
    </row>
    <row r="963" spans="1:6" ht="13">
      <c r="A963" s="5" t="str">
        <f ca="1">IFERROR(__xludf.DUMMYFUNCTION("""COMPUTED_VALUE"""),"20180907IAHED")</f>
        <v>20180907IAHED</v>
      </c>
      <c r="B963" s="5" t="str">
        <f ca="1">IFERROR(__xludf.DUMMYFUNCTION("""COMPUTED_VALUE"""),"None")</f>
        <v>None</v>
      </c>
      <c r="C963" s="5"/>
      <c r="D963" s="5"/>
      <c r="E963" s="5"/>
      <c r="F963" s="5"/>
    </row>
    <row r="964" spans="1:6" ht="13">
      <c r="A964" s="5" t="str">
        <f ca="1">IFERROR(__xludf.DUMMYFUNCTION("""COMPUTED_VALUE"""),"20180905RIPRP")</f>
        <v>20180905RIPRP</v>
      </c>
      <c r="B964" s="5" t="str">
        <f ca="1">IFERROR(__xludf.DUMMYFUNCTION("""COMPUTED_VALUE"""),"Fatal")</f>
        <v>Fatal</v>
      </c>
      <c r="C964" s="5" t="str">
        <f ca="1">IFERROR(__xludf.DUMMYFUNCTION("""COMPUTED_VALUE"""),"Male")</f>
        <v>Male</v>
      </c>
      <c r="D964" s="5" t="str">
        <f ca="1">IFERROR(__xludf.DUMMYFUNCTION("""COMPUTED_VALUE"""),"Visiting Student")</f>
        <v>Visiting Student</v>
      </c>
      <c r="E964" s="5">
        <f ca="1">IFERROR(__xludf.DUMMYFUNCTION("""COMPUTED_VALUE"""),15)</f>
        <v>15</v>
      </c>
      <c r="F964" s="5" t="str">
        <f ca="1">IFERROR(__xludf.DUMMYFUNCTION("""COMPUTED_VALUE"""),"Black")</f>
        <v>Black</v>
      </c>
    </row>
    <row r="965" spans="1:6" ht="13">
      <c r="A965" s="5" t="str">
        <f ca="1">IFERROR(__xludf.DUMMYFUNCTION("""COMPUTED_VALUE"""),"20180903NYLUN")</f>
        <v>20180903NYLUN</v>
      </c>
      <c r="B965" s="5" t="str">
        <f ca="1">IFERROR(__xludf.DUMMYFUNCTION("""COMPUTED_VALUE"""),"Fatal")</f>
        <v>Fatal</v>
      </c>
      <c r="C965" s="5" t="str">
        <f ca="1">IFERROR(__xludf.DUMMYFUNCTION("""COMPUTED_VALUE"""),"Male")</f>
        <v>Male</v>
      </c>
      <c r="D965" s="5" t="str">
        <f ca="1">IFERROR(__xludf.DUMMYFUNCTION("""COMPUTED_VALUE"""),"No Relation")</f>
        <v>No Relation</v>
      </c>
      <c r="E965" s="5">
        <f ca="1">IFERROR(__xludf.DUMMYFUNCTION("""COMPUTED_VALUE"""),34)</f>
        <v>34</v>
      </c>
      <c r="F965" s="5" t="str">
        <f ca="1">IFERROR(__xludf.DUMMYFUNCTION("""COMPUTED_VALUE"""),"Black")</f>
        <v>Black</v>
      </c>
    </row>
    <row r="966" spans="1:6" ht="13">
      <c r="A966" s="5" t="str">
        <f ca="1">IFERROR(__xludf.DUMMYFUNCTION("""COMPUTED_VALUE"""),"20180831IANOE")</f>
        <v>20180831IANOE</v>
      </c>
      <c r="B966" s="5" t="str">
        <f ca="1">IFERROR(__xludf.DUMMYFUNCTION("""COMPUTED_VALUE"""),"None")</f>
        <v>None</v>
      </c>
      <c r="C966" s="5" t="str">
        <f ca="1">IFERROR(__xludf.DUMMYFUNCTION("""COMPUTED_VALUE"""),"Female")</f>
        <v>Female</v>
      </c>
      <c r="D966" s="5" t="str">
        <f ca="1">IFERROR(__xludf.DUMMYFUNCTION("""COMPUTED_VALUE"""),"Teacher")</f>
        <v>Teacher</v>
      </c>
      <c r="E966" s="5" t="str">
        <f ca="1">IFERROR(__xludf.DUMMYFUNCTION("""COMPUTED_VALUE"""),"Adult")</f>
        <v>Adult</v>
      </c>
      <c r="F966" s="5"/>
    </row>
    <row r="967" spans="1:6" ht="13">
      <c r="A967" s="5" t="str">
        <f ca="1">IFERROR(__xludf.DUMMYFUNCTION("""COMPUTED_VALUE"""),"20180831CABAS")</f>
        <v>20180831CABAS</v>
      </c>
      <c r="B967" s="5" t="str">
        <f ca="1">IFERROR(__xludf.DUMMYFUNCTION("""COMPUTED_VALUE"""),"None")</f>
        <v>None</v>
      </c>
      <c r="C967" s="5"/>
      <c r="D967" s="5"/>
      <c r="E967" s="5"/>
      <c r="F967" s="5"/>
    </row>
    <row r="968" spans="1:6" ht="13">
      <c r="A968" s="5" t="str">
        <f ca="1">IFERROR(__xludf.DUMMYFUNCTION("""COMPUTED_VALUE"""),"20180830NCVIC")</f>
        <v>20180830NCVIC</v>
      </c>
      <c r="B968" s="5" t="str">
        <f ca="1">IFERROR(__xludf.DUMMYFUNCTION("""COMPUTED_VALUE"""),"None")</f>
        <v>None</v>
      </c>
      <c r="C968" s="5" t="str">
        <f ca="1">IFERROR(__xludf.DUMMYFUNCTION("""COMPUTED_VALUE"""),"Female")</f>
        <v>Female</v>
      </c>
      <c r="D968" s="5" t="str">
        <f ca="1">IFERROR(__xludf.DUMMYFUNCTION("""COMPUTED_VALUE"""),"Intimate Relationship")</f>
        <v>Intimate Relationship</v>
      </c>
      <c r="E968" s="5" t="str">
        <f ca="1">IFERROR(__xludf.DUMMYFUNCTION("""COMPUTED_VALUE"""),"Adult")</f>
        <v>Adult</v>
      </c>
      <c r="F968" s="5"/>
    </row>
    <row r="969" spans="1:6" ht="13">
      <c r="A969" s="5" t="str">
        <f ca="1">IFERROR(__xludf.DUMMYFUNCTION("""COMPUTED_VALUE"""),"20180830MIOTG")</f>
        <v>20180830MIOTG</v>
      </c>
      <c r="B969" s="5" t="str">
        <f ca="1">IFERROR(__xludf.DUMMYFUNCTION("""COMPUTED_VALUE"""),"Wounded")</f>
        <v>Wounded</v>
      </c>
      <c r="C969" s="5" t="str">
        <f ca="1">IFERROR(__xludf.DUMMYFUNCTION("""COMPUTED_VALUE"""),"Male")</f>
        <v>Male</v>
      </c>
      <c r="D969" s="5" t="str">
        <f ca="1">IFERROR(__xludf.DUMMYFUNCTION("""COMPUTED_VALUE"""),"No Relation")</f>
        <v>No Relation</v>
      </c>
      <c r="E969" s="5">
        <f ca="1">IFERROR(__xludf.DUMMYFUNCTION("""COMPUTED_VALUE"""),17)</f>
        <v>17</v>
      </c>
      <c r="F969" s="5"/>
    </row>
    <row r="970" spans="1:6" ht="13">
      <c r="A970" s="5" t="str">
        <f ca="1">IFERROR(__xludf.DUMMYFUNCTION("""COMPUTED_VALUE"""),"20180829DETOD")</f>
        <v>20180829DETOD</v>
      </c>
      <c r="B970" s="5" t="str">
        <f ca="1">IFERROR(__xludf.DUMMYFUNCTION("""COMPUTED_VALUE"""),"Fatal")</f>
        <v>Fatal</v>
      </c>
      <c r="C970" s="5" t="str">
        <f ca="1">IFERROR(__xludf.DUMMYFUNCTION("""COMPUTED_VALUE"""),"Male")</f>
        <v>Male</v>
      </c>
      <c r="D970" s="5" t="str">
        <f ca="1">IFERROR(__xludf.DUMMYFUNCTION("""COMPUTED_VALUE"""),"No Relation")</f>
        <v>No Relation</v>
      </c>
      <c r="E970" s="5">
        <f ca="1">IFERROR(__xludf.DUMMYFUNCTION("""COMPUTED_VALUE"""),39)</f>
        <v>39</v>
      </c>
      <c r="F970" s="5"/>
    </row>
    <row r="971" spans="1:6" ht="13">
      <c r="A971" s="5" t="str">
        <f ca="1">IFERROR(__xludf.DUMMYFUNCTION("""COMPUTED_VALUE"""),"20180828COCOD")</f>
        <v>20180828COCOD</v>
      </c>
      <c r="B971" s="5" t="str">
        <f ca="1">IFERROR(__xludf.DUMMYFUNCTION("""COMPUTED_VALUE"""),"Wounded")</f>
        <v>Wounded</v>
      </c>
      <c r="C971" s="5" t="str">
        <f ca="1">IFERROR(__xludf.DUMMYFUNCTION("""COMPUTED_VALUE"""),"Male")</f>
        <v>Male</v>
      </c>
      <c r="D971" s="5" t="str">
        <f ca="1">IFERROR(__xludf.DUMMYFUNCTION("""COMPUTED_VALUE"""),"Student")</f>
        <v>Student</v>
      </c>
      <c r="E971" s="5" t="str">
        <f ca="1">IFERROR(__xludf.DUMMYFUNCTION("""COMPUTED_VALUE"""),"Teen")</f>
        <v>Teen</v>
      </c>
      <c r="F971" s="5"/>
    </row>
    <row r="972" spans="1:6" ht="13">
      <c r="A972" s="5" t="str">
        <f ca="1">IFERROR(__xludf.DUMMYFUNCTION("""COMPUTED_VALUE"""),"20180824ILMEC")</f>
        <v>20180824ILMEC</v>
      </c>
      <c r="B972" s="5" t="str">
        <f ca="1">IFERROR(__xludf.DUMMYFUNCTION("""COMPUTED_VALUE"""),"Wounded")</f>
        <v>Wounded</v>
      </c>
      <c r="C972" s="5" t="str">
        <f ca="1">IFERROR(__xludf.DUMMYFUNCTION("""COMPUTED_VALUE"""),"Male")</f>
        <v>Male</v>
      </c>
      <c r="D972" s="5" t="str">
        <f ca="1">IFERROR(__xludf.DUMMYFUNCTION("""COMPUTED_VALUE"""),"Gang Member")</f>
        <v>Gang Member</v>
      </c>
      <c r="E972" s="5" t="str">
        <f ca="1">IFERROR(__xludf.DUMMYFUNCTION("""COMPUTED_VALUE"""),"Adult")</f>
        <v>Adult</v>
      </c>
      <c r="F972" s="5"/>
    </row>
    <row r="973" spans="1:6" ht="13">
      <c r="A973" s="5" t="str">
        <f ca="1">IFERROR(__xludf.DUMMYFUNCTION("""COMPUTED_VALUE"""),"20180824ILMEC")</f>
        <v>20180824ILMEC</v>
      </c>
      <c r="B973" s="5" t="str">
        <f ca="1">IFERROR(__xludf.DUMMYFUNCTION("""COMPUTED_VALUE"""),"Wounded")</f>
        <v>Wounded</v>
      </c>
      <c r="C973" s="5" t="str">
        <f ca="1">IFERROR(__xludf.DUMMYFUNCTION("""COMPUTED_VALUE"""),"Male")</f>
        <v>Male</v>
      </c>
      <c r="D973" s="5" t="str">
        <f ca="1">IFERROR(__xludf.DUMMYFUNCTION("""COMPUTED_VALUE"""),"Gang Member")</f>
        <v>Gang Member</v>
      </c>
      <c r="E973" s="5" t="str">
        <f ca="1">IFERROR(__xludf.DUMMYFUNCTION("""COMPUTED_VALUE"""),"Adult")</f>
        <v>Adult</v>
      </c>
      <c r="F973" s="5"/>
    </row>
    <row r="974" spans="1:6" ht="13">
      <c r="A974" s="5" t="str">
        <f ca="1">IFERROR(__xludf.DUMMYFUNCTION("""COMPUTED_VALUE"""),"20180824ILMEC")</f>
        <v>20180824ILMEC</v>
      </c>
      <c r="B974" s="5" t="str">
        <f ca="1">IFERROR(__xludf.DUMMYFUNCTION("""COMPUTED_VALUE"""),"Wounded")</f>
        <v>Wounded</v>
      </c>
      <c r="C974" s="5" t="str">
        <f ca="1">IFERROR(__xludf.DUMMYFUNCTION("""COMPUTED_VALUE"""),"Male")</f>
        <v>Male</v>
      </c>
      <c r="D974" s="5" t="str">
        <f ca="1">IFERROR(__xludf.DUMMYFUNCTION("""COMPUTED_VALUE"""),"Gang Member")</f>
        <v>Gang Member</v>
      </c>
      <c r="E974" s="5" t="str">
        <f ca="1">IFERROR(__xludf.DUMMYFUNCTION("""COMPUTED_VALUE"""),"Adult")</f>
        <v>Adult</v>
      </c>
      <c r="F974" s="5"/>
    </row>
    <row r="975" spans="1:6" ht="13">
      <c r="A975" s="5" t="str">
        <f ca="1">IFERROR(__xludf.DUMMYFUNCTION("""COMPUTED_VALUE"""),"20180824FLRAJ")</f>
        <v>20180824FLRAJ</v>
      </c>
      <c r="B975" s="5" t="str">
        <f ca="1">IFERROR(__xludf.DUMMYFUNCTION("""COMPUTED_VALUE"""),"Fatal")</f>
        <v>Fatal</v>
      </c>
      <c r="C975" s="5" t="str">
        <f ca="1">IFERROR(__xludf.DUMMYFUNCTION("""COMPUTED_VALUE"""),"Male")</f>
        <v>Male</v>
      </c>
      <c r="D975" s="5" t="str">
        <f ca="1">IFERROR(__xludf.DUMMYFUNCTION("""COMPUTED_VALUE"""),"Nonstudent Using Athletic Facilities/Attending Game")</f>
        <v>Nonstudent Using Athletic Facilities/Attending Game</v>
      </c>
      <c r="E975" s="5">
        <f ca="1">IFERROR(__xludf.DUMMYFUNCTION("""COMPUTED_VALUE"""),19)</f>
        <v>19</v>
      </c>
      <c r="F975" s="5"/>
    </row>
    <row r="976" spans="1:6" ht="13">
      <c r="A976" s="5" t="str">
        <f ca="1">IFERROR(__xludf.DUMMYFUNCTION("""COMPUTED_VALUE"""),"20180824FLRAJ")</f>
        <v>20180824FLRAJ</v>
      </c>
      <c r="B976" s="5" t="str">
        <f ca="1">IFERROR(__xludf.DUMMYFUNCTION("""COMPUTED_VALUE"""),"Wounded")</f>
        <v>Wounded</v>
      </c>
      <c r="C976" s="5" t="str">
        <f ca="1">IFERROR(__xludf.DUMMYFUNCTION("""COMPUTED_VALUE"""),"Male")</f>
        <v>Male</v>
      </c>
      <c r="D976" s="5" t="str">
        <f ca="1">IFERROR(__xludf.DUMMYFUNCTION("""COMPUTED_VALUE"""),"Student")</f>
        <v>Student</v>
      </c>
      <c r="E976" s="5">
        <f ca="1">IFERROR(__xludf.DUMMYFUNCTION("""COMPUTED_VALUE"""),17)</f>
        <v>17</v>
      </c>
      <c r="F976" s="5"/>
    </row>
    <row r="977" spans="1:6" ht="13">
      <c r="A977" s="5" t="str">
        <f ca="1">IFERROR(__xludf.DUMMYFUNCTION("""COMPUTED_VALUE"""),"20180824FLRAJ")</f>
        <v>20180824FLRAJ</v>
      </c>
      <c r="B977" s="5" t="str">
        <f ca="1">IFERROR(__xludf.DUMMYFUNCTION("""COMPUTED_VALUE"""),"Wounded")</f>
        <v>Wounded</v>
      </c>
      <c r="C977" s="5" t="str">
        <f ca="1">IFERROR(__xludf.DUMMYFUNCTION("""COMPUTED_VALUE"""),"Male")</f>
        <v>Male</v>
      </c>
      <c r="D977" s="5" t="str">
        <f ca="1">IFERROR(__xludf.DUMMYFUNCTION("""COMPUTED_VALUE"""),"Student")</f>
        <v>Student</v>
      </c>
      <c r="E977" s="5">
        <f ca="1">IFERROR(__xludf.DUMMYFUNCTION("""COMPUTED_VALUE"""),16)</f>
        <v>16</v>
      </c>
      <c r="F977" s="5"/>
    </row>
    <row r="978" spans="1:6" ht="13">
      <c r="A978" s="5" t="str">
        <f ca="1">IFERROR(__xludf.DUMMYFUNCTION("""COMPUTED_VALUE"""),"20180823ALALM")</f>
        <v>20180823ALALM</v>
      </c>
      <c r="B978" s="5" t="str">
        <f ca="1">IFERROR(__xludf.DUMMYFUNCTION("""COMPUTED_VALUE"""),"None")</f>
        <v>None</v>
      </c>
      <c r="C978" s="5"/>
      <c r="D978" s="5"/>
      <c r="E978" s="5"/>
      <c r="F978" s="5"/>
    </row>
    <row r="979" spans="1:6" ht="13">
      <c r="A979" s="5" t="str">
        <f ca="1">IFERROR(__xludf.DUMMYFUNCTION("""COMPUTED_VALUE"""),"20180817FLPAW")</f>
        <v>20180817FLPAW</v>
      </c>
      <c r="B979" s="5" t="str">
        <f ca="1">IFERROR(__xludf.DUMMYFUNCTION("""COMPUTED_VALUE"""),"Wounded")</f>
        <v>Wounded</v>
      </c>
      <c r="C979" s="5" t="str">
        <f ca="1">IFERROR(__xludf.DUMMYFUNCTION("""COMPUTED_VALUE"""),"Male")</f>
        <v>Male</v>
      </c>
      <c r="D979" s="5" t="str">
        <f ca="1">IFERROR(__xludf.DUMMYFUNCTION("""COMPUTED_VALUE"""),"No Relation")</f>
        <v>No Relation</v>
      </c>
      <c r="E979" s="5">
        <f ca="1">IFERROR(__xludf.DUMMYFUNCTION("""COMPUTED_VALUE"""),39)</f>
        <v>39</v>
      </c>
      <c r="F979" s="5"/>
    </row>
    <row r="980" spans="1:6" ht="13">
      <c r="A980" s="5" t="str">
        <f ca="1">IFERROR(__xludf.DUMMYFUNCTION("""COMPUTED_VALUE"""),"20180817FLPAW")</f>
        <v>20180817FLPAW</v>
      </c>
      <c r="B980" s="5" t="str">
        <f ca="1">IFERROR(__xludf.DUMMYFUNCTION("""COMPUTED_VALUE"""),"Wounded")</f>
        <v>Wounded</v>
      </c>
      <c r="C980" s="5" t="str">
        <f ca="1">IFERROR(__xludf.DUMMYFUNCTION("""COMPUTED_VALUE"""),"Male")</f>
        <v>Male</v>
      </c>
      <c r="D980" s="5" t="str">
        <f ca="1">IFERROR(__xludf.DUMMYFUNCTION("""COMPUTED_VALUE"""),"No Relation")</f>
        <v>No Relation</v>
      </c>
      <c r="E980" s="5">
        <f ca="1">IFERROR(__xludf.DUMMYFUNCTION("""COMPUTED_VALUE"""),29)</f>
        <v>29</v>
      </c>
      <c r="F980" s="5"/>
    </row>
    <row r="981" spans="1:6" ht="13">
      <c r="A981" s="5" t="str">
        <f ca="1">IFERROR(__xludf.DUMMYFUNCTION("""COMPUTED_VALUE"""),"20180811TNANN")</f>
        <v>20180811TNANN</v>
      </c>
      <c r="B981" s="5" t="str">
        <f ca="1">IFERROR(__xludf.DUMMYFUNCTION("""COMPUTED_VALUE"""),"Wounded")</f>
        <v>Wounded</v>
      </c>
      <c r="C981" s="5" t="str">
        <f ca="1">IFERROR(__xludf.DUMMYFUNCTION("""COMPUTED_VALUE"""),"Male")</f>
        <v>Male</v>
      </c>
      <c r="D981" s="5" t="str">
        <f ca="1">IFERROR(__xludf.DUMMYFUNCTION("""COMPUTED_VALUE"""),"Other Staff")</f>
        <v>Other Staff</v>
      </c>
      <c r="E981" s="5">
        <f ca="1">IFERROR(__xludf.DUMMYFUNCTION("""COMPUTED_VALUE"""),42)</f>
        <v>42</v>
      </c>
      <c r="F981" s="5"/>
    </row>
    <row r="982" spans="1:6" ht="13">
      <c r="A982" s="5" t="str">
        <f ca="1">IFERROR(__xludf.DUMMYFUNCTION("""COMPUTED_VALUE"""),"20180809NJLAM")</f>
        <v>20180809NJLAM</v>
      </c>
      <c r="B982" s="5" t="str">
        <f ca="1">IFERROR(__xludf.DUMMYFUNCTION("""COMPUTED_VALUE"""),"Fatal")</f>
        <v>Fatal</v>
      </c>
      <c r="C982" s="5" t="str">
        <f ca="1">IFERROR(__xludf.DUMMYFUNCTION("""COMPUTED_VALUE"""),"Male")</f>
        <v>Male</v>
      </c>
      <c r="D982" s="5" t="str">
        <f ca="1">IFERROR(__xludf.DUMMYFUNCTION("""COMPUTED_VALUE"""),"Parent")</f>
        <v>Parent</v>
      </c>
      <c r="E982" s="5">
        <f ca="1">IFERROR(__xludf.DUMMYFUNCTION("""COMPUTED_VALUE"""),37)</f>
        <v>37</v>
      </c>
      <c r="F982" s="5" t="str">
        <f ca="1">IFERROR(__xludf.DUMMYFUNCTION("""COMPUTED_VALUE"""),"Black")</f>
        <v>Black</v>
      </c>
    </row>
    <row r="983" spans="1:6" ht="13">
      <c r="A983" s="5" t="str">
        <f ca="1">IFERROR(__xludf.DUMMYFUNCTION("""COMPUTED_VALUE"""),"20180804MDEDE")</f>
        <v>20180804MDEDE</v>
      </c>
      <c r="B983" s="5" t="str">
        <f ca="1">IFERROR(__xludf.DUMMYFUNCTION("""COMPUTED_VALUE"""),"Fatal")</f>
        <v>Fatal</v>
      </c>
      <c r="C983" s="5" t="str">
        <f ca="1">IFERROR(__xludf.DUMMYFUNCTION("""COMPUTED_VALUE"""),"Male")</f>
        <v>Male</v>
      </c>
      <c r="D983" s="5"/>
      <c r="E983" s="5">
        <f ca="1">IFERROR(__xludf.DUMMYFUNCTION("""COMPUTED_VALUE"""),19)</f>
        <v>19</v>
      </c>
      <c r="F983" s="5"/>
    </row>
    <row r="984" spans="1:6" ht="13">
      <c r="A984" s="5" t="str">
        <f ca="1">IFERROR(__xludf.DUMMYFUNCTION("""COMPUTED_VALUE"""),"20180719WAWEY")</f>
        <v>20180719WAWEY</v>
      </c>
      <c r="B984" s="5" t="str">
        <f ca="1">IFERROR(__xludf.DUMMYFUNCTION("""COMPUTED_VALUE"""),"Fatal")</f>
        <v>Fatal</v>
      </c>
      <c r="C984" s="5" t="str">
        <f ca="1">IFERROR(__xludf.DUMMYFUNCTION("""COMPUTED_VALUE"""),"Male")</f>
        <v>Male</v>
      </c>
      <c r="D984" s="5" t="str">
        <f ca="1">IFERROR(__xludf.DUMMYFUNCTION("""COMPUTED_VALUE"""),"No Relation")</f>
        <v>No Relation</v>
      </c>
      <c r="E984" s="5">
        <f ca="1">IFERROR(__xludf.DUMMYFUNCTION("""COMPUTED_VALUE"""),18)</f>
        <v>18</v>
      </c>
      <c r="F984" s="5" t="str">
        <f ca="1">IFERROR(__xludf.DUMMYFUNCTION("""COMPUTED_VALUE"""),"Hispanic")</f>
        <v>Hispanic</v>
      </c>
    </row>
    <row r="985" spans="1:6" ht="13">
      <c r="A985" s="5" t="str">
        <f ca="1">IFERROR(__xludf.DUMMYFUNCTION("""COMPUTED_VALUE"""),"20180717WVHUH")</f>
        <v>20180717WVHUH</v>
      </c>
      <c r="B985" s="5" t="str">
        <f ca="1">IFERROR(__xludf.DUMMYFUNCTION("""COMPUTED_VALUE"""),"None")</f>
        <v>None</v>
      </c>
      <c r="C985" s="5"/>
      <c r="D985" s="5"/>
      <c r="E985" s="5"/>
      <c r="F985" s="5"/>
    </row>
    <row r="986" spans="1:6" ht="13">
      <c r="A986" s="5" t="str">
        <f ca="1">IFERROR(__xludf.DUMMYFUNCTION("""COMPUTED_VALUE"""),"20180711OHMIM")</f>
        <v>20180711OHMIM</v>
      </c>
      <c r="B986" s="5" t="str">
        <f ca="1">IFERROR(__xludf.DUMMYFUNCTION("""COMPUTED_VALUE"""),"Fatal")</f>
        <v>Fatal</v>
      </c>
      <c r="C986" s="5" t="str">
        <f ca="1">IFERROR(__xludf.DUMMYFUNCTION("""COMPUTED_VALUE"""),"Male")</f>
        <v>Male</v>
      </c>
      <c r="D986" s="5"/>
      <c r="E986" s="5">
        <f ca="1">IFERROR(__xludf.DUMMYFUNCTION("""COMPUTED_VALUE"""),20)</f>
        <v>20</v>
      </c>
      <c r="F986" s="5" t="str">
        <f ca="1">IFERROR(__xludf.DUMMYFUNCTION("""COMPUTED_VALUE"""),"Black")</f>
        <v>Black</v>
      </c>
    </row>
    <row r="987" spans="1:6" ht="13">
      <c r="A987" s="5" t="str">
        <f ca="1">IFERROR(__xludf.DUMMYFUNCTION("""COMPUTED_VALUE"""),"20180703KSSUO")</f>
        <v>20180703KSSUO</v>
      </c>
      <c r="B987" s="5" t="str">
        <f ca="1">IFERROR(__xludf.DUMMYFUNCTION("""COMPUTED_VALUE"""),"Fatal")</f>
        <v>Fatal</v>
      </c>
      <c r="C987" s="5" t="str">
        <f ca="1">IFERROR(__xludf.DUMMYFUNCTION("""COMPUTED_VALUE"""),"Male")</f>
        <v>Male</v>
      </c>
      <c r="D987" s="5" t="str">
        <f ca="1">IFERROR(__xludf.DUMMYFUNCTION("""COMPUTED_VALUE"""),"No Relation")</f>
        <v>No Relation</v>
      </c>
      <c r="E987" s="5">
        <f ca="1">IFERROR(__xludf.DUMMYFUNCTION("""COMPUTED_VALUE"""),47)</f>
        <v>47</v>
      </c>
      <c r="F987" s="5"/>
    </row>
    <row r="988" spans="1:6" ht="13">
      <c r="A988" s="5" t="str">
        <f ca="1">IFERROR(__xludf.DUMMYFUNCTION("""COMPUTED_VALUE"""),"20180703KSSUO")</f>
        <v>20180703KSSUO</v>
      </c>
      <c r="B988" s="5" t="str">
        <f ca="1">IFERROR(__xludf.DUMMYFUNCTION("""COMPUTED_VALUE"""),"Wounded")</f>
        <v>Wounded</v>
      </c>
      <c r="C988" s="5" t="str">
        <f ca="1">IFERROR(__xludf.DUMMYFUNCTION("""COMPUTED_VALUE"""),"Male")</f>
        <v>Male</v>
      </c>
      <c r="D988" s="5" t="str">
        <f ca="1">IFERROR(__xludf.DUMMYFUNCTION("""COMPUTED_VALUE"""),"No Relation")</f>
        <v>No Relation</v>
      </c>
      <c r="E988" s="5" t="str">
        <f ca="1">IFERROR(__xludf.DUMMYFUNCTION("""COMPUTED_VALUE"""),"Adult")</f>
        <v>Adult</v>
      </c>
      <c r="F988" s="5"/>
    </row>
    <row r="989" spans="1:6" ht="13">
      <c r="A989" s="5" t="str">
        <f ca="1">IFERROR(__xludf.DUMMYFUNCTION("""COMPUTED_VALUE"""),"20180701TNRAM")</f>
        <v>20180701TNRAM</v>
      </c>
      <c r="B989" s="5" t="str">
        <f ca="1">IFERROR(__xludf.DUMMYFUNCTION("""COMPUTED_VALUE"""),"Fatal")</f>
        <v>Fatal</v>
      </c>
      <c r="C989" s="5" t="str">
        <f ca="1">IFERROR(__xludf.DUMMYFUNCTION("""COMPUTED_VALUE"""),"Male")</f>
        <v>Male</v>
      </c>
      <c r="D989" s="5" t="str">
        <f ca="1">IFERROR(__xludf.DUMMYFUNCTION("""COMPUTED_VALUE"""),"No Relation")</f>
        <v>No Relation</v>
      </c>
      <c r="E989" s="5" t="str">
        <f ca="1">IFERROR(__xludf.DUMMYFUNCTION("""COMPUTED_VALUE"""),"Adult")</f>
        <v>Adult</v>
      </c>
      <c r="F989" s="5"/>
    </row>
    <row r="990" spans="1:6" ht="13">
      <c r="A990" s="5" t="str">
        <f ca="1">IFERROR(__xludf.DUMMYFUNCTION("""COMPUTED_VALUE"""),"20180625OHFUS")</f>
        <v>20180625OHFUS</v>
      </c>
      <c r="B990" s="5" t="str">
        <f ca="1">IFERROR(__xludf.DUMMYFUNCTION("""COMPUTED_VALUE"""),"Wounded")</f>
        <v>Wounded</v>
      </c>
      <c r="C990" s="5" t="str">
        <f ca="1">IFERROR(__xludf.DUMMYFUNCTION("""COMPUTED_VALUE"""),"Male")</f>
        <v>Male</v>
      </c>
      <c r="D990" s="5" t="str">
        <f ca="1">IFERROR(__xludf.DUMMYFUNCTION("""COMPUTED_VALUE"""),"No Relation")</f>
        <v>No Relation</v>
      </c>
      <c r="E990" s="5" t="str">
        <f ca="1">IFERROR(__xludf.DUMMYFUNCTION("""COMPUTED_VALUE"""),"Adult")</f>
        <v>Adult</v>
      </c>
      <c r="F990" s="5"/>
    </row>
    <row r="991" spans="1:6" ht="13">
      <c r="A991" s="5" t="str">
        <f ca="1">IFERROR(__xludf.DUMMYFUNCTION("""COMPUTED_VALUE"""),"20180624MTSEM")</f>
        <v>20180624MTSEM</v>
      </c>
      <c r="B991" s="5" t="str">
        <f ca="1">IFERROR(__xludf.DUMMYFUNCTION("""COMPUTED_VALUE"""),"Wounded")</f>
        <v>Wounded</v>
      </c>
      <c r="C991" s="5" t="str">
        <f ca="1">IFERROR(__xludf.DUMMYFUNCTION("""COMPUTED_VALUE"""),"Male")</f>
        <v>Male</v>
      </c>
      <c r="D991" s="5" t="str">
        <f ca="1">IFERROR(__xludf.DUMMYFUNCTION("""COMPUTED_VALUE"""),"No Relation")</f>
        <v>No Relation</v>
      </c>
      <c r="E991" s="5" t="str">
        <f ca="1">IFERROR(__xludf.DUMMYFUNCTION("""COMPUTED_VALUE"""),"Teen")</f>
        <v>Teen</v>
      </c>
      <c r="F991" s="5"/>
    </row>
    <row r="992" spans="1:6" ht="13">
      <c r="A992" s="5" t="str">
        <f ca="1">IFERROR(__xludf.DUMMYFUNCTION("""COMPUTED_VALUE"""),"20180624MTSEM")</f>
        <v>20180624MTSEM</v>
      </c>
      <c r="B992" s="5" t="str">
        <f ca="1">IFERROR(__xludf.DUMMYFUNCTION("""COMPUTED_VALUE"""),"Wounded")</f>
        <v>Wounded</v>
      </c>
      <c r="C992" s="5" t="str">
        <f ca="1">IFERROR(__xludf.DUMMYFUNCTION("""COMPUTED_VALUE"""),"Male")</f>
        <v>Male</v>
      </c>
      <c r="D992" s="5" t="str">
        <f ca="1">IFERROR(__xludf.DUMMYFUNCTION("""COMPUTED_VALUE"""),"No Relation")</f>
        <v>No Relation</v>
      </c>
      <c r="E992" s="5" t="str">
        <f ca="1">IFERROR(__xludf.DUMMYFUNCTION("""COMPUTED_VALUE"""),"Teen")</f>
        <v>Teen</v>
      </c>
      <c r="F992" s="5"/>
    </row>
    <row r="993" spans="1:6" ht="13">
      <c r="A993" s="5" t="str">
        <f ca="1">IFERROR(__xludf.DUMMYFUNCTION("""COMPUTED_VALUE"""),"20180621TXSKD")</f>
        <v>20180621TXSKD</v>
      </c>
      <c r="B993" s="5" t="str">
        <f ca="1">IFERROR(__xludf.DUMMYFUNCTION("""COMPUTED_VALUE"""),"Wounded")</f>
        <v>Wounded</v>
      </c>
      <c r="C993" s="5" t="str">
        <f ca="1">IFERROR(__xludf.DUMMYFUNCTION("""COMPUTED_VALUE"""),"Female")</f>
        <v>Female</v>
      </c>
      <c r="D993" s="5" t="str">
        <f ca="1">IFERROR(__xludf.DUMMYFUNCTION("""COMPUTED_VALUE"""),"Student")</f>
        <v>Student</v>
      </c>
      <c r="E993" s="5">
        <f ca="1">IFERROR(__xludf.DUMMYFUNCTION("""COMPUTED_VALUE"""),16)</f>
        <v>16</v>
      </c>
      <c r="F993" s="5"/>
    </row>
    <row r="994" spans="1:6" ht="13">
      <c r="A994" s="5" t="str">
        <f ca="1">IFERROR(__xludf.DUMMYFUNCTION("""COMPUTED_VALUE"""),"20180617ORGRP")</f>
        <v>20180617ORGRP</v>
      </c>
      <c r="B994" s="5" t="str">
        <f ca="1">IFERROR(__xludf.DUMMYFUNCTION("""COMPUTED_VALUE"""),"Fatal")</f>
        <v>Fatal</v>
      </c>
      <c r="C994" s="5" t="str">
        <f ca="1">IFERROR(__xludf.DUMMYFUNCTION("""COMPUTED_VALUE"""),"Male")</f>
        <v>Male</v>
      </c>
      <c r="D994" s="5" t="str">
        <f ca="1">IFERROR(__xludf.DUMMYFUNCTION("""COMPUTED_VALUE"""),"No Relation")</f>
        <v>No Relation</v>
      </c>
      <c r="E994" s="5" t="str">
        <f ca="1">IFERROR(__xludf.DUMMYFUNCTION("""COMPUTED_VALUE"""),"Adult")</f>
        <v>Adult</v>
      </c>
      <c r="F994" s="5"/>
    </row>
    <row r="995" spans="1:6" ht="13">
      <c r="A995" s="5" t="str">
        <f ca="1">IFERROR(__xludf.DUMMYFUNCTION("""COMPUTED_VALUE"""),"20180615OHVAB")</f>
        <v>20180615OHVAB</v>
      </c>
      <c r="B995" s="5" t="str">
        <f ca="1">IFERROR(__xludf.DUMMYFUNCTION("""COMPUTED_VALUE"""),"None")</f>
        <v>None</v>
      </c>
      <c r="C995" s="5" t="str">
        <f ca="1">IFERROR(__xludf.DUMMYFUNCTION("""COMPUTED_VALUE"""),"Female")</f>
        <v>Female</v>
      </c>
      <c r="D995" s="5" t="str">
        <f ca="1">IFERROR(__xludf.DUMMYFUNCTION("""COMPUTED_VALUE"""),"Nonstudent Using Athletic Facilities/Attending Game")</f>
        <v>Nonstudent Using Athletic Facilities/Attending Game</v>
      </c>
      <c r="E995" s="5" t="str">
        <f ca="1">IFERROR(__xludf.DUMMYFUNCTION("""COMPUTED_VALUE"""),"Teen")</f>
        <v>Teen</v>
      </c>
      <c r="F995" s="5"/>
    </row>
    <row r="996" spans="1:6" ht="13">
      <c r="A996" s="5" t="str">
        <f ca="1">IFERROR(__xludf.DUMMYFUNCTION("""COMPUTED_VALUE"""),"20180601TXMCM")</f>
        <v>20180601TXMCM</v>
      </c>
      <c r="B996" s="5" t="str">
        <f ca="1">IFERROR(__xludf.DUMMYFUNCTION("""COMPUTED_VALUE"""),"None")</f>
        <v>None</v>
      </c>
      <c r="C996" s="5" t="str">
        <f ca="1">IFERROR(__xludf.DUMMYFUNCTION("""COMPUTED_VALUE"""),"Unknown")</f>
        <v>Unknown</v>
      </c>
      <c r="D996" s="5" t="str">
        <f ca="1">IFERROR(__xludf.DUMMYFUNCTION("""COMPUTED_VALUE"""),"Student")</f>
        <v>Student</v>
      </c>
      <c r="E996" s="5" t="str">
        <f ca="1">IFERROR(__xludf.DUMMYFUNCTION("""COMPUTED_VALUE"""),"Teen")</f>
        <v>Teen</v>
      </c>
      <c r="F996" s="5"/>
    </row>
    <row r="997" spans="1:6" ht="13">
      <c r="A997" s="5" t="str">
        <f ca="1">IFERROR(__xludf.DUMMYFUNCTION("""COMPUTED_VALUE"""),"20180525INNON")</f>
        <v>20180525INNON</v>
      </c>
      <c r="B997" s="5" t="str">
        <f ca="1">IFERROR(__xludf.DUMMYFUNCTION("""COMPUTED_VALUE"""),"Wounded")</f>
        <v>Wounded</v>
      </c>
      <c r="C997" s="5" t="str">
        <f ca="1">IFERROR(__xludf.DUMMYFUNCTION("""COMPUTED_VALUE"""),"Female")</f>
        <v>Female</v>
      </c>
      <c r="D997" s="5" t="str">
        <f ca="1">IFERROR(__xludf.DUMMYFUNCTION("""COMPUTED_VALUE"""),"Student")</f>
        <v>Student</v>
      </c>
      <c r="E997" s="5" t="str">
        <f ca="1">IFERROR(__xludf.DUMMYFUNCTION("""COMPUTED_VALUE"""),"Adult")</f>
        <v>Adult</v>
      </c>
      <c r="F997" s="5" t="str">
        <f ca="1">IFERROR(__xludf.DUMMYFUNCTION("""COMPUTED_VALUE"""),"White")</f>
        <v>White</v>
      </c>
    </row>
    <row r="998" spans="1:6" ht="13">
      <c r="A998" s="5" t="str">
        <f ca="1">IFERROR(__xludf.DUMMYFUNCTION("""COMPUTED_VALUE"""),"20180525INNON")</f>
        <v>20180525INNON</v>
      </c>
      <c r="B998" s="5" t="str">
        <f ca="1">IFERROR(__xludf.DUMMYFUNCTION("""COMPUTED_VALUE"""),"Wounded")</f>
        <v>Wounded</v>
      </c>
      <c r="C998" s="5" t="str">
        <f ca="1">IFERROR(__xludf.DUMMYFUNCTION("""COMPUTED_VALUE"""),"Male")</f>
        <v>Male</v>
      </c>
      <c r="D998" s="5" t="str">
        <f ca="1">IFERROR(__xludf.DUMMYFUNCTION("""COMPUTED_VALUE"""),"Teacher")</f>
        <v>Teacher</v>
      </c>
      <c r="E998" s="5" t="str">
        <f ca="1">IFERROR(__xludf.DUMMYFUNCTION("""COMPUTED_VALUE"""),"Teen")</f>
        <v>Teen</v>
      </c>
      <c r="F998" s="5" t="str">
        <f ca="1">IFERROR(__xludf.DUMMYFUNCTION("""COMPUTED_VALUE"""),"White")</f>
        <v>White</v>
      </c>
    </row>
    <row r="999" spans="1:6" ht="13">
      <c r="A999" s="5" t="str">
        <f ca="1">IFERROR(__xludf.DUMMYFUNCTION("""COMPUTED_VALUE"""),"20180521GABEG")</f>
        <v>20180521GABEG</v>
      </c>
      <c r="B999" s="5" t="str">
        <f ca="1">IFERROR(__xludf.DUMMYFUNCTION("""COMPUTED_VALUE"""),"Wounded")</f>
        <v>Wounded</v>
      </c>
      <c r="C999" s="5" t="str">
        <f ca="1">IFERROR(__xludf.DUMMYFUNCTION("""COMPUTED_VALUE"""),"Female")</f>
        <v>Female</v>
      </c>
      <c r="D999" s="5" t="str">
        <f ca="1">IFERROR(__xludf.DUMMYFUNCTION("""COMPUTED_VALUE"""),"Parent")</f>
        <v>Parent</v>
      </c>
      <c r="E999" s="5" t="str">
        <f ca="1">IFERROR(__xludf.DUMMYFUNCTION("""COMPUTED_VALUE"""),"Adult")</f>
        <v>Adult</v>
      </c>
      <c r="F999" s="5"/>
    </row>
    <row r="1000" spans="1:6" ht="13">
      <c r="A1000" s="5" t="str">
        <f ca="1">IFERROR(__xludf.DUMMYFUNCTION("""COMPUTED_VALUE"""),"20180518TXSAS")</f>
        <v>20180518TXSAS</v>
      </c>
      <c r="B1000" s="5" t="str">
        <f ca="1">IFERROR(__xludf.DUMMYFUNCTION("""COMPUTED_VALUE"""),"Wounded")</f>
        <v>Wounded</v>
      </c>
      <c r="C1000" s="5"/>
      <c r="D1000" s="5" t="str">
        <f ca="1">IFERROR(__xludf.DUMMYFUNCTION("""COMPUTED_VALUE"""),"Student")</f>
        <v>Student</v>
      </c>
      <c r="E1000" s="5" t="str">
        <f ca="1">IFERROR(__xludf.DUMMYFUNCTION("""COMPUTED_VALUE"""),"Teen")</f>
        <v>Teen</v>
      </c>
      <c r="F1000" s="5"/>
    </row>
    <row r="1001" spans="1:6" ht="13">
      <c r="A1001" s="5" t="str">
        <f ca="1">IFERROR(__xludf.DUMMYFUNCTION("""COMPUTED_VALUE"""),"20180518TXSAS")</f>
        <v>20180518TXSAS</v>
      </c>
      <c r="B1001" s="5" t="str">
        <f ca="1">IFERROR(__xludf.DUMMYFUNCTION("""COMPUTED_VALUE"""),"Fatal")</f>
        <v>Fatal</v>
      </c>
      <c r="C1001" s="5" t="str">
        <f ca="1">IFERROR(__xludf.DUMMYFUNCTION("""COMPUTED_VALUE"""),"Male")</f>
        <v>Male</v>
      </c>
      <c r="D1001" s="5" t="str">
        <f ca="1">IFERROR(__xludf.DUMMYFUNCTION("""COMPUTED_VALUE"""),"Student")</f>
        <v>Student</v>
      </c>
      <c r="E1001" s="5">
        <f ca="1">IFERROR(__xludf.DUMMYFUNCTION("""COMPUTED_VALUE"""),17)</f>
        <v>17</v>
      </c>
      <c r="F1001" s="5"/>
    </row>
    <row r="1002" spans="1:6" ht="13">
      <c r="A1002" s="5" t="str">
        <f ca="1">IFERROR(__xludf.DUMMYFUNCTION("""COMPUTED_VALUE"""),"20180518TXSAS")</f>
        <v>20180518TXSAS</v>
      </c>
      <c r="B1002" s="5" t="str">
        <f ca="1">IFERROR(__xludf.DUMMYFUNCTION("""COMPUTED_VALUE"""),"Fatal")</f>
        <v>Fatal</v>
      </c>
      <c r="C1002" s="5" t="str">
        <f ca="1">IFERROR(__xludf.DUMMYFUNCTION("""COMPUTED_VALUE"""),"Female")</f>
        <v>Female</v>
      </c>
      <c r="D1002" s="5" t="str">
        <f ca="1">IFERROR(__xludf.DUMMYFUNCTION("""COMPUTED_VALUE"""),"Teacher")</f>
        <v>Teacher</v>
      </c>
      <c r="E1002" s="5">
        <f ca="1">IFERROR(__xludf.DUMMYFUNCTION("""COMPUTED_VALUE"""),63)</f>
        <v>63</v>
      </c>
      <c r="F1002" s="5"/>
    </row>
    <row r="1003" spans="1:6" ht="13">
      <c r="A1003" s="5" t="str">
        <f ca="1">IFERROR(__xludf.DUMMYFUNCTION("""COMPUTED_VALUE"""),"20180518TXSAS")</f>
        <v>20180518TXSAS</v>
      </c>
      <c r="B1003" s="5" t="str">
        <f ca="1">IFERROR(__xludf.DUMMYFUNCTION("""COMPUTED_VALUE"""),"Fatal")</f>
        <v>Fatal</v>
      </c>
      <c r="C1003" s="5" t="str">
        <f ca="1">IFERROR(__xludf.DUMMYFUNCTION("""COMPUTED_VALUE"""),"Male")</f>
        <v>Male</v>
      </c>
      <c r="D1003" s="5" t="str">
        <f ca="1">IFERROR(__xludf.DUMMYFUNCTION("""COMPUTED_VALUE"""),"Student")</f>
        <v>Student</v>
      </c>
      <c r="E1003" s="5">
        <f ca="1">IFERROR(__xludf.DUMMYFUNCTION("""COMPUTED_VALUE"""),17)</f>
        <v>17</v>
      </c>
      <c r="F1003" s="5"/>
    </row>
    <row r="1004" spans="1:6" ht="13">
      <c r="A1004" s="5" t="str">
        <f ca="1">IFERROR(__xludf.DUMMYFUNCTION("""COMPUTED_VALUE"""),"20180518TXSAS")</f>
        <v>20180518TXSAS</v>
      </c>
      <c r="B1004" s="5" t="str">
        <f ca="1">IFERROR(__xludf.DUMMYFUNCTION("""COMPUTED_VALUE"""),"Fatal")</f>
        <v>Fatal</v>
      </c>
      <c r="C1004" s="5" t="str">
        <f ca="1">IFERROR(__xludf.DUMMYFUNCTION("""COMPUTED_VALUE"""),"Female")</f>
        <v>Female</v>
      </c>
      <c r="D1004" s="5" t="str">
        <f ca="1">IFERROR(__xludf.DUMMYFUNCTION("""COMPUTED_VALUE"""),"Teacher")</f>
        <v>Teacher</v>
      </c>
      <c r="E1004" s="5">
        <f ca="1">IFERROR(__xludf.DUMMYFUNCTION("""COMPUTED_VALUE"""),64)</f>
        <v>64</v>
      </c>
      <c r="F1004" s="5"/>
    </row>
    <row r="1005" spans="1:6" ht="13">
      <c r="A1005" s="5" t="str">
        <f ca="1">IFERROR(__xludf.DUMMYFUNCTION("""COMPUTED_VALUE"""),"20180518TXSAS")</f>
        <v>20180518TXSAS</v>
      </c>
      <c r="B1005" s="5" t="str">
        <f ca="1">IFERROR(__xludf.DUMMYFUNCTION("""COMPUTED_VALUE"""),"Fatal")</f>
        <v>Fatal</v>
      </c>
      <c r="C1005" s="5" t="str">
        <f ca="1">IFERROR(__xludf.DUMMYFUNCTION("""COMPUTED_VALUE"""),"Male")</f>
        <v>Male</v>
      </c>
      <c r="D1005" s="5" t="str">
        <f ca="1">IFERROR(__xludf.DUMMYFUNCTION("""COMPUTED_VALUE"""),"Student")</f>
        <v>Student</v>
      </c>
      <c r="E1005" s="5">
        <f ca="1">IFERROR(__xludf.DUMMYFUNCTION("""COMPUTED_VALUE"""),17)</f>
        <v>17</v>
      </c>
      <c r="F1005" s="5"/>
    </row>
    <row r="1006" spans="1:6" ht="13">
      <c r="A1006" s="5" t="str">
        <f ca="1">IFERROR(__xludf.DUMMYFUNCTION("""COMPUTED_VALUE"""),"20180518TXSAS")</f>
        <v>20180518TXSAS</v>
      </c>
      <c r="B1006" s="5" t="str">
        <f ca="1">IFERROR(__xludf.DUMMYFUNCTION("""COMPUTED_VALUE"""),"Wounded")</f>
        <v>Wounded</v>
      </c>
      <c r="C1006" s="5"/>
      <c r="D1006" s="5" t="str">
        <f ca="1">IFERROR(__xludf.DUMMYFUNCTION("""COMPUTED_VALUE"""),"Student")</f>
        <v>Student</v>
      </c>
      <c r="E1006" s="5" t="str">
        <f ca="1">IFERROR(__xludf.DUMMYFUNCTION("""COMPUTED_VALUE"""),"Teen")</f>
        <v>Teen</v>
      </c>
      <c r="F1006" s="5"/>
    </row>
    <row r="1007" spans="1:6" ht="13">
      <c r="A1007" s="5" t="str">
        <f ca="1">IFERROR(__xludf.DUMMYFUNCTION("""COMPUTED_VALUE"""),"20180518TXSAS")</f>
        <v>20180518TXSAS</v>
      </c>
      <c r="B1007" s="5" t="str">
        <f ca="1">IFERROR(__xludf.DUMMYFUNCTION("""COMPUTED_VALUE"""),"Fatal")</f>
        <v>Fatal</v>
      </c>
      <c r="C1007" s="5" t="str">
        <f ca="1">IFERROR(__xludf.DUMMYFUNCTION("""COMPUTED_VALUE"""),"Female")</f>
        <v>Female</v>
      </c>
      <c r="D1007" s="5" t="str">
        <f ca="1">IFERROR(__xludf.DUMMYFUNCTION("""COMPUTED_VALUE"""),"Student")</f>
        <v>Student</v>
      </c>
      <c r="E1007" s="5">
        <f ca="1">IFERROR(__xludf.DUMMYFUNCTION("""COMPUTED_VALUE"""),14)</f>
        <v>14</v>
      </c>
      <c r="F1007" s="5"/>
    </row>
    <row r="1008" spans="1:6" ht="13">
      <c r="A1008" s="5" t="str">
        <f ca="1">IFERROR(__xludf.DUMMYFUNCTION("""COMPUTED_VALUE"""),"20180518TXSAS")</f>
        <v>20180518TXSAS</v>
      </c>
      <c r="B1008" s="5" t="str">
        <f ca="1">IFERROR(__xludf.DUMMYFUNCTION("""COMPUTED_VALUE"""),"Fatal")</f>
        <v>Fatal</v>
      </c>
      <c r="C1008" s="5" t="str">
        <f ca="1">IFERROR(__xludf.DUMMYFUNCTION("""COMPUTED_VALUE"""),"Female")</f>
        <v>Female</v>
      </c>
      <c r="D1008" s="5" t="str">
        <f ca="1">IFERROR(__xludf.DUMMYFUNCTION("""COMPUTED_VALUE"""),"Student")</f>
        <v>Student</v>
      </c>
      <c r="E1008" s="5">
        <f ca="1">IFERROR(__xludf.DUMMYFUNCTION("""COMPUTED_VALUE"""),16)</f>
        <v>16</v>
      </c>
      <c r="F1008" s="5"/>
    </row>
    <row r="1009" spans="1:6" ht="13">
      <c r="A1009" s="5" t="str">
        <f ca="1">IFERROR(__xludf.DUMMYFUNCTION("""COMPUTED_VALUE"""),"20180518TXSAS")</f>
        <v>20180518TXSAS</v>
      </c>
      <c r="B1009" s="5" t="str">
        <f ca="1">IFERROR(__xludf.DUMMYFUNCTION("""COMPUTED_VALUE"""),"Wounded")</f>
        <v>Wounded</v>
      </c>
      <c r="C1009" s="5"/>
      <c r="D1009" s="5" t="str">
        <f ca="1">IFERROR(__xludf.DUMMYFUNCTION("""COMPUTED_VALUE"""),"Student")</f>
        <v>Student</v>
      </c>
      <c r="E1009" s="5" t="str">
        <f ca="1">IFERROR(__xludf.DUMMYFUNCTION("""COMPUTED_VALUE"""),"Teen")</f>
        <v>Teen</v>
      </c>
      <c r="F1009" s="5"/>
    </row>
    <row r="1010" spans="1:6" ht="13">
      <c r="A1010" s="5" t="str">
        <f ca="1">IFERROR(__xludf.DUMMYFUNCTION("""COMPUTED_VALUE"""),"20180518TXSAS")</f>
        <v>20180518TXSAS</v>
      </c>
      <c r="B1010" s="5" t="str">
        <f ca="1">IFERROR(__xludf.DUMMYFUNCTION("""COMPUTED_VALUE"""),"Wounded")</f>
        <v>Wounded</v>
      </c>
      <c r="C1010" s="5"/>
      <c r="D1010" s="5" t="str">
        <f ca="1">IFERROR(__xludf.DUMMYFUNCTION("""COMPUTED_VALUE"""),"Student")</f>
        <v>Student</v>
      </c>
      <c r="E1010" s="5" t="str">
        <f ca="1">IFERROR(__xludf.DUMMYFUNCTION("""COMPUTED_VALUE"""),"Teen")</f>
        <v>Teen</v>
      </c>
      <c r="F1010" s="5"/>
    </row>
    <row r="1011" spans="1:6" ht="13">
      <c r="A1011" s="5" t="str">
        <f ca="1">IFERROR(__xludf.DUMMYFUNCTION("""COMPUTED_VALUE"""),"20180518TXSAS")</f>
        <v>20180518TXSAS</v>
      </c>
      <c r="B1011" s="5" t="str">
        <f ca="1">IFERROR(__xludf.DUMMYFUNCTION("""COMPUTED_VALUE"""),"Wounded")</f>
        <v>Wounded</v>
      </c>
      <c r="C1011" s="5"/>
      <c r="D1011" s="5" t="str">
        <f ca="1">IFERROR(__xludf.DUMMYFUNCTION("""COMPUTED_VALUE"""),"Student")</f>
        <v>Student</v>
      </c>
      <c r="E1011" s="5" t="str">
        <f ca="1">IFERROR(__xludf.DUMMYFUNCTION("""COMPUTED_VALUE"""),"Teen")</f>
        <v>Teen</v>
      </c>
      <c r="F1011" s="5"/>
    </row>
    <row r="1012" spans="1:6" ht="13">
      <c r="A1012" s="5" t="str">
        <f ca="1">IFERROR(__xludf.DUMMYFUNCTION("""COMPUTED_VALUE"""),"20180518TXSAS")</f>
        <v>20180518TXSAS</v>
      </c>
      <c r="B1012" s="5" t="str">
        <f ca="1">IFERROR(__xludf.DUMMYFUNCTION("""COMPUTED_VALUE"""),"Fatal")</f>
        <v>Fatal</v>
      </c>
      <c r="C1012" s="5" t="str">
        <f ca="1">IFERROR(__xludf.DUMMYFUNCTION("""COMPUTED_VALUE"""),"Male")</f>
        <v>Male</v>
      </c>
      <c r="D1012" s="5" t="str">
        <f ca="1">IFERROR(__xludf.DUMMYFUNCTION("""COMPUTED_VALUE"""),"Student")</f>
        <v>Student</v>
      </c>
      <c r="E1012" s="5">
        <f ca="1">IFERROR(__xludf.DUMMYFUNCTION("""COMPUTED_VALUE"""),15)</f>
        <v>15</v>
      </c>
      <c r="F1012" s="5"/>
    </row>
    <row r="1013" spans="1:6" ht="13">
      <c r="A1013" s="5" t="str">
        <f ca="1">IFERROR(__xludf.DUMMYFUNCTION("""COMPUTED_VALUE"""),"20180518TXSAS")</f>
        <v>20180518TXSAS</v>
      </c>
      <c r="B1013" s="5" t="str">
        <f ca="1">IFERROR(__xludf.DUMMYFUNCTION("""COMPUTED_VALUE"""),"Wounded")</f>
        <v>Wounded</v>
      </c>
      <c r="C1013" s="5"/>
      <c r="D1013" s="5" t="str">
        <f ca="1">IFERROR(__xludf.DUMMYFUNCTION("""COMPUTED_VALUE"""),"Student")</f>
        <v>Student</v>
      </c>
      <c r="E1013" s="5" t="str">
        <f ca="1">IFERROR(__xludf.DUMMYFUNCTION("""COMPUTED_VALUE"""),"Teen")</f>
        <v>Teen</v>
      </c>
      <c r="F1013" s="5"/>
    </row>
    <row r="1014" spans="1:6" ht="13">
      <c r="A1014" s="5" t="str">
        <f ca="1">IFERROR(__xludf.DUMMYFUNCTION("""COMPUTED_VALUE"""),"20180518TXSAS")</f>
        <v>20180518TXSAS</v>
      </c>
      <c r="B1014" s="5" t="str">
        <f ca="1">IFERROR(__xludf.DUMMYFUNCTION("""COMPUTED_VALUE"""),"Wounded")</f>
        <v>Wounded</v>
      </c>
      <c r="C1014" s="5"/>
      <c r="D1014" s="5" t="str">
        <f ca="1">IFERROR(__xludf.DUMMYFUNCTION("""COMPUTED_VALUE"""),"Student")</f>
        <v>Student</v>
      </c>
      <c r="E1014" s="5" t="str">
        <f ca="1">IFERROR(__xludf.DUMMYFUNCTION("""COMPUTED_VALUE"""),"Teen")</f>
        <v>Teen</v>
      </c>
      <c r="F1014" s="5"/>
    </row>
    <row r="1015" spans="1:6" ht="13">
      <c r="A1015" s="5" t="str">
        <f ca="1">IFERROR(__xludf.DUMMYFUNCTION("""COMPUTED_VALUE"""),"20180518TXSAS")</f>
        <v>20180518TXSAS</v>
      </c>
      <c r="B1015" s="5" t="str">
        <f ca="1">IFERROR(__xludf.DUMMYFUNCTION("""COMPUTED_VALUE"""),"Wounded")</f>
        <v>Wounded</v>
      </c>
      <c r="C1015" s="5"/>
      <c r="D1015" s="5" t="str">
        <f ca="1">IFERROR(__xludf.DUMMYFUNCTION("""COMPUTED_VALUE"""),"Student")</f>
        <v>Student</v>
      </c>
      <c r="E1015" s="5" t="str">
        <f ca="1">IFERROR(__xludf.DUMMYFUNCTION("""COMPUTED_VALUE"""),"Teen")</f>
        <v>Teen</v>
      </c>
      <c r="F1015" s="5"/>
    </row>
    <row r="1016" spans="1:6" ht="13">
      <c r="A1016" s="5" t="str">
        <f ca="1">IFERROR(__xludf.DUMMYFUNCTION("""COMPUTED_VALUE"""),"20180518TXSAS")</f>
        <v>20180518TXSAS</v>
      </c>
      <c r="B1016" s="5" t="str">
        <f ca="1">IFERROR(__xludf.DUMMYFUNCTION("""COMPUTED_VALUE"""),"Fatal")</f>
        <v>Fatal</v>
      </c>
      <c r="C1016" s="5" t="str">
        <f ca="1">IFERROR(__xludf.DUMMYFUNCTION("""COMPUTED_VALUE"""),"Male")</f>
        <v>Male</v>
      </c>
      <c r="D1016" s="5" t="str">
        <f ca="1">IFERROR(__xludf.DUMMYFUNCTION("""COMPUTED_VALUE"""),"Student")</f>
        <v>Student</v>
      </c>
      <c r="E1016" s="5">
        <f ca="1">IFERROR(__xludf.DUMMYFUNCTION("""COMPUTED_VALUE"""),15)</f>
        <v>15</v>
      </c>
      <c r="F1016" s="5"/>
    </row>
    <row r="1017" spans="1:6" ht="13">
      <c r="A1017" s="5" t="str">
        <f ca="1">IFERROR(__xludf.DUMMYFUNCTION("""COMPUTED_VALUE"""),"20180518TXSAS")</f>
        <v>20180518TXSAS</v>
      </c>
      <c r="B1017" s="5" t="str">
        <f ca="1">IFERROR(__xludf.DUMMYFUNCTION("""COMPUTED_VALUE"""),"Wounded")</f>
        <v>Wounded</v>
      </c>
      <c r="C1017" s="5"/>
      <c r="D1017" s="5" t="str">
        <f ca="1">IFERROR(__xludf.DUMMYFUNCTION("""COMPUTED_VALUE"""),"Student")</f>
        <v>Student</v>
      </c>
      <c r="E1017" s="5" t="str">
        <f ca="1">IFERROR(__xludf.DUMMYFUNCTION("""COMPUTED_VALUE"""),"Teen")</f>
        <v>Teen</v>
      </c>
      <c r="F1017" s="5"/>
    </row>
    <row r="1018" spans="1:6" ht="13">
      <c r="A1018" s="5" t="str">
        <f ca="1">IFERROR(__xludf.DUMMYFUNCTION("""COMPUTED_VALUE"""),"20180518TXSAS")</f>
        <v>20180518TXSAS</v>
      </c>
      <c r="B1018" s="5" t="str">
        <f ca="1">IFERROR(__xludf.DUMMYFUNCTION("""COMPUTED_VALUE"""),"Wounded")</f>
        <v>Wounded</v>
      </c>
      <c r="C1018" s="5"/>
      <c r="D1018" s="5" t="str">
        <f ca="1">IFERROR(__xludf.DUMMYFUNCTION("""COMPUTED_VALUE"""),"Student")</f>
        <v>Student</v>
      </c>
      <c r="E1018" s="5" t="str">
        <f ca="1">IFERROR(__xludf.DUMMYFUNCTION("""COMPUTED_VALUE"""),"Teen")</f>
        <v>Teen</v>
      </c>
      <c r="F1018" s="5"/>
    </row>
    <row r="1019" spans="1:6" ht="13">
      <c r="A1019" s="5" t="str">
        <f ca="1">IFERROR(__xludf.DUMMYFUNCTION("""COMPUTED_VALUE"""),"20180518TXSAS")</f>
        <v>20180518TXSAS</v>
      </c>
      <c r="B1019" s="5" t="str">
        <f ca="1">IFERROR(__xludf.DUMMYFUNCTION("""COMPUTED_VALUE"""),"Wounded")</f>
        <v>Wounded</v>
      </c>
      <c r="C1019" s="5"/>
      <c r="D1019" s="5" t="str">
        <f ca="1">IFERROR(__xludf.DUMMYFUNCTION("""COMPUTED_VALUE"""),"Student")</f>
        <v>Student</v>
      </c>
      <c r="E1019" s="5" t="str">
        <f ca="1">IFERROR(__xludf.DUMMYFUNCTION("""COMPUTED_VALUE"""),"Teen")</f>
        <v>Teen</v>
      </c>
      <c r="F1019" s="5"/>
    </row>
    <row r="1020" spans="1:6" ht="13">
      <c r="A1020" s="5" t="str">
        <f ca="1">IFERROR(__xludf.DUMMYFUNCTION("""COMPUTED_VALUE"""),"20180518TXSAS")</f>
        <v>20180518TXSAS</v>
      </c>
      <c r="B1020" s="5" t="str">
        <f ca="1">IFERROR(__xludf.DUMMYFUNCTION("""COMPUTED_VALUE"""),"Fatal")</f>
        <v>Fatal</v>
      </c>
      <c r="C1020" s="5" t="str">
        <f ca="1">IFERROR(__xludf.DUMMYFUNCTION("""COMPUTED_VALUE"""),"Female")</f>
        <v>Female</v>
      </c>
      <c r="D1020" s="5" t="str">
        <f ca="1">IFERROR(__xludf.DUMMYFUNCTION("""COMPUTED_VALUE"""),"Student")</f>
        <v>Student</v>
      </c>
      <c r="E1020" s="5">
        <f ca="1">IFERROR(__xludf.DUMMYFUNCTION("""COMPUTED_VALUE"""),15)</f>
        <v>15</v>
      </c>
      <c r="F1020" s="5"/>
    </row>
    <row r="1021" spans="1:6" ht="13">
      <c r="A1021" s="5" t="str">
        <f ca="1">IFERROR(__xludf.DUMMYFUNCTION("""COMPUTED_VALUE"""),"20180518TXSAS")</f>
        <v>20180518TXSAS</v>
      </c>
      <c r="B1021" s="5" t="str">
        <f ca="1">IFERROR(__xludf.DUMMYFUNCTION("""COMPUTED_VALUE"""),"Wounded")</f>
        <v>Wounded</v>
      </c>
      <c r="C1021" s="5"/>
      <c r="D1021" s="5" t="str">
        <f ca="1">IFERROR(__xludf.DUMMYFUNCTION("""COMPUTED_VALUE"""),"Student")</f>
        <v>Student</v>
      </c>
      <c r="E1021" s="5" t="str">
        <f ca="1">IFERROR(__xludf.DUMMYFUNCTION("""COMPUTED_VALUE"""),"Teen")</f>
        <v>Teen</v>
      </c>
      <c r="F1021" s="5"/>
    </row>
    <row r="1022" spans="1:6" ht="13">
      <c r="A1022" s="5" t="str">
        <f ca="1">IFERROR(__xludf.DUMMYFUNCTION("""COMPUTED_VALUE"""),"20180518TXSAS")</f>
        <v>20180518TXSAS</v>
      </c>
      <c r="B1022" s="5" t="str">
        <f ca="1">IFERROR(__xludf.DUMMYFUNCTION("""COMPUTED_VALUE"""),"Wounded")</f>
        <v>Wounded</v>
      </c>
      <c r="C1022" s="5"/>
      <c r="D1022" s="5" t="str">
        <f ca="1">IFERROR(__xludf.DUMMYFUNCTION("""COMPUTED_VALUE"""),"Student")</f>
        <v>Student</v>
      </c>
      <c r="E1022" s="5" t="str">
        <f ca="1">IFERROR(__xludf.DUMMYFUNCTION("""COMPUTED_VALUE"""),"Teen")</f>
        <v>Teen</v>
      </c>
      <c r="F1022" s="5"/>
    </row>
    <row r="1023" spans="1:6" ht="13">
      <c r="A1023" s="5" t="str">
        <f ca="1">IFERROR(__xludf.DUMMYFUNCTION("""COMPUTED_VALUE"""),"20180518GAMOA")</f>
        <v>20180518GAMOA</v>
      </c>
      <c r="B1023" s="5" t="str">
        <f ca="1">IFERROR(__xludf.DUMMYFUNCTION("""COMPUTED_VALUE"""),"Fatal")</f>
        <v>Fatal</v>
      </c>
      <c r="C1023" s="5" t="str">
        <f ca="1">IFERROR(__xludf.DUMMYFUNCTION("""COMPUTED_VALUE"""),"Female")</f>
        <v>Female</v>
      </c>
      <c r="D1023" s="5" t="str">
        <f ca="1">IFERROR(__xludf.DUMMYFUNCTION("""COMPUTED_VALUE"""),"Relative")</f>
        <v>Relative</v>
      </c>
      <c r="E1023" s="5">
        <f ca="1">IFERROR(__xludf.DUMMYFUNCTION("""COMPUTED_VALUE"""),40)</f>
        <v>40</v>
      </c>
      <c r="F1023" s="5"/>
    </row>
    <row r="1024" spans="1:6" ht="13">
      <c r="A1024" s="5" t="str">
        <f ca="1">IFERROR(__xludf.DUMMYFUNCTION("""COMPUTED_VALUE"""),"20180518GAMOA")</f>
        <v>20180518GAMOA</v>
      </c>
      <c r="B1024" s="5" t="str">
        <f ca="1">IFERROR(__xludf.DUMMYFUNCTION("""COMPUTED_VALUE"""),"Wounded")</f>
        <v>Wounded</v>
      </c>
      <c r="C1024" s="5" t="str">
        <f ca="1">IFERROR(__xludf.DUMMYFUNCTION("""COMPUTED_VALUE"""),"Female")</f>
        <v>Female</v>
      </c>
      <c r="D1024" s="5" t="str">
        <f ca="1">IFERROR(__xludf.DUMMYFUNCTION("""COMPUTED_VALUE"""),"Relative")</f>
        <v>Relative</v>
      </c>
      <c r="E1024" s="5">
        <f ca="1">IFERROR(__xludf.DUMMYFUNCTION("""COMPUTED_VALUE"""),21)</f>
        <v>21</v>
      </c>
      <c r="F1024" s="5"/>
    </row>
    <row r="1025" spans="1:6" ht="13">
      <c r="A1025" s="5" t="str">
        <f ca="1">IFERROR(__xludf.DUMMYFUNCTION("""COMPUTED_VALUE"""),"20180518GAMOA")</f>
        <v>20180518GAMOA</v>
      </c>
      <c r="B1025" s="5" t="str">
        <f ca="1">IFERROR(__xludf.DUMMYFUNCTION("""COMPUTED_VALUE"""),"Wounded")</f>
        <v>Wounded</v>
      </c>
      <c r="C1025" s="5" t="str">
        <f ca="1">IFERROR(__xludf.DUMMYFUNCTION("""COMPUTED_VALUE"""),"Female")</f>
        <v>Female</v>
      </c>
      <c r="D1025" s="5" t="str">
        <f ca="1">IFERROR(__xludf.DUMMYFUNCTION("""COMPUTED_VALUE"""),"Relative")</f>
        <v>Relative</v>
      </c>
      <c r="E1025" s="5" t="str">
        <f ca="1">IFERROR(__xludf.DUMMYFUNCTION("""COMPUTED_VALUE"""),"Adult")</f>
        <v>Adult</v>
      </c>
      <c r="F1025" s="5"/>
    </row>
    <row r="1026" spans="1:6" ht="13">
      <c r="A1026" s="5" t="str">
        <f ca="1">IFERROR(__xludf.DUMMYFUNCTION("""COMPUTED_VALUE"""),"20180517MOCEK")</f>
        <v>20180517MOCEK</v>
      </c>
      <c r="B1026" s="5" t="str">
        <f ca="1">IFERROR(__xludf.DUMMYFUNCTION("""COMPUTED_VALUE"""),"Wounded")</f>
        <v>Wounded</v>
      </c>
      <c r="C1026" s="5"/>
      <c r="D1026" s="5" t="str">
        <f ca="1">IFERROR(__xludf.DUMMYFUNCTION("""COMPUTED_VALUE"""),"Relative")</f>
        <v>Relative</v>
      </c>
      <c r="E1026" s="5" t="str">
        <f ca="1">IFERROR(__xludf.DUMMYFUNCTION("""COMPUTED_VALUE"""),"Adult")</f>
        <v>Adult</v>
      </c>
      <c r="F1026" s="5"/>
    </row>
    <row r="1027" spans="1:6" ht="13">
      <c r="A1027" s="5" t="str">
        <f ca="1">IFERROR(__xludf.DUMMYFUNCTION("""COMPUTED_VALUE"""),"20180517MOCEK")</f>
        <v>20180517MOCEK</v>
      </c>
      <c r="B1027" s="5" t="str">
        <f ca="1">IFERROR(__xludf.DUMMYFUNCTION("""COMPUTED_VALUE"""),"Wounded")</f>
        <v>Wounded</v>
      </c>
      <c r="C1027" s="5"/>
      <c r="D1027" s="5" t="str">
        <f ca="1">IFERROR(__xludf.DUMMYFUNCTION("""COMPUTED_VALUE"""),"Student")</f>
        <v>Student</v>
      </c>
      <c r="E1027" s="5" t="str">
        <f ca="1">IFERROR(__xludf.DUMMYFUNCTION("""COMPUTED_VALUE"""),"Teen")</f>
        <v>Teen</v>
      </c>
      <c r="F1027" s="5"/>
    </row>
    <row r="1028" spans="1:6" ht="13">
      <c r="A1028" s="5" t="str">
        <f ca="1">IFERROR(__xludf.DUMMYFUNCTION("""COMPUTED_VALUE"""),"20180516ILDID")</f>
        <v>20180516ILDID</v>
      </c>
      <c r="B1028" s="5" t="str">
        <f ca="1">IFERROR(__xludf.DUMMYFUNCTION("""COMPUTED_VALUE"""),"Wounded")</f>
        <v>Wounded</v>
      </c>
      <c r="C1028" s="5" t="str">
        <f ca="1">IFERROR(__xludf.DUMMYFUNCTION("""COMPUTED_VALUE"""),"Male")</f>
        <v>Male</v>
      </c>
      <c r="D1028" s="5" t="str">
        <f ca="1">IFERROR(__xludf.DUMMYFUNCTION("""COMPUTED_VALUE"""),"Student")</f>
        <v>Student</v>
      </c>
      <c r="E1028" s="5"/>
      <c r="F1028" s="5"/>
    </row>
    <row r="1029" spans="1:6" ht="13">
      <c r="A1029" s="5" t="str">
        <f ca="1">IFERROR(__xludf.DUMMYFUNCTION("""COMPUTED_VALUE"""),"20180511CAHIP")</f>
        <v>20180511CAHIP</v>
      </c>
      <c r="B1029" s="5" t="str">
        <f ca="1">IFERROR(__xludf.DUMMYFUNCTION("""COMPUTED_VALUE"""),"Wounded")</f>
        <v>Wounded</v>
      </c>
      <c r="C1029" s="5" t="str">
        <f ca="1">IFERROR(__xludf.DUMMYFUNCTION("""COMPUTED_VALUE"""),"Male")</f>
        <v>Male</v>
      </c>
      <c r="D1029" s="5" t="str">
        <f ca="1">IFERROR(__xludf.DUMMYFUNCTION("""COMPUTED_VALUE"""),"Student")</f>
        <v>Student</v>
      </c>
      <c r="E1029" s="5">
        <f ca="1">IFERROR(__xludf.DUMMYFUNCTION("""COMPUTED_VALUE"""),15)</f>
        <v>15</v>
      </c>
      <c r="F1029" s="5"/>
    </row>
    <row r="1030" spans="1:6" ht="13">
      <c r="A1030" s="5" t="str">
        <f ca="1">IFERROR(__xludf.DUMMYFUNCTION("""COMPUTED_VALUE"""),"20180505MIFOF")</f>
        <v>20180505MIFOF</v>
      </c>
      <c r="B1030" s="5" t="str">
        <f ca="1">IFERROR(__xludf.DUMMYFUNCTION("""COMPUTED_VALUE"""),"None")</f>
        <v>None</v>
      </c>
      <c r="C1030" s="5"/>
      <c r="D1030" s="5"/>
      <c r="E1030" s="5"/>
      <c r="F1030" s="5"/>
    </row>
    <row r="1031" spans="1:6" ht="13">
      <c r="A1031" s="5" t="str">
        <f ca="1">IFERROR(__xludf.DUMMYFUNCTION("""COMPUTED_VALUE"""),"20180503TNWAW")</f>
        <v>20180503TNWAW</v>
      </c>
      <c r="B1031" s="5" t="str">
        <f ca="1">IFERROR(__xludf.DUMMYFUNCTION("""COMPUTED_VALUE"""),"None")</f>
        <v>None</v>
      </c>
      <c r="C1031" s="5"/>
      <c r="D1031" s="5"/>
      <c r="E1031" s="5"/>
      <c r="F1031" s="5"/>
    </row>
    <row r="1032" spans="1:6" ht="13">
      <c r="A1032" s="5" t="str">
        <f ca="1">IFERROR(__xludf.DUMMYFUNCTION("""COMPUTED_VALUE"""),"20180503SDENW")</f>
        <v>20180503SDENW</v>
      </c>
      <c r="B1032" s="5" t="str">
        <f ca="1">IFERROR(__xludf.DUMMYFUNCTION("""COMPUTED_VALUE"""),"Wounded")</f>
        <v>Wounded</v>
      </c>
      <c r="C1032" s="5" t="str">
        <f ca="1">IFERROR(__xludf.DUMMYFUNCTION("""COMPUTED_VALUE"""),"Male")</f>
        <v>Male</v>
      </c>
      <c r="D1032" s="5" t="str">
        <f ca="1">IFERROR(__xludf.DUMMYFUNCTION("""COMPUTED_VALUE"""),"Other Staff")</f>
        <v>Other Staff</v>
      </c>
      <c r="E1032" s="5">
        <f ca="1">IFERROR(__xludf.DUMMYFUNCTION("""COMPUTED_VALUE"""),19)</f>
        <v>19</v>
      </c>
      <c r="F1032" s="5"/>
    </row>
    <row r="1033" spans="1:6" ht="13">
      <c r="A1033" s="5" t="str">
        <f ca="1">IFERROR(__xludf.DUMMYFUNCTION("""COMPUTED_VALUE"""),"20180425NMHIA")</f>
        <v>20180425NMHIA</v>
      </c>
      <c r="B1033" s="5" t="str">
        <f ca="1">IFERROR(__xludf.DUMMYFUNCTION("""COMPUTED_VALUE"""),"Wounded")</f>
        <v>Wounded</v>
      </c>
      <c r="C1033" s="5" t="str">
        <f ca="1">IFERROR(__xludf.DUMMYFUNCTION("""COMPUTED_VALUE"""),"Male")</f>
        <v>Male</v>
      </c>
      <c r="D1033" s="5" t="str">
        <f ca="1">IFERROR(__xludf.DUMMYFUNCTION("""COMPUTED_VALUE"""),"Parent")</f>
        <v>Parent</v>
      </c>
      <c r="E1033" s="5" t="str">
        <f ca="1">IFERROR(__xludf.DUMMYFUNCTION("""COMPUTED_VALUE"""),"Adult")</f>
        <v>Adult</v>
      </c>
      <c r="F1033" s="5"/>
    </row>
    <row r="1034" spans="1:6" ht="13">
      <c r="A1034" s="5" t="str">
        <f ca="1">IFERROR(__xludf.DUMMYFUNCTION("""COMPUTED_VALUE"""),"20180423GABEA")</f>
        <v>20180423GABEA</v>
      </c>
      <c r="B1034" s="5" t="str">
        <f ca="1">IFERROR(__xludf.DUMMYFUNCTION("""COMPUTED_VALUE"""),"None")</f>
        <v>None</v>
      </c>
      <c r="C1034" s="5"/>
      <c r="D1034" s="5"/>
      <c r="E1034" s="5"/>
      <c r="F1034" s="5"/>
    </row>
    <row r="1035" spans="1:6" ht="13">
      <c r="A1035" s="5" t="str">
        <f ca="1">IFERROR(__xludf.DUMMYFUNCTION("""COMPUTED_VALUE"""),"20180420FLFOO")</f>
        <v>20180420FLFOO</v>
      </c>
      <c r="B1035" s="5" t="str">
        <f ca="1">IFERROR(__xludf.DUMMYFUNCTION("""COMPUTED_VALUE"""),"Wounded")</f>
        <v>Wounded</v>
      </c>
      <c r="C1035" s="5" t="str">
        <f ca="1">IFERROR(__xludf.DUMMYFUNCTION("""COMPUTED_VALUE"""),"Male")</f>
        <v>Male</v>
      </c>
      <c r="D1035" s="5" t="str">
        <f ca="1">IFERROR(__xludf.DUMMYFUNCTION("""COMPUTED_VALUE"""),"Student")</f>
        <v>Student</v>
      </c>
      <c r="E1035" s="5" t="str">
        <f ca="1">IFERROR(__xludf.DUMMYFUNCTION("""COMPUTED_VALUE"""),"Teen")</f>
        <v>Teen</v>
      </c>
      <c r="F1035" s="5"/>
    </row>
    <row r="1036" spans="1:6" ht="13">
      <c r="A1036" s="5" t="str">
        <f ca="1">IFERROR(__xludf.DUMMYFUNCTION("""COMPUTED_VALUE"""),"20180419MIJAJ")</f>
        <v>20180419MIJAJ</v>
      </c>
      <c r="B1036" s="5" t="str">
        <f ca="1">IFERROR(__xludf.DUMMYFUNCTION("""COMPUTED_VALUE"""),"None")</f>
        <v>None</v>
      </c>
      <c r="C1036" s="5"/>
      <c r="D1036" s="5"/>
      <c r="E1036" s="5"/>
      <c r="F1036" s="5"/>
    </row>
    <row r="1037" spans="1:6" ht="13">
      <c r="A1037" s="5" t="str">
        <f ca="1">IFERROR(__xludf.DUMMYFUNCTION("""COMPUTED_VALUE"""),"20180412MORAR")</f>
        <v>20180412MORAR</v>
      </c>
      <c r="B1037" s="5" t="str">
        <f ca="1">IFERROR(__xludf.DUMMYFUNCTION("""COMPUTED_VALUE"""),"Wounded")</f>
        <v>Wounded</v>
      </c>
      <c r="C1037" s="5" t="str">
        <f ca="1">IFERROR(__xludf.DUMMYFUNCTION("""COMPUTED_VALUE"""),"Male")</f>
        <v>Male</v>
      </c>
      <c r="D1037" s="5" t="str">
        <f ca="1">IFERROR(__xludf.DUMMYFUNCTION("""COMPUTED_VALUE"""),"Parent")</f>
        <v>Parent</v>
      </c>
      <c r="E1037" s="5" t="str">
        <f ca="1">IFERROR(__xludf.DUMMYFUNCTION("""COMPUTED_VALUE"""),"Adult")</f>
        <v>Adult</v>
      </c>
      <c r="F1037" s="5"/>
    </row>
    <row r="1038" spans="1:6" ht="13">
      <c r="A1038" s="5" t="str">
        <f ca="1">IFERROR(__xludf.DUMMYFUNCTION("""COMPUTED_VALUE"""),"20180409NYGLG")</f>
        <v>20180409NYGLG</v>
      </c>
      <c r="B1038" s="5" t="str">
        <f ca="1">IFERROR(__xludf.DUMMYFUNCTION("""COMPUTED_VALUE"""),"Wounded")</f>
        <v>Wounded</v>
      </c>
      <c r="C1038" s="5" t="str">
        <f ca="1">IFERROR(__xludf.DUMMYFUNCTION("""COMPUTED_VALUE"""),"Male")</f>
        <v>Male</v>
      </c>
      <c r="D1038" s="5" t="str">
        <f ca="1">IFERROR(__xludf.DUMMYFUNCTION("""COMPUTED_VALUE"""),"Student")</f>
        <v>Student</v>
      </c>
      <c r="E1038" s="5" t="str">
        <f ca="1">IFERROR(__xludf.DUMMYFUNCTION("""COMPUTED_VALUE"""),"Teen")</f>
        <v>Teen</v>
      </c>
      <c r="F1038" s="5"/>
    </row>
    <row r="1039" spans="1:6" ht="13">
      <c r="A1039" s="5" t="str">
        <f ca="1">IFERROR(__xludf.DUMMYFUNCTION("""COMPUTED_VALUE"""),"20180329KYJOE")</f>
        <v>20180329KYJOE</v>
      </c>
      <c r="B1039" s="5" t="str">
        <f ca="1">IFERROR(__xludf.DUMMYFUNCTION("""COMPUTED_VALUE"""),"None")</f>
        <v>None</v>
      </c>
      <c r="C1039" s="5" t="str">
        <f ca="1">IFERROR(__xludf.DUMMYFUNCTION("""COMPUTED_VALUE"""),"Male")</f>
        <v>Male</v>
      </c>
      <c r="D1039" s="5" t="str">
        <f ca="1">IFERROR(__xludf.DUMMYFUNCTION("""COMPUTED_VALUE"""),"Parent")</f>
        <v>Parent</v>
      </c>
      <c r="E1039" s="5">
        <f ca="1">IFERROR(__xludf.DUMMYFUNCTION("""COMPUTED_VALUE"""),51)</f>
        <v>51</v>
      </c>
      <c r="F1039" s="5" t="str">
        <f ca="1">IFERROR(__xludf.DUMMYFUNCTION("""COMPUTED_VALUE"""),"White")</f>
        <v>White</v>
      </c>
    </row>
    <row r="1040" spans="1:6" ht="13">
      <c r="A1040" s="5" t="str">
        <f ca="1">IFERROR(__xludf.DUMMYFUNCTION("""COMPUTED_VALUE"""),"20180328MSEUE")</f>
        <v>20180328MSEUE</v>
      </c>
      <c r="B1040" s="5" t="str">
        <f ca="1">IFERROR(__xludf.DUMMYFUNCTION("""COMPUTED_VALUE"""),"None")</f>
        <v>None</v>
      </c>
      <c r="C1040" s="5"/>
      <c r="D1040" s="5"/>
      <c r="E1040" s="5"/>
      <c r="F1040" s="5"/>
    </row>
    <row r="1041" spans="1:6" ht="13">
      <c r="A1041" s="5" t="str">
        <f ca="1">IFERROR(__xludf.DUMMYFUNCTION("""COMPUTED_VALUE"""),"20180320MDGRG")</f>
        <v>20180320MDGRG</v>
      </c>
      <c r="B1041" s="5" t="str">
        <f ca="1">IFERROR(__xludf.DUMMYFUNCTION("""COMPUTED_VALUE"""),"Fatal")</f>
        <v>Fatal</v>
      </c>
      <c r="C1041" s="5" t="str">
        <f ca="1">IFERROR(__xludf.DUMMYFUNCTION("""COMPUTED_VALUE"""),"Male")</f>
        <v>Male</v>
      </c>
      <c r="D1041" s="5" t="str">
        <f ca="1">IFERROR(__xludf.DUMMYFUNCTION("""COMPUTED_VALUE"""),"Student")</f>
        <v>Student</v>
      </c>
      <c r="E1041" s="5" t="str">
        <f ca="1">IFERROR(__xludf.DUMMYFUNCTION("""COMPUTED_VALUE"""),"Teen")</f>
        <v>Teen</v>
      </c>
      <c r="F1041" s="5" t="str">
        <f ca="1">IFERROR(__xludf.DUMMYFUNCTION("""COMPUTED_VALUE"""),"White")</f>
        <v>White</v>
      </c>
    </row>
    <row r="1042" spans="1:6" ht="13">
      <c r="A1042" s="5" t="str">
        <f ca="1">IFERROR(__xludf.DUMMYFUNCTION("""COMPUTED_VALUE"""),"20180320MDGRG")</f>
        <v>20180320MDGRG</v>
      </c>
      <c r="B1042" s="5" t="str">
        <f ca="1">IFERROR(__xludf.DUMMYFUNCTION("""COMPUTED_VALUE"""),"Wounded")</f>
        <v>Wounded</v>
      </c>
      <c r="C1042" s="5" t="str">
        <f ca="1">IFERROR(__xludf.DUMMYFUNCTION("""COMPUTED_VALUE"""),"Female")</f>
        <v>Female</v>
      </c>
      <c r="D1042" s="5" t="str">
        <f ca="1">IFERROR(__xludf.DUMMYFUNCTION("""COMPUTED_VALUE"""),"Student")</f>
        <v>Student</v>
      </c>
      <c r="E1042" s="5" t="str">
        <f ca="1">IFERROR(__xludf.DUMMYFUNCTION("""COMPUTED_VALUE"""),"Teen")</f>
        <v>Teen</v>
      </c>
      <c r="F1042" s="5" t="str">
        <f ca="1">IFERROR(__xludf.DUMMYFUNCTION("""COMPUTED_VALUE"""),"White")</f>
        <v>White</v>
      </c>
    </row>
    <row r="1043" spans="1:6" ht="13">
      <c r="A1043" s="5" t="str">
        <f ca="1">IFERROR(__xludf.DUMMYFUNCTION("""COMPUTED_VALUE"""),"20180319VADOP")</f>
        <v>20180319VADOP</v>
      </c>
      <c r="B1043" s="5" t="str">
        <f ca="1">IFERROR(__xludf.DUMMYFUNCTION("""COMPUTED_VALUE"""),"Wounded")</f>
        <v>Wounded</v>
      </c>
      <c r="C1043" s="5" t="str">
        <f ca="1">IFERROR(__xludf.DUMMYFUNCTION("""COMPUTED_VALUE"""),"Female")</f>
        <v>Female</v>
      </c>
      <c r="D1043" s="5" t="str">
        <f ca="1">IFERROR(__xludf.DUMMYFUNCTION("""COMPUTED_VALUE"""),"Parent")</f>
        <v>Parent</v>
      </c>
      <c r="E1043" s="5" t="str">
        <f ca="1">IFERROR(__xludf.DUMMYFUNCTION("""COMPUTED_VALUE"""),"Adult")</f>
        <v>Adult</v>
      </c>
      <c r="F1043" s="5"/>
    </row>
    <row r="1044" spans="1:6" ht="13">
      <c r="A1044" s="5" t="str">
        <f ca="1">IFERROR(__xludf.DUMMYFUNCTION("""COMPUTED_VALUE"""),"20180316MTBIM")</f>
        <v>20180316MTBIM</v>
      </c>
      <c r="B1044" s="5" t="str">
        <f ca="1">IFERROR(__xludf.DUMMYFUNCTION("""COMPUTED_VALUE"""),"None")</f>
        <v>None</v>
      </c>
      <c r="C1044" s="5"/>
      <c r="D1044" s="5"/>
      <c r="E1044" s="5"/>
      <c r="F1044" s="5"/>
    </row>
    <row r="1045" spans="1:6" ht="13">
      <c r="A1045" s="5" t="str">
        <f ca="1">IFERROR(__xludf.DUMMYFUNCTION("""COMPUTED_VALUE"""),"20180313VAGEA")</f>
        <v>20180313VAGEA</v>
      </c>
      <c r="B1045" s="5" t="str">
        <f ca="1">IFERROR(__xludf.DUMMYFUNCTION("""COMPUTED_VALUE"""),"None")</f>
        <v>None</v>
      </c>
      <c r="C1045" s="5"/>
      <c r="D1045" s="5"/>
      <c r="E1045" s="5"/>
      <c r="F1045" s="5"/>
    </row>
    <row r="1046" spans="1:6" ht="13">
      <c r="A1046" s="5" t="str">
        <f ca="1">IFERROR(__xludf.DUMMYFUNCTION("""COMPUTED_VALUE"""),"20180313CASES")</f>
        <v>20180313CASES</v>
      </c>
      <c r="B1046" s="5" t="str">
        <f ca="1">IFERROR(__xludf.DUMMYFUNCTION("""COMPUTED_VALUE"""),"Minor Injuries")</f>
        <v>Minor Injuries</v>
      </c>
      <c r="C1046" s="5"/>
      <c r="D1046" s="5" t="str">
        <f ca="1">IFERROR(__xludf.DUMMYFUNCTION("""COMPUTED_VALUE"""),"Student")</f>
        <v>Student</v>
      </c>
      <c r="E1046" s="5" t="str">
        <f ca="1">IFERROR(__xludf.DUMMYFUNCTION("""COMPUTED_VALUE"""),"Teen")</f>
        <v>Teen</v>
      </c>
      <c r="F1046" s="5"/>
    </row>
    <row r="1047" spans="1:6" ht="13">
      <c r="A1047" s="5" t="str">
        <f ca="1">IFERROR(__xludf.DUMMYFUNCTION("""COMPUTED_VALUE"""),"20180313CASES")</f>
        <v>20180313CASES</v>
      </c>
      <c r="B1047" s="5" t="str">
        <f ca="1">IFERROR(__xludf.DUMMYFUNCTION("""COMPUTED_VALUE"""),"Minor Injuries")</f>
        <v>Minor Injuries</v>
      </c>
      <c r="C1047" s="5"/>
      <c r="D1047" s="5" t="str">
        <f ca="1">IFERROR(__xludf.DUMMYFUNCTION("""COMPUTED_VALUE"""),"Student")</f>
        <v>Student</v>
      </c>
      <c r="E1047" s="5" t="str">
        <f ca="1">IFERROR(__xludf.DUMMYFUNCTION("""COMPUTED_VALUE"""),"Teen")</f>
        <v>Teen</v>
      </c>
      <c r="F1047" s="5"/>
    </row>
    <row r="1048" spans="1:6" ht="13">
      <c r="A1048" s="5" t="str">
        <f ca="1">IFERROR(__xludf.DUMMYFUNCTION("""COMPUTED_VALUE"""),"20180313CASES")</f>
        <v>20180313CASES</v>
      </c>
      <c r="B1048" s="5" t="str">
        <f ca="1">IFERROR(__xludf.DUMMYFUNCTION("""COMPUTED_VALUE"""),"Minor Injuries")</f>
        <v>Minor Injuries</v>
      </c>
      <c r="C1048" s="5"/>
      <c r="D1048" s="5" t="str">
        <f ca="1">IFERROR(__xludf.DUMMYFUNCTION("""COMPUTED_VALUE"""),"Student")</f>
        <v>Student</v>
      </c>
      <c r="E1048" s="5" t="str">
        <f ca="1">IFERROR(__xludf.DUMMYFUNCTION("""COMPUTED_VALUE"""),"Teen")</f>
        <v>Teen</v>
      </c>
      <c r="F1048" s="5"/>
    </row>
    <row r="1049" spans="1:6" ht="13">
      <c r="A1049" s="5" t="str">
        <f ca="1">IFERROR(__xludf.DUMMYFUNCTION("""COMPUTED_VALUE"""),"20180309KYFRL")</f>
        <v>20180309KYFRL</v>
      </c>
      <c r="B1049" s="5" t="str">
        <f ca="1">IFERROR(__xludf.DUMMYFUNCTION("""COMPUTED_VALUE"""),"None")</f>
        <v>None</v>
      </c>
      <c r="C1049" s="5" t="str">
        <f ca="1">IFERROR(__xludf.DUMMYFUNCTION("""COMPUTED_VALUE"""),"Male")</f>
        <v>Male</v>
      </c>
      <c r="D1049" s="5" t="str">
        <f ca="1">IFERROR(__xludf.DUMMYFUNCTION("""COMPUTED_VALUE"""),"Student")</f>
        <v>Student</v>
      </c>
      <c r="E1049" s="5" t="str">
        <f ca="1">IFERROR(__xludf.DUMMYFUNCTION("""COMPUTED_VALUE"""),"Teen")</f>
        <v>Teen</v>
      </c>
      <c r="F1049" s="5"/>
    </row>
    <row r="1050" spans="1:6" ht="13">
      <c r="A1050" s="5" t="str">
        <f ca="1">IFERROR(__xludf.DUMMYFUNCTION("""COMPUTED_VALUE"""),"20180307ALHUB")</f>
        <v>20180307ALHUB</v>
      </c>
      <c r="B1050" s="5" t="str">
        <f ca="1">IFERROR(__xludf.DUMMYFUNCTION("""COMPUTED_VALUE"""),"Fatal")</f>
        <v>Fatal</v>
      </c>
      <c r="C1050" s="5" t="str">
        <f ca="1">IFERROR(__xludf.DUMMYFUNCTION("""COMPUTED_VALUE"""),"Female")</f>
        <v>Female</v>
      </c>
      <c r="D1050" s="5" t="str">
        <f ca="1">IFERROR(__xludf.DUMMYFUNCTION("""COMPUTED_VALUE"""),"Student")</f>
        <v>Student</v>
      </c>
      <c r="E1050" s="5" t="str">
        <f ca="1">IFERROR(__xludf.DUMMYFUNCTION("""COMPUTED_VALUE"""),"Teen")</f>
        <v>Teen</v>
      </c>
      <c r="F1050" s="5" t="str">
        <f ca="1">IFERROR(__xludf.DUMMYFUNCTION("""COMPUTED_VALUE"""),"Black")</f>
        <v>Black</v>
      </c>
    </row>
    <row r="1051" spans="1:6" ht="13">
      <c r="A1051" s="5" t="str">
        <f ca="1">IFERROR(__xludf.DUMMYFUNCTION("""COMPUTED_VALUE"""),"20180305MOKIC")</f>
        <v>20180305MOKIC</v>
      </c>
      <c r="B1051" s="5" t="str">
        <f ca="1">IFERROR(__xludf.DUMMYFUNCTION("""COMPUTED_VALUE"""),"None")</f>
        <v>None</v>
      </c>
      <c r="C1051" s="5"/>
      <c r="D1051" s="5"/>
      <c r="E1051" s="5"/>
      <c r="F1051" s="5"/>
    </row>
    <row r="1052" spans="1:6" ht="13">
      <c r="A1052" s="5" t="str">
        <f ca="1">IFERROR(__xludf.DUMMYFUNCTION("""COMPUTED_VALUE"""),"20180228GADAD")</f>
        <v>20180228GADAD</v>
      </c>
      <c r="B1052" s="5" t="str">
        <f ca="1">IFERROR(__xludf.DUMMYFUNCTION("""COMPUTED_VALUE"""),"None")</f>
        <v>None</v>
      </c>
      <c r="C1052" s="5"/>
      <c r="D1052" s="5"/>
      <c r="E1052" s="5"/>
      <c r="F1052" s="5"/>
    </row>
    <row r="1053" spans="1:6" ht="13">
      <c r="A1053" s="5" t="str">
        <f ca="1">IFERROR(__xludf.DUMMYFUNCTION("""COMPUTED_VALUE"""),"20180226WAOAT")</f>
        <v>20180226WAOAT</v>
      </c>
      <c r="B1053" s="5" t="str">
        <f ca="1">IFERROR(__xludf.DUMMYFUNCTION("""COMPUTED_VALUE"""),"None")</f>
        <v>None</v>
      </c>
      <c r="C1053" s="5"/>
      <c r="D1053" s="5"/>
      <c r="E1053" s="5"/>
      <c r="F1053" s="5"/>
    </row>
    <row r="1054" spans="1:6" ht="13">
      <c r="A1054" s="5" t="str">
        <f ca="1">IFERROR(__xludf.DUMMYFUNCTION("""COMPUTED_VALUE"""),"20180220OHJAM")</f>
        <v>20180220OHJAM</v>
      </c>
      <c r="B1054" s="5" t="str">
        <f ca="1">IFERROR(__xludf.DUMMYFUNCTION("""COMPUTED_VALUE"""),"None")</f>
        <v>None</v>
      </c>
      <c r="C1054" s="5" t="str">
        <f ca="1">IFERROR(__xludf.DUMMYFUNCTION("""COMPUTED_VALUE"""),"Male")</f>
        <v>Male</v>
      </c>
      <c r="D1054" s="5" t="str">
        <f ca="1">IFERROR(__xludf.DUMMYFUNCTION("""COMPUTED_VALUE"""),"Student")</f>
        <v>Student</v>
      </c>
      <c r="E1054" s="5">
        <f ca="1">IFERROR(__xludf.DUMMYFUNCTION("""COMPUTED_VALUE"""),13)</f>
        <v>13</v>
      </c>
      <c r="F1054" s="5"/>
    </row>
    <row r="1055" spans="1:6" ht="13">
      <c r="A1055" s="5" t="str">
        <f ca="1">IFERROR(__xludf.DUMMYFUNCTION("""COMPUTED_VALUE"""),"20180215FLNOC")</f>
        <v>20180215FLNOC</v>
      </c>
      <c r="B1055" s="5" t="str">
        <f ca="1">IFERROR(__xludf.DUMMYFUNCTION("""COMPUTED_VALUE"""),"None")</f>
        <v>None</v>
      </c>
      <c r="C1055" s="5"/>
      <c r="D1055" s="5"/>
      <c r="E1055" s="5"/>
      <c r="F1055" s="5"/>
    </row>
    <row r="1056" spans="1:6" ht="13">
      <c r="A1056" s="5" t="str">
        <f ca="1">IFERROR(__xludf.DUMMYFUNCTION("""COMPUTED_VALUE"""),"20180214FLMAP")</f>
        <v>20180214FLMAP</v>
      </c>
      <c r="B1056" s="5" t="str">
        <f ca="1">IFERROR(__xludf.DUMMYFUNCTION("""COMPUTED_VALUE"""),"Wounded")</f>
        <v>Wounded</v>
      </c>
      <c r="C1056" s="5" t="str">
        <f ca="1">IFERROR(__xludf.DUMMYFUNCTION("""COMPUTED_VALUE"""),"Female")</f>
        <v>Female</v>
      </c>
      <c r="D1056" s="5" t="str">
        <f ca="1">IFERROR(__xludf.DUMMYFUNCTION("""COMPUTED_VALUE"""),"Teacher")</f>
        <v>Teacher</v>
      </c>
      <c r="E1056" s="5">
        <f ca="1">IFERROR(__xludf.DUMMYFUNCTION("""COMPUTED_VALUE"""),50)</f>
        <v>50</v>
      </c>
      <c r="F1056" s="5"/>
    </row>
    <row r="1057" spans="1:6" ht="13">
      <c r="A1057" s="5" t="str">
        <f ca="1">IFERROR(__xludf.DUMMYFUNCTION("""COMPUTED_VALUE"""),"20180214FLMAP")</f>
        <v>20180214FLMAP</v>
      </c>
      <c r="B1057" s="5" t="str">
        <f ca="1">IFERROR(__xludf.DUMMYFUNCTION("""COMPUTED_VALUE"""),"Fatal")</f>
        <v>Fatal</v>
      </c>
      <c r="C1057" s="5" t="str">
        <f ca="1">IFERROR(__xludf.DUMMYFUNCTION("""COMPUTED_VALUE"""),"Female")</f>
        <v>Female</v>
      </c>
      <c r="D1057" s="5" t="str">
        <f ca="1">IFERROR(__xludf.DUMMYFUNCTION("""COMPUTED_VALUE"""),"Student")</f>
        <v>Student</v>
      </c>
      <c r="E1057" s="5">
        <f ca="1">IFERROR(__xludf.DUMMYFUNCTION("""COMPUTED_VALUE"""),14)</f>
        <v>14</v>
      </c>
      <c r="F1057" s="5"/>
    </row>
    <row r="1058" spans="1:6" ht="13">
      <c r="A1058" s="5" t="str">
        <f ca="1">IFERROR(__xludf.DUMMYFUNCTION("""COMPUTED_VALUE"""),"20180214FLMAP")</f>
        <v>20180214FLMAP</v>
      </c>
      <c r="B1058" s="5" t="str">
        <f ca="1">IFERROR(__xludf.DUMMYFUNCTION("""COMPUTED_VALUE"""),"Wounded")</f>
        <v>Wounded</v>
      </c>
      <c r="C1058" s="5" t="str">
        <f ca="1">IFERROR(__xludf.DUMMYFUNCTION("""COMPUTED_VALUE"""),"Female")</f>
        <v>Female</v>
      </c>
      <c r="D1058" s="5" t="str">
        <f ca="1">IFERROR(__xludf.DUMMYFUNCTION("""COMPUTED_VALUE"""),"Student")</f>
        <v>Student</v>
      </c>
      <c r="E1058" s="5">
        <f ca="1">IFERROR(__xludf.DUMMYFUNCTION("""COMPUTED_VALUE"""),18)</f>
        <v>18</v>
      </c>
      <c r="F1058" s="5"/>
    </row>
    <row r="1059" spans="1:6" ht="13">
      <c r="A1059" s="5" t="str">
        <f ca="1">IFERROR(__xludf.DUMMYFUNCTION("""COMPUTED_VALUE"""),"20180214FLMAP")</f>
        <v>20180214FLMAP</v>
      </c>
      <c r="B1059" s="5" t="str">
        <f ca="1">IFERROR(__xludf.DUMMYFUNCTION("""COMPUTED_VALUE"""),"Wounded")</f>
        <v>Wounded</v>
      </c>
      <c r="C1059" s="5" t="str">
        <f ca="1">IFERROR(__xludf.DUMMYFUNCTION("""COMPUTED_VALUE"""),"Female")</f>
        <v>Female</v>
      </c>
      <c r="D1059" s="5" t="str">
        <f ca="1">IFERROR(__xludf.DUMMYFUNCTION("""COMPUTED_VALUE"""),"Student")</f>
        <v>Student</v>
      </c>
      <c r="E1059" s="5" t="str">
        <f ca="1">IFERROR(__xludf.DUMMYFUNCTION("""COMPUTED_VALUE"""),"Teen")</f>
        <v>Teen</v>
      </c>
      <c r="F1059" s="5"/>
    </row>
    <row r="1060" spans="1:6" ht="13">
      <c r="A1060" s="5" t="str">
        <f ca="1">IFERROR(__xludf.DUMMYFUNCTION("""COMPUTED_VALUE"""),"20180214FLMAP")</f>
        <v>20180214FLMAP</v>
      </c>
      <c r="B1060" s="5" t="str">
        <f ca="1">IFERROR(__xludf.DUMMYFUNCTION("""COMPUTED_VALUE"""),"Fatal")</f>
        <v>Fatal</v>
      </c>
      <c r="C1060" s="5" t="str">
        <f ca="1">IFERROR(__xludf.DUMMYFUNCTION("""COMPUTED_VALUE"""),"Female")</f>
        <v>Female</v>
      </c>
      <c r="D1060" s="5" t="str">
        <f ca="1">IFERROR(__xludf.DUMMYFUNCTION("""COMPUTED_VALUE"""),"Student")</f>
        <v>Student</v>
      </c>
      <c r="E1060" s="5">
        <f ca="1">IFERROR(__xludf.DUMMYFUNCTION("""COMPUTED_VALUE"""),18)</f>
        <v>18</v>
      </c>
      <c r="F1060" s="5"/>
    </row>
    <row r="1061" spans="1:6" ht="13">
      <c r="A1061" s="5" t="str">
        <f ca="1">IFERROR(__xludf.DUMMYFUNCTION("""COMPUTED_VALUE"""),"20180214FLMAP")</f>
        <v>20180214FLMAP</v>
      </c>
      <c r="B1061" s="5" t="str">
        <f ca="1">IFERROR(__xludf.DUMMYFUNCTION("""COMPUTED_VALUE"""),"Wounded")</f>
        <v>Wounded</v>
      </c>
      <c r="C1061" s="5" t="str">
        <f ca="1">IFERROR(__xludf.DUMMYFUNCTION("""COMPUTED_VALUE"""),"Female")</f>
        <v>Female</v>
      </c>
      <c r="D1061" s="5" t="str">
        <f ca="1">IFERROR(__xludf.DUMMYFUNCTION("""COMPUTED_VALUE"""),"Student")</f>
        <v>Student</v>
      </c>
      <c r="E1061" s="5" t="str">
        <f ca="1">IFERROR(__xludf.DUMMYFUNCTION("""COMPUTED_VALUE"""),"Teen")</f>
        <v>Teen</v>
      </c>
      <c r="F1061" s="5"/>
    </row>
    <row r="1062" spans="1:6" ht="13">
      <c r="A1062" s="5" t="str">
        <f ca="1">IFERROR(__xludf.DUMMYFUNCTION("""COMPUTED_VALUE"""),"20180214FLMAP")</f>
        <v>20180214FLMAP</v>
      </c>
      <c r="B1062" s="5" t="str">
        <f ca="1">IFERROR(__xludf.DUMMYFUNCTION("""COMPUTED_VALUE"""),"Wounded")</f>
        <v>Wounded</v>
      </c>
      <c r="C1062" s="5" t="str">
        <f ca="1">IFERROR(__xludf.DUMMYFUNCTION("""COMPUTED_VALUE"""),"Female")</f>
        <v>Female</v>
      </c>
      <c r="D1062" s="5" t="str">
        <f ca="1">IFERROR(__xludf.DUMMYFUNCTION("""COMPUTED_VALUE"""),"Student")</f>
        <v>Student</v>
      </c>
      <c r="E1062" s="5">
        <f ca="1">IFERROR(__xludf.DUMMYFUNCTION("""COMPUTED_VALUE"""),17)</f>
        <v>17</v>
      </c>
      <c r="F1062" s="5"/>
    </row>
    <row r="1063" spans="1:6" ht="13">
      <c r="A1063" s="5" t="str">
        <f ca="1">IFERROR(__xludf.DUMMYFUNCTION("""COMPUTED_VALUE"""),"20180214FLMAP")</f>
        <v>20180214FLMAP</v>
      </c>
      <c r="B1063" s="5" t="str">
        <f ca="1">IFERROR(__xludf.DUMMYFUNCTION("""COMPUTED_VALUE"""),"Fatal")</f>
        <v>Fatal</v>
      </c>
      <c r="C1063" s="5" t="str">
        <f ca="1">IFERROR(__xludf.DUMMYFUNCTION("""COMPUTED_VALUE"""),"Male")</f>
        <v>Male</v>
      </c>
      <c r="D1063" s="5" t="str">
        <f ca="1">IFERROR(__xludf.DUMMYFUNCTION("""COMPUTED_VALUE"""),"Teacher")</f>
        <v>Teacher</v>
      </c>
      <c r="E1063" s="5">
        <f ca="1">IFERROR(__xludf.DUMMYFUNCTION("""COMPUTED_VALUE"""),49)</f>
        <v>49</v>
      </c>
      <c r="F1063" s="5"/>
    </row>
    <row r="1064" spans="1:6" ht="13">
      <c r="A1064" s="5" t="str">
        <f ca="1">IFERROR(__xludf.DUMMYFUNCTION("""COMPUTED_VALUE"""),"20180214FLMAP")</f>
        <v>20180214FLMAP</v>
      </c>
      <c r="B1064" s="5" t="str">
        <f ca="1">IFERROR(__xludf.DUMMYFUNCTION("""COMPUTED_VALUE"""),"Wounded")</f>
        <v>Wounded</v>
      </c>
      <c r="C1064" s="5" t="str">
        <f ca="1">IFERROR(__xludf.DUMMYFUNCTION("""COMPUTED_VALUE"""),"Female")</f>
        <v>Female</v>
      </c>
      <c r="D1064" s="5" t="str">
        <f ca="1">IFERROR(__xludf.DUMMYFUNCTION("""COMPUTED_VALUE"""),"Student")</f>
        <v>Student</v>
      </c>
      <c r="E1064" s="5">
        <f ca="1">IFERROR(__xludf.DUMMYFUNCTION("""COMPUTED_VALUE"""),17)</f>
        <v>17</v>
      </c>
      <c r="F1064" s="5"/>
    </row>
    <row r="1065" spans="1:6" ht="13">
      <c r="A1065" s="5" t="str">
        <f ca="1">IFERROR(__xludf.DUMMYFUNCTION("""COMPUTED_VALUE"""),"20180214FLMAP")</f>
        <v>20180214FLMAP</v>
      </c>
      <c r="B1065" s="5" t="str">
        <f ca="1">IFERROR(__xludf.DUMMYFUNCTION("""COMPUTED_VALUE"""),"Wounded")</f>
        <v>Wounded</v>
      </c>
      <c r="C1065" s="5" t="str">
        <f ca="1">IFERROR(__xludf.DUMMYFUNCTION("""COMPUTED_VALUE"""),"Male")</f>
        <v>Male</v>
      </c>
      <c r="D1065" s="5" t="str">
        <f ca="1">IFERROR(__xludf.DUMMYFUNCTION("""COMPUTED_VALUE"""),"Student")</f>
        <v>Student</v>
      </c>
      <c r="E1065" s="5" t="str">
        <f ca="1">IFERROR(__xludf.DUMMYFUNCTION("""COMPUTED_VALUE"""),"Teen")</f>
        <v>Teen</v>
      </c>
      <c r="F1065" s="5"/>
    </row>
    <row r="1066" spans="1:6" ht="13">
      <c r="A1066" s="5" t="str">
        <f ca="1">IFERROR(__xludf.DUMMYFUNCTION("""COMPUTED_VALUE"""),"20180214FLMAP")</f>
        <v>20180214FLMAP</v>
      </c>
      <c r="B1066" s="5" t="str">
        <f ca="1">IFERROR(__xludf.DUMMYFUNCTION("""COMPUTED_VALUE"""),"Fatal")</f>
        <v>Fatal</v>
      </c>
      <c r="C1066" s="5" t="str">
        <f ca="1">IFERROR(__xludf.DUMMYFUNCTION("""COMPUTED_VALUE"""),"Female")</f>
        <v>Female</v>
      </c>
      <c r="D1066" s="5" t="str">
        <f ca="1">IFERROR(__xludf.DUMMYFUNCTION("""COMPUTED_VALUE"""),"Student")</f>
        <v>Student</v>
      </c>
      <c r="E1066" s="5">
        <f ca="1">IFERROR(__xludf.DUMMYFUNCTION("""COMPUTED_VALUE"""),17)</f>
        <v>17</v>
      </c>
      <c r="F1066" s="5"/>
    </row>
    <row r="1067" spans="1:6" ht="13">
      <c r="A1067" s="5" t="str">
        <f ca="1">IFERROR(__xludf.DUMMYFUNCTION("""COMPUTED_VALUE"""),"20180214FLMAP")</f>
        <v>20180214FLMAP</v>
      </c>
      <c r="B1067" s="5" t="str">
        <f ca="1">IFERROR(__xludf.DUMMYFUNCTION("""COMPUTED_VALUE"""),"Wounded")</f>
        <v>Wounded</v>
      </c>
      <c r="C1067" s="5" t="str">
        <f ca="1">IFERROR(__xludf.DUMMYFUNCTION("""COMPUTED_VALUE"""),"Female")</f>
        <v>Female</v>
      </c>
      <c r="D1067" s="5" t="str">
        <f ca="1">IFERROR(__xludf.DUMMYFUNCTION("""COMPUTED_VALUE"""),"Student")</f>
        <v>Student</v>
      </c>
      <c r="E1067" s="5" t="str">
        <f ca="1">IFERROR(__xludf.DUMMYFUNCTION("""COMPUTED_VALUE"""),"Teen")</f>
        <v>Teen</v>
      </c>
      <c r="F1067" s="5"/>
    </row>
    <row r="1068" spans="1:6" ht="13">
      <c r="A1068" s="5" t="str">
        <f ca="1">IFERROR(__xludf.DUMMYFUNCTION("""COMPUTED_VALUE"""),"20180214FLMAP")</f>
        <v>20180214FLMAP</v>
      </c>
      <c r="B1068" s="5" t="str">
        <f ca="1">IFERROR(__xludf.DUMMYFUNCTION("""COMPUTED_VALUE"""),"Fatal")</f>
        <v>Fatal</v>
      </c>
      <c r="C1068" s="5" t="str">
        <f ca="1">IFERROR(__xludf.DUMMYFUNCTION("""COMPUTED_VALUE"""),"Female")</f>
        <v>Female</v>
      </c>
      <c r="D1068" s="5" t="str">
        <f ca="1">IFERROR(__xludf.DUMMYFUNCTION("""COMPUTED_VALUE"""),"Student")</f>
        <v>Student</v>
      </c>
      <c r="E1068" s="5">
        <f ca="1">IFERROR(__xludf.DUMMYFUNCTION("""COMPUTED_VALUE"""),14)</f>
        <v>14</v>
      </c>
      <c r="F1068" s="5"/>
    </row>
    <row r="1069" spans="1:6" ht="13">
      <c r="A1069" s="5" t="str">
        <f ca="1">IFERROR(__xludf.DUMMYFUNCTION("""COMPUTED_VALUE"""),"20180214FLMAP")</f>
        <v>20180214FLMAP</v>
      </c>
      <c r="B1069" s="5" t="str">
        <f ca="1">IFERROR(__xludf.DUMMYFUNCTION("""COMPUTED_VALUE"""),"Wounded")</f>
        <v>Wounded</v>
      </c>
      <c r="C1069" s="5" t="str">
        <f ca="1">IFERROR(__xludf.DUMMYFUNCTION("""COMPUTED_VALUE"""),"Male")</f>
        <v>Male</v>
      </c>
      <c r="D1069" s="5" t="str">
        <f ca="1">IFERROR(__xludf.DUMMYFUNCTION("""COMPUTED_VALUE"""),"Student")</f>
        <v>Student</v>
      </c>
      <c r="E1069" s="5">
        <f ca="1">IFERROR(__xludf.DUMMYFUNCTION("""COMPUTED_VALUE"""),15)</f>
        <v>15</v>
      </c>
      <c r="F1069" s="5"/>
    </row>
    <row r="1070" spans="1:6" ht="13">
      <c r="A1070" s="5" t="str">
        <f ca="1">IFERROR(__xludf.DUMMYFUNCTION("""COMPUTED_VALUE"""),"20180214FLMAP")</f>
        <v>20180214FLMAP</v>
      </c>
      <c r="B1070" s="5" t="str">
        <f ca="1">IFERROR(__xludf.DUMMYFUNCTION("""COMPUTED_VALUE"""),"Fatal")</f>
        <v>Fatal</v>
      </c>
      <c r="C1070" s="5" t="str">
        <f ca="1">IFERROR(__xludf.DUMMYFUNCTION("""COMPUTED_VALUE"""),"Male")</f>
        <v>Male</v>
      </c>
      <c r="D1070" s="5" t="str">
        <f ca="1">IFERROR(__xludf.DUMMYFUNCTION("""COMPUTED_VALUE"""),"Student")</f>
        <v>Student</v>
      </c>
      <c r="E1070" s="5">
        <f ca="1">IFERROR(__xludf.DUMMYFUNCTION("""COMPUTED_VALUE"""),15)</f>
        <v>15</v>
      </c>
      <c r="F1070" s="5"/>
    </row>
    <row r="1071" spans="1:6" ht="13">
      <c r="A1071" s="5" t="str">
        <f ca="1">IFERROR(__xludf.DUMMYFUNCTION("""COMPUTED_VALUE"""),"20180214FLMAP")</f>
        <v>20180214FLMAP</v>
      </c>
      <c r="B1071" s="5" t="str">
        <f ca="1">IFERROR(__xludf.DUMMYFUNCTION("""COMPUTED_VALUE"""),"Fatal")</f>
        <v>Fatal</v>
      </c>
      <c r="C1071" s="5" t="str">
        <f ca="1">IFERROR(__xludf.DUMMYFUNCTION("""COMPUTED_VALUE"""),"Male")</f>
        <v>Male</v>
      </c>
      <c r="D1071" s="5" t="str">
        <f ca="1">IFERROR(__xludf.DUMMYFUNCTION("""COMPUTED_VALUE"""),"Teacher")</f>
        <v>Teacher</v>
      </c>
      <c r="E1071" s="5">
        <f ca="1">IFERROR(__xludf.DUMMYFUNCTION("""COMPUTED_VALUE"""),35)</f>
        <v>35</v>
      </c>
      <c r="F1071" s="5"/>
    </row>
    <row r="1072" spans="1:6" ht="13">
      <c r="A1072" s="5" t="str">
        <f ca="1">IFERROR(__xludf.DUMMYFUNCTION("""COMPUTED_VALUE"""),"20180214FLMAP")</f>
        <v>20180214FLMAP</v>
      </c>
      <c r="B1072" s="5" t="str">
        <f ca="1">IFERROR(__xludf.DUMMYFUNCTION("""COMPUTED_VALUE"""),"Wounded")</f>
        <v>Wounded</v>
      </c>
      <c r="C1072" s="5"/>
      <c r="D1072" s="5" t="str">
        <f ca="1">IFERROR(__xludf.DUMMYFUNCTION("""COMPUTED_VALUE"""),"Student")</f>
        <v>Student</v>
      </c>
      <c r="E1072" s="5" t="str">
        <f ca="1">IFERROR(__xludf.DUMMYFUNCTION("""COMPUTED_VALUE"""),"Teen")</f>
        <v>Teen</v>
      </c>
      <c r="F1072" s="5"/>
    </row>
    <row r="1073" spans="1:6" ht="13">
      <c r="A1073" s="5" t="str">
        <f ca="1">IFERROR(__xludf.DUMMYFUNCTION("""COMPUTED_VALUE"""),"20180214FLMAP")</f>
        <v>20180214FLMAP</v>
      </c>
      <c r="B1073" s="5" t="str">
        <f ca="1">IFERROR(__xludf.DUMMYFUNCTION("""COMPUTED_VALUE"""),"Fatal")</f>
        <v>Fatal</v>
      </c>
      <c r="C1073" s="5" t="str">
        <f ca="1">IFERROR(__xludf.DUMMYFUNCTION("""COMPUTED_VALUE"""),"Male")</f>
        <v>Male</v>
      </c>
      <c r="D1073" s="5" t="str">
        <f ca="1">IFERROR(__xludf.DUMMYFUNCTION("""COMPUTED_VALUE"""),"Student")</f>
        <v>Student</v>
      </c>
      <c r="E1073" s="5">
        <f ca="1">IFERROR(__xludf.DUMMYFUNCTION("""COMPUTED_VALUE"""),14)</f>
        <v>14</v>
      </c>
      <c r="F1073" s="5"/>
    </row>
    <row r="1074" spans="1:6" ht="13">
      <c r="A1074" s="5" t="str">
        <f ca="1">IFERROR(__xludf.DUMMYFUNCTION("""COMPUTED_VALUE"""),"20180214FLMAP")</f>
        <v>20180214FLMAP</v>
      </c>
      <c r="B1074" s="5" t="str">
        <f ca="1">IFERROR(__xludf.DUMMYFUNCTION("""COMPUTED_VALUE"""),"Fatal")</f>
        <v>Fatal</v>
      </c>
      <c r="C1074" s="5" t="str">
        <f ca="1">IFERROR(__xludf.DUMMYFUNCTION("""COMPUTED_VALUE"""),"Male")</f>
        <v>Male</v>
      </c>
      <c r="D1074" s="5" t="str">
        <f ca="1">IFERROR(__xludf.DUMMYFUNCTION("""COMPUTED_VALUE"""),"Student")</f>
        <v>Student</v>
      </c>
      <c r="E1074" s="5">
        <f ca="1">IFERROR(__xludf.DUMMYFUNCTION("""COMPUTED_VALUE"""),14)</f>
        <v>14</v>
      </c>
      <c r="F1074" s="5"/>
    </row>
    <row r="1075" spans="1:6" ht="13">
      <c r="A1075" s="5" t="str">
        <f ca="1">IFERROR(__xludf.DUMMYFUNCTION("""COMPUTED_VALUE"""),"20180214FLMAP")</f>
        <v>20180214FLMAP</v>
      </c>
      <c r="B1075" s="5" t="str">
        <f ca="1">IFERROR(__xludf.DUMMYFUNCTION("""COMPUTED_VALUE"""),"Fatal")</f>
        <v>Fatal</v>
      </c>
      <c r="C1075" s="5" t="str">
        <f ca="1">IFERROR(__xludf.DUMMYFUNCTION("""COMPUTED_VALUE"""),"Female")</f>
        <v>Female</v>
      </c>
      <c r="D1075" s="5" t="str">
        <f ca="1">IFERROR(__xludf.DUMMYFUNCTION("""COMPUTED_VALUE"""),"Student")</f>
        <v>Student</v>
      </c>
      <c r="E1075" s="5">
        <f ca="1">IFERROR(__xludf.DUMMYFUNCTION("""COMPUTED_VALUE"""),14)</f>
        <v>14</v>
      </c>
      <c r="F1075" s="5"/>
    </row>
    <row r="1076" spans="1:6" ht="13">
      <c r="A1076" s="5" t="str">
        <f ca="1">IFERROR(__xludf.DUMMYFUNCTION("""COMPUTED_VALUE"""),"20180214FLMAP")</f>
        <v>20180214FLMAP</v>
      </c>
      <c r="B1076" s="5" t="str">
        <f ca="1">IFERROR(__xludf.DUMMYFUNCTION("""COMPUTED_VALUE"""),"Wounded")</f>
        <v>Wounded</v>
      </c>
      <c r="C1076" s="5" t="str">
        <f ca="1">IFERROR(__xludf.DUMMYFUNCTION("""COMPUTED_VALUE"""),"Male")</f>
        <v>Male</v>
      </c>
      <c r="D1076" s="5" t="str">
        <f ca="1">IFERROR(__xludf.DUMMYFUNCTION("""COMPUTED_VALUE"""),"Student")</f>
        <v>Student</v>
      </c>
      <c r="E1076" s="5">
        <f ca="1">IFERROR(__xludf.DUMMYFUNCTION("""COMPUTED_VALUE"""),15)</f>
        <v>15</v>
      </c>
      <c r="F1076" s="5"/>
    </row>
    <row r="1077" spans="1:6" ht="13">
      <c r="A1077" s="5" t="str">
        <f ca="1">IFERROR(__xludf.DUMMYFUNCTION("""COMPUTED_VALUE"""),"20180214FLMAP")</f>
        <v>20180214FLMAP</v>
      </c>
      <c r="B1077" s="5" t="str">
        <f ca="1">IFERROR(__xludf.DUMMYFUNCTION("""COMPUTED_VALUE"""),"Fatal")</f>
        <v>Fatal</v>
      </c>
      <c r="C1077" s="5" t="str">
        <f ca="1">IFERROR(__xludf.DUMMYFUNCTION("""COMPUTED_VALUE"""),"Female")</f>
        <v>Female</v>
      </c>
      <c r="D1077" s="5" t="str">
        <f ca="1">IFERROR(__xludf.DUMMYFUNCTION("""COMPUTED_VALUE"""),"Student")</f>
        <v>Student</v>
      </c>
      <c r="E1077" s="5">
        <f ca="1">IFERROR(__xludf.DUMMYFUNCTION("""COMPUTED_VALUE"""),14)</f>
        <v>14</v>
      </c>
      <c r="F1077" s="5"/>
    </row>
    <row r="1078" spans="1:6" ht="13">
      <c r="A1078" s="5" t="str">
        <f ca="1">IFERROR(__xludf.DUMMYFUNCTION("""COMPUTED_VALUE"""),"20180214FLMAP")</f>
        <v>20180214FLMAP</v>
      </c>
      <c r="B1078" s="5" t="str">
        <f ca="1">IFERROR(__xludf.DUMMYFUNCTION("""COMPUTED_VALUE"""),"Wounded")</f>
        <v>Wounded</v>
      </c>
      <c r="C1078" s="5" t="str">
        <f ca="1">IFERROR(__xludf.DUMMYFUNCTION("""COMPUTED_VALUE"""),"Male")</f>
        <v>Male</v>
      </c>
      <c r="D1078" s="5" t="str">
        <f ca="1">IFERROR(__xludf.DUMMYFUNCTION("""COMPUTED_VALUE"""),"Student")</f>
        <v>Student</v>
      </c>
      <c r="E1078" s="5">
        <f ca="1">IFERROR(__xludf.DUMMYFUNCTION("""COMPUTED_VALUE"""),15)</f>
        <v>15</v>
      </c>
      <c r="F1078" s="5"/>
    </row>
    <row r="1079" spans="1:6" ht="13">
      <c r="A1079" s="5" t="str">
        <f ca="1">IFERROR(__xludf.DUMMYFUNCTION("""COMPUTED_VALUE"""),"20180214FLMAP")</f>
        <v>20180214FLMAP</v>
      </c>
      <c r="B1079" s="5" t="str">
        <f ca="1">IFERROR(__xludf.DUMMYFUNCTION("""COMPUTED_VALUE"""),"Fatal")</f>
        <v>Fatal</v>
      </c>
      <c r="C1079" s="5" t="str">
        <f ca="1">IFERROR(__xludf.DUMMYFUNCTION("""COMPUTED_VALUE"""),"Male")</f>
        <v>Male</v>
      </c>
      <c r="D1079" s="5" t="str">
        <f ca="1">IFERROR(__xludf.DUMMYFUNCTION("""COMPUTED_VALUE"""),"Student")</f>
        <v>Student</v>
      </c>
      <c r="E1079" s="5">
        <f ca="1">IFERROR(__xludf.DUMMYFUNCTION("""COMPUTED_VALUE"""),17)</f>
        <v>17</v>
      </c>
      <c r="F1079" s="5"/>
    </row>
    <row r="1080" spans="1:6" ht="13">
      <c r="A1080" s="5" t="str">
        <f ca="1">IFERROR(__xludf.DUMMYFUNCTION("""COMPUTED_VALUE"""),"20180214FLMAP")</f>
        <v>20180214FLMAP</v>
      </c>
      <c r="B1080" s="5" t="str">
        <f ca="1">IFERROR(__xludf.DUMMYFUNCTION("""COMPUTED_VALUE"""),"Fatal")</f>
        <v>Fatal</v>
      </c>
      <c r="C1080" s="5" t="str">
        <f ca="1">IFERROR(__xludf.DUMMYFUNCTION("""COMPUTED_VALUE"""),"Female")</f>
        <v>Female</v>
      </c>
      <c r="D1080" s="5" t="str">
        <f ca="1">IFERROR(__xludf.DUMMYFUNCTION("""COMPUTED_VALUE"""),"Student")</f>
        <v>Student</v>
      </c>
      <c r="E1080" s="5">
        <f ca="1">IFERROR(__xludf.DUMMYFUNCTION("""COMPUTED_VALUE"""),16)</f>
        <v>16</v>
      </c>
      <c r="F1080" s="5"/>
    </row>
    <row r="1081" spans="1:6" ht="13">
      <c r="A1081" s="5" t="str">
        <f ca="1">IFERROR(__xludf.DUMMYFUNCTION("""COMPUTED_VALUE"""),"20180214FLMAP")</f>
        <v>20180214FLMAP</v>
      </c>
      <c r="B1081" s="5" t="str">
        <f ca="1">IFERROR(__xludf.DUMMYFUNCTION("""COMPUTED_VALUE"""),"Wounded")</f>
        <v>Wounded</v>
      </c>
      <c r="C1081" s="5" t="str">
        <f ca="1">IFERROR(__xludf.DUMMYFUNCTION("""COMPUTED_VALUE"""),"Female")</f>
        <v>Female</v>
      </c>
      <c r="D1081" s="5" t="str">
        <f ca="1">IFERROR(__xludf.DUMMYFUNCTION("""COMPUTED_VALUE"""),"Student")</f>
        <v>Student</v>
      </c>
      <c r="E1081" s="5" t="str">
        <f ca="1">IFERROR(__xludf.DUMMYFUNCTION("""COMPUTED_VALUE"""),"Teen")</f>
        <v>Teen</v>
      </c>
      <c r="F1081" s="5"/>
    </row>
    <row r="1082" spans="1:6" ht="13">
      <c r="A1082" s="5" t="str">
        <f ca="1">IFERROR(__xludf.DUMMYFUNCTION("""COMPUTED_VALUE"""),"20180214FLMAP")</f>
        <v>20180214FLMAP</v>
      </c>
      <c r="B1082" s="5" t="str">
        <f ca="1">IFERROR(__xludf.DUMMYFUNCTION("""COMPUTED_VALUE"""),"Fatal")</f>
        <v>Fatal</v>
      </c>
      <c r="C1082" s="5" t="str">
        <f ca="1">IFERROR(__xludf.DUMMYFUNCTION("""COMPUTED_VALUE"""),"Male")</f>
        <v>Male</v>
      </c>
      <c r="D1082" s="5" t="str">
        <f ca="1">IFERROR(__xludf.DUMMYFUNCTION("""COMPUTED_VALUE"""),"Student")</f>
        <v>Student</v>
      </c>
      <c r="E1082" s="5">
        <f ca="1">IFERROR(__xludf.DUMMYFUNCTION("""COMPUTED_VALUE"""),17)</f>
        <v>17</v>
      </c>
      <c r="F1082" s="5"/>
    </row>
    <row r="1083" spans="1:6" ht="13">
      <c r="A1083" s="5" t="str">
        <f ca="1">IFERROR(__xludf.DUMMYFUNCTION("""COMPUTED_VALUE"""),"20180214FLMAP")</f>
        <v>20180214FLMAP</v>
      </c>
      <c r="B1083" s="5" t="str">
        <f ca="1">IFERROR(__xludf.DUMMYFUNCTION("""COMPUTED_VALUE"""),"Wounded")</f>
        <v>Wounded</v>
      </c>
      <c r="C1083" s="5" t="str">
        <f ca="1">IFERROR(__xludf.DUMMYFUNCTION("""COMPUTED_VALUE"""),"Female")</f>
        <v>Female</v>
      </c>
      <c r="D1083" s="5" t="str">
        <f ca="1">IFERROR(__xludf.DUMMYFUNCTION("""COMPUTED_VALUE"""),"Student")</f>
        <v>Student</v>
      </c>
      <c r="E1083" s="5" t="str">
        <f ca="1">IFERROR(__xludf.DUMMYFUNCTION("""COMPUTED_VALUE"""),"Teen")</f>
        <v>Teen</v>
      </c>
      <c r="F1083" s="5"/>
    </row>
    <row r="1084" spans="1:6" ht="13">
      <c r="A1084" s="5" t="str">
        <f ca="1">IFERROR(__xludf.DUMMYFUNCTION("""COMPUTED_VALUE"""),"20180214FLMAP")</f>
        <v>20180214FLMAP</v>
      </c>
      <c r="B1084" s="5" t="str">
        <f ca="1">IFERROR(__xludf.DUMMYFUNCTION("""COMPUTED_VALUE"""),"Wounded")</f>
        <v>Wounded</v>
      </c>
      <c r="C1084" s="5" t="str">
        <f ca="1">IFERROR(__xludf.DUMMYFUNCTION("""COMPUTED_VALUE"""),"Female")</f>
        <v>Female</v>
      </c>
      <c r="D1084" s="5" t="str">
        <f ca="1">IFERROR(__xludf.DUMMYFUNCTION("""COMPUTED_VALUE"""),"Student")</f>
        <v>Student</v>
      </c>
      <c r="E1084" s="5">
        <f ca="1">IFERROR(__xludf.DUMMYFUNCTION("""COMPUTED_VALUE"""),17)</f>
        <v>17</v>
      </c>
      <c r="F1084" s="5"/>
    </row>
    <row r="1085" spans="1:6" ht="13">
      <c r="A1085" s="5" t="str">
        <f ca="1">IFERROR(__xludf.DUMMYFUNCTION("""COMPUTED_VALUE"""),"20180214FLMAP")</f>
        <v>20180214FLMAP</v>
      </c>
      <c r="B1085" s="5" t="str">
        <f ca="1">IFERROR(__xludf.DUMMYFUNCTION("""COMPUTED_VALUE"""),"Fatal")</f>
        <v>Fatal</v>
      </c>
      <c r="C1085" s="5" t="str">
        <f ca="1">IFERROR(__xludf.DUMMYFUNCTION("""COMPUTED_VALUE"""),"Female")</f>
        <v>Female</v>
      </c>
      <c r="D1085" s="5" t="str">
        <f ca="1">IFERROR(__xludf.DUMMYFUNCTION("""COMPUTED_VALUE"""),"Teacher")</f>
        <v>Teacher</v>
      </c>
      <c r="E1085" s="5">
        <f ca="1">IFERROR(__xludf.DUMMYFUNCTION("""COMPUTED_VALUE"""),37)</f>
        <v>37</v>
      </c>
      <c r="F1085" s="5"/>
    </row>
    <row r="1086" spans="1:6" ht="13">
      <c r="A1086" s="5" t="str">
        <f ca="1">IFERROR(__xludf.DUMMYFUNCTION("""COMPUTED_VALUE"""),"20180214FLMAP")</f>
        <v>20180214FLMAP</v>
      </c>
      <c r="B1086" s="5" t="str">
        <f ca="1">IFERROR(__xludf.DUMMYFUNCTION("""COMPUTED_VALUE"""),"Fatal")</f>
        <v>Fatal</v>
      </c>
      <c r="C1086" s="5" t="str">
        <f ca="1">IFERROR(__xludf.DUMMYFUNCTION("""COMPUTED_VALUE"""),"Male")</f>
        <v>Male</v>
      </c>
      <c r="D1086" s="5" t="str">
        <f ca="1">IFERROR(__xludf.DUMMYFUNCTION("""COMPUTED_VALUE"""),"Student")</f>
        <v>Student</v>
      </c>
      <c r="E1086" s="5">
        <f ca="1">IFERROR(__xludf.DUMMYFUNCTION("""COMPUTED_VALUE"""),15)</f>
        <v>15</v>
      </c>
      <c r="F1086" s="5"/>
    </row>
    <row r="1087" spans="1:6" ht="13">
      <c r="A1087" s="5" t="str">
        <f ca="1">IFERROR(__xludf.DUMMYFUNCTION("""COMPUTED_VALUE"""),"20180214FLMAP")</f>
        <v>20180214FLMAP</v>
      </c>
      <c r="B1087" s="5" t="str">
        <f ca="1">IFERROR(__xludf.DUMMYFUNCTION("""COMPUTED_VALUE"""),"Wounded")</f>
        <v>Wounded</v>
      </c>
      <c r="C1087" s="5" t="str">
        <f ca="1">IFERROR(__xludf.DUMMYFUNCTION("""COMPUTED_VALUE"""),"Male")</f>
        <v>Male</v>
      </c>
      <c r="D1087" s="5" t="str">
        <f ca="1">IFERROR(__xludf.DUMMYFUNCTION("""COMPUTED_VALUE"""),"Student")</f>
        <v>Student</v>
      </c>
      <c r="E1087" s="5" t="str">
        <f ca="1">IFERROR(__xludf.DUMMYFUNCTION("""COMPUTED_VALUE"""),"Teen")</f>
        <v>Teen</v>
      </c>
      <c r="F1087" s="5"/>
    </row>
    <row r="1088" spans="1:6" ht="13">
      <c r="A1088" s="5" t="str">
        <f ca="1">IFERROR(__xludf.DUMMYFUNCTION("""COMPUTED_VALUE"""),"20180214FLMAP")</f>
        <v>20180214FLMAP</v>
      </c>
      <c r="B1088" s="5" t="str">
        <f ca="1">IFERROR(__xludf.DUMMYFUNCTION("""COMPUTED_VALUE"""),"Fatal")</f>
        <v>Fatal</v>
      </c>
      <c r="C1088" s="5" t="str">
        <f ca="1">IFERROR(__xludf.DUMMYFUNCTION("""COMPUTED_VALUE"""),"Female")</f>
        <v>Female</v>
      </c>
      <c r="D1088" s="5" t="str">
        <f ca="1">IFERROR(__xludf.DUMMYFUNCTION("""COMPUTED_VALUE"""),"Student")</f>
        <v>Student</v>
      </c>
      <c r="E1088" s="5">
        <f ca="1">IFERROR(__xludf.DUMMYFUNCTION("""COMPUTED_VALUE"""),14)</f>
        <v>14</v>
      </c>
      <c r="F1088" s="5"/>
    </row>
    <row r="1089" spans="1:6" ht="13">
      <c r="A1089" s="5" t="str">
        <f ca="1">IFERROR(__xludf.DUMMYFUNCTION("""COMPUTED_VALUE"""),"20180214FLMAP")</f>
        <v>20180214FLMAP</v>
      </c>
      <c r="B1089" s="5" t="str">
        <f ca="1">IFERROR(__xludf.DUMMYFUNCTION("""COMPUTED_VALUE"""),"Wounded")</f>
        <v>Wounded</v>
      </c>
      <c r="C1089" s="5" t="str">
        <f ca="1">IFERROR(__xludf.DUMMYFUNCTION("""COMPUTED_VALUE"""),"Male")</f>
        <v>Male</v>
      </c>
      <c r="D1089" s="5" t="str">
        <f ca="1">IFERROR(__xludf.DUMMYFUNCTION("""COMPUTED_VALUE"""),"Student")</f>
        <v>Student</v>
      </c>
      <c r="E1089" s="5" t="str">
        <f ca="1">IFERROR(__xludf.DUMMYFUNCTION("""COMPUTED_VALUE"""),"Teen")</f>
        <v>Teen</v>
      </c>
      <c r="F1089" s="5"/>
    </row>
    <row r="1090" spans="1:6" ht="13">
      <c r="A1090" s="5" t="str">
        <f ca="1">IFERROR(__xludf.DUMMYFUNCTION("""COMPUTED_VALUE"""),"20180209TNPEN")</f>
        <v>20180209TNPEN</v>
      </c>
      <c r="B1090" s="5" t="str">
        <f ca="1">IFERROR(__xludf.DUMMYFUNCTION("""COMPUTED_VALUE"""),"Wounded")</f>
        <v>Wounded</v>
      </c>
      <c r="C1090" s="5" t="str">
        <f ca="1">IFERROR(__xludf.DUMMYFUNCTION("""COMPUTED_VALUE"""),"Male")</f>
        <v>Male</v>
      </c>
      <c r="D1090" s="5" t="str">
        <f ca="1">IFERROR(__xludf.DUMMYFUNCTION("""COMPUTED_VALUE"""),"No Relation")</f>
        <v>No Relation</v>
      </c>
      <c r="E1090" s="5">
        <f ca="1">IFERROR(__xludf.DUMMYFUNCTION("""COMPUTED_VALUE"""),17)</f>
        <v>17</v>
      </c>
      <c r="F1090" s="5" t="str">
        <f ca="1">IFERROR(__xludf.DUMMYFUNCTION("""COMPUTED_VALUE"""),"Black")</f>
        <v>Black</v>
      </c>
    </row>
    <row r="1091" spans="1:6" ht="13">
      <c r="A1091" s="5" t="str">
        <f ca="1">IFERROR(__xludf.DUMMYFUNCTION("""COMPUTED_VALUE"""),"20180208NYTHN")</f>
        <v>20180208NYTHN</v>
      </c>
      <c r="B1091" s="5" t="str">
        <f ca="1">IFERROR(__xludf.DUMMYFUNCTION("""COMPUTED_VALUE"""),"None")</f>
        <v>None</v>
      </c>
      <c r="C1091" s="5"/>
      <c r="D1091" s="5"/>
      <c r="E1091" s="5"/>
      <c r="F1091" s="5"/>
    </row>
    <row r="1092" spans="1:6" ht="13">
      <c r="A1092" s="5" t="str">
        <f ca="1">IFERROR(__xludf.DUMMYFUNCTION("""COMPUTED_VALUE"""),"20180205MNHAM")</f>
        <v>20180205MNHAM</v>
      </c>
      <c r="B1092" s="5" t="str">
        <f ca="1">IFERROR(__xludf.DUMMYFUNCTION("""COMPUTED_VALUE"""),"None")</f>
        <v>None</v>
      </c>
      <c r="C1092" s="5"/>
      <c r="D1092" s="5"/>
      <c r="E1092" s="5"/>
      <c r="F1092" s="5"/>
    </row>
    <row r="1093" spans="1:6" ht="13">
      <c r="A1093" s="5" t="str">
        <f ca="1">IFERROR(__xludf.DUMMYFUNCTION("""COMPUTED_VALUE"""),"20180205MDOXO")</f>
        <v>20180205MDOXO</v>
      </c>
      <c r="B1093" s="5" t="str">
        <f ca="1">IFERROR(__xludf.DUMMYFUNCTION("""COMPUTED_VALUE"""),"Wounded")</f>
        <v>Wounded</v>
      </c>
      <c r="C1093" s="5" t="str">
        <f ca="1">IFERROR(__xludf.DUMMYFUNCTION("""COMPUTED_VALUE"""),"Male")</f>
        <v>Male</v>
      </c>
      <c r="D1093" s="5" t="str">
        <f ca="1">IFERROR(__xludf.DUMMYFUNCTION("""COMPUTED_VALUE"""),"Student")</f>
        <v>Student</v>
      </c>
      <c r="E1093" s="5">
        <f ca="1">IFERROR(__xludf.DUMMYFUNCTION("""COMPUTED_VALUE"""),17)</f>
        <v>17</v>
      </c>
      <c r="F1093" s="5"/>
    </row>
    <row r="1094" spans="1:6" ht="13">
      <c r="A1094" s="5" t="str">
        <f ca="1">IFERROR(__xludf.DUMMYFUNCTION("""COMPUTED_VALUE"""),"20180201CASAL")</f>
        <v>20180201CASAL</v>
      </c>
      <c r="B1094" s="5" t="str">
        <f ca="1">IFERROR(__xludf.DUMMYFUNCTION("""COMPUTED_VALUE"""),"Minor Injuries")</f>
        <v>Minor Injuries</v>
      </c>
      <c r="C1094" s="5"/>
      <c r="D1094" s="5" t="str">
        <f ca="1">IFERROR(__xludf.DUMMYFUNCTION("""COMPUTED_VALUE"""),"Student")</f>
        <v>Student</v>
      </c>
      <c r="E1094" s="5" t="str">
        <f ca="1">IFERROR(__xludf.DUMMYFUNCTION("""COMPUTED_VALUE"""),"Child")</f>
        <v>Child</v>
      </c>
      <c r="F1094" s="5"/>
    </row>
    <row r="1095" spans="1:6" ht="13">
      <c r="A1095" s="5" t="str">
        <f ca="1">IFERROR(__xludf.DUMMYFUNCTION("""COMPUTED_VALUE"""),"20180201CASAL")</f>
        <v>20180201CASAL</v>
      </c>
      <c r="B1095" s="5" t="str">
        <f ca="1">IFERROR(__xludf.DUMMYFUNCTION("""COMPUTED_VALUE"""),"Minor Injuries")</f>
        <v>Minor Injuries</v>
      </c>
      <c r="C1095" s="5"/>
      <c r="D1095" s="5" t="str">
        <f ca="1">IFERROR(__xludf.DUMMYFUNCTION("""COMPUTED_VALUE"""),"Student")</f>
        <v>Student</v>
      </c>
      <c r="E1095" s="5" t="str">
        <f ca="1">IFERROR(__xludf.DUMMYFUNCTION("""COMPUTED_VALUE"""),"Child")</f>
        <v>Child</v>
      </c>
      <c r="F1095" s="5"/>
    </row>
    <row r="1096" spans="1:6" ht="13">
      <c r="A1096" s="5" t="str">
        <f ca="1">IFERROR(__xludf.DUMMYFUNCTION("""COMPUTED_VALUE"""),"20180201CASAL")</f>
        <v>20180201CASAL</v>
      </c>
      <c r="B1096" s="5" t="str">
        <f ca="1">IFERROR(__xludf.DUMMYFUNCTION("""COMPUTED_VALUE"""),"Wounded")</f>
        <v>Wounded</v>
      </c>
      <c r="C1096" s="5"/>
      <c r="D1096" s="5" t="str">
        <f ca="1">IFERROR(__xludf.DUMMYFUNCTION("""COMPUTED_VALUE"""),"Student")</f>
        <v>Student</v>
      </c>
      <c r="E1096" s="5">
        <f ca="1">IFERROR(__xludf.DUMMYFUNCTION("""COMPUTED_VALUE"""),11)</f>
        <v>11</v>
      </c>
      <c r="F1096" s="5"/>
    </row>
    <row r="1097" spans="1:6" ht="13">
      <c r="A1097" s="5" t="str">
        <f ca="1">IFERROR(__xludf.DUMMYFUNCTION("""COMPUTED_VALUE"""),"20180201CASAL")</f>
        <v>20180201CASAL</v>
      </c>
      <c r="B1097" s="5" t="str">
        <f ca="1">IFERROR(__xludf.DUMMYFUNCTION("""COMPUTED_VALUE"""),"Wounded")</f>
        <v>Wounded</v>
      </c>
      <c r="C1097" s="5"/>
      <c r="D1097" s="5" t="str">
        <f ca="1">IFERROR(__xludf.DUMMYFUNCTION("""COMPUTED_VALUE"""),"Student")</f>
        <v>Student</v>
      </c>
      <c r="E1097" s="5">
        <f ca="1">IFERROR(__xludf.DUMMYFUNCTION("""COMPUTED_VALUE"""),12)</f>
        <v>12</v>
      </c>
      <c r="F1097" s="5"/>
    </row>
    <row r="1098" spans="1:6" ht="13">
      <c r="A1098" s="5" t="str">
        <f ca="1">IFERROR(__xludf.DUMMYFUNCTION("""COMPUTED_VALUE"""),"20180201CASAL")</f>
        <v>20180201CASAL</v>
      </c>
      <c r="B1098" s="5" t="str">
        <f ca="1">IFERROR(__xludf.DUMMYFUNCTION("""COMPUTED_VALUE"""),"Minor Injuries")</f>
        <v>Minor Injuries</v>
      </c>
      <c r="C1098" s="5"/>
      <c r="D1098" s="5" t="str">
        <f ca="1">IFERROR(__xludf.DUMMYFUNCTION("""COMPUTED_VALUE"""),"Teacher")</f>
        <v>Teacher</v>
      </c>
      <c r="E1098" s="5">
        <f ca="1">IFERROR(__xludf.DUMMYFUNCTION("""COMPUTED_VALUE"""),30)</f>
        <v>30</v>
      </c>
      <c r="F1098" s="5"/>
    </row>
    <row r="1099" spans="1:6" ht="13">
      <c r="A1099" s="5" t="str">
        <f ca="1">IFERROR(__xludf.DUMMYFUNCTION("""COMPUTED_VALUE"""),"20180131PALIP")</f>
        <v>20180131PALIP</v>
      </c>
      <c r="B1099" s="5" t="str">
        <f ca="1">IFERROR(__xludf.DUMMYFUNCTION("""COMPUTED_VALUE"""),"Fatal")</f>
        <v>Fatal</v>
      </c>
      <c r="C1099" s="5" t="str">
        <f ca="1">IFERROR(__xludf.DUMMYFUNCTION("""COMPUTED_VALUE"""),"Male")</f>
        <v>Male</v>
      </c>
      <c r="D1099" s="5" t="str">
        <f ca="1">IFERROR(__xludf.DUMMYFUNCTION("""COMPUTED_VALUE"""),"No Relation")</f>
        <v>No Relation</v>
      </c>
      <c r="E1099" s="5">
        <f ca="1">IFERROR(__xludf.DUMMYFUNCTION("""COMPUTED_VALUE"""),32)</f>
        <v>32</v>
      </c>
      <c r="F1099" s="5"/>
    </row>
    <row r="1100" spans="1:6" ht="13">
      <c r="A1100" s="5" t="str">
        <f ca="1">IFERROR(__xludf.DUMMYFUNCTION("""COMPUTED_VALUE"""),"20180126MIDED")</f>
        <v>20180126MIDED</v>
      </c>
      <c r="B1100" s="5" t="str">
        <f ca="1">IFERROR(__xludf.DUMMYFUNCTION("""COMPUTED_VALUE"""),"None")</f>
        <v>None</v>
      </c>
      <c r="C1100" s="5"/>
      <c r="D1100" s="5"/>
      <c r="E1100" s="5"/>
      <c r="F1100" s="5"/>
    </row>
    <row r="1101" spans="1:6" ht="13">
      <c r="A1101" s="5" t="str">
        <f ca="1">IFERROR(__xludf.DUMMYFUNCTION("""COMPUTED_VALUE"""),"20180125ALMUM")</f>
        <v>20180125ALMUM</v>
      </c>
      <c r="B1101" s="5" t="str">
        <f ca="1">IFERROR(__xludf.DUMMYFUNCTION("""COMPUTED_VALUE"""),"None")</f>
        <v>None</v>
      </c>
      <c r="C1101" s="5"/>
      <c r="D1101" s="5"/>
      <c r="E1101" s="5"/>
      <c r="F1101" s="5"/>
    </row>
    <row r="1102" spans="1:6" ht="13">
      <c r="A1102" s="5" t="str">
        <f ca="1">IFERROR(__xludf.DUMMYFUNCTION("""COMPUTED_VALUE"""),"20180123KYMAB")</f>
        <v>20180123KYMAB</v>
      </c>
      <c r="B1102" s="5" t="str">
        <f ca="1">IFERROR(__xludf.DUMMYFUNCTION("""COMPUTED_VALUE"""),"Fatal")</f>
        <v>Fatal</v>
      </c>
      <c r="C1102" s="5" t="str">
        <f ca="1">IFERROR(__xludf.DUMMYFUNCTION("""COMPUTED_VALUE"""),"Male")</f>
        <v>Male</v>
      </c>
      <c r="D1102" s="5" t="str">
        <f ca="1">IFERROR(__xludf.DUMMYFUNCTION("""COMPUTED_VALUE"""),"Student")</f>
        <v>Student</v>
      </c>
      <c r="E1102" s="5">
        <f ca="1">IFERROR(__xludf.DUMMYFUNCTION("""COMPUTED_VALUE"""),15)</f>
        <v>15</v>
      </c>
      <c r="F1102" s="5"/>
    </row>
    <row r="1103" spans="1:6" ht="13">
      <c r="A1103" s="5" t="str">
        <f ca="1">IFERROR(__xludf.DUMMYFUNCTION("""COMPUTED_VALUE"""),"20180123KYMAB")</f>
        <v>20180123KYMAB</v>
      </c>
      <c r="B1103" s="5" t="str">
        <f ca="1">IFERROR(__xludf.DUMMYFUNCTION("""COMPUTED_VALUE"""),"Wounded")</f>
        <v>Wounded</v>
      </c>
      <c r="C1103" s="5" t="str">
        <f ca="1">IFERROR(__xludf.DUMMYFUNCTION("""COMPUTED_VALUE"""),"Male")</f>
        <v>Male</v>
      </c>
      <c r="D1103" s="5" t="str">
        <f ca="1">IFERROR(__xludf.DUMMYFUNCTION("""COMPUTED_VALUE"""),"Student")</f>
        <v>Student</v>
      </c>
      <c r="E1103" s="5" t="str">
        <f ca="1">IFERROR(__xludf.DUMMYFUNCTION("""COMPUTED_VALUE"""),"Teen")</f>
        <v>Teen</v>
      </c>
      <c r="F1103" s="5"/>
    </row>
    <row r="1104" spans="1:6" ht="13">
      <c r="A1104" s="5" t="str">
        <f ca="1">IFERROR(__xludf.DUMMYFUNCTION("""COMPUTED_VALUE"""),"20180123KYMAB")</f>
        <v>20180123KYMAB</v>
      </c>
      <c r="B1104" s="5" t="str">
        <f ca="1">IFERROR(__xludf.DUMMYFUNCTION("""COMPUTED_VALUE"""),"Fatal")</f>
        <v>Fatal</v>
      </c>
      <c r="C1104" s="5" t="str">
        <f ca="1">IFERROR(__xludf.DUMMYFUNCTION("""COMPUTED_VALUE"""),"Male")</f>
        <v>Male</v>
      </c>
      <c r="D1104" s="5" t="str">
        <f ca="1">IFERROR(__xludf.DUMMYFUNCTION("""COMPUTED_VALUE"""),"Student")</f>
        <v>Student</v>
      </c>
      <c r="E1104" s="5">
        <f ca="1">IFERROR(__xludf.DUMMYFUNCTION("""COMPUTED_VALUE"""),15)</f>
        <v>15</v>
      </c>
      <c r="F1104" s="5"/>
    </row>
    <row r="1105" spans="1:6" ht="13">
      <c r="A1105" s="5" t="str">
        <f ca="1">IFERROR(__xludf.DUMMYFUNCTION("""COMPUTED_VALUE"""),"20180123KYMAB")</f>
        <v>20180123KYMAB</v>
      </c>
      <c r="B1105" s="5" t="str">
        <f ca="1">IFERROR(__xludf.DUMMYFUNCTION("""COMPUTED_VALUE"""),"Wounded")</f>
        <v>Wounded</v>
      </c>
      <c r="C1105" s="5" t="str">
        <f ca="1">IFERROR(__xludf.DUMMYFUNCTION("""COMPUTED_VALUE"""),"Male")</f>
        <v>Male</v>
      </c>
      <c r="D1105" s="5" t="str">
        <f ca="1">IFERROR(__xludf.DUMMYFUNCTION("""COMPUTED_VALUE"""),"Student")</f>
        <v>Student</v>
      </c>
      <c r="E1105" s="5" t="str">
        <f ca="1">IFERROR(__xludf.DUMMYFUNCTION("""COMPUTED_VALUE"""),"Teen")</f>
        <v>Teen</v>
      </c>
      <c r="F1105" s="5"/>
    </row>
    <row r="1106" spans="1:6" ht="13">
      <c r="A1106" s="5" t="str">
        <f ca="1">IFERROR(__xludf.DUMMYFUNCTION("""COMPUTED_VALUE"""),"20180123KYMAB")</f>
        <v>20180123KYMAB</v>
      </c>
      <c r="B1106" s="5" t="str">
        <f ca="1">IFERROR(__xludf.DUMMYFUNCTION("""COMPUTED_VALUE"""),"Wounded")</f>
        <v>Wounded</v>
      </c>
      <c r="C1106" s="5" t="str">
        <f ca="1">IFERROR(__xludf.DUMMYFUNCTION("""COMPUTED_VALUE"""),"Male")</f>
        <v>Male</v>
      </c>
      <c r="D1106" s="5" t="str">
        <f ca="1">IFERROR(__xludf.DUMMYFUNCTION("""COMPUTED_VALUE"""),"Student")</f>
        <v>Student</v>
      </c>
      <c r="E1106" s="5" t="str">
        <f ca="1">IFERROR(__xludf.DUMMYFUNCTION("""COMPUTED_VALUE"""),"Teen")</f>
        <v>Teen</v>
      </c>
      <c r="F1106" s="5"/>
    </row>
    <row r="1107" spans="1:6" ht="13">
      <c r="A1107" s="5" t="str">
        <f ca="1">IFERROR(__xludf.DUMMYFUNCTION("""COMPUTED_VALUE"""),"20180123KYMAB")</f>
        <v>20180123KYMAB</v>
      </c>
      <c r="B1107" s="5" t="str">
        <f ca="1">IFERROR(__xludf.DUMMYFUNCTION("""COMPUTED_VALUE"""),"Wounded")</f>
        <v>Wounded</v>
      </c>
      <c r="C1107" s="5" t="str">
        <f ca="1">IFERROR(__xludf.DUMMYFUNCTION("""COMPUTED_VALUE"""),"Male")</f>
        <v>Male</v>
      </c>
      <c r="D1107" s="5" t="str">
        <f ca="1">IFERROR(__xludf.DUMMYFUNCTION("""COMPUTED_VALUE"""),"Student")</f>
        <v>Student</v>
      </c>
      <c r="E1107" s="5" t="str">
        <f ca="1">IFERROR(__xludf.DUMMYFUNCTION("""COMPUTED_VALUE"""),"Teen")</f>
        <v>Teen</v>
      </c>
      <c r="F1107" s="5"/>
    </row>
    <row r="1108" spans="1:6" ht="13">
      <c r="A1108" s="5" t="str">
        <f ca="1">IFERROR(__xludf.DUMMYFUNCTION("""COMPUTED_VALUE"""),"20180123KYMAB")</f>
        <v>20180123KYMAB</v>
      </c>
      <c r="B1108" s="5" t="str">
        <f ca="1">IFERROR(__xludf.DUMMYFUNCTION("""COMPUTED_VALUE"""),"Wounded")</f>
        <v>Wounded</v>
      </c>
      <c r="C1108" s="5" t="str">
        <f ca="1">IFERROR(__xludf.DUMMYFUNCTION("""COMPUTED_VALUE"""),"Female")</f>
        <v>Female</v>
      </c>
      <c r="D1108" s="5" t="str">
        <f ca="1">IFERROR(__xludf.DUMMYFUNCTION("""COMPUTED_VALUE"""),"Student")</f>
        <v>Student</v>
      </c>
      <c r="E1108" s="5" t="str">
        <f ca="1">IFERROR(__xludf.DUMMYFUNCTION("""COMPUTED_VALUE"""),"Teen")</f>
        <v>Teen</v>
      </c>
      <c r="F1108" s="5"/>
    </row>
    <row r="1109" spans="1:6" ht="13">
      <c r="A1109" s="5" t="str">
        <f ca="1">IFERROR(__xludf.DUMMYFUNCTION("""COMPUTED_VALUE"""),"20180123KYMAB")</f>
        <v>20180123KYMAB</v>
      </c>
      <c r="B1109" s="5" t="str">
        <f ca="1">IFERROR(__xludf.DUMMYFUNCTION("""COMPUTED_VALUE"""),"Wounded")</f>
        <v>Wounded</v>
      </c>
      <c r="C1109" s="5" t="str">
        <f ca="1">IFERROR(__xludf.DUMMYFUNCTION("""COMPUTED_VALUE"""),"Female")</f>
        <v>Female</v>
      </c>
      <c r="D1109" s="5" t="str">
        <f ca="1">IFERROR(__xludf.DUMMYFUNCTION("""COMPUTED_VALUE"""),"Student")</f>
        <v>Student</v>
      </c>
      <c r="E1109" s="5" t="str">
        <f ca="1">IFERROR(__xludf.DUMMYFUNCTION("""COMPUTED_VALUE"""),"Teen")</f>
        <v>Teen</v>
      </c>
      <c r="F1109" s="5"/>
    </row>
    <row r="1110" spans="1:6" ht="13">
      <c r="A1110" s="5" t="str">
        <f ca="1">IFERROR(__xludf.DUMMYFUNCTION("""COMPUTED_VALUE"""),"20180123KYMAB")</f>
        <v>20180123KYMAB</v>
      </c>
      <c r="B1110" s="5" t="str">
        <f ca="1">IFERROR(__xludf.DUMMYFUNCTION("""COMPUTED_VALUE"""),"Wounded")</f>
        <v>Wounded</v>
      </c>
      <c r="C1110" s="5" t="str">
        <f ca="1">IFERROR(__xludf.DUMMYFUNCTION("""COMPUTED_VALUE"""),"Male")</f>
        <v>Male</v>
      </c>
      <c r="D1110" s="5" t="str">
        <f ca="1">IFERROR(__xludf.DUMMYFUNCTION("""COMPUTED_VALUE"""),"Student")</f>
        <v>Student</v>
      </c>
      <c r="E1110" s="5" t="str">
        <f ca="1">IFERROR(__xludf.DUMMYFUNCTION("""COMPUTED_VALUE"""),"Teen")</f>
        <v>Teen</v>
      </c>
      <c r="F1110" s="5"/>
    </row>
    <row r="1111" spans="1:6" ht="13">
      <c r="A1111" s="5" t="str">
        <f ca="1">IFERROR(__xludf.DUMMYFUNCTION("""COMPUTED_VALUE"""),"20180123KYMAB")</f>
        <v>20180123KYMAB</v>
      </c>
      <c r="B1111" s="5" t="str">
        <f ca="1">IFERROR(__xludf.DUMMYFUNCTION("""COMPUTED_VALUE"""),"Wounded")</f>
        <v>Wounded</v>
      </c>
      <c r="C1111" s="5" t="str">
        <f ca="1">IFERROR(__xludf.DUMMYFUNCTION("""COMPUTED_VALUE"""),"Male")</f>
        <v>Male</v>
      </c>
      <c r="D1111" s="5" t="str">
        <f ca="1">IFERROR(__xludf.DUMMYFUNCTION("""COMPUTED_VALUE"""),"Student")</f>
        <v>Student</v>
      </c>
      <c r="E1111" s="5" t="str">
        <f ca="1">IFERROR(__xludf.DUMMYFUNCTION("""COMPUTED_VALUE"""),"Teen")</f>
        <v>Teen</v>
      </c>
      <c r="F1111" s="5"/>
    </row>
    <row r="1112" spans="1:6" ht="13">
      <c r="A1112" s="5" t="str">
        <f ca="1">IFERROR(__xludf.DUMMYFUNCTION("""COMPUTED_VALUE"""),"20180123KYMAB")</f>
        <v>20180123KYMAB</v>
      </c>
      <c r="B1112" s="5" t="str">
        <f ca="1">IFERROR(__xludf.DUMMYFUNCTION("""COMPUTED_VALUE"""),"Wounded")</f>
        <v>Wounded</v>
      </c>
      <c r="C1112" s="5" t="str">
        <f ca="1">IFERROR(__xludf.DUMMYFUNCTION("""COMPUTED_VALUE"""),"Male")</f>
        <v>Male</v>
      </c>
      <c r="D1112" s="5" t="str">
        <f ca="1">IFERROR(__xludf.DUMMYFUNCTION("""COMPUTED_VALUE"""),"Student")</f>
        <v>Student</v>
      </c>
      <c r="E1112" s="5" t="str">
        <f ca="1">IFERROR(__xludf.DUMMYFUNCTION("""COMPUTED_VALUE"""),"Teen")</f>
        <v>Teen</v>
      </c>
      <c r="F1112" s="5"/>
    </row>
    <row r="1113" spans="1:6" ht="13">
      <c r="A1113" s="5" t="str">
        <f ca="1">IFERROR(__xludf.DUMMYFUNCTION("""COMPUTED_VALUE"""),"20180123KYMAB")</f>
        <v>20180123KYMAB</v>
      </c>
      <c r="B1113" s="5" t="str">
        <f ca="1">IFERROR(__xludf.DUMMYFUNCTION("""COMPUTED_VALUE"""),"Wounded")</f>
        <v>Wounded</v>
      </c>
      <c r="C1113" s="5" t="str">
        <f ca="1">IFERROR(__xludf.DUMMYFUNCTION("""COMPUTED_VALUE"""),"Female")</f>
        <v>Female</v>
      </c>
      <c r="D1113" s="5" t="str">
        <f ca="1">IFERROR(__xludf.DUMMYFUNCTION("""COMPUTED_VALUE"""),"Student")</f>
        <v>Student</v>
      </c>
      <c r="E1113" s="5" t="str">
        <f ca="1">IFERROR(__xludf.DUMMYFUNCTION("""COMPUTED_VALUE"""),"Teen")</f>
        <v>Teen</v>
      </c>
      <c r="F1113" s="5"/>
    </row>
    <row r="1114" spans="1:6" ht="13">
      <c r="A1114" s="5" t="str">
        <f ca="1">IFERROR(__xludf.DUMMYFUNCTION("""COMPUTED_VALUE"""),"20180123KYMAB")</f>
        <v>20180123KYMAB</v>
      </c>
      <c r="B1114" s="5" t="str">
        <f ca="1">IFERROR(__xludf.DUMMYFUNCTION("""COMPUTED_VALUE"""),"Wounded")</f>
        <v>Wounded</v>
      </c>
      <c r="C1114" s="5" t="str">
        <f ca="1">IFERROR(__xludf.DUMMYFUNCTION("""COMPUTED_VALUE"""),"Male")</f>
        <v>Male</v>
      </c>
      <c r="D1114" s="5" t="str">
        <f ca="1">IFERROR(__xludf.DUMMYFUNCTION("""COMPUTED_VALUE"""),"Student")</f>
        <v>Student</v>
      </c>
      <c r="E1114" s="5" t="str">
        <f ca="1">IFERROR(__xludf.DUMMYFUNCTION("""COMPUTED_VALUE"""),"Teen")</f>
        <v>Teen</v>
      </c>
      <c r="F1114" s="5"/>
    </row>
    <row r="1115" spans="1:6" ht="13">
      <c r="A1115" s="5" t="str">
        <f ca="1">IFERROR(__xludf.DUMMYFUNCTION("""COMPUTED_VALUE"""),"20180123KYMAB")</f>
        <v>20180123KYMAB</v>
      </c>
      <c r="B1115" s="5" t="str">
        <f ca="1">IFERROR(__xludf.DUMMYFUNCTION("""COMPUTED_VALUE"""),"Wounded")</f>
        <v>Wounded</v>
      </c>
      <c r="C1115" s="5" t="str">
        <f ca="1">IFERROR(__xludf.DUMMYFUNCTION("""COMPUTED_VALUE"""),"Male")</f>
        <v>Male</v>
      </c>
      <c r="D1115" s="5" t="str">
        <f ca="1">IFERROR(__xludf.DUMMYFUNCTION("""COMPUTED_VALUE"""),"Student")</f>
        <v>Student</v>
      </c>
      <c r="E1115" s="5" t="str">
        <f ca="1">IFERROR(__xludf.DUMMYFUNCTION("""COMPUTED_VALUE"""),"Teen")</f>
        <v>Teen</v>
      </c>
      <c r="F1115" s="5"/>
    </row>
    <row r="1116" spans="1:6" ht="13">
      <c r="A1116" s="5" t="str">
        <f ca="1">IFERROR(__xludf.DUMMYFUNCTION("""COMPUTED_VALUE"""),"20180123KYMAB")</f>
        <v>20180123KYMAB</v>
      </c>
      <c r="B1116" s="5" t="str">
        <f ca="1">IFERROR(__xludf.DUMMYFUNCTION("""COMPUTED_VALUE"""),"Wounded")</f>
        <v>Wounded</v>
      </c>
      <c r="C1116" s="5" t="str">
        <f ca="1">IFERROR(__xludf.DUMMYFUNCTION("""COMPUTED_VALUE"""),"Male")</f>
        <v>Male</v>
      </c>
      <c r="D1116" s="5" t="str">
        <f ca="1">IFERROR(__xludf.DUMMYFUNCTION("""COMPUTED_VALUE"""),"Student")</f>
        <v>Student</v>
      </c>
      <c r="E1116" s="5" t="str">
        <f ca="1">IFERROR(__xludf.DUMMYFUNCTION("""COMPUTED_VALUE"""),"Teen")</f>
        <v>Teen</v>
      </c>
      <c r="F1116" s="5"/>
    </row>
    <row r="1117" spans="1:6" ht="13">
      <c r="A1117" s="5" t="str">
        <f ca="1">IFERROR(__xludf.DUMMYFUNCTION("""COMPUTED_VALUE"""),"20180123KYMAB")</f>
        <v>20180123KYMAB</v>
      </c>
      <c r="B1117" s="5" t="str">
        <f ca="1">IFERROR(__xludf.DUMMYFUNCTION("""COMPUTED_VALUE"""),"Wounded")</f>
        <v>Wounded</v>
      </c>
      <c r="C1117" s="5" t="str">
        <f ca="1">IFERROR(__xludf.DUMMYFUNCTION("""COMPUTED_VALUE"""),"Female")</f>
        <v>Female</v>
      </c>
      <c r="D1117" s="5" t="str">
        <f ca="1">IFERROR(__xludf.DUMMYFUNCTION("""COMPUTED_VALUE"""),"Student")</f>
        <v>Student</v>
      </c>
      <c r="E1117" s="5" t="str">
        <f ca="1">IFERROR(__xludf.DUMMYFUNCTION("""COMPUTED_VALUE"""),"Teen")</f>
        <v>Teen</v>
      </c>
      <c r="F1117" s="5"/>
    </row>
    <row r="1118" spans="1:6" ht="13">
      <c r="A1118" s="5" t="str">
        <f ca="1">IFERROR(__xludf.DUMMYFUNCTION("""COMPUTED_VALUE"""),"20180123KYMAB")</f>
        <v>20180123KYMAB</v>
      </c>
      <c r="B1118" s="5" t="str">
        <f ca="1">IFERROR(__xludf.DUMMYFUNCTION("""COMPUTED_VALUE"""),"Wounded")</f>
        <v>Wounded</v>
      </c>
      <c r="C1118" s="5" t="str">
        <f ca="1">IFERROR(__xludf.DUMMYFUNCTION("""COMPUTED_VALUE"""),"Male")</f>
        <v>Male</v>
      </c>
      <c r="D1118" s="5" t="str">
        <f ca="1">IFERROR(__xludf.DUMMYFUNCTION("""COMPUTED_VALUE"""),"Student")</f>
        <v>Student</v>
      </c>
      <c r="E1118" s="5" t="str">
        <f ca="1">IFERROR(__xludf.DUMMYFUNCTION("""COMPUTED_VALUE"""),"Teen")</f>
        <v>Teen</v>
      </c>
      <c r="F1118" s="5"/>
    </row>
    <row r="1119" spans="1:6" ht="13">
      <c r="A1119" s="5" t="str">
        <f ca="1">IFERROR(__xludf.DUMMYFUNCTION("""COMPUTED_VALUE"""),"20180123KYMAB")</f>
        <v>20180123KYMAB</v>
      </c>
      <c r="B1119" s="5" t="str">
        <f ca="1">IFERROR(__xludf.DUMMYFUNCTION("""COMPUTED_VALUE"""),"Wounded")</f>
        <v>Wounded</v>
      </c>
      <c r="C1119" s="5" t="str">
        <f ca="1">IFERROR(__xludf.DUMMYFUNCTION("""COMPUTED_VALUE"""),"Male")</f>
        <v>Male</v>
      </c>
      <c r="D1119" s="5" t="str">
        <f ca="1">IFERROR(__xludf.DUMMYFUNCTION("""COMPUTED_VALUE"""),"Student")</f>
        <v>Student</v>
      </c>
      <c r="E1119" s="5" t="str">
        <f ca="1">IFERROR(__xludf.DUMMYFUNCTION("""COMPUTED_VALUE"""),"Teen")</f>
        <v>Teen</v>
      </c>
      <c r="F1119" s="5"/>
    </row>
    <row r="1120" spans="1:6" ht="13">
      <c r="A1120" s="5" t="str">
        <f ca="1">IFERROR(__xludf.DUMMYFUNCTION("""COMPUTED_VALUE"""),"20180123KYMAB")</f>
        <v>20180123KYMAB</v>
      </c>
      <c r="B1120" s="5" t="str">
        <f ca="1">IFERROR(__xludf.DUMMYFUNCTION("""COMPUTED_VALUE"""),"Wounded")</f>
        <v>Wounded</v>
      </c>
      <c r="C1120" s="5" t="str">
        <f ca="1">IFERROR(__xludf.DUMMYFUNCTION("""COMPUTED_VALUE"""),"Female")</f>
        <v>Female</v>
      </c>
      <c r="D1120" s="5" t="str">
        <f ca="1">IFERROR(__xludf.DUMMYFUNCTION("""COMPUTED_VALUE"""),"Student")</f>
        <v>Student</v>
      </c>
      <c r="E1120" s="5" t="str">
        <f ca="1">IFERROR(__xludf.DUMMYFUNCTION("""COMPUTED_VALUE"""),"Teen")</f>
        <v>Teen</v>
      </c>
      <c r="F1120" s="5"/>
    </row>
    <row r="1121" spans="1:6" ht="13">
      <c r="A1121" s="5" t="str">
        <f ca="1">IFERROR(__xludf.DUMMYFUNCTION("""COMPUTED_VALUE"""),"20180123KYMAB")</f>
        <v>20180123KYMAB</v>
      </c>
      <c r="B1121" s="5" t="str">
        <f ca="1">IFERROR(__xludf.DUMMYFUNCTION("""COMPUTED_VALUE"""),"Wounded")</f>
        <v>Wounded</v>
      </c>
      <c r="C1121" s="5" t="str">
        <f ca="1">IFERROR(__xludf.DUMMYFUNCTION("""COMPUTED_VALUE"""),"Male")</f>
        <v>Male</v>
      </c>
      <c r="D1121" s="5" t="str">
        <f ca="1">IFERROR(__xludf.DUMMYFUNCTION("""COMPUTED_VALUE"""),"Student")</f>
        <v>Student</v>
      </c>
      <c r="E1121" s="5" t="str">
        <f ca="1">IFERROR(__xludf.DUMMYFUNCTION("""COMPUTED_VALUE"""),"Teen")</f>
        <v>Teen</v>
      </c>
      <c r="F1121" s="5"/>
    </row>
    <row r="1122" spans="1:6" ht="13">
      <c r="A1122" s="5" t="str">
        <f ca="1">IFERROR(__xludf.DUMMYFUNCTION("""COMPUTED_VALUE"""),"20180122TXITI")</f>
        <v>20180122TXITI</v>
      </c>
      <c r="B1122" s="5" t="str">
        <f ca="1">IFERROR(__xludf.DUMMYFUNCTION("""COMPUTED_VALUE"""),"Wounded")</f>
        <v>Wounded</v>
      </c>
      <c r="C1122" s="5" t="str">
        <f ca="1">IFERROR(__xludf.DUMMYFUNCTION("""COMPUTED_VALUE"""),"Female")</f>
        <v>Female</v>
      </c>
      <c r="D1122" s="5" t="str">
        <f ca="1">IFERROR(__xludf.DUMMYFUNCTION("""COMPUTED_VALUE"""),"Student")</f>
        <v>Student</v>
      </c>
      <c r="E1122" s="5" t="str">
        <f ca="1">IFERROR(__xludf.DUMMYFUNCTION("""COMPUTED_VALUE"""),"Teen")</f>
        <v>Teen</v>
      </c>
      <c r="F1122" s="5"/>
    </row>
    <row r="1123" spans="1:6" ht="13">
      <c r="A1123" s="5" t="str">
        <f ca="1">IFERROR(__xludf.DUMMYFUNCTION("""COMPUTED_VALUE"""),"20180122LANEN")</f>
        <v>20180122LANEN</v>
      </c>
      <c r="B1123" s="5" t="str">
        <f ca="1">IFERROR(__xludf.DUMMYFUNCTION("""COMPUTED_VALUE"""),"None")</f>
        <v>None</v>
      </c>
      <c r="C1123" s="5"/>
      <c r="D1123" s="5"/>
      <c r="E1123" s="5"/>
      <c r="F1123" s="5"/>
    </row>
    <row r="1124" spans="1:6" ht="13">
      <c r="A1124" s="5" t="str">
        <f ca="1">IFERROR(__xludf.DUMMYFUNCTION("""COMPUTED_VALUE"""),"20180116VTMOM")</f>
        <v>20180116VTMOM</v>
      </c>
      <c r="B1124" s="5" t="str">
        <f ca="1">IFERROR(__xludf.DUMMYFUNCTION("""COMPUTED_VALUE"""),"None")</f>
        <v>None</v>
      </c>
      <c r="C1124" s="5" t="str">
        <f ca="1">IFERROR(__xludf.DUMMYFUNCTION("""COMPUTED_VALUE"""),"Male")</f>
        <v>Male</v>
      </c>
      <c r="D1124" s="5" t="str">
        <f ca="1">IFERROR(__xludf.DUMMYFUNCTION("""COMPUTED_VALUE"""),"No Relation")</f>
        <v>No Relation</v>
      </c>
      <c r="E1124" s="5">
        <f ca="1">IFERROR(__xludf.DUMMYFUNCTION("""COMPUTED_VALUE"""),32)</f>
        <v>32</v>
      </c>
      <c r="F1124" s="5" t="str">
        <f ca="1">IFERROR(__xludf.DUMMYFUNCTION("""COMPUTED_VALUE"""),"White")</f>
        <v>White</v>
      </c>
    </row>
    <row r="1125" spans="1:6" ht="13">
      <c r="A1125" s="5" t="str">
        <f ca="1">IFERROR(__xludf.DUMMYFUNCTION("""COMPUTED_VALUE"""),"20180109AZCOS")</f>
        <v>20180109AZCOS</v>
      </c>
      <c r="B1125" s="5" t="str">
        <f ca="1">IFERROR(__xludf.DUMMYFUNCTION("""COMPUTED_VALUE"""),"None")</f>
        <v>None</v>
      </c>
      <c r="C1125" s="5" t="str">
        <f ca="1">IFERROR(__xludf.DUMMYFUNCTION("""COMPUTED_VALUE"""),"Male")</f>
        <v>Male</v>
      </c>
      <c r="D1125" s="5" t="str">
        <f ca="1">IFERROR(__xludf.DUMMYFUNCTION("""COMPUTED_VALUE"""),"Student")</f>
        <v>Student</v>
      </c>
      <c r="E1125" s="5" t="str">
        <f ca="1">IFERROR(__xludf.DUMMYFUNCTION("""COMPUTED_VALUE"""),"Teen")</f>
        <v>Teen</v>
      </c>
      <c r="F1125" s="5"/>
    </row>
    <row r="1126" spans="1:6" ht="13">
      <c r="A1126" s="5" t="str">
        <f ca="1">IFERROR(__xludf.DUMMYFUNCTION("""COMPUTED_VALUE"""),"20180105IAFOF")</f>
        <v>20180105IAFOF</v>
      </c>
      <c r="B1126" s="5" t="str">
        <f ca="1">IFERROR(__xludf.DUMMYFUNCTION("""COMPUTED_VALUE"""),"None")</f>
        <v>None</v>
      </c>
      <c r="C1126" s="5"/>
      <c r="D1126" s="5"/>
      <c r="E1126" s="5"/>
      <c r="F1126" s="5"/>
    </row>
    <row r="1127" spans="1:6" ht="13">
      <c r="A1127" s="5" t="str">
        <f ca="1">IFERROR(__xludf.DUMMYFUNCTION("""COMPUTED_VALUE"""),"20180104WANES")</f>
        <v>20180104WANES</v>
      </c>
      <c r="B1127" s="5" t="str">
        <f ca="1">IFERROR(__xludf.DUMMYFUNCTION("""COMPUTED_VALUE"""),"None")</f>
        <v>None</v>
      </c>
      <c r="C1127" s="5"/>
      <c r="D1127" s="5"/>
      <c r="E1127" s="5"/>
      <c r="F1127" s="5"/>
    </row>
    <row r="1128" spans="1:6" ht="13">
      <c r="A1128" s="5" t="str">
        <f ca="1">IFERROR(__xludf.DUMMYFUNCTION("""COMPUTED_VALUE"""),"20171231WAPIM")</f>
        <v>20171231WAPIM</v>
      </c>
      <c r="B1128" s="5" t="str">
        <f ca="1">IFERROR(__xludf.DUMMYFUNCTION("""COMPUTED_VALUE"""),"None")</f>
        <v>None</v>
      </c>
      <c r="C1128" s="5"/>
      <c r="D1128" s="5"/>
      <c r="E1128" s="5"/>
      <c r="F1128" s="5"/>
    </row>
    <row r="1129" spans="1:6" ht="13">
      <c r="A1129" s="5" t="str">
        <f ca="1">IFERROR(__xludf.DUMMYFUNCTION("""COMPUTED_VALUE"""),"20171231LAEDA")</f>
        <v>20171231LAEDA</v>
      </c>
      <c r="B1129" s="5" t="str">
        <f ca="1">IFERROR(__xludf.DUMMYFUNCTION("""COMPUTED_VALUE"""),"Fatal")</f>
        <v>Fatal</v>
      </c>
      <c r="C1129" s="5" t="str">
        <f ca="1">IFERROR(__xludf.DUMMYFUNCTION("""COMPUTED_VALUE"""),"Male")</f>
        <v>Male</v>
      </c>
      <c r="D1129" s="5" t="str">
        <f ca="1">IFERROR(__xludf.DUMMYFUNCTION("""COMPUTED_VALUE"""),"Nonstudent Using Athletic Facilities/Attending Game")</f>
        <v>Nonstudent Using Athletic Facilities/Attending Game</v>
      </c>
      <c r="E1129" s="5" t="str">
        <f ca="1">IFERROR(__xludf.DUMMYFUNCTION("""COMPUTED_VALUE"""),"Adult")</f>
        <v>Adult</v>
      </c>
      <c r="F1129" s="5"/>
    </row>
    <row r="1130" spans="1:6" ht="13">
      <c r="A1130" s="5" t="str">
        <f ca="1">IFERROR(__xludf.DUMMYFUNCTION("""COMPUTED_VALUE"""),"20171231LAEDA")</f>
        <v>20171231LAEDA</v>
      </c>
      <c r="B1130" s="5" t="str">
        <f ca="1">IFERROR(__xludf.DUMMYFUNCTION("""COMPUTED_VALUE"""),"Fatal")</f>
        <v>Fatal</v>
      </c>
      <c r="C1130" s="5" t="str">
        <f ca="1">IFERROR(__xludf.DUMMYFUNCTION("""COMPUTED_VALUE"""),"Male")</f>
        <v>Male</v>
      </c>
      <c r="D1130" s="5" t="str">
        <f ca="1">IFERROR(__xludf.DUMMYFUNCTION("""COMPUTED_VALUE"""),"Nonstudent Using Athletic Facilities/Attending Game")</f>
        <v>Nonstudent Using Athletic Facilities/Attending Game</v>
      </c>
      <c r="E1130" s="5" t="str">
        <f ca="1">IFERROR(__xludf.DUMMYFUNCTION("""COMPUTED_VALUE"""),"Adult")</f>
        <v>Adult</v>
      </c>
      <c r="F1130" s="5"/>
    </row>
    <row r="1131" spans="1:6" ht="13">
      <c r="A1131" s="5" t="str">
        <f ca="1">IFERROR(__xludf.DUMMYFUNCTION("""COMPUTED_VALUE"""),"20171227CALIL")</f>
        <v>20171227CALIL</v>
      </c>
      <c r="B1131" s="5" t="str">
        <f ca="1">IFERROR(__xludf.DUMMYFUNCTION("""COMPUTED_VALUE"""),"Wounded")</f>
        <v>Wounded</v>
      </c>
      <c r="C1131" s="5" t="str">
        <f ca="1">IFERROR(__xludf.DUMMYFUNCTION("""COMPUTED_VALUE"""),"Male")</f>
        <v>Male</v>
      </c>
      <c r="D1131" s="5" t="str">
        <f ca="1">IFERROR(__xludf.DUMMYFUNCTION("""COMPUTED_VALUE"""),"No Relation")</f>
        <v>No Relation</v>
      </c>
      <c r="E1131" s="5" t="str">
        <f ca="1">IFERROR(__xludf.DUMMYFUNCTION("""COMPUTED_VALUE"""),"Adult")</f>
        <v>Adult</v>
      </c>
      <c r="F1131" s="5"/>
    </row>
    <row r="1132" spans="1:6" ht="13">
      <c r="A1132" s="5" t="str">
        <f ca="1">IFERROR(__xludf.DUMMYFUNCTION("""COMPUTED_VALUE"""),"20171219MIBEB")</f>
        <v>20171219MIBEB</v>
      </c>
      <c r="B1132" s="5" t="str">
        <f ca="1">IFERROR(__xludf.DUMMYFUNCTION("""COMPUTED_VALUE"""),"Wounded")</f>
        <v>Wounded</v>
      </c>
      <c r="C1132" s="5" t="str">
        <f ca="1">IFERROR(__xludf.DUMMYFUNCTION("""COMPUTED_VALUE"""),"Male")</f>
        <v>Male</v>
      </c>
      <c r="D1132" s="5" t="str">
        <f ca="1">IFERROR(__xludf.DUMMYFUNCTION("""COMPUTED_VALUE"""),"Student")</f>
        <v>Student</v>
      </c>
      <c r="E1132" s="5" t="str">
        <f ca="1">IFERROR(__xludf.DUMMYFUNCTION("""COMPUTED_VALUE"""),"Teen")</f>
        <v>Teen</v>
      </c>
      <c r="F1132" s="5"/>
    </row>
    <row r="1133" spans="1:6" ht="13">
      <c r="A1133" s="5" t="str">
        <f ca="1">IFERROR(__xludf.DUMMYFUNCTION("""COMPUTED_VALUE"""),"20171214TXELD")</f>
        <v>20171214TXELD</v>
      </c>
      <c r="B1133" s="5" t="str">
        <f ca="1">IFERROR(__xludf.DUMMYFUNCTION("""COMPUTED_VALUE"""),"None")</f>
        <v>None</v>
      </c>
      <c r="C1133" s="5"/>
      <c r="D1133" s="5"/>
      <c r="E1133" s="5"/>
      <c r="F1133" s="5"/>
    </row>
    <row r="1134" spans="1:6" ht="13">
      <c r="A1134" s="5" t="str">
        <f ca="1">IFERROR(__xludf.DUMMYFUNCTION("""COMPUTED_VALUE"""),"20171212TXSAP")</f>
        <v>20171212TXSAP</v>
      </c>
      <c r="B1134" s="5" t="str">
        <f ca="1">IFERROR(__xludf.DUMMYFUNCTION("""COMPUTED_VALUE"""),"Wounded")</f>
        <v>Wounded</v>
      </c>
      <c r="C1134" s="5" t="str">
        <f ca="1">IFERROR(__xludf.DUMMYFUNCTION("""COMPUTED_VALUE"""),"Male")</f>
        <v>Male</v>
      </c>
      <c r="D1134" s="5" t="str">
        <f ca="1">IFERROR(__xludf.DUMMYFUNCTION("""COMPUTED_VALUE"""),"Relative")</f>
        <v>Relative</v>
      </c>
      <c r="E1134" s="5">
        <f ca="1">IFERROR(__xludf.DUMMYFUNCTION("""COMPUTED_VALUE"""),21)</f>
        <v>21</v>
      </c>
      <c r="F1134" s="5"/>
    </row>
    <row r="1135" spans="1:6" ht="13">
      <c r="A1135" s="5" t="str">
        <f ca="1">IFERROR(__xludf.DUMMYFUNCTION("""COMPUTED_VALUE"""),"20171212TXSAP")</f>
        <v>20171212TXSAP</v>
      </c>
      <c r="B1135" s="5" t="str">
        <f ca="1">IFERROR(__xludf.DUMMYFUNCTION("""COMPUTED_VALUE"""),"Wounded")</f>
        <v>Wounded</v>
      </c>
      <c r="C1135" s="5" t="str">
        <f ca="1">IFERROR(__xludf.DUMMYFUNCTION("""COMPUTED_VALUE"""),"Male")</f>
        <v>Male</v>
      </c>
      <c r="D1135" s="5" t="str">
        <f ca="1">IFERROR(__xludf.DUMMYFUNCTION("""COMPUTED_VALUE"""),"Relative")</f>
        <v>Relative</v>
      </c>
      <c r="E1135" s="5">
        <f ca="1">IFERROR(__xludf.DUMMYFUNCTION("""COMPUTED_VALUE"""),20)</f>
        <v>20</v>
      </c>
      <c r="F1135" s="5"/>
    </row>
    <row r="1136" spans="1:6" ht="13">
      <c r="A1136" s="5" t="str">
        <f ca="1">IFERROR(__xludf.DUMMYFUNCTION("""COMPUTED_VALUE"""),"20171211NCHIH")</f>
        <v>20171211NCHIH</v>
      </c>
      <c r="B1136" s="5" t="str">
        <f ca="1">IFERROR(__xludf.DUMMYFUNCTION("""COMPUTED_VALUE"""),"None")</f>
        <v>None</v>
      </c>
      <c r="C1136" s="5"/>
      <c r="D1136" s="5"/>
      <c r="E1136" s="5"/>
      <c r="F1136" s="5"/>
    </row>
    <row r="1137" spans="1:6" ht="13">
      <c r="A1137" s="5" t="str">
        <f ca="1">IFERROR(__xludf.DUMMYFUNCTION("""COMPUTED_VALUE"""),"20171209ILCHC")</f>
        <v>20171209ILCHC</v>
      </c>
      <c r="B1137" s="5" t="str">
        <f ca="1">IFERROR(__xludf.DUMMYFUNCTION("""COMPUTED_VALUE"""),"Wounded")</f>
        <v>Wounded</v>
      </c>
      <c r="C1137" s="5" t="str">
        <f ca="1">IFERROR(__xludf.DUMMYFUNCTION("""COMPUTED_VALUE"""),"Female")</f>
        <v>Female</v>
      </c>
      <c r="D1137" s="5" t="str">
        <f ca="1">IFERROR(__xludf.DUMMYFUNCTION("""COMPUTED_VALUE"""),"Student")</f>
        <v>Student</v>
      </c>
      <c r="E1137" s="5">
        <f ca="1">IFERROR(__xludf.DUMMYFUNCTION("""COMPUTED_VALUE"""),15)</f>
        <v>15</v>
      </c>
      <c r="F1137" s="5"/>
    </row>
    <row r="1138" spans="1:6" ht="13">
      <c r="A1138" s="5" t="str">
        <f ca="1">IFERROR(__xludf.DUMMYFUNCTION("""COMPUTED_VALUE"""),"20171209ILCHC")</f>
        <v>20171209ILCHC</v>
      </c>
      <c r="B1138" s="5" t="str">
        <f ca="1">IFERROR(__xludf.DUMMYFUNCTION("""COMPUTED_VALUE"""),"Wounded")</f>
        <v>Wounded</v>
      </c>
      <c r="C1138" s="5" t="str">
        <f ca="1">IFERROR(__xludf.DUMMYFUNCTION("""COMPUTED_VALUE"""),"Female")</f>
        <v>Female</v>
      </c>
      <c r="D1138" s="5" t="str">
        <f ca="1">IFERROR(__xludf.DUMMYFUNCTION("""COMPUTED_VALUE"""),"Student")</f>
        <v>Student</v>
      </c>
      <c r="E1138" s="5">
        <f ca="1">IFERROR(__xludf.DUMMYFUNCTION("""COMPUTED_VALUE"""),17)</f>
        <v>17</v>
      </c>
      <c r="F1138" s="5"/>
    </row>
    <row r="1139" spans="1:6" ht="13">
      <c r="A1139" s="5" t="str">
        <f ca="1">IFERROR(__xludf.DUMMYFUNCTION("""COMPUTED_VALUE"""),"20171209ILCHC")</f>
        <v>20171209ILCHC</v>
      </c>
      <c r="B1139" s="5" t="str">
        <f ca="1">IFERROR(__xludf.DUMMYFUNCTION("""COMPUTED_VALUE"""),"Wounded")</f>
        <v>Wounded</v>
      </c>
      <c r="C1139" s="5" t="str">
        <f ca="1">IFERROR(__xludf.DUMMYFUNCTION("""COMPUTED_VALUE"""),"Female")</f>
        <v>Female</v>
      </c>
      <c r="D1139" s="5" t="str">
        <f ca="1">IFERROR(__xludf.DUMMYFUNCTION("""COMPUTED_VALUE"""),"Student")</f>
        <v>Student</v>
      </c>
      <c r="E1139" s="5">
        <f ca="1">IFERROR(__xludf.DUMMYFUNCTION("""COMPUTED_VALUE"""),18)</f>
        <v>18</v>
      </c>
      <c r="F1139" s="5"/>
    </row>
    <row r="1140" spans="1:6" ht="13">
      <c r="A1140" s="5" t="str">
        <f ca="1">IFERROR(__xludf.DUMMYFUNCTION("""COMPUTED_VALUE"""),"20171207NMAZA")</f>
        <v>20171207NMAZA</v>
      </c>
      <c r="B1140" s="5" t="str">
        <f ca="1">IFERROR(__xludf.DUMMYFUNCTION("""COMPUTED_VALUE"""),"Fatal")</f>
        <v>Fatal</v>
      </c>
      <c r="C1140" s="5" t="str">
        <f ca="1">IFERROR(__xludf.DUMMYFUNCTION("""COMPUTED_VALUE"""),"Male")</f>
        <v>Male</v>
      </c>
      <c r="D1140" s="5" t="str">
        <f ca="1">IFERROR(__xludf.DUMMYFUNCTION("""COMPUTED_VALUE"""),"Student")</f>
        <v>Student</v>
      </c>
      <c r="E1140" s="5" t="str">
        <f ca="1">IFERROR(__xludf.DUMMYFUNCTION("""COMPUTED_VALUE"""),"Teen")</f>
        <v>Teen</v>
      </c>
      <c r="F1140" s="5" t="str">
        <f ca="1">IFERROR(__xludf.DUMMYFUNCTION("""COMPUTED_VALUE"""),"Hispanic")</f>
        <v>Hispanic</v>
      </c>
    </row>
    <row r="1141" spans="1:6" ht="13">
      <c r="A1141" s="5" t="str">
        <f ca="1">IFERROR(__xludf.DUMMYFUNCTION("""COMPUTED_VALUE"""),"20171207NMAZA")</f>
        <v>20171207NMAZA</v>
      </c>
      <c r="B1141" s="5" t="str">
        <f ca="1">IFERROR(__xludf.DUMMYFUNCTION("""COMPUTED_VALUE"""),"Fatal")</f>
        <v>Fatal</v>
      </c>
      <c r="C1141" s="5" t="str">
        <f ca="1">IFERROR(__xludf.DUMMYFUNCTION("""COMPUTED_VALUE"""),"Female")</f>
        <v>Female</v>
      </c>
      <c r="D1141" s="5" t="str">
        <f ca="1">IFERROR(__xludf.DUMMYFUNCTION("""COMPUTED_VALUE"""),"Student")</f>
        <v>Student</v>
      </c>
      <c r="E1141" s="5" t="str">
        <f ca="1">IFERROR(__xludf.DUMMYFUNCTION("""COMPUTED_VALUE"""),"Teen")</f>
        <v>Teen</v>
      </c>
      <c r="F1141" s="5" t="str">
        <f ca="1">IFERROR(__xludf.DUMMYFUNCTION("""COMPUTED_VALUE"""),"Hispanic")</f>
        <v>Hispanic</v>
      </c>
    </row>
    <row r="1142" spans="1:6" ht="13">
      <c r="A1142" s="5" t="str">
        <f ca="1">IFERROR(__xludf.DUMMYFUNCTION("""COMPUTED_VALUE"""),"20171130VASAV")</f>
        <v>20171130VASAV</v>
      </c>
      <c r="B1142" s="5" t="str">
        <f ca="1">IFERROR(__xludf.DUMMYFUNCTION("""COMPUTED_VALUE"""),"None")</f>
        <v>None</v>
      </c>
      <c r="C1142" s="5" t="str">
        <f ca="1">IFERROR(__xludf.DUMMYFUNCTION("""COMPUTED_VALUE"""),"Male")</f>
        <v>Male</v>
      </c>
      <c r="D1142" s="5" t="str">
        <f ca="1">IFERROR(__xludf.DUMMYFUNCTION("""COMPUTED_VALUE"""),"Student")</f>
        <v>Student</v>
      </c>
      <c r="E1142" s="5" t="str">
        <f ca="1">IFERROR(__xludf.DUMMYFUNCTION("""COMPUTED_VALUE"""),"Teen")</f>
        <v>Teen</v>
      </c>
      <c r="F1142" s="5"/>
    </row>
    <row r="1143" spans="1:6" ht="13">
      <c r="A1143" s="5" t="str">
        <f ca="1">IFERROR(__xludf.DUMMYFUNCTION("""COMPUTED_VALUE"""),"20171129OHBAL")</f>
        <v>20171129OHBAL</v>
      </c>
      <c r="B1143" s="5" t="str">
        <f ca="1">IFERROR(__xludf.DUMMYFUNCTION("""COMPUTED_VALUE"""),"None")</f>
        <v>None</v>
      </c>
      <c r="C1143" s="5"/>
      <c r="D1143" s="5"/>
      <c r="E1143" s="5"/>
      <c r="F1143" s="5"/>
    </row>
    <row r="1144" spans="1:6" ht="13">
      <c r="A1144" s="5" t="str">
        <f ca="1">IFERROR(__xludf.DUMMYFUNCTION("""COMPUTED_VALUE"""),"20171128CABOS")</f>
        <v>20171128CABOS</v>
      </c>
      <c r="B1144" s="5" t="str">
        <f ca="1">IFERROR(__xludf.DUMMYFUNCTION("""COMPUTED_VALUE"""),"None")</f>
        <v>None</v>
      </c>
      <c r="C1144" s="5"/>
      <c r="D1144" s="5"/>
      <c r="E1144" s="5"/>
      <c r="F1144" s="5"/>
    </row>
    <row r="1145" spans="1:6" ht="13">
      <c r="A1145" s="5" t="str">
        <f ca="1">IFERROR(__xludf.DUMMYFUNCTION("""COMPUTED_VALUE"""),"20171123COMAD")</f>
        <v>20171123COMAD</v>
      </c>
      <c r="B1145" s="5" t="str">
        <f ca="1">IFERROR(__xludf.DUMMYFUNCTION("""COMPUTED_VALUE"""),"Wounded")</f>
        <v>Wounded</v>
      </c>
      <c r="C1145" s="5" t="str">
        <f ca="1">IFERROR(__xludf.DUMMYFUNCTION("""COMPUTED_VALUE"""),"Female")</f>
        <v>Female</v>
      </c>
      <c r="D1145" s="5" t="str">
        <f ca="1">IFERROR(__xludf.DUMMYFUNCTION("""COMPUTED_VALUE"""),"No Relation")</f>
        <v>No Relation</v>
      </c>
      <c r="E1145" s="5" t="str">
        <f ca="1">IFERROR(__xludf.DUMMYFUNCTION("""COMPUTED_VALUE"""),"Adult")</f>
        <v>Adult</v>
      </c>
      <c r="F1145" s="5"/>
    </row>
    <row r="1146" spans="1:6" ht="13">
      <c r="A1146" s="5" t="str">
        <f ca="1">IFERROR(__xludf.DUMMYFUNCTION("""COMPUTED_VALUE"""),"20171123COMAD")</f>
        <v>20171123COMAD</v>
      </c>
      <c r="B1146" s="5" t="str">
        <f ca="1">IFERROR(__xludf.DUMMYFUNCTION("""COMPUTED_VALUE"""),"Wounded")</f>
        <v>Wounded</v>
      </c>
      <c r="C1146" s="5" t="str">
        <f ca="1">IFERROR(__xludf.DUMMYFUNCTION("""COMPUTED_VALUE"""),"Male")</f>
        <v>Male</v>
      </c>
      <c r="D1146" s="5" t="str">
        <f ca="1">IFERROR(__xludf.DUMMYFUNCTION("""COMPUTED_VALUE"""),"No Relation")</f>
        <v>No Relation</v>
      </c>
      <c r="E1146" s="5" t="str">
        <f ca="1">IFERROR(__xludf.DUMMYFUNCTION("""COMPUTED_VALUE"""),"Child")</f>
        <v>Child</v>
      </c>
      <c r="F1146" s="5"/>
    </row>
    <row r="1147" spans="1:6" ht="13">
      <c r="A1147" s="5" t="str">
        <f ca="1">IFERROR(__xludf.DUMMYFUNCTION("""COMPUTED_VALUE"""),"20171123COMAD")</f>
        <v>20171123COMAD</v>
      </c>
      <c r="B1147" s="5" t="str">
        <f ca="1">IFERROR(__xludf.DUMMYFUNCTION("""COMPUTED_VALUE"""),"Wounded")</f>
        <v>Wounded</v>
      </c>
      <c r="C1147" s="5" t="str">
        <f ca="1">IFERROR(__xludf.DUMMYFUNCTION("""COMPUTED_VALUE"""),"Male")</f>
        <v>Male</v>
      </c>
      <c r="D1147" s="5" t="str">
        <f ca="1">IFERROR(__xludf.DUMMYFUNCTION("""COMPUTED_VALUE"""),"No Relation")</f>
        <v>No Relation</v>
      </c>
      <c r="E1147" s="5" t="str">
        <f ca="1">IFERROR(__xludf.DUMMYFUNCTION("""COMPUTED_VALUE"""),"Child")</f>
        <v>Child</v>
      </c>
      <c r="F1147" s="5"/>
    </row>
    <row r="1148" spans="1:6" ht="13">
      <c r="A1148" s="5" t="str">
        <f ca="1">IFERROR(__xludf.DUMMYFUNCTION("""COMPUTED_VALUE"""),"20171117TNNOJ")</f>
        <v>20171117TNNOJ</v>
      </c>
      <c r="B1148" s="5" t="str">
        <f ca="1">IFERROR(__xludf.DUMMYFUNCTION("""COMPUTED_VALUE"""),"None")</f>
        <v>None</v>
      </c>
      <c r="C1148" s="5"/>
      <c r="D1148" s="5"/>
      <c r="E1148" s="5"/>
      <c r="F1148" s="5"/>
    </row>
    <row r="1149" spans="1:6" ht="13">
      <c r="A1149" s="5" t="str">
        <f ca="1">IFERROR(__xludf.DUMMYFUNCTION("""COMPUTED_VALUE"""),"20171114FLLAM")</f>
        <v>20171114FLLAM</v>
      </c>
      <c r="B1149" s="5" t="str">
        <f ca="1">IFERROR(__xludf.DUMMYFUNCTION("""COMPUTED_VALUE"""),"None")</f>
        <v>None</v>
      </c>
      <c r="C1149" s="5" t="str">
        <f ca="1">IFERROR(__xludf.DUMMYFUNCTION("""COMPUTED_VALUE"""),"Male")</f>
        <v>Male</v>
      </c>
      <c r="D1149" s="5" t="str">
        <f ca="1">IFERROR(__xludf.DUMMYFUNCTION("""COMPUTED_VALUE"""),"Student")</f>
        <v>Student</v>
      </c>
      <c r="E1149" s="5">
        <f ca="1">IFERROR(__xludf.DUMMYFUNCTION("""COMPUTED_VALUE"""),17)</f>
        <v>17</v>
      </c>
      <c r="F1149" s="5"/>
    </row>
    <row r="1150" spans="1:6" ht="13">
      <c r="A1150" s="5" t="str">
        <f ca="1">IFERROR(__xludf.DUMMYFUNCTION("""COMPUTED_VALUE"""),"20171114CARAR")</f>
        <v>20171114CARAR</v>
      </c>
      <c r="B1150" s="5" t="str">
        <f ca="1">IFERROR(__xludf.DUMMYFUNCTION("""COMPUTED_VALUE"""),"Wounded")</f>
        <v>Wounded</v>
      </c>
      <c r="C1150" s="5" t="str">
        <f ca="1">IFERROR(__xludf.DUMMYFUNCTION("""COMPUTED_VALUE"""),"Female")</f>
        <v>Female</v>
      </c>
      <c r="D1150" s="5" t="str">
        <f ca="1">IFERROR(__xludf.DUMMYFUNCTION("""COMPUTED_VALUE"""),"Unknown")</f>
        <v>Unknown</v>
      </c>
      <c r="E1150" s="5">
        <f ca="1">IFERROR(__xludf.DUMMYFUNCTION("""COMPUTED_VALUE"""),31)</f>
        <v>31</v>
      </c>
      <c r="F1150" s="5"/>
    </row>
    <row r="1151" spans="1:6" ht="13">
      <c r="A1151" s="5" t="str">
        <f ca="1">IFERROR(__xludf.DUMMYFUNCTION("""COMPUTED_VALUE"""),"20171114CARAR")</f>
        <v>20171114CARAR</v>
      </c>
      <c r="B1151" s="5" t="str">
        <f ca="1">IFERROR(__xludf.DUMMYFUNCTION("""COMPUTED_VALUE"""),"Wounded")</f>
        <v>Wounded</v>
      </c>
      <c r="C1151" s="5" t="str">
        <f ca="1">IFERROR(__xludf.DUMMYFUNCTION("""COMPUTED_VALUE"""),"Male")</f>
        <v>Male</v>
      </c>
      <c r="D1151" s="5" t="str">
        <f ca="1">IFERROR(__xludf.DUMMYFUNCTION("""COMPUTED_VALUE"""),"Student")</f>
        <v>Student</v>
      </c>
      <c r="E1151" s="5">
        <f ca="1">IFERROR(__xludf.DUMMYFUNCTION("""COMPUTED_VALUE"""),6)</f>
        <v>6</v>
      </c>
      <c r="F1151" s="5"/>
    </row>
    <row r="1152" spans="1:6" ht="13">
      <c r="A1152" s="5" t="str">
        <f ca="1">IFERROR(__xludf.DUMMYFUNCTION("""COMPUTED_VALUE"""),"20171114CARAR")</f>
        <v>20171114CARAR</v>
      </c>
      <c r="B1152" s="5" t="str">
        <f ca="1">IFERROR(__xludf.DUMMYFUNCTION("""COMPUTED_VALUE"""),"Wounded")</f>
        <v>Wounded</v>
      </c>
      <c r="C1152" s="5" t="str">
        <f ca="1">IFERROR(__xludf.DUMMYFUNCTION("""COMPUTED_VALUE"""),"Male")</f>
        <v>Male</v>
      </c>
      <c r="D1152" s="5" t="str">
        <f ca="1">IFERROR(__xludf.DUMMYFUNCTION("""COMPUTED_VALUE"""),"Student")</f>
        <v>Student</v>
      </c>
      <c r="E1152" s="5">
        <f ca="1">IFERROR(__xludf.DUMMYFUNCTION("""COMPUTED_VALUE"""),6)</f>
        <v>6</v>
      </c>
      <c r="F1152" s="5"/>
    </row>
    <row r="1153" spans="1:6" ht="13">
      <c r="A1153" s="5" t="str">
        <f ca="1">IFERROR(__xludf.DUMMYFUNCTION("""COMPUTED_VALUE"""),"20171114CARAR")</f>
        <v>20171114CARAR</v>
      </c>
      <c r="B1153" s="5" t="str">
        <f ca="1">IFERROR(__xludf.DUMMYFUNCTION("""COMPUTED_VALUE"""),"Wounded")</f>
        <v>Wounded</v>
      </c>
      <c r="C1153" s="5"/>
      <c r="D1153" s="5" t="str">
        <f ca="1">IFERROR(__xludf.DUMMYFUNCTION("""COMPUTED_VALUE"""),"Student")</f>
        <v>Student</v>
      </c>
      <c r="E1153" s="5" t="str">
        <f ca="1">IFERROR(__xludf.DUMMYFUNCTION("""COMPUTED_VALUE"""),"Child")</f>
        <v>Child</v>
      </c>
      <c r="F1153" s="5"/>
    </row>
    <row r="1154" spans="1:6" ht="13">
      <c r="A1154" s="5" t="str">
        <f ca="1">IFERROR(__xludf.DUMMYFUNCTION("""COMPUTED_VALUE"""),"20171114CARAR")</f>
        <v>20171114CARAR</v>
      </c>
      <c r="B1154" s="5" t="str">
        <f ca="1">IFERROR(__xludf.DUMMYFUNCTION("""COMPUTED_VALUE"""),"Wounded")</f>
        <v>Wounded</v>
      </c>
      <c r="C1154" s="5"/>
      <c r="D1154" s="5"/>
      <c r="E1154" s="5" t="str">
        <f ca="1">IFERROR(__xludf.DUMMYFUNCTION("""COMPUTED_VALUE"""),"Adult")</f>
        <v>Adult</v>
      </c>
      <c r="F1154" s="5"/>
    </row>
    <row r="1155" spans="1:6" ht="13">
      <c r="A1155" s="5" t="str">
        <f ca="1">IFERROR(__xludf.DUMMYFUNCTION("""COMPUTED_VALUE"""),"20171114CARAR")</f>
        <v>20171114CARAR</v>
      </c>
      <c r="B1155" s="5" t="str">
        <f ca="1">IFERROR(__xludf.DUMMYFUNCTION("""COMPUTED_VALUE"""),"Wounded")</f>
        <v>Wounded</v>
      </c>
      <c r="C1155" s="5"/>
      <c r="D1155" s="5"/>
      <c r="E1155" s="5" t="str">
        <f ca="1">IFERROR(__xludf.DUMMYFUNCTION("""COMPUTED_VALUE"""),"Adult")</f>
        <v>Adult</v>
      </c>
      <c r="F1155" s="5"/>
    </row>
    <row r="1156" spans="1:6" ht="13">
      <c r="A1156" s="5" t="str">
        <f ca="1">IFERROR(__xludf.DUMMYFUNCTION("""COMPUTED_VALUE"""),"20171114CARAR")</f>
        <v>20171114CARAR</v>
      </c>
      <c r="B1156" s="5" t="str">
        <f ca="1">IFERROR(__xludf.DUMMYFUNCTION("""COMPUTED_VALUE"""),"Wounded")</f>
        <v>Wounded</v>
      </c>
      <c r="C1156" s="5" t="str">
        <f ca="1">IFERROR(__xludf.DUMMYFUNCTION("""COMPUTED_VALUE"""),"Male")</f>
        <v>Male</v>
      </c>
      <c r="D1156" s="5" t="str">
        <f ca="1">IFERROR(__xludf.DUMMYFUNCTION("""COMPUTED_VALUE"""),"Parent")</f>
        <v>Parent</v>
      </c>
      <c r="E1156" s="5" t="str">
        <f ca="1">IFERROR(__xludf.DUMMYFUNCTION("""COMPUTED_VALUE"""),"Adult")</f>
        <v>Adult</v>
      </c>
      <c r="F1156" s="5"/>
    </row>
    <row r="1157" spans="1:6" ht="13">
      <c r="A1157" s="5" t="str">
        <f ca="1">IFERROR(__xludf.DUMMYFUNCTION("""COMPUTED_VALUE"""),"20171114CARAR")</f>
        <v>20171114CARAR</v>
      </c>
      <c r="B1157" s="5" t="str">
        <f ca="1">IFERROR(__xludf.DUMMYFUNCTION("""COMPUTED_VALUE"""),"Wounded")</f>
        <v>Wounded</v>
      </c>
      <c r="C1157" s="5"/>
      <c r="D1157" s="5" t="str">
        <f ca="1">IFERROR(__xludf.DUMMYFUNCTION("""COMPUTED_VALUE"""),"Student")</f>
        <v>Student</v>
      </c>
      <c r="E1157" s="5" t="str">
        <f ca="1">IFERROR(__xludf.DUMMYFUNCTION("""COMPUTED_VALUE"""),"Child")</f>
        <v>Child</v>
      </c>
      <c r="F1157" s="5"/>
    </row>
    <row r="1158" spans="1:6" ht="13">
      <c r="A1158" s="5" t="str">
        <f ca="1">IFERROR(__xludf.DUMMYFUNCTION("""COMPUTED_VALUE"""),"20171114CARAR")</f>
        <v>20171114CARAR</v>
      </c>
      <c r="B1158" s="5" t="str">
        <f ca="1">IFERROR(__xludf.DUMMYFUNCTION("""COMPUTED_VALUE"""),"Wounded")</f>
        <v>Wounded</v>
      </c>
      <c r="C1158" s="5" t="str">
        <f ca="1">IFERROR(__xludf.DUMMYFUNCTION("""COMPUTED_VALUE"""),"Male")</f>
        <v>Male</v>
      </c>
      <c r="D1158" s="5" t="str">
        <f ca="1">IFERROR(__xludf.DUMMYFUNCTION("""COMPUTED_VALUE"""),"Relative")</f>
        <v>Relative</v>
      </c>
      <c r="E1158" s="5">
        <f ca="1">IFERROR(__xludf.DUMMYFUNCTION("""COMPUTED_VALUE"""),2)</f>
        <v>2</v>
      </c>
      <c r="F1158" s="5"/>
    </row>
    <row r="1159" spans="1:6" ht="13">
      <c r="A1159" s="5" t="str">
        <f ca="1">IFERROR(__xludf.DUMMYFUNCTION("""COMPUTED_VALUE"""),"20171114CARAR")</f>
        <v>20171114CARAR</v>
      </c>
      <c r="B1159" s="5" t="str">
        <f ca="1">IFERROR(__xludf.DUMMYFUNCTION("""COMPUTED_VALUE"""),"Wounded")</f>
        <v>Wounded</v>
      </c>
      <c r="C1159" s="5" t="str">
        <f ca="1">IFERROR(__xludf.DUMMYFUNCTION("""COMPUTED_VALUE"""),"Male")</f>
        <v>Male</v>
      </c>
      <c r="D1159" s="5" t="str">
        <f ca="1">IFERROR(__xludf.DUMMYFUNCTION("""COMPUTED_VALUE"""),"Parent")</f>
        <v>Parent</v>
      </c>
      <c r="E1159" s="5">
        <f ca="1">IFERROR(__xludf.DUMMYFUNCTION("""COMPUTED_VALUE"""),20)</f>
        <v>20</v>
      </c>
      <c r="F1159" s="5"/>
    </row>
    <row r="1160" spans="1:6" ht="13">
      <c r="A1160" s="5" t="str">
        <f ca="1">IFERROR(__xludf.DUMMYFUNCTION("""COMPUTED_VALUE"""),"20171114CARAR")</f>
        <v>20171114CARAR</v>
      </c>
      <c r="B1160" s="5" t="str">
        <f ca="1">IFERROR(__xludf.DUMMYFUNCTION("""COMPUTED_VALUE"""),"Wounded")</f>
        <v>Wounded</v>
      </c>
      <c r="C1160" s="5"/>
      <c r="D1160" s="5" t="str">
        <f ca="1">IFERROR(__xludf.DUMMYFUNCTION("""COMPUTED_VALUE"""),"Student")</f>
        <v>Student</v>
      </c>
      <c r="E1160" s="5" t="str">
        <f ca="1">IFERROR(__xludf.DUMMYFUNCTION("""COMPUTED_VALUE"""),"Child")</f>
        <v>Child</v>
      </c>
      <c r="F1160" s="5"/>
    </row>
    <row r="1161" spans="1:6" ht="13">
      <c r="A1161" s="5" t="str">
        <f ca="1">IFERROR(__xludf.DUMMYFUNCTION("""COMPUTED_VALUE"""),"20171114CARAR")</f>
        <v>20171114CARAR</v>
      </c>
      <c r="B1161" s="5" t="str">
        <f ca="1">IFERROR(__xludf.DUMMYFUNCTION("""COMPUTED_VALUE"""),"Wounded")</f>
        <v>Wounded</v>
      </c>
      <c r="C1161" s="5"/>
      <c r="D1161" s="5" t="str">
        <f ca="1">IFERROR(__xludf.DUMMYFUNCTION("""COMPUTED_VALUE"""),"Student")</f>
        <v>Student</v>
      </c>
      <c r="E1161" s="5" t="str">
        <f ca="1">IFERROR(__xludf.DUMMYFUNCTION("""COMPUTED_VALUE"""),"Child")</f>
        <v>Child</v>
      </c>
      <c r="F1161" s="5"/>
    </row>
    <row r="1162" spans="1:6" ht="13">
      <c r="A1162" s="5" t="str">
        <f ca="1">IFERROR(__xludf.DUMMYFUNCTION("""COMPUTED_VALUE"""),"20171114CARAR")</f>
        <v>20171114CARAR</v>
      </c>
      <c r="B1162" s="5" t="str">
        <f ca="1">IFERROR(__xludf.DUMMYFUNCTION("""COMPUTED_VALUE"""),"Wounded")</f>
        <v>Wounded</v>
      </c>
      <c r="C1162" s="5" t="str">
        <f ca="1">IFERROR(__xludf.DUMMYFUNCTION("""COMPUTED_VALUE"""),"Male")</f>
        <v>Male</v>
      </c>
      <c r="D1162" s="5"/>
      <c r="E1162" s="5">
        <f ca="1">IFERROR(__xludf.DUMMYFUNCTION("""COMPUTED_VALUE"""),39)</f>
        <v>39</v>
      </c>
      <c r="F1162" s="5"/>
    </row>
    <row r="1163" spans="1:6" ht="13">
      <c r="A1163" s="5" t="str">
        <f ca="1">IFERROR(__xludf.DUMMYFUNCTION("""COMPUTED_VALUE"""),"20171114CARAR")</f>
        <v>20171114CARAR</v>
      </c>
      <c r="B1163" s="5" t="str">
        <f ca="1">IFERROR(__xludf.DUMMYFUNCTION("""COMPUTED_VALUE"""),"Wounded")</f>
        <v>Wounded</v>
      </c>
      <c r="C1163" s="5"/>
      <c r="D1163" s="5" t="str">
        <f ca="1">IFERROR(__xludf.DUMMYFUNCTION("""COMPUTED_VALUE"""),"Student")</f>
        <v>Student</v>
      </c>
      <c r="E1163" s="5" t="str">
        <f ca="1">IFERROR(__xludf.DUMMYFUNCTION("""COMPUTED_VALUE"""),"Child")</f>
        <v>Child</v>
      </c>
      <c r="F1163" s="5"/>
    </row>
    <row r="1164" spans="1:6" ht="13">
      <c r="A1164" s="5" t="str">
        <f ca="1">IFERROR(__xludf.DUMMYFUNCTION("""COMPUTED_VALUE"""),"20171114CARAR")</f>
        <v>20171114CARAR</v>
      </c>
      <c r="B1164" s="5" t="str">
        <f ca="1">IFERROR(__xludf.DUMMYFUNCTION("""COMPUTED_VALUE"""),"Wounded")</f>
        <v>Wounded</v>
      </c>
      <c r="C1164" s="5"/>
      <c r="D1164" s="5" t="str">
        <f ca="1">IFERROR(__xludf.DUMMYFUNCTION("""COMPUTED_VALUE"""),"Student")</f>
        <v>Student</v>
      </c>
      <c r="E1164" s="5" t="str">
        <f ca="1">IFERROR(__xludf.DUMMYFUNCTION("""COMPUTED_VALUE"""),"Child")</f>
        <v>Child</v>
      </c>
      <c r="F1164" s="5"/>
    </row>
    <row r="1165" spans="1:6" ht="13">
      <c r="A1165" s="5" t="str">
        <f ca="1">IFERROR(__xludf.DUMMYFUNCTION("""COMPUTED_VALUE"""),"20171114CARAR")</f>
        <v>20171114CARAR</v>
      </c>
      <c r="B1165" s="5" t="str">
        <f ca="1">IFERROR(__xludf.DUMMYFUNCTION("""COMPUTED_VALUE"""),"Wounded")</f>
        <v>Wounded</v>
      </c>
      <c r="C1165" s="5" t="str">
        <f ca="1">IFERROR(__xludf.DUMMYFUNCTION("""COMPUTED_VALUE"""),"Female")</f>
        <v>Female</v>
      </c>
      <c r="D1165" s="5"/>
      <c r="E1165" s="5"/>
      <c r="F1165" s="5"/>
    </row>
    <row r="1166" spans="1:6" ht="13">
      <c r="A1166" s="5" t="str">
        <f ca="1">IFERROR(__xludf.DUMMYFUNCTION("""COMPUTED_VALUE"""),"20171114CARAR")</f>
        <v>20171114CARAR</v>
      </c>
      <c r="B1166" s="5" t="str">
        <f ca="1">IFERROR(__xludf.DUMMYFUNCTION("""COMPUTED_VALUE"""),"Wounded")</f>
        <v>Wounded</v>
      </c>
      <c r="C1166" s="5" t="str">
        <f ca="1">IFERROR(__xludf.DUMMYFUNCTION("""COMPUTED_VALUE"""),"Male")</f>
        <v>Male</v>
      </c>
      <c r="D1166" s="5" t="str">
        <f ca="1">IFERROR(__xludf.DUMMYFUNCTION("""COMPUTED_VALUE"""),"Student")</f>
        <v>Student</v>
      </c>
      <c r="E1166" s="5">
        <f ca="1">IFERROR(__xludf.DUMMYFUNCTION("""COMPUTED_VALUE"""),10)</f>
        <v>10</v>
      </c>
      <c r="F1166" s="5"/>
    </row>
    <row r="1167" spans="1:6" ht="13">
      <c r="A1167" s="5" t="str">
        <f ca="1">IFERROR(__xludf.DUMMYFUNCTION("""COMPUTED_VALUE"""),"20171114CARAR")</f>
        <v>20171114CARAR</v>
      </c>
      <c r="B1167" s="5" t="str">
        <f ca="1">IFERROR(__xludf.DUMMYFUNCTION("""COMPUTED_VALUE"""),"Wounded")</f>
        <v>Wounded</v>
      </c>
      <c r="C1167" s="5"/>
      <c r="D1167" s="5" t="str">
        <f ca="1">IFERROR(__xludf.DUMMYFUNCTION("""COMPUTED_VALUE"""),"Student")</f>
        <v>Student</v>
      </c>
      <c r="E1167" s="5" t="str">
        <f ca="1">IFERROR(__xludf.DUMMYFUNCTION("""COMPUTED_VALUE"""),"Child")</f>
        <v>Child</v>
      </c>
      <c r="F1167" s="5"/>
    </row>
    <row r="1168" spans="1:6" ht="13">
      <c r="A1168" s="5" t="str">
        <f ca="1">IFERROR(__xludf.DUMMYFUNCTION("""COMPUTED_VALUE"""),"20171110GALAM")</f>
        <v>20171110GALAM</v>
      </c>
      <c r="B1168" s="5" t="str">
        <f ca="1">IFERROR(__xludf.DUMMYFUNCTION("""COMPUTED_VALUE"""),"None")</f>
        <v>None</v>
      </c>
      <c r="C1168" s="5"/>
      <c r="D1168" s="5"/>
      <c r="E1168" s="5"/>
      <c r="F1168" s="5"/>
    </row>
    <row r="1169" spans="1:6" ht="13">
      <c r="A1169" s="5" t="str">
        <f ca="1">IFERROR(__xludf.DUMMYFUNCTION("""COMPUTED_VALUE"""),"20171109GABEC")</f>
        <v>20171109GABEC</v>
      </c>
      <c r="B1169" s="5" t="str">
        <f ca="1">IFERROR(__xludf.DUMMYFUNCTION("""COMPUTED_VALUE"""),"Wounded")</f>
        <v>Wounded</v>
      </c>
      <c r="C1169" s="5" t="str">
        <f ca="1">IFERROR(__xludf.DUMMYFUNCTION("""COMPUTED_VALUE"""),"Male")</f>
        <v>Male</v>
      </c>
      <c r="D1169" s="5" t="str">
        <f ca="1">IFERROR(__xludf.DUMMYFUNCTION("""COMPUTED_VALUE"""),"Student")</f>
        <v>Student</v>
      </c>
      <c r="E1169" s="5">
        <f ca="1">IFERROR(__xludf.DUMMYFUNCTION("""COMPUTED_VALUE"""),15)</f>
        <v>15</v>
      </c>
      <c r="F1169" s="5"/>
    </row>
    <row r="1170" spans="1:6" ht="13">
      <c r="A1170" s="5" t="str">
        <f ca="1">IFERROR(__xludf.DUMMYFUNCTION("""COMPUTED_VALUE"""),"20171109GABEC")</f>
        <v>20171109GABEC</v>
      </c>
      <c r="B1170" s="5" t="str">
        <f ca="1">IFERROR(__xludf.DUMMYFUNCTION("""COMPUTED_VALUE"""),"Wounded")</f>
        <v>Wounded</v>
      </c>
      <c r="C1170" s="5" t="str">
        <f ca="1">IFERROR(__xludf.DUMMYFUNCTION("""COMPUTED_VALUE"""),"Female")</f>
        <v>Female</v>
      </c>
      <c r="D1170" s="5" t="str">
        <f ca="1">IFERROR(__xludf.DUMMYFUNCTION("""COMPUTED_VALUE"""),"Student")</f>
        <v>Student</v>
      </c>
      <c r="E1170" s="5">
        <f ca="1">IFERROR(__xludf.DUMMYFUNCTION("""COMPUTED_VALUE"""),15)</f>
        <v>15</v>
      </c>
      <c r="F1170" s="5"/>
    </row>
    <row r="1171" spans="1:6" ht="13">
      <c r="A1171" s="5" t="str">
        <f ca="1">IFERROR(__xludf.DUMMYFUNCTION("""COMPUTED_VALUE"""),"20171103MIPAL")</f>
        <v>20171103MIPAL</v>
      </c>
      <c r="B1171" s="5" t="str">
        <f ca="1">IFERROR(__xludf.DUMMYFUNCTION("""COMPUTED_VALUE"""),"Wounded")</f>
        <v>Wounded</v>
      </c>
      <c r="C1171" s="5" t="str">
        <f ca="1">IFERROR(__xludf.DUMMYFUNCTION("""COMPUTED_VALUE"""),"Female")</f>
        <v>Female</v>
      </c>
      <c r="D1171" s="5" t="str">
        <f ca="1">IFERROR(__xludf.DUMMYFUNCTION("""COMPUTED_VALUE"""),"No Relation")</f>
        <v>No Relation</v>
      </c>
      <c r="E1171" s="5">
        <f ca="1">IFERROR(__xludf.DUMMYFUNCTION("""COMPUTED_VALUE"""),15)</f>
        <v>15</v>
      </c>
      <c r="F1171" s="5"/>
    </row>
    <row r="1172" spans="1:6" ht="13">
      <c r="A1172" s="5" t="str">
        <f ca="1">IFERROR(__xludf.DUMMYFUNCTION("""COMPUTED_VALUE"""),"20171027NYPRU")</f>
        <v>20171027NYPRU</v>
      </c>
      <c r="B1172" s="5" t="str">
        <f ca="1">IFERROR(__xludf.DUMMYFUNCTION("""COMPUTED_VALUE"""),"None")</f>
        <v>None</v>
      </c>
      <c r="C1172" s="5"/>
      <c r="D1172" s="5"/>
      <c r="E1172" s="5"/>
      <c r="F1172" s="5"/>
    </row>
    <row r="1173" spans="1:6" ht="13">
      <c r="A1173" s="5" t="str">
        <f ca="1">IFERROR(__xludf.DUMMYFUNCTION("""COMPUTED_VALUE"""),"20171020OHSTT")</f>
        <v>20171020OHSTT</v>
      </c>
      <c r="B1173" s="5" t="str">
        <f ca="1">IFERROR(__xludf.DUMMYFUNCTION("""COMPUTED_VALUE"""),"None")</f>
        <v>None</v>
      </c>
      <c r="C1173" s="5"/>
      <c r="D1173" s="5"/>
      <c r="E1173" s="5"/>
      <c r="F1173" s="5"/>
    </row>
    <row r="1174" spans="1:6" ht="13">
      <c r="A1174" s="5" t="str">
        <f ca="1">IFERROR(__xludf.DUMMYFUNCTION("""COMPUTED_VALUE"""),"20171014NCKEK")</f>
        <v>20171014NCKEK</v>
      </c>
      <c r="B1174" s="5" t="str">
        <f ca="1">IFERROR(__xludf.DUMMYFUNCTION("""COMPUTED_VALUE"""),"None")</f>
        <v>None</v>
      </c>
      <c r="C1174" s="5"/>
      <c r="D1174" s="5"/>
      <c r="E1174" s="5"/>
      <c r="F1174" s="5"/>
    </row>
    <row r="1175" spans="1:6" ht="13">
      <c r="A1175" s="5" t="str">
        <f ca="1">IFERROR(__xludf.DUMMYFUNCTION("""COMPUTED_VALUE"""),"20171012NCCHC")</f>
        <v>20171012NCCHC</v>
      </c>
      <c r="B1175" s="5" t="str">
        <f ca="1">IFERROR(__xludf.DUMMYFUNCTION("""COMPUTED_VALUE"""),"None")</f>
        <v>None</v>
      </c>
      <c r="C1175" s="5"/>
      <c r="D1175" s="5"/>
      <c r="E1175" s="5"/>
      <c r="F1175" s="5"/>
    </row>
    <row r="1176" spans="1:6" ht="13">
      <c r="A1176" s="5" t="str">
        <f ca="1">IFERROR(__xludf.DUMMYFUNCTION("""COMPUTED_VALUE"""),"20170930PAPUC")</f>
        <v>20170930PAPUC</v>
      </c>
      <c r="B1176" s="5" t="str">
        <f ca="1">IFERROR(__xludf.DUMMYFUNCTION("""COMPUTED_VALUE"""),"Wounded")</f>
        <v>Wounded</v>
      </c>
      <c r="C1176" s="5" t="str">
        <f ca="1">IFERROR(__xludf.DUMMYFUNCTION("""COMPUTED_VALUE"""),"Male")</f>
        <v>Male</v>
      </c>
      <c r="D1176" s="5" t="str">
        <f ca="1">IFERROR(__xludf.DUMMYFUNCTION("""COMPUTED_VALUE"""),"No Relation")</f>
        <v>No Relation</v>
      </c>
      <c r="E1176" s="5">
        <f ca="1">IFERROR(__xludf.DUMMYFUNCTION("""COMPUTED_VALUE"""),42)</f>
        <v>42</v>
      </c>
      <c r="F1176" s="5"/>
    </row>
    <row r="1177" spans="1:6" ht="13">
      <c r="A1177" s="5" t="str">
        <f ca="1">IFERROR(__xludf.DUMMYFUNCTION("""COMPUTED_VALUE"""),"20170929MOLEL")</f>
        <v>20170929MOLEL</v>
      </c>
      <c r="B1177" s="5" t="str">
        <f ca="1">IFERROR(__xludf.DUMMYFUNCTION("""COMPUTED_VALUE"""),"None")</f>
        <v>None</v>
      </c>
      <c r="C1177" s="5" t="str">
        <f ca="1">IFERROR(__xludf.DUMMYFUNCTION("""COMPUTED_VALUE"""),"Female")</f>
        <v>Female</v>
      </c>
      <c r="D1177" s="5" t="str">
        <f ca="1">IFERROR(__xludf.DUMMYFUNCTION("""COMPUTED_VALUE"""),"Student")</f>
        <v>Student</v>
      </c>
      <c r="E1177" s="5" t="str">
        <f ca="1">IFERROR(__xludf.DUMMYFUNCTION("""COMPUTED_VALUE"""),"Teen")</f>
        <v>Teen</v>
      </c>
      <c r="F1177" s="5"/>
    </row>
    <row r="1178" spans="1:6" ht="13">
      <c r="A1178" s="5" t="str">
        <f ca="1">IFERROR(__xludf.DUMMYFUNCTION("""COMPUTED_VALUE"""),"20170929CASUL")</f>
        <v>20170929CASUL</v>
      </c>
      <c r="B1178" s="5" t="str">
        <f ca="1">IFERROR(__xludf.DUMMYFUNCTION("""COMPUTED_VALUE"""),"Wounded")</f>
        <v>Wounded</v>
      </c>
      <c r="C1178" s="5"/>
      <c r="D1178" s="5" t="str">
        <f ca="1">IFERROR(__xludf.DUMMYFUNCTION("""COMPUTED_VALUE"""),"Teacher")</f>
        <v>Teacher</v>
      </c>
      <c r="E1178" s="5" t="str">
        <f ca="1">IFERROR(__xludf.DUMMYFUNCTION("""COMPUTED_VALUE"""),"Adult")</f>
        <v>Adult</v>
      </c>
      <c r="F1178" s="5"/>
    </row>
    <row r="1179" spans="1:6" ht="13">
      <c r="A1179" s="5" t="str">
        <f ca="1">IFERROR(__xludf.DUMMYFUNCTION("""COMPUTED_VALUE"""),"20170929CASUL")</f>
        <v>20170929CASUL</v>
      </c>
      <c r="B1179" s="5" t="str">
        <f ca="1">IFERROR(__xludf.DUMMYFUNCTION("""COMPUTED_VALUE"""),"Wounded")</f>
        <v>Wounded</v>
      </c>
      <c r="C1179" s="5"/>
      <c r="D1179" s="5" t="str">
        <f ca="1">IFERROR(__xludf.DUMMYFUNCTION("""COMPUTED_VALUE"""),"Student")</f>
        <v>Student</v>
      </c>
      <c r="E1179" s="5" t="str">
        <f ca="1">IFERROR(__xludf.DUMMYFUNCTION("""COMPUTED_VALUE"""),"Child")</f>
        <v>Child</v>
      </c>
      <c r="F1179" s="5"/>
    </row>
    <row r="1180" spans="1:6" ht="13">
      <c r="A1180" s="5" t="str">
        <f ca="1">IFERROR(__xludf.DUMMYFUNCTION("""COMPUTED_VALUE"""),"20170929CASUL")</f>
        <v>20170929CASUL</v>
      </c>
      <c r="B1180" s="5" t="str">
        <f ca="1">IFERROR(__xludf.DUMMYFUNCTION("""COMPUTED_VALUE"""),"Wounded")</f>
        <v>Wounded</v>
      </c>
      <c r="C1180" s="5"/>
      <c r="D1180" s="5" t="str">
        <f ca="1">IFERROR(__xludf.DUMMYFUNCTION("""COMPUTED_VALUE"""),"Student")</f>
        <v>Student</v>
      </c>
      <c r="E1180" s="5" t="str">
        <f ca="1">IFERROR(__xludf.DUMMYFUNCTION("""COMPUTED_VALUE"""),"Child")</f>
        <v>Child</v>
      </c>
      <c r="F1180" s="5"/>
    </row>
    <row r="1181" spans="1:6" ht="13">
      <c r="A1181" s="5" t="str">
        <f ca="1">IFERROR(__xludf.DUMMYFUNCTION("""COMPUTED_VALUE"""),"20170929CASUL")</f>
        <v>20170929CASUL</v>
      </c>
      <c r="B1181" s="5" t="str">
        <f ca="1">IFERROR(__xludf.DUMMYFUNCTION("""COMPUTED_VALUE"""),"Wounded")</f>
        <v>Wounded</v>
      </c>
      <c r="C1181" s="5"/>
      <c r="D1181" s="5" t="str">
        <f ca="1">IFERROR(__xludf.DUMMYFUNCTION("""COMPUTED_VALUE"""),"Student")</f>
        <v>Student</v>
      </c>
      <c r="E1181" s="5" t="str">
        <f ca="1">IFERROR(__xludf.DUMMYFUNCTION("""COMPUTED_VALUE"""),"Child")</f>
        <v>Child</v>
      </c>
      <c r="F1181" s="5"/>
    </row>
    <row r="1182" spans="1:6" ht="13">
      <c r="A1182" s="5" t="str">
        <f ca="1">IFERROR(__xludf.DUMMYFUNCTION("""COMPUTED_VALUE"""),"20170929CASUL")</f>
        <v>20170929CASUL</v>
      </c>
      <c r="B1182" s="5" t="str">
        <f ca="1">IFERROR(__xludf.DUMMYFUNCTION("""COMPUTED_VALUE"""),"Wounded")</f>
        <v>Wounded</v>
      </c>
      <c r="C1182" s="5"/>
      <c r="D1182" s="5" t="str">
        <f ca="1">IFERROR(__xludf.DUMMYFUNCTION("""COMPUTED_VALUE"""),"Teacher")</f>
        <v>Teacher</v>
      </c>
      <c r="E1182" s="5" t="str">
        <f ca="1">IFERROR(__xludf.DUMMYFUNCTION("""COMPUTED_VALUE"""),"Adult")</f>
        <v>Adult</v>
      </c>
      <c r="F1182" s="5"/>
    </row>
    <row r="1183" spans="1:6" ht="13">
      <c r="A1183" s="5" t="str">
        <f ca="1">IFERROR(__xludf.DUMMYFUNCTION("""COMPUTED_VALUE"""),"20170928KYSOL")</f>
        <v>20170928KYSOL</v>
      </c>
      <c r="B1183" s="5" t="str">
        <f ca="1">IFERROR(__xludf.DUMMYFUNCTION("""COMPUTED_VALUE"""),"None")</f>
        <v>None</v>
      </c>
      <c r="C1183" s="5" t="str">
        <f ca="1">IFERROR(__xludf.DUMMYFUNCTION("""COMPUTED_VALUE"""),"Male")</f>
        <v>Male</v>
      </c>
      <c r="D1183" s="5" t="str">
        <f ca="1">IFERROR(__xludf.DUMMYFUNCTION("""COMPUTED_VALUE"""),"No Relation")</f>
        <v>No Relation</v>
      </c>
      <c r="E1183" s="5">
        <f ca="1">IFERROR(__xludf.DUMMYFUNCTION("""COMPUTED_VALUE"""),20)</f>
        <v>20</v>
      </c>
      <c r="F1183" s="5" t="str">
        <f ca="1">IFERROR(__xludf.DUMMYFUNCTION("""COMPUTED_VALUE"""),"Black")</f>
        <v>Black</v>
      </c>
    </row>
    <row r="1184" spans="1:6" ht="13">
      <c r="A1184" s="5" t="str">
        <f ca="1">IFERROR(__xludf.DUMMYFUNCTION("""COMPUTED_VALUE"""),"20170920ILMAM")</f>
        <v>20170920ILMAM</v>
      </c>
      <c r="B1184" s="5" t="str">
        <f ca="1">IFERROR(__xludf.DUMMYFUNCTION("""COMPUTED_VALUE"""),"Wounded")</f>
        <v>Wounded</v>
      </c>
      <c r="C1184" s="5" t="str">
        <f ca="1">IFERROR(__xludf.DUMMYFUNCTION("""COMPUTED_VALUE"""),"Male")</f>
        <v>Male</v>
      </c>
      <c r="D1184" s="5" t="str">
        <f ca="1">IFERROR(__xludf.DUMMYFUNCTION("""COMPUTED_VALUE"""),"Student")</f>
        <v>Student</v>
      </c>
      <c r="E1184" s="5" t="str">
        <f ca="1">IFERROR(__xludf.DUMMYFUNCTION("""COMPUTED_VALUE"""),"Teen")</f>
        <v>Teen</v>
      </c>
      <c r="F1184" s="5"/>
    </row>
    <row r="1185" spans="1:6" ht="13">
      <c r="A1185" s="5" t="str">
        <f ca="1">IFERROR(__xludf.DUMMYFUNCTION("""COMPUTED_VALUE"""),"20170913WAFRR")</f>
        <v>20170913WAFRR</v>
      </c>
      <c r="B1185" s="5" t="str">
        <f ca="1">IFERROR(__xludf.DUMMYFUNCTION("""COMPUTED_VALUE"""),"Wounded")</f>
        <v>Wounded</v>
      </c>
      <c r="C1185" s="5"/>
      <c r="D1185" s="5" t="str">
        <f ca="1">IFERROR(__xludf.DUMMYFUNCTION("""COMPUTED_VALUE"""),"Student")</f>
        <v>Student</v>
      </c>
      <c r="E1185" s="5" t="str">
        <f ca="1">IFERROR(__xludf.DUMMYFUNCTION("""COMPUTED_VALUE"""),"Teen")</f>
        <v>Teen</v>
      </c>
      <c r="F1185" s="5"/>
    </row>
    <row r="1186" spans="1:6" ht="13">
      <c r="A1186" s="5" t="str">
        <f ca="1">IFERROR(__xludf.DUMMYFUNCTION("""COMPUTED_VALUE"""),"20170913WAFRR")</f>
        <v>20170913WAFRR</v>
      </c>
      <c r="B1186" s="5" t="str">
        <f ca="1">IFERROR(__xludf.DUMMYFUNCTION("""COMPUTED_VALUE"""),"Fatal")</f>
        <v>Fatal</v>
      </c>
      <c r="C1186" s="5" t="str">
        <f ca="1">IFERROR(__xludf.DUMMYFUNCTION("""COMPUTED_VALUE"""),"Male")</f>
        <v>Male</v>
      </c>
      <c r="D1186" s="5" t="str">
        <f ca="1">IFERROR(__xludf.DUMMYFUNCTION("""COMPUTED_VALUE"""),"Student")</f>
        <v>Student</v>
      </c>
      <c r="E1186" s="5" t="str">
        <f ca="1">IFERROR(__xludf.DUMMYFUNCTION("""COMPUTED_VALUE"""),"Teen")</f>
        <v>Teen</v>
      </c>
      <c r="F1186" s="5"/>
    </row>
    <row r="1187" spans="1:6" ht="13">
      <c r="A1187" s="5" t="str">
        <f ca="1">IFERROR(__xludf.DUMMYFUNCTION("""COMPUTED_VALUE"""),"20170913WAFRR")</f>
        <v>20170913WAFRR</v>
      </c>
      <c r="B1187" s="5" t="str">
        <f ca="1">IFERROR(__xludf.DUMMYFUNCTION("""COMPUTED_VALUE"""),"Wounded")</f>
        <v>Wounded</v>
      </c>
      <c r="C1187" s="5"/>
      <c r="D1187" s="5" t="str">
        <f ca="1">IFERROR(__xludf.DUMMYFUNCTION("""COMPUTED_VALUE"""),"Student")</f>
        <v>Student</v>
      </c>
      <c r="E1187" s="5" t="str">
        <f ca="1">IFERROR(__xludf.DUMMYFUNCTION("""COMPUTED_VALUE"""),"Teen")</f>
        <v>Teen</v>
      </c>
      <c r="F1187" s="5"/>
    </row>
    <row r="1188" spans="1:6" ht="13">
      <c r="A1188" s="5" t="str">
        <f ca="1">IFERROR(__xludf.DUMMYFUNCTION("""COMPUTED_VALUE"""),"20170913WAFRR")</f>
        <v>20170913WAFRR</v>
      </c>
      <c r="B1188" s="5" t="str">
        <f ca="1">IFERROR(__xludf.DUMMYFUNCTION("""COMPUTED_VALUE"""),"Wounded")</f>
        <v>Wounded</v>
      </c>
      <c r="C1188" s="5"/>
      <c r="D1188" s="5" t="str">
        <f ca="1">IFERROR(__xludf.DUMMYFUNCTION("""COMPUTED_VALUE"""),"Student")</f>
        <v>Student</v>
      </c>
      <c r="E1188" s="5" t="str">
        <f ca="1">IFERROR(__xludf.DUMMYFUNCTION("""COMPUTED_VALUE"""),"Teen")</f>
        <v>Teen</v>
      </c>
      <c r="F1188" s="5"/>
    </row>
    <row r="1189" spans="1:6" ht="13">
      <c r="A1189" s="5" t="str">
        <f ca="1">IFERROR(__xludf.DUMMYFUNCTION("""COMPUTED_VALUE"""),"20170908OHCOC")</f>
        <v>20170908OHCOC</v>
      </c>
      <c r="B1189" s="5" t="str">
        <f ca="1">IFERROR(__xludf.DUMMYFUNCTION("""COMPUTED_VALUE"""),"None")</f>
        <v>None</v>
      </c>
      <c r="C1189" s="5"/>
      <c r="D1189" s="5"/>
      <c r="E1189" s="5"/>
      <c r="F1189" s="5"/>
    </row>
    <row r="1190" spans="1:6" ht="13">
      <c r="A1190" s="5" t="str">
        <f ca="1">IFERROR(__xludf.DUMMYFUNCTION("""COMPUTED_VALUE"""),"20170908ARNON")</f>
        <v>20170908ARNON</v>
      </c>
      <c r="B1190" s="5" t="str">
        <f ca="1">IFERROR(__xludf.DUMMYFUNCTION("""COMPUTED_VALUE"""),"Wounded")</f>
        <v>Wounded</v>
      </c>
      <c r="C1190" s="5" t="str">
        <f ca="1">IFERROR(__xludf.DUMMYFUNCTION("""COMPUTED_VALUE"""),"Male")</f>
        <v>Male</v>
      </c>
      <c r="D1190" s="5" t="str">
        <f ca="1">IFERROR(__xludf.DUMMYFUNCTION("""COMPUTED_VALUE"""),"No Relation")</f>
        <v>No Relation</v>
      </c>
      <c r="E1190" s="5" t="str">
        <f ca="1">IFERROR(__xludf.DUMMYFUNCTION("""COMPUTED_VALUE"""),"Teen")</f>
        <v>Teen</v>
      </c>
      <c r="F1190" s="5"/>
    </row>
    <row r="1191" spans="1:6" ht="13">
      <c r="A1191" s="5" t="str">
        <f ca="1">IFERROR(__xludf.DUMMYFUNCTION("""COMPUTED_VALUE"""),"20170831CAARS")</f>
        <v>20170831CAARS</v>
      </c>
      <c r="B1191" s="5" t="str">
        <f ca="1">IFERROR(__xludf.DUMMYFUNCTION("""COMPUTED_VALUE"""),"None")</f>
        <v>None</v>
      </c>
      <c r="C1191" s="5"/>
      <c r="D1191" s="5"/>
      <c r="E1191" s="5"/>
      <c r="F1191" s="5"/>
    </row>
    <row r="1192" spans="1:6" ht="13">
      <c r="A1192" s="5" t="str">
        <f ca="1">IFERROR(__xludf.DUMMYFUNCTION("""COMPUTED_VALUE"""),"20170817GALIL")</f>
        <v>20170817GALIL</v>
      </c>
      <c r="B1192" s="5" t="str">
        <f ca="1">IFERROR(__xludf.DUMMYFUNCTION("""COMPUTED_VALUE"""),"None")</f>
        <v>None</v>
      </c>
      <c r="C1192" s="5" t="str">
        <f ca="1">IFERROR(__xludf.DUMMYFUNCTION("""COMPUTED_VALUE"""),"Male")</f>
        <v>Male</v>
      </c>
      <c r="D1192" s="5" t="str">
        <f ca="1">IFERROR(__xludf.DUMMYFUNCTION("""COMPUTED_VALUE"""),"Teacher")</f>
        <v>Teacher</v>
      </c>
      <c r="E1192" s="5" t="str">
        <f ca="1">IFERROR(__xludf.DUMMYFUNCTION("""COMPUTED_VALUE"""),"Adult")</f>
        <v>Adult</v>
      </c>
      <c r="F1192" s="5"/>
    </row>
    <row r="1193" spans="1:6" ht="13">
      <c r="A1193" s="5" t="str">
        <f ca="1">IFERROR(__xludf.DUMMYFUNCTION("""COMPUTED_VALUE"""),"20170813NYHUH")</f>
        <v>20170813NYHUH</v>
      </c>
      <c r="B1193" s="5" t="str">
        <f ca="1">IFERROR(__xludf.DUMMYFUNCTION("""COMPUTED_VALUE"""),"Wounded")</f>
        <v>Wounded</v>
      </c>
      <c r="C1193" s="5"/>
      <c r="D1193" s="5" t="str">
        <f ca="1">IFERROR(__xludf.DUMMYFUNCTION("""COMPUTED_VALUE"""),"Student")</f>
        <v>Student</v>
      </c>
      <c r="E1193" s="5" t="str">
        <f ca="1">IFERROR(__xludf.DUMMYFUNCTION("""COMPUTED_VALUE"""),"Child")</f>
        <v>Child</v>
      </c>
      <c r="F1193" s="5"/>
    </row>
    <row r="1194" spans="1:6" ht="13">
      <c r="A1194" s="5" t="str">
        <f ca="1">IFERROR(__xludf.DUMMYFUNCTION("""COMPUTED_VALUE"""),"20170813NYHUH")</f>
        <v>20170813NYHUH</v>
      </c>
      <c r="B1194" s="5" t="str">
        <f ca="1">IFERROR(__xludf.DUMMYFUNCTION("""COMPUTED_VALUE"""),"Wounded")</f>
        <v>Wounded</v>
      </c>
      <c r="C1194" s="5"/>
      <c r="D1194" s="5" t="str">
        <f ca="1">IFERROR(__xludf.DUMMYFUNCTION("""COMPUTED_VALUE"""),"Student")</f>
        <v>Student</v>
      </c>
      <c r="E1194" s="5" t="str">
        <f ca="1">IFERROR(__xludf.DUMMYFUNCTION("""COMPUTED_VALUE"""),"Child")</f>
        <v>Child</v>
      </c>
      <c r="F1194" s="5"/>
    </row>
    <row r="1195" spans="1:6" ht="13">
      <c r="A1195" s="5" t="str">
        <f ca="1">IFERROR(__xludf.DUMMYFUNCTION("""COMPUTED_VALUE"""),"20170801GABAV")</f>
        <v>20170801GABAV</v>
      </c>
      <c r="B1195" s="5" t="str">
        <f ca="1">IFERROR(__xludf.DUMMYFUNCTION("""COMPUTED_VALUE"""),"Wounded")</f>
        <v>Wounded</v>
      </c>
      <c r="C1195" s="5" t="str">
        <f ca="1">IFERROR(__xludf.DUMMYFUNCTION("""COMPUTED_VALUE"""),"Female")</f>
        <v>Female</v>
      </c>
      <c r="D1195" s="5" t="str">
        <f ca="1">IFERROR(__xludf.DUMMYFUNCTION("""COMPUTED_VALUE"""),"Student")</f>
        <v>Student</v>
      </c>
      <c r="E1195" s="5" t="str">
        <f ca="1">IFERROR(__xludf.DUMMYFUNCTION("""COMPUTED_VALUE"""),"Teen")</f>
        <v>Teen</v>
      </c>
      <c r="F1195" s="5"/>
    </row>
    <row r="1196" spans="1:6" ht="13">
      <c r="A1196" s="5" t="str">
        <f ca="1">IFERROR(__xludf.DUMMYFUNCTION("""COMPUTED_VALUE"""),"20170721UTSPS")</f>
        <v>20170721UTSPS</v>
      </c>
      <c r="B1196" s="5" t="str">
        <f ca="1">IFERROR(__xludf.DUMMYFUNCTION("""COMPUTED_VALUE"""),"Wounded")</f>
        <v>Wounded</v>
      </c>
      <c r="C1196" s="5" t="str">
        <f ca="1">IFERROR(__xludf.DUMMYFUNCTION("""COMPUTED_VALUE"""),"Male")</f>
        <v>Male</v>
      </c>
      <c r="D1196" s="5" t="str">
        <f ca="1">IFERROR(__xludf.DUMMYFUNCTION("""COMPUTED_VALUE"""),"Unknown")</f>
        <v>Unknown</v>
      </c>
      <c r="E1196" s="5">
        <f ca="1">IFERROR(__xludf.DUMMYFUNCTION("""COMPUTED_VALUE"""),18)</f>
        <v>18</v>
      </c>
      <c r="F1196" s="5"/>
    </row>
    <row r="1197" spans="1:6" ht="13">
      <c r="A1197" s="5" t="str">
        <f ca="1">IFERROR(__xludf.DUMMYFUNCTION("""COMPUTED_VALUE"""),"20170719WIHIM")</f>
        <v>20170719WIHIM</v>
      </c>
      <c r="B1197" s="5" t="str">
        <f ca="1">IFERROR(__xludf.DUMMYFUNCTION("""COMPUTED_VALUE"""),"Wounded")</f>
        <v>Wounded</v>
      </c>
      <c r="C1197" s="5" t="str">
        <f ca="1">IFERROR(__xludf.DUMMYFUNCTION("""COMPUTED_VALUE"""),"Male")</f>
        <v>Male</v>
      </c>
      <c r="D1197" s="5" t="str">
        <f ca="1">IFERROR(__xludf.DUMMYFUNCTION("""COMPUTED_VALUE"""),"No Relation")</f>
        <v>No Relation</v>
      </c>
      <c r="E1197" s="5">
        <f ca="1">IFERROR(__xludf.DUMMYFUNCTION("""COMPUTED_VALUE"""),32)</f>
        <v>32</v>
      </c>
      <c r="F1197" s="5"/>
    </row>
    <row r="1198" spans="1:6" ht="13">
      <c r="A1198" s="5" t="str">
        <f ca="1">IFERROR(__xludf.DUMMYFUNCTION("""COMPUTED_VALUE"""),"20170622SCWIF")</f>
        <v>20170622SCWIF</v>
      </c>
      <c r="B1198" s="5" t="str">
        <f ca="1">IFERROR(__xludf.DUMMYFUNCTION("""COMPUTED_VALUE"""),"None")</f>
        <v>None</v>
      </c>
      <c r="C1198" s="5" t="str">
        <f ca="1">IFERROR(__xludf.DUMMYFUNCTION("""COMPUTED_VALUE"""),"Male")</f>
        <v>Male</v>
      </c>
      <c r="D1198" s="5" t="str">
        <f ca="1">IFERROR(__xludf.DUMMYFUNCTION("""COMPUTED_VALUE"""),"Student")</f>
        <v>Student</v>
      </c>
      <c r="E1198" s="5" t="str">
        <f ca="1">IFERROR(__xludf.DUMMYFUNCTION("""COMPUTED_VALUE"""),"Teen")</f>
        <v>Teen</v>
      </c>
      <c r="F1198" s="5"/>
    </row>
    <row r="1199" spans="1:6" ht="13">
      <c r="A1199" s="5" t="str">
        <f ca="1">IFERROR(__xludf.DUMMYFUNCTION("""COMPUTED_VALUE"""),"20170616ILWAC")</f>
        <v>20170616ILWAC</v>
      </c>
      <c r="B1199" s="5" t="str">
        <f ca="1">IFERROR(__xludf.DUMMYFUNCTION("""COMPUTED_VALUE"""),"Wounded")</f>
        <v>Wounded</v>
      </c>
      <c r="C1199" s="5" t="str">
        <f ca="1">IFERROR(__xludf.DUMMYFUNCTION("""COMPUTED_VALUE"""),"Female")</f>
        <v>Female</v>
      </c>
      <c r="D1199" s="5" t="str">
        <f ca="1">IFERROR(__xludf.DUMMYFUNCTION("""COMPUTED_VALUE"""),"Student")</f>
        <v>Student</v>
      </c>
      <c r="E1199" s="5">
        <f ca="1">IFERROR(__xludf.DUMMYFUNCTION("""COMPUTED_VALUE"""),12)</f>
        <v>12</v>
      </c>
      <c r="F1199" s="5"/>
    </row>
    <row r="1200" spans="1:6" ht="13">
      <c r="A1200" s="5" t="str">
        <f ca="1">IFERROR(__xludf.DUMMYFUNCTION("""COMPUTED_VALUE"""),"20170616ILWAC")</f>
        <v>20170616ILWAC</v>
      </c>
      <c r="B1200" s="5" t="str">
        <f ca="1">IFERROR(__xludf.DUMMYFUNCTION("""COMPUTED_VALUE"""),"Wounded")</f>
        <v>Wounded</v>
      </c>
      <c r="C1200" s="5" t="str">
        <f ca="1">IFERROR(__xludf.DUMMYFUNCTION("""COMPUTED_VALUE"""),"Female")</f>
        <v>Female</v>
      </c>
      <c r="D1200" s="5" t="str">
        <f ca="1">IFERROR(__xludf.DUMMYFUNCTION("""COMPUTED_VALUE"""),"Student")</f>
        <v>Student</v>
      </c>
      <c r="E1200" s="5">
        <f ca="1">IFERROR(__xludf.DUMMYFUNCTION("""COMPUTED_VALUE"""),7)</f>
        <v>7</v>
      </c>
      <c r="F1200" s="5"/>
    </row>
    <row r="1201" spans="1:6" ht="13">
      <c r="A1201" s="5" t="str">
        <f ca="1">IFERROR(__xludf.DUMMYFUNCTION("""COMPUTED_VALUE"""),"20170526OKMCT")</f>
        <v>20170526OKMCT</v>
      </c>
      <c r="B1201" s="5" t="str">
        <f ca="1">IFERROR(__xludf.DUMMYFUNCTION("""COMPUTED_VALUE"""),"Wounded")</f>
        <v>Wounded</v>
      </c>
      <c r="C1201" s="5" t="str">
        <f ca="1">IFERROR(__xludf.DUMMYFUNCTION("""COMPUTED_VALUE"""),"Male")</f>
        <v>Male</v>
      </c>
      <c r="D1201" s="5" t="str">
        <f ca="1">IFERROR(__xludf.DUMMYFUNCTION("""COMPUTED_VALUE"""),"Student")</f>
        <v>Student</v>
      </c>
      <c r="E1201" s="5">
        <f ca="1">IFERROR(__xludf.DUMMYFUNCTION("""COMPUTED_VALUE"""),13)</f>
        <v>13</v>
      </c>
      <c r="F1201" s="5"/>
    </row>
    <row r="1202" spans="1:6" ht="13">
      <c r="A1202" s="5" t="str">
        <f ca="1">IFERROR(__xludf.DUMMYFUNCTION("""COMPUTED_VALUE"""),"20170524NEMCO")</f>
        <v>20170524NEMCO</v>
      </c>
      <c r="B1202" s="5" t="str">
        <f ca="1">IFERROR(__xludf.DUMMYFUNCTION("""COMPUTED_VALUE"""),"Fatal")</f>
        <v>Fatal</v>
      </c>
      <c r="C1202" s="5" t="str">
        <f ca="1">IFERROR(__xludf.DUMMYFUNCTION("""COMPUTED_VALUE"""),"Male")</f>
        <v>Male</v>
      </c>
      <c r="D1202" s="5"/>
      <c r="E1202" s="5">
        <f ca="1">IFERROR(__xludf.DUMMYFUNCTION("""COMPUTED_VALUE"""),21)</f>
        <v>21</v>
      </c>
      <c r="F1202" s="5" t="str">
        <f ca="1">IFERROR(__xludf.DUMMYFUNCTION("""COMPUTED_VALUE"""),"Black")</f>
        <v>Black</v>
      </c>
    </row>
    <row r="1203" spans="1:6" ht="13">
      <c r="A1203" s="5" t="str">
        <f ca="1">IFERROR(__xludf.DUMMYFUNCTION("""COMPUTED_VALUE"""),"20170524ALGRG")</f>
        <v>20170524ALGRG</v>
      </c>
      <c r="B1203" s="5" t="str">
        <f ca="1">IFERROR(__xludf.DUMMYFUNCTION("""COMPUTED_VALUE"""),"None")</f>
        <v>None</v>
      </c>
      <c r="C1203" s="5"/>
      <c r="D1203" s="5" t="str">
        <f ca="1">IFERROR(__xludf.DUMMYFUNCTION("""COMPUTED_VALUE"""),"Student")</f>
        <v>Student</v>
      </c>
      <c r="E1203" s="5" t="str">
        <f ca="1">IFERROR(__xludf.DUMMYFUNCTION("""COMPUTED_VALUE"""),"Teen")</f>
        <v>Teen</v>
      </c>
      <c r="F1203" s="5"/>
    </row>
    <row r="1204" spans="1:6" ht="13">
      <c r="A1204" s="5" t="str">
        <f ca="1">IFERROR(__xludf.DUMMYFUNCTION("""COMPUTED_VALUE"""),"20170523TXKEK")</f>
        <v>20170523TXKEK</v>
      </c>
      <c r="B1204" s="5" t="str">
        <f ca="1">IFERROR(__xludf.DUMMYFUNCTION("""COMPUTED_VALUE"""),"None")</f>
        <v>None</v>
      </c>
      <c r="C1204" s="5" t="str">
        <f ca="1">IFERROR(__xludf.DUMMYFUNCTION("""COMPUTED_VALUE"""),"Male")</f>
        <v>Male</v>
      </c>
      <c r="D1204" s="5" t="str">
        <f ca="1">IFERROR(__xludf.DUMMYFUNCTION("""COMPUTED_VALUE"""),"Principal/Vice-Principal")</f>
        <v>Principal/Vice-Principal</v>
      </c>
      <c r="E1204" s="5" t="str">
        <f ca="1">IFERROR(__xludf.DUMMYFUNCTION("""COMPUTED_VALUE"""),"Adult")</f>
        <v>Adult</v>
      </c>
      <c r="F1204" s="5"/>
    </row>
    <row r="1205" spans="1:6" ht="13">
      <c r="A1205" s="5" t="str">
        <f ca="1">IFERROR(__xludf.DUMMYFUNCTION("""COMPUTED_VALUE"""),"20170515LAMOL")</f>
        <v>20170515LAMOL</v>
      </c>
      <c r="B1205" s="5" t="str">
        <f ca="1">IFERROR(__xludf.DUMMYFUNCTION("""COMPUTED_VALUE"""),"Wounded")</f>
        <v>Wounded</v>
      </c>
      <c r="C1205" s="5" t="str">
        <f ca="1">IFERROR(__xludf.DUMMYFUNCTION("""COMPUTED_VALUE"""),"Male")</f>
        <v>Male</v>
      </c>
      <c r="D1205" s="5" t="str">
        <f ca="1">IFERROR(__xludf.DUMMYFUNCTION("""COMPUTED_VALUE"""),"Student")</f>
        <v>Student</v>
      </c>
      <c r="E1205" s="5" t="str">
        <f ca="1">IFERROR(__xludf.DUMMYFUNCTION("""COMPUTED_VALUE"""),"Teen")</f>
        <v>Teen</v>
      </c>
      <c r="F1205" s="5"/>
    </row>
    <row r="1206" spans="1:6" ht="13">
      <c r="A1206" s="5" t="str">
        <f ca="1">IFERROR(__xludf.DUMMYFUNCTION("""COMPUTED_VALUE"""),"20170415ORMEP")</f>
        <v>20170415ORMEP</v>
      </c>
      <c r="B1206" s="5" t="str">
        <f ca="1">IFERROR(__xludf.DUMMYFUNCTION("""COMPUTED_VALUE"""),"Fatal")</f>
        <v>Fatal</v>
      </c>
      <c r="C1206" s="5" t="str">
        <f ca="1">IFERROR(__xludf.DUMMYFUNCTION("""COMPUTED_VALUE"""),"Male")</f>
        <v>Male</v>
      </c>
      <c r="D1206" s="5" t="str">
        <f ca="1">IFERROR(__xludf.DUMMYFUNCTION("""COMPUTED_VALUE"""),"Nonstudent Using Athletic Facilities/Attending Game")</f>
        <v>Nonstudent Using Athletic Facilities/Attending Game</v>
      </c>
      <c r="E1206" s="5">
        <f ca="1">IFERROR(__xludf.DUMMYFUNCTION("""COMPUTED_VALUE"""),38)</f>
        <v>38</v>
      </c>
      <c r="F1206" s="5" t="str">
        <f ca="1">IFERROR(__xludf.DUMMYFUNCTION("""COMPUTED_VALUE"""),"White")</f>
        <v>White</v>
      </c>
    </row>
    <row r="1207" spans="1:6" ht="13">
      <c r="A1207" s="5" t="str">
        <f ca="1">IFERROR(__xludf.DUMMYFUNCTION("""COMPUTED_VALUE"""),"20170415OKBOT")</f>
        <v>20170415OKBOT</v>
      </c>
      <c r="B1207" s="5" t="str">
        <f ca="1">IFERROR(__xludf.DUMMYFUNCTION("""COMPUTED_VALUE"""),"Wounded")</f>
        <v>Wounded</v>
      </c>
      <c r="C1207" s="5" t="str">
        <f ca="1">IFERROR(__xludf.DUMMYFUNCTION("""COMPUTED_VALUE"""),"Male")</f>
        <v>Male</v>
      </c>
      <c r="D1207" s="5" t="str">
        <f ca="1">IFERROR(__xludf.DUMMYFUNCTION("""COMPUTED_VALUE"""),"Former Student")</f>
        <v>Former Student</v>
      </c>
      <c r="E1207" s="5">
        <f ca="1">IFERROR(__xludf.DUMMYFUNCTION("""COMPUTED_VALUE"""),52)</f>
        <v>52</v>
      </c>
      <c r="F1207" s="5"/>
    </row>
    <row r="1208" spans="1:6" ht="13">
      <c r="A1208" s="5" t="str">
        <f ca="1">IFERROR(__xludf.DUMMYFUNCTION("""COMPUTED_VALUE"""),"20170410CANOS")</f>
        <v>20170410CANOS</v>
      </c>
      <c r="B1208" s="5" t="str">
        <f ca="1">IFERROR(__xludf.DUMMYFUNCTION("""COMPUTED_VALUE"""),"Wounded")</f>
        <v>Wounded</v>
      </c>
      <c r="C1208" s="5"/>
      <c r="D1208" s="5" t="str">
        <f ca="1">IFERROR(__xludf.DUMMYFUNCTION("""COMPUTED_VALUE"""),"Student")</f>
        <v>Student</v>
      </c>
      <c r="E1208" s="5">
        <f ca="1">IFERROR(__xludf.DUMMYFUNCTION("""COMPUTED_VALUE"""),8)</f>
        <v>8</v>
      </c>
      <c r="F1208" s="5"/>
    </row>
    <row r="1209" spans="1:6" ht="13">
      <c r="A1209" s="5" t="str">
        <f ca="1">IFERROR(__xludf.DUMMYFUNCTION("""COMPUTED_VALUE"""),"20170410CANOS")</f>
        <v>20170410CANOS</v>
      </c>
      <c r="B1209" s="5" t="str">
        <f ca="1">IFERROR(__xludf.DUMMYFUNCTION("""COMPUTED_VALUE"""),"Wounded")</f>
        <v>Wounded</v>
      </c>
      <c r="C1209" s="5"/>
      <c r="D1209" s="5" t="str">
        <f ca="1">IFERROR(__xludf.DUMMYFUNCTION("""COMPUTED_VALUE"""),"Student")</f>
        <v>Student</v>
      </c>
      <c r="E1209" s="5">
        <f ca="1">IFERROR(__xludf.DUMMYFUNCTION("""COMPUTED_VALUE"""),9)</f>
        <v>9</v>
      </c>
      <c r="F1209" s="5"/>
    </row>
    <row r="1210" spans="1:6" ht="13">
      <c r="A1210" s="5" t="str">
        <f ca="1">IFERROR(__xludf.DUMMYFUNCTION("""COMPUTED_VALUE"""),"20170410CANOS")</f>
        <v>20170410CANOS</v>
      </c>
      <c r="B1210" s="5" t="str">
        <f ca="1">IFERROR(__xludf.DUMMYFUNCTION("""COMPUTED_VALUE"""),"Fatal")</f>
        <v>Fatal</v>
      </c>
      <c r="C1210" s="5" t="str">
        <f ca="1">IFERROR(__xludf.DUMMYFUNCTION("""COMPUTED_VALUE"""),"Female")</f>
        <v>Female</v>
      </c>
      <c r="D1210" s="5" t="str">
        <f ca="1">IFERROR(__xludf.DUMMYFUNCTION("""COMPUTED_VALUE"""),"Teacher")</f>
        <v>Teacher</v>
      </c>
      <c r="E1210" s="5">
        <f ca="1">IFERROR(__xludf.DUMMYFUNCTION("""COMPUTED_VALUE"""),53)</f>
        <v>53</v>
      </c>
      <c r="F1210" s="5"/>
    </row>
    <row r="1211" spans="1:6" ht="13">
      <c r="A1211" s="5" t="str">
        <f ca="1">IFERROR(__xludf.DUMMYFUNCTION("""COMPUTED_VALUE"""),"20170328PALIP")</f>
        <v>20170328PALIP</v>
      </c>
      <c r="B1211" s="5" t="str">
        <f ca="1">IFERROR(__xludf.DUMMYFUNCTION("""COMPUTED_VALUE"""),"Wounded")</f>
        <v>Wounded</v>
      </c>
      <c r="C1211" s="5" t="str">
        <f ca="1">IFERROR(__xludf.DUMMYFUNCTION("""COMPUTED_VALUE"""),"Male")</f>
        <v>Male</v>
      </c>
      <c r="D1211" s="5" t="str">
        <f ca="1">IFERROR(__xludf.DUMMYFUNCTION("""COMPUTED_VALUE"""),"Nonstudent Using Athletic Facilities/Attending Game")</f>
        <v>Nonstudent Using Athletic Facilities/Attending Game</v>
      </c>
      <c r="E1211" s="5">
        <f ca="1">IFERROR(__xludf.DUMMYFUNCTION("""COMPUTED_VALUE"""),22)</f>
        <v>22</v>
      </c>
      <c r="F1211" s="5"/>
    </row>
    <row r="1212" spans="1:6" ht="13">
      <c r="A1212" s="5" t="str">
        <f ca="1">IFERROR(__xludf.DUMMYFUNCTION("""COMPUTED_VALUE"""),"20170321CAKIK")</f>
        <v>20170321CAKIK</v>
      </c>
      <c r="B1212" s="5" t="str">
        <f ca="1">IFERROR(__xludf.DUMMYFUNCTION("""COMPUTED_VALUE"""),"Wounded")</f>
        <v>Wounded</v>
      </c>
      <c r="C1212" s="5" t="str">
        <f ca="1">IFERROR(__xludf.DUMMYFUNCTION("""COMPUTED_VALUE"""),"Male")</f>
        <v>Male</v>
      </c>
      <c r="D1212" s="5" t="str">
        <f ca="1">IFERROR(__xludf.DUMMYFUNCTION("""COMPUTED_VALUE"""),"Student")</f>
        <v>Student</v>
      </c>
      <c r="E1212" s="5">
        <f ca="1">IFERROR(__xludf.DUMMYFUNCTION("""COMPUTED_VALUE"""),18)</f>
        <v>18</v>
      </c>
      <c r="F1212" s="5"/>
    </row>
    <row r="1213" spans="1:6" ht="13">
      <c r="A1213" s="5" t="str">
        <f ca="1">IFERROR(__xludf.DUMMYFUNCTION("""COMPUTED_VALUE"""),"20170316ALROM")</f>
        <v>20170316ALROM</v>
      </c>
      <c r="B1213" s="5" t="str">
        <f ca="1">IFERROR(__xludf.DUMMYFUNCTION("""COMPUTED_VALUE"""),"Wounded")</f>
        <v>Wounded</v>
      </c>
      <c r="C1213" s="5" t="str">
        <f ca="1">IFERROR(__xludf.DUMMYFUNCTION("""COMPUTED_VALUE"""),"Female")</f>
        <v>Female</v>
      </c>
      <c r="D1213" s="5" t="str">
        <f ca="1">IFERROR(__xludf.DUMMYFUNCTION("""COMPUTED_VALUE"""),"Student")</f>
        <v>Student</v>
      </c>
      <c r="E1213" s="5" t="str">
        <f ca="1">IFERROR(__xludf.DUMMYFUNCTION("""COMPUTED_VALUE"""),"Teen")</f>
        <v>Teen</v>
      </c>
      <c r="F1213" s="5"/>
    </row>
    <row r="1214" spans="1:6" ht="13">
      <c r="A1214" s="5" t="str">
        <f ca="1">IFERROR(__xludf.DUMMYFUNCTION("""COMPUTED_VALUE"""),"20170218MNMAM")</f>
        <v>20170218MNMAM</v>
      </c>
      <c r="B1214" s="5" t="str">
        <f ca="1">IFERROR(__xludf.DUMMYFUNCTION("""COMPUTED_VALUE"""),"None")</f>
        <v>None</v>
      </c>
      <c r="C1214" s="5" t="str">
        <f ca="1">IFERROR(__xludf.DUMMYFUNCTION("""COMPUTED_VALUE"""),"Female")</f>
        <v>Female</v>
      </c>
      <c r="D1214" s="5" t="str">
        <f ca="1">IFERROR(__xludf.DUMMYFUNCTION("""COMPUTED_VALUE"""),"Intimate Relationship")</f>
        <v>Intimate Relationship</v>
      </c>
      <c r="E1214" s="5" t="str">
        <f ca="1">IFERROR(__xludf.DUMMYFUNCTION("""COMPUTED_VALUE"""),"Adult")</f>
        <v>Adult</v>
      </c>
      <c r="F1214" s="5"/>
    </row>
    <row r="1215" spans="1:6" ht="13">
      <c r="A1215" s="5" t="str">
        <f ca="1">IFERROR(__xludf.DUMMYFUNCTION("""COMPUTED_VALUE"""),"20170206LASCB")</f>
        <v>20170206LASCB</v>
      </c>
      <c r="B1215" s="5" t="str">
        <f ca="1">IFERROR(__xludf.DUMMYFUNCTION("""COMPUTED_VALUE"""),"None")</f>
        <v>None</v>
      </c>
      <c r="C1215" s="5"/>
      <c r="D1215" s="5"/>
      <c r="E1215" s="5"/>
      <c r="F1215" s="5"/>
    </row>
    <row r="1216" spans="1:6" ht="13">
      <c r="A1216" s="5" t="str">
        <f ca="1">IFERROR(__xludf.DUMMYFUNCTION("""COMPUTED_VALUE"""),"20170127SCSOA")</f>
        <v>20170127SCSOA</v>
      </c>
      <c r="B1216" s="5" t="str">
        <f ca="1">IFERROR(__xludf.DUMMYFUNCTION("""COMPUTED_VALUE"""),"Wounded")</f>
        <v>Wounded</v>
      </c>
      <c r="C1216" s="5" t="str">
        <f ca="1">IFERROR(__xludf.DUMMYFUNCTION("""COMPUTED_VALUE"""),"Female")</f>
        <v>Female</v>
      </c>
      <c r="D1216" s="5" t="str">
        <f ca="1">IFERROR(__xludf.DUMMYFUNCTION("""COMPUTED_VALUE"""),"Student")</f>
        <v>Student</v>
      </c>
      <c r="E1216" s="5">
        <f ca="1">IFERROR(__xludf.DUMMYFUNCTION("""COMPUTED_VALUE"""),15)</f>
        <v>15</v>
      </c>
      <c r="F1216" s="5"/>
    </row>
    <row r="1217" spans="1:6" ht="13">
      <c r="A1217" s="5" t="str">
        <f ca="1">IFERROR(__xludf.DUMMYFUNCTION("""COMPUTED_VALUE"""),"20170127SCSOA")</f>
        <v>20170127SCSOA</v>
      </c>
      <c r="B1217" s="5" t="str">
        <f ca="1">IFERROR(__xludf.DUMMYFUNCTION("""COMPUTED_VALUE"""),"Wounded")</f>
        <v>Wounded</v>
      </c>
      <c r="C1217" s="5" t="str">
        <f ca="1">IFERROR(__xludf.DUMMYFUNCTION("""COMPUTED_VALUE"""),"Male")</f>
        <v>Male</v>
      </c>
      <c r="D1217" s="5" t="str">
        <f ca="1">IFERROR(__xludf.DUMMYFUNCTION("""COMPUTED_VALUE"""),"Nonstudent Using Athletic Facilities/Attending Game")</f>
        <v>Nonstudent Using Athletic Facilities/Attending Game</v>
      </c>
      <c r="E1217" s="5">
        <f ca="1">IFERROR(__xludf.DUMMYFUNCTION("""COMPUTED_VALUE"""),19)</f>
        <v>19</v>
      </c>
      <c r="F1217" s="5"/>
    </row>
    <row r="1218" spans="1:6" ht="13">
      <c r="A1218" s="5" t="str">
        <f ca="1">IFERROR(__xludf.DUMMYFUNCTION("""COMPUTED_VALUE"""),"20170127SCSOA")</f>
        <v>20170127SCSOA</v>
      </c>
      <c r="B1218" s="5" t="str">
        <f ca="1">IFERROR(__xludf.DUMMYFUNCTION("""COMPUTED_VALUE"""),"Wounded")</f>
        <v>Wounded</v>
      </c>
      <c r="C1218" s="5" t="str">
        <f ca="1">IFERROR(__xludf.DUMMYFUNCTION("""COMPUTED_VALUE"""),"Female")</f>
        <v>Female</v>
      </c>
      <c r="D1218" s="5" t="str">
        <f ca="1">IFERROR(__xludf.DUMMYFUNCTION("""COMPUTED_VALUE"""),"Student")</f>
        <v>Student</v>
      </c>
      <c r="E1218" s="5">
        <f ca="1">IFERROR(__xludf.DUMMYFUNCTION("""COMPUTED_VALUE"""),13)</f>
        <v>13</v>
      </c>
      <c r="F1218" s="5"/>
    </row>
    <row r="1219" spans="1:6" ht="13">
      <c r="A1219" s="5" t="str">
        <f ca="1">IFERROR(__xludf.DUMMYFUNCTION("""COMPUTED_VALUE"""),"20170127ILSCN")</f>
        <v>20170127ILSCN</v>
      </c>
      <c r="B1219" s="5" t="str">
        <f ca="1">IFERROR(__xludf.DUMMYFUNCTION("""COMPUTED_VALUE"""),"Fatal")</f>
        <v>Fatal</v>
      </c>
      <c r="C1219" s="5" t="str">
        <f ca="1">IFERROR(__xludf.DUMMYFUNCTION("""COMPUTED_VALUE"""),"Male")</f>
        <v>Male</v>
      </c>
      <c r="D1219" s="5" t="str">
        <f ca="1">IFERROR(__xludf.DUMMYFUNCTION("""COMPUTED_VALUE"""),"Parent")</f>
        <v>Parent</v>
      </c>
      <c r="E1219" s="5">
        <f ca="1">IFERROR(__xludf.DUMMYFUNCTION("""COMPUTED_VALUE"""),37)</f>
        <v>37</v>
      </c>
      <c r="F1219" s="5" t="str">
        <f ca="1">IFERROR(__xludf.DUMMYFUNCTION("""COMPUTED_VALUE"""),"White")</f>
        <v>White</v>
      </c>
    </row>
    <row r="1220" spans="1:6" ht="13">
      <c r="A1220" s="5" t="str">
        <f ca="1">IFERROR(__xludf.DUMMYFUNCTION("""COMPUTED_VALUE"""),"20170120OHWEW")</f>
        <v>20170120OHWEW</v>
      </c>
      <c r="B1220" s="5" t="str">
        <f ca="1">IFERROR(__xludf.DUMMYFUNCTION("""COMPUTED_VALUE"""),"Wounded")</f>
        <v>Wounded</v>
      </c>
      <c r="C1220" s="5" t="str">
        <f ca="1">IFERROR(__xludf.DUMMYFUNCTION("""COMPUTED_VALUE"""),"Male")</f>
        <v>Male</v>
      </c>
      <c r="D1220" s="5" t="str">
        <f ca="1">IFERROR(__xludf.DUMMYFUNCTION("""COMPUTED_VALUE"""),"Student")</f>
        <v>Student</v>
      </c>
      <c r="E1220" s="5">
        <f ca="1">IFERROR(__xludf.DUMMYFUNCTION("""COMPUTED_VALUE"""),16)</f>
        <v>16</v>
      </c>
      <c r="F1220" s="5"/>
    </row>
    <row r="1221" spans="1:6" ht="13">
      <c r="A1221" s="5" t="str">
        <f ca="1">IFERROR(__xludf.DUMMYFUNCTION("""COMPUTED_VALUE"""),"20170117FLFRE")</f>
        <v>20170117FLFRE</v>
      </c>
      <c r="B1221" s="5" t="str">
        <f ca="1">IFERROR(__xludf.DUMMYFUNCTION("""COMPUTED_VALUE"""),"None")</f>
        <v>None</v>
      </c>
      <c r="C1221" s="5"/>
      <c r="D1221" s="5"/>
      <c r="E1221" s="5"/>
      <c r="F1221" s="5"/>
    </row>
    <row r="1222" spans="1:6" ht="13">
      <c r="A1222" s="5" t="str">
        <f ca="1">IFERROR(__xludf.DUMMYFUNCTION("""COMPUTED_VALUE"""),"20170110ALALA")</f>
        <v>20170110ALALA</v>
      </c>
      <c r="B1222" s="5" t="str">
        <f ca="1">IFERROR(__xludf.DUMMYFUNCTION("""COMPUTED_VALUE"""),"None")</f>
        <v>None</v>
      </c>
      <c r="C1222" s="5"/>
      <c r="D1222" s="5"/>
      <c r="E1222" s="5"/>
      <c r="F1222" s="5"/>
    </row>
    <row r="1223" spans="1:6" ht="13">
      <c r="A1223" s="5" t="str">
        <f ca="1">IFERROR(__xludf.DUMMYFUNCTION("""COMPUTED_VALUE"""),"20170101DELAH")</f>
        <v>20170101DELAH</v>
      </c>
      <c r="B1223" s="5" t="str">
        <f ca="1">IFERROR(__xludf.DUMMYFUNCTION("""COMPUTED_VALUE"""),"Wounded")</f>
        <v>Wounded</v>
      </c>
      <c r="C1223" s="5" t="str">
        <f ca="1">IFERROR(__xludf.DUMMYFUNCTION("""COMPUTED_VALUE"""),"Male")</f>
        <v>Male</v>
      </c>
      <c r="D1223" s="5" t="str">
        <f ca="1">IFERROR(__xludf.DUMMYFUNCTION("""COMPUTED_VALUE"""),"Unknown")</f>
        <v>Unknown</v>
      </c>
      <c r="E1223" s="5">
        <f ca="1">IFERROR(__xludf.DUMMYFUNCTION("""COMPUTED_VALUE"""),17)</f>
        <v>17</v>
      </c>
      <c r="F1223" s="5"/>
    </row>
    <row r="1224" spans="1:6" ht="13">
      <c r="A1224" s="5" t="str">
        <f ca="1">IFERROR(__xludf.DUMMYFUNCTION("""COMPUTED_VALUE"""),"20161216FLSAJ")</f>
        <v>20161216FLSAJ</v>
      </c>
      <c r="B1224" s="5" t="str">
        <f ca="1">IFERROR(__xludf.DUMMYFUNCTION("""COMPUTED_VALUE"""),"Minor Injuries")</f>
        <v>Minor Injuries</v>
      </c>
      <c r="C1224" s="5"/>
      <c r="D1224" s="5" t="str">
        <f ca="1">IFERROR(__xludf.DUMMYFUNCTION("""COMPUTED_VALUE"""),"Student")</f>
        <v>Student</v>
      </c>
      <c r="E1224" s="5" t="str">
        <f ca="1">IFERROR(__xludf.DUMMYFUNCTION("""COMPUTED_VALUE"""),"Teen")</f>
        <v>Teen</v>
      </c>
      <c r="F1224" s="5"/>
    </row>
    <row r="1225" spans="1:6" ht="13">
      <c r="A1225" s="5" t="str">
        <f ca="1">IFERROR(__xludf.DUMMYFUNCTION("""COMPUTED_VALUE"""),"20161209NVHUR")</f>
        <v>20161209NVHUR</v>
      </c>
      <c r="B1225" s="5" t="str">
        <f ca="1">IFERROR(__xludf.DUMMYFUNCTION("""COMPUTED_VALUE"""),"Wounded")</f>
        <v>Wounded</v>
      </c>
      <c r="C1225" s="5" t="str">
        <f ca="1">IFERROR(__xludf.DUMMYFUNCTION("""COMPUTED_VALUE"""),"Male")</f>
        <v>Male</v>
      </c>
      <c r="D1225" s="5" t="str">
        <f ca="1">IFERROR(__xludf.DUMMYFUNCTION("""COMPUTED_VALUE"""),"Student")</f>
        <v>Student</v>
      </c>
      <c r="E1225" s="5">
        <f ca="1">IFERROR(__xludf.DUMMYFUNCTION("""COMPUTED_VALUE"""),14)</f>
        <v>14</v>
      </c>
      <c r="F1225" s="5" t="str">
        <f ca="1">IFERROR(__xludf.DUMMYFUNCTION("""COMPUTED_VALUE"""),"White")</f>
        <v>White</v>
      </c>
    </row>
    <row r="1226" spans="1:6" ht="13">
      <c r="A1226" s="5" t="str">
        <f ca="1">IFERROR(__xludf.DUMMYFUNCTION("""COMPUTED_VALUE"""),"20161209MOBAS")</f>
        <v>20161209MOBAS</v>
      </c>
      <c r="B1226" s="5" t="str">
        <f ca="1">IFERROR(__xludf.DUMMYFUNCTION("""COMPUTED_VALUE"""),"Wounded")</f>
        <v>Wounded</v>
      </c>
      <c r="C1226" s="5" t="str">
        <f ca="1">IFERROR(__xludf.DUMMYFUNCTION("""COMPUTED_VALUE"""),"Male")</f>
        <v>Male</v>
      </c>
      <c r="D1226" s="5" t="str">
        <f ca="1">IFERROR(__xludf.DUMMYFUNCTION("""COMPUTED_VALUE"""),"Former Student")</f>
        <v>Former Student</v>
      </c>
      <c r="E1226" s="5">
        <f ca="1">IFERROR(__xludf.DUMMYFUNCTION("""COMPUTED_VALUE"""),19)</f>
        <v>19</v>
      </c>
      <c r="F1226" s="5" t="str">
        <f ca="1">IFERROR(__xludf.DUMMYFUNCTION("""COMPUTED_VALUE"""),"Black")</f>
        <v>Black</v>
      </c>
    </row>
    <row r="1227" spans="1:6" ht="13">
      <c r="A1227" s="5" t="str">
        <f ca="1">IFERROR(__xludf.DUMMYFUNCTION("""COMPUTED_VALUE"""),"20161201UTMUB")</f>
        <v>20161201UTMUB</v>
      </c>
      <c r="B1227" s="5" t="str">
        <f ca="1">IFERROR(__xludf.DUMMYFUNCTION("""COMPUTED_VALUE"""),"None")</f>
        <v>None</v>
      </c>
      <c r="C1227" s="5"/>
      <c r="D1227" s="5"/>
      <c r="E1227" s="5"/>
      <c r="F1227" s="5"/>
    </row>
    <row r="1228" spans="1:6" ht="13">
      <c r="A1228" s="5" t="str">
        <f ca="1">IFERROR(__xludf.DUMMYFUNCTION("""COMPUTED_VALUE"""),"20161117MNCRS")</f>
        <v>20161117MNCRS</v>
      </c>
      <c r="B1228" s="5" t="str">
        <f ca="1">IFERROR(__xludf.DUMMYFUNCTION("""COMPUTED_VALUE"""),"None")</f>
        <v>None</v>
      </c>
      <c r="C1228" s="5"/>
      <c r="D1228" s="5"/>
      <c r="E1228" s="5"/>
      <c r="F1228" s="5"/>
    </row>
    <row r="1229" spans="1:6" ht="13">
      <c r="A1229" s="5" t="str">
        <f ca="1">IFERROR(__xludf.DUMMYFUNCTION("""COMPUTED_VALUE"""),"20161111MIBAA")</f>
        <v>20161111MIBAA</v>
      </c>
      <c r="B1229" s="5" t="str">
        <f ca="1">IFERROR(__xludf.DUMMYFUNCTION("""COMPUTED_VALUE"""),"Wounded")</f>
        <v>Wounded</v>
      </c>
      <c r="C1229" s="5" t="str">
        <f ca="1">IFERROR(__xludf.DUMMYFUNCTION("""COMPUTED_VALUE"""),"Female")</f>
        <v>Female</v>
      </c>
      <c r="D1229" s="5" t="str">
        <f ca="1">IFERROR(__xludf.DUMMYFUNCTION("""COMPUTED_VALUE"""),"Teacher")</f>
        <v>Teacher</v>
      </c>
      <c r="E1229" s="5" t="str">
        <f ca="1">IFERROR(__xludf.DUMMYFUNCTION("""COMPUTED_VALUE"""),"Adult")</f>
        <v>Adult</v>
      </c>
      <c r="F1229" s="5"/>
    </row>
    <row r="1230" spans="1:6" ht="13">
      <c r="A1230" s="5" t="str">
        <f ca="1">IFERROR(__xludf.DUMMYFUNCTION("""COMPUTED_VALUE"""),"20161103COBEB")</f>
        <v>20161103COBEB</v>
      </c>
      <c r="B1230" s="5" t="str">
        <f ca="1">IFERROR(__xludf.DUMMYFUNCTION("""COMPUTED_VALUE"""),"None")</f>
        <v>None</v>
      </c>
      <c r="C1230" s="5" t="str">
        <f ca="1">IFERROR(__xludf.DUMMYFUNCTION("""COMPUTED_VALUE"""),"Male")</f>
        <v>Male</v>
      </c>
      <c r="D1230" s="5" t="str">
        <f ca="1">IFERROR(__xludf.DUMMYFUNCTION("""COMPUTED_VALUE"""),"Student")</f>
        <v>Student</v>
      </c>
      <c r="E1230" s="5">
        <f ca="1">IFERROR(__xludf.DUMMYFUNCTION("""COMPUTED_VALUE"""),15)</f>
        <v>15</v>
      </c>
      <c r="F1230" s="5"/>
    </row>
    <row r="1231" spans="1:6" ht="13">
      <c r="A1231" s="5" t="str">
        <f ca="1">IFERROR(__xludf.DUMMYFUNCTION("""COMPUTED_VALUE"""),"20161102COGRG")</f>
        <v>20161102COGRG</v>
      </c>
      <c r="B1231" s="5" t="str">
        <f ca="1">IFERROR(__xludf.DUMMYFUNCTION("""COMPUTED_VALUE"""),"None")</f>
        <v>None</v>
      </c>
      <c r="C1231" s="5" t="str">
        <f ca="1">IFERROR(__xludf.DUMMYFUNCTION("""COMPUTED_VALUE"""),"Male")</f>
        <v>Male</v>
      </c>
      <c r="D1231" s="5" t="str">
        <f ca="1">IFERROR(__xludf.DUMMYFUNCTION("""COMPUTED_VALUE"""),"Student")</f>
        <v>Student</v>
      </c>
      <c r="E1231" s="5">
        <f ca="1">IFERROR(__xludf.DUMMYFUNCTION("""COMPUTED_VALUE"""),17)</f>
        <v>17</v>
      </c>
      <c r="F1231" s="5" t="str">
        <f ca="1">IFERROR(__xludf.DUMMYFUNCTION("""COMPUTED_VALUE"""),"Hispanic")</f>
        <v>Hispanic</v>
      </c>
    </row>
    <row r="1232" spans="1:6" ht="13">
      <c r="A1232" s="5" t="str">
        <f ca="1">IFERROR(__xludf.DUMMYFUNCTION("""COMPUTED_VALUE"""),"20161025UTUNS")</f>
        <v>20161025UTUNS</v>
      </c>
      <c r="B1232" s="5" t="str">
        <f ca="1">IFERROR(__xludf.DUMMYFUNCTION("""COMPUTED_VALUE"""),"Wounded")</f>
        <v>Wounded</v>
      </c>
      <c r="C1232" s="5" t="str">
        <f ca="1">IFERROR(__xludf.DUMMYFUNCTION("""COMPUTED_VALUE"""),"Male")</f>
        <v>Male</v>
      </c>
      <c r="D1232" s="5" t="str">
        <f ca="1">IFERROR(__xludf.DUMMYFUNCTION("""COMPUTED_VALUE"""),"Student")</f>
        <v>Student</v>
      </c>
      <c r="E1232" s="5">
        <f ca="1">IFERROR(__xludf.DUMMYFUNCTION("""COMPUTED_VALUE"""),16)</f>
        <v>16</v>
      </c>
      <c r="F1232" s="5"/>
    </row>
    <row r="1233" spans="1:6" ht="13">
      <c r="A1233" s="5" t="str">
        <f ca="1">IFERROR(__xludf.DUMMYFUNCTION("""COMPUTED_VALUE"""),"20161018CAJUS")</f>
        <v>20161018CAJUS</v>
      </c>
      <c r="B1233" s="5" t="str">
        <f ca="1">IFERROR(__xludf.DUMMYFUNCTION("""COMPUTED_VALUE"""),"Wounded")</f>
        <v>Wounded</v>
      </c>
      <c r="C1233" s="5" t="str">
        <f ca="1">IFERROR(__xludf.DUMMYFUNCTION("""COMPUTED_VALUE"""),"Male")</f>
        <v>Male</v>
      </c>
      <c r="D1233" s="5" t="str">
        <f ca="1">IFERROR(__xludf.DUMMYFUNCTION("""COMPUTED_VALUE"""),"Student")</f>
        <v>Student</v>
      </c>
      <c r="E1233" s="5" t="str">
        <f ca="1">IFERROR(__xludf.DUMMYFUNCTION("""COMPUTED_VALUE"""),"Teen")</f>
        <v>Teen</v>
      </c>
      <c r="F1233" s="5"/>
    </row>
    <row r="1234" spans="1:6" ht="13">
      <c r="A1234" s="5" t="str">
        <f ca="1">IFERROR(__xludf.DUMMYFUNCTION("""COMPUTED_VALUE"""),"20161018CAJUS")</f>
        <v>20161018CAJUS</v>
      </c>
      <c r="B1234" s="5" t="str">
        <f ca="1">IFERROR(__xludf.DUMMYFUNCTION("""COMPUTED_VALUE"""),"Wounded")</f>
        <v>Wounded</v>
      </c>
      <c r="C1234" s="5" t="str">
        <f ca="1">IFERROR(__xludf.DUMMYFUNCTION("""COMPUTED_VALUE"""),"Male")</f>
        <v>Male</v>
      </c>
      <c r="D1234" s="5" t="str">
        <f ca="1">IFERROR(__xludf.DUMMYFUNCTION("""COMPUTED_VALUE"""),"Student")</f>
        <v>Student</v>
      </c>
      <c r="E1234" s="5" t="str">
        <f ca="1">IFERROR(__xludf.DUMMYFUNCTION("""COMPUTED_VALUE"""),"Teen")</f>
        <v>Teen</v>
      </c>
      <c r="F1234" s="5"/>
    </row>
    <row r="1235" spans="1:6" ht="13">
      <c r="A1235" s="5" t="str">
        <f ca="1">IFERROR(__xludf.DUMMYFUNCTION("""COMPUTED_VALUE"""),"20161018CAJUS")</f>
        <v>20161018CAJUS</v>
      </c>
      <c r="B1235" s="5" t="str">
        <f ca="1">IFERROR(__xludf.DUMMYFUNCTION("""COMPUTED_VALUE"""),"Wounded")</f>
        <v>Wounded</v>
      </c>
      <c r="C1235" s="5" t="str">
        <f ca="1">IFERROR(__xludf.DUMMYFUNCTION("""COMPUTED_VALUE"""),"Female")</f>
        <v>Female</v>
      </c>
      <c r="D1235" s="5" t="str">
        <f ca="1">IFERROR(__xludf.DUMMYFUNCTION("""COMPUTED_VALUE"""),"Student")</f>
        <v>Student</v>
      </c>
      <c r="E1235" s="5">
        <f ca="1">IFERROR(__xludf.DUMMYFUNCTION("""COMPUTED_VALUE"""),15)</f>
        <v>15</v>
      </c>
      <c r="F1235" s="5"/>
    </row>
    <row r="1236" spans="1:6" ht="13">
      <c r="A1236" s="5" t="str">
        <f ca="1">IFERROR(__xludf.DUMMYFUNCTION("""COMPUTED_VALUE"""),"20161018CAJUS")</f>
        <v>20161018CAJUS</v>
      </c>
      <c r="B1236" s="5" t="str">
        <f ca="1">IFERROR(__xludf.DUMMYFUNCTION("""COMPUTED_VALUE"""),"Wounded")</f>
        <v>Wounded</v>
      </c>
      <c r="C1236" s="5" t="str">
        <f ca="1">IFERROR(__xludf.DUMMYFUNCTION("""COMPUTED_VALUE"""),"Male")</f>
        <v>Male</v>
      </c>
      <c r="D1236" s="5" t="str">
        <f ca="1">IFERROR(__xludf.DUMMYFUNCTION("""COMPUTED_VALUE"""),"Student")</f>
        <v>Student</v>
      </c>
      <c r="E1236" s="5" t="str">
        <f ca="1">IFERROR(__xludf.DUMMYFUNCTION("""COMPUTED_VALUE"""),"Teen")</f>
        <v>Teen</v>
      </c>
      <c r="F1236" s="5"/>
    </row>
    <row r="1237" spans="1:6" ht="13">
      <c r="A1237" s="5" t="str">
        <f ca="1">IFERROR(__xludf.DUMMYFUNCTION("""COMPUTED_VALUE"""),"20161015GABEA")</f>
        <v>20161015GABEA</v>
      </c>
      <c r="B1237" s="5" t="str">
        <f ca="1">IFERROR(__xludf.DUMMYFUNCTION("""COMPUTED_VALUE"""),"Wounded")</f>
        <v>Wounded</v>
      </c>
      <c r="C1237" s="5" t="str">
        <f ca="1">IFERROR(__xludf.DUMMYFUNCTION("""COMPUTED_VALUE"""),"Female")</f>
        <v>Female</v>
      </c>
      <c r="D1237" s="5" t="str">
        <f ca="1">IFERROR(__xludf.DUMMYFUNCTION("""COMPUTED_VALUE"""),"Student")</f>
        <v>Student</v>
      </c>
      <c r="E1237" s="5">
        <f ca="1">IFERROR(__xludf.DUMMYFUNCTION("""COMPUTED_VALUE"""),17)</f>
        <v>17</v>
      </c>
      <c r="F1237" s="5"/>
    </row>
    <row r="1238" spans="1:6" ht="13">
      <c r="A1238" s="5" t="str">
        <f ca="1">IFERROR(__xludf.DUMMYFUNCTION("""COMPUTED_VALUE"""),"20161013OHLIC")</f>
        <v>20161013OHLIC</v>
      </c>
      <c r="B1238" s="5" t="str">
        <f ca="1">IFERROR(__xludf.DUMMYFUNCTION("""COMPUTED_VALUE"""),"Wounded")</f>
        <v>Wounded</v>
      </c>
      <c r="C1238" s="5" t="str">
        <f ca="1">IFERROR(__xludf.DUMMYFUNCTION("""COMPUTED_VALUE"""),"Male")</f>
        <v>Male</v>
      </c>
      <c r="D1238" s="5" t="str">
        <f ca="1">IFERROR(__xludf.DUMMYFUNCTION("""COMPUTED_VALUE"""),"Student")</f>
        <v>Student</v>
      </c>
      <c r="E1238" s="5" t="str">
        <f ca="1">IFERROR(__xludf.DUMMYFUNCTION("""COMPUTED_VALUE"""),"Teen")</f>
        <v>Teen</v>
      </c>
      <c r="F1238" s="5" t="str">
        <f ca="1">IFERROR(__xludf.DUMMYFUNCTION("""COMPUTED_VALUE"""),"Black")</f>
        <v>Black</v>
      </c>
    </row>
    <row r="1239" spans="1:6" ht="13">
      <c r="A1239" s="5" t="str">
        <f ca="1">IFERROR(__xludf.DUMMYFUNCTION("""COMPUTED_VALUE"""),"20161013OHLIC")</f>
        <v>20161013OHLIC</v>
      </c>
      <c r="B1239" s="5" t="str">
        <f ca="1">IFERROR(__xludf.DUMMYFUNCTION("""COMPUTED_VALUE"""),"Wounded")</f>
        <v>Wounded</v>
      </c>
      <c r="C1239" s="5" t="str">
        <f ca="1">IFERROR(__xludf.DUMMYFUNCTION("""COMPUTED_VALUE"""),"Male")</f>
        <v>Male</v>
      </c>
      <c r="D1239" s="5" t="str">
        <f ca="1">IFERROR(__xludf.DUMMYFUNCTION("""COMPUTED_VALUE"""),"Student")</f>
        <v>Student</v>
      </c>
      <c r="E1239" s="5" t="str">
        <f ca="1">IFERROR(__xludf.DUMMYFUNCTION("""COMPUTED_VALUE"""),"Teen")</f>
        <v>Teen</v>
      </c>
      <c r="F1239" s="5" t="str">
        <f ca="1">IFERROR(__xludf.DUMMYFUNCTION("""COMPUTED_VALUE"""),"Black")</f>
        <v>Black</v>
      </c>
    </row>
    <row r="1240" spans="1:6" ht="13">
      <c r="A1240" s="5" t="str">
        <f ca="1">IFERROR(__xludf.DUMMYFUNCTION("""COMPUTED_VALUE"""),"20161011ALVIM")</f>
        <v>20161011ALVIM</v>
      </c>
      <c r="B1240" s="5" t="str">
        <f ca="1">IFERROR(__xludf.DUMMYFUNCTION("""COMPUTED_VALUE"""),"Wounded")</f>
        <v>Wounded</v>
      </c>
      <c r="C1240" s="5" t="str">
        <f ca="1">IFERROR(__xludf.DUMMYFUNCTION("""COMPUTED_VALUE"""),"Male")</f>
        <v>Male</v>
      </c>
      <c r="D1240" s="5" t="str">
        <f ca="1">IFERROR(__xludf.DUMMYFUNCTION("""COMPUTED_VALUE"""),"Student")</f>
        <v>Student</v>
      </c>
      <c r="E1240" s="5" t="str">
        <f ca="1">IFERROR(__xludf.DUMMYFUNCTION("""COMPUTED_VALUE"""),"Teen")</f>
        <v>Teen</v>
      </c>
      <c r="F1240" s="5"/>
    </row>
    <row r="1241" spans="1:6" ht="13">
      <c r="A1241" s="5" t="str">
        <f ca="1">IFERROR(__xludf.DUMMYFUNCTION("""COMPUTED_VALUE"""),"20161006TXDUF")</f>
        <v>20161006TXDUF</v>
      </c>
      <c r="B1241" s="5" t="str">
        <f ca="1">IFERROR(__xludf.DUMMYFUNCTION("""COMPUTED_VALUE"""),"Wounded")</f>
        <v>Wounded</v>
      </c>
      <c r="C1241" s="5" t="str">
        <f ca="1">IFERROR(__xludf.DUMMYFUNCTION("""COMPUTED_VALUE"""),"Male")</f>
        <v>Male</v>
      </c>
      <c r="D1241" s="5" t="str">
        <f ca="1">IFERROR(__xludf.DUMMYFUNCTION("""COMPUTED_VALUE"""),"Unknown")</f>
        <v>Unknown</v>
      </c>
      <c r="E1241" s="5">
        <f ca="1">IFERROR(__xludf.DUMMYFUNCTION("""COMPUTED_VALUE"""),18)</f>
        <v>18</v>
      </c>
      <c r="F1241" s="5"/>
    </row>
    <row r="1242" spans="1:6" ht="13">
      <c r="A1242" s="5" t="str">
        <f ca="1">IFERROR(__xludf.DUMMYFUNCTION("""COMPUTED_VALUE"""),"20160930ILCHC")</f>
        <v>20160930ILCHC</v>
      </c>
      <c r="B1242" s="5" t="str">
        <f ca="1">IFERROR(__xludf.DUMMYFUNCTION("""COMPUTED_VALUE"""),"Wounded")</f>
        <v>Wounded</v>
      </c>
      <c r="C1242" s="5" t="str">
        <f ca="1">IFERROR(__xludf.DUMMYFUNCTION("""COMPUTED_VALUE"""),"Male")</f>
        <v>Male</v>
      </c>
      <c r="D1242" s="5" t="str">
        <f ca="1">IFERROR(__xludf.DUMMYFUNCTION("""COMPUTED_VALUE"""),"Bus Driver")</f>
        <v>Bus Driver</v>
      </c>
      <c r="E1242" s="5">
        <f ca="1">IFERROR(__xludf.DUMMYFUNCTION("""COMPUTED_VALUE"""),31)</f>
        <v>31</v>
      </c>
      <c r="F1242" s="5"/>
    </row>
    <row r="1243" spans="1:6" ht="13">
      <c r="A1243" s="5" t="str">
        <f ca="1">IFERROR(__xludf.DUMMYFUNCTION("""COMPUTED_VALUE"""),"20160928SCTOT")</f>
        <v>20160928SCTOT</v>
      </c>
      <c r="B1243" s="5" t="str">
        <f ca="1">IFERROR(__xludf.DUMMYFUNCTION("""COMPUTED_VALUE"""),"Wounded")</f>
        <v>Wounded</v>
      </c>
      <c r="C1243" s="5"/>
      <c r="D1243" s="5" t="str">
        <f ca="1">IFERROR(__xludf.DUMMYFUNCTION("""COMPUTED_VALUE"""),"Student")</f>
        <v>Student</v>
      </c>
      <c r="E1243" s="5" t="str">
        <f ca="1">IFERROR(__xludf.DUMMYFUNCTION("""COMPUTED_VALUE"""),"Child")</f>
        <v>Child</v>
      </c>
      <c r="F1243" s="5" t="str">
        <f ca="1">IFERROR(__xludf.DUMMYFUNCTION("""COMPUTED_VALUE"""),"White")</f>
        <v>White</v>
      </c>
    </row>
    <row r="1244" spans="1:6" ht="13">
      <c r="A1244" s="5" t="str">
        <f ca="1">IFERROR(__xludf.DUMMYFUNCTION("""COMPUTED_VALUE"""),"20160928SCTOT")</f>
        <v>20160928SCTOT</v>
      </c>
      <c r="B1244" s="5" t="str">
        <f ca="1">IFERROR(__xludf.DUMMYFUNCTION("""COMPUTED_VALUE"""),"Fatal")</f>
        <v>Fatal</v>
      </c>
      <c r="C1244" s="5"/>
      <c r="D1244" s="5" t="str">
        <f ca="1">IFERROR(__xludf.DUMMYFUNCTION("""COMPUTED_VALUE"""),"Student")</f>
        <v>Student</v>
      </c>
      <c r="E1244" s="5">
        <f ca="1">IFERROR(__xludf.DUMMYFUNCTION("""COMPUTED_VALUE"""),6)</f>
        <v>6</v>
      </c>
      <c r="F1244" s="5" t="str">
        <f ca="1">IFERROR(__xludf.DUMMYFUNCTION("""COMPUTED_VALUE"""),"White")</f>
        <v>White</v>
      </c>
    </row>
    <row r="1245" spans="1:6" ht="13">
      <c r="A1245" s="5" t="str">
        <f ca="1">IFERROR(__xludf.DUMMYFUNCTION("""COMPUTED_VALUE"""),"20160928SCTOT")</f>
        <v>20160928SCTOT</v>
      </c>
      <c r="B1245" s="5" t="str">
        <f ca="1">IFERROR(__xludf.DUMMYFUNCTION("""COMPUTED_VALUE"""),"Wounded")</f>
        <v>Wounded</v>
      </c>
      <c r="C1245" s="5"/>
      <c r="D1245" s="5" t="str">
        <f ca="1">IFERROR(__xludf.DUMMYFUNCTION("""COMPUTED_VALUE"""),"Student")</f>
        <v>Student</v>
      </c>
      <c r="E1245" s="5">
        <f ca="1">IFERROR(__xludf.DUMMYFUNCTION("""COMPUTED_VALUE"""),6)</f>
        <v>6</v>
      </c>
      <c r="F1245" s="5" t="str">
        <f ca="1">IFERROR(__xludf.DUMMYFUNCTION("""COMPUTED_VALUE"""),"White")</f>
        <v>White</v>
      </c>
    </row>
    <row r="1246" spans="1:6" ht="13">
      <c r="A1246" s="5" t="str">
        <f ca="1">IFERROR(__xludf.DUMMYFUNCTION("""COMPUTED_VALUE"""),"20160928SCTOT")</f>
        <v>20160928SCTOT</v>
      </c>
      <c r="B1246" s="5" t="str">
        <f ca="1">IFERROR(__xludf.DUMMYFUNCTION("""COMPUTED_VALUE"""),"Wounded")</f>
        <v>Wounded</v>
      </c>
      <c r="C1246" s="5"/>
      <c r="D1246" s="5" t="str">
        <f ca="1">IFERROR(__xludf.DUMMYFUNCTION("""COMPUTED_VALUE"""),"Teacher")</f>
        <v>Teacher</v>
      </c>
      <c r="E1246" s="5">
        <f ca="1">IFERROR(__xludf.DUMMYFUNCTION("""COMPUTED_VALUE"""),47)</f>
        <v>47</v>
      </c>
      <c r="F1246" s="5" t="str">
        <f ca="1">IFERROR(__xludf.DUMMYFUNCTION("""COMPUTED_VALUE"""),"White")</f>
        <v>White</v>
      </c>
    </row>
    <row r="1247" spans="1:6" ht="13">
      <c r="A1247" s="5" t="str">
        <f ca="1">IFERROR(__xludf.DUMMYFUNCTION("""COMPUTED_VALUE"""),"20160927OHELC")</f>
        <v>20160927OHELC</v>
      </c>
      <c r="B1247" s="5" t="str">
        <f ca="1">IFERROR(__xludf.DUMMYFUNCTION("""COMPUTED_VALUE"""),"Wounded")</f>
        <v>Wounded</v>
      </c>
      <c r="C1247" s="5" t="str">
        <f ca="1">IFERROR(__xludf.DUMMYFUNCTION("""COMPUTED_VALUE"""),"Male")</f>
        <v>Male</v>
      </c>
      <c r="D1247" s="5" t="str">
        <f ca="1">IFERROR(__xludf.DUMMYFUNCTION("""COMPUTED_VALUE"""),"Other Staff")</f>
        <v>Other Staff</v>
      </c>
      <c r="E1247" s="5" t="str">
        <f ca="1">IFERROR(__xludf.DUMMYFUNCTION("""COMPUTED_VALUE"""),"Adult")</f>
        <v>Adult</v>
      </c>
      <c r="F1247" s="5"/>
    </row>
    <row r="1248" spans="1:6" ht="13">
      <c r="A1248" s="5" t="str">
        <f ca="1">IFERROR(__xludf.DUMMYFUNCTION("""COMPUTED_VALUE"""),"20160927OHELC")</f>
        <v>20160927OHELC</v>
      </c>
      <c r="B1248" s="5" t="str">
        <f ca="1">IFERROR(__xludf.DUMMYFUNCTION("""COMPUTED_VALUE"""),"Wounded")</f>
        <v>Wounded</v>
      </c>
      <c r="C1248" s="5" t="str">
        <f ca="1">IFERROR(__xludf.DUMMYFUNCTION("""COMPUTED_VALUE"""),"Male")</f>
        <v>Male</v>
      </c>
      <c r="D1248" s="5" t="str">
        <f ca="1">IFERROR(__xludf.DUMMYFUNCTION("""COMPUTED_VALUE"""),"Nonstudent Using Athletic Facilities/Attending Game")</f>
        <v>Nonstudent Using Athletic Facilities/Attending Game</v>
      </c>
      <c r="E1248" s="5" t="str">
        <f ca="1">IFERROR(__xludf.DUMMYFUNCTION("""COMPUTED_VALUE"""),"Adult")</f>
        <v>Adult</v>
      </c>
      <c r="F1248" s="5"/>
    </row>
    <row r="1249" spans="1:6" ht="13">
      <c r="A1249" s="5" t="str">
        <f ca="1">IFERROR(__xludf.DUMMYFUNCTION("""COMPUTED_VALUE"""),"20160927OHELC")</f>
        <v>20160927OHELC</v>
      </c>
      <c r="B1249" s="5" t="str">
        <f ca="1">IFERROR(__xludf.DUMMYFUNCTION("""COMPUTED_VALUE"""),"Wounded")</f>
        <v>Wounded</v>
      </c>
      <c r="C1249" s="5" t="str">
        <f ca="1">IFERROR(__xludf.DUMMYFUNCTION("""COMPUTED_VALUE"""),"Male")</f>
        <v>Male</v>
      </c>
      <c r="D1249" s="5" t="str">
        <f ca="1">IFERROR(__xludf.DUMMYFUNCTION("""COMPUTED_VALUE"""),"Nonstudent Using Athletic Facilities/Attending Game")</f>
        <v>Nonstudent Using Athletic Facilities/Attending Game</v>
      </c>
      <c r="E1249" s="5">
        <f ca="1">IFERROR(__xludf.DUMMYFUNCTION("""COMPUTED_VALUE"""),20)</f>
        <v>20</v>
      </c>
      <c r="F1249" s="5"/>
    </row>
    <row r="1250" spans="1:6" ht="13">
      <c r="A1250" s="5" t="str">
        <f ca="1">IFERROR(__xludf.DUMMYFUNCTION("""COMPUTED_VALUE"""),"20160926MSTAJ")</f>
        <v>20160926MSTAJ</v>
      </c>
      <c r="B1250" s="5" t="str">
        <f ca="1">IFERROR(__xludf.DUMMYFUNCTION("""COMPUTED_VALUE"""),"Wounded")</f>
        <v>Wounded</v>
      </c>
      <c r="C1250" s="5" t="str">
        <f ca="1">IFERROR(__xludf.DUMMYFUNCTION("""COMPUTED_VALUE"""),"Male")</f>
        <v>Male</v>
      </c>
      <c r="D1250" s="5" t="str">
        <f ca="1">IFERROR(__xludf.DUMMYFUNCTION("""COMPUTED_VALUE"""),"Student")</f>
        <v>Student</v>
      </c>
      <c r="E1250" s="5">
        <f ca="1">IFERROR(__xludf.DUMMYFUNCTION("""COMPUTED_VALUE"""),17)</f>
        <v>17</v>
      </c>
      <c r="F1250" s="5" t="str">
        <f ca="1">IFERROR(__xludf.DUMMYFUNCTION("""COMPUTED_VALUE"""),"Black")</f>
        <v>Black</v>
      </c>
    </row>
    <row r="1251" spans="1:6" ht="13">
      <c r="A1251" s="5" t="str">
        <f ca="1">IFERROR(__xludf.DUMMYFUNCTION("""COMPUTED_VALUE"""),"20160909PASMY")</f>
        <v>20160909PASMY</v>
      </c>
      <c r="B1251" s="5" t="str">
        <f ca="1">IFERROR(__xludf.DUMMYFUNCTION("""COMPUTED_VALUE"""),"Wounded")</f>
        <v>Wounded</v>
      </c>
      <c r="C1251" s="5" t="str">
        <f ca="1">IFERROR(__xludf.DUMMYFUNCTION("""COMPUTED_VALUE"""),"Male")</f>
        <v>Male</v>
      </c>
      <c r="D1251" s="5" t="str">
        <f ca="1">IFERROR(__xludf.DUMMYFUNCTION("""COMPUTED_VALUE"""),"Nonstudent Using Athletic Facilities/Attending Game")</f>
        <v>Nonstudent Using Athletic Facilities/Attending Game</v>
      </c>
      <c r="E1251" s="5">
        <f ca="1">IFERROR(__xludf.DUMMYFUNCTION("""COMPUTED_VALUE"""),23)</f>
        <v>23</v>
      </c>
      <c r="F1251" s="5"/>
    </row>
    <row r="1252" spans="1:6" ht="13">
      <c r="A1252" s="5" t="str">
        <f ca="1">IFERROR(__xludf.DUMMYFUNCTION("""COMPUTED_VALUE"""),"20160909PASMY")</f>
        <v>20160909PASMY</v>
      </c>
      <c r="B1252" s="5" t="str">
        <f ca="1">IFERROR(__xludf.DUMMYFUNCTION("""COMPUTED_VALUE"""),"Wounded")</f>
        <v>Wounded</v>
      </c>
      <c r="C1252" s="5" t="str">
        <f ca="1">IFERROR(__xludf.DUMMYFUNCTION("""COMPUTED_VALUE"""),"Male")</f>
        <v>Male</v>
      </c>
      <c r="D1252" s="5" t="str">
        <f ca="1">IFERROR(__xludf.DUMMYFUNCTION("""COMPUTED_VALUE"""),"Nonstudent Using Athletic Facilities/Attending Game")</f>
        <v>Nonstudent Using Athletic Facilities/Attending Game</v>
      </c>
      <c r="E1252" s="5">
        <f ca="1">IFERROR(__xludf.DUMMYFUNCTION("""COMPUTED_VALUE"""),20)</f>
        <v>20</v>
      </c>
      <c r="F1252" s="5"/>
    </row>
    <row r="1253" spans="1:6" ht="13">
      <c r="A1253" s="5" t="str">
        <f ca="1">IFERROR(__xludf.DUMMYFUNCTION("""COMPUTED_VALUE"""),"20160909IACEC")</f>
        <v>20160909IACEC</v>
      </c>
      <c r="B1253" s="5" t="str">
        <f ca="1">IFERROR(__xludf.DUMMYFUNCTION("""COMPUTED_VALUE"""),"None")</f>
        <v>None</v>
      </c>
      <c r="C1253" s="5" t="str">
        <f ca="1">IFERROR(__xludf.DUMMYFUNCTION("""COMPUTED_VALUE"""),"Male")</f>
        <v>Male</v>
      </c>
      <c r="D1253" s="5" t="str">
        <f ca="1">IFERROR(__xludf.DUMMYFUNCTION("""COMPUTED_VALUE"""),"Student")</f>
        <v>Student</v>
      </c>
      <c r="E1253" s="5">
        <f ca="1">IFERROR(__xludf.DUMMYFUNCTION("""COMPUTED_VALUE"""),15)</f>
        <v>15</v>
      </c>
      <c r="F1253" s="5"/>
    </row>
    <row r="1254" spans="1:6" ht="13">
      <c r="A1254" s="5" t="str">
        <f ca="1">IFERROR(__xludf.DUMMYFUNCTION("""COMPUTED_VALUE"""),"20160908TXALA")</f>
        <v>20160908TXALA</v>
      </c>
      <c r="B1254" s="5" t="str">
        <f ca="1">IFERROR(__xludf.DUMMYFUNCTION("""COMPUTED_VALUE"""),"Wounded")</f>
        <v>Wounded</v>
      </c>
      <c r="C1254" s="5" t="str">
        <f ca="1">IFERROR(__xludf.DUMMYFUNCTION("""COMPUTED_VALUE"""),"Female")</f>
        <v>Female</v>
      </c>
      <c r="D1254" s="5" t="str">
        <f ca="1">IFERROR(__xludf.DUMMYFUNCTION("""COMPUTED_VALUE"""),"Student")</f>
        <v>Student</v>
      </c>
      <c r="E1254" s="5">
        <f ca="1">IFERROR(__xludf.DUMMYFUNCTION("""COMPUTED_VALUE"""),17)</f>
        <v>17</v>
      </c>
      <c r="F1254" s="5"/>
    </row>
    <row r="1255" spans="1:6" ht="13">
      <c r="A1255" s="5" t="str">
        <f ca="1">IFERROR(__xludf.DUMMYFUNCTION("""COMPUTED_VALUE"""),"20160908TXALA")</f>
        <v>20160908TXALA</v>
      </c>
      <c r="B1255" s="5" t="str">
        <f ca="1">IFERROR(__xludf.DUMMYFUNCTION("""COMPUTED_VALUE"""),"Wounded")</f>
        <v>Wounded</v>
      </c>
      <c r="C1255" s="5" t="str">
        <f ca="1">IFERROR(__xludf.DUMMYFUNCTION("""COMPUTED_VALUE"""),"Female")</f>
        <v>Female</v>
      </c>
      <c r="D1255" s="5" t="str">
        <f ca="1">IFERROR(__xludf.DUMMYFUNCTION("""COMPUTED_VALUE"""),"Student")</f>
        <v>Student</v>
      </c>
      <c r="E1255" s="5">
        <f ca="1">IFERROR(__xludf.DUMMYFUNCTION("""COMPUTED_VALUE"""),17)</f>
        <v>17</v>
      </c>
      <c r="F1255" s="5"/>
    </row>
    <row r="1256" spans="1:6" ht="13">
      <c r="A1256" s="5" t="str">
        <f ca="1">IFERROR(__xludf.DUMMYFUNCTION("""COMPUTED_VALUE"""),"20160907MIDED")</f>
        <v>20160907MIDED</v>
      </c>
      <c r="B1256" s="5" t="str">
        <f ca="1">IFERROR(__xludf.DUMMYFUNCTION("""COMPUTED_VALUE"""),"None")</f>
        <v>None</v>
      </c>
      <c r="C1256" s="5" t="str">
        <f ca="1">IFERROR(__xludf.DUMMYFUNCTION("""COMPUTED_VALUE"""),"Male")</f>
        <v>Male</v>
      </c>
      <c r="D1256" s="5" t="str">
        <f ca="1">IFERROR(__xludf.DUMMYFUNCTION("""COMPUTED_VALUE"""),"Principal/Vice-Principal")</f>
        <v>Principal/Vice-Principal</v>
      </c>
      <c r="E1256" s="5" t="str">
        <f ca="1">IFERROR(__xludf.DUMMYFUNCTION("""COMPUTED_VALUE"""),"Adult")</f>
        <v>Adult</v>
      </c>
      <c r="F1256" s="5"/>
    </row>
    <row r="1257" spans="1:6" ht="13">
      <c r="A1257" s="5" t="str">
        <f ca="1">IFERROR(__xludf.DUMMYFUNCTION("""COMPUTED_VALUE"""),"20160902OKMCT")</f>
        <v>20160902OKMCT</v>
      </c>
      <c r="B1257" s="5" t="str">
        <f ca="1">IFERROR(__xludf.DUMMYFUNCTION("""COMPUTED_VALUE"""),"Wounded")</f>
        <v>Wounded</v>
      </c>
      <c r="C1257" s="5" t="str">
        <f ca="1">IFERROR(__xludf.DUMMYFUNCTION("""COMPUTED_VALUE"""),"Male")</f>
        <v>Male</v>
      </c>
      <c r="D1257" s="5" t="str">
        <f ca="1">IFERROR(__xludf.DUMMYFUNCTION("""COMPUTED_VALUE"""),"Student")</f>
        <v>Student</v>
      </c>
      <c r="E1257" s="5">
        <f ca="1">IFERROR(__xludf.DUMMYFUNCTION("""COMPUTED_VALUE"""),13)</f>
        <v>13</v>
      </c>
      <c r="F1257" s="5"/>
    </row>
    <row r="1258" spans="1:6" ht="13">
      <c r="A1258" s="5" t="str">
        <f ca="1">IFERROR(__xludf.DUMMYFUNCTION("""COMPUTED_VALUE"""),"20160819FLSOM")</f>
        <v>20160819FLSOM</v>
      </c>
      <c r="B1258" s="5" t="str">
        <f ca="1">IFERROR(__xludf.DUMMYFUNCTION("""COMPUTED_VALUE"""),"None")</f>
        <v>None</v>
      </c>
      <c r="C1258" s="5"/>
      <c r="D1258" s="5"/>
      <c r="E1258" s="5"/>
      <c r="F1258" s="5"/>
    </row>
    <row r="1259" spans="1:6" ht="13">
      <c r="A1259" s="5" t="str">
        <f ca="1">IFERROR(__xludf.DUMMYFUNCTION("""COMPUTED_VALUE"""),"20160817OHWEC")</f>
        <v>20160817OHWEC</v>
      </c>
      <c r="B1259" s="5" t="str">
        <f ca="1">IFERROR(__xludf.DUMMYFUNCTION("""COMPUTED_VALUE"""),"Wounded")</f>
        <v>Wounded</v>
      </c>
      <c r="C1259" s="5" t="str">
        <f ca="1">IFERROR(__xludf.DUMMYFUNCTION("""COMPUTED_VALUE"""),"Male")</f>
        <v>Male</v>
      </c>
      <c r="D1259" s="5" t="str">
        <f ca="1">IFERROR(__xludf.DUMMYFUNCTION("""COMPUTED_VALUE"""),"No Relation")</f>
        <v>No Relation</v>
      </c>
      <c r="E1259" s="5">
        <f ca="1">IFERROR(__xludf.DUMMYFUNCTION("""COMPUTED_VALUE"""),18)</f>
        <v>18</v>
      </c>
      <c r="F1259" s="5"/>
    </row>
    <row r="1260" spans="1:6" ht="13">
      <c r="A1260" s="5" t="str">
        <f ca="1">IFERROR(__xludf.DUMMYFUNCTION("""COMPUTED_VALUE"""),"20160817OHWEC")</f>
        <v>20160817OHWEC</v>
      </c>
      <c r="B1260" s="5" t="str">
        <f ca="1">IFERROR(__xludf.DUMMYFUNCTION("""COMPUTED_VALUE"""),"Wounded")</f>
        <v>Wounded</v>
      </c>
      <c r="C1260" s="5" t="str">
        <f ca="1">IFERROR(__xludf.DUMMYFUNCTION("""COMPUTED_VALUE"""),"Male")</f>
        <v>Male</v>
      </c>
      <c r="D1260" s="5" t="str">
        <f ca="1">IFERROR(__xludf.DUMMYFUNCTION("""COMPUTED_VALUE"""),"No Relation")</f>
        <v>No Relation</v>
      </c>
      <c r="E1260" s="5">
        <f ca="1">IFERROR(__xludf.DUMMYFUNCTION("""COMPUTED_VALUE"""),19)</f>
        <v>19</v>
      </c>
      <c r="F1260" s="5"/>
    </row>
    <row r="1261" spans="1:6" ht="13">
      <c r="A1261" s="5" t="str">
        <f ca="1">IFERROR(__xludf.DUMMYFUNCTION("""COMPUTED_VALUE"""),"20160725MOAVA")</f>
        <v>20160725MOAVA</v>
      </c>
      <c r="B1261" s="5" t="str">
        <f ca="1">IFERROR(__xludf.DUMMYFUNCTION("""COMPUTED_VALUE"""),"Wounded")</f>
        <v>Wounded</v>
      </c>
      <c r="C1261" s="5" t="str">
        <f ca="1">IFERROR(__xludf.DUMMYFUNCTION("""COMPUTED_VALUE"""),"Male")</f>
        <v>Male</v>
      </c>
      <c r="D1261" s="5" t="str">
        <f ca="1">IFERROR(__xludf.DUMMYFUNCTION("""COMPUTED_VALUE"""),"Former Student")</f>
        <v>Former Student</v>
      </c>
      <c r="E1261" s="5">
        <f ca="1">IFERROR(__xludf.DUMMYFUNCTION("""COMPUTED_VALUE"""),18)</f>
        <v>18</v>
      </c>
      <c r="F1261" s="5" t="str">
        <f ca="1">IFERROR(__xludf.DUMMYFUNCTION("""COMPUTED_VALUE"""),"White")</f>
        <v>White</v>
      </c>
    </row>
    <row r="1262" spans="1:6" ht="13">
      <c r="A1262" s="5" t="str">
        <f ca="1">IFERROR(__xludf.DUMMYFUNCTION("""COMPUTED_VALUE"""),"20160630CAWOH")</f>
        <v>20160630CAWOH</v>
      </c>
      <c r="B1262" s="5" t="str">
        <f ca="1">IFERROR(__xludf.DUMMYFUNCTION("""COMPUTED_VALUE"""),"Wounded")</f>
        <v>Wounded</v>
      </c>
      <c r="C1262" s="5" t="str">
        <f ca="1">IFERROR(__xludf.DUMMYFUNCTION("""COMPUTED_VALUE"""),"Female")</f>
        <v>Female</v>
      </c>
      <c r="D1262" s="5" t="str">
        <f ca="1">IFERROR(__xludf.DUMMYFUNCTION("""COMPUTED_VALUE"""),"No Relation")</f>
        <v>No Relation</v>
      </c>
      <c r="E1262" s="5">
        <f ca="1">IFERROR(__xludf.DUMMYFUNCTION("""COMPUTED_VALUE"""),23)</f>
        <v>23</v>
      </c>
      <c r="F1262" s="5"/>
    </row>
    <row r="1263" spans="1:6" ht="13">
      <c r="A1263" s="5" t="str">
        <f ca="1">IFERROR(__xludf.DUMMYFUNCTION("""COMPUTED_VALUE"""),"20160616ILMCC")</f>
        <v>20160616ILMCC</v>
      </c>
      <c r="B1263" s="5" t="str">
        <f ca="1">IFERROR(__xludf.DUMMYFUNCTION("""COMPUTED_VALUE"""),"Fatal")</f>
        <v>Fatal</v>
      </c>
      <c r="C1263" s="5" t="str">
        <f ca="1">IFERROR(__xludf.DUMMYFUNCTION("""COMPUTED_VALUE"""),"Male")</f>
        <v>Male</v>
      </c>
      <c r="D1263" s="5" t="str">
        <f ca="1">IFERROR(__xludf.DUMMYFUNCTION("""COMPUTED_VALUE"""),"Other Staff")</f>
        <v>Other Staff</v>
      </c>
      <c r="E1263" s="5">
        <f ca="1">IFERROR(__xludf.DUMMYFUNCTION("""COMPUTED_VALUE"""),25)</f>
        <v>25</v>
      </c>
      <c r="F1263" s="5" t="str">
        <f ca="1">IFERROR(__xludf.DUMMYFUNCTION("""COMPUTED_VALUE"""),"Black")</f>
        <v>Black</v>
      </c>
    </row>
    <row r="1264" spans="1:6" ht="13">
      <c r="A1264" s="5" t="str">
        <f ca="1">IFERROR(__xludf.DUMMYFUNCTION("""COMPUTED_VALUE"""),"20160608MAJED")</f>
        <v>20160608MAJED</v>
      </c>
      <c r="B1264" s="5" t="str">
        <f ca="1">IFERROR(__xludf.DUMMYFUNCTION("""COMPUTED_VALUE"""),"Wounded")</f>
        <v>Wounded</v>
      </c>
      <c r="C1264" s="5" t="str">
        <f ca="1">IFERROR(__xludf.DUMMYFUNCTION("""COMPUTED_VALUE"""),"Female")</f>
        <v>Female</v>
      </c>
      <c r="D1264" s="5" t="str">
        <f ca="1">IFERROR(__xludf.DUMMYFUNCTION("""COMPUTED_VALUE"""),"Unknown")</f>
        <v>Unknown</v>
      </c>
      <c r="E1264" s="5">
        <f ca="1">IFERROR(__xludf.DUMMYFUNCTION("""COMPUTED_VALUE"""),67)</f>
        <v>67</v>
      </c>
      <c r="F1264" s="5"/>
    </row>
    <row r="1265" spans="1:6" ht="13">
      <c r="A1265" s="5" t="str">
        <f ca="1">IFERROR(__xludf.DUMMYFUNCTION("""COMPUTED_VALUE"""),"20160608MAJED")</f>
        <v>20160608MAJED</v>
      </c>
      <c r="B1265" s="5" t="str">
        <f ca="1">IFERROR(__xludf.DUMMYFUNCTION("""COMPUTED_VALUE"""),"Fatal")</f>
        <v>Fatal</v>
      </c>
      <c r="C1265" s="5" t="str">
        <f ca="1">IFERROR(__xludf.DUMMYFUNCTION("""COMPUTED_VALUE"""),"Male")</f>
        <v>Male</v>
      </c>
      <c r="D1265" s="5" t="str">
        <f ca="1">IFERROR(__xludf.DUMMYFUNCTION("""COMPUTED_VALUE"""),"Student")</f>
        <v>Student</v>
      </c>
      <c r="E1265" s="5">
        <f ca="1">IFERROR(__xludf.DUMMYFUNCTION("""COMPUTED_VALUE"""),17)</f>
        <v>17</v>
      </c>
      <c r="F1265" s="5" t="str">
        <f ca="1">IFERROR(__xludf.DUMMYFUNCTION("""COMPUTED_VALUE"""),"Black")</f>
        <v>Black</v>
      </c>
    </row>
    <row r="1266" spans="1:6" ht="13">
      <c r="A1266" s="5" t="str">
        <f ca="1">IFERROR(__xludf.DUMMYFUNCTION("""COMPUTED_VALUE"""),"20160608MAJED")</f>
        <v>20160608MAJED</v>
      </c>
      <c r="B1266" s="5" t="str">
        <f ca="1">IFERROR(__xludf.DUMMYFUNCTION("""COMPUTED_VALUE"""),"Wounded")</f>
        <v>Wounded</v>
      </c>
      <c r="C1266" s="5" t="str">
        <f ca="1">IFERROR(__xludf.DUMMYFUNCTION("""COMPUTED_VALUE"""),"Male")</f>
        <v>Male</v>
      </c>
      <c r="D1266" s="5" t="str">
        <f ca="1">IFERROR(__xludf.DUMMYFUNCTION("""COMPUTED_VALUE"""),"Student")</f>
        <v>Student</v>
      </c>
      <c r="E1266" s="5" t="str">
        <f ca="1">IFERROR(__xludf.DUMMYFUNCTION("""COMPUTED_VALUE"""),"Teen")</f>
        <v>Teen</v>
      </c>
      <c r="F1266" s="5"/>
    </row>
    <row r="1267" spans="1:6" ht="13">
      <c r="A1267" s="5" t="str">
        <f ca="1">IFERROR(__xludf.DUMMYFUNCTION("""COMPUTED_VALUE"""),"20160608MAJED")</f>
        <v>20160608MAJED</v>
      </c>
      <c r="B1267" s="5" t="str">
        <f ca="1">IFERROR(__xludf.DUMMYFUNCTION("""COMPUTED_VALUE"""),"Wounded")</f>
        <v>Wounded</v>
      </c>
      <c r="C1267" s="5" t="str">
        <f ca="1">IFERROR(__xludf.DUMMYFUNCTION("""COMPUTED_VALUE"""),"Male")</f>
        <v>Male</v>
      </c>
      <c r="D1267" s="5" t="str">
        <f ca="1">IFERROR(__xludf.DUMMYFUNCTION("""COMPUTED_VALUE"""),"Student")</f>
        <v>Student</v>
      </c>
      <c r="E1267" s="5" t="str">
        <f ca="1">IFERROR(__xludf.DUMMYFUNCTION("""COMPUTED_VALUE"""),"Teen")</f>
        <v>Teen</v>
      </c>
      <c r="F1267" s="5"/>
    </row>
    <row r="1268" spans="1:6" ht="13">
      <c r="A1268" s="5" t="str">
        <f ca="1">IFERROR(__xludf.DUMMYFUNCTION("""COMPUTED_VALUE"""),"20160515KSAUA")</f>
        <v>20160515KSAUA</v>
      </c>
      <c r="B1268" s="5" t="str">
        <f ca="1">IFERROR(__xludf.DUMMYFUNCTION("""COMPUTED_VALUE"""),"Wounded")</f>
        <v>Wounded</v>
      </c>
      <c r="C1268" s="5" t="str">
        <f ca="1">IFERROR(__xludf.DUMMYFUNCTION("""COMPUTED_VALUE"""),"Female")</f>
        <v>Female</v>
      </c>
      <c r="D1268" s="5" t="str">
        <f ca="1">IFERROR(__xludf.DUMMYFUNCTION("""COMPUTED_VALUE"""),"Relative")</f>
        <v>Relative</v>
      </c>
      <c r="E1268" s="5">
        <f ca="1">IFERROR(__xludf.DUMMYFUNCTION("""COMPUTED_VALUE"""),28)</f>
        <v>28</v>
      </c>
      <c r="F1268" s="5"/>
    </row>
    <row r="1269" spans="1:6" ht="13">
      <c r="A1269" s="5" t="str">
        <f ca="1">IFERROR(__xludf.DUMMYFUNCTION("""COMPUTED_VALUE"""),"20160513SCSOG")</f>
        <v>20160513SCSOG</v>
      </c>
      <c r="B1269" s="5" t="str">
        <f ca="1">IFERROR(__xludf.DUMMYFUNCTION("""COMPUTED_VALUE"""),"None")</f>
        <v>None</v>
      </c>
      <c r="C1269" s="5" t="str">
        <f ca="1">IFERROR(__xludf.DUMMYFUNCTION("""COMPUTED_VALUE"""),"Male")</f>
        <v>Male</v>
      </c>
      <c r="D1269" s="5" t="str">
        <f ca="1">IFERROR(__xludf.DUMMYFUNCTION("""COMPUTED_VALUE"""),"Student")</f>
        <v>Student</v>
      </c>
      <c r="E1269" s="5">
        <f ca="1">IFERROR(__xludf.DUMMYFUNCTION("""COMPUTED_VALUE"""),16)</f>
        <v>16</v>
      </c>
      <c r="F1269" s="5"/>
    </row>
    <row r="1270" spans="1:6" ht="13">
      <c r="A1270" s="5" t="str">
        <f ca="1">IFERROR(__xludf.DUMMYFUNCTION("""COMPUTED_VALUE"""),"20160506IDROT")</f>
        <v>20160506IDROT</v>
      </c>
      <c r="B1270" s="5" t="str">
        <f ca="1">IFERROR(__xludf.DUMMYFUNCTION("""COMPUTED_VALUE"""),"None")</f>
        <v>None</v>
      </c>
      <c r="C1270" s="5"/>
      <c r="D1270" s="5"/>
      <c r="E1270" s="5"/>
      <c r="F1270" s="5"/>
    </row>
    <row r="1271" spans="1:6" ht="13">
      <c r="A1271" s="5" t="str">
        <f ca="1">IFERROR(__xludf.DUMMYFUNCTION("""COMPUTED_VALUE"""),"20160506FLOSP")</f>
        <v>20160506FLOSP</v>
      </c>
      <c r="B1271" s="5" t="str">
        <f ca="1">IFERROR(__xludf.DUMMYFUNCTION("""COMPUTED_VALUE"""),"None")</f>
        <v>None</v>
      </c>
      <c r="C1271" s="5" t="str">
        <f ca="1">IFERROR(__xludf.DUMMYFUNCTION("""COMPUTED_VALUE"""),"Male")</f>
        <v>Male</v>
      </c>
      <c r="D1271" s="5" t="str">
        <f ca="1">IFERROR(__xludf.DUMMYFUNCTION("""COMPUTED_VALUE"""),"No Relation")</f>
        <v>No Relation</v>
      </c>
      <c r="E1271" s="5">
        <f ca="1">IFERROR(__xludf.DUMMYFUNCTION("""COMPUTED_VALUE"""),28)</f>
        <v>28</v>
      </c>
      <c r="F1271" s="5"/>
    </row>
    <row r="1272" spans="1:6" ht="13">
      <c r="A1272" s="5" t="str">
        <f ca="1">IFERROR(__xludf.DUMMYFUNCTION("""COMPUTED_VALUE"""),"20160505MDHIB")</f>
        <v>20160505MDHIB</v>
      </c>
      <c r="B1272" s="5" t="str">
        <f ca="1">IFERROR(__xludf.DUMMYFUNCTION("""COMPUTED_VALUE"""),"Wounded")</f>
        <v>Wounded</v>
      </c>
      <c r="C1272" s="5" t="str">
        <f ca="1">IFERROR(__xludf.DUMMYFUNCTION("""COMPUTED_VALUE"""),"Male")</f>
        <v>Male</v>
      </c>
      <c r="D1272" s="5" t="str">
        <f ca="1">IFERROR(__xludf.DUMMYFUNCTION("""COMPUTED_VALUE"""),"Parent")</f>
        <v>Parent</v>
      </c>
      <c r="E1272" s="5" t="str">
        <f ca="1">IFERROR(__xludf.DUMMYFUNCTION("""COMPUTED_VALUE"""),"Adult")</f>
        <v>Adult</v>
      </c>
      <c r="F1272" s="5" t="str">
        <f ca="1">IFERROR(__xludf.DUMMYFUNCTION("""COMPUTED_VALUE"""),"White")</f>
        <v>White</v>
      </c>
    </row>
    <row r="1273" spans="1:6" ht="13">
      <c r="A1273" s="5" t="str">
        <f ca="1">IFERROR(__xludf.DUMMYFUNCTION("""COMPUTED_VALUE"""),"20160505MDHIB")</f>
        <v>20160505MDHIB</v>
      </c>
      <c r="B1273" s="5" t="str">
        <f ca="1">IFERROR(__xludf.DUMMYFUNCTION("""COMPUTED_VALUE"""),"Fatal")</f>
        <v>Fatal</v>
      </c>
      <c r="C1273" s="5" t="str">
        <f ca="1">IFERROR(__xludf.DUMMYFUNCTION("""COMPUTED_VALUE"""),"Female")</f>
        <v>Female</v>
      </c>
      <c r="D1273" s="5" t="str">
        <f ca="1">IFERROR(__xludf.DUMMYFUNCTION("""COMPUTED_VALUE"""),"Parent")</f>
        <v>Parent</v>
      </c>
      <c r="E1273" s="5">
        <f ca="1">IFERROR(__xludf.DUMMYFUNCTION("""COMPUTED_VALUE"""),44)</f>
        <v>44</v>
      </c>
      <c r="F1273" s="5" t="str">
        <f ca="1">IFERROR(__xludf.DUMMYFUNCTION("""COMPUTED_VALUE"""),"White")</f>
        <v>White</v>
      </c>
    </row>
    <row r="1274" spans="1:6" ht="13">
      <c r="A1274" s="5" t="str">
        <f ca="1">IFERROR(__xludf.DUMMYFUNCTION("""COMPUTED_VALUE"""),"20160504COEAP")</f>
        <v>20160504COEAP</v>
      </c>
      <c r="B1274" s="5" t="str">
        <f ca="1">IFERROR(__xludf.DUMMYFUNCTION("""COMPUTED_VALUE"""),"Wounded")</f>
        <v>Wounded</v>
      </c>
      <c r="C1274" s="5" t="str">
        <f ca="1">IFERROR(__xludf.DUMMYFUNCTION("""COMPUTED_VALUE"""),"Female")</f>
        <v>Female</v>
      </c>
      <c r="D1274" s="5" t="str">
        <f ca="1">IFERROR(__xludf.DUMMYFUNCTION("""COMPUTED_VALUE"""),"Teacher")</f>
        <v>Teacher</v>
      </c>
      <c r="E1274" s="5" t="str">
        <f ca="1">IFERROR(__xludf.DUMMYFUNCTION("""COMPUTED_VALUE"""),"Adult")</f>
        <v>Adult</v>
      </c>
      <c r="F1274" s="5"/>
    </row>
    <row r="1275" spans="1:6" ht="13">
      <c r="A1275" s="5" t="str">
        <f ca="1">IFERROR(__xludf.DUMMYFUNCTION("""COMPUTED_VALUE"""),"20160502TXKID")</f>
        <v>20160502TXKID</v>
      </c>
      <c r="B1275" s="5" t="str">
        <f ca="1">IFERROR(__xludf.DUMMYFUNCTION("""COMPUTED_VALUE"""),"None")</f>
        <v>None</v>
      </c>
      <c r="C1275" s="5" t="str">
        <f ca="1">IFERROR(__xludf.DUMMYFUNCTION("""COMPUTED_VALUE"""),"Male")</f>
        <v>Male</v>
      </c>
      <c r="D1275" s="5" t="str">
        <f ca="1">IFERROR(__xludf.DUMMYFUNCTION("""COMPUTED_VALUE"""),"Student")</f>
        <v>Student</v>
      </c>
      <c r="E1275" s="5">
        <f ca="1">IFERROR(__xludf.DUMMYFUNCTION("""COMPUTED_VALUE"""),15)</f>
        <v>15</v>
      </c>
      <c r="F1275" s="5" t="str">
        <f ca="1">IFERROR(__xludf.DUMMYFUNCTION("""COMPUTED_VALUE"""),"Black")</f>
        <v>Black</v>
      </c>
    </row>
    <row r="1276" spans="1:6" ht="13">
      <c r="A1276" s="5" t="str">
        <f ca="1">IFERROR(__xludf.DUMMYFUNCTION("""COMPUTED_VALUE"""),"20160423WIANA")</f>
        <v>20160423WIANA</v>
      </c>
      <c r="B1276" s="5" t="str">
        <f ca="1">IFERROR(__xludf.DUMMYFUNCTION("""COMPUTED_VALUE"""),"Wounded")</f>
        <v>Wounded</v>
      </c>
      <c r="C1276" s="5" t="str">
        <f ca="1">IFERROR(__xludf.DUMMYFUNCTION("""COMPUTED_VALUE"""),"Male")</f>
        <v>Male</v>
      </c>
      <c r="D1276" s="5" t="str">
        <f ca="1">IFERROR(__xludf.DUMMYFUNCTION("""COMPUTED_VALUE"""),"Student")</f>
        <v>Student</v>
      </c>
      <c r="E1276" s="5" t="str">
        <f ca="1">IFERROR(__xludf.DUMMYFUNCTION("""COMPUTED_VALUE"""),"Teen")</f>
        <v>Teen</v>
      </c>
      <c r="F1276" s="5"/>
    </row>
    <row r="1277" spans="1:6" ht="13">
      <c r="A1277" s="5" t="str">
        <f ca="1">IFERROR(__xludf.DUMMYFUNCTION("""COMPUTED_VALUE"""),"20160423WIANA")</f>
        <v>20160423WIANA</v>
      </c>
      <c r="B1277" s="5" t="str">
        <f ca="1">IFERROR(__xludf.DUMMYFUNCTION("""COMPUTED_VALUE"""),"Wounded")</f>
        <v>Wounded</v>
      </c>
      <c r="C1277" s="5" t="str">
        <f ca="1">IFERROR(__xludf.DUMMYFUNCTION("""COMPUTED_VALUE"""),"Female")</f>
        <v>Female</v>
      </c>
      <c r="D1277" s="5" t="str">
        <f ca="1">IFERROR(__xludf.DUMMYFUNCTION("""COMPUTED_VALUE"""),"Student")</f>
        <v>Student</v>
      </c>
      <c r="E1277" s="5" t="str">
        <f ca="1">IFERROR(__xludf.DUMMYFUNCTION("""COMPUTED_VALUE"""),"Teen")</f>
        <v>Teen</v>
      </c>
      <c r="F1277" s="5"/>
    </row>
    <row r="1278" spans="1:6" ht="13">
      <c r="A1278" s="5" t="str">
        <f ca="1">IFERROR(__xludf.DUMMYFUNCTION("""COMPUTED_VALUE"""),"20160315ALHUB")</f>
        <v>20160315ALHUB</v>
      </c>
      <c r="B1278" s="5" t="str">
        <f ca="1">IFERROR(__xludf.DUMMYFUNCTION("""COMPUTED_VALUE"""),"Wounded")</f>
        <v>Wounded</v>
      </c>
      <c r="C1278" s="5" t="str">
        <f ca="1">IFERROR(__xludf.DUMMYFUNCTION("""COMPUTED_VALUE"""),"Male")</f>
        <v>Male</v>
      </c>
      <c r="D1278" s="5" t="str">
        <f ca="1">IFERROR(__xludf.DUMMYFUNCTION("""COMPUTED_VALUE"""),"Student")</f>
        <v>Student</v>
      </c>
      <c r="E1278" s="5" t="str">
        <f ca="1">IFERROR(__xludf.DUMMYFUNCTION("""COMPUTED_VALUE"""),"Teen")</f>
        <v>Teen</v>
      </c>
      <c r="F1278" s="5"/>
    </row>
    <row r="1279" spans="1:6" ht="13">
      <c r="A1279" s="5" t="str">
        <f ca="1">IFERROR(__xludf.DUMMYFUNCTION("""COMPUTED_VALUE"""),"20160229OHMAM")</f>
        <v>20160229OHMAM</v>
      </c>
      <c r="B1279" s="5" t="str">
        <f ca="1">IFERROR(__xludf.DUMMYFUNCTION("""COMPUTED_VALUE"""),"Wounded")</f>
        <v>Wounded</v>
      </c>
      <c r="C1279" s="5" t="str">
        <f ca="1">IFERROR(__xludf.DUMMYFUNCTION("""COMPUTED_VALUE"""),"Female")</f>
        <v>Female</v>
      </c>
      <c r="D1279" s="5" t="str">
        <f ca="1">IFERROR(__xludf.DUMMYFUNCTION("""COMPUTED_VALUE"""),"Student")</f>
        <v>Student</v>
      </c>
      <c r="E1279" s="5">
        <f ca="1">IFERROR(__xludf.DUMMYFUNCTION("""COMPUTED_VALUE"""),14)</f>
        <v>14</v>
      </c>
      <c r="F1279" s="5"/>
    </row>
    <row r="1280" spans="1:6" ht="13">
      <c r="A1280" s="5" t="str">
        <f ca="1">IFERROR(__xludf.DUMMYFUNCTION("""COMPUTED_VALUE"""),"20160229OHMAM")</f>
        <v>20160229OHMAM</v>
      </c>
      <c r="B1280" s="5" t="str">
        <f ca="1">IFERROR(__xludf.DUMMYFUNCTION("""COMPUTED_VALUE"""),"Wounded")</f>
        <v>Wounded</v>
      </c>
      <c r="C1280" s="5" t="str">
        <f ca="1">IFERROR(__xludf.DUMMYFUNCTION("""COMPUTED_VALUE"""),"Male")</f>
        <v>Male</v>
      </c>
      <c r="D1280" s="5" t="str">
        <f ca="1">IFERROR(__xludf.DUMMYFUNCTION("""COMPUTED_VALUE"""),"Student")</f>
        <v>Student</v>
      </c>
      <c r="E1280" s="5">
        <f ca="1">IFERROR(__xludf.DUMMYFUNCTION("""COMPUTED_VALUE"""),14)</f>
        <v>14</v>
      </c>
      <c r="F1280" s="5"/>
    </row>
    <row r="1281" spans="1:6" ht="13">
      <c r="A1281" s="5" t="str">
        <f ca="1">IFERROR(__xludf.DUMMYFUNCTION("""COMPUTED_VALUE"""),"20160229OHMAM")</f>
        <v>20160229OHMAM</v>
      </c>
      <c r="B1281" s="5" t="str">
        <f ca="1">IFERROR(__xludf.DUMMYFUNCTION("""COMPUTED_VALUE"""),"Wounded")</f>
        <v>Wounded</v>
      </c>
      <c r="C1281" s="5" t="str">
        <f ca="1">IFERROR(__xludf.DUMMYFUNCTION("""COMPUTED_VALUE"""),"Male")</f>
        <v>Male</v>
      </c>
      <c r="D1281" s="5" t="str">
        <f ca="1">IFERROR(__xludf.DUMMYFUNCTION("""COMPUTED_VALUE"""),"Student")</f>
        <v>Student</v>
      </c>
      <c r="E1281" s="5">
        <f ca="1">IFERROR(__xludf.DUMMYFUNCTION("""COMPUTED_VALUE"""),14)</f>
        <v>14</v>
      </c>
      <c r="F1281" s="5"/>
    </row>
    <row r="1282" spans="1:6" ht="13">
      <c r="A1282" s="5" t="str">
        <f ca="1">IFERROR(__xludf.DUMMYFUNCTION("""COMPUTED_VALUE"""),"20160229OHMAM")</f>
        <v>20160229OHMAM</v>
      </c>
      <c r="B1282" s="5" t="str">
        <f ca="1">IFERROR(__xludf.DUMMYFUNCTION("""COMPUTED_VALUE"""),"Wounded")</f>
        <v>Wounded</v>
      </c>
      <c r="C1282" s="5" t="str">
        <f ca="1">IFERROR(__xludf.DUMMYFUNCTION("""COMPUTED_VALUE"""),"Male")</f>
        <v>Male</v>
      </c>
      <c r="D1282" s="5" t="str">
        <f ca="1">IFERROR(__xludf.DUMMYFUNCTION("""COMPUTED_VALUE"""),"Student")</f>
        <v>Student</v>
      </c>
      <c r="E1282" s="5">
        <f ca="1">IFERROR(__xludf.DUMMYFUNCTION("""COMPUTED_VALUE"""),15)</f>
        <v>15</v>
      </c>
      <c r="F1282" s="5"/>
    </row>
    <row r="1283" spans="1:6" ht="13">
      <c r="A1283" s="5" t="str">
        <f ca="1">IFERROR(__xludf.DUMMYFUNCTION("""COMPUTED_VALUE"""),"20160226TXPAP")</f>
        <v>20160226TXPAP</v>
      </c>
      <c r="B1283" s="5" t="str">
        <f ca="1">IFERROR(__xludf.DUMMYFUNCTION("""COMPUTED_VALUE"""),"Wounded")</f>
        <v>Wounded</v>
      </c>
      <c r="C1283" s="5" t="str">
        <f ca="1">IFERROR(__xludf.DUMMYFUNCTION("""COMPUTED_VALUE"""),"Male")</f>
        <v>Male</v>
      </c>
      <c r="D1283" s="5" t="str">
        <f ca="1">IFERROR(__xludf.DUMMYFUNCTION("""COMPUTED_VALUE"""),"Nonstudent Using Athletic Facilities/Attending Game")</f>
        <v>Nonstudent Using Athletic Facilities/Attending Game</v>
      </c>
      <c r="E1283" s="5">
        <f ca="1">IFERROR(__xludf.DUMMYFUNCTION("""COMPUTED_VALUE"""),63)</f>
        <v>63</v>
      </c>
      <c r="F1283" s="5"/>
    </row>
    <row r="1284" spans="1:6" ht="13">
      <c r="A1284" s="5" t="str">
        <f ca="1">IFERROR(__xludf.DUMMYFUNCTION("""COMPUTED_VALUE"""),"20160226TXPAP")</f>
        <v>20160226TXPAP</v>
      </c>
      <c r="B1284" s="5" t="str">
        <f ca="1">IFERROR(__xludf.DUMMYFUNCTION("""COMPUTED_VALUE"""),"Wounded")</f>
        <v>Wounded</v>
      </c>
      <c r="C1284" s="5" t="str">
        <f ca="1">IFERROR(__xludf.DUMMYFUNCTION("""COMPUTED_VALUE"""),"Female")</f>
        <v>Female</v>
      </c>
      <c r="D1284" s="5" t="str">
        <f ca="1">IFERROR(__xludf.DUMMYFUNCTION("""COMPUTED_VALUE"""),"Nonstudent Using Athletic Facilities/Attending Game")</f>
        <v>Nonstudent Using Athletic Facilities/Attending Game</v>
      </c>
      <c r="E1284" s="5">
        <f ca="1">IFERROR(__xludf.DUMMYFUNCTION("""COMPUTED_VALUE"""),59)</f>
        <v>59</v>
      </c>
      <c r="F1284" s="5"/>
    </row>
    <row r="1285" spans="1:6" ht="13">
      <c r="A1285" s="5" t="str">
        <f ca="1">IFERROR(__xludf.DUMMYFUNCTION("""COMPUTED_VALUE"""),"20160217PACHC")</f>
        <v>20160217PACHC</v>
      </c>
      <c r="B1285" s="5" t="str">
        <f ca="1">IFERROR(__xludf.DUMMYFUNCTION("""COMPUTED_VALUE"""),"Wounded")</f>
        <v>Wounded</v>
      </c>
      <c r="C1285" s="5" t="str">
        <f ca="1">IFERROR(__xludf.DUMMYFUNCTION("""COMPUTED_VALUE"""),"Male")</f>
        <v>Male</v>
      </c>
      <c r="D1285" s="5" t="str">
        <f ca="1">IFERROR(__xludf.DUMMYFUNCTION("""COMPUTED_VALUE"""),"Student")</f>
        <v>Student</v>
      </c>
      <c r="E1285" s="5">
        <f ca="1">IFERROR(__xludf.DUMMYFUNCTION("""COMPUTED_VALUE"""),16)</f>
        <v>16</v>
      </c>
      <c r="F1285" s="5"/>
    </row>
    <row r="1286" spans="1:6" ht="13">
      <c r="A1286" s="5" t="str">
        <f ca="1">IFERROR(__xludf.DUMMYFUNCTION("""COMPUTED_VALUE"""),"20160217FLROH")</f>
        <v>20160217FLROH</v>
      </c>
      <c r="B1286" s="5" t="str">
        <f ca="1">IFERROR(__xludf.DUMMYFUNCTION("""COMPUTED_VALUE"""),"None")</f>
        <v>None</v>
      </c>
      <c r="C1286" s="5"/>
      <c r="D1286" s="5"/>
      <c r="E1286" s="5"/>
      <c r="F1286" s="5"/>
    </row>
    <row r="1287" spans="1:6" ht="13">
      <c r="A1287" s="5" t="str">
        <f ca="1">IFERROR(__xludf.DUMMYFUNCTION("""COMPUTED_VALUE"""),"20160212AZING")</f>
        <v>20160212AZING</v>
      </c>
      <c r="B1287" s="5" t="str">
        <f ca="1">IFERROR(__xludf.DUMMYFUNCTION("""COMPUTED_VALUE"""),"Fatal")</f>
        <v>Fatal</v>
      </c>
      <c r="C1287" s="5" t="str">
        <f ca="1">IFERROR(__xludf.DUMMYFUNCTION("""COMPUTED_VALUE"""),"Female")</f>
        <v>Female</v>
      </c>
      <c r="D1287" s="5" t="str">
        <f ca="1">IFERROR(__xludf.DUMMYFUNCTION("""COMPUTED_VALUE"""),"Student")</f>
        <v>Student</v>
      </c>
      <c r="E1287" s="5">
        <f ca="1">IFERROR(__xludf.DUMMYFUNCTION("""COMPUTED_VALUE"""),15)</f>
        <v>15</v>
      </c>
      <c r="F1287" s="5" t="str">
        <f ca="1">IFERROR(__xludf.DUMMYFUNCTION("""COMPUTED_VALUE"""),"Hispanic")</f>
        <v>Hispanic</v>
      </c>
    </row>
    <row r="1288" spans="1:6" ht="13">
      <c r="A1288" s="5" t="str">
        <f ca="1">IFERROR(__xludf.DUMMYFUNCTION("""COMPUTED_VALUE"""),"20160209MIMUM")</f>
        <v>20160209MIMUM</v>
      </c>
      <c r="B1288" s="5" t="str">
        <f ca="1">IFERROR(__xludf.DUMMYFUNCTION("""COMPUTED_VALUE"""),"Wounded")</f>
        <v>Wounded</v>
      </c>
      <c r="C1288" s="5" t="str">
        <f ca="1">IFERROR(__xludf.DUMMYFUNCTION("""COMPUTED_VALUE"""),"Male")</f>
        <v>Male</v>
      </c>
      <c r="D1288" s="5" t="str">
        <f ca="1">IFERROR(__xludf.DUMMYFUNCTION("""COMPUTED_VALUE"""),"Student")</f>
        <v>Student</v>
      </c>
      <c r="E1288" s="5" t="str">
        <f ca="1">IFERROR(__xludf.DUMMYFUNCTION("""COMPUTED_VALUE"""),"Teen")</f>
        <v>Teen</v>
      </c>
      <c r="F1288" s="5"/>
    </row>
    <row r="1289" spans="1:6" ht="13">
      <c r="A1289" s="5" t="str">
        <f ca="1">IFERROR(__xludf.DUMMYFUNCTION("""COMPUTED_VALUE"""),"20160209MIMUM")</f>
        <v>20160209MIMUM</v>
      </c>
      <c r="B1289" s="5" t="str">
        <f ca="1">IFERROR(__xludf.DUMMYFUNCTION("""COMPUTED_VALUE"""),"Wounded")</f>
        <v>Wounded</v>
      </c>
      <c r="C1289" s="5" t="str">
        <f ca="1">IFERROR(__xludf.DUMMYFUNCTION("""COMPUTED_VALUE"""),"Female")</f>
        <v>Female</v>
      </c>
      <c r="D1289" s="5" t="str">
        <f ca="1">IFERROR(__xludf.DUMMYFUNCTION("""COMPUTED_VALUE"""),"Student")</f>
        <v>Student</v>
      </c>
      <c r="E1289" s="5" t="str">
        <f ca="1">IFERROR(__xludf.DUMMYFUNCTION("""COMPUTED_VALUE"""),"Teen")</f>
        <v>Teen</v>
      </c>
      <c r="F1289" s="5"/>
    </row>
    <row r="1290" spans="1:6" ht="13">
      <c r="A1290" s="5" t="str">
        <f ca="1">IFERROR(__xludf.DUMMYFUNCTION("""COMPUTED_VALUE"""),"20160209MIMUM")</f>
        <v>20160209MIMUM</v>
      </c>
      <c r="B1290" s="5" t="str">
        <f ca="1">IFERROR(__xludf.DUMMYFUNCTION("""COMPUTED_VALUE"""),"Wounded")</f>
        <v>Wounded</v>
      </c>
      <c r="C1290" s="5" t="str">
        <f ca="1">IFERROR(__xludf.DUMMYFUNCTION("""COMPUTED_VALUE"""),"Male")</f>
        <v>Male</v>
      </c>
      <c r="D1290" s="5" t="str">
        <f ca="1">IFERROR(__xludf.DUMMYFUNCTION("""COMPUTED_VALUE"""),"Student")</f>
        <v>Student</v>
      </c>
      <c r="E1290" s="5" t="str">
        <f ca="1">IFERROR(__xludf.DUMMYFUNCTION("""COMPUTED_VALUE"""),"Teen")</f>
        <v>Teen</v>
      </c>
      <c r="F1290" s="5"/>
    </row>
    <row r="1291" spans="1:6" ht="13">
      <c r="A1291" s="5" t="str">
        <f ca="1">IFERROR(__xludf.DUMMYFUNCTION("""COMPUTED_VALUE"""),"20160129PABEP")</f>
        <v>20160129PABEP</v>
      </c>
      <c r="B1291" s="5" t="str">
        <f ca="1">IFERROR(__xludf.DUMMYFUNCTION("""COMPUTED_VALUE"""),"None")</f>
        <v>None</v>
      </c>
      <c r="C1291" s="5"/>
      <c r="D1291" s="5"/>
      <c r="E1291" s="5"/>
      <c r="F1291" s="5"/>
    </row>
    <row r="1292" spans="1:6" ht="13">
      <c r="A1292" s="5" t="str">
        <f ca="1">IFERROR(__xludf.DUMMYFUNCTION("""COMPUTED_VALUE"""),"20160122INLAI")</f>
        <v>20160122INLAI</v>
      </c>
      <c r="B1292" s="5" t="str">
        <f ca="1">IFERROR(__xludf.DUMMYFUNCTION("""COMPUTED_VALUE"""),"Wounded")</f>
        <v>Wounded</v>
      </c>
      <c r="C1292" s="5" t="str">
        <f ca="1">IFERROR(__xludf.DUMMYFUNCTION("""COMPUTED_VALUE"""),"Male")</f>
        <v>Male</v>
      </c>
      <c r="D1292" s="5" t="str">
        <f ca="1">IFERROR(__xludf.DUMMYFUNCTION("""COMPUTED_VALUE"""),"Student")</f>
        <v>Student</v>
      </c>
      <c r="E1292" s="5">
        <f ca="1">IFERROR(__xludf.DUMMYFUNCTION("""COMPUTED_VALUE"""),15)</f>
        <v>15</v>
      </c>
      <c r="F1292" s="5"/>
    </row>
    <row r="1293" spans="1:6" ht="13">
      <c r="A1293" s="5" t="str">
        <f ca="1">IFERROR(__xludf.DUMMYFUNCTION("""COMPUTED_VALUE"""),"20160120INNOI")</f>
        <v>20160120INNOI</v>
      </c>
      <c r="B1293" s="5" t="str">
        <f ca="1">IFERROR(__xludf.DUMMYFUNCTION("""COMPUTED_VALUE"""),"None")</f>
        <v>None</v>
      </c>
      <c r="C1293" s="5"/>
      <c r="D1293" s="5"/>
      <c r="E1293" s="5"/>
      <c r="F1293" s="5"/>
    </row>
    <row r="1294" spans="1:6" ht="13">
      <c r="A1294" s="5" t="str">
        <f ca="1">IFERROR(__xludf.DUMMYFUNCTION("""COMPUTED_VALUE"""),"20160113ARHAB")</f>
        <v>20160113ARHAB</v>
      </c>
      <c r="B1294" s="5" t="str">
        <f ca="1">IFERROR(__xludf.DUMMYFUNCTION("""COMPUTED_VALUE"""),"Wounded")</f>
        <v>Wounded</v>
      </c>
      <c r="C1294" s="5" t="str">
        <f ca="1">IFERROR(__xludf.DUMMYFUNCTION("""COMPUTED_VALUE"""),"Male")</f>
        <v>Male</v>
      </c>
      <c r="D1294" s="5" t="str">
        <f ca="1">IFERROR(__xludf.DUMMYFUNCTION("""COMPUTED_VALUE"""),"Student")</f>
        <v>Student</v>
      </c>
      <c r="E1294" s="5">
        <f ca="1">IFERROR(__xludf.DUMMYFUNCTION("""COMPUTED_VALUE"""),18)</f>
        <v>18</v>
      </c>
      <c r="F1294" s="5"/>
    </row>
    <row r="1295" spans="1:6" ht="13">
      <c r="A1295" s="5" t="str">
        <f ca="1">IFERROR(__xludf.DUMMYFUNCTION("""COMPUTED_VALUE"""),"20160112DECED")</f>
        <v>20160112DECED</v>
      </c>
      <c r="B1295" s="5" t="str">
        <f ca="1">IFERROR(__xludf.DUMMYFUNCTION("""COMPUTED_VALUE"""),"None")</f>
        <v>None</v>
      </c>
      <c r="C1295" s="5"/>
      <c r="D1295" s="5"/>
      <c r="E1295" s="5"/>
      <c r="F1295" s="5"/>
    </row>
    <row r="1296" spans="1:6" ht="13">
      <c r="A1296" s="5" t="str">
        <f ca="1">IFERROR(__xludf.DUMMYFUNCTION("""COMPUTED_VALUE"""),"20151204KSWEW")</f>
        <v>20151204KSWEW</v>
      </c>
      <c r="B1296" s="5" t="str">
        <f ca="1">IFERROR(__xludf.DUMMYFUNCTION("""COMPUTED_VALUE"""),"Wounded")</f>
        <v>Wounded</v>
      </c>
      <c r="C1296" s="5" t="str">
        <f ca="1">IFERROR(__xludf.DUMMYFUNCTION("""COMPUTED_VALUE"""),"Male")</f>
        <v>Male</v>
      </c>
      <c r="D1296" s="5" t="str">
        <f ca="1">IFERROR(__xludf.DUMMYFUNCTION("""COMPUTED_VALUE"""),"Student")</f>
        <v>Student</v>
      </c>
      <c r="E1296" s="5">
        <f ca="1">IFERROR(__xludf.DUMMYFUNCTION("""COMPUTED_VALUE"""),17)</f>
        <v>17</v>
      </c>
      <c r="F1296" s="5" t="str">
        <f ca="1">IFERROR(__xludf.DUMMYFUNCTION("""COMPUTED_VALUE"""),"Black")</f>
        <v>Black</v>
      </c>
    </row>
    <row r="1297" spans="1:6" ht="13">
      <c r="A1297" s="5" t="str">
        <f ca="1">IFERROR(__xludf.DUMMYFUNCTION("""COMPUTED_VALUE"""),"20151120FLNAM")</f>
        <v>20151120FLNAM</v>
      </c>
      <c r="B1297" s="5" t="str">
        <f ca="1">IFERROR(__xludf.DUMMYFUNCTION("""COMPUTED_VALUE"""),"None")</f>
        <v>None</v>
      </c>
      <c r="C1297" s="5"/>
      <c r="D1297" s="5"/>
      <c r="E1297" s="5"/>
      <c r="F1297" s="5"/>
    </row>
    <row r="1298" spans="1:6" ht="13">
      <c r="A1298" s="5" t="str">
        <f ca="1">IFERROR(__xludf.DUMMYFUNCTION("""COMPUTED_VALUE"""),"20151111ARSUS")</f>
        <v>20151111ARSUS</v>
      </c>
      <c r="B1298" s="5" t="str">
        <f ca="1">IFERROR(__xludf.DUMMYFUNCTION("""COMPUTED_VALUE"""),"Wounded")</f>
        <v>Wounded</v>
      </c>
      <c r="C1298" s="5" t="str">
        <f ca="1">IFERROR(__xludf.DUMMYFUNCTION("""COMPUTED_VALUE"""),"Male")</f>
        <v>Male</v>
      </c>
      <c r="D1298" s="5" t="str">
        <f ca="1">IFERROR(__xludf.DUMMYFUNCTION("""COMPUTED_VALUE"""),"Student")</f>
        <v>Student</v>
      </c>
      <c r="E1298" s="5" t="str">
        <f ca="1">IFERROR(__xludf.DUMMYFUNCTION("""COMPUTED_VALUE"""),"Teen")</f>
        <v>Teen</v>
      </c>
      <c r="F1298" s="5"/>
    </row>
    <row r="1299" spans="1:6" ht="13">
      <c r="A1299" s="5" t="str">
        <f ca="1">IFERROR(__xludf.DUMMYFUNCTION("""COMPUTED_VALUE"""),"20151105GAVEM")</f>
        <v>20151105GAVEM</v>
      </c>
      <c r="B1299" s="5" t="str">
        <f ca="1">IFERROR(__xludf.DUMMYFUNCTION("""COMPUTED_VALUE"""),"None")</f>
        <v>None</v>
      </c>
      <c r="C1299" s="5"/>
      <c r="D1299" s="5"/>
      <c r="E1299" s="5"/>
      <c r="F1299" s="5"/>
    </row>
    <row r="1300" spans="1:6" ht="13">
      <c r="A1300" s="5" t="str">
        <f ca="1">IFERROR(__xludf.DUMMYFUNCTION("""COMPUTED_VALUE"""),"20151024TXEDS")</f>
        <v>20151024TXEDS</v>
      </c>
      <c r="B1300" s="5" t="str">
        <f ca="1">IFERROR(__xludf.DUMMYFUNCTION("""COMPUTED_VALUE"""),"Fatal")</f>
        <v>Fatal</v>
      </c>
      <c r="C1300" s="5" t="str">
        <f ca="1">IFERROR(__xludf.DUMMYFUNCTION("""COMPUTED_VALUE"""),"Male")</f>
        <v>Male</v>
      </c>
      <c r="D1300" s="5" t="str">
        <f ca="1">IFERROR(__xludf.DUMMYFUNCTION("""COMPUTED_VALUE"""),"No Relation")</f>
        <v>No Relation</v>
      </c>
      <c r="E1300" s="5">
        <f ca="1">IFERROR(__xludf.DUMMYFUNCTION("""COMPUTED_VALUE"""),25)</f>
        <v>25</v>
      </c>
      <c r="F1300" s="5" t="str">
        <f ca="1">IFERROR(__xludf.DUMMYFUNCTION("""COMPUTED_VALUE"""),"Hispanic")</f>
        <v>Hispanic</v>
      </c>
    </row>
    <row r="1301" spans="1:6" ht="13">
      <c r="A1301" s="5" t="str">
        <f ca="1">IFERROR(__xludf.DUMMYFUNCTION("""COMPUTED_VALUE"""),"20151015TXKAS")</f>
        <v>20151015TXKAS</v>
      </c>
      <c r="B1301" s="5" t="str">
        <f ca="1">IFERROR(__xludf.DUMMYFUNCTION("""COMPUTED_VALUE"""),"None")</f>
        <v>None</v>
      </c>
      <c r="C1301" s="5"/>
      <c r="D1301" s="5"/>
      <c r="E1301" s="5"/>
      <c r="F1301" s="5"/>
    </row>
    <row r="1302" spans="1:6" ht="13">
      <c r="A1302" s="5" t="str">
        <f ca="1">IFERROR(__xludf.DUMMYFUNCTION("""COMPUTED_VALUE"""),"20150930SDHAH")</f>
        <v>20150930SDHAH</v>
      </c>
      <c r="B1302" s="5" t="str">
        <f ca="1">IFERROR(__xludf.DUMMYFUNCTION("""COMPUTED_VALUE"""),"Wounded")</f>
        <v>Wounded</v>
      </c>
      <c r="C1302" s="5" t="str">
        <f ca="1">IFERROR(__xludf.DUMMYFUNCTION("""COMPUTED_VALUE"""),"Male")</f>
        <v>Male</v>
      </c>
      <c r="D1302" s="5" t="str">
        <f ca="1">IFERROR(__xludf.DUMMYFUNCTION("""COMPUTED_VALUE"""),"Principal/Vice-Principal")</f>
        <v>Principal/Vice-Principal</v>
      </c>
      <c r="E1302" s="5" t="str">
        <f ca="1">IFERROR(__xludf.DUMMYFUNCTION("""COMPUTED_VALUE"""),"Adult")</f>
        <v>Adult</v>
      </c>
      <c r="F1302" s="5" t="str">
        <f ca="1">IFERROR(__xludf.DUMMYFUNCTION("""COMPUTED_VALUE"""),"White")</f>
        <v>White</v>
      </c>
    </row>
    <row r="1303" spans="1:6" ht="13">
      <c r="A1303" s="5" t="str">
        <f ca="1">IFERROR(__xludf.DUMMYFUNCTION("""COMPUTED_VALUE"""),"20150922NCCES")</f>
        <v>20150922NCCES</v>
      </c>
      <c r="B1303" s="5" t="str">
        <f ca="1">IFERROR(__xludf.DUMMYFUNCTION("""COMPUTED_VALUE"""),"Wounded")</f>
        <v>Wounded</v>
      </c>
      <c r="C1303" s="5" t="str">
        <f ca="1">IFERROR(__xludf.DUMMYFUNCTION("""COMPUTED_VALUE"""),"Male")</f>
        <v>Male</v>
      </c>
      <c r="D1303" s="5" t="str">
        <f ca="1">IFERROR(__xludf.DUMMYFUNCTION("""COMPUTED_VALUE"""),"Parent")</f>
        <v>Parent</v>
      </c>
      <c r="E1303" s="5">
        <f ca="1">IFERROR(__xludf.DUMMYFUNCTION("""COMPUTED_VALUE"""),33)</f>
        <v>33</v>
      </c>
      <c r="F1303" s="5" t="str">
        <f ca="1">IFERROR(__xludf.DUMMYFUNCTION("""COMPUTED_VALUE"""),"White")</f>
        <v>White</v>
      </c>
    </row>
    <row r="1304" spans="1:6" ht="13">
      <c r="A1304" s="5" t="str">
        <f ca="1">IFERROR(__xludf.DUMMYFUNCTION("""COMPUTED_VALUE"""),"20150911LANOL")</f>
        <v>20150911LANOL</v>
      </c>
      <c r="B1304" s="5" t="str">
        <f ca="1">IFERROR(__xludf.DUMMYFUNCTION("""COMPUTED_VALUE"""),"Wounded")</f>
        <v>Wounded</v>
      </c>
      <c r="C1304" s="5" t="str">
        <f ca="1">IFERROR(__xludf.DUMMYFUNCTION("""COMPUTED_VALUE"""),"Female")</f>
        <v>Female</v>
      </c>
      <c r="D1304" s="5" t="str">
        <f ca="1">IFERROR(__xludf.DUMMYFUNCTION("""COMPUTED_VALUE"""),"Unknown")</f>
        <v>Unknown</v>
      </c>
      <c r="E1304" s="5">
        <f ca="1">IFERROR(__xludf.DUMMYFUNCTION("""COMPUTED_VALUE"""),17)</f>
        <v>17</v>
      </c>
      <c r="F1304" s="5"/>
    </row>
    <row r="1305" spans="1:6" ht="13">
      <c r="A1305" s="5" t="str">
        <f ca="1">IFERROR(__xludf.DUMMYFUNCTION("""COMPUTED_VALUE"""),"20150903ORNEN")</f>
        <v>20150903ORNEN</v>
      </c>
      <c r="B1305" s="5" t="str">
        <f ca="1">IFERROR(__xludf.DUMMYFUNCTION("""COMPUTED_VALUE"""),"None")</f>
        <v>None</v>
      </c>
      <c r="C1305" s="5"/>
      <c r="D1305" s="5"/>
      <c r="E1305" s="5"/>
      <c r="F1305" s="5"/>
    </row>
    <row r="1306" spans="1:6" ht="13">
      <c r="A1306" s="5" t="str">
        <f ca="1">IFERROR(__xludf.DUMMYFUNCTION("""COMPUTED_VALUE"""),"20150825GAWSA")</f>
        <v>20150825GAWSA</v>
      </c>
      <c r="B1306" s="5" t="str">
        <f ca="1">IFERROR(__xludf.DUMMYFUNCTION("""COMPUTED_VALUE"""),"Wounded")</f>
        <v>Wounded</v>
      </c>
      <c r="C1306" s="5" t="str">
        <f ca="1">IFERROR(__xludf.DUMMYFUNCTION("""COMPUTED_VALUE"""),"Female")</f>
        <v>Female</v>
      </c>
      <c r="D1306" s="5" t="str">
        <f ca="1">IFERROR(__xludf.DUMMYFUNCTION("""COMPUTED_VALUE"""),"Student")</f>
        <v>Student</v>
      </c>
      <c r="E1306" s="5" t="str">
        <f ca="1">IFERROR(__xludf.DUMMYFUNCTION("""COMPUTED_VALUE"""),"Child")</f>
        <v>Child</v>
      </c>
      <c r="F1306" s="5"/>
    </row>
    <row r="1307" spans="1:6" ht="13">
      <c r="A1307" s="5" t="str">
        <f ca="1">IFERROR(__xludf.DUMMYFUNCTION("""COMPUTED_VALUE"""),"20150823TXWIR")</f>
        <v>20150823TXWIR</v>
      </c>
      <c r="B1307" s="5" t="str">
        <f ca="1">IFERROR(__xludf.DUMMYFUNCTION("""COMPUTED_VALUE"""),"None")</f>
        <v>None</v>
      </c>
      <c r="C1307" s="5"/>
      <c r="D1307" s="5"/>
      <c r="E1307" s="5"/>
      <c r="F1307" s="5"/>
    </row>
    <row r="1308" spans="1:6" ht="13">
      <c r="A1308" s="5" t="str">
        <f ca="1">IFERROR(__xludf.DUMMYFUNCTION("""COMPUTED_VALUE"""),"20150808TXPAP")</f>
        <v>20150808TXPAP</v>
      </c>
      <c r="B1308" s="5" t="str">
        <f ca="1">IFERROR(__xludf.DUMMYFUNCTION("""COMPUTED_VALUE"""),"None")</f>
        <v>None</v>
      </c>
      <c r="C1308" s="5"/>
      <c r="D1308" s="5"/>
      <c r="E1308" s="5"/>
      <c r="F1308" s="5"/>
    </row>
    <row r="1309" spans="1:6" ht="13">
      <c r="A1309" s="5" t="str">
        <f ca="1">IFERROR(__xludf.DUMMYFUNCTION("""COMPUTED_VALUE"""),"20150724TXELC")</f>
        <v>20150724TXELC</v>
      </c>
      <c r="B1309" s="5" t="str">
        <f ca="1">IFERROR(__xludf.DUMMYFUNCTION("""COMPUTED_VALUE"""),"Fatal")</f>
        <v>Fatal</v>
      </c>
      <c r="C1309" s="5" t="str">
        <f ca="1">IFERROR(__xludf.DUMMYFUNCTION("""COMPUTED_VALUE"""),"Male")</f>
        <v>Male</v>
      </c>
      <c r="D1309" s="5" t="str">
        <f ca="1">IFERROR(__xludf.DUMMYFUNCTION("""COMPUTED_VALUE"""),"No Relation")</f>
        <v>No Relation</v>
      </c>
      <c r="E1309" s="5">
        <f ca="1">IFERROR(__xludf.DUMMYFUNCTION("""COMPUTED_VALUE"""),19)</f>
        <v>19</v>
      </c>
      <c r="F1309" s="5"/>
    </row>
    <row r="1310" spans="1:6" ht="13">
      <c r="A1310" s="5" t="str">
        <f ca="1">IFERROR(__xludf.DUMMYFUNCTION("""COMPUTED_VALUE"""),"20150705TXCOD")</f>
        <v>20150705TXCOD</v>
      </c>
      <c r="B1310" s="5" t="str">
        <f ca="1">IFERROR(__xludf.DUMMYFUNCTION("""COMPUTED_VALUE"""),"Wounded")</f>
        <v>Wounded</v>
      </c>
      <c r="C1310" s="5" t="str">
        <f ca="1">IFERROR(__xludf.DUMMYFUNCTION("""COMPUTED_VALUE"""),"Male")</f>
        <v>Male</v>
      </c>
      <c r="D1310" s="5" t="str">
        <f ca="1">IFERROR(__xludf.DUMMYFUNCTION("""COMPUTED_VALUE"""),"Former Student")</f>
        <v>Former Student</v>
      </c>
      <c r="E1310" s="5">
        <f ca="1">IFERROR(__xludf.DUMMYFUNCTION("""COMPUTED_VALUE"""),18)</f>
        <v>18</v>
      </c>
      <c r="F1310" s="5" t="str">
        <f ca="1">IFERROR(__xludf.DUMMYFUNCTION("""COMPUTED_VALUE"""),"Black")</f>
        <v>Black</v>
      </c>
    </row>
    <row r="1311" spans="1:6" ht="13">
      <c r="A1311" s="5" t="str">
        <f ca="1">IFERROR(__xludf.DUMMYFUNCTION("""COMPUTED_VALUE"""),"20150629TXJOS")</f>
        <v>20150629TXJOS</v>
      </c>
      <c r="B1311" s="5" t="str">
        <f ca="1">IFERROR(__xludf.DUMMYFUNCTION("""COMPUTED_VALUE"""),"None")</f>
        <v>None</v>
      </c>
      <c r="C1311" s="5" t="str">
        <f ca="1">IFERROR(__xludf.DUMMYFUNCTION("""COMPUTED_VALUE"""),"Male")</f>
        <v>Male</v>
      </c>
      <c r="D1311" s="5" t="str">
        <f ca="1">IFERROR(__xludf.DUMMYFUNCTION("""COMPUTED_VALUE"""),"No Relation")</f>
        <v>No Relation</v>
      </c>
      <c r="E1311" s="5">
        <f ca="1">IFERROR(__xludf.DUMMYFUNCTION("""COMPUTED_VALUE"""),28)</f>
        <v>28</v>
      </c>
      <c r="F1311" s="5"/>
    </row>
    <row r="1312" spans="1:6" ht="13">
      <c r="A1312" s="5" t="str">
        <f ca="1">IFERROR(__xludf.DUMMYFUNCTION("""COMPUTED_VALUE"""),"20150627CTSAH")</f>
        <v>20150627CTSAH</v>
      </c>
      <c r="B1312" s="5" t="str">
        <f ca="1">IFERROR(__xludf.DUMMYFUNCTION("""COMPUTED_VALUE"""),"Wounded")</f>
        <v>Wounded</v>
      </c>
      <c r="C1312" s="5" t="str">
        <f ca="1">IFERROR(__xludf.DUMMYFUNCTION("""COMPUTED_VALUE"""),"Male")</f>
        <v>Male</v>
      </c>
      <c r="D1312" s="5" t="str">
        <f ca="1">IFERROR(__xludf.DUMMYFUNCTION("""COMPUTED_VALUE"""),"Nonstudent Using Athletic Facilities/Attending Game")</f>
        <v>Nonstudent Using Athletic Facilities/Attending Game</v>
      </c>
      <c r="E1312" s="5" t="str">
        <f ca="1">IFERROR(__xludf.DUMMYFUNCTION("""COMPUTED_VALUE"""),"Teen")</f>
        <v>Teen</v>
      </c>
      <c r="F1312" s="5"/>
    </row>
    <row r="1313" spans="1:6" ht="13">
      <c r="A1313" s="5" t="str">
        <f ca="1">IFERROR(__xludf.DUMMYFUNCTION("""COMPUTED_VALUE"""),"20150627CTSAH")</f>
        <v>20150627CTSAH</v>
      </c>
      <c r="B1313" s="5" t="str">
        <f ca="1">IFERROR(__xludf.DUMMYFUNCTION("""COMPUTED_VALUE"""),"Fatal")</f>
        <v>Fatal</v>
      </c>
      <c r="C1313" s="5" t="str">
        <f ca="1">IFERROR(__xludf.DUMMYFUNCTION("""COMPUTED_VALUE"""),"Male")</f>
        <v>Male</v>
      </c>
      <c r="D1313" s="5" t="str">
        <f ca="1">IFERROR(__xludf.DUMMYFUNCTION("""COMPUTED_VALUE"""),"Nonstudent Using Athletic Facilities/Attending Game")</f>
        <v>Nonstudent Using Athletic Facilities/Attending Game</v>
      </c>
      <c r="E1313" s="5" t="str">
        <f ca="1">IFERROR(__xludf.DUMMYFUNCTION("""COMPUTED_VALUE"""),"Teen")</f>
        <v>Teen</v>
      </c>
      <c r="F1313" s="5"/>
    </row>
    <row r="1314" spans="1:6" ht="13">
      <c r="A1314" s="5" t="str">
        <f ca="1">IFERROR(__xludf.DUMMYFUNCTION("""COMPUTED_VALUE"""),"20150627CTSAH")</f>
        <v>20150627CTSAH</v>
      </c>
      <c r="B1314" s="5" t="str">
        <f ca="1">IFERROR(__xludf.DUMMYFUNCTION("""COMPUTED_VALUE"""),"Wounded")</f>
        <v>Wounded</v>
      </c>
      <c r="C1314" s="5" t="str">
        <f ca="1">IFERROR(__xludf.DUMMYFUNCTION("""COMPUTED_VALUE"""),"Male")</f>
        <v>Male</v>
      </c>
      <c r="D1314" s="5" t="str">
        <f ca="1">IFERROR(__xludf.DUMMYFUNCTION("""COMPUTED_VALUE"""),"Nonstudent Using Athletic Facilities/Attending Game")</f>
        <v>Nonstudent Using Athletic Facilities/Attending Game</v>
      </c>
      <c r="E1314" s="5" t="str">
        <f ca="1">IFERROR(__xludf.DUMMYFUNCTION("""COMPUTED_VALUE"""),"Teen")</f>
        <v>Teen</v>
      </c>
      <c r="F1314" s="5"/>
    </row>
    <row r="1315" spans="1:6" ht="13">
      <c r="A1315" s="5" t="str">
        <f ca="1">IFERROR(__xludf.DUMMYFUNCTION("""COMPUTED_VALUE"""),"20150627CTSAH")</f>
        <v>20150627CTSAH</v>
      </c>
      <c r="B1315" s="5" t="str">
        <f ca="1">IFERROR(__xludf.DUMMYFUNCTION("""COMPUTED_VALUE"""),"Wounded")</f>
        <v>Wounded</v>
      </c>
      <c r="C1315" s="5" t="str">
        <f ca="1">IFERROR(__xludf.DUMMYFUNCTION("""COMPUTED_VALUE"""),"Male")</f>
        <v>Male</v>
      </c>
      <c r="D1315" s="5" t="str">
        <f ca="1">IFERROR(__xludf.DUMMYFUNCTION("""COMPUTED_VALUE"""),"Nonstudent Using Athletic Facilities/Attending Game")</f>
        <v>Nonstudent Using Athletic Facilities/Attending Game</v>
      </c>
      <c r="E1315" s="5" t="str">
        <f ca="1">IFERROR(__xludf.DUMMYFUNCTION("""COMPUTED_VALUE"""),"Teen")</f>
        <v>Teen</v>
      </c>
      <c r="F1315" s="5"/>
    </row>
    <row r="1316" spans="1:6" ht="13">
      <c r="A1316" s="5" t="str">
        <f ca="1">IFERROR(__xludf.DUMMYFUNCTION("""COMPUTED_VALUE"""),"20150623NEFOF")</f>
        <v>20150623NEFOF</v>
      </c>
      <c r="B1316" s="5" t="str">
        <f ca="1">IFERROR(__xludf.DUMMYFUNCTION("""COMPUTED_VALUE"""),"None")</f>
        <v>None</v>
      </c>
      <c r="C1316" s="5"/>
      <c r="D1316" s="5"/>
      <c r="E1316" s="5"/>
      <c r="F1316" s="5"/>
    </row>
    <row r="1317" spans="1:6" ht="13">
      <c r="A1317" s="5" t="str">
        <f ca="1">IFERROR(__xludf.DUMMYFUNCTION("""COMPUTED_VALUE"""),"20150604NCSOF")</f>
        <v>20150604NCSOF</v>
      </c>
      <c r="B1317" s="5" t="str">
        <f ca="1">IFERROR(__xludf.DUMMYFUNCTION("""COMPUTED_VALUE"""),"None")</f>
        <v>None</v>
      </c>
      <c r="C1317" s="5"/>
      <c r="D1317" s="5"/>
      <c r="E1317" s="5"/>
      <c r="F1317" s="5"/>
    </row>
    <row r="1318" spans="1:6" ht="13">
      <c r="A1318" s="5" t="str">
        <f ca="1">IFERROR(__xludf.DUMMYFUNCTION("""COMPUTED_VALUE"""),"20150527FLEVE")</f>
        <v>20150527FLEVE</v>
      </c>
      <c r="B1318" s="5" t="str">
        <f ca="1">IFERROR(__xludf.DUMMYFUNCTION("""COMPUTED_VALUE"""),"Wounded")</f>
        <v>Wounded</v>
      </c>
      <c r="C1318" s="5" t="str">
        <f ca="1">IFERROR(__xludf.DUMMYFUNCTION("""COMPUTED_VALUE"""),"Male")</f>
        <v>Male</v>
      </c>
      <c r="D1318" s="5" t="str">
        <f ca="1">IFERROR(__xludf.DUMMYFUNCTION("""COMPUTED_VALUE"""),"No Relation")</f>
        <v>No Relation</v>
      </c>
      <c r="E1318" s="5">
        <f ca="1">IFERROR(__xludf.DUMMYFUNCTION("""COMPUTED_VALUE"""),30)</f>
        <v>30</v>
      </c>
      <c r="F1318" s="5"/>
    </row>
    <row r="1319" spans="1:6" ht="13">
      <c r="A1319" s="5" t="str">
        <f ca="1">IFERROR(__xludf.DUMMYFUNCTION("""COMPUTED_VALUE"""),"20150524MISOF")</f>
        <v>20150524MISOF</v>
      </c>
      <c r="B1319" s="5" t="str">
        <f ca="1">IFERROR(__xludf.DUMMYFUNCTION("""COMPUTED_VALUE"""),"Wounded")</f>
        <v>Wounded</v>
      </c>
      <c r="C1319" s="5"/>
      <c r="D1319" s="5"/>
      <c r="E1319" s="5"/>
      <c r="F1319" s="5"/>
    </row>
    <row r="1320" spans="1:6" ht="13">
      <c r="A1320" s="5" t="str">
        <f ca="1">IFERROR(__xludf.DUMMYFUNCTION("""COMPUTED_VALUE"""),"20150524MISOF")</f>
        <v>20150524MISOF</v>
      </c>
      <c r="B1320" s="5" t="str">
        <f ca="1">IFERROR(__xludf.DUMMYFUNCTION("""COMPUTED_VALUE"""),"Wounded")</f>
        <v>Wounded</v>
      </c>
      <c r="C1320" s="5"/>
      <c r="D1320" s="5"/>
      <c r="E1320" s="5"/>
      <c r="F1320" s="5"/>
    </row>
    <row r="1321" spans="1:6" ht="13">
      <c r="A1321" s="5" t="str">
        <f ca="1">IFERROR(__xludf.DUMMYFUNCTION("""COMPUTED_VALUE"""),"20150524MISOF")</f>
        <v>20150524MISOF</v>
      </c>
      <c r="B1321" s="5" t="str">
        <f ca="1">IFERROR(__xludf.DUMMYFUNCTION("""COMPUTED_VALUE"""),"Wounded")</f>
        <v>Wounded</v>
      </c>
      <c r="C1321" s="5"/>
      <c r="D1321" s="5"/>
      <c r="E1321" s="5"/>
      <c r="F1321" s="5"/>
    </row>
    <row r="1322" spans="1:6" ht="13">
      <c r="A1322" s="5" t="str">
        <f ca="1">IFERROR(__xludf.DUMMYFUNCTION("""COMPUTED_VALUE"""),"20150524MISOF")</f>
        <v>20150524MISOF</v>
      </c>
      <c r="B1322" s="5" t="str">
        <f ca="1">IFERROR(__xludf.DUMMYFUNCTION("""COMPUTED_VALUE"""),"Wounded")</f>
        <v>Wounded</v>
      </c>
      <c r="C1322" s="5"/>
      <c r="D1322" s="5"/>
      <c r="E1322" s="5"/>
      <c r="F1322" s="5"/>
    </row>
    <row r="1323" spans="1:6" ht="13">
      <c r="A1323" s="5" t="str">
        <f ca="1">IFERROR(__xludf.DUMMYFUNCTION("""COMPUTED_VALUE"""),"20150524MISOF")</f>
        <v>20150524MISOF</v>
      </c>
      <c r="B1323" s="5" t="str">
        <f ca="1">IFERROR(__xludf.DUMMYFUNCTION("""COMPUTED_VALUE"""),"Wounded")</f>
        <v>Wounded</v>
      </c>
      <c r="C1323" s="5"/>
      <c r="D1323" s="5"/>
      <c r="E1323" s="5"/>
      <c r="F1323" s="5"/>
    </row>
    <row r="1324" spans="1:6" ht="13">
      <c r="A1324" s="5" t="str">
        <f ca="1">IFERROR(__xludf.DUMMYFUNCTION("""COMPUTED_VALUE"""),"20150524MISOF")</f>
        <v>20150524MISOF</v>
      </c>
      <c r="B1324" s="5" t="str">
        <f ca="1">IFERROR(__xludf.DUMMYFUNCTION("""COMPUTED_VALUE"""),"Wounded")</f>
        <v>Wounded</v>
      </c>
      <c r="C1324" s="5"/>
      <c r="D1324" s="5"/>
      <c r="E1324" s="5"/>
      <c r="F1324" s="5"/>
    </row>
    <row r="1325" spans="1:6" ht="13">
      <c r="A1325" s="5" t="str">
        <f ca="1">IFERROR(__xludf.DUMMYFUNCTION("""COMPUTED_VALUE"""),"20150524MISOF")</f>
        <v>20150524MISOF</v>
      </c>
      <c r="B1325" s="5" t="str">
        <f ca="1">IFERROR(__xludf.DUMMYFUNCTION("""COMPUTED_VALUE"""),"Wounded")</f>
        <v>Wounded</v>
      </c>
      <c r="C1325" s="5"/>
      <c r="D1325" s="5"/>
      <c r="E1325" s="5"/>
      <c r="F1325" s="5"/>
    </row>
    <row r="1326" spans="1:6" ht="13">
      <c r="A1326" s="5" t="str">
        <f ca="1">IFERROR(__xludf.DUMMYFUNCTION("""COMPUTED_VALUE"""),"20150521FLDUJ")</f>
        <v>20150521FLDUJ</v>
      </c>
      <c r="B1326" s="5" t="str">
        <f ca="1">IFERROR(__xludf.DUMMYFUNCTION("""COMPUTED_VALUE"""),"Wounded")</f>
        <v>Wounded</v>
      </c>
      <c r="C1326" s="5" t="str">
        <f ca="1">IFERROR(__xludf.DUMMYFUNCTION("""COMPUTED_VALUE"""),"Female")</f>
        <v>Female</v>
      </c>
      <c r="D1326" s="5" t="str">
        <f ca="1">IFERROR(__xludf.DUMMYFUNCTION("""COMPUTED_VALUE"""),"Student")</f>
        <v>Student</v>
      </c>
      <c r="E1326" s="5" t="str">
        <f ca="1">IFERROR(__xludf.DUMMYFUNCTION("""COMPUTED_VALUE"""),"Teen")</f>
        <v>Teen</v>
      </c>
      <c r="F1326" s="5"/>
    </row>
    <row r="1327" spans="1:6" ht="13">
      <c r="A1327" s="5" t="str">
        <f ca="1">IFERROR(__xludf.DUMMYFUNCTION("""COMPUTED_VALUE"""),"20150521FLDUJ")</f>
        <v>20150521FLDUJ</v>
      </c>
      <c r="B1327" s="5" t="str">
        <f ca="1">IFERROR(__xludf.DUMMYFUNCTION("""COMPUTED_VALUE"""),"Wounded")</f>
        <v>Wounded</v>
      </c>
      <c r="C1327" s="5" t="str">
        <f ca="1">IFERROR(__xludf.DUMMYFUNCTION("""COMPUTED_VALUE"""),"Female")</f>
        <v>Female</v>
      </c>
      <c r="D1327" s="5" t="str">
        <f ca="1">IFERROR(__xludf.DUMMYFUNCTION("""COMPUTED_VALUE"""),"Student")</f>
        <v>Student</v>
      </c>
      <c r="E1327" s="5" t="str">
        <f ca="1">IFERROR(__xludf.DUMMYFUNCTION("""COMPUTED_VALUE"""),"Teen")</f>
        <v>Teen</v>
      </c>
      <c r="F1327" s="5"/>
    </row>
    <row r="1328" spans="1:6" ht="13">
      <c r="A1328" s="5" t="str">
        <f ca="1">IFERROR(__xludf.DUMMYFUNCTION("""COMPUTED_VALUE"""),"20150520TXROR")</f>
        <v>20150520TXROR</v>
      </c>
      <c r="B1328" s="5" t="str">
        <f ca="1">IFERROR(__xludf.DUMMYFUNCTION("""COMPUTED_VALUE"""),"None")</f>
        <v>None</v>
      </c>
      <c r="C1328" s="5" t="str">
        <f ca="1">IFERROR(__xludf.DUMMYFUNCTION("""COMPUTED_VALUE"""),"Male")</f>
        <v>Male</v>
      </c>
      <c r="D1328" s="5" t="str">
        <f ca="1">IFERROR(__xludf.DUMMYFUNCTION("""COMPUTED_VALUE"""),"Student")</f>
        <v>Student</v>
      </c>
      <c r="E1328" s="5">
        <f ca="1">IFERROR(__xludf.DUMMYFUNCTION("""COMPUTED_VALUE"""),18)</f>
        <v>18</v>
      </c>
      <c r="F1328" s="5"/>
    </row>
    <row r="1329" spans="1:6" ht="13">
      <c r="A1329" s="5" t="str">
        <f ca="1">IFERROR(__xludf.DUMMYFUNCTION("""COMPUTED_VALUE"""),"20150512FLUNJ")</f>
        <v>20150512FLUNJ</v>
      </c>
      <c r="B1329" s="5" t="str">
        <f ca="1">IFERROR(__xludf.DUMMYFUNCTION("""COMPUTED_VALUE"""),"Wounded")</f>
        <v>Wounded</v>
      </c>
      <c r="C1329" s="5" t="str">
        <f ca="1">IFERROR(__xludf.DUMMYFUNCTION("""COMPUTED_VALUE"""),"Female")</f>
        <v>Female</v>
      </c>
      <c r="D1329" s="5" t="str">
        <f ca="1">IFERROR(__xludf.DUMMYFUNCTION("""COMPUTED_VALUE"""),"Student")</f>
        <v>Student</v>
      </c>
      <c r="E1329" s="5">
        <f ca="1">IFERROR(__xludf.DUMMYFUNCTION("""COMPUTED_VALUE"""),14)</f>
        <v>14</v>
      </c>
      <c r="F1329" s="5"/>
    </row>
    <row r="1330" spans="1:6" ht="13">
      <c r="A1330" s="5" t="str">
        <f ca="1">IFERROR(__xludf.DUMMYFUNCTION("""COMPUTED_VALUE"""),"20150512FLUNJ")</f>
        <v>20150512FLUNJ</v>
      </c>
      <c r="B1330" s="5" t="str">
        <f ca="1">IFERROR(__xludf.DUMMYFUNCTION("""COMPUTED_VALUE"""),"Wounded")</f>
        <v>Wounded</v>
      </c>
      <c r="C1330" s="5" t="str">
        <f ca="1">IFERROR(__xludf.DUMMYFUNCTION("""COMPUTED_VALUE"""),"Female")</f>
        <v>Female</v>
      </c>
      <c r="D1330" s="5" t="str">
        <f ca="1">IFERROR(__xludf.DUMMYFUNCTION("""COMPUTED_VALUE"""),"Student")</f>
        <v>Student</v>
      </c>
      <c r="E1330" s="5">
        <f ca="1">IFERROR(__xludf.DUMMYFUNCTION("""COMPUTED_VALUE"""),15)</f>
        <v>15</v>
      </c>
      <c r="F1330" s="5"/>
    </row>
    <row r="1331" spans="1:6" ht="13">
      <c r="A1331" s="5" t="str">
        <f ca="1">IFERROR(__xludf.DUMMYFUNCTION("""COMPUTED_VALUE"""),"20150512AZCOT")</f>
        <v>20150512AZCOT</v>
      </c>
      <c r="B1331" s="5" t="str">
        <f ca="1">IFERROR(__xludf.DUMMYFUNCTION("""COMPUTED_VALUE"""),"None")</f>
        <v>None</v>
      </c>
      <c r="C1331" s="5" t="str">
        <f ca="1">IFERROR(__xludf.DUMMYFUNCTION("""COMPUTED_VALUE"""),"Male")</f>
        <v>Male</v>
      </c>
      <c r="D1331" s="5" t="str">
        <f ca="1">IFERROR(__xludf.DUMMYFUNCTION("""COMPUTED_VALUE"""),"Student")</f>
        <v>Student</v>
      </c>
      <c r="E1331" s="5">
        <f ca="1">IFERROR(__xludf.DUMMYFUNCTION("""COMPUTED_VALUE"""),18)</f>
        <v>18</v>
      </c>
      <c r="F1331" s="5" t="str">
        <f ca="1">IFERROR(__xludf.DUMMYFUNCTION("""COMPUTED_VALUE"""),"Black")</f>
        <v>Black</v>
      </c>
    </row>
    <row r="1332" spans="1:6" ht="13">
      <c r="A1332" s="5" t="str">
        <f ca="1">IFERROR(__xludf.DUMMYFUNCTION("""COMPUTED_VALUE"""),"20150505GACOC")</f>
        <v>20150505GACOC</v>
      </c>
      <c r="B1332" s="5" t="str">
        <f ca="1">IFERROR(__xludf.DUMMYFUNCTION("""COMPUTED_VALUE"""),"None")</f>
        <v>None</v>
      </c>
      <c r="C1332" s="5"/>
      <c r="D1332" s="5"/>
      <c r="E1332" s="5"/>
      <c r="F1332" s="5"/>
    </row>
    <row r="1333" spans="1:6" ht="13">
      <c r="A1333" s="5" t="str">
        <f ca="1">IFERROR(__xludf.DUMMYFUNCTION("""COMPUTED_VALUE"""),"20150504OHWIC")</f>
        <v>20150504OHWIC</v>
      </c>
      <c r="B1333" s="5" t="str">
        <f ca="1">IFERROR(__xludf.DUMMYFUNCTION("""COMPUTED_VALUE"""),"Fatal")</f>
        <v>Fatal</v>
      </c>
      <c r="C1333" s="5" t="str">
        <f ca="1">IFERROR(__xludf.DUMMYFUNCTION("""COMPUTED_VALUE"""),"Male")</f>
        <v>Male</v>
      </c>
      <c r="D1333" s="5" t="str">
        <f ca="1">IFERROR(__xludf.DUMMYFUNCTION("""COMPUTED_VALUE"""),"No Relation")</f>
        <v>No Relation</v>
      </c>
      <c r="E1333" s="5">
        <f ca="1">IFERROR(__xludf.DUMMYFUNCTION("""COMPUTED_VALUE"""),22)</f>
        <v>22</v>
      </c>
      <c r="F1333" s="5"/>
    </row>
    <row r="1334" spans="1:6" ht="13">
      <c r="A1334" s="5" t="str">
        <f ca="1">IFERROR(__xludf.DUMMYFUNCTION("""COMPUTED_VALUE"""),"20150504OHWIC")</f>
        <v>20150504OHWIC</v>
      </c>
      <c r="B1334" s="5" t="str">
        <f ca="1">IFERROR(__xludf.DUMMYFUNCTION("""COMPUTED_VALUE"""),"Wounded")</f>
        <v>Wounded</v>
      </c>
      <c r="C1334" s="5" t="str">
        <f ca="1">IFERROR(__xludf.DUMMYFUNCTION("""COMPUTED_VALUE"""),"Male")</f>
        <v>Male</v>
      </c>
      <c r="D1334" s="5" t="str">
        <f ca="1">IFERROR(__xludf.DUMMYFUNCTION("""COMPUTED_VALUE"""),"No Relation")</f>
        <v>No Relation</v>
      </c>
      <c r="E1334" s="5">
        <f ca="1">IFERROR(__xludf.DUMMYFUNCTION("""COMPUTED_VALUE"""),26)</f>
        <v>26</v>
      </c>
      <c r="F1334" s="5"/>
    </row>
    <row r="1335" spans="1:6" ht="13">
      <c r="A1335" s="5" t="str">
        <f ca="1">IFERROR(__xludf.DUMMYFUNCTION("""COMPUTED_VALUE"""),"20150428MDDRW")</f>
        <v>20150428MDDRW</v>
      </c>
      <c r="B1335" s="5" t="str">
        <f ca="1">IFERROR(__xludf.DUMMYFUNCTION("""COMPUTED_VALUE"""),"Wounded")</f>
        <v>Wounded</v>
      </c>
      <c r="C1335" s="5" t="str">
        <f ca="1">IFERROR(__xludf.DUMMYFUNCTION("""COMPUTED_VALUE"""),"Male")</f>
        <v>Male</v>
      </c>
      <c r="D1335" s="5" t="str">
        <f ca="1">IFERROR(__xludf.DUMMYFUNCTION("""COMPUTED_VALUE"""),"No Relation")</f>
        <v>No Relation</v>
      </c>
      <c r="E1335" s="5">
        <f ca="1">IFERROR(__xludf.DUMMYFUNCTION("""COMPUTED_VALUE"""),22)</f>
        <v>22</v>
      </c>
      <c r="F1335" s="5"/>
    </row>
    <row r="1336" spans="1:6" ht="13">
      <c r="A1336" s="5" t="str">
        <f ca="1">IFERROR(__xludf.DUMMYFUNCTION("""COMPUTED_VALUE"""),"20150427WANOL")</f>
        <v>20150427WANOL</v>
      </c>
      <c r="B1336" s="5" t="str">
        <f ca="1">IFERROR(__xludf.DUMMYFUNCTION("""COMPUTED_VALUE"""),"None")</f>
        <v>None</v>
      </c>
      <c r="C1336" s="5"/>
      <c r="D1336" s="5"/>
      <c r="E1336" s="5"/>
      <c r="F1336" s="5"/>
    </row>
    <row r="1337" spans="1:6" ht="13">
      <c r="A1337" s="5" t="str">
        <f ca="1">IFERROR(__xludf.DUMMYFUNCTION("""COMPUTED_VALUE"""),"20150422NVRUL")</f>
        <v>20150422NVRUL</v>
      </c>
      <c r="B1337" s="5" t="str">
        <f ca="1">IFERROR(__xludf.DUMMYFUNCTION("""COMPUTED_VALUE"""),"None")</f>
        <v>None</v>
      </c>
      <c r="C1337" s="5"/>
      <c r="D1337" s="5"/>
      <c r="E1337" s="5"/>
      <c r="F1337" s="5"/>
    </row>
    <row r="1338" spans="1:6" ht="13">
      <c r="A1338" s="5" t="str">
        <f ca="1">IFERROR(__xludf.DUMMYFUNCTION("""COMPUTED_VALUE"""),"20150417TXSES")</f>
        <v>20150417TXSES</v>
      </c>
      <c r="B1338" s="5" t="str">
        <f ca="1">IFERROR(__xludf.DUMMYFUNCTION("""COMPUTED_VALUE"""),"None")</f>
        <v>None</v>
      </c>
      <c r="C1338" s="5" t="str">
        <f ca="1">IFERROR(__xludf.DUMMYFUNCTION("""COMPUTED_VALUE"""),"Male")</f>
        <v>Male</v>
      </c>
      <c r="D1338" s="5" t="str">
        <f ca="1">IFERROR(__xludf.DUMMYFUNCTION("""COMPUTED_VALUE"""),"Student")</f>
        <v>Student</v>
      </c>
      <c r="E1338" s="5">
        <f ca="1">IFERROR(__xludf.DUMMYFUNCTION("""COMPUTED_VALUE"""),18)</f>
        <v>18</v>
      </c>
      <c r="F1338" s="5" t="str">
        <f ca="1">IFERROR(__xludf.DUMMYFUNCTION("""COMPUTED_VALUE"""),"Hispanic")</f>
        <v>Hispanic</v>
      </c>
    </row>
    <row r="1339" spans="1:6" ht="13">
      <c r="A1339" s="5" t="str">
        <f ca="1">IFERROR(__xludf.DUMMYFUNCTION("""COMPUTED_VALUE"""),"20150330MOPEU")</f>
        <v>20150330MOPEU</v>
      </c>
      <c r="B1339" s="5" t="str">
        <f ca="1">IFERROR(__xludf.DUMMYFUNCTION("""COMPUTED_VALUE"""),"Wounded")</f>
        <v>Wounded</v>
      </c>
      <c r="C1339" s="5" t="str">
        <f ca="1">IFERROR(__xludf.DUMMYFUNCTION("""COMPUTED_VALUE"""),"Male")</f>
        <v>Male</v>
      </c>
      <c r="D1339" s="5" t="str">
        <f ca="1">IFERROR(__xludf.DUMMYFUNCTION("""COMPUTED_VALUE"""),"No Relation")</f>
        <v>No Relation</v>
      </c>
      <c r="E1339" s="5">
        <f ca="1">IFERROR(__xludf.DUMMYFUNCTION("""COMPUTED_VALUE"""),34)</f>
        <v>34</v>
      </c>
      <c r="F1339" s="5"/>
    </row>
    <row r="1340" spans="1:6" ht="13">
      <c r="A1340" s="5" t="str">
        <f ca="1">IFERROR(__xludf.DUMMYFUNCTION("""COMPUTED_VALUE"""),"20150215CATEM")</f>
        <v>20150215CATEM</v>
      </c>
      <c r="B1340" s="5" t="str">
        <f ca="1">IFERROR(__xludf.DUMMYFUNCTION("""COMPUTED_VALUE"""),"Fatal")</f>
        <v>Fatal</v>
      </c>
      <c r="C1340" s="5" t="str">
        <f ca="1">IFERROR(__xludf.DUMMYFUNCTION("""COMPUTED_VALUE"""),"Male")</f>
        <v>Male</v>
      </c>
      <c r="D1340" s="5" t="str">
        <f ca="1">IFERROR(__xludf.DUMMYFUNCTION("""COMPUTED_VALUE"""),"Student")</f>
        <v>Student</v>
      </c>
      <c r="E1340" s="5">
        <f ca="1">IFERROR(__xludf.DUMMYFUNCTION("""COMPUTED_VALUE"""),16)</f>
        <v>16</v>
      </c>
      <c r="F1340" s="5" t="str">
        <f ca="1">IFERROR(__xludf.DUMMYFUNCTION("""COMPUTED_VALUE"""),"Hispanic")</f>
        <v>Hispanic</v>
      </c>
    </row>
    <row r="1341" spans="1:6" ht="13">
      <c r="A1341" s="5" t="str">
        <f ca="1">IFERROR(__xludf.DUMMYFUNCTION("""COMPUTED_VALUE"""),"20150215ARLAL")</f>
        <v>20150215ARLAL</v>
      </c>
      <c r="B1341" s="5" t="str">
        <f ca="1">IFERROR(__xludf.DUMMYFUNCTION("""COMPUTED_VALUE"""),"Wounded")</f>
        <v>Wounded</v>
      </c>
      <c r="C1341" s="5" t="str">
        <f ca="1">IFERROR(__xludf.DUMMYFUNCTION("""COMPUTED_VALUE"""),"Male")</f>
        <v>Male</v>
      </c>
      <c r="D1341" s="5" t="str">
        <f ca="1">IFERROR(__xludf.DUMMYFUNCTION("""COMPUTED_VALUE"""),"No Relation")</f>
        <v>No Relation</v>
      </c>
      <c r="E1341" s="5">
        <f ca="1">IFERROR(__xludf.DUMMYFUNCTION("""COMPUTED_VALUE"""),37)</f>
        <v>37</v>
      </c>
      <c r="F1341" s="5"/>
    </row>
    <row r="1342" spans="1:6" ht="13">
      <c r="A1342" s="5" t="str">
        <f ca="1">IFERROR(__xludf.DUMMYFUNCTION("""COMPUTED_VALUE"""),"20150215ARLAL")</f>
        <v>20150215ARLAL</v>
      </c>
      <c r="B1342" s="5" t="str">
        <f ca="1">IFERROR(__xludf.DUMMYFUNCTION("""COMPUTED_VALUE"""),"Wounded")</f>
        <v>Wounded</v>
      </c>
      <c r="C1342" s="5" t="str">
        <f ca="1">IFERROR(__xludf.DUMMYFUNCTION("""COMPUTED_VALUE"""),"Male")</f>
        <v>Male</v>
      </c>
      <c r="D1342" s="5" t="str">
        <f ca="1">IFERROR(__xludf.DUMMYFUNCTION("""COMPUTED_VALUE"""),"No Relation")</f>
        <v>No Relation</v>
      </c>
      <c r="E1342" s="5">
        <f ca="1">IFERROR(__xludf.DUMMYFUNCTION("""COMPUTED_VALUE"""),13)</f>
        <v>13</v>
      </c>
      <c r="F1342" s="5"/>
    </row>
    <row r="1343" spans="1:6" ht="13">
      <c r="A1343" s="5" t="str">
        <f ca="1">IFERROR(__xludf.DUMMYFUNCTION("""COMPUTED_VALUE"""),"20150204MDFRF")</f>
        <v>20150204MDFRF</v>
      </c>
      <c r="B1343" s="5" t="str">
        <f ca="1">IFERROR(__xludf.DUMMYFUNCTION("""COMPUTED_VALUE"""),"Wounded")</f>
        <v>Wounded</v>
      </c>
      <c r="C1343" s="5" t="str">
        <f ca="1">IFERROR(__xludf.DUMMYFUNCTION("""COMPUTED_VALUE"""),"Male")</f>
        <v>Male</v>
      </c>
      <c r="D1343" s="5" t="str">
        <f ca="1">IFERROR(__xludf.DUMMYFUNCTION("""COMPUTED_VALUE"""),"Student")</f>
        <v>Student</v>
      </c>
      <c r="E1343" s="5">
        <f ca="1">IFERROR(__xludf.DUMMYFUNCTION("""COMPUTED_VALUE"""),14)</f>
        <v>14</v>
      </c>
      <c r="F1343" s="5" t="str">
        <f ca="1">IFERROR(__xludf.DUMMYFUNCTION("""COMPUTED_VALUE"""),"Black")</f>
        <v>Black</v>
      </c>
    </row>
    <row r="1344" spans="1:6" ht="13">
      <c r="A1344" s="5" t="str">
        <f ca="1">IFERROR(__xludf.DUMMYFUNCTION("""COMPUTED_VALUE"""),"20150204MDFRF")</f>
        <v>20150204MDFRF</v>
      </c>
      <c r="B1344" s="5" t="str">
        <f ca="1">IFERROR(__xludf.DUMMYFUNCTION("""COMPUTED_VALUE"""),"Wounded")</f>
        <v>Wounded</v>
      </c>
      <c r="C1344" s="5" t="str">
        <f ca="1">IFERROR(__xludf.DUMMYFUNCTION("""COMPUTED_VALUE"""),"Male")</f>
        <v>Male</v>
      </c>
      <c r="D1344" s="5" t="str">
        <f ca="1">IFERROR(__xludf.DUMMYFUNCTION("""COMPUTED_VALUE"""),"Student")</f>
        <v>Student</v>
      </c>
      <c r="E1344" s="5">
        <f ca="1">IFERROR(__xludf.DUMMYFUNCTION("""COMPUTED_VALUE"""),15)</f>
        <v>15</v>
      </c>
      <c r="F1344" s="5" t="str">
        <f ca="1">IFERROR(__xludf.DUMMYFUNCTION("""COMPUTED_VALUE"""),"Black")</f>
        <v>Black</v>
      </c>
    </row>
    <row r="1345" spans="1:6" ht="13">
      <c r="A1345" s="5" t="str">
        <f ca="1">IFERROR(__xludf.DUMMYFUNCTION("""COMPUTED_VALUE"""),"20150126MNHAR")</f>
        <v>20150126MNHAR</v>
      </c>
      <c r="B1345" s="5" t="str">
        <f ca="1">IFERROR(__xludf.DUMMYFUNCTION("""COMPUTED_VALUE"""),"None")</f>
        <v>None</v>
      </c>
      <c r="C1345" s="5" t="str">
        <f ca="1">IFERROR(__xludf.DUMMYFUNCTION("""COMPUTED_VALUE"""),"Male")</f>
        <v>Male</v>
      </c>
      <c r="D1345" s="5" t="str">
        <f ca="1">IFERROR(__xludf.DUMMYFUNCTION("""COMPUTED_VALUE"""),"Unknown")</f>
        <v>Unknown</v>
      </c>
      <c r="E1345" s="5">
        <f ca="1">IFERROR(__xludf.DUMMYFUNCTION("""COMPUTED_VALUE"""),48)</f>
        <v>48</v>
      </c>
      <c r="F1345" s="5"/>
    </row>
    <row r="1346" spans="1:6" ht="13">
      <c r="A1346" s="5" t="str">
        <f ca="1">IFERROR(__xludf.DUMMYFUNCTION("""COMPUTED_VALUE"""),"20150122SCROH")</f>
        <v>20150122SCROH</v>
      </c>
      <c r="B1346" s="5" t="str">
        <f ca="1">IFERROR(__xludf.DUMMYFUNCTION("""COMPUTED_VALUE"""),"None")</f>
        <v>None</v>
      </c>
      <c r="C1346" s="5"/>
      <c r="D1346" s="5"/>
      <c r="E1346" s="5"/>
      <c r="F1346" s="5"/>
    </row>
    <row r="1347" spans="1:6" ht="13">
      <c r="A1347" s="5" t="str">
        <f ca="1">IFERROR(__xludf.DUMMYFUNCTION("""COMPUTED_VALUE"""),"20150120ALWIM")</f>
        <v>20150120ALWIM</v>
      </c>
      <c r="B1347" s="5" t="str">
        <f ca="1">IFERROR(__xludf.DUMMYFUNCTION("""COMPUTED_VALUE"""),"Wounded")</f>
        <v>Wounded</v>
      </c>
      <c r="C1347" s="5" t="str">
        <f ca="1">IFERROR(__xludf.DUMMYFUNCTION("""COMPUTED_VALUE"""),"Male")</f>
        <v>Male</v>
      </c>
      <c r="D1347" s="5" t="str">
        <f ca="1">IFERROR(__xludf.DUMMYFUNCTION("""COMPUTED_VALUE"""),"No Relation")</f>
        <v>No Relation</v>
      </c>
      <c r="E1347" s="5" t="str">
        <f ca="1">IFERROR(__xludf.DUMMYFUNCTION("""COMPUTED_VALUE"""),"Adult")</f>
        <v>Adult</v>
      </c>
      <c r="F1347" s="5"/>
    </row>
    <row r="1348" spans="1:6" ht="13">
      <c r="A1348" s="5" t="str">
        <f ca="1">IFERROR(__xludf.DUMMYFUNCTION("""COMPUTED_VALUE"""),"20150116FLVAO")</f>
        <v>20150116FLVAO</v>
      </c>
      <c r="B1348" s="5" t="str">
        <f ca="1">IFERROR(__xludf.DUMMYFUNCTION("""COMPUTED_VALUE"""),"Wounded")</f>
        <v>Wounded</v>
      </c>
      <c r="C1348" s="5" t="str">
        <f ca="1">IFERROR(__xludf.DUMMYFUNCTION("""COMPUTED_VALUE"""),"Female")</f>
        <v>Female</v>
      </c>
      <c r="D1348" s="5" t="str">
        <f ca="1">IFERROR(__xludf.DUMMYFUNCTION("""COMPUTED_VALUE"""),"Student")</f>
        <v>Student</v>
      </c>
      <c r="E1348" s="5">
        <f ca="1">IFERROR(__xludf.DUMMYFUNCTION("""COMPUTED_VALUE"""),19)</f>
        <v>19</v>
      </c>
      <c r="F1348" s="5"/>
    </row>
    <row r="1349" spans="1:6" ht="13">
      <c r="A1349" s="5" t="str">
        <f ca="1">IFERROR(__xludf.DUMMYFUNCTION("""COMPUTED_VALUE"""),"20150116FLVAO")</f>
        <v>20150116FLVAO</v>
      </c>
      <c r="B1349" s="5" t="str">
        <f ca="1">IFERROR(__xludf.DUMMYFUNCTION("""COMPUTED_VALUE"""),"Wounded")</f>
        <v>Wounded</v>
      </c>
      <c r="C1349" s="5" t="str">
        <f ca="1">IFERROR(__xludf.DUMMYFUNCTION("""COMPUTED_VALUE"""),"Female")</f>
        <v>Female</v>
      </c>
      <c r="D1349" s="5" t="str">
        <f ca="1">IFERROR(__xludf.DUMMYFUNCTION("""COMPUTED_VALUE"""),"Student")</f>
        <v>Student</v>
      </c>
      <c r="E1349" s="5">
        <f ca="1">IFERROR(__xludf.DUMMYFUNCTION("""COMPUTED_VALUE"""),14)</f>
        <v>14</v>
      </c>
      <c r="F1349" s="5"/>
    </row>
    <row r="1350" spans="1:6" ht="13">
      <c r="A1350" s="5" t="str">
        <f ca="1">IFERROR(__xludf.DUMMYFUNCTION("""COMPUTED_VALUE"""),"20150115WIWIM")</f>
        <v>20150115WIWIM</v>
      </c>
      <c r="B1350" s="5" t="str">
        <f ca="1">IFERROR(__xludf.DUMMYFUNCTION("""COMPUTED_VALUE"""),"Wounded")</f>
        <v>Wounded</v>
      </c>
      <c r="C1350" s="5" t="str">
        <f ca="1">IFERROR(__xludf.DUMMYFUNCTION("""COMPUTED_VALUE"""),"Male")</f>
        <v>Male</v>
      </c>
      <c r="D1350" s="5" t="str">
        <f ca="1">IFERROR(__xludf.DUMMYFUNCTION("""COMPUTED_VALUE"""),"Student")</f>
        <v>Student</v>
      </c>
      <c r="E1350" s="5">
        <f ca="1">IFERROR(__xludf.DUMMYFUNCTION("""COMPUTED_VALUE"""),15)</f>
        <v>15</v>
      </c>
      <c r="F1350" s="5"/>
    </row>
    <row r="1351" spans="1:6" ht="13">
      <c r="A1351" s="5" t="str">
        <f ca="1">IFERROR(__xludf.DUMMYFUNCTION("""COMPUTED_VALUE"""),"20150115WIWIM")</f>
        <v>20150115WIWIM</v>
      </c>
      <c r="B1351" s="5" t="str">
        <f ca="1">IFERROR(__xludf.DUMMYFUNCTION("""COMPUTED_VALUE"""),"Wounded")</f>
        <v>Wounded</v>
      </c>
      <c r="C1351" s="5" t="str">
        <f ca="1">IFERROR(__xludf.DUMMYFUNCTION("""COMPUTED_VALUE"""),"Male")</f>
        <v>Male</v>
      </c>
      <c r="D1351" s="5" t="str">
        <f ca="1">IFERROR(__xludf.DUMMYFUNCTION("""COMPUTED_VALUE"""),"Teacher")</f>
        <v>Teacher</v>
      </c>
      <c r="E1351" s="5" t="str">
        <f ca="1">IFERROR(__xludf.DUMMYFUNCTION("""COMPUTED_VALUE"""),"Adult")</f>
        <v>Adult</v>
      </c>
      <c r="F1351" s="5"/>
    </row>
    <row r="1352" spans="1:6" ht="13">
      <c r="A1352" s="5" t="str">
        <f ca="1">IFERROR(__xludf.DUMMYFUNCTION("""COMPUTED_VALUE"""),"20150115WIWIM")</f>
        <v>20150115WIWIM</v>
      </c>
      <c r="B1352" s="5" t="str">
        <f ca="1">IFERROR(__xludf.DUMMYFUNCTION("""COMPUTED_VALUE"""),"Wounded")</f>
        <v>Wounded</v>
      </c>
      <c r="C1352" s="5" t="str">
        <f ca="1">IFERROR(__xludf.DUMMYFUNCTION("""COMPUTED_VALUE"""),"Male")</f>
        <v>Male</v>
      </c>
      <c r="D1352" s="5" t="str">
        <f ca="1">IFERROR(__xludf.DUMMYFUNCTION("""COMPUTED_VALUE"""),"Nonstudent Using Athletic Facilities/Attending Game")</f>
        <v>Nonstudent Using Athletic Facilities/Attending Game</v>
      </c>
      <c r="E1352" s="5" t="str">
        <f ca="1">IFERROR(__xludf.DUMMYFUNCTION("""COMPUTED_VALUE"""),"Adult")</f>
        <v>Adult</v>
      </c>
      <c r="F1352" s="5"/>
    </row>
    <row r="1353" spans="1:6" ht="13">
      <c r="A1353" s="5" t="str">
        <f ca="1">IFERROR(__xludf.DUMMYFUNCTION("""COMPUTED_VALUE"""),"20141217MIGOW")</f>
        <v>20141217MIGOW</v>
      </c>
      <c r="B1353" s="5" t="str">
        <f ca="1">IFERROR(__xludf.DUMMYFUNCTION("""COMPUTED_VALUE"""),"Wounded")</f>
        <v>Wounded</v>
      </c>
      <c r="C1353" s="5" t="str">
        <f ca="1">IFERROR(__xludf.DUMMYFUNCTION("""COMPUTED_VALUE"""),"Male")</f>
        <v>Male</v>
      </c>
      <c r="D1353" s="5" t="str">
        <f ca="1">IFERROR(__xludf.DUMMYFUNCTION("""COMPUTED_VALUE"""),"Student")</f>
        <v>Student</v>
      </c>
      <c r="E1353" s="5">
        <f ca="1">IFERROR(__xludf.DUMMYFUNCTION("""COMPUTED_VALUE"""),15)</f>
        <v>15</v>
      </c>
      <c r="F1353" s="5" t="str">
        <f ca="1">IFERROR(__xludf.DUMMYFUNCTION("""COMPUTED_VALUE"""),"Black")</f>
        <v>Black</v>
      </c>
    </row>
    <row r="1354" spans="1:6" ht="13">
      <c r="A1354" s="5" t="str">
        <f ca="1">IFERROR(__xludf.DUMMYFUNCTION("""COMPUTED_VALUE"""),"20141217MEBEW")</f>
        <v>20141217MEBEW</v>
      </c>
      <c r="B1354" s="5" t="str">
        <f ca="1">IFERROR(__xludf.DUMMYFUNCTION("""COMPUTED_VALUE"""),"None")</f>
        <v>None</v>
      </c>
      <c r="C1354" s="5" t="str">
        <f ca="1">IFERROR(__xludf.DUMMYFUNCTION("""COMPUTED_VALUE"""),"Male")</f>
        <v>Male</v>
      </c>
      <c r="D1354" s="5" t="str">
        <f ca="1">IFERROR(__xludf.DUMMYFUNCTION("""COMPUTED_VALUE"""),"No Relation")</f>
        <v>No Relation</v>
      </c>
      <c r="E1354" s="5">
        <f ca="1">IFERROR(__xludf.DUMMYFUNCTION("""COMPUTED_VALUE"""),41)</f>
        <v>41</v>
      </c>
      <c r="F1354" s="5" t="str">
        <f ca="1">IFERROR(__xludf.DUMMYFUNCTION("""COMPUTED_VALUE"""),"White")</f>
        <v>White</v>
      </c>
    </row>
    <row r="1355" spans="1:6" ht="13">
      <c r="A1355" s="5" t="str">
        <f ca="1">IFERROR(__xludf.DUMMYFUNCTION("""COMPUTED_VALUE"""),"20141216PASUP")</f>
        <v>20141216PASUP</v>
      </c>
      <c r="B1355" s="5" t="str">
        <f ca="1">IFERROR(__xludf.DUMMYFUNCTION("""COMPUTED_VALUE"""),"Fatal")</f>
        <v>Fatal</v>
      </c>
      <c r="C1355" s="5" t="str">
        <f ca="1">IFERROR(__xludf.DUMMYFUNCTION("""COMPUTED_VALUE"""),"Male")</f>
        <v>Male</v>
      </c>
      <c r="D1355" s="5" t="str">
        <f ca="1">IFERROR(__xludf.DUMMYFUNCTION("""COMPUTED_VALUE"""),"No Relation")</f>
        <v>No Relation</v>
      </c>
      <c r="E1355" s="5">
        <f ca="1">IFERROR(__xludf.DUMMYFUNCTION("""COMPUTED_VALUE"""),20)</f>
        <v>20</v>
      </c>
      <c r="F1355" s="5" t="str">
        <f ca="1">IFERROR(__xludf.DUMMYFUNCTION("""COMPUTED_VALUE"""),"Black")</f>
        <v>Black</v>
      </c>
    </row>
    <row r="1356" spans="1:6" ht="13">
      <c r="A1356" s="5" t="str">
        <f ca="1">IFERROR(__xludf.DUMMYFUNCTION("""COMPUTED_VALUE"""),"20141212ORROP")</f>
        <v>20141212ORROP</v>
      </c>
      <c r="B1356" s="5" t="str">
        <f ca="1">IFERROR(__xludf.DUMMYFUNCTION("""COMPUTED_VALUE"""),"Wounded")</f>
        <v>Wounded</v>
      </c>
      <c r="C1356" s="5" t="str">
        <f ca="1">IFERROR(__xludf.DUMMYFUNCTION("""COMPUTED_VALUE"""),"Male")</f>
        <v>Male</v>
      </c>
      <c r="D1356" s="5" t="str">
        <f ca="1">IFERROR(__xludf.DUMMYFUNCTION("""COMPUTED_VALUE"""),"Student")</f>
        <v>Student</v>
      </c>
      <c r="E1356" s="5">
        <f ca="1">IFERROR(__xludf.DUMMYFUNCTION("""COMPUTED_VALUE"""),16)</f>
        <v>16</v>
      </c>
      <c r="F1356" s="5" t="str">
        <f ca="1">IFERROR(__xludf.DUMMYFUNCTION("""COMPUTED_VALUE"""),"Black")</f>
        <v>Black</v>
      </c>
    </row>
    <row r="1357" spans="1:6" ht="13">
      <c r="A1357" s="5" t="str">
        <f ca="1">IFERROR(__xludf.DUMMYFUNCTION("""COMPUTED_VALUE"""),"20141212ORROP")</f>
        <v>20141212ORROP</v>
      </c>
      <c r="B1357" s="5" t="str">
        <f ca="1">IFERROR(__xludf.DUMMYFUNCTION("""COMPUTED_VALUE"""),"Wounded")</f>
        <v>Wounded</v>
      </c>
      <c r="C1357" s="5" t="str">
        <f ca="1">IFERROR(__xludf.DUMMYFUNCTION("""COMPUTED_VALUE"""),"Female")</f>
        <v>Female</v>
      </c>
      <c r="D1357" s="5" t="str">
        <f ca="1">IFERROR(__xludf.DUMMYFUNCTION("""COMPUTED_VALUE"""),"Student")</f>
        <v>Student</v>
      </c>
      <c r="E1357" s="5">
        <f ca="1">IFERROR(__xludf.DUMMYFUNCTION("""COMPUTED_VALUE"""),17)</f>
        <v>17</v>
      </c>
      <c r="F1357" s="5" t="str">
        <f ca="1">IFERROR(__xludf.DUMMYFUNCTION("""COMPUTED_VALUE"""),"Black")</f>
        <v>Black</v>
      </c>
    </row>
    <row r="1358" spans="1:6" ht="13">
      <c r="A1358" s="5" t="str">
        <f ca="1">IFERROR(__xludf.DUMMYFUNCTION("""COMPUTED_VALUE"""),"20141212ORROP")</f>
        <v>20141212ORROP</v>
      </c>
      <c r="B1358" s="5" t="str">
        <f ca="1">IFERROR(__xludf.DUMMYFUNCTION("""COMPUTED_VALUE"""),"Wounded")</f>
        <v>Wounded</v>
      </c>
      <c r="C1358" s="5" t="str">
        <f ca="1">IFERROR(__xludf.DUMMYFUNCTION("""COMPUTED_VALUE"""),"Male")</f>
        <v>Male</v>
      </c>
      <c r="D1358" s="5" t="str">
        <f ca="1">IFERROR(__xludf.DUMMYFUNCTION("""COMPUTED_VALUE"""),"Gang Member")</f>
        <v>Gang Member</v>
      </c>
      <c r="E1358" s="5">
        <f ca="1">IFERROR(__xludf.DUMMYFUNCTION("""COMPUTED_VALUE"""),20)</f>
        <v>20</v>
      </c>
      <c r="F1358" s="5" t="str">
        <f ca="1">IFERROR(__xludf.DUMMYFUNCTION("""COMPUTED_VALUE"""),"Black")</f>
        <v>Black</v>
      </c>
    </row>
    <row r="1359" spans="1:6" ht="13">
      <c r="A1359" s="5" t="str">
        <f ca="1">IFERROR(__xludf.DUMMYFUNCTION("""COMPUTED_VALUE"""),"20141212ORROP")</f>
        <v>20141212ORROP</v>
      </c>
      <c r="B1359" s="5" t="str">
        <f ca="1">IFERROR(__xludf.DUMMYFUNCTION("""COMPUTED_VALUE"""),"Wounded")</f>
        <v>Wounded</v>
      </c>
      <c r="C1359" s="5" t="str">
        <f ca="1">IFERROR(__xludf.DUMMYFUNCTION("""COMPUTED_VALUE"""),"Female")</f>
        <v>Female</v>
      </c>
      <c r="D1359" s="5" t="str">
        <f ca="1">IFERROR(__xludf.DUMMYFUNCTION("""COMPUTED_VALUE"""),"Student")</f>
        <v>Student</v>
      </c>
      <c r="E1359" s="5">
        <f ca="1">IFERROR(__xludf.DUMMYFUNCTION("""COMPUTED_VALUE"""),17)</f>
        <v>17</v>
      </c>
      <c r="F1359" s="5" t="str">
        <f ca="1">IFERROR(__xludf.DUMMYFUNCTION("""COMPUTED_VALUE"""),"Black")</f>
        <v>Black</v>
      </c>
    </row>
    <row r="1360" spans="1:6" ht="13">
      <c r="A1360" s="5" t="str">
        <f ca="1">IFERROR(__xludf.DUMMYFUNCTION("""COMPUTED_VALUE"""),"20141120FLMIM")</f>
        <v>20141120FLMIM</v>
      </c>
      <c r="B1360" s="5" t="str">
        <f ca="1">IFERROR(__xludf.DUMMYFUNCTION("""COMPUTED_VALUE"""),"Fatal")</f>
        <v>Fatal</v>
      </c>
      <c r="C1360" s="5" t="str">
        <f ca="1">IFERROR(__xludf.DUMMYFUNCTION("""COMPUTED_VALUE"""),"Male")</f>
        <v>Male</v>
      </c>
      <c r="D1360" s="5" t="str">
        <f ca="1">IFERROR(__xludf.DUMMYFUNCTION("""COMPUTED_VALUE"""),"No Relation")</f>
        <v>No Relation</v>
      </c>
      <c r="E1360" s="5">
        <f ca="1">IFERROR(__xludf.DUMMYFUNCTION("""COMPUTED_VALUE"""),16)</f>
        <v>16</v>
      </c>
      <c r="F1360" s="5" t="str">
        <f ca="1">IFERROR(__xludf.DUMMYFUNCTION("""COMPUTED_VALUE"""),"Black")</f>
        <v>Black</v>
      </c>
    </row>
    <row r="1361" spans="1:6" ht="13">
      <c r="A1361" s="5" t="str">
        <f ca="1">IFERROR(__xludf.DUMMYFUNCTION("""COMPUTED_VALUE"""),"20141120FLMIM")</f>
        <v>20141120FLMIM</v>
      </c>
      <c r="B1361" s="5" t="str">
        <f ca="1">IFERROR(__xludf.DUMMYFUNCTION("""COMPUTED_VALUE"""),"Wounded")</f>
        <v>Wounded</v>
      </c>
      <c r="C1361" s="5" t="str">
        <f ca="1">IFERROR(__xludf.DUMMYFUNCTION("""COMPUTED_VALUE"""),"Male")</f>
        <v>Male</v>
      </c>
      <c r="D1361" s="5" t="str">
        <f ca="1">IFERROR(__xludf.DUMMYFUNCTION("""COMPUTED_VALUE"""),"No Relation")</f>
        <v>No Relation</v>
      </c>
      <c r="E1361" s="5">
        <f ca="1">IFERROR(__xludf.DUMMYFUNCTION("""COMPUTED_VALUE"""),17)</f>
        <v>17</v>
      </c>
      <c r="F1361" s="5" t="str">
        <f ca="1">IFERROR(__xludf.DUMMYFUNCTION("""COMPUTED_VALUE"""),"Black")</f>
        <v>Black</v>
      </c>
    </row>
    <row r="1362" spans="1:6" ht="13">
      <c r="A1362" s="5" t="str">
        <f ca="1">IFERROR(__xludf.DUMMYFUNCTION("""COMPUTED_VALUE"""),"20141024WAMAM")</f>
        <v>20141024WAMAM</v>
      </c>
      <c r="B1362" s="5" t="str">
        <f ca="1">IFERROR(__xludf.DUMMYFUNCTION("""COMPUTED_VALUE"""),"Fatal")</f>
        <v>Fatal</v>
      </c>
      <c r="C1362" s="5" t="str">
        <f ca="1">IFERROR(__xludf.DUMMYFUNCTION("""COMPUTED_VALUE"""),"Male")</f>
        <v>Male</v>
      </c>
      <c r="D1362" s="5" t="str">
        <f ca="1">IFERROR(__xludf.DUMMYFUNCTION("""COMPUTED_VALUE"""),"Student")</f>
        <v>Student</v>
      </c>
      <c r="E1362" s="5">
        <f ca="1">IFERROR(__xludf.DUMMYFUNCTION("""COMPUTED_VALUE"""),15)</f>
        <v>15</v>
      </c>
      <c r="F1362" s="5"/>
    </row>
    <row r="1363" spans="1:6" ht="13">
      <c r="A1363" s="5" t="str">
        <f ca="1">IFERROR(__xludf.DUMMYFUNCTION("""COMPUTED_VALUE"""),"20141024WAMAM")</f>
        <v>20141024WAMAM</v>
      </c>
      <c r="B1363" s="5" t="str">
        <f ca="1">IFERROR(__xludf.DUMMYFUNCTION("""COMPUTED_VALUE"""),"Wounded")</f>
        <v>Wounded</v>
      </c>
      <c r="C1363" s="5" t="str">
        <f ca="1">IFERROR(__xludf.DUMMYFUNCTION("""COMPUTED_VALUE"""),"Male")</f>
        <v>Male</v>
      </c>
      <c r="D1363" s="5" t="str">
        <f ca="1">IFERROR(__xludf.DUMMYFUNCTION("""COMPUTED_VALUE"""),"Student")</f>
        <v>Student</v>
      </c>
      <c r="E1363" s="5">
        <f ca="1">IFERROR(__xludf.DUMMYFUNCTION("""COMPUTED_VALUE"""),14)</f>
        <v>14</v>
      </c>
      <c r="F1363" s="5"/>
    </row>
    <row r="1364" spans="1:6" ht="13">
      <c r="A1364" s="5" t="str">
        <f ca="1">IFERROR(__xludf.DUMMYFUNCTION("""COMPUTED_VALUE"""),"20141024WAMAM")</f>
        <v>20141024WAMAM</v>
      </c>
      <c r="B1364" s="5" t="str">
        <f ca="1">IFERROR(__xludf.DUMMYFUNCTION("""COMPUTED_VALUE"""),"Wounded")</f>
        <v>Wounded</v>
      </c>
      <c r="C1364" s="5" t="str">
        <f ca="1">IFERROR(__xludf.DUMMYFUNCTION("""COMPUTED_VALUE"""),"Unknown")</f>
        <v>Unknown</v>
      </c>
      <c r="D1364" s="5" t="str">
        <f ca="1">IFERROR(__xludf.DUMMYFUNCTION("""COMPUTED_VALUE"""),"Student")</f>
        <v>Student</v>
      </c>
      <c r="E1364" s="5" t="str">
        <f ca="1">IFERROR(__xludf.DUMMYFUNCTION("""COMPUTED_VALUE"""),"Teen")</f>
        <v>Teen</v>
      </c>
      <c r="F1364" s="5"/>
    </row>
    <row r="1365" spans="1:6" ht="13">
      <c r="A1365" s="5" t="str">
        <f ca="1">IFERROR(__xludf.DUMMYFUNCTION("""COMPUTED_VALUE"""),"20141024WAMAM")</f>
        <v>20141024WAMAM</v>
      </c>
      <c r="B1365" s="5" t="str">
        <f ca="1">IFERROR(__xludf.DUMMYFUNCTION("""COMPUTED_VALUE"""),"Fatal")</f>
        <v>Fatal</v>
      </c>
      <c r="C1365" s="5" t="str">
        <f ca="1">IFERROR(__xludf.DUMMYFUNCTION("""COMPUTED_VALUE"""),"Female")</f>
        <v>Female</v>
      </c>
      <c r="D1365" s="5" t="str">
        <f ca="1">IFERROR(__xludf.DUMMYFUNCTION("""COMPUTED_VALUE"""),"Student")</f>
        <v>Student</v>
      </c>
      <c r="E1365" s="5">
        <f ca="1">IFERROR(__xludf.DUMMYFUNCTION("""COMPUTED_VALUE"""),14)</f>
        <v>14</v>
      </c>
      <c r="F1365" s="5"/>
    </row>
    <row r="1366" spans="1:6" ht="13">
      <c r="A1366" s="5" t="str">
        <f ca="1">IFERROR(__xludf.DUMMYFUNCTION("""COMPUTED_VALUE"""),"20141024WAMAM")</f>
        <v>20141024WAMAM</v>
      </c>
      <c r="B1366" s="5" t="str">
        <f ca="1">IFERROR(__xludf.DUMMYFUNCTION("""COMPUTED_VALUE"""),"Wounded")</f>
        <v>Wounded</v>
      </c>
      <c r="C1366" s="5" t="str">
        <f ca="1">IFERROR(__xludf.DUMMYFUNCTION("""COMPUTED_VALUE"""),"Unknown")</f>
        <v>Unknown</v>
      </c>
      <c r="D1366" s="5" t="str">
        <f ca="1">IFERROR(__xludf.DUMMYFUNCTION("""COMPUTED_VALUE"""),"Student")</f>
        <v>Student</v>
      </c>
      <c r="E1366" s="5" t="str">
        <f ca="1">IFERROR(__xludf.DUMMYFUNCTION("""COMPUTED_VALUE"""),"Teen")</f>
        <v>Teen</v>
      </c>
      <c r="F1366" s="5"/>
    </row>
    <row r="1367" spans="1:6" ht="13">
      <c r="A1367" s="5" t="str">
        <f ca="1">IFERROR(__xludf.DUMMYFUNCTION("""COMPUTED_VALUE"""),"20141024WAMAM")</f>
        <v>20141024WAMAM</v>
      </c>
      <c r="B1367" s="5" t="str">
        <f ca="1">IFERROR(__xludf.DUMMYFUNCTION("""COMPUTED_VALUE"""),"Fatal")</f>
        <v>Fatal</v>
      </c>
      <c r="C1367" s="5" t="str">
        <f ca="1">IFERROR(__xludf.DUMMYFUNCTION("""COMPUTED_VALUE"""),"Female")</f>
        <v>Female</v>
      </c>
      <c r="D1367" s="5" t="str">
        <f ca="1">IFERROR(__xludf.DUMMYFUNCTION("""COMPUTED_VALUE"""),"Student")</f>
        <v>Student</v>
      </c>
      <c r="E1367" s="5">
        <f ca="1">IFERROR(__xludf.DUMMYFUNCTION("""COMPUTED_VALUE"""),14)</f>
        <v>14</v>
      </c>
      <c r="F1367" s="5"/>
    </row>
    <row r="1368" spans="1:6" ht="13">
      <c r="A1368" s="5" t="str">
        <f ca="1">IFERROR(__xludf.DUMMYFUNCTION("""COMPUTED_VALUE"""),"20141024WAMAM")</f>
        <v>20141024WAMAM</v>
      </c>
      <c r="B1368" s="5" t="str">
        <f ca="1">IFERROR(__xludf.DUMMYFUNCTION("""COMPUTED_VALUE"""),"Fatal")</f>
        <v>Fatal</v>
      </c>
      <c r="C1368" s="5" t="str">
        <f ca="1">IFERROR(__xludf.DUMMYFUNCTION("""COMPUTED_VALUE"""),"Female")</f>
        <v>Female</v>
      </c>
      <c r="D1368" s="5" t="str">
        <f ca="1">IFERROR(__xludf.DUMMYFUNCTION("""COMPUTED_VALUE"""),"Student")</f>
        <v>Student</v>
      </c>
      <c r="E1368" s="5">
        <f ca="1">IFERROR(__xludf.DUMMYFUNCTION("""COMPUTED_VALUE"""),14)</f>
        <v>14</v>
      </c>
      <c r="F1368" s="5"/>
    </row>
    <row r="1369" spans="1:6" ht="13">
      <c r="A1369" s="5" t="str">
        <f ca="1">IFERROR(__xludf.DUMMYFUNCTION("""COMPUTED_VALUE"""),"20141024GALAA")</f>
        <v>20141024GALAA</v>
      </c>
      <c r="B1369" s="5" t="str">
        <f ca="1">IFERROR(__xludf.DUMMYFUNCTION("""COMPUTED_VALUE"""),"Wounded")</f>
        <v>Wounded</v>
      </c>
      <c r="C1369" s="5" t="str">
        <f ca="1">IFERROR(__xludf.DUMMYFUNCTION("""COMPUTED_VALUE"""),"Male")</f>
        <v>Male</v>
      </c>
      <c r="D1369" s="5" t="str">
        <f ca="1">IFERROR(__xludf.DUMMYFUNCTION("""COMPUTED_VALUE"""),"Student")</f>
        <v>Student</v>
      </c>
      <c r="E1369" s="5">
        <f ca="1">IFERROR(__xludf.DUMMYFUNCTION("""COMPUTED_VALUE"""),17)</f>
        <v>17</v>
      </c>
      <c r="F1369" s="5" t="str">
        <f ca="1">IFERROR(__xludf.DUMMYFUNCTION("""COMPUTED_VALUE"""),"Black")</f>
        <v>Black</v>
      </c>
    </row>
    <row r="1370" spans="1:6" ht="13">
      <c r="A1370" s="5" t="str">
        <f ca="1">IFERROR(__xludf.DUMMYFUNCTION("""COMPUTED_VALUE"""),"20141021TNAMM")</f>
        <v>20141021TNAMM</v>
      </c>
      <c r="B1370" s="5" t="str">
        <f ca="1">IFERROR(__xludf.DUMMYFUNCTION("""COMPUTED_VALUE"""),"Wounded")</f>
        <v>Wounded</v>
      </c>
      <c r="C1370" s="5" t="str">
        <f ca="1">IFERROR(__xludf.DUMMYFUNCTION("""COMPUTED_VALUE"""),"Male")</f>
        <v>Male</v>
      </c>
      <c r="D1370" s="5" t="str">
        <f ca="1">IFERROR(__xludf.DUMMYFUNCTION("""COMPUTED_VALUE"""),"Student")</f>
        <v>Student</v>
      </c>
      <c r="E1370" s="5">
        <f ca="1">IFERROR(__xludf.DUMMYFUNCTION("""COMPUTED_VALUE"""),13)</f>
        <v>13</v>
      </c>
      <c r="F1370" s="5"/>
    </row>
    <row r="1371" spans="1:6" ht="13">
      <c r="A1371" s="5" t="str">
        <f ca="1">IFERROR(__xludf.DUMMYFUNCTION("""COMPUTED_VALUE"""),"20141003GALAF")</f>
        <v>20141003GALAF</v>
      </c>
      <c r="B1371" s="5" t="str">
        <f ca="1">IFERROR(__xludf.DUMMYFUNCTION("""COMPUTED_VALUE"""),"Fatal")</f>
        <v>Fatal</v>
      </c>
      <c r="C1371" s="5" t="str">
        <f ca="1">IFERROR(__xludf.DUMMYFUNCTION("""COMPUTED_VALUE"""),"Male")</f>
        <v>Male</v>
      </c>
      <c r="D1371" s="5" t="str">
        <f ca="1">IFERROR(__xludf.DUMMYFUNCTION("""COMPUTED_VALUE"""),"No Relation")</f>
        <v>No Relation</v>
      </c>
      <c r="E1371" s="5">
        <f ca="1">IFERROR(__xludf.DUMMYFUNCTION("""COMPUTED_VALUE"""),17)</f>
        <v>17</v>
      </c>
      <c r="F1371" s="5" t="str">
        <f ca="1">IFERROR(__xludf.DUMMYFUNCTION("""COMPUTED_VALUE"""),"Black")</f>
        <v>Black</v>
      </c>
    </row>
    <row r="1372" spans="1:6" ht="13">
      <c r="A1372" s="5" t="str">
        <f ca="1">IFERROR(__xludf.DUMMYFUNCTION("""COMPUTED_VALUE"""),"20140930NCALA")</f>
        <v>20140930NCALA</v>
      </c>
      <c r="B1372" s="5" t="str">
        <f ca="1">IFERROR(__xludf.DUMMYFUNCTION("""COMPUTED_VALUE"""),"Wounded")</f>
        <v>Wounded</v>
      </c>
      <c r="C1372" s="5" t="str">
        <f ca="1">IFERROR(__xludf.DUMMYFUNCTION("""COMPUTED_VALUE"""),"Male")</f>
        <v>Male</v>
      </c>
      <c r="D1372" s="5" t="str">
        <f ca="1">IFERROR(__xludf.DUMMYFUNCTION("""COMPUTED_VALUE"""),"Student")</f>
        <v>Student</v>
      </c>
      <c r="E1372" s="5" t="str">
        <f ca="1">IFERROR(__xludf.DUMMYFUNCTION("""COMPUTED_VALUE"""),"Teen")</f>
        <v>Teen</v>
      </c>
      <c r="F1372" s="5" t="str">
        <f ca="1">IFERROR(__xludf.DUMMYFUNCTION("""COMPUTED_VALUE"""),"Black")</f>
        <v>Black</v>
      </c>
    </row>
    <row r="1373" spans="1:6" ht="13">
      <c r="A1373" s="5" t="str">
        <f ca="1">IFERROR(__xludf.DUMMYFUNCTION("""COMPUTED_VALUE"""),"20140930KYFEL")</f>
        <v>20140930KYFEL</v>
      </c>
      <c r="B1373" s="5" t="str">
        <f ca="1">IFERROR(__xludf.DUMMYFUNCTION("""COMPUTED_VALUE"""),"Wounded")</f>
        <v>Wounded</v>
      </c>
      <c r="C1373" s="5" t="str">
        <f ca="1">IFERROR(__xludf.DUMMYFUNCTION("""COMPUTED_VALUE"""),"Male")</f>
        <v>Male</v>
      </c>
      <c r="D1373" s="5" t="str">
        <f ca="1">IFERROR(__xludf.DUMMYFUNCTION("""COMPUTED_VALUE"""),"Student")</f>
        <v>Student</v>
      </c>
      <c r="E1373" s="5">
        <f ca="1">IFERROR(__xludf.DUMMYFUNCTION("""COMPUTED_VALUE"""),15)</f>
        <v>15</v>
      </c>
      <c r="F1373" s="5" t="str">
        <f ca="1">IFERROR(__xludf.DUMMYFUNCTION("""COMPUTED_VALUE"""),"Black")</f>
        <v>Black</v>
      </c>
    </row>
    <row r="1374" spans="1:6" ht="13">
      <c r="A1374" s="5" t="str">
        <f ca="1">IFERROR(__xludf.DUMMYFUNCTION("""COMPUTED_VALUE"""),"20140925NHWEM")</f>
        <v>20140925NHWEM</v>
      </c>
      <c r="B1374" s="5" t="str">
        <f ca="1">IFERROR(__xludf.DUMMYFUNCTION("""COMPUTED_VALUE"""),"None")</f>
        <v>None</v>
      </c>
      <c r="C1374" s="5"/>
      <c r="D1374" s="5"/>
      <c r="E1374" s="5"/>
      <c r="F1374" s="5"/>
    </row>
    <row r="1375" spans="1:6" ht="13">
      <c r="A1375" s="5" t="str">
        <f ca="1">IFERROR(__xludf.DUMMYFUNCTION("""COMPUTED_VALUE"""),"20140919IANOD")</f>
        <v>20140919IANOD</v>
      </c>
      <c r="B1375" s="5" t="str">
        <f ca="1">IFERROR(__xludf.DUMMYFUNCTION("""COMPUTED_VALUE"""),"Wounded")</f>
        <v>Wounded</v>
      </c>
      <c r="C1375" s="5" t="str">
        <f ca="1">IFERROR(__xludf.DUMMYFUNCTION("""COMPUTED_VALUE"""),"Male")</f>
        <v>Male</v>
      </c>
      <c r="D1375" s="5" t="str">
        <f ca="1">IFERROR(__xludf.DUMMYFUNCTION("""COMPUTED_VALUE"""),"Student")</f>
        <v>Student</v>
      </c>
      <c r="E1375" s="5" t="str">
        <f ca="1">IFERROR(__xludf.DUMMYFUNCTION("""COMPUTED_VALUE"""),"Teen")</f>
        <v>Teen</v>
      </c>
      <c r="F1375" s="5"/>
    </row>
    <row r="1376" spans="1:6" ht="13">
      <c r="A1376" s="5" t="str">
        <f ca="1">IFERROR(__xludf.DUMMYFUNCTION("""COMPUTED_VALUE"""),"20140911UTWET")</f>
        <v>20140911UTWET</v>
      </c>
      <c r="B1376" s="5" t="str">
        <f ca="1">IFERROR(__xludf.DUMMYFUNCTION("""COMPUTED_VALUE"""),"None")</f>
        <v>None</v>
      </c>
      <c r="C1376" s="5" t="str">
        <f ca="1">IFERROR(__xludf.DUMMYFUNCTION("""COMPUTED_VALUE"""),"Female")</f>
        <v>Female</v>
      </c>
      <c r="D1376" s="5" t="str">
        <f ca="1">IFERROR(__xludf.DUMMYFUNCTION("""COMPUTED_VALUE"""),"Teacher")</f>
        <v>Teacher</v>
      </c>
      <c r="E1376" s="5">
        <f ca="1">IFERROR(__xludf.DUMMYFUNCTION("""COMPUTED_VALUE"""),39)</f>
        <v>39</v>
      </c>
      <c r="F1376" s="5" t="str">
        <f ca="1">IFERROR(__xludf.DUMMYFUNCTION("""COMPUTED_VALUE"""),"White")</f>
        <v>White</v>
      </c>
    </row>
    <row r="1377" spans="1:6" ht="13">
      <c r="A1377" s="5" t="str">
        <f ca="1">IFERROR(__xludf.DUMMYFUNCTION("""COMPUTED_VALUE"""),"20140910FLGRL")</f>
        <v>20140910FLGRL</v>
      </c>
      <c r="B1377" s="5" t="str">
        <f ca="1">IFERROR(__xludf.DUMMYFUNCTION("""COMPUTED_VALUE"""),"None")</f>
        <v>None</v>
      </c>
      <c r="C1377" s="5" t="str">
        <f ca="1">IFERROR(__xludf.DUMMYFUNCTION("""COMPUTED_VALUE"""),"Male")</f>
        <v>Male</v>
      </c>
      <c r="D1377" s="5" t="str">
        <f ca="1">IFERROR(__xludf.DUMMYFUNCTION("""COMPUTED_VALUE"""),"Student")</f>
        <v>Student</v>
      </c>
      <c r="E1377" s="5">
        <f ca="1">IFERROR(__xludf.DUMMYFUNCTION("""COMPUTED_VALUE"""),14)</f>
        <v>14</v>
      </c>
      <c r="F1377" s="5" t="str">
        <f ca="1">IFERROR(__xludf.DUMMYFUNCTION("""COMPUTED_VALUE"""),"Black")</f>
        <v>Black</v>
      </c>
    </row>
    <row r="1378" spans="1:6" ht="13">
      <c r="A1378" s="5" t="str">
        <f ca="1">IFERROR(__xludf.DUMMYFUNCTION("""COMPUTED_VALUE"""),"20140909FLSTM")</f>
        <v>20140909FLSTM</v>
      </c>
      <c r="B1378" s="5" t="str">
        <f ca="1">IFERROR(__xludf.DUMMYFUNCTION("""COMPUTED_VALUE"""),"Wounded")</f>
        <v>Wounded</v>
      </c>
      <c r="C1378" s="5" t="str">
        <f ca="1">IFERROR(__xludf.DUMMYFUNCTION("""COMPUTED_VALUE"""),"Male")</f>
        <v>Male</v>
      </c>
      <c r="D1378" s="5"/>
      <c r="E1378" s="5"/>
      <c r="F1378" s="5"/>
    </row>
    <row r="1379" spans="1:6" ht="13">
      <c r="A1379" s="5" t="str">
        <f ca="1">IFERROR(__xludf.DUMMYFUNCTION("""COMPUTED_VALUE"""),"20140814VASAN")</f>
        <v>20140814VASAN</v>
      </c>
      <c r="B1379" s="5" t="str">
        <f ca="1">IFERROR(__xludf.DUMMYFUNCTION("""COMPUTED_VALUE"""),"Wounded")</f>
        <v>Wounded</v>
      </c>
      <c r="C1379" s="5" t="str">
        <f ca="1">IFERROR(__xludf.DUMMYFUNCTION("""COMPUTED_VALUE"""),"Male")</f>
        <v>Male</v>
      </c>
      <c r="D1379" s="5" t="str">
        <f ca="1">IFERROR(__xludf.DUMMYFUNCTION("""COMPUTED_VALUE"""),"No Relation")</f>
        <v>No Relation</v>
      </c>
      <c r="E1379" s="5">
        <f ca="1">IFERROR(__xludf.DUMMYFUNCTION("""COMPUTED_VALUE"""),17)</f>
        <v>17</v>
      </c>
      <c r="F1379" s="5" t="str">
        <f ca="1">IFERROR(__xludf.DUMMYFUNCTION("""COMPUTED_VALUE"""),"Black")</f>
        <v>Black</v>
      </c>
    </row>
    <row r="1380" spans="1:6" ht="13">
      <c r="A1380" s="5" t="str">
        <f ca="1">IFERROR(__xludf.DUMMYFUNCTION("""COMPUTED_VALUE"""),"20140814VASAN")</f>
        <v>20140814VASAN</v>
      </c>
      <c r="B1380" s="5" t="str">
        <f ca="1">IFERROR(__xludf.DUMMYFUNCTION("""COMPUTED_VALUE"""),"Fatal")</f>
        <v>Fatal</v>
      </c>
      <c r="C1380" s="5" t="str">
        <f ca="1">IFERROR(__xludf.DUMMYFUNCTION("""COMPUTED_VALUE"""),"Male")</f>
        <v>Male</v>
      </c>
      <c r="D1380" s="5" t="str">
        <f ca="1">IFERROR(__xludf.DUMMYFUNCTION("""COMPUTED_VALUE"""),"No Relation")</f>
        <v>No Relation</v>
      </c>
      <c r="E1380" s="5">
        <f ca="1">IFERROR(__xludf.DUMMYFUNCTION("""COMPUTED_VALUE"""),16)</f>
        <v>16</v>
      </c>
      <c r="F1380" s="5" t="str">
        <f ca="1">IFERROR(__xludf.DUMMYFUNCTION("""COMPUTED_VALUE"""),"Black")</f>
        <v>Black</v>
      </c>
    </row>
    <row r="1381" spans="1:6" ht="13">
      <c r="A1381" s="5" t="str">
        <f ca="1">IFERROR(__xludf.DUMMYFUNCTION("""COMPUTED_VALUE"""),"20140814VASAN")</f>
        <v>20140814VASAN</v>
      </c>
      <c r="B1381" s="5" t="str">
        <f ca="1">IFERROR(__xludf.DUMMYFUNCTION("""COMPUTED_VALUE"""),"Fatal")</f>
        <v>Fatal</v>
      </c>
      <c r="C1381" s="5" t="str">
        <f ca="1">IFERROR(__xludf.DUMMYFUNCTION("""COMPUTED_VALUE"""),"Male")</f>
        <v>Male</v>
      </c>
      <c r="D1381" s="5" t="str">
        <f ca="1">IFERROR(__xludf.DUMMYFUNCTION("""COMPUTED_VALUE"""),"No Relation")</f>
        <v>No Relation</v>
      </c>
      <c r="E1381" s="5">
        <f ca="1">IFERROR(__xludf.DUMMYFUNCTION("""COMPUTED_VALUE"""),17)</f>
        <v>17</v>
      </c>
      <c r="F1381" s="5" t="str">
        <f ca="1">IFERROR(__xludf.DUMMYFUNCTION("""COMPUTED_VALUE"""),"Black")</f>
        <v>Black</v>
      </c>
    </row>
    <row r="1382" spans="1:6" ht="13">
      <c r="A1382" s="5" t="str">
        <f ca="1">IFERROR(__xludf.DUMMYFUNCTION("""COMPUTED_VALUE"""),"20140813MDHEF")</f>
        <v>20140813MDHEF</v>
      </c>
      <c r="B1382" s="5" t="str">
        <f ca="1">IFERROR(__xludf.DUMMYFUNCTION("""COMPUTED_VALUE"""),"None")</f>
        <v>None</v>
      </c>
      <c r="C1382" s="5"/>
      <c r="D1382" s="5"/>
      <c r="E1382" s="5"/>
      <c r="F1382" s="5"/>
    </row>
    <row r="1383" spans="1:6" ht="13">
      <c r="A1383" s="5" t="str">
        <f ca="1">IFERROR(__xludf.DUMMYFUNCTION("""COMPUTED_VALUE"""),"20140623MOKEB")</f>
        <v>20140623MOKEB</v>
      </c>
      <c r="B1383" s="5" t="str">
        <f ca="1">IFERROR(__xludf.DUMMYFUNCTION("""COMPUTED_VALUE"""),"Fatal")</f>
        <v>Fatal</v>
      </c>
      <c r="C1383" s="5" t="str">
        <f ca="1">IFERROR(__xludf.DUMMYFUNCTION("""COMPUTED_VALUE"""),"Male")</f>
        <v>Male</v>
      </c>
      <c r="D1383" s="5" t="str">
        <f ca="1">IFERROR(__xludf.DUMMYFUNCTION("""COMPUTED_VALUE"""),"Student")</f>
        <v>Student</v>
      </c>
      <c r="E1383" s="5">
        <f ca="1">IFERROR(__xludf.DUMMYFUNCTION("""COMPUTED_VALUE"""),15)</f>
        <v>15</v>
      </c>
      <c r="F1383" s="5" t="str">
        <f ca="1">IFERROR(__xludf.DUMMYFUNCTION("""COMPUTED_VALUE"""),"White")</f>
        <v>White</v>
      </c>
    </row>
    <row r="1384" spans="1:6" ht="13">
      <c r="A1384" s="5" t="str">
        <f ca="1">IFERROR(__xludf.DUMMYFUNCTION("""COMPUTED_VALUE"""),"20140610ORRET")</f>
        <v>20140610ORRET</v>
      </c>
      <c r="B1384" s="5" t="str">
        <f ca="1">IFERROR(__xludf.DUMMYFUNCTION("""COMPUTED_VALUE"""),"Fatal")</f>
        <v>Fatal</v>
      </c>
      <c r="C1384" s="5" t="str">
        <f ca="1">IFERROR(__xludf.DUMMYFUNCTION("""COMPUTED_VALUE"""),"Male")</f>
        <v>Male</v>
      </c>
      <c r="D1384" s="5" t="str">
        <f ca="1">IFERROR(__xludf.DUMMYFUNCTION("""COMPUTED_VALUE"""),"Student")</f>
        <v>Student</v>
      </c>
      <c r="E1384" s="5">
        <f ca="1">IFERROR(__xludf.DUMMYFUNCTION("""COMPUTED_VALUE"""),14)</f>
        <v>14</v>
      </c>
      <c r="F1384" s="5" t="str">
        <f ca="1">IFERROR(__xludf.DUMMYFUNCTION("""COMPUTED_VALUE"""),"White")</f>
        <v>White</v>
      </c>
    </row>
    <row r="1385" spans="1:6" ht="13">
      <c r="A1385" s="5" t="str">
        <f ca="1">IFERROR(__xludf.DUMMYFUNCTION("""COMPUTED_VALUE"""),"20140610ORRET")</f>
        <v>20140610ORRET</v>
      </c>
      <c r="B1385" s="5" t="str">
        <f ca="1">IFERROR(__xludf.DUMMYFUNCTION("""COMPUTED_VALUE"""),"Wounded")</f>
        <v>Wounded</v>
      </c>
      <c r="C1385" s="5" t="str">
        <f ca="1">IFERROR(__xludf.DUMMYFUNCTION("""COMPUTED_VALUE"""),"Male")</f>
        <v>Male</v>
      </c>
      <c r="D1385" s="5" t="str">
        <f ca="1">IFERROR(__xludf.DUMMYFUNCTION("""COMPUTED_VALUE"""),"Student")</f>
        <v>Student</v>
      </c>
      <c r="E1385" s="5">
        <f ca="1">IFERROR(__xludf.DUMMYFUNCTION("""COMPUTED_VALUE"""),15)</f>
        <v>15</v>
      </c>
      <c r="F1385" s="5" t="str">
        <f ca="1">IFERROR(__xludf.DUMMYFUNCTION("""COMPUTED_VALUE"""),"White")</f>
        <v>White</v>
      </c>
    </row>
    <row r="1386" spans="1:6" ht="13">
      <c r="A1386" s="5" t="str">
        <f ca="1">IFERROR(__xludf.DUMMYFUNCTION("""COMPUTED_VALUE"""),"20140521WICLM")</f>
        <v>20140521WICLM</v>
      </c>
      <c r="B1386" s="5" t="str">
        <f ca="1">IFERROR(__xludf.DUMMYFUNCTION("""COMPUTED_VALUE"""),"Fatal")</f>
        <v>Fatal</v>
      </c>
      <c r="C1386" s="5" t="str">
        <f ca="1">IFERROR(__xludf.DUMMYFUNCTION("""COMPUTED_VALUE"""),"Female")</f>
        <v>Female</v>
      </c>
      <c r="D1386" s="5" t="str">
        <f ca="1">IFERROR(__xludf.DUMMYFUNCTION("""COMPUTED_VALUE"""),"Student")</f>
        <v>Student</v>
      </c>
      <c r="E1386" s="5">
        <f ca="1">IFERROR(__xludf.DUMMYFUNCTION("""COMPUTED_VALUE"""),10)</f>
        <v>10</v>
      </c>
      <c r="F1386" s="5" t="str">
        <f ca="1">IFERROR(__xludf.DUMMYFUNCTION("""COMPUTED_VALUE"""),"Black")</f>
        <v>Black</v>
      </c>
    </row>
    <row r="1387" spans="1:6" ht="13">
      <c r="A1387" s="5" t="str">
        <f ca="1">IFERROR(__xludf.DUMMYFUNCTION("""COMPUTED_VALUE"""),"20140514CAJOR")</f>
        <v>20140514CAJOR</v>
      </c>
      <c r="B1387" s="5" t="str">
        <f ca="1">IFERROR(__xludf.DUMMYFUNCTION("""COMPUTED_VALUE"""),"Wounded")</f>
        <v>Wounded</v>
      </c>
      <c r="C1387" s="5" t="str">
        <f ca="1">IFERROR(__xludf.DUMMYFUNCTION("""COMPUTED_VALUE"""),"Male")</f>
        <v>Male</v>
      </c>
      <c r="D1387" s="5" t="str">
        <f ca="1">IFERROR(__xludf.DUMMYFUNCTION("""COMPUTED_VALUE"""),"Student")</f>
        <v>Student</v>
      </c>
      <c r="E1387" s="5">
        <f ca="1">IFERROR(__xludf.DUMMYFUNCTION("""COMPUTED_VALUE"""),14)</f>
        <v>14</v>
      </c>
      <c r="F1387" s="5" t="str">
        <f ca="1">IFERROR(__xludf.DUMMYFUNCTION("""COMPUTED_VALUE"""),"Black")</f>
        <v>Black</v>
      </c>
    </row>
    <row r="1388" spans="1:6" ht="13">
      <c r="A1388" s="5" t="str">
        <f ca="1">IFERROR(__xludf.DUMMYFUNCTION("""COMPUTED_VALUE"""),"20140503WAHOE")</f>
        <v>20140503WAHOE</v>
      </c>
      <c r="B1388" s="5" t="str">
        <f ca="1">IFERROR(__xludf.DUMMYFUNCTION("""COMPUTED_VALUE"""),"Wounded")</f>
        <v>Wounded</v>
      </c>
      <c r="C1388" s="5" t="str">
        <f ca="1">IFERROR(__xludf.DUMMYFUNCTION("""COMPUTED_VALUE"""),"Male")</f>
        <v>Male</v>
      </c>
      <c r="D1388" s="5" t="str">
        <f ca="1">IFERROR(__xludf.DUMMYFUNCTION("""COMPUTED_VALUE"""),"Gang Member")</f>
        <v>Gang Member</v>
      </c>
      <c r="E1388" s="5">
        <f ca="1">IFERROR(__xludf.DUMMYFUNCTION("""COMPUTED_VALUE"""),15)</f>
        <v>15</v>
      </c>
      <c r="F1388" s="5"/>
    </row>
    <row r="1389" spans="1:6" ht="13">
      <c r="A1389" s="5" t="str">
        <f ca="1">IFERROR(__xludf.DUMMYFUNCTION("""COMPUTED_VALUE"""),"20140421UTPRP")</f>
        <v>20140421UTPRP</v>
      </c>
      <c r="B1389" s="5" t="str">
        <f ca="1">IFERROR(__xludf.DUMMYFUNCTION("""COMPUTED_VALUE"""),"None")</f>
        <v>None</v>
      </c>
      <c r="C1389" s="5" t="str">
        <f ca="1">IFERROR(__xludf.DUMMYFUNCTION("""COMPUTED_VALUE"""),"Male")</f>
        <v>Male</v>
      </c>
      <c r="D1389" s="5" t="str">
        <f ca="1">IFERROR(__xludf.DUMMYFUNCTION("""COMPUTED_VALUE"""),"Student")</f>
        <v>Student</v>
      </c>
      <c r="E1389" s="5">
        <f ca="1">IFERROR(__xludf.DUMMYFUNCTION("""COMPUTED_VALUE"""),14)</f>
        <v>14</v>
      </c>
      <c r="F1389" s="5"/>
    </row>
    <row r="1390" spans="1:6" ht="13">
      <c r="A1390" s="5" t="str">
        <f ca="1">IFERROR(__xludf.DUMMYFUNCTION("""COMPUTED_VALUE"""),"20140421INSTG")</f>
        <v>20140421INSTG</v>
      </c>
      <c r="B1390" s="5" t="str">
        <f ca="1">IFERROR(__xludf.DUMMYFUNCTION("""COMPUTED_VALUE"""),"Fatal")</f>
        <v>Fatal</v>
      </c>
      <c r="C1390" s="5" t="str">
        <f ca="1">IFERROR(__xludf.DUMMYFUNCTION("""COMPUTED_VALUE"""),"Female")</f>
        <v>Female</v>
      </c>
      <c r="D1390" s="5" t="str">
        <f ca="1">IFERROR(__xludf.DUMMYFUNCTION("""COMPUTED_VALUE"""),"Parent")</f>
        <v>Parent</v>
      </c>
      <c r="E1390" s="5">
        <f ca="1">IFERROR(__xludf.DUMMYFUNCTION("""COMPUTED_VALUE"""),42)</f>
        <v>42</v>
      </c>
      <c r="F1390" s="5"/>
    </row>
    <row r="1391" spans="1:6" ht="13">
      <c r="A1391" s="5" t="str">
        <f ca="1">IFERROR(__xludf.DUMMYFUNCTION("""COMPUTED_VALUE"""),"20140411MIEAD")</f>
        <v>20140411MIEAD</v>
      </c>
      <c r="B1391" s="5" t="str">
        <f ca="1">IFERROR(__xludf.DUMMYFUNCTION("""COMPUTED_VALUE"""),"Fatal")</f>
        <v>Fatal</v>
      </c>
      <c r="C1391" s="5" t="str">
        <f ca="1">IFERROR(__xludf.DUMMYFUNCTION("""COMPUTED_VALUE"""),"Male")</f>
        <v>Male</v>
      </c>
      <c r="D1391" s="5" t="str">
        <f ca="1">IFERROR(__xludf.DUMMYFUNCTION("""COMPUTED_VALUE"""),"Relative")</f>
        <v>Relative</v>
      </c>
      <c r="E1391" s="5">
        <f ca="1">IFERROR(__xludf.DUMMYFUNCTION("""COMPUTED_VALUE"""),19)</f>
        <v>19</v>
      </c>
      <c r="F1391" s="5" t="str">
        <f ca="1">IFERROR(__xludf.DUMMYFUNCTION("""COMPUTED_VALUE"""),"Black")</f>
        <v>Black</v>
      </c>
    </row>
    <row r="1392" spans="1:6" ht="13">
      <c r="A1392" s="5" t="str">
        <f ca="1">IFERROR(__xludf.DUMMYFUNCTION("""COMPUTED_VALUE"""),"20140410OHLIC")</f>
        <v>20140410OHLIC</v>
      </c>
      <c r="B1392" s="5" t="str">
        <f ca="1">IFERROR(__xludf.DUMMYFUNCTION("""COMPUTED_VALUE"""),"Wounded")</f>
        <v>Wounded</v>
      </c>
      <c r="C1392" s="5" t="str">
        <f ca="1">IFERROR(__xludf.DUMMYFUNCTION("""COMPUTED_VALUE"""),"Male")</f>
        <v>Male</v>
      </c>
      <c r="D1392" s="5" t="str">
        <f ca="1">IFERROR(__xludf.DUMMYFUNCTION("""COMPUTED_VALUE"""),"No Relation")</f>
        <v>No Relation</v>
      </c>
      <c r="E1392" s="5">
        <f ca="1">IFERROR(__xludf.DUMMYFUNCTION("""COMPUTED_VALUE"""),14)</f>
        <v>14</v>
      </c>
      <c r="F1392" s="5"/>
    </row>
    <row r="1393" spans="1:6" ht="13">
      <c r="A1393" s="5" t="str">
        <f ca="1">IFERROR(__xludf.DUMMYFUNCTION("""COMPUTED_VALUE"""),"20140410OHLIC")</f>
        <v>20140410OHLIC</v>
      </c>
      <c r="B1393" s="5" t="str">
        <f ca="1">IFERROR(__xludf.DUMMYFUNCTION("""COMPUTED_VALUE"""),"Wounded")</f>
        <v>Wounded</v>
      </c>
      <c r="C1393" s="5" t="str">
        <f ca="1">IFERROR(__xludf.DUMMYFUNCTION("""COMPUTED_VALUE"""),"Male")</f>
        <v>Male</v>
      </c>
      <c r="D1393" s="5" t="str">
        <f ca="1">IFERROR(__xludf.DUMMYFUNCTION("""COMPUTED_VALUE"""),"No Relation")</f>
        <v>No Relation</v>
      </c>
      <c r="E1393" s="5">
        <f ca="1">IFERROR(__xludf.DUMMYFUNCTION("""COMPUTED_VALUE"""),20)</f>
        <v>20</v>
      </c>
      <c r="F1393" s="5"/>
    </row>
    <row r="1394" spans="1:6" ht="13">
      <c r="A1394" s="5" t="str">
        <f ca="1">IFERROR(__xludf.DUMMYFUNCTION("""COMPUTED_VALUE"""),"20140409NCDHG")</f>
        <v>20140409NCDHG</v>
      </c>
      <c r="B1394" s="5" t="str">
        <f ca="1">IFERROR(__xludf.DUMMYFUNCTION("""COMPUTED_VALUE"""),"None")</f>
        <v>None</v>
      </c>
      <c r="C1394" s="5"/>
      <c r="D1394" s="5"/>
      <c r="E1394" s="5"/>
      <c r="F1394" s="5"/>
    </row>
    <row r="1395" spans="1:6" ht="13">
      <c r="A1395" s="5" t="str">
        <f ca="1">IFERROR(__xludf.DUMMYFUNCTION("""COMPUTED_VALUE"""),"20140403NJUNN")</f>
        <v>20140403NJUNN</v>
      </c>
      <c r="B1395" s="5" t="str">
        <f ca="1">IFERROR(__xludf.DUMMYFUNCTION("""COMPUTED_VALUE"""),"None")</f>
        <v>None</v>
      </c>
      <c r="C1395" s="5"/>
      <c r="D1395" s="5"/>
      <c r="E1395" s="5"/>
      <c r="F1395" s="5"/>
    </row>
    <row r="1396" spans="1:6" ht="13">
      <c r="A1396" s="5" t="str">
        <f ca="1">IFERROR(__xludf.DUMMYFUNCTION("""COMPUTED_VALUE"""),"20140325GABEC")</f>
        <v>20140325GABEC</v>
      </c>
      <c r="B1396" s="5" t="str">
        <f ca="1">IFERROR(__xludf.DUMMYFUNCTION("""COMPUTED_VALUE"""),"None")</f>
        <v>None</v>
      </c>
      <c r="C1396" s="5"/>
      <c r="D1396" s="5"/>
      <c r="E1396" s="5"/>
      <c r="F1396" s="5"/>
    </row>
    <row r="1397" spans="1:6" ht="13">
      <c r="A1397" s="5" t="str">
        <f ca="1">IFERROR(__xludf.DUMMYFUNCTION("""COMPUTED_VALUE"""),"20140312FLACM")</f>
        <v>20140312FLACM</v>
      </c>
      <c r="B1397" s="5" t="str">
        <f ca="1">IFERROR(__xludf.DUMMYFUNCTION("""COMPUTED_VALUE"""),"Fatal")</f>
        <v>Fatal</v>
      </c>
      <c r="C1397" s="5" t="str">
        <f ca="1">IFERROR(__xludf.DUMMYFUNCTION("""COMPUTED_VALUE"""),"Female")</f>
        <v>Female</v>
      </c>
      <c r="D1397" s="5" t="str">
        <f ca="1">IFERROR(__xludf.DUMMYFUNCTION("""COMPUTED_VALUE"""),"No Relation")</f>
        <v>No Relation</v>
      </c>
      <c r="E1397" s="5">
        <f ca="1">IFERROR(__xludf.DUMMYFUNCTION("""COMPUTED_VALUE"""),33)</f>
        <v>33</v>
      </c>
      <c r="F1397" s="5" t="str">
        <f ca="1">IFERROR(__xludf.DUMMYFUNCTION("""COMPUTED_VALUE"""),"Black")</f>
        <v>Black</v>
      </c>
    </row>
    <row r="1398" spans="1:6" ht="13">
      <c r="A1398" s="5" t="str">
        <f ca="1">IFERROR(__xludf.DUMMYFUNCTION("""COMPUTED_VALUE"""),"20140307LAMAT")</f>
        <v>20140307LAMAT</v>
      </c>
      <c r="B1398" s="5" t="str">
        <f ca="1">IFERROR(__xludf.DUMMYFUNCTION("""COMPUTED_VALUE"""),"Wounded")</f>
        <v>Wounded</v>
      </c>
      <c r="C1398" s="5" t="str">
        <f ca="1">IFERROR(__xludf.DUMMYFUNCTION("""COMPUTED_VALUE"""),"Male")</f>
        <v>Male</v>
      </c>
      <c r="D1398" s="5" t="str">
        <f ca="1">IFERROR(__xludf.DUMMYFUNCTION("""COMPUTED_VALUE"""),"Unknown")</f>
        <v>Unknown</v>
      </c>
      <c r="E1398" s="5">
        <f ca="1">IFERROR(__xludf.DUMMYFUNCTION("""COMPUTED_VALUE"""),16)</f>
        <v>16</v>
      </c>
      <c r="F1398" s="5"/>
    </row>
    <row r="1399" spans="1:6" ht="13">
      <c r="A1399" s="5" t="str">
        <f ca="1">IFERROR(__xludf.DUMMYFUNCTION("""COMPUTED_VALUE"""),"20140220MIRAR")</f>
        <v>20140220MIRAR</v>
      </c>
      <c r="B1399" s="5" t="str">
        <f ca="1">IFERROR(__xludf.DUMMYFUNCTION("""COMPUTED_VALUE"""),"Fatal")</f>
        <v>Fatal</v>
      </c>
      <c r="C1399" s="5" t="str">
        <f ca="1">IFERROR(__xludf.DUMMYFUNCTION("""COMPUTED_VALUE"""),"Male")</f>
        <v>Male</v>
      </c>
      <c r="D1399" s="5" t="str">
        <f ca="1">IFERROR(__xludf.DUMMYFUNCTION("""COMPUTED_VALUE"""),"Relative")</f>
        <v>Relative</v>
      </c>
      <c r="E1399" s="5">
        <f ca="1">IFERROR(__xludf.DUMMYFUNCTION("""COMPUTED_VALUE"""),30)</f>
        <v>30</v>
      </c>
      <c r="F1399" s="5"/>
    </row>
    <row r="1400" spans="1:6" ht="13">
      <c r="A1400" s="5" t="str">
        <f ca="1">IFERROR(__xludf.DUMMYFUNCTION("""COMPUTED_VALUE"""),"20140211OHCHL")</f>
        <v>20140211OHCHL</v>
      </c>
      <c r="B1400" s="5" t="str">
        <f ca="1">IFERROR(__xludf.DUMMYFUNCTION("""COMPUTED_VALUE"""),"None")</f>
        <v>None</v>
      </c>
      <c r="C1400" s="5"/>
      <c r="D1400" s="5"/>
      <c r="E1400" s="5"/>
      <c r="F1400" s="5"/>
    </row>
    <row r="1401" spans="1:6" ht="13">
      <c r="A1401" s="5" t="str">
        <f ca="1">IFERROR(__xludf.DUMMYFUNCTION("""COMPUTED_VALUE"""),"20140210NCSAS")</f>
        <v>20140210NCSAS</v>
      </c>
      <c r="B1401" s="5" t="str">
        <f ca="1">IFERROR(__xludf.DUMMYFUNCTION("""COMPUTED_VALUE"""),"Wounded")</f>
        <v>Wounded</v>
      </c>
      <c r="C1401" s="5" t="str">
        <f ca="1">IFERROR(__xludf.DUMMYFUNCTION("""COMPUTED_VALUE"""),"Male")</f>
        <v>Male</v>
      </c>
      <c r="D1401" s="5" t="str">
        <f ca="1">IFERROR(__xludf.DUMMYFUNCTION("""COMPUTED_VALUE"""),"Student")</f>
        <v>Student</v>
      </c>
      <c r="E1401" s="5">
        <f ca="1">IFERROR(__xludf.DUMMYFUNCTION("""COMPUTED_VALUE"""),16)</f>
        <v>16</v>
      </c>
      <c r="F1401" s="5" t="str">
        <f ca="1">IFERROR(__xludf.DUMMYFUNCTION("""COMPUTED_VALUE"""),"Black")</f>
        <v>Black</v>
      </c>
    </row>
    <row r="1402" spans="1:6" ht="13">
      <c r="A1402" s="5" t="str">
        <f ca="1">IFERROR(__xludf.DUMMYFUNCTION("""COMPUTED_VALUE"""),"20140207ORBEB")</f>
        <v>20140207ORBEB</v>
      </c>
      <c r="B1402" s="5" t="str">
        <f ca="1">IFERROR(__xludf.DUMMYFUNCTION("""COMPUTED_VALUE"""),"None")</f>
        <v>None</v>
      </c>
      <c r="C1402" s="5" t="str">
        <f ca="1">IFERROR(__xludf.DUMMYFUNCTION("""COMPUTED_VALUE"""),"Male")</f>
        <v>Male</v>
      </c>
      <c r="D1402" s="5" t="str">
        <f ca="1">IFERROR(__xludf.DUMMYFUNCTION("""COMPUTED_VALUE"""),"Student")</f>
        <v>Student</v>
      </c>
      <c r="E1402" s="5">
        <f ca="1">IFERROR(__xludf.DUMMYFUNCTION("""COMPUTED_VALUE"""),17)</f>
        <v>17</v>
      </c>
      <c r="F1402" s="5"/>
    </row>
    <row r="1403" spans="1:6" ht="13">
      <c r="A1403" s="5" t="str">
        <f ca="1">IFERROR(__xludf.DUMMYFUNCTION("""COMPUTED_VALUE"""),"20140131IANOD")</f>
        <v>20140131IANOD</v>
      </c>
      <c r="B1403" s="5" t="str">
        <f ca="1">IFERROR(__xludf.DUMMYFUNCTION("""COMPUTED_VALUE"""),"Wounded")</f>
        <v>Wounded</v>
      </c>
      <c r="C1403" s="5" t="str">
        <f ca="1">IFERROR(__xludf.DUMMYFUNCTION("""COMPUTED_VALUE"""),"Female")</f>
        <v>Female</v>
      </c>
      <c r="D1403" s="5" t="str">
        <f ca="1">IFERROR(__xludf.DUMMYFUNCTION("""COMPUTED_VALUE"""),"Student")</f>
        <v>Student</v>
      </c>
      <c r="E1403" s="5">
        <f ca="1">IFERROR(__xludf.DUMMYFUNCTION("""COMPUTED_VALUE"""),15)</f>
        <v>15</v>
      </c>
      <c r="F1403" s="5" t="str">
        <f ca="1">IFERROR(__xludf.DUMMYFUNCTION("""COMPUTED_VALUE"""),"Black")</f>
        <v>Black</v>
      </c>
    </row>
    <row r="1404" spans="1:6" ht="13">
      <c r="A1404" s="5" t="str">
        <f ca="1">IFERROR(__xludf.DUMMYFUNCTION("""COMPUTED_VALUE"""),"20140131AZCEP")</f>
        <v>20140131AZCEP</v>
      </c>
      <c r="B1404" s="5" t="str">
        <f ca="1">IFERROR(__xludf.DUMMYFUNCTION("""COMPUTED_VALUE"""),"None")</f>
        <v>None</v>
      </c>
      <c r="C1404" s="5"/>
      <c r="D1404" s="5"/>
      <c r="E1404" s="5"/>
      <c r="F1404" s="5"/>
    </row>
    <row r="1405" spans="1:6" ht="13">
      <c r="A1405" s="5" t="str">
        <f ca="1">IFERROR(__xludf.DUMMYFUNCTION("""COMPUTED_VALUE"""),"20140128HIPRH")</f>
        <v>20140128HIPRH</v>
      </c>
      <c r="B1405" s="5" t="str">
        <f ca="1">IFERROR(__xludf.DUMMYFUNCTION("""COMPUTED_VALUE"""),"Wounded")</f>
        <v>Wounded</v>
      </c>
      <c r="C1405" s="5" t="str">
        <f ca="1">IFERROR(__xludf.DUMMYFUNCTION("""COMPUTED_VALUE"""),"Male")</f>
        <v>Male</v>
      </c>
      <c r="D1405" s="5" t="str">
        <f ca="1">IFERROR(__xludf.DUMMYFUNCTION("""COMPUTED_VALUE"""),"Student")</f>
        <v>Student</v>
      </c>
      <c r="E1405" s="5" t="str">
        <f ca="1">IFERROR(__xludf.DUMMYFUNCTION("""COMPUTED_VALUE"""),"Teen")</f>
        <v>Teen</v>
      </c>
      <c r="F1405" s="5"/>
    </row>
    <row r="1406" spans="1:6" ht="13">
      <c r="A1406" s="5" t="str">
        <f ca="1">IFERROR(__xludf.DUMMYFUNCTION("""COMPUTED_VALUE"""),"20140127ILREC")</f>
        <v>20140127ILREC</v>
      </c>
      <c r="B1406" s="5" t="str">
        <f ca="1">IFERROR(__xludf.DUMMYFUNCTION("""COMPUTED_VALUE"""),"Wounded")</f>
        <v>Wounded</v>
      </c>
      <c r="C1406" s="5" t="str">
        <f ca="1">IFERROR(__xludf.DUMMYFUNCTION("""COMPUTED_VALUE"""),"Male")</f>
        <v>Male</v>
      </c>
      <c r="D1406" s="5" t="str">
        <f ca="1">IFERROR(__xludf.DUMMYFUNCTION("""COMPUTED_VALUE"""),"Parent")</f>
        <v>Parent</v>
      </c>
      <c r="E1406" s="5" t="str">
        <f ca="1">IFERROR(__xludf.DUMMYFUNCTION("""COMPUTED_VALUE"""),"Adult")</f>
        <v>Adult</v>
      </c>
      <c r="F1406" s="5" t="str">
        <f ca="1">IFERROR(__xludf.DUMMYFUNCTION("""COMPUTED_VALUE"""),"Black")</f>
        <v>Black</v>
      </c>
    </row>
    <row r="1407" spans="1:6" ht="13">
      <c r="A1407" s="5" t="str">
        <f ca="1">IFERROR(__xludf.DUMMYFUNCTION("""COMPUTED_VALUE"""),"20140117PADEP")</f>
        <v>20140117PADEP</v>
      </c>
      <c r="B1407" s="5" t="str">
        <f ca="1">IFERROR(__xludf.DUMMYFUNCTION("""COMPUTED_VALUE"""),"Wounded")</f>
        <v>Wounded</v>
      </c>
      <c r="C1407" s="5" t="str">
        <f ca="1">IFERROR(__xludf.DUMMYFUNCTION("""COMPUTED_VALUE"""),"Female")</f>
        <v>Female</v>
      </c>
      <c r="D1407" s="5" t="str">
        <f ca="1">IFERROR(__xludf.DUMMYFUNCTION("""COMPUTED_VALUE"""),"Student")</f>
        <v>Student</v>
      </c>
      <c r="E1407" s="5">
        <f ca="1">IFERROR(__xludf.DUMMYFUNCTION("""COMPUTED_VALUE"""),15)</f>
        <v>15</v>
      </c>
      <c r="F1407" s="5"/>
    </row>
    <row r="1408" spans="1:6" ht="13">
      <c r="A1408" s="5" t="str">
        <f ca="1">IFERROR(__xludf.DUMMYFUNCTION("""COMPUTED_VALUE"""),"20140117PADEP")</f>
        <v>20140117PADEP</v>
      </c>
      <c r="B1408" s="5" t="str">
        <f ca="1">IFERROR(__xludf.DUMMYFUNCTION("""COMPUTED_VALUE"""),"Wounded")</f>
        <v>Wounded</v>
      </c>
      <c r="C1408" s="5" t="str">
        <f ca="1">IFERROR(__xludf.DUMMYFUNCTION("""COMPUTED_VALUE"""),"Male")</f>
        <v>Male</v>
      </c>
      <c r="D1408" s="5" t="str">
        <f ca="1">IFERROR(__xludf.DUMMYFUNCTION("""COMPUTED_VALUE"""),"Student")</f>
        <v>Student</v>
      </c>
      <c r="E1408" s="5">
        <f ca="1">IFERROR(__xludf.DUMMYFUNCTION("""COMPUTED_VALUE"""),15)</f>
        <v>15</v>
      </c>
      <c r="F1408" s="5"/>
    </row>
    <row r="1409" spans="1:6" ht="13">
      <c r="A1409" s="5" t="str">
        <f ca="1">IFERROR(__xludf.DUMMYFUNCTION("""COMPUTED_VALUE"""),"20140114PAKIL")</f>
        <v>20140114PAKIL</v>
      </c>
      <c r="B1409" s="5" t="str">
        <f ca="1">IFERROR(__xludf.DUMMYFUNCTION("""COMPUTED_VALUE"""),"None")</f>
        <v>None</v>
      </c>
      <c r="C1409" s="5"/>
      <c r="D1409" s="5"/>
      <c r="E1409" s="5"/>
      <c r="F1409" s="5"/>
    </row>
    <row r="1410" spans="1:6" ht="13">
      <c r="A1410" s="5" t="str">
        <f ca="1">IFERROR(__xludf.DUMMYFUNCTION("""COMPUTED_VALUE"""),"20140114NMBER")</f>
        <v>20140114NMBER</v>
      </c>
      <c r="B1410" s="5" t="str">
        <f ca="1">IFERROR(__xludf.DUMMYFUNCTION("""COMPUTED_VALUE"""),"Wounded")</f>
        <v>Wounded</v>
      </c>
      <c r="C1410" s="5" t="str">
        <f ca="1">IFERROR(__xludf.DUMMYFUNCTION("""COMPUTED_VALUE"""),"Male")</f>
        <v>Male</v>
      </c>
      <c r="D1410" s="5" t="str">
        <f ca="1">IFERROR(__xludf.DUMMYFUNCTION("""COMPUTED_VALUE"""),"Student")</f>
        <v>Student</v>
      </c>
      <c r="E1410" s="5" t="str">
        <f ca="1">IFERROR(__xludf.DUMMYFUNCTION("""COMPUTED_VALUE"""),"Teen")</f>
        <v>Teen</v>
      </c>
      <c r="F1410" s="5"/>
    </row>
    <row r="1411" spans="1:6" ht="13">
      <c r="A1411" s="5" t="str">
        <f ca="1">IFERROR(__xludf.DUMMYFUNCTION("""COMPUTED_VALUE"""),"20140114NMBER")</f>
        <v>20140114NMBER</v>
      </c>
      <c r="B1411" s="5" t="str">
        <f ca="1">IFERROR(__xludf.DUMMYFUNCTION("""COMPUTED_VALUE"""),"Wounded")</f>
        <v>Wounded</v>
      </c>
      <c r="C1411" s="5" t="str">
        <f ca="1">IFERROR(__xludf.DUMMYFUNCTION("""COMPUTED_VALUE"""),"Female")</f>
        <v>Female</v>
      </c>
      <c r="D1411" s="5" t="str">
        <f ca="1">IFERROR(__xludf.DUMMYFUNCTION("""COMPUTED_VALUE"""),"Student")</f>
        <v>Student</v>
      </c>
      <c r="E1411" s="5" t="str">
        <f ca="1">IFERROR(__xludf.DUMMYFUNCTION("""COMPUTED_VALUE"""),"Teen")</f>
        <v>Teen</v>
      </c>
      <c r="F1411" s="5"/>
    </row>
    <row r="1412" spans="1:6" ht="13">
      <c r="A1412" s="5" t="str">
        <f ca="1">IFERROR(__xludf.DUMMYFUNCTION("""COMPUTED_VALUE"""),"20140114LASTB")</f>
        <v>20140114LASTB</v>
      </c>
      <c r="B1412" s="5" t="str">
        <f ca="1">IFERROR(__xludf.DUMMYFUNCTION("""COMPUTED_VALUE"""),"Wounded")</f>
        <v>Wounded</v>
      </c>
      <c r="C1412" s="5" t="str">
        <f ca="1">IFERROR(__xludf.DUMMYFUNCTION("""COMPUTED_VALUE"""),"Male")</f>
        <v>Male</v>
      </c>
      <c r="D1412" s="5"/>
      <c r="E1412" s="5">
        <f ca="1">IFERROR(__xludf.DUMMYFUNCTION("""COMPUTED_VALUE"""),19)</f>
        <v>19</v>
      </c>
      <c r="F1412" s="5" t="str">
        <f ca="1">IFERROR(__xludf.DUMMYFUNCTION("""COMPUTED_VALUE"""),"Black")</f>
        <v>Black</v>
      </c>
    </row>
    <row r="1413" spans="1:6" ht="13">
      <c r="A1413" s="5" t="str">
        <f ca="1">IFERROR(__xludf.DUMMYFUNCTION("""COMPUTED_VALUE"""),"20140113CTHIN")</f>
        <v>20140113CTHIN</v>
      </c>
      <c r="B1413" s="5" t="str">
        <f ca="1">IFERROR(__xludf.DUMMYFUNCTION("""COMPUTED_VALUE"""),"Wounded")</f>
        <v>Wounded</v>
      </c>
      <c r="C1413" s="5" t="str">
        <f ca="1">IFERROR(__xludf.DUMMYFUNCTION("""COMPUTED_VALUE"""),"Male")</f>
        <v>Male</v>
      </c>
      <c r="D1413" s="5" t="str">
        <f ca="1">IFERROR(__xludf.DUMMYFUNCTION("""COMPUTED_VALUE"""),"Rival School Student")</f>
        <v>Rival School Student</v>
      </c>
      <c r="E1413" s="5">
        <f ca="1">IFERROR(__xludf.DUMMYFUNCTION("""COMPUTED_VALUE"""),14)</f>
        <v>14</v>
      </c>
      <c r="F1413" s="5"/>
    </row>
    <row r="1414" spans="1:6" ht="13">
      <c r="A1414" s="5" t="str">
        <f ca="1">IFERROR(__xludf.DUMMYFUNCTION("""COMPUTED_VALUE"""),"20140109TNLIJ")</f>
        <v>20140109TNLIJ</v>
      </c>
      <c r="B1414" s="5" t="str">
        <f ca="1">IFERROR(__xludf.DUMMYFUNCTION("""COMPUTED_VALUE"""),"Wounded")</f>
        <v>Wounded</v>
      </c>
      <c r="C1414" s="5" t="str">
        <f ca="1">IFERROR(__xludf.DUMMYFUNCTION("""COMPUTED_VALUE"""),"Male")</f>
        <v>Male</v>
      </c>
      <c r="D1414" s="5" t="str">
        <f ca="1">IFERROR(__xludf.DUMMYFUNCTION("""COMPUTED_VALUE"""),"Student")</f>
        <v>Student</v>
      </c>
      <c r="E1414" s="5">
        <f ca="1">IFERROR(__xludf.DUMMYFUNCTION("""COMPUTED_VALUE"""),17)</f>
        <v>17</v>
      </c>
      <c r="F1414" s="5"/>
    </row>
    <row r="1415" spans="1:6" ht="13">
      <c r="A1415" s="5" t="str">
        <f ca="1">IFERROR(__xludf.DUMMYFUNCTION("""COMPUTED_VALUE"""),"20131219CAEDF")</f>
        <v>20131219CAEDF</v>
      </c>
      <c r="B1415" s="5" t="str">
        <f ca="1">IFERROR(__xludf.DUMMYFUNCTION("""COMPUTED_VALUE"""),"Wounded")</f>
        <v>Wounded</v>
      </c>
      <c r="C1415" s="5" t="str">
        <f ca="1">IFERROR(__xludf.DUMMYFUNCTION("""COMPUTED_VALUE"""),"Male")</f>
        <v>Male</v>
      </c>
      <c r="D1415" s="5" t="str">
        <f ca="1">IFERROR(__xludf.DUMMYFUNCTION("""COMPUTED_VALUE"""),"Teacher")</f>
        <v>Teacher</v>
      </c>
      <c r="E1415" s="5">
        <f ca="1">IFERROR(__xludf.DUMMYFUNCTION("""COMPUTED_VALUE"""),30)</f>
        <v>30</v>
      </c>
      <c r="F1415" s="5" t="str">
        <f ca="1">IFERROR(__xludf.DUMMYFUNCTION("""COMPUTED_VALUE"""),"Hispanic")</f>
        <v>Hispanic</v>
      </c>
    </row>
    <row r="1416" spans="1:6" ht="13">
      <c r="A1416" s="5" t="str">
        <f ca="1">IFERROR(__xludf.DUMMYFUNCTION("""COMPUTED_VALUE"""),"20131213COARC")</f>
        <v>20131213COARC</v>
      </c>
      <c r="B1416" s="5" t="str">
        <f ca="1">IFERROR(__xludf.DUMMYFUNCTION("""COMPUTED_VALUE"""),"Fatal")</f>
        <v>Fatal</v>
      </c>
      <c r="C1416" s="5" t="str">
        <f ca="1">IFERROR(__xludf.DUMMYFUNCTION("""COMPUTED_VALUE"""),"Female")</f>
        <v>Female</v>
      </c>
      <c r="D1416" s="5" t="str">
        <f ca="1">IFERROR(__xludf.DUMMYFUNCTION("""COMPUTED_VALUE"""),"Student")</f>
        <v>Student</v>
      </c>
      <c r="E1416" s="5">
        <f ca="1">IFERROR(__xludf.DUMMYFUNCTION("""COMPUTED_VALUE"""),17)</f>
        <v>17</v>
      </c>
      <c r="F1416" s="5" t="str">
        <f ca="1">IFERROR(__xludf.DUMMYFUNCTION("""COMPUTED_VALUE"""),"White")</f>
        <v>White</v>
      </c>
    </row>
    <row r="1417" spans="1:6" ht="13">
      <c r="A1417" s="5" t="str">
        <f ca="1">IFERROR(__xludf.DUMMYFUNCTION("""COMPUTED_VALUE"""),"20131204FLWEW")</f>
        <v>20131204FLWEW</v>
      </c>
      <c r="B1417" s="5" t="str">
        <f ca="1">IFERROR(__xludf.DUMMYFUNCTION("""COMPUTED_VALUE"""),"Wounded")</f>
        <v>Wounded</v>
      </c>
      <c r="C1417" s="5" t="str">
        <f ca="1">IFERROR(__xludf.DUMMYFUNCTION("""COMPUTED_VALUE"""),"Male")</f>
        <v>Male</v>
      </c>
      <c r="D1417" s="5" t="str">
        <f ca="1">IFERROR(__xludf.DUMMYFUNCTION("""COMPUTED_VALUE"""),"Student")</f>
        <v>Student</v>
      </c>
      <c r="E1417" s="5">
        <f ca="1">IFERROR(__xludf.DUMMYFUNCTION("""COMPUTED_VALUE"""),15)</f>
        <v>15</v>
      </c>
      <c r="F1417" s="5" t="str">
        <f ca="1">IFERROR(__xludf.DUMMYFUNCTION("""COMPUTED_VALUE"""),"Black")</f>
        <v>Black</v>
      </c>
    </row>
    <row r="1418" spans="1:6" ht="13">
      <c r="A1418" s="5" t="str">
        <f ca="1">IFERROR(__xludf.DUMMYFUNCTION("""COMPUTED_VALUE"""),"20131113PABRP")</f>
        <v>20131113PABRP</v>
      </c>
      <c r="B1418" s="5" t="str">
        <f ca="1">IFERROR(__xludf.DUMMYFUNCTION("""COMPUTED_VALUE"""),"Wounded")</f>
        <v>Wounded</v>
      </c>
      <c r="C1418" s="5" t="str">
        <f ca="1">IFERROR(__xludf.DUMMYFUNCTION("""COMPUTED_VALUE"""),"Male")</f>
        <v>Male</v>
      </c>
      <c r="D1418" s="5" t="str">
        <f ca="1">IFERROR(__xludf.DUMMYFUNCTION("""COMPUTED_VALUE"""),"Student")</f>
        <v>Student</v>
      </c>
      <c r="E1418" s="5">
        <f ca="1">IFERROR(__xludf.DUMMYFUNCTION("""COMPUTED_VALUE"""),17)</f>
        <v>17</v>
      </c>
      <c r="F1418" s="5"/>
    </row>
    <row r="1419" spans="1:6" ht="13">
      <c r="A1419" s="5" t="str">
        <f ca="1">IFERROR(__xludf.DUMMYFUNCTION("""COMPUTED_VALUE"""),"20131113PABRP")</f>
        <v>20131113PABRP</v>
      </c>
      <c r="B1419" s="5" t="str">
        <f ca="1">IFERROR(__xludf.DUMMYFUNCTION("""COMPUTED_VALUE"""),"Wounded")</f>
        <v>Wounded</v>
      </c>
      <c r="C1419" s="5" t="str">
        <f ca="1">IFERROR(__xludf.DUMMYFUNCTION("""COMPUTED_VALUE"""),"Male")</f>
        <v>Male</v>
      </c>
      <c r="D1419" s="5" t="str">
        <f ca="1">IFERROR(__xludf.DUMMYFUNCTION("""COMPUTED_VALUE"""),"Student")</f>
        <v>Student</v>
      </c>
      <c r="E1419" s="5">
        <f ca="1">IFERROR(__xludf.DUMMYFUNCTION("""COMPUTED_VALUE"""),15)</f>
        <v>15</v>
      </c>
      <c r="F1419" s="5"/>
    </row>
    <row r="1420" spans="1:6" ht="13">
      <c r="A1420" s="5" t="str">
        <f ca="1">IFERROR(__xludf.DUMMYFUNCTION("""COMPUTED_VALUE"""),"20131113PABRP")</f>
        <v>20131113PABRP</v>
      </c>
      <c r="B1420" s="5" t="str">
        <f ca="1">IFERROR(__xludf.DUMMYFUNCTION("""COMPUTED_VALUE"""),"Wounded")</f>
        <v>Wounded</v>
      </c>
      <c r="C1420" s="5" t="str">
        <f ca="1">IFERROR(__xludf.DUMMYFUNCTION("""COMPUTED_VALUE"""),"Male")</f>
        <v>Male</v>
      </c>
      <c r="D1420" s="5" t="str">
        <f ca="1">IFERROR(__xludf.DUMMYFUNCTION("""COMPUTED_VALUE"""),"Student")</f>
        <v>Student</v>
      </c>
      <c r="E1420" s="5">
        <f ca="1">IFERROR(__xludf.DUMMYFUNCTION("""COMPUTED_VALUE"""),17)</f>
        <v>17</v>
      </c>
      <c r="F1420" s="5"/>
    </row>
    <row r="1421" spans="1:6" ht="13">
      <c r="A1421" s="5" t="str">
        <f ca="1">IFERROR(__xludf.DUMMYFUNCTION("""COMPUTED_VALUE"""),"20131103GASTL")</f>
        <v>20131103GASTL</v>
      </c>
      <c r="B1421" s="5" t="str">
        <f ca="1">IFERROR(__xludf.DUMMYFUNCTION("""COMPUTED_VALUE"""),"Wounded")</f>
        <v>Wounded</v>
      </c>
      <c r="C1421" s="5" t="str">
        <f ca="1">IFERROR(__xludf.DUMMYFUNCTION("""COMPUTED_VALUE"""),"Male")</f>
        <v>Male</v>
      </c>
      <c r="D1421" s="5" t="str">
        <f ca="1">IFERROR(__xludf.DUMMYFUNCTION("""COMPUTED_VALUE"""),"Student")</f>
        <v>Student</v>
      </c>
      <c r="E1421" s="5">
        <f ca="1">IFERROR(__xludf.DUMMYFUNCTION("""COMPUTED_VALUE"""),17)</f>
        <v>17</v>
      </c>
      <c r="F1421" s="5"/>
    </row>
    <row r="1422" spans="1:6" ht="13">
      <c r="A1422" s="5" t="str">
        <f ca="1">IFERROR(__xludf.DUMMYFUNCTION("""COMPUTED_VALUE"""),"20131101IAALA")</f>
        <v>20131101IAALA</v>
      </c>
      <c r="B1422" s="5" t="str">
        <f ca="1">IFERROR(__xludf.DUMMYFUNCTION("""COMPUTED_VALUE"""),"None")</f>
        <v>None</v>
      </c>
      <c r="C1422" s="5" t="str">
        <f ca="1">IFERROR(__xludf.DUMMYFUNCTION("""COMPUTED_VALUE"""),"Male")</f>
        <v>Male</v>
      </c>
      <c r="D1422" s="5" t="str">
        <f ca="1">IFERROR(__xludf.DUMMYFUNCTION("""COMPUTED_VALUE"""),"Former Student")</f>
        <v>Former Student</v>
      </c>
      <c r="E1422" s="5">
        <f ca="1">IFERROR(__xludf.DUMMYFUNCTION("""COMPUTED_VALUE"""),23)</f>
        <v>23</v>
      </c>
      <c r="F1422" s="5" t="str">
        <f ca="1">IFERROR(__xludf.DUMMYFUNCTION("""COMPUTED_VALUE"""),"White")</f>
        <v>White</v>
      </c>
    </row>
    <row r="1423" spans="1:6" ht="13">
      <c r="A1423" s="5" t="str">
        <f ca="1">IFERROR(__xludf.DUMMYFUNCTION("""COMPUTED_VALUE"""),"20131023CANEC")</f>
        <v>20131023CANEC</v>
      </c>
      <c r="B1423" s="5" t="str">
        <f ca="1">IFERROR(__xludf.DUMMYFUNCTION("""COMPUTED_VALUE"""),"Wounded")</f>
        <v>Wounded</v>
      </c>
      <c r="C1423" s="5"/>
      <c r="D1423" s="5" t="str">
        <f ca="1">IFERROR(__xludf.DUMMYFUNCTION("""COMPUTED_VALUE"""),"Student")</f>
        <v>Student</v>
      </c>
      <c r="E1423" s="5" t="str">
        <f ca="1">IFERROR(__xludf.DUMMYFUNCTION("""COMPUTED_VALUE"""),"Child")</f>
        <v>Child</v>
      </c>
      <c r="F1423" s="5"/>
    </row>
    <row r="1424" spans="1:6" ht="13">
      <c r="A1424" s="5" t="str">
        <f ca="1">IFERROR(__xludf.DUMMYFUNCTION("""COMPUTED_VALUE"""),"20131023CANEC")</f>
        <v>20131023CANEC</v>
      </c>
      <c r="B1424" s="5" t="str">
        <f ca="1">IFERROR(__xludf.DUMMYFUNCTION("""COMPUTED_VALUE"""),"Wounded")</f>
        <v>Wounded</v>
      </c>
      <c r="C1424" s="5"/>
      <c r="D1424" s="5" t="str">
        <f ca="1">IFERROR(__xludf.DUMMYFUNCTION("""COMPUTED_VALUE"""),"Student")</f>
        <v>Student</v>
      </c>
      <c r="E1424" s="5" t="str">
        <f ca="1">IFERROR(__xludf.DUMMYFUNCTION("""COMPUTED_VALUE"""),"Child")</f>
        <v>Child</v>
      </c>
      <c r="F1424" s="5"/>
    </row>
    <row r="1425" spans="1:6" ht="13">
      <c r="A1425" s="5" t="str">
        <f ca="1">IFERROR(__xludf.DUMMYFUNCTION("""COMPUTED_VALUE"""),"20131023CANEC")</f>
        <v>20131023CANEC</v>
      </c>
      <c r="B1425" s="5" t="str">
        <f ca="1">IFERROR(__xludf.DUMMYFUNCTION("""COMPUTED_VALUE"""),"Wounded")</f>
        <v>Wounded</v>
      </c>
      <c r="C1425" s="5"/>
      <c r="D1425" s="5" t="str">
        <f ca="1">IFERROR(__xludf.DUMMYFUNCTION("""COMPUTED_VALUE"""),"Student")</f>
        <v>Student</v>
      </c>
      <c r="E1425" s="5" t="str">
        <f ca="1">IFERROR(__xludf.DUMMYFUNCTION("""COMPUTED_VALUE"""),"Child")</f>
        <v>Child</v>
      </c>
      <c r="F1425" s="5"/>
    </row>
    <row r="1426" spans="1:6" ht="13">
      <c r="A1426" s="5" t="str">
        <f ca="1">IFERROR(__xludf.DUMMYFUNCTION("""COMPUTED_VALUE"""),"20131021NVSPS")</f>
        <v>20131021NVSPS</v>
      </c>
      <c r="B1426" s="5" t="str">
        <f ca="1">IFERROR(__xludf.DUMMYFUNCTION("""COMPUTED_VALUE"""),"Wounded")</f>
        <v>Wounded</v>
      </c>
      <c r="C1426" s="5" t="str">
        <f ca="1">IFERROR(__xludf.DUMMYFUNCTION("""COMPUTED_VALUE"""),"Male")</f>
        <v>Male</v>
      </c>
      <c r="D1426" s="5" t="str">
        <f ca="1">IFERROR(__xludf.DUMMYFUNCTION("""COMPUTED_VALUE"""),"Student")</f>
        <v>Student</v>
      </c>
      <c r="E1426" s="5">
        <f ca="1">IFERROR(__xludf.DUMMYFUNCTION("""COMPUTED_VALUE"""),12)</f>
        <v>12</v>
      </c>
      <c r="F1426" s="5"/>
    </row>
    <row r="1427" spans="1:6" ht="13">
      <c r="A1427" s="5" t="str">
        <f ca="1">IFERROR(__xludf.DUMMYFUNCTION("""COMPUTED_VALUE"""),"20131021NVSPS")</f>
        <v>20131021NVSPS</v>
      </c>
      <c r="B1427" s="5" t="str">
        <f ca="1">IFERROR(__xludf.DUMMYFUNCTION("""COMPUTED_VALUE"""),"Wounded")</f>
        <v>Wounded</v>
      </c>
      <c r="C1427" s="5" t="str">
        <f ca="1">IFERROR(__xludf.DUMMYFUNCTION("""COMPUTED_VALUE"""),"Male")</f>
        <v>Male</v>
      </c>
      <c r="D1427" s="5" t="str">
        <f ca="1">IFERROR(__xludf.DUMMYFUNCTION("""COMPUTED_VALUE"""),"Student")</f>
        <v>Student</v>
      </c>
      <c r="E1427" s="5">
        <f ca="1">IFERROR(__xludf.DUMMYFUNCTION("""COMPUTED_VALUE"""),12)</f>
        <v>12</v>
      </c>
      <c r="F1427" s="5"/>
    </row>
    <row r="1428" spans="1:6" ht="13">
      <c r="A1428" s="5" t="str">
        <f ca="1">IFERROR(__xludf.DUMMYFUNCTION("""COMPUTED_VALUE"""),"20131021NVSPS")</f>
        <v>20131021NVSPS</v>
      </c>
      <c r="B1428" s="5" t="str">
        <f ca="1">IFERROR(__xludf.DUMMYFUNCTION("""COMPUTED_VALUE"""),"Fatal")</f>
        <v>Fatal</v>
      </c>
      <c r="C1428" s="5" t="str">
        <f ca="1">IFERROR(__xludf.DUMMYFUNCTION("""COMPUTED_VALUE"""),"Male")</f>
        <v>Male</v>
      </c>
      <c r="D1428" s="5" t="str">
        <f ca="1">IFERROR(__xludf.DUMMYFUNCTION("""COMPUTED_VALUE"""),"Teacher")</f>
        <v>Teacher</v>
      </c>
      <c r="E1428" s="5">
        <f ca="1">IFERROR(__xludf.DUMMYFUNCTION("""COMPUTED_VALUE"""),45)</f>
        <v>45</v>
      </c>
      <c r="F1428" s="5"/>
    </row>
    <row r="1429" spans="1:6" ht="13">
      <c r="A1429" s="5" t="str">
        <f ca="1">IFERROR(__xludf.DUMMYFUNCTION("""COMPUTED_VALUE"""),"20131015TXLAA")</f>
        <v>20131015TXLAA</v>
      </c>
      <c r="B1429" s="5" t="str">
        <f ca="1">IFERROR(__xludf.DUMMYFUNCTION("""COMPUTED_VALUE"""),"None")</f>
        <v>None</v>
      </c>
      <c r="C1429" s="5" t="str">
        <f ca="1">IFERROR(__xludf.DUMMYFUNCTION("""COMPUTED_VALUE"""),"Male")</f>
        <v>Male</v>
      </c>
      <c r="D1429" s="5" t="str">
        <f ca="1">IFERROR(__xludf.DUMMYFUNCTION("""COMPUTED_VALUE"""),"Student")</f>
        <v>Student</v>
      </c>
      <c r="E1429" s="5">
        <f ca="1">IFERROR(__xludf.DUMMYFUNCTION("""COMPUTED_VALUE"""),16)</f>
        <v>16</v>
      </c>
      <c r="F1429" s="5" t="str">
        <f ca="1">IFERROR(__xludf.DUMMYFUNCTION("""COMPUTED_VALUE"""),"Hispanic")</f>
        <v>Hispanic</v>
      </c>
    </row>
    <row r="1430" spans="1:6" ht="13">
      <c r="A1430" s="5" t="str">
        <f ca="1">IFERROR(__xludf.DUMMYFUNCTION("""COMPUTED_VALUE"""),"20131004FLAGP")</f>
        <v>20131004FLAGP</v>
      </c>
      <c r="B1430" s="5" t="str">
        <f ca="1">IFERROR(__xludf.DUMMYFUNCTION("""COMPUTED_VALUE"""),"Wounded")</f>
        <v>Wounded</v>
      </c>
      <c r="C1430" s="5" t="str">
        <f ca="1">IFERROR(__xludf.DUMMYFUNCTION("""COMPUTED_VALUE"""),"Male")</f>
        <v>Male</v>
      </c>
      <c r="D1430" s="5" t="str">
        <f ca="1">IFERROR(__xludf.DUMMYFUNCTION("""COMPUTED_VALUE"""),"Student")</f>
        <v>Student</v>
      </c>
      <c r="E1430" s="5">
        <f ca="1">IFERROR(__xludf.DUMMYFUNCTION("""COMPUTED_VALUE"""),16)</f>
        <v>16</v>
      </c>
      <c r="F1430" s="5"/>
    </row>
    <row r="1431" spans="1:6" ht="13">
      <c r="A1431" s="5" t="str">
        <f ca="1">IFERROR(__xludf.DUMMYFUNCTION("""COMPUTED_VALUE"""),"20131004FLAGP")</f>
        <v>20131004FLAGP</v>
      </c>
      <c r="B1431" s="5" t="str">
        <f ca="1">IFERROR(__xludf.DUMMYFUNCTION("""COMPUTED_VALUE"""),"Wounded")</f>
        <v>Wounded</v>
      </c>
      <c r="C1431" s="5" t="str">
        <f ca="1">IFERROR(__xludf.DUMMYFUNCTION("""COMPUTED_VALUE"""),"Male")</f>
        <v>Male</v>
      </c>
      <c r="D1431" s="5" t="str">
        <f ca="1">IFERROR(__xludf.DUMMYFUNCTION("""COMPUTED_VALUE"""),"Student")</f>
        <v>Student</v>
      </c>
      <c r="E1431" s="5">
        <f ca="1">IFERROR(__xludf.DUMMYFUNCTION("""COMPUTED_VALUE"""),17)</f>
        <v>17</v>
      </c>
      <c r="F1431" s="5"/>
    </row>
    <row r="1432" spans="1:6" ht="13">
      <c r="A1432" s="5" t="str">
        <f ca="1">IFERROR(__xludf.DUMMYFUNCTION("""COMPUTED_VALUE"""),"20131002NHWIS")</f>
        <v>20131002NHWIS</v>
      </c>
      <c r="B1432" s="5" t="str">
        <f ca="1">IFERROR(__xludf.DUMMYFUNCTION("""COMPUTED_VALUE"""),"None")</f>
        <v>None</v>
      </c>
      <c r="C1432" s="5"/>
      <c r="D1432" s="5"/>
      <c r="E1432" s="5"/>
      <c r="F1432" s="5"/>
    </row>
    <row r="1433" spans="1:6" ht="13">
      <c r="A1433" s="5" t="str">
        <f ca="1">IFERROR(__xludf.DUMMYFUNCTION("""COMPUTED_VALUE"""),"20130928MENEG")</f>
        <v>20130928MENEG</v>
      </c>
      <c r="B1433" s="5" t="str">
        <f ca="1">IFERROR(__xludf.DUMMYFUNCTION("""COMPUTED_VALUE"""),"None")</f>
        <v>None</v>
      </c>
      <c r="C1433" s="5" t="str">
        <f ca="1">IFERROR(__xludf.DUMMYFUNCTION("""COMPUTED_VALUE"""),"Male")</f>
        <v>Male</v>
      </c>
      <c r="D1433" s="5" t="str">
        <f ca="1">IFERROR(__xludf.DUMMYFUNCTION("""COMPUTED_VALUE"""),"Intimate Relationship")</f>
        <v>Intimate Relationship</v>
      </c>
      <c r="E1433" s="5">
        <f ca="1">IFERROR(__xludf.DUMMYFUNCTION("""COMPUTED_VALUE"""),19)</f>
        <v>19</v>
      </c>
      <c r="F1433" s="5"/>
    </row>
    <row r="1434" spans="1:6" ht="13">
      <c r="A1434" s="5" t="str">
        <f ca="1">IFERROR(__xludf.DUMMYFUNCTION("""COMPUTED_VALUE"""),"20130927ILROC")</f>
        <v>20130927ILROC</v>
      </c>
      <c r="B1434" s="5" t="str">
        <f ca="1">IFERROR(__xludf.DUMMYFUNCTION("""COMPUTED_VALUE"""),"Wounded")</f>
        <v>Wounded</v>
      </c>
      <c r="C1434" s="5" t="str">
        <f ca="1">IFERROR(__xludf.DUMMYFUNCTION("""COMPUTED_VALUE"""),"Male")</f>
        <v>Male</v>
      </c>
      <c r="D1434" s="5" t="str">
        <f ca="1">IFERROR(__xludf.DUMMYFUNCTION("""COMPUTED_VALUE"""),"Student")</f>
        <v>Student</v>
      </c>
      <c r="E1434" s="5">
        <f ca="1">IFERROR(__xludf.DUMMYFUNCTION("""COMPUTED_VALUE"""),15)</f>
        <v>15</v>
      </c>
      <c r="F1434" s="5"/>
    </row>
    <row r="1435" spans="1:6" ht="13">
      <c r="A1435" s="5" t="str">
        <f ca="1">IFERROR(__xludf.DUMMYFUNCTION("""COMPUTED_VALUE"""),"20130830NCCAW")</f>
        <v>20130830NCCAW</v>
      </c>
      <c r="B1435" s="5" t="str">
        <f ca="1">IFERROR(__xludf.DUMMYFUNCTION("""COMPUTED_VALUE"""),"Wounded")</f>
        <v>Wounded</v>
      </c>
      <c r="C1435" s="5" t="str">
        <f ca="1">IFERROR(__xludf.DUMMYFUNCTION("""COMPUTED_VALUE"""),"Male")</f>
        <v>Male</v>
      </c>
      <c r="D1435" s="5" t="str">
        <f ca="1">IFERROR(__xludf.DUMMYFUNCTION("""COMPUTED_VALUE"""),"Student")</f>
        <v>Student</v>
      </c>
      <c r="E1435" s="5">
        <f ca="1">IFERROR(__xludf.DUMMYFUNCTION("""COMPUTED_VALUE"""),15)</f>
        <v>15</v>
      </c>
      <c r="F1435" s="5" t="str">
        <f ca="1">IFERROR(__xludf.DUMMYFUNCTION("""COMPUTED_VALUE"""),"Black")</f>
        <v>Black</v>
      </c>
    </row>
    <row r="1436" spans="1:6" ht="13">
      <c r="A1436" s="5" t="str">
        <f ca="1">IFERROR(__xludf.DUMMYFUNCTION("""COMPUTED_VALUE"""),"20130823MSNOS")</f>
        <v>20130823MSNOS</v>
      </c>
      <c r="B1436" s="5" t="str">
        <f ca="1">IFERROR(__xludf.DUMMYFUNCTION("""COMPUTED_VALUE"""),"Fatal")</f>
        <v>Fatal</v>
      </c>
      <c r="C1436" s="5" t="str">
        <f ca="1">IFERROR(__xludf.DUMMYFUNCTION("""COMPUTED_VALUE"""),"Male")</f>
        <v>Male</v>
      </c>
      <c r="D1436" s="5" t="str">
        <f ca="1">IFERROR(__xludf.DUMMYFUNCTION("""COMPUTED_VALUE"""),"Student")</f>
        <v>Student</v>
      </c>
      <c r="E1436" s="5">
        <f ca="1">IFERROR(__xludf.DUMMYFUNCTION("""COMPUTED_VALUE"""),15)</f>
        <v>15</v>
      </c>
      <c r="F1436" s="5"/>
    </row>
    <row r="1437" spans="1:6" ht="13">
      <c r="A1437" s="5" t="str">
        <f ca="1">IFERROR(__xludf.DUMMYFUNCTION("""COMPUTED_VALUE"""),"20130823MSNOS")</f>
        <v>20130823MSNOS</v>
      </c>
      <c r="B1437" s="5" t="str">
        <f ca="1">IFERROR(__xludf.DUMMYFUNCTION("""COMPUTED_VALUE"""),"Wounded")</f>
        <v>Wounded</v>
      </c>
      <c r="C1437" s="5" t="str">
        <f ca="1">IFERROR(__xludf.DUMMYFUNCTION("""COMPUTED_VALUE"""),"Male")</f>
        <v>Male</v>
      </c>
      <c r="D1437" s="5" t="str">
        <f ca="1">IFERROR(__xludf.DUMMYFUNCTION("""COMPUTED_VALUE"""),"Student")</f>
        <v>Student</v>
      </c>
      <c r="E1437" s="5" t="str">
        <f ca="1">IFERROR(__xludf.DUMMYFUNCTION("""COMPUTED_VALUE"""),"Teen")</f>
        <v>Teen</v>
      </c>
      <c r="F1437" s="5"/>
    </row>
    <row r="1438" spans="1:6" ht="13">
      <c r="A1438" s="5" t="str">
        <f ca="1">IFERROR(__xludf.DUMMYFUNCTION("""COMPUTED_VALUE"""),"20130823MSNOS")</f>
        <v>20130823MSNOS</v>
      </c>
      <c r="B1438" s="5" t="str">
        <f ca="1">IFERROR(__xludf.DUMMYFUNCTION("""COMPUTED_VALUE"""),"Wounded")</f>
        <v>Wounded</v>
      </c>
      <c r="C1438" s="5" t="str">
        <f ca="1">IFERROR(__xludf.DUMMYFUNCTION("""COMPUTED_VALUE"""),"Male")</f>
        <v>Male</v>
      </c>
      <c r="D1438" s="5" t="str">
        <f ca="1">IFERROR(__xludf.DUMMYFUNCTION("""COMPUTED_VALUE"""),"Student")</f>
        <v>Student</v>
      </c>
      <c r="E1438" s="5" t="str">
        <f ca="1">IFERROR(__xludf.DUMMYFUNCTION("""COMPUTED_VALUE"""),"Teen")</f>
        <v>Teen</v>
      </c>
      <c r="F1438" s="5"/>
    </row>
    <row r="1439" spans="1:6" ht="13">
      <c r="A1439" s="5" t="str">
        <f ca="1">IFERROR(__xludf.DUMMYFUNCTION("""COMPUTED_VALUE"""),"20130822TNWEM")</f>
        <v>20130822TNWEM</v>
      </c>
      <c r="B1439" s="5" t="str">
        <f ca="1">IFERROR(__xludf.DUMMYFUNCTION("""COMPUTED_VALUE"""),"None")</f>
        <v>None</v>
      </c>
      <c r="C1439" s="5"/>
      <c r="D1439" s="5"/>
      <c r="E1439" s="5"/>
      <c r="F1439" s="5"/>
    </row>
    <row r="1440" spans="1:6" ht="13">
      <c r="A1440" s="5" t="str">
        <f ca="1">IFERROR(__xludf.DUMMYFUNCTION("""COMPUTED_VALUE"""),"20130820GAROD")</f>
        <v>20130820GAROD</v>
      </c>
      <c r="B1440" s="5" t="str">
        <f ca="1">IFERROR(__xludf.DUMMYFUNCTION("""COMPUTED_VALUE"""),"None")</f>
        <v>None</v>
      </c>
      <c r="C1440" s="5"/>
      <c r="D1440" s="5"/>
      <c r="E1440" s="5"/>
      <c r="F1440" s="5"/>
    </row>
    <row r="1441" spans="1:6" ht="13">
      <c r="A1441" s="5" t="str">
        <f ca="1">IFERROR(__xludf.DUMMYFUNCTION("""COMPUTED_VALUE"""),"20130815TNNOC")</f>
        <v>20130815TNNOC</v>
      </c>
      <c r="B1441" s="5" t="str">
        <f ca="1">IFERROR(__xludf.DUMMYFUNCTION("""COMPUTED_VALUE"""),"Fatal")</f>
        <v>Fatal</v>
      </c>
      <c r="C1441" s="5" t="str">
        <f ca="1">IFERROR(__xludf.DUMMYFUNCTION("""COMPUTED_VALUE"""),"Male")</f>
        <v>Male</v>
      </c>
      <c r="D1441" s="5" t="str">
        <f ca="1">IFERROR(__xludf.DUMMYFUNCTION("""COMPUTED_VALUE"""),"No Relation")</f>
        <v>No Relation</v>
      </c>
      <c r="E1441" s="5">
        <f ca="1">IFERROR(__xludf.DUMMYFUNCTION("""COMPUTED_VALUE"""),38)</f>
        <v>38</v>
      </c>
      <c r="F1441" s="5" t="str">
        <f ca="1">IFERROR(__xludf.DUMMYFUNCTION("""COMPUTED_VALUE"""),"Black")</f>
        <v>Black</v>
      </c>
    </row>
    <row r="1442" spans="1:6" ht="13">
      <c r="A1442" s="5" t="str">
        <f ca="1">IFERROR(__xludf.DUMMYFUNCTION("""COMPUTED_VALUE"""),"20130619FLALW")</f>
        <v>20130619FLALW</v>
      </c>
      <c r="B1442" s="5" t="str">
        <f ca="1">IFERROR(__xludf.DUMMYFUNCTION("""COMPUTED_VALUE"""),"Fatal")</f>
        <v>Fatal</v>
      </c>
      <c r="C1442" s="5" t="str">
        <f ca="1">IFERROR(__xludf.DUMMYFUNCTION("""COMPUTED_VALUE"""),"Male")</f>
        <v>Male</v>
      </c>
      <c r="D1442" s="5" t="str">
        <f ca="1">IFERROR(__xludf.DUMMYFUNCTION("""COMPUTED_VALUE"""),"Other Staff")</f>
        <v>Other Staff</v>
      </c>
      <c r="E1442" s="5">
        <f ca="1">IFERROR(__xludf.DUMMYFUNCTION("""COMPUTED_VALUE"""),56)</f>
        <v>56</v>
      </c>
      <c r="F1442" s="5" t="str">
        <f ca="1">IFERROR(__xludf.DUMMYFUNCTION("""COMPUTED_VALUE"""),"White")</f>
        <v>White</v>
      </c>
    </row>
    <row r="1443" spans="1:6" ht="13">
      <c r="A1443" s="5" t="str">
        <f ca="1">IFERROR(__xludf.DUMMYFUNCTION("""COMPUTED_VALUE"""),"20130619FLALW")</f>
        <v>20130619FLALW</v>
      </c>
      <c r="B1443" s="5" t="str">
        <f ca="1">IFERROR(__xludf.DUMMYFUNCTION("""COMPUTED_VALUE"""),"Fatal")</f>
        <v>Fatal</v>
      </c>
      <c r="C1443" s="5" t="str">
        <f ca="1">IFERROR(__xludf.DUMMYFUNCTION("""COMPUTED_VALUE"""),"Male")</f>
        <v>Male</v>
      </c>
      <c r="D1443" s="5" t="str">
        <f ca="1">IFERROR(__xludf.DUMMYFUNCTION("""COMPUTED_VALUE"""),"Other Staff")</f>
        <v>Other Staff</v>
      </c>
      <c r="E1443" s="5">
        <f ca="1">IFERROR(__xludf.DUMMYFUNCTION("""COMPUTED_VALUE"""),48)</f>
        <v>48</v>
      </c>
      <c r="F1443" s="5" t="str">
        <f ca="1">IFERROR(__xludf.DUMMYFUNCTION("""COMPUTED_VALUE"""),"White")</f>
        <v>White</v>
      </c>
    </row>
    <row r="1444" spans="1:6" ht="13">
      <c r="A1444" s="5" t="str">
        <f ca="1">IFERROR(__xludf.DUMMYFUNCTION("""COMPUTED_VALUE"""),"20130618NCHIC")</f>
        <v>20130618NCHIC</v>
      </c>
      <c r="B1444" s="5" t="str">
        <f ca="1">IFERROR(__xludf.DUMMYFUNCTION("""COMPUTED_VALUE"""),"Wounded")</f>
        <v>Wounded</v>
      </c>
      <c r="C1444" s="5" t="str">
        <f ca="1">IFERROR(__xludf.DUMMYFUNCTION("""COMPUTED_VALUE"""),"Male")</f>
        <v>Male</v>
      </c>
      <c r="D1444" s="5" t="str">
        <f ca="1">IFERROR(__xludf.DUMMYFUNCTION("""COMPUTED_VALUE"""),"No Relation")</f>
        <v>No Relation</v>
      </c>
      <c r="E1444" s="5" t="str">
        <f ca="1">IFERROR(__xludf.DUMMYFUNCTION("""COMPUTED_VALUE"""),"Adult")</f>
        <v>Adult</v>
      </c>
      <c r="F1444" s="5"/>
    </row>
    <row r="1445" spans="1:6" ht="13">
      <c r="A1445" s="5" t="str">
        <f ca="1">IFERROR(__xludf.DUMMYFUNCTION("""COMPUTED_VALUE"""),"20130523FLREH")</f>
        <v>20130523FLREH</v>
      </c>
      <c r="B1445" s="5" t="str">
        <f ca="1">IFERROR(__xludf.DUMMYFUNCTION("""COMPUTED_VALUE"""),"Wounded")</f>
        <v>Wounded</v>
      </c>
      <c r="C1445" s="5" t="str">
        <f ca="1">IFERROR(__xludf.DUMMYFUNCTION("""COMPUTED_VALUE"""),"Male")</f>
        <v>Male</v>
      </c>
      <c r="D1445" s="5" t="str">
        <f ca="1">IFERROR(__xludf.DUMMYFUNCTION("""COMPUTED_VALUE"""),"Student")</f>
        <v>Student</v>
      </c>
      <c r="E1445" s="5">
        <f ca="1">IFERROR(__xludf.DUMMYFUNCTION("""COMPUTED_VALUE"""),12)</f>
        <v>12</v>
      </c>
      <c r="F1445" s="5"/>
    </row>
    <row r="1446" spans="1:6" ht="13">
      <c r="A1446" s="5" t="str">
        <f ca="1">IFERROR(__xludf.DUMMYFUNCTION("""COMPUTED_VALUE"""),"20130513ALOSB")</f>
        <v>20130513ALOSB</v>
      </c>
      <c r="B1446" s="5" t="str">
        <f ca="1">IFERROR(__xludf.DUMMYFUNCTION("""COMPUTED_VALUE"""),"None")</f>
        <v>None</v>
      </c>
      <c r="C1446" s="5"/>
      <c r="D1446" s="5"/>
      <c r="E1446" s="5"/>
      <c r="F1446" s="5"/>
    </row>
    <row r="1447" spans="1:6" ht="13">
      <c r="A1447" s="5" t="str">
        <f ca="1">IFERROR(__xludf.DUMMYFUNCTION("""COMPUTED_VALUE"""),"20130430NMTUT")</f>
        <v>20130430NMTUT</v>
      </c>
      <c r="B1447" s="5" t="str">
        <f ca="1">IFERROR(__xludf.DUMMYFUNCTION("""COMPUTED_VALUE"""),"None")</f>
        <v>None</v>
      </c>
      <c r="C1447" s="5" t="str">
        <f ca="1">IFERROR(__xludf.DUMMYFUNCTION("""COMPUTED_VALUE"""),"Male")</f>
        <v>Male</v>
      </c>
      <c r="D1447" s="5" t="str">
        <f ca="1">IFERROR(__xludf.DUMMYFUNCTION("""COMPUTED_VALUE"""),"No Relation")</f>
        <v>No Relation</v>
      </c>
      <c r="E1447" s="5">
        <f ca="1">IFERROR(__xludf.DUMMYFUNCTION("""COMPUTED_VALUE"""),19)</f>
        <v>19</v>
      </c>
      <c r="F1447" s="5"/>
    </row>
    <row r="1448" spans="1:6" ht="13">
      <c r="A1448" s="5" t="str">
        <f ca="1">IFERROR(__xludf.DUMMYFUNCTION("""COMPUTED_VALUE"""),"20130429OHLAC")</f>
        <v>20130429OHLAC</v>
      </c>
      <c r="B1448" s="5" t="str">
        <f ca="1">IFERROR(__xludf.DUMMYFUNCTION("""COMPUTED_VALUE"""),"None")</f>
        <v>None</v>
      </c>
      <c r="C1448" s="5" t="str">
        <f ca="1">IFERROR(__xludf.DUMMYFUNCTION("""COMPUTED_VALUE"""),"Male")</f>
        <v>Male</v>
      </c>
      <c r="D1448" s="5" t="str">
        <f ca="1">IFERROR(__xludf.DUMMYFUNCTION("""COMPUTED_VALUE"""),"Student")</f>
        <v>Student</v>
      </c>
      <c r="E1448" s="5">
        <f ca="1">IFERROR(__xludf.DUMMYFUNCTION("""COMPUTED_VALUE"""),17)</f>
        <v>17</v>
      </c>
      <c r="F1448" s="5"/>
    </row>
    <row r="1449" spans="1:6" ht="13">
      <c r="A1449" s="5" t="str">
        <f ca="1">IFERROR(__xludf.DUMMYFUNCTION("""COMPUTED_VALUE"""),"20130416TXTET")</f>
        <v>20130416TXTET</v>
      </c>
      <c r="B1449" s="5" t="str">
        <f ca="1">IFERROR(__xludf.DUMMYFUNCTION("""COMPUTED_VALUE"""),"None")</f>
        <v>None</v>
      </c>
      <c r="C1449" s="5" t="str">
        <f ca="1">IFERROR(__xludf.DUMMYFUNCTION("""COMPUTED_VALUE"""),"Male")</f>
        <v>Male</v>
      </c>
      <c r="D1449" s="5" t="str">
        <f ca="1">IFERROR(__xludf.DUMMYFUNCTION("""COMPUTED_VALUE"""),"Student")</f>
        <v>Student</v>
      </c>
      <c r="E1449" s="5">
        <f ca="1">IFERROR(__xludf.DUMMYFUNCTION("""COMPUTED_VALUE"""),15)</f>
        <v>15</v>
      </c>
      <c r="F1449" s="5"/>
    </row>
    <row r="1450" spans="1:6" ht="13">
      <c r="A1450" s="5" t="str">
        <f ca="1">IFERROR(__xludf.DUMMYFUNCTION("""COMPUTED_VALUE"""),"20130321MIDAS")</f>
        <v>20130321MIDAS</v>
      </c>
      <c r="B1450" s="5" t="str">
        <f ca="1">IFERROR(__xludf.DUMMYFUNCTION("""COMPUTED_VALUE"""),"None")</f>
        <v>None</v>
      </c>
      <c r="C1450" s="5" t="str">
        <f ca="1">IFERROR(__xludf.DUMMYFUNCTION("""COMPUTED_VALUE"""),"Male")</f>
        <v>Male</v>
      </c>
      <c r="D1450" s="5" t="str">
        <f ca="1">IFERROR(__xludf.DUMMYFUNCTION("""COMPUTED_VALUE"""),"Student")</f>
        <v>Student</v>
      </c>
      <c r="E1450" s="5">
        <f ca="1">IFERROR(__xludf.DUMMYFUNCTION("""COMPUTED_VALUE"""),13)</f>
        <v>13</v>
      </c>
      <c r="F1450" s="5"/>
    </row>
    <row r="1451" spans="1:6" ht="13">
      <c r="A1451" s="5" t="str">
        <f ca="1">IFERROR(__xludf.DUMMYFUNCTION("""COMPUTED_VALUE"""),"20130227GAGRA")</f>
        <v>20130227GAGRA</v>
      </c>
      <c r="B1451" s="5" t="str">
        <f ca="1">IFERROR(__xludf.DUMMYFUNCTION("""COMPUTED_VALUE"""),"None")</f>
        <v>None</v>
      </c>
      <c r="C1451" s="5" t="str">
        <f ca="1">IFERROR(__xludf.DUMMYFUNCTION("""COMPUTED_VALUE"""),"Female")</f>
        <v>Female</v>
      </c>
      <c r="D1451" s="5" t="str">
        <f ca="1">IFERROR(__xludf.DUMMYFUNCTION("""COMPUTED_VALUE"""),"Student")</f>
        <v>Student</v>
      </c>
      <c r="E1451" s="5">
        <f ca="1">IFERROR(__xludf.DUMMYFUNCTION("""COMPUTED_VALUE"""),17)</f>
        <v>17</v>
      </c>
      <c r="F1451" s="5" t="str">
        <f ca="1">IFERROR(__xludf.DUMMYFUNCTION("""COMPUTED_VALUE"""),"Black")</f>
        <v>Black</v>
      </c>
    </row>
    <row r="1452" spans="1:6" ht="13">
      <c r="A1452" s="5" t="str">
        <f ca="1">IFERROR(__xludf.DUMMYFUNCTION("""COMPUTED_VALUE"""),"20130213CAHIS")</f>
        <v>20130213CAHIS</v>
      </c>
      <c r="B1452" s="5" t="str">
        <f ca="1">IFERROR(__xludf.DUMMYFUNCTION("""COMPUTED_VALUE"""),"Fatal")</f>
        <v>Fatal</v>
      </c>
      <c r="C1452" s="5" t="str">
        <f ca="1">IFERROR(__xludf.DUMMYFUNCTION("""COMPUTED_VALUE"""),"Male")</f>
        <v>Male</v>
      </c>
      <c r="D1452" s="5" t="str">
        <f ca="1">IFERROR(__xludf.DUMMYFUNCTION("""COMPUTED_VALUE"""),"No Relation")</f>
        <v>No Relation</v>
      </c>
      <c r="E1452" s="5">
        <f ca="1">IFERROR(__xludf.DUMMYFUNCTION("""COMPUTED_VALUE"""),18)</f>
        <v>18</v>
      </c>
      <c r="F1452" s="5" t="str">
        <f ca="1">IFERROR(__xludf.DUMMYFUNCTION("""COMPUTED_VALUE"""),"Black")</f>
        <v>Black</v>
      </c>
    </row>
    <row r="1453" spans="1:6" ht="13">
      <c r="A1453" s="5" t="str">
        <f ca="1">IFERROR(__xludf.DUMMYFUNCTION("""COMPUTED_VALUE"""),"20130201MIMAD")</f>
        <v>20130201MIMAD</v>
      </c>
      <c r="B1453" s="5" t="str">
        <f ca="1">IFERROR(__xludf.DUMMYFUNCTION("""COMPUTED_VALUE"""),"Wounded")</f>
        <v>Wounded</v>
      </c>
      <c r="C1453" s="5" t="str">
        <f ca="1">IFERROR(__xludf.DUMMYFUNCTION("""COMPUTED_VALUE"""),"Male")</f>
        <v>Male</v>
      </c>
      <c r="D1453" s="5" t="str">
        <f ca="1">IFERROR(__xludf.DUMMYFUNCTION("""COMPUTED_VALUE"""),"Unknown")</f>
        <v>Unknown</v>
      </c>
      <c r="E1453" s="5" t="str">
        <f ca="1">IFERROR(__xludf.DUMMYFUNCTION("""COMPUTED_VALUE"""),"Teen")</f>
        <v>Teen</v>
      </c>
      <c r="F1453" s="5"/>
    </row>
    <row r="1454" spans="1:6" ht="13">
      <c r="A1454" s="5" t="str">
        <f ca="1">IFERROR(__xludf.DUMMYFUNCTION("""COMPUTED_VALUE"""),"20130201MIMAD")</f>
        <v>20130201MIMAD</v>
      </c>
      <c r="B1454" s="5" t="str">
        <f ca="1">IFERROR(__xludf.DUMMYFUNCTION("""COMPUTED_VALUE"""),"Fatal")</f>
        <v>Fatal</v>
      </c>
      <c r="C1454" s="5" t="str">
        <f ca="1">IFERROR(__xludf.DUMMYFUNCTION("""COMPUTED_VALUE"""),"Male")</f>
        <v>Male</v>
      </c>
      <c r="D1454" s="5" t="str">
        <f ca="1">IFERROR(__xludf.DUMMYFUNCTION("""COMPUTED_VALUE"""),"Unknown")</f>
        <v>Unknown</v>
      </c>
      <c r="E1454" s="5" t="str">
        <f ca="1">IFERROR(__xludf.DUMMYFUNCTION("""COMPUTED_VALUE"""),"Teen")</f>
        <v>Teen</v>
      </c>
      <c r="F1454" s="5"/>
    </row>
    <row r="1455" spans="1:6" ht="13">
      <c r="A1455" s="5" t="str">
        <f ca="1">IFERROR(__xludf.DUMMYFUNCTION("""COMPUTED_VALUE"""),"20130131GAPRA")</f>
        <v>20130131GAPRA</v>
      </c>
      <c r="B1455" s="5" t="str">
        <f ca="1">IFERROR(__xludf.DUMMYFUNCTION("""COMPUTED_VALUE"""),"Wounded")</f>
        <v>Wounded</v>
      </c>
      <c r="C1455" s="5" t="str">
        <f ca="1">IFERROR(__xludf.DUMMYFUNCTION("""COMPUTED_VALUE"""),"Male")</f>
        <v>Male</v>
      </c>
      <c r="D1455" s="5" t="str">
        <f ca="1">IFERROR(__xludf.DUMMYFUNCTION("""COMPUTED_VALUE"""),"Student")</f>
        <v>Student</v>
      </c>
      <c r="E1455" s="5">
        <f ca="1">IFERROR(__xludf.DUMMYFUNCTION("""COMPUTED_VALUE"""),14)</f>
        <v>14</v>
      </c>
      <c r="F1455" s="5" t="str">
        <f ca="1">IFERROR(__xludf.DUMMYFUNCTION("""COMPUTED_VALUE"""),"Black")</f>
        <v>Black</v>
      </c>
    </row>
    <row r="1456" spans="1:6" ht="13">
      <c r="A1456" s="5" t="str">
        <f ca="1">IFERROR(__xludf.DUMMYFUNCTION("""COMPUTED_VALUE"""),"20130129ALDAM")</f>
        <v>20130129ALDAM</v>
      </c>
      <c r="B1456" s="5" t="str">
        <f ca="1">IFERROR(__xludf.DUMMYFUNCTION("""COMPUTED_VALUE"""),"Fatal")</f>
        <v>Fatal</v>
      </c>
      <c r="C1456" s="5" t="str">
        <f ca="1">IFERROR(__xludf.DUMMYFUNCTION("""COMPUTED_VALUE"""),"Male")</f>
        <v>Male</v>
      </c>
      <c r="D1456" s="5" t="str">
        <f ca="1">IFERROR(__xludf.DUMMYFUNCTION("""COMPUTED_VALUE"""),"Bus Driver")</f>
        <v>Bus Driver</v>
      </c>
      <c r="E1456" s="5">
        <f ca="1">IFERROR(__xludf.DUMMYFUNCTION("""COMPUTED_VALUE"""),66)</f>
        <v>66</v>
      </c>
      <c r="F1456" s="5"/>
    </row>
    <row r="1457" spans="1:6" ht="13">
      <c r="A1457" s="5" t="str">
        <f ca="1">IFERROR(__xludf.DUMMYFUNCTION("""COMPUTED_VALUE"""),"20130111MIOSD")</f>
        <v>20130111MIOSD</v>
      </c>
      <c r="B1457" s="5" t="str">
        <f ca="1">IFERROR(__xludf.DUMMYFUNCTION("""COMPUTED_VALUE"""),"Wounded")</f>
        <v>Wounded</v>
      </c>
      <c r="C1457" s="5" t="str">
        <f ca="1">IFERROR(__xludf.DUMMYFUNCTION("""COMPUTED_VALUE"""),"Male")</f>
        <v>Male</v>
      </c>
      <c r="D1457" s="5" t="str">
        <f ca="1">IFERROR(__xludf.DUMMYFUNCTION("""COMPUTED_VALUE"""),"Student")</f>
        <v>Student</v>
      </c>
      <c r="E1457" s="5">
        <f ca="1">IFERROR(__xludf.DUMMYFUNCTION("""COMPUTED_VALUE"""),16)</f>
        <v>16</v>
      </c>
      <c r="F1457" s="5"/>
    </row>
    <row r="1458" spans="1:6" ht="13">
      <c r="A1458" s="5" t="str">
        <f ca="1">IFERROR(__xludf.DUMMYFUNCTION("""COMPUTED_VALUE"""),"20130110CATAT")</f>
        <v>20130110CATAT</v>
      </c>
      <c r="B1458" s="5" t="str">
        <f ca="1">IFERROR(__xludf.DUMMYFUNCTION("""COMPUTED_VALUE"""),"Wounded")</f>
        <v>Wounded</v>
      </c>
      <c r="C1458" s="5" t="str">
        <f ca="1">IFERROR(__xludf.DUMMYFUNCTION("""COMPUTED_VALUE"""),"Male")</f>
        <v>Male</v>
      </c>
      <c r="D1458" s="5" t="str">
        <f ca="1">IFERROR(__xludf.DUMMYFUNCTION("""COMPUTED_VALUE"""),"Student")</f>
        <v>Student</v>
      </c>
      <c r="E1458" s="5">
        <f ca="1">IFERROR(__xludf.DUMMYFUNCTION("""COMPUTED_VALUE"""),16)</f>
        <v>16</v>
      </c>
      <c r="F1458" s="5" t="str">
        <f ca="1">IFERROR(__xludf.DUMMYFUNCTION("""COMPUTED_VALUE"""),"White")</f>
        <v>White</v>
      </c>
    </row>
    <row r="1459" spans="1:6" ht="13">
      <c r="A1459" s="5" t="str">
        <f ca="1">IFERROR(__xludf.DUMMYFUNCTION("""COMPUTED_VALUE"""),"20130110CATAT")</f>
        <v>20130110CATAT</v>
      </c>
      <c r="B1459" s="5" t="str">
        <f ca="1">IFERROR(__xludf.DUMMYFUNCTION("""COMPUTED_VALUE"""),"Wounded")</f>
        <v>Wounded</v>
      </c>
      <c r="C1459" s="5" t="str">
        <f ca="1">IFERROR(__xludf.DUMMYFUNCTION("""COMPUTED_VALUE"""),"Male")</f>
        <v>Male</v>
      </c>
      <c r="D1459" s="5" t="str">
        <f ca="1">IFERROR(__xludf.DUMMYFUNCTION("""COMPUTED_VALUE"""),"Student")</f>
        <v>Student</v>
      </c>
      <c r="E1459" s="5" t="str">
        <f ca="1">IFERROR(__xludf.DUMMYFUNCTION("""COMPUTED_VALUE"""),"Teen")</f>
        <v>Teen</v>
      </c>
      <c r="F1459" s="5" t="str">
        <f ca="1">IFERROR(__xludf.DUMMYFUNCTION("""COMPUTED_VALUE"""),"White")</f>
        <v>White</v>
      </c>
    </row>
    <row r="1460" spans="1:6" ht="13">
      <c r="A1460" s="5" t="str">
        <f ca="1">IFERROR(__xludf.DUMMYFUNCTION("""COMPUTED_VALUE"""),"20130107FLAPF")</f>
        <v>20130107FLAPF</v>
      </c>
      <c r="B1460" s="5" t="str">
        <f ca="1">IFERROR(__xludf.DUMMYFUNCTION("""COMPUTED_VALUE"""),"Fatal")</f>
        <v>Fatal</v>
      </c>
      <c r="C1460" s="5" t="str">
        <f ca="1">IFERROR(__xludf.DUMMYFUNCTION("""COMPUTED_VALUE"""),"Male")</f>
        <v>Male</v>
      </c>
      <c r="D1460" s="5" t="str">
        <f ca="1">IFERROR(__xludf.DUMMYFUNCTION("""COMPUTED_VALUE"""),"Parent")</f>
        <v>Parent</v>
      </c>
      <c r="E1460" s="5">
        <f ca="1">IFERROR(__xludf.DUMMYFUNCTION("""COMPUTED_VALUE"""),27)</f>
        <v>27</v>
      </c>
      <c r="F1460" s="5" t="str">
        <f ca="1">IFERROR(__xludf.DUMMYFUNCTION("""COMPUTED_VALUE"""),"Black")</f>
        <v>Black</v>
      </c>
    </row>
    <row r="1461" spans="1:6" ht="13">
      <c r="A1461" s="5" t="str">
        <f ca="1">IFERROR(__xludf.DUMMYFUNCTION("""COMPUTED_VALUE"""),"20121214CTSAN")</f>
        <v>20121214CTSAN</v>
      </c>
      <c r="B1461" s="5" t="str">
        <f ca="1">IFERROR(__xludf.DUMMYFUNCTION("""COMPUTED_VALUE"""),"Fatal")</f>
        <v>Fatal</v>
      </c>
      <c r="C1461" s="5" t="str">
        <f ca="1">IFERROR(__xludf.DUMMYFUNCTION("""COMPUTED_VALUE"""),"Female")</f>
        <v>Female</v>
      </c>
      <c r="D1461" s="5" t="str">
        <f ca="1">IFERROR(__xludf.DUMMYFUNCTION("""COMPUTED_VALUE"""),"Student")</f>
        <v>Student</v>
      </c>
      <c r="E1461" s="5">
        <f ca="1">IFERROR(__xludf.DUMMYFUNCTION("""COMPUTED_VALUE"""),6)</f>
        <v>6</v>
      </c>
      <c r="F1461" s="5" t="str">
        <f ca="1">IFERROR(__xludf.DUMMYFUNCTION("""COMPUTED_VALUE"""),"White")</f>
        <v>White</v>
      </c>
    </row>
    <row r="1462" spans="1:6" ht="13">
      <c r="A1462" s="5" t="str">
        <f ca="1">IFERROR(__xludf.DUMMYFUNCTION("""COMPUTED_VALUE"""),"20121214CTSAN")</f>
        <v>20121214CTSAN</v>
      </c>
      <c r="B1462" s="5" t="str">
        <f ca="1">IFERROR(__xludf.DUMMYFUNCTION("""COMPUTED_VALUE"""),"Fatal")</f>
        <v>Fatal</v>
      </c>
      <c r="C1462" s="5" t="str">
        <f ca="1">IFERROR(__xludf.DUMMYFUNCTION("""COMPUTED_VALUE"""),"Female")</f>
        <v>Female</v>
      </c>
      <c r="D1462" s="5" t="str">
        <f ca="1">IFERROR(__xludf.DUMMYFUNCTION("""COMPUTED_VALUE"""),"Student")</f>
        <v>Student</v>
      </c>
      <c r="E1462" s="5">
        <f ca="1">IFERROR(__xludf.DUMMYFUNCTION("""COMPUTED_VALUE"""),6)</f>
        <v>6</v>
      </c>
      <c r="F1462" s="5" t="str">
        <f ca="1">IFERROR(__xludf.DUMMYFUNCTION("""COMPUTED_VALUE"""),"Black")</f>
        <v>Black</v>
      </c>
    </row>
    <row r="1463" spans="1:6" ht="13">
      <c r="A1463" s="5" t="str">
        <f ca="1">IFERROR(__xludf.DUMMYFUNCTION("""COMPUTED_VALUE"""),"20121214CTSAN")</f>
        <v>20121214CTSAN</v>
      </c>
      <c r="B1463" s="5" t="str">
        <f ca="1">IFERROR(__xludf.DUMMYFUNCTION("""COMPUTED_VALUE"""),"Fatal")</f>
        <v>Fatal</v>
      </c>
      <c r="C1463" s="5" t="str">
        <f ca="1">IFERROR(__xludf.DUMMYFUNCTION("""COMPUTED_VALUE"""),"Female")</f>
        <v>Female</v>
      </c>
      <c r="D1463" s="5" t="str">
        <f ca="1">IFERROR(__xludf.DUMMYFUNCTION("""COMPUTED_VALUE"""),"Student")</f>
        <v>Student</v>
      </c>
      <c r="E1463" s="5">
        <f ca="1">IFERROR(__xludf.DUMMYFUNCTION("""COMPUTED_VALUE"""),6)</f>
        <v>6</v>
      </c>
      <c r="F1463" s="5" t="str">
        <f ca="1">IFERROR(__xludf.DUMMYFUNCTION("""COMPUTED_VALUE"""),"White")</f>
        <v>White</v>
      </c>
    </row>
    <row r="1464" spans="1:6" ht="13">
      <c r="A1464" s="5" t="str">
        <f ca="1">IFERROR(__xludf.DUMMYFUNCTION("""COMPUTED_VALUE"""),"20121214CTSAN")</f>
        <v>20121214CTSAN</v>
      </c>
      <c r="B1464" s="5" t="str">
        <f ca="1">IFERROR(__xludf.DUMMYFUNCTION("""COMPUTED_VALUE"""),"Fatal")</f>
        <v>Fatal</v>
      </c>
      <c r="C1464" s="5" t="str">
        <f ca="1">IFERROR(__xludf.DUMMYFUNCTION("""COMPUTED_VALUE"""),"Female")</f>
        <v>Female</v>
      </c>
      <c r="D1464" s="5" t="str">
        <f ca="1">IFERROR(__xludf.DUMMYFUNCTION("""COMPUTED_VALUE"""),"Student")</f>
        <v>Student</v>
      </c>
      <c r="E1464" s="5">
        <f ca="1">IFERROR(__xludf.DUMMYFUNCTION("""COMPUTED_VALUE"""),6)</f>
        <v>6</v>
      </c>
      <c r="F1464" s="5" t="str">
        <f ca="1">IFERROR(__xludf.DUMMYFUNCTION("""COMPUTED_VALUE"""),"White")</f>
        <v>White</v>
      </c>
    </row>
    <row r="1465" spans="1:6" ht="13">
      <c r="A1465" s="5" t="str">
        <f ca="1">IFERROR(__xludf.DUMMYFUNCTION("""COMPUTED_VALUE"""),"20121214CTSAN")</f>
        <v>20121214CTSAN</v>
      </c>
      <c r="B1465" s="5" t="str">
        <f ca="1">IFERROR(__xludf.DUMMYFUNCTION("""COMPUTED_VALUE"""),"Fatal")</f>
        <v>Fatal</v>
      </c>
      <c r="C1465" s="5" t="str">
        <f ca="1">IFERROR(__xludf.DUMMYFUNCTION("""COMPUTED_VALUE"""),"Female")</f>
        <v>Female</v>
      </c>
      <c r="D1465" s="5" t="str">
        <f ca="1">IFERROR(__xludf.DUMMYFUNCTION("""COMPUTED_VALUE"""),"Student")</f>
        <v>Student</v>
      </c>
      <c r="E1465" s="5">
        <f ca="1">IFERROR(__xludf.DUMMYFUNCTION("""COMPUTED_VALUE"""),6)</f>
        <v>6</v>
      </c>
      <c r="F1465" s="5" t="str">
        <f ca="1">IFERROR(__xludf.DUMMYFUNCTION("""COMPUTED_VALUE"""),"White")</f>
        <v>White</v>
      </c>
    </row>
    <row r="1466" spans="1:6" ht="13">
      <c r="A1466" s="5" t="str">
        <f ca="1">IFERROR(__xludf.DUMMYFUNCTION("""COMPUTED_VALUE"""),"20121214CTSAN")</f>
        <v>20121214CTSAN</v>
      </c>
      <c r="B1466" s="5" t="str">
        <f ca="1">IFERROR(__xludf.DUMMYFUNCTION("""COMPUTED_VALUE"""),"Fatal")</f>
        <v>Fatal</v>
      </c>
      <c r="C1466" s="5" t="str">
        <f ca="1">IFERROR(__xludf.DUMMYFUNCTION("""COMPUTED_VALUE"""),"Female")</f>
        <v>Female</v>
      </c>
      <c r="D1466" s="5" t="str">
        <f ca="1">IFERROR(__xludf.DUMMYFUNCTION("""COMPUTED_VALUE"""),"Teacher")</f>
        <v>Teacher</v>
      </c>
      <c r="E1466" s="5">
        <f ca="1">IFERROR(__xludf.DUMMYFUNCTION("""COMPUTED_VALUE"""),52)</f>
        <v>52</v>
      </c>
      <c r="F1466" s="5" t="str">
        <f ca="1">IFERROR(__xludf.DUMMYFUNCTION("""COMPUTED_VALUE"""),"White")</f>
        <v>White</v>
      </c>
    </row>
    <row r="1467" spans="1:6" ht="13">
      <c r="A1467" s="5" t="str">
        <f ca="1">IFERROR(__xludf.DUMMYFUNCTION("""COMPUTED_VALUE"""),"20121214CTSAN")</f>
        <v>20121214CTSAN</v>
      </c>
      <c r="B1467" s="5" t="str">
        <f ca="1">IFERROR(__xludf.DUMMYFUNCTION("""COMPUTED_VALUE"""),"Fatal")</f>
        <v>Fatal</v>
      </c>
      <c r="C1467" s="5" t="str">
        <f ca="1">IFERROR(__xludf.DUMMYFUNCTION("""COMPUTED_VALUE"""),"Female")</f>
        <v>Female</v>
      </c>
      <c r="D1467" s="5" t="str">
        <f ca="1">IFERROR(__xludf.DUMMYFUNCTION("""COMPUTED_VALUE"""),"Student")</f>
        <v>Student</v>
      </c>
      <c r="E1467" s="5">
        <f ca="1">IFERROR(__xludf.DUMMYFUNCTION("""COMPUTED_VALUE"""),7)</f>
        <v>7</v>
      </c>
      <c r="F1467" s="5" t="str">
        <f ca="1">IFERROR(__xludf.DUMMYFUNCTION("""COMPUTED_VALUE"""),"White")</f>
        <v>White</v>
      </c>
    </row>
    <row r="1468" spans="1:6" ht="13">
      <c r="A1468" s="5" t="str">
        <f ca="1">IFERROR(__xludf.DUMMYFUNCTION("""COMPUTED_VALUE"""),"20121214CTSAN")</f>
        <v>20121214CTSAN</v>
      </c>
      <c r="B1468" s="5" t="str">
        <f ca="1">IFERROR(__xludf.DUMMYFUNCTION("""COMPUTED_VALUE"""),"Fatal")</f>
        <v>Fatal</v>
      </c>
      <c r="C1468" s="5" t="str">
        <f ca="1">IFERROR(__xludf.DUMMYFUNCTION("""COMPUTED_VALUE"""),"Female")</f>
        <v>Female</v>
      </c>
      <c r="D1468" s="5" t="str">
        <f ca="1">IFERROR(__xludf.DUMMYFUNCTION("""COMPUTED_VALUE"""),"Student")</f>
        <v>Student</v>
      </c>
      <c r="E1468" s="5">
        <f ca="1">IFERROR(__xludf.DUMMYFUNCTION("""COMPUTED_VALUE"""),7)</f>
        <v>7</v>
      </c>
      <c r="F1468" s="5" t="str">
        <f ca="1">IFERROR(__xludf.DUMMYFUNCTION("""COMPUTED_VALUE"""),"White")</f>
        <v>White</v>
      </c>
    </row>
    <row r="1469" spans="1:6" ht="13">
      <c r="A1469" s="5" t="str">
        <f ca="1">IFERROR(__xludf.DUMMYFUNCTION("""COMPUTED_VALUE"""),"20121214CTSAN")</f>
        <v>20121214CTSAN</v>
      </c>
      <c r="B1469" s="5" t="str">
        <f ca="1">IFERROR(__xludf.DUMMYFUNCTION("""COMPUTED_VALUE"""),"Fatal")</f>
        <v>Fatal</v>
      </c>
      <c r="C1469" s="5" t="str">
        <f ca="1">IFERROR(__xludf.DUMMYFUNCTION("""COMPUTED_VALUE"""),"Male")</f>
        <v>Male</v>
      </c>
      <c r="D1469" s="5" t="str">
        <f ca="1">IFERROR(__xludf.DUMMYFUNCTION("""COMPUTED_VALUE"""),"Student")</f>
        <v>Student</v>
      </c>
      <c r="E1469" s="5">
        <f ca="1">IFERROR(__xludf.DUMMYFUNCTION("""COMPUTED_VALUE"""),7)</f>
        <v>7</v>
      </c>
      <c r="F1469" s="5"/>
    </row>
    <row r="1470" spans="1:6" ht="13">
      <c r="A1470" s="5" t="str">
        <f ca="1">IFERROR(__xludf.DUMMYFUNCTION("""COMPUTED_VALUE"""),"20121214CTSAN")</f>
        <v>20121214CTSAN</v>
      </c>
      <c r="B1470" s="5" t="str">
        <f ca="1">IFERROR(__xludf.DUMMYFUNCTION("""COMPUTED_VALUE"""),"Fatal")</f>
        <v>Fatal</v>
      </c>
      <c r="C1470" s="5" t="str">
        <f ca="1">IFERROR(__xludf.DUMMYFUNCTION("""COMPUTED_VALUE"""),"Female")</f>
        <v>Female</v>
      </c>
      <c r="D1470" s="5" t="str">
        <f ca="1">IFERROR(__xludf.DUMMYFUNCTION("""COMPUTED_VALUE"""),"Teacher")</f>
        <v>Teacher</v>
      </c>
      <c r="E1470" s="5">
        <f ca="1">IFERROR(__xludf.DUMMYFUNCTION("""COMPUTED_VALUE"""),29)</f>
        <v>29</v>
      </c>
      <c r="F1470" s="5" t="str">
        <f ca="1">IFERROR(__xludf.DUMMYFUNCTION("""COMPUTED_VALUE"""),"White")</f>
        <v>White</v>
      </c>
    </row>
    <row r="1471" spans="1:6" ht="13">
      <c r="A1471" s="5" t="str">
        <f ca="1">IFERROR(__xludf.DUMMYFUNCTION("""COMPUTED_VALUE"""),"20121214CTSAN")</f>
        <v>20121214CTSAN</v>
      </c>
      <c r="B1471" s="5" t="str">
        <f ca="1">IFERROR(__xludf.DUMMYFUNCTION("""COMPUTED_VALUE"""),"Fatal")</f>
        <v>Fatal</v>
      </c>
      <c r="C1471" s="5" t="str">
        <f ca="1">IFERROR(__xludf.DUMMYFUNCTION("""COMPUTED_VALUE"""),"Female")</f>
        <v>Female</v>
      </c>
      <c r="D1471" s="5" t="str">
        <f ca="1">IFERROR(__xludf.DUMMYFUNCTION("""COMPUTED_VALUE"""),"Student")</f>
        <v>Student</v>
      </c>
      <c r="E1471" s="5">
        <f ca="1">IFERROR(__xludf.DUMMYFUNCTION("""COMPUTED_VALUE"""),6)</f>
        <v>6</v>
      </c>
      <c r="F1471" s="5" t="str">
        <f ca="1">IFERROR(__xludf.DUMMYFUNCTION("""COMPUTED_VALUE"""),"White")</f>
        <v>White</v>
      </c>
    </row>
    <row r="1472" spans="1:6" ht="13">
      <c r="A1472" s="5" t="str">
        <f ca="1">IFERROR(__xludf.DUMMYFUNCTION("""COMPUTED_VALUE"""),"20121214CTSAN")</f>
        <v>20121214CTSAN</v>
      </c>
      <c r="B1472" s="5" t="str">
        <f ca="1">IFERROR(__xludf.DUMMYFUNCTION("""COMPUTED_VALUE"""),"Fatal")</f>
        <v>Fatal</v>
      </c>
      <c r="C1472" s="5" t="str">
        <f ca="1">IFERROR(__xludf.DUMMYFUNCTION("""COMPUTED_VALUE"""),"Female")</f>
        <v>Female</v>
      </c>
      <c r="D1472" s="5" t="str">
        <f ca="1">IFERROR(__xludf.DUMMYFUNCTION("""COMPUTED_VALUE"""),"Teacher")</f>
        <v>Teacher</v>
      </c>
      <c r="E1472" s="5">
        <f ca="1">IFERROR(__xludf.DUMMYFUNCTION("""COMPUTED_VALUE"""),30)</f>
        <v>30</v>
      </c>
      <c r="F1472" s="5" t="str">
        <f ca="1">IFERROR(__xludf.DUMMYFUNCTION("""COMPUTED_VALUE"""),"White")</f>
        <v>White</v>
      </c>
    </row>
    <row r="1473" spans="1:6" ht="13">
      <c r="A1473" s="5" t="str">
        <f ca="1">IFERROR(__xludf.DUMMYFUNCTION("""COMPUTED_VALUE"""),"20121214CTSAN")</f>
        <v>20121214CTSAN</v>
      </c>
      <c r="B1473" s="5" t="str">
        <f ca="1">IFERROR(__xludf.DUMMYFUNCTION("""COMPUTED_VALUE"""),"Fatal")</f>
        <v>Fatal</v>
      </c>
      <c r="C1473" s="5" t="str">
        <f ca="1">IFERROR(__xludf.DUMMYFUNCTION("""COMPUTED_VALUE"""),"Male")</f>
        <v>Male</v>
      </c>
      <c r="D1473" s="5" t="str">
        <f ca="1">IFERROR(__xludf.DUMMYFUNCTION("""COMPUTED_VALUE"""),"Student")</f>
        <v>Student</v>
      </c>
      <c r="E1473" s="5">
        <f ca="1">IFERROR(__xludf.DUMMYFUNCTION("""COMPUTED_VALUE"""),6)</f>
        <v>6</v>
      </c>
      <c r="F1473" s="5"/>
    </row>
    <row r="1474" spans="1:6" ht="13">
      <c r="A1474" s="5" t="str">
        <f ca="1">IFERROR(__xludf.DUMMYFUNCTION("""COMPUTED_VALUE"""),"20121214CTSAN")</f>
        <v>20121214CTSAN</v>
      </c>
      <c r="B1474" s="5" t="str">
        <f ca="1">IFERROR(__xludf.DUMMYFUNCTION("""COMPUTED_VALUE"""),"Fatal")</f>
        <v>Fatal</v>
      </c>
      <c r="C1474" s="5" t="str">
        <f ca="1">IFERROR(__xludf.DUMMYFUNCTION("""COMPUTED_VALUE"""),"Male")</f>
        <v>Male</v>
      </c>
      <c r="D1474" s="5" t="str">
        <f ca="1">IFERROR(__xludf.DUMMYFUNCTION("""COMPUTED_VALUE"""),"Student")</f>
        <v>Student</v>
      </c>
      <c r="E1474" s="5">
        <f ca="1">IFERROR(__xludf.DUMMYFUNCTION("""COMPUTED_VALUE"""),7)</f>
        <v>7</v>
      </c>
      <c r="F1474" s="5" t="str">
        <f ca="1">IFERROR(__xludf.DUMMYFUNCTION("""COMPUTED_VALUE"""),"White")</f>
        <v>White</v>
      </c>
    </row>
    <row r="1475" spans="1:6" ht="13">
      <c r="A1475" s="5" t="str">
        <f ca="1">IFERROR(__xludf.DUMMYFUNCTION("""COMPUTED_VALUE"""),"20121214CTSAN")</f>
        <v>20121214CTSAN</v>
      </c>
      <c r="B1475" s="5" t="str">
        <f ca="1">IFERROR(__xludf.DUMMYFUNCTION("""COMPUTED_VALUE"""),"Fatal")</f>
        <v>Fatal</v>
      </c>
      <c r="C1475" s="5" t="str">
        <f ca="1">IFERROR(__xludf.DUMMYFUNCTION("""COMPUTED_VALUE"""),"Female")</f>
        <v>Female</v>
      </c>
      <c r="D1475" s="5" t="str">
        <f ca="1">IFERROR(__xludf.DUMMYFUNCTION("""COMPUTED_VALUE"""),"Teacher")</f>
        <v>Teacher</v>
      </c>
      <c r="E1475" s="5">
        <f ca="1">IFERROR(__xludf.DUMMYFUNCTION("""COMPUTED_VALUE"""),27)</f>
        <v>27</v>
      </c>
      <c r="F1475" s="5" t="str">
        <f ca="1">IFERROR(__xludf.DUMMYFUNCTION("""COMPUTED_VALUE"""),"White")</f>
        <v>White</v>
      </c>
    </row>
    <row r="1476" spans="1:6" ht="13">
      <c r="A1476" s="5" t="str">
        <f ca="1">IFERROR(__xludf.DUMMYFUNCTION("""COMPUTED_VALUE"""),"20121214CTSAN")</f>
        <v>20121214CTSAN</v>
      </c>
      <c r="B1476" s="5" t="str">
        <f ca="1">IFERROR(__xludf.DUMMYFUNCTION("""COMPUTED_VALUE"""),"Fatal")</f>
        <v>Fatal</v>
      </c>
      <c r="C1476" s="5" t="str">
        <f ca="1">IFERROR(__xludf.DUMMYFUNCTION("""COMPUTED_VALUE"""),"Male")</f>
        <v>Male</v>
      </c>
      <c r="D1476" s="5" t="str">
        <f ca="1">IFERROR(__xludf.DUMMYFUNCTION("""COMPUTED_VALUE"""),"Student")</f>
        <v>Student</v>
      </c>
      <c r="E1476" s="5">
        <f ca="1">IFERROR(__xludf.DUMMYFUNCTION("""COMPUTED_VALUE"""),6)</f>
        <v>6</v>
      </c>
      <c r="F1476" s="5"/>
    </row>
    <row r="1477" spans="1:6" ht="13">
      <c r="A1477" s="5" t="str">
        <f ca="1">IFERROR(__xludf.DUMMYFUNCTION("""COMPUTED_VALUE"""),"20121214CTSAN")</f>
        <v>20121214CTSAN</v>
      </c>
      <c r="B1477" s="5" t="str">
        <f ca="1">IFERROR(__xludf.DUMMYFUNCTION("""COMPUTED_VALUE"""),"Fatal")</f>
        <v>Fatal</v>
      </c>
      <c r="C1477" s="5" t="str">
        <f ca="1">IFERROR(__xludf.DUMMYFUNCTION("""COMPUTED_VALUE"""),"Female")</f>
        <v>Female</v>
      </c>
      <c r="D1477" s="5" t="str">
        <f ca="1">IFERROR(__xludf.DUMMYFUNCTION("""COMPUTED_VALUE"""),"Student")</f>
        <v>Student</v>
      </c>
      <c r="E1477" s="5">
        <f ca="1">IFERROR(__xludf.DUMMYFUNCTION("""COMPUTED_VALUE"""),6)</f>
        <v>6</v>
      </c>
      <c r="F1477" s="5"/>
    </row>
    <row r="1478" spans="1:6" ht="13">
      <c r="A1478" s="5" t="str">
        <f ca="1">IFERROR(__xludf.DUMMYFUNCTION("""COMPUTED_VALUE"""),"20121214CTSAN")</f>
        <v>20121214CTSAN</v>
      </c>
      <c r="B1478" s="5" t="str">
        <f ca="1">IFERROR(__xludf.DUMMYFUNCTION("""COMPUTED_VALUE"""),"Fatal")</f>
        <v>Fatal</v>
      </c>
      <c r="C1478" s="5" t="str">
        <f ca="1">IFERROR(__xludf.DUMMYFUNCTION("""COMPUTED_VALUE"""),"Male")</f>
        <v>Male</v>
      </c>
      <c r="D1478" s="5" t="str">
        <f ca="1">IFERROR(__xludf.DUMMYFUNCTION("""COMPUTED_VALUE"""),"Student")</f>
        <v>Student</v>
      </c>
      <c r="E1478" s="5">
        <f ca="1">IFERROR(__xludf.DUMMYFUNCTION("""COMPUTED_VALUE"""),6)</f>
        <v>6</v>
      </c>
      <c r="F1478" s="5" t="str">
        <f ca="1">IFERROR(__xludf.DUMMYFUNCTION("""COMPUTED_VALUE"""),"White")</f>
        <v>White</v>
      </c>
    </row>
    <row r="1479" spans="1:6" ht="13">
      <c r="A1479" s="5" t="str">
        <f ca="1">IFERROR(__xludf.DUMMYFUNCTION("""COMPUTED_VALUE"""),"20121214CTSAN")</f>
        <v>20121214CTSAN</v>
      </c>
      <c r="B1479" s="5" t="str">
        <f ca="1">IFERROR(__xludf.DUMMYFUNCTION("""COMPUTED_VALUE"""),"Fatal")</f>
        <v>Fatal</v>
      </c>
      <c r="C1479" s="5" t="str">
        <f ca="1">IFERROR(__xludf.DUMMYFUNCTION("""COMPUTED_VALUE"""),"Female")</f>
        <v>Female</v>
      </c>
      <c r="D1479" s="5" t="str">
        <f ca="1">IFERROR(__xludf.DUMMYFUNCTION("""COMPUTED_VALUE"""),"Principal/Vice-Principal")</f>
        <v>Principal/Vice-Principal</v>
      </c>
      <c r="E1479" s="5">
        <f ca="1">IFERROR(__xludf.DUMMYFUNCTION("""COMPUTED_VALUE"""),47)</f>
        <v>47</v>
      </c>
      <c r="F1479" s="5" t="str">
        <f ca="1">IFERROR(__xludf.DUMMYFUNCTION("""COMPUTED_VALUE"""),"White")</f>
        <v>White</v>
      </c>
    </row>
    <row r="1480" spans="1:6" ht="13">
      <c r="A1480" s="5" t="str">
        <f ca="1">IFERROR(__xludf.DUMMYFUNCTION("""COMPUTED_VALUE"""),"20121214CTSAN")</f>
        <v>20121214CTSAN</v>
      </c>
      <c r="B1480" s="5" t="str">
        <f ca="1">IFERROR(__xludf.DUMMYFUNCTION("""COMPUTED_VALUE"""),"Fatal")</f>
        <v>Fatal</v>
      </c>
      <c r="C1480" s="5" t="str">
        <f ca="1">IFERROR(__xludf.DUMMYFUNCTION("""COMPUTED_VALUE"""),"Female")</f>
        <v>Female</v>
      </c>
      <c r="D1480" s="5" t="str">
        <f ca="1">IFERROR(__xludf.DUMMYFUNCTION("""COMPUTED_VALUE"""),"Student")</f>
        <v>Student</v>
      </c>
      <c r="E1480" s="5">
        <f ca="1">IFERROR(__xludf.DUMMYFUNCTION("""COMPUTED_VALUE"""),6)</f>
        <v>6</v>
      </c>
      <c r="F1480" s="5" t="str">
        <f ca="1">IFERROR(__xludf.DUMMYFUNCTION("""COMPUTED_VALUE"""),"White")</f>
        <v>White</v>
      </c>
    </row>
    <row r="1481" spans="1:6" ht="13">
      <c r="A1481" s="5" t="str">
        <f ca="1">IFERROR(__xludf.DUMMYFUNCTION("""COMPUTED_VALUE"""),"20121214CTSAN")</f>
        <v>20121214CTSAN</v>
      </c>
      <c r="B1481" s="5" t="str">
        <f ca="1">IFERROR(__xludf.DUMMYFUNCTION("""COMPUTED_VALUE"""),"Fatal")</f>
        <v>Fatal</v>
      </c>
      <c r="C1481" s="5" t="str">
        <f ca="1">IFERROR(__xludf.DUMMYFUNCTION("""COMPUTED_VALUE"""),"Female")</f>
        <v>Female</v>
      </c>
      <c r="D1481" s="5" t="str">
        <f ca="1">IFERROR(__xludf.DUMMYFUNCTION("""COMPUTED_VALUE"""),"Teacher")</f>
        <v>Teacher</v>
      </c>
      <c r="E1481" s="5">
        <f ca="1">IFERROR(__xludf.DUMMYFUNCTION("""COMPUTED_VALUE"""),56)</f>
        <v>56</v>
      </c>
      <c r="F1481" s="5" t="str">
        <f ca="1">IFERROR(__xludf.DUMMYFUNCTION("""COMPUTED_VALUE"""),"White")</f>
        <v>White</v>
      </c>
    </row>
    <row r="1482" spans="1:6" ht="13">
      <c r="A1482" s="5" t="str">
        <f ca="1">IFERROR(__xludf.DUMMYFUNCTION("""COMPUTED_VALUE"""),"20121214CTSAN")</f>
        <v>20121214CTSAN</v>
      </c>
      <c r="B1482" s="5" t="str">
        <f ca="1">IFERROR(__xludf.DUMMYFUNCTION("""COMPUTED_VALUE"""),"Fatal")</f>
        <v>Fatal</v>
      </c>
      <c r="C1482" s="5" t="str">
        <f ca="1">IFERROR(__xludf.DUMMYFUNCTION("""COMPUTED_VALUE"""),"Male")</f>
        <v>Male</v>
      </c>
      <c r="D1482" s="5" t="str">
        <f ca="1">IFERROR(__xludf.DUMMYFUNCTION("""COMPUTED_VALUE"""),"Student")</f>
        <v>Student</v>
      </c>
      <c r="E1482" s="5">
        <f ca="1">IFERROR(__xludf.DUMMYFUNCTION("""COMPUTED_VALUE"""),6)</f>
        <v>6</v>
      </c>
      <c r="F1482" s="5" t="str">
        <f ca="1">IFERROR(__xludf.DUMMYFUNCTION("""COMPUTED_VALUE"""),"White")</f>
        <v>White</v>
      </c>
    </row>
    <row r="1483" spans="1:6" ht="13">
      <c r="A1483" s="5" t="str">
        <f ca="1">IFERROR(__xludf.DUMMYFUNCTION("""COMPUTED_VALUE"""),"20121214CTSAN")</f>
        <v>20121214CTSAN</v>
      </c>
      <c r="B1483" s="5" t="str">
        <f ca="1">IFERROR(__xludf.DUMMYFUNCTION("""COMPUTED_VALUE"""),"Fatal")</f>
        <v>Fatal</v>
      </c>
      <c r="C1483" s="5" t="str">
        <f ca="1">IFERROR(__xludf.DUMMYFUNCTION("""COMPUTED_VALUE"""),"Female")</f>
        <v>Female</v>
      </c>
      <c r="D1483" s="5" t="str">
        <f ca="1">IFERROR(__xludf.DUMMYFUNCTION("""COMPUTED_VALUE"""),"Student")</f>
        <v>Student</v>
      </c>
      <c r="E1483" s="5">
        <f ca="1">IFERROR(__xludf.DUMMYFUNCTION("""COMPUTED_VALUE"""),6)</f>
        <v>6</v>
      </c>
      <c r="F1483" s="5" t="str">
        <f ca="1">IFERROR(__xludf.DUMMYFUNCTION("""COMPUTED_VALUE"""),"White")</f>
        <v>White</v>
      </c>
    </row>
    <row r="1484" spans="1:6" ht="13">
      <c r="A1484" s="5" t="str">
        <f ca="1">IFERROR(__xludf.DUMMYFUNCTION("""COMPUTED_VALUE"""),"20121214CTSAN")</f>
        <v>20121214CTSAN</v>
      </c>
      <c r="B1484" s="5" t="str">
        <f ca="1">IFERROR(__xludf.DUMMYFUNCTION("""COMPUTED_VALUE"""),"Fatal")</f>
        <v>Fatal</v>
      </c>
      <c r="C1484" s="5" t="str">
        <f ca="1">IFERROR(__xludf.DUMMYFUNCTION("""COMPUTED_VALUE"""),"Male")</f>
        <v>Male</v>
      </c>
      <c r="D1484" s="5" t="str">
        <f ca="1">IFERROR(__xludf.DUMMYFUNCTION("""COMPUTED_VALUE"""),"Student")</f>
        <v>Student</v>
      </c>
      <c r="E1484" s="5">
        <f ca="1">IFERROR(__xludf.DUMMYFUNCTION("""COMPUTED_VALUE"""),6)</f>
        <v>6</v>
      </c>
      <c r="F1484" s="5"/>
    </row>
    <row r="1485" spans="1:6" ht="13">
      <c r="A1485" s="5" t="str">
        <f ca="1">IFERROR(__xludf.DUMMYFUNCTION("""COMPUTED_VALUE"""),"20121214CTSAN")</f>
        <v>20121214CTSAN</v>
      </c>
      <c r="B1485" s="5" t="str">
        <f ca="1">IFERROR(__xludf.DUMMYFUNCTION("""COMPUTED_VALUE"""),"Fatal")</f>
        <v>Fatal</v>
      </c>
      <c r="C1485" s="5" t="str">
        <f ca="1">IFERROR(__xludf.DUMMYFUNCTION("""COMPUTED_VALUE"""),"Female")</f>
        <v>Female</v>
      </c>
      <c r="D1485" s="5" t="str">
        <f ca="1">IFERROR(__xludf.DUMMYFUNCTION("""COMPUTED_VALUE"""),"Student")</f>
        <v>Student</v>
      </c>
      <c r="E1485" s="5">
        <f ca="1">IFERROR(__xludf.DUMMYFUNCTION("""COMPUTED_VALUE"""),6)</f>
        <v>6</v>
      </c>
      <c r="F1485" s="5" t="str">
        <f ca="1">IFERROR(__xludf.DUMMYFUNCTION("""COMPUTED_VALUE"""),"White")</f>
        <v>White</v>
      </c>
    </row>
    <row r="1486" spans="1:6" ht="13">
      <c r="A1486" s="5" t="str">
        <f ca="1">IFERROR(__xludf.DUMMYFUNCTION("""COMPUTED_VALUE"""),"20121214CTSAN")</f>
        <v>20121214CTSAN</v>
      </c>
      <c r="B1486" s="5" t="str">
        <f ca="1">IFERROR(__xludf.DUMMYFUNCTION("""COMPUTED_VALUE"""),"Fatal")</f>
        <v>Fatal</v>
      </c>
      <c r="C1486" s="5" t="str">
        <f ca="1">IFERROR(__xludf.DUMMYFUNCTION("""COMPUTED_VALUE"""),"Male")</f>
        <v>Male</v>
      </c>
      <c r="D1486" s="5" t="str">
        <f ca="1">IFERROR(__xludf.DUMMYFUNCTION("""COMPUTED_VALUE"""),"Student")</f>
        <v>Student</v>
      </c>
      <c r="E1486" s="5">
        <f ca="1">IFERROR(__xludf.DUMMYFUNCTION("""COMPUTED_VALUE"""),6)</f>
        <v>6</v>
      </c>
      <c r="F1486" s="5" t="str">
        <f ca="1">IFERROR(__xludf.DUMMYFUNCTION("""COMPUTED_VALUE"""),"White")</f>
        <v>White</v>
      </c>
    </row>
    <row r="1487" spans="1:6" ht="13">
      <c r="A1487" s="5" t="str">
        <f ca="1">IFERROR(__xludf.DUMMYFUNCTION("""COMPUTED_VALUE"""),"20121210TXSPH")</f>
        <v>20121210TXSPH</v>
      </c>
      <c r="B1487" s="5" t="str">
        <f ca="1">IFERROR(__xludf.DUMMYFUNCTION("""COMPUTED_VALUE"""),"None")</f>
        <v>None</v>
      </c>
      <c r="C1487" s="5"/>
      <c r="D1487" s="5"/>
      <c r="E1487" s="5"/>
      <c r="F1487" s="5"/>
    </row>
    <row r="1488" spans="1:6" ht="13">
      <c r="A1488" s="5" t="str">
        <f ca="1">IFERROR(__xludf.DUMMYFUNCTION("""COMPUTED_VALUE"""),"20121019ILBAC")</f>
        <v>20121019ILBAC</v>
      </c>
      <c r="B1488" s="5" t="str">
        <f ca="1">IFERROR(__xludf.DUMMYFUNCTION("""COMPUTED_VALUE"""),"Fatal")</f>
        <v>Fatal</v>
      </c>
      <c r="C1488" s="5" t="str">
        <f ca="1">IFERROR(__xludf.DUMMYFUNCTION("""COMPUTED_VALUE"""),"Male")</f>
        <v>Male</v>
      </c>
      <c r="D1488" s="5" t="str">
        <f ca="1">IFERROR(__xludf.DUMMYFUNCTION("""COMPUTED_VALUE"""),"Student")</f>
        <v>Student</v>
      </c>
      <c r="E1488" s="5">
        <f ca="1">IFERROR(__xludf.DUMMYFUNCTION("""COMPUTED_VALUE"""),18)</f>
        <v>18</v>
      </c>
      <c r="F1488" s="5" t="str">
        <f ca="1">IFERROR(__xludf.DUMMYFUNCTION("""COMPUTED_VALUE"""),"Black")</f>
        <v>Black</v>
      </c>
    </row>
    <row r="1489" spans="1:6" ht="13">
      <c r="A1489" s="5" t="str">
        <f ca="1">IFERROR(__xludf.DUMMYFUNCTION("""COMPUTED_VALUE"""),"20121012NDFAF")</f>
        <v>20121012NDFAF</v>
      </c>
      <c r="B1489" s="5" t="str">
        <f ca="1">IFERROR(__xludf.DUMMYFUNCTION("""COMPUTED_VALUE"""),"None")</f>
        <v>None</v>
      </c>
      <c r="C1489" s="5" t="str">
        <f ca="1">IFERROR(__xludf.DUMMYFUNCTION("""COMPUTED_VALUE"""),"Male")</f>
        <v>Male</v>
      </c>
      <c r="D1489" s="5" t="str">
        <f ca="1">IFERROR(__xludf.DUMMYFUNCTION("""COMPUTED_VALUE"""),"Student")</f>
        <v>Student</v>
      </c>
      <c r="E1489" s="5">
        <f ca="1">IFERROR(__xludf.DUMMYFUNCTION("""COMPUTED_VALUE"""),14)</f>
        <v>14</v>
      </c>
      <c r="F1489" s="5"/>
    </row>
    <row r="1490" spans="1:6" ht="13">
      <c r="A1490" s="5" t="str">
        <f ca="1">IFERROR(__xludf.DUMMYFUNCTION("""COMPUTED_VALUE"""),"20120926OKSTS")</f>
        <v>20120926OKSTS</v>
      </c>
      <c r="B1490" s="5" t="str">
        <f ca="1">IFERROR(__xludf.DUMMYFUNCTION("""COMPUTED_VALUE"""),"None")</f>
        <v>None</v>
      </c>
      <c r="C1490" s="5" t="str">
        <f ca="1">IFERROR(__xludf.DUMMYFUNCTION("""COMPUTED_VALUE"""),"Male")</f>
        <v>Male</v>
      </c>
      <c r="D1490" s="5" t="str">
        <f ca="1">IFERROR(__xludf.DUMMYFUNCTION("""COMPUTED_VALUE"""),"Student")</f>
        <v>Student</v>
      </c>
      <c r="E1490" s="5">
        <f ca="1">IFERROR(__xludf.DUMMYFUNCTION("""COMPUTED_VALUE"""),13)</f>
        <v>13</v>
      </c>
      <c r="F1490" s="5" t="str">
        <f ca="1">IFERROR(__xludf.DUMMYFUNCTION("""COMPUTED_VALUE"""),"White")</f>
        <v>White</v>
      </c>
    </row>
    <row r="1491" spans="1:6" ht="13">
      <c r="A1491" s="5" t="str">
        <f ca="1">IFERROR(__xludf.DUMMYFUNCTION("""COMPUTED_VALUE"""),"20120907ILNON")</f>
        <v>20120907ILNON</v>
      </c>
      <c r="B1491" s="5" t="str">
        <f ca="1">IFERROR(__xludf.DUMMYFUNCTION("""COMPUTED_VALUE"""),"None")</f>
        <v>None</v>
      </c>
      <c r="C1491" s="5"/>
      <c r="D1491" s="5"/>
      <c r="E1491" s="5"/>
      <c r="F1491" s="5"/>
    </row>
    <row r="1492" spans="1:6" ht="13">
      <c r="A1492" s="5" t="str">
        <f ca="1">IFERROR(__xludf.DUMMYFUNCTION("""COMPUTED_VALUE"""),"20120827MDPEP")</f>
        <v>20120827MDPEP</v>
      </c>
      <c r="B1492" s="5" t="str">
        <f ca="1">IFERROR(__xludf.DUMMYFUNCTION("""COMPUTED_VALUE"""),"Wounded")</f>
        <v>Wounded</v>
      </c>
      <c r="C1492" s="5" t="str">
        <f ca="1">IFERROR(__xludf.DUMMYFUNCTION("""COMPUTED_VALUE"""),"Male")</f>
        <v>Male</v>
      </c>
      <c r="D1492" s="5" t="str">
        <f ca="1">IFERROR(__xludf.DUMMYFUNCTION("""COMPUTED_VALUE"""),"Student")</f>
        <v>Student</v>
      </c>
      <c r="E1492" s="5">
        <f ca="1">IFERROR(__xludf.DUMMYFUNCTION("""COMPUTED_VALUE"""),17)</f>
        <v>17</v>
      </c>
      <c r="F1492" s="5" t="str">
        <f ca="1">IFERROR(__xludf.DUMMYFUNCTION("""COMPUTED_VALUE"""),"White")</f>
        <v>White</v>
      </c>
    </row>
    <row r="1493" spans="1:6" ht="13">
      <c r="A1493" s="5" t="str">
        <f ca="1">IFERROR(__xludf.DUMMYFUNCTION("""COMPUTED_VALUE"""),"20120824GABAH")</f>
        <v>20120824GABAH</v>
      </c>
      <c r="B1493" s="5" t="str">
        <f ca="1">IFERROR(__xludf.DUMMYFUNCTION("""COMPUTED_VALUE"""),"None")</f>
        <v>None</v>
      </c>
      <c r="C1493" s="5" t="str">
        <f ca="1">IFERROR(__xludf.DUMMYFUNCTION("""COMPUTED_VALUE"""),"Male")</f>
        <v>Male</v>
      </c>
      <c r="D1493" s="5" t="str">
        <f ca="1">IFERROR(__xludf.DUMMYFUNCTION("""COMPUTED_VALUE"""),"Student")</f>
        <v>Student</v>
      </c>
      <c r="E1493" s="5">
        <f ca="1">IFERROR(__xludf.DUMMYFUNCTION("""COMPUTED_VALUE"""),15)</f>
        <v>15</v>
      </c>
      <c r="F1493" s="5"/>
    </row>
    <row r="1494" spans="1:6" ht="13">
      <c r="A1494" s="5" t="str">
        <f ca="1">IFERROR(__xludf.DUMMYFUNCTION("""COMPUTED_VALUE"""),"20120816TNHAM")</f>
        <v>20120816TNHAM</v>
      </c>
      <c r="B1494" s="5" t="str">
        <f ca="1">IFERROR(__xludf.DUMMYFUNCTION("""COMPUTED_VALUE"""),"None")</f>
        <v>None</v>
      </c>
      <c r="C1494" s="5"/>
      <c r="D1494" s="5" t="str">
        <f ca="1">IFERROR(__xludf.DUMMYFUNCTION("""COMPUTED_VALUE"""),"Student")</f>
        <v>Student</v>
      </c>
      <c r="E1494" s="5" t="str">
        <f ca="1">IFERROR(__xludf.DUMMYFUNCTION("""COMPUTED_VALUE"""),"Teen")</f>
        <v>Teen</v>
      </c>
      <c r="F1494" s="5"/>
    </row>
    <row r="1495" spans="1:6" ht="13">
      <c r="A1495" s="5" t="str">
        <f ca="1">IFERROR(__xludf.DUMMYFUNCTION("""COMPUTED_VALUE"""),"20120816TNHAM")</f>
        <v>20120816TNHAM</v>
      </c>
      <c r="B1495" s="5" t="str">
        <f ca="1">IFERROR(__xludf.DUMMYFUNCTION("""COMPUTED_VALUE"""),"None")</f>
        <v>None</v>
      </c>
      <c r="C1495" s="5"/>
      <c r="D1495" s="5" t="str">
        <f ca="1">IFERROR(__xludf.DUMMYFUNCTION("""COMPUTED_VALUE"""),"Student")</f>
        <v>Student</v>
      </c>
      <c r="E1495" s="5" t="str">
        <f ca="1">IFERROR(__xludf.DUMMYFUNCTION("""COMPUTED_VALUE"""),"Teen")</f>
        <v>Teen</v>
      </c>
      <c r="F1495" s="5"/>
    </row>
    <row r="1496" spans="1:6" ht="13">
      <c r="A1496" s="5" t="str">
        <f ca="1">IFERROR(__xludf.DUMMYFUNCTION("""COMPUTED_VALUE"""),"20120706RINAP")</f>
        <v>20120706RINAP</v>
      </c>
      <c r="B1496" s="5" t="str">
        <f ca="1">IFERROR(__xludf.DUMMYFUNCTION("""COMPUTED_VALUE"""),"Fatal")</f>
        <v>Fatal</v>
      </c>
      <c r="C1496" s="5" t="str">
        <f ca="1">IFERROR(__xludf.DUMMYFUNCTION("""COMPUTED_VALUE"""),"Male")</f>
        <v>Male</v>
      </c>
      <c r="D1496" s="5" t="str">
        <f ca="1">IFERROR(__xludf.DUMMYFUNCTION("""COMPUTED_VALUE"""),"No Relation")</f>
        <v>No Relation</v>
      </c>
      <c r="E1496" s="5">
        <f ca="1">IFERROR(__xludf.DUMMYFUNCTION("""COMPUTED_VALUE"""),20)</f>
        <v>20</v>
      </c>
      <c r="F1496" s="5" t="str">
        <f ca="1">IFERROR(__xludf.DUMMYFUNCTION("""COMPUTED_VALUE"""),"Black")</f>
        <v>Black</v>
      </c>
    </row>
    <row r="1497" spans="1:6" ht="13">
      <c r="A1497" s="5" t="str">
        <f ca="1">IFERROR(__xludf.DUMMYFUNCTION("""COMPUTED_VALUE"""),"20120525NCMAC")</f>
        <v>20120525NCMAC</v>
      </c>
      <c r="B1497" s="5" t="str">
        <f ca="1">IFERROR(__xludf.DUMMYFUNCTION("""COMPUTED_VALUE"""),"Fatal")</f>
        <v>Fatal</v>
      </c>
      <c r="C1497" s="5" t="str">
        <f ca="1">IFERROR(__xludf.DUMMYFUNCTION("""COMPUTED_VALUE"""),"Female")</f>
        <v>Female</v>
      </c>
      <c r="D1497" s="5" t="str">
        <f ca="1">IFERROR(__xludf.DUMMYFUNCTION("""COMPUTED_VALUE"""),"Parent")</f>
        <v>Parent</v>
      </c>
      <c r="E1497" s="5">
        <f ca="1">IFERROR(__xludf.DUMMYFUNCTION("""COMPUTED_VALUE"""),40)</f>
        <v>40</v>
      </c>
      <c r="F1497" s="5" t="str">
        <f ca="1">IFERROR(__xludf.DUMMYFUNCTION("""COMPUTED_VALUE"""),"White")</f>
        <v>White</v>
      </c>
    </row>
    <row r="1498" spans="1:6" ht="13">
      <c r="A1498" s="5" t="str">
        <f ca="1">IFERROR(__xludf.DUMMYFUNCTION("""COMPUTED_VALUE"""),"20120525AZWEA")</f>
        <v>20120525AZWEA</v>
      </c>
      <c r="B1498" s="5" t="str">
        <f ca="1">IFERROR(__xludf.DUMMYFUNCTION("""COMPUTED_VALUE"""),"Fatal")</f>
        <v>Fatal</v>
      </c>
      <c r="C1498" s="5" t="str">
        <f ca="1">IFERROR(__xludf.DUMMYFUNCTION("""COMPUTED_VALUE"""),"Female")</f>
        <v>Female</v>
      </c>
      <c r="D1498" s="5" t="str">
        <f ca="1">IFERROR(__xludf.DUMMYFUNCTION("""COMPUTED_VALUE"""),"Parent")</f>
        <v>Parent</v>
      </c>
      <c r="E1498" s="5">
        <f ca="1">IFERROR(__xludf.DUMMYFUNCTION("""COMPUTED_VALUE"""),34)</f>
        <v>34</v>
      </c>
      <c r="F1498" s="5" t="str">
        <f ca="1">IFERROR(__xludf.DUMMYFUNCTION("""COMPUTED_VALUE"""),"Black")</f>
        <v>Black</v>
      </c>
    </row>
    <row r="1499" spans="1:6" ht="13">
      <c r="A1499" s="5" t="str">
        <f ca="1">IFERROR(__xludf.DUMMYFUNCTION("""COMPUTED_VALUE"""),"20120401ARKIR")</f>
        <v>20120401ARKIR</v>
      </c>
      <c r="B1499" s="5" t="str">
        <f ca="1">IFERROR(__xludf.DUMMYFUNCTION("""COMPUTED_VALUE"""),"Wounded")</f>
        <v>Wounded</v>
      </c>
      <c r="C1499" s="5" t="str">
        <f ca="1">IFERROR(__xludf.DUMMYFUNCTION("""COMPUTED_VALUE"""),"Male")</f>
        <v>Male</v>
      </c>
      <c r="D1499" s="5" t="str">
        <f ca="1">IFERROR(__xludf.DUMMYFUNCTION("""COMPUTED_VALUE"""),"Unknown")</f>
        <v>Unknown</v>
      </c>
      <c r="E1499" s="5">
        <f ca="1">IFERROR(__xludf.DUMMYFUNCTION("""COMPUTED_VALUE"""),18)</f>
        <v>18</v>
      </c>
      <c r="F1499" s="5"/>
    </row>
    <row r="1500" spans="1:6" ht="13">
      <c r="A1500" s="5" t="str">
        <f ca="1">IFERROR(__xludf.DUMMYFUNCTION("""COMPUTED_VALUE"""),"20120315ALLEM")</f>
        <v>20120315ALLEM</v>
      </c>
      <c r="B1500" s="5" t="str">
        <f ca="1">IFERROR(__xludf.DUMMYFUNCTION("""COMPUTED_VALUE"""),"None")</f>
        <v>None</v>
      </c>
      <c r="C1500" s="5" t="str">
        <f ca="1">IFERROR(__xludf.DUMMYFUNCTION("""COMPUTED_VALUE"""),"Male")</f>
        <v>Male</v>
      </c>
      <c r="D1500" s="5" t="str">
        <f ca="1">IFERROR(__xludf.DUMMYFUNCTION("""COMPUTED_VALUE"""),"Student")</f>
        <v>Student</v>
      </c>
      <c r="E1500" s="5" t="str">
        <f ca="1">IFERROR(__xludf.DUMMYFUNCTION("""COMPUTED_VALUE"""),"Teen")</f>
        <v>Teen</v>
      </c>
      <c r="F1500" s="5"/>
    </row>
    <row r="1501" spans="1:6" ht="13">
      <c r="A1501" s="5" t="str">
        <f ca="1">IFERROR(__xludf.DUMMYFUNCTION("""COMPUTED_VALUE"""),"20120306FLEPJ")</f>
        <v>20120306FLEPJ</v>
      </c>
      <c r="B1501" s="5" t="str">
        <f ca="1">IFERROR(__xludf.DUMMYFUNCTION("""COMPUTED_VALUE"""),"Fatal")</f>
        <v>Fatal</v>
      </c>
      <c r="C1501" s="5" t="str">
        <f ca="1">IFERROR(__xludf.DUMMYFUNCTION("""COMPUTED_VALUE"""),"Female")</f>
        <v>Female</v>
      </c>
      <c r="D1501" s="5" t="str">
        <f ca="1">IFERROR(__xludf.DUMMYFUNCTION("""COMPUTED_VALUE"""),"Principal/Vice-Principal")</f>
        <v>Principal/Vice-Principal</v>
      </c>
      <c r="E1501" s="5">
        <f ca="1">IFERROR(__xludf.DUMMYFUNCTION("""COMPUTED_VALUE"""),63)</f>
        <v>63</v>
      </c>
      <c r="F1501" s="5" t="str">
        <f ca="1">IFERROR(__xludf.DUMMYFUNCTION("""COMPUTED_VALUE"""),"White")</f>
        <v>White</v>
      </c>
    </row>
    <row r="1502" spans="1:6" ht="13">
      <c r="A1502" s="5" t="str">
        <f ca="1">IFERROR(__xludf.DUMMYFUNCTION("""COMPUTED_VALUE"""),"20120227OHCHC")</f>
        <v>20120227OHCHC</v>
      </c>
      <c r="B1502" s="5" t="str">
        <f ca="1">IFERROR(__xludf.DUMMYFUNCTION("""COMPUTED_VALUE"""),"Wounded")</f>
        <v>Wounded</v>
      </c>
      <c r="C1502" s="5" t="str">
        <f ca="1">IFERROR(__xludf.DUMMYFUNCTION("""COMPUTED_VALUE"""),"Male")</f>
        <v>Male</v>
      </c>
      <c r="D1502" s="5" t="str">
        <f ca="1">IFERROR(__xludf.DUMMYFUNCTION("""COMPUTED_VALUE"""),"Student")</f>
        <v>Student</v>
      </c>
      <c r="E1502" s="5">
        <f ca="1">IFERROR(__xludf.DUMMYFUNCTION("""COMPUTED_VALUE"""),17)</f>
        <v>17</v>
      </c>
      <c r="F1502" s="5"/>
    </row>
    <row r="1503" spans="1:6" ht="13">
      <c r="A1503" s="5" t="str">
        <f ca="1">IFERROR(__xludf.DUMMYFUNCTION("""COMPUTED_VALUE"""),"20120227OHCHC")</f>
        <v>20120227OHCHC</v>
      </c>
      <c r="B1503" s="5" t="str">
        <f ca="1">IFERROR(__xludf.DUMMYFUNCTION("""COMPUTED_VALUE"""),"Wounded")</f>
        <v>Wounded</v>
      </c>
      <c r="C1503" s="5" t="str">
        <f ca="1">IFERROR(__xludf.DUMMYFUNCTION("""COMPUTED_VALUE"""),"Male")</f>
        <v>Male</v>
      </c>
      <c r="D1503" s="5" t="str">
        <f ca="1">IFERROR(__xludf.DUMMYFUNCTION("""COMPUTED_VALUE"""),"Student")</f>
        <v>Student</v>
      </c>
      <c r="E1503" s="5">
        <f ca="1">IFERROR(__xludf.DUMMYFUNCTION("""COMPUTED_VALUE"""),18)</f>
        <v>18</v>
      </c>
      <c r="F1503" s="5"/>
    </row>
    <row r="1504" spans="1:6" ht="13">
      <c r="A1504" s="5" t="str">
        <f ca="1">IFERROR(__xludf.DUMMYFUNCTION("""COMPUTED_VALUE"""),"20120227OHCHC")</f>
        <v>20120227OHCHC</v>
      </c>
      <c r="B1504" s="5" t="str">
        <f ca="1">IFERROR(__xludf.DUMMYFUNCTION("""COMPUTED_VALUE"""),"Wounded")</f>
        <v>Wounded</v>
      </c>
      <c r="C1504" s="5" t="str">
        <f ca="1">IFERROR(__xludf.DUMMYFUNCTION("""COMPUTED_VALUE"""),"Male")</f>
        <v>Male</v>
      </c>
      <c r="D1504" s="5" t="str">
        <f ca="1">IFERROR(__xludf.DUMMYFUNCTION("""COMPUTED_VALUE"""),"Student")</f>
        <v>Student</v>
      </c>
      <c r="E1504" s="5" t="str">
        <f ca="1">IFERROR(__xludf.DUMMYFUNCTION("""COMPUTED_VALUE"""),"Teen")</f>
        <v>Teen</v>
      </c>
      <c r="F1504" s="5"/>
    </row>
    <row r="1505" spans="1:6" ht="13">
      <c r="A1505" s="5" t="str">
        <f ca="1">IFERROR(__xludf.DUMMYFUNCTION("""COMPUTED_VALUE"""),"20120227OHCHC")</f>
        <v>20120227OHCHC</v>
      </c>
      <c r="B1505" s="5" t="str">
        <f ca="1">IFERROR(__xludf.DUMMYFUNCTION("""COMPUTED_VALUE"""),"Fatal")</f>
        <v>Fatal</v>
      </c>
      <c r="C1505" s="5" t="str">
        <f ca="1">IFERROR(__xludf.DUMMYFUNCTION("""COMPUTED_VALUE"""),"Male")</f>
        <v>Male</v>
      </c>
      <c r="D1505" s="5" t="str">
        <f ca="1">IFERROR(__xludf.DUMMYFUNCTION("""COMPUTED_VALUE"""),"Student")</f>
        <v>Student</v>
      </c>
      <c r="E1505" s="5">
        <f ca="1">IFERROR(__xludf.DUMMYFUNCTION("""COMPUTED_VALUE"""),16)</f>
        <v>16</v>
      </c>
      <c r="F1505" s="5"/>
    </row>
    <row r="1506" spans="1:6" ht="13">
      <c r="A1506" s="5" t="str">
        <f ca="1">IFERROR(__xludf.DUMMYFUNCTION("""COMPUTED_VALUE"""),"20120227OHCHC")</f>
        <v>20120227OHCHC</v>
      </c>
      <c r="B1506" s="5" t="str">
        <f ca="1">IFERROR(__xludf.DUMMYFUNCTION("""COMPUTED_VALUE"""),"Fatal")</f>
        <v>Fatal</v>
      </c>
      <c r="C1506" s="5" t="str">
        <f ca="1">IFERROR(__xludf.DUMMYFUNCTION("""COMPUTED_VALUE"""),"Male")</f>
        <v>Male</v>
      </c>
      <c r="D1506" s="5" t="str">
        <f ca="1">IFERROR(__xludf.DUMMYFUNCTION("""COMPUTED_VALUE"""),"Student")</f>
        <v>Student</v>
      </c>
      <c r="E1506" s="5">
        <f ca="1">IFERROR(__xludf.DUMMYFUNCTION("""COMPUTED_VALUE"""),16)</f>
        <v>16</v>
      </c>
      <c r="F1506" s="5"/>
    </row>
    <row r="1507" spans="1:6" ht="13">
      <c r="A1507" s="5" t="str">
        <f ca="1">IFERROR(__xludf.DUMMYFUNCTION("""COMPUTED_VALUE"""),"20120227OHCHC")</f>
        <v>20120227OHCHC</v>
      </c>
      <c r="B1507" s="5" t="str">
        <f ca="1">IFERROR(__xludf.DUMMYFUNCTION("""COMPUTED_VALUE"""),"Fatal")</f>
        <v>Fatal</v>
      </c>
      <c r="C1507" s="5" t="str">
        <f ca="1">IFERROR(__xludf.DUMMYFUNCTION("""COMPUTED_VALUE"""),"Male")</f>
        <v>Male</v>
      </c>
      <c r="D1507" s="5" t="str">
        <f ca="1">IFERROR(__xludf.DUMMYFUNCTION("""COMPUTED_VALUE"""),"Student")</f>
        <v>Student</v>
      </c>
      <c r="E1507" s="5" t="str">
        <f ca="1">IFERROR(__xludf.DUMMYFUNCTION("""COMPUTED_VALUE"""),"Teen")</f>
        <v>Teen</v>
      </c>
      <c r="F1507" s="5"/>
    </row>
    <row r="1508" spans="1:6" ht="13">
      <c r="A1508" s="5" t="str">
        <f ca="1">IFERROR(__xludf.DUMMYFUNCTION("""COMPUTED_VALUE"""),"20120222WAARB")</f>
        <v>20120222WAARB</v>
      </c>
      <c r="B1508" s="5" t="str">
        <f ca="1">IFERROR(__xludf.DUMMYFUNCTION("""COMPUTED_VALUE"""),"Wounded")</f>
        <v>Wounded</v>
      </c>
      <c r="C1508" s="5" t="str">
        <f ca="1">IFERROR(__xludf.DUMMYFUNCTION("""COMPUTED_VALUE"""),"Female")</f>
        <v>Female</v>
      </c>
      <c r="D1508" s="5" t="str">
        <f ca="1">IFERROR(__xludf.DUMMYFUNCTION("""COMPUTED_VALUE"""),"Student")</f>
        <v>Student</v>
      </c>
      <c r="E1508" s="5">
        <f ca="1">IFERROR(__xludf.DUMMYFUNCTION("""COMPUTED_VALUE"""),8)</f>
        <v>8</v>
      </c>
      <c r="F1508" s="5" t="str">
        <f ca="1">IFERROR(__xludf.DUMMYFUNCTION("""COMPUTED_VALUE"""),"Hispanic")</f>
        <v>Hispanic</v>
      </c>
    </row>
    <row r="1509" spans="1:6" ht="13">
      <c r="A1509" s="5" t="str">
        <f ca="1">IFERROR(__xludf.DUMMYFUNCTION("""COMPUTED_VALUE"""),"20120210NHWAW")</f>
        <v>20120210NHWAW</v>
      </c>
      <c r="B1509" s="5" t="str">
        <f ca="1">IFERROR(__xludf.DUMMYFUNCTION("""COMPUTED_VALUE"""),"None")</f>
        <v>None</v>
      </c>
      <c r="C1509" s="5" t="str">
        <f ca="1">IFERROR(__xludf.DUMMYFUNCTION("""COMPUTED_VALUE"""),"Male")</f>
        <v>Male</v>
      </c>
      <c r="D1509" s="5" t="str">
        <f ca="1">IFERROR(__xludf.DUMMYFUNCTION("""COMPUTED_VALUE"""),"Student")</f>
        <v>Student</v>
      </c>
      <c r="E1509" s="5">
        <f ca="1">IFERROR(__xludf.DUMMYFUNCTION("""COMPUTED_VALUE"""),14)</f>
        <v>14</v>
      </c>
      <c r="F1509" s="5" t="str">
        <f ca="1">IFERROR(__xludf.DUMMYFUNCTION("""COMPUTED_VALUE"""),"White")</f>
        <v>White</v>
      </c>
    </row>
    <row r="1510" spans="1:6" ht="13">
      <c r="A1510" s="5" t="str">
        <f ca="1">IFERROR(__xludf.DUMMYFUNCTION("""COMPUTED_VALUE"""),"20120110TXNOH")</f>
        <v>20120110TXNOH</v>
      </c>
      <c r="B1510" s="5" t="str">
        <f ca="1">IFERROR(__xludf.DUMMYFUNCTION("""COMPUTED_VALUE"""),"Wounded")</f>
        <v>Wounded</v>
      </c>
      <c r="C1510" s="5" t="str">
        <f ca="1">IFERROR(__xludf.DUMMYFUNCTION("""COMPUTED_VALUE"""),"Male")</f>
        <v>Male</v>
      </c>
      <c r="D1510" s="5" t="str">
        <f ca="1">IFERROR(__xludf.DUMMYFUNCTION("""COMPUTED_VALUE"""),"Student")</f>
        <v>Student</v>
      </c>
      <c r="E1510" s="5">
        <f ca="1">IFERROR(__xludf.DUMMYFUNCTION("""COMPUTED_VALUE"""),16)</f>
        <v>16</v>
      </c>
      <c r="F1510" s="5" t="str">
        <f ca="1">IFERROR(__xludf.DUMMYFUNCTION("""COMPUTED_VALUE"""),"Black")</f>
        <v>Black</v>
      </c>
    </row>
    <row r="1511" spans="1:6" ht="13">
      <c r="A1511" s="5" t="str">
        <f ca="1">IFERROR(__xludf.DUMMYFUNCTION("""COMPUTED_VALUE"""),"20120104TXCUB")</f>
        <v>20120104TXCUB</v>
      </c>
      <c r="B1511" s="5" t="str">
        <f ca="1">IFERROR(__xludf.DUMMYFUNCTION("""COMPUTED_VALUE"""),"None")</f>
        <v>None</v>
      </c>
      <c r="C1511" s="5" t="str">
        <f ca="1">IFERROR(__xludf.DUMMYFUNCTION("""COMPUTED_VALUE"""),"Male")</f>
        <v>Male</v>
      </c>
      <c r="D1511" s="5" t="str">
        <f ca="1">IFERROR(__xludf.DUMMYFUNCTION("""COMPUTED_VALUE"""),"Student")</f>
        <v>Student</v>
      </c>
      <c r="E1511" s="5" t="str">
        <f ca="1">IFERROR(__xludf.DUMMYFUNCTION("""COMPUTED_VALUE"""),"Child")</f>
        <v>Child</v>
      </c>
      <c r="F1511" s="5"/>
    </row>
    <row r="1512" spans="1:6" ht="13">
      <c r="A1512" s="5" t="str">
        <f ca="1">IFERROR(__xludf.DUMMYFUNCTION("""COMPUTED_VALUE"""),"20111228MINOF")</f>
        <v>20111228MINOF</v>
      </c>
      <c r="B1512" s="5" t="str">
        <f ca="1">IFERROR(__xludf.DUMMYFUNCTION("""COMPUTED_VALUE"""),"Wounded")</f>
        <v>Wounded</v>
      </c>
      <c r="C1512" s="5" t="str">
        <f ca="1">IFERROR(__xludf.DUMMYFUNCTION("""COMPUTED_VALUE"""),"Male")</f>
        <v>Male</v>
      </c>
      <c r="D1512" s="5" t="str">
        <f ca="1">IFERROR(__xludf.DUMMYFUNCTION("""COMPUTED_VALUE"""),"Unknown")</f>
        <v>Unknown</v>
      </c>
      <c r="E1512" s="5"/>
      <c r="F1512" s="5"/>
    </row>
    <row r="1513" spans="1:6" ht="13">
      <c r="A1513" s="5" t="str">
        <f ca="1">IFERROR(__xludf.DUMMYFUNCTION("""COMPUTED_VALUE"""),"20111212TXHAE")</f>
        <v>20111212TXHAE</v>
      </c>
      <c r="B1513" s="5" t="str">
        <f ca="1">IFERROR(__xludf.DUMMYFUNCTION("""COMPUTED_VALUE"""),"Wounded")</f>
        <v>Wounded</v>
      </c>
      <c r="C1513" s="5" t="str">
        <f ca="1">IFERROR(__xludf.DUMMYFUNCTION("""COMPUTED_VALUE"""),"Male")</f>
        <v>Male</v>
      </c>
      <c r="D1513" s="5" t="str">
        <f ca="1">IFERROR(__xludf.DUMMYFUNCTION("""COMPUTED_VALUE"""),"Student")</f>
        <v>Student</v>
      </c>
      <c r="E1513" s="5">
        <f ca="1">IFERROR(__xludf.DUMMYFUNCTION("""COMPUTED_VALUE"""),13)</f>
        <v>13</v>
      </c>
      <c r="F1513" s="5" t="str">
        <f ca="1">IFERROR(__xludf.DUMMYFUNCTION("""COMPUTED_VALUE"""),"White")</f>
        <v>White</v>
      </c>
    </row>
    <row r="1514" spans="1:6" ht="13">
      <c r="A1514" s="5" t="str">
        <f ca="1">IFERROR(__xludf.DUMMYFUNCTION("""COMPUTED_VALUE"""),"20111212TXHAE")</f>
        <v>20111212TXHAE</v>
      </c>
      <c r="B1514" s="5" t="str">
        <f ca="1">IFERROR(__xludf.DUMMYFUNCTION("""COMPUTED_VALUE"""),"Wounded")</f>
        <v>Wounded</v>
      </c>
      <c r="C1514" s="5" t="str">
        <f ca="1">IFERROR(__xludf.DUMMYFUNCTION("""COMPUTED_VALUE"""),"Male")</f>
        <v>Male</v>
      </c>
      <c r="D1514" s="5" t="str">
        <f ca="1">IFERROR(__xludf.DUMMYFUNCTION("""COMPUTED_VALUE"""),"Student")</f>
        <v>Student</v>
      </c>
      <c r="E1514" s="5">
        <f ca="1">IFERROR(__xludf.DUMMYFUNCTION("""COMPUTED_VALUE"""),14)</f>
        <v>14</v>
      </c>
      <c r="F1514" s="5" t="str">
        <f ca="1">IFERROR(__xludf.DUMMYFUNCTION("""COMPUTED_VALUE"""),"White")</f>
        <v>White</v>
      </c>
    </row>
    <row r="1515" spans="1:6" ht="13">
      <c r="A1515" s="5" t="str">
        <f ca="1">IFERROR(__xludf.DUMMYFUNCTION("""COMPUTED_VALUE"""),"20111024NCCAF")</f>
        <v>20111024NCCAF</v>
      </c>
      <c r="B1515" s="5" t="str">
        <f ca="1">IFERROR(__xludf.DUMMYFUNCTION("""COMPUTED_VALUE"""),"Wounded")</f>
        <v>Wounded</v>
      </c>
      <c r="C1515" s="5" t="str">
        <f ca="1">IFERROR(__xludf.DUMMYFUNCTION("""COMPUTED_VALUE"""),"Female")</f>
        <v>Female</v>
      </c>
      <c r="D1515" s="5" t="str">
        <f ca="1">IFERROR(__xludf.DUMMYFUNCTION("""COMPUTED_VALUE"""),"Student")</f>
        <v>Student</v>
      </c>
      <c r="E1515" s="5">
        <f ca="1">IFERROR(__xludf.DUMMYFUNCTION("""COMPUTED_VALUE"""),15)</f>
        <v>15</v>
      </c>
      <c r="F1515" s="5" t="str">
        <f ca="1">IFERROR(__xludf.DUMMYFUNCTION("""COMPUTED_VALUE"""),"White")</f>
        <v>White</v>
      </c>
    </row>
    <row r="1516" spans="1:6" ht="13">
      <c r="A1516" s="5" t="str">
        <f ca="1">IFERROR(__xludf.DUMMYFUNCTION("""COMPUTED_VALUE"""),"20110930ORWIP")</f>
        <v>20110930ORWIP</v>
      </c>
      <c r="B1516" s="5" t="str">
        <f ca="1">IFERROR(__xludf.DUMMYFUNCTION("""COMPUTED_VALUE"""),"None")</f>
        <v>None</v>
      </c>
      <c r="C1516" s="5"/>
      <c r="D1516" s="5"/>
      <c r="E1516" s="5"/>
      <c r="F1516" s="5"/>
    </row>
    <row r="1517" spans="1:6" ht="13">
      <c r="A1517" s="5" t="str">
        <f ca="1">IFERROR(__xludf.DUMMYFUNCTION("""COMPUTED_VALUE"""),"20110930NCGAC")</f>
        <v>20110930NCGAC</v>
      </c>
      <c r="B1517" s="5" t="str">
        <f ca="1">IFERROR(__xludf.DUMMYFUNCTION("""COMPUTED_VALUE"""),"Wounded")</f>
        <v>Wounded</v>
      </c>
      <c r="C1517" s="5" t="str">
        <f ca="1">IFERROR(__xludf.DUMMYFUNCTION("""COMPUTED_VALUE"""),"Male")</f>
        <v>Male</v>
      </c>
      <c r="D1517" s="5" t="str">
        <f ca="1">IFERROR(__xludf.DUMMYFUNCTION("""COMPUTED_VALUE"""),"Former Student")</f>
        <v>Former Student</v>
      </c>
      <c r="E1517" s="5">
        <f ca="1">IFERROR(__xludf.DUMMYFUNCTION("""COMPUTED_VALUE"""),17)</f>
        <v>17</v>
      </c>
      <c r="F1517" s="5"/>
    </row>
    <row r="1518" spans="1:6" ht="13">
      <c r="A1518" s="5" t="str">
        <f ca="1">IFERROR(__xludf.DUMMYFUNCTION("""COMPUTED_VALUE"""),"20110923WAISS")</f>
        <v>20110923WAISS</v>
      </c>
      <c r="B1518" s="5" t="str">
        <f ca="1">IFERROR(__xludf.DUMMYFUNCTION("""COMPUTED_VALUE"""),"None")</f>
        <v>None</v>
      </c>
      <c r="C1518" s="5" t="str">
        <f ca="1">IFERROR(__xludf.DUMMYFUNCTION("""COMPUTED_VALUE"""),"Male")</f>
        <v>Male</v>
      </c>
      <c r="D1518" s="5" t="str">
        <f ca="1">IFERROR(__xludf.DUMMYFUNCTION("""COMPUTED_VALUE"""),"No Relation")</f>
        <v>No Relation</v>
      </c>
      <c r="E1518" s="5">
        <f ca="1">IFERROR(__xludf.DUMMYFUNCTION("""COMPUTED_VALUE"""),51)</f>
        <v>51</v>
      </c>
      <c r="F1518" s="5"/>
    </row>
    <row r="1519" spans="1:6" ht="13">
      <c r="A1519" s="5" t="str">
        <f ca="1">IFERROR(__xludf.DUMMYFUNCTION("""COMPUTED_VALUE"""),"20110523HIHIP")</f>
        <v>20110523HIHIP</v>
      </c>
      <c r="B1519" s="5" t="str">
        <f ca="1">IFERROR(__xludf.DUMMYFUNCTION("""COMPUTED_VALUE"""),"Wounded")</f>
        <v>Wounded</v>
      </c>
      <c r="C1519" s="5" t="str">
        <f ca="1">IFERROR(__xludf.DUMMYFUNCTION("""COMPUTED_VALUE"""),"Male")</f>
        <v>Male</v>
      </c>
      <c r="D1519" s="5" t="str">
        <f ca="1">IFERROR(__xludf.DUMMYFUNCTION("""COMPUTED_VALUE"""),"Student")</f>
        <v>Student</v>
      </c>
      <c r="E1519" s="5">
        <f ca="1">IFERROR(__xludf.DUMMYFUNCTION("""COMPUTED_VALUE"""),14)</f>
        <v>14</v>
      </c>
      <c r="F1519" s="5"/>
    </row>
    <row r="1520" spans="1:6" ht="13">
      <c r="A1520" s="5" t="str">
        <f ca="1">IFERROR(__xludf.DUMMYFUNCTION("""COMPUTED_VALUE"""),"20110517WAHOE")</f>
        <v>20110517WAHOE</v>
      </c>
      <c r="B1520" s="5" t="str">
        <f ca="1">IFERROR(__xludf.DUMMYFUNCTION("""COMPUTED_VALUE"""),"Wounded")</f>
        <v>Wounded</v>
      </c>
      <c r="C1520" s="5" t="str">
        <f ca="1">IFERROR(__xludf.DUMMYFUNCTION("""COMPUTED_VALUE"""),"Male")</f>
        <v>Male</v>
      </c>
      <c r="D1520" s="5" t="str">
        <f ca="1">IFERROR(__xludf.DUMMYFUNCTION("""COMPUTED_VALUE"""),"Unknown")</f>
        <v>Unknown</v>
      </c>
      <c r="E1520" s="5">
        <f ca="1">IFERROR(__xludf.DUMMYFUNCTION("""COMPUTED_VALUE"""),17)</f>
        <v>17</v>
      </c>
      <c r="F1520" s="5"/>
    </row>
    <row r="1521" spans="1:6" ht="13">
      <c r="A1521" s="5" t="str">
        <f ca="1">IFERROR(__xludf.DUMMYFUNCTION("""COMPUTED_VALUE"""),"20110419TXBEH")</f>
        <v>20110419TXBEH</v>
      </c>
      <c r="B1521" s="5" t="str">
        <f ca="1">IFERROR(__xludf.DUMMYFUNCTION("""COMPUTED_VALUE"""),"Wounded")</f>
        <v>Wounded</v>
      </c>
      <c r="C1521" s="5" t="str">
        <f ca="1">IFERROR(__xludf.DUMMYFUNCTION("""COMPUTED_VALUE"""),"Female")</f>
        <v>Female</v>
      </c>
      <c r="D1521" s="5" t="str">
        <f ca="1">IFERROR(__xludf.DUMMYFUNCTION("""COMPUTED_VALUE"""),"Student")</f>
        <v>Student</v>
      </c>
      <c r="E1521" s="5">
        <f ca="1">IFERROR(__xludf.DUMMYFUNCTION("""COMPUTED_VALUE"""),6)</f>
        <v>6</v>
      </c>
      <c r="F1521" s="5"/>
    </row>
    <row r="1522" spans="1:6" ht="13">
      <c r="A1522" s="5" t="str">
        <f ca="1">IFERROR(__xludf.DUMMYFUNCTION("""COMPUTED_VALUE"""),"20110419TXBEH")</f>
        <v>20110419TXBEH</v>
      </c>
      <c r="B1522" s="5" t="str">
        <f ca="1">IFERROR(__xludf.DUMMYFUNCTION("""COMPUTED_VALUE"""),"Wounded")</f>
        <v>Wounded</v>
      </c>
      <c r="C1522" s="5" t="str">
        <f ca="1">IFERROR(__xludf.DUMMYFUNCTION("""COMPUTED_VALUE"""),"Male")</f>
        <v>Male</v>
      </c>
      <c r="D1522" s="5" t="str">
        <f ca="1">IFERROR(__xludf.DUMMYFUNCTION("""COMPUTED_VALUE"""),"Student")</f>
        <v>Student</v>
      </c>
      <c r="E1522" s="5">
        <f ca="1">IFERROR(__xludf.DUMMYFUNCTION("""COMPUTED_VALUE"""),6)</f>
        <v>6</v>
      </c>
      <c r="F1522" s="5"/>
    </row>
    <row r="1523" spans="1:6" ht="13">
      <c r="A1523" s="5" t="str">
        <f ca="1">IFERROR(__xludf.DUMMYFUNCTION("""COMPUTED_VALUE"""),"20110419TXBEH")</f>
        <v>20110419TXBEH</v>
      </c>
      <c r="B1523" s="5" t="str">
        <f ca="1">IFERROR(__xludf.DUMMYFUNCTION("""COMPUTED_VALUE"""),"Wounded")</f>
        <v>Wounded</v>
      </c>
      <c r="C1523" s="5" t="str">
        <f ca="1">IFERROR(__xludf.DUMMYFUNCTION("""COMPUTED_VALUE"""),"Male")</f>
        <v>Male</v>
      </c>
      <c r="D1523" s="5" t="str">
        <f ca="1">IFERROR(__xludf.DUMMYFUNCTION("""COMPUTED_VALUE"""),"Student")</f>
        <v>Student</v>
      </c>
      <c r="E1523" s="5">
        <f ca="1">IFERROR(__xludf.DUMMYFUNCTION("""COMPUTED_VALUE"""),5)</f>
        <v>5</v>
      </c>
      <c r="F1523" s="5"/>
    </row>
    <row r="1524" spans="1:6" ht="13">
      <c r="A1524" s="5" t="str">
        <f ca="1">IFERROR(__xludf.DUMMYFUNCTION("""COMPUTED_VALUE"""),"20110413FLSHA")</f>
        <v>20110413FLSHA</v>
      </c>
      <c r="B1524" s="5" t="str">
        <f ca="1">IFERROR(__xludf.DUMMYFUNCTION("""COMPUTED_VALUE"""),"Wounded")</f>
        <v>Wounded</v>
      </c>
      <c r="C1524" s="5" t="str">
        <f ca="1">IFERROR(__xludf.DUMMYFUNCTION("""COMPUTED_VALUE"""),"Male")</f>
        <v>Male</v>
      </c>
      <c r="D1524" s="5" t="str">
        <f ca="1">IFERROR(__xludf.DUMMYFUNCTION("""COMPUTED_VALUE"""),"No Relation")</f>
        <v>No Relation</v>
      </c>
      <c r="E1524" s="5">
        <f ca="1">IFERROR(__xludf.DUMMYFUNCTION("""COMPUTED_VALUE"""),17)</f>
        <v>17</v>
      </c>
      <c r="F1524" s="5"/>
    </row>
    <row r="1525" spans="1:6" ht="13">
      <c r="A1525" s="5" t="str">
        <f ca="1">IFERROR(__xludf.DUMMYFUNCTION("""COMPUTED_VALUE"""),"20110330TXWOH")</f>
        <v>20110330TXWOH</v>
      </c>
      <c r="B1525" s="5" t="str">
        <f ca="1">IFERROR(__xludf.DUMMYFUNCTION("""COMPUTED_VALUE"""),"Wounded")</f>
        <v>Wounded</v>
      </c>
      <c r="C1525" s="5" t="str">
        <f ca="1">IFERROR(__xludf.DUMMYFUNCTION("""COMPUTED_VALUE"""),"Male")</f>
        <v>Male</v>
      </c>
      <c r="D1525" s="5" t="str">
        <f ca="1">IFERROR(__xludf.DUMMYFUNCTION("""COMPUTED_VALUE"""),"Student")</f>
        <v>Student</v>
      </c>
      <c r="E1525" s="5" t="str">
        <f ca="1">IFERROR(__xludf.DUMMYFUNCTION("""COMPUTED_VALUE"""),"Teen")</f>
        <v>Teen</v>
      </c>
      <c r="F1525" s="5"/>
    </row>
    <row r="1526" spans="1:6" ht="13">
      <c r="A1526" s="5" t="str">
        <f ca="1">IFERROR(__xludf.DUMMYFUNCTION("""COMPUTED_VALUE"""),"20110330TXWOH")</f>
        <v>20110330TXWOH</v>
      </c>
      <c r="B1526" s="5" t="str">
        <f ca="1">IFERROR(__xludf.DUMMYFUNCTION("""COMPUTED_VALUE"""),"Wounded")</f>
        <v>Wounded</v>
      </c>
      <c r="C1526" s="5" t="str">
        <f ca="1">IFERROR(__xludf.DUMMYFUNCTION("""COMPUTED_VALUE"""),"Male")</f>
        <v>Male</v>
      </c>
      <c r="D1526" s="5" t="str">
        <f ca="1">IFERROR(__xludf.DUMMYFUNCTION("""COMPUTED_VALUE"""),"Student")</f>
        <v>Student</v>
      </c>
      <c r="E1526" s="5"/>
      <c r="F1526" s="5"/>
    </row>
    <row r="1527" spans="1:6" ht="13">
      <c r="A1527" s="5" t="str">
        <f ca="1">IFERROR(__xludf.DUMMYFUNCTION("""COMPUTED_VALUE"""),"20110330TXWOH")</f>
        <v>20110330TXWOH</v>
      </c>
      <c r="B1527" s="5" t="str">
        <f ca="1">IFERROR(__xludf.DUMMYFUNCTION("""COMPUTED_VALUE"""),"Wounded")</f>
        <v>Wounded</v>
      </c>
      <c r="C1527" s="5" t="str">
        <f ca="1">IFERROR(__xludf.DUMMYFUNCTION("""COMPUTED_VALUE"""),"Male")</f>
        <v>Male</v>
      </c>
      <c r="D1527" s="5" t="str">
        <f ca="1">IFERROR(__xludf.DUMMYFUNCTION("""COMPUTED_VALUE"""),"Student")</f>
        <v>Student</v>
      </c>
      <c r="E1527" s="5"/>
      <c r="F1527" s="5"/>
    </row>
    <row r="1528" spans="1:6" ht="13">
      <c r="A1528" s="5" t="str">
        <f ca="1">IFERROR(__xludf.DUMMYFUNCTION("""COMPUTED_VALUE"""),"20110330TXWOH")</f>
        <v>20110330TXWOH</v>
      </c>
      <c r="B1528" s="5" t="str">
        <f ca="1">IFERROR(__xludf.DUMMYFUNCTION("""COMPUTED_VALUE"""),"Wounded")</f>
        <v>Wounded</v>
      </c>
      <c r="C1528" s="5" t="str">
        <f ca="1">IFERROR(__xludf.DUMMYFUNCTION("""COMPUTED_VALUE"""),"Male")</f>
        <v>Male</v>
      </c>
      <c r="D1528" s="5"/>
      <c r="E1528" s="5"/>
      <c r="F1528" s="5"/>
    </row>
    <row r="1529" spans="1:6" ht="13">
      <c r="A1529" s="5" t="str">
        <f ca="1">IFERROR(__xludf.DUMMYFUNCTION("""COMPUTED_VALUE"""),"20110330TXWOH")</f>
        <v>20110330TXWOH</v>
      </c>
      <c r="B1529" s="5" t="str">
        <f ca="1">IFERROR(__xludf.DUMMYFUNCTION("""COMPUTED_VALUE"""),"Wounded")</f>
        <v>Wounded</v>
      </c>
      <c r="C1529" s="5" t="str">
        <f ca="1">IFERROR(__xludf.DUMMYFUNCTION("""COMPUTED_VALUE"""),"Male")</f>
        <v>Male</v>
      </c>
      <c r="D1529" s="5"/>
      <c r="E1529" s="5"/>
      <c r="F1529" s="5"/>
    </row>
    <row r="1530" spans="1:6" ht="13">
      <c r="A1530" s="5" t="str">
        <f ca="1">IFERROR(__xludf.DUMMYFUNCTION("""COMPUTED_VALUE"""),"20110330TXWOH")</f>
        <v>20110330TXWOH</v>
      </c>
      <c r="B1530" s="5" t="str">
        <f ca="1">IFERROR(__xludf.DUMMYFUNCTION("""COMPUTED_VALUE"""),"Fatal")</f>
        <v>Fatal</v>
      </c>
      <c r="C1530" s="5" t="str">
        <f ca="1">IFERROR(__xludf.DUMMYFUNCTION("""COMPUTED_VALUE"""),"Male")</f>
        <v>Male</v>
      </c>
      <c r="D1530" s="5" t="str">
        <f ca="1">IFERROR(__xludf.DUMMYFUNCTION("""COMPUTED_VALUE"""),"Student")</f>
        <v>Student</v>
      </c>
      <c r="E1530" s="5"/>
      <c r="F1530" s="5"/>
    </row>
    <row r="1531" spans="1:6" ht="13">
      <c r="A1531" s="5" t="str">
        <f ca="1">IFERROR(__xludf.DUMMYFUNCTION("""COMPUTED_VALUE"""),"20110325INMAM")</f>
        <v>20110325INMAM</v>
      </c>
      <c r="B1531" s="5" t="str">
        <f ca="1">IFERROR(__xludf.DUMMYFUNCTION("""COMPUTED_VALUE"""),"Wounded")</f>
        <v>Wounded</v>
      </c>
      <c r="C1531" s="5" t="str">
        <f ca="1">IFERROR(__xludf.DUMMYFUNCTION("""COMPUTED_VALUE"""),"Male")</f>
        <v>Male</v>
      </c>
      <c r="D1531" s="5" t="str">
        <f ca="1">IFERROR(__xludf.DUMMYFUNCTION("""COMPUTED_VALUE"""),"Student")</f>
        <v>Student</v>
      </c>
      <c r="E1531" s="5">
        <f ca="1">IFERROR(__xludf.DUMMYFUNCTION("""COMPUTED_VALUE"""),15)</f>
        <v>15</v>
      </c>
      <c r="F1531" s="5" t="str">
        <f ca="1">IFERROR(__xludf.DUMMYFUNCTION("""COMPUTED_VALUE"""),"White")</f>
        <v>White</v>
      </c>
    </row>
    <row r="1532" spans="1:6" ht="13">
      <c r="A1532" s="5" t="str">
        <f ca="1">IFERROR(__xludf.DUMMYFUNCTION("""COMPUTED_VALUE"""),"20110202CALOP")</f>
        <v>20110202CALOP</v>
      </c>
      <c r="B1532" s="5" t="str">
        <f ca="1">IFERROR(__xludf.DUMMYFUNCTION("""COMPUTED_VALUE"""),"Fatal")</f>
        <v>Fatal</v>
      </c>
      <c r="C1532" s="5" t="str">
        <f ca="1">IFERROR(__xludf.DUMMYFUNCTION("""COMPUTED_VALUE"""),"Male")</f>
        <v>Male</v>
      </c>
      <c r="D1532" s="5" t="str">
        <f ca="1">IFERROR(__xludf.DUMMYFUNCTION("""COMPUTED_VALUE"""),"Principal/Vice-Principal")</f>
        <v>Principal/Vice-Principal</v>
      </c>
      <c r="E1532" s="5">
        <f ca="1">IFERROR(__xludf.DUMMYFUNCTION("""COMPUTED_VALUE"""),50)</f>
        <v>50</v>
      </c>
      <c r="F1532" s="5" t="str">
        <f ca="1">IFERROR(__xludf.DUMMYFUNCTION("""COMPUTED_VALUE"""),"White")</f>
        <v>White</v>
      </c>
    </row>
    <row r="1533" spans="1:6" ht="13">
      <c r="A1533" s="5" t="str">
        <f ca="1">IFERROR(__xludf.DUMMYFUNCTION("""COMPUTED_VALUE"""),"20110118CAGAL")</f>
        <v>20110118CAGAL</v>
      </c>
      <c r="B1533" s="5" t="str">
        <f ca="1">IFERROR(__xludf.DUMMYFUNCTION("""COMPUTED_VALUE"""),"Wounded")</f>
        <v>Wounded</v>
      </c>
      <c r="C1533" s="5" t="str">
        <f ca="1">IFERROR(__xludf.DUMMYFUNCTION("""COMPUTED_VALUE"""),"Male")</f>
        <v>Male</v>
      </c>
      <c r="D1533" s="5" t="str">
        <f ca="1">IFERROR(__xludf.DUMMYFUNCTION("""COMPUTED_VALUE"""),"Student")</f>
        <v>Student</v>
      </c>
      <c r="E1533" s="5">
        <f ca="1">IFERROR(__xludf.DUMMYFUNCTION("""COMPUTED_VALUE"""),15)</f>
        <v>15</v>
      </c>
      <c r="F1533" s="5"/>
    </row>
    <row r="1534" spans="1:6" ht="13">
      <c r="A1534" s="5" t="str">
        <f ca="1">IFERROR(__xludf.DUMMYFUNCTION("""COMPUTED_VALUE"""),"20110118CAGAL")</f>
        <v>20110118CAGAL</v>
      </c>
      <c r="B1534" s="5" t="str">
        <f ca="1">IFERROR(__xludf.DUMMYFUNCTION("""COMPUTED_VALUE"""),"Wounded")</f>
        <v>Wounded</v>
      </c>
      <c r="C1534" s="5" t="str">
        <f ca="1">IFERROR(__xludf.DUMMYFUNCTION("""COMPUTED_VALUE"""),"Female")</f>
        <v>Female</v>
      </c>
      <c r="D1534" s="5" t="str">
        <f ca="1">IFERROR(__xludf.DUMMYFUNCTION("""COMPUTED_VALUE"""),"Student")</f>
        <v>Student</v>
      </c>
      <c r="E1534" s="5">
        <f ca="1">IFERROR(__xludf.DUMMYFUNCTION("""COMPUTED_VALUE"""),15)</f>
        <v>15</v>
      </c>
      <c r="F1534" s="5"/>
    </row>
    <row r="1535" spans="1:6" ht="13">
      <c r="A1535" s="5" t="str">
        <f ca="1">IFERROR(__xludf.DUMMYFUNCTION("""COMPUTED_VALUE"""),"20110105NEMIO")</f>
        <v>20110105NEMIO</v>
      </c>
      <c r="B1535" s="5" t="str">
        <f ca="1">IFERROR(__xludf.DUMMYFUNCTION("""COMPUTED_VALUE"""),"Fatal")</f>
        <v>Fatal</v>
      </c>
      <c r="C1535" s="5" t="str">
        <f ca="1">IFERROR(__xludf.DUMMYFUNCTION("""COMPUTED_VALUE"""),"Male")</f>
        <v>Male</v>
      </c>
      <c r="D1535" s="5" t="str">
        <f ca="1">IFERROR(__xludf.DUMMYFUNCTION("""COMPUTED_VALUE"""),"Principal/Vice-Principal")</f>
        <v>Principal/Vice-Principal</v>
      </c>
      <c r="E1535" s="5" t="str">
        <f ca="1">IFERROR(__xludf.DUMMYFUNCTION("""COMPUTED_VALUE"""),"Adult")</f>
        <v>Adult</v>
      </c>
      <c r="F1535" s="5"/>
    </row>
    <row r="1536" spans="1:6" ht="13">
      <c r="A1536" s="5" t="str">
        <f ca="1">IFERROR(__xludf.DUMMYFUNCTION("""COMPUTED_VALUE"""),"20110105NEMIO")</f>
        <v>20110105NEMIO</v>
      </c>
      <c r="B1536" s="5" t="str">
        <f ca="1">IFERROR(__xludf.DUMMYFUNCTION("""COMPUTED_VALUE"""),"Wounded")</f>
        <v>Wounded</v>
      </c>
      <c r="C1536" s="5" t="str">
        <f ca="1">IFERROR(__xludf.DUMMYFUNCTION("""COMPUTED_VALUE"""),"Female")</f>
        <v>Female</v>
      </c>
      <c r="D1536" s="5" t="str">
        <f ca="1">IFERROR(__xludf.DUMMYFUNCTION("""COMPUTED_VALUE"""),"Principal/Vice-Principal")</f>
        <v>Principal/Vice-Principal</v>
      </c>
      <c r="E1536" s="5" t="str">
        <f ca="1">IFERROR(__xludf.DUMMYFUNCTION("""COMPUTED_VALUE"""),"Adult")</f>
        <v>Adult</v>
      </c>
      <c r="F1536" s="5"/>
    </row>
    <row r="1537" spans="1:6" ht="13">
      <c r="A1537" s="5" t="str">
        <f ca="1">IFERROR(__xludf.DUMMYFUNCTION("""COMPUTED_VALUE"""),"20110104INCRC")</f>
        <v>20110104INCRC</v>
      </c>
      <c r="B1537" s="5" t="str">
        <f ca="1">IFERROR(__xludf.DUMMYFUNCTION("""COMPUTED_VALUE"""),"None")</f>
        <v>None</v>
      </c>
      <c r="C1537" s="5"/>
      <c r="D1537" s="5"/>
      <c r="E1537" s="5"/>
      <c r="F1537" s="5"/>
    </row>
    <row r="1538" spans="1:6" ht="13">
      <c r="A1538" s="5" t="str">
        <f ca="1">IFERROR(__xludf.DUMMYFUNCTION("""COMPUTED_VALUE"""),"20101206COAUA")</f>
        <v>20101206COAUA</v>
      </c>
      <c r="B1538" s="5" t="str">
        <f ca="1">IFERROR(__xludf.DUMMYFUNCTION("""COMPUTED_VALUE"""),"Wounded")</f>
        <v>Wounded</v>
      </c>
      <c r="C1538" s="5" t="str">
        <f ca="1">IFERROR(__xludf.DUMMYFUNCTION("""COMPUTED_VALUE"""),"Female")</f>
        <v>Female</v>
      </c>
      <c r="D1538" s="5" t="str">
        <f ca="1">IFERROR(__xludf.DUMMYFUNCTION("""COMPUTED_VALUE"""),"Student")</f>
        <v>Student</v>
      </c>
      <c r="E1538" s="5">
        <f ca="1">IFERROR(__xludf.DUMMYFUNCTION("""COMPUTED_VALUE"""),17)</f>
        <v>17</v>
      </c>
      <c r="F1538" s="5" t="str">
        <f ca="1">IFERROR(__xludf.DUMMYFUNCTION("""COMPUTED_VALUE"""),"Hispanic")</f>
        <v>Hispanic</v>
      </c>
    </row>
    <row r="1539" spans="1:6" ht="13">
      <c r="A1539" s="5" t="str">
        <f ca="1">IFERROR(__xludf.DUMMYFUNCTION("""COMPUTED_VALUE"""),"20101129WIMAM")</f>
        <v>20101129WIMAM</v>
      </c>
      <c r="B1539" s="5" t="str">
        <f ca="1">IFERROR(__xludf.DUMMYFUNCTION("""COMPUTED_VALUE"""),"None")</f>
        <v>None</v>
      </c>
      <c r="C1539" s="5" t="str">
        <f ca="1">IFERROR(__xludf.DUMMYFUNCTION("""COMPUTED_VALUE"""),"Male")</f>
        <v>Male</v>
      </c>
      <c r="D1539" s="5" t="str">
        <f ca="1">IFERROR(__xludf.DUMMYFUNCTION("""COMPUTED_VALUE"""),"Student")</f>
        <v>Student</v>
      </c>
      <c r="E1539" s="5">
        <f ca="1">IFERROR(__xludf.DUMMYFUNCTION("""COMPUTED_VALUE"""),15)</f>
        <v>15</v>
      </c>
      <c r="F1539" s="5" t="str">
        <f ca="1">IFERROR(__xludf.DUMMYFUNCTION("""COMPUTED_VALUE"""),"White")</f>
        <v>White</v>
      </c>
    </row>
    <row r="1540" spans="1:6" ht="13">
      <c r="A1540" s="5" t="str">
        <f ca="1">IFERROR(__xludf.DUMMYFUNCTION("""COMPUTED_VALUE"""),"20101023KSTOT")</f>
        <v>20101023KSTOT</v>
      </c>
      <c r="B1540" s="5" t="str">
        <f ca="1">IFERROR(__xludf.DUMMYFUNCTION("""COMPUTED_VALUE"""),"Fatal")</f>
        <v>Fatal</v>
      </c>
      <c r="C1540" s="5" t="str">
        <f ca="1">IFERROR(__xludf.DUMMYFUNCTION("""COMPUTED_VALUE"""),"Male")</f>
        <v>Male</v>
      </c>
      <c r="D1540" s="5" t="str">
        <f ca="1">IFERROR(__xludf.DUMMYFUNCTION("""COMPUTED_VALUE"""),"No Relation")</f>
        <v>No Relation</v>
      </c>
      <c r="E1540" s="5">
        <f ca="1">IFERROR(__xludf.DUMMYFUNCTION("""COMPUTED_VALUE"""),20)</f>
        <v>20</v>
      </c>
      <c r="F1540" s="5"/>
    </row>
    <row r="1541" spans="1:6" ht="13">
      <c r="A1541" s="5" t="str">
        <f ca="1">IFERROR(__xludf.DUMMYFUNCTION("""COMPUTED_VALUE"""),"20101023KSTOT")</f>
        <v>20101023KSTOT</v>
      </c>
      <c r="B1541" s="5" t="str">
        <f ca="1">IFERROR(__xludf.DUMMYFUNCTION("""COMPUTED_VALUE"""),"Wounded")</f>
        <v>Wounded</v>
      </c>
      <c r="C1541" s="5" t="str">
        <f ca="1">IFERROR(__xludf.DUMMYFUNCTION("""COMPUTED_VALUE"""),"Male")</f>
        <v>Male</v>
      </c>
      <c r="D1541" s="5"/>
      <c r="E1541" s="5">
        <f ca="1">IFERROR(__xludf.DUMMYFUNCTION("""COMPUTED_VALUE"""),17)</f>
        <v>17</v>
      </c>
      <c r="F1541" s="5"/>
    </row>
    <row r="1542" spans="1:6" ht="13">
      <c r="A1542" s="5" t="str">
        <f ca="1">IFERROR(__xludf.DUMMYFUNCTION("""COMPUTED_VALUE"""),"20101008CAKEC")</f>
        <v>20101008CAKEC</v>
      </c>
      <c r="B1542" s="5" t="str">
        <f ca="1">IFERROR(__xludf.DUMMYFUNCTION("""COMPUTED_VALUE"""),"Wounded")</f>
        <v>Wounded</v>
      </c>
      <c r="C1542" s="5" t="str">
        <f ca="1">IFERROR(__xludf.DUMMYFUNCTION("""COMPUTED_VALUE"""),"Female")</f>
        <v>Female</v>
      </c>
      <c r="D1542" s="5" t="str">
        <f ca="1">IFERROR(__xludf.DUMMYFUNCTION("""COMPUTED_VALUE"""),"Student")</f>
        <v>Student</v>
      </c>
      <c r="E1542" s="5">
        <f ca="1">IFERROR(__xludf.DUMMYFUNCTION("""COMPUTED_VALUE"""),6)</f>
        <v>6</v>
      </c>
      <c r="F1542" s="5"/>
    </row>
    <row r="1543" spans="1:6" ht="13">
      <c r="A1543" s="5" t="str">
        <f ca="1">IFERROR(__xludf.DUMMYFUNCTION("""COMPUTED_VALUE"""),"20101008CAKEC")</f>
        <v>20101008CAKEC</v>
      </c>
      <c r="B1543" s="5" t="str">
        <f ca="1">IFERROR(__xludf.DUMMYFUNCTION("""COMPUTED_VALUE"""),"Wounded")</f>
        <v>Wounded</v>
      </c>
      <c r="C1543" s="5" t="str">
        <f ca="1">IFERROR(__xludf.DUMMYFUNCTION("""COMPUTED_VALUE"""),"Female")</f>
        <v>Female</v>
      </c>
      <c r="D1543" s="5" t="str">
        <f ca="1">IFERROR(__xludf.DUMMYFUNCTION("""COMPUTED_VALUE"""),"Student")</f>
        <v>Student</v>
      </c>
      <c r="E1543" s="5">
        <f ca="1">IFERROR(__xludf.DUMMYFUNCTION("""COMPUTED_VALUE"""),7)</f>
        <v>7</v>
      </c>
      <c r="F1543" s="5"/>
    </row>
    <row r="1544" spans="1:6" ht="13">
      <c r="A1544" s="5" t="str">
        <f ca="1">IFERROR(__xludf.DUMMYFUNCTION("""COMPUTED_VALUE"""),"20101001CAALS")</f>
        <v>20101001CAALS</v>
      </c>
      <c r="B1544" s="5" t="str">
        <f ca="1">IFERROR(__xludf.DUMMYFUNCTION("""COMPUTED_VALUE"""),"Fatal")</f>
        <v>Fatal</v>
      </c>
      <c r="C1544" s="5" t="str">
        <f ca="1">IFERROR(__xludf.DUMMYFUNCTION("""COMPUTED_VALUE"""),"Male")</f>
        <v>Male</v>
      </c>
      <c r="D1544" s="5" t="str">
        <f ca="1">IFERROR(__xludf.DUMMYFUNCTION("""COMPUTED_VALUE"""),"Student")</f>
        <v>Student</v>
      </c>
      <c r="E1544" s="5">
        <f ca="1">IFERROR(__xludf.DUMMYFUNCTION("""COMPUTED_VALUE"""),15)</f>
        <v>15</v>
      </c>
      <c r="F1544" s="5"/>
    </row>
    <row r="1545" spans="1:6" ht="13">
      <c r="A1545" s="5" t="str">
        <f ca="1">IFERROR(__xludf.DUMMYFUNCTION("""COMPUTED_VALUE"""),"20100921SCSOC")</f>
        <v>20100921SCSOC</v>
      </c>
      <c r="B1545" s="5" t="str">
        <f ca="1">IFERROR(__xludf.DUMMYFUNCTION("""COMPUTED_VALUE"""),"Wounded")</f>
        <v>Wounded</v>
      </c>
      <c r="C1545" s="5" t="str">
        <f ca="1">IFERROR(__xludf.DUMMYFUNCTION("""COMPUTED_VALUE"""),"Male")</f>
        <v>Male</v>
      </c>
      <c r="D1545" s="5" t="str">
        <f ca="1">IFERROR(__xludf.DUMMYFUNCTION("""COMPUTED_VALUE"""),"Police Officer/SRO")</f>
        <v>Police Officer/SRO</v>
      </c>
      <c r="E1545" s="5" t="str">
        <f ca="1">IFERROR(__xludf.DUMMYFUNCTION("""COMPUTED_VALUE"""),"Adult")</f>
        <v>Adult</v>
      </c>
      <c r="F1545" s="5"/>
    </row>
    <row r="1546" spans="1:6" ht="13">
      <c r="A1546" s="5" t="str">
        <f ca="1">IFERROR(__xludf.DUMMYFUNCTION("""COMPUTED_VALUE"""),"20100908MIMUD")</f>
        <v>20100908MIMUD</v>
      </c>
      <c r="B1546" s="5" t="str">
        <f ca="1">IFERROR(__xludf.DUMMYFUNCTION("""COMPUTED_VALUE"""),"Wounded")</f>
        <v>Wounded</v>
      </c>
      <c r="C1546" s="5" t="str">
        <f ca="1">IFERROR(__xludf.DUMMYFUNCTION("""COMPUTED_VALUE"""),"Male")</f>
        <v>Male</v>
      </c>
      <c r="D1546" s="5" t="str">
        <f ca="1">IFERROR(__xludf.DUMMYFUNCTION("""COMPUTED_VALUE"""),"Student")</f>
        <v>Student</v>
      </c>
      <c r="E1546" s="5">
        <f ca="1">IFERROR(__xludf.DUMMYFUNCTION("""COMPUTED_VALUE"""),16)</f>
        <v>16</v>
      </c>
      <c r="F1546" s="5"/>
    </row>
    <row r="1547" spans="1:6" ht="13">
      <c r="A1547" s="5" t="str">
        <f ca="1">IFERROR(__xludf.DUMMYFUNCTION("""COMPUTED_VALUE"""),"20100908MIMUD")</f>
        <v>20100908MIMUD</v>
      </c>
      <c r="B1547" s="5" t="str">
        <f ca="1">IFERROR(__xludf.DUMMYFUNCTION("""COMPUTED_VALUE"""),"Wounded")</f>
        <v>Wounded</v>
      </c>
      <c r="C1547" s="5" t="str">
        <f ca="1">IFERROR(__xludf.DUMMYFUNCTION("""COMPUTED_VALUE"""),"Female")</f>
        <v>Female</v>
      </c>
      <c r="D1547" s="5" t="str">
        <f ca="1">IFERROR(__xludf.DUMMYFUNCTION("""COMPUTED_VALUE"""),"Student")</f>
        <v>Student</v>
      </c>
      <c r="E1547" s="5">
        <f ca="1">IFERROR(__xludf.DUMMYFUNCTION("""COMPUTED_VALUE"""),14)</f>
        <v>14</v>
      </c>
      <c r="F1547" s="5"/>
    </row>
    <row r="1548" spans="1:6" ht="13">
      <c r="A1548" s="5" t="str">
        <f ca="1">IFERROR(__xludf.DUMMYFUNCTION("""COMPUTED_VALUE"""),"20100830TNSUB")</f>
        <v>20100830TNSUB</v>
      </c>
      <c r="B1548" s="5" t="str">
        <f ca="1">IFERROR(__xludf.DUMMYFUNCTION("""COMPUTED_VALUE"""),"Fatal")</f>
        <v>Fatal</v>
      </c>
      <c r="C1548" s="5" t="str">
        <f ca="1">IFERROR(__xludf.DUMMYFUNCTION("""COMPUTED_VALUE"""),"Male")</f>
        <v>Male</v>
      </c>
      <c r="D1548" s="5" t="str">
        <f ca="1">IFERROR(__xludf.DUMMYFUNCTION("""COMPUTED_VALUE"""),"No Relation")</f>
        <v>No Relation</v>
      </c>
      <c r="E1548" s="5">
        <f ca="1">IFERROR(__xludf.DUMMYFUNCTION("""COMPUTED_VALUE"""),62)</f>
        <v>62</v>
      </c>
      <c r="F1548" s="5" t="str">
        <f ca="1">IFERROR(__xludf.DUMMYFUNCTION("""COMPUTED_VALUE"""),"White")</f>
        <v>White</v>
      </c>
    </row>
    <row r="1549" spans="1:6" ht="13">
      <c r="A1549" s="5" t="str">
        <f ca="1">IFERROR(__xludf.DUMMYFUNCTION("""COMPUTED_VALUE"""),"20100518CASOS")</f>
        <v>20100518CASOS</v>
      </c>
      <c r="B1549" s="5" t="str">
        <f ca="1">IFERROR(__xludf.DUMMYFUNCTION("""COMPUTED_VALUE"""),"Wounded")</f>
        <v>Wounded</v>
      </c>
      <c r="C1549" s="5" t="str">
        <f ca="1">IFERROR(__xludf.DUMMYFUNCTION("""COMPUTED_VALUE"""),"Male")</f>
        <v>Male</v>
      </c>
      <c r="D1549" s="5" t="str">
        <f ca="1">IFERROR(__xludf.DUMMYFUNCTION("""COMPUTED_VALUE"""),"Student")</f>
        <v>Student</v>
      </c>
      <c r="E1549" s="5">
        <f ca="1">IFERROR(__xludf.DUMMYFUNCTION("""COMPUTED_VALUE"""),15)</f>
        <v>15</v>
      </c>
      <c r="F1549" s="5"/>
    </row>
    <row r="1550" spans="1:6" ht="13">
      <c r="A1550" s="5" t="str">
        <f ca="1">IFERROR(__xludf.DUMMYFUNCTION("""COMPUTED_VALUE"""),"20100428VAWOP")</f>
        <v>20100428VAWOP</v>
      </c>
      <c r="B1550" s="5" t="str">
        <f ca="1">IFERROR(__xludf.DUMMYFUNCTION("""COMPUTED_VALUE"""),"None")</f>
        <v>None</v>
      </c>
      <c r="C1550" s="5"/>
      <c r="D1550" s="5"/>
      <c r="E1550" s="5"/>
      <c r="F1550" s="5"/>
    </row>
    <row r="1551" spans="1:6" ht="13">
      <c r="A1551" s="5" t="str">
        <f ca="1">IFERROR(__xludf.DUMMYFUNCTION("""COMPUTED_VALUE"""),"20100226WABIT")</f>
        <v>20100226WABIT</v>
      </c>
      <c r="B1551" s="5" t="str">
        <f ca="1">IFERROR(__xludf.DUMMYFUNCTION("""COMPUTED_VALUE"""),"Fatal")</f>
        <v>Fatal</v>
      </c>
      <c r="C1551" s="5" t="str">
        <f ca="1">IFERROR(__xludf.DUMMYFUNCTION("""COMPUTED_VALUE"""),"Female")</f>
        <v>Female</v>
      </c>
      <c r="D1551" s="5" t="str">
        <f ca="1">IFERROR(__xludf.DUMMYFUNCTION("""COMPUTED_VALUE"""),"Teacher")</f>
        <v>Teacher</v>
      </c>
      <c r="E1551" s="5">
        <f ca="1">IFERROR(__xludf.DUMMYFUNCTION("""COMPUTED_VALUE"""),30)</f>
        <v>30</v>
      </c>
      <c r="F1551" s="5" t="str">
        <f ca="1">IFERROR(__xludf.DUMMYFUNCTION("""COMPUTED_VALUE"""),"White")</f>
        <v>White</v>
      </c>
    </row>
    <row r="1552" spans="1:6" ht="13">
      <c r="A1552" s="5" t="str">
        <f ca="1">IFERROR(__xludf.DUMMYFUNCTION("""COMPUTED_VALUE"""),"20100223CODEL")</f>
        <v>20100223CODEL</v>
      </c>
      <c r="B1552" s="5" t="str">
        <f ca="1">IFERROR(__xludf.DUMMYFUNCTION("""COMPUTED_VALUE"""),"Wounded")</f>
        <v>Wounded</v>
      </c>
      <c r="C1552" s="5" t="str">
        <f ca="1">IFERROR(__xludf.DUMMYFUNCTION("""COMPUTED_VALUE"""),"Female")</f>
        <v>Female</v>
      </c>
      <c r="D1552" s="5" t="str">
        <f ca="1">IFERROR(__xludf.DUMMYFUNCTION("""COMPUTED_VALUE"""),"Student")</f>
        <v>Student</v>
      </c>
      <c r="E1552" s="5" t="str">
        <f ca="1">IFERROR(__xludf.DUMMYFUNCTION("""COMPUTED_VALUE"""),"Teen")</f>
        <v>Teen</v>
      </c>
      <c r="F1552" s="5"/>
    </row>
    <row r="1553" spans="1:6" ht="13">
      <c r="A1553" s="5" t="str">
        <f ca="1">IFERROR(__xludf.DUMMYFUNCTION("""COMPUTED_VALUE"""),"20100223CODEL")</f>
        <v>20100223CODEL</v>
      </c>
      <c r="B1553" s="5" t="str">
        <f ca="1">IFERROR(__xludf.DUMMYFUNCTION("""COMPUTED_VALUE"""),"Wounded")</f>
        <v>Wounded</v>
      </c>
      <c r="C1553" s="5" t="str">
        <f ca="1">IFERROR(__xludf.DUMMYFUNCTION("""COMPUTED_VALUE"""),"Male")</f>
        <v>Male</v>
      </c>
      <c r="D1553" s="5" t="str">
        <f ca="1">IFERROR(__xludf.DUMMYFUNCTION("""COMPUTED_VALUE"""),"Student")</f>
        <v>Student</v>
      </c>
      <c r="E1553" s="5" t="str">
        <f ca="1">IFERROR(__xludf.DUMMYFUNCTION("""COMPUTED_VALUE"""),"Teen")</f>
        <v>Teen</v>
      </c>
      <c r="F1553" s="5"/>
    </row>
    <row r="1554" spans="1:6" ht="13">
      <c r="A1554" s="5" t="str">
        <f ca="1">IFERROR(__xludf.DUMMYFUNCTION("""COMPUTED_VALUE"""),"20100210TNINK")</f>
        <v>20100210TNINK</v>
      </c>
      <c r="B1554" s="5" t="str">
        <f ca="1">IFERROR(__xludf.DUMMYFUNCTION("""COMPUTED_VALUE"""),"Wounded")</f>
        <v>Wounded</v>
      </c>
      <c r="C1554" s="5" t="str">
        <f ca="1">IFERROR(__xludf.DUMMYFUNCTION("""COMPUTED_VALUE"""),"Male")</f>
        <v>Male</v>
      </c>
      <c r="D1554" s="5" t="str">
        <f ca="1">IFERROR(__xludf.DUMMYFUNCTION("""COMPUTED_VALUE"""),"Principal/Vice-Principal")</f>
        <v>Principal/Vice-Principal</v>
      </c>
      <c r="E1554" s="5" t="str">
        <f ca="1">IFERROR(__xludf.DUMMYFUNCTION("""COMPUTED_VALUE"""),"Adult")</f>
        <v>Adult</v>
      </c>
      <c r="F1554" s="5"/>
    </row>
    <row r="1555" spans="1:6" ht="13">
      <c r="A1555" s="5" t="str">
        <f ca="1">IFERROR(__xludf.DUMMYFUNCTION("""COMPUTED_VALUE"""),"20100210TNINK")</f>
        <v>20100210TNINK</v>
      </c>
      <c r="B1555" s="5" t="str">
        <f ca="1">IFERROR(__xludf.DUMMYFUNCTION("""COMPUTED_VALUE"""),"Wounded")</f>
        <v>Wounded</v>
      </c>
      <c r="C1555" s="5" t="str">
        <f ca="1">IFERROR(__xludf.DUMMYFUNCTION("""COMPUTED_VALUE"""),"Female")</f>
        <v>Female</v>
      </c>
      <c r="D1555" s="5" t="str">
        <f ca="1">IFERROR(__xludf.DUMMYFUNCTION("""COMPUTED_VALUE"""),"Principal/Vice-Principal")</f>
        <v>Principal/Vice-Principal</v>
      </c>
      <c r="E1555" s="5" t="str">
        <f ca="1">IFERROR(__xludf.DUMMYFUNCTION("""COMPUTED_VALUE"""),"Adult")</f>
        <v>Adult</v>
      </c>
      <c r="F1555" s="5"/>
    </row>
    <row r="1556" spans="1:6" ht="13">
      <c r="A1556" s="5" t="str">
        <f ca="1">IFERROR(__xludf.DUMMYFUNCTION("""COMPUTED_VALUE"""),"20100205ALDIM")</f>
        <v>20100205ALDIM</v>
      </c>
      <c r="B1556" s="5" t="str">
        <f ca="1">IFERROR(__xludf.DUMMYFUNCTION("""COMPUTED_VALUE"""),"Fatal")</f>
        <v>Fatal</v>
      </c>
      <c r="C1556" s="5" t="str">
        <f ca="1">IFERROR(__xludf.DUMMYFUNCTION("""COMPUTED_VALUE"""),"Male")</f>
        <v>Male</v>
      </c>
      <c r="D1556" s="5" t="str">
        <f ca="1">IFERROR(__xludf.DUMMYFUNCTION("""COMPUTED_VALUE"""),"Student")</f>
        <v>Student</v>
      </c>
      <c r="E1556" s="5">
        <f ca="1">IFERROR(__xludf.DUMMYFUNCTION("""COMPUTED_VALUE"""),14)</f>
        <v>14</v>
      </c>
      <c r="F1556" s="5"/>
    </row>
    <row r="1557" spans="1:6" ht="13">
      <c r="A1557" s="5" t="str">
        <f ca="1">IFERROR(__xludf.DUMMYFUNCTION("""COMPUTED_VALUE"""),"20100120ALLIL")</f>
        <v>20100120ALLIL</v>
      </c>
      <c r="B1557" s="5" t="str">
        <f ca="1">IFERROR(__xludf.DUMMYFUNCTION("""COMPUTED_VALUE"""),"Wounded")</f>
        <v>Wounded</v>
      </c>
      <c r="C1557" s="5" t="str">
        <f ca="1">IFERROR(__xludf.DUMMYFUNCTION("""COMPUTED_VALUE"""),"Female")</f>
        <v>Female</v>
      </c>
      <c r="D1557" s="5" t="str">
        <f ca="1">IFERROR(__xludf.DUMMYFUNCTION("""COMPUTED_VALUE"""),"Teacher")</f>
        <v>Teacher</v>
      </c>
      <c r="E1557" s="5">
        <f ca="1">IFERROR(__xludf.DUMMYFUNCTION("""COMPUTED_VALUE"""),32)</f>
        <v>32</v>
      </c>
      <c r="F1557" s="5"/>
    </row>
    <row r="1558" spans="1:6" ht="13">
      <c r="A1558" s="5" t="str">
        <f ca="1">IFERROR(__xludf.DUMMYFUNCTION("""COMPUTED_VALUE"""),"20091211LABOS")</f>
        <v>20091211LABOS</v>
      </c>
      <c r="B1558" s="5" t="str">
        <f ca="1">IFERROR(__xludf.DUMMYFUNCTION("""COMPUTED_VALUE"""),"Wounded")</f>
        <v>Wounded</v>
      </c>
      <c r="C1558" s="5" t="str">
        <f ca="1">IFERROR(__xludf.DUMMYFUNCTION("""COMPUTED_VALUE"""),"Female")</f>
        <v>Female</v>
      </c>
      <c r="D1558" s="5" t="str">
        <f ca="1">IFERROR(__xludf.DUMMYFUNCTION("""COMPUTED_VALUE"""),"Student")</f>
        <v>Student</v>
      </c>
      <c r="E1558" s="5">
        <f ca="1">IFERROR(__xludf.DUMMYFUNCTION("""COMPUTED_VALUE"""),18)</f>
        <v>18</v>
      </c>
      <c r="F1558" s="5"/>
    </row>
    <row r="1559" spans="1:6" ht="13">
      <c r="A1559" s="5" t="str">
        <f ca="1">IFERROR(__xludf.DUMMYFUNCTION("""COMPUTED_VALUE"""),"20091106PAHAW")</f>
        <v>20091106PAHAW</v>
      </c>
      <c r="B1559" s="5" t="str">
        <f ca="1">IFERROR(__xludf.DUMMYFUNCTION("""COMPUTED_VALUE"""),"Wounded")</f>
        <v>Wounded</v>
      </c>
      <c r="C1559" s="5" t="str">
        <f ca="1">IFERROR(__xludf.DUMMYFUNCTION("""COMPUTED_VALUE"""),"Male")</f>
        <v>Male</v>
      </c>
      <c r="D1559" s="5" t="str">
        <f ca="1">IFERROR(__xludf.DUMMYFUNCTION("""COMPUTED_VALUE"""),"Student")</f>
        <v>Student</v>
      </c>
      <c r="E1559" s="5">
        <f ca="1">IFERROR(__xludf.DUMMYFUNCTION("""COMPUTED_VALUE"""),17)</f>
        <v>17</v>
      </c>
      <c r="F1559" s="5"/>
    </row>
    <row r="1560" spans="1:6" ht="13">
      <c r="A1560" s="5" t="str">
        <f ca="1">IFERROR(__xludf.DUMMYFUNCTION("""COMPUTED_VALUE"""),"20091030CAWIL")</f>
        <v>20091030CAWIL</v>
      </c>
      <c r="B1560" s="5" t="str">
        <f ca="1">IFERROR(__xludf.DUMMYFUNCTION("""COMPUTED_VALUE"""),"Fatal")</f>
        <v>Fatal</v>
      </c>
      <c r="C1560" s="5" t="str">
        <f ca="1">IFERROR(__xludf.DUMMYFUNCTION("""COMPUTED_VALUE"""),"Female")</f>
        <v>Female</v>
      </c>
      <c r="D1560" s="5" t="str">
        <f ca="1">IFERROR(__xludf.DUMMYFUNCTION("""COMPUTED_VALUE"""),"Student")</f>
        <v>Student</v>
      </c>
      <c r="E1560" s="5">
        <f ca="1">IFERROR(__xludf.DUMMYFUNCTION("""COMPUTED_VALUE"""),16)</f>
        <v>16</v>
      </c>
      <c r="F1560" s="5"/>
    </row>
    <row r="1561" spans="1:6" ht="13">
      <c r="A1561" s="5" t="str">
        <f ca="1">IFERROR(__xludf.DUMMYFUNCTION("""COMPUTED_VALUE"""),"20091030CAWIL")</f>
        <v>20091030CAWIL</v>
      </c>
      <c r="B1561" s="5" t="str">
        <f ca="1">IFERROR(__xludf.DUMMYFUNCTION("""COMPUTED_VALUE"""),"Wounded")</f>
        <v>Wounded</v>
      </c>
      <c r="C1561" s="5" t="str">
        <f ca="1">IFERROR(__xludf.DUMMYFUNCTION("""COMPUTED_VALUE"""),"Male")</f>
        <v>Male</v>
      </c>
      <c r="D1561" s="5" t="str">
        <f ca="1">IFERROR(__xludf.DUMMYFUNCTION("""COMPUTED_VALUE"""),"Student")</f>
        <v>Student</v>
      </c>
      <c r="E1561" s="5">
        <f ca="1">IFERROR(__xludf.DUMMYFUNCTION("""COMPUTED_VALUE"""),18)</f>
        <v>18</v>
      </c>
      <c r="F1561" s="5"/>
    </row>
    <row r="1562" spans="1:6" ht="13">
      <c r="A1562" s="5" t="str">
        <f ca="1">IFERROR(__xludf.DUMMYFUNCTION("""COMPUTED_VALUE"""),"20091030CAWIL")</f>
        <v>20091030CAWIL</v>
      </c>
      <c r="B1562" s="5" t="str">
        <f ca="1">IFERROR(__xludf.DUMMYFUNCTION("""COMPUTED_VALUE"""),"Wounded")</f>
        <v>Wounded</v>
      </c>
      <c r="C1562" s="5" t="str">
        <f ca="1">IFERROR(__xludf.DUMMYFUNCTION("""COMPUTED_VALUE"""),"Male")</f>
        <v>Male</v>
      </c>
      <c r="D1562" s="5" t="str">
        <f ca="1">IFERROR(__xludf.DUMMYFUNCTION("""COMPUTED_VALUE"""),"Nonstudent Using Athletic Facilities/Attending Game")</f>
        <v>Nonstudent Using Athletic Facilities/Attending Game</v>
      </c>
      <c r="E1562" s="5">
        <f ca="1">IFERROR(__xludf.DUMMYFUNCTION("""COMPUTED_VALUE"""),20)</f>
        <v>20</v>
      </c>
      <c r="F1562" s="5"/>
    </row>
    <row r="1563" spans="1:6" ht="13">
      <c r="A1563" s="5" t="str">
        <f ca="1">IFERROR(__xludf.DUMMYFUNCTION("""COMPUTED_VALUE"""),"20091016SCCAC")</f>
        <v>20091016SCCAC</v>
      </c>
      <c r="B1563" s="5" t="str">
        <f ca="1">IFERROR(__xludf.DUMMYFUNCTION("""COMPUTED_VALUE"""),"Fatal")</f>
        <v>Fatal</v>
      </c>
      <c r="C1563" s="5" t="str">
        <f ca="1">IFERROR(__xludf.DUMMYFUNCTION("""COMPUTED_VALUE"""),"Male")</f>
        <v>Male</v>
      </c>
      <c r="D1563" s="5" t="str">
        <f ca="1">IFERROR(__xludf.DUMMYFUNCTION("""COMPUTED_VALUE"""),"Student")</f>
        <v>Student</v>
      </c>
      <c r="E1563" s="5" t="str">
        <f ca="1">IFERROR(__xludf.DUMMYFUNCTION("""COMPUTED_VALUE"""),"Teen")</f>
        <v>Teen</v>
      </c>
      <c r="F1563" s="5"/>
    </row>
    <row r="1564" spans="1:6" ht="13">
      <c r="A1564" s="5" t="str">
        <f ca="1">IFERROR(__xludf.DUMMYFUNCTION("""COMPUTED_VALUE"""),"20091008NYMAM")</f>
        <v>20091008NYMAM</v>
      </c>
      <c r="B1564" s="5" t="str">
        <f ca="1">IFERROR(__xludf.DUMMYFUNCTION("""COMPUTED_VALUE"""),"Wounded")</f>
        <v>Wounded</v>
      </c>
      <c r="C1564" s="5" t="str">
        <f ca="1">IFERROR(__xludf.DUMMYFUNCTION("""COMPUTED_VALUE"""),"Female")</f>
        <v>Female</v>
      </c>
      <c r="D1564" s="5" t="str">
        <f ca="1">IFERROR(__xludf.DUMMYFUNCTION("""COMPUTED_VALUE"""),"Student")</f>
        <v>Student</v>
      </c>
      <c r="E1564" s="5">
        <f ca="1">IFERROR(__xludf.DUMMYFUNCTION("""COMPUTED_VALUE"""),18)</f>
        <v>18</v>
      </c>
      <c r="F1564" s="5"/>
    </row>
    <row r="1565" spans="1:6" ht="13">
      <c r="A1565" s="5" t="str">
        <f ca="1">IFERROR(__xludf.DUMMYFUNCTION("""COMPUTED_VALUE"""),"20090916VAVIG")</f>
        <v>20090916VAVIG</v>
      </c>
      <c r="B1565" s="5" t="str">
        <f ca="1">IFERROR(__xludf.DUMMYFUNCTION("""COMPUTED_VALUE"""),"None")</f>
        <v>None</v>
      </c>
      <c r="C1565" s="5" t="str">
        <f ca="1">IFERROR(__xludf.DUMMYFUNCTION("""COMPUTED_VALUE"""),"Unknown")</f>
        <v>Unknown</v>
      </c>
      <c r="D1565" s="5" t="str">
        <f ca="1">IFERROR(__xludf.DUMMYFUNCTION("""COMPUTED_VALUE"""),"Student")</f>
        <v>Student</v>
      </c>
      <c r="E1565" s="5"/>
      <c r="F1565" s="5"/>
    </row>
    <row r="1566" spans="1:6" ht="13">
      <c r="A1566" s="5" t="str">
        <f ca="1">IFERROR(__xludf.DUMMYFUNCTION("""COMPUTED_VALUE"""),"20090916VAVIG")</f>
        <v>20090916VAVIG</v>
      </c>
      <c r="B1566" s="5" t="str">
        <f ca="1">IFERROR(__xludf.DUMMYFUNCTION("""COMPUTED_VALUE"""),"None")</f>
        <v>None</v>
      </c>
      <c r="C1566" s="5" t="str">
        <f ca="1">IFERROR(__xludf.DUMMYFUNCTION("""COMPUTED_VALUE"""),"Unknown")</f>
        <v>Unknown</v>
      </c>
      <c r="D1566" s="5" t="str">
        <f ca="1">IFERROR(__xludf.DUMMYFUNCTION("""COMPUTED_VALUE"""),"Student")</f>
        <v>Student</v>
      </c>
      <c r="E1566" s="5"/>
      <c r="F1566" s="5"/>
    </row>
    <row r="1567" spans="1:6" ht="13">
      <c r="A1567" s="5" t="str">
        <f ca="1">IFERROR(__xludf.DUMMYFUNCTION("""COMPUTED_VALUE"""),"20090908CTSTS")</f>
        <v>20090908CTSTS</v>
      </c>
      <c r="B1567" s="5" t="str">
        <f ca="1">IFERROR(__xludf.DUMMYFUNCTION("""COMPUTED_VALUE"""),"None")</f>
        <v>None</v>
      </c>
      <c r="C1567" s="5"/>
      <c r="D1567" s="5"/>
      <c r="E1567" s="5"/>
      <c r="F1567" s="5"/>
    </row>
    <row r="1568" spans="1:6" ht="13">
      <c r="A1568" s="5" t="str">
        <f ca="1">IFERROR(__xludf.DUMMYFUNCTION("""COMPUTED_VALUE"""),"20090827NCWEF")</f>
        <v>20090827NCWEF</v>
      </c>
      <c r="B1568" s="5" t="str">
        <f ca="1">IFERROR(__xludf.DUMMYFUNCTION("""COMPUTED_VALUE"""),"None")</f>
        <v>None</v>
      </c>
      <c r="C1568" s="5" t="str">
        <f ca="1">IFERROR(__xludf.DUMMYFUNCTION("""COMPUTED_VALUE"""),"Male")</f>
        <v>Male</v>
      </c>
      <c r="D1568" s="5" t="str">
        <f ca="1">IFERROR(__xludf.DUMMYFUNCTION("""COMPUTED_VALUE"""),"Nonstudent")</f>
        <v>Nonstudent</v>
      </c>
      <c r="E1568" s="5">
        <f ca="1">IFERROR(__xludf.DUMMYFUNCTION("""COMPUTED_VALUE"""),22)</f>
        <v>22</v>
      </c>
      <c r="F1568" s="5"/>
    </row>
    <row r="1569" spans="1:6" ht="13">
      <c r="A1569" s="5" t="str">
        <f ca="1">IFERROR(__xludf.DUMMYFUNCTION("""COMPUTED_VALUE"""),"20090624IAAPP")</f>
        <v>20090624IAAPP</v>
      </c>
      <c r="B1569" s="5" t="str">
        <f ca="1">IFERROR(__xludf.DUMMYFUNCTION("""COMPUTED_VALUE"""),"Fatal")</f>
        <v>Fatal</v>
      </c>
      <c r="C1569" s="5" t="str">
        <f ca="1">IFERROR(__xludf.DUMMYFUNCTION("""COMPUTED_VALUE"""),"Male")</f>
        <v>Male</v>
      </c>
      <c r="D1569" s="5" t="str">
        <f ca="1">IFERROR(__xludf.DUMMYFUNCTION("""COMPUTED_VALUE"""),"Other Staff")</f>
        <v>Other Staff</v>
      </c>
      <c r="E1569" s="5">
        <f ca="1">IFERROR(__xludf.DUMMYFUNCTION("""COMPUTED_VALUE"""),58)</f>
        <v>58</v>
      </c>
      <c r="F1569" s="5" t="str">
        <f ca="1">IFERROR(__xludf.DUMMYFUNCTION("""COMPUTED_VALUE"""),"White")</f>
        <v>White</v>
      </c>
    </row>
    <row r="1570" spans="1:6" ht="13">
      <c r="A1570" s="5" t="str">
        <f ca="1">IFERROR(__xludf.DUMMYFUNCTION("""COMPUTED_VALUE"""),"20090615CAINS")</f>
        <v>20090615CAINS</v>
      </c>
      <c r="B1570" s="5" t="str">
        <f ca="1">IFERROR(__xludf.DUMMYFUNCTION("""COMPUTED_VALUE"""),"Wounded")</f>
        <v>Wounded</v>
      </c>
      <c r="C1570" s="5" t="str">
        <f ca="1">IFERROR(__xludf.DUMMYFUNCTION("""COMPUTED_VALUE"""),"Female")</f>
        <v>Female</v>
      </c>
      <c r="D1570" s="5" t="str">
        <f ca="1">IFERROR(__xludf.DUMMYFUNCTION("""COMPUTED_VALUE"""),"Student")</f>
        <v>Student</v>
      </c>
      <c r="E1570" s="5">
        <f ca="1">IFERROR(__xludf.DUMMYFUNCTION("""COMPUTED_VALUE"""),15)</f>
        <v>15</v>
      </c>
      <c r="F1570" s="5"/>
    </row>
    <row r="1571" spans="1:6" ht="13">
      <c r="A1571" s="5" t="str">
        <f ca="1">IFERROR(__xludf.DUMMYFUNCTION("""COMPUTED_VALUE"""),"20090615CAINS")</f>
        <v>20090615CAINS</v>
      </c>
      <c r="B1571" s="5" t="str">
        <f ca="1">IFERROR(__xludf.DUMMYFUNCTION("""COMPUTED_VALUE"""),"Wounded")</f>
        <v>Wounded</v>
      </c>
      <c r="C1571" s="5" t="str">
        <f ca="1">IFERROR(__xludf.DUMMYFUNCTION("""COMPUTED_VALUE"""),"Male")</f>
        <v>Male</v>
      </c>
      <c r="D1571" s="5" t="str">
        <f ca="1">IFERROR(__xludf.DUMMYFUNCTION("""COMPUTED_VALUE"""),"Student")</f>
        <v>Student</v>
      </c>
      <c r="E1571" s="5" t="str">
        <f ca="1">IFERROR(__xludf.DUMMYFUNCTION("""COMPUTED_VALUE"""),"Teen")</f>
        <v>Teen</v>
      </c>
      <c r="F1571" s="5"/>
    </row>
    <row r="1572" spans="1:6" ht="13">
      <c r="A1572" s="5" t="str">
        <f ca="1">IFERROR(__xludf.DUMMYFUNCTION("""COMPUTED_VALUE"""),"20090615CAINS")</f>
        <v>20090615CAINS</v>
      </c>
      <c r="B1572" s="5" t="str">
        <f ca="1">IFERROR(__xludf.DUMMYFUNCTION("""COMPUTED_VALUE"""),"Wounded")</f>
        <v>Wounded</v>
      </c>
      <c r="C1572" s="5" t="str">
        <f ca="1">IFERROR(__xludf.DUMMYFUNCTION("""COMPUTED_VALUE"""),"Male")</f>
        <v>Male</v>
      </c>
      <c r="D1572" s="5" t="str">
        <f ca="1">IFERROR(__xludf.DUMMYFUNCTION("""COMPUTED_VALUE"""),"Student")</f>
        <v>Student</v>
      </c>
      <c r="E1572" s="5" t="str">
        <f ca="1">IFERROR(__xludf.DUMMYFUNCTION("""COMPUTED_VALUE"""),"Teen")</f>
        <v>Teen</v>
      </c>
      <c r="F1572" s="5"/>
    </row>
    <row r="1573" spans="1:6" ht="13">
      <c r="A1573" s="5" t="str">
        <f ca="1">IFERROR(__xludf.DUMMYFUNCTION("""COMPUTED_VALUE"""),"20090518LALAL")</f>
        <v>20090518LALAL</v>
      </c>
      <c r="B1573" s="5" t="str">
        <f ca="1">IFERROR(__xludf.DUMMYFUNCTION("""COMPUTED_VALUE"""),"None")</f>
        <v>None</v>
      </c>
      <c r="C1573" s="5" t="str">
        <f ca="1">IFERROR(__xludf.DUMMYFUNCTION("""COMPUTED_VALUE"""),"Male")</f>
        <v>Male</v>
      </c>
      <c r="D1573" s="5" t="str">
        <f ca="1">IFERROR(__xludf.DUMMYFUNCTION("""COMPUTED_VALUE"""),"Student")</f>
        <v>Student</v>
      </c>
      <c r="E1573" s="5">
        <f ca="1">IFERROR(__xludf.DUMMYFUNCTION("""COMPUTED_VALUE"""),15)</f>
        <v>15</v>
      </c>
      <c r="F1573" s="5"/>
    </row>
    <row r="1574" spans="1:6" ht="13">
      <c r="A1574" s="5" t="str">
        <f ca="1">IFERROR(__xludf.DUMMYFUNCTION("""COMPUTED_VALUE"""),"20090505NYCAC")</f>
        <v>20090505NYCAC</v>
      </c>
      <c r="B1574" s="5" t="str">
        <f ca="1">IFERROR(__xludf.DUMMYFUNCTION("""COMPUTED_VALUE"""),"None")</f>
        <v>None</v>
      </c>
      <c r="C1574" s="5" t="str">
        <f ca="1">IFERROR(__xludf.DUMMYFUNCTION("""COMPUTED_VALUE"""),"Male")</f>
        <v>Male</v>
      </c>
      <c r="D1574" s="5" t="str">
        <f ca="1">IFERROR(__xludf.DUMMYFUNCTION("""COMPUTED_VALUE"""),"Student")</f>
        <v>Student</v>
      </c>
      <c r="E1574" s="5">
        <f ca="1">IFERROR(__xludf.DUMMYFUNCTION("""COMPUTED_VALUE"""),17)</f>
        <v>17</v>
      </c>
      <c r="F1574" s="5" t="str">
        <f ca="1">IFERROR(__xludf.DUMMYFUNCTION("""COMPUTED_VALUE"""),"White")</f>
        <v>White</v>
      </c>
    </row>
    <row r="1575" spans="1:6" ht="13">
      <c r="A1575" s="5" t="str">
        <f ca="1">IFERROR(__xludf.DUMMYFUNCTION("""COMPUTED_VALUE"""),"20090501WISHS")</f>
        <v>20090501WISHS</v>
      </c>
      <c r="B1575" s="5" t="str">
        <f ca="1">IFERROR(__xludf.DUMMYFUNCTION("""COMPUTED_VALUE"""),"None")</f>
        <v>None</v>
      </c>
      <c r="C1575" s="5" t="str">
        <f ca="1">IFERROR(__xludf.DUMMYFUNCTION("""COMPUTED_VALUE"""),"Male")</f>
        <v>Male</v>
      </c>
      <c r="D1575" s="5" t="str">
        <f ca="1">IFERROR(__xludf.DUMMYFUNCTION("""COMPUTED_VALUE"""),"Student")</f>
        <v>Student</v>
      </c>
      <c r="E1575" s="5">
        <f ca="1">IFERROR(__xludf.DUMMYFUNCTION("""COMPUTED_VALUE"""),17)</f>
        <v>17</v>
      </c>
      <c r="F1575" s="5"/>
    </row>
    <row r="1576" spans="1:6" ht="13">
      <c r="A1576" s="5" t="str">
        <f ca="1">IFERROR(__xludf.DUMMYFUNCTION("""COMPUTED_VALUE"""),"20090413CALOL")</f>
        <v>20090413CALOL</v>
      </c>
      <c r="B1576" s="5" t="str">
        <f ca="1">IFERROR(__xludf.DUMMYFUNCTION("""COMPUTED_VALUE"""),"Wounded")</f>
        <v>Wounded</v>
      </c>
      <c r="C1576" s="5" t="str">
        <f ca="1">IFERROR(__xludf.DUMMYFUNCTION("""COMPUTED_VALUE"""),"Male")</f>
        <v>Male</v>
      </c>
      <c r="D1576" s="5" t="str">
        <f ca="1">IFERROR(__xludf.DUMMYFUNCTION("""COMPUTED_VALUE"""),"Student")</f>
        <v>Student</v>
      </c>
      <c r="E1576" s="5">
        <f ca="1">IFERROR(__xludf.DUMMYFUNCTION("""COMPUTED_VALUE"""),16)</f>
        <v>16</v>
      </c>
      <c r="F1576" s="5"/>
    </row>
    <row r="1577" spans="1:6" ht="13">
      <c r="A1577" s="5" t="str">
        <f ca="1">IFERROR(__xludf.DUMMYFUNCTION("""COMPUTED_VALUE"""),"20090311TXCYH")</f>
        <v>20090311TXCYH</v>
      </c>
      <c r="B1577" s="5" t="str">
        <f ca="1">IFERROR(__xludf.DUMMYFUNCTION("""COMPUTED_VALUE"""),"None")</f>
        <v>None</v>
      </c>
      <c r="C1577" s="5"/>
      <c r="D1577" s="5"/>
      <c r="E1577" s="5"/>
      <c r="F1577" s="5"/>
    </row>
    <row r="1578" spans="1:6" ht="13">
      <c r="A1578" s="5" t="str">
        <f ca="1">IFERROR(__xludf.DUMMYFUNCTION("""COMPUTED_VALUE"""),"20090310FLRIJ")</f>
        <v>20090310FLRIJ</v>
      </c>
      <c r="B1578" s="5" t="str">
        <f ca="1">IFERROR(__xludf.DUMMYFUNCTION("""COMPUTED_VALUE"""),"None")</f>
        <v>None</v>
      </c>
      <c r="C1578" s="5"/>
      <c r="D1578" s="5"/>
      <c r="E1578" s="5"/>
      <c r="F1578" s="5"/>
    </row>
    <row r="1579" spans="1:6" ht="13">
      <c r="A1579" s="5" t="str">
        <f ca="1">IFERROR(__xludf.DUMMYFUNCTION("""COMPUTED_VALUE"""),"20090306NCWEF")</f>
        <v>20090306NCWEF</v>
      </c>
      <c r="B1579" s="5" t="str">
        <f ca="1">IFERROR(__xludf.DUMMYFUNCTION("""COMPUTED_VALUE"""),"Wounded")</f>
        <v>Wounded</v>
      </c>
      <c r="C1579" s="5" t="str">
        <f ca="1">IFERROR(__xludf.DUMMYFUNCTION("""COMPUTED_VALUE"""),"Male")</f>
        <v>Male</v>
      </c>
      <c r="D1579" s="5" t="str">
        <f ca="1">IFERROR(__xludf.DUMMYFUNCTION("""COMPUTED_VALUE"""),"Student")</f>
        <v>Student</v>
      </c>
      <c r="E1579" s="5">
        <f ca="1">IFERROR(__xludf.DUMMYFUNCTION("""COMPUTED_VALUE"""),15)</f>
        <v>15</v>
      </c>
      <c r="F1579" s="5"/>
    </row>
    <row r="1580" spans="1:6" ht="13">
      <c r="A1580" s="5" t="str">
        <f ca="1">IFERROR(__xludf.DUMMYFUNCTION("""COMPUTED_VALUE"""),"20090302SDROS")</f>
        <v>20090302SDROS</v>
      </c>
      <c r="B1580" s="5" t="str">
        <f ca="1">IFERROR(__xludf.DUMMYFUNCTION("""COMPUTED_VALUE"""),"None")</f>
        <v>None</v>
      </c>
      <c r="C1580" s="5" t="str">
        <f ca="1">IFERROR(__xludf.DUMMYFUNCTION("""COMPUTED_VALUE"""),"Male")</f>
        <v>Male</v>
      </c>
      <c r="D1580" s="5" t="str">
        <f ca="1">IFERROR(__xludf.DUMMYFUNCTION("""COMPUTED_VALUE"""),"Student")</f>
        <v>Student</v>
      </c>
      <c r="E1580" s="5">
        <f ca="1">IFERROR(__xludf.DUMMYFUNCTION("""COMPUTED_VALUE"""),8)</f>
        <v>8</v>
      </c>
      <c r="F1580" s="5"/>
    </row>
    <row r="1581" spans="1:6" ht="13">
      <c r="A1581" s="5" t="str">
        <f ca="1">IFERROR(__xludf.DUMMYFUNCTION("""COMPUTED_VALUE"""),"20090223CTBRN")</f>
        <v>20090223CTBRN</v>
      </c>
      <c r="B1581" s="5" t="str">
        <f ca="1">IFERROR(__xludf.DUMMYFUNCTION("""COMPUTED_VALUE"""),"None")</f>
        <v>None</v>
      </c>
      <c r="C1581" s="5" t="str">
        <f ca="1">IFERROR(__xludf.DUMMYFUNCTION("""COMPUTED_VALUE"""),"Male")</f>
        <v>Male</v>
      </c>
      <c r="D1581" s="5" t="str">
        <f ca="1">IFERROR(__xludf.DUMMYFUNCTION("""COMPUTED_VALUE"""),"No Relation")</f>
        <v>No Relation</v>
      </c>
      <c r="E1581" s="5">
        <f ca="1">IFERROR(__xludf.DUMMYFUNCTION("""COMPUTED_VALUE"""),19)</f>
        <v>19</v>
      </c>
      <c r="F1581" s="5"/>
    </row>
    <row r="1582" spans="1:6" ht="13">
      <c r="A1582" s="5" t="str">
        <f ca="1">IFERROR(__xludf.DUMMYFUNCTION("""COMPUTED_VALUE"""),"20090220CAJOH")</f>
        <v>20090220CAJOH</v>
      </c>
      <c r="B1582" s="5" t="str">
        <f ca="1">IFERROR(__xludf.DUMMYFUNCTION("""COMPUTED_VALUE"""),"None")</f>
        <v>None</v>
      </c>
      <c r="C1582" s="5" t="str">
        <f ca="1">IFERROR(__xludf.DUMMYFUNCTION("""COMPUTED_VALUE"""),"Male")</f>
        <v>Male</v>
      </c>
      <c r="D1582" s="5" t="str">
        <f ca="1">IFERROR(__xludf.DUMMYFUNCTION("""COMPUTED_VALUE"""),"Nonstudent")</f>
        <v>Nonstudent</v>
      </c>
      <c r="E1582" s="5">
        <f ca="1">IFERROR(__xludf.DUMMYFUNCTION("""COMPUTED_VALUE"""),29)</f>
        <v>29</v>
      </c>
      <c r="F1582" s="5"/>
    </row>
    <row r="1583" spans="1:6" ht="13">
      <c r="A1583" s="5" t="str">
        <f ca="1">IFERROR(__xludf.DUMMYFUNCTION("""COMPUTED_VALUE"""),"20090220CAJOH")</f>
        <v>20090220CAJOH</v>
      </c>
      <c r="B1583" s="5" t="str">
        <f ca="1">IFERROR(__xludf.DUMMYFUNCTION("""COMPUTED_VALUE"""),"None")</f>
        <v>None</v>
      </c>
      <c r="C1583" s="5" t="str">
        <f ca="1">IFERROR(__xludf.DUMMYFUNCTION("""COMPUTED_VALUE"""),"Male")</f>
        <v>Male</v>
      </c>
      <c r="D1583" s="5" t="str">
        <f ca="1">IFERROR(__xludf.DUMMYFUNCTION("""COMPUTED_VALUE"""),"Nonstudent")</f>
        <v>Nonstudent</v>
      </c>
      <c r="E1583" s="5">
        <f ca="1">IFERROR(__xludf.DUMMYFUNCTION("""COMPUTED_VALUE"""),5)</f>
        <v>5</v>
      </c>
      <c r="F1583" s="5"/>
    </row>
    <row r="1584" spans="1:6" ht="13">
      <c r="A1584" s="5" t="str">
        <f ca="1">IFERROR(__xludf.DUMMYFUNCTION("""COMPUTED_VALUE"""),"20090217MICED")</f>
        <v>20090217MICED</v>
      </c>
      <c r="B1584" s="5" t="str">
        <f ca="1">IFERROR(__xludf.DUMMYFUNCTION("""COMPUTED_VALUE"""),"Wounded")</f>
        <v>Wounded</v>
      </c>
      <c r="C1584" s="5" t="str">
        <f ca="1">IFERROR(__xludf.DUMMYFUNCTION("""COMPUTED_VALUE"""),"Male")</f>
        <v>Male</v>
      </c>
      <c r="D1584" s="5" t="str">
        <f ca="1">IFERROR(__xludf.DUMMYFUNCTION("""COMPUTED_VALUE"""),"Relative")</f>
        <v>Relative</v>
      </c>
      <c r="E1584" s="5">
        <f ca="1">IFERROR(__xludf.DUMMYFUNCTION("""COMPUTED_VALUE"""),19)</f>
        <v>19</v>
      </c>
      <c r="F1584" s="5"/>
    </row>
    <row r="1585" spans="1:6" ht="13">
      <c r="A1585" s="5" t="str">
        <f ca="1">IFERROR(__xludf.DUMMYFUNCTION("""COMPUTED_VALUE"""),"20090211NCSCZ")</f>
        <v>20090211NCSCZ</v>
      </c>
      <c r="B1585" s="5" t="str">
        <f ca="1">IFERROR(__xludf.DUMMYFUNCTION("""COMPUTED_VALUE"""),"Wounded")</f>
        <v>Wounded</v>
      </c>
      <c r="C1585" s="5" t="str">
        <f ca="1">IFERROR(__xludf.DUMMYFUNCTION("""COMPUTED_VALUE"""),"Male")</f>
        <v>Male</v>
      </c>
      <c r="D1585" s="5" t="str">
        <f ca="1">IFERROR(__xludf.DUMMYFUNCTION("""COMPUTED_VALUE"""),"Student")</f>
        <v>Student</v>
      </c>
      <c r="E1585" s="5">
        <f ca="1">IFERROR(__xludf.DUMMYFUNCTION("""COMPUTED_VALUE"""),14)</f>
        <v>14</v>
      </c>
      <c r="F1585" s="5" t="str">
        <f ca="1">IFERROR(__xludf.DUMMYFUNCTION("""COMPUTED_VALUE"""),"White")</f>
        <v>White</v>
      </c>
    </row>
    <row r="1586" spans="1:6" ht="13">
      <c r="A1586" s="5" t="str">
        <f ca="1">IFERROR(__xludf.DUMMYFUNCTION("""COMPUTED_VALUE"""),"20090210CABAE")</f>
        <v>20090210CABAE</v>
      </c>
      <c r="B1586" s="5" t="str">
        <f ca="1">IFERROR(__xludf.DUMMYFUNCTION("""COMPUTED_VALUE"""),"None")</f>
        <v>None</v>
      </c>
      <c r="C1586" s="5"/>
      <c r="D1586" s="5"/>
      <c r="E1586" s="5"/>
      <c r="F1586" s="5"/>
    </row>
    <row r="1587" spans="1:6" ht="13">
      <c r="A1587" s="5" t="str">
        <f ca="1">IFERROR(__xludf.DUMMYFUNCTION("""COMPUTED_VALUE"""),"20090127NCCLC")</f>
        <v>20090127NCCLC</v>
      </c>
      <c r="B1587" s="5" t="str">
        <f ca="1">IFERROR(__xludf.DUMMYFUNCTION("""COMPUTED_VALUE"""),"None")</f>
        <v>None</v>
      </c>
      <c r="C1587" s="5"/>
      <c r="D1587" s="5"/>
      <c r="E1587" s="5"/>
      <c r="F1587" s="5"/>
    </row>
    <row r="1588" spans="1:6" ht="13">
      <c r="A1588" s="5" t="str">
        <f ca="1">IFERROR(__xludf.DUMMYFUNCTION("""COMPUTED_VALUE"""),"20090123ILCAC")</f>
        <v>20090123ILCAC</v>
      </c>
      <c r="B1588" s="5" t="str">
        <f ca="1">IFERROR(__xludf.DUMMYFUNCTION("""COMPUTED_VALUE"""),"Fatal")</f>
        <v>Fatal</v>
      </c>
      <c r="C1588" s="5" t="str">
        <f ca="1">IFERROR(__xludf.DUMMYFUNCTION("""COMPUTED_VALUE"""),"Male")</f>
        <v>Male</v>
      </c>
      <c r="D1588" s="5" t="str">
        <f ca="1">IFERROR(__xludf.DUMMYFUNCTION("""COMPUTED_VALUE"""),"Former Student")</f>
        <v>Former Student</v>
      </c>
      <c r="E1588" s="5">
        <f ca="1">IFERROR(__xludf.DUMMYFUNCTION("""COMPUTED_VALUE"""),17)</f>
        <v>17</v>
      </c>
      <c r="F1588" s="5" t="str">
        <f ca="1">IFERROR(__xludf.DUMMYFUNCTION("""COMPUTED_VALUE"""),"Black")</f>
        <v>Black</v>
      </c>
    </row>
    <row r="1589" spans="1:6" ht="13">
      <c r="A1589" s="5" t="str">
        <f ca="1">IFERROR(__xludf.DUMMYFUNCTION("""COMPUTED_VALUE"""),"20090120PAEAE")</f>
        <v>20090120PAEAE</v>
      </c>
      <c r="B1589" s="5" t="str">
        <f ca="1">IFERROR(__xludf.DUMMYFUNCTION("""COMPUTED_VALUE"""),"Wounded")</f>
        <v>Wounded</v>
      </c>
      <c r="C1589" s="5" t="str">
        <f ca="1">IFERROR(__xludf.DUMMYFUNCTION("""COMPUTED_VALUE"""),"Female")</f>
        <v>Female</v>
      </c>
      <c r="D1589" s="5" t="str">
        <f ca="1">IFERROR(__xludf.DUMMYFUNCTION("""COMPUTED_VALUE"""),"Nonstudent")</f>
        <v>Nonstudent</v>
      </c>
      <c r="E1589" s="5">
        <f ca="1">IFERROR(__xludf.DUMMYFUNCTION("""COMPUTED_VALUE"""),21)</f>
        <v>21</v>
      </c>
      <c r="F1589" s="5"/>
    </row>
    <row r="1590" spans="1:6" ht="13">
      <c r="A1590" s="5" t="str">
        <f ca="1">IFERROR(__xludf.DUMMYFUNCTION("""COMPUTED_VALUE"""),"20090120MIBEM")</f>
        <v>20090120MIBEM</v>
      </c>
      <c r="B1590" s="5" t="str">
        <f ca="1">IFERROR(__xludf.DUMMYFUNCTION("""COMPUTED_VALUE"""),"Wounded")</f>
        <v>Wounded</v>
      </c>
      <c r="C1590" s="5" t="str">
        <f ca="1">IFERROR(__xludf.DUMMYFUNCTION("""COMPUTED_VALUE"""),"Male")</f>
        <v>Male</v>
      </c>
      <c r="D1590" s="5" t="str">
        <f ca="1">IFERROR(__xludf.DUMMYFUNCTION("""COMPUTED_VALUE"""),"Nonstudent Using Athletic Facilities/Attending Game")</f>
        <v>Nonstudent Using Athletic Facilities/Attending Game</v>
      </c>
      <c r="E1590" s="5">
        <f ca="1">IFERROR(__xludf.DUMMYFUNCTION("""COMPUTED_VALUE"""),19)</f>
        <v>19</v>
      </c>
      <c r="F1590" s="5"/>
    </row>
    <row r="1591" spans="1:6" ht="13">
      <c r="A1591" s="5" t="str">
        <f ca="1">IFERROR(__xludf.DUMMYFUNCTION("""COMPUTED_VALUE"""),"20090120MIBEM")</f>
        <v>20090120MIBEM</v>
      </c>
      <c r="B1591" s="5" t="str">
        <f ca="1">IFERROR(__xludf.DUMMYFUNCTION("""COMPUTED_VALUE"""),"Wounded")</f>
        <v>Wounded</v>
      </c>
      <c r="C1591" s="5" t="str">
        <f ca="1">IFERROR(__xludf.DUMMYFUNCTION("""COMPUTED_VALUE"""),"Male")</f>
        <v>Male</v>
      </c>
      <c r="D1591" s="5" t="str">
        <f ca="1">IFERROR(__xludf.DUMMYFUNCTION("""COMPUTED_VALUE"""),"Nonstudent Using Athletic Facilities/Attending Game")</f>
        <v>Nonstudent Using Athletic Facilities/Attending Game</v>
      </c>
      <c r="E1591" s="5">
        <f ca="1">IFERROR(__xludf.DUMMYFUNCTION("""COMPUTED_VALUE"""),19)</f>
        <v>19</v>
      </c>
      <c r="F1591" s="5"/>
    </row>
    <row r="1592" spans="1:6" ht="13">
      <c r="A1592" s="5" t="str">
        <f ca="1">IFERROR(__xludf.DUMMYFUNCTION("""COMPUTED_VALUE"""),"20090120MIBEM")</f>
        <v>20090120MIBEM</v>
      </c>
      <c r="B1592" s="5" t="str">
        <f ca="1">IFERROR(__xludf.DUMMYFUNCTION("""COMPUTED_VALUE"""),"Wounded")</f>
        <v>Wounded</v>
      </c>
      <c r="C1592" s="5" t="str">
        <f ca="1">IFERROR(__xludf.DUMMYFUNCTION("""COMPUTED_VALUE"""),"Male")</f>
        <v>Male</v>
      </c>
      <c r="D1592" s="5" t="str">
        <f ca="1">IFERROR(__xludf.DUMMYFUNCTION("""COMPUTED_VALUE"""),"Nonstudent Using Athletic Facilities/Attending Game")</f>
        <v>Nonstudent Using Athletic Facilities/Attending Game</v>
      </c>
      <c r="E1592" s="5">
        <f ca="1">IFERROR(__xludf.DUMMYFUNCTION("""COMPUTED_VALUE"""),16)</f>
        <v>16</v>
      </c>
      <c r="F1592" s="5"/>
    </row>
    <row r="1593" spans="1:6" ht="13">
      <c r="A1593" s="5" t="str">
        <f ca="1">IFERROR(__xludf.DUMMYFUNCTION("""COMPUTED_VALUE"""),"20090120MIBEM")</f>
        <v>20090120MIBEM</v>
      </c>
      <c r="B1593" s="5" t="str">
        <f ca="1">IFERROR(__xludf.DUMMYFUNCTION("""COMPUTED_VALUE"""),"Wounded")</f>
        <v>Wounded</v>
      </c>
      <c r="C1593" s="5" t="str">
        <f ca="1">IFERROR(__xludf.DUMMYFUNCTION("""COMPUTED_VALUE"""),"Male")</f>
        <v>Male</v>
      </c>
      <c r="D1593" s="5" t="str">
        <f ca="1">IFERROR(__xludf.DUMMYFUNCTION("""COMPUTED_VALUE"""),"Nonstudent Using Athletic Facilities/Attending Game")</f>
        <v>Nonstudent Using Athletic Facilities/Attending Game</v>
      </c>
      <c r="E1593" s="5">
        <f ca="1">IFERROR(__xludf.DUMMYFUNCTION("""COMPUTED_VALUE"""),20)</f>
        <v>20</v>
      </c>
      <c r="F1593" s="5"/>
    </row>
    <row r="1594" spans="1:6" ht="13">
      <c r="A1594" s="5" t="str">
        <f ca="1">IFERROR(__xludf.DUMMYFUNCTION("""COMPUTED_VALUE"""),"20090120ILCOC")</f>
        <v>20090120ILCOC</v>
      </c>
      <c r="B1594" s="5" t="str">
        <f ca="1">IFERROR(__xludf.DUMMYFUNCTION("""COMPUTED_VALUE"""),"Wounded")</f>
        <v>Wounded</v>
      </c>
      <c r="C1594" s="5" t="str">
        <f ca="1">IFERROR(__xludf.DUMMYFUNCTION("""COMPUTED_VALUE"""),"Male")</f>
        <v>Male</v>
      </c>
      <c r="D1594" s="5" t="str">
        <f ca="1">IFERROR(__xludf.DUMMYFUNCTION("""COMPUTED_VALUE"""),"Nonstudent Using Athletic Facilities/Attending Game")</f>
        <v>Nonstudent Using Athletic Facilities/Attending Game</v>
      </c>
      <c r="E1594" s="5">
        <f ca="1">IFERROR(__xludf.DUMMYFUNCTION("""COMPUTED_VALUE"""),16)</f>
        <v>16</v>
      </c>
      <c r="F1594" s="5" t="str">
        <f ca="1">IFERROR(__xludf.DUMMYFUNCTION("""COMPUTED_VALUE"""),"Black")</f>
        <v>Black</v>
      </c>
    </row>
    <row r="1595" spans="1:6" ht="13">
      <c r="A1595" s="5" t="str">
        <f ca="1">IFERROR(__xludf.DUMMYFUNCTION("""COMPUTED_VALUE"""),"20090114ILPEC")</f>
        <v>20090114ILPEC</v>
      </c>
      <c r="B1595" s="5" t="str">
        <f ca="1">IFERROR(__xludf.DUMMYFUNCTION("""COMPUTED_VALUE"""),"Wounded")</f>
        <v>Wounded</v>
      </c>
      <c r="C1595" s="5" t="str">
        <f ca="1">IFERROR(__xludf.DUMMYFUNCTION("""COMPUTED_VALUE"""),"Male")</f>
        <v>Male</v>
      </c>
      <c r="D1595" s="5" t="str">
        <f ca="1">IFERROR(__xludf.DUMMYFUNCTION("""COMPUTED_VALUE"""),"Student")</f>
        <v>Student</v>
      </c>
      <c r="E1595" s="5" t="str">
        <f ca="1">IFERROR(__xludf.DUMMYFUNCTION("""COMPUTED_VALUE"""),"Teen")</f>
        <v>Teen</v>
      </c>
      <c r="F1595" s="5"/>
    </row>
    <row r="1596" spans="1:6" ht="13">
      <c r="A1596" s="5" t="str">
        <f ca="1">IFERROR(__xludf.DUMMYFUNCTION("""COMPUTED_VALUE"""),"20090114ILPEC")</f>
        <v>20090114ILPEC</v>
      </c>
      <c r="B1596" s="5" t="str">
        <f ca="1">IFERROR(__xludf.DUMMYFUNCTION("""COMPUTED_VALUE"""),"Wounded")</f>
        <v>Wounded</v>
      </c>
      <c r="C1596" s="5" t="str">
        <f ca="1">IFERROR(__xludf.DUMMYFUNCTION("""COMPUTED_VALUE"""),"Male")</f>
        <v>Male</v>
      </c>
      <c r="D1596" s="5" t="str">
        <f ca="1">IFERROR(__xludf.DUMMYFUNCTION("""COMPUTED_VALUE"""),"Student")</f>
        <v>Student</v>
      </c>
      <c r="E1596" s="5" t="str">
        <f ca="1">IFERROR(__xludf.DUMMYFUNCTION("""COMPUTED_VALUE"""),"Teen")</f>
        <v>Teen</v>
      </c>
      <c r="F1596" s="5"/>
    </row>
    <row r="1597" spans="1:6" ht="13">
      <c r="A1597" s="5" t="str">
        <f ca="1">IFERROR(__xludf.DUMMYFUNCTION("""COMPUTED_VALUE"""),"20090114ILPEC")</f>
        <v>20090114ILPEC</v>
      </c>
      <c r="B1597" s="5" t="str">
        <f ca="1">IFERROR(__xludf.DUMMYFUNCTION("""COMPUTED_VALUE"""),"Wounded")</f>
        <v>Wounded</v>
      </c>
      <c r="C1597" s="5" t="str">
        <f ca="1">IFERROR(__xludf.DUMMYFUNCTION("""COMPUTED_VALUE"""),"Male")</f>
        <v>Male</v>
      </c>
      <c r="D1597" s="5" t="str">
        <f ca="1">IFERROR(__xludf.DUMMYFUNCTION("""COMPUTED_VALUE"""),"Student")</f>
        <v>Student</v>
      </c>
      <c r="E1597" s="5" t="str">
        <f ca="1">IFERROR(__xludf.DUMMYFUNCTION("""COMPUTED_VALUE"""),"Teen")</f>
        <v>Teen</v>
      </c>
      <c r="F1597" s="5"/>
    </row>
    <row r="1598" spans="1:6" ht="13">
      <c r="A1598" s="5" t="str">
        <f ca="1">IFERROR(__xludf.DUMMYFUNCTION("""COMPUTED_VALUE"""),"20090109ILDUC")</f>
        <v>20090109ILDUC</v>
      </c>
      <c r="B1598" s="5" t="str">
        <f ca="1">IFERROR(__xludf.DUMMYFUNCTION("""COMPUTED_VALUE"""),"Wounded")</f>
        <v>Wounded</v>
      </c>
      <c r="C1598" s="5" t="str">
        <f ca="1">IFERROR(__xludf.DUMMYFUNCTION("""COMPUTED_VALUE"""),"Male")</f>
        <v>Male</v>
      </c>
      <c r="D1598" s="5" t="str">
        <f ca="1">IFERROR(__xludf.DUMMYFUNCTION("""COMPUTED_VALUE"""),"Gang Member")</f>
        <v>Gang Member</v>
      </c>
      <c r="E1598" s="5" t="str">
        <f ca="1">IFERROR(__xludf.DUMMYFUNCTION("""COMPUTED_VALUE"""),"Teen")</f>
        <v>Teen</v>
      </c>
      <c r="F1598" s="5"/>
    </row>
    <row r="1599" spans="1:6" ht="13">
      <c r="A1599" s="5" t="str">
        <f ca="1">IFERROR(__xludf.DUMMYFUNCTION("""COMPUTED_VALUE"""),"20090109ILDUC")</f>
        <v>20090109ILDUC</v>
      </c>
      <c r="B1599" s="5" t="str">
        <f ca="1">IFERROR(__xludf.DUMMYFUNCTION("""COMPUTED_VALUE"""),"Wounded")</f>
        <v>Wounded</v>
      </c>
      <c r="C1599" s="5" t="str">
        <f ca="1">IFERROR(__xludf.DUMMYFUNCTION("""COMPUTED_VALUE"""),"Male")</f>
        <v>Male</v>
      </c>
      <c r="D1599" s="5" t="str">
        <f ca="1">IFERROR(__xludf.DUMMYFUNCTION("""COMPUTED_VALUE"""),"Gang Member")</f>
        <v>Gang Member</v>
      </c>
      <c r="E1599" s="5" t="str">
        <f ca="1">IFERROR(__xludf.DUMMYFUNCTION("""COMPUTED_VALUE"""),"Teen")</f>
        <v>Teen</v>
      </c>
      <c r="F1599" s="5"/>
    </row>
    <row r="1600" spans="1:6" ht="13">
      <c r="A1600" s="5" t="str">
        <f ca="1">IFERROR(__xludf.DUMMYFUNCTION("""COMPUTED_VALUE"""),"20090109ILDUC")</f>
        <v>20090109ILDUC</v>
      </c>
      <c r="B1600" s="5" t="str">
        <f ca="1">IFERROR(__xludf.DUMMYFUNCTION("""COMPUTED_VALUE"""),"Wounded")</f>
        <v>Wounded</v>
      </c>
      <c r="C1600" s="5" t="str">
        <f ca="1">IFERROR(__xludf.DUMMYFUNCTION("""COMPUTED_VALUE"""),"Male")</f>
        <v>Male</v>
      </c>
      <c r="D1600" s="5" t="str">
        <f ca="1">IFERROR(__xludf.DUMMYFUNCTION("""COMPUTED_VALUE"""),"Gang Member")</f>
        <v>Gang Member</v>
      </c>
      <c r="E1600" s="5" t="str">
        <f ca="1">IFERROR(__xludf.DUMMYFUNCTION("""COMPUTED_VALUE"""),"Teen")</f>
        <v>Teen</v>
      </c>
      <c r="F1600" s="5"/>
    </row>
    <row r="1601" spans="1:6" ht="13">
      <c r="A1601" s="5" t="str">
        <f ca="1">IFERROR(__xludf.DUMMYFUNCTION("""COMPUTED_VALUE"""),"20090109ILDUC")</f>
        <v>20090109ILDUC</v>
      </c>
      <c r="B1601" s="5" t="str">
        <f ca="1">IFERROR(__xludf.DUMMYFUNCTION("""COMPUTED_VALUE"""),"Wounded")</f>
        <v>Wounded</v>
      </c>
      <c r="C1601" s="5" t="str">
        <f ca="1">IFERROR(__xludf.DUMMYFUNCTION("""COMPUTED_VALUE"""),"Male")</f>
        <v>Male</v>
      </c>
      <c r="D1601" s="5" t="str">
        <f ca="1">IFERROR(__xludf.DUMMYFUNCTION("""COMPUTED_VALUE"""),"Gang Member")</f>
        <v>Gang Member</v>
      </c>
      <c r="E1601" s="5" t="str">
        <f ca="1">IFERROR(__xludf.DUMMYFUNCTION("""COMPUTED_VALUE"""),"Teen")</f>
        <v>Teen</v>
      </c>
      <c r="F1601" s="5"/>
    </row>
    <row r="1602" spans="1:6" ht="13">
      <c r="A1602" s="5" t="str">
        <f ca="1">IFERROR(__xludf.DUMMYFUNCTION("""COMPUTED_VALUE"""),"20090109ILDUC")</f>
        <v>20090109ILDUC</v>
      </c>
      <c r="B1602" s="5" t="str">
        <f ca="1">IFERROR(__xludf.DUMMYFUNCTION("""COMPUTED_VALUE"""),"Wounded")</f>
        <v>Wounded</v>
      </c>
      <c r="C1602" s="5" t="str">
        <f ca="1">IFERROR(__xludf.DUMMYFUNCTION("""COMPUTED_VALUE"""),"Male")</f>
        <v>Male</v>
      </c>
      <c r="D1602" s="5" t="str">
        <f ca="1">IFERROR(__xludf.DUMMYFUNCTION("""COMPUTED_VALUE"""),"Gang Member")</f>
        <v>Gang Member</v>
      </c>
      <c r="E1602" s="5" t="str">
        <f ca="1">IFERROR(__xludf.DUMMYFUNCTION("""COMPUTED_VALUE"""),"Teen")</f>
        <v>Teen</v>
      </c>
      <c r="F1602" s="5"/>
    </row>
    <row r="1603" spans="1:6" ht="13">
      <c r="A1603" s="5" t="str">
        <f ca="1">IFERROR(__xludf.DUMMYFUNCTION("""COMPUTED_VALUE"""),"20090108DEWIN")</f>
        <v>20090108DEWIN</v>
      </c>
      <c r="B1603" s="5" t="str">
        <f ca="1">IFERROR(__xludf.DUMMYFUNCTION("""COMPUTED_VALUE"""),"Wounded")</f>
        <v>Wounded</v>
      </c>
      <c r="C1603" s="5" t="str">
        <f ca="1">IFERROR(__xludf.DUMMYFUNCTION("""COMPUTED_VALUE"""),"Male")</f>
        <v>Male</v>
      </c>
      <c r="D1603" s="5" t="str">
        <f ca="1">IFERROR(__xludf.DUMMYFUNCTION("""COMPUTED_VALUE"""),"Student")</f>
        <v>Student</v>
      </c>
      <c r="E1603" s="5">
        <f ca="1">IFERROR(__xludf.DUMMYFUNCTION("""COMPUTED_VALUE"""),18)</f>
        <v>18</v>
      </c>
      <c r="F1603" s="5"/>
    </row>
    <row r="1604" spans="1:6" ht="13">
      <c r="A1604" s="5" t="str">
        <f ca="1">IFERROR(__xludf.DUMMYFUNCTION("""COMPUTED_VALUE"""),"20090108DEWIN")</f>
        <v>20090108DEWIN</v>
      </c>
      <c r="B1604" s="5" t="str">
        <f ca="1">IFERROR(__xludf.DUMMYFUNCTION("""COMPUTED_VALUE"""),"Wounded")</f>
        <v>Wounded</v>
      </c>
      <c r="C1604" s="5" t="str">
        <f ca="1">IFERROR(__xludf.DUMMYFUNCTION("""COMPUTED_VALUE"""),"Female")</f>
        <v>Female</v>
      </c>
      <c r="D1604" s="5" t="str">
        <f ca="1">IFERROR(__xludf.DUMMYFUNCTION("""COMPUTED_VALUE"""),"Police Officer/SRO")</f>
        <v>Police Officer/SRO</v>
      </c>
      <c r="E1604" s="5" t="str">
        <f ca="1">IFERROR(__xludf.DUMMYFUNCTION("""COMPUTED_VALUE"""),"Adult")</f>
        <v>Adult</v>
      </c>
      <c r="F1604" s="5"/>
    </row>
    <row r="1605" spans="1:6" ht="13">
      <c r="A1605" s="5" t="str">
        <f ca="1">IFERROR(__xludf.DUMMYFUNCTION("""COMPUTED_VALUE"""),"20081231OKKEN")</f>
        <v>20081231OKKEN</v>
      </c>
      <c r="B1605" s="5" t="str">
        <f ca="1">IFERROR(__xludf.DUMMYFUNCTION("""COMPUTED_VALUE"""),"None")</f>
        <v>None</v>
      </c>
      <c r="C1605" s="5" t="str">
        <f ca="1">IFERROR(__xludf.DUMMYFUNCTION("""COMPUTED_VALUE"""),"Male")</f>
        <v>Male</v>
      </c>
      <c r="D1605" s="5" t="str">
        <f ca="1">IFERROR(__xludf.DUMMYFUNCTION("""COMPUTED_VALUE"""),"Nonstudent")</f>
        <v>Nonstudent</v>
      </c>
      <c r="E1605" s="5">
        <f ca="1">IFERROR(__xludf.DUMMYFUNCTION("""COMPUTED_VALUE"""),68)</f>
        <v>68</v>
      </c>
      <c r="F1605" s="5"/>
    </row>
    <row r="1606" spans="1:6" ht="13">
      <c r="A1606" s="5" t="str">
        <f ca="1">IFERROR(__xludf.DUMMYFUNCTION("""COMPUTED_VALUE"""),"20081231GASHS")</f>
        <v>20081231GASHS</v>
      </c>
      <c r="B1606" s="5" t="str">
        <f ca="1">IFERROR(__xludf.DUMMYFUNCTION("""COMPUTED_VALUE"""),"Wounded")</f>
        <v>Wounded</v>
      </c>
      <c r="C1606" s="5" t="str">
        <f ca="1">IFERROR(__xludf.DUMMYFUNCTION("""COMPUTED_VALUE"""),"Unknown")</f>
        <v>Unknown</v>
      </c>
      <c r="D1606" s="5" t="str">
        <f ca="1">IFERROR(__xludf.DUMMYFUNCTION("""COMPUTED_VALUE"""),"Other Staff")</f>
        <v>Other Staff</v>
      </c>
      <c r="E1606" s="5" t="str">
        <f ca="1">IFERROR(__xludf.DUMMYFUNCTION("""COMPUTED_VALUE"""),"Adult")</f>
        <v>Adult</v>
      </c>
      <c r="F1606" s="5"/>
    </row>
    <row r="1607" spans="1:6" ht="13">
      <c r="A1607" s="5" t="str">
        <f ca="1">IFERROR(__xludf.DUMMYFUNCTION("""COMPUTED_VALUE"""),"20081227PAWIP")</f>
        <v>20081227PAWIP</v>
      </c>
      <c r="B1607" s="5" t="str">
        <f ca="1">IFERROR(__xludf.DUMMYFUNCTION("""COMPUTED_VALUE"""),"Wounded")</f>
        <v>Wounded</v>
      </c>
      <c r="C1607" s="5" t="str">
        <f ca="1">IFERROR(__xludf.DUMMYFUNCTION("""COMPUTED_VALUE"""),"Male")</f>
        <v>Male</v>
      </c>
      <c r="D1607" s="5" t="str">
        <f ca="1">IFERROR(__xludf.DUMMYFUNCTION("""COMPUTED_VALUE"""),"Nonstudent")</f>
        <v>Nonstudent</v>
      </c>
      <c r="E1607" s="5">
        <f ca="1">IFERROR(__xludf.DUMMYFUNCTION("""COMPUTED_VALUE"""),27)</f>
        <v>27</v>
      </c>
      <c r="F1607" s="5"/>
    </row>
    <row r="1608" spans="1:6" ht="13">
      <c r="A1608" s="5" t="str">
        <f ca="1">IFERROR(__xludf.DUMMYFUNCTION("""COMPUTED_VALUE"""),"20081227PAWIP")</f>
        <v>20081227PAWIP</v>
      </c>
      <c r="B1608" s="5" t="str">
        <f ca="1">IFERROR(__xludf.DUMMYFUNCTION("""COMPUTED_VALUE"""),"Wounded")</f>
        <v>Wounded</v>
      </c>
      <c r="C1608" s="5" t="str">
        <f ca="1">IFERROR(__xludf.DUMMYFUNCTION("""COMPUTED_VALUE"""),"Female")</f>
        <v>Female</v>
      </c>
      <c r="D1608" s="5" t="str">
        <f ca="1">IFERROR(__xludf.DUMMYFUNCTION("""COMPUTED_VALUE"""),"Nonstudent")</f>
        <v>Nonstudent</v>
      </c>
      <c r="E1608" s="5">
        <f ca="1">IFERROR(__xludf.DUMMYFUNCTION("""COMPUTED_VALUE"""),31)</f>
        <v>31</v>
      </c>
      <c r="F1608" s="5"/>
    </row>
    <row r="1609" spans="1:6" ht="13">
      <c r="A1609" s="5" t="str">
        <f ca="1">IFERROR(__xludf.DUMMYFUNCTION("""COMPUTED_VALUE"""),"20081222FLLAL")</f>
        <v>20081222FLLAL</v>
      </c>
      <c r="B1609" s="5" t="str">
        <f ca="1">IFERROR(__xludf.DUMMYFUNCTION("""COMPUTED_VALUE"""),"None")</f>
        <v>None</v>
      </c>
      <c r="C1609" s="5" t="str">
        <f ca="1">IFERROR(__xludf.DUMMYFUNCTION("""COMPUTED_VALUE"""),"Female")</f>
        <v>Female</v>
      </c>
      <c r="D1609" s="5" t="str">
        <f ca="1">IFERROR(__xludf.DUMMYFUNCTION("""COMPUTED_VALUE"""),"Teacher")</f>
        <v>Teacher</v>
      </c>
      <c r="E1609" s="5">
        <f ca="1">IFERROR(__xludf.DUMMYFUNCTION("""COMPUTED_VALUE"""),47)</f>
        <v>47</v>
      </c>
      <c r="F1609" s="5" t="str">
        <f ca="1">IFERROR(__xludf.DUMMYFUNCTION("""COMPUTED_VALUE"""),"White")</f>
        <v>White</v>
      </c>
    </row>
    <row r="1610" spans="1:6" ht="13">
      <c r="A1610" s="5" t="str">
        <f ca="1">IFERROR(__xludf.DUMMYFUNCTION("""COMPUTED_VALUE"""),"20081221SCSUS")</f>
        <v>20081221SCSUS</v>
      </c>
      <c r="B1610" s="5" t="str">
        <f ca="1">IFERROR(__xludf.DUMMYFUNCTION("""COMPUTED_VALUE"""),"Wounded")</f>
        <v>Wounded</v>
      </c>
      <c r="C1610" s="5" t="str">
        <f ca="1">IFERROR(__xludf.DUMMYFUNCTION("""COMPUTED_VALUE"""),"Male")</f>
        <v>Male</v>
      </c>
      <c r="D1610" s="5" t="str">
        <f ca="1">IFERROR(__xludf.DUMMYFUNCTION("""COMPUTED_VALUE"""),"Student")</f>
        <v>Student</v>
      </c>
      <c r="E1610" s="5">
        <f ca="1">IFERROR(__xludf.DUMMYFUNCTION("""COMPUTED_VALUE"""),17)</f>
        <v>17</v>
      </c>
      <c r="F1610" s="5"/>
    </row>
    <row r="1611" spans="1:6" ht="13">
      <c r="A1611" s="5" t="str">
        <f ca="1">IFERROR(__xludf.DUMMYFUNCTION("""COMPUTED_VALUE"""),"20081212NYWIM")</f>
        <v>20081212NYWIM</v>
      </c>
      <c r="B1611" s="5" t="str">
        <f ca="1">IFERROR(__xludf.DUMMYFUNCTION("""COMPUTED_VALUE"""),"Wounded")</f>
        <v>Wounded</v>
      </c>
      <c r="C1611" s="5" t="str">
        <f ca="1">IFERROR(__xludf.DUMMYFUNCTION("""COMPUTED_VALUE"""),"Male")</f>
        <v>Male</v>
      </c>
      <c r="D1611" s="5" t="str">
        <f ca="1">IFERROR(__xludf.DUMMYFUNCTION("""COMPUTED_VALUE"""),"Student")</f>
        <v>Student</v>
      </c>
      <c r="E1611" s="5">
        <f ca="1">IFERROR(__xludf.DUMMYFUNCTION("""COMPUTED_VALUE"""),14)</f>
        <v>14</v>
      </c>
      <c r="F1611" s="5"/>
    </row>
    <row r="1612" spans="1:6" ht="13">
      <c r="A1612" s="5" t="str">
        <f ca="1">IFERROR(__xludf.DUMMYFUNCTION("""COMPUTED_VALUE"""),"20081212NCGUA")</f>
        <v>20081212NCGUA</v>
      </c>
      <c r="B1612" s="5" t="str">
        <f ca="1">IFERROR(__xludf.DUMMYFUNCTION("""COMPUTED_VALUE"""),"Fatal")</f>
        <v>Fatal</v>
      </c>
      <c r="C1612" s="5" t="str">
        <f ca="1">IFERROR(__xludf.DUMMYFUNCTION("""COMPUTED_VALUE"""),"Male")</f>
        <v>Male</v>
      </c>
      <c r="D1612" s="5" t="str">
        <f ca="1">IFERROR(__xludf.DUMMYFUNCTION("""COMPUTED_VALUE"""),"No Relation")</f>
        <v>No Relation</v>
      </c>
      <c r="E1612" s="5">
        <f ca="1">IFERROR(__xludf.DUMMYFUNCTION("""COMPUTED_VALUE"""),16)</f>
        <v>16</v>
      </c>
      <c r="F1612" s="5"/>
    </row>
    <row r="1613" spans="1:6" ht="13">
      <c r="A1613" s="5" t="str">
        <f ca="1">IFERROR(__xludf.DUMMYFUNCTION("""COMPUTED_VALUE"""),"20081205MNSHF")</f>
        <v>20081205MNSHF</v>
      </c>
      <c r="B1613" s="5" t="str">
        <f ca="1">IFERROR(__xludf.DUMMYFUNCTION("""COMPUTED_VALUE"""),"None")</f>
        <v>None</v>
      </c>
      <c r="C1613" s="5" t="str">
        <f ca="1">IFERROR(__xludf.DUMMYFUNCTION("""COMPUTED_VALUE"""),"Male")</f>
        <v>Male</v>
      </c>
      <c r="D1613" s="5" t="str">
        <f ca="1">IFERROR(__xludf.DUMMYFUNCTION("""COMPUTED_VALUE"""),"Teacher")</f>
        <v>Teacher</v>
      </c>
      <c r="E1613" s="5">
        <f ca="1">IFERROR(__xludf.DUMMYFUNCTION("""COMPUTED_VALUE"""),34)</f>
        <v>34</v>
      </c>
      <c r="F1613" s="5"/>
    </row>
    <row r="1614" spans="1:6" ht="13">
      <c r="A1614" s="5" t="str">
        <f ca="1">IFERROR(__xludf.DUMMYFUNCTION("""COMPUTED_VALUE"""),"20081202CAKIK")</f>
        <v>20081202CAKIK</v>
      </c>
      <c r="B1614" s="5" t="str">
        <f ca="1">IFERROR(__xludf.DUMMYFUNCTION("""COMPUTED_VALUE"""),"Wounded")</f>
        <v>Wounded</v>
      </c>
      <c r="C1614" s="5" t="str">
        <f ca="1">IFERROR(__xludf.DUMMYFUNCTION("""COMPUTED_VALUE"""),"Male")</f>
        <v>Male</v>
      </c>
      <c r="D1614" s="5" t="str">
        <f ca="1">IFERROR(__xludf.DUMMYFUNCTION("""COMPUTED_VALUE"""),"Student")</f>
        <v>Student</v>
      </c>
      <c r="E1614" s="5">
        <f ca="1">IFERROR(__xludf.DUMMYFUNCTION("""COMPUTED_VALUE"""),15)</f>
        <v>15</v>
      </c>
      <c r="F1614" s="5"/>
    </row>
    <row r="1615" spans="1:6" ht="13">
      <c r="A1615" s="5" t="str">
        <f ca="1">IFERROR(__xludf.DUMMYFUNCTION("""COMPUTED_VALUE"""),"20081202CAKIK")</f>
        <v>20081202CAKIK</v>
      </c>
      <c r="B1615" s="5" t="str">
        <f ca="1">IFERROR(__xludf.DUMMYFUNCTION("""COMPUTED_VALUE"""),"Fatal")</f>
        <v>Fatal</v>
      </c>
      <c r="C1615" s="5" t="str">
        <f ca="1">IFERROR(__xludf.DUMMYFUNCTION("""COMPUTED_VALUE"""),"Female")</f>
        <v>Female</v>
      </c>
      <c r="D1615" s="5" t="str">
        <f ca="1">IFERROR(__xludf.DUMMYFUNCTION("""COMPUTED_VALUE"""),"Relative")</f>
        <v>Relative</v>
      </c>
      <c r="E1615" s="5">
        <f ca="1">IFERROR(__xludf.DUMMYFUNCTION("""COMPUTED_VALUE"""),11)</f>
        <v>11</v>
      </c>
      <c r="F1615" s="5"/>
    </row>
    <row r="1616" spans="1:6" ht="13">
      <c r="A1616" s="5" t="str">
        <f ca="1">IFERROR(__xludf.DUMMYFUNCTION("""COMPUTED_VALUE"""),"20081130CAOAG")</f>
        <v>20081130CAOAG</v>
      </c>
      <c r="B1616" s="5" t="str">
        <f ca="1">IFERROR(__xludf.DUMMYFUNCTION("""COMPUTED_VALUE"""),"Wounded")</f>
        <v>Wounded</v>
      </c>
      <c r="C1616" s="5" t="str">
        <f ca="1">IFERROR(__xludf.DUMMYFUNCTION("""COMPUTED_VALUE"""),"Male")</f>
        <v>Male</v>
      </c>
      <c r="D1616" s="5" t="str">
        <f ca="1">IFERROR(__xludf.DUMMYFUNCTION("""COMPUTED_VALUE"""),"No Relation")</f>
        <v>No Relation</v>
      </c>
      <c r="E1616" s="5">
        <f ca="1">IFERROR(__xludf.DUMMYFUNCTION("""COMPUTED_VALUE"""),19)</f>
        <v>19</v>
      </c>
      <c r="F1616" s="5"/>
    </row>
    <row r="1617" spans="1:6" ht="13">
      <c r="A1617" s="5" t="str">
        <f ca="1">IFERROR(__xludf.DUMMYFUNCTION("""COMPUTED_VALUE"""),"20081125TXNOH")</f>
        <v>20081125TXNOH</v>
      </c>
      <c r="B1617" s="5" t="str">
        <f ca="1">IFERROR(__xludf.DUMMYFUNCTION("""COMPUTED_VALUE"""),"Wounded")</f>
        <v>Wounded</v>
      </c>
      <c r="C1617" s="5" t="str">
        <f ca="1">IFERROR(__xludf.DUMMYFUNCTION("""COMPUTED_VALUE"""),"Male")</f>
        <v>Male</v>
      </c>
      <c r="D1617" s="5"/>
      <c r="E1617" s="5"/>
      <c r="F1617" s="5"/>
    </row>
    <row r="1618" spans="1:6" ht="13">
      <c r="A1618" s="5" t="str">
        <f ca="1">IFERROR(__xludf.DUMMYFUNCTION("""COMPUTED_VALUE"""),"20081118CACOO")</f>
        <v>20081118CACOO</v>
      </c>
      <c r="B1618" s="5" t="str">
        <f ca="1">IFERROR(__xludf.DUMMYFUNCTION("""COMPUTED_VALUE"""),"None")</f>
        <v>None</v>
      </c>
      <c r="C1618" s="5"/>
      <c r="D1618" s="5"/>
      <c r="E1618" s="5"/>
      <c r="F1618" s="5"/>
    </row>
    <row r="1619" spans="1:6" ht="13">
      <c r="A1619" s="5" t="str">
        <f ca="1">IFERROR(__xludf.DUMMYFUNCTION("""COMPUTED_VALUE"""),"20081118CACEC")</f>
        <v>20081118CACEC</v>
      </c>
      <c r="B1619" s="5" t="str">
        <f ca="1">IFERROR(__xludf.DUMMYFUNCTION("""COMPUTED_VALUE"""),"Wounded")</f>
        <v>Wounded</v>
      </c>
      <c r="C1619" s="5" t="str">
        <f ca="1">IFERROR(__xludf.DUMMYFUNCTION("""COMPUTED_VALUE"""),"Male")</f>
        <v>Male</v>
      </c>
      <c r="D1619" s="5" t="str">
        <f ca="1">IFERROR(__xludf.DUMMYFUNCTION("""COMPUTED_VALUE"""),"Student")</f>
        <v>Student</v>
      </c>
      <c r="E1619" s="5">
        <f ca="1">IFERROR(__xludf.DUMMYFUNCTION("""COMPUTED_VALUE"""),19)</f>
        <v>19</v>
      </c>
      <c r="F1619" s="5"/>
    </row>
    <row r="1620" spans="1:6" ht="13">
      <c r="A1620" s="5" t="str">
        <f ca="1">IFERROR(__xludf.DUMMYFUNCTION("""COMPUTED_VALUE"""),"20081115UTDES")</f>
        <v>20081115UTDES</v>
      </c>
      <c r="B1620" s="5" t="str">
        <f ca="1">IFERROR(__xludf.DUMMYFUNCTION("""COMPUTED_VALUE"""),"Fatal")</f>
        <v>Fatal</v>
      </c>
      <c r="C1620" s="5" t="str">
        <f ca="1">IFERROR(__xludf.DUMMYFUNCTION("""COMPUTED_VALUE"""),"Male")</f>
        <v>Male</v>
      </c>
      <c r="D1620" s="5" t="str">
        <f ca="1">IFERROR(__xludf.DUMMYFUNCTION("""COMPUTED_VALUE"""),"Student")</f>
        <v>Student</v>
      </c>
      <c r="E1620" s="5">
        <f ca="1">IFERROR(__xludf.DUMMYFUNCTION("""COMPUTED_VALUE"""),15)</f>
        <v>15</v>
      </c>
      <c r="F1620" s="5"/>
    </row>
    <row r="1621" spans="1:6" ht="13">
      <c r="A1621" s="5" t="str">
        <f ca="1">IFERROR(__xludf.DUMMYFUNCTION("""COMPUTED_VALUE"""),"20081115COTHL")</f>
        <v>20081115COTHL</v>
      </c>
      <c r="B1621" s="5" t="str">
        <f ca="1">IFERROR(__xludf.DUMMYFUNCTION("""COMPUTED_VALUE"""),"Fatal")</f>
        <v>Fatal</v>
      </c>
      <c r="C1621" s="5" t="str">
        <f ca="1">IFERROR(__xludf.DUMMYFUNCTION("""COMPUTED_VALUE"""),"Male")</f>
        <v>Male</v>
      </c>
      <c r="D1621" s="5" t="str">
        <f ca="1">IFERROR(__xludf.DUMMYFUNCTION("""COMPUTED_VALUE"""),"No Relation")</f>
        <v>No Relation</v>
      </c>
      <c r="E1621" s="5">
        <f ca="1">IFERROR(__xludf.DUMMYFUNCTION("""COMPUTED_VALUE"""),23)</f>
        <v>23</v>
      </c>
      <c r="F1621" s="5"/>
    </row>
    <row r="1622" spans="1:6" ht="13">
      <c r="A1622" s="5" t="str">
        <f ca="1">IFERROR(__xludf.DUMMYFUNCTION("""COMPUTED_VALUE"""),"20081112FLDIF")</f>
        <v>20081112FLDIF</v>
      </c>
      <c r="B1622" s="5" t="str">
        <f ca="1">IFERROR(__xludf.DUMMYFUNCTION("""COMPUTED_VALUE"""),"Fatal")</f>
        <v>Fatal</v>
      </c>
      <c r="C1622" s="5" t="str">
        <f ca="1">IFERROR(__xludf.DUMMYFUNCTION("""COMPUTED_VALUE"""),"Female")</f>
        <v>Female</v>
      </c>
      <c r="D1622" s="5" t="str">
        <f ca="1">IFERROR(__xludf.DUMMYFUNCTION("""COMPUTED_VALUE"""),"Student")</f>
        <v>Student</v>
      </c>
      <c r="E1622" s="5">
        <f ca="1">IFERROR(__xludf.DUMMYFUNCTION("""COMPUTED_VALUE"""),15)</f>
        <v>15</v>
      </c>
      <c r="F1622" s="5"/>
    </row>
    <row r="1623" spans="1:6" ht="13">
      <c r="A1623" s="5" t="str">
        <f ca="1">IFERROR(__xludf.DUMMYFUNCTION("""COMPUTED_VALUE"""),"20081103CAELO")</f>
        <v>20081103CAELO</v>
      </c>
      <c r="B1623" s="5" t="str">
        <f ca="1">IFERROR(__xludf.DUMMYFUNCTION("""COMPUTED_VALUE"""),"None")</f>
        <v>None</v>
      </c>
      <c r="C1623" s="5"/>
      <c r="D1623" s="5"/>
      <c r="E1623" s="5"/>
      <c r="F1623" s="5"/>
    </row>
    <row r="1624" spans="1:6" ht="13">
      <c r="A1624" s="5" t="str">
        <f ca="1">IFERROR(__xludf.DUMMYFUNCTION("""COMPUTED_VALUE"""),"20081103CABEB")</f>
        <v>20081103CABEB</v>
      </c>
      <c r="B1624" s="5" t="str">
        <f ca="1">IFERROR(__xludf.DUMMYFUNCTION("""COMPUTED_VALUE"""),"Fatal")</f>
        <v>Fatal</v>
      </c>
      <c r="C1624" s="5" t="str">
        <f ca="1">IFERROR(__xludf.DUMMYFUNCTION("""COMPUTED_VALUE"""),"Male")</f>
        <v>Male</v>
      </c>
      <c r="D1624" s="5"/>
      <c r="E1624" s="5">
        <f ca="1">IFERROR(__xludf.DUMMYFUNCTION("""COMPUTED_VALUE"""),18)</f>
        <v>18</v>
      </c>
      <c r="F1624" s="5"/>
    </row>
    <row r="1625" spans="1:6" ht="13">
      <c r="A1625" s="5" t="str">
        <f ca="1">IFERROR(__xludf.DUMMYFUNCTION("""COMPUTED_VALUE"""),"20081031MESTS")</f>
        <v>20081031MESTS</v>
      </c>
      <c r="B1625" s="5" t="str">
        <f ca="1">IFERROR(__xludf.DUMMYFUNCTION("""COMPUTED_VALUE"""),"None")</f>
        <v>None</v>
      </c>
      <c r="C1625" s="5"/>
      <c r="D1625" s="5"/>
      <c r="E1625" s="5"/>
      <c r="F1625" s="5"/>
    </row>
    <row r="1626" spans="1:6" ht="13">
      <c r="A1626" s="5" t="str">
        <f ca="1">IFERROR(__xludf.DUMMYFUNCTION("""COMPUTED_VALUE"""),"20081029CAELG")</f>
        <v>20081029CAELG</v>
      </c>
      <c r="B1626" s="5" t="str">
        <f ca="1">IFERROR(__xludf.DUMMYFUNCTION("""COMPUTED_VALUE"""),"Wounded")</f>
        <v>Wounded</v>
      </c>
      <c r="C1626" s="5" t="str">
        <f ca="1">IFERROR(__xludf.DUMMYFUNCTION("""COMPUTED_VALUE"""),"Female")</f>
        <v>Female</v>
      </c>
      <c r="D1626" s="5" t="str">
        <f ca="1">IFERROR(__xludf.DUMMYFUNCTION("""COMPUTED_VALUE"""),"Teacher")</f>
        <v>Teacher</v>
      </c>
      <c r="E1626" s="5" t="str">
        <f ca="1">IFERROR(__xludf.DUMMYFUNCTION("""COMPUTED_VALUE"""),"Adult")</f>
        <v>Adult</v>
      </c>
      <c r="F1626" s="5"/>
    </row>
    <row r="1627" spans="1:6" ht="13">
      <c r="A1627" s="5" t="str">
        <f ca="1">IFERROR(__xludf.DUMMYFUNCTION("""COMPUTED_VALUE"""),"20081023ALPRP")</f>
        <v>20081023ALPRP</v>
      </c>
      <c r="B1627" s="5" t="str">
        <f ca="1">IFERROR(__xludf.DUMMYFUNCTION("""COMPUTED_VALUE"""),"Wounded")</f>
        <v>Wounded</v>
      </c>
      <c r="C1627" s="5" t="str">
        <f ca="1">IFERROR(__xludf.DUMMYFUNCTION("""COMPUTED_VALUE"""),"Female")</f>
        <v>Female</v>
      </c>
      <c r="D1627" s="5" t="str">
        <f ca="1">IFERROR(__xludf.DUMMYFUNCTION("""COMPUTED_VALUE"""),"Parent")</f>
        <v>Parent</v>
      </c>
      <c r="E1627" s="5">
        <f ca="1">IFERROR(__xludf.DUMMYFUNCTION("""COMPUTED_VALUE"""),43)</f>
        <v>43</v>
      </c>
      <c r="F1627" s="5"/>
    </row>
    <row r="1628" spans="1:6" ht="13">
      <c r="A1628" s="5" t="str">
        <f ca="1">IFERROR(__xludf.DUMMYFUNCTION("""COMPUTED_VALUE"""),"20081020CAVAA")</f>
        <v>20081020CAVAA</v>
      </c>
      <c r="B1628" s="5" t="str">
        <f ca="1">IFERROR(__xludf.DUMMYFUNCTION("""COMPUTED_VALUE"""),"None")</f>
        <v>None</v>
      </c>
      <c r="C1628" s="5" t="str">
        <f ca="1">IFERROR(__xludf.DUMMYFUNCTION("""COMPUTED_VALUE"""),"Male")</f>
        <v>Male</v>
      </c>
      <c r="D1628" s="5" t="str">
        <f ca="1">IFERROR(__xludf.DUMMYFUNCTION("""COMPUTED_VALUE"""),"Student")</f>
        <v>Student</v>
      </c>
      <c r="E1628" s="5">
        <f ca="1">IFERROR(__xludf.DUMMYFUNCTION("""COMPUTED_VALUE"""),14)</f>
        <v>14</v>
      </c>
      <c r="F1628" s="5" t="str">
        <f ca="1">IFERROR(__xludf.DUMMYFUNCTION("""COMPUTED_VALUE"""),"White")</f>
        <v>White</v>
      </c>
    </row>
    <row r="1629" spans="1:6" ht="13">
      <c r="A1629" s="5" t="str">
        <f ca="1">IFERROR(__xludf.DUMMYFUNCTION("""COMPUTED_VALUE"""),"20081016MIHED")</f>
        <v>20081016MIHED</v>
      </c>
      <c r="B1629" s="5" t="str">
        <f ca="1">IFERROR(__xludf.DUMMYFUNCTION("""COMPUTED_VALUE"""),"Fatal")</f>
        <v>Fatal</v>
      </c>
      <c r="C1629" s="5" t="str">
        <f ca="1">IFERROR(__xludf.DUMMYFUNCTION("""COMPUTED_VALUE"""),"Male")</f>
        <v>Male</v>
      </c>
      <c r="D1629" s="5" t="str">
        <f ca="1">IFERROR(__xludf.DUMMYFUNCTION("""COMPUTED_VALUE"""),"Student")</f>
        <v>Student</v>
      </c>
      <c r="E1629" s="5">
        <f ca="1">IFERROR(__xludf.DUMMYFUNCTION("""COMPUTED_VALUE"""),16)</f>
        <v>16</v>
      </c>
      <c r="F1629" s="5"/>
    </row>
    <row r="1630" spans="1:6" ht="13">
      <c r="A1630" s="5" t="str">
        <f ca="1">IFERROR(__xludf.DUMMYFUNCTION("""COMPUTED_VALUE"""),"20081016MIHED")</f>
        <v>20081016MIHED</v>
      </c>
      <c r="B1630" s="5" t="str">
        <f ca="1">IFERROR(__xludf.DUMMYFUNCTION("""COMPUTED_VALUE"""),"Wounded")</f>
        <v>Wounded</v>
      </c>
      <c r="C1630" s="5" t="str">
        <f ca="1">IFERROR(__xludf.DUMMYFUNCTION("""COMPUTED_VALUE"""),"Female")</f>
        <v>Female</v>
      </c>
      <c r="D1630" s="5" t="str">
        <f ca="1">IFERROR(__xludf.DUMMYFUNCTION("""COMPUTED_VALUE"""),"Student")</f>
        <v>Student</v>
      </c>
      <c r="E1630" s="5">
        <f ca="1">IFERROR(__xludf.DUMMYFUNCTION("""COMPUTED_VALUE"""),15)</f>
        <v>15</v>
      </c>
      <c r="F1630" s="5"/>
    </row>
    <row r="1631" spans="1:6" ht="13">
      <c r="A1631" s="5" t="str">
        <f ca="1">IFERROR(__xludf.DUMMYFUNCTION("""COMPUTED_VALUE"""),"20081016MIHED")</f>
        <v>20081016MIHED</v>
      </c>
      <c r="B1631" s="5" t="str">
        <f ca="1">IFERROR(__xludf.DUMMYFUNCTION("""COMPUTED_VALUE"""),"Wounded")</f>
        <v>Wounded</v>
      </c>
      <c r="C1631" s="5" t="str">
        <f ca="1">IFERROR(__xludf.DUMMYFUNCTION("""COMPUTED_VALUE"""),"Male")</f>
        <v>Male</v>
      </c>
      <c r="D1631" s="5" t="str">
        <f ca="1">IFERROR(__xludf.DUMMYFUNCTION("""COMPUTED_VALUE"""),"Student")</f>
        <v>Student</v>
      </c>
      <c r="E1631" s="5">
        <f ca="1">IFERROR(__xludf.DUMMYFUNCTION("""COMPUTED_VALUE"""),16)</f>
        <v>16</v>
      </c>
      <c r="F1631" s="5"/>
    </row>
    <row r="1632" spans="1:6" ht="13">
      <c r="A1632" s="5" t="str">
        <f ca="1">IFERROR(__xludf.DUMMYFUNCTION("""COMPUTED_VALUE"""),"20081016MIHED")</f>
        <v>20081016MIHED</v>
      </c>
      <c r="B1632" s="5" t="str">
        <f ca="1">IFERROR(__xludf.DUMMYFUNCTION("""COMPUTED_VALUE"""),"Wounded")</f>
        <v>Wounded</v>
      </c>
      <c r="C1632" s="5" t="str">
        <f ca="1">IFERROR(__xludf.DUMMYFUNCTION("""COMPUTED_VALUE"""),"Male")</f>
        <v>Male</v>
      </c>
      <c r="D1632" s="5" t="str">
        <f ca="1">IFERROR(__xludf.DUMMYFUNCTION("""COMPUTED_VALUE"""),"Former Student")</f>
        <v>Former Student</v>
      </c>
      <c r="E1632" s="5">
        <f ca="1">IFERROR(__xludf.DUMMYFUNCTION("""COMPUTED_VALUE"""),16)</f>
        <v>16</v>
      </c>
      <c r="F1632" s="5"/>
    </row>
    <row r="1633" spans="1:6" ht="13">
      <c r="A1633" s="5" t="str">
        <f ca="1">IFERROR(__xludf.DUMMYFUNCTION("""COMPUTED_VALUE"""),"20080919CAGEA")</f>
        <v>20080919CAGEA</v>
      </c>
      <c r="B1633" s="5" t="str">
        <f ca="1">IFERROR(__xludf.DUMMYFUNCTION("""COMPUTED_VALUE"""),"Wounded")</f>
        <v>Wounded</v>
      </c>
      <c r="C1633" s="5" t="str">
        <f ca="1">IFERROR(__xludf.DUMMYFUNCTION("""COMPUTED_VALUE"""),"Female")</f>
        <v>Female</v>
      </c>
      <c r="D1633" s="5" t="str">
        <f ca="1">IFERROR(__xludf.DUMMYFUNCTION("""COMPUTED_VALUE"""),"Nonstudent Using Athletic Facilities/Attending Game")</f>
        <v>Nonstudent Using Athletic Facilities/Attending Game</v>
      </c>
      <c r="E1633" s="5">
        <f ca="1">IFERROR(__xludf.DUMMYFUNCTION("""COMPUTED_VALUE"""),12)</f>
        <v>12</v>
      </c>
      <c r="F1633" s="5"/>
    </row>
    <row r="1634" spans="1:6" ht="13">
      <c r="A1634" s="5" t="str">
        <f ca="1">IFERROR(__xludf.DUMMYFUNCTION("""COMPUTED_VALUE"""),"20080919CAGEA")</f>
        <v>20080919CAGEA</v>
      </c>
      <c r="B1634" s="5" t="str">
        <f ca="1">IFERROR(__xludf.DUMMYFUNCTION("""COMPUTED_VALUE"""),"Wounded")</f>
        <v>Wounded</v>
      </c>
      <c r="C1634" s="5" t="str">
        <f ca="1">IFERROR(__xludf.DUMMYFUNCTION("""COMPUTED_VALUE"""),"Male")</f>
        <v>Male</v>
      </c>
      <c r="D1634" s="5" t="str">
        <f ca="1">IFERROR(__xludf.DUMMYFUNCTION("""COMPUTED_VALUE"""),"Nonstudent Using Athletic Facilities/Attending Game")</f>
        <v>Nonstudent Using Athletic Facilities/Attending Game</v>
      </c>
      <c r="E1634" s="5">
        <f ca="1">IFERROR(__xludf.DUMMYFUNCTION("""COMPUTED_VALUE"""),19)</f>
        <v>19</v>
      </c>
      <c r="F1634" s="5"/>
    </row>
    <row r="1635" spans="1:6" ht="13">
      <c r="A1635" s="5" t="str">
        <f ca="1">IFERROR(__xludf.DUMMYFUNCTION("""COMPUTED_VALUE"""),"20080915CAMIS")</f>
        <v>20080915CAMIS</v>
      </c>
      <c r="B1635" s="5" t="str">
        <f ca="1">IFERROR(__xludf.DUMMYFUNCTION("""COMPUTED_VALUE"""),"None")</f>
        <v>None</v>
      </c>
      <c r="C1635" s="5" t="str">
        <f ca="1">IFERROR(__xludf.DUMMYFUNCTION("""COMPUTED_VALUE"""),"Male")</f>
        <v>Male</v>
      </c>
      <c r="D1635" s="5" t="str">
        <f ca="1">IFERROR(__xludf.DUMMYFUNCTION("""COMPUTED_VALUE"""),"Student")</f>
        <v>Student</v>
      </c>
      <c r="E1635" s="5">
        <f ca="1">IFERROR(__xludf.DUMMYFUNCTION("""COMPUTED_VALUE"""),17)</f>
        <v>17</v>
      </c>
      <c r="F1635" s="5"/>
    </row>
    <row r="1636" spans="1:6" ht="13">
      <c r="A1636" s="5" t="str">
        <f ca="1">IFERROR(__xludf.DUMMYFUNCTION("""COMPUTED_VALUE"""),"20080902OHSOW")</f>
        <v>20080902OHSOW</v>
      </c>
      <c r="B1636" s="5" t="str">
        <f ca="1">IFERROR(__xludf.DUMMYFUNCTION("""COMPUTED_VALUE"""),"None")</f>
        <v>None</v>
      </c>
      <c r="C1636" s="5"/>
      <c r="D1636" s="5"/>
      <c r="E1636" s="5"/>
      <c r="F1636" s="5"/>
    </row>
    <row r="1637" spans="1:6" ht="13">
      <c r="A1637" s="5" t="str">
        <f ca="1">IFERROR(__xludf.DUMMYFUNCTION("""COMPUTED_VALUE"""),"20080821TNCEK")</f>
        <v>20080821TNCEK</v>
      </c>
      <c r="B1637" s="5" t="str">
        <f ca="1">IFERROR(__xludf.DUMMYFUNCTION("""COMPUTED_VALUE"""),"Fatal")</f>
        <v>Fatal</v>
      </c>
      <c r="C1637" s="5" t="str">
        <f ca="1">IFERROR(__xludf.DUMMYFUNCTION("""COMPUTED_VALUE"""),"Male")</f>
        <v>Male</v>
      </c>
      <c r="D1637" s="5" t="str">
        <f ca="1">IFERROR(__xludf.DUMMYFUNCTION("""COMPUTED_VALUE"""),"Student")</f>
        <v>Student</v>
      </c>
      <c r="E1637" s="5">
        <f ca="1">IFERROR(__xludf.DUMMYFUNCTION("""COMPUTED_VALUE"""),15)</f>
        <v>15</v>
      </c>
      <c r="F1637" s="5"/>
    </row>
    <row r="1638" spans="1:6" ht="13">
      <c r="A1638" s="5" t="str">
        <f ca="1">IFERROR(__xludf.DUMMYFUNCTION("""COMPUTED_VALUE"""),"20080814WALAF")</f>
        <v>20080814WALAF</v>
      </c>
      <c r="B1638" s="5" t="str">
        <f ca="1">IFERROR(__xludf.DUMMYFUNCTION("""COMPUTED_VALUE"""),"Fatal")</f>
        <v>Fatal</v>
      </c>
      <c r="C1638" s="5" t="str">
        <f ca="1">IFERROR(__xludf.DUMMYFUNCTION("""COMPUTED_VALUE"""),"Male")</f>
        <v>Male</v>
      </c>
      <c r="D1638" s="5"/>
      <c r="E1638" s="5">
        <f ca="1">IFERROR(__xludf.DUMMYFUNCTION("""COMPUTED_VALUE"""),26)</f>
        <v>26</v>
      </c>
      <c r="F1638" s="5"/>
    </row>
    <row r="1639" spans="1:6" ht="13">
      <c r="A1639" s="5" t="str">
        <f ca="1">IFERROR(__xludf.DUMMYFUNCTION("""COMPUTED_VALUE"""),"20080811WAWAK")</f>
        <v>20080811WAWAK</v>
      </c>
      <c r="B1639" s="5" t="str">
        <f ca="1">IFERROR(__xludf.DUMMYFUNCTION("""COMPUTED_VALUE"""),"None")</f>
        <v>None</v>
      </c>
      <c r="C1639" s="5" t="str">
        <f ca="1">IFERROR(__xludf.DUMMYFUNCTION("""COMPUTED_VALUE"""),"Male")</f>
        <v>Male</v>
      </c>
      <c r="D1639" s="5" t="str">
        <f ca="1">IFERROR(__xludf.DUMMYFUNCTION("""COMPUTED_VALUE"""),"Student")</f>
        <v>Student</v>
      </c>
      <c r="E1639" s="5" t="str">
        <f ca="1">IFERROR(__xludf.DUMMYFUNCTION("""COMPUTED_VALUE"""),"Child")</f>
        <v>Child</v>
      </c>
      <c r="F1639" s="5"/>
    </row>
    <row r="1640" spans="1:6" ht="13">
      <c r="A1640" s="5" t="str">
        <f ca="1">IFERROR(__xludf.DUMMYFUNCTION("""COMPUTED_VALUE"""),"20080516LAMAT")</f>
        <v>20080516LAMAT</v>
      </c>
      <c r="B1640" s="5" t="str">
        <f ca="1">IFERROR(__xludf.DUMMYFUNCTION("""COMPUTED_VALUE"""),"None")</f>
        <v>None</v>
      </c>
      <c r="C1640" s="5" t="str">
        <f ca="1">IFERROR(__xludf.DUMMYFUNCTION("""COMPUTED_VALUE"""),"Male")</f>
        <v>Male</v>
      </c>
      <c r="D1640" s="5" t="str">
        <f ca="1">IFERROR(__xludf.DUMMYFUNCTION("""COMPUTED_VALUE"""),"Student")</f>
        <v>Student</v>
      </c>
      <c r="E1640" s="5">
        <f ca="1">IFERROR(__xludf.DUMMYFUNCTION("""COMPUTED_VALUE"""),14)</f>
        <v>14</v>
      </c>
      <c r="F1640" s="5"/>
    </row>
    <row r="1641" spans="1:6" ht="13">
      <c r="A1641" s="5" t="str">
        <f ca="1">IFERROR(__xludf.DUMMYFUNCTION("""COMPUTED_VALUE"""),"20080416CAROF")</f>
        <v>20080416CAROF</v>
      </c>
      <c r="B1641" s="5" t="str">
        <f ca="1">IFERROR(__xludf.DUMMYFUNCTION("""COMPUTED_VALUE"""),"Fatal")</f>
        <v>Fatal</v>
      </c>
      <c r="C1641" s="5" t="str">
        <f ca="1">IFERROR(__xludf.DUMMYFUNCTION("""COMPUTED_VALUE"""),"Male")</f>
        <v>Male</v>
      </c>
      <c r="D1641" s="5" t="str">
        <f ca="1">IFERROR(__xludf.DUMMYFUNCTION("""COMPUTED_VALUE"""),"Student")</f>
        <v>Student</v>
      </c>
      <c r="E1641" s="5">
        <f ca="1">IFERROR(__xludf.DUMMYFUNCTION("""COMPUTED_VALUE"""),17)</f>
        <v>17</v>
      </c>
      <c r="F1641" s="5" t="str">
        <f ca="1">IFERROR(__xludf.DUMMYFUNCTION("""COMPUTED_VALUE"""),"Hispanic")</f>
        <v>Hispanic</v>
      </c>
    </row>
    <row r="1642" spans="1:6" ht="13">
      <c r="A1642" s="5" t="str">
        <f ca="1">IFERROR(__xludf.DUMMYFUNCTION("""COMPUTED_VALUE"""),"20080306ALDAM")</f>
        <v>20080306ALDAM</v>
      </c>
      <c r="B1642" s="5" t="str">
        <f ca="1">IFERROR(__xludf.DUMMYFUNCTION("""COMPUTED_VALUE"""),"None")</f>
        <v>None</v>
      </c>
      <c r="C1642" s="5" t="str">
        <f ca="1">IFERROR(__xludf.DUMMYFUNCTION("""COMPUTED_VALUE"""),"Male")</f>
        <v>Male</v>
      </c>
      <c r="D1642" s="5" t="str">
        <f ca="1">IFERROR(__xludf.DUMMYFUNCTION("""COMPUTED_VALUE"""),"Student")</f>
        <v>Student</v>
      </c>
      <c r="E1642" s="5">
        <f ca="1">IFERROR(__xludf.DUMMYFUNCTION("""COMPUTED_VALUE"""),18)</f>
        <v>18</v>
      </c>
      <c r="F1642" s="5"/>
    </row>
    <row r="1643" spans="1:6" ht="13">
      <c r="A1643" s="5" t="str">
        <f ca="1">IFERROR(__xludf.DUMMYFUNCTION("""COMPUTED_VALUE"""),"20080214CAEOO")</f>
        <v>20080214CAEOO</v>
      </c>
      <c r="B1643" s="5" t="str">
        <f ca="1">IFERROR(__xludf.DUMMYFUNCTION("""COMPUTED_VALUE"""),"Fatal")</f>
        <v>Fatal</v>
      </c>
      <c r="C1643" s="5" t="str">
        <f ca="1">IFERROR(__xludf.DUMMYFUNCTION("""COMPUTED_VALUE"""),"Male")</f>
        <v>Male</v>
      </c>
      <c r="D1643" s="5" t="str">
        <f ca="1">IFERROR(__xludf.DUMMYFUNCTION("""COMPUTED_VALUE"""),"Student")</f>
        <v>Student</v>
      </c>
      <c r="E1643" s="5">
        <f ca="1">IFERROR(__xludf.DUMMYFUNCTION("""COMPUTED_VALUE"""),14)</f>
        <v>14</v>
      </c>
      <c r="F1643" s="5"/>
    </row>
    <row r="1644" spans="1:6" ht="13">
      <c r="A1644" s="5" t="str">
        <f ca="1">IFERROR(__xludf.DUMMYFUNCTION("""COMPUTED_VALUE"""),"20080211TNMIM")</f>
        <v>20080211TNMIM</v>
      </c>
      <c r="B1644" s="5" t="str">
        <f ca="1">IFERROR(__xludf.DUMMYFUNCTION("""COMPUTED_VALUE"""),"Wounded")</f>
        <v>Wounded</v>
      </c>
      <c r="C1644" s="5" t="str">
        <f ca="1">IFERROR(__xludf.DUMMYFUNCTION("""COMPUTED_VALUE"""),"Male")</f>
        <v>Male</v>
      </c>
      <c r="D1644" s="5" t="str">
        <f ca="1">IFERROR(__xludf.DUMMYFUNCTION("""COMPUTED_VALUE"""),"Student")</f>
        <v>Student</v>
      </c>
      <c r="E1644" s="5">
        <f ca="1">IFERROR(__xludf.DUMMYFUNCTION("""COMPUTED_VALUE"""),19)</f>
        <v>19</v>
      </c>
      <c r="F1644" s="5"/>
    </row>
    <row r="1645" spans="1:6" ht="13">
      <c r="A1645" s="5" t="str">
        <f ca="1">IFERROR(__xludf.DUMMYFUNCTION("""COMPUTED_VALUE"""),"20080204TNHAM")</f>
        <v>20080204TNHAM</v>
      </c>
      <c r="B1645" s="5" t="str">
        <f ca="1">IFERROR(__xludf.DUMMYFUNCTION("""COMPUTED_VALUE"""),"Wounded")</f>
        <v>Wounded</v>
      </c>
      <c r="C1645" s="5" t="str">
        <f ca="1">IFERROR(__xludf.DUMMYFUNCTION("""COMPUTED_VALUE"""),"Male")</f>
        <v>Male</v>
      </c>
      <c r="D1645" s="5" t="str">
        <f ca="1">IFERROR(__xludf.DUMMYFUNCTION("""COMPUTED_VALUE"""),"Student")</f>
        <v>Student</v>
      </c>
      <c r="E1645" s="5" t="str">
        <f ca="1">IFERROR(__xludf.DUMMYFUNCTION("""COMPUTED_VALUE"""),"Teen")</f>
        <v>Teen</v>
      </c>
      <c r="F1645" s="5"/>
    </row>
    <row r="1646" spans="1:6" ht="13">
      <c r="A1646" s="5" t="str">
        <f ca="1">IFERROR(__xludf.DUMMYFUNCTION("""COMPUTED_VALUE"""),"20071221CABAU")</f>
        <v>20071221CABAU</v>
      </c>
      <c r="B1646" s="5" t="str">
        <f ca="1">IFERROR(__xludf.DUMMYFUNCTION("""COMPUTED_VALUE"""),"Fatal")</f>
        <v>Fatal</v>
      </c>
      <c r="C1646" s="5" t="str">
        <f ca="1">IFERROR(__xludf.DUMMYFUNCTION("""COMPUTED_VALUE"""),"Male")</f>
        <v>Male</v>
      </c>
      <c r="D1646" s="5" t="str">
        <f ca="1">IFERROR(__xludf.DUMMYFUNCTION("""COMPUTED_VALUE"""),"Student")</f>
        <v>Student</v>
      </c>
      <c r="E1646" s="5">
        <f ca="1">IFERROR(__xludf.DUMMYFUNCTION("""COMPUTED_VALUE"""),14)</f>
        <v>14</v>
      </c>
      <c r="F1646" s="5" t="str">
        <f ca="1">IFERROR(__xludf.DUMMYFUNCTION("""COMPUTED_VALUE"""),"Black")</f>
        <v>Black</v>
      </c>
    </row>
    <row r="1647" spans="1:6" ht="13">
      <c r="A1647" s="5" t="str">
        <f ca="1">IFERROR(__xludf.DUMMYFUNCTION("""COMPUTED_VALUE"""),"20071126NYHOH")</f>
        <v>20071126NYHOH</v>
      </c>
      <c r="B1647" s="5" t="str">
        <f ca="1">IFERROR(__xludf.DUMMYFUNCTION("""COMPUTED_VALUE"""),"None")</f>
        <v>None</v>
      </c>
      <c r="C1647" s="5"/>
      <c r="D1647" s="5"/>
      <c r="E1647" s="5"/>
      <c r="F1647" s="5"/>
    </row>
    <row r="1648" spans="1:6" ht="13">
      <c r="A1648" s="5" t="str">
        <f ca="1">IFERROR(__xludf.DUMMYFUNCTION("""COMPUTED_VALUE"""),"20071105LAJOR")</f>
        <v>20071105LAJOR</v>
      </c>
      <c r="B1648" s="5" t="str">
        <f ca="1">IFERROR(__xludf.DUMMYFUNCTION("""COMPUTED_VALUE"""),"None")</f>
        <v>None</v>
      </c>
      <c r="C1648" s="5" t="str">
        <f ca="1">IFERROR(__xludf.DUMMYFUNCTION("""COMPUTED_VALUE"""),"Male")</f>
        <v>Male</v>
      </c>
      <c r="D1648" s="5" t="str">
        <f ca="1">IFERROR(__xludf.DUMMYFUNCTION("""COMPUTED_VALUE"""),"Student")</f>
        <v>Student</v>
      </c>
      <c r="E1648" s="5">
        <f ca="1">IFERROR(__xludf.DUMMYFUNCTION("""COMPUTED_VALUE"""),13)</f>
        <v>13</v>
      </c>
      <c r="F1648" s="5"/>
    </row>
    <row r="1649" spans="1:6" ht="13">
      <c r="A1649" s="5" t="str">
        <f ca="1">IFERROR(__xludf.DUMMYFUNCTION("""COMPUTED_VALUE"""),"20071024TNMAM")</f>
        <v>20071024TNMAM</v>
      </c>
      <c r="B1649" s="5" t="str">
        <f ca="1">IFERROR(__xludf.DUMMYFUNCTION("""COMPUTED_VALUE"""),"Wounded")</f>
        <v>Wounded</v>
      </c>
      <c r="C1649" s="5" t="str">
        <f ca="1">IFERROR(__xludf.DUMMYFUNCTION("""COMPUTED_VALUE"""),"Male")</f>
        <v>Male</v>
      </c>
      <c r="D1649" s="5" t="str">
        <f ca="1">IFERROR(__xludf.DUMMYFUNCTION("""COMPUTED_VALUE"""),"Student")</f>
        <v>Student</v>
      </c>
      <c r="E1649" s="5">
        <f ca="1">IFERROR(__xludf.DUMMYFUNCTION("""COMPUTED_VALUE"""),16)</f>
        <v>16</v>
      </c>
      <c r="F1649" s="5"/>
    </row>
    <row r="1650" spans="1:6" ht="13">
      <c r="A1650" s="5" t="str">
        <f ca="1">IFERROR(__xludf.DUMMYFUNCTION("""COMPUTED_VALUE"""),"20071010OHSUC")</f>
        <v>20071010OHSUC</v>
      </c>
      <c r="B1650" s="5" t="str">
        <f ca="1">IFERROR(__xludf.DUMMYFUNCTION("""COMPUTED_VALUE"""),"Wounded")</f>
        <v>Wounded</v>
      </c>
      <c r="C1650" s="5" t="str">
        <f ca="1">IFERROR(__xludf.DUMMYFUNCTION("""COMPUTED_VALUE"""),"Male")</f>
        <v>Male</v>
      </c>
      <c r="D1650" s="5" t="str">
        <f ca="1">IFERROR(__xludf.DUMMYFUNCTION("""COMPUTED_VALUE"""),"Teacher")</f>
        <v>Teacher</v>
      </c>
      <c r="E1650" s="5">
        <f ca="1">IFERROR(__xludf.DUMMYFUNCTION("""COMPUTED_VALUE"""),57)</f>
        <v>57</v>
      </c>
      <c r="F1650" s="5"/>
    </row>
    <row r="1651" spans="1:6" ht="13">
      <c r="A1651" s="5" t="str">
        <f ca="1">IFERROR(__xludf.DUMMYFUNCTION("""COMPUTED_VALUE"""),"20071010OHSUC")</f>
        <v>20071010OHSUC</v>
      </c>
      <c r="B1651" s="5" t="str">
        <f ca="1">IFERROR(__xludf.DUMMYFUNCTION("""COMPUTED_VALUE"""),"Wounded")</f>
        <v>Wounded</v>
      </c>
      <c r="C1651" s="5" t="str">
        <f ca="1">IFERROR(__xludf.DUMMYFUNCTION("""COMPUTED_VALUE"""),"Male")</f>
        <v>Male</v>
      </c>
      <c r="D1651" s="5" t="str">
        <f ca="1">IFERROR(__xludf.DUMMYFUNCTION("""COMPUTED_VALUE"""),"Teacher")</f>
        <v>Teacher</v>
      </c>
      <c r="E1651" s="5">
        <f ca="1">IFERROR(__xludf.DUMMYFUNCTION("""COMPUTED_VALUE"""),42)</f>
        <v>42</v>
      </c>
      <c r="F1651" s="5"/>
    </row>
    <row r="1652" spans="1:6" ht="13">
      <c r="A1652" s="5" t="str">
        <f ca="1">IFERROR(__xludf.DUMMYFUNCTION("""COMPUTED_VALUE"""),"20071010OHSUC")</f>
        <v>20071010OHSUC</v>
      </c>
      <c r="B1652" s="5" t="str">
        <f ca="1">IFERROR(__xludf.DUMMYFUNCTION("""COMPUTED_VALUE"""),"Wounded")</f>
        <v>Wounded</v>
      </c>
      <c r="C1652" s="5" t="str">
        <f ca="1">IFERROR(__xludf.DUMMYFUNCTION("""COMPUTED_VALUE"""),"Male")</f>
        <v>Male</v>
      </c>
      <c r="D1652" s="5" t="str">
        <f ca="1">IFERROR(__xludf.DUMMYFUNCTION("""COMPUTED_VALUE"""),"Student")</f>
        <v>Student</v>
      </c>
      <c r="E1652" s="5">
        <f ca="1">IFERROR(__xludf.DUMMYFUNCTION("""COMPUTED_VALUE"""),15)</f>
        <v>15</v>
      </c>
      <c r="F1652" s="5"/>
    </row>
    <row r="1653" spans="1:6" ht="13">
      <c r="A1653" s="5" t="str">
        <f ca="1">IFERROR(__xludf.DUMMYFUNCTION("""COMPUTED_VALUE"""),"20071010OHSUC")</f>
        <v>20071010OHSUC</v>
      </c>
      <c r="B1653" s="5" t="str">
        <f ca="1">IFERROR(__xludf.DUMMYFUNCTION("""COMPUTED_VALUE"""),"Wounded")</f>
        <v>Wounded</v>
      </c>
      <c r="C1653" s="5" t="str">
        <f ca="1">IFERROR(__xludf.DUMMYFUNCTION("""COMPUTED_VALUE"""),"Female")</f>
        <v>Female</v>
      </c>
      <c r="D1653" s="5" t="str">
        <f ca="1">IFERROR(__xludf.DUMMYFUNCTION("""COMPUTED_VALUE"""),"Student")</f>
        <v>Student</v>
      </c>
      <c r="E1653" s="5">
        <f ca="1">IFERROR(__xludf.DUMMYFUNCTION("""COMPUTED_VALUE"""),15)</f>
        <v>15</v>
      </c>
      <c r="F1653" s="5"/>
    </row>
    <row r="1654" spans="1:6" ht="13">
      <c r="A1654" s="5" t="str">
        <f ca="1">IFERROR(__xludf.DUMMYFUNCTION("""COMPUTED_VALUE"""),"20071001CTPLM")</f>
        <v>20071001CTPLM</v>
      </c>
      <c r="B1654" s="5" t="str">
        <f ca="1">IFERROR(__xludf.DUMMYFUNCTION("""COMPUTED_VALUE"""),"Wounded")</f>
        <v>Wounded</v>
      </c>
      <c r="C1654" s="5" t="str">
        <f ca="1">IFERROR(__xludf.DUMMYFUNCTION("""COMPUTED_VALUE"""),"Male")</f>
        <v>Male</v>
      </c>
      <c r="D1654" s="5" t="str">
        <f ca="1">IFERROR(__xludf.DUMMYFUNCTION("""COMPUTED_VALUE"""),"Student")</f>
        <v>Student</v>
      </c>
      <c r="E1654" s="5">
        <f ca="1">IFERROR(__xludf.DUMMYFUNCTION("""COMPUTED_VALUE"""),16)</f>
        <v>16</v>
      </c>
      <c r="F1654" s="5"/>
    </row>
    <row r="1655" spans="1:6" ht="13">
      <c r="A1655" s="5" t="str">
        <f ca="1">IFERROR(__xludf.DUMMYFUNCTION("""COMPUTED_VALUE"""),"20070930AZSSP")</f>
        <v>20070930AZSSP</v>
      </c>
      <c r="B1655" s="5" t="str">
        <f ca="1">IFERROR(__xludf.DUMMYFUNCTION("""COMPUTED_VALUE"""),"Wounded")</f>
        <v>Wounded</v>
      </c>
      <c r="C1655" s="5" t="str">
        <f ca="1">IFERROR(__xludf.DUMMYFUNCTION("""COMPUTED_VALUE"""),"Male")</f>
        <v>Male</v>
      </c>
      <c r="D1655" s="5"/>
      <c r="E1655" s="5"/>
      <c r="F1655" s="5"/>
    </row>
    <row r="1656" spans="1:6" ht="13">
      <c r="A1656" s="5" t="str">
        <f ca="1">IFERROR(__xludf.DUMMYFUNCTION("""COMPUTED_VALUE"""),"20070930AZSSP")</f>
        <v>20070930AZSSP</v>
      </c>
      <c r="B1656" s="5" t="str">
        <f ca="1">IFERROR(__xludf.DUMMYFUNCTION("""COMPUTED_VALUE"""),"Wounded")</f>
        <v>Wounded</v>
      </c>
      <c r="C1656" s="5" t="str">
        <f ca="1">IFERROR(__xludf.DUMMYFUNCTION("""COMPUTED_VALUE"""),"Female")</f>
        <v>Female</v>
      </c>
      <c r="D1656" s="5"/>
      <c r="E1656" s="5"/>
      <c r="F1656" s="5"/>
    </row>
    <row r="1657" spans="1:6" ht="13">
      <c r="A1657" s="5" t="str">
        <f ca="1">IFERROR(__xludf.DUMMYFUNCTION("""COMPUTED_VALUE"""),"20070928CALAO")</f>
        <v>20070928CALAO</v>
      </c>
      <c r="B1657" s="5" t="str">
        <f ca="1">IFERROR(__xludf.DUMMYFUNCTION("""COMPUTED_VALUE"""),"None")</f>
        <v>None</v>
      </c>
      <c r="C1657" s="5"/>
      <c r="D1657" s="5"/>
      <c r="E1657" s="5"/>
      <c r="F1657" s="5"/>
    </row>
    <row r="1658" spans="1:6" ht="13">
      <c r="A1658" s="5" t="str">
        <f ca="1">IFERROR(__xludf.DUMMYFUNCTION("""COMPUTED_VALUE"""),"20070804NJMON")</f>
        <v>20070804NJMON</v>
      </c>
      <c r="B1658" s="5" t="str">
        <f ca="1">IFERROR(__xludf.DUMMYFUNCTION("""COMPUTED_VALUE"""),"Fatal")</f>
        <v>Fatal</v>
      </c>
      <c r="C1658" s="5" t="str">
        <f ca="1">IFERROR(__xludf.DUMMYFUNCTION("""COMPUTED_VALUE"""),"Male")</f>
        <v>Male</v>
      </c>
      <c r="D1658" s="5" t="str">
        <f ca="1">IFERROR(__xludf.DUMMYFUNCTION("""COMPUTED_VALUE"""),"No Relation")</f>
        <v>No Relation</v>
      </c>
      <c r="E1658" s="5">
        <f ca="1">IFERROR(__xludf.DUMMYFUNCTION("""COMPUTED_VALUE"""),17)</f>
        <v>17</v>
      </c>
      <c r="F1658" s="5"/>
    </row>
    <row r="1659" spans="1:6" ht="13">
      <c r="A1659" s="5" t="str">
        <f ca="1">IFERROR(__xludf.DUMMYFUNCTION("""COMPUTED_VALUE"""),"20070804NJMON")</f>
        <v>20070804NJMON</v>
      </c>
      <c r="B1659" s="5" t="str">
        <f ca="1">IFERROR(__xludf.DUMMYFUNCTION("""COMPUTED_VALUE"""),"Wounded")</f>
        <v>Wounded</v>
      </c>
      <c r="C1659" s="5" t="str">
        <f ca="1">IFERROR(__xludf.DUMMYFUNCTION("""COMPUTED_VALUE"""),"Male")</f>
        <v>Male</v>
      </c>
      <c r="D1659" s="5" t="str">
        <f ca="1">IFERROR(__xludf.DUMMYFUNCTION("""COMPUTED_VALUE"""),"No Relation")</f>
        <v>No Relation</v>
      </c>
      <c r="E1659" s="5">
        <f ca="1">IFERROR(__xludf.DUMMYFUNCTION("""COMPUTED_VALUE"""),15)</f>
        <v>15</v>
      </c>
      <c r="F1659" s="5"/>
    </row>
    <row r="1660" spans="1:6" ht="13">
      <c r="A1660" s="5" t="str">
        <f ca="1">IFERROR(__xludf.DUMMYFUNCTION("""COMPUTED_VALUE"""),"20070804NJMON")</f>
        <v>20070804NJMON</v>
      </c>
      <c r="B1660" s="5" t="str">
        <f ca="1">IFERROR(__xludf.DUMMYFUNCTION("""COMPUTED_VALUE"""),"Fatal")</f>
        <v>Fatal</v>
      </c>
      <c r="C1660" s="5" t="str">
        <f ca="1">IFERROR(__xludf.DUMMYFUNCTION("""COMPUTED_VALUE"""),"Male")</f>
        <v>Male</v>
      </c>
      <c r="D1660" s="5" t="str">
        <f ca="1">IFERROR(__xludf.DUMMYFUNCTION("""COMPUTED_VALUE"""),"No Relation")</f>
        <v>No Relation</v>
      </c>
      <c r="E1660" s="5">
        <f ca="1">IFERROR(__xludf.DUMMYFUNCTION("""COMPUTED_VALUE"""),18)</f>
        <v>18</v>
      </c>
      <c r="F1660" s="5"/>
    </row>
    <row r="1661" spans="1:6" ht="13">
      <c r="A1661" s="5" t="str">
        <f ca="1">IFERROR(__xludf.DUMMYFUNCTION("""COMPUTED_VALUE"""),"20070804NJMON")</f>
        <v>20070804NJMON</v>
      </c>
      <c r="B1661" s="5" t="str">
        <f ca="1">IFERROR(__xludf.DUMMYFUNCTION("""COMPUTED_VALUE"""),"Fatal")</f>
        <v>Fatal</v>
      </c>
      <c r="C1661" s="5" t="str">
        <f ca="1">IFERROR(__xludf.DUMMYFUNCTION("""COMPUTED_VALUE"""),"Male")</f>
        <v>Male</v>
      </c>
      <c r="D1661" s="5" t="str">
        <f ca="1">IFERROR(__xludf.DUMMYFUNCTION("""COMPUTED_VALUE"""),"No Relation")</f>
        <v>No Relation</v>
      </c>
      <c r="E1661" s="5">
        <f ca="1">IFERROR(__xludf.DUMMYFUNCTION("""COMPUTED_VALUE"""),28)</f>
        <v>28</v>
      </c>
      <c r="F1661" s="5"/>
    </row>
    <row r="1662" spans="1:6" ht="13">
      <c r="A1662" s="5" t="str">
        <f ca="1">IFERROR(__xludf.DUMMYFUNCTION("""COMPUTED_VALUE"""),"20070709ILCAC")</f>
        <v>20070709ILCAC</v>
      </c>
      <c r="B1662" s="5" t="str">
        <f ca="1">IFERROR(__xludf.DUMMYFUNCTION("""COMPUTED_VALUE"""),"Wounded")</f>
        <v>Wounded</v>
      </c>
      <c r="C1662" s="5" t="str">
        <f ca="1">IFERROR(__xludf.DUMMYFUNCTION("""COMPUTED_VALUE"""),"Male")</f>
        <v>Male</v>
      </c>
      <c r="D1662" s="5" t="str">
        <f ca="1">IFERROR(__xludf.DUMMYFUNCTION("""COMPUTED_VALUE"""),"No Relation")</f>
        <v>No Relation</v>
      </c>
      <c r="E1662" s="5">
        <f ca="1">IFERROR(__xludf.DUMMYFUNCTION("""COMPUTED_VALUE"""),14)</f>
        <v>14</v>
      </c>
      <c r="F1662" s="5"/>
    </row>
    <row r="1663" spans="1:6" ht="13">
      <c r="A1663" s="5" t="str">
        <f ca="1">IFERROR(__xludf.DUMMYFUNCTION("""COMPUTED_VALUE"""),"20070709ILCAC")</f>
        <v>20070709ILCAC</v>
      </c>
      <c r="B1663" s="5" t="str">
        <f ca="1">IFERROR(__xludf.DUMMYFUNCTION("""COMPUTED_VALUE"""),"Wounded")</f>
        <v>Wounded</v>
      </c>
      <c r="C1663" s="5" t="str">
        <f ca="1">IFERROR(__xludf.DUMMYFUNCTION("""COMPUTED_VALUE"""),"Male")</f>
        <v>Male</v>
      </c>
      <c r="D1663" s="5" t="str">
        <f ca="1">IFERROR(__xludf.DUMMYFUNCTION("""COMPUTED_VALUE"""),"No Relation")</f>
        <v>No Relation</v>
      </c>
      <c r="E1663" s="5">
        <f ca="1">IFERROR(__xludf.DUMMYFUNCTION("""COMPUTED_VALUE"""),15)</f>
        <v>15</v>
      </c>
      <c r="F1663" s="5"/>
    </row>
    <row r="1664" spans="1:6" ht="13">
      <c r="A1664" s="5" t="str">
        <f ca="1">IFERROR(__xludf.DUMMYFUNCTION("""COMPUTED_VALUE"""),"20070628TXDAD")</f>
        <v>20070628TXDAD</v>
      </c>
      <c r="B1664" s="5" t="str">
        <f ca="1">IFERROR(__xludf.DUMMYFUNCTION("""COMPUTED_VALUE"""),"Wounded")</f>
        <v>Wounded</v>
      </c>
      <c r="C1664" s="5" t="str">
        <f ca="1">IFERROR(__xludf.DUMMYFUNCTION("""COMPUTED_VALUE"""),"Male")</f>
        <v>Male</v>
      </c>
      <c r="D1664" s="5" t="str">
        <f ca="1">IFERROR(__xludf.DUMMYFUNCTION("""COMPUTED_VALUE"""),"Student")</f>
        <v>Student</v>
      </c>
      <c r="E1664" s="5" t="str">
        <f ca="1">IFERROR(__xludf.DUMMYFUNCTION("""COMPUTED_VALUE"""),"Teen")</f>
        <v>Teen</v>
      </c>
      <c r="F1664" s="5"/>
    </row>
    <row r="1665" spans="1:6" ht="13">
      <c r="A1665" s="5" t="str">
        <f ca="1">IFERROR(__xludf.DUMMYFUNCTION("""COMPUTED_VALUE"""),"20070628TXDAD")</f>
        <v>20070628TXDAD</v>
      </c>
      <c r="B1665" s="5" t="str">
        <f ca="1">IFERROR(__xludf.DUMMYFUNCTION("""COMPUTED_VALUE"""),"Wounded")</f>
        <v>Wounded</v>
      </c>
      <c r="C1665" s="5" t="str">
        <f ca="1">IFERROR(__xludf.DUMMYFUNCTION("""COMPUTED_VALUE"""),"Male")</f>
        <v>Male</v>
      </c>
      <c r="D1665" s="5" t="str">
        <f ca="1">IFERROR(__xludf.DUMMYFUNCTION("""COMPUTED_VALUE"""),"Student")</f>
        <v>Student</v>
      </c>
      <c r="E1665" s="5" t="str">
        <f ca="1">IFERROR(__xludf.DUMMYFUNCTION("""COMPUTED_VALUE"""),"Teen")</f>
        <v>Teen</v>
      </c>
      <c r="F1665" s="5"/>
    </row>
    <row r="1666" spans="1:6" ht="13">
      <c r="A1666" s="5" t="str">
        <f ca="1">IFERROR(__xludf.DUMMYFUNCTION("""COMPUTED_VALUE"""),"20070617SCBRB")</f>
        <v>20070617SCBRB</v>
      </c>
      <c r="B1666" s="5" t="str">
        <f ca="1">IFERROR(__xludf.DUMMYFUNCTION("""COMPUTED_VALUE"""),"Wounded")</f>
        <v>Wounded</v>
      </c>
      <c r="C1666" s="5" t="str">
        <f ca="1">IFERROR(__xludf.DUMMYFUNCTION("""COMPUTED_VALUE"""),"Male")</f>
        <v>Male</v>
      </c>
      <c r="D1666" s="5" t="str">
        <f ca="1">IFERROR(__xludf.DUMMYFUNCTION("""COMPUTED_VALUE"""),"Nonstudent")</f>
        <v>Nonstudent</v>
      </c>
      <c r="E1666" s="5">
        <f ca="1">IFERROR(__xludf.DUMMYFUNCTION("""COMPUTED_VALUE"""),22)</f>
        <v>22</v>
      </c>
      <c r="F1666" s="5"/>
    </row>
    <row r="1667" spans="1:6" ht="13">
      <c r="A1667" s="5" t="str">
        <f ca="1">IFERROR(__xludf.DUMMYFUNCTION("""COMPUTED_VALUE"""),"20070531NCNOG")</f>
        <v>20070531NCNOG</v>
      </c>
      <c r="B1667" s="5" t="str">
        <f ca="1">IFERROR(__xludf.DUMMYFUNCTION("""COMPUTED_VALUE"""),"Minor Injuries")</f>
        <v>Minor Injuries</v>
      </c>
      <c r="C1667" s="5" t="str">
        <f ca="1">IFERROR(__xludf.DUMMYFUNCTION("""COMPUTED_VALUE"""),"Unknown")</f>
        <v>Unknown</v>
      </c>
      <c r="D1667" s="5" t="str">
        <f ca="1">IFERROR(__xludf.DUMMYFUNCTION("""COMPUTED_VALUE"""),"Student")</f>
        <v>Student</v>
      </c>
      <c r="E1667" s="5" t="str">
        <f ca="1">IFERROR(__xludf.DUMMYFUNCTION("""COMPUTED_VALUE"""),"Child")</f>
        <v>Child</v>
      </c>
      <c r="F1667" s="5"/>
    </row>
    <row r="1668" spans="1:6" ht="13">
      <c r="A1668" s="5" t="str">
        <f ca="1">IFERROR(__xludf.DUMMYFUNCTION("""COMPUTED_VALUE"""),"20070531NCNOG")</f>
        <v>20070531NCNOG</v>
      </c>
      <c r="B1668" s="5" t="str">
        <f ca="1">IFERROR(__xludf.DUMMYFUNCTION("""COMPUTED_VALUE"""),"Minor Injuries")</f>
        <v>Minor Injuries</v>
      </c>
      <c r="C1668" s="5" t="str">
        <f ca="1">IFERROR(__xludf.DUMMYFUNCTION("""COMPUTED_VALUE"""),"Unknown")</f>
        <v>Unknown</v>
      </c>
      <c r="D1668" s="5" t="str">
        <f ca="1">IFERROR(__xludf.DUMMYFUNCTION("""COMPUTED_VALUE"""),"Student")</f>
        <v>Student</v>
      </c>
      <c r="E1668" s="5" t="str">
        <f ca="1">IFERROR(__xludf.DUMMYFUNCTION("""COMPUTED_VALUE"""),"Child")</f>
        <v>Child</v>
      </c>
      <c r="F1668" s="5"/>
    </row>
    <row r="1669" spans="1:6" ht="13">
      <c r="A1669" s="5" t="str">
        <f ca="1">IFERROR(__xludf.DUMMYFUNCTION("""COMPUTED_VALUE"""),"20070531NCNOG")</f>
        <v>20070531NCNOG</v>
      </c>
      <c r="B1669" s="5" t="str">
        <f ca="1">IFERROR(__xludf.DUMMYFUNCTION("""COMPUTED_VALUE"""),"Minor Injuries")</f>
        <v>Minor Injuries</v>
      </c>
      <c r="C1669" s="5" t="str">
        <f ca="1">IFERROR(__xludf.DUMMYFUNCTION("""COMPUTED_VALUE"""),"Unknown")</f>
        <v>Unknown</v>
      </c>
      <c r="D1669" s="5" t="str">
        <f ca="1">IFERROR(__xludf.DUMMYFUNCTION("""COMPUTED_VALUE"""),"Student")</f>
        <v>Student</v>
      </c>
      <c r="E1669" s="5" t="str">
        <f ca="1">IFERROR(__xludf.DUMMYFUNCTION("""COMPUTED_VALUE"""),"Child")</f>
        <v>Child</v>
      </c>
      <c r="F1669" s="5"/>
    </row>
    <row r="1670" spans="1:6" ht="13">
      <c r="A1670" s="5" t="str">
        <f ca="1">IFERROR(__xludf.DUMMYFUNCTION("""COMPUTED_VALUE"""),"20070530NCVAG")</f>
        <v>20070530NCVAG</v>
      </c>
      <c r="B1670" s="5" t="str">
        <f ca="1">IFERROR(__xludf.DUMMYFUNCTION("""COMPUTED_VALUE"""),"Wounded")</f>
        <v>Wounded</v>
      </c>
      <c r="C1670" s="5" t="str">
        <f ca="1">IFERROR(__xludf.DUMMYFUNCTION("""COMPUTED_VALUE"""),"Unknown")</f>
        <v>Unknown</v>
      </c>
      <c r="D1670" s="5" t="str">
        <f ca="1">IFERROR(__xludf.DUMMYFUNCTION("""COMPUTED_VALUE"""),"Parent")</f>
        <v>Parent</v>
      </c>
      <c r="E1670" s="5" t="str">
        <f ca="1">IFERROR(__xludf.DUMMYFUNCTION("""COMPUTED_VALUE"""),"Adult")</f>
        <v>Adult</v>
      </c>
      <c r="F1670" s="5"/>
    </row>
    <row r="1671" spans="1:6" ht="13">
      <c r="A1671" s="5" t="str">
        <f ca="1">IFERROR(__xludf.DUMMYFUNCTION("""COMPUTED_VALUE"""),"20070523RIOAC")</f>
        <v>20070523RIOAC</v>
      </c>
      <c r="B1671" s="5" t="str">
        <f ca="1">IFERROR(__xludf.DUMMYFUNCTION("""COMPUTED_VALUE"""),"Wounded")</f>
        <v>Wounded</v>
      </c>
      <c r="C1671" s="5" t="str">
        <f ca="1">IFERROR(__xludf.DUMMYFUNCTION("""COMPUTED_VALUE"""),"Male")</f>
        <v>Male</v>
      </c>
      <c r="D1671" s="5" t="str">
        <f ca="1">IFERROR(__xludf.DUMMYFUNCTION("""COMPUTED_VALUE"""),"Student")</f>
        <v>Student</v>
      </c>
      <c r="E1671" s="5">
        <f ca="1">IFERROR(__xludf.DUMMYFUNCTION("""COMPUTED_VALUE"""),13)</f>
        <v>13</v>
      </c>
      <c r="F1671" s="5"/>
    </row>
    <row r="1672" spans="1:6" ht="13">
      <c r="A1672" s="5" t="str">
        <f ca="1">IFERROR(__xludf.DUMMYFUNCTION("""COMPUTED_VALUE"""),"20070515TXLIL")</f>
        <v>20070515TXLIL</v>
      </c>
      <c r="B1672" s="5" t="str">
        <f ca="1">IFERROR(__xludf.DUMMYFUNCTION("""COMPUTED_VALUE"""),"None")</f>
        <v>None</v>
      </c>
      <c r="C1672" s="5"/>
      <c r="D1672" s="5"/>
      <c r="E1672" s="5"/>
      <c r="F1672" s="5"/>
    </row>
    <row r="1673" spans="1:6" ht="13">
      <c r="A1673" s="5" t="str">
        <f ca="1">IFERROR(__xludf.DUMMYFUNCTION("""COMPUTED_VALUE"""),"20070512TXWEM")</f>
        <v>20070512TXWEM</v>
      </c>
      <c r="B1673" s="5" t="str">
        <f ca="1">IFERROR(__xludf.DUMMYFUNCTION("""COMPUTED_VALUE"""),"Wounded")</f>
        <v>Wounded</v>
      </c>
      <c r="C1673" s="5" t="str">
        <f ca="1">IFERROR(__xludf.DUMMYFUNCTION("""COMPUTED_VALUE"""),"Male")</f>
        <v>Male</v>
      </c>
      <c r="D1673" s="5" t="str">
        <f ca="1">IFERROR(__xludf.DUMMYFUNCTION("""COMPUTED_VALUE"""),"Student")</f>
        <v>Student</v>
      </c>
      <c r="E1673" s="5">
        <f ca="1">IFERROR(__xludf.DUMMYFUNCTION("""COMPUTED_VALUE"""),18)</f>
        <v>18</v>
      </c>
      <c r="F1673" s="5"/>
    </row>
    <row r="1674" spans="1:6" ht="13">
      <c r="A1674" s="5" t="str">
        <f ca="1">IFERROR(__xludf.DUMMYFUNCTION("""COMPUTED_VALUE"""),"20070510MIHED")</f>
        <v>20070510MIHED</v>
      </c>
      <c r="B1674" s="5" t="str">
        <f ca="1">IFERROR(__xludf.DUMMYFUNCTION("""COMPUTED_VALUE"""),"Wounded")</f>
        <v>Wounded</v>
      </c>
      <c r="C1674" s="5" t="str">
        <f ca="1">IFERROR(__xludf.DUMMYFUNCTION("""COMPUTED_VALUE"""),"Male")</f>
        <v>Male</v>
      </c>
      <c r="D1674" s="5" t="str">
        <f ca="1">IFERROR(__xludf.DUMMYFUNCTION("""COMPUTED_VALUE"""),"Student")</f>
        <v>Student</v>
      </c>
      <c r="E1674" s="5">
        <f ca="1">IFERROR(__xludf.DUMMYFUNCTION("""COMPUTED_VALUE"""),17)</f>
        <v>17</v>
      </c>
      <c r="F1674" s="5"/>
    </row>
    <row r="1675" spans="1:6" ht="13">
      <c r="A1675" s="5" t="str">
        <f ca="1">IFERROR(__xludf.DUMMYFUNCTION("""COMPUTED_VALUE"""),"20070510MIHED")</f>
        <v>20070510MIHED</v>
      </c>
      <c r="B1675" s="5" t="str">
        <f ca="1">IFERROR(__xludf.DUMMYFUNCTION("""COMPUTED_VALUE"""),"Wounded")</f>
        <v>Wounded</v>
      </c>
      <c r="C1675" s="5" t="str">
        <f ca="1">IFERROR(__xludf.DUMMYFUNCTION("""COMPUTED_VALUE"""),"Male")</f>
        <v>Male</v>
      </c>
      <c r="D1675" s="5" t="str">
        <f ca="1">IFERROR(__xludf.DUMMYFUNCTION("""COMPUTED_VALUE"""),"Student")</f>
        <v>Student</v>
      </c>
      <c r="E1675" s="5">
        <f ca="1">IFERROR(__xludf.DUMMYFUNCTION("""COMPUTED_VALUE"""),17)</f>
        <v>17</v>
      </c>
      <c r="F1675" s="5"/>
    </row>
    <row r="1676" spans="1:6" ht="13">
      <c r="A1676" s="5" t="str">
        <f ca="1">IFERROR(__xludf.DUMMYFUNCTION("""COMPUTED_VALUE"""),"20070504TXTIE")</f>
        <v>20070504TXTIE</v>
      </c>
      <c r="B1676" s="5" t="str">
        <f ca="1">IFERROR(__xludf.DUMMYFUNCTION("""COMPUTED_VALUE"""),"None")</f>
        <v>None</v>
      </c>
      <c r="C1676" s="5" t="str">
        <f ca="1">IFERROR(__xludf.DUMMYFUNCTION("""COMPUTED_VALUE"""),"Female")</f>
        <v>Female</v>
      </c>
      <c r="D1676" s="5" t="str">
        <f ca="1">IFERROR(__xludf.DUMMYFUNCTION("""COMPUTED_VALUE"""),"Student")</f>
        <v>Student</v>
      </c>
      <c r="E1676" s="5">
        <f ca="1">IFERROR(__xludf.DUMMYFUNCTION("""COMPUTED_VALUE"""),15)</f>
        <v>15</v>
      </c>
      <c r="F1676" s="5"/>
    </row>
    <row r="1677" spans="1:6" ht="13">
      <c r="A1677" s="5" t="str">
        <f ca="1">IFERROR(__xludf.DUMMYFUNCTION("""COMPUTED_VALUE"""),"20070503OHGED")</f>
        <v>20070503OHGED</v>
      </c>
      <c r="B1677" s="5" t="str">
        <f ca="1">IFERROR(__xludf.DUMMYFUNCTION("""COMPUTED_VALUE"""),"Wounded")</f>
        <v>Wounded</v>
      </c>
      <c r="C1677" s="5" t="str">
        <f ca="1">IFERROR(__xludf.DUMMYFUNCTION("""COMPUTED_VALUE"""),"Female")</f>
        <v>Female</v>
      </c>
      <c r="D1677" s="5" t="str">
        <f ca="1">IFERROR(__xludf.DUMMYFUNCTION("""COMPUTED_VALUE"""),"Bus Driver")</f>
        <v>Bus Driver</v>
      </c>
      <c r="E1677" s="5" t="str">
        <f ca="1">IFERROR(__xludf.DUMMYFUNCTION("""COMPUTED_VALUE"""),"Adult")</f>
        <v>Adult</v>
      </c>
      <c r="F1677" s="5"/>
    </row>
    <row r="1678" spans="1:6" ht="13">
      <c r="A1678" s="5" t="str">
        <f ca="1">IFERROR(__xludf.DUMMYFUNCTION("""COMPUTED_VALUE"""),"20070418NCNOH")</f>
        <v>20070418NCNOH</v>
      </c>
      <c r="B1678" s="5" t="str">
        <f ca="1">IFERROR(__xludf.DUMMYFUNCTION("""COMPUTED_VALUE"""),"None")</f>
        <v>None</v>
      </c>
      <c r="C1678" s="5"/>
      <c r="D1678" s="5"/>
      <c r="E1678" s="5"/>
      <c r="F1678" s="5"/>
    </row>
    <row r="1679" spans="1:6" ht="13">
      <c r="A1679" s="5" t="str">
        <f ca="1">IFERROR(__xludf.DUMMYFUNCTION("""COMPUTED_VALUE"""),"20070410ORSPG")</f>
        <v>20070410ORSPG</v>
      </c>
      <c r="B1679" s="5" t="str">
        <f ca="1">IFERROR(__xludf.DUMMYFUNCTION("""COMPUTED_VALUE"""),"Wounded")</f>
        <v>Wounded</v>
      </c>
      <c r="C1679" s="5" t="str">
        <f ca="1">IFERROR(__xludf.DUMMYFUNCTION("""COMPUTED_VALUE"""),"Unknown")</f>
        <v>Unknown</v>
      </c>
      <c r="D1679" s="5" t="str">
        <f ca="1">IFERROR(__xludf.DUMMYFUNCTION("""COMPUTED_VALUE"""),"Student")</f>
        <v>Student</v>
      </c>
      <c r="E1679" s="5" t="str">
        <f ca="1">IFERROR(__xludf.DUMMYFUNCTION("""COMPUTED_VALUE"""),"Teen")</f>
        <v>Teen</v>
      </c>
      <c r="F1679" s="5"/>
    </row>
    <row r="1680" spans="1:6" ht="13">
      <c r="A1680" s="5" t="str">
        <f ca="1">IFERROR(__xludf.DUMMYFUNCTION("""COMPUTED_VALUE"""),"20070410ORSPG")</f>
        <v>20070410ORSPG</v>
      </c>
      <c r="B1680" s="5" t="str">
        <f ca="1">IFERROR(__xludf.DUMMYFUNCTION("""COMPUTED_VALUE"""),"Wounded")</f>
        <v>Wounded</v>
      </c>
      <c r="C1680" s="5" t="str">
        <f ca="1">IFERROR(__xludf.DUMMYFUNCTION("""COMPUTED_VALUE"""),"Unknown")</f>
        <v>Unknown</v>
      </c>
      <c r="D1680" s="5" t="str">
        <f ca="1">IFERROR(__xludf.DUMMYFUNCTION("""COMPUTED_VALUE"""),"Student")</f>
        <v>Student</v>
      </c>
      <c r="E1680" s="5" t="str">
        <f ca="1">IFERROR(__xludf.DUMMYFUNCTION("""COMPUTED_VALUE"""),"Teen")</f>
        <v>Teen</v>
      </c>
      <c r="F1680" s="5"/>
    </row>
    <row r="1681" spans="1:6" ht="13">
      <c r="A1681" s="5" t="str">
        <f ca="1">IFERROR(__xludf.DUMMYFUNCTION("""COMPUTED_VALUE"""),"20070410ORSPG")</f>
        <v>20070410ORSPG</v>
      </c>
      <c r="B1681" s="5" t="str">
        <f ca="1">IFERROR(__xludf.DUMMYFUNCTION("""COMPUTED_VALUE"""),"Wounded")</f>
        <v>Wounded</v>
      </c>
      <c r="C1681" s="5" t="str">
        <f ca="1">IFERROR(__xludf.DUMMYFUNCTION("""COMPUTED_VALUE"""),"Unknown")</f>
        <v>Unknown</v>
      </c>
      <c r="D1681" s="5" t="str">
        <f ca="1">IFERROR(__xludf.DUMMYFUNCTION("""COMPUTED_VALUE"""),"Student")</f>
        <v>Student</v>
      </c>
      <c r="E1681" s="5" t="str">
        <f ca="1">IFERROR(__xludf.DUMMYFUNCTION("""COMPUTED_VALUE"""),"Teen")</f>
        <v>Teen</v>
      </c>
      <c r="F1681" s="5"/>
    </row>
    <row r="1682" spans="1:6" ht="13">
      <c r="A1682" s="5" t="str">
        <f ca="1">IFERROR(__xludf.DUMMYFUNCTION("""COMPUTED_VALUE"""),"20070410ORSPG")</f>
        <v>20070410ORSPG</v>
      </c>
      <c r="B1682" s="5" t="str">
        <f ca="1">IFERROR(__xludf.DUMMYFUNCTION("""COMPUTED_VALUE"""),"Wounded")</f>
        <v>Wounded</v>
      </c>
      <c r="C1682" s="5" t="str">
        <f ca="1">IFERROR(__xludf.DUMMYFUNCTION("""COMPUTED_VALUE"""),"Unknown")</f>
        <v>Unknown</v>
      </c>
      <c r="D1682" s="5" t="str">
        <f ca="1">IFERROR(__xludf.DUMMYFUNCTION("""COMPUTED_VALUE"""),"Student")</f>
        <v>Student</v>
      </c>
      <c r="E1682" s="5" t="str">
        <f ca="1">IFERROR(__xludf.DUMMYFUNCTION("""COMPUTED_VALUE"""),"Teen")</f>
        <v>Teen</v>
      </c>
      <c r="F1682" s="5"/>
    </row>
    <row r="1683" spans="1:6" ht="13">
      <c r="A1683" s="5" t="str">
        <f ca="1">IFERROR(__xludf.DUMMYFUNCTION("""COMPUTED_VALUE"""),"20070410ORSPG")</f>
        <v>20070410ORSPG</v>
      </c>
      <c r="B1683" s="5" t="str">
        <f ca="1">IFERROR(__xludf.DUMMYFUNCTION("""COMPUTED_VALUE"""),"Wounded")</f>
        <v>Wounded</v>
      </c>
      <c r="C1683" s="5" t="str">
        <f ca="1">IFERROR(__xludf.DUMMYFUNCTION("""COMPUTED_VALUE"""),"Unknown")</f>
        <v>Unknown</v>
      </c>
      <c r="D1683" s="5" t="str">
        <f ca="1">IFERROR(__xludf.DUMMYFUNCTION("""COMPUTED_VALUE"""),"Student")</f>
        <v>Student</v>
      </c>
      <c r="E1683" s="5" t="str">
        <f ca="1">IFERROR(__xludf.DUMMYFUNCTION("""COMPUTED_VALUE"""),"Teen")</f>
        <v>Teen</v>
      </c>
      <c r="F1683" s="5"/>
    </row>
    <row r="1684" spans="1:6" ht="13">
      <c r="A1684" s="5" t="str">
        <f ca="1">IFERROR(__xludf.DUMMYFUNCTION("""COMPUTED_VALUE"""),"20070410ORSPG")</f>
        <v>20070410ORSPG</v>
      </c>
      <c r="B1684" s="5" t="str">
        <f ca="1">IFERROR(__xludf.DUMMYFUNCTION("""COMPUTED_VALUE"""),"Wounded")</f>
        <v>Wounded</v>
      </c>
      <c r="C1684" s="5" t="str">
        <f ca="1">IFERROR(__xludf.DUMMYFUNCTION("""COMPUTED_VALUE"""),"Unknown")</f>
        <v>Unknown</v>
      </c>
      <c r="D1684" s="5" t="str">
        <f ca="1">IFERROR(__xludf.DUMMYFUNCTION("""COMPUTED_VALUE"""),"Student")</f>
        <v>Student</v>
      </c>
      <c r="E1684" s="5" t="str">
        <f ca="1">IFERROR(__xludf.DUMMYFUNCTION("""COMPUTED_VALUE"""),"Teen")</f>
        <v>Teen</v>
      </c>
      <c r="F1684" s="5"/>
    </row>
    <row r="1685" spans="1:6" ht="13">
      <c r="A1685" s="5" t="str">
        <f ca="1">IFERROR(__xludf.DUMMYFUNCTION("""COMPUTED_VALUE"""),"20070410ORSPG")</f>
        <v>20070410ORSPG</v>
      </c>
      <c r="B1685" s="5" t="str">
        <f ca="1">IFERROR(__xludf.DUMMYFUNCTION("""COMPUTED_VALUE"""),"Wounded")</f>
        <v>Wounded</v>
      </c>
      <c r="C1685" s="5" t="str">
        <f ca="1">IFERROR(__xludf.DUMMYFUNCTION("""COMPUTED_VALUE"""),"Unknown")</f>
        <v>Unknown</v>
      </c>
      <c r="D1685" s="5" t="str">
        <f ca="1">IFERROR(__xludf.DUMMYFUNCTION("""COMPUTED_VALUE"""),"Student")</f>
        <v>Student</v>
      </c>
      <c r="E1685" s="5" t="str">
        <f ca="1">IFERROR(__xludf.DUMMYFUNCTION("""COMPUTED_VALUE"""),"Teen")</f>
        <v>Teen</v>
      </c>
      <c r="F1685" s="5"/>
    </row>
    <row r="1686" spans="1:6" ht="13">
      <c r="A1686" s="5" t="str">
        <f ca="1">IFERROR(__xludf.DUMMYFUNCTION("""COMPUTED_VALUE"""),"20070410ORSPG")</f>
        <v>20070410ORSPG</v>
      </c>
      <c r="B1686" s="5" t="str">
        <f ca="1">IFERROR(__xludf.DUMMYFUNCTION("""COMPUTED_VALUE"""),"Wounded")</f>
        <v>Wounded</v>
      </c>
      <c r="C1686" s="5" t="str">
        <f ca="1">IFERROR(__xludf.DUMMYFUNCTION("""COMPUTED_VALUE"""),"Unknown")</f>
        <v>Unknown</v>
      </c>
      <c r="D1686" s="5" t="str">
        <f ca="1">IFERROR(__xludf.DUMMYFUNCTION("""COMPUTED_VALUE"""),"Student")</f>
        <v>Student</v>
      </c>
      <c r="E1686" s="5" t="str">
        <f ca="1">IFERROR(__xludf.DUMMYFUNCTION("""COMPUTED_VALUE"""),"Teen")</f>
        <v>Teen</v>
      </c>
      <c r="F1686" s="5"/>
    </row>
    <row r="1687" spans="1:6" ht="13">
      <c r="A1687" s="5" t="str">
        <f ca="1">IFERROR(__xludf.DUMMYFUNCTION("""COMPUTED_VALUE"""),"20070410ORSPG")</f>
        <v>20070410ORSPG</v>
      </c>
      <c r="B1687" s="5" t="str">
        <f ca="1">IFERROR(__xludf.DUMMYFUNCTION("""COMPUTED_VALUE"""),"Wounded")</f>
        <v>Wounded</v>
      </c>
      <c r="C1687" s="5" t="str">
        <f ca="1">IFERROR(__xludf.DUMMYFUNCTION("""COMPUTED_VALUE"""),"Unknown")</f>
        <v>Unknown</v>
      </c>
      <c r="D1687" s="5" t="str">
        <f ca="1">IFERROR(__xludf.DUMMYFUNCTION("""COMPUTED_VALUE"""),"Student")</f>
        <v>Student</v>
      </c>
      <c r="E1687" s="5" t="str">
        <f ca="1">IFERROR(__xludf.DUMMYFUNCTION("""COMPUTED_VALUE"""),"Teen")</f>
        <v>Teen</v>
      </c>
      <c r="F1687" s="5"/>
    </row>
    <row r="1688" spans="1:6" ht="13">
      <c r="A1688" s="5" t="str">
        <f ca="1">IFERROR(__xludf.DUMMYFUNCTION("""COMPUTED_VALUE"""),"20070410ORSPG")</f>
        <v>20070410ORSPG</v>
      </c>
      <c r="B1688" s="5" t="str">
        <f ca="1">IFERROR(__xludf.DUMMYFUNCTION("""COMPUTED_VALUE"""),"Wounded")</f>
        <v>Wounded</v>
      </c>
      <c r="C1688" s="5" t="str">
        <f ca="1">IFERROR(__xludf.DUMMYFUNCTION("""COMPUTED_VALUE"""),"Unknown")</f>
        <v>Unknown</v>
      </c>
      <c r="D1688" s="5" t="str">
        <f ca="1">IFERROR(__xludf.DUMMYFUNCTION("""COMPUTED_VALUE"""),"Student")</f>
        <v>Student</v>
      </c>
      <c r="E1688" s="5" t="str">
        <f ca="1">IFERROR(__xludf.DUMMYFUNCTION("""COMPUTED_VALUE"""),"Teen")</f>
        <v>Teen</v>
      </c>
      <c r="F1688" s="5"/>
    </row>
    <row r="1689" spans="1:6" ht="13">
      <c r="A1689" s="5" t="str">
        <f ca="1">IFERROR(__xludf.DUMMYFUNCTION("""COMPUTED_VALUE"""),"20070410ILCHC")</f>
        <v>20070410ILCHC</v>
      </c>
      <c r="B1689" s="5" t="str">
        <f ca="1">IFERROR(__xludf.DUMMYFUNCTION("""COMPUTED_VALUE"""),"Wounded")</f>
        <v>Wounded</v>
      </c>
      <c r="C1689" s="5" t="str">
        <f ca="1">IFERROR(__xludf.DUMMYFUNCTION("""COMPUTED_VALUE"""),"Male")</f>
        <v>Male</v>
      </c>
      <c r="D1689" s="5" t="str">
        <f ca="1">IFERROR(__xludf.DUMMYFUNCTION("""COMPUTED_VALUE"""),"Student")</f>
        <v>Student</v>
      </c>
      <c r="E1689" s="5">
        <f ca="1">IFERROR(__xludf.DUMMYFUNCTION("""COMPUTED_VALUE"""),15)</f>
        <v>15</v>
      </c>
      <c r="F1689" s="5"/>
    </row>
    <row r="1690" spans="1:6" ht="13">
      <c r="A1690" s="5" t="str">
        <f ca="1">IFERROR(__xludf.DUMMYFUNCTION("""COMPUTED_VALUE"""),"20070329SCMYM")</f>
        <v>20070329SCMYM</v>
      </c>
      <c r="B1690" s="5" t="str">
        <f ca="1">IFERROR(__xludf.DUMMYFUNCTION("""COMPUTED_VALUE"""),"None")</f>
        <v>None</v>
      </c>
      <c r="C1690" s="5" t="str">
        <f ca="1">IFERROR(__xludf.DUMMYFUNCTION("""COMPUTED_VALUE"""),"Male")</f>
        <v>Male</v>
      </c>
      <c r="D1690" s="5" t="str">
        <f ca="1">IFERROR(__xludf.DUMMYFUNCTION("""COMPUTED_VALUE"""),"Student")</f>
        <v>Student</v>
      </c>
      <c r="E1690" s="5">
        <f ca="1">IFERROR(__xludf.DUMMYFUNCTION("""COMPUTED_VALUE"""),18)</f>
        <v>18</v>
      </c>
      <c r="F1690" s="5"/>
    </row>
    <row r="1691" spans="1:6" ht="13">
      <c r="A1691" s="5" t="str">
        <f ca="1">IFERROR(__xludf.DUMMYFUNCTION("""COMPUTED_VALUE"""),"20070327CTSAH")</f>
        <v>20070327CTSAH</v>
      </c>
      <c r="B1691" s="5" t="str">
        <f ca="1">IFERROR(__xludf.DUMMYFUNCTION("""COMPUTED_VALUE"""),"Wounded")</f>
        <v>Wounded</v>
      </c>
      <c r="C1691" s="5" t="str">
        <f ca="1">IFERROR(__xludf.DUMMYFUNCTION("""COMPUTED_VALUE"""),"Male")</f>
        <v>Male</v>
      </c>
      <c r="D1691" s="5" t="str">
        <f ca="1">IFERROR(__xludf.DUMMYFUNCTION("""COMPUTED_VALUE"""),"No Relation")</f>
        <v>No Relation</v>
      </c>
      <c r="E1691" s="5">
        <f ca="1">IFERROR(__xludf.DUMMYFUNCTION("""COMPUTED_VALUE"""),16)</f>
        <v>16</v>
      </c>
      <c r="F1691" s="5"/>
    </row>
    <row r="1692" spans="1:6" ht="13">
      <c r="A1692" s="5" t="str">
        <f ca="1">IFERROR(__xludf.DUMMYFUNCTION("""COMPUTED_VALUE"""),"20070323FLUNO")</f>
        <v>20070323FLUNO</v>
      </c>
      <c r="B1692" s="5" t="str">
        <f ca="1">IFERROR(__xludf.DUMMYFUNCTION("""COMPUTED_VALUE"""),"Wounded")</f>
        <v>Wounded</v>
      </c>
      <c r="C1692" s="5" t="str">
        <f ca="1">IFERROR(__xludf.DUMMYFUNCTION("""COMPUTED_VALUE"""),"Male")</f>
        <v>Male</v>
      </c>
      <c r="D1692" s="5" t="str">
        <f ca="1">IFERROR(__xludf.DUMMYFUNCTION("""COMPUTED_VALUE"""),"Student")</f>
        <v>Student</v>
      </c>
      <c r="E1692" s="5">
        <f ca="1">IFERROR(__xludf.DUMMYFUNCTION("""COMPUTED_VALUE"""),8)</f>
        <v>8</v>
      </c>
      <c r="F1692" s="5"/>
    </row>
    <row r="1693" spans="1:6" ht="13">
      <c r="A1693" s="5" t="str">
        <f ca="1">IFERROR(__xludf.DUMMYFUNCTION("""COMPUTED_VALUE"""),"20070308TNEAC")</f>
        <v>20070308TNEAC</v>
      </c>
      <c r="B1693" s="5" t="str">
        <f ca="1">IFERROR(__xludf.DUMMYFUNCTION("""COMPUTED_VALUE"""),"None")</f>
        <v>None</v>
      </c>
      <c r="C1693" s="5" t="str">
        <f ca="1">IFERROR(__xludf.DUMMYFUNCTION("""COMPUTED_VALUE"""),"Male")</f>
        <v>Male</v>
      </c>
      <c r="D1693" s="5" t="str">
        <f ca="1">IFERROR(__xludf.DUMMYFUNCTION("""COMPUTED_VALUE"""),"Former Teacher")</f>
        <v>Former Teacher</v>
      </c>
      <c r="E1693" s="5">
        <f ca="1">IFERROR(__xludf.DUMMYFUNCTION("""COMPUTED_VALUE"""),62)</f>
        <v>62</v>
      </c>
      <c r="F1693" s="5"/>
    </row>
    <row r="1694" spans="1:6" ht="13">
      <c r="A1694" s="5" t="str">
        <f ca="1">IFERROR(__xludf.DUMMYFUNCTION("""COMPUTED_VALUE"""),"20070307TXGRG")</f>
        <v>20070307TXGRG</v>
      </c>
      <c r="B1694" s="5" t="str">
        <f ca="1">IFERROR(__xludf.DUMMYFUNCTION("""COMPUTED_VALUE"""),"None")</f>
        <v>None</v>
      </c>
      <c r="C1694" s="5" t="str">
        <f ca="1">IFERROR(__xludf.DUMMYFUNCTION("""COMPUTED_VALUE"""),"Male")</f>
        <v>Male</v>
      </c>
      <c r="D1694" s="5" t="str">
        <f ca="1">IFERROR(__xludf.DUMMYFUNCTION("""COMPUTED_VALUE"""),"Student")</f>
        <v>Student</v>
      </c>
      <c r="E1694" s="5">
        <f ca="1">IFERROR(__xludf.DUMMYFUNCTION("""COMPUTED_VALUE"""),16)</f>
        <v>16</v>
      </c>
      <c r="F1694" s="5"/>
    </row>
    <row r="1695" spans="1:6" ht="13">
      <c r="A1695" s="5" t="str">
        <f ca="1">IFERROR(__xludf.DUMMYFUNCTION("""COMPUTED_VALUE"""),"20070307MIHEM")</f>
        <v>20070307MIHEM</v>
      </c>
      <c r="B1695" s="5" t="str">
        <f ca="1">IFERROR(__xludf.DUMMYFUNCTION("""COMPUTED_VALUE"""),"Wounded")</f>
        <v>Wounded</v>
      </c>
      <c r="C1695" s="5" t="str">
        <f ca="1">IFERROR(__xludf.DUMMYFUNCTION("""COMPUTED_VALUE"""),"Female")</f>
        <v>Female</v>
      </c>
      <c r="D1695" s="5" t="str">
        <f ca="1">IFERROR(__xludf.DUMMYFUNCTION("""COMPUTED_VALUE"""),"Student")</f>
        <v>Student</v>
      </c>
      <c r="E1695" s="5">
        <f ca="1">IFERROR(__xludf.DUMMYFUNCTION("""COMPUTED_VALUE"""),17)</f>
        <v>17</v>
      </c>
      <c r="F1695" s="5"/>
    </row>
    <row r="1696" spans="1:6" ht="13">
      <c r="A1696" s="5" t="str">
        <f ca="1">IFERROR(__xludf.DUMMYFUNCTION("""COMPUTED_VALUE"""),"20070307CACEC")</f>
        <v>20070307CACEC</v>
      </c>
      <c r="B1696" s="5" t="str">
        <f ca="1">IFERROR(__xludf.DUMMYFUNCTION("""COMPUTED_VALUE"""),"Wounded")</f>
        <v>Wounded</v>
      </c>
      <c r="C1696" s="5" t="str">
        <f ca="1">IFERROR(__xludf.DUMMYFUNCTION("""COMPUTED_VALUE"""),"Male")</f>
        <v>Male</v>
      </c>
      <c r="D1696" s="5" t="str">
        <f ca="1">IFERROR(__xludf.DUMMYFUNCTION("""COMPUTED_VALUE"""),"Student")</f>
        <v>Student</v>
      </c>
      <c r="E1696" s="5" t="str">
        <f ca="1">IFERROR(__xludf.DUMMYFUNCTION("""COMPUTED_VALUE"""),"Teen")</f>
        <v>Teen</v>
      </c>
      <c r="F1696" s="5"/>
    </row>
    <row r="1697" spans="1:6" ht="13">
      <c r="A1697" s="5" t="str">
        <f ca="1">IFERROR(__xludf.DUMMYFUNCTION("""COMPUTED_VALUE"""),"20070227GACLA")</f>
        <v>20070227GACLA</v>
      </c>
      <c r="B1697" s="5" t="str">
        <f ca="1">IFERROR(__xludf.DUMMYFUNCTION("""COMPUTED_VALUE"""),"Wounded")</f>
        <v>Wounded</v>
      </c>
      <c r="C1697" s="5" t="str">
        <f ca="1">IFERROR(__xludf.DUMMYFUNCTION("""COMPUTED_VALUE"""),"Male")</f>
        <v>Male</v>
      </c>
      <c r="D1697" s="5" t="str">
        <f ca="1">IFERROR(__xludf.DUMMYFUNCTION("""COMPUTED_VALUE"""),"Student")</f>
        <v>Student</v>
      </c>
      <c r="E1697" s="5">
        <f ca="1">IFERROR(__xludf.DUMMYFUNCTION("""COMPUTED_VALUE"""),10)</f>
        <v>10</v>
      </c>
      <c r="F1697" s="5"/>
    </row>
    <row r="1698" spans="1:6" ht="13">
      <c r="A1698" s="5" t="str">
        <f ca="1">IFERROR(__xludf.DUMMYFUNCTION("""COMPUTED_VALUE"""),"20070226CASLA")</f>
        <v>20070226CASLA</v>
      </c>
      <c r="B1698" s="5" t="str">
        <f ca="1">IFERROR(__xludf.DUMMYFUNCTION("""COMPUTED_VALUE"""),"Wounded")</f>
        <v>Wounded</v>
      </c>
      <c r="C1698" s="5" t="str">
        <f ca="1">IFERROR(__xludf.DUMMYFUNCTION("""COMPUTED_VALUE"""),"Male")</f>
        <v>Male</v>
      </c>
      <c r="D1698" s="5" t="str">
        <f ca="1">IFERROR(__xludf.DUMMYFUNCTION("""COMPUTED_VALUE"""),"Student")</f>
        <v>Student</v>
      </c>
      <c r="E1698" s="5">
        <f ca="1">IFERROR(__xludf.DUMMYFUNCTION("""COMPUTED_VALUE"""),12)</f>
        <v>12</v>
      </c>
      <c r="F1698" s="5"/>
    </row>
    <row r="1699" spans="1:6" ht="13">
      <c r="A1699" s="5" t="str">
        <f ca="1">IFERROR(__xludf.DUMMYFUNCTION("""COMPUTED_VALUE"""),"20070226CASLA")</f>
        <v>20070226CASLA</v>
      </c>
      <c r="B1699" s="5" t="str">
        <f ca="1">IFERROR(__xludf.DUMMYFUNCTION("""COMPUTED_VALUE"""),"Wounded")</f>
        <v>Wounded</v>
      </c>
      <c r="C1699" s="5" t="str">
        <f ca="1">IFERROR(__xludf.DUMMYFUNCTION("""COMPUTED_VALUE"""),"Male")</f>
        <v>Male</v>
      </c>
      <c r="D1699" s="5" t="str">
        <f ca="1">IFERROR(__xludf.DUMMYFUNCTION("""COMPUTED_VALUE"""),"Student")</f>
        <v>Student</v>
      </c>
      <c r="E1699" s="5">
        <f ca="1">IFERROR(__xludf.DUMMYFUNCTION("""COMPUTED_VALUE"""),12)</f>
        <v>12</v>
      </c>
      <c r="F1699" s="5"/>
    </row>
    <row r="1700" spans="1:6" ht="13">
      <c r="A1700" s="5" t="str">
        <f ca="1">IFERROR(__xludf.DUMMYFUNCTION("""COMPUTED_VALUE"""),"20070208TXSTP")</f>
        <v>20070208TXSTP</v>
      </c>
      <c r="B1700" s="5" t="str">
        <f ca="1">IFERROR(__xludf.DUMMYFUNCTION("""COMPUTED_VALUE"""),"Minor Injuries")</f>
        <v>Minor Injuries</v>
      </c>
      <c r="C1700" s="5" t="str">
        <f ca="1">IFERROR(__xludf.DUMMYFUNCTION("""COMPUTED_VALUE"""),"Male")</f>
        <v>Male</v>
      </c>
      <c r="D1700" s="5" t="str">
        <f ca="1">IFERROR(__xludf.DUMMYFUNCTION("""COMPUTED_VALUE"""),"Student")</f>
        <v>Student</v>
      </c>
      <c r="E1700" s="5" t="str">
        <f ca="1">IFERROR(__xludf.DUMMYFUNCTION("""COMPUTED_VALUE"""),"Teen")</f>
        <v>Teen</v>
      </c>
      <c r="F1700" s="5"/>
    </row>
    <row r="1701" spans="1:6" ht="13">
      <c r="A1701" s="5" t="str">
        <f ca="1">IFERROR(__xludf.DUMMYFUNCTION("""COMPUTED_VALUE"""),"20070208ORCRP")</f>
        <v>20070208ORCRP</v>
      </c>
      <c r="B1701" s="5" t="str">
        <f ca="1">IFERROR(__xludf.DUMMYFUNCTION("""COMPUTED_VALUE"""),"None")</f>
        <v>None</v>
      </c>
      <c r="C1701" s="5" t="str">
        <f ca="1">IFERROR(__xludf.DUMMYFUNCTION("""COMPUTED_VALUE"""),"Male")</f>
        <v>Male</v>
      </c>
      <c r="D1701" s="5" t="str">
        <f ca="1">IFERROR(__xludf.DUMMYFUNCTION("""COMPUTED_VALUE"""),"Student")</f>
        <v>Student</v>
      </c>
      <c r="E1701" s="5">
        <f ca="1">IFERROR(__xludf.DUMMYFUNCTION("""COMPUTED_VALUE"""),18)</f>
        <v>18</v>
      </c>
      <c r="F1701" s="5"/>
    </row>
    <row r="1702" spans="1:6" ht="13">
      <c r="A1702" s="5" t="str">
        <f ca="1">IFERROR(__xludf.DUMMYFUNCTION("""COMPUTED_VALUE"""),"20070207FLPAJ")</f>
        <v>20070207FLPAJ</v>
      </c>
      <c r="B1702" s="5" t="str">
        <f ca="1">IFERROR(__xludf.DUMMYFUNCTION("""COMPUTED_VALUE"""),"None")</f>
        <v>None</v>
      </c>
      <c r="C1702" s="5" t="str">
        <f ca="1">IFERROR(__xludf.DUMMYFUNCTION("""COMPUTED_VALUE"""),"Unknown")</f>
        <v>Unknown</v>
      </c>
      <c r="D1702" s="5" t="str">
        <f ca="1">IFERROR(__xludf.DUMMYFUNCTION("""COMPUTED_VALUE"""),"Police Officer/SRO")</f>
        <v>Police Officer/SRO</v>
      </c>
      <c r="E1702" s="5" t="str">
        <f ca="1">IFERROR(__xludf.DUMMYFUNCTION("""COMPUTED_VALUE"""),"Adult")</f>
        <v>Adult</v>
      </c>
      <c r="F1702" s="5"/>
    </row>
    <row r="1703" spans="1:6" ht="13">
      <c r="A1703" s="5" t="str">
        <f ca="1">IFERROR(__xludf.DUMMYFUNCTION("""COMPUTED_VALUE"""),"20070131ILHIC")</f>
        <v>20070131ILHIC</v>
      </c>
      <c r="B1703" s="5" t="str">
        <f ca="1">IFERROR(__xludf.DUMMYFUNCTION("""COMPUTED_VALUE"""),"Wounded")</f>
        <v>Wounded</v>
      </c>
      <c r="C1703" s="5" t="str">
        <f ca="1">IFERROR(__xludf.DUMMYFUNCTION("""COMPUTED_VALUE"""),"Male")</f>
        <v>Male</v>
      </c>
      <c r="D1703" s="5" t="str">
        <f ca="1">IFERROR(__xludf.DUMMYFUNCTION("""COMPUTED_VALUE"""),"Student")</f>
        <v>Student</v>
      </c>
      <c r="E1703" s="5">
        <f ca="1">IFERROR(__xludf.DUMMYFUNCTION("""COMPUTED_VALUE"""),15)</f>
        <v>15</v>
      </c>
      <c r="F1703" s="5"/>
    </row>
    <row r="1704" spans="1:6" ht="13">
      <c r="A1704" s="5" t="str">
        <f ca="1">IFERROR(__xludf.DUMMYFUNCTION("""COMPUTED_VALUE"""),"20070124TNHAS")</f>
        <v>20070124TNHAS</v>
      </c>
      <c r="B1704" s="5" t="str">
        <f ca="1">IFERROR(__xludf.DUMMYFUNCTION("""COMPUTED_VALUE"""),"None")</f>
        <v>None</v>
      </c>
      <c r="C1704" s="5" t="str">
        <f ca="1">IFERROR(__xludf.DUMMYFUNCTION("""COMPUTED_VALUE"""),"Male")</f>
        <v>Male</v>
      </c>
      <c r="D1704" s="5" t="str">
        <f ca="1">IFERROR(__xludf.DUMMYFUNCTION("""COMPUTED_VALUE"""),"Student")</f>
        <v>Student</v>
      </c>
      <c r="E1704" s="5">
        <f ca="1">IFERROR(__xludf.DUMMYFUNCTION("""COMPUTED_VALUE"""),17)</f>
        <v>17</v>
      </c>
      <c r="F1704" s="5"/>
    </row>
    <row r="1705" spans="1:6" ht="13">
      <c r="A1705" s="5" t="str">
        <f ca="1">IFERROR(__xludf.DUMMYFUNCTION("""COMPUTED_VALUE"""),"20070118PAWIP")</f>
        <v>20070118PAWIP</v>
      </c>
      <c r="B1705" s="5" t="str">
        <f ca="1">IFERROR(__xludf.DUMMYFUNCTION("""COMPUTED_VALUE"""),"Wounded")</f>
        <v>Wounded</v>
      </c>
      <c r="C1705" s="5" t="str">
        <f ca="1">IFERROR(__xludf.DUMMYFUNCTION("""COMPUTED_VALUE"""),"Male")</f>
        <v>Male</v>
      </c>
      <c r="D1705" s="5" t="str">
        <f ca="1">IFERROR(__xludf.DUMMYFUNCTION("""COMPUTED_VALUE"""),"Student")</f>
        <v>Student</v>
      </c>
      <c r="E1705" s="5">
        <f ca="1">IFERROR(__xludf.DUMMYFUNCTION("""COMPUTED_VALUE"""),17)</f>
        <v>17</v>
      </c>
      <c r="F1705" s="5"/>
    </row>
    <row r="1706" spans="1:6" ht="13">
      <c r="A1706" s="5" t="str">
        <f ca="1">IFERROR(__xludf.DUMMYFUNCTION("""COMPUTED_VALUE"""),"20070109NVWEL")</f>
        <v>20070109NVWEL</v>
      </c>
      <c r="B1706" s="5" t="str">
        <f ca="1">IFERROR(__xludf.DUMMYFUNCTION("""COMPUTED_VALUE"""),"Wounded")</f>
        <v>Wounded</v>
      </c>
      <c r="C1706" s="5" t="str">
        <f ca="1">IFERROR(__xludf.DUMMYFUNCTION("""COMPUTED_VALUE"""),"Male")</f>
        <v>Male</v>
      </c>
      <c r="D1706" s="5" t="str">
        <f ca="1">IFERROR(__xludf.DUMMYFUNCTION("""COMPUTED_VALUE"""),"Student")</f>
        <v>Student</v>
      </c>
      <c r="E1706" s="5" t="str">
        <f ca="1">IFERROR(__xludf.DUMMYFUNCTION("""COMPUTED_VALUE"""),"Teen")</f>
        <v>Teen</v>
      </c>
      <c r="F1706" s="5"/>
    </row>
    <row r="1707" spans="1:6" ht="13">
      <c r="A1707" s="5" t="str">
        <f ca="1">IFERROR(__xludf.DUMMYFUNCTION("""COMPUTED_VALUE"""),"20070109NVWEL")</f>
        <v>20070109NVWEL</v>
      </c>
      <c r="B1707" s="5" t="str">
        <f ca="1">IFERROR(__xludf.DUMMYFUNCTION("""COMPUTED_VALUE"""),"Wounded")</f>
        <v>Wounded</v>
      </c>
      <c r="C1707" s="5" t="str">
        <f ca="1">IFERROR(__xludf.DUMMYFUNCTION("""COMPUTED_VALUE"""),"Female")</f>
        <v>Female</v>
      </c>
      <c r="D1707" s="5" t="str">
        <f ca="1">IFERROR(__xludf.DUMMYFUNCTION("""COMPUTED_VALUE"""),"Student")</f>
        <v>Student</v>
      </c>
      <c r="E1707" s="5" t="str">
        <f ca="1">IFERROR(__xludf.DUMMYFUNCTION("""COMPUTED_VALUE"""),"Teen")</f>
        <v>Teen</v>
      </c>
      <c r="F1707" s="5"/>
    </row>
    <row r="1708" spans="1:6" ht="13">
      <c r="A1708" s="5" t="str">
        <f ca="1">IFERROR(__xludf.DUMMYFUNCTION("""COMPUTED_VALUE"""),"20070109CAGRV")</f>
        <v>20070109CAGRV</v>
      </c>
      <c r="B1708" s="5" t="str">
        <f ca="1">IFERROR(__xludf.DUMMYFUNCTION("""COMPUTED_VALUE"""),"Wounded")</f>
        <v>Wounded</v>
      </c>
      <c r="C1708" s="5" t="str">
        <f ca="1">IFERROR(__xludf.DUMMYFUNCTION("""COMPUTED_VALUE"""),"Male")</f>
        <v>Male</v>
      </c>
      <c r="D1708" s="5" t="str">
        <f ca="1">IFERROR(__xludf.DUMMYFUNCTION("""COMPUTED_VALUE"""),"Student")</f>
        <v>Student</v>
      </c>
      <c r="E1708" s="5">
        <f ca="1">IFERROR(__xludf.DUMMYFUNCTION("""COMPUTED_VALUE"""),16)</f>
        <v>16</v>
      </c>
      <c r="F1708" s="5"/>
    </row>
    <row r="1709" spans="1:6" ht="13">
      <c r="A1709" s="5" t="str">
        <f ca="1">IFERROR(__xludf.DUMMYFUNCTION("""COMPUTED_VALUE"""),"20070109CAGRV")</f>
        <v>20070109CAGRV</v>
      </c>
      <c r="B1709" s="5" t="str">
        <f ca="1">IFERROR(__xludf.DUMMYFUNCTION("""COMPUTED_VALUE"""),"Wounded")</f>
        <v>Wounded</v>
      </c>
      <c r="C1709" s="5" t="str">
        <f ca="1">IFERROR(__xludf.DUMMYFUNCTION("""COMPUTED_VALUE"""),"Male")</f>
        <v>Male</v>
      </c>
      <c r="D1709" s="5" t="str">
        <f ca="1">IFERROR(__xludf.DUMMYFUNCTION("""COMPUTED_VALUE"""),"Student")</f>
        <v>Student</v>
      </c>
      <c r="E1709" s="5">
        <f ca="1">IFERROR(__xludf.DUMMYFUNCTION("""COMPUTED_VALUE"""),17)</f>
        <v>17</v>
      </c>
      <c r="F1709" s="5"/>
    </row>
    <row r="1710" spans="1:6" ht="13">
      <c r="A1710" s="5" t="str">
        <f ca="1">IFERROR(__xludf.DUMMYFUNCTION("""COMPUTED_VALUE"""),"20070108OHROC")</f>
        <v>20070108OHROC</v>
      </c>
      <c r="B1710" s="5" t="str">
        <f ca="1">IFERROR(__xludf.DUMMYFUNCTION("""COMPUTED_VALUE"""),"None")</f>
        <v>None</v>
      </c>
      <c r="C1710" s="5" t="str">
        <f ca="1">IFERROR(__xludf.DUMMYFUNCTION("""COMPUTED_VALUE"""),"Unknown")</f>
        <v>Unknown</v>
      </c>
      <c r="D1710" s="5" t="str">
        <f ca="1">IFERROR(__xludf.DUMMYFUNCTION("""COMPUTED_VALUE"""),"Principal/Vice-Principal")</f>
        <v>Principal/Vice-Principal</v>
      </c>
      <c r="E1710" s="5" t="str">
        <f ca="1">IFERROR(__xludf.DUMMYFUNCTION("""COMPUTED_VALUE"""),"Adult")</f>
        <v>Adult</v>
      </c>
      <c r="F1710" s="5"/>
    </row>
    <row r="1711" spans="1:6" ht="13">
      <c r="A1711" s="5" t="str">
        <f ca="1">IFERROR(__xludf.DUMMYFUNCTION("""COMPUTED_VALUE"""),"20070104MINOD")</f>
        <v>20070104MINOD</v>
      </c>
      <c r="B1711" s="5" t="str">
        <f ca="1">IFERROR(__xludf.DUMMYFUNCTION("""COMPUTED_VALUE"""),"Wounded")</f>
        <v>Wounded</v>
      </c>
      <c r="C1711" s="5" t="str">
        <f ca="1">IFERROR(__xludf.DUMMYFUNCTION("""COMPUTED_VALUE"""),"Female")</f>
        <v>Female</v>
      </c>
      <c r="D1711" s="5" t="str">
        <f ca="1">IFERROR(__xludf.DUMMYFUNCTION("""COMPUTED_VALUE"""),"Student")</f>
        <v>Student</v>
      </c>
      <c r="E1711" s="5">
        <f ca="1">IFERROR(__xludf.DUMMYFUNCTION("""COMPUTED_VALUE"""),14)</f>
        <v>14</v>
      </c>
      <c r="F1711" s="5"/>
    </row>
    <row r="1712" spans="1:6" ht="13">
      <c r="A1712" s="5" t="str">
        <f ca="1">IFERROR(__xludf.DUMMYFUNCTION("""COMPUTED_VALUE"""),"20070103WAHET")</f>
        <v>20070103WAHET</v>
      </c>
      <c r="B1712" s="5" t="str">
        <f ca="1">IFERROR(__xludf.DUMMYFUNCTION("""COMPUTED_VALUE"""),"Fatal")</f>
        <v>Fatal</v>
      </c>
      <c r="C1712" s="5" t="str">
        <f ca="1">IFERROR(__xludf.DUMMYFUNCTION("""COMPUTED_VALUE"""),"Male")</f>
        <v>Male</v>
      </c>
      <c r="D1712" s="5" t="str">
        <f ca="1">IFERROR(__xludf.DUMMYFUNCTION("""COMPUTED_VALUE"""),"Student")</f>
        <v>Student</v>
      </c>
      <c r="E1712" s="5">
        <f ca="1">IFERROR(__xludf.DUMMYFUNCTION("""COMPUTED_VALUE"""),17)</f>
        <v>17</v>
      </c>
      <c r="F1712" s="5"/>
    </row>
    <row r="1713" spans="1:6" ht="13">
      <c r="A1713" s="5" t="str">
        <f ca="1">IFERROR(__xludf.DUMMYFUNCTION("""COMPUTED_VALUE"""),"20070102NCWEF")</f>
        <v>20070102NCWEF</v>
      </c>
      <c r="B1713" s="5" t="str">
        <f ca="1">IFERROR(__xludf.DUMMYFUNCTION("""COMPUTED_VALUE"""),"None")</f>
        <v>None</v>
      </c>
      <c r="C1713" s="5" t="str">
        <f ca="1">IFERROR(__xludf.DUMMYFUNCTION("""COMPUTED_VALUE"""),"Male")</f>
        <v>Male</v>
      </c>
      <c r="D1713" s="5" t="str">
        <f ca="1">IFERROR(__xludf.DUMMYFUNCTION("""COMPUTED_VALUE"""),"Student")</f>
        <v>Student</v>
      </c>
      <c r="E1713" s="5">
        <f ca="1">IFERROR(__xludf.DUMMYFUNCTION("""COMPUTED_VALUE"""),17)</f>
        <v>17</v>
      </c>
      <c r="F1713" s="5" t="str">
        <f ca="1">IFERROR(__xludf.DUMMYFUNCTION("""COMPUTED_VALUE"""),"Black")</f>
        <v>Black</v>
      </c>
    </row>
    <row r="1714" spans="1:6" ht="13">
      <c r="A1714" s="5" t="str">
        <f ca="1">IFERROR(__xludf.DUMMYFUNCTION("""COMPUTED_VALUE"""),"20061214PAMCC")</f>
        <v>20061214PAMCC</v>
      </c>
      <c r="B1714" s="5" t="str">
        <f ca="1">IFERROR(__xludf.DUMMYFUNCTION("""COMPUTED_VALUE"""),"None")</f>
        <v>None</v>
      </c>
      <c r="C1714" s="5" t="str">
        <f ca="1">IFERROR(__xludf.DUMMYFUNCTION("""COMPUTED_VALUE"""),"Male")</f>
        <v>Male</v>
      </c>
      <c r="D1714" s="5" t="str">
        <f ca="1">IFERROR(__xludf.DUMMYFUNCTION("""COMPUTED_VALUE"""),"Student")</f>
        <v>Student</v>
      </c>
      <c r="E1714" s="5">
        <f ca="1">IFERROR(__xludf.DUMMYFUNCTION("""COMPUTED_VALUE"""),17)</f>
        <v>17</v>
      </c>
      <c r="F1714" s="5"/>
    </row>
    <row r="1715" spans="1:6" ht="13">
      <c r="A1715" s="5" t="str">
        <f ca="1">IFERROR(__xludf.DUMMYFUNCTION("""COMPUTED_VALUE"""),"20061213PABAB")</f>
        <v>20061213PABAB</v>
      </c>
      <c r="B1715" s="5" t="str">
        <f ca="1">IFERROR(__xludf.DUMMYFUNCTION("""COMPUTED_VALUE"""),"Wounded")</f>
        <v>Wounded</v>
      </c>
      <c r="C1715" s="5" t="str">
        <f ca="1">IFERROR(__xludf.DUMMYFUNCTION("""COMPUTED_VALUE"""),"Female")</f>
        <v>Female</v>
      </c>
      <c r="D1715" s="5" t="str">
        <f ca="1">IFERROR(__xludf.DUMMYFUNCTION("""COMPUTED_VALUE"""),"Student")</f>
        <v>Student</v>
      </c>
      <c r="E1715" s="5" t="str">
        <f ca="1">IFERROR(__xludf.DUMMYFUNCTION("""COMPUTED_VALUE"""),"Teen")</f>
        <v>Teen</v>
      </c>
      <c r="F1715" s="5"/>
    </row>
    <row r="1716" spans="1:6" ht="13">
      <c r="A1716" s="5" t="str">
        <f ca="1">IFERROR(__xludf.DUMMYFUNCTION("""COMPUTED_VALUE"""),"20061212PASPS")</f>
        <v>20061212PASPS</v>
      </c>
      <c r="B1716" s="5" t="str">
        <f ca="1">IFERROR(__xludf.DUMMYFUNCTION("""COMPUTED_VALUE"""),"None")</f>
        <v>None</v>
      </c>
      <c r="C1716" s="5" t="str">
        <f ca="1">IFERROR(__xludf.DUMMYFUNCTION("""COMPUTED_VALUE"""),"Male")</f>
        <v>Male</v>
      </c>
      <c r="D1716" s="5" t="str">
        <f ca="1">IFERROR(__xludf.DUMMYFUNCTION("""COMPUTED_VALUE"""),"Student")</f>
        <v>Student</v>
      </c>
      <c r="E1716" s="5">
        <f ca="1">IFERROR(__xludf.DUMMYFUNCTION("""COMPUTED_VALUE"""),16)</f>
        <v>16</v>
      </c>
      <c r="F1716" s="5"/>
    </row>
    <row r="1717" spans="1:6" ht="13">
      <c r="A1717" s="5" t="str">
        <f ca="1">IFERROR(__xludf.DUMMYFUNCTION("""COMPUTED_VALUE"""),"20061211ILCLC")</f>
        <v>20061211ILCLC</v>
      </c>
      <c r="B1717" s="5" t="str">
        <f ca="1">IFERROR(__xludf.DUMMYFUNCTION("""COMPUTED_VALUE"""),"Wounded")</f>
        <v>Wounded</v>
      </c>
      <c r="C1717" s="5" t="str">
        <f ca="1">IFERROR(__xludf.DUMMYFUNCTION("""COMPUTED_VALUE"""),"Male")</f>
        <v>Male</v>
      </c>
      <c r="D1717" s="5" t="str">
        <f ca="1">IFERROR(__xludf.DUMMYFUNCTION("""COMPUTED_VALUE"""),"Police Officer/SRO")</f>
        <v>Police Officer/SRO</v>
      </c>
      <c r="E1717" s="5">
        <f ca="1">IFERROR(__xludf.DUMMYFUNCTION("""COMPUTED_VALUE"""),36)</f>
        <v>36</v>
      </c>
      <c r="F1717" s="5"/>
    </row>
    <row r="1718" spans="1:6" ht="13">
      <c r="A1718" s="5" t="str">
        <f ca="1">IFERROR(__xludf.DUMMYFUNCTION("""COMPUTED_VALUE"""),"20061207NENOO")</f>
        <v>20061207NENOO</v>
      </c>
      <c r="B1718" s="5" t="str">
        <f ca="1">IFERROR(__xludf.DUMMYFUNCTION("""COMPUTED_VALUE"""),"Wounded")</f>
        <v>Wounded</v>
      </c>
      <c r="C1718" s="5" t="str">
        <f ca="1">IFERROR(__xludf.DUMMYFUNCTION("""COMPUTED_VALUE"""),"Male")</f>
        <v>Male</v>
      </c>
      <c r="D1718" s="5" t="str">
        <f ca="1">IFERROR(__xludf.DUMMYFUNCTION("""COMPUTED_VALUE"""),"Student")</f>
        <v>Student</v>
      </c>
      <c r="E1718" s="5">
        <f ca="1">IFERROR(__xludf.DUMMYFUNCTION("""COMPUTED_VALUE"""),17)</f>
        <v>17</v>
      </c>
      <c r="F1718" s="5"/>
    </row>
    <row r="1719" spans="1:6" ht="13">
      <c r="A1719" s="5" t="str">
        <f ca="1">IFERROR(__xludf.DUMMYFUNCTION("""COMPUTED_VALUE"""),"20061201NCJOT")</f>
        <v>20061201NCJOT</v>
      </c>
      <c r="B1719" s="5" t="str">
        <f ca="1">IFERROR(__xludf.DUMMYFUNCTION("""COMPUTED_VALUE"""),"Fatal")</f>
        <v>Fatal</v>
      </c>
      <c r="C1719" s="5" t="str">
        <f ca="1">IFERROR(__xludf.DUMMYFUNCTION("""COMPUTED_VALUE"""),"Male")</f>
        <v>Male</v>
      </c>
      <c r="D1719" s="5" t="str">
        <f ca="1">IFERROR(__xludf.DUMMYFUNCTION("""COMPUTED_VALUE"""),"Former Student")</f>
        <v>Former Student</v>
      </c>
      <c r="E1719" s="5">
        <f ca="1">IFERROR(__xludf.DUMMYFUNCTION("""COMPUTED_VALUE"""),23)</f>
        <v>23</v>
      </c>
      <c r="F1719" s="5"/>
    </row>
    <row r="1720" spans="1:6" ht="13">
      <c r="A1720" s="5" t="str">
        <f ca="1">IFERROR(__xludf.DUMMYFUNCTION("""COMPUTED_VALUE"""),"20061122GASAA")</f>
        <v>20061122GASAA</v>
      </c>
      <c r="B1720" s="5" t="str">
        <f ca="1">IFERROR(__xludf.DUMMYFUNCTION("""COMPUTED_VALUE"""),"Fatal")</f>
        <v>Fatal</v>
      </c>
      <c r="C1720" s="5" t="str">
        <f ca="1">IFERROR(__xludf.DUMMYFUNCTION("""COMPUTED_VALUE"""),"Male")</f>
        <v>Male</v>
      </c>
      <c r="D1720" s="5" t="str">
        <f ca="1">IFERROR(__xludf.DUMMYFUNCTION("""COMPUTED_VALUE"""),"Student")</f>
        <v>Student</v>
      </c>
      <c r="E1720" s="5">
        <f ca="1">IFERROR(__xludf.DUMMYFUNCTION("""COMPUTED_VALUE"""),14)</f>
        <v>14</v>
      </c>
      <c r="F1720" s="5"/>
    </row>
    <row r="1721" spans="1:6" ht="13">
      <c r="A1721" s="5" t="str">
        <f ca="1">IFERROR(__xludf.DUMMYFUNCTION("""COMPUTED_VALUE"""),"20061111CALIO")</f>
        <v>20061111CALIO</v>
      </c>
      <c r="B1721" s="5" t="str">
        <f ca="1">IFERROR(__xludf.DUMMYFUNCTION("""COMPUTED_VALUE"""),"Fatal")</f>
        <v>Fatal</v>
      </c>
      <c r="C1721" s="5" t="str">
        <f ca="1">IFERROR(__xludf.DUMMYFUNCTION("""COMPUTED_VALUE"""),"Male")</f>
        <v>Male</v>
      </c>
      <c r="D1721" s="5" t="str">
        <f ca="1">IFERROR(__xludf.DUMMYFUNCTION("""COMPUTED_VALUE"""),"No Relation")</f>
        <v>No Relation</v>
      </c>
      <c r="E1721" s="5">
        <f ca="1">IFERROR(__xludf.DUMMYFUNCTION("""COMPUTED_VALUE"""),23)</f>
        <v>23</v>
      </c>
      <c r="F1721" s="5"/>
    </row>
    <row r="1722" spans="1:6" ht="13">
      <c r="A1722" s="5" t="str">
        <f ca="1">IFERROR(__xludf.DUMMYFUNCTION("""COMPUTED_VALUE"""),"20061111CALIO")</f>
        <v>20061111CALIO</v>
      </c>
      <c r="B1722" s="5" t="str">
        <f ca="1">IFERROR(__xludf.DUMMYFUNCTION("""COMPUTED_VALUE"""),"Wounded")</f>
        <v>Wounded</v>
      </c>
      <c r="C1722" s="5" t="str">
        <f ca="1">IFERROR(__xludf.DUMMYFUNCTION("""COMPUTED_VALUE"""),"Male")</f>
        <v>Male</v>
      </c>
      <c r="D1722" s="5" t="str">
        <f ca="1">IFERROR(__xludf.DUMMYFUNCTION("""COMPUTED_VALUE"""),"No Relation")</f>
        <v>No Relation</v>
      </c>
      <c r="E1722" s="5">
        <f ca="1">IFERROR(__xludf.DUMMYFUNCTION("""COMPUTED_VALUE"""),20)</f>
        <v>20</v>
      </c>
      <c r="F1722" s="5"/>
    </row>
    <row r="1723" spans="1:6" ht="13">
      <c r="A1723" s="5" t="str">
        <f ca="1">IFERROR(__xludf.DUMMYFUNCTION("""COMPUTED_VALUE"""),"20061031TNHAK")</f>
        <v>20061031TNHAK</v>
      </c>
      <c r="B1723" s="5" t="str">
        <f ca="1">IFERROR(__xludf.DUMMYFUNCTION("""COMPUTED_VALUE"""),"Fatal")</f>
        <v>Fatal</v>
      </c>
      <c r="C1723" s="5" t="str">
        <f ca="1">IFERROR(__xludf.DUMMYFUNCTION("""COMPUTED_VALUE"""),"Male")</f>
        <v>Male</v>
      </c>
      <c r="D1723" s="5" t="str">
        <f ca="1">IFERROR(__xludf.DUMMYFUNCTION("""COMPUTED_VALUE"""),"Security Guard")</f>
        <v>Security Guard</v>
      </c>
      <c r="E1723" s="5">
        <f ca="1">IFERROR(__xludf.DUMMYFUNCTION("""COMPUTED_VALUE"""),39)</f>
        <v>39</v>
      </c>
      <c r="F1723" s="5"/>
    </row>
    <row r="1724" spans="1:6" ht="13">
      <c r="A1724" s="5" t="str">
        <f ca="1">IFERROR(__xludf.DUMMYFUNCTION("""COMPUTED_VALUE"""),"20061017TXSEK")</f>
        <v>20061017TXSEK</v>
      </c>
      <c r="B1724" s="5" t="str">
        <f ca="1">IFERROR(__xludf.DUMMYFUNCTION("""COMPUTED_VALUE"""),"None")</f>
        <v>None</v>
      </c>
      <c r="C1724" s="5" t="str">
        <f ca="1">IFERROR(__xludf.DUMMYFUNCTION("""COMPUTED_VALUE"""),"Male")</f>
        <v>Male</v>
      </c>
      <c r="D1724" s="5" t="str">
        <f ca="1">IFERROR(__xludf.DUMMYFUNCTION("""COMPUTED_VALUE"""),"Student")</f>
        <v>Student</v>
      </c>
      <c r="E1724" s="5">
        <f ca="1">IFERROR(__xludf.DUMMYFUNCTION("""COMPUTED_VALUE"""),16)</f>
        <v>16</v>
      </c>
      <c r="F1724" s="5"/>
    </row>
    <row r="1725" spans="1:6" ht="13">
      <c r="A1725" s="5" t="str">
        <f ca="1">IFERROR(__xludf.DUMMYFUNCTION("""COMPUTED_VALUE"""),"20061012MDGRB")</f>
        <v>20061012MDGRB</v>
      </c>
      <c r="B1725" s="5" t="str">
        <f ca="1">IFERROR(__xludf.DUMMYFUNCTION("""COMPUTED_VALUE"""),"None")</f>
        <v>None</v>
      </c>
      <c r="C1725" s="5"/>
      <c r="D1725" s="5"/>
      <c r="E1725" s="5"/>
      <c r="F1725" s="5"/>
    </row>
    <row r="1726" spans="1:6" ht="13">
      <c r="A1726" s="5" t="str">
        <f ca="1">IFERROR(__xludf.DUMMYFUNCTION("""COMPUTED_VALUE"""),"20061010NYPOP")</f>
        <v>20061010NYPOP</v>
      </c>
      <c r="B1726" s="5" t="str">
        <f ca="1">IFERROR(__xludf.DUMMYFUNCTION("""COMPUTED_VALUE"""),"Wounded")</f>
        <v>Wounded</v>
      </c>
      <c r="C1726" s="5" t="str">
        <f ca="1">IFERROR(__xludf.DUMMYFUNCTION("""COMPUTED_VALUE"""),"Male")</f>
        <v>Male</v>
      </c>
      <c r="D1726" s="5" t="str">
        <f ca="1">IFERROR(__xludf.DUMMYFUNCTION("""COMPUTED_VALUE"""),"Student")</f>
        <v>Student</v>
      </c>
      <c r="E1726" s="5">
        <f ca="1">IFERROR(__xludf.DUMMYFUNCTION("""COMPUTED_VALUE"""),12)</f>
        <v>12</v>
      </c>
      <c r="F1726" s="5"/>
    </row>
    <row r="1727" spans="1:6" ht="13">
      <c r="A1727" s="5" t="str">
        <f ca="1">IFERROR(__xludf.DUMMYFUNCTION("""COMPUTED_VALUE"""),"20061010NYPOP")</f>
        <v>20061010NYPOP</v>
      </c>
      <c r="B1727" s="5" t="str">
        <f ca="1">IFERROR(__xludf.DUMMYFUNCTION("""COMPUTED_VALUE"""),"Wounded")</f>
        <v>Wounded</v>
      </c>
      <c r="C1727" s="5" t="str">
        <f ca="1">IFERROR(__xludf.DUMMYFUNCTION("""COMPUTED_VALUE"""),"Male")</f>
        <v>Male</v>
      </c>
      <c r="D1727" s="5" t="str">
        <f ca="1">IFERROR(__xludf.DUMMYFUNCTION("""COMPUTED_VALUE"""),"Student")</f>
        <v>Student</v>
      </c>
      <c r="E1727" s="5">
        <f ca="1">IFERROR(__xludf.DUMMYFUNCTION("""COMPUTED_VALUE"""),12)</f>
        <v>12</v>
      </c>
      <c r="F1727" s="5"/>
    </row>
    <row r="1728" spans="1:6" ht="13">
      <c r="A1728" s="5" t="str">
        <f ca="1">IFERROR(__xludf.DUMMYFUNCTION("""COMPUTED_VALUE"""),"20061009MOMEJ")</f>
        <v>20061009MOMEJ</v>
      </c>
      <c r="B1728" s="5" t="str">
        <f ca="1">IFERROR(__xludf.DUMMYFUNCTION("""COMPUTED_VALUE"""),"None")</f>
        <v>None</v>
      </c>
      <c r="C1728" s="5"/>
      <c r="D1728" s="5"/>
      <c r="E1728" s="5"/>
      <c r="F1728" s="5"/>
    </row>
    <row r="1729" spans="1:6" ht="13">
      <c r="A1729" s="5" t="str">
        <f ca="1">IFERROR(__xludf.DUMMYFUNCTION("""COMPUTED_VALUE"""),"20061002PAWEN")</f>
        <v>20061002PAWEN</v>
      </c>
      <c r="B1729" s="5" t="str">
        <f ca="1">IFERROR(__xludf.DUMMYFUNCTION("""COMPUTED_VALUE"""),"Fatal")</f>
        <v>Fatal</v>
      </c>
      <c r="C1729" s="5" t="str">
        <f ca="1">IFERROR(__xludf.DUMMYFUNCTION("""COMPUTED_VALUE"""),"Female")</f>
        <v>Female</v>
      </c>
      <c r="D1729" s="5" t="str">
        <f ca="1">IFERROR(__xludf.DUMMYFUNCTION("""COMPUTED_VALUE"""),"Student")</f>
        <v>Student</v>
      </c>
      <c r="E1729" s="5">
        <f ca="1">IFERROR(__xludf.DUMMYFUNCTION("""COMPUTED_VALUE"""),12)</f>
        <v>12</v>
      </c>
      <c r="F1729" s="5"/>
    </row>
    <row r="1730" spans="1:6" ht="13">
      <c r="A1730" s="5" t="str">
        <f ca="1">IFERROR(__xludf.DUMMYFUNCTION("""COMPUTED_VALUE"""),"20061002PAWEN")</f>
        <v>20061002PAWEN</v>
      </c>
      <c r="B1730" s="5" t="str">
        <f ca="1">IFERROR(__xludf.DUMMYFUNCTION("""COMPUTED_VALUE"""),"Fatal")</f>
        <v>Fatal</v>
      </c>
      <c r="C1730" s="5" t="str">
        <f ca="1">IFERROR(__xludf.DUMMYFUNCTION("""COMPUTED_VALUE"""),"Female")</f>
        <v>Female</v>
      </c>
      <c r="D1730" s="5" t="str">
        <f ca="1">IFERROR(__xludf.DUMMYFUNCTION("""COMPUTED_VALUE"""),"Student")</f>
        <v>Student</v>
      </c>
      <c r="E1730" s="5">
        <f ca="1">IFERROR(__xludf.DUMMYFUNCTION("""COMPUTED_VALUE"""),7)</f>
        <v>7</v>
      </c>
      <c r="F1730" s="5"/>
    </row>
    <row r="1731" spans="1:6" ht="13">
      <c r="A1731" s="5" t="str">
        <f ca="1">IFERROR(__xludf.DUMMYFUNCTION("""COMPUTED_VALUE"""),"20061002PAWEN")</f>
        <v>20061002PAWEN</v>
      </c>
      <c r="B1731" s="5" t="str">
        <f ca="1">IFERROR(__xludf.DUMMYFUNCTION("""COMPUTED_VALUE"""),"Wounded")</f>
        <v>Wounded</v>
      </c>
      <c r="C1731" s="5" t="str">
        <f ca="1">IFERROR(__xludf.DUMMYFUNCTION("""COMPUTED_VALUE"""),"Female")</f>
        <v>Female</v>
      </c>
      <c r="D1731" s="5" t="str">
        <f ca="1">IFERROR(__xludf.DUMMYFUNCTION("""COMPUTED_VALUE"""),"Student")</f>
        <v>Student</v>
      </c>
      <c r="E1731" s="5" t="str">
        <f ca="1">IFERROR(__xludf.DUMMYFUNCTION("""COMPUTED_VALUE"""),"Child")</f>
        <v>Child</v>
      </c>
      <c r="F1731" s="5"/>
    </row>
    <row r="1732" spans="1:6" ht="13">
      <c r="A1732" s="5" t="str">
        <f ca="1">IFERROR(__xludf.DUMMYFUNCTION("""COMPUTED_VALUE"""),"20061002PAWEN")</f>
        <v>20061002PAWEN</v>
      </c>
      <c r="B1732" s="5" t="str">
        <f ca="1">IFERROR(__xludf.DUMMYFUNCTION("""COMPUTED_VALUE"""),"Wounded")</f>
        <v>Wounded</v>
      </c>
      <c r="C1732" s="5" t="str">
        <f ca="1">IFERROR(__xludf.DUMMYFUNCTION("""COMPUTED_VALUE"""),"Female")</f>
        <v>Female</v>
      </c>
      <c r="D1732" s="5" t="str">
        <f ca="1">IFERROR(__xludf.DUMMYFUNCTION("""COMPUTED_VALUE"""),"Student")</f>
        <v>Student</v>
      </c>
      <c r="E1732" s="5" t="str">
        <f ca="1">IFERROR(__xludf.DUMMYFUNCTION("""COMPUTED_VALUE"""),"Child")</f>
        <v>Child</v>
      </c>
      <c r="F1732" s="5"/>
    </row>
    <row r="1733" spans="1:6" ht="13">
      <c r="A1733" s="5" t="str">
        <f ca="1">IFERROR(__xludf.DUMMYFUNCTION("""COMPUTED_VALUE"""),"20061002PAWEN")</f>
        <v>20061002PAWEN</v>
      </c>
      <c r="B1733" s="5" t="str">
        <f ca="1">IFERROR(__xludf.DUMMYFUNCTION("""COMPUTED_VALUE"""),"Wounded")</f>
        <v>Wounded</v>
      </c>
      <c r="C1733" s="5" t="str">
        <f ca="1">IFERROR(__xludf.DUMMYFUNCTION("""COMPUTED_VALUE"""),"Female")</f>
        <v>Female</v>
      </c>
      <c r="D1733" s="5" t="str">
        <f ca="1">IFERROR(__xludf.DUMMYFUNCTION("""COMPUTED_VALUE"""),"Student")</f>
        <v>Student</v>
      </c>
      <c r="E1733" s="5" t="str">
        <f ca="1">IFERROR(__xludf.DUMMYFUNCTION("""COMPUTED_VALUE"""),"Child")</f>
        <v>Child</v>
      </c>
      <c r="F1733" s="5"/>
    </row>
    <row r="1734" spans="1:6" ht="13">
      <c r="A1734" s="5" t="str">
        <f ca="1">IFERROR(__xludf.DUMMYFUNCTION("""COMPUTED_VALUE"""),"20061002PAWEN")</f>
        <v>20061002PAWEN</v>
      </c>
      <c r="B1734" s="5" t="str">
        <f ca="1">IFERROR(__xludf.DUMMYFUNCTION("""COMPUTED_VALUE"""),"Fatal")</f>
        <v>Fatal</v>
      </c>
      <c r="C1734" s="5" t="str">
        <f ca="1">IFERROR(__xludf.DUMMYFUNCTION("""COMPUTED_VALUE"""),"Female")</f>
        <v>Female</v>
      </c>
      <c r="D1734" s="5" t="str">
        <f ca="1">IFERROR(__xludf.DUMMYFUNCTION("""COMPUTED_VALUE"""),"Student")</f>
        <v>Student</v>
      </c>
      <c r="E1734" s="5">
        <f ca="1">IFERROR(__xludf.DUMMYFUNCTION("""COMPUTED_VALUE"""),13)</f>
        <v>13</v>
      </c>
      <c r="F1734" s="5"/>
    </row>
    <row r="1735" spans="1:6" ht="13">
      <c r="A1735" s="5" t="str">
        <f ca="1">IFERROR(__xludf.DUMMYFUNCTION("""COMPUTED_VALUE"""),"20061002PAWEN")</f>
        <v>20061002PAWEN</v>
      </c>
      <c r="B1735" s="5" t="str">
        <f ca="1">IFERROR(__xludf.DUMMYFUNCTION("""COMPUTED_VALUE"""),"Wounded")</f>
        <v>Wounded</v>
      </c>
      <c r="C1735" s="5" t="str">
        <f ca="1">IFERROR(__xludf.DUMMYFUNCTION("""COMPUTED_VALUE"""),"Female")</f>
        <v>Female</v>
      </c>
      <c r="D1735" s="5" t="str">
        <f ca="1">IFERROR(__xludf.DUMMYFUNCTION("""COMPUTED_VALUE"""),"Student")</f>
        <v>Student</v>
      </c>
      <c r="E1735" s="5" t="str">
        <f ca="1">IFERROR(__xludf.DUMMYFUNCTION("""COMPUTED_VALUE"""),"Child")</f>
        <v>Child</v>
      </c>
      <c r="F1735" s="5"/>
    </row>
    <row r="1736" spans="1:6" ht="13">
      <c r="A1736" s="5" t="str">
        <f ca="1">IFERROR(__xludf.DUMMYFUNCTION("""COMPUTED_VALUE"""),"20061002PAWEN")</f>
        <v>20061002PAWEN</v>
      </c>
      <c r="B1736" s="5" t="str">
        <f ca="1">IFERROR(__xludf.DUMMYFUNCTION("""COMPUTED_VALUE"""),"Fatal")</f>
        <v>Fatal</v>
      </c>
      <c r="C1736" s="5" t="str">
        <f ca="1">IFERROR(__xludf.DUMMYFUNCTION("""COMPUTED_VALUE"""),"Female")</f>
        <v>Female</v>
      </c>
      <c r="D1736" s="5" t="str">
        <f ca="1">IFERROR(__xludf.DUMMYFUNCTION("""COMPUTED_VALUE"""),"Student")</f>
        <v>Student</v>
      </c>
      <c r="E1736" s="5">
        <f ca="1">IFERROR(__xludf.DUMMYFUNCTION("""COMPUTED_VALUE"""),8)</f>
        <v>8</v>
      </c>
      <c r="F1736" s="5"/>
    </row>
    <row r="1737" spans="1:6" ht="13">
      <c r="A1737" s="5" t="str">
        <f ca="1">IFERROR(__xludf.DUMMYFUNCTION("""COMPUTED_VALUE"""),"20061002PAWEN")</f>
        <v>20061002PAWEN</v>
      </c>
      <c r="B1737" s="5" t="str">
        <f ca="1">IFERROR(__xludf.DUMMYFUNCTION("""COMPUTED_VALUE"""),"Wounded")</f>
        <v>Wounded</v>
      </c>
      <c r="C1737" s="5" t="str">
        <f ca="1">IFERROR(__xludf.DUMMYFUNCTION("""COMPUTED_VALUE"""),"Female")</f>
        <v>Female</v>
      </c>
      <c r="D1737" s="5" t="str">
        <f ca="1">IFERROR(__xludf.DUMMYFUNCTION("""COMPUTED_VALUE"""),"Student")</f>
        <v>Student</v>
      </c>
      <c r="E1737" s="5" t="str">
        <f ca="1">IFERROR(__xludf.DUMMYFUNCTION("""COMPUTED_VALUE"""),"Child")</f>
        <v>Child</v>
      </c>
      <c r="F1737" s="5"/>
    </row>
    <row r="1738" spans="1:6" ht="13">
      <c r="A1738" s="5" t="str">
        <f ca="1">IFERROR(__xludf.DUMMYFUNCTION("""COMPUTED_VALUE"""),"20061002PAWEN")</f>
        <v>20061002PAWEN</v>
      </c>
      <c r="B1738" s="5" t="str">
        <f ca="1">IFERROR(__xludf.DUMMYFUNCTION("""COMPUTED_VALUE"""),"Fatal")</f>
        <v>Fatal</v>
      </c>
      <c r="C1738" s="5" t="str">
        <f ca="1">IFERROR(__xludf.DUMMYFUNCTION("""COMPUTED_VALUE"""),"Female")</f>
        <v>Female</v>
      </c>
      <c r="D1738" s="5" t="str">
        <f ca="1">IFERROR(__xludf.DUMMYFUNCTION("""COMPUTED_VALUE"""),"Student")</f>
        <v>Student</v>
      </c>
      <c r="E1738" s="5">
        <f ca="1">IFERROR(__xludf.DUMMYFUNCTION("""COMPUTED_VALUE"""),7)</f>
        <v>7</v>
      </c>
      <c r="F1738" s="5"/>
    </row>
    <row r="1739" spans="1:6" ht="13">
      <c r="A1739" s="5" t="str">
        <f ca="1">IFERROR(__xludf.DUMMYFUNCTION("""COMPUTED_VALUE"""),"20060929WIWEC")</f>
        <v>20060929WIWEC</v>
      </c>
      <c r="B1739" s="5" t="str">
        <f ca="1">IFERROR(__xludf.DUMMYFUNCTION("""COMPUTED_VALUE"""),"Fatal")</f>
        <v>Fatal</v>
      </c>
      <c r="C1739" s="5" t="str">
        <f ca="1">IFERROR(__xludf.DUMMYFUNCTION("""COMPUTED_VALUE"""),"Male")</f>
        <v>Male</v>
      </c>
      <c r="D1739" s="5" t="str">
        <f ca="1">IFERROR(__xludf.DUMMYFUNCTION("""COMPUTED_VALUE"""),"Principal/Vice-Principal")</f>
        <v>Principal/Vice-Principal</v>
      </c>
      <c r="E1739" s="5" t="str">
        <f ca="1">IFERROR(__xludf.DUMMYFUNCTION("""COMPUTED_VALUE"""),"Adult")</f>
        <v>Adult</v>
      </c>
      <c r="F1739" s="5"/>
    </row>
    <row r="1740" spans="1:6" ht="13">
      <c r="A1740" s="5" t="str">
        <f ca="1">IFERROR(__xludf.DUMMYFUNCTION("""COMPUTED_VALUE"""),"20060927COPLB")</f>
        <v>20060927COPLB</v>
      </c>
      <c r="B1740" s="5" t="str">
        <f ca="1">IFERROR(__xludf.DUMMYFUNCTION("""COMPUTED_VALUE"""),"Fatal")</f>
        <v>Fatal</v>
      </c>
      <c r="C1740" s="5" t="str">
        <f ca="1">IFERROR(__xludf.DUMMYFUNCTION("""COMPUTED_VALUE"""),"Female")</f>
        <v>Female</v>
      </c>
      <c r="D1740" s="5" t="str">
        <f ca="1">IFERROR(__xludf.DUMMYFUNCTION("""COMPUTED_VALUE"""),"Student")</f>
        <v>Student</v>
      </c>
      <c r="E1740" s="5">
        <f ca="1">IFERROR(__xludf.DUMMYFUNCTION("""COMPUTED_VALUE"""),16)</f>
        <v>16</v>
      </c>
      <c r="F1740" s="5" t="str">
        <f ca="1">IFERROR(__xludf.DUMMYFUNCTION("""COMPUTED_VALUE"""),"White")</f>
        <v>White</v>
      </c>
    </row>
    <row r="1741" spans="1:6" ht="13">
      <c r="A1741" s="5" t="str">
        <f ca="1">IFERROR(__xludf.DUMMYFUNCTION("""COMPUTED_VALUE"""),"20060921DCCAW")</f>
        <v>20060921DCCAW</v>
      </c>
      <c r="B1741" s="5" t="str">
        <f ca="1">IFERROR(__xludf.DUMMYFUNCTION("""COMPUTED_VALUE"""),"Wounded")</f>
        <v>Wounded</v>
      </c>
      <c r="C1741" s="5" t="str">
        <f ca="1">IFERROR(__xludf.DUMMYFUNCTION("""COMPUTED_VALUE"""),"Male")</f>
        <v>Male</v>
      </c>
      <c r="D1741" s="5" t="str">
        <f ca="1">IFERROR(__xludf.DUMMYFUNCTION("""COMPUTED_VALUE"""),"Student")</f>
        <v>Student</v>
      </c>
      <c r="E1741" s="5">
        <f ca="1">IFERROR(__xludf.DUMMYFUNCTION("""COMPUTED_VALUE"""),16)</f>
        <v>16</v>
      </c>
      <c r="F1741" s="5"/>
    </row>
    <row r="1742" spans="1:6" ht="13">
      <c r="A1742" s="5" t="str">
        <f ca="1">IFERROR(__xludf.DUMMYFUNCTION("""COMPUTED_VALUE"""),"20060913MOWEC")</f>
        <v>20060913MOWEC</v>
      </c>
      <c r="B1742" s="5" t="str">
        <f ca="1">IFERROR(__xludf.DUMMYFUNCTION("""COMPUTED_VALUE"""),"None")</f>
        <v>None</v>
      </c>
      <c r="C1742" s="5" t="str">
        <f ca="1">IFERROR(__xludf.DUMMYFUNCTION("""COMPUTED_VALUE"""),"Male")</f>
        <v>Male</v>
      </c>
      <c r="D1742" s="5" t="str">
        <f ca="1">IFERROR(__xludf.DUMMYFUNCTION("""COMPUTED_VALUE"""),"Student")</f>
        <v>Student</v>
      </c>
      <c r="E1742" s="5">
        <f ca="1">IFERROR(__xludf.DUMMYFUNCTION("""COMPUTED_VALUE"""),17)</f>
        <v>17</v>
      </c>
      <c r="F1742" s="5"/>
    </row>
    <row r="1743" spans="1:6" ht="13">
      <c r="A1743" s="5" t="str">
        <f ca="1">IFERROR(__xludf.DUMMYFUNCTION("""COMPUTED_VALUE"""),"20060908TXSOF")</f>
        <v>20060908TXSOF</v>
      </c>
      <c r="B1743" s="5" t="str">
        <f ca="1">IFERROR(__xludf.DUMMYFUNCTION("""COMPUTED_VALUE"""),"Wounded")</f>
        <v>Wounded</v>
      </c>
      <c r="C1743" s="5" t="str">
        <f ca="1">IFERROR(__xludf.DUMMYFUNCTION("""COMPUTED_VALUE"""),"Male")</f>
        <v>Male</v>
      </c>
      <c r="D1743" s="5" t="str">
        <f ca="1">IFERROR(__xludf.DUMMYFUNCTION("""COMPUTED_VALUE"""),"Student")</f>
        <v>Student</v>
      </c>
      <c r="E1743" s="5">
        <f ca="1">IFERROR(__xludf.DUMMYFUNCTION("""COMPUTED_VALUE"""),15)</f>
        <v>15</v>
      </c>
      <c r="F1743" s="5"/>
    </row>
    <row r="1744" spans="1:6" ht="13">
      <c r="A1744" s="5" t="str">
        <f ca="1">IFERROR(__xludf.DUMMYFUNCTION("""COMPUTED_VALUE"""),"20060905TNKIM")</f>
        <v>20060905TNKIM</v>
      </c>
      <c r="B1744" s="5" t="str">
        <f ca="1">IFERROR(__xludf.DUMMYFUNCTION("""COMPUTED_VALUE"""),"Wounded")</f>
        <v>Wounded</v>
      </c>
      <c r="C1744" s="5" t="str">
        <f ca="1">IFERROR(__xludf.DUMMYFUNCTION("""COMPUTED_VALUE"""),"Male")</f>
        <v>Male</v>
      </c>
      <c r="D1744" s="5" t="str">
        <f ca="1">IFERROR(__xludf.DUMMYFUNCTION("""COMPUTED_VALUE"""),"Student")</f>
        <v>Student</v>
      </c>
      <c r="E1744" s="5" t="str">
        <f ca="1">IFERROR(__xludf.DUMMYFUNCTION("""COMPUTED_VALUE"""),"Teen")</f>
        <v>Teen</v>
      </c>
      <c r="F1744" s="5"/>
    </row>
    <row r="1745" spans="1:6" ht="13">
      <c r="A1745" s="5" t="str">
        <f ca="1">IFERROR(__xludf.DUMMYFUNCTION("""COMPUTED_VALUE"""),"20060831ALOXO")</f>
        <v>20060831ALOXO</v>
      </c>
      <c r="B1745" s="5" t="str">
        <f ca="1">IFERROR(__xludf.DUMMYFUNCTION("""COMPUTED_VALUE"""),"Wounded")</f>
        <v>Wounded</v>
      </c>
      <c r="C1745" s="5" t="str">
        <f ca="1">IFERROR(__xludf.DUMMYFUNCTION("""COMPUTED_VALUE"""),"Male")</f>
        <v>Male</v>
      </c>
      <c r="D1745" s="5" t="str">
        <f ca="1">IFERROR(__xludf.DUMMYFUNCTION("""COMPUTED_VALUE"""),"Nonstudent Using Athletic Facilities/Attending Game")</f>
        <v>Nonstudent Using Athletic Facilities/Attending Game</v>
      </c>
      <c r="E1745" s="5">
        <f ca="1">IFERROR(__xludf.DUMMYFUNCTION("""COMPUTED_VALUE"""),21)</f>
        <v>21</v>
      </c>
      <c r="F1745" s="5"/>
    </row>
    <row r="1746" spans="1:6" ht="13">
      <c r="A1746" s="5" t="str">
        <f ca="1">IFERROR(__xludf.DUMMYFUNCTION("""COMPUTED_VALUE"""),"20060830NCORH")</f>
        <v>20060830NCORH</v>
      </c>
      <c r="B1746" s="5" t="str">
        <f ca="1">IFERROR(__xludf.DUMMYFUNCTION("""COMPUTED_VALUE"""),"Wounded")</f>
        <v>Wounded</v>
      </c>
      <c r="C1746" s="5" t="str">
        <f ca="1">IFERROR(__xludf.DUMMYFUNCTION("""COMPUTED_VALUE"""),"Male")</f>
        <v>Male</v>
      </c>
      <c r="D1746" s="5" t="str">
        <f ca="1">IFERROR(__xludf.DUMMYFUNCTION("""COMPUTED_VALUE"""),"Student")</f>
        <v>Student</v>
      </c>
      <c r="E1746" s="5" t="str">
        <f ca="1">IFERROR(__xludf.DUMMYFUNCTION("""COMPUTED_VALUE"""),"Teen")</f>
        <v>Teen</v>
      </c>
      <c r="F1746" s="5"/>
    </row>
    <row r="1747" spans="1:6" ht="13">
      <c r="A1747" s="5" t="str">
        <f ca="1">IFERROR(__xludf.DUMMYFUNCTION("""COMPUTED_VALUE"""),"20060830NCORH")</f>
        <v>20060830NCORH</v>
      </c>
      <c r="B1747" s="5" t="str">
        <f ca="1">IFERROR(__xludf.DUMMYFUNCTION("""COMPUTED_VALUE"""),"Wounded")</f>
        <v>Wounded</v>
      </c>
      <c r="C1747" s="5" t="str">
        <f ca="1">IFERROR(__xludf.DUMMYFUNCTION("""COMPUTED_VALUE"""),"Female")</f>
        <v>Female</v>
      </c>
      <c r="D1747" s="5" t="str">
        <f ca="1">IFERROR(__xludf.DUMMYFUNCTION("""COMPUTED_VALUE"""),"Student")</f>
        <v>Student</v>
      </c>
      <c r="E1747" s="5" t="str">
        <f ca="1">IFERROR(__xludf.DUMMYFUNCTION("""COMPUTED_VALUE"""),"Teen")</f>
        <v>Teen</v>
      </c>
      <c r="F1747" s="5"/>
    </row>
    <row r="1748" spans="1:6" ht="13">
      <c r="A1748" s="5" t="str">
        <f ca="1">IFERROR(__xludf.DUMMYFUNCTION("""COMPUTED_VALUE"""),"20060829DCANW")</f>
        <v>20060829DCANW</v>
      </c>
      <c r="B1748" s="5" t="str">
        <f ca="1">IFERROR(__xludf.DUMMYFUNCTION("""COMPUTED_VALUE"""),"None")</f>
        <v>None</v>
      </c>
      <c r="C1748" s="5"/>
      <c r="D1748" s="5"/>
      <c r="E1748" s="5"/>
      <c r="F1748" s="5"/>
    </row>
    <row r="1749" spans="1:6" ht="13">
      <c r="A1749" s="5" t="str">
        <f ca="1">IFERROR(__xludf.DUMMYFUNCTION("""COMPUTED_VALUE"""),"20060824VTESE")</f>
        <v>20060824VTESE</v>
      </c>
      <c r="B1749" s="5" t="str">
        <f ca="1">IFERROR(__xludf.DUMMYFUNCTION("""COMPUTED_VALUE"""),"Fatal")</f>
        <v>Fatal</v>
      </c>
      <c r="C1749" s="5" t="str">
        <f ca="1">IFERROR(__xludf.DUMMYFUNCTION("""COMPUTED_VALUE"""),"Female")</f>
        <v>Female</v>
      </c>
      <c r="D1749" s="5" t="str">
        <f ca="1">IFERROR(__xludf.DUMMYFUNCTION("""COMPUTED_VALUE"""),"Teacher")</f>
        <v>Teacher</v>
      </c>
      <c r="E1749" s="5" t="str">
        <f ca="1">IFERROR(__xludf.DUMMYFUNCTION("""COMPUTED_VALUE"""),"Adult")</f>
        <v>Adult</v>
      </c>
      <c r="F1749" s="5"/>
    </row>
    <row r="1750" spans="1:6" ht="13">
      <c r="A1750" s="5" t="str">
        <f ca="1">IFERROR(__xludf.DUMMYFUNCTION("""COMPUTED_VALUE"""),"20060821INCAN")</f>
        <v>20060821INCAN</v>
      </c>
      <c r="B1750" s="5" t="str">
        <f ca="1">IFERROR(__xludf.DUMMYFUNCTION("""COMPUTED_VALUE"""),"None")</f>
        <v>None</v>
      </c>
      <c r="C1750" s="5" t="str">
        <f ca="1">IFERROR(__xludf.DUMMYFUNCTION("""COMPUTED_VALUE"""),"Male")</f>
        <v>Male</v>
      </c>
      <c r="D1750" s="5" t="str">
        <f ca="1">IFERROR(__xludf.DUMMYFUNCTION("""COMPUTED_VALUE"""),"Student")</f>
        <v>Student</v>
      </c>
      <c r="E1750" s="5">
        <f ca="1">IFERROR(__xludf.DUMMYFUNCTION("""COMPUTED_VALUE"""),16)</f>
        <v>16</v>
      </c>
      <c r="F1750" s="5" t="str">
        <f ca="1">IFERROR(__xludf.DUMMYFUNCTION("""COMPUTED_VALUE"""),"White")</f>
        <v>White</v>
      </c>
    </row>
    <row r="1751" spans="1:6" ht="13">
      <c r="A1751" s="5" t="str">
        <f ca="1">IFERROR(__xludf.DUMMYFUNCTION("""COMPUTED_VALUE"""),"20060820GALYH")</f>
        <v>20060820GALYH</v>
      </c>
      <c r="B1751" s="5" t="str">
        <f ca="1">IFERROR(__xludf.DUMMYFUNCTION("""COMPUTED_VALUE"""),"Wounded")</f>
        <v>Wounded</v>
      </c>
      <c r="C1751" s="5" t="str">
        <f ca="1">IFERROR(__xludf.DUMMYFUNCTION("""COMPUTED_VALUE"""),"Male")</f>
        <v>Male</v>
      </c>
      <c r="D1751" s="5" t="str">
        <f ca="1">IFERROR(__xludf.DUMMYFUNCTION("""COMPUTED_VALUE"""),"No Relation")</f>
        <v>No Relation</v>
      </c>
      <c r="E1751" s="5">
        <f ca="1">IFERROR(__xludf.DUMMYFUNCTION("""COMPUTED_VALUE"""),18)</f>
        <v>18</v>
      </c>
      <c r="F1751" s="5"/>
    </row>
    <row r="1752" spans="1:6" ht="13">
      <c r="A1752" s="5" t="str">
        <f ca="1">IFERROR(__xludf.DUMMYFUNCTION("""COMPUTED_VALUE"""),"20060820GALYH")</f>
        <v>20060820GALYH</v>
      </c>
      <c r="B1752" s="5" t="str">
        <f ca="1">IFERROR(__xludf.DUMMYFUNCTION("""COMPUTED_VALUE"""),"Wounded")</f>
        <v>Wounded</v>
      </c>
      <c r="C1752" s="5" t="str">
        <f ca="1">IFERROR(__xludf.DUMMYFUNCTION("""COMPUTED_VALUE"""),"Male")</f>
        <v>Male</v>
      </c>
      <c r="D1752" s="5" t="str">
        <f ca="1">IFERROR(__xludf.DUMMYFUNCTION("""COMPUTED_VALUE"""),"No Relation")</f>
        <v>No Relation</v>
      </c>
      <c r="E1752" s="5">
        <f ca="1">IFERROR(__xludf.DUMMYFUNCTION("""COMPUTED_VALUE"""),17)</f>
        <v>17</v>
      </c>
      <c r="F1752" s="5"/>
    </row>
    <row r="1753" spans="1:6" ht="13">
      <c r="A1753" s="5" t="str">
        <f ca="1">IFERROR(__xludf.DUMMYFUNCTION("""COMPUTED_VALUE"""),"20060819OHSOY")</f>
        <v>20060819OHSOY</v>
      </c>
      <c r="B1753" s="5" t="str">
        <f ca="1">IFERROR(__xludf.DUMMYFUNCTION("""COMPUTED_VALUE"""),"Fatal")</f>
        <v>Fatal</v>
      </c>
      <c r="C1753" s="5" t="str">
        <f ca="1">IFERROR(__xludf.DUMMYFUNCTION("""COMPUTED_VALUE"""),"Male")</f>
        <v>Male</v>
      </c>
      <c r="D1753" s="5" t="str">
        <f ca="1">IFERROR(__xludf.DUMMYFUNCTION("""COMPUTED_VALUE"""),"Parent")</f>
        <v>Parent</v>
      </c>
      <c r="E1753" s="5">
        <f ca="1">IFERROR(__xludf.DUMMYFUNCTION("""COMPUTED_VALUE"""),31)</f>
        <v>31</v>
      </c>
      <c r="F1753" s="5"/>
    </row>
    <row r="1754" spans="1:6" ht="13">
      <c r="A1754" s="5" t="str">
        <f ca="1">IFERROR(__xludf.DUMMYFUNCTION("""COMPUTED_VALUE"""),"20060817TXMEA")</f>
        <v>20060817TXMEA</v>
      </c>
      <c r="B1754" s="5" t="str">
        <f ca="1">IFERROR(__xludf.DUMMYFUNCTION("""COMPUTED_VALUE"""),"Fatal")</f>
        <v>Fatal</v>
      </c>
      <c r="C1754" s="5" t="str">
        <f ca="1">IFERROR(__xludf.DUMMYFUNCTION("""COMPUTED_VALUE"""),"Male")</f>
        <v>Male</v>
      </c>
      <c r="D1754" s="5" t="str">
        <f ca="1">IFERROR(__xludf.DUMMYFUNCTION("""COMPUTED_VALUE"""),"Relative")</f>
        <v>Relative</v>
      </c>
      <c r="E1754" s="5">
        <f ca="1">IFERROR(__xludf.DUMMYFUNCTION("""COMPUTED_VALUE"""),21)</f>
        <v>21</v>
      </c>
      <c r="F1754" s="5"/>
    </row>
    <row r="1755" spans="1:6" ht="13">
      <c r="A1755" s="5" t="str">
        <f ca="1">IFERROR(__xludf.DUMMYFUNCTION("""COMPUTED_VALUE"""),"20060815KYJTV")</f>
        <v>20060815KYJTV</v>
      </c>
      <c r="B1755" s="5" t="str">
        <f ca="1">IFERROR(__xludf.DUMMYFUNCTION("""COMPUTED_VALUE"""),"None")</f>
        <v>None</v>
      </c>
      <c r="C1755" s="5"/>
      <c r="D1755" s="5"/>
      <c r="E1755" s="5"/>
      <c r="F1755" s="5"/>
    </row>
    <row r="1756" spans="1:6" ht="13">
      <c r="A1756" s="5" t="str">
        <f ca="1">IFERROR(__xludf.DUMMYFUNCTION("""COMPUTED_VALUE"""),"20060731FLYOT")</f>
        <v>20060731FLYOT</v>
      </c>
      <c r="B1756" s="5" t="str">
        <f ca="1">IFERROR(__xludf.DUMMYFUNCTION("""COMPUTED_VALUE"""),"Fatal")</f>
        <v>Fatal</v>
      </c>
      <c r="C1756" s="5" t="str">
        <f ca="1">IFERROR(__xludf.DUMMYFUNCTION("""COMPUTED_VALUE"""),"Female")</f>
        <v>Female</v>
      </c>
      <c r="D1756" s="5" t="str">
        <f ca="1">IFERROR(__xludf.DUMMYFUNCTION("""COMPUTED_VALUE"""),"Parent")</f>
        <v>Parent</v>
      </c>
      <c r="E1756" s="5">
        <f ca="1">IFERROR(__xludf.DUMMYFUNCTION("""COMPUTED_VALUE"""),38)</f>
        <v>38</v>
      </c>
      <c r="F1756" s="5"/>
    </row>
    <row r="1757" spans="1:6" ht="13">
      <c r="A1757" s="5" t="str">
        <f ca="1">IFERROR(__xludf.DUMMYFUNCTION("""COMPUTED_VALUE"""),"20060615MIPED")</f>
        <v>20060615MIPED</v>
      </c>
      <c r="B1757" s="5" t="str">
        <f ca="1">IFERROR(__xludf.DUMMYFUNCTION("""COMPUTED_VALUE"""),"Wounded")</f>
        <v>Wounded</v>
      </c>
      <c r="C1757" s="5" t="str">
        <f ca="1">IFERROR(__xludf.DUMMYFUNCTION("""COMPUTED_VALUE"""),"Male")</f>
        <v>Male</v>
      </c>
      <c r="D1757" s="5" t="str">
        <f ca="1">IFERROR(__xludf.DUMMYFUNCTION("""COMPUTED_VALUE"""),"Student")</f>
        <v>Student</v>
      </c>
      <c r="E1757" s="5">
        <f ca="1">IFERROR(__xludf.DUMMYFUNCTION("""COMPUTED_VALUE"""),16)</f>
        <v>16</v>
      </c>
      <c r="F1757" s="5"/>
    </row>
    <row r="1758" spans="1:6" ht="13">
      <c r="A1758" s="5" t="str">
        <f ca="1">IFERROR(__xludf.DUMMYFUNCTION("""COMPUTED_VALUE"""),"20060606INWIG")</f>
        <v>20060606INWIG</v>
      </c>
      <c r="B1758" s="5" t="str">
        <f ca="1">IFERROR(__xludf.DUMMYFUNCTION("""COMPUTED_VALUE"""),"Fatal")</f>
        <v>Fatal</v>
      </c>
      <c r="C1758" s="5" t="str">
        <f ca="1">IFERROR(__xludf.DUMMYFUNCTION("""COMPUTED_VALUE"""),"Male")</f>
        <v>Male</v>
      </c>
      <c r="D1758" s="5" t="str">
        <f ca="1">IFERROR(__xludf.DUMMYFUNCTION("""COMPUTED_VALUE"""),"Relative")</f>
        <v>Relative</v>
      </c>
      <c r="E1758" s="5">
        <f ca="1">IFERROR(__xludf.DUMMYFUNCTION("""COMPUTED_VALUE"""),21)</f>
        <v>21</v>
      </c>
      <c r="F1758" s="5"/>
    </row>
    <row r="1759" spans="1:6" ht="13">
      <c r="A1759" s="5" t="str">
        <f ca="1">IFERROR(__xludf.DUMMYFUNCTION("""COMPUTED_VALUE"""),"20060605CAVEL")</f>
        <v>20060605CAVEL</v>
      </c>
      <c r="B1759" s="5" t="str">
        <f ca="1">IFERROR(__xludf.DUMMYFUNCTION("""COMPUTED_VALUE"""),"Fatal")</f>
        <v>Fatal</v>
      </c>
      <c r="C1759" s="5" t="str">
        <f ca="1">IFERROR(__xludf.DUMMYFUNCTION("""COMPUTED_VALUE"""),"Male")</f>
        <v>Male</v>
      </c>
      <c r="D1759" s="5" t="str">
        <f ca="1">IFERROR(__xludf.DUMMYFUNCTION("""COMPUTED_VALUE"""),"Student")</f>
        <v>Student</v>
      </c>
      <c r="E1759" s="5">
        <f ca="1">IFERROR(__xludf.DUMMYFUNCTION("""COMPUTED_VALUE"""),17)</f>
        <v>17</v>
      </c>
      <c r="F1759" s="5"/>
    </row>
    <row r="1760" spans="1:6" ht="13">
      <c r="A1760" s="5" t="str">
        <f ca="1">IFERROR(__xludf.DUMMYFUNCTION("""COMPUTED_VALUE"""),"20060525PANON")</f>
        <v>20060525PANON</v>
      </c>
      <c r="B1760" s="5" t="str">
        <f ca="1">IFERROR(__xludf.DUMMYFUNCTION("""COMPUTED_VALUE"""),"None")</f>
        <v>None</v>
      </c>
      <c r="C1760" s="5"/>
      <c r="D1760" s="5"/>
      <c r="E1760" s="5"/>
      <c r="F1760" s="5"/>
    </row>
    <row r="1761" spans="1:6" ht="13">
      <c r="A1761" s="5" t="str">
        <f ca="1">IFERROR(__xludf.DUMMYFUNCTION("""COMPUTED_VALUE"""),"20060522SCBUI")</f>
        <v>20060522SCBUI</v>
      </c>
      <c r="B1761" s="5" t="str">
        <f ca="1">IFERROR(__xludf.DUMMYFUNCTION("""COMPUTED_VALUE"""),"None")</f>
        <v>None</v>
      </c>
      <c r="C1761" s="5"/>
      <c r="D1761" s="5"/>
      <c r="E1761" s="5"/>
      <c r="F1761" s="5"/>
    </row>
    <row r="1762" spans="1:6" ht="13">
      <c r="A1762" s="5" t="str">
        <f ca="1">IFERROR(__xludf.DUMMYFUNCTION("""COMPUTED_VALUE"""),"20060505FLPAM")</f>
        <v>20060505FLPAM</v>
      </c>
      <c r="B1762" s="5" t="str">
        <f ca="1">IFERROR(__xludf.DUMMYFUNCTION("""COMPUTED_VALUE"""),"Fatal")</f>
        <v>Fatal</v>
      </c>
      <c r="C1762" s="5" t="str">
        <f ca="1">IFERROR(__xludf.DUMMYFUNCTION("""COMPUTED_VALUE"""),"Male")</f>
        <v>Male</v>
      </c>
      <c r="D1762" s="5" t="str">
        <f ca="1">IFERROR(__xludf.DUMMYFUNCTION("""COMPUTED_VALUE"""),"Student")</f>
        <v>Student</v>
      </c>
      <c r="E1762" s="5">
        <f ca="1">IFERROR(__xludf.DUMMYFUNCTION("""COMPUTED_VALUE"""),19)</f>
        <v>19</v>
      </c>
      <c r="F1762" s="5"/>
    </row>
    <row r="1763" spans="1:6" ht="13">
      <c r="A1763" s="5" t="str">
        <f ca="1">IFERROR(__xludf.DUMMYFUNCTION("""COMPUTED_VALUE"""),"20060424NCEAC")</f>
        <v>20060424NCEAC</v>
      </c>
      <c r="B1763" s="5" t="str">
        <f ca="1">IFERROR(__xludf.DUMMYFUNCTION("""COMPUTED_VALUE"""),"None")</f>
        <v>None</v>
      </c>
      <c r="C1763" s="5"/>
      <c r="D1763" s="5"/>
      <c r="E1763" s="5"/>
      <c r="F1763" s="5"/>
    </row>
    <row r="1764" spans="1:6" ht="13">
      <c r="A1764" s="5" t="str">
        <f ca="1">IFERROR(__xludf.DUMMYFUNCTION("""COMPUTED_VALUE"""),"20060418TXWEH")</f>
        <v>20060418TXWEH</v>
      </c>
      <c r="B1764" s="5" t="str">
        <f ca="1">IFERROR(__xludf.DUMMYFUNCTION("""COMPUTED_VALUE"""),"Wounded")</f>
        <v>Wounded</v>
      </c>
      <c r="C1764" s="5" t="str">
        <f ca="1">IFERROR(__xludf.DUMMYFUNCTION("""COMPUTED_VALUE"""),"Unknown")</f>
        <v>Unknown</v>
      </c>
      <c r="D1764" s="5" t="str">
        <f ca="1">IFERROR(__xludf.DUMMYFUNCTION("""COMPUTED_VALUE"""),"Student")</f>
        <v>Student</v>
      </c>
      <c r="E1764" s="5" t="str">
        <f ca="1">IFERROR(__xludf.DUMMYFUNCTION("""COMPUTED_VALUE"""),"Teen")</f>
        <v>Teen</v>
      </c>
      <c r="F1764" s="5"/>
    </row>
    <row r="1765" spans="1:6" ht="13">
      <c r="A1765" s="5" t="str">
        <f ca="1">IFERROR(__xludf.DUMMYFUNCTION("""COMPUTED_VALUE"""),"20060418TXWEH")</f>
        <v>20060418TXWEH</v>
      </c>
      <c r="B1765" s="5" t="str">
        <f ca="1">IFERROR(__xludf.DUMMYFUNCTION("""COMPUTED_VALUE"""),"Wounded")</f>
        <v>Wounded</v>
      </c>
      <c r="C1765" s="5" t="str">
        <f ca="1">IFERROR(__xludf.DUMMYFUNCTION("""COMPUTED_VALUE"""),"Unknown")</f>
        <v>Unknown</v>
      </c>
      <c r="D1765" s="5" t="str">
        <f ca="1">IFERROR(__xludf.DUMMYFUNCTION("""COMPUTED_VALUE"""),"Student")</f>
        <v>Student</v>
      </c>
      <c r="E1765" s="5" t="str">
        <f ca="1">IFERROR(__xludf.DUMMYFUNCTION("""COMPUTED_VALUE"""),"Teen")</f>
        <v>Teen</v>
      </c>
      <c r="F1765" s="5"/>
    </row>
    <row r="1766" spans="1:6" ht="13">
      <c r="A1766" s="5" t="str">
        <f ca="1">IFERROR(__xludf.DUMMYFUNCTION("""COMPUTED_VALUE"""),"20060405DCROW")</f>
        <v>20060405DCROW</v>
      </c>
      <c r="B1766" s="5" t="str">
        <f ca="1">IFERROR(__xludf.DUMMYFUNCTION("""COMPUTED_VALUE"""),"Wounded")</f>
        <v>Wounded</v>
      </c>
      <c r="C1766" s="5" t="str">
        <f ca="1">IFERROR(__xludf.DUMMYFUNCTION("""COMPUTED_VALUE"""),"Male")</f>
        <v>Male</v>
      </c>
      <c r="D1766" s="5" t="str">
        <f ca="1">IFERROR(__xludf.DUMMYFUNCTION("""COMPUTED_VALUE"""),"Student")</f>
        <v>Student</v>
      </c>
      <c r="E1766" s="5">
        <f ca="1">IFERROR(__xludf.DUMMYFUNCTION("""COMPUTED_VALUE"""),19)</f>
        <v>19</v>
      </c>
      <c r="F1766" s="5"/>
    </row>
    <row r="1767" spans="1:6" ht="13">
      <c r="A1767" s="5" t="str">
        <f ca="1">IFERROR(__xludf.DUMMYFUNCTION("""COMPUTED_VALUE"""),"20060405DCROW")</f>
        <v>20060405DCROW</v>
      </c>
      <c r="B1767" s="5" t="str">
        <f ca="1">IFERROR(__xludf.DUMMYFUNCTION("""COMPUTED_VALUE"""),"Wounded")</f>
        <v>Wounded</v>
      </c>
      <c r="C1767" s="5" t="str">
        <f ca="1">IFERROR(__xludf.DUMMYFUNCTION("""COMPUTED_VALUE"""),"Female")</f>
        <v>Female</v>
      </c>
      <c r="D1767" s="5" t="str">
        <f ca="1">IFERROR(__xludf.DUMMYFUNCTION("""COMPUTED_VALUE"""),"Student")</f>
        <v>Student</v>
      </c>
      <c r="E1767" s="5">
        <f ca="1">IFERROR(__xludf.DUMMYFUNCTION("""COMPUTED_VALUE"""),18)</f>
        <v>18</v>
      </c>
      <c r="F1767" s="5"/>
    </row>
    <row r="1768" spans="1:6" ht="13">
      <c r="A1768" s="5" t="str">
        <f ca="1">IFERROR(__xludf.DUMMYFUNCTION("""COMPUTED_VALUE"""),"20060314NVPIR")</f>
        <v>20060314NVPIR</v>
      </c>
      <c r="B1768" s="5" t="str">
        <f ca="1">IFERROR(__xludf.DUMMYFUNCTION("""COMPUTED_VALUE"""),"Wounded")</f>
        <v>Wounded</v>
      </c>
      <c r="C1768" s="5" t="str">
        <f ca="1">IFERROR(__xludf.DUMMYFUNCTION("""COMPUTED_VALUE"""),"Male")</f>
        <v>Male</v>
      </c>
      <c r="D1768" s="5" t="str">
        <f ca="1">IFERROR(__xludf.DUMMYFUNCTION("""COMPUTED_VALUE"""),"Student")</f>
        <v>Student</v>
      </c>
      <c r="E1768" s="5" t="str">
        <f ca="1">IFERROR(__xludf.DUMMYFUNCTION("""COMPUTED_VALUE"""),"Teen")</f>
        <v>Teen</v>
      </c>
      <c r="F1768" s="5"/>
    </row>
    <row r="1769" spans="1:6" ht="13">
      <c r="A1769" s="5" t="str">
        <f ca="1">IFERROR(__xludf.DUMMYFUNCTION("""COMPUTED_VALUE"""),"20060314NVPIR")</f>
        <v>20060314NVPIR</v>
      </c>
      <c r="B1769" s="5" t="str">
        <f ca="1">IFERROR(__xludf.DUMMYFUNCTION("""COMPUTED_VALUE"""),"Wounded")</f>
        <v>Wounded</v>
      </c>
      <c r="C1769" s="5" t="str">
        <f ca="1">IFERROR(__xludf.DUMMYFUNCTION("""COMPUTED_VALUE"""),"Male")</f>
        <v>Male</v>
      </c>
      <c r="D1769" s="5" t="str">
        <f ca="1">IFERROR(__xludf.DUMMYFUNCTION("""COMPUTED_VALUE"""),"Student")</f>
        <v>Student</v>
      </c>
      <c r="E1769" s="5" t="str">
        <f ca="1">IFERROR(__xludf.DUMMYFUNCTION("""COMPUTED_VALUE"""),"Teen")</f>
        <v>Teen</v>
      </c>
      <c r="F1769" s="5"/>
    </row>
    <row r="1770" spans="1:6" ht="13">
      <c r="A1770" s="5" t="str">
        <f ca="1">IFERROR(__xludf.DUMMYFUNCTION("""COMPUTED_VALUE"""),"20060310NYISN")</f>
        <v>20060310NYISN</v>
      </c>
      <c r="B1770" s="5" t="str">
        <f ca="1">IFERROR(__xludf.DUMMYFUNCTION("""COMPUTED_VALUE"""),"Wounded")</f>
        <v>Wounded</v>
      </c>
      <c r="C1770" s="5" t="str">
        <f ca="1">IFERROR(__xludf.DUMMYFUNCTION("""COMPUTED_VALUE"""),"Male")</f>
        <v>Male</v>
      </c>
      <c r="D1770" s="5" t="str">
        <f ca="1">IFERROR(__xludf.DUMMYFUNCTION("""COMPUTED_VALUE"""),"Student")</f>
        <v>Student</v>
      </c>
      <c r="E1770" s="5" t="str">
        <f ca="1">IFERROR(__xludf.DUMMYFUNCTION("""COMPUTED_VALUE"""),"Teen")</f>
        <v>Teen</v>
      </c>
      <c r="F1770" s="5"/>
    </row>
    <row r="1771" spans="1:6" ht="13">
      <c r="A1771" s="5" t="str">
        <f ca="1">IFERROR(__xludf.DUMMYFUNCTION("""COMPUTED_VALUE"""),"20060310NYISN")</f>
        <v>20060310NYISN</v>
      </c>
      <c r="B1771" s="5" t="str">
        <f ca="1">IFERROR(__xludf.DUMMYFUNCTION("""COMPUTED_VALUE"""),"Wounded")</f>
        <v>Wounded</v>
      </c>
      <c r="C1771" s="5" t="str">
        <f ca="1">IFERROR(__xludf.DUMMYFUNCTION("""COMPUTED_VALUE"""),"Male")</f>
        <v>Male</v>
      </c>
      <c r="D1771" s="5" t="str">
        <f ca="1">IFERROR(__xludf.DUMMYFUNCTION("""COMPUTED_VALUE"""),"Student")</f>
        <v>Student</v>
      </c>
      <c r="E1771" s="5" t="str">
        <f ca="1">IFERROR(__xludf.DUMMYFUNCTION("""COMPUTED_VALUE"""),"Teen")</f>
        <v>Teen</v>
      </c>
      <c r="F1771" s="5"/>
    </row>
    <row r="1772" spans="1:6" ht="13">
      <c r="A1772" s="5" t="str">
        <f ca="1">IFERROR(__xludf.DUMMYFUNCTION("""COMPUTED_VALUE"""),"20060223ORROR")</f>
        <v>20060223ORROR</v>
      </c>
      <c r="B1772" s="5" t="str">
        <f ca="1">IFERROR(__xludf.DUMMYFUNCTION("""COMPUTED_VALUE"""),"Wounded")</f>
        <v>Wounded</v>
      </c>
      <c r="C1772" s="5" t="str">
        <f ca="1">IFERROR(__xludf.DUMMYFUNCTION("""COMPUTED_VALUE"""),"Male")</f>
        <v>Male</v>
      </c>
      <c r="D1772" s="5" t="str">
        <f ca="1">IFERROR(__xludf.DUMMYFUNCTION("""COMPUTED_VALUE"""),"Student")</f>
        <v>Student</v>
      </c>
      <c r="E1772" s="5">
        <f ca="1">IFERROR(__xludf.DUMMYFUNCTION("""COMPUTED_VALUE"""),14)</f>
        <v>14</v>
      </c>
      <c r="F1772" s="5"/>
    </row>
    <row r="1773" spans="1:6" ht="13">
      <c r="A1773" s="5" t="str">
        <f ca="1">IFERROR(__xludf.DUMMYFUNCTION("""COMPUTED_VALUE"""),"20060221PAWEP")</f>
        <v>20060221PAWEP</v>
      </c>
      <c r="B1773" s="5" t="str">
        <f ca="1">IFERROR(__xludf.DUMMYFUNCTION("""COMPUTED_VALUE"""),"Wounded")</f>
        <v>Wounded</v>
      </c>
      <c r="C1773" s="5" t="str">
        <f ca="1">IFERROR(__xludf.DUMMYFUNCTION("""COMPUTED_VALUE"""),"Male")</f>
        <v>Male</v>
      </c>
      <c r="D1773" s="5" t="str">
        <f ca="1">IFERROR(__xludf.DUMMYFUNCTION("""COMPUTED_VALUE"""),"Student")</f>
        <v>Student</v>
      </c>
      <c r="E1773" s="5">
        <f ca="1">IFERROR(__xludf.DUMMYFUNCTION("""COMPUTED_VALUE"""),16)</f>
        <v>16</v>
      </c>
      <c r="F1773" s="5"/>
    </row>
    <row r="1774" spans="1:6" ht="13">
      <c r="A1774" s="5" t="str">
        <f ca="1">IFERROR(__xludf.DUMMYFUNCTION("""COMPUTED_VALUE"""),"20060215PAWEY")</f>
        <v>20060215PAWEY</v>
      </c>
      <c r="B1774" s="5" t="str">
        <f ca="1">IFERROR(__xludf.DUMMYFUNCTION("""COMPUTED_VALUE"""),"None")</f>
        <v>None</v>
      </c>
      <c r="C1774" s="5" t="str">
        <f ca="1">IFERROR(__xludf.DUMMYFUNCTION("""COMPUTED_VALUE"""),"Male")</f>
        <v>Male</v>
      </c>
      <c r="D1774" s="5" t="str">
        <f ca="1">IFERROR(__xludf.DUMMYFUNCTION("""COMPUTED_VALUE"""),"Teacher")</f>
        <v>Teacher</v>
      </c>
      <c r="E1774" s="5" t="str">
        <f ca="1">IFERROR(__xludf.DUMMYFUNCTION("""COMPUTED_VALUE"""),"Adult")</f>
        <v>Adult</v>
      </c>
      <c r="F1774" s="5"/>
    </row>
    <row r="1775" spans="1:6" ht="13">
      <c r="A1775" s="5" t="str">
        <f ca="1">IFERROR(__xludf.DUMMYFUNCTION("""COMPUTED_VALUE"""),"20060209DEWIN")</f>
        <v>20060209DEWIN</v>
      </c>
      <c r="B1775" s="5" t="str">
        <f ca="1">IFERROR(__xludf.DUMMYFUNCTION("""COMPUTED_VALUE"""),"Wounded")</f>
        <v>Wounded</v>
      </c>
      <c r="C1775" s="5" t="str">
        <f ca="1">IFERROR(__xludf.DUMMYFUNCTION("""COMPUTED_VALUE"""),"Male")</f>
        <v>Male</v>
      </c>
      <c r="D1775" s="5" t="str">
        <f ca="1">IFERROR(__xludf.DUMMYFUNCTION("""COMPUTED_VALUE"""),"Student")</f>
        <v>Student</v>
      </c>
      <c r="E1775" s="5">
        <f ca="1">IFERROR(__xludf.DUMMYFUNCTION("""COMPUTED_VALUE"""),18)</f>
        <v>18</v>
      </c>
      <c r="F1775" s="5"/>
    </row>
    <row r="1776" spans="1:6" ht="13">
      <c r="A1776" s="5" t="str">
        <f ca="1">IFERROR(__xludf.DUMMYFUNCTION("""COMPUTED_VALUE"""),"20060203CALOC")</f>
        <v>20060203CALOC</v>
      </c>
      <c r="B1776" s="5" t="str">
        <f ca="1">IFERROR(__xludf.DUMMYFUNCTION("""COMPUTED_VALUE"""),"Wounded")</f>
        <v>Wounded</v>
      </c>
      <c r="C1776" s="5" t="str">
        <f ca="1">IFERROR(__xludf.DUMMYFUNCTION("""COMPUTED_VALUE"""),"Male")</f>
        <v>Male</v>
      </c>
      <c r="D1776" s="5" t="str">
        <f ca="1">IFERROR(__xludf.DUMMYFUNCTION("""COMPUTED_VALUE"""),"Student")</f>
        <v>Student</v>
      </c>
      <c r="E1776" s="5">
        <f ca="1">IFERROR(__xludf.DUMMYFUNCTION("""COMPUTED_VALUE"""),10)</f>
        <v>10</v>
      </c>
      <c r="F1776" s="5"/>
    </row>
    <row r="1777" spans="1:6" ht="13">
      <c r="A1777" s="5" t="str">
        <f ca="1">IFERROR(__xludf.DUMMYFUNCTION("""COMPUTED_VALUE"""),"20060130MTCMG")</f>
        <v>20060130MTCMG</v>
      </c>
      <c r="B1777" s="5" t="str">
        <f ca="1">IFERROR(__xludf.DUMMYFUNCTION("""COMPUTED_VALUE"""),"None")</f>
        <v>None</v>
      </c>
      <c r="C1777" s="5" t="str">
        <f ca="1">IFERROR(__xludf.DUMMYFUNCTION("""COMPUTED_VALUE"""),"Male")</f>
        <v>Male</v>
      </c>
      <c r="D1777" s="5" t="str">
        <f ca="1">IFERROR(__xludf.DUMMYFUNCTION("""COMPUTED_VALUE"""),"Student")</f>
        <v>Student</v>
      </c>
      <c r="E1777" s="5">
        <f ca="1">IFERROR(__xludf.DUMMYFUNCTION("""COMPUTED_VALUE"""),16)</f>
        <v>16</v>
      </c>
      <c r="F1777" s="5"/>
    </row>
    <row r="1778" spans="1:6" ht="13">
      <c r="A1778" s="5" t="str">
        <f ca="1">IFERROR(__xludf.DUMMYFUNCTION("""COMPUTED_VALUE"""),"20060127TXLAG")</f>
        <v>20060127TXLAG</v>
      </c>
      <c r="B1778" s="5" t="str">
        <f ca="1">IFERROR(__xludf.DUMMYFUNCTION("""COMPUTED_VALUE"""),"Wounded")</f>
        <v>Wounded</v>
      </c>
      <c r="C1778" s="5" t="str">
        <f ca="1">IFERROR(__xludf.DUMMYFUNCTION("""COMPUTED_VALUE"""),"Female")</f>
        <v>Female</v>
      </c>
      <c r="D1778" s="5" t="str">
        <f ca="1">IFERROR(__xludf.DUMMYFUNCTION("""COMPUTED_VALUE"""),"Student")</f>
        <v>Student</v>
      </c>
      <c r="E1778" s="5" t="str">
        <f ca="1">IFERROR(__xludf.DUMMYFUNCTION("""COMPUTED_VALUE"""),"Teen")</f>
        <v>Teen</v>
      </c>
      <c r="F1778" s="5"/>
    </row>
    <row r="1779" spans="1:6" ht="13">
      <c r="A1779" s="5" t="str">
        <f ca="1">IFERROR(__xludf.DUMMYFUNCTION("""COMPUTED_VALUE"""),"20060127TXLAG")</f>
        <v>20060127TXLAG</v>
      </c>
      <c r="B1779" s="5" t="str">
        <f ca="1">IFERROR(__xludf.DUMMYFUNCTION("""COMPUTED_VALUE"""),"Wounded")</f>
        <v>Wounded</v>
      </c>
      <c r="C1779" s="5" t="str">
        <f ca="1">IFERROR(__xludf.DUMMYFUNCTION("""COMPUTED_VALUE"""),"Female")</f>
        <v>Female</v>
      </c>
      <c r="D1779" s="5" t="str">
        <f ca="1">IFERROR(__xludf.DUMMYFUNCTION("""COMPUTED_VALUE"""),"Student")</f>
        <v>Student</v>
      </c>
      <c r="E1779" s="5" t="str">
        <f ca="1">IFERROR(__xludf.DUMMYFUNCTION("""COMPUTED_VALUE"""),"Teen")</f>
        <v>Teen</v>
      </c>
      <c r="F1779" s="5"/>
    </row>
    <row r="1780" spans="1:6" ht="13">
      <c r="A1780" s="5" t="str">
        <f ca="1">IFERROR(__xludf.DUMMYFUNCTION("""COMPUTED_VALUE"""),"20060123CAWIV")</f>
        <v>20060123CAWIV</v>
      </c>
      <c r="B1780" s="5" t="str">
        <f ca="1">IFERROR(__xludf.DUMMYFUNCTION("""COMPUTED_VALUE"""),"Wounded")</f>
        <v>Wounded</v>
      </c>
      <c r="C1780" s="5" t="str">
        <f ca="1">IFERROR(__xludf.DUMMYFUNCTION("""COMPUTED_VALUE"""),"Female")</f>
        <v>Female</v>
      </c>
      <c r="D1780" s="5" t="str">
        <f ca="1">IFERROR(__xludf.DUMMYFUNCTION("""COMPUTED_VALUE"""),"Student")</f>
        <v>Student</v>
      </c>
      <c r="E1780" s="5">
        <f ca="1">IFERROR(__xludf.DUMMYFUNCTION("""COMPUTED_VALUE"""),15)</f>
        <v>15</v>
      </c>
      <c r="F1780" s="5"/>
    </row>
    <row r="1781" spans="1:6" ht="13">
      <c r="A1781" s="5" t="str">
        <f ca="1">IFERROR(__xludf.DUMMYFUNCTION("""COMPUTED_VALUE"""),"20060119OHWIC")</f>
        <v>20060119OHWIC</v>
      </c>
      <c r="B1781" s="5" t="str">
        <f ca="1">IFERROR(__xludf.DUMMYFUNCTION("""COMPUTED_VALUE"""),"Wounded")</f>
        <v>Wounded</v>
      </c>
      <c r="C1781" s="5" t="str">
        <f ca="1">IFERROR(__xludf.DUMMYFUNCTION("""COMPUTED_VALUE"""),"Male")</f>
        <v>Male</v>
      </c>
      <c r="D1781" s="5" t="str">
        <f ca="1">IFERROR(__xludf.DUMMYFUNCTION("""COMPUTED_VALUE"""),"No Relation")</f>
        <v>No Relation</v>
      </c>
      <c r="E1781" s="5">
        <f ca="1">IFERROR(__xludf.DUMMYFUNCTION("""COMPUTED_VALUE"""),20)</f>
        <v>20</v>
      </c>
      <c r="F1781" s="5"/>
    </row>
    <row r="1782" spans="1:6" ht="13">
      <c r="A1782" s="5" t="str">
        <f ca="1">IFERROR(__xludf.DUMMYFUNCTION("""COMPUTED_VALUE"""),"20060119OHWIC")</f>
        <v>20060119OHWIC</v>
      </c>
      <c r="B1782" s="5" t="str">
        <f ca="1">IFERROR(__xludf.DUMMYFUNCTION("""COMPUTED_VALUE"""),"Wounded")</f>
        <v>Wounded</v>
      </c>
      <c r="C1782" s="5" t="str">
        <f ca="1">IFERROR(__xludf.DUMMYFUNCTION("""COMPUTED_VALUE"""),"Male")</f>
        <v>Male</v>
      </c>
      <c r="D1782" s="5" t="str">
        <f ca="1">IFERROR(__xludf.DUMMYFUNCTION("""COMPUTED_VALUE"""),"No Relation")</f>
        <v>No Relation</v>
      </c>
      <c r="E1782" s="5">
        <f ca="1">IFERROR(__xludf.DUMMYFUNCTION("""COMPUTED_VALUE"""),17)</f>
        <v>17</v>
      </c>
      <c r="F1782" s="5"/>
    </row>
    <row r="1783" spans="1:6" ht="13">
      <c r="A1783" s="5" t="str">
        <f ca="1">IFERROR(__xludf.DUMMYFUNCTION("""COMPUTED_VALUE"""),"20060118VAINC")</f>
        <v>20060118VAINC</v>
      </c>
      <c r="B1783" s="5" t="str">
        <f ca="1">IFERROR(__xludf.DUMMYFUNCTION("""COMPUTED_VALUE"""),"None")</f>
        <v>None</v>
      </c>
      <c r="C1783" s="5" t="str">
        <f ca="1">IFERROR(__xludf.DUMMYFUNCTION("""COMPUTED_VALUE"""),"Unknown")</f>
        <v>Unknown</v>
      </c>
      <c r="D1783" s="5" t="str">
        <f ca="1">IFERROR(__xludf.DUMMYFUNCTION("""COMPUTED_VALUE"""),"Student")</f>
        <v>Student</v>
      </c>
      <c r="E1783" s="5" t="str">
        <f ca="1">IFERROR(__xludf.DUMMYFUNCTION("""COMPUTED_VALUE"""),"Teen")</f>
        <v>Teen</v>
      </c>
      <c r="F1783" s="5"/>
    </row>
    <row r="1784" spans="1:6" ht="13">
      <c r="A1784" s="5" t="str">
        <f ca="1">IFERROR(__xludf.DUMMYFUNCTION("""COMPUTED_VALUE"""),"20060118TXPAA")</f>
        <v>20060118TXPAA</v>
      </c>
      <c r="B1784" s="5" t="str">
        <f ca="1">IFERROR(__xludf.DUMMYFUNCTION("""COMPUTED_VALUE"""),"Wounded")</f>
        <v>Wounded</v>
      </c>
      <c r="C1784" s="5" t="str">
        <f ca="1">IFERROR(__xludf.DUMMYFUNCTION("""COMPUTED_VALUE"""),"Male")</f>
        <v>Male</v>
      </c>
      <c r="D1784" s="5" t="str">
        <f ca="1">IFERROR(__xludf.DUMMYFUNCTION("""COMPUTED_VALUE"""),"Student")</f>
        <v>Student</v>
      </c>
      <c r="E1784" s="5">
        <f ca="1">IFERROR(__xludf.DUMMYFUNCTION("""COMPUTED_VALUE"""),12)</f>
        <v>12</v>
      </c>
      <c r="F1784" s="5"/>
    </row>
    <row r="1785" spans="1:6" ht="13">
      <c r="A1785" s="5" t="str">
        <f ca="1">IFERROR(__xludf.DUMMYFUNCTION("""COMPUTED_VALUE"""),"20060118MTFRA")</f>
        <v>20060118MTFRA</v>
      </c>
      <c r="B1785" s="5" t="str">
        <f ca="1">IFERROR(__xludf.DUMMYFUNCTION("""COMPUTED_VALUE"""),"Wounded")</f>
        <v>Wounded</v>
      </c>
      <c r="C1785" s="5" t="str">
        <f ca="1">IFERROR(__xludf.DUMMYFUNCTION("""COMPUTED_VALUE"""),"Male")</f>
        <v>Male</v>
      </c>
      <c r="D1785" s="5" t="str">
        <f ca="1">IFERROR(__xludf.DUMMYFUNCTION("""COMPUTED_VALUE"""),"Student")</f>
        <v>Student</v>
      </c>
      <c r="E1785" s="5" t="str">
        <f ca="1">IFERROR(__xludf.DUMMYFUNCTION("""COMPUTED_VALUE"""),"Teen")</f>
        <v>Teen</v>
      </c>
      <c r="F1785" s="5"/>
    </row>
    <row r="1786" spans="1:6" ht="13">
      <c r="A1786" s="5" t="str">
        <f ca="1">IFERROR(__xludf.DUMMYFUNCTION("""COMPUTED_VALUE"""),"20060113MIOSD")</f>
        <v>20060113MIOSD</v>
      </c>
      <c r="B1786" s="5" t="str">
        <f ca="1">IFERROR(__xludf.DUMMYFUNCTION("""COMPUTED_VALUE"""),"None")</f>
        <v>None</v>
      </c>
      <c r="C1786" s="5" t="str">
        <f ca="1">IFERROR(__xludf.DUMMYFUNCTION("""COMPUTED_VALUE"""),"Unknown")</f>
        <v>Unknown</v>
      </c>
      <c r="D1786" s="5" t="str">
        <f ca="1">IFERROR(__xludf.DUMMYFUNCTION("""COMPUTED_VALUE"""),"Principal/Vice-Principal")</f>
        <v>Principal/Vice-Principal</v>
      </c>
      <c r="E1786" s="5" t="str">
        <f ca="1">IFERROR(__xludf.DUMMYFUNCTION("""COMPUTED_VALUE"""),"Adult")</f>
        <v>Adult</v>
      </c>
      <c r="F1786" s="5"/>
    </row>
    <row r="1787" spans="1:6" ht="13">
      <c r="A1787" s="5" t="str">
        <f ca="1">IFERROR(__xludf.DUMMYFUNCTION("""COMPUTED_VALUE"""),"20060113FLMIL")</f>
        <v>20060113FLMIL</v>
      </c>
      <c r="B1787" s="5" t="str">
        <f ca="1">IFERROR(__xludf.DUMMYFUNCTION("""COMPUTED_VALUE"""),"None")</f>
        <v>None</v>
      </c>
      <c r="C1787" s="5" t="str">
        <f ca="1">IFERROR(__xludf.DUMMYFUNCTION("""COMPUTED_VALUE"""),"Male")</f>
        <v>Male</v>
      </c>
      <c r="D1787" s="5" t="str">
        <f ca="1">IFERROR(__xludf.DUMMYFUNCTION("""COMPUTED_VALUE"""),"Student")</f>
        <v>Student</v>
      </c>
      <c r="E1787" s="5">
        <f ca="1">IFERROR(__xludf.DUMMYFUNCTION("""COMPUTED_VALUE"""),15)</f>
        <v>15</v>
      </c>
      <c r="F1787" s="5"/>
    </row>
    <row r="1788" spans="1:6" ht="13">
      <c r="A1788" s="5" t="str">
        <f ca="1">IFERROR(__xludf.DUMMYFUNCTION("""COMPUTED_VALUE"""),"20060113ALPIP")</f>
        <v>20060113ALPIP</v>
      </c>
      <c r="B1788" s="5" t="str">
        <f ca="1">IFERROR(__xludf.DUMMYFUNCTION("""COMPUTED_VALUE"""),"Wounded")</f>
        <v>Wounded</v>
      </c>
      <c r="C1788" s="5" t="str">
        <f ca="1">IFERROR(__xludf.DUMMYFUNCTION("""COMPUTED_VALUE"""),"Male")</f>
        <v>Male</v>
      </c>
      <c r="D1788" s="5" t="str">
        <f ca="1">IFERROR(__xludf.DUMMYFUNCTION("""COMPUTED_VALUE"""),"Student")</f>
        <v>Student</v>
      </c>
      <c r="E1788" s="5">
        <f ca="1">IFERROR(__xludf.DUMMYFUNCTION("""COMPUTED_VALUE"""),17)</f>
        <v>17</v>
      </c>
      <c r="F1788" s="5"/>
    </row>
    <row r="1789" spans="1:6" ht="13">
      <c r="A1789" s="5" t="str">
        <f ca="1">IFERROR(__xludf.DUMMYFUNCTION("""COMPUTED_VALUE"""),"20060111WIMAM")</f>
        <v>20060111WIMAM</v>
      </c>
      <c r="B1789" s="5" t="str">
        <f ca="1">IFERROR(__xludf.DUMMYFUNCTION("""COMPUTED_VALUE"""),"Wounded")</f>
        <v>Wounded</v>
      </c>
      <c r="C1789" s="5" t="str">
        <f ca="1">IFERROR(__xludf.DUMMYFUNCTION("""COMPUTED_VALUE"""),"Female")</f>
        <v>Female</v>
      </c>
      <c r="D1789" s="5" t="str">
        <f ca="1">IFERROR(__xludf.DUMMYFUNCTION("""COMPUTED_VALUE"""),"Student")</f>
        <v>Student</v>
      </c>
      <c r="E1789" s="5">
        <f ca="1">IFERROR(__xludf.DUMMYFUNCTION("""COMPUTED_VALUE"""),9)</f>
        <v>9</v>
      </c>
      <c r="F1789" s="5"/>
    </row>
    <row r="1790" spans="1:6" ht="13">
      <c r="A1790" s="5" t="str">
        <f ca="1">IFERROR(__xludf.DUMMYFUNCTION("""COMPUTED_VALUE"""),"20060110DEMOW")</f>
        <v>20060110DEMOW</v>
      </c>
      <c r="B1790" s="5" t="str">
        <f ca="1">IFERROR(__xludf.DUMMYFUNCTION("""COMPUTED_VALUE"""),"Wounded")</f>
        <v>Wounded</v>
      </c>
      <c r="C1790" s="5" t="str">
        <f ca="1">IFERROR(__xludf.DUMMYFUNCTION("""COMPUTED_VALUE"""),"Male")</f>
        <v>Male</v>
      </c>
      <c r="D1790" s="5" t="str">
        <f ca="1">IFERROR(__xludf.DUMMYFUNCTION("""COMPUTED_VALUE"""),"Student")</f>
        <v>Student</v>
      </c>
      <c r="E1790" s="5">
        <f ca="1">IFERROR(__xludf.DUMMYFUNCTION("""COMPUTED_VALUE"""),16)</f>
        <v>16</v>
      </c>
      <c r="F1790" s="5"/>
    </row>
    <row r="1791" spans="1:6" ht="13">
      <c r="A1791" s="5" t="str">
        <f ca="1">IFERROR(__xludf.DUMMYFUNCTION("""COMPUTED_VALUE"""),"20060103NJLIJ")</f>
        <v>20060103NJLIJ</v>
      </c>
      <c r="B1791" s="5" t="str">
        <f ca="1">IFERROR(__xludf.DUMMYFUNCTION("""COMPUTED_VALUE"""),"Wounded")</f>
        <v>Wounded</v>
      </c>
      <c r="C1791" s="5" t="str">
        <f ca="1">IFERROR(__xludf.DUMMYFUNCTION("""COMPUTED_VALUE"""),"Male")</f>
        <v>Male</v>
      </c>
      <c r="D1791" s="5" t="str">
        <f ca="1">IFERROR(__xludf.DUMMYFUNCTION("""COMPUTED_VALUE"""),"Student")</f>
        <v>Student</v>
      </c>
      <c r="E1791" s="5" t="str">
        <f ca="1">IFERROR(__xludf.DUMMYFUNCTION("""COMPUTED_VALUE"""),"Teen")</f>
        <v>Teen</v>
      </c>
      <c r="F1791" s="5"/>
    </row>
    <row r="1792" spans="1:6" ht="13">
      <c r="A1792" s="5" t="str">
        <f ca="1">IFERROR(__xludf.DUMMYFUNCTION("""COMPUTED_VALUE"""),"20060103NJLIJ")</f>
        <v>20060103NJLIJ</v>
      </c>
      <c r="B1792" s="5" t="str">
        <f ca="1">IFERROR(__xludf.DUMMYFUNCTION("""COMPUTED_VALUE"""),"Wounded")</f>
        <v>Wounded</v>
      </c>
      <c r="C1792" s="5" t="str">
        <f ca="1">IFERROR(__xludf.DUMMYFUNCTION("""COMPUTED_VALUE"""),"Female")</f>
        <v>Female</v>
      </c>
      <c r="D1792" s="5" t="str">
        <f ca="1">IFERROR(__xludf.DUMMYFUNCTION("""COMPUTED_VALUE"""),"Student")</f>
        <v>Student</v>
      </c>
      <c r="E1792" s="5" t="str">
        <f ca="1">IFERROR(__xludf.DUMMYFUNCTION("""COMPUTED_VALUE"""),"Teen")</f>
        <v>Teen</v>
      </c>
      <c r="F1792" s="5"/>
    </row>
    <row r="1793" spans="1:6" ht="13">
      <c r="A1793" s="5" t="str">
        <f ca="1">IFERROR(__xludf.DUMMYFUNCTION("""COMPUTED_VALUE"""),"20051206MICED")</f>
        <v>20051206MICED</v>
      </c>
      <c r="B1793" s="5" t="str">
        <f ca="1">IFERROR(__xludf.DUMMYFUNCTION("""COMPUTED_VALUE"""),"Wounded")</f>
        <v>Wounded</v>
      </c>
      <c r="C1793" s="5" t="str">
        <f ca="1">IFERROR(__xludf.DUMMYFUNCTION("""COMPUTED_VALUE"""),"Male")</f>
        <v>Male</v>
      </c>
      <c r="D1793" s="5" t="str">
        <f ca="1">IFERROR(__xludf.DUMMYFUNCTION("""COMPUTED_VALUE"""),"Nonstudent")</f>
        <v>Nonstudent</v>
      </c>
      <c r="E1793" s="5"/>
      <c r="F1793" s="5"/>
    </row>
    <row r="1794" spans="1:6" ht="13">
      <c r="A1794" s="5" t="str">
        <f ca="1">IFERROR(__xludf.DUMMYFUNCTION("""COMPUTED_VALUE"""),"20051206CASAG")</f>
        <v>20051206CASAG</v>
      </c>
      <c r="B1794" s="5" t="str">
        <f ca="1">IFERROR(__xludf.DUMMYFUNCTION("""COMPUTED_VALUE"""),"Fatal")</f>
        <v>Fatal</v>
      </c>
      <c r="C1794" s="5" t="str">
        <f ca="1">IFERROR(__xludf.DUMMYFUNCTION("""COMPUTED_VALUE"""),"Male")</f>
        <v>Male</v>
      </c>
      <c r="D1794" s="5" t="str">
        <f ca="1">IFERROR(__xludf.DUMMYFUNCTION("""COMPUTED_VALUE"""),"Student")</f>
        <v>Student</v>
      </c>
      <c r="E1794" s="5">
        <f ca="1">IFERROR(__xludf.DUMMYFUNCTION("""COMPUTED_VALUE"""),16)</f>
        <v>16</v>
      </c>
      <c r="F1794" s="5"/>
    </row>
    <row r="1795" spans="1:6" ht="13">
      <c r="A1795" s="5" t="str">
        <f ca="1">IFERROR(__xludf.DUMMYFUNCTION("""COMPUTED_VALUE"""),"20051205MABOR")</f>
        <v>20051205MABOR</v>
      </c>
      <c r="B1795" s="5" t="str">
        <f ca="1">IFERROR(__xludf.DUMMYFUNCTION("""COMPUTED_VALUE"""),"None")</f>
        <v>None</v>
      </c>
      <c r="C1795" s="5"/>
      <c r="D1795" s="5"/>
      <c r="E1795" s="5"/>
      <c r="F1795" s="5"/>
    </row>
    <row r="1796" spans="1:6" ht="13">
      <c r="A1796" s="5" t="str">
        <f ca="1">IFERROR(__xludf.DUMMYFUNCTION("""COMPUTED_VALUE"""),"20051116TXIRS")</f>
        <v>20051116TXIRS</v>
      </c>
      <c r="B1796" s="5" t="str">
        <f ca="1">IFERROR(__xludf.DUMMYFUNCTION("""COMPUTED_VALUE"""),"Fatal")</f>
        <v>Fatal</v>
      </c>
      <c r="C1796" s="5" t="str">
        <f ca="1">IFERROR(__xludf.DUMMYFUNCTION("""COMPUTED_VALUE"""),"Male")</f>
        <v>Male</v>
      </c>
      <c r="D1796" s="5" t="str">
        <f ca="1">IFERROR(__xludf.DUMMYFUNCTION("""COMPUTED_VALUE"""),"No Relation")</f>
        <v>No Relation</v>
      </c>
      <c r="E1796" s="5" t="str">
        <f ca="1">IFERROR(__xludf.DUMMYFUNCTION("""COMPUTED_VALUE"""),"Adult")</f>
        <v>Adult</v>
      </c>
      <c r="F1796" s="5"/>
    </row>
    <row r="1797" spans="1:6" ht="13">
      <c r="A1797" s="5" t="str">
        <f ca="1">IFERROR(__xludf.DUMMYFUNCTION("""COMPUTED_VALUE"""),"20051115FLPAM")</f>
        <v>20051115FLPAM</v>
      </c>
      <c r="B1797" s="5" t="str">
        <f ca="1">IFERROR(__xludf.DUMMYFUNCTION("""COMPUTED_VALUE"""),"Wounded")</f>
        <v>Wounded</v>
      </c>
      <c r="C1797" s="5" t="str">
        <f ca="1">IFERROR(__xludf.DUMMYFUNCTION("""COMPUTED_VALUE"""),"Female")</f>
        <v>Female</v>
      </c>
      <c r="D1797" s="5" t="str">
        <f ca="1">IFERROR(__xludf.DUMMYFUNCTION("""COMPUTED_VALUE"""),"Student")</f>
        <v>Student</v>
      </c>
      <c r="E1797" s="5">
        <f ca="1">IFERROR(__xludf.DUMMYFUNCTION("""COMPUTED_VALUE"""),17)</f>
        <v>17</v>
      </c>
      <c r="F1797" s="5"/>
    </row>
    <row r="1798" spans="1:6" ht="13">
      <c r="A1798" s="5" t="str">
        <f ca="1">IFERROR(__xludf.DUMMYFUNCTION("""COMPUTED_VALUE"""),"20051108TNCAJ")</f>
        <v>20051108TNCAJ</v>
      </c>
      <c r="B1798" s="5" t="str">
        <f ca="1">IFERROR(__xludf.DUMMYFUNCTION("""COMPUTED_VALUE"""),"Wounded")</f>
        <v>Wounded</v>
      </c>
      <c r="C1798" s="5" t="str">
        <f ca="1">IFERROR(__xludf.DUMMYFUNCTION("""COMPUTED_VALUE"""),"Male")</f>
        <v>Male</v>
      </c>
      <c r="D1798" s="5" t="str">
        <f ca="1">IFERROR(__xludf.DUMMYFUNCTION("""COMPUTED_VALUE"""),"Principal/Vice-Principal")</f>
        <v>Principal/Vice-Principal</v>
      </c>
      <c r="E1798" s="5" t="str">
        <f ca="1">IFERROR(__xludf.DUMMYFUNCTION("""COMPUTED_VALUE"""),"Adult")</f>
        <v>Adult</v>
      </c>
      <c r="F1798" s="5"/>
    </row>
    <row r="1799" spans="1:6" ht="13">
      <c r="A1799" s="5" t="str">
        <f ca="1">IFERROR(__xludf.DUMMYFUNCTION("""COMPUTED_VALUE"""),"20051108TNCAJ")</f>
        <v>20051108TNCAJ</v>
      </c>
      <c r="B1799" s="5" t="str">
        <f ca="1">IFERROR(__xludf.DUMMYFUNCTION("""COMPUTED_VALUE"""),"Wounded")</f>
        <v>Wounded</v>
      </c>
      <c r="C1799" s="5" t="str">
        <f ca="1">IFERROR(__xludf.DUMMYFUNCTION("""COMPUTED_VALUE"""),"Male")</f>
        <v>Male</v>
      </c>
      <c r="D1799" s="5" t="str">
        <f ca="1">IFERROR(__xludf.DUMMYFUNCTION("""COMPUTED_VALUE"""),"Principal/Vice-Principal")</f>
        <v>Principal/Vice-Principal</v>
      </c>
      <c r="E1799" s="5" t="str">
        <f ca="1">IFERROR(__xludf.DUMMYFUNCTION("""COMPUTED_VALUE"""),"Adult")</f>
        <v>Adult</v>
      </c>
      <c r="F1799" s="5"/>
    </row>
    <row r="1800" spans="1:6" ht="13">
      <c r="A1800" s="5" t="str">
        <f ca="1">IFERROR(__xludf.DUMMYFUNCTION("""COMPUTED_VALUE"""),"20051108TNCAJ")</f>
        <v>20051108TNCAJ</v>
      </c>
      <c r="B1800" s="5" t="str">
        <f ca="1">IFERROR(__xludf.DUMMYFUNCTION("""COMPUTED_VALUE"""),"Fatal")</f>
        <v>Fatal</v>
      </c>
      <c r="C1800" s="5" t="str">
        <f ca="1">IFERROR(__xludf.DUMMYFUNCTION("""COMPUTED_VALUE"""),"Male")</f>
        <v>Male</v>
      </c>
      <c r="D1800" s="5" t="str">
        <f ca="1">IFERROR(__xludf.DUMMYFUNCTION("""COMPUTED_VALUE"""),"Principal/Vice-Principal")</f>
        <v>Principal/Vice-Principal</v>
      </c>
      <c r="E1800" s="5" t="str">
        <f ca="1">IFERROR(__xludf.DUMMYFUNCTION("""COMPUTED_VALUE"""),"Adult")</f>
        <v>Adult</v>
      </c>
      <c r="F1800" s="5"/>
    </row>
    <row r="1801" spans="1:6" ht="13">
      <c r="A1801" s="5" t="str">
        <f ca="1">IFERROR(__xludf.DUMMYFUNCTION("""COMPUTED_VALUE"""),"20051028NYFAF")</f>
        <v>20051028NYFAF</v>
      </c>
      <c r="B1801" s="5" t="str">
        <f ca="1">IFERROR(__xludf.DUMMYFUNCTION("""COMPUTED_VALUE"""),"None")</f>
        <v>None</v>
      </c>
      <c r="C1801" s="5" t="str">
        <f ca="1">IFERROR(__xludf.DUMMYFUNCTION("""COMPUTED_VALUE"""),"Male")</f>
        <v>Male</v>
      </c>
      <c r="D1801" s="5" t="str">
        <f ca="1">IFERROR(__xludf.DUMMYFUNCTION("""COMPUTED_VALUE"""),"Security Guard")</f>
        <v>Security Guard</v>
      </c>
      <c r="E1801" s="5" t="str">
        <f ca="1">IFERROR(__xludf.DUMMYFUNCTION("""COMPUTED_VALUE"""),"Adult")</f>
        <v>Adult</v>
      </c>
      <c r="F1801" s="5"/>
    </row>
    <row r="1802" spans="1:6" ht="13">
      <c r="A1802" s="5" t="str">
        <f ca="1">IFERROR(__xludf.DUMMYFUNCTION("""COMPUTED_VALUE"""),"20051028MDANA")</f>
        <v>20051028MDANA</v>
      </c>
      <c r="B1802" s="5" t="str">
        <f ca="1">IFERROR(__xludf.DUMMYFUNCTION("""COMPUTED_VALUE"""),"Wounded")</f>
        <v>Wounded</v>
      </c>
      <c r="C1802" s="5" t="str">
        <f ca="1">IFERROR(__xludf.DUMMYFUNCTION("""COMPUTED_VALUE"""),"Female")</f>
        <v>Female</v>
      </c>
      <c r="D1802" s="5" t="str">
        <f ca="1">IFERROR(__xludf.DUMMYFUNCTION("""COMPUTED_VALUE"""),"Student")</f>
        <v>Student</v>
      </c>
      <c r="E1802" s="5">
        <f ca="1">IFERROR(__xludf.DUMMYFUNCTION("""COMPUTED_VALUE"""),17)</f>
        <v>17</v>
      </c>
      <c r="F1802" s="5"/>
    </row>
    <row r="1803" spans="1:6" ht="13">
      <c r="A1803" s="5" t="str">
        <f ca="1">IFERROR(__xludf.DUMMYFUNCTION("""COMPUTED_VALUE"""),"20051027CABIF")</f>
        <v>20051027CABIF</v>
      </c>
      <c r="B1803" s="5" t="str">
        <f ca="1">IFERROR(__xludf.DUMMYFUNCTION("""COMPUTED_VALUE"""),"Fatal")</f>
        <v>Fatal</v>
      </c>
      <c r="C1803" s="5" t="str">
        <f ca="1">IFERROR(__xludf.DUMMYFUNCTION("""COMPUTED_VALUE"""),"Male")</f>
        <v>Male</v>
      </c>
      <c r="D1803" s="5" t="str">
        <f ca="1">IFERROR(__xludf.DUMMYFUNCTION("""COMPUTED_VALUE"""),"Parent")</f>
        <v>Parent</v>
      </c>
      <c r="E1803" s="5">
        <f ca="1">IFERROR(__xludf.DUMMYFUNCTION("""COMPUTED_VALUE"""),37)</f>
        <v>37</v>
      </c>
      <c r="F1803" s="5"/>
    </row>
    <row r="1804" spans="1:6" ht="13">
      <c r="A1804" s="5" t="str">
        <f ca="1">IFERROR(__xludf.DUMMYFUNCTION("""COMPUTED_VALUE"""),"20051020MISAS")</f>
        <v>20051020MISAS</v>
      </c>
      <c r="B1804" s="5" t="str">
        <f ca="1">IFERROR(__xludf.DUMMYFUNCTION("""COMPUTED_VALUE"""),"Wounded")</f>
        <v>Wounded</v>
      </c>
      <c r="C1804" s="5" t="str">
        <f ca="1">IFERROR(__xludf.DUMMYFUNCTION("""COMPUTED_VALUE"""),"Male")</f>
        <v>Male</v>
      </c>
      <c r="D1804" s="5" t="str">
        <f ca="1">IFERROR(__xludf.DUMMYFUNCTION("""COMPUTED_VALUE"""),"Student")</f>
        <v>Student</v>
      </c>
      <c r="E1804" s="5">
        <f ca="1">IFERROR(__xludf.DUMMYFUNCTION("""COMPUTED_VALUE"""),15)</f>
        <v>15</v>
      </c>
      <c r="F1804" s="5"/>
    </row>
    <row r="1805" spans="1:6" ht="13">
      <c r="A1805" s="5" t="str">
        <f ca="1">IFERROR(__xludf.DUMMYFUNCTION("""COMPUTED_VALUE"""),"20051019CASAS")</f>
        <v>20051019CASAS</v>
      </c>
      <c r="B1805" s="5" t="str">
        <f ca="1">IFERROR(__xludf.DUMMYFUNCTION("""COMPUTED_VALUE"""),"Wounded")</f>
        <v>Wounded</v>
      </c>
      <c r="C1805" s="5" t="str">
        <f ca="1">IFERROR(__xludf.DUMMYFUNCTION("""COMPUTED_VALUE"""),"Male")</f>
        <v>Male</v>
      </c>
      <c r="D1805" s="5" t="str">
        <f ca="1">IFERROR(__xludf.DUMMYFUNCTION("""COMPUTED_VALUE"""),"Student")</f>
        <v>Student</v>
      </c>
      <c r="E1805" s="5">
        <f ca="1">IFERROR(__xludf.DUMMYFUNCTION("""COMPUTED_VALUE"""),16)</f>
        <v>16</v>
      </c>
      <c r="F1805" s="5"/>
    </row>
    <row r="1806" spans="1:6" ht="13">
      <c r="A1806" s="5" t="str">
        <f ca="1">IFERROR(__xludf.DUMMYFUNCTION("""COMPUTED_VALUE"""),"20051014NYSAN")</f>
        <v>20051014NYSAN</v>
      </c>
      <c r="B1806" s="5" t="str">
        <f ca="1">IFERROR(__xludf.DUMMYFUNCTION("""COMPUTED_VALUE"""),"Wounded")</f>
        <v>Wounded</v>
      </c>
      <c r="C1806" s="5" t="str">
        <f ca="1">IFERROR(__xludf.DUMMYFUNCTION("""COMPUTED_VALUE"""),"Male")</f>
        <v>Male</v>
      </c>
      <c r="D1806" s="5" t="str">
        <f ca="1">IFERROR(__xludf.DUMMYFUNCTION("""COMPUTED_VALUE"""),"Student")</f>
        <v>Student</v>
      </c>
      <c r="E1806" s="5">
        <f ca="1">IFERROR(__xludf.DUMMYFUNCTION("""COMPUTED_VALUE"""),16)</f>
        <v>16</v>
      </c>
      <c r="F1806" s="5"/>
    </row>
    <row r="1807" spans="1:6" ht="13">
      <c r="A1807" s="5" t="str">
        <f ca="1">IFERROR(__xludf.DUMMYFUNCTION("""COMPUTED_VALUE"""),"20051011MIFAF")</f>
        <v>20051011MIFAF</v>
      </c>
      <c r="B1807" s="5" t="str">
        <f ca="1">IFERROR(__xludf.DUMMYFUNCTION("""COMPUTED_VALUE"""),"None")</f>
        <v>None</v>
      </c>
      <c r="C1807" s="5"/>
      <c r="D1807" s="5"/>
      <c r="E1807" s="5"/>
      <c r="F1807" s="5"/>
    </row>
    <row r="1808" spans="1:6" ht="13">
      <c r="A1808" s="5" t="str">
        <f ca="1">IFERROR(__xludf.DUMMYFUNCTION("""COMPUTED_VALUE"""),"20050924MISAS")</f>
        <v>20050924MISAS</v>
      </c>
      <c r="B1808" s="5" t="str">
        <f ca="1">IFERROR(__xludf.DUMMYFUNCTION("""COMPUTED_VALUE"""),"Wounded")</f>
        <v>Wounded</v>
      </c>
      <c r="C1808" s="5" t="str">
        <f ca="1">IFERROR(__xludf.DUMMYFUNCTION("""COMPUTED_VALUE"""),"Female")</f>
        <v>Female</v>
      </c>
      <c r="D1808" s="5" t="str">
        <f ca="1">IFERROR(__xludf.DUMMYFUNCTION("""COMPUTED_VALUE"""),"Student")</f>
        <v>Student</v>
      </c>
      <c r="E1808" s="5">
        <f ca="1">IFERROR(__xludf.DUMMYFUNCTION("""COMPUTED_VALUE"""),14)</f>
        <v>14</v>
      </c>
      <c r="F1808" s="5"/>
    </row>
    <row r="1809" spans="1:6" ht="13">
      <c r="A1809" s="5" t="str">
        <f ca="1">IFERROR(__xludf.DUMMYFUNCTION("""COMPUTED_VALUE"""),"20050924MISAS")</f>
        <v>20050924MISAS</v>
      </c>
      <c r="B1809" s="5" t="str">
        <f ca="1">IFERROR(__xludf.DUMMYFUNCTION("""COMPUTED_VALUE"""),"Wounded")</f>
        <v>Wounded</v>
      </c>
      <c r="C1809" s="5" t="str">
        <f ca="1">IFERROR(__xludf.DUMMYFUNCTION("""COMPUTED_VALUE"""),"Male")</f>
        <v>Male</v>
      </c>
      <c r="D1809" s="5" t="str">
        <f ca="1">IFERROR(__xludf.DUMMYFUNCTION("""COMPUTED_VALUE"""),"Student")</f>
        <v>Student</v>
      </c>
      <c r="E1809" s="5">
        <f ca="1">IFERROR(__xludf.DUMMYFUNCTION("""COMPUTED_VALUE"""),15)</f>
        <v>15</v>
      </c>
      <c r="F1809" s="5"/>
    </row>
    <row r="1810" spans="1:6" ht="13">
      <c r="A1810" s="5" t="str">
        <f ca="1">IFERROR(__xludf.DUMMYFUNCTION("""COMPUTED_VALUE"""),"20050913ILHAC")</f>
        <v>20050913ILHAC</v>
      </c>
      <c r="B1810" s="5" t="str">
        <f ca="1">IFERROR(__xludf.DUMMYFUNCTION("""COMPUTED_VALUE"""),"Wounded")</f>
        <v>Wounded</v>
      </c>
      <c r="C1810" s="5" t="str">
        <f ca="1">IFERROR(__xludf.DUMMYFUNCTION("""COMPUTED_VALUE"""),"Male")</f>
        <v>Male</v>
      </c>
      <c r="D1810" s="5" t="str">
        <f ca="1">IFERROR(__xludf.DUMMYFUNCTION("""COMPUTED_VALUE"""),"Student")</f>
        <v>Student</v>
      </c>
      <c r="E1810" s="5">
        <f ca="1">IFERROR(__xludf.DUMMYFUNCTION("""COMPUTED_VALUE"""),15)</f>
        <v>15</v>
      </c>
      <c r="F1810" s="5"/>
    </row>
    <row r="1811" spans="1:6" ht="13">
      <c r="A1811" s="5" t="str">
        <f ca="1">IFERROR(__xludf.DUMMYFUNCTION("""COMPUTED_VALUE"""),"20050902FLSOJ")</f>
        <v>20050902FLSOJ</v>
      </c>
      <c r="B1811" s="5" t="str">
        <f ca="1">IFERROR(__xludf.DUMMYFUNCTION("""COMPUTED_VALUE"""),"Wounded")</f>
        <v>Wounded</v>
      </c>
      <c r="C1811" s="5" t="str">
        <f ca="1">IFERROR(__xludf.DUMMYFUNCTION("""COMPUTED_VALUE"""),"Male")</f>
        <v>Male</v>
      </c>
      <c r="D1811" s="5" t="str">
        <f ca="1">IFERROR(__xludf.DUMMYFUNCTION("""COMPUTED_VALUE"""),"Student")</f>
        <v>Student</v>
      </c>
      <c r="E1811" s="5">
        <f ca="1">IFERROR(__xludf.DUMMYFUNCTION("""COMPUTED_VALUE"""),17)</f>
        <v>17</v>
      </c>
      <c r="F1811" s="5"/>
    </row>
    <row r="1812" spans="1:6" ht="13">
      <c r="A1812" s="5" t="str">
        <f ca="1">IFERROR(__xludf.DUMMYFUNCTION("""COMPUTED_VALUE"""),"20050901AKDIA")</f>
        <v>20050901AKDIA</v>
      </c>
      <c r="B1812" s="5" t="str">
        <f ca="1">IFERROR(__xludf.DUMMYFUNCTION("""COMPUTED_VALUE"""),"None")</f>
        <v>None</v>
      </c>
      <c r="C1812" s="5" t="str">
        <f ca="1">IFERROR(__xludf.DUMMYFUNCTION("""COMPUTED_VALUE"""),"Male")</f>
        <v>Male</v>
      </c>
      <c r="D1812" s="5" t="str">
        <f ca="1">IFERROR(__xludf.DUMMYFUNCTION("""COMPUTED_VALUE"""),"Student")</f>
        <v>Student</v>
      </c>
      <c r="E1812" s="5" t="str">
        <f ca="1">IFERROR(__xludf.DUMMYFUNCTION("""COMPUTED_VALUE"""),"Teen")</f>
        <v>Teen</v>
      </c>
      <c r="F1812" s="5"/>
    </row>
    <row r="1813" spans="1:6" ht="13">
      <c r="A1813" s="5" t="str">
        <f ca="1">IFERROR(__xludf.DUMMYFUNCTION("""COMPUTED_VALUE"""),"20050901AKDIA")</f>
        <v>20050901AKDIA</v>
      </c>
      <c r="B1813" s="5" t="str">
        <f ca="1">IFERROR(__xludf.DUMMYFUNCTION("""COMPUTED_VALUE"""),"None")</f>
        <v>None</v>
      </c>
      <c r="C1813" s="5" t="str">
        <f ca="1">IFERROR(__xludf.DUMMYFUNCTION("""COMPUTED_VALUE"""),"Male")</f>
        <v>Male</v>
      </c>
      <c r="D1813" s="5" t="str">
        <f ca="1">IFERROR(__xludf.DUMMYFUNCTION("""COMPUTED_VALUE"""),"Student")</f>
        <v>Student</v>
      </c>
      <c r="E1813" s="5" t="str">
        <f ca="1">IFERROR(__xludf.DUMMYFUNCTION("""COMPUTED_VALUE"""),"Teen")</f>
        <v>Teen</v>
      </c>
      <c r="F1813" s="5"/>
    </row>
    <row r="1814" spans="1:6" ht="13">
      <c r="A1814" s="5" t="str">
        <f ca="1">IFERROR(__xludf.DUMMYFUNCTION("""COMPUTED_VALUE"""),"20050825TNMAD")</f>
        <v>20050825TNMAD</v>
      </c>
      <c r="B1814" s="5" t="str">
        <f ca="1">IFERROR(__xludf.DUMMYFUNCTION("""COMPUTED_VALUE"""),"Wounded")</f>
        <v>Wounded</v>
      </c>
      <c r="C1814" s="5" t="str">
        <f ca="1">IFERROR(__xludf.DUMMYFUNCTION("""COMPUTED_VALUE"""),"Male")</f>
        <v>Male</v>
      </c>
      <c r="D1814" s="5" t="str">
        <f ca="1">IFERROR(__xludf.DUMMYFUNCTION("""COMPUTED_VALUE"""),"Student")</f>
        <v>Student</v>
      </c>
      <c r="E1814" s="5">
        <f ca="1">IFERROR(__xludf.DUMMYFUNCTION("""COMPUTED_VALUE"""),12)</f>
        <v>12</v>
      </c>
      <c r="F1814" s="5"/>
    </row>
    <row r="1815" spans="1:6" ht="13">
      <c r="A1815" s="5" t="str">
        <f ca="1">IFERROR(__xludf.DUMMYFUNCTION("""COMPUTED_VALUE"""),"20050819GAMOM")</f>
        <v>20050819GAMOM</v>
      </c>
      <c r="B1815" s="5" t="str">
        <f ca="1">IFERROR(__xludf.DUMMYFUNCTION("""COMPUTED_VALUE"""),"Wounded")</f>
        <v>Wounded</v>
      </c>
      <c r="C1815" s="5" t="str">
        <f ca="1">IFERROR(__xludf.DUMMYFUNCTION("""COMPUTED_VALUE"""),"Male")</f>
        <v>Male</v>
      </c>
      <c r="D1815" s="5" t="str">
        <f ca="1">IFERROR(__xludf.DUMMYFUNCTION("""COMPUTED_VALUE"""),"Student")</f>
        <v>Student</v>
      </c>
      <c r="E1815" s="5">
        <f ca="1">IFERROR(__xludf.DUMMYFUNCTION("""COMPUTED_VALUE"""),18)</f>
        <v>18</v>
      </c>
      <c r="F1815" s="5"/>
    </row>
    <row r="1816" spans="1:6" ht="13">
      <c r="A1816" s="5" t="str">
        <f ca="1">IFERROR(__xludf.DUMMYFUNCTION("""COMPUTED_VALUE"""),"20050819GAMOM")</f>
        <v>20050819GAMOM</v>
      </c>
      <c r="B1816" s="5" t="str">
        <f ca="1">IFERROR(__xludf.DUMMYFUNCTION("""COMPUTED_VALUE"""),"Wounded")</f>
        <v>Wounded</v>
      </c>
      <c r="C1816" s="5" t="str">
        <f ca="1">IFERROR(__xludf.DUMMYFUNCTION("""COMPUTED_VALUE"""),"Male")</f>
        <v>Male</v>
      </c>
      <c r="D1816" s="5" t="str">
        <f ca="1">IFERROR(__xludf.DUMMYFUNCTION("""COMPUTED_VALUE"""),"Nonstudent")</f>
        <v>Nonstudent</v>
      </c>
      <c r="E1816" s="5">
        <f ca="1">IFERROR(__xludf.DUMMYFUNCTION("""COMPUTED_VALUE"""),21)</f>
        <v>21</v>
      </c>
      <c r="F1816" s="5"/>
    </row>
    <row r="1817" spans="1:6" ht="13">
      <c r="A1817" s="5" t="str">
        <f ca="1">IFERROR(__xludf.DUMMYFUNCTION("""COMPUTED_VALUE"""),"20050817CAPLB")</f>
        <v>20050817CAPLB</v>
      </c>
      <c r="B1817" s="5" t="str">
        <f ca="1">IFERROR(__xludf.DUMMYFUNCTION("""COMPUTED_VALUE"""),"Fatal")</f>
        <v>Fatal</v>
      </c>
      <c r="C1817" s="5" t="str">
        <f ca="1">IFERROR(__xludf.DUMMYFUNCTION("""COMPUTED_VALUE"""),"Male")</f>
        <v>Male</v>
      </c>
      <c r="D1817" s="5" t="str">
        <f ca="1">IFERROR(__xludf.DUMMYFUNCTION("""COMPUTED_VALUE"""),"No Relation")</f>
        <v>No Relation</v>
      </c>
      <c r="E1817" s="5">
        <f ca="1">IFERROR(__xludf.DUMMYFUNCTION("""COMPUTED_VALUE"""),15)</f>
        <v>15</v>
      </c>
      <c r="F1817" s="5"/>
    </row>
    <row r="1818" spans="1:6" ht="13">
      <c r="A1818" s="5" t="str">
        <f ca="1">IFERROR(__xludf.DUMMYFUNCTION("""COMPUTED_VALUE"""),"20050816VICOE")</f>
        <v>20050816VICOE</v>
      </c>
      <c r="B1818" s="5" t="str">
        <f ca="1">IFERROR(__xludf.DUMMYFUNCTION("""COMPUTED_VALUE"""),"Wounded")</f>
        <v>Wounded</v>
      </c>
      <c r="C1818" s="5" t="str">
        <f ca="1">IFERROR(__xludf.DUMMYFUNCTION("""COMPUTED_VALUE"""),"Male")</f>
        <v>Male</v>
      </c>
      <c r="D1818" s="5" t="str">
        <f ca="1">IFERROR(__xludf.DUMMYFUNCTION("""COMPUTED_VALUE"""),"Other Staff")</f>
        <v>Other Staff</v>
      </c>
      <c r="E1818" s="5" t="str">
        <f ca="1">IFERROR(__xludf.DUMMYFUNCTION("""COMPUTED_VALUE"""),"Adult")</f>
        <v>Adult</v>
      </c>
      <c r="F1818" s="5"/>
    </row>
    <row r="1819" spans="1:6" ht="13">
      <c r="A1819" s="5" t="str">
        <f ca="1">IFERROR(__xludf.DUMMYFUNCTION("""COMPUTED_VALUE"""),"20050718NJWEN")</f>
        <v>20050718NJWEN</v>
      </c>
      <c r="B1819" s="5" t="str">
        <f ca="1">IFERROR(__xludf.DUMMYFUNCTION("""COMPUTED_VALUE"""),"Fatal")</f>
        <v>Fatal</v>
      </c>
      <c r="C1819" s="5" t="str">
        <f ca="1">IFERROR(__xludf.DUMMYFUNCTION("""COMPUTED_VALUE"""),"Male")</f>
        <v>Male</v>
      </c>
      <c r="D1819" s="5" t="str">
        <f ca="1">IFERROR(__xludf.DUMMYFUNCTION("""COMPUTED_VALUE"""),"Police Officer/SRO")</f>
        <v>Police Officer/SRO</v>
      </c>
      <c r="E1819" s="5">
        <f ca="1">IFERROR(__xludf.DUMMYFUNCTION("""COMPUTED_VALUE"""),32)</f>
        <v>32</v>
      </c>
      <c r="F1819" s="5"/>
    </row>
    <row r="1820" spans="1:6" ht="13">
      <c r="A1820" s="5" t="str">
        <f ca="1">IFERROR(__xludf.DUMMYFUNCTION("""COMPUTED_VALUE"""),"20050718NJWEN")</f>
        <v>20050718NJWEN</v>
      </c>
      <c r="B1820" s="5" t="str">
        <f ca="1">IFERROR(__xludf.DUMMYFUNCTION("""COMPUTED_VALUE"""),"Fatal")</f>
        <v>Fatal</v>
      </c>
      <c r="C1820" s="5" t="str">
        <f ca="1">IFERROR(__xludf.DUMMYFUNCTION("""COMPUTED_VALUE"""),"Male")</f>
        <v>Male</v>
      </c>
      <c r="D1820" s="5" t="str">
        <f ca="1">IFERROR(__xludf.DUMMYFUNCTION("""COMPUTED_VALUE"""),"Police Officer/SRO")</f>
        <v>Police Officer/SRO</v>
      </c>
      <c r="E1820" s="5">
        <f ca="1">IFERROR(__xludf.DUMMYFUNCTION("""COMPUTED_VALUE"""),23)</f>
        <v>23</v>
      </c>
      <c r="F1820" s="5"/>
    </row>
    <row r="1821" spans="1:6" ht="13">
      <c r="A1821" s="5" t="str">
        <f ca="1">IFERROR(__xludf.DUMMYFUNCTION("""COMPUTED_VALUE"""),"20050612NJBAA")</f>
        <v>20050612NJBAA</v>
      </c>
      <c r="B1821" s="5" t="str">
        <f ca="1">IFERROR(__xludf.DUMMYFUNCTION("""COMPUTED_VALUE"""),"Wounded")</f>
        <v>Wounded</v>
      </c>
      <c r="C1821" s="5" t="str">
        <f ca="1">IFERROR(__xludf.DUMMYFUNCTION("""COMPUTED_VALUE"""),"Male")</f>
        <v>Male</v>
      </c>
      <c r="D1821" s="5" t="str">
        <f ca="1">IFERROR(__xludf.DUMMYFUNCTION("""COMPUTED_VALUE"""),"No Relation")</f>
        <v>No Relation</v>
      </c>
      <c r="E1821" s="5">
        <f ca="1">IFERROR(__xludf.DUMMYFUNCTION("""COMPUTED_VALUE"""),24)</f>
        <v>24</v>
      </c>
      <c r="F1821" s="5"/>
    </row>
    <row r="1822" spans="1:6" ht="13">
      <c r="A1822" s="5" t="str">
        <f ca="1">IFERROR(__xludf.DUMMYFUNCTION("""COMPUTED_VALUE"""),"20050612NJBAA")</f>
        <v>20050612NJBAA</v>
      </c>
      <c r="B1822" s="5" t="str">
        <f ca="1">IFERROR(__xludf.DUMMYFUNCTION("""COMPUTED_VALUE"""),"Wounded")</f>
        <v>Wounded</v>
      </c>
      <c r="C1822" s="5" t="str">
        <f ca="1">IFERROR(__xludf.DUMMYFUNCTION("""COMPUTED_VALUE"""),"Male")</f>
        <v>Male</v>
      </c>
      <c r="D1822" s="5" t="str">
        <f ca="1">IFERROR(__xludf.DUMMYFUNCTION("""COMPUTED_VALUE"""),"No Relation")</f>
        <v>No Relation</v>
      </c>
      <c r="E1822" s="5">
        <f ca="1">IFERROR(__xludf.DUMMYFUNCTION("""COMPUTED_VALUE"""),20)</f>
        <v>20</v>
      </c>
      <c r="F1822" s="5"/>
    </row>
    <row r="1823" spans="1:6" ht="13">
      <c r="A1823" s="5" t="str">
        <f ca="1">IFERROR(__xludf.DUMMYFUNCTION("""COMPUTED_VALUE"""),"20050612NJBAA")</f>
        <v>20050612NJBAA</v>
      </c>
      <c r="B1823" s="5" t="str">
        <f ca="1">IFERROR(__xludf.DUMMYFUNCTION("""COMPUTED_VALUE"""),"Wounded")</f>
        <v>Wounded</v>
      </c>
      <c r="C1823" s="5" t="str">
        <f ca="1">IFERROR(__xludf.DUMMYFUNCTION("""COMPUTED_VALUE"""),"Male")</f>
        <v>Male</v>
      </c>
      <c r="D1823" s="5" t="str">
        <f ca="1">IFERROR(__xludf.DUMMYFUNCTION("""COMPUTED_VALUE"""),"No Relation")</f>
        <v>No Relation</v>
      </c>
      <c r="E1823" s="5">
        <f ca="1">IFERROR(__xludf.DUMMYFUNCTION("""COMPUTED_VALUE"""),21)</f>
        <v>21</v>
      </c>
      <c r="F1823" s="5"/>
    </row>
    <row r="1824" spans="1:6" ht="13">
      <c r="A1824" s="5" t="str">
        <f ca="1">IFERROR(__xludf.DUMMYFUNCTION("""COMPUTED_VALUE"""),"20050608NYARP")</f>
        <v>20050608NYARP</v>
      </c>
      <c r="B1824" s="5" t="str">
        <f ca="1">IFERROR(__xludf.DUMMYFUNCTION("""COMPUTED_VALUE"""),"Wounded")</f>
        <v>Wounded</v>
      </c>
      <c r="C1824" s="5" t="str">
        <f ca="1">IFERROR(__xludf.DUMMYFUNCTION("""COMPUTED_VALUE"""),"Unknown")</f>
        <v>Unknown</v>
      </c>
      <c r="D1824" s="5" t="str">
        <f ca="1">IFERROR(__xludf.DUMMYFUNCTION("""COMPUTED_VALUE"""),"Student")</f>
        <v>Student</v>
      </c>
      <c r="E1824" s="5" t="str">
        <f ca="1">IFERROR(__xludf.DUMMYFUNCTION("""COMPUTED_VALUE"""),"Teen")</f>
        <v>Teen</v>
      </c>
      <c r="F1824" s="5"/>
    </row>
    <row r="1825" spans="1:6" ht="13">
      <c r="A1825" s="5" t="str">
        <f ca="1">IFERROR(__xludf.DUMMYFUNCTION("""COMPUTED_VALUE"""),"20050608NYARP")</f>
        <v>20050608NYARP</v>
      </c>
      <c r="B1825" s="5" t="str">
        <f ca="1">IFERROR(__xludf.DUMMYFUNCTION("""COMPUTED_VALUE"""),"Wounded")</f>
        <v>Wounded</v>
      </c>
      <c r="C1825" s="5" t="str">
        <f ca="1">IFERROR(__xludf.DUMMYFUNCTION("""COMPUTED_VALUE"""),"Unknown")</f>
        <v>Unknown</v>
      </c>
      <c r="D1825" s="5" t="str">
        <f ca="1">IFERROR(__xludf.DUMMYFUNCTION("""COMPUTED_VALUE"""),"Student")</f>
        <v>Student</v>
      </c>
      <c r="E1825" s="5" t="str">
        <f ca="1">IFERROR(__xludf.DUMMYFUNCTION("""COMPUTED_VALUE"""),"Teen")</f>
        <v>Teen</v>
      </c>
      <c r="F1825" s="5"/>
    </row>
    <row r="1826" spans="1:6" ht="13">
      <c r="A1826" s="5" t="str">
        <f ca="1">IFERROR(__xludf.DUMMYFUNCTION("""COMPUTED_VALUE"""),"20050524LABOS")</f>
        <v>20050524LABOS</v>
      </c>
      <c r="B1826" s="5" t="str">
        <f ca="1">IFERROR(__xludf.DUMMYFUNCTION("""COMPUTED_VALUE"""),"None")</f>
        <v>None</v>
      </c>
      <c r="C1826" s="5" t="str">
        <f ca="1">IFERROR(__xludf.DUMMYFUNCTION("""COMPUTED_VALUE"""),"Male")</f>
        <v>Male</v>
      </c>
      <c r="D1826" s="5" t="str">
        <f ca="1">IFERROR(__xludf.DUMMYFUNCTION("""COMPUTED_VALUE"""),"Student")</f>
        <v>Student</v>
      </c>
      <c r="E1826" s="5">
        <f ca="1">IFERROR(__xludf.DUMMYFUNCTION("""COMPUTED_VALUE"""),16)</f>
        <v>16</v>
      </c>
      <c r="F1826" s="5"/>
    </row>
    <row r="1827" spans="1:6" ht="13">
      <c r="A1827" s="5" t="str">
        <f ca="1">IFERROR(__xludf.DUMMYFUNCTION("""COMPUTED_VALUE"""),"20050524COACD")</f>
        <v>20050524COACD</v>
      </c>
      <c r="B1827" s="5" t="str">
        <f ca="1">IFERROR(__xludf.DUMMYFUNCTION("""COMPUTED_VALUE"""),"Wounded")</f>
        <v>Wounded</v>
      </c>
      <c r="C1827" s="5" t="str">
        <f ca="1">IFERROR(__xludf.DUMMYFUNCTION("""COMPUTED_VALUE"""),"Female")</f>
        <v>Female</v>
      </c>
      <c r="D1827" s="5" t="str">
        <f ca="1">IFERROR(__xludf.DUMMYFUNCTION("""COMPUTED_VALUE"""),"Teacher")</f>
        <v>Teacher</v>
      </c>
      <c r="E1827" s="5" t="str">
        <f ca="1">IFERROR(__xludf.DUMMYFUNCTION("""COMPUTED_VALUE"""),"Adult")</f>
        <v>Adult</v>
      </c>
      <c r="F1827" s="5"/>
    </row>
    <row r="1828" spans="1:6" ht="13">
      <c r="A1828" s="5" t="str">
        <f ca="1">IFERROR(__xludf.DUMMYFUNCTION("""COMPUTED_VALUE"""),"20050524COACD")</f>
        <v>20050524COACD</v>
      </c>
      <c r="B1828" s="5" t="str">
        <f ca="1">IFERROR(__xludf.DUMMYFUNCTION("""COMPUTED_VALUE"""),"Wounded")</f>
        <v>Wounded</v>
      </c>
      <c r="C1828" s="5" t="str">
        <f ca="1">IFERROR(__xludf.DUMMYFUNCTION("""COMPUTED_VALUE"""),"Female")</f>
        <v>Female</v>
      </c>
      <c r="D1828" s="5" t="str">
        <f ca="1">IFERROR(__xludf.DUMMYFUNCTION("""COMPUTED_VALUE"""),"Teacher")</f>
        <v>Teacher</v>
      </c>
      <c r="E1828" s="5" t="str">
        <f ca="1">IFERROR(__xludf.DUMMYFUNCTION("""COMPUTED_VALUE"""),"Adult")</f>
        <v>Adult</v>
      </c>
      <c r="F1828" s="5"/>
    </row>
    <row r="1829" spans="1:6" ht="13">
      <c r="A1829" s="5" t="str">
        <f ca="1">IFERROR(__xludf.DUMMYFUNCTION("""COMPUTED_VALUE"""),"20050520ILLOM")</f>
        <v>20050520ILLOM</v>
      </c>
      <c r="B1829" s="5" t="str">
        <f ca="1">IFERROR(__xludf.DUMMYFUNCTION("""COMPUTED_VALUE"""),"Wounded")</f>
        <v>Wounded</v>
      </c>
      <c r="C1829" s="5" t="str">
        <f ca="1">IFERROR(__xludf.DUMMYFUNCTION("""COMPUTED_VALUE"""),"Male")</f>
        <v>Male</v>
      </c>
      <c r="D1829" s="5" t="str">
        <f ca="1">IFERROR(__xludf.DUMMYFUNCTION("""COMPUTED_VALUE"""),"Student")</f>
        <v>Student</v>
      </c>
      <c r="E1829" s="5" t="str">
        <f ca="1">IFERROR(__xludf.DUMMYFUNCTION("""COMPUTED_VALUE"""),"Teen")</f>
        <v>Teen</v>
      </c>
      <c r="F1829" s="5"/>
    </row>
    <row r="1830" spans="1:6" ht="13">
      <c r="A1830" s="5" t="str">
        <f ca="1">IFERROR(__xludf.DUMMYFUNCTION("""COMPUTED_VALUE"""),"20050520ILLOM")</f>
        <v>20050520ILLOM</v>
      </c>
      <c r="B1830" s="5" t="str">
        <f ca="1">IFERROR(__xludf.DUMMYFUNCTION("""COMPUTED_VALUE"""),"Wounded")</f>
        <v>Wounded</v>
      </c>
      <c r="C1830" s="5" t="str">
        <f ca="1">IFERROR(__xludf.DUMMYFUNCTION("""COMPUTED_VALUE"""),"Male")</f>
        <v>Male</v>
      </c>
      <c r="D1830" s="5" t="str">
        <f ca="1">IFERROR(__xludf.DUMMYFUNCTION("""COMPUTED_VALUE"""),"Student")</f>
        <v>Student</v>
      </c>
      <c r="E1830" s="5" t="str">
        <f ca="1">IFERROR(__xludf.DUMMYFUNCTION("""COMPUTED_VALUE"""),"Teen")</f>
        <v>Teen</v>
      </c>
      <c r="F1830" s="5"/>
    </row>
    <row r="1831" spans="1:6" ht="13">
      <c r="A1831" s="5" t="str">
        <f ca="1">IFERROR(__xludf.DUMMYFUNCTION("""COMPUTED_VALUE"""),"20050517PAHIL")</f>
        <v>20050517PAHIL</v>
      </c>
      <c r="B1831" s="5" t="str">
        <f ca="1">IFERROR(__xludf.DUMMYFUNCTION("""COMPUTED_VALUE"""),"Fatal")</f>
        <v>Fatal</v>
      </c>
      <c r="C1831" s="5" t="str">
        <f ca="1">IFERROR(__xludf.DUMMYFUNCTION("""COMPUTED_VALUE"""),"Female")</f>
        <v>Female</v>
      </c>
      <c r="D1831" s="5" t="str">
        <f ca="1">IFERROR(__xludf.DUMMYFUNCTION("""COMPUTED_VALUE"""),"Parent")</f>
        <v>Parent</v>
      </c>
      <c r="E1831" s="5">
        <f ca="1">IFERROR(__xludf.DUMMYFUNCTION("""COMPUTED_VALUE"""),32)</f>
        <v>32</v>
      </c>
      <c r="F1831" s="5"/>
    </row>
    <row r="1832" spans="1:6" ht="13">
      <c r="A1832" s="5" t="str">
        <f ca="1">IFERROR(__xludf.DUMMYFUNCTION("""COMPUTED_VALUE"""),"20050514TXBER")</f>
        <v>20050514TXBER</v>
      </c>
      <c r="B1832" s="5" t="str">
        <f ca="1">IFERROR(__xludf.DUMMYFUNCTION("""COMPUTED_VALUE"""),"Wounded")</f>
        <v>Wounded</v>
      </c>
      <c r="C1832" s="5" t="str">
        <f ca="1">IFERROR(__xludf.DUMMYFUNCTION("""COMPUTED_VALUE"""),"Male")</f>
        <v>Male</v>
      </c>
      <c r="D1832" s="5" t="str">
        <f ca="1">IFERROR(__xludf.DUMMYFUNCTION("""COMPUTED_VALUE"""),"Student")</f>
        <v>Student</v>
      </c>
      <c r="E1832" s="5">
        <f ca="1">IFERROR(__xludf.DUMMYFUNCTION("""COMPUTED_VALUE"""),18)</f>
        <v>18</v>
      </c>
      <c r="F1832" s="5"/>
    </row>
    <row r="1833" spans="1:6" ht="13">
      <c r="A1833" s="5" t="str">
        <f ca="1">IFERROR(__xludf.DUMMYFUNCTION("""COMPUTED_VALUE"""),"20050429OHDAC")</f>
        <v>20050429OHDAC</v>
      </c>
      <c r="B1833" s="5" t="str">
        <f ca="1">IFERROR(__xludf.DUMMYFUNCTION("""COMPUTED_VALUE"""),"Wounded")</f>
        <v>Wounded</v>
      </c>
      <c r="C1833" s="5" t="str">
        <f ca="1">IFERROR(__xludf.DUMMYFUNCTION("""COMPUTED_VALUE"""),"Female")</f>
        <v>Female</v>
      </c>
      <c r="D1833" s="5" t="str">
        <f ca="1">IFERROR(__xludf.DUMMYFUNCTION("""COMPUTED_VALUE"""),"Other Staff")</f>
        <v>Other Staff</v>
      </c>
      <c r="E1833" s="5" t="str">
        <f ca="1">IFERROR(__xludf.DUMMYFUNCTION("""COMPUTED_VALUE"""),"Adult")</f>
        <v>Adult</v>
      </c>
      <c r="F1833" s="5"/>
    </row>
    <row r="1834" spans="1:6" ht="13">
      <c r="A1834" s="5" t="str">
        <f ca="1">IFERROR(__xludf.DUMMYFUNCTION("""COMPUTED_VALUE"""),"20050427LALER")</f>
        <v>20050427LALER</v>
      </c>
      <c r="B1834" s="5" t="str">
        <f ca="1">IFERROR(__xludf.DUMMYFUNCTION("""COMPUTED_VALUE"""),"None")</f>
        <v>None</v>
      </c>
      <c r="C1834" s="5"/>
      <c r="D1834" s="5"/>
      <c r="E1834" s="5"/>
      <c r="F1834" s="5"/>
    </row>
    <row r="1835" spans="1:6" ht="13">
      <c r="A1835" s="5" t="str">
        <f ca="1">IFERROR(__xludf.DUMMYFUNCTION("""COMPUTED_VALUE"""),"20050407TXCAC")</f>
        <v>20050407TXCAC</v>
      </c>
      <c r="B1835" s="5" t="str">
        <f ca="1">IFERROR(__xludf.DUMMYFUNCTION("""COMPUTED_VALUE"""),"Wounded")</f>
        <v>Wounded</v>
      </c>
      <c r="C1835" s="5" t="str">
        <f ca="1">IFERROR(__xludf.DUMMYFUNCTION("""COMPUTED_VALUE"""),"Male")</f>
        <v>Male</v>
      </c>
      <c r="D1835" s="5" t="str">
        <f ca="1">IFERROR(__xludf.DUMMYFUNCTION("""COMPUTED_VALUE"""),"Other Staff")</f>
        <v>Other Staff</v>
      </c>
      <c r="E1835" s="5">
        <f ca="1">IFERROR(__xludf.DUMMYFUNCTION("""COMPUTED_VALUE"""),37)</f>
        <v>37</v>
      </c>
      <c r="F1835" s="5" t="str">
        <f ca="1">IFERROR(__xludf.DUMMYFUNCTION("""COMPUTED_VALUE"""),"White")</f>
        <v>White</v>
      </c>
    </row>
    <row r="1836" spans="1:6" ht="13">
      <c r="A1836" s="5" t="str">
        <f ca="1">IFERROR(__xludf.DUMMYFUNCTION("""COMPUTED_VALUE"""),"20050330TNEAM")</f>
        <v>20050330TNEAM</v>
      </c>
      <c r="B1836" s="5" t="str">
        <f ca="1">IFERROR(__xludf.DUMMYFUNCTION("""COMPUTED_VALUE"""),"None")</f>
        <v>None</v>
      </c>
      <c r="C1836" s="5" t="str">
        <f ca="1">IFERROR(__xludf.DUMMYFUNCTION("""COMPUTED_VALUE"""),"Male")</f>
        <v>Male</v>
      </c>
      <c r="D1836" s="5" t="str">
        <f ca="1">IFERROR(__xludf.DUMMYFUNCTION("""COMPUTED_VALUE"""),"Student")</f>
        <v>Student</v>
      </c>
      <c r="E1836" s="5">
        <f ca="1">IFERROR(__xludf.DUMMYFUNCTION("""COMPUTED_VALUE"""),17)</f>
        <v>17</v>
      </c>
      <c r="F1836" s="5"/>
    </row>
    <row r="1837" spans="1:6" ht="13">
      <c r="A1837" s="5" t="str">
        <f ca="1">IFERROR(__xludf.DUMMYFUNCTION("""COMPUTED_VALUE"""),"20050324TNFAM")</f>
        <v>20050324TNFAM</v>
      </c>
      <c r="B1837" s="5" t="str">
        <f ca="1">IFERROR(__xludf.DUMMYFUNCTION("""COMPUTED_VALUE"""),"None")</f>
        <v>None</v>
      </c>
      <c r="C1837" s="5" t="str">
        <f ca="1">IFERROR(__xludf.DUMMYFUNCTION("""COMPUTED_VALUE"""),"Female")</f>
        <v>Female</v>
      </c>
      <c r="D1837" s="5" t="str">
        <f ca="1">IFERROR(__xludf.DUMMYFUNCTION("""COMPUTED_VALUE"""),"Student")</f>
        <v>Student</v>
      </c>
      <c r="E1837" s="5">
        <f ca="1">IFERROR(__xludf.DUMMYFUNCTION("""COMPUTED_VALUE"""),17)</f>
        <v>17</v>
      </c>
      <c r="F1837" s="5"/>
    </row>
    <row r="1838" spans="1:6" ht="13">
      <c r="A1838" s="5" t="str">
        <f ca="1">IFERROR(__xludf.DUMMYFUNCTION("""COMPUTED_VALUE"""),"20050321NYNEB")</f>
        <v>20050321NYNEB</v>
      </c>
      <c r="B1838" s="5" t="str">
        <f ca="1">IFERROR(__xludf.DUMMYFUNCTION("""COMPUTED_VALUE"""),"None")</f>
        <v>None</v>
      </c>
      <c r="C1838" s="5" t="str">
        <f ca="1">IFERROR(__xludf.DUMMYFUNCTION("""COMPUTED_VALUE"""),"Male")</f>
        <v>Male</v>
      </c>
      <c r="D1838" s="5" t="str">
        <f ca="1">IFERROR(__xludf.DUMMYFUNCTION("""COMPUTED_VALUE"""),"Student")</f>
        <v>Student</v>
      </c>
      <c r="E1838" s="5" t="str">
        <f ca="1">IFERROR(__xludf.DUMMYFUNCTION("""COMPUTED_VALUE"""),"Teen")</f>
        <v>Teen</v>
      </c>
      <c r="F1838" s="5"/>
    </row>
    <row r="1839" spans="1:6" ht="13">
      <c r="A1839" s="5" t="str">
        <f ca="1">IFERROR(__xludf.DUMMYFUNCTION("""COMPUTED_VALUE"""),"20050321MNRER")</f>
        <v>20050321MNRER</v>
      </c>
      <c r="B1839" s="5" t="str">
        <f ca="1">IFERROR(__xludf.DUMMYFUNCTION("""COMPUTED_VALUE"""),"Fatal")</f>
        <v>Fatal</v>
      </c>
      <c r="C1839" s="5" t="str">
        <f ca="1">IFERROR(__xludf.DUMMYFUNCTION("""COMPUTED_VALUE"""),"Male")</f>
        <v>Male</v>
      </c>
      <c r="D1839" s="5" t="str">
        <f ca="1">IFERROR(__xludf.DUMMYFUNCTION("""COMPUTED_VALUE"""),"Student")</f>
        <v>Student</v>
      </c>
      <c r="E1839" s="5">
        <f ca="1">IFERROR(__xludf.DUMMYFUNCTION("""COMPUTED_VALUE"""),15)</f>
        <v>15</v>
      </c>
      <c r="F1839" s="5"/>
    </row>
    <row r="1840" spans="1:6" ht="13">
      <c r="A1840" s="5" t="str">
        <f ca="1">IFERROR(__xludf.DUMMYFUNCTION("""COMPUTED_VALUE"""),"20050321MNRER")</f>
        <v>20050321MNRER</v>
      </c>
      <c r="B1840" s="5" t="str">
        <f ca="1">IFERROR(__xludf.DUMMYFUNCTION("""COMPUTED_VALUE"""),"Wounded")</f>
        <v>Wounded</v>
      </c>
      <c r="C1840" s="5" t="str">
        <f ca="1">IFERROR(__xludf.DUMMYFUNCTION("""COMPUTED_VALUE"""),"Unknown")</f>
        <v>Unknown</v>
      </c>
      <c r="D1840" s="5" t="str">
        <f ca="1">IFERROR(__xludf.DUMMYFUNCTION("""COMPUTED_VALUE"""),"Student")</f>
        <v>Student</v>
      </c>
      <c r="E1840" s="5">
        <f ca="1">IFERROR(__xludf.DUMMYFUNCTION("""COMPUTED_VALUE"""),15)</f>
        <v>15</v>
      </c>
      <c r="F1840" s="5"/>
    </row>
    <row r="1841" spans="1:6" ht="13">
      <c r="A1841" s="5" t="str">
        <f ca="1">IFERROR(__xludf.DUMMYFUNCTION("""COMPUTED_VALUE"""),"20050321MNRER")</f>
        <v>20050321MNRER</v>
      </c>
      <c r="B1841" s="5" t="str">
        <f ca="1">IFERROR(__xludf.DUMMYFUNCTION("""COMPUTED_VALUE"""),"Fatal")</f>
        <v>Fatal</v>
      </c>
      <c r="C1841" s="5" t="str">
        <f ca="1">IFERROR(__xludf.DUMMYFUNCTION("""COMPUTED_VALUE"""),"Female")</f>
        <v>Female</v>
      </c>
      <c r="D1841" s="5" t="str">
        <f ca="1">IFERROR(__xludf.DUMMYFUNCTION("""COMPUTED_VALUE"""),"Teacher")</f>
        <v>Teacher</v>
      </c>
      <c r="E1841" s="5">
        <f ca="1">IFERROR(__xludf.DUMMYFUNCTION("""COMPUTED_VALUE"""),62)</f>
        <v>62</v>
      </c>
      <c r="F1841" s="5"/>
    </row>
    <row r="1842" spans="1:6" ht="13">
      <c r="A1842" s="5" t="str">
        <f ca="1">IFERROR(__xludf.DUMMYFUNCTION("""COMPUTED_VALUE"""),"20050321MNRER")</f>
        <v>20050321MNRER</v>
      </c>
      <c r="B1842" s="5" t="str">
        <f ca="1">IFERROR(__xludf.DUMMYFUNCTION("""COMPUTED_VALUE"""),"Wounded")</f>
        <v>Wounded</v>
      </c>
      <c r="C1842" s="5" t="str">
        <f ca="1">IFERROR(__xludf.DUMMYFUNCTION("""COMPUTED_VALUE"""),"Unknown")</f>
        <v>Unknown</v>
      </c>
      <c r="D1842" s="5" t="str">
        <f ca="1">IFERROR(__xludf.DUMMYFUNCTION("""COMPUTED_VALUE"""),"Student")</f>
        <v>Student</v>
      </c>
      <c r="E1842" s="5">
        <f ca="1">IFERROR(__xludf.DUMMYFUNCTION("""COMPUTED_VALUE"""),15)</f>
        <v>15</v>
      </c>
      <c r="F1842" s="5"/>
    </row>
    <row r="1843" spans="1:6" ht="13">
      <c r="A1843" s="5" t="str">
        <f ca="1">IFERROR(__xludf.DUMMYFUNCTION("""COMPUTED_VALUE"""),"20050321MNRER")</f>
        <v>20050321MNRER</v>
      </c>
      <c r="B1843" s="5" t="str">
        <f ca="1">IFERROR(__xludf.DUMMYFUNCTION("""COMPUTED_VALUE"""),"Fatal")</f>
        <v>Fatal</v>
      </c>
      <c r="C1843" s="5" t="str">
        <f ca="1">IFERROR(__xludf.DUMMYFUNCTION("""COMPUTED_VALUE"""),"Male")</f>
        <v>Male</v>
      </c>
      <c r="D1843" s="5" t="str">
        <f ca="1">IFERROR(__xludf.DUMMYFUNCTION("""COMPUTED_VALUE"""),"Student")</f>
        <v>Student</v>
      </c>
      <c r="E1843" s="5">
        <f ca="1">IFERROR(__xludf.DUMMYFUNCTION("""COMPUTED_VALUE"""),15)</f>
        <v>15</v>
      </c>
      <c r="F1843" s="5"/>
    </row>
    <row r="1844" spans="1:6" ht="13">
      <c r="A1844" s="5" t="str">
        <f ca="1">IFERROR(__xludf.DUMMYFUNCTION("""COMPUTED_VALUE"""),"20050321MNRER")</f>
        <v>20050321MNRER</v>
      </c>
      <c r="B1844" s="5" t="str">
        <f ca="1">IFERROR(__xludf.DUMMYFUNCTION("""COMPUTED_VALUE"""),"Wounded")</f>
        <v>Wounded</v>
      </c>
      <c r="C1844" s="5" t="str">
        <f ca="1">IFERROR(__xludf.DUMMYFUNCTION("""COMPUTED_VALUE"""),"Unknown")</f>
        <v>Unknown</v>
      </c>
      <c r="D1844" s="5" t="str">
        <f ca="1">IFERROR(__xludf.DUMMYFUNCTION("""COMPUTED_VALUE"""),"Student")</f>
        <v>Student</v>
      </c>
      <c r="E1844" s="5">
        <f ca="1">IFERROR(__xludf.DUMMYFUNCTION("""COMPUTED_VALUE"""),15)</f>
        <v>15</v>
      </c>
      <c r="F1844" s="5"/>
    </row>
    <row r="1845" spans="1:6" ht="13">
      <c r="A1845" s="5" t="str">
        <f ca="1">IFERROR(__xludf.DUMMYFUNCTION("""COMPUTED_VALUE"""),"20050321MNRER")</f>
        <v>20050321MNRER</v>
      </c>
      <c r="B1845" s="5" t="str">
        <f ca="1">IFERROR(__xludf.DUMMYFUNCTION("""COMPUTED_VALUE"""),"Fatal")</f>
        <v>Fatal</v>
      </c>
      <c r="C1845" s="5" t="str">
        <f ca="1">IFERROR(__xludf.DUMMYFUNCTION("""COMPUTED_VALUE"""),"Male")</f>
        <v>Male</v>
      </c>
      <c r="D1845" s="5" t="str">
        <f ca="1">IFERROR(__xludf.DUMMYFUNCTION("""COMPUTED_VALUE"""),"Student")</f>
        <v>Student</v>
      </c>
      <c r="E1845" s="5">
        <f ca="1">IFERROR(__xludf.DUMMYFUNCTION("""COMPUTED_VALUE"""),16)</f>
        <v>16</v>
      </c>
      <c r="F1845" s="5"/>
    </row>
    <row r="1846" spans="1:6" ht="13">
      <c r="A1846" s="5" t="str">
        <f ca="1">IFERROR(__xludf.DUMMYFUNCTION("""COMPUTED_VALUE"""),"20050321MNRER")</f>
        <v>20050321MNRER</v>
      </c>
      <c r="B1846" s="5" t="str">
        <f ca="1">IFERROR(__xludf.DUMMYFUNCTION("""COMPUTED_VALUE"""),"Fatal")</f>
        <v>Fatal</v>
      </c>
      <c r="C1846" s="5" t="str">
        <f ca="1">IFERROR(__xludf.DUMMYFUNCTION("""COMPUTED_VALUE"""),"Female")</f>
        <v>Female</v>
      </c>
      <c r="D1846" s="5" t="str">
        <f ca="1">IFERROR(__xludf.DUMMYFUNCTION("""COMPUTED_VALUE"""),"Student")</f>
        <v>Student</v>
      </c>
      <c r="E1846" s="5">
        <f ca="1">IFERROR(__xludf.DUMMYFUNCTION("""COMPUTED_VALUE"""),15)</f>
        <v>15</v>
      </c>
      <c r="F1846" s="5"/>
    </row>
    <row r="1847" spans="1:6" ht="13">
      <c r="A1847" s="5" t="str">
        <f ca="1">IFERROR(__xludf.DUMMYFUNCTION("""COMPUTED_VALUE"""),"20050321MNRER")</f>
        <v>20050321MNRER</v>
      </c>
      <c r="B1847" s="5" t="str">
        <f ca="1">IFERROR(__xludf.DUMMYFUNCTION("""COMPUTED_VALUE"""),"Fatal")</f>
        <v>Fatal</v>
      </c>
      <c r="C1847" s="5" t="str">
        <f ca="1">IFERROR(__xludf.DUMMYFUNCTION("""COMPUTED_VALUE"""),"Male")</f>
        <v>Male</v>
      </c>
      <c r="D1847" s="5" t="str">
        <f ca="1">IFERROR(__xludf.DUMMYFUNCTION("""COMPUTED_VALUE"""),"Security Guard")</f>
        <v>Security Guard</v>
      </c>
      <c r="E1847" s="5">
        <f ca="1">IFERROR(__xludf.DUMMYFUNCTION("""COMPUTED_VALUE"""),28)</f>
        <v>28</v>
      </c>
      <c r="F1847" s="5"/>
    </row>
    <row r="1848" spans="1:6" ht="13">
      <c r="A1848" s="5" t="str">
        <f ca="1">IFERROR(__xludf.DUMMYFUNCTION("""COMPUTED_VALUE"""),"20050321MNRER")</f>
        <v>20050321MNRER</v>
      </c>
      <c r="B1848" s="5" t="str">
        <f ca="1">IFERROR(__xludf.DUMMYFUNCTION("""COMPUTED_VALUE"""),"Fatal")</f>
        <v>Fatal</v>
      </c>
      <c r="C1848" s="5" t="str">
        <f ca="1">IFERROR(__xludf.DUMMYFUNCTION("""COMPUTED_VALUE"""),"Female")</f>
        <v>Female</v>
      </c>
      <c r="D1848" s="5" t="str">
        <f ca="1">IFERROR(__xludf.DUMMYFUNCTION("""COMPUTED_VALUE"""),"Student")</f>
        <v>Student</v>
      </c>
      <c r="E1848" s="5">
        <f ca="1">IFERROR(__xludf.DUMMYFUNCTION("""COMPUTED_VALUE"""),14)</f>
        <v>14</v>
      </c>
      <c r="F1848" s="5"/>
    </row>
    <row r="1849" spans="1:6" ht="13">
      <c r="A1849" s="5" t="str">
        <f ca="1">IFERROR(__xludf.DUMMYFUNCTION("""COMPUTED_VALUE"""),"20050321MNRER")</f>
        <v>20050321MNRER</v>
      </c>
      <c r="B1849" s="5" t="str">
        <f ca="1">IFERROR(__xludf.DUMMYFUNCTION("""COMPUTED_VALUE"""),"Fatal")</f>
        <v>Fatal</v>
      </c>
      <c r="C1849" s="5" t="str">
        <f ca="1">IFERROR(__xludf.DUMMYFUNCTION("""COMPUTED_VALUE"""),"Female")</f>
        <v>Female</v>
      </c>
      <c r="D1849" s="5" t="str">
        <f ca="1">IFERROR(__xludf.DUMMYFUNCTION("""COMPUTED_VALUE"""),"Student")</f>
        <v>Student</v>
      </c>
      <c r="E1849" s="5">
        <f ca="1">IFERROR(__xludf.DUMMYFUNCTION("""COMPUTED_VALUE"""),15)</f>
        <v>15</v>
      </c>
      <c r="F1849" s="5"/>
    </row>
    <row r="1850" spans="1:6" ht="13">
      <c r="A1850" s="5" t="str">
        <f ca="1">IFERROR(__xludf.DUMMYFUNCTION("""COMPUTED_VALUE"""),"20050321MNRER")</f>
        <v>20050321MNRER</v>
      </c>
      <c r="B1850" s="5" t="str">
        <f ca="1">IFERROR(__xludf.DUMMYFUNCTION("""COMPUTED_VALUE"""),"Wounded")</f>
        <v>Wounded</v>
      </c>
      <c r="C1850" s="5" t="str">
        <f ca="1">IFERROR(__xludf.DUMMYFUNCTION("""COMPUTED_VALUE"""),"Unknown")</f>
        <v>Unknown</v>
      </c>
      <c r="D1850" s="5" t="str">
        <f ca="1">IFERROR(__xludf.DUMMYFUNCTION("""COMPUTED_VALUE"""),"Student")</f>
        <v>Student</v>
      </c>
      <c r="E1850" s="5">
        <f ca="1">IFERROR(__xludf.DUMMYFUNCTION("""COMPUTED_VALUE"""),16)</f>
        <v>16</v>
      </c>
      <c r="F1850" s="5"/>
    </row>
    <row r="1851" spans="1:6" ht="13">
      <c r="A1851" s="5" t="str">
        <f ca="1">IFERROR(__xludf.DUMMYFUNCTION("""COMPUTED_VALUE"""),"20050321MNRER")</f>
        <v>20050321MNRER</v>
      </c>
      <c r="B1851" s="5" t="str">
        <f ca="1">IFERROR(__xludf.DUMMYFUNCTION("""COMPUTED_VALUE"""),"Wounded")</f>
        <v>Wounded</v>
      </c>
      <c r="C1851" s="5" t="str">
        <f ca="1">IFERROR(__xludf.DUMMYFUNCTION("""COMPUTED_VALUE"""),"Unknown")</f>
        <v>Unknown</v>
      </c>
      <c r="D1851" s="5" t="str">
        <f ca="1">IFERROR(__xludf.DUMMYFUNCTION("""COMPUTED_VALUE"""),"Student")</f>
        <v>Student</v>
      </c>
      <c r="E1851" s="5">
        <f ca="1">IFERROR(__xludf.DUMMYFUNCTION("""COMPUTED_VALUE"""),15)</f>
        <v>15</v>
      </c>
      <c r="F1851" s="5"/>
    </row>
    <row r="1852" spans="1:6" ht="13">
      <c r="A1852" s="5" t="str">
        <f ca="1">IFERROR(__xludf.DUMMYFUNCTION("""COMPUTED_VALUE"""),"20050317LAOPA")</f>
        <v>20050317LAOPA</v>
      </c>
      <c r="B1852" s="5" t="str">
        <f ca="1">IFERROR(__xludf.DUMMYFUNCTION("""COMPUTED_VALUE"""),"Wounded")</f>
        <v>Wounded</v>
      </c>
      <c r="C1852" s="5" t="str">
        <f ca="1">IFERROR(__xludf.DUMMYFUNCTION("""COMPUTED_VALUE"""),"Male")</f>
        <v>Male</v>
      </c>
      <c r="D1852" s="5" t="str">
        <f ca="1">IFERROR(__xludf.DUMMYFUNCTION("""COMPUTED_VALUE"""),"Student")</f>
        <v>Student</v>
      </c>
      <c r="E1852" s="5">
        <f ca="1">IFERROR(__xludf.DUMMYFUNCTION("""COMPUTED_VALUE"""),16)</f>
        <v>16</v>
      </c>
      <c r="F1852" s="5"/>
    </row>
    <row r="1853" spans="1:6" ht="13">
      <c r="A1853" s="5" t="str">
        <f ca="1">IFERROR(__xludf.DUMMYFUNCTION("""COMPUTED_VALUE"""),"20050317CALOL")</f>
        <v>20050317CALOL</v>
      </c>
      <c r="B1853" s="5" t="str">
        <f ca="1">IFERROR(__xludf.DUMMYFUNCTION("""COMPUTED_VALUE"""),"Fatal")</f>
        <v>Fatal</v>
      </c>
      <c r="C1853" s="5" t="str">
        <f ca="1">IFERROR(__xludf.DUMMYFUNCTION("""COMPUTED_VALUE"""),"Female")</f>
        <v>Female</v>
      </c>
      <c r="D1853" s="5" t="str">
        <f ca="1">IFERROR(__xludf.DUMMYFUNCTION("""COMPUTED_VALUE"""),"Student")</f>
        <v>Student</v>
      </c>
      <c r="E1853" s="5">
        <f ca="1">IFERROR(__xludf.DUMMYFUNCTION("""COMPUTED_VALUE"""),15)</f>
        <v>15</v>
      </c>
      <c r="F1853" s="5"/>
    </row>
    <row r="1854" spans="1:6" ht="13">
      <c r="A1854" s="5" t="str">
        <f ca="1">IFERROR(__xludf.DUMMYFUNCTION("""COMPUTED_VALUE"""),"20050316PACAP")</f>
        <v>20050316PACAP</v>
      </c>
      <c r="B1854" s="5" t="str">
        <f ca="1">IFERROR(__xludf.DUMMYFUNCTION("""COMPUTED_VALUE"""),"Fatal")</f>
        <v>Fatal</v>
      </c>
      <c r="C1854" s="5" t="str">
        <f ca="1">IFERROR(__xludf.DUMMYFUNCTION("""COMPUTED_VALUE"""),"Male")</f>
        <v>Male</v>
      </c>
      <c r="D1854" s="5" t="str">
        <f ca="1">IFERROR(__xludf.DUMMYFUNCTION("""COMPUTED_VALUE"""),"Student")</f>
        <v>Student</v>
      </c>
      <c r="E1854" s="5">
        <f ca="1">IFERROR(__xludf.DUMMYFUNCTION("""COMPUTED_VALUE"""),16)</f>
        <v>16</v>
      </c>
      <c r="F1854" s="5"/>
    </row>
    <row r="1855" spans="1:6" ht="13">
      <c r="A1855" s="5" t="str">
        <f ca="1">IFERROR(__xludf.DUMMYFUNCTION("""COMPUTED_VALUE"""),"20050316PACAP")</f>
        <v>20050316PACAP</v>
      </c>
      <c r="B1855" s="5" t="str">
        <f ca="1">IFERROR(__xludf.DUMMYFUNCTION("""COMPUTED_VALUE"""),"Wounded")</f>
        <v>Wounded</v>
      </c>
      <c r="C1855" s="5" t="str">
        <f ca="1">IFERROR(__xludf.DUMMYFUNCTION("""COMPUTED_VALUE"""),"Male")</f>
        <v>Male</v>
      </c>
      <c r="D1855" s="5" t="str">
        <f ca="1">IFERROR(__xludf.DUMMYFUNCTION("""COMPUTED_VALUE"""),"Student")</f>
        <v>Student</v>
      </c>
      <c r="E1855" s="5">
        <f ca="1">IFERROR(__xludf.DUMMYFUNCTION("""COMPUTED_VALUE"""),17)</f>
        <v>17</v>
      </c>
      <c r="F1855" s="5"/>
    </row>
    <row r="1856" spans="1:6" ht="13">
      <c r="A1856" s="5" t="str">
        <f ca="1">IFERROR(__xludf.DUMMYFUNCTION("""COMPUTED_VALUE"""),"20050316PACAP")</f>
        <v>20050316PACAP</v>
      </c>
      <c r="B1856" s="5" t="str">
        <f ca="1">IFERROR(__xludf.DUMMYFUNCTION("""COMPUTED_VALUE"""),"Wounded")</f>
        <v>Wounded</v>
      </c>
      <c r="C1856" s="5" t="str">
        <f ca="1">IFERROR(__xludf.DUMMYFUNCTION("""COMPUTED_VALUE"""),"Male")</f>
        <v>Male</v>
      </c>
      <c r="D1856" s="5" t="str">
        <f ca="1">IFERROR(__xludf.DUMMYFUNCTION("""COMPUTED_VALUE"""),"Student")</f>
        <v>Student</v>
      </c>
      <c r="E1856" s="5">
        <f ca="1">IFERROR(__xludf.DUMMYFUNCTION("""COMPUTED_VALUE"""),16)</f>
        <v>16</v>
      </c>
      <c r="F1856" s="5"/>
    </row>
    <row r="1857" spans="1:6" ht="13">
      <c r="A1857" s="5" t="str">
        <f ca="1">IFERROR(__xludf.DUMMYFUNCTION("""COMPUTED_VALUE"""),"20050314OHLEC")</f>
        <v>20050314OHLEC</v>
      </c>
      <c r="B1857" s="5" t="str">
        <f ca="1">IFERROR(__xludf.DUMMYFUNCTION("""COMPUTED_VALUE"""),"Wounded")</f>
        <v>Wounded</v>
      </c>
      <c r="C1857" s="5" t="str">
        <f ca="1">IFERROR(__xludf.DUMMYFUNCTION("""COMPUTED_VALUE"""),"Male")</f>
        <v>Male</v>
      </c>
      <c r="D1857" s="5" t="str">
        <f ca="1">IFERROR(__xludf.DUMMYFUNCTION("""COMPUTED_VALUE"""),"Student")</f>
        <v>Student</v>
      </c>
      <c r="E1857" s="5">
        <f ca="1">IFERROR(__xludf.DUMMYFUNCTION("""COMPUTED_VALUE"""),7)</f>
        <v>7</v>
      </c>
      <c r="F1857" s="5"/>
    </row>
    <row r="1858" spans="1:6" ht="13">
      <c r="A1858" s="5" t="str">
        <f ca="1">IFERROR(__xludf.DUMMYFUNCTION("""COMPUTED_VALUE"""),"20050310TXZAD")</f>
        <v>20050310TXZAD</v>
      </c>
      <c r="B1858" s="5" t="str">
        <f ca="1">IFERROR(__xludf.DUMMYFUNCTION("""COMPUTED_VALUE"""),"Wounded")</f>
        <v>Wounded</v>
      </c>
      <c r="C1858" s="5" t="str">
        <f ca="1">IFERROR(__xludf.DUMMYFUNCTION("""COMPUTED_VALUE"""),"Male")</f>
        <v>Male</v>
      </c>
      <c r="D1858" s="5" t="str">
        <f ca="1">IFERROR(__xludf.DUMMYFUNCTION("""COMPUTED_VALUE"""),"No Relation")</f>
        <v>No Relation</v>
      </c>
      <c r="E1858" s="5" t="str">
        <f ca="1">IFERROR(__xludf.DUMMYFUNCTION("""COMPUTED_VALUE"""),"Adult")</f>
        <v>Adult</v>
      </c>
      <c r="F1858" s="5"/>
    </row>
    <row r="1859" spans="1:6" ht="13">
      <c r="A1859" s="5" t="str">
        <f ca="1">IFERROR(__xludf.DUMMYFUNCTION("""COMPUTED_VALUE"""),"20050309TNMAN")</f>
        <v>20050309TNMAN</v>
      </c>
      <c r="B1859" s="5" t="str">
        <f ca="1">IFERROR(__xludf.DUMMYFUNCTION("""COMPUTED_VALUE"""),"Wounded")</f>
        <v>Wounded</v>
      </c>
      <c r="C1859" s="5" t="str">
        <f ca="1">IFERROR(__xludf.DUMMYFUNCTION("""COMPUTED_VALUE"""),"Male")</f>
        <v>Male</v>
      </c>
      <c r="D1859" s="5" t="str">
        <f ca="1">IFERROR(__xludf.DUMMYFUNCTION("""COMPUTED_VALUE"""),"Student")</f>
        <v>Student</v>
      </c>
      <c r="E1859" s="5">
        <f ca="1">IFERROR(__xludf.DUMMYFUNCTION("""COMPUTED_VALUE"""),19)</f>
        <v>19</v>
      </c>
      <c r="F1859" s="5"/>
    </row>
    <row r="1860" spans="1:6" ht="13">
      <c r="A1860" s="5" t="str">
        <f ca="1">IFERROR(__xludf.DUMMYFUNCTION("""COMPUTED_VALUE"""),"20050302TNSTD")</f>
        <v>20050302TNSTD</v>
      </c>
      <c r="B1860" s="5" t="str">
        <f ca="1">IFERROR(__xludf.DUMMYFUNCTION("""COMPUTED_VALUE"""),"Fatal")</f>
        <v>Fatal</v>
      </c>
      <c r="C1860" s="5" t="str">
        <f ca="1">IFERROR(__xludf.DUMMYFUNCTION("""COMPUTED_VALUE"""),"Female")</f>
        <v>Female</v>
      </c>
      <c r="D1860" s="5" t="str">
        <f ca="1">IFERROR(__xludf.DUMMYFUNCTION("""COMPUTED_VALUE"""),"Bus Driver")</f>
        <v>Bus Driver</v>
      </c>
      <c r="E1860" s="5">
        <f ca="1">IFERROR(__xludf.DUMMYFUNCTION("""COMPUTED_VALUE"""),47)</f>
        <v>47</v>
      </c>
      <c r="F1860" s="5"/>
    </row>
    <row r="1861" spans="1:6" ht="13">
      <c r="A1861" s="5" t="str">
        <f ca="1">IFERROR(__xludf.DUMMYFUNCTION("""COMPUTED_VALUE"""),"20050208ILBOC")</f>
        <v>20050208ILBOC</v>
      </c>
      <c r="B1861" s="5" t="str">
        <f ca="1">IFERROR(__xludf.DUMMYFUNCTION("""COMPUTED_VALUE"""),"Wounded")</f>
        <v>Wounded</v>
      </c>
      <c r="C1861" s="5" t="str">
        <f ca="1">IFERROR(__xludf.DUMMYFUNCTION("""COMPUTED_VALUE"""),"Female")</f>
        <v>Female</v>
      </c>
      <c r="D1861" s="5" t="str">
        <f ca="1">IFERROR(__xludf.DUMMYFUNCTION("""COMPUTED_VALUE"""),"Student")</f>
        <v>Student</v>
      </c>
      <c r="E1861" s="5">
        <f ca="1">IFERROR(__xludf.DUMMYFUNCTION("""COMPUTED_VALUE"""),18)</f>
        <v>18</v>
      </c>
      <c r="F1861" s="5"/>
    </row>
    <row r="1862" spans="1:6" ht="13">
      <c r="A1862" s="5" t="str">
        <f ca="1">IFERROR(__xludf.DUMMYFUNCTION("""COMPUTED_VALUE"""),"20050204GAMCA")</f>
        <v>20050204GAMCA</v>
      </c>
      <c r="B1862" s="5" t="str">
        <f ca="1">IFERROR(__xludf.DUMMYFUNCTION("""COMPUTED_VALUE"""),"Wounded")</f>
        <v>Wounded</v>
      </c>
      <c r="C1862" s="5" t="str">
        <f ca="1">IFERROR(__xludf.DUMMYFUNCTION("""COMPUTED_VALUE"""),"Female")</f>
        <v>Female</v>
      </c>
      <c r="D1862" s="5" t="str">
        <f ca="1">IFERROR(__xludf.DUMMYFUNCTION("""COMPUTED_VALUE"""),"Student")</f>
        <v>Student</v>
      </c>
      <c r="E1862" s="5">
        <f ca="1">IFERROR(__xludf.DUMMYFUNCTION("""COMPUTED_VALUE"""),15)</f>
        <v>15</v>
      </c>
      <c r="F1862" s="5"/>
    </row>
    <row r="1863" spans="1:6" ht="13">
      <c r="A1863" s="5" t="str">
        <f ca="1">IFERROR(__xludf.DUMMYFUNCTION("""COMPUTED_VALUE"""),"20050126ILWOP")</f>
        <v>20050126ILWOP</v>
      </c>
      <c r="B1863" s="5" t="str">
        <f ca="1">IFERROR(__xludf.DUMMYFUNCTION("""COMPUTED_VALUE"""),"None")</f>
        <v>None</v>
      </c>
      <c r="C1863" s="5" t="str">
        <f ca="1">IFERROR(__xludf.DUMMYFUNCTION("""COMPUTED_VALUE"""),"Unknown")</f>
        <v>Unknown</v>
      </c>
      <c r="D1863" s="5" t="str">
        <f ca="1">IFERROR(__xludf.DUMMYFUNCTION("""COMPUTED_VALUE"""),"Student")</f>
        <v>Student</v>
      </c>
      <c r="E1863" s="5" t="str">
        <f ca="1">IFERROR(__xludf.DUMMYFUNCTION("""COMPUTED_VALUE"""),"Teen")</f>
        <v>Teen</v>
      </c>
      <c r="F1863" s="5"/>
    </row>
    <row r="1864" spans="1:6" ht="13">
      <c r="A1864" s="5" t="str">
        <f ca="1">IFERROR(__xludf.DUMMYFUNCTION("""COMPUTED_VALUE"""),"20050105PAMUN")</f>
        <v>20050105PAMUN</v>
      </c>
      <c r="B1864" s="5" t="str">
        <f ca="1">IFERROR(__xludf.DUMMYFUNCTION("""COMPUTED_VALUE"""),"Fatal")</f>
        <v>Fatal</v>
      </c>
      <c r="C1864" s="5" t="str">
        <f ca="1">IFERROR(__xludf.DUMMYFUNCTION("""COMPUTED_VALUE"""),"Male")</f>
        <v>Male</v>
      </c>
      <c r="D1864" s="5" t="str">
        <f ca="1">IFERROR(__xludf.DUMMYFUNCTION("""COMPUTED_VALUE"""),"Student")</f>
        <v>Student</v>
      </c>
      <c r="E1864" s="5">
        <f ca="1">IFERROR(__xludf.DUMMYFUNCTION("""COMPUTED_VALUE"""),18)</f>
        <v>18</v>
      </c>
      <c r="F1864" s="5"/>
    </row>
    <row r="1865" spans="1:6" ht="13">
      <c r="A1865" s="5" t="str">
        <f ca="1">IFERROR(__xludf.DUMMYFUNCTION("""COMPUTED_VALUE"""),"20041231TXRIR")</f>
        <v>20041231TXRIR</v>
      </c>
      <c r="B1865" s="5" t="str">
        <f ca="1">IFERROR(__xludf.DUMMYFUNCTION("""COMPUTED_VALUE"""),"Wounded")</f>
        <v>Wounded</v>
      </c>
      <c r="C1865" s="5" t="str">
        <f ca="1">IFERROR(__xludf.DUMMYFUNCTION("""COMPUTED_VALUE"""),"Female")</f>
        <v>Female</v>
      </c>
      <c r="D1865" s="5" t="str">
        <f ca="1">IFERROR(__xludf.DUMMYFUNCTION("""COMPUTED_VALUE"""),"Other Staff")</f>
        <v>Other Staff</v>
      </c>
      <c r="E1865" s="5">
        <f ca="1">IFERROR(__xludf.DUMMYFUNCTION("""COMPUTED_VALUE"""),38)</f>
        <v>38</v>
      </c>
      <c r="F1865" s="5"/>
    </row>
    <row r="1866" spans="1:6" ht="13">
      <c r="A1866" s="5" t="str">
        <f ca="1">IFERROR(__xludf.DUMMYFUNCTION("""COMPUTED_VALUE"""),"20041213LALAL")</f>
        <v>20041213LALAL</v>
      </c>
      <c r="B1866" s="5" t="str">
        <f ca="1">IFERROR(__xludf.DUMMYFUNCTION("""COMPUTED_VALUE"""),"Wounded")</f>
        <v>Wounded</v>
      </c>
      <c r="C1866" s="5" t="str">
        <f ca="1">IFERROR(__xludf.DUMMYFUNCTION("""COMPUTED_VALUE"""),"Male")</f>
        <v>Male</v>
      </c>
      <c r="D1866" s="5" t="str">
        <f ca="1">IFERROR(__xludf.DUMMYFUNCTION("""COMPUTED_VALUE"""),"Student")</f>
        <v>Student</v>
      </c>
      <c r="E1866" s="5">
        <f ca="1">IFERROR(__xludf.DUMMYFUNCTION("""COMPUTED_VALUE"""),18)</f>
        <v>18</v>
      </c>
      <c r="F1866" s="5"/>
    </row>
    <row r="1867" spans="1:6" ht="13">
      <c r="A1867" s="5" t="str">
        <f ca="1">IFERROR(__xludf.DUMMYFUNCTION("""COMPUTED_VALUE"""),"20041209WALAS")</f>
        <v>20041209WALAS</v>
      </c>
      <c r="B1867" s="5" t="str">
        <f ca="1">IFERROR(__xludf.DUMMYFUNCTION("""COMPUTED_VALUE"""),"None")</f>
        <v>None</v>
      </c>
      <c r="C1867" s="5" t="str">
        <f ca="1">IFERROR(__xludf.DUMMYFUNCTION("""COMPUTED_VALUE"""),"Male")</f>
        <v>Male</v>
      </c>
      <c r="D1867" s="5" t="str">
        <f ca="1">IFERROR(__xludf.DUMMYFUNCTION("""COMPUTED_VALUE"""),"Student")</f>
        <v>Student</v>
      </c>
      <c r="E1867" s="5">
        <f ca="1">IFERROR(__xludf.DUMMYFUNCTION("""COMPUTED_VALUE"""),16)</f>
        <v>16</v>
      </c>
      <c r="F1867" s="5"/>
    </row>
    <row r="1868" spans="1:6" ht="13">
      <c r="A1868" s="5" t="str">
        <f ca="1">IFERROR(__xludf.DUMMYFUNCTION("""COMPUTED_VALUE"""),"20041119FLTEJ")</f>
        <v>20041119FLTEJ</v>
      </c>
      <c r="B1868" s="5" t="str">
        <f ca="1">IFERROR(__xludf.DUMMYFUNCTION("""COMPUTED_VALUE"""),"Wounded")</f>
        <v>Wounded</v>
      </c>
      <c r="C1868" s="5" t="str">
        <f ca="1">IFERROR(__xludf.DUMMYFUNCTION("""COMPUTED_VALUE"""),"Male")</f>
        <v>Male</v>
      </c>
      <c r="D1868" s="5" t="str">
        <f ca="1">IFERROR(__xludf.DUMMYFUNCTION("""COMPUTED_VALUE"""),"Student")</f>
        <v>Student</v>
      </c>
      <c r="E1868" s="5" t="str">
        <f ca="1">IFERROR(__xludf.DUMMYFUNCTION("""COMPUTED_VALUE"""),"Teen")</f>
        <v>Teen</v>
      </c>
      <c r="F1868" s="5"/>
    </row>
    <row r="1869" spans="1:6" ht="13">
      <c r="A1869" s="5" t="str">
        <f ca="1">IFERROR(__xludf.DUMMYFUNCTION("""COMPUTED_VALUE"""),"20041117FLAPA")</f>
        <v>20041117FLAPA</v>
      </c>
      <c r="B1869" s="5" t="str">
        <f ca="1">IFERROR(__xludf.DUMMYFUNCTION("""COMPUTED_VALUE"""),"None")</f>
        <v>None</v>
      </c>
      <c r="C1869" s="5"/>
      <c r="D1869" s="5"/>
      <c r="E1869" s="5"/>
      <c r="F1869" s="5"/>
    </row>
    <row r="1870" spans="1:6" ht="13">
      <c r="A1870" s="5" t="str">
        <f ca="1">IFERROR(__xludf.DUMMYFUNCTION("""COMPUTED_VALUE"""),"20041116SCBAB")</f>
        <v>20041116SCBAB</v>
      </c>
      <c r="B1870" s="5" t="str">
        <f ca="1">IFERROR(__xludf.DUMMYFUNCTION("""COMPUTED_VALUE"""),"Wounded")</f>
        <v>Wounded</v>
      </c>
      <c r="C1870" s="5" t="str">
        <f ca="1">IFERROR(__xludf.DUMMYFUNCTION("""COMPUTED_VALUE"""),"Male")</f>
        <v>Male</v>
      </c>
      <c r="D1870" s="5" t="str">
        <f ca="1">IFERROR(__xludf.DUMMYFUNCTION("""COMPUTED_VALUE"""),"Unknown")</f>
        <v>Unknown</v>
      </c>
      <c r="E1870" s="5">
        <f ca="1">IFERROR(__xludf.DUMMYFUNCTION("""COMPUTED_VALUE"""),19)</f>
        <v>19</v>
      </c>
      <c r="F1870" s="5"/>
    </row>
    <row r="1871" spans="1:6" ht="13">
      <c r="A1871" s="5" t="str">
        <f ca="1">IFERROR(__xludf.DUMMYFUNCTION("""COMPUTED_VALUE"""),"20041115INBRG")</f>
        <v>20041115INBRG</v>
      </c>
      <c r="B1871" s="5" t="str">
        <f ca="1">IFERROR(__xludf.DUMMYFUNCTION("""COMPUTED_VALUE"""),"Wounded")</f>
        <v>Wounded</v>
      </c>
      <c r="C1871" s="5" t="str">
        <f ca="1">IFERROR(__xludf.DUMMYFUNCTION("""COMPUTED_VALUE"""),"Male")</f>
        <v>Male</v>
      </c>
      <c r="D1871" s="5" t="str">
        <f ca="1">IFERROR(__xludf.DUMMYFUNCTION("""COMPUTED_VALUE"""),"Parent")</f>
        <v>Parent</v>
      </c>
      <c r="E1871" s="5">
        <f ca="1">IFERROR(__xludf.DUMMYFUNCTION("""COMPUTED_VALUE"""),28)</f>
        <v>28</v>
      </c>
      <c r="F1871" s="5"/>
    </row>
    <row r="1872" spans="1:6" ht="13">
      <c r="A1872" s="5" t="str">
        <f ca="1">IFERROR(__xludf.DUMMYFUNCTION("""COMPUTED_VALUE"""),"20041115ALPAB")</f>
        <v>20041115ALPAB</v>
      </c>
      <c r="B1872" s="5" t="str">
        <f ca="1">IFERROR(__xludf.DUMMYFUNCTION("""COMPUTED_VALUE"""),"Wounded")</f>
        <v>Wounded</v>
      </c>
      <c r="C1872" s="5" t="str">
        <f ca="1">IFERROR(__xludf.DUMMYFUNCTION("""COMPUTED_VALUE"""),"Male")</f>
        <v>Male</v>
      </c>
      <c r="D1872" s="5" t="str">
        <f ca="1">IFERROR(__xludf.DUMMYFUNCTION("""COMPUTED_VALUE"""),"Unknown")</f>
        <v>Unknown</v>
      </c>
      <c r="E1872" s="5">
        <f ca="1">IFERROR(__xludf.DUMMYFUNCTION("""COMPUTED_VALUE"""),20)</f>
        <v>20</v>
      </c>
      <c r="F1872" s="5"/>
    </row>
    <row r="1873" spans="1:6" ht="13">
      <c r="A1873" s="5" t="str">
        <f ca="1">IFERROR(__xludf.DUMMYFUNCTION("""COMPUTED_VALUE"""),"20041022CATYH")</f>
        <v>20041022CATYH</v>
      </c>
      <c r="B1873" s="5" t="str">
        <f ca="1">IFERROR(__xludf.DUMMYFUNCTION("""COMPUTED_VALUE"""),"Fatal")</f>
        <v>Fatal</v>
      </c>
      <c r="C1873" s="5" t="str">
        <f ca="1">IFERROR(__xludf.DUMMYFUNCTION("""COMPUTED_VALUE"""),"Male")</f>
        <v>Male</v>
      </c>
      <c r="D1873" s="5" t="str">
        <f ca="1">IFERROR(__xludf.DUMMYFUNCTION("""COMPUTED_VALUE"""),"No Relation")</f>
        <v>No Relation</v>
      </c>
      <c r="E1873" s="5">
        <f ca="1">IFERROR(__xludf.DUMMYFUNCTION("""COMPUTED_VALUE"""),32)</f>
        <v>32</v>
      </c>
      <c r="F1873" s="5"/>
    </row>
    <row r="1874" spans="1:6" ht="13">
      <c r="A1874" s="5" t="str">
        <f ca="1">IFERROR(__xludf.DUMMYFUNCTION("""COMPUTED_VALUE"""),"20041021MDTHB")</f>
        <v>20041021MDTHB</v>
      </c>
      <c r="B1874" s="5" t="str">
        <f ca="1">IFERROR(__xludf.DUMMYFUNCTION("""COMPUTED_VALUE"""),"Wounded")</f>
        <v>Wounded</v>
      </c>
      <c r="C1874" s="5" t="str">
        <f ca="1">IFERROR(__xludf.DUMMYFUNCTION("""COMPUTED_VALUE"""),"Male")</f>
        <v>Male</v>
      </c>
      <c r="D1874" s="5" t="str">
        <f ca="1">IFERROR(__xludf.DUMMYFUNCTION("""COMPUTED_VALUE"""),"Student")</f>
        <v>Student</v>
      </c>
      <c r="E1874" s="5">
        <f ca="1">IFERROR(__xludf.DUMMYFUNCTION("""COMPUTED_VALUE"""),19)</f>
        <v>19</v>
      </c>
      <c r="F1874" s="5"/>
    </row>
    <row r="1875" spans="1:6" ht="13">
      <c r="A1875" s="5" t="str">
        <f ca="1">IFERROR(__xludf.DUMMYFUNCTION("""COMPUTED_VALUE"""),"20041021MDTHB")</f>
        <v>20041021MDTHB</v>
      </c>
      <c r="B1875" s="5" t="str">
        <f ca="1">IFERROR(__xludf.DUMMYFUNCTION("""COMPUTED_VALUE"""),"Wounded")</f>
        <v>Wounded</v>
      </c>
      <c r="C1875" s="5" t="str">
        <f ca="1">IFERROR(__xludf.DUMMYFUNCTION("""COMPUTED_VALUE"""),"Male")</f>
        <v>Male</v>
      </c>
      <c r="D1875" s="5" t="str">
        <f ca="1">IFERROR(__xludf.DUMMYFUNCTION("""COMPUTED_VALUE"""),"Student")</f>
        <v>Student</v>
      </c>
      <c r="E1875" s="5">
        <f ca="1">IFERROR(__xludf.DUMMYFUNCTION("""COMPUTED_VALUE"""),15)</f>
        <v>15</v>
      </c>
      <c r="F1875" s="5"/>
    </row>
    <row r="1876" spans="1:6" ht="13">
      <c r="A1876" s="5" t="str">
        <f ca="1">IFERROR(__xludf.DUMMYFUNCTION("""COMPUTED_VALUE"""),"20041015CABIB")</f>
        <v>20041015CABIB</v>
      </c>
      <c r="B1876" s="5" t="str">
        <f ca="1">IFERROR(__xludf.DUMMYFUNCTION("""COMPUTED_VALUE"""),"Wounded")</f>
        <v>Wounded</v>
      </c>
      <c r="C1876" s="5" t="str">
        <f ca="1">IFERROR(__xludf.DUMMYFUNCTION("""COMPUTED_VALUE"""),"Male")</f>
        <v>Male</v>
      </c>
      <c r="D1876" s="5" t="str">
        <f ca="1">IFERROR(__xludf.DUMMYFUNCTION("""COMPUTED_VALUE"""),"Student")</f>
        <v>Student</v>
      </c>
      <c r="E1876" s="5">
        <f ca="1">IFERROR(__xludf.DUMMYFUNCTION("""COMPUTED_VALUE"""),17)</f>
        <v>17</v>
      </c>
      <c r="F1876" s="5"/>
    </row>
    <row r="1877" spans="1:6" ht="13">
      <c r="A1877" s="5" t="str">
        <f ca="1">IFERROR(__xludf.DUMMYFUNCTION("""COMPUTED_VALUE"""),"20041012CALAS")</f>
        <v>20041012CALAS</v>
      </c>
      <c r="B1877" s="5" t="str">
        <f ca="1">IFERROR(__xludf.DUMMYFUNCTION("""COMPUTED_VALUE"""),"None")</f>
        <v>None</v>
      </c>
      <c r="C1877" s="5" t="str">
        <f ca="1">IFERROR(__xludf.DUMMYFUNCTION("""COMPUTED_VALUE"""),"Male")</f>
        <v>Male</v>
      </c>
      <c r="D1877" s="5" t="str">
        <f ca="1">IFERROR(__xludf.DUMMYFUNCTION("""COMPUTED_VALUE"""),"No Relation")</f>
        <v>No Relation</v>
      </c>
      <c r="E1877" s="5">
        <f ca="1">IFERROR(__xludf.DUMMYFUNCTION("""COMPUTED_VALUE"""),25)</f>
        <v>25</v>
      </c>
      <c r="F1877" s="5"/>
    </row>
    <row r="1878" spans="1:6" ht="13">
      <c r="A1878" s="5" t="str">
        <f ca="1">IFERROR(__xludf.DUMMYFUNCTION("""COMPUTED_VALUE"""),"20041007MANEN")</f>
        <v>20041007MANEN</v>
      </c>
      <c r="B1878" s="5" t="str">
        <f ca="1">IFERROR(__xludf.DUMMYFUNCTION("""COMPUTED_VALUE"""),"None")</f>
        <v>None</v>
      </c>
      <c r="C1878" s="5" t="str">
        <f ca="1">IFERROR(__xludf.DUMMYFUNCTION("""COMPUTED_VALUE"""),"Male")</f>
        <v>Male</v>
      </c>
      <c r="D1878" s="5" t="str">
        <f ca="1">IFERROR(__xludf.DUMMYFUNCTION("""COMPUTED_VALUE"""),"Student")</f>
        <v>Student</v>
      </c>
      <c r="E1878" s="5">
        <f ca="1">IFERROR(__xludf.DUMMYFUNCTION("""COMPUTED_VALUE"""),15)</f>
        <v>15</v>
      </c>
      <c r="F1878" s="5"/>
    </row>
    <row r="1879" spans="1:6" ht="13">
      <c r="A1879" s="5" t="str">
        <f ca="1">IFERROR(__xludf.DUMMYFUNCTION("""COMPUTED_VALUE"""),"20041002NEJEG")</f>
        <v>20041002NEJEG</v>
      </c>
      <c r="B1879" s="5" t="str">
        <f ca="1">IFERROR(__xludf.DUMMYFUNCTION("""COMPUTED_VALUE"""),"Wounded")</f>
        <v>Wounded</v>
      </c>
      <c r="C1879" s="5" t="str">
        <f ca="1">IFERROR(__xludf.DUMMYFUNCTION("""COMPUTED_VALUE"""),"Female")</f>
        <v>Female</v>
      </c>
      <c r="D1879" s="5" t="str">
        <f ca="1">IFERROR(__xludf.DUMMYFUNCTION("""COMPUTED_VALUE"""),"No Relation")</f>
        <v>No Relation</v>
      </c>
      <c r="E1879" s="5">
        <f ca="1">IFERROR(__xludf.DUMMYFUNCTION("""COMPUTED_VALUE"""),21)</f>
        <v>21</v>
      </c>
      <c r="F1879" s="5"/>
    </row>
    <row r="1880" spans="1:6" ht="13">
      <c r="A1880" s="5" t="str">
        <f ca="1">IFERROR(__xludf.DUMMYFUNCTION("""COMPUTED_VALUE"""),"20040915INWIG")</f>
        <v>20040915INWIG</v>
      </c>
      <c r="B1880" s="5" t="str">
        <f ca="1">IFERROR(__xludf.DUMMYFUNCTION("""COMPUTED_VALUE"""),"None")</f>
        <v>None</v>
      </c>
      <c r="C1880" s="5"/>
      <c r="D1880" s="5"/>
      <c r="E1880" s="5"/>
      <c r="F1880" s="5"/>
    </row>
    <row r="1881" spans="1:6" ht="13">
      <c r="A1881" s="5" t="str">
        <f ca="1">IFERROR(__xludf.DUMMYFUNCTION("""COMPUTED_VALUE"""),"20040912LABON")</f>
        <v>20040912LABON</v>
      </c>
      <c r="B1881" s="5" t="str">
        <f ca="1">IFERROR(__xludf.DUMMYFUNCTION("""COMPUTED_VALUE"""),"Wounded")</f>
        <v>Wounded</v>
      </c>
      <c r="C1881" s="5" t="str">
        <f ca="1">IFERROR(__xludf.DUMMYFUNCTION("""COMPUTED_VALUE"""),"Male")</f>
        <v>Male</v>
      </c>
      <c r="D1881" s="5" t="str">
        <f ca="1">IFERROR(__xludf.DUMMYFUNCTION("""COMPUTED_VALUE"""),"Student")</f>
        <v>Student</v>
      </c>
      <c r="E1881" s="5">
        <f ca="1">IFERROR(__xludf.DUMMYFUNCTION("""COMPUTED_VALUE"""),16)</f>
        <v>16</v>
      </c>
      <c r="F1881" s="5"/>
    </row>
    <row r="1882" spans="1:6" ht="13">
      <c r="A1882" s="5" t="str">
        <f ca="1">IFERROR(__xludf.DUMMYFUNCTION("""COMPUTED_VALUE"""),"20040830ILPRM")</f>
        <v>20040830ILPRM</v>
      </c>
      <c r="B1882" s="5" t="str">
        <f ca="1">IFERROR(__xludf.DUMMYFUNCTION("""COMPUTED_VALUE"""),"Fatal")</f>
        <v>Fatal</v>
      </c>
      <c r="C1882" s="5" t="str">
        <f ca="1">IFERROR(__xludf.DUMMYFUNCTION("""COMPUTED_VALUE"""),"Male")</f>
        <v>Male</v>
      </c>
      <c r="D1882" s="5" t="str">
        <f ca="1">IFERROR(__xludf.DUMMYFUNCTION("""COMPUTED_VALUE"""),"Relative")</f>
        <v>Relative</v>
      </c>
      <c r="E1882" s="5">
        <f ca="1">IFERROR(__xludf.DUMMYFUNCTION("""COMPUTED_VALUE"""),22)</f>
        <v>22</v>
      </c>
      <c r="F1882" s="5"/>
    </row>
    <row r="1883" spans="1:6" ht="13">
      <c r="A1883" s="5" t="str">
        <f ca="1">IFERROR(__xludf.DUMMYFUNCTION("""COMPUTED_VALUE"""),"20040824TNHAM")</f>
        <v>20040824TNHAM</v>
      </c>
      <c r="B1883" s="5" t="str">
        <f ca="1">IFERROR(__xludf.DUMMYFUNCTION("""COMPUTED_VALUE"""),"None")</f>
        <v>None</v>
      </c>
      <c r="C1883" s="5" t="str">
        <f ca="1">IFERROR(__xludf.DUMMYFUNCTION("""COMPUTED_VALUE"""),"Male")</f>
        <v>Male</v>
      </c>
      <c r="D1883" s="5" t="str">
        <f ca="1">IFERROR(__xludf.DUMMYFUNCTION("""COMPUTED_VALUE"""),"Student")</f>
        <v>Student</v>
      </c>
      <c r="E1883" s="5">
        <f ca="1">IFERROR(__xludf.DUMMYFUNCTION("""COMPUTED_VALUE"""),17)</f>
        <v>17</v>
      </c>
      <c r="F1883" s="5"/>
    </row>
    <row r="1884" spans="1:6" ht="13">
      <c r="A1884" s="5" t="str">
        <f ca="1">IFERROR(__xludf.DUMMYFUNCTION("""COMPUTED_VALUE"""),"20040803ALHUB")</f>
        <v>20040803ALHUB</v>
      </c>
      <c r="B1884" s="5" t="str">
        <f ca="1">IFERROR(__xludf.DUMMYFUNCTION("""COMPUTED_VALUE"""),"Wounded")</f>
        <v>Wounded</v>
      </c>
      <c r="C1884" s="5" t="str">
        <f ca="1">IFERROR(__xludf.DUMMYFUNCTION("""COMPUTED_VALUE"""),"Male")</f>
        <v>Male</v>
      </c>
      <c r="D1884" s="5" t="str">
        <f ca="1">IFERROR(__xludf.DUMMYFUNCTION("""COMPUTED_VALUE"""),"Student")</f>
        <v>Student</v>
      </c>
      <c r="E1884" s="5">
        <f ca="1">IFERROR(__xludf.DUMMYFUNCTION("""COMPUTED_VALUE"""),16)</f>
        <v>16</v>
      </c>
      <c r="F1884" s="5"/>
    </row>
    <row r="1885" spans="1:6" ht="13">
      <c r="A1885" s="5" t="str">
        <f ca="1">IFERROR(__xludf.DUMMYFUNCTION("""COMPUTED_VALUE"""),"20040609CACAO")</f>
        <v>20040609CACAO</v>
      </c>
      <c r="B1885" s="5" t="str">
        <f ca="1">IFERROR(__xludf.DUMMYFUNCTION("""COMPUTED_VALUE"""),"Wounded")</f>
        <v>Wounded</v>
      </c>
      <c r="C1885" s="5" t="str">
        <f ca="1">IFERROR(__xludf.DUMMYFUNCTION("""COMPUTED_VALUE"""),"Male")</f>
        <v>Male</v>
      </c>
      <c r="D1885" s="5" t="str">
        <f ca="1">IFERROR(__xludf.DUMMYFUNCTION("""COMPUTED_VALUE"""),"Student")</f>
        <v>Student</v>
      </c>
      <c r="E1885" s="5">
        <f ca="1">IFERROR(__xludf.DUMMYFUNCTION("""COMPUTED_VALUE"""),15)</f>
        <v>15</v>
      </c>
      <c r="F1885" s="5"/>
    </row>
    <row r="1886" spans="1:6" ht="13">
      <c r="A1886" s="5" t="str">
        <f ca="1">IFERROR(__xludf.DUMMYFUNCTION("""COMPUTED_VALUE"""),"20040609CACAO")</f>
        <v>20040609CACAO</v>
      </c>
      <c r="B1886" s="5" t="str">
        <f ca="1">IFERROR(__xludf.DUMMYFUNCTION("""COMPUTED_VALUE"""),"Wounded")</f>
        <v>Wounded</v>
      </c>
      <c r="C1886" s="5" t="str">
        <f ca="1">IFERROR(__xludf.DUMMYFUNCTION("""COMPUTED_VALUE"""),"Male")</f>
        <v>Male</v>
      </c>
      <c r="D1886" s="5" t="str">
        <f ca="1">IFERROR(__xludf.DUMMYFUNCTION("""COMPUTED_VALUE"""),"Student")</f>
        <v>Student</v>
      </c>
      <c r="E1886" s="5">
        <f ca="1">IFERROR(__xludf.DUMMYFUNCTION("""COMPUTED_VALUE"""),15)</f>
        <v>15</v>
      </c>
      <c r="F1886" s="5"/>
    </row>
    <row r="1887" spans="1:6" ht="13">
      <c r="A1887" s="5" t="str">
        <f ca="1">IFERROR(__xludf.DUMMYFUNCTION("""COMPUTED_VALUE"""),"20040524UTWES")</f>
        <v>20040524UTWES</v>
      </c>
      <c r="B1887" s="5" t="str">
        <f ca="1">IFERROR(__xludf.DUMMYFUNCTION("""COMPUTED_VALUE"""),"Fatal")</f>
        <v>Fatal</v>
      </c>
      <c r="C1887" s="5" t="str">
        <f ca="1">IFERROR(__xludf.DUMMYFUNCTION("""COMPUTED_VALUE"""),"Female")</f>
        <v>Female</v>
      </c>
      <c r="D1887" s="5" t="str">
        <f ca="1">IFERROR(__xludf.DUMMYFUNCTION("""COMPUTED_VALUE"""),"Other Staff")</f>
        <v>Other Staff</v>
      </c>
      <c r="E1887" s="5">
        <f ca="1">IFERROR(__xludf.DUMMYFUNCTION("""COMPUTED_VALUE"""),39)</f>
        <v>39</v>
      </c>
      <c r="F1887" s="5"/>
    </row>
    <row r="1888" spans="1:6" ht="13">
      <c r="A1888" s="5" t="str">
        <f ca="1">IFERROR(__xludf.DUMMYFUNCTION("""COMPUTED_VALUE"""),"20040512CAEAM")</f>
        <v>20040512CAEAM</v>
      </c>
      <c r="B1888" s="5" t="str">
        <f ca="1">IFERROR(__xludf.DUMMYFUNCTION("""COMPUTED_VALUE"""),"Wounded")</f>
        <v>Wounded</v>
      </c>
      <c r="C1888" s="5" t="str">
        <f ca="1">IFERROR(__xludf.DUMMYFUNCTION("""COMPUTED_VALUE"""),"Female")</f>
        <v>Female</v>
      </c>
      <c r="D1888" s="5" t="str">
        <f ca="1">IFERROR(__xludf.DUMMYFUNCTION("""COMPUTED_VALUE"""),"Student")</f>
        <v>Student</v>
      </c>
      <c r="E1888" s="5">
        <f ca="1">IFERROR(__xludf.DUMMYFUNCTION("""COMPUTED_VALUE"""),17)</f>
        <v>17</v>
      </c>
      <c r="F1888" s="5"/>
    </row>
    <row r="1889" spans="1:6" ht="13">
      <c r="A1889" s="5" t="str">
        <f ca="1">IFERROR(__xludf.DUMMYFUNCTION("""COMPUTED_VALUE"""),"20040512CAEAM")</f>
        <v>20040512CAEAM</v>
      </c>
      <c r="B1889" s="5" t="str">
        <f ca="1">IFERROR(__xludf.DUMMYFUNCTION("""COMPUTED_VALUE"""),"Wounded")</f>
        <v>Wounded</v>
      </c>
      <c r="C1889" s="5" t="str">
        <f ca="1">IFERROR(__xludf.DUMMYFUNCTION("""COMPUTED_VALUE"""),"Male")</f>
        <v>Male</v>
      </c>
      <c r="D1889" s="5" t="str">
        <f ca="1">IFERROR(__xludf.DUMMYFUNCTION("""COMPUTED_VALUE"""),"Student")</f>
        <v>Student</v>
      </c>
      <c r="E1889" s="5">
        <f ca="1">IFERROR(__xludf.DUMMYFUNCTION("""COMPUTED_VALUE"""),19)</f>
        <v>19</v>
      </c>
      <c r="F1889" s="5"/>
    </row>
    <row r="1890" spans="1:6" ht="13">
      <c r="A1890" s="5" t="str">
        <f ca="1">IFERROR(__xludf.DUMMYFUNCTION("""COMPUTED_VALUE"""),"20040507MDRAR")</f>
        <v>20040507MDRAR</v>
      </c>
      <c r="B1890" s="5" t="str">
        <f ca="1">IFERROR(__xludf.DUMMYFUNCTION("""COMPUTED_VALUE"""),"Wounded")</f>
        <v>Wounded</v>
      </c>
      <c r="C1890" s="5" t="str">
        <f ca="1">IFERROR(__xludf.DUMMYFUNCTION("""COMPUTED_VALUE"""),"Male")</f>
        <v>Male</v>
      </c>
      <c r="D1890" s="5" t="str">
        <f ca="1">IFERROR(__xludf.DUMMYFUNCTION("""COMPUTED_VALUE"""),"Student")</f>
        <v>Student</v>
      </c>
      <c r="E1890" s="5">
        <f ca="1">IFERROR(__xludf.DUMMYFUNCTION("""COMPUTED_VALUE"""),17)</f>
        <v>17</v>
      </c>
      <c r="F1890" s="5"/>
    </row>
    <row r="1891" spans="1:6" ht="13">
      <c r="A1891" s="5" t="str">
        <f ca="1">IFERROR(__xludf.DUMMYFUNCTION("""COMPUTED_VALUE"""),"20040507MDRAR")</f>
        <v>20040507MDRAR</v>
      </c>
      <c r="B1891" s="5" t="str">
        <f ca="1">IFERROR(__xludf.DUMMYFUNCTION("""COMPUTED_VALUE"""),"Wounded")</f>
        <v>Wounded</v>
      </c>
      <c r="C1891" s="5" t="str">
        <f ca="1">IFERROR(__xludf.DUMMYFUNCTION("""COMPUTED_VALUE"""),"Male")</f>
        <v>Male</v>
      </c>
      <c r="D1891" s="5" t="str">
        <f ca="1">IFERROR(__xludf.DUMMYFUNCTION("""COMPUTED_VALUE"""),"Student")</f>
        <v>Student</v>
      </c>
      <c r="E1891" s="5">
        <f ca="1">IFERROR(__xludf.DUMMYFUNCTION("""COMPUTED_VALUE"""),17)</f>
        <v>17</v>
      </c>
      <c r="F1891" s="5"/>
    </row>
    <row r="1892" spans="1:6" ht="13">
      <c r="A1892" s="5" t="str">
        <f ca="1">IFERROR(__xludf.DUMMYFUNCTION("""COMPUTED_VALUE"""),"20040507MDRAR")</f>
        <v>20040507MDRAR</v>
      </c>
      <c r="B1892" s="5" t="str">
        <f ca="1">IFERROR(__xludf.DUMMYFUNCTION("""COMPUTED_VALUE"""),"Wounded")</f>
        <v>Wounded</v>
      </c>
      <c r="C1892" s="5" t="str">
        <f ca="1">IFERROR(__xludf.DUMMYFUNCTION("""COMPUTED_VALUE"""),"Male")</f>
        <v>Male</v>
      </c>
      <c r="D1892" s="5" t="str">
        <f ca="1">IFERROR(__xludf.DUMMYFUNCTION("""COMPUTED_VALUE"""),"Student")</f>
        <v>Student</v>
      </c>
      <c r="E1892" s="5">
        <f ca="1">IFERROR(__xludf.DUMMYFUNCTION("""COMPUTED_VALUE"""),16)</f>
        <v>16</v>
      </c>
      <c r="F1892" s="5"/>
    </row>
    <row r="1893" spans="1:6" ht="13">
      <c r="A1893" s="5" t="str">
        <f ca="1">IFERROR(__xludf.DUMMYFUNCTION("""COMPUTED_VALUE"""),"20040507MDRAR")</f>
        <v>20040507MDRAR</v>
      </c>
      <c r="B1893" s="5" t="str">
        <f ca="1">IFERROR(__xludf.DUMMYFUNCTION("""COMPUTED_VALUE"""),"Wounded")</f>
        <v>Wounded</v>
      </c>
      <c r="C1893" s="5" t="str">
        <f ca="1">IFERROR(__xludf.DUMMYFUNCTION("""COMPUTED_VALUE"""),"Male")</f>
        <v>Male</v>
      </c>
      <c r="D1893" s="5" t="str">
        <f ca="1">IFERROR(__xludf.DUMMYFUNCTION("""COMPUTED_VALUE"""),"Student")</f>
        <v>Student</v>
      </c>
      <c r="E1893" s="5">
        <f ca="1">IFERROR(__xludf.DUMMYFUNCTION("""COMPUTED_VALUE"""),16)</f>
        <v>16</v>
      </c>
      <c r="F1893" s="5"/>
    </row>
    <row r="1894" spans="1:6" ht="13">
      <c r="A1894" s="5" t="str">
        <f ca="1">IFERROR(__xludf.DUMMYFUNCTION("""COMPUTED_VALUE"""),"20040504TXKAH")</f>
        <v>20040504TXKAH</v>
      </c>
      <c r="B1894" s="5" t="str">
        <f ca="1">IFERROR(__xludf.DUMMYFUNCTION("""COMPUTED_VALUE"""),"None")</f>
        <v>None</v>
      </c>
      <c r="C1894" s="5"/>
      <c r="D1894" s="5"/>
      <c r="E1894" s="5"/>
      <c r="F1894" s="5"/>
    </row>
    <row r="1895" spans="1:6" ht="13">
      <c r="A1895" s="5" t="str">
        <f ca="1">IFERROR(__xludf.DUMMYFUNCTION("""COMPUTED_VALUE"""),"20040317WACRJ")</f>
        <v>20040317WACRJ</v>
      </c>
      <c r="B1895" s="5" t="str">
        <f ca="1">IFERROR(__xludf.DUMMYFUNCTION("""COMPUTED_VALUE"""),"None")</f>
        <v>None</v>
      </c>
      <c r="C1895" s="5" t="str">
        <f ca="1">IFERROR(__xludf.DUMMYFUNCTION("""COMPUTED_VALUE"""),"Male")</f>
        <v>Male</v>
      </c>
      <c r="D1895" s="5" t="str">
        <f ca="1">IFERROR(__xludf.DUMMYFUNCTION("""COMPUTED_VALUE"""),"Student")</f>
        <v>Student</v>
      </c>
      <c r="E1895" s="5">
        <f ca="1">IFERROR(__xludf.DUMMYFUNCTION("""COMPUTED_VALUE"""),13)</f>
        <v>13</v>
      </c>
      <c r="F1895" s="5"/>
    </row>
    <row r="1896" spans="1:6" ht="13">
      <c r="A1896" s="5" t="str">
        <f ca="1">IFERROR(__xludf.DUMMYFUNCTION("""COMPUTED_VALUE"""),"20040305CASAL")</f>
        <v>20040305CASAL</v>
      </c>
      <c r="B1896" s="5" t="str">
        <f ca="1">IFERROR(__xludf.DUMMYFUNCTION("""COMPUTED_VALUE"""),"Wounded")</f>
        <v>Wounded</v>
      </c>
      <c r="C1896" s="5" t="str">
        <f ca="1">IFERROR(__xludf.DUMMYFUNCTION("""COMPUTED_VALUE"""),"Male")</f>
        <v>Male</v>
      </c>
      <c r="D1896" s="5" t="str">
        <f ca="1">IFERROR(__xludf.DUMMYFUNCTION("""COMPUTED_VALUE"""),"Student")</f>
        <v>Student</v>
      </c>
      <c r="E1896" s="5">
        <f ca="1">IFERROR(__xludf.DUMMYFUNCTION("""COMPUTED_VALUE"""),17)</f>
        <v>17</v>
      </c>
      <c r="F1896" s="5"/>
    </row>
    <row r="1897" spans="1:6" ht="13">
      <c r="A1897" s="5" t="str">
        <f ca="1">IFERROR(__xludf.DUMMYFUNCTION("""COMPUTED_VALUE"""),"20040305CASAL")</f>
        <v>20040305CASAL</v>
      </c>
      <c r="B1897" s="5" t="str">
        <f ca="1">IFERROR(__xludf.DUMMYFUNCTION("""COMPUTED_VALUE"""),"Wounded")</f>
        <v>Wounded</v>
      </c>
      <c r="C1897" s="5" t="str">
        <f ca="1">IFERROR(__xludf.DUMMYFUNCTION("""COMPUTED_VALUE"""),"Female")</f>
        <v>Female</v>
      </c>
      <c r="D1897" s="5" t="str">
        <f ca="1">IFERROR(__xludf.DUMMYFUNCTION("""COMPUTED_VALUE"""),"Student")</f>
        <v>Student</v>
      </c>
      <c r="E1897" s="5">
        <f ca="1">IFERROR(__xludf.DUMMYFUNCTION("""COMPUTED_VALUE"""),16)</f>
        <v>16</v>
      </c>
      <c r="F1897" s="5"/>
    </row>
    <row r="1898" spans="1:6" ht="13">
      <c r="A1898" s="5" t="str">
        <f ca="1">IFERROR(__xludf.DUMMYFUNCTION("""COMPUTED_VALUE"""),"20040220LAGAS")</f>
        <v>20040220LAGAS</v>
      </c>
      <c r="B1898" s="5" t="str">
        <f ca="1">IFERROR(__xludf.DUMMYFUNCTION("""COMPUTED_VALUE"""),"Fatal")</f>
        <v>Fatal</v>
      </c>
      <c r="C1898" s="5" t="str">
        <f ca="1">IFERROR(__xludf.DUMMYFUNCTION("""COMPUTED_VALUE"""),"Female")</f>
        <v>Female</v>
      </c>
      <c r="D1898" s="5" t="str">
        <f ca="1">IFERROR(__xludf.DUMMYFUNCTION("""COMPUTED_VALUE"""),"Teacher")</f>
        <v>Teacher</v>
      </c>
      <c r="E1898" s="5">
        <f ca="1">IFERROR(__xludf.DUMMYFUNCTION("""COMPUTED_VALUE"""),19)</f>
        <v>19</v>
      </c>
      <c r="F1898" s="5"/>
    </row>
    <row r="1899" spans="1:6" ht="13">
      <c r="A1899" s="5" t="str">
        <f ca="1">IFERROR(__xludf.DUMMYFUNCTION("""COMPUTED_VALUE"""),"20040213OHCOD")</f>
        <v>20040213OHCOD</v>
      </c>
      <c r="B1899" s="5" t="str">
        <f ca="1">IFERROR(__xludf.DUMMYFUNCTION("""COMPUTED_VALUE"""),"Wounded")</f>
        <v>Wounded</v>
      </c>
      <c r="C1899" s="5" t="str">
        <f ca="1">IFERROR(__xludf.DUMMYFUNCTION("""COMPUTED_VALUE"""),"Male")</f>
        <v>Male</v>
      </c>
      <c r="D1899" s="5" t="str">
        <f ca="1">IFERROR(__xludf.DUMMYFUNCTION("""COMPUTED_VALUE"""),"Student")</f>
        <v>Student</v>
      </c>
      <c r="E1899" s="5">
        <f ca="1">IFERROR(__xludf.DUMMYFUNCTION("""COMPUTED_VALUE"""),17)</f>
        <v>17</v>
      </c>
      <c r="F1899" s="5"/>
    </row>
    <row r="1900" spans="1:6" ht="13">
      <c r="A1900" s="5" t="str">
        <f ca="1">IFERROR(__xludf.DUMMYFUNCTION("""COMPUTED_VALUE"""),"20040211PATMP")</f>
        <v>20040211PATMP</v>
      </c>
      <c r="B1900" s="5" t="str">
        <f ca="1">IFERROR(__xludf.DUMMYFUNCTION("""COMPUTED_VALUE"""),"Fatal")</f>
        <v>Fatal</v>
      </c>
      <c r="C1900" s="5" t="str">
        <f ca="1">IFERROR(__xludf.DUMMYFUNCTION("""COMPUTED_VALUE"""),"Male")</f>
        <v>Male</v>
      </c>
      <c r="D1900" s="5" t="str">
        <f ca="1">IFERROR(__xludf.DUMMYFUNCTION("""COMPUTED_VALUE"""),"Student")</f>
        <v>Student</v>
      </c>
      <c r="E1900" s="5">
        <f ca="1">IFERROR(__xludf.DUMMYFUNCTION("""COMPUTED_VALUE"""),10)</f>
        <v>10</v>
      </c>
      <c r="F1900" s="5"/>
    </row>
    <row r="1901" spans="1:6" ht="13">
      <c r="A1901" s="5" t="str">
        <f ca="1">IFERROR(__xludf.DUMMYFUNCTION("""COMPUTED_VALUE"""),"20040211PATMP")</f>
        <v>20040211PATMP</v>
      </c>
      <c r="B1901" s="5" t="str">
        <f ca="1">IFERROR(__xludf.DUMMYFUNCTION("""COMPUTED_VALUE"""),"Wounded")</f>
        <v>Wounded</v>
      </c>
      <c r="C1901" s="5" t="str">
        <f ca="1">IFERROR(__xludf.DUMMYFUNCTION("""COMPUTED_VALUE"""),"Female")</f>
        <v>Female</v>
      </c>
      <c r="D1901" s="5" t="str">
        <f ca="1">IFERROR(__xludf.DUMMYFUNCTION("""COMPUTED_VALUE"""),"Teacher")</f>
        <v>Teacher</v>
      </c>
      <c r="E1901" s="5" t="str">
        <f ca="1">IFERROR(__xludf.DUMMYFUNCTION("""COMPUTED_VALUE"""),"Adult")</f>
        <v>Adult</v>
      </c>
      <c r="F1901" s="5"/>
    </row>
    <row r="1902" spans="1:6" ht="13">
      <c r="A1902" s="5" t="str">
        <f ca="1">IFERROR(__xludf.DUMMYFUNCTION("""COMPUTED_VALUE"""),"20040209NYCOE")</f>
        <v>20040209NYCOE</v>
      </c>
      <c r="B1902" s="5" t="str">
        <f ca="1">IFERROR(__xludf.DUMMYFUNCTION("""COMPUTED_VALUE"""),"Wounded")</f>
        <v>Wounded</v>
      </c>
      <c r="C1902" s="5" t="str">
        <f ca="1">IFERROR(__xludf.DUMMYFUNCTION("""COMPUTED_VALUE"""),"Male")</f>
        <v>Male</v>
      </c>
      <c r="D1902" s="5" t="str">
        <f ca="1">IFERROR(__xludf.DUMMYFUNCTION("""COMPUTED_VALUE"""),"Teacher")</f>
        <v>Teacher</v>
      </c>
      <c r="E1902" s="5" t="str">
        <f ca="1">IFERROR(__xludf.DUMMYFUNCTION("""COMPUTED_VALUE"""),"Adult")</f>
        <v>Adult</v>
      </c>
      <c r="F1902" s="5"/>
    </row>
    <row r="1903" spans="1:6" ht="13">
      <c r="A1903" s="5" t="str">
        <f ca="1">IFERROR(__xludf.DUMMYFUNCTION("""COMPUTED_VALUE"""),"20040206LAFAS")</f>
        <v>20040206LAFAS</v>
      </c>
      <c r="B1903" s="5" t="str">
        <f ca="1">IFERROR(__xludf.DUMMYFUNCTION("""COMPUTED_VALUE"""),"None")</f>
        <v>None</v>
      </c>
      <c r="C1903" s="5"/>
      <c r="D1903" s="5"/>
      <c r="E1903" s="5"/>
      <c r="F1903" s="5"/>
    </row>
    <row r="1904" spans="1:6" ht="13">
      <c r="A1904" s="5" t="str">
        <f ca="1">IFERROR(__xludf.DUMMYFUNCTION("""COMPUTED_VALUE"""),"20040203TXYOH")</f>
        <v>20040203TXYOH</v>
      </c>
      <c r="B1904" s="5" t="str">
        <f ca="1">IFERROR(__xludf.DUMMYFUNCTION("""COMPUTED_VALUE"""),"None")</f>
        <v>None</v>
      </c>
      <c r="C1904" s="5" t="str">
        <f ca="1">IFERROR(__xludf.DUMMYFUNCTION("""COMPUTED_VALUE"""),"Male")</f>
        <v>Male</v>
      </c>
      <c r="D1904" s="5" t="str">
        <f ca="1">IFERROR(__xludf.DUMMYFUNCTION("""COMPUTED_VALUE"""),"Student")</f>
        <v>Student</v>
      </c>
      <c r="E1904" s="5">
        <f ca="1">IFERROR(__xludf.DUMMYFUNCTION("""COMPUTED_VALUE"""),12)</f>
        <v>12</v>
      </c>
      <c r="F1904" s="5"/>
    </row>
    <row r="1905" spans="1:6" ht="13">
      <c r="A1905" s="5" t="str">
        <f ca="1">IFERROR(__xludf.DUMMYFUNCTION("""COMPUTED_VALUE"""),"20040202DCBAW")</f>
        <v>20040202DCBAW</v>
      </c>
      <c r="B1905" s="5" t="str">
        <f ca="1">IFERROR(__xludf.DUMMYFUNCTION("""COMPUTED_VALUE"""),"Fatal")</f>
        <v>Fatal</v>
      </c>
      <c r="C1905" s="5" t="str">
        <f ca="1">IFERROR(__xludf.DUMMYFUNCTION("""COMPUTED_VALUE"""),"Male")</f>
        <v>Male</v>
      </c>
      <c r="D1905" s="5" t="str">
        <f ca="1">IFERROR(__xludf.DUMMYFUNCTION("""COMPUTED_VALUE"""),"Student")</f>
        <v>Student</v>
      </c>
      <c r="E1905" s="5">
        <f ca="1">IFERROR(__xludf.DUMMYFUNCTION("""COMPUTED_VALUE"""),17)</f>
        <v>17</v>
      </c>
      <c r="F1905" s="5"/>
    </row>
    <row r="1906" spans="1:6" ht="13">
      <c r="A1906" s="5" t="str">
        <f ca="1">IFERROR(__xludf.DUMMYFUNCTION("""COMPUTED_VALUE"""),"20040121NVFAH")</f>
        <v>20040121NVFAH</v>
      </c>
      <c r="B1906" s="5" t="str">
        <f ca="1">IFERROR(__xludf.DUMMYFUNCTION("""COMPUTED_VALUE"""),"Fatal")</f>
        <v>Fatal</v>
      </c>
      <c r="C1906" s="5" t="str">
        <f ca="1">IFERROR(__xludf.DUMMYFUNCTION("""COMPUTED_VALUE"""),"Male")</f>
        <v>Male</v>
      </c>
      <c r="D1906" s="5" t="str">
        <f ca="1">IFERROR(__xludf.DUMMYFUNCTION("""COMPUTED_VALUE"""),"Intimate Relationship")</f>
        <v>Intimate Relationship</v>
      </c>
      <c r="E1906" s="5" t="str">
        <f ca="1">IFERROR(__xludf.DUMMYFUNCTION("""COMPUTED_VALUE"""),"Adult")</f>
        <v>Adult</v>
      </c>
      <c r="F1906" s="5"/>
    </row>
    <row r="1907" spans="1:6" ht="13">
      <c r="A1907" s="5" t="str">
        <f ca="1">IFERROR(__xludf.DUMMYFUNCTION("""COMPUTED_VALUE"""),"20040115CAPOP")</f>
        <v>20040115CAPOP</v>
      </c>
      <c r="B1907" s="5" t="str">
        <f ca="1">IFERROR(__xludf.DUMMYFUNCTION("""COMPUTED_VALUE"""),"Wounded")</f>
        <v>Wounded</v>
      </c>
      <c r="C1907" s="5" t="str">
        <f ca="1">IFERROR(__xludf.DUMMYFUNCTION("""COMPUTED_VALUE"""),"Female")</f>
        <v>Female</v>
      </c>
      <c r="D1907" s="5" t="str">
        <f ca="1">IFERROR(__xludf.DUMMYFUNCTION("""COMPUTED_VALUE"""),"Student")</f>
        <v>Student</v>
      </c>
      <c r="E1907" s="5">
        <f ca="1">IFERROR(__xludf.DUMMYFUNCTION("""COMPUTED_VALUE"""),16)</f>
        <v>16</v>
      </c>
      <c r="F1907" s="5"/>
    </row>
    <row r="1908" spans="1:6" ht="13">
      <c r="A1908" s="5" t="str">
        <f ca="1">IFERROR(__xludf.DUMMYFUNCTION("""COMPUTED_VALUE"""),"20031229FLABE")</f>
        <v>20031229FLABE</v>
      </c>
      <c r="B1908" s="5" t="str">
        <f ca="1">IFERROR(__xludf.DUMMYFUNCTION("""COMPUTED_VALUE"""),"Wounded")</f>
        <v>Wounded</v>
      </c>
      <c r="C1908" s="5" t="str">
        <f ca="1">IFERROR(__xludf.DUMMYFUNCTION("""COMPUTED_VALUE"""),"Male")</f>
        <v>Male</v>
      </c>
      <c r="D1908" s="5" t="str">
        <f ca="1">IFERROR(__xludf.DUMMYFUNCTION("""COMPUTED_VALUE"""),"No Relation")</f>
        <v>No Relation</v>
      </c>
      <c r="E1908" s="5">
        <f ca="1">IFERROR(__xludf.DUMMYFUNCTION("""COMPUTED_VALUE"""),16)</f>
        <v>16</v>
      </c>
      <c r="F1908" s="5"/>
    </row>
    <row r="1909" spans="1:6" ht="13">
      <c r="A1909" s="5" t="str">
        <f ca="1">IFERROR(__xludf.DUMMYFUNCTION("""COMPUTED_VALUE"""),"20031229FLABE")</f>
        <v>20031229FLABE</v>
      </c>
      <c r="B1909" s="5" t="str">
        <f ca="1">IFERROR(__xludf.DUMMYFUNCTION("""COMPUTED_VALUE"""),"Fatal")</f>
        <v>Fatal</v>
      </c>
      <c r="C1909" s="5" t="str">
        <f ca="1">IFERROR(__xludf.DUMMYFUNCTION("""COMPUTED_VALUE"""),"Male")</f>
        <v>Male</v>
      </c>
      <c r="D1909" s="5" t="str">
        <f ca="1">IFERROR(__xludf.DUMMYFUNCTION("""COMPUTED_VALUE"""),"No Relation")</f>
        <v>No Relation</v>
      </c>
      <c r="E1909" s="5">
        <f ca="1">IFERROR(__xludf.DUMMYFUNCTION("""COMPUTED_VALUE"""),19)</f>
        <v>19</v>
      </c>
      <c r="F1909" s="5"/>
    </row>
    <row r="1910" spans="1:6" ht="13">
      <c r="A1910" s="5" t="str">
        <f ca="1">IFERROR(__xludf.DUMMYFUNCTION("""COMPUTED_VALUE"""),"20031222NJCOW")</f>
        <v>20031222NJCOW</v>
      </c>
      <c r="B1910" s="5" t="str">
        <f ca="1">IFERROR(__xludf.DUMMYFUNCTION("""COMPUTED_VALUE"""),"Wounded")</f>
        <v>Wounded</v>
      </c>
      <c r="C1910" s="5" t="str">
        <f ca="1">IFERROR(__xludf.DUMMYFUNCTION("""COMPUTED_VALUE"""),"Male")</f>
        <v>Male</v>
      </c>
      <c r="D1910" s="5" t="str">
        <f ca="1">IFERROR(__xludf.DUMMYFUNCTION("""COMPUTED_VALUE"""),"Student")</f>
        <v>Student</v>
      </c>
      <c r="E1910" s="5">
        <f ca="1">IFERROR(__xludf.DUMMYFUNCTION("""COMPUTED_VALUE"""),18)</f>
        <v>18</v>
      </c>
      <c r="F1910" s="5"/>
    </row>
    <row r="1911" spans="1:6" ht="13">
      <c r="A1911" s="5" t="str">
        <f ca="1">IFERROR(__xludf.DUMMYFUNCTION("""COMPUTED_VALUE"""),"20031217MDOLM")</f>
        <v>20031217MDOLM</v>
      </c>
      <c r="B1911" s="5" t="str">
        <f ca="1">IFERROR(__xludf.DUMMYFUNCTION("""COMPUTED_VALUE"""),"None")</f>
        <v>None</v>
      </c>
      <c r="C1911" s="5"/>
      <c r="D1911" s="5"/>
      <c r="E1911" s="5"/>
      <c r="F1911" s="5"/>
    </row>
    <row r="1912" spans="1:6" ht="13">
      <c r="A1912" s="5" t="str">
        <f ca="1">IFERROR(__xludf.DUMMYFUNCTION("""COMPUTED_VALUE"""),"20031205ILCAC")</f>
        <v>20031205ILCAC</v>
      </c>
      <c r="B1912" s="5" t="str">
        <f ca="1">IFERROR(__xludf.DUMMYFUNCTION("""COMPUTED_VALUE"""),"Wounded")</f>
        <v>Wounded</v>
      </c>
      <c r="C1912" s="5" t="str">
        <f ca="1">IFERROR(__xludf.DUMMYFUNCTION("""COMPUTED_VALUE"""),"Male")</f>
        <v>Male</v>
      </c>
      <c r="D1912" s="5" t="str">
        <f ca="1">IFERROR(__xludf.DUMMYFUNCTION("""COMPUTED_VALUE"""),"Other Staff")</f>
        <v>Other Staff</v>
      </c>
      <c r="E1912" s="5">
        <f ca="1">IFERROR(__xludf.DUMMYFUNCTION("""COMPUTED_VALUE"""),33)</f>
        <v>33</v>
      </c>
      <c r="F1912" s="5"/>
    </row>
    <row r="1913" spans="1:6" ht="13">
      <c r="A1913" s="5" t="str">
        <f ca="1">IFERROR(__xludf.DUMMYFUNCTION("""COMPUTED_VALUE"""),"20031204OKDOO")</f>
        <v>20031204OKDOO</v>
      </c>
      <c r="B1913" s="5" t="str">
        <f ca="1">IFERROR(__xludf.DUMMYFUNCTION("""COMPUTED_VALUE"""),"Wounded")</f>
        <v>Wounded</v>
      </c>
      <c r="C1913" s="5" t="str">
        <f ca="1">IFERROR(__xludf.DUMMYFUNCTION("""COMPUTED_VALUE"""),"Female")</f>
        <v>Female</v>
      </c>
      <c r="D1913" s="5" t="str">
        <f ca="1">IFERROR(__xludf.DUMMYFUNCTION("""COMPUTED_VALUE"""),"Student")</f>
        <v>Student</v>
      </c>
      <c r="E1913" s="5">
        <f ca="1">IFERROR(__xludf.DUMMYFUNCTION("""COMPUTED_VALUE"""),17)</f>
        <v>17</v>
      </c>
      <c r="F1913" s="5"/>
    </row>
    <row r="1914" spans="1:6" ht="13">
      <c r="A1914" s="5" t="str">
        <f ca="1">IFERROR(__xludf.DUMMYFUNCTION("""COMPUTED_VALUE"""),"20031202ILFEC")</f>
        <v>20031202ILFEC</v>
      </c>
      <c r="B1914" s="5" t="str">
        <f ca="1">IFERROR(__xludf.DUMMYFUNCTION("""COMPUTED_VALUE"""),"None")</f>
        <v>None</v>
      </c>
      <c r="C1914" s="5" t="str">
        <f ca="1">IFERROR(__xludf.DUMMYFUNCTION("""COMPUTED_VALUE"""),"Male")</f>
        <v>Male</v>
      </c>
      <c r="D1914" s="5" t="str">
        <f ca="1">IFERROR(__xludf.DUMMYFUNCTION("""COMPUTED_VALUE"""),"Unknown")</f>
        <v>Unknown</v>
      </c>
      <c r="E1914" s="5">
        <f ca="1">IFERROR(__xludf.DUMMYFUNCTION("""COMPUTED_VALUE"""),18)</f>
        <v>18</v>
      </c>
      <c r="F1914" s="5"/>
    </row>
    <row r="1915" spans="1:6" ht="13">
      <c r="A1915" s="5" t="str">
        <f ca="1">IFERROR(__xludf.DUMMYFUNCTION("""COMPUTED_VALUE"""),"20031113NCEAC")</f>
        <v>20031113NCEAC</v>
      </c>
      <c r="B1915" s="5" t="str">
        <f ca="1">IFERROR(__xludf.DUMMYFUNCTION("""COMPUTED_VALUE"""),"Wounded")</f>
        <v>Wounded</v>
      </c>
      <c r="C1915" s="5" t="str">
        <f ca="1">IFERROR(__xludf.DUMMYFUNCTION("""COMPUTED_VALUE"""),"Male")</f>
        <v>Male</v>
      </c>
      <c r="D1915" s="5" t="str">
        <f ca="1">IFERROR(__xludf.DUMMYFUNCTION("""COMPUTED_VALUE"""),"Student")</f>
        <v>Student</v>
      </c>
      <c r="E1915" s="5" t="str">
        <f ca="1">IFERROR(__xludf.DUMMYFUNCTION("""COMPUTED_VALUE"""),"Teen")</f>
        <v>Teen</v>
      </c>
      <c r="F1915" s="5"/>
    </row>
    <row r="1916" spans="1:6" ht="13">
      <c r="A1916" s="5" t="str">
        <f ca="1">IFERROR(__xludf.DUMMYFUNCTION("""COMPUTED_VALUE"""),"20031113NCEAC")</f>
        <v>20031113NCEAC</v>
      </c>
      <c r="B1916" s="5" t="str">
        <f ca="1">IFERROR(__xludf.DUMMYFUNCTION("""COMPUTED_VALUE"""),"Wounded")</f>
        <v>Wounded</v>
      </c>
      <c r="C1916" s="5" t="str">
        <f ca="1">IFERROR(__xludf.DUMMYFUNCTION("""COMPUTED_VALUE"""),"Male")</f>
        <v>Male</v>
      </c>
      <c r="D1916" s="5" t="str">
        <f ca="1">IFERROR(__xludf.DUMMYFUNCTION("""COMPUTED_VALUE"""),"Student")</f>
        <v>Student</v>
      </c>
      <c r="E1916" s="5" t="str">
        <f ca="1">IFERROR(__xludf.DUMMYFUNCTION("""COMPUTED_VALUE"""),"Teen")</f>
        <v>Teen</v>
      </c>
      <c r="F1916" s="5"/>
    </row>
    <row r="1917" spans="1:6" ht="13">
      <c r="A1917" s="5" t="str">
        <f ca="1">IFERROR(__xludf.DUMMYFUNCTION("""COMPUTED_VALUE"""),"20031108TXHIS")</f>
        <v>20031108TXHIS</v>
      </c>
      <c r="B1917" s="5" t="str">
        <f ca="1">IFERROR(__xludf.DUMMYFUNCTION("""COMPUTED_VALUE"""),"Fatal")</f>
        <v>Fatal</v>
      </c>
      <c r="C1917" s="5" t="str">
        <f ca="1">IFERROR(__xludf.DUMMYFUNCTION("""COMPUTED_VALUE"""),"Female")</f>
        <v>Female</v>
      </c>
      <c r="D1917" s="5" t="str">
        <f ca="1">IFERROR(__xludf.DUMMYFUNCTION("""COMPUTED_VALUE"""),"Student")</f>
        <v>Student</v>
      </c>
      <c r="E1917" s="5">
        <f ca="1">IFERROR(__xludf.DUMMYFUNCTION("""COMPUTED_VALUE"""),17)</f>
        <v>17</v>
      </c>
      <c r="F1917" s="5"/>
    </row>
    <row r="1918" spans="1:6" ht="13">
      <c r="A1918" s="5" t="str">
        <f ca="1">IFERROR(__xludf.DUMMYFUNCTION("""COMPUTED_VALUE"""),"20031030DCANW")</f>
        <v>20031030DCANW</v>
      </c>
      <c r="B1918" s="5" t="str">
        <f ca="1">IFERROR(__xludf.DUMMYFUNCTION("""COMPUTED_VALUE"""),"Fatal")</f>
        <v>Fatal</v>
      </c>
      <c r="C1918" s="5" t="str">
        <f ca="1">IFERROR(__xludf.DUMMYFUNCTION("""COMPUTED_VALUE"""),"Male")</f>
        <v>Male</v>
      </c>
      <c r="D1918" s="5" t="str">
        <f ca="1">IFERROR(__xludf.DUMMYFUNCTION("""COMPUTED_VALUE"""),"Student")</f>
        <v>Student</v>
      </c>
      <c r="E1918" s="5">
        <f ca="1">IFERROR(__xludf.DUMMYFUNCTION("""COMPUTED_VALUE"""),16)</f>
        <v>16</v>
      </c>
      <c r="F1918" s="5"/>
    </row>
    <row r="1919" spans="1:6" ht="13">
      <c r="A1919" s="5" t="str">
        <f ca="1">IFERROR(__xludf.DUMMYFUNCTION("""COMPUTED_VALUE"""),"20031030DCANW")</f>
        <v>20031030DCANW</v>
      </c>
      <c r="B1919" s="5" t="str">
        <f ca="1">IFERROR(__xludf.DUMMYFUNCTION("""COMPUTED_VALUE"""),"Wounded")</f>
        <v>Wounded</v>
      </c>
      <c r="C1919" s="5" t="str">
        <f ca="1">IFERROR(__xludf.DUMMYFUNCTION("""COMPUTED_VALUE"""),"Female")</f>
        <v>Female</v>
      </c>
      <c r="D1919" s="5" t="str">
        <f ca="1">IFERROR(__xludf.DUMMYFUNCTION("""COMPUTED_VALUE"""),"Student")</f>
        <v>Student</v>
      </c>
      <c r="E1919" s="5">
        <f ca="1">IFERROR(__xludf.DUMMYFUNCTION("""COMPUTED_VALUE"""),15)</f>
        <v>15</v>
      </c>
      <c r="F1919" s="5"/>
    </row>
    <row r="1920" spans="1:6" ht="13">
      <c r="A1920" s="5" t="str">
        <f ca="1">IFERROR(__xludf.DUMMYFUNCTION("""COMPUTED_VALUE"""),"20031029LAMAM")</f>
        <v>20031029LAMAM</v>
      </c>
      <c r="B1920" s="5" t="str">
        <f ca="1">IFERROR(__xludf.DUMMYFUNCTION("""COMPUTED_VALUE"""),"None")</f>
        <v>None</v>
      </c>
      <c r="C1920" s="5" t="str">
        <f ca="1">IFERROR(__xludf.DUMMYFUNCTION("""COMPUTED_VALUE"""),"Male")</f>
        <v>Male</v>
      </c>
      <c r="D1920" s="5" t="str">
        <f ca="1">IFERROR(__xludf.DUMMYFUNCTION("""COMPUTED_VALUE"""),"Student")</f>
        <v>Student</v>
      </c>
      <c r="E1920" s="5">
        <f ca="1">IFERROR(__xludf.DUMMYFUNCTION("""COMPUTED_VALUE"""),12)</f>
        <v>12</v>
      </c>
      <c r="F1920" s="5"/>
    </row>
    <row r="1921" spans="1:6" ht="13">
      <c r="A1921" s="5" t="str">
        <f ca="1">IFERROR(__xludf.DUMMYFUNCTION("""COMPUTED_VALUE"""),"20031007OHKEA")</f>
        <v>20031007OHKEA</v>
      </c>
      <c r="B1921" s="5" t="str">
        <f ca="1">IFERROR(__xludf.DUMMYFUNCTION("""COMPUTED_VALUE"""),"Wounded")</f>
        <v>Wounded</v>
      </c>
      <c r="C1921" s="5" t="str">
        <f ca="1">IFERROR(__xludf.DUMMYFUNCTION("""COMPUTED_VALUE"""),"Male")</f>
        <v>Male</v>
      </c>
      <c r="D1921" s="5" t="str">
        <f ca="1">IFERROR(__xludf.DUMMYFUNCTION("""COMPUTED_VALUE"""),"Student")</f>
        <v>Student</v>
      </c>
      <c r="E1921" s="5">
        <f ca="1">IFERROR(__xludf.DUMMYFUNCTION("""COMPUTED_VALUE"""),17)</f>
        <v>17</v>
      </c>
      <c r="F1921" s="5"/>
    </row>
    <row r="1922" spans="1:6" ht="13">
      <c r="A1922" s="5" t="str">
        <f ca="1">IFERROR(__xludf.DUMMYFUNCTION("""COMPUTED_VALUE"""),"20031001CARIS")</f>
        <v>20031001CARIS</v>
      </c>
      <c r="B1922" s="5" t="str">
        <f ca="1">IFERROR(__xludf.DUMMYFUNCTION("""COMPUTED_VALUE"""),"Wounded")</f>
        <v>Wounded</v>
      </c>
      <c r="C1922" s="5" t="str">
        <f ca="1">IFERROR(__xludf.DUMMYFUNCTION("""COMPUTED_VALUE"""),"Male")</f>
        <v>Male</v>
      </c>
      <c r="D1922" s="5" t="str">
        <f ca="1">IFERROR(__xludf.DUMMYFUNCTION("""COMPUTED_VALUE"""),"Principal/Vice-Principal")</f>
        <v>Principal/Vice-Principal</v>
      </c>
      <c r="E1922" s="5" t="str">
        <f ca="1">IFERROR(__xludf.DUMMYFUNCTION("""COMPUTED_VALUE"""),"Adult")</f>
        <v>Adult</v>
      </c>
      <c r="F1922" s="5"/>
    </row>
    <row r="1923" spans="1:6" ht="13">
      <c r="A1923" s="5" t="str">
        <f ca="1">IFERROR(__xludf.DUMMYFUNCTION("""COMPUTED_VALUE"""),"20030925NCBUL")</f>
        <v>20030925NCBUL</v>
      </c>
      <c r="B1923" s="5" t="str">
        <f ca="1">IFERROR(__xludf.DUMMYFUNCTION("""COMPUTED_VALUE"""),"None")</f>
        <v>None</v>
      </c>
      <c r="C1923" s="5"/>
      <c r="D1923" s="5"/>
      <c r="E1923" s="5"/>
      <c r="F1923" s="5"/>
    </row>
    <row r="1924" spans="1:6" ht="13">
      <c r="A1924" s="5" t="str">
        <f ca="1">IFERROR(__xludf.DUMMYFUNCTION("""COMPUTED_VALUE"""),"20030924MNROC")</f>
        <v>20030924MNROC</v>
      </c>
      <c r="B1924" s="5" t="str">
        <f ca="1">IFERROR(__xludf.DUMMYFUNCTION("""COMPUTED_VALUE"""),"Fatal")</f>
        <v>Fatal</v>
      </c>
      <c r="C1924" s="5" t="str">
        <f ca="1">IFERROR(__xludf.DUMMYFUNCTION("""COMPUTED_VALUE"""),"Male")</f>
        <v>Male</v>
      </c>
      <c r="D1924" s="5" t="str">
        <f ca="1">IFERROR(__xludf.DUMMYFUNCTION("""COMPUTED_VALUE"""),"Student")</f>
        <v>Student</v>
      </c>
      <c r="E1924" s="5">
        <f ca="1">IFERROR(__xludf.DUMMYFUNCTION("""COMPUTED_VALUE"""),14)</f>
        <v>14</v>
      </c>
      <c r="F1924" s="5"/>
    </row>
    <row r="1925" spans="1:6" ht="13">
      <c r="A1925" s="5" t="str">
        <f ca="1">IFERROR(__xludf.DUMMYFUNCTION("""COMPUTED_VALUE"""),"20030924MNROC")</f>
        <v>20030924MNROC</v>
      </c>
      <c r="B1925" s="5" t="str">
        <f ca="1">IFERROR(__xludf.DUMMYFUNCTION("""COMPUTED_VALUE"""),"Fatal")</f>
        <v>Fatal</v>
      </c>
      <c r="C1925" s="5" t="str">
        <f ca="1">IFERROR(__xludf.DUMMYFUNCTION("""COMPUTED_VALUE"""),"Male")</f>
        <v>Male</v>
      </c>
      <c r="D1925" s="5" t="str">
        <f ca="1">IFERROR(__xludf.DUMMYFUNCTION("""COMPUTED_VALUE"""),"Student")</f>
        <v>Student</v>
      </c>
      <c r="E1925" s="5">
        <f ca="1">IFERROR(__xludf.DUMMYFUNCTION("""COMPUTED_VALUE"""),17)</f>
        <v>17</v>
      </c>
      <c r="F1925" s="5"/>
    </row>
    <row r="1926" spans="1:6" ht="13">
      <c r="A1926" s="5" t="str">
        <f ca="1">IFERROR(__xludf.DUMMYFUNCTION("""COMPUTED_VALUE"""),"20030922WALES")</f>
        <v>20030922WALES</v>
      </c>
      <c r="B1926" s="5" t="str">
        <f ca="1">IFERROR(__xludf.DUMMYFUNCTION("""COMPUTED_VALUE"""),"Wounded")</f>
        <v>Wounded</v>
      </c>
      <c r="C1926" s="5" t="str">
        <f ca="1">IFERROR(__xludf.DUMMYFUNCTION("""COMPUTED_VALUE"""),"Male")</f>
        <v>Male</v>
      </c>
      <c r="D1926" s="5" t="str">
        <f ca="1">IFERROR(__xludf.DUMMYFUNCTION("""COMPUTED_VALUE"""),"Student")</f>
        <v>Student</v>
      </c>
      <c r="E1926" s="5">
        <f ca="1">IFERROR(__xludf.DUMMYFUNCTION("""COMPUTED_VALUE"""),17)</f>
        <v>17</v>
      </c>
      <c r="F1926" s="5"/>
    </row>
    <row r="1927" spans="1:6" ht="13">
      <c r="A1927" s="5" t="str">
        <f ca="1">IFERROR(__xludf.DUMMYFUNCTION("""COMPUTED_VALUE"""),"20030917MDOKE")</f>
        <v>20030917MDOKE</v>
      </c>
      <c r="B1927" s="5" t="str">
        <f ca="1">IFERROR(__xludf.DUMMYFUNCTION("""COMPUTED_VALUE"""),"None")</f>
        <v>None</v>
      </c>
      <c r="C1927" s="5"/>
      <c r="D1927" s="5"/>
      <c r="E1927" s="5"/>
      <c r="F1927" s="5"/>
    </row>
    <row r="1928" spans="1:6" ht="13">
      <c r="A1928" s="5" t="str">
        <f ca="1">IFERROR(__xludf.DUMMYFUNCTION("""COMPUTED_VALUE"""),"20030917MACHB")</f>
        <v>20030917MACHB</v>
      </c>
      <c r="B1928" s="5" t="str">
        <f ca="1">IFERROR(__xludf.DUMMYFUNCTION("""COMPUTED_VALUE"""),"Wounded")</f>
        <v>Wounded</v>
      </c>
      <c r="C1928" s="5" t="str">
        <f ca="1">IFERROR(__xludf.DUMMYFUNCTION("""COMPUTED_VALUE"""),"Male")</f>
        <v>Male</v>
      </c>
      <c r="D1928" s="5" t="str">
        <f ca="1">IFERROR(__xludf.DUMMYFUNCTION("""COMPUTED_VALUE"""),"Student")</f>
        <v>Student</v>
      </c>
      <c r="E1928" s="5">
        <f ca="1">IFERROR(__xludf.DUMMYFUNCTION("""COMPUTED_VALUE"""),15)</f>
        <v>15</v>
      </c>
      <c r="F1928" s="5"/>
    </row>
    <row r="1929" spans="1:6" ht="13">
      <c r="A1929" s="5" t="str">
        <f ca="1">IFERROR(__xludf.DUMMYFUNCTION("""COMPUTED_VALUE"""),"20030917MACHB")</f>
        <v>20030917MACHB</v>
      </c>
      <c r="B1929" s="5" t="str">
        <f ca="1">IFERROR(__xludf.DUMMYFUNCTION("""COMPUTED_VALUE"""),"Wounded")</f>
        <v>Wounded</v>
      </c>
      <c r="C1929" s="5" t="str">
        <f ca="1">IFERROR(__xludf.DUMMYFUNCTION("""COMPUTED_VALUE"""),"Male")</f>
        <v>Male</v>
      </c>
      <c r="D1929" s="5" t="str">
        <f ca="1">IFERROR(__xludf.DUMMYFUNCTION("""COMPUTED_VALUE"""),"Police Officer/SRO")</f>
        <v>Police Officer/SRO</v>
      </c>
      <c r="E1929" s="5" t="str">
        <f ca="1">IFERROR(__xludf.DUMMYFUNCTION("""COMPUTED_VALUE"""),"Adult")</f>
        <v>Adult</v>
      </c>
      <c r="F1929" s="5"/>
    </row>
    <row r="1930" spans="1:6" ht="13">
      <c r="A1930" s="5" t="str">
        <f ca="1">IFERROR(__xludf.DUMMYFUNCTION("""COMPUTED_VALUE"""),"20030910MSVIV")</f>
        <v>20030910MSVIV</v>
      </c>
      <c r="B1930" s="5" t="str">
        <f ca="1">IFERROR(__xludf.DUMMYFUNCTION("""COMPUTED_VALUE"""),"Fatal")</f>
        <v>Fatal</v>
      </c>
      <c r="C1930" s="5" t="str">
        <f ca="1">IFERROR(__xludf.DUMMYFUNCTION("""COMPUTED_VALUE"""),"Male")</f>
        <v>Male</v>
      </c>
      <c r="D1930" s="5"/>
      <c r="E1930" s="5">
        <f ca="1">IFERROR(__xludf.DUMMYFUNCTION("""COMPUTED_VALUE"""),20)</f>
        <v>20</v>
      </c>
      <c r="F1930" s="5"/>
    </row>
    <row r="1931" spans="1:6" ht="13">
      <c r="A1931" s="5" t="str">
        <f ca="1">IFERROR(__xludf.DUMMYFUNCTION("""COMPUTED_VALUE"""),"20030604PAROW")</f>
        <v>20030604PAROW</v>
      </c>
      <c r="B1931" s="5" t="str">
        <f ca="1">IFERROR(__xludf.DUMMYFUNCTION("""COMPUTED_VALUE"""),"None")</f>
        <v>None</v>
      </c>
      <c r="C1931" s="5" t="str">
        <f ca="1">IFERROR(__xludf.DUMMYFUNCTION("""COMPUTED_VALUE"""),"Male")</f>
        <v>Male</v>
      </c>
      <c r="D1931" s="5" t="str">
        <f ca="1">IFERROR(__xludf.DUMMYFUNCTION("""COMPUTED_VALUE"""),"Student")</f>
        <v>Student</v>
      </c>
      <c r="E1931" s="5">
        <f ca="1">IFERROR(__xludf.DUMMYFUNCTION("""COMPUTED_VALUE"""),12)</f>
        <v>12</v>
      </c>
      <c r="F1931" s="5"/>
    </row>
    <row r="1932" spans="1:6" ht="13">
      <c r="A1932" s="5" t="str">
        <f ca="1">IFERROR(__xludf.DUMMYFUNCTION("""COMPUTED_VALUE"""),"20030513PAFOJ")</f>
        <v>20030513PAFOJ</v>
      </c>
      <c r="B1932" s="5" t="str">
        <f ca="1">IFERROR(__xludf.DUMMYFUNCTION("""COMPUTED_VALUE"""),"None")</f>
        <v>None</v>
      </c>
      <c r="C1932" s="5" t="str">
        <f ca="1">IFERROR(__xludf.DUMMYFUNCTION("""COMPUTED_VALUE"""),"Male")</f>
        <v>Male</v>
      </c>
      <c r="D1932" s="5" t="str">
        <f ca="1">IFERROR(__xludf.DUMMYFUNCTION("""COMPUTED_VALUE"""),"Student")</f>
        <v>Student</v>
      </c>
      <c r="E1932" s="5">
        <f ca="1">IFERROR(__xludf.DUMMYFUNCTION("""COMPUTED_VALUE"""),18)</f>
        <v>18</v>
      </c>
      <c r="F1932" s="5"/>
    </row>
    <row r="1933" spans="1:6" ht="13">
      <c r="A1933" s="5" t="str">
        <f ca="1">IFERROR(__xludf.DUMMYFUNCTION("""COMPUTED_VALUE"""),"20030424PARER")</f>
        <v>20030424PARER</v>
      </c>
      <c r="B1933" s="5" t="str">
        <f ca="1">IFERROR(__xludf.DUMMYFUNCTION("""COMPUTED_VALUE"""),"Fatal")</f>
        <v>Fatal</v>
      </c>
      <c r="C1933" s="5" t="str">
        <f ca="1">IFERROR(__xludf.DUMMYFUNCTION("""COMPUTED_VALUE"""),"Male")</f>
        <v>Male</v>
      </c>
      <c r="D1933" s="5" t="str">
        <f ca="1">IFERROR(__xludf.DUMMYFUNCTION("""COMPUTED_VALUE"""),"Principal/Vice-Principal")</f>
        <v>Principal/Vice-Principal</v>
      </c>
      <c r="E1933" s="5" t="str">
        <f ca="1">IFERROR(__xludf.DUMMYFUNCTION("""COMPUTED_VALUE"""),"Adult")</f>
        <v>Adult</v>
      </c>
      <c r="F1933" s="5"/>
    </row>
    <row r="1934" spans="1:6" ht="13">
      <c r="A1934" s="5" t="str">
        <f ca="1">IFERROR(__xludf.DUMMYFUNCTION("""COMPUTED_VALUE"""),"20030416TXGRA")</f>
        <v>20030416TXGRA</v>
      </c>
      <c r="B1934" s="5" t="str">
        <f ca="1">IFERROR(__xludf.DUMMYFUNCTION("""COMPUTED_VALUE"""),"None")</f>
        <v>None</v>
      </c>
      <c r="C1934" s="5" t="str">
        <f ca="1">IFERROR(__xludf.DUMMYFUNCTION("""COMPUTED_VALUE"""),"Female")</f>
        <v>Female</v>
      </c>
      <c r="D1934" s="5" t="str">
        <f ca="1">IFERROR(__xludf.DUMMYFUNCTION("""COMPUTED_VALUE"""),"Student")</f>
        <v>Student</v>
      </c>
      <c r="E1934" s="5">
        <f ca="1">IFERROR(__xludf.DUMMYFUNCTION("""COMPUTED_VALUE"""),12)</f>
        <v>12</v>
      </c>
      <c r="F1934" s="5"/>
    </row>
    <row r="1935" spans="1:6" ht="13">
      <c r="A1935" s="5" t="str">
        <f ca="1">IFERROR(__xludf.DUMMYFUNCTION("""COMPUTED_VALUE"""),"20030414LAJON")</f>
        <v>20030414LAJON</v>
      </c>
      <c r="B1935" s="5" t="str">
        <f ca="1">IFERROR(__xludf.DUMMYFUNCTION("""COMPUTED_VALUE"""),"Wounded")</f>
        <v>Wounded</v>
      </c>
      <c r="C1935" s="5" t="str">
        <f ca="1">IFERROR(__xludf.DUMMYFUNCTION("""COMPUTED_VALUE"""),"Male")</f>
        <v>Male</v>
      </c>
      <c r="D1935" s="5" t="str">
        <f ca="1">IFERROR(__xludf.DUMMYFUNCTION("""COMPUTED_VALUE"""),"Student")</f>
        <v>Student</v>
      </c>
      <c r="E1935" s="5">
        <f ca="1">IFERROR(__xludf.DUMMYFUNCTION("""COMPUTED_VALUE"""),18)</f>
        <v>18</v>
      </c>
      <c r="F1935" s="5"/>
    </row>
    <row r="1936" spans="1:6" ht="13">
      <c r="A1936" s="5" t="str">
        <f ca="1">IFERROR(__xludf.DUMMYFUNCTION("""COMPUTED_VALUE"""),"20030414LAJON")</f>
        <v>20030414LAJON</v>
      </c>
      <c r="B1936" s="5" t="str">
        <f ca="1">IFERROR(__xludf.DUMMYFUNCTION("""COMPUTED_VALUE"""),"Wounded")</f>
        <v>Wounded</v>
      </c>
      <c r="C1936" s="5" t="str">
        <f ca="1">IFERROR(__xludf.DUMMYFUNCTION("""COMPUTED_VALUE"""),"Male")</f>
        <v>Male</v>
      </c>
      <c r="D1936" s="5" t="str">
        <f ca="1">IFERROR(__xludf.DUMMYFUNCTION("""COMPUTED_VALUE"""),"Student")</f>
        <v>Student</v>
      </c>
      <c r="E1936" s="5">
        <f ca="1">IFERROR(__xludf.DUMMYFUNCTION("""COMPUTED_VALUE"""),15)</f>
        <v>15</v>
      </c>
      <c r="F1936" s="5"/>
    </row>
    <row r="1937" spans="1:6" ht="13">
      <c r="A1937" s="5" t="str">
        <f ca="1">IFERROR(__xludf.DUMMYFUNCTION("""COMPUTED_VALUE"""),"20030414LAJON")</f>
        <v>20030414LAJON</v>
      </c>
      <c r="B1937" s="5" t="str">
        <f ca="1">IFERROR(__xludf.DUMMYFUNCTION("""COMPUTED_VALUE"""),"Wounded")</f>
        <v>Wounded</v>
      </c>
      <c r="C1937" s="5" t="str">
        <f ca="1">IFERROR(__xludf.DUMMYFUNCTION("""COMPUTED_VALUE"""),"Male")</f>
        <v>Male</v>
      </c>
      <c r="D1937" s="5" t="str">
        <f ca="1">IFERROR(__xludf.DUMMYFUNCTION("""COMPUTED_VALUE"""),"Student")</f>
        <v>Student</v>
      </c>
      <c r="E1937" s="5">
        <f ca="1">IFERROR(__xludf.DUMMYFUNCTION("""COMPUTED_VALUE"""),18)</f>
        <v>18</v>
      </c>
      <c r="F1937" s="5"/>
    </row>
    <row r="1938" spans="1:6" ht="13">
      <c r="A1938" s="5" t="str">
        <f ca="1">IFERROR(__xludf.DUMMYFUNCTION("""COMPUTED_VALUE"""),"20030414LAJON")</f>
        <v>20030414LAJON</v>
      </c>
      <c r="B1938" s="5" t="str">
        <f ca="1">IFERROR(__xludf.DUMMYFUNCTION("""COMPUTED_VALUE"""),"Fatal")</f>
        <v>Fatal</v>
      </c>
      <c r="C1938" s="5" t="str">
        <f ca="1">IFERROR(__xludf.DUMMYFUNCTION("""COMPUTED_VALUE"""),"Male")</f>
        <v>Male</v>
      </c>
      <c r="D1938" s="5" t="str">
        <f ca="1">IFERROR(__xludf.DUMMYFUNCTION("""COMPUTED_VALUE"""),"Student")</f>
        <v>Student</v>
      </c>
      <c r="E1938" s="5">
        <f ca="1">IFERROR(__xludf.DUMMYFUNCTION("""COMPUTED_VALUE"""),18)</f>
        <v>18</v>
      </c>
      <c r="F1938" s="5"/>
    </row>
    <row r="1939" spans="1:6" ht="13">
      <c r="A1939" s="5" t="str">
        <f ca="1">IFERROR(__xludf.DUMMYFUNCTION("""COMPUTED_VALUE"""),"20030414LAJON")</f>
        <v>20030414LAJON</v>
      </c>
      <c r="B1939" s="5" t="str">
        <f ca="1">IFERROR(__xludf.DUMMYFUNCTION("""COMPUTED_VALUE"""),"Wounded")</f>
        <v>Wounded</v>
      </c>
      <c r="C1939" s="5" t="str">
        <f ca="1">IFERROR(__xludf.DUMMYFUNCTION("""COMPUTED_VALUE"""),"Female")</f>
        <v>Female</v>
      </c>
      <c r="D1939" s="5" t="str">
        <f ca="1">IFERROR(__xludf.DUMMYFUNCTION("""COMPUTED_VALUE"""),"Student")</f>
        <v>Student</v>
      </c>
      <c r="E1939" s="5">
        <f ca="1">IFERROR(__xludf.DUMMYFUNCTION("""COMPUTED_VALUE"""),16)</f>
        <v>16</v>
      </c>
      <c r="F1939" s="5"/>
    </row>
    <row r="1940" spans="1:6" ht="13">
      <c r="A1940" s="5" t="str">
        <f ca="1">IFERROR(__xludf.DUMMYFUNCTION("""COMPUTED_VALUE"""),"20030414LAFAS")</f>
        <v>20030414LAFAS</v>
      </c>
      <c r="B1940" s="5" t="str">
        <f ca="1">IFERROR(__xludf.DUMMYFUNCTION("""COMPUTED_VALUE"""),"Wounded")</f>
        <v>Wounded</v>
      </c>
      <c r="C1940" s="5" t="str">
        <f ca="1">IFERROR(__xludf.DUMMYFUNCTION("""COMPUTED_VALUE"""),"Male")</f>
        <v>Male</v>
      </c>
      <c r="D1940" s="5" t="str">
        <f ca="1">IFERROR(__xludf.DUMMYFUNCTION("""COMPUTED_VALUE"""),"Student")</f>
        <v>Student</v>
      </c>
      <c r="E1940" s="5">
        <f ca="1">IFERROR(__xludf.DUMMYFUNCTION("""COMPUTED_VALUE"""),18)</f>
        <v>18</v>
      </c>
      <c r="F1940" s="5"/>
    </row>
    <row r="1941" spans="1:6" ht="13">
      <c r="A1941" s="5" t="str">
        <f ca="1">IFERROR(__xludf.DUMMYFUNCTION("""COMPUTED_VALUE"""),"20030401DCCAW")</f>
        <v>20030401DCCAW</v>
      </c>
      <c r="B1941" s="5" t="str">
        <f ca="1">IFERROR(__xludf.DUMMYFUNCTION("""COMPUTED_VALUE"""),"Wounded")</f>
        <v>Wounded</v>
      </c>
      <c r="C1941" s="5" t="str">
        <f ca="1">IFERROR(__xludf.DUMMYFUNCTION("""COMPUTED_VALUE"""),"Male")</f>
        <v>Male</v>
      </c>
      <c r="D1941" s="5" t="str">
        <f ca="1">IFERROR(__xludf.DUMMYFUNCTION("""COMPUTED_VALUE"""),"Student")</f>
        <v>Student</v>
      </c>
      <c r="E1941" s="5">
        <f ca="1">IFERROR(__xludf.DUMMYFUNCTION("""COMPUTED_VALUE"""),16)</f>
        <v>16</v>
      </c>
      <c r="F1941" s="5"/>
    </row>
    <row r="1942" spans="1:6" ht="13">
      <c r="A1942" s="5" t="str">
        <f ca="1">IFERROR(__xludf.DUMMYFUNCTION("""COMPUTED_VALUE"""),"20030330CAROW")</f>
        <v>20030330CAROW</v>
      </c>
      <c r="B1942" s="5" t="str">
        <f ca="1">IFERROR(__xludf.DUMMYFUNCTION("""COMPUTED_VALUE"""),"Fatal")</f>
        <v>Fatal</v>
      </c>
      <c r="C1942" s="5" t="str">
        <f ca="1">IFERROR(__xludf.DUMMYFUNCTION("""COMPUTED_VALUE"""),"Male")</f>
        <v>Male</v>
      </c>
      <c r="D1942" s="5" t="str">
        <f ca="1">IFERROR(__xludf.DUMMYFUNCTION("""COMPUTED_VALUE"""),"No Relation")</f>
        <v>No Relation</v>
      </c>
      <c r="E1942" s="5">
        <f ca="1">IFERROR(__xludf.DUMMYFUNCTION("""COMPUTED_VALUE"""),30)</f>
        <v>30</v>
      </c>
      <c r="F1942" s="5" t="str">
        <f ca="1">IFERROR(__xludf.DUMMYFUNCTION("""COMPUTED_VALUE"""),"Hispanic")</f>
        <v>Hispanic</v>
      </c>
    </row>
    <row r="1943" spans="1:6" ht="13">
      <c r="A1943" s="5" t="str">
        <f ca="1">IFERROR(__xludf.DUMMYFUNCTION("""COMPUTED_VALUE"""),"20030321MSNOM")</f>
        <v>20030321MSNOM</v>
      </c>
      <c r="B1943" s="5" t="str">
        <f ca="1">IFERROR(__xludf.DUMMYFUNCTION("""COMPUTED_VALUE"""),"None")</f>
        <v>None</v>
      </c>
      <c r="C1943" s="5" t="str">
        <f ca="1">IFERROR(__xludf.DUMMYFUNCTION("""COMPUTED_VALUE"""),"Male")</f>
        <v>Male</v>
      </c>
      <c r="D1943" s="5" t="str">
        <f ca="1">IFERROR(__xludf.DUMMYFUNCTION("""COMPUTED_VALUE"""),"Student")</f>
        <v>Student</v>
      </c>
      <c r="E1943" s="5">
        <f ca="1">IFERROR(__xludf.DUMMYFUNCTION("""COMPUTED_VALUE"""),15)</f>
        <v>15</v>
      </c>
      <c r="F1943" s="5"/>
    </row>
    <row r="1944" spans="1:6" ht="13">
      <c r="A1944" s="5" t="str">
        <f ca="1">IFERROR(__xludf.DUMMYFUNCTION("""COMPUTED_VALUE"""),"20030318IACLG")</f>
        <v>20030318IACLG</v>
      </c>
      <c r="B1944" s="5" t="str">
        <f ca="1">IFERROR(__xludf.DUMMYFUNCTION("""COMPUTED_VALUE"""),"None")</f>
        <v>None</v>
      </c>
      <c r="C1944" s="5" t="str">
        <f ca="1">IFERROR(__xludf.DUMMYFUNCTION("""COMPUTED_VALUE"""),"Male")</f>
        <v>Male</v>
      </c>
      <c r="D1944" s="5" t="str">
        <f ca="1">IFERROR(__xludf.DUMMYFUNCTION("""COMPUTED_VALUE"""),"Student")</f>
        <v>Student</v>
      </c>
      <c r="E1944" s="5">
        <f ca="1">IFERROR(__xludf.DUMMYFUNCTION("""COMPUTED_VALUE"""),17)</f>
        <v>17</v>
      </c>
      <c r="F1944" s="5"/>
    </row>
    <row r="1945" spans="1:6" ht="13">
      <c r="A1945" s="5" t="str">
        <f ca="1">IFERROR(__xludf.DUMMYFUNCTION("""COMPUTED_VALUE"""),"20030205CORAW")</f>
        <v>20030205CORAW</v>
      </c>
      <c r="B1945" s="5" t="str">
        <f ca="1">IFERROR(__xludf.DUMMYFUNCTION("""COMPUTED_VALUE"""),"None")</f>
        <v>None</v>
      </c>
      <c r="C1945" s="5" t="str">
        <f ca="1">IFERROR(__xludf.DUMMYFUNCTION("""COMPUTED_VALUE"""),"Male")</f>
        <v>Male</v>
      </c>
      <c r="D1945" s="5" t="str">
        <f ca="1">IFERROR(__xludf.DUMMYFUNCTION("""COMPUTED_VALUE"""),"Student")</f>
        <v>Student</v>
      </c>
      <c r="E1945" s="5">
        <f ca="1">IFERROR(__xludf.DUMMYFUNCTION("""COMPUTED_VALUE"""),14)</f>
        <v>14</v>
      </c>
      <c r="F1945" s="5"/>
    </row>
    <row r="1946" spans="1:6" ht="13">
      <c r="A1946" s="5" t="str">
        <f ca="1">IFERROR(__xludf.DUMMYFUNCTION("""COMPUTED_VALUE"""),"20030130OKJEJ")</f>
        <v>20030130OKJEJ</v>
      </c>
      <c r="B1946" s="5" t="str">
        <f ca="1">IFERROR(__xludf.DUMMYFUNCTION("""COMPUTED_VALUE"""),"None")</f>
        <v>None</v>
      </c>
      <c r="C1946" s="5"/>
      <c r="D1946" s="5"/>
      <c r="E1946" s="5"/>
      <c r="F1946" s="5"/>
    </row>
    <row r="1947" spans="1:6" ht="13">
      <c r="A1947" s="5" t="str">
        <f ca="1">IFERROR(__xludf.DUMMYFUNCTION("""COMPUTED_VALUE"""),"20030121KYWEO")</f>
        <v>20030121KYWEO</v>
      </c>
      <c r="B1947" s="5" t="str">
        <f ca="1">IFERROR(__xludf.DUMMYFUNCTION("""COMPUTED_VALUE"""),"None")</f>
        <v>None</v>
      </c>
      <c r="C1947" s="5" t="str">
        <f ca="1">IFERROR(__xludf.DUMMYFUNCTION("""COMPUTED_VALUE"""),"Male")</f>
        <v>Male</v>
      </c>
      <c r="D1947" s="5" t="str">
        <f ca="1">IFERROR(__xludf.DUMMYFUNCTION("""COMPUTED_VALUE"""),"Student")</f>
        <v>Student</v>
      </c>
      <c r="E1947" s="5" t="str">
        <f ca="1">IFERROR(__xludf.DUMMYFUNCTION("""COMPUTED_VALUE"""),"Child")</f>
        <v>Child</v>
      </c>
      <c r="F1947" s="5"/>
    </row>
    <row r="1948" spans="1:6" ht="13">
      <c r="A1948" s="5" t="str">
        <f ca="1">IFERROR(__xludf.DUMMYFUNCTION("""COMPUTED_VALUE"""),"20021216ILENC")</f>
        <v>20021216ILENC</v>
      </c>
      <c r="B1948" s="5" t="str">
        <f ca="1">IFERROR(__xludf.DUMMYFUNCTION("""COMPUTED_VALUE"""),"Fatal")</f>
        <v>Fatal</v>
      </c>
      <c r="C1948" s="5" t="str">
        <f ca="1">IFERROR(__xludf.DUMMYFUNCTION("""COMPUTED_VALUE"""),"Male")</f>
        <v>Male</v>
      </c>
      <c r="D1948" s="5" t="str">
        <f ca="1">IFERROR(__xludf.DUMMYFUNCTION("""COMPUTED_VALUE"""),"Student")</f>
        <v>Student</v>
      </c>
      <c r="E1948" s="5">
        <f ca="1">IFERROR(__xludf.DUMMYFUNCTION("""COMPUTED_VALUE"""),18)</f>
        <v>18</v>
      </c>
      <c r="F1948" s="5"/>
    </row>
    <row r="1949" spans="1:6" ht="13">
      <c r="A1949" s="5" t="str">
        <f ca="1">IFERROR(__xludf.DUMMYFUNCTION("""COMPUTED_VALUE"""),"20021216ILENC")</f>
        <v>20021216ILENC</v>
      </c>
      <c r="B1949" s="5" t="str">
        <f ca="1">IFERROR(__xludf.DUMMYFUNCTION("""COMPUTED_VALUE"""),"Wounded")</f>
        <v>Wounded</v>
      </c>
      <c r="C1949" s="5" t="str">
        <f ca="1">IFERROR(__xludf.DUMMYFUNCTION("""COMPUTED_VALUE"""),"Female")</f>
        <v>Female</v>
      </c>
      <c r="D1949" s="5" t="str">
        <f ca="1">IFERROR(__xludf.DUMMYFUNCTION("""COMPUTED_VALUE"""),"Student")</f>
        <v>Student</v>
      </c>
      <c r="E1949" s="5">
        <f ca="1">IFERROR(__xludf.DUMMYFUNCTION("""COMPUTED_VALUE"""),17)</f>
        <v>17</v>
      </c>
      <c r="F1949" s="5"/>
    </row>
    <row r="1950" spans="1:6" ht="13">
      <c r="A1950" s="5" t="str">
        <f ca="1">IFERROR(__xludf.DUMMYFUNCTION("""COMPUTED_VALUE"""),"20021212WAWIC")</f>
        <v>20021212WAWIC</v>
      </c>
      <c r="B1950" s="5" t="str">
        <f ca="1">IFERROR(__xludf.DUMMYFUNCTION("""COMPUTED_VALUE"""),"Minor Injuries")</f>
        <v>Minor Injuries</v>
      </c>
      <c r="C1950" s="5" t="str">
        <f ca="1">IFERROR(__xludf.DUMMYFUNCTION("""COMPUTED_VALUE"""),"Male")</f>
        <v>Male</v>
      </c>
      <c r="D1950" s="5" t="str">
        <f ca="1">IFERROR(__xludf.DUMMYFUNCTION("""COMPUTED_VALUE"""),"Student")</f>
        <v>Student</v>
      </c>
      <c r="E1950" s="5" t="str">
        <f ca="1">IFERROR(__xludf.DUMMYFUNCTION("""COMPUTED_VALUE"""),"Teen")</f>
        <v>Teen</v>
      </c>
      <c r="F1950" s="5"/>
    </row>
    <row r="1951" spans="1:6" ht="13">
      <c r="A1951" s="5" t="str">
        <f ca="1">IFERROR(__xludf.DUMMYFUNCTION("""COMPUTED_VALUE"""),"20021212WAWIC")</f>
        <v>20021212WAWIC</v>
      </c>
      <c r="B1951" s="5" t="str">
        <f ca="1">IFERROR(__xludf.DUMMYFUNCTION("""COMPUTED_VALUE"""),"Minor Injuries")</f>
        <v>Minor Injuries</v>
      </c>
      <c r="C1951" s="5" t="str">
        <f ca="1">IFERROR(__xludf.DUMMYFUNCTION("""COMPUTED_VALUE"""),"Female")</f>
        <v>Female</v>
      </c>
      <c r="D1951" s="5" t="str">
        <f ca="1">IFERROR(__xludf.DUMMYFUNCTION("""COMPUTED_VALUE"""),"Student")</f>
        <v>Student</v>
      </c>
      <c r="E1951" s="5" t="str">
        <f ca="1">IFERROR(__xludf.DUMMYFUNCTION("""COMPUTED_VALUE"""),"Teen")</f>
        <v>Teen</v>
      </c>
      <c r="F1951" s="5"/>
    </row>
    <row r="1952" spans="1:6" ht="13">
      <c r="A1952" s="5" t="str">
        <f ca="1">IFERROR(__xludf.DUMMYFUNCTION("""COMPUTED_VALUE"""),"20021202MIOSD")</f>
        <v>20021202MIOSD</v>
      </c>
      <c r="B1952" s="5" t="str">
        <f ca="1">IFERROR(__xludf.DUMMYFUNCTION("""COMPUTED_VALUE"""),"None")</f>
        <v>None</v>
      </c>
      <c r="C1952" s="5" t="str">
        <f ca="1">IFERROR(__xludf.DUMMYFUNCTION("""COMPUTED_VALUE"""),"Male")</f>
        <v>Male</v>
      </c>
      <c r="D1952" s="5" t="str">
        <f ca="1">IFERROR(__xludf.DUMMYFUNCTION("""COMPUTED_VALUE"""),"Student")</f>
        <v>Student</v>
      </c>
      <c r="E1952" s="5">
        <f ca="1">IFERROR(__xludf.DUMMYFUNCTION("""COMPUTED_VALUE"""),15)</f>
        <v>15</v>
      </c>
      <c r="F1952" s="5"/>
    </row>
    <row r="1953" spans="1:6" ht="13">
      <c r="A1953" s="5" t="str">
        <f ca="1">IFERROR(__xludf.DUMMYFUNCTION("""COMPUTED_VALUE"""),"20021115TXSCS")</f>
        <v>20021115TXSCS</v>
      </c>
      <c r="B1953" s="5" t="str">
        <f ca="1">IFERROR(__xludf.DUMMYFUNCTION("""COMPUTED_VALUE"""),"None")</f>
        <v>None</v>
      </c>
      <c r="C1953" s="5"/>
      <c r="D1953" s="5"/>
      <c r="E1953" s="5"/>
      <c r="F1953" s="5"/>
    </row>
    <row r="1954" spans="1:6" ht="13">
      <c r="A1954" s="5" t="str">
        <f ca="1">IFERROR(__xludf.DUMMYFUNCTION("""COMPUTED_VALUE"""),"20021115CAAML")</f>
        <v>20021115CAAML</v>
      </c>
      <c r="B1954" s="5" t="str">
        <f ca="1">IFERROR(__xludf.DUMMYFUNCTION("""COMPUTED_VALUE"""),"Wounded")</f>
        <v>Wounded</v>
      </c>
      <c r="C1954" s="5" t="str">
        <f ca="1">IFERROR(__xludf.DUMMYFUNCTION("""COMPUTED_VALUE"""),"Male")</f>
        <v>Male</v>
      </c>
      <c r="D1954" s="5" t="str">
        <f ca="1">IFERROR(__xludf.DUMMYFUNCTION("""COMPUTED_VALUE"""),"Student")</f>
        <v>Student</v>
      </c>
      <c r="E1954" s="5">
        <f ca="1">IFERROR(__xludf.DUMMYFUNCTION("""COMPUTED_VALUE"""),12)</f>
        <v>12</v>
      </c>
      <c r="F1954" s="5"/>
    </row>
    <row r="1955" spans="1:6" ht="13">
      <c r="A1955" s="5" t="str">
        <f ca="1">IFERROR(__xludf.DUMMYFUNCTION("""COMPUTED_VALUE"""),"20021115CAAML")</f>
        <v>20021115CAAML</v>
      </c>
      <c r="B1955" s="5" t="str">
        <f ca="1">IFERROR(__xludf.DUMMYFUNCTION("""COMPUTED_VALUE"""),"Wounded")</f>
        <v>Wounded</v>
      </c>
      <c r="C1955" s="5" t="str">
        <f ca="1">IFERROR(__xludf.DUMMYFUNCTION("""COMPUTED_VALUE"""),"Male")</f>
        <v>Male</v>
      </c>
      <c r="D1955" s="5" t="str">
        <f ca="1">IFERROR(__xludf.DUMMYFUNCTION("""COMPUTED_VALUE"""),"No Relation")</f>
        <v>No Relation</v>
      </c>
      <c r="E1955" s="5">
        <f ca="1">IFERROR(__xludf.DUMMYFUNCTION("""COMPUTED_VALUE"""),21)</f>
        <v>21</v>
      </c>
      <c r="F1955" s="5"/>
    </row>
    <row r="1956" spans="1:6" ht="13">
      <c r="A1956" s="5" t="str">
        <f ca="1">IFERROR(__xludf.DUMMYFUNCTION("""COMPUTED_VALUE"""),"20021107MOSTL")</f>
        <v>20021107MOSTL</v>
      </c>
      <c r="B1956" s="5" t="str">
        <f ca="1">IFERROR(__xludf.DUMMYFUNCTION("""COMPUTED_VALUE"""),"Wounded")</f>
        <v>Wounded</v>
      </c>
      <c r="C1956" s="5" t="str">
        <f ca="1">IFERROR(__xludf.DUMMYFUNCTION("""COMPUTED_VALUE"""),"Female")</f>
        <v>Female</v>
      </c>
      <c r="D1956" s="5" t="str">
        <f ca="1">IFERROR(__xludf.DUMMYFUNCTION("""COMPUTED_VALUE"""),"Parent")</f>
        <v>Parent</v>
      </c>
      <c r="E1956" s="5" t="str">
        <f ca="1">IFERROR(__xludf.DUMMYFUNCTION("""COMPUTED_VALUE"""),"Adult")</f>
        <v>Adult</v>
      </c>
      <c r="F1956" s="5"/>
    </row>
    <row r="1957" spans="1:6" ht="13">
      <c r="A1957" s="5" t="str">
        <f ca="1">IFERROR(__xludf.DUMMYFUNCTION("""COMPUTED_VALUE"""),"20021107MOSTL")</f>
        <v>20021107MOSTL</v>
      </c>
      <c r="B1957" s="5" t="str">
        <f ca="1">IFERROR(__xludf.DUMMYFUNCTION("""COMPUTED_VALUE"""),"Fatal")</f>
        <v>Fatal</v>
      </c>
      <c r="C1957" s="5" t="str">
        <f ca="1">IFERROR(__xludf.DUMMYFUNCTION("""COMPUTED_VALUE"""),"Male")</f>
        <v>Male</v>
      </c>
      <c r="D1957" s="5" t="str">
        <f ca="1">IFERROR(__xludf.DUMMYFUNCTION("""COMPUTED_VALUE"""),"Student")</f>
        <v>Student</v>
      </c>
      <c r="E1957" s="5">
        <f ca="1">IFERROR(__xludf.DUMMYFUNCTION("""COMPUTED_VALUE"""),9)</f>
        <v>9</v>
      </c>
      <c r="F1957" s="5"/>
    </row>
    <row r="1958" spans="1:6" ht="13">
      <c r="A1958" s="5" t="str">
        <f ca="1">IFERROR(__xludf.DUMMYFUNCTION("""COMPUTED_VALUE"""),"20021029NJLIJ")</f>
        <v>20021029NJLIJ</v>
      </c>
      <c r="B1958" s="5" t="str">
        <f ca="1">IFERROR(__xludf.DUMMYFUNCTION("""COMPUTED_VALUE"""),"Wounded")</f>
        <v>Wounded</v>
      </c>
      <c r="C1958" s="5" t="str">
        <f ca="1">IFERROR(__xludf.DUMMYFUNCTION("""COMPUTED_VALUE"""),"Male")</f>
        <v>Male</v>
      </c>
      <c r="D1958" s="5" t="str">
        <f ca="1">IFERROR(__xludf.DUMMYFUNCTION("""COMPUTED_VALUE"""),"Student")</f>
        <v>Student</v>
      </c>
      <c r="E1958" s="5">
        <f ca="1">IFERROR(__xludf.DUMMYFUNCTION("""COMPUTED_VALUE"""),15)</f>
        <v>15</v>
      </c>
      <c r="F1958" s="5"/>
    </row>
    <row r="1959" spans="1:6" ht="13">
      <c r="A1959" s="5" t="str">
        <f ca="1">IFERROR(__xludf.DUMMYFUNCTION("""COMPUTED_VALUE"""),"20021007MDBEB")</f>
        <v>20021007MDBEB</v>
      </c>
      <c r="B1959" s="5" t="str">
        <f ca="1">IFERROR(__xludf.DUMMYFUNCTION("""COMPUTED_VALUE"""),"Wounded")</f>
        <v>Wounded</v>
      </c>
      <c r="C1959" s="5" t="str">
        <f ca="1">IFERROR(__xludf.DUMMYFUNCTION("""COMPUTED_VALUE"""),"Male")</f>
        <v>Male</v>
      </c>
      <c r="D1959" s="5" t="str">
        <f ca="1">IFERROR(__xludf.DUMMYFUNCTION("""COMPUTED_VALUE"""),"Student")</f>
        <v>Student</v>
      </c>
      <c r="E1959" s="5">
        <f ca="1">IFERROR(__xludf.DUMMYFUNCTION("""COMPUTED_VALUE"""),13)</f>
        <v>13</v>
      </c>
      <c r="F1959" s="5"/>
    </row>
    <row r="1960" spans="1:6" ht="13">
      <c r="A1960" s="5" t="str">
        <f ca="1">IFERROR(__xludf.DUMMYFUNCTION("""COMPUTED_VALUE"""),"20021004TXPAS")</f>
        <v>20021004TXPAS</v>
      </c>
      <c r="B1960" s="5" t="str">
        <f ca="1">IFERROR(__xludf.DUMMYFUNCTION("""COMPUTED_VALUE"""),"None")</f>
        <v>None</v>
      </c>
      <c r="C1960" s="5" t="str">
        <f ca="1">IFERROR(__xludf.DUMMYFUNCTION("""COMPUTED_VALUE"""),"Female")</f>
        <v>Female</v>
      </c>
      <c r="D1960" s="5" t="str">
        <f ca="1">IFERROR(__xludf.DUMMYFUNCTION("""COMPUTED_VALUE"""),"Student")</f>
        <v>Student</v>
      </c>
      <c r="E1960" s="5">
        <f ca="1">IFERROR(__xludf.DUMMYFUNCTION("""COMPUTED_VALUE"""),13)</f>
        <v>13</v>
      </c>
      <c r="F1960" s="5"/>
    </row>
    <row r="1961" spans="1:6" ht="13">
      <c r="A1961" s="5" t="str">
        <f ca="1">IFERROR(__xludf.DUMMYFUNCTION("""COMPUTED_VALUE"""),"20021004MTCMG")</f>
        <v>20021004MTCMG</v>
      </c>
      <c r="B1961" s="5" t="str">
        <f ca="1">IFERROR(__xludf.DUMMYFUNCTION("""COMPUTED_VALUE"""),"None")</f>
        <v>None</v>
      </c>
      <c r="C1961" s="5" t="str">
        <f ca="1">IFERROR(__xludf.DUMMYFUNCTION("""COMPUTED_VALUE"""),"Male")</f>
        <v>Male</v>
      </c>
      <c r="D1961" s="5" t="str">
        <f ca="1">IFERROR(__xludf.DUMMYFUNCTION("""COMPUTED_VALUE"""),"Student")</f>
        <v>Student</v>
      </c>
      <c r="E1961" s="5" t="str">
        <f ca="1">IFERROR(__xludf.DUMMYFUNCTION("""COMPUTED_VALUE"""),"Teen")</f>
        <v>Teen</v>
      </c>
      <c r="F1961" s="5"/>
    </row>
    <row r="1962" spans="1:6" ht="13">
      <c r="A1962" s="5" t="str">
        <f ca="1">IFERROR(__xludf.DUMMYFUNCTION("""COMPUTED_VALUE"""),"20020426LAABN")</f>
        <v>20020426LAABN</v>
      </c>
      <c r="B1962" s="5" t="str">
        <f ca="1">IFERROR(__xludf.DUMMYFUNCTION("""COMPUTED_VALUE"""),"Fatal")</f>
        <v>Fatal</v>
      </c>
      <c r="C1962" s="5" t="str">
        <f ca="1">IFERROR(__xludf.DUMMYFUNCTION("""COMPUTED_VALUE"""),"Male")</f>
        <v>Male</v>
      </c>
      <c r="D1962" s="5" t="str">
        <f ca="1">IFERROR(__xludf.DUMMYFUNCTION("""COMPUTED_VALUE"""),"Security Guard")</f>
        <v>Security Guard</v>
      </c>
      <c r="E1962" s="5">
        <f ca="1">IFERROR(__xludf.DUMMYFUNCTION("""COMPUTED_VALUE"""),54)</f>
        <v>54</v>
      </c>
      <c r="F1962" s="5"/>
    </row>
    <row r="1963" spans="1:6" ht="13">
      <c r="A1963" s="5" t="str">
        <f ca="1">IFERROR(__xludf.DUMMYFUNCTION("""COMPUTED_VALUE"""),"20020406MDLEB")</f>
        <v>20020406MDLEB</v>
      </c>
      <c r="B1963" s="5" t="str">
        <f ca="1">IFERROR(__xludf.DUMMYFUNCTION("""COMPUTED_VALUE"""),"Fatal")</f>
        <v>Fatal</v>
      </c>
      <c r="C1963" s="5" t="str">
        <f ca="1">IFERROR(__xludf.DUMMYFUNCTION("""COMPUTED_VALUE"""),"Male")</f>
        <v>Male</v>
      </c>
      <c r="D1963" s="5" t="str">
        <f ca="1">IFERROR(__xludf.DUMMYFUNCTION("""COMPUTED_VALUE"""),"No Relation")</f>
        <v>No Relation</v>
      </c>
      <c r="E1963" s="5">
        <f ca="1">IFERROR(__xludf.DUMMYFUNCTION("""COMPUTED_VALUE"""),14)</f>
        <v>14</v>
      </c>
      <c r="F1963" s="5" t="str">
        <f ca="1">IFERROR(__xludf.DUMMYFUNCTION("""COMPUTED_VALUE"""),"Black")</f>
        <v>Black</v>
      </c>
    </row>
    <row r="1964" spans="1:6" ht="13">
      <c r="A1964" s="5" t="str">
        <f ca="1">IFERROR(__xludf.DUMMYFUNCTION("""COMPUTED_VALUE"""),"20020322CAJOC")</f>
        <v>20020322CAJOC</v>
      </c>
      <c r="B1964" s="5" t="str">
        <f ca="1">IFERROR(__xludf.DUMMYFUNCTION("""COMPUTED_VALUE"""),"None")</f>
        <v>None</v>
      </c>
      <c r="C1964" s="5" t="str">
        <f ca="1">IFERROR(__xludf.DUMMYFUNCTION("""COMPUTED_VALUE"""),"Female")</f>
        <v>Female</v>
      </c>
      <c r="D1964" s="5" t="str">
        <f ca="1">IFERROR(__xludf.DUMMYFUNCTION("""COMPUTED_VALUE"""),"Teacher")</f>
        <v>Teacher</v>
      </c>
      <c r="E1964" s="5" t="str">
        <f ca="1">IFERROR(__xludf.DUMMYFUNCTION("""COMPUTED_VALUE"""),"Adult")</f>
        <v>Adult</v>
      </c>
      <c r="F1964" s="5"/>
    </row>
    <row r="1965" spans="1:6" ht="13">
      <c r="A1965" s="5" t="str">
        <f ca="1">IFERROR(__xludf.DUMMYFUNCTION("""COMPUTED_VALUE"""),"20020207ILROC")</f>
        <v>20020207ILROC</v>
      </c>
      <c r="B1965" s="5" t="str">
        <f ca="1">IFERROR(__xludf.DUMMYFUNCTION("""COMPUTED_VALUE"""),"Wounded")</f>
        <v>Wounded</v>
      </c>
      <c r="C1965" s="5" t="str">
        <f ca="1">IFERROR(__xludf.DUMMYFUNCTION("""COMPUTED_VALUE"""),"Male")</f>
        <v>Male</v>
      </c>
      <c r="D1965" s="5" t="str">
        <f ca="1">IFERROR(__xludf.DUMMYFUNCTION("""COMPUTED_VALUE"""),"Student")</f>
        <v>Student</v>
      </c>
      <c r="E1965" s="5" t="str">
        <f ca="1">IFERROR(__xludf.DUMMYFUNCTION("""COMPUTED_VALUE"""),"Teen")</f>
        <v>Teen</v>
      </c>
      <c r="F1965" s="5"/>
    </row>
    <row r="1966" spans="1:6" ht="13">
      <c r="A1966" s="5" t="str">
        <f ca="1">IFERROR(__xludf.DUMMYFUNCTION("""COMPUTED_VALUE"""),"20020207ILROC")</f>
        <v>20020207ILROC</v>
      </c>
      <c r="B1966" s="5" t="str">
        <f ca="1">IFERROR(__xludf.DUMMYFUNCTION("""COMPUTED_VALUE"""),"Wounded")</f>
        <v>Wounded</v>
      </c>
      <c r="C1966" s="5" t="str">
        <f ca="1">IFERROR(__xludf.DUMMYFUNCTION("""COMPUTED_VALUE"""),"Male")</f>
        <v>Male</v>
      </c>
      <c r="D1966" s="5" t="str">
        <f ca="1">IFERROR(__xludf.DUMMYFUNCTION("""COMPUTED_VALUE"""),"Student")</f>
        <v>Student</v>
      </c>
      <c r="E1966" s="5" t="str">
        <f ca="1">IFERROR(__xludf.DUMMYFUNCTION("""COMPUTED_VALUE"""),"Teen")</f>
        <v>Teen</v>
      </c>
      <c r="F1966" s="5"/>
    </row>
    <row r="1967" spans="1:6" ht="13">
      <c r="A1967" s="5" t="str">
        <f ca="1">IFERROR(__xludf.DUMMYFUNCTION("""COMPUTED_VALUE"""),"20020207ILROC")</f>
        <v>20020207ILROC</v>
      </c>
      <c r="B1967" s="5" t="str">
        <f ca="1">IFERROR(__xludf.DUMMYFUNCTION("""COMPUTED_VALUE"""),"Wounded")</f>
        <v>Wounded</v>
      </c>
      <c r="C1967" s="5" t="str">
        <f ca="1">IFERROR(__xludf.DUMMYFUNCTION("""COMPUTED_VALUE"""),"Female")</f>
        <v>Female</v>
      </c>
      <c r="D1967" s="5" t="str">
        <f ca="1">IFERROR(__xludf.DUMMYFUNCTION("""COMPUTED_VALUE"""),"Student")</f>
        <v>Student</v>
      </c>
      <c r="E1967" s="5" t="str">
        <f ca="1">IFERROR(__xludf.DUMMYFUNCTION("""COMPUTED_VALUE"""),"Teen")</f>
        <v>Teen</v>
      </c>
      <c r="F1967" s="5"/>
    </row>
    <row r="1968" spans="1:6" ht="13">
      <c r="A1968" s="5" t="str">
        <f ca="1">IFERROR(__xludf.DUMMYFUNCTION("""COMPUTED_VALUE"""),"20020206CAGAL")</f>
        <v>20020206CAGAL</v>
      </c>
      <c r="B1968" s="5" t="str">
        <f ca="1">IFERROR(__xludf.DUMMYFUNCTION("""COMPUTED_VALUE"""),"Wounded")</f>
        <v>Wounded</v>
      </c>
      <c r="C1968" s="5" t="str">
        <f ca="1">IFERROR(__xludf.DUMMYFUNCTION("""COMPUTED_VALUE"""),"Male")</f>
        <v>Male</v>
      </c>
      <c r="D1968" s="5" t="str">
        <f ca="1">IFERROR(__xludf.DUMMYFUNCTION("""COMPUTED_VALUE"""),"Student")</f>
        <v>Student</v>
      </c>
      <c r="E1968" s="5">
        <f ca="1">IFERROR(__xludf.DUMMYFUNCTION("""COMPUTED_VALUE"""),19)</f>
        <v>19</v>
      </c>
      <c r="F1968" s="5"/>
    </row>
    <row r="1969" spans="1:6" ht="13">
      <c r="A1969" s="5" t="str">
        <f ca="1">IFERROR(__xludf.DUMMYFUNCTION("""COMPUTED_VALUE"""),"20020206CAGAL")</f>
        <v>20020206CAGAL</v>
      </c>
      <c r="B1969" s="5" t="str">
        <f ca="1">IFERROR(__xludf.DUMMYFUNCTION("""COMPUTED_VALUE"""),"Wounded")</f>
        <v>Wounded</v>
      </c>
      <c r="C1969" s="5" t="str">
        <f ca="1">IFERROR(__xludf.DUMMYFUNCTION("""COMPUTED_VALUE"""),"Female")</f>
        <v>Female</v>
      </c>
      <c r="D1969" s="5" t="str">
        <f ca="1">IFERROR(__xludf.DUMMYFUNCTION("""COMPUTED_VALUE"""),"Student")</f>
        <v>Student</v>
      </c>
      <c r="E1969" s="5">
        <f ca="1">IFERROR(__xludf.DUMMYFUNCTION("""COMPUTED_VALUE"""),16)</f>
        <v>16</v>
      </c>
      <c r="F1969" s="5"/>
    </row>
    <row r="1970" spans="1:6" ht="13">
      <c r="A1970" s="5" t="str">
        <f ca="1">IFERROR(__xludf.DUMMYFUNCTION("""COMPUTED_VALUE"""),"20020201TXBRB")</f>
        <v>20020201TXBRB</v>
      </c>
      <c r="B1970" s="5" t="str">
        <f ca="1">IFERROR(__xludf.DUMMYFUNCTION("""COMPUTED_VALUE"""),"Wounded")</f>
        <v>Wounded</v>
      </c>
      <c r="C1970" s="5" t="str">
        <f ca="1">IFERROR(__xludf.DUMMYFUNCTION("""COMPUTED_VALUE"""),"Female")</f>
        <v>Female</v>
      </c>
      <c r="D1970" s="5" t="str">
        <f ca="1">IFERROR(__xludf.DUMMYFUNCTION("""COMPUTED_VALUE"""),"Intimate Relationship")</f>
        <v>Intimate Relationship</v>
      </c>
      <c r="E1970" s="5">
        <f ca="1">IFERROR(__xludf.DUMMYFUNCTION("""COMPUTED_VALUE"""),34)</f>
        <v>34</v>
      </c>
      <c r="F1970" s="5"/>
    </row>
    <row r="1971" spans="1:6" ht="13">
      <c r="A1971" s="5" t="str">
        <f ca="1">IFERROR(__xludf.DUMMYFUNCTION("""COMPUTED_VALUE"""),"20020201TXBRB")</f>
        <v>20020201TXBRB</v>
      </c>
      <c r="B1971" s="5" t="str">
        <f ca="1">IFERROR(__xludf.DUMMYFUNCTION("""COMPUTED_VALUE"""),"Wounded")</f>
        <v>Wounded</v>
      </c>
      <c r="C1971" s="5" t="str">
        <f ca="1">IFERROR(__xludf.DUMMYFUNCTION("""COMPUTED_VALUE"""),"Male")</f>
        <v>Male</v>
      </c>
      <c r="D1971" s="5" t="str">
        <f ca="1">IFERROR(__xludf.DUMMYFUNCTION("""COMPUTED_VALUE"""),"Other Staff")</f>
        <v>Other Staff</v>
      </c>
      <c r="E1971" s="5">
        <f ca="1">IFERROR(__xludf.DUMMYFUNCTION("""COMPUTED_VALUE"""),43)</f>
        <v>43</v>
      </c>
      <c r="F1971" s="5"/>
    </row>
    <row r="1972" spans="1:6" ht="13">
      <c r="A1972" s="5" t="str">
        <f ca="1">IFERROR(__xludf.DUMMYFUNCTION("""COMPUTED_VALUE"""),"20020124PAOLO")</f>
        <v>20020124PAOLO</v>
      </c>
      <c r="B1972" s="5" t="str">
        <f ca="1">IFERROR(__xludf.DUMMYFUNCTION("""COMPUTED_VALUE"""),"None")</f>
        <v>None</v>
      </c>
      <c r="C1972" s="5"/>
      <c r="D1972" s="5"/>
      <c r="E1972" s="5"/>
      <c r="F1972" s="5"/>
    </row>
    <row r="1973" spans="1:6" ht="13">
      <c r="A1973" s="5" t="str">
        <f ca="1">IFERROR(__xludf.DUMMYFUNCTION("""COMPUTED_VALUE"""),"20020115NYMAN")</f>
        <v>20020115NYMAN</v>
      </c>
      <c r="B1973" s="5" t="str">
        <f ca="1">IFERROR(__xludf.DUMMYFUNCTION("""COMPUTED_VALUE"""),"Wounded")</f>
        <v>Wounded</v>
      </c>
      <c r="C1973" s="5" t="str">
        <f ca="1">IFERROR(__xludf.DUMMYFUNCTION("""COMPUTED_VALUE"""),"Male")</f>
        <v>Male</v>
      </c>
      <c r="D1973" s="5" t="str">
        <f ca="1">IFERROR(__xludf.DUMMYFUNCTION("""COMPUTED_VALUE"""),"Student")</f>
        <v>Student</v>
      </c>
      <c r="E1973" s="5">
        <f ca="1">IFERROR(__xludf.DUMMYFUNCTION("""COMPUTED_VALUE"""),16)</f>
        <v>16</v>
      </c>
      <c r="F1973" s="5"/>
    </row>
    <row r="1974" spans="1:6" ht="13">
      <c r="A1974" s="5" t="str">
        <f ca="1">IFERROR(__xludf.DUMMYFUNCTION("""COMPUTED_VALUE"""),"20020115NYMAN")</f>
        <v>20020115NYMAN</v>
      </c>
      <c r="B1974" s="5" t="str">
        <f ca="1">IFERROR(__xludf.DUMMYFUNCTION("""COMPUTED_VALUE"""),"Wounded")</f>
        <v>Wounded</v>
      </c>
      <c r="C1974" s="5" t="str">
        <f ca="1">IFERROR(__xludf.DUMMYFUNCTION("""COMPUTED_VALUE"""),"Male")</f>
        <v>Male</v>
      </c>
      <c r="D1974" s="5" t="str">
        <f ca="1">IFERROR(__xludf.DUMMYFUNCTION("""COMPUTED_VALUE"""),"Student")</f>
        <v>Student</v>
      </c>
      <c r="E1974" s="5">
        <f ca="1">IFERROR(__xludf.DUMMYFUNCTION("""COMPUTED_VALUE"""),17)</f>
        <v>17</v>
      </c>
      <c r="F1974" s="5"/>
    </row>
    <row r="1975" spans="1:6" ht="13">
      <c r="A1975" s="5" t="str">
        <f ca="1">IFERROR(__xludf.DUMMYFUNCTION("""COMPUTED_VALUE"""),"20020111MSRAJ")</f>
        <v>20020111MSRAJ</v>
      </c>
      <c r="B1975" s="5" t="str">
        <f ca="1">IFERROR(__xludf.DUMMYFUNCTION("""COMPUTED_VALUE"""),"None")</f>
        <v>None</v>
      </c>
      <c r="C1975" s="5"/>
      <c r="D1975" s="5"/>
      <c r="E1975" s="5"/>
      <c r="F1975" s="5"/>
    </row>
    <row r="1976" spans="1:6" ht="13">
      <c r="A1976" s="5" t="str">
        <f ca="1">IFERROR(__xludf.DUMMYFUNCTION("""COMPUTED_VALUE"""),"20011130TXFRF")</f>
        <v>20011130TXFRF</v>
      </c>
      <c r="B1976" s="5" t="str">
        <f ca="1">IFERROR(__xludf.DUMMYFUNCTION("""COMPUTED_VALUE"""),"None")</f>
        <v>None</v>
      </c>
      <c r="C1976" s="5"/>
      <c r="D1976" s="5"/>
      <c r="E1976" s="5"/>
      <c r="F1976" s="5"/>
    </row>
    <row r="1977" spans="1:6" ht="13">
      <c r="A1977" s="5" t="str">
        <f ca="1">IFERROR(__xludf.DUMMYFUNCTION("""COMPUTED_VALUE"""),"20011112MICAC")</f>
        <v>20011112MICAC</v>
      </c>
      <c r="B1977" s="5" t="str">
        <f ca="1">IFERROR(__xludf.DUMMYFUNCTION("""COMPUTED_VALUE"""),"None")</f>
        <v>None</v>
      </c>
      <c r="C1977" s="5" t="str">
        <f ca="1">IFERROR(__xludf.DUMMYFUNCTION("""COMPUTED_VALUE"""),"Male")</f>
        <v>Male</v>
      </c>
      <c r="D1977" s="5" t="str">
        <f ca="1">IFERROR(__xludf.DUMMYFUNCTION("""COMPUTED_VALUE"""),"Student")</f>
        <v>Student</v>
      </c>
      <c r="E1977" s="5">
        <f ca="1">IFERROR(__xludf.DUMMYFUNCTION("""COMPUTED_VALUE"""),17)</f>
        <v>17</v>
      </c>
      <c r="F1977" s="5"/>
    </row>
    <row r="1978" spans="1:6" ht="13">
      <c r="A1978" s="5" t="str">
        <f ca="1">IFERROR(__xludf.DUMMYFUNCTION("""COMPUTED_VALUE"""),"20011026MIBES")</f>
        <v>20011026MIBES</v>
      </c>
      <c r="B1978" s="5" t="str">
        <f ca="1">IFERROR(__xludf.DUMMYFUNCTION("""COMPUTED_VALUE"""),"Wounded")</f>
        <v>Wounded</v>
      </c>
      <c r="C1978" s="5" t="str">
        <f ca="1">IFERROR(__xludf.DUMMYFUNCTION("""COMPUTED_VALUE"""),"Male")</f>
        <v>Male</v>
      </c>
      <c r="D1978" s="5" t="str">
        <f ca="1">IFERROR(__xludf.DUMMYFUNCTION("""COMPUTED_VALUE"""),"Student")</f>
        <v>Student</v>
      </c>
      <c r="E1978" s="5">
        <f ca="1">IFERROR(__xludf.DUMMYFUNCTION("""COMPUTED_VALUE"""),17)</f>
        <v>17</v>
      </c>
      <c r="F1978" s="5"/>
    </row>
    <row r="1979" spans="1:6" ht="13">
      <c r="A1979" s="5" t="str">
        <f ca="1">IFERROR(__xludf.DUMMYFUNCTION("""COMPUTED_VALUE"""),"20011026CARER")</f>
        <v>20011026CARER</v>
      </c>
      <c r="B1979" s="5" t="str">
        <f ca="1">IFERROR(__xludf.DUMMYFUNCTION("""COMPUTED_VALUE"""),"Wounded")</f>
        <v>Wounded</v>
      </c>
      <c r="C1979" s="5" t="str">
        <f ca="1">IFERROR(__xludf.DUMMYFUNCTION("""COMPUTED_VALUE"""),"Male")</f>
        <v>Male</v>
      </c>
      <c r="D1979" s="5" t="str">
        <f ca="1">IFERROR(__xludf.DUMMYFUNCTION("""COMPUTED_VALUE"""),"Student")</f>
        <v>Student</v>
      </c>
      <c r="E1979" s="5">
        <f ca="1">IFERROR(__xludf.DUMMYFUNCTION("""COMPUTED_VALUE"""),16)</f>
        <v>16</v>
      </c>
      <c r="F1979" s="5"/>
    </row>
    <row r="1980" spans="1:6" ht="13">
      <c r="A1980" s="5" t="str">
        <f ca="1">IFERROR(__xludf.DUMMYFUNCTION("""COMPUTED_VALUE"""),"20011012UTTAT")</f>
        <v>20011012UTTAT</v>
      </c>
      <c r="B1980" s="5" t="str">
        <f ca="1">IFERROR(__xludf.DUMMYFUNCTION("""COMPUTED_VALUE"""),"None")</f>
        <v>None</v>
      </c>
      <c r="C1980" s="5" t="str">
        <f ca="1">IFERROR(__xludf.DUMMYFUNCTION("""COMPUTED_VALUE"""),"Male")</f>
        <v>Male</v>
      </c>
      <c r="D1980" s="5" t="str">
        <f ca="1">IFERROR(__xludf.DUMMYFUNCTION("""COMPUTED_VALUE"""),"Student")</f>
        <v>Student</v>
      </c>
      <c r="E1980" s="5">
        <f ca="1">IFERROR(__xludf.DUMMYFUNCTION("""COMPUTED_VALUE"""),17)</f>
        <v>17</v>
      </c>
      <c r="F1980" s="5"/>
    </row>
    <row r="1981" spans="1:6" ht="13">
      <c r="A1981" s="5" t="str">
        <f ca="1">IFERROR(__xludf.DUMMYFUNCTION("""COMPUTED_VALUE"""),"20010921MDLAB")</f>
        <v>20010921MDLAB</v>
      </c>
      <c r="B1981" s="5" t="str">
        <f ca="1">IFERROR(__xludf.DUMMYFUNCTION("""COMPUTED_VALUE"""),"Wounded")</f>
        <v>Wounded</v>
      </c>
      <c r="C1981" s="5" t="str">
        <f ca="1">IFERROR(__xludf.DUMMYFUNCTION("""COMPUTED_VALUE"""),"Male")</f>
        <v>Male</v>
      </c>
      <c r="D1981" s="5" t="str">
        <f ca="1">IFERROR(__xludf.DUMMYFUNCTION("""COMPUTED_VALUE"""),"Student")</f>
        <v>Student</v>
      </c>
      <c r="E1981" s="5">
        <f ca="1">IFERROR(__xludf.DUMMYFUNCTION("""COMPUTED_VALUE"""),17)</f>
        <v>17</v>
      </c>
      <c r="F1981" s="5"/>
    </row>
    <row r="1982" spans="1:6" ht="13">
      <c r="A1982" s="5" t="str">
        <f ca="1">IFERROR(__xludf.DUMMYFUNCTION("""COMPUTED_VALUE"""),"20010912KYLAC")</f>
        <v>20010912KYLAC</v>
      </c>
      <c r="B1982" s="5" t="str">
        <f ca="1">IFERROR(__xludf.DUMMYFUNCTION("""COMPUTED_VALUE"""),"Fatal")</f>
        <v>Fatal</v>
      </c>
      <c r="C1982" s="5" t="str">
        <f ca="1">IFERROR(__xludf.DUMMYFUNCTION("""COMPUTED_VALUE"""),"Female")</f>
        <v>Female</v>
      </c>
      <c r="D1982" s="5" t="str">
        <f ca="1">IFERROR(__xludf.DUMMYFUNCTION("""COMPUTED_VALUE"""),"Parent")</f>
        <v>Parent</v>
      </c>
      <c r="E1982" s="5">
        <f ca="1">IFERROR(__xludf.DUMMYFUNCTION("""COMPUTED_VALUE"""),29)</f>
        <v>29</v>
      </c>
      <c r="F1982" s="5" t="str">
        <f ca="1">IFERROR(__xludf.DUMMYFUNCTION("""COMPUTED_VALUE"""),"White")</f>
        <v>White</v>
      </c>
    </row>
    <row r="1983" spans="1:6" ht="13">
      <c r="A1983" s="5" t="str">
        <f ca="1">IFERROR(__xludf.DUMMYFUNCTION("""COMPUTED_VALUE"""),"20010730CABEL")</f>
        <v>20010730CABEL</v>
      </c>
      <c r="B1983" s="5" t="str">
        <f ca="1">IFERROR(__xludf.DUMMYFUNCTION("""COMPUTED_VALUE"""),"Wounded")</f>
        <v>Wounded</v>
      </c>
      <c r="C1983" s="5" t="str">
        <f ca="1">IFERROR(__xludf.DUMMYFUNCTION("""COMPUTED_VALUE"""),"Male")</f>
        <v>Male</v>
      </c>
      <c r="D1983" s="5" t="str">
        <f ca="1">IFERROR(__xludf.DUMMYFUNCTION("""COMPUTED_VALUE"""),"No Relation")</f>
        <v>No Relation</v>
      </c>
      <c r="E1983" s="5">
        <f ca="1">IFERROR(__xludf.DUMMYFUNCTION("""COMPUTED_VALUE"""),33)</f>
        <v>33</v>
      </c>
      <c r="F1983" s="5"/>
    </row>
    <row r="1984" spans="1:6" ht="13">
      <c r="A1984" s="5" t="str">
        <f ca="1">IFERROR(__xludf.DUMMYFUNCTION("""COMPUTED_VALUE"""),"20010607TXOUA")</f>
        <v>20010607TXOUA</v>
      </c>
      <c r="B1984" s="5" t="str">
        <f ca="1">IFERROR(__xludf.DUMMYFUNCTION("""COMPUTED_VALUE"""),"Fatal")</f>
        <v>Fatal</v>
      </c>
      <c r="C1984" s="5" t="str">
        <f ca="1">IFERROR(__xludf.DUMMYFUNCTION("""COMPUTED_VALUE"""),"Male")</f>
        <v>Male</v>
      </c>
      <c r="D1984" s="5" t="str">
        <f ca="1">IFERROR(__xludf.DUMMYFUNCTION("""COMPUTED_VALUE"""),"No Relation")</f>
        <v>No Relation</v>
      </c>
      <c r="E1984" s="5">
        <f ca="1">IFERROR(__xludf.DUMMYFUNCTION("""COMPUTED_VALUE"""),27)</f>
        <v>27</v>
      </c>
      <c r="F1984" s="5"/>
    </row>
    <row r="1985" spans="1:6" ht="13">
      <c r="A1985" s="5" t="str">
        <f ca="1">IFERROR(__xludf.DUMMYFUNCTION("""COMPUTED_VALUE"""),"20010515TXENE")</f>
        <v>20010515TXENE</v>
      </c>
      <c r="B1985" s="5" t="str">
        <f ca="1">IFERROR(__xludf.DUMMYFUNCTION("""COMPUTED_VALUE"""),"None")</f>
        <v>None</v>
      </c>
      <c r="C1985" s="5" t="str">
        <f ca="1">IFERROR(__xludf.DUMMYFUNCTION("""COMPUTED_VALUE"""),"Male")</f>
        <v>Male</v>
      </c>
      <c r="D1985" s="5" t="str">
        <f ca="1">IFERROR(__xludf.DUMMYFUNCTION("""COMPUTED_VALUE"""),"Student")</f>
        <v>Student</v>
      </c>
      <c r="E1985" s="5">
        <f ca="1">IFERROR(__xludf.DUMMYFUNCTION("""COMPUTED_VALUE"""),16)</f>
        <v>16</v>
      </c>
      <c r="F1985" s="5"/>
    </row>
    <row r="1986" spans="1:6" ht="13">
      <c r="A1986" s="5" t="str">
        <f ca="1">IFERROR(__xludf.DUMMYFUNCTION("""COMPUTED_VALUE"""),"20010425OHJOC")</f>
        <v>20010425OHJOC</v>
      </c>
      <c r="B1986" s="5" t="str">
        <f ca="1">IFERROR(__xludf.DUMMYFUNCTION("""COMPUTED_VALUE"""),"Fatal")</f>
        <v>Fatal</v>
      </c>
      <c r="C1986" s="5" t="str">
        <f ca="1">IFERROR(__xludf.DUMMYFUNCTION("""COMPUTED_VALUE"""),"Male")</f>
        <v>Male</v>
      </c>
      <c r="D1986" s="5" t="str">
        <f ca="1">IFERROR(__xludf.DUMMYFUNCTION("""COMPUTED_VALUE"""),"Other Staff")</f>
        <v>Other Staff</v>
      </c>
      <c r="E1986" s="5">
        <f ca="1">IFERROR(__xludf.DUMMYFUNCTION("""COMPUTED_VALUE"""),33)</f>
        <v>33</v>
      </c>
      <c r="F1986" s="5"/>
    </row>
    <row r="1987" spans="1:6" ht="13">
      <c r="A1987" s="5" t="str">
        <f ca="1">IFERROR(__xludf.DUMMYFUNCTION("""COMPUTED_VALUE"""),"20010420LAMOM")</f>
        <v>20010420LAMOM</v>
      </c>
      <c r="B1987" s="5" t="str">
        <f ca="1">IFERROR(__xludf.DUMMYFUNCTION("""COMPUTED_VALUE"""),"None")</f>
        <v>None</v>
      </c>
      <c r="C1987" s="5"/>
      <c r="D1987" s="5"/>
      <c r="E1987" s="5"/>
      <c r="F1987" s="5"/>
    </row>
    <row r="1988" spans="1:6" ht="13">
      <c r="A1988" s="5" t="str">
        <f ca="1">IFERROR(__xludf.DUMMYFUNCTION("""COMPUTED_VALUE"""),"20010410WAWAM")</f>
        <v>20010410WAWAM</v>
      </c>
      <c r="B1988" s="5" t="str">
        <f ca="1">IFERROR(__xludf.DUMMYFUNCTION("""COMPUTED_VALUE"""),"None")</f>
        <v>None</v>
      </c>
      <c r="C1988" s="5"/>
      <c r="D1988" s="5"/>
      <c r="E1988" s="5"/>
      <c r="F1988" s="5"/>
    </row>
    <row r="1989" spans="1:6" ht="13">
      <c r="A1989" s="5" t="str">
        <f ca="1">IFERROR(__xludf.DUMMYFUNCTION("""COMPUTED_VALUE"""),"20010402TXKLH")</f>
        <v>20010402TXKLH</v>
      </c>
      <c r="B1989" s="5" t="str">
        <f ca="1">IFERROR(__xludf.DUMMYFUNCTION("""COMPUTED_VALUE"""),"None")</f>
        <v>None</v>
      </c>
      <c r="C1989" s="5" t="str">
        <f ca="1">IFERROR(__xludf.DUMMYFUNCTION("""COMPUTED_VALUE"""),"Female")</f>
        <v>Female</v>
      </c>
      <c r="D1989" s="5" t="str">
        <f ca="1">IFERROR(__xludf.DUMMYFUNCTION("""COMPUTED_VALUE"""),"Student")</f>
        <v>Student</v>
      </c>
      <c r="E1989" s="5">
        <f ca="1">IFERROR(__xludf.DUMMYFUNCTION("""COMPUTED_VALUE"""),13)</f>
        <v>13</v>
      </c>
      <c r="F1989" s="5"/>
    </row>
    <row r="1990" spans="1:6" ht="13">
      <c r="A1990" s="5" t="str">
        <f ca="1">IFERROR(__xludf.DUMMYFUNCTION("""COMPUTED_VALUE"""),"20010330INLEG")</f>
        <v>20010330INLEG</v>
      </c>
      <c r="B1990" s="5" t="str">
        <f ca="1">IFERROR(__xludf.DUMMYFUNCTION("""COMPUTED_VALUE"""),"Fatal")</f>
        <v>Fatal</v>
      </c>
      <c r="C1990" s="5" t="str">
        <f ca="1">IFERROR(__xludf.DUMMYFUNCTION("""COMPUTED_VALUE"""),"Male")</f>
        <v>Male</v>
      </c>
      <c r="D1990" s="5" t="str">
        <f ca="1">IFERROR(__xludf.DUMMYFUNCTION("""COMPUTED_VALUE"""),"Student")</f>
        <v>Student</v>
      </c>
      <c r="E1990" s="5">
        <f ca="1">IFERROR(__xludf.DUMMYFUNCTION("""COMPUTED_VALUE"""),16)</f>
        <v>16</v>
      </c>
      <c r="F1990" s="5"/>
    </row>
    <row r="1991" spans="1:6" ht="13">
      <c r="A1991" s="5" t="str">
        <f ca="1">IFERROR(__xludf.DUMMYFUNCTION("""COMPUTED_VALUE"""),"20010322CAGRE")</f>
        <v>20010322CAGRE</v>
      </c>
      <c r="B1991" s="5" t="str">
        <f ca="1">IFERROR(__xludf.DUMMYFUNCTION("""COMPUTED_VALUE"""),"Wounded")</f>
        <v>Wounded</v>
      </c>
      <c r="C1991" s="5" t="str">
        <f ca="1">IFERROR(__xludf.DUMMYFUNCTION("""COMPUTED_VALUE"""),"Male")</f>
        <v>Male</v>
      </c>
      <c r="D1991" s="5" t="str">
        <f ca="1">IFERROR(__xludf.DUMMYFUNCTION("""COMPUTED_VALUE"""),"Student")</f>
        <v>Student</v>
      </c>
      <c r="E1991" s="5">
        <f ca="1">IFERROR(__xludf.DUMMYFUNCTION("""COMPUTED_VALUE"""),15)</f>
        <v>15</v>
      </c>
      <c r="F1991" s="5"/>
    </row>
    <row r="1992" spans="1:6" ht="13">
      <c r="A1992" s="5" t="str">
        <f ca="1">IFERROR(__xludf.DUMMYFUNCTION("""COMPUTED_VALUE"""),"20010322CAGRE")</f>
        <v>20010322CAGRE</v>
      </c>
      <c r="B1992" s="5" t="str">
        <f ca="1">IFERROR(__xludf.DUMMYFUNCTION("""COMPUTED_VALUE"""),"Wounded")</f>
        <v>Wounded</v>
      </c>
      <c r="C1992" s="5" t="str">
        <f ca="1">IFERROR(__xludf.DUMMYFUNCTION("""COMPUTED_VALUE"""),"Male")</f>
        <v>Male</v>
      </c>
      <c r="D1992" s="5" t="str">
        <f ca="1">IFERROR(__xludf.DUMMYFUNCTION("""COMPUTED_VALUE"""),"Student")</f>
        <v>Student</v>
      </c>
      <c r="E1992" s="5">
        <f ca="1">IFERROR(__xludf.DUMMYFUNCTION("""COMPUTED_VALUE"""),17)</f>
        <v>17</v>
      </c>
      <c r="F1992" s="5"/>
    </row>
    <row r="1993" spans="1:6" ht="13">
      <c r="A1993" s="5" t="str">
        <f ca="1">IFERROR(__xludf.DUMMYFUNCTION("""COMPUTED_VALUE"""),"20010322CAGRE")</f>
        <v>20010322CAGRE</v>
      </c>
      <c r="B1993" s="5" t="str">
        <f ca="1">IFERROR(__xludf.DUMMYFUNCTION("""COMPUTED_VALUE"""),"Wounded")</f>
        <v>Wounded</v>
      </c>
      <c r="C1993" s="5" t="str">
        <f ca="1">IFERROR(__xludf.DUMMYFUNCTION("""COMPUTED_VALUE"""),"Female")</f>
        <v>Female</v>
      </c>
      <c r="D1993" s="5" t="str">
        <f ca="1">IFERROR(__xludf.DUMMYFUNCTION("""COMPUTED_VALUE"""),"Student")</f>
        <v>Student</v>
      </c>
      <c r="E1993" s="5">
        <f ca="1">IFERROR(__xludf.DUMMYFUNCTION("""COMPUTED_VALUE"""),15)</f>
        <v>15</v>
      </c>
      <c r="F1993" s="5"/>
    </row>
    <row r="1994" spans="1:6" ht="13">
      <c r="A1994" s="5" t="str">
        <f ca="1">IFERROR(__xludf.DUMMYFUNCTION("""COMPUTED_VALUE"""),"20010322CAGRE")</f>
        <v>20010322CAGRE</v>
      </c>
      <c r="B1994" s="5" t="str">
        <f ca="1">IFERROR(__xludf.DUMMYFUNCTION("""COMPUTED_VALUE"""),"Wounded")</f>
        <v>Wounded</v>
      </c>
      <c r="C1994" s="5" t="str">
        <f ca="1">IFERROR(__xludf.DUMMYFUNCTION("""COMPUTED_VALUE"""),"Female")</f>
        <v>Female</v>
      </c>
      <c r="D1994" s="5" t="str">
        <f ca="1">IFERROR(__xludf.DUMMYFUNCTION("""COMPUTED_VALUE"""),"Teacher")</f>
        <v>Teacher</v>
      </c>
      <c r="E1994" s="5">
        <f ca="1">IFERROR(__xludf.DUMMYFUNCTION("""COMPUTED_VALUE"""),53)</f>
        <v>53</v>
      </c>
      <c r="F1994" s="5"/>
    </row>
    <row r="1995" spans="1:6" ht="13">
      <c r="A1995" s="5" t="str">
        <f ca="1">IFERROR(__xludf.DUMMYFUNCTION("""COMPUTED_VALUE"""),"20010322CAGRE")</f>
        <v>20010322CAGRE</v>
      </c>
      <c r="B1995" s="5" t="str">
        <f ca="1">IFERROR(__xludf.DUMMYFUNCTION("""COMPUTED_VALUE"""),"Wounded")</f>
        <v>Wounded</v>
      </c>
      <c r="C1995" s="5" t="str">
        <f ca="1">IFERROR(__xludf.DUMMYFUNCTION("""COMPUTED_VALUE"""),"Female")</f>
        <v>Female</v>
      </c>
      <c r="D1995" s="5" t="str">
        <f ca="1">IFERROR(__xludf.DUMMYFUNCTION("""COMPUTED_VALUE"""),"Teacher")</f>
        <v>Teacher</v>
      </c>
      <c r="E1995" s="5">
        <f ca="1">IFERROR(__xludf.DUMMYFUNCTION("""COMPUTED_VALUE"""),47)</f>
        <v>47</v>
      </c>
      <c r="F1995" s="5"/>
    </row>
    <row r="1996" spans="1:6" ht="13">
      <c r="A1996" s="5" t="str">
        <f ca="1">IFERROR(__xludf.DUMMYFUNCTION("""COMPUTED_VALUE"""),"20010307WAKEC")</f>
        <v>20010307WAKEC</v>
      </c>
      <c r="B1996" s="5" t="str">
        <f ca="1">IFERROR(__xludf.DUMMYFUNCTION("""COMPUTED_VALUE"""),"None")</f>
        <v>None</v>
      </c>
      <c r="C1996" s="5"/>
      <c r="D1996" s="5"/>
      <c r="E1996" s="5"/>
      <c r="F1996" s="5"/>
    </row>
    <row r="1997" spans="1:6" ht="13">
      <c r="A1997" s="5" t="str">
        <f ca="1">IFERROR(__xludf.DUMMYFUNCTION("""COMPUTED_VALUE"""),"20010307PABIW")</f>
        <v>20010307PABIW</v>
      </c>
      <c r="B1997" s="5" t="str">
        <f ca="1">IFERROR(__xludf.DUMMYFUNCTION("""COMPUTED_VALUE"""),"Wounded")</f>
        <v>Wounded</v>
      </c>
      <c r="C1997" s="5" t="str">
        <f ca="1">IFERROR(__xludf.DUMMYFUNCTION("""COMPUTED_VALUE"""),"Female")</f>
        <v>Female</v>
      </c>
      <c r="D1997" s="5" t="str">
        <f ca="1">IFERROR(__xludf.DUMMYFUNCTION("""COMPUTED_VALUE"""),"Student")</f>
        <v>Student</v>
      </c>
      <c r="E1997" s="5">
        <f ca="1">IFERROR(__xludf.DUMMYFUNCTION("""COMPUTED_VALUE"""),13)</f>
        <v>13</v>
      </c>
      <c r="F1997" s="5" t="str">
        <f ca="1">IFERROR(__xludf.DUMMYFUNCTION("""COMPUTED_VALUE"""),"White")</f>
        <v>White</v>
      </c>
    </row>
    <row r="1998" spans="1:6" ht="13">
      <c r="A1998" s="5" t="str">
        <f ca="1">IFERROR(__xludf.DUMMYFUNCTION("""COMPUTED_VALUE"""),"20010306MDLAL")</f>
        <v>20010306MDLAL</v>
      </c>
      <c r="B1998" s="5" t="str">
        <f ca="1">IFERROR(__xludf.DUMMYFUNCTION("""COMPUTED_VALUE"""),"Wounded")</f>
        <v>Wounded</v>
      </c>
      <c r="C1998" s="5" t="str">
        <f ca="1">IFERROR(__xludf.DUMMYFUNCTION("""COMPUTED_VALUE"""),"Male")</f>
        <v>Male</v>
      </c>
      <c r="D1998" s="5" t="str">
        <f ca="1">IFERROR(__xludf.DUMMYFUNCTION("""COMPUTED_VALUE"""),"Student")</f>
        <v>Student</v>
      </c>
      <c r="E1998" s="5">
        <f ca="1">IFERROR(__xludf.DUMMYFUNCTION("""COMPUTED_VALUE"""),17)</f>
        <v>17</v>
      </c>
      <c r="F1998" s="5"/>
    </row>
    <row r="1999" spans="1:6" ht="13">
      <c r="A1999" s="5" t="str">
        <f ca="1">IFERROR(__xludf.DUMMYFUNCTION("""COMPUTED_VALUE"""),"20010305CASAS")</f>
        <v>20010305CASAS</v>
      </c>
      <c r="B1999" s="5" t="str">
        <f ca="1">IFERROR(__xludf.DUMMYFUNCTION("""COMPUTED_VALUE"""),"Fatal")</f>
        <v>Fatal</v>
      </c>
      <c r="C1999" s="5" t="str">
        <f ca="1">IFERROR(__xludf.DUMMYFUNCTION("""COMPUTED_VALUE"""),"Male")</f>
        <v>Male</v>
      </c>
      <c r="D1999" s="5" t="str">
        <f ca="1">IFERROR(__xludf.DUMMYFUNCTION("""COMPUTED_VALUE"""),"Student")</f>
        <v>Student</v>
      </c>
      <c r="E1999" s="5">
        <f ca="1">IFERROR(__xludf.DUMMYFUNCTION("""COMPUTED_VALUE"""),15)</f>
        <v>15</v>
      </c>
      <c r="F1999" s="5"/>
    </row>
    <row r="2000" spans="1:6" ht="13">
      <c r="A2000" s="5" t="str">
        <f ca="1">IFERROR(__xludf.DUMMYFUNCTION("""COMPUTED_VALUE"""),"20010305CASAS")</f>
        <v>20010305CASAS</v>
      </c>
      <c r="B2000" s="5" t="str">
        <f ca="1">IFERROR(__xludf.DUMMYFUNCTION("""COMPUTED_VALUE"""),"Wounded")</f>
        <v>Wounded</v>
      </c>
      <c r="C2000" s="5" t="str">
        <f ca="1">IFERROR(__xludf.DUMMYFUNCTION("""COMPUTED_VALUE"""),"Male")</f>
        <v>Male</v>
      </c>
      <c r="D2000" s="5" t="str">
        <f ca="1">IFERROR(__xludf.DUMMYFUNCTION("""COMPUTED_VALUE"""),"Student")</f>
        <v>Student</v>
      </c>
      <c r="E2000" s="5" t="str">
        <f ca="1">IFERROR(__xludf.DUMMYFUNCTION("""COMPUTED_VALUE"""),"Teen")</f>
        <v>Teen</v>
      </c>
      <c r="F2000" s="5"/>
    </row>
    <row r="2001" spans="1:6" ht="13">
      <c r="A2001" s="5" t="str">
        <f ca="1">IFERROR(__xludf.DUMMYFUNCTION("""COMPUTED_VALUE"""),"20010305CASAS")</f>
        <v>20010305CASAS</v>
      </c>
      <c r="B2001" s="5" t="str">
        <f ca="1">IFERROR(__xludf.DUMMYFUNCTION("""COMPUTED_VALUE"""),"Wounded")</f>
        <v>Wounded</v>
      </c>
      <c r="C2001" s="5" t="str">
        <f ca="1">IFERROR(__xludf.DUMMYFUNCTION("""COMPUTED_VALUE"""),"Female")</f>
        <v>Female</v>
      </c>
      <c r="D2001" s="5" t="str">
        <f ca="1">IFERROR(__xludf.DUMMYFUNCTION("""COMPUTED_VALUE"""),"Student")</f>
        <v>Student</v>
      </c>
      <c r="E2001" s="5">
        <f ca="1">IFERROR(__xludf.DUMMYFUNCTION("""COMPUTED_VALUE"""),16)</f>
        <v>16</v>
      </c>
      <c r="F2001" s="5"/>
    </row>
    <row r="2002" spans="1:6" ht="13">
      <c r="A2002" s="5" t="str">
        <f ca="1">IFERROR(__xludf.DUMMYFUNCTION("""COMPUTED_VALUE"""),"20010305CASAS")</f>
        <v>20010305CASAS</v>
      </c>
      <c r="B2002" s="5" t="str">
        <f ca="1">IFERROR(__xludf.DUMMYFUNCTION("""COMPUTED_VALUE"""),"Wounded")</f>
        <v>Wounded</v>
      </c>
      <c r="C2002" s="5" t="str">
        <f ca="1">IFERROR(__xludf.DUMMYFUNCTION("""COMPUTED_VALUE"""),"Male")</f>
        <v>Male</v>
      </c>
      <c r="D2002" s="5" t="str">
        <f ca="1">IFERROR(__xludf.DUMMYFUNCTION("""COMPUTED_VALUE"""),"Student")</f>
        <v>Student</v>
      </c>
      <c r="E2002" s="5">
        <f ca="1">IFERROR(__xludf.DUMMYFUNCTION("""COMPUTED_VALUE"""),16)</f>
        <v>16</v>
      </c>
      <c r="F2002" s="5"/>
    </row>
    <row r="2003" spans="1:6" ht="13">
      <c r="A2003" s="5" t="str">
        <f ca="1">IFERROR(__xludf.DUMMYFUNCTION("""COMPUTED_VALUE"""),"20010305CASAS")</f>
        <v>20010305CASAS</v>
      </c>
      <c r="B2003" s="5" t="str">
        <f ca="1">IFERROR(__xludf.DUMMYFUNCTION("""COMPUTED_VALUE"""),"Wounded")</f>
        <v>Wounded</v>
      </c>
      <c r="C2003" s="5" t="str">
        <f ca="1">IFERROR(__xludf.DUMMYFUNCTION("""COMPUTED_VALUE"""),"Male")</f>
        <v>Male</v>
      </c>
      <c r="D2003" s="5" t="str">
        <f ca="1">IFERROR(__xludf.DUMMYFUNCTION("""COMPUTED_VALUE"""),"Student")</f>
        <v>Student</v>
      </c>
      <c r="E2003" s="5" t="str">
        <f ca="1">IFERROR(__xludf.DUMMYFUNCTION("""COMPUTED_VALUE"""),"Teen")</f>
        <v>Teen</v>
      </c>
      <c r="F2003" s="5"/>
    </row>
    <row r="2004" spans="1:6" ht="13">
      <c r="A2004" s="5" t="str">
        <f ca="1">IFERROR(__xludf.DUMMYFUNCTION("""COMPUTED_VALUE"""),"20010305CASAS")</f>
        <v>20010305CASAS</v>
      </c>
      <c r="B2004" s="5" t="str">
        <f ca="1">IFERROR(__xludf.DUMMYFUNCTION("""COMPUTED_VALUE"""),"Wounded")</f>
        <v>Wounded</v>
      </c>
      <c r="C2004" s="5" t="str">
        <f ca="1">IFERROR(__xludf.DUMMYFUNCTION("""COMPUTED_VALUE"""),"Female")</f>
        <v>Female</v>
      </c>
      <c r="D2004" s="5" t="str">
        <f ca="1">IFERROR(__xludf.DUMMYFUNCTION("""COMPUTED_VALUE"""),"Student")</f>
        <v>Student</v>
      </c>
      <c r="E2004" s="5">
        <f ca="1">IFERROR(__xludf.DUMMYFUNCTION("""COMPUTED_VALUE"""),15)</f>
        <v>15</v>
      </c>
      <c r="F2004" s="5"/>
    </row>
    <row r="2005" spans="1:6" ht="13">
      <c r="A2005" s="5" t="str">
        <f ca="1">IFERROR(__xludf.DUMMYFUNCTION("""COMPUTED_VALUE"""),"20010305CASAS")</f>
        <v>20010305CASAS</v>
      </c>
      <c r="B2005" s="5" t="str">
        <f ca="1">IFERROR(__xludf.DUMMYFUNCTION("""COMPUTED_VALUE"""),"Wounded")</f>
        <v>Wounded</v>
      </c>
      <c r="C2005" s="5" t="str">
        <f ca="1">IFERROR(__xludf.DUMMYFUNCTION("""COMPUTED_VALUE"""),"Male")</f>
        <v>Male</v>
      </c>
      <c r="D2005" s="5" t="str">
        <f ca="1">IFERROR(__xludf.DUMMYFUNCTION("""COMPUTED_VALUE"""),"Student")</f>
        <v>Student</v>
      </c>
      <c r="E2005" s="5">
        <f ca="1">IFERROR(__xludf.DUMMYFUNCTION("""COMPUTED_VALUE"""),18)</f>
        <v>18</v>
      </c>
      <c r="F2005" s="5"/>
    </row>
    <row r="2006" spans="1:6" ht="13">
      <c r="A2006" s="5" t="str">
        <f ca="1">IFERROR(__xludf.DUMMYFUNCTION("""COMPUTED_VALUE"""),"20010305CASAS")</f>
        <v>20010305CASAS</v>
      </c>
      <c r="B2006" s="5" t="str">
        <f ca="1">IFERROR(__xludf.DUMMYFUNCTION("""COMPUTED_VALUE"""),"Wounded")</f>
        <v>Wounded</v>
      </c>
      <c r="C2006" s="5" t="str">
        <f ca="1">IFERROR(__xludf.DUMMYFUNCTION("""COMPUTED_VALUE"""),"Male")</f>
        <v>Male</v>
      </c>
      <c r="D2006" s="5" t="str">
        <f ca="1">IFERROR(__xludf.DUMMYFUNCTION("""COMPUTED_VALUE"""),"Student")</f>
        <v>Student</v>
      </c>
      <c r="E2006" s="5">
        <f ca="1">IFERROR(__xludf.DUMMYFUNCTION("""COMPUTED_VALUE"""),18)</f>
        <v>18</v>
      </c>
      <c r="F2006" s="5"/>
    </row>
    <row r="2007" spans="1:6" ht="13">
      <c r="A2007" s="5" t="str">
        <f ca="1">IFERROR(__xludf.DUMMYFUNCTION("""COMPUTED_VALUE"""),"20010305CASAS")</f>
        <v>20010305CASAS</v>
      </c>
      <c r="B2007" s="5" t="str">
        <f ca="1">IFERROR(__xludf.DUMMYFUNCTION("""COMPUTED_VALUE"""),"Wounded")</f>
        <v>Wounded</v>
      </c>
      <c r="C2007" s="5" t="str">
        <f ca="1">IFERROR(__xludf.DUMMYFUNCTION("""COMPUTED_VALUE"""),"Male")</f>
        <v>Male</v>
      </c>
      <c r="D2007" s="5" t="str">
        <f ca="1">IFERROR(__xludf.DUMMYFUNCTION("""COMPUTED_VALUE"""),"Student")</f>
        <v>Student</v>
      </c>
      <c r="E2007" s="5">
        <f ca="1">IFERROR(__xludf.DUMMYFUNCTION("""COMPUTED_VALUE"""),19)</f>
        <v>19</v>
      </c>
      <c r="F2007" s="5"/>
    </row>
    <row r="2008" spans="1:6" ht="13">
      <c r="A2008" s="5" t="str">
        <f ca="1">IFERROR(__xludf.DUMMYFUNCTION("""COMPUTED_VALUE"""),"20010305CASAS")</f>
        <v>20010305CASAS</v>
      </c>
      <c r="B2008" s="5" t="str">
        <f ca="1">IFERROR(__xludf.DUMMYFUNCTION("""COMPUTED_VALUE"""),"Wounded")</f>
        <v>Wounded</v>
      </c>
      <c r="C2008" s="5" t="str">
        <f ca="1">IFERROR(__xludf.DUMMYFUNCTION("""COMPUTED_VALUE"""),"Female")</f>
        <v>Female</v>
      </c>
      <c r="D2008" s="5" t="str">
        <f ca="1">IFERROR(__xludf.DUMMYFUNCTION("""COMPUTED_VALUE"""),"Teacher")</f>
        <v>Teacher</v>
      </c>
      <c r="E2008" s="5">
        <f ca="1">IFERROR(__xludf.DUMMYFUNCTION("""COMPUTED_VALUE"""),33)</f>
        <v>33</v>
      </c>
      <c r="F2008" s="5"/>
    </row>
    <row r="2009" spans="1:6" ht="13">
      <c r="A2009" s="5" t="str">
        <f ca="1">IFERROR(__xludf.DUMMYFUNCTION("""COMPUTED_VALUE"""),"20010305CASAS")</f>
        <v>20010305CASAS</v>
      </c>
      <c r="B2009" s="5" t="str">
        <f ca="1">IFERROR(__xludf.DUMMYFUNCTION("""COMPUTED_VALUE"""),"Fatal")</f>
        <v>Fatal</v>
      </c>
      <c r="C2009" s="5" t="str">
        <f ca="1">IFERROR(__xludf.DUMMYFUNCTION("""COMPUTED_VALUE"""),"Male")</f>
        <v>Male</v>
      </c>
      <c r="D2009" s="5" t="str">
        <f ca="1">IFERROR(__xludf.DUMMYFUNCTION("""COMPUTED_VALUE"""),"Student")</f>
        <v>Student</v>
      </c>
      <c r="E2009" s="5">
        <f ca="1">IFERROR(__xludf.DUMMYFUNCTION("""COMPUTED_VALUE"""),14)</f>
        <v>14</v>
      </c>
      <c r="F2009" s="5"/>
    </row>
    <row r="2010" spans="1:6" ht="13">
      <c r="A2010" s="5" t="str">
        <f ca="1">IFERROR(__xludf.DUMMYFUNCTION("""COMPUTED_VALUE"""),"20010305CASAS")</f>
        <v>20010305CASAS</v>
      </c>
      <c r="B2010" s="5" t="str">
        <f ca="1">IFERROR(__xludf.DUMMYFUNCTION("""COMPUTED_VALUE"""),"Wounded")</f>
        <v>Wounded</v>
      </c>
      <c r="C2010" s="5" t="str">
        <f ca="1">IFERROR(__xludf.DUMMYFUNCTION("""COMPUTED_VALUE"""),"Male")</f>
        <v>Male</v>
      </c>
      <c r="D2010" s="5" t="str">
        <f ca="1">IFERROR(__xludf.DUMMYFUNCTION("""COMPUTED_VALUE"""),"Student")</f>
        <v>Student</v>
      </c>
      <c r="E2010" s="5">
        <f ca="1">IFERROR(__xludf.DUMMYFUNCTION("""COMPUTED_VALUE"""),16)</f>
        <v>16</v>
      </c>
      <c r="F2010" s="5"/>
    </row>
    <row r="2011" spans="1:6" ht="13">
      <c r="A2011" s="5" t="str">
        <f ca="1">IFERROR(__xludf.DUMMYFUNCTION("""COMPUTED_VALUE"""),"20010305CASAS")</f>
        <v>20010305CASAS</v>
      </c>
      <c r="B2011" s="5" t="str">
        <f ca="1">IFERROR(__xludf.DUMMYFUNCTION("""COMPUTED_VALUE"""),"Wounded")</f>
        <v>Wounded</v>
      </c>
      <c r="C2011" s="5" t="str">
        <f ca="1">IFERROR(__xludf.DUMMYFUNCTION("""COMPUTED_VALUE"""),"Male")</f>
        <v>Male</v>
      </c>
      <c r="D2011" s="5" t="str">
        <f ca="1">IFERROR(__xludf.DUMMYFUNCTION("""COMPUTED_VALUE"""),"Other Staff")</f>
        <v>Other Staff</v>
      </c>
      <c r="E2011" s="5">
        <f ca="1">IFERROR(__xludf.DUMMYFUNCTION("""COMPUTED_VALUE"""),22)</f>
        <v>22</v>
      </c>
      <c r="F2011" s="5"/>
    </row>
    <row r="2012" spans="1:6" ht="13">
      <c r="A2012" s="5" t="str">
        <f ca="1">IFERROR(__xludf.DUMMYFUNCTION("""COMPUTED_VALUE"""),"20010305CASAS")</f>
        <v>20010305CASAS</v>
      </c>
      <c r="B2012" s="5" t="str">
        <f ca="1">IFERROR(__xludf.DUMMYFUNCTION("""COMPUTED_VALUE"""),"Wounded")</f>
        <v>Wounded</v>
      </c>
      <c r="C2012" s="5" t="str">
        <f ca="1">IFERROR(__xludf.DUMMYFUNCTION("""COMPUTED_VALUE"""),"Female")</f>
        <v>Female</v>
      </c>
      <c r="D2012" s="5" t="str">
        <f ca="1">IFERROR(__xludf.DUMMYFUNCTION("""COMPUTED_VALUE"""),"Student")</f>
        <v>Student</v>
      </c>
      <c r="E2012" s="5" t="str">
        <f ca="1">IFERROR(__xludf.DUMMYFUNCTION("""COMPUTED_VALUE"""),"Teen")</f>
        <v>Teen</v>
      </c>
      <c r="F2012" s="5"/>
    </row>
    <row r="2013" spans="1:6" ht="13">
      <c r="A2013" s="5" t="str">
        <f ca="1">IFERROR(__xludf.DUMMYFUNCTION("""COMPUTED_VALUE"""),"20010305CASAS")</f>
        <v>20010305CASAS</v>
      </c>
      <c r="B2013" s="5" t="str">
        <f ca="1">IFERROR(__xludf.DUMMYFUNCTION("""COMPUTED_VALUE"""),"Wounded")</f>
        <v>Wounded</v>
      </c>
      <c r="C2013" s="5" t="str">
        <f ca="1">IFERROR(__xludf.DUMMYFUNCTION("""COMPUTED_VALUE"""),"Male")</f>
        <v>Male</v>
      </c>
      <c r="D2013" s="5" t="str">
        <f ca="1">IFERROR(__xludf.DUMMYFUNCTION("""COMPUTED_VALUE"""),"Student")</f>
        <v>Student</v>
      </c>
      <c r="E2013" s="5">
        <f ca="1">IFERROR(__xludf.DUMMYFUNCTION("""COMPUTED_VALUE"""),17)</f>
        <v>17</v>
      </c>
      <c r="F2013" s="5"/>
    </row>
    <row r="2014" spans="1:6" ht="13">
      <c r="A2014" s="5" t="str">
        <f ca="1">IFERROR(__xludf.DUMMYFUNCTION("""COMPUTED_VALUE"""),"20010302CAHOS")</f>
        <v>20010302CAHOS</v>
      </c>
      <c r="B2014" s="5" t="str">
        <f ca="1">IFERROR(__xludf.DUMMYFUNCTION("""COMPUTED_VALUE"""),"None")</f>
        <v>None</v>
      </c>
      <c r="C2014" s="5" t="str">
        <f ca="1">IFERROR(__xludf.DUMMYFUNCTION("""COMPUTED_VALUE"""),"Male")</f>
        <v>Male</v>
      </c>
      <c r="D2014" s="5" t="str">
        <f ca="1">IFERROR(__xludf.DUMMYFUNCTION("""COMPUTED_VALUE"""),"Student")</f>
        <v>Student</v>
      </c>
      <c r="E2014" s="5">
        <f ca="1">IFERROR(__xludf.DUMMYFUNCTION("""COMPUTED_VALUE"""),18)</f>
        <v>18</v>
      </c>
      <c r="F2014" s="5"/>
    </row>
    <row r="2015" spans="1:6" ht="13">
      <c r="A2015" s="5" t="str">
        <f ca="1">IFERROR(__xludf.DUMMYFUNCTION("""COMPUTED_VALUE"""),"20010202MIOSD")</f>
        <v>20010202MIOSD</v>
      </c>
      <c r="B2015" s="5" t="str">
        <f ca="1">IFERROR(__xludf.DUMMYFUNCTION("""COMPUTED_VALUE"""),"Wounded")</f>
        <v>Wounded</v>
      </c>
      <c r="C2015" s="5"/>
      <c r="D2015" s="5" t="str">
        <f ca="1">IFERROR(__xludf.DUMMYFUNCTION("""COMPUTED_VALUE"""),"Teacher")</f>
        <v>Teacher</v>
      </c>
      <c r="E2015" s="5" t="str">
        <f ca="1">IFERROR(__xludf.DUMMYFUNCTION("""COMPUTED_VALUE"""),"Adult")</f>
        <v>Adult</v>
      </c>
      <c r="F2015" s="5"/>
    </row>
    <row r="2016" spans="1:6" ht="13">
      <c r="A2016" s="5" t="str">
        <f ca="1">IFERROR(__xludf.DUMMYFUNCTION("""COMPUTED_VALUE"""),"20010202MIOSD")</f>
        <v>20010202MIOSD</v>
      </c>
      <c r="B2016" s="5" t="str">
        <f ca="1">IFERROR(__xludf.DUMMYFUNCTION("""COMPUTED_VALUE"""),"Wounded")</f>
        <v>Wounded</v>
      </c>
      <c r="C2016" s="5"/>
      <c r="D2016" s="5" t="str">
        <f ca="1">IFERROR(__xludf.DUMMYFUNCTION("""COMPUTED_VALUE"""),"Student")</f>
        <v>Student</v>
      </c>
      <c r="E2016" s="5" t="str">
        <f ca="1">IFERROR(__xludf.DUMMYFUNCTION("""COMPUTED_VALUE"""),"Teen")</f>
        <v>Teen</v>
      </c>
      <c r="F2016" s="5"/>
    </row>
    <row r="2017" spans="1:6" ht="13">
      <c r="A2017" s="5" t="str">
        <f ca="1">IFERROR(__xludf.DUMMYFUNCTION("""COMPUTED_VALUE"""),"20010202MIOSD")</f>
        <v>20010202MIOSD</v>
      </c>
      <c r="B2017" s="5" t="str">
        <f ca="1">IFERROR(__xludf.DUMMYFUNCTION("""COMPUTED_VALUE"""),"Wounded")</f>
        <v>Wounded</v>
      </c>
      <c r="C2017" s="5"/>
      <c r="D2017" s="5" t="str">
        <f ca="1">IFERROR(__xludf.DUMMYFUNCTION("""COMPUTED_VALUE"""),"Student")</f>
        <v>Student</v>
      </c>
      <c r="E2017" s="5" t="str">
        <f ca="1">IFERROR(__xludf.DUMMYFUNCTION("""COMPUTED_VALUE"""),"Teen")</f>
        <v>Teen</v>
      </c>
      <c r="F2017" s="5"/>
    </row>
    <row r="2018" spans="1:6" ht="13">
      <c r="A2018" s="5" t="str">
        <f ca="1">IFERROR(__xludf.DUMMYFUNCTION("""COMPUTED_VALUE"""),"20010117MDLAB")</f>
        <v>20010117MDLAB</v>
      </c>
      <c r="B2018" s="5" t="str">
        <f ca="1">IFERROR(__xludf.DUMMYFUNCTION("""COMPUTED_VALUE"""),"Fatal")</f>
        <v>Fatal</v>
      </c>
      <c r="C2018" s="5" t="str">
        <f ca="1">IFERROR(__xludf.DUMMYFUNCTION("""COMPUTED_VALUE"""),"Male")</f>
        <v>Male</v>
      </c>
      <c r="D2018" s="5" t="str">
        <f ca="1">IFERROR(__xludf.DUMMYFUNCTION("""COMPUTED_VALUE"""),"Student")</f>
        <v>Student</v>
      </c>
      <c r="E2018" s="5">
        <f ca="1">IFERROR(__xludf.DUMMYFUNCTION("""COMPUTED_VALUE"""),17)</f>
        <v>17</v>
      </c>
      <c r="F2018" s="5"/>
    </row>
    <row r="2019" spans="1:6" ht="13">
      <c r="A2019" s="5" t="str">
        <f ca="1">IFERROR(__xludf.DUMMYFUNCTION("""COMPUTED_VALUE"""),"20010110CAHUO")</f>
        <v>20010110CAHUO</v>
      </c>
      <c r="B2019" s="5" t="str">
        <f ca="1">IFERROR(__xludf.DUMMYFUNCTION("""COMPUTED_VALUE"""),"None")</f>
        <v>None</v>
      </c>
      <c r="C2019" s="5" t="str">
        <f ca="1">IFERROR(__xludf.DUMMYFUNCTION("""COMPUTED_VALUE"""),"Female")</f>
        <v>Female</v>
      </c>
      <c r="D2019" s="5" t="str">
        <f ca="1">IFERROR(__xludf.DUMMYFUNCTION("""COMPUTED_VALUE"""),"Student")</f>
        <v>Student</v>
      </c>
      <c r="E2019" s="5">
        <f ca="1">IFERROR(__xludf.DUMMYFUNCTION("""COMPUTED_VALUE"""),17)</f>
        <v>17</v>
      </c>
      <c r="F2019" s="5"/>
    </row>
    <row r="2020" spans="1:6" ht="13">
      <c r="A2020" s="5" t="str">
        <f ca="1">IFERROR(__xludf.DUMMYFUNCTION("""COMPUTED_VALUE"""),"20010103CABAS")</f>
        <v>20010103CABAS</v>
      </c>
      <c r="B2020" s="5" t="str">
        <f ca="1">IFERROR(__xludf.DUMMYFUNCTION("""COMPUTED_VALUE"""),"None")</f>
        <v>None</v>
      </c>
      <c r="C2020" s="5" t="str">
        <f ca="1">IFERROR(__xludf.DUMMYFUNCTION("""COMPUTED_VALUE"""),"Male")</f>
        <v>Male</v>
      </c>
      <c r="D2020" s="5" t="str">
        <f ca="1">IFERROR(__xludf.DUMMYFUNCTION("""COMPUTED_VALUE"""),"Student")</f>
        <v>Student</v>
      </c>
      <c r="E2020" s="5">
        <f ca="1">IFERROR(__xludf.DUMMYFUNCTION("""COMPUTED_VALUE"""),15)</f>
        <v>15</v>
      </c>
      <c r="F2020" s="5"/>
    </row>
    <row r="2021" spans="1:6" ht="13">
      <c r="A2021" s="5" t="str">
        <f ca="1">IFERROR(__xludf.DUMMYFUNCTION("""COMPUTED_VALUE"""),"20001221FLNOM")</f>
        <v>20001221FLNOM</v>
      </c>
      <c r="B2021" s="5" t="str">
        <f ca="1">IFERROR(__xludf.DUMMYFUNCTION("""COMPUTED_VALUE"""),"Fatal")</f>
        <v>Fatal</v>
      </c>
      <c r="C2021" s="5" t="str">
        <f ca="1">IFERROR(__xludf.DUMMYFUNCTION("""COMPUTED_VALUE"""),"Male")</f>
        <v>Male</v>
      </c>
      <c r="D2021" s="5" t="str">
        <f ca="1">IFERROR(__xludf.DUMMYFUNCTION("""COMPUTED_VALUE"""),"No Relation")</f>
        <v>No Relation</v>
      </c>
      <c r="E2021" s="5">
        <f ca="1">IFERROR(__xludf.DUMMYFUNCTION("""COMPUTED_VALUE"""),32)</f>
        <v>32</v>
      </c>
      <c r="F2021" s="5"/>
    </row>
    <row r="2022" spans="1:6" ht="13">
      <c r="A2022" s="5" t="str">
        <f ca="1">IFERROR(__xludf.DUMMYFUNCTION("""COMPUTED_VALUE"""),"20001207CARIR")</f>
        <v>20001207CARIR</v>
      </c>
      <c r="B2022" s="5" t="str">
        <f ca="1">IFERROR(__xludf.DUMMYFUNCTION("""COMPUTED_VALUE"""),"Fatal")</f>
        <v>Fatal</v>
      </c>
      <c r="C2022" s="5" t="str">
        <f ca="1">IFERROR(__xludf.DUMMYFUNCTION("""COMPUTED_VALUE"""),"Male")</f>
        <v>Male</v>
      </c>
      <c r="D2022" s="5" t="str">
        <f ca="1">IFERROR(__xludf.DUMMYFUNCTION("""COMPUTED_VALUE"""),"Student")</f>
        <v>Student</v>
      </c>
      <c r="E2022" s="5">
        <f ca="1">IFERROR(__xludf.DUMMYFUNCTION("""COMPUTED_VALUE"""),16)</f>
        <v>16</v>
      </c>
      <c r="F2022" s="5"/>
    </row>
    <row r="2023" spans="1:6" ht="13">
      <c r="A2023" s="5" t="str">
        <f ca="1">IFERROR(__xludf.DUMMYFUNCTION("""COMPUTED_VALUE"""),"20001201CAJUS")</f>
        <v>20001201CAJUS</v>
      </c>
      <c r="B2023" s="5" t="str">
        <f ca="1">IFERROR(__xludf.DUMMYFUNCTION("""COMPUTED_VALUE"""),"None")</f>
        <v>None</v>
      </c>
      <c r="C2023" s="5" t="str">
        <f ca="1">IFERROR(__xludf.DUMMYFUNCTION("""COMPUTED_VALUE"""),"Male")</f>
        <v>Male</v>
      </c>
      <c r="D2023" s="5" t="str">
        <f ca="1">IFERROR(__xludf.DUMMYFUNCTION("""COMPUTED_VALUE"""),"Student")</f>
        <v>Student</v>
      </c>
      <c r="E2023" s="5">
        <f ca="1">IFERROR(__xludf.DUMMYFUNCTION("""COMPUTED_VALUE"""),15)</f>
        <v>15</v>
      </c>
      <c r="F2023" s="5"/>
    </row>
    <row r="2024" spans="1:6" ht="13">
      <c r="A2024" s="5" t="str">
        <f ca="1">IFERROR(__xludf.DUMMYFUNCTION("""COMPUTED_VALUE"""),"20001201CAGRL")</f>
        <v>20001201CAGRL</v>
      </c>
      <c r="B2024" s="5" t="str">
        <f ca="1">IFERROR(__xludf.DUMMYFUNCTION("""COMPUTED_VALUE"""),"None")</f>
        <v>None</v>
      </c>
      <c r="C2024" s="5" t="str">
        <f ca="1">IFERROR(__xludf.DUMMYFUNCTION("""COMPUTED_VALUE"""),"Male")</f>
        <v>Male</v>
      </c>
      <c r="D2024" s="5" t="str">
        <f ca="1">IFERROR(__xludf.DUMMYFUNCTION("""COMPUTED_VALUE"""),"Student")</f>
        <v>Student</v>
      </c>
      <c r="E2024" s="5">
        <f ca="1">IFERROR(__xludf.DUMMYFUNCTION("""COMPUTED_VALUE"""),17)</f>
        <v>17</v>
      </c>
      <c r="F2024" s="5"/>
    </row>
    <row r="2025" spans="1:6" ht="13">
      <c r="A2025" s="5" t="str">
        <f ca="1">IFERROR(__xludf.DUMMYFUNCTION("""COMPUTED_VALUE"""),"20001101TXNEC")</f>
        <v>20001101TXNEC</v>
      </c>
      <c r="B2025" s="5" t="str">
        <f ca="1">IFERROR(__xludf.DUMMYFUNCTION("""COMPUTED_VALUE"""),"None")</f>
        <v>None</v>
      </c>
      <c r="C2025" s="5"/>
      <c r="D2025" s="5"/>
      <c r="E2025" s="5"/>
      <c r="F2025" s="5"/>
    </row>
    <row r="2026" spans="1:6" ht="13">
      <c r="A2026" s="5" t="str">
        <f ca="1">IFERROR(__xludf.DUMMYFUNCTION("""COMPUTED_VALUE"""),"20001024AZPIG")</f>
        <v>20001024AZPIG</v>
      </c>
      <c r="B2026" s="5" t="str">
        <f ca="1">IFERROR(__xludf.DUMMYFUNCTION("""COMPUTED_VALUE"""),"None")</f>
        <v>None</v>
      </c>
      <c r="C2026" s="5"/>
      <c r="D2026" s="5"/>
      <c r="E2026" s="5"/>
      <c r="F2026" s="5"/>
    </row>
    <row r="2027" spans="1:6" ht="13">
      <c r="A2027" s="5" t="str">
        <f ca="1">IFERROR(__xludf.DUMMYFUNCTION("""COMPUTED_VALUE"""),"20001005MNMIM")</f>
        <v>20001005MNMIM</v>
      </c>
      <c r="B2027" s="5" t="str">
        <f ca="1">IFERROR(__xludf.DUMMYFUNCTION("""COMPUTED_VALUE"""),"Wounded")</f>
        <v>Wounded</v>
      </c>
      <c r="C2027" s="5" t="str">
        <f ca="1">IFERROR(__xludf.DUMMYFUNCTION("""COMPUTED_VALUE"""),"Male")</f>
        <v>Male</v>
      </c>
      <c r="D2027" s="5" t="str">
        <f ca="1">IFERROR(__xludf.DUMMYFUNCTION("""COMPUTED_VALUE"""),"No Relation")</f>
        <v>No Relation</v>
      </c>
      <c r="E2027" s="5">
        <f ca="1">IFERROR(__xludf.DUMMYFUNCTION("""COMPUTED_VALUE"""),17)</f>
        <v>17</v>
      </c>
      <c r="F2027" s="5"/>
    </row>
    <row r="2028" spans="1:6" ht="13">
      <c r="A2028" s="5" t="str">
        <f ca="1">IFERROR(__xludf.DUMMYFUNCTION("""COMPUTED_VALUE"""),"20001005MNMIM")</f>
        <v>20001005MNMIM</v>
      </c>
      <c r="B2028" s="5" t="str">
        <f ca="1">IFERROR(__xludf.DUMMYFUNCTION("""COMPUTED_VALUE"""),"Wounded")</f>
        <v>Wounded</v>
      </c>
      <c r="C2028" s="5" t="str">
        <f ca="1">IFERROR(__xludf.DUMMYFUNCTION("""COMPUTED_VALUE"""),"Male")</f>
        <v>Male</v>
      </c>
      <c r="D2028" s="5" t="str">
        <f ca="1">IFERROR(__xludf.DUMMYFUNCTION("""COMPUTED_VALUE"""),"No Relation")</f>
        <v>No Relation</v>
      </c>
      <c r="E2028" s="5">
        <f ca="1">IFERROR(__xludf.DUMMYFUNCTION("""COMPUTED_VALUE"""),22)</f>
        <v>22</v>
      </c>
      <c r="F2028" s="5"/>
    </row>
    <row r="2029" spans="1:6" ht="13">
      <c r="A2029" s="5" t="str">
        <f ca="1">IFERROR(__xludf.DUMMYFUNCTION("""COMPUTED_VALUE"""),"20000926LACAN")</f>
        <v>20000926LACAN</v>
      </c>
      <c r="B2029" s="5" t="str">
        <f ca="1">IFERROR(__xludf.DUMMYFUNCTION("""COMPUTED_VALUE"""),"Wounded")</f>
        <v>Wounded</v>
      </c>
      <c r="C2029" s="5" t="str">
        <f ca="1">IFERROR(__xludf.DUMMYFUNCTION("""COMPUTED_VALUE"""),"Male")</f>
        <v>Male</v>
      </c>
      <c r="D2029" s="5" t="str">
        <f ca="1">IFERROR(__xludf.DUMMYFUNCTION("""COMPUTED_VALUE"""),"Student")</f>
        <v>Student</v>
      </c>
      <c r="E2029" s="5">
        <f ca="1">IFERROR(__xludf.DUMMYFUNCTION("""COMPUTED_VALUE"""),15)</f>
        <v>15</v>
      </c>
      <c r="F2029" s="5"/>
    </row>
    <row r="2030" spans="1:6" ht="13">
      <c r="A2030" s="5" t="str">
        <f ca="1">IFERROR(__xludf.DUMMYFUNCTION("""COMPUTED_VALUE"""),"20000926LACAN")</f>
        <v>20000926LACAN</v>
      </c>
      <c r="B2030" s="5" t="str">
        <f ca="1">IFERROR(__xludf.DUMMYFUNCTION("""COMPUTED_VALUE"""),"Wounded")</f>
        <v>Wounded</v>
      </c>
      <c r="C2030" s="5" t="str">
        <f ca="1">IFERROR(__xludf.DUMMYFUNCTION("""COMPUTED_VALUE"""),"Male")</f>
        <v>Male</v>
      </c>
      <c r="D2030" s="5" t="str">
        <f ca="1">IFERROR(__xludf.DUMMYFUNCTION("""COMPUTED_VALUE"""),"Student")</f>
        <v>Student</v>
      </c>
      <c r="E2030" s="5">
        <f ca="1">IFERROR(__xludf.DUMMYFUNCTION("""COMPUTED_VALUE"""),13)</f>
        <v>13</v>
      </c>
      <c r="F2030" s="5"/>
    </row>
    <row r="2031" spans="1:6" ht="13">
      <c r="A2031" s="5" t="str">
        <f ca="1">IFERROR(__xludf.DUMMYFUNCTION("""COMPUTED_VALUE"""),"20000918OHMOM")</f>
        <v>20000918OHMOM</v>
      </c>
      <c r="B2031" s="5" t="str">
        <f ca="1">IFERROR(__xludf.DUMMYFUNCTION("""COMPUTED_VALUE"""),"None")</f>
        <v>None</v>
      </c>
      <c r="C2031" s="5"/>
      <c r="D2031" s="5"/>
      <c r="E2031" s="5"/>
      <c r="F2031" s="5"/>
    </row>
    <row r="2032" spans="1:6" ht="13">
      <c r="A2032" s="5" t="str">
        <f ca="1">IFERROR(__xludf.DUMMYFUNCTION("""COMPUTED_VALUE"""),"20000907ILLOR")</f>
        <v>20000907ILLOR</v>
      </c>
      <c r="B2032" s="5" t="str">
        <f ca="1">IFERROR(__xludf.DUMMYFUNCTION("""COMPUTED_VALUE"""),"Fatal")</f>
        <v>Fatal</v>
      </c>
      <c r="C2032" s="5" t="str">
        <f ca="1">IFERROR(__xludf.DUMMYFUNCTION("""COMPUTED_VALUE"""),"Male")</f>
        <v>Male</v>
      </c>
      <c r="D2032" s="5" t="str">
        <f ca="1">IFERROR(__xludf.DUMMYFUNCTION("""COMPUTED_VALUE"""),"No Relation")</f>
        <v>No Relation</v>
      </c>
      <c r="E2032" s="5">
        <f ca="1">IFERROR(__xludf.DUMMYFUNCTION("""COMPUTED_VALUE"""),19)</f>
        <v>19</v>
      </c>
      <c r="F2032" s="5" t="str">
        <f ca="1">IFERROR(__xludf.DUMMYFUNCTION("""COMPUTED_VALUE"""),"Black")</f>
        <v>Black</v>
      </c>
    </row>
    <row r="2033" spans="1:6" ht="13">
      <c r="A2033" s="5" t="str">
        <f ca="1">IFERROR(__xludf.DUMMYFUNCTION("""COMPUTED_VALUE"""),"20000905OHBIB")</f>
        <v>20000905OHBIB</v>
      </c>
      <c r="B2033" s="5" t="str">
        <f ca="1">IFERROR(__xludf.DUMMYFUNCTION("""COMPUTED_VALUE"""),"Fatal")</f>
        <v>Fatal</v>
      </c>
      <c r="C2033" s="5" t="str">
        <f ca="1">IFERROR(__xludf.DUMMYFUNCTION("""COMPUTED_VALUE"""),"Female")</f>
        <v>Female</v>
      </c>
      <c r="D2033" s="5" t="str">
        <f ca="1">IFERROR(__xludf.DUMMYFUNCTION("""COMPUTED_VALUE"""),"Other Staff")</f>
        <v>Other Staff</v>
      </c>
      <c r="E2033" s="5">
        <f ca="1">IFERROR(__xludf.DUMMYFUNCTION("""COMPUTED_VALUE"""),52)</f>
        <v>52</v>
      </c>
      <c r="F2033" s="5"/>
    </row>
    <row r="2034" spans="1:6" ht="13">
      <c r="A2034" s="5" t="str">
        <f ca="1">IFERROR(__xludf.DUMMYFUNCTION("""COMPUTED_VALUE"""),"20000726OHTIC")</f>
        <v>20000726OHTIC</v>
      </c>
      <c r="B2034" s="5" t="str">
        <f ca="1">IFERROR(__xludf.DUMMYFUNCTION("""COMPUTED_VALUE"""),"Fatal")</f>
        <v>Fatal</v>
      </c>
      <c r="C2034" s="5" t="str">
        <f ca="1">IFERROR(__xludf.DUMMYFUNCTION("""COMPUTED_VALUE"""),"Male")</f>
        <v>Male</v>
      </c>
      <c r="D2034" s="5" t="str">
        <f ca="1">IFERROR(__xludf.DUMMYFUNCTION("""COMPUTED_VALUE"""),"Student")</f>
        <v>Student</v>
      </c>
      <c r="E2034" s="5">
        <f ca="1">IFERROR(__xludf.DUMMYFUNCTION("""COMPUTED_VALUE"""),17)</f>
        <v>17</v>
      </c>
      <c r="F2034" s="5"/>
    </row>
    <row r="2035" spans="1:6" ht="13">
      <c r="A2035" s="5" t="str">
        <f ca="1">IFERROR(__xludf.DUMMYFUNCTION("""COMPUTED_VALUE"""),"20000717WADIR")</f>
        <v>20000717WADIR</v>
      </c>
      <c r="B2035" s="5" t="str">
        <f ca="1">IFERROR(__xludf.DUMMYFUNCTION("""COMPUTED_VALUE"""),"None")</f>
        <v>None</v>
      </c>
      <c r="C2035" s="5"/>
      <c r="D2035" s="5"/>
      <c r="E2035" s="5"/>
      <c r="F2035" s="5"/>
    </row>
    <row r="2036" spans="1:6" ht="13">
      <c r="A2036" s="5" t="str">
        <f ca="1">IFERROR(__xludf.DUMMYFUNCTION("""COMPUTED_VALUE"""),"20000526FLLAL")</f>
        <v>20000526FLLAL</v>
      </c>
      <c r="B2036" s="5" t="str">
        <f ca="1">IFERROR(__xludf.DUMMYFUNCTION("""COMPUTED_VALUE"""),"Fatal")</f>
        <v>Fatal</v>
      </c>
      <c r="C2036" s="5" t="str">
        <f ca="1">IFERROR(__xludf.DUMMYFUNCTION("""COMPUTED_VALUE"""),"Male")</f>
        <v>Male</v>
      </c>
      <c r="D2036" s="5" t="str">
        <f ca="1">IFERROR(__xludf.DUMMYFUNCTION("""COMPUTED_VALUE"""),"Teacher")</f>
        <v>Teacher</v>
      </c>
      <c r="E2036" s="5">
        <f ca="1">IFERROR(__xludf.DUMMYFUNCTION("""COMPUTED_VALUE"""),35)</f>
        <v>35</v>
      </c>
      <c r="F2036" s="5" t="str">
        <f ca="1">IFERROR(__xludf.DUMMYFUNCTION("""COMPUTED_VALUE"""),"Hispanic")</f>
        <v>Hispanic</v>
      </c>
    </row>
    <row r="2037" spans="1:6" ht="13">
      <c r="A2037" s="5" t="str">
        <f ca="1">IFERROR(__xludf.DUMMYFUNCTION("""COMPUTED_VALUE"""),"20000510AZCAS")</f>
        <v>20000510AZCAS</v>
      </c>
      <c r="B2037" s="5" t="str">
        <f ca="1">IFERROR(__xludf.DUMMYFUNCTION("""COMPUTED_VALUE"""),"Fatal")</f>
        <v>Fatal</v>
      </c>
      <c r="C2037" s="5" t="str">
        <f ca="1">IFERROR(__xludf.DUMMYFUNCTION("""COMPUTED_VALUE"""),"Female")</f>
        <v>Female</v>
      </c>
      <c r="D2037" s="5" t="str">
        <f ca="1">IFERROR(__xludf.DUMMYFUNCTION("""COMPUTED_VALUE"""),"Teacher")</f>
        <v>Teacher</v>
      </c>
      <c r="E2037" s="5">
        <f ca="1">IFERROR(__xludf.DUMMYFUNCTION("""COMPUTED_VALUE"""),36)</f>
        <v>36</v>
      </c>
      <c r="F2037" s="5"/>
    </row>
    <row r="2038" spans="1:6" ht="13">
      <c r="A2038" s="5" t="str">
        <f ca="1">IFERROR(__xludf.DUMMYFUNCTION("""COMPUTED_VALUE"""),"20000502COTHD")</f>
        <v>20000502COTHD</v>
      </c>
      <c r="B2038" s="5" t="str">
        <f ca="1">IFERROR(__xludf.DUMMYFUNCTION("""COMPUTED_VALUE"""),"None")</f>
        <v>None</v>
      </c>
      <c r="C2038" s="5" t="str">
        <f ca="1">IFERROR(__xludf.DUMMYFUNCTION("""COMPUTED_VALUE"""),"Male")</f>
        <v>Male</v>
      </c>
      <c r="D2038" s="5" t="str">
        <f ca="1">IFERROR(__xludf.DUMMYFUNCTION("""COMPUTED_VALUE"""),"Student")</f>
        <v>Student</v>
      </c>
      <c r="E2038" s="5">
        <f ca="1">IFERROR(__xludf.DUMMYFUNCTION("""COMPUTED_VALUE"""),16)</f>
        <v>16</v>
      </c>
      <c r="F2038" s="5"/>
    </row>
    <row r="2039" spans="1:6" ht="13">
      <c r="A2039" s="5" t="str">
        <f ca="1">IFERROR(__xludf.DUMMYFUNCTION("""COMPUTED_VALUE"""),"20000410AZLAT")</f>
        <v>20000410AZLAT</v>
      </c>
      <c r="B2039" s="5" t="str">
        <f ca="1">IFERROR(__xludf.DUMMYFUNCTION("""COMPUTED_VALUE"""),"None")</f>
        <v>None</v>
      </c>
      <c r="C2039" s="5" t="str">
        <f ca="1">IFERROR(__xludf.DUMMYFUNCTION("""COMPUTED_VALUE"""),"Female")</f>
        <v>Female</v>
      </c>
      <c r="D2039" s="5" t="str">
        <f ca="1">IFERROR(__xludf.DUMMYFUNCTION("""COMPUTED_VALUE"""),"Teacher")</f>
        <v>Teacher</v>
      </c>
      <c r="E2039" s="5">
        <f ca="1">IFERROR(__xludf.DUMMYFUNCTION("""COMPUTED_VALUE"""),35)</f>
        <v>35</v>
      </c>
      <c r="F2039" s="5"/>
    </row>
    <row r="2040" spans="1:6" ht="13">
      <c r="A2040" s="5" t="str">
        <f ca="1">IFERROR(__xludf.DUMMYFUNCTION("""COMPUTED_VALUE"""),"20000406OKHUH")</f>
        <v>20000406OKHUH</v>
      </c>
      <c r="B2040" s="5" t="str">
        <f ca="1">IFERROR(__xludf.DUMMYFUNCTION("""COMPUTED_VALUE"""),"Wounded")</f>
        <v>Wounded</v>
      </c>
      <c r="C2040" s="5" t="str">
        <f ca="1">IFERROR(__xludf.DUMMYFUNCTION("""COMPUTED_VALUE"""),"Female")</f>
        <v>Female</v>
      </c>
      <c r="D2040" s="5" t="str">
        <f ca="1">IFERROR(__xludf.DUMMYFUNCTION("""COMPUTED_VALUE"""),"Parent")</f>
        <v>Parent</v>
      </c>
      <c r="E2040" s="5">
        <f ca="1">IFERROR(__xludf.DUMMYFUNCTION("""COMPUTED_VALUE"""),33)</f>
        <v>33</v>
      </c>
      <c r="F2040" s="5"/>
    </row>
    <row r="2041" spans="1:6" ht="13">
      <c r="A2041" s="5" t="str">
        <f ca="1">IFERROR(__xludf.DUMMYFUNCTION("""COMPUTED_VALUE"""),"20000323OHMCL")</f>
        <v>20000323OHMCL</v>
      </c>
      <c r="B2041" s="5" t="str">
        <f ca="1">IFERROR(__xludf.DUMMYFUNCTION("""COMPUTED_VALUE"""),"None")</f>
        <v>None</v>
      </c>
      <c r="C2041" s="5"/>
      <c r="D2041" s="5"/>
      <c r="E2041" s="5"/>
      <c r="F2041" s="5"/>
    </row>
    <row r="2042" spans="1:6" ht="13">
      <c r="A2042" s="5" t="str">
        <f ca="1">IFERROR(__xludf.DUMMYFUNCTION("""COMPUTED_VALUE"""),"20000310GABES")</f>
        <v>20000310GABES</v>
      </c>
      <c r="B2042" s="5" t="str">
        <f ca="1">IFERROR(__xludf.DUMMYFUNCTION("""COMPUTED_VALUE"""),"Wounded")</f>
        <v>Wounded</v>
      </c>
      <c r="C2042" s="5" t="str">
        <f ca="1">IFERROR(__xludf.DUMMYFUNCTION("""COMPUTED_VALUE"""),"Male")</f>
        <v>Male</v>
      </c>
      <c r="D2042" s="5" t="str">
        <f ca="1">IFERROR(__xludf.DUMMYFUNCTION("""COMPUTED_VALUE"""),"Student")</f>
        <v>Student</v>
      </c>
      <c r="E2042" s="5">
        <f ca="1">IFERROR(__xludf.DUMMYFUNCTION("""COMPUTED_VALUE"""),16)</f>
        <v>16</v>
      </c>
      <c r="F2042" s="5"/>
    </row>
    <row r="2043" spans="1:6" ht="13">
      <c r="A2043" s="5" t="str">
        <f ca="1">IFERROR(__xludf.DUMMYFUNCTION("""COMPUTED_VALUE"""),"20000310GABES")</f>
        <v>20000310GABES</v>
      </c>
      <c r="B2043" s="5" t="str">
        <f ca="1">IFERROR(__xludf.DUMMYFUNCTION("""COMPUTED_VALUE"""),"Fatal")</f>
        <v>Fatal</v>
      </c>
      <c r="C2043" s="5" t="str">
        <f ca="1">IFERROR(__xludf.DUMMYFUNCTION("""COMPUTED_VALUE"""),"Female")</f>
        <v>Female</v>
      </c>
      <c r="D2043" s="5" t="str">
        <f ca="1">IFERROR(__xludf.DUMMYFUNCTION("""COMPUTED_VALUE"""),"Student")</f>
        <v>Student</v>
      </c>
      <c r="E2043" s="5">
        <f ca="1">IFERROR(__xludf.DUMMYFUNCTION("""COMPUTED_VALUE"""),19)</f>
        <v>19</v>
      </c>
      <c r="F2043" s="5"/>
    </row>
    <row r="2044" spans="1:6" ht="13">
      <c r="A2044" s="5" t="str">
        <f ca="1">IFERROR(__xludf.DUMMYFUNCTION("""COMPUTED_VALUE"""),"20000310GABES")</f>
        <v>20000310GABES</v>
      </c>
      <c r="B2044" s="5" t="str">
        <f ca="1">IFERROR(__xludf.DUMMYFUNCTION("""COMPUTED_VALUE"""),"Fatal")</f>
        <v>Fatal</v>
      </c>
      <c r="C2044" s="5" t="str">
        <f ca="1">IFERROR(__xludf.DUMMYFUNCTION("""COMPUTED_VALUE"""),"Male")</f>
        <v>Male</v>
      </c>
      <c r="D2044" s="5" t="str">
        <f ca="1">IFERROR(__xludf.DUMMYFUNCTION("""COMPUTED_VALUE"""),"Student")</f>
        <v>Student</v>
      </c>
      <c r="E2044" s="5">
        <f ca="1">IFERROR(__xludf.DUMMYFUNCTION("""COMPUTED_VALUE"""),16)</f>
        <v>16</v>
      </c>
      <c r="F2044" s="5"/>
    </row>
    <row r="2045" spans="1:6" ht="13">
      <c r="A2045" s="5" t="str">
        <f ca="1">IFERROR(__xludf.DUMMYFUNCTION("""COMPUTED_VALUE"""),"20000229MIBUF")</f>
        <v>20000229MIBUF</v>
      </c>
      <c r="B2045" s="5" t="str">
        <f ca="1">IFERROR(__xludf.DUMMYFUNCTION("""COMPUTED_VALUE"""),"Fatal")</f>
        <v>Fatal</v>
      </c>
      <c r="C2045" s="5" t="str">
        <f ca="1">IFERROR(__xludf.DUMMYFUNCTION("""COMPUTED_VALUE"""),"Female")</f>
        <v>Female</v>
      </c>
      <c r="D2045" s="5" t="str">
        <f ca="1">IFERROR(__xludf.DUMMYFUNCTION("""COMPUTED_VALUE"""),"Student")</f>
        <v>Student</v>
      </c>
      <c r="E2045" s="5">
        <f ca="1">IFERROR(__xludf.DUMMYFUNCTION("""COMPUTED_VALUE"""),6)</f>
        <v>6</v>
      </c>
      <c r="F2045" s="5"/>
    </row>
    <row r="2046" spans="1:6" ht="13">
      <c r="A2046" s="5" t="str">
        <f ca="1">IFERROR(__xludf.DUMMYFUNCTION("""COMPUTED_VALUE"""),"20000214ILDUC")</f>
        <v>20000214ILDUC</v>
      </c>
      <c r="B2046" s="5" t="str">
        <f ca="1">IFERROR(__xludf.DUMMYFUNCTION("""COMPUTED_VALUE"""),"Wounded")</f>
        <v>Wounded</v>
      </c>
      <c r="C2046" s="5" t="str">
        <f ca="1">IFERROR(__xludf.DUMMYFUNCTION("""COMPUTED_VALUE"""),"Male")</f>
        <v>Male</v>
      </c>
      <c r="D2046" s="5" t="str">
        <f ca="1">IFERROR(__xludf.DUMMYFUNCTION("""COMPUTED_VALUE"""),"Student")</f>
        <v>Student</v>
      </c>
      <c r="E2046" s="5">
        <f ca="1">IFERROR(__xludf.DUMMYFUNCTION("""COMPUTED_VALUE"""),11)</f>
        <v>11</v>
      </c>
      <c r="F2046" s="5"/>
    </row>
    <row r="2047" spans="1:6" ht="13">
      <c r="A2047" s="5" t="str">
        <f ca="1">IFERROR(__xludf.DUMMYFUNCTION("""COMPUTED_VALUE"""),"20000210PAPEY")</f>
        <v>20000210PAPEY</v>
      </c>
      <c r="B2047" s="5" t="str">
        <f ca="1">IFERROR(__xludf.DUMMYFUNCTION("""COMPUTED_VALUE"""),"None")</f>
        <v>None</v>
      </c>
      <c r="C2047" s="5" t="str">
        <f ca="1">IFERROR(__xludf.DUMMYFUNCTION("""COMPUTED_VALUE"""),"Male")</f>
        <v>Male</v>
      </c>
      <c r="D2047" s="5" t="str">
        <f ca="1">IFERROR(__xludf.DUMMYFUNCTION("""COMPUTED_VALUE"""),"Student")</f>
        <v>Student</v>
      </c>
      <c r="E2047" s="5">
        <f ca="1">IFERROR(__xludf.DUMMYFUNCTION("""COMPUTED_VALUE"""),14)</f>
        <v>14</v>
      </c>
      <c r="F2047" s="5"/>
    </row>
    <row r="2048" spans="1:6" ht="13">
      <c r="A2048" s="5" t="str">
        <f ca="1">IFERROR(__xludf.DUMMYFUNCTION("""COMPUTED_VALUE"""),"20000126NESOO")</f>
        <v>20000126NESOO</v>
      </c>
      <c r="B2048" s="5" t="str">
        <f ca="1">IFERROR(__xludf.DUMMYFUNCTION("""COMPUTED_VALUE"""),"Wounded")</f>
        <v>Wounded</v>
      </c>
      <c r="C2048" s="5" t="str">
        <f ca="1">IFERROR(__xludf.DUMMYFUNCTION("""COMPUTED_VALUE"""),"Female")</f>
        <v>Female</v>
      </c>
      <c r="D2048" s="5" t="str">
        <f ca="1">IFERROR(__xludf.DUMMYFUNCTION("""COMPUTED_VALUE"""),"Student")</f>
        <v>Student</v>
      </c>
      <c r="E2048" s="5">
        <f ca="1">IFERROR(__xludf.DUMMYFUNCTION("""COMPUTED_VALUE"""),16)</f>
        <v>16</v>
      </c>
      <c r="F2048" s="5"/>
    </row>
    <row r="2049" spans="1:6" ht="13">
      <c r="A2049" s="5" t="str">
        <f ca="1">IFERROR(__xludf.DUMMYFUNCTION("""COMPUTED_VALUE"""),"20000126CAALM")</f>
        <v>20000126CAALM</v>
      </c>
      <c r="B2049" s="5" t="str">
        <f ca="1">IFERROR(__xludf.DUMMYFUNCTION("""COMPUTED_VALUE"""),"None")</f>
        <v>None</v>
      </c>
      <c r="C2049" s="5" t="str">
        <f ca="1">IFERROR(__xludf.DUMMYFUNCTION("""COMPUTED_VALUE"""),"Male")</f>
        <v>Male</v>
      </c>
      <c r="D2049" s="5" t="str">
        <f ca="1">IFERROR(__xludf.DUMMYFUNCTION("""COMPUTED_VALUE"""),"No Relation")</f>
        <v>No Relation</v>
      </c>
      <c r="E2049" s="5">
        <f ca="1">IFERROR(__xludf.DUMMYFUNCTION("""COMPUTED_VALUE"""),17)</f>
        <v>17</v>
      </c>
      <c r="F2049" s="5"/>
    </row>
    <row r="2050" spans="1:6" ht="13">
      <c r="A2050" s="5" t="str">
        <f ca="1">IFERROR(__xludf.DUMMYFUNCTION("""COMPUTED_VALUE"""),"20000120NCERA")</f>
        <v>20000120NCERA</v>
      </c>
      <c r="B2050" s="5" t="str">
        <f ca="1">IFERROR(__xludf.DUMMYFUNCTION("""COMPUTED_VALUE"""),"None")</f>
        <v>None</v>
      </c>
      <c r="C2050" s="5"/>
      <c r="D2050" s="5"/>
      <c r="E2050" s="5"/>
      <c r="F2050" s="5"/>
    </row>
    <row r="2051" spans="1:6" ht="13">
      <c r="A2051" s="5" t="str">
        <f ca="1">IFERROR(__xludf.DUMMYFUNCTION("""COMPUTED_VALUE"""),"20000119FLRIN")</f>
        <v>20000119FLRIN</v>
      </c>
      <c r="B2051" s="5" t="str">
        <f ca="1">IFERROR(__xludf.DUMMYFUNCTION("""COMPUTED_VALUE"""),"Fatal")</f>
        <v>Fatal</v>
      </c>
      <c r="C2051" s="5" t="str">
        <f ca="1">IFERROR(__xludf.DUMMYFUNCTION("""COMPUTED_VALUE"""),"Male")</f>
        <v>Male</v>
      </c>
      <c r="D2051" s="5" t="str">
        <f ca="1">IFERROR(__xludf.DUMMYFUNCTION("""COMPUTED_VALUE"""),"Student")</f>
        <v>Student</v>
      </c>
      <c r="E2051" s="5">
        <f ca="1">IFERROR(__xludf.DUMMYFUNCTION("""COMPUTED_VALUE"""),16)</f>
        <v>16</v>
      </c>
      <c r="F2051" s="5"/>
    </row>
    <row r="2052" spans="1:6" ht="13">
      <c r="A2052" s="5" t="str">
        <f ca="1">IFERROR(__xludf.DUMMYFUNCTION("""COMPUTED_VALUE"""),"20000113NMALA")</f>
        <v>20000113NMALA</v>
      </c>
      <c r="B2052" s="5" t="str">
        <f ca="1">IFERROR(__xludf.DUMMYFUNCTION("""COMPUTED_VALUE"""),"None")</f>
        <v>None</v>
      </c>
      <c r="C2052" s="5"/>
      <c r="D2052" s="5"/>
      <c r="E2052" s="5"/>
      <c r="F2052" s="5"/>
    </row>
    <row r="2053" spans="1:6" ht="13">
      <c r="A2053" s="5" t="str">
        <f ca="1">IFERROR(__xludf.DUMMYFUNCTION("""COMPUTED_VALUE"""),"20000110AKBAA")</f>
        <v>20000110AKBAA</v>
      </c>
      <c r="B2053" s="5" t="str">
        <f ca="1">IFERROR(__xludf.DUMMYFUNCTION("""COMPUTED_VALUE"""),"None")</f>
        <v>None</v>
      </c>
      <c r="C2053" s="5" t="str">
        <f ca="1">IFERROR(__xludf.DUMMYFUNCTION("""COMPUTED_VALUE"""),"Male")</f>
        <v>Male</v>
      </c>
      <c r="D2053" s="5" t="str">
        <f ca="1">IFERROR(__xludf.DUMMYFUNCTION("""COMPUTED_VALUE"""),"Student")</f>
        <v>Student</v>
      </c>
      <c r="E2053" s="5">
        <f ca="1">IFERROR(__xludf.DUMMYFUNCTION("""COMPUTED_VALUE"""),16)</f>
        <v>16</v>
      </c>
      <c r="F2053" s="5"/>
    </row>
    <row r="2054" spans="1:6" ht="13">
      <c r="A2054" s="5" t="str">
        <f ca="1">IFERROR(__xludf.DUMMYFUNCTION("""COMPUTED_VALUE"""),"19991206OKFOF")</f>
        <v>19991206OKFOF</v>
      </c>
      <c r="B2054" s="5" t="str">
        <f ca="1">IFERROR(__xludf.DUMMYFUNCTION("""COMPUTED_VALUE"""),"Wounded")</f>
        <v>Wounded</v>
      </c>
      <c r="C2054" s="5"/>
      <c r="D2054" s="5" t="str">
        <f ca="1">IFERROR(__xludf.DUMMYFUNCTION("""COMPUTED_VALUE"""),"Student")</f>
        <v>Student</v>
      </c>
      <c r="E2054" s="5">
        <f ca="1">IFERROR(__xludf.DUMMYFUNCTION("""COMPUTED_VALUE"""),12)</f>
        <v>12</v>
      </c>
      <c r="F2054" s="5"/>
    </row>
    <row r="2055" spans="1:6" ht="13">
      <c r="A2055" s="5" t="str">
        <f ca="1">IFERROR(__xludf.DUMMYFUNCTION("""COMPUTED_VALUE"""),"19991206OKFOF")</f>
        <v>19991206OKFOF</v>
      </c>
      <c r="B2055" s="5" t="str">
        <f ca="1">IFERROR(__xludf.DUMMYFUNCTION("""COMPUTED_VALUE"""),"Wounded")</f>
        <v>Wounded</v>
      </c>
      <c r="C2055" s="5"/>
      <c r="D2055" s="5" t="str">
        <f ca="1">IFERROR(__xludf.DUMMYFUNCTION("""COMPUTED_VALUE"""),"Student")</f>
        <v>Student</v>
      </c>
      <c r="E2055" s="5">
        <f ca="1">IFERROR(__xludf.DUMMYFUNCTION("""COMPUTED_VALUE"""),13)</f>
        <v>13</v>
      </c>
      <c r="F2055" s="5"/>
    </row>
    <row r="2056" spans="1:6" ht="13">
      <c r="A2056" s="5" t="str">
        <f ca="1">IFERROR(__xludf.DUMMYFUNCTION("""COMPUTED_VALUE"""),"19991206OKFOF")</f>
        <v>19991206OKFOF</v>
      </c>
      <c r="B2056" s="5" t="str">
        <f ca="1">IFERROR(__xludf.DUMMYFUNCTION("""COMPUTED_VALUE"""),"Wounded")</f>
        <v>Wounded</v>
      </c>
      <c r="C2056" s="5"/>
      <c r="D2056" s="5" t="str">
        <f ca="1">IFERROR(__xludf.DUMMYFUNCTION("""COMPUTED_VALUE"""),"Student")</f>
        <v>Student</v>
      </c>
      <c r="E2056" s="5">
        <f ca="1">IFERROR(__xludf.DUMMYFUNCTION("""COMPUTED_VALUE"""),13)</f>
        <v>13</v>
      </c>
      <c r="F2056" s="5"/>
    </row>
    <row r="2057" spans="1:6" ht="13">
      <c r="A2057" s="5" t="str">
        <f ca="1">IFERROR(__xludf.DUMMYFUNCTION("""COMPUTED_VALUE"""),"19991206OKFOF")</f>
        <v>19991206OKFOF</v>
      </c>
      <c r="B2057" s="5" t="str">
        <f ca="1">IFERROR(__xludf.DUMMYFUNCTION("""COMPUTED_VALUE"""),"Wounded")</f>
        <v>Wounded</v>
      </c>
      <c r="C2057" s="5"/>
      <c r="D2057" s="5" t="str">
        <f ca="1">IFERROR(__xludf.DUMMYFUNCTION("""COMPUTED_VALUE"""),"Student")</f>
        <v>Student</v>
      </c>
      <c r="E2057" s="5">
        <f ca="1">IFERROR(__xludf.DUMMYFUNCTION("""COMPUTED_VALUE"""),13)</f>
        <v>13</v>
      </c>
      <c r="F2057" s="5"/>
    </row>
    <row r="2058" spans="1:6" ht="13">
      <c r="A2058" s="5" t="str">
        <f ca="1">IFERROR(__xludf.DUMMYFUNCTION("""COMPUTED_VALUE"""),"19991206OKFOF")</f>
        <v>19991206OKFOF</v>
      </c>
      <c r="B2058" s="5" t="str">
        <f ca="1">IFERROR(__xludf.DUMMYFUNCTION("""COMPUTED_VALUE"""),"Wounded")</f>
        <v>Wounded</v>
      </c>
      <c r="C2058" s="5"/>
      <c r="D2058" s="5" t="str">
        <f ca="1">IFERROR(__xludf.DUMMYFUNCTION("""COMPUTED_VALUE"""),"Student")</f>
        <v>Student</v>
      </c>
      <c r="E2058" s="5" t="str">
        <f ca="1">IFERROR(__xludf.DUMMYFUNCTION("""COMPUTED_VALUE"""),"Teen")</f>
        <v>Teen</v>
      </c>
      <c r="F2058" s="5"/>
    </row>
    <row r="2059" spans="1:6" ht="13">
      <c r="A2059" s="5" t="str">
        <f ca="1">IFERROR(__xludf.DUMMYFUNCTION("""COMPUTED_VALUE"""),"19991119NMDED")</f>
        <v>19991119NMDED</v>
      </c>
      <c r="B2059" s="5" t="str">
        <f ca="1">IFERROR(__xludf.DUMMYFUNCTION("""COMPUTED_VALUE"""),"Fatal")</f>
        <v>Fatal</v>
      </c>
      <c r="C2059" s="5" t="str">
        <f ca="1">IFERROR(__xludf.DUMMYFUNCTION("""COMPUTED_VALUE"""),"Male")</f>
        <v>Male</v>
      </c>
      <c r="D2059" s="5" t="str">
        <f ca="1">IFERROR(__xludf.DUMMYFUNCTION("""COMPUTED_VALUE"""),"Student")</f>
        <v>Student</v>
      </c>
      <c r="E2059" s="5">
        <f ca="1">IFERROR(__xludf.DUMMYFUNCTION("""COMPUTED_VALUE"""),13)</f>
        <v>13</v>
      </c>
      <c r="F2059" s="5"/>
    </row>
    <row r="2060" spans="1:6" ht="13">
      <c r="A2060" s="5" t="str">
        <f ca="1">IFERROR(__xludf.DUMMYFUNCTION("""COMPUTED_VALUE"""),"19991117TXDID")</f>
        <v>19991117TXDID</v>
      </c>
      <c r="B2060" s="5" t="str">
        <f ca="1">IFERROR(__xludf.DUMMYFUNCTION("""COMPUTED_VALUE"""),"Wounded")</f>
        <v>Wounded</v>
      </c>
      <c r="C2060" s="5" t="str">
        <f ca="1">IFERROR(__xludf.DUMMYFUNCTION("""COMPUTED_VALUE"""),"Male")</f>
        <v>Male</v>
      </c>
      <c r="D2060" s="5" t="str">
        <f ca="1">IFERROR(__xludf.DUMMYFUNCTION("""COMPUTED_VALUE"""),"Student")</f>
        <v>Student</v>
      </c>
      <c r="E2060" s="5">
        <f ca="1">IFERROR(__xludf.DUMMYFUNCTION("""COMPUTED_VALUE"""),15)</f>
        <v>15</v>
      </c>
      <c r="F2060" s="5"/>
    </row>
    <row r="2061" spans="1:6" ht="13">
      <c r="A2061" s="5" t="str">
        <f ca="1">IFERROR(__xludf.DUMMYFUNCTION("""COMPUTED_VALUE"""),"19991026WVGUB")</f>
        <v>19991026WVGUB</v>
      </c>
      <c r="B2061" s="5" t="str">
        <f ca="1">IFERROR(__xludf.DUMMYFUNCTION("""COMPUTED_VALUE"""),"Fatal")</f>
        <v>Fatal</v>
      </c>
      <c r="C2061" s="5" t="str">
        <f ca="1">IFERROR(__xludf.DUMMYFUNCTION("""COMPUTED_VALUE"""),"Male")</f>
        <v>Male</v>
      </c>
      <c r="D2061" s="5" t="str">
        <f ca="1">IFERROR(__xludf.DUMMYFUNCTION("""COMPUTED_VALUE"""),"Other Staff")</f>
        <v>Other Staff</v>
      </c>
      <c r="E2061" s="5">
        <f ca="1">IFERROR(__xludf.DUMMYFUNCTION("""COMPUTED_VALUE"""),57)</f>
        <v>57</v>
      </c>
      <c r="F2061" s="5"/>
    </row>
    <row r="2062" spans="1:6" ht="13">
      <c r="A2062" s="5" t="str">
        <f ca="1">IFERROR(__xludf.DUMMYFUNCTION("""COMPUTED_VALUE"""),"19991026PAMAP")</f>
        <v>19991026PAMAP</v>
      </c>
      <c r="B2062" s="5" t="str">
        <f ca="1">IFERROR(__xludf.DUMMYFUNCTION("""COMPUTED_VALUE"""),"Fatal")</f>
        <v>Fatal</v>
      </c>
      <c r="C2062" s="5" t="str">
        <f ca="1">IFERROR(__xludf.DUMMYFUNCTION("""COMPUTED_VALUE"""),"Male")</f>
        <v>Male</v>
      </c>
      <c r="D2062" s="5" t="str">
        <f ca="1">IFERROR(__xludf.DUMMYFUNCTION("""COMPUTED_VALUE"""),"Student")</f>
        <v>Student</v>
      </c>
      <c r="E2062" s="5">
        <f ca="1">IFERROR(__xludf.DUMMYFUNCTION("""COMPUTED_VALUE"""),16)</f>
        <v>16</v>
      </c>
      <c r="F2062" s="5"/>
    </row>
    <row r="2063" spans="1:6" ht="13">
      <c r="A2063" s="5" t="str">
        <f ca="1">IFERROR(__xludf.DUMMYFUNCTION("""COMPUTED_VALUE"""),"19991021CASAP")</f>
        <v>19991021CASAP</v>
      </c>
      <c r="B2063" s="5" t="str">
        <f ca="1">IFERROR(__xludf.DUMMYFUNCTION("""COMPUTED_VALUE"""),"Wounded")</f>
        <v>Wounded</v>
      </c>
      <c r="C2063" s="5" t="str">
        <f ca="1">IFERROR(__xludf.DUMMYFUNCTION("""COMPUTED_VALUE"""),"Male")</f>
        <v>Male</v>
      </c>
      <c r="D2063" s="5" t="str">
        <f ca="1">IFERROR(__xludf.DUMMYFUNCTION("""COMPUTED_VALUE"""),"Student")</f>
        <v>Student</v>
      </c>
      <c r="E2063" s="5">
        <f ca="1">IFERROR(__xludf.DUMMYFUNCTION("""COMPUTED_VALUE"""),17)</f>
        <v>17</v>
      </c>
      <c r="F2063" s="5"/>
    </row>
    <row r="2064" spans="1:6" ht="13">
      <c r="A2064" s="5" t="str">
        <f ca="1">IFERROR(__xludf.DUMMYFUNCTION("""COMPUTED_VALUE"""),"19991011NVCLL")</f>
        <v>19991011NVCLL</v>
      </c>
      <c r="B2064" s="5" t="str">
        <f ca="1">IFERROR(__xludf.DUMMYFUNCTION("""COMPUTED_VALUE"""),"Wounded")</f>
        <v>Wounded</v>
      </c>
      <c r="C2064" s="5" t="str">
        <f ca="1">IFERROR(__xludf.DUMMYFUNCTION("""COMPUTED_VALUE"""),"Male")</f>
        <v>Male</v>
      </c>
      <c r="D2064" s="5" t="str">
        <f ca="1">IFERROR(__xludf.DUMMYFUNCTION("""COMPUTED_VALUE"""),"Student")</f>
        <v>Student</v>
      </c>
      <c r="E2064" s="5">
        <f ca="1">IFERROR(__xludf.DUMMYFUNCTION("""COMPUTED_VALUE"""),15)</f>
        <v>15</v>
      </c>
      <c r="F2064" s="5"/>
    </row>
    <row r="2065" spans="1:6" ht="13">
      <c r="A2065" s="5" t="str">
        <f ca="1">IFERROR(__xludf.DUMMYFUNCTION("""COMPUTED_VALUE"""),"19991011NVCLL")</f>
        <v>19991011NVCLL</v>
      </c>
      <c r="B2065" s="5" t="str">
        <f ca="1">IFERROR(__xludf.DUMMYFUNCTION("""COMPUTED_VALUE"""),"Wounded")</f>
        <v>Wounded</v>
      </c>
      <c r="C2065" s="5" t="str">
        <f ca="1">IFERROR(__xludf.DUMMYFUNCTION("""COMPUTED_VALUE"""),"Male")</f>
        <v>Male</v>
      </c>
      <c r="D2065" s="5" t="str">
        <f ca="1">IFERROR(__xludf.DUMMYFUNCTION("""COMPUTED_VALUE"""),"Student")</f>
        <v>Student</v>
      </c>
      <c r="E2065" s="5">
        <f ca="1">IFERROR(__xludf.DUMMYFUNCTION("""COMPUTED_VALUE"""),16)</f>
        <v>16</v>
      </c>
      <c r="F2065" s="5"/>
    </row>
    <row r="2066" spans="1:6" ht="13">
      <c r="A2066" s="5" t="str">
        <f ca="1">IFERROR(__xludf.DUMMYFUNCTION("""COMPUTED_VALUE"""),"19991004SDJOP")</f>
        <v>19991004SDJOP</v>
      </c>
      <c r="B2066" s="5" t="str">
        <f ca="1">IFERROR(__xludf.DUMMYFUNCTION("""COMPUTED_VALUE"""),"Wounded")</f>
        <v>Wounded</v>
      </c>
      <c r="C2066" s="5" t="str">
        <f ca="1">IFERROR(__xludf.DUMMYFUNCTION("""COMPUTED_VALUE"""),"Male")</f>
        <v>Male</v>
      </c>
      <c r="D2066" s="5" t="str">
        <f ca="1">IFERROR(__xludf.DUMMYFUNCTION("""COMPUTED_VALUE"""),"Principal/Vice-Principal")</f>
        <v>Principal/Vice-Principal</v>
      </c>
      <c r="E2066" s="5">
        <f ca="1">IFERROR(__xludf.DUMMYFUNCTION("""COMPUTED_VALUE"""),61)</f>
        <v>61</v>
      </c>
      <c r="F2066" s="5"/>
    </row>
    <row r="2067" spans="1:6" ht="13">
      <c r="A2067" s="5" t="str">
        <f ca="1">IFERROR(__xludf.DUMMYFUNCTION("""COMPUTED_VALUE"""),"19990927FLEGT")</f>
        <v>19990927FLEGT</v>
      </c>
      <c r="B2067" s="5" t="str">
        <f ca="1">IFERROR(__xludf.DUMMYFUNCTION("""COMPUTED_VALUE"""),"Wounded")</f>
        <v>Wounded</v>
      </c>
      <c r="C2067" s="5" t="str">
        <f ca="1">IFERROR(__xludf.DUMMYFUNCTION("""COMPUTED_VALUE"""),"Female")</f>
        <v>Female</v>
      </c>
      <c r="D2067" s="5" t="str">
        <f ca="1">IFERROR(__xludf.DUMMYFUNCTION("""COMPUTED_VALUE"""),"Student")</f>
        <v>Student</v>
      </c>
      <c r="E2067" s="5">
        <f ca="1">IFERROR(__xludf.DUMMYFUNCTION("""COMPUTED_VALUE"""),10)</f>
        <v>10</v>
      </c>
      <c r="F2067" s="5"/>
    </row>
    <row r="2068" spans="1:6" ht="13">
      <c r="A2068" s="5" t="str">
        <f ca="1">IFERROR(__xludf.DUMMYFUNCTION("""COMPUTED_VALUE"""),"19990909CASAS")</f>
        <v>19990909CASAS</v>
      </c>
      <c r="B2068" s="5" t="str">
        <f ca="1">IFERROR(__xludf.DUMMYFUNCTION("""COMPUTED_VALUE"""),"None")</f>
        <v>None</v>
      </c>
      <c r="C2068" s="5" t="str">
        <f ca="1">IFERROR(__xludf.DUMMYFUNCTION("""COMPUTED_VALUE"""),"Male")</f>
        <v>Male</v>
      </c>
      <c r="D2068" s="5" t="str">
        <f ca="1">IFERROR(__xludf.DUMMYFUNCTION("""COMPUTED_VALUE"""),"Student")</f>
        <v>Student</v>
      </c>
      <c r="E2068" s="5">
        <f ca="1">IFERROR(__xludf.DUMMYFUNCTION("""COMPUTED_VALUE"""),16)</f>
        <v>16</v>
      </c>
      <c r="F2068" s="5"/>
    </row>
    <row r="2069" spans="1:6" ht="13">
      <c r="A2069" s="5" t="str">
        <f ca="1">IFERROR(__xludf.DUMMYFUNCTION("""COMPUTED_VALUE"""),"19990825GAJAM")</f>
        <v>19990825GAJAM</v>
      </c>
      <c r="B2069" s="5" t="str">
        <f ca="1">IFERROR(__xludf.DUMMYFUNCTION("""COMPUTED_VALUE"""),"None")</f>
        <v>None</v>
      </c>
      <c r="C2069" s="5" t="str">
        <f ca="1">IFERROR(__xludf.DUMMYFUNCTION("""COMPUTED_VALUE"""),"Female")</f>
        <v>Female</v>
      </c>
      <c r="D2069" s="5" t="str">
        <f ca="1">IFERROR(__xludf.DUMMYFUNCTION("""COMPUTED_VALUE"""),"Student")</f>
        <v>Student</v>
      </c>
      <c r="E2069" s="5">
        <f ca="1">IFERROR(__xludf.DUMMYFUNCTION("""COMPUTED_VALUE"""),16)</f>
        <v>16</v>
      </c>
      <c r="F2069" s="5"/>
    </row>
    <row r="2070" spans="1:6" ht="13">
      <c r="A2070" s="5" t="str">
        <f ca="1">IFERROR(__xludf.DUMMYFUNCTION("""COMPUTED_VALUE"""),"19990520GAHEC")</f>
        <v>19990520GAHEC</v>
      </c>
      <c r="B2070" s="5" t="str">
        <f ca="1">IFERROR(__xludf.DUMMYFUNCTION("""COMPUTED_VALUE"""),"Wounded")</f>
        <v>Wounded</v>
      </c>
      <c r="C2070" s="5"/>
      <c r="D2070" s="5" t="str">
        <f ca="1">IFERROR(__xludf.DUMMYFUNCTION("""COMPUTED_VALUE"""),"Student")</f>
        <v>Student</v>
      </c>
      <c r="E2070" s="5">
        <f ca="1">IFERROR(__xludf.DUMMYFUNCTION("""COMPUTED_VALUE"""),16)</f>
        <v>16</v>
      </c>
      <c r="F2070" s="5"/>
    </row>
    <row r="2071" spans="1:6" ht="13">
      <c r="A2071" s="5" t="str">
        <f ca="1">IFERROR(__xludf.DUMMYFUNCTION("""COMPUTED_VALUE"""),"19990520GAHEC")</f>
        <v>19990520GAHEC</v>
      </c>
      <c r="B2071" s="5" t="str">
        <f ca="1">IFERROR(__xludf.DUMMYFUNCTION("""COMPUTED_VALUE"""),"Wounded")</f>
        <v>Wounded</v>
      </c>
      <c r="C2071" s="5"/>
      <c r="D2071" s="5" t="str">
        <f ca="1">IFERROR(__xludf.DUMMYFUNCTION("""COMPUTED_VALUE"""),"Student")</f>
        <v>Student</v>
      </c>
      <c r="E2071" s="5">
        <f ca="1">IFERROR(__xludf.DUMMYFUNCTION("""COMPUTED_VALUE"""),17)</f>
        <v>17</v>
      </c>
      <c r="F2071" s="5"/>
    </row>
    <row r="2072" spans="1:6" ht="13">
      <c r="A2072" s="5" t="str">
        <f ca="1">IFERROR(__xludf.DUMMYFUNCTION("""COMPUTED_VALUE"""),"19990520GAHEC")</f>
        <v>19990520GAHEC</v>
      </c>
      <c r="B2072" s="5" t="str">
        <f ca="1">IFERROR(__xludf.DUMMYFUNCTION("""COMPUTED_VALUE"""),"Wounded")</f>
        <v>Wounded</v>
      </c>
      <c r="C2072" s="5" t="str">
        <f ca="1">IFERROR(__xludf.DUMMYFUNCTION("""COMPUTED_VALUE"""),"Female")</f>
        <v>Female</v>
      </c>
      <c r="D2072" s="5" t="str">
        <f ca="1">IFERROR(__xludf.DUMMYFUNCTION("""COMPUTED_VALUE"""),"Student")</f>
        <v>Student</v>
      </c>
      <c r="E2072" s="5">
        <f ca="1">IFERROR(__xludf.DUMMYFUNCTION("""COMPUTED_VALUE"""),15)</f>
        <v>15</v>
      </c>
      <c r="F2072" s="5"/>
    </row>
    <row r="2073" spans="1:6" ht="13">
      <c r="A2073" s="5" t="str">
        <f ca="1">IFERROR(__xludf.DUMMYFUNCTION("""COMPUTED_VALUE"""),"19990520GAHEC")</f>
        <v>19990520GAHEC</v>
      </c>
      <c r="B2073" s="5" t="str">
        <f ca="1">IFERROR(__xludf.DUMMYFUNCTION("""COMPUTED_VALUE"""),"Wounded")</f>
        <v>Wounded</v>
      </c>
      <c r="C2073" s="5"/>
      <c r="D2073" s="5" t="str">
        <f ca="1">IFERROR(__xludf.DUMMYFUNCTION("""COMPUTED_VALUE"""),"Student")</f>
        <v>Student</v>
      </c>
      <c r="E2073" s="5">
        <f ca="1">IFERROR(__xludf.DUMMYFUNCTION("""COMPUTED_VALUE"""),18)</f>
        <v>18</v>
      </c>
      <c r="F2073" s="5"/>
    </row>
    <row r="2074" spans="1:6" ht="13">
      <c r="A2074" s="5" t="str">
        <f ca="1">IFERROR(__xludf.DUMMYFUNCTION("""COMPUTED_VALUE"""),"19990520GAHEC")</f>
        <v>19990520GAHEC</v>
      </c>
      <c r="B2074" s="5" t="str">
        <f ca="1">IFERROR(__xludf.DUMMYFUNCTION("""COMPUTED_VALUE"""),"Wounded")</f>
        <v>Wounded</v>
      </c>
      <c r="C2074" s="5"/>
      <c r="D2074" s="5" t="str">
        <f ca="1">IFERROR(__xludf.DUMMYFUNCTION("""COMPUTED_VALUE"""),"Student")</f>
        <v>Student</v>
      </c>
      <c r="E2074" s="5">
        <f ca="1">IFERROR(__xludf.DUMMYFUNCTION("""COMPUTED_VALUE"""),15)</f>
        <v>15</v>
      </c>
      <c r="F2074" s="5"/>
    </row>
    <row r="2075" spans="1:6" ht="13">
      <c r="A2075" s="5" t="str">
        <f ca="1">IFERROR(__xludf.DUMMYFUNCTION("""COMPUTED_VALUE"""),"19990520GAHEC")</f>
        <v>19990520GAHEC</v>
      </c>
      <c r="B2075" s="5" t="str">
        <f ca="1">IFERROR(__xludf.DUMMYFUNCTION("""COMPUTED_VALUE"""),"Wounded")</f>
        <v>Wounded</v>
      </c>
      <c r="C2075" s="5"/>
      <c r="D2075" s="5" t="str">
        <f ca="1">IFERROR(__xludf.DUMMYFUNCTION("""COMPUTED_VALUE"""),"Student")</f>
        <v>Student</v>
      </c>
      <c r="E2075" s="5">
        <f ca="1">IFERROR(__xludf.DUMMYFUNCTION("""COMPUTED_VALUE"""),18)</f>
        <v>18</v>
      </c>
      <c r="F2075" s="5"/>
    </row>
    <row r="2076" spans="1:6" ht="13">
      <c r="A2076" s="5" t="str">
        <f ca="1">IFERROR(__xludf.DUMMYFUNCTION("""COMPUTED_VALUE"""),"19990422LASCB")</f>
        <v>19990422LASCB</v>
      </c>
      <c r="B2076" s="5" t="str">
        <f ca="1">IFERROR(__xludf.DUMMYFUNCTION("""COMPUTED_VALUE"""),"Wounded")</f>
        <v>Wounded</v>
      </c>
      <c r="C2076" s="5" t="str">
        <f ca="1">IFERROR(__xludf.DUMMYFUNCTION("""COMPUTED_VALUE"""),"Female")</f>
        <v>Female</v>
      </c>
      <c r="D2076" s="5" t="str">
        <f ca="1">IFERROR(__xludf.DUMMYFUNCTION("""COMPUTED_VALUE"""),"Student")</f>
        <v>Student</v>
      </c>
      <c r="E2076" s="5">
        <f ca="1">IFERROR(__xludf.DUMMYFUNCTION("""COMPUTED_VALUE"""),14)</f>
        <v>14</v>
      </c>
      <c r="F2076" s="5"/>
    </row>
    <row r="2077" spans="1:6" ht="13">
      <c r="A2077" s="5" t="str">
        <f ca="1">IFERROR(__xludf.DUMMYFUNCTION("""COMPUTED_VALUE"""),"19990422GAMAA")</f>
        <v>19990422GAMAA</v>
      </c>
      <c r="B2077" s="5" t="str">
        <f ca="1">IFERROR(__xludf.DUMMYFUNCTION("""COMPUTED_VALUE"""),"Fatal")</f>
        <v>Fatal</v>
      </c>
      <c r="C2077" s="5" t="str">
        <f ca="1">IFERROR(__xludf.DUMMYFUNCTION("""COMPUTED_VALUE"""),"Male")</f>
        <v>Male</v>
      </c>
      <c r="D2077" s="5" t="str">
        <f ca="1">IFERROR(__xludf.DUMMYFUNCTION("""COMPUTED_VALUE"""),"Student")</f>
        <v>Student</v>
      </c>
      <c r="E2077" s="5">
        <f ca="1">IFERROR(__xludf.DUMMYFUNCTION("""COMPUTED_VALUE"""),13)</f>
        <v>13</v>
      </c>
      <c r="F2077" s="5" t="str">
        <f ca="1">IFERROR(__xludf.DUMMYFUNCTION("""COMPUTED_VALUE"""),"Black")</f>
        <v>Black</v>
      </c>
    </row>
    <row r="2078" spans="1:6" ht="13">
      <c r="A2078" s="5" t="str">
        <f ca="1">IFERROR(__xludf.DUMMYFUNCTION("""COMPUTED_VALUE"""),"19990420COCOL")</f>
        <v>19990420COCOL</v>
      </c>
      <c r="B2078" s="5" t="str">
        <f ca="1">IFERROR(__xludf.DUMMYFUNCTION("""COMPUTED_VALUE"""),"Wounded")</f>
        <v>Wounded</v>
      </c>
      <c r="C2078" s="5"/>
      <c r="D2078" s="5" t="str">
        <f ca="1">IFERROR(__xludf.DUMMYFUNCTION("""COMPUTED_VALUE"""),"Student")</f>
        <v>Student</v>
      </c>
      <c r="E2078" s="5">
        <f ca="1">IFERROR(__xludf.DUMMYFUNCTION("""COMPUTED_VALUE"""),17)</f>
        <v>17</v>
      </c>
      <c r="F2078" s="5"/>
    </row>
    <row r="2079" spans="1:6" ht="13">
      <c r="A2079" s="5" t="str">
        <f ca="1">IFERROR(__xludf.DUMMYFUNCTION("""COMPUTED_VALUE"""),"19990420COCOL")</f>
        <v>19990420COCOL</v>
      </c>
      <c r="B2079" s="5" t="str">
        <f ca="1">IFERROR(__xludf.DUMMYFUNCTION("""COMPUTED_VALUE"""),"Wounded")</f>
        <v>Wounded</v>
      </c>
      <c r="C2079" s="5" t="str">
        <f ca="1">IFERROR(__xludf.DUMMYFUNCTION("""COMPUTED_VALUE"""),"Female")</f>
        <v>Female</v>
      </c>
      <c r="D2079" s="5" t="str">
        <f ca="1">IFERROR(__xludf.DUMMYFUNCTION("""COMPUTED_VALUE"""),"Student")</f>
        <v>Student</v>
      </c>
      <c r="E2079" s="5">
        <f ca="1">IFERROR(__xludf.DUMMYFUNCTION("""COMPUTED_VALUE"""),17)</f>
        <v>17</v>
      </c>
      <c r="F2079" s="5"/>
    </row>
    <row r="2080" spans="1:6" ht="13">
      <c r="A2080" s="5" t="str">
        <f ca="1">IFERROR(__xludf.DUMMYFUNCTION("""COMPUTED_VALUE"""),"19990420COCOL")</f>
        <v>19990420COCOL</v>
      </c>
      <c r="B2080" s="5" t="str">
        <f ca="1">IFERROR(__xludf.DUMMYFUNCTION("""COMPUTED_VALUE"""),"Wounded")</f>
        <v>Wounded</v>
      </c>
      <c r="C2080" s="5"/>
      <c r="D2080" s="5" t="str">
        <f ca="1">IFERROR(__xludf.DUMMYFUNCTION("""COMPUTED_VALUE"""),"Student")</f>
        <v>Student</v>
      </c>
      <c r="E2080" s="5">
        <f ca="1">IFERROR(__xludf.DUMMYFUNCTION("""COMPUTED_VALUE"""),17)</f>
        <v>17</v>
      </c>
      <c r="F2080" s="5"/>
    </row>
    <row r="2081" spans="1:6" ht="13">
      <c r="A2081" s="5" t="str">
        <f ca="1">IFERROR(__xludf.DUMMYFUNCTION("""COMPUTED_VALUE"""),"19990420COCOL")</f>
        <v>19990420COCOL</v>
      </c>
      <c r="B2081" s="5" t="str">
        <f ca="1">IFERROR(__xludf.DUMMYFUNCTION("""COMPUTED_VALUE"""),"Fatal")</f>
        <v>Fatal</v>
      </c>
      <c r="C2081" s="5" t="str">
        <f ca="1">IFERROR(__xludf.DUMMYFUNCTION("""COMPUTED_VALUE"""),"Female")</f>
        <v>Female</v>
      </c>
      <c r="D2081" s="5" t="str">
        <f ca="1">IFERROR(__xludf.DUMMYFUNCTION("""COMPUTED_VALUE"""),"Student")</f>
        <v>Student</v>
      </c>
      <c r="E2081" s="5">
        <f ca="1">IFERROR(__xludf.DUMMYFUNCTION("""COMPUTED_VALUE"""),18)</f>
        <v>18</v>
      </c>
      <c r="F2081" s="5" t="str">
        <f ca="1">IFERROR(__xludf.DUMMYFUNCTION("""COMPUTED_VALUE"""),"White")</f>
        <v>White</v>
      </c>
    </row>
    <row r="2082" spans="1:6" ht="13">
      <c r="A2082" s="5" t="str">
        <f ca="1">IFERROR(__xludf.DUMMYFUNCTION("""COMPUTED_VALUE"""),"19990420COCOL")</f>
        <v>19990420COCOL</v>
      </c>
      <c r="B2082" s="5" t="str">
        <f ca="1">IFERROR(__xludf.DUMMYFUNCTION("""COMPUTED_VALUE"""),"Fatal")</f>
        <v>Fatal</v>
      </c>
      <c r="C2082" s="5" t="str">
        <f ca="1">IFERROR(__xludf.DUMMYFUNCTION("""COMPUTED_VALUE"""),"Male")</f>
        <v>Male</v>
      </c>
      <c r="D2082" s="5" t="str">
        <f ca="1">IFERROR(__xludf.DUMMYFUNCTION("""COMPUTED_VALUE"""),"Student")</f>
        <v>Student</v>
      </c>
      <c r="E2082" s="5">
        <f ca="1">IFERROR(__xludf.DUMMYFUNCTION("""COMPUTED_VALUE"""),17)</f>
        <v>17</v>
      </c>
      <c r="F2082" s="5" t="str">
        <f ca="1">IFERROR(__xludf.DUMMYFUNCTION("""COMPUTED_VALUE"""),"White")</f>
        <v>White</v>
      </c>
    </row>
    <row r="2083" spans="1:6" ht="13">
      <c r="A2083" s="5" t="str">
        <f ca="1">IFERROR(__xludf.DUMMYFUNCTION("""COMPUTED_VALUE"""),"19990420COCOL")</f>
        <v>19990420COCOL</v>
      </c>
      <c r="B2083" s="5" t="str">
        <f ca="1">IFERROR(__xludf.DUMMYFUNCTION("""COMPUTED_VALUE"""),"Wounded")</f>
        <v>Wounded</v>
      </c>
      <c r="C2083" s="5"/>
      <c r="D2083" s="5" t="str">
        <f ca="1">IFERROR(__xludf.DUMMYFUNCTION("""COMPUTED_VALUE"""),"Student")</f>
        <v>Student</v>
      </c>
      <c r="E2083" s="5" t="str">
        <f ca="1">IFERROR(__xludf.DUMMYFUNCTION("""COMPUTED_VALUE"""),"Teen")</f>
        <v>Teen</v>
      </c>
      <c r="F2083" s="5"/>
    </row>
    <row r="2084" spans="1:6" ht="13">
      <c r="A2084" s="5" t="str">
        <f ca="1">IFERROR(__xludf.DUMMYFUNCTION("""COMPUTED_VALUE"""),"19990420COCOL")</f>
        <v>19990420COCOL</v>
      </c>
      <c r="B2084" s="5" t="str">
        <f ca="1">IFERROR(__xludf.DUMMYFUNCTION("""COMPUTED_VALUE"""),"Wounded")</f>
        <v>Wounded</v>
      </c>
      <c r="C2084" s="5" t="str">
        <f ca="1">IFERROR(__xludf.DUMMYFUNCTION("""COMPUTED_VALUE"""),"Male")</f>
        <v>Male</v>
      </c>
      <c r="D2084" s="5" t="str">
        <f ca="1">IFERROR(__xludf.DUMMYFUNCTION("""COMPUTED_VALUE"""),"Student")</f>
        <v>Student</v>
      </c>
      <c r="E2084" s="5">
        <f ca="1">IFERROR(__xludf.DUMMYFUNCTION("""COMPUTED_VALUE"""),16)</f>
        <v>16</v>
      </c>
      <c r="F2084" s="5"/>
    </row>
    <row r="2085" spans="1:6" ht="13">
      <c r="A2085" s="5" t="str">
        <f ca="1">IFERROR(__xludf.DUMMYFUNCTION("""COMPUTED_VALUE"""),"19990420COCOL")</f>
        <v>19990420COCOL</v>
      </c>
      <c r="B2085" s="5" t="str">
        <f ca="1">IFERROR(__xludf.DUMMYFUNCTION("""COMPUTED_VALUE"""),"Wounded")</f>
        <v>Wounded</v>
      </c>
      <c r="C2085" s="5" t="str">
        <f ca="1">IFERROR(__xludf.DUMMYFUNCTION("""COMPUTED_VALUE"""),"Female")</f>
        <v>Female</v>
      </c>
      <c r="D2085" s="5" t="str">
        <f ca="1">IFERROR(__xludf.DUMMYFUNCTION("""COMPUTED_VALUE"""),"Teacher")</f>
        <v>Teacher</v>
      </c>
      <c r="E2085" s="5">
        <f ca="1">IFERROR(__xludf.DUMMYFUNCTION("""COMPUTED_VALUE"""),35)</f>
        <v>35</v>
      </c>
      <c r="F2085" s="5"/>
    </row>
    <row r="2086" spans="1:6" ht="13">
      <c r="A2086" s="5" t="str">
        <f ca="1">IFERROR(__xludf.DUMMYFUNCTION("""COMPUTED_VALUE"""),"19990420COCOL")</f>
        <v>19990420COCOL</v>
      </c>
      <c r="B2086" s="5" t="str">
        <f ca="1">IFERROR(__xludf.DUMMYFUNCTION("""COMPUTED_VALUE"""),"Wounded")</f>
        <v>Wounded</v>
      </c>
      <c r="C2086" s="5" t="str">
        <f ca="1">IFERROR(__xludf.DUMMYFUNCTION("""COMPUTED_VALUE"""),"Male")</f>
        <v>Male</v>
      </c>
      <c r="D2086" s="5" t="str">
        <f ca="1">IFERROR(__xludf.DUMMYFUNCTION("""COMPUTED_VALUE"""),"Student")</f>
        <v>Student</v>
      </c>
      <c r="E2086" s="5">
        <f ca="1">IFERROR(__xludf.DUMMYFUNCTION("""COMPUTED_VALUE"""),17)</f>
        <v>17</v>
      </c>
      <c r="F2086" s="5"/>
    </row>
    <row r="2087" spans="1:6" ht="13">
      <c r="A2087" s="5" t="str">
        <f ca="1">IFERROR(__xludf.DUMMYFUNCTION("""COMPUTED_VALUE"""),"19990420COCOL")</f>
        <v>19990420COCOL</v>
      </c>
      <c r="B2087" s="5" t="str">
        <f ca="1">IFERROR(__xludf.DUMMYFUNCTION("""COMPUTED_VALUE"""),"Wounded")</f>
        <v>Wounded</v>
      </c>
      <c r="C2087" s="5"/>
      <c r="D2087" s="5" t="str">
        <f ca="1">IFERROR(__xludf.DUMMYFUNCTION("""COMPUTED_VALUE"""),"Student")</f>
        <v>Student</v>
      </c>
      <c r="E2087" s="5">
        <f ca="1">IFERROR(__xludf.DUMMYFUNCTION("""COMPUTED_VALUE"""),16)</f>
        <v>16</v>
      </c>
      <c r="F2087" s="5"/>
    </row>
    <row r="2088" spans="1:6" ht="13">
      <c r="A2088" s="5" t="str">
        <f ca="1">IFERROR(__xludf.DUMMYFUNCTION("""COMPUTED_VALUE"""),"19990420COCOL")</f>
        <v>19990420COCOL</v>
      </c>
      <c r="B2088" s="5" t="str">
        <f ca="1">IFERROR(__xludf.DUMMYFUNCTION("""COMPUTED_VALUE"""),"Fatal")</f>
        <v>Fatal</v>
      </c>
      <c r="C2088" s="5" t="str">
        <f ca="1">IFERROR(__xludf.DUMMYFUNCTION("""COMPUTED_VALUE"""),"Male")</f>
        <v>Male</v>
      </c>
      <c r="D2088" s="5" t="str">
        <f ca="1">IFERROR(__xludf.DUMMYFUNCTION("""COMPUTED_VALUE"""),"Student")</f>
        <v>Student</v>
      </c>
      <c r="E2088" s="5">
        <f ca="1">IFERROR(__xludf.DUMMYFUNCTION("""COMPUTED_VALUE"""),16)</f>
        <v>16</v>
      </c>
      <c r="F2088" s="5" t="str">
        <f ca="1">IFERROR(__xludf.DUMMYFUNCTION("""COMPUTED_VALUE"""),"White")</f>
        <v>White</v>
      </c>
    </row>
    <row r="2089" spans="1:6" ht="13">
      <c r="A2089" s="5" t="str">
        <f ca="1">IFERROR(__xludf.DUMMYFUNCTION("""COMPUTED_VALUE"""),"19990420COCOL")</f>
        <v>19990420COCOL</v>
      </c>
      <c r="B2089" s="5" t="str">
        <f ca="1">IFERROR(__xludf.DUMMYFUNCTION("""COMPUTED_VALUE"""),"Fatal")</f>
        <v>Fatal</v>
      </c>
      <c r="C2089" s="5" t="str">
        <f ca="1">IFERROR(__xludf.DUMMYFUNCTION("""COMPUTED_VALUE"""),"Male")</f>
        <v>Male</v>
      </c>
      <c r="D2089" s="5" t="str">
        <f ca="1">IFERROR(__xludf.DUMMYFUNCTION("""COMPUTED_VALUE"""),"Student")</f>
        <v>Student</v>
      </c>
      <c r="E2089" s="5">
        <f ca="1">IFERROR(__xludf.DUMMYFUNCTION("""COMPUTED_VALUE"""),15)</f>
        <v>15</v>
      </c>
      <c r="F2089" s="5" t="str">
        <f ca="1">IFERROR(__xludf.DUMMYFUNCTION("""COMPUTED_VALUE"""),"White")</f>
        <v>White</v>
      </c>
    </row>
    <row r="2090" spans="1:6" ht="13">
      <c r="A2090" s="5" t="str">
        <f ca="1">IFERROR(__xludf.DUMMYFUNCTION("""COMPUTED_VALUE"""),"19990420COCOL")</f>
        <v>19990420COCOL</v>
      </c>
      <c r="B2090" s="5" t="str">
        <f ca="1">IFERROR(__xludf.DUMMYFUNCTION("""COMPUTED_VALUE"""),"Fatal")</f>
        <v>Fatal</v>
      </c>
      <c r="C2090" s="5" t="str">
        <f ca="1">IFERROR(__xludf.DUMMYFUNCTION("""COMPUTED_VALUE"""),"Male")</f>
        <v>Male</v>
      </c>
      <c r="D2090" s="5" t="str">
        <f ca="1">IFERROR(__xludf.DUMMYFUNCTION("""COMPUTED_VALUE"""),"Student")</f>
        <v>Student</v>
      </c>
      <c r="E2090" s="5">
        <f ca="1">IFERROR(__xludf.DUMMYFUNCTION("""COMPUTED_VALUE"""),15)</f>
        <v>15</v>
      </c>
      <c r="F2090" s="5" t="str">
        <f ca="1">IFERROR(__xludf.DUMMYFUNCTION("""COMPUTED_VALUE"""),"White")</f>
        <v>White</v>
      </c>
    </row>
    <row r="2091" spans="1:6" ht="13">
      <c r="A2091" s="5" t="str">
        <f ca="1">IFERROR(__xludf.DUMMYFUNCTION("""COMPUTED_VALUE"""),"19990420COCOL")</f>
        <v>19990420COCOL</v>
      </c>
      <c r="B2091" s="5" t="str">
        <f ca="1">IFERROR(__xludf.DUMMYFUNCTION("""COMPUTED_VALUE"""),"Wounded")</f>
        <v>Wounded</v>
      </c>
      <c r="C2091" s="5"/>
      <c r="D2091" s="5" t="str">
        <f ca="1">IFERROR(__xludf.DUMMYFUNCTION("""COMPUTED_VALUE"""),"Student")</f>
        <v>Student</v>
      </c>
      <c r="E2091" s="5">
        <f ca="1">IFERROR(__xludf.DUMMYFUNCTION("""COMPUTED_VALUE"""),17)</f>
        <v>17</v>
      </c>
      <c r="F2091" s="5"/>
    </row>
    <row r="2092" spans="1:6" ht="13">
      <c r="A2092" s="5" t="str">
        <f ca="1">IFERROR(__xludf.DUMMYFUNCTION("""COMPUTED_VALUE"""),"19990420COCOL")</f>
        <v>19990420COCOL</v>
      </c>
      <c r="B2092" s="5" t="str">
        <f ca="1">IFERROR(__xludf.DUMMYFUNCTION("""COMPUTED_VALUE"""),"Wounded")</f>
        <v>Wounded</v>
      </c>
      <c r="C2092" s="5" t="str">
        <f ca="1">IFERROR(__xludf.DUMMYFUNCTION("""COMPUTED_VALUE"""),"Female")</f>
        <v>Female</v>
      </c>
      <c r="D2092" s="5" t="str">
        <f ca="1">IFERROR(__xludf.DUMMYFUNCTION("""COMPUTED_VALUE"""),"Student")</f>
        <v>Student</v>
      </c>
      <c r="E2092" s="5">
        <f ca="1">IFERROR(__xludf.DUMMYFUNCTION("""COMPUTED_VALUE"""),17)</f>
        <v>17</v>
      </c>
      <c r="F2092" s="5"/>
    </row>
    <row r="2093" spans="1:6" ht="13">
      <c r="A2093" s="5" t="str">
        <f ca="1">IFERROR(__xludf.DUMMYFUNCTION("""COMPUTED_VALUE"""),"19990420COCOL")</f>
        <v>19990420COCOL</v>
      </c>
      <c r="B2093" s="5" t="str">
        <f ca="1">IFERROR(__xludf.DUMMYFUNCTION("""COMPUTED_VALUE"""),"Wounded")</f>
        <v>Wounded</v>
      </c>
      <c r="C2093" s="5"/>
      <c r="D2093" s="5" t="str">
        <f ca="1">IFERROR(__xludf.DUMMYFUNCTION("""COMPUTED_VALUE"""),"Student")</f>
        <v>Student</v>
      </c>
      <c r="E2093" s="5">
        <f ca="1">IFERROR(__xludf.DUMMYFUNCTION("""COMPUTED_VALUE"""),16)</f>
        <v>16</v>
      </c>
      <c r="F2093" s="5"/>
    </row>
    <row r="2094" spans="1:6" ht="13">
      <c r="A2094" s="5" t="str">
        <f ca="1">IFERROR(__xludf.DUMMYFUNCTION("""COMPUTED_VALUE"""),"19990420COCOL")</f>
        <v>19990420COCOL</v>
      </c>
      <c r="B2094" s="5" t="str">
        <f ca="1">IFERROR(__xludf.DUMMYFUNCTION("""COMPUTED_VALUE"""),"Wounded")</f>
        <v>Wounded</v>
      </c>
      <c r="C2094" s="5"/>
      <c r="D2094" s="5" t="str">
        <f ca="1">IFERROR(__xludf.DUMMYFUNCTION("""COMPUTED_VALUE"""),"Student")</f>
        <v>Student</v>
      </c>
      <c r="E2094" s="5">
        <f ca="1">IFERROR(__xludf.DUMMYFUNCTION("""COMPUTED_VALUE"""),18)</f>
        <v>18</v>
      </c>
      <c r="F2094" s="5"/>
    </row>
    <row r="2095" spans="1:6" ht="13">
      <c r="A2095" s="5" t="str">
        <f ca="1">IFERROR(__xludf.DUMMYFUNCTION("""COMPUTED_VALUE"""),"19990420COCOL")</f>
        <v>19990420COCOL</v>
      </c>
      <c r="B2095" s="5" t="str">
        <f ca="1">IFERROR(__xludf.DUMMYFUNCTION("""COMPUTED_VALUE"""),"Wounded")</f>
        <v>Wounded</v>
      </c>
      <c r="C2095" s="5"/>
      <c r="D2095" s="5" t="str">
        <f ca="1">IFERROR(__xludf.DUMMYFUNCTION("""COMPUTED_VALUE"""),"Student")</f>
        <v>Student</v>
      </c>
      <c r="E2095" s="5">
        <f ca="1">IFERROR(__xludf.DUMMYFUNCTION("""COMPUTED_VALUE"""),18)</f>
        <v>18</v>
      </c>
      <c r="F2095" s="5"/>
    </row>
    <row r="2096" spans="1:6" ht="13">
      <c r="A2096" s="5" t="str">
        <f ca="1">IFERROR(__xludf.DUMMYFUNCTION("""COMPUTED_VALUE"""),"19990420COCOL")</f>
        <v>19990420COCOL</v>
      </c>
      <c r="B2096" s="5" t="str">
        <f ca="1">IFERROR(__xludf.DUMMYFUNCTION("""COMPUTED_VALUE"""),"Fatal")</f>
        <v>Fatal</v>
      </c>
      <c r="C2096" s="5" t="str">
        <f ca="1">IFERROR(__xludf.DUMMYFUNCTION("""COMPUTED_VALUE"""),"Female")</f>
        <v>Female</v>
      </c>
      <c r="D2096" s="5" t="str">
        <f ca="1">IFERROR(__xludf.DUMMYFUNCTION("""COMPUTED_VALUE"""),"Student")</f>
        <v>Student</v>
      </c>
      <c r="E2096" s="5">
        <f ca="1">IFERROR(__xludf.DUMMYFUNCTION("""COMPUTED_VALUE"""),17)</f>
        <v>17</v>
      </c>
      <c r="F2096" s="5" t="str">
        <f ca="1">IFERROR(__xludf.DUMMYFUNCTION("""COMPUTED_VALUE"""),"White")</f>
        <v>White</v>
      </c>
    </row>
    <row r="2097" spans="1:6" ht="13">
      <c r="A2097" s="5" t="str">
        <f ca="1">IFERROR(__xludf.DUMMYFUNCTION("""COMPUTED_VALUE"""),"19990420COCOL")</f>
        <v>19990420COCOL</v>
      </c>
      <c r="B2097" s="5" t="str">
        <f ca="1">IFERROR(__xludf.DUMMYFUNCTION("""COMPUTED_VALUE"""),"Fatal")</f>
        <v>Fatal</v>
      </c>
      <c r="C2097" s="5" t="str">
        <f ca="1">IFERROR(__xludf.DUMMYFUNCTION("""COMPUTED_VALUE"""),"Male")</f>
        <v>Male</v>
      </c>
      <c r="D2097" s="5" t="str">
        <f ca="1">IFERROR(__xludf.DUMMYFUNCTION("""COMPUTED_VALUE"""),"Student")</f>
        <v>Student</v>
      </c>
      <c r="E2097" s="5">
        <f ca="1">IFERROR(__xludf.DUMMYFUNCTION("""COMPUTED_VALUE"""),18)</f>
        <v>18</v>
      </c>
      <c r="F2097" s="5" t="str">
        <f ca="1">IFERROR(__xludf.DUMMYFUNCTION("""COMPUTED_VALUE"""),"Black")</f>
        <v>Black</v>
      </c>
    </row>
    <row r="2098" spans="1:6" ht="13">
      <c r="A2098" s="5" t="str">
        <f ca="1">IFERROR(__xludf.DUMMYFUNCTION("""COMPUTED_VALUE"""),"19990420COCOL")</f>
        <v>19990420COCOL</v>
      </c>
      <c r="B2098" s="5" t="str">
        <f ca="1">IFERROR(__xludf.DUMMYFUNCTION("""COMPUTED_VALUE"""),"Wounded")</f>
        <v>Wounded</v>
      </c>
      <c r="C2098" s="5"/>
      <c r="D2098" s="5" t="str">
        <f ca="1">IFERROR(__xludf.DUMMYFUNCTION("""COMPUTED_VALUE"""),"Student")</f>
        <v>Student</v>
      </c>
      <c r="E2098" s="5" t="str">
        <f ca="1">IFERROR(__xludf.DUMMYFUNCTION("""COMPUTED_VALUE"""),"Teen")</f>
        <v>Teen</v>
      </c>
      <c r="F2098" s="5"/>
    </row>
    <row r="2099" spans="1:6" ht="13">
      <c r="A2099" s="5" t="str">
        <f ca="1">IFERROR(__xludf.DUMMYFUNCTION("""COMPUTED_VALUE"""),"19990420COCOL")</f>
        <v>19990420COCOL</v>
      </c>
      <c r="B2099" s="5" t="str">
        <f ca="1">IFERROR(__xludf.DUMMYFUNCTION("""COMPUTED_VALUE"""),"Fatal")</f>
        <v>Fatal</v>
      </c>
      <c r="C2099" s="5" t="str">
        <f ca="1">IFERROR(__xludf.DUMMYFUNCTION("""COMPUTED_VALUE"""),"Male")</f>
        <v>Male</v>
      </c>
      <c r="D2099" s="5" t="str">
        <f ca="1">IFERROR(__xludf.DUMMYFUNCTION("""COMPUTED_VALUE"""),"Student")</f>
        <v>Student</v>
      </c>
      <c r="E2099" s="5">
        <f ca="1">IFERROR(__xludf.DUMMYFUNCTION("""COMPUTED_VALUE"""),14)</f>
        <v>14</v>
      </c>
      <c r="F2099" s="5" t="str">
        <f ca="1">IFERROR(__xludf.DUMMYFUNCTION("""COMPUTED_VALUE"""),"White")</f>
        <v>White</v>
      </c>
    </row>
    <row r="2100" spans="1:6" ht="13">
      <c r="A2100" s="5" t="str">
        <f ca="1">IFERROR(__xludf.DUMMYFUNCTION("""COMPUTED_VALUE"""),"19990420COCOL")</f>
        <v>19990420COCOL</v>
      </c>
      <c r="B2100" s="5" t="str">
        <f ca="1">IFERROR(__xludf.DUMMYFUNCTION("""COMPUTED_VALUE"""),"Wounded")</f>
        <v>Wounded</v>
      </c>
      <c r="C2100" s="5"/>
      <c r="D2100" s="5" t="str">
        <f ca="1">IFERROR(__xludf.DUMMYFUNCTION("""COMPUTED_VALUE"""),"Student")</f>
        <v>Student</v>
      </c>
      <c r="E2100" s="5">
        <f ca="1">IFERROR(__xludf.DUMMYFUNCTION("""COMPUTED_VALUE"""),18)</f>
        <v>18</v>
      </c>
      <c r="F2100" s="5"/>
    </row>
    <row r="2101" spans="1:6" ht="13">
      <c r="A2101" s="5" t="str">
        <f ca="1">IFERROR(__xludf.DUMMYFUNCTION("""COMPUTED_VALUE"""),"19990420COCOL")</f>
        <v>19990420COCOL</v>
      </c>
      <c r="B2101" s="5" t="str">
        <f ca="1">IFERROR(__xludf.DUMMYFUNCTION("""COMPUTED_VALUE"""),"Fatal")</f>
        <v>Fatal</v>
      </c>
      <c r="C2101" s="5" t="str">
        <f ca="1">IFERROR(__xludf.DUMMYFUNCTION("""COMPUTED_VALUE"""),"Female")</f>
        <v>Female</v>
      </c>
      <c r="D2101" s="5" t="str">
        <f ca="1">IFERROR(__xludf.DUMMYFUNCTION("""COMPUTED_VALUE"""),"Student")</f>
        <v>Student</v>
      </c>
      <c r="E2101" s="5">
        <f ca="1">IFERROR(__xludf.DUMMYFUNCTION("""COMPUTED_VALUE"""),17)</f>
        <v>17</v>
      </c>
      <c r="F2101" s="5" t="str">
        <f ca="1">IFERROR(__xludf.DUMMYFUNCTION("""COMPUTED_VALUE"""),"White")</f>
        <v>White</v>
      </c>
    </row>
    <row r="2102" spans="1:6" ht="13">
      <c r="A2102" s="5" t="str">
        <f ca="1">IFERROR(__xludf.DUMMYFUNCTION("""COMPUTED_VALUE"""),"19990420COCOL")</f>
        <v>19990420COCOL</v>
      </c>
      <c r="B2102" s="5" t="str">
        <f ca="1">IFERROR(__xludf.DUMMYFUNCTION("""COMPUTED_VALUE"""),"Wounded")</f>
        <v>Wounded</v>
      </c>
      <c r="C2102" s="5" t="str">
        <f ca="1">IFERROR(__xludf.DUMMYFUNCTION("""COMPUTED_VALUE"""),"Male")</f>
        <v>Male</v>
      </c>
      <c r="D2102" s="5" t="str">
        <f ca="1">IFERROR(__xludf.DUMMYFUNCTION("""COMPUTED_VALUE"""),"Student")</f>
        <v>Student</v>
      </c>
      <c r="E2102" s="5">
        <f ca="1">IFERROR(__xludf.DUMMYFUNCTION("""COMPUTED_VALUE"""),16)</f>
        <v>16</v>
      </c>
      <c r="F2102" s="5"/>
    </row>
    <row r="2103" spans="1:6" ht="13">
      <c r="A2103" s="5" t="str">
        <f ca="1">IFERROR(__xludf.DUMMYFUNCTION("""COMPUTED_VALUE"""),"19990420COCOL")</f>
        <v>19990420COCOL</v>
      </c>
      <c r="B2103" s="5" t="str">
        <f ca="1">IFERROR(__xludf.DUMMYFUNCTION("""COMPUTED_VALUE"""),"Wounded")</f>
        <v>Wounded</v>
      </c>
      <c r="C2103" s="5"/>
      <c r="D2103" s="5" t="str">
        <f ca="1">IFERROR(__xludf.DUMMYFUNCTION("""COMPUTED_VALUE"""),"Teacher")</f>
        <v>Teacher</v>
      </c>
      <c r="E2103" s="5">
        <f ca="1">IFERROR(__xludf.DUMMYFUNCTION("""COMPUTED_VALUE"""),45)</f>
        <v>45</v>
      </c>
      <c r="F2103" s="5"/>
    </row>
    <row r="2104" spans="1:6" ht="13">
      <c r="A2104" s="5" t="str">
        <f ca="1">IFERROR(__xludf.DUMMYFUNCTION("""COMPUTED_VALUE"""),"19990420COCOL")</f>
        <v>19990420COCOL</v>
      </c>
      <c r="B2104" s="5" t="str">
        <f ca="1">IFERROR(__xludf.DUMMYFUNCTION("""COMPUTED_VALUE"""),"Fatal")</f>
        <v>Fatal</v>
      </c>
      <c r="C2104" s="5" t="str">
        <f ca="1">IFERROR(__xludf.DUMMYFUNCTION("""COMPUTED_VALUE"""),"Male")</f>
        <v>Male</v>
      </c>
      <c r="D2104" s="5" t="str">
        <f ca="1">IFERROR(__xludf.DUMMYFUNCTION("""COMPUTED_VALUE"""),"Teacher")</f>
        <v>Teacher</v>
      </c>
      <c r="E2104" s="5">
        <f ca="1">IFERROR(__xludf.DUMMYFUNCTION("""COMPUTED_VALUE"""),47)</f>
        <v>47</v>
      </c>
      <c r="F2104" s="5" t="str">
        <f ca="1">IFERROR(__xludf.DUMMYFUNCTION("""COMPUTED_VALUE"""),"White")</f>
        <v>White</v>
      </c>
    </row>
    <row r="2105" spans="1:6" ht="13">
      <c r="A2105" s="5" t="str">
        <f ca="1">IFERROR(__xludf.DUMMYFUNCTION("""COMPUTED_VALUE"""),"19990420COCOL")</f>
        <v>19990420COCOL</v>
      </c>
      <c r="B2105" s="5" t="str">
        <f ca="1">IFERROR(__xludf.DUMMYFUNCTION("""COMPUTED_VALUE"""),"Fatal")</f>
        <v>Fatal</v>
      </c>
      <c r="C2105" s="5" t="str">
        <f ca="1">IFERROR(__xludf.DUMMYFUNCTION("""COMPUTED_VALUE"""),"Male")</f>
        <v>Male</v>
      </c>
      <c r="D2105" s="5" t="str">
        <f ca="1">IFERROR(__xludf.DUMMYFUNCTION("""COMPUTED_VALUE"""),"Student")</f>
        <v>Student</v>
      </c>
      <c r="E2105" s="5">
        <f ca="1">IFERROR(__xludf.DUMMYFUNCTION("""COMPUTED_VALUE"""),16)</f>
        <v>16</v>
      </c>
      <c r="F2105" s="5" t="str">
        <f ca="1">IFERROR(__xludf.DUMMYFUNCTION("""COMPUTED_VALUE"""),"White")</f>
        <v>White</v>
      </c>
    </row>
    <row r="2106" spans="1:6" ht="13">
      <c r="A2106" s="5" t="str">
        <f ca="1">IFERROR(__xludf.DUMMYFUNCTION("""COMPUTED_VALUE"""),"19990420COCOL")</f>
        <v>19990420COCOL</v>
      </c>
      <c r="B2106" s="5" t="str">
        <f ca="1">IFERROR(__xludf.DUMMYFUNCTION("""COMPUTED_VALUE"""),"Wounded")</f>
        <v>Wounded</v>
      </c>
      <c r="C2106" s="5"/>
      <c r="D2106" s="5" t="str">
        <f ca="1">IFERROR(__xludf.DUMMYFUNCTION("""COMPUTED_VALUE"""),"Student")</f>
        <v>Student</v>
      </c>
      <c r="E2106" s="5">
        <f ca="1">IFERROR(__xludf.DUMMYFUNCTION("""COMPUTED_VALUE"""),18)</f>
        <v>18</v>
      </c>
      <c r="F2106" s="5"/>
    </row>
    <row r="2107" spans="1:6" ht="13">
      <c r="A2107" s="5" t="str">
        <f ca="1">IFERROR(__xludf.DUMMYFUNCTION("""COMPUTED_VALUE"""),"19990420COCOL")</f>
        <v>19990420COCOL</v>
      </c>
      <c r="B2107" s="5" t="str">
        <f ca="1">IFERROR(__xludf.DUMMYFUNCTION("""COMPUTED_VALUE"""),"Wounded")</f>
        <v>Wounded</v>
      </c>
      <c r="C2107" s="5"/>
      <c r="D2107" s="5" t="str">
        <f ca="1">IFERROR(__xludf.DUMMYFUNCTION("""COMPUTED_VALUE"""),"Student")</f>
        <v>Student</v>
      </c>
      <c r="E2107" s="5">
        <f ca="1">IFERROR(__xludf.DUMMYFUNCTION("""COMPUTED_VALUE"""),17)</f>
        <v>17</v>
      </c>
      <c r="F2107" s="5"/>
    </row>
    <row r="2108" spans="1:6" ht="13">
      <c r="A2108" s="5" t="str">
        <f ca="1">IFERROR(__xludf.DUMMYFUNCTION("""COMPUTED_VALUE"""),"19990420COCOL")</f>
        <v>19990420COCOL</v>
      </c>
      <c r="B2108" s="5" t="str">
        <f ca="1">IFERROR(__xludf.DUMMYFUNCTION("""COMPUTED_VALUE"""),"Wounded")</f>
        <v>Wounded</v>
      </c>
      <c r="C2108" s="5"/>
      <c r="D2108" s="5" t="str">
        <f ca="1">IFERROR(__xludf.DUMMYFUNCTION("""COMPUTED_VALUE"""),"Student")</f>
        <v>Student</v>
      </c>
      <c r="E2108" s="5">
        <f ca="1">IFERROR(__xludf.DUMMYFUNCTION("""COMPUTED_VALUE"""),16)</f>
        <v>16</v>
      </c>
      <c r="F2108" s="5"/>
    </row>
    <row r="2109" spans="1:6" ht="13">
      <c r="A2109" s="5" t="str">
        <f ca="1">IFERROR(__xludf.DUMMYFUNCTION("""COMPUTED_VALUE"""),"19990420COCOL")</f>
        <v>19990420COCOL</v>
      </c>
      <c r="B2109" s="5" t="str">
        <f ca="1">IFERROR(__xludf.DUMMYFUNCTION("""COMPUTED_VALUE"""),"Wounded")</f>
        <v>Wounded</v>
      </c>
      <c r="C2109" s="5" t="str">
        <f ca="1">IFERROR(__xludf.DUMMYFUNCTION("""COMPUTED_VALUE"""),"Male")</f>
        <v>Male</v>
      </c>
      <c r="D2109" s="5" t="str">
        <f ca="1">IFERROR(__xludf.DUMMYFUNCTION("""COMPUTED_VALUE"""),"Student")</f>
        <v>Student</v>
      </c>
      <c r="E2109" s="5">
        <f ca="1">IFERROR(__xludf.DUMMYFUNCTION("""COMPUTED_VALUE"""),17)</f>
        <v>17</v>
      </c>
      <c r="F2109" s="5"/>
    </row>
    <row r="2110" spans="1:6" ht="13">
      <c r="A2110" s="5" t="str">
        <f ca="1">IFERROR(__xludf.DUMMYFUNCTION("""COMPUTED_VALUE"""),"19990420COCOL")</f>
        <v>19990420COCOL</v>
      </c>
      <c r="B2110" s="5" t="str">
        <f ca="1">IFERROR(__xludf.DUMMYFUNCTION("""COMPUTED_VALUE"""),"Wounded")</f>
        <v>Wounded</v>
      </c>
      <c r="C2110" s="5" t="str">
        <f ca="1">IFERROR(__xludf.DUMMYFUNCTION("""COMPUTED_VALUE"""),"Male")</f>
        <v>Male</v>
      </c>
      <c r="D2110" s="5" t="str">
        <f ca="1">IFERROR(__xludf.DUMMYFUNCTION("""COMPUTED_VALUE"""),"Student")</f>
        <v>Student</v>
      </c>
      <c r="E2110" s="5">
        <f ca="1">IFERROR(__xludf.DUMMYFUNCTION("""COMPUTED_VALUE"""),15)</f>
        <v>15</v>
      </c>
      <c r="F2110" s="5"/>
    </row>
    <row r="2111" spans="1:6" ht="13">
      <c r="A2111" s="5" t="str">
        <f ca="1">IFERROR(__xludf.DUMMYFUNCTION("""COMPUTED_VALUE"""),"19990420COCOL")</f>
        <v>19990420COCOL</v>
      </c>
      <c r="B2111" s="5" t="str">
        <f ca="1">IFERROR(__xludf.DUMMYFUNCTION("""COMPUTED_VALUE"""),"Fatal")</f>
        <v>Fatal</v>
      </c>
      <c r="C2111" s="5" t="str">
        <f ca="1">IFERROR(__xludf.DUMMYFUNCTION("""COMPUTED_VALUE"""),"Male")</f>
        <v>Male</v>
      </c>
      <c r="D2111" s="5" t="str">
        <f ca="1">IFERROR(__xludf.DUMMYFUNCTION("""COMPUTED_VALUE"""),"Student")</f>
        <v>Student</v>
      </c>
      <c r="E2111" s="5">
        <f ca="1">IFERROR(__xludf.DUMMYFUNCTION("""COMPUTED_VALUE"""),17)</f>
        <v>17</v>
      </c>
      <c r="F2111" s="5" t="str">
        <f ca="1">IFERROR(__xludf.DUMMYFUNCTION("""COMPUTED_VALUE"""),"White")</f>
        <v>White</v>
      </c>
    </row>
    <row r="2112" spans="1:6" ht="13">
      <c r="A2112" s="5" t="str">
        <f ca="1">IFERROR(__xludf.DUMMYFUNCTION("""COMPUTED_VALUE"""),"19990420COCOL")</f>
        <v>19990420COCOL</v>
      </c>
      <c r="B2112" s="5" t="str">
        <f ca="1">IFERROR(__xludf.DUMMYFUNCTION("""COMPUTED_VALUE"""),"Fatal")</f>
        <v>Fatal</v>
      </c>
      <c r="C2112" s="5" t="str">
        <f ca="1">IFERROR(__xludf.DUMMYFUNCTION("""COMPUTED_VALUE"""),"Female")</f>
        <v>Female</v>
      </c>
      <c r="D2112" s="5" t="str">
        <f ca="1">IFERROR(__xludf.DUMMYFUNCTION("""COMPUTED_VALUE"""),"Student")</f>
        <v>Student</v>
      </c>
      <c r="E2112" s="5">
        <f ca="1">IFERROR(__xludf.DUMMYFUNCTION("""COMPUTED_VALUE"""),16)</f>
        <v>16</v>
      </c>
      <c r="F2112" s="5" t="str">
        <f ca="1">IFERROR(__xludf.DUMMYFUNCTION("""COMPUTED_VALUE"""),"White")</f>
        <v>White</v>
      </c>
    </row>
    <row r="2113" spans="1:6" ht="13">
      <c r="A2113" s="5" t="str">
        <f ca="1">IFERROR(__xludf.DUMMYFUNCTION("""COMPUTED_VALUE"""),"19990420COCOL")</f>
        <v>19990420COCOL</v>
      </c>
      <c r="B2113" s="5" t="str">
        <f ca="1">IFERROR(__xludf.DUMMYFUNCTION("""COMPUTED_VALUE"""),"Wounded")</f>
        <v>Wounded</v>
      </c>
      <c r="C2113" s="5"/>
      <c r="D2113" s="5" t="str">
        <f ca="1">IFERROR(__xludf.DUMMYFUNCTION("""COMPUTED_VALUE"""),"Student")</f>
        <v>Student</v>
      </c>
      <c r="E2113" s="5" t="str">
        <f ca="1">IFERROR(__xludf.DUMMYFUNCTION("""COMPUTED_VALUE"""),"Teen")</f>
        <v>Teen</v>
      </c>
      <c r="F2113" s="5"/>
    </row>
    <row r="2114" spans="1:6" ht="13">
      <c r="A2114" s="5" t="str">
        <f ca="1">IFERROR(__xludf.DUMMYFUNCTION("""COMPUTED_VALUE"""),"19990420COCOL")</f>
        <v>19990420COCOL</v>
      </c>
      <c r="B2114" s="5" t="str">
        <f ca="1">IFERROR(__xludf.DUMMYFUNCTION("""COMPUTED_VALUE"""),"Wounded")</f>
        <v>Wounded</v>
      </c>
      <c r="C2114" s="5" t="str">
        <f ca="1">IFERROR(__xludf.DUMMYFUNCTION("""COMPUTED_VALUE"""),"Male")</f>
        <v>Male</v>
      </c>
      <c r="D2114" s="5" t="str">
        <f ca="1">IFERROR(__xludf.DUMMYFUNCTION("""COMPUTED_VALUE"""),"Student")</f>
        <v>Student</v>
      </c>
      <c r="E2114" s="5">
        <f ca="1">IFERROR(__xludf.DUMMYFUNCTION("""COMPUTED_VALUE"""),15)</f>
        <v>15</v>
      </c>
      <c r="F2114" s="5"/>
    </row>
    <row r="2115" spans="1:6" ht="13">
      <c r="A2115" s="5" t="str">
        <f ca="1">IFERROR(__xludf.DUMMYFUNCTION("""COMPUTED_VALUE"""),"19990416IDNON")</f>
        <v>19990416IDNON</v>
      </c>
      <c r="B2115" s="5" t="str">
        <f ca="1">IFERROR(__xludf.DUMMYFUNCTION("""COMPUTED_VALUE"""),"None")</f>
        <v>None</v>
      </c>
      <c r="C2115" s="5"/>
      <c r="D2115" s="5"/>
      <c r="E2115" s="5"/>
      <c r="F2115" s="5"/>
    </row>
    <row r="2116" spans="1:6" ht="13">
      <c r="A2116" s="5" t="str">
        <f ca="1">IFERROR(__xludf.DUMMYFUNCTION("""COMPUTED_VALUE"""),"19990304ILNIS")</f>
        <v>19990304ILNIS</v>
      </c>
      <c r="B2116" s="5" t="str">
        <f ca="1">IFERROR(__xludf.DUMMYFUNCTION("""COMPUTED_VALUE"""),"Wounded")</f>
        <v>Wounded</v>
      </c>
      <c r="C2116" s="5" t="str">
        <f ca="1">IFERROR(__xludf.DUMMYFUNCTION("""COMPUTED_VALUE"""),"Male")</f>
        <v>Male</v>
      </c>
      <c r="D2116" s="5" t="str">
        <f ca="1">IFERROR(__xludf.DUMMYFUNCTION("""COMPUTED_VALUE"""),"Police Officer/SRO")</f>
        <v>Police Officer/SRO</v>
      </c>
      <c r="E2116" s="5">
        <f ca="1">IFERROR(__xludf.DUMMYFUNCTION("""COMPUTED_VALUE"""),57)</f>
        <v>57</v>
      </c>
      <c r="F2116" s="5"/>
    </row>
    <row r="2117" spans="1:6" ht="13">
      <c r="A2117" s="5" t="str">
        <f ca="1">IFERROR(__xludf.DUMMYFUNCTION("""COMPUTED_VALUE"""),"19990211MSJEP")</f>
        <v>19990211MSJEP</v>
      </c>
      <c r="B2117" s="5" t="str">
        <f ca="1">IFERROR(__xludf.DUMMYFUNCTION("""COMPUTED_VALUE"""),"None")</f>
        <v>None</v>
      </c>
      <c r="C2117" s="5" t="str">
        <f ca="1">IFERROR(__xludf.DUMMYFUNCTION("""COMPUTED_VALUE"""),"Female")</f>
        <v>Female</v>
      </c>
      <c r="D2117" s="5" t="str">
        <f ca="1">IFERROR(__xludf.DUMMYFUNCTION("""COMPUTED_VALUE"""),"Teacher")</f>
        <v>Teacher</v>
      </c>
      <c r="E2117" s="5" t="str">
        <f ca="1">IFERROR(__xludf.DUMMYFUNCTION("""COMPUTED_VALUE"""),"Adult")</f>
        <v>Adult</v>
      </c>
      <c r="F2117" s="5"/>
    </row>
    <row r="2118" spans="1:6" ht="13">
      <c r="A2118" s="5" t="str">
        <f ca="1">IFERROR(__xludf.DUMMYFUNCTION("""COMPUTED_VALUE"""),"19990211ILOME")</f>
        <v>19990211ILOME</v>
      </c>
      <c r="B2118" s="5" t="str">
        <f ca="1">IFERROR(__xludf.DUMMYFUNCTION("""COMPUTED_VALUE"""),"Fatal")</f>
        <v>Fatal</v>
      </c>
      <c r="C2118" s="5" t="str">
        <f ca="1">IFERROR(__xludf.DUMMYFUNCTION("""COMPUTED_VALUE"""),"Male")</f>
        <v>Male</v>
      </c>
      <c r="D2118" s="5" t="str">
        <f ca="1">IFERROR(__xludf.DUMMYFUNCTION("""COMPUTED_VALUE"""),"Student")</f>
        <v>Student</v>
      </c>
      <c r="E2118" s="5">
        <f ca="1">IFERROR(__xludf.DUMMYFUNCTION("""COMPUTED_VALUE"""),14)</f>
        <v>14</v>
      </c>
      <c r="F2118" s="5"/>
    </row>
    <row r="2119" spans="1:6" ht="13">
      <c r="A2119" s="5" t="str">
        <f ca="1">IFERROR(__xludf.DUMMYFUNCTION("""COMPUTED_VALUE"""),"19990121TXRIN")</f>
        <v>19990121TXRIN</v>
      </c>
      <c r="B2119" s="5" t="str">
        <f ca="1">IFERROR(__xludf.DUMMYFUNCTION("""COMPUTED_VALUE"""),"None")</f>
        <v>None</v>
      </c>
      <c r="C2119" s="5" t="str">
        <f ca="1">IFERROR(__xludf.DUMMYFUNCTION("""COMPUTED_VALUE"""),"Male")</f>
        <v>Male</v>
      </c>
      <c r="D2119" s="5" t="str">
        <f ca="1">IFERROR(__xludf.DUMMYFUNCTION("""COMPUTED_VALUE"""),"Student")</f>
        <v>Student</v>
      </c>
      <c r="E2119" s="5">
        <f ca="1">IFERROR(__xludf.DUMMYFUNCTION("""COMPUTED_VALUE"""),15)</f>
        <v>15</v>
      </c>
      <c r="F2119" s="5"/>
    </row>
    <row r="2120" spans="1:6" ht="13">
      <c r="A2120" s="5" t="str">
        <f ca="1">IFERROR(__xludf.DUMMYFUNCTION("""COMPUTED_VALUE"""),"19990114NYHAN")</f>
        <v>19990114NYHAN</v>
      </c>
      <c r="B2120" s="5" t="str">
        <f ca="1">IFERROR(__xludf.DUMMYFUNCTION("""COMPUTED_VALUE"""),"Wounded")</f>
        <v>Wounded</v>
      </c>
      <c r="C2120" s="5" t="str">
        <f ca="1">IFERROR(__xludf.DUMMYFUNCTION("""COMPUTED_VALUE"""),"Male")</f>
        <v>Male</v>
      </c>
      <c r="D2120" s="5" t="str">
        <f ca="1">IFERROR(__xludf.DUMMYFUNCTION("""COMPUTED_VALUE"""),"Student")</f>
        <v>Student</v>
      </c>
      <c r="E2120" s="5">
        <f ca="1">IFERROR(__xludf.DUMMYFUNCTION("""COMPUTED_VALUE"""),18)</f>
        <v>18</v>
      </c>
      <c r="F2120" s="5"/>
    </row>
    <row r="2121" spans="1:6" ht="13">
      <c r="A2121" s="5" t="str">
        <f ca="1">IFERROR(__xludf.DUMMYFUNCTION("""COMPUTED_VALUE"""),"19990114NYHAN")</f>
        <v>19990114NYHAN</v>
      </c>
      <c r="B2121" s="5" t="str">
        <f ca="1">IFERROR(__xludf.DUMMYFUNCTION("""COMPUTED_VALUE"""),"Wounded")</f>
        <v>Wounded</v>
      </c>
      <c r="C2121" s="5" t="str">
        <f ca="1">IFERROR(__xludf.DUMMYFUNCTION("""COMPUTED_VALUE"""),"Male")</f>
        <v>Male</v>
      </c>
      <c r="D2121" s="5" t="str">
        <f ca="1">IFERROR(__xludf.DUMMYFUNCTION("""COMPUTED_VALUE"""),"Student")</f>
        <v>Student</v>
      </c>
      <c r="E2121" s="5">
        <f ca="1">IFERROR(__xludf.DUMMYFUNCTION("""COMPUTED_VALUE"""),16)</f>
        <v>16</v>
      </c>
      <c r="F2121" s="5"/>
    </row>
    <row r="2122" spans="1:6" ht="13">
      <c r="A2122" s="5" t="str">
        <f ca="1">IFERROR(__xludf.DUMMYFUNCTION("""COMPUTED_VALUE"""),"19990108GACEC")</f>
        <v>19990108GACEC</v>
      </c>
      <c r="B2122" s="5" t="str">
        <f ca="1">IFERROR(__xludf.DUMMYFUNCTION("""COMPUTED_VALUE"""),"None")</f>
        <v>None</v>
      </c>
      <c r="C2122" s="5"/>
      <c r="D2122" s="5"/>
      <c r="E2122" s="5"/>
      <c r="F2122" s="5"/>
    </row>
    <row r="2123" spans="1:6" ht="13">
      <c r="A2123" s="5" t="str">
        <f ca="1">IFERROR(__xludf.DUMMYFUNCTION("""COMPUTED_VALUE"""),"19981211INBEI")</f>
        <v>19981211INBEI</v>
      </c>
      <c r="B2123" s="5" t="str">
        <f ca="1">IFERROR(__xludf.DUMMYFUNCTION("""COMPUTED_VALUE"""),"Wounded")</f>
        <v>Wounded</v>
      </c>
      <c r="C2123" s="5" t="str">
        <f ca="1">IFERROR(__xludf.DUMMYFUNCTION("""COMPUTED_VALUE"""),"Male")</f>
        <v>Male</v>
      </c>
      <c r="D2123" s="5" t="str">
        <f ca="1">IFERROR(__xludf.DUMMYFUNCTION("""COMPUTED_VALUE"""),"Student")</f>
        <v>Student</v>
      </c>
      <c r="E2123" s="5" t="str">
        <f ca="1">IFERROR(__xludf.DUMMYFUNCTION("""COMPUTED_VALUE"""),"Child")</f>
        <v>Child</v>
      </c>
      <c r="F2123" s="5"/>
    </row>
    <row r="2124" spans="1:6" ht="13">
      <c r="A2124" s="5" t="str">
        <f ca="1">IFERROR(__xludf.DUMMYFUNCTION("""COMPUTED_VALUE"""),"19981203INERG")</f>
        <v>19981203INERG</v>
      </c>
      <c r="B2124" s="5" t="str">
        <f ca="1">IFERROR(__xludf.DUMMYFUNCTION("""COMPUTED_VALUE"""),"Wounded")</f>
        <v>Wounded</v>
      </c>
      <c r="C2124" s="5" t="str">
        <f ca="1">IFERROR(__xludf.DUMMYFUNCTION("""COMPUTED_VALUE"""),"Female")</f>
        <v>Female</v>
      </c>
      <c r="D2124" s="5" t="str">
        <f ca="1">IFERROR(__xludf.DUMMYFUNCTION("""COMPUTED_VALUE"""),"Teacher")</f>
        <v>Teacher</v>
      </c>
      <c r="E2124" s="5">
        <f ca="1">IFERROR(__xludf.DUMMYFUNCTION("""COMPUTED_VALUE"""),29)</f>
        <v>29</v>
      </c>
      <c r="F2124" s="5"/>
    </row>
    <row r="2125" spans="1:6" ht="13">
      <c r="A2125" s="5" t="str">
        <f ca="1">IFERROR(__xludf.DUMMYFUNCTION("""COMPUTED_VALUE"""),"19981130NYHAH")</f>
        <v>19981130NYHAH</v>
      </c>
      <c r="B2125" s="5" t="str">
        <f ca="1">IFERROR(__xludf.DUMMYFUNCTION("""COMPUTED_VALUE"""),"None")</f>
        <v>None</v>
      </c>
      <c r="C2125" s="5" t="str">
        <f ca="1">IFERROR(__xludf.DUMMYFUNCTION("""COMPUTED_VALUE"""),"Female")</f>
        <v>Female</v>
      </c>
      <c r="D2125" s="5" t="str">
        <f ca="1">IFERROR(__xludf.DUMMYFUNCTION("""COMPUTED_VALUE"""),"Student")</f>
        <v>Student</v>
      </c>
      <c r="E2125" s="5">
        <f ca="1">IFERROR(__xludf.DUMMYFUNCTION("""COMPUTED_VALUE"""),14)</f>
        <v>14</v>
      </c>
      <c r="F2125" s="5"/>
    </row>
    <row r="2126" spans="1:6" ht="13">
      <c r="A2126" s="5" t="str">
        <f ca="1">IFERROR(__xludf.DUMMYFUNCTION("""COMPUTED_VALUE"""),"19981103PAMAP")</f>
        <v>19981103PAMAP</v>
      </c>
      <c r="B2126" s="5" t="str">
        <f ca="1">IFERROR(__xludf.DUMMYFUNCTION("""COMPUTED_VALUE"""),"Fatal")</f>
        <v>Fatal</v>
      </c>
      <c r="C2126" s="5" t="str">
        <f ca="1">IFERROR(__xludf.DUMMYFUNCTION("""COMPUTED_VALUE"""),"Male")</f>
        <v>Male</v>
      </c>
      <c r="D2126" s="5" t="str">
        <f ca="1">IFERROR(__xludf.DUMMYFUNCTION("""COMPUTED_VALUE"""),"Student")</f>
        <v>Student</v>
      </c>
      <c r="E2126" s="5">
        <f ca="1">IFERROR(__xludf.DUMMYFUNCTION("""COMPUTED_VALUE"""),16)</f>
        <v>16</v>
      </c>
      <c r="F2126" s="5"/>
    </row>
    <row r="2127" spans="1:6" ht="13">
      <c r="A2127" s="5" t="str">
        <f ca="1">IFERROR(__xludf.DUMMYFUNCTION("""COMPUTED_VALUE"""),"19980930FLNOM")</f>
        <v>19980930FLNOM</v>
      </c>
      <c r="B2127" s="5" t="str">
        <f ca="1">IFERROR(__xludf.DUMMYFUNCTION("""COMPUTED_VALUE"""),"Wounded")</f>
        <v>Wounded</v>
      </c>
      <c r="C2127" s="5" t="str">
        <f ca="1">IFERROR(__xludf.DUMMYFUNCTION("""COMPUTED_VALUE"""),"Male")</f>
        <v>Male</v>
      </c>
      <c r="D2127" s="5" t="str">
        <f ca="1">IFERROR(__xludf.DUMMYFUNCTION("""COMPUTED_VALUE"""),"Teacher")</f>
        <v>Teacher</v>
      </c>
      <c r="E2127" s="5" t="str">
        <f ca="1">IFERROR(__xludf.DUMMYFUNCTION("""COMPUTED_VALUE"""),"Adult")</f>
        <v>Adult</v>
      </c>
      <c r="F2127" s="5"/>
    </row>
    <row r="2128" spans="1:6" ht="13">
      <c r="A2128" s="5" t="str">
        <f ca="1">IFERROR(__xludf.DUMMYFUNCTION("""COMPUTED_VALUE"""),"19980930FLNOM")</f>
        <v>19980930FLNOM</v>
      </c>
      <c r="B2128" s="5" t="str">
        <f ca="1">IFERROR(__xludf.DUMMYFUNCTION("""COMPUTED_VALUE"""),"Wounded")</f>
        <v>Wounded</v>
      </c>
      <c r="C2128" s="5" t="str">
        <f ca="1">IFERROR(__xludf.DUMMYFUNCTION("""COMPUTED_VALUE"""),"Male")</f>
        <v>Male</v>
      </c>
      <c r="D2128" s="5" t="str">
        <f ca="1">IFERROR(__xludf.DUMMYFUNCTION("""COMPUTED_VALUE"""),"Student")</f>
        <v>Student</v>
      </c>
      <c r="E2128" s="5">
        <f ca="1">IFERROR(__xludf.DUMMYFUNCTION("""COMPUTED_VALUE"""),15)</f>
        <v>15</v>
      </c>
      <c r="F2128" s="5"/>
    </row>
    <row r="2129" spans="1:6" ht="13">
      <c r="A2129" s="5" t="str">
        <f ca="1">IFERROR(__xludf.DUMMYFUNCTION("""COMPUTED_VALUE"""),"19980930FLNOM")</f>
        <v>19980930FLNOM</v>
      </c>
      <c r="B2129" s="5" t="str">
        <f ca="1">IFERROR(__xludf.DUMMYFUNCTION("""COMPUTED_VALUE"""),"Wounded")</f>
        <v>Wounded</v>
      </c>
      <c r="C2129" s="5" t="str">
        <f ca="1">IFERROR(__xludf.DUMMYFUNCTION("""COMPUTED_VALUE"""),"Male")</f>
        <v>Male</v>
      </c>
      <c r="D2129" s="5" t="str">
        <f ca="1">IFERROR(__xludf.DUMMYFUNCTION("""COMPUTED_VALUE"""),"Student")</f>
        <v>Student</v>
      </c>
      <c r="E2129" s="5">
        <f ca="1">IFERROR(__xludf.DUMMYFUNCTION("""COMPUTED_VALUE"""),17)</f>
        <v>17</v>
      </c>
      <c r="F2129" s="5"/>
    </row>
    <row r="2130" spans="1:6" ht="13">
      <c r="A2130" s="5" t="str">
        <f ca="1">IFERROR(__xludf.DUMMYFUNCTION("""COMPUTED_VALUE"""),"19980930FLLEL")</f>
        <v>19980930FLLEL</v>
      </c>
      <c r="B2130" s="5" t="str">
        <f ca="1">IFERROR(__xludf.DUMMYFUNCTION("""COMPUTED_VALUE"""),"None")</f>
        <v>None</v>
      </c>
      <c r="C2130" s="5" t="str">
        <f ca="1">IFERROR(__xludf.DUMMYFUNCTION("""COMPUTED_VALUE"""),"Male")</f>
        <v>Male</v>
      </c>
      <c r="D2130" s="5" t="str">
        <f ca="1">IFERROR(__xludf.DUMMYFUNCTION("""COMPUTED_VALUE"""),"Student")</f>
        <v>Student</v>
      </c>
      <c r="E2130" s="5">
        <f ca="1">IFERROR(__xludf.DUMMYFUNCTION("""COMPUTED_VALUE"""),17)</f>
        <v>17</v>
      </c>
      <c r="F2130" s="5"/>
    </row>
    <row r="2131" spans="1:6" ht="13">
      <c r="A2131" s="5" t="str">
        <f ca="1">IFERROR(__xludf.DUMMYFUNCTION("""COMPUTED_VALUE"""),"19980911CAHEG")</f>
        <v>19980911CAHEG</v>
      </c>
      <c r="B2131" s="5" t="str">
        <f ca="1">IFERROR(__xludf.DUMMYFUNCTION("""COMPUTED_VALUE"""),"Wounded")</f>
        <v>Wounded</v>
      </c>
      <c r="C2131" s="5" t="str">
        <f ca="1">IFERROR(__xludf.DUMMYFUNCTION("""COMPUTED_VALUE"""),"Male")</f>
        <v>Male</v>
      </c>
      <c r="D2131" s="5" t="str">
        <f ca="1">IFERROR(__xludf.DUMMYFUNCTION("""COMPUTED_VALUE"""),"Student")</f>
        <v>Student</v>
      </c>
      <c r="E2131" s="5">
        <f ca="1">IFERROR(__xludf.DUMMYFUNCTION("""COMPUTED_VALUE"""),15)</f>
        <v>15</v>
      </c>
      <c r="F2131" s="5"/>
    </row>
    <row r="2132" spans="1:6" ht="13">
      <c r="A2132" s="5" t="str">
        <f ca="1">IFERROR(__xludf.DUMMYFUNCTION("""COMPUTED_VALUE"""),"19980615VAARR")</f>
        <v>19980615VAARR</v>
      </c>
      <c r="B2132" s="5" t="str">
        <f ca="1">IFERROR(__xludf.DUMMYFUNCTION("""COMPUTED_VALUE"""),"Wounded")</f>
        <v>Wounded</v>
      </c>
      <c r="C2132" s="5" t="str">
        <f ca="1">IFERROR(__xludf.DUMMYFUNCTION("""COMPUTED_VALUE"""),"Male")</f>
        <v>Male</v>
      </c>
      <c r="D2132" s="5" t="str">
        <f ca="1">IFERROR(__xludf.DUMMYFUNCTION("""COMPUTED_VALUE"""),"Teacher")</f>
        <v>Teacher</v>
      </c>
      <c r="E2132" s="5">
        <f ca="1">IFERROR(__xludf.DUMMYFUNCTION("""COMPUTED_VALUE"""),45)</f>
        <v>45</v>
      </c>
      <c r="F2132" s="5"/>
    </row>
    <row r="2133" spans="1:6" ht="13">
      <c r="A2133" s="5" t="str">
        <f ca="1">IFERROR(__xludf.DUMMYFUNCTION("""COMPUTED_VALUE"""),"19980615VAARR")</f>
        <v>19980615VAARR</v>
      </c>
      <c r="B2133" s="5" t="str">
        <f ca="1">IFERROR(__xludf.DUMMYFUNCTION("""COMPUTED_VALUE"""),"Wounded")</f>
        <v>Wounded</v>
      </c>
      <c r="C2133" s="5" t="str">
        <f ca="1">IFERROR(__xludf.DUMMYFUNCTION("""COMPUTED_VALUE"""),"Female")</f>
        <v>Female</v>
      </c>
      <c r="D2133" s="5" t="str">
        <f ca="1">IFERROR(__xludf.DUMMYFUNCTION("""COMPUTED_VALUE"""),"Teacher")</f>
        <v>Teacher</v>
      </c>
      <c r="E2133" s="5">
        <f ca="1">IFERROR(__xludf.DUMMYFUNCTION("""COMPUTED_VALUE"""),74)</f>
        <v>74</v>
      </c>
      <c r="F2133" s="5"/>
    </row>
    <row r="2134" spans="1:6" ht="13">
      <c r="A2134" s="5" t="str">
        <f ca="1">IFERROR(__xludf.DUMMYFUNCTION("""COMPUTED_VALUE"""),"19980529FLSTF")</f>
        <v>19980529FLSTF</v>
      </c>
      <c r="B2134" s="5" t="str">
        <f ca="1">IFERROR(__xludf.DUMMYFUNCTION("""COMPUTED_VALUE"""),"Fatal")</f>
        <v>Fatal</v>
      </c>
      <c r="C2134" s="5" t="str">
        <f ca="1">IFERROR(__xludf.DUMMYFUNCTION("""COMPUTED_VALUE"""),"Female")</f>
        <v>Female</v>
      </c>
      <c r="D2134" s="5" t="str">
        <f ca="1">IFERROR(__xludf.DUMMYFUNCTION("""COMPUTED_VALUE"""),"Teacher")</f>
        <v>Teacher</v>
      </c>
      <c r="E2134" s="5">
        <f ca="1">IFERROR(__xludf.DUMMYFUNCTION("""COMPUTED_VALUE"""),26)</f>
        <v>26</v>
      </c>
      <c r="F2134" s="5" t="str">
        <f ca="1">IFERROR(__xludf.DUMMYFUNCTION("""COMPUTED_VALUE"""),"White")</f>
        <v>White</v>
      </c>
    </row>
    <row r="2135" spans="1:6" ht="13">
      <c r="A2135" s="5" t="str">
        <f ca="1">IFERROR(__xludf.DUMMYFUNCTION("""COMPUTED_VALUE"""),"19980527CAWAP")</f>
        <v>19980527CAWAP</v>
      </c>
      <c r="B2135" s="5" t="str">
        <f ca="1">IFERROR(__xludf.DUMMYFUNCTION("""COMPUTED_VALUE"""),"Fatal")</f>
        <v>Fatal</v>
      </c>
      <c r="C2135" s="5" t="str">
        <f ca="1">IFERROR(__xludf.DUMMYFUNCTION("""COMPUTED_VALUE"""),"Male")</f>
        <v>Male</v>
      </c>
      <c r="D2135" s="5"/>
      <c r="E2135" s="5">
        <f ca="1">IFERROR(__xludf.DUMMYFUNCTION("""COMPUTED_VALUE"""),14)</f>
        <v>14</v>
      </c>
      <c r="F2135" s="5"/>
    </row>
    <row r="2136" spans="1:6" ht="13">
      <c r="A2136" s="5" t="str">
        <f ca="1">IFERROR(__xludf.DUMMYFUNCTION("""COMPUTED_VALUE"""),"19980527CAWAP")</f>
        <v>19980527CAWAP</v>
      </c>
      <c r="B2136" s="5" t="str">
        <f ca="1">IFERROR(__xludf.DUMMYFUNCTION("""COMPUTED_VALUE"""),"Fatal")</f>
        <v>Fatal</v>
      </c>
      <c r="C2136" s="5" t="str">
        <f ca="1">IFERROR(__xludf.DUMMYFUNCTION("""COMPUTED_VALUE"""),"Male")</f>
        <v>Male</v>
      </c>
      <c r="D2136" s="5"/>
      <c r="E2136" s="5">
        <f ca="1">IFERROR(__xludf.DUMMYFUNCTION("""COMPUTED_VALUE"""),20)</f>
        <v>20</v>
      </c>
      <c r="F2136" s="5"/>
    </row>
    <row r="2137" spans="1:6" ht="13">
      <c r="A2137" s="5" t="str">
        <f ca="1">IFERROR(__xludf.DUMMYFUNCTION("""COMPUTED_VALUE"""),"19980521WAONO")</f>
        <v>19980521WAONO</v>
      </c>
      <c r="B2137" s="5" t="str">
        <f ca="1">IFERROR(__xludf.DUMMYFUNCTION("""COMPUTED_VALUE"""),"None")</f>
        <v>None</v>
      </c>
      <c r="C2137" s="5" t="str">
        <f ca="1">IFERROR(__xludf.DUMMYFUNCTION("""COMPUTED_VALUE"""),"Male")</f>
        <v>Male</v>
      </c>
      <c r="D2137" s="5" t="str">
        <f ca="1">IFERROR(__xludf.DUMMYFUNCTION("""COMPUTED_VALUE"""),"Student")</f>
        <v>Student</v>
      </c>
      <c r="E2137" s="5">
        <f ca="1">IFERROR(__xludf.DUMMYFUNCTION("""COMPUTED_VALUE"""),15)</f>
        <v>15</v>
      </c>
      <c r="F2137" s="5"/>
    </row>
    <row r="2138" spans="1:6" ht="13">
      <c r="A2138" s="5" t="str">
        <f ca="1">IFERROR(__xludf.DUMMYFUNCTION("""COMPUTED_VALUE"""),"19980521ORTHS")</f>
        <v>19980521ORTHS</v>
      </c>
      <c r="B2138" s="5" t="str">
        <f ca="1">IFERROR(__xludf.DUMMYFUNCTION("""COMPUTED_VALUE"""),"Wounded")</f>
        <v>Wounded</v>
      </c>
      <c r="C2138" s="5"/>
      <c r="D2138" s="5" t="str">
        <f ca="1">IFERROR(__xludf.DUMMYFUNCTION("""COMPUTED_VALUE"""),"Student")</f>
        <v>Student</v>
      </c>
      <c r="E2138" s="5">
        <f ca="1">IFERROR(__xludf.DUMMYFUNCTION("""COMPUTED_VALUE"""),16)</f>
        <v>16</v>
      </c>
      <c r="F2138" s="5"/>
    </row>
    <row r="2139" spans="1:6" ht="13">
      <c r="A2139" s="5" t="str">
        <f ca="1">IFERROR(__xludf.DUMMYFUNCTION("""COMPUTED_VALUE"""),"19980521ORTHS")</f>
        <v>19980521ORTHS</v>
      </c>
      <c r="B2139" s="5" t="str">
        <f ca="1">IFERROR(__xludf.DUMMYFUNCTION("""COMPUTED_VALUE"""),"Wounded")</f>
        <v>Wounded</v>
      </c>
      <c r="C2139" s="5"/>
      <c r="D2139" s="5" t="str">
        <f ca="1">IFERROR(__xludf.DUMMYFUNCTION("""COMPUTED_VALUE"""),"Student")</f>
        <v>Student</v>
      </c>
      <c r="E2139" s="5">
        <f ca="1">IFERROR(__xludf.DUMMYFUNCTION("""COMPUTED_VALUE"""),18)</f>
        <v>18</v>
      </c>
      <c r="F2139" s="5"/>
    </row>
    <row r="2140" spans="1:6" ht="13">
      <c r="A2140" s="5" t="str">
        <f ca="1">IFERROR(__xludf.DUMMYFUNCTION("""COMPUTED_VALUE"""),"19980521ORTHS")</f>
        <v>19980521ORTHS</v>
      </c>
      <c r="B2140" s="5" t="str">
        <f ca="1">IFERROR(__xludf.DUMMYFUNCTION("""COMPUTED_VALUE"""),"Wounded")</f>
        <v>Wounded</v>
      </c>
      <c r="C2140" s="5"/>
      <c r="D2140" s="5" t="str">
        <f ca="1">IFERROR(__xludf.DUMMYFUNCTION("""COMPUTED_VALUE"""),"Student")</f>
        <v>Student</v>
      </c>
      <c r="E2140" s="5">
        <f ca="1">IFERROR(__xludf.DUMMYFUNCTION("""COMPUTED_VALUE"""),17)</f>
        <v>17</v>
      </c>
      <c r="F2140" s="5"/>
    </row>
    <row r="2141" spans="1:6" ht="13">
      <c r="A2141" s="5" t="str">
        <f ca="1">IFERROR(__xludf.DUMMYFUNCTION("""COMPUTED_VALUE"""),"19980521ORTHS")</f>
        <v>19980521ORTHS</v>
      </c>
      <c r="B2141" s="5" t="str">
        <f ca="1">IFERROR(__xludf.DUMMYFUNCTION("""COMPUTED_VALUE"""),"Wounded")</f>
        <v>Wounded</v>
      </c>
      <c r="C2141" s="5"/>
      <c r="D2141" s="5" t="str">
        <f ca="1">IFERROR(__xludf.DUMMYFUNCTION("""COMPUTED_VALUE"""),"Student")</f>
        <v>Student</v>
      </c>
      <c r="E2141" s="5" t="str">
        <f ca="1">IFERROR(__xludf.DUMMYFUNCTION("""COMPUTED_VALUE"""),"Teen")</f>
        <v>Teen</v>
      </c>
      <c r="F2141" s="5"/>
    </row>
    <row r="2142" spans="1:6" ht="13">
      <c r="A2142" s="5" t="str">
        <f ca="1">IFERROR(__xludf.DUMMYFUNCTION("""COMPUTED_VALUE"""),"19980521ORTHS")</f>
        <v>19980521ORTHS</v>
      </c>
      <c r="B2142" s="5" t="str">
        <f ca="1">IFERROR(__xludf.DUMMYFUNCTION("""COMPUTED_VALUE"""),"Wounded")</f>
        <v>Wounded</v>
      </c>
      <c r="C2142" s="5"/>
      <c r="D2142" s="5" t="str">
        <f ca="1">IFERROR(__xludf.DUMMYFUNCTION("""COMPUTED_VALUE"""),"Student")</f>
        <v>Student</v>
      </c>
      <c r="E2142" s="5">
        <f ca="1">IFERROR(__xludf.DUMMYFUNCTION("""COMPUTED_VALUE"""),18)</f>
        <v>18</v>
      </c>
      <c r="F2142" s="5"/>
    </row>
    <row r="2143" spans="1:6" ht="13">
      <c r="A2143" s="5" t="str">
        <f ca="1">IFERROR(__xludf.DUMMYFUNCTION("""COMPUTED_VALUE"""),"19980521ORTHS")</f>
        <v>19980521ORTHS</v>
      </c>
      <c r="B2143" s="5" t="str">
        <f ca="1">IFERROR(__xludf.DUMMYFUNCTION("""COMPUTED_VALUE"""),"Wounded")</f>
        <v>Wounded</v>
      </c>
      <c r="C2143" s="5"/>
      <c r="D2143" s="5" t="str">
        <f ca="1">IFERROR(__xludf.DUMMYFUNCTION("""COMPUTED_VALUE"""),"Student")</f>
        <v>Student</v>
      </c>
      <c r="E2143" s="5">
        <f ca="1">IFERROR(__xludf.DUMMYFUNCTION("""COMPUTED_VALUE"""),17)</f>
        <v>17</v>
      </c>
      <c r="F2143" s="5"/>
    </row>
    <row r="2144" spans="1:6" ht="13">
      <c r="A2144" s="5" t="str">
        <f ca="1">IFERROR(__xludf.DUMMYFUNCTION("""COMPUTED_VALUE"""),"19980521ORTHS")</f>
        <v>19980521ORTHS</v>
      </c>
      <c r="B2144" s="5" t="str">
        <f ca="1">IFERROR(__xludf.DUMMYFUNCTION("""COMPUTED_VALUE"""),"Wounded")</f>
        <v>Wounded</v>
      </c>
      <c r="C2144" s="5"/>
      <c r="D2144" s="5" t="str">
        <f ca="1">IFERROR(__xludf.DUMMYFUNCTION("""COMPUTED_VALUE"""),"Student")</f>
        <v>Student</v>
      </c>
      <c r="E2144" s="5">
        <f ca="1">IFERROR(__xludf.DUMMYFUNCTION("""COMPUTED_VALUE"""),15)</f>
        <v>15</v>
      </c>
      <c r="F2144" s="5"/>
    </row>
    <row r="2145" spans="1:6" ht="13">
      <c r="A2145" s="5" t="str">
        <f ca="1">IFERROR(__xludf.DUMMYFUNCTION("""COMPUTED_VALUE"""),"19980521ORTHS")</f>
        <v>19980521ORTHS</v>
      </c>
      <c r="B2145" s="5" t="str">
        <f ca="1">IFERROR(__xludf.DUMMYFUNCTION("""COMPUTED_VALUE"""),"Wounded")</f>
        <v>Wounded</v>
      </c>
      <c r="C2145" s="5"/>
      <c r="D2145" s="5" t="str">
        <f ca="1">IFERROR(__xludf.DUMMYFUNCTION("""COMPUTED_VALUE"""),"Student")</f>
        <v>Student</v>
      </c>
      <c r="E2145" s="5">
        <f ca="1">IFERROR(__xludf.DUMMYFUNCTION("""COMPUTED_VALUE"""),17)</f>
        <v>17</v>
      </c>
      <c r="F2145" s="5"/>
    </row>
    <row r="2146" spans="1:6" ht="13">
      <c r="A2146" s="5" t="str">
        <f ca="1">IFERROR(__xludf.DUMMYFUNCTION("""COMPUTED_VALUE"""),"19980521ORTHS")</f>
        <v>19980521ORTHS</v>
      </c>
      <c r="B2146" s="5" t="str">
        <f ca="1">IFERROR(__xludf.DUMMYFUNCTION("""COMPUTED_VALUE"""),"Wounded")</f>
        <v>Wounded</v>
      </c>
      <c r="C2146" s="5"/>
      <c r="D2146" s="5" t="str">
        <f ca="1">IFERROR(__xludf.DUMMYFUNCTION("""COMPUTED_VALUE"""),"Student")</f>
        <v>Student</v>
      </c>
      <c r="E2146" s="5" t="str">
        <f ca="1">IFERROR(__xludf.DUMMYFUNCTION("""COMPUTED_VALUE"""),"Teen")</f>
        <v>Teen</v>
      </c>
      <c r="F2146" s="5"/>
    </row>
    <row r="2147" spans="1:6" ht="13">
      <c r="A2147" s="5" t="str">
        <f ca="1">IFERROR(__xludf.DUMMYFUNCTION("""COMPUTED_VALUE"""),"19980521ORTHS")</f>
        <v>19980521ORTHS</v>
      </c>
      <c r="B2147" s="5" t="str">
        <f ca="1">IFERROR(__xludf.DUMMYFUNCTION("""COMPUTED_VALUE"""),"Wounded")</f>
        <v>Wounded</v>
      </c>
      <c r="C2147" s="5"/>
      <c r="D2147" s="5" t="str">
        <f ca="1">IFERROR(__xludf.DUMMYFUNCTION("""COMPUTED_VALUE"""),"Student")</f>
        <v>Student</v>
      </c>
      <c r="E2147" s="5">
        <f ca="1">IFERROR(__xludf.DUMMYFUNCTION("""COMPUTED_VALUE"""),14)</f>
        <v>14</v>
      </c>
      <c r="F2147" s="5"/>
    </row>
    <row r="2148" spans="1:6" ht="13">
      <c r="A2148" s="5" t="str">
        <f ca="1">IFERROR(__xludf.DUMMYFUNCTION("""COMPUTED_VALUE"""),"19980521ORTHS")</f>
        <v>19980521ORTHS</v>
      </c>
      <c r="B2148" s="5" t="str">
        <f ca="1">IFERROR(__xludf.DUMMYFUNCTION("""COMPUTED_VALUE"""),"Wounded")</f>
        <v>Wounded</v>
      </c>
      <c r="C2148" s="5"/>
      <c r="D2148" s="5" t="str">
        <f ca="1">IFERROR(__xludf.DUMMYFUNCTION("""COMPUTED_VALUE"""),"Student")</f>
        <v>Student</v>
      </c>
      <c r="E2148" s="5">
        <f ca="1">IFERROR(__xludf.DUMMYFUNCTION("""COMPUTED_VALUE"""),17)</f>
        <v>17</v>
      </c>
      <c r="F2148" s="5"/>
    </row>
    <row r="2149" spans="1:6" ht="13">
      <c r="A2149" s="5" t="str">
        <f ca="1">IFERROR(__xludf.DUMMYFUNCTION("""COMPUTED_VALUE"""),"19980521ORTHS")</f>
        <v>19980521ORTHS</v>
      </c>
      <c r="B2149" s="5" t="str">
        <f ca="1">IFERROR(__xludf.DUMMYFUNCTION("""COMPUTED_VALUE"""),"Wounded")</f>
        <v>Wounded</v>
      </c>
      <c r="C2149" s="5"/>
      <c r="D2149" s="5" t="str">
        <f ca="1">IFERROR(__xludf.DUMMYFUNCTION("""COMPUTED_VALUE"""),"Student")</f>
        <v>Student</v>
      </c>
      <c r="E2149" s="5">
        <f ca="1">IFERROR(__xludf.DUMMYFUNCTION("""COMPUTED_VALUE"""),15)</f>
        <v>15</v>
      </c>
      <c r="F2149" s="5"/>
    </row>
    <row r="2150" spans="1:6" ht="13">
      <c r="A2150" s="5" t="str">
        <f ca="1">IFERROR(__xludf.DUMMYFUNCTION("""COMPUTED_VALUE"""),"19980521ORTHS")</f>
        <v>19980521ORTHS</v>
      </c>
      <c r="B2150" s="5" t="str">
        <f ca="1">IFERROR(__xludf.DUMMYFUNCTION("""COMPUTED_VALUE"""),"Wounded")</f>
        <v>Wounded</v>
      </c>
      <c r="C2150" s="5"/>
      <c r="D2150" s="5" t="str">
        <f ca="1">IFERROR(__xludf.DUMMYFUNCTION("""COMPUTED_VALUE"""),"Student")</f>
        <v>Student</v>
      </c>
      <c r="E2150" s="5">
        <f ca="1">IFERROR(__xludf.DUMMYFUNCTION("""COMPUTED_VALUE"""),16)</f>
        <v>16</v>
      </c>
      <c r="F2150" s="5"/>
    </row>
    <row r="2151" spans="1:6" ht="13">
      <c r="A2151" s="5" t="str">
        <f ca="1">IFERROR(__xludf.DUMMYFUNCTION("""COMPUTED_VALUE"""),"19980521ORTHS")</f>
        <v>19980521ORTHS</v>
      </c>
      <c r="B2151" s="5" t="str">
        <f ca="1">IFERROR(__xludf.DUMMYFUNCTION("""COMPUTED_VALUE"""),"Wounded")</f>
        <v>Wounded</v>
      </c>
      <c r="C2151" s="5"/>
      <c r="D2151" s="5" t="str">
        <f ca="1">IFERROR(__xludf.DUMMYFUNCTION("""COMPUTED_VALUE"""),"Student")</f>
        <v>Student</v>
      </c>
      <c r="E2151" s="5" t="str">
        <f ca="1">IFERROR(__xludf.DUMMYFUNCTION("""COMPUTED_VALUE"""),"Teen")</f>
        <v>Teen</v>
      </c>
      <c r="F2151" s="5"/>
    </row>
    <row r="2152" spans="1:6" ht="13">
      <c r="A2152" s="5" t="str">
        <f ca="1">IFERROR(__xludf.DUMMYFUNCTION("""COMPUTED_VALUE"""),"19980521ORTHS")</f>
        <v>19980521ORTHS</v>
      </c>
      <c r="B2152" s="5" t="str">
        <f ca="1">IFERROR(__xludf.DUMMYFUNCTION("""COMPUTED_VALUE"""),"Wounded")</f>
        <v>Wounded</v>
      </c>
      <c r="C2152" s="5"/>
      <c r="D2152" s="5" t="str">
        <f ca="1">IFERROR(__xludf.DUMMYFUNCTION("""COMPUTED_VALUE"""),"Student")</f>
        <v>Student</v>
      </c>
      <c r="E2152" s="5">
        <f ca="1">IFERROR(__xludf.DUMMYFUNCTION("""COMPUTED_VALUE"""),16)</f>
        <v>16</v>
      </c>
      <c r="F2152" s="5"/>
    </row>
    <row r="2153" spans="1:6" ht="13">
      <c r="A2153" s="5" t="str">
        <f ca="1">IFERROR(__xludf.DUMMYFUNCTION("""COMPUTED_VALUE"""),"19980521ORTHS")</f>
        <v>19980521ORTHS</v>
      </c>
      <c r="B2153" s="5" t="str">
        <f ca="1">IFERROR(__xludf.DUMMYFUNCTION("""COMPUTED_VALUE"""),"Wounded")</f>
        <v>Wounded</v>
      </c>
      <c r="C2153" s="5"/>
      <c r="D2153" s="5" t="str">
        <f ca="1">IFERROR(__xludf.DUMMYFUNCTION("""COMPUTED_VALUE"""),"Student")</f>
        <v>Student</v>
      </c>
      <c r="E2153" s="5">
        <f ca="1">IFERROR(__xludf.DUMMYFUNCTION("""COMPUTED_VALUE"""),17)</f>
        <v>17</v>
      </c>
      <c r="F2153" s="5"/>
    </row>
    <row r="2154" spans="1:6" ht="13">
      <c r="A2154" s="5" t="str">
        <f ca="1">IFERROR(__xludf.DUMMYFUNCTION("""COMPUTED_VALUE"""),"19980521ORTHS")</f>
        <v>19980521ORTHS</v>
      </c>
      <c r="B2154" s="5" t="str">
        <f ca="1">IFERROR(__xludf.DUMMYFUNCTION("""COMPUTED_VALUE"""),"Wounded")</f>
        <v>Wounded</v>
      </c>
      <c r="C2154" s="5"/>
      <c r="D2154" s="5" t="str">
        <f ca="1">IFERROR(__xludf.DUMMYFUNCTION("""COMPUTED_VALUE"""),"Student")</f>
        <v>Student</v>
      </c>
      <c r="E2154" s="5">
        <f ca="1">IFERROR(__xludf.DUMMYFUNCTION("""COMPUTED_VALUE"""),17)</f>
        <v>17</v>
      </c>
      <c r="F2154" s="5"/>
    </row>
    <row r="2155" spans="1:6" ht="13">
      <c r="A2155" s="5" t="str">
        <f ca="1">IFERROR(__xludf.DUMMYFUNCTION("""COMPUTED_VALUE"""),"19980521ORTHS")</f>
        <v>19980521ORTHS</v>
      </c>
      <c r="B2155" s="5" t="str">
        <f ca="1">IFERROR(__xludf.DUMMYFUNCTION("""COMPUTED_VALUE"""),"Wounded")</f>
        <v>Wounded</v>
      </c>
      <c r="C2155" s="5"/>
      <c r="D2155" s="5" t="str">
        <f ca="1">IFERROR(__xludf.DUMMYFUNCTION("""COMPUTED_VALUE"""),"Student")</f>
        <v>Student</v>
      </c>
      <c r="E2155" s="5">
        <f ca="1">IFERROR(__xludf.DUMMYFUNCTION("""COMPUTED_VALUE"""),17)</f>
        <v>17</v>
      </c>
      <c r="F2155" s="5"/>
    </row>
    <row r="2156" spans="1:6" ht="13">
      <c r="A2156" s="5" t="str">
        <f ca="1">IFERROR(__xludf.DUMMYFUNCTION("""COMPUTED_VALUE"""),"19980521ORTHS")</f>
        <v>19980521ORTHS</v>
      </c>
      <c r="B2156" s="5" t="str">
        <f ca="1">IFERROR(__xludf.DUMMYFUNCTION("""COMPUTED_VALUE"""),"Wounded")</f>
        <v>Wounded</v>
      </c>
      <c r="C2156" s="5"/>
      <c r="D2156" s="5" t="str">
        <f ca="1">IFERROR(__xludf.DUMMYFUNCTION("""COMPUTED_VALUE"""),"Student")</f>
        <v>Student</v>
      </c>
      <c r="E2156" s="5">
        <f ca="1">IFERROR(__xludf.DUMMYFUNCTION("""COMPUTED_VALUE"""),17)</f>
        <v>17</v>
      </c>
      <c r="F2156" s="5"/>
    </row>
    <row r="2157" spans="1:6" ht="13">
      <c r="A2157" s="5" t="str">
        <f ca="1">IFERROR(__xludf.DUMMYFUNCTION("""COMPUTED_VALUE"""),"19980521ORTHS")</f>
        <v>19980521ORTHS</v>
      </c>
      <c r="B2157" s="5" t="str">
        <f ca="1">IFERROR(__xludf.DUMMYFUNCTION("""COMPUTED_VALUE"""),"Wounded")</f>
        <v>Wounded</v>
      </c>
      <c r="C2157" s="5"/>
      <c r="D2157" s="5" t="str">
        <f ca="1">IFERROR(__xludf.DUMMYFUNCTION("""COMPUTED_VALUE"""),"Student")</f>
        <v>Student</v>
      </c>
      <c r="E2157" s="5">
        <f ca="1">IFERROR(__xludf.DUMMYFUNCTION("""COMPUTED_VALUE"""),16)</f>
        <v>16</v>
      </c>
      <c r="F2157" s="5"/>
    </row>
    <row r="2158" spans="1:6" ht="13">
      <c r="A2158" s="5" t="str">
        <f ca="1">IFERROR(__xludf.DUMMYFUNCTION("""COMPUTED_VALUE"""),"19980521ORTHS")</f>
        <v>19980521ORTHS</v>
      </c>
      <c r="B2158" s="5" t="str">
        <f ca="1">IFERROR(__xludf.DUMMYFUNCTION("""COMPUTED_VALUE"""),"Fatal")</f>
        <v>Fatal</v>
      </c>
      <c r="C2158" s="5" t="str">
        <f ca="1">IFERROR(__xludf.DUMMYFUNCTION("""COMPUTED_VALUE"""),"Male")</f>
        <v>Male</v>
      </c>
      <c r="D2158" s="5" t="str">
        <f ca="1">IFERROR(__xludf.DUMMYFUNCTION("""COMPUTED_VALUE"""),"Student")</f>
        <v>Student</v>
      </c>
      <c r="E2158" s="5">
        <f ca="1">IFERROR(__xludf.DUMMYFUNCTION("""COMPUTED_VALUE"""),17)</f>
        <v>17</v>
      </c>
      <c r="F2158" s="5"/>
    </row>
    <row r="2159" spans="1:6" ht="13">
      <c r="A2159" s="5" t="str">
        <f ca="1">IFERROR(__xludf.DUMMYFUNCTION("""COMPUTED_VALUE"""),"19980521ORTHS")</f>
        <v>19980521ORTHS</v>
      </c>
      <c r="B2159" s="5" t="str">
        <f ca="1">IFERROR(__xludf.DUMMYFUNCTION("""COMPUTED_VALUE"""),"Wounded")</f>
        <v>Wounded</v>
      </c>
      <c r="C2159" s="5"/>
      <c r="D2159" s="5" t="str">
        <f ca="1">IFERROR(__xludf.DUMMYFUNCTION("""COMPUTED_VALUE"""),"Student")</f>
        <v>Student</v>
      </c>
      <c r="E2159" s="5">
        <f ca="1">IFERROR(__xludf.DUMMYFUNCTION("""COMPUTED_VALUE"""),15)</f>
        <v>15</v>
      </c>
      <c r="F2159" s="5"/>
    </row>
    <row r="2160" spans="1:6" ht="13">
      <c r="A2160" s="5" t="str">
        <f ca="1">IFERROR(__xludf.DUMMYFUNCTION("""COMPUTED_VALUE"""),"19980521ORTHS")</f>
        <v>19980521ORTHS</v>
      </c>
      <c r="B2160" s="5" t="str">
        <f ca="1">IFERROR(__xludf.DUMMYFUNCTION("""COMPUTED_VALUE"""),"Fatal")</f>
        <v>Fatal</v>
      </c>
      <c r="C2160" s="5" t="str">
        <f ca="1">IFERROR(__xludf.DUMMYFUNCTION("""COMPUTED_VALUE"""),"Male")</f>
        <v>Male</v>
      </c>
      <c r="D2160" s="5" t="str">
        <f ca="1">IFERROR(__xludf.DUMMYFUNCTION("""COMPUTED_VALUE"""),"Student")</f>
        <v>Student</v>
      </c>
      <c r="E2160" s="5" t="str">
        <f ca="1">IFERROR(__xludf.DUMMYFUNCTION("""COMPUTED_VALUE"""),"Teen")</f>
        <v>Teen</v>
      </c>
      <c r="F2160" s="5"/>
    </row>
    <row r="2161" spans="1:6" ht="13">
      <c r="A2161" s="5" t="str">
        <f ca="1">IFERROR(__xludf.DUMMYFUNCTION("""COMPUTED_VALUE"""),"19980521ORTHS")</f>
        <v>19980521ORTHS</v>
      </c>
      <c r="B2161" s="5" t="str">
        <f ca="1">IFERROR(__xludf.DUMMYFUNCTION("""COMPUTED_VALUE"""),"Wounded")</f>
        <v>Wounded</v>
      </c>
      <c r="C2161" s="5"/>
      <c r="D2161" s="5" t="str">
        <f ca="1">IFERROR(__xludf.DUMMYFUNCTION("""COMPUTED_VALUE"""),"Student")</f>
        <v>Student</v>
      </c>
      <c r="E2161" s="5">
        <f ca="1">IFERROR(__xludf.DUMMYFUNCTION("""COMPUTED_VALUE"""),16)</f>
        <v>16</v>
      </c>
      <c r="F2161" s="5"/>
    </row>
    <row r="2162" spans="1:6" ht="13">
      <c r="A2162" s="5" t="str">
        <f ca="1">IFERROR(__xludf.DUMMYFUNCTION("""COMPUTED_VALUE"""),"19980521ORTHS")</f>
        <v>19980521ORTHS</v>
      </c>
      <c r="B2162" s="5" t="str">
        <f ca="1">IFERROR(__xludf.DUMMYFUNCTION("""COMPUTED_VALUE"""),"Wounded")</f>
        <v>Wounded</v>
      </c>
      <c r="C2162" s="5"/>
      <c r="D2162" s="5" t="str">
        <f ca="1">IFERROR(__xludf.DUMMYFUNCTION("""COMPUTED_VALUE"""),"Student")</f>
        <v>Student</v>
      </c>
      <c r="E2162" s="5">
        <f ca="1">IFERROR(__xludf.DUMMYFUNCTION("""COMPUTED_VALUE"""),17)</f>
        <v>17</v>
      </c>
      <c r="F2162" s="5"/>
    </row>
    <row r="2163" spans="1:6" ht="13">
      <c r="A2163" s="5" t="str">
        <f ca="1">IFERROR(__xludf.DUMMYFUNCTION("""COMPUTED_VALUE"""),"19980521ORTHS")</f>
        <v>19980521ORTHS</v>
      </c>
      <c r="B2163" s="5" t="str">
        <f ca="1">IFERROR(__xludf.DUMMYFUNCTION("""COMPUTED_VALUE"""),"Wounded")</f>
        <v>Wounded</v>
      </c>
      <c r="C2163" s="5"/>
      <c r="D2163" s="5" t="str">
        <f ca="1">IFERROR(__xludf.DUMMYFUNCTION("""COMPUTED_VALUE"""),"Student")</f>
        <v>Student</v>
      </c>
      <c r="E2163" s="5">
        <f ca="1">IFERROR(__xludf.DUMMYFUNCTION("""COMPUTED_VALUE"""),17)</f>
        <v>17</v>
      </c>
      <c r="F2163" s="5"/>
    </row>
    <row r="2164" spans="1:6" ht="13">
      <c r="A2164" s="5" t="str">
        <f ca="1">IFERROR(__xludf.DUMMYFUNCTION("""COMPUTED_VALUE"""),"19980521ORTHS")</f>
        <v>19980521ORTHS</v>
      </c>
      <c r="B2164" s="5" t="str">
        <f ca="1">IFERROR(__xludf.DUMMYFUNCTION("""COMPUTED_VALUE"""),"Wounded")</f>
        <v>Wounded</v>
      </c>
      <c r="C2164" s="5"/>
      <c r="D2164" s="5" t="str">
        <f ca="1">IFERROR(__xludf.DUMMYFUNCTION("""COMPUTED_VALUE"""),"Student")</f>
        <v>Student</v>
      </c>
      <c r="E2164" s="5">
        <f ca="1">IFERROR(__xludf.DUMMYFUNCTION("""COMPUTED_VALUE"""),17)</f>
        <v>17</v>
      </c>
      <c r="F2164" s="5"/>
    </row>
    <row r="2165" spans="1:6" ht="13">
      <c r="A2165" s="5" t="str">
        <f ca="1">IFERROR(__xludf.DUMMYFUNCTION("""COMPUTED_VALUE"""),"19980521CARIR")</f>
        <v>19980521CARIR</v>
      </c>
      <c r="B2165" s="5" t="str">
        <f ca="1">IFERROR(__xludf.DUMMYFUNCTION("""COMPUTED_VALUE"""),"None")</f>
        <v>None</v>
      </c>
      <c r="C2165" s="5" t="str">
        <f ca="1">IFERROR(__xludf.DUMMYFUNCTION("""COMPUTED_VALUE"""),"Male")</f>
        <v>Male</v>
      </c>
      <c r="D2165" s="5" t="str">
        <f ca="1">IFERROR(__xludf.DUMMYFUNCTION("""COMPUTED_VALUE"""),"Student")</f>
        <v>Student</v>
      </c>
      <c r="E2165" s="5">
        <f ca="1">IFERROR(__xludf.DUMMYFUNCTION("""COMPUTED_VALUE"""),15)</f>
        <v>15</v>
      </c>
      <c r="F2165" s="5"/>
    </row>
    <row r="2166" spans="1:6" ht="13">
      <c r="A2166" s="5" t="str">
        <f ca="1">IFERROR(__xludf.DUMMYFUNCTION("""COMPUTED_VALUE"""),"19980519TNLIF")</f>
        <v>19980519TNLIF</v>
      </c>
      <c r="B2166" s="5" t="str">
        <f ca="1">IFERROR(__xludf.DUMMYFUNCTION("""COMPUTED_VALUE"""),"Fatal")</f>
        <v>Fatal</v>
      </c>
      <c r="C2166" s="5" t="str">
        <f ca="1">IFERROR(__xludf.DUMMYFUNCTION("""COMPUTED_VALUE"""),"Male")</f>
        <v>Male</v>
      </c>
      <c r="D2166" s="5" t="str">
        <f ca="1">IFERROR(__xludf.DUMMYFUNCTION("""COMPUTED_VALUE"""),"Student")</f>
        <v>Student</v>
      </c>
      <c r="E2166" s="5">
        <f ca="1">IFERROR(__xludf.DUMMYFUNCTION("""COMPUTED_VALUE"""),18)</f>
        <v>18</v>
      </c>
      <c r="F2166" s="5"/>
    </row>
    <row r="2167" spans="1:6" ht="13">
      <c r="A2167" s="5" t="str">
        <f ca="1">IFERROR(__xludf.DUMMYFUNCTION("""COMPUTED_VALUE"""),"19980501NYPUB")</f>
        <v>19980501NYPUB</v>
      </c>
      <c r="B2167" s="5" t="str">
        <f ca="1">IFERROR(__xludf.DUMMYFUNCTION("""COMPUTED_VALUE"""),"Fatal")</f>
        <v>Fatal</v>
      </c>
      <c r="C2167" s="5" t="str">
        <f ca="1">IFERROR(__xludf.DUMMYFUNCTION("""COMPUTED_VALUE"""),"Female")</f>
        <v>Female</v>
      </c>
      <c r="D2167" s="5" t="str">
        <f ca="1">IFERROR(__xludf.DUMMYFUNCTION("""COMPUTED_VALUE"""),"Other Staff")</f>
        <v>Other Staff</v>
      </c>
      <c r="E2167" s="5">
        <f ca="1">IFERROR(__xludf.DUMMYFUNCTION("""COMPUTED_VALUE"""),30)</f>
        <v>30</v>
      </c>
      <c r="F2167" s="5"/>
    </row>
    <row r="2168" spans="1:6" ht="13">
      <c r="A2168" s="5" t="str">
        <f ca="1">IFERROR(__xludf.DUMMYFUNCTION("""COMPUTED_VALUE"""),"19980501NYPUB")</f>
        <v>19980501NYPUB</v>
      </c>
      <c r="B2168" s="5" t="str">
        <f ca="1">IFERROR(__xludf.DUMMYFUNCTION("""COMPUTED_VALUE"""),"Wounded")</f>
        <v>Wounded</v>
      </c>
      <c r="C2168" s="5" t="str">
        <f ca="1">IFERROR(__xludf.DUMMYFUNCTION("""COMPUTED_VALUE"""),"Female")</f>
        <v>Female</v>
      </c>
      <c r="D2168" s="5" t="str">
        <f ca="1">IFERROR(__xludf.DUMMYFUNCTION("""COMPUTED_VALUE"""),"Teacher")</f>
        <v>Teacher</v>
      </c>
      <c r="E2168" s="5">
        <f ca="1">IFERROR(__xludf.DUMMYFUNCTION("""COMPUTED_VALUE"""),30)</f>
        <v>30</v>
      </c>
      <c r="F2168" s="5"/>
    </row>
    <row r="2169" spans="1:6" ht="13">
      <c r="A2169" s="5" t="str">
        <f ca="1">IFERROR(__xludf.DUMMYFUNCTION("""COMPUTED_VALUE"""),"19980501FLNOM")</f>
        <v>19980501FLNOM</v>
      </c>
      <c r="B2169" s="5" t="str">
        <f ca="1">IFERROR(__xludf.DUMMYFUNCTION("""COMPUTED_VALUE"""),"Wounded")</f>
        <v>Wounded</v>
      </c>
      <c r="C2169" s="5" t="str">
        <f ca="1">IFERROR(__xludf.DUMMYFUNCTION("""COMPUTED_VALUE"""),"Male")</f>
        <v>Male</v>
      </c>
      <c r="D2169" s="5" t="str">
        <f ca="1">IFERROR(__xludf.DUMMYFUNCTION("""COMPUTED_VALUE"""),"Student")</f>
        <v>Student</v>
      </c>
      <c r="E2169" s="5">
        <f ca="1">IFERROR(__xludf.DUMMYFUNCTION("""COMPUTED_VALUE"""),17)</f>
        <v>17</v>
      </c>
      <c r="F2169" s="5"/>
    </row>
    <row r="2170" spans="1:6" ht="13">
      <c r="A2170" s="5" t="str">
        <f ca="1">IFERROR(__xludf.DUMMYFUNCTION("""COMPUTED_VALUE"""),"19980428WIPAP")</f>
        <v>19980428WIPAP</v>
      </c>
      <c r="B2170" s="5" t="str">
        <f ca="1">IFERROR(__xludf.DUMMYFUNCTION("""COMPUTED_VALUE"""),"Wounded")</f>
        <v>Wounded</v>
      </c>
      <c r="C2170" s="5" t="str">
        <f ca="1">IFERROR(__xludf.DUMMYFUNCTION("""COMPUTED_VALUE"""),"Male")</f>
        <v>Male</v>
      </c>
      <c r="D2170" s="5" t="str">
        <f ca="1">IFERROR(__xludf.DUMMYFUNCTION("""COMPUTED_VALUE"""),"Other Staff")</f>
        <v>Other Staff</v>
      </c>
      <c r="E2170" s="5">
        <f ca="1">IFERROR(__xludf.DUMMYFUNCTION("""COMPUTED_VALUE"""),40)</f>
        <v>40</v>
      </c>
      <c r="F2170" s="5"/>
    </row>
    <row r="2171" spans="1:6" ht="13">
      <c r="A2171" s="5" t="str">
        <f ca="1">IFERROR(__xludf.DUMMYFUNCTION("""COMPUTED_VALUE"""),"19980428CAPHP")</f>
        <v>19980428CAPHP</v>
      </c>
      <c r="B2171" s="5" t="str">
        <f ca="1">IFERROR(__xludf.DUMMYFUNCTION("""COMPUTED_VALUE"""),"Wounded")</f>
        <v>Wounded</v>
      </c>
      <c r="C2171" s="5" t="str">
        <f ca="1">IFERROR(__xludf.DUMMYFUNCTION("""COMPUTED_VALUE"""),"Male")</f>
        <v>Male</v>
      </c>
      <c r="D2171" s="5" t="str">
        <f ca="1">IFERROR(__xludf.DUMMYFUNCTION("""COMPUTED_VALUE"""),"No Relation")</f>
        <v>No Relation</v>
      </c>
      <c r="E2171" s="5">
        <f ca="1">IFERROR(__xludf.DUMMYFUNCTION("""COMPUTED_VALUE"""),14)</f>
        <v>14</v>
      </c>
      <c r="F2171" s="5"/>
    </row>
    <row r="2172" spans="1:6" ht="13">
      <c r="A2172" s="5" t="str">
        <f ca="1">IFERROR(__xludf.DUMMYFUNCTION("""COMPUTED_VALUE"""),"19980428CAPHP")</f>
        <v>19980428CAPHP</v>
      </c>
      <c r="B2172" s="5" t="str">
        <f ca="1">IFERROR(__xludf.DUMMYFUNCTION("""COMPUTED_VALUE"""),"Wounded")</f>
        <v>Wounded</v>
      </c>
      <c r="C2172" s="5" t="str">
        <f ca="1">IFERROR(__xludf.DUMMYFUNCTION("""COMPUTED_VALUE"""),"Male")</f>
        <v>Male</v>
      </c>
      <c r="D2172" s="5" t="str">
        <f ca="1">IFERROR(__xludf.DUMMYFUNCTION("""COMPUTED_VALUE"""),"No Relation")</f>
        <v>No Relation</v>
      </c>
      <c r="E2172" s="5">
        <f ca="1">IFERROR(__xludf.DUMMYFUNCTION("""COMPUTED_VALUE"""),15)</f>
        <v>15</v>
      </c>
      <c r="F2172" s="5"/>
    </row>
    <row r="2173" spans="1:6" ht="13">
      <c r="A2173" s="5" t="str">
        <f ca="1">IFERROR(__xludf.DUMMYFUNCTION("""COMPUTED_VALUE"""),"19980428CAPHP")</f>
        <v>19980428CAPHP</v>
      </c>
      <c r="B2173" s="5" t="str">
        <f ca="1">IFERROR(__xludf.DUMMYFUNCTION("""COMPUTED_VALUE"""),"Fatal")</f>
        <v>Fatal</v>
      </c>
      <c r="C2173" s="5" t="str">
        <f ca="1">IFERROR(__xludf.DUMMYFUNCTION("""COMPUTED_VALUE"""),"Male")</f>
        <v>Male</v>
      </c>
      <c r="D2173" s="5" t="str">
        <f ca="1">IFERROR(__xludf.DUMMYFUNCTION("""COMPUTED_VALUE"""),"No Relation")</f>
        <v>No Relation</v>
      </c>
      <c r="E2173" s="5">
        <f ca="1">IFERROR(__xludf.DUMMYFUNCTION("""COMPUTED_VALUE"""),17)</f>
        <v>17</v>
      </c>
      <c r="F2173" s="5"/>
    </row>
    <row r="2174" spans="1:6" ht="13">
      <c r="A2174" s="5" t="str">
        <f ca="1">IFERROR(__xludf.DUMMYFUNCTION("""COMPUTED_VALUE"""),"19980424PAPAE")</f>
        <v>19980424PAPAE</v>
      </c>
      <c r="B2174" s="5" t="str">
        <f ca="1">IFERROR(__xludf.DUMMYFUNCTION("""COMPUTED_VALUE"""),"Wounded")</f>
        <v>Wounded</v>
      </c>
      <c r="C2174" s="5" t="str">
        <f ca="1">IFERROR(__xludf.DUMMYFUNCTION("""COMPUTED_VALUE"""),"Male")</f>
        <v>Male</v>
      </c>
      <c r="D2174" s="5" t="str">
        <f ca="1">IFERROR(__xludf.DUMMYFUNCTION("""COMPUTED_VALUE"""),"Student")</f>
        <v>Student</v>
      </c>
      <c r="E2174" s="5" t="str">
        <f ca="1">IFERROR(__xludf.DUMMYFUNCTION("""COMPUTED_VALUE"""),"Teen")</f>
        <v>Teen</v>
      </c>
      <c r="F2174" s="5"/>
    </row>
    <row r="2175" spans="1:6" ht="13">
      <c r="A2175" s="5" t="str">
        <f ca="1">IFERROR(__xludf.DUMMYFUNCTION("""COMPUTED_VALUE"""),"19980424PAPAE")</f>
        <v>19980424PAPAE</v>
      </c>
      <c r="B2175" s="5" t="str">
        <f ca="1">IFERROR(__xludf.DUMMYFUNCTION("""COMPUTED_VALUE"""),"Fatal")</f>
        <v>Fatal</v>
      </c>
      <c r="C2175" s="5" t="str">
        <f ca="1">IFERROR(__xludf.DUMMYFUNCTION("""COMPUTED_VALUE"""),"Male")</f>
        <v>Male</v>
      </c>
      <c r="D2175" s="5" t="str">
        <f ca="1">IFERROR(__xludf.DUMMYFUNCTION("""COMPUTED_VALUE"""),"Teacher")</f>
        <v>Teacher</v>
      </c>
      <c r="E2175" s="5">
        <f ca="1">IFERROR(__xludf.DUMMYFUNCTION("""COMPUTED_VALUE"""),48)</f>
        <v>48</v>
      </c>
      <c r="F2175" s="5"/>
    </row>
    <row r="2176" spans="1:6" ht="13">
      <c r="A2176" s="5" t="str">
        <f ca="1">IFERROR(__xludf.DUMMYFUNCTION("""COMPUTED_VALUE"""),"19980424PAPAE")</f>
        <v>19980424PAPAE</v>
      </c>
      <c r="B2176" s="5" t="str">
        <f ca="1">IFERROR(__xludf.DUMMYFUNCTION("""COMPUTED_VALUE"""),"Wounded")</f>
        <v>Wounded</v>
      </c>
      <c r="C2176" s="5" t="str">
        <f ca="1">IFERROR(__xludf.DUMMYFUNCTION("""COMPUTED_VALUE"""),"Male")</f>
        <v>Male</v>
      </c>
      <c r="D2176" s="5" t="str">
        <f ca="1">IFERROR(__xludf.DUMMYFUNCTION("""COMPUTED_VALUE"""),"Student")</f>
        <v>Student</v>
      </c>
      <c r="E2176" s="5">
        <f ca="1">IFERROR(__xludf.DUMMYFUNCTION("""COMPUTED_VALUE"""),14)</f>
        <v>14</v>
      </c>
      <c r="F2176" s="5"/>
    </row>
    <row r="2177" spans="1:6" ht="13">
      <c r="A2177" s="5" t="str">
        <f ca="1">IFERROR(__xludf.DUMMYFUNCTION("""COMPUTED_VALUE"""),"19980424PAPAE")</f>
        <v>19980424PAPAE</v>
      </c>
      <c r="B2177" s="5" t="str">
        <f ca="1">IFERROR(__xludf.DUMMYFUNCTION("""COMPUTED_VALUE"""),"Wounded")</f>
        <v>Wounded</v>
      </c>
      <c r="C2177" s="5" t="str">
        <f ca="1">IFERROR(__xludf.DUMMYFUNCTION("""COMPUTED_VALUE"""),"Male")</f>
        <v>Male</v>
      </c>
      <c r="D2177" s="5" t="str">
        <f ca="1">IFERROR(__xludf.DUMMYFUNCTION("""COMPUTED_VALUE"""),"Student")</f>
        <v>Student</v>
      </c>
      <c r="E2177" s="5">
        <f ca="1">IFERROR(__xludf.DUMMYFUNCTION("""COMPUTED_VALUE"""),14)</f>
        <v>14</v>
      </c>
      <c r="F2177" s="5"/>
    </row>
    <row r="2178" spans="1:6" ht="13">
      <c r="A2178" s="5" t="str">
        <f ca="1">IFERROR(__xludf.DUMMYFUNCTION("""COMPUTED_VALUE"""),"19980423CACUL")</f>
        <v>19980423CACUL</v>
      </c>
      <c r="B2178" s="5" t="str">
        <f ca="1">IFERROR(__xludf.DUMMYFUNCTION("""COMPUTED_VALUE"""),"Wounded")</f>
        <v>Wounded</v>
      </c>
      <c r="C2178" s="5" t="str">
        <f ca="1">IFERROR(__xludf.DUMMYFUNCTION("""COMPUTED_VALUE"""),"Male")</f>
        <v>Male</v>
      </c>
      <c r="D2178" s="5" t="str">
        <f ca="1">IFERROR(__xludf.DUMMYFUNCTION("""COMPUTED_VALUE"""),"Student")</f>
        <v>Student</v>
      </c>
      <c r="E2178" s="5" t="str">
        <f ca="1">IFERROR(__xludf.DUMMYFUNCTION("""COMPUTED_VALUE"""),"Teen")</f>
        <v>Teen</v>
      </c>
      <c r="F2178" s="5"/>
    </row>
    <row r="2179" spans="1:6" ht="13">
      <c r="A2179" s="5" t="str">
        <f ca="1">IFERROR(__xludf.DUMMYFUNCTION("""COMPUTED_VALUE"""),"19980423CACUL")</f>
        <v>19980423CACUL</v>
      </c>
      <c r="B2179" s="5" t="str">
        <f ca="1">IFERROR(__xludf.DUMMYFUNCTION("""COMPUTED_VALUE"""),"Wounded")</f>
        <v>Wounded</v>
      </c>
      <c r="C2179" s="5" t="str">
        <f ca="1">IFERROR(__xludf.DUMMYFUNCTION("""COMPUTED_VALUE"""),"Male")</f>
        <v>Male</v>
      </c>
      <c r="D2179" s="5" t="str">
        <f ca="1">IFERROR(__xludf.DUMMYFUNCTION("""COMPUTED_VALUE"""),"Student")</f>
        <v>Student</v>
      </c>
      <c r="E2179" s="5" t="str">
        <f ca="1">IFERROR(__xludf.DUMMYFUNCTION("""COMPUTED_VALUE"""),"Teen")</f>
        <v>Teen</v>
      </c>
      <c r="F2179" s="5"/>
    </row>
    <row r="2180" spans="1:6" ht="13">
      <c r="A2180" s="5" t="str">
        <f ca="1">IFERROR(__xludf.DUMMYFUNCTION("""COMPUTED_VALUE"""),"19980331WIOAO")</f>
        <v>19980331WIOAO</v>
      </c>
      <c r="B2180" s="5" t="str">
        <f ca="1">IFERROR(__xludf.DUMMYFUNCTION("""COMPUTED_VALUE"""),"None")</f>
        <v>None</v>
      </c>
      <c r="C2180" s="5"/>
      <c r="D2180" s="5"/>
      <c r="E2180" s="5"/>
      <c r="F2180" s="5"/>
    </row>
    <row r="2181" spans="1:6" ht="13">
      <c r="A2181" s="5" t="str">
        <f ca="1">IFERROR(__xludf.DUMMYFUNCTION("""COMPUTED_VALUE"""),"19980330NCGRC")</f>
        <v>19980330NCGRC</v>
      </c>
      <c r="B2181" s="5" t="str">
        <f ca="1">IFERROR(__xludf.DUMMYFUNCTION("""COMPUTED_VALUE"""),"None")</f>
        <v>None</v>
      </c>
      <c r="C2181" s="5" t="str">
        <f ca="1">IFERROR(__xludf.DUMMYFUNCTION("""COMPUTED_VALUE"""),"Female")</f>
        <v>Female</v>
      </c>
      <c r="D2181" s="5" t="str">
        <f ca="1">IFERROR(__xludf.DUMMYFUNCTION("""COMPUTED_VALUE"""),"Student")</f>
        <v>Student</v>
      </c>
      <c r="E2181" s="5">
        <f ca="1">IFERROR(__xludf.DUMMYFUNCTION("""COMPUTED_VALUE"""),13)</f>
        <v>13</v>
      </c>
      <c r="F2181" s="5"/>
    </row>
    <row r="2182" spans="1:6" ht="13">
      <c r="A2182" s="5" t="str">
        <f ca="1">IFERROR(__xludf.DUMMYFUNCTION("""COMPUTED_VALUE"""),"19980325MICOC")</f>
        <v>19980325MICOC</v>
      </c>
      <c r="B2182" s="5" t="str">
        <f ca="1">IFERROR(__xludf.DUMMYFUNCTION("""COMPUTED_VALUE"""),"None")</f>
        <v>None</v>
      </c>
      <c r="C2182" s="5" t="str">
        <f ca="1">IFERROR(__xludf.DUMMYFUNCTION("""COMPUTED_VALUE"""),"Male")</f>
        <v>Male</v>
      </c>
      <c r="D2182" s="5" t="str">
        <f ca="1">IFERROR(__xludf.DUMMYFUNCTION("""COMPUTED_VALUE"""),"Student")</f>
        <v>Student</v>
      </c>
      <c r="E2182" s="5">
        <f ca="1">IFERROR(__xludf.DUMMYFUNCTION("""COMPUTED_VALUE"""),18)</f>
        <v>18</v>
      </c>
      <c r="F2182" s="5"/>
    </row>
    <row r="2183" spans="1:6" ht="13">
      <c r="A2183" s="5" t="str">
        <f ca="1">IFERROR(__xludf.DUMMYFUNCTION("""COMPUTED_VALUE"""),"19980325CAFED")</f>
        <v>19980325CAFED</v>
      </c>
      <c r="B2183" s="5" t="str">
        <f ca="1">IFERROR(__xludf.DUMMYFUNCTION("""COMPUTED_VALUE"""),"None")</f>
        <v>None</v>
      </c>
      <c r="C2183" s="5" t="str">
        <f ca="1">IFERROR(__xludf.DUMMYFUNCTION("""COMPUTED_VALUE"""),"Male")</f>
        <v>Male</v>
      </c>
      <c r="D2183" s="5" t="str">
        <f ca="1">IFERROR(__xludf.DUMMYFUNCTION("""COMPUTED_VALUE"""),"Principal/Vice-Principal")</f>
        <v>Principal/Vice-Principal</v>
      </c>
      <c r="E2183" s="5" t="str">
        <f ca="1">IFERROR(__xludf.DUMMYFUNCTION("""COMPUTED_VALUE"""),"Adult")</f>
        <v>Adult</v>
      </c>
      <c r="F2183" s="5"/>
    </row>
    <row r="2184" spans="1:6" ht="13">
      <c r="A2184" s="5" t="str">
        <f ca="1">IFERROR(__xludf.DUMMYFUNCTION("""COMPUTED_VALUE"""),"19980324ARWEJ")</f>
        <v>19980324ARWEJ</v>
      </c>
      <c r="B2184" s="5" t="str">
        <f ca="1">IFERROR(__xludf.DUMMYFUNCTION("""COMPUTED_VALUE"""),"Wounded")</f>
        <v>Wounded</v>
      </c>
      <c r="C2184" s="5"/>
      <c r="D2184" s="5" t="str">
        <f ca="1">IFERROR(__xludf.DUMMYFUNCTION("""COMPUTED_VALUE"""),"Student")</f>
        <v>Student</v>
      </c>
      <c r="E2184" s="5">
        <f ca="1">IFERROR(__xludf.DUMMYFUNCTION("""COMPUTED_VALUE"""),12)</f>
        <v>12</v>
      </c>
      <c r="F2184" s="5"/>
    </row>
    <row r="2185" spans="1:6" ht="13">
      <c r="A2185" s="5" t="str">
        <f ca="1">IFERROR(__xludf.DUMMYFUNCTION("""COMPUTED_VALUE"""),"19980324ARWEJ")</f>
        <v>19980324ARWEJ</v>
      </c>
      <c r="B2185" s="5" t="str">
        <f ca="1">IFERROR(__xludf.DUMMYFUNCTION("""COMPUTED_VALUE"""),"Fatal")</f>
        <v>Fatal</v>
      </c>
      <c r="C2185" s="5" t="str">
        <f ca="1">IFERROR(__xludf.DUMMYFUNCTION("""COMPUTED_VALUE"""),"Female")</f>
        <v>Female</v>
      </c>
      <c r="D2185" s="5" t="str">
        <f ca="1">IFERROR(__xludf.DUMMYFUNCTION("""COMPUTED_VALUE"""),"Student")</f>
        <v>Student</v>
      </c>
      <c r="E2185" s="5">
        <f ca="1">IFERROR(__xludf.DUMMYFUNCTION("""COMPUTED_VALUE"""),11)</f>
        <v>11</v>
      </c>
      <c r="F2185" s="5"/>
    </row>
    <row r="2186" spans="1:6" ht="13">
      <c r="A2186" s="5" t="str">
        <f ca="1">IFERROR(__xludf.DUMMYFUNCTION("""COMPUTED_VALUE"""),"19980324ARWEJ")</f>
        <v>19980324ARWEJ</v>
      </c>
      <c r="B2186" s="5" t="str">
        <f ca="1">IFERROR(__xludf.DUMMYFUNCTION("""COMPUTED_VALUE"""),"Wounded")</f>
        <v>Wounded</v>
      </c>
      <c r="C2186" s="5"/>
      <c r="D2186" s="5" t="str">
        <f ca="1">IFERROR(__xludf.DUMMYFUNCTION("""COMPUTED_VALUE"""),"Student")</f>
        <v>Student</v>
      </c>
      <c r="E2186" s="5">
        <f ca="1">IFERROR(__xludf.DUMMYFUNCTION("""COMPUTED_VALUE"""),13)</f>
        <v>13</v>
      </c>
      <c r="F2186" s="5"/>
    </row>
    <row r="2187" spans="1:6" ht="13">
      <c r="A2187" s="5" t="str">
        <f ca="1">IFERROR(__xludf.DUMMYFUNCTION("""COMPUTED_VALUE"""),"19980324ARWEJ")</f>
        <v>19980324ARWEJ</v>
      </c>
      <c r="B2187" s="5" t="str">
        <f ca="1">IFERROR(__xludf.DUMMYFUNCTION("""COMPUTED_VALUE"""),"Fatal")</f>
        <v>Fatal</v>
      </c>
      <c r="C2187" s="5" t="str">
        <f ca="1">IFERROR(__xludf.DUMMYFUNCTION("""COMPUTED_VALUE"""),"Female")</f>
        <v>Female</v>
      </c>
      <c r="D2187" s="5" t="str">
        <f ca="1">IFERROR(__xludf.DUMMYFUNCTION("""COMPUTED_VALUE"""),"Teacher")</f>
        <v>Teacher</v>
      </c>
      <c r="E2187" s="5">
        <f ca="1">IFERROR(__xludf.DUMMYFUNCTION("""COMPUTED_VALUE"""),32)</f>
        <v>32</v>
      </c>
      <c r="F2187" s="5"/>
    </row>
    <row r="2188" spans="1:6" ht="13">
      <c r="A2188" s="5" t="str">
        <f ca="1">IFERROR(__xludf.DUMMYFUNCTION("""COMPUTED_VALUE"""),"19980324ARWEJ")</f>
        <v>19980324ARWEJ</v>
      </c>
      <c r="B2188" s="5" t="str">
        <f ca="1">IFERROR(__xludf.DUMMYFUNCTION("""COMPUTED_VALUE"""),"Wounded")</f>
        <v>Wounded</v>
      </c>
      <c r="C2188" s="5"/>
      <c r="D2188" s="5" t="str">
        <f ca="1">IFERROR(__xludf.DUMMYFUNCTION("""COMPUTED_VALUE"""),"Student")</f>
        <v>Student</v>
      </c>
      <c r="E2188" s="5">
        <f ca="1">IFERROR(__xludf.DUMMYFUNCTION("""COMPUTED_VALUE"""),11)</f>
        <v>11</v>
      </c>
      <c r="F2188" s="5"/>
    </row>
    <row r="2189" spans="1:6" ht="13">
      <c r="A2189" s="5" t="str">
        <f ca="1">IFERROR(__xludf.DUMMYFUNCTION("""COMPUTED_VALUE"""),"19980324ARWEJ")</f>
        <v>19980324ARWEJ</v>
      </c>
      <c r="B2189" s="5" t="str">
        <f ca="1">IFERROR(__xludf.DUMMYFUNCTION("""COMPUTED_VALUE"""),"Fatal")</f>
        <v>Fatal</v>
      </c>
      <c r="C2189" s="5" t="str">
        <f ca="1">IFERROR(__xludf.DUMMYFUNCTION("""COMPUTED_VALUE"""),"Female")</f>
        <v>Female</v>
      </c>
      <c r="D2189" s="5" t="str">
        <f ca="1">IFERROR(__xludf.DUMMYFUNCTION("""COMPUTED_VALUE"""),"Student")</f>
        <v>Student</v>
      </c>
      <c r="E2189" s="5">
        <f ca="1">IFERROR(__xludf.DUMMYFUNCTION("""COMPUTED_VALUE"""),12)</f>
        <v>12</v>
      </c>
      <c r="F2189" s="5"/>
    </row>
    <row r="2190" spans="1:6" ht="13">
      <c r="A2190" s="5" t="str">
        <f ca="1">IFERROR(__xludf.DUMMYFUNCTION("""COMPUTED_VALUE"""),"19980324ARWEJ")</f>
        <v>19980324ARWEJ</v>
      </c>
      <c r="B2190" s="5" t="str">
        <f ca="1">IFERROR(__xludf.DUMMYFUNCTION("""COMPUTED_VALUE"""),"Wounded")</f>
        <v>Wounded</v>
      </c>
      <c r="C2190" s="5"/>
      <c r="D2190" s="5" t="str">
        <f ca="1">IFERROR(__xludf.DUMMYFUNCTION("""COMPUTED_VALUE"""),"Student")</f>
        <v>Student</v>
      </c>
      <c r="E2190" s="5">
        <f ca="1">IFERROR(__xludf.DUMMYFUNCTION("""COMPUTED_VALUE"""),13)</f>
        <v>13</v>
      </c>
      <c r="F2190" s="5"/>
    </row>
    <row r="2191" spans="1:6" ht="13">
      <c r="A2191" s="5" t="str">
        <f ca="1">IFERROR(__xludf.DUMMYFUNCTION("""COMPUTED_VALUE"""),"19980324ARWEJ")</f>
        <v>19980324ARWEJ</v>
      </c>
      <c r="B2191" s="5" t="str">
        <f ca="1">IFERROR(__xludf.DUMMYFUNCTION("""COMPUTED_VALUE"""),"Wounded")</f>
        <v>Wounded</v>
      </c>
      <c r="C2191" s="5"/>
      <c r="D2191" s="5" t="str">
        <f ca="1">IFERROR(__xludf.DUMMYFUNCTION("""COMPUTED_VALUE"""),"Teacher")</f>
        <v>Teacher</v>
      </c>
      <c r="E2191" s="5">
        <f ca="1">IFERROR(__xludf.DUMMYFUNCTION("""COMPUTED_VALUE"""),42)</f>
        <v>42</v>
      </c>
      <c r="F2191" s="5"/>
    </row>
    <row r="2192" spans="1:6" ht="13">
      <c r="A2192" s="5" t="str">
        <f ca="1">IFERROR(__xludf.DUMMYFUNCTION("""COMPUTED_VALUE"""),"19980324ARWEJ")</f>
        <v>19980324ARWEJ</v>
      </c>
      <c r="B2192" s="5" t="str">
        <f ca="1">IFERROR(__xludf.DUMMYFUNCTION("""COMPUTED_VALUE"""),"Wounded")</f>
        <v>Wounded</v>
      </c>
      <c r="C2192" s="5"/>
      <c r="D2192" s="5" t="str">
        <f ca="1">IFERROR(__xludf.DUMMYFUNCTION("""COMPUTED_VALUE"""),"Student")</f>
        <v>Student</v>
      </c>
      <c r="E2192" s="5">
        <f ca="1">IFERROR(__xludf.DUMMYFUNCTION("""COMPUTED_VALUE"""),11)</f>
        <v>11</v>
      </c>
      <c r="F2192" s="5"/>
    </row>
    <row r="2193" spans="1:6" ht="13">
      <c r="A2193" s="5" t="str">
        <f ca="1">IFERROR(__xludf.DUMMYFUNCTION("""COMPUTED_VALUE"""),"19980324ARWEJ")</f>
        <v>19980324ARWEJ</v>
      </c>
      <c r="B2193" s="5" t="str">
        <f ca="1">IFERROR(__xludf.DUMMYFUNCTION("""COMPUTED_VALUE"""),"Wounded")</f>
        <v>Wounded</v>
      </c>
      <c r="C2193" s="5"/>
      <c r="D2193" s="5" t="str">
        <f ca="1">IFERROR(__xludf.DUMMYFUNCTION("""COMPUTED_VALUE"""),"Student")</f>
        <v>Student</v>
      </c>
      <c r="E2193" s="5">
        <f ca="1">IFERROR(__xludf.DUMMYFUNCTION("""COMPUTED_VALUE"""),13)</f>
        <v>13</v>
      </c>
      <c r="F2193" s="5"/>
    </row>
    <row r="2194" spans="1:6" ht="13">
      <c r="A2194" s="5" t="str">
        <f ca="1">IFERROR(__xludf.DUMMYFUNCTION("""COMPUTED_VALUE"""),"19980324ARWEJ")</f>
        <v>19980324ARWEJ</v>
      </c>
      <c r="B2194" s="5" t="str">
        <f ca="1">IFERROR(__xludf.DUMMYFUNCTION("""COMPUTED_VALUE"""),"Fatal")</f>
        <v>Fatal</v>
      </c>
      <c r="C2194" s="5" t="str">
        <f ca="1">IFERROR(__xludf.DUMMYFUNCTION("""COMPUTED_VALUE"""),"Female")</f>
        <v>Female</v>
      </c>
      <c r="D2194" s="5" t="str">
        <f ca="1">IFERROR(__xludf.DUMMYFUNCTION("""COMPUTED_VALUE"""),"Student")</f>
        <v>Student</v>
      </c>
      <c r="E2194" s="5">
        <f ca="1">IFERROR(__xludf.DUMMYFUNCTION("""COMPUTED_VALUE"""),12)</f>
        <v>12</v>
      </c>
      <c r="F2194" s="5"/>
    </row>
    <row r="2195" spans="1:6" ht="13">
      <c r="A2195" s="5" t="str">
        <f ca="1">IFERROR(__xludf.DUMMYFUNCTION("""COMPUTED_VALUE"""),"19980324ARWEJ")</f>
        <v>19980324ARWEJ</v>
      </c>
      <c r="B2195" s="5" t="str">
        <f ca="1">IFERROR(__xludf.DUMMYFUNCTION("""COMPUTED_VALUE"""),"Wounded")</f>
        <v>Wounded</v>
      </c>
      <c r="C2195" s="5"/>
      <c r="D2195" s="5" t="str">
        <f ca="1">IFERROR(__xludf.DUMMYFUNCTION("""COMPUTED_VALUE"""),"Student")</f>
        <v>Student</v>
      </c>
      <c r="E2195" s="5">
        <f ca="1">IFERROR(__xludf.DUMMYFUNCTION("""COMPUTED_VALUE"""),12)</f>
        <v>12</v>
      </c>
      <c r="F2195" s="5"/>
    </row>
    <row r="2196" spans="1:6" ht="13">
      <c r="A2196" s="5" t="str">
        <f ca="1">IFERROR(__xludf.DUMMYFUNCTION("""COMPUTED_VALUE"""),"19980324ARWEJ")</f>
        <v>19980324ARWEJ</v>
      </c>
      <c r="B2196" s="5" t="str">
        <f ca="1">IFERROR(__xludf.DUMMYFUNCTION("""COMPUTED_VALUE"""),"Wounded")</f>
        <v>Wounded</v>
      </c>
      <c r="C2196" s="5"/>
      <c r="D2196" s="5" t="str">
        <f ca="1">IFERROR(__xludf.DUMMYFUNCTION("""COMPUTED_VALUE"""),"Student")</f>
        <v>Student</v>
      </c>
      <c r="E2196" s="5">
        <f ca="1">IFERROR(__xludf.DUMMYFUNCTION("""COMPUTED_VALUE"""),12)</f>
        <v>12</v>
      </c>
      <c r="F2196" s="5"/>
    </row>
    <row r="2197" spans="1:6" ht="13">
      <c r="A2197" s="5" t="str">
        <f ca="1">IFERROR(__xludf.DUMMYFUNCTION("""COMPUTED_VALUE"""),"19980324ARWEJ")</f>
        <v>19980324ARWEJ</v>
      </c>
      <c r="B2197" s="5" t="str">
        <f ca="1">IFERROR(__xludf.DUMMYFUNCTION("""COMPUTED_VALUE"""),"Fatal")</f>
        <v>Fatal</v>
      </c>
      <c r="C2197" s="5" t="str">
        <f ca="1">IFERROR(__xludf.DUMMYFUNCTION("""COMPUTED_VALUE"""),"Female")</f>
        <v>Female</v>
      </c>
      <c r="D2197" s="5" t="str">
        <f ca="1">IFERROR(__xludf.DUMMYFUNCTION("""COMPUTED_VALUE"""),"Student")</f>
        <v>Student</v>
      </c>
      <c r="E2197" s="5">
        <f ca="1">IFERROR(__xludf.DUMMYFUNCTION("""COMPUTED_VALUE"""),12)</f>
        <v>12</v>
      </c>
      <c r="F2197" s="5"/>
    </row>
    <row r="2198" spans="1:6" ht="13">
      <c r="A2198" s="5" t="str">
        <f ca="1">IFERROR(__xludf.DUMMYFUNCTION("""COMPUTED_VALUE"""),"19980324ARWEJ")</f>
        <v>19980324ARWEJ</v>
      </c>
      <c r="B2198" s="5" t="str">
        <f ca="1">IFERROR(__xludf.DUMMYFUNCTION("""COMPUTED_VALUE"""),"Wounded")</f>
        <v>Wounded</v>
      </c>
      <c r="C2198" s="5"/>
      <c r="D2198" s="5" t="str">
        <f ca="1">IFERROR(__xludf.DUMMYFUNCTION("""COMPUTED_VALUE"""),"Student")</f>
        <v>Student</v>
      </c>
      <c r="E2198" s="5">
        <f ca="1">IFERROR(__xludf.DUMMYFUNCTION("""COMPUTED_VALUE"""),13)</f>
        <v>13</v>
      </c>
      <c r="F2198" s="5"/>
    </row>
    <row r="2199" spans="1:6" ht="13">
      <c r="A2199" s="5" t="str">
        <f ca="1">IFERROR(__xludf.DUMMYFUNCTION("""COMPUTED_VALUE"""),"19980227VAMAF")</f>
        <v>19980227VAMAF</v>
      </c>
      <c r="B2199" s="5" t="str">
        <f ca="1">IFERROR(__xludf.DUMMYFUNCTION("""COMPUTED_VALUE"""),"Fatal")</f>
        <v>Fatal</v>
      </c>
      <c r="C2199" s="5" t="str">
        <f ca="1">IFERROR(__xludf.DUMMYFUNCTION("""COMPUTED_VALUE"""),"Male")</f>
        <v>Male</v>
      </c>
      <c r="D2199" s="5" t="str">
        <f ca="1">IFERROR(__xludf.DUMMYFUNCTION("""COMPUTED_VALUE"""),"Student")</f>
        <v>Student</v>
      </c>
      <c r="E2199" s="5">
        <f ca="1">IFERROR(__xludf.DUMMYFUNCTION("""COMPUTED_VALUE"""),17)</f>
        <v>17</v>
      </c>
      <c r="F2199" s="5"/>
    </row>
    <row r="2200" spans="1:6" ht="13">
      <c r="A2200" s="5" t="str">
        <f ca="1">IFERROR(__xludf.DUMMYFUNCTION("""COMPUTED_VALUE"""),"19980225MIRER")</f>
        <v>19980225MIRER</v>
      </c>
      <c r="B2200" s="5" t="str">
        <f ca="1">IFERROR(__xludf.DUMMYFUNCTION("""COMPUTED_VALUE"""),"None")</f>
        <v>None</v>
      </c>
      <c r="C2200" s="5" t="str">
        <f ca="1">IFERROR(__xludf.DUMMYFUNCTION("""COMPUTED_VALUE"""),"Male")</f>
        <v>Male</v>
      </c>
      <c r="D2200" s="5" t="str">
        <f ca="1">IFERROR(__xludf.DUMMYFUNCTION("""COMPUTED_VALUE"""),"Student")</f>
        <v>Student</v>
      </c>
      <c r="E2200" s="5">
        <f ca="1">IFERROR(__xludf.DUMMYFUNCTION("""COMPUTED_VALUE"""),14)</f>
        <v>14</v>
      </c>
      <c r="F2200" s="5"/>
    </row>
    <row r="2201" spans="1:6" ht="13">
      <c r="A2201" s="5" t="str">
        <f ca="1">IFERROR(__xludf.DUMMYFUNCTION("""COMPUTED_VALUE"""),"19980212NJHOH")</f>
        <v>19980212NJHOH</v>
      </c>
      <c r="B2201" s="5" t="str">
        <f ca="1">IFERROR(__xludf.DUMMYFUNCTION("""COMPUTED_VALUE"""),"Fatal")</f>
        <v>Fatal</v>
      </c>
      <c r="C2201" s="5" t="str">
        <f ca="1">IFERROR(__xludf.DUMMYFUNCTION("""COMPUTED_VALUE"""),"Male")</f>
        <v>Male</v>
      </c>
      <c r="D2201" s="5" t="str">
        <f ca="1">IFERROR(__xludf.DUMMYFUNCTION("""COMPUTED_VALUE"""),"Teacher")</f>
        <v>Teacher</v>
      </c>
      <c r="E2201" s="5">
        <f ca="1">IFERROR(__xludf.DUMMYFUNCTION("""COMPUTED_VALUE"""),48)</f>
        <v>48</v>
      </c>
      <c r="F2201" s="5"/>
    </row>
    <row r="2202" spans="1:6" ht="13">
      <c r="A2202" s="5" t="str">
        <f ca="1">IFERROR(__xludf.DUMMYFUNCTION("""COMPUTED_VALUE"""),"19971215ARSTS")</f>
        <v>19971215ARSTS</v>
      </c>
      <c r="B2202" s="5" t="str">
        <f ca="1">IFERROR(__xludf.DUMMYFUNCTION("""COMPUTED_VALUE"""),"Wounded")</f>
        <v>Wounded</v>
      </c>
      <c r="C2202" s="5" t="str">
        <f ca="1">IFERROR(__xludf.DUMMYFUNCTION("""COMPUTED_VALUE"""),"Male")</f>
        <v>Male</v>
      </c>
      <c r="D2202" s="5" t="str">
        <f ca="1">IFERROR(__xludf.DUMMYFUNCTION("""COMPUTED_VALUE"""),"Student")</f>
        <v>Student</v>
      </c>
      <c r="E2202" s="5">
        <f ca="1">IFERROR(__xludf.DUMMYFUNCTION("""COMPUTED_VALUE"""),15)</f>
        <v>15</v>
      </c>
      <c r="F2202" s="5"/>
    </row>
    <row r="2203" spans="1:6" ht="13">
      <c r="A2203" s="5" t="str">
        <f ca="1">IFERROR(__xludf.DUMMYFUNCTION("""COMPUTED_VALUE"""),"19971215ARSTS")</f>
        <v>19971215ARSTS</v>
      </c>
      <c r="B2203" s="5" t="str">
        <f ca="1">IFERROR(__xludf.DUMMYFUNCTION("""COMPUTED_VALUE"""),"Wounded")</f>
        <v>Wounded</v>
      </c>
      <c r="C2203" s="5" t="str">
        <f ca="1">IFERROR(__xludf.DUMMYFUNCTION("""COMPUTED_VALUE"""),"Female")</f>
        <v>Female</v>
      </c>
      <c r="D2203" s="5" t="str">
        <f ca="1">IFERROR(__xludf.DUMMYFUNCTION("""COMPUTED_VALUE"""),"Student")</f>
        <v>Student</v>
      </c>
      <c r="E2203" s="5">
        <f ca="1">IFERROR(__xludf.DUMMYFUNCTION("""COMPUTED_VALUE"""),17)</f>
        <v>17</v>
      </c>
      <c r="F2203" s="5"/>
    </row>
    <row r="2204" spans="1:6" ht="13">
      <c r="A2204" s="5" t="str">
        <f ca="1">IFERROR(__xludf.DUMMYFUNCTION("""COMPUTED_VALUE"""),"19971201KYHEW")</f>
        <v>19971201KYHEW</v>
      </c>
      <c r="B2204" s="5" t="str">
        <f ca="1">IFERROR(__xludf.DUMMYFUNCTION("""COMPUTED_VALUE"""),"Wounded")</f>
        <v>Wounded</v>
      </c>
      <c r="C2204" s="5" t="str">
        <f ca="1">IFERROR(__xludf.DUMMYFUNCTION("""COMPUTED_VALUE"""),"Female")</f>
        <v>Female</v>
      </c>
      <c r="D2204" s="5" t="str">
        <f ca="1">IFERROR(__xludf.DUMMYFUNCTION("""COMPUTED_VALUE"""),"Student")</f>
        <v>Student</v>
      </c>
      <c r="E2204" s="5">
        <f ca="1">IFERROR(__xludf.DUMMYFUNCTION("""COMPUTED_VALUE"""),17)</f>
        <v>17</v>
      </c>
      <c r="F2204" s="5"/>
    </row>
    <row r="2205" spans="1:6" ht="13">
      <c r="A2205" s="5" t="str">
        <f ca="1">IFERROR(__xludf.DUMMYFUNCTION("""COMPUTED_VALUE"""),"19971201KYHEW")</f>
        <v>19971201KYHEW</v>
      </c>
      <c r="B2205" s="5" t="str">
        <f ca="1">IFERROR(__xludf.DUMMYFUNCTION("""COMPUTED_VALUE"""),"Fatal")</f>
        <v>Fatal</v>
      </c>
      <c r="C2205" s="5" t="str">
        <f ca="1">IFERROR(__xludf.DUMMYFUNCTION("""COMPUTED_VALUE"""),"Female")</f>
        <v>Female</v>
      </c>
      <c r="D2205" s="5" t="str">
        <f ca="1">IFERROR(__xludf.DUMMYFUNCTION("""COMPUTED_VALUE"""),"Student")</f>
        <v>Student</v>
      </c>
      <c r="E2205" s="5">
        <f ca="1">IFERROR(__xludf.DUMMYFUNCTION("""COMPUTED_VALUE"""),14)</f>
        <v>14</v>
      </c>
      <c r="F2205" s="5"/>
    </row>
    <row r="2206" spans="1:6" ht="13">
      <c r="A2206" s="5" t="str">
        <f ca="1">IFERROR(__xludf.DUMMYFUNCTION("""COMPUTED_VALUE"""),"19971201KYHEW")</f>
        <v>19971201KYHEW</v>
      </c>
      <c r="B2206" s="5" t="str">
        <f ca="1">IFERROR(__xludf.DUMMYFUNCTION("""COMPUTED_VALUE"""),"Wounded")</f>
        <v>Wounded</v>
      </c>
      <c r="C2206" s="5" t="str">
        <f ca="1">IFERROR(__xludf.DUMMYFUNCTION("""COMPUTED_VALUE"""),"Female")</f>
        <v>Female</v>
      </c>
      <c r="D2206" s="5" t="str">
        <f ca="1">IFERROR(__xludf.DUMMYFUNCTION("""COMPUTED_VALUE"""),"Student")</f>
        <v>Student</v>
      </c>
      <c r="E2206" s="5">
        <f ca="1">IFERROR(__xludf.DUMMYFUNCTION("""COMPUTED_VALUE"""),16)</f>
        <v>16</v>
      </c>
      <c r="F2206" s="5"/>
    </row>
    <row r="2207" spans="1:6" ht="13">
      <c r="A2207" s="5" t="str">
        <f ca="1">IFERROR(__xludf.DUMMYFUNCTION("""COMPUTED_VALUE"""),"19971201KYHEW")</f>
        <v>19971201KYHEW</v>
      </c>
      <c r="B2207" s="5" t="str">
        <f ca="1">IFERROR(__xludf.DUMMYFUNCTION("""COMPUTED_VALUE"""),"Fatal")</f>
        <v>Fatal</v>
      </c>
      <c r="C2207" s="5" t="str">
        <f ca="1">IFERROR(__xludf.DUMMYFUNCTION("""COMPUTED_VALUE"""),"Female")</f>
        <v>Female</v>
      </c>
      <c r="D2207" s="5" t="str">
        <f ca="1">IFERROR(__xludf.DUMMYFUNCTION("""COMPUTED_VALUE"""),"Student")</f>
        <v>Student</v>
      </c>
      <c r="E2207" s="5">
        <f ca="1">IFERROR(__xludf.DUMMYFUNCTION("""COMPUTED_VALUE"""),17)</f>
        <v>17</v>
      </c>
      <c r="F2207" s="5"/>
    </row>
    <row r="2208" spans="1:6" ht="13">
      <c r="A2208" s="5" t="str">
        <f ca="1">IFERROR(__xludf.DUMMYFUNCTION("""COMPUTED_VALUE"""),"19971201KYHEW")</f>
        <v>19971201KYHEW</v>
      </c>
      <c r="B2208" s="5" t="str">
        <f ca="1">IFERROR(__xludf.DUMMYFUNCTION("""COMPUTED_VALUE"""),"Wounded")</f>
        <v>Wounded</v>
      </c>
      <c r="C2208" s="5" t="str">
        <f ca="1">IFERROR(__xludf.DUMMYFUNCTION("""COMPUTED_VALUE"""),"Female")</f>
        <v>Female</v>
      </c>
      <c r="D2208" s="5" t="str">
        <f ca="1">IFERROR(__xludf.DUMMYFUNCTION("""COMPUTED_VALUE"""),"Student")</f>
        <v>Student</v>
      </c>
      <c r="E2208" s="5">
        <f ca="1">IFERROR(__xludf.DUMMYFUNCTION("""COMPUTED_VALUE"""),14)</f>
        <v>14</v>
      </c>
      <c r="F2208" s="5"/>
    </row>
    <row r="2209" spans="1:6" ht="13">
      <c r="A2209" s="5" t="str">
        <f ca="1">IFERROR(__xludf.DUMMYFUNCTION("""COMPUTED_VALUE"""),"19971201KYHEW")</f>
        <v>19971201KYHEW</v>
      </c>
      <c r="B2209" s="5" t="str">
        <f ca="1">IFERROR(__xludf.DUMMYFUNCTION("""COMPUTED_VALUE"""),"Fatal")</f>
        <v>Fatal</v>
      </c>
      <c r="C2209" s="5" t="str">
        <f ca="1">IFERROR(__xludf.DUMMYFUNCTION("""COMPUTED_VALUE"""),"Female")</f>
        <v>Female</v>
      </c>
      <c r="D2209" s="5" t="str">
        <f ca="1">IFERROR(__xludf.DUMMYFUNCTION("""COMPUTED_VALUE"""),"Student")</f>
        <v>Student</v>
      </c>
      <c r="E2209" s="5">
        <f ca="1">IFERROR(__xludf.DUMMYFUNCTION("""COMPUTED_VALUE"""),15)</f>
        <v>15</v>
      </c>
      <c r="F2209" s="5"/>
    </row>
    <row r="2210" spans="1:6" ht="13">
      <c r="A2210" s="5" t="str">
        <f ca="1">IFERROR(__xludf.DUMMYFUNCTION("""COMPUTED_VALUE"""),"19971201KYHEW")</f>
        <v>19971201KYHEW</v>
      </c>
      <c r="B2210" s="5" t="str">
        <f ca="1">IFERROR(__xludf.DUMMYFUNCTION("""COMPUTED_VALUE"""),"Wounded")</f>
        <v>Wounded</v>
      </c>
      <c r="C2210" s="5" t="str">
        <f ca="1">IFERROR(__xludf.DUMMYFUNCTION("""COMPUTED_VALUE"""),"Male")</f>
        <v>Male</v>
      </c>
      <c r="D2210" s="5" t="str">
        <f ca="1">IFERROR(__xludf.DUMMYFUNCTION("""COMPUTED_VALUE"""),"Student")</f>
        <v>Student</v>
      </c>
      <c r="E2210" s="5">
        <f ca="1">IFERROR(__xludf.DUMMYFUNCTION("""COMPUTED_VALUE"""),15)</f>
        <v>15</v>
      </c>
      <c r="F2210" s="5"/>
    </row>
    <row r="2211" spans="1:6" ht="13">
      <c r="A2211" s="5" t="str">
        <f ca="1">IFERROR(__xludf.DUMMYFUNCTION("""COMPUTED_VALUE"""),"19971201KYHEW")</f>
        <v>19971201KYHEW</v>
      </c>
      <c r="B2211" s="5" t="str">
        <f ca="1">IFERROR(__xludf.DUMMYFUNCTION("""COMPUTED_VALUE"""),"Wounded")</f>
        <v>Wounded</v>
      </c>
      <c r="C2211" s="5" t="str">
        <f ca="1">IFERROR(__xludf.DUMMYFUNCTION("""COMPUTED_VALUE"""),"Female")</f>
        <v>Female</v>
      </c>
      <c r="D2211" s="5" t="str">
        <f ca="1">IFERROR(__xludf.DUMMYFUNCTION("""COMPUTED_VALUE"""),"Student")</f>
        <v>Student</v>
      </c>
      <c r="E2211" s="5">
        <f ca="1">IFERROR(__xludf.DUMMYFUNCTION("""COMPUTED_VALUE"""),16)</f>
        <v>16</v>
      </c>
      <c r="F2211" s="5"/>
    </row>
    <row r="2212" spans="1:6" ht="13">
      <c r="A2212" s="5" t="str">
        <f ca="1">IFERROR(__xludf.DUMMYFUNCTION("""COMPUTED_VALUE"""),"19971113CACRS")</f>
        <v>19971113CACRS</v>
      </c>
      <c r="B2212" s="5" t="str">
        <f ca="1">IFERROR(__xludf.DUMMYFUNCTION("""COMPUTED_VALUE"""),"Fatal")</f>
        <v>Fatal</v>
      </c>
      <c r="C2212" s="5" t="str">
        <f ca="1">IFERROR(__xludf.DUMMYFUNCTION("""COMPUTED_VALUE"""),"Male")</f>
        <v>Male</v>
      </c>
      <c r="D2212" s="5" t="str">
        <f ca="1">IFERROR(__xludf.DUMMYFUNCTION("""COMPUTED_VALUE"""),"Parent")</f>
        <v>Parent</v>
      </c>
      <c r="E2212" s="5">
        <f ca="1">IFERROR(__xludf.DUMMYFUNCTION("""COMPUTED_VALUE"""),47)</f>
        <v>47</v>
      </c>
      <c r="F2212" s="5"/>
    </row>
    <row r="2213" spans="1:6" ht="13">
      <c r="A2213" s="5" t="str">
        <f ca="1">IFERROR(__xludf.DUMMYFUNCTION("""COMPUTED_VALUE"""),"19971107FLRIJ")</f>
        <v>19971107FLRIJ</v>
      </c>
      <c r="B2213" s="5" t="str">
        <f ca="1">IFERROR(__xludf.DUMMYFUNCTION("""COMPUTED_VALUE"""),"Fatal")</f>
        <v>Fatal</v>
      </c>
      <c r="C2213" s="5" t="str">
        <f ca="1">IFERROR(__xludf.DUMMYFUNCTION("""COMPUTED_VALUE"""),"Male")</f>
        <v>Male</v>
      </c>
      <c r="D2213" s="5" t="str">
        <f ca="1">IFERROR(__xludf.DUMMYFUNCTION("""COMPUTED_VALUE"""),"Student")</f>
        <v>Student</v>
      </c>
      <c r="E2213" s="5">
        <f ca="1">IFERROR(__xludf.DUMMYFUNCTION("""COMPUTED_VALUE"""),14)</f>
        <v>14</v>
      </c>
      <c r="F2213" s="5"/>
    </row>
    <row r="2214" spans="1:6" ht="13">
      <c r="A2214" s="5" t="str">
        <f ca="1">IFERROR(__xludf.DUMMYFUNCTION("""COMPUTED_VALUE"""),"19971107FLRIJ")</f>
        <v>19971107FLRIJ</v>
      </c>
      <c r="B2214" s="5" t="str">
        <f ca="1">IFERROR(__xludf.DUMMYFUNCTION("""COMPUTED_VALUE"""),"Wounded")</f>
        <v>Wounded</v>
      </c>
      <c r="C2214" s="5" t="str">
        <f ca="1">IFERROR(__xludf.DUMMYFUNCTION("""COMPUTED_VALUE"""),"Male")</f>
        <v>Male</v>
      </c>
      <c r="D2214" s="5" t="str">
        <f ca="1">IFERROR(__xludf.DUMMYFUNCTION("""COMPUTED_VALUE"""),"Student")</f>
        <v>Student</v>
      </c>
      <c r="E2214" s="5">
        <f ca="1">IFERROR(__xludf.DUMMYFUNCTION("""COMPUTED_VALUE"""),17)</f>
        <v>17</v>
      </c>
      <c r="F2214" s="5"/>
    </row>
    <row r="2215" spans="1:6" ht="13">
      <c r="A2215" s="5" t="str">
        <f ca="1">IFERROR(__xludf.DUMMYFUNCTION("""COMPUTED_VALUE"""),"19971022CAJON")</f>
        <v>19971022CAJON</v>
      </c>
      <c r="B2215" s="5" t="str">
        <f ca="1">IFERROR(__xludf.DUMMYFUNCTION("""COMPUTED_VALUE"""),"Fatal")</f>
        <v>Fatal</v>
      </c>
      <c r="C2215" s="5" t="str">
        <f ca="1">IFERROR(__xludf.DUMMYFUNCTION("""COMPUTED_VALUE"""),"Female")</f>
        <v>Female</v>
      </c>
      <c r="D2215" s="5" t="str">
        <f ca="1">IFERROR(__xludf.DUMMYFUNCTION("""COMPUTED_VALUE"""),"Student")</f>
        <v>Student</v>
      </c>
      <c r="E2215" s="5">
        <f ca="1">IFERROR(__xludf.DUMMYFUNCTION("""COMPUTED_VALUE"""),16)</f>
        <v>16</v>
      </c>
      <c r="F2215" s="5"/>
    </row>
    <row r="2216" spans="1:6" ht="13">
      <c r="A2216" s="5" t="str">
        <f ca="1">IFERROR(__xludf.DUMMYFUNCTION("""COMPUTED_VALUE"""),"19971020CAMCO")</f>
        <v>19971020CAMCO</v>
      </c>
      <c r="B2216" s="5" t="str">
        <f ca="1">IFERROR(__xludf.DUMMYFUNCTION("""COMPUTED_VALUE"""),"Fatal")</f>
        <v>Fatal</v>
      </c>
      <c r="C2216" s="5" t="str">
        <f ca="1">IFERROR(__xludf.DUMMYFUNCTION("""COMPUTED_VALUE"""),"Female")</f>
        <v>Female</v>
      </c>
      <c r="D2216" s="5" t="str">
        <f ca="1">IFERROR(__xludf.DUMMYFUNCTION("""COMPUTED_VALUE"""),"Student")</f>
        <v>Student</v>
      </c>
      <c r="E2216" s="5">
        <f ca="1">IFERROR(__xludf.DUMMYFUNCTION("""COMPUTED_VALUE"""),16)</f>
        <v>16</v>
      </c>
      <c r="F2216" s="5"/>
    </row>
    <row r="2217" spans="1:6" ht="13">
      <c r="A2217" s="5" t="str">
        <f ca="1">IFERROR(__xludf.DUMMYFUNCTION("""COMPUTED_VALUE"""),"19971020CAMCO")</f>
        <v>19971020CAMCO</v>
      </c>
      <c r="B2217" s="5" t="str">
        <f ca="1">IFERROR(__xludf.DUMMYFUNCTION("""COMPUTED_VALUE"""),"Wounded")</f>
        <v>Wounded</v>
      </c>
      <c r="C2217" s="5" t="str">
        <f ca="1">IFERROR(__xludf.DUMMYFUNCTION("""COMPUTED_VALUE"""),"Female")</f>
        <v>Female</v>
      </c>
      <c r="D2217" s="5" t="str">
        <f ca="1">IFERROR(__xludf.DUMMYFUNCTION("""COMPUTED_VALUE"""),"Student")</f>
        <v>Student</v>
      </c>
      <c r="E2217" s="5">
        <f ca="1">IFERROR(__xludf.DUMMYFUNCTION("""COMPUTED_VALUE"""),16)</f>
        <v>16</v>
      </c>
      <c r="F2217" s="5"/>
    </row>
    <row r="2218" spans="1:6" ht="13">
      <c r="A2218" s="5" t="str">
        <f ca="1">IFERROR(__xludf.DUMMYFUNCTION("""COMPUTED_VALUE"""),"19971020CAMCO")</f>
        <v>19971020CAMCO</v>
      </c>
      <c r="B2218" s="5" t="str">
        <f ca="1">IFERROR(__xludf.DUMMYFUNCTION("""COMPUTED_VALUE"""),"Wounded")</f>
        <v>Wounded</v>
      </c>
      <c r="C2218" s="5" t="str">
        <f ca="1">IFERROR(__xludf.DUMMYFUNCTION("""COMPUTED_VALUE"""),"Male")</f>
        <v>Male</v>
      </c>
      <c r="D2218" s="5"/>
      <c r="E2218" s="5">
        <f ca="1">IFERROR(__xludf.DUMMYFUNCTION("""COMPUTED_VALUE"""),22)</f>
        <v>22</v>
      </c>
      <c r="F2218" s="5"/>
    </row>
    <row r="2219" spans="1:6" ht="13">
      <c r="A2219" s="5" t="str">
        <f ca="1">IFERROR(__xludf.DUMMYFUNCTION("""COMPUTED_VALUE"""),"19971015FLLIP")</f>
        <v>19971015FLLIP</v>
      </c>
      <c r="B2219" s="5" t="str">
        <f ca="1">IFERROR(__xludf.DUMMYFUNCTION("""COMPUTED_VALUE"""),"Wounded")</f>
        <v>Wounded</v>
      </c>
      <c r="C2219" s="5" t="str">
        <f ca="1">IFERROR(__xludf.DUMMYFUNCTION("""COMPUTED_VALUE"""),"Male")</f>
        <v>Male</v>
      </c>
      <c r="D2219" s="5" t="str">
        <f ca="1">IFERROR(__xludf.DUMMYFUNCTION("""COMPUTED_VALUE"""),"Student")</f>
        <v>Student</v>
      </c>
      <c r="E2219" s="5">
        <f ca="1">IFERROR(__xludf.DUMMYFUNCTION("""COMPUTED_VALUE"""),13)</f>
        <v>13</v>
      </c>
      <c r="F2219" s="5"/>
    </row>
    <row r="2220" spans="1:6" ht="13">
      <c r="A2220" s="5" t="str">
        <f ca="1">IFERROR(__xludf.DUMMYFUNCTION("""COMPUTED_VALUE"""),"19971014TXLAG")</f>
        <v>19971014TXLAG</v>
      </c>
      <c r="B2220" s="5" t="str">
        <f ca="1">IFERROR(__xludf.DUMMYFUNCTION("""COMPUTED_VALUE"""),"None")</f>
        <v>None</v>
      </c>
      <c r="C2220" s="5" t="str">
        <f ca="1">IFERROR(__xludf.DUMMYFUNCTION("""COMPUTED_VALUE"""),"Male")</f>
        <v>Male</v>
      </c>
      <c r="D2220" s="5" t="str">
        <f ca="1">IFERROR(__xludf.DUMMYFUNCTION("""COMPUTED_VALUE"""),"Student")</f>
        <v>Student</v>
      </c>
      <c r="E2220" s="5">
        <f ca="1">IFERROR(__xludf.DUMMYFUNCTION("""COMPUTED_VALUE"""),19)</f>
        <v>19</v>
      </c>
      <c r="F2220" s="5"/>
    </row>
    <row r="2221" spans="1:6" ht="13">
      <c r="A2221" s="5" t="str">
        <f ca="1">IFERROR(__xludf.DUMMYFUNCTION("""COMPUTED_VALUE"""),"19971010INWAG")</f>
        <v>19971010INWAG</v>
      </c>
      <c r="B2221" s="5" t="str">
        <f ca="1">IFERROR(__xludf.DUMMYFUNCTION("""COMPUTED_VALUE"""),"Fatal")</f>
        <v>Fatal</v>
      </c>
      <c r="C2221" s="5" t="str">
        <f ca="1">IFERROR(__xludf.DUMMYFUNCTION("""COMPUTED_VALUE"""),"Female")</f>
        <v>Female</v>
      </c>
      <c r="D2221" s="5" t="str">
        <f ca="1">IFERROR(__xludf.DUMMYFUNCTION("""COMPUTED_VALUE"""),"Student")</f>
        <v>Student</v>
      </c>
      <c r="E2221" s="5" t="str">
        <f ca="1">IFERROR(__xludf.DUMMYFUNCTION("""COMPUTED_VALUE"""),"Teen")</f>
        <v>Teen</v>
      </c>
      <c r="F2221" s="5"/>
    </row>
    <row r="2222" spans="1:6" ht="13">
      <c r="A2222" s="5" t="str">
        <f ca="1">IFERROR(__xludf.DUMMYFUNCTION("""COMPUTED_VALUE"""),"19971010INWAG")</f>
        <v>19971010INWAG</v>
      </c>
      <c r="B2222" s="5" t="str">
        <f ca="1">IFERROR(__xludf.DUMMYFUNCTION("""COMPUTED_VALUE"""),"Wounded")</f>
        <v>Wounded</v>
      </c>
      <c r="C2222" s="5" t="str">
        <f ca="1">IFERROR(__xludf.DUMMYFUNCTION("""COMPUTED_VALUE"""),"Female")</f>
        <v>Female</v>
      </c>
      <c r="D2222" s="5" t="str">
        <f ca="1">IFERROR(__xludf.DUMMYFUNCTION("""COMPUTED_VALUE"""),"Student")</f>
        <v>Student</v>
      </c>
      <c r="E2222" s="5">
        <f ca="1">IFERROR(__xludf.DUMMYFUNCTION("""COMPUTED_VALUE"""),16)</f>
        <v>16</v>
      </c>
      <c r="F2222" s="5"/>
    </row>
    <row r="2223" spans="1:6" ht="13">
      <c r="A2223" s="5" t="str">
        <f ca="1">IFERROR(__xludf.DUMMYFUNCTION("""COMPUTED_VALUE"""),"19971010INWAG")</f>
        <v>19971010INWAG</v>
      </c>
      <c r="B2223" s="5" t="str">
        <f ca="1">IFERROR(__xludf.DUMMYFUNCTION("""COMPUTED_VALUE"""),"Wounded")</f>
        <v>Wounded</v>
      </c>
      <c r="C2223" s="5" t="str">
        <f ca="1">IFERROR(__xludf.DUMMYFUNCTION("""COMPUTED_VALUE"""),"Male")</f>
        <v>Male</v>
      </c>
      <c r="D2223" s="5" t="str">
        <f ca="1">IFERROR(__xludf.DUMMYFUNCTION("""COMPUTED_VALUE"""),"Student")</f>
        <v>Student</v>
      </c>
      <c r="E2223" s="5">
        <f ca="1">IFERROR(__xludf.DUMMYFUNCTION("""COMPUTED_VALUE"""),19)</f>
        <v>19</v>
      </c>
      <c r="F2223" s="5"/>
    </row>
    <row r="2224" spans="1:6" ht="13">
      <c r="A2224" s="5" t="str">
        <f ca="1">IFERROR(__xludf.DUMMYFUNCTION("""COMPUTED_VALUE"""),"19971005OKMOO")</f>
        <v>19971005OKMOO</v>
      </c>
      <c r="B2224" s="5" t="str">
        <f ca="1">IFERROR(__xludf.DUMMYFUNCTION("""COMPUTED_VALUE"""),"Wounded")</f>
        <v>Wounded</v>
      </c>
      <c r="C2224" s="5" t="str">
        <f ca="1">IFERROR(__xludf.DUMMYFUNCTION("""COMPUTED_VALUE"""),"Male")</f>
        <v>Male</v>
      </c>
      <c r="D2224" s="5" t="str">
        <f ca="1">IFERROR(__xludf.DUMMYFUNCTION("""COMPUTED_VALUE"""),"Unknown")</f>
        <v>Unknown</v>
      </c>
      <c r="E2224" s="5">
        <f ca="1">IFERROR(__xludf.DUMMYFUNCTION("""COMPUTED_VALUE"""),17)</f>
        <v>17</v>
      </c>
      <c r="F2224" s="5"/>
    </row>
    <row r="2225" spans="1:6" ht="13">
      <c r="A2225" s="5" t="str">
        <f ca="1">IFERROR(__xludf.DUMMYFUNCTION("""COMPUTED_VALUE"""),"19971001MSPEP")</f>
        <v>19971001MSPEP</v>
      </c>
      <c r="B2225" s="5" t="str">
        <f ca="1">IFERROR(__xludf.DUMMYFUNCTION("""COMPUTED_VALUE"""),"Wounded")</f>
        <v>Wounded</v>
      </c>
      <c r="C2225" s="5"/>
      <c r="D2225" s="5" t="str">
        <f ca="1">IFERROR(__xludf.DUMMYFUNCTION("""COMPUTED_VALUE"""),"Student")</f>
        <v>Student</v>
      </c>
      <c r="E2225" s="5" t="str">
        <f ca="1">IFERROR(__xludf.DUMMYFUNCTION("""COMPUTED_VALUE"""),"Teen")</f>
        <v>Teen</v>
      </c>
      <c r="F2225" s="5"/>
    </row>
    <row r="2226" spans="1:6" ht="13">
      <c r="A2226" s="5" t="str">
        <f ca="1">IFERROR(__xludf.DUMMYFUNCTION("""COMPUTED_VALUE"""),"19971001MSPEP")</f>
        <v>19971001MSPEP</v>
      </c>
      <c r="B2226" s="5" t="str">
        <f ca="1">IFERROR(__xludf.DUMMYFUNCTION("""COMPUTED_VALUE"""),"Fatal")</f>
        <v>Fatal</v>
      </c>
      <c r="C2226" s="5" t="str">
        <f ca="1">IFERROR(__xludf.DUMMYFUNCTION("""COMPUTED_VALUE"""),"Female")</f>
        <v>Female</v>
      </c>
      <c r="D2226" s="5" t="str">
        <f ca="1">IFERROR(__xludf.DUMMYFUNCTION("""COMPUTED_VALUE"""),"Student")</f>
        <v>Student</v>
      </c>
      <c r="E2226" s="5">
        <f ca="1">IFERROR(__xludf.DUMMYFUNCTION("""COMPUTED_VALUE"""),16)</f>
        <v>16</v>
      </c>
      <c r="F2226" s="5"/>
    </row>
    <row r="2227" spans="1:6" ht="13">
      <c r="A2227" s="5" t="str">
        <f ca="1">IFERROR(__xludf.DUMMYFUNCTION("""COMPUTED_VALUE"""),"19971001MSPEP")</f>
        <v>19971001MSPEP</v>
      </c>
      <c r="B2227" s="5" t="str">
        <f ca="1">IFERROR(__xludf.DUMMYFUNCTION("""COMPUTED_VALUE"""),"Wounded")</f>
        <v>Wounded</v>
      </c>
      <c r="C2227" s="5"/>
      <c r="D2227" s="5" t="str">
        <f ca="1">IFERROR(__xludf.DUMMYFUNCTION("""COMPUTED_VALUE"""),"Student")</f>
        <v>Student</v>
      </c>
      <c r="E2227" s="5" t="str">
        <f ca="1">IFERROR(__xludf.DUMMYFUNCTION("""COMPUTED_VALUE"""),"Teen")</f>
        <v>Teen</v>
      </c>
      <c r="F2227" s="5"/>
    </row>
    <row r="2228" spans="1:6" ht="13">
      <c r="A2228" s="5" t="str">
        <f ca="1">IFERROR(__xludf.DUMMYFUNCTION("""COMPUTED_VALUE"""),"19971001MSPEP")</f>
        <v>19971001MSPEP</v>
      </c>
      <c r="B2228" s="5" t="str">
        <f ca="1">IFERROR(__xludf.DUMMYFUNCTION("""COMPUTED_VALUE"""),"Fatal")</f>
        <v>Fatal</v>
      </c>
      <c r="C2228" s="5" t="str">
        <f ca="1">IFERROR(__xludf.DUMMYFUNCTION("""COMPUTED_VALUE"""),"Female")</f>
        <v>Female</v>
      </c>
      <c r="D2228" s="5" t="str">
        <f ca="1">IFERROR(__xludf.DUMMYFUNCTION("""COMPUTED_VALUE"""),"Student")</f>
        <v>Student</v>
      </c>
      <c r="E2228" s="5">
        <f ca="1">IFERROR(__xludf.DUMMYFUNCTION("""COMPUTED_VALUE"""),17)</f>
        <v>17</v>
      </c>
      <c r="F2228" s="5"/>
    </row>
    <row r="2229" spans="1:6" ht="13">
      <c r="A2229" s="5" t="str">
        <f ca="1">IFERROR(__xludf.DUMMYFUNCTION("""COMPUTED_VALUE"""),"19971001MSPEP")</f>
        <v>19971001MSPEP</v>
      </c>
      <c r="B2229" s="5" t="str">
        <f ca="1">IFERROR(__xludf.DUMMYFUNCTION("""COMPUTED_VALUE"""),"Wounded")</f>
        <v>Wounded</v>
      </c>
      <c r="C2229" s="5"/>
      <c r="D2229" s="5" t="str">
        <f ca="1">IFERROR(__xludf.DUMMYFUNCTION("""COMPUTED_VALUE"""),"Student")</f>
        <v>Student</v>
      </c>
      <c r="E2229" s="5" t="str">
        <f ca="1">IFERROR(__xludf.DUMMYFUNCTION("""COMPUTED_VALUE"""),"Teen")</f>
        <v>Teen</v>
      </c>
      <c r="F2229" s="5"/>
    </row>
    <row r="2230" spans="1:6" ht="13">
      <c r="A2230" s="5" t="str">
        <f ca="1">IFERROR(__xludf.DUMMYFUNCTION("""COMPUTED_VALUE"""),"19971001MSPEP")</f>
        <v>19971001MSPEP</v>
      </c>
      <c r="B2230" s="5" t="str">
        <f ca="1">IFERROR(__xludf.DUMMYFUNCTION("""COMPUTED_VALUE"""),"Wounded")</f>
        <v>Wounded</v>
      </c>
      <c r="C2230" s="5"/>
      <c r="D2230" s="5" t="str">
        <f ca="1">IFERROR(__xludf.DUMMYFUNCTION("""COMPUTED_VALUE"""),"Student")</f>
        <v>Student</v>
      </c>
      <c r="E2230" s="5" t="str">
        <f ca="1">IFERROR(__xludf.DUMMYFUNCTION("""COMPUTED_VALUE"""),"Teen")</f>
        <v>Teen</v>
      </c>
      <c r="F2230" s="5"/>
    </row>
    <row r="2231" spans="1:6" ht="13">
      <c r="A2231" s="5" t="str">
        <f ca="1">IFERROR(__xludf.DUMMYFUNCTION("""COMPUTED_VALUE"""),"19971001MSPEP")</f>
        <v>19971001MSPEP</v>
      </c>
      <c r="B2231" s="5" t="str">
        <f ca="1">IFERROR(__xludf.DUMMYFUNCTION("""COMPUTED_VALUE"""),"Wounded")</f>
        <v>Wounded</v>
      </c>
      <c r="C2231" s="5"/>
      <c r="D2231" s="5" t="str">
        <f ca="1">IFERROR(__xludf.DUMMYFUNCTION("""COMPUTED_VALUE"""),"Student")</f>
        <v>Student</v>
      </c>
      <c r="E2231" s="5" t="str">
        <f ca="1">IFERROR(__xludf.DUMMYFUNCTION("""COMPUTED_VALUE"""),"Teen")</f>
        <v>Teen</v>
      </c>
      <c r="F2231" s="5"/>
    </row>
    <row r="2232" spans="1:6" ht="13">
      <c r="A2232" s="5" t="str">
        <f ca="1">IFERROR(__xludf.DUMMYFUNCTION("""COMPUTED_VALUE"""),"19971001MSPEP")</f>
        <v>19971001MSPEP</v>
      </c>
      <c r="B2232" s="5" t="str">
        <f ca="1">IFERROR(__xludf.DUMMYFUNCTION("""COMPUTED_VALUE"""),"Wounded")</f>
        <v>Wounded</v>
      </c>
      <c r="C2232" s="5"/>
      <c r="D2232" s="5" t="str">
        <f ca="1">IFERROR(__xludf.DUMMYFUNCTION("""COMPUTED_VALUE"""),"Student")</f>
        <v>Student</v>
      </c>
      <c r="E2232" s="5" t="str">
        <f ca="1">IFERROR(__xludf.DUMMYFUNCTION("""COMPUTED_VALUE"""),"Teen")</f>
        <v>Teen</v>
      </c>
      <c r="F2232" s="5"/>
    </row>
    <row r="2233" spans="1:6" ht="13">
      <c r="A2233" s="5" t="str">
        <f ca="1">IFERROR(__xludf.DUMMYFUNCTION("""COMPUTED_VALUE"""),"19971001MSPEP")</f>
        <v>19971001MSPEP</v>
      </c>
      <c r="B2233" s="5" t="str">
        <f ca="1">IFERROR(__xludf.DUMMYFUNCTION("""COMPUTED_VALUE"""),"Wounded")</f>
        <v>Wounded</v>
      </c>
      <c r="C2233" s="5"/>
      <c r="D2233" s="5" t="str">
        <f ca="1">IFERROR(__xludf.DUMMYFUNCTION("""COMPUTED_VALUE"""),"Student")</f>
        <v>Student</v>
      </c>
      <c r="E2233" s="5" t="str">
        <f ca="1">IFERROR(__xludf.DUMMYFUNCTION("""COMPUTED_VALUE"""),"Teen")</f>
        <v>Teen</v>
      </c>
      <c r="F2233" s="5"/>
    </row>
    <row r="2234" spans="1:6" ht="13">
      <c r="A2234" s="5" t="str">
        <f ca="1">IFERROR(__xludf.DUMMYFUNCTION("""COMPUTED_VALUE"""),"19970624ALJEM")</f>
        <v>19970624ALJEM</v>
      </c>
      <c r="B2234" s="5" t="str">
        <f ca="1">IFERROR(__xludf.DUMMYFUNCTION("""COMPUTED_VALUE"""),"Fatal")</f>
        <v>Fatal</v>
      </c>
      <c r="C2234" s="5" t="str">
        <f ca="1">IFERROR(__xludf.DUMMYFUNCTION("""COMPUTED_VALUE"""),"Male")</f>
        <v>Male</v>
      </c>
      <c r="D2234" s="5" t="str">
        <f ca="1">IFERROR(__xludf.DUMMYFUNCTION("""COMPUTED_VALUE"""),"Student")</f>
        <v>Student</v>
      </c>
      <c r="E2234" s="5">
        <f ca="1">IFERROR(__xludf.DUMMYFUNCTION("""COMPUTED_VALUE"""),18)</f>
        <v>18</v>
      </c>
      <c r="F2234" s="5"/>
    </row>
    <row r="2235" spans="1:6" ht="13">
      <c r="A2235" s="5" t="str">
        <f ca="1">IFERROR(__xludf.DUMMYFUNCTION("""COMPUTED_VALUE"""),"19970520OHDUD")</f>
        <v>19970520OHDUD</v>
      </c>
      <c r="B2235" s="5" t="str">
        <f ca="1">IFERROR(__xludf.DUMMYFUNCTION("""COMPUTED_VALUE"""),"Wounded")</f>
        <v>Wounded</v>
      </c>
      <c r="C2235" s="5" t="str">
        <f ca="1">IFERROR(__xludf.DUMMYFUNCTION("""COMPUTED_VALUE"""),"Male")</f>
        <v>Male</v>
      </c>
      <c r="D2235" s="5" t="str">
        <f ca="1">IFERROR(__xludf.DUMMYFUNCTION("""COMPUTED_VALUE"""),"Student")</f>
        <v>Student</v>
      </c>
      <c r="E2235" s="5">
        <f ca="1">IFERROR(__xludf.DUMMYFUNCTION("""COMPUTED_VALUE"""),16)</f>
        <v>16</v>
      </c>
      <c r="F2235" s="5"/>
    </row>
    <row r="2236" spans="1:6" ht="13">
      <c r="A2236" s="5" t="str">
        <f ca="1">IFERROR(__xludf.DUMMYFUNCTION("""COMPUTED_VALUE"""),"19970513FLNOM")</f>
        <v>19970513FLNOM</v>
      </c>
      <c r="B2236" s="5" t="str">
        <f ca="1">IFERROR(__xludf.DUMMYFUNCTION("""COMPUTED_VALUE"""),"Wounded")</f>
        <v>Wounded</v>
      </c>
      <c r="C2236" s="5" t="str">
        <f ca="1">IFERROR(__xludf.DUMMYFUNCTION("""COMPUTED_VALUE"""),"Male")</f>
        <v>Male</v>
      </c>
      <c r="D2236" s="5" t="str">
        <f ca="1">IFERROR(__xludf.DUMMYFUNCTION("""COMPUTED_VALUE"""),"Student")</f>
        <v>Student</v>
      </c>
      <c r="E2236" s="5">
        <f ca="1">IFERROR(__xludf.DUMMYFUNCTION("""COMPUTED_VALUE"""),14)</f>
        <v>14</v>
      </c>
      <c r="F2236" s="5"/>
    </row>
    <row r="2237" spans="1:6" ht="13">
      <c r="A2237" s="5" t="str">
        <f ca="1">IFERROR(__xludf.DUMMYFUNCTION("""COMPUTED_VALUE"""),"19970430NYCIN")</f>
        <v>19970430NYCIN</v>
      </c>
      <c r="B2237" s="5" t="str">
        <f ca="1">IFERROR(__xludf.DUMMYFUNCTION("""COMPUTED_VALUE"""),"Fatal")</f>
        <v>Fatal</v>
      </c>
      <c r="C2237" s="5" t="str">
        <f ca="1">IFERROR(__xludf.DUMMYFUNCTION("""COMPUTED_VALUE"""),"Male")</f>
        <v>Male</v>
      </c>
      <c r="D2237" s="5" t="str">
        <f ca="1">IFERROR(__xludf.DUMMYFUNCTION("""COMPUTED_VALUE"""),"Student")</f>
        <v>Student</v>
      </c>
      <c r="E2237" s="5">
        <f ca="1">IFERROR(__xludf.DUMMYFUNCTION("""COMPUTED_VALUE"""),19)</f>
        <v>19</v>
      </c>
      <c r="F2237" s="5"/>
    </row>
    <row r="2238" spans="1:6" ht="13">
      <c r="A2238" s="5" t="str">
        <f ca="1">IFERROR(__xludf.DUMMYFUNCTION("""COMPUTED_VALUE"""),"19970428CAJOL")</f>
        <v>19970428CAJOL</v>
      </c>
      <c r="B2238" s="5" t="str">
        <f ca="1">IFERROR(__xludf.DUMMYFUNCTION("""COMPUTED_VALUE"""),"Fatal")</f>
        <v>Fatal</v>
      </c>
      <c r="C2238" s="5" t="str">
        <f ca="1">IFERROR(__xludf.DUMMYFUNCTION("""COMPUTED_VALUE"""),"Male")</f>
        <v>Male</v>
      </c>
      <c r="D2238" s="5" t="str">
        <f ca="1">IFERROR(__xludf.DUMMYFUNCTION("""COMPUTED_VALUE"""),"Student")</f>
        <v>Student</v>
      </c>
      <c r="E2238" s="5">
        <f ca="1">IFERROR(__xludf.DUMMYFUNCTION("""COMPUTED_VALUE"""),17)</f>
        <v>17</v>
      </c>
      <c r="F2238" s="5"/>
    </row>
    <row r="2239" spans="1:6" ht="13">
      <c r="A2239" s="5" t="str">
        <f ca="1">IFERROR(__xludf.DUMMYFUNCTION("""COMPUTED_VALUE"""),"19970403CAMAM")</f>
        <v>19970403CAMAM</v>
      </c>
      <c r="B2239" s="5" t="str">
        <f ca="1">IFERROR(__xludf.DUMMYFUNCTION("""COMPUTED_VALUE"""),"Fatal")</f>
        <v>Fatal</v>
      </c>
      <c r="C2239" s="5" t="str">
        <f ca="1">IFERROR(__xludf.DUMMYFUNCTION("""COMPUTED_VALUE"""),"Male")</f>
        <v>Male</v>
      </c>
      <c r="D2239" s="5" t="str">
        <f ca="1">IFERROR(__xludf.DUMMYFUNCTION("""COMPUTED_VALUE"""),"Student")</f>
        <v>Student</v>
      </c>
      <c r="E2239" s="5">
        <f ca="1">IFERROR(__xludf.DUMMYFUNCTION("""COMPUTED_VALUE"""),14)</f>
        <v>14</v>
      </c>
      <c r="F2239" s="5"/>
    </row>
    <row r="2240" spans="1:6" ht="13">
      <c r="A2240" s="5" t="str">
        <f ca="1">IFERROR(__xludf.DUMMYFUNCTION("""COMPUTED_VALUE"""),"19970317MIPED")</f>
        <v>19970317MIPED</v>
      </c>
      <c r="B2240" s="5" t="str">
        <f ca="1">IFERROR(__xludf.DUMMYFUNCTION("""COMPUTED_VALUE"""),"Fatal")</f>
        <v>Fatal</v>
      </c>
      <c r="C2240" s="5" t="str">
        <f ca="1">IFERROR(__xludf.DUMMYFUNCTION("""COMPUTED_VALUE"""),"Male")</f>
        <v>Male</v>
      </c>
      <c r="D2240" s="5" t="str">
        <f ca="1">IFERROR(__xludf.DUMMYFUNCTION("""COMPUTED_VALUE"""),"Student")</f>
        <v>Student</v>
      </c>
      <c r="E2240" s="5">
        <f ca="1">IFERROR(__xludf.DUMMYFUNCTION("""COMPUTED_VALUE"""),16)</f>
        <v>16</v>
      </c>
      <c r="F2240" s="5"/>
    </row>
    <row r="2241" spans="1:6" ht="13">
      <c r="A2241" s="5" t="str">
        <f ca="1">IFERROR(__xludf.DUMMYFUNCTION("""COMPUTED_VALUE"""),"19970221NVRAL")</f>
        <v>19970221NVRAL</v>
      </c>
      <c r="B2241" s="5" t="str">
        <f ca="1">IFERROR(__xludf.DUMMYFUNCTION("""COMPUTED_VALUE"""),"Wounded")</f>
        <v>Wounded</v>
      </c>
      <c r="C2241" s="5" t="str">
        <f ca="1">IFERROR(__xludf.DUMMYFUNCTION("""COMPUTED_VALUE"""),"Male")</f>
        <v>Male</v>
      </c>
      <c r="D2241" s="5" t="str">
        <f ca="1">IFERROR(__xludf.DUMMYFUNCTION("""COMPUTED_VALUE"""),"Student")</f>
        <v>Student</v>
      </c>
      <c r="E2241" s="5">
        <f ca="1">IFERROR(__xludf.DUMMYFUNCTION("""COMPUTED_VALUE"""),16)</f>
        <v>16</v>
      </c>
      <c r="F2241" s="5" t="str">
        <f ca="1">IFERROR(__xludf.DUMMYFUNCTION("""COMPUTED_VALUE"""),"Hispanic")</f>
        <v>Hispanic</v>
      </c>
    </row>
    <row r="2242" spans="1:6" ht="13">
      <c r="A2242" s="5" t="str">
        <f ca="1">IFERROR(__xludf.DUMMYFUNCTION("""COMPUTED_VALUE"""),"19970220FLFIJ")</f>
        <v>19970220FLFIJ</v>
      </c>
      <c r="B2242" s="5" t="str">
        <f ca="1">IFERROR(__xludf.DUMMYFUNCTION("""COMPUTED_VALUE"""),"None")</f>
        <v>None</v>
      </c>
      <c r="C2242" s="5" t="str">
        <f ca="1">IFERROR(__xludf.DUMMYFUNCTION("""COMPUTED_VALUE"""),"Female")</f>
        <v>Female</v>
      </c>
      <c r="D2242" s="5" t="str">
        <f ca="1">IFERROR(__xludf.DUMMYFUNCTION("""COMPUTED_VALUE"""),"Student")</f>
        <v>Student</v>
      </c>
      <c r="E2242" s="5">
        <f ca="1">IFERROR(__xludf.DUMMYFUNCTION("""COMPUTED_VALUE"""),17)</f>
        <v>17</v>
      </c>
      <c r="F2242" s="5"/>
    </row>
    <row r="2243" spans="1:6" ht="13">
      <c r="A2243" s="5" t="str">
        <f ca="1">IFERROR(__xludf.DUMMYFUNCTION("""COMPUTED_VALUE"""),"19970219AKBEB")</f>
        <v>19970219AKBEB</v>
      </c>
      <c r="B2243" s="5" t="str">
        <f ca="1">IFERROR(__xludf.DUMMYFUNCTION("""COMPUTED_VALUE"""),"Fatal")</f>
        <v>Fatal</v>
      </c>
      <c r="C2243" s="5" t="str">
        <f ca="1">IFERROR(__xludf.DUMMYFUNCTION("""COMPUTED_VALUE"""),"Male")</f>
        <v>Male</v>
      </c>
      <c r="D2243" s="5" t="str">
        <f ca="1">IFERROR(__xludf.DUMMYFUNCTION("""COMPUTED_VALUE"""),"Other Staff")</f>
        <v>Other Staff</v>
      </c>
      <c r="E2243" s="5">
        <f ca="1">IFERROR(__xludf.DUMMYFUNCTION("""COMPUTED_VALUE"""),50)</f>
        <v>50</v>
      </c>
      <c r="F2243" s="5"/>
    </row>
    <row r="2244" spans="1:6" ht="13">
      <c r="A2244" s="5" t="str">
        <f ca="1">IFERROR(__xludf.DUMMYFUNCTION("""COMPUTED_VALUE"""),"19970219AKBEB")</f>
        <v>19970219AKBEB</v>
      </c>
      <c r="B2244" s="5" t="str">
        <f ca="1">IFERROR(__xludf.DUMMYFUNCTION("""COMPUTED_VALUE"""),"Wounded")</f>
        <v>Wounded</v>
      </c>
      <c r="C2244" s="5" t="str">
        <f ca="1">IFERROR(__xludf.DUMMYFUNCTION("""COMPUTED_VALUE"""),"Male")</f>
        <v>Male</v>
      </c>
      <c r="D2244" s="5" t="str">
        <f ca="1">IFERROR(__xludf.DUMMYFUNCTION("""COMPUTED_VALUE"""),"Student")</f>
        <v>Student</v>
      </c>
      <c r="E2244" s="5">
        <f ca="1">IFERROR(__xludf.DUMMYFUNCTION("""COMPUTED_VALUE"""),14)</f>
        <v>14</v>
      </c>
      <c r="F2244" s="5"/>
    </row>
    <row r="2245" spans="1:6" ht="13">
      <c r="A2245" s="5" t="str">
        <f ca="1">IFERROR(__xludf.DUMMYFUNCTION("""COMPUTED_VALUE"""),"19970219AKBEB")</f>
        <v>19970219AKBEB</v>
      </c>
      <c r="B2245" s="5" t="str">
        <f ca="1">IFERROR(__xludf.DUMMYFUNCTION("""COMPUTED_VALUE"""),"Fatal")</f>
        <v>Fatal</v>
      </c>
      <c r="C2245" s="5" t="str">
        <f ca="1">IFERROR(__xludf.DUMMYFUNCTION("""COMPUTED_VALUE"""),"Male")</f>
        <v>Male</v>
      </c>
      <c r="D2245" s="5" t="str">
        <f ca="1">IFERROR(__xludf.DUMMYFUNCTION("""COMPUTED_VALUE"""),"Student")</f>
        <v>Student</v>
      </c>
      <c r="E2245" s="5">
        <f ca="1">IFERROR(__xludf.DUMMYFUNCTION("""COMPUTED_VALUE"""),15)</f>
        <v>15</v>
      </c>
      <c r="F2245" s="5"/>
    </row>
    <row r="2246" spans="1:6" ht="13">
      <c r="A2246" s="5" t="str">
        <f ca="1">IFERROR(__xludf.DUMMYFUNCTION("""COMPUTED_VALUE"""),"19970219AKBEB")</f>
        <v>19970219AKBEB</v>
      </c>
      <c r="B2246" s="5" t="str">
        <f ca="1">IFERROR(__xludf.DUMMYFUNCTION("""COMPUTED_VALUE"""),"Wounded")</f>
        <v>Wounded</v>
      </c>
      <c r="C2246" s="5" t="str">
        <f ca="1">IFERROR(__xludf.DUMMYFUNCTION("""COMPUTED_VALUE"""),"Male")</f>
        <v>Male</v>
      </c>
      <c r="D2246" s="5" t="str">
        <f ca="1">IFERROR(__xludf.DUMMYFUNCTION("""COMPUTED_VALUE"""),"Student")</f>
        <v>Student</v>
      </c>
      <c r="E2246" s="5">
        <f ca="1">IFERROR(__xludf.DUMMYFUNCTION("""COMPUTED_VALUE"""),16)</f>
        <v>16</v>
      </c>
      <c r="F2246" s="5"/>
    </row>
    <row r="2247" spans="1:6" ht="13">
      <c r="A2247" s="5" t="str">
        <f ca="1">IFERROR(__xludf.DUMMYFUNCTION("""COMPUTED_VALUE"""),"19970213NYSAB")</f>
        <v>19970213NYSAB</v>
      </c>
      <c r="B2247" s="5" t="str">
        <f ca="1">IFERROR(__xludf.DUMMYFUNCTION("""COMPUTED_VALUE"""),"Wounded")</f>
        <v>Wounded</v>
      </c>
      <c r="C2247" s="5" t="str">
        <f ca="1">IFERROR(__xludf.DUMMYFUNCTION("""COMPUTED_VALUE"""),"Male")</f>
        <v>Male</v>
      </c>
      <c r="D2247" s="5" t="str">
        <f ca="1">IFERROR(__xludf.DUMMYFUNCTION("""COMPUTED_VALUE"""),"Student")</f>
        <v>Student</v>
      </c>
      <c r="E2247" s="5">
        <f ca="1">IFERROR(__xludf.DUMMYFUNCTION("""COMPUTED_VALUE"""),16)</f>
        <v>16</v>
      </c>
      <c r="F2247" s="5"/>
    </row>
    <row r="2248" spans="1:6" ht="13">
      <c r="A2248" s="5" t="str">
        <f ca="1">IFERROR(__xludf.DUMMYFUNCTION("""COMPUTED_VALUE"""),"19970213NYMOB")</f>
        <v>19970213NYMOB</v>
      </c>
      <c r="B2248" s="5" t="str">
        <f ca="1">IFERROR(__xludf.DUMMYFUNCTION("""COMPUTED_VALUE"""),"Wounded")</f>
        <v>Wounded</v>
      </c>
      <c r="C2248" s="5" t="str">
        <f ca="1">IFERROR(__xludf.DUMMYFUNCTION("""COMPUTED_VALUE"""),"Male")</f>
        <v>Male</v>
      </c>
      <c r="D2248" s="5" t="str">
        <f ca="1">IFERROR(__xludf.DUMMYFUNCTION("""COMPUTED_VALUE"""),"Student")</f>
        <v>Student</v>
      </c>
      <c r="E2248" s="5">
        <f ca="1">IFERROR(__xludf.DUMMYFUNCTION("""COMPUTED_VALUE"""),17)</f>
        <v>17</v>
      </c>
      <c r="F2248" s="5"/>
    </row>
    <row r="2249" spans="1:6" ht="13">
      <c r="A2249" s="5" t="str">
        <f ca="1">IFERROR(__xludf.DUMMYFUNCTION("""COMPUTED_VALUE"""),"19970206MSWIJ")</f>
        <v>19970206MSWIJ</v>
      </c>
      <c r="B2249" s="5" t="str">
        <f ca="1">IFERROR(__xludf.DUMMYFUNCTION("""COMPUTED_VALUE"""),"Wounded")</f>
        <v>Wounded</v>
      </c>
      <c r="C2249" s="5" t="str">
        <f ca="1">IFERROR(__xludf.DUMMYFUNCTION("""COMPUTED_VALUE"""),"Male")</f>
        <v>Male</v>
      </c>
      <c r="D2249" s="5" t="str">
        <f ca="1">IFERROR(__xludf.DUMMYFUNCTION("""COMPUTED_VALUE"""),"Student")</f>
        <v>Student</v>
      </c>
      <c r="E2249" s="5">
        <f ca="1">IFERROR(__xludf.DUMMYFUNCTION("""COMPUTED_VALUE"""),17)</f>
        <v>17</v>
      </c>
      <c r="F2249" s="5" t="str">
        <f ca="1">IFERROR(__xludf.DUMMYFUNCTION("""COMPUTED_VALUE"""),"Black")</f>
        <v>Black</v>
      </c>
    </row>
    <row r="2250" spans="1:6" ht="13">
      <c r="A2250" s="5" t="str">
        <f ca="1">IFERROR(__xludf.DUMMYFUNCTION("""COMPUTED_VALUE"""),"19970127FLCOW")</f>
        <v>19970127FLCOW</v>
      </c>
      <c r="B2250" s="5" t="str">
        <f ca="1">IFERROR(__xludf.DUMMYFUNCTION("""COMPUTED_VALUE"""),"Fatal")</f>
        <v>Fatal</v>
      </c>
      <c r="C2250" s="5" t="str">
        <f ca="1">IFERROR(__xludf.DUMMYFUNCTION("""COMPUTED_VALUE"""),"Male")</f>
        <v>Male</v>
      </c>
      <c r="D2250" s="5" t="str">
        <f ca="1">IFERROR(__xludf.DUMMYFUNCTION("""COMPUTED_VALUE"""),"Student")</f>
        <v>Student</v>
      </c>
      <c r="E2250" s="5">
        <f ca="1">IFERROR(__xludf.DUMMYFUNCTION("""COMPUTED_VALUE"""),14)</f>
        <v>14</v>
      </c>
      <c r="F2250" s="5"/>
    </row>
    <row r="2251" spans="1:6" ht="13">
      <c r="A2251" s="5" t="str">
        <f ca="1">IFERROR(__xludf.DUMMYFUNCTION("""COMPUTED_VALUE"""),"19970108NYCRN")</f>
        <v>19970108NYCRN</v>
      </c>
      <c r="B2251" s="5" t="str">
        <f ca="1">IFERROR(__xludf.DUMMYFUNCTION("""COMPUTED_VALUE"""),"Wounded")</f>
        <v>Wounded</v>
      </c>
      <c r="C2251" s="5" t="str">
        <f ca="1">IFERROR(__xludf.DUMMYFUNCTION("""COMPUTED_VALUE"""),"Male")</f>
        <v>Male</v>
      </c>
      <c r="D2251" s="5" t="str">
        <f ca="1">IFERROR(__xludf.DUMMYFUNCTION("""COMPUTED_VALUE"""),"Student")</f>
        <v>Student</v>
      </c>
      <c r="E2251" s="5">
        <f ca="1">IFERROR(__xludf.DUMMYFUNCTION("""COMPUTED_VALUE"""),15)</f>
        <v>15</v>
      </c>
      <c r="F2251" s="5"/>
    </row>
    <row r="2252" spans="1:6" ht="13">
      <c r="A2252" s="5" t="str">
        <f ca="1">IFERROR(__xludf.DUMMYFUNCTION("""COMPUTED_VALUE"""),"19970108NYCRN")</f>
        <v>19970108NYCRN</v>
      </c>
      <c r="B2252" s="5" t="str">
        <f ca="1">IFERROR(__xludf.DUMMYFUNCTION("""COMPUTED_VALUE"""),"Wounded")</f>
        <v>Wounded</v>
      </c>
      <c r="C2252" s="5" t="str">
        <f ca="1">IFERROR(__xludf.DUMMYFUNCTION("""COMPUTED_VALUE"""),"Male")</f>
        <v>Male</v>
      </c>
      <c r="D2252" s="5" t="str">
        <f ca="1">IFERROR(__xludf.DUMMYFUNCTION("""COMPUTED_VALUE"""),"Student")</f>
        <v>Student</v>
      </c>
      <c r="E2252" s="5">
        <f ca="1">IFERROR(__xludf.DUMMYFUNCTION("""COMPUTED_VALUE"""),15)</f>
        <v>15</v>
      </c>
      <c r="F2252" s="5"/>
    </row>
    <row r="2253" spans="1:6" ht="13">
      <c r="A2253" s="5" t="str">
        <f ca="1">IFERROR(__xludf.DUMMYFUNCTION("""COMPUTED_VALUE"""),"19970108NYCRN")</f>
        <v>19970108NYCRN</v>
      </c>
      <c r="B2253" s="5" t="str">
        <f ca="1">IFERROR(__xludf.DUMMYFUNCTION("""COMPUTED_VALUE"""),"Wounded")</f>
        <v>Wounded</v>
      </c>
      <c r="C2253" s="5" t="str">
        <f ca="1">IFERROR(__xludf.DUMMYFUNCTION("""COMPUTED_VALUE"""),"Male")</f>
        <v>Male</v>
      </c>
      <c r="D2253" s="5" t="str">
        <f ca="1">IFERROR(__xludf.DUMMYFUNCTION("""COMPUTED_VALUE"""),"Student")</f>
        <v>Student</v>
      </c>
      <c r="E2253" s="5">
        <f ca="1">IFERROR(__xludf.DUMMYFUNCTION("""COMPUTED_VALUE"""),16)</f>
        <v>16</v>
      </c>
      <c r="F2253" s="5"/>
    </row>
    <row r="2254" spans="1:6" ht="13">
      <c r="A2254" s="5" t="str">
        <f ca="1">IFERROR(__xludf.DUMMYFUNCTION("""COMPUTED_VALUE"""),"19970108NYCRN")</f>
        <v>19970108NYCRN</v>
      </c>
      <c r="B2254" s="5" t="str">
        <f ca="1">IFERROR(__xludf.DUMMYFUNCTION("""COMPUTED_VALUE"""),"Fatal")</f>
        <v>Fatal</v>
      </c>
      <c r="C2254" s="5" t="str">
        <f ca="1">IFERROR(__xludf.DUMMYFUNCTION("""COMPUTED_VALUE"""),"Male")</f>
        <v>Male</v>
      </c>
      <c r="D2254" s="5" t="str">
        <f ca="1">IFERROR(__xludf.DUMMYFUNCTION("""COMPUTED_VALUE"""),"Student")</f>
        <v>Student</v>
      </c>
      <c r="E2254" s="5">
        <f ca="1">IFERROR(__xludf.DUMMYFUNCTION("""COMPUTED_VALUE"""),18)</f>
        <v>18</v>
      </c>
      <c r="F2254" s="5"/>
    </row>
    <row r="2255" spans="1:6" ht="13">
      <c r="A2255" s="5" t="str">
        <f ca="1">IFERROR(__xludf.DUMMYFUNCTION("""COMPUTED_VALUE"""),"19961127CAHIS")</f>
        <v>19961127CAHIS</v>
      </c>
      <c r="B2255" s="5" t="str">
        <f ca="1">IFERROR(__xludf.DUMMYFUNCTION("""COMPUTED_VALUE"""),"Fatal")</f>
        <v>Fatal</v>
      </c>
      <c r="C2255" s="5" t="str">
        <f ca="1">IFERROR(__xludf.DUMMYFUNCTION("""COMPUTED_VALUE"""),"Male")</f>
        <v>Male</v>
      </c>
      <c r="D2255" s="5" t="str">
        <f ca="1">IFERROR(__xludf.DUMMYFUNCTION("""COMPUTED_VALUE"""),"Student")</f>
        <v>Student</v>
      </c>
      <c r="E2255" s="5">
        <f ca="1">IFERROR(__xludf.DUMMYFUNCTION("""COMPUTED_VALUE"""),19)</f>
        <v>19</v>
      </c>
      <c r="F2255" s="5"/>
    </row>
    <row r="2256" spans="1:6" ht="13">
      <c r="A2256" s="5" t="str">
        <f ca="1">IFERROR(__xludf.DUMMYFUNCTION("""COMPUTED_VALUE"""),"19961014MOSUS")</f>
        <v>19961014MOSUS</v>
      </c>
      <c r="B2256" s="5" t="str">
        <f ca="1">IFERROR(__xludf.DUMMYFUNCTION("""COMPUTED_VALUE"""),"Fatal")</f>
        <v>Fatal</v>
      </c>
      <c r="C2256" s="5" t="str">
        <f ca="1">IFERROR(__xludf.DUMMYFUNCTION("""COMPUTED_VALUE"""),"Male")</f>
        <v>Male</v>
      </c>
      <c r="D2256" s="5" t="str">
        <f ca="1">IFERROR(__xludf.DUMMYFUNCTION("""COMPUTED_VALUE"""),"Student")</f>
        <v>Student</v>
      </c>
      <c r="E2256" s="5">
        <f ca="1">IFERROR(__xludf.DUMMYFUNCTION("""COMPUTED_VALUE"""),17)</f>
        <v>17</v>
      </c>
      <c r="F2256" s="5"/>
    </row>
    <row r="2257" spans="1:6" ht="13">
      <c r="A2257" s="5" t="str">
        <f ca="1">IFERROR(__xludf.DUMMYFUNCTION("""COMPUTED_VALUE"""),"19961009ARJAS")</f>
        <v>19961009ARJAS</v>
      </c>
      <c r="B2257" s="5" t="str">
        <f ca="1">IFERROR(__xludf.DUMMYFUNCTION("""COMPUTED_VALUE"""),"Fatal")</f>
        <v>Fatal</v>
      </c>
      <c r="C2257" s="5" t="str">
        <f ca="1">IFERROR(__xludf.DUMMYFUNCTION("""COMPUTED_VALUE"""),"Male")</f>
        <v>Male</v>
      </c>
      <c r="D2257" s="5" t="str">
        <f ca="1">IFERROR(__xludf.DUMMYFUNCTION("""COMPUTED_VALUE"""),"Student")</f>
        <v>Student</v>
      </c>
      <c r="E2257" s="5">
        <f ca="1">IFERROR(__xludf.DUMMYFUNCTION("""COMPUTED_VALUE"""),20)</f>
        <v>20</v>
      </c>
      <c r="F2257" s="5"/>
    </row>
    <row r="2258" spans="1:6" ht="13">
      <c r="A2258" s="5" t="str">
        <f ca="1">IFERROR(__xludf.DUMMYFUNCTION("""COMPUTED_VALUE"""),"19961004CASTP")</f>
        <v>19961004CASTP</v>
      </c>
      <c r="B2258" s="5" t="str">
        <f ca="1">IFERROR(__xludf.DUMMYFUNCTION("""COMPUTED_VALUE"""),"Fatal")</f>
        <v>Fatal</v>
      </c>
      <c r="C2258" s="5" t="str">
        <f ca="1">IFERROR(__xludf.DUMMYFUNCTION("""COMPUTED_VALUE"""),"Male")</f>
        <v>Male</v>
      </c>
      <c r="D2258" s="5" t="str">
        <f ca="1">IFERROR(__xludf.DUMMYFUNCTION("""COMPUTED_VALUE"""),"Student")</f>
        <v>Student</v>
      </c>
      <c r="E2258" s="5">
        <f ca="1">IFERROR(__xludf.DUMMYFUNCTION("""COMPUTED_VALUE"""),18)</f>
        <v>18</v>
      </c>
      <c r="F2258" s="5"/>
    </row>
    <row r="2259" spans="1:6" ht="13">
      <c r="A2259" s="5" t="str">
        <f ca="1">IFERROR(__xludf.DUMMYFUNCTION("""COMPUTED_VALUE"""),"19961004CASTP")</f>
        <v>19961004CASTP</v>
      </c>
      <c r="B2259" s="5" t="str">
        <f ca="1">IFERROR(__xludf.DUMMYFUNCTION("""COMPUTED_VALUE"""),"Wounded")</f>
        <v>Wounded</v>
      </c>
      <c r="C2259" s="5" t="str">
        <f ca="1">IFERROR(__xludf.DUMMYFUNCTION("""COMPUTED_VALUE"""),"Male")</f>
        <v>Male</v>
      </c>
      <c r="D2259" s="5" t="str">
        <f ca="1">IFERROR(__xludf.DUMMYFUNCTION("""COMPUTED_VALUE"""),"Unknown")</f>
        <v>Unknown</v>
      </c>
      <c r="E2259" s="5" t="str">
        <f ca="1">IFERROR(__xludf.DUMMYFUNCTION("""COMPUTED_VALUE"""),"Teen")</f>
        <v>Teen</v>
      </c>
      <c r="F2259" s="5"/>
    </row>
    <row r="2260" spans="1:6" ht="13">
      <c r="A2260" s="5" t="str">
        <f ca="1">IFERROR(__xludf.DUMMYFUNCTION("""COMPUTED_VALUE"""),"19961002PASMP")</f>
        <v>19961002PASMP</v>
      </c>
      <c r="B2260" s="5" t="str">
        <f ca="1">IFERROR(__xludf.DUMMYFUNCTION("""COMPUTED_VALUE"""),"Fatal")</f>
        <v>Fatal</v>
      </c>
      <c r="C2260" s="5" t="str">
        <f ca="1">IFERROR(__xludf.DUMMYFUNCTION("""COMPUTED_VALUE"""),"Female")</f>
        <v>Female</v>
      </c>
      <c r="D2260" s="5" t="str">
        <f ca="1">IFERROR(__xludf.DUMMYFUNCTION("""COMPUTED_VALUE"""),"Relative")</f>
        <v>Relative</v>
      </c>
      <c r="E2260" s="5">
        <f ca="1">IFERROR(__xludf.DUMMYFUNCTION("""COMPUTED_VALUE"""),19)</f>
        <v>19</v>
      </c>
      <c r="F2260" s="5"/>
    </row>
    <row r="2261" spans="1:6" ht="13">
      <c r="A2261" s="5" t="str">
        <f ca="1">IFERROR(__xludf.DUMMYFUNCTION("""COMPUTED_VALUE"""),"19961002PASMP")</f>
        <v>19961002PASMP</v>
      </c>
      <c r="B2261" s="5" t="str">
        <f ca="1">IFERROR(__xludf.DUMMYFUNCTION("""COMPUTED_VALUE"""),"Fatal")</f>
        <v>Fatal</v>
      </c>
      <c r="C2261" s="5" t="str">
        <f ca="1">IFERROR(__xludf.DUMMYFUNCTION("""COMPUTED_VALUE"""),"Female")</f>
        <v>Female</v>
      </c>
      <c r="D2261" s="5" t="str">
        <f ca="1">IFERROR(__xludf.DUMMYFUNCTION("""COMPUTED_VALUE"""),"Parent")</f>
        <v>Parent</v>
      </c>
      <c r="E2261" s="5">
        <f ca="1">IFERROR(__xludf.DUMMYFUNCTION("""COMPUTED_VALUE"""),26)</f>
        <v>26</v>
      </c>
      <c r="F2261" s="5"/>
    </row>
    <row r="2262" spans="1:6" ht="13">
      <c r="A2262" s="5" t="str">
        <f ca="1">IFERROR(__xludf.DUMMYFUNCTION("""COMPUTED_VALUE"""),"19960925GADED")</f>
        <v>19960925GADED</v>
      </c>
      <c r="B2262" s="5" t="str">
        <f ca="1">IFERROR(__xludf.DUMMYFUNCTION("""COMPUTED_VALUE"""),"Fatal")</f>
        <v>Fatal</v>
      </c>
      <c r="C2262" s="5" t="str">
        <f ca="1">IFERROR(__xludf.DUMMYFUNCTION("""COMPUTED_VALUE"""),"Male")</f>
        <v>Male</v>
      </c>
      <c r="D2262" s="5" t="str">
        <f ca="1">IFERROR(__xludf.DUMMYFUNCTION("""COMPUTED_VALUE"""),"Teacher")</f>
        <v>Teacher</v>
      </c>
      <c r="E2262" s="5">
        <f ca="1">IFERROR(__xludf.DUMMYFUNCTION("""COMPUTED_VALUE"""),49)</f>
        <v>49</v>
      </c>
      <c r="F2262" s="5"/>
    </row>
    <row r="2263" spans="1:6" ht="13">
      <c r="A2263" s="5" t="str">
        <f ca="1">IFERROR(__xludf.DUMMYFUNCTION("""COMPUTED_VALUE"""),"19960726CAJOL")</f>
        <v>19960726CAJOL</v>
      </c>
      <c r="B2263" s="5" t="str">
        <f ca="1">IFERROR(__xludf.DUMMYFUNCTION("""COMPUTED_VALUE"""),"Wounded")</f>
        <v>Wounded</v>
      </c>
      <c r="C2263" s="5" t="str">
        <f ca="1">IFERROR(__xludf.DUMMYFUNCTION("""COMPUTED_VALUE"""),"Male")</f>
        <v>Male</v>
      </c>
      <c r="D2263" s="5" t="str">
        <f ca="1">IFERROR(__xludf.DUMMYFUNCTION("""COMPUTED_VALUE"""),"Student")</f>
        <v>Student</v>
      </c>
      <c r="E2263" s="5">
        <f ca="1">IFERROR(__xludf.DUMMYFUNCTION("""COMPUTED_VALUE"""),16)</f>
        <v>16</v>
      </c>
      <c r="F2263" s="5" t="str">
        <f ca="1">IFERROR(__xludf.DUMMYFUNCTION("""COMPUTED_VALUE"""),"Hispanic")</f>
        <v>Hispanic</v>
      </c>
    </row>
    <row r="2264" spans="1:6" ht="13">
      <c r="A2264" s="5" t="str">
        <f ca="1">IFERROR(__xludf.DUMMYFUNCTION("""COMPUTED_VALUE"""),"19960726CAJOL")</f>
        <v>19960726CAJOL</v>
      </c>
      <c r="B2264" s="5" t="str">
        <f ca="1">IFERROR(__xludf.DUMMYFUNCTION("""COMPUTED_VALUE"""),"Wounded")</f>
        <v>Wounded</v>
      </c>
      <c r="C2264" s="5" t="str">
        <f ca="1">IFERROR(__xludf.DUMMYFUNCTION("""COMPUTED_VALUE"""),"Female")</f>
        <v>Female</v>
      </c>
      <c r="D2264" s="5" t="str">
        <f ca="1">IFERROR(__xludf.DUMMYFUNCTION("""COMPUTED_VALUE"""),"Student")</f>
        <v>Student</v>
      </c>
      <c r="E2264" s="5">
        <f ca="1">IFERROR(__xludf.DUMMYFUNCTION("""COMPUTED_VALUE"""),17)</f>
        <v>17</v>
      </c>
      <c r="F2264" s="5" t="str">
        <f ca="1">IFERROR(__xludf.DUMMYFUNCTION("""COMPUTED_VALUE"""),"Hispanic")</f>
        <v>Hispanic</v>
      </c>
    </row>
    <row r="2265" spans="1:6" ht="13">
      <c r="A2265" s="5" t="str">
        <f ca="1">IFERROR(__xludf.DUMMYFUNCTION("""COMPUTED_VALUE"""),"19960604CAWEH")</f>
        <v>19960604CAWEH</v>
      </c>
      <c r="B2265" s="5" t="str">
        <f ca="1">IFERROR(__xludf.DUMMYFUNCTION("""COMPUTED_VALUE"""),"None")</f>
        <v>None</v>
      </c>
      <c r="C2265" s="5" t="str">
        <f ca="1">IFERROR(__xludf.DUMMYFUNCTION("""COMPUTED_VALUE"""),"Male")</f>
        <v>Male</v>
      </c>
      <c r="D2265" s="5" t="str">
        <f ca="1">IFERROR(__xludf.DUMMYFUNCTION("""COMPUTED_VALUE"""),"Student")</f>
        <v>Student</v>
      </c>
      <c r="E2265" s="5">
        <f ca="1">IFERROR(__xludf.DUMMYFUNCTION("""COMPUTED_VALUE"""),16)</f>
        <v>16</v>
      </c>
      <c r="F2265" s="5"/>
    </row>
    <row r="2266" spans="1:6" ht="13">
      <c r="A2266" s="5" t="str">
        <f ca="1">IFERROR(__xludf.DUMMYFUNCTION("""COMPUTED_VALUE"""),"19960522CACOC")</f>
        <v>19960522CACOC</v>
      </c>
      <c r="B2266" s="5" t="str">
        <f ca="1">IFERROR(__xludf.DUMMYFUNCTION("""COMPUTED_VALUE"""),"Fatal")</f>
        <v>Fatal</v>
      </c>
      <c r="C2266" s="5" t="str">
        <f ca="1">IFERROR(__xludf.DUMMYFUNCTION("""COMPUTED_VALUE"""),"Male")</f>
        <v>Male</v>
      </c>
      <c r="D2266" s="5" t="str">
        <f ca="1">IFERROR(__xludf.DUMMYFUNCTION("""COMPUTED_VALUE"""),"Student")</f>
        <v>Student</v>
      </c>
      <c r="E2266" s="5">
        <f ca="1">IFERROR(__xludf.DUMMYFUNCTION("""COMPUTED_VALUE"""),14)</f>
        <v>14</v>
      </c>
      <c r="F2266" s="5"/>
    </row>
    <row r="2267" spans="1:6" ht="13">
      <c r="A2267" s="5" t="str">
        <f ca="1">IFERROR(__xludf.DUMMYFUNCTION("""COMPUTED_VALUE"""),"19960514UTBIT")</f>
        <v>19960514UTBIT</v>
      </c>
      <c r="B2267" s="5" t="str">
        <f ca="1">IFERROR(__xludf.DUMMYFUNCTION("""COMPUTED_VALUE"""),"Wounded")</f>
        <v>Wounded</v>
      </c>
      <c r="C2267" s="5" t="str">
        <f ca="1">IFERROR(__xludf.DUMMYFUNCTION("""COMPUTED_VALUE"""),"Female")</f>
        <v>Female</v>
      </c>
      <c r="D2267" s="5" t="str">
        <f ca="1">IFERROR(__xludf.DUMMYFUNCTION("""COMPUTED_VALUE"""),"Bus Driver")</f>
        <v>Bus Driver</v>
      </c>
      <c r="E2267" s="5" t="str">
        <f ca="1">IFERROR(__xludf.DUMMYFUNCTION("""COMPUTED_VALUE"""),"Adult")</f>
        <v>Adult</v>
      </c>
      <c r="F2267" s="5"/>
    </row>
    <row r="2268" spans="1:6" ht="13">
      <c r="A2268" s="5" t="str">
        <f ca="1">IFERROR(__xludf.DUMMYFUNCTION("""COMPUTED_VALUE"""),"19960415DCMCW")</f>
        <v>19960415DCMCW</v>
      </c>
      <c r="B2268" s="5" t="str">
        <f ca="1">IFERROR(__xludf.DUMMYFUNCTION("""COMPUTED_VALUE"""),"Fatal")</f>
        <v>Fatal</v>
      </c>
      <c r="C2268" s="5" t="str">
        <f ca="1">IFERROR(__xludf.DUMMYFUNCTION("""COMPUTED_VALUE"""),"Male")</f>
        <v>Male</v>
      </c>
      <c r="D2268" s="5" t="str">
        <f ca="1">IFERROR(__xludf.DUMMYFUNCTION("""COMPUTED_VALUE"""),"Former Student")</f>
        <v>Former Student</v>
      </c>
      <c r="E2268" s="5">
        <f ca="1">IFERROR(__xludf.DUMMYFUNCTION("""COMPUTED_VALUE"""),23)</f>
        <v>23</v>
      </c>
      <c r="F2268" s="5"/>
    </row>
    <row r="2269" spans="1:6" ht="13">
      <c r="A2269" s="5" t="str">
        <f ca="1">IFERROR(__xludf.DUMMYFUNCTION("""COMPUTED_VALUE"""),"19960411ALTAT")</f>
        <v>19960411ALTAT</v>
      </c>
      <c r="B2269" s="5" t="str">
        <f ca="1">IFERROR(__xludf.DUMMYFUNCTION("""COMPUTED_VALUE"""),"Fatal")</f>
        <v>Fatal</v>
      </c>
      <c r="C2269" s="5" t="str">
        <f ca="1">IFERROR(__xludf.DUMMYFUNCTION("""COMPUTED_VALUE"""),"Male")</f>
        <v>Male</v>
      </c>
      <c r="D2269" s="5" t="str">
        <f ca="1">IFERROR(__xludf.DUMMYFUNCTION("""COMPUTED_VALUE"""),"Student")</f>
        <v>Student</v>
      </c>
      <c r="E2269" s="5">
        <f ca="1">IFERROR(__xludf.DUMMYFUNCTION("""COMPUTED_VALUE"""),18)</f>
        <v>18</v>
      </c>
      <c r="F2269" s="5"/>
    </row>
    <row r="2270" spans="1:6" ht="13">
      <c r="A2270" s="5" t="str">
        <f ca="1">IFERROR(__xludf.DUMMYFUNCTION("""COMPUTED_VALUE"""),"19960319NVSWL")</f>
        <v>19960319NVSWL</v>
      </c>
      <c r="B2270" s="5" t="str">
        <f ca="1">IFERROR(__xludf.DUMMYFUNCTION("""COMPUTED_VALUE"""),"Minor Injuries")</f>
        <v>Minor Injuries</v>
      </c>
      <c r="C2270" s="5" t="str">
        <f ca="1">IFERROR(__xludf.DUMMYFUNCTION("""COMPUTED_VALUE"""),"Male")</f>
        <v>Male</v>
      </c>
      <c r="D2270" s="5" t="str">
        <f ca="1">IFERROR(__xludf.DUMMYFUNCTION("""COMPUTED_VALUE"""),"Student")</f>
        <v>Student</v>
      </c>
      <c r="E2270" s="5" t="str">
        <f ca="1">IFERROR(__xludf.DUMMYFUNCTION("""COMPUTED_VALUE"""),"Teen")</f>
        <v>Teen</v>
      </c>
      <c r="F2270" s="5"/>
    </row>
    <row r="2271" spans="1:6" ht="13">
      <c r="A2271" s="5" t="str">
        <f ca="1">IFERROR(__xludf.DUMMYFUNCTION("""COMPUTED_VALUE"""),"19960319NVSWL")</f>
        <v>19960319NVSWL</v>
      </c>
      <c r="B2271" s="5" t="str">
        <f ca="1">IFERROR(__xludf.DUMMYFUNCTION("""COMPUTED_VALUE"""),"Minor Injuries")</f>
        <v>Minor Injuries</v>
      </c>
      <c r="C2271" s="5" t="str">
        <f ca="1">IFERROR(__xludf.DUMMYFUNCTION("""COMPUTED_VALUE"""),"Male")</f>
        <v>Male</v>
      </c>
      <c r="D2271" s="5" t="str">
        <f ca="1">IFERROR(__xludf.DUMMYFUNCTION("""COMPUTED_VALUE"""),"Student")</f>
        <v>Student</v>
      </c>
      <c r="E2271" s="5" t="str">
        <f ca="1">IFERROR(__xludf.DUMMYFUNCTION("""COMPUTED_VALUE"""),"Teen")</f>
        <v>Teen</v>
      </c>
      <c r="F2271" s="5"/>
    </row>
    <row r="2272" spans="1:6" ht="13">
      <c r="A2272" s="5" t="str">
        <f ca="1">IFERROR(__xludf.DUMMYFUNCTION("""COMPUTED_VALUE"""),"19960311NCNON")</f>
        <v>19960311NCNON</v>
      </c>
      <c r="B2272" s="5" t="str">
        <f ca="1">IFERROR(__xludf.DUMMYFUNCTION("""COMPUTED_VALUE"""),"None")</f>
        <v>None</v>
      </c>
      <c r="C2272" s="5" t="str">
        <f ca="1">IFERROR(__xludf.DUMMYFUNCTION("""COMPUTED_VALUE"""),"Male")</f>
        <v>Male</v>
      </c>
      <c r="D2272" s="5" t="str">
        <f ca="1">IFERROR(__xludf.DUMMYFUNCTION("""COMPUTED_VALUE"""),"Student")</f>
        <v>Student</v>
      </c>
      <c r="E2272" s="5">
        <f ca="1">IFERROR(__xludf.DUMMYFUNCTION("""COMPUTED_VALUE"""),15)</f>
        <v>15</v>
      </c>
      <c r="F2272" s="5" t="str">
        <f ca="1">IFERROR(__xludf.DUMMYFUNCTION("""COMPUTED_VALUE"""),"White")</f>
        <v>White</v>
      </c>
    </row>
    <row r="2273" spans="1:6" ht="13">
      <c r="A2273" s="5" t="str">
        <f ca="1">IFERROR(__xludf.DUMMYFUNCTION("""COMPUTED_VALUE"""),"19960229MOBES")</f>
        <v>19960229MOBES</v>
      </c>
      <c r="B2273" s="5" t="str">
        <f ca="1">IFERROR(__xludf.DUMMYFUNCTION("""COMPUTED_VALUE"""),"Fatal")</f>
        <v>Fatal</v>
      </c>
      <c r="C2273" s="5" t="str">
        <f ca="1">IFERROR(__xludf.DUMMYFUNCTION("""COMPUTED_VALUE"""),"Female")</f>
        <v>Female</v>
      </c>
      <c r="D2273" s="5" t="str">
        <f ca="1">IFERROR(__xludf.DUMMYFUNCTION("""COMPUTED_VALUE"""),"Relative")</f>
        <v>Relative</v>
      </c>
      <c r="E2273" s="5">
        <f ca="1">IFERROR(__xludf.DUMMYFUNCTION("""COMPUTED_VALUE"""),1)</f>
        <v>1</v>
      </c>
      <c r="F2273" s="5" t="str">
        <f ca="1">IFERROR(__xludf.DUMMYFUNCTION("""COMPUTED_VALUE"""),"Black")</f>
        <v>Black</v>
      </c>
    </row>
    <row r="2274" spans="1:6" ht="13">
      <c r="A2274" s="5" t="str">
        <f ca="1">IFERROR(__xludf.DUMMYFUNCTION("""COMPUTED_VALUE"""),"19960229MOBES")</f>
        <v>19960229MOBES</v>
      </c>
      <c r="B2274" s="5" t="str">
        <f ca="1">IFERROR(__xludf.DUMMYFUNCTION("""COMPUTED_VALUE"""),"Fatal")</f>
        <v>Fatal</v>
      </c>
      <c r="C2274" s="5" t="str">
        <f ca="1">IFERROR(__xludf.DUMMYFUNCTION("""COMPUTED_VALUE"""),"Female")</f>
        <v>Female</v>
      </c>
      <c r="D2274" s="5" t="str">
        <f ca="1">IFERROR(__xludf.DUMMYFUNCTION("""COMPUTED_VALUE"""),"Student")</f>
        <v>Student</v>
      </c>
      <c r="E2274" s="5">
        <f ca="1">IFERROR(__xludf.DUMMYFUNCTION("""COMPUTED_VALUE"""),15)</f>
        <v>15</v>
      </c>
      <c r="F2274" s="5" t="str">
        <f ca="1">IFERROR(__xludf.DUMMYFUNCTION("""COMPUTED_VALUE"""),"Black")</f>
        <v>Black</v>
      </c>
    </row>
    <row r="2275" spans="1:6" ht="13">
      <c r="A2275" s="5" t="str">
        <f ca="1">IFERROR(__xludf.DUMMYFUNCTION("""COMPUTED_VALUE"""),"19960229MOBES")</f>
        <v>19960229MOBES</v>
      </c>
      <c r="B2275" s="5" t="str">
        <f ca="1">IFERROR(__xludf.DUMMYFUNCTION("""COMPUTED_VALUE"""),"Wounded")</f>
        <v>Wounded</v>
      </c>
      <c r="C2275" s="5" t="str">
        <f ca="1">IFERROR(__xludf.DUMMYFUNCTION("""COMPUTED_VALUE"""),"Male")</f>
        <v>Male</v>
      </c>
      <c r="D2275" s="5" t="str">
        <f ca="1">IFERROR(__xludf.DUMMYFUNCTION("""COMPUTED_VALUE"""),"Bus Driver")</f>
        <v>Bus Driver</v>
      </c>
      <c r="E2275" s="5">
        <f ca="1">IFERROR(__xludf.DUMMYFUNCTION("""COMPUTED_VALUE"""),60)</f>
        <v>60</v>
      </c>
      <c r="F2275" s="5" t="str">
        <f ca="1">IFERROR(__xludf.DUMMYFUNCTION("""COMPUTED_VALUE"""),"Black")</f>
        <v>Black</v>
      </c>
    </row>
    <row r="2276" spans="1:6" ht="13">
      <c r="A2276" s="5" t="str">
        <f ca="1">IFERROR(__xludf.DUMMYFUNCTION("""COMPUTED_VALUE"""),"19960222GAJES")</f>
        <v>19960222GAJES</v>
      </c>
      <c r="B2276" s="5" t="str">
        <f ca="1">IFERROR(__xludf.DUMMYFUNCTION("""COMPUTED_VALUE"""),"Fatal")</f>
        <v>Fatal</v>
      </c>
      <c r="C2276" s="5" t="str">
        <f ca="1">IFERROR(__xludf.DUMMYFUNCTION("""COMPUTED_VALUE"""),"Male")</f>
        <v>Male</v>
      </c>
      <c r="D2276" s="5" t="str">
        <f ca="1">IFERROR(__xludf.DUMMYFUNCTION("""COMPUTED_VALUE"""),"Student")</f>
        <v>Student</v>
      </c>
      <c r="E2276" s="5">
        <f ca="1">IFERROR(__xludf.DUMMYFUNCTION("""COMPUTED_VALUE"""),17)</f>
        <v>17</v>
      </c>
      <c r="F2276" s="5" t="str">
        <f ca="1">IFERROR(__xludf.DUMMYFUNCTION("""COMPUTED_VALUE"""),"Black")</f>
        <v>Black</v>
      </c>
    </row>
    <row r="2277" spans="1:6" ht="13">
      <c r="A2277" s="5" t="str">
        <f ca="1">IFERROR(__xludf.DUMMYFUNCTION("""COMPUTED_VALUE"""),"19960208CAMIM")</f>
        <v>19960208CAMIM</v>
      </c>
      <c r="B2277" s="5" t="str">
        <f ca="1">IFERROR(__xludf.DUMMYFUNCTION("""COMPUTED_VALUE"""),"Wounded")</f>
        <v>Wounded</v>
      </c>
      <c r="C2277" s="5" t="str">
        <f ca="1">IFERROR(__xludf.DUMMYFUNCTION("""COMPUTED_VALUE"""),"Male")</f>
        <v>Male</v>
      </c>
      <c r="D2277" s="5" t="str">
        <f ca="1">IFERROR(__xludf.DUMMYFUNCTION("""COMPUTED_VALUE"""),"Student")</f>
        <v>Student</v>
      </c>
      <c r="E2277" s="5">
        <f ca="1">IFERROR(__xludf.DUMMYFUNCTION("""COMPUTED_VALUE"""),14)</f>
        <v>14</v>
      </c>
      <c r="F2277" s="5"/>
    </row>
    <row r="2278" spans="1:6" ht="13">
      <c r="A2278" s="5" t="str">
        <f ca="1">IFERROR(__xludf.DUMMYFUNCTION("""COMPUTED_VALUE"""),"19960202WAFRM")</f>
        <v>19960202WAFRM</v>
      </c>
      <c r="B2278" s="5" t="str">
        <f ca="1">IFERROR(__xludf.DUMMYFUNCTION("""COMPUTED_VALUE"""),"Fatal")</f>
        <v>Fatal</v>
      </c>
      <c r="C2278" s="5" t="str">
        <f ca="1">IFERROR(__xludf.DUMMYFUNCTION("""COMPUTED_VALUE"""),"Male")</f>
        <v>Male</v>
      </c>
      <c r="D2278" s="5" t="str">
        <f ca="1">IFERROR(__xludf.DUMMYFUNCTION("""COMPUTED_VALUE"""),"Student")</f>
        <v>Student</v>
      </c>
      <c r="E2278" s="5">
        <f ca="1">IFERROR(__xludf.DUMMYFUNCTION("""COMPUTED_VALUE"""),14)</f>
        <v>14</v>
      </c>
      <c r="F2278" s="5"/>
    </row>
    <row r="2279" spans="1:6" ht="13">
      <c r="A2279" s="5" t="str">
        <f ca="1">IFERROR(__xludf.DUMMYFUNCTION("""COMPUTED_VALUE"""),"19960202WAFRM")</f>
        <v>19960202WAFRM</v>
      </c>
      <c r="B2279" s="5" t="str">
        <f ca="1">IFERROR(__xludf.DUMMYFUNCTION("""COMPUTED_VALUE"""),"Fatal")</f>
        <v>Fatal</v>
      </c>
      <c r="C2279" s="5" t="str">
        <f ca="1">IFERROR(__xludf.DUMMYFUNCTION("""COMPUTED_VALUE"""),"Female")</f>
        <v>Female</v>
      </c>
      <c r="D2279" s="5" t="str">
        <f ca="1">IFERROR(__xludf.DUMMYFUNCTION("""COMPUTED_VALUE"""),"Teacher")</f>
        <v>Teacher</v>
      </c>
      <c r="E2279" s="5">
        <f ca="1">IFERROR(__xludf.DUMMYFUNCTION("""COMPUTED_VALUE"""),49)</f>
        <v>49</v>
      </c>
      <c r="F2279" s="5"/>
    </row>
    <row r="2280" spans="1:6" ht="13">
      <c r="A2280" s="5" t="str">
        <f ca="1">IFERROR(__xludf.DUMMYFUNCTION("""COMPUTED_VALUE"""),"19960202WAFRM")</f>
        <v>19960202WAFRM</v>
      </c>
      <c r="B2280" s="5" t="str">
        <f ca="1">IFERROR(__xludf.DUMMYFUNCTION("""COMPUTED_VALUE"""),"Fatal")</f>
        <v>Fatal</v>
      </c>
      <c r="C2280" s="5" t="str">
        <f ca="1">IFERROR(__xludf.DUMMYFUNCTION("""COMPUTED_VALUE"""),"Male")</f>
        <v>Male</v>
      </c>
      <c r="D2280" s="5" t="str">
        <f ca="1">IFERROR(__xludf.DUMMYFUNCTION("""COMPUTED_VALUE"""),"Student")</f>
        <v>Student</v>
      </c>
      <c r="E2280" s="5">
        <f ca="1">IFERROR(__xludf.DUMMYFUNCTION("""COMPUTED_VALUE"""),14)</f>
        <v>14</v>
      </c>
      <c r="F2280" s="5"/>
    </row>
    <row r="2281" spans="1:6" ht="13">
      <c r="A2281" s="5" t="str">
        <f ca="1">IFERROR(__xludf.DUMMYFUNCTION("""COMPUTED_VALUE"""),"19960202WAFRM")</f>
        <v>19960202WAFRM</v>
      </c>
      <c r="B2281" s="5" t="str">
        <f ca="1">IFERROR(__xludf.DUMMYFUNCTION("""COMPUTED_VALUE"""),"Wounded")</f>
        <v>Wounded</v>
      </c>
      <c r="C2281" s="5" t="str">
        <f ca="1">IFERROR(__xludf.DUMMYFUNCTION("""COMPUTED_VALUE"""),"Female")</f>
        <v>Female</v>
      </c>
      <c r="D2281" s="5" t="str">
        <f ca="1">IFERROR(__xludf.DUMMYFUNCTION("""COMPUTED_VALUE"""),"Student")</f>
        <v>Student</v>
      </c>
      <c r="E2281" s="5">
        <f ca="1">IFERROR(__xludf.DUMMYFUNCTION("""COMPUTED_VALUE"""),13)</f>
        <v>13</v>
      </c>
      <c r="F2281" s="5"/>
    </row>
    <row r="2282" spans="1:6" ht="13">
      <c r="A2282" s="5" t="str">
        <f ca="1">IFERROR(__xludf.DUMMYFUNCTION("""COMPUTED_VALUE"""),"19960126TNEAM")</f>
        <v>19960126TNEAM</v>
      </c>
      <c r="B2282" s="5" t="str">
        <f ca="1">IFERROR(__xludf.DUMMYFUNCTION("""COMPUTED_VALUE"""),"Fatal")</f>
        <v>Fatal</v>
      </c>
      <c r="C2282" s="5" t="str">
        <f ca="1">IFERROR(__xludf.DUMMYFUNCTION("""COMPUTED_VALUE"""),"Male")</f>
        <v>Male</v>
      </c>
      <c r="D2282" s="5" t="str">
        <f ca="1">IFERROR(__xludf.DUMMYFUNCTION("""COMPUTED_VALUE"""),"Student")</f>
        <v>Student</v>
      </c>
      <c r="E2282" s="5">
        <f ca="1">IFERROR(__xludf.DUMMYFUNCTION("""COMPUTED_VALUE"""),15)</f>
        <v>15</v>
      </c>
      <c r="F2282" s="5" t="str">
        <f ca="1">IFERROR(__xludf.DUMMYFUNCTION("""COMPUTED_VALUE"""),"Black")</f>
        <v>Black</v>
      </c>
    </row>
    <row r="2283" spans="1:6" ht="13">
      <c r="A2283" s="5" t="str">
        <f ca="1">IFERROR(__xludf.DUMMYFUNCTION("""COMPUTED_VALUE"""),"19960119DCWIW")</f>
        <v>19960119DCWIW</v>
      </c>
      <c r="B2283" s="5" t="str">
        <f ca="1">IFERROR(__xludf.DUMMYFUNCTION("""COMPUTED_VALUE"""),"Fatal")</f>
        <v>Fatal</v>
      </c>
      <c r="C2283" s="5" t="str">
        <f ca="1">IFERROR(__xludf.DUMMYFUNCTION("""COMPUTED_VALUE"""),"Male")</f>
        <v>Male</v>
      </c>
      <c r="D2283" s="5" t="str">
        <f ca="1">IFERROR(__xludf.DUMMYFUNCTION("""COMPUTED_VALUE"""),"Relative")</f>
        <v>Relative</v>
      </c>
      <c r="E2283" s="5">
        <f ca="1">IFERROR(__xludf.DUMMYFUNCTION("""COMPUTED_VALUE"""),14)</f>
        <v>14</v>
      </c>
      <c r="F2283" s="5" t="str">
        <f ca="1">IFERROR(__xludf.DUMMYFUNCTION("""COMPUTED_VALUE"""),"Black")</f>
        <v>Black</v>
      </c>
    </row>
    <row r="2284" spans="1:6" ht="13">
      <c r="A2284" s="5" t="str">
        <f ca="1">IFERROR(__xludf.DUMMYFUNCTION("""COMPUTED_VALUE"""),"19960102PAGIG")</f>
        <v>19960102PAGIG</v>
      </c>
      <c r="B2284" s="5" t="str">
        <f ca="1">IFERROR(__xludf.DUMMYFUNCTION("""COMPUTED_VALUE"""),"None")</f>
        <v>None</v>
      </c>
      <c r="C2284" s="5" t="str">
        <f ca="1">IFERROR(__xludf.DUMMYFUNCTION("""COMPUTED_VALUE"""),"Male")</f>
        <v>Male</v>
      </c>
      <c r="D2284" s="5" t="str">
        <f ca="1">IFERROR(__xludf.DUMMYFUNCTION("""COMPUTED_VALUE"""),"Student")</f>
        <v>Student</v>
      </c>
      <c r="E2284" s="5">
        <f ca="1">IFERROR(__xludf.DUMMYFUNCTION("""COMPUTED_VALUE"""),16)</f>
        <v>16</v>
      </c>
      <c r="F2284" s="5"/>
    </row>
    <row r="2285" spans="1:6" ht="13">
      <c r="A2285" s="5" t="str">
        <f ca="1">IFERROR(__xludf.DUMMYFUNCTION("""COMPUTED_VALUE"""),"19951128NYTHN")</f>
        <v>19951128NYTHN</v>
      </c>
      <c r="B2285" s="5" t="str">
        <f ca="1">IFERROR(__xludf.DUMMYFUNCTION("""COMPUTED_VALUE"""),"Fatal")</f>
        <v>Fatal</v>
      </c>
      <c r="C2285" s="5" t="str">
        <f ca="1">IFERROR(__xludf.DUMMYFUNCTION("""COMPUTED_VALUE"""),"Male")</f>
        <v>Male</v>
      </c>
      <c r="D2285" s="5" t="str">
        <f ca="1">IFERROR(__xludf.DUMMYFUNCTION("""COMPUTED_VALUE"""),"Student")</f>
        <v>Student</v>
      </c>
      <c r="E2285" s="5">
        <f ca="1">IFERROR(__xludf.DUMMYFUNCTION("""COMPUTED_VALUE"""),17)</f>
        <v>17</v>
      </c>
      <c r="F2285" s="5"/>
    </row>
    <row r="2286" spans="1:6" ht="13">
      <c r="A2286" s="5" t="str">
        <f ca="1">IFERROR(__xludf.DUMMYFUNCTION("""COMPUTED_VALUE"""),"19951115TNRIL")</f>
        <v>19951115TNRIL</v>
      </c>
      <c r="B2286" s="5" t="str">
        <f ca="1">IFERROR(__xludf.DUMMYFUNCTION("""COMPUTED_VALUE"""),"Wounded")</f>
        <v>Wounded</v>
      </c>
      <c r="C2286" s="5" t="str">
        <f ca="1">IFERROR(__xludf.DUMMYFUNCTION("""COMPUTED_VALUE"""),"Female")</f>
        <v>Female</v>
      </c>
      <c r="D2286" s="5" t="str">
        <f ca="1">IFERROR(__xludf.DUMMYFUNCTION("""COMPUTED_VALUE"""),"Teacher")</f>
        <v>Teacher</v>
      </c>
      <c r="E2286" s="5">
        <f ca="1">IFERROR(__xludf.DUMMYFUNCTION("""COMPUTED_VALUE"""),49)</f>
        <v>49</v>
      </c>
      <c r="F2286" s="5"/>
    </row>
    <row r="2287" spans="1:6" ht="13">
      <c r="A2287" s="5" t="str">
        <f ca="1">IFERROR(__xludf.DUMMYFUNCTION("""COMPUTED_VALUE"""),"19951115TNRIL")</f>
        <v>19951115TNRIL</v>
      </c>
      <c r="B2287" s="5" t="str">
        <f ca="1">IFERROR(__xludf.DUMMYFUNCTION("""COMPUTED_VALUE"""),"Fatal")</f>
        <v>Fatal</v>
      </c>
      <c r="C2287" s="5" t="str">
        <f ca="1">IFERROR(__xludf.DUMMYFUNCTION("""COMPUTED_VALUE"""),"Female")</f>
        <v>Female</v>
      </c>
      <c r="D2287" s="5" t="str">
        <f ca="1">IFERROR(__xludf.DUMMYFUNCTION("""COMPUTED_VALUE"""),"Teacher")</f>
        <v>Teacher</v>
      </c>
      <c r="E2287" s="5">
        <f ca="1">IFERROR(__xludf.DUMMYFUNCTION("""COMPUTED_VALUE"""),58)</f>
        <v>58</v>
      </c>
      <c r="F2287" s="5"/>
    </row>
    <row r="2288" spans="1:6" ht="13">
      <c r="A2288" s="5" t="str">
        <f ca="1">IFERROR(__xludf.DUMMYFUNCTION("""COMPUTED_VALUE"""),"19951115TNRIL")</f>
        <v>19951115TNRIL</v>
      </c>
      <c r="B2288" s="5" t="str">
        <f ca="1">IFERROR(__xludf.DUMMYFUNCTION("""COMPUTED_VALUE"""),"Fatal")</f>
        <v>Fatal</v>
      </c>
      <c r="C2288" s="5" t="str">
        <f ca="1">IFERROR(__xludf.DUMMYFUNCTION("""COMPUTED_VALUE"""),"Female")</f>
        <v>Female</v>
      </c>
      <c r="D2288" s="5" t="str">
        <f ca="1">IFERROR(__xludf.DUMMYFUNCTION("""COMPUTED_VALUE"""),"Student")</f>
        <v>Student</v>
      </c>
      <c r="E2288" s="5">
        <f ca="1">IFERROR(__xludf.DUMMYFUNCTION("""COMPUTED_VALUE"""),16)</f>
        <v>16</v>
      </c>
      <c r="F2288" s="5"/>
    </row>
    <row r="2289" spans="1:6" ht="13">
      <c r="A2289" s="5" t="str">
        <f ca="1">IFERROR(__xludf.DUMMYFUNCTION("""COMPUTED_VALUE"""),"19951102FLBLM")</f>
        <v>19951102FLBLM</v>
      </c>
      <c r="B2289" s="5" t="str">
        <f ca="1">IFERROR(__xludf.DUMMYFUNCTION("""COMPUTED_VALUE"""),"Minor Injuries")</f>
        <v>Minor Injuries</v>
      </c>
      <c r="C2289" s="5"/>
      <c r="D2289" s="5" t="str">
        <f ca="1">IFERROR(__xludf.DUMMYFUNCTION("""COMPUTED_VALUE"""),"Student")</f>
        <v>Student</v>
      </c>
      <c r="E2289" s="5" t="str">
        <f ca="1">IFERROR(__xludf.DUMMYFUNCTION("""COMPUTED_VALUE"""),"Child")</f>
        <v>Child</v>
      </c>
      <c r="F2289" s="5"/>
    </row>
    <row r="2290" spans="1:6" ht="13">
      <c r="A2290" s="5" t="str">
        <f ca="1">IFERROR(__xludf.DUMMYFUNCTION("""COMPUTED_VALUE"""),"19951030VAJOR")</f>
        <v>19951030VAJOR</v>
      </c>
      <c r="B2290" s="5" t="str">
        <f ca="1">IFERROR(__xludf.DUMMYFUNCTION("""COMPUTED_VALUE"""),"Wounded")</f>
        <v>Wounded</v>
      </c>
      <c r="C2290" s="5" t="str">
        <f ca="1">IFERROR(__xludf.DUMMYFUNCTION("""COMPUTED_VALUE"""),"Male")</f>
        <v>Male</v>
      </c>
      <c r="D2290" s="5" t="str">
        <f ca="1">IFERROR(__xludf.DUMMYFUNCTION("""COMPUTED_VALUE"""),"Student")</f>
        <v>Student</v>
      </c>
      <c r="E2290" s="5" t="str">
        <f ca="1">IFERROR(__xludf.DUMMYFUNCTION("""COMPUTED_VALUE"""),"Teen")</f>
        <v>Teen</v>
      </c>
      <c r="F2290" s="5"/>
    </row>
    <row r="2291" spans="1:6" ht="13">
      <c r="A2291" s="5" t="str">
        <f ca="1">IFERROR(__xludf.DUMMYFUNCTION("""COMPUTED_VALUE"""),"19951030VAJOR")</f>
        <v>19951030VAJOR</v>
      </c>
      <c r="B2291" s="5" t="str">
        <f ca="1">IFERROR(__xludf.DUMMYFUNCTION("""COMPUTED_VALUE"""),"Wounded")</f>
        <v>Wounded</v>
      </c>
      <c r="C2291" s="5" t="str">
        <f ca="1">IFERROR(__xludf.DUMMYFUNCTION("""COMPUTED_VALUE"""),"Female")</f>
        <v>Female</v>
      </c>
      <c r="D2291" s="5" t="str">
        <f ca="1">IFERROR(__xludf.DUMMYFUNCTION("""COMPUTED_VALUE"""),"Student")</f>
        <v>Student</v>
      </c>
      <c r="E2291" s="5">
        <f ca="1">IFERROR(__xludf.DUMMYFUNCTION("""COMPUTED_VALUE"""),16)</f>
        <v>16</v>
      </c>
      <c r="F2291" s="5"/>
    </row>
    <row r="2292" spans="1:6" ht="13">
      <c r="A2292" s="5" t="str">
        <f ca="1">IFERROR(__xludf.DUMMYFUNCTION("""COMPUTED_VALUE"""),"19951030VAJOR")</f>
        <v>19951030VAJOR</v>
      </c>
      <c r="B2292" s="5" t="str">
        <f ca="1">IFERROR(__xludf.DUMMYFUNCTION("""COMPUTED_VALUE"""),"Wounded")</f>
        <v>Wounded</v>
      </c>
      <c r="C2292" s="5" t="str">
        <f ca="1">IFERROR(__xludf.DUMMYFUNCTION("""COMPUTED_VALUE"""),"Female")</f>
        <v>Female</v>
      </c>
      <c r="D2292" s="5" t="str">
        <f ca="1">IFERROR(__xludf.DUMMYFUNCTION("""COMPUTED_VALUE"""),"Student")</f>
        <v>Student</v>
      </c>
      <c r="E2292" s="5">
        <f ca="1">IFERROR(__xludf.DUMMYFUNCTION("""COMPUTED_VALUE"""),16)</f>
        <v>16</v>
      </c>
      <c r="F2292" s="5"/>
    </row>
    <row r="2293" spans="1:6" ht="13">
      <c r="A2293" s="5" t="str">
        <f ca="1">IFERROR(__xludf.DUMMYFUNCTION("""COMPUTED_VALUE"""),"19951030VAJOR")</f>
        <v>19951030VAJOR</v>
      </c>
      <c r="B2293" s="5" t="str">
        <f ca="1">IFERROR(__xludf.DUMMYFUNCTION("""COMPUTED_VALUE"""),"Wounded")</f>
        <v>Wounded</v>
      </c>
      <c r="C2293" s="5" t="str">
        <f ca="1">IFERROR(__xludf.DUMMYFUNCTION("""COMPUTED_VALUE"""),"Female")</f>
        <v>Female</v>
      </c>
      <c r="D2293" s="5" t="str">
        <f ca="1">IFERROR(__xludf.DUMMYFUNCTION("""COMPUTED_VALUE"""),"Student")</f>
        <v>Student</v>
      </c>
      <c r="E2293" s="5">
        <f ca="1">IFERROR(__xludf.DUMMYFUNCTION("""COMPUTED_VALUE"""),17)</f>
        <v>17</v>
      </c>
      <c r="F2293" s="5"/>
    </row>
    <row r="2294" spans="1:6" ht="13">
      <c r="A2294" s="5" t="str">
        <f ca="1">IFERROR(__xludf.DUMMYFUNCTION("""COMPUTED_VALUE"""),"19951023FLLAC")</f>
        <v>19951023FLLAC</v>
      </c>
      <c r="B2294" s="5" t="str">
        <f ca="1">IFERROR(__xludf.DUMMYFUNCTION("""COMPUTED_VALUE"""),"None")</f>
        <v>None</v>
      </c>
      <c r="C2294" s="5" t="str">
        <f ca="1">IFERROR(__xludf.DUMMYFUNCTION("""COMPUTED_VALUE"""),"Female")</f>
        <v>Female</v>
      </c>
      <c r="D2294" s="5" t="str">
        <f ca="1">IFERROR(__xludf.DUMMYFUNCTION("""COMPUTED_VALUE"""),"Student")</f>
        <v>Student</v>
      </c>
      <c r="E2294" s="5">
        <f ca="1">IFERROR(__xludf.DUMMYFUNCTION("""COMPUTED_VALUE"""),16)</f>
        <v>16</v>
      </c>
      <c r="F2294" s="5"/>
    </row>
    <row r="2295" spans="1:6" ht="13">
      <c r="A2295" s="5" t="str">
        <f ca="1">IFERROR(__xludf.DUMMYFUNCTION("""COMPUTED_VALUE"""),"19951012SCBLB")</f>
        <v>19951012SCBLB</v>
      </c>
      <c r="B2295" s="5" t="str">
        <f ca="1">IFERROR(__xludf.DUMMYFUNCTION("""COMPUTED_VALUE"""),"Wounded")</f>
        <v>Wounded</v>
      </c>
      <c r="C2295" s="5" t="str">
        <f ca="1">IFERROR(__xludf.DUMMYFUNCTION("""COMPUTED_VALUE"""),"Male")</f>
        <v>Male</v>
      </c>
      <c r="D2295" s="5" t="str">
        <f ca="1">IFERROR(__xludf.DUMMYFUNCTION("""COMPUTED_VALUE"""),"Teacher")</f>
        <v>Teacher</v>
      </c>
      <c r="E2295" s="5" t="str">
        <f ca="1">IFERROR(__xludf.DUMMYFUNCTION("""COMPUTED_VALUE"""),"Adult")</f>
        <v>Adult</v>
      </c>
      <c r="F2295" s="5"/>
    </row>
    <row r="2296" spans="1:6" ht="13">
      <c r="A2296" s="5" t="str">
        <f ca="1">IFERROR(__xludf.DUMMYFUNCTION("""COMPUTED_VALUE"""),"19951012SCBLB")</f>
        <v>19951012SCBLB</v>
      </c>
      <c r="B2296" s="5" t="str">
        <f ca="1">IFERROR(__xludf.DUMMYFUNCTION("""COMPUTED_VALUE"""),"Fatal")</f>
        <v>Fatal</v>
      </c>
      <c r="C2296" s="5" t="str">
        <f ca="1">IFERROR(__xludf.DUMMYFUNCTION("""COMPUTED_VALUE"""),"Male")</f>
        <v>Male</v>
      </c>
      <c r="D2296" s="5" t="str">
        <f ca="1">IFERROR(__xludf.DUMMYFUNCTION("""COMPUTED_VALUE"""),"Teacher")</f>
        <v>Teacher</v>
      </c>
      <c r="E2296" s="5" t="str">
        <f ca="1">IFERROR(__xludf.DUMMYFUNCTION("""COMPUTED_VALUE"""),"Adult")</f>
        <v>Adult</v>
      </c>
      <c r="F2296" s="5"/>
    </row>
    <row r="2297" spans="1:6" ht="13">
      <c r="A2297" s="5" t="str">
        <f ca="1">IFERROR(__xludf.DUMMYFUNCTION("""COMPUTED_VALUE"""),"19950929FLTAT")</f>
        <v>19950929FLTAT</v>
      </c>
      <c r="B2297" s="5" t="str">
        <f ca="1">IFERROR(__xludf.DUMMYFUNCTION("""COMPUTED_VALUE"""),"Fatal")</f>
        <v>Fatal</v>
      </c>
      <c r="C2297" s="5" t="str">
        <f ca="1">IFERROR(__xludf.DUMMYFUNCTION("""COMPUTED_VALUE"""),"Male")</f>
        <v>Male</v>
      </c>
      <c r="D2297" s="5" t="str">
        <f ca="1">IFERROR(__xludf.DUMMYFUNCTION("""COMPUTED_VALUE"""),"Student")</f>
        <v>Student</v>
      </c>
      <c r="E2297" s="5">
        <f ca="1">IFERROR(__xludf.DUMMYFUNCTION("""COMPUTED_VALUE"""),13)</f>
        <v>13</v>
      </c>
      <c r="F2297" s="5" t="str">
        <f ca="1">IFERROR(__xludf.DUMMYFUNCTION("""COMPUTED_VALUE"""),"Black")</f>
        <v>Black</v>
      </c>
    </row>
    <row r="2298" spans="1:6" ht="13">
      <c r="A2298" s="5" t="str">
        <f ca="1">IFERROR(__xludf.DUMMYFUNCTION("""COMPUTED_VALUE"""),"19950927ALBLP")</f>
        <v>19950927ALBLP</v>
      </c>
      <c r="B2298" s="5" t="str">
        <f ca="1">IFERROR(__xludf.DUMMYFUNCTION("""COMPUTED_VALUE"""),"Wounded")</f>
        <v>Wounded</v>
      </c>
      <c r="C2298" s="5" t="str">
        <f ca="1">IFERROR(__xludf.DUMMYFUNCTION("""COMPUTED_VALUE"""),"Male")</f>
        <v>Male</v>
      </c>
      <c r="D2298" s="5" t="str">
        <f ca="1">IFERROR(__xludf.DUMMYFUNCTION("""COMPUTED_VALUE"""),"Student")</f>
        <v>Student</v>
      </c>
      <c r="E2298" s="5">
        <f ca="1">IFERROR(__xludf.DUMMYFUNCTION("""COMPUTED_VALUE"""),18)</f>
        <v>18</v>
      </c>
      <c r="F2298" s="5"/>
    </row>
    <row r="2299" spans="1:6" ht="13">
      <c r="A2299" s="5" t="str">
        <f ca="1">IFERROR(__xludf.DUMMYFUNCTION("""COMPUTED_VALUE"""),"19950915KYGEW")</f>
        <v>19950915KYGEW</v>
      </c>
      <c r="B2299" s="5" t="str">
        <f ca="1">IFERROR(__xludf.DUMMYFUNCTION("""COMPUTED_VALUE"""),"None")</f>
        <v>None</v>
      </c>
      <c r="C2299" s="5"/>
      <c r="D2299" s="5" t="str">
        <f ca="1">IFERROR(__xludf.DUMMYFUNCTION("""COMPUTED_VALUE"""),"Student")</f>
        <v>Student</v>
      </c>
      <c r="E2299" s="5" t="str">
        <f ca="1">IFERROR(__xludf.DUMMYFUNCTION("""COMPUTED_VALUE"""),"Teen")</f>
        <v>Teen</v>
      </c>
      <c r="F2299" s="5"/>
    </row>
    <row r="2300" spans="1:6" ht="13">
      <c r="A2300" s="5" t="str">
        <f ca="1">IFERROR(__xludf.DUMMYFUNCTION("""COMPUTED_VALUE"""),"19950914KSOLO")</f>
        <v>19950914KSOLO</v>
      </c>
      <c r="B2300" s="5" t="str">
        <f ca="1">IFERROR(__xludf.DUMMYFUNCTION("""COMPUTED_VALUE"""),"Wounded")</f>
        <v>Wounded</v>
      </c>
      <c r="C2300" s="5" t="str">
        <f ca="1">IFERROR(__xludf.DUMMYFUNCTION("""COMPUTED_VALUE"""),"Male")</f>
        <v>Male</v>
      </c>
      <c r="D2300" s="5" t="str">
        <f ca="1">IFERROR(__xludf.DUMMYFUNCTION("""COMPUTED_VALUE"""),"Student")</f>
        <v>Student</v>
      </c>
      <c r="E2300" s="5" t="str">
        <f ca="1">IFERROR(__xludf.DUMMYFUNCTION("""COMPUTED_VALUE"""),"Teen")</f>
        <v>Teen</v>
      </c>
      <c r="F2300" s="5"/>
    </row>
    <row r="2301" spans="1:6" ht="13">
      <c r="A2301" s="5" t="str">
        <f ca="1">IFERROR(__xludf.DUMMYFUNCTION("""COMPUTED_VALUE"""),"19950914KSOLO")</f>
        <v>19950914KSOLO</v>
      </c>
      <c r="B2301" s="5" t="str">
        <f ca="1">IFERROR(__xludf.DUMMYFUNCTION("""COMPUTED_VALUE"""),"Fatal")</f>
        <v>Fatal</v>
      </c>
      <c r="C2301" s="5" t="str">
        <f ca="1">IFERROR(__xludf.DUMMYFUNCTION("""COMPUTED_VALUE"""),"Male")</f>
        <v>Male</v>
      </c>
      <c r="D2301" s="5" t="str">
        <f ca="1">IFERROR(__xludf.DUMMYFUNCTION("""COMPUTED_VALUE"""),"Student")</f>
        <v>Student</v>
      </c>
      <c r="E2301" s="5" t="str">
        <f ca="1">IFERROR(__xludf.DUMMYFUNCTION("""COMPUTED_VALUE"""),"Teen")</f>
        <v>Teen</v>
      </c>
      <c r="F2301" s="5"/>
    </row>
    <row r="2302" spans="1:6" ht="13">
      <c r="A2302" s="5" t="str">
        <f ca="1">IFERROR(__xludf.DUMMYFUNCTION("""COMPUTED_VALUE"""),"19950914KSOLO")</f>
        <v>19950914KSOLO</v>
      </c>
      <c r="B2302" s="5" t="str">
        <f ca="1">IFERROR(__xludf.DUMMYFUNCTION("""COMPUTED_VALUE"""),"Fatal")</f>
        <v>Fatal</v>
      </c>
      <c r="C2302" s="5" t="str">
        <f ca="1">IFERROR(__xludf.DUMMYFUNCTION("""COMPUTED_VALUE"""),"Male")</f>
        <v>Male</v>
      </c>
      <c r="D2302" s="5" t="str">
        <f ca="1">IFERROR(__xludf.DUMMYFUNCTION("""COMPUTED_VALUE"""),"Former Student")</f>
        <v>Former Student</v>
      </c>
      <c r="E2302" s="5" t="str">
        <f ca="1">IFERROR(__xludf.DUMMYFUNCTION("""COMPUTED_VALUE"""),"Teen")</f>
        <v>Teen</v>
      </c>
      <c r="F2302" s="5"/>
    </row>
    <row r="2303" spans="1:6" ht="13">
      <c r="A2303" s="5" t="str">
        <f ca="1">IFERROR(__xludf.DUMMYFUNCTION("""COMPUTED_VALUE"""),"19950914KSOLO")</f>
        <v>19950914KSOLO</v>
      </c>
      <c r="B2303" s="5" t="str">
        <f ca="1">IFERROR(__xludf.DUMMYFUNCTION("""COMPUTED_VALUE"""),"Wounded")</f>
        <v>Wounded</v>
      </c>
      <c r="C2303" s="5" t="str">
        <f ca="1">IFERROR(__xludf.DUMMYFUNCTION("""COMPUTED_VALUE"""),"Male")</f>
        <v>Male</v>
      </c>
      <c r="D2303" s="5" t="str">
        <f ca="1">IFERROR(__xludf.DUMMYFUNCTION("""COMPUTED_VALUE"""),"Student")</f>
        <v>Student</v>
      </c>
      <c r="E2303" s="5" t="str">
        <f ca="1">IFERROR(__xludf.DUMMYFUNCTION("""COMPUTED_VALUE"""),"Teen")</f>
        <v>Teen</v>
      </c>
      <c r="F2303" s="5"/>
    </row>
    <row r="2304" spans="1:6" ht="13">
      <c r="A2304" s="5" t="str">
        <f ca="1">IFERROR(__xludf.DUMMYFUNCTION("""COMPUTED_VALUE"""),"19950914KSOLO")</f>
        <v>19950914KSOLO</v>
      </c>
      <c r="B2304" s="5" t="str">
        <f ca="1">IFERROR(__xludf.DUMMYFUNCTION("""COMPUTED_VALUE"""),"Wounded")</f>
        <v>Wounded</v>
      </c>
      <c r="C2304" s="5" t="str">
        <f ca="1">IFERROR(__xludf.DUMMYFUNCTION("""COMPUTED_VALUE"""),"Male")</f>
        <v>Male</v>
      </c>
      <c r="D2304" s="5" t="str">
        <f ca="1">IFERROR(__xludf.DUMMYFUNCTION("""COMPUTED_VALUE"""),"Student")</f>
        <v>Student</v>
      </c>
      <c r="E2304" s="5" t="str">
        <f ca="1">IFERROR(__xludf.DUMMYFUNCTION("""COMPUTED_VALUE"""),"Teen")</f>
        <v>Teen</v>
      </c>
      <c r="F2304" s="5"/>
    </row>
    <row r="2305" spans="1:6" ht="13">
      <c r="A2305" s="5" t="str">
        <f ca="1">IFERROR(__xludf.DUMMYFUNCTION("""COMPUTED_VALUE"""),"19950914KSOLO")</f>
        <v>19950914KSOLO</v>
      </c>
      <c r="B2305" s="5" t="str">
        <f ca="1">IFERROR(__xludf.DUMMYFUNCTION("""COMPUTED_VALUE"""),"Wounded")</f>
        <v>Wounded</v>
      </c>
      <c r="C2305" s="5" t="str">
        <f ca="1">IFERROR(__xludf.DUMMYFUNCTION("""COMPUTED_VALUE"""),"Male")</f>
        <v>Male</v>
      </c>
      <c r="D2305" s="5" t="str">
        <f ca="1">IFERROR(__xludf.DUMMYFUNCTION("""COMPUTED_VALUE"""),"Student")</f>
        <v>Student</v>
      </c>
      <c r="E2305" s="5" t="str">
        <f ca="1">IFERROR(__xludf.DUMMYFUNCTION("""COMPUTED_VALUE"""),"Teen")</f>
        <v>Teen</v>
      </c>
      <c r="F2305" s="5"/>
    </row>
    <row r="2306" spans="1:6" ht="13">
      <c r="A2306" s="5" t="str">
        <f ca="1">IFERROR(__xludf.DUMMYFUNCTION("""COMPUTED_VALUE"""),"19950912TNCYM")</f>
        <v>19950912TNCYM</v>
      </c>
      <c r="B2306" s="5" t="str">
        <f ca="1">IFERROR(__xludf.DUMMYFUNCTION("""COMPUTED_VALUE"""),"Fatal")</f>
        <v>Fatal</v>
      </c>
      <c r="C2306" s="5" t="str">
        <f ca="1">IFERROR(__xludf.DUMMYFUNCTION("""COMPUTED_VALUE"""),"Male")</f>
        <v>Male</v>
      </c>
      <c r="D2306" s="5" t="str">
        <f ca="1">IFERROR(__xludf.DUMMYFUNCTION("""COMPUTED_VALUE"""),"Student")</f>
        <v>Student</v>
      </c>
      <c r="E2306" s="5">
        <f ca="1">IFERROR(__xludf.DUMMYFUNCTION("""COMPUTED_VALUE"""),15)</f>
        <v>15</v>
      </c>
      <c r="F2306" s="5"/>
    </row>
    <row r="2307" spans="1:6" ht="13">
      <c r="A2307" s="5" t="str">
        <f ca="1">IFERROR(__xludf.DUMMYFUNCTION("""COMPUTED_VALUE"""),"19950829TXMEL")</f>
        <v>19950829TXMEL</v>
      </c>
      <c r="B2307" s="5" t="str">
        <f ca="1">IFERROR(__xludf.DUMMYFUNCTION("""COMPUTED_VALUE"""),"Fatal")</f>
        <v>Fatal</v>
      </c>
      <c r="C2307" s="5" t="str">
        <f ca="1">IFERROR(__xludf.DUMMYFUNCTION("""COMPUTED_VALUE"""),"Female")</f>
        <v>Female</v>
      </c>
      <c r="D2307" s="5" t="str">
        <f ca="1">IFERROR(__xludf.DUMMYFUNCTION("""COMPUTED_VALUE"""),"Student")</f>
        <v>Student</v>
      </c>
      <c r="E2307" s="5">
        <f ca="1">IFERROR(__xludf.DUMMYFUNCTION("""COMPUTED_VALUE"""),12)</f>
        <v>12</v>
      </c>
      <c r="F2307" s="5"/>
    </row>
    <row r="2308" spans="1:6" ht="13">
      <c r="A2308" s="5" t="str">
        <f ca="1">IFERROR(__xludf.DUMMYFUNCTION("""COMPUTED_VALUE"""),"19950614FLLAL")</f>
        <v>19950614FLLAL</v>
      </c>
      <c r="B2308" s="5" t="str">
        <f ca="1">IFERROR(__xludf.DUMMYFUNCTION("""COMPUTED_VALUE"""),"Wounded")</f>
        <v>Wounded</v>
      </c>
      <c r="C2308" s="5" t="str">
        <f ca="1">IFERROR(__xludf.DUMMYFUNCTION("""COMPUTED_VALUE"""),"Male")</f>
        <v>Male</v>
      </c>
      <c r="D2308" s="5" t="str">
        <f ca="1">IFERROR(__xludf.DUMMYFUNCTION("""COMPUTED_VALUE"""),"Former Student")</f>
        <v>Former Student</v>
      </c>
      <c r="E2308" s="5" t="str">
        <f ca="1">IFERROR(__xludf.DUMMYFUNCTION("""COMPUTED_VALUE"""),"Teen")</f>
        <v>Teen</v>
      </c>
      <c r="F2308" s="5"/>
    </row>
    <row r="2309" spans="1:6" ht="13">
      <c r="A2309" s="5" t="str">
        <f ca="1">IFERROR(__xludf.DUMMYFUNCTION("""COMPUTED_VALUE"""),"19950614FLLAL")</f>
        <v>19950614FLLAL</v>
      </c>
      <c r="B2309" s="5" t="str">
        <f ca="1">IFERROR(__xludf.DUMMYFUNCTION("""COMPUTED_VALUE"""),"Wounded")</f>
        <v>Wounded</v>
      </c>
      <c r="C2309" s="5" t="str">
        <f ca="1">IFERROR(__xludf.DUMMYFUNCTION("""COMPUTED_VALUE"""),"Female")</f>
        <v>Female</v>
      </c>
      <c r="D2309" s="5" t="str">
        <f ca="1">IFERROR(__xludf.DUMMYFUNCTION("""COMPUTED_VALUE"""),"Student")</f>
        <v>Student</v>
      </c>
      <c r="E2309" s="5" t="str">
        <f ca="1">IFERROR(__xludf.DUMMYFUNCTION("""COMPUTED_VALUE"""),"Teen")</f>
        <v>Teen</v>
      </c>
      <c r="F2309" s="5"/>
    </row>
    <row r="2310" spans="1:6" ht="13">
      <c r="A2310" s="5" t="str">
        <f ca="1">IFERROR(__xludf.DUMMYFUNCTION("""COMPUTED_VALUE"""),"19950327MIRED")</f>
        <v>19950327MIRED</v>
      </c>
      <c r="B2310" s="5" t="str">
        <f ca="1">IFERROR(__xludf.DUMMYFUNCTION("""COMPUTED_VALUE"""),"Wounded")</f>
        <v>Wounded</v>
      </c>
      <c r="C2310" s="5" t="str">
        <f ca="1">IFERROR(__xludf.DUMMYFUNCTION("""COMPUTED_VALUE"""),"Female")</f>
        <v>Female</v>
      </c>
      <c r="D2310" s="5" t="str">
        <f ca="1">IFERROR(__xludf.DUMMYFUNCTION("""COMPUTED_VALUE"""),"Student")</f>
        <v>Student</v>
      </c>
      <c r="E2310" s="5">
        <f ca="1">IFERROR(__xludf.DUMMYFUNCTION("""COMPUTED_VALUE"""),15)</f>
        <v>15</v>
      </c>
      <c r="F2310" s="5"/>
    </row>
    <row r="2311" spans="1:6" ht="13">
      <c r="A2311" s="5" t="str">
        <f ca="1">IFERROR(__xludf.DUMMYFUNCTION("""COMPUTED_VALUE"""),"19950303MIPED")</f>
        <v>19950303MIPED</v>
      </c>
      <c r="B2311" s="5" t="str">
        <f ca="1">IFERROR(__xludf.DUMMYFUNCTION("""COMPUTED_VALUE"""),"Wounded")</f>
        <v>Wounded</v>
      </c>
      <c r="C2311" s="5" t="str">
        <f ca="1">IFERROR(__xludf.DUMMYFUNCTION("""COMPUTED_VALUE"""),"Male")</f>
        <v>Male</v>
      </c>
      <c r="D2311" s="5" t="str">
        <f ca="1">IFERROR(__xludf.DUMMYFUNCTION("""COMPUTED_VALUE"""),"Student")</f>
        <v>Student</v>
      </c>
      <c r="E2311" s="5">
        <f ca="1">IFERROR(__xludf.DUMMYFUNCTION("""COMPUTED_VALUE"""),16)</f>
        <v>16</v>
      </c>
      <c r="F2311" s="5"/>
    </row>
    <row r="2312" spans="1:6" ht="13">
      <c r="A2312" s="5" t="str">
        <f ca="1">IFERROR(__xludf.DUMMYFUNCTION("""COMPUTED_VALUE"""),"19950208NECHS")</f>
        <v>19950208NECHS</v>
      </c>
      <c r="B2312" s="5" t="str">
        <f ca="1">IFERROR(__xludf.DUMMYFUNCTION("""COMPUTED_VALUE"""),"Wounded")</f>
        <v>Wounded</v>
      </c>
      <c r="C2312" s="5" t="str">
        <f ca="1">IFERROR(__xludf.DUMMYFUNCTION("""COMPUTED_VALUE"""),"Male")</f>
        <v>Male</v>
      </c>
      <c r="D2312" s="5" t="str">
        <f ca="1">IFERROR(__xludf.DUMMYFUNCTION("""COMPUTED_VALUE"""),"Teacher")</f>
        <v>Teacher</v>
      </c>
      <c r="E2312" s="5">
        <f ca="1">IFERROR(__xludf.DUMMYFUNCTION("""COMPUTED_VALUE"""),35)</f>
        <v>35</v>
      </c>
      <c r="F2312" s="5"/>
    </row>
    <row r="2313" spans="1:6" ht="13">
      <c r="A2313" s="5" t="str">
        <f ca="1">IFERROR(__xludf.DUMMYFUNCTION("""COMPUTED_VALUE"""),"19950202CAJOL")</f>
        <v>19950202CAJOL</v>
      </c>
      <c r="B2313" s="5" t="str">
        <f ca="1">IFERROR(__xludf.DUMMYFUNCTION("""COMPUTED_VALUE"""),"Fatal")</f>
        <v>Fatal</v>
      </c>
      <c r="C2313" s="5" t="str">
        <f ca="1">IFERROR(__xludf.DUMMYFUNCTION("""COMPUTED_VALUE"""),"Male")</f>
        <v>Male</v>
      </c>
      <c r="D2313" s="5" t="str">
        <f ca="1">IFERROR(__xludf.DUMMYFUNCTION("""COMPUTED_VALUE"""),"Student")</f>
        <v>Student</v>
      </c>
      <c r="E2313" s="5" t="str">
        <f ca="1">IFERROR(__xludf.DUMMYFUNCTION("""COMPUTED_VALUE"""),"Teen")</f>
        <v>Teen</v>
      </c>
      <c r="F2313" s="5"/>
    </row>
    <row r="2314" spans="1:6" ht="13">
      <c r="A2314" s="5" t="str">
        <f ca="1">IFERROR(__xludf.DUMMYFUNCTION("""COMPUTED_VALUE"""),"19950202CAJOL")</f>
        <v>19950202CAJOL</v>
      </c>
      <c r="B2314" s="5" t="str">
        <f ca="1">IFERROR(__xludf.DUMMYFUNCTION("""COMPUTED_VALUE"""),"Wounded")</f>
        <v>Wounded</v>
      </c>
      <c r="C2314" s="5" t="str">
        <f ca="1">IFERROR(__xludf.DUMMYFUNCTION("""COMPUTED_VALUE"""),"Male")</f>
        <v>Male</v>
      </c>
      <c r="D2314" s="5" t="str">
        <f ca="1">IFERROR(__xludf.DUMMYFUNCTION("""COMPUTED_VALUE"""),"Student")</f>
        <v>Student</v>
      </c>
      <c r="E2314" s="5" t="str">
        <f ca="1">IFERROR(__xludf.DUMMYFUNCTION("""COMPUTED_VALUE"""),"Teen")</f>
        <v>Teen</v>
      </c>
      <c r="F2314" s="5"/>
    </row>
    <row r="2315" spans="1:6" ht="13">
      <c r="A2315" s="5" t="str">
        <f ca="1">IFERROR(__xludf.DUMMYFUNCTION("""COMPUTED_VALUE"""),"19950124DCSPW")</f>
        <v>19950124DCSPW</v>
      </c>
      <c r="B2315" s="5" t="str">
        <f ca="1">IFERROR(__xludf.DUMMYFUNCTION("""COMPUTED_VALUE"""),"Wounded")</f>
        <v>Wounded</v>
      </c>
      <c r="C2315" s="5" t="str">
        <f ca="1">IFERROR(__xludf.DUMMYFUNCTION("""COMPUTED_VALUE"""),"Male")</f>
        <v>Male</v>
      </c>
      <c r="D2315" s="5" t="str">
        <f ca="1">IFERROR(__xludf.DUMMYFUNCTION("""COMPUTED_VALUE"""),"Student")</f>
        <v>Student</v>
      </c>
      <c r="E2315" s="5">
        <f ca="1">IFERROR(__xludf.DUMMYFUNCTION("""COMPUTED_VALUE"""),16)</f>
        <v>16</v>
      </c>
      <c r="F2315" s="5"/>
    </row>
    <row r="2316" spans="1:6" ht="13">
      <c r="A2316" s="5" t="str">
        <f ca="1">IFERROR(__xludf.DUMMYFUNCTION("""COMPUTED_VALUE"""),"19950123CASAR")</f>
        <v>19950123CASAR</v>
      </c>
      <c r="B2316" s="5" t="str">
        <f ca="1">IFERROR(__xludf.DUMMYFUNCTION("""COMPUTED_VALUE"""),"Fatal")</f>
        <v>Fatal</v>
      </c>
      <c r="C2316" s="5" t="str">
        <f ca="1">IFERROR(__xludf.DUMMYFUNCTION("""COMPUTED_VALUE"""),"Male")</f>
        <v>Male</v>
      </c>
      <c r="D2316" s="5" t="str">
        <f ca="1">IFERROR(__xludf.DUMMYFUNCTION("""COMPUTED_VALUE"""),"Principal/Vice-Principal")</f>
        <v>Principal/Vice-Principal</v>
      </c>
      <c r="E2316" s="5" t="str">
        <f ca="1">IFERROR(__xludf.DUMMYFUNCTION("""COMPUTED_VALUE"""),"Adult")</f>
        <v>Adult</v>
      </c>
      <c r="F2316" s="5"/>
    </row>
    <row r="2317" spans="1:6" ht="13">
      <c r="A2317" s="5" t="str">
        <f ca="1">IFERROR(__xludf.DUMMYFUNCTION("""COMPUTED_VALUE"""),"19950112WAGAS")</f>
        <v>19950112WAGAS</v>
      </c>
      <c r="B2317" s="5" t="str">
        <f ca="1">IFERROR(__xludf.DUMMYFUNCTION("""COMPUTED_VALUE"""),"Wounded")</f>
        <v>Wounded</v>
      </c>
      <c r="C2317" s="5" t="str">
        <f ca="1">IFERROR(__xludf.DUMMYFUNCTION("""COMPUTED_VALUE"""),"Male")</f>
        <v>Male</v>
      </c>
      <c r="D2317" s="5" t="str">
        <f ca="1">IFERROR(__xludf.DUMMYFUNCTION("""COMPUTED_VALUE"""),"Student")</f>
        <v>Student</v>
      </c>
      <c r="E2317" s="5" t="str">
        <f ca="1">IFERROR(__xludf.DUMMYFUNCTION("""COMPUTED_VALUE"""),"Teen")</f>
        <v>Teen</v>
      </c>
      <c r="F2317" s="5"/>
    </row>
    <row r="2318" spans="1:6" ht="13">
      <c r="A2318" s="5" t="str">
        <f ca="1">IFERROR(__xludf.DUMMYFUNCTION("""COMPUTED_VALUE"""),"19950112WAGAS")</f>
        <v>19950112WAGAS</v>
      </c>
      <c r="B2318" s="5" t="str">
        <f ca="1">IFERROR(__xludf.DUMMYFUNCTION("""COMPUTED_VALUE"""),"Wounded")</f>
        <v>Wounded</v>
      </c>
      <c r="C2318" s="5" t="str">
        <f ca="1">IFERROR(__xludf.DUMMYFUNCTION("""COMPUTED_VALUE"""),"Female")</f>
        <v>Female</v>
      </c>
      <c r="D2318" s="5" t="str">
        <f ca="1">IFERROR(__xludf.DUMMYFUNCTION("""COMPUTED_VALUE"""),"Student")</f>
        <v>Student</v>
      </c>
      <c r="E2318" s="5" t="str">
        <f ca="1">IFERROR(__xludf.DUMMYFUNCTION("""COMPUTED_VALUE"""),"Teen")</f>
        <v>Teen</v>
      </c>
      <c r="F2318" s="5"/>
    </row>
    <row r="2319" spans="1:6" ht="13">
      <c r="A2319" s="5" t="str">
        <f ca="1">IFERROR(__xludf.DUMMYFUNCTION("""COMPUTED_VALUE"""),"19950110FLPAP")</f>
        <v>19950110FLPAP</v>
      </c>
      <c r="B2319" s="5" t="str">
        <f ca="1">IFERROR(__xludf.DUMMYFUNCTION("""COMPUTED_VALUE"""),"None")</f>
        <v>None</v>
      </c>
      <c r="C2319" s="5" t="str">
        <f ca="1">IFERROR(__xludf.DUMMYFUNCTION("""COMPUTED_VALUE"""),"Male")</f>
        <v>Male</v>
      </c>
      <c r="D2319" s="5" t="str">
        <f ca="1">IFERROR(__xludf.DUMMYFUNCTION("""COMPUTED_VALUE"""),"Student")</f>
        <v>Student</v>
      </c>
      <c r="E2319" s="5" t="str">
        <f ca="1">IFERROR(__xludf.DUMMYFUNCTION("""COMPUTED_VALUE"""),"Teen")</f>
        <v>Teen</v>
      </c>
      <c r="F2319" s="5"/>
    </row>
    <row r="2320" spans="1:6" ht="13">
      <c r="A2320" s="5" t="str">
        <f ca="1">IFERROR(__xludf.DUMMYFUNCTION("""COMPUTED_VALUE"""),"19950105DCCAW")</f>
        <v>19950105DCCAW</v>
      </c>
      <c r="B2320" s="5" t="str">
        <f ca="1">IFERROR(__xludf.DUMMYFUNCTION("""COMPUTED_VALUE"""),"Fatal")</f>
        <v>Fatal</v>
      </c>
      <c r="C2320" s="5" t="str">
        <f ca="1">IFERROR(__xludf.DUMMYFUNCTION("""COMPUTED_VALUE"""),"Male")</f>
        <v>Male</v>
      </c>
      <c r="D2320" s="5" t="str">
        <f ca="1">IFERROR(__xludf.DUMMYFUNCTION("""COMPUTED_VALUE"""),"Student")</f>
        <v>Student</v>
      </c>
      <c r="E2320" s="5" t="str">
        <f ca="1">IFERROR(__xludf.DUMMYFUNCTION("""COMPUTED_VALUE"""),"Teen")</f>
        <v>Teen</v>
      </c>
      <c r="F2320" s="5"/>
    </row>
    <row r="2321" spans="1:6" ht="13">
      <c r="A2321" s="5" t="str">
        <f ca="1">IFERROR(__xludf.DUMMYFUNCTION("""COMPUTED_VALUE"""),"19941207FLPAM")</f>
        <v>19941207FLPAM</v>
      </c>
      <c r="B2321" s="5" t="str">
        <f ca="1">IFERROR(__xludf.DUMMYFUNCTION("""COMPUTED_VALUE"""),"None")</f>
        <v>None</v>
      </c>
      <c r="C2321" s="5" t="str">
        <f ca="1">IFERROR(__xludf.DUMMYFUNCTION("""COMPUTED_VALUE"""),"Female")</f>
        <v>Female</v>
      </c>
      <c r="D2321" s="5" t="str">
        <f ca="1">IFERROR(__xludf.DUMMYFUNCTION("""COMPUTED_VALUE"""),"Student")</f>
        <v>Student</v>
      </c>
      <c r="E2321" s="5" t="str">
        <f ca="1">IFERROR(__xludf.DUMMYFUNCTION("""COMPUTED_VALUE"""),"Teen")</f>
        <v>Teen</v>
      </c>
      <c r="F2321" s="5"/>
    </row>
    <row r="2322" spans="1:6" ht="13">
      <c r="A2322" s="5" t="str">
        <f ca="1">IFERROR(__xludf.DUMMYFUNCTION("""COMPUTED_VALUE"""),"19941115WASTT")</f>
        <v>19941115WASTT</v>
      </c>
      <c r="B2322" s="5" t="str">
        <f ca="1">IFERROR(__xludf.DUMMYFUNCTION("""COMPUTED_VALUE"""),"None")</f>
        <v>None</v>
      </c>
      <c r="C2322" s="5" t="str">
        <f ca="1">IFERROR(__xludf.DUMMYFUNCTION("""COMPUTED_VALUE"""),"Male")</f>
        <v>Male</v>
      </c>
      <c r="D2322" s="5" t="str">
        <f ca="1">IFERROR(__xludf.DUMMYFUNCTION("""COMPUTED_VALUE"""),"Student")</f>
        <v>Student</v>
      </c>
      <c r="E2322" s="5" t="str">
        <f ca="1">IFERROR(__xludf.DUMMYFUNCTION("""COMPUTED_VALUE"""),"Teen")</f>
        <v>Teen</v>
      </c>
      <c r="F2322" s="5"/>
    </row>
    <row r="2323" spans="1:6" ht="13">
      <c r="A2323" s="5" t="str">
        <f ca="1">IFERROR(__xludf.DUMMYFUNCTION("""COMPUTED_VALUE"""),"19941108IAWEM")</f>
        <v>19941108IAWEM</v>
      </c>
      <c r="B2323" s="5" t="str">
        <f ca="1">IFERROR(__xludf.DUMMYFUNCTION("""COMPUTED_VALUE"""),"Wounded")</f>
        <v>Wounded</v>
      </c>
      <c r="C2323" s="5" t="str">
        <f ca="1">IFERROR(__xludf.DUMMYFUNCTION("""COMPUTED_VALUE"""),"Female")</f>
        <v>Female</v>
      </c>
      <c r="D2323" s="5" t="str">
        <f ca="1">IFERROR(__xludf.DUMMYFUNCTION("""COMPUTED_VALUE"""),"Other Staff")</f>
        <v>Other Staff</v>
      </c>
      <c r="E2323" s="5" t="str">
        <f ca="1">IFERROR(__xludf.DUMMYFUNCTION("""COMPUTED_VALUE"""),"Adult")</f>
        <v>Adult</v>
      </c>
      <c r="F2323" s="5"/>
    </row>
    <row r="2324" spans="1:6" ht="13">
      <c r="A2324" s="5" t="str">
        <f ca="1">IFERROR(__xludf.DUMMYFUNCTION("""COMPUTED_VALUE"""),"19941107OHWIW")</f>
        <v>19941107OHWIW</v>
      </c>
      <c r="B2324" s="5" t="str">
        <f ca="1">IFERROR(__xludf.DUMMYFUNCTION("""COMPUTED_VALUE"""),"Wounded")</f>
        <v>Wounded</v>
      </c>
      <c r="C2324" s="5" t="str">
        <f ca="1">IFERROR(__xludf.DUMMYFUNCTION("""COMPUTED_VALUE"""),"Male")</f>
        <v>Male</v>
      </c>
      <c r="D2324" s="5" t="str">
        <f ca="1">IFERROR(__xludf.DUMMYFUNCTION("""COMPUTED_VALUE"""),"Teacher")</f>
        <v>Teacher</v>
      </c>
      <c r="E2324" s="5" t="str">
        <f ca="1">IFERROR(__xludf.DUMMYFUNCTION("""COMPUTED_VALUE"""),"Adult")</f>
        <v>Adult</v>
      </c>
      <c r="F2324" s="5"/>
    </row>
    <row r="2325" spans="1:6" ht="13">
      <c r="A2325" s="5" t="str">
        <f ca="1">IFERROR(__xludf.DUMMYFUNCTION("""COMPUTED_VALUE"""),"19941107OHWIW")</f>
        <v>19941107OHWIW</v>
      </c>
      <c r="B2325" s="5" t="str">
        <f ca="1">IFERROR(__xludf.DUMMYFUNCTION("""COMPUTED_VALUE"""),"Wounded")</f>
        <v>Wounded</v>
      </c>
      <c r="C2325" s="5" t="str">
        <f ca="1">IFERROR(__xludf.DUMMYFUNCTION("""COMPUTED_VALUE"""),"Male")</f>
        <v>Male</v>
      </c>
      <c r="D2325" s="5" t="str">
        <f ca="1">IFERROR(__xludf.DUMMYFUNCTION("""COMPUTED_VALUE"""),"Police Officer/SRO")</f>
        <v>Police Officer/SRO</v>
      </c>
      <c r="E2325" s="5" t="str">
        <f ca="1">IFERROR(__xludf.DUMMYFUNCTION("""COMPUTED_VALUE"""),"Adult")</f>
        <v>Adult</v>
      </c>
      <c r="F2325" s="5"/>
    </row>
    <row r="2326" spans="1:6" ht="13">
      <c r="A2326" s="5" t="str">
        <f ca="1">IFERROR(__xludf.DUMMYFUNCTION("""COMPUTED_VALUE"""),"19941107OHWIW")</f>
        <v>19941107OHWIW</v>
      </c>
      <c r="B2326" s="5" t="str">
        <f ca="1">IFERROR(__xludf.DUMMYFUNCTION("""COMPUTED_VALUE"""),"Fatal")</f>
        <v>Fatal</v>
      </c>
      <c r="C2326" s="5" t="str">
        <f ca="1">IFERROR(__xludf.DUMMYFUNCTION("""COMPUTED_VALUE"""),"Male")</f>
        <v>Male</v>
      </c>
      <c r="D2326" s="5" t="str">
        <f ca="1">IFERROR(__xludf.DUMMYFUNCTION("""COMPUTED_VALUE"""),"Other Staff")</f>
        <v>Other Staff</v>
      </c>
      <c r="E2326" s="5" t="str">
        <f ca="1">IFERROR(__xludf.DUMMYFUNCTION("""COMPUTED_VALUE"""),"Adult")</f>
        <v>Adult</v>
      </c>
      <c r="F2326" s="5"/>
    </row>
    <row r="2327" spans="1:6" ht="13">
      <c r="A2327" s="5" t="str">
        <f ca="1">IFERROR(__xludf.DUMMYFUNCTION("""COMPUTED_VALUE"""),"19941107OHWIW")</f>
        <v>19941107OHWIW</v>
      </c>
      <c r="B2327" s="5" t="str">
        <f ca="1">IFERROR(__xludf.DUMMYFUNCTION("""COMPUTED_VALUE"""),"Wounded")</f>
        <v>Wounded</v>
      </c>
      <c r="C2327" s="5" t="str">
        <f ca="1">IFERROR(__xludf.DUMMYFUNCTION("""COMPUTED_VALUE"""),"Male")</f>
        <v>Male</v>
      </c>
      <c r="D2327" s="5" t="str">
        <f ca="1">IFERROR(__xludf.DUMMYFUNCTION("""COMPUTED_VALUE"""),"Principal/Vice-Principal")</f>
        <v>Principal/Vice-Principal</v>
      </c>
      <c r="E2327" s="5" t="str">
        <f ca="1">IFERROR(__xludf.DUMMYFUNCTION("""COMPUTED_VALUE"""),"Adult")</f>
        <v>Adult</v>
      </c>
      <c r="F2327" s="5"/>
    </row>
    <row r="2328" spans="1:6" ht="13">
      <c r="A2328" s="5" t="str">
        <f ca="1">IFERROR(__xludf.DUMMYFUNCTION("""COMPUTED_VALUE"""),"19941107OHWIW")</f>
        <v>19941107OHWIW</v>
      </c>
      <c r="B2328" s="5" t="str">
        <f ca="1">IFERROR(__xludf.DUMMYFUNCTION("""COMPUTED_VALUE"""),"Wounded")</f>
        <v>Wounded</v>
      </c>
      <c r="C2328" s="5" t="str">
        <f ca="1">IFERROR(__xludf.DUMMYFUNCTION("""COMPUTED_VALUE"""),"Male")</f>
        <v>Male</v>
      </c>
      <c r="D2328" s="5" t="str">
        <f ca="1">IFERROR(__xludf.DUMMYFUNCTION("""COMPUTED_VALUE"""),"Teacher")</f>
        <v>Teacher</v>
      </c>
      <c r="E2328" s="5" t="str">
        <f ca="1">IFERROR(__xludf.DUMMYFUNCTION("""COMPUTED_VALUE"""),"Adult")</f>
        <v>Adult</v>
      </c>
      <c r="F2328" s="5"/>
    </row>
    <row r="2329" spans="1:6" ht="13">
      <c r="A2329" s="5" t="str">
        <f ca="1">IFERROR(__xludf.DUMMYFUNCTION("""COMPUTED_VALUE"""),"19941105CATHS")</f>
        <v>19941105CATHS</v>
      </c>
      <c r="B2329" s="5" t="str">
        <f ca="1">IFERROR(__xludf.DUMMYFUNCTION("""COMPUTED_VALUE"""),"Fatal")</f>
        <v>Fatal</v>
      </c>
      <c r="C2329" s="5" t="str">
        <f ca="1">IFERROR(__xludf.DUMMYFUNCTION("""COMPUTED_VALUE"""),"Female")</f>
        <v>Female</v>
      </c>
      <c r="D2329" s="5" t="str">
        <f ca="1">IFERROR(__xludf.DUMMYFUNCTION("""COMPUTED_VALUE"""),"No Relation")</f>
        <v>No Relation</v>
      </c>
      <c r="E2329" s="5" t="str">
        <f ca="1">IFERROR(__xludf.DUMMYFUNCTION("""COMPUTED_VALUE"""),"Teen")</f>
        <v>Teen</v>
      </c>
      <c r="F2329" s="5"/>
    </row>
    <row r="2330" spans="1:6" ht="13">
      <c r="A2330" s="5" t="str">
        <f ca="1">IFERROR(__xludf.DUMMYFUNCTION("""COMPUTED_VALUE"""),"19941031CAALA")</f>
        <v>19941031CAALA</v>
      </c>
      <c r="B2330" s="5" t="str">
        <f ca="1">IFERROR(__xludf.DUMMYFUNCTION("""COMPUTED_VALUE"""),"None")</f>
        <v>None</v>
      </c>
      <c r="C2330" s="5" t="str">
        <f ca="1">IFERROR(__xludf.DUMMYFUNCTION("""COMPUTED_VALUE"""),"Male")</f>
        <v>Male</v>
      </c>
      <c r="D2330" s="5" t="str">
        <f ca="1">IFERROR(__xludf.DUMMYFUNCTION("""COMPUTED_VALUE"""),"Student")</f>
        <v>Student</v>
      </c>
      <c r="E2330" s="5" t="str">
        <f ca="1">IFERROR(__xludf.DUMMYFUNCTION("""COMPUTED_VALUE"""),"Teen")</f>
        <v>Teen</v>
      </c>
      <c r="F2330" s="5"/>
    </row>
    <row r="2331" spans="1:6" ht="13">
      <c r="A2331" s="5" t="str">
        <f ca="1">IFERROR(__xludf.DUMMYFUNCTION("""COMPUTED_VALUE"""),"19941017ILHUC")</f>
        <v>19941017ILHUC</v>
      </c>
      <c r="B2331" s="5" t="str">
        <f ca="1">IFERROR(__xludf.DUMMYFUNCTION("""COMPUTED_VALUE"""),"Wounded")</f>
        <v>Wounded</v>
      </c>
      <c r="C2331" s="5" t="str">
        <f ca="1">IFERROR(__xludf.DUMMYFUNCTION("""COMPUTED_VALUE"""),"Female")</f>
        <v>Female</v>
      </c>
      <c r="D2331" s="5" t="str">
        <f ca="1">IFERROR(__xludf.DUMMYFUNCTION("""COMPUTED_VALUE"""),"Student")</f>
        <v>Student</v>
      </c>
      <c r="E2331" s="5">
        <f ca="1">IFERROR(__xludf.DUMMYFUNCTION("""COMPUTED_VALUE"""),16)</f>
        <v>16</v>
      </c>
      <c r="F2331" s="5"/>
    </row>
    <row r="2332" spans="1:6" ht="13">
      <c r="A2332" s="5" t="str">
        <f ca="1">IFERROR(__xludf.DUMMYFUNCTION("""COMPUTED_VALUE"""),"19941012NCGRG")</f>
        <v>19941012NCGRG</v>
      </c>
      <c r="B2332" s="5" t="str">
        <f ca="1">IFERROR(__xludf.DUMMYFUNCTION("""COMPUTED_VALUE"""),"Wounded")</f>
        <v>Wounded</v>
      </c>
      <c r="C2332" s="5" t="str">
        <f ca="1">IFERROR(__xludf.DUMMYFUNCTION("""COMPUTED_VALUE"""),"Male")</f>
        <v>Male</v>
      </c>
      <c r="D2332" s="5" t="str">
        <f ca="1">IFERROR(__xludf.DUMMYFUNCTION("""COMPUTED_VALUE"""),"Principal/Vice-Principal")</f>
        <v>Principal/Vice-Principal</v>
      </c>
      <c r="E2332" s="5" t="str">
        <f ca="1">IFERROR(__xludf.DUMMYFUNCTION("""COMPUTED_VALUE"""),"Adult")</f>
        <v>Adult</v>
      </c>
      <c r="F2332" s="5"/>
    </row>
    <row r="2333" spans="1:6" ht="13">
      <c r="A2333" s="5" t="str">
        <f ca="1">IFERROR(__xludf.DUMMYFUNCTION("""COMPUTED_VALUE"""),"19940922ORLEL")</f>
        <v>19940922ORLEL</v>
      </c>
      <c r="B2333" s="5" t="str">
        <f ca="1">IFERROR(__xludf.DUMMYFUNCTION("""COMPUTED_VALUE"""),"Wounded")</f>
        <v>Wounded</v>
      </c>
      <c r="C2333" s="5" t="str">
        <f ca="1">IFERROR(__xludf.DUMMYFUNCTION("""COMPUTED_VALUE"""),"Male")</f>
        <v>Male</v>
      </c>
      <c r="D2333" s="5" t="str">
        <f ca="1">IFERROR(__xludf.DUMMYFUNCTION("""COMPUTED_VALUE"""),"Student")</f>
        <v>Student</v>
      </c>
      <c r="E2333" s="5">
        <f ca="1">IFERROR(__xludf.DUMMYFUNCTION("""COMPUTED_VALUE"""),15)</f>
        <v>15</v>
      </c>
      <c r="F2333" s="5"/>
    </row>
    <row r="2334" spans="1:6" ht="13">
      <c r="A2334" s="5" t="str">
        <f ca="1">IFERROR(__xludf.DUMMYFUNCTION("""COMPUTED_VALUE"""),"19940919CALOL")</f>
        <v>19940919CALOL</v>
      </c>
      <c r="B2334" s="5" t="str">
        <f ca="1">IFERROR(__xludf.DUMMYFUNCTION("""COMPUTED_VALUE"""),"Wounded")</f>
        <v>Wounded</v>
      </c>
      <c r="C2334" s="5" t="str">
        <f ca="1">IFERROR(__xludf.DUMMYFUNCTION("""COMPUTED_VALUE"""),"Female")</f>
        <v>Female</v>
      </c>
      <c r="D2334" s="5" t="str">
        <f ca="1">IFERROR(__xludf.DUMMYFUNCTION("""COMPUTED_VALUE"""),"Student")</f>
        <v>Student</v>
      </c>
      <c r="E2334" s="5">
        <f ca="1">IFERROR(__xludf.DUMMYFUNCTION("""COMPUTED_VALUE"""),16)</f>
        <v>16</v>
      </c>
      <c r="F2334" s="5"/>
    </row>
    <row r="2335" spans="1:6" ht="13">
      <c r="A2335" s="5" t="str">
        <f ca="1">IFERROR(__xludf.DUMMYFUNCTION("""COMPUTED_VALUE"""),"19940919CALOL")</f>
        <v>19940919CALOL</v>
      </c>
      <c r="B2335" s="5" t="str">
        <f ca="1">IFERROR(__xludf.DUMMYFUNCTION("""COMPUTED_VALUE"""),"Wounded")</f>
        <v>Wounded</v>
      </c>
      <c r="C2335" s="5" t="str">
        <f ca="1">IFERROR(__xludf.DUMMYFUNCTION("""COMPUTED_VALUE"""),"Male")</f>
        <v>Male</v>
      </c>
      <c r="D2335" s="5" t="str">
        <f ca="1">IFERROR(__xludf.DUMMYFUNCTION("""COMPUTED_VALUE"""),"Student")</f>
        <v>Student</v>
      </c>
      <c r="E2335" s="5">
        <f ca="1">IFERROR(__xludf.DUMMYFUNCTION("""COMPUTED_VALUE"""),16)</f>
        <v>16</v>
      </c>
      <c r="F2335" s="5"/>
    </row>
    <row r="2336" spans="1:6" ht="13">
      <c r="A2336" s="5" t="str">
        <f ca="1">IFERROR(__xludf.DUMMYFUNCTION("""COMPUTED_VALUE"""),"19940919CALOL")</f>
        <v>19940919CALOL</v>
      </c>
      <c r="B2336" s="5" t="str">
        <f ca="1">IFERROR(__xludf.DUMMYFUNCTION("""COMPUTED_VALUE"""),"Wounded")</f>
        <v>Wounded</v>
      </c>
      <c r="C2336" s="5" t="str">
        <f ca="1">IFERROR(__xludf.DUMMYFUNCTION("""COMPUTED_VALUE"""),"Male")</f>
        <v>Male</v>
      </c>
      <c r="D2336" s="5" t="str">
        <f ca="1">IFERROR(__xludf.DUMMYFUNCTION("""COMPUTED_VALUE"""),"Student")</f>
        <v>Student</v>
      </c>
      <c r="E2336" s="5">
        <f ca="1">IFERROR(__xludf.DUMMYFUNCTION("""COMPUTED_VALUE"""),16)</f>
        <v>16</v>
      </c>
      <c r="F2336" s="5"/>
    </row>
    <row r="2337" spans="1:6" ht="13">
      <c r="A2337" s="5" t="str">
        <f ca="1">IFERROR(__xludf.DUMMYFUNCTION("""COMPUTED_VALUE"""),"19940908NYSWA")</f>
        <v>19940908NYSWA</v>
      </c>
      <c r="B2337" s="5" t="str">
        <f ca="1">IFERROR(__xludf.DUMMYFUNCTION("""COMPUTED_VALUE"""),"Wounded")</f>
        <v>Wounded</v>
      </c>
      <c r="C2337" s="5" t="str">
        <f ca="1">IFERROR(__xludf.DUMMYFUNCTION("""COMPUTED_VALUE"""),"Male")</f>
        <v>Male</v>
      </c>
      <c r="D2337" s="5" t="str">
        <f ca="1">IFERROR(__xludf.DUMMYFUNCTION("""COMPUTED_VALUE"""),"Student")</f>
        <v>Student</v>
      </c>
      <c r="E2337" s="5">
        <f ca="1">IFERROR(__xludf.DUMMYFUNCTION("""COMPUTED_VALUE"""),16)</f>
        <v>16</v>
      </c>
      <c r="F2337" s="5"/>
    </row>
    <row r="2338" spans="1:6" ht="13">
      <c r="A2338" s="5" t="str">
        <f ca="1">IFERROR(__xludf.DUMMYFUNCTION("""COMPUTED_VALUE"""),"19940907CAHOL")</f>
        <v>19940907CAHOL</v>
      </c>
      <c r="B2338" s="5" t="str">
        <f ca="1">IFERROR(__xludf.DUMMYFUNCTION("""COMPUTED_VALUE"""),"Fatal")</f>
        <v>Fatal</v>
      </c>
      <c r="C2338" s="5" t="str">
        <f ca="1">IFERROR(__xludf.DUMMYFUNCTION("""COMPUTED_VALUE"""),"Male")</f>
        <v>Male</v>
      </c>
      <c r="D2338" s="5" t="str">
        <f ca="1">IFERROR(__xludf.DUMMYFUNCTION("""COMPUTED_VALUE"""),"Student")</f>
        <v>Student</v>
      </c>
      <c r="E2338" s="5">
        <f ca="1">IFERROR(__xludf.DUMMYFUNCTION("""COMPUTED_VALUE"""),17)</f>
        <v>17</v>
      </c>
      <c r="F2338" s="5"/>
    </row>
    <row r="2339" spans="1:6" ht="13">
      <c r="A2339" s="5" t="str">
        <f ca="1">IFERROR(__xludf.DUMMYFUNCTION("""COMPUTED_VALUE"""),"19940725IAOTO")</f>
        <v>19940725IAOTO</v>
      </c>
      <c r="B2339" s="5" t="str">
        <f ca="1">IFERROR(__xludf.DUMMYFUNCTION("""COMPUTED_VALUE"""),"Fatal")</f>
        <v>Fatal</v>
      </c>
      <c r="C2339" s="5" t="str">
        <f ca="1">IFERROR(__xludf.DUMMYFUNCTION("""COMPUTED_VALUE"""),"Male")</f>
        <v>Male</v>
      </c>
      <c r="D2339" s="5" t="str">
        <f ca="1">IFERROR(__xludf.DUMMYFUNCTION("""COMPUTED_VALUE"""),"Student")</f>
        <v>Student</v>
      </c>
      <c r="E2339" s="5">
        <f ca="1">IFERROR(__xludf.DUMMYFUNCTION("""COMPUTED_VALUE"""),15)</f>
        <v>15</v>
      </c>
      <c r="F2339" s="5"/>
    </row>
    <row r="2340" spans="1:6" ht="13">
      <c r="A2340" s="5" t="str">
        <f ca="1">IFERROR(__xludf.DUMMYFUNCTION("""COMPUTED_VALUE"""),"19940724PAMAM")</f>
        <v>19940724PAMAM</v>
      </c>
      <c r="B2340" s="5" t="str">
        <f ca="1">IFERROR(__xludf.DUMMYFUNCTION("""COMPUTED_VALUE"""),"Fatal")</f>
        <v>Fatal</v>
      </c>
      <c r="C2340" s="5" t="str">
        <f ca="1">IFERROR(__xludf.DUMMYFUNCTION("""COMPUTED_VALUE"""),"Male")</f>
        <v>Male</v>
      </c>
      <c r="D2340" s="5" t="str">
        <f ca="1">IFERROR(__xludf.DUMMYFUNCTION("""COMPUTED_VALUE"""),"No Relation")</f>
        <v>No Relation</v>
      </c>
      <c r="E2340" s="5">
        <f ca="1">IFERROR(__xludf.DUMMYFUNCTION("""COMPUTED_VALUE"""),23)</f>
        <v>23</v>
      </c>
      <c r="F2340" s="5"/>
    </row>
    <row r="2341" spans="1:6" ht="13">
      <c r="A2341" s="5" t="str">
        <f ca="1">IFERROR(__xludf.DUMMYFUNCTION("""COMPUTED_VALUE"""),"19940526KYLAU")</f>
        <v>19940526KYLAU</v>
      </c>
      <c r="B2341" s="5" t="str">
        <f ca="1">IFERROR(__xludf.DUMMYFUNCTION("""COMPUTED_VALUE"""),"None")</f>
        <v>None</v>
      </c>
      <c r="C2341" s="5"/>
      <c r="D2341" s="5"/>
      <c r="E2341" s="5"/>
      <c r="F2341" s="5"/>
    </row>
    <row r="2342" spans="1:6" ht="13">
      <c r="A2342" s="5" t="str">
        <f ca="1">IFERROR(__xludf.DUMMYFUNCTION("""COMPUTED_VALUE"""),"19940525NJLAW")</f>
        <v>19940525NJLAW</v>
      </c>
      <c r="B2342" s="5" t="str">
        <f ca="1">IFERROR(__xludf.DUMMYFUNCTION("""COMPUTED_VALUE"""),"None")</f>
        <v>None</v>
      </c>
      <c r="C2342" s="5" t="str">
        <f ca="1">IFERROR(__xludf.DUMMYFUNCTION("""COMPUTED_VALUE"""),"Female")</f>
        <v>Female</v>
      </c>
      <c r="D2342" s="5" t="str">
        <f ca="1">IFERROR(__xludf.DUMMYFUNCTION("""COMPUTED_VALUE"""),"Student")</f>
        <v>Student</v>
      </c>
      <c r="E2342" s="5">
        <f ca="1">IFERROR(__xludf.DUMMYFUNCTION("""COMPUTED_VALUE"""),17)</f>
        <v>17</v>
      </c>
      <c r="F2342" s="5"/>
    </row>
    <row r="2343" spans="1:6" ht="13">
      <c r="A2343" s="5" t="str">
        <f ca="1">IFERROR(__xludf.DUMMYFUNCTION("""COMPUTED_VALUE"""),"19940525INLAS")</f>
        <v>19940525INLAS</v>
      </c>
      <c r="B2343" s="5" t="str">
        <f ca="1">IFERROR(__xludf.DUMMYFUNCTION("""COMPUTED_VALUE"""),"Wounded")</f>
        <v>Wounded</v>
      </c>
      <c r="C2343" s="5" t="str">
        <f ca="1">IFERROR(__xludf.DUMMYFUNCTION("""COMPUTED_VALUE"""),"Male")</f>
        <v>Male</v>
      </c>
      <c r="D2343" s="5" t="str">
        <f ca="1">IFERROR(__xludf.DUMMYFUNCTION("""COMPUTED_VALUE"""),"Student")</f>
        <v>Student</v>
      </c>
      <c r="E2343" s="5">
        <f ca="1">IFERROR(__xludf.DUMMYFUNCTION("""COMPUTED_VALUE"""),15)</f>
        <v>15</v>
      </c>
      <c r="F2343" s="5"/>
    </row>
    <row r="2344" spans="1:6" ht="13">
      <c r="A2344" s="5" t="str">
        <f ca="1">IFERROR(__xludf.DUMMYFUNCTION("""COMPUTED_VALUE"""),"19940502FLNON")</f>
        <v>19940502FLNON</v>
      </c>
      <c r="B2344" s="5" t="str">
        <f ca="1">IFERROR(__xludf.DUMMYFUNCTION("""COMPUTED_VALUE"""),"Fatal")</f>
        <v>Fatal</v>
      </c>
      <c r="C2344" s="5" t="str">
        <f ca="1">IFERROR(__xludf.DUMMYFUNCTION("""COMPUTED_VALUE"""),"Female")</f>
        <v>Female</v>
      </c>
      <c r="D2344" s="5" t="str">
        <f ca="1">IFERROR(__xludf.DUMMYFUNCTION("""COMPUTED_VALUE"""),"Student")</f>
        <v>Student</v>
      </c>
      <c r="E2344" s="5">
        <f ca="1">IFERROR(__xludf.DUMMYFUNCTION("""COMPUTED_VALUE"""),18)</f>
        <v>18</v>
      </c>
      <c r="F2344" s="5"/>
    </row>
    <row r="2345" spans="1:6" ht="13">
      <c r="A2345" s="5" t="str">
        <f ca="1">IFERROR(__xludf.DUMMYFUNCTION("""COMPUTED_VALUE"""),"19940421TNJTN")</f>
        <v>19940421TNJTN</v>
      </c>
      <c r="B2345" s="5" t="str">
        <f ca="1">IFERROR(__xludf.DUMMYFUNCTION("""COMPUTED_VALUE"""),"Fatal")</f>
        <v>Fatal</v>
      </c>
      <c r="C2345" s="5" t="str">
        <f ca="1">IFERROR(__xludf.DUMMYFUNCTION("""COMPUTED_VALUE"""),"Male")</f>
        <v>Male</v>
      </c>
      <c r="D2345" s="5" t="str">
        <f ca="1">IFERROR(__xludf.DUMMYFUNCTION("""COMPUTED_VALUE"""),"Student")</f>
        <v>Student</v>
      </c>
      <c r="E2345" s="5">
        <f ca="1">IFERROR(__xludf.DUMMYFUNCTION("""COMPUTED_VALUE"""),13)</f>
        <v>13</v>
      </c>
      <c r="F2345" s="5" t="str">
        <f ca="1">IFERROR(__xludf.DUMMYFUNCTION("""COMPUTED_VALUE"""),"Black")</f>
        <v>Black</v>
      </c>
    </row>
    <row r="2346" spans="1:6" ht="13">
      <c r="A2346" s="5" t="str">
        <f ca="1">IFERROR(__xludf.DUMMYFUNCTION("""COMPUTED_VALUE"""),"19940420INDIS")</f>
        <v>19940420INDIS</v>
      </c>
      <c r="B2346" s="5" t="str">
        <f ca="1">IFERROR(__xludf.DUMMYFUNCTION("""COMPUTED_VALUE"""),"Wounded")</f>
        <v>Wounded</v>
      </c>
      <c r="C2346" s="5" t="str">
        <f ca="1">IFERROR(__xludf.DUMMYFUNCTION("""COMPUTED_VALUE"""),"Male")</f>
        <v>Male</v>
      </c>
      <c r="D2346" s="5" t="str">
        <f ca="1">IFERROR(__xludf.DUMMYFUNCTION("""COMPUTED_VALUE"""),"Student")</f>
        <v>Student</v>
      </c>
      <c r="E2346" s="5">
        <f ca="1">IFERROR(__xludf.DUMMYFUNCTION("""COMPUTED_VALUE"""),14)</f>
        <v>14</v>
      </c>
      <c r="F2346" s="5" t="str">
        <f ca="1">IFERROR(__xludf.DUMMYFUNCTION("""COMPUTED_VALUE"""),"Black")</f>
        <v>Black</v>
      </c>
    </row>
    <row r="2347" spans="1:6" ht="13">
      <c r="A2347" s="5" t="str">
        <f ca="1">IFERROR(__xludf.DUMMYFUNCTION("""COMPUTED_VALUE"""),"19940419DCELW")</f>
        <v>19940419DCELW</v>
      </c>
      <c r="B2347" s="5" t="str">
        <f ca="1">IFERROR(__xludf.DUMMYFUNCTION("""COMPUTED_VALUE"""),"Fatal")</f>
        <v>Fatal</v>
      </c>
      <c r="C2347" s="5" t="str">
        <f ca="1">IFERROR(__xludf.DUMMYFUNCTION("""COMPUTED_VALUE"""),"Male")</f>
        <v>Male</v>
      </c>
      <c r="D2347" s="5" t="str">
        <f ca="1">IFERROR(__xludf.DUMMYFUNCTION("""COMPUTED_VALUE"""),"No Relation")</f>
        <v>No Relation</v>
      </c>
      <c r="E2347" s="5">
        <f ca="1">IFERROR(__xludf.DUMMYFUNCTION("""COMPUTED_VALUE"""),21)</f>
        <v>21</v>
      </c>
      <c r="F2347" s="5"/>
    </row>
    <row r="2348" spans="1:6" ht="13">
      <c r="A2348" s="5" t="str">
        <f ca="1">IFERROR(__xludf.DUMMYFUNCTION("""COMPUTED_VALUE"""),"19940413CA49L")</f>
        <v>19940413CA49L</v>
      </c>
      <c r="B2348" s="5" t="str">
        <f ca="1">IFERROR(__xludf.DUMMYFUNCTION("""COMPUTED_VALUE"""),"None")</f>
        <v>None</v>
      </c>
      <c r="C2348" s="5" t="str">
        <f ca="1">IFERROR(__xludf.DUMMYFUNCTION("""COMPUTED_VALUE"""),"Male")</f>
        <v>Male</v>
      </c>
      <c r="D2348" s="5" t="str">
        <f ca="1">IFERROR(__xludf.DUMMYFUNCTION("""COMPUTED_VALUE"""),"Student")</f>
        <v>Student</v>
      </c>
      <c r="E2348" s="5">
        <f ca="1">IFERROR(__xludf.DUMMYFUNCTION("""COMPUTED_VALUE"""),10)</f>
        <v>10</v>
      </c>
      <c r="F2348" s="5"/>
    </row>
    <row r="2349" spans="1:6" ht="13">
      <c r="A2349" s="5" t="str">
        <f ca="1">IFERROR(__xludf.DUMMYFUNCTION("""COMPUTED_VALUE"""),"19940412MTMAB")</f>
        <v>19940412MTMAB</v>
      </c>
      <c r="B2349" s="5" t="str">
        <f ca="1">IFERROR(__xludf.DUMMYFUNCTION("""COMPUTED_VALUE"""),"Fatal")</f>
        <v>Fatal</v>
      </c>
      <c r="C2349" s="5" t="str">
        <f ca="1">IFERROR(__xludf.DUMMYFUNCTION("""COMPUTED_VALUE"""),"Male")</f>
        <v>Male</v>
      </c>
      <c r="D2349" s="5" t="str">
        <f ca="1">IFERROR(__xludf.DUMMYFUNCTION("""COMPUTED_VALUE"""),"Student")</f>
        <v>Student</v>
      </c>
      <c r="E2349" s="5">
        <f ca="1">IFERROR(__xludf.DUMMYFUNCTION("""COMPUTED_VALUE"""),11)</f>
        <v>11</v>
      </c>
      <c r="F2349" s="5" t="str">
        <f ca="1">IFERROR(__xludf.DUMMYFUNCTION("""COMPUTED_VALUE"""),"White")</f>
        <v>White</v>
      </c>
    </row>
    <row r="2350" spans="1:6" ht="13">
      <c r="A2350" s="5" t="str">
        <f ca="1">IFERROR(__xludf.DUMMYFUNCTION("""COMPUTED_VALUE"""),"19940408MDLAU")</f>
        <v>19940408MDLAU</v>
      </c>
      <c r="B2350" s="5" t="str">
        <f ca="1">IFERROR(__xludf.DUMMYFUNCTION("""COMPUTED_VALUE"""),"Wounded")</f>
        <v>Wounded</v>
      </c>
      <c r="C2350" s="5" t="str">
        <f ca="1">IFERROR(__xludf.DUMMYFUNCTION("""COMPUTED_VALUE"""),"Male")</f>
        <v>Male</v>
      </c>
      <c r="D2350" s="5" t="str">
        <f ca="1">IFERROR(__xludf.DUMMYFUNCTION("""COMPUTED_VALUE"""),"Teacher")</f>
        <v>Teacher</v>
      </c>
      <c r="E2350" s="5">
        <f ca="1">IFERROR(__xludf.DUMMYFUNCTION("""COMPUTED_VALUE"""),45)</f>
        <v>45</v>
      </c>
      <c r="F2350" s="5"/>
    </row>
    <row r="2351" spans="1:6" ht="13">
      <c r="A2351" s="5" t="str">
        <f ca="1">IFERROR(__xludf.DUMMYFUNCTION("""COMPUTED_VALUE"""),"19940405TXMCA")</f>
        <v>19940405TXMCA</v>
      </c>
      <c r="B2351" s="5" t="str">
        <f ca="1">IFERROR(__xludf.DUMMYFUNCTION("""COMPUTED_VALUE"""),"Wounded")</f>
        <v>Wounded</v>
      </c>
      <c r="C2351" s="5" t="str">
        <f ca="1">IFERROR(__xludf.DUMMYFUNCTION("""COMPUTED_VALUE"""),"Female")</f>
        <v>Female</v>
      </c>
      <c r="D2351" s="5" t="str">
        <f ca="1">IFERROR(__xludf.DUMMYFUNCTION("""COMPUTED_VALUE"""),"Student")</f>
        <v>Student</v>
      </c>
      <c r="E2351" s="5">
        <f ca="1">IFERROR(__xludf.DUMMYFUNCTION("""COMPUTED_VALUE"""),18)</f>
        <v>18</v>
      </c>
      <c r="F2351" s="5"/>
    </row>
    <row r="2352" spans="1:6" ht="13">
      <c r="A2352" s="5" t="str">
        <f ca="1">IFERROR(__xludf.DUMMYFUNCTION("""COMPUTED_VALUE"""),"19940405TXMCA")</f>
        <v>19940405TXMCA</v>
      </c>
      <c r="B2352" s="5" t="str">
        <f ca="1">IFERROR(__xludf.DUMMYFUNCTION("""COMPUTED_VALUE"""),"Wounded")</f>
        <v>Wounded</v>
      </c>
      <c r="C2352" s="5" t="str">
        <f ca="1">IFERROR(__xludf.DUMMYFUNCTION("""COMPUTED_VALUE"""),"Female")</f>
        <v>Female</v>
      </c>
      <c r="D2352" s="5" t="str">
        <f ca="1">IFERROR(__xludf.DUMMYFUNCTION("""COMPUTED_VALUE"""),"Student")</f>
        <v>Student</v>
      </c>
      <c r="E2352" s="5">
        <f ca="1">IFERROR(__xludf.DUMMYFUNCTION("""COMPUTED_VALUE"""),17)</f>
        <v>17</v>
      </c>
      <c r="F2352" s="5"/>
    </row>
    <row r="2353" spans="1:6" ht="13">
      <c r="A2353" s="5" t="str">
        <f ca="1">IFERROR(__xludf.DUMMYFUNCTION("""COMPUTED_VALUE"""),"19940325GAETC")</f>
        <v>19940325GAETC</v>
      </c>
      <c r="B2353" s="5" t="str">
        <f ca="1">IFERROR(__xludf.DUMMYFUNCTION("""COMPUTED_VALUE"""),"None")</f>
        <v>None</v>
      </c>
      <c r="C2353" s="5" t="str">
        <f ca="1">IFERROR(__xludf.DUMMYFUNCTION("""COMPUTED_VALUE"""),"Male")</f>
        <v>Male</v>
      </c>
      <c r="D2353" s="5" t="str">
        <f ca="1">IFERROR(__xludf.DUMMYFUNCTION("""COMPUTED_VALUE"""),"Student")</f>
        <v>Student</v>
      </c>
      <c r="E2353" s="5">
        <f ca="1">IFERROR(__xludf.DUMMYFUNCTION("""COMPUTED_VALUE"""),15)</f>
        <v>15</v>
      </c>
      <c r="F2353" s="5"/>
    </row>
    <row r="2354" spans="1:6" ht="13">
      <c r="A2354" s="5" t="str">
        <f ca="1">IFERROR(__xludf.DUMMYFUNCTION("""COMPUTED_VALUE"""),"19940323WABAS")</f>
        <v>19940323WABAS</v>
      </c>
      <c r="B2354" s="5" t="str">
        <f ca="1">IFERROR(__xludf.DUMMYFUNCTION("""COMPUTED_VALUE"""),"Fatal")</f>
        <v>Fatal</v>
      </c>
      <c r="C2354" s="5" t="str">
        <f ca="1">IFERROR(__xludf.DUMMYFUNCTION("""COMPUTED_VALUE"""),"Male")</f>
        <v>Male</v>
      </c>
      <c r="D2354" s="5" t="str">
        <f ca="1">IFERROR(__xludf.DUMMYFUNCTION("""COMPUTED_VALUE"""),"Student")</f>
        <v>Student</v>
      </c>
      <c r="E2354" s="5">
        <f ca="1">IFERROR(__xludf.DUMMYFUNCTION("""COMPUTED_VALUE"""),16)</f>
        <v>16</v>
      </c>
      <c r="F2354" s="5"/>
    </row>
    <row r="2355" spans="1:6" ht="13">
      <c r="A2355" s="5" t="str">
        <f ca="1">IFERROR(__xludf.DUMMYFUNCTION("""COMPUTED_VALUE"""),"19940323WABAS")</f>
        <v>19940323WABAS</v>
      </c>
      <c r="B2355" s="5" t="str">
        <f ca="1">IFERROR(__xludf.DUMMYFUNCTION("""COMPUTED_VALUE"""),"Wounded")</f>
        <v>Wounded</v>
      </c>
      <c r="C2355" s="5" t="str">
        <f ca="1">IFERROR(__xludf.DUMMYFUNCTION("""COMPUTED_VALUE"""),"Female")</f>
        <v>Female</v>
      </c>
      <c r="D2355" s="5" t="str">
        <f ca="1">IFERROR(__xludf.DUMMYFUNCTION("""COMPUTED_VALUE"""),"Student")</f>
        <v>Student</v>
      </c>
      <c r="E2355" s="5" t="str">
        <f ca="1">IFERROR(__xludf.DUMMYFUNCTION("""COMPUTED_VALUE"""),"Teen")</f>
        <v>Teen</v>
      </c>
      <c r="F2355" s="5"/>
    </row>
    <row r="2356" spans="1:6" ht="13">
      <c r="A2356" s="5" t="str">
        <f ca="1">IFERROR(__xludf.DUMMYFUNCTION("""COMPUTED_VALUE"""),"19940315SCGOC")</f>
        <v>19940315SCGOC</v>
      </c>
      <c r="B2356" s="5" t="str">
        <f ca="1">IFERROR(__xludf.DUMMYFUNCTION("""COMPUTED_VALUE"""),"Fatal")</f>
        <v>Fatal</v>
      </c>
      <c r="C2356" s="5" t="str">
        <f ca="1">IFERROR(__xludf.DUMMYFUNCTION("""COMPUTED_VALUE"""),"Male")</f>
        <v>Male</v>
      </c>
      <c r="D2356" s="5" t="str">
        <f ca="1">IFERROR(__xludf.DUMMYFUNCTION("""COMPUTED_VALUE"""),"Student")</f>
        <v>Student</v>
      </c>
      <c r="E2356" s="5">
        <f ca="1">IFERROR(__xludf.DUMMYFUNCTION("""COMPUTED_VALUE"""),18)</f>
        <v>18</v>
      </c>
      <c r="F2356" s="5"/>
    </row>
    <row r="2357" spans="1:6" ht="13">
      <c r="A2357" s="5" t="str">
        <f ca="1">IFERROR(__xludf.DUMMYFUNCTION("""COMPUTED_VALUE"""),"19940309DCEAW")</f>
        <v>19940309DCEAW</v>
      </c>
      <c r="B2357" s="5" t="str">
        <f ca="1">IFERROR(__xludf.DUMMYFUNCTION("""COMPUTED_VALUE"""),"Fatal")</f>
        <v>Fatal</v>
      </c>
      <c r="C2357" s="5" t="str">
        <f ca="1">IFERROR(__xludf.DUMMYFUNCTION("""COMPUTED_VALUE"""),"Male")</f>
        <v>Male</v>
      </c>
      <c r="D2357" s="5" t="str">
        <f ca="1">IFERROR(__xludf.DUMMYFUNCTION("""COMPUTED_VALUE"""),"Student")</f>
        <v>Student</v>
      </c>
      <c r="E2357" s="5">
        <f ca="1">IFERROR(__xludf.DUMMYFUNCTION("""COMPUTED_VALUE"""),17)</f>
        <v>17</v>
      </c>
      <c r="F2357" s="5"/>
    </row>
    <row r="2358" spans="1:6" ht="13">
      <c r="A2358" s="5" t="str">
        <f ca="1">IFERROR(__xludf.DUMMYFUNCTION("""COMPUTED_VALUE"""),"19940303ALENB")</f>
        <v>19940303ALENB</v>
      </c>
      <c r="B2358" s="5" t="str">
        <f ca="1">IFERROR(__xludf.DUMMYFUNCTION("""COMPUTED_VALUE"""),"Wounded")</f>
        <v>Wounded</v>
      </c>
      <c r="C2358" s="5" t="str">
        <f ca="1">IFERROR(__xludf.DUMMYFUNCTION("""COMPUTED_VALUE"""),"Male")</f>
        <v>Male</v>
      </c>
      <c r="D2358" s="5" t="str">
        <f ca="1">IFERROR(__xludf.DUMMYFUNCTION("""COMPUTED_VALUE"""),"Student")</f>
        <v>Student</v>
      </c>
      <c r="E2358" s="5">
        <f ca="1">IFERROR(__xludf.DUMMYFUNCTION("""COMPUTED_VALUE"""),15)</f>
        <v>15</v>
      </c>
      <c r="F2358" s="5"/>
    </row>
    <row r="2359" spans="1:6" ht="13">
      <c r="A2359" s="5" t="str">
        <f ca="1">IFERROR(__xludf.DUMMYFUNCTION("""COMPUTED_VALUE"""),"19940301MOKEB")</f>
        <v>19940301MOKEB</v>
      </c>
      <c r="B2359" s="5" t="str">
        <f ca="1">IFERROR(__xludf.DUMMYFUNCTION("""COMPUTED_VALUE"""),"Fatal")</f>
        <v>Fatal</v>
      </c>
      <c r="C2359" s="5" t="str">
        <f ca="1">IFERROR(__xludf.DUMMYFUNCTION("""COMPUTED_VALUE"""),"Male")</f>
        <v>Male</v>
      </c>
      <c r="D2359" s="5" t="str">
        <f ca="1">IFERROR(__xludf.DUMMYFUNCTION("""COMPUTED_VALUE"""),"Other Staff")</f>
        <v>Other Staff</v>
      </c>
      <c r="E2359" s="5">
        <f ca="1">IFERROR(__xludf.DUMMYFUNCTION("""COMPUTED_VALUE"""),58)</f>
        <v>58</v>
      </c>
      <c r="F2359" s="5"/>
    </row>
    <row r="2360" spans="1:6" ht="13">
      <c r="A2360" s="5" t="str">
        <f ca="1">IFERROR(__xludf.DUMMYFUNCTION("""COMPUTED_VALUE"""),"19940301MOKEB")</f>
        <v>19940301MOKEB</v>
      </c>
      <c r="B2360" s="5" t="str">
        <f ca="1">IFERROR(__xludf.DUMMYFUNCTION("""COMPUTED_VALUE"""),"Fatal")</f>
        <v>Fatal</v>
      </c>
      <c r="C2360" s="5" t="str">
        <f ca="1">IFERROR(__xludf.DUMMYFUNCTION("""COMPUTED_VALUE"""),"Male")</f>
        <v>Male</v>
      </c>
      <c r="D2360" s="5" t="str">
        <f ca="1">IFERROR(__xludf.DUMMYFUNCTION("""COMPUTED_VALUE"""),"Other Staff")</f>
        <v>Other Staff</v>
      </c>
      <c r="E2360" s="5">
        <f ca="1">IFERROR(__xludf.DUMMYFUNCTION("""COMPUTED_VALUE"""),33)</f>
        <v>33</v>
      </c>
      <c r="F2360" s="5"/>
    </row>
    <row r="2361" spans="1:6" ht="13">
      <c r="A2361" s="5" t="str">
        <f ca="1">IFERROR(__xludf.DUMMYFUNCTION("""COMPUTED_VALUE"""),"19940218SCSPS")</f>
        <v>19940218SCSPS</v>
      </c>
      <c r="B2361" s="5" t="str">
        <f ca="1">IFERROR(__xludf.DUMMYFUNCTION("""COMPUTED_VALUE"""),"Wounded")</f>
        <v>Wounded</v>
      </c>
      <c r="C2361" s="5" t="str">
        <f ca="1">IFERROR(__xludf.DUMMYFUNCTION("""COMPUTED_VALUE"""),"Male")</f>
        <v>Male</v>
      </c>
      <c r="D2361" s="5" t="str">
        <f ca="1">IFERROR(__xludf.DUMMYFUNCTION("""COMPUTED_VALUE"""),"No Relation")</f>
        <v>No Relation</v>
      </c>
      <c r="E2361" s="5">
        <f ca="1">IFERROR(__xludf.DUMMYFUNCTION("""COMPUTED_VALUE"""),24)</f>
        <v>24</v>
      </c>
      <c r="F2361" s="5"/>
    </row>
    <row r="2362" spans="1:6" ht="13">
      <c r="A2362" s="5" t="str">
        <f ca="1">IFERROR(__xludf.DUMMYFUNCTION("""COMPUTED_VALUE"""),"19940208MIOSD")</f>
        <v>19940208MIOSD</v>
      </c>
      <c r="B2362" s="5" t="str">
        <f ca="1">IFERROR(__xludf.DUMMYFUNCTION("""COMPUTED_VALUE"""),"Fatal")</f>
        <v>Fatal</v>
      </c>
      <c r="C2362" s="5" t="str">
        <f ca="1">IFERROR(__xludf.DUMMYFUNCTION("""COMPUTED_VALUE"""),"Male")</f>
        <v>Male</v>
      </c>
      <c r="D2362" s="5" t="str">
        <f ca="1">IFERROR(__xludf.DUMMYFUNCTION("""COMPUTED_VALUE"""),"Student")</f>
        <v>Student</v>
      </c>
      <c r="E2362" s="5">
        <f ca="1">IFERROR(__xludf.DUMMYFUNCTION("""COMPUTED_VALUE"""),19)</f>
        <v>19</v>
      </c>
      <c r="F2362" s="5"/>
    </row>
    <row r="2363" spans="1:6" ht="13">
      <c r="A2363" s="5" t="str">
        <f ca="1">IFERROR(__xludf.DUMMYFUNCTION("""COMPUTED_VALUE"""),"19940131WAWHS")</f>
        <v>19940131WAWHS</v>
      </c>
      <c r="B2363" s="5" t="str">
        <f ca="1">IFERROR(__xludf.DUMMYFUNCTION("""COMPUTED_VALUE"""),"Fatal")</f>
        <v>Fatal</v>
      </c>
      <c r="C2363" s="5" t="str">
        <f ca="1">IFERROR(__xludf.DUMMYFUNCTION("""COMPUTED_VALUE"""),"Male")</f>
        <v>Male</v>
      </c>
      <c r="D2363" s="5" t="str">
        <f ca="1">IFERROR(__xludf.DUMMYFUNCTION("""COMPUTED_VALUE"""),"Teacher")</f>
        <v>Teacher</v>
      </c>
      <c r="E2363" s="5">
        <f ca="1">IFERROR(__xludf.DUMMYFUNCTION("""COMPUTED_VALUE"""),45)</f>
        <v>45</v>
      </c>
      <c r="F2363" s="5"/>
    </row>
    <row r="2364" spans="1:6" ht="13">
      <c r="A2364" s="5" t="str">
        <f ca="1">IFERROR(__xludf.DUMMYFUNCTION("""COMPUTED_VALUE"""),"19940127CAWAS")</f>
        <v>19940127CAWAS</v>
      </c>
      <c r="B2364" s="5" t="str">
        <f ca="1">IFERROR(__xludf.DUMMYFUNCTION("""COMPUTED_VALUE"""),"Fatal")</f>
        <v>Fatal</v>
      </c>
      <c r="C2364" s="5" t="str">
        <f ca="1">IFERROR(__xludf.DUMMYFUNCTION("""COMPUTED_VALUE"""),"Male")</f>
        <v>Male</v>
      </c>
      <c r="D2364" s="5" t="str">
        <f ca="1">IFERROR(__xludf.DUMMYFUNCTION("""COMPUTED_VALUE"""),"Parent")</f>
        <v>Parent</v>
      </c>
      <c r="E2364" s="5">
        <f ca="1">IFERROR(__xludf.DUMMYFUNCTION("""COMPUTED_VALUE"""),22)</f>
        <v>22</v>
      </c>
      <c r="F2364" s="5" t="str">
        <f ca="1">IFERROR(__xludf.DUMMYFUNCTION("""COMPUTED_VALUE"""),"Hispanic")</f>
        <v>Hispanic</v>
      </c>
    </row>
    <row r="2365" spans="1:6" ht="13">
      <c r="A2365" s="5" t="str">
        <f ca="1">IFERROR(__xludf.DUMMYFUNCTION("""COMPUTED_VALUE"""),"19940126DCPAW")</f>
        <v>19940126DCPAW</v>
      </c>
      <c r="B2365" s="5" t="str">
        <f ca="1">IFERROR(__xludf.DUMMYFUNCTION("""COMPUTED_VALUE"""),"None")</f>
        <v>None</v>
      </c>
      <c r="C2365" s="5"/>
      <c r="D2365" s="5"/>
      <c r="E2365" s="5"/>
      <c r="F2365" s="5"/>
    </row>
    <row r="2366" spans="1:6" ht="13">
      <c r="A2366" s="5" t="str">
        <f ca="1">IFERROR(__xludf.DUMMYFUNCTION("""COMPUTED_VALUE"""),"19940126DCELW")</f>
        <v>19940126DCELW</v>
      </c>
      <c r="B2366" s="5" t="str">
        <f ca="1">IFERROR(__xludf.DUMMYFUNCTION("""COMPUTED_VALUE"""),"None")</f>
        <v>None</v>
      </c>
      <c r="C2366" s="5"/>
      <c r="D2366" s="5"/>
      <c r="E2366" s="5"/>
      <c r="F2366" s="5"/>
    </row>
    <row r="2367" spans="1:6" ht="13">
      <c r="A2367" s="5" t="str">
        <f ca="1">IFERROR(__xludf.DUMMYFUNCTION("""COMPUTED_VALUE"""),"19940124SCEAC")</f>
        <v>19940124SCEAC</v>
      </c>
      <c r="B2367" s="5" t="str">
        <f ca="1">IFERROR(__xludf.DUMMYFUNCTION("""COMPUTED_VALUE"""),"Fatal")</f>
        <v>Fatal</v>
      </c>
      <c r="C2367" s="5" t="str">
        <f ca="1">IFERROR(__xludf.DUMMYFUNCTION("""COMPUTED_VALUE"""),"Male")</f>
        <v>Male</v>
      </c>
      <c r="D2367" s="5" t="str">
        <f ca="1">IFERROR(__xludf.DUMMYFUNCTION("""COMPUTED_VALUE"""),"Student")</f>
        <v>Student</v>
      </c>
      <c r="E2367" s="5">
        <f ca="1">IFERROR(__xludf.DUMMYFUNCTION("""COMPUTED_VALUE"""),17)</f>
        <v>17</v>
      </c>
      <c r="F2367" s="5"/>
    </row>
    <row r="2368" spans="1:6" ht="13">
      <c r="A2368" s="5" t="str">
        <f ca="1">IFERROR(__xludf.DUMMYFUNCTION("""COMPUTED_VALUE"""),"19940121TXKEK")</f>
        <v>19940121TXKEK</v>
      </c>
      <c r="B2368" s="5" t="str">
        <f ca="1">IFERROR(__xludf.DUMMYFUNCTION("""COMPUTED_VALUE"""),"None")</f>
        <v>None</v>
      </c>
      <c r="C2368" s="5" t="str">
        <f ca="1">IFERROR(__xludf.DUMMYFUNCTION("""COMPUTED_VALUE"""),"Male")</f>
        <v>Male</v>
      </c>
      <c r="D2368" s="5" t="str">
        <f ca="1">IFERROR(__xludf.DUMMYFUNCTION("""COMPUTED_VALUE"""),"Student")</f>
        <v>Student</v>
      </c>
      <c r="E2368" s="5">
        <f ca="1">IFERROR(__xludf.DUMMYFUNCTION("""COMPUTED_VALUE"""),17)</f>
        <v>17</v>
      </c>
      <c r="F2368" s="5"/>
    </row>
    <row r="2369" spans="1:6" ht="13">
      <c r="A2369" s="5" t="str">
        <f ca="1">IFERROR(__xludf.DUMMYFUNCTION("""COMPUTED_VALUE"""),"19940120CALOH")</f>
        <v>19940120CALOH</v>
      </c>
      <c r="B2369" s="5" t="str">
        <f ca="1">IFERROR(__xludf.DUMMYFUNCTION("""COMPUTED_VALUE"""),"Fatal")</f>
        <v>Fatal</v>
      </c>
      <c r="C2369" s="5" t="str">
        <f ca="1">IFERROR(__xludf.DUMMYFUNCTION("""COMPUTED_VALUE"""),"Male")</f>
        <v>Male</v>
      </c>
      <c r="D2369" s="5" t="str">
        <f ca="1">IFERROR(__xludf.DUMMYFUNCTION("""COMPUTED_VALUE"""),"Student")</f>
        <v>Student</v>
      </c>
      <c r="E2369" s="5">
        <f ca="1">IFERROR(__xludf.DUMMYFUNCTION("""COMPUTED_VALUE"""),17)</f>
        <v>17</v>
      </c>
      <c r="F2369" s="5"/>
    </row>
    <row r="2370" spans="1:6" ht="13">
      <c r="A2370" s="5" t="str">
        <f ca="1">IFERROR(__xludf.DUMMYFUNCTION("""COMPUTED_VALUE"""),"19931217MICHC")</f>
        <v>19931217MICHC</v>
      </c>
      <c r="B2370" s="5" t="str">
        <f ca="1">IFERROR(__xludf.DUMMYFUNCTION("""COMPUTED_VALUE"""),"Fatal")</f>
        <v>Fatal</v>
      </c>
      <c r="C2370" s="5" t="str">
        <f ca="1">IFERROR(__xludf.DUMMYFUNCTION("""COMPUTED_VALUE"""),"Male")</f>
        <v>Male</v>
      </c>
      <c r="D2370" s="5" t="str">
        <f ca="1">IFERROR(__xludf.DUMMYFUNCTION("""COMPUTED_VALUE"""),"Other Staff")</f>
        <v>Other Staff</v>
      </c>
      <c r="E2370" s="5" t="str">
        <f ca="1">IFERROR(__xludf.DUMMYFUNCTION("""COMPUTED_VALUE"""),"Adult")</f>
        <v>Adult</v>
      </c>
      <c r="F2370" s="5"/>
    </row>
    <row r="2371" spans="1:6" ht="13">
      <c r="A2371" s="5" t="str">
        <f ca="1">IFERROR(__xludf.DUMMYFUNCTION("""COMPUTED_VALUE"""),"19931217MICHC")</f>
        <v>19931217MICHC</v>
      </c>
      <c r="B2371" s="5" t="str">
        <f ca="1">IFERROR(__xludf.DUMMYFUNCTION("""COMPUTED_VALUE"""),"Wounded")</f>
        <v>Wounded</v>
      </c>
      <c r="C2371" s="5" t="str">
        <f ca="1">IFERROR(__xludf.DUMMYFUNCTION("""COMPUTED_VALUE"""),"Male")</f>
        <v>Male</v>
      </c>
      <c r="D2371" s="5" t="str">
        <f ca="1">IFERROR(__xludf.DUMMYFUNCTION("""COMPUTED_VALUE"""),"Teacher")</f>
        <v>Teacher</v>
      </c>
      <c r="E2371" s="5" t="str">
        <f ca="1">IFERROR(__xludf.DUMMYFUNCTION("""COMPUTED_VALUE"""),"Adult")</f>
        <v>Adult</v>
      </c>
      <c r="F2371" s="5"/>
    </row>
    <row r="2372" spans="1:6" ht="13">
      <c r="A2372" s="5" t="str">
        <f ca="1">IFERROR(__xludf.DUMMYFUNCTION("""COMPUTED_VALUE"""),"19931217MICHC")</f>
        <v>19931217MICHC</v>
      </c>
      <c r="B2372" s="5" t="str">
        <f ca="1">IFERROR(__xludf.DUMMYFUNCTION("""COMPUTED_VALUE"""),"Wounded")</f>
        <v>Wounded</v>
      </c>
      <c r="C2372" s="5" t="str">
        <f ca="1">IFERROR(__xludf.DUMMYFUNCTION("""COMPUTED_VALUE"""),"Male")</f>
        <v>Male</v>
      </c>
      <c r="D2372" s="5" t="str">
        <f ca="1">IFERROR(__xludf.DUMMYFUNCTION("""COMPUTED_VALUE"""),"Teacher")</f>
        <v>Teacher</v>
      </c>
      <c r="E2372" s="5" t="str">
        <f ca="1">IFERROR(__xludf.DUMMYFUNCTION("""COMPUTED_VALUE"""),"Adult")</f>
        <v>Adult</v>
      </c>
      <c r="F2372" s="5"/>
    </row>
    <row r="2373" spans="1:6" ht="13">
      <c r="A2373" s="5" t="str">
        <f ca="1">IFERROR(__xludf.DUMMYFUNCTION("""COMPUTED_VALUE"""),"19931215CACHS")</f>
        <v>19931215CACHS</v>
      </c>
      <c r="B2373" s="5" t="str">
        <f ca="1">IFERROR(__xludf.DUMMYFUNCTION("""COMPUTED_VALUE"""),"Fatal")</f>
        <v>Fatal</v>
      </c>
      <c r="C2373" s="5" t="str">
        <f ca="1">IFERROR(__xludf.DUMMYFUNCTION("""COMPUTED_VALUE"""),"Male")</f>
        <v>Male</v>
      </c>
      <c r="D2373" s="5" t="str">
        <f ca="1">IFERROR(__xludf.DUMMYFUNCTION("""COMPUTED_VALUE"""),"Student")</f>
        <v>Student</v>
      </c>
      <c r="E2373" s="5">
        <f ca="1">IFERROR(__xludf.DUMMYFUNCTION("""COMPUTED_VALUE"""),17)</f>
        <v>17</v>
      </c>
      <c r="F2373" s="5"/>
    </row>
    <row r="2374" spans="1:6" ht="13">
      <c r="A2374" s="5" t="str">
        <f ca="1">IFERROR(__xludf.DUMMYFUNCTION("""COMPUTED_VALUE"""),"19931208GABES")</f>
        <v>19931208GABES</v>
      </c>
      <c r="B2374" s="5" t="str">
        <f ca="1">IFERROR(__xludf.DUMMYFUNCTION("""COMPUTED_VALUE"""),"Fatal")</f>
        <v>Fatal</v>
      </c>
      <c r="C2374" s="5" t="str">
        <f ca="1">IFERROR(__xludf.DUMMYFUNCTION("""COMPUTED_VALUE"""),"Male")</f>
        <v>Male</v>
      </c>
      <c r="D2374" s="5" t="str">
        <f ca="1">IFERROR(__xludf.DUMMYFUNCTION("""COMPUTED_VALUE"""),"Student")</f>
        <v>Student</v>
      </c>
      <c r="E2374" s="5">
        <f ca="1">IFERROR(__xludf.DUMMYFUNCTION("""COMPUTED_VALUE"""),15)</f>
        <v>15</v>
      </c>
      <c r="F2374" s="5"/>
    </row>
    <row r="2375" spans="1:6" ht="13">
      <c r="A2375" s="5" t="str">
        <f ca="1">IFERROR(__xludf.DUMMYFUNCTION("""COMPUTED_VALUE"""),"19931202CTNEN")</f>
        <v>19931202CTNEN</v>
      </c>
      <c r="B2375" s="5" t="str">
        <f ca="1">IFERROR(__xludf.DUMMYFUNCTION("""COMPUTED_VALUE"""),"Fatal")</f>
        <v>Fatal</v>
      </c>
      <c r="C2375" s="5" t="str">
        <f ca="1">IFERROR(__xludf.DUMMYFUNCTION("""COMPUTED_VALUE"""),"Male")</f>
        <v>Male</v>
      </c>
      <c r="D2375" s="5" t="str">
        <f ca="1">IFERROR(__xludf.DUMMYFUNCTION("""COMPUTED_VALUE"""),"Student")</f>
        <v>Student</v>
      </c>
      <c r="E2375" s="5">
        <f ca="1">IFERROR(__xludf.DUMMYFUNCTION("""COMPUTED_VALUE"""),18)</f>
        <v>18</v>
      </c>
      <c r="F2375" s="5" t="str">
        <f ca="1">IFERROR(__xludf.DUMMYFUNCTION("""COMPUTED_VALUE"""),"White")</f>
        <v>White</v>
      </c>
    </row>
    <row r="2376" spans="1:6" ht="13">
      <c r="A2376" s="5" t="str">
        <f ca="1">IFERROR(__xludf.DUMMYFUNCTION("""COMPUTED_VALUE"""),"19931201WIWAW")</f>
        <v>19931201WIWAW</v>
      </c>
      <c r="B2376" s="5" t="str">
        <f ca="1">IFERROR(__xludf.DUMMYFUNCTION("""COMPUTED_VALUE"""),"Fatal")</f>
        <v>Fatal</v>
      </c>
      <c r="C2376" s="5" t="str">
        <f ca="1">IFERROR(__xludf.DUMMYFUNCTION("""COMPUTED_VALUE"""),"Male")</f>
        <v>Male</v>
      </c>
      <c r="D2376" s="5" t="str">
        <f ca="1">IFERROR(__xludf.DUMMYFUNCTION("""COMPUTED_VALUE"""),"Teacher")</f>
        <v>Teacher</v>
      </c>
      <c r="E2376" s="5">
        <f ca="1">IFERROR(__xludf.DUMMYFUNCTION("""COMPUTED_VALUE"""),46)</f>
        <v>46</v>
      </c>
      <c r="F2376" s="5"/>
    </row>
    <row r="2377" spans="1:6" ht="13">
      <c r="A2377" s="5" t="str">
        <f ca="1">IFERROR(__xludf.DUMMYFUNCTION("""COMPUTED_VALUE"""),"19931111ILRIS")</f>
        <v>19931111ILRIS</v>
      </c>
      <c r="B2377" s="5" t="str">
        <f ca="1">IFERROR(__xludf.DUMMYFUNCTION("""COMPUTED_VALUE"""),"Fatal")</f>
        <v>Fatal</v>
      </c>
      <c r="C2377" s="5" t="str">
        <f ca="1">IFERROR(__xludf.DUMMYFUNCTION("""COMPUTED_VALUE"""),"Male")</f>
        <v>Male</v>
      </c>
      <c r="D2377" s="5" t="str">
        <f ca="1">IFERROR(__xludf.DUMMYFUNCTION("""COMPUTED_VALUE"""),"No Relation")</f>
        <v>No Relation</v>
      </c>
      <c r="E2377" s="5">
        <f ca="1">IFERROR(__xludf.DUMMYFUNCTION("""COMPUTED_VALUE"""),14)</f>
        <v>14</v>
      </c>
      <c r="F2377" s="5"/>
    </row>
    <row r="2378" spans="1:6" ht="13">
      <c r="A2378" s="5" t="str">
        <f ca="1">IFERROR(__xludf.DUMMYFUNCTION("""COMPUTED_VALUE"""),"19931104MSBAB")</f>
        <v>19931104MSBAB</v>
      </c>
      <c r="B2378" s="5" t="str">
        <f ca="1">IFERROR(__xludf.DUMMYFUNCTION("""COMPUTED_VALUE"""),"Fatal")</f>
        <v>Fatal</v>
      </c>
      <c r="C2378" s="5" t="str">
        <f ca="1">IFERROR(__xludf.DUMMYFUNCTION("""COMPUTED_VALUE"""),"Male")</f>
        <v>Male</v>
      </c>
      <c r="D2378" s="5" t="str">
        <f ca="1">IFERROR(__xludf.DUMMYFUNCTION("""COMPUTED_VALUE"""),"Student")</f>
        <v>Student</v>
      </c>
      <c r="E2378" s="5">
        <f ca="1">IFERROR(__xludf.DUMMYFUNCTION("""COMPUTED_VALUE"""),16)</f>
        <v>16</v>
      </c>
      <c r="F2378" s="5"/>
    </row>
    <row r="2379" spans="1:6" ht="13">
      <c r="A2379" s="5" t="str">
        <f ca="1">IFERROR(__xludf.DUMMYFUNCTION("""COMPUTED_VALUE"""),"19931104FLTEJ")</f>
        <v>19931104FLTEJ</v>
      </c>
      <c r="B2379" s="5" t="str">
        <f ca="1">IFERROR(__xludf.DUMMYFUNCTION("""COMPUTED_VALUE"""),"Fatal")</f>
        <v>Fatal</v>
      </c>
      <c r="C2379" s="5" t="str">
        <f ca="1">IFERROR(__xludf.DUMMYFUNCTION("""COMPUTED_VALUE"""),"Male")</f>
        <v>Male</v>
      </c>
      <c r="D2379" s="5" t="str">
        <f ca="1">IFERROR(__xludf.DUMMYFUNCTION("""COMPUTED_VALUE"""),"Student")</f>
        <v>Student</v>
      </c>
      <c r="E2379" s="5">
        <f ca="1">IFERROR(__xludf.DUMMYFUNCTION("""COMPUTED_VALUE"""),14)</f>
        <v>14</v>
      </c>
      <c r="F2379" s="5"/>
    </row>
    <row r="2380" spans="1:6" ht="13">
      <c r="A2380" s="5" t="str">
        <f ca="1">IFERROR(__xludf.DUMMYFUNCTION("""COMPUTED_VALUE"""),"19931104CTNEN")</f>
        <v>19931104CTNEN</v>
      </c>
      <c r="B2380" s="5" t="str">
        <f ca="1">IFERROR(__xludf.DUMMYFUNCTION("""COMPUTED_VALUE"""),"Fatal")</f>
        <v>Fatal</v>
      </c>
      <c r="C2380" s="5" t="str">
        <f ca="1">IFERROR(__xludf.DUMMYFUNCTION("""COMPUTED_VALUE"""),"Male")</f>
        <v>Male</v>
      </c>
      <c r="D2380" s="5" t="str">
        <f ca="1">IFERROR(__xludf.DUMMYFUNCTION("""COMPUTED_VALUE"""),"Student")</f>
        <v>Student</v>
      </c>
      <c r="E2380" s="5">
        <f ca="1">IFERROR(__xludf.DUMMYFUNCTION("""COMPUTED_VALUE"""),18)</f>
        <v>18</v>
      </c>
      <c r="F2380" s="5"/>
    </row>
    <row r="2381" spans="1:6" ht="13">
      <c r="A2381" s="5" t="str">
        <f ca="1">IFERROR(__xludf.DUMMYFUNCTION("""COMPUTED_VALUE"""),"19931101ILSUC")</f>
        <v>19931101ILSUC</v>
      </c>
      <c r="B2381" s="5" t="str">
        <f ca="1">IFERROR(__xludf.DUMMYFUNCTION("""COMPUTED_VALUE"""),"Fatal")</f>
        <v>Fatal</v>
      </c>
      <c r="C2381" s="5" t="str">
        <f ca="1">IFERROR(__xludf.DUMMYFUNCTION("""COMPUTED_VALUE"""),"Male")</f>
        <v>Male</v>
      </c>
      <c r="D2381" s="5" t="str">
        <f ca="1">IFERROR(__xludf.DUMMYFUNCTION("""COMPUTED_VALUE"""),"Student")</f>
        <v>Student</v>
      </c>
      <c r="E2381" s="5">
        <f ca="1">IFERROR(__xludf.DUMMYFUNCTION("""COMPUTED_VALUE"""),15)</f>
        <v>15</v>
      </c>
      <c r="F2381" s="5"/>
    </row>
    <row r="2382" spans="1:6" ht="13">
      <c r="A2382" s="5" t="str">
        <f ca="1">IFERROR(__xludf.DUMMYFUNCTION("""COMPUTED_VALUE"""),"19931018DCJHW")</f>
        <v>19931018DCJHW</v>
      </c>
      <c r="B2382" s="5" t="str">
        <f ca="1">IFERROR(__xludf.DUMMYFUNCTION("""COMPUTED_VALUE"""),"Wounded")</f>
        <v>Wounded</v>
      </c>
      <c r="C2382" s="5" t="str">
        <f ca="1">IFERROR(__xludf.DUMMYFUNCTION("""COMPUTED_VALUE"""),"Male")</f>
        <v>Male</v>
      </c>
      <c r="D2382" s="5" t="str">
        <f ca="1">IFERROR(__xludf.DUMMYFUNCTION("""COMPUTED_VALUE"""),"Student")</f>
        <v>Student</v>
      </c>
      <c r="E2382" s="5">
        <f ca="1">IFERROR(__xludf.DUMMYFUNCTION("""COMPUTED_VALUE"""),13)</f>
        <v>13</v>
      </c>
      <c r="F2382" s="5"/>
    </row>
    <row r="2383" spans="1:6" ht="13">
      <c r="A2383" s="5" t="str">
        <f ca="1">IFERROR(__xludf.DUMMYFUNCTION("""COMPUTED_VALUE"""),"19931012DEDON")</f>
        <v>19931012DEDON</v>
      </c>
      <c r="B2383" s="5" t="str">
        <f ca="1">IFERROR(__xludf.DUMMYFUNCTION("""COMPUTED_VALUE"""),"None")</f>
        <v>None</v>
      </c>
      <c r="C2383" s="5" t="str">
        <f ca="1">IFERROR(__xludf.DUMMYFUNCTION("""COMPUTED_VALUE"""),"Female")</f>
        <v>Female</v>
      </c>
      <c r="D2383" s="5" t="str">
        <f ca="1">IFERROR(__xludf.DUMMYFUNCTION("""COMPUTED_VALUE"""),"Student")</f>
        <v>Student</v>
      </c>
      <c r="E2383" s="5">
        <f ca="1">IFERROR(__xludf.DUMMYFUNCTION("""COMPUTED_VALUE"""),16)</f>
        <v>16</v>
      </c>
      <c r="F2383" s="5"/>
    </row>
    <row r="2384" spans="1:6" ht="13">
      <c r="A2384" s="5" t="str">
        <f ca="1">IFERROR(__xludf.DUMMYFUNCTION("""COMPUTED_VALUE"""),"19930928MSCOG")</f>
        <v>19930928MSCOG</v>
      </c>
      <c r="B2384" s="5" t="str">
        <f ca="1">IFERROR(__xludf.DUMMYFUNCTION("""COMPUTED_VALUE"""),"Fatal")</f>
        <v>Fatal</v>
      </c>
      <c r="C2384" s="5" t="str">
        <f ca="1">IFERROR(__xludf.DUMMYFUNCTION("""COMPUTED_VALUE"""),"Male")</f>
        <v>Male</v>
      </c>
      <c r="D2384" s="5" t="str">
        <f ca="1">IFERROR(__xludf.DUMMYFUNCTION("""COMPUTED_VALUE"""),"Student")</f>
        <v>Student</v>
      </c>
      <c r="E2384" s="5" t="str">
        <f ca="1">IFERROR(__xludf.DUMMYFUNCTION("""COMPUTED_VALUE"""),"Teen")</f>
        <v>Teen</v>
      </c>
      <c r="F2384" s="5"/>
    </row>
    <row r="2385" spans="1:6" ht="13">
      <c r="A2385" s="5" t="str">
        <f ca="1">IFERROR(__xludf.DUMMYFUNCTION("""COMPUTED_VALUE"""),"19930925DCWEW")</f>
        <v>19930925DCWEW</v>
      </c>
      <c r="B2385" s="5" t="str">
        <f ca="1">IFERROR(__xludf.DUMMYFUNCTION("""COMPUTED_VALUE"""),"Fatal")</f>
        <v>Fatal</v>
      </c>
      <c r="C2385" s="5" t="str">
        <f ca="1">IFERROR(__xludf.DUMMYFUNCTION("""COMPUTED_VALUE"""),"Female")</f>
        <v>Female</v>
      </c>
      <c r="D2385" s="5" t="str">
        <f ca="1">IFERROR(__xludf.DUMMYFUNCTION("""COMPUTED_VALUE"""),"No Relation")</f>
        <v>No Relation</v>
      </c>
      <c r="E2385" s="5">
        <f ca="1">IFERROR(__xludf.DUMMYFUNCTION("""COMPUTED_VALUE"""),4)</f>
        <v>4</v>
      </c>
      <c r="F2385" s="5"/>
    </row>
    <row r="2386" spans="1:6" ht="13">
      <c r="A2386" s="5" t="str">
        <f ca="1">IFERROR(__xludf.DUMMYFUNCTION("""COMPUTED_VALUE"""),"19930925DCWEW")</f>
        <v>19930925DCWEW</v>
      </c>
      <c r="B2386" s="5" t="str">
        <f ca="1">IFERROR(__xludf.DUMMYFUNCTION("""COMPUTED_VALUE"""),"Fatal")</f>
        <v>Fatal</v>
      </c>
      <c r="C2386" s="5" t="str">
        <f ca="1">IFERROR(__xludf.DUMMYFUNCTION("""COMPUTED_VALUE"""),"Male")</f>
        <v>Male</v>
      </c>
      <c r="D2386" s="5" t="str">
        <f ca="1">IFERROR(__xludf.DUMMYFUNCTION("""COMPUTED_VALUE"""),"No Relation")</f>
        <v>No Relation</v>
      </c>
      <c r="E2386" s="5">
        <f ca="1">IFERROR(__xludf.DUMMYFUNCTION("""COMPUTED_VALUE"""),23)</f>
        <v>23</v>
      </c>
      <c r="F2386" s="5"/>
    </row>
    <row r="2387" spans="1:6" ht="13">
      <c r="A2387" s="5" t="str">
        <f ca="1">IFERROR(__xludf.DUMMYFUNCTION("""COMPUTED_VALUE"""),"19930917WYCES")</f>
        <v>19930917WYCES</v>
      </c>
      <c r="B2387" s="5" t="str">
        <f ca="1">IFERROR(__xludf.DUMMYFUNCTION("""COMPUTED_VALUE"""),"Minor Injuries")</f>
        <v>Minor Injuries</v>
      </c>
      <c r="C2387" s="5" t="str">
        <f ca="1">IFERROR(__xludf.DUMMYFUNCTION("""COMPUTED_VALUE"""),"Male")</f>
        <v>Male</v>
      </c>
      <c r="D2387" s="5" t="str">
        <f ca="1">IFERROR(__xludf.DUMMYFUNCTION("""COMPUTED_VALUE"""),"Student")</f>
        <v>Student</v>
      </c>
      <c r="E2387" s="5" t="str">
        <f ca="1">IFERROR(__xludf.DUMMYFUNCTION("""COMPUTED_VALUE"""),"Teen")</f>
        <v>Teen</v>
      </c>
      <c r="F2387" s="5"/>
    </row>
    <row r="2388" spans="1:6" ht="13">
      <c r="A2388" s="5" t="str">
        <f ca="1">IFERROR(__xludf.DUMMYFUNCTION("""COMPUTED_VALUE"""),"19930917WYCES")</f>
        <v>19930917WYCES</v>
      </c>
      <c r="B2388" s="5" t="str">
        <f ca="1">IFERROR(__xludf.DUMMYFUNCTION("""COMPUTED_VALUE"""),"Minor Injuries")</f>
        <v>Minor Injuries</v>
      </c>
      <c r="C2388" s="5" t="str">
        <f ca="1">IFERROR(__xludf.DUMMYFUNCTION("""COMPUTED_VALUE"""),"Male")</f>
        <v>Male</v>
      </c>
      <c r="D2388" s="5" t="str">
        <f ca="1">IFERROR(__xludf.DUMMYFUNCTION("""COMPUTED_VALUE"""),"Student")</f>
        <v>Student</v>
      </c>
      <c r="E2388" s="5" t="str">
        <f ca="1">IFERROR(__xludf.DUMMYFUNCTION("""COMPUTED_VALUE"""),"Teen")</f>
        <v>Teen</v>
      </c>
      <c r="F2388" s="5"/>
    </row>
    <row r="2389" spans="1:6" ht="13">
      <c r="A2389" s="5" t="str">
        <f ca="1">IFERROR(__xludf.DUMMYFUNCTION("""COMPUTED_VALUE"""),"19930917WYCES")</f>
        <v>19930917WYCES</v>
      </c>
      <c r="B2389" s="5" t="str">
        <f ca="1">IFERROR(__xludf.DUMMYFUNCTION("""COMPUTED_VALUE"""),"Minor Injuries")</f>
        <v>Minor Injuries</v>
      </c>
      <c r="C2389" s="5" t="str">
        <f ca="1">IFERROR(__xludf.DUMMYFUNCTION("""COMPUTED_VALUE"""),"Male")</f>
        <v>Male</v>
      </c>
      <c r="D2389" s="5" t="str">
        <f ca="1">IFERROR(__xludf.DUMMYFUNCTION("""COMPUTED_VALUE"""),"Student")</f>
        <v>Student</v>
      </c>
      <c r="E2389" s="5" t="str">
        <f ca="1">IFERROR(__xludf.DUMMYFUNCTION("""COMPUTED_VALUE"""),"Teen")</f>
        <v>Teen</v>
      </c>
      <c r="F2389" s="5"/>
    </row>
    <row r="2390" spans="1:6" ht="13">
      <c r="A2390" s="5" t="str">
        <f ca="1">IFERROR(__xludf.DUMMYFUNCTION("""COMPUTED_VALUE"""),"19930917WYCES")</f>
        <v>19930917WYCES</v>
      </c>
      <c r="B2390" s="5" t="str">
        <f ca="1">IFERROR(__xludf.DUMMYFUNCTION("""COMPUTED_VALUE"""),"Minor Injuries")</f>
        <v>Minor Injuries</v>
      </c>
      <c r="C2390" s="5" t="str">
        <f ca="1">IFERROR(__xludf.DUMMYFUNCTION("""COMPUTED_VALUE"""),"Female")</f>
        <v>Female</v>
      </c>
      <c r="D2390" s="5" t="str">
        <f ca="1">IFERROR(__xludf.DUMMYFUNCTION("""COMPUTED_VALUE"""),"Student")</f>
        <v>Student</v>
      </c>
      <c r="E2390" s="5" t="str">
        <f ca="1">IFERROR(__xludf.DUMMYFUNCTION("""COMPUTED_VALUE"""),"Teen")</f>
        <v>Teen</v>
      </c>
      <c r="F2390" s="5"/>
    </row>
    <row r="2391" spans="1:6" ht="13">
      <c r="A2391" s="5" t="str">
        <f ca="1">IFERROR(__xludf.DUMMYFUNCTION("""COMPUTED_VALUE"""),"19930917ILDOD")</f>
        <v>19930917ILDOD</v>
      </c>
      <c r="B2391" s="5" t="str">
        <f ca="1">IFERROR(__xludf.DUMMYFUNCTION("""COMPUTED_VALUE"""),"Fatal")</f>
        <v>Fatal</v>
      </c>
      <c r="C2391" s="5" t="str">
        <f ca="1">IFERROR(__xludf.DUMMYFUNCTION("""COMPUTED_VALUE"""),"Male")</f>
        <v>Male</v>
      </c>
      <c r="D2391" s="5" t="str">
        <f ca="1">IFERROR(__xludf.DUMMYFUNCTION("""COMPUTED_VALUE"""),"Nonstudent Using Athletic Facilities/Attending Game")</f>
        <v>Nonstudent Using Athletic Facilities/Attending Game</v>
      </c>
      <c r="E2391" s="5" t="str">
        <f ca="1">IFERROR(__xludf.DUMMYFUNCTION("""COMPUTED_VALUE"""),"Teen")</f>
        <v>Teen</v>
      </c>
      <c r="F2391" s="5"/>
    </row>
    <row r="2392" spans="1:6" ht="13">
      <c r="A2392" s="5" t="str">
        <f ca="1">IFERROR(__xludf.DUMMYFUNCTION("""COMPUTED_VALUE"""),"19930916ILROC")</f>
        <v>19930916ILROC</v>
      </c>
      <c r="B2392" s="5" t="str">
        <f ca="1">IFERROR(__xludf.DUMMYFUNCTION("""COMPUTED_VALUE"""),"Fatal")</f>
        <v>Fatal</v>
      </c>
      <c r="C2392" s="5"/>
      <c r="D2392" s="5"/>
      <c r="E2392" s="5" t="str">
        <f ca="1">IFERROR(__xludf.DUMMYFUNCTION("""COMPUTED_VALUE"""),"Teen")</f>
        <v>Teen</v>
      </c>
      <c r="F2392" s="5"/>
    </row>
    <row r="2393" spans="1:6" ht="13">
      <c r="A2393" s="5" t="str">
        <f ca="1">IFERROR(__xludf.DUMMYFUNCTION("""COMPUTED_VALUE"""),"19930902TXROD")</f>
        <v>19930902TXROD</v>
      </c>
      <c r="B2393" s="5" t="str">
        <f ca="1">IFERROR(__xludf.DUMMYFUNCTION("""COMPUTED_VALUE"""),"Fatal")</f>
        <v>Fatal</v>
      </c>
      <c r="C2393" s="5" t="str">
        <f ca="1">IFERROR(__xludf.DUMMYFUNCTION("""COMPUTED_VALUE"""),"Male")</f>
        <v>Male</v>
      </c>
      <c r="D2393" s="5" t="str">
        <f ca="1">IFERROR(__xludf.DUMMYFUNCTION("""COMPUTED_VALUE"""),"Student")</f>
        <v>Student</v>
      </c>
      <c r="E2393" s="5">
        <f ca="1">IFERROR(__xludf.DUMMYFUNCTION("""COMPUTED_VALUE"""),15)</f>
        <v>15</v>
      </c>
      <c r="F2393" s="5" t="str">
        <f ca="1">IFERROR(__xludf.DUMMYFUNCTION("""COMPUTED_VALUE"""),"Black")</f>
        <v>Black</v>
      </c>
    </row>
    <row r="2394" spans="1:6" ht="13">
      <c r="A2394" s="5" t="str">
        <f ca="1">IFERROR(__xludf.DUMMYFUNCTION("""COMPUTED_VALUE"""),"19930901KSJUJ")</f>
        <v>19930901KSJUJ</v>
      </c>
      <c r="B2394" s="5" t="str">
        <f ca="1">IFERROR(__xludf.DUMMYFUNCTION("""COMPUTED_VALUE"""),"Wounded")</f>
        <v>Wounded</v>
      </c>
      <c r="C2394" s="5" t="str">
        <f ca="1">IFERROR(__xludf.DUMMYFUNCTION("""COMPUTED_VALUE"""),"Female")</f>
        <v>Female</v>
      </c>
      <c r="D2394" s="5" t="str">
        <f ca="1">IFERROR(__xludf.DUMMYFUNCTION("""COMPUTED_VALUE"""),"Student")</f>
        <v>Student</v>
      </c>
      <c r="E2394" s="5">
        <f ca="1">IFERROR(__xludf.DUMMYFUNCTION("""COMPUTED_VALUE"""),14)</f>
        <v>14</v>
      </c>
      <c r="F2394" s="5"/>
    </row>
    <row r="2395" spans="1:6" ht="13">
      <c r="A2395" s="5" t="str">
        <f ca="1">IFERROR(__xludf.DUMMYFUNCTION("""COMPUTED_VALUE"""),"19930831GAHAA")</f>
        <v>19930831GAHAA</v>
      </c>
      <c r="B2395" s="5" t="str">
        <f ca="1">IFERROR(__xludf.DUMMYFUNCTION("""COMPUTED_VALUE"""),"Fatal")</f>
        <v>Fatal</v>
      </c>
      <c r="C2395" s="5" t="str">
        <f ca="1">IFERROR(__xludf.DUMMYFUNCTION("""COMPUTED_VALUE"""),"Male")</f>
        <v>Male</v>
      </c>
      <c r="D2395" s="5" t="str">
        <f ca="1">IFERROR(__xludf.DUMMYFUNCTION("""COMPUTED_VALUE"""),"Student")</f>
        <v>Student</v>
      </c>
      <c r="E2395" s="5">
        <f ca="1">IFERROR(__xludf.DUMMYFUNCTION("""COMPUTED_VALUE"""),15)</f>
        <v>15</v>
      </c>
      <c r="F2395" s="5" t="str">
        <f ca="1">IFERROR(__xludf.DUMMYFUNCTION("""COMPUTED_VALUE"""),"Black")</f>
        <v>Black</v>
      </c>
    </row>
    <row r="2396" spans="1:6" ht="13">
      <c r="A2396" s="5" t="str">
        <f ca="1">IFERROR(__xludf.DUMMYFUNCTION("""COMPUTED_VALUE"""),"19930803NYTHN")</f>
        <v>19930803NYTHN</v>
      </c>
      <c r="B2396" s="5" t="str">
        <f ca="1">IFERROR(__xludf.DUMMYFUNCTION("""COMPUTED_VALUE"""),"Wounded")</f>
        <v>Wounded</v>
      </c>
      <c r="C2396" s="5" t="str">
        <f ca="1">IFERROR(__xludf.DUMMYFUNCTION("""COMPUTED_VALUE"""),"Male")</f>
        <v>Male</v>
      </c>
      <c r="D2396" s="5" t="str">
        <f ca="1">IFERROR(__xludf.DUMMYFUNCTION("""COMPUTED_VALUE"""),"Student")</f>
        <v>Student</v>
      </c>
      <c r="E2396" s="5">
        <f ca="1">IFERROR(__xludf.DUMMYFUNCTION("""COMPUTED_VALUE"""),18)</f>
        <v>18</v>
      </c>
      <c r="F2396" s="5"/>
    </row>
    <row r="2397" spans="1:6" ht="13">
      <c r="A2397" s="5" t="str">
        <f ca="1">IFERROR(__xludf.DUMMYFUNCTION("""COMPUTED_VALUE"""),"19930707CADOL")</f>
        <v>19930707CADOL</v>
      </c>
      <c r="B2397" s="5" t="str">
        <f ca="1">IFERROR(__xludf.DUMMYFUNCTION("""COMPUTED_VALUE"""),"Fatal")</f>
        <v>Fatal</v>
      </c>
      <c r="C2397" s="5" t="str">
        <f ca="1">IFERROR(__xludf.DUMMYFUNCTION("""COMPUTED_VALUE"""),"Male")</f>
        <v>Male</v>
      </c>
      <c r="D2397" s="5" t="str">
        <f ca="1">IFERROR(__xludf.DUMMYFUNCTION("""COMPUTED_VALUE"""),"Student")</f>
        <v>Student</v>
      </c>
      <c r="E2397" s="5">
        <f ca="1">IFERROR(__xludf.DUMMYFUNCTION("""COMPUTED_VALUE"""),15)</f>
        <v>15</v>
      </c>
      <c r="F2397" s="5"/>
    </row>
    <row r="2398" spans="1:6" ht="13">
      <c r="A2398" s="5" t="str">
        <f ca="1">IFERROR(__xludf.DUMMYFUNCTION("""COMPUTED_VALUE"""),"19930527LAFRN")</f>
        <v>19930527LAFRN</v>
      </c>
      <c r="B2398" s="5" t="str">
        <f ca="1">IFERROR(__xludf.DUMMYFUNCTION("""COMPUTED_VALUE"""),"Fatal")</f>
        <v>Fatal</v>
      </c>
      <c r="C2398" s="5" t="str">
        <f ca="1">IFERROR(__xludf.DUMMYFUNCTION("""COMPUTED_VALUE"""),"Male")</f>
        <v>Male</v>
      </c>
      <c r="D2398" s="5" t="str">
        <f ca="1">IFERROR(__xludf.DUMMYFUNCTION("""COMPUTED_VALUE"""),"Former Student")</f>
        <v>Former Student</v>
      </c>
      <c r="E2398" s="5">
        <f ca="1">IFERROR(__xludf.DUMMYFUNCTION("""COMPUTED_VALUE"""),15)</f>
        <v>15</v>
      </c>
      <c r="F2398" s="5" t="str">
        <f ca="1">IFERROR(__xludf.DUMMYFUNCTION("""COMPUTED_VALUE"""),"Black")</f>
        <v>Black</v>
      </c>
    </row>
    <row r="2399" spans="1:6" ht="13">
      <c r="A2399" s="5" t="str">
        <f ca="1">IFERROR(__xludf.DUMMYFUNCTION("""COMPUTED_VALUE"""),"19930524PAUPP")</f>
        <v>19930524PAUPP</v>
      </c>
      <c r="B2399" s="5" t="str">
        <f ca="1">IFERROR(__xludf.DUMMYFUNCTION("""COMPUTED_VALUE"""),"Fatal")</f>
        <v>Fatal</v>
      </c>
      <c r="C2399" s="5" t="str">
        <f ca="1">IFERROR(__xludf.DUMMYFUNCTION("""COMPUTED_VALUE"""),"Male")</f>
        <v>Male</v>
      </c>
      <c r="D2399" s="5" t="str">
        <f ca="1">IFERROR(__xludf.DUMMYFUNCTION("""COMPUTED_VALUE"""),"Student")</f>
        <v>Student</v>
      </c>
      <c r="E2399" s="5">
        <f ca="1">IFERROR(__xludf.DUMMYFUNCTION("""COMPUTED_VALUE"""),16)</f>
        <v>16</v>
      </c>
      <c r="F2399" s="5"/>
    </row>
    <row r="2400" spans="1:6" ht="13">
      <c r="A2400" s="5" t="str">
        <f ca="1">IFERROR(__xludf.DUMMYFUNCTION("""COMPUTED_VALUE"""),"19930514TXNII")</f>
        <v>19930514TXNII</v>
      </c>
      <c r="B2400" s="5" t="str">
        <f ca="1">IFERROR(__xludf.DUMMYFUNCTION("""COMPUTED_VALUE"""),"Fatal")</f>
        <v>Fatal</v>
      </c>
      <c r="C2400" s="5" t="str">
        <f ca="1">IFERROR(__xludf.DUMMYFUNCTION("""COMPUTED_VALUE"""),"Male")</f>
        <v>Male</v>
      </c>
      <c r="D2400" s="5" t="str">
        <f ca="1">IFERROR(__xludf.DUMMYFUNCTION("""COMPUTED_VALUE"""),"Student")</f>
        <v>Student</v>
      </c>
      <c r="E2400" s="5">
        <f ca="1">IFERROR(__xludf.DUMMYFUNCTION("""COMPUTED_VALUE"""),17)</f>
        <v>17</v>
      </c>
      <c r="F2400" s="5"/>
    </row>
    <row r="2401" spans="1:6" ht="13">
      <c r="A2401" s="5" t="str">
        <f ca="1">IFERROR(__xludf.DUMMYFUNCTION("""COMPUTED_VALUE"""),"19930416WAMOT")</f>
        <v>19930416WAMOT</v>
      </c>
      <c r="B2401" s="5" t="str">
        <f ca="1">IFERROR(__xludf.DUMMYFUNCTION("""COMPUTED_VALUE"""),"None")</f>
        <v>None</v>
      </c>
      <c r="C2401" s="5" t="str">
        <f ca="1">IFERROR(__xludf.DUMMYFUNCTION("""COMPUTED_VALUE"""),"Female")</f>
        <v>Female</v>
      </c>
      <c r="D2401" s="5" t="str">
        <f ca="1">IFERROR(__xludf.DUMMYFUNCTION("""COMPUTED_VALUE"""),"No Relation")</f>
        <v>No Relation</v>
      </c>
      <c r="E2401" s="5">
        <f ca="1">IFERROR(__xludf.DUMMYFUNCTION("""COMPUTED_VALUE"""),33)</f>
        <v>33</v>
      </c>
      <c r="F2401" s="5"/>
    </row>
    <row r="2402" spans="1:6" ht="13">
      <c r="A2402" s="5" t="str">
        <f ca="1">IFERROR(__xludf.DUMMYFUNCTION("""COMPUTED_VALUE"""),"19930416CAGRS")</f>
        <v>19930416CAGRS</v>
      </c>
      <c r="B2402" s="5" t="str">
        <f ca="1">IFERROR(__xludf.DUMMYFUNCTION("""COMPUTED_VALUE"""),"Fatal")</f>
        <v>Fatal</v>
      </c>
      <c r="C2402" s="5" t="str">
        <f ca="1">IFERROR(__xludf.DUMMYFUNCTION("""COMPUTED_VALUE"""),"Male")</f>
        <v>Male</v>
      </c>
      <c r="D2402" s="5" t="str">
        <f ca="1">IFERROR(__xludf.DUMMYFUNCTION("""COMPUTED_VALUE"""),"Other Staff")</f>
        <v>Other Staff</v>
      </c>
      <c r="E2402" s="5">
        <f ca="1">IFERROR(__xludf.DUMMYFUNCTION("""COMPUTED_VALUE"""),43)</f>
        <v>43</v>
      </c>
      <c r="F2402" s="5"/>
    </row>
    <row r="2403" spans="1:6" ht="13">
      <c r="A2403" s="5" t="str">
        <f ca="1">IFERROR(__xludf.DUMMYFUNCTION("""COMPUTED_VALUE"""),"19930415MAFOA")</f>
        <v>19930415MAFOA</v>
      </c>
      <c r="B2403" s="5" t="str">
        <f ca="1">IFERROR(__xludf.DUMMYFUNCTION("""COMPUTED_VALUE"""),"Fatal")</f>
        <v>Fatal</v>
      </c>
      <c r="C2403" s="5" t="str">
        <f ca="1">IFERROR(__xludf.DUMMYFUNCTION("""COMPUTED_VALUE"""),"Female")</f>
        <v>Female</v>
      </c>
      <c r="D2403" s="5" t="str">
        <f ca="1">IFERROR(__xludf.DUMMYFUNCTION("""COMPUTED_VALUE"""),"Other Staff")</f>
        <v>Other Staff</v>
      </c>
      <c r="E2403" s="5">
        <f ca="1">IFERROR(__xludf.DUMMYFUNCTION("""COMPUTED_VALUE"""),52)</f>
        <v>52</v>
      </c>
      <c r="F2403" s="5"/>
    </row>
    <row r="2404" spans="1:6" ht="13">
      <c r="A2404" s="5" t="str">
        <f ca="1">IFERROR(__xludf.DUMMYFUNCTION("""COMPUTED_VALUE"""),"19930403CAGRS")</f>
        <v>19930403CAGRS</v>
      </c>
      <c r="B2404" s="5" t="str">
        <f ca="1">IFERROR(__xludf.DUMMYFUNCTION("""COMPUTED_VALUE"""),"Fatal")</f>
        <v>Fatal</v>
      </c>
      <c r="C2404" s="5" t="str">
        <f ca="1">IFERROR(__xludf.DUMMYFUNCTION("""COMPUTED_VALUE"""),"Male")</f>
        <v>Male</v>
      </c>
      <c r="D2404" s="5" t="str">
        <f ca="1">IFERROR(__xludf.DUMMYFUNCTION("""COMPUTED_VALUE"""),"Student")</f>
        <v>Student</v>
      </c>
      <c r="E2404" s="5">
        <f ca="1">IFERROR(__xludf.DUMMYFUNCTION("""COMPUTED_VALUE"""),16)</f>
        <v>16</v>
      </c>
      <c r="F2404" s="5"/>
    </row>
    <row r="2405" spans="1:6" ht="13">
      <c r="A2405" s="5" t="str">
        <f ca="1">IFERROR(__xludf.DUMMYFUNCTION("""COMPUTED_VALUE"""),"19930403CAGRS")</f>
        <v>19930403CAGRS</v>
      </c>
      <c r="B2405" s="5" t="str">
        <f ca="1">IFERROR(__xludf.DUMMYFUNCTION("""COMPUTED_VALUE"""),"Wounded")</f>
        <v>Wounded</v>
      </c>
      <c r="C2405" s="5" t="str">
        <f ca="1">IFERROR(__xludf.DUMMYFUNCTION("""COMPUTED_VALUE"""),"Male")</f>
        <v>Male</v>
      </c>
      <c r="D2405" s="5" t="str">
        <f ca="1">IFERROR(__xludf.DUMMYFUNCTION("""COMPUTED_VALUE"""),"Student")</f>
        <v>Student</v>
      </c>
      <c r="E2405" s="5">
        <f ca="1">IFERROR(__xludf.DUMMYFUNCTION("""COMPUTED_VALUE"""),18)</f>
        <v>18</v>
      </c>
      <c r="F2405" s="5"/>
    </row>
    <row r="2406" spans="1:6" ht="13">
      <c r="A2406" s="5" t="str">
        <f ca="1">IFERROR(__xludf.DUMMYFUNCTION("""COMPUTED_VALUE"""),"19930325MOSUS")</f>
        <v>19930325MOSUS</v>
      </c>
      <c r="B2406" s="5" t="str">
        <f ca="1">IFERROR(__xludf.DUMMYFUNCTION("""COMPUTED_VALUE"""),"Fatal")</f>
        <v>Fatal</v>
      </c>
      <c r="C2406" s="5" t="str">
        <f ca="1">IFERROR(__xludf.DUMMYFUNCTION("""COMPUTED_VALUE"""),"Male")</f>
        <v>Male</v>
      </c>
      <c r="D2406" s="5" t="str">
        <f ca="1">IFERROR(__xludf.DUMMYFUNCTION("""COMPUTED_VALUE"""),"Student")</f>
        <v>Student</v>
      </c>
      <c r="E2406" s="5">
        <f ca="1">IFERROR(__xludf.DUMMYFUNCTION("""COMPUTED_VALUE"""),17)</f>
        <v>17</v>
      </c>
      <c r="F2406" s="5"/>
    </row>
    <row r="2407" spans="1:6" ht="13">
      <c r="A2407" s="5" t="str">
        <f ca="1">IFERROR(__xludf.DUMMYFUNCTION("""COMPUTED_VALUE"""),"19930318GAHAH")</f>
        <v>19930318GAHAH</v>
      </c>
      <c r="B2407" s="5" t="str">
        <f ca="1">IFERROR(__xludf.DUMMYFUNCTION("""COMPUTED_VALUE"""),"Wounded")</f>
        <v>Wounded</v>
      </c>
      <c r="C2407" s="5" t="str">
        <f ca="1">IFERROR(__xludf.DUMMYFUNCTION("""COMPUTED_VALUE"""),"Male")</f>
        <v>Male</v>
      </c>
      <c r="D2407" s="5" t="str">
        <f ca="1">IFERROR(__xludf.DUMMYFUNCTION("""COMPUTED_VALUE"""),"Student")</f>
        <v>Student</v>
      </c>
      <c r="E2407" s="5">
        <f ca="1">IFERROR(__xludf.DUMMYFUNCTION("""COMPUTED_VALUE"""),15)</f>
        <v>15</v>
      </c>
      <c r="F2407" s="5"/>
    </row>
    <row r="2408" spans="1:6" ht="13">
      <c r="A2408" s="5" t="str">
        <f ca="1">IFERROR(__xludf.DUMMYFUNCTION("""COMPUTED_VALUE"""),"19930318GAHAH")</f>
        <v>19930318GAHAH</v>
      </c>
      <c r="B2408" s="5" t="str">
        <f ca="1">IFERROR(__xludf.DUMMYFUNCTION("""COMPUTED_VALUE"""),"Fatal")</f>
        <v>Fatal</v>
      </c>
      <c r="C2408" s="5" t="str">
        <f ca="1">IFERROR(__xludf.DUMMYFUNCTION("""COMPUTED_VALUE"""),"Male")</f>
        <v>Male</v>
      </c>
      <c r="D2408" s="5" t="str">
        <f ca="1">IFERROR(__xludf.DUMMYFUNCTION("""COMPUTED_VALUE"""),"Student")</f>
        <v>Student</v>
      </c>
      <c r="E2408" s="5">
        <f ca="1">IFERROR(__xludf.DUMMYFUNCTION("""COMPUTED_VALUE"""),17)</f>
        <v>17</v>
      </c>
      <c r="F2408" s="5"/>
    </row>
    <row r="2409" spans="1:6" ht="13">
      <c r="A2409" s="5" t="str">
        <f ca="1">IFERROR(__xludf.DUMMYFUNCTION("""COMPUTED_VALUE"""),"19930308VADOD")</f>
        <v>19930308VADOD</v>
      </c>
      <c r="B2409" s="5" t="str">
        <f ca="1">IFERROR(__xludf.DUMMYFUNCTION("""COMPUTED_VALUE"""),"Fatal")</f>
        <v>Fatal</v>
      </c>
      <c r="C2409" s="5" t="str">
        <f ca="1">IFERROR(__xludf.DUMMYFUNCTION("""COMPUTED_VALUE"""),"Female")</f>
        <v>Female</v>
      </c>
      <c r="D2409" s="5" t="str">
        <f ca="1">IFERROR(__xludf.DUMMYFUNCTION("""COMPUTED_VALUE"""),"Teacher")</f>
        <v>Teacher</v>
      </c>
      <c r="E2409" s="5">
        <f ca="1">IFERROR(__xludf.DUMMYFUNCTION("""COMPUTED_VALUE"""),45)</f>
        <v>45</v>
      </c>
      <c r="F2409" s="5" t="str">
        <f ca="1">IFERROR(__xludf.DUMMYFUNCTION("""COMPUTED_VALUE"""),"White")</f>
        <v>White</v>
      </c>
    </row>
    <row r="2410" spans="1:6" ht="13">
      <c r="A2410" s="5" t="str">
        <f ca="1">IFERROR(__xludf.DUMMYFUNCTION("""COMPUTED_VALUE"""),"19930226MAGLG")</f>
        <v>19930226MAGLG</v>
      </c>
      <c r="B2410" s="5" t="str">
        <f ca="1">IFERROR(__xludf.DUMMYFUNCTION("""COMPUTED_VALUE"""),"None")</f>
        <v>None</v>
      </c>
      <c r="C2410" s="5" t="str">
        <f ca="1">IFERROR(__xludf.DUMMYFUNCTION("""COMPUTED_VALUE"""),"Male")</f>
        <v>Male</v>
      </c>
      <c r="D2410" s="5" t="str">
        <f ca="1">IFERROR(__xludf.DUMMYFUNCTION("""COMPUTED_VALUE"""),"Student")</f>
        <v>Student</v>
      </c>
      <c r="E2410" s="5">
        <f ca="1">IFERROR(__xludf.DUMMYFUNCTION("""COMPUTED_VALUE"""),15)</f>
        <v>15</v>
      </c>
      <c r="F2410" s="5"/>
    </row>
    <row r="2411" spans="1:6" ht="13">
      <c r="A2411" s="5" t="str">
        <f ca="1">IFERROR(__xludf.DUMMYFUNCTION("""COMPUTED_VALUE"""),"19930222CAREL")</f>
        <v>19930222CAREL</v>
      </c>
      <c r="B2411" s="5" t="str">
        <f ca="1">IFERROR(__xludf.DUMMYFUNCTION("""COMPUTED_VALUE"""),"Fatal")</f>
        <v>Fatal</v>
      </c>
      <c r="C2411" s="5" t="str">
        <f ca="1">IFERROR(__xludf.DUMMYFUNCTION("""COMPUTED_VALUE"""),"Male")</f>
        <v>Male</v>
      </c>
      <c r="D2411" s="5" t="str">
        <f ca="1">IFERROR(__xludf.DUMMYFUNCTION("""COMPUTED_VALUE"""),"Student")</f>
        <v>Student</v>
      </c>
      <c r="E2411" s="5">
        <f ca="1">IFERROR(__xludf.DUMMYFUNCTION("""COMPUTED_VALUE"""),17)</f>
        <v>17</v>
      </c>
      <c r="F2411" s="5"/>
    </row>
    <row r="2412" spans="1:6" ht="13">
      <c r="A2412" s="5" t="str">
        <f ca="1">IFERROR(__xludf.DUMMYFUNCTION("""COMPUTED_VALUE"""),"19930208MNMIM")</f>
        <v>19930208MNMIM</v>
      </c>
      <c r="B2412" s="5" t="str">
        <f ca="1">IFERROR(__xludf.DUMMYFUNCTION("""COMPUTED_VALUE"""),"None")</f>
        <v>None</v>
      </c>
      <c r="C2412" s="5" t="str">
        <f ca="1">IFERROR(__xludf.DUMMYFUNCTION("""COMPUTED_VALUE"""),"Male")</f>
        <v>Male</v>
      </c>
      <c r="D2412" s="5" t="str">
        <f ca="1">IFERROR(__xludf.DUMMYFUNCTION("""COMPUTED_VALUE"""),"Student")</f>
        <v>Student</v>
      </c>
      <c r="E2412" s="5">
        <f ca="1">IFERROR(__xludf.DUMMYFUNCTION("""COMPUTED_VALUE"""),14)</f>
        <v>14</v>
      </c>
      <c r="F2412" s="5"/>
    </row>
    <row r="2413" spans="1:6" ht="13">
      <c r="A2413" s="5" t="str">
        <f ca="1">IFERROR(__xludf.DUMMYFUNCTION("""COMPUTED_VALUE"""),"19930208DCWAW")</f>
        <v>19930208DCWAW</v>
      </c>
      <c r="B2413" s="5" t="str">
        <f ca="1">IFERROR(__xludf.DUMMYFUNCTION("""COMPUTED_VALUE"""),"Fatal")</f>
        <v>Fatal</v>
      </c>
      <c r="C2413" s="5" t="str">
        <f ca="1">IFERROR(__xludf.DUMMYFUNCTION("""COMPUTED_VALUE"""),"Male")</f>
        <v>Male</v>
      </c>
      <c r="D2413" s="5" t="str">
        <f ca="1">IFERROR(__xludf.DUMMYFUNCTION("""COMPUTED_VALUE"""),"Student")</f>
        <v>Student</v>
      </c>
      <c r="E2413" s="5">
        <f ca="1">IFERROR(__xludf.DUMMYFUNCTION("""COMPUTED_VALUE"""),21)</f>
        <v>21</v>
      </c>
      <c r="F2413" s="5"/>
    </row>
    <row r="2414" spans="1:6" ht="13">
      <c r="A2414" s="5" t="str">
        <f ca="1">IFERROR(__xludf.DUMMYFUNCTION("""COMPUTED_VALUE"""),"19930204GACLA")</f>
        <v>19930204GACLA</v>
      </c>
      <c r="B2414" s="5" t="str">
        <f ca="1">IFERROR(__xludf.DUMMYFUNCTION("""COMPUTED_VALUE"""),"Fatal")</f>
        <v>Fatal</v>
      </c>
      <c r="C2414" s="5" t="str">
        <f ca="1">IFERROR(__xludf.DUMMYFUNCTION("""COMPUTED_VALUE"""),"Male")</f>
        <v>Male</v>
      </c>
      <c r="D2414" s="5" t="str">
        <f ca="1">IFERROR(__xludf.DUMMYFUNCTION("""COMPUTED_VALUE"""),"Student")</f>
        <v>Student</v>
      </c>
      <c r="E2414" s="5" t="str">
        <f ca="1">IFERROR(__xludf.DUMMYFUNCTION("""COMPUTED_VALUE"""),"Teen")</f>
        <v>Teen</v>
      </c>
      <c r="F2414" s="5"/>
    </row>
    <row r="2415" spans="1:6" ht="13">
      <c r="A2415" s="5" t="str">
        <f ca="1">IFERROR(__xludf.DUMMYFUNCTION("""COMPUTED_VALUE"""),"19930203SCLEL")</f>
        <v>19930203SCLEL</v>
      </c>
      <c r="B2415" s="5" t="str">
        <f ca="1">IFERROR(__xludf.DUMMYFUNCTION("""COMPUTED_VALUE"""),"Wounded")</f>
        <v>Wounded</v>
      </c>
      <c r="C2415" s="5" t="str">
        <f ca="1">IFERROR(__xludf.DUMMYFUNCTION("""COMPUTED_VALUE"""),"Male")</f>
        <v>Male</v>
      </c>
      <c r="D2415" s="5" t="str">
        <f ca="1">IFERROR(__xludf.DUMMYFUNCTION("""COMPUTED_VALUE"""),"Student")</f>
        <v>Student</v>
      </c>
      <c r="E2415" s="5">
        <f ca="1">IFERROR(__xludf.DUMMYFUNCTION("""COMPUTED_VALUE"""),17)</f>
        <v>17</v>
      </c>
      <c r="F2415" s="5"/>
    </row>
    <row r="2416" spans="1:6" ht="13">
      <c r="A2416" s="5" t="str">
        <f ca="1">IFERROR(__xludf.DUMMYFUNCTION("""COMPUTED_VALUE"""),"19930203SCGAC")</f>
        <v>19930203SCGAC</v>
      </c>
      <c r="B2416" s="5" t="str">
        <f ca="1">IFERROR(__xludf.DUMMYFUNCTION("""COMPUTED_VALUE"""),"Wounded")</f>
        <v>Wounded</v>
      </c>
      <c r="C2416" s="5" t="str">
        <f ca="1">IFERROR(__xludf.DUMMYFUNCTION("""COMPUTED_VALUE"""),"Male")</f>
        <v>Male</v>
      </c>
      <c r="D2416" s="5" t="str">
        <f ca="1">IFERROR(__xludf.DUMMYFUNCTION("""COMPUTED_VALUE"""),"Student")</f>
        <v>Student</v>
      </c>
      <c r="E2416" s="5">
        <f ca="1">IFERROR(__xludf.DUMMYFUNCTION("""COMPUTED_VALUE"""),20)</f>
        <v>20</v>
      </c>
      <c r="F2416" s="5"/>
    </row>
    <row r="2417" spans="1:6" ht="13">
      <c r="A2417" s="5" t="str">
        <f ca="1">IFERROR(__xludf.DUMMYFUNCTION("""COMPUTED_VALUE"""),"19930201WARER")</f>
        <v>19930201WARER</v>
      </c>
      <c r="B2417" s="5" t="str">
        <f ca="1">IFERROR(__xludf.DUMMYFUNCTION("""COMPUTED_VALUE"""),"None")</f>
        <v>None</v>
      </c>
      <c r="C2417" s="5" t="str">
        <f ca="1">IFERROR(__xludf.DUMMYFUNCTION("""COMPUTED_VALUE"""),"Male")</f>
        <v>Male</v>
      </c>
      <c r="D2417" s="5" t="str">
        <f ca="1">IFERROR(__xludf.DUMMYFUNCTION("""COMPUTED_VALUE"""),"Student")</f>
        <v>Student</v>
      </c>
      <c r="E2417" s="5">
        <f ca="1">IFERROR(__xludf.DUMMYFUNCTION("""COMPUTED_VALUE"""),14)</f>
        <v>14</v>
      </c>
      <c r="F2417" s="5"/>
    </row>
    <row r="2418" spans="1:6" ht="13">
      <c r="A2418" s="5" t="str">
        <f ca="1">IFERROR(__xludf.DUMMYFUNCTION("""COMPUTED_VALUE"""),"19930201NYAMA")</f>
        <v>19930201NYAMA</v>
      </c>
      <c r="B2418" s="5" t="str">
        <f ca="1">IFERROR(__xludf.DUMMYFUNCTION("""COMPUTED_VALUE"""),"Fatal")</f>
        <v>Fatal</v>
      </c>
      <c r="C2418" s="5" t="str">
        <f ca="1">IFERROR(__xludf.DUMMYFUNCTION("""COMPUTED_VALUE"""),"Male")</f>
        <v>Male</v>
      </c>
      <c r="D2418" s="5" t="str">
        <f ca="1">IFERROR(__xludf.DUMMYFUNCTION("""COMPUTED_VALUE"""),"Nonstudent")</f>
        <v>Nonstudent</v>
      </c>
      <c r="E2418" s="5">
        <f ca="1">IFERROR(__xludf.DUMMYFUNCTION("""COMPUTED_VALUE"""),17)</f>
        <v>17</v>
      </c>
      <c r="F2418" s="5"/>
    </row>
    <row r="2419" spans="1:6" ht="13">
      <c r="A2419" s="5" t="str">
        <f ca="1">IFERROR(__xludf.DUMMYFUNCTION("""COMPUTED_VALUE"""),"19930201NYAMA")</f>
        <v>19930201NYAMA</v>
      </c>
      <c r="B2419" s="5" t="str">
        <f ca="1">IFERROR(__xludf.DUMMYFUNCTION("""COMPUTED_VALUE"""),"Wounded")</f>
        <v>Wounded</v>
      </c>
      <c r="C2419" s="5" t="str">
        <f ca="1">IFERROR(__xludf.DUMMYFUNCTION("""COMPUTED_VALUE"""),"Male")</f>
        <v>Male</v>
      </c>
      <c r="D2419" s="5" t="str">
        <f ca="1">IFERROR(__xludf.DUMMYFUNCTION("""COMPUTED_VALUE"""),"Nonstudent")</f>
        <v>Nonstudent</v>
      </c>
      <c r="E2419" s="5">
        <f ca="1">IFERROR(__xludf.DUMMYFUNCTION("""COMPUTED_VALUE"""),17)</f>
        <v>17</v>
      </c>
      <c r="F2419" s="5"/>
    </row>
    <row r="2420" spans="1:6" ht="13">
      <c r="A2420" s="5" t="str">
        <f ca="1">IFERROR(__xludf.DUMMYFUNCTION("""COMPUTED_VALUE"""),"19930121CAFAL")</f>
        <v>19930121CAFAL</v>
      </c>
      <c r="B2420" s="5" t="str">
        <f ca="1">IFERROR(__xludf.DUMMYFUNCTION("""COMPUTED_VALUE"""),"Fatal")</f>
        <v>Fatal</v>
      </c>
      <c r="C2420" s="5" t="str">
        <f ca="1">IFERROR(__xludf.DUMMYFUNCTION("""COMPUTED_VALUE"""),"Male")</f>
        <v>Male</v>
      </c>
      <c r="D2420" s="5" t="str">
        <f ca="1">IFERROR(__xludf.DUMMYFUNCTION("""COMPUTED_VALUE"""),"Student")</f>
        <v>Student</v>
      </c>
      <c r="E2420" s="5">
        <f ca="1">IFERROR(__xludf.DUMMYFUNCTION("""COMPUTED_VALUE"""),17)</f>
        <v>17</v>
      </c>
      <c r="F2420" s="5"/>
    </row>
    <row r="2421" spans="1:6" ht="13">
      <c r="A2421" s="5" t="str">
        <f ca="1">IFERROR(__xludf.DUMMYFUNCTION("""COMPUTED_VALUE"""),"19930121CAFAL")</f>
        <v>19930121CAFAL</v>
      </c>
      <c r="B2421" s="5" t="str">
        <f ca="1">IFERROR(__xludf.DUMMYFUNCTION("""COMPUTED_VALUE"""),"Wounded")</f>
        <v>Wounded</v>
      </c>
      <c r="C2421" s="5" t="str">
        <f ca="1">IFERROR(__xludf.DUMMYFUNCTION("""COMPUTED_VALUE"""),"Male")</f>
        <v>Male</v>
      </c>
      <c r="D2421" s="5" t="str">
        <f ca="1">IFERROR(__xludf.DUMMYFUNCTION("""COMPUTED_VALUE"""),"Student")</f>
        <v>Student</v>
      </c>
      <c r="E2421" s="5">
        <f ca="1">IFERROR(__xludf.DUMMYFUNCTION("""COMPUTED_VALUE"""),16)</f>
        <v>16</v>
      </c>
      <c r="F2421" s="5"/>
    </row>
    <row r="2422" spans="1:6" ht="13">
      <c r="A2422" s="5" t="str">
        <f ca="1">IFERROR(__xludf.DUMMYFUNCTION("""COMPUTED_VALUE"""),"19930118KYEAG")</f>
        <v>19930118KYEAG</v>
      </c>
      <c r="B2422" s="5" t="str">
        <f ca="1">IFERROR(__xludf.DUMMYFUNCTION("""COMPUTED_VALUE"""),"Fatal")</f>
        <v>Fatal</v>
      </c>
      <c r="C2422" s="5" t="str">
        <f ca="1">IFERROR(__xludf.DUMMYFUNCTION("""COMPUTED_VALUE"""),"Male")</f>
        <v>Male</v>
      </c>
      <c r="D2422" s="5" t="str">
        <f ca="1">IFERROR(__xludf.DUMMYFUNCTION("""COMPUTED_VALUE"""),"Teacher")</f>
        <v>Teacher</v>
      </c>
      <c r="E2422" s="5">
        <f ca="1">IFERROR(__xludf.DUMMYFUNCTION("""COMPUTED_VALUE"""),48)</f>
        <v>48</v>
      </c>
      <c r="F2422" s="5"/>
    </row>
    <row r="2423" spans="1:6" ht="13">
      <c r="A2423" s="5" t="str">
        <f ca="1">IFERROR(__xludf.DUMMYFUNCTION("""COMPUTED_VALUE"""),"19930118KYEAG")</f>
        <v>19930118KYEAG</v>
      </c>
      <c r="B2423" s="5" t="str">
        <f ca="1">IFERROR(__xludf.DUMMYFUNCTION("""COMPUTED_VALUE"""),"Fatal")</f>
        <v>Fatal</v>
      </c>
      <c r="C2423" s="5" t="str">
        <f ca="1">IFERROR(__xludf.DUMMYFUNCTION("""COMPUTED_VALUE"""),"Female")</f>
        <v>Female</v>
      </c>
      <c r="D2423" s="5" t="str">
        <f ca="1">IFERROR(__xludf.DUMMYFUNCTION("""COMPUTED_VALUE"""),"Teacher")</f>
        <v>Teacher</v>
      </c>
      <c r="E2423" s="5">
        <f ca="1">IFERROR(__xludf.DUMMYFUNCTION("""COMPUTED_VALUE"""),51)</f>
        <v>51</v>
      </c>
      <c r="F2423" s="5"/>
    </row>
    <row r="2424" spans="1:6" ht="13">
      <c r="A2424" s="5" t="str">
        <f ca="1">IFERROR(__xludf.DUMMYFUNCTION("""COMPUTED_VALUE"""),"19930112FLNOM")</f>
        <v>19930112FLNOM</v>
      </c>
      <c r="B2424" s="5" t="str">
        <f ca="1">IFERROR(__xludf.DUMMYFUNCTION("""COMPUTED_VALUE"""),"Fatal")</f>
        <v>Fatal</v>
      </c>
      <c r="C2424" s="5" t="str">
        <f ca="1">IFERROR(__xludf.DUMMYFUNCTION("""COMPUTED_VALUE"""),"Male")</f>
        <v>Male</v>
      </c>
      <c r="D2424" s="5" t="str">
        <f ca="1">IFERROR(__xludf.DUMMYFUNCTION("""COMPUTED_VALUE"""),"Student")</f>
        <v>Student</v>
      </c>
      <c r="E2424" s="5">
        <f ca="1">IFERROR(__xludf.DUMMYFUNCTION("""COMPUTED_VALUE"""),18)</f>
        <v>18</v>
      </c>
      <c r="F2424" s="5" t="str">
        <f ca="1">IFERROR(__xludf.DUMMYFUNCTION("""COMPUTED_VALUE"""),"Black")</f>
        <v>Black</v>
      </c>
    </row>
    <row r="2425" spans="1:6" ht="13">
      <c r="A2425" s="5" t="str">
        <f ca="1">IFERROR(__xludf.DUMMYFUNCTION("""COMPUTED_VALUE"""),"19930108PACRM")</f>
        <v>19930108PACRM</v>
      </c>
      <c r="B2425" s="5" t="str">
        <f ca="1">IFERROR(__xludf.DUMMYFUNCTION("""COMPUTED_VALUE"""),"Wounded")</f>
        <v>Wounded</v>
      </c>
      <c r="C2425" s="5" t="str">
        <f ca="1">IFERROR(__xludf.DUMMYFUNCTION("""COMPUTED_VALUE"""),"Male")</f>
        <v>Male</v>
      </c>
      <c r="D2425" s="5" t="str">
        <f ca="1">IFERROR(__xludf.DUMMYFUNCTION("""COMPUTED_VALUE"""),"Student")</f>
        <v>Student</v>
      </c>
      <c r="E2425" s="5">
        <f ca="1">IFERROR(__xludf.DUMMYFUNCTION("""COMPUTED_VALUE"""),15)</f>
        <v>15</v>
      </c>
      <c r="F2425" s="5"/>
    </row>
    <row r="2426" spans="1:6" ht="13">
      <c r="A2426" s="5" t="str">
        <f ca="1">IFERROR(__xludf.DUMMYFUNCTION("""COMPUTED_VALUE"""),"19930105NYBRB")</f>
        <v>19930105NYBRB</v>
      </c>
      <c r="B2426" s="5" t="str">
        <f ca="1">IFERROR(__xludf.DUMMYFUNCTION("""COMPUTED_VALUE"""),"Wounded")</f>
        <v>Wounded</v>
      </c>
      <c r="C2426" s="5" t="str">
        <f ca="1">IFERROR(__xludf.DUMMYFUNCTION("""COMPUTED_VALUE"""),"Male")</f>
        <v>Male</v>
      </c>
      <c r="D2426" s="5" t="str">
        <f ca="1">IFERROR(__xludf.DUMMYFUNCTION("""COMPUTED_VALUE"""),"Former Student")</f>
        <v>Former Student</v>
      </c>
      <c r="E2426" s="5">
        <f ca="1">IFERROR(__xludf.DUMMYFUNCTION("""COMPUTED_VALUE"""),19)</f>
        <v>19</v>
      </c>
      <c r="F2426" s="5"/>
    </row>
    <row r="2427" spans="1:6" ht="13">
      <c r="A2427" s="5" t="str">
        <f ca="1">IFERROR(__xludf.DUMMYFUNCTION("""COMPUTED_VALUE"""),"19921214NYWAW")</f>
        <v>19921214NYWAW</v>
      </c>
      <c r="B2427" s="5" t="str">
        <f ca="1">IFERROR(__xludf.DUMMYFUNCTION("""COMPUTED_VALUE"""),"Wounded")</f>
        <v>Wounded</v>
      </c>
      <c r="C2427" s="5" t="str">
        <f ca="1">IFERROR(__xludf.DUMMYFUNCTION("""COMPUTED_VALUE"""),"Female")</f>
        <v>Female</v>
      </c>
      <c r="D2427" s="5" t="str">
        <f ca="1">IFERROR(__xludf.DUMMYFUNCTION("""COMPUTED_VALUE"""),"Teacher")</f>
        <v>Teacher</v>
      </c>
      <c r="E2427" s="5">
        <f ca="1">IFERROR(__xludf.DUMMYFUNCTION("""COMPUTED_VALUE"""),49)</f>
        <v>49</v>
      </c>
      <c r="F2427" s="5"/>
    </row>
    <row r="2428" spans="1:6" ht="13">
      <c r="A2428" s="5" t="str">
        <f ca="1">IFERROR(__xludf.DUMMYFUNCTION("""COMPUTED_VALUE"""),"19921203ILWOC")</f>
        <v>19921203ILWOC</v>
      </c>
      <c r="B2428" s="5" t="str">
        <f ca="1">IFERROR(__xludf.DUMMYFUNCTION("""COMPUTED_VALUE"""),"Fatal")</f>
        <v>Fatal</v>
      </c>
      <c r="C2428" s="5" t="str">
        <f ca="1">IFERROR(__xludf.DUMMYFUNCTION("""COMPUTED_VALUE"""),"Male")</f>
        <v>Male</v>
      </c>
      <c r="D2428" s="5" t="str">
        <f ca="1">IFERROR(__xludf.DUMMYFUNCTION("""COMPUTED_VALUE"""),"No Relation")</f>
        <v>No Relation</v>
      </c>
      <c r="E2428" s="5">
        <f ca="1">IFERROR(__xludf.DUMMYFUNCTION("""COMPUTED_VALUE"""),19)</f>
        <v>19</v>
      </c>
      <c r="F2428" s="5"/>
    </row>
    <row r="2429" spans="1:6" ht="13">
      <c r="A2429" s="5" t="str">
        <f ca="1">IFERROR(__xludf.DUMMYFUNCTION("""COMPUTED_VALUE"""),"19921203ILWOC")</f>
        <v>19921203ILWOC</v>
      </c>
      <c r="B2429" s="5" t="str">
        <f ca="1">IFERROR(__xludf.DUMMYFUNCTION("""COMPUTED_VALUE"""),"Wounded")</f>
        <v>Wounded</v>
      </c>
      <c r="C2429" s="5" t="str">
        <f ca="1">IFERROR(__xludf.DUMMYFUNCTION("""COMPUTED_VALUE"""),"Male")</f>
        <v>Male</v>
      </c>
      <c r="D2429" s="5" t="str">
        <f ca="1">IFERROR(__xludf.DUMMYFUNCTION("""COMPUTED_VALUE"""),"No Relation")</f>
        <v>No Relation</v>
      </c>
      <c r="E2429" s="5">
        <f ca="1">IFERROR(__xludf.DUMMYFUNCTION("""COMPUTED_VALUE"""),25)</f>
        <v>25</v>
      </c>
      <c r="F2429" s="5"/>
    </row>
    <row r="2430" spans="1:6" ht="13">
      <c r="A2430" s="5" t="str">
        <f ca="1">IFERROR(__xludf.DUMMYFUNCTION("""COMPUTED_VALUE"""),"19921130ILORC")</f>
        <v>19921130ILORC</v>
      </c>
      <c r="B2430" s="5" t="str">
        <f ca="1">IFERROR(__xludf.DUMMYFUNCTION("""COMPUTED_VALUE"""),"Wounded")</f>
        <v>Wounded</v>
      </c>
      <c r="C2430" s="5" t="str">
        <f ca="1">IFERROR(__xludf.DUMMYFUNCTION("""COMPUTED_VALUE"""),"Male")</f>
        <v>Male</v>
      </c>
      <c r="D2430" s="5" t="str">
        <f ca="1">IFERROR(__xludf.DUMMYFUNCTION("""COMPUTED_VALUE"""),"Student")</f>
        <v>Student</v>
      </c>
      <c r="E2430" s="5">
        <f ca="1">IFERROR(__xludf.DUMMYFUNCTION("""COMPUTED_VALUE"""),16)</f>
        <v>16</v>
      </c>
      <c r="F2430" s="5"/>
    </row>
    <row r="2431" spans="1:6" ht="13">
      <c r="A2431" s="5" t="str">
        <f ca="1">IFERROR(__xludf.DUMMYFUNCTION("""COMPUTED_VALUE"""),"19921124ALROM")</f>
        <v>19921124ALROM</v>
      </c>
      <c r="B2431" s="5" t="str">
        <f ca="1">IFERROR(__xludf.DUMMYFUNCTION("""COMPUTED_VALUE"""),"Wounded")</f>
        <v>Wounded</v>
      </c>
      <c r="C2431" s="5" t="str">
        <f ca="1">IFERROR(__xludf.DUMMYFUNCTION("""COMPUTED_VALUE"""),"Female")</f>
        <v>Female</v>
      </c>
      <c r="D2431" s="5" t="str">
        <f ca="1">IFERROR(__xludf.DUMMYFUNCTION("""COMPUTED_VALUE"""),"Student")</f>
        <v>Student</v>
      </c>
      <c r="E2431" s="5">
        <f ca="1">IFERROR(__xludf.DUMMYFUNCTION("""COMPUTED_VALUE"""),18)</f>
        <v>18</v>
      </c>
      <c r="F2431" s="5"/>
    </row>
    <row r="2432" spans="1:6" ht="13">
      <c r="A2432" s="5" t="str">
        <f ca="1">IFERROR(__xludf.DUMMYFUNCTION("""COMPUTED_VALUE"""),"19921120ILTIC")</f>
        <v>19921120ILTIC</v>
      </c>
      <c r="B2432" s="5" t="str">
        <f ca="1">IFERROR(__xludf.DUMMYFUNCTION("""COMPUTED_VALUE"""),"Fatal")</f>
        <v>Fatal</v>
      </c>
      <c r="C2432" s="5" t="str">
        <f ca="1">IFERROR(__xludf.DUMMYFUNCTION("""COMPUTED_VALUE"""),"Male")</f>
        <v>Male</v>
      </c>
      <c r="D2432" s="5" t="str">
        <f ca="1">IFERROR(__xludf.DUMMYFUNCTION("""COMPUTED_VALUE"""),"Student")</f>
        <v>Student</v>
      </c>
      <c r="E2432" s="5">
        <f ca="1">IFERROR(__xludf.DUMMYFUNCTION("""COMPUTED_VALUE"""),15)</f>
        <v>15</v>
      </c>
      <c r="F2432" s="5"/>
    </row>
    <row r="2433" spans="1:6" ht="13">
      <c r="A2433" s="5" t="str">
        <f ca="1">IFERROR(__xludf.DUMMYFUNCTION("""COMPUTED_VALUE"""),"19921120ILTIC")</f>
        <v>19921120ILTIC</v>
      </c>
      <c r="B2433" s="5" t="str">
        <f ca="1">IFERROR(__xludf.DUMMYFUNCTION("""COMPUTED_VALUE"""),"Wounded")</f>
        <v>Wounded</v>
      </c>
      <c r="C2433" s="5" t="str">
        <f ca="1">IFERROR(__xludf.DUMMYFUNCTION("""COMPUTED_VALUE"""),"Male")</f>
        <v>Male</v>
      </c>
      <c r="D2433" s="5" t="str">
        <f ca="1">IFERROR(__xludf.DUMMYFUNCTION("""COMPUTED_VALUE"""),"Student")</f>
        <v>Student</v>
      </c>
      <c r="E2433" s="5">
        <f ca="1">IFERROR(__xludf.DUMMYFUNCTION("""COMPUTED_VALUE"""),17)</f>
        <v>17</v>
      </c>
      <c r="F2433" s="5"/>
    </row>
    <row r="2434" spans="1:6" ht="13">
      <c r="A2434" s="5" t="str">
        <f ca="1">IFERROR(__xludf.DUMMYFUNCTION("""COMPUTED_VALUE"""),"19921120ILTIC")</f>
        <v>19921120ILTIC</v>
      </c>
      <c r="B2434" s="5" t="str">
        <f ca="1">IFERROR(__xludf.DUMMYFUNCTION("""COMPUTED_VALUE"""),"Wounded")</f>
        <v>Wounded</v>
      </c>
      <c r="C2434" s="5" t="str">
        <f ca="1">IFERROR(__xludf.DUMMYFUNCTION("""COMPUTED_VALUE"""),"Male")</f>
        <v>Male</v>
      </c>
      <c r="D2434" s="5" t="str">
        <f ca="1">IFERROR(__xludf.DUMMYFUNCTION("""COMPUTED_VALUE"""),"Student")</f>
        <v>Student</v>
      </c>
      <c r="E2434" s="5">
        <f ca="1">IFERROR(__xludf.DUMMYFUNCTION("""COMPUTED_VALUE"""),15)</f>
        <v>15</v>
      </c>
      <c r="F2434" s="5"/>
    </row>
    <row r="2435" spans="1:6" ht="13">
      <c r="A2435" s="5" t="str">
        <f ca="1">IFERROR(__xludf.DUMMYFUNCTION("""COMPUTED_VALUE"""),"19921116ALFAB")</f>
        <v>19921116ALFAB</v>
      </c>
      <c r="B2435" s="5" t="str">
        <f ca="1">IFERROR(__xludf.DUMMYFUNCTION("""COMPUTED_VALUE"""),"Fatal")</f>
        <v>Fatal</v>
      </c>
      <c r="C2435" s="5" t="str">
        <f ca="1">IFERROR(__xludf.DUMMYFUNCTION("""COMPUTED_VALUE"""),"Male")</f>
        <v>Male</v>
      </c>
      <c r="D2435" s="5" t="str">
        <f ca="1">IFERROR(__xludf.DUMMYFUNCTION("""COMPUTED_VALUE"""),"Student")</f>
        <v>Student</v>
      </c>
      <c r="E2435" s="5">
        <f ca="1">IFERROR(__xludf.DUMMYFUNCTION("""COMPUTED_VALUE"""),16)</f>
        <v>16</v>
      </c>
      <c r="F2435" s="5"/>
    </row>
    <row r="2436" spans="1:6" ht="13">
      <c r="A2436" s="5" t="str">
        <f ca="1">IFERROR(__xludf.DUMMYFUNCTION("""COMPUTED_VALUE"""),"19921113TXLAC")</f>
        <v>19921113TXLAC</v>
      </c>
      <c r="B2436" s="5" t="str">
        <f ca="1">IFERROR(__xludf.DUMMYFUNCTION("""COMPUTED_VALUE"""),"Fatal")</f>
        <v>Fatal</v>
      </c>
      <c r="C2436" s="5" t="str">
        <f ca="1">IFERROR(__xludf.DUMMYFUNCTION("""COMPUTED_VALUE"""),"Female")</f>
        <v>Female</v>
      </c>
      <c r="D2436" s="5" t="str">
        <f ca="1">IFERROR(__xludf.DUMMYFUNCTION("""COMPUTED_VALUE"""),"Teacher")</f>
        <v>Teacher</v>
      </c>
      <c r="E2436" s="5">
        <f ca="1">IFERROR(__xludf.DUMMYFUNCTION("""COMPUTED_VALUE"""),39)</f>
        <v>39</v>
      </c>
      <c r="F2436" s="5"/>
    </row>
    <row r="2437" spans="1:6" ht="13">
      <c r="A2437" s="5" t="str">
        <f ca="1">IFERROR(__xludf.DUMMYFUNCTION("""COMPUTED_VALUE"""),"19921110ILSHC")</f>
        <v>19921110ILSHC</v>
      </c>
      <c r="B2437" s="5" t="str">
        <f ca="1">IFERROR(__xludf.DUMMYFUNCTION("""COMPUTED_VALUE"""),"None")</f>
        <v>None</v>
      </c>
      <c r="C2437" s="5" t="str">
        <f ca="1">IFERROR(__xludf.DUMMYFUNCTION("""COMPUTED_VALUE"""),"Male")</f>
        <v>Male</v>
      </c>
      <c r="D2437" s="5" t="str">
        <f ca="1">IFERROR(__xludf.DUMMYFUNCTION("""COMPUTED_VALUE"""),"Student")</f>
        <v>Student</v>
      </c>
      <c r="E2437" s="5">
        <f ca="1">IFERROR(__xludf.DUMMYFUNCTION("""COMPUTED_VALUE"""),13)</f>
        <v>13</v>
      </c>
      <c r="F2437" s="5"/>
    </row>
    <row r="2438" spans="1:6" ht="13">
      <c r="A2438" s="5" t="str">
        <f ca="1">IFERROR(__xludf.DUMMYFUNCTION("""COMPUTED_VALUE"""),"19921104MIMUD")</f>
        <v>19921104MIMUD</v>
      </c>
      <c r="B2438" s="5" t="str">
        <f ca="1">IFERROR(__xludf.DUMMYFUNCTION("""COMPUTED_VALUE"""),"Wounded")</f>
        <v>Wounded</v>
      </c>
      <c r="C2438" s="5" t="str">
        <f ca="1">IFERROR(__xludf.DUMMYFUNCTION("""COMPUTED_VALUE"""),"Male")</f>
        <v>Male</v>
      </c>
      <c r="D2438" s="5" t="str">
        <f ca="1">IFERROR(__xludf.DUMMYFUNCTION("""COMPUTED_VALUE"""),"No Relation")</f>
        <v>No Relation</v>
      </c>
      <c r="E2438" s="5" t="str">
        <f ca="1">IFERROR(__xludf.DUMMYFUNCTION("""COMPUTED_VALUE"""),"Teen")</f>
        <v>Teen</v>
      </c>
      <c r="F2438" s="5"/>
    </row>
    <row r="2439" spans="1:6" ht="13">
      <c r="A2439" s="5" t="str">
        <f ca="1">IFERROR(__xludf.DUMMYFUNCTION("""COMPUTED_VALUE"""),"19921104MIMUD")</f>
        <v>19921104MIMUD</v>
      </c>
      <c r="B2439" s="5" t="str">
        <f ca="1">IFERROR(__xludf.DUMMYFUNCTION("""COMPUTED_VALUE"""),"Wounded")</f>
        <v>Wounded</v>
      </c>
      <c r="C2439" s="5" t="str">
        <f ca="1">IFERROR(__xludf.DUMMYFUNCTION("""COMPUTED_VALUE"""),"Male")</f>
        <v>Male</v>
      </c>
      <c r="D2439" s="5" t="str">
        <f ca="1">IFERROR(__xludf.DUMMYFUNCTION("""COMPUTED_VALUE"""),"No Relation")</f>
        <v>No Relation</v>
      </c>
      <c r="E2439" s="5" t="str">
        <f ca="1">IFERROR(__xludf.DUMMYFUNCTION("""COMPUTED_VALUE"""),"Teen")</f>
        <v>Teen</v>
      </c>
      <c r="F2439" s="5"/>
    </row>
    <row r="2440" spans="1:6" ht="13">
      <c r="A2440" s="5" t="str">
        <f ca="1">IFERROR(__xludf.DUMMYFUNCTION("""COMPUTED_VALUE"""),"19921104MIMUD")</f>
        <v>19921104MIMUD</v>
      </c>
      <c r="B2440" s="5" t="str">
        <f ca="1">IFERROR(__xludf.DUMMYFUNCTION("""COMPUTED_VALUE"""),"Wounded")</f>
        <v>Wounded</v>
      </c>
      <c r="C2440" s="5" t="str">
        <f ca="1">IFERROR(__xludf.DUMMYFUNCTION("""COMPUTED_VALUE"""),"Male")</f>
        <v>Male</v>
      </c>
      <c r="D2440" s="5" t="str">
        <f ca="1">IFERROR(__xludf.DUMMYFUNCTION("""COMPUTED_VALUE"""),"No Relation")</f>
        <v>No Relation</v>
      </c>
      <c r="E2440" s="5" t="str">
        <f ca="1">IFERROR(__xludf.DUMMYFUNCTION("""COMPUTED_VALUE"""),"Teen")</f>
        <v>Teen</v>
      </c>
      <c r="F2440" s="5"/>
    </row>
    <row r="2441" spans="1:6" ht="13">
      <c r="A2441" s="5" t="str">
        <f ca="1">IFERROR(__xludf.DUMMYFUNCTION("""COMPUTED_VALUE"""),"19921104MIMAD")</f>
        <v>19921104MIMAD</v>
      </c>
      <c r="B2441" s="5" t="str">
        <f ca="1">IFERROR(__xludf.DUMMYFUNCTION("""COMPUTED_VALUE"""),"Wounded")</f>
        <v>Wounded</v>
      </c>
      <c r="C2441" s="5" t="str">
        <f ca="1">IFERROR(__xludf.DUMMYFUNCTION("""COMPUTED_VALUE"""),"Male")</f>
        <v>Male</v>
      </c>
      <c r="D2441" s="5" t="str">
        <f ca="1">IFERROR(__xludf.DUMMYFUNCTION("""COMPUTED_VALUE"""),"Student")</f>
        <v>Student</v>
      </c>
      <c r="E2441" s="5">
        <f ca="1">IFERROR(__xludf.DUMMYFUNCTION("""COMPUTED_VALUE"""),16)</f>
        <v>16</v>
      </c>
      <c r="F2441" s="5"/>
    </row>
    <row r="2442" spans="1:6" ht="13">
      <c r="A2442" s="5" t="str">
        <f ca="1">IFERROR(__xludf.DUMMYFUNCTION("""COMPUTED_VALUE"""),"19921104MIFID")</f>
        <v>19921104MIFID</v>
      </c>
      <c r="B2442" s="5" t="str">
        <f ca="1">IFERROR(__xludf.DUMMYFUNCTION("""COMPUTED_VALUE"""),"Minor Injuries")</f>
        <v>Minor Injuries</v>
      </c>
      <c r="C2442" s="5"/>
      <c r="D2442" s="5" t="str">
        <f ca="1">IFERROR(__xludf.DUMMYFUNCTION("""COMPUTED_VALUE"""),"Student")</f>
        <v>Student</v>
      </c>
      <c r="E2442" s="5" t="str">
        <f ca="1">IFERROR(__xludf.DUMMYFUNCTION("""COMPUTED_VALUE"""),"Teen")</f>
        <v>Teen</v>
      </c>
      <c r="F2442" s="5"/>
    </row>
    <row r="2443" spans="1:6" ht="13">
      <c r="A2443" s="5" t="str">
        <f ca="1">IFERROR(__xludf.DUMMYFUNCTION("""COMPUTED_VALUE"""),"19921104MIFID")</f>
        <v>19921104MIFID</v>
      </c>
      <c r="B2443" s="5" t="str">
        <f ca="1">IFERROR(__xludf.DUMMYFUNCTION("""COMPUTED_VALUE"""),"Minor Injuries")</f>
        <v>Minor Injuries</v>
      </c>
      <c r="C2443" s="5"/>
      <c r="D2443" s="5" t="str">
        <f ca="1">IFERROR(__xludf.DUMMYFUNCTION("""COMPUTED_VALUE"""),"Student")</f>
        <v>Student</v>
      </c>
      <c r="E2443" s="5" t="str">
        <f ca="1">IFERROR(__xludf.DUMMYFUNCTION("""COMPUTED_VALUE"""),"Teen")</f>
        <v>Teen</v>
      </c>
      <c r="F2443" s="5"/>
    </row>
    <row r="2444" spans="1:6" ht="13">
      <c r="A2444" s="5" t="str">
        <f ca="1">IFERROR(__xludf.DUMMYFUNCTION("""COMPUTED_VALUE"""),"19921104MIFID")</f>
        <v>19921104MIFID</v>
      </c>
      <c r="B2444" s="5" t="str">
        <f ca="1">IFERROR(__xludf.DUMMYFUNCTION("""COMPUTED_VALUE"""),"Minor Injuries")</f>
        <v>Minor Injuries</v>
      </c>
      <c r="C2444" s="5"/>
      <c r="D2444" s="5" t="str">
        <f ca="1">IFERROR(__xludf.DUMMYFUNCTION("""COMPUTED_VALUE"""),"Student")</f>
        <v>Student</v>
      </c>
      <c r="E2444" s="5" t="str">
        <f ca="1">IFERROR(__xludf.DUMMYFUNCTION("""COMPUTED_VALUE"""),"Teen")</f>
        <v>Teen</v>
      </c>
      <c r="F2444" s="5"/>
    </row>
    <row r="2445" spans="1:6" ht="13">
      <c r="A2445" s="5" t="str">
        <f ca="1">IFERROR(__xludf.DUMMYFUNCTION("""COMPUTED_VALUE"""),"19921104MIFID")</f>
        <v>19921104MIFID</v>
      </c>
      <c r="B2445" s="5" t="str">
        <f ca="1">IFERROR(__xludf.DUMMYFUNCTION("""COMPUTED_VALUE"""),"Minor Injuries")</f>
        <v>Minor Injuries</v>
      </c>
      <c r="C2445" s="5"/>
      <c r="D2445" s="5" t="str">
        <f ca="1">IFERROR(__xludf.DUMMYFUNCTION("""COMPUTED_VALUE"""),"Student")</f>
        <v>Student</v>
      </c>
      <c r="E2445" s="5" t="str">
        <f ca="1">IFERROR(__xludf.DUMMYFUNCTION("""COMPUTED_VALUE"""),"Teen")</f>
        <v>Teen</v>
      </c>
      <c r="F2445" s="5"/>
    </row>
    <row r="2446" spans="1:6" ht="13">
      <c r="A2446" s="5" t="str">
        <f ca="1">IFERROR(__xludf.DUMMYFUNCTION("""COMPUTED_VALUE"""),"19921104MIFID")</f>
        <v>19921104MIFID</v>
      </c>
      <c r="B2446" s="5" t="str">
        <f ca="1">IFERROR(__xludf.DUMMYFUNCTION("""COMPUTED_VALUE"""),"Minor Injuries")</f>
        <v>Minor Injuries</v>
      </c>
      <c r="C2446" s="5"/>
      <c r="D2446" s="5" t="str">
        <f ca="1">IFERROR(__xludf.DUMMYFUNCTION("""COMPUTED_VALUE"""),"Student")</f>
        <v>Student</v>
      </c>
      <c r="E2446" s="5" t="str">
        <f ca="1">IFERROR(__xludf.DUMMYFUNCTION("""COMPUTED_VALUE"""),"Teen")</f>
        <v>Teen</v>
      </c>
      <c r="F2446" s="5"/>
    </row>
    <row r="2447" spans="1:6" ht="13">
      <c r="A2447" s="5" t="str">
        <f ca="1">IFERROR(__xludf.DUMMYFUNCTION("""COMPUTED_VALUE"""),"19921104MIFID")</f>
        <v>19921104MIFID</v>
      </c>
      <c r="B2447" s="5" t="str">
        <f ca="1">IFERROR(__xludf.DUMMYFUNCTION("""COMPUTED_VALUE"""),"Minor Injuries")</f>
        <v>Minor Injuries</v>
      </c>
      <c r="C2447" s="5"/>
      <c r="D2447" s="5" t="str">
        <f ca="1">IFERROR(__xludf.DUMMYFUNCTION("""COMPUTED_VALUE"""),"Student")</f>
        <v>Student</v>
      </c>
      <c r="E2447" s="5" t="str">
        <f ca="1">IFERROR(__xludf.DUMMYFUNCTION("""COMPUTED_VALUE"""),"Teen")</f>
        <v>Teen</v>
      </c>
      <c r="F2447" s="5"/>
    </row>
    <row r="2448" spans="1:6" ht="13">
      <c r="A2448" s="5" t="str">
        <f ca="1">IFERROR(__xludf.DUMMYFUNCTION("""COMPUTED_VALUE"""),"19921104MIFID")</f>
        <v>19921104MIFID</v>
      </c>
      <c r="B2448" s="5" t="str">
        <f ca="1">IFERROR(__xludf.DUMMYFUNCTION("""COMPUTED_VALUE"""),"Minor Injuries")</f>
        <v>Minor Injuries</v>
      </c>
      <c r="C2448" s="5"/>
      <c r="D2448" s="5" t="str">
        <f ca="1">IFERROR(__xludf.DUMMYFUNCTION("""COMPUTED_VALUE"""),"Student")</f>
        <v>Student</v>
      </c>
      <c r="E2448" s="5" t="str">
        <f ca="1">IFERROR(__xludf.DUMMYFUNCTION("""COMPUTED_VALUE"""),"Teen")</f>
        <v>Teen</v>
      </c>
      <c r="F2448" s="5"/>
    </row>
    <row r="2449" spans="1:6" ht="13">
      <c r="A2449" s="5" t="str">
        <f ca="1">IFERROR(__xludf.DUMMYFUNCTION("""COMPUTED_VALUE"""),"19921019NYEVB")</f>
        <v>19921019NYEVB</v>
      </c>
      <c r="B2449" s="5" t="str">
        <f ca="1">IFERROR(__xludf.DUMMYFUNCTION("""COMPUTED_VALUE"""),"Wounded")</f>
        <v>Wounded</v>
      </c>
      <c r="C2449" s="5" t="str">
        <f ca="1">IFERROR(__xludf.DUMMYFUNCTION("""COMPUTED_VALUE"""),"Female")</f>
        <v>Female</v>
      </c>
      <c r="D2449" s="5" t="str">
        <f ca="1">IFERROR(__xludf.DUMMYFUNCTION("""COMPUTED_VALUE"""),"Student")</f>
        <v>Student</v>
      </c>
      <c r="E2449" s="5">
        <f ca="1">IFERROR(__xludf.DUMMYFUNCTION("""COMPUTED_VALUE"""),14)</f>
        <v>14</v>
      </c>
      <c r="F2449" s="5"/>
    </row>
    <row r="2450" spans="1:6" ht="13">
      <c r="A2450" s="5" t="str">
        <f ca="1">IFERROR(__xludf.DUMMYFUNCTION("""COMPUTED_VALUE"""),"19921019NYEVB")</f>
        <v>19921019NYEVB</v>
      </c>
      <c r="B2450" s="5" t="str">
        <f ca="1">IFERROR(__xludf.DUMMYFUNCTION("""COMPUTED_VALUE"""),"Wounded")</f>
        <v>Wounded</v>
      </c>
      <c r="C2450" s="5" t="str">
        <f ca="1">IFERROR(__xludf.DUMMYFUNCTION("""COMPUTED_VALUE"""),"Female")</f>
        <v>Female</v>
      </c>
      <c r="D2450" s="5" t="str">
        <f ca="1">IFERROR(__xludf.DUMMYFUNCTION("""COMPUTED_VALUE"""),"Student")</f>
        <v>Student</v>
      </c>
      <c r="E2450" s="5">
        <f ca="1">IFERROR(__xludf.DUMMYFUNCTION("""COMPUTED_VALUE"""),14)</f>
        <v>14</v>
      </c>
      <c r="F2450" s="5"/>
    </row>
    <row r="2451" spans="1:6" ht="13">
      <c r="A2451" s="5" t="str">
        <f ca="1">IFERROR(__xludf.DUMMYFUNCTION("""COMPUTED_VALUE"""),"19921019NYEVB")</f>
        <v>19921019NYEVB</v>
      </c>
      <c r="B2451" s="5" t="str">
        <f ca="1">IFERROR(__xludf.DUMMYFUNCTION("""COMPUTED_VALUE"""),"Wounded")</f>
        <v>Wounded</v>
      </c>
      <c r="C2451" s="5" t="str">
        <f ca="1">IFERROR(__xludf.DUMMYFUNCTION("""COMPUTED_VALUE"""),"Male")</f>
        <v>Male</v>
      </c>
      <c r="D2451" s="5" t="str">
        <f ca="1">IFERROR(__xludf.DUMMYFUNCTION("""COMPUTED_VALUE"""),"Student")</f>
        <v>Student</v>
      </c>
      <c r="E2451" s="5">
        <f ca="1">IFERROR(__xludf.DUMMYFUNCTION("""COMPUTED_VALUE"""),16)</f>
        <v>16</v>
      </c>
      <c r="F2451" s="5"/>
    </row>
    <row r="2452" spans="1:6" ht="13">
      <c r="A2452" s="5" t="str">
        <f ca="1">IFERROR(__xludf.DUMMYFUNCTION("""COMPUTED_VALUE"""),"19921013AZDET")</f>
        <v>19921013AZDET</v>
      </c>
      <c r="B2452" s="5" t="str">
        <f ca="1">IFERROR(__xludf.DUMMYFUNCTION("""COMPUTED_VALUE"""),"Fatal")</f>
        <v>Fatal</v>
      </c>
      <c r="C2452" s="5" t="str">
        <f ca="1">IFERROR(__xludf.DUMMYFUNCTION("""COMPUTED_VALUE"""),"Male")</f>
        <v>Male</v>
      </c>
      <c r="D2452" s="5" t="str">
        <f ca="1">IFERROR(__xludf.DUMMYFUNCTION("""COMPUTED_VALUE"""),"Student")</f>
        <v>Student</v>
      </c>
      <c r="E2452" s="5">
        <f ca="1">IFERROR(__xludf.DUMMYFUNCTION("""COMPUTED_VALUE"""),16)</f>
        <v>16</v>
      </c>
      <c r="F2452" s="5"/>
    </row>
    <row r="2453" spans="1:6" ht="13">
      <c r="A2453" s="5" t="str">
        <f ca="1">IFERROR(__xludf.DUMMYFUNCTION("""COMPUTED_VALUE"""),"19920930TXHOH")</f>
        <v>19920930TXHOH</v>
      </c>
      <c r="B2453" s="5" t="str">
        <f ca="1">IFERROR(__xludf.DUMMYFUNCTION("""COMPUTED_VALUE"""),"Fatal")</f>
        <v>Fatal</v>
      </c>
      <c r="C2453" s="5" t="str">
        <f ca="1">IFERROR(__xludf.DUMMYFUNCTION("""COMPUTED_VALUE"""),"Male")</f>
        <v>Male</v>
      </c>
      <c r="D2453" s="5" t="str">
        <f ca="1">IFERROR(__xludf.DUMMYFUNCTION("""COMPUTED_VALUE"""),"Gang Member")</f>
        <v>Gang Member</v>
      </c>
      <c r="E2453" s="5"/>
      <c r="F2453" s="5"/>
    </row>
    <row r="2454" spans="1:6" ht="13">
      <c r="A2454" s="5" t="str">
        <f ca="1">IFERROR(__xludf.DUMMYFUNCTION("""COMPUTED_VALUE"""),"19920930TXHOH")</f>
        <v>19920930TXHOH</v>
      </c>
      <c r="B2454" s="5" t="str">
        <f ca="1">IFERROR(__xludf.DUMMYFUNCTION("""COMPUTED_VALUE"""),"Wounded")</f>
        <v>Wounded</v>
      </c>
      <c r="C2454" s="5" t="str">
        <f ca="1">IFERROR(__xludf.DUMMYFUNCTION("""COMPUTED_VALUE"""),"Male")</f>
        <v>Male</v>
      </c>
      <c r="D2454" s="5" t="str">
        <f ca="1">IFERROR(__xludf.DUMMYFUNCTION("""COMPUTED_VALUE"""),"Gang Member")</f>
        <v>Gang Member</v>
      </c>
      <c r="E2454" s="5"/>
      <c r="F2454" s="5"/>
    </row>
    <row r="2455" spans="1:6" ht="13">
      <c r="A2455" s="5" t="str">
        <f ca="1">IFERROR(__xludf.DUMMYFUNCTION("""COMPUTED_VALUE"""),"19920930CAPAL")</f>
        <v>19920930CAPAL</v>
      </c>
      <c r="B2455" s="5" t="str">
        <f ca="1">IFERROR(__xludf.DUMMYFUNCTION("""COMPUTED_VALUE"""),"Fatal")</f>
        <v>Fatal</v>
      </c>
      <c r="C2455" s="5" t="str">
        <f ca="1">IFERROR(__xludf.DUMMYFUNCTION("""COMPUTED_VALUE"""),"Female")</f>
        <v>Female</v>
      </c>
      <c r="D2455" s="5" t="str">
        <f ca="1">IFERROR(__xludf.DUMMYFUNCTION("""COMPUTED_VALUE"""),"Student")</f>
        <v>Student</v>
      </c>
      <c r="E2455" s="5">
        <f ca="1">IFERROR(__xludf.DUMMYFUNCTION("""COMPUTED_VALUE"""),16)</f>
        <v>16</v>
      </c>
      <c r="F2455" s="5" t="str">
        <f ca="1">IFERROR(__xludf.DUMMYFUNCTION("""COMPUTED_VALUE"""),"Black")</f>
        <v>Black</v>
      </c>
    </row>
    <row r="2456" spans="1:6" ht="13">
      <c r="A2456" s="5" t="str">
        <f ca="1">IFERROR(__xludf.DUMMYFUNCTION("""COMPUTED_VALUE"""),"19920928CAHIS")</f>
        <v>19920928CAHIS</v>
      </c>
      <c r="B2456" s="5" t="str">
        <f ca="1">IFERROR(__xludf.DUMMYFUNCTION("""COMPUTED_VALUE"""),"Wounded")</f>
        <v>Wounded</v>
      </c>
      <c r="C2456" s="5" t="str">
        <f ca="1">IFERROR(__xludf.DUMMYFUNCTION("""COMPUTED_VALUE"""),"Male")</f>
        <v>Male</v>
      </c>
      <c r="D2456" s="5" t="str">
        <f ca="1">IFERROR(__xludf.DUMMYFUNCTION("""COMPUTED_VALUE"""),"Student")</f>
        <v>Student</v>
      </c>
      <c r="E2456" s="5">
        <f ca="1">IFERROR(__xludf.DUMMYFUNCTION("""COMPUTED_VALUE"""),16)</f>
        <v>16</v>
      </c>
      <c r="F2456" s="5"/>
    </row>
    <row r="2457" spans="1:6" ht="13">
      <c r="A2457" s="5" t="str">
        <f ca="1">IFERROR(__xludf.DUMMYFUNCTION("""COMPUTED_VALUE"""),"19920928CAHIS")</f>
        <v>19920928CAHIS</v>
      </c>
      <c r="B2457" s="5" t="str">
        <f ca="1">IFERROR(__xludf.DUMMYFUNCTION("""COMPUTED_VALUE"""),"Wounded")</f>
        <v>Wounded</v>
      </c>
      <c r="C2457" s="5" t="str">
        <f ca="1">IFERROR(__xludf.DUMMYFUNCTION("""COMPUTED_VALUE"""),"Male")</f>
        <v>Male</v>
      </c>
      <c r="D2457" s="5" t="str">
        <f ca="1">IFERROR(__xludf.DUMMYFUNCTION("""COMPUTED_VALUE"""),"Student")</f>
        <v>Student</v>
      </c>
      <c r="E2457" s="5">
        <f ca="1">IFERROR(__xludf.DUMMYFUNCTION("""COMPUTED_VALUE"""),18)</f>
        <v>18</v>
      </c>
      <c r="F2457" s="5"/>
    </row>
    <row r="2458" spans="1:6" ht="13">
      <c r="A2458" s="5" t="str">
        <f ca="1">IFERROR(__xludf.DUMMYFUNCTION("""COMPUTED_VALUE"""),"19920911TXPAA")</f>
        <v>19920911TXPAA</v>
      </c>
      <c r="B2458" s="5" t="str">
        <f ca="1">IFERROR(__xludf.DUMMYFUNCTION("""COMPUTED_VALUE"""),"Wounded")</f>
        <v>Wounded</v>
      </c>
      <c r="C2458" s="5" t="str">
        <f ca="1">IFERROR(__xludf.DUMMYFUNCTION("""COMPUTED_VALUE"""),"Male")</f>
        <v>Male</v>
      </c>
      <c r="D2458" s="5" t="str">
        <f ca="1">IFERROR(__xludf.DUMMYFUNCTION("""COMPUTED_VALUE"""),"Student")</f>
        <v>Student</v>
      </c>
      <c r="E2458" s="5" t="str">
        <f ca="1">IFERROR(__xludf.DUMMYFUNCTION("""COMPUTED_VALUE"""),"Teen")</f>
        <v>Teen</v>
      </c>
      <c r="F2458" s="5"/>
    </row>
    <row r="2459" spans="1:6" ht="13">
      <c r="A2459" s="5" t="str">
        <f ca="1">IFERROR(__xludf.DUMMYFUNCTION("""COMPUTED_VALUE"""),"19920911TXPAA")</f>
        <v>19920911TXPAA</v>
      </c>
      <c r="B2459" s="5" t="str">
        <f ca="1">IFERROR(__xludf.DUMMYFUNCTION("""COMPUTED_VALUE"""),"Wounded")</f>
        <v>Wounded</v>
      </c>
      <c r="C2459" s="5" t="str">
        <f ca="1">IFERROR(__xludf.DUMMYFUNCTION("""COMPUTED_VALUE"""),"Male")</f>
        <v>Male</v>
      </c>
      <c r="D2459" s="5" t="str">
        <f ca="1">IFERROR(__xludf.DUMMYFUNCTION("""COMPUTED_VALUE"""),"Student")</f>
        <v>Student</v>
      </c>
      <c r="E2459" s="5" t="str">
        <f ca="1">IFERROR(__xludf.DUMMYFUNCTION("""COMPUTED_VALUE"""),"Teen")</f>
        <v>Teen</v>
      </c>
      <c r="F2459" s="5"/>
    </row>
    <row r="2460" spans="1:6" ht="13">
      <c r="A2460" s="5" t="str">
        <f ca="1">IFERROR(__xludf.DUMMYFUNCTION("""COMPUTED_VALUE"""),"19920911TXPAA")</f>
        <v>19920911TXPAA</v>
      </c>
      <c r="B2460" s="5" t="str">
        <f ca="1">IFERROR(__xludf.DUMMYFUNCTION("""COMPUTED_VALUE"""),"Wounded")</f>
        <v>Wounded</v>
      </c>
      <c r="C2460" s="5" t="str">
        <f ca="1">IFERROR(__xludf.DUMMYFUNCTION("""COMPUTED_VALUE"""),"Male")</f>
        <v>Male</v>
      </c>
      <c r="D2460" s="5" t="str">
        <f ca="1">IFERROR(__xludf.DUMMYFUNCTION("""COMPUTED_VALUE"""),"Student")</f>
        <v>Student</v>
      </c>
      <c r="E2460" s="5" t="str">
        <f ca="1">IFERROR(__xludf.DUMMYFUNCTION("""COMPUTED_VALUE"""),"Teen")</f>
        <v>Teen</v>
      </c>
      <c r="F2460" s="5"/>
    </row>
    <row r="2461" spans="1:6" ht="13">
      <c r="A2461" s="5" t="str">
        <f ca="1">IFERROR(__xludf.DUMMYFUNCTION("""COMPUTED_VALUE"""),"19920911TXPAA")</f>
        <v>19920911TXPAA</v>
      </c>
      <c r="B2461" s="5" t="str">
        <f ca="1">IFERROR(__xludf.DUMMYFUNCTION("""COMPUTED_VALUE"""),"Wounded")</f>
        <v>Wounded</v>
      </c>
      <c r="C2461" s="5" t="str">
        <f ca="1">IFERROR(__xludf.DUMMYFUNCTION("""COMPUTED_VALUE"""),"Male")</f>
        <v>Male</v>
      </c>
      <c r="D2461" s="5" t="str">
        <f ca="1">IFERROR(__xludf.DUMMYFUNCTION("""COMPUTED_VALUE"""),"Student")</f>
        <v>Student</v>
      </c>
      <c r="E2461" s="5" t="str">
        <f ca="1">IFERROR(__xludf.DUMMYFUNCTION("""COMPUTED_VALUE"""),"Teen")</f>
        <v>Teen</v>
      </c>
      <c r="F2461" s="5"/>
    </row>
    <row r="2462" spans="1:6" ht="13">
      <c r="A2462" s="5" t="str">
        <f ca="1">IFERROR(__xludf.DUMMYFUNCTION("""COMPUTED_VALUE"""),"19920911TXPAA")</f>
        <v>19920911TXPAA</v>
      </c>
      <c r="B2462" s="5" t="str">
        <f ca="1">IFERROR(__xludf.DUMMYFUNCTION("""COMPUTED_VALUE"""),"Wounded")</f>
        <v>Wounded</v>
      </c>
      <c r="C2462" s="5" t="str">
        <f ca="1">IFERROR(__xludf.DUMMYFUNCTION("""COMPUTED_VALUE"""),"Male")</f>
        <v>Male</v>
      </c>
      <c r="D2462" s="5" t="str">
        <f ca="1">IFERROR(__xludf.DUMMYFUNCTION("""COMPUTED_VALUE"""),"Student")</f>
        <v>Student</v>
      </c>
      <c r="E2462" s="5" t="str">
        <f ca="1">IFERROR(__xludf.DUMMYFUNCTION("""COMPUTED_VALUE"""),"Teen")</f>
        <v>Teen</v>
      </c>
      <c r="F2462" s="5"/>
    </row>
    <row r="2463" spans="1:6" ht="13">
      <c r="A2463" s="5" t="str">
        <f ca="1">IFERROR(__xludf.DUMMYFUNCTION("""COMPUTED_VALUE"""),"19920911TXPAA")</f>
        <v>19920911TXPAA</v>
      </c>
      <c r="B2463" s="5" t="str">
        <f ca="1">IFERROR(__xludf.DUMMYFUNCTION("""COMPUTED_VALUE"""),"Wounded")</f>
        <v>Wounded</v>
      </c>
      <c r="C2463" s="5" t="str">
        <f ca="1">IFERROR(__xludf.DUMMYFUNCTION("""COMPUTED_VALUE"""),"Male")</f>
        <v>Male</v>
      </c>
      <c r="D2463" s="5" t="str">
        <f ca="1">IFERROR(__xludf.DUMMYFUNCTION("""COMPUTED_VALUE"""),"Student")</f>
        <v>Student</v>
      </c>
      <c r="E2463" s="5" t="str">
        <f ca="1">IFERROR(__xludf.DUMMYFUNCTION("""COMPUTED_VALUE"""),"Teen")</f>
        <v>Teen</v>
      </c>
      <c r="F2463" s="5"/>
    </row>
    <row r="2464" spans="1:6" ht="13">
      <c r="A2464" s="5" t="str">
        <f ca="1">IFERROR(__xludf.DUMMYFUNCTION("""COMPUTED_VALUE"""),"19920911TXPAA")</f>
        <v>19920911TXPAA</v>
      </c>
      <c r="B2464" s="5" t="str">
        <f ca="1">IFERROR(__xludf.DUMMYFUNCTION("""COMPUTED_VALUE"""),"Wounded")</f>
        <v>Wounded</v>
      </c>
      <c r="C2464" s="5" t="str">
        <f ca="1">IFERROR(__xludf.DUMMYFUNCTION("""COMPUTED_VALUE"""),"Male")</f>
        <v>Male</v>
      </c>
      <c r="D2464" s="5" t="str">
        <f ca="1">IFERROR(__xludf.DUMMYFUNCTION("""COMPUTED_VALUE"""),"Student")</f>
        <v>Student</v>
      </c>
      <c r="E2464" s="5" t="str">
        <f ca="1">IFERROR(__xludf.DUMMYFUNCTION("""COMPUTED_VALUE"""),"Teen")</f>
        <v>Teen</v>
      </c>
      <c r="F2464" s="5"/>
    </row>
    <row r="2465" spans="1:6" ht="13">
      <c r="A2465" s="5" t="str">
        <f ca="1">IFERROR(__xludf.DUMMYFUNCTION("""COMPUTED_VALUE"""),"19920606CAMEM")</f>
        <v>19920606CAMEM</v>
      </c>
      <c r="B2465" s="5" t="str">
        <f ca="1">IFERROR(__xludf.DUMMYFUNCTION("""COMPUTED_VALUE"""),"Wounded")</f>
        <v>Wounded</v>
      </c>
      <c r="C2465" s="5" t="str">
        <f ca="1">IFERROR(__xludf.DUMMYFUNCTION("""COMPUTED_VALUE"""),"Male")</f>
        <v>Male</v>
      </c>
      <c r="D2465" s="5" t="str">
        <f ca="1">IFERROR(__xludf.DUMMYFUNCTION("""COMPUTED_VALUE"""),"Former Student")</f>
        <v>Former Student</v>
      </c>
      <c r="E2465" s="5">
        <f ca="1">IFERROR(__xludf.DUMMYFUNCTION("""COMPUTED_VALUE"""),23)</f>
        <v>23</v>
      </c>
      <c r="F2465" s="5"/>
    </row>
    <row r="2466" spans="1:6" ht="13">
      <c r="A2466" s="5" t="str">
        <f ca="1">IFERROR(__xludf.DUMMYFUNCTION("""COMPUTED_VALUE"""),"19920530DCARW")</f>
        <v>19920530DCARW</v>
      </c>
      <c r="B2466" s="5" t="str">
        <f ca="1">IFERROR(__xludf.DUMMYFUNCTION("""COMPUTED_VALUE"""),"Wounded")</f>
        <v>Wounded</v>
      </c>
      <c r="C2466" s="5" t="str">
        <f ca="1">IFERROR(__xludf.DUMMYFUNCTION("""COMPUTED_VALUE"""),"Male")</f>
        <v>Male</v>
      </c>
      <c r="D2466" s="5" t="str">
        <f ca="1">IFERROR(__xludf.DUMMYFUNCTION("""COMPUTED_VALUE"""),"Student")</f>
        <v>Student</v>
      </c>
      <c r="E2466" s="5">
        <f ca="1">IFERROR(__xludf.DUMMYFUNCTION("""COMPUTED_VALUE"""),18)</f>
        <v>18</v>
      </c>
      <c r="F2466" s="5"/>
    </row>
    <row r="2467" spans="1:6" ht="13">
      <c r="A2467" s="5" t="str">
        <f ca="1">IFERROR(__xludf.DUMMYFUNCTION("""COMPUTED_VALUE"""),"19920530DCARW")</f>
        <v>19920530DCARW</v>
      </c>
      <c r="B2467" s="5" t="str">
        <f ca="1">IFERROR(__xludf.DUMMYFUNCTION("""COMPUTED_VALUE"""),"Wounded")</f>
        <v>Wounded</v>
      </c>
      <c r="C2467" s="5" t="str">
        <f ca="1">IFERROR(__xludf.DUMMYFUNCTION("""COMPUTED_VALUE"""),"Male")</f>
        <v>Male</v>
      </c>
      <c r="D2467" s="5" t="str">
        <f ca="1">IFERROR(__xludf.DUMMYFUNCTION("""COMPUTED_VALUE"""),"Student")</f>
        <v>Student</v>
      </c>
      <c r="E2467" s="5">
        <f ca="1">IFERROR(__xludf.DUMMYFUNCTION("""COMPUTED_VALUE"""),15)</f>
        <v>15</v>
      </c>
      <c r="F2467" s="5"/>
    </row>
    <row r="2468" spans="1:6" ht="13">
      <c r="A2468" s="5" t="str">
        <f ca="1">IFERROR(__xludf.DUMMYFUNCTION("""COMPUTED_VALUE"""),"19920530DCARW")</f>
        <v>19920530DCARW</v>
      </c>
      <c r="B2468" s="5" t="str">
        <f ca="1">IFERROR(__xludf.DUMMYFUNCTION("""COMPUTED_VALUE"""),"Wounded")</f>
        <v>Wounded</v>
      </c>
      <c r="C2468" s="5"/>
      <c r="D2468" s="5" t="str">
        <f ca="1">IFERROR(__xludf.DUMMYFUNCTION("""COMPUTED_VALUE"""),"Student")</f>
        <v>Student</v>
      </c>
      <c r="E2468" s="5" t="str">
        <f ca="1">IFERROR(__xludf.DUMMYFUNCTION("""COMPUTED_VALUE"""),"Teen")</f>
        <v>Teen</v>
      </c>
      <c r="F2468" s="5"/>
    </row>
    <row r="2469" spans="1:6" ht="13">
      <c r="A2469" s="5" t="str">
        <f ca="1">IFERROR(__xludf.DUMMYFUNCTION("""COMPUTED_VALUE"""),"19920530DCARW")</f>
        <v>19920530DCARW</v>
      </c>
      <c r="B2469" s="5" t="str">
        <f ca="1">IFERROR(__xludf.DUMMYFUNCTION("""COMPUTED_VALUE"""),"Wounded")</f>
        <v>Wounded</v>
      </c>
      <c r="C2469" s="5"/>
      <c r="D2469" s="5" t="str">
        <f ca="1">IFERROR(__xludf.DUMMYFUNCTION("""COMPUTED_VALUE"""),"Student")</f>
        <v>Student</v>
      </c>
      <c r="E2469" s="5" t="str">
        <f ca="1">IFERROR(__xludf.DUMMYFUNCTION("""COMPUTED_VALUE"""),"Teen")</f>
        <v>Teen</v>
      </c>
      <c r="F2469" s="5"/>
    </row>
    <row r="2470" spans="1:6" ht="13">
      <c r="A2470" s="5" t="str">
        <f ca="1">IFERROR(__xludf.DUMMYFUNCTION("""COMPUTED_VALUE"""),"19920530DCARW")</f>
        <v>19920530DCARW</v>
      </c>
      <c r="B2470" s="5" t="str">
        <f ca="1">IFERROR(__xludf.DUMMYFUNCTION("""COMPUTED_VALUE"""),"Fatal")</f>
        <v>Fatal</v>
      </c>
      <c r="C2470" s="5" t="str">
        <f ca="1">IFERROR(__xludf.DUMMYFUNCTION("""COMPUTED_VALUE"""),"Male")</f>
        <v>Male</v>
      </c>
      <c r="D2470" s="5" t="str">
        <f ca="1">IFERROR(__xludf.DUMMYFUNCTION("""COMPUTED_VALUE"""),"Rival School Student")</f>
        <v>Rival School Student</v>
      </c>
      <c r="E2470" s="5" t="str">
        <f ca="1">IFERROR(__xludf.DUMMYFUNCTION("""COMPUTED_VALUE"""),"Teen")</f>
        <v>Teen</v>
      </c>
      <c r="F2470" s="5"/>
    </row>
    <row r="2471" spans="1:6" ht="13">
      <c r="A2471" s="5" t="str">
        <f ca="1">IFERROR(__xludf.DUMMYFUNCTION("""COMPUTED_VALUE"""),"19920529CAVEL")</f>
        <v>19920529CAVEL</v>
      </c>
      <c r="B2471" s="5" t="str">
        <f ca="1">IFERROR(__xludf.DUMMYFUNCTION("""COMPUTED_VALUE"""),"Wounded")</f>
        <v>Wounded</v>
      </c>
      <c r="C2471" s="5" t="str">
        <f ca="1">IFERROR(__xludf.DUMMYFUNCTION("""COMPUTED_VALUE"""),"Male")</f>
        <v>Male</v>
      </c>
      <c r="D2471" s="5" t="str">
        <f ca="1">IFERROR(__xludf.DUMMYFUNCTION("""COMPUTED_VALUE"""),"Student")</f>
        <v>Student</v>
      </c>
      <c r="E2471" s="5" t="str">
        <f ca="1">IFERROR(__xludf.DUMMYFUNCTION("""COMPUTED_VALUE"""),"Teen")</f>
        <v>Teen</v>
      </c>
      <c r="F2471" s="5"/>
    </row>
    <row r="2472" spans="1:6" ht="13">
      <c r="A2472" s="5" t="str">
        <f ca="1">IFERROR(__xludf.DUMMYFUNCTION("""COMPUTED_VALUE"""),"19920529CAVEL")</f>
        <v>19920529CAVEL</v>
      </c>
      <c r="B2472" s="5" t="str">
        <f ca="1">IFERROR(__xludf.DUMMYFUNCTION("""COMPUTED_VALUE"""),"Wounded")</f>
        <v>Wounded</v>
      </c>
      <c r="C2472" s="5" t="str">
        <f ca="1">IFERROR(__xludf.DUMMYFUNCTION("""COMPUTED_VALUE"""),"Male")</f>
        <v>Male</v>
      </c>
      <c r="D2472" s="5" t="str">
        <f ca="1">IFERROR(__xludf.DUMMYFUNCTION("""COMPUTED_VALUE"""),"Student")</f>
        <v>Student</v>
      </c>
      <c r="E2472" s="5" t="str">
        <f ca="1">IFERROR(__xludf.DUMMYFUNCTION("""COMPUTED_VALUE"""),"Teen")</f>
        <v>Teen</v>
      </c>
      <c r="F2472" s="5"/>
    </row>
    <row r="2473" spans="1:6" ht="13">
      <c r="A2473" s="5" t="str">
        <f ca="1">IFERROR(__xludf.DUMMYFUNCTION("""COMPUTED_VALUE"""),"19920529CAVEL")</f>
        <v>19920529CAVEL</v>
      </c>
      <c r="B2473" s="5" t="str">
        <f ca="1">IFERROR(__xludf.DUMMYFUNCTION("""COMPUTED_VALUE"""),"Wounded")</f>
        <v>Wounded</v>
      </c>
      <c r="C2473" s="5" t="str">
        <f ca="1">IFERROR(__xludf.DUMMYFUNCTION("""COMPUTED_VALUE"""),"Male")</f>
        <v>Male</v>
      </c>
      <c r="D2473" s="5" t="str">
        <f ca="1">IFERROR(__xludf.DUMMYFUNCTION("""COMPUTED_VALUE"""),"Student")</f>
        <v>Student</v>
      </c>
      <c r="E2473" s="5" t="str">
        <f ca="1">IFERROR(__xludf.DUMMYFUNCTION("""COMPUTED_VALUE"""),"Teen")</f>
        <v>Teen</v>
      </c>
      <c r="F2473" s="5"/>
    </row>
    <row r="2474" spans="1:6" ht="13">
      <c r="A2474" s="5" t="str">
        <f ca="1">IFERROR(__xludf.DUMMYFUNCTION("""COMPUTED_VALUE"""),"19920514TXHUH")</f>
        <v>19920514TXHUH</v>
      </c>
      <c r="B2474" s="5" t="str">
        <f ca="1">IFERROR(__xludf.DUMMYFUNCTION("""COMPUTED_VALUE"""),"Wounded")</f>
        <v>Wounded</v>
      </c>
      <c r="C2474" s="5" t="str">
        <f ca="1">IFERROR(__xludf.DUMMYFUNCTION("""COMPUTED_VALUE"""),"Male")</f>
        <v>Male</v>
      </c>
      <c r="D2474" s="5" t="str">
        <f ca="1">IFERROR(__xludf.DUMMYFUNCTION("""COMPUTED_VALUE"""),"Student")</f>
        <v>Student</v>
      </c>
      <c r="E2474" s="5" t="str">
        <f ca="1">IFERROR(__xludf.DUMMYFUNCTION("""COMPUTED_VALUE"""),"Teen")</f>
        <v>Teen</v>
      </c>
      <c r="F2474" s="5"/>
    </row>
    <row r="2475" spans="1:6" ht="13">
      <c r="A2475" s="5" t="str">
        <f ca="1">IFERROR(__xludf.DUMMYFUNCTION("""COMPUTED_VALUE"""),"19920514CASIN")</f>
        <v>19920514CASIN</v>
      </c>
      <c r="B2475" s="5" t="str">
        <f ca="1">IFERROR(__xludf.DUMMYFUNCTION("""COMPUTED_VALUE"""),"Wounded")</f>
        <v>Wounded</v>
      </c>
      <c r="C2475" s="5" t="str">
        <f ca="1">IFERROR(__xludf.DUMMYFUNCTION("""COMPUTED_VALUE"""),"Male")</f>
        <v>Male</v>
      </c>
      <c r="D2475" s="5" t="str">
        <f ca="1">IFERROR(__xludf.DUMMYFUNCTION("""COMPUTED_VALUE"""),"Student")</f>
        <v>Student</v>
      </c>
      <c r="E2475" s="5" t="str">
        <f ca="1">IFERROR(__xludf.DUMMYFUNCTION("""COMPUTED_VALUE"""),"Teen")</f>
        <v>Teen</v>
      </c>
      <c r="F2475" s="5"/>
    </row>
    <row r="2476" spans="1:6" ht="13">
      <c r="A2476" s="5" t="str">
        <f ca="1">IFERROR(__xludf.DUMMYFUNCTION("""COMPUTED_VALUE"""),"19920514CASIN")</f>
        <v>19920514CASIN</v>
      </c>
      <c r="B2476" s="5" t="str">
        <f ca="1">IFERROR(__xludf.DUMMYFUNCTION("""COMPUTED_VALUE"""),"Wounded")</f>
        <v>Wounded</v>
      </c>
      <c r="C2476" s="5" t="str">
        <f ca="1">IFERROR(__xludf.DUMMYFUNCTION("""COMPUTED_VALUE"""),"Male")</f>
        <v>Male</v>
      </c>
      <c r="D2476" s="5" t="str">
        <f ca="1">IFERROR(__xludf.DUMMYFUNCTION("""COMPUTED_VALUE"""),"Student")</f>
        <v>Student</v>
      </c>
      <c r="E2476" s="5" t="str">
        <f ca="1">IFERROR(__xludf.DUMMYFUNCTION("""COMPUTED_VALUE"""),"Teen")</f>
        <v>Teen</v>
      </c>
      <c r="F2476" s="5"/>
    </row>
    <row r="2477" spans="1:6" ht="13">
      <c r="A2477" s="5" t="str">
        <f ca="1">IFERROR(__xludf.DUMMYFUNCTION("""COMPUTED_VALUE"""),"19920501CALIO")</f>
        <v>19920501CALIO</v>
      </c>
      <c r="B2477" s="5" t="str">
        <f ca="1">IFERROR(__xludf.DUMMYFUNCTION("""COMPUTED_VALUE"""),"Wounded")</f>
        <v>Wounded</v>
      </c>
      <c r="C2477" s="5"/>
      <c r="D2477" s="5" t="str">
        <f ca="1">IFERROR(__xludf.DUMMYFUNCTION("""COMPUTED_VALUE"""),"Student")</f>
        <v>Student</v>
      </c>
      <c r="E2477" s="5" t="str">
        <f ca="1">IFERROR(__xludf.DUMMYFUNCTION("""COMPUTED_VALUE"""),"Teen")</f>
        <v>Teen</v>
      </c>
      <c r="F2477" s="5"/>
    </row>
    <row r="2478" spans="1:6" ht="13">
      <c r="A2478" s="5" t="str">
        <f ca="1">IFERROR(__xludf.DUMMYFUNCTION("""COMPUTED_VALUE"""),"19920501CALIO")</f>
        <v>19920501CALIO</v>
      </c>
      <c r="B2478" s="5" t="str">
        <f ca="1">IFERROR(__xludf.DUMMYFUNCTION("""COMPUTED_VALUE"""),"Wounded")</f>
        <v>Wounded</v>
      </c>
      <c r="C2478" s="5"/>
      <c r="D2478" s="5" t="str">
        <f ca="1">IFERROR(__xludf.DUMMYFUNCTION("""COMPUTED_VALUE"""),"Student")</f>
        <v>Student</v>
      </c>
      <c r="E2478" s="5" t="str">
        <f ca="1">IFERROR(__xludf.DUMMYFUNCTION("""COMPUTED_VALUE"""),"Teen")</f>
        <v>Teen</v>
      </c>
      <c r="F2478" s="5"/>
    </row>
    <row r="2479" spans="1:6" ht="13">
      <c r="A2479" s="5" t="str">
        <f ca="1">IFERROR(__xludf.DUMMYFUNCTION("""COMPUTED_VALUE"""),"19920501CALIO")</f>
        <v>19920501CALIO</v>
      </c>
      <c r="B2479" s="5" t="str">
        <f ca="1">IFERROR(__xludf.DUMMYFUNCTION("""COMPUTED_VALUE"""),"Wounded")</f>
        <v>Wounded</v>
      </c>
      <c r="C2479" s="5"/>
      <c r="D2479" s="5" t="str">
        <f ca="1">IFERROR(__xludf.DUMMYFUNCTION("""COMPUTED_VALUE"""),"Student")</f>
        <v>Student</v>
      </c>
      <c r="E2479" s="5" t="str">
        <f ca="1">IFERROR(__xludf.DUMMYFUNCTION("""COMPUTED_VALUE"""),"Teen")</f>
        <v>Teen</v>
      </c>
      <c r="F2479" s="5"/>
    </row>
    <row r="2480" spans="1:6" ht="13">
      <c r="A2480" s="5" t="str">
        <f ca="1">IFERROR(__xludf.DUMMYFUNCTION("""COMPUTED_VALUE"""),"19920501CALIO")</f>
        <v>19920501CALIO</v>
      </c>
      <c r="B2480" s="5" t="str">
        <f ca="1">IFERROR(__xludf.DUMMYFUNCTION("""COMPUTED_VALUE"""),"Wounded")</f>
        <v>Wounded</v>
      </c>
      <c r="C2480" s="5"/>
      <c r="D2480" s="5" t="str">
        <f ca="1">IFERROR(__xludf.DUMMYFUNCTION("""COMPUTED_VALUE"""),"Student")</f>
        <v>Student</v>
      </c>
      <c r="E2480" s="5" t="str">
        <f ca="1">IFERROR(__xludf.DUMMYFUNCTION("""COMPUTED_VALUE"""),"Teen")</f>
        <v>Teen</v>
      </c>
      <c r="F2480" s="5"/>
    </row>
    <row r="2481" spans="1:6" ht="13">
      <c r="A2481" s="5" t="str">
        <f ca="1">IFERROR(__xludf.DUMMYFUNCTION("""COMPUTED_VALUE"""),"19920501CALIO")</f>
        <v>19920501CALIO</v>
      </c>
      <c r="B2481" s="5" t="str">
        <f ca="1">IFERROR(__xludf.DUMMYFUNCTION("""COMPUTED_VALUE"""),"Wounded")</f>
        <v>Wounded</v>
      </c>
      <c r="C2481" s="5"/>
      <c r="D2481" s="5" t="str">
        <f ca="1">IFERROR(__xludf.DUMMYFUNCTION("""COMPUTED_VALUE"""),"Teacher")</f>
        <v>Teacher</v>
      </c>
      <c r="E2481" s="5" t="str">
        <f ca="1">IFERROR(__xludf.DUMMYFUNCTION("""COMPUTED_VALUE"""),"Adult")</f>
        <v>Adult</v>
      </c>
      <c r="F2481" s="5"/>
    </row>
    <row r="2482" spans="1:6" ht="13">
      <c r="A2482" s="5" t="str">
        <f ca="1">IFERROR(__xludf.DUMMYFUNCTION("""COMPUTED_VALUE"""),"19920501CALIO")</f>
        <v>19920501CALIO</v>
      </c>
      <c r="B2482" s="5" t="str">
        <f ca="1">IFERROR(__xludf.DUMMYFUNCTION("""COMPUTED_VALUE"""),"Fatal")</f>
        <v>Fatal</v>
      </c>
      <c r="C2482" s="5" t="str">
        <f ca="1">IFERROR(__xludf.DUMMYFUNCTION("""COMPUTED_VALUE"""),"Male")</f>
        <v>Male</v>
      </c>
      <c r="D2482" s="5" t="str">
        <f ca="1">IFERROR(__xludf.DUMMYFUNCTION("""COMPUTED_VALUE"""),"Teacher")</f>
        <v>Teacher</v>
      </c>
      <c r="E2482" s="5" t="str">
        <f ca="1">IFERROR(__xludf.DUMMYFUNCTION("""COMPUTED_VALUE"""),"Adult")</f>
        <v>Adult</v>
      </c>
      <c r="F2482" s="5"/>
    </row>
    <row r="2483" spans="1:6" ht="13">
      <c r="A2483" s="5" t="str">
        <f ca="1">IFERROR(__xludf.DUMMYFUNCTION("""COMPUTED_VALUE"""),"19920501CALIO")</f>
        <v>19920501CALIO</v>
      </c>
      <c r="B2483" s="5" t="str">
        <f ca="1">IFERROR(__xludf.DUMMYFUNCTION("""COMPUTED_VALUE"""),"Wounded")</f>
        <v>Wounded</v>
      </c>
      <c r="C2483" s="5"/>
      <c r="D2483" s="5" t="str">
        <f ca="1">IFERROR(__xludf.DUMMYFUNCTION("""COMPUTED_VALUE"""),"Student")</f>
        <v>Student</v>
      </c>
      <c r="E2483" s="5" t="str">
        <f ca="1">IFERROR(__xludf.DUMMYFUNCTION("""COMPUTED_VALUE"""),"Teen")</f>
        <v>Teen</v>
      </c>
      <c r="F2483" s="5"/>
    </row>
    <row r="2484" spans="1:6" ht="13">
      <c r="A2484" s="5" t="str">
        <f ca="1">IFERROR(__xludf.DUMMYFUNCTION("""COMPUTED_VALUE"""),"19920501CALIO")</f>
        <v>19920501CALIO</v>
      </c>
      <c r="B2484" s="5" t="str">
        <f ca="1">IFERROR(__xludf.DUMMYFUNCTION("""COMPUTED_VALUE"""),"Fatal")</f>
        <v>Fatal</v>
      </c>
      <c r="C2484" s="5" t="str">
        <f ca="1">IFERROR(__xludf.DUMMYFUNCTION("""COMPUTED_VALUE"""),"Male")</f>
        <v>Male</v>
      </c>
      <c r="D2484" s="5" t="str">
        <f ca="1">IFERROR(__xludf.DUMMYFUNCTION("""COMPUTED_VALUE"""),"Student")</f>
        <v>Student</v>
      </c>
      <c r="E2484" s="5">
        <f ca="1">IFERROR(__xludf.DUMMYFUNCTION("""COMPUTED_VALUE"""),16)</f>
        <v>16</v>
      </c>
      <c r="F2484" s="5"/>
    </row>
    <row r="2485" spans="1:6" ht="13">
      <c r="A2485" s="5" t="str">
        <f ca="1">IFERROR(__xludf.DUMMYFUNCTION("""COMPUTED_VALUE"""),"19920501CALIO")</f>
        <v>19920501CALIO</v>
      </c>
      <c r="B2485" s="5" t="str">
        <f ca="1">IFERROR(__xludf.DUMMYFUNCTION("""COMPUTED_VALUE"""),"Wounded")</f>
        <v>Wounded</v>
      </c>
      <c r="C2485" s="5"/>
      <c r="D2485" s="5" t="str">
        <f ca="1">IFERROR(__xludf.DUMMYFUNCTION("""COMPUTED_VALUE"""),"Student")</f>
        <v>Student</v>
      </c>
      <c r="E2485" s="5" t="str">
        <f ca="1">IFERROR(__xludf.DUMMYFUNCTION("""COMPUTED_VALUE"""),"Teen")</f>
        <v>Teen</v>
      </c>
      <c r="F2485" s="5"/>
    </row>
    <row r="2486" spans="1:6" ht="13">
      <c r="A2486" s="5" t="str">
        <f ca="1">IFERROR(__xludf.DUMMYFUNCTION("""COMPUTED_VALUE"""),"19920501CALIO")</f>
        <v>19920501CALIO</v>
      </c>
      <c r="B2486" s="5" t="str">
        <f ca="1">IFERROR(__xludf.DUMMYFUNCTION("""COMPUTED_VALUE"""),"Wounded")</f>
        <v>Wounded</v>
      </c>
      <c r="C2486" s="5"/>
      <c r="D2486" s="5" t="str">
        <f ca="1">IFERROR(__xludf.DUMMYFUNCTION("""COMPUTED_VALUE"""),"Student")</f>
        <v>Student</v>
      </c>
      <c r="E2486" s="5" t="str">
        <f ca="1">IFERROR(__xludf.DUMMYFUNCTION("""COMPUTED_VALUE"""),"Teen")</f>
        <v>Teen</v>
      </c>
      <c r="F2486" s="5"/>
    </row>
    <row r="2487" spans="1:6" ht="13">
      <c r="A2487" s="5" t="str">
        <f ca="1">IFERROR(__xludf.DUMMYFUNCTION("""COMPUTED_VALUE"""),"19920501CALIO")</f>
        <v>19920501CALIO</v>
      </c>
      <c r="B2487" s="5" t="str">
        <f ca="1">IFERROR(__xludf.DUMMYFUNCTION("""COMPUTED_VALUE"""),"Fatal")</f>
        <v>Fatal</v>
      </c>
      <c r="C2487" s="5" t="str">
        <f ca="1">IFERROR(__xludf.DUMMYFUNCTION("""COMPUTED_VALUE"""),"Male")</f>
        <v>Male</v>
      </c>
      <c r="D2487" s="5" t="str">
        <f ca="1">IFERROR(__xludf.DUMMYFUNCTION("""COMPUTED_VALUE"""),"Student")</f>
        <v>Student</v>
      </c>
      <c r="E2487" s="5">
        <f ca="1">IFERROR(__xludf.DUMMYFUNCTION("""COMPUTED_VALUE"""),17)</f>
        <v>17</v>
      </c>
      <c r="F2487" s="5"/>
    </row>
    <row r="2488" spans="1:6" ht="13">
      <c r="A2488" s="5" t="str">
        <f ca="1">IFERROR(__xludf.DUMMYFUNCTION("""COMPUTED_VALUE"""),"19920501CALIO")</f>
        <v>19920501CALIO</v>
      </c>
      <c r="B2488" s="5" t="str">
        <f ca="1">IFERROR(__xludf.DUMMYFUNCTION("""COMPUTED_VALUE"""),"Wounded")</f>
        <v>Wounded</v>
      </c>
      <c r="C2488" s="5"/>
      <c r="D2488" s="5" t="str">
        <f ca="1">IFERROR(__xludf.DUMMYFUNCTION("""COMPUTED_VALUE"""),"Student")</f>
        <v>Student</v>
      </c>
      <c r="E2488" s="5" t="str">
        <f ca="1">IFERROR(__xludf.DUMMYFUNCTION("""COMPUTED_VALUE"""),"Teen")</f>
        <v>Teen</v>
      </c>
      <c r="F2488" s="5"/>
    </row>
    <row r="2489" spans="1:6" ht="13">
      <c r="A2489" s="5" t="str">
        <f ca="1">IFERROR(__xludf.DUMMYFUNCTION("""COMPUTED_VALUE"""),"19920501CALIO")</f>
        <v>19920501CALIO</v>
      </c>
      <c r="B2489" s="5" t="str">
        <f ca="1">IFERROR(__xludf.DUMMYFUNCTION("""COMPUTED_VALUE"""),"Wounded")</f>
        <v>Wounded</v>
      </c>
      <c r="C2489" s="5"/>
      <c r="D2489" s="5" t="str">
        <f ca="1">IFERROR(__xludf.DUMMYFUNCTION("""COMPUTED_VALUE"""),"Student")</f>
        <v>Student</v>
      </c>
      <c r="E2489" s="5" t="str">
        <f ca="1">IFERROR(__xludf.DUMMYFUNCTION("""COMPUTED_VALUE"""),"Teen")</f>
        <v>Teen</v>
      </c>
      <c r="F2489" s="5"/>
    </row>
    <row r="2490" spans="1:6" ht="13">
      <c r="A2490" s="5" t="str">
        <f ca="1">IFERROR(__xludf.DUMMYFUNCTION("""COMPUTED_VALUE"""),"19920501CALIO")</f>
        <v>19920501CALIO</v>
      </c>
      <c r="B2490" s="5" t="str">
        <f ca="1">IFERROR(__xludf.DUMMYFUNCTION("""COMPUTED_VALUE"""),"Fatal")</f>
        <v>Fatal</v>
      </c>
      <c r="C2490" s="5" t="str">
        <f ca="1">IFERROR(__xludf.DUMMYFUNCTION("""COMPUTED_VALUE"""),"Male")</f>
        <v>Male</v>
      </c>
      <c r="D2490" s="5" t="str">
        <f ca="1">IFERROR(__xludf.DUMMYFUNCTION("""COMPUTED_VALUE"""),"Student")</f>
        <v>Student</v>
      </c>
      <c r="E2490" s="5" t="str">
        <f ca="1">IFERROR(__xludf.DUMMYFUNCTION("""COMPUTED_VALUE"""),"Teen")</f>
        <v>Teen</v>
      </c>
      <c r="F2490" s="5"/>
    </row>
    <row r="2491" spans="1:6" ht="13">
      <c r="A2491" s="5" t="str">
        <f ca="1">IFERROR(__xludf.DUMMYFUNCTION("""COMPUTED_VALUE"""),"19920417TXLID")</f>
        <v>19920417TXLID</v>
      </c>
      <c r="B2491" s="5" t="str">
        <f ca="1">IFERROR(__xludf.DUMMYFUNCTION("""COMPUTED_VALUE"""),"Fatal")</f>
        <v>Fatal</v>
      </c>
      <c r="C2491" s="5" t="str">
        <f ca="1">IFERROR(__xludf.DUMMYFUNCTION("""COMPUTED_VALUE"""),"Male")</f>
        <v>Male</v>
      </c>
      <c r="D2491" s="5" t="str">
        <f ca="1">IFERROR(__xludf.DUMMYFUNCTION("""COMPUTED_VALUE"""),"Former Student")</f>
        <v>Former Student</v>
      </c>
      <c r="E2491" s="5" t="str">
        <f ca="1">IFERROR(__xludf.DUMMYFUNCTION("""COMPUTED_VALUE"""),"Adult")</f>
        <v>Adult</v>
      </c>
      <c r="F2491" s="5"/>
    </row>
    <row r="2492" spans="1:6" ht="13">
      <c r="A2492" s="5" t="str">
        <f ca="1">IFERROR(__xludf.DUMMYFUNCTION("""COMPUTED_VALUE"""),"19920409FLFOF")</f>
        <v>19920409FLFOF</v>
      </c>
      <c r="B2492" s="5" t="str">
        <f ca="1">IFERROR(__xludf.DUMMYFUNCTION("""COMPUTED_VALUE"""),"Wounded")</f>
        <v>Wounded</v>
      </c>
      <c r="C2492" s="5" t="str">
        <f ca="1">IFERROR(__xludf.DUMMYFUNCTION("""COMPUTED_VALUE"""),"Male")</f>
        <v>Male</v>
      </c>
      <c r="D2492" s="5" t="str">
        <f ca="1">IFERROR(__xludf.DUMMYFUNCTION("""COMPUTED_VALUE"""),"Student")</f>
        <v>Student</v>
      </c>
      <c r="E2492" s="5">
        <f ca="1">IFERROR(__xludf.DUMMYFUNCTION("""COMPUTED_VALUE"""),18)</f>
        <v>18</v>
      </c>
      <c r="F2492" s="5"/>
    </row>
    <row r="2493" spans="1:6" ht="13">
      <c r="A2493" s="5" t="str">
        <f ca="1">IFERROR(__xludf.DUMMYFUNCTION("""COMPUTED_VALUE"""),"19920331LAOPA")</f>
        <v>19920331LAOPA</v>
      </c>
      <c r="B2493" s="5" t="str">
        <f ca="1">IFERROR(__xludf.DUMMYFUNCTION("""COMPUTED_VALUE"""),"Fatal")</f>
        <v>Fatal</v>
      </c>
      <c r="C2493" s="5" t="str">
        <f ca="1">IFERROR(__xludf.DUMMYFUNCTION("""COMPUTED_VALUE"""),"Male")</f>
        <v>Male</v>
      </c>
      <c r="D2493" s="5" t="str">
        <f ca="1">IFERROR(__xludf.DUMMYFUNCTION("""COMPUTED_VALUE"""),"Student")</f>
        <v>Student</v>
      </c>
      <c r="E2493" s="5" t="str">
        <f ca="1">IFERROR(__xludf.DUMMYFUNCTION("""COMPUTED_VALUE"""),"Teen")</f>
        <v>Teen</v>
      </c>
      <c r="F2493" s="5"/>
    </row>
    <row r="2494" spans="1:6" ht="13">
      <c r="A2494" s="5" t="str">
        <f ca="1">IFERROR(__xludf.DUMMYFUNCTION("""COMPUTED_VALUE"""),"19920305OHHAO")</f>
        <v>19920305OHHAO</v>
      </c>
      <c r="B2494" s="5" t="str">
        <f ca="1">IFERROR(__xludf.DUMMYFUNCTION("""COMPUTED_VALUE"""),"Wounded")</f>
        <v>Wounded</v>
      </c>
      <c r="C2494" s="5" t="str">
        <f ca="1">IFERROR(__xludf.DUMMYFUNCTION("""COMPUTED_VALUE"""),"Male")</f>
        <v>Male</v>
      </c>
      <c r="D2494" s="5" t="str">
        <f ca="1">IFERROR(__xludf.DUMMYFUNCTION("""COMPUTED_VALUE"""),"Student")</f>
        <v>Student</v>
      </c>
      <c r="E2494" s="5" t="str">
        <f ca="1">IFERROR(__xludf.DUMMYFUNCTION("""COMPUTED_VALUE"""),"Teen")</f>
        <v>Teen</v>
      </c>
      <c r="F2494" s="5"/>
    </row>
    <row r="2495" spans="1:6" ht="13">
      <c r="A2495" s="5" t="str">
        <f ca="1">IFERROR(__xludf.DUMMYFUNCTION("""COMPUTED_VALUE"""),"19920226NYTHB")</f>
        <v>19920226NYTHB</v>
      </c>
      <c r="B2495" s="5" t="str">
        <f ca="1">IFERROR(__xludf.DUMMYFUNCTION("""COMPUTED_VALUE"""),"Fatal")</f>
        <v>Fatal</v>
      </c>
      <c r="C2495" s="5" t="str">
        <f ca="1">IFERROR(__xludf.DUMMYFUNCTION("""COMPUTED_VALUE"""),"Male")</f>
        <v>Male</v>
      </c>
      <c r="D2495" s="5" t="str">
        <f ca="1">IFERROR(__xludf.DUMMYFUNCTION("""COMPUTED_VALUE"""),"Student")</f>
        <v>Student</v>
      </c>
      <c r="E2495" s="5">
        <f ca="1">IFERROR(__xludf.DUMMYFUNCTION("""COMPUTED_VALUE"""),16)</f>
        <v>16</v>
      </c>
      <c r="F2495" s="5"/>
    </row>
    <row r="2496" spans="1:6" ht="13">
      <c r="A2496" s="5" t="str">
        <f ca="1">IFERROR(__xludf.DUMMYFUNCTION("""COMPUTED_VALUE"""),"19920226NYTHB")</f>
        <v>19920226NYTHB</v>
      </c>
      <c r="B2496" s="5" t="str">
        <f ca="1">IFERROR(__xludf.DUMMYFUNCTION("""COMPUTED_VALUE"""),"Fatal")</f>
        <v>Fatal</v>
      </c>
      <c r="C2496" s="5" t="str">
        <f ca="1">IFERROR(__xludf.DUMMYFUNCTION("""COMPUTED_VALUE"""),"Male")</f>
        <v>Male</v>
      </c>
      <c r="D2496" s="5" t="str">
        <f ca="1">IFERROR(__xludf.DUMMYFUNCTION("""COMPUTED_VALUE"""),"Student")</f>
        <v>Student</v>
      </c>
      <c r="E2496" s="5">
        <f ca="1">IFERROR(__xludf.DUMMYFUNCTION("""COMPUTED_VALUE"""),17)</f>
        <v>17</v>
      </c>
      <c r="F2496" s="5"/>
    </row>
    <row r="2497" spans="1:6" ht="13">
      <c r="A2497" s="5" t="str">
        <f ca="1">IFERROR(__xludf.DUMMYFUNCTION("""COMPUTED_VALUE"""),"19920207VABON")</f>
        <v>19920207VABON</v>
      </c>
      <c r="B2497" s="5" t="str">
        <f ca="1">IFERROR(__xludf.DUMMYFUNCTION("""COMPUTED_VALUE"""),"Fatal")</f>
        <v>Fatal</v>
      </c>
      <c r="C2497" s="5" t="str">
        <f ca="1">IFERROR(__xludf.DUMMYFUNCTION("""COMPUTED_VALUE"""),"Male")</f>
        <v>Male</v>
      </c>
      <c r="D2497" s="5" t="str">
        <f ca="1">IFERROR(__xludf.DUMMYFUNCTION("""COMPUTED_VALUE"""),"Student")</f>
        <v>Student</v>
      </c>
      <c r="E2497" s="5">
        <f ca="1">IFERROR(__xludf.DUMMYFUNCTION("""COMPUTED_VALUE"""),19)</f>
        <v>19</v>
      </c>
      <c r="F2497" s="5"/>
    </row>
    <row r="2498" spans="1:6" ht="13">
      <c r="A2498" s="5" t="str">
        <f ca="1">IFERROR(__xludf.DUMMYFUNCTION("""COMPUTED_VALUE"""),"19920207VABON")</f>
        <v>19920207VABON</v>
      </c>
      <c r="B2498" s="5" t="str">
        <f ca="1">IFERROR(__xludf.DUMMYFUNCTION("""COMPUTED_VALUE"""),"Wounded")</f>
        <v>Wounded</v>
      </c>
      <c r="C2498" s="5" t="str">
        <f ca="1">IFERROR(__xludf.DUMMYFUNCTION("""COMPUTED_VALUE"""),"Male")</f>
        <v>Male</v>
      </c>
      <c r="D2498" s="5" t="str">
        <f ca="1">IFERROR(__xludf.DUMMYFUNCTION("""COMPUTED_VALUE"""),"Student")</f>
        <v>Student</v>
      </c>
      <c r="E2498" s="5">
        <f ca="1">IFERROR(__xludf.DUMMYFUNCTION("""COMPUTED_VALUE"""),18)</f>
        <v>18</v>
      </c>
      <c r="F2498" s="5"/>
    </row>
    <row r="2499" spans="1:6" ht="13">
      <c r="A2499" s="5" t="str">
        <f ca="1">IFERROR(__xludf.DUMMYFUNCTION("""COMPUTED_VALUE"""),"19920206OKDOO")</f>
        <v>19920206OKDOO</v>
      </c>
      <c r="B2499" s="5" t="str">
        <f ca="1">IFERROR(__xludf.DUMMYFUNCTION("""COMPUTED_VALUE"""),"Fatal")</f>
        <v>Fatal</v>
      </c>
      <c r="C2499" s="5" t="str">
        <f ca="1">IFERROR(__xludf.DUMMYFUNCTION("""COMPUTED_VALUE"""),"Male")</f>
        <v>Male</v>
      </c>
      <c r="D2499" s="5" t="str">
        <f ca="1">IFERROR(__xludf.DUMMYFUNCTION("""COMPUTED_VALUE"""),"Student")</f>
        <v>Student</v>
      </c>
      <c r="E2499" s="5" t="str">
        <f ca="1">IFERROR(__xludf.DUMMYFUNCTION("""COMPUTED_VALUE"""),"Teen")</f>
        <v>Teen</v>
      </c>
      <c r="F2499" s="5"/>
    </row>
    <row r="2500" spans="1:6" ht="13">
      <c r="A2500" s="5" t="str">
        <f ca="1">IFERROR(__xludf.DUMMYFUNCTION("""COMPUTED_VALUE"""),"19920131LAFRG")</f>
        <v>19920131LAFRG</v>
      </c>
      <c r="B2500" s="5" t="str">
        <f ca="1">IFERROR(__xludf.DUMMYFUNCTION("""COMPUTED_VALUE"""),"Wounded")</f>
        <v>Wounded</v>
      </c>
      <c r="C2500" s="5" t="str">
        <f ca="1">IFERROR(__xludf.DUMMYFUNCTION("""COMPUTED_VALUE"""),"Male")</f>
        <v>Male</v>
      </c>
      <c r="D2500" s="5" t="str">
        <f ca="1">IFERROR(__xludf.DUMMYFUNCTION("""COMPUTED_VALUE"""),"Student")</f>
        <v>Student</v>
      </c>
      <c r="E2500" s="5">
        <f ca="1">IFERROR(__xludf.DUMMYFUNCTION("""COMPUTED_VALUE"""),13)</f>
        <v>13</v>
      </c>
      <c r="F25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320"/>
  <sheetViews>
    <sheetView workbookViewId="0"/>
  </sheetViews>
  <sheetFormatPr baseColWidth="10" defaultColWidth="12.5" defaultRowHeight="15.75" customHeight="1"/>
  <sheetData>
    <row r="1" spans="1:4" ht="15.75" customHeight="1">
      <c r="A1" s="12" t="str">
        <f ca="1">IFERROR(__xludf.DUMMYFUNCTION("IMPORTRANGE(""https://docs.google.com/spreadsheets/d/13by1rx0kMN24Sm2nKqqR6GsRtIyhgOO8U6IyuCHwhEU/edit#gid=1519919770"", ""Weapon!A1:D2500"")"),"Incident_ID")</f>
        <v>Incident_ID</v>
      </c>
      <c r="B1" s="5" t="str">
        <f ca="1">IFERROR(__xludf.DUMMYFUNCTION("""COMPUTED_VALUE"""),"Weapon_Type")</f>
        <v>Weapon_Type</v>
      </c>
      <c r="C1" s="5" t="str">
        <f ca="1">IFERROR(__xludf.DUMMYFUNCTION("""COMPUTED_VALUE"""),"Weapon_Caliber")</f>
        <v>Weapon_Caliber</v>
      </c>
      <c r="D1" s="5" t="str">
        <f ca="1">IFERROR(__xludf.DUMMYFUNCTION("""COMPUTED_VALUE"""),"Weapon_Details")</f>
        <v>Weapon_Details</v>
      </c>
    </row>
    <row r="2" spans="1:4" ht="13">
      <c r="A2" s="5" t="str">
        <f ca="1">IFERROR(__xludf.DUMMYFUNCTION("""COMPUTED_VALUE"""),"20230329GANED")</f>
        <v>20230329GANED</v>
      </c>
      <c r="B2" s="5" t="str">
        <f ca="1">IFERROR(__xludf.DUMMYFUNCTION("""COMPUTED_VALUE"""),"Handgun")</f>
        <v>Handgun</v>
      </c>
      <c r="C2" s="5"/>
      <c r="D2" s="5"/>
    </row>
    <row r="3" spans="1:4" ht="13">
      <c r="A3" s="5" t="str">
        <f ca="1">IFERROR(__xludf.DUMMYFUNCTION("""COMPUTED_VALUE"""),"20230327TNCON")</f>
        <v>20230327TNCON</v>
      </c>
      <c r="B3" s="5" t="str">
        <f ca="1">IFERROR(__xludf.DUMMYFUNCTION("""COMPUTED_VALUE"""),"Handgun")</f>
        <v>Handgun</v>
      </c>
      <c r="C3" s="5"/>
      <c r="D3" s="5" t="str">
        <f ca="1">IFERROR(__xludf.DUMMYFUNCTION("""COMPUTED_VALUE"""),"Handgun")</f>
        <v>Handgun</v>
      </c>
    </row>
    <row r="4" spans="1:4" ht="13">
      <c r="A4" s="5" t="str">
        <f ca="1">IFERROR(__xludf.DUMMYFUNCTION("""COMPUTED_VALUE"""),"20230327TNCON")</f>
        <v>20230327TNCON</v>
      </c>
      <c r="B4" s="5" t="str">
        <f ca="1">IFERROR(__xludf.DUMMYFUNCTION("""COMPUTED_VALUE"""),"Rifle")</f>
        <v>Rifle</v>
      </c>
      <c r="C4" s="5"/>
      <c r="D4" s="5" t="str">
        <f ca="1">IFERROR(__xludf.DUMMYFUNCTION("""COMPUTED_VALUE"""),"AR-15 style")</f>
        <v>AR-15 style</v>
      </c>
    </row>
    <row r="5" spans="1:4" ht="13">
      <c r="A5" s="5" t="str">
        <f ca="1">IFERROR(__xludf.DUMMYFUNCTION("""COMPUTED_VALUE"""),"20230327TNCON")</f>
        <v>20230327TNCON</v>
      </c>
      <c r="B5" s="5" t="str">
        <f ca="1">IFERROR(__xludf.DUMMYFUNCTION("""COMPUTED_VALUE"""),"Handgun")</f>
        <v>Handgun</v>
      </c>
      <c r="C5" s="5"/>
      <c r="D5" s="5" t="str">
        <f ca="1">IFERROR(__xludf.DUMMYFUNCTION("""COMPUTED_VALUE"""),"Submachine pistol")</f>
        <v>Submachine pistol</v>
      </c>
    </row>
    <row r="6" spans="1:4" ht="13">
      <c r="A6" s="5" t="str">
        <f ca="1">IFERROR(__xludf.DUMMYFUNCTION("""COMPUTED_VALUE"""),"20230324INNOM")</f>
        <v>20230324INNOM</v>
      </c>
      <c r="B6" s="5" t="str">
        <f ca="1">IFERROR(__xludf.DUMMYFUNCTION("""COMPUTED_VALUE"""),"Handgun")</f>
        <v>Handgun</v>
      </c>
      <c r="C6" s="5"/>
      <c r="D6" s="5"/>
    </row>
    <row r="7" spans="1:4" ht="13">
      <c r="A7" s="5" t="str">
        <f ca="1">IFERROR(__xludf.DUMMYFUNCTION("""COMPUTED_VALUE"""),"20230322ALANA")</f>
        <v>20230322ALANA</v>
      </c>
      <c r="B7" s="5" t="str">
        <f ca="1">IFERROR(__xludf.DUMMYFUNCTION("""COMPUTED_VALUE"""),"Handgun")</f>
        <v>Handgun</v>
      </c>
      <c r="C7" s="5"/>
      <c r="D7" s="5"/>
    </row>
    <row r="8" spans="1:4" ht="13">
      <c r="A8" s="5" t="str">
        <f ca="1">IFERROR(__xludf.DUMMYFUNCTION("""COMPUTED_VALUE"""),"20230324NJTHM")</f>
        <v>20230324NJTHM</v>
      </c>
      <c r="B8" s="5" t="str">
        <f ca="1">IFERROR(__xludf.DUMMYFUNCTION("""COMPUTED_VALUE"""),"Handgun")</f>
        <v>Handgun</v>
      </c>
      <c r="C8" s="5"/>
      <c r="D8" s="5"/>
    </row>
    <row r="9" spans="1:4" ht="13">
      <c r="A9" s="5" t="str">
        <f ca="1">IFERROR(__xludf.DUMMYFUNCTION("""COMPUTED_VALUE"""),"20230322PAHAP")</f>
        <v>20230322PAHAP</v>
      </c>
      <c r="B9" s="5" t="str">
        <f ca="1">IFERROR(__xludf.DUMMYFUNCTION("""COMPUTED_VALUE"""),"Handgun")</f>
        <v>Handgun</v>
      </c>
      <c r="C9" s="5"/>
      <c r="D9" s="5"/>
    </row>
    <row r="10" spans="1:4" ht="13">
      <c r="A10" s="5" t="str">
        <f ca="1">IFERROR(__xludf.DUMMYFUNCTION("""COMPUTED_VALUE"""),"20230322COEAD")</f>
        <v>20230322COEAD</v>
      </c>
      <c r="B10" s="5" t="str">
        <f ca="1">IFERROR(__xludf.DUMMYFUNCTION("""COMPUTED_VALUE"""),"Handgun")</f>
        <v>Handgun</v>
      </c>
      <c r="C10" s="5"/>
      <c r="D10" s="5"/>
    </row>
    <row r="11" spans="1:4" ht="13">
      <c r="A11" s="5" t="str">
        <f ca="1">IFERROR(__xludf.DUMMYFUNCTION("""COMPUTED_VALUE"""),"20230321TXTHD")</f>
        <v>20230321TXTHD</v>
      </c>
      <c r="B11" s="5" t="str">
        <f ca="1">IFERROR(__xludf.DUMMYFUNCTION("""COMPUTED_VALUE"""),"Handgun")</f>
        <v>Handgun</v>
      </c>
      <c r="C11" s="5"/>
      <c r="D11" s="5"/>
    </row>
    <row r="12" spans="1:4" ht="13">
      <c r="A12" s="5" t="str">
        <f ca="1">IFERROR(__xludf.DUMMYFUNCTION("""COMPUTED_VALUE"""),"20230320TXLAA")</f>
        <v>20230320TXLAA</v>
      </c>
      <c r="B12" s="5" t="str">
        <f ca="1">IFERROR(__xludf.DUMMYFUNCTION("""COMPUTED_VALUE"""),"Shotgun")</f>
        <v>Shotgun</v>
      </c>
      <c r="C12" s="5"/>
      <c r="D12" s="5"/>
    </row>
    <row r="13" spans="1:4" ht="13">
      <c r="A13" s="5" t="str">
        <f ca="1">IFERROR(__xludf.DUMMYFUNCTION("""COMPUTED_VALUE"""),"20230316NCLOD")</f>
        <v>20230316NCLOD</v>
      </c>
      <c r="B13" s="5" t="str">
        <f ca="1">IFERROR(__xludf.DUMMYFUNCTION("""COMPUTED_VALUE"""),"Handgun")</f>
        <v>Handgun</v>
      </c>
      <c r="C13" s="5"/>
      <c r="D13" s="5" t="str">
        <f ca="1">IFERROR(__xludf.DUMMYFUNCTION("""COMPUTED_VALUE"""),"Extended magazine")</f>
        <v>Extended magazine</v>
      </c>
    </row>
    <row r="14" spans="1:4" ht="13">
      <c r="A14" s="5" t="str">
        <f ca="1">IFERROR(__xludf.DUMMYFUNCTION("""COMPUTED_VALUE"""),"20230316DCCOW")</f>
        <v>20230316DCCOW</v>
      </c>
      <c r="B14" s="5" t="str">
        <f ca="1">IFERROR(__xludf.DUMMYFUNCTION("""COMPUTED_VALUE"""),"Handgun")</f>
        <v>Handgun</v>
      </c>
      <c r="C14" s="5"/>
      <c r="D14" s="5"/>
    </row>
    <row r="15" spans="1:4" ht="13">
      <c r="A15" s="5" t="str">
        <f ca="1">IFERROR(__xludf.DUMMYFUNCTION("""COMPUTED_VALUE"""),"20230316NYPSB")</f>
        <v>20230316NYPSB</v>
      </c>
      <c r="B15" s="5" t="str">
        <f ca="1">IFERROR(__xludf.DUMMYFUNCTION("""COMPUTED_VALUE"""),"Handgun")</f>
        <v>Handgun</v>
      </c>
      <c r="C15" s="5"/>
      <c r="D15" s="5"/>
    </row>
    <row r="16" spans="1:4" ht="13">
      <c r="A16" s="5" t="str">
        <f ca="1">IFERROR(__xludf.DUMMYFUNCTION("""COMPUTED_VALUE"""),"20230315COINB")</f>
        <v>20230315COINB</v>
      </c>
      <c r="B16" s="5" t="str">
        <f ca="1">IFERROR(__xludf.DUMMYFUNCTION("""COMPUTED_VALUE"""),"Handgun")</f>
        <v>Handgun</v>
      </c>
      <c r="C16" s="5"/>
      <c r="D16" s="5"/>
    </row>
    <row r="17" spans="1:4" ht="13">
      <c r="A17" s="5" t="str">
        <f ca="1">IFERROR(__xludf.DUMMYFUNCTION("""COMPUTED_VALUE"""),"20230315CALIG")</f>
        <v>20230315CALIG</v>
      </c>
      <c r="B17" s="5" t="str">
        <f ca="1">IFERROR(__xludf.DUMMYFUNCTION("""COMPUTED_VALUE"""),"Handgun")</f>
        <v>Handgun</v>
      </c>
      <c r="C17" s="5"/>
      <c r="D17" s="5"/>
    </row>
    <row r="18" spans="1:4" ht="13">
      <c r="A18" s="5" t="str">
        <f ca="1">IFERROR(__xludf.DUMMYFUNCTION("""COMPUTED_VALUE"""),"20230315MICEW")</f>
        <v>20230315MICEW</v>
      </c>
      <c r="B18" s="5"/>
      <c r="C18" s="5"/>
      <c r="D18" s="5"/>
    </row>
    <row r="19" spans="1:4" ht="13">
      <c r="A19" s="5" t="str">
        <f ca="1">IFERROR(__xludf.DUMMYFUNCTION("""COMPUTED_VALUE"""),"20230313NYPSN")</f>
        <v>20230313NYPSN</v>
      </c>
      <c r="B19" s="5" t="str">
        <f ca="1">IFERROR(__xludf.DUMMYFUNCTION("""COMPUTED_VALUE"""),"Handgun")</f>
        <v>Handgun</v>
      </c>
      <c r="C19" s="5"/>
      <c r="D19" s="5"/>
    </row>
    <row r="20" spans="1:4" ht="13">
      <c r="A20" s="5" t="str">
        <f ca="1">IFERROR(__xludf.DUMMYFUNCTION("""COMPUTED_VALUE"""),"20230314NYHAN")</f>
        <v>20230314NYHAN</v>
      </c>
      <c r="B20" s="5" t="str">
        <f ca="1">IFERROR(__xludf.DUMMYFUNCTION("""COMPUTED_VALUE"""),"Handgun")</f>
        <v>Handgun</v>
      </c>
      <c r="C20" s="5"/>
      <c r="D20" s="5"/>
    </row>
    <row r="21" spans="1:4" ht="13">
      <c r="A21" s="5" t="str">
        <f ca="1">IFERROR(__xludf.DUMMYFUNCTION("""COMPUTED_VALUE"""),"20230314NYMAM")</f>
        <v>20230314NYMAM</v>
      </c>
      <c r="B21" s="5" t="str">
        <f ca="1">IFERROR(__xludf.DUMMYFUNCTION("""COMPUTED_VALUE"""),"Handgun")</f>
        <v>Handgun</v>
      </c>
      <c r="C21" s="5"/>
      <c r="D21" s="5"/>
    </row>
    <row r="22" spans="1:4" ht="13">
      <c r="A22" s="5" t="str">
        <f ca="1">IFERROR(__xludf.DUMMYFUNCTION("""COMPUTED_VALUE"""),"20230309WIBAM")</f>
        <v>20230309WIBAM</v>
      </c>
      <c r="B22" s="5" t="str">
        <f ca="1">IFERROR(__xludf.DUMMYFUNCTION("""COMPUTED_VALUE"""),"Handgun")</f>
        <v>Handgun</v>
      </c>
      <c r="C22" s="5"/>
      <c r="D22" s="5"/>
    </row>
    <row r="23" spans="1:4" ht="13">
      <c r="A23" s="5" t="str">
        <f ca="1">IFERROR(__xludf.DUMMYFUNCTION("""COMPUTED_VALUE"""),"20230309OHMAM")</f>
        <v>20230309OHMAM</v>
      </c>
      <c r="B23" s="5" t="str">
        <f ca="1">IFERROR(__xludf.DUMMYFUNCTION("""COMPUTED_VALUE"""),"Handgun")</f>
        <v>Handgun</v>
      </c>
      <c r="C23" s="5"/>
      <c r="D23" s="5"/>
    </row>
    <row r="24" spans="1:4" ht="13">
      <c r="A24" s="5" t="str">
        <f ca="1">IFERROR(__xludf.DUMMYFUNCTION("""COMPUTED_VALUE"""),"20230308WVHIH")</f>
        <v>20230308WVHIH</v>
      </c>
      <c r="B24" s="5"/>
      <c r="C24" s="5"/>
      <c r="D24" s="5"/>
    </row>
    <row r="25" spans="1:4" ht="13">
      <c r="A25" s="5" t="str">
        <f ca="1">IFERROR(__xludf.DUMMYFUNCTION("""COMPUTED_VALUE"""),"20230308PAHEP")</f>
        <v>20230308PAHEP</v>
      </c>
      <c r="B25" s="5" t="str">
        <f ca="1">IFERROR(__xludf.DUMMYFUNCTION("""COMPUTED_VALUE"""),"Handgun")</f>
        <v>Handgun</v>
      </c>
      <c r="C25" s="5"/>
      <c r="D25" s="5"/>
    </row>
    <row r="26" spans="1:4" ht="13">
      <c r="A26" s="5" t="str">
        <f ca="1">IFERROR(__xludf.DUMMYFUNCTION("""COMPUTED_VALUE"""),"20230307INTHI")</f>
        <v>20230307INTHI</v>
      </c>
      <c r="B26" s="5" t="str">
        <f ca="1">IFERROR(__xludf.DUMMYFUNCTION("""COMPUTED_VALUE"""),"Handgun")</f>
        <v>Handgun</v>
      </c>
      <c r="C26" s="5"/>
      <c r="D26" s="5"/>
    </row>
    <row r="27" spans="1:4" ht="13">
      <c r="A27" s="5" t="str">
        <f ca="1">IFERROR(__xludf.DUMMYFUNCTION("""COMPUTED_VALUE"""),"20230306NYPAN")</f>
        <v>20230306NYPAN</v>
      </c>
      <c r="B27" s="5" t="str">
        <f ca="1">IFERROR(__xludf.DUMMYFUNCTION("""COMPUTED_VALUE"""),"Handgun")</f>
        <v>Handgun</v>
      </c>
      <c r="C27" s="5"/>
      <c r="D27" s="5"/>
    </row>
    <row r="28" spans="1:4" ht="13">
      <c r="A28" s="5" t="str">
        <f ca="1">IFERROR(__xludf.DUMMYFUNCTION("""COMPUTED_VALUE"""),"20230306TXPAA")</f>
        <v>20230306TXPAA</v>
      </c>
      <c r="B28" s="5"/>
      <c r="C28" s="5"/>
      <c r="D28" s="5"/>
    </row>
    <row r="29" spans="1:4" ht="13">
      <c r="A29" s="5" t="str">
        <f ca="1">IFERROR(__xludf.DUMMYFUNCTION("""COMPUTED_VALUE"""),"20230306MDLEB")</f>
        <v>20230306MDLEB</v>
      </c>
      <c r="B29" s="5" t="str">
        <f ca="1">IFERROR(__xludf.DUMMYFUNCTION("""COMPUTED_VALUE"""),"Handgun")</f>
        <v>Handgun</v>
      </c>
      <c r="C29" s="5"/>
      <c r="D29" s="5"/>
    </row>
    <row r="30" spans="1:4" ht="13">
      <c r="A30" s="5" t="str">
        <f ca="1">IFERROR(__xludf.DUMMYFUNCTION("""COMPUTED_VALUE"""),"20230306MISTR")</f>
        <v>20230306MISTR</v>
      </c>
      <c r="B30" s="5" t="str">
        <f ca="1">IFERROR(__xludf.DUMMYFUNCTION("""COMPUTED_VALUE"""),"Handgun")</f>
        <v>Handgun</v>
      </c>
      <c r="C30" s="5"/>
      <c r="D30" s="5"/>
    </row>
    <row r="31" spans="1:4" ht="13">
      <c r="A31" s="5" t="str">
        <f ca="1">IFERROR(__xludf.DUMMYFUNCTION("""COMPUTED_VALUE"""),"20230306MDPAB")</f>
        <v>20230306MDPAB</v>
      </c>
      <c r="B31" s="5" t="str">
        <f ca="1">IFERROR(__xludf.DUMMYFUNCTION("""COMPUTED_VALUE"""),"Handgun")</f>
        <v>Handgun</v>
      </c>
      <c r="C31" s="5"/>
      <c r="D31" s="5"/>
    </row>
    <row r="32" spans="1:4" ht="13">
      <c r="A32" s="5" t="str">
        <f ca="1">IFERROR(__xludf.DUMMYFUNCTION("""COMPUTED_VALUE"""),"20230303MTGAL")</f>
        <v>20230303MTGAL</v>
      </c>
      <c r="B32" s="5" t="str">
        <f ca="1">IFERROR(__xludf.DUMMYFUNCTION("""COMPUTED_VALUE"""),"Other")</f>
        <v>Other</v>
      </c>
      <c r="C32" s="5" t="str">
        <f ca="1">IFERROR(__xludf.DUMMYFUNCTION("""COMPUTED_VALUE"""),"BB")</f>
        <v>BB</v>
      </c>
      <c r="D32" s="5"/>
    </row>
    <row r="33" spans="1:4" ht="13">
      <c r="A33" s="5" t="str">
        <f ca="1">IFERROR(__xludf.DUMMYFUNCTION("""COMPUTED_VALUE"""),"20230301ILMAM")</f>
        <v>20230301ILMAM</v>
      </c>
      <c r="B33" s="5" t="str">
        <f ca="1">IFERROR(__xludf.DUMMYFUNCTION("""COMPUTED_VALUE"""),"Other")</f>
        <v>Other</v>
      </c>
      <c r="C33" s="5" t="str">
        <f ca="1">IFERROR(__xludf.DUMMYFUNCTION("""COMPUTED_VALUE"""),"Pellet")</f>
        <v>Pellet</v>
      </c>
      <c r="D33" s="5"/>
    </row>
    <row r="34" spans="1:4" ht="13">
      <c r="A34" s="5" t="str">
        <f ca="1">IFERROR(__xludf.DUMMYFUNCTION("""COMPUTED_VALUE"""),"20230301GASAS")</f>
        <v>20230301GASAS</v>
      </c>
      <c r="B34" s="5" t="str">
        <f ca="1">IFERROR(__xludf.DUMMYFUNCTION("""COMPUTED_VALUE"""),"Handgun")</f>
        <v>Handgun</v>
      </c>
      <c r="C34" s="5"/>
      <c r="D34" s="5"/>
    </row>
    <row r="35" spans="1:4" ht="13">
      <c r="A35" s="5" t="str">
        <f ca="1">IFERROR(__xludf.DUMMYFUNCTION("""COMPUTED_VALUE"""),"20230301ILSAC")</f>
        <v>20230301ILSAC</v>
      </c>
      <c r="B35" s="5" t="str">
        <f ca="1">IFERROR(__xludf.DUMMYFUNCTION("""COMPUTED_VALUE"""),"Handgun")</f>
        <v>Handgun</v>
      </c>
      <c r="C35" s="5"/>
      <c r="D35" s="5"/>
    </row>
    <row r="36" spans="1:4" ht="13">
      <c r="A36" s="5" t="str">
        <f ca="1">IFERROR(__xludf.DUMMYFUNCTION("""COMPUTED_VALUE"""),"20230301CONOP")</f>
        <v>20230301CONOP</v>
      </c>
      <c r="B36" s="5"/>
      <c r="C36" s="5"/>
      <c r="D36" s="5"/>
    </row>
    <row r="37" spans="1:4" ht="13">
      <c r="A37" s="5" t="str">
        <f ca="1">IFERROR(__xludf.DUMMYFUNCTION("""COMPUTED_VALUE"""),"20230227CAGAC")</f>
        <v>20230227CAGAC</v>
      </c>
      <c r="B37" s="5"/>
      <c r="C37" s="5"/>
      <c r="D37" s="5"/>
    </row>
    <row r="38" spans="1:4" ht="13">
      <c r="A38" s="5" t="str">
        <f ca="1">IFERROR(__xludf.DUMMYFUNCTION("""COMPUTED_VALUE"""),"20230223OHWOC")</f>
        <v>20230223OHWOC</v>
      </c>
      <c r="B38" s="5" t="str">
        <f ca="1">IFERROR(__xludf.DUMMYFUNCTION("""COMPUTED_VALUE"""),"Handgun")</f>
        <v>Handgun</v>
      </c>
      <c r="C38" s="5"/>
      <c r="D38" s="5"/>
    </row>
    <row r="39" spans="1:4" ht="13">
      <c r="A39" s="5" t="str">
        <f ca="1">IFERROR(__xludf.DUMMYFUNCTION("""COMPUTED_VALUE"""),"20230222MSWHJ")</f>
        <v>20230222MSWHJ</v>
      </c>
      <c r="B39" s="5"/>
      <c r="C39" s="5"/>
      <c r="D39" s="5"/>
    </row>
    <row r="40" spans="1:4" ht="13">
      <c r="A40" s="5" t="str">
        <f ca="1">IFERROR(__xludf.DUMMYFUNCTION("""COMPUTED_VALUE"""),"20230222COESE")</f>
        <v>20230222COESE</v>
      </c>
      <c r="B40" s="5"/>
      <c r="C40" s="5" t="str">
        <f ca="1">IFERROR(__xludf.DUMMYFUNCTION("""COMPUTED_VALUE"""),"Service Weapon")</f>
        <v>Service Weapon</v>
      </c>
      <c r="D40" s="5"/>
    </row>
    <row r="41" spans="1:4" ht="13">
      <c r="A41" s="5" t="str">
        <f ca="1">IFERROR(__xludf.DUMMYFUNCTION("""COMPUTED_VALUE"""),"20230221LARUR")</f>
        <v>20230221LARUR</v>
      </c>
      <c r="B41" s="5"/>
      <c r="C41" s="5"/>
      <c r="D41" s="5"/>
    </row>
    <row r="42" spans="1:4" ht="13">
      <c r="A42" s="5" t="str">
        <f ca="1">IFERROR(__xludf.DUMMYFUNCTION("""COMPUTED_VALUE"""),"20230217NCERE")</f>
        <v>20230217NCERE</v>
      </c>
      <c r="B42" s="5" t="str">
        <f ca="1">IFERROR(__xludf.DUMMYFUNCTION("""COMPUTED_VALUE"""),"Handgun")</f>
        <v>Handgun</v>
      </c>
      <c r="C42" s="5"/>
      <c r="D42" s="5"/>
    </row>
    <row r="43" spans="1:4" ht="13">
      <c r="A43" s="5" t="str">
        <f ca="1">IFERROR(__xludf.DUMMYFUNCTION("""COMPUTED_VALUE"""),"20230217ILCAC")</f>
        <v>20230217ILCAC</v>
      </c>
      <c r="B43" s="5"/>
      <c r="C43" s="5"/>
      <c r="D43" s="5"/>
    </row>
    <row r="44" spans="1:4" ht="13">
      <c r="A44" s="5" t="str">
        <f ca="1">IFERROR(__xludf.DUMMYFUNCTION("""COMPUTED_VALUE"""),"20230216TXGAG")</f>
        <v>20230216TXGAG</v>
      </c>
      <c r="B44" s="5" t="str">
        <f ca="1">IFERROR(__xludf.DUMMYFUNCTION("""COMPUTED_VALUE"""),"Handgun")</f>
        <v>Handgun</v>
      </c>
      <c r="C44" s="5"/>
      <c r="D44" s="5"/>
    </row>
    <row r="45" spans="1:4" ht="13">
      <c r="A45" s="5" t="str">
        <f ca="1">IFERROR(__xludf.DUMMYFUNCTION("""COMPUTED_VALUE"""),"20230216TXDAH")</f>
        <v>20230216TXDAH</v>
      </c>
      <c r="B45" s="5" t="str">
        <f ca="1">IFERROR(__xludf.DUMMYFUNCTION("""COMPUTED_VALUE"""),"Handgun")</f>
        <v>Handgun</v>
      </c>
      <c r="C45" s="5"/>
      <c r="D45" s="5"/>
    </row>
    <row r="46" spans="1:4" ht="13">
      <c r="A46" s="5" t="str">
        <f ca="1">IFERROR(__xludf.DUMMYFUNCTION("""COMPUTED_VALUE"""),"20230215OHCOC")</f>
        <v>20230215OHCOC</v>
      </c>
      <c r="B46" s="5" t="str">
        <f ca="1">IFERROR(__xludf.DUMMYFUNCTION("""COMPUTED_VALUE"""),"Handgun")</f>
        <v>Handgun</v>
      </c>
      <c r="C46" s="5"/>
      <c r="D46" s="5"/>
    </row>
    <row r="47" spans="1:4" ht="13">
      <c r="A47" s="5" t="str">
        <f ca="1">IFERROR(__xludf.DUMMYFUNCTION("""COMPUTED_VALUE"""),"20230215MDWAB")</f>
        <v>20230215MDWAB</v>
      </c>
      <c r="B47" s="5"/>
      <c r="C47" s="5"/>
      <c r="D47" s="5"/>
    </row>
    <row r="48" spans="1:4" ht="13">
      <c r="A48" s="5" t="str">
        <f ca="1">IFERROR(__xludf.DUMMYFUNCTION("""COMPUTED_VALUE"""),"20230214GAMID")</f>
        <v>20230214GAMID</v>
      </c>
      <c r="B48" s="5" t="str">
        <f ca="1">IFERROR(__xludf.DUMMYFUNCTION("""COMPUTED_VALUE"""),"Handgun")</f>
        <v>Handgun</v>
      </c>
      <c r="C48" s="5"/>
      <c r="D48" s="5"/>
    </row>
    <row r="49" spans="1:4" ht="13">
      <c r="A49" s="5" t="str">
        <f ca="1">IFERROR(__xludf.DUMMYFUNCTION("""COMPUTED_VALUE"""),"20230214PAWEP")</f>
        <v>20230214PAWEP</v>
      </c>
      <c r="B49" s="5" t="str">
        <f ca="1">IFERROR(__xludf.DUMMYFUNCTION("""COMPUTED_VALUE"""),"Handgun")</f>
        <v>Handgun</v>
      </c>
      <c r="C49" s="5"/>
      <c r="D49" s="5"/>
    </row>
    <row r="50" spans="1:4" ht="13">
      <c r="A50" s="5" t="str">
        <f ca="1">IFERROR(__xludf.DUMMYFUNCTION("""COMPUTED_VALUE"""),"20230213NYPSS")</f>
        <v>20230213NYPSS</v>
      </c>
      <c r="B50" s="5"/>
      <c r="C50" s="5"/>
      <c r="D50" s="5"/>
    </row>
    <row r="51" spans="1:4" ht="13">
      <c r="A51" s="5" t="str">
        <f ca="1">IFERROR(__xludf.DUMMYFUNCTION("""COMPUTED_VALUE"""),"20230213COEAD")</f>
        <v>20230213COEAD</v>
      </c>
      <c r="B51" s="5"/>
      <c r="C51" s="5"/>
      <c r="D51" s="5"/>
    </row>
    <row r="52" spans="1:4" ht="13">
      <c r="A52" s="5" t="str">
        <f ca="1">IFERROR(__xludf.DUMMYFUNCTION("""COMPUTED_VALUE"""),"20230213TXDAD")</f>
        <v>20230213TXDAD</v>
      </c>
      <c r="B52" s="5"/>
      <c r="C52" s="5"/>
      <c r="D52" s="5"/>
    </row>
    <row r="53" spans="1:4" ht="13">
      <c r="A53" s="5" t="str">
        <f ca="1">IFERROR(__xludf.DUMMYFUNCTION("""COMPUTED_VALUE"""),"20230210CAHEF")</f>
        <v>20230210CAHEF</v>
      </c>
      <c r="B53" s="5" t="str">
        <f ca="1">IFERROR(__xludf.DUMMYFUNCTION("""COMPUTED_VALUE"""),"Other")</f>
        <v>Other</v>
      </c>
      <c r="C53" s="5" t="str">
        <f ca="1">IFERROR(__xludf.DUMMYFUNCTION("""COMPUTED_VALUE"""),"Airsoft")</f>
        <v>Airsoft</v>
      </c>
      <c r="D53" s="5"/>
    </row>
    <row r="54" spans="1:4" ht="13">
      <c r="A54" s="5" t="str">
        <f ca="1">IFERROR(__xludf.DUMMYFUNCTION("""COMPUTED_VALUE"""),"20230208NYWIB")</f>
        <v>20230208NYWIB</v>
      </c>
      <c r="B54" s="5" t="str">
        <f ca="1">IFERROR(__xludf.DUMMYFUNCTION("""COMPUTED_VALUE"""),"Handgun")</f>
        <v>Handgun</v>
      </c>
      <c r="C54" s="5"/>
      <c r="D54" s="5"/>
    </row>
    <row r="55" spans="1:4" ht="13">
      <c r="A55" s="5" t="str">
        <f ca="1">IFERROR(__xludf.DUMMYFUNCTION("""COMPUTED_VALUE"""),"20230206ARKIF")</f>
        <v>20230206ARKIF</v>
      </c>
      <c r="B55" s="5" t="str">
        <f ca="1">IFERROR(__xludf.DUMMYFUNCTION("""COMPUTED_VALUE"""),"Handgun")</f>
        <v>Handgun</v>
      </c>
      <c r="C55" s="5"/>
      <c r="D55" s="5"/>
    </row>
    <row r="56" spans="1:4" ht="13">
      <c r="A56" s="5" t="str">
        <f ca="1">IFERROR(__xludf.DUMMYFUNCTION("""COMPUTED_VALUE"""),"20230206DEAPM")</f>
        <v>20230206DEAPM</v>
      </c>
      <c r="B56" s="5" t="str">
        <f ca="1">IFERROR(__xludf.DUMMYFUNCTION("""COMPUTED_VALUE"""),"Handgun")</f>
        <v>Handgun</v>
      </c>
      <c r="C56" s="5"/>
      <c r="D56" s="5"/>
    </row>
    <row r="57" spans="1:4" ht="13">
      <c r="A57" s="5" t="str">
        <f ca="1">IFERROR(__xludf.DUMMYFUNCTION("""COMPUTED_VALUE"""),"20230206FLMIM")</f>
        <v>20230206FLMIM</v>
      </c>
      <c r="B57" s="5" t="str">
        <f ca="1">IFERROR(__xludf.DUMMYFUNCTION("""COMPUTED_VALUE"""),"Handgun")</f>
        <v>Handgun</v>
      </c>
      <c r="C57" s="5"/>
      <c r="D57" s="5"/>
    </row>
    <row r="58" spans="1:4" ht="13">
      <c r="A58" s="5" t="str">
        <f ca="1">IFERROR(__xludf.DUMMYFUNCTION("""COMPUTED_VALUE"""),"20230202OHRIP")</f>
        <v>20230202OHRIP</v>
      </c>
      <c r="B58" s="5" t="str">
        <f ca="1">IFERROR(__xludf.DUMMYFUNCTION("""COMPUTED_VALUE"""),"Handgun")</f>
        <v>Handgun</v>
      </c>
      <c r="C58" s="5"/>
      <c r="D58" s="5"/>
    </row>
    <row r="59" spans="1:4" ht="13">
      <c r="A59" s="5" t="str">
        <f ca="1">IFERROR(__xludf.DUMMYFUNCTION("""COMPUTED_VALUE"""),"20230131ILZIZ")</f>
        <v>20230131ILZIZ</v>
      </c>
      <c r="B59" s="5" t="str">
        <f ca="1">IFERROR(__xludf.DUMMYFUNCTION("""COMPUTED_VALUE"""),"Handgun")</f>
        <v>Handgun</v>
      </c>
      <c r="C59" s="5"/>
      <c r="D59" s="5" t="str">
        <f ca="1">IFERROR(__xludf.DUMMYFUNCTION("""COMPUTED_VALUE"""),"Full automatic")</f>
        <v>Full automatic</v>
      </c>
    </row>
    <row r="60" spans="1:4" ht="13">
      <c r="A60" s="5" t="str">
        <f ca="1">IFERROR(__xludf.DUMMYFUNCTION("""COMPUTED_VALUE"""),"20230131OKGEG")</f>
        <v>20230131OKGEG</v>
      </c>
      <c r="B60" s="5" t="str">
        <f ca="1">IFERROR(__xludf.DUMMYFUNCTION("""COMPUTED_VALUE"""),"Rifle")</f>
        <v>Rifle</v>
      </c>
      <c r="C60" s="5"/>
      <c r="D60" s="5"/>
    </row>
    <row r="61" spans="1:4" ht="13">
      <c r="A61" s="5" t="str">
        <f ca="1">IFERROR(__xludf.DUMMYFUNCTION("""COMPUTED_VALUE"""),"20230130ALHOM")</f>
        <v>20230130ALHOM</v>
      </c>
      <c r="B61" s="5"/>
      <c r="C61" s="5"/>
      <c r="D61" s="5"/>
    </row>
    <row r="62" spans="1:4" ht="13">
      <c r="A62" s="5" t="str">
        <f ca="1">IFERROR(__xludf.DUMMYFUNCTION("""COMPUTED_VALUE"""),"20230130DCCOW")</f>
        <v>20230130DCCOW</v>
      </c>
      <c r="B62" s="5" t="str">
        <f ca="1">IFERROR(__xludf.DUMMYFUNCTION("""COMPUTED_VALUE"""),"Handgun")</f>
        <v>Handgun</v>
      </c>
      <c r="C62" s="5"/>
      <c r="D62" s="5"/>
    </row>
    <row r="63" spans="1:4" ht="13">
      <c r="A63" s="5" t="str">
        <f ca="1">IFERROR(__xludf.DUMMYFUNCTION("""COMPUTED_VALUE"""),"20230130AZGIY")</f>
        <v>20230130AZGIY</v>
      </c>
      <c r="B63" s="5" t="str">
        <f ca="1">IFERROR(__xludf.DUMMYFUNCTION("""COMPUTED_VALUE"""),"Handgun")</f>
        <v>Handgun</v>
      </c>
      <c r="C63" s="5"/>
      <c r="D63" s="5"/>
    </row>
    <row r="64" spans="1:4" ht="13">
      <c r="A64" s="5" t="str">
        <f ca="1">IFERROR(__xludf.DUMMYFUNCTION("""COMPUTED_VALUE"""),"20230128MOGLS")</f>
        <v>20230128MOGLS</v>
      </c>
      <c r="B64" s="5" t="str">
        <f ca="1">IFERROR(__xludf.DUMMYFUNCTION("""COMPUTED_VALUE"""),"Handgun")</f>
        <v>Handgun</v>
      </c>
      <c r="C64" s="5"/>
      <c r="D64" s="5"/>
    </row>
    <row r="65" spans="1:4" ht="13">
      <c r="A65" s="5" t="str">
        <f ca="1">IFERROR(__xludf.DUMMYFUNCTION("""COMPUTED_VALUE"""),"20230127NJHOW")</f>
        <v>20230127NJHOW</v>
      </c>
      <c r="B65" s="5" t="str">
        <f ca="1">IFERROR(__xludf.DUMMYFUNCTION("""COMPUTED_VALUE"""),"Other")</f>
        <v>Other</v>
      </c>
      <c r="C65" s="5"/>
      <c r="D65" s="5" t="str">
        <f ca="1">IFERROR(__xludf.DUMMYFUNCTION("""COMPUTED_VALUE"""),"Flare gun")</f>
        <v>Flare gun</v>
      </c>
    </row>
    <row r="66" spans="1:4" ht="13">
      <c r="A66" s="5" t="str">
        <f ca="1">IFERROR(__xludf.DUMMYFUNCTION("""COMPUTED_VALUE"""),"20230126UTTAT")</f>
        <v>20230126UTTAT</v>
      </c>
      <c r="B66" s="5" t="str">
        <f ca="1">IFERROR(__xludf.DUMMYFUNCTION("""COMPUTED_VALUE"""),"Handgun")</f>
        <v>Handgun</v>
      </c>
      <c r="C66" s="5"/>
      <c r="D66" s="5"/>
    </row>
    <row r="67" spans="1:4" ht="13">
      <c r="A67" s="5" t="str">
        <f ca="1">IFERROR(__xludf.DUMMYFUNCTION("""COMPUTED_VALUE"""),"20230125OHTOT")</f>
        <v>20230125OHTOT</v>
      </c>
      <c r="B67" s="5"/>
      <c r="C67" s="5"/>
      <c r="D67" s="5"/>
    </row>
    <row r="68" spans="1:4" ht="13">
      <c r="A68" s="5" t="str">
        <f ca="1">IFERROR(__xludf.DUMMYFUNCTION("""COMPUTED_VALUE"""),"20230124MOTHK")</f>
        <v>20230124MOTHK</v>
      </c>
      <c r="B68" s="5"/>
      <c r="C68" s="5"/>
      <c r="D68" s="5"/>
    </row>
    <row r="69" spans="1:4" ht="13">
      <c r="A69" s="5" t="str">
        <f ca="1">IFERROR(__xludf.DUMMYFUNCTION("""COMPUTED_VALUE"""),"20230123TXABA")</f>
        <v>20230123TXABA</v>
      </c>
      <c r="B69" s="5" t="str">
        <f ca="1">IFERROR(__xludf.DUMMYFUNCTION("""COMPUTED_VALUE"""),"Other")</f>
        <v>Other</v>
      </c>
      <c r="C69" s="5" t="str">
        <f ca="1">IFERROR(__xludf.DUMMYFUNCTION("""COMPUTED_VALUE"""),"BB")</f>
        <v>BB</v>
      </c>
      <c r="D69" s="5"/>
    </row>
    <row r="70" spans="1:4" ht="13">
      <c r="A70" s="5" t="str">
        <f ca="1">IFERROR(__xludf.DUMMYFUNCTION("""COMPUTED_VALUE"""),"20230123IASTD")</f>
        <v>20230123IASTD</v>
      </c>
      <c r="B70" s="5" t="str">
        <f ca="1">IFERROR(__xludf.DUMMYFUNCTION("""COMPUTED_VALUE"""),"Handgun")</f>
        <v>Handgun</v>
      </c>
      <c r="C70" s="5" t="str">
        <f ca="1">IFERROR(__xludf.DUMMYFUNCTION("""COMPUTED_VALUE"""),"9mm")</f>
        <v>9mm</v>
      </c>
      <c r="D70" s="5"/>
    </row>
    <row r="71" spans="1:4" ht="13">
      <c r="A71" s="5" t="str">
        <f ca="1">IFERROR(__xludf.DUMMYFUNCTION("""COMPUTED_VALUE"""),"20230122WAMOT")</f>
        <v>20230122WAMOT</v>
      </c>
      <c r="B71" s="5"/>
      <c r="C71" s="5"/>
      <c r="D71" s="5"/>
    </row>
    <row r="72" spans="1:4" ht="13">
      <c r="A72" s="5" t="str">
        <f ca="1">IFERROR(__xludf.DUMMYFUNCTION("""COMPUTED_VALUE"""),"20230121FLGLB")</f>
        <v>20230121FLGLB</v>
      </c>
      <c r="B72" s="5" t="str">
        <f ca="1">IFERROR(__xludf.DUMMYFUNCTION("""COMPUTED_VALUE"""),"Handgun")</f>
        <v>Handgun</v>
      </c>
      <c r="C72" s="5"/>
      <c r="D72" s="5"/>
    </row>
    <row r="73" spans="1:4" ht="13">
      <c r="A73" s="5" t="str">
        <f ca="1">IFERROR(__xludf.DUMMYFUNCTION("""COMPUTED_VALUE"""),"20230120MNWAS")</f>
        <v>20230120MNWAS</v>
      </c>
      <c r="B73" s="5" t="str">
        <f ca="1">IFERROR(__xludf.DUMMYFUNCTION("""COMPUTED_VALUE"""),"Handgun")</f>
        <v>Handgun</v>
      </c>
      <c r="C73" s="5"/>
      <c r="D73" s="5"/>
    </row>
    <row r="74" spans="1:4" ht="13">
      <c r="A74" s="5" t="str">
        <f ca="1">IFERROR(__xludf.DUMMYFUNCTION("""COMPUTED_VALUE"""),"20230119NYEAB")</f>
        <v>20230119NYEAB</v>
      </c>
      <c r="B74" s="5" t="str">
        <f ca="1">IFERROR(__xludf.DUMMYFUNCTION("""COMPUTED_VALUE"""),"Handgun")</f>
        <v>Handgun</v>
      </c>
      <c r="C74" s="5"/>
      <c r="D74" s="5"/>
    </row>
    <row r="75" spans="1:4" ht="13">
      <c r="A75" s="5" t="str">
        <f ca="1">IFERROR(__xludf.DUMMYFUNCTION("""COMPUTED_VALUE"""),"20230118NYCAQ")</f>
        <v>20230118NYCAQ</v>
      </c>
      <c r="B75" s="5" t="str">
        <f ca="1">IFERROR(__xludf.DUMMYFUNCTION("""COMPUTED_VALUE"""),"Handgun")</f>
        <v>Handgun</v>
      </c>
      <c r="C75" s="5"/>
      <c r="D75" s="5"/>
    </row>
    <row r="76" spans="1:4" ht="13">
      <c r="A76" s="5" t="str">
        <f ca="1">IFERROR(__xludf.DUMMYFUNCTION("""COMPUTED_VALUE"""),"20230118OKDED")</f>
        <v>20230118OKDED</v>
      </c>
      <c r="B76" s="5" t="str">
        <f ca="1">IFERROR(__xludf.DUMMYFUNCTION("""COMPUTED_VALUE"""),"Handgun")</f>
        <v>Handgun</v>
      </c>
      <c r="C76" s="5"/>
      <c r="D76" s="5"/>
    </row>
    <row r="77" spans="1:4" ht="13">
      <c r="A77" s="5" t="str">
        <f ca="1">IFERROR(__xludf.DUMMYFUNCTION("""COMPUTED_VALUE"""),"20230117FLMAB")</f>
        <v>20230117FLMAB</v>
      </c>
      <c r="B77" s="5" t="str">
        <f ca="1">IFERROR(__xludf.DUMMYFUNCTION("""COMPUTED_VALUE"""),"Other")</f>
        <v>Other</v>
      </c>
      <c r="C77" s="5" t="str">
        <f ca="1">IFERROR(__xludf.DUMMYFUNCTION("""COMPUTED_VALUE"""),"BB")</f>
        <v>BB</v>
      </c>
      <c r="D77" s="5" t="str">
        <f ca="1">IFERROR(__xludf.DUMMYFUNCTION("""COMPUTED_VALUE"""),"Two BB rifles, one BB pistol")</f>
        <v>Two BB rifles, one BB pistol</v>
      </c>
    </row>
    <row r="78" spans="1:4" ht="13">
      <c r="A78" s="5" t="str">
        <f ca="1">IFERROR(__xludf.DUMMYFUNCTION("""COMPUTED_VALUE"""),"20230111VTSPV")</f>
        <v>20230111VTSPV</v>
      </c>
      <c r="B78" s="5" t="str">
        <f ca="1">IFERROR(__xludf.DUMMYFUNCTION("""COMPUTED_VALUE"""),"Other")</f>
        <v>Other</v>
      </c>
      <c r="C78" s="5" t="str">
        <f ca="1">IFERROR(__xludf.DUMMYFUNCTION("""COMPUTED_VALUE"""),"Pellet")</f>
        <v>Pellet</v>
      </c>
      <c r="D78" s="5"/>
    </row>
    <row r="79" spans="1:4" ht="13">
      <c r="A79" s="5" t="str">
        <f ca="1">IFERROR(__xludf.DUMMYFUNCTION("""COMPUTED_VALUE"""),"20230111VALAP")</f>
        <v>20230111VALAP</v>
      </c>
      <c r="B79" s="5"/>
      <c r="C79" s="5"/>
      <c r="D79" s="5"/>
    </row>
    <row r="80" spans="1:4" ht="13">
      <c r="A80" s="5" t="str">
        <f ca="1">IFERROR(__xludf.DUMMYFUNCTION("""COMPUTED_VALUE"""),"20230110UTWES")</f>
        <v>20230110UTWES</v>
      </c>
      <c r="B80" s="5" t="str">
        <f ca="1">IFERROR(__xludf.DUMMYFUNCTION("""COMPUTED_VALUE"""),"Other")</f>
        <v>Other</v>
      </c>
      <c r="C80" s="5" t="str">
        <f ca="1">IFERROR(__xludf.DUMMYFUNCTION("""COMPUTED_VALUE"""),"Pellet")</f>
        <v>Pellet</v>
      </c>
      <c r="D80" s="5"/>
    </row>
    <row r="81" spans="1:4" ht="13">
      <c r="A81" s="5" t="str">
        <f ca="1">IFERROR(__xludf.DUMMYFUNCTION("""COMPUTED_VALUE"""),"20230110KYSAS")</f>
        <v>20230110KYSAS</v>
      </c>
      <c r="B81" s="5" t="str">
        <f ca="1">IFERROR(__xludf.DUMMYFUNCTION("""COMPUTED_VALUE"""),"Handgun")</f>
        <v>Handgun</v>
      </c>
      <c r="C81" s="5"/>
      <c r="D81" s="5"/>
    </row>
    <row r="82" spans="1:4" ht="13">
      <c r="A82" s="5" t="str">
        <f ca="1">IFERROR(__xludf.DUMMYFUNCTION("""COMPUTED_VALUE"""),"20230110DEWIN")</f>
        <v>20230110DEWIN</v>
      </c>
      <c r="B82" s="5" t="str">
        <f ca="1">IFERROR(__xludf.DUMMYFUNCTION("""COMPUTED_VALUE"""),"Handgun")</f>
        <v>Handgun</v>
      </c>
      <c r="C82" s="5"/>
      <c r="D82" s="5" t="str">
        <f ca="1">IFERROR(__xludf.DUMMYFUNCTION("""COMPUTED_VALUE"""),"Glock")</f>
        <v>Glock</v>
      </c>
    </row>
    <row r="83" spans="1:4" ht="13">
      <c r="A83" s="5" t="str">
        <f ca="1">IFERROR(__xludf.DUMMYFUNCTION("""COMPUTED_VALUE"""),"20230110OHJOC")</f>
        <v>20230110OHJOC</v>
      </c>
      <c r="B83" s="5"/>
      <c r="C83" s="5"/>
      <c r="D83" s="5"/>
    </row>
    <row r="84" spans="1:4" ht="13">
      <c r="A84" s="5" t="str">
        <f ca="1">IFERROR(__xludf.DUMMYFUNCTION("""COMPUTED_VALUE"""),"20230110LABON")</f>
        <v>20230110LABON</v>
      </c>
      <c r="B84" s="5"/>
      <c r="C84" s="5"/>
      <c r="D84" s="5"/>
    </row>
    <row r="85" spans="1:4" ht="13">
      <c r="A85" s="5" t="str">
        <f ca="1">IFERROR(__xludf.DUMMYFUNCTION("""COMPUTED_VALUE"""),"20230109VAPRW")</f>
        <v>20230109VAPRW</v>
      </c>
      <c r="B85" s="5" t="str">
        <f ca="1">IFERROR(__xludf.DUMMYFUNCTION("""COMPUTED_VALUE"""),"Other")</f>
        <v>Other</v>
      </c>
      <c r="C85" s="5" t="str">
        <f ca="1">IFERROR(__xludf.DUMMYFUNCTION("""COMPUTED_VALUE"""),"Pellet")</f>
        <v>Pellet</v>
      </c>
      <c r="D85" s="5"/>
    </row>
    <row r="86" spans="1:4" ht="13">
      <c r="A86" s="5" t="str">
        <f ca="1">IFERROR(__xludf.DUMMYFUNCTION("""COMPUTED_VALUE"""),"20230107ORFRP")</f>
        <v>20230107ORFRP</v>
      </c>
      <c r="B86" s="5" t="str">
        <f ca="1">IFERROR(__xludf.DUMMYFUNCTION("""COMPUTED_VALUE"""),"Handgun")</f>
        <v>Handgun</v>
      </c>
      <c r="C86" s="5"/>
      <c r="D86" s="5"/>
    </row>
    <row r="87" spans="1:4" ht="13">
      <c r="A87" s="5" t="str">
        <f ca="1">IFERROR(__xludf.DUMMYFUNCTION("""COMPUTED_VALUE"""),"20230106MDBEB")</f>
        <v>20230106MDBEB</v>
      </c>
      <c r="B87" s="5" t="str">
        <f ca="1">IFERROR(__xludf.DUMMYFUNCTION("""COMPUTED_VALUE"""),"Handgun")</f>
        <v>Handgun</v>
      </c>
      <c r="C87" s="5"/>
      <c r="D87" s="5"/>
    </row>
    <row r="88" spans="1:4" ht="13">
      <c r="A88" s="5" t="str">
        <f ca="1">IFERROR(__xludf.DUMMYFUNCTION("""COMPUTED_VALUE"""),"20230106MIOAD")</f>
        <v>20230106MIOAD</v>
      </c>
      <c r="B88" s="5" t="str">
        <f ca="1">IFERROR(__xludf.DUMMYFUNCTION("""COMPUTED_VALUE"""),"Handgun")</f>
        <v>Handgun</v>
      </c>
      <c r="C88" s="5"/>
      <c r="D88" s="5"/>
    </row>
    <row r="89" spans="1:4" ht="13">
      <c r="A89" s="5" t="str">
        <f ca="1">IFERROR(__xludf.DUMMYFUNCTION("""COMPUTED_VALUE"""),"20230106FLWEA")</f>
        <v>20230106FLWEA</v>
      </c>
      <c r="B89" s="5" t="str">
        <f ca="1">IFERROR(__xludf.DUMMYFUNCTION("""COMPUTED_VALUE"""),"Handgun")</f>
        <v>Handgun</v>
      </c>
      <c r="C89" s="5"/>
      <c r="D89" s="5"/>
    </row>
    <row r="90" spans="1:4" ht="13">
      <c r="A90" s="5" t="str">
        <f ca="1">IFERROR(__xludf.DUMMYFUNCTION("""COMPUTED_VALUE"""),"20230106VARIN")</f>
        <v>20230106VARIN</v>
      </c>
      <c r="B90" s="5" t="str">
        <f ca="1">IFERROR(__xludf.DUMMYFUNCTION("""COMPUTED_VALUE"""),"Handgun")</f>
        <v>Handgun</v>
      </c>
      <c r="C90" s="5" t="str">
        <f ca="1">IFERROR(__xludf.DUMMYFUNCTION("""COMPUTED_VALUE"""),"9mm")</f>
        <v>9mm</v>
      </c>
      <c r="D90" s="5"/>
    </row>
    <row r="91" spans="1:4" ht="13">
      <c r="A91" s="5" t="str">
        <f ca="1">IFERROR(__xludf.DUMMYFUNCTION("""COMPUTED_VALUE"""),"20230105OHBEC")</f>
        <v>20230105OHBEC</v>
      </c>
      <c r="B91" s="5" t="str">
        <f ca="1">IFERROR(__xludf.DUMMYFUNCTION("""COMPUTED_VALUE"""),"Handgun")</f>
        <v>Handgun</v>
      </c>
      <c r="C91" s="5"/>
      <c r="D91" s="5"/>
    </row>
    <row r="92" spans="1:4" ht="13">
      <c r="A92" s="5" t="str">
        <f ca="1">IFERROR(__xludf.DUMMYFUNCTION("""COMPUTED_VALUE"""),"20230105NYFRR")</f>
        <v>20230105NYFRR</v>
      </c>
      <c r="B92" s="5" t="str">
        <f ca="1">IFERROR(__xludf.DUMMYFUNCTION("""COMPUTED_VALUE"""),"Handgun")</f>
        <v>Handgun</v>
      </c>
      <c r="C92" s="5"/>
      <c r="D92" s="5"/>
    </row>
    <row r="93" spans="1:4" ht="13">
      <c r="A93" s="5" t="str">
        <f ca="1">IFERROR(__xludf.DUMMYFUNCTION("""COMPUTED_VALUE"""),"20230104MITRD")</f>
        <v>20230104MITRD</v>
      </c>
      <c r="B93" s="5" t="str">
        <f ca="1">IFERROR(__xludf.DUMMYFUNCTION("""COMPUTED_VALUE"""),"Rifle")</f>
        <v>Rifle</v>
      </c>
      <c r="C93" s="5"/>
      <c r="D93" s="5"/>
    </row>
    <row r="94" spans="1:4" ht="13">
      <c r="A94" s="5" t="str">
        <f ca="1">IFERROR(__xludf.DUMMYFUNCTION("""COMPUTED_VALUE"""),"20221221CTNEN")</f>
        <v>20221221CTNEN</v>
      </c>
      <c r="B94" s="5"/>
      <c r="C94" s="5"/>
      <c r="D94" s="5"/>
    </row>
    <row r="95" spans="1:4" ht="13">
      <c r="A95" s="5" t="str">
        <f ca="1">IFERROR(__xludf.DUMMYFUNCTION("""COMPUTED_VALUE"""),"20221221CAWOW")</f>
        <v>20221221CAWOW</v>
      </c>
      <c r="B95" s="5" t="str">
        <f ca="1">IFERROR(__xludf.DUMMYFUNCTION("""COMPUTED_VALUE"""),"Handgun")</f>
        <v>Handgun</v>
      </c>
      <c r="C95" s="5"/>
      <c r="D95" s="5"/>
    </row>
    <row r="96" spans="1:4" ht="13">
      <c r="A96" s="5" t="str">
        <f ca="1">IFERROR(__xludf.DUMMYFUNCTION("""COMPUTED_VALUE"""),"20221216ILBEC")</f>
        <v>20221216ILBEC</v>
      </c>
      <c r="B96" s="5" t="str">
        <f ca="1">IFERROR(__xludf.DUMMYFUNCTION("""COMPUTED_VALUE"""),"Handgun")</f>
        <v>Handgun</v>
      </c>
      <c r="C96" s="5"/>
      <c r="D96" s="5"/>
    </row>
    <row r="97" spans="1:4" ht="13">
      <c r="A97" s="5" t="str">
        <f ca="1">IFERROR(__xludf.DUMMYFUNCTION("""COMPUTED_VALUE"""),"20221214OHLIC")</f>
        <v>20221214OHLIC</v>
      </c>
      <c r="B97" s="5" t="str">
        <f ca="1">IFERROR(__xludf.DUMMYFUNCTION("""COMPUTED_VALUE"""),"Handgun")</f>
        <v>Handgun</v>
      </c>
      <c r="C97" s="5"/>
      <c r="D97" s="5"/>
    </row>
    <row r="98" spans="1:4" ht="13">
      <c r="A98" s="5" t="str">
        <f ca="1">IFERROR(__xludf.DUMMYFUNCTION("""COMPUTED_VALUE"""),"20221212ORGRP")</f>
        <v>20221212ORGRP</v>
      </c>
      <c r="B98" s="5" t="str">
        <f ca="1">IFERROR(__xludf.DUMMYFUNCTION("""COMPUTED_VALUE"""),"Handgun")</f>
        <v>Handgun</v>
      </c>
      <c r="C98" s="5"/>
      <c r="D98" s="5"/>
    </row>
    <row r="99" spans="1:4" ht="13">
      <c r="A99" s="5" t="str">
        <f ca="1">IFERROR(__xludf.DUMMYFUNCTION("""COMPUTED_VALUE"""),"20221210TNBRC")</f>
        <v>20221210TNBRC</v>
      </c>
      <c r="B99" s="5"/>
      <c r="C99" s="5"/>
      <c r="D99" s="5"/>
    </row>
    <row r="100" spans="1:4" ht="13">
      <c r="A100" s="5" t="str">
        <f ca="1">IFERROR(__xludf.DUMMYFUNCTION("""COMPUTED_VALUE"""),"20221209PAMEP")</f>
        <v>20221209PAMEP</v>
      </c>
      <c r="B100" s="5"/>
      <c r="C100" s="5"/>
      <c r="D100" s="5"/>
    </row>
    <row r="101" spans="1:4" ht="13">
      <c r="A101" s="5" t="str">
        <f ca="1">IFERROR(__xludf.DUMMYFUNCTION("""COMPUTED_VALUE"""),"20221207NCFUG")</f>
        <v>20221207NCFUG</v>
      </c>
      <c r="B101" s="5" t="str">
        <f ca="1">IFERROR(__xludf.DUMMYFUNCTION("""COMPUTED_VALUE"""),"Handgun")</f>
        <v>Handgun</v>
      </c>
      <c r="C101" s="5"/>
      <c r="D101" s="5"/>
    </row>
    <row r="102" spans="1:4" ht="13">
      <c r="A102" s="5" t="str">
        <f ca="1">IFERROR(__xludf.DUMMYFUNCTION("""COMPUTED_VALUE"""),"20221207NCFUG")</f>
        <v>20221207NCFUG</v>
      </c>
      <c r="B102" s="5" t="str">
        <f ca="1">IFERROR(__xludf.DUMMYFUNCTION("""COMPUTED_VALUE"""),"Handgun")</f>
        <v>Handgun</v>
      </c>
      <c r="C102" s="5"/>
      <c r="D102" s="5"/>
    </row>
    <row r="103" spans="1:4" ht="13">
      <c r="A103" s="5" t="str">
        <f ca="1">IFERROR(__xludf.DUMMYFUNCTION("""COMPUTED_VALUE"""),"20221207MDSUD")</f>
        <v>20221207MDSUD</v>
      </c>
      <c r="B103" s="5" t="str">
        <f ca="1">IFERROR(__xludf.DUMMYFUNCTION("""COMPUTED_VALUE"""),"Handgun")</f>
        <v>Handgun</v>
      </c>
      <c r="C103" s="5"/>
      <c r="D103" s="5"/>
    </row>
    <row r="104" spans="1:4" ht="13">
      <c r="A104" s="5" t="str">
        <f ca="1">IFERROR(__xludf.DUMMYFUNCTION("""COMPUTED_VALUE"""),"20221206ALLEM")</f>
        <v>20221206ALLEM</v>
      </c>
      <c r="B104" s="5"/>
      <c r="C104" s="5"/>
      <c r="D104" s="5"/>
    </row>
    <row r="105" spans="1:4" ht="13">
      <c r="A105" s="5" t="str">
        <f ca="1">IFERROR(__xludf.DUMMYFUNCTION("""COMPUTED_VALUE"""),"20221206MOCOS")</f>
        <v>20221206MOCOS</v>
      </c>
      <c r="B105" s="5" t="str">
        <f ca="1">IFERROR(__xludf.DUMMYFUNCTION("""COMPUTED_VALUE"""),"Handgun")</f>
        <v>Handgun</v>
      </c>
      <c r="C105" s="5"/>
      <c r="D105" s="5"/>
    </row>
    <row r="106" spans="1:4" ht="13">
      <c r="A106" s="5" t="str">
        <f ca="1">IFERROR(__xludf.DUMMYFUNCTION("""COMPUTED_VALUE"""),"20221206INSUW")</f>
        <v>20221206INSUW</v>
      </c>
      <c r="B106" s="5"/>
      <c r="C106" s="5"/>
      <c r="D106" s="5"/>
    </row>
    <row r="107" spans="1:4" ht="13">
      <c r="A107" s="5" t="str">
        <f ca="1">IFERROR(__xludf.DUMMYFUNCTION("""COMPUTED_VALUE"""),"20221206ILMIC")</f>
        <v>20221206ILMIC</v>
      </c>
      <c r="B107" s="5" t="str">
        <f ca="1">IFERROR(__xludf.DUMMYFUNCTION("""COMPUTED_VALUE"""),"Handgun")</f>
        <v>Handgun</v>
      </c>
      <c r="C107" s="5"/>
      <c r="D107" s="5"/>
    </row>
    <row r="108" spans="1:4" ht="13">
      <c r="A108" s="5" t="str">
        <f ca="1">IFERROR(__xludf.DUMMYFUNCTION("""COMPUTED_VALUE"""),"20221206MDHAH")</f>
        <v>20221206MDHAH</v>
      </c>
      <c r="B108" s="5" t="str">
        <f ca="1">IFERROR(__xludf.DUMMYFUNCTION("""COMPUTED_VALUE"""),"Other")</f>
        <v>Other</v>
      </c>
      <c r="C108" s="5" t="str">
        <f ca="1">IFERROR(__xludf.DUMMYFUNCTION("""COMPUTED_VALUE"""),"BB")</f>
        <v>BB</v>
      </c>
      <c r="D108" s="5"/>
    </row>
    <row r="109" spans="1:4" ht="13">
      <c r="A109" s="5" t="str">
        <f ca="1">IFERROR(__xludf.DUMMYFUNCTION("""COMPUTED_VALUE"""),"20221205TNFRM")</f>
        <v>20221205TNFRM</v>
      </c>
      <c r="B109" s="5" t="str">
        <f ca="1">IFERROR(__xludf.DUMMYFUNCTION("""COMPUTED_VALUE"""),"Handgun")</f>
        <v>Handgun</v>
      </c>
      <c r="C109" s="5"/>
      <c r="D109" s="5"/>
    </row>
    <row r="110" spans="1:4" ht="13">
      <c r="A110" s="5" t="str">
        <f ca="1">IFERROR(__xludf.DUMMYFUNCTION("""COMPUTED_VALUE"""),"20221203WISOM")</f>
        <v>20221203WISOM</v>
      </c>
      <c r="B110" s="5" t="str">
        <f ca="1">IFERROR(__xludf.DUMMYFUNCTION("""COMPUTED_VALUE"""),"Handgun")</f>
        <v>Handgun</v>
      </c>
      <c r="C110" s="5"/>
      <c r="D110" s="5"/>
    </row>
    <row r="111" spans="1:4" ht="13">
      <c r="A111" s="5" t="str">
        <f ca="1">IFERROR(__xludf.DUMMYFUNCTION("""COMPUTED_VALUE"""),"20221202DEDEW")</f>
        <v>20221202DEDEW</v>
      </c>
      <c r="B111" s="5"/>
      <c r="C111" s="5"/>
      <c r="D111" s="5"/>
    </row>
    <row r="112" spans="1:4" ht="13">
      <c r="A112" s="5" t="str">
        <f ca="1">IFERROR(__xludf.DUMMYFUNCTION("""COMPUTED_VALUE"""),"20221121MIHED")</f>
        <v>20221121MIHED</v>
      </c>
      <c r="B112" s="5" t="str">
        <f ca="1">IFERROR(__xludf.DUMMYFUNCTION("""COMPUTED_VALUE"""),"Multiple Handguns")</f>
        <v>Multiple Handguns</v>
      </c>
      <c r="C112" s="5"/>
      <c r="D112" s="5"/>
    </row>
    <row r="113" spans="1:4" ht="13">
      <c r="A113" s="5" t="str">
        <f ca="1">IFERROR(__xludf.DUMMYFUNCTION("""COMPUTED_VALUE"""),"20221122MISTS")</f>
        <v>20221122MISTS</v>
      </c>
      <c r="B113" s="5" t="str">
        <f ca="1">IFERROR(__xludf.DUMMYFUNCTION("""COMPUTED_VALUE"""),"Rifle")</f>
        <v>Rifle</v>
      </c>
      <c r="C113" s="5"/>
      <c r="D113" s="5"/>
    </row>
    <row r="114" spans="1:4" ht="13">
      <c r="A114" s="5" t="str">
        <f ca="1">IFERROR(__xludf.DUMMYFUNCTION("""COMPUTED_VALUE"""),"20221118NYROS")</f>
        <v>20221118NYROS</v>
      </c>
      <c r="B114" s="5"/>
      <c r="C114" s="5"/>
      <c r="D114" s="5"/>
    </row>
    <row r="115" spans="1:4" ht="13">
      <c r="A115" s="5" t="str">
        <f ca="1">IFERROR(__xludf.DUMMYFUNCTION("""COMPUTED_VALUE"""),"20221118DCJAW")</f>
        <v>20221118DCJAW</v>
      </c>
      <c r="B115" s="5" t="str">
        <f ca="1">IFERROR(__xludf.DUMMYFUNCTION("""COMPUTED_VALUE"""),"Handgun")</f>
        <v>Handgun</v>
      </c>
      <c r="C115" s="5"/>
      <c r="D115" s="5"/>
    </row>
    <row r="116" spans="1:4" ht="13">
      <c r="A116" s="5" t="str">
        <f ca="1">IFERROR(__xludf.DUMMYFUNCTION("""COMPUTED_VALUE"""),"20221117INSOC")</f>
        <v>20221117INSOC</v>
      </c>
      <c r="B116" s="5" t="str">
        <f ca="1">IFERROR(__xludf.DUMMYFUNCTION("""COMPUTED_VALUE"""),"Handgun")</f>
        <v>Handgun</v>
      </c>
      <c r="C116" s="5" t="str">
        <f ca="1">IFERROR(__xludf.DUMMYFUNCTION("""COMPUTED_VALUE"""),"Service Weapon")</f>
        <v>Service Weapon</v>
      </c>
      <c r="D116" s="5"/>
    </row>
    <row r="117" spans="1:4" ht="13">
      <c r="A117" s="5" t="str">
        <f ca="1">IFERROR(__xludf.DUMMYFUNCTION("""COMPUTED_VALUE"""),"20221116ORMCM")</f>
        <v>20221116ORMCM</v>
      </c>
      <c r="B117" s="5"/>
      <c r="C117" s="5"/>
      <c r="D117" s="5"/>
    </row>
    <row r="118" spans="1:4" ht="13">
      <c r="A118" s="5" t="str">
        <f ca="1">IFERROR(__xludf.DUMMYFUNCTION("""COMPUTED_VALUE"""),"20221116NCLUL")</f>
        <v>20221116NCLUL</v>
      </c>
      <c r="B118" s="5" t="str">
        <f ca="1">IFERROR(__xludf.DUMMYFUNCTION("""COMPUTED_VALUE"""),"Handgun")</f>
        <v>Handgun</v>
      </c>
      <c r="C118" s="5"/>
      <c r="D118" s="5"/>
    </row>
    <row r="119" spans="1:4" ht="13">
      <c r="A119" s="5" t="str">
        <f ca="1">IFERROR(__xludf.DUMMYFUNCTION("""COMPUTED_VALUE"""),"20221115TNMAN")</f>
        <v>20221115TNMAN</v>
      </c>
      <c r="B119" s="5" t="str">
        <f ca="1">IFERROR(__xludf.DUMMYFUNCTION("""COMPUTED_VALUE"""),"Handgun")</f>
        <v>Handgun</v>
      </c>
      <c r="C119" s="5"/>
      <c r="D119" s="5"/>
    </row>
    <row r="120" spans="1:4" ht="13">
      <c r="A120" s="5" t="str">
        <f ca="1">IFERROR(__xludf.DUMMYFUNCTION("""COMPUTED_VALUE"""),"20221115LABAB")</f>
        <v>20221115LABAB</v>
      </c>
      <c r="B120" s="5" t="str">
        <f ca="1">IFERROR(__xludf.DUMMYFUNCTION("""COMPUTED_VALUE"""),"Multiple Handguns")</f>
        <v>Multiple Handguns</v>
      </c>
      <c r="C120" s="5"/>
      <c r="D120" s="5"/>
    </row>
    <row r="121" spans="1:4" ht="13">
      <c r="A121" s="5" t="str">
        <f ca="1">IFERROR(__xludf.DUMMYFUNCTION("""COMPUTED_VALUE"""),"20221112FLJOO")</f>
        <v>20221112FLJOO</v>
      </c>
      <c r="B121" s="5" t="str">
        <f ca="1">IFERROR(__xludf.DUMMYFUNCTION("""COMPUTED_VALUE"""),"Handgun")</f>
        <v>Handgun</v>
      </c>
      <c r="C121" s="5"/>
      <c r="D121" s="5"/>
    </row>
    <row r="122" spans="1:4" ht="13">
      <c r="A122" s="5" t="str">
        <f ca="1">IFERROR(__xludf.DUMMYFUNCTION("""COMPUTED_VALUE"""),"20221111MSRAR")</f>
        <v>20221111MSRAR</v>
      </c>
      <c r="B122" s="5" t="str">
        <f ca="1">IFERROR(__xludf.DUMMYFUNCTION("""COMPUTED_VALUE"""),"Handgun")</f>
        <v>Handgun</v>
      </c>
      <c r="C122" s="5"/>
      <c r="D122" s="5"/>
    </row>
    <row r="123" spans="1:4" ht="13">
      <c r="A123" s="5" t="str">
        <f ca="1">IFERROR(__xludf.DUMMYFUNCTION("""COMPUTED_VALUE"""),"20221109KYCAC")</f>
        <v>20221109KYCAC</v>
      </c>
      <c r="B123" s="5" t="str">
        <f ca="1">IFERROR(__xludf.DUMMYFUNCTION("""COMPUTED_VALUE"""),"Handgun")</f>
        <v>Handgun</v>
      </c>
      <c r="C123" s="5" t="str">
        <f ca="1">IFERROR(__xludf.DUMMYFUNCTION("""COMPUTED_VALUE"""),"9mm")</f>
        <v>9mm</v>
      </c>
      <c r="D123" s="5"/>
    </row>
    <row r="124" spans="1:4" ht="13">
      <c r="A124" s="5" t="str">
        <f ca="1">IFERROR(__xludf.DUMMYFUNCTION("""COMPUTED_VALUE"""),"20221106VAHUH")</f>
        <v>20221106VAHUH</v>
      </c>
      <c r="B124" s="5" t="str">
        <f ca="1">IFERROR(__xludf.DUMMYFUNCTION("""COMPUTED_VALUE"""),"Handgun")</f>
        <v>Handgun</v>
      </c>
      <c r="C124" s="5"/>
      <c r="D124" s="5"/>
    </row>
    <row r="125" spans="1:4" ht="13">
      <c r="A125" s="5" t="str">
        <f ca="1">IFERROR(__xludf.DUMMYFUNCTION("""COMPUTED_VALUE"""),"20221105TXDAF")</f>
        <v>20221105TXDAF</v>
      </c>
      <c r="B125" s="5" t="str">
        <f ca="1">IFERROR(__xludf.DUMMYFUNCTION("""COMPUTED_VALUE"""),"Handgun")</f>
        <v>Handgun</v>
      </c>
      <c r="C125" s="5" t="str">
        <f ca="1">IFERROR(__xludf.DUMMYFUNCTION("""COMPUTED_VALUE"""),"Service Weapon")</f>
        <v>Service Weapon</v>
      </c>
      <c r="D125" s="5" t="str">
        <f ca="1">IFERROR(__xludf.DUMMYFUNCTION("""COMPUTED_VALUE"""),"Live round during training")</f>
        <v>Live round during training</v>
      </c>
    </row>
    <row r="126" spans="1:4" ht="13">
      <c r="A126" s="5" t="str">
        <f ca="1">IFERROR(__xludf.DUMMYFUNCTION("""COMPUTED_VALUE"""),"20221104KYVAL")</f>
        <v>20221104KYVAL</v>
      </c>
      <c r="B126" s="5" t="str">
        <f ca="1">IFERROR(__xludf.DUMMYFUNCTION("""COMPUTED_VALUE"""),"Handgun")</f>
        <v>Handgun</v>
      </c>
      <c r="C126" s="5"/>
      <c r="D126" s="5"/>
    </row>
    <row r="127" spans="1:4" ht="13">
      <c r="A127" s="5" t="str">
        <f ca="1">IFERROR(__xludf.DUMMYFUNCTION("""COMPUTED_VALUE"""),"20221103GASHS")</f>
        <v>20221103GASHS</v>
      </c>
      <c r="B127" s="5"/>
      <c r="C127" s="5"/>
      <c r="D127" s="5"/>
    </row>
    <row r="128" spans="1:4" ht="13">
      <c r="A128" s="5" t="str">
        <f ca="1">IFERROR(__xludf.DUMMYFUNCTION("""COMPUTED_VALUE"""),"20221102DCMCW")</f>
        <v>20221102DCMCW</v>
      </c>
      <c r="B128" s="5" t="str">
        <f ca="1">IFERROR(__xludf.DUMMYFUNCTION("""COMPUTED_VALUE"""),"Handgun")</f>
        <v>Handgun</v>
      </c>
      <c r="C128" s="5"/>
      <c r="D128" s="5"/>
    </row>
    <row r="129" spans="1:4" ht="13">
      <c r="A129" s="5" t="str">
        <f ca="1">IFERROR(__xludf.DUMMYFUNCTION("""COMPUTED_VALUE"""),"20221029TXAVA")</f>
        <v>20221029TXAVA</v>
      </c>
      <c r="B129" s="5" t="str">
        <f ca="1">IFERROR(__xludf.DUMMYFUNCTION("""COMPUTED_VALUE"""),"Handgun")</f>
        <v>Handgun</v>
      </c>
      <c r="C129" s="5"/>
      <c r="D129" s="5"/>
    </row>
    <row r="130" spans="1:4" ht="13">
      <c r="A130" s="5" t="str">
        <f ca="1">IFERROR(__xludf.DUMMYFUNCTION("""COMPUTED_VALUE"""),"20221029COCRH")</f>
        <v>20221029COCRH</v>
      </c>
      <c r="B130" s="5" t="str">
        <f ca="1">IFERROR(__xludf.DUMMYFUNCTION("""COMPUTED_VALUE"""),"Handgun")</f>
        <v>Handgun</v>
      </c>
      <c r="C130" s="5"/>
      <c r="D130" s="5"/>
    </row>
    <row r="131" spans="1:4" ht="13">
      <c r="A131" s="5" t="str">
        <f ca="1">IFERROR(__xludf.DUMMYFUNCTION("""COMPUTED_VALUE"""),"20221028TXROR")</f>
        <v>20221028TXROR</v>
      </c>
      <c r="B131" s="5" t="str">
        <f ca="1">IFERROR(__xludf.DUMMYFUNCTION("""COMPUTED_VALUE"""),"Handgun")</f>
        <v>Handgun</v>
      </c>
      <c r="C131" s="5"/>
      <c r="D131" s="5"/>
    </row>
    <row r="132" spans="1:4" ht="13">
      <c r="A132" s="5" t="str">
        <f ca="1">IFERROR(__xludf.DUMMYFUNCTION("""COMPUTED_VALUE"""),"20221028NCWAT")</f>
        <v>20221028NCWAT</v>
      </c>
      <c r="B132" s="5" t="str">
        <f ca="1">IFERROR(__xludf.DUMMYFUNCTION("""COMPUTED_VALUE"""),"Handgun")</f>
        <v>Handgun</v>
      </c>
      <c r="C132" s="5"/>
      <c r="D132" s="5"/>
    </row>
    <row r="133" spans="1:4" ht="13">
      <c r="A133" s="5" t="str">
        <f ca="1">IFERROR(__xludf.DUMMYFUNCTION("""COMPUTED_VALUE"""),"20221028ARROR")</f>
        <v>20221028ARROR</v>
      </c>
      <c r="B133" s="5" t="str">
        <f ca="1">IFERROR(__xludf.DUMMYFUNCTION("""COMPUTED_VALUE"""),"Other")</f>
        <v>Other</v>
      </c>
      <c r="C133" s="5" t="str">
        <f ca="1">IFERROR(__xludf.DUMMYFUNCTION("""COMPUTED_VALUE"""),"Pellet")</f>
        <v>Pellet</v>
      </c>
      <c r="D133" s="5" t="str">
        <f ca="1">IFERROR(__xludf.DUMMYFUNCTION("""COMPUTED_VALUE"""),"Pellet or BB gun")</f>
        <v>Pellet or BB gun</v>
      </c>
    </row>
    <row r="134" spans="1:4" ht="13">
      <c r="A134" s="5" t="str">
        <f ca="1">IFERROR(__xludf.DUMMYFUNCTION("""COMPUTED_VALUE"""),"20221026ILMIW")</f>
        <v>20221026ILMIW</v>
      </c>
      <c r="B134" s="5" t="str">
        <f ca="1">IFERROR(__xludf.DUMMYFUNCTION("""COMPUTED_VALUE"""),"Handgun")</f>
        <v>Handgun</v>
      </c>
      <c r="C134" s="5"/>
      <c r="D134" s="5"/>
    </row>
    <row r="135" spans="1:4" ht="13">
      <c r="A135" s="5" t="str">
        <f ca="1">IFERROR(__xludf.DUMMYFUNCTION("""COMPUTED_VALUE"""),"20221025PAPAP")</f>
        <v>20221025PAPAP</v>
      </c>
      <c r="B135" s="5" t="str">
        <f ca="1">IFERROR(__xludf.DUMMYFUNCTION("""COMPUTED_VALUE"""),"Handgun")</f>
        <v>Handgun</v>
      </c>
      <c r="C135" s="5"/>
      <c r="D135" s="5"/>
    </row>
    <row r="136" spans="1:4" ht="13">
      <c r="A136" s="5" t="str">
        <f ca="1">IFERROR(__xludf.DUMMYFUNCTION("""COMPUTED_VALUE"""),"20221025NYTOS")</f>
        <v>20221025NYTOS</v>
      </c>
      <c r="B136" s="5" t="str">
        <f ca="1">IFERROR(__xludf.DUMMYFUNCTION("""COMPUTED_VALUE"""),"Handgun")</f>
        <v>Handgun</v>
      </c>
      <c r="C136" s="5"/>
      <c r="D136" s="5"/>
    </row>
    <row r="137" spans="1:4" ht="13">
      <c r="A137" s="5" t="str">
        <f ca="1">IFERROR(__xludf.DUMMYFUNCTION("""COMPUTED_VALUE"""),"20221024MOCES")</f>
        <v>20221024MOCES</v>
      </c>
      <c r="B137" s="5" t="str">
        <f ca="1">IFERROR(__xludf.DUMMYFUNCTION("""COMPUTED_VALUE"""),"Rifle")</f>
        <v>Rifle</v>
      </c>
      <c r="C137" s="5" t="str">
        <f ca="1">IFERROR(__xludf.DUMMYFUNCTION("""COMPUTED_VALUE"""),".223 caliber")</f>
        <v>.223 caliber</v>
      </c>
      <c r="D137" s="5" t="str">
        <f ca="1">IFERROR(__xludf.DUMMYFUNCTION("""COMPUTED_VALUE"""),"AR-style rifle, 600 rounds of ammo")</f>
        <v>AR-style rifle, 600 rounds of ammo</v>
      </c>
    </row>
    <row r="138" spans="1:4" ht="13">
      <c r="A138" s="5" t="str">
        <f ca="1">IFERROR(__xludf.DUMMYFUNCTION("""COMPUTED_VALUE"""),"20221022OHDUC")</f>
        <v>20221022OHDUC</v>
      </c>
      <c r="B138" s="5"/>
      <c r="C138" s="5"/>
      <c r="D138" s="5"/>
    </row>
    <row r="139" spans="1:4" ht="13">
      <c r="A139" s="5" t="str">
        <f ca="1">IFERROR(__xludf.DUMMYFUNCTION("""COMPUTED_VALUE"""),"20221022ILCHC")</f>
        <v>20221022ILCHC</v>
      </c>
      <c r="B139" s="5"/>
      <c r="C139" s="5"/>
      <c r="D139" s="5"/>
    </row>
    <row r="140" spans="1:4" ht="13">
      <c r="A140" s="5" t="str">
        <f ca="1">IFERROR(__xludf.DUMMYFUNCTION("""COMPUTED_VALUE"""),"20221021OHSHS")</f>
        <v>20221021OHSHS</v>
      </c>
      <c r="B140" s="5" t="str">
        <f ca="1">IFERROR(__xludf.DUMMYFUNCTION("""COMPUTED_VALUE"""),"Handgun")</f>
        <v>Handgun</v>
      </c>
      <c r="C140" s="5" t="str">
        <f ca="1">IFERROR(__xludf.DUMMYFUNCTION("""COMPUTED_VALUE"""),"Service Weapon")</f>
        <v>Service Weapon</v>
      </c>
      <c r="D140" s="5"/>
    </row>
    <row r="141" spans="1:4" ht="13">
      <c r="A141" s="5" t="str">
        <f ca="1">IFERROR(__xludf.DUMMYFUNCTION("""COMPUTED_VALUE"""),"20221021CAGRS")</f>
        <v>20221021CAGRS</v>
      </c>
      <c r="B141" s="5" t="str">
        <f ca="1">IFERROR(__xludf.DUMMYFUNCTION("""COMPUTED_VALUE"""),"Handgun")</f>
        <v>Handgun</v>
      </c>
      <c r="C141" s="5"/>
      <c r="D141" s="5"/>
    </row>
    <row r="142" spans="1:4" ht="13">
      <c r="A142" s="5" t="str">
        <f ca="1">IFERROR(__xludf.DUMMYFUNCTION("""COMPUTED_VALUE"""),"20221020COCAD")</f>
        <v>20221020COCAD</v>
      </c>
      <c r="B142" s="5" t="str">
        <f ca="1">IFERROR(__xludf.DUMMYFUNCTION("""COMPUTED_VALUE"""),"Other")</f>
        <v>Other</v>
      </c>
      <c r="C142" s="5" t="str">
        <f ca="1">IFERROR(__xludf.DUMMYFUNCTION("""COMPUTED_VALUE"""),"BB")</f>
        <v>BB</v>
      </c>
      <c r="D142" s="5"/>
    </row>
    <row r="143" spans="1:4" ht="13">
      <c r="A143" s="5" t="str">
        <f ca="1">IFERROR(__xludf.DUMMYFUNCTION("""COMPUTED_VALUE"""),"20221020PAPAP")</f>
        <v>20221020PAPAP</v>
      </c>
      <c r="B143" s="5" t="str">
        <f ca="1">IFERROR(__xludf.DUMMYFUNCTION("""COMPUTED_VALUE"""),"Handgun")</f>
        <v>Handgun</v>
      </c>
      <c r="C143" s="5"/>
      <c r="D143" s="5"/>
    </row>
    <row r="144" spans="1:4" ht="13">
      <c r="A144" s="5" t="str">
        <f ca="1">IFERROR(__xludf.DUMMYFUNCTION("""COMPUTED_VALUE"""),"20221019TNROR")</f>
        <v>20221019TNROR</v>
      </c>
      <c r="B144" s="5"/>
      <c r="C144" s="5"/>
      <c r="D144" s="5"/>
    </row>
    <row r="145" spans="1:4" ht="13">
      <c r="A145" s="5" t="str">
        <f ca="1">IFERROR(__xludf.DUMMYFUNCTION("""COMPUTED_VALUE"""),"20221018NVSUL")</f>
        <v>20221018NVSUL</v>
      </c>
      <c r="B145" s="5"/>
      <c r="C145" s="5"/>
      <c r="D145" s="5"/>
    </row>
    <row r="146" spans="1:4" ht="13">
      <c r="A146" s="5" t="str">
        <f ca="1">IFERROR(__xludf.DUMMYFUNCTION("""COMPUTED_VALUE"""),"20221018ORJEP")</f>
        <v>20221018ORJEP</v>
      </c>
      <c r="B146" s="5"/>
      <c r="C146" s="5"/>
      <c r="D146" s="5"/>
    </row>
    <row r="147" spans="1:4" ht="13">
      <c r="A147" s="5" t="str">
        <f ca="1">IFERROR(__xludf.DUMMYFUNCTION("""COMPUTED_VALUE"""),"20221017CAWIS")</f>
        <v>20221017CAWIS</v>
      </c>
      <c r="B147" s="5" t="str">
        <f ca="1">IFERROR(__xludf.DUMMYFUNCTION("""COMPUTED_VALUE"""),"Other")</f>
        <v>Other</v>
      </c>
      <c r="C147" s="5" t="str">
        <f ca="1">IFERROR(__xludf.DUMMYFUNCTION("""COMPUTED_VALUE"""),"Pellet")</f>
        <v>Pellet</v>
      </c>
      <c r="D147" s="5" t="str">
        <f ca="1">IFERROR(__xludf.DUMMYFUNCTION("""COMPUTED_VALUE"""),"Paintball gun")</f>
        <v>Paintball gun</v>
      </c>
    </row>
    <row r="148" spans="1:4" ht="13">
      <c r="A148" s="5" t="str">
        <f ca="1">IFERROR(__xludf.DUMMYFUNCTION("""COMPUTED_VALUE"""),"20221017FLORT")</f>
        <v>20221017FLORT</v>
      </c>
      <c r="B148" s="5" t="str">
        <f ca="1">IFERROR(__xludf.DUMMYFUNCTION("""COMPUTED_VALUE"""),"Handgun")</f>
        <v>Handgun</v>
      </c>
      <c r="C148" s="5"/>
      <c r="D148" s="5"/>
    </row>
    <row r="149" spans="1:4" ht="13">
      <c r="A149" s="5" t="str">
        <f ca="1">IFERROR(__xludf.DUMMYFUNCTION("""COMPUTED_VALUE"""),"20221016VAFAR")</f>
        <v>20221016VAFAR</v>
      </c>
      <c r="B149" s="5"/>
      <c r="C149" s="5"/>
      <c r="D149" s="5"/>
    </row>
    <row r="150" spans="1:4" ht="13">
      <c r="A150" s="5" t="str">
        <f ca="1">IFERROR(__xludf.DUMMYFUNCTION("""COMPUTED_VALUE"""),"20221014LAJHA")</f>
        <v>20221014LAJHA</v>
      </c>
      <c r="B150" s="5" t="str">
        <f ca="1">IFERROR(__xludf.DUMMYFUNCTION("""COMPUTED_VALUE"""),"Handgun")</f>
        <v>Handgun</v>
      </c>
      <c r="C150" s="5"/>
      <c r="D150" s="5"/>
    </row>
    <row r="151" spans="1:4" ht="13">
      <c r="A151" s="5" t="str">
        <f ca="1">IFERROR(__xludf.DUMMYFUNCTION("""COMPUTED_VALUE"""),"20220908LAJHA")</f>
        <v>20220908LAJHA</v>
      </c>
      <c r="B151" s="5" t="str">
        <f ca="1">IFERROR(__xludf.DUMMYFUNCTION("""COMPUTED_VALUE"""),"Handgun")</f>
        <v>Handgun</v>
      </c>
      <c r="C151" s="5"/>
      <c r="D151" s="5"/>
    </row>
    <row r="152" spans="1:4" ht="13">
      <c r="A152" s="5" t="str">
        <f ca="1">IFERROR(__xludf.DUMMYFUNCTION("""COMPUTED_VALUE"""),"20221014NCJAG")</f>
        <v>20221014NCJAG</v>
      </c>
      <c r="B152" s="5" t="str">
        <f ca="1">IFERROR(__xludf.DUMMYFUNCTION("""COMPUTED_VALUE"""),"Rifle")</f>
        <v>Rifle</v>
      </c>
      <c r="C152" s="5"/>
      <c r="D152" s="5" t="str">
        <f ca="1">IFERROR(__xludf.DUMMYFUNCTION("""COMPUTED_VALUE"""),"AR-15")</f>
        <v>AR-15</v>
      </c>
    </row>
    <row r="153" spans="1:4" ht="13">
      <c r="A153" s="5" t="str">
        <f ca="1">IFERROR(__xludf.DUMMYFUNCTION("""COMPUTED_VALUE"""),"20221014NCJAG")</f>
        <v>20221014NCJAG</v>
      </c>
      <c r="B153" s="5" t="str">
        <f ca="1">IFERROR(__xludf.DUMMYFUNCTION("""COMPUTED_VALUE"""),"Handgun")</f>
        <v>Handgun</v>
      </c>
      <c r="C153" s="5"/>
      <c r="D153" s="5"/>
    </row>
    <row r="154" spans="1:4" ht="13">
      <c r="A154" s="5" t="str">
        <f ca="1">IFERROR(__xludf.DUMMYFUNCTION("""COMPUTED_VALUE"""),"20221014VAWER")</f>
        <v>20221014VAWER</v>
      </c>
      <c r="B154" s="5" t="str">
        <f ca="1">IFERROR(__xludf.DUMMYFUNCTION("""COMPUTED_VALUE"""),"Handgun")</f>
        <v>Handgun</v>
      </c>
      <c r="C154" s="5"/>
      <c r="D154" s="5"/>
    </row>
    <row r="155" spans="1:4" ht="13">
      <c r="A155" s="5" t="str">
        <f ca="1">IFERROR(__xludf.DUMMYFUNCTION("""COMPUTED_VALUE"""),"20221014LABOB")</f>
        <v>20221014LABOB</v>
      </c>
      <c r="B155" s="5" t="str">
        <f ca="1">IFERROR(__xludf.DUMMYFUNCTION("""COMPUTED_VALUE"""),"Handgun")</f>
        <v>Handgun</v>
      </c>
      <c r="C155" s="5"/>
      <c r="D155" s="5"/>
    </row>
    <row r="156" spans="1:4" ht="13">
      <c r="A156" s="5" t="str">
        <f ca="1">IFERROR(__xludf.DUMMYFUNCTION("""COMPUTED_VALUE"""),"20221014TNRIM")</f>
        <v>20221014TNRIM</v>
      </c>
      <c r="B156" s="5" t="str">
        <f ca="1">IFERROR(__xludf.DUMMYFUNCTION("""COMPUTED_VALUE"""),"Handgun")</f>
        <v>Handgun</v>
      </c>
      <c r="C156" s="5"/>
      <c r="D156" s="5"/>
    </row>
    <row r="157" spans="1:4" ht="13">
      <c r="A157" s="5" t="str">
        <f ca="1">IFERROR(__xludf.DUMMYFUNCTION("""COMPUTED_VALUE"""),"20221013NYSCB")</f>
        <v>20221013NYSCB</v>
      </c>
      <c r="B157" s="5" t="str">
        <f ca="1">IFERROR(__xludf.DUMMYFUNCTION("""COMPUTED_VALUE"""),"Multiple Handguns")</f>
        <v>Multiple Handguns</v>
      </c>
      <c r="C157" s="5"/>
      <c r="D157" s="5"/>
    </row>
    <row r="158" spans="1:4" ht="13">
      <c r="A158" s="5" t="str">
        <f ca="1">IFERROR(__xludf.DUMMYFUNCTION("""COMPUTED_VALUE"""),"20221013TXJOD")</f>
        <v>20221013TXJOD</v>
      </c>
      <c r="B158" s="5" t="str">
        <f ca="1">IFERROR(__xludf.DUMMYFUNCTION("""COMPUTED_VALUE"""),"Handgun")</f>
        <v>Handgun</v>
      </c>
      <c r="C158" s="5"/>
      <c r="D158" s="5"/>
    </row>
    <row r="159" spans="1:4" ht="13">
      <c r="A159" s="5" t="str">
        <f ca="1">IFERROR(__xludf.DUMMYFUNCTION("""COMPUTED_VALUE"""),"20221012NCCAC")</f>
        <v>20221012NCCAC</v>
      </c>
      <c r="B159" s="5" t="str">
        <f ca="1">IFERROR(__xludf.DUMMYFUNCTION("""COMPUTED_VALUE"""),"Handgun")</f>
        <v>Handgun</v>
      </c>
      <c r="C159" s="5"/>
      <c r="D159" s="5"/>
    </row>
    <row r="160" spans="1:4" ht="13">
      <c r="A160" s="5" t="str">
        <f ca="1">IFERROR(__xludf.DUMMYFUNCTION("""COMPUTED_VALUE"""),"20221011ORREP")</f>
        <v>20221011ORREP</v>
      </c>
      <c r="B160" s="5" t="str">
        <f ca="1">IFERROR(__xludf.DUMMYFUNCTION("""COMPUTED_VALUE"""),"Handgun")</f>
        <v>Handgun</v>
      </c>
      <c r="C160" s="5"/>
      <c r="D160" s="5"/>
    </row>
    <row r="161" spans="1:4" ht="13">
      <c r="A161" s="5" t="str">
        <f ca="1">IFERROR(__xludf.DUMMYFUNCTION("""COMPUTED_VALUE"""),"20221011KSSAS")</f>
        <v>20221011KSSAS</v>
      </c>
      <c r="B161" s="5" t="str">
        <f ca="1">IFERROR(__xludf.DUMMYFUNCTION("""COMPUTED_VALUE"""),"Handgun")</f>
        <v>Handgun</v>
      </c>
      <c r="C161" s="5"/>
      <c r="D161" s="5"/>
    </row>
    <row r="162" spans="1:4" ht="13">
      <c r="A162" s="5" t="str">
        <f ca="1">IFERROR(__xludf.DUMMYFUNCTION("""COMPUTED_VALUE"""),"20221010WIJAM")</f>
        <v>20221010WIJAM</v>
      </c>
      <c r="B162" s="5" t="str">
        <f ca="1">IFERROR(__xludf.DUMMYFUNCTION("""COMPUTED_VALUE"""),"Handgun")</f>
        <v>Handgun</v>
      </c>
      <c r="C162" s="5"/>
      <c r="D162" s="5"/>
    </row>
    <row r="163" spans="1:4" ht="13">
      <c r="A163" s="5" t="str">
        <f ca="1">IFERROR(__xludf.DUMMYFUNCTION("""COMPUTED_VALUE"""),"20221009MAWAA")</f>
        <v>20221009MAWAA</v>
      </c>
      <c r="B163" s="5" t="str">
        <f ca="1">IFERROR(__xludf.DUMMYFUNCTION("""COMPUTED_VALUE"""),"Handgun")</f>
        <v>Handgun</v>
      </c>
      <c r="C163" s="5"/>
      <c r="D163" s="5"/>
    </row>
    <row r="164" spans="1:4" ht="13">
      <c r="A164" s="5" t="str">
        <f ca="1">IFERROR(__xludf.DUMMYFUNCTION("""COMPUTED_VALUE"""),"20221008MOJCK")</f>
        <v>20221008MOJCK</v>
      </c>
      <c r="B164" s="5" t="str">
        <f ca="1">IFERROR(__xludf.DUMMYFUNCTION("""COMPUTED_VALUE"""),"Handgun")</f>
        <v>Handgun</v>
      </c>
      <c r="C164" s="5"/>
      <c r="D164" s="5"/>
    </row>
    <row r="165" spans="1:4" ht="13">
      <c r="A165" s="5" t="str">
        <f ca="1">IFERROR(__xludf.DUMMYFUNCTION("""COMPUTED_VALUE"""),"20221007MIBAB")</f>
        <v>20221007MIBAB</v>
      </c>
      <c r="B165" s="5" t="str">
        <f ca="1">IFERROR(__xludf.DUMMYFUNCTION("""COMPUTED_VALUE"""),"Handgun")</f>
        <v>Handgun</v>
      </c>
      <c r="C165" s="5"/>
      <c r="D165" s="5"/>
    </row>
    <row r="166" spans="1:4" ht="13">
      <c r="A166" s="5" t="str">
        <f ca="1">IFERROR(__xludf.DUMMYFUNCTION("""COMPUTED_VALUE"""),"20221007NCJHG")</f>
        <v>20221007NCJHG</v>
      </c>
      <c r="B166" s="5" t="str">
        <f ca="1">IFERROR(__xludf.DUMMYFUNCTION("""COMPUTED_VALUE"""),"Handgun")</f>
        <v>Handgun</v>
      </c>
      <c r="C166" s="5"/>
      <c r="D166" s="5"/>
    </row>
    <row r="167" spans="1:4" ht="13">
      <c r="A167" s="5" t="str">
        <f ca="1">IFERROR(__xludf.DUMMYFUNCTION("""COMPUTED_VALUE"""),"20221007AZCAP")</f>
        <v>20221007AZCAP</v>
      </c>
      <c r="B167" s="5" t="str">
        <f ca="1">IFERROR(__xludf.DUMMYFUNCTION("""COMPUTED_VALUE"""),"Handgun")</f>
        <v>Handgun</v>
      </c>
      <c r="C167" s="5"/>
      <c r="D167" s="5"/>
    </row>
    <row r="168" spans="1:4" ht="13">
      <c r="A168" s="5" t="str">
        <f ca="1">IFERROR(__xludf.DUMMYFUNCTION("""COMPUTED_VALUE"""),"20221007OHWHT")</f>
        <v>20221007OHWHT</v>
      </c>
      <c r="B168" s="5" t="str">
        <f ca="1">IFERROR(__xludf.DUMMYFUNCTION("""COMPUTED_VALUE"""),"Handgun")</f>
        <v>Handgun</v>
      </c>
      <c r="C168" s="5"/>
      <c r="D168" s="5"/>
    </row>
    <row r="169" spans="1:4" ht="13">
      <c r="A169" s="5" t="str">
        <f ca="1">IFERROR(__xludf.DUMMYFUNCTION("""COMPUTED_VALUE"""),"20221006OHMAC")</f>
        <v>20221006OHMAC</v>
      </c>
      <c r="B169" s="5" t="str">
        <f ca="1">IFERROR(__xludf.DUMMYFUNCTION("""COMPUTED_VALUE"""),"Handgun")</f>
        <v>Handgun</v>
      </c>
      <c r="C169" s="5"/>
      <c r="D169" s="5"/>
    </row>
    <row r="170" spans="1:4" ht="13">
      <c r="A170" s="5" t="str">
        <f ca="1">IFERROR(__xludf.DUMMYFUNCTION("""COMPUTED_VALUE"""),"20221004MAJB")</f>
        <v>20221004MAJB</v>
      </c>
      <c r="B170" s="5" t="str">
        <f ca="1">IFERROR(__xludf.DUMMYFUNCTION("""COMPUTED_VALUE"""),"Handgun")</f>
        <v>Handgun</v>
      </c>
      <c r="C170" s="5"/>
      <c r="D170" s="5"/>
    </row>
    <row r="171" spans="1:4" ht="13">
      <c r="A171" s="5" t="str">
        <f ca="1">IFERROR(__xludf.DUMMYFUNCTION("""COMPUTED_VALUE"""),"20221004NCPIS")</f>
        <v>20221004NCPIS</v>
      </c>
      <c r="B171" s="5"/>
      <c r="C171" s="5"/>
      <c r="D171" s="5"/>
    </row>
    <row r="172" spans="1:4" ht="13">
      <c r="A172" s="5" t="str">
        <f ca="1">IFERROR(__xludf.DUMMYFUNCTION("""COMPUTED_VALUE"""),"20221003MIOXO")</f>
        <v>20221003MIOXO</v>
      </c>
      <c r="B172" s="5" t="str">
        <f ca="1">IFERROR(__xludf.DUMMYFUNCTION("""COMPUTED_VALUE"""),"Handgun")</f>
        <v>Handgun</v>
      </c>
      <c r="C172" s="5"/>
      <c r="D172" s="5"/>
    </row>
    <row r="173" spans="1:4" ht="13">
      <c r="A173" s="5" t="str">
        <f ca="1">IFERROR(__xludf.DUMMYFUNCTION("""COMPUTED_VALUE"""),"20221001CACOO")</f>
        <v>20221001CACOO</v>
      </c>
      <c r="B173" s="5" t="str">
        <f ca="1">IFERROR(__xludf.DUMMYFUNCTION("""COMPUTED_VALUE"""),"Handgun")</f>
        <v>Handgun</v>
      </c>
      <c r="C173" s="5"/>
      <c r="D173" s="5"/>
    </row>
    <row r="174" spans="1:4" ht="13">
      <c r="A174" s="5" t="str">
        <f ca="1">IFERROR(__xludf.DUMMYFUNCTION("""COMPUTED_VALUE"""),"20220930OKMCT")</f>
        <v>20220930OKMCT</v>
      </c>
      <c r="B174" s="5" t="str">
        <f ca="1">IFERROR(__xludf.DUMMYFUNCTION("""COMPUTED_VALUE"""),"Handgun")</f>
        <v>Handgun</v>
      </c>
      <c r="C174" s="5"/>
      <c r="D174" s="5"/>
    </row>
    <row r="175" spans="1:4" ht="13">
      <c r="A175" s="5" t="str">
        <f ca="1">IFERROR(__xludf.DUMMYFUNCTION("""COMPUTED_VALUE"""),"20220930NYNEN")</f>
        <v>20220930NYNEN</v>
      </c>
      <c r="B175" s="5" t="str">
        <f ca="1">IFERROR(__xludf.DUMMYFUNCTION("""COMPUTED_VALUE"""),"Handgun")</f>
        <v>Handgun</v>
      </c>
      <c r="C175" s="5"/>
      <c r="D175" s="5"/>
    </row>
    <row r="176" spans="1:4" ht="13">
      <c r="A176" s="5" t="str">
        <f ca="1">IFERROR(__xludf.DUMMYFUNCTION("""COMPUTED_VALUE"""),"20220928LASEB")</f>
        <v>20220928LASEB</v>
      </c>
      <c r="B176" s="5" t="str">
        <f ca="1">IFERROR(__xludf.DUMMYFUNCTION("""COMPUTED_VALUE"""),"Handgun")</f>
        <v>Handgun</v>
      </c>
      <c r="C176" s="5"/>
      <c r="D176" s="5"/>
    </row>
    <row r="177" spans="1:4" ht="13">
      <c r="A177" s="5" t="str">
        <f ca="1">IFERROR(__xludf.DUMMYFUNCTION("""COMPUTED_VALUE"""),"20220928CARUO")</f>
        <v>20220928CARUO</v>
      </c>
      <c r="B177" s="5" t="str">
        <f ca="1">IFERROR(__xludf.DUMMYFUNCTION("""COMPUTED_VALUE"""),"Handgun")</f>
        <v>Handgun</v>
      </c>
      <c r="C177" s="5"/>
      <c r="D177" s="5"/>
    </row>
    <row r="178" spans="1:4" ht="13">
      <c r="A178" s="5" t="str">
        <f ca="1">IFERROR(__xludf.DUMMYFUNCTION("""COMPUTED_VALUE"""),"20220927PAROP")</f>
        <v>20220927PAROP</v>
      </c>
      <c r="B178" s="5" t="str">
        <f ca="1">IFERROR(__xludf.DUMMYFUNCTION("""COMPUTED_VALUE"""),"Multiple Unknown")</f>
        <v>Multiple Unknown</v>
      </c>
      <c r="C178" s="5"/>
      <c r="D178" s="5"/>
    </row>
    <row r="179" spans="1:4" ht="13">
      <c r="A179" s="5" t="str">
        <f ca="1">IFERROR(__xludf.DUMMYFUNCTION("""COMPUTED_VALUE"""),"20220927TXHGD")</f>
        <v>20220927TXHGD</v>
      </c>
      <c r="B179" s="5"/>
      <c r="C179" s="5"/>
      <c r="D179" s="5"/>
    </row>
    <row r="180" spans="1:4" ht="13">
      <c r="A180" s="5" t="str">
        <f ca="1">IFERROR(__xludf.DUMMYFUNCTION("""COMPUTED_VALUE"""),"20220926GAVAV")</f>
        <v>20220926GAVAV</v>
      </c>
      <c r="B180" s="5" t="str">
        <f ca="1">IFERROR(__xludf.DUMMYFUNCTION("""COMPUTED_VALUE"""),"Handgun")</f>
        <v>Handgun</v>
      </c>
      <c r="C180" s="5"/>
      <c r="D180" s="5"/>
    </row>
    <row r="181" spans="1:4" ht="13">
      <c r="A181" s="5" t="str">
        <f ca="1">IFERROR(__xludf.DUMMYFUNCTION("""COMPUTED_VALUE"""),"20220923CANOC")</f>
        <v>20220923CANOC</v>
      </c>
      <c r="B181" s="5" t="str">
        <f ca="1">IFERROR(__xludf.DUMMYFUNCTION("""COMPUTED_VALUE"""),"Handgun")</f>
        <v>Handgun</v>
      </c>
      <c r="C181" s="5"/>
      <c r="D181" s="5"/>
    </row>
    <row r="182" spans="1:4" ht="13">
      <c r="A182" s="5" t="str">
        <f ca="1">IFERROR(__xludf.DUMMYFUNCTION("""COMPUTED_VALUE"""),"20220923WIROM")</f>
        <v>20220923WIROM</v>
      </c>
      <c r="B182" s="5" t="str">
        <f ca="1">IFERROR(__xludf.DUMMYFUNCTION("""COMPUTED_VALUE"""),"Handgun")</f>
        <v>Handgun</v>
      </c>
      <c r="C182" s="5"/>
      <c r="D182" s="5"/>
    </row>
    <row r="183" spans="1:4" ht="13">
      <c r="A183" s="5" t="str">
        <f ca="1">IFERROR(__xludf.DUMMYFUNCTION("""COMPUTED_VALUE"""),"20220923PAWEP")</f>
        <v>20220923PAWEP</v>
      </c>
      <c r="B183" s="5" t="str">
        <f ca="1">IFERROR(__xludf.DUMMYFUNCTION("""COMPUTED_VALUE"""),"Handgun")</f>
        <v>Handgun</v>
      </c>
      <c r="C183" s="5"/>
      <c r="D183" s="5"/>
    </row>
    <row r="184" spans="1:4" ht="13">
      <c r="A184" s="5" t="str">
        <f ca="1">IFERROR(__xludf.DUMMYFUNCTION("""COMPUTED_VALUE"""),"20220923DEAPM")</f>
        <v>20220923DEAPM</v>
      </c>
      <c r="B184" s="5" t="str">
        <f ca="1">IFERROR(__xludf.DUMMYFUNCTION("""COMPUTED_VALUE"""),"Handgun")</f>
        <v>Handgun</v>
      </c>
      <c r="C184" s="5"/>
      <c r="D184" s="5"/>
    </row>
    <row r="185" spans="1:4" ht="13">
      <c r="A185" s="5" t="str">
        <f ca="1">IFERROR(__xludf.DUMMYFUNCTION("""COMPUTED_VALUE"""),"20220923MNRIM")</f>
        <v>20220923MNRIM</v>
      </c>
      <c r="B185" s="5" t="str">
        <f ca="1">IFERROR(__xludf.DUMMYFUNCTION("""COMPUTED_VALUE"""),"Handgun")</f>
        <v>Handgun</v>
      </c>
      <c r="C185" s="5"/>
      <c r="D185" s="5"/>
    </row>
    <row r="186" spans="1:4" ht="13">
      <c r="A186" s="5" t="str">
        <f ca="1">IFERROR(__xludf.DUMMYFUNCTION("""COMPUTED_VALUE"""),"20220922AZMOP")</f>
        <v>20220922AZMOP</v>
      </c>
      <c r="B186" s="5" t="str">
        <f ca="1">IFERROR(__xludf.DUMMYFUNCTION("""COMPUTED_VALUE"""),"Handgun")</f>
        <v>Handgun</v>
      </c>
      <c r="C186" s="5"/>
      <c r="D186" s="5"/>
    </row>
    <row r="187" spans="1:4" ht="13">
      <c r="A187" s="5" t="str">
        <f ca="1">IFERROR(__xludf.DUMMYFUNCTION("""COMPUTED_VALUE"""),"20220921INJAS")</f>
        <v>20220921INJAS</v>
      </c>
      <c r="B187" s="5" t="str">
        <f ca="1">IFERROR(__xludf.DUMMYFUNCTION("""COMPUTED_VALUE"""),"Handgun")</f>
        <v>Handgun</v>
      </c>
      <c r="C187" s="5"/>
      <c r="D187" s="5" t="str">
        <f ca="1">IFERROR(__xludf.DUMMYFUNCTION("""COMPUTED_VALUE"""),"Serial number removed")</f>
        <v>Serial number removed</v>
      </c>
    </row>
    <row r="188" spans="1:4" ht="13">
      <c r="A188" s="5" t="str">
        <f ca="1">IFERROR(__xludf.DUMMYFUNCTION("""COMPUTED_VALUE"""),"20220920NYINB")</f>
        <v>20220920NYINB</v>
      </c>
      <c r="B188" s="5" t="str">
        <f ca="1">IFERROR(__xludf.DUMMYFUNCTION("""COMPUTED_VALUE"""),"Handgun")</f>
        <v>Handgun</v>
      </c>
      <c r="C188" s="5"/>
      <c r="D188" s="5"/>
    </row>
    <row r="189" spans="1:4" ht="13">
      <c r="A189" s="5" t="str">
        <f ca="1">IFERROR(__xludf.DUMMYFUNCTION("""COMPUTED_VALUE"""),"20220919FLTRS")</f>
        <v>20220919FLTRS</v>
      </c>
      <c r="B189" s="5" t="str">
        <f ca="1">IFERROR(__xludf.DUMMYFUNCTION("""COMPUTED_VALUE"""),"Handgun")</f>
        <v>Handgun</v>
      </c>
      <c r="C189" s="5" t="str">
        <f ca="1">IFERROR(__xludf.DUMMYFUNCTION("""COMPUTED_VALUE"""),"Service Weapon")</f>
        <v>Service Weapon</v>
      </c>
      <c r="D189" s="5"/>
    </row>
    <row r="190" spans="1:4" ht="13">
      <c r="A190" s="5" t="str">
        <f ca="1">IFERROR(__xludf.DUMMYFUNCTION("""COMPUTED_VALUE"""),"20220919LALAN")</f>
        <v>20220919LALAN</v>
      </c>
      <c r="B190" s="5"/>
      <c r="C190" s="5"/>
      <c r="D190" s="5"/>
    </row>
    <row r="191" spans="1:4" ht="13">
      <c r="A191" s="5" t="str">
        <f ca="1">IFERROR(__xludf.DUMMYFUNCTION("""COMPUTED_VALUE"""),"20220917GAJOA")</f>
        <v>20220917GAJOA</v>
      </c>
      <c r="B191" s="5" t="str">
        <f ca="1">IFERROR(__xludf.DUMMYFUNCTION("""COMPUTED_VALUE"""),"Handgun")</f>
        <v>Handgun</v>
      </c>
      <c r="C191" s="5"/>
      <c r="D191" s="5"/>
    </row>
    <row r="192" spans="1:4" ht="13">
      <c r="A192" s="5" t="str">
        <f ca="1">IFERROR(__xludf.DUMMYFUNCTION("""COMPUTED_VALUE"""),"20220916GALAA")</f>
        <v>20220916GALAA</v>
      </c>
      <c r="B192" s="5" t="str">
        <f ca="1">IFERROR(__xludf.DUMMYFUNCTION("""COMPUTED_VALUE"""),"Multiple Handguns")</f>
        <v>Multiple Handguns</v>
      </c>
      <c r="C192" s="5"/>
      <c r="D192" s="5"/>
    </row>
    <row r="193" spans="1:4" ht="13">
      <c r="A193" s="5" t="str">
        <f ca="1">IFERROR(__xludf.DUMMYFUNCTION("""COMPUTED_VALUE"""),"20220916NYPSN")</f>
        <v>20220916NYPSN</v>
      </c>
      <c r="B193" s="5" t="str">
        <f ca="1">IFERROR(__xludf.DUMMYFUNCTION("""COMPUTED_VALUE"""),"Other")</f>
        <v>Other</v>
      </c>
      <c r="C193" s="5" t="str">
        <f ca="1">IFERROR(__xludf.DUMMYFUNCTION("""COMPUTED_VALUE"""),"Pellet")</f>
        <v>Pellet</v>
      </c>
      <c r="D193" s="5"/>
    </row>
    <row r="194" spans="1:4" ht="13">
      <c r="A194" s="5" t="str">
        <f ca="1">IFERROR(__xludf.DUMMYFUNCTION("""COMPUTED_VALUE"""),"20220914PACON")</f>
        <v>20220914PACON</v>
      </c>
      <c r="B194" s="5" t="str">
        <f ca="1">IFERROR(__xludf.DUMMYFUNCTION("""COMPUTED_VALUE"""),"Other")</f>
        <v>Other</v>
      </c>
      <c r="C194" s="5" t="str">
        <f ca="1">IFERROR(__xludf.DUMMYFUNCTION("""COMPUTED_VALUE"""),"BB")</f>
        <v>BB</v>
      </c>
      <c r="D194" s="5"/>
    </row>
    <row r="195" spans="1:4" ht="13">
      <c r="A195" s="5" t="str">
        <f ca="1">IFERROR(__xludf.DUMMYFUNCTION("""COMPUTED_VALUE"""),"20220913UTBOB")</f>
        <v>20220913UTBOB</v>
      </c>
      <c r="B195" s="5" t="str">
        <f ca="1">IFERROR(__xludf.DUMMYFUNCTION("""COMPUTED_VALUE"""),"Handgun")</f>
        <v>Handgun</v>
      </c>
      <c r="C195" s="5"/>
      <c r="D195" s="5"/>
    </row>
    <row r="196" spans="1:4" ht="13">
      <c r="A196" s="5" t="str">
        <f ca="1">IFERROR(__xludf.DUMMYFUNCTION("""COMPUTED_VALUE"""),"20220913MIJAJ")</f>
        <v>20220913MIJAJ</v>
      </c>
      <c r="B196" s="5"/>
      <c r="C196" s="5"/>
      <c r="D196" s="5"/>
    </row>
    <row r="197" spans="1:4" ht="13">
      <c r="A197" s="5" t="str">
        <f ca="1">IFERROR(__xludf.DUMMYFUNCTION("""COMPUTED_VALUE"""),"20220913MDOXO")</f>
        <v>20220913MDOXO</v>
      </c>
      <c r="B197" s="5"/>
      <c r="C197" s="5"/>
      <c r="D197" s="5"/>
    </row>
    <row r="198" spans="1:4" ht="13">
      <c r="A198" s="5" t="str">
        <f ca="1">IFERROR(__xludf.DUMMYFUNCTION("""COMPUTED_VALUE"""),"20220913CAVAV")</f>
        <v>20220913CAVAV</v>
      </c>
      <c r="B198" s="5" t="str">
        <f ca="1">IFERROR(__xludf.DUMMYFUNCTION("""COMPUTED_VALUE"""),"Handgun")</f>
        <v>Handgun</v>
      </c>
      <c r="C198" s="5"/>
      <c r="D198" s="5"/>
    </row>
    <row r="199" spans="1:4" ht="13">
      <c r="A199" s="5" t="str">
        <f ca="1">IFERROR(__xludf.DUMMYFUNCTION("""COMPUTED_VALUE"""),"20220909WIWIR")</f>
        <v>20220909WIWIR</v>
      </c>
      <c r="B199" s="5" t="str">
        <f ca="1">IFERROR(__xludf.DUMMYFUNCTION("""COMPUTED_VALUE"""),"Handgun")</f>
        <v>Handgun</v>
      </c>
      <c r="C199" s="5"/>
      <c r="D199" s="5"/>
    </row>
    <row r="200" spans="1:4" ht="13">
      <c r="A200" s="5" t="str">
        <f ca="1">IFERROR(__xludf.DUMMYFUNCTION("""COMPUTED_VALUE"""),"20220909WIMIM")</f>
        <v>20220909WIMIM</v>
      </c>
      <c r="B200" s="5"/>
      <c r="C200" s="5"/>
      <c r="D200" s="5"/>
    </row>
    <row r="201" spans="1:4" ht="13">
      <c r="A201" s="5" t="str">
        <f ca="1">IFERROR(__xludf.DUMMYFUNCTION("""COMPUTED_VALUE"""),"20220907OHBEB")</f>
        <v>20220907OHBEB</v>
      </c>
      <c r="B201" s="5"/>
      <c r="C201" s="5"/>
      <c r="D201" s="5"/>
    </row>
    <row r="202" spans="1:4" ht="13">
      <c r="A202" s="5" t="str">
        <f ca="1">IFERROR(__xludf.DUMMYFUNCTION("""COMPUTED_VALUE"""),"20220907MDCAB")</f>
        <v>20220907MDCAB</v>
      </c>
      <c r="B202" s="5" t="str">
        <f ca="1">IFERROR(__xludf.DUMMYFUNCTION("""COMPUTED_VALUE"""),"Handgun")</f>
        <v>Handgun</v>
      </c>
      <c r="C202" s="5"/>
      <c r="D202" s="5"/>
    </row>
    <row r="203" spans="1:4" ht="13">
      <c r="A203" s="5" t="str">
        <f ca="1">IFERROR(__xludf.DUMMYFUNCTION("""COMPUTED_VALUE"""),"20220907WIBAM")</f>
        <v>20220907WIBAM</v>
      </c>
      <c r="B203" s="5" t="str">
        <f ca="1">IFERROR(__xludf.DUMMYFUNCTION("""COMPUTED_VALUE"""),"Handgun")</f>
        <v>Handgun</v>
      </c>
      <c r="C203" s="5"/>
      <c r="D203" s="5" t="str">
        <f ca="1">IFERROR(__xludf.DUMMYFUNCTION("""COMPUTED_VALUE"""),"Fully auto")</f>
        <v>Fully auto</v>
      </c>
    </row>
    <row r="204" spans="1:4" ht="13">
      <c r="A204" s="5" t="str">
        <f ca="1">IFERROR(__xludf.DUMMYFUNCTION("""COMPUTED_VALUE"""),"20220907WIBAM")</f>
        <v>20220907WIBAM</v>
      </c>
      <c r="B204" s="5" t="str">
        <f ca="1">IFERROR(__xludf.DUMMYFUNCTION("""COMPUTED_VALUE"""),"Rifle")</f>
        <v>Rifle</v>
      </c>
      <c r="C204" s="5"/>
      <c r="D204" s="5" t="str">
        <f ca="1">IFERROR(__xludf.DUMMYFUNCTION("""COMPUTED_VALUE"""),"Fully auto")</f>
        <v>Fully auto</v>
      </c>
    </row>
    <row r="205" spans="1:4" ht="13">
      <c r="A205" s="5" t="str">
        <f ca="1">IFERROR(__xludf.DUMMYFUNCTION("""COMPUTED_VALUE"""),"20220906IANOS")</f>
        <v>20220906IANOS</v>
      </c>
      <c r="B205" s="5" t="str">
        <f ca="1">IFERROR(__xludf.DUMMYFUNCTION("""COMPUTED_VALUE"""),"Other")</f>
        <v>Other</v>
      </c>
      <c r="C205" s="5" t="str">
        <f ca="1">IFERROR(__xludf.DUMMYFUNCTION("""COMPUTED_VALUE"""),"Pellet")</f>
        <v>Pellet</v>
      </c>
      <c r="D205" s="5"/>
    </row>
    <row r="206" spans="1:4" ht="13">
      <c r="A206" s="5" t="str">
        <f ca="1">IFERROR(__xludf.DUMMYFUNCTION("""COMPUTED_VALUE"""),"20220904FLBOL")</f>
        <v>20220904FLBOL</v>
      </c>
      <c r="B206" s="5" t="str">
        <f ca="1">IFERROR(__xludf.DUMMYFUNCTION("""COMPUTED_VALUE"""),"Handgun")</f>
        <v>Handgun</v>
      </c>
      <c r="C206" s="5"/>
      <c r="D206" s="5"/>
    </row>
    <row r="207" spans="1:4" ht="13">
      <c r="A207" s="5" t="str">
        <f ca="1">IFERROR(__xludf.DUMMYFUNCTION("""COMPUTED_VALUE"""),"20220902INJEL")</f>
        <v>20220902INJEL</v>
      </c>
      <c r="B207" s="5" t="str">
        <f ca="1">IFERROR(__xludf.DUMMYFUNCTION("""COMPUTED_VALUE"""),"Handgun")</f>
        <v>Handgun</v>
      </c>
      <c r="C207" s="5"/>
      <c r="D207" s="5"/>
    </row>
    <row r="208" spans="1:4" ht="13">
      <c r="A208" s="5" t="str">
        <f ca="1">IFERROR(__xludf.DUMMYFUNCTION("""COMPUTED_VALUE"""),"20220902MDMEB")</f>
        <v>20220902MDMEB</v>
      </c>
      <c r="B208" s="5" t="str">
        <f ca="1">IFERROR(__xludf.DUMMYFUNCTION("""COMPUTED_VALUE"""),"Handgun")</f>
        <v>Handgun</v>
      </c>
      <c r="C208" s="5"/>
      <c r="D208" s="5"/>
    </row>
    <row r="209" spans="1:4" ht="13">
      <c r="A209" s="5" t="str">
        <f ca="1">IFERROR(__xludf.DUMMYFUNCTION("""COMPUTED_VALUE"""),"20220831DCIDW")</f>
        <v>20220831DCIDW</v>
      </c>
      <c r="B209" s="5" t="str">
        <f ca="1">IFERROR(__xludf.DUMMYFUNCTION("""COMPUTED_VALUE"""),"Handgun")</f>
        <v>Handgun</v>
      </c>
      <c r="C209" s="5"/>
      <c r="D209" s="5"/>
    </row>
    <row r="210" spans="1:4" ht="13">
      <c r="A210" s="5" t="str">
        <f ca="1">IFERROR(__xludf.DUMMYFUNCTION("""COMPUTED_VALUE"""),"20220831NMDEA")</f>
        <v>20220831NMDEA</v>
      </c>
      <c r="B210" s="5" t="str">
        <f ca="1">IFERROR(__xludf.DUMMYFUNCTION("""COMPUTED_VALUE"""),"Handgun")</f>
        <v>Handgun</v>
      </c>
      <c r="C210" s="5"/>
      <c r="D210" s="5"/>
    </row>
    <row r="211" spans="1:4" ht="13">
      <c r="A211" s="5" t="str">
        <f ca="1">IFERROR(__xludf.DUMMYFUNCTION("""COMPUTED_VALUE"""),"20220831PAFRP")</f>
        <v>20220831PAFRP</v>
      </c>
      <c r="B211" s="5" t="str">
        <f ca="1">IFERROR(__xludf.DUMMYFUNCTION("""COMPUTED_VALUE"""),"Handgun")</f>
        <v>Handgun</v>
      </c>
      <c r="C211" s="5"/>
      <c r="D211" s="5"/>
    </row>
    <row r="212" spans="1:4" ht="13">
      <c r="A212" s="5" t="str">
        <f ca="1">IFERROR(__xludf.DUMMYFUNCTION("""COMPUTED_VALUE"""),"20220831PAFRP")</f>
        <v>20220831PAFRP</v>
      </c>
      <c r="B212" s="5" t="str">
        <f ca="1">IFERROR(__xludf.DUMMYFUNCTION("""COMPUTED_VALUE"""),"Rifle")</f>
        <v>Rifle</v>
      </c>
      <c r="C212" s="5"/>
      <c r="D212" s="5" t="str">
        <f ca="1">IFERROR(__xludf.DUMMYFUNCTION("""COMPUTED_VALUE"""),"Semi auto rifle")</f>
        <v>Semi auto rifle</v>
      </c>
    </row>
    <row r="213" spans="1:4" ht="13">
      <c r="A213" s="5" t="str">
        <f ca="1">IFERROR(__xludf.DUMMYFUNCTION("""COMPUTED_VALUE"""),"20220829CAMAO")</f>
        <v>20220829CAMAO</v>
      </c>
      <c r="B213" s="5" t="str">
        <f ca="1">IFERROR(__xludf.DUMMYFUNCTION("""COMPUTED_VALUE"""),"Handgun")</f>
        <v>Handgun</v>
      </c>
      <c r="C213" s="5"/>
      <c r="D213" s="5"/>
    </row>
    <row r="214" spans="1:4" ht="13">
      <c r="A214" s="5" t="str">
        <f ca="1">IFERROR(__xludf.DUMMYFUNCTION("""COMPUTED_VALUE"""),"20220827MONOS")</f>
        <v>20220827MONOS</v>
      </c>
      <c r="B214" s="5" t="str">
        <f ca="1">IFERROR(__xludf.DUMMYFUNCTION("""COMPUTED_VALUE"""),"Handgun")</f>
        <v>Handgun</v>
      </c>
      <c r="C214" s="5"/>
      <c r="D214" s="5"/>
    </row>
    <row r="215" spans="1:4" ht="13">
      <c r="A215" s="5" t="str">
        <f ca="1">IFERROR(__xludf.DUMMYFUNCTION("""COMPUTED_VALUE"""),"20220826OHGAC")</f>
        <v>20220826OHGAC</v>
      </c>
      <c r="B215" s="5" t="str">
        <f ca="1">IFERROR(__xludf.DUMMYFUNCTION("""COMPUTED_VALUE"""),"Handgun")</f>
        <v>Handgun</v>
      </c>
      <c r="C215" s="5"/>
      <c r="D215" s="5"/>
    </row>
    <row r="216" spans="1:4" ht="13">
      <c r="A216" s="5" t="str">
        <f ca="1">IFERROR(__xludf.DUMMYFUNCTION("""COMPUTED_VALUE"""),"20220823OHINC")</f>
        <v>20220823OHINC</v>
      </c>
      <c r="B216" s="5" t="str">
        <f ca="1">IFERROR(__xludf.DUMMYFUNCTION("""COMPUTED_VALUE"""),"Other")</f>
        <v>Other</v>
      </c>
      <c r="C216" s="5" t="str">
        <f ca="1">IFERROR(__xludf.DUMMYFUNCTION("""COMPUTED_VALUE"""),"BB")</f>
        <v>BB</v>
      </c>
      <c r="D216" s="5"/>
    </row>
    <row r="217" spans="1:4" ht="13">
      <c r="A217" s="5" t="str">
        <f ca="1">IFERROR(__xludf.DUMMYFUNCTION("""COMPUTED_VALUE"""),"20220823OHART")</f>
        <v>20220823OHART</v>
      </c>
      <c r="B217" s="5" t="str">
        <f ca="1">IFERROR(__xludf.DUMMYFUNCTION("""COMPUTED_VALUE"""),"Handgun")</f>
        <v>Handgun</v>
      </c>
      <c r="C217" s="5"/>
      <c r="D217" s="5"/>
    </row>
    <row r="218" spans="1:4" ht="13">
      <c r="A218" s="5" t="str">
        <f ca="1">IFERROR(__xludf.DUMMYFUNCTION("""COMPUTED_VALUE"""),"20220819LAAKN")</f>
        <v>20220819LAAKN</v>
      </c>
      <c r="B218" s="5" t="str">
        <f ca="1">IFERROR(__xludf.DUMMYFUNCTION("""COMPUTED_VALUE"""),"Handgun")</f>
        <v>Handgun</v>
      </c>
      <c r="C218" s="5"/>
      <c r="D218" s="5"/>
    </row>
    <row r="219" spans="1:4" ht="13">
      <c r="A219" s="5" t="str">
        <f ca="1">IFERROR(__xludf.DUMMYFUNCTION("""COMPUTED_VALUE"""),"20220819OHGRG")</f>
        <v>20220819OHGRG</v>
      </c>
      <c r="B219" s="5" t="str">
        <f ca="1">IFERROR(__xludf.DUMMYFUNCTION("""COMPUTED_VALUE"""),"Handgun")</f>
        <v>Handgun</v>
      </c>
      <c r="C219" s="5" t="str">
        <f ca="1">IFERROR(__xludf.DUMMYFUNCTION("""COMPUTED_VALUE"""),"10mm")</f>
        <v>10mm</v>
      </c>
      <c r="D219" s="5" t="str">
        <f ca="1">IFERROR(__xludf.DUMMYFUNCTION("""COMPUTED_VALUE"""),"Glock modified for full auto")</f>
        <v>Glock modified for full auto</v>
      </c>
    </row>
    <row r="220" spans="1:4" ht="13">
      <c r="A220" s="5" t="str">
        <f ca="1">IFERROR(__xludf.DUMMYFUNCTION("""COMPUTED_VALUE"""),"20220819TNWEC")</f>
        <v>20220819TNWEC</v>
      </c>
      <c r="B220" s="5"/>
      <c r="C220" s="5"/>
      <c r="D220" s="5"/>
    </row>
    <row r="221" spans="1:4" ht="13">
      <c r="A221" s="5" t="str">
        <f ca="1">IFERROR(__xludf.DUMMYFUNCTION("""COMPUTED_VALUE"""),"20220818FLLER")</f>
        <v>20220818FLLER</v>
      </c>
      <c r="B221" s="5" t="str">
        <f ca="1">IFERROR(__xludf.DUMMYFUNCTION("""COMPUTED_VALUE"""),"Handgun")</f>
        <v>Handgun</v>
      </c>
      <c r="C221" s="5"/>
      <c r="D221" s="5"/>
    </row>
    <row r="222" spans="1:4" ht="13">
      <c r="A222" s="5" t="str">
        <f ca="1">IFERROR(__xludf.DUMMYFUNCTION("""COMPUTED_VALUE"""),"20220816TXPOB")</f>
        <v>20220816TXPOB</v>
      </c>
      <c r="B222" s="5" t="str">
        <f ca="1">IFERROR(__xludf.DUMMYFUNCTION("""COMPUTED_VALUE"""),"Handgun")</f>
        <v>Handgun</v>
      </c>
      <c r="C222" s="5"/>
      <c r="D222" s="5"/>
    </row>
    <row r="223" spans="1:4" ht="13">
      <c r="A223" s="5" t="str">
        <f ca="1">IFERROR(__xludf.DUMMYFUNCTION("""COMPUTED_VALUE"""),"20220815CALIS")</f>
        <v>20220815CALIS</v>
      </c>
      <c r="B223" s="5" t="str">
        <f ca="1">IFERROR(__xludf.DUMMYFUNCTION("""COMPUTED_VALUE"""),"Handgun")</f>
        <v>Handgun</v>
      </c>
      <c r="C223" s="5"/>
      <c r="D223" s="5"/>
    </row>
    <row r="224" spans="1:4" ht="13">
      <c r="A224" s="5" t="str">
        <f ca="1">IFERROR(__xludf.DUMMYFUNCTION("""COMPUTED_VALUE"""),"20220813ARMAL")</f>
        <v>20220813ARMAL</v>
      </c>
      <c r="B224" s="5"/>
      <c r="C224" s="5"/>
      <c r="D224" s="5"/>
    </row>
    <row r="225" spans="1:4" ht="13">
      <c r="A225" s="5" t="str">
        <f ca="1">IFERROR(__xludf.DUMMYFUNCTION("""COMPUTED_VALUE"""),"20220812CASIV")</f>
        <v>20220812CASIV</v>
      </c>
      <c r="B225" s="5" t="str">
        <f ca="1">IFERROR(__xludf.DUMMYFUNCTION("""COMPUTED_VALUE"""),"Handgun")</f>
        <v>Handgun</v>
      </c>
      <c r="C225" s="5"/>
      <c r="D225" s="5"/>
    </row>
    <row r="226" spans="1:4" ht="13">
      <c r="A226" s="5" t="str">
        <f ca="1">IFERROR(__xludf.DUMMYFUNCTION("""COMPUTED_VALUE"""),"20220811GAUCB")</f>
        <v>20220811GAUCB</v>
      </c>
      <c r="B226" s="5"/>
      <c r="C226" s="5"/>
      <c r="D226" s="5"/>
    </row>
    <row r="227" spans="1:4" ht="13">
      <c r="A227" s="5" t="str">
        <f ca="1">IFERROR(__xludf.DUMMYFUNCTION("""COMPUTED_VALUE"""),"20220810GAMCA")</f>
        <v>20220810GAMCA</v>
      </c>
      <c r="B227" s="5" t="str">
        <f ca="1">IFERROR(__xludf.DUMMYFUNCTION("""COMPUTED_VALUE"""),"Multiple Handguns")</f>
        <v>Multiple Handguns</v>
      </c>
      <c r="C227" s="5"/>
      <c r="D227" s="5"/>
    </row>
    <row r="228" spans="1:4" ht="13">
      <c r="A228" s="5" t="str">
        <f ca="1">IFERROR(__xludf.DUMMYFUNCTION("""COMPUTED_VALUE"""),"20220809PACHP")</f>
        <v>20220809PACHP</v>
      </c>
      <c r="B228" s="5" t="str">
        <f ca="1">IFERROR(__xludf.DUMMYFUNCTION("""COMPUTED_VALUE"""),"Handgun")</f>
        <v>Handgun</v>
      </c>
      <c r="C228" s="5"/>
      <c r="D228" s="5"/>
    </row>
    <row r="229" spans="1:4" ht="13">
      <c r="A229" s="5" t="str">
        <f ca="1">IFERROR(__xludf.DUMMYFUNCTION("""COMPUTED_VALUE"""),"20220805MATHL")</f>
        <v>20220805MATHL</v>
      </c>
      <c r="B229" s="5" t="str">
        <f ca="1">IFERROR(__xludf.DUMMYFUNCTION("""COMPUTED_VALUE"""),"Handgun")</f>
        <v>Handgun</v>
      </c>
      <c r="C229" s="5"/>
      <c r="D229" s="5"/>
    </row>
    <row r="230" spans="1:4" ht="13">
      <c r="A230" s="5" t="str">
        <f ca="1">IFERROR(__xludf.DUMMYFUNCTION("""COMPUTED_VALUE"""),"20220805GAJOJ")</f>
        <v>20220805GAJOJ</v>
      </c>
      <c r="B230" s="5" t="str">
        <f ca="1">IFERROR(__xludf.DUMMYFUNCTION("""COMPUTED_VALUE"""),"Handgun")</f>
        <v>Handgun</v>
      </c>
      <c r="C230" s="5"/>
      <c r="D230" s="5"/>
    </row>
    <row r="231" spans="1:4" ht="13">
      <c r="A231" s="5" t="str">
        <f ca="1">IFERROR(__xludf.DUMMYFUNCTION("""COMPUTED_VALUE"""),"20220803PALEP")</f>
        <v>20220803PALEP</v>
      </c>
      <c r="B231" s="5" t="str">
        <f ca="1">IFERROR(__xludf.DUMMYFUNCTION("""COMPUTED_VALUE"""),"Handgun")</f>
        <v>Handgun</v>
      </c>
      <c r="C231" s="5"/>
      <c r="D231" s="5"/>
    </row>
    <row r="232" spans="1:4" ht="13">
      <c r="A232" s="5" t="str">
        <f ca="1">IFERROR(__xludf.DUMMYFUNCTION("""COMPUTED_VALUE"""),"20220731CAOAO")</f>
        <v>20220731CAOAO</v>
      </c>
      <c r="B232" s="5" t="str">
        <f ca="1">IFERROR(__xludf.DUMMYFUNCTION("""COMPUTED_VALUE"""),"Handgun")</f>
        <v>Handgun</v>
      </c>
      <c r="C232" s="5"/>
      <c r="D232" s="5"/>
    </row>
    <row r="233" spans="1:4" ht="13">
      <c r="A233" s="5" t="str">
        <f ca="1">IFERROR(__xludf.DUMMYFUNCTION("""COMPUTED_VALUE"""),"20220730NYRHH")</f>
        <v>20220730NYRHH</v>
      </c>
      <c r="B233" s="5"/>
      <c r="C233" s="5"/>
      <c r="D233" s="5"/>
    </row>
    <row r="234" spans="1:4" ht="13">
      <c r="A234" s="5" t="str">
        <f ca="1">IFERROR(__xludf.DUMMYFUNCTION("""COMPUTED_VALUE"""),"20220729INCOS")</f>
        <v>20220729INCOS</v>
      </c>
      <c r="B234" s="5" t="str">
        <f ca="1">IFERROR(__xludf.DUMMYFUNCTION("""COMPUTED_VALUE"""),"Handgun")</f>
        <v>Handgun</v>
      </c>
      <c r="C234" s="5"/>
      <c r="D234" s="5"/>
    </row>
    <row r="235" spans="1:4" ht="13">
      <c r="A235" s="5" t="str">
        <f ca="1">IFERROR(__xludf.DUMMYFUNCTION("""COMPUTED_VALUE"""),"20220728KSMOG")</f>
        <v>20220728KSMOG</v>
      </c>
      <c r="B235" s="5" t="str">
        <f ca="1">IFERROR(__xludf.DUMMYFUNCTION("""COMPUTED_VALUE"""),"Handgun")</f>
        <v>Handgun</v>
      </c>
      <c r="C235" s="5"/>
      <c r="D235" s="5"/>
    </row>
    <row r="236" spans="1:4" ht="13">
      <c r="A236" s="5" t="str">
        <f ca="1">IFERROR(__xludf.DUMMYFUNCTION("""COMPUTED_VALUE"""),"20220726PALAL")</f>
        <v>20220726PALAL</v>
      </c>
      <c r="B236" s="5"/>
      <c r="C236" s="5"/>
      <c r="D236" s="5"/>
    </row>
    <row r="237" spans="1:4" ht="13">
      <c r="A237" s="5" t="str">
        <f ca="1">IFERROR(__xludf.DUMMYFUNCTION("""COMPUTED_VALUE"""),"20220726TXCOC")</f>
        <v>20220726TXCOC</v>
      </c>
      <c r="B237" s="5" t="str">
        <f ca="1">IFERROR(__xludf.DUMMYFUNCTION("""COMPUTED_VALUE"""),"Handgun")</f>
        <v>Handgun</v>
      </c>
      <c r="C237" s="5"/>
      <c r="D237" s="5"/>
    </row>
    <row r="238" spans="1:4" ht="13">
      <c r="A238" s="5" t="str">
        <f ca="1">IFERROR(__xludf.DUMMYFUNCTION("""COMPUTED_VALUE"""),"20220725NYBRB")</f>
        <v>20220725NYBRB</v>
      </c>
      <c r="B238" s="5" t="str">
        <f ca="1">IFERROR(__xludf.DUMMYFUNCTION("""COMPUTED_VALUE"""),"Handgun")</f>
        <v>Handgun</v>
      </c>
      <c r="C238" s="5"/>
      <c r="D238" s="5"/>
    </row>
    <row r="239" spans="1:4" ht="13">
      <c r="A239" s="5" t="str">
        <f ca="1">IFERROR(__xludf.DUMMYFUNCTION("""COMPUTED_VALUE"""),"20220720CAJOV")</f>
        <v>20220720CAJOV</v>
      </c>
      <c r="B239" s="5" t="str">
        <f ca="1">IFERROR(__xludf.DUMMYFUNCTION("""COMPUTED_VALUE"""),"Handgun")</f>
        <v>Handgun</v>
      </c>
      <c r="C239" s="5"/>
      <c r="D239" s="5"/>
    </row>
    <row r="240" spans="1:4" ht="13">
      <c r="A240" s="5" t="str">
        <f ca="1">IFERROR(__xludf.DUMMYFUNCTION("""COMPUTED_VALUE"""),"20220716NYCLS")</f>
        <v>20220716NYCLS</v>
      </c>
      <c r="B240" s="5" t="str">
        <f ca="1">IFERROR(__xludf.DUMMYFUNCTION("""COMPUTED_VALUE"""),"Handgun")</f>
        <v>Handgun</v>
      </c>
      <c r="C240" s="5"/>
      <c r="D240" s="5"/>
    </row>
    <row r="241" spans="1:4" ht="13">
      <c r="A241" s="5" t="str">
        <f ca="1">IFERROR(__xludf.DUMMYFUNCTION("""COMPUTED_VALUE"""),"20220716GAAPF")</f>
        <v>20220716GAAPF</v>
      </c>
      <c r="B241" s="5" t="str">
        <f ca="1">IFERROR(__xludf.DUMMYFUNCTION("""COMPUTED_VALUE"""),"Handgun")</f>
        <v>Handgun</v>
      </c>
      <c r="C241" s="5"/>
      <c r="D241" s="5"/>
    </row>
    <row r="242" spans="1:4" ht="13">
      <c r="A242" s="5" t="str">
        <f ca="1">IFERROR(__xludf.DUMMYFUNCTION("""COMPUTED_VALUE"""),"20220629CABUA")</f>
        <v>20220629CABUA</v>
      </c>
      <c r="B242" s="5"/>
      <c r="C242" s="5"/>
      <c r="D242" s="5"/>
    </row>
    <row r="243" spans="1:4" ht="13">
      <c r="A243" s="5" t="str">
        <f ca="1">IFERROR(__xludf.DUMMYFUNCTION("""COMPUTED_VALUE"""),"20220620ILGRC")</f>
        <v>20220620ILGRC</v>
      </c>
      <c r="B243" s="5"/>
      <c r="C243" s="5"/>
      <c r="D243" s="5"/>
    </row>
    <row r="244" spans="1:4" ht="13">
      <c r="A244" s="5" t="str">
        <f ca="1">IFERROR(__xludf.DUMMYFUNCTION("""COMPUTED_VALUE"""),"20220613WAMAE")</f>
        <v>20220613WAMAE</v>
      </c>
      <c r="B244" s="5" t="str">
        <f ca="1">IFERROR(__xludf.DUMMYFUNCTION("""COMPUTED_VALUE"""),"Handgun")</f>
        <v>Handgun</v>
      </c>
      <c r="C244" s="5"/>
      <c r="D244" s="5"/>
    </row>
    <row r="245" spans="1:4" ht="13">
      <c r="A245" s="5" t="str">
        <f ca="1">IFERROR(__xludf.DUMMYFUNCTION("""COMPUTED_VALUE"""),"20220610ALBYB")</f>
        <v>20220610ALBYB</v>
      </c>
      <c r="B245" s="5" t="str">
        <f ca="1">IFERROR(__xludf.DUMMYFUNCTION("""COMPUTED_VALUE"""),"Handgun")</f>
        <v>Handgun</v>
      </c>
      <c r="C245" s="5"/>
      <c r="D245" s="5"/>
    </row>
    <row r="246" spans="1:4" ht="13">
      <c r="A246" s="5" t="str">
        <f ca="1">IFERROR(__xludf.DUMMYFUNCTION("""COMPUTED_VALUE"""),"20220609ALWAG")</f>
        <v>20220609ALWAG</v>
      </c>
      <c r="B246" s="5" t="str">
        <f ca="1">IFERROR(__xludf.DUMMYFUNCTION("""COMPUTED_VALUE"""),"Handgun")</f>
        <v>Handgun</v>
      </c>
      <c r="C246" s="5" t="str">
        <f ca="1">IFERROR(__xludf.DUMMYFUNCTION("""COMPUTED_VALUE"""),"Service Weapon")</f>
        <v>Service Weapon</v>
      </c>
      <c r="D246" s="5"/>
    </row>
    <row r="247" spans="1:4" ht="13">
      <c r="A247" s="5" t="str">
        <f ca="1">IFERROR(__xludf.DUMMYFUNCTION("""COMPUTED_VALUE"""),"20220608ARLIL")</f>
        <v>20220608ARLIL</v>
      </c>
      <c r="B247" s="5"/>
      <c r="C247" s="5"/>
      <c r="D247" s="5"/>
    </row>
    <row r="248" spans="1:4" ht="13">
      <c r="A248" s="5" t="str">
        <f ca="1">IFERROR(__xludf.DUMMYFUNCTION("""COMPUTED_VALUE"""),"20220607MIPED")</f>
        <v>20220607MIPED</v>
      </c>
      <c r="B248" s="5" t="str">
        <f ca="1">IFERROR(__xludf.DUMMYFUNCTION("""COMPUTED_VALUE"""),"Handgun")</f>
        <v>Handgun</v>
      </c>
      <c r="C248" s="5"/>
      <c r="D248" s="5"/>
    </row>
    <row r="249" spans="1:4" ht="13">
      <c r="A249" s="5" t="str">
        <f ca="1">IFERROR(__xludf.DUMMYFUNCTION("""COMPUTED_VALUE"""),"20220605INWEG")</f>
        <v>20220605INWEG</v>
      </c>
      <c r="B249" s="5" t="str">
        <f ca="1">IFERROR(__xludf.DUMMYFUNCTION("""COMPUTED_VALUE"""),"Handgun")</f>
        <v>Handgun</v>
      </c>
      <c r="C249" s="5"/>
      <c r="D249" s="5"/>
    </row>
    <row r="250" spans="1:4" ht="13">
      <c r="A250" s="5" t="str">
        <f ca="1">IFERROR(__xludf.DUMMYFUNCTION("""COMPUTED_VALUE"""),"20220601CAULL")</f>
        <v>20220601CAULL</v>
      </c>
      <c r="B250" s="5" t="str">
        <f ca="1">IFERROR(__xludf.DUMMYFUNCTION("""COMPUTED_VALUE"""),"Handgun")</f>
        <v>Handgun</v>
      </c>
      <c r="C250" s="5"/>
      <c r="D250" s="5"/>
    </row>
    <row r="251" spans="1:4" ht="13">
      <c r="A251" s="5" t="str">
        <f ca="1">IFERROR(__xludf.DUMMYFUNCTION("""COMPUTED_VALUE"""),"20220531LAMON")</f>
        <v>20220531LAMON</v>
      </c>
      <c r="B251" s="5" t="str">
        <f ca="1">IFERROR(__xludf.DUMMYFUNCTION("""COMPUTED_VALUE"""),"Handgun")</f>
        <v>Handgun</v>
      </c>
      <c r="C251" s="5"/>
      <c r="D251" s="5"/>
    </row>
    <row r="252" spans="1:4" ht="13">
      <c r="A252" s="5" t="str">
        <f ca="1">IFERROR(__xludf.DUMMYFUNCTION("""COMPUTED_VALUE"""),"20220530CAHEL")</f>
        <v>20220530CAHEL</v>
      </c>
      <c r="B252" s="5" t="str">
        <f ca="1">IFERROR(__xludf.DUMMYFUNCTION("""COMPUTED_VALUE"""),"Handgun")</f>
        <v>Handgun</v>
      </c>
      <c r="C252" s="5"/>
      <c r="D252" s="5"/>
    </row>
    <row r="253" spans="1:4" ht="13">
      <c r="A253" s="5" t="str">
        <f ca="1">IFERROR(__xludf.DUMMYFUNCTION("""COMPUTED_VALUE"""),"20220529ILDAC")</f>
        <v>20220529ILDAC</v>
      </c>
      <c r="B253" s="5" t="str">
        <f ca="1">IFERROR(__xludf.DUMMYFUNCTION("""COMPUTED_VALUE"""),"Rifle")</f>
        <v>Rifle</v>
      </c>
      <c r="C253" s="5"/>
      <c r="D253" s="5"/>
    </row>
    <row r="254" spans="1:4" ht="13">
      <c r="A254" s="5" t="str">
        <f ca="1">IFERROR(__xludf.DUMMYFUNCTION("""COMPUTED_VALUE"""),"20220529ILDAC")</f>
        <v>20220529ILDAC</v>
      </c>
      <c r="B254" s="5" t="str">
        <f ca="1">IFERROR(__xludf.DUMMYFUNCTION("""COMPUTED_VALUE"""),"Handgun")</f>
        <v>Handgun</v>
      </c>
      <c r="C254" s="5"/>
      <c r="D254" s="5"/>
    </row>
    <row r="255" spans="1:4" ht="13">
      <c r="A255" s="5" t="str">
        <f ca="1">IFERROR(__xludf.DUMMYFUNCTION("""COMPUTED_VALUE"""),"20220526TXDUA")</f>
        <v>20220526TXDUA</v>
      </c>
      <c r="B255" s="5" t="str">
        <f ca="1">IFERROR(__xludf.DUMMYFUNCTION("""COMPUTED_VALUE"""),"Handgun")</f>
        <v>Handgun</v>
      </c>
      <c r="C255" s="5"/>
      <c r="D255" s="5"/>
    </row>
    <row r="256" spans="1:4" ht="13">
      <c r="A256" s="5" t="str">
        <f ca="1">IFERROR(__xludf.DUMMYFUNCTION("""COMPUTED_VALUE"""),"20220526SCMEG")</f>
        <v>20220526SCMEG</v>
      </c>
      <c r="B256" s="5"/>
      <c r="C256" s="5"/>
      <c r="D256" s="5"/>
    </row>
    <row r="257" spans="1:4" ht="13">
      <c r="A257" s="5" t="str">
        <f ca="1">IFERROR(__xludf.DUMMYFUNCTION("""COMPUTED_VALUE"""),"20220525ILSTC")</f>
        <v>20220525ILSTC</v>
      </c>
      <c r="B257" s="5"/>
      <c r="C257" s="5"/>
      <c r="D257" s="5"/>
    </row>
    <row r="258" spans="1:4" ht="13">
      <c r="A258" s="5" t="str">
        <f ca="1">IFERROR(__xludf.DUMMYFUNCTION("""COMPUTED_VALUE"""),"20220524WIRIM")</f>
        <v>20220524WIRIM</v>
      </c>
      <c r="B258" s="5" t="str">
        <f ca="1">IFERROR(__xludf.DUMMYFUNCTION("""COMPUTED_VALUE"""),"Handgun")</f>
        <v>Handgun</v>
      </c>
      <c r="C258" s="5"/>
      <c r="D258" s="5"/>
    </row>
    <row r="259" spans="1:4" ht="13">
      <c r="A259" s="5" t="str">
        <f ca="1">IFERROR(__xludf.DUMMYFUNCTION("""COMPUTED_VALUE"""),"20220524TXROU")</f>
        <v>20220524TXROU</v>
      </c>
      <c r="B259" s="5" t="str">
        <f ca="1">IFERROR(__xludf.DUMMYFUNCTION("""COMPUTED_VALUE"""),"Multiple Rifles")</f>
        <v>Multiple Rifles</v>
      </c>
      <c r="C259" s="5"/>
      <c r="D259" s="5"/>
    </row>
    <row r="260" spans="1:4" ht="13">
      <c r="A260" s="5" t="str">
        <f ca="1">IFERROR(__xludf.DUMMYFUNCTION("""COMPUTED_VALUE"""),"20220524DCPOW")</f>
        <v>20220524DCPOW</v>
      </c>
      <c r="B260" s="5" t="str">
        <f ca="1">IFERROR(__xludf.DUMMYFUNCTION("""COMPUTED_VALUE"""),"Handgun")</f>
        <v>Handgun</v>
      </c>
      <c r="C260" s="5"/>
      <c r="D260" s="5"/>
    </row>
    <row r="261" spans="1:4" ht="13">
      <c r="A261" s="5" t="str">
        <f ca="1">IFERROR(__xludf.DUMMYFUNCTION("""COMPUTED_VALUE"""),"20220523PASIP")</f>
        <v>20220523PASIP</v>
      </c>
      <c r="B261" s="5" t="str">
        <f ca="1">IFERROR(__xludf.DUMMYFUNCTION("""COMPUTED_VALUE"""),"Handgun")</f>
        <v>Handgun</v>
      </c>
      <c r="C261" s="5"/>
      <c r="D261" s="5"/>
    </row>
    <row r="262" spans="1:4" ht="13">
      <c r="A262" s="5" t="str">
        <f ca="1">IFERROR(__xludf.DUMMYFUNCTION("""COMPUTED_VALUE"""),"20220520VAPOD")</f>
        <v>20220520VAPOD</v>
      </c>
      <c r="B262" s="5" t="str">
        <f ca="1">IFERROR(__xludf.DUMMYFUNCTION("""COMPUTED_VALUE"""),"Handgun")</f>
        <v>Handgun</v>
      </c>
      <c r="C262" s="5"/>
      <c r="D262" s="5"/>
    </row>
    <row r="263" spans="1:4" ht="13">
      <c r="A263" s="5" t="str">
        <f ca="1">IFERROR(__xludf.DUMMYFUNCTION("""COMPUTED_VALUE"""),"20220520TNEAC")</f>
        <v>20220520TNEAC</v>
      </c>
      <c r="B263" s="5"/>
      <c r="C263" s="5"/>
      <c r="D263" s="5"/>
    </row>
    <row r="264" spans="1:4" ht="13">
      <c r="A264" s="5" t="str">
        <f ca="1">IFERROR(__xludf.DUMMYFUNCTION("""COMPUTED_VALUE"""),"20220520OHCAC")</f>
        <v>20220520OHCAC</v>
      </c>
      <c r="B264" s="5" t="str">
        <f ca="1">IFERROR(__xludf.DUMMYFUNCTION("""COMPUTED_VALUE"""),"Other")</f>
        <v>Other</v>
      </c>
      <c r="C264" s="5" t="str">
        <f ca="1">IFERROR(__xludf.DUMMYFUNCTION("""COMPUTED_VALUE"""),"airsoft")</f>
        <v>airsoft</v>
      </c>
      <c r="D264" s="5"/>
    </row>
    <row r="265" spans="1:4" ht="13">
      <c r="A265" s="5" t="str">
        <f ca="1">IFERROR(__xludf.DUMMYFUNCTION("""COMPUTED_VALUE"""),"20220520ILSOP")</f>
        <v>20220520ILSOP</v>
      </c>
      <c r="B265" s="5" t="str">
        <f ca="1">IFERROR(__xludf.DUMMYFUNCTION("""COMPUTED_VALUE"""),"Handgun")</f>
        <v>Handgun</v>
      </c>
      <c r="C265" s="5"/>
      <c r="D265" s="5"/>
    </row>
    <row r="266" spans="1:4" ht="13">
      <c r="A266" s="5" t="str">
        <f ca="1">IFERROR(__xludf.DUMMYFUNCTION("""COMPUTED_VALUE"""),"20220520ALMAT")</f>
        <v>20220520ALMAT</v>
      </c>
      <c r="B266" s="5"/>
      <c r="C266" s="5"/>
      <c r="D266" s="5"/>
    </row>
    <row r="267" spans="1:4" ht="13">
      <c r="A267" s="5" t="str">
        <f ca="1">IFERROR(__xludf.DUMMYFUNCTION("""COMPUTED_VALUE"""),"20220519VAGER")</f>
        <v>20220519VAGER</v>
      </c>
      <c r="B267" s="5"/>
      <c r="C267" s="5"/>
      <c r="D267" s="5"/>
    </row>
    <row r="268" spans="1:4" ht="13">
      <c r="A268" s="5" t="str">
        <f ca="1">IFERROR(__xludf.DUMMYFUNCTION("""COMPUTED_VALUE"""),"20220519MIEAK")</f>
        <v>20220519MIEAK</v>
      </c>
      <c r="B268" s="5"/>
      <c r="C268" s="5"/>
      <c r="D268" s="5"/>
    </row>
    <row r="269" spans="1:4" ht="13">
      <c r="A269" s="5" t="str">
        <f ca="1">IFERROR(__xludf.DUMMYFUNCTION("""COMPUTED_VALUE"""),"20220519LAHAH")</f>
        <v>20220519LAHAH</v>
      </c>
      <c r="B269" s="5" t="str">
        <f ca="1">IFERROR(__xludf.DUMMYFUNCTION("""COMPUTED_VALUE"""),"Handgun")</f>
        <v>Handgun</v>
      </c>
      <c r="C269" s="5"/>
      <c r="D269" s="5"/>
    </row>
    <row r="270" spans="1:4" ht="13">
      <c r="A270" s="5" t="str">
        <f ca="1">IFERROR(__xludf.DUMMYFUNCTION("""COMPUTED_VALUE"""),"20220518TNRIM")</f>
        <v>20220518TNRIM</v>
      </c>
      <c r="B270" s="5" t="str">
        <f ca="1">IFERROR(__xludf.DUMMYFUNCTION("""COMPUTED_VALUE"""),"Handgun")</f>
        <v>Handgun</v>
      </c>
      <c r="C270" s="5"/>
      <c r="D270" s="5"/>
    </row>
    <row r="271" spans="1:4" ht="13">
      <c r="A271" s="5" t="str">
        <f ca="1">IFERROR(__xludf.DUMMYFUNCTION("""COMPUTED_VALUE"""),"20220518FLPAP")</f>
        <v>20220518FLPAP</v>
      </c>
      <c r="B271" s="5" t="str">
        <f ca="1">IFERROR(__xludf.DUMMYFUNCTION("""COMPUTED_VALUE"""),"Handgun")</f>
        <v>Handgun</v>
      </c>
      <c r="C271" s="5"/>
      <c r="D271" s="5"/>
    </row>
    <row r="272" spans="1:4" ht="13">
      <c r="A272" s="5" t="str">
        <f ca="1">IFERROR(__xludf.DUMMYFUNCTION("""COMPUTED_VALUE"""),"20220517ILWAC")</f>
        <v>20220517ILWAC</v>
      </c>
      <c r="B272" s="5" t="str">
        <f ca="1">IFERROR(__xludf.DUMMYFUNCTION("""COMPUTED_VALUE"""),"Handgun")</f>
        <v>Handgun</v>
      </c>
      <c r="C272" s="5"/>
      <c r="D272" s="5"/>
    </row>
    <row r="273" spans="1:4" ht="13">
      <c r="A273" s="5" t="str">
        <f ca="1">IFERROR(__xludf.DUMMYFUNCTION("""COMPUTED_VALUE"""),"20220517CASAS")</f>
        <v>20220517CASAS</v>
      </c>
      <c r="B273" s="5"/>
      <c r="C273" s="5"/>
      <c r="D273" s="5"/>
    </row>
    <row r="274" spans="1:4" ht="13">
      <c r="A274" s="5" t="str">
        <f ca="1">IFERROR(__xludf.DUMMYFUNCTION("""COMPUTED_VALUE"""),"20220516TXMEM")</f>
        <v>20220516TXMEM</v>
      </c>
      <c r="B274" s="5" t="str">
        <f ca="1">IFERROR(__xludf.DUMMYFUNCTION("""COMPUTED_VALUE"""),"Handgun")</f>
        <v>Handgun</v>
      </c>
      <c r="C274" s="5"/>
      <c r="D274" s="5"/>
    </row>
    <row r="275" spans="1:4" ht="13">
      <c r="A275" s="5" t="str">
        <f ca="1">IFERROR(__xludf.DUMMYFUNCTION("""COMPUTED_VALUE"""),"20220515NHBEB")</f>
        <v>20220515NHBEB</v>
      </c>
      <c r="B275" s="5" t="str">
        <f ca="1">IFERROR(__xludf.DUMMYFUNCTION("""COMPUTED_VALUE"""),"Other")</f>
        <v>Other</v>
      </c>
      <c r="C275" s="5" t="str">
        <f ca="1">IFERROR(__xludf.DUMMYFUNCTION("""COMPUTED_VALUE"""),"airsoft")</f>
        <v>airsoft</v>
      </c>
      <c r="D275" s="5"/>
    </row>
    <row r="276" spans="1:4" ht="13">
      <c r="A276" s="5" t="str">
        <f ca="1">IFERROR(__xludf.DUMMYFUNCTION("""COMPUTED_VALUE"""),"20220515ILMEP")</f>
        <v>20220515ILMEP</v>
      </c>
      <c r="B276" s="5" t="str">
        <f ca="1">IFERROR(__xludf.DUMMYFUNCTION("""COMPUTED_VALUE"""),"Handgun")</f>
        <v>Handgun</v>
      </c>
      <c r="C276" s="5" t="str">
        <f ca="1">IFERROR(__xludf.DUMMYFUNCTION("""COMPUTED_VALUE"""),"9mm")</f>
        <v>9mm</v>
      </c>
      <c r="D276" s="5"/>
    </row>
    <row r="277" spans="1:4" ht="13">
      <c r="A277" s="5" t="str">
        <f ca="1">IFERROR(__xludf.DUMMYFUNCTION("""COMPUTED_VALUE"""),"20220513GASOM")</f>
        <v>20220513GASOM</v>
      </c>
      <c r="B277" s="5"/>
      <c r="C277" s="5"/>
      <c r="D277" s="5"/>
    </row>
    <row r="278" spans="1:4" ht="13">
      <c r="A278" s="5" t="str">
        <f ca="1">IFERROR(__xludf.DUMMYFUNCTION("""COMPUTED_VALUE"""),"20220513FLALW")</f>
        <v>20220513FLALW</v>
      </c>
      <c r="B278" s="5" t="str">
        <f ca="1">IFERROR(__xludf.DUMMYFUNCTION("""COMPUTED_VALUE"""),"Handgun")</f>
        <v>Handgun</v>
      </c>
      <c r="C278" s="5" t="str">
        <f ca="1">IFERROR(__xludf.DUMMYFUNCTION("""COMPUTED_VALUE"""),"Service Weapon")</f>
        <v>Service Weapon</v>
      </c>
      <c r="D278" s="5"/>
    </row>
    <row r="279" spans="1:4" ht="13">
      <c r="A279" s="5" t="str">
        <f ca="1">IFERROR(__xludf.DUMMYFUNCTION("""COMPUTED_VALUE"""),"20220512TXHEH")</f>
        <v>20220512TXHEH</v>
      </c>
      <c r="B279" s="5"/>
      <c r="C279" s="5"/>
      <c r="D279" s="5"/>
    </row>
    <row r="280" spans="1:4" ht="13">
      <c r="A280" s="5" t="str">
        <f ca="1">IFERROR(__xludf.DUMMYFUNCTION("""COMPUTED_VALUE"""),"20220512ARHOH")</f>
        <v>20220512ARHOH</v>
      </c>
      <c r="B280" s="5" t="str">
        <f ca="1">IFERROR(__xludf.DUMMYFUNCTION("""COMPUTED_VALUE"""),"Handgun")</f>
        <v>Handgun</v>
      </c>
      <c r="C280" s="5"/>
      <c r="D280" s="5"/>
    </row>
    <row r="281" spans="1:4" ht="13">
      <c r="A281" s="5" t="str">
        <f ca="1">IFERROR(__xludf.DUMMYFUNCTION("""COMPUTED_VALUE"""),"20220511FLJAJ")</f>
        <v>20220511FLJAJ</v>
      </c>
      <c r="B281" s="5"/>
      <c r="C281" s="5"/>
      <c r="D281" s="5"/>
    </row>
    <row r="282" spans="1:4" ht="13">
      <c r="A282" s="5" t="str">
        <f ca="1">IFERROR(__xludf.DUMMYFUNCTION("""COMPUTED_VALUE"""),"20220509NYEDS")</f>
        <v>20220509NYEDS</v>
      </c>
      <c r="B282" s="5" t="str">
        <f ca="1">IFERROR(__xludf.DUMMYFUNCTION("""COMPUTED_VALUE"""),"Handgun")</f>
        <v>Handgun</v>
      </c>
      <c r="C282" s="5"/>
      <c r="D282" s="5"/>
    </row>
    <row r="283" spans="1:4" ht="13">
      <c r="A283" s="5" t="str">
        <f ca="1">IFERROR(__xludf.DUMMYFUNCTION("""COMPUTED_VALUE"""),"20220509GARIS")</f>
        <v>20220509GARIS</v>
      </c>
      <c r="B283" s="5" t="str">
        <f ca="1">IFERROR(__xludf.DUMMYFUNCTION("""COMPUTED_VALUE"""),"Handgun")</f>
        <v>Handgun</v>
      </c>
      <c r="C283" s="5"/>
      <c r="D283" s="5"/>
    </row>
    <row r="284" spans="1:4" ht="13">
      <c r="A284" s="5" t="str">
        <f ca="1">IFERROR(__xludf.DUMMYFUNCTION("""COMPUTED_VALUE"""),"20220505OHLOL")</f>
        <v>20220505OHLOL</v>
      </c>
      <c r="B284" s="5" t="str">
        <f ca="1">IFERROR(__xludf.DUMMYFUNCTION("""COMPUTED_VALUE"""),"Handgun")</f>
        <v>Handgun</v>
      </c>
      <c r="C284" s="5"/>
      <c r="D284" s="5"/>
    </row>
    <row r="285" spans="1:4" ht="13">
      <c r="A285" s="5" t="str">
        <f ca="1">IFERROR(__xludf.DUMMYFUNCTION("""COMPUTED_VALUE"""),"20220505ALDOD")</f>
        <v>20220505ALDOD</v>
      </c>
      <c r="B285" s="5" t="str">
        <f ca="1">IFERROR(__xludf.DUMMYFUNCTION("""COMPUTED_VALUE"""),"Other")</f>
        <v>Other</v>
      </c>
      <c r="C285" s="5" t="str">
        <f ca="1">IFERROR(__xludf.DUMMYFUNCTION("""COMPUTED_VALUE"""),"BB")</f>
        <v>BB</v>
      </c>
      <c r="D285" s="5"/>
    </row>
    <row r="286" spans="1:4" ht="13">
      <c r="A286" s="5" t="str">
        <f ca="1">IFERROR(__xludf.DUMMYFUNCTION("""COMPUTED_VALUE"""),"20220503CAARS")</f>
        <v>20220503CAARS</v>
      </c>
      <c r="B286" s="5"/>
      <c r="C286" s="5"/>
      <c r="D286" s="5"/>
    </row>
    <row r="287" spans="1:4" ht="13">
      <c r="A287" s="5" t="str">
        <f ca="1">IFERROR(__xludf.DUMMYFUNCTION("""COMPUTED_VALUE"""),"20220501VALOM")</f>
        <v>20220501VALOM</v>
      </c>
      <c r="B287" s="5" t="str">
        <f ca="1">IFERROR(__xludf.DUMMYFUNCTION("""COMPUTED_VALUE"""),"Handgun")</f>
        <v>Handgun</v>
      </c>
      <c r="C287" s="5"/>
      <c r="D287" s="5"/>
    </row>
    <row r="288" spans="1:4" ht="13">
      <c r="A288" s="5" t="str">
        <f ca="1">IFERROR(__xludf.DUMMYFUNCTION("""COMPUTED_VALUE"""),"20220501OHHAC")</f>
        <v>20220501OHHAC</v>
      </c>
      <c r="B288" s="5" t="str">
        <f ca="1">IFERROR(__xludf.DUMMYFUNCTION("""COMPUTED_VALUE"""),"Handgun")</f>
        <v>Handgun</v>
      </c>
      <c r="C288" s="5"/>
      <c r="D288" s="5"/>
    </row>
    <row r="289" spans="1:4" ht="13">
      <c r="A289" s="5" t="str">
        <f ca="1">IFERROR(__xludf.DUMMYFUNCTION("""COMPUTED_VALUE"""),"20220430PAMCJ")</f>
        <v>20220430PAMCJ</v>
      </c>
      <c r="B289" s="5" t="str">
        <f ca="1">IFERROR(__xludf.DUMMYFUNCTION("""COMPUTED_VALUE"""),"Handgun")</f>
        <v>Handgun</v>
      </c>
      <c r="C289" s="5"/>
      <c r="D289" s="5"/>
    </row>
    <row r="290" spans="1:4" ht="13">
      <c r="A290" s="5" t="str">
        <f ca="1">IFERROR(__xludf.DUMMYFUNCTION("""COMPUTED_VALUE"""),"20220427TXMOS")</f>
        <v>20220427TXMOS</v>
      </c>
      <c r="B290" s="5" t="str">
        <f ca="1">IFERROR(__xludf.DUMMYFUNCTION("""COMPUTED_VALUE"""),"Handgun")</f>
        <v>Handgun</v>
      </c>
      <c r="C290" s="5" t="str">
        <f ca="1">IFERROR(__xludf.DUMMYFUNCTION("""COMPUTED_VALUE"""),"Service Weapon")</f>
        <v>Service Weapon</v>
      </c>
      <c r="D290" s="5"/>
    </row>
    <row r="291" spans="1:4" ht="13">
      <c r="A291" s="5" t="str">
        <f ca="1">IFERROR(__xludf.DUMMYFUNCTION("""COMPUTED_VALUE"""),"20220427INCOS")</f>
        <v>20220427INCOS</v>
      </c>
      <c r="B291" s="5" t="str">
        <f ca="1">IFERROR(__xludf.DUMMYFUNCTION("""COMPUTED_VALUE"""),"Other")</f>
        <v>Other</v>
      </c>
      <c r="C291" s="5" t="str">
        <f ca="1">IFERROR(__xludf.DUMMYFUNCTION("""COMPUTED_VALUE"""),"BB")</f>
        <v>BB</v>
      </c>
      <c r="D291" s="5"/>
    </row>
    <row r="292" spans="1:4" ht="13">
      <c r="A292" s="5" t="str">
        <f ca="1">IFERROR(__xludf.DUMMYFUNCTION("""COMPUTED_VALUE"""),"20220426MIASI")</f>
        <v>20220426MIASI</v>
      </c>
      <c r="B292" s="5" t="str">
        <f ca="1">IFERROR(__xludf.DUMMYFUNCTION("""COMPUTED_VALUE"""),"Handgun")</f>
        <v>Handgun</v>
      </c>
      <c r="C292" s="5"/>
      <c r="D292" s="5"/>
    </row>
    <row r="293" spans="1:4" ht="13">
      <c r="A293" s="5" t="str">
        <f ca="1">IFERROR(__xludf.DUMMYFUNCTION("""COMPUTED_VALUE"""),"20220426GASOM")</f>
        <v>20220426GASOM</v>
      </c>
      <c r="B293" s="5" t="str">
        <f ca="1">IFERROR(__xludf.DUMMYFUNCTION("""COMPUTED_VALUE"""),"Handgun")</f>
        <v>Handgun</v>
      </c>
      <c r="C293" s="5"/>
      <c r="D293" s="5"/>
    </row>
    <row r="294" spans="1:4" ht="13">
      <c r="A294" s="5" t="str">
        <f ca="1">IFERROR(__xludf.DUMMYFUNCTION("""COMPUTED_VALUE"""),"20220426GASOM")</f>
        <v>20220426GASOM</v>
      </c>
      <c r="B294" s="5" t="str">
        <f ca="1">IFERROR(__xludf.DUMMYFUNCTION("""COMPUTED_VALUE"""),"Other")</f>
        <v>Other</v>
      </c>
      <c r="C294" s="5" t="str">
        <f ca="1">IFERROR(__xludf.DUMMYFUNCTION("""COMPUTED_VALUE"""),"Pellet")</f>
        <v>Pellet</v>
      </c>
      <c r="D294" s="5"/>
    </row>
    <row r="295" spans="1:4" ht="13">
      <c r="A295" s="5" t="str">
        <f ca="1">IFERROR(__xludf.DUMMYFUNCTION("""COMPUTED_VALUE"""),"20220425WIWIM")</f>
        <v>20220425WIWIM</v>
      </c>
      <c r="B295" s="5" t="str">
        <f ca="1">IFERROR(__xludf.DUMMYFUNCTION("""COMPUTED_VALUE"""),"Multiple Handguns")</f>
        <v>Multiple Handguns</v>
      </c>
      <c r="C295" s="5"/>
      <c r="D295" s="5"/>
    </row>
    <row r="296" spans="1:4" ht="13">
      <c r="A296" s="5" t="str">
        <f ca="1">IFERROR(__xludf.DUMMYFUNCTION("""COMPUTED_VALUE"""),"20220424MOHAF")</f>
        <v>20220424MOHAF</v>
      </c>
      <c r="B296" s="5" t="str">
        <f ca="1">IFERROR(__xludf.DUMMYFUNCTION("""COMPUTED_VALUE"""),"Handgun")</f>
        <v>Handgun</v>
      </c>
      <c r="C296" s="5"/>
      <c r="D296" s="5"/>
    </row>
    <row r="297" spans="1:4" ht="13">
      <c r="A297" s="5" t="str">
        <f ca="1">IFERROR(__xludf.DUMMYFUNCTION("""COMPUTED_VALUE"""),"20220422ORHOS")</f>
        <v>20220422ORHOS</v>
      </c>
      <c r="B297" s="5" t="str">
        <f ca="1">IFERROR(__xludf.DUMMYFUNCTION("""COMPUTED_VALUE"""),"Handgun")</f>
        <v>Handgun</v>
      </c>
      <c r="C297" s="5"/>
      <c r="D297" s="5"/>
    </row>
    <row r="298" spans="1:4" ht="13">
      <c r="A298" s="5" t="str">
        <f ca="1">IFERROR(__xludf.DUMMYFUNCTION("""COMPUTED_VALUE"""),"20220422DCEDW")</f>
        <v>20220422DCEDW</v>
      </c>
      <c r="B298" s="5" t="str">
        <f ca="1">IFERROR(__xludf.DUMMYFUNCTION("""COMPUTED_VALUE"""),"Multiple Rifles")</f>
        <v>Multiple Rifles</v>
      </c>
      <c r="C298" s="5"/>
      <c r="D298" s="5" t="str">
        <f ca="1">IFERROR(__xludf.DUMMYFUNCTION("""COMPUTED_VALUE"""),"Fully automatic AR-15 style rifles")</f>
        <v>Fully automatic AR-15 style rifles</v>
      </c>
    </row>
    <row r="299" spans="1:4" ht="13">
      <c r="A299" s="5" t="str">
        <f ca="1">IFERROR(__xludf.DUMMYFUNCTION("""COMPUTED_VALUE"""),"20220422DCEDW")</f>
        <v>20220422DCEDW</v>
      </c>
      <c r="B299" s="5" t="str">
        <f ca="1">IFERROR(__xludf.DUMMYFUNCTION("""COMPUTED_VALUE"""),"Multiple Handguns")</f>
        <v>Multiple Handguns</v>
      </c>
      <c r="C299" s="5"/>
      <c r="D299" s="5"/>
    </row>
    <row r="300" spans="1:4" ht="13">
      <c r="A300" s="5" t="str">
        <f ca="1">IFERROR(__xludf.DUMMYFUNCTION("""COMPUTED_VALUE"""),"20220422CAMOR")</f>
        <v>20220422CAMOR</v>
      </c>
      <c r="B300" s="5" t="str">
        <f ca="1">IFERROR(__xludf.DUMMYFUNCTION("""COMPUTED_VALUE"""),"Rifle")</f>
        <v>Rifle</v>
      </c>
      <c r="C300" s="5"/>
      <c r="D300" s="5"/>
    </row>
    <row r="301" spans="1:4" ht="13">
      <c r="A301" s="5" t="str">
        <f ca="1">IFERROR(__xludf.DUMMYFUNCTION("""COMPUTED_VALUE"""),"20220421NDMOM")</f>
        <v>20220421NDMOM</v>
      </c>
      <c r="B301" s="5" t="str">
        <f ca="1">IFERROR(__xludf.DUMMYFUNCTION("""COMPUTED_VALUE"""),"Handgun")</f>
        <v>Handgun</v>
      </c>
      <c r="C301" s="5" t="str">
        <f ca="1">IFERROR(__xludf.DUMMYFUNCTION("""COMPUTED_VALUE"""),"Service Weapon")</f>
        <v>Service Weapon</v>
      </c>
      <c r="D301" s="5"/>
    </row>
    <row r="302" spans="1:4" ht="13">
      <c r="A302" s="5" t="str">
        <f ca="1">IFERROR(__xludf.DUMMYFUNCTION("""COMPUTED_VALUE"""),"20220416IAMED")</f>
        <v>20220416IAMED</v>
      </c>
      <c r="B302" s="5" t="str">
        <f ca="1">IFERROR(__xludf.DUMMYFUNCTION("""COMPUTED_VALUE"""),"Handgun")</f>
        <v>Handgun</v>
      </c>
      <c r="C302" s="5"/>
      <c r="D302" s="5"/>
    </row>
    <row r="303" spans="1:4" ht="13">
      <c r="A303" s="5" t="str">
        <f ca="1">IFERROR(__xludf.DUMMYFUNCTION("""COMPUTED_VALUE"""),"20220415VAGAW")</f>
        <v>20220415VAGAW</v>
      </c>
      <c r="B303" s="5" t="str">
        <f ca="1">IFERROR(__xludf.DUMMYFUNCTION("""COMPUTED_VALUE"""),"Handgun")</f>
        <v>Handgun</v>
      </c>
      <c r="C303" s="5"/>
      <c r="D303" s="5"/>
    </row>
    <row r="304" spans="1:4" ht="13">
      <c r="A304" s="5" t="str">
        <f ca="1">IFERROR(__xludf.DUMMYFUNCTION("""COMPUTED_VALUE"""),"20220414MSNEP")</f>
        <v>20220414MSNEP</v>
      </c>
      <c r="B304" s="5" t="str">
        <f ca="1">IFERROR(__xludf.DUMMYFUNCTION("""COMPUTED_VALUE"""),"Other")</f>
        <v>Other</v>
      </c>
      <c r="C304" s="5" t="str">
        <f ca="1">IFERROR(__xludf.DUMMYFUNCTION("""COMPUTED_VALUE"""),"Pellet")</f>
        <v>Pellet</v>
      </c>
      <c r="D304" s="5" t="str">
        <f ca="1">IFERROR(__xludf.DUMMYFUNCTION("""COMPUTED_VALUE"""),"2 high-powered Gamo pellet rifles and 1 CO2 BB gun")</f>
        <v>2 high-powered Gamo pellet rifles and 1 CO2 BB gun</v>
      </c>
    </row>
    <row r="305" spans="1:4" ht="13">
      <c r="A305" s="5" t="str">
        <f ca="1">IFERROR(__xludf.DUMMYFUNCTION("""COMPUTED_VALUE"""),"20220413MISHS")</f>
        <v>20220413MISHS</v>
      </c>
      <c r="B305" s="5" t="str">
        <f ca="1">IFERROR(__xludf.DUMMYFUNCTION("""COMPUTED_VALUE"""),"Other")</f>
        <v>Other</v>
      </c>
      <c r="C305" s="5" t="str">
        <f ca="1">IFERROR(__xludf.DUMMYFUNCTION("""COMPUTED_VALUE"""),"BB")</f>
        <v>BB</v>
      </c>
      <c r="D305" s="5"/>
    </row>
    <row r="306" spans="1:4" ht="13">
      <c r="A306" s="5" t="str">
        <f ca="1">IFERROR(__xludf.DUMMYFUNCTION("""COMPUTED_VALUE"""),"20220411ARPIP")</f>
        <v>20220411ARPIP</v>
      </c>
      <c r="B306" s="5" t="str">
        <f ca="1">IFERROR(__xludf.DUMMYFUNCTION("""COMPUTED_VALUE"""),"Handgun")</f>
        <v>Handgun</v>
      </c>
      <c r="C306" s="5"/>
      <c r="D306" s="5"/>
    </row>
    <row r="307" spans="1:4" ht="13">
      <c r="A307" s="5" t="str">
        <f ca="1">IFERROR(__xludf.DUMMYFUNCTION("""COMPUTED_VALUE"""),"20220410MALYL")</f>
        <v>20220410MALYL</v>
      </c>
      <c r="B307" s="5" t="str">
        <f ca="1">IFERROR(__xludf.DUMMYFUNCTION("""COMPUTED_VALUE"""),"Handgun")</f>
        <v>Handgun</v>
      </c>
      <c r="C307" s="5"/>
      <c r="D307" s="5"/>
    </row>
    <row r="308" spans="1:4" ht="13">
      <c r="A308" s="5" t="str">
        <f ca="1">IFERROR(__xludf.DUMMYFUNCTION("""COMPUTED_VALUE"""),"20220406WVRIR")</f>
        <v>20220406WVRIR</v>
      </c>
      <c r="B308" s="5" t="str">
        <f ca="1">IFERROR(__xludf.DUMMYFUNCTION("""COMPUTED_VALUE"""),"Handgun")</f>
        <v>Handgun</v>
      </c>
      <c r="C308" s="5" t="str">
        <f ca="1">IFERROR(__xludf.DUMMYFUNCTION("""COMPUTED_VALUE"""),".22 caliber")</f>
        <v>.22 caliber</v>
      </c>
      <c r="D308" s="5"/>
    </row>
    <row r="309" spans="1:4" ht="13">
      <c r="A309" s="5" t="str">
        <f ca="1">IFERROR(__xludf.DUMMYFUNCTION("""COMPUTED_VALUE"""),"20220406WASTM")</f>
        <v>20220406WASTM</v>
      </c>
      <c r="B309" s="5" t="str">
        <f ca="1">IFERROR(__xludf.DUMMYFUNCTION("""COMPUTED_VALUE"""),"Other")</f>
        <v>Other</v>
      </c>
      <c r="C309" s="5" t="str">
        <f ca="1">IFERROR(__xludf.DUMMYFUNCTION("""COMPUTED_VALUE"""),"Pellet")</f>
        <v>Pellet</v>
      </c>
      <c r="D309" s="5"/>
    </row>
    <row r="310" spans="1:4" ht="13">
      <c r="A310" s="5" t="str">
        <f ca="1">IFERROR(__xludf.DUMMYFUNCTION("""COMPUTED_VALUE"""),"20220406ORROP")</f>
        <v>20220406ORROP</v>
      </c>
      <c r="B310" s="5" t="str">
        <f ca="1">IFERROR(__xludf.DUMMYFUNCTION("""COMPUTED_VALUE"""),"Handgun")</f>
        <v>Handgun</v>
      </c>
      <c r="C310" s="5"/>
      <c r="D310" s="5"/>
    </row>
    <row r="311" spans="1:4" ht="13">
      <c r="A311" s="5" t="str">
        <f ca="1">IFERROR(__xludf.DUMMYFUNCTION("""COMPUTED_VALUE"""),"20220405PAERE")</f>
        <v>20220405PAERE</v>
      </c>
      <c r="B311" s="5" t="str">
        <f ca="1">IFERROR(__xludf.DUMMYFUNCTION("""COMPUTED_VALUE"""),"Handgun")</f>
        <v>Handgun</v>
      </c>
      <c r="C311" s="5" t="str">
        <f ca="1">IFERROR(__xludf.DUMMYFUNCTION("""COMPUTED_VALUE"""),"9mm")</f>
        <v>9mm</v>
      </c>
      <c r="D311" s="5"/>
    </row>
    <row r="312" spans="1:4" ht="13">
      <c r="A312" s="5" t="str">
        <f ca="1">IFERROR(__xludf.DUMMYFUNCTION("""COMPUTED_VALUE"""),"20220403INBLB")</f>
        <v>20220403INBLB</v>
      </c>
      <c r="B312" s="5" t="str">
        <f ca="1">IFERROR(__xludf.DUMMYFUNCTION("""COMPUTED_VALUE"""),"Multiple Handguns")</f>
        <v>Multiple Handguns</v>
      </c>
      <c r="C312" s="5"/>
      <c r="D312" s="5"/>
    </row>
    <row r="313" spans="1:4" ht="13">
      <c r="A313" s="5" t="str">
        <f ca="1">IFERROR(__xludf.DUMMYFUNCTION("""COMPUTED_VALUE"""),"20220331PAACP")</f>
        <v>20220331PAACP</v>
      </c>
      <c r="B313" s="5" t="str">
        <f ca="1">IFERROR(__xludf.DUMMYFUNCTION("""COMPUTED_VALUE"""),"Handgun")</f>
        <v>Handgun</v>
      </c>
      <c r="C313" s="5"/>
      <c r="D313" s="5"/>
    </row>
    <row r="314" spans="1:4" ht="13">
      <c r="A314" s="5" t="str">
        <f ca="1">IFERROR(__xludf.DUMMYFUNCTION("""COMPUTED_VALUE"""),"20220330GABOA")</f>
        <v>20220330GABOA</v>
      </c>
      <c r="B314" s="5" t="str">
        <f ca="1">IFERROR(__xludf.DUMMYFUNCTION("""COMPUTED_VALUE"""),"Handgun")</f>
        <v>Handgun</v>
      </c>
      <c r="C314" s="5"/>
      <c r="D314" s="5"/>
    </row>
    <row r="315" spans="1:4" ht="13">
      <c r="A315" s="5" t="str">
        <f ca="1">IFERROR(__xludf.DUMMYFUNCTION("""COMPUTED_VALUE"""),"20220330AZKIK")</f>
        <v>20220330AZKIK</v>
      </c>
      <c r="B315" s="5" t="str">
        <f ca="1">IFERROR(__xludf.DUMMYFUNCTION("""COMPUTED_VALUE"""),"Handgun")</f>
        <v>Handgun</v>
      </c>
      <c r="C315" s="5"/>
      <c r="D315" s="5"/>
    </row>
    <row r="316" spans="1:4" ht="13">
      <c r="A316" s="5" t="str">
        <f ca="1">IFERROR(__xludf.DUMMYFUNCTION("""COMPUTED_VALUE"""),"20220329VALUR")</f>
        <v>20220329VALUR</v>
      </c>
      <c r="B316" s="5" t="str">
        <f ca="1">IFERROR(__xludf.DUMMYFUNCTION("""COMPUTED_VALUE"""),"Handgun")</f>
        <v>Handgun</v>
      </c>
      <c r="C316" s="5"/>
      <c r="D316" s="5"/>
    </row>
    <row r="317" spans="1:4" ht="13">
      <c r="A317" s="5" t="str">
        <f ca="1">IFERROR(__xludf.DUMMYFUNCTION("""COMPUTED_VALUE"""),"20220329NVWEL")</f>
        <v>20220329NVWEL</v>
      </c>
      <c r="B317" s="5" t="str">
        <f ca="1">IFERROR(__xludf.DUMMYFUNCTION("""COMPUTED_VALUE"""),"Handgun")</f>
        <v>Handgun</v>
      </c>
      <c r="C317" s="5" t="str">
        <f ca="1">IFERROR(__xludf.DUMMYFUNCTION("""COMPUTED_VALUE"""),"Service Weapon")</f>
        <v>Service Weapon</v>
      </c>
      <c r="D317" s="5"/>
    </row>
    <row r="318" spans="1:4" ht="13">
      <c r="A318" s="5" t="str">
        <f ca="1">IFERROR(__xludf.DUMMYFUNCTION("""COMPUTED_VALUE"""),"20220328TXNOF")</f>
        <v>20220328TXNOF</v>
      </c>
      <c r="B318" s="5" t="str">
        <f ca="1">IFERROR(__xludf.DUMMYFUNCTION("""COMPUTED_VALUE"""),"Handgun")</f>
        <v>Handgun</v>
      </c>
      <c r="C318" s="5"/>
      <c r="D318" s="5"/>
    </row>
    <row r="319" spans="1:4" ht="13">
      <c r="A319" s="5" t="str">
        <f ca="1">IFERROR(__xludf.DUMMYFUNCTION("""COMPUTED_VALUE"""),"20220328NCOAC")</f>
        <v>20220328NCOAC</v>
      </c>
      <c r="B319" s="5" t="str">
        <f ca="1">IFERROR(__xludf.DUMMYFUNCTION("""COMPUTED_VALUE"""),"Handgun")</f>
        <v>Handgun</v>
      </c>
      <c r="C319" s="5"/>
      <c r="D319" s="5"/>
    </row>
    <row r="320" spans="1:4" ht="13">
      <c r="A320" s="5" t="str">
        <f ca="1">IFERROR(__xludf.DUMMYFUNCTION("""COMPUTED_VALUE"""),"20220325UTHIS")</f>
        <v>20220325UTHIS</v>
      </c>
      <c r="B320" s="5" t="str">
        <f ca="1">IFERROR(__xludf.DUMMYFUNCTION("""COMPUTED_VALUE"""),"Handgun")</f>
        <v>Handgun</v>
      </c>
      <c r="C320" s="5"/>
      <c r="D320" s="5"/>
    </row>
    <row r="321" spans="1:4" ht="13">
      <c r="A321" s="5" t="str">
        <f ca="1">IFERROR(__xludf.DUMMYFUNCTION("""COMPUTED_VALUE"""),"20220325UTHIS")</f>
        <v>20220325UTHIS</v>
      </c>
      <c r="B321" s="5" t="str">
        <f ca="1">IFERROR(__xludf.DUMMYFUNCTION("""COMPUTED_VALUE"""),"Other")</f>
        <v>Other</v>
      </c>
      <c r="C321" s="5" t="str">
        <f ca="1">IFERROR(__xludf.DUMMYFUNCTION("""COMPUTED_VALUE"""),"Pellet")</f>
        <v>Pellet</v>
      </c>
      <c r="D321" s="5" t="str">
        <f ca="1">IFERROR(__xludf.DUMMYFUNCTION("""COMPUTED_VALUE"""),"Gel pellet gun")</f>
        <v>Gel pellet gun</v>
      </c>
    </row>
    <row r="322" spans="1:4" ht="13">
      <c r="A322" s="5" t="str">
        <f ca="1">IFERROR(__xludf.DUMMYFUNCTION("""COMPUTED_VALUE"""),"20220325TXROR")</f>
        <v>20220325TXROR</v>
      </c>
      <c r="B322" s="5" t="str">
        <f ca="1">IFERROR(__xludf.DUMMYFUNCTION("""COMPUTED_VALUE"""),"Other")</f>
        <v>Other</v>
      </c>
      <c r="C322" s="5" t="str">
        <f ca="1">IFERROR(__xludf.DUMMYFUNCTION("""COMPUTED_VALUE"""),"Pellet")</f>
        <v>Pellet</v>
      </c>
      <c r="D322" s="5" t="str">
        <f ca="1">IFERROR(__xludf.DUMMYFUNCTION("""COMPUTED_VALUE"""),"Multiple gel pellet guns")</f>
        <v>Multiple gel pellet guns</v>
      </c>
    </row>
    <row r="323" spans="1:4" ht="13">
      <c r="A323" s="5" t="str">
        <f ca="1">IFERROR(__xludf.DUMMYFUNCTION("""COMPUTED_VALUE"""),"20220325TNBRM")</f>
        <v>20220325TNBRM</v>
      </c>
      <c r="B323" s="5" t="str">
        <f ca="1">IFERROR(__xludf.DUMMYFUNCTION("""COMPUTED_VALUE"""),"Handgun")</f>
        <v>Handgun</v>
      </c>
      <c r="C323" s="5"/>
      <c r="D323" s="5"/>
    </row>
    <row r="324" spans="1:4" ht="13">
      <c r="A324" s="5" t="str">
        <f ca="1">IFERROR(__xludf.DUMMYFUNCTION("""COMPUTED_VALUE"""),"20220324VARIW")</f>
        <v>20220324VARIW</v>
      </c>
      <c r="B324" s="5" t="str">
        <f ca="1">IFERROR(__xludf.DUMMYFUNCTION("""COMPUTED_VALUE"""),"Multiple Rifles")</f>
        <v>Multiple Rifles</v>
      </c>
      <c r="C324" s="5"/>
      <c r="D324" s="5" t="str">
        <f ca="1">IFERROR(__xludf.DUMMYFUNCTION("""COMPUTED_VALUE"""),"Rifle and shotgun")</f>
        <v>Rifle and shotgun</v>
      </c>
    </row>
    <row r="325" spans="1:4" ht="13">
      <c r="A325" s="5" t="str">
        <f ca="1">IFERROR(__xludf.DUMMYFUNCTION("""COMPUTED_VALUE"""),"20220322VAJAR")</f>
        <v>20220322VAJAR</v>
      </c>
      <c r="B325" s="5" t="str">
        <f ca="1">IFERROR(__xludf.DUMMYFUNCTION("""COMPUTED_VALUE"""),"Handgun")</f>
        <v>Handgun</v>
      </c>
      <c r="C325" s="5"/>
      <c r="D325" s="5"/>
    </row>
    <row r="326" spans="1:4" ht="13">
      <c r="A326" s="5" t="str">
        <f ca="1">IFERROR(__xludf.DUMMYFUNCTION("""COMPUTED_VALUE"""),"20220322TXWOD")</f>
        <v>20220322TXWOD</v>
      </c>
      <c r="B326" s="5" t="str">
        <f ca="1">IFERROR(__xludf.DUMMYFUNCTION("""COMPUTED_VALUE"""),"Handgun")</f>
        <v>Handgun</v>
      </c>
      <c r="C326" s="5"/>
      <c r="D326" s="5"/>
    </row>
    <row r="327" spans="1:4" ht="13">
      <c r="A327" s="5" t="str">
        <f ca="1">IFERROR(__xludf.DUMMYFUNCTION("""COMPUTED_VALUE"""),"20220322FLNEN")</f>
        <v>20220322FLNEN</v>
      </c>
      <c r="B327" s="5" t="str">
        <f ca="1">IFERROR(__xludf.DUMMYFUNCTION("""COMPUTED_VALUE"""),"Other")</f>
        <v>Other</v>
      </c>
      <c r="C327" s="5" t="str">
        <f ca="1">IFERROR(__xludf.DUMMYFUNCTION("""COMPUTED_VALUE"""),"Pellet")</f>
        <v>Pellet</v>
      </c>
      <c r="D327" s="5" t="str">
        <f ca="1">IFERROR(__xludf.DUMMYFUNCTION("""COMPUTED_VALUE"""),"Gel pellet gun")</f>
        <v>Gel pellet gun</v>
      </c>
    </row>
    <row r="328" spans="1:4" ht="13">
      <c r="A328" s="5" t="str">
        <f ca="1">IFERROR(__xludf.DUMMYFUNCTION("""COMPUTED_VALUE"""),"20220321MSLEP")</f>
        <v>20220321MSLEP</v>
      </c>
      <c r="B328" s="5"/>
      <c r="C328" s="5"/>
      <c r="D328" s="5"/>
    </row>
    <row r="329" spans="1:4" ht="13">
      <c r="A329" s="5" t="str">
        <f ca="1">IFERROR(__xludf.DUMMYFUNCTION("""COMPUTED_VALUE"""),"20220321MIMAK")</f>
        <v>20220321MIMAK</v>
      </c>
      <c r="B329" s="5" t="str">
        <f ca="1">IFERROR(__xludf.DUMMYFUNCTION("""COMPUTED_VALUE"""),"Handgun")</f>
        <v>Handgun</v>
      </c>
      <c r="C329" s="5" t="str">
        <f ca="1">IFERROR(__xludf.DUMMYFUNCTION("""COMPUTED_VALUE"""),"9mm")</f>
        <v>9mm</v>
      </c>
      <c r="D329" s="5"/>
    </row>
    <row r="330" spans="1:4" ht="13">
      <c r="A330" s="5" t="str">
        <f ca="1">IFERROR(__xludf.DUMMYFUNCTION("""COMPUTED_VALUE"""),"20220321AZDES")</f>
        <v>20220321AZDES</v>
      </c>
      <c r="B330" s="5" t="str">
        <f ca="1">IFERROR(__xludf.DUMMYFUNCTION("""COMPUTED_VALUE"""),"Handgun")</f>
        <v>Handgun</v>
      </c>
      <c r="C330" s="5"/>
      <c r="D330" s="5"/>
    </row>
    <row r="331" spans="1:4" ht="13">
      <c r="A331" s="5" t="str">
        <f ca="1">IFERROR(__xludf.DUMMYFUNCTION("""COMPUTED_VALUE"""),"20220319ALCEL")</f>
        <v>20220319ALCEL</v>
      </c>
      <c r="B331" s="5" t="str">
        <f ca="1">IFERROR(__xludf.DUMMYFUNCTION("""COMPUTED_VALUE"""),"Handgun")</f>
        <v>Handgun</v>
      </c>
      <c r="C331" s="5"/>
      <c r="D331" s="5"/>
    </row>
    <row r="332" spans="1:4" ht="13">
      <c r="A332" s="5" t="str">
        <f ca="1">IFERROR(__xludf.DUMMYFUNCTION("""COMPUTED_VALUE"""),"20220318RICEP")</f>
        <v>20220318RICEP</v>
      </c>
      <c r="B332" s="5" t="str">
        <f ca="1">IFERROR(__xludf.DUMMYFUNCTION("""COMPUTED_VALUE"""),"Other")</f>
        <v>Other</v>
      </c>
      <c r="C332" s="5" t="str">
        <f ca="1">IFERROR(__xludf.DUMMYFUNCTION("""COMPUTED_VALUE"""),"Pellet")</f>
        <v>Pellet</v>
      </c>
      <c r="D332" s="5" t="str">
        <f ca="1">IFERROR(__xludf.DUMMYFUNCTION("""COMPUTED_VALUE"""),"Gel pellet gun")</f>
        <v>Gel pellet gun</v>
      </c>
    </row>
    <row r="333" spans="1:4" ht="13">
      <c r="A333" s="5" t="str">
        <f ca="1">IFERROR(__xludf.DUMMYFUNCTION("""COMPUTED_VALUE"""),"20220318ILBAB")</f>
        <v>20220318ILBAB</v>
      </c>
      <c r="B333" s="5" t="str">
        <f ca="1">IFERROR(__xludf.DUMMYFUNCTION("""COMPUTED_VALUE"""),"Other")</f>
        <v>Other</v>
      </c>
      <c r="C333" s="5" t="str">
        <f ca="1">IFERROR(__xludf.DUMMYFUNCTION("""COMPUTED_VALUE"""),"Pellet")</f>
        <v>Pellet</v>
      </c>
      <c r="D333" s="5" t="str">
        <f ca="1">IFERROR(__xludf.DUMMYFUNCTION("""COMPUTED_VALUE"""),"Gel pellet gun")</f>
        <v>Gel pellet gun</v>
      </c>
    </row>
    <row r="334" spans="1:4" ht="13">
      <c r="A334" s="5" t="str">
        <f ca="1">IFERROR(__xludf.DUMMYFUNCTION("""COMPUTED_VALUE"""),"20220317AKREW")</f>
        <v>20220317AKREW</v>
      </c>
      <c r="B334" s="5" t="str">
        <f ca="1">IFERROR(__xludf.DUMMYFUNCTION("""COMPUTED_VALUE"""),"Handgun")</f>
        <v>Handgun</v>
      </c>
      <c r="C334" s="5"/>
      <c r="D334" s="5"/>
    </row>
    <row r="335" spans="1:4" ht="13">
      <c r="A335" s="5" t="str">
        <f ca="1">IFERROR(__xludf.DUMMYFUNCTION("""COMPUTED_VALUE"""),"20220316CALOR")</f>
        <v>20220316CALOR</v>
      </c>
      <c r="B335" s="5" t="str">
        <f ca="1">IFERROR(__xludf.DUMMYFUNCTION("""COMPUTED_VALUE"""),"Handgun")</f>
        <v>Handgun</v>
      </c>
      <c r="C335" s="5"/>
      <c r="D335" s="5"/>
    </row>
    <row r="336" spans="1:4" ht="13">
      <c r="A336" s="5" t="str">
        <f ca="1">IFERROR(__xludf.DUMMYFUNCTION("""COMPUTED_VALUE"""),"20220315WAEIY")</f>
        <v>20220315WAEIY</v>
      </c>
      <c r="B336" s="5" t="str">
        <f ca="1">IFERROR(__xludf.DUMMYFUNCTION("""COMPUTED_VALUE"""),"Multiple Handguns")</f>
        <v>Multiple Handguns</v>
      </c>
      <c r="C336" s="5"/>
      <c r="D336" s="5"/>
    </row>
    <row r="337" spans="1:4" ht="13">
      <c r="A337" s="5" t="str">
        <f ca="1">IFERROR(__xludf.DUMMYFUNCTION("""COMPUTED_VALUE"""),"20220315MDPAB")</f>
        <v>20220315MDPAB</v>
      </c>
      <c r="B337" s="5" t="str">
        <f ca="1">IFERROR(__xludf.DUMMYFUNCTION("""COMPUTED_VALUE"""),"Handgun")</f>
        <v>Handgun</v>
      </c>
      <c r="C337" s="5"/>
      <c r="D337" s="5"/>
    </row>
    <row r="338" spans="1:4" ht="13">
      <c r="A338" s="5" t="str">
        <f ca="1">IFERROR(__xludf.DUMMYFUNCTION("""COMPUTED_VALUE"""),"20220315MATEB")</f>
        <v>20220315MATEB</v>
      </c>
      <c r="B338" s="5" t="str">
        <f ca="1">IFERROR(__xludf.DUMMYFUNCTION("""COMPUTED_VALUE"""),"Multiple Handguns")</f>
        <v>Multiple Handguns</v>
      </c>
      <c r="C338" s="5"/>
      <c r="D338" s="5" t="str">
        <f ca="1">IFERROR(__xludf.DUMMYFUNCTION("""COMPUTED_VALUE"""),"9mm glock handgun and .22 handgun with laser sight")</f>
        <v>9mm glock handgun and .22 handgun with laser sight</v>
      </c>
    </row>
    <row r="339" spans="1:4" ht="13">
      <c r="A339" s="5" t="str">
        <f ca="1">IFERROR(__xludf.DUMMYFUNCTION("""COMPUTED_VALUE"""),"20220315GAFOF")</f>
        <v>20220315GAFOF</v>
      </c>
      <c r="B339" s="5" t="str">
        <f ca="1">IFERROR(__xludf.DUMMYFUNCTION("""COMPUTED_VALUE"""),"Handgun")</f>
        <v>Handgun</v>
      </c>
      <c r="C339" s="5"/>
      <c r="D339" s="5"/>
    </row>
    <row r="340" spans="1:4" ht="13">
      <c r="A340" s="5" t="str">
        <f ca="1">IFERROR(__xludf.DUMMYFUNCTION("""COMPUTED_VALUE"""),"20220314CAKRP")</f>
        <v>20220314CAKRP</v>
      </c>
      <c r="B340" s="5" t="str">
        <f ca="1">IFERROR(__xludf.DUMMYFUNCTION("""COMPUTED_VALUE"""),"Handgun")</f>
        <v>Handgun</v>
      </c>
      <c r="C340" s="5"/>
      <c r="D340" s="5"/>
    </row>
    <row r="341" spans="1:4" ht="13">
      <c r="A341" s="5" t="str">
        <f ca="1">IFERROR(__xludf.DUMMYFUNCTION("""COMPUTED_VALUE"""),"20220313PANEP")</f>
        <v>20220313PANEP</v>
      </c>
      <c r="B341" s="5"/>
      <c r="C341" s="5"/>
      <c r="D341" s="5"/>
    </row>
    <row r="342" spans="1:4" ht="13">
      <c r="A342" s="5" t="str">
        <f ca="1">IFERROR(__xludf.DUMMYFUNCTION("""COMPUTED_VALUE"""),"20220313PANEP")</f>
        <v>20220313PANEP</v>
      </c>
      <c r="B342" s="5"/>
      <c r="C342" s="5"/>
      <c r="D342" s="5"/>
    </row>
    <row r="343" spans="1:4" ht="13">
      <c r="A343" s="5" t="str">
        <f ca="1">IFERROR(__xludf.DUMMYFUNCTION("""COMPUTED_VALUE"""),"20220311WIJER")</f>
        <v>20220311WIJER</v>
      </c>
      <c r="B343" s="5" t="str">
        <f ca="1">IFERROR(__xludf.DUMMYFUNCTION("""COMPUTED_VALUE"""),"Handgun")</f>
        <v>Handgun</v>
      </c>
      <c r="C343" s="5"/>
      <c r="D343" s="5"/>
    </row>
    <row r="344" spans="1:4" ht="13">
      <c r="A344" s="5" t="str">
        <f ca="1">IFERROR(__xludf.DUMMYFUNCTION("""COMPUTED_VALUE"""),"20220311OHMAM")</f>
        <v>20220311OHMAM</v>
      </c>
      <c r="B344" s="5"/>
      <c r="C344" s="5"/>
      <c r="D344" s="5"/>
    </row>
    <row r="345" spans="1:4" ht="13">
      <c r="A345" s="5" t="str">
        <f ca="1">IFERROR(__xludf.DUMMYFUNCTION("""COMPUTED_VALUE"""),"20220311OHFAP")</f>
        <v>20220311OHFAP</v>
      </c>
      <c r="B345" s="5" t="str">
        <f ca="1">IFERROR(__xludf.DUMMYFUNCTION("""COMPUTED_VALUE"""),"Handgun")</f>
        <v>Handgun</v>
      </c>
      <c r="C345" s="5"/>
      <c r="D345" s="5"/>
    </row>
    <row r="346" spans="1:4" ht="13">
      <c r="A346" s="5" t="str">
        <f ca="1">IFERROR(__xludf.DUMMYFUNCTION("""COMPUTED_VALUE"""),"20220311CADER")</f>
        <v>20220311CADER</v>
      </c>
      <c r="B346" s="5" t="str">
        <f ca="1">IFERROR(__xludf.DUMMYFUNCTION("""COMPUTED_VALUE"""),"Handgun")</f>
        <v>Handgun</v>
      </c>
      <c r="C346" s="5"/>
      <c r="D346" s="5"/>
    </row>
    <row r="347" spans="1:4" ht="13">
      <c r="A347" s="5" t="str">
        <f ca="1">IFERROR(__xludf.DUMMYFUNCTION("""COMPUTED_VALUE"""),"20220310TNHAM")</f>
        <v>20220310TNHAM</v>
      </c>
      <c r="B347" s="5" t="str">
        <f ca="1">IFERROR(__xludf.DUMMYFUNCTION("""COMPUTED_VALUE"""),"Handgun")</f>
        <v>Handgun</v>
      </c>
      <c r="C347" s="5"/>
      <c r="D347" s="5"/>
    </row>
    <row r="348" spans="1:4" ht="13">
      <c r="A348" s="5" t="str">
        <f ca="1">IFERROR(__xludf.DUMMYFUNCTION("""COMPUTED_VALUE"""),"20220310MDCOL")</f>
        <v>20220310MDCOL</v>
      </c>
      <c r="B348" s="5" t="str">
        <f ca="1">IFERROR(__xludf.DUMMYFUNCTION("""COMPUTED_VALUE"""),"Handgun")</f>
        <v>Handgun</v>
      </c>
      <c r="C348" s="5"/>
      <c r="D348" s="5"/>
    </row>
    <row r="349" spans="1:4" ht="13">
      <c r="A349" s="5" t="str">
        <f ca="1">IFERROR(__xludf.DUMMYFUNCTION("""COMPUTED_VALUE"""),"20220310COROH")</f>
        <v>20220310COROH</v>
      </c>
      <c r="B349" s="5" t="str">
        <f ca="1">IFERROR(__xludf.DUMMYFUNCTION("""COMPUTED_VALUE"""),"Other")</f>
        <v>Other</v>
      </c>
      <c r="C349" s="5"/>
      <c r="D349" s="5" t="str">
        <f ca="1">IFERROR(__xludf.DUMMYFUNCTION("""COMPUTED_VALUE"""),"Water pellet gun")</f>
        <v>Water pellet gun</v>
      </c>
    </row>
    <row r="350" spans="1:4" ht="13">
      <c r="A350" s="5" t="str">
        <f ca="1">IFERROR(__xludf.DUMMYFUNCTION("""COMPUTED_VALUE"""),"20220309TXNOH")</f>
        <v>20220309TXNOH</v>
      </c>
      <c r="B350" s="5" t="str">
        <f ca="1">IFERROR(__xludf.DUMMYFUNCTION("""COMPUTED_VALUE"""),"Handgun")</f>
        <v>Handgun</v>
      </c>
      <c r="C350" s="5"/>
      <c r="D350" s="5"/>
    </row>
    <row r="351" spans="1:4" ht="13">
      <c r="A351" s="5" t="str">
        <f ca="1">IFERROR(__xludf.DUMMYFUNCTION("""COMPUTED_VALUE"""),"20220309NMESE")</f>
        <v>20220309NMESE</v>
      </c>
      <c r="B351" s="5" t="str">
        <f ca="1">IFERROR(__xludf.DUMMYFUNCTION("""COMPUTED_VALUE"""),"Other")</f>
        <v>Other</v>
      </c>
      <c r="C351" s="5"/>
      <c r="D351" s="5" t="str">
        <f ca="1">IFERROR(__xludf.DUMMYFUNCTION("""COMPUTED_VALUE"""),"Paintball gun")</f>
        <v>Paintball gun</v>
      </c>
    </row>
    <row r="352" spans="1:4" ht="13">
      <c r="A352" s="5" t="str">
        <f ca="1">IFERROR(__xludf.DUMMYFUNCTION("""COMPUTED_VALUE"""),"20220309FLNOM")</f>
        <v>20220309FLNOM</v>
      </c>
      <c r="B352" s="5" t="str">
        <f ca="1">IFERROR(__xludf.DUMMYFUNCTION("""COMPUTED_VALUE"""),"Handgun")</f>
        <v>Handgun</v>
      </c>
      <c r="C352" s="5"/>
      <c r="D352" s="5" t="str">
        <f ca="1">IFERROR(__xludf.DUMMYFUNCTION("""COMPUTED_VALUE"""),"Glock with extended magazine")</f>
        <v>Glock with extended magazine</v>
      </c>
    </row>
    <row r="353" spans="1:4" ht="13">
      <c r="A353" s="5" t="str">
        <f ca="1">IFERROR(__xludf.DUMMYFUNCTION("""COMPUTED_VALUE"""),"20220309FLNOM")</f>
        <v>20220309FLNOM</v>
      </c>
      <c r="B353" s="5" t="str">
        <f ca="1">IFERROR(__xludf.DUMMYFUNCTION("""COMPUTED_VALUE"""),"Rifle")</f>
        <v>Rifle</v>
      </c>
      <c r="C353" s="5"/>
      <c r="D353" s="5" t="str">
        <f ca="1">IFERROR(__xludf.DUMMYFUNCTION("""COMPUTED_VALUE"""),"Springfield AR style rifle with fully automatic firing")</f>
        <v>Springfield AR style rifle with fully automatic firing</v>
      </c>
    </row>
    <row r="354" spans="1:4" ht="13">
      <c r="A354" s="5" t="str">
        <f ca="1">IFERROR(__xludf.DUMMYFUNCTION("""COMPUTED_VALUE"""),"20220307IAEAD")</f>
        <v>20220307IAEAD</v>
      </c>
      <c r="B354" s="5" t="str">
        <f ca="1">IFERROR(__xludf.DUMMYFUNCTION("""COMPUTED_VALUE"""),"Multiple Handguns")</f>
        <v>Multiple Handguns</v>
      </c>
      <c r="C354" s="5"/>
      <c r="D354" s="5" t="str">
        <f ca="1">IFERROR(__xludf.DUMMYFUNCTION("""COMPUTED_VALUE"""),"6 handguns recovered from suspects")</f>
        <v>6 handguns recovered from suspects</v>
      </c>
    </row>
    <row r="355" spans="1:4" ht="13">
      <c r="A355" s="5" t="str">
        <f ca="1">IFERROR(__xludf.DUMMYFUNCTION("""COMPUTED_VALUE"""),"20220304KSOLO")</f>
        <v>20220304KSOLO</v>
      </c>
      <c r="B355" s="5" t="str">
        <f ca="1">IFERROR(__xludf.DUMMYFUNCTION("""COMPUTED_VALUE"""),"Handgun")</f>
        <v>Handgun</v>
      </c>
      <c r="C355" s="5"/>
      <c r="D355" s="5"/>
    </row>
    <row r="356" spans="1:4" ht="13">
      <c r="A356" s="5" t="str">
        <f ca="1">IFERROR(__xludf.DUMMYFUNCTION("""COMPUTED_VALUE"""),"20220303MIJWL")</f>
        <v>20220303MIJWL</v>
      </c>
      <c r="B356" s="5" t="str">
        <f ca="1">IFERROR(__xludf.DUMMYFUNCTION("""COMPUTED_VALUE"""),"Handgun")</f>
        <v>Handgun</v>
      </c>
      <c r="C356" s="5"/>
      <c r="D356" s="5"/>
    </row>
    <row r="357" spans="1:4" ht="13">
      <c r="A357" s="5" t="str">
        <f ca="1">IFERROR(__xludf.DUMMYFUNCTION("""COMPUTED_VALUE"""),"20220228NYBOB")</f>
        <v>20220228NYBOB</v>
      </c>
      <c r="B357" s="5" t="str">
        <f ca="1">IFERROR(__xludf.DUMMYFUNCTION("""COMPUTED_VALUE"""),"Handgun")</f>
        <v>Handgun</v>
      </c>
      <c r="C357" s="5"/>
      <c r="D357" s="5"/>
    </row>
    <row r="358" spans="1:4" ht="13">
      <c r="A358" s="5" t="str">
        <f ca="1">IFERROR(__xludf.DUMMYFUNCTION("""COMPUTED_VALUE"""),"20220227DCDUW")</f>
        <v>20220227DCDUW</v>
      </c>
      <c r="B358" s="5" t="str">
        <f ca="1">IFERROR(__xludf.DUMMYFUNCTION("""COMPUTED_VALUE"""),"Handgun")</f>
        <v>Handgun</v>
      </c>
      <c r="C358" s="5"/>
      <c r="D358" s="5"/>
    </row>
    <row r="359" spans="1:4" ht="13">
      <c r="A359" s="5" t="str">
        <f ca="1">IFERROR(__xludf.DUMMYFUNCTION("""COMPUTED_VALUE"""),"20220225NMWEA")</f>
        <v>20220225NMWEA</v>
      </c>
      <c r="B359" s="5" t="str">
        <f ca="1">IFERROR(__xludf.DUMMYFUNCTION("""COMPUTED_VALUE"""),"Handgun")</f>
        <v>Handgun</v>
      </c>
      <c r="C359" s="5"/>
      <c r="D359" s="5" t="str">
        <f ca="1">IFERROR(__xludf.DUMMYFUNCTION("""COMPUTED_VALUE"""),"Replica glock ""ghost gun"" purchased online")</f>
        <v>Replica glock "ghost gun" purchased online</v>
      </c>
    </row>
    <row r="360" spans="1:4" ht="13">
      <c r="A360" s="5" t="str">
        <f ca="1">IFERROR(__xludf.DUMMYFUNCTION("""COMPUTED_VALUE"""),"20220225ALSOH")</f>
        <v>20220225ALSOH</v>
      </c>
      <c r="B360" s="5" t="str">
        <f ca="1">IFERROR(__xludf.DUMMYFUNCTION("""COMPUTED_VALUE"""),"Handgun")</f>
        <v>Handgun</v>
      </c>
      <c r="C360" s="5"/>
      <c r="D360" s="5"/>
    </row>
    <row r="361" spans="1:4" ht="13">
      <c r="A361" s="5" t="str">
        <f ca="1">IFERROR(__xludf.DUMMYFUNCTION("""COMPUTED_VALUE"""),"20220223VAWOW")</f>
        <v>20220223VAWOW</v>
      </c>
      <c r="B361" s="5" t="str">
        <f ca="1">IFERROR(__xludf.DUMMYFUNCTION("""COMPUTED_VALUE"""),"Handgun")</f>
        <v>Handgun</v>
      </c>
      <c r="C361" s="5"/>
      <c r="D361" s="5"/>
    </row>
    <row r="362" spans="1:4" ht="13">
      <c r="A362" s="5" t="str">
        <f ca="1">IFERROR(__xludf.DUMMYFUNCTION("""COMPUTED_VALUE"""),"20220222TXALH")</f>
        <v>20220222TXALH</v>
      </c>
      <c r="B362" s="5" t="str">
        <f ca="1">IFERROR(__xludf.DUMMYFUNCTION("""COMPUTED_VALUE"""),"Handgun")</f>
        <v>Handgun</v>
      </c>
      <c r="C362" s="5"/>
      <c r="D362" s="5"/>
    </row>
    <row r="363" spans="1:4" ht="13">
      <c r="A363" s="5" t="str">
        <f ca="1">IFERROR(__xludf.DUMMYFUNCTION("""COMPUTED_VALUE"""),"20220222COLIP")</f>
        <v>20220222COLIP</v>
      </c>
      <c r="B363" s="5" t="str">
        <f ca="1">IFERROR(__xludf.DUMMYFUNCTION("""COMPUTED_VALUE"""),"Handgun")</f>
        <v>Handgun</v>
      </c>
      <c r="C363" s="5" t="str">
        <f ca="1">IFERROR(__xludf.DUMMYFUNCTION("""COMPUTED_VALUE"""),"Service Weapon")</f>
        <v>Service Weapon</v>
      </c>
      <c r="D363" s="5"/>
    </row>
    <row r="364" spans="1:4" ht="13">
      <c r="A364" s="5" t="str">
        <f ca="1">IFERROR(__xludf.DUMMYFUNCTION("""COMPUTED_VALUE"""),"20220221MDJOH")</f>
        <v>20220221MDJOH</v>
      </c>
      <c r="B364" s="5" t="str">
        <f ca="1">IFERROR(__xludf.DUMMYFUNCTION("""COMPUTED_VALUE"""),"Handgun")</f>
        <v>Handgun</v>
      </c>
      <c r="C364" s="5"/>
      <c r="D364" s="5"/>
    </row>
    <row r="365" spans="1:4" ht="13">
      <c r="A365" s="5" t="str">
        <f ca="1">IFERROR(__xludf.DUMMYFUNCTION("""COMPUTED_VALUE"""),"20220220OKWIW")</f>
        <v>20220220OKWIW</v>
      </c>
      <c r="B365" s="5" t="str">
        <f ca="1">IFERROR(__xludf.DUMMYFUNCTION("""COMPUTED_VALUE"""),"Handgun")</f>
        <v>Handgun</v>
      </c>
      <c r="C365" s="5"/>
      <c r="D365" s="5"/>
    </row>
    <row r="366" spans="1:4" ht="13">
      <c r="A366" s="5" t="str">
        <f ca="1">IFERROR(__xludf.DUMMYFUNCTION("""COMPUTED_VALUE"""),"20220220MSMCM")</f>
        <v>20220220MSMCM</v>
      </c>
      <c r="B366" s="5"/>
      <c r="C366" s="5"/>
      <c r="D366" s="5"/>
    </row>
    <row r="367" spans="1:4" ht="13">
      <c r="A367" s="5" t="str">
        <f ca="1">IFERROR(__xludf.DUMMYFUNCTION("""COMPUTED_VALUE"""),"20220219VACAC")</f>
        <v>20220219VACAC</v>
      </c>
      <c r="B367" s="5"/>
      <c r="C367" s="5"/>
      <c r="D367" s="5"/>
    </row>
    <row r="368" spans="1:4" ht="13">
      <c r="A368" s="5" t="str">
        <f ca="1">IFERROR(__xludf.DUMMYFUNCTION("""COMPUTED_VALUE"""),"20220218MATET")</f>
        <v>20220218MATET</v>
      </c>
      <c r="B368" s="5" t="str">
        <f ca="1">IFERROR(__xludf.DUMMYFUNCTION("""COMPUTED_VALUE"""),"Other")</f>
        <v>Other</v>
      </c>
      <c r="C368" s="5" t="str">
        <f ca="1">IFERROR(__xludf.DUMMYFUNCTION("""COMPUTED_VALUE"""),"Pellet")</f>
        <v>Pellet</v>
      </c>
      <c r="D368" s="5" t="str">
        <f ca="1">IFERROR(__xludf.DUMMYFUNCTION("""COMPUTED_VALUE"""),"Gel pellet")</f>
        <v>Gel pellet</v>
      </c>
    </row>
    <row r="369" spans="1:4" ht="13">
      <c r="A369" s="5" t="str">
        <f ca="1">IFERROR(__xludf.DUMMYFUNCTION("""COMPUTED_VALUE"""),"20220217WAMCG")</f>
        <v>20220217WAMCG</v>
      </c>
      <c r="B369" s="5" t="str">
        <f ca="1">IFERROR(__xludf.DUMMYFUNCTION("""COMPUTED_VALUE"""),"Handgun")</f>
        <v>Handgun</v>
      </c>
      <c r="C369" s="5"/>
      <c r="D369" s="5"/>
    </row>
    <row r="370" spans="1:4" ht="13">
      <c r="A370" s="5" t="str">
        <f ca="1">IFERROR(__xludf.DUMMYFUNCTION("""COMPUTED_VALUE"""),"20220214FLLAL")</f>
        <v>20220214FLLAL</v>
      </c>
      <c r="B370" s="5" t="str">
        <f ca="1">IFERROR(__xludf.DUMMYFUNCTION("""COMPUTED_VALUE"""),"Handgun")</f>
        <v>Handgun</v>
      </c>
      <c r="C370" s="5"/>
      <c r="D370" s="5"/>
    </row>
    <row r="371" spans="1:4" ht="13">
      <c r="A371" s="5" t="str">
        <f ca="1">IFERROR(__xludf.DUMMYFUNCTION("""COMPUTED_VALUE"""),"20220211DCEAW")</f>
        <v>20220211DCEAW</v>
      </c>
      <c r="B371" s="5" t="str">
        <f ca="1">IFERROR(__xludf.DUMMYFUNCTION("""COMPUTED_VALUE"""),"Handgun")</f>
        <v>Handgun</v>
      </c>
      <c r="C371" s="5"/>
      <c r="D371" s="5"/>
    </row>
    <row r="372" spans="1:4" ht="13">
      <c r="A372" s="5" t="str">
        <f ca="1">IFERROR(__xludf.DUMMYFUNCTION("""COMPUTED_VALUE"""),"20220209NYMCB")</f>
        <v>20220209NYMCB</v>
      </c>
      <c r="B372" s="5" t="str">
        <f ca="1">IFERROR(__xludf.DUMMYFUNCTION("""COMPUTED_VALUE"""),"Handgun")</f>
        <v>Handgun</v>
      </c>
      <c r="C372" s="5"/>
      <c r="D372" s="5"/>
    </row>
    <row r="373" spans="1:4" ht="13">
      <c r="A373" s="5" t="str">
        <f ca="1">IFERROR(__xludf.DUMMYFUNCTION("""COMPUTED_VALUE"""),"20220209MNMIM")</f>
        <v>20220209MNMIM</v>
      </c>
      <c r="B373" s="5"/>
      <c r="C373" s="5"/>
      <c r="D373" s="5"/>
    </row>
    <row r="374" spans="1:4" ht="13">
      <c r="A374" s="5" t="str">
        <f ca="1">IFERROR(__xludf.DUMMYFUNCTION("""COMPUTED_VALUE"""),"20220208NYMOM")</f>
        <v>20220208NYMOM</v>
      </c>
      <c r="B374" s="5" t="str">
        <f ca="1">IFERROR(__xludf.DUMMYFUNCTION("""COMPUTED_VALUE"""),"Handgun")</f>
        <v>Handgun</v>
      </c>
      <c r="C374" s="5"/>
      <c r="D374" s="5"/>
    </row>
    <row r="375" spans="1:4" ht="13">
      <c r="A375" s="5" t="str">
        <f ca="1">IFERROR(__xludf.DUMMYFUNCTION("""COMPUTED_VALUE"""),"20220208MDCAC")</f>
        <v>20220208MDCAC</v>
      </c>
      <c r="B375" s="5" t="str">
        <f ca="1">IFERROR(__xludf.DUMMYFUNCTION("""COMPUTED_VALUE"""),"Handgun")</f>
        <v>Handgun</v>
      </c>
      <c r="C375" s="5"/>
      <c r="D375" s="5"/>
    </row>
    <row r="376" spans="1:4" ht="13">
      <c r="A376" s="5" t="str">
        <f ca="1">IFERROR(__xludf.DUMMYFUNCTION("""COMPUTED_VALUE"""),"20220204GASOD")</f>
        <v>20220204GASOD</v>
      </c>
      <c r="B376" s="5" t="str">
        <f ca="1">IFERROR(__xludf.DUMMYFUNCTION("""COMPUTED_VALUE"""),"Handgun")</f>
        <v>Handgun</v>
      </c>
      <c r="C376" s="5"/>
      <c r="D376" s="5"/>
    </row>
    <row r="377" spans="1:4" ht="13">
      <c r="A377" s="5" t="str">
        <f ca="1">IFERROR(__xludf.DUMMYFUNCTION("""COMPUTED_VALUE"""),"20220204ALWEB")</f>
        <v>20220204ALWEB</v>
      </c>
      <c r="B377" s="5" t="str">
        <f ca="1">IFERROR(__xludf.DUMMYFUNCTION("""COMPUTED_VALUE"""),"Handgun")</f>
        <v>Handgun</v>
      </c>
      <c r="C377" s="5"/>
      <c r="D377" s="5"/>
    </row>
    <row r="378" spans="1:4" ht="13">
      <c r="A378" s="5" t="str">
        <f ca="1">IFERROR(__xludf.DUMMYFUNCTION("""COMPUTED_VALUE"""),"20220203NCSPS")</f>
        <v>20220203NCSPS</v>
      </c>
      <c r="B378" s="5"/>
      <c r="C378" s="5"/>
      <c r="D378" s="5"/>
    </row>
    <row r="379" spans="1:4" ht="13">
      <c r="A379" s="5" t="str">
        <f ca="1">IFERROR(__xludf.DUMMYFUNCTION("""COMPUTED_VALUE"""),"20220202KYLOR")</f>
        <v>20220202KYLOR</v>
      </c>
      <c r="B379" s="5"/>
      <c r="C379" s="5"/>
      <c r="D379" s="5"/>
    </row>
    <row r="380" spans="1:4" ht="13">
      <c r="A380" s="5" t="str">
        <f ca="1">IFERROR(__xludf.DUMMYFUNCTION("""COMPUTED_VALUE"""),"20220201WIRUM")</f>
        <v>20220201WIRUM</v>
      </c>
      <c r="B380" s="5" t="str">
        <f ca="1">IFERROR(__xludf.DUMMYFUNCTION("""COMPUTED_VALUE"""),"Handgun")</f>
        <v>Handgun</v>
      </c>
      <c r="C380" s="5"/>
      <c r="D380" s="5"/>
    </row>
    <row r="381" spans="1:4" ht="13">
      <c r="A381" s="5" t="str">
        <f ca="1">IFERROR(__xludf.DUMMYFUNCTION("""COMPUTED_VALUE"""),"20220201WIRUM")</f>
        <v>20220201WIRUM</v>
      </c>
      <c r="B381" s="5" t="str">
        <f ca="1">IFERROR(__xludf.DUMMYFUNCTION("""COMPUTED_VALUE"""),"Handgun")</f>
        <v>Handgun</v>
      </c>
      <c r="C381" s="5"/>
      <c r="D381" s="5"/>
    </row>
    <row r="382" spans="1:4" ht="13">
      <c r="A382" s="5" t="str">
        <f ca="1">IFERROR(__xludf.DUMMYFUNCTION("""COMPUTED_VALUE"""),"20220201MNSOR")</f>
        <v>20220201MNSOR</v>
      </c>
      <c r="B382" s="5"/>
      <c r="C382" s="5"/>
      <c r="D382" s="5"/>
    </row>
    <row r="383" spans="1:4" ht="13">
      <c r="A383" s="5" t="str">
        <f ca="1">IFERROR(__xludf.DUMMYFUNCTION("""COMPUTED_VALUE"""),"20220201ILALC")</f>
        <v>20220201ILALC</v>
      </c>
      <c r="B383" s="5" t="str">
        <f ca="1">IFERROR(__xludf.DUMMYFUNCTION("""COMPUTED_VALUE"""),"Handgun")</f>
        <v>Handgun</v>
      </c>
      <c r="C383" s="5"/>
      <c r="D383" s="5"/>
    </row>
    <row r="384" spans="1:4" ht="13">
      <c r="A384" s="5" t="str">
        <f ca="1">IFERROR(__xludf.DUMMYFUNCTION("""COMPUTED_VALUE"""),"20220129WIBEB")</f>
        <v>20220129WIBEB</v>
      </c>
      <c r="B384" s="5" t="str">
        <f ca="1">IFERROR(__xludf.DUMMYFUNCTION("""COMPUTED_VALUE"""),"Handgun")</f>
        <v>Handgun</v>
      </c>
      <c r="C384" s="5"/>
      <c r="D384" s="5"/>
    </row>
    <row r="385" spans="1:4" ht="13">
      <c r="A385" s="5" t="str">
        <f ca="1">IFERROR(__xludf.DUMMYFUNCTION("""COMPUTED_VALUE"""),"20220128LACAM")</f>
        <v>20220128LACAM</v>
      </c>
      <c r="B385" s="5" t="str">
        <f ca="1">IFERROR(__xludf.DUMMYFUNCTION("""COMPUTED_VALUE"""),"Handgun")</f>
        <v>Handgun</v>
      </c>
      <c r="C385" s="5"/>
      <c r="D385" s="5"/>
    </row>
    <row r="386" spans="1:4" ht="13">
      <c r="A386" s="5" t="str">
        <f ca="1">IFERROR(__xludf.DUMMYFUNCTION("""COMPUTED_VALUE"""),"20220127TXMOH")</f>
        <v>20220127TXMOH</v>
      </c>
      <c r="B386" s="5" t="str">
        <f ca="1">IFERROR(__xludf.DUMMYFUNCTION("""COMPUTED_VALUE"""),"Handgun")</f>
        <v>Handgun</v>
      </c>
      <c r="C386" s="5"/>
      <c r="D386" s="5"/>
    </row>
    <row r="387" spans="1:4" ht="13">
      <c r="A387" s="5" t="str">
        <f ca="1">IFERROR(__xludf.DUMMYFUNCTION("""COMPUTED_VALUE"""),"20220126PABAP")</f>
        <v>20220126PABAP</v>
      </c>
      <c r="B387" s="5" t="str">
        <f ca="1">IFERROR(__xludf.DUMMYFUNCTION("""COMPUTED_VALUE"""),"Handgun")</f>
        <v>Handgun</v>
      </c>
      <c r="C387" s="5"/>
      <c r="D387" s="5"/>
    </row>
    <row r="388" spans="1:4" ht="13">
      <c r="A388" s="5" t="str">
        <f ca="1">IFERROR(__xludf.DUMMYFUNCTION("""COMPUTED_VALUE"""),"20220124NVSUL")</f>
        <v>20220124NVSUL</v>
      </c>
      <c r="B388" s="5"/>
      <c r="C388" s="5"/>
      <c r="D388" s="5"/>
    </row>
    <row r="389" spans="1:4" ht="13">
      <c r="A389" s="5" t="str">
        <f ca="1">IFERROR(__xludf.DUMMYFUNCTION("""COMPUTED_VALUE"""),"20220124IDDAD")</f>
        <v>20220124IDDAD</v>
      </c>
      <c r="B389" s="5" t="str">
        <f ca="1">IFERROR(__xludf.DUMMYFUNCTION("""COMPUTED_VALUE"""),"Rifle")</f>
        <v>Rifle</v>
      </c>
      <c r="C389" s="5"/>
      <c r="D389" s="5" t="str">
        <f ca="1">IFERROR(__xludf.DUMMYFUNCTION("""COMPUTED_VALUE"""),"AR-15")</f>
        <v>AR-15</v>
      </c>
    </row>
    <row r="390" spans="1:4" ht="13">
      <c r="A390" s="5" t="str">
        <f ca="1">IFERROR(__xludf.DUMMYFUNCTION("""COMPUTED_VALUE"""),"20220121MDMAR")</f>
        <v>20220121MDMAR</v>
      </c>
      <c r="B390" s="5" t="str">
        <f ca="1">IFERROR(__xludf.DUMMYFUNCTION("""COMPUTED_VALUE"""),"Handgun")</f>
        <v>Handgun</v>
      </c>
      <c r="C390" s="5" t="str">
        <f ca="1">IFERROR(__xludf.DUMMYFUNCTION("""COMPUTED_VALUE"""),"9mm")</f>
        <v>9mm</v>
      </c>
      <c r="D390" s="5" t="str">
        <f ca="1">IFERROR(__xludf.DUMMYFUNCTION("""COMPUTED_VALUE"""),"Ghost gun purchased online and assembled by shooter and friend")</f>
        <v>Ghost gun purchased online and assembled by shooter and friend</v>
      </c>
    </row>
    <row r="391" spans="1:4" ht="13">
      <c r="A391" s="5" t="str">
        <f ca="1">IFERROR(__xludf.DUMMYFUNCTION("""COMPUTED_VALUE"""),"20220121GAMCA")</f>
        <v>20220121GAMCA</v>
      </c>
      <c r="B391" s="5"/>
      <c r="C391" s="5"/>
      <c r="D391" s="5"/>
    </row>
    <row r="392" spans="1:4" ht="13">
      <c r="A392" s="5" t="str">
        <f ca="1">IFERROR(__xludf.DUMMYFUNCTION("""COMPUTED_VALUE"""),"20220119VAMAP")</f>
        <v>20220119VAMAP</v>
      </c>
      <c r="B392" s="5" t="str">
        <f ca="1">IFERROR(__xludf.DUMMYFUNCTION("""COMPUTED_VALUE"""),"Handgun")</f>
        <v>Handgun</v>
      </c>
      <c r="C392" s="5"/>
      <c r="D392" s="5"/>
    </row>
    <row r="393" spans="1:4" ht="13">
      <c r="A393" s="5" t="str">
        <f ca="1">IFERROR(__xludf.DUMMYFUNCTION("""COMPUTED_VALUE"""),"20220119VAMAP")</f>
        <v>20220119VAMAP</v>
      </c>
      <c r="B393" s="5" t="str">
        <f ca="1">IFERROR(__xludf.DUMMYFUNCTION("""COMPUTED_VALUE"""),"Handgun")</f>
        <v>Handgun</v>
      </c>
      <c r="C393" s="5"/>
      <c r="D393" s="5"/>
    </row>
    <row r="394" spans="1:4" ht="13">
      <c r="A394" s="5" t="str">
        <f ca="1">IFERROR(__xludf.DUMMYFUNCTION("""COMPUTED_VALUE"""),"20220119FLSES")</f>
        <v>20220119FLSES</v>
      </c>
      <c r="B394" s="5" t="str">
        <f ca="1">IFERROR(__xludf.DUMMYFUNCTION("""COMPUTED_VALUE"""),"Handgun")</f>
        <v>Handgun</v>
      </c>
      <c r="C394" s="5" t="str">
        <f ca="1">IFERROR(__xludf.DUMMYFUNCTION("""COMPUTED_VALUE"""),"9mm")</f>
        <v>9mm</v>
      </c>
      <c r="D394" s="5"/>
    </row>
    <row r="395" spans="1:4" ht="13">
      <c r="A395" s="5" t="str">
        <f ca="1">IFERROR(__xludf.DUMMYFUNCTION("""COMPUTED_VALUE"""),"20220119DCANW")</f>
        <v>20220119DCANW</v>
      </c>
      <c r="B395" s="5" t="str">
        <f ca="1">IFERROR(__xludf.DUMMYFUNCTION("""COMPUTED_VALUE"""),"Handgun")</f>
        <v>Handgun</v>
      </c>
      <c r="C395" s="5"/>
      <c r="D395" s="5"/>
    </row>
    <row r="396" spans="1:4" ht="13">
      <c r="A396" s="5" t="str">
        <f ca="1">IFERROR(__xludf.DUMMYFUNCTION("""COMPUTED_VALUE"""),"20220117TXPYH")</f>
        <v>20220117TXPYH</v>
      </c>
      <c r="B396" s="5" t="str">
        <f ca="1">IFERROR(__xludf.DUMMYFUNCTION("""COMPUTED_VALUE"""),"Multiple Handguns")</f>
        <v>Multiple Handguns</v>
      </c>
      <c r="C396" s="5"/>
      <c r="D396" s="5"/>
    </row>
    <row r="397" spans="1:4" ht="13">
      <c r="A397" s="5" t="str">
        <f ca="1">IFERROR(__xludf.DUMMYFUNCTION("""COMPUTED_VALUE"""),"20220114MDGAG")</f>
        <v>20220114MDGAG</v>
      </c>
      <c r="B397" s="5" t="str">
        <f ca="1">IFERROR(__xludf.DUMMYFUNCTION("""COMPUTED_VALUE"""),"Rifle")</f>
        <v>Rifle</v>
      </c>
      <c r="C397" s="5" t="str">
        <f ca="1">IFERROR(__xludf.DUMMYFUNCTION("""COMPUTED_VALUE"""),"AR-15")</f>
        <v>AR-15</v>
      </c>
      <c r="D397" s="5" t="str">
        <f ca="1">IFERROR(__xludf.DUMMYFUNCTION("""COMPUTED_VALUE"""),"AR-style ghost gun")</f>
        <v>AR-style ghost gun</v>
      </c>
    </row>
    <row r="398" spans="1:4" ht="13">
      <c r="A398" s="5" t="str">
        <f ca="1">IFERROR(__xludf.DUMMYFUNCTION("""COMPUTED_VALUE"""),"20220111NMVAA")</f>
        <v>20220111NMVAA</v>
      </c>
      <c r="B398" s="5"/>
      <c r="C398" s="5"/>
      <c r="D398" s="5"/>
    </row>
    <row r="399" spans="1:4" ht="13">
      <c r="A399" s="5" t="str">
        <f ca="1">IFERROR(__xludf.DUMMYFUNCTION("""COMPUTED_VALUE"""),"20220106CAFLS")</f>
        <v>20220106CAFLS</v>
      </c>
      <c r="B399" s="5" t="str">
        <f ca="1">IFERROR(__xludf.DUMMYFUNCTION("""COMPUTED_VALUE"""),"Handgun")</f>
        <v>Handgun</v>
      </c>
      <c r="C399" s="5"/>
      <c r="D399" s="5"/>
    </row>
    <row r="400" spans="1:4" ht="13">
      <c r="A400" s="5" t="str">
        <f ca="1">IFERROR(__xludf.DUMMYFUNCTION("""COMPUTED_VALUE"""),"20220104ILAUR")</f>
        <v>20220104ILAUR</v>
      </c>
      <c r="B400" s="5" t="str">
        <f ca="1">IFERROR(__xludf.DUMMYFUNCTION("""COMPUTED_VALUE"""),"Multiple Handguns")</f>
        <v>Multiple Handguns</v>
      </c>
      <c r="C400" s="5"/>
      <c r="D400" s="5"/>
    </row>
    <row r="401" spans="1:4" ht="13">
      <c r="A401" s="5" t="str">
        <f ca="1">IFERROR(__xludf.DUMMYFUNCTION("""COMPUTED_VALUE"""),"20220103WACHP")</f>
        <v>20220103WACHP</v>
      </c>
      <c r="B401" s="5" t="str">
        <f ca="1">IFERROR(__xludf.DUMMYFUNCTION("""COMPUTED_VALUE"""),"Handgun")</f>
        <v>Handgun</v>
      </c>
      <c r="C401" s="5" t="str">
        <f ca="1">IFERROR(__xludf.DUMMYFUNCTION("""COMPUTED_VALUE"""),".38 caliber")</f>
        <v>.38 caliber</v>
      </c>
      <c r="D401" s="5"/>
    </row>
    <row r="402" spans="1:4" ht="13">
      <c r="A402" s="5" t="str">
        <f ca="1">IFERROR(__xludf.DUMMYFUNCTION("""COMPUTED_VALUE"""),"20220103OHCOC")</f>
        <v>20220103OHCOC</v>
      </c>
      <c r="B402" s="5"/>
      <c r="C402" s="5"/>
      <c r="D402" s="5"/>
    </row>
    <row r="403" spans="1:4" ht="13">
      <c r="A403" s="5" t="str">
        <f ca="1">IFERROR(__xludf.DUMMYFUNCTION("""COMPUTED_VALUE"""),"20211229NCCAS")</f>
        <v>20211229NCCAS</v>
      </c>
      <c r="B403" s="5" t="str">
        <f ca="1">IFERROR(__xludf.DUMMYFUNCTION("""COMPUTED_VALUE"""),"Handgun")</f>
        <v>Handgun</v>
      </c>
      <c r="C403" s="5"/>
      <c r="D403" s="5"/>
    </row>
    <row r="404" spans="1:4" ht="13">
      <c r="A404" s="5" t="str">
        <f ca="1">IFERROR(__xludf.DUMMYFUNCTION("""COMPUTED_VALUE"""),"20211217TXWOD")</f>
        <v>20211217TXWOD</v>
      </c>
      <c r="B404" s="5" t="str">
        <f ca="1">IFERROR(__xludf.DUMMYFUNCTION("""COMPUTED_VALUE"""),"Other")</f>
        <v>Other</v>
      </c>
      <c r="C404" s="5"/>
      <c r="D404" s="5" t="str">
        <f ca="1">IFERROR(__xludf.DUMMYFUNCTION("""COMPUTED_VALUE"""),"Realistic BB rifle")</f>
        <v>Realistic BB rifle</v>
      </c>
    </row>
    <row r="405" spans="1:4" ht="13">
      <c r="A405" s="5" t="str">
        <f ca="1">IFERROR(__xludf.DUMMYFUNCTION("""COMPUTED_VALUE"""),"20211216SCEAC")</f>
        <v>20211216SCEAC</v>
      </c>
      <c r="B405" s="5" t="str">
        <f ca="1">IFERROR(__xludf.DUMMYFUNCTION("""COMPUTED_VALUE"""),"Handgun")</f>
        <v>Handgun</v>
      </c>
      <c r="C405" s="5"/>
      <c r="D405" s="5"/>
    </row>
    <row r="406" spans="1:4" ht="13">
      <c r="A406" s="5" t="str">
        <f ca="1">IFERROR(__xludf.DUMMYFUNCTION("""COMPUTED_VALUE"""),"20211216NYPSB")</f>
        <v>20211216NYPSB</v>
      </c>
      <c r="B406" s="5" t="str">
        <f ca="1">IFERROR(__xludf.DUMMYFUNCTION("""COMPUTED_VALUE"""),"Handgun")</f>
        <v>Handgun</v>
      </c>
      <c r="C406" s="5"/>
      <c r="D406" s="5"/>
    </row>
    <row r="407" spans="1:4" ht="13">
      <c r="A407" s="5" t="str">
        <f ca="1">IFERROR(__xludf.DUMMYFUNCTION("""COMPUTED_VALUE"""),"20211214WISOM")</f>
        <v>20211214WISOM</v>
      </c>
      <c r="B407" s="5" t="str">
        <f ca="1">IFERROR(__xludf.DUMMYFUNCTION("""COMPUTED_VALUE"""),"Handgun")</f>
        <v>Handgun</v>
      </c>
      <c r="C407" s="5"/>
      <c r="D407" s="5"/>
    </row>
    <row r="408" spans="1:4" ht="13">
      <c r="A408" s="5" t="str">
        <f ca="1">IFERROR(__xludf.DUMMYFUNCTION("""COMPUTED_VALUE"""),"20211214VAMEN")</f>
        <v>20211214VAMEN</v>
      </c>
      <c r="B408" s="5" t="str">
        <f ca="1">IFERROR(__xludf.DUMMYFUNCTION("""COMPUTED_VALUE"""),"Handgun")</f>
        <v>Handgun</v>
      </c>
      <c r="C408" s="5"/>
      <c r="D408" s="5"/>
    </row>
    <row r="409" spans="1:4" ht="13">
      <c r="A409" s="5" t="str">
        <f ca="1">IFERROR(__xludf.DUMMYFUNCTION("""COMPUTED_VALUE"""),"20211213NCWEC")</f>
        <v>20211213NCWEC</v>
      </c>
      <c r="B409" s="5" t="str">
        <f ca="1">IFERROR(__xludf.DUMMYFUNCTION("""COMPUTED_VALUE"""),"Handgun")</f>
        <v>Handgun</v>
      </c>
      <c r="C409" s="5"/>
      <c r="D409" s="5"/>
    </row>
    <row r="410" spans="1:4" ht="13">
      <c r="A410" s="5" t="str">
        <f ca="1">IFERROR(__xludf.DUMMYFUNCTION("""COMPUTED_VALUE"""),"20211213FLEAO")</f>
        <v>20211213FLEAO</v>
      </c>
      <c r="B410" s="5" t="str">
        <f ca="1">IFERROR(__xludf.DUMMYFUNCTION("""COMPUTED_VALUE"""),"Handgun")</f>
        <v>Handgun</v>
      </c>
      <c r="C410" s="5"/>
      <c r="D410" s="5"/>
    </row>
    <row r="411" spans="1:4" ht="13">
      <c r="A411" s="5" t="str">
        <f ca="1">IFERROR(__xludf.DUMMYFUNCTION("""COMPUTED_VALUE"""),"20211212NYSCR")</f>
        <v>20211212NYSCR</v>
      </c>
      <c r="B411" s="5" t="str">
        <f ca="1">IFERROR(__xludf.DUMMYFUNCTION("""COMPUTED_VALUE"""),"Handgun")</f>
        <v>Handgun</v>
      </c>
      <c r="C411" s="5"/>
      <c r="D411" s="5"/>
    </row>
    <row r="412" spans="1:4" ht="13">
      <c r="A412" s="5" t="str">
        <f ca="1">IFERROR(__xludf.DUMMYFUNCTION("""COMPUTED_VALUE"""),"20211211GAJOG")</f>
        <v>20211211GAJOG</v>
      </c>
      <c r="B412" s="5" t="str">
        <f ca="1">IFERROR(__xludf.DUMMYFUNCTION("""COMPUTED_VALUE"""),"Handgun")</f>
        <v>Handgun</v>
      </c>
      <c r="C412" s="5"/>
      <c r="D412" s="5"/>
    </row>
    <row r="413" spans="1:4" ht="13">
      <c r="A413" s="5" t="str">
        <f ca="1">IFERROR(__xludf.DUMMYFUNCTION("""COMPUTED_VALUE"""),"20211211FLEDL")</f>
        <v>20211211FLEDL</v>
      </c>
      <c r="B413" s="5" t="str">
        <f ca="1">IFERROR(__xludf.DUMMYFUNCTION("""COMPUTED_VALUE"""),"Handgun")</f>
        <v>Handgun</v>
      </c>
      <c r="C413" s="5"/>
      <c r="D413" s="5"/>
    </row>
    <row r="414" spans="1:4" ht="13">
      <c r="A414" s="5" t="str">
        <f ca="1">IFERROR(__xludf.DUMMYFUNCTION("""COMPUTED_VALUE"""),"20211210OHCAC")</f>
        <v>20211210OHCAC</v>
      </c>
      <c r="B414" s="5" t="str">
        <f ca="1">IFERROR(__xludf.DUMMYFUNCTION("""COMPUTED_VALUE"""),"Handgun")</f>
        <v>Handgun</v>
      </c>
      <c r="C414" s="5"/>
      <c r="D414" s="5"/>
    </row>
    <row r="415" spans="1:4" ht="13">
      <c r="A415" s="5" t="str">
        <f ca="1">IFERROR(__xludf.DUMMYFUNCTION("""COMPUTED_VALUE"""),"20211210NCJEC")</f>
        <v>20211210NCJEC</v>
      </c>
      <c r="B415" s="5"/>
      <c r="C415" s="5"/>
      <c r="D415" s="5"/>
    </row>
    <row r="416" spans="1:4" ht="13">
      <c r="A416" s="5" t="str">
        <f ca="1">IFERROR(__xludf.DUMMYFUNCTION("""COMPUTED_VALUE"""),"20211209NYGRN")</f>
        <v>20211209NYGRN</v>
      </c>
      <c r="B416" s="5" t="str">
        <f ca="1">IFERROR(__xludf.DUMMYFUNCTION("""COMPUTED_VALUE"""),"Handgun")</f>
        <v>Handgun</v>
      </c>
      <c r="C416" s="5"/>
      <c r="D416" s="5"/>
    </row>
    <row r="417" spans="1:4" ht="13">
      <c r="A417" s="5" t="str">
        <f ca="1">IFERROR(__xludf.DUMMYFUNCTION("""COMPUTED_VALUE"""),"20211208MOEWK")</f>
        <v>20211208MOEWK</v>
      </c>
      <c r="B417" s="5" t="str">
        <f ca="1">IFERROR(__xludf.DUMMYFUNCTION("""COMPUTED_VALUE"""),"Handgun")</f>
        <v>Handgun</v>
      </c>
      <c r="C417" s="5"/>
      <c r="D417" s="5"/>
    </row>
    <row r="418" spans="1:4" ht="13">
      <c r="A418" s="5" t="str">
        <f ca="1">IFERROR(__xludf.DUMMYFUNCTION("""COMPUTED_VALUE"""),"20211208KYSTL")</f>
        <v>20211208KYSTL</v>
      </c>
      <c r="B418" s="5"/>
      <c r="C418" s="5"/>
      <c r="D418" s="5"/>
    </row>
    <row r="419" spans="1:4" ht="13">
      <c r="A419" s="5" t="str">
        <f ca="1">IFERROR(__xludf.DUMMYFUNCTION("""COMPUTED_VALUE"""),"20211207ILHAC")</f>
        <v>20211207ILHAC</v>
      </c>
      <c r="B419" s="5" t="str">
        <f ca="1">IFERROR(__xludf.DUMMYFUNCTION("""COMPUTED_VALUE"""),"Handgun")</f>
        <v>Handgun</v>
      </c>
      <c r="C419" s="5"/>
      <c r="D419" s="5" t="str">
        <f ca="1">IFERROR(__xludf.DUMMYFUNCTION("""COMPUTED_VALUE"""),"Extended magazine")</f>
        <v>Extended magazine</v>
      </c>
    </row>
    <row r="420" spans="1:4" ht="13">
      <c r="A420" s="5" t="str">
        <f ca="1">IFERROR(__xludf.DUMMYFUNCTION("""COMPUTED_VALUE"""),"20211206NYSUS")</f>
        <v>20211206NYSUS</v>
      </c>
      <c r="B420" s="5" t="str">
        <f ca="1">IFERROR(__xludf.DUMMYFUNCTION("""COMPUTED_VALUE"""),"Handgun")</f>
        <v>Handgun</v>
      </c>
      <c r="C420" s="5"/>
      <c r="D420" s="5"/>
    </row>
    <row r="421" spans="1:4" ht="13">
      <c r="A421" s="5" t="str">
        <f ca="1">IFERROR(__xludf.DUMMYFUNCTION("""COMPUTED_VALUE"""),"20211206CAWIW")</f>
        <v>20211206CAWIW</v>
      </c>
      <c r="B421" s="5" t="str">
        <f ca="1">IFERROR(__xludf.DUMMYFUNCTION("""COMPUTED_VALUE"""),"Multiple Rifles")</f>
        <v>Multiple Rifles</v>
      </c>
      <c r="C421" s="5"/>
      <c r="D421" s="5" t="str">
        <f ca="1">IFERROR(__xludf.DUMMYFUNCTION("""COMPUTED_VALUE"""),"High power rifle")</f>
        <v>High power rifle</v>
      </c>
    </row>
    <row r="422" spans="1:4" ht="13">
      <c r="A422" s="5" t="str">
        <f ca="1">IFERROR(__xludf.DUMMYFUNCTION("""COMPUTED_VALUE"""),"20211203ARBLB")</f>
        <v>20211203ARBLB</v>
      </c>
      <c r="B422" s="5" t="str">
        <f ca="1">IFERROR(__xludf.DUMMYFUNCTION("""COMPUTED_VALUE"""),"Handgun")</f>
        <v>Handgun</v>
      </c>
      <c r="C422" s="5"/>
      <c r="D422" s="5"/>
    </row>
    <row r="423" spans="1:4" ht="13">
      <c r="A423" s="5" t="str">
        <f ca="1">IFERROR(__xludf.DUMMYFUNCTION("""COMPUTED_VALUE"""),"20211202WAGAS")</f>
        <v>20211202WAGAS</v>
      </c>
      <c r="B423" s="5" t="str">
        <f ca="1">IFERROR(__xludf.DUMMYFUNCTION("""COMPUTED_VALUE"""),"Handgun")</f>
        <v>Handgun</v>
      </c>
      <c r="C423" s="5"/>
      <c r="D423" s="5"/>
    </row>
    <row r="424" spans="1:4" ht="13">
      <c r="A424" s="5" t="str">
        <f ca="1">IFERROR(__xludf.DUMMYFUNCTION("""COMPUTED_VALUE"""),"20211201TXSAP")</f>
        <v>20211201TXSAP</v>
      </c>
      <c r="B424" s="5" t="str">
        <f ca="1">IFERROR(__xludf.DUMMYFUNCTION("""COMPUTED_VALUE"""),"Handgun")</f>
        <v>Handgun</v>
      </c>
      <c r="C424" s="5"/>
      <c r="D424" s="5"/>
    </row>
    <row r="425" spans="1:4" ht="13">
      <c r="A425" s="5" t="str">
        <f ca="1">IFERROR(__xludf.DUMMYFUNCTION("""COMPUTED_VALUE"""),"20211130TNHUH")</f>
        <v>20211130TNHUH</v>
      </c>
      <c r="B425" s="5" t="str">
        <f ca="1">IFERROR(__xludf.DUMMYFUNCTION("""COMPUTED_VALUE"""),"Handgun")</f>
        <v>Handgun</v>
      </c>
      <c r="C425" s="5"/>
      <c r="D425" s="5"/>
    </row>
    <row r="426" spans="1:4" ht="13">
      <c r="A426" s="5" t="str">
        <f ca="1">IFERROR(__xludf.DUMMYFUNCTION("""COMPUTED_VALUE"""),"20211130MIOXO")</f>
        <v>20211130MIOXO</v>
      </c>
      <c r="B426" s="5" t="str">
        <f ca="1">IFERROR(__xludf.DUMMYFUNCTION("""COMPUTED_VALUE"""),"Handgun")</f>
        <v>Handgun</v>
      </c>
      <c r="C426" s="5" t="str">
        <f ca="1">IFERROR(__xludf.DUMMYFUNCTION("""COMPUTED_VALUE"""),"9mm")</f>
        <v>9mm</v>
      </c>
      <c r="D426" s="5" t="str">
        <f ca="1">IFERROR(__xludf.DUMMYFUNCTION("""COMPUTED_VALUE"""),"Sig Sauer, 3X15 magazines")</f>
        <v>Sig Sauer, 3X15 magazines</v>
      </c>
    </row>
    <row r="427" spans="1:4" ht="13">
      <c r="A427" s="5" t="str">
        <f ca="1">IFERROR(__xludf.DUMMYFUNCTION("""COMPUTED_VALUE"""),"20211130CALOL")</f>
        <v>20211130CALOL</v>
      </c>
      <c r="B427" s="5" t="str">
        <f ca="1">IFERROR(__xludf.DUMMYFUNCTION("""COMPUTED_VALUE"""),"Other")</f>
        <v>Other</v>
      </c>
      <c r="C427" s="5" t="str">
        <f ca="1">IFERROR(__xludf.DUMMYFUNCTION("""COMPUTED_VALUE"""),"BB")</f>
        <v>BB</v>
      </c>
      <c r="D427" s="5"/>
    </row>
    <row r="428" spans="1:4" ht="13">
      <c r="A428" s="5" t="str">
        <f ca="1">IFERROR(__xludf.DUMMYFUNCTION("""COMPUTED_VALUE"""),"20211129ILWER")</f>
        <v>20211129ILWER</v>
      </c>
      <c r="B428" s="5" t="str">
        <f ca="1">IFERROR(__xludf.DUMMYFUNCTION("""COMPUTED_VALUE"""),"Handgun")</f>
        <v>Handgun</v>
      </c>
      <c r="C428" s="5"/>
      <c r="D428" s="5"/>
    </row>
    <row r="429" spans="1:4" ht="13">
      <c r="A429" s="5" t="str">
        <f ca="1">IFERROR(__xludf.DUMMYFUNCTION("""COMPUTED_VALUE"""),"20211129AZCHP")</f>
        <v>20211129AZCHP</v>
      </c>
      <c r="B429" s="5" t="str">
        <f ca="1">IFERROR(__xludf.DUMMYFUNCTION("""COMPUTED_VALUE"""),"Handgun")</f>
        <v>Handgun</v>
      </c>
      <c r="C429" s="5"/>
      <c r="D429" s="5"/>
    </row>
    <row r="430" spans="1:4" ht="13">
      <c r="A430" s="5" t="str">
        <f ca="1">IFERROR(__xludf.DUMMYFUNCTION("""COMPUTED_VALUE"""),"20211126CAWES")</f>
        <v>20211126CAWES</v>
      </c>
      <c r="B430" s="5" t="str">
        <f ca="1">IFERROR(__xludf.DUMMYFUNCTION("""COMPUTED_VALUE"""),"Handgun")</f>
        <v>Handgun</v>
      </c>
      <c r="C430" s="5"/>
      <c r="D430" s="5"/>
    </row>
    <row r="431" spans="1:4" ht="13">
      <c r="A431" s="5" t="str">
        <f ca="1">IFERROR(__xludf.DUMMYFUNCTION("""COMPUTED_VALUE"""),"20211125SCCEP")</f>
        <v>20211125SCCEP</v>
      </c>
      <c r="B431" s="5"/>
      <c r="C431" s="5"/>
      <c r="D431" s="5"/>
    </row>
    <row r="432" spans="1:4" ht="13">
      <c r="A432" s="5" t="str">
        <f ca="1">IFERROR(__xludf.DUMMYFUNCTION("""COMPUTED_VALUE"""),"20211124ILTHH")</f>
        <v>20211124ILTHH</v>
      </c>
      <c r="B432" s="5"/>
      <c r="C432" s="5"/>
      <c r="D432" s="5"/>
    </row>
    <row r="433" spans="1:4" ht="13">
      <c r="A433" s="5" t="str">
        <f ca="1">IFERROR(__xludf.DUMMYFUNCTION("""COMPUTED_VALUE"""),"20211123OHCLC")</f>
        <v>20211123OHCLC</v>
      </c>
      <c r="B433" s="5" t="str">
        <f ca="1">IFERROR(__xludf.DUMMYFUNCTION("""COMPUTED_VALUE"""),"Handgun")</f>
        <v>Handgun</v>
      </c>
      <c r="C433" s="5"/>
      <c r="D433" s="5"/>
    </row>
    <row r="434" spans="1:4" ht="13">
      <c r="A434" s="5" t="str">
        <f ca="1">IFERROR(__xludf.DUMMYFUNCTION("""COMPUTED_VALUE"""),"20211119MDGIB")</f>
        <v>20211119MDGIB</v>
      </c>
      <c r="B434" s="5"/>
      <c r="C434" s="5"/>
      <c r="D434" s="5"/>
    </row>
    <row r="435" spans="1:4" ht="13">
      <c r="A435" s="5" t="str">
        <f ca="1">IFERROR(__xludf.DUMMYFUNCTION("""COMPUTED_VALUE"""),"20211119COHIA")</f>
        <v>20211119COHIA</v>
      </c>
      <c r="B435" s="5" t="str">
        <f ca="1">IFERROR(__xludf.DUMMYFUNCTION("""COMPUTED_VALUE"""),"Multiple Handguns")</f>
        <v>Multiple Handguns</v>
      </c>
      <c r="C435" s="5"/>
      <c r="D435" s="5"/>
    </row>
    <row r="436" spans="1:4" ht="13">
      <c r="A436" s="5" t="str">
        <f ca="1">IFERROR(__xludf.DUMMYFUNCTION("""COMPUTED_VALUE"""),"20211116NYPSB")</f>
        <v>20211116NYPSB</v>
      </c>
      <c r="B436" s="5" t="str">
        <f ca="1">IFERROR(__xludf.DUMMYFUNCTION("""COMPUTED_VALUE"""),"Handgun")</f>
        <v>Handgun</v>
      </c>
      <c r="C436" s="5"/>
      <c r="D436" s="5"/>
    </row>
    <row r="437" spans="1:4" ht="13">
      <c r="A437" s="5" t="str">
        <f ca="1">IFERROR(__xludf.DUMMYFUNCTION("""COMPUTED_VALUE"""),"20211116FLJAJ")</f>
        <v>20211116FLJAJ</v>
      </c>
      <c r="B437" s="5"/>
      <c r="C437" s="5"/>
      <c r="D437" s="5"/>
    </row>
    <row r="438" spans="1:4" ht="13">
      <c r="A438" s="5" t="str">
        <f ca="1">IFERROR(__xludf.DUMMYFUNCTION("""COMPUTED_VALUE"""),"20211115NYPOP")</f>
        <v>20211115NYPOP</v>
      </c>
      <c r="B438" s="5" t="str">
        <f ca="1">IFERROR(__xludf.DUMMYFUNCTION("""COMPUTED_VALUE"""),"Handgun")</f>
        <v>Handgun</v>
      </c>
      <c r="C438" s="5" t="str">
        <f ca="1">IFERROR(__xludf.DUMMYFUNCTION("""COMPUTED_VALUE"""),".38 caliber")</f>
        <v>.38 caliber</v>
      </c>
      <c r="D438" s="5"/>
    </row>
    <row r="439" spans="1:4" ht="13">
      <c r="A439" s="5" t="str">
        <f ca="1">IFERROR(__xludf.DUMMYFUNCTION("""COMPUTED_VALUE"""),"20211110NYITI")</f>
        <v>20211110NYITI</v>
      </c>
      <c r="B439" s="5"/>
      <c r="C439" s="5"/>
      <c r="D439" s="5"/>
    </row>
    <row r="440" spans="1:4" ht="13">
      <c r="A440" s="5" t="str">
        <f ca="1">IFERROR(__xludf.DUMMYFUNCTION("""COMPUTED_VALUE"""),"20211109NMMEL")</f>
        <v>20211109NMMEL</v>
      </c>
      <c r="B440" s="5" t="str">
        <f ca="1">IFERROR(__xludf.DUMMYFUNCTION("""COMPUTED_VALUE"""),"Handgun")</f>
        <v>Handgun</v>
      </c>
      <c r="C440" s="5"/>
      <c r="D440" s="5"/>
    </row>
    <row r="441" spans="1:4" ht="13">
      <c r="A441" s="5" t="str">
        <f ca="1">IFERROR(__xludf.DUMMYFUNCTION("""COMPUTED_VALUE"""),"20211108NYTHB")</f>
        <v>20211108NYTHB</v>
      </c>
      <c r="B441" s="5" t="str">
        <f ca="1">IFERROR(__xludf.DUMMYFUNCTION("""COMPUTED_VALUE"""),"Handgun")</f>
        <v>Handgun</v>
      </c>
      <c r="C441" s="5"/>
      <c r="D441" s="5"/>
    </row>
    <row r="442" spans="1:4" ht="13">
      <c r="A442" s="5" t="str">
        <f ca="1">IFERROR(__xludf.DUMMYFUNCTION("""COMPUTED_VALUE"""),"20211106FLOVO")</f>
        <v>20211106FLOVO</v>
      </c>
      <c r="B442" s="5" t="str">
        <f ca="1">IFERROR(__xludf.DUMMYFUNCTION("""COMPUTED_VALUE"""),"Handgun")</f>
        <v>Handgun</v>
      </c>
      <c r="C442" s="5"/>
      <c r="D442" s="5"/>
    </row>
    <row r="443" spans="1:4" ht="13">
      <c r="A443" s="5" t="str">
        <f ca="1">IFERROR(__xludf.DUMMYFUNCTION("""COMPUTED_VALUE"""),"20211102NMHIH")</f>
        <v>20211102NMHIH</v>
      </c>
      <c r="B443" s="5" t="str">
        <f ca="1">IFERROR(__xludf.DUMMYFUNCTION("""COMPUTED_VALUE"""),"Other")</f>
        <v>Other</v>
      </c>
      <c r="C443" s="5" t="str">
        <f ca="1">IFERROR(__xludf.DUMMYFUNCTION("""COMPUTED_VALUE"""),"BB")</f>
        <v>BB</v>
      </c>
      <c r="D443" s="5" t="str">
        <f ca="1">IFERROR(__xludf.DUMMYFUNCTION("""COMPUTED_VALUE"""),"C02 BB rifle")</f>
        <v>C02 BB rifle</v>
      </c>
    </row>
    <row r="444" spans="1:4" ht="13">
      <c r="A444" s="5" t="str">
        <f ca="1">IFERROR(__xludf.DUMMYFUNCTION("""COMPUTED_VALUE"""),"20211030PASTM")</f>
        <v>20211030PASTM</v>
      </c>
      <c r="B444" s="5" t="str">
        <f ca="1">IFERROR(__xludf.DUMMYFUNCTION("""COMPUTED_VALUE"""),"Handgun")</f>
        <v>Handgun</v>
      </c>
      <c r="C444" s="5"/>
      <c r="D444" s="5"/>
    </row>
    <row r="445" spans="1:4" ht="13">
      <c r="A445" s="5" t="str">
        <f ca="1">IFERROR(__xludf.DUMMYFUNCTION("""COMPUTED_VALUE"""),"20211027SCCAS")</f>
        <v>20211027SCCAS</v>
      </c>
      <c r="B445" s="5" t="str">
        <f ca="1">IFERROR(__xludf.DUMMYFUNCTION("""COMPUTED_VALUE"""),"Handgun")</f>
        <v>Handgun</v>
      </c>
      <c r="C445" s="5"/>
      <c r="D445" s="5"/>
    </row>
    <row r="446" spans="1:4" ht="13">
      <c r="A446" s="5" t="str">
        <f ca="1">IFERROR(__xludf.DUMMYFUNCTION("""COMPUTED_VALUE"""),"20211026MSCAN")</f>
        <v>20211026MSCAN</v>
      </c>
      <c r="B446" s="5" t="str">
        <f ca="1">IFERROR(__xludf.DUMMYFUNCTION("""COMPUTED_VALUE"""),"Shotgun")</f>
        <v>Shotgun</v>
      </c>
      <c r="C446" s="5"/>
      <c r="D446" s="5"/>
    </row>
    <row r="447" spans="1:4" ht="13">
      <c r="A447" s="5" t="str">
        <f ca="1">IFERROR(__xludf.DUMMYFUNCTION("""COMPUTED_VALUE"""),"20211026ILWIC")</f>
        <v>20211026ILWIC</v>
      </c>
      <c r="B447" s="5" t="str">
        <f ca="1">IFERROR(__xludf.DUMMYFUNCTION("""COMPUTED_VALUE"""),"Handgun")</f>
        <v>Handgun</v>
      </c>
      <c r="C447" s="5"/>
      <c r="D447" s="5"/>
    </row>
    <row r="448" spans="1:4" ht="13">
      <c r="A448" s="5" t="str">
        <f ca="1">IFERROR(__xludf.DUMMYFUNCTION("""COMPUTED_VALUE"""),"20211022PAPHP")</f>
        <v>20211022PAPHP</v>
      </c>
      <c r="B448" s="5" t="str">
        <f ca="1">IFERROR(__xludf.DUMMYFUNCTION("""COMPUTED_VALUE"""),"Handgun")</f>
        <v>Handgun</v>
      </c>
      <c r="C448" s="5"/>
      <c r="D448" s="5"/>
    </row>
    <row r="449" spans="1:4" ht="13">
      <c r="A449" s="5" t="str">
        <f ca="1">IFERROR(__xludf.DUMMYFUNCTION("""COMPUTED_VALUE"""),"20211021NYPSB")</f>
        <v>20211021NYPSB</v>
      </c>
      <c r="B449" s="5" t="str">
        <f ca="1">IFERROR(__xludf.DUMMYFUNCTION("""COMPUTED_VALUE"""),"Handgun")</f>
        <v>Handgun</v>
      </c>
      <c r="C449" s="5"/>
      <c r="D449" s="5"/>
    </row>
    <row r="450" spans="1:4" ht="13">
      <c r="A450" s="5" t="str">
        <f ca="1">IFERROR(__xludf.DUMMYFUNCTION("""COMPUTED_VALUE"""),"20211021GABES")</f>
        <v>20211021GABES</v>
      </c>
      <c r="B450" s="5"/>
      <c r="C450" s="5"/>
      <c r="D450" s="5"/>
    </row>
    <row r="451" spans="1:4" ht="13">
      <c r="A451" s="5" t="str">
        <f ca="1">IFERROR(__xludf.DUMMYFUNCTION("""COMPUTED_VALUE"""),"20211018PALIP")</f>
        <v>20211018PALIP</v>
      </c>
      <c r="B451" s="5" t="str">
        <f ca="1">IFERROR(__xludf.DUMMYFUNCTION("""COMPUTED_VALUE"""),"Handgun")</f>
        <v>Handgun</v>
      </c>
      <c r="C451" s="5"/>
      <c r="D451" s="5"/>
    </row>
    <row r="452" spans="1:4" ht="13">
      <c r="A452" s="5" t="str">
        <f ca="1">IFERROR(__xludf.DUMMYFUNCTION("""COMPUTED_VALUE"""),"20211017ARROR")</f>
        <v>20211017ARROR</v>
      </c>
      <c r="B452" s="5" t="str">
        <f ca="1">IFERROR(__xludf.DUMMYFUNCTION("""COMPUTED_VALUE"""),"Rifle")</f>
        <v>Rifle</v>
      </c>
      <c r="C452" s="5" t="str">
        <f ca="1">IFERROR(__xludf.DUMMYFUNCTION("""COMPUTED_VALUE"""),".223 caliber")</f>
        <v>.223 caliber</v>
      </c>
      <c r="D452" s="5" t="str">
        <f ca="1">IFERROR(__xludf.DUMMYFUNCTION("""COMPUTED_VALUE"""),"6.5 Grendel rifle")</f>
        <v>6.5 Grendel rifle</v>
      </c>
    </row>
    <row r="453" spans="1:4" ht="13">
      <c r="A453" s="5" t="str">
        <f ca="1">IFERROR(__xludf.DUMMYFUNCTION("""COMPUTED_VALUE"""),"20211015CAKEF")</f>
        <v>20211015CAKEF</v>
      </c>
      <c r="B453" s="5" t="str">
        <f ca="1">IFERROR(__xludf.DUMMYFUNCTION("""COMPUTED_VALUE"""),"Handgun")</f>
        <v>Handgun</v>
      </c>
      <c r="C453" s="5" t="str">
        <f ca="1">IFERROR(__xludf.DUMMYFUNCTION("""COMPUTED_VALUE"""),"9mm")</f>
        <v>9mm</v>
      </c>
      <c r="D453" s="5"/>
    </row>
    <row r="454" spans="1:4" ht="13">
      <c r="A454" s="5" t="str">
        <f ca="1">IFERROR(__xludf.DUMMYFUNCTION("""COMPUTED_VALUE"""),"20211015ALWIM")</f>
        <v>20211015ALWIM</v>
      </c>
      <c r="B454" s="5" t="str">
        <f ca="1">IFERROR(__xludf.DUMMYFUNCTION("""COMPUTED_VALUE"""),"Handgun")</f>
        <v>Handgun</v>
      </c>
      <c r="C454" s="5"/>
      <c r="D454" s="5"/>
    </row>
    <row r="455" spans="1:4" ht="13">
      <c r="A455" s="5" t="str">
        <f ca="1">IFERROR(__xludf.DUMMYFUNCTION("""COMPUTED_VALUE"""),"20211014MEREP")</f>
        <v>20211014MEREP</v>
      </c>
      <c r="B455" s="5"/>
      <c r="C455" s="5"/>
      <c r="D455" s="5"/>
    </row>
    <row r="456" spans="1:4" ht="13">
      <c r="A456" s="5" t="str">
        <f ca="1">IFERROR(__xludf.DUMMYFUNCTION("""COMPUTED_VALUE"""),"20211013PACHD")</f>
        <v>20211013PACHD</v>
      </c>
      <c r="B456" s="5" t="str">
        <f ca="1">IFERROR(__xludf.DUMMYFUNCTION("""COMPUTED_VALUE"""),"Other")</f>
        <v>Other</v>
      </c>
      <c r="C456" s="5" t="str">
        <f ca="1">IFERROR(__xludf.DUMMYFUNCTION("""COMPUTED_VALUE"""),"Pellet")</f>
        <v>Pellet</v>
      </c>
      <c r="D456" s="5"/>
    </row>
    <row r="457" spans="1:4" ht="13">
      <c r="A457" s="5" t="str">
        <f ca="1">IFERROR(__xludf.DUMMYFUNCTION("""COMPUTED_VALUE"""),"20211013ILMCC")</f>
        <v>20211013ILMCC</v>
      </c>
      <c r="B457" s="5"/>
      <c r="C457" s="5"/>
      <c r="D457" s="5"/>
    </row>
    <row r="458" spans="1:4" ht="13">
      <c r="A458" s="5" t="str">
        <f ca="1">IFERROR(__xludf.DUMMYFUNCTION("""COMPUTED_VALUE"""),"20211012OKUNT")</f>
        <v>20211012OKUNT</v>
      </c>
      <c r="B458" s="5" t="str">
        <f ca="1">IFERROR(__xludf.DUMMYFUNCTION("""COMPUTED_VALUE"""),"Other")</f>
        <v>Other</v>
      </c>
      <c r="C458" s="5" t="str">
        <f ca="1">IFERROR(__xludf.DUMMYFUNCTION("""COMPUTED_VALUE"""),"Pellet")</f>
        <v>Pellet</v>
      </c>
      <c r="D458" s="5" t="str">
        <f ca="1">IFERROR(__xludf.DUMMYFUNCTION("""COMPUTED_VALUE"""),"Full automatic plastic gel gun, similar to airsoft pellets")</f>
        <v>Full automatic plastic gel gun, similar to airsoft pellets</v>
      </c>
    </row>
    <row r="459" spans="1:4" ht="13">
      <c r="A459" s="5" t="str">
        <f ca="1">IFERROR(__xludf.DUMMYFUNCTION("""COMPUTED_VALUE"""),"20211012MIELK")</f>
        <v>20211012MIELK</v>
      </c>
      <c r="B459" s="5" t="str">
        <f ca="1">IFERROR(__xludf.DUMMYFUNCTION("""COMPUTED_VALUE"""),"Handgun")</f>
        <v>Handgun</v>
      </c>
      <c r="C459" s="5"/>
      <c r="D459" s="5"/>
    </row>
    <row r="460" spans="1:4" ht="13">
      <c r="A460" s="5" t="str">
        <f ca="1">IFERROR(__xludf.DUMMYFUNCTION("""COMPUTED_VALUE"""),"20211012ILWEC")</f>
        <v>20211012ILWEC</v>
      </c>
      <c r="B460" s="5" t="str">
        <f ca="1">IFERROR(__xludf.DUMMYFUNCTION("""COMPUTED_VALUE"""),"Handgun")</f>
        <v>Handgun</v>
      </c>
      <c r="C460" s="5" t="str">
        <f ca="1">IFERROR(__xludf.DUMMYFUNCTION("""COMPUTED_VALUE"""),".45 caliber")</f>
        <v>.45 caliber</v>
      </c>
      <c r="D460" s="5"/>
    </row>
    <row r="461" spans="1:4" ht="13">
      <c r="A461" s="5" t="str">
        <f ca="1">IFERROR(__xludf.DUMMYFUNCTION("""COMPUTED_VALUE"""),"20211012ARLIL")</f>
        <v>20211012ARLIL</v>
      </c>
      <c r="B461" s="5"/>
      <c r="C461" s="5"/>
      <c r="D461" s="5"/>
    </row>
    <row r="462" spans="1:4" ht="13">
      <c r="A462" s="5" t="str">
        <f ca="1">IFERROR(__xludf.DUMMYFUNCTION("""COMPUTED_VALUE"""),"20211011ORROP")</f>
        <v>20211011ORROP</v>
      </c>
      <c r="B462" s="5" t="str">
        <f ca="1">IFERROR(__xludf.DUMMYFUNCTION("""COMPUTED_VALUE"""),"Handgun")</f>
        <v>Handgun</v>
      </c>
      <c r="C462" s="5"/>
      <c r="D462" s="5"/>
    </row>
    <row r="463" spans="1:4" ht="13">
      <c r="A463" s="5" t="str">
        <f ca="1">IFERROR(__xludf.DUMMYFUNCTION("""COMPUTED_VALUE"""),"20211008OKCOC")</f>
        <v>20211008OKCOC</v>
      </c>
      <c r="B463" s="5"/>
      <c r="C463" s="5"/>
      <c r="D463" s="5"/>
    </row>
    <row r="464" spans="1:4" ht="13">
      <c r="A464" s="5" t="str">
        <f ca="1">IFERROR(__xludf.DUMMYFUNCTION("""COMPUTED_VALUE"""),"20211007TXEAW")</f>
        <v>20211007TXEAW</v>
      </c>
      <c r="B464" s="5" t="str">
        <f ca="1">IFERROR(__xludf.DUMMYFUNCTION("""COMPUTED_VALUE"""),"Rifle")</f>
        <v>Rifle</v>
      </c>
      <c r="C464" s="5" t="str">
        <f ca="1">IFERROR(__xludf.DUMMYFUNCTION("""COMPUTED_VALUE"""),".22 caliber")</f>
        <v>.22 caliber</v>
      </c>
      <c r="D464" s="5"/>
    </row>
    <row r="465" spans="1:4" ht="13">
      <c r="A465" s="5" t="str">
        <f ca="1">IFERROR(__xludf.DUMMYFUNCTION("""COMPUTED_VALUE"""),"20211007PAANP")</f>
        <v>20211007PAANP</v>
      </c>
      <c r="B465" s="5"/>
      <c r="C465" s="5"/>
      <c r="D465" s="5"/>
    </row>
    <row r="466" spans="1:4" ht="13">
      <c r="A466" s="5" t="str">
        <f ca="1">IFERROR(__xludf.DUMMYFUNCTION("""COMPUTED_VALUE"""),"20211007NCEAD")</f>
        <v>20211007NCEAD</v>
      </c>
      <c r="B466" s="5" t="str">
        <f ca="1">IFERROR(__xludf.DUMMYFUNCTION("""COMPUTED_VALUE"""),"Handgun")</f>
        <v>Handgun</v>
      </c>
      <c r="C466" s="5"/>
      <c r="D466" s="5"/>
    </row>
    <row r="467" spans="1:4" ht="13">
      <c r="A467" s="5" t="str">
        <f ca="1">IFERROR(__xludf.DUMMYFUNCTION("""COMPUTED_VALUE"""),"20211007DCWAW")</f>
        <v>20211007DCWAW</v>
      </c>
      <c r="B467" s="5" t="str">
        <f ca="1">IFERROR(__xludf.DUMMYFUNCTION("""COMPUTED_VALUE"""),"Handgun")</f>
        <v>Handgun</v>
      </c>
      <c r="C467" s="5" t="str">
        <f ca="1">IFERROR(__xludf.DUMMYFUNCTION("""COMPUTED_VALUE"""),"9mm")</f>
        <v>9mm</v>
      </c>
      <c r="D467" s="5" t="str">
        <f ca="1">IFERROR(__xludf.DUMMYFUNCTION("""COMPUTED_VALUE"""),"Ghost gun")</f>
        <v>Ghost gun</v>
      </c>
    </row>
    <row r="468" spans="1:4" ht="13">
      <c r="A468" s="5" t="str">
        <f ca="1">IFERROR(__xludf.DUMMYFUNCTION("""COMPUTED_VALUE"""),"20211006TXTIA")</f>
        <v>20211006TXTIA</v>
      </c>
      <c r="B468" s="5" t="str">
        <f ca="1">IFERROR(__xludf.DUMMYFUNCTION("""COMPUTED_VALUE"""),"Handgun")</f>
        <v>Handgun</v>
      </c>
      <c r="C468" s="5"/>
      <c r="D468" s="5"/>
    </row>
    <row r="469" spans="1:4" ht="13">
      <c r="A469" s="5" t="str">
        <f ca="1">IFERROR(__xludf.DUMMYFUNCTION("""COMPUTED_VALUE"""),"20211005NDHEH")</f>
        <v>20211005NDHEH</v>
      </c>
      <c r="B469" s="5" t="str">
        <f ca="1">IFERROR(__xludf.DUMMYFUNCTION("""COMPUTED_VALUE"""),"Handgun")</f>
        <v>Handgun</v>
      </c>
      <c r="C469" s="5"/>
      <c r="D469" s="5"/>
    </row>
    <row r="470" spans="1:4" ht="13">
      <c r="A470" s="5" t="str">
        <f ca="1">IFERROR(__xludf.DUMMYFUNCTION("""COMPUTED_VALUE"""),"20211005NCGAC")</f>
        <v>20211005NCGAC</v>
      </c>
      <c r="B470" s="5" t="str">
        <f ca="1">IFERROR(__xludf.DUMMYFUNCTION("""COMPUTED_VALUE"""),"Handgun")</f>
        <v>Handgun</v>
      </c>
      <c r="C470" s="5"/>
      <c r="D470" s="5"/>
    </row>
    <row r="471" spans="1:4" ht="13">
      <c r="A471" s="5" t="str">
        <f ca="1">IFERROR(__xludf.DUMMYFUNCTION("""COMPUTED_VALUE"""),"20211004PASCP")</f>
        <v>20211004PASCP</v>
      </c>
      <c r="B471" s="5" t="str">
        <f ca="1">IFERROR(__xludf.DUMMYFUNCTION("""COMPUTED_VALUE"""),"Handgun")</f>
        <v>Handgun</v>
      </c>
      <c r="C471" s="5"/>
      <c r="D471" s="5"/>
    </row>
    <row r="472" spans="1:4" ht="13">
      <c r="A472" s="5" t="str">
        <f ca="1">IFERROR(__xludf.DUMMYFUNCTION("""COMPUTED_VALUE"""),"20211004PASCP")</f>
        <v>20211004PASCP</v>
      </c>
      <c r="B472" s="5" t="str">
        <f ca="1">IFERROR(__xludf.DUMMYFUNCTION("""COMPUTED_VALUE"""),"Rifle")</f>
        <v>Rifle</v>
      </c>
      <c r="C472" s="5" t="str">
        <f ca="1">IFERROR(__xludf.DUMMYFUNCTION("""COMPUTED_VALUE"""),"AR-15")</f>
        <v>AR-15</v>
      </c>
      <c r="D472" s="5"/>
    </row>
    <row r="473" spans="1:4" ht="13">
      <c r="A473" s="5" t="str">
        <f ca="1">IFERROR(__xludf.DUMMYFUNCTION("""COMPUTED_VALUE"""),"20211004OHWOT")</f>
        <v>20211004OHWOT</v>
      </c>
      <c r="B473" s="5" t="str">
        <f ca="1">IFERROR(__xludf.DUMMYFUNCTION("""COMPUTED_VALUE"""),"Handgun")</f>
        <v>Handgun</v>
      </c>
      <c r="C473" s="5"/>
      <c r="D473" s="5"/>
    </row>
    <row r="474" spans="1:4" ht="13">
      <c r="A474" s="5" t="str">
        <f ca="1">IFERROR(__xludf.DUMMYFUNCTION("""COMPUTED_VALUE"""),"20211004ILLAC")</f>
        <v>20211004ILLAC</v>
      </c>
      <c r="B474" s="5" t="str">
        <f ca="1">IFERROR(__xludf.DUMMYFUNCTION("""COMPUTED_VALUE"""),"Handgun")</f>
        <v>Handgun</v>
      </c>
      <c r="C474" s="5"/>
      <c r="D474" s="5"/>
    </row>
    <row r="475" spans="1:4" ht="13">
      <c r="A475" s="5" t="str">
        <f ca="1">IFERROR(__xludf.DUMMYFUNCTION("""COMPUTED_VALUE"""),"20211001TXYEH")</f>
        <v>20211001TXYEH</v>
      </c>
      <c r="B475" s="5" t="str">
        <f ca="1">IFERROR(__xludf.DUMMYFUNCTION("""COMPUTED_VALUE"""),"Rifle")</f>
        <v>Rifle</v>
      </c>
      <c r="C475" s="5"/>
      <c r="D475" s="5"/>
    </row>
    <row r="476" spans="1:4" ht="13">
      <c r="A476" s="5" t="str">
        <f ca="1">IFERROR(__xludf.DUMMYFUNCTION("""COMPUTED_VALUE"""),"20211001NJCHC")</f>
        <v>20211001NJCHC</v>
      </c>
      <c r="B476" s="5" t="str">
        <f ca="1">IFERROR(__xludf.DUMMYFUNCTION("""COMPUTED_VALUE"""),"Handgun")</f>
        <v>Handgun</v>
      </c>
      <c r="C476" s="5"/>
      <c r="D476" s="5"/>
    </row>
    <row r="477" spans="1:4" ht="13">
      <c r="A477" s="5" t="str">
        <f ca="1">IFERROR(__xludf.DUMMYFUNCTION("""COMPUTED_VALUE"""),"20211001NCSEF")</f>
        <v>20211001NCSEF</v>
      </c>
      <c r="B477" s="5" t="str">
        <f ca="1">IFERROR(__xludf.DUMMYFUNCTION("""COMPUTED_VALUE"""),"Handgun")</f>
        <v>Handgun</v>
      </c>
      <c r="C477" s="5"/>
      <c r="D477" s="5"/>
    </row>
    <row r="478" spans="1:4" ht="13">
      <c r="A478" s="5" t="str">
        <f ca="1">IFERROR(__xludf.DUMMYFUNCTION("""COMPUTED_VALUE"""),"20211001NCNOD")</f>
        <v>20211001NCNOD</v>
      </c>
      <c r="B478" s="5" t="str">
        <f ca="1">IFERROR(__xludf.DUMMYFUNCTION("""COMPUTED_VALUE"""),"Handgun")</f>
        <v>Handgun</v>
      </c>
      <c r="C478" s="5"/>
      <c r="D478" s="5"/>
    </row>
    <row r="479" spans="1:4" ht="13">
      <c r="A479" s="5" t="str">
        <f ca="1">IFERROR(__xludf.DUMMYFUNCTION("""COMPUTED_VALUE"""),"20211001INBEI")</f>
        <v>20211001INBEI</v>
      </c>
      <c r="B479" s="5" t="str">
        <f ca="1">IFERROR(__xludf.DUMMYFUNCTION("""COMPUTED_VALUE"""),"Handgun")</f>
        <v>Handgun</v>
      </c>
      <c r="C479" s="5"/>
      <c r="D479" s="5"/>
    </row>
    <row r="480" spans="1:4" ht="13">
      <c r="A480" s="5" t="str">
        <f ca="1">IFERROR(__xludf.DUMMYFUNCTION("""COMPUTED_VALUE"""),"20210930TNCUM")</f>
        <v>20210930TNCUM</v>
      </c>
      <c r="B480" s="5" t="str">
        <f ca="1">IFERROR(__xludf.DUMMYFUNCTION("""COMPUTED_VALUE"""),"Handgun")</f>
        <v>Handgun</v>
      </c>
      <c r="C480" s="5"/>
      <c r="D480" s="5"/>
    </row>
    <row r="481" spans="1:4" ht="13">
      <c r="A481" s="5" t="str">
        <f ca="1">IFERROR(__xludf.DUMMYFUNCTION("""COMPUTED_VALUE"""),"20210930MSNEN")</f>
        <v>20210930MSNEN</v>
      </c>
      <c r="B481" s="5" t="str">
        <f ca="1">IFERROR(__xludf.DUMMYFUNCTION("""COMPUTED_VALUE"""),"Handgun")</f>
        <v>Handgun</v>
      </c>
      <c r="C481" s="5"/>
      <c r="D481" s="5"/>
    </row>
    <row r="482" spans="1:4" ht="13">
      <c r="A482" s="5" t="str">
        <f ca="1">IFERROR(__xludf.DUMMYFUNCTION("""COMPUTED_VALUE"""),"20210929OHSHS")</f>
        <v>20210929OHSHS</v>
      </c>
      <c r="B482" s="5" t="str">
        <f ca="1">IFERROR(__xludf.DUMMYFUNCTION("""COMPUTED_VALUE"""),"Handgun")</f>
        <v>Handgun</v>
      </c>
      <c r="C482" s="5"/>
      <c r="D482" s="5"/>
    </row>
    <row r="483" spans="1:4" ht="13">
      <c r="A483" s="5" t="str">
        <f ca="1">IFERROR(__xludf.DUMMYFUNCTION("""COMPUTED_VALUE"""),"20210928MESOS")</f>
        <v>20210928MESOS</v>
      </c>
      <c r="B483" s="5" t="str">
        <f ca="1">IFERROR(__xludf.DUMMYFUNCTION("""COMPUTED_VALUE"""),"Handgun")</f>
        <v>Handgun</v>
      </c>
      <c r="C483" s="5"/>
      <c r="D483" s="5"/>
    </row>
    <row r="484" spans="1:4" ht="13">
      <c r="A484" s="5" t="str">
        <f ca="1">IFERROR(__xludf.DUMMYFUNCTION("""COMPUTED_VALUE"""),"20210927ILCAC")</f>
        <v>20210927ILCAC</v>
      </c>
      <c r="B484" s="5" t="str">
        <f ca="1">IFERROR(__xludf.DUMMYFUNCTION("""COMPUTED_VALUE"""),"Other")</f>
        <v>Other</v>
      </c>
      <c r="C484" s="5" t="str">
        <f ca="1">IFERROR(__xludf.DUMMYFUNCTION("""COMPUTED_VALUE"""),"BB")</f>
        <v>BB</v>
      </c>
      <c r="D484" s="5"/>
    </row>
    <row r="485" spans="1:4" ht="13">
      <c r="A485" s="5" t="str">
        <f ca="1">IFERROR(__xludf.DUMMYFUNCTION("""COMPUTED_VALUE"""),"20210924VAESE")</f>
        <v>20210924VAESE</v>
      </c>
      <c r="B485" s="5" t="str">
        <f ca="1">IFERROR(__xludf.DUMMYFUNCTION("""COMPUTED_VALUE"""),"Handgun")</f>
        <v>Handgun</v>
      </c>
      <c r="C485" s="5"/>
      <c r="D485" s="5"/>
    </row>
    <row r="486" spans="1:4" ht="13">
      <c r="A486" s="5" t="str">
        <f ca="1">IFERROR(__xludf.DUMMYFUNCTION("""COMPUTED_VALUE"""),"20210924TNSTS")</f>
        <v>20210924TNSTS</v>
      </c>
      <c r="B486" s="5" t="str">
        <f ca="1">IFERROR(__xludf.DUMMYFUNCTION("""COMPUTED_VALUE"""),"Handgun")</f>
        <v>Handgun</v>
      </c>
      <c r="C486" s="5"/>
      <c r="D486" s="5"/>
    </row>
    <row r="487" spans="1:4" ht="13">
      <c r="A487" s="5" t="str">
        <f ca="1">IFERROR(__xludf.DUMMYFUNCTION("""COMPUTED_VALUE"""),"20210924TNSTS")</f>
        <v>20210924TNSTS</v>
      </c>
      <c r="B487" s="5" t="str">
        <f ca="1">IFERROR(__xludf.DUMMYFUNCTION("""COMPUTED_VALUE"""),"Rifle")</f>
        <v>Rifle</v>
      </c>
      <c r="C487" s="5"/>
      <c r="D487" s="5"/>
    </row>
    <row r="488" spans="1:4" ht="13">
      <c r="A488" s="5" t="str">
        <f ca="1">IFERROR(__xludf.DUMMYFUNCTION("""COMPUTED_VALUE"""),"20210924MDWIB")</f>
        <v>20210924MDWIB</v>
      </c>
      <c r="B488" s="5" t="str">
        <f ca="1">IFERROR(__xludf.DUMMYFUNCTION("""COMPUTED_VALUE"""),"Handgun")</f>
        <v>Handgun</v>
      </c>
      <c r="C488" s="5"/>
      <c r="D488" s="5"/>
    </row>
    <row r="489" spans="1:4" ht="13">
      <c r="A489" s="5" t="str">
        <f ca="1">IFERROR(__xludf.DUMMYFUNCTION("""COMPUTED_VALUE"""),"20210924ALFAF")</f>
        <v>20210924ALFAF</v>
      </c>
      <c r="B489" s="5"/>
      <c r="C489" s="5"/>
      <c r="D489" s="5"/>
    </row>
    <row r="490" spans="1:4" ht="13">
      <c r="A490" s="5" t="str">
        <f ca="1">IFERROR(__xludf.DUMMYFUNCTION("""COMPUTED_VALUE"""),"20210923IDRIR")</f>
        <v>20210923IDRIR</v>
      </c>
      <c r="B490" s="5" t="str">
        <f ca="1">IFERROR(__xludf.DUMMYFUNCTION("""COMPUTED_VALUE"""),"Handgun")</f>
        <v>Handgun</v>
      </c>
      <c r="C490" s="5"/>
      <c r="D490" s="5"/>
    </row>
    <row r="491" spans="1:4" ht="13">
      <c r="A491" s="5" t="str">
        <f ca="1">IFERROR(__xludf.DUMMYFUNCTION("""COMPUTED_VALUE"""),"20210922NYSOB")</f>
        <v>20210922NYSOB</v>
      </c>
      <c r="B491" s="5" t="str">
        <f ca="1">IFERROR(__xludf.DUMMYFUNCTION("""COMPUTED_VALUE"""),"Handgun")</f>
        <v>Handgun</v>
      </c>
      <c r="C491" s="5"/>
      <c r="D491" s="5"/>
    </row>
    <row r="492" spans="1:4" ht="13">
      <c r="A492" s="5" t="str">
        <f ca="1">IFERROR(__xludf.DUMMYFUNCTION("""COMPUTED_VALUE"""),"20210922CTLIN")</f>
        <v>20210922CTLIN</v>
      </c>
      <c r="B492" s="5"/>
      <c r="C492" s="5"/>
      <c r="D492" s="5"/>
    </row>
    <row r="493" spans="1:4" ht="13">
      <c r="A493" s="5" t="str">
        <f ca="1">IFERROR(__xludf.DUMMYFUNCTION("""COMPUTED_VALUE"""),"20210921PAVAP")</f>
        <v>20210921PAVAP</v>
      </c>
      <c r="B493" s="5" t="str">
        <f ca="1">IFERROR(__xludf.DUMMYFUNCTION("""COMPUTED_VALUE"""),"Handgun")</f>
        <v>Handgun</v>
      </c>
      <c r="C493" s="5"/>
      <c r="D493" s="5"/>
    </row>
    <row r="494" spans="1:4" ht="13">
      <c r="A494" s="5" t="str">
        <f ca="1">IFERROR(__xludf.DUMMYFUNCTION("""COMPUTED_VALUE"""),"20210921OHMIM")</f>
        <v>20210921OHMIM</v>
      </c>
      <c r="B494" s="5" t="str">
        <f ca="1">IFERROR(__xludf.DUMMYFUNCTION("""COMPUTED_VALUE"""),"Other")</f>
        <v>Other</v>
      </c>
      <c r="C494" s="5" t="str">
        <f ca="1">IFERROR(__xludf.DUMMYFUNCTION("""COMPUTED_VALUE"""),"BB")</f>
        <v>BB</v>
      </c>
      <c r="D494" s="5"/>
    </row>
    <row r="495" spans="1:4" ht="13">
      <c r="A495" s="5" t="str">
        <f ca="1">IFERROR(__xludf.DUMMYFUNCTION("""COMPUTED_VALUE"""),"20210921KSEAW")</f>
        <v>20210921KSEAW</v>
      </c>
      <c r="B495" s="5" t="str">
        <f ca="1">IFERROR(__xludf.DUMMYFUNCTION("""COMPUTED_VALUE"""),"Handgun")</f>
        <v>Handgun</v>
      </c>
      <c r="C495" s="5"/>
      <c r="D495" s="5"/>
    </row>
    <row r="496" spans="1:4" ht="13">
      <c r="A496" s="5" t="str">
        <f ca="1">IFERROR(__xludf.DUMMYFUNCTION("""COMPUTED_VALUE"""),"20210921GAFRA")</f>
        <v>20210921GAFRA</v>
      </c>
      <c r="B496" s="5" t="str">
        <f ca="1">IFERROR(__xludf.DUMMYFUNCTION("""COMPUTED_VALUE"""),"Handgun")</f>
        <v>Handgun</v>
      </c>
      <c r="C496" s="5"/>
      <c r="D496" s="5"/>
    </row>
    <row r="497" spans="1:4" ht="13">
      <c r="A497" s="5" t="str">
        <f ca="1">IFERROR(__xludf.DUMMYFUNCTION("""COMPUTED_VALUE"""),"20210921FLLAL")</f>
        <v>20210921FLLAL</v>
      </c>
      <c r="B497" s="5" t="str">
        <f ca="1">IFERROR(__xludf.DUMMYFUNCTION("""COMPUTED_VALUE"""),"Other")</f>
        <v>Other</v>
      </c>
      <c r="C497" s="5" t="str">
        <f ca="1">IFERROR(__xludf.DUMMYFUNCTION("""COMPUTED_VALUE"""),"BB")</f>
        <v>BB</v>
      </c>
      <c r="D497" s="5"/>
    </row>
    <row r="498" spans="1:4" ht="13">
      <c r="A498" s="5" t="str">
        <f ca="1">IFERROR(__xludf.DUMMYFUNCTION("""COMPUTED_VALUE"""),"20210920VAHEN")</f>
        <v>20210920VAHEN</v>
      </c>
      <c r="B498" s="5" t="str">
        <f ca="1">IFERROR(__xludf.DUMMYFUNCTION("""COMPUTED_VALUE"""),"Handgun")</f>
        <v>Handgun</v>
      </c>
      <c r="C498" s="5"/>
      <c r="D498" s="5"/>
    </row>
    <row r="499" spans="1:4" ht="13">
      <c r="A499" s="5" t="str">
        <f ca="1">IFERROR(__xludf.DUMMYFUNCTION("""COMPUTED_VALUE"""),"20210920OHEAC")</f>
        <v>20210920OHEAC</v>
      </c>
      <c r="B499" s="5" t="str">
        <f ca="1">IFERROR(__xludf.DUMMYFUNCTION("""COMPUTED_VALUE"""),"Multiple Handguns")</f>
        <v>Multiple Handguns</v>
      </c>
      <c r="C499" s="5"/>
      <c r="D499" s="5"/>
    </row>
    <row r="500" spans="1:4" ht="13">
      <c r="A500" s="5" t="str">
        <f ca="1">IFERROR(__xludf.DUMMYFUNCTION("""COMPUTED_VALUE"""),"20210920OHEAC")</f>
        <v>20210920OHEAC</v>
      </c>
      <c r="B500" s="5" t="str">
        <f ca="1">IFERROR(__xludf.DUMMYFUNCTION("""COMPUTED_VALUE"""),"Handgun")</f>
        <v>Handgun</v>
      </c>
      <c r="C500" s="5"/>
      <c r="D500" s="5"/>
    </row>
    <row r="501" spans="1:4" ht="13">
      <c r="A501" s="5" t="str">
        <f ca="1">IFERROR(__xludf.DUMMYFUNCTION("""COMPUTED_VALUE"""),"20210918COWIC")</f>
        <v>20210918COWIC</v>
      </c>
      <c r="B501" s="5" t="str">
        <f ca="1">IFERROR(__xludf.DUMMYFUNCTION("""COMPUTED_VALUE"""),"Handgun")</f>
        <v>Handgun</v>
      </c>
      <c r="C501" s="5"/>
      <c r="D501" s="5"/>
    </row>
    <row r="502" spans="1:4" ht="13">
      <c r="A502" s="5" t="str">
        <f ca="1">IFERROR(__xludf.DUMMYFUNCTION("""COMPUTED_VALUE"""),"20210917VAHEH")</f>
        <v>20210917VAHEH</v>
      </c>
      <c r="B502" s="5" t="str">
        <f ca="1">IFERROR(__xludf.DUMMYFUNCTION("""COMPUTED_VALUE"""),"Handgun")</f>
        <v>Handgun</v>
      </c>
      <c r="C502" s="5"/>
      <c r="D502" s="5"/>
    </row>
    <row r="503" spans="1:4" ht="13">
      <c r="A503" s="5" t="str">
        <f ca="1">IFERROR(__xludf.DUMMYFUNCTION("""COMPUTED_VALUE"""),"20210917TNAUK")</f>
        <v>20210917TNAUK</v>
      </c>
      <c r="B503" s="5" t="str">
        <f ca="1">IFERROR(__xludf.DUMMYFUNCTION("""COMPUTED_VALUE"""),"Handgun")</f>
        <v>Handgun</v>
      </c>
      <c r="C503" s="5"/>
      <c r="D503" s="5"/>
    </row>
    <row r="504" spans="1:4" ht="13">
      <c r="A504" s="5" t="str">
        <f ca="1">IFERROR(__xludf.DUMMYFUNCTION("""COMPUTED_VALUE"""),"20210917PAWEP")</f>
        <v>20210917PAWEP</v>
      </c>
      <c r="B504" s="5" t="str">
        <f ca="1">IFERROR(__xludf.DUMMYFUNCTION("""COMPUTED_VALUE"""),"Handgun")</f>
        <v>Handgun</v>
      </c>
      <c r="C504" s="5"/>
      <c r="D504" s="5"/>
    </row>
    <row r="505" spans="1:4" ht="13">
      <c r="A505" s="5" t="str">
        <f ca="1">IFERROR(__xludf.DUMMYFUNCTION("""COMPUTED_VALUE"""),"20210917NCPAW")</f>
        <v>20210917NCPAW</v>
      </c>
      <c r="B505" s="5" t="str">
        <f ca="1">IFERROR(__xludf.DUMMYFUNCTION("""COMPUTED_VALUE"""),"Handgun")</f>
        <v>Handgun</v>
      </c>
      <c r="C505" s="5"/>
      <c r="D505" s="5"/>
    </row>
    <row r="506" spans="1:4" ht="13">
      <c r="A506" s="5" t="str">
        <f ca="1">IFERROR(__xludf.DUMMYFUNCTION("""COMPUTED_VALUE"""),"20210917GASWS")</f>
        <v>20210917GASWS</v>
      </c>
      <c r="B506" s="5" t="str">
        <f ca="1">IFERROR(__xludf.DUMMYFUNCTION("""COMPUTED_VALUE"""),"Handgun")</f>
        <v>Handgun</v>
      </c>
      <c r="C506" s="5"/>
      <c r="D506" s="5"/>
    </row>
    <row r="507" spans="1:4" ht="13">
      <c r="A507" s="5" t="str">
        <f ca="1">IFERROR(__xludf.DUMMYFUNCTION("""COMPUTED_VALUE"""),"20210916WIORM")</f>
        <v>20210916WIORM</v>
      </c>
      <c r="B507" s="5" t="str">
        <f ca="1">IFERROR(__xludf.DUMMYFUNCTION("""COMPUTED_VALUE"""),"Handgun")</f>
        <v>Handgun</v>
      </c>
      <c r="C507" s="5"/>
      <c r="D507" s="5"/>
    </row>
    <row r="508" spans="1:4" ht="13">
      <c r="A508" s="5" t="str">
        <f ca="1">IFERROR(__xludf.DUMMYFUNCTION("""COMPUTED_VALUE"""),"20210916UTPRP")</f>
        <v>20210916UTPRP</v>
      </c>
      <c r="B508" s="5" t="str">
        <f ca="1">IFERROR(__xludf.DUMMYFUNCTION("""COMPUTED_VALUE"""),"Other")</f>
        <v>Other</v>
      </c>
      <c r="C508" s="5" t="str">
        <f ca="1">IFERROR(__xludf.DUMMYFUNCTION("""COMPUTED_VALUE"""),"airsoft")</f>
        <v>airsoft</v>
      </c>
      <c r="D508" s="5"/>
    </row>
    <row r="509" spans="1:4" ht="13">
      <c r="A509" s="5" t="str">
        <f ca="1">IFERROR(__xludf.DUMMYFUNCTION("""COMPUTED_VALUE"""),"20210915VASPS")</f>
        <v>20210915VASPS</v>
      </c>
      <c r="B509" s="5" t="str">
        <f ca="1">IFERROR(__xludf.DUMMYFUNCTION("""COMPUTED_VALUE"""),"Other")</f>
        <v>Other</v>
      </c>
      <c r="C509" s="5"/>
      <c r="D509" s="5" t="str">
        <f ca="1">IFERROR(__xludf.DUMMYFUNCTION("""COMPUTED_VALUE"""),"Stungun")</f>
        <v>Stungun</v>
      </c>
    </row>
    <row r="510" spans="1:4" ht="13">
      <c r="A510" s="5" t="str">
        <f ca="1">IFERROR(__xludf.DUMMYFUNCTION("""COMPUTED_VALUE"""),"20210915KYMAL")</f>
        <v>20210915KYMAL</v>
      </c>
      <c r="B510" s="5" t="str">
        <f ca="1">IFERROR(__xludf.DUMMYFUNCTION("""COMPUTED_VALUE"""),"Handgun")</f>
        <v>Handgun</v>
      </c>
      <c r="C510" s="5"/>
      <c r="D510" s="5"/>
    </row>
    <row r="511" spans="1:4" ht="13">
      <c r="A511" s="5" t="str">
        <f ca="1">IFERROR(__xludf.DUMMYFUNCTION("""COMPUTED_VALUE"""),"20210915ILCEC")</f>
        <v>20210915ILCEC</v>
      </c>
      <c r="B511" s="5" t="str">
        <f ca="1">IFERROR(__xludf.DUMMYFUNCTION("""COMPUTED_VALUE"""),"Handgun")</f>
        <v>Handgun</v>
      </c>
      <c r="C511" s="5"/>
      <c r="D511" s="5"/>
    </row>
    <row r="512" spans="1:4" ht="13">
      <c r="A512" s="5" t="str">
        <f ca="1">IFERROR(__xludf.DUMMYFUNCTION("""COMPUTED_VALUE"""),"20210914TNLAL")</f>
        <v>20210914TNLAL</v>
      </c>
      <c r="B512" s="5" t="str">
        <f ca="1">IFERROR(__xludf.DUMMYFUNCTION("""COMPUTED_VALUE"""),"Handgun")</f>
        <v>Handgun</v>
      </c>
      <c r="C512" s="5"/>
      <c r="D512" s="5"/>
    </row>
    <row r="513" spans="1:4" ht="13">
      <c r="A513" s="5" t="str">
        <f ca="1">IFERROR(__xludf.DUMMYFUNCTION("""COMPUTED_VALUE"""),"20210914MOMCH")</f>
        <v>20210914MOMCH</v>
      </c>
      <c r="B513" s="5" t="str">
        <f ca="1">IFERROR(__xludf.DUMMYFUNCTION("""COMPUTED_VALUE"""),"Multiple Handguns")</f>
        <v>Multiple Handguns</v>
      </c>
      <c r="C513" s="5"/>
      <c r="D513" s="5"/>
    </row>
    <row r="514" spans="1:4" ht="13">
      <c r="A514" s="5" t="str">
        <f ca="1">IFERROR(__xludf.DUMMYFUNCTION("""COMPUTED_VALUE"""),"20210913SCEDC")</f>
        <v>20210913SCEDC</v>
      </c>
      <c r="B514" s="5" t="str">
        <f ca="1">IFERROR(__xludf.DUMMYFUNCTION("""COMPUTED_VALUE"""),"Handgun")</f>
        <v>Handgun</v>
      </c>
      <c r="C514" s="5"/>
      <c r="D514" s="5"/>
    </row>
    <row r="515" spans="1:4" ht="13">
      <c r="A515" s="5" t="str">
        <f ca="1">IFERROR(__xludf.DUMMYFUNCTION("""COMPUTED_VALUE"""),"20210910CONOA")</f>
        <v>20210910CONOA</v>
      </c>
      <c r="B515" s="5" t="str">
        <f ca="1">IFERROR(__xludf.DUMMYFUNCTION("""COMPUTED_VALUE"""),"Handgun")</f>
        <v>Handgun</v>
      </c>
      <c r="C515" s="5"/>
      <c r="D515" s="5"/>
    </row>
    <row r="516" spans="1:4" ht="13">
      <c r="A516" s="5" t="str">
        <f ca="1">IFERROR(__xludf.DUMMYFUNCTION("""COMPUTED_VALUE"""),"20210910CASTP")</f>
        <v>20210910CASTP</v>
      </c>
      <c r="B516" s="5" t="str">
        <f ca="1">IFERROR(__xludf.DUMMYFUNCTION("""COMPUTED_VALUE"""),"Other")</f>
        <v>Other</v>
      </c>
      <c r="C516" s="5" t="str">
        <f ca="1">IFERROR(__xludf.DUMMYFUNCTION("""COMPUTED_VALUE"""),"BB")</f>
        <v>BB</v>
      </c>
      <c r="D516" s="5"/>
    </row>
    <row r="517" spans="1:4" ht="13">
      <c r="A517" s="5" t="str">
        <f ca="1">IFERROR(__xludf.DUMMYFUNCTION("""COMPUTED_VALUE"""),"20210909NCSHE")</f>
        <v>20210909NCSHE</v>
      </c>
      <c r="B517" s="5"/>
      <c r="C517" s="5"/>
      <c r="D517" s="5"/>
    </row>
    <row r="518" spans="1:4" ht="13">
      <c r="A518" s="5" t="str">
        <f ca="1">IFERROR(__xludf.DUMMYFUNCTION("""COMPUTED_VALUE"""),"20210909MITRF")</f>
        <v>20210909MITRF</v>
      </c>
      <c r="B518" s="5" t="str">
        <f ca="1">IFERROR(__xludf.DUMMYFUNCTION("""COMPUTED_VALUE"""),"Handgun")</f>
        <v>Handgun</v>
      </c>
      <c r="C518" s="5"/>
      <c r="D518" s="5"/>
    </row>
    <row r="519" spans="1:4" ht="13">
      <c r="A519" s="5" t="str">
        <f ca="1">IFERROR(__xludf.DUMMYFUNCTION("""COMPUTED_VALUE"""),"20210909ILCHC")</f>
        <v>20210909ILCHC</v>
      </c>
      <c r="B519" s="5" t="str">
        <f ca="1">IFERROR(__xludf.DUMMYFUNCTION("""COMPUTED_VALUE"""),"Handgun")</f>
        <v>Handgun</v>
      </c>
      <c r="C519" s="5"/>
      <c r="D519" s="5"/>
    </row>
    <row r="520" spans="1:4" ht="13">
      <c r="A520" s="5" t="str">
        <f ca="1">IFERROR(__xludf.DUMMYFUNCTION("""COMPUTED_VALUE"""),"20210908MNPRB")</f>
        <v>20210908MNPRB</v>
      </c>
      <c r="B520" s="5" t="str">
        <f ca="1">IFERROR(__xludf.DUMMYFUNCTION("""COMPUTED_VALUE"""),"Multiple Handguns")</f>
        <v>Multiple Handguns</v>
      </c>
      <c r="C520" s="5"/>
      <c r="D520" s="5"/>
    </row>
    <row r="521" spans="1:4" ht="13">
      <c r="A521" s="5" t="str">
        <f ca="1">IFERROR(__xludf.DUMMYFUNCTION("""COMPUTED_VALUE"""),"20210908ILCEC")</f>
        <v>20210908ILCEC</v>
      </c>
      <c r="B521" s="5" t="str">
        <f ca="1">IFERROR(__xludf.DUMMYFUNCTION("""COMPUTED_VALUE"""),"Handgun")</f>
        <v>Handgun</v>
      </c>
      <c r="C521" s="5"/>
      <c r="D521" s="5"/>
    </row>
    <row r="522" spans="1:4" ht="13">
      <c r="A522" s="5" t="str">
        <f ca="1">IFERROR(__xludf.DUMMYFUNCTION("""COMPUTED_VALUE"""),"20210907TNLAL")</f>
        <v>20210907TNLAL</v>
      </c>
      <c r="B522" s="5" t="str">
        <f ca="1">IFERROR(__xludf.DUMMYFUNCTION("""COMPUTED_VALUE"""),"Handgun")</f>
        <v>Handgun</v>
      </c>
      <c r="C522" s="5"/>
      <c r="D522" s="5"/>
    </row>
    <row r="523" spans="1:4" ht="13">
      <c r="A523" s="5" t="str">
        <f ca="1">IFERROR(__xludf.DUMMYFUNCTION("""COMPUTED_VALUE"""),"20210907PAHAH")</f>
        <v>20210907PAHAH</v>
      </c>
      <c r="B523" s="5" t="str">
        <f ca="1">IFERROR(__xludf.DUMMYFUNCTION("""COMPUTED_VALUE"""),"Handgun")</f>
        <v>Handgun</v>
      </c>
      <c r="C523" s="5"/>
      <c r="D523" s="5"/>
    </row>
    <row r="524" spans="1:4" ht="13">
      <c r="A524" s="5" t="str">
        <f ca="1">IFERROR(__xludf.DUMMYFUNCTION("""COMPUTED_VALUE"""),"20210907MAOMG")</f>
        <v>20210907MAOMG</v>
      </c>
      <c r="B524" s="5" t="str">
        <f ca="1">IFERROR(__xludf.DUMMYFUNCTION("""COMPUTED_VALUE"""),"Other")</f>
        <v>Other</v>
      </c>
      <c r="C524" s="5" t="str">
        <f ca="1">IFERROR(__xludf.DUMMYFUNCTION("""COMPUTED_VALUE"""),"BB")</f>
        <v>BB</v>
      </c>
      <c r="D524" s="5"/>
    </row>
    <row r="525" spans="1:4" ht="13">
      <c r="A525" s="5" t="str">
        <f ca="1">IFERROR(__xludf.DUMMYFUNCTION("""COMPUTED_VALUE"""),"20210903NVDEL")</f>
        <v>20210903NVDEL</v>
      </c>
      <c r="B525" s="5" t="str">
        <f ca="1">IFERROR(__xludf.DUMMYFUNCTION("""COMPUTED_VALUE"""),"Handgun")</f>
        <v>Handgun</v>
      </c>
      <c r="C525" s="5"/>
      <c r="D525" s="5"/>
    </row>
    <row r="526" spans="1:4" ht="13">
      <c r="A526" s="5" t="str">
        <f ca="1">IFERROR(__xludf.DUMMYFUNCTION("""COMPUTED_VALUE"""),"20210903NCJUC")</f>
        <v>20210903NCJUC</v>
      </c>
      <c r="B526" s="5" t="str">
        <f ca="1">IFERROR(__xludf.DUMMYFUNCTION("""COMPUTED_VALUE"""),"Handgun")</f>
        <v>Handgun</v>
      </c>
      <c r="C526" s="5"/>
      <c r="D526" s="5"/>
    </row>
    <row r="527" spans="1:4" ht="13">
      <c r="A527" s="5" t="str">
        <f ca="1">IFERROR(__xludf.DUMMYFUNCTION("""COMPUTED_VALUE"""),"20210903CAMTH")</f>
        <v>20210903CAMTH</v>
      </c>
      <c r="B527" s="5" t="str">
        <f ca="1">IFERROR(__xludf.DUMMYFUNCTION("""COMPUTED_VALUE"""),"Handgun")</f>
        <v>Handgun</v>
      </c>
      <c r="C527" s="5"/>
      <c r="D527" s="5"/>
    </row>
    <row r="528" spans="1:4" ht="13">
      <c r="A528" s="5" t="str">
        <f ca="1">IFERROR(__xludf.DUMMYFUNCTION("""COMPUTED_VALUE"""),"20210903CABUB")</f>
        <v>20210903CABUB</v>
      </c>
      <c r="B528" s="5" t="str">
        <f ca="1">IFERROR(__xludf.DUMMYFUNCTION("""COMPUTED_VALUE"""),"Handgun")</f>
        <v>Handgun</v>
      </c>
      <c r="C528" s="5"/>
      <c r="D528" s="5"/>
    </row>
    <row r="529" spans="1:4" ht="13">
      <c r="A529" s="5" t="str">
        <f ca="1">IFERROR(__xludf.DUMMYFUNCTION("""COMPUTED_VALUE"""),"20210902NMALA")</f>
        <v>20210902NMALA</v>
      </c>
      <c r="B529" s="5" t="str">
        <f ca="1">IFERROR(__xludf.DUMMYFUNCTION("""COMPUTED_VALUE"""),"Multiple Handguns")</f>
        <v>Multiple Handguns</v>
      </c>
      <c r="C529" s="5"/>
      <c r="D529" s="5"/>
    </row>
    <row r="530" spans="1:4" ht="13">
      <c r="A530" s="5" t="str">
        <f ca="1">IFERROR(__xludf.DUMMYFUNCTION("""COMPUTED_VALUE"""),"20210902INWEG")</f>
        <v>20210902INWEG</v>
      </c>
      <c r="B530" s="5" t="str">
        <f ca="1">IFERROR(__xludf.DUMMYFUNCTION("""COMPUTED_VALUE"""),"Handgun")</f>
        <v>Handgun</v>
      </c>
      <c r="C530" s="5"/>
      <c r="D530" s="5"/>
    </row>
    <row r="531" spans="1:4" ht="13">
      <c r="A531" s="5" t="str">
        <f ca="1">IFERROR(__xludf.DUMMYFUNCTION("""COMPUTED_VALUE"""),"20210902GAWOS")</f>
        <v>20210902GAWOS</v>
      </c>
      <c r="B531" s="5" t="str">
        <f ca="1">IFERROR(__xludf.DUMMYFUNCTION("""COMPUTED_VALUE"""),"Handgun")</f>
        <v>Handgun</v>
      </c>
      <c r="C531" s="5"/>
      <c r="D531" s="5"/>
    </row>
    <row r="532" spans="1:4" ht="13">
      <c r="A532" s="5" t="str">
        <f ca="1">IFERROR(__xludf.DUMMYFUNCTION("""COMPUTED_VALUE"""),"20210902CASAL")</f>
        <v>20210902CASAL</v>
      </c>
      <c r="B532" s="5" t="str">
        <f ca="1">IFERROR(__xludf.DUMMYFUNCTION("""COMPUTED_VALUE"""),"Handgun")</f>
        <v>Handgun</v>
      </c>
      <c r="C532" s="5"/>
      <c r="D532" s="5"/>
    </row>
    <row r="533" spans="1:4" ht="13">
      <c r="A533" s="5" t="str">
        <f ca="1">IFERROR(__xludf.DUMMYFUNCTION("""COMPUTED_VALUE"""),"20210902CASAL")</f>
        <v>20210902CASAL</v>
      </c>
      <c r="B533" s="5" t="str">
        <f ca="1">IFERROR(__xludf.DUMMYFUNCTION("""COMPUTED_VALUE"""),"Handgun")</f>
        <v>Handgun</v>
      </c>
      <c r="C533" s="5"/>
      <c r="D533" s="5"/>
    </row>
    <row r="534" spans="1:4" ht="13">
      <c r="A534" s="5" t="str">
        <f ca="1">IFERROR(__xludf.DUMMYFUNCTION("""COMPUTED_VALUE"""),"20210902CASAL")</f>
        <v>20210902CASAL</v>
      </c>
      <c r="B534" s="5" t="str">
        <f ca="1">IFERROR(__xludf.DUMMYFUNCTION("""COMPUTED_VALUE"""),"Handgun")</f>
        <v>Handgun</v>
      </c>
      <c r="C534" s="5"/>
      <c r="D534" s="5"/>
    </row>
    <row r="535" spans="1:4" ht="13">
      <c r="A535" s="5" t="str">
        <f ca="1">IFERROR(__xludf.DUMMYFUNCTION("""COMPUTED_VALUE"""),"20210902CASAL")</f>
        <v>20210902CASAL</v>
      </c>
      <c r="B535" s="5" t="str">
        <f ca="1">IFERROR(__xludf.DUMMYFUNCTION("""COMPUTED_VALUE"""),"Handgun")</f>
        <v>Handgun</v>
      </c>
      <c r="C535" s="5"/>
      <c r="D535" s="5"/>
    </row>
    <row r="536" spans="1:4" ht="13">
      <c r="A536" s="5" t="str">
        <f ca="1">IFERROR(__xludf.DUMMYFUNCTION("""COMPUTED_VALUE"""),"20210902ARLIL")</f>
        <v>20210902ARLIL</v>
      </c>
      <c r="B536" s="5" t="str">
        <f ca="1">IFERROR(__xludf.DUMMYFUNCTION("""COMPUTED_VALUE"""),"Handgun")</f>
        <v>Handgun</v>
      </c>
      <c r="C536" s="5"/>
      <c r="D536" s="5"/>
    </row>
    <row r="537" spans="1:4" ht="13">
      <c r="A537" s="5" t="str">
        <f ca="1">IFERROR(__xludf.DUMMYFUNCTION("""COMPUTED_VALUE"""),"20210901NCMTW")</f>
        <v>20210901NCMTW</v>
      </c>
      <c r="B537" s="5" t="str">
        <f ca="1">IFERROR(__xludf.DUMMYFUNCTION("""COMPUTED_VALUE"""),"Handgun")</f>
        <v>Handgun</v>
      </c>
      <c r="C537" s="5"/>
      <c r="D537" s="5"/>
    </row>
    <row r="538" spans="1:4" ht="13">
      <c r="A538" s="5" t="str">
        <f ca="1">IFERROR(__xludf.DUMMYFUNCTION("""COMPUTED_VALUE"""),"20210901ILFRC")</f>
        <v>20210901ILFRC</v>
      </c>
      <c r="B538" s="5" t="str">
        <f ca="1">IFERROR(__xludf.DUMMYFUNCTION("""COMPUTED_VALUE"""),"Handgun")</f>
        <v>Handgun</v>
      </c>
      <c r="C538" s="5"/>
      <c r="D538" s="5"/>
    </row>
    <row r="539" spans="1:4" ht="13">
      <c r="A539" s="5" t="str">
        <f ca="1">IFERROR(__xludf.DUMMYFUNCTION("""COMPUTED_VALUE"""),"20210830NJWEN")</f>
        <v>20210830NJWEN</v>
      </c>
      <c r="B539" s="5" t="str">
        <f ca="1">IFERROR(__xludf.DUMMYFUNCTION("""COMPUTED_VALUE"""),"Handgun")</f>
        <v>Handgun</v>
      </c>
      <c r="C539" s="5"/>
      <c r="D539" s="5"/>
    </row>
    <row r="540" spans="1:4" ht="13">
      <c r="A540" s="5" t="str">
        <f ca="1">IFERROR(__xludf.DUMMYFUNCTION("""COMPUTED_VALUE"""),"20210830NCNEW")</f>
        <v>20210830NCNEW</v>
      </c>
      <c r="B540" s="5" t="str">
        <f ca="1">IFERROR(__xludf.DUMMYFUNCTION("""COMPUTED_VALUE"""),"Handgun")</f>
        <v>Handgun</v>
      </c>
      <c r="C540" s="5"/>
      <c r="D540" s="5"/>
    </row>
    <row r="541" spans="1:4" ht="13">
      <c r="A541" s="5" t="str">
        <f ca="1">IFERROR(__xludf.DUMMYFUNCTION("""COMPUTED_VALUE"""),"20210830MDNEO")</f>
        <v>20210830MDNEO</v>
      </c>
      <c r="B541" s="5" t="str">
        <f ca="1">IFERROR(__xludf.DUMMYFUNCTION("""COMPUTED_VALUE"""),"Handgun")</f>
        <v>Handgun</v>
      </c>
      <c r="C541" s="5"/>
      <c r="D541" s="5"/>
    </row>
    <row r="542" spans="1:4" ht="13">
      <c r="A542" s="5" t="str">
        <f ca="1">IFERROR(__xludf.DUMMYFUNCTION("""COMPUTED_VALUE"""),"20210830FLOKW")</f>
        <v>20210830FLOKW</v>
      </c>
      <c r="B542" s="5" t="str">
        <f ca="1">IFERROR(__xludf.DUMMYFUNCTION("""COMPUTED_VALUE"""),"Other")</f>
        <v>Other</v>
      </c>
      <c r="C542" s="5" t="str">
        <f ca="1">IFERROR(__xludf.DUMMYFUNCTION("""COMPUTED_VALUE"""),"Pellet")</f>
        <v>Pellet</v>
      </c>
      <c r="D542" s="5"/>
    </row>
    <row r="543" spans="1:4" ht="13">
      <c r="A543" s="5" t="str">
        <f ca="1">IFERROR(__xludf.DUMMYFUNCTION("""COMPUTED_VALUE"""),"20210828CASAS")</f>
        <v>20210828CASAS</v>
      </c>
      <c r="B543" s="5" t="str">
        <f ca="1">IFERROR(__xludf.DUMMYFUNCTION("""COMPUTED_VALUE"""),"Handgun")</f>
        <v>Handgun</v>
      </c>
      <c r="C543" s="5"/>
      <c r="D543" s="5"/>
    </row>
    <row r="544" spans="1:4" ht="13">
      <c r="A544" s="5" t="str">
        <f ca="1">IFERROR(__xludf.DUMMYFUNCTION("""COMPUTED_VALUE"""),"20210827VAFRW")</f>
        <v>20210827VAFRW</v>
      </c>
      <c r="B544" s="5" t="str">
        <f ca="1">IFERROR(__xludf.DUMMYFUNCTION("""COMPUTED_VALUE"""),"Handgun")</f>
        <v>Handgun</v>
      </c>
      <c r="C544" s="5"/>
      <c r="D544" s="5"/>
    </row>
    <row r="545" spans="1:4" ht="13">
      <c r="A545" s="5" t="str">
        <f ca="1">IFERROR(__xludf.DUMMYFUNCTION("""COMPUTED_VALUE"""),"20210827KYAPO")</f>
        <v>20210827KYAPO</v>
      </c>
      <c r="B545" s="5" t="str">
        <f ca="1">IFERROR(__xludf.DUMMYFUNCTION("""COMPUTED_VALUE"""),"Handgun")</f>
        <v>Handgun</v>
      </c>
      <c r="C545" s="5"/>
      <c r="D545" s="5"/>
    </row>
    <row r="546" spans="1:4" ht="13">
      <c r="A546" s="5" t="str">
        <f ca="1">IFERROR(__xludf.DUMMYFUNCTION("""COMPUTED_VALUE"""),"20210827INHAH")</f>
        <v>20210827INHAH</v>
      </c>
      <c r="B546" s="5" t="str">
        <f ca="1">IFERROR(__xludf.DUMMYFUNCTION("""COMPUTED_VALUE"""),"Handgun")</f>
        <v>Handgun</v>
      </c>
      <c r="C546" s="5"/>
      <c r="D546" s="5"/>
    </row>
    <row r="547" spans="1:4" ht="13">
      <c r="A547" s="5" t="str">
        <f ca="1">IFERROR(__xludf.DUMMYFUNCTION("""COMPUTED_VALUE"""),"20210826WAAKS")</f>
        <v>20210826WAAKS</v>
      </c>
      <c r="B547" s="5" t="str">
        <f ca="1">IFERROR(__xludf.DUMMYFUNCTION("""COMPUTED_VALUE"""),"Multiple Handguns")</f>
        <v>Multiple Handguns</v>
      </c>
      <c r="C547" s="5"/>
      <c r="D547" s="5"/>
    </row>
    <row r="548" spans="1:4" ht="13">
      <c r="A548" s="5" t="str">
        <f ca="1">IFERROR(__xludf.DUMMYFUNCTION("""COMPUTED_VALUE"""),"20210826OHNOT")</f>
        <v>20210826OHNOT</v>
      </c>
      <c r="B548" s="5" t="str">
        <f ca="1">IFERROR(__xludf.DUMMYFUNCTION("""COMPUTED_VALUE"""),"Handgun")</f>
        <v>Handgun</v>
      </c>
      <c r="C548" s="5"/>
      <c r="D548" s="5"/>
    </row>
    <row r="549" spans="1:4" ht="13">
      <c r="A549" s="5" t="str">
        <f ca="1">IFERROR(__xludf.DUMMYFUNCTION("""COMPUTED_VALUE"""),"20210826NYHAH")</f>
        <v>20210826NYHAH</v>
      </c>
      <c r="B549" s="5" t="str">
        <f ca="1">IFERROR(__xludf.DUMMYFUNCTION("""COMPUTED_VALUE"""),"Handgun")</f>
        <v>Handgun</v>
      </c>
      <c r="C549" s="5"/>
      <c r="D549" s="5"/>
    </row>
    <row r="550" spans="1:4" ht="13">
      <c r="A550" s="5" t="str">
        <f ca="1">IFERROR(__xludf.DUMMYFUNCTION("""COMPUTED_VALUE"""),"20210822ILWER")</f>
        <v>20210822ILWER</v>
      </c>
      <c r="B550" s="5" t="str">
        <f ca="1">IFERROR(__xludf.DUMMYFUNCTION("""COMPUTED_VALUE"""),"Handgun")</f>
        <v>Handgun</v>
      </c>
      <c r="C550" s="5"/>
      <c r="D550" s="5"/>
    </row>
    <row r="551" spans="1:4" ht="13">
      <c r="A551" s="5" t="str">
        <f ca="1">IFERROR(__xludf.DUMMYFUNCTION("""COMPUTED_VALUE"""),"20210820NEMIO")</f>
        <v>20210820NEMIO</v>
      </c>
      <c r="B551" s="5"/>
      <c r="C551" s="5"/>
      <c r="D551" s="5"/>
    </row>
    <row r="552" spans="1:4" ht="13">
      <c r="A552" s="5" t="str">
        <f ca="1">IFERROR(__xludf.DUMMYFUNCTION("""COMPUTED_VALUE"""),"20210820CACEF")</f>
        <v>20210820CACEF</v>
      </c>
      <c r="B552" s="5" t="str">
        <f ca="1">IFERROR(__xludf.DUMMYFUNCTION("""COMPUTED_VALUE"""),"Handgun")</f>
        <v>Handgun</v>
      </c>
      <c r="C552" s="5"/>
      <c r="D552" s="5"/>
    </row>
    <row r="553" spans="1:4" ht="13">
      <c r="A553" s="5" t="str">
        <f ca="1">IFERROR(__xludf.DUMMYFUNCTION("""COMPUTED_VALUE"""),"20210818SCORO")</f>
        <v>20210818SCORO</v>
      </c>
      <c r="B553" s="5" t="str">
        <f ca="1">IFERROR(__xludf.DUMMYFUNCTION("""COMPUTED_VALUE"""),"Handgun")</f>
        <v>Handgun</v>
      </c>
      <c r="C553" s="5"/>
      <c r="D553" s="5"/>
    </row>
    <row r="554" spans="1:4" ht="13">
      <c r="A554" s="5" t="str">
        <f ca="1">IFERROR(__xludf.DUMMYFUNCTION("""COMPUTED_VALUE"""),"20210818SCORO")</f>
        <v>20210818SCORO</v>
      </c>
      <c r="B554" s="5" t="str">
        <f ca="1">IFERROR(__xludf.DUMMYFUNCTION("""COMPUTED_VALUE"""),"Handgun")</f>
        <v>Handgun</v>
      </c>
      <c r="C554" s="5"/>
      <c r="D554" s="5"/>
    </row>
    <row r="555" spans="1:4" ht="13">
      <c r="A555" s="5" t="str">
        <f ca="1">IFERROR(__xludf.DUMMYFUNCTION("""COMPUTED_VALUE"""),"20210815VAROD")</f>
        <v>20210815VAROD</v>
      </c>
      <c r="B555" s="5" t="str">
        <f ca="1">IFERROR(__xludf.DUMMYFUNCTION("""COMPUTED_VALUE"""),"Handgun")</f>
        <v>Handgun</v>
      </c>
      <c r="C555" s="5"/>
      <c r="D555" s="5"/>
    </row>
    <row r="556" spans="1:4" ht="13">
      <c r="A556" s="5" t="str">
        <f ca="1">IFERROR(__xludf.DUMMYFUNCTION("""COMPUTED_VALUE"""),"20210814SCDAH")</f>
        <v>20210814SCDAH</v>
      </c>
      <c r="B556" s="5" t="str">
        <f ca="1">IFERROR(__xludf.DUMMYFUNCTION("""COMPUTED_VALUE"""),"Other")</f>
        <v>Other</v>
      </c>
      <c r="C556" s="5" t="str">
        <f ca="1">IFERROR(__xludf.DUMMYFUNCTION("""COMPUTED_VALUE"""),"BB")</f>
        <v>BB</v>
      </c>
      <c r="D556" s="5"/>
    </row>
    <row r="557" spans="1:4" ht="13">
      <c r="A557" s="5" t="str">
        <f ca="1">IFERROR(__xludf.DUMMYFUNCTION("""COMPUTED_VALUE"""),"20210814ILMAC")</f>
        <v>20210814ILMAC</v>
      </c>
      <c r="B557" s="5"/>
      <c r="C557" s="5"/>
      <c r="D557" s="5"/>
    </row>
    <row r="558" spans="1:4" ht="13">
      <c r="A558" s="5" t="str">
        <f ca="1">IFERROR(__xludf.DUMMYFUNCTION("""COMPUTED_VALUE"""),"20210813NMWAA")</f>
        <v>20210813NMWAA</v>
      </c>
      <c r="B558" s="5" t="str">
        <f ca="1">IFERROR(__xludf.DUMMYFUNCTION("""COMPUTED_VALUE"""),"Handgun")</f>
        <v>Handgun</v>
      </c>
      <c r="C558" s="5"/>
      <c r="D558" s="5"/>
    </row>
    <row r="559" spans="1:4" ht="13">
      <c r="A559" s="5" t="str">
        <f ca="1">IFERROR(__xludf.DUMMYFUNCTION("""COMPUTED_VALUE"""),"20210813GACAS")</f>
        <v>20210813GACAS</v>
      </c>
      <c r="B559" s="5" t="str">
        <f ca="1">IFERROR(__xludf.DUMMYFUNCTION("""COMPUTED_VALUE"""),"Handgun")</f>
        <v>Handgun</v>
      </c>
      <c r="C559" s="5"/>
      <c r="D559" s="5"/>
    </row>
    <row r="560" spans="1:4" ht="13">
      <c r="A560" s="5" t="str">
        <f ca="1">IFERROR(__xludf.DUMMYFUNCTION("""COMPUTED_VALUE"""),"20210812GALIL")</f>
        <v>20210812GALIL</v>
      </c>
      <c r="B560" s="5" t="str">
        <f ca="1">IFERROR(__xludf.DUMMYFUNCTION("""COMPUTED_VALUE"""),"Handgun")</f>
        <v>Handgun</v>
      </c>
      <c r="C560" s="5" t="str">
        <f ca="1">IFERROR(__xludf.DUMMYFUNCTION("""COMPUTED_VALUE"""),"Service Weapon")</f>
        <v>Service Weapon</v>
      </c>
      <c r="D560" s="5"/>
    </row>
    <row r="561" spans="1:4" ht="13">
      <c r="A561" s="5" t="str">
        <f ca="1">IFERROR(__xludf.DUMMYFUNCTION("""COMPUTED_VALUE"""),"20210812CANOS")</f>
        <v>20210812CANOS</v>
      </c>
      <c r="B561" s="5" t="str">
        <f ca="1">IFERROR(__xludf.DUMMYFUNCTION("""COMPUTED_VALUE"""),"Handgun")</f>
        <v>Handgun</v>
      </c>
      <c r="C561" s="5"/>
      <c r="D561" s="5"/>
    </row>
    <row r="562" spans="1:4" ht="13">
      <c r="A562" s="5" t="str">
        <f ca="1">IFERROR(__xludf.DUMMYFUNCTION("""COMPUTED_VALUE"""),"20210811COMAC")</f>
        <v>20210811COMAC</v>
      </c>
      <c r="B562" s="5"/>
      <c r="C562" s="5"/>
      <c r="D562" s="5"/>
    </row>
    <row r="563" spans="1:4" ht="13">
      <c r="A563" s="5" t="str">
        <f ca="1">IFERROR(__xludf.DUMMYFUNCTION("""COMPUTED_VALUE"""),"20210811CAOAO")</f>
        <v>20210811CAOAO</v>
      </c>
      <c r="B563" s="5" t="str">
        <f ca="1">IFERROR(__xludf.DUMMYFUNCTION("""COMPUTED_VALUE"""),"Handgun")</f>
        <v>Handgun</v>
      </c>
      <c r="C563" s="5"/>
      <c r="D563" s="5"/>
    </row>
    <row r="564" spans="1:4" ht="13">
      <c r="A564" s="5" t="str">
        <f ca="1">IFERROR(__xludf.DUMMYFUNCTION("""COMPUTED_VALUE"""),"20210810OHEAC")</f>
        <v>20210810OHEAC</v>
      </c>
      <c r="B564" s="5" t="str">
        <f ca="1">IFERROR(__xludf.DUMMYFUNCTION("""COMPUTED_VALUE"""),"Handgun")</f>
        <v>Handgun</v>
      </c>
      <c r="C564" s="5"/>
      <c r="D564" s="5"/>
    </row>
    <row r="565" spans="1:4" ht="13">
      <c r="A565" s="5" t="str">
        <f ca="1">IFERROR(__xludf.DUMMYFUNCTION("""COMPUTED_VALUE"""),"20210807ORGIP")</f>
        <v>20210807ORGIP</v>
      </c>
      <c r="B565" s="5"/>
      <c r="C565" s="5"/>
      <c r="D565" s="5"/>
    </row>
    <row r="566" spans="1:4" ht="13">
      <c r="A566" s="5" t="str">
        <f ca="1">IFERROR(__xludf.DUMMYFUNCTION("""COMPUTED_VALUE"""),"20210806LASTH")</f>
        <v>20210806LASTH</v>
      </c>
      <c r="B566" s="5" t="str">
        <f ca="1">IFERROR(__xludf.DUMMYFUNCTION("""COMPUTED_VALUE"""),"Handgun")</f>
        <v>Handgun</v>
      </c>
      <c r="C566" s="5"/>
      <c r="D566" s="5"/>
    </row>
    <row r="567" spans="1:4" ht="13">
      <c r="A567" s="5" t="str">
        <f ca="1">IFERROR(__xludf.DUMMYFUNCTION("""COMPUTED_VALUE"""),"20210805GACHD")</f>
        <v>20210805GACHD</v>
      </c>
      <c r="B567" s="5"/>
      <c r="C567" s="5"/>
      <c r="D567" s="5"/>
    </row>
    <row r="568" spans="1:4" ht="13">
      <c r="A568" s="5" t="str">
        <f ca="1">IFERROR(__xludf.DUMMYFUNCTION("""COMPUTED_VALUE"""),"20210727WATYS")</f>
        <v>20210727WATYS</v>
      </c>
      <c r="B568" s="5" t="str">
        <f ca="1">IFERROR(__xludf.DUMMYFUNCTION("""COMPUTED_VALUE"""),"Handgun")</f>
        <v>Handgun</v>
      </c>
      <c r="C568" s="5"/>
      <c r="D568" s="5"/>
    </row>
    <row r="569" spans="1:4" ht="13">
      <c r="A569" s="5" t="str">
        <f ca="1">IFERROR(__xludf.DUMMYFUNCTION("""COMPUTED_VALUE"""),"20210721ILTHC")</f>
        <v>20210721ILTHC</v>
      </c>
      <c r="B569" s="5"/>
      <c r="C569" s="5"/>
      <c r="D569" s="5"/>
    </row>
    <row r="570" spans="1:4" ht="13">
      <c r="A570" s="5" t="str">
        <f ca="1">IFERROR(__xludf.DUMMYFUNCTION("""COMPUTED_VALUE"""),"20210719TXCAC")</f>
        <v>20210719TXCAC</v>
      </c>
      <c r="B570" s="5" t="str">
        <f ca="1">IFERROR(__xludf.DUMMYFUNCTION("""COMPUTED_VALUE"""),"Other")</f>
        <v>Other</v>
      </c>
      <c r="C570" s="5" t="str">
        <f ca="1">IFERROR(__xludf.DUMMYFUNCTION("""COMPUTED_VALUE"""),"BB")</f>
        <v>BB</v>
      </c>
      <c r="D570" s="5" t="str">
        <f ca="1">IFERROR(__xludf.DUMMYFUNCTION("""COMPUTED_VALUE"""),"Hydroball gun painted black to look realistic")</f>
        <v>Hydroball gun painted black to look realistic</v>
      </c>
    </row>
    <row r="571" spans="1:4" ht="13">
      <c r="A571" s="5" t="str">
        <f ca="1">IFERROR(__xludf.DUMMYFUNCTION("""COMPUTED_VALUE"""),"20210718ARFOL")</f>
        <v>20210718ARFOL</v>
      </c>
      <c r="B571" s="5" t="str">
        <f ca="1">IFERROR(__xludf.DUMMYFUNCTION("""COMPUTED_VALUE"""),"Handgun")</f>
        <v>Handgun</v>
      </c>
      <c r="C571" s="5"/>
      <c r="D571" s="5"/>
    </row>
    <row r="572" spans="1:4" ht="13">
      <c r="A572" s="5" t="str">
        <f ca="1">IFERROR(__xludf.DUMMYFUNCTION("""COMPUTED_VALUE"""),"20210709KSCAW")</f>
        <v>20210709KSCAW</v>
      </c>
      <c r="B572" s="5" t="str">
        <f ca="1">IFERROR(__xludf.DUMMYFUNCTION("""COMPUTED_VALUE"""),"Handgun")</f>
        <v>Handgun</v>
      </c>
      <c r="C572" s="5"/>
      <c r="D572" s="5"/>
    </row>
    <row r="573" spans="1:4" ht="13">
      <c r="A573" s="5" t="str">
        <f ca="1">IFERROR(__xludf.DUMMYFUNCTION("""COMPUTED_VALUE"""),"20210708ILBEC")</f>
        <v>20210708ILBEC</v>
      </c>
      <c r="B573" s="5" t="str">
        <f ca="1">IFERROR(__xludf.DUMMYFUNCTION("""COMPUTED_VALUE"""),"Handgun")</f>
        <v>Handgun</v>
      </c>
      <c r="C573" s="5"/>
      <c r="D573" s="5"/>
    </row>
    <row r="574" spans="1:4" ht="13">
      <c r="A574" s="5" t="str">
        <f ca="1">IFERROR(__xludf.DUMMYFUNCTION("""COMPUTED_VALUE"""),"20210704NYDRR")</f>
        <v>20210704NYDRR</v>
      </c>
      <c r="B574" s="5"/>
      <c r="C574" s="5"/>
      <c r="D574" s="5"/>
    </row>
    <row r="575" spans="1:4" ht="13">
      <c r="A575" s="5" t="str">
        <f ca="1">IFERROR(__xludf.DUMMYFUNCTION("""COMPUTED_VALUE"""),"20210628CASLF")</f>
        <v>20210628CASLF</v>
      </c>
      <c r="B575" s="5"/>
      <c r="C575" s="5"/>
      <c r="D575" s="5"/>
    </row>
    <row r="576" spans="1:4" ht="13">
      <c r="A576" s="5" t="str">
        <f ca="1">IFERROR(__xludf.DUMMYFUNCTION("""COMPUTED_VALUE"""),"20210624ILABR")</f>
        <v>20210624ILABR</v>
      </c>
      <c r="B576" s="5"/>
      <c r="C576" s="5"/>
      <c r="D576" s="5"/>
    </row>
    <row r="577" spans="1:4" ht="13">
      <c r="A577" s="5" t="str">
        <f ca="1">IFERROR(__xludf.DUMMYFUNCTION("""COMPUTED_VALUE"""),"20210620CAGRM")</f>
        <v>20210620CAGRM</v>
      </c>
      <c r="B577" s="5" t="str">
        <f ca="1">IFERROR(__xludf.DUMMYFUNCTION("""COMPUTED_VALUE"""),"Handgun")</f>
        <v>Handgun</v>
      </c>
      <c r="C577" s="5" t="str">
        <f ca="1">IFERROR(__xludf.DUMMYFUNCTION("""COMPUTED_VALUE"""),"Service Weapon")</f>
        <v>Service Weapon</v>
      </c>
      <c r="D577" s="5"/>
    </row>
    <row r="578" spans="1:4" ht="13">
      <c r="A578" s="5" t="str">
        <f ca="1">IFERROR(__xludf.DUMMYFUNCTION("""COMPUTED_VALUE"""),"20210614TXEAF")</f>
        <v>20210614TXEAF</v>
      </c>
      <c r="B578" s="5" t="str">
        <f ca="1">IFERROR(__xludf.DUMMYFUNCTION("""COMPUTED_VALUE"""),"Handgun")</f>
        <v>Handgun</v>
      </c>
      <c r="C578" s="5"/>
      <c r="D578" s="5"/>
    </row>
    <row r="579" spans="1:4" ht="13">
      <c r="A579" s="5" t="str">
        <f ca="1">IFERROR(__xludf.DUMMYFUNCTION("""COMPUTED_VALUE"""),"20210614NCROR")</f>
        <v>20210614NCROR</v>
      </c>
      <c r="B579" s="5" t="str">
        <f ca="1">IFERROR(__xludf.DUMMYFUNCTION("""COMPUTED_VALUE"""),"Multiple Handguns")</f>
        <v>Multiple Handguns</v>
      </c>
      <c r="C579" s="5"/>
      <c r="D579" s="5"/>
    </row>
    <row r="580" spans="1:4" ht="13">
      <c r="A580" s="5" t="str">
        <f ca="1">IFERROR(__xludf.DUMMYFUNCTION("""COMPUTED_VALUE"""),"20210614NCRJW")</f>
        <v>20210614NCRJW</v>
      </c>
      <c r="B580" s="5" t="str">
        <f ca="1">IFERROR(__xludf.DUMMYFUNCTION("""COMPUTED_VALUE"""),"Handgun")</f>
        <v>Handgun</v>
      </c>
      <c r="C580" s="5"/>
      <c r="D580" s="5"/>
    </row>
    <row r="581" spans="1:4" ht="13">
      <c r="A581" s="5" t="str">
        <f ca="1">IFERROR(__xludf.DUMMYFUNCTION("""COMPUTED_VALUE"""),"20210614NCRJW")</f>
        <v>20210614NCRJW</v>
      </c>
      <c r="B581" s="5" t="str">
        <f ca="1">IFERROR(__xludf.DUMMYFUNCTION("""COMPUTED_VALUE"""),"Rifle")</f>
        <v>Rifle</v>
      </c>
      <c r="C581" s="5" t="str">
        <f ca="1">IFERROR(__xludf.DUMMYFUNCTION("""COMPUTED_VALUE"""),".223 caliber")</f>
        <v>.223 caliber</v>
      </c>
      <c r="D581" s="5" t="str">
        <f ca="1">IFERROR(__xludf.DUMMYFUNCTION("""COMPUTED_VALUE"""),"AR-15 style rifle")</f>
        <v>AR-15 style rifle</v>
      </c>
    </row>
    <row r="582" spans="1:4" ht="13">
      <c r="A582" s="5" t="str">
        <f ca="1">IFERROR(__xludf.DUMMYFUNCTION("""COMPUTED_VALUE"""),"20210613PAWIP")</f>
        <v>20210613PAWIP</v>
      </c>
      <c r="B582" s="5" t="str">
        <f ca="1">IFERROR(__xludf.DUMMYFUNCTION("""COMPUTED_VALUE"""),"Handgun")</f>
        <v>Handgun</v>
      </c>
      <c r="C582" s="5"/>
      <c r="D582" s="5"/>
    </row>
    <row r="583" spans="1:4" ht="13">
      <c r="A583" s="5" t="str">
        <f ca="1">IFERROR(__xludf.DUMMYFUNCTION("""COMPUTED_VALUE"""),"20210613PAPAC")</f>
        <v>20210613PAPAC</v>
      </c>
      <c r="B583" s="5"/>
      <c r="C583" s="5"/>
      <c r="D583" s="5"/>
    </row>
    <row r="584" spans="1:4" ht="13">
      <c r="A584" s="5" t="str">
        <f ca="1">IFERROR(__xludf.DUMMYFUNCTION("""COMPUTED_VALUE"""),"20210612MOMCF")</f>
        <v>20210612MOMCF</v>
      </c>
      <c r="B584" s="5" t="str">
        <f ca="1">IFERROR(__xludf.DUMMYFUNCTION("""COMPUTED_VALUE"""),"Handgun")</f>
        <v>Handgun</v>
      </c>
      <c r="C584" s="5"/>
      <c r="D584" s="5"/>
    </row>
    <row r="585" spans="1:4" ht="13">
      <c r="A585" s="5" t="str">
        <f ca="1">IFERROR(__xludf.DUMMYFUNCTION("""COMPUTED_VALUE"""),"20210610CTHOW")</f>
        <v>20210610CTHOW</v>
      </c>
      <c r="B585" s="5" t="str">
        <f ca="1">IFERROR(__xludf.DUMMYFUNCTION("""COMPUTED_VALUE"""),"Multiple Handguns")</f>
        <v>Multiple Handguns</v>
      </c>
      <c r="C585" s="5" t="str">
        <f ca="1">IFERROR(__xludf.DUMMYFUNCTION("""COMPUTED_VALUE"""),".40 caliber")</f>
        <v>.40 caliber</v>
      </c>
      <c r="D585" s="5" t="str">
        <f ca="1">IFERROR(__xludf.DUMMYFUNCTION("""COMPUTED_VALUE"""),"Glock 23 with illegal high capacity magazine")</f>
        <v>Glock 23 with illegal high capacity magazine</v>
      </c>
    </row>
    <row r="586" spans="1:4" ht="13">
      <c r="A586" s="5" t="str">
        <f ca="1">IFERROR(__xludf.DUMMYFUNCTION("""COMPUTED_VALUE"""),"20210609VAWIR")</f>
        <v>20210609VAWIR</v>
      </c>
      <c r="B586" s="5" t="str">
        <f ca="1">IFERROR(__xludf.DUMMYFUNCTION("""COMPUTED_VALUE"""),"Handgun")</f>
        <v>Handgun</v>
      </c>
      <c r="C586" s="5"/>
      <c r="D586" s="5"/>
    </row>
    <row r="587" spans="1:4" ht="13">
      <c r="A587" s="5" t="str">
        <f ca="1">IFERROR(__xludf.DUMMYFUNCTION("""COMPUTED_VALUE"""),"20210609TXNOH")</f>
        <v>20210609TXNOH</v>
      </c>
      <c r="B587" s="5" t="str">
        <f ca="1">IFERROR(__xludf.DUMMYFUNCTION("""COMPUTED_VALUE"""),"Handgun")</f>
        <v>Handgun</v>
      </c>
      <c r="C587" s="5"/>
      <c r="D587" s="5"/>
    </row>
    <row r="588" spans="1:4" ht="13">
      <c r="A588" s="5" t="str">
        <f ca="1">IFERROR(__xludf.DUMMYFUNCTION("""COMPUTED_VALUE"""),"20210608PAMUS")</f>
        <v>20210608PAMUS</v>
      </c>
      <c r="B588" s="5" t="str">
        <f ca="1">IFERROR(__xludf.DUMMYFUNCTION("""COMPUTED_VALUE"""),"Handgun")</f>
        <v>Handgun</v>
      </c>
      <c r="C588" s="5"/>
      <c r="D588" s="5"/>
    </row>
    <row r="589" spans="1:4" ht="13">
      <c r="A589" s="5" t="str">
        <f ca="1">IFERROR(__xludf.DUMMYFUNCTION("""COMPUTED_VALUE"""),"20210608KSHAK")</f>
        <v>20210608KSHAK</v>
      </c>
      <c r="B589" s="5"/>
      <c r="C589" s="5"/>
      <c r="D589" s="5"/>
    </row>
    <row r="590" spans="1:4" ht="13">
      <c r="A590" s="5" t="str">
        <f ca="1">IFERROR(__xludf.DUMMYFUNCTION("""COMPUTED_VALUE"""),"20210607TXEAF")</f>
        <v>20210607TXEAF</v>
      </c>
      <c r="B590" s="5" t="str">
        <f ca="1">IFERROR(__xludf.DUMMYFUNCTION("""COMPUTED_VALUE"""),"Handgun")</f>
        <v>Handgun</v>
      </c>
      <c r="C590" s="5"/>
      <c r="D590" s="5"/>
    </row>
    <row r="591" spans="1:4" ht="13">
      <c r="A591" s="5" t="str">
        <f ca="1">IFERROR(__xludf.DUMMYFUNCTION("""COMPUTED_VALUE"""),"20210606VADRA")</f>
        <v>20210606VADRA</v>
      </c>
      <c r="B591" s="5" t="str">
        <f ca="1">IFERROR(__xludf.DUMMYFUNCTION("""COMPUTED_VALUE"""),"Multiple Handguns")</f>
        <v>Multiple Handguns</v>
      </c>
      <c r="C591" s="5"/>
      <c r="D591" s="5"/>
    </row>
    <row r="592" spans="1:4" ht="13">
      <c r="A592" s="5" t="str">
        <f ca="1">IFERROR(__xludf.DUMMYFUNCTION("""COMPUTED_VALUE"""),"20210601ILLIC")</f>
        <v>20210601ILLIC</v>
      </c>
      <c r="B592" s="5" t="str">
        <f ca="1">IFERROR(__xludf.DUMMYFUNCTION("""COMPUTED_VALUE"""),"Handgun")</f>
        <v>Handgun</v>
      </c>
      <c r="C592" s="5"/>
      <c r="D592" s="5"/>
    </row>
    <row r="593" spans="1:4" ht="13">
      <c r="A593" s="5" t="str">
        <f ca="1">IFERROR(__xludf.DUMMYFUNCTION("""COMPUTED_VALUE"""),"20210525NJPAP")</f>
        <v>20210525NJPAP</v>
      </c>
      <c r="B593" s="5" t="str">
        <f ca="1">IFERROR(__xludf.DUMMYFUNCTION("""COMPUTED_VALUE"""),"Rifle")</f>
        <v>Rifle</v>
      </c>
      <c r="C593" s="5"/>
      <c r="D593" s="5" t="str">
        <f ca="1">IFERROR(__xludf.DUMMYFUNCTION("""COMPUTED_VALUE"""),"High-powered rifle with pistol grip, scope, extended magazine, and other modifications.")</f>
        <v>High-powered rifle with pistol grip, scope, extended magazine, and other modifications.</v>
      </c>
    </row>
    <row r="594" spans="1:4" ht="13">
      <c r="A594" s="5" t="str">
        <f ca="1">IFERROR(__xludf.DUMMYFUNCTION("""COMPUTED_VALUE"""),"20210517TXBRE")</f>
        <v>20210517TXBRE</v>
      </c>
      <c r="B594" s="5" t="str">
        <f ca="1">IFERROR(__xludf.DUMMYFUNCTION("""COMPUTED_VALUE"""),"Other")</f>
        <v>Other</v>
      </c>
      <c r="C594" s="5" t="str">
        <f ca="1">IFERROR(__xludf.DUMMYFUNCTION("""COMPUTED_VALUE"""),"BB")</f>
        <v>BB</v>
      </c>
      <c r="D594" s="5"/>
    </row>
    <row r="595" spans="1:4" ht="13">
      <c r="A595" s="5" t="str">
        <f ca="1">IFERROR(__xludf.DUMMYFUNCTION("""COMPUTED_VALUE"""),"20210517TNAUM")</f>
        <v>20210517TNAUM</v>
      </c>
      <c r="B595" s="5" t="str">
        <f ca="1">IFERROR(__xludf.DUMMYFUNCTION("""COMPUTED_VALUE"""),"Handgun")</f>
        <v>Handgun</v>
      </c>
      <c r="C595" s="5"/>
      <c r="D595" s="5"/>
    </row>
    <row r="596" spans="1:4" ht="13">
      <c r="A596" s="5" t="str">
        <f ca="1">IFERROR(__xludf.DUMMYFUNCTION("""COMPUTED_VALUE"""),"20210517MDLOC")</f>
        <v>20210517MDLOC</v>
      </c>
      <c r="B596" s="5" t="str">
        <f ca="1">IFERROR(__xludf.DUMMYFUNCTION("""COMPUTED_VALUE"""),"Multiple Handguns")</f>
        <v>Multiple Handguns</v>
      </c>
      <c r="C596" s="5"/>
      <c r="D596" s="5" t="str">
        <f ca="1">IFERROR(__xludf.DUMMYFUNCTION("""COMPUTED_VALUE"""),"One handgun was ""ghost gun""")</f>
        <v>One handgun was "ghost gun"</v>
      </c>
    </row>
    <row r="597" spans="1:4" ht="13">
      <c r="A597" s="5" t="str">
        <f ca="1">IFERROR(__xludf.DUMMYFUNCTION("""COMPUTED_VALUE"""),"20210514CASAS")</f>
        <v>20210514CASAS</v>
      </c>
      <c r="B597" s="5" t="str">
        <f ca="1">IFERROR(__xludf.DUMMYFUNCTION("""COMPUTED_VALUE"""),"Handgun")</f>
        <v>Handgun</v>
      </c>
      <c r="C597" s="5"/>
      <c r="D597" s="5"/>
    </row>
    <row r="598" spans="1:4" ht="13">
      <c r="A598" s="5" t="str">
        <f ca="1">IFERROR(__xludf.DUMMYFUNCTION("""COMPUTED_VALUE"""),"20210511NYPSB")</f>
        <v>20210511NYPSB</v>
      </c>
      <c r="B598" s="5" t="str">
        <f ca="1">IFERROR(__xludf.DUMMYFUNCTION("""COMPUTED_VALUE"""),"Handgun")</f>
        <v>Handgun</v>
      </c>
      <c r="C598" s="5"/>
      <c r="D598" s="5"/>
    </row>
    <row r="599" spans="1:4" ht="13">
      <c r="A599" s="5" t="str">
        <f ca="1">IFERROR(__xludf.DUMMYFUNCTION("""COMPUTED_VALUE"""),"20210511CAVEL")</f>
        <v>20210511CAVEL</v>
      </c>
      <c r="B599" s="5" t="str">
        <f ca="1">IFERROR(__xludf.DUMMYFUNCTION("""COMPUTED_VALUE"""),"Other")</f>
        <v>Other</v>
      </c>
      <c r="C599" s="5" t="str">
        <f ca="1">IFERROR(__xludf.DUMMYFUNCTION("""COMPUTED_VALUE"""),"Pellet")</f>
        <v>Pellet</v>
      </c>
      <c r="D599" s="5"/>
    </row>
    <row r="600" spans="1:4" ht="13">
      <c r="A600" s="5" t="str">
        <f ca="1">IFERROR(__xludf.DUMMYFUNCTION("""COMPUTED_VALUE"""),"20210506SCFOC")</f>
        <v>20210506SCFOC</v>
      </c>
      <c r="B600" s="5" t="str">
        <f ca="1">IFERROR(__xludf.DUMMYFUNCTION("""COMPUTED_VALUE"""),"Rifle")</f>
        <v>Rifle</v>
      </c>
      <c r="C600" s="5"/>
      <c r="D600" s="5" t="str">
        <f ca="1">IFERROR(__xludf.DUMMYFUNCTION("""COMPUTED_VALUE"""),"Military rifle taken from Army Fort")</f>
        <v>Military rifle taken from Army Fort</v>
      </c>
    </row>
    <row r="601" spans="1:4" ht="13">
      <c r="A601" s="5" t="str">
        <f ca="1">IFERROR(__xludf.DUMMYFUNCTION("""COMPUTED_VALUE"""),"20210506IDRIR")</f>
        <v>20210506IDRIR</v>
      </c>
      <c r="B601" s="5" t="str">
        <f ca="1">IFERROR(__xludf.DUMMYFUNCTION("""COMPUTED_VALUE"""),"Handgun")</f>
        <v>Handgun</v>
      </c>
      <c r="C601" s="5"/>
      <c r="D601" s="5"/>
    </row>
    <row r="602" spans="1:4" ht="13">
      <c r="A602" s="5" t="str">
        <f ca="1">IFERROR(__xludf.DUMMYFUNCTION("""COMPUTED_VALUE"""),"20210505SCWAW")</f>
        <v>20210505SCWAW</v>
      </c>
      <c r="B602" s="5" t="str">
        <f ca="1">IFERROR(__xludf.DUMMYFUNCTION("""COMPUTED_VALUE"""),"Handgun")</f>
        <v>Handgun</v>
      </c>
      <c r="C602" s="5"/>
      <c r="D602" s="5"/>
    </row>
    <row r="603" spans="1:4" ht="13">
      <c r="A603" s="5" t="str">
        <f ca="1">IFERROR(__xludf.DUMMYFUNCTION("""COMPUTED_VALUE"""),"20210505MICRC")</f>
        <v>20210505MICRC</v>
      </c>
      <c r="B603" s="5" t="str">
        <f ca="1">IFERROR(__xludf.DUMMYFUNCTION("""COMPUTED_VALUE"""),"Handgun")</f>
        <v>Handgun</v>
      </c>
      <c r="C603" s="5"/>
      <c r="D603" s="5"/>
    </row>
    <row r="604" spans="1:4" ht="13">
      <c r="A604" s="5" t="str">
        <f ca="1">IFERROR(__xludf.DUMMYFUNCTION("""COMPUTED_VALUE"""),"20210502ILCHC")</f>
        <v>20210502ILCHC</v>
      </c>
      <c r="B604" s="5" t="str">
        <f ca="1">IFERROR(__xludf.DUMMYFUNCTION("""COMPUTED_VALUE"""),"Multiple Handguns")</f>
        <v>Multiple Handguns</v>
      </c>
      <c r="C604" s="5"/>
      <c r="D604" s="5"/>
    </row>
    <row r="605" spans="1:4" ht="13">
      <c r="A605" s="5" t="str">
        <f ca="1">IFERROR(__xludf.DUMMYFUNCTION("""COMPUTED_VALUE"""),"20210501MNBES")</f>
        <v>20210501MNBES</v>
      </c>
      <c r="B605" s="5" t="str">
        <f ca="1">IFERROR(__xludf.DUMMYFUNCTION("""COMPUTED_VALUE"""),"Multiple Handguns")</f>
        <v>Multiple Handguns</v>
      </c>
      <c r="C605" s="5"/>
      <c r="D605" s="5"/>
    </row>
    <row r="606" spans="1:4" ht="13">
      <c r="A606" s="5" t="str">
        <f ca="1">IFERROR(__xludf.DUMMYFUNCTION("""COMPUTED_VALUE"""),"20210430INMAI")</f>
        <v>20210430INMAI</v>
      </c>
      <c r="B606" s="5" t="str">
        <f ca="1">IFERROR(__xludf.DUMMYFUNCTION("""COMPUTED_VALUE"""),"Handgun")</f>
        <v>Handgun</v>
      </c>
      <c r="C606" s="5"/>
      <c r="D606" s="5"/>
    </row>
    <row r="607" spans="1:4" ht="13">
      <c r="A607" s="5" t="str">
        <f ca="1">IFERROR(__xludf.DUMMYFUNCTION("""COMPUTED_VALUE"""),"20210429NYURB")</f>
        <v>20210429NYURB</v>
      </c>
      <c r="B607" s="5" t="str">
        <f ca="1">IFERROR(__xludf.DUMMYFUNCTION("""COMPUTED_VALUE"""),"Multiple Handguns")</f>
        <v>Multiple Handguns</v>
      </c>
      <c r="C607" s="5"/>
      <c r="D607" s="5"/>
    </row>
    <row r="608" spans="1:4" ht="13">
      <c r="A608" s="5" t="str">
        <f ca="1">IFERROR(__xludf.DUMMYFUNCTION("""COMPUTED_VALUE"""),"20210429CAVIV")</f>
        <v>20210429CAVIV</v>
      </c>
      <c r="B608" s="5" t="str">
        <f ca="1">IFERROR(__xludf.DUMMYFUNCTION("""COMPUTED_VALUE"""),"Handgun")</f>
        <v>Handgun</v>
      </c>
      <c r="C608" s="5"/>
      <c r="D608" s="5"/>
    </row>
    <row r="609" spans="1:4" ht="13">
      <c r="A609" s="5" t="str">
        <f ca="1">IFERROR(__xludf.DUMMYFUNCTION("""COMPUTED_VALUE"""),"20210427TNLAM")</f>
        <v>20210427TNLAM</v>
      </c>
      <c r="B609" s="5" t="str">
        <f ca="1">IFERROR(__xludf.DUMMYFUNCTION("""COMPUTED_VALUE"""),"Handgun")</f>
        <v>Handgun</v>
      </c>
      <c r="C609" s="5"/>
      <c r="D609" s="5"/>
    </row>
    <row r="610" spans="1:4" ht="13">
      <c r="A610" s="5" t="str">
        <f ca="1">IFERROR(__xludf.DUMMYFUNCTION("""COMPUTED_VALUE"""),"20210427DESMS")</f>
        <v>20210427DESMS</v>
      </c>
      <c r="B610" s="5" t="str">
        <f ca="1">IFERROR(__xludf.DUMMYFUNCTION("""COMPUTED_VALUE"""),"Handgun")</f>
        <v>Handgun</v>
      </c>
      <c r="C610" s="5"/>
      <c r="D610" s="5"/>
    </row>
    <row r="611" spans="1:4" ht="13">
      <c r="A611" s="5" t="str">
        <f ca="1">IFERROR(__xludf.DUMMYFUNCTION("""COMPUTED_VALUE"""),"20210426MNPLP")</f>
        <v>20210426MNPLP</v>
      </c>
      <c r="B611" s="5" t="str">
        <f ca="1">IFERROR(__xludf.DUMMYFUNCTION("""COMPUTED_VALUE"""),"Handgun")</f>
        <v>Handgun</v>
      </c>
      <c r="C611" s="5"/>
      <c r="D611" s="5"/>
    </row>
    <row r="612" spans="1:4" ht="13">
      <c r="A612" s="5" t="str">
        <f ca="1">IFERROR(__xludf.DUMMYFUNCTION("""COMPUTED_VALUE"""),"20210420TXHAH")</f>
        <v>20210420TXHAH</v>
      </c>
      <c r="B612" s="5" t="str">
        <f ca="1">IFERROR(__xludf.DUMMYFUNCTION("""COMPUTED_VALUE"""),"Handgun")</f>
        <v>Handgun</v>
      </c>
      <c r="C612" s="5"/>
      <c r="D612" s="5"/>
    </row>
    <row r="613" spans="1:4" ht="13">
      <c r="A613" s="5" t="str">
        <f ca="1">IFERROR(__xludf.DUMMYFUNCTION("""COMPUTED_VALUE"""),"20210418OHWED")</f>
        <v>20210418OHWED</v>
      </c>
      <c r="B613" s="5" t="str">
        <f ca="1">IFERROR(__xludf.DUMMYFUNCTION("""COMPUTED_VALUE"""),"Handgun")</f>
        <v>Handgun</v>
      </c>
      <c r="C613" s="5"/>
      <c r="D613" s="5"/>
    </row>
    <row r="614" spans="1:4" ht="13">
      <c r="A614" s="5" t="str">
        <f ca="1">IFERROR(__xludf.DUMMYFUNCTION("""COMPUTED_VALUE"""),"20210413TNMAC")</f>
        <v>20210413TNMAC</v>
      </c>
      <c r="B614" s="5" t="str">
        <f ca="1">IFERROR(__xludf.DUMMYFUNCTION("""COMPUTED_VALUE"""),"Handgun")</f>
        <v>Handgun</v>
      </c>
      <c r="C614" s="5"/>
      <c r="D614" s="5"/>
    </row>
    <row r="615" spans="1:4" ht="13">
      <c r="A615" s="5" t="str">
        <f ca="1">IFERROR(__xludf.DUMMYFUNCTION("""COMPUTED_VALUE"""),"20210412TNAUK")</f>
        <v>20210412TNAUK</v>
      </c>
      <c r="B615" s="5"/>
      <c r="C615" s="5"/>
      <c r="D615" s="5"/>
    </row>
    <row r="616" spans="1:4" ht="13">
      <c r="A616" s="5" t="str">
        <f ca="1">IFERROR(__xludf.DUMMYFUNCTION("""COMPUTED_VALUE"""),"20210412CASAS")</f>
        <v>20210412CASAS</v>
      </c>
      <c r="B616" s="5" t="str">
        <f ca="1">IFERROR(__xludf.DUMMYFUNCTION("""COMPUTED_VALUE"""),"Rifle")</f>
        <v>Rifle</v>
      </c>
      <c r="C616" s="5"/>
      <c r="D616" s="5"/>
    </row>
    <row r="617" spans="1:4" ht="13">
      <c r="A617" s="5" t="str">
        <f ca="1">IFERROR(__xludf.DUMMYFUNCTION("""COMPUTED_VALUE"""),"20210412CASAS")</f>
        <v>20210412CASAS</v>
      </c>
      <c r="B617" s="5" t="str">
        <f ca="1">IFERROR(__xludf.DUMMYFUNCTION("""COMPUTED_VALUE"""),"Handgun")</f>
        <v>Handgun</v>
      </c>
      <c r="C617" s="5"/>
      <c r="D617" s="5"/>
    </row>
    <row r="618" spans="1:4" ht="13">
      <c r="A618" s="5" t="str">
        <f ca="1">IFERROR(__xludf.DUMMYFUNCTION("""COMPUTED_VALUE"""),"20210411INBIH")</f>
        <v>20210411INBIH</v>
      </c>
      <c r="B618" s="5" t="str">
        <f ca="1">IFERROR(__xludf.DUMMYFUNCTION("""COMPUTED_VALUE"""),"Handgun")</f>
        <v>Handgun</v>
      </c>
      <c r="C618" s="5" t="str">
        <f ca="1">IFERROR(__xludf.DUMMYFUNCTION("""COMPUTED_VALUE"""),"9mm")</f>
        <v>9mm</v>
      </c>
      <c r="D618" s="5"/>
    </row>
    <row r="619" spans="1:4" ht="13">
      <c r="A619" s="5" t="str">
        <f ca="1">IFERROR(__xludf.DUMMYFUNCTION("""COMPUTED_VALUE"""),"20210407ILPEP")</f>
        <v>20210407ILPEP</v>
      </c>
      <c r="B619" s="5" t="str">
        <f ca="1">IFERROR(__xludf.DUMMYFUNCTION("""COMPUTED_VALUE"""),"Handgun")</f>
        <v>Handgun</v>
      </c>
      <c r="C619" s="5"/>
      <c r="D619" s="5" t="str">
        <f ca="1">IFERROR(__xludf.DUMMYFUNCTION("""COMPUTED_VALUE"""),"Not loaded")</f>
        <v>Not loaded</v>
      </c>
    </row>
    <row r="620" spans="1:4" ht="13">
      <c r="A620" s="5" t="str">
        <f ca="1">IFERROR(__xludf.DUMMYFUNCTION("""COMPUTED_VALUE"""),"20210406ILBAC")</f>
        <v>20210406ILBAC</v>
      </c>
      <c r="B620" s="5" t="str">
        <f ca="1">IFERROR(__xludf.DUMMYFUNCTION("""COMPUTED_VALUE"""),"Other")</f>
        <v>Other</v>
      </c>
      <c r="C620" s="5" t="str">
        <f ca="1">IFERROR(__xludf.DUMMYFUNCTION("""COMPUTED_VALUE"""),"BB")</f>
        <v>BB</v>
      </c>
      <c r="D620" s="5" t="str">
        <f ca="1">IFERROR(__xludf.DUMMYFUNCTION("""COMPUTED_VALUE"""),"Assault rifle replica")</f>
        <v>Assault rifle replica</v>
      </c>
    </row>
    <row r="621" spans="1:4" ht="13">
      <c r="A621" s="5" t="str">
        <f ca="1">IFERROR(__xludf.DUMMYFUNCTION("""COMPUTED_VALUE"""),"20210401OKCLC")</f>
        <v>20210401OKCLC</v>
      </c>
      <c r="B621" s="5" t="str">
        <f ca="1">IFERROR(__xludf.DUMMYFUNCTION("""COMPUTED_VALUE"""),"Other")</f>
        <v>Other</v>
      </c>
      <c r="C621" s="5" t="str">
        <f ca="1">IFERROR(__xludf.DUMMYFUNCTION("""COMPUTED_VALUE"""),"BB")</f>
        <v>BB</v>
      </c>
      <c r="D621" s="5"/>
    </row>
    <row r="622" spans="1:4" ht="13">
      <c r="A622" s="5" t="str">
        <f ca="1">IFERROR(__xludf.DUMMYFUNCTION("""COMPUTED_VALUE"""),"20210401ALSES")</f>
        <v>20210401ALSES</v>
      </c>
      <c r="B622" s="5" t="str">
        <f ca="1">IFERROR(__xludf.DUMMYFUNCTION("""COMPUTED_VALUE"""),"Handgun")</f>
        <v>Handgun</v>
      </c>
      <c r="C622" s="5"/>
      <c r="D622" s="5"/>
    </row>
    <row r="623" spans="1:4" ht="13">
      <c r="A623" s="5" t="str">
        <f ca="1">IFERROR(__xludf.DUMMYFUNCTION("""COMPUTED_VALUE"""),"20210327MAPEC")</f>
        <v>20210327MAPEC</v>
      </c>
      <c r="B623" s="5"/>
      <c r="C623" s="5"/>
      <c r="D623" s="5"/>
    </row>
    <row r="624" spans="1:4" ht="13">
      <c r="A624" s="5" t="str">
        <f ca="1">IFERROR(__xludf.DUMMYFUNCTION("""COMPUTED_VALUE"""),"20210326MOCAS")</f>
        <v>20210326MOCAS</v>
      </c>
      <c r="B624" s="5" t="str">
        <f ca="1">IFERROR(__xludf.DUMMYFUNCTION("""COMPUTED_VALUE"""),"Handgun")</f>
        <v>Handgun</v>
      </c>
      <c r="C624" s="5"/>
      <c r="D624" s="5"/>
    </row>
    <row r="625" spans="1:4" ht="13">
      <c r="A625" s="5" t="str">
        <f ca="1">IFERROR(__xludf.DUMMYFUNCTION("""COMPUTED_VALUE"""),"20210324ORFOS")</f>
        <v>20210324ORFOS</v>
      </c>
      <c r="B625" s="5" t="str">
        <f ca="1">IFERROR(__xludf.DUMMYFUNCTION("""COMPUTED_VALUE"""),"Handgun")</f>
        <v>Handgun</v>
      </c>
      <c r="C625" s="5"/>
      <c r="D625" s="5"/>
    </row>
    <row r="626" spans="1:4" ht="13">
      <c r="A626" s="5" t="str">
        <f ca="1">IFERROR(__xludf.DUMMYFUNCTION("""COMPUTED_VALUE"""),"20210319WVSPM")</f>
        <v>20210319WVSPM</v>
      </c>
      <c r="B626" s="5" t="str">
        <f ca="1">IFERROR(__xludf.DUMMYFUNCTION("""COMPUTED_VALUE"""),"Other")</f>
        <v>Other</v>
      </c>
      <c r="C626" s="5" t="str">
        <f ca="1">IFERROR(__xludf.DUMMYFUNCTION("""COMPUTED_VALUE"""),"BB")</f>
        <v>BB</v>
      </c>
      <c r="D626" s="5"/>
    </row>
    <row r="627" spans="1:4" ht="13">
      <c r="A627" s="5" t="str">
        <f ca="1">IFERROR(__xludf.DUMMYFUNCTION("""COMPUTED_VALUE"""),"20210318KYGRL")</f>
        <v>20210318KYGRL</v>
      </c>
      <c r="B627" s="5" t="str">
        <f ca="1">IFERROR(__xludf.DUMMYFUNCTION("""COMPUTED_VALUE"""),"Handgun")</f>
        <v>Handgun</v>
      </c>
      <c r="C627" s="5"/>
      <c r="D627" s="5"/>
    </row>
    <row r="628" spans="1:4" ht="13">
      <c r="A628" s="5" t="str">
        <f ca="1">IFERROR(__xludf.DUMMYFUNCTION("""COMPUTED_VALUE"""),"20210315INMEM")</f>
        <v>20210315INMEM</v>
      </c>
      <c r="B628" s="5" t="str">
        <f ca="1">IFERROR(__xludf.DUMMYFUNCTION("""COMPUTED_VALUE"""),"Multiple Handguns")</f>
        <v>Multiple Handguns</v>
      </c>
      <c r="C628" s="5"/>
      <c r="D628" s="5"/>
    </row>
    <row r="629" spans="1:4" ht="13">
      <c r="A629" s="5" t="str">
        <f ca="1">IFERROR(__xludf.DUMMYFUNCTION("""COMPUTED_VALUE"""),"20210313TXLEA")</f>
        <v>20210313TXLEA</v>
      </c>
      <c r="B629" s="5" t="str">
        <f ca="1">IFERROR(__xludf.DUMMYFUNCTION("""COMPUTED_VALUE"""),"Handgun")</f>
        <v>Handgun</v>
      </c>
      <c r="C629" s="5"/>
      <c r="D629" s="5"/>
    </row>
    <row r="630" spans="1:4" ht="13">
      <c r="A630" s="5" t="str">
        <f ca="1">IFERROR(__xludf.DUMMYFUNCTION("""COMPUTED_VALUE"""),"20210311OHCIC")</f>
        <v>20210311OHCIC</v>
      </c>
      <c r="B630" s="5"/>
      <c r="C630" s="5"/>
      <c r="D630" s="5"/>
    </row>
    <row r="631" spans="1:4" ht="13">
      <c r="A631" s="5" t="str">
        <f ca="1">IFERROR(__xludf.DUMMYFUNCTION("""COMPUTED_VALUE"""),"20210309TNSAK")</f>
        <v>20210309TNSAK</v>
      </c>
      <c r="B631" s="5" t="str">
        <f ca="1">IFERROR(__xludf.DUMMYFUNCTION("""COMPUTED_VALUE"""),"Handgun")</f>
        <v>Handgun</v>
      </c>
      <c r="C631" s="5"/>
      <c r="D631" s="5"/>
    </row>
    <row r="632" spans="1:4" ht="13">
      <c r="A632" s="5" t="str">
        <f ca="1">IFERROR(__xludf.DUMMYFUNCTION("""COMPUTED_VALUE"""),"20210309OHBIC")</f>
        <v>20210309OHBIC</v>
      </c>
      <c r="B632" s="5"/>
      <c r="C632" s="5"/>
      <c r="D632" s="5"/>
    </row>
    <row r="633" spans="1:4" ht="13">
      <c r="A633" s="5" t="str">
        <f ca="1">IFERROR(__xludf.DUMMYFUNCTION("""COMPUTED_VALUE"""),"20210308SCEDC")</f>
        <v>20210308SCEDC</v>
      </c>
      <c r="B633" s="5" t="str">
        <f ca="1">IFERROR(__xludf.DUMMYFUNCTION("""COMPUTED_VALUE"""),"Handgun")</f>
        <v>Handgun</v>
      </c>
      <c r="C633" s="5"/>
      <c r="D633" s="5"/>
    </row>
    <row r="634" spans="1:4" ht="13">
      <c r="A634" s="5" t="str">
        <f ca="1">IFERROR(__xludf.DUMMYFUNCTION("""COMPUTED_VALUE"""),"20210301ARWAP")</f>
        <v>20210301ARWAP</v>
      </c>
      <c r="B634" s="5" t="str">
        <f ca="1">IFERROR(__xludf.DUMMYFUNCTION("""COMPUTED_VALUE"""),"Handgun")</f>
        <v>Handgun</v>
      </c>
      <c r="C634" s="5" t="str">
        <f ca="1">IFERROR(__xludf.DUMMYFUNCTION("""COMPUTED_VALUE"""),".38 caliber")</f>
        <v>.38 caliber</v>
      </c>
      <c r="D634" s="5"/>
    </row>
    <row r="635" spans="1:4" ht="13">
      <c r="A635" s="5" t="str">
        <f ca="1">IFERROR(__xludf.DUMMYFUNCTION("""COMPUTED_VALUE"""),"20210226LAGEN")</f>
        <v>20210226LAGEN</v>
      </c>
      <c r="B635" s="5" t="str">
        <f ca="1">IFERROR(__xludf.DUMMYFUNCTION("""COMPUTED_VALUE"""),"Handgun")</f>
        <v>Handgun</v>
      </c>
      <c r="C635" s="5"/>
      <c r="D635" s="5"/>
    </row>
    <row r="636" spans="1:4" ht="13">
      <c r="A636" s="5" t="str">
        <f ca="1">IFERROR(__xludf.DUMMYFUNCTION("""COMPUTED_VALUE"""),"20210224WAGAY")</f>
        <v>20210224WAGAY</v>
      </c>
      <c r="B636" s="5" t="str">
        <f ca="1">IFERROR(__xludf.DUMMYFUNCTION("""COMPUTED_VALUE"""),"Handgun")</f>
        <v>Handgun</v>
      </c>
      <c r="C636" s="5"/>
      <c r="D636" s="5"/>
    </row>
    <row r="637" spans="1:4" ht="13">
      <c r="A637" s="5" t="str">
        <f ca="1">IFERROR(__xludf.DUMMYFUNCTION("""COMPUTED_VALUE"""),"20210222CAHOV")</f>
        <v>20210222CAHOV</v>
      </c>
      <c r="B637" s="5"/>
      <c r="C637" s="5"/>
      <c r="D637" s="5"/>
    </row>
    <row r="638" spans="1:4" ht="13">
      <c r="A638" s="5" t="str">
        <f ca="1">IFERROR(__xludf.DUMMYFUNCTION("""COMPUTED_VALUE"""),"20210219ILLIR")</f>
        <v>20210219ILLIR</v>
      </c>
      <c r="B638" s="5"/>
      <c r="C638" s="5"/>
      <c r="D638" s="5"/>
    </row>
    <row r="639" spans="1:4" ht="13">
      <c r="A639" s="5" t="str">
        <f ca="1">IFERROR(__xludf.DUMMYFUNCTION("""COMPUTED_VALUE"""),"20210217TNKNK")</f>
        <v>20210217TNKNK</v>
      </c>
      <c r="B639" s="5"/>
      <c r="C639" s="5"/>
      <c r="D639" s="5"/>
    </row>
    <row r="640" spans="1:4" ht="13">
      <c r="A640" s="5" t="str">
        <f ca="1">IFERROR(__xludf.DUMMYFUNCTION("""COMPUTED_VALUE"""),"20210216NCTHS")</f>
        <v>20210216NCTHS</v>
      </c>
      <c r="B640" s="5" t="str">
        <f ca="1">IFERROR(__xludf.DUMMYFUNCTION("""COMPUTED_VALUE"""),"Other")</f>
        <v>Other</v>
      </c>
      <c r="C640" s="5" t="str">
        <f ca="1">IFERROR(__xludf.DUMMYFUNCTION("""COMPUTED_VALUE"""),"Pellet")</f>
        <v>Pellet</v>
      </c>
      <c r="D640" s="5"/>
    </row>
    <row r="641" spans="1:4" ht="13">
      <c r="A641" s="5" t="str">
        <f ca="1">IFERROR(__xludf.DUMMYFUNCTION("""COMPUTED_VALUE"""),"20210214MNROM")</f>
        <v>20210214MNROM</v>
      </c>
      <c r="B641" s="5"/>
      <c r="C641" s="5"/>
      <c r="D641" s="5"/>
    </row>
    <row r="642" spans="1:4" ht="13">
      <c r="A642" s="5" t="str">
        <f ca="1">IFERROR(__xludf.DUMMYFUNCTION("""COMPUTED_VALUE"""),"20210210TXFOF")</f>
        <v>20210210TXFOF</v>
      </c>
      <c r="B642" s="5"/>
      <c r="C642" s="5"/>
      <c r="D642" s="5"/>
    </row>
    <row r="643" spans="1:4" ht="13">
      <c r="A643" s="5" t="str">
        <f ca="1">IFERROR(__xludf.DUMMYFUNCTION("""COMPUTED_VALUE"""),"20210210NJSCP")</f>
        <v>20210210NJSCP</v>
      </c>
      <c r="B643" s="5"/>
      <c r="C643" s="5"/>
      <c r="D643" s="5"/>
    </row>
    <row r="644" spans="1:4" ht="13">
      <c r="A644" s="5" t="str">
        <f ca="1">IFERROR(__xludf.DUMMYFUNCTION("""COMPUTED_VALUE"""),"20210210LASTS")</f>
        <v>20210210LASTS</v>
      </c>
      <c r="B644" s="5"/>
      <c r="C644" s="5"/>
      <c r="D644" s="5"/>
    </row>
    <row r="645" spans="1:4" ht="13">
      <c r="A645" s="5" t="str">
        <f ca="1">IFERROR(__xludf.DUMMYFUNCTION("""COMPUTED_VALUE"""),"20210208MISCG")</f>
        <v>20210208MISCG</v>
      </c>
      <c r="B645" s="5"/>
      <c r="C645" s="5"/>
      <c r="D645" s="5"/>
    </row>
    <row r="646" spans="1:4" ht="13">
      <c r="A646" s="5" t="str">
        <f ca="1">IFERROR(__xludf.DUMMYFUNCTION("""COMPUTED_VALUE"""),"20210205MDBEM")</f>
        <v>20210205MDBEM</v>
      </c>
      <c r="B646" s="5"/>
      <c r="C646" s="5"/>
      <c r="D646" s="5"/>
    </row>
    <row r="647" spans="1:4" ht="13">
      <c r="A647" s="5" t="str">
        <f ca="1">IFERROR(__xludf.DUMMYFUNCTION("""COMPUTED_VALUE"""),"20210201MIMUD")</f>
        <v>20210201MIMUD</v>
      </c>
      <c r="B647" s="5" t="str">
        <f ca="1">IFERROR(__xludf.DUMMYFUNCTION("""COMPUTED_VALUE"""),"Handgun")</f>
        <v>Handgun</v>
      </c>
      <c r="C647" s="5"/>
      <c r="D647" s="5"/>
    </row>
    <row r="648" spans="1:4" ht="13">
      <c r="A648" s="5" t="str">
        <f ca="1">IFERROR(__xludf.DUMMYFUNCTION("""COMPUTED_VALUE"""),"20210127MSHAH")</f>
        <v>20210127MSHAH</v>
      </c>
      <c r="B648" s="5" t="str">
        <f ca="1">IFERROR(__xludf.DUMMYFUNCTION("""COMPUTED_VALUE"""),"Handgun")</f>
        <v>Handgun</v>
      </c>
      <c r="C648" s="5"/>
      <c r="D648" s="5"/>
    </row>
    <row r="649" spans="1:4" ht="13">
      <c r="A649" s="5" t="str">
        <f ca="1">IFERROR(__xludf.DUMMYFUNCTION("""COMPUTED_VALUE"""),"20210127FLHOH")</f>
        <v>20210127FLHOH</v>
      </c>
      <c r="B649" s="5" t="str">
        <f ca="1">IFERROR(__xludf.DUMMYFUNCTION("""COMPUTED_VALUE"""),"Other")</f>
        <v>Other</v>
      </c>
      <c r="C649" s="5" t="str">
        <f ca="1">IFERROR(__xludf.DUMMYFUNCTION("""COMPUTED_VALUE"""),"airsoft")</f>
        <v>airsoft</v>
      </c>
      <c r="D649" s="5" t="str">
        <f ca="1">IFERROR(__xludf.DUMMYFUNCTION("""COMPUTED_VALUE"""),"Two replica airsoft handguns")</f>
        <v>Two replica airsoft handguns</v>
      </c>
    </row>
    <row r="650" spans="1:4" ht="13">
      <c r="A650" s="5" t="str">
        <f ca="1">IFERROR(__xludf.DUMMYFUNCTION("""COMPUTED_VALUE"""),"20210121OKLOG")</f>
        <v>20210121OKLOG</v>
      </c>
      <c r="B650" s="5" t="str">
        <f ca="1">IFERROR(__xludf.DUMMYFUNCTION("""COMPUTED_VALUE"""),"Handgun")</f>
        <v>Handgun</v>
      </c>
      <c r="C650" s="5"/>
      <c r="D650" s="5"/>
    </row>
    <row r="651" spans="1:4" ht="13">
      <c r="A651" s="5" t="str">
        <f ca="1">IFERROR(__xludf.DUMMYFUNCTION("""COMPUTED_VALUE"""),"20210121OHEAC")</f>
        <v>20210121OHEAC</v>
      </c>
      <c r="B651" s="5" t="str">
        <f ca="1">IFERROR(__xludf.DUMMYFUNCTION("""COMPUTED_VALUE"""),"Handgun")</f>
        <v>Handgun</v>
      </c>
      <c r="C651" s="5"/>
      <c r="D651" s="5"/>
    </row>
    <row r="652" spans="1:4" ht="13">
      <c r="A652" s="5" t="str">
        <f ca="1">IFERROR(__xludf.DUMMYFUNCTION("""COMPUTED_VALUE"""),"20210114MDHIW")</f>
        <v>20210114MDHIW</v>
      </c>
      <c r="B652" s="5"/>
      <c r="C652" s="5"/>
      <c r="D652" s="5"/>
    </row>
    <row r="653" spans="1:4" ht="13">
      <c r="A653" s="5" t="str">
        <f ca="1">IFERROR(__xludf.DUMMYFUNCTION("""COMPUTED_VALUE"""),"20210110ILSOS")</f>
        <v>20210110ILSOS</v>
      </c>
      <c r="B653" s="5"/>
      <c r="C653" s="5"/>
      <c r="D653" s="5"/>
    </row>
    <row r="654" spans="1:4" ht="13">
      <c r="A654" s="5" t="str">
        <f ca="1">IFERROR(__xludf.DUMMYFUNCTION("""COMPUTED_VALUE"""),"20210104NYPEJ")</f>
        <v>20210104NYPEJ</v>
      </c>
      <c r="B654" s="5" t="str">
        <f ca="1">IFERROR(__xludf.DUMMYFUNCTION("""COMPUTED_VALUE"""),"Handgun")</f>
        <v>Handgun</v>
      </c>
      <c r="C654" s="5"/>
      <c r="D654" s="5"/>
    </row>
    <row r="655" spans="1:4" ht="13">
      <c r="A655" s="5" t="str">
        <f ca="1">IFERROR(__xludf.DUMMYFUNCTION("""COMPUTED_VALUE"""),"20201229WAROS")</f>
        <v>20201229WAROS</v>
      </c>
      <c r="B655" s="5" t="str">
        <f ca="1">IFERROR(__xludf.DUMMYFUNCTION("""COMPUTED_VALUE"""),"Handgun")</f>
        <v>Handgun</v>
      </c>
      <c r="C655" s="5"/>
      <c r="D655" s="5"/>
    </row>
    <row r="656" spans="1:4" ht="13">
      <c r="A656" s="5" t="str">
        <f ca="1">IFERROR(__xludf.DUMMYFUNCTION("""COMPUTED_VALUE"""),"20201225FLYOP")</f>
        <v>20201225FLYOP</v>
      </c>
      <c r="B656" s="5" t="str">
        <f ca="1">IFERROR(__xludf.DUMMYFUNCTION("""COMPUTED_VALUE"""),"Handgun")</f>
        <v>Handgun</v>
      </c>
      <c r="C656" s="5"/>
      <c r="D656" s="5"/>
    </row>
    <row r="657" spans="1:4" ht="13">
      <c r="A657" s="5" t="str">
        <f ca="1">IFERROR(__xludf.DUMMYFUNCTION("""COMPUTED_VALUE"""),"20201211VATAY")</f>
        <v>20201211VATAY</v>
      </c>
      <c r="B657" s="5" t="str">
        <f ca="1">IFERROR(__xludf.DUMMYFUNCTION("""COMPUTED_VALUE"""),"Handgun")</f>
        <v>Handgun</v>
      </c>
      <c r="C657" s="5"/>
      <c r="D657" s="5"/>
    </row>
    <row r="658" spans="1:4" ht="13">
      <c r="A658" s="5" t="str">
        <f ca="1">IFERROR(__xludf.DUMMYFUNCTION("""COMPUTED_VALUE"""),"20201125KSABG")</f>
        <v>20201125KSABG</v>
      </c>
      <c r="B658" s="5" t="str">
        <f ca="1">IFERROR(__xludf.DUMMYFUNCTION("""COMPUTED_VALUE"""),"Handgun")</f>
        <v>Handgun</v>
      </c>
      <c r="C658" s="5"/>
      <c r="D658" s="5"/>
    </row>
    <row r="659" spans="1:4" ht="13">
      <c r="A659" s="5" t="str">
        <f ca="1">IFERROR(__xludf.DUMMYFUNCTION("""COMPUTED_VALUE"""),"20201124NCHEH")</f>
        <v>20201124NCHEH</v>
      </c>
      <c r="B659" s="5" t="str">
        <f ca="1">IFERROR(__xludf.DUMMYFUNCTION("""COMPUTED_VALUE"""),"Handgun")</f>
        <v>Handgun</v>
      </c>
      <c r="C659" s="5"/>
      <c r="D659" s="5"/>
    </row>
    <row r="660" spans="1:4" ht="13">
      <c r="A660" s="5" t="str">
        <f ca="1">IFERROR(__xludf.DUMMYFUNCTION("""COMPUTED_VALUE"""),"20201117TXWEW")</f>
        <v>20201117TXWEW</v>
      </c>
      <c r="B660" s="5" t="str">
        <f ca="1">IFERROR(__xludf.DUMMYFUNCTION("""COMPUTED_VALUE"""),"Handgun")</f>
        <v>Handgun</v>
      </c>
      <c r="C660" s="5"/>
      <c r="D660" s="5"/>
    </row>
    <row r="661" spans="1:4" ht="13">
      <c r="A661" s="5" t="str">
        <f ca="1">IFERROR(__xludf.DUMMYFUNCTION("""COMPUTED_VALUE"""),"20201117MTGRG")</f>
        <v>20201117MTGRG</v>
      </c>
      <c r="B661" s="5" t="str">
        <f ca="1">IFERROR(__xludf.DUMMYFUNCTION("""COMPUTED_VALUE"""),"Other")</f>
        <v>Other</v>
      </c>
      <c r="C661" s="5" t="str">
        <f ca="1">IFERROR(__xludf.DUMMYFUNCTION("""COMPUTED_VALUE"""),"BB")</f>
        <v>BB</v>
      </c>
      <c r="D661" s="5"/>
    </row>
    <row r="662" spans="1:4" ht="13">
      <c r="A662" s="5" t="str">
        <f ca="1">IFERROR(__xludf.DUMMYFUNCTION("""COMPUTED_VALUE"""),"20201116TNWIM")</f>
        <v>20201116TNWIM</v>
      </c>
      <c r="B662" s="5" t="str">
        <f ca="1">IFERROR(__xludf.DUMMYFUNCTION("""COMPUTED_VALUE"""),"Handgun")</f>
        <v>Handgun</v>
      </c>
      <c r="C662" s="5"/>
      <c r="D662" s="5"/>
    </row>
    <row r="663" spans="1:4" ht="13">
      <c r="A663" s="5" t="str">
        <f ca="1">IFERROR(__xludf.DUMMYFUNCTION("""COMPUTED_VALUE"""),"20201113NCLIL")</f>
        <v>20201113NCLIL</v>
      </c>
      <c r="B663" s="5" t="str">
        <f ca="1">IFERROR(__xludf.DUMMYFUNCTION("""COMPUTED_VALUE"""),"Handgun")</f>
        <v>Handgun</v>
      </c>
      <c r="C663" s="5" t="str">
        <f ca="1">IFERROR(__xludf.DUMMYFUNCTION("""COMPUTED_VALUE"""),"9mm")</f>
        <v>9mm</v>
      </c>
      <c r="D663" s="5"/>
    </row>
    <row r="664" spans="1:4" ht="13">
      <c r="A664" s="5" t="str">
        <f ca="1">IFERROR(__xludf.DUMMYFUNCTION("""COMPUTED_VALUE"""),"20201026GARIR")</f>
        <v>20201026GARIR</v>
      </c>
      <c r="B664" s="5" t="str">
        <f ca="1">IFERROR(__xludf.DUMMYFUNCTION("""COMPUTED_VALUE"""),"Handgun")</f>
        <v>Handgun</v>
      </c>
      <c r="C664" s="5" t="str">
        <f ca="1">IFERROR(__xludf.DUMMYFUNCTION("""COMPUTED_VALUE"""),".38 caliber")</f>
        <v>.38 caliber</v>
      </c>
      <c r="D664" s="5"/>
    </row>
    <row r="665" spans="1:4" ht="13">
      <c r="A665" s="5" t="str">
        <f ca="1">IFERROR(__xludf.DUMMYFUNCTION("""COMPUTED_VALUE"""),"20201020ARJAP")</f>
        <v>20201020ARJAP</v>
      </c>
      <c r="B665" s="5" t="str">
        <f ca="1">IFERROR(__xludf.DUMMYFUNCTION("""COMPUTED_VALUE"""),"Handgun")</f>
        <v>Handgun</v>
      </c>
      <c r="C665" s="5" t="str">
        <f ca="1">IFERROR(__xludf.DUMMYFUNCTION("""COMPUTED_VALUE"""),".22 caliber")</f>
        <v>.22 caliber</v>
      </c>
      <c r="D665" s="5"/>
    </row>
    <row r="666" spans="1:4" ht="13">
      <c r="A666" s="5" t="str">
        <f ca="1">IFERROR(__xludf.DUMMYFUNCTION("""COMPUTED_VALUE"""),"20201014WAWAS")</f>
        <v>20201014WAWAS</v>
      </c>
      <c r="B666" s="5" t="str">
        <f ca="1">IFERROR(__xludf.DUMMYFUNCTION("""COMPUTED_VALUE"""),"Multiple Handguns")</f>
        <v>Multiple Handguns</v>
      </c>
      <c r="C666" s="5"/>
      <c r="D666" s="5"/>
    </row>
    <row r="667" spans="1:4" ht="13">
      <c r="A667" s="5" t="str">
        <f ca="1">IFERROR(__xludf.DUMMYFUNCTION("""COMPUTED_VALUE"""),"20201014PABRB")</f>
        <v>20201014PABRB</v>
      </c>
      <c r="B667" s="5" t="str">
        <f ca="1">IFERROR(__xludf.DUMMYFUNCTION("""COMPUTED_VALUE"""),"Other")</f>
        <v>Other</v>
      </c>
      <c r="C667" s="5" t="str">
        <f ca="1">IFERROR(__xludf.DUMMYFUNCTION("""COMPUTED_VALUE"""),"BB")</f>
        <v>BB</v>
      </c>
      <c r="D667" s="5"/>
    </row>
    <row r="668" spans="1:4" ht="13">
      <c r="A668" s="5" t="str">
        <f ca="1">IFERROR(__xludf.DUMMYFUNCTION("""COMPUTED_VALUE"""),"20201012TXNOD")</f>
        <v>20201012TXNOD</v>
      </c>
      <c r="B668" s="5" t="str">
        <f ca="1">IFERROR(__xludf.DUMMYFUNCTION("""COMPUTED_VALUE"""),"Handgun")</f>
        <v>Handgun</v>
      </c>
      <c r="C668" s="5"/>
      <c r="D668" s="5"/>
    </row>
    <row r="669" spans="1:4" ht="13">
      <c r="A669" s="5" t="str">
        <f ca="1">IFERROR(__xludf.DUMMYFUNCTION("""COMPUTED_VALUE"""),"20201012MNSHS")</f>
        <v>20201012MNSHS</v>
      </c>
      <c r="B669" s="5" t="str">
        <f ca="1">IFERROR(__xludf.DUMMYFUNCTION("""COMPUTED_VALUE"""),"Shotgun")</f>
        <v>Shotgun</v>
      </c>
      <c r="C669" s="5"/>
      <c r="D669" s="5"/>
    </row>
    <row r="670" spans="1:4" ht="13">
      <c r="A670" s="5" t="str">
        <f ca="1">IFERROR(__xludf.DUMMYFUNCTION("""COMPUTED_VALUE"""),"20201009FLJEJ")</f>
        <v>20201009FLJEJ</v>
      </c>
      <c r="B670" s="5" t="str">
        <f ca="1">IFERROR(__xludf.DUMMYFUNCTION("""COMPUTED_VALUE"""),"Handgun")</f>
        <v>Handgun</v>
      </c>
      <c r="C670" s="5"/>
      <c r="D670" s="5"/>
    </row>
    <row r="671" spans="1:4" ht="13">
      <c r="A671" s="5" t="str">
        <f ca="1">IFERROR(__xludf.DUMMYFUNCTION("""COMPUTED_VALUE"""),"20201005OKSOM")</f>
        <v>20201005OKSOM</v>
      </c>
      <c r="B671" s="5" t="str">
        <f ca="1">IFERROR(__xludf.DUMMYFUNCTION("""COMPUTED_VALUE"""),"Other")</f>
        <v>Other</v>
      </c>
      <c r="C671" s="5" t="str">
        <f ca="1">IFERROR(__xludf.DUMMYFUNCTION("""COMPUTED_VALUE"""),"airsoft")</f>
        <v>airsoft</v>
      </c>
      <c r="D671" s="5"/>
    </row>
    <row r="672" spans="1:4" ht="13">
      <c r="A672" s="5" t="str">
        <f ca="1">IFERROR(__xludf.DUMMYFUNCTION("""COMPUTED_VALUE"""),"20201005ARKIH")</f>
        <v>20201005ARKIH</v>
      </c>
      <c r="B672" s="5" t="str">
        <f ca="1">IFERROR(__xludf.DUMMYFUNCTION("""COMPUTED_VALUE"""),"Handgun")</f>
        <v>Handgun</v>
      </c>
      <c r="C672" s="5"/>
      <c r="D672" s="5"/>
    </row>
    <row r="673" spans="1:4" ht="13">
      <c r="A673" s="5" t="str">
        <f ca="1">IFERROR(__xludf.DUMMYFUNCTION("""COMPUTED_VALUE"""),"20201002PAMAE")</f>
        <v>20201002PAMAE</v>
      </c>
      <c r="B673" s="5" t="str">
        <f ca="1">IFERROR(__xludf.DUMMYFUNCTION("""COMPUTED_VALUE"""),"Other")</f>
        <v>Other</v>
      </c>
      <c r="C673" s="5" t="str">
        <f ca="1">IFERROR(__xludf.DUMMYFUNCTION("""COMPUTED_VALUE"""),"BB")</f>
        <v>BB</v>
      </c>
      <c r="D673" s="5"/>
    </row>
    <row r="674" spans="1:4" ht="13">
      <c r="A674" s="5" t="str">
        <f ca="1">IFERROR(__xludf.DUMMYFUNCTION("""COMPUTED_VALUE"""),"20200925ILROR")</f>
        <v>20200925ILROR</v>
      </c>
      <c r="B674" s="5" t="str">
        <f ca="1">IFERROR(__xludf.DUMMYFUNCTION("""COMPUTED_VALUE"""),"Handgun")</f>
        <v>Handgun</v>
      </c>
      <c r="C674" s="5"/>
      <c r="D674" s="5"/>
    </row>
    <row r="675" spans="1:4" ht="13">
      <c r="A675" s="5" t="str">
        <f ca="1">IFERROR(__xludf.DUMMYFUNCTION("""COMPUTED_VALUE"""),"20200924ILMCS")</f>
        <v>20200924ILMCS</v>
      </c>
      <c r="B675" s="5" t="str">
        <f ca="1">IFERROR(__xludf.DUMMYFUNCTION("""COMPUTED_VALUE"""),"Other")</f>
        <v>Other</v>
      </c>
      <c r="C675" s="5" t="str">
        <f ca="1">IFERROR(__xludf.DUMMYFUNCTION("""COMPUTED_VALUE"""),"BB")</f>
        <v>BB</v>
      </c>
      <c r="D675" s="5"/>
    </row>
    <row r="676" spans="1:4" ht="13">
      <c r="A676" s="5" t="str">
        <f ca="1">IFERROR(__xludf.DUMMYFUNCTION("""COMPUTED_VALUE"""),"20200924CAWAC")</f>
        <v>20200924CAWAC</v>
      </c>
      <c r="B676" s="5" t="str">
        <f ca="1">IFERROR(__xludf.DUMMYFUNCTION("""COMPUTED_VALUE"""),"Multiple Handguns")</f>
        <v>Multiple Handguns</v>
      </c>
      <c r="C676" s="5"/>
      <c r="D676" s="5"/>
    </row>
    <row r="677" spans="1:4" ht="13">
      <c r="A677" s="5" t="str">
        <f ca="1">IFERROR(__xludf.DUMMYFUNCTION("""COMPUTED_VALUE"""),"20200924CAWAC")</f>
        <v>20200924CAWAC</v>
      </c>
      <c r="B677" s="5" t="str">
        <f ca="1">IFERROR(__xludf.DUMMYFUNCTION("""COMPUTED_VALUE"""),"Multiple Rifles")</f>
        <v>Multiple Rifles</v>
      </c>
      <c r="C677" s="5"/>
      <c r="D677" s="5" t="str">
        <f ca="1">IFERROR(__xludf.DUMMYFUNCTION("""COMPUTED_VALUE"""),"Gold plated AK-47")</f>
        <v>Gold plated AK-47</v>
      </c>
    </row>
    <row r="678" spans="1:4" ht="13">
      <c r="A678" s="5" t="str">
        <f ca="1">IFERROR(__xludf.DUMMYFUNCTION("""COMPUTED_VALUE"""),"20200923PAWIW")</f>
        <v>20200923PAWIW</v>
      </c>
      <c r="B678" s="5" t="str">
        <f ca="1">IFERROR(__xludf.DUMMYFUNCTION("""COMPUTED_VALUE"""),"Handgun")</f>
        <v>Handgun</v>
      </c>
      <c r="C678" s="5"/>
      <c r="D678" s="5"/>
    </row>
    <row r="679" spans="1:4" ht="13">
      <c r="A679" s="5" t="str">
        <f ca="1">IFERROR(__xludf.DUMMYFUNCTION("""COMPUTED_VALUE"""),"20200923FLHIJ")</f>
        <v>20200923FLHIJ</v>
      </c>
      <c r="B679" s="5" t="str">
        <f ca="1">IFERROR(__xludf.DUMMYFUNCTION("""COMPUTED_VALUE"""),"Other")</f>
        <v>Other</v>
      </c>
      <c r="C679" s="5" t="str">
        <f ca="1">IFERROR(__xludf.DUMMYFUNCTION("""COMPUTED_VALUE"""),"BB")</f>
        <v>BB</v>
      </c>
      <c r="D679" s="5" t="str">
        <f ca="1">IFERROR(__xludf.DUMMYFUNCTION("""COMPUTED_VALUE"""),"BB gun")</f>
        <v>BB gun</v>
      </c>
    </row>
    <row r="680" spans="1:4" ht="13">
      <c r="A680" s="5" t="str">
        <f ca="1">IFERROR(__xludf.DUMMYFUNCTION("""COMPUTED_VALUE"""),"20200921CAPLP")</f>
        <v>20200921CAPLP</v>
      </c>
      <c r="B680" s="5" t="str">
        <f ca="1">IFERROR(__xludf.DUMMYFUNCTION("""COMPUTED_VALUE"""),"Rifle")</f>
        <v>Rifle</v>
      </c>
      <c r="C680" s="5"/>
      <c r="D680" s="5"/>
    </row>
    <row r="681" spans="1:4" ht="13">
      <c r="A681" s="5" t="str">
        <f ca="1">IFERROR(__xludf.DUMMYFUNCTION("""COMPUTED_VALUE"""),"20200915UTVIB")</f>
        <v>20200915UTVIB</v>
      </c>
      <c r="B681" s="5" t="str">
        <f ca="1">IFERROR(__xludf.DUMMYFUNCTION("""COMPUTED_VALUE"""),"Shotgun")</f>
        <v>Shotgun</v>
      </c>
      <c r="C681" s="5"/>
      <c r="D681" s="5"/>
    </row>
    <row r="682" spans="1:4" ht="13">
      <c r="A682" s="5" t="str">
        <f ca="1">IFERROR(__xludf.DUMMYFUNCTION("""COMPUTED_VALUE"""),"20200915SCYOR")</f>
        <v>20200915SCYOR</v>
      </c>
      <c r="B682" s="5" t="str">
        <f ca="1">IFERROR(__xludf.DUMMYFUNCTION("""COMPUTED_VALUE"""),"Other")</f>
        <v>Other</v>
      </c>
      <c r="C682" s="5" t="str">
        <f ca="1">IFERROR(__xludf.DUMMYFUNCTION("""COMPUTED_VALUE"""),"BB")</f>
        <v>BB</v>
      </c>
      <c r="D682" s="5" t="str">
        <f ca="1">IFERROR(__xludf.DUMMYFUNCTION("""COMPUTED_VALUE"""),"BB gun")</f>
        <v>BB gun</v>
      </c>
    </row>
    <row r="683" spans="1:4" ht="13">
      <c r="A683" s="5" t="str">
        <f ca="1">IFERROR(__xludf.DUMMYFUNCTION("""COMPUTED_VALUE"""),"20200909PAWEW")</f>
        <v>20200909PAWEW</v>
      </c>
      <c r="B683" s="5" t="str">
        <f ca="1">IFERROR(__xludf.DUMMYFUNCTION("""COMPUTED_VALUE"""),"Handgun")</f>
        <v>Handgun</v>
      </c>
      <c r="C683" s="5"/>
      <c r="D683" s="5"/>
    </row>
    <row r="684" spans="1:4" ht="13">
      <c r="A684" s="5" t="str">
        <f ca="1">IFERROR(__xludf.DUMMYFUNCTION("""COMPUTED_VALUE"""),"20200830TXLOD")</f>
        <v>20200830TXLOD</v>
      </c>
      <c r="B684" s="5" t="str">
        <f ca="1">IFERROR(__xludf.DUMMYFUNCTION("""COMPUTED_VALUE"""),"Handgun")</f>
        <v>Handgun</v>
      </c>
      <c r="C684" s="5"/>
      <c r="D684" s="5"/>
    </row>
    <row r="685" spans="1:4" ht="13">
      <c r="A685" s="5" t="str">
        <f ca="1">IFERROR(__xludf.DUMMYFUNCTION("""COMPUTED_VALUE"""),"20200825MOWEC")</f>
        <v>20200825MOWEC</v>
      </c>
      <c r="B685" s="5" t="str">
        <f ca="1">IFERROR(__xludf.DUMMYFUNCTION("""COMPUTED_VALUE"""),"Handgun")</f>
        <v>Handgun</v>
      </c>
      <c r="C685" s="5"/>
      <c r="D685" s="5"/>
    </row>
    <row r="686" spans="1:4" ht="13">
      <c r="A686" s="5" t="str">
        <f ca="1">IFERROR(__xludf.DUMMYFUNCTION("""COMPUTED_VALUE"""),"20200817MIABG")</f>
        <v>20200817MIABG</v>
      </c>
      <c r="B686" s="5" t="str">
        <f ca="1">IFERROR(__xludf.DUMMYFUNCTION("""COMPUTED_VALUE"""),"Handgun")</f>
        <v>Handgun</v>
      </c>
      <c r="C686" s="5"/>
      <c r="D686" s="5"/>
    </row>
    <row r="687" spans="1:4" ht="13">
      <c r="A687" s="5" t="str">
        <f ca="1">IFERROR(__xludf.DUMMYFUNCTION("""COMPUTED_VALUE"""),"20200804PAKEP")</f>
        <v>20200804PAKEP</v>
      </c>
      <c r="B687" s="5" t="str">
        <f ca="1">IFERROR(__xludf.DUMMYFUNCTION("""COMPUTED_VALUE"""),"Handgun")</f>
        <v>Handgun</v>
      </c>
      <c r="C687" s="5"/>
      <c r="D687" s="5"/>
    </row>
    <row r="688" spans="1:4" ht="13">
      <c r="A688" s="5" t="str">
        <f ca="1">IFERROR(__xludf.DUMMYFUNCTION("""COMPUTED_VALUE"""),"20200729ILCOC")</f>
        <v>20200729ILCOC</v>
      </c>
      <c r="B688" s="5" t="str">
        <f ca="1">IFERROR(__xludf.DUMMYFUNCTION("""COMPUTED_VALUE"""),"Handgun")</f>
        <v>Handgun</v>
      </c>
      <c r="C688" s="5"/>
      <c r="D688" s="5"/>
    </row>
    <row r="689" spans="1:4" ht="13">
      <c r="A689" s="5" t="str">
        <f ca="1">IFERROR(__xludf.DUMMYFUNCTION("""COMPUTED_VALUE"""),"20200727AZCAO")</f>
        <v>20200727AZCAO</v>
      </c>
      <c r="B689" s="5" t="str">
        <f ca="1">IFERROR(__xludf.DUMMYFUNCTION("""COMPUTED_VALUE"""),"Handgun")</f>
        <v>Handgun</v>
      </c>
      <c r="C689" s="5"/>
      <c r="D689" s="5"/>
    </row>
    <row r="690" spans="1:4" ht="13">
      <c r="A690" s="5" t="str">
        <f ca="1">IFERROR(__xludf.DUMMYFUNCTION("""COMPUTED_VALUE"""),"20200721SCBRO")</f>
        <v>20200721SCBRO</v>
      </c>
      <c r="B690" s="5" t="str">
        <f ca="1">IFERROR(__xludf.DUMMYFUNCTION("""COMPUTED_VALUE"""),"Handgun")</f>
        <v>Handgun</v>
      </c>
      <c r="C690" s="5"/>
      <c r="D690" s="5"/>
    </row>
    <row r="691" spans="1:4" ht="13">
      <c r="A691" s="5" t="str">
        <f ca="1">IFERROR(__xludf.DUMMYFUNCTION("""COMPUTED_VALUE"""),"20200714MIWID")</f>
        <v>20200714MIWID</v>
      </c>
      <c r="B691" s="5" t="str">
        <f ca="1">IFERROR(__xludf.DUMMYFUNCTION("""COMPUTED_VALUE"""),"Handgun")</f>
        <v>Handgun</v>
      </c>
      <c r="C691" s="5" t="str">
        <f ca="1">IFERROR(__xludf.DUMMYFUNCTION("""COMPUTED_VALUE"""),"Unknown")</f>
        <v>Unknown</v>
      </c>
      <c r="D691" s="5"/>
    </row>
    <row r="692" spans="1:4" ht="13">
      <c r="A692" s="5" t="str">
        <f ca="1">IFERROR(__xludf.DUMMYFUNCTION("""COMPUTED_VALUE"""),"20200704INLAM")</f>
        <v>20200704INLAM</v>
      </c>
      <c r="B692" s="5" t="str">
        <f ca="1">IFERROR(__xludf.DUMMYFUNCTION("""COMPUTED_VALUE"""),"Handgun")</f>
        <v>Handgun</v>
      </c>
      <c r="C692" s="5" t="str">
        <f ca="1">IFERROR(__xludf.DUMMYFUNCTION("""COMPUTED_VALUE"""),"Unknown")</f>
        <v>Unknown</v>
      </c>
      <c r="D692" s="5"/>
    </row>
    <row r="693" spans="1:4" ht="13">
      <c r="A693" s="5" t="str">
        <f ca="1">IFERROR(__xludf.DUMMYFUNCTION("""COMPUTED_VALUE"""),"20200701ILFRP")</f>
        <v>20200701ILFRP</v>
      </c>
      <c r="B693" s="5" t="str">
        <f ca="1">IFERROR(__xludf.DUMMYFUNCTION("""COMPUTED_VALUE"""),"Handgun")</f>
        <v>Handgun</v>
      </c>
      <c r="C693" s="5" t="str">
        <f ca="1">IFERROR(__xludf.DUMMYFUNCTION("""COMPUTED_VALUE"""),"Unknown")</f>
        <v>Unknown</v>
      </c>
      <c r="D693" s="5"/>
    </row>
    <row r="694" spans="1:4" ht="13">
      <c r="A694" s="5" t="str">
        <f ca="1">IFERROR(__xludf.DUMMYFUNCTION("""COMPUTED_VALUE"""),"20200630OHLAW")</f>
        <v>20200630OHLAW</v>
      </c>
      <c r="B694" s="5" t="str">
        <f ca="1">IFERROR(__xludf.DUMMYFUNCTION("""COMPUTED_VALUE"""),"Rifle")</f>
        <v>Rifle</v>
      </c>
      <c r="C694" s="5" t="str">
        <f ca="1">IFERROR(__xludf.DUMMYFUNCTION("""COMPUTED_VALUE"""),".223 caliber")</f>
        <v>.223 caliber</v>
      </c>
      <c r="D694" s="5" t="str">
        <f ca="1">IFERROR(__xludf.DUMMYFUNCTION("""COMPUTED_VALUE"""),"AK-47 style rifle")</f>
        <v>AK-47 style rifle</v>
      </c>
    </row>
    <row r="695" spans="1:4" ht="13">
      <c r="A695" s="5" t="str">
        <f ca="1">IFERROR(__xludf.DUMMYFUNCTION("""COMPUTED_VALUE"""),"20200616FLTOM")</f>
        <v>20200616FLTOM</v>
      </c>
      <c r="B695" s="5" t="str">
        <f ca="1">IFERROR(__xludf.DUMMYFUNCTION("""COMPUTED_VALUE"""),"Multiple Unknown")</f>
        <v>Multiple Unknown</v>
      </c>
      <c r="C695" s="5"/>
      <c r="D695" s="5"/>
    </row>
    <row r="696" spans="1:4" ht="13">
      <c r="A696" s="5" t="str">
        <f ca="1">IFERROR(__xludf.DUMMYFUNCTION("""COMPUTED_VALUE"""),"20200603IAGAD")</f>
        <v>20200603IAGAD</v>
      </c>
      <c r="B696" s="5" t="str">
        <f ca="1">IFERROR(__xludf.DUMMYFUNCTION("""COMPUTED_VALUE"""),"No Data")</f>
        <v>No Data</v>
      </c>
      <c r="C696" s="5"/>
      <c r="D696" s="5"/>
    </row>
    <row r="697" spans="1:4" ht="13">
      <c r="A697" s="5" t="str">
        <f ca="1">IFERROR(__xludf.DUMMYFUNCTION("""COMPUTED_VALUE"""),"20200527OHLUC")</f>
        <v>20200527OHLUC</v>
      </c>
      <c r="B697" s="5" t="str">
        <f ca="1">IFERROR(__xludf.DUMMYFUNCTION("""COMPUTED_VALUE"""),"Handgun")</f>
        <v>Handgun</v>
      </c>
      <c r="C697" s="5" t="str">
        <f ca="1">IFERROR(__xludf.DUMMYFUNCTION("""COMPUTED_VALUE"""),"Unknown")</f>
        <v>Unknown</v>
      </c>
      <c r="D697" s="5"/>
    </row>
    <row r="698" spans="1:4" ht="13">
      <c r="A698" s="5" t="str">
        <f ca="1">IFERROR(__xludf.DUMMYFUNCTION("""COMPUTED_VALUE"""),"20200525ALORM")</f>
        <v>20200525ALORM</v>
      </c>
      <c r="B698" s="5" t="str">
        <f ca="1">IFERROR(__xludf.DUMMYFUNCTION("""COMPUTED_VALUE"""),"Handgun")</f>
        <v>Handgun</v>
      </c>
      <c r="C698" s="5" t="str">
        <f ca="1">IFERROR(__xludf.DUMMYFUNCTION("""COMPUTED_VALUE"""),"Unknown")</f>
        <v>Unknown</v>
      </c>
      <c r="D698" s="5"/>
    </row>
    <row r="699" spans="1:4" ht="13">
      <c r="A699" s="5" t="str">
        <f ca="1">IFERROR(__xludf.DUMMYFUNCTION("""COMPUTED_VALUE"""),"20200522OHMIC")</f>
        <v>20200522OHMIC</v>
      </c>
      <c r="B699" s="5" t="str">
        <f ca="1">IFERROR(__xludf.DUMMYFUNCTION("""COMPUTED_VALUE"""),"No Data")</f>
        <v>No Data</v>
      </c>
      <c r="C699" s="5"/>
      <c r="D699" s="5"/>
    </row>
    <row r="700" spans="1:4" ht="13">
      <c r="A700" s="5" t="str">
        <f ca="1">IFERROR(__xludf.DUMMYFUNCTION("""COMPUTED_VALUE"""),"20200519VAWEM")</f>
        <v>20200519VAWEM</v>
      </c>
      <c r="B700" s="5" t="str">
        <f ca="1">IFERROR(__xludf.DUMMYFUNCTION("""COMPUTED_VALUE"""),"Handgun")</f>
        <v>Handgun</v>
      </c>
      <c r="C700" s="5" t="str">
        <f ca="1">IFERROR(__xludf.DUMMYFUNCTION("""COMPUTED_VALUE"""),"Unknown")</f>
        <v>Unknown</v>
      </c>
      <c r="D700" s="5"/>
    </row>
    <row r="701" spans="1:4" ht="13">
      <c r="A701" s="5" t="str">
        <f ca="1">IFERROR(__xludf.DUMMYFUNCTION("""COMPUTED_VALUE"""),"20200515NCSTC")</f>
        <v>20200515NCSTC</v>
      </c>
      <c r="B701" s="5" t="str">
        <f ca="1">IFERROR(__xludf.DUMMYFUNCTION("""COMPUTED_VALUE"""),"Handgun")</f>
        <v>Handgun</v>
      </c>
      <c r="C701" s="5" t="str">
        <f ca="1">IFERROR(__xludf.DUMMYFUNCTION("""COMPUTED_VALUE"""),"Unknown")</f>
        <v>Unknown</v>
      </c>
      <c r="D701" s="5"/>
    </row>
    <row r="702" spans="1:4" ht="13">
      <c r="A702" s="5" t="str">
        <f ca="1">IFERROR(__xludf.DUMMYFUNCTION("""COMPUTED_VALUE"""),"20200505CAGOV")</f>
        <v>20200505CAGOV</v>
      </c>
      <c r="B702" s="5" t="str">
        <f ca="1">IFERROR(__xludf.DUMMYFUNCTION("""COMPUTED_VALUE"""),"No Data")</f>
        <v>No Data</v>
      </c>
      <c r="C702" s="5"/>
      <c r="D702" s="5"/>
    </row>
    <row r="703" spans="1:4" ht="13">
      <c r="A703" s="5" t="str">
        <f ca="1">IFERROR(__xludf.DUMMYFUNCTION("""COMPUTED_VALUE"""),"20200419NCABR")</f>
        <v>20200419NCABR</v>
      </c>
      <c r="B703" s="5" t="str">
        <f ca="1">IFERROR(__xludf.DUMMYFUNCTION("""COMPUTED_VALUE"""),"Handgun")</f>
        <v>Handgun</v>
      </c>
      <c r="C703" s="5"/>
      <c r="D703" s="5" t="str">
        <f ca="1">IFERROR(__xludf.DUMMYFUNCTION("""COMPUTED_VALUE"""),"Glock 19 semi-automatic pistol")</f>
        <v>Glock 19 semi-automatic pistol</v>
      </c>
    </row>
    <row r="704" spans="1:4" ht="13">
      <c r="A704" s="5" t="str">
        <f ca="1">IFERROR(__xludf.DUMMYFUNCTION("""COMPUTED_VALUE"""),"20200413NEMOO")</f>
        <v>20200413NEMOO</v>
      </c>
      <c r="B704" s="5" t="str">
        <f ca="1">IFERROR(__xludf.DUMMYFUNCTION("""COMPUTED_VALUE"""),"Handgun")</f>
        <v>Handgun</v>
      </c>
      <c r="C704" s="5" t="str">
        <f ca="1">IFERROR(__xludf.DUMMYFUNCTION("""COMPUTED_VALUE"""),"Unknown")</f>
        <v>Unknown</v>
      </c>
      <c r="D704" s="5"/>
    </row>
    <row r="705" spans="1:4" ht="13">
      <c r="A705" s="5" t="str">
        <f ca="1">IFERROR(__xludf.DUMMYFUNCTION("""COMPUTED_VALUE"""),"20200330GANAS")</f>
        <v>20200330GANAS</v>
      </c>
      <c r="B705" s="5" t="str">
        <f ca="1">IFERROR(__xludf.DUMMYFUNCTION("""COMPUTED_VALUE"""),"Handgun")</f>
        <v>Handgun</v>
      </c>
      <c r="C705" s="5" t="str">
        <f ca="1">IFERROR(__xludf.DUMMYFUNCTION("""COMPUTED_VALUE"""),"Unknown")</f>
        <v>Unknown</v>
      </c>
      <c r="D705" s="5"/>
    </row>
    <row r="706" spans="1:4" ht="13">
      <c r="A706" s="5" t="str">
        <f ca="1">IFERROR(__xludf.DUMMYFUNCTION("""COMPUTED_VALUE"""),"20200324LAROM")</f>
        <v>20200324LAROM</v>
      </c>
      <c r="B706" s="5" t="str">
        <f ca="1">IFERROR(__xludf.DUMMYFUNCTION("""COMPUTED_VALUE"""),"Handgun")</f>
        <v>Handgun</v>
      </c>
      <c r="C706" s="5" t="str">
        <f ca="1">IFERROR(__xludf.DUMMYFUNCTION("""COMPUTED_VALUE"""),"Unknown")</f>
        <v>Unknown</v>
      </c>
      <c r="D706" s="5"/>
    </row>
    <row r="707" spans="1:4" ht="13">
      <c r="A707" s="5" t="str">
        <f ca="1">IFERROR(__xludf.DUMMYFUNCTION("""COMPUTED_VALUE"""),"20200318LABOS")</f>
        <v>20200318LABOS</v>
      </c>
      <c r="B707" s="5" t="str">
        <f ca="1">IFERROR(__xludf.DUMMYFUNCTION("""COMPUTED_VALUE"""),"Handgun")</f>
        <v>Handgun</v>
      </c>
      <c r="C707" s="5" t="str">
        <f ca="1">IFERROR(__xludf.DUMMYFUNCTION("""COMPUTED_VALUE"""),"Unknown")</f>
        <v>Unknown</v>
      </c>
      <c r="D707" s="5"/>
    </row>
    <row r="708" spans="1:4" ht="13">
      <c r="A708" s="5" t="str">
        <f ca="1">IFERROR(__xludf.DUMMYFUNCTION("""COMPUTED_VALUE"""),"20200315TXATH")</f>
        <v>20200315TXATH</v>
      </c>
      <c r="B708" s="5" t="str">
        <f ca="1">IFERROR(__xludf.DUMMYFUNCTION("""COMPUTED_VALUE"""),"Handgun")</f>
        <v>Handgun</v>
      </c>
      <c r="C708" s="5" t="str">
        <f ca="1">IFERROR(__xludf.DUMMYFUNCTION("""COMPUTED_VALUE"""),"Unknown")</f>
        <v>Unknown</v>
      </c>
      <c r="D708" s="5"/>
    </row>
    <row r="709" spans="1:4" ht="13">
      <c r="A709" s="5" t="str">
        <f ca="1">IFERROR(__xludf.DUMMYFUNCTION("""COMPUTED_VALUE"""),"20200313TNPIR")</f>
        <v>20200313TNPIR</v>
      </c>
      <c r="B709" s="5" t="str">
        <f ca="1">IFERROR(__xludf.DUMMYFUNCTION("""COMPUTED_VALUE"""),"Handgun")</f>
        <v>Handgun</v>
      </c>
      <c r="C709" s="5" t="str">
        <f ca="1">IFERROR(__xludf.DUMMYFUNCTION("""COMPUTED_VALUE"""),"Unknown")</f>
        <v>Unknown</v>
      </c>
      <c r="D709" s="5"/>
    </row>
    <row r="710" spans="1:4" ht="13">
      <c r="A710" s="5" t="str">
        <f ca="1">IFERROR(__xludf.DUMMYFUNCTION("""COMPUTED_VALUE"""),"20200310PASHN")</f>
        <v>20200310PASHN</v>
      </c>
      <c r="B710" s="5" t="str">
        <f ca="1">IFERROR(__xludf.DUMMYFUNCTION("""COMPUTED_VALUE"""),"Multiple Unknown")</f>
        <v>Multiple Unknown</v>
      </c>
      <c r="C710" s="5" t="str">
        <f ca="1">IFERROR(__xludf.DUMMYFUNCTION("""COMPUTED_VALUE"""),".22 caliber")</f>
        <v>.22 caliber</v>
      </c>
      <c r="D710" s="5"/>
    </row>
    <row r="711" spans="1:4" ht="13">
      <c r="A711" s="5" t="str">
        <f ca="1">IFERROR(__xludf.DUMMYFUNCTION("""COMPUTED_VALUE"""),"20200305FLSAW")</f>
        <v>20200305FLSAW</v>
      </c>
      <c r="B711" s="5" t="str">
        <f ca="1">IFERROR(__xludf.DUMMYFUNCTION("""COMPUTED_VALUE"""),"Handgun")</f>
        <v>Handgun</v>
      </c>
      <c r="C711" s="5" t="str">
        <f ca="1">IFERROR(__xludf.DUMMYFUNCTION("""COMPUTED_VALUE"""),"Unknown")</f>
        <v>Unknown</v>
      </c>
      <c r="D711" s="5"/>
    </row>
    <row r="712" spans="1:4" ht="13">
      <c r="A712" s="5" t="str">
        <f ca="1">IFERROR(__xludf.DUMMYFUNCTION("""COMPUTED_VALUE"""),"20200302TXNOF")</f>
        <v>20200302TXNOF</v>
      </c>
      <c r="B712" s="5" t="str">
        <f ca="1">IFERROR(__xludf.DUMMYFUNCTION("""COMPUTED_VALUE"""),"Handgun")</f>
        <v>Handgun</v>
      </c>
      <c r="C712" s="5" t="str">
        <f ca="1">IFERROR(__xludf.DUMMYFUNCTION("""COMPUTED_VALUE"""),"Unknown")</f>
        <v>Unknown</v>
      </c>
      <c r="D712" s="5"/>
    </row>
    <row r="713" spans="1:4" ht="13">
      <c r="A713" s="5" t="str">
        <f ca="1">IFERROR(__xludf.DUMMYFUNCTION("""COMPUTED_VALUE"""),"20200221NMCEA")</f>
        <v>20200221NMCEA</v>
      </c>
      <c r="B713" s="5" t="str">
        <f ca="1">IFERROR(__xludf.DUMMYFUNCTION("""COMPUTED_VALUE"""),"Unknown")</f>
        <v>Unknown</v>
      </c>
      <c r="C713" s="5"/>
      <c r="D713" s="5"/>
    </row>
    <row r="714" spans="1:4" ht="13">
      <c r="A714" s="5" t="str">
        <f ca="1">IFERROR(__xludf.DUMMYFUNCTION("""COMPUTED_VALUE"""),"20200215DCDUW")</f>
        <v>20200215DCDUW</v>
      </c>
      <c r="B714" s="5" t="str">
        <f ca="1">IFERROR(__xludf.DUMMYFUNCTION("""COMPUTED_VALUE"""),"Unknown")</f>
        <v>Unknown</v>
      </c>
      <c r="C714" s="5"/>
      <c r="D714" s="5"/>
    </row>
    <row r="715" spans="1:4" ht="13">
      <c r="A715" s="5" t="str">
        <f ca="1">IFERROR(__xludf.DUMMYFUNCTION("""COMPUTED_VALUE"""),"20200212MOJOF")</f>
        <v>20200212MOJOF</v>
      </c>
      <c r="B715" s="5" t="str">
        <f ca="1">IFERROR(__xludf.DUMMYFUNCTION("""COMPUTED_VALUE"""),"Handgun")</f>
        <v>Handgun</v>
      </c>
      <c r="C715" s="5" t="str">
        <f ca="1">IFERROR(__xludf.DUMMYFUNCTION("""COMPUTED_VALUE"""),"Unknown")</f>
        <v>Unknown</v>
      </c>
      <c r="D715" s="5"/>
    </row>
    <row r="716" spans="1:4" ht="13">
      <c r="A716" s="5" t="str">
        <f ca="1">IFERROR(__xludf.DUMMYFUNCTION("""COMPUTED_VALUE"""),"20200205NHSEC")</f>
        <v>20200205NHSEC</v>
      </c>
      <c r="B716" s="5" t="str">
        <f ca="1">IFERROR(__xludf.DUMMYFUNCTION("""COMPUTED_VALUE"""),"Handgun")</f>
        <v>Handgun</v>
      </c>
      <c r="C716" s="5" t="str">
        <f ca="1">IFERROR(__xludf.DUMMYFUNCTION("""COMPUTED_VALUE"""),".38 caliber")</f>
        <v>.38 caliber</v>
      </c>
      <c r="D716" s="5"/>
    </row>
    <row r="717" spans="1:4" ht="13">
      <c r="A717" s="5" t="str">
        <f ca="1">IFERROR(__xludf.DUMMYFUNCTION("""COMPUTED_VALUE"""),"20200204LABEA")</f>
        <v>20200204LABEA</v>
      </c>
      <c r="B717" s="5" t="str">
        <f ca="1">IFERROR(__xludf.DUMMYFUNCTION("""COMPUTED_VALUE"""),"Rifle")</f>
        <v>Rifle</v>
      </c>
      <c r="C717" s="5" t="str">
        <f ca="1">IFERROR(__xludf.DUMMYFUNCTION("""COMPUTED_VALUE"""),"5.56mm")</f>
        <v>5.56mm</v>
      </c>
      <c r="D717" s="5"/>
    </row>
    <row r="718" spans="1:4" ht="13">
      <c r="A718" s="5" t="str">
        <f ca="1">IFERROR(__xludf.DUMMYFUNCTION("""COMPUTED_VALUE"""),"20200203FLGEJ")</f>
        <v>20200203FLGEJ</v>
      </c>
      <c r="B718" s="5" t="str">
        <f ca="1">IFERROR(__xludf.DUMMYFUNCTION("""COMPUTED_VALUE"""),"Handgun")</f>
        <v>Handgun</v>
      </c>
      <c r="C718" s="5" t="str">
        <f ca="1">IFERROR(__xludf.DUMMYFUNCTION("""COMPUTED_VALUE"""),"Unknown")</f>
        <v>Unknown</v>
      </c>
      <c r="D718" s="5"/>
    </row>
    <row r="719" spans="1:4" ht="13">
      <c r="A719" s="5" t="str">
        <f ca="1">IFERROR(__xludf.DUMMYFUNCTION("""COMPUTED_VALUE"""),"20200201TXHIH")</f>
        <v>20200201TXHIH</v>
      </c>
      <c r="B719" s="5" t="str">
        <f ca="1">IFERROR(__xludf.DUMMYFUNCTION("""COMPUTED_VALUE"""),"Handgun")</f>
        <v>Handgun</v>
      </c>
      <c r="C719" s="5" t="str">
        <f ca="1">IFERROR(__xludf.DUMMYFUNCTION("""COMPUTED_VALUE"""),"Unknown")</f>
        <v>Unknown</v>
      </c>
      <c r="D719" s="5"/>
    </row>
    <row r="720" spans="1:4" ht="13">
      <c r="A720" s="5" t="str">
        <f ca="1">IFERROR(__xludf.DUMMYFUNCTION("""COMPUTED_VALUE"""),"20200131CADEA")</f>
        <v>20200131CADEA</v>
      </c>
      <c r="B720" s="5" t="str">
        <f ca="1">IFERROR(__xludf.DUMMYFUNCTION("""COMPUTED_VALUE"""),"Handgun")</f>
        <v>Handgun</v>
      </c>
      <c r="C720" s="5" t="str">
        <f ca="1">IFERROR(__xludf.DUMMYFUNCTION("""COMPUTED_VALUE"""),"Unknown")</f>
        <v>Unknown</v>
      </c>
      <c r="D720" s="5"/>
    </row>
    <row r="721" spans="1:4" ht="13">
      <c r="A721" s="5" t="str">
        <f ca="1">IFERROR(__xludf.DUMMYFUNCTION("""COMPUTED_VALUE"""),"20200128TXLUL")</f>
        <v>20200128TXLUL</v>
      </c>
      <c r="B721" s="5" t="str">
        <f ca="1">IFERROR(__xludf.DUMMYFUNCTION("""COMPUTED_VALUE"""),"Handgun")</f>
        <v>Handgun</v>
      </c>
      <c r="C721" s="5" t="str">
        <f ca="1">IFERROR(__xludf.DUMMYFUNCTION("""COMPUTED_VALUE"""),".357 caliber")</f>
        <v>.357 caliber</v>
      </c>
      <c r="D721" s="5"/>
    </row>
    <row r="722" spans="1:4" ht="13">
      <c r="A722" s="5" t="str">
        <f ca="1">IFERROR(__xludf.DUMMYFUNCTION("""COMPUTED_VALUE"""),"20200128TNWHM")</f>
        <v>20200128TNWHM</v>
      </c>
      <c r="B722" s="5" t="str">
        <f ca="1">IFERROR(__xludf.DUMMYFUNCTION("""COMPUTED_VALUE"""),"Handgun")</f>
        <v>Handgun</v>
      </c>
      <c r="C722" s="5" t="str">
        <f ca="1">IFERROR(__xludf.DUMMYFUNCTION("""COMPUTED_VALUE"""),"Unknown")</f>
        <v>Unknown</v>
      </c>
      <c r="D722" s="5"/>
    </row>
    <row r="723" spans="1:4" ht="13">
      <c r="A723" s="5" t="str">
        <f ca="1">IFERROR(__xludf.DUMMYFUNCTION("""COMPUTED_VALUE"""),"20200128NYMAQ")</f>
        <v>20200128NYMAQ</v>
      </c>
      <c r="B723" s="5" t="str">
        <f ca="1">IFERROR(__xludf.DUMMYFUNCTION("""COMPUTED_VALUE"""),"Handgun")</f>
        <v>Handgun</v>
      </c>
      <c r="C723" s="5" t="str">
        <f ca="1">IFERROR(__xludf.DUMMYFUNCTION("""COMPUTED_VALUE"""),"Unknown")</f>
        <v>Unknown</v>
      </c>
      <c r="D723" s="5"/>
    </row>
    <row r="724" spans="1:4" ht="13">
      <c r="A724" s="5" t="str">
        <f ca="1">IFERROR(__xludf.DUMMYFUNCTION("""COMPUTED_VALUE"""),"20200127WAROY")</f>
        <v>20200127WAROY</v>
      </c>
      <c r="B724" s="5" t="str">
        <f ca="1">IFERROR(__xludf.DUMMYFUNCTION("""COMPUTED_VALUE"""),"Handgun")</f>
        <v>Handgun</v>
      </c>
      <c r="C724" s="5" t="str">
        <f ca="1">IFERROR(__xludf.DUMMYFUNCTION("""COMPUTED_VALUE"""),".22 caliber")</f>
        <v>.22 caliber</v>
      </c>
      <c r="D724" s="5"/>
    </row>
    <row r="725" spans="1:4" ht="13">
      <c r="A725" s="5" t="str">
        <f ca="1">IFERROR(__xludf.DUMMYFUNCTION("""COMPUTED_VALUE"""),"20200123CAOXO")</f>
        <v>20200123CAOXO</v>
      </c>
      <c r="B725" s="5" t="str">
        <f ca="1">IFERROR(__xludf.DUMMYFUNCTION("""COMPUTED_VALUE"""),"Handgun")</f>
        <v>Handgun</v>
      </c>
      <c r="C725" s="5" t="str">
        <f ca="1">IFERROR(__xludf.DUMMYFUNCTION("""COMPUTED_VALUE"""),"Unknown")</f>
        <v>Unknown</v>
      </c>
      <c r="D725" s="5"/>
    </row>
    <row r="726" spans="1:4" ht="13">
      <c r="A726" s="5" t="str">
        <f ca="1">IFERROR(__xludf.DUMMYFUNCTION("""COMPUTED_VALUE"""),"20200121NEPAL")</f>
        <v>20200121NEPAL</v>
      </c>
      <c r="B726" s="5" t="str">
        <f ca="1">IFERROR(__xludf.DUMMYFUNCTION("""COMPUTED_VALUE"""),"Other")</f>
        <v>Other</v>
      </c>
      <c r="C726" s="5" t="str">
        <f ca="1">IFERROR(__xludf.DUMMYFUNCTION("""COMPUTED_VALUE"""),"BB")</f>
        <v>BB</v>
      </c>
      <c r="D726" s="5"/>
    </row>
    <row r="727" spans="1:4" ht="13">
      <c r="A727" s="5" t="str">
        <f ca="1">IFERROR(__xludf.DUMMYFUNCTION("""COMPUTED_VALUE"""),"20200121ILLIC")</f>
        <v>20200121ILLIC</v>
      </c>
      <c r="B727" s="5" t="str">
        <f ca="1">IFERROR(__xludf.DUMMYFUNCTION("""COMPUTED_VALUE"""),"Handgun")</f>
        <v>Handgun</v>
      </c>
      <c r="C727" s="5" t="str">
        <f ca="1">IFERROR(__xludf.DUMMYFUNCTION("""COMPUTED_VALUE"""),"Unknown")</f>
        <v>Unknown</v>
      </c>
      <c r="D727" s="5"/>
    </row>
    <row r="728" spans="1:4" ht="13">
      <c r="A728" s="5" t="str">
        <f ca="1">IFERROR(__xludf.DUMMYFUNCTION("""COMPUTED_VALUE"""),"20200119TXNOF")</f>
        <v>20200119TXNOF</v>
      </c>
      <c r="B728" s="5" t="str">
        <f ca="1">IFERROR(__xludf.DUMMYFUNCTION("""COMPUTED_VALUE"""),"Multiple Handguns")</f>
        <v>Multiple Handguns</v>
      </c>
      <c r="C728" s="5" t="str">
        <f ca="1">IFERROR(__xludf.DUMMYFUNCTION("""COMPUTED_VALUE"""),"Unknown")</f>
        <v>Unknown</v>
      </c>
      <c r="D728" s="5"/>
    </row>
    <row r="729" spans="1:4" ht="13">
      <c r="A729" s="5" t="str">
        <f ca="1">IFERROR(__xludf.DUMMYFUNCTION("""COMPUTED_VALUE"""),"20200117SCCAS")</f>
        <v>20200117SCCAS</v>
      </c>
      <c r="B729" s="5" t="str">
        <f ca="1">IFERROR(__xludf.DUMMYFUNCTION("""COMPUTED_VALUE"""),"No Data")</f>
        <v>No Data</v>
      </c>
      <c r="C729" s="5"/>
      <c r="D729" s="5"/>
    </row>
    <row r="730" spans="1:4" ht="13">
      <c r="A730" s="5" t="str">
        <f ca="1">IFERROR(__xludf.DUMMYFUNCTION("""COMPUTED_VALUE"""),"20200117MITHH")</f>
        <v>20200117MITHH</v>
      </c>
      <c r="B730" s="5" t="str">
        <f ca="1">IFERROR(__xludf.DUMMYFUNCTION("""COMPUTED_VALUE"""),"Handgun")</f>
        <v>Handgun</v>
      </c>
      <c r="C730" s="5" t="str">
        <f ca="1">IFERROR(__xludf.DUMMYFUNCTION("""COMPUTED_VALUE"""),"Unknown")</f>
        <v>Unknown</v>
      </c>
      <c r="D730" s="5"/>
    </row>
    <row r="731" spans="1:4" ht="13">
      <c r="A731" s="5" t="str">
        <f ca="1">IFERROR(__xludf.DUMMYFUNCTION("""COMPUTED_VALUE"""),"20200114TXPOM")</f>
        <v>20200114TXPOM</v>
      </c>
      <c r="B731" s="5" t="str">
        <f ca="1">IFERROR(__xludf.DUMMYFUNCTION("""COMPUTED_VALUE"""),"Handgun")</f>
        <v>Handgun</v>
      </c>
      <c r="C731" s="5" t="str">
        <f ca="1">IFERROR(__xludf.DUMMYFUNCTION("""COMPUTED_VALUE"""),"Unknown")</f>
        <v>Unknown</v>
      </c>
      <c r="D731" s="5"/>
    </row>
    <row r="732" spans="1:4" ht="13">
      <c r="A732" s="5" t="str">
        <f ca="1">IFERROR(__xludf.DUMMYFUNCTION("""COMPUTED_VALUE"""),"20200114TXBEH")</f>
        <v>20200114TXBEH</v>
      </c>
      <c r="B732" s="5" t="str">
        <f ca="1">IFERROR(__xludf.DUMMYFUNCTION("""COMPUTED_VALUE"""),"Handgun")</f>
        <v>Handgun</v>
      </c>
      <c r="C732" s="5" t="str">
        <f ca="1">IFERROR(__xludf.DUMMYFUNCTION("""COMPUTED_VALUE"""),"Unknown")</f>
        <v>Unknown</v>
      </c>
      <c r="D732" s="5"/>
    </row>
    <row r="733" spans="1:4" ht="13">
      <c r="A733" s="5" t="str">
        <f ca="1">IFERROR(__xludf.DUMMYFUNCTION("""COMPUTED_VALUE"""),"20200111TXELD")</f>
        <v>20200111TXELD</v>
      </c>
      <c r="B733" s="5" t="str">
        <f ca="1">IFERROR(__xludf.DUMMYFUNCTION("""COMPUTED_VALUE"""),"Handgun")</f>
        <v>Handgun</v>
      </c>
      <c r="C733" s="5" t="str">
        <f ca="1">IFERROR(__xludf.DUMMYFUNCTION("""COMPUTED_VALUE"""),"Unknown")</f>
        <v>Unknown</v>
      </c>
      <c r="D733" s="5"/>
    </row>
    <row r="734" spans="1:4" ht="13">
      <c r="A734" s="5" t="str">
        <f ca="1">IFERROR(__xludf.DUMMYFUNCTION("""COMPUTED_VALUE"""),"20200110MSMCJ")</f>
        <v>20200110MSMCJ</v>
      </c>
      <c r="B734" s="5" t="str">
        <f ca="1">IFERROR(__xludf.DUMMYFUNCTION("""COMPUTED_VALUE"""),"Other")</f>
        <v>Other</v>
      </c>
      <c r="C734" s="5" t="str">
        <f ca="1">IFERROR(__xludf.DUMMYFUNCTION("""COMPUTED_VALUE"""),"BB")</f>
        <v>BB</v>
      </c>
      <c r="D734" s="5"/>
    </row>
    <row r="735" spans="1:4" ht="13">
      <c r="A735" s="5" t="str">
        <f ca="1">IFERROR(__xludf.DUMMYFUNCTION("""COMPUTED_VALUE"""),"20200108FLGLB")</f>
        <v>20200108FLGLB</v>
      </c>
      <c r="B735" s="5" t="str">
        <f ca="1">IFERROR(__xludf.DUMMYFUNCTION("""COMPUTED_VALUE"""),"Handgun")</f>
        <v>Handgun</v>
      </c>
      <c r="C735" s="5" t="str">
        <f ca="1">IFERROR(__xludf.DUMMYFUNCTION("""COMPUTED_VALUE"""),"Unknown")</f>
        <v>Unknown</v>
      </c>
      <c r="D735" s="5"/>
    </row>
    <row r="736" spans="1:4" ht="13">
      <c r="A736" s="5" t="str">
        <f ca="1">IFERROR(__xludf.DUMMYFUNCTION("""COMPUTED_VALUE"""),"20200107WASOK")</f>
        <v>20200107WASOK</v>
      </c>
      <c r="B736" s="5" t="str">
        <f ca="1">IFERROR(__xludf.DUMMYFUNCTION("""COMPUTED_VALUE"""),"Other")</f>
        <v>Other</v>
      </c>
      <c r="C736" s="5" t="str">
        <f ca="1">IFERROR(__xludf.DUMMYFUNCTION("""COMPUTED_VALUE"""),"BB")</f>
        <v>BB</v>
      </c>
      <c r="D736" s="5"/>
    </row>
    <row r="737" spans="1:4" ht="13">
      <c r="A737" s="5" t="str">
        <f ca="1">IFERROR(__xludf.DUMMYFUNCTION("""COMPUTED_VALUE"""),"20191228MOMAS")</f>
        <v>20191228MOMAS</v>
      </c>
      <c r="B737" s="5" t="str">
        <f ca="1">IFERROR(__xludf.DUMMYFUNCTION("""COMPUTED_VALUE"""),"No Data")</f>
        <v>No Data</v>
      </c>
      <c r="C737" s="5"/>
      <c r="D737" s="5"/>
    </row>
    <row r="738" spans="1:4" ht="13">
      <c r="A738" s="5" t="str">
        <f ca="1">IFERROR(__xludf.DUMMYFUNCTION("""COMPUTED_VALUE"""),"20191221LAWES")</f>
        <v>20191221LAWES</v>
      </c>
      <c r="B738" s="5" t="str">
        <f ca="1">IFERROR(__xludf.DUMMYFUNCTION("""COMPUTED_VALUE"""),"Handgun")</f>
        <v>Handgun</v>
      </c>
      <c r="C738" s="5" t="str">
        <f ca="1">IFERROR(__xludf.DUMMYFUNCTION("""COMPUTED_VALUE"""),"Unknown")</f>
        <v>Unknown</v>
      </c>
      <c r="D738" s="5"/>
    </row>
    <row r="739" spans="1:4" ht="13">
      <c r="A739" s="5" t="str">
        <f ca="1">IFERROR(__xludf.DUMMYFUNCTION("""COMPUTED_VALUE"""),"20191219FLLEN")</f>
        <v>20191219FLLEN</v>
      </c>
      <c r="B739" s="5" t="str">
        <f ca="1">IFERROR(__xludf.DUMMYFUNCTION("""COMPUTED_VALUE"""),"No Data")</f>
        <v>No Data</v>
      </c>
      <c r="C739" s="5"/>
      <c r="D739" s="5"/>
    </row>
    <row r="740" spans="1:4" ht="13">
      <c r="A740" s="5" t="str">
        <f ca="1">IFERROR(__xludf.DUMMYFUNCTION("""COMPUTED_VALUE"""),"20191216CTCAN")</f>
        <v>20191216CTCAN</v>
      </c>
      <c r="B740" s="5" t="str">
        <f ca="1">IFERROR(__xludf.DUMMYFUNCTION("""COMPUTED_VALUE"""),"Handgun")</f>
        <v>Handgun</v>
      </c>
      <c r="C740" s="5" t="str">
        <f ca="1">IFERROR(__xludf.DUMMYFUNCTION("""COMPUTED_VALUE"""),"Unknown")</f>
        <v>Unknown</v>
      </c>
      <c r="D740" s="5"/>
    </row>
    <row r="741" spans="1:4" ht="13">
      <c r="A741" s="5" t="str">
        <f ca="1">IFERROR(__xludf.DUMMYFUNCTION("""COMPUTED_VALUE"""),"20191213VAMAN")</f>
        <v>20191213VAMAN</v>
      </c>
      <c r="B741" s="5" t="str">
        <f ca="1">IFERROR(__xludf.DUMMYFUNCTION("""COMPUTED_VALUE"""),"Handgun")</f>
        <v>Handgun</v>
      </c>
      <c r="C741" s="5" t="str">
        <f ca="1">IFERROR(__xludf.DUMMYFUNCTION("""COMPUTED_VALUE"""),"Unknown")</f>
        <v>Unknown</v>
      </c>
      <c r="D741" s="5"/>
    </row>
    <row r="742" spans="1:4" ht="13">
      <c r="A742" s="5" t="str">
        <f ca="1">IFERROR(__xludf.DUMMYFUNCTION("""COMPUTED_VALUE"""),"20191211KSCHT")</f>
        <v>20191211KSCHT</v>
      </c>
      <c r="B742" s="5" t="str">
        <f ca="1">IFERROR(__xludf.DUMMYFUNCTION("""COMPUTED_VALUE"""),"Other")</f>
        <v>Other</v>
      </c>
      <c r="C742" s="5" t="str">
        <f ca="1">IFERROR(__xludf.DUMMYFUNCTION("""COMPUTED_VALUE"""),"BB")</f>
        <v>BB</v>
      </c>
      <c r="D742" s="5"/>
    </row>
    <row r="743" spans="1:4" ht="13">
      <c r="A743" s="5" t="str">
        <f ca="1">IFERROR(__xludf.DUMMYFUNCTION("""COMPUTED_VALUE"""),"20191211INEVE")</f>
        <v>20191211INEVE</v>
      </c>
      <c r="B743" s="5" t="str">
        <f ca="1">IFERROR(__xludf.DUMMYFUNCTION("""COMPUTED_VALUE"""),"Other")</f>
        <v>Other</v>
      </c>
      <c r="C743" s="5" t="str">
        <f ca="1">IFERROR(__xludf.DUMMYFUNCTION("""COMPUTED_VALUE"""),"BB")</f>
        <v>BB</v>
      </c>
      <c r="D743" s="5"/>
    </row>
    <row r="744" spans="1:4" ht="13">
      <c r="A744" s="5" t="str">
        <f ca="1">IFERROR(__xludf.DUMMYFUNCTION("""COMPUTED_VALUE"""),"20191210NJSAJ")</f>
        <v>20191210NJSAJ</v>
      </c>
      <c r="B744" s="5" t="str">
        <f ca="1">IFERROR(__xludf.DUMMYFUNCTION("""COMPUTED_VALUE"""),"Multiple Unknown")</f>
        <v>Multiple Unknown</v>
      </c>
      <c r="C744" s="5" t="str">
        <f ca="1">IFERROR(__xludf.DUMMYFUNCTION("""COMPUTED_VALUE"""),"Unknown")</f>
        <v>Unknown</v>
      </c>
      <c r="D744" s="5"/>
    </row>
    <row r="745" spans="1:4" ht="13">
      <c r="A745" s="5" t="str">
        <f ca="1">IFERROR(__xludf.DUMMYFUNCTION("""COMPUTED_VALUE"""),"20191210KSJCK")</f>
        <v>20191210KSJCK</v>
      </c>
      <c r="B745" s="5" t="str">
        <f ca="1">IFERROR(__xludf.DUMMYFUNCTION("""COMPUTED_VALUE"""),"No Data")</f>
        <v>No Data</v>
      </c>
      <c r="C745" s="5"/>
      <c r="D745" s="5"/>
    </row>
    <row r="746" spans="1:4" ht="13">
      <c r="A746" s="5" t="str">
        <f ca="1">IFERROR(__xludf.DUMMYFUNCTION("""COMPUTED_VALUE"""),"20191210ALDED")</f>
        <v>20191210ALDED</v>
      </c>
      <c r="B746" s="5" t="str">
        <f ca="1">IFERROR(__xludf.DUMMYFUNCTION("""COMPUTED_VALUE"""),"Handgun")</f>
        <v>Handgun</v>
      </c>
      <c r="C746" s="5" t="str">
        <f ca="1">IFERROR(__xludf.DUMMYFUNCTION("""COMPUTED_VALUE"""),"Unknown")</f>
        <v>Unknown</v>
      </c>
      <c r="D746" s="5"/>
    </row>
    <row r="747" spans="1:4" ht="13">
      <c r="A747" s="5" t="str">
        <f ca="1">IFERROR(__xludf.DUMMYFUNCTION("""COMPUTED_VALUE"""),"20191204NMPIL")</f>
        <v>20191204NMPIL</v>
      </c>
      <c r="B747" s="5" t="str">
        <f ca="1">IFERROR(__xludf.DUMMYFUNCTION("""COMPUTED_VALUE"""),"Handgun")</f>
        <v>Handgun</v>
      </c>
      <c r="C747" s="5" t="str">
        <f ca="1">IFERROR(__xludf.DUMMYFUNCTION("""COMPUTED_VALUE"""),"Service Weapon")</f>
        <v>Service Weapon</v>
      </c>
      <c r="D747" s="5"/>
    </row>
    <row r="748" spans="1:4" ht="13">
      <c r="A748" s="5" t="str">
        <f ca="1">IFERROR(__xludf.DUMMYFUNCTION("""COMPUTED_VALUE"""),"20191203WITHM")</f>
        <v>20191203WITHM</v>
      </c>
      <c r="B748" s="5" t="str">
        <f ca="1">IFERROR(__xludf.DUMMYFUNCTION("""COMPUTED_VALUE"""),"Other")</f>
        <v>Other</v>
      </c>
      <c r="C748" s="5" t="str">
        <f ca="1">IFERROR(__xludf.DUMMYFUNCTION("""COMPUTED_VALUE"""),"BB")</f>
        <v>BB</v>
      </c>
      <c r="D748" s="5"/>
    </row>
    <row r="749" spans="1:4" ht="13">
      <c r="A749" s="5" t="str">
        <f ca="1">IFERROR(__xludf.DUMMYFUNCTION("""COMPUTED_VALUE"""),"20191203WIOSO")</f>
        <v>20191203WIOSO</v>
      </c>
      <c r="B749" s="5" t="str">
        <f ca="1">IFERROR(__xludf.DUMMYFUNCTION("""COMPUTED_VALUE"""),"Handgun")</f>
        <v>Handgun</v>
      </c>
      <c r="C749" s="5" t="str">
        <f ca="1">IFERROR(__xludf.DUMMYFUNCTION("""COMPUTED_VALUE"""),"Service Weapon")</f>
        <v>Service Weapon</v>
      </c>
      <c r="D749" s="5"/>
    </row>
    <row r="750" spans="1:4" ht="13">
      <c r="A750" s="5" t="str">
        <f ca="1">IFERROR(__xludf.DUMMYFUNCTION("""COMPUTED_VALUE"""),"20191202WIWAW")</f>
        <v>20191202WIWAW</v>
      </c>
      <c r="B750" s="5" t="str">
        <f ca="1">IFERROR(__xludf.DUMMYFUNCTION("""COMPUTED_VALUE"""),"Handgun")</f>
        <v>Handgun</v>
      </c>
      <c r="C750" s="5" t="str">
        <f ca="1">IFERROR(__xludf.DUMMYFUNCTION("""COMPUTED_VALUE"""),"Unknown")</f>
        <v>Unknown</v>
      </c>
      <c r="D750" s="5"/>
    </row>
    <row r="751" spans="1:4" ht="13">
      <c r="A751" s="5" t="str">
        <f ca="1">IFERROR(__xludf.DUMMYFUNCTION("""COMPUTED_VALUE"""),"20191201ALMOM")</f>
        <v>20191201ALMOM</v>
      </c>
      <c r="B751" s="5" t="str">
        <f ca="1">IFERROR(__xludf.DUMMYFUNCTION("""COMPUTED_VALUE"""),"Handgun")</f>
        <v>Handgun</v>
      </c>
      <c r="C751" s="5" t="str">
        <f ca="1">IFERROR(__xludf.DUMMYFUNCTION("""COMPUTED_VALUE"""),"Unknown")</f>
        <v>Unknown</v>
      </c>
      <c r="D751" s="5"/>
    </row>
    <row r="752" spans="1:4" ht="13">
      <c r="A752" s="5" t="str">
        <f ca="1">IFERROR(__xludf.DUMMYFUNCTION("""COMPUTED_VALUE"""),"20191126WASAV")</f>
        <v>20191126WASAV</v>
      </c>
      <c r="B752" s="5" t="str">
        <f ca="1">IFERROR(__xludf.DUMMYFUNCTION("""COMPUTED_VALUE"""),"Handgun")</f>
        <v>Handgun</v>
      </c>
      <c r="C752" s="5" t="str">
        <f ca="1">IFERROR(__xludf.DUMMYFUNCTION("""COMPUTED_VALUE"""),"Unknown")</f>
        <v>Unknown</v>
      </c>
      <c r="D752" s="5"/>
    </row>
    <row r="753" spans="1:4" ht="13">
      <c r="A753" s="5" t="str">
        <f ca="1">IFERROR(__xludf.DUMMYFUNCTION("""COMPUTED_VALUE"""),"20191125ILCAC")</f>
        <v>20191125ILCAC</v>
      </c>
      <c r="B753" s="5" t="str">
        <f ca="1">IFERROR(__xludf.DUMMYFUNCTION("""COMPUTED_VALUE"""),"Handgun")</f>
        <v>Handgun</v>
      </c>
      <c r="C753" s="5" t="str">
        <f ca="1">IFERROR(__xludf.DUMMYFUNCTION("""COMPUTED_VALUE"""),"Unknown")</f>
        <v>Unknown</v>
      </c>
      <c r="D753" s="5"/>
    </row>
    <row r="754" spans="1:4" ht="13">
      <c r="A754" s="5" t="str">
        <f ca="1">IFERROR(__xludf.DUMMYFUNCTION("""COMPUTED_VALUE"""),"20191124CASEU")</f>
        <v>20191124CASEU</v>
      </c>
      <c r="B754" s="5" t="str">
        <f ca="1">IFERROR(__xludf.DUMMYFUNCTION("""COMPUTED_VALUE"""),"Multiple Unknown")</f>
        <v>Multiple Unknown</v>
      </c>
      <c r="C754" s="5" t="str">
        <f ca="1">IFERROR(__xludf.DUMMYFUNCTION("""COMPUTED_VALUE"""),"Unknown")</f>
        <v>Unknown</v>
      </c>
      <c r="D754" s="5"/>
    </row>
    <row r="755" spans="1:4" ht="13">
      <c r="A755" s="5" t="str">
        <f ca="1">IFERROR(__xludf.DUMMYFUNCTION("""COMPUTED_VALUE"""),"20191121ILRIO")</f>
        <v>20191121ILRIO</v>
      </c>
      <c r="B755" s="5" t="str">
        <f ca="1">IFERROR(__xludf.DUMMYFUNCTION("""COMPUTED_VALUE"""),"Other")</f>
        <v>Other</v>
      </c>
      <c r="C755" s="5" t="str">
        <f ca="1">IFERROR(__xludf.DUMMYFUNCTION("""COMPUTED_VALUE"""),"Pellet")</f>
        <v>Pellet</v>
      </c>
      <c r="D755" s="5"/>
    </row>
    <row r="756" spans="1:4" ht="13">
      <c r="A756" s="5" t="str">
        <f ca="1">IFERROR(__xludf.DUMMYFUNCTION("""COMPUTED_VALUE"""),"20191115NJPLP")</f>
        <v>20191115NJPLP</v>
      </c>
      <c r="B756" s="5" t="str">
        <f ca="1">IFERROR(__xludf.DUMMYFUNCTION("""COMPUTED_VALUE"""),"Handgun")</f>
        <v>Handgun</v>
      </c>
      <c r="C756" s="5" t="str">
        <f ca="1">IFERROR(__xludf.DUMMYFUNCTION("""COMPUTED_VALUE"""),"Unknown")</f>
        <v>Unknown</v>
      </c>
      <c r="D756" s="5"/>
    </row>
    <row r="757" spans="1:4" ht="13">
      <c r="A757" s="5" t="str">
        <f ca="1">IFERROR(__xludf.DUMMYFUNCTION("""COMPUTED_VALUE"""),"20191114CASAS")</f>
        <v>20191114CASAS</v>
      </c>
      <c r="B757" s="5" t="str">
        <f ca="1">IFERROR(__xludf.DUMMYFUNCTION("""COMPUTED_VALUE"""),"Handgun")</f>
        <v>Handgun</v>
      </c>
      <c r="C757" s="5" t="str">
        <f ca="1">IFERROR(__xludf.DUMMYFUNCTION("""COMPUTED_VALUE"""),".45 caliber")</f>
        <v>.45 caliber</v>
      </c>
      <c r="D757" s="5"/>
    </row>
    <row r="758" spans="1:4" ht="13">
      <c r="A758" s="5" t="str">
        <f ca="1">IFERROR(__xludf.DUMMYFUNCTION("""COMPUTED_VALUE"""),"20191113CAESL")</f>
        <v>20191113CAESL</v>
      </c>
      <c r="B758" s="5" t="str">
        <f ca="1">IFERROR(__xludf.DUMMYFUNCTION("""COMPUTED_VALUE"""),"Unknown")</f>
        <v>Unknown</v>
      </c>
      <c r="C758" s="5" t="str">
        <f ca="1">IFERROR(__xludf.DUMMYFUNCTION("""COMPUTED_VALUE"""),"Service Weapon")</f>
        <v>Service Weapon</v>
      </c>
      <c r="D758" s="5"/>
    </row>
    <row r="759" spans="1:4" ht="13">
      <c r="A759" s="5" t="str">
        <f ca="1">IFERROR(__xludf.DUMMYFUNCTION("""COMPUTED_VALUE"""),"20191111MDACB")</f>
        <v>20191111MDACB</v>
      </c>
      <c r="B759" s="5" t="str">
        <f ca="1">IFERROR(__xludf.DUMMYFUNCTION("""COMPUTED_VALUE"""),"Handgun")</f>
        <v>Handgun</v>
      </c>
      <c r="C759" s="5" t="str">
        <f ca="1">IFERROR(__xludf.DUMMYFUNCTION("""COMPUTED_VALUE"""),"Unknown")</f>
        <v>Unknown</v>
      </c>
      <c r="D759" s="5"/>
    </row>
    <row r="760" spans="1:4" ht="13">
      <c r="A760" s="5" t="str">
        <f ca="1">IFERROR(__xludf.DUMMYFUNCTION("""COMPUTED_VALUE"""),"20191108TXROD")</f>
        <v>20191108TXROD</v>
      </c>
      <c r="B760" s="5" t="str">
        <f ca="1">IFERROR(__xludf.DUMMYFUNCTION("""COMPUTED_VALUE"""),"No Data")</f>
        <v>No Data</v>
      </c>
      <c r="C760" s="5"/>
      <c r="D760" s="5"/>
    </row>
    <row r="761" spans="1:4" ht="13">
      <c r="A761" s="5" t="str">
        <f ca="1">IFERROR(__xludf.DUMMYFUNCTION("""COMPUTED_VALUE"""),"20191108CAEDS")</f>
        <v>20191108CAEDS</v>
      </c>
      <c r="B761" s="5" t="str">
        <f ca="1">IFERROR(__xludf.DUMMYFUNCTION("""COMPUTED_VALUE"""),"No Data")</f>
        <v>No Data</v>
      </c>
      <c r="C761" s="5"/>
      <c r="D761" s="5"/>
    </row>
    <row r="762" spans="1:4" ht="13">
      <c r="A762" s="5" t="str">
        <f ca="1">IFERROR(__xludf.DUMMYFUNCTION("""COMPUTED_VALUE"""),"20191029NYNEN")</f>
        <v>20191029NYNEN</v>
      </c>
      <c r="B762" s="5" t="str">
        <f ca="1">IFERROR(__xludf.DUMMYFUNCTION("""COMPUTED_VALUE"""),"Handgun")</f>
        <v>Handgun</v>
      </c>
      <c r="C762" s="5" t="str">
        <f ca="1">IFERROR(__xludf.DUMMYFUNCTION("""COMPUTED_VALUE"""),"Unknown")</f>
        <v>Unknown</v>
      </c>
      <c r="D762" s="5"/>
    </row>
    <row r="763" spans="1:4" ht="13">
      <c r="A763" s="5" t="str">
        <f ca="1">IFERROR(__xludf.DUMMYFUNCTION("""COMPUTED_VALUE"""),"20191027MDLAL")</f>
        <v>20191027MDLAL</v>
      </c>
      <c r="B763" s="5" t="str">
        <f ca="1">IFERROR(__xludf.DUMMYFUNCTION("""COMPUTED_VALUE"""),"Handgun")</f>
        <v>Handgun</v>
      </c>
      <c r="C763" s="5" t="str">
        <f ca="1">IFERROR(__xludf.DUMMYFUNCTION("""COMPUTED_VALUE"""),"Unknown")</f>
        <v>Unknown</v>
      </c>
      <c r="D763" s="5"/>
    </row>
    <row r="764" spans="1:4" ht="13">
      <c r="A764" s="5" t="str">
        <f ca="1">IFERROR(__xludf.DUMMYFUNCTION("""COMPUTED_VALUE"""),"20191022CARIS")</f>
        <v>20191022CARIS</v>
      </c>
      <c r="B764" s="5" t="str">
        <f ca="1">IFERROR(__xludf.DUMMYFUNCTION("""COMPUTED_VALUE"""),"Handgun")</f>
        <v>Handgun</v>
      </c>
      <c r="C764" s="5" t="str">
        <f ca="1">IFERROR(__xludf.DUMMYFUNCTION("""COMPUTED_VALUE"""),"Unknown")</f>
        <v>Unknown</v>
      </c>
      <c r="D764" s="5"/>
    </row>
    <row r="765" spans="1:4" ht="13">
      <c r="A765" s="5" t="str">
        <f ca="1">IFERROR(__xludf.DUMMYFUNCTION("""COMPUTED_VALUE"""),"20191018OHWOT")</f>
        <v>20191018OHWOT</v>
      </c>
      <c r="B765" s="5" t="str">
        <f ca="1">IFERROR(__xludf.DUMMYFUNCTION("""COMPUTED_VALUE"""),"No Data")</f>
        <v>No Data</v>
      </c>
      <c r="C765" s="5"/>
      <c r="D765" s="5"/>
    </row>
    <row r="766" spans="1:4" ht="13">
      <c r="A766" s="5" t="str">
        <f ca="1">IFERROR(__xludf.DUMMYFUNCTION("""COMPUTED_VALUE"""),"20191018GACRS")</f>
        <v>20191018GACRS</v>
      </c>
      <c r="B766" s="5" t="str">
        <f ca="1">IFERROR(__xludf.DUMMYFUNCTION("""COMPUTED_VALUE"""),"Handgun")</f>
        <v>Handgun</v>
      </c>
      <c r="C766" s="5" t="str">
        <f ca="1">IFERROR(__xludf.DUMMYFUNCTION("""COMPUTED_VALUE"""),"Unknown")</f>
        <v>Unknown</v>
      </c>
      <c r="D766" s="5"/>
    </row>
    <row r="767" spans="1:4" ht="13">
      <c r="A767" s="5" t="str">
        <f ca="1">IFERROR(__xludf.DUMMYFUNCTION("""COMPUTED_VALUE"""),"20191015LAGEN")</f>
        <v>20191015LAGEN</v>
      </c>
      <c r="B767" s="5" t="str">
        <f ca="1">IFERROR(__xludf.DUMMYFUNCTION("""COMPUTED_VALUE"""),"Handgun")</f>
        <v>Handgun</v>
      </c>
      <c r="C767" s="5" t="str">
        <f ca="1">IFERROR(__xludf.DUMMYFUNCTION("""COMPUTED_VALUE"""),"Unknown")</f>
        <v>Unknown</v>
      </c>
      <c r="D767" s="5"/>
    </row>
    <row r="768" spans="1:4" ht="13">
      <c r="A768" s="5" t="str">
        <f ca="1">IFERROR(__xludf.DUMMYFUNCTION("""COMPUTED_VALUE"""),"20191011LARAR")</f>
        <v>20191011LARAR</v>
      </c>
      <c r="B768" s="5" t="str">
        <f ca="1">IFERROR(__xludf.DUMMYFUNCTION("""COMPUTED_VALUE"""),"Handgun")</f>
        <v>Handgun</v>
      </c>
      <c r="C768" s="5" t="str">
        <f ca="1">IFERROR(__xludf.DUMMYFUNCTION("""COMPUTED_VALUE"""),"Unknown")</f>
        <v>Unknown</v>
      </c>
      <c r="D768" s="5"/>
    </row>
    <row r="769" spans="1:4" ht="13">
      <c r="A769" s="5" t="str">
        <f ca="1">IFERROR(__xludf.DUMMYFUNCTION("""COMPUTED_VALUE"""),"20191009MAGRL")</f>
        <v>20191009MAGRL</v>
      </c>
      <c r="B769" s="5" t="str">
        <f ca="1">IFERROR(__xludf.DUMMYFUNCTION("""COMPUTED_VALUE"""),"Other")</f>
        <v>Other</v>
      </c>
      <c r="C769" s="5" t="str">
        <f ca="1">IFERROR(__xludf.DUMMYFUNCTION("""COMPUTED_VALUE"""),"BB")</f>
        <v>BB</v>
      </c>
      <c r="D769" s="5"/>
    </row>
    <row r="770" spans="1:4" ht="13">
      <c r="A770" s="5" t="str">
        <f ca="1">IFERROR(__xludf.DUMMYFUNCTION("""COMPUTED_VALUE"""),"20191008TXWEH")</f>
        <v>20191008TXWEH</v>
      </c>
      <c r="B770" s="5" t="str">
        <f ca="1">IFERROR(__xludf.DUMMYFUNCTION("""COMPUTED_VALUE"""),"No Data")</f>
        <v>No Data</v>
      </c>
      <c r="C770" s="5"/>
      <c r="D770" s="5"/>
    </row>
    <row r="771" spans="1:4" ht="13">
      <c r="A771" s="5" t="str">
        <f ca="1">IFERROR(__xludf.DUMMYFUNCTION("""COMPUTED_VALUE"""),"20191008COSHS")</f>
        <v>20191008COSHS</v>
      </c>
      <c r="B771" s="5" t="str">
        <f ca="1">IFERROR(__xludf.DUMMYFUNCTION("""COMPUTED_VALUE"""),"Handgun")</f>
        <v>Handgun</v>
      </c>
      <c r="C771" s="5" t="str">
        <f ca="1">IFERROR(__xludf.DUMMYFUNCTION("""COMPUTED_VALUE"""),"Unknown")</f>
        <v>Unknown</v>
      </c>
      <c r="D771" s="5"/>
    </row>
    <row r="772" spans="1:4" ht="13">
      <c r="A772" s="5" t="str">
        <f ca="1">IFERROR(__xludf.DUMMYFUNCTION("""COMPUTED_VALUE"""),"20191002GASOA")</f>
        <v>20191002GASOA</v>
      </c>
      <c r="B772" s="5" t="str">
        <f ca="1">IFERROR(__xludf.DUMMYFUNCTION("""COMPUTED_VALUE"""),"Handgun")</f>
        <v>Handgun</v>
      </c>
      <c r="C772" s="5" t="str">
        <f ca="1">IFERROR(__xludf.DUMMYFUNCTION("""COMPUTED_VALUE"""),"Unknown")</f>
        <v>Unknown</v>
      </c>
      <c r="D772" s="5"/>
    </row>
    <row r="773" spans="1:4" ht="13">
      <c r="A773" s="5" t="str">
        <f ca="1">IFERROR(__xludf.DUMMYFUNCTION("""COMPUTED_VALUE"""),"20190927NCZEC")</f>
        <v>20190927NCZEC</v>
      </c>
      <c r="B773" s="5" t="str">
        <f ca="1">IFERROR(__xludf.DUMMYFUNCTION("""COMPUTED_VALUE"""),"Handgun")</f>
        <v>Handgun</v>
      </c>
      <c r="C773" s="5" t="str">
        <f ca="1">IFERROR(__xludf.DUMMYFUNCTION("""COMPUTED_VALUE"""),"Unknown")</f>
        <v>Unknown</v>
      </c>
      <c r="D773" s="5"/>
    </row>
    <row r="774" spans="1:4" ht="13">
      <c r="A774" s="5" t="str">
        <f ca="1">IFERROR(__xludf.DUMMYFUNCTION("""COMPUTED_VALUE"""),"20190927CADER")</f>
        <v>20190927CADER</v>
      </c>
      <c r="B774" s="5" t="str">
        <f ca="1">IFERROR(__xludf.DUMMYFUNCTION("""COMPUTED_VALUE"""),"Multiple Handguns")</f>
        <v>Multiple Handguns</v>
      </c>
      <c r="C774" s="5"/>
      <c r="D774" s="5"/>
    </row>
    <row r="775" spans="1:4" ht="13">
      <c r="A775" s="5" t="str">
        <f ca="1">IFERROR(__xludf.DUMMYFUNCTION("""COMPUTED_VALUE"""),"20190920PASIP")</f>
        <v>20190920PASIP</v>
      </c>
      <c r="B775" s="5" t="str">
        <f ca="1">IFERROR(__xludf.DUMMYFUNCTION("""COMPUTED_VALUE"""),"Handgun")</f>
        <v>Handgun</v>
      </c>
      <c r="C775" s="5" t="str">
        <f ca="1">IFERROR(__xludf.DUMMYFUNCTION("""COMPUTED_VALUE"""),"Unknown")</f>
        <v>Unknown</v>
      </c>
      <c r="D775" s="5"/>
    </row>
    <row r="776" spans="1:4" ht="13">
      <c r="A776" s="5" t="str">
        <f ca="1">IFERROR(__xludf.DUMMYFUNCTION("""COMPUTED_VALUE"""),"20190918MNFOC")</f>
        <v>20190918MNFOC</v>
      </c>
      <c r="B776" s="5" t="str">
        <f ca="1">IFERROR(__xludf.DUMMYFUNCTION("""COMPUTED_VALUE"""),"Handgun")</f>
        <v>Handgun</v>
      </c>
      <c r="C776" s="5"/>
      <c r="D776" s="5" t="str">
        <f ca="1">IFERROR(__xludf.DUMMYFUNCTION("""COMPUTED_VALUE"""),"Illegally carried by felon")</f>
        <v>Illegally carried by felon</v>
      </c>
    </row>
    <row r="777" spans="1:4" ht="13">
      <c r="A777" s="5" t="str">
        <f ca="1">IFERROR(__xludf.DUMMYFUNCTION("""COMPUTED_VALUE"""),"20190916VAPHH")</f>
        <v>20190916VAPHH</v>
      </c>
      <c r="B777" s="5" t="str">
        <f ca="1">IFERROR(__xludf.DUMMYFUNCTION("""COMPUTED_VALUE"""),"Handgun")</f>
        <v>Handgun</v>
      </c>
      <c r="C777" s="5" t="str">
        <f ca="1">IFERROR(__xludf.DUMMYFUNCTION("""COMPUTED_VALUE"""),"Unknown")</f>
        <v>Unknown</v>
      </c>
      <c r="D777" s="5"/>
    </row>
    <row r="778" spans="1:4" ht="13">
      <c r="A778" s="5" t="str">
        <f ca="1">IFERROR(__xludf.DUMMYFUNCTION("""COMPUTED_VALUE"""),"20190916ILILK")</f>
        <v>20190916ILILK</v>
      </c>
      <c r="B778" s="5" t="str">
        <f ca="1">IFERROR(__xludf.DUMMYFUNCTION("""COMPUTED_VALUE"""),"No Data")</f>
        <v>No Data</v>
      </c>
      <c r="C778" s="5"/>
      <c r="D778" s="5"/>
    </row>
    <row r="779" spans="1:4" ht="13">
      <c r="A779" s="5" t="str">
        <f ca="1">IFERROR(__xludf.DUMMYFUNCTION("""COMPUTED_VALUE"""),"20190914TXEAF")</f>
        <v>20190914TXEAF</v>
      </c>
      <c r="B779" s="5" t="str">
        <f ca="1">IFERROR(__xludf.DUMMYFUNCTION("""COMPUTED_VALUE"""),"Handgun")</f>
        <v>Handgun</v>
      </c>
      <c r="C779" s="5" t="str">
        <f ca="1">IFERROR(__xludf.DUMMYFUNCTION("""COMPUTED_VALUE"""),"Unknown")</f>
        <v>Unknown</v>
      </c>
      <c r="D779" s="5"/>
    </row>
    <row r="780" spans="1:4" ht="13">
      <c r="A780" s="5" t="str">
        <f ca="1">IFERROR(__xludf.DUMMYFUNCTION("""COMPUTED_VALUE"""),"20190913VAETN")</f>
        <v>20190913VAETN</v>
      </c>
      <c r="B780" s="5" t="str">
        <f ca="1">IFERROR(__xludf.DUMMYFUNCTION("""COMPUTED_VALUE"""),"Handgun")</f>
        <v>Handgun</v>
      </c>
      <c r="C780" s="5" t="str">
        <f ca="1">IFERROR(__xludf.DUMMYFUNCTION("""COMPUTED_VALUE"""),"Unknown")</f>
        <v>Unknown</v>
      </c>
      <c r="D780" s="5"/>
    </row>
    <row r="781" spans="1:4" ht="13">
      <c r="A781" s="5" t="str">
        <f ca="1">IFERROR(__xludf.DUMMYFUNCTION("""COMPUTED_VALUE"""),"20190913UTGRW")</f>
        <v>20190913UTGRW</v>
      </c>
      <c r="B781" s="5" t="str">
        <f ca="1">IFERROR(__xludf.DUMMYFUNCTION("""COMPUTED_VALUE"""),"Handgun")</f>
        <v>Handgun</v>
      </c>
      <c r="C781" s="5" t="str">
        <f ca="1">IFERROR(__xludf.DUMMYFUNCTION("""COMPUTED_VALUE"""),"Unknown")</f>
        <v>Unknown</v>
      </c>
      <c r="D781" s="5"/>
    </row>
    <row r="782" spans="1:4" ht="13">
      <c r="A782" s="5" t="str">
        <f ca="1">IFERROR(__xludf.DUMMYFUNCTION("""COMPUTED_VALUE"""),"20190912KSMAM")</f>
        <v>20190912KSMAM</v>
      </c>
      <c r="B782" s="5" t="str">
        <f ca="1">IFERROR(__xludf.DUMMYFUNCTION("""COMPUTED_VALUE"""),"No Data")</f>
        <v>No Data</v>
      </c>
      <c r="C782" s="5"/>
      <c r="D782" s="5"/>
    </row>
    <row r="783" spans="1:4" ht="13">
      <c r="A783" s="5" t="str">
        <f ca="1">IFERROR(__xludf.DUMMYFUNCTION("""COMPUTED_VALUE"""),"20190910SCSOA")</f>
        <v>20190910SCSOA</v>
      </c>
      <c r="B783" s="5" t="str">
        <f ca="1">IFERROR(__xludf.DUMMYFUNCTION("""COMPUTED_VALUE"""),"Handgun")</f>
        <v>Handgun</v>
      </c>
      <c r="C783" s="5" t="str">
        <f ca="1">IFERROR(__xludf.DUMMYFUNCTION("""COMPUTED_VALUE"""),"Unknown")</f>
        <v>Unknown</v>
      </c>
      <c r="D783" s="5"/>
    </row>
    <row r="784" spans="1:4" ht="13">
      <c r="A784" s="5" t="str">
        <f ca="1">IFERROR(__xludf.DUMMYFUNCTION("""COMPUTED_VALUE"""),"20190906PAWEM")</f>
        <v>20190906PAWEM</v>
      </c>
      <c r="B784" s="5" t="str">
        <f ca="1">IFERROR(__xludf.DUMMYFUNCTION("""COMPUTED_VALUE"""),"No Data")</f>
        <v>No Data</v>
      </c>
      <c r="C784" s="5"/>
      <c r="D784" s="5"/>
    </row>
    <row r="785" spans="1:4" ht="13">
      <c r="A785" s="5" t="str">
        <f ca="1">IFERROR(__xludf.DUMMYFUNCTION("""COMPUTED_VALUE"""),"20190906PAMCJ")</f>
        <v>20190906PAMCJ</v>
      </c>
      <c r="B785" s="5" t="str">
        <f ca="1">IFERROR(__xludf.DUMMYFUNCTION("""COMPUTED_VALUE"""),"Handgun")</f>
        <v>Handgun</v>
      </c>
      <c r="C785" s="5" t="str">
        <f ca="1">IFERROR(__xludf.DUMMYFUNCTION("""COMPUTED_VALUE"""),"Unknown")</f>
        <v>Unknown</v>
      </c>
      <c r="D785" s="5"/>
    </row>
    <row r="786" spans="1:4" ht="13">
      <c r="A786" s="5" t="str">
        <f ca="1">IFERROR(__xludf.DUMMYFUNCTION("""COMPUTED_VALUE"""),"20190906ALCEC")</f>
        <v>20190906ALCEC</v>
      </c>
      <c r="B786" s="5" t="str">
        <f ca="1">IFERROR(__xludf.DUMMYFUNCTION("""COMPUTED_VALUE"""),"No Data")</f>
        <v>No Data</v>
      </c>
      <c r="C786" s="5"/>
      <c r="D786" s="5"/>
    </row>
    <row r="787" spans="1:4" ht="13">
      <c r="A787" s="5" t="str">
        <f ca="1">IFERROR(__xludf.DUMMYFUNCTION("""COMPUTED_VALUE"""),"20190902MDNOB")</f>
        <v>20190902MDNOB</v>
      </c>
      <c r="B787" s="5" t="str">
        <f ca="1">IFERROR(__xludf.DUMMYFUNCTION("""COMPUTED_VALUE"""),"No Data")</f>
        <v>No Data</v>
      </c>
      <c r="C787" s="5"/>
      <c r="D787" s="5"/>
    </row>
    <row r="788" spans="1:4" ht="13">
      <c r="A788" s="5" t="str">
        <f ca="1">IFERROR(__xludf.DUMMYFUNCTION("""COMPUTED_VALUE"""),"20190830OHCET")</f>
        <v>20190830OHCET</v>
      </c>
      <c r="B788" s="5" t="str">
        <f ca="1">IFERROR(__xludf.DUMMYFUNCTION("""COMPUTED_VALUE"""),"Handgun")</f>
        <v>Handgun</v>
      </c>
      <c r="C788" s="5" t="str">
        <f ca="1">IFERROR(__xludf.DUMMYFUNCTION("""COMPUTED_VALUE"""),"Unknown")</f>
        <v>Unknown</v>
      </c>
      <c r="D788" s="5"/>
    </row>
    <row r="789" spans="1:4" ht="13">
      <c r="A789" s="5" t="str">
        <f ca="1">IFERROR(__xludf.DUMMYFUNCTION("""COMPUTED_VALUE"""),"20190830NCKIK")</f>
        <v>20190830NCKIK</v>
      </c>
      <c r="B789" s="5" t="str">
        <f ca="1">IFERROR(__xludf.DUMMYFUNCTION("""COMPUTED_VALUE"""),"Handgun")</f>
        <v>Handgun</v>
      </c>
      <c r="C789" s="5" t="str">
        <f ca="1">IFERROR(__xludf.DUMMYFUNCTION("""COMPUTED_VALUE"""),"Unknown")</f>
        <v>Unknown</v>
      </c>
      <c r="D789" s="5"/>
    </row>
    <row r="790" spans="1:4" ht="13">
      <c r="A790" s="5" t="str">
        <f ca="1">IFERROR(__xludf.DUMMYFUNCTION("""COMPUTED_VALUE"""),"20190830ALLAM")</f>
        <v>20190830ALLAM</v>
      </c>
      <c r="B790" s="5" t="str">
        <f ca="1">IFERROR(__xludf.DUMMYFUNCTION("""COMPUTED_VALUE"""),"Handgun")</f>
        <v>Handgun</v>
      </c>
      <c r="C790" s="5" t="str">
        <f ca="1">IFERROR(__xludf.DUMMYFUNCTION("""COMPUTED_VALUE"""),"Unknown")</f>
        <v>Unknown</v>
      </c>
      <c r="D790" s="5"/>
    </row>
    <row r="791" spans="1:4" ht="13">
      <c r="A791" s="5" t="str">
        <f ca="1">IFERROR(__xludf.DUMMYFUNCTION("""COMPUTED_VALUE"""),"20190827NYROR")</f>
        <v>20190827NYROR</v>
      </c>
      <c r="B791" s="5" t="str">
        <f ca="1">IFERROR(__xludf.DUMMYFUNCTION("""COMPUTED_VALUE"""),"Handgun")</f>
        <v>Handgun</v>
      </c>
      <c r="C791" s="5" t="str">
        <f ca="1">IFERROR(__xludf.DUMMYFUNCTION("""COMPUTED_VALUE"""),"Unknown")</f>
        <v>Unknown</v>
      </c>
      <c r="D791" s="5"/>
    </row>
    <row r="792" spans="1:4" ht="13">
      <c r="A792" s="5" t="str">
        <f ca="1">IFERROR(__xludf.DUMMYFUNCTION("""COMPUTED_VALUE"""),"20190827CAHOL")</f>
        <v>20190827CAHOL</v>
      </c>
      <c r="B792" s="5" t="str">
        <f ca="1">IFERROR(__xludf.DUMMYFUNCTION("""COMPUTED_VALUE"""),"No Data")</f>
        <v>No Data</v>
      </c>
      <c r="C792" s="5"/>
      <c r="D792" s="5"/>
    </row>
    <row r="793" spans="1:4" ht="13">
      <c r="A793" s="5" t="str">
        <f ca="1">IFERROR(__xludf.DUMMYFUNCTION("""COMPUTED_VALUE"""),"20190824PAWIP")</f>
        <v>20190824PAWIP</v>
      </c>
      <c r="B793" s="5" t="str">
        <f ca="1">IFERROR(__xludf.DUMMYFUNCTION("""COMPUTED_VALUE"""),"Handgun")</f>
        <v>Handgun</v>
      </c>
      <c r="C793" s="5" t="str">
        <f ca="1">IFERROR(__xludf.DUMMYFUNCTION("""COMPUTED_VALUE"""),"Unknown")</f>
        <v>Unknown</v>
      </c>
      <c r="D793" s="5"/>
    </row>
    <row r="794" spans="1:4" ht="13">
      <c r="A794" s="5" t="str">
        <f ca="1">IFERROR(__xludf.DUMMYFUNCTION("""COMPUTED_VALUE"""),"20190823MOROS")</f>
        <v>20190823MOROS</v>
      </c>
      <c r="B794" s="5" t="str">
        <f ca="1">IFERROR(__xludf.DUMMYFUNCTION("""COMPUTED_VALUE"""),"No Data")</f>
        <v>No Data</v>
      </c>
      <c r="C794" s="5"/>
      <c r="D794" s="5"/>
    </row>
    <row r="795" spans="1:4" ht="13">
      <c r="A795" s="5" t="str">
        <f ca="1">IFERROR(__xludf.DUMMYFUNCTION("""COMPUTED_VALUE"""),"20190823MOPAS")</f>
        <v>20190823MOPAS</v>
      </c>
      <c r="B795" s="5" t="str">
        <f ca="1">IFERROR(__xludf.DUMMYFUNCTION("""COMPUTED_VALUE"""),"Handgun")</f>
        <v>Handgun</v>
      </c>
      <c r="C795" s="5" t="str">
        <f ca="1">IFERROR(__xludf.DUMMYFUNCTION("""COMPUTED_VALUE"""),"Unknown")</f>
        <v>Unknown</v>
      </c>
      <c r="D795" s="5"/>
    </row>
    <row r="796" spans="1:4" ht="13">
      <c r="A796" s="5" t="str">
        <f ca="1">IFERROR(__xludf.DUMMYFUNCTION("""COMPUTED_VALUE"""),"20190823GAPEC")</f>
        <v>20190823GAPEC</v>
      </c>
      <c r="B796" s="5" t="str">
        <f ca="1">IFERROR(__xludf.DUMMYFUNCTION("""COMPUTED_VALUE"""),"No Data")</f>
        <v>No Data</v>
      </c>
      <c r="C796" s="5"/>
      <c r="D796" s="5"/>
    </row>
    <row r="797" spans="1:4" ht="13">
      <c r="A797" s="5" t="str">
        <f ca="1">IFERROR(__xludf.DUMMYFUNCTION("""COMPUTED_VALUE"""),"20190820PASAC")</f>
        <v>20190820PASAC</v>
      </c>
      <c r="B797" s="5" t="str">
        <f ca="1">IFERROR(__xludf.DUMMYFUNCTION("""COMPUTED_VALUE"""),"Handgun")</f>
        <v>Handgun</v>
      </c>
      <c r="C797" s="5" t="str">
        <f ca="1">IFERROR(__xludf.DUMMYFUNCTION("""COMPUTED_VALUE"""),"Service Weapon")</f>
        <v>Service Weapon</v>
      </c>
      <c r="D797" s="5"/>
    </row>
    <row r="798" spans="1:4" ht="13">
      <c r="A798" s="5" t="str">
        <f ca="1">IFERROR(__xludf.DUMMYFUNCTION("""COMPUTED_VALUE"""),"20190817GALAA")</f>
        <v>20190817GALAA</v>
      </c>
      <c r="B798" s="5" t="str">
        <f ca="1">IFERROR(__xludf.DUMMYFUNCTION("""COMPUTED_VALUE"""),"Handgun")</f>
        <v>Handgun</v>
      </c>
      <c r="C798" s="5" t="str">
        <f ca="1">IFERROR(__xludf.DUMMYFUNCTION("""COMPUTED_VALUE"""),"Unknown")</f>
        <v>Unknown</v>
      </c>
      <c r="D798" s="5"/>
    </row>
    <row r="799" spans="1:4" ht="13">
      <c r="A799" s="5" t="str">
        <f ca="1">IFERROR(__xludf.DUMMYFUNCTION("""COMPUTED_VALUE"""),"20190815TNEAN")</f>
        <v>20190815TNEAN</v>
      </c>
      <c r="B799" s="5" t="str">
        <f ca="1">IFERROR(__xludf.DUMMYFUNCTION("""COMPUTED_VALUE"""),"Handgun")</f>
        <v>Handgun</v>
      </c>
      <c r="C799" s="5" t="str">
        <f ca="1">IFERROR(__xludf.DUMMYFUNCTION("""COMPUTED_VALUE"""),"9mm")</f>
        <v>9mm</v>
      </c>
      <c r="D799" s="5"/>
    </row>
    <row r="800" spans="1:4" ht="13">
      <c r="A800" s="5" t="str">
        <f ca="1">IFERROR(__xludf.DUMMYFUNCTION("""COMPUTED_VALUE"""),"20190809NJWEN")</f>
        <v>20190809NJWEN</v>
      </c>
      <c r="B800" s="5" t="str">
        <f ca="1">IFERROR(__xludf.DUMMYFUNCTION("""COMPUTED_VALUE"""),"Handgun")</f>
        <v>Handgun</v>
      </c>
      <c r="C800" s="5"/>
      <c r="D800" s="5"/>
    </row>
    <row r="801" spans="1:4" ht="13">
      <c r="A801" s="5" t="str">
        <f ca="1">IFERROR(__xludf.DUMMYFUNCTION("""COMPUTED_VALUE"""),"20190808ALBLM")</f>
        <v>20190808ALBLM</v>
      </c>
      <c r="B801" s="5" t="str">
        <f ca="1">IFERROR(__xludf.DUMMYFUNCTION("""COMPUTED_VALUE"""),"Handgun")</f>
        <v>Handgun</v>
      </c>
      <c r="C801" s="5" t="str">
        <f ca="1">IFERROR(__xludf.DUMMYFUNCTION("""COMPUTED_VALUE"""),"Unknown")</f>
        <v>Unknown</v>
      </c>
      <c r="D801" s="5"/>
    </row>
    <row r="802" spans="1:4" ht="13">
      <c r="A802" s="5" t="str">
        <f ca="1">IFERROR(__xludf.DUMMYFUNCTION("""COMPUTED_VALUE"""),"20190719CAMOS")</f>
        <v>20190719CAMOS</v>
      </c>
      <c r="B802" s="5" t="str">
        <f ca="1">IFERROR(__xludf.DUMMYFUNCTION("""COMPUTED_VALUE"""),"Other")</f>
        <v>Other</v>
      </c>
      <c r="C802" s="5" t="str">
        <f ca="1">IFERROR(__xludf.DUMMYFUNCTION("""COMPUTED_VALUE"""),"BB")</f>
        <v>BB</v>
      </c>
      <c r="D802" s="5"/>
    </row>
    <row r="803" spans="1:4" ht="13">
      <c r="A803" s="5" t="str">
        <f ca="1">IFERROR(__xludf.DUMMYFUNCTION("""COMPUTED_VALUE"""),"20190711CTBUH")</f>
        <v>20190711CTBUH</v>
      </c>
      <c r="B803" s="5" t="str">
        <f ca="1">IFERROR(__xludf.DUMMYFUNCTION("""COMPUTED_VALUE"""),"No Data")</f>
        <v>No Data</v>
      </c>
      <c r="C803" s="5"/>
      <c r="D803" s="5"/>
    </row>
    <row r="804" spans="1:4" ht="13">
      <c r="A804" s="5" t="str">
        <f ca="1">IFERROR(__xludf.DUMMYFUNCTION("""COMPUTED_VALUE"""),"20190702AKWIA")</f>
        <v>20190702AKWIA</v>
      </c>
      <c r="B804" s="5" t="str">
        <f ca="1">IFERROR(__xludf.DUMMYFUNCTION("""COMPUTED_VALUE"""),"Handgun")</f>
        <v>Handgun</v>
      </c>
      <c r="C804" s="5" t="str">
        <f ca="1">IFERROR(__xludf.DUMMYFUNCTION("""COMPUTED_VALUE"""),"Unknown")</f>
        <v>Unknown</v>
      </c>
      <c r="D804" s="5"/>
    </row>
    <row r="805" spans="1:4" ht="13">
      <c r="A805" s="5" t="str">
        <f ca="1">IFERROR(__xludf.DUMMYFUNCTION("""COMPUTED_VALUE"""),"20190701NYSCN")</f>
        <v>20190701NYSCN</v>
      </c>
      <c r="B805" s="5" t="str">
        <f ca="1">IFERROR(__xludf.DUMMYFUNCTION("""COMPUTED_VALUE"""),"Handgun")</f>
        <v>Handgun</v>
      </c>
      <c r="C805" s="5" t="str">
        <f ca="1">IFERROR(__xludf.DUMMYFUNCTION("""COMPUTED_VALUE"""),"Unknown")</f>
        <v>Unknown</v>
      </c>
      <c r="D805" s="5"/>
    </row>
    <row r="806" spans="1:4" ht="13">
      <c r="A806" s="5" t="str">
        <f ca="1">IFERROR(__xludf.DUMMYFUNCTION("""COMPUTED_VALUE"""),"20190629COJAC")</f>
        <v>20190629COJAC</v>
      </c>
      <c r="B806" s="5" t="str">
        <f ca="1">IFERROR(__xludf.DUMMYFUNCTION("""COMPUTED_VALUE"""),"Handgun")</f>
        <v>Handgun</v>
      </c>
      <c r="C806" s="5" t="str">
        <f ca="1">IFERROR(__xludf.DUMMYFUNCTION("""COMPUTED_VALUE"""),"Unknown")</f>
        <v>Unknown</v>
      </c>
      <c r="D806" s="5"/>
    </row>
    <row r="807" spans="1:4" ht="13">
      <c r="A807" s="5" t="str">
        <f ca="1">IFERROR(__xludf.DUMMYFUNCTION("""COMPUTED_VALUE"""),"20190621MICAF")</f>
        <v>20190621MICAF</v>
      </c>
      <c r="B807" s="5" t="str">
        <f ca="1">IFERROR(__xludf.DUMMYFUNCTION("""COMPUTED_VALUE"""),"Handgun")</f>
        <v>Handgun</v>
      </c>
      <c r="C807" s="5" t="str">
        <f ca="1">IFERROR(__xludf.DUMMYFUNCTION("""COMPUTED_VALUE"""),"Unknown")</f>
        <v>Unknown</v>
      </c>
      <c r="D807" s="5"/>
    </row>
    <row r="808" spans="1:4" ht="13">
      <c r="A808" s="5" t="str">
        <f ca="1">IFERROR(__xludf.DUMMYFUNCTION("""COMPUTED_VALUE"""),"20190613NJTAW")</f>
        <v>20190613NJTAW</v>
      </c>
      <c r="B808" s="5" t="str">
        <f ca="1">IFERROR(__xludf.DUMMYFUNCTION("""COMPUTED_VALUE"""),"Handgun")</f>
        <v>Handgun</v>
      </c>
      <c r="C808" s="5" t="str">
        <f ca="1">IFERROR(__xludf.DUMMYFUNCTION("""COMPUTED_VALUE"""),".45 caliber")</f>
        <v>.45 caliber</v>
      </c>
      <c r="D808" s="5"/>
    </row>
    <row r="809" spans="1:4" ht="13">
      <c r="A809" s="5" t="str">
        <f ca="1">IFERROR(__xludf.DUMMYFUNCTION("""COMPUTED_VALUE"""),"20190612PAJEE")</f>
        <v>20190612PAJEE</v>
      </c>
      <c r="B809" s="5" t="str">
        <f ca="1">IFERROR(__xludf.DUMMYFUNCTION("""COMPUTED_VALUE"""),"Handgun")</f>
        <v>Handgun</v>
      </c>
      <c r="C809" s="5" t="str">
        <f ca="1">IFERROR(__xludf.DUMMYFUNCTION("""COMPUTED_VALUE"""),"Unknown")</f>
        <v>Unknown</v>
      </c>
      <c r="D809" s="5"/>
    </row>
    <row r="810" spans="1:4" ht="13">
      <c r="A810" s="5" t="str">
        <f ca="1">IFERROR(__xludf.DUMMYFUNCTION("""COMPUTED_VALUE"""),"20190612DCHEW")</f>
        <v>20190612DCHEW</v>
      </c>
      <c r="B810" s="5" t="str">
        <f ca="1">IFERROR(__xludf.DUMMYFUNCTION("""COMPUTED_VALUE"""),"Handgun")</f>
        <v>Handgun</v>
      </c>
      <c r="C810" s="5" t="str">
        <f ca="1">IFERROR(__xludf.DUMMYFUNCTION("""COMPUTED_VALUE"""),"Unknown")</f>
        <v>Unknown</v>
      </c>
      <c r="D810" s="5"/>
    </row>
    <row r="811" spans="1:4" ht="13">
      <c r="A811" s="5" t="str">
        <f ca="1">IFERROR(__xludf.DUMMYFUNCTION("""COMPUTED_VALUE"""),"20190610ILMEW")</f>
        <v>20190610ILMEW</v>
      </c>
      <c r="B811" s="5" t="str">
        <f ca="1">IFERROR(__xludf.DUMMYFUNCTION("""COMPUTED_VALUE"""),"Handgun")</f>
        <v>Handgun</v>
      </c>
      <c r="C811" s="5" t="str">
        <f ca="1">IFERROR(__xludf.DUMMYFUNCTION("""COMPUTED_VALUE"""),"Unknown")</f>
        <v>Unknown</v>
      </c>
      <c r="D811" s="5"/>
    </row>
    <row r="812" spans="1:4" ht="13">
      <c r="A812" s="5" t="str">
        <f ca="1">IFERROR(__xludf.DUMMYFUNCTION("""COMPUTED_VALUE"""),"20190606ILGEC")</f>
        <v>20190606ILGEC</v>
      </c>
      <c r="B812" s="5" t="str">
        <f ca="1">IFERROR(__xludf.DUMMYFUNCTION("""COMPUTED_VALUE"""),"Handgun")</f>
        <v>Handgun</v>
      </c>
      <c r="C812" s="5" t="str">
        <f ca="1">IFERROR(__xludf.DUMMYFUNCTION("""COMPUTED_VALUE"""),"Unknown")</f>
        <v>Unknown</v>
      </c>
      <c r="D812" s="5"/>
    </row>
    <row r="813" spans="1:4" ht="13">
      <c r="A813" s="5" t="str">
        <f ca="1">IFERROR(__xludf.DUMMYFUNCTION("""COMPUTED_VALUE"""),"20190530DCHEW")</f>
        <v>20190530DCHEW</v>
      </c>
      <c r="B813" s="5" t="str">
        <f ca="1">IFERROR(__xludf.DUMMYFUNCTION("""COMPUTED_VALUE"""),"Handgun")</f>
        <v>Handgun</v>
      </c>
      <c r="C813" s="5" t="str">
        <f ca="1">IFERROR(__xludf.DUMMYFUNCTION("""COMPUTED_VALUE"""),"Unknown")</f>
        <v>Unknown</v>
      </c>
      <c r="D813" s="5"/>
    </row>
    <row r="814" spans="1:4" ht="13">
      <c r="A814" s="5" t="str">
        <f ca="1">IFERROR(__xludf.DUMMYFUNCTION("""COMPUTED_VALUE"""),"20190522OHSAC")</f>
        <v>20190522OHSAC</v>
      </c>
      <c r="B814" s="5" t="str">
        <f ca="1">IFERROR(__xludf.DUMMYFUNCTION("""COMPUTED_VALUE"""),"Handgun")</f>
        <v>Handgun</v>
      </c>
      <c r="C814" s="5"/>
      <c r="D814" s="5"/>
    </row>
    <row r="815" spans="1:4" ht="13">
      <c r="A815" s="5" t="str">
        <f ca="1">IFERROR(__xludf.DUMMYFUNCTION("""COMPUTED_VALUE"""),"20190517ORPAP")</f>
        <v>20190517ORPAP</v>
      </c>
      <c r="B815" s="5" t="str">
        <f ca="1">IFERROR(__xludf.DUMMYFUNCTION("""COMPUTED_VALUE"""),"Shotgun")</f>
        <v>Shotgun</v>
      </c>
      <c r="C815" s="5" t="str">
        <f ca="1">IFERROR(__xludf.DUMMYFUNCTION("""COMPUTED_VALUE"""),"Unknown")</f>
        <v>Unknown</v>
      </c>
      <c r="D815" s="5"/>
    </row>
    <row r="816" spans="1:4" ht="13">
      <c r="A816" s="5" t="str">
        <f ca="1">IFERROR(__xludf.DUMMYFUNCTION("""COMPUTED_VALUE"""),"20190517FLTEJ")</f>
        <v>20190517FLTEJ</v>
      </c>
      <c r="B816" s="5" t="str">
        <f ca="1">IFERROR(__xludf.DUMMYFUNCTION("""COMPUTED_VALUE"""),"Handgun")</f>
        <v>Handgun</v>
      </c>
      <c r="C816" s="5" t="str">
        <f ca="1">IFERROR(__xludf.DUMMYFUNCTION("""COMPUTED_VALUE"""),"Unknown")</f>
        <v>Unknown</v>
      </c>
      <c r="D816" s="5"/>
    </row>
    <row r="817" spans="1:4" ht="13">
      <c r="A817" s="5" t="str">
        <f ca="1">IFERROR(__xludf.DUMMYFUNCTION("""COMPUTED_VALUE"""),"20190508ILSEC")</f>
        <v>20190508ILSEC</v>
      </c>
      <c r="B817" s="5" t="str">
        <f ca="1">IFERROR(__xludf.DUMMYFUNCTION("""COMPUTED_VALUE"""),"Handgun")</f>
        <v>Handgun</v>
      </c>
      <c r="C817" s="5" t="str">
        <f ca="1">IFERROR(__xludf.DUMMYFUNCTION("""COMPUTED_VALUE"""),"Unknown")</f>
        <v>Unknown</v>
      </c>
      <c r="D817" s="5"/>
    </row>
    <row r="818" spans="1:4" ht="13">
      <c r="A818" s="5" t="str">
        <f ca="1">IFERROR(__xludf.DUMMYFUNCTION("""COMPUTED_VALUE"""),"20190507COSTH")</f>
        <v>20190507COSTH</v>
      </c>
      <c r="B818" s="5" t="str">
        <f ca="1">IFERROR(__xludf.DUMMYFUNCTION("""COMPUTED_VALUE"""),"Multiple Handguns")</f>
        <v>Multiple Handguns</v>
      </c>
      <c r="C818" s="5" t="str">
        <f ca="1">IFERROR(__xludf.DUMMYFUNCTION("""COMPUTED_VALUE"""),"Unknown")</f>
        <v>Unknown</v>
      </c>
      <c r="D818" s="5"/>
    </row>
    <row r="819" spans="1:4" ht="13">
      <c r="A819" s="5" t="str">
        <f ca="1">IFERROR(__xludf.DUMMYFUNCTION("""COMPUTED_VALUE"""),"20190430VACDW")</f>
        <v>20190430VACDW</v>
      </c>
      <c r="B819" s="5" t="str">
        <f ca="1">IFERROR(__xludf.DUMMYFUNCTION("""COMPUTED_VALUE"""),"Handgun")</f>
        <v>Handgun</v>
      </c>
      <c r="C819" s="5" t="str">
        <f ca="1">IFERROR(__xludf.DUMMYFUNCTION("""COMPUTED_VALUE"""),"Unknown")</f>
        <v>Unknown</v>
      </c>
      <c r="D819" s="5"/>
    </row>
    <row r="820" spans="1:4" ht="13">
      <c r="A820" s="5" t="str">
        <f ca="1">IFERROR(__xludf.DUMMYFUNCTION("""COMPUTED_VALUE"""),"20190430FLWEW")</f>
        <v>20190430FLWEW</v>
      </c>
      <c r="B820" s="5" t="str">
        <f ca="1">IFERROR(__xludf.DUMMYFUNCTION("""COMPUTED_VALUE"""),"Handgun")</f>
        <v>Handgun</v>
      </c>
      <c r="C820" s="5" t="str">
        <f ca="1">IFERROR(__xludf.DUMMYFUNCTION("""COMPUTED_VALUE"""),"Service Weapon")</f>
        <v>Service Weapon</v>
      </c>
      <c r="D820" s="5"/>
    </row>
    <row r="821" spans="1:4" ht="13">
      <c r="A821" s="5" t="str">
        <f ca="1">IFERROR(__xludf.DUMMYFUNCTION("""COMPUTED_VALUE"""),"20190426GACRF")</f>
        <v>20190426GACRF</v>
      </c>
      <c r="B821" s="5" t="str">
        <f ca="1">IFERROR(__xludf.DUMMYFUNCTION("""COMPUTED_VALUE"""),"Handgun")</f>
        <v>Handgun</v>
      </c>
      <c r="C821" s="5" t="str">
        <f ca="1">IFERROR(__xludf.DUMMYFUNCTION("""COMPUTED_VALUE"""),"Unknown")</f>
        <v>Unknown</v>
      </c>
      <c r="D821" s="5"/>
    </row>
    <row r="822" spans="1:4" ht="13">
      <c r="A822" s="5" t="str">
        <f ca="1">IFERROR(__xludf.DUMMYFUNCTION("""COMPUTED_VALUE"""),"20190425GAWYS")</f>
        <v>20190425GAWYS</v>
      </c>
      <c r="B822" s="5" t="str">
        <f ca="1">IFERROR(__xludf.DUMMYFUNCTION("""COMPUTED_VALUE"""),"Handgun")</f>
        <v>Handgun</v>
      </c>
      <c r="C822" s="5" t="str">
        <f ca="1">IFERROR(__xludf.DUMMYFUNCTION("""COMPUTED_VALUE"""),"BB")</f>
        <v>BB</v>
      </c>
      <c r="D822" s="5"/>
    </row>
    <row r="823" spans="1:4" ht="13">
      <c r="A823" s="5" t="str">
        <f ca="1">IFERROR(__xludf.DUMMYFUNCTION("""COMPUTED_VALUE"""),"20190424ARCOC")</f>
        <v>20190424ARCOC</v>
      </c>
      <c r="B823" s="5" t="str">
        <f ca="1">IFERROR(__xludf.DUMMYFUNCTION("""COMPUTED_VALUE"""),"Handgun")</f>
        <v>Handgun</v>
      </c>
      <c r="C823" s="5" t="str">
        <f ca="1">IFERROR(__xludf.DUMMYFUNCTION("""COMPUTED_VALUE"""),"Unknown")</f>
        <v>Unknown</v>
      </c>
      <c r="D823" s="5"/>
    </row>
    <row r="824" spans="1:4" ht="13">
      <c r="A824" s="5" t="str">
        <f ca="1">IFERROR(__xludf.DUMMYFUNCTION("""COMPUTED_VALUE"""),"20190417ILWAL")</f>
        <v>20190417ILWAL</v>
      </c>
      <c r="B824" s="5" t="str">
        <f ca="1">IFERROR(__xludf.DUMMYFUNCTION("""COMPUTED_VALUE"""),"Handgun")</f>
        <v>Handgun</v>
      </c>
      <c r="C824" s="5" t="str">
        <f ca="1">IFERROR(__xludf.DUMMYFUNCTION("""COMPUTED_VALUE"""),"Unknown")</f>
        <v>Unknown</v>
      </c>
      <c r="D824" s="5"/>
    </row>
    <row r="825" spans="1:4" ht="13">
      <c r="A825" s="5" t="str">
        <f ca="1">IFERROR(__xludf.DUMMYFUNCTION("""COMPUTED_VALUE"""),"20190410TXROH")</f>
        <v>20190410TXROH</v>
      </c>
      <c r="B825" s="5" t="str">
        <f ca="1">IFERROR(__xludf.DUMMYFUNCTION("""COMPUTED_VALUE"""),"Multiple Unknown")</f>
        <v>Multiple Unknown</v>
      </c>
      <c r="C825" s="5" t="str">
        <f ca="1">IFERROR(__xludf.DUMMYFUNCTION("""COMPUTED_VALUE"""),"Unknown")</f>
        <v>Unknown</v>
      </c>
      <c r="D825" s="5"/>
    </row>
    <row r="826" spans="1:4" ht="13">
      <c r="A826" s="5" t="str">
        <f ca="1">IFERROR(__xludf.DUMMYFUNCTION("""COMPUTED_VALUE"""),"20190407MAHOL")</f>
        <v>20190407MAHOL</v>
      </c>
      <c r="B826" s="5" t="str">
        <f ca="1">IFERROR(__xludf.DUMMYFUNCTION("""COMPUTED_VALUE"""),"No Data")</f>
        <v>No Data</v>
      </c>
      <c r="C826" s="5"/>
      <c r="D826" s="5"/>
    </row>
    <row r="827" spans="1:4" ht="13">
      <c r="A827" s="5" t="str">
        <f ca="1">IFERROR(__xludf.DUMMYFUNCTION("""COMPUTED_VALUE"""),"20190405WISTM")</f>
        <v>20190405WISTM</v>
      </c>
      <c r="B827" s="5" t="str">
        <f ca="1">IFERROR(__xludf.DUMMYFUNCTION("""COMPUTED_VALUE"""),"Handgun")</f>
        <v>Handgun</v>
      </c>
      <c r="C827" s="5" t="str">
        <f ca="1">IFERROR(__xludf.DUMMYFUNCTION("""COMPUTED_VALUE"""),"Unknown")</f>
        <v>Unknown</v>
      </c>
      <c r="D827" s="5"/>
    </row>
    <row r="828" spans="1:4" ht="13">
      <c r="A828" s="5" t="str">
        <f ca="1">IFERROR(__xludf.DUMMYFUNCTION("""COMPUTED_VALUE"""),"20190403FLSAJ")</f>
        <v>20190403FLSAJ</v>
      </c>
      <c r="B828" s="5" t="str">
        <f ca="1">IFERROR(__xludf.DUMMYFUNCTION("""COMPUTED_VALUE"""),"No Data")</f>
        <v>No Data</v>
      </c>
      <c r="C828" s="5"/>
      <c r="D828" s="5"/>
    </row>
    <row r="829" spans="1:4" ht="13">
      <c r="A829" s="5" t="str">
        <f ca="1">IFERROR(__xludf.DUMMYFUNCTION("""COMPUTED_VALUE"""),"20190403COAUA")</f>
        <v>20190403COAUA</v>
      </c>
      <c r="B829" s="5" t="str">
        <f ca="1">IFERROR(__xludf.DUMMYFUNCTION("""COMPUTED_VALUE"""),"Handgun")</f>
        <v>Handgun</v>
      </c>
      <c r="C829" s="5" t="str">
        <f ca="1">IFERROR(__xludf.DUMMYFUNCTION("""COMPUTED_VALUE"""),"Unknown")</f>
        <v>Unknown</v>
      </c>
      <c r="D829" s="5"/>
    </row>
    <row r="830" spans="1:4" ht="13">
      <c r="A830" s="5" t="str">
        <f ca="1">IFERROR(__xludf.DUMMYFUNCTION("""COMPUTED_VALUE"""),"20190401ARPRP")</f>
        <v>20190401ARPRP</v>
      </c>
      <c r="B830" s="5" t="str">
        <f ca="1">IFERROR(__xludf.DUMMYFUNCTION("""COMPUTED_VALUE"""),"Handgun")</f>
        <v>Handgun</v>
      </c>
      <c r="C830" s="5" t="str">
        <f ca="1">IFERROR(__xludf.DUMMYFUNCTION("""COMPUTED_VALUE"""),"Unknown")</f>
        <v>Unknown</v>
      </c>
      <c r="D830" s="5"/>
    </row>
    <row r="831" spans="1:4" ht="13">
      <c r="A831" s="5" t="str">
        <f ca="1">IFERROR(__xludf.DUMMYFUNCTION("""COMPUTED_VALUE"""),"20190327MSSVH")</f>
        <v>20190327MSSVH</v>
      </c>
      <c r="B831" s="5" t="str">
        <f ca="1">IFERROR(__xludf.DUMMYFUNCTION("""COMPUTED_VALUE"""),"Handgun")</f>
        <v>Handgun</v>
      </c>
      <c r="C831" s="5" t="str">
        <f ca="1">IFERROR(__xludf.DUMMYFUNCTION("""COMPUTED_VALUE"""),"Unknown")</f>
        <v>Unknown</v>
      </c>
      <c r="D831" s="5"/>
    </row>
    <row r="832" spans="1:4" ht="13">
      <c r="A832" s="5" t="str">
        <f ca="1">IFERROR(__xludf.DUMMYFUNCTION("""COMPUTED_VALUE"""),"20190327FLMAJ")</f>
        <v>20190327FLMAJ</v>
      </c>
      <c r="B832" s="5" t="str">
        <f ca="1">IFERROR(__xludf.DUMMYFUNCTION("""COMPUTED_VALUE"""),"Other")</f>
        <v>Other</v>
      </c>
      <c r="C832" s="5" t="str">
        <f ca="1">IFERROR(__xludf.DUMMYFUNCTION("""COMPUTED_VALUE"""),"BB")</f>
        <v>BB</v>
      </c>
      <c r="D832" s="5"/>
    </row>
    <row r="833" spans="1:4" ht="13">
      <c r="A833" s="5" t="str">
        <f ca="1">IFERROR(__xludf.DUMMYFUNCTION("""COMPUTED_VALUE"""),"20190322ALBLB")</f>
        <v>20190322ALBLB</v>
      </c>
      <c r="B833" s="5" t="str">
        <f ca="1">IFERROR(__xludf.DUMMYFUNCTION("""COMPUTED_VALUE"""),"Handgun")</f>
        <v>Handgun</v>
      </c>
      <c r="C833" s="5" t="str">
        <f ca="1">IFERROR(__xludf.DUMMYFUNCTION("""COMPUTED_VALUE"""),"Unknown")</f>
        <v>Unknown</v>
      </c>
      <c r="D833" s="5"/>
    </row>
    <row r="834" spans="1:4" ht="13">
      <c r="A834" s="5" t="str">
        <f ca="1">IFERROR(__xludf.DUMMYFUNCTION("""COMPUTED_VALUE"""),"20190313FLLAO")</f>
        <v>20190313FLLAO</v>
      </c>
      <c r="B834" s="5" t="str">
        <f ca="1">IFERROR(__xludf.DUMMYFUNCTION("""COMPUTED_VALUE"""),"Handgun")</f>
        <v>Handgun</v>
      </c>
      <c r="C834" s="5" t="str">
        <f ca="1">IFERROR(__xludf.DUMMYFUNCTION("""COMPUTED_VALUE"""),"Unknown")</f>
        <v>Unknown</v>
      </c>
      <c r="D834" s="5"/>
    </row>
    <row r="835" spans="1:4" ht="13">
      <c r="A835" s="5" t="str">
        <f ca="1">IFERROR(__xludf.DUMMYFUNCTION("""COMPUTED_VALUE"""),"20190301KSHIM")</f>
        <v>20190301KSHIM</v>
      </c>
      <c r="B835" s="5" t="str">
        <f ca="1">IFERROR(__xludf.DUMMYFUNCTION("""COMPUTED_VALUE"""),"Handgun")</f>
        <v>Handgun</v>
      </c>
      <c r="C835" s="5" t="str">
        <f ca="1">IFERROR(__xludf.DUMMYFUNCTION("""COMPUTED_VALUE"""),"Unknown")</f>
        <v>Unknown</v>
      </c>
      <c r="D835" s="5"/>
    </row>
    <row r="836" spans="1:4" ht="13">
      <c r="A836" s="5" t="str">
        <f ca="1">IFERROR(__xludf.DUMMYFUNCTION("""COMPUTED_VALUE"""),"20190226ALROM")</f>
        <v>20190226ALROM</v>
      </c>
      <c r="B836" s="5" t="str">
        <f ca="1">IFERROR(__xludf.DUMMYFUNCTION("""COMPUTED_VALUE"""),"Handgun")</f>
        <v>Handgun</v>
      </c>
      <c r="C836" s="5" t="str">
        <f ca="1">IFERROR(__xludf.DUMMYFUNCTION("""COMPUTED_VALUE"""),"Unknown")</f>
        <v>Unknown</v>
      </c>
      <c r="D836" s="5"/>
    </row>
    <row r="837" spans="1:4" ht="13">
      <c r="A837" s="5" t="str">
        <f ca="1">IFERROR(__xludf.DUMMYFUNCTION("""COMPUTED_VALUE"""),"20190217COEAA")</f>
        <v>20190217COEAA</v>
      </c>
      <c r="B837" s="5" t="str">
        <f ca="1">IFERROR(__xludf.DUMMYFUNCTION("""COMPUTED_VALUE"""),"Handgun")</f>
        <v>Handgun</v>
      </c>
      <c r="C837" s="5" t="str">
        <f ca="1">IFERROR(__xludf.DUMMYFUNCTION("""COMPUTED_VALUE"""),"Unknown")</f>
        <v>Unknown</v>
      </c>
      <c r="D837" s="5"/>
    </row>
    <row r="838" spans="1:4" ht="13">
      <c r="A838" s="5" t="str">
        <f ca="1">IFERROR(__xludf.DUMMYFUNCTION("""COMPUTED_VALUE"""),"20190214NMV.R")</f>
        <v>20190214NMV.R</v>
      </c>
      <c r="B838" s="5" t="str">
        <f ca="1">IFERROR(__xludf.DUMMYFUNCTION("""COMPUTED_VALUE"""),"Handgun")</f>
        <v>Handgun</v>
      </c>
      <c r="C838" s="5" t="str">
        <f ca="1">IFERROR(__xludf.DUMMYFUNCTION("""COMPUTED_VALUE"""),"Unknown")</f>
        <v>Unknown</v>
      </c>
      <c r="D838" s="5"/>
    </row>
    <row r="839" spans="1:4" ht="13">
      <c r="A839" s="5" t="str">
        <f ca="1">IFERROR(__xludf.DUMMYFUNCTION("""COMPUTED_VALUE"""),"20190212MOCEK")</f>
        <v>20190212MOCEK</v>
      </c>
      <c r="B839" s="5" t="str">
        <f ca="1">IFERROR(__xludf.DUMMYFUNCTION("""COMPUTED_VALUE"""),"Handgun")</f>
        <v>Handgun</v>
      </c>
      <c r="C839" s="5" t="str">
        <f ca="1">IFERROR(__xludf.DUMMYFUNCTION("""COMPUTED_VALUE"""),"Unknown")</f>
        <v>Unknown</v>
      </c>
      <c r="D839" s="5"/>
    </row>
    <row r="840" spans="1:4" ht="13">
      <c r="A840" s="5" t="str">
        <f ca="1">IFERROR(__xludf.DUMMYFUNCTION("""COMPUTED_VALUE"""),"20190208MDFRB")</f>
        <v>20190208MDFRB</v>
      </c>
      <c r="B840" s="5" t="str">
        <f ca="1">IFERROR(__xludf.DUMMYFUNCTION("""COMPUTED_VALUE"""),"Handgun")</f>
        <v>Handgun</v>
      </c>
      <c r="C840" s="5" t="str">
        <f ca="1">IFERROR(__xludf.DUMMYFUNCTION("""COMPUTED_VALUE"""),"Unknown")</f>
        <v>Unknown</v>
      </c>
      <c r="D840" s="5"/>
    </row>
    <row r="841" spans="1:4" ht="13">
      <c r="A841" s="5" t="str">
        <f ca="1">IFERROR(__xludf.DUMMYFUNCTION("""COMPUTED_VALUE"""),"20190205MNMIM")</f>
        <v>20190205MNMIM</v>
      </c>
      <c r="B841" s="5" t="str">
        <f ca="1">IFERROR(__xludf.DUMMYFUNCTION("""COMPUTED_VALUE"""),"Handgun")</f>
        <v>Handgun</v>
      </c>
      <c r="C841" s="5" t="str">
        <f ca="1">IFERROR(__xludf.DUMMYFUNCTION("""COMPUTED_VALUE"""),"Unknown")</f>
        <v>Unknown</v>
      </c>
      <c r="D841" s="5"/>
    </row>
    <row r="842" spans="1:4" ht="13">
      <c r="A842" s="5" t="str">
        <f ca="1">IFERROR(__xludf.DUMMYFUNCTION("""COMPUTED_VALUE"""),"20190131TXATA")</f>
        <v>20190131TXATA</v>
      </c>
      <c r="B842" s="5" t="str">
        <f ca="1">IFERROR(__xludf.DUMMYFUNCTION("""COMPUTED_VALUE"""),"Handgun")</f>
        <v>Handgun</v>
      </c>
      <c r="C842" s="5" t="str">
        <f ca="1">IFERROR(__xludf.DUMMYFUNCTION("""COMPUTED_VALUE"""),"Unknown")</f>
        <v>Unknown</v>
      </c>
      <c r="D842" s="5"/>
    </row>
    <row r="843" spans="1:4" ht="13">
      <c r="A843" s="5" t="str">
        <f ca="1">IFERROR(__xludf.DUMMYFUNCTION("""COMPUTED_VALUE"""),"20190131TNMAM")</f>
        <v>20190131TNMAM</v>
      </c>
      <c r="B843" s="5" t="str">
        <f ca="1">IFERROR(__xludf.DUMMYFUNCTION("""COMPUTED_VALUE"""),"Other")</f>
        <v>Other</v>
      </c>
      <c r="C843" s="5" t="str">
        <f ca="1">IFERROR(__xludf.DUMMYFUNCTION("""COMPUTED_VALUE"""),"Pellet")</f>
        <v>Pellet</v>
      </c>
      <c r="D843" s="5"/>
    </row>
    <row r="844" spans="1:4" ht="13">
      <c r="A844" s="5" t="str">
        <f ca="1">IFERROR(__xludf.DUMMYFUNCTION("""COMPUTED_VALUE"""),"20190130GAMIL")</f>
        <v>20190130GAMIL</v>
      </c>
      <c r="B844" s="5" t="str">
        <f ca="1">IFERROR(__xludf.DUMMYFUNCTION("""COMPUTED_VALUE"""),"Handgun")</f>
        <v>Handgun</v>
      </c>
      <c r="C844" s="5" t="str">
        <f ca="1">IFERROR(__xludf.DUMMYFUNCTION("""COMPUTED_VALUE"""),"Unknown")</f>
        <v>Unknown</v>
      </c>
      <c r="D844" s="5"/>
    </row>
    <row r="845" spans="1:4" ht="13">
      <c r="A845" s="5" t="str">
        <f ca="1">IFERROR(__xludf.DUMMYFUNCTION("""COMPUTED_VALUE"""),"20190127NVRER")</f>
        <v>20190127NVRER</v>
      </c>
      <c r="B845" s="5" t="str">
        <f ca="1">IFERROR(__xludf.DUMMYFUNCTION("""COMPUTED_VALUE"""),"Handgun")</f>
        <v>Handgun</v>
      </c>
      <c r="C845" s="5"/>
      <c r="D845" s="5" t="str">
        <f ca="1">IFERROR(__xludf.DUMMYFUNCTION("""COMPUTED_VALUE"""),"Stolen.")</f>
        <v>Stolen.</v>
      </c>
    </row>
    <row r="846" spans="1:4" ht="13">
      <c r="A846" s="5" t="str">
        <f ca="1">IFERROR(__xludf.DUMMYFUNCTION("""COMPUTED_VALUE"""),"20190125TNMAM")</f>
        <v>20190125TNMAM</v>
      </c>
      <c r="B846" s="5" t="str">
        <f ca="1">IFERROR(__xludf.DUMMYFUNCTION("""COMPUTED_VALUE"""),"Other")</f>
        <v>Other</v>
      </c>
      <c r="C846" s="5" t="str">
        <f ca="1">IFERROR(__xludf.DUMMYFUNCTION("""COMPUTED_VALUE"""),"BB")</f>
        <v>BB</v>
      </c>
      <c r="D846" s="5"/>
    </row>
    <row r="847" spans="1:4" ht="13">
      <c r="A847" s="5" t="str">
        <f ca="1">IFERROR(__xludf.DUMMYFUNCTION("""COMPUTED_VALUE"""),"20190125ALDAM")</f>
        <v>20190125ALDAM</v>
      </c>
      <c r="B847" s="5" t="str">
        <f ca="1">IFERROR(__xludf.DUMMYFUNCTION("""COMPUTED_VALUE"""),"Handgun")</f>
        <v>Handgun</v>
      </c>
      <c r="C847" s="5" t="str">
        <f ca="1">IFERROR(__xludf.DUMMYFUNCTION("""COMPUTED_VALUE"""),"Unknown")</f>
        <v>Unknown</v>
      </c>
      <c r="D847" s="5"/>
    </row>
    <row r="848" spans="1:4" ht="13">
      <c r="A848" s="5" t="str">
        <f ca="1">IFERROR(__xludf.DUMMYFUNCTION("""COMPUTED_VALUE"""),"20190123LASOS")</f>
        <v>20190123LASOS</v>
      </c>
      <c r="B848" s="5" t="str">
        <f ca="1">IFERROR(__xludf.DUMMYFUNCTION("""COMPUTED_VALUE"""),"No Data")</f>
        <v>No Data</v>
      </c>
      <c r="C848" s="5"/>
      <c r="D848" s="5"/>
    </row>
    <row r="849" spans="1:4" ht="13">
      <c r="A849" s="5" t="str">
        <f ca="1">IFERROR(__xludf.DUMMYFUNCTION("""COMPUTED_VALUE"""),"20190119KSLAO")</f>
        <v>20190119KSLAO</v>
      </c>
      <c r="B849" s="5" t="str">
        <f ca="1">IFERROR(__xludf.DUMMYFUNCTION("""COMPUTED_VALUE"""),"Shotgun")</f>
        <v>Shotgun</v>
      </c>
      <c r="C849" s="5" t="str">
        <f ca="1">IFERROR(__xludf.DUMMYFUNCTION("""COMPUTED_VALUE"""),"Unknown")</f>
        <v>Unknown</v>
      </c>
      <c r="D849" s="5"/>
    </row>
    <row r="850" spans="1:4" ht="13">
      <c r="A850" s="5" t="str">
        <f ca="1">IFERROR(__xludf.DUMMYFUNCTION("""COMPUTED_VALUE"""),"20190118NCSHD")</f>
        <v>20190118NCSHD</v>
      </c>
      <c r="B850" s="5" t="str">
        <f ca="1">IFERROR(__xludf.DUMMYFUNCTION("""COMPUTED_VALUE"""),"No Data")</f>
        <v>No Data</v>
      </c>
      <c r="C850" s="5"/>
      <c r="D850" s="5"/>
    </row>
    <row r="851" spans="1:4" ht="13">
      <c r="A851" s="5" t="str">
        <f ca="1">IFERROR(__xludf.DUMMYFUNCTION("""COMPUTED_VALUE"""),"20190118MOHAS")</f>
        <v>20190118MOHAS</v>
      </c>
      <c r="B851" s="5" t="str">
        <f ca="1">IFERROR(__xludf.DUMMYFUNCTION("""COMPUTED_VALUE"""),"Handgun")</f>
        <v>Handgun</v>
      </c>
      <c r="C851" s="5" t="str">
        <f ca="1">IFERROR(__xludf.DUMMYFUNCTION("""COMPUTED_VALUE"""),"Unknown")</f>
        <v>Unknown</v>
      </c>
      <c r="D851" s="5"/>
    </row>
    <row r="852" spans="1:4" ht="13">
      <c r="A852" s="5" t="str">
        <f ca="1">IFERROR(__xludf.DUMMYFUNCTION("""COMPUTED_VALUE"""),"20190118ALCET")</f>
        <v>20190118ALCET</v>
      </c>
      <c r="B852" s="5" t="str">
        <f ca="1">IFERROR(__xludf.DUMMYFUNCTION("""COMPUTED_VALUE"""),"Handgun")</f>
        <v>Handgun</v>
      </c>
      <c r="C852" s="5" t="str">
        <f ca="1">IFERROR(__xludf.DUMMYFUNCTION("""COMPUTED_VALUE"""),"Unknown")</f>
        <v>Unknown</v>
      </c>
      <c r="D852" s="5"/>
    </row>
    <row r="853" spans="1:4" ht="13">
      <c r="A853" s="5" t="str">
        <f ca="1">IFERROR(__xludf.DUMMYFUNCTION("""COMPUTED_VALUE"""),"20190111ORCAE")</f>
        <v>20190111ORCAE</v>
      </c>
      <c r="B853" s="5" t="str">
        <f ca="1">IFERROR(__xludf.DUMMYFUNCTION("""COMPUTED_VALUE"""),"Handgun")</f>
        <v>Handgun</v>
      </c>
      <c r="C853" s="5" t="str">
        <f ca="1">IFERROR(__xludf.DUMMYFUNCTION("""COMPUTED_VALUE"""),"Unknown")</f>
        <v>Unknown</v>
      </c>
      <c r="D853" s="5"/>
    </row>
    <row r="854" spans="1:4" ht="13">
      <c r="A854" s="5" t="str">
        <f ca="1">IFERROR(__xludf.DUMMYFUNCTION("""COMPUTED_VALUE"""),"20190107CACEB")</f>
        <v>20190107CACEB</v>
      </c>
      <c r="B854" s="5" t="str">
        <f ca="1">IFERROR(__xludf.DUMMYFUNCTION("""COMPUTED_VALUE"""),"No Data")</f>
        <v>No Data</v>
      </c>
      <c r="C854" s="5"/>
      <c r="D854" s="5"/>
    </row>
    <row r="855" spans="1:4" ht="13">
      <c r="A855" s="5" t="str">
        <f ca="1">IFERROR(__xludf.DUMMYFUNCTION("""COMPUTED_VALUE"""),"20181218DEAIG")</f>
        <v>20181218DEAIG</v>
      </c>
      <c r="B855" s="5" t="str">
        <f ca="1">IFERROR(__xludf.DUMMYFUNCTION("""COMPUTED_VALUE"""),"Handgun")</f>
        <v>Handgun</v>
      </c>
      <c r="C855" s="5" t="str">
        <f ca="1">IFERROR(__xludf.DUMMYFUNCTION("""COMPUTED_VALUE"""),"Unknown")</f>
        <v>Unknown</v>
      </c>
      <c r="D855" s="5"/>
    </row>
    <row r="856" spans="1:4" ht="13">
      <c r="A856" s="5" t="str">
        <f ca="1">IFERROR(__xludf.DUMMYFUNCTION("""COMPUTED_VALUE"""),"20181214MOWIK")</f>
        <v>20181214MOWIK</v>
      </c>
      <c r="B856" s="5" t="str">
        <f ca="1">IFERROR(__xludf.DUMMYFUNCTION("""COMPUTED_VALUE"""),"Handgun")</f>
        <v>Handgun</v>
      </c>
      <c r="C856" s="5" t="str">
        <f ca="1">IFERROR(__xludf.DUMMYFUNCTION("""COMPUTED_VALUE"""),"Unknown")</f>
        <v>Unknown</v>
      </c>
      <c r="D856" s="5"/>
    </row>
    <row r="857" spans="1:4" ht="13">
      <c r="A857" s="5" t="str">
        <f ca="1">IFERROR(__xludf.DUMMYFUNCTION("""COMPUTED_VALUE"""),"20181213INDER")</f>
        <v>20181213INDER</v>
      </c>
      <c r="B857" s="5" t="str">
        <f ca="1">IFERROR(__xludf.DUMMYFUNCTION("""COMPUTED_VALUE"""),"Handgun")</f>
        <v>Handgun</v>
      </c>
      <c r="C857" s="5" t="str">
        <f ca="1">IFERROR(__xludf.DUMMYFUNCTION("""COMPUTED_VALUE"""),".45 caliber")</f>
        <v>.45 caliber</v>
      </c>
      <c r="D857" s="5" t="str">
        <f ca="1">IFERROR(__xludf.DUMMYFUNCTION("""COMPUTED_VALUE"""),".223 rifle, .45 handgun")</f>
        <v>.223 rifle, .45 handgun</v>
      </c>
    </row>
    <row r="858" spans="1:4" ht="13">
      <c r="A858" s="5" t="str">
        <f ca="1">IFERROR(__xludf.DUMMYFUNCTION("""COMPUTED_VALUE"""),"20181213INDER")</f>
        <v>20181213INDER</v>
      </c>
      <c r="B858" s="5" t="str">
        <f ca="1">IFERROR(__xludf.DUMMYFUNCTION("""COMPUTED_VALUE"""),"Rifle")</f>
        <v>Rifle</v>
      </c>
      <c r="C858" s="5" t="str">
        <f ca="1">IFERROR(__xludf.DUMMYFUNCTION("""COMPUTED_VALUE"""),".223 caliber")</f>
        <v>.223 caliber</v>
      </c>
      <c r="D858" s="5" t="str">
        <f ca="1">IFERROR(__xludf.DUMMYFUNCTION("""COMPUTED_VALUE"""),".223 rifle, .45 handgun")</f>
        <v>.223 rifle, .45 handgun</v>
      </c>
    </row>
    <row r="859" spans="1:4" ht="13">
      <c r="A859" s="5" t="str">
        <f ca="1">IFERROR(__xludf.DUMMYFUNCTION("""COMPUTED_VALUE"""),"20181211KYCAC")</f>
        <v>20181211KYCAC</v>
      </c>
      <c r="B859" s="5" t="str">
        <f ca="1">IFERROR(__xludf.DUMMYFUNCTION("""COMPUTED_VALUE"""),"Other")</f>
        <v>Other</v>
      </c>
      <c r="C859" s="5" t="str">
        <f ca="1">IFERROR(__xludf.DUMMYFUNCTION("""COMPUTED_VALUE"""),"Pellet")</f>
        <v>Pellet</v>
      </c>
      <c r="D859" s="5"/>
    </row>
    <row r="860" spans="1:4" ht="13">
      <c r="A860" s="5" t="str">
        <f ca="1">IFERROR(__xludf.DUMMYFUNCTION("""COMPUTED_VALUE"""),"20181210NYJEJ")</f>
        <v>20181210NYJEJ</v>
      </c>
      <c r="B860" s="5" t="str">
        <f ca="1">IFERROR(__xludf.DUMMYFUNCTION("""COMPUTED_VALUE"""),"Handgun")</f>
        <v>Handgun</v>
      </c>
      <c r="C860" s="5" t="str">
        <f ca="1">IFERROR(__xludf.DUMMYFUNCTION("""COMPUTED_VALUE"""),"Unknown")</f>
        <v>Unknown</v>
      </c>
      <c r="D860" s="5"/>
    </row>
    <row r="861" spans="1:4" ht="13">
      <c r="A861" s="5" t="str">
        <f ca="1">IFERROR(__xludf.DUMMYFUNCTION("""COMPUTED_VALUE"""),"20181128PASTP")</f>
        <v>20181128PASTP</v>
      </c>
      <c r="B861" s="5" t="str">
        <f ca="1">IFERROR(__xludf.DUMMYFUNCTION("""COMPUTED_VALUE"""),"No Data")</f>
        <v>No Data</v>
      </c>
      <c r="C861" s="5"/>
      <c r="D861" s="5"/>
    </row>
    <row r="862" spans="1:4" ht="13">
      <c r="A862" s="5" t="str">
        <f ca="1">IFERROR(__xludf.DUMMYFUNCTION("""COMPUTED_VALUE"""),"20181124OHAFC")</f>
        <v>20181124OHAFC</v>
      </c>
      <c r="B862" s="5" t="str">
        <f ca="1">IFERROR(__xludf.DUMMYFUNCTION("""COMPUTED_VALUE"""),"Handgun")</f>
        <v>Handgun</v>
      </c>
      <c r="C862" s="5" t="str">
        <f ca="1">IFERROR(__xludf.DUMMYFUNCTION("""COMPUTED_VALUE"""),"Unknown")</f>
        <v>Unknown</v>
      </c>
      <c r="D862" s="5"/>
    </row>
    <row r="863" spans="1:4" ht="13">
      <c r="A863" s="5" t="str">
        <f ca="1">IFERROR(__xludf.DUMMYFUNCTION("""COMPUTED_VALUE"""),"20181122WAMOD")</f>
        <v>20181122WAMOD</v>
      </c>
      <c r="B863" s="5" t="str">
        <f ca="1">IFERROR(__xludf.DUMMYFUNCTION("""COMPUTED_VALUE"""),"Handgun")</f>
        <v>Handgun</v>
      </c>
      <c r="C863" s="5" t="str">
        <f ca="1">IFERROR(__xludf.DUMMYFUNCTION("""COMPUTED_VALUE"""),"Unknown")</f>
        <v>Unknown</v>
      </c>
      <c r="D863" s="5"/>
    </row>
    <row r="864" spans="1:4" ht="13">
      <c r="A864" s="5" t="str">
        <f ca="1">IFERROR(__xludf.DUMMYFUNCTION("""COMPUTED_VALUE"""),"20181122TXSKD")</f>
        <v>20181122TXSKD</v>
      </c>
      <c r="B864" s="5" t="str">
        <f ca="1">IFERROR(__xludf.DUMMYFUNCTION("""COMPUTED_VALUE"""),"Handgun")</f>
        <v>Handgun</v>
      </c>
      <c r="C864" s="5" t="str">
        <f ca="1">IFERROR(__xludf.DUMMYFUNCTION("""COMPUTED_VALUE"""),"Unknown")</f>
        <v>Unknown</v>
      </c>
      <c r="D864" s="5"/>
    </row>
    <row r="865" spans="1:4" ht="13">
      <c r="A865" s="5" t="str">
        <f ca="1">IFERROR(__xludf.DUMMYFUNCTION("""COMPUTED_VALUE"""),"20181121MIPEP")</f>
        <v>20181121MIPEP</v>
      </c>
      <c r="B865" s="5" t="str">
        <f ca="1">IFERROR(__xludf.DUMMYFUNCTION("""COMPUTED_VALUE"""),"Other")</f>
        <v>Other</v>
      </c>
      <c r="C865" s="5" t="str">
        <f ca="1">IFERROR(__xludf.DUMMYFUNCTION("""COMPUTED_VALUE"""),"BB")</f>
        <v>BB</v>
      </c>
      <c r="D865" s="5"/>
    </row>
    <row r="866" spans="1:4" ht="13">
      <c r="A866" s="5" t="str">
        <f ca="1">IFERROR(__xludf.DUMMYFUNCTION("""COMPUTED_VALUE"""),"20181120VASIP")</f>
        <v>20181120VASIP</v>
      </c>
      <c r="B866" s="5" t="str">
        <f ca="1">IFERROR(__xludf.DUMMYFUNCTION("""COMPUTED_VALUE"""),"Handgun")</f>
        <v>Handgun</v>
      </c>
      <c r="C866" s="5" t="str">
        <f ca="1">IFERROR(__xludf.DUMMYFUNCTION("""COMPUTED_VALUE"""),"Unknown")</f>
        <v>Unknown</v>
      </c>
      <c r="D866" s="5"/>
    </row>
    <row r="867" spans="1:4" ht="13">
      <c r="A867" s="5" t="str">
        <f ca="1">IFERROR(__xludf.DUMMYFUNCTION("""COMPUTED_VALUE"""),"20181112MDEAE")</f>
        <v>20181112MDEAE</v>
      </c>
      <c r="B867" s="5" t="str">
        <f ca="1">IFERROR(__xludf.DUMMYFUNCTION("""COMPUTED_VALUE"""),"Handgun")</f>
        <v>Handgun</v>
      </c>
      <c r="C867" s="5" t="str">
        <f ca="1">IFERROR(__xludf.DUMMYFUNCTION("""COMPUTED_VALUE"""),"Service Weapon")</f>
        <v>Service Weapon</v>
      </c>
      <c r="D867" s="5"/>
    </row>
    <row r="868" spans="1:4" ht="13">
      <c r="A868" s="5" t="str">
        <f ca="1">IFERROR(__xludf.DUMMYFUNCTION("""COMPUTED_VALUE"""),"20181109GAGAM")</f>
        <v>20181109GAGAM</v>
      </c>
      <c r="B868" s="5" t="str">
        <f ca="1">IFERROR(__xludf.DUMMYFUNCTION("""COMPUTED_VALUE"""),"Handgun")</f>
        <v>Handgun</v>
      </c>
      <c r="C868" s="5" t="str">
        <f ca="1">IFERROR(__xludf.DUMMYFUNCTION("""COMPUTED_VALUE"""),"Unknown")</f>
        <v>Unknown</v>
      </c>
      <c r="D868" s="5"/>
    </row>
    <row r="869" spans="1:4" ht="13">
      <c r="A869" s="5" t="str">
        <f ca="1">IFERROR(__xludf.DUMMYFUNCTION("""COMPUTED_VALUE"""),"20181108CACLS")</f>
        <v>20181108CACLS</v>
      </c>
      <c r="B869" s="5" t="str">
        <f ca="1">IFERROR(__xludf.DUMMYFUNCTION("""COMPUTED_VALUE"""),"No Data")</f>
        <v>No Data</v>
      </c>
      <c r="C869" s="5"/>
      <c r="D869" s="5"/>
    </row>
    <row r="870" spans="1:4" ht="13">
      <c r="A870" s="5" t="str">
        <f ca="1">IFERROR(__xludf.DUMMYFUNCTION("""COMPUTED_VALUE"""),"20181105SCACC")</f>
        <v>20181105SCACC</v>
      </c>
      <c r="B870" s="5" t="str">
        <f ca="1">IFERROR(__xludf.DUMMYFUNCTION("""COMPUTED_VALUE"""),"Other")</f>
        <v>Other</v>
      </c>
      <c r="C870" s="5" t="str">
        <f ca="1">IFERROR(__xludf.DUMMYFUNCTION("""COMPUTED_VALUE"""),"BB")</f>
        <v>BB</v>
      </c>
      <c r="D870" s="5"/>
    </row>
    <row r="871" spans="1:4" ht="13">
      <c r="A871" s="5" t="str">
        <f ca="1">IFERROR(__xludf.DUMMYFUNCTION("""COMPUTED_VALUE"""),"20181104KYCRL")</f>
        <v>20181104KYCRL</v>
      </c>
      <c r="B871" s="5" t="str">
        <f ca="1">IFERROR(__xludf.DUMMYFUNCTION("""COMPUTED_VALUE"""),"Handgun")</f>
        <v>Handgun</v>
      </c>
      <c r="C871" s="5" t="str">
        <f ca="1">IFERROR(__xludf.DUMMYFUNCTION("""COMPUTED_VALUE"""),"Unknown")</f>
        <v>Unknown</v>
      </c>
      <c r="D871" s="5"/>
    </row>
    <row r="872" spans="1:4" ht="13">
      <c r="A872" s="5" t="str">
        <f ca="1">IFERROR(__xludf.DUMMYFUNCTION("""COMPUTED_VALUE"""),"20181029NCBUM")</f>
        <v>20181029NCBUM</v>
      </c>
      <c r="B872" s="5" t="str">
        <f ca="1">IFERROR(__xludf.DUMMYFUNCTION("""COMPUTED_VALUE"""),"Handgun")</f>
        <v>Handgun</v>
      </c>
      <c r="C872" s="5" t="str">
        <f ca="1">IFERROR(__xludf.DUMMYFUNCTION("""COMPUTED_VALUE"""),"Unknown")</f>
        <v>Unknown</v>
      </c>
      <c r="D872" s="5"/>
    </row>
    <row r="873" spans="1:4" ht="13">
      <c r="A873" s="5" t="str">
        <f ca="1">IFERROR(__xludf.DUMMYFUNCTION("""COMPUTED_VALUE"""),"20181026FLSAO")</f>
        <v>20181026FLSAO</v>
      </c>
      <c r="B873" s="5" t="str">
        <f ca="1">IFERROR(__xludf.DUMMYFUNCTION("""COMPUTED_VALUE"""),"Handgun")</f>
        <v>Handgun</v>
      </c>
      <c r="C873" s="5"/>
      <c r="D873" s="5"/>
    </row>
    <row r="874" spans="1:4" ht="13">
      <c r="A874" s="5" t="str">
        <f ca="1">IFERROR(__xludf.DUMMYFUNCTION("""COMPUTED_VALUE"""),"20181025MICOD")</f>
        <v>20181025MICOD</v>
      </c>
      <c r="B874" s="5" t="str">
        <f ca="1">IFERROR(__xludf.DUMMYFUNCTION("""COMPUTED_VALUE"""),"No Data")</f>
        <v>No Data</v>
      </c>
      <c r="C874" s="5"/>
      <c r="D874" s="5"/>
    </row>
    <row r="875" spans="1:4" ht="13">
      <c r="A875" s="5" t="str">
        <f ca="1">IFERROR(__xludf.DUMMYFUNCTION("""COMPUTED_VALUE"""),"20181023NHGOM")</f>
        <v>20181023NHGOM</v>
      </c>
      <c r="B875" s="5" t="str">
        <f ca="1">IFERROR(__xludf.DUMMYFUNCTION("""COMPUTED_VALUE"""),"Other")</f>
        <v>Other</v>
      </c>
      <c r="C875" s="5" t="str">
        <f ca="1">IFERROR(__xludf.DUMMYFUNCTION("""COMPUTED_VALUE"""),"Pellet")</f>
        <v>Pellet</v>
      </c>
      <c r="D875" s="5"/>
    </row>
    <row r="876" spans="1:4" ht="13">
      <c r="A876" s="5" t="str">
        <f ca="1">IFERROR(__xludf.DUMMYFUNCTION("""COMPUTED_VALUE"""),"20181022CTDUB")</f>
        <v>20181022CTDUB</v>
      </c>
      <c r="B876" s="5" t="str">
        <f ca="1">IFERROR(__xludf.DUMMYFUNCTION("""COMPUTED_VALUE"""),"Handgun")</f>
        <v>Handgun</v>
      </c>
      <c r="C876" s="5" t="str">
        <f ca="1">IFERROR(__xludf.DUMMYFUNCTION("""COMPUTED_VALUE"""),"Unknown")</f>
        <v>Unknown</v>
      </c>
      <c r="D876" s="5"/>
    </row>
    <row r="877" spans="1:4" ht="13">
      <c r="A877" s="5" t="str">
        <f ca="1">IFERROR(__xludf.DUMMYFUNCTION("""COMPUTED_VALUE"""),"20181020GASHS")</f>
        <v>20181020GASHS</v>
      </c>
      <c r="B877" s="5" t="str">
        <f ca="1">IFERROR(__xludf.DUMMYFUNCTION("""COMPUTED_VALUE"""),"Handgun")</f>
        <v>Handgun</v>
      </c>
      <c r="C877" s="5" t="str">
        <f ca="1">IFERROR(__xludf.DUMMYFUNCTION("""COMPUTED_VALUE"""),"Unknown")</f>
        <v>Unknown</v>
      </c>
      <c r="D877" s="5"/>
    </row>
    <row r="878" spans="1:4" ht="13">
      <c r="A878" s="5" t="str">
        <f ca="1">IFERROR(__xludf.DUMMYFUNCTION("""COMPUTED_VALUE"""),"20181013TNMCN")</f>
        <v>20181013TNMCN</v>
      </c>
      <c r="B878" s="5" t="str">
        <f ca="1">IFERROR(__xludf.DUMMYFUNCTION("""COMPUTED_VALUE"""),"No Data")</f>
        <v>No Data</v>
      </c>
      <c r="C878" s="5"/>
      <c r="D878" s="5"/>
    </row>
    <row r="879" spans="1:4" ht="13">
      <c r="A879" s="5" t="str">
        <f ca="1">IFERROR(__xludf.DUMMYFUNCTION("""COMPUTED_VALUE"""),"20181012MIBAB")</f>
        <v>20181012MIBAB</v>
      </c>
      <c r="B879" s="5" t="str">
        <f ca="1">IFERROR(__xludf.DUMMYFUNCTION("""COMPUTED_VALUE"""),"No Data")</f>
        <v>No Data</v>
      </c>
      <c r="C879" s="5"/>
      <c r="D879" s="5"/>
    </row>
    <row r="880" spans="1:4" ht="13">
      <c r="A880" s="5" t="str">
        <f ca="1">IFERROR(__xludf.DUMMYFUNCTION("""COMPUTED_VALUE"""),"20181007VAVAH")</f>
        <v>20181007VAVAH</v>
      </c>
      <c r="B880" s="5" t="str">
        <f ca="1">IFERROR(__xludf.DUMMYFUNCTION("""COMPUTED_VALUE"""),"Handgun")</f>
        <v>Handgun</v>
      </c>
      <c r="C880" s="5" t="str">
        <f ca="1">IFERROR(__xludf.DUMMYFUNCTION("""COMPUTED_VALUE"""),"Unknown")</f>
        <v>Unknown</v>
      </c>
      <c r="D880" s="5"/>
    </row>
    <row r="881" spans="1:4" ht="13">
      <c r="A881" s="5" t="str">
        <f ca="1">IFERROR(__xludf.DUMMYFUNCTION("""COMPUTED_VALUE"""),"20181005VALAN")</f>
        <v>20181005VALAN</v>
      </c>
      <c r="B881" s="5" t="str">
        <f ca="1">IFERROR(__xludf.DUMMYFUNCTION("""COMPUTED_VALUE"""),"Handgun")</f>
        <v>Handgun</v>
      </c>
      <c r="C881" s="5" t="str">
        <f ca="1">IFERROR(__xludf.DUMMYFUNCTION("""COMPUTED_VALUE"""),"Unknown")</f>
        <v>Unknown</v>
      </c>
      <c r="D881" s="5"/>
    </row>
    <row r="882" spans="1:4" ht="13">
      <c r="A882" s="5" t="str">
        <f ca="1">IFERROR(__xludf.DUMMYFUNCTION("""COMPUTED_VALUE"""),"20181005TNHAB")</f>
        <v>20181005TNHAB</v>
      </c>
      <c r="B882" s="5" t="str">
        <f ca="1">IFERROR(__xludf.DUMMYFUNCTION("""COMPUTED_VALUE"""),"Handgun")</f>
        <v>Handgun</v>
      </c>
      <c r="C882" s="5" t="str">
        <f ca="1">IFERROR(__xludf.DUMMYFUNCTION("""COMPUTED_VALUE"""),"Unknown")</f>
        <v>Unknown</v>
      </c>
      <c r="D882" s="5"/>
    </row>
    <row r="883" spans="1:4" ht="13">
      <c r="A883" s="5" t="str">
        <f ca="1">IFERROR(__xludf.DUMMYFUNCTION("""COMPUTED_VALUE"""),"20181004ORJAP")</f>
        <v>20181004ORJAP</v>
      </c>
      <c r="B883" s="5" t="str">
        <f ca="1">IFERROR(__xludf.DUMMYFUNCTION("""COMPUTED_VALUE"""),"Handgun")</f>
        <v>Handgun</v>
      </c>
      <c r="C883" s="5" t="str">
        <f ca="1">IFERROR(__xludf.DUMMYFUNCTION("""COMPUTED_VALUE"""),"Unknown")</f>
        <v>Unknown</v>
      </c>
      <c r="D883" s="5"/>
    </row>
    <row r="884" spans="1:4" ht="13">
      <c r="A884" s="5" t="str">
        <f ca="1">IFERROR(__xludf.DUMMYFUNCTION("""COMPUTED_VALUE"""),"20181003AKDEA")</f>
        <v>20181003AKDEA</v>
      </c>
      <c r="B884" s="5" t="str">
        <f ca="1">IFERROR(__xludf.DUMMYFUNCTION("""COMPUTED_VALUE"""),"Handgun")</f>
        <v>Handgun</v>
      </c>
      <c r="C884" s="5" t="str">
        <f ca="1">IFERROR(__xludf.DUMMYFUNCTION("""COMPUTED_VALUE"""),"Unknown")</f>
        <v>Unknown</v>
      </c>
      <c r="D884" s="5"/>
    </row>
    <row r="885" spans="1:4" ht="13">
      <c r="A885" s="5" t="str">
        <f ca="1">IFERROR(__xludf.DUMMYFUNCTION("""COMPUTED_VALUE"""),"20181002ARCHL")</f>
        <v>20181002ARCHL</v>
      </c>
      <c r="B885" s="5" t="str">
        <f ca="1">IFERROR(__xludf.DUMMYFUNCTION("""COMPUTED_VALUE"""),"Handgun")</f>
        <v>Handgun</v>
      </c>
      <c r="C885" s="5" t="str">
        <f ca="1">IFERROR(__xludf.DUMMYFUNCTION("""COMPUTED_VALUE"""),"Unknown")</f>
        <v>Unknown</v>
      </c>
      <c r="D885" s="5"/>
    </row>
    <row r="886" spans="1:4" ht="13">
      <c r="A886" s="5" t="str">
        <f ca="1">IFERROR(__xludf.DUMMYFUNCTION("""COMPUTED_VALUE"""),"20180928SDCHC")</f>
        <v>20180928SDCHC</v>
      </c>
      <c r="B886" s="5" t="str">
        <f ca="1">IFERROR(__xludf.DUMMYFUNCTION("""COMPUTED_VALUE"""),"Handgun")</f>
        <v>Handgun</v>
      </c>
      <c r="C886" s="5" t="str">
        <f ca="1">IFERROR(__xludf.DUMMYFUNCTION("""COMPUTED_VALUE"""),"Unknown")</f>
        <v>Unknown</v>
      </c>
      <c r="D886" s="5"/>
    </row>
    <row r="887" spans="1:4" ht="13">
      <c r="A887" s="5" t="str">
        <f ca="1">IFERROR(__xludf.DUMMYFUNCTION("""COMPUTED_VALUE"""),"20180927TXHEC")</f>
        <v>20180927TXHEC</v>
      </c>
      <c r="B887" s="5" t="str">
        <f ca="1">IFERROR(__xludf.DUMMYFUNCTION("""COMPUTED_VALUE"""),"Handgun")</f>
        <v>Handgun</v>
      </c>
      <c r="C887" s="5" t="str">
        <f ca="1">IFERROR(__xludf.DUMMYFUNCTION("""COMPUTED_VALUE"""),"Unknown")</f>
        <v>Unknown</v>
      </c>
      <c r="D887" s="5"/>
    </row>
    <row r="888" spans="1:4" ht="13">
      <c r="A888" s="5" t="str">
        <f ca="1">IFERROR(__xludf.DUMMYFUNCTION("""COMPUTED_VALUE"""),"20180926MDMAB")</f>
        <v>20180926MDMAB</v>
      </c>
      <c r="B888" s="5" t="str">
        <f ca="1">IFERROR(__xludf.DUMMYFUNCTION("""COMPUTED_VALUE"""),"Handgun")</f>
        <v>Handgun</v>
      </c>
      <c r="C888" s="5" t="str">
        <f ca="1">IFERROR(__xludf.DUMMYFUNCTION("""COMPUTED_VALUE"""),"Unknown")</f>
        <v>Unknown</v>
      </c>
      <c r="D888" s="5"/>
    </row>
    <row r="889" spans="1:4" ht="13">
      <c r="A889" s="5" t="str">
        <f ca="1">IFERROR(__xludf.DUMMYFUNCTION("""COMPUTED_VALUE"""),"20180924PACEP")</f>
        <v>20180924PACEP</v>
      </c>
      <c r="B889" s="5" t="str">
        <f ca="1">IFERROR(__xludf.DUMMYFUNCTION("""COMPUTED_VALUE"""),"Handgun")</f>
        <v>Handgun</v>
      </c>
      <c r="C889" s="5" t="str">
        <f ca="1">IFERROR(__xludf.DUMMYFUNCTION("""COMPUTED_VALUE"""),"Unknown")</f>
        <v>Unknown</v>
      </c>
      <c r="D889" s="5"/>
    </row>
    <row r="890" spans="1:4" ht="13">
      <c r="A890" s="5" t="str">
        <f ca="1">IFERROR(__xludf.DUMMYFUNCTION("""COMPUTED_VALUE"""),"20180924NCLAC")</f>
        <v>20180924NCLAC</v>
      </c>
      <c r="B890" s="5" t="str">
        <f ca="1">IFERROR(__xludf.DUMMYFUNCTION("""COMPUTED_VALUE"""),"Handgun")</f>
        <v>Handgun</v>
      </c>
      <c r="C890" s="5" t="str">
        <f ca="1">IFERROR(__xludf.DUMMYFUNCTION("""COMPUTED_VALUE"""),"Unknown")</f>
        <v>Unknown</v>
      </c>
      <c r="D890" s="5"/>
    </row>
    <row r="891" spans="1:4" ht="13">
      <c r="A891" s="5" t="str">
        <f ca="1">IFERROR(__xludf.DUMMYFUNCTION("""COMPUTED_VALUE"""),"20180924GAAPB")</f>
        <v>20180924GAAPB</v>
      </c>
      <c r="B891" s="5" t="str">
        <f ca="1">IFERROR(__xludf.DUMMYFUNCTION("""COMPUTED_VALUE"""),"Handgun")</f>
        <v>Handgun</v>
      </c>
      <c r="C891" s="5" t="str">
        <f ca="1">IFERROR(__xludf.DUMMYFUNCTION("""COMPUTED_VALUE"""),"Unknown")</f>
        <v>Unknown</v>
      </c>
      <c r="D891" s="5"/>
    </row>
    <row r="892" spans="1:4" ht="13">
      <c r="A892" s="5" t="str">
        <f ca="1">IFERROR(__xludf.DUMMYFUNCTION("""COMPUTED_VALUE"""),"20180920CAPOP")</f>
        <v>20180920CAPOP</v>
      </c>
      <c r="B892" s="5" t="str">
        <f ca="1">IFERROR(__xludf.DUMMYFUNCTION("""COMPUTED_VALUE"""),"No Data")</f>
        <v>No Data</v>
      </c>
      <c r="C892" s="5"/>
      <c r="D892" s="5"/>
    </row>
    <row r="893" spans="1:4" ht="13">
      <c r="A893" s="5" t="str">
        <f ca="1">IFERROR(__xludf.DUMMYFUNCTION("""COMPUTED_VALUE"""),"20180920CACHL")</f>
        <v>20180920CACHL</v>
      </c>
      <c r="B893" s="5" t="str">
        <f ca="1">IFERROR(__xludf.DUMMYFUNCTION("""COMPUTED_VALUE"""),"Handgun")</f>
        <v>Handgun</v>
      </c>
      <c r="C893" s="5" t="str">
        <f ca="1">IFERROR(__xludf.DUMMYFUNCTION("""COMPUTED_VALUE"""),"Unknown")</f>
        <v>Unknown</v>
      </c>
      <c r="D893" s="5"/>
    </row>
    <row r="894" spans="1:4" ht="13">
      <c r="A894" s="5" t="str">
        <f ca="1">IFERROR(__xludf.DUMMYFUNCTION("""COMPUTED_VALUE"""),"20180917ALBLH")</f>
        <v>20180917ALBLH</v>
      </c>
      <c r="B894" s="5" t="str">
        <f ca="1">IFERROR(__xludf.DUMMYFUNCTION("""COMPUTED_VALUE"""),"Handgun")</f>
        <v>Handgun</v>
      </c>
      <c r="C894" s="5" t="str">
        <f ca="1">IFERROR(__xludf.DUMMYFUNCTION("""COMPUTED_VALUE"""),"Unknown")</f>
        <v>Unknown</v>
      </c>
      <c r="D894" s="5"/>
    </row>
    <row r="895" spans="1:4" ht="13">
      <c r="A895" s="5" t="str">
        <f ca="1">IFERROR(__xludf.DUMMYFUNCTION("""COMPUTED_VALUE"""),"20180914WAMAE")</f>
        <v>20180914WAMAE</v>
      </c>
      <c r="B895" s="5" t="str">
        <f ca="1">IFERROR(__xludf.DUMMYFUNCTION("""COMPUTED_VALUE"""),"Handgun")</f>
        <v>Handgun</v>
      </c>
      <c r="C895" s="5" t="str">
        <f ca="1">IFERROR(__xludf.DUMMYFUNCTION("""COMPUTED_VALUE"""),"Unknown")</f>
        <v>Unknown</v>
      </c>
      <c r="D895" s="5"/>
    </row>
    <row r="896" spans="1:4" ht="13">
      <c r="A896" s="5" t="str">
        <f ca="1">IFERROR(__xludf.DUMMYFUNCTION("""COMPUTED_VALUE"""),"20180914FLBOB")</f>
        <v>20180914FLBOB</v>
      </c>
      <c r="B896" s="5" t="str">
        <f ca="1">IFERROR(__xludf.DUMMYFUNCTION("""COMPUTED_VALUE"""),"Handgun")</f>
        <v>Handgun</v>
      </c>
      <c r="C896" s="5" t="str">
        <f ca="1">IFERROR(__xludf.DUMMYFUNCTION("""COMPUTED_VALUE"""),"Unknown")</f>
        <v>Unknown</v>
      </c>
      <c r="D896" s="5"/>
    </row>
    <row r="897" spans="1:4" ht="13">
      <c r="A897" s="5" t="str">
        <f ca="1">IFERROR(__xludf.DUMMYFUNCTION("""COMPUTED_VALUE"""),"20180911NVCAL")</f>
        <v>20180911NVCAL</v>
      </c>
      <c r="B897" s="5" t="str">
        <f ca="1">IFERROR(__xludf.DUMMYFUNCTION("""COMPUTED_VALUE"""),"Handgun")</f>
        <v>Handgun</v>
      </c>
      <c r="C897" s="5" t="str">
        <f ca="1">IFERROR(__xludf.DUMMYFUNCTION("""COMPUTED_VALUE"""),"Unknown")</f>
        <v>Unknown</v>
      </c>
      <c r="D897" s="5"/>
    </row>
    <row r="898" spans="1:4" ht="13">
      <c r="A898" s="5" t="str">
        <f ca="1">IFERROR(__xludf.DUMMYFUNCTION("""COMPUTED_VALUE"""),"20180910TNFAM")</f>
        <v>20180910TNFAM</v>
      </c>
      <c r="B898" s="5" t="str">
        <f ca="1">IFERROR(__xludf.DUMMYFUNCTION("""COMPUTED_VALUE"""),"No Data")</f>
        <v>No Data</v>
      </c>
      <c r="C898" s="5"/>
      <c r="D898" s="5"/>
    </row>
    <row r="899" spans="1:4" ht="13">
      <c r="A899" s="5" t="str">
        <f ca="1">IFERROR(__xludf.DUMMYFUNCTION("""COMPUTED_VALUE"""),"20180910ILCHC")</f>
        <v>20180910ILCHC</v>
      </c>
      <c r="B899" s="5" t="str">
        <f ca="1">IFERROR(__xludf.DUMMYFUNCTION("""COMPUTED_VALUE"""),"Handgun")</f>
        <v>Handgun</v>
      </c>
      <c r="C899" s="5" t="str">
        <f ca="1">IFERROR(__xludf.DUMMYFUNCTION("""COMPUTED_VALUE"""),"Unknown")</f>
        <v>Unknown</v>
      </c>
      <c r="D899" s="5"/>
    </row>
    <row r="900" spans="1:4" ht="13">
      <c r="A900" s="5" t="str">
        <f ca="1">IFERROR(__xludf.DUMMYFUNCTION("""COMPUTED_VALUE"""),"20180909CAGIG")</f>
        <v>20180909CAGIG</v>
      </c>
      <c r="B900" s="5" t="str">
        <f ca="1">IFERROR(__xludf.DUMMYFUNCTION("""COMPUTED_VALUE"""),"Handgun")</f>
        <v>Handgun</v>
      </c>
      <c r="C900" s="5" t="str">
        <f ca="1">IFERROR(__xludf.DUMMYFUNCTION("""COMPUTED_VALUE"""),"Unknown")</f>
        <v>Unknown</v>
      </c>
      <c r="D900" s="5"/>
    </row>
    <row r="901" spans="1:4" ht="13">
      <c r="A901" s="5" t="str">
        <f ca="1">IFERROR(__xludf.DUMMYFUNCTION("""COMPUTED_VALUE"""),"20180907IAHED")</f>
        <v>20180907IAHED</v>
      </c>
      <c r="B901" s="5" t="str">
        <f ca="1">IFERROR(__xludf.DUMMYFUNCTION("""COMPUTED_VALUE"""),"No Data")</f>
        <v>No Data</v>
      </c>
      <c r="C901" s="5"/>
      <c r="D901" s="5"/>
    </row>
    <row r="902" spans="1:4" ht="13">
      <c r="A902" s="5" t="str">
        <f ca="1">IFERROR(__xludf.DUMMYFUNCTION("""COMPUTED_VALUE"""),"20180905RIPRP")</f>
        <v>20180905RIPRP</v>
      </c>
      <c r="B902" s="5" t="str">
        <f ca="1">IFERROR(__xludf.DUMMYFUNCTION("""COMPUTED_VALUE"""),"Handgun")</f>
        <v>Handgun</v>
      </c>
      <c r="C902" s="5" t="str">
        <f ca="1">IFERROR(__xludf.DUMMYFUNCTION("""COMPUTED_VALUE"""),".357 caliber")</f>
        <v>.357 caliber</v>
      </c>
      <c r="D902" s="5"/>
    </row>
    <row r="903" spans="1:4" ht="13">
      <c r="A903" s="5" t="str">
        <f ca="1">IFERROR(__xludf.DUMMYFUNCTION("""COMPUTED_VALUE"""),"20180903NYLUN")</f>
        <v>20180903NYLUN</v>
      </c>
      <c r="B903" s="5" t="str">
        <f ca="1">IFERROR(__xludf.DUMMYFUNCTION("""COMPUTED_VALUE"""),"Handgun")</f>
        <v>Handgun</v>
      </c>
      <c r="C903" s="5" t="str">
        <f ca="1">IFERROR(__xludf.DUMMYFUNCTION("""COMPUTED_VALUE"""),"Unknown")</f>
        <v>Unknown</v>
      </c>
      <c r="D903" s="5"/>
    </row>
    <row r="904" spans="1:4" ht="13">
      <c r="A904" s="5" t="str">
        <f ca="1">IFERROR(__xludf.DUMMYFUNCTION("""COMPUTED_VALUE"""),"20180831IANOE")</f>
        <v>20180831IANOE</v>
      </c>
      <c r="B904" s="5" t="str">
        <f ca="1">IFERROR(__xludf.DUMMYFUNCTION("""COMPUTED_VALUE"""),"Handgun")</f>
        <v>Handgun</v>
      </c>
      <c r="C904" s="5" t="str">
        <f ca="1">IFERROR(__xludf.DUMMYFUNCTION("""COMPUTED_VALUE"""),".22 caliber")</f>
        <v>.22 caliber</v>
      </c>
      <c r="D904" s="5"/>
    </row>
    <row r="905" spans="1:4" ht="13">
      <c r="A905" s="5" t="str">
        <f ca="1">IFERROR(__xludf.DUMMYFUNCTION("""COMPUTED_VALUE"""),"20180831CABAS")</f>
        <v>20180831CABAS</v>
      </c>
      <c r="B905" s="5" t="str">
        <f ca="1">IFERROR(__xludf.DUMMYFUNCTION("""COMPUTED_VALUE"""),"Handgun")</f>
        <v>Handgun</v>
      </c>
      <c r="C905" s="5" t="str">
        <f ca="1">IFERROR(__xludf.DUMMYFUNCTION("""COMPUTED_VALUE"""),"Unknown")</f>
        <v>Unknown</v>
      </c>
      <c r="D905" s="5"/>
    </row>
    <row r="906" spans="1:4" ht="13">
      <c r="A906" s="5" t="str">
        <f ca="1">IFERROR(__xludf.DUMMYFUNCTION("""COMPUTED_VALUE"""),"20180830NCVIC")</f>
        <v>20180830NCVIC</v>
      </c>
      <c r="B906" s="5" t="str">
        <f ca="1">IFERROR(__xludf.DUMMYFUNCTION("""COMPUTED_VALUE"""),"Handgun")</f>
        <v>Handgun</v>
      </c>
      <c r="C906" s="5" t="str">
        <f ca="1">IFERROR(__xludf.DUMMYFUNCTION("""COMPUTED_VALUE"""),"Unknown")</f>
        <v>Unknown</v>
      </c>
      <c r="D906" s="5"/>
    </row>
    <row r="907" spans="1:4" ht="13">
      <c r="A907" s="5" t="str">
        <f ca="1">IFERROR(__xludf.DUMMYFUNCTION("""COMPUTED_VALUE"""),"20180830MIOTG")</f>
        <v>20180830MIOTG</v>
      </c>
      <c r="B907" s="5"/>
      <c r="C907" s="5"/>
      <c r="D907" s="5"/>
    </row>
    <row r="908" spans="1:4" ht="13">
      <c r="A908" s="5" t="str">
        <f ca="1">IFERROR(__xludf.DUMMYFUNCTION("""COMPUTED_VALUE"""),"20180829DETOD")</f>
        <v>20180829DETOD</v>
      </c>
      <c r="B908" s="5" t="str">
        <f ca="1">IFERROR(__xludf.DUMMYFUNCTION("""COMPUTED_VALUE"""),"Unknown")</f>
        <v>Unknown</v>
      </c>
      <c r="C908" s="5" t="str">
        <f ca="1">IFERROR(__xludf.DUMMYFUNCTION("""COMPUTED_VALUE"""),"Unknown")</f>
        <v>Unknown</v>
      </c>
      <c r="D908" s="5"/>
    </row>
    <row r="909" spans="1:4" ht="13">
      <c r="A909" s="5" t="str">
        <f ca="1">IFERROR(__xludf.DUMMYFUNCTION("""COMPUTED_VALUE"""),"20180828COCOD")</f>
        <v>20180828COCOD</v>
      </c>
      <c r="B909" s="5" t="str">
        <f ca="1">IFERROR(__xludf.DUMMYFUNCTION("""COMPUTED_VALUE"""),"Handgun")</f>
        <v>Handgun</v>
      </c>
      <c r="C909" s="5" t="str">
        <f ca="1">IFERROR(__xludf.DUMMYFUNCTION("""COMPUTED_VALUE"""),"Unknown")</f>
        <v>Unknown</v>
      </c>
      <c r="D909" s="5"/>
    </row>
    <row r="910" spans="1:4" ht="13">
      <c r="A910" s="5" t="str">
        <f ca="1">IFERROR(__xludf.DUMMYFUNCTION("""COMPUTED_VALUE"""),"20180824ILMEC")</f>
        <v>20180824ILMEC</v>
      </c>
      <c r="B910" s="5" t="str">
        <f ca="1">IFERROR(__xludf.DUMMYFUNCTION("""COMPUTED_VALUE"""),"Multiple Unknown")</f>
        <v>Multiple Unknown</v>
      </c>
      <c r="C910" s="5" t="str">
        <f ca="1">IFERROR(__xludf.DUMMYFUNCTION("""COMPUTED_VALUE"""),"Unknown")</f>
        <v>Unknown</v>
      </c>
      <c r="D910" s="5"/>
    </row>
    <row r="911" spans="1:4" ht="13">
      <c r="A911" s="5" t="str">
        <f ca="1">IFERROR(__xludf.DUMMYFUNCTION("""COMPUTED_VALUE"""),"20180824FLRAJ")</f>
        <v>20180824FLRAJ</v>
      </c>
      <c r="B911" s="5" t="str">
        <f ca="1">IFERROR(__xludf.DUMMYFUNCTION("""COMPUTED_VALUE"""),"Handgun")</f>
        <v>Handgun</v>
      </c>
      <c r="C911" s="5" t="str">
        <f ca="1">IFERROR(__xludf.DUMMYFUNCTION("""COMPUTED_VALUE"""),"Unknown")</f>
        <v>Unknown</v>
      </c>
      <c r="D911" s="5"/>
    </row>
    <row r="912" spans="1:4" ht="13">
      <c r="A912" s="5" t="str">
        <f ca="1">IFERROR(__xludf.DUMMYFUNCTION("""COMPUTED_VALUE"""),"20180823ALALM")</f>
        <v>20180823ALALM</v>
      </c>
      <c r="B912" s="5" t="str">
        <f ca="1">IFERROR(__xludf.DUMMYFUNCTION("""COMPUTED_VALUE"""),"Handgun")</f>
        <v>Handgun</v>
      </c>
      <c r="C912" s="5" t="str">
        <f ca="1">IFERROR(__xludf.DUMMYFUNCTION("""COMPUTED_VALUE"""),"Unknown")</f>
        <v>Unknown</v>
      </c>
      <c r="D912" s="5"/>
    </row>
    <row r="913" spans="1:4" ht="13">
      <c r="A913" s="5" t="str">
        <f ca="1">IFERROR(__xludf.DUMMYFUNCTION("""COMPUTED_VALUE"""),"20180817FLPAW")</f>
        <v>20180817FLPAW</v>
      </c>
      <c r="B913" s="5" t="str">
        <f ca="1">IFERROR(__xludf.DUMMYFUNCTION("""COMPUTED_VALUE"""),"Handgun")</f>
        <v>Handgun</v>
      </c>
      <c r="C913" s="5" t="str">
        <f ca="1">IFERROR(__xludf.DUMMYFUNCTION("""COMPUTED_VALUE"""),"Unknown")</f>
        <v>Unknown</v>
      </c>
      <c r="D913" s="5"/>
    </row>
    <row r="914" spans="1:4" ht="13">
      <c r="A914" s="5" t="str">
        <f ca="1">IFERROR(__xludf.DUMMYFUNCTION("""COMPUTED_VALUE"""),"20180811TNANN")</f>
        <v>20180811TNANN</v>
      </c>
      <c r="B914" s="5" t="str">
        <f ca="1">IFERROR(__xludf.DUMMYFUNCTION("""COMPUTED_VALUE"""),"Handgun")</f>
        <v>Handgun</v>
      </c>
      <c r="C914" s="5" t="str">
        <f ca="1">IFERROR(__xludf.DUMMYFUNCTION("""COMPUTED_VALUE"""),"Unknown")</f>
        <v>Unknown</v>
      </c>
      <c r="D914" s="5"/>
    </row>
    <row r="915" spans="1:4" ht="13">
      <c r="A915" s="5" t="str">
        <f ca="1">IFERROR(__xludf.DUMMYFUNCTION("""COMPUTED_VALUE"""),"20180809NJLAM")</f>
        <v>20180809NJLAM</v>
      </c>
      <c r="B915" s="5" t="str">
        <f ca="1">IFERROR(__xludf.DUMMYFUNCTION("""COMPUTED_VALUE"""),"No Data")</f>
        <v>No Data</v>
      </c>
      <c r="C915" s="5"/>
      <c r="D915" s="5"/>
    </row>
    <row r="916" spans="1:4" ht="13">
      <c r="A916" s="5" t="str">
        <f ca="1">IFERROR(__xludf.DUMMYFUNCTION("""COMPUTED_VALUE"""),"20180804MDEDE")</f>
        <v>20180804MDEDE</v>
      </c>
      <c r="B916" s="5" t="str">
        <f ca="1">IFERROR(__xludf.DUMMYFUNCTION("""COMPUTED_VALUE"""),"No Data")</f>
        <v>No Data</v>
      </c>
      <c r="C916" s="5"/>
      <c r="D916" s="5"/>
    </row>
    <row r="917" spans="1:4" ht="13">
      <c r="A917" s="5" t="str">
        <f ca="1">IFERROR(__xludf.DUMMYFUNCTION("""COMPUTED_VALUE"""),"20180803IALIO")</f>
        <v>20180803IALIO</v>
      </c>
      <c r="B917" s="5" t="str">
        <f ca="1">IFERROR(__xludf.DUMMYFUNCTION("""COMPUTED_VALUE"""),"Handgun")</f>
        <v>Handgun</v>
      </c>
      <c r="C917" s="5"/>
      <c r="D917" s="5"/>
    </row>
    <row r="918" spans="1:4" ht="13">
      <c r="A918" s="5" t="str">
        <f ca="1">IFERROR(__xludf.DUMMYFUNCTION("""COMPUTED_VALUE"""),"20180719WAWEY")</f>
        <v>20180719WAWEY</v>
      </c>
      <c r="B918" s="5" t="str">
        <f ca="1">IFERROR(__xludf.DUMMYFUNCTION("""COMPUTED_VALUE"""),"No Data")</f>
        <v>No Data</v>
      </c>
      <c r="C918" s="5"/>
      <c r="D918" s="5"/>
    </row>
    <row r="919" spans="1:4" ht="13">
      <c r="A919" s="5" t="str">
        <f ca="1">IFERROR(__xludf.DUMMYFUNCTION("""COMPUTED_VALUE"""),"20180717WVHUH")</f>
        <v>20180717WVHUH</v>
      </c>
      <c r="B919" s="5" t="str">
        <f ca="1">IFERROR(__xludf.DUMMYFUNCTION("""COMPUTED_VALUE"""),"Handgun")</f>
        <v>Handgun</v>
      </c>
      <c r="C919" s="5" t="str">
        <f ca="1">IFERROR(__xludf.DUMMYFUNCTION("""COMPUTED_VALUE"""),"Unknown")</f>
        <v>Unknown</v>
      </c>
      <c r="D919" s="5"/>
    </row>
    <row r="920" spans="1:4" ht="13">
      <c r="A920" s="5" t="str">
        <f ca="1">IFERROR(__xludf.DUMMYFUNCTION("""COMPUTED_VALUE"""),"20180711OHMIM")</f>
        <v>20180711OHMIM</v>
      </c>
      <c r="B920" s="5" t="str">
        <f ca="1">IFERROR(__xludf.DUMMYFUNCTION("""COMPUTED_VALUE"""),"No Data")</f>
        <v>No Data</v>
      </c>
      <c r="C920" s="5"/>
      <c r="D920" s="5"/>
    </row>
    <row r="921" spans="1:4" ht="13">
      <c r="A921" s="5" t="str">
        <f ca="1">IFERROR(__xludf.DUMMYFUNCTION("""COMPUTED_VALUE"""),"20180703KSSUO")</f>
        <v>20180703KSSUO</v>
      </c>
      <c r="B921" s="5" t="str">
        <f ca="1">IFERROR(__xludf.DUMMYFUNCTION("""COMPUTED_VALUE"""),"Handgun")</f>
        <v>Handgun</v>
      </c>
      <c r="C921" s="5" t="str">
        <f ca="1">IFERROR(__xludf.DUMMYFUNCTION("""COMPUTED_VALUE"""),"Unknown")</f>
        <v>Unknown</v>
      </c>
      <c r="D921" s="5"/>
    </row>
    <row r="922" spans="1:4" ht="13">
      <c r="A922" s="5" t="str">
        <f ca="1">IFERROR(__xludf.DUMMYFUNCTION("""COMPUTED_VALUE"""),"20180701TNRAM")</f>
        <v>20180701TNRAM</v>
      </c>
      <c r="B922" s="5" t="str">
        <f ca="1">IFERROR(__xludf.DUMMYFUNCTION("""COMPUTED_VALUE"""),"No Data")</f>
        <v>No Data</v>
      </c>
      <c r="C922" s="5"/>
      <c r="D922" s="5"/>
    </row>
    <row r="923" spans="1:4" ht="13">
      <c r="A923" s="5" t="str">
        <f ca="1">IFERROR(__xludf.DUMMYFUNCTION("""COMPUTED_VALUE"""),"20180625OHFUS")</f>
        <v>20180625OHFUS</v>
      </c>
      <c r="B923" s="5" t="str">
        <f ca="1">IFERROR(__xludf.DUMMYFUNCTION("""COMPUTED_VALUE"""),"Handgun")</f>
        <v>Handgun</v>
      </c>
      <c r="C923" s="5" t="str">
        <f ca="1">IFERROR(__xludf.DUMMYFUNCTION("""COMPUTED_VALUE"""),"Unknown")</f>
        <v>Unknown</v>
      </c>
      <c r="D923" s="5"/>
    </row>
    <row r="924" spans="1:4" ht="13">
      <c r="A924" s="5" t="str">
        <f ca="1">IFERROR(__xludf.DUMMYFUNCTION("""COMPUTED_VALUE"""),"20180624MTSEM")</f>
        <v>20180624MTSEM</v>
      </c>
      <c r="B924" s="5" t="str">
        <f ca="1">IFERROR(__xludf.DUMMYFUNCTION("""COMPUTED_VALUE"""),"Handgun")</f>
        <v>Handgun</v>
      </c>
      <c r="C924" s="5" t="str">
        <f ca="1">IFERROR(__xludf.DUMMYFUNCTION("""COMPUTED_VALUE"""),"Unknown")</f>
        <v>Unknown</v>
      </c>
      <c r="D924" s="5"/>
    </row>
    <row r="925" spans="1:4" ht="13">
      <c r="A925" s="5" t="str">
        <f ca="1">IFERROR(__xludf.DUMMYFUNCTION("""COMPUTED_VALUE"""),"20180621TXSKD")</f>
        <v>20180621TXSKD</v>
      </c>
      <c r="B925" s="5" t="str">
        <f ca="1">IFERROR(__xludf.DUMMYFUNCTION("""COMPUTED_VALUE"""),"No Data")</f>
        <v>No Data</v>
      </c>
      <c r="C925" s="5"/>
      <c r="D925" s="5"/>
    </row>
    <row r="926" spans="1:4" ht="13">
      <c r="A926" s="5" t="str">
        <f ca="1">IFERROR(__xludf.DUMMYFUNCTION("""COMPUTED_VALUE"""),"20180617ORGRP")</f>
        <v>20180617ORGRP</v>
      </c>
      <c r="B926" s="5" t="str">
        <f ca="1">IFERROR(__xludf.DUMMYFUNCTION("""COMPUTED_VALUE"""),"No Data")</f>
        <v>No Data</v>
      </c>
      <c r="C926" s="5"/>
      <c r="D926" s="5"/>
    </row>
    <row r="927" spans="1:4" ht="13">
      <c r="A927" s="5" t="str">
        <f ca="1">IFERROR(__xludf.DUMMYFUNCTION("""COMPUTED_VALUE"""),"20180615OHVAB")</f>
        <v>20180615OHVAB</v>
      </c>
      <c r="B927" s="5" t="str">
        <f ca="1">IFERROR(__xludf.DUMMYFUNCTION("""COMPUTED_VALUE"""),"No Data")</f>
        <v>No Data</v>
      </c>
      <c r="C927" s="5"/>
      <c r="D927" s="5"/>
    </row>
    <row r="928" spans="1:4" ht="13">
      <c r="A928" s="5" t="str">
        <f ca="1">IFERROR(__xludf.DUMMYFUNCTION("""COMPUTED_VALUE"""),"20180601TXMCM")</f>
        <v>20180601TXMCM</v>
      </c>
      <c r="B928" s="5" t="str">
        <f ca="1">IFERROR(__xludf.DUMMYFUNCTION("""COMPUTED_VALUE"""),"No Data")</f>
        <v>No Data</v>
      </c>
      <c r="C928" s="5"/>
      <c r="D928" s="5"/>
    </row>
    <row r="929" spans="1:4" ht="13">
      <c r="A929" s="5" t="str">
        <f ca="1">IFERROR(__xludf.DUMMYFUNCTION("""COMPUTED_VALUE"""),"20180525INNON")</f>
        <v>20180525INNON</v>
      </c>
      <c r="B929" s="5" t="str">
        <f ca="1">IFERROR(__xludf.DUMMYFUNCTION("""COMPUTED_VALUE"""),"Handgun")</f>
        <v>Handgun</v>
      </c>
      <c r="C929" s="5" t="str">
        <f ca="1">IFERROR(__xludf.DUMMYFUNCTION("""COMPUTED_VALUE"""),"Unknown")</f>
        <v>Unknown</v>
      </c>
      <c r="D929" s="5" t="str">
        <f ca="1">IFERROR(__xludf.DUMMYFUNCTION("""COMPUTED_VALUE"""),"2 handguns")</f>
        <v>2 handguns</v>
      </c>
    </row>
    <row r="930" spans="1:4" ht="13">
      <c r="A930" s="5" t="str">
        <f ca="1">IFERROR(__xludf.DUMMYFUNCTION("""COMPUTED_VALUE"""),"20180525INNON")</f>
        <v>20180525INNON</v>
      </c>
      <c r="B930" s="5" t="str">
        <f ca="1">IFERROR(__xludf.DUMMYFUNCTION("""COMPUTED_VALUE"""),"Handgun")</f>
        <v>Handgun</v>
      </c>
      <c r="C930" s="5" t="str">
        <f ca="1">IFERROR(__xludf.DUMMYFUNCTION("""COMPUTED_VALUE"""),"Unknown")</f>
        <v>Unknown</v>
      </c>
      <c r="D930" s="5" t="str">
        <f ca="1">IFERROR(__xludf.DUMMYFUNCTION("""COMPUTED_VALUE"""),"2 handguns")</f>
        <v>2 handguns</v>
      </c>
    </row>
    <row r="931" spans="1:4" ht="13">
      <c r="A931" s="5" t="str">
        <f ca="1">IFERROR(__xludf.DUMMYFUNCTION("""COMPUTED_VALUE"""),"20180521GABEG")</f>
        <v>20180521GABEG</v>
      </c>
      <c r="B931" s="5" t="str">
        <f ca="1">IFERROR(__xludf.DUMMYFUNCTION("""COMPUTED_VALUE"""),"No Data")</f>
        <v>No Data</v>
      </c>
      <c r="C931" s="5"/>
      <c r="D931" s="5"/>
    </row>
    <row r="932" spans="1:4" ht="13">
      <c r="A932" s="5" t="str">
        <f ca="1">IFERROR(__xludf.DUMMYFUNCTION("""COMPUTED_VALUE"""),"20180518TXSAS")</f>
        <v>20180518TXSAS</v>
      </c>
      <c r="B932" s="5" t="str">
        <f ca="1">IFERROR(__xludf.DUMMYFUNCTION("""COMPUTED_VALUE"""),"Handgun")</f>
        <v>Handgun</v>
      </c>
      <c r="C932" s="5" t="str">
        <f ca="1">IFERROR(__xludf.DUMMYFUNCTION("""COMPUTED_VALUE"""),".38 caliber")</f>
        <v>.38 caliber</v>
      </c>
      <c r="D932" s="5" t="str">
        <f ca="1">IFERROR(__xludf.DUMMYFUNCTION("""COMPUTED_VALUE"""),".38 pistol, shotgun")</f>
        <v>.38 pistol, shotgun</v>
      </c>
    </row>
    <row r="933" spans="1:4" ht="13">
      <c r="A933" s="5" t="str">
        <f ca="1">IFERROR(__xludf.DUMMYFUNCTION("""COMPUTED_VALUE"""),"20180518TXSAS")</f>
        <v>20180518TXSAS</v>
      </c>
      <c r="B933" s="5" t="str">
        <f ca="1">IFERROR(__xludf.DUMMYFUNCTION("""COMPUTED_VALUE"""),"Shotgun")</f>
        <v>Shotgun</v>
      </c>
      <c r="C933" s="5" t="str">
        <f ca="1">IFERROR(__xludf.DUMMYFUNCTION("""COMPUTED_VALUE"""),"Unknown")</f>
        <v>Unknown</v>
      </c>
      <c r="D933" s="5" t="str">
        <f ca="1">IFERROR(__xludf.DUMMYFUNCTION("""COMPUTED_VALUE"""),".38 pistol, shotgun")</f>
        <v>.38 pistol, shotgun</v>
      </c>
    </row>
    <row r="934" spans="1:4" ht="13">
      <c r="A934" s="5" t="str">
        <f ca="1">IFERROR(__xludf.DUMMYFUNCTION("""COMPUTED_VALUE"""),"20180518GAMOA")</f>
        <v>20180518GAMOA</v>
      </c>
      <c r="B934" s="5" t="str">
        <f ca="1">IFERROR(__xludf.DUMMYFUNCTION("""COMPUTED_VALUE"""),"Handgun")</f>
        <v>Handgun</v>
      </c>
      <c r="C934" s="5" t="str">
        <f ca="1">IFERROR(__xludf.DUMMYFUNCTION("""COMPUTED_VALUE"""),"Unknown")</f>
        <v>Unknown</v>
      </c>
      <c r="D934" s="5"/>
    </row>
    <row r="935" spans="1:4" ht="13">
      <c r="A935" s="5" t="str">
        <f ca="1">IFERROR(__xludf.DUMMYFUNCTION("""COMPUTED_VALUE"""),"20180517MOCEK")</f>
        <v>20180517MOCEK</v>
      </c>
      <c r="B935" s="5" t="str">
        <f ca="1">IFERROR(__xludf.DUMMYFUNCTION("""COMPUTED_VALUE"""),"Handgun")</f>
        <v>Handgun</v>
      </c>
      <c r="C935" s="5" t="str">
        <f ca="1">IFERROR(__xludf.DUMMYFUNCTION("""COMPUTED_VALUE"""),"Unknown")</f>
        <v>Unknown</v>
      </c>
      <c r="D935" s="5"/>
    </row>
    <row r="936" spans="1:4" ht="13">
      <c r="A936" s="5" t="str">
        <f ca="1">IFERROR(__xludf.DUMMYFUNCTION("""COMPUTED_VALUE"""),"20180516ILDID")</f>
        <v>20180516ILDID</v>
      </c>
      <c r="B936" s="5" t="str">
        <f ca="1">IFERROR(__xludf.DUMMYFUNCTION("""COMPUTED_VALUE"""),"Rifle")</f>
        <v>Rifle</v>
      </c>
      <c r="C936" s="5" t="str">
        <f ca="1">IFERROR(__xludf.DUMMYFUNCTION("""COMPUTED_VALUE"""),"9mm")</f>
        <v>9mm</v>
      </c>
      <c r="D936" s="5"/>
    </row>
    <row r="937" spans="1:4" ht="13">
      <c r="A937" s="5" t="str">
        <f ca="1">IFERROR(__xludf.DUMMYFUNCTION("""COMPUTED_VALUE"""),"20180511CAHIP")</f>
        <v>20180511CAHIP</v>
      </c>
      <c r="B937" s="5" t="str">
        <f ca="1">IFERROR(__xludf.DUMMYFUNCTION("""COMPUTED_VALUE"""),"Rifle")</f>
        <v>Rifle</v>
      </c>
      <c r="C937" s="5" t="str">
        <f ca="1">IFERROR(__xludf.DUMMYFUNCTION("""COMPUTED_VALUE"""),"Semiautomatic")</f>
        <v>Semiautomatic</v>
      </c>
      <c r="D937" s="5"/>
    </row>
    <row r="938" spans="1:4" ht="13">
      <c r="A938" s="5" t="str">
        <f ca="1">IFERROR(__xludf.DUMMYFUNCTION("""COMPUTED_VALUE"""),"20180505MIFOF")</f>
        <v>20180505MIFOF</v>
      </c>
      <c r="B938" s="5" t="str">
        <f ca="1">IFERROR(__xludf.DUMMYFUNCTION("""COMPUTED_VALUE"""),"Handgun")</f>
        <v>Handgun</v>
      </c>
      <c r="C938" s="5" t="str">
        <f ca="1">IFERROR(__xludf.DUMMYFUNCTION("""COMPUTED_VALUE"""),"Unknown")</f>
        <v>Unknown</v>
      </c>
      <c r="D938" s="5"/>
    </row>
    <row r="939" spans="1:4" ht="13">
      <c r="A939" s="5" t="str">
        <f ca="1">IFERROR(__xludf.DUMMYFUNCTION("""COMPUTED_VALUE"""),"20180503TNWAW")</f>
        <v>20180503TNWAW</v>
      </c>
      <c r="B939" s="5" t="str">
        <f ca="1">IFERROR(__xludf.DUMMYFUNCTION("""COMPUTED_VALUE"""),"No Data")</f>
        <v>No Data</v>
      </c>
      <c r="C939" s="5"/>
      <c r="D939" s="5"/>
    </row>
    <row r="940" spans="1:4" ht="13">
      <c r="A940" s="5" t="str">
        <f ca="1">IFERROR(__xludf.DUMMYFUNCTION("""COMPUTED_VALUE"""),"20180503SDENW")</f>
        <v>20180503SDENW</v>
      </c>
      <c r="B940" s="5" t="str">
        <f ca="1">IFERROR(__xludf.DUMMYFUNCTION("""COMPUTED_VALUE"""),"No Data")</f>
        <v>No Data</v>
      </c>
      <c r="C940" s="5"/>
      <c r="D940" s="5"/>
    </row>
    <row r="941" spans="1:4" ht="13">
      <c r="A941" s="5" t="str">
        <f ca="1">IFERROR(__xludf.DUMMYFUNCTION("""COMPUTED_VALUE"""),"20180425NMHIA")</f>
        <v>20180425NMHIA</v>
      </c>
      <c r="B941" s="5" t="str">
        <f ca="1">IFERROR(__xludf.DUMMYFUNCTION("""COMPUTED_VALUE"""),"Handgun")</f>
        <v>Handgun</v>
      </c>
      <c r="C941" s="5"/>
      <c r="D941" s="5"/>
    </row>
    <row r="942" spans="1:4" ht="13">
      <c r="A942" s="5" t="str">
        <f ca="1">IFERROR(__xludf.DUMMYFUNCTION("""COMPUTED_VALUE"""),"20180423GABEA")</f>
        <v>20180423GABEA</v>
      </c>
      <c r="B942" s="5" t="str">
        <f ca="1">IFERROR(__xludf.DUMMYFUNCTION("""COMPUTED_VALUE"""),"Handgun")</f>
        <v>Handgun</v>
      </c>
      <c r="C942" s="5" t="str">
        <f ca="1">IFERROR(__xludf.DUMMYFUNCTION("""COMPUTED_VALUE"""),"Unknown")</f>
        <v>Unknown</v>
      </c>
      <c r="D942" s="5"/>
    </row>
    <row r="943" spans="1:4" ht="13">
      <c r="A943" s="5" t="str">
        <f ca="1">IFERROR(__xludf.DUMMYFUNCTION("""COMPUTED_VALUE"""),"20180420FLFOO")</f>
        <v>20180420FLFOO</v>
      </c>
      <c r="B943" s="5" t="str">
        <f ca="1">IFERROR(__xludf.DUMMYFUNCTION("""COMPUTED_VALUE"""),"Shotgun")</f>
        <v>Shotgun</v>
      </c>
      <c r="C943" s="5" t="str">
        <f ca="1">IFERROR(__xludf.DUMMYFUNCTION("""COMPUTED_VALUE"""),"Unknown")</f>
        <v>Unknown</v>
      </c>
      <c r="D943" s="5"/>
    </row>
    <row r="944" spans="1:4" ht="13">
      <c r="A944" s="5" t="str">
        <f ca="1">IFERROR(__xludf.DUMMYFUNCTION("""COMPUTED_VALUE"""),"20180419MIJAJ")</f>
        <v>20180419MIJAJ</v>
      </c>
      <c r="B944" s="5" t="str">
        <f ca="1">IFERROR(__xludf.DUMMYFUNCTION("""COMPUTED_VALUE"""),"Handgun")</f>
        <v>Handgun</v>
      </c>
      <c r="C944" s="5" t="str">
        <f ca="1">IFERROR(__xludf.DUMMYFUNCTION("""COMPUTED_VALUE"""),"Unknown")</f>
        <v>Unknown</v>
      </c>
      <c r="D944" s="5"/>
    </row>
    <row r="945" spans="1:4" ht="13">
      <c r="A945" s="5" t="str">
        <f ca="1">IFERROR(__xludf.DUMMYFUNCTION("""COMPUTED_VALUE"""),"20180412MORAR")</f>
        <v>20180412MORAR</v>
      </c>
      <c r="B945" s="5" t="str">
        <f ca="1">IFERROR(__xludf.DUMMYFUNCTION("""COMPUTED_VALUE"""),"Handgun")</f>
        <v>Handgun</v>
      </c>
      <c r="C945" s="5" t="str">
        <f ca="1">IFERROR(__xludf.DUMMYFUNCTION("""COMPUTED_VALUE"""),"Unknown")</f>
        <v>Unknown</v>
      </c>
      <c r="D945" s="5"/>
    </row>
    <row r="946" spans="1:4" ht="13">
      <c r="A946" s="5" t="str">
        <f ca="1">IFERROR(__xludf.DUMMYFUNCTION("""COMPUTED_VALUE"""),"20180409NYGLG")</f>
        <v>20180409NYGLG</v>
      </c>
      <c r="B946" s="5" t="str">
        <f ca="1">IFERROR(__xludf.DUMMYFUNCTION("""COMPUTED_VALUE"""),"Handgun")</f>
        <v>Handgun</v>
      </c>
      <c r="C946" s="5" t="str">
        <f ca="1">IFERROR(__xludf.DUMMYFUNCTION("""COMPUTED_VALUE"""),"BB")</f>
        <v>BB</v>
      </c>
      <c r="D946" s="5"/>
    </row>
    <row r="947" spans="1:4" ht="13">
      <c r="A947" s="5" t="str">
        <f ca="1">IFERROR(__xludf.DUMMYFUNCTION("""COMPUTED_VALUE"""),"20180329KYJOE")</f>
        <v>20180329KYJOE</v>
      </c>
      <c r="B947" s="5" t="str">
        <f ca="1">IFERROR(__xludf.DUMMYFUNCTION("""COMPUTED_VALUE"""),"Handgun")</f>
        <v>Handgun</v>
      </c>
      <c r="C947" s="5" t="str">
        <f ca="1">IFERROR(__xludf.DUMMYFUNCTION("""COMPUTED_VALUE"""),"Unknown")</f>
        <v>Unknown</v>
      </c>
      <c r="D947" s="5"/>
    </row>
    <row r="948" spans="1:4" ht="13">
      <c r="A948" s="5" t="str">
        <f ca="1">IFERROR(__xludf.DUMMYFUNCTION("""COMPUTED_VALUE"""),"20180328MSEUE")</f>
        <v>20180328MSEUE</v>
      </c>
      <c r="B948" s="5" t="str">
        <f ca="1">IFERROR(__xludf.DUMMYFUNCTION("""COMPUTED_VALUE"""),"Handgun")</f>
        <v>Handgun</v>
      </c>
      <c r="C948" s="5" t="str">
        <f ca="1">IFERROR(__xludf.DUMMYFUNCTION("""COMPUTED_VALUE"""),"9mm")</f>
        <v>9mm</v>
      </c>
      <c r="D948" s="5"/>
    </row>
    <row r="949" spans="1:4" ht="13">
      <c r="A949" s="5" t="str">
        <f ca="1">IFERROR(__xludf.DUMMYFUNCTION("""COMPUTED_VALUE"""),"20180320MDGRG")</f>
        <v>20180320MDGRG</v>
      </c>
      <c r="B949" s="5" t="str">
        <f ca="1">IFERROR(__xludf.DUMMYFUNCTION("""COMPUTED_VALUE"""),"Handgun")</f>
        <v>Handgun</v>
      </c>
      <c r="C949" s="5" t="str">
        <f ca="1">IFERROR(__xludf.DUMMYFUNCTION("""COMPUTED_VALUE"""),"9mm")</f>
        <v>9mm</v>
      </c>
      <c r="D949" s="5"/>
    </row>
    <row r="950" spans="1:4" ht="13">
      <c r="A950" s="5" t="str">
        <f ca="1">IFERROR(__xludf.DUMMYFUNCTION("""COMPUTED_VALUE"""),"20180319VADOP")</f>
        <v>20180319VADOP</v>
      </c>
      <c r="B950" s="5" t="str">
        <f ca="1">IFERROR(__xludf.DUMMYFUNCTION("""COMPUTED_VALUE"""),"No Data")</f>
        <v>No Data</v>
      </c>
      <c r="C950" s="5"/>
      <c r="D950" s="5"/>
    </row>
    <row r="951" spans="1:4" ht="13">
      <c r="A951" s="5" t="str">
        <f ca="1">IFERROR(__xludf.DUMMYFUNCTION("""COMPUTED_VALUE"""),"20180316MTBIM")</f>
        <v>20180316MTBIM</v>
      </c>
      <c r="B951" s="5" t="str">
        <f ca="1">IFERROR(__xludf.DUMMYFUNCTION("""COMPUTED_VALUE"""),"Handgun")</f>
        <v>Handgun</v>
      </c>
      <c r="C951" s="5" t="str">
        <f ca="1">IFERROR(__xludf.DUMMYFUNCTION("""COMPUTED_VALUE"""),"Service weapon")</f>
        <v>Service weapon</v>
      </c>
      <c r="D951" s="5"/>
    </row>
    <row r="952" spans="1:4" ht="13">
      <c r="A952" s="5" t="str">
        <f ca="1">IFERROR(__xludf.DUMMYFUNCTION("""COMPUTED_VALUE"""),"20180313VAGEA")</f>
        <v>20180313VAGEA</v>
      </c>
      <c r="B952" s="5" t="str">
        <f ca="1">IFERROR(__xludf.DUMMYFUNCTION("""COMPUTED_VALUE"""),"Handgun")</f>
        <v>Handgun</v>
      </c>
      <c r="C952" s="5" t="str">
        <f ca="1">IFERROR(__xludf.DUMMYFUNCTION("""COMPUTED_VALUE"""),"Unknown")</f>
        <v>Unknown</v>
      </c>
      <c r="D952" s="5"/>
    </row>
    <row r="953" spans="1:4" ht="13">
      <c r="A953" s="5" t="str">
        <f ca="1">IFERROR(__xludf.DUMMYFUNCTION("""COMPUTED_VALUE"""),"20180313CASES")</f>
        <v>20180313CASES</v>
      </c>
      <c r="B953" s="5" t="str">
        <f ca="1">IFERROR(__xludf.DUMMYFUNCTION("""COMPUTED_VALUE"""),"Handgun")</f>
        <v>Handgun</v>
      </c>
      <c r="C953" s="5" t="str">
        <f ca="1">IFERROR(__xludf.DUMMYFUNCTION("""COMPUTED_VALUE"""),".45 caliber")</f>
        <v>.45 caliber</v>
      </c>
      <c r="D953" s="5"/>
    </row>
    <row r="954" spans="1:4" ht="13">
      <c r="A954" s="5" t="str">
        <f ca="1">IFERROR(__xludf.DUMMYFUNCTION("""COMPUTED_VALUE"""),"20180309KYFRL")</f>
        <v>20180309KYFRL</v>
      </c>
      <c r="B954" s="5" t="str">
        <f ca="1">IFERROR(__xludf.DUMMYFUNCTION("""COMPUTED_VALUE"""),"Handgun")</f>
        <v>Handgun</v>
      </c>
      <c r="C954" s="5" t="str">
        <f ca="1">IFERROR(__xludf.DUMMYFUNCTION("""COMPUTED_VALUE"""),"Unknown")</f>
        <v>Unknown</v>
      </c>
      <c r="D954" s="5"/>
    </row>
    <row r="955" spans="1:4" ht="13">
      <c r="A955" s="5" t="str">
        <f ca="1">IFERROR(__xludf.DUMMYFUNCTION("""COMPUTED_VALUE"""),"20180307ALHUB")</f>
        <v>20180307ALHUB</v>
      </c>
      <c r="B955" s="5" t="str">
        <f ca="1">IFERROR(__xludf.DUMMYFUNCTION("""COMPUTED_VALUE"""),"Handgun")</f>
        <v>Handgun</v>
      </c>
      <c r="C955" s="5" t="str">
        <f ca="1">IFERROR(__xludf.DUMMYFUNCTION("""COMPUTED_VALUE"""),"Unknown")</f>
        <v>Unknown</v>
      </c>
      <c r="D955" s="5"/>
    </row>
    <row r="956" spans="1:4" ht="13">
      <c r="A956" s="5" t="str">
        <f ca="1">IFERROR(__xludf.DUMMYFUNCTION("""COMPUTED_VALUE"""),"20180305MOKIC")</f>
        <v>20180305MOKIC</v>
      </c>
      <c r="B956" s="5" t="str">
        <f ca="1">IFERROR(__xludf.DUMMYFUNCTION("""COMPUTED_VALUE"""),"No Data")</f>
        <v>No Data</v>
      </c>
      <c r="C956" s="5"/>
      <c r="D956" s="5"/>
    </row>
    <row r="957" spans="1:4" ht="13">
      <c r="A957" s="5" t="str">
        <f ca="1">IFERROR(__xludf.DUMMYFUNCTION("""COMPUTED_VALUE"""),"20180228GADAD")</f>
        <v>20180228GADAD</v>
      </c>
      <c r="B957" s="5" t="str">
        <f ca="1">IFERROR(__xludf.DUMMYFUNCTION("""COMPUTED_VALUE"""),"Handgun")</f>
        <v>Handgun</v>
      </c>
      <c r="C957" s="5" t="str">
        <f ca="1">IFERROR(__xludf.DUMMYFUNCTION("""COMPUTED_VALUE"""),".38 caliber")</f>
        <v>.38 caliber</v>
      </c>
      <c r="D957" s="5"/>
    </row>
    <row r="958" spans="1:4" ht="13">
      <c r="A958" s="5" t="str">
        <f ca="1">IFERROR(__xludf.DUMMYFUNCTION("""COMPUTED_VALUE"""),"20180226WAOAT")</f>
        <v>20180226WAOAT</v>
      </c>
      <c r="B958" s="5" t="str">
        <f ca="1">IFERROR(__xludf.DUMMYFUNCTION("""COMPUTED_VALUE"""),"Handgun")</f>
        <v>Handgun</v>
      </c>
      <c r="C958" s="5" t="str">
        <f ca="1">IFERROR(__xludf.DUMMYFUNCTION("""COMPUTED_VALUE"""),"Unknown")</f>
        <v>Unknown</v>
      </c>
      <c r="D958" s="5"/>
    </row>
    <row r="959" spans="1:4" ht="13">
      <c r="A959" s="5" t="str">
        <f ca="1">IFERROR(__xludf.DUMMYFUNCTION("""COMPUTED_VALUE"""),"20180220OHJAM")</f>
        <v>20180220OHJAM</v>
      </c>
      <c r="B959" s="5" t="str">
        <f ca="1">IFERROR(__xludf.DUMMYFUNCTION("""COMPUTED_VALUE"""),"Rifle")</f>
        <v>Rifle</v>
      </c>
      <c r="C959" s="5" t="str">
        <f ca="1">IFERROR(__xludf.DUMMYFUNCTION("""COMPUTED_VALUE"""),".22 caliber")</f>
        <v>.22 caliber</v>
      </c>
      <c r="D959" s="5"/>
    </row>
    <row r="960" spans="1:4" ht="13">
      <c r="A960" s="5" t="str">
        <f ca="1">IFERROR(__xludf.DUMMYFUNCTION("""COMPUTED_VALUE"""),"20180215FLNOC")</f>
        <v>20180215FLNOC</v>
      </c>
      <c r="B960" s="5" t="str">
        <f ca="1">IFERROR(__xludf.DUMMYFUNCTION("""COMPUTED_VALUE"""),"Handgun")</f>
        <v>Handgun</v>
      </c>
      <c r="C960" s="5" t="str">
        <f ca="1">IFERROR(__xludf.DUMMYFUNCTION("""COMPUTED_VALUE"""),"Service Weapon")</f>
        <v>Service Weapon</v>
      </c>
      <c r="D960" s="5"/>
    </row>
    <row r="961" spans="1:4" ht="13">
      <c r="A961" s="5" t="str">
        <f ca="1">IFERROR(__xludf.DUMMYFUNCTION("""COMPUTED_VALUE"""),"20180214FLMAP")</f>
        <v>20180214FLMAP</v>
      </c>
      <c r="B961" s="5" t="str">
        <f ca="1">IFERROR(__xludf.DUMMYFUNCTION("""COMPUTED_VALUE"""),"Rifle")</f>
        <v>Rifle</v>
      </c>
      <c r="C961" s="5" t="str">
        <f ca="1">IFERROR(__xludf.DUMMYFUNCTION("""COMPUTED_VALUE"""),"AR-15")</f>
        <v>AR-15</v>
      </c>
      <c r="D961" s="5"/>
    </row>
    <row r="962" spans="1:4" ht="13">
      <c r="A962" s="5" t="str">
        <f ca="1">IFERROR(__xludf.DUMMYFUNCTION("""COMPUTED_VALUE"""),"20180209TNPEN")</f>
        <v>20180209TNPEN</v>
      </c>
      <c r="B962" s="5" t="str">
        <f ca="1">IFERROR(__xludf.DUMMYFUNCTION("""COMPUTED_VALUE"""),"Handgun")</f>
        <v>Handgun</v>
      </c>
      <c r="C962" s="5" t="str">
        <f ca="1">IFERROR(__xludf.DUMMYFUNCTION("""COMPUTED_VALUE"""),"Unknown")</f>
        <v>Unknown</v>
      </c>
      <c r="D962" s="5"/>
    </row>
    <row r="963" spans="1:4" ht="13">
      <c r="A963" s="5" t="str">
        <f ca="1">IFERROR(__xludf.DUMMYFUNCTION("""COMPUTED_VALUE"""),"20180208NYTHN")</f>
        <v>20180208NYTHN</v>
      </c>
      <c r="B963" s="5" t="str">
        <f ca="1">IFERROR(__xludf.DUMMYFUNCTION("""COMPUTED_VALUE"""),"Handgun")</f>
        <v>Handgun</v>
      </c>
      <c r="C963" s="5" t="str">
        <f ca="1">IFERROR(__xludf.DUMMYFUNCTION("""COMPUTED_VALUE"""),"Unknown")</f>
        <v>Unknown</v>
      </c>
      <c r="D963" s="5"/>
    </row>
    <row r="964" spans="1:4" ht="13">
      <c r="A964" s="5" t="str">
        <f ca="1">IFERROR(__xludf.DUMMYFUNCTION("""COMPUTED_VALUE"""),"20180205MNHAM")</f>
        <v>20180205MNHAM</v>
      </c>
      <c r="B964" s="5" t="str">
        <f ca="1">IFERROR(__xludf.DUMMYFUNCTION("""COMPUTED_VALUE"""),"Handgun")</f>
        <v>Handgun</v>
      </c>
      <c r="C964" s="5" t="str">
        <f ca="1">IFERROR(__xludf.DUMMYFUNCTION("""COMPUTED_VALUE"""),"Service Weapon")</f>
        <v>Service Weapon</v>
      </c>
      <c r="D964" s="5"/>
    </row>
    <row r="965" spans="1:4" ht="13">
      <c r="A965" s="5" t="str">
        <f ca="1">IFERROR(__xludf.DUMMYFUNCTION("""COMPUTED_VALUE"""),"20180205MDOXO")</f>
        <v>20180205MDOXO</v>
      </c>
      <c r="B965" s="5" t="str">
        <f ca="1">IFERROR(__xludf.DUMMYFUNCTION("""COMPUTED_VALUE"""),"Handgun")</f>
        <v>Handgun</v>
      </c>
      <c r="C965" s="5" t="str">
        <f ca="1">IFERROR(__xludf.DUMMYFUNCTION("""COMPUTED_VALUE"""),"Unknown")</f>
        <v>Unknown</v>
      </c>
      <c r="D965" s="5"/>
    </row>
    <row r="966" spans="1:4" ht="13">
      <c r="A966" s="5" t="str">
        <f ca="1">IFERROR(__xludf.DUMMYFUNCTION("""COMPUTED_VALUE"""),"20180201CASAL")</f>
        <v>20180201CASAL</v>
      </c>
      <c r="B966" s="5" t="str">
        <f ca="1">IFERROR(__xludf.DUMMYFUNCTION("""COMPUTED_VALUE"""),"Handgun")</f>
        <v>Handgun</v>
      </c>
      <c r="C966" s="5" t="str">
        <f ca="1">IFERROR(__xludf.DUMMYFUNCTION("""COMPUTED_VALUE"""),"Unknown")</f>
        <v>Unknown</v>
      </c>
      <c r="D966" s="5"/>
    </row>
    <row r="967" spans="1:4" ht="13">
      <c r="A967" s="5" t="str">
        <f ca="1">IFERROR(__xludf.DUMMYFUNCTION("""COMPUTED_VALUE"""),"20180131PALIP")</f>
        <v>20180131PALIP</v>
      </c>
      <c r="B967" s="5" t="str">
        <f ca="1">IFERROR(__xludf.DUMMYFUNCTION("""COMPUTED_VALUE"""),"Multiple Unknown")</f>
        <v>Multiple Unknown</v>
      </c>
      <c r="C967" s="5" t="str">
        <f ca="1">IFERROR(__xludf.DUMMYFUNCTION("""COMPUTED_VALUE"""),"Unknown")</f>
        <v>Unknown</v>
      </c>
      <c r="D967" s="5" t="str">
        <f ca="1">IFERROR(__xludf.DUMMYFUNCTION("""COMPUTED_VALUE"""),"3 different firearms discharged")</f>
        <v>3 different firearms discharged</v>
      </c>
    </row>
    <row r="968" spans="1:4" ht="13">
      <c r="A968" s="5" t="str">
        <f ca="1">IFERROR(__xludf.DUMMYFUNCTION("""COMPUTED_VALUE"""),"20180126MIDED")</f>
        <v>20180126MIDED</v>
      </c>
      <c r="B968" s="5" t="str">
        <f ca="1">IFERROR(__xludf.DUMMYFUNCTION("""COMPUTED_VALUE"""),"No Data")</f>
        <v>No Data</v>
      </c>
      <c r="C968" s="5"/>
      <c r="D968" s="5"/>
    </row>
    <row r="969" spans="1:4" ht="13">
      <c r="A969" s="5" t="str">
        <f ca="1">IFERROR(__xludf.DUMMYFUNCTION("""COMPUTED_VALUE"""),"20180125ALMUM")</f>
        <v>20180125ALMUM</v>
      </c>
      <c r="B969" s="5" t="str">
        <f ca="1">IFERROR(__xludf.DUMMYFUNCTION("""COMPUTED_VALUE"""),"Handgun")</f>
        <v>Handgun</v>
      </c>
      <c r="C969" s="5" t="str">
        <f ca="1">IFERROR(__xludf.DUMMYFUNCTION("""COMPUTED_VALUE"""),".38 caliber")</f>
        <v>.38 caliber</v>
      </c>
      <c r="D969" s="5"/>
    </row>
    <row r="970" spans="1:4" ht="13">
      <c r="A970" s="5" t="str">
        <f ca="1">IFERROR(__xludf.DUMMYFUNCTION("""COMPUTED_VALUE"""),"20180123KYMAB")</f>
        <v>20180123KYMAB</v>
      </c>
      <c r="B970" s="5" t="str">
        <f ca="1">IFERROR(__xludf.DUMMYFUNCTION("""COMPUTED_VALUE"""),"Handgun")</f>
        <v>Handgun</v>
      </c>
      <c r="C970" s="5" t="str">
        <f ca="1">IFERROR(__xludf.DUMMYFUNCTION("""COMPUTED_VALUE"""),"9mm")</f>
        <v>9mm</v>
      </c>
      <c r="D970" s="5"/>
    </row>
    <row r="971" spans="1:4" ht="13">
      <c r="A971" s="5" t="str">
        <f ca="1">IFERROR(__xludf.DUMMYFUNCTION("""COMPUTED_VALUE"""),"20180122TXITI")</f>
        <v>20180122TXITI</v>
      </c>
      <c r="B971" s="5" t="str">
        <f ca="1">IFERROR(__xludf.DUMMYFUNCTION("""COMPUTED_VALUE"""),"Handgun")</f>
        <v>Handgun</v>
      </c>
      <c r="C971" s="5" t="str">
        <f ca="1">IFERROR(__xludf.DUMMYFUNCTION("""COMPUTED_VALUE"""),".38 caliber")</f>
        <v>.38 caliber</v>
      </c>
      <c r="D971" s="5"/>
    </row>
    <row r="972" spans="1:4" ht="13">
      <c r="A972" s="5" t="str">
        <f ca="1">IFERROR(__xludf.DUMMYFUNCTION("""COMPUTED_VALUE"""),"20180122LANEN")</f>
        <v>20180122LANEN</v>
      </c>
      <c r="B972" s="5" t="str">
        <f ca="1">IFERROR(__xludf.DUMMYFUNCTION("""COMPUTED_VALUE"""),"No Data")</f>
        <v>No Data</v>
      </c>
      <c r="C972" s="5"/>
      <c r="D972" s="5"/>
    </row>
    <row r="973" spans="1:4" ht="13">
      <c r="A973" s="5" t="str">
        <f ca="1">IFERROR(__xludf.DUMMYFUNCTION("""COMPUTED_VALUE"""),"20180116VTMOM")</f>
        <v>20180116VTMOM</v>
      </c>
      <c r="B973" s="5" t="str">
        <f ca="1">IFERROR(__xludf.DUMMYFUNCTION("""COMPUTED_VALUE"""),"Handgun")</f>
        <v>Handgun</v>
      </c>
      <c r="C973" s="5" t="str">
        <f ca="1">IFERROR(__xludf.DUMMYFUNCTION("""COMPUTED_VALUE"""),"Service Weapon")</f>
        <v>Service Weapon</v>
      </c>
      <c r="D973" s="5"/>
    </row>
    <row r="974" spans="1:4" ht="13">
      <c r="A974" s="5" t="str">
        <f ca="1">IFERROR(__xludf.DUMMYFUNCTION("""COMPUTED_VALUE"""),"20180109AZCOS")</f>
        <v>20180109AZCOS</v>
      </c>
      <c r="B974" s="5" t="str">
        <f ca="1">IFERROR(__xludf.DUMMYFUNCTION("""COMPUTED_VALUE"""),"Handgun")</f>
        <v>Handgun</v>
      </c>
      <c r="C974" s="5" t="str">
        <f ca="1">IFERROR(__xludf.DUMMYFUNCTION("""COMPUTED_VALUE"""),"Unknown")</f>
        <v>Unknown</v>
      </c>
      <c r="D974" s="5"/>
    </row>
    <row r="975" spans="1:4" ht="13">
      <c r="A975" s="5" t="str">
        <f ca="1">IFERROR(__xludf.DUMMYFUNCTION("""COMPUTED_VALUE"""),"20180105IAFOF")</f>
        <v>20180105IAFOF</v>
      </c>
      <c r="B975" s="5" t="str">
        <f ca="1">IFERROR(__xludf.DUMMYFUNCTION("""COMPUTED_VALUE"""),"Other")</f>
        <v>Other</v>
      </c>
      <c r="C975" s="5" t="str">
        <f ca="1">IFERROR(__xludf.DUMMYFUNCTION("""COMPUTED_VALUE"""),"Pellet")</f>
        <v>Pellet</v>
      </c>
      <c r="D975" s="5"/>
    </row>
    <row r="976" spans="1:4" ht="13">
      <c r="A976" s="5" t="str">
        <f ca="1">IFERROR(__xludf.DUMMYFUNCTION("""COMPUTED_VALUE"""),"20180104WANES")</f>
        <v>20180104WANES</v>
      </c>
      <c r="B976" s="5" t="str">
        <f ca="1">IFERROR(__xludf.DUMMYFUNCTION("""COMPUTED_VALUE"""),"No Data")</f>
        <v>No Data</v>
      </c>
      <c r="C976" s="5"/>
      <c r="D976" s="5"/>
    </row>
    <row r="977" spans="1:4" ht="13">
      <c r="A977" s="5" t="str">
        <f ca="1">IFERROR(__xludf.DUMMYFUNCTION("""COMPUTED_VALUE"""),"20171231WAPIM")</f>
        <v>20171231WAPIM</v>
      </c>
      <c r="B977" s="5" t="str">
        <f ca="1">IFERROR(__xludf.DUMMYFUNCTION("""COMPUTED_VALUE"""),"No Data")</f>
        <v>No Data</v>
      </c>
      <c r="C977" s="5"/>
      <c r="D977" s="5"/>
    </row>
    <row r="978" spans="1:4" ht="13">
      <c r="A978" s="5" t="str">
        <f ca="1">IFERROR(__xludf.DUMMYFUNCTION("""COMPUTED_VALUE"""),"20171231LAEDA")</f>
        <v>20171231LAEDA</v>
      </c>
      <c r="B978" s="5" t="str">
        <f ca="1">IFERROR(__xludf.DUMMYFUNCTION("""COMPUTED_VALUE"""),"Multiple Unknown")</f>
        <v>Multiple Unknown</v>
      </c>
      <c r="C978" s="5" t="str">
        <f ca="1">IFERROR(__xludf.DUMMYFUNCTION("""COMPUTED_VALUE"""),"Unknown")</f>
        <v>Unknown</v>
      </c>
      <c r="D978" s="5"/>
    </row>
    <row r="979" spans="1:4" ht="13">
      <c r="A979" s="5" t="str">
        <f ca="1">IFERROR(__xludf.DUMMYFUNCTION("""COMPUTED_VALUE"""),"20171227CALIL")</f>
        <v>20171227CALIL</v>
      </c>
      <c r="B979" s="5" t="str">
        <f ca="1">IFERROR(__xludf.DUMMYFUNCTION("""COMPUTED_VALUE"""),"Handgun")</f>
        <v>Handgun</v>
      </c>
      <c r="C979" s="5" t="str">
        <f ca="1">IFERROR(__xludf.DUMMYFUNCTION("""COMPUTED_VALUE"""),"Unknown")</f>
        <v>Unknown</v>
      </c>
      <c r="D979" s="5"/>
    </row>
    <row r="980" spans="1:4" ht="13">
      <c r="A980" s="5" t="str">
        <f ca="1">IFERROR(__xludf.DUMMYFUNCTION("""COMPUTED_VALUE"""),"20171219MIBEB")</f>
        <v>20171219MIBEB</v>
      </c>
      <c r="B980" s="5" t="str">
        <f ca="1">IFERROR(__xludf.DUMMYFUNCTION("""COMPUTED_VALUE"""),"Handgun")</f>
        <v>Handgun</v>
      </c>
      <c r="C980" s="5" t="str">
        <f ca="1">IFERROR(__xludf.DUMMYFUNCTION("""COMPUTED_VALUE"""),"Unknown")</f>
        <v>Unknown</v>
      </c>
      <c r="D980" s="5"/>
    </row>
    <row r="981" spans="1:4" ht="13">
      <c r="A981" s="5" t="str">
        <f ca="1">IFERROR(__xludf.DUMMYFUNCTION("""COMPUTED_VALUE"""),"20171214TXELD")</f>
        <v>20171214TXELD</v>
      </c>
      <c r="B981" s="5" t="str">
        <f ca="1">IFERROR(__xludf.DUMMYFUNCTION("""COMPUTED_VALUE"""),"Handgun")</f>
        <v>Handgun</v>
      </c>
      <c r="C981" s="5" t="str">
        <f ca="1">IFERROR(__xludf.DUMMYFUNCTION("""COMPUTED_VALUE"""),"Unknown")</f>
        <v>Unknown</v>
      </c>
      <c r="D981" s="5"/>
    </row>
    <row r="982" spans="1:4" ht="13">
      <c r="A982" s="5" t="str">
        <f ca="1">IFERROR(__xludf.DUMMYFUNCTION("""COMPUTED_VALUE"""),"20171212TXSAP")</f>
        <v>20171212TXSAP</v>
      </c>
      <c r="B982" s="5" t="str">
        <f ca="1">IFERROR(__xludf.DUMMYFUNCTION("""COMPUTED_VALUE"""),"No Data")</f>
        <v>No Data</v>
      </c>
      <c r="C982" s="5"/>
      <c r="D982" s="5"/>
    </row>
    <row r="983" spans="1:4" ht="13">
      <c r="A983" s="5" t="str">
        <f ca="1">IFERROR(__xludf.DUMMYFUNCTION("""COMPUTED_VALUE"""),"20171211NCHIH")</f>
        <v>20171211NCHIH</v>
      </c>
      <c r="B983" s="5" t="str">
        <f ca="1">IFERROR(__xludf.DUMMYFUNCTION("""COMPUTED_VALUE"""),"Handgun")</f>
        <v>Handgun</v>
      </c>
      <c r="C983" s="5" t="str">
        <f ca="1">IFERROR(__xludf.DUMMYFUNCTION("""COMPUTED_VALUE"""),"Unknown")</f>
        <v>Unknown</v>
      </c>
      <c r="D983" s="5"/>
    </row>
    <row r="984" spans="1:4" ht="13">
      <c r="A984" s="5" t="str">
        <f ca="1">IFERROR(__xludf.DUMMYFUNCTION("""COMPUTED_VALUE"""),"20171209ILCHC")</f>
        <v>20171209ILCHC</v>
      </c>
      <c r="B984" s="5" t="str">
        <f ca="1">IFERROR(__xludf.DUMMYFUNCTION("""COMPUTED_VALUE"""),"Handgun")</f>
        <v>Handgun</v>
      </c>
      <c r="C984" s="5" t="str">
        <f ca="1">IFERROR(__xludf.DUMMYFUNCTION("""COMPUTED_VALUE"""),"Unknown")</f>
        <v>Unknown</v>
      </c>
      <c r="D984" s="5"/>
    </row>
    <row r="985" spans="1:4" ht="13">
      <c r="A985" s="5" t="str">
        <f ca="1">IFERROR(__xludf.DUMMYFUNCTION("""COMPUTED_VALUE"""),"20171207NMAZA")</f>
        <v>20171207NMAZA</v>
      </c>
      <c r="B985" s="5" t="str">
        <f ca="1">IFERROR(__xludf.DUMMYFUNCTION("""COMPUTED_VALUE"""),"Handgun")</f>
        <v>Handgun</v>
      </c>
      <c r="C985" s="5" t="str">
        <f ca="1">IFERROR(__xludf.DUMMYFUNCTION("""COMPUTED_VALUE"""),"9mm")</f>
        <v>9mm</v>
      </c>
      <c r="D985" s="5"/>
    </row>
    <row r="986" spans="1:4" ht="13">
      <c r="A986" s="5" t="str">
        <f ca="1">IFERROR(__xludf.DUMMYFUNCTION("""COMPUTED_VALUE"""),"20171130VASAV")</f>
        <v>20171130VASAV</v>
      </c>
      <c r="B986" s="5" t="str">
        <f ca="1">IFERROR(__xludf.DUMMYFUNCTION("""COMPUTED_VALUE"""),"No Data")</f>
        <v>No Data</v>
      </c>
      <c r="C986" s="5"/>
      <c r="D986" s="5"/>
    </row>
    <row r="987" spans="1:4" ht="13">
      <c r="A987" s="5" t="str">
        <f ca="1">IFERROR(__xludf.DUMMYFUNCTION("""COMPUTED_VALUE"""),"20171129OHBAL")</f>
        <v>20171129OHBAL</v>
      </c>
      <c r="B987" s="5" t="str">
        <f ca="1">IFERROR(__xludf.DUMMYFUNCTION("""COMPUTED_VALUE"""),"Handgun")</f>
        <v>Handgun</v>
      </c>
      <c r="C987" s="5" t="str">
        <f ca="1">IFERROR(__xludf.DUMMYFUNCTION("""COMPUTED_VALUE"""),"Unknown")</f>
        <v>Unknown</v>
      </c>
      <c r="D987" s="5"/>
    </row>
    <row r="988" spans="1:4" ht="13">
      <c r="A988" s="5" t="str">
        <f ca="1">IFERROR(__xludf.DUMMYFUNCTION("""COMPUTED_VALUE"""),"20171128CABOS")</f>
        <v>20171128CABOS</v>
      </c>
      <c r="B988" s="5" t="str">
        <f ca="1">IFERROR(__xludf.DUMMYFUNCTION("""COMPUTED_VALUE"""),"Shotgun")</f>
        <v>Shotgun</v>
      </c>
      <c r="C988" s="5" t="str">
        <f ca="1">IFERROR(__xludf.DUMMYFUNCTION("""COMPUTED_VALUE"""),"Unknown")</f>
        <v>Unknown</v>
      </c>
      <c r="D988" s="5"/>
    </row>
    <row r="989" spans="1:4" ht="13">
      <c r="A989" s="5" t="str">
        <f ca="1">IFERROR(__xludf.DUMMYFUNCTION("""COMPUTED_VALUE"""),"20171123COMAD")</f>
        <v>20171123COMAD</v>
      </c>
      <c r="B989" s="5" t="str">
        <f ca="1">IFERROR(__xludf.DUMMYFUNCTION("""COMPUTED_VALUE"""),"No Data")</f>
        <v>No Data</v>
      </c>
      <c r="C989" s="5"/>
      <c r="D989" s="5"/>
    </row>
    <row r="990" spans="1:4" ht="13">
      <c r="A990" s="5" t="str">
        <f ca="1">IFERROR(__xludf.DUMMYFUNCTION("""COMPUTED_VALUE"""),"20171117TNNOJ")</f>
        <v>20171117TNNOJ</v>
      </c>
      <c r="B990" s="5" t="str">
        <f ca="1">IFERROR(__xludf.DUMMYFUNCTION("""COMPUTED_VALUE"""),"No Data")</f>
        <v>No Data</v>
      </c>
      <c r="C990" s="5"/>
      <c r="D990" s="5"/>
    </row>
    <row r="991" spans="1:4" ht="13">
      <c r="A991" s="5" t="str">
        <f ca="1">IFERROR(__xludf.DUMMYFUNCTION("""COMPUTED_VALUE"""),"20171114FLLAM")</f>
        <v>20171114FLLAM</v>
      </c>
      <c r="B991" s="5" t="str">
        <f ca="1">IFERROR(__xludf.DUMMYFUNCTION("""COMPUTED_VALUE"""),"Handgun")</f>
        <v>Handgun</v>
      </c>
      <c r="C991" s="5" t="str">
        <f ca="1">IFERROR(__xludf.DUMMYFUNCTION("""COMPUTED_VALUE"""),"Unknown")</f>
        <v>Unknown</v>
      </c>
      <c r="D991" s="5"/>
    </row>
    <row r="992" spans="1:4" ht="13">
      <c r="A992" s="5" t="str">
        <f ca="1">IFERROR(__xludf.DUMMYFUNCTION("""COMPUTED_VALUE"""),"20171114CARAR")</f>
        <v>20171114CARAR</v>
      </c>
      <c r="B992" s="5" t="str">
        <f ca="1">IFERROR(__xludf.DUMMYFUNCTION("""COMPUTED_VALUE"""),"Handgun")</f>
        <v>Handgun</v>
      </c>
      <c r="C992" s="5" t="str">
        <f ca="1">IFERROR(__xludf.DUMMYFUNCTION("""COMPUTED_VALUE"""),"Unknown")</f>
        <v>Unknown</v>
      </c>
      <c r="D992" s="5" t="str">
        <f ca="1">IFERROR(__xludf.DUMMYFUNCTION("""COMPUTED_VALUE"""),"2 Semi-automatic Rifles and 2 handguns")</f>
        <v>2 Semi-automatic Rifles and 2 handguns</v>
      </c>
    </row>
    <row r="993" spans="1:4" ht="13">
      <c r="A993" s="5" t="str">
        <f ca="1">IFERROR(__xludf.DUMMYFUNCTION("""COMPUTED_VALUE"""),"20171114CARAR")</f>
        <v>20171114CARAR</v>
      </c>
      <c r="B993" s="5" t="str">
        <f ca="1">IFERROR(__xludf.DUMMYFUNCTION("""COMPUTED_VALUE"""),"Handgun")</f>
        <v>Handgun</v>
      </c>
      <c r="C993" s="5" t="str">
        <f ca="1">IFERROR(__xludf.DUMMYFUNCTION("""COMPUTED_VALUE"""),"Unknown")</f>
        <v>Unknown</v>
      </c>
      <c r="D993" s="5" t="str">
        <f ca="1">IFERROR(__xludf.DUMMYFUNCTION("""COMPUTED_VALUE"""),"2 Semi-automatic Rifles and 2 handguns")</f>
        <v>2 Semi-automatic Rifles and 2 handguns</v>
      </c>
    </row>
    <row r="994" spans="1:4" ht="13">
      <c r="A994" s="5" t="str">
        <f ca="1">IFERROR(__xludf.DUMMYFUNCTION("""COMPUTED_VALUE"""),"20171114CARAR")</f>
        <v>20171114CARAR</v>
      </c>
      <c r="B994" s="5" t="str">
        <f ca="1">IFERROR(__xludf.DUMMYFUNCTION("""COMPUTED_VALUE"""),"Rifle")</f>
        <v>Rifle</v>
      </c>
      <c r="C994" s="5" t="str">
        <f ca="1">IFERROR(__xludf.DUMMYFUNCTION("""COMPUTED_VALUE"""),"Semiautomatic")</f>
        <v>Semiautomatic</v>
      </c>
      <c r="D994" s="5" t="str">
        <f ca="1">IFERROR(__xludf.DUMMYFUNCTION("""COMPUTED_VALUE"""),"2 Semi-automatic Rifles and 2 handguns")</f>
        <v>2 Semi-automatic Rifles and 2 handguns</v>
      </c>
    </row>
    <row r="995" spans="1:4" ht="13">
      <c r="A995" s="5" t="str">
        <f ca="1">IFERROR(__xludf.DUMMYFUNCTION("""COMPUTED_VALUE"""),"20171114CARAR")</f>
        <v>20171114CARAR</v>
      </c>
      <c r="B995" s="5" t="str">
        <f ca="1">IFERROR(__xludf.DUMMYFUNCTION("""COMPUTED_VALUE"""),"Rifle")</f>
        <v>Rifle</v>
      </c>
      <c r="C995" s="5" t="str">
        <f ca="1">IFERROR(__xludf.DUMMYFUNCTION("""COMPUTED_VALUE"""),"Semiautomatic")</f>
        <v>Semiautomatic</v>
      </c>
      <c r="D995" s="5" t="str">
        <f ca="1">IFERROR(__xludf.DUMMYFUNCTION("""COMPUTED_VALUE"""),"2 Semi-automatic Rifles and 2 handguns")</f>
        <v>2 Semi-automatic Rifles and 2 handguns</v>
      </c>
    </row>
    <row r="996" spans="1:4" ht="13">
      <c r="A996" s="5" t="str">
        <f ca="1">IFERROR(__xludf.DUMMYFUNCTION("""COMPUTED_VALUE"""),"20171110GALAM")</f>
        <v>20171110GALAM</v>
      </c>
      <c r="B996" s="5" t="str">
        <f ca="1">IFERROR(__xludf.DUMMYFUNCTION("""COMPUTED_VALUE"""),"Handgun")</f>
        <v>Handgun</v>
      </c>
      <c r="C996" s="5" t="str">
        <f ca="1">IFERROR(__xludf.DUMMYFUNCTION("""COMPUTED_VALUE"""),"9mm")</f>
        <v>9mm</v>
      </c>
      <c r="D996" s="5"/>
    </row>
    <row r="997" spans="1:4" ht="13">
      <c r="A997" s="5" t="str">
        <f ca="1">IFERROR(__xludf.DUMMYFUNCTION("""COMPUTED_VALUE"""),"20171109GABEC")</f>
        <v>20171109GABEC</v>
      </c>
      <c r="B997" s="5" t="str">
        <f ca="1">IFERROR(__xludf.DUMMYFUNCTION("""COMPUTED_VALUE"""),"Handgun")</f>
        <v>Handgun</v>
      </c>
      <c r="C997" s="5" t="str">
        <f ca="1">IFERROR(__xludf.DUMMYFUNCTION("""COMPUTED_VALUE"""),"Unknown")</f>
        <v>Unknown</v>
      </c>
      <c r="D997" s="5"/>
    </row>
    <row r="998" spans="1:4" ht="13">
      <c r="A998" s="5" t="str">
        <f ca="1">IFERROR(__xludf.DUMMYFUNCTION("""COMPUTED_VALUE"""),"20171103MIPAL")</f>
        <v>20171103MIPAL</v>
      </c>
      <c r="B998" s="5" t="str">
        <f ca="1">IFERROR(__xludf.DUMMYFUNCTION("""COMPUTED_VALUE"""),"Handgun")</f>
        <v>Handgun</v>
      </c>
      <c r="C998" s="5" t="str">
        <f ca="1">IFERROR(__xludf.DUMMYFUNCTION("""COMPUTED_VALUE"""),"Unknown")</f>
        <v>Unknown</v>
      </c>
      <c r="D998" s="5"/>
    </row>
    <row r="999" spans="1:4" ht="13">
      <c r="A999" s="5" t="str">
        <f ca="1">IFERROR(__xludf.DUMMYFUNCTION("""COMPUTED_VALUE"""),"20171027NYPRU")</f>
        <v>20171027NYPRU</v>
      </c>
      <c r="B999" s="5" t="str">
        <f ca="1">IFERROR(__xludf.DUMMYFUNCTION("""COMPUTED_VALUE"""),"No Data")</f>
        <v>No Data</v>
      </c>
      <c r="C999" s="5"/>
      <c r="D999" s="5"/>
    </row>
    <row r="1000" spans="1:4" ht="13">
      <c r="A1000" s="5" t="str">
        <f ca="1">IFERROR(__xludf.DUMMYFUNCTION("""COMPUTED_VALUE"""),"20171020OHSTT")</f>
        <v>20171020OHSTT</v>
      </c>
      <c r="B1000" s="5" t="str">
        <f ca="1">IFERROR(__xludf.DUMMYFUNCTION("""COMPUTED_VALUE"""),"Handgun")</f>
        <v>Handgun</v>
      </c>
      <c r="C1000" s="5" t="str">
        <f ca="1">IFERROR(__xludf.DUMMYFUNCTION("""COMPUTED_VALUE"""),"Unknown")</f>
        <v>Unknown</v>
      </c>
      <c r="D1000" s="5"/>
    </row>
    <row r="1001" spans="1:4" ht="13">
      <c r="A1001" s="5" t="str">
        <f ca="1">IFERROR(__xludf.DUMMYFUNCTION("""COMPUTED_VALUE"""),"20171014NCKEK")</f>
        <v>20171014NCKEK</v>
      </c>
      <c r="B1001" s="5" t="str">
        <f ca="1">IFERROR(__xludf.DUMMYFUNCTION("""COMPUTED_VALUE"""),"Handgun")</f>
        <v>Handgun</v>
      </c>
      <c r="C1001" s="5" t="str">
        <f ca="1">IFERROR(__xludf.DUMMYFUNCTION("""COMPUTED_VALUE"""),"9mm")</f>
        <v>9mm</v>
      </c>
      <c r="D1001" s="5"/>
    </row>
    <row r="1002" spans="1:4" ht="13">
      <c r="A1002" s="5" t="str">
        <f ca="1">IFERROR(__xludf.DUMMYFUNCTION("""COMPUTED_VALUE"""),"20171012NCCHC")</f>
        <v>20171012NCCHC</v>
      </c>
      <c r="B1002" s="5" t="str">
        <f ca="1">IFERROR(__xludf.DUMMYFUNCTION("""COMPUTED_VALUE"""),"Handgun")</f>
        <v>Handgun</v>
      </c>
      <c r="C1002" s="5" t="str">
        <f ca="1">IFERROR(__xludf.DUMMYFUNCTION("""COMPUTED_VALUE"""),"Unknown")</f>
        <v>Unknown</v>
      </c>
      <c r="D1002" s="5"/>
    </row>
    <row r="1003" spans="1:4" ht="13">
      <c r="A1003" s="5" t="str">
        <f ca="1">IFERROR(__xludf.DUMMYFUNCTION("""COMPUTED_VALUE"""),"20170930PAPUC")</f>
        <v>20170930PAPUC</v>
      </c>
      <c r="B1003" s="5" t="str">
        <f ca="1">IFERROR(__xludf.DUMMYFUNCTION("""COMPUTED_VALUE"""),"Handgun")</f>
        <v>Handgun</v>
      </c>
      <c r="C1003" s="5" t="str">
        <f ca="1">IFERROR(__xludf.DUMMYFUNCTION("""COMPUTED_VALUE"""),".38 caliber")</f>
        <v>.38 caliber</v>
      </c>
      <c r="D1003" s="5"/>
    </row>
    <row r="1004" spans="1:4" ht="13">
      <c r="A1004" s="5" t="str">
        <f ca="1">IFERROR(__xludf.DUMMYFUNCTION("""COMPUTED_VALUE"""),"20170929MOLEL")</f>
        <v>20170929MOLEL</v>
      </c>
      <c r="B1004" s="5" t="str">
        <f ca="1">IFERROR(__xludf.DUMMYFUNCTION("""COMPUTED_VALUE"""),"No Data")</f>
        <v>No Data</v>
      </c>
      <c r="C1004" s="5"/>
      <c r="D1004" s="5"/>
    </row>
    <row r="1005" spans="1:4" ht="13">
      <c r="A1005" s="5" t="str">
        <f ca="1">IFERROR(__xludf.DUMMYFUNCTION("""COMPUTED_VALUE"""),"20170929CASUL")</f>
        <v>20170929CASUL</v>
      </c>
      <c r="B1005" s="5" t="str">
        <f ca="1">IFERROR(__xludf.DUMMYFUNCTION("""COMPUTED_VALUE"""),"Other")</f>
        <v>Other</v>
      </c>
      <c r="C1005" s="5" t="str">
        <f ca="1">IFERROR(__xludf.DUMMYFUNCTION("""COMPUTED_VALUE"""),"BB")</f>
        <v>BB</v>
      </c>
      <c r="D1005" s="5"/>
    </row>
    <row r="1006" spans="1:4" ht="13">
      <c r="A1006" s="5" t="str">
        <f ca="1">IFERROR(__xludf.DUMMYFUNCTION("""COMPUTED_VALUE"""),"20170928KYSOL")</f>
        <v>20170928KYSOL</v>
      </c>
      <c r="B1006" s="5" t="str">
        <f ca="1">IFERROR(__xludf.DUMMYFUNCTION("""COMPUTED_VALUE"""),"No Data")</f>
        <v>No Data</v>
      </c>
      <c r="C1006" s="5"/>
      <c r="D1006" s="5"/>
    </row>
    <row r="1007" spans="1:4" ht="13">
      <c r="A1007" s="5" t="str">
        <f ca="1">IFERROR(__xludf.DUMMYFUNCTION("""COMPUTED_VALUE"""),"20170920ILMAM")</f>
        <v>20170920ILMAM</v>
      </c>
      <c r="B1007" s="5" t="str">
        <f ca="1">IFERROR(__xludf.DUMMYFUNCTION("""COMPUTED_VALUE"""),"Handgun")</f>
        <v>Handgun</v>
      </c>
      <c r="C1007" s="5" t="str">
        <f ca="1">IFERROR(__xludf.DUMMYFUNCTION("""COMPUTED_VALUE"""),".40 caliber")</f>
        <v>.40 caliber</v>
      </c>
      <c r="D1007" s="5"/>
    </row>
    <row r="1008" spans="1:4" ht="13">
      <c r="A1008" s="5" t="str">
        <f ca="1">IFERROR(__xludf.DUMMYFUNCTION("""COMPUTED_VALUE"""),"20170913WAFRR")</f>
        <v>20170913WAFRR</v>
      </c>
      <c r="B1008" s="5" t="str">
        <f ca="1">IFERROR(__xludf.DUMMYFUNCTION("""COMPUTED_VALUE"""),"Handgun")</f>
        <v>Handgun</v>
      </c>
      <c r="C1008" s="5" t="str">
        <f ca="1">IFERROR(__xludf.DUMMYFUNCTION("""COMPUTED_VALUE"""),".32 caliber")</f>
        <v>.32 caliber</v>
      </c>
      <c r="D1008" s="5" t="str">
        <f ca="1">IFERROR(__xludf.DUMMYFUNCTION("""COMPUTED_VALUE"""),"Handgun and AR15 rifle")</f>
        <v>Handgun and AR15 rifle</v>
      </c>
    </row>
    <row r="1009" spans="1:4" ht="13">
      <c r="A1009" s="5" t="str">
        <f ca="1">IFERROR(__xludf.DUMMYFUNCTION("""COMPUTED_VALUE"""),"20170913WAFRR")</f>
        <v>20170913WAFRR</v>
      </c>
      <c r="B1009" s="5" t="str">
        <f ca="1">IFERROR(__xludf.DUMMYFUNCTION("""COMPUTED_VALUE"""),"Rifle")</f>
        <v>Rifle</v>
      </c>
      <c r="C1009" s="5" t="str">
        <f ca="1">IFERROR(__xludf.DUMMYFUNCTION("""COMPUTED_VALUE"""),"AR-15")</f>
        <v>AR-15</v>
      </c>
      <c r="D1009" s="5" t="str">
        <f ca="1">IFERROR(__xludf.DUMMYFUNCTION("""COMPUTED_VALUE"""),"Handgun and AR15 rifle")</f>
        <v>Handgun and AR15 rifle</v>
      </c>
    </row>
    <row r="1010" spans="1:4" ht="13">
      <c r="A1010" s="5" t="str">
        <f ca="1">IFERROR(__xludf.DUMMYFUNCTION("""COMPUTED_VALUE"""),"20170908OHCOC")</f>
        <v>20170908OHCOC</v>
      </c>
      <c r="B1010" s="5" t="str">
        <f ca="1">IFERROR(__xludf.DUMMYFUNCTION("""COMPUTED_VALUE"""),"Handgun")</f>
        <v>Handgun</v>
      </c>
      <c r="C1010" s="5" t="str">
        <f ca="1">IFERROR(__xludf.DUMMYFUNCTION("""COMPUTED_VALUE"""),".38 caliber")</f>
        <v>.38 caliber</v>
      </c>
      <c r="D1010" s="5"/>
    </row>
    <row r="1011" spans="1:4" ht="13">
      <c r="A1011" s="5" t="str">
        <f ca="1">IFERROR(__xludf.DUMMYFUNCTION("""COMPUTED_VALUE"""),"20170908ARNON")</f>
        <v>20170908ARNON</v>
      </c>
      <c r="B1011" s="5" t="str">
        <f ca="1">IFERROR(__xludf.DUMMYFUNCTION("""COMPUTED_VALUE"""),"No Data")</f>
        <v>No Data</v>
      </c>
      <c r="C1011" s="5"/>
      <c r="D1011" s="5"/>
    </row>
    <row r="1012" spans="1:4" ht="13">
      <c r="A1012" s="5" t="str">
        <f ca="1">IFERROR(__xludf.DUMMYFUNCTION("""COMPUTED_VALUE"""),"20170831CAARS")</f>
        <v>20170831CAARS</v>
      </c>
      <c r="B1012" s="5" t="str">
        <f ca="1">IFERROR(__xludf.DUMMYFUNCTION("""COMPUTED_VALUE"""),"Handgun")</f>
        <v>Handgun</v>
      </c>
      <c r="C1012" s="5" t="str">
        <f ca="1">IFERROR(__xludf.DUMMYFUNCTION("""COMPUTED_VALUE"""),"Unknown")</f>
        <v>Unknown</v>
      </c>
      <c r="D1012" s="5"/>
    </row>
    <row r="1013" spans="1:4" ht="13">
      <c r="A1013" s="5" t="str">
        <f ca="1">IFERROR(__xludf.DUMMYFUNCTION("""COMPUTED_VALUE"""),"20170817GALIL")</f>
        <v>20170817GALIL</v>
      </c>
      <c r="B1013" s="5" t="str">
        <f ca="1">IFERROR(__xludf.DUMMYFUNCTION("""COMPUTED_VALUE"""),"No Data")</f>
        <v>No Data</v>
      </c>
      <c r="C1013" s="5"/>
      <c r="D1013" s="5"/>
    </row>
    <row r="1014" spans="1:4" ht="13">
      <c r="A1014" s="5" t="str">
        <f ca="1">IFERROR(__xludf.DUMMYFUNCTION("""COMPUTED_VALUE"""),"20170813NYHUH")</f>
        <v>20170813NYHUH</v>
      </c>
      <c r="B1014" s="5"/>
      <c r="C1014" s="5"/>
      <c r="D1014" s="5"/>
    </row>
    <row r="1015" spans="1:4" ht="13">
      <c r="A1015" s="5" t="str">
        <f ca="1">IFERROR(__xludf.DUMMYFUNCTION("""COMPUTED_VALUE"""),"20170801GABAV")</f>
        <v>20170801GABAV</v>
      </c>
      <c r="B1015" s="5" t="str">
        <f ca="1">IFERROR(__xludf.DUMMYFUNCTION("""COMPUTED_VALUE"""),"Handgun")</f>
        <v>Handgun</v>
      </c>
      <c r="C1015" s="5" t="str">
        <f ca="1">IFERROR(__xludf.DUMMYFUNCTION("""COMPUTED_VALUE"""),"Unknown")</f>
        <v>Unknown</v>
      </c>
      <c r="D1015" s="5"/>
    </row>
    <row r="1016" spans="1:4" ht="13">
      <c r="A1016" s="5" t="str">
        <f ca="1">IFERROR(__xludf.DUMMYFUNCTION("""COMPUTED_VALUE"""),"20170721UTSPS")</f>
        <v>20170721UTSPS</v>
      </c>
      <c r="B1016" s="5" t="str">
        <f ca="1">IFERROR(__xludf.DUMMYFUNCTION("""COMPUTED_VALUE"""),"Handgun")</f>
        <v>Handgun</v>
      </c>
      <c r="C1016" s="5" t="str">
        <f ca="1">IFERROR(__xludf.DUMMYFUNCTION("""COMPUTED_VALUE"""),".38 caliber")</f>
        <v>.38 caliber</v>
      </c>
      <c r="D1016" s="5"/>
    </row>
    <row r="1017" spans="1:4" ht="13">
      <c r="A1017" s="5" t="str">
        <f ca="1">IFERROR(__xludf.DUMMYFUNCTION("""COMPUTED_VALUE"""),"20170719WIHIM")</f>
        <v>20170719WIHIM</v>
      </c>
      <c r="B1017" s="5" t="str">
        <f ca="1">IFERROR(__xludf.DUMMYFUNCTION("""COMPUTED_VALUE"""),"Handgun")</f>
        <v>Handgun</v>
      </c>
      <c r="C1017" s="5" t="str">
        <f ca="1">IFERROR(__xludf.DUMMYFUNCTION("""COMPUTED_VALUE"""),"Unknown")</f>
        <v>Unknown</v>
      </c>
      <c r="D1017" s="5"/>
    </row>
    <row r="1018" spans="1:4" ht="13">
      <c r="A1018" s="5" t="str">
        <f ca="1">IFERROR(__xludf.DUMMYFUNCTION("""COMPUTED_VALUE"""),"20170622SCWIF")</f>
        <v>20170622SCWIF</v>
      </c>
      <c r="B1018" s="5" t="str">
        <f ca="1">IFERROR(__xludf.DUMMYFUNCTION("""COMPUTED_VALUE"""),"Handgun")</f>
        <v>Handgun</v>
      </c>
      <c r="C1018" s="5" t="str">
        <f ca="1">IFERROR(__xludf.DUMMYFUNCTION("""COMPUTED_VALUE"""),"Unknown")</f>
        <v>Unknown</v>
      </c>
      <c r="D1018" s="5"/>
    </row>
    <row r="1019" spans="1:4" ht="13">
      <c r="A1019" s="5" t="str">
        <f ca="1">IFERROR(__xludf.DUMMYFUNCTION("""COMPUTED_VALUE"""),"20170616ILWAC")</f>
        <v>20170616ILWAC</v>
      </c>
      <c r="B1019" s="5" t="str">
        <f ca="1">IFERROR(__xludf.DUMMYFUNCTION("""COMPUTED_VALUE"""),"Handgun")</f>
        <v>Handgun</v>
      </c>
      <c r="C1019" s="5" t="str">
        <f ca="1">IFERROR(__xludf.DUMMYFUNCTION("""COMPUTED_VALUE"""),"Unknown")</f>
        <v>Unknown</v>
      </c>
      <c r="D1019" s="5"/>
    </row>
    <row r="1020" spans="1:4" ht="13">
      <c r="A1020" s="5" t="str">
        <f ca="1">IFERROR(__xludf.DUMMYFUNCTION("""COMPUTED_VALUE"""),"20170526OKMCT")</f>
        <v>20170526OKMCT</v>
      </c>
      <c r="B1020" s="5" t="str">
        <f ca="1">IFERROR(__xludf.DUMMYFUNCTION("""COMPUTED_VALUE"""),"Handgun")</f>
        <v>Handgun</v>
      </c>
      <c r="C1020" s="5" t="str">
        <f ca="1">IFERROR(__xludf.DUMMYFUNCTION("""COMPUTED_VALUE"""),"Unknown")</f>
        <v>Unknown</v>
      </c>
      <c r="D1020" s="5"/>
    </row>
    <row r="1021" spans="1:4" ht="13">
      <c r="A1021" s="5" t="str">
        <f ca="1">IFERROR(__xludf.DUMMYFUNCTION("""COMPUTED_VALUE"""),"20170524NEMCO")</f>
        <v>20170524NEMCO</v>
      </c>
      <c r="B1021" s="5" t="str">
        <f ca="1">IFERROR(__xludf.DUMMYFUNCTION("""COMPUTED_VALUE"""),"No Data")</f>
        <v>No Data</v>
      </c>
      <c r="C1021" s="5"/>
      <c r="D1021" s="5"/>
    </row>
    <row r="1022" spans="1:4" ht="13">
      <c r="A1022" s="5" t="str">
        <f ca="1">IFERROR(__xludf.DUMMYFUNCTION("""COMPUTED_VALUE"""),"20170524ALGRG")</f>
        <v>20170524ALGRG</v>
      </c>
      <c r="B1022" s="5" t="str">
        <f ca="1">IFERROR(__xludf.DUMMYFUNCTION("""COMPUTED_VALUE"""),"Handgun")</f>
        <v>Handgun</v>
      </c>
      <c r="C1022" s="5" t="str">
        <f ca="1">IFERROR(__xludf.DUMMYFUNCTION("""COMPUTED_VALUE"""),".22 caliber")</f>
        <v>.22 caliber</v>
      </c>
      <c r="D1022" s="5"/>
    </row>
    <row r="1023" spans="1:4" ht="13">
      <c r="A1023" s="5" t="str">
        <f ca="1">IFERROR(__xludf.DUMMYFUNCTION("""COMPUTED_VALUE"""),"20170523TXKEK")</f>
        <v>20170523TXKEK</v>
      </c>
      <c r="B1023" s="5" t="str">
        <f ca="1">IFERROR(__xludf.DUMMYFUNCTION("""COMPUTED_VALUE"""),"Handgun")</f>
        <v>Handgun</v>
      </c>
      <c r="C1023" s="5" t="str">
        <f ca="1">IFERROR(__xludf.DUMMYFUNCTION("""COMPUTED_VALUE"""),".38 caliber")</f>
        <v>.38 caliber</v>
      </c>
      <c r="D1023" s="5"/>
    </row>
    <row r="1024" spans="1:4" ht="13">
      <c r="A1024" s="5" t="str">
        <f ca="1">IFERROR(__xludf.DUMMYFUNCTION("""COMPUTED_VALUE"""),"20170515LAMOL")</f>
        <v>20170515LAMOL</v>
      </c>
      <c r="B1024" s="5" t="str">
        <f ca="1">IFERROR(__xludf.DUMMYFUNCTION("""COMPUTED_VALUE"""),"Handgun")</f>
        <v>Handgun</v>
      </c>
      <c r="C1024" s="5" t="str">
        <f ca="1">IFERROR(__xludf.DUMMYFUNCTION("""COMPUTED_VALUE"""),".38 caliber")</f>
        <v>.38 caliber</v>
      </c>
      <c r="D1024" s="5"/>
    </row>
    <row r="1025" spans="1:4" ht="13">
      <c r="A1025" s="5" t="str">
        <f ca="1">IFERROR(__xludf.DUMMYFUNCTION("""COMPUTED_VALUE"""),"20170415ORMEP")</f>
        <v>20170415ORMEP</v>
      </c>
      <c r="B1025" s="5" t="str">
        <f ca="1">IFERROR(__xludf.DUMMYFUNCTION("""COMPUTED_VALUE"""),"Handgun")</f>
        <v>Handgun</v>
      </c>
      <c r="C1025" s="5"/>
      <c r="D1025" s="5"/>
    </row>
    <row r="1026" spans="1:4" ht="13">
      <c r="A1026" s="5" t="str">
        <f ca="1">IFERROR(__xludf.DUMMYFUNCTION("""COMPUTED_VALUE"""),"20170415OKBOT")</f>
        <v>20170415OKBOT</v>
      </c>
      <c r="B1026" s="5" t="str">
        <f ca="1">IFERROR(__xludf.DUMMYFUNCTION("""COMPUTED_VALUE"""),"No Data")</f>
        <v>No Data</v>
      </c>
      <c r="C1026" s="5"/>
      <c r="D1026" s="5"/>
    </row>
    <row r="1027" spans="1:4" ht="13">
      <c r="A1027" s="5" t="str">
        <f ca="1">IFERROR(__xludf.DUMMYFUNCTION("""COMPUTED_VALUE"""),"20170410CANOS")</f>
        <v>20170410CANOS</v>
      </c>
      <c r="B1027" s="5" t="str">
        <f ca="1">IFERROR(__xludf.DUMMYFUNCTION("""COMPUTED_VALUE"""),"Handgun")</f>
        <v>Handgun</v>
      </c>
      <c r="C1027" s="5" t="str">
        <f ca="1">IFERROR(__xludf.DUMMYFUNCTION("""COMPUTED_VALUE"""),".357 caliber")</f>
        <v>.357 caliber</v>
      </c>
      <c r="D1027" s="5"/>
    </row>
    <row r="1028" spans="1:4" ht="13">
      <c r="A1028" s="5" t="str">
        <f ca="1">IFERROR(__xludf.DUMMYFUNCTION("""COMPUTED_VALUE"""),"20170328PALIP")</f>
        <v>20170328PALIP</v>
      </c>
      <c r="B1028" s="5" t="str">
        <f ca="1">IFERROR(__xludf.DUMMYFUNCTION("""COMPUTED_VALUE"""),"Handgun")</f>
        <v>Handgun</v>
      </c>
      <c r="C1028" s="5" t="str">
        <f ca="1">IFERROR(__xludf.DUMMYFUNCTION("""COMPUTED_VALUE"""),"Unknown")</f>
        <v>Unknown</v>
      </c>
      <c r="D1028" s="5"/>
    </row>
    <row r="1029" spans="1:4" ht="13">
      <c r="A1029" s="5" t="str">
        <f ca="1">IFERROR(__xludf.DUMMYFUNCTION("""COMPUTED_VALUE"""),"20170321CAKIK")</f>
        <v>20170321CAKIK</v>
      </c>
      <c r="B1029" s="5" t="str">
        <f ca="1">IFERROR(__xludf.DUMMYFUNCTION("""COMPUTED_VALUE"""),"Handgun")</f>
        <v>Handgun</v>
      </c>
      <c r="C1029" s="5" t="str">
        <f ca="1">IFERROR(__xludf.DUMMYFUNCTION("""COMPUTED_VALUE"""),"Unknown")</f>
        <v>Unknown</v>
      </c>
      <c r="D1029" s="5"/>
    </row>
    <row r="1030" spans="1:4" ht="13">
      <c r="A1030" s="5" t="str">
        <f ca="1">IFERROR(__xludf.DUMMYFUNCTION("""COMPUTED_VALUE"""),"20170316ALROM")</f>
        <v>20170316ALROM</v>
      </c>
      <c r="B1030" s="5" t="str">
        <f ca="1">IFERROR(__xludf.DUMMYFUNCTION("""COMPUTED_VALUE"""),"Handgun")</f>
        <v>Handgun</v>
      </c>
      <c r="C1030" s="5" t="str">
        <f ca="1">IFERROR(__xludf.DUMMYFUNCTION("""COMPUTED_VALUE"""),".40 caliber")</f>
        <v>.40 caliber</v>
      </c>
      <c r="D1030" s="5"/>
    </row>
    <row r="1031" spans="1:4" ht="13">
      <c r="A1031" s="5" t="str">
        <f ca="1">IFERROR(__xludf.DUMMYFUNCTION("""COMPUTED_VALUE"""),"20170218MNMAM")</f>
        <v>20170218MNMAM</v>
      </c>
      <c r="B1031" s="5" t="str">
        <f ca="1">IFERROR(__xludf.DUMMYFUNCTION("""COMPUTED_VALUE"""),"Handgun")</f>
        <v>Handgun</v>
      </c>
      <c r="C1031" s="5" t="str">
        <f ca="1">IFERROR(__xludf.DUMMYFUNCTION("""COMPUTED_VALUE"""),"Unknown")</f>
        <v>Unknown</v>
      </c>
      <c r="D1031" s="5"/>
    </row>
    <row r="1032" spans="1:4" ht="13">
      <c r="A1032" s="5" t="str">
        <f ca="1">IFERROR(__xludf.DUMMYFUNCTION("""COMPUTED_VALUE"""),"20170206LASCB")</f>
        <v>20170206LASCB</v>
      </c>
      <c r="B1032" s="5" t="str">
        <f ca="1">IFERROR(__xludf.DUMMYFUNCTION("""COMPUTED_VALUE"""),"Handgun")</f>
        <v>Handgun</v>
      </c>
      <c r="C1032" s="5" t="str">
        <f ca="1">IFERROR(__xludf.DUMMYFUNCTION("""COMPUTED_VALUE"""),"Unknown")</f>
        <v>Unknown</v>
      </c>
      <c r="D1032" s="5"/>
    </row>
    <row r="1033" spans="1:4" ht="13">
      <c r="A1033" s="5" t="str">
        <f ca="1">IFERROR(__xludf.DUMMYFUNCTION("""COMPUTED_VALUE"""),"20170127SCSOA")</f>
        <v>20170127SCSOA</v>
      </c>
      <c r="B1033" s="5" t="str">
        <f ca="1">IFERROR(__xludf.DUMMYFUNCTION("""COMPUTED_VALUE"""),"Handgun")</f>
        <v>Handgun</v>
      </c>
      <c r="C1033" s="5" t="str">
        <f ca="1">IFERROR(__xludf.DUMMYFUNCTION("""COMPUTED_VALUE"""),"9mm")</f>
        <v>9mm</v>
      </c>
      <c r="D1033" s="5"/>
    </row>
    <row r="1034" spans="1:4" ht="13">
      <c r="A1034" s="5" t="str">
        <f ca="1">IFERROR(__xludf.DUMMYFUNCTION("""COMPUTED_VALUE"""),"20170127ILSCN")</f>
        <v>20170127ILSCN</v>
      </c>
      <c r="B1034" s="5" t="str">
        <f ca="1">IFERROR(__xludf.DUMMYFUNCTION("""COMPUTED_VALUE"""),"Handgun")</f>
        <v>Handgun</v>
      </c>
      <c r="C1034" s="5"/>
      <c r="D1034" s="5"/>
    </row>
    <row r="1035" spans="1:4" ht="13">
      <c r="A1035" s="5" t="str">
        <f ca="1">IFERROR(__xludf.DUMMYFUNCTION("""COMPUTED_VALUE"""),"20170120OHWEW")</f>
        <v>20170120OHWEW</v>
      </c>
      <c r="B1035" s="5" t="str">
        <f ca="1">IFERROR(__xludf.DUMMYFUNCTION("""COMPUTED_VALUE"""),"Shotgun")</f>
        <v>Shotgun</v>
      </c>
      <c r="C1035" s="5" t="str">
        <f ca="1">IFERROR(__xludf.DUMMYFUNCTION("""COMPUTED_VALUE"""),"12 gauge")</f>
        <v>12 gauge</v>
      </c>
      <c r="D1035" s="5"/>
    </row>
    <row r="1036" spans="1:4" ht="13">
      <c r="A1036" s="5" t="str">
        <f ca="1">IFERROR(__xludf.DUMMYFUNCTION("""COMPUTED_VALUE"""),"20170117FLFRE")</f>
        <v>20170117FLFRE</v>
      </c>
      <c r="B1036" s="5" t="str">
        <f ca="1">IFERROR(__xludf.DUMMYFUNCTION("""COMPUTED_VALUE"""),"No Data")</f>
        <v>No Data</v>
      </c>
      <c r="C1036" s="5"/>
      <c r="D1036" s="5"/>
    </row>
    <row r="1037" spans="1:4" ht="13">
      <c r="A1037" s="5" t="str">
        <f ca="1">IFERROR(__xludf.DUMMYFUNCTION("""COMPUTED_VALUE"""),"20170110ALALA")</f>
        <v>20170110ALALA</v>
      </c>
      <c r="B1037" s="5" t="str">
        <f ca="1">IFERROR(__xludf.DUMMYFUNCTION("""COMPUTED_VALUE"""),"Handgun")</f>
        <v>Handgun</v>
      </c>
      <c r="C1037" s="5" t="str">
        <f ca="1">IFERROR(__xludf.DUMMYFUNCTION("""COMPUTED_VALUE"""),"Unknown")</f>
        <v>Unknown</v>
      </c>
      <c r="D1037" s="5"/>
    </row>
    <row r="1038" spans="1:4" ht="13">
      <c r="A1038" s="5" t="str">
        <f ca="1">IFERROR(__xludf.DUMMYFUNCTION("""COMPUTED_VALUE"""),"20170101DELAH")</f>
        <v>20170101DELAH</v>
      </c>
      <c r="B1038" s="5" t="str">
        <f ca="1">IFERROR(__xludf.DUMMYFUNCTION("""COMPUTED_VALUE"""),"Handgun")</f>
        <v>Handgun</v>
      </c>
      <c r="C1038" s="5" t="str">
        <f ca="1">IFERROR(__xludf.DUMMYFUNCTION("""COMPUTED_VALUE"""),"Unknown")</f>
        <v>Unknown</v>
      </c>
      <c r="D1038" s="5"/>
    </row>
    <row r="1039" spans="1:4" ht="13">
      <c r="A1039" s="5" t="str">
        <f ca="1">IFERROR(__xludf.DUMMYFUNCTION("""COMPUTED_VALUE"""),"20161216FLSAJ")</f>
        <v>20161216FLSAJ</v>
      </c>
      <c r="B1039" s="5" t="str">
        <f ca="1">IFERROR(__xludf.DUMMYFUNCTION("""COMPUTED_VALUE"""),"Other")</f>
        <v>Other</v>
      </c>
      <c r="C1039" s="5" t="str">
        <f ca="1">IFERROR(__xludf.DUMMYFUNCTION("""COMPUTED_VALUE"""),"BB")</f>
        <v>BB</v>
      </c>
      <c r="D1039" s="5"/>
    </row>
    <row r="1040" spans="1:4" ht="13">
      <c r="A1040" s="5" t="str">
        <f ca="1">IFERROR(__xludf.DUMMYFUNCTION("""COMPUTED_VALUE"""),"20161209NVHUR")</f>
        <v>20161209NVHUR</v>
      </c>
      <c r="B1040" s="5" t="str">
        <f ca="1">IFERROR(__xludf.DUMMYFUNCTION("""COMPUTED_VALUE"""),"Handgun")</f>
        <v>Handgun</v>
      </c>
      <c r="C1040" s="5" t="str">
        <f ca="1">IFERROR(__xludf.DUMMYFUNCTION("""COMPUTED_VALUE"""),"Service Weapon")</f>
        <v>Service Weapon</v>
      </c>
      <c r="D1040" s="5"/>
    </row>
    <row r="1041" spans="1:4" ht="13">
      <c r="A1041" s="5" t="str">
        <f ca="1">IFERROR(__xludf.DUMMYFUNCTION("""COMPUTED_VALUE"""),"20161209MOBAS")</f>
        <v>20161209MOBAS</v>
      </c>
      <c r="B1041" s="5" t="str">
        <f ca="1">IFERROR(__xludf.DUMMYFUNCTION("""COMPUTED_VALUE"""),"Handgun")</f>
        <v>Handgun</v>
      </c>
      <c r="C1041" s="5" t="str">
        <f ca="1">IFERROR(__xludf.DUMMYFUNCTION("""COMPUTED_VALUE"""),"Unknown")</f>
        <v>Unknown</v>
      </c>
      <c r="D1041" s="5"/>
    </row>
    <row r="1042" spans="1:4" ht="13">
      <c r="A1042" s="5" t="str">
        <f ca="1">IFERROR(__xludf.DUMMYFUNCTION("""COMPUTED_VALUE"""),"20161201UTMUB")</f>
        <v>20161201UTMUB</v>
      </c>
      <c r="B1042" s="5" t="str">
        <f ca="1">IFERROR(__xludf.DUMMYFUNCTION("""COMPUTED_VALUE"""),"Shotgun")</f>
        <v>Shotgun</v>
      </c>
      <c r="C1042" s="5" t="str">
        <f ca="1">IFERROR(__xludf.DUMMYFUNCTION("""COMPUTED_VALUE"""),"12 gauge")</f>
        <v>12 gauge</v>
      </c>
      <c r="D1042" s="5"/>
    </row>
    <row r="1043" spans="1:4" ht="13">
      <c r="A1043" s="5" t="str">
        <f ca="1">IFERROR(__xludf.DUMMYFUNCTION("""COMPUTED_VALUE"""),"20161117MNCRS")</f>
        <v>20161117MNCRS</v>
      </c>
      <c r="B1043" s="5" t="str">
        <f ca="1">IFERROR(__xludf.DUMMYFUNCTION("""COMPUTED_VALUE"""),"Handgun")</f>
        <v>Handgun</v>
      </c>
      <c r="C1043" s="5" t="str">
        <f ca="1">IFERROR(__xludf.DUMMYFUNCTION("""COMPUTED_VALUE"""),".38 caliber")</f>
        <v>.38 caliber</v>
      </c>
      <c r="D1043" s="5"/>
    </row>
    <row r="1044" spans="1:4" ht="13">
      <c r="A1044" s="5" t="str">
        <f ca="1">IFERROR(__xludf.DUMMYFUNCTION("""COMPUTED_VALUE"""),"20161111MIBAA")</f>
        <v>20161111MIBAA</v>
      </c>
      <c r="B1044" s="5" t="str">
        <f ca="1">IFERROR(__xludf.DUMMYFUNCTION("""COMPUTED_VALUE"""),"Handgun")</f>
        <v>Handgun</v>
      </c>
      <c r="C1044" s="5" t="str">
        <f ca="1">IFERROR(__xludf.DUMMYFUNCTION("""COMPUTED_VALUE"""),".38 caliber")</f>
        <v>.38 caliber</v>
      </c>
      <c r="D1044" s="5"/>
    </row>
    <row r="1045" spans="1:4" ht="13">
      <c r="A1045" s="5" t="str">
        <f ca="1">IFERROR(__xludf.DUMMYFUNCTION("""COMPUTED_VALUE"""),"20161103COBEB")</f>
        <v>20161103COBEB</v>
      </c>
      <c r="B1045" s="5" t="str">
        <f ca="1">IFERROR(__xludf.DUMMYFUNCTION("""COMPUTED_VALUE"""),"No Data")</f>
        <v>No Data</v>
      </c>
      <c r="C1045" s="5"/>
      <c r="D1045" s="5"/>
    </row>
    <row r="1046" spans="1:4" ht="13">
      <c r="A1046" s="5" t="str">
        <f ca="1">IFERROR(__xludf.DUMMYFUNCTION("""COMPUTED_VALUE"""),"20161102COGRG")</f>
        <v>20161102COGRG</v>
      </c>
      <c r="B1046" s="5" t="str">
        <f ca="1">IFERROR(__xludf.DUMMYFUNCTION("""COMPUTED_VALUE"""),"No Data")</f>
        <v>No Data</v>
      </c>
      <c r="C1046" s="5"/>
      <c r="D1046" s="5"/>
    </row>
    <row r="1047" spans="1:4" ht="13">
      <c r="A1047" s="5" t="str">
        <f ca="1">IFERROR(__xludf.DUMMYFUNCTION("""COMPUTED_VALUE"""),"20161025UTUNS")</f>
        <v>20161025UTUNS</v>
      </c>
      <c r="B1047" s="5" t="str">
        <f ca="1">IFERROR(__xludf.DUMMYFUNCTION("""COMPUTED_VALUE"""),"Handgun")</f>
        <v>Handgun</v>
      </c>
      <c r="C1047" s="5" t="str">
        <f ca="1">IFERROR(__xludf.DUMMYFUNCTION("""COMPUTED_VALUE"""),"Unknown")</f>
        <v>Unknown</v>
      </c>
      <c r="D1047" s="5"/>
    </row>
    <row r="1048" spans="1:4" ht="13">
      <c r="A1048" s="5" t="str">
        <f ca="1">IFERROR(__xludf.DUMMYFUNCTION("""COMPUTED_VALUE"""),"20161018CAJUS")</f>
        <v>20161018CAJUS</v>
      </c>
      <c r="B1048" s="5" t="str">
        <f ca="1">IFERROR(__xludf.DUMMYFUNCTION("""COMPUTED_VALUE"""),"Multiple Unknown")</f>
        <v>Multiple Unknown</v>
      </c>
      <c r="C1048" s="5" t="str">
        <f ca="1">IFERROR(__xludf.DUMMYFUNCTION("""COMPUTED_VALUE"""),"Unknown")</f>
        <v>Unknown</v>
      </c>
      <c r="D1048" s="5"/>
    </row>
    <row r="1049" spans="1:4" ht="13">
      <c r="A1049" s="5" t="str">
        <f ca="1">IFERROR(__xludf.DUMMYFUNCTION("""COMPUTED_VALUE"""),"20161015GABEA")</f>
        <v>20161015GABEA</v>
      </c>
      <c r="B1049" s="5" t="str">
        <f ca="1">IFERROR(__xludf.DUMMYFUNCTION("""COMPUTED_VALUE"""),"No Data")</f>
        <v>No Data</v>
      </c>
      <c r="C1049" s="5"/>
      <c r="D1049" s="5"/>
    </row>
    <row r="1050" spans="1:4" ht="13">
      <c r="A1050" s="5" t="str">
        <f ca="1">IFERROR(__xludf.DUMMYFUNCTION("""COMPUTED_VALUE"""),"20161013OHLIC")</f>
        <v>20161013OHLIC</v>
      </c>
      <c r="B1050" s="5" t="str">
        <f ca="1">IFERROR(__xludf.DUMMYFUNCTION("""COMPUTED_VALUE"""),"Multiple Handguns")</f>
        <v>Multiple Handguns</v>
      </c>
      <c r="C1050" s="5" t="str">
        <f ca="1">IFERROR(__xludf.DUMMYFUNCTION("""COMPUTED_VALUE"""),"Unknown")</f>
        <v>Unknown</v>
      </c>
      <c r="D1050" s="5"/>
    </row>
    <row r="1051" spans="1:4" ht="13">
      <c r="A1051" s="5" t="str">
        <f ca="1">IFERROR(__xludf.DUMMYFUNCTION("""COMPUTED_VALUE"""),"20161011ALVIM")</f>
        <v>20161011ALVIM</v>
      </c>
      <c r="B1051" s="5" t="str">
        <f ca="1">IFERROR(__xludf.DUMMYFUNCTION("""COMPUTED_VALUE"""),"No Data")</f>
        <v>No Data</v>
      </c>
      <c r="C1051" s="5"/>
      <c r="D1051" s="5"/>
    </row>
    <row r="1052" spans="1:4" ht="13">
      <c r="A1052" s="5" t="str">
        <f ca="1">IFERROR(__xludf.DUMMYFUNCTION("""COMPUTED_VALUE"""),"20161006TXDUF")</f>
        <v>20161006TXDUF</v>
      </c>
      <c r="B1052" s="5" t="str">
        <f ca="1">IFERROR(__xludf.DUMMYFUNCTION("""COMPUTED_VALUE"""),"No Data")</f>
        <v>No Data</v>
      </c>
      <c r="C1052" s="5"/>
      <c r="D1052" s="5"/>
    </row>
    <row r="1053" spans="1:4" ht="13">
      <c r="A1053" s="5" t="str">
        <f ca="1">IFERROR(__xludf.DUMMYFUNCTION("""COMPUTED_VALUE"""),"20160930ILCHC")</f>
        <v>20160930ILCHC</v>
      </c>
      <c r="B1053" s="5" t="str">
        <f ca="1">IFERROR(__xludf.DUMMYFUNCTION("""COMPUTED_VALUE"""),"No Data")</f>
        <v>No Data</v>
      </c>
      <c r="C1053" s="5"/>
      <c r="D1053" s="5"/>
    </row>
    <row r="1054" spans="1:4" ht="13">
      <c r="A1054" s="5" t="str">
        <f ca="1">IFERROR(__xludf.DUMMYFUNCTION("""COMPUTED_VALUE"""),"20160928TNSYP")</f>
        <v>20160928TNSYP</v>
      </c>
      <c r="B1054" s="5" t="str">
        <f ca="1">IFERROR(__xludf.DUMMYFUNCTION("""COMPUTED_VALUE"""),"Handgun")</f>
        <v>Handgun</v>
      </c>
      <c r="C1054" s="5"/>
      <c r="D1054" s="5"/>
    </row>
    <row r="1055" spans="1:4" ht="13">
      <c r="A1055" s="5" t="str">
        <f ca="1">IFERROR(__xludf.DUMMYFUNCTION("""COMPUTED_VALUE"""),"20160928SCTOT")</f>
        <v>20160928SCTOT</v>
      </c>
      <c r="B1055" s="5" t="str">
        <f ca="1">IFERROR(__xludf.DUMMYFUNCTION("""COMPUTED_VALUE"""),"Handgun")</f>
        <v>Handgun</v>
      </c>
      <c r="C1055" s="5" t="str">
        <f ca="1">IFERROR(__xludf.DUMMYFUNCTION("""COMPUTED_VALUE"""),".40 caliber")</f>
        <v>.40 caliber</v>
      </c>
      <c r="D1055" s="5"/>
    </row>
    <row r="1056" spans="1:4" ht="13">
      <c r="A1056" s="5" t="str">
        <f ca="1">IFERROR(__xludf.DUMMYFUNCTION("""COMPUTED_VALUE"""),"20160927OHELC")</f>
        <v>20160927OHELC</v>
      </c>
      <c r="B1056" s="5" t="str">
        <f ca="1">IFERROR(__xludf.DUMMYFUNCTION("""COMPUTED_VALUE"""),"Rifle")</f>
        <v>Rifle</v>
      </c>
      <c r="C1056" s="5" t="str">
        <f ca="1">IFERROR(__xludf.DUMMYFUNCTION("""COMPUTED_VALUE"""),"Unknown")</f>
        <v>Unknown</v>
      </c>
      <c r="D1056" s="5"/>
    </row>
    <row r="1057" spans="1:4" ht="13">
      <c r="A1057" s="5" t="str">
        <f ca="1">IFERROR(__xludf.DUMMYFUNCTION("""COMPUTED_VALUE"""),"20160926MSTAJ")</f>
        <v>20160926MSTAJ</v>
      </c>
      <c r="B1057" s="5" t="str">
        <f ca="1">IFERROR(__xludf.DUMMYFUNCTION("""COMPUTED_VALUE"""),"Handgun")</f>
        <v>Handgun</v>
      </c>
      <c r="C1057" s="5" t="str">
        <f ca="1">IFERROR(__xludf.DUMMYFUNCTION("""COMPUTED_VALUE"""),"Unknown")</f>
        <v>Unknown</v>
      </c>
      <c r="D1057" s="5"/>
    </row>
    <row r="1058" spans="1:4" ht="13">
      <c r="A1058" s="5" t="str">
        <f ca="1">IFERROR(__xludf.DUMMYFUNCTION("""COMPUTED_VALUE"""),"20160909PASMY")</f>
        <v>20160909PASMY</v>
      </c>
      <c r="B1058" s="5" t="str">
        <f ca="1">IFERROR(__xludf.DUMMYFUNCTION("""COMPUTED_VALUE"""),"Handgun")</f>
        <v>Handgun</v>
      </c>
      <c r="C1058" s="5" t="str">
        <f ca="1">IFERROR(__xludf.DUMMYFUNCTION("""COMPUTED_VALUE"""),"Unknown")</f>
        <v>Unknown</v>
      </c>
      <c r="D1058" s="5"/>
    </row>
    <row r="1059" spans="1:4" ht="13">
      <c r="A1059" s="5" t="str">
        <f ca="1">IFERROR(__xludf.DUMMYFUNCTION("""COMPUTED_VALUE"""),"20160909IACEC")</f>
        <v>20160909IACEC</v>
      </c>
      <c r="B1059" s="5" t="str">
        <f ca="1">IFERROR(__xludf.DUMMYFUNCTION("""COMPUTED_VALUE"""),"Handgun")</f>
        <v>Handgun</v>
      </c>
      <c r="C1059" s="5" t="str">
        <f ca="1">IFERROR(__xludf.DUMMYFUNCTION("""COMPUTED_VALUE"""),"Unknown")</f>
        <v>Unknown</v>
      </c>
      <c r="D1059" s="5"/>
    </row>
    <row r="1060" spans="1:4" ht="13">
      <c r="A1060" s="5" t="str">
        <f ca="1">IFERROR(__xludf.DUMMYFUNCTION("""COMPUTED_VALUE"""),"20160908TXALA")</f>
        <v>20160908TXALA</v>
      </c>
      <c r="B1060" s="5" t="str">
        <f ca="1">IFERROR(__xludf.DUMMYFUNCTION("""COMPUTED_VALUE"""),"Handgun")</f>
        <v>Handgun</v>
      </c>
      <c r="C1060" s="5" t="str">
        <f ca="1">IFERROR(__xludf.DUMMYFUNCTION("""COMPUTED_VALUE"""),"9mm")</f>
        <v>9mm</v>
      </c>
      <c r="D1060" s="5"/>
    </row>
    <row r="1061" spans="1:4" ht="13">
      <c r="A1061" s="5" t="str">
        <f ca="1">IFERROR(__xludf.DUMMYFUNCTION("""COMPUTED_VALUE"""),"20160907MIDED")</f>
        <v>20160907MIDED</v>
      </c>
      <c r="B1061" s="5" t="str">
        <f ca="1">IFERROR(__xludf.DUMMYFUNCTION("""COMPUTED_VALUE"""),"No Data")</f>
        <v>No Data</v>
      </c>
      <c r="C1061" s="5"/>
      <c r="D1061" s="5"/>
    </row>
    <row r="1062" spans="1:4" ht="13">
      <c r="A1062" s="5" t="str">
        <f ca="1">IFERROR(__xludf.DUMMYFUNCTION("""COMPUTED_VALUE"""),"20160902OKMCT")</f>
        <v>20160902OKMCT</v>
      </c>
      <c r="B1062" s="5" t="str">
        <f ca="1">IFERROR(__xludf.DUMMYFUNCTION("""COMPUTED_VALUE"""),"Handgun")</f>
        <v>Handgun</v>
      </c>
      <c r="C1062" s="5" t="str">
        <f ca="1">IFERROR(__xludf.DUMMYFUNCTION("""COMPUTED_VALUE"""),"Unknown")</f>
        <v>Unknown</v>
      </c>
      <c r="D1062" s="5"/>
    </row>
    <row r="1063" spans="1:4" ht="13">
      <c r="A1063" s="5" t="str">
        <f ca="1">IFERROR(__xludf.DUMMYFUNCTION("""COMPUTED_VALUE"""),"20160819FLSOM")</f>
        <v>20160819FLSOM</v>
      </c>
      <c r="B1063" s="5" t="str">
        <f ca="1">IFERROR(__xludf.DUMMYFUNCTION("""COMPUTED_VALUE"""),"Handgun")</f>
        <v>Handgun</v>
      </c>
      <c r="C1063" s="5" t="str">
        <f ca="1">IFERROR(__xludf.DUMMYFUNCTION("""COMPUTED_VALUE"""),"Unknown")</f>
        <v>Unknown</v>
      </c>
      <c r="D1063" s="5"/>
    </row>
    <row r="1064" spans="1:4" ht="13">
      <c r="A1064" s="5" t="str">
        <f ca="1">IFERROR(__xludf.DUMMYFUNCTION("""COMPUTED_VALUE"""),"20160817OHWEC")</f>
        <v>20160817OHWEC</v>
      </c>
      <c r="B1064" s="5" t="str">
        <f ca="1">IFERROR(__xludf.DUMMYFUNCTION("""COMPUTED_VALUE"""),"Handgun")</f>
        <v>Handgun</v>
      </c>
      <c r="C1064" s="5" t="str">
        <f ca="1">IFERROR(__xludf.DUMMYFUNCTION("""COMPUTED_VALUE"""),"Unknown")</f>
        <v>Unknown</v>
      </c>
      <c r="D1064" s="5"/>
    </row>
    <row r="1065" spans="1:4" ht="13">
      <c r="A1065" s="5" t="str">
        <f ca="1">IFERROR(__xludf.DUMMYFUNCTION("""COMPUTED_VALUE"""),"20160725MOAVA")</f>
        <v>20160725MOAVA</v>
      </c>
      <c r="B1065" s="5" t="str">
        <f ca="1">IFERROR(__xludf.DUMMYFUNCTION("""COMPUTED_VALUE"""),"Handgun")</f>
        <v>Handgun</v>
      </c>
      <c r="C1065" s="5" t="str">
        <f ca="1">IFERROR(__xludf.DUMMYFUNCTION("""COMPUTED_VALUE"""),"Unknown")</f>
        <v>Unknown</v>
      </c>
      <c r="D1065" s="5"/>
    </row>
    <row r="1066" spans="1:4" ht="13">
      <c r="A1066" s="5" t="str">
        <f ca="1">IFERROR(__xludf.DUMMYFUNCTION("""COMPUTED_VALUE"""),"20160630CAWOH")</f>
        <v>20160630CAWOH</v>
      </c>
      <c r="B1066" s="5" t="str">
        <f ca="1">IFERROR(__xludf.DUMMYFUNCTION("""COMPUTED_VALUE"""),"No Data")</f>
        <v>No Data</v>
      </c>
      <c r="C1066" s="5"/>
      <c r="D1066" s="5"/>
    </row>
    <row r="1067" spans="1:4" ht="13">
      <c r="A1067" s="5" t="str">
        <f ca="1">IFERROR(__xludf.DUMMYFUNCTION("""COMPUTED_VALUE"""),"20160616ILMCC")</f>
        <v>20160616ILMCC</v>
      </c>
      <c r="B1067" s="5" t="str">
        <f ca="1">IFERROR(__xludf.DUMMYFUNCTION("""COMPUTED_VALUE"""),"No Data")</f>
        <v>No Data</v>
      </c>
      <c r="C1067" s="5"/>
      <c r="D1067" s="5"/>
    </row>
    <row r="1068" spans="1:4" ht="13">
      <c r="A1068" s="5" t="str">
        <f ca="1">IFERROR(__xludf.DUMMYFUNCTION("""COMPUTED_VALUE"""),"20160608MAJED")</f>
        <v>20160608MAJED</v>
      </c>
      <c r="B1068" s="5" t="str">
        <f ca="1">IFERROR(__xludf.DUMMYFUNCTION("""COMPUTED_VALUE"""),"Unknown")</f>
        <v>Unknown</v>
      </c>
      <c r="C1068" s="5" t="str">
        <f ca="1">IFERROR(__xludf.DUMMYFUNCTION("""COMPUTED_VALUE"""),"Unknown")</f>
        <v>Unknown</v>
      </c>
      <c r="D1068" s="5"/>
    </row>
    <row r="1069" spans="1:4" ht="13">
      <c r="A1069" s="5" t="str">
        <f ca="1">IFERROR(__xludf.DUMMYFUNCTION("""COMPUTED_VALUE"""),"20160515KSAUA")</f>
        <v>20160515KSAUA</v>
      </c>
      <c r="B1069" s="5" t="str">
        <f ca="1">IFERROR(__xludf.DUMMYFUNCTION("""COMPUTED_VALUE"""),"Handgun")</f>
        <v>Handgun</v>
      </c>
      <c r="C1069" s="5" t="str">
        <f ca="1">IFERROR(__xludf.DUMMYFUNCTION("""COMPUTED_VALUE"""),".38 caliber")</f>
        <v>.38 caliber</v>
      </c>
      <c r="D1069" s="5"/>
    </row>
    <row r="1070" spans="1:4" ht="13">
      <c r="A1070" s="5" t="str">
        <f ca="1">IFERROR(__xludf.DUMMYFUNCTION("""COMPUTED_VALUE"""),"20160513SCSOG")</f>
        <v>20160513SCSOG</v>
      </c>
      <c r="B1070" s="5" t="str">
        <f ca="1">IFERROR(__xludf.DUMMYFUNCTION("""COMPUTED_VALUE"""),"Handgun")</f>
        <v>Handgun</v>
      </c>
      <c r="C1070" s="5" t="str">
        <f ca="1">IFERROR(__xludf.DUMMYFUNCTION("""COMPUTED_VALUE"""),"Unknown")</f>
        <v>Unknown</v>
      </c>
      <c r="D1070" s="5"/>
    </row>
    <row r="1071" spans="1:4" ht="13">
      <c r="A1071" s="5" t="str">
        <f ca="1">IFERROR(__xludf.DUMMYFUNCTION("""COMPUTED_VALUE"""),"20160506IDROT")</f>
        <v>20160506IDROT</v>
      </c>
      <c r="B1071" s="5" t="str">
        <f ca="1">IFERROR(__xludf.DUMMYFUNCTION("""COMPUTED_VALUE"""),"Handgun")</f>
        <v>Handgun</v>
      </c>
      <c r="C1071" s="5" t="str">
        <f ca="1">IFERROR(__xludf.DUMMYFUNCTION("""COMPUTED_VALUE"""),"Unknown")</f>
        <v>Unknown</v>
      </c>
      <c r="D1071" s="5"/>
    </row>
    <row r="1072" spans="1:4" ht="13">
      <c r="A1072" s="5" t="str">
        <f ca="1">IFERROR(__xludf.DUMMYFUNCTION("""COMPUTED_VALUE"""),"20160506FLOSP")</f>
        <v>20160506FLOSP</v>
      </c>
      <c r="B1072" s="5" t="str">
        <f ca="1">IFERROR(__xludf.DUMMYFUNCTION("""COMPUTED_VALUE"""),"Handgun")</f>
        <v>Handgun</v>
      </c>
      <c r="C1072" s="5" t="str">
        <f ca="1">IFERROR(__xludf.DUMMYFUNCTION("""COMPUTED_VALUE"""),"Unknown")</f>
        <v>Unknown</v>
      </c>
      <c r="D1072" s="5"/>
    </row>
    <row r="1073" spans="1:4" ht="13">
      <c r="A1073" s="5" t="str">
        <f ca="1">IFERROR(__xludf.DUMMYFUNCTION("""COMPUTED_VALUE"""),"20160505MDHIB")</f>
        <v>20160505MDHIB</v>
      </c>
      <c r="B1073" s="5" t="str">
        <f ca="1">IFERROR(__xludf.DUMMYFUNCTION("""COMPUTED_VALUE"""),"Handgun")</f>
        <v>Handgun</v>
      </c>
      <c r="C1073" s="5" t="str">
        <f ca="1">IFERROR(__xludf.DUMMYFUNCTION("""COMPUTED_VALUE"""),"Unknown")</f>
        <v>Unknown</v>
      </c>
      <c r="D1073" s="5"/>
    </row>
    <row r="1074" spans="1:4" ht="13">
      <c r="A1074" s="5" t="str">
        <f ca="1">IFERROR(__xludf.DUMMYFUNCTION("""COMPUTED_VALUE"""),"20160504COEAP")</f>
        <v>20160504COEAP</v>
      </c>
      <c r="B1074" s="5" t="str">
        <f ca="1">IFERROR(__xludf.DUMMYFUNCTION("""COMPUTED_VALUE"""),"Handgun")</f>
        <v>Handgun</v>
      </c>
      <c r="C1074" s="5" t="str">
        <f ca="1">IFERROR(__xludf.DUMMYFUNCTION("""COMPUTED_VALUE"""),"Unknown")</f>
        <v>Unknown</v>
      </c>
      <c r="D1074" s="5"/>
    </row>
    <row r="1075" spans="1:4" ht="13">
      <c r="A1075" s="5" t="str">
        <f ca="1">IFERROR(__xludf.DUMMYFUNCTION("""COMPUTED_VALUE"""),"20160502TXKID")</f>
        <v>20160502TXKID</v>
      </c>
      <c r="B1075" s="5" t="str">
        <f ca="1">IFERROR(__xludf.DUMMYFUNCTION("""COMPUTED_VALUE"""),"Handgun")</f>
        <v>Handgun</v>
      </c>
      <c r="C1075" s="5" t="str">
        <f ca="1">IFERROR(__xludf.DUMMYFUNCTION("""COMPUTED_VALUE"""),".22 caliber")</f>
        <v>.22 caliber</v>
      </c>
      <c r="D1075" s="5"/>
    </row>
    <row r="1076" spans="1:4" ht="13">
      <c r="A1076" s="5" t="str">
        <f ca="1">IFERROR(__xludf.DUMMYFUNCTION("""COMPUTED_VALUE"""),"20160423WIANA")</f>
        <v>20160423WIANA</v>
      </c>
      <c r="B1076" s="5" t="str">
        <f ca="1">IFERROR(__xludf.DUMMYFUNCTION("""COMPUTED_VALUE"""),"Rifle")</f>
        <v>Rifle</v>
      </c>
      <c r="C1076" s="5" t="str">
        <f ca="1">IFERROR(__xludf.DUMMYFUNCTION("""COMPUTED_VALUE"""),"Semiautomatic")</f>
        <v>Semiautomatic</v>
      </c>
      <c r="D1076" s="5"/>
    </row>
    <row r="1077" spans="1:4" ht="13">
      <c r="A1077" s="5" t="str">
        <f ca="1">IFERROR(__xludf.DUMMYFUNCTION("""COMPUTED_VALUE"""),"20160315ALHUB")</f>
        <v>20160315ALHUB</v>
      </c>
      <c r="B1077" s="5" t="str">
        <f ca="1">IFERROR(__xludf.DUMMYFUNCTION("""COMPUTED_VALUE"""),"Handgun")</f>
        <v>Handgun</v>
      </c>
      <c r="C1077" s="5" t="str">
        <f ca="1">IFERROR(__xludf.DUMMYFUNCTION("""COMPUTED_VALUE"""),"Unknown")</f>
        <v>Unknown</v>
      </c>
      <c r="D1077" s="5"/>
    </row>
    <row r="1078" spans="1:4" ht="13">
      <c r="A1078" s="5" t="str">
        <f ca="1">IFERROR(__xludf.DUMMYFUNCTION("""COMPUTED_VALUE"""),"20160229OHMAM")</f>
        <v>20160229OHMAM</v>
      </c>
      <c r="B1078" s="5" t="str">
        <f ca="1">IFERROR(__xludf.DUMMYFUNCTION("""COMPUTED_VALUE"""),"Handgun")</f>
        <v>Handgun</v>
      </c>
      <c r="C1078" s="5" t="str">
        <f ca="1">IFERROR(__xludf.DUMMYFUNCTION("""COMPUTED_VALUE"""),"9mm")</f>
        <v>9mm</v>
      </c>
      <c r="D1078" s="5"/>
    </row>
    <row r="1079" spans="1:4" ht="13">
      <c r="A1079" s="5" t="str">
        <f ca="1">IFERROR(__xludf.DUMMYFUNCTION("""COMPUTED_VALUE"""),"20160226TXPAP")</f>
        <v>20160226TXPAP</v>
      </c>
      <c r="B1079" s="5" t="str">
        <f ca="1">IFERROR(__xludf.DUMMYFUNCTION("""COMPUTED_VALUE"""),"Handgun")</f>
        <v>Handgun</v>
      </c>
      <c r="C1079" s="5" t="str">
        <f ca="1">IFERROR(__xludf.DUMMYFUNCTION("""COMPUTED_VALUE"""),"Unknown")</f>
        <v>Unknown</v>
      </c>
      <c r="D1079" s="5"/>
    </row>
    <row r="1080" spans="1:4" ht="13">
      <c r="A1080" s="5" t="str">
        <f ca="1">IFERROR(__xludf.DUMMYFUNCTION("""COMPUTED_VALUE"""),"20160217PACHC")</f>
        <v>20160217PACHC</v>
      </c>
      <c r="B1080" s="5" t="str">
        <f ca="1">IFERROR(__xludf.DUMMYFUNCTION("""COMPUTED_VALUE"""),"Handgun")</f>
        <v>Handgun</v>
      </c>
      <c r="C1080" s="5" t="str">
        <f ca="1">IFERROR(__xludf.DUMMYFUNCTION("""COMPUTED_VALUE"""),"Unknown")</f>
        <v>Unknown</v>
      </c>
      <c r="D1080" s="5"/>
    </row>
    <row r="1081" spans="1:4" ht="13">
      <c r="A1081" s="5" t="str">
        <f ca="1">IFERROR(__xludf.DUMMYFUNCTION("""COMPUTED_VALUE"""),"20160217FLROH")</f>
        <v>20160217FLROH</v>
      </c>
      <c r="B1081" s="5" t="str">
        <f ca="1">IFERROR(__xludf.DUMMYFUNCTION("""COMPUTED_VALUE"""),"Handgun")</f>
        <v>Handgun</v>
      </c>
      <c r="C1081" s="5" t="str">
        <f ca="1">IFERROR(__xludf.DUMMYFUNCTION("""COMPUTED_VALUE"""),"Unknown")</f>
        <v>Unknown</v>
      </c>
      <c r="D1081" s="5"/>
    </row>
    <row r="1082" spans="1:4" ht="13">
      <c r="A1082" s="5" t="str">
        <f ca="1">IFERROR(__xludf.DUMMYFUNCTION("""COMPUTED_VALUE"""),"20160212AZING")</f>
        <v>20160212AZING</v>
      </c>
      <c r="B1082" s="5" t="str">
        <f ca="1">IFERROR(__xludf.DUMMYFUNCTION("""COMPUTED_VALUE"""),"Handgun")</f>
        <v>Handgun</v>
      </c>
      <c r="C1082" s="5" t="str">
        <f ca="1">IFERROR(__xludf.DUMMYFUNCTION("""COMPUTED_VALUE"""),"9mm")</f>
        <v>9mm</v>
      </c>
      <c r="D1082" s="5"/>
    </row>
    <row r="1083" spans="1:4" ht="13">
      <c r="A1083" s="5" t="str">
        <f ca="1">IFERROR(__xludf.DUMMYFUNCTION("""COMPUTED_VALUE"""),"20160209MIMUM")</f>
        <v>20160209MIMUM</v>
      </c>
      <c r="B1083" s="5" t="str">
        <f ca="1">IFERROR(__xludf.DUMMYFUNCTION("""COMPUTED_VALUE"""),"Handgun")</f>
        <v>Handgun</v>
      </c>
      <c r="C1083" s="5" t="str">
        <f ca="1">IFERROR(__xludf.DUMMYFUNCTION("""COMPUTED_VALUE"""),"Unknown")</f>
        <v>Unknown</v>
      </c>
      <c r="D1083" s="5"/>
    </row>
    <row r="1084" spans="1:4" ht="13">
      <c r="A1084" s="5" t="str">
        <f ca="1">IFERROR(__xludf.DUMMYFUNCTION("""COMPUTED_VALUE"""),"20160129PABEP")</f>
        <v>20160129PABEP</v>
      </c>
      <c r="B1084" s="5" t="str">
        <f ca="1">IFERROR(__xludf.DUMMYFUNCTION("""COMPUTED_VALUE"""),"Handgun")</f>
        <v>Handgun</v>
      </c>
      <c r="C1084" s="5" t="str">
        <f ca="1">IFERROR(__xludf.DUMMYFUNCTION("""COMPUTED_VALUE"""),".45 caliber")</f>
        <v>.45 caliber</v>
      </c>
      <c r="D1084" s="5"/>
    </row>
    <row r="1085" spans="1:4" ht="13">
      <c r="A1085" s="5" t="str">
        <f ca="1">IFERROR(__xludf.DUMMYFUNCTION("""COMPUTED_VALUE"""),"20160122INLAI")</f>
        <v>20160122INLAI</v>
      </c>
      <c r="B1085" s="5" t="str">
        <f ca="1">IFERROR(__xludf.DUMMYFUNCTION("""COMPUTED_VALUE"""),"Handgun")</f>
        <v>Handgun</v>
      </c>
      <c r="C1085" s="5" t="str">
        <f ca="1">IFERROR(__xludf.DUMMYFUNCTION("""COMPUTED_VALUE"""),"Unknown")</f>
        <v>Unknown</v>
      </c>
      <c r="D1085" s="5"/>
    </row>
    <row r="1086" spans="1:4" ht="13">
      <c r="A1086" s="5" t="str">
        <f ca="1">IFERROR(__xludf.DUMMYFUNCTION("""COMPUTED_VALUE"""),"20160120INNOI")</f>
        <v>20160120INNOI</v>
      </c>
      <c r="B1086" s="5" t="str">
        <f ca="1">IFERROR(__xludf.DUMMYFUNCTION("""COMPUTED_VALUE"""),"Handgun")</f>
        <v>Handgun</v>
      </c>
      <c r="C1086" s="5" t="str">
        <f ca="1">IFERROR(__xludf.DUMMYFUNCTION("""COMPUTED_VALUE"""),"Unknown")</f>
        <v>Unknown</v>
      </c>
      <c r="D1086" s="5"/>
    </row>
    <row r="1087" spans="1:4" ht="13">
      <c r="A1087" s="5" t="str">
        <f ca="1">IFERROR(__xludf.DUMMYFUNCTION("""COMPUTED_VALUE"""),"20160113ARHAB")</f>
        <v>20160113ARHAB</v>
      </c>
      <c r="B1087" s="5" t="str">
        <f ca="1">IFERROR(__xludf.DUMMYFUNCTION("""COMPUTED_VALUE"""),"Handgun")</f>
        <v>Handgun</v>
      </c>
      <c r="C1087" s="5" t="str">
        <f ca="1">IFERROR(__xludf.DUMMYFUNCTION("""COMPUTED_VALUE"""),"Unknown")</f>
        <v>Unknown</v>
      </c>
      <c r="D1087" s="5"/>
    </row>
    <row r="1088" spans="1:4" ht="13">
      <c r="A1088" s="5" t="str">
        <f ca="1">IFERROR(__xludf.DUMMYFUNCTION("""COMPUTED_VALUE"""),"20160112DECED")</f>
        <v>20160112DECED</v>
      </c>
      <c r="B1088" s="5" t="str">
        <f ca="1">IFERROR(__xludf.DUMMYFUNCTION("""COMPUTED_VALUE"""),"Handgun")</f>
        <v>Handgun</v>
      </c>
      <c r="C1088" s="5" t="str">
        <f ca="1">IFERROR(__xludf.DUMMYFUNCTION("""COMPUTED_VALUE"""),".38 caliber")</f>
        <v>.38 caliber</v>
      </c>
      <c r="D1088" s="5"/>
    </row>
    <row r="1089" spans="1:4" ht="13">
      <c r="A1089" s="5" t="str">
        <f ca="1">IFERROR(__xludf.DUMMYFUNCTION("""COMPUTED_VALUE"""),"20151204KSWEW")</f>
        <v>20151204KSWEW</v>
      </c>
      <c r="B1089" s="5" t="str">
        <f ca="1">IFERROR(__xludf.DUMMYFUNCTION("""COMPUTED_VALUE"""),"Handgun")</f>
        <v>Handgun</v>
      </c>
      <c r="C1089" s="5" t="str">
        <f ca="1">IFERROR(__xludf.DUMMYFUNCTION("""COMPUTED_VALUE"""),"Unknown")</f>
        <v>Unknown</v>
      </c>
      <c r="D1089" s="5"/>
    </row>
    <row r="1090" spans="1:4" ht="13">
      <c r="A1090" s="5" t="str">
        <f ca="1">IFERROR(__xludf.DUMMYFUNCTION("""COMPUTED_VALUE"""),"20151120FLNAM")</f>
        <v>20151120FLNAM</v>
      </c>
      <c r="B1090" s="5" t="str">
        <f ca="1">IFERROR(__xludf.DUMMYFUNCTION("""COMPUTED_VALUE"""),"Handgun")</f>
        <v>Handgun</v>
      </c>
      <c r="C1090" s="5" t="str">
        <f ca="1">IFERROR(__xludf.DUMMYFUNCTION("""COMPUTED_VALUE"""),"Unknown")</f>
        <v>Unknown</v>
      </c>
      <c r="D1090" s="5"/>
    </row>
    <row r="1091" spans="1:4" ht="13">
      <c r="A1091" s="5" t="str">
        <f ca="1">IFERROR(__xludf.DUMMYFUNCTION("""COMPUTED_VALUE"""),"20151111ARSUS")</f>
        <v>20151111ARSUS</v>
      </c>
      <c r="B1091" s="5" t="str">
        <f ca="1">IFERROR(__xludf.DUMMYFUNCTION("""COMPUTED_VALUE"""),"Handgun")</f>
        <v>Handgun</v>
      </c>
      <c r="C1091" s="5" t="str">
        <f ca="1">IFERROR(__xludf.DUMMYFUNCTION("""COMPUTED_VALUE"""),"Unknown")</f>
        <v>Unknown</v>
      </c>
      <c r="D1091" s="5"/>
    </row>
    <row r="1092" spans="1:4" ht="13">
      <c r="A1092" s="5" t="str">
        <f ca="1">IFERROR(__xludf.DUMMYFUNCTION("""COMPUTED_VALUE"""),"20151105GAVEM")</f>
        <v>20151105GAVEM</v>
      </c>
      <c r="B1092" s="5" t="str">
        <f ca="1">IFERROR(__xludf.DUMMYFUNCTION("""COMPUTED_VALUE"""),"Handgun")</f>
        <v>Handgun</v>
      </c>
      <c r="C1092" s="5" t="str">
        <f ca="1">IFERROR(__xludf.DUMMYFUNCTION("""COMPUTED_VALUE"""),"Service weapon")</f>
        <v>Service weapon</v>
      </c>
      <c r="D1092" s="5"/>
    </row>
    <row r="1093" spans="1:4" ht="13">
      <c r="A1093" s="5" t="str">
        <f ca="1">IFERROR(__xludf.DUMMYFUNCTION("""COMPUTED_VALUE"""),"20151024TXEDS")</f>
        <v>20151024TXEDS</v>
      </c>
      <c r="B1093" s="5" t="str">
        <f ca="1">IFERROR(__xludf.DUMMYFUNCTION("""COMPUTED_VALUE"""),"No Data")</f>
        <v>No Data</v>
      </c>
      <c r="C1093" s="5"/>
      <c r="D1093" s="5"/>
    </row>
    <row r="1094" spans="1:4" ht="13">
      <c r="A1094" s="5" t="str">
        <f ca="1">IFERROR(__xludf.DUMMYFUNCTION("""COMPUTED_VALUE"""),"20151015TXKAS")</f>
        <v>20151015TXKAS</v>
      </c>
      <c r="B1094" s="5" t="str">
        <f ca="1">IFERROR(__xludf.DUMMYFUNCTION("""COMPUTED_VALUE"""),"Handgun")</f>
        <v>Handgun</v>
      </c>
      <c r="C1094" s="5" t="str">
        <f ca="1">IFERROR(__xludf.DUMMYFUNCTION("""COMPUTED_VALUE"""),"Unknown")</f>
        <v>Unknown</v>
      </c>
      <c r="D1094" s="5"/>
    </row>
    <row r="1095" spans="1:4" ht="13">
      <c r="A1095" s="5" t="str">
        <f ca="1">IFERROR(__xludf.DUMMYFUNCTION("""COMPUTED_VALUE"""),"20150930SDHAH")</f>
        <v>20150930SDHAH</v>
      </c>
      <c r="B1095" s="5" t="str">
        <f ca="1">IFERROR(__xludf.DUMMYFUNCTION("""COMPUTED_VALUE"""),"Handgun")</f>
        <v>Handgun</v>
      </c>
      <c r="C1095" s="5" t="str">
        <f ca="1">IFERROR(__xludf.DUMMYFUNCTION("""COMPUTED_VALUE"""),"Unknown")</f>
        <v>Unknown</v>
      </c>
      <c r="D1095" s="5"/>
    </row>
    <row r="1096" spans="1:4" ht="13">
      <c r="A1096" s="5" t="str">
        <f ca="1">IFERROR(__xludf.DUMMYFUNCTION("""COMPUTED_VALUE"""),"20150922NCCES")</f>
        <v>20150922NCCES</v>
      </c>
      <c r="B1096" s="5" t="str">
        <f ca="1">IFERROR(__xludf.DUMMYFUNCTION("""COMPUTED_VALUE"""),"Handgun")</f>
        <v>Handgun</v>
      </c>
      <c r="C1096" s="5" t="str">
        <f ca="1">IFERROR(__xludf.DUMMYFUNCTION("""COMPUTED_VALUE"""),".45 caliber")</f>
        <v>.45 caliber</v>
      </c>
      <c r="D1096" s="5"/>
    </row>
    <row r="1097" spans="1:4" ht="13">
      <c r="A1097" s="5" t="str">
        <f ca="1">IFERROR(__xludf.DUMMYFUNCTION("""COMPUTED_VALUE"""),"20150911LANOL")</f>
        <v>20150911LANOL</v>
      </c>
      <c r="B1097" s="5" t="str">
        <f ca="1">IFERROR(__xludf.DUMMYFUNCTION("""COMPUTED_VALUE"""),"No Data")</f>
        <v>No Data</v>
      </c>
      <c r="C1097" s="5"/>
      <c r="D1097" s="5"/>
    </row>
    <row r="1098" spans="1:4" ht="13">
      <c r="A1098" s="5" t="str">
        <f ca="1">IFERROR(__xludf.DUMMYFUNCTION("""COMPUTED_VALUE"""),"20150903ORNEN")</f>
        <v>20150903ORNEN</v>
      </c>
      <c r="B1098" s="5" t="str">
        <f ca="1">IFERROR(__xludf.DUMMYFUNCTION("""COMPUTED_VALUE"""),"No Data")</f>
        <v>No Data</v>
      </c>
      <c r="C1098" s="5"/>
      <c r="D1098" s="5"/>
    </row>
    <row r="1099" spans="1:4" ht="13">
      <c r="A1099" s="5" t="str">
        <f ca="1">IFERROR(__xludf.DUMMYFUNCTION("""COMPUTED_VALUE"""),"20150825GAWSA")</f>
        <v>20150825GAWSA</v>
      </c>
      <c r="B1099" s="5" t="str">
        <f ca="1">IFERROR(__xludf.DUMMYFUNCTION("""COMPUTED_VALUE"""),"Handgun")</f>
        <v>Handgun</v>
      </c>
      <c r="C1099" s="5" t="str">
        <f ca="1">IFERROR(__xludf.DUMMYFUNCTION("""COMPUTED_VALUE"""),".38 caliber")</f>
        <v>.38 caliber</v>
      </c>
      <c r="D1099" s="5"/>
    </row>
    <row r="1100" spans="1:4" ht="13">
      <c r="A1100" s="5" t="str">
        <f ca="1">IFERROR(__xludf.DUMMYFUNCTION("""COMPUTED_VALUE"""),"20150823TXWIR")</f>
        <v>20150823TXWIR</v>
      </c>
      <c r="B1100" s="5" t="str">
        <f ca="1">IFERROR(__xludf.DUMMYFUNCTION("""COMPUTED_VALUE"""),"Handgun")</f>
        <v>Handgun</v>
      </c>
      <c r="C1100" s="5" t="str">
        <f ca="1">IFERROR(__xludf.DUMMYFUNCTION("""COMPUTED_VALUE"""),".40 caliber")</f>
        <v>.40 caliber</v>
      </c>
      <c r="D1100" s="5"/>
    </row>
    <row r="1101" spans="1:4" ht="13">
      <c r="A1101" s="5" t="str">
        <f ca="1">IFERROR(__xludf.DUMMYFUNCTION("""COMPUTED_VALUE"""),"20150808TXPAP")</f>
        <v>20150808TXPAP</v>
      </c>
      <c r="B1101" s="5" t="str">
        <f ca="1">IFERROR(__xludf.DUMMYFUNCTION("""COMPUTED_VALUE"""),"Handgun")</f>
        <v>Handgun</v>
      </c>
      <c r="C1101" s="5" t="str">
        <f ca="1">IFERROR(__xludf.DUMMYFUNCTION("""COMPUTED_VALUE"""),"9mm")</f>
        <v>9mm</v>
      </c>
      <c r="D1101" s="5"/>
    </row>
    <row r="1102" spans="1:4" ht="13">
      <c r="A1102" s="5" t="str">
        <f ca="1">IFERROR(__xludf.DUMMYFUNCTION("""COMPUTED_VALUE"""),"20150724TXELC")</f>
        <v>20150724TXELC</v>
      </c>
      <c r="B1102" s="5" t="str">
        <f ca="1">IFERROR(__xludf.DUMMYFUNCTION("""COMPUTED_VALUE"""),"Handgun")</f>
        <v>Handgun</v>
      </c>
      <c r="C1102" s="5" t="str">
        <f ca="1">IFERROR(__xludf.DUMMYFUNCTION("""COMPUTED_VALUE"""),"Unknown")</f>
        <v>Unknown</v>
      </c>
      <c r="D1102" s="5"/>
    </row>
    <row r="1103" spans="1:4" ht="13">
      <c r="A1103" s="5" t="str">
        <f ca="1">IFERROR(__xludf.DUMMYFUNCTION("""COMPUTED_VALUE"""),"20150705TXCOD")</f>
        <v>20150705TXCOD</v>
      </c>
      <c r="B1103" s="5" t="str">
        <f ca="1">IFERROR(__xludf.DUMMYFUNCTION("""COMPUTED_VALUE"""),"Handgun")</f>
        <v>Handgun</v>
      </c>
      <c r="C1103" s="5" t="str">
        <f ca="1">IFERROR(__xludf.DUMMYFUNCTION("""COMPUTED_VALUE"""),"Unknown")</f>
        <v>Unknown</v>
      </c>
      <c r="D1103" s="5"/>
    </row>
    <row r="1104" spans="1:4" ht="13">
      <c r="A1104" s="5" t="str">
        <f ca="1">IFERROR(__xludf.DUMMYFUNCTION("""COMPUTED_VALUE"""),"20150629TXJOS")</f>
        <v>20150629TXJOS</v>
      </c>
      <c r="B1104" s="5" t="str">
        <f ca="1">IFERROR(__xludf.DUMMYFUNCTION("""COMPUTED_VALUE"""),"Handgun")</f>
        <v>Handgun</v>
      </c>
      <c r="C1104" s="5" t="str">
        <f ca="1">IFERROR(__xludf.DUMMYFUNCTION("""COMPUTED_VALUE"""),"Service Weapon")</f>
        <v>Service Weapon</v>
      </c>
      <c r="D1104" s="5"/>
    </row>
    <row r="1105" spans="1:4" ht="13">
      <c r="A1105" s="5" t="str">
        <f ca="1">IFERROR(__xludf.DUMMYFUNCTION("""COMPUTED_VALUE"""),"20150627CTSAH")</f>
        <v>20150627CTSAH</v>
      </c>
      <c r="B1105" s="5" t="str">
        <f ca="1">IFERROR(__xludf.DUMMYFUNCTION("""COMPUTED_VALUE"""),"No Data")</f>
        <v>No Data</v>
      </c>
      <c r="C1105" s="5"/>
      <c r="D1105" s="5"/>
    </row>
    <row r="1106" spans="1:4" ht="13">
      <c r="A1106" s="5" t="str">
        <f ca="1">IFERROR(__xludf.DUMMYFUNCTION("""COMPUTED_VALUE"""),"20150623NEFOF")</f>
        <v>20150623NEFOF</v>
      </c>
      <c r="B1106" s="5" t="str">
        <f ca="1">IFERROR(__xludf.DUMMYFUNCTION("""COMPUTED_VALUE"""),"Handgun")</f>
        <v>Handgun</v>
      </c>
      <c r="C1106" s="5" t="str">
        <f ca="1">IFERROR(__xludf.DUMMYFUNCTION("""COMPUTED_VALUE"""),"Unknown")</f>
        <v>Unknown</v>
      </c>
      <c r="D1106" s="5"/>
    </row>
    <row r="1107" spans="1:4" ht="13">
      <c r="A1107" s="5" t="str">
        <f ca="1">IFERROR(__xludf.DUMMYFUNCTION("""COMPUTED_VALUE"""),"20150604NCSOF")</f>
        <v>20150604NCSOF</v>
      </c>
      <c r="B1107" s="5" t="str">
        <f ca="1">IFERROR(__xludf.DUMMYFUNCTION("""COMPUTED_VALUE"""),"Multiple Handguns")</f>
        <v>Multiple Handguns</v>
      </c>
      <c r="C1107" s="5" t="str">
        <f ca="1">IFERROR(__xludf.DUMMYFUNCTION("""COMPUTED_VALUE"""),"Unknown")</f>
        <v>Unknown</v>
      </c>
      <c r="D1107" s="5"/>
    </row>
    <row r="1108" spans="1:4" ht="13">
      <c r="A1108" s="5" t="str">
        <f ca="1">IFERROR(__xludf.DUMMYFUNCTION("""COMPUTED_VALUE"""),"20150527FLEVE")</f>
        <v>20150527FLEVE</v>
      </c>
      <c r="B1108" s="5" t="str">
        <f ca="1">IFERROR(__xludf.DUMMYFUNCTION("""COMPUTED_VALUE"""),"Handgun")</f>
        <v>Handgun</v>
      </c>
      <c r="C1108" s="5" t="str">
        <f ca="1">IFERROR(__xludf.DUMMYFUNCTION("""COMPUTED_VALUE"""),"Unknown")</f>
        <v>Unknown</v>
      </c>
      <c r="D1108" s="5"/>
    </row>
    <row r="1109" spans="1:4" ht="13">
      <c r="A1109" s="5" t="str">
        <f ca="1">IFERROR(__xludf.DUMMYFUNCTION("""COMPUTED_VALUE"""),"20150524MISOF")</f>
        <v>20150524MISOF</v>
      </c>
      <c r="B1109" s="5" t="str">
        <f ca="1">IFERROR(__xludf.DUMMYFUNCTION("""COMPUTED_VALUE"""),"No Data")</f>
        <v>No Data</v>
      </c>
      <c r="C1109" s="5"/>
      <c r="D1109" s="5"/>
    </row>
    <row r="1110" spans="1:4" ht="13">
      <c r="A1110" s="5" t="str">
        <f ca="1">IFERROR(__xludf.DUMMYFUNCTION("""COMPUTED_VALUE"""),"20150521FLDUJ")</f>
        <v>20150521FLDUJ</v>
      </c>
      <c r="B1110" s="5" t="str">
        <f ca="1">IFERROR(__xludf.DUMMYFUNCTION("""COMPUTED_VALUE"""),"Handgun")</f>
        <v>Handgun</v>
      </c>
      <c r="C1110" s="5"/>
      <c r="D1110" s="5"/>
    </row>
    <row r="1111" spans="1:4" ht="13">
      <c r="A1111" s="5" t="str">
        <f ca="1">IFERROR(__xludf.DUMMYFUNCTION("""COMPUTED_VALUE"""),"20150520TXROR")</f>
        <v>20150520TXROR</v>
      </c>
      <c r="B1111" s="5" t="str">
        <f ca="1">IFERROR(__xludf.DUMMYFUNCTION("""COMPUTED_VALUE"""),"No Data")</f>
        <v>No Data</v>
      </c>
      <c r="C1111" s="5" t="str">
        <f ca="1">IFERROR(__xludf.DUMMYFUNCTION("""COMPUTED_VALUE"""),"Unknown")</f>
        <v>Unknown</v>
      </c>
      <c r="D1111" s="5"/>
    </row>
    <row r="1112" spans="1:4" ht="13">
      <c r="A1112" s="5" t="str">
        <f ca="1">IFERROR(__xludf.DUMMYFUNCTION("""COMPUTED_VALUE"""),"20150512FLUNJ")</f>
        <v>20150512FLUNJ</v>
      </c>
      <c r="B1112" s="5" t="str">
        <f ca="1">IFERROR(__xludf.DUMMYFUNCTION("""COMPUTED_VALUE"""),"Handgun")</f>
        <v>Handgun</v>
      </c>
      <c r="C1112" s="5" t="str">
        <f ca="1">IFERROR(__xludf.DUMMYFUNCTION("""COMPUTED_VALUE"""),"Unknown")</f>
        <v>Unknown</v>
      </c>
      <c r="D1112" s="5"/>
    </row>
    <row r="1113" spans="1:4" ht="13">
      <c r="A1113" s="5" t="str">
        <f ca="1">IFERROR(__xludf.DUMMYFUNCTION("""COMPUTED_VALUE"""),"20150512AZCOT")</f>
        <v>20150512AZCOT</v>
      </c>
      <c r="B1113" s="5" t="str">
        <f ca="1">IFERROR(__xludf.DUMMYFUNCTION("""COMPUTED_VALUE"""),"Handgun")</f>
        <v>Handgun</v>
      </c>
      <c r="C1113" s="5" t="str">
        <f ca="1">IFERROR(__xludf.DUMMYFUNCTION("""COMPUTED_VALUE"""),"Unknown")</f>
        <v>Unknown</v>
      </c>
      <c r="D1113" s="5"/>
    </row>
    <row r="1114" spans="1:4" ht="13">
      <c r="A1114" s="5" t="str">
        <f ca="1">IFERROR(__xludf.DUMMYFUNCTION("""COMPUTED_VALUE"""),"20150505GACOC")</f>
        <v>20150505GACOC</v>
      </c>
      <c r="B1114" s="5" t="str">
        <f ca="1">IFERROR(__xludf.DUMMYFUNCTION("""COMPUTED_VALUE"""),"Handgun")</f>
        <v>Handgun</v>
      </c>
      <c r="C1114" s="5" t="str">
        <f ca="1">IFERROR(__xludf.DUMMYFUNCTION("""COMPUTED_VALUE"""),"Unknown")</f>
        <v>Unknown</v>
      </c>
      <c r="D1114" s="5"/>
    </row>
    <row r="1115" spans="1:4" ht="13">
      <c r="A1115" s="5" t="str">
        <f ca="1">IFERROR(__xludf.DUMMYFUNCTION("""COMPUTED_VALUE"""),"20150504OHWIC")</f>
        <v>20150504OHWIC</v>
      </c>
      <c r="B1115" s="5" t="str">
        <f ca="1">IFERROR(__xludf.DUMMYFUNCTION("""COMPUTED_VALUE"""),"No Data")</f>
        <v>No Data</v>
      </c>
      <c r="C1115" s="5"/>
      <c r="D1115" s="5"/>
    </row>
    <row r="1116" spans="1:4" ht="13">
      <c r="A1116" s="5" t="str">
        <f ca="1">IFERROR(__xludf.DUMMYFUNCTION("""COMPUTED_VALUE"""),"20150428MDDRW")</f>
        <v>20150428MDDRW</v>
      </c>
      <c r="B1116" s="5" t="str">
        <f ca="1">IFERROR(__xludf.DUMMYFUNCTION("""COMPUTED_VALUE"""),"Handgun")</f>
        <v>Handgun</v>
      </c>
      <c r="C1116" s="5" t="str">
        <f ca="1">IFERROR(__xludf.DUMMYFUNCTION("""COMPUTED_VALUE"""),"Unknown")</f>
        <v>Unknown</v>
      </c>
      <c r="D1116" s="5"/>
    </row>
    <row r="1117" spans="1:4" ht="13">
      <c r="A1117" s="5" t="str">
        <f ca="1">IFERROR(__xludf.DUMMYFUNCTION("""COMPUTED_VALUE"""),"20150427WANOL")</f>
        <v>20150427WANOL</v>
      </c>
      <c r="B1117" s="5" t="str">
        <f ca="1">IFERROR(__xludf.DUMMYFUNCTION("""COMPUTED_VALUE"""),"Handgun")</f>
        <v>Handgun</v>
      </c>
      <c r="C1117" s="5" t="str">
        <f ca="1">IFERROR(__xludf.DUMMYFUNCTION("""COMPUTED_VALUE"""),".357 caliber")</f>
        <v>.357 caliber</v>
      </c>
      <c r="D1117" s="5"/>
    </row>
    <row r="1118" spans="1:4" ht="13">
      <c r="A1118" s="5" t="str">
        <f ca="1">IFERROR(__xludf.DUMMYFUNCTION("""COMPUTED_VALUE"""),"20150422NVRUL")</f>
        <v>20150422NVRUL</v>
      </c>
      <c r="B1118" s="5" t="str">
        <f ca="1">IFERROR(__xludf.DUMMYFUNCTION("""COMPUTED_VALUE"""),"Handgun")</f>
        <v>Handgun</v>
      </c>
      <c r="C1118" s="5" t="str">
        <f ca="1">IFERROR(__xludf.DUMMYFUNCTION("""COMPUTED_VALUE"""),".45 caliber")</f>
        <v>.45 caliber</v>
      </c>
      <c r="D1118" s="5"/>
    </row>
    <row r="1119" spans="1:4" ht="13">
      <c r="A1119" s="5" t="str">
        <f ca="1">IFERROR(__xludf.DUMMYFUNCTION("""COMPUTED_VALUE"""),"20150417TXSES")</f>
        <v>20150417TXSES</v>
      </c>
      <c r="B1119" s="5" t="str">
        <f ca="1">IFERROR(__xludf.DUMMYFUNCTION("""COMPUTED_VALUE"""),"No Data")</f>
        <v>No Data</v>
      </c>
      <c r="C1119" s="5"/>
      <c r="D1119" s="5"/>
    </row>
    <row r="1120" spans="1:4" ht="13">
      <c r="A1120" s="5" t="str">
        <f ca="1">IFERROR(__xludf.DUMMYFUNCTION("""COMPUTED_VALUE"""),"20150330MOPEU")</f>
        <v>20150330MOPEU</v>
      </c>
      <c r="B1120" s="5" t="str">
        <f ca="1">IFERROR(__xludf.DUMMYFUNCTION("""COMPUTED_VALUE"""),"No Data")</f>
        <v>No Data</v>
      </c>
      <c r="C1120" s="5"/>
      <c r="D1120" s="5"/>
    </row>
    <row r="1121" spans="1:4" ht="13">
      <c r="A1121" s="5" t="str">
        <f ca="1">IFERROR(__xludf.DUMMYFUNCTION("""COMPUTED_VALUE"""),"20150215CATEM")</f>
        <v>20150215CATEM</v>
      </c>
      <c r="B1121" s="5" t="str">
        <f ca="1">IFERROR(__xludf.DUMMYFUNCTION("""COMPUTED_VALUE"""),"Unknown")</f>
        <v>Unknown</v>
      </c>
      <c r="C1121" s="5" t="str">
        <f ca="1">IFERROR(__xludf.DUMMYFUNCTION("""COMPUTED_VALUE"""),"Unknown")</f>
        <v>Unknown</v>
      </c>
      <c r="D1121" s="5"/>
    </row>
    <row r="1122" spans="1:4" ht="13">
      <c r="A1122" s="5" t="str">
        <f ca="1">IFERROR(__xludf.DUMMYFUNCTION("""COMPUTED_VALUE"""),"20150215ARLAL")</f>
        <v>20150215ARLAL</v>
      </c>
      <c r="B1122" s="5" t="str">
        <f ca="1">IFERROR(__xludf.DUMMYFUNCTION("""COMPUTED_VALUE"""),"No Data")</f>
        <v>No Data</v>
      </c>
      <c r="C1122" s="5"/>
      <c r="D1122" s="5"/>
    </row>
    <row r="1123" spans="1:4" ht="13">
      <c r="A1123" s="5" t="str">
        <f ca="1">IFERROR(__xludf.DUMMYFUNCTION("""COMPUTED_VALUE"""),"20150204MDFRF")</f>
        <v>20150204MDFRF</v>
      </c>
      <c r="B1123" s="5" t="str">
        <f ca="1">IFERROR(__xludf.DUMMYFUNCTION("""COMPUTED_VALUE"""),"Handgun")</f>
        <v>Handgun</v>
      </c>
      <c r="C1123" s="5" t="str">
        <f ca="1">IFERROR(__xludf.DUMMYFUNCTION("""COMPUTED_VALUE"""),"Unknown")</f>
        <v>Unknown</v>
      </c>
      <c r="D1123" s="5"/>
    </row>
    <row r="1124" spans="1:4" ht="13">
      <c r="A1124" s="5" t="str">
        <f ca="1">IFERROR(__xludf.DUMMYFUNCTION("""COMPUTED_VALUE"""),"20150126MNHAR")</f>
        <v>20150126MNHAR</v>
      </c>
      <c r="B1124" s="5" t="str">
        <f ca="1">IFERROR(__xludf.DUMMYFUNCTION("""COMPUTED_VALUE"""),"Handgun")</f>
        <v>Handgun</v>
      </c>
      <c r="C1124" s="5" t="str">
        <f ca="1">IFERROR(__xludf.DUMMYFUNCTION("""COMPUTED_VALUE"""),"Unknown")</f>
        <v>Unknown</v>
      </c>
      <c r="D1124" s="5"/>
    </row>
    <row r="1125" spans="1:4" ht="13">
      <c r="A1125" s="5" t="str">
        <f ca="1">IFERROR(__xludf.DUMMYFUNCTION("""COMPUTED_VALUE"""),"20150122SCROH")</f>
        <v>20150122SCROH</v>
      </c>
      <c r="B1125" s="5" t="str">
        <f ca="1">IFERROR(__xludf.DUMMYFUNCTION("""COMPUTED_VALUE"""),"Handgun")</f>
        <v>Handgun</v>
      </c>
      <c r="C1125" s="5" t="str">
        <f ca="1">IFERROR(__xludf.DUMMYFUNCTION("""COMPUTED_VALUE"""),"Unknown")</f>
        <v>Unknown</v>
      </c>
      <c r="D1125" s="5"/>
    </row>
    <row r="1126" spans="1:4" ht="13">
      <c r="A1126" s="5" t="str">
        <f ca="1">IFERROR(__xludf.DUMMYFUNCTION("""COMPUTED_VALUE"""),"20150120ALWIM")</f>
        <v>20150120ALWIM</v>
      </c>
      <c r="B1126" s="5" t="str">
        <f ca="1">IFERROR(__xludf.DUMMYFUNCTION("""COMPUTED_VALUE"""),"Handgun")</f>
        <v>Handgun</v>
      </c>
      <c r="C1126" s="5" t="str">
        <f ca="1">IFERROR(__xludf.DUMMYFUNCTION("""COMPUTED_VALUE"""),"Unknown")</f>
        <v>Unknown</v>
      </c>
      <c r="D1126" s="5"/>
    </row>
    <row r="1127" spans="1:4" ht="13">
      <c r="A1127" s="5" t="str">
        <f ca="1">IFERROR(__xludf.DUMMYFUNCTION("""COMPUTED_VALUE"""),"20150116FLVAO")</f>
        <v>20150116FLVAO</v>
      </c>
      <c r="B1127" s="5" t="str">
        <f ca="1">IFERROR(__xludf.DUMMYFUNCTION("""COMPUTED_VALUE"""),"Handgun")</f>
        <v>Handgun</v>
      </c>
      <c r="C1127" s="5" t="str">
        <f ca="1">IFERROR(__xludf.DUMMYFUNCTION("""COMPUTED_VALUE"""),".40 caliber")</f>
        <v>.40 caliber</v>
      </c>
      <c r="D1127" s="5"/>
    </row>
    <row r="1128" spans="1:4" ht="13">
      <c r="A1128" s="5" t="str">
        <f ca="1">IFERROR(__xludf.DUMMYFUNCTION("""COMPUTED_VALUE"""),"20150115WIWIM")</f>
        <v>20150115WIWIM</v>
      </c>
      <c r="B1128" s="5" t="str">
        <f ca="1">IFERROR(__xludf.DUMMYFUNCTION("""COMPUTED_VALUE"""),"Handgun")</f>
        <v>Handgun</v>
      </c>
      <c r="C1128" s="5" t="str">
        <f ca="1">IFERROR(__xludf.DUMMYFUNCTION("""COMPUTED_VALUE"""),".38 caliber")</f>
        <v>.38 caliber</v>
      </c>
      <c r="D1128" s="5"/>
    </row>
    <row r="1129" spans="1:4" ht="13">
      <c r="A1129" s="5" t="str">
        <f ca="1">IFERROR(__xludf.DUMMYFUNCTION("""COMPUTED_VALUE"""),"20141217MIGOW")</f>
        <v>20141217MIGOW</v>
      </c>
      <c r="B1129" s="5" t="str">
        <f ca="1">IFERROR(__xludf.DUMMYFUNCTION("""COMPUTED_VALUE"""),"Handgun")</f>
        <v>Handgun</v>
      </c>
      <c r="C1129" s="5" t="str">
        <f ca="1">IFERROR(__xludf.DUMMYFUNCTION("""COMPUTED_VALUE"""),"Unknown")</f>
        <v>Unknown</v>
      </c>
      <c r="D1129" s="5"/>
    </row>
    <row r="1130" spans="1:4" ht="13">
      <c r="A1130" s="5" t="str">
        <f ca="1">IFERROR(__xludf.DUMMYFUNCTION("""COMPUTED_VALUE"""),"20141217MEBEW")</f>
        <v>20141217MEBEW</v>
      </c>
      <c r="B1130" s="5" t="str">
        <f ca="1">IFERROR(__xludf.DUMMYFUNCTION("""COMPUTED_VALUE"""),"Handgun")</f>
        <v>Handgun</v>
      </c>
      <c r="C1130" s="5" t="str">
        <f ca="1">IFERROR(__xludf.DUMMYFUNCTION("""COMPUTED_VALUE"""),".38 caliber")</f>
        <v>.38 caliber</v>
      </c>
      <c r="D1130" s="5"/>
    </row>
    <row r="1131" spans="1:4" ht="13">
      <c r="A1131" s="5" t="str">
        <f ca="1">IFERROR(__xludf.DUMMYFUNCTION("""COMPUTED_VALUE"""),"20141216PASUP")</f>
        <v>20141216PASUP</v>
      </c>
      <c r="B1131" s="5" t="str">
        <f ca="1">IFERROR(__xludf.DUMMYFUNCTION("""COMPUTED_VALUE"""),"No Data")</f>
        <v>No Data</v>
      </c>
      <c r="C1131" s="5"/>
      <c r="D1131" s="5"/>
    </row>
    <row r="1132" spans="1:4" ht="13">
      <c r="A1132" s="5" t="str">
        <f ca="1">IFERROR(__xludf.DUMMYFUNCTION("""COMPUTED_VALUE"""),"20141212ORROP")</f>
        <v>20141212ORROP</v>
      </c>
      <c r="B1132" s="5" t="str">
        <f ca="1">IFERROR(__xludf.DUMMYFUNCTION("""COMPUTED_VALUE"""),"Handgun")</f>
        <v>Handgun</v>
      </c>
      <c r="C1132" s="5" t="str">
        <f ca="1">IFERROR(__xludf.DUMMYFUNCTION("""COMPUTED_VALUE"""),"Unknown")</f>
        <v>Unknown</v>
      </c>
      <c r="D1132" s="5"/>
    </row>
    <row r="1133" spans="1:4" ht="13">
      <c r="A1133" s="5" t="str">
        <f ca="1">IFERROR(__xludf.DUMMYFUNCTION("""COMPUTED_VALUE"""),"20141120FLMIM")</f>
        <v>20141120FLMIM</v>
      </c>
      <c r="B1133" s="5" t="str">
        <f ca="1">IFERROR(__xludf.DUMMYFUNCTION("""COMPUTED_VALUE"""),"Handgun")</f>
        <v>Handgun</v>
      </c>
      <c r="C1133" s="5" t="str">
        <f ca="1">IFERROR(__xludf.DUMMYFUNCTION("""COMPUTED_VALUE"""),"Unknown")</f>
        <v>Unknown</v>
      </c>
      <c r="D1133" s="5"/>
    </row>
    <row r="1134" spans="1:4" ht="13">
      <c r="A1134" s="5" t="str">
        <f ca="1">IFERROR(__xludf.DUMMYFUNCTION("""COMPUTED_VALUE"""),"20141024WAMAM")</f>
        <v>20141024WAMAM</v>
      </c>
      <c r="B1134" s="5" t="str">
        <f ca="1">IFERROR(__xludf.DUMMYFUNCTION("""COMPUTED_VALUE"""),"Handgun")</f>
        <v>Handgun</v>
      </c>
      <c r="C1134" s="5" t="str">
        <f ca="1">IFERROR(__xludf.DUMMYFUNCTION("""COMPUTED_VALUE"""),".40 caliber")</f>
        <v>.40 caliber</v>
      </c>
      <c r="D1134" s="5"/>
    </row>
    <row r="1135" spans="1:4" ht="13">
      <c r="A1135" s="5" t="str">
        <f ca="1">IFERROR(__xludf.DUMMYFUNCTION("""COMPUTED_VALUE"""),"20141024GALAA")</f>
        <v>20141024GALAA</v>
      </c>
      <c r="B1135" s="5" t="str">
        <f ca="1">IFERROR(__xludf.DUMMYFUNCTION("""COMPUTED_VALUE"""),"Handgun")</f>
        <v>Handgun</v>
      </c>
      <c r="C1135" s="5" t="str">
        <f ca="1">IFERROR(__xludf.DUMMYFUNCTION("""COMPUTED_VALUE"""),"Unknown")</f>
        <v>Unknown</v>
      </c>
      <c r="D1135" s="5"/>
    </row>
    <row r="1136" spans="1:4" ht="13">
      <c r="A1136" s="5" t="str">
        <f ca="1">IFERROR(__xludf.DUMMYFUNCTION("""COMPUTED_VALUE"""),"20141021TNAMM")</f>
        <v>20141021TNAMM</v>
      </c>
      <c r="B1136" s="5" t="str">
        <f ca="1">IFERROR(__xludf.DUMMYFUNCTION("""COMPUTED_VALUE"""),"Handgun")</f>
        <v>Handgun</v>
      </c>
      <c r="C1136" s="5" t="str">
        <f ca="1">IFERROR(__xludf.DUMMYFUNCTION("""COMPUTED_VALUE"""),"Unknown")</f>
        <v>Unknown</v>
      </c>
      <c r="D1136" s="5"/>
    </row>
    <row r="1137" spans="1:4" ht="13">
      <c r="A1137" s="5" t="str">
        <f ca="1">IFERROR(__xludf.DUMMYFUNCTION("""COMPUTED_VALUE"""),"20141003GALAF")</f>
        <v>20141003GALAF</v>
      </c>
      <c r="B1137" s="5" t="str">
        <f ca="1">IFERROR(__xludf.DUMMYFUNCTION("""COMPUTED_VALUE"""),"Handgun")</f>
        <v>Handgun</v>
      </c>
      <c r="C1137" s="5" t="str">
        <f ca="1">IFERROR(__xludf.DUMMYFUNCTION("""COMPUTED_VALUE"""),"Unknown")</f>
        <v>Unknown</v>
      </c>
      <c r="D1137" s="5"/>
    </row>
    <row r="1138" spans="1:4" ht="13">
      <c r="A1138" s="5" t="str">
        <f ca="1">IFERROR(__xludf.DUMMYFUNCTION("""COMPUTED_VALUE"""),"20140930NCALA")</f>
        <v>20140930NCALA</v>
      </c>
      <c r="B1138" s="5" t="str">
        <f ca="1">IFERROR(__xludf.DUMMYFUNCTION("""COMPUTED_VALUE"""),"Handgun")</f>
        <v>Handgun</v>
      </c>
      <c r="C1138" s="5" t="str">
        <f ca="1">IFERROR(__xludf.DUMMYFUNCTION("""COMPUTED_VALUE"""),"Unknown")</f>
        <v>Unknown</v>
      </c>
      <c r="D1138" s="5"/>
    </row>
    <row r="1139" spans="1:4" ht="13">
      <c r="A1139" s="5" t="str">
        <f ca="1">IFERROR(__xludf.DUMMYFUNCTION("""COMPUTED_VALUE"""),"20140930KYFEL")</f>
        <v>20140930KYFEL</v>
      </c>
      <c r="B1139" s="5" t="str">
        <f ca="1">IFERROR(__xludf.DUMMYFUNCTION("""COMPUTED_VALUE"""),"Handgun")</f>
        <v>Handgun</v>
      </c>
      <c r="C1139" s="5" t="str">
        <f ca="1">IFERROR(__xludf.DUMMYFUNCTION("""COMPUTED_VALUE"""),"Unknown")</f>
        <v>Unknown</v>
      </c>
      <c r="D1139" s="5"/>
    </row>
    <row r="1140" spans="1:4" ht="13">
      <c r="A1140" s="5" t="str">
        <f ca="1">IFERROR(__xludf.DUMMYFUNCTION("""COMPUTED_VALUE"""),"20140925NHWEM")</f>
        <v>20140925NHWEM</v>
      </c>
      <c r="B1140" s="5" t="str">
        <f ca="1">IFERROR(__xludf.DUMMYFUNCTION("""COMPUTED_VALUE"""),"Other")</f>
        <v>Other</v>
      </c>
      <c r="C1140" s="5" t="str">
        <f ca="1">IFERROR(__xludf.DUMMYFUNCTION("""COMPUTED_VALUE"""),"Pellet")</f>
        <v>Pellet</v>
      </c>
      <c r="D1140" s="5"/>
    </row>
    <row r="1141" spans="1:4" ht="13">
      <c r="A1141" s="5" t="str">
        <f ca="1">IFERROR(__xludf.DUMMYFUNCTION("""COMPUTED_VALUE"""),"20140919IANOD")</f>
        <v>20140919IANOD</v>
      </c>
      <c r="B1141" s="5" t="str">
        <f ca="1">IFERROR(__xludf.DUMMYFUNCTION("""COMPUTED_VALUE"""),"Shotgun")</f>
        <v>Shotgun</v>
      </c>
      <c r="C1141" s="5" t="str">
        <f ca="1">IFERROR(__xludf.DUMMYFUNCTION("""COMPUTED_VALUE"""),"Unknown")</f>
        <v>Unknown</v>
      </c>
      <c r="D1141" s="5"/>
    </row>
    <row r="1142" spans="1:4" ht="13">
      <c r="A1142" s="5" t="str">
        <f ca="1">IFERROR(__xludf.DUMMYFUNCTION("""COMPUTED_VALUE"""),"20140911UTWET")</f>
        <v>20140911UTWET</v>
      </c>
      <c r="B1142" s="5" t="str">
        <f ca="1">IFERROR(__xludf.DUMMYFUNCTION("""COMPUTED_VALUE"""),"Handgun")</f>
        <v>Handgun</v>
      </c>
      <c r="C1142" s="5" t="str">
        <f ca="1">IFERROR(__xludf.DUMMYFUNCTION("""COMPUTED_VALUE"""),"9mm")</f>
        <v>9mm</v>
      </c>
      <c r="D1142" s="5"/>
    </row>
    <row r="1143" spans="1:4" ht="13">
      <c r="A1143" s="5" t="str">
        <f ca="1">IFERROR(__xludf.DUMMYFUNCTION("""COMPUTED_VALUE"""),"20140910FLGRL")</f>
        <v>20140910FLGRL</v>
      </c>
      <c r="B1143" s="5" t="str">
        <f ca="1">IFERROR(__xludf.DUMMYFUNCTION("""COMPUTED_VALUE"""),"Handgun")</f>
        <v>Handgun</v>
      </c>
      <c r="C1143" s="5" t="str">
        <f ca="1">IFERROR(__xludf.DUMMYFUNCTION("""COMPUTED_VALUE"""),".40 caliber")</f>
        <v>.40 caliber</v>
      </c>
      <c r="D1143" s="5"/>
    </row>
    <row r="1144" spans="1:4" ht="13">
      <c r="A1144" s="5" t="str">
        <f ca="1">IFERROR(__xludf.DUMMYFUNCTION("""COMPUTED_VALUE"""),"20140909FLSTM")</f>
        <v>20140909FLSTM</v>
      </c>
      <c r="B1144" s="5" t="str">
        <f ca="1">IFERROR(__xludf.DUMMYFUNCTION("""COMPUTED_VALUE"""),"Multiple Unknown")</f>
        <v>Multiple Unknown</v>
      </c>
      <c r="C1144" s="5" t="str">
        <f ca="1">IFERROR(__xludf.DUMMYFUNCTION("""COMPUTED_VALUE"""),"Unknown")</f>
        <v>Unknown</v>
      </c>
      <c r="D1144" s="5" t="str">
        <f ca="1">IFERROR(__xludf.DUMMYFUNCTION("""COMPUTED_VALUE"""),"2 firearms recovered")</f>
        <v>2 firearms recovered</v>
      </c>
    </row>
    <row r="1145" spans="1:4" ht="13">
      <c r="A1145" s="5" t="str">
        <f ca="1">IFERROR(__xludf.DUMMYFUNCTION("""COMPUTED_VALUE"""),"20140814VASAN")</f>
        <v>20140814VASAN</v>
      </c>
      <c r="B1145" s="5" t="str">
        <f ca="1">IFERROR(__xludf.DUMMYFUNCTION("""COMPUTED_VALUE"""),"Shotgun")</f>
        <v>Shotgun</v>
      </c>
      <c r="C1145" s="5" t="str">
        <f ca="1">IFERROR(__xludf.DUMMYFUNCTION("""COMPUTED_VALUE"""),"12 gauge")</f>
        <v>12 gauge</v>
      </c>
      <c r="D1145" s="5"/>
    </row>
    <row r="1146" spans="1:4" ht="13">
      <c r="A1146" s="5" t="str">
        <f ca="1">IFERROR(__xludf.DUMMYFUNCTION("""COMPUTED_VALUE"""),"20140813MDHEF")</f>
        <v>20140813MDHEF</v>
      </c>
      <c r="B1146" s="5" t="str">
        <f ca="1">IFERROR(__xludf.DUMMYFUNCTION("""COMPUTED_VALUE"""),"No Data")</f>
        <v>No Data</v>
      </c>
      <c r="C1146" s="5"/>
      <c r="D1146" s="5"/>
    </row>
    <row r="1147" spans="1:4" ht="13">
      <c r="A1147" s="5" t="str">
        <f ca="1">IFERROR(__xludf.DUMMYFUNCTION("""COMPUTED_VALUE"""),"20140623MOKEB")</f>
        <v>20140623MOKEB</v>
      </c>
      <c r="B1147" s="5" t="str">
        <f ca="1">IFERROR(__xludf.DUMMYFUNCTION("""COMPUTED_VALUE"""),"Handgun")</f>
        <v>Handgun</v>
      </c>
      <c r="C1147" s="5" t="str">
        <f ca="1">IFERROR(__xludf.DUMMYFUNCTION("""COMPUTED_VALUE"""),"Unknown")</f>
        <v>Unknown</v>
      </c>
      <c r="D1147" s="5"/>
    </row>
    <row r="1148" spans="1:4" ht="13">
      <c r="A1148" s="5" t="str">
        <f ca="1">IFERROR(__xludf.DUMMYFUNCTION("""COMPUTED_VALUE"""),"20140610ORRET")</f>
        <v>20140610ORRET</v>
      </c>
      <c r="B1148" s="5" t="str">
        <f ca="1">IFERROR(__xludf.DUMMYFUNCTION("""COMPUTED_VALUE"""),"Handgun")</f>
        <v>Handgun</v>
      </c>
      <c r="C1148" s="5" t="str">
        <f ca="1">IFERROR(__xludf.DUMMYFUNCTION("""COMPUTED_VALUE"""),"Unknown")</f>
        <v>Unknown</v>
      </c>
      <c r="D1148" s="5" t="str">
        <f ca="1">IFERROR(__xludf.DUMMYFUNCTION("""COMPUTED_VALUE"""),"AR15, handgun")</f>
        <v>AR15, handgun</v>
      </c>
    </row>
    <row r="1149" spans="1:4" ht="13">
      <c r="A1149" s="5" t="str">
        <f ca="1">IFERROR(__xludf.DUMMYFUNCTION("""COMPUTED_VALUE"""),"20140610ORRET")</f>
        <v>20140610ORRET</v>
      </c>
      <c r="B1149" s="5" t="str">
        <f ca="1">IFERROR(__xludf.DUMMYFUNCTION("""COMPUTED_VALUE"""),"Rifle")</f>
        <v>Rifle</v>
      </c>
      <c r="C1149" s="5" t="str">
        <f ca="1">IFERROR(__xludf.DUMMYFUNCTION("""COMPUTED_VALUE"""),"AR-15")</f>
        <v>AR-15</v>
      </c>
      <c r="D1149" s="5" t="str">
        <f ca="1">IFERROR(__xludf.DUMMYFUNCTION("""COMPUTED_VALUE"""),"AR15, handgun")</f>
        <v>AR15, handgun</v>
      </c>
    </row>
    <row r="1150" spans="1:4" ht="13">
      <c r="A1150" s="5" t="str">
        <f ca="1">IFERROR(__xludf.DUMMYFUNCTION("""COMPUTED_VALUE"""),"20140521WICLM")</f>
        <v>20140521WICLM</v>
      </c>
      <c r="B1150" s="5" t="str">
        <f ca="1">IFERROR(__xludf.DUMMYFUNCTION("""COMPUTED_VALUE"""),"Handgun")</f>
        <v>Handgun</v>
      </c>
      <c r="C1150" s="5" t="str">
        <f ca="1">IFERROR(__xludf.DUMMYFUNCTION("""COMPUTED_VALUE"""),"9mm")</f>
        <v>9mm</v>
      </c>
      <c r="D1150" s="5"/>
    </row>
    <row r="1151" spans="1:4" ht="13">
      <c r="A1151" s="5" t="str">
        <f ca="1">IFERROR(__xludf.DUMMYFUNCTION("""COMPUTED_VALUE"""),"20140514CAJOR")</f>
        <v>20140514CAJOR</v>
      </c>
      <c r="B1151" s="5" t="str">
        <f ca="1">IFERROR(__xludf.DUMMYFUNCTION("""COMPUTED_VALUE"""),"Unknown")</f>
        <v>Unknown</v>
      </c>
      <c r="C1151" s="5" t="str">
        <f ca="1">IFERROR(__xludf.DUMMYFUNCTION("""COMPUTED_VALUE"""),"Unknown")</f>
        <v>Unknown</v>
      </c>
      <c r="D1151" s="5"/>
    </row>
    <row r="1152" spans="1:4" ht="13">
      <c r="A1152" s="5" t="str">
        <f ca="1">IFERROR(__xludf.DUMMYFUNCTION("""COMPUTED_VALUE"""),"20140503WAHOE")</f>
        <v>20140503WAHOE</v>
      </c>
      <c r="B1152" s="5" t="str">
        <f ca="1">IFERROR(__xludf.DUMMYFUNCTION("""COMPUTED_VALUE"""),"No Data")</f>
        <v>No Data</v>
      </c>
      <c r="C1152" s="5"/>
      <c r="D1152" s="5"/>
    </row>
    <row r="1153" spans="1:4" ht="13">
      <c r="A1153" s="5" t="str">
        <f ca="1">IFERROR(__xludf.DUMMYFUNCTION("""COMPUTED_VALUE"""),"20140421UTPRP")</f>
        <v>20140421UTPRP</v>
      </c>
      <c r="B1153" s="5" t="str">
        <f ca="1">IFERROR(__xludf.DUMMYFUNCTION("""COMPUTED_VALUE"""),"Handgun")</f>
        <v>Handgun</v>
      </c>
      <c r="C1153" s="5" t="str">
        <f ca="1">IFERROR(__xludf.DUMMYFUNCTION("""COMPUTED_VALUE"""),".22 caliber")</f>
        <v>.22 caliber</v>
      </c>
      <c r="D1153" s="5"/>
    </row>
    <row r="1154" spans="1:4" ht="13">
      <c r="A1154" s="5" t="str">
        <f ca="1">IFERROR(__xludf.DUMMYFUNCTION("""COMPUTED_VALUE"""),"20140421INSTG")</f>
        <v>20140421INSTG</v>
      </c>
      <c r="B1154" s="5" t="str">
        <f ca="1">IFERROR(__xludf.DUMMYFUNCTION("""COMPUTED_VALUE"""),"No Data")</f>
        <v>No Data</v>
      </c>
      <c r="C1154" s="5"/>
      <c r="D1154" s="5"/>
    </row>
    <row r="1155" spans="1:4" ht="13">
      <c r="A1155" s="5" t="str">
        <f ca="1">IFERROR(__xludf.DUMMYFUNCTION("""COMPUTED_VALUE"""),"20140411MIEAD")</f>
        <v>20140411MIEAD</v>
      </c>
      <c r="B1155" s="5" t="str">
        <f ca="1">IFERROR(__xludf.DUMMYFUNCTION("""COMPUTED_VALUE"""),"Unknown")</f>
        <v>Unknown</v>
      </c>
      <c r="C1155" s="5" t="str">
        <f ca="1">IFERROR(__xludf.DUMMYFUNCTION("""COMPUTED_VALUE"""),"Unknown")</f>
        <v>Unknown</v>
      </c>
      <c r="D1155" s="5"/>
    </row>
    <row r="1156" spans="1:4" ht="13">
      <c r="A1156" s="5" t="str">
        <f ca="1">IFERROR(__xludf.DUMMYFUNCTION("""COMPUTED_VALUE"""),"20140410OHLIC")</f>
        <v>20140410OHLIC</v>
      </c>
      <c r="B1156" s="5" t="str">
        <f ca="1">IFERROR(__xludf.DUMMYFUNCTION("""COMPUTED_VALUE"""),"Handgun")</f>
        <v>Handgun</v>
      </c>
      <c r="C1156" s="5" t="str">
        <f ca="1">IFERROR(__xludf.DUMMYFUNCTION("""COMPUTED_VALUE"""),"Unknown")</f>
        <v>Unknown</v>
      </c>
      <c r="D1156" s="5"/>
    </row>
    <row r="1157" spans="1:4" ht="13">
      <c r="A1157" s="5" t="str">
        <f ca="1">IFERROR(__xludf.DUMMYFUNCTION("""COMPUTED_VALUE"""),"20140409NCDHG")</f>
        <v>20140409NCDHG</v>
      </c>
      <c r="B1157" s="5" t="str">
        <f ca="1">IFERROR(__xludf.DUMMYFUNCTION("""COMPUTED_VALUE"""),"Handgun")</f>
        <v>Handgun</v>
      </c>
      <c r="C1157" s="5" t="str">
        <f ca="1">IFERROR(__xludf.DUMMYFUNCTION("""COMPUTED_VALUE"""),".45 caliber")</f>
        <v>.45 caliber</v>
      </c>
      <c r="D1157" s="5"/>
    </row>
    <row r="1158" spans="1:4" ht="13">
      <c r="A1158" s="5" t="str">
        <f ca="1">IFERROR(__xludf.DUMMYFUNCTION("""COMPUTED_VALUE"""),"20140403NJUNN")</f>
        <v>20140403NJUNN</v>
      </c>
      <c r="B1158" s="5" t="str">
        <f ca="1">IFERROR(__xludf.DUMMYFUNCTION("""COMPUTED_VALUE"""),"No Data")</f>
        <v>No Data</v>
      </c>
      <c r="C1158" s="5"/>
      <c r="D1158" s="5"/>
    </row>
    <row r="1159" spans="1:4" ht="13">
      <c r="A1159" s="5" t="str">
        <f ca="1">IFERROR(__xludf.DUMMYFUNCTION("""COMPUTED_VALUE"""),"20140325GABEC")</f>
        <v>20140325GABEC</v>
      </c>
      <c r="B1159" s="5" t="str">
        <f ca="1">IFERROR(__xludf.DUMMYFUNCTION("""COMPUTED_VALUE"""),"Handgun")</f>
        <v>Handgun</v>
      </c>
      <c r="C1159" s="5" t="str">
        <f ca="1">IFERROR(__xludf.DUMMYFUNCTION("""COMPUTED_VALUE"""),"Unknown")</f>
        <v>Unknown</v>
      </c>
      <c r="D1159" s="5"/>
    </row>
    <row r="1160" spans="1:4" ht="13">
      <c r="A1160" s="5" t="str">
        <f ca="1">IFERROR(__xludf.DUMMYFUNCTION("""COMPUTED_VALUE"""),"20140312FLACM")</f>
        <v>20140312FLACM</v>
      </c>
      <c r="B1160" s="5" t="str">
        <f ca="1">IFERROR(__xludf.DUMMYFUNCTION("""COMPUTED_VALUE"""),"Handgun")</f>
        <v>Handgun</v>
      </c>
      <c r="C1160" s="5" t="str">
        <f ca="1">IFERROR(__xludf.DUMMYFUNCTION("""COMPUTED_VALUE"""),"Unknown")</f>
        <v>Unknown</v>
      </c>
      <c r="D1160" s="5"/>
    </row>
    <row r="1161" spans="1:4" ht="13">
      <c r="A1161" s="5" t="str">
        <f ca="1">IFERROR(__xludf.DUMMYFUNCTION("""COMPUTED_VALUE"""),"20140307LAMAT")</f>
        <v>20140307LAMAT</v>
      </c>
      <c r="B1161" s="5" t="str">
        <f ca="1">IFERROR(__xludf.DUMMYFUNCTION("""COMPUTED_VALUE"""),"Handgun")</f>
        <v>Handgun</v>
      </c>
      <c r="C1161" s="5" t="str">
        <f ca="1">IFERROR(__xludf.DUMMYFUNCTION("""COMPUTED_VALUE"""),"Unknown")</f>
        <v>Unknown</v>
      </c>
      <c r="D1161" s="5"/>
    </row>
    <row r="1162" spans="1:4" ht="13">
      <c r="A1162" s="5" t="str">
        <f ca="1">IFERROR(__xludf.DUMMYFUNCTION("""COMPUTED_VALUE"""),"20140220MIRAR")</f>
        <v>20140220MIRAR</v>
      </c>
      <c r="B1162" s="5" t="str">
        <f ca="1">IFERROR(__xludf.DUMMYFUNCTION("""COMPUTED_VALUE"""),"Handgun")</f>
        <v>Handgun</v>
      </c>
      <c r="C1162" s="5" t="str">
        <f ca="1">IFERROR(__xludf.DUMMYFUNCTION("""COMPUTED_VALUE"""),".45 caliber")</f>
        <v>.45 caliber</v>
      </c>
      <c r="D1162" s="5"/>
    </row>
    <row r="1163" spans="1:4" ht="13">
      <c r="A1163" s="5" t="str">
        <f ca="1">IFERROR(__xludf.DUMMYFUNCTION("""COMPUTED_VALUE"""),"20140211OHCHL")</f>
        <v>20140211OHCHL</v>
      </c>
      <c r="B1163" s="5" t="str">
        <f ca="1">IFERROR(__xludf.DUMMYFUNCTION("""COMPUTED_VALUE"""),"Handgun")</f>
        <v>Handgun</v>
      </c>
      <c r="C1163" s="5" t="str">
        <f ca="1">IFERROR(__xludf.DUMMYFUNCTION("""COMPUTED_VALUE"""),"Unknown")</f>
        <v>Unknown</v>
      </c>
      <c r="D1163" s="5"/>
    </row>
    <row r="1164" spans="1:4" ht="13">
      <c r="A1164" s="5" t="str">
        <f ca="1">IFERROR(__xludf.DUMMYFUNCTION("""COMPUTED_VALUE"""),"20140210NCSAS")</f>
        <v>20140210NCSAS</v>
      </c>
      <c r="B1164" s="5" t="str">
        <f ca="1">IFERROR(__xludf.DUMMYFUNCTION("""COMPUTED_VALUE"""),"Handgun")</f>
        <v>Handgun</v>
      </c>
      <c r="C1164" s="5" t="str">
        <f ca="1">IFERROR(__xludf.DUMMYFUNCTION("""COMPUTED_VALUE"""),"9mm")</f>
        <v>9mm</v>
      </c>
      <c r="D1164" s="5"/>
    </row>
    <row r="1165" spans="1:4" ht="13">
      <c r="A1165" s="5" t="str">
        <f ca="1">IFERROR(__xludf.DUMMYFUNCTION("""COMPUTED_VALUE"""),"20140207ORBEB")</f>
        <v>20140207ORBEB</v>
      </c>
      <c r="B1165" s="5" t="str">
        <f ca="1">IFERROR(__xludf.DUMMYFUNCTION("""COMPUTED_VALUE"""),"Rifle")</f>
        <v>Rifle</v>
      </c>
      <c r="C1165" s="5" t="str">
        <f ca="1">IFERROR(__xludf.DUMMYFUNCTION("""COMPUTED_VALUE"""),"Unknown")</f>
        <v>Unknown</v>
      </c>
      <c r="D1165" s="5"/>
    </row>
    <row r="1166" spans="1:4" ht="13">
      <c r="A1166" s="5" t="str">
        <f ca="1">IFERROR(__xludf.DUMMYFUNCTION("""COMPUTED_VALUE"""),"20140131IANOD")</f>
        <v>20140131IANOD</v>
      </c>
      <c r="B1166" s="5" t="str">
        <f ca="1">IFERROR(__xludf.DUMMYFUNCTION("""COMPUTED_VALUE"""),"Unknown")</f>
        <v>Unknown</v>
      </c>
      <c r="C1166" s="5" t="str">
        <f ca="1">IFERROR(__xludf.DUMMYFUNCTION("""COMPUTED_VALUE"""),"Unknown")</f>
        <v>Unknown</v>
      </c>
      <c r="D1166" s="5"/>
    </row>
    <row r="1167" spans="1:4" ht="13">
      <c r="A1167" s="5" t="str">
        <f ca="1">IFERROR(__xludf.DUMMYFUNCTION("""COMPUTED_VALUE"""),"20140131AZCEP")</f>
        <v>20140131AZCEP</v>
      </c>
      <c r="B1167" s="5" t="str">
        <f ca="1">IFERROR(__xludf.DUMMYFUNCTION("""COMPUTED_VALUE"""),"Unknown")</f>
        <v>Unknown</v>
      </c>
      <c r="C1167" s="5" t="str">
        <f ca="1">IFERROR(__xludf.DUMMYFUNCTION("""COMPUTED_VALUE"""),"Unknown")</f>
        <v>Unknown</v>
      </c>
      <c r="D1167" s="5"/>
    </row>
    <row r="1168" spans="1:4" ht="13">
      <c r="A1168" s="5" t="str">
        <f ca="1">IFERROR(__xludf.DUMMYFUNCTION("""COMPUTED_VALUE"""),"20140128HIPRH")</f>
        <v>20140128HIPRH</v>
      </c>
      <c r="B1168" s="5" t="str">
        <f ca="1">IFERROR(__xludf.DUMMYFUNCTION("""COMPUTED_VALUE"""),"Handgun")</f>
        <v>Handgun</v>
      </c>
      <c r="C1168" s="5" t="str">
        <f ca="1">IFERROR(__xludf.DUMMYFUNCTION("""COMPUTED_VALUE"""),"Service Weapon")</f>
        <v>Service Weapon</v>
      </c>
      <c r="D1168" s="5"/>
    </row>
    <row r="1169" spans="1:4" ht="13">
      <c r="A1169" s="5" t="str">
        <f ca="1">IFERROR(__xludf.DUMMYFUNCTION("""COMPUTED_VALUE"""),"20140127ILREC")</f>
        <v>20140127ILREC</v>
      </c>
      <c r="B1169" s="5" t="str">
        <f ca="1">IFERROR(__xludf.DUMMYFUNCTION("""COMPUTED_VALUE"""),"Handgun")</f>
        <v>Handgun</v>
      </c>
      <c r="C1169" s="5" t="str">
        <f ca="1">IFERROR(__xludf.DUMMYFUNCTION("""COMPUTED_VALUE"""),"Unknown")</f>
        <v>Unknown</v>
      </c>
      <c r="D1169" s="5"/>
    </row>
    <row r="1170" spans="1:4" ht="13">
      <c r="A1170" s="5" t="str">
        <f ca="1">IFERROR(__xludf.DUMMYFUNCTION("""COMPUTED_VALUE"""),"20140117PADEP")</f>
        <v>20140117PADEP</v>
      </c>
      <c r="B1170" s="5" t="str">
        <f ca="1">IFERROR(__xludf.DUMMYFUNCTION("""COMPUTED_VALUE"""),"Handgun")</f>
        <v>Handgun</v>
      </c>
      <c r="C1170" s="5" t="str">
        <f ca="1">IFERROR(__xludf.DUMMYFUNCTION("""COMPUTED_VALUE"""),"Unknown")</f>
        <v>Unknown</v>
      </c>
      <c r="D1170" s="5"/>
    </row>
    <row r="1171" spans="1:4" ht="13">
      <c r="A1171" s="5" t="str">
        <f ca="1">IFERROR(__xludf.DUMMYFUNCTION("""COMPUTED_VALUE"""),"20140114PAKIL")</f>
        <v>20140114PAKIL</v>
      </c>
      <c r="B1171" s="5" t="str">
        <f ca="1">IFERROR(__xludf.DUMMYFUNCTION("""COMPUTED_VALUE"""),"Handgun")</f>
        <v>Handgun</v>
      </c>
      <c r="C1171" s="5" t="str">
        <f ca="1">IFERROR(__xludf.DUMMYFUNCTION("""COMPUTED_VALUE"""),"Unknown")</f>
        <v>Unknown</v>
      </c>
      <c r="D1171" s="5"/>
    </row>
    <row r="1172" spans="1:4" ht="13">
      <c r="A1172" s="5" t="str">
        <f ca="1">IFERROR(__xludf.DUMMYFUNCTION("""COMPUTED_VALUE"""),"20140114NMBER")</f>
        <v>20140114NMBER</v>
      </c>
      <c r="B1172" s="5" t="str">
        <f ca="1">IFERROR(__xludf.DUMMYFUNCTION("""COMPUTED_VALUE"""),"Shotgun")</f>
        <v>Shotgun</v>
      </c>
      <c r="C1172" s="5" t="str">
        <f ca="1">IFERROR(__xludf.DUMMYFUNCTION("""COMPUTED_VALUE"""),"20 gauge")</f>
        <v>20 gauge</v>
      </c>
      <c r="D1172" s="5"/>
    </row>
    <row r="1173" spans="1:4" ht="13">
      <c r="A1173" s="5" t="str">
        <f ca="1">IFERROR(__xludf.DUMMYFUNCTION("""COMPUTED_VALUE"""),"20140114LASTB")</f>
        <v>20140114LASTB</v>
      </c>
      <c r="B1173" s="5" t="str">
        <f ca="1">IFERROR(__xludf.DUMMYFUNCTION("""COMPUTED_VALUE"""),"Handgun")</f>
        <v>Handgun</v>
      </c>
      <c r="C1173" s="5" t="str">
        <f ca="1">IFERROR(__xludf.DUMMYFUNCTION("""COMPUTED_VALUE"""),"Unknown")</f>
        <v>Unknown</v>
      </c>
      <c r="D1173" s="5"/>
    </row>
    <row r="1174" spans="1:4" ht="13">
      <c r="A1174" s="5" t="str">
        <f ca="1">IFERROR(__xludf.DUMMYFUNCTION("""COMPUTED_VALUE"""),"20140113CTHIN")</f>
        <v>20140113CTHIN</v>
      </c>
      <c r="B1174" s="5" t="str">
        <f ca="1">IFERROR(__xludf.DUMMYFUNCTION("""COMPUTED_VALUE"""),"Handgun")</f>
        <v>Handgun</v>
      </c>
      <c r="C1174" s="5" t="str">
        <f ca="1">IFERROR(__xludf.DUMMYFUNCTION("""COMPUTED_VALUE"""),"Unknown")</f>
        <v>Unknown</v>
      </c>
      <c r="D1174" s="5"/>
    </row>
    <row r="1175" spans="1:4" ht="13">
      <c r="A1175" s="5" t="str">
        <f ca="1">IFERROR(__xludf.DUMMYFUNCTION("""COMPUTED_VALUE"""),"20140109TNLIJ")</f>
        <v>20140109TNLIJ</v>
      </c>
      <c r="B1175" s="5" t="str">
        <f ca="1">IFERROR(__xludf.DUMMYFUNCTION("""COMPUTED_VALUE"""),"Handgun")</f>
        <v>Handgun</v>
      </c>
      <c r="C1175" s="5" t="str">
        <f ca="1">IFERROR(__xludf.DUMMYFUNCTION("""COMPUTED_VALUE"""),"Unknown")</f>
        <v>Unknown</v>
      </c>
      <c r="D1175" s="5"/>
    </row>
    <row r="1176" spans="1:4" ht="13">
      <c r="A1176" s="5" t="str">
        <f ca="1">IFERROR(__xludf.DUMMYFUNCTION("""COMPUTED_VALUE"""),"20131219CAEDF")</f>
        <v>20131219CAEDF</v>
      </c>
      <c r="B1176" s="5" t="str">
        <f ca="1">IFERROR(__xludf.DUMMYFUNCTION("""COMPUTED_VALUE"""),"Handgun")</f>
        <v>Handgun</v>
      </c>
      <c r="C1176" s="5" t="str">
        <f ca="1">IFERROR(__xludf.DUMMYFUNCTION("""COMPUTED_VALUE"""),"Unknown")</f>
        <v>Unknown</v>
      </c>
      <c r="D1176" s="5"/>
    </row>
    <row r="1177" spans="1:4" ht="13">
      <c r="A1177" s="5" t="str">
        <f ca="1">IFERROR(__xludf.DUMMYFUNCTION("""COMPUTED_VALUE"""),"20131213COARC")</f>
        <v>20131213COARC</v>
      </c>
      <c r="B1177" s="5" t="str">
        <f ca="1">IFERROR(__xludf.DUMMYFUNCTION("""COMPUTED_VALUE"""),"Shotgun")</f>
        <v>Shotgun</v>
      </c>
      <c r="C1177" s="5" t="str">
        <f ca="1">IFERROR(__xludf.DUMMYFUNCTION("""COMPUTED_VALUE"""),"12 gauge")</f>
        <v>12 gauge</v>
      </c>
      <c r="D1177" s="5"/>
    </row>
    <row r="1178" spans="1:4" ht="13">
      <c r="A1178" s="5" t="str">
        <f ca="1">IFERROR(__xludf.DUMMYFUNCTION("""COMPUTED_VALUE"""),"20131204FLWEW")</f>
        <v>20131204FLWEW</v>
      </c>
      <c r="B1178" s="5" t="str">
        <f ca="1">IFERROR(__xludf.DUMMYFUNCTION("""COMPUTED_VALUE"""),"Handgun")</f>
        <v>Handgun</v>
      </c>
      <c r="C1178" s="5" t="str">
        <f ca="1">IFERROR(__xludf.DUMMYFUNCTION("""COMPUTED_VALUE"""),"Unknown")</f>
        <v>Unknown</v>
      </c>
      <c r="D1178" s="5"/>
    </row>
    <row r="1179" spans="1:4" ht="13">
      <c r="A1179" s="5" t="str">
        <f ca="1">IFERROR(__xludf.DUMMYFUNCTION("""COMPUTED_VALUE"""),"20131113PABRP")</f>
        <v>20131113PABRP</v>
      </c>
      <c r="B1179" s="5" t="str">
        <f ca="1">IFERROR(__xludf.DUMMYFUNCTION("""COMPUTED_VALUE"""),"Handgun")</f>
        <v>Handgun</v>
      </c>
      <c r="C1179" s="5" t="str">
        <f ca="1">IFERROR(__xludf.DUMMYFUNCTION("""COMPUTED_VALUE"""),".22 caliber")</f>
        <v>.22 caliber</v>
      </c>
      <c r="D1179" s="5"/>
    </row>
    <row r="1180" spans="1:4" ht="13">
      <c r="A1180" s="5" t="str">
        <f ca="1">IFERROR(__xludf.DUMMYFUNCTION("""COMPUTED_VALUE"""),"20131103GASTL")</f>
        <v>20131103GASTL</v>
      </c>
      <c r="B1180" s="5" t="str">
        <f ca="1">IFERROR(__xludf.DUMMYFUNCTION("""COMPUTED_VALUE"""),"Unknown")</f>
        <v>Unknown</v>
      </c>
      <c r="C1180" s="5" t="str">
        <f ca="1">IFERROR(__xludf.DUMMYFUNCTION("""COMPUTED_VALUE"""),"Unknown")</f>
        <v>Unknown</v>
      </c>
      <c r="D1180" s="5"/>
    </row>
    <row r="1181" spans="1:4" ht="13">
      <c r="A1181" s="5" t="str">
        <f ca="1">IFERROR(__xludf.DUMMYFUNCTION("""COMPUTED_VALUE"""),"20131101IAALA")</f>
        <v>20131101IAALA</v>
      </c>
      <c r="B1181" s="5" t="str">
        <f ca="1">IFERROR(__xludf.DUMMYFUNCTION("""COMPUTED_VALUE"""),"Unknown")</f>
        <v>Unknown</v>
      </c>
      <c r="C1181" s="5" t="str">
        <f ca="1">IFERROR(__xludf.DUMMYFUNCTION("""COMPUTED_VALUE"""),"Unknown")</f>
        <v>Unknown</v>
      </c>
      <c r="D1181" s="5"/>
    </row>
    <row r="1182" spans="1:4" ht="13">
      <c r="A1182" s="5" t="str">
        <f ca="1">IFERROR(__xludf.DUMMYFUNCTION("""COMPUTED_VALUE"""),"20131023CANEC")</f>
        <v>20131023CANEC</v>
      </c>
      <c r="B1182" s="5" t="str">
        <f ca="1">IFERROR(__xludf.DUMMYFUNCTION("""COMPUTED_VALUE"""),"Rifle")</f>
        <v>Rifle</v>
      </c>
      <c r="C1182" s="5" t="str">
        <f ca="1">IFERROR(__xludf.DUMMYFUNCTION("""COMPUTED_VALUE"""),"Service Weapon")</f>
        <v>Service Weapon</v>
      </c>
      <c r="D1182" s="5"/>
    </row>
    <row r="1183" spans="1:4" ht="13">
      <c r="A1183" s="5" t="str">
        <f ca="1">IFERROR(__xludf.DUMMYFUNCTION("""COMPUTED_VALUE"""),"20131021NVSPS")</f>
        <v>20131021NVSPS</v>
      </c>
      <c r="B1183" s="5" t="str">
        <f ca="1">IFERROR(__xludf.DUMMYFUNCTION("""COMPUTED_VALUE"""),"Handgun")</f>
        <v>Handgun</v>
      </c>
      <c r="C1183" s="5" t="str">
        <f ca="1">IFERROR(__xludf.DUMMYFUNCTION("""COMPUTED_VALUE"""),"9mm")</f>
        <v>9mm</v>
      </c>
      <c r="D1183" s="5"/>
    </row>
    <row r="1184" spans="1:4" ht="13">
      <c r="A1184" s="5" t="str">
        <f ca="1">IFERROR(__xludf.DUMMYFUNCTION("""COMPUTED_VALUE"""),"20131015TXLAA")</f>
        <v>20131015TXLAA</v>
      </c>
      <c r="B1184" s="5" t="str">
        <f ca="1">IFERROR(__xludf.DUMMYFUNCTION("""COMPUTED_VALUE"""),"Handgun")</f>
        <v>Handgun</v>
      </c>
      <c r="C1184" s="5" t="str">
        <f ca="1">IFERROR(__xludf.DUMMYFUNCTION("""COMPUTED_VALUE"""),"Unknown")</f>
        <v>Unknown</v>
      </c>
      <c r="D1184" s="5"/>
    </row>
    <row r="1185" spans="1:4" ht="13">
      <c r="A1185" s="5" t="str">
        <f ca="1">IFERROR(__xludf.DUMMYFUNCTION("""COMPUTED_VALUE"""),"20131004FLAGP")</f>
        <v>20131004FLAGP</v>
      </c>
      <c r="B1185" s="5" t="str">
        <f ca="1">IFERROR(__xludf.DUMMYFUNCTION("""COMPUTED_VALUE"""),"Unknown")</f>
        <v>Unknown</v>
      </c>
      <c r="C1185" s="5" t="str">
        <f ca="1">IFERROR(__xludf.DUMMYFUNCTION("""COMPUTED_VALUE"""),"Unknown")</f>
        <v>Unknown</v>
      </c>
      <c r="D1185" s="5"/>
    </row>
    <row r="1186" spans="1:4" ht="13">
      <c r="A1186" s="5" t="str">
        <f ca="1">IFERROR(__xludf.DUMMYFUNCTION("""COMPUTED_VALUE"""),"20131002NHWIS")</f>
        <v>20131002NHWIS</v>
      </c>
      <c r="B1186" s="5" t="str">
        <f ca="1">IFERROR(__xludf.DUMMYFUNCTION("""COMPUTED_VALUE"""),"Other")</f>
        <v>Other</v>
      </c>
      <c r="C1186" s="5" t="str">
        <f ca="1">IFERROR(__xludf.DUMMYFUNCTION("""COMPUTED_VALUE"""),"Pellet")</f>
        <v>Pellet</v>
      </c>
      <c r="D1186" s="5"/>
    </row>
    <row r="1187" spans="1:4" ht="13">
      <c r="A1187" s="5" t="str">
        <f ca="1">IFERROR(__xludf.DUMMYFUNCTION("""COMPUTED_VALUE"""),"20130928MENEG")</f>
        <v>20130928MENEG</v>
      </c>
      <c r="B1187" s="5" t="str">
        <f ca="1">IFERROR(__xludf.DUMMYFUNCTION("""COMPUTED_VALUE"""),"Unknown")</f>
        <v>Unknown</v>
      </c>
      <c r="C1187" s="5" t="str">
        <f ca="1">IFERROR(__xludf.DUMMYFUNCTION("""COMPUTED_VALUE"""),"Unknown")</f>
        <v>Unknown</v>
      </c>
      <c r="D1187" s="5"/>
    </row>
    <row r="1188" spans="1:4" ht="13">
      <c r="A1188" s="5" t="str">
        <f ca="1">IFERROR(__xludf.DUMMYFUNCTION("""COMPUTED_VALUE"""),"20130927ILROC")</f>
        <v>20130927ILROC</v>
      </c>
      <c r="B1188" s="5" t="str">
        <f ca="1">IFERROR(__xludf.DUMMYFUNCTION("""COMPUTED_VALUE"""),"Handgun")</f>
        <v>Handgun</v>
      </c>
      <c r="C1188" s="5" t="str">
        <f ca="1">IFERROR(__xludf.DUMMYFUNCTION("""COMPUTED_VALUE"""),"Unknown")</f>
        <v>Unknown</v>
      </c>
      <c r="D1188" s="5"/>
    </row>
    <row r="1189" spans="1:4" ht="13">
      <c r="A1189" s="5" t="str">
        <f ca="1">IFERROR(__xludf.DUMMYFUNCTION("""COMPUTED_VALUE"""),"20130830NCCAW")</f>
        <v>20130830NCCAW</v>
      </c>
      <c r="B1189" s="5" t="str">
        <f ca="1">IFERROR(__xludf.DUMMYFUNCTION("""COMPUTED_VALUE"""),"Handgun")</f>
        <v>Handgun</v>
      </c>
      <c r="C1189" s="5" t="str">
        <f ca="1">IFERROR(__xludf.DUMMYFUNCTION("""COMPUTED_VALUE"""),".38 caliber")</f>
        <v>.38 caliber</v>
      </c>
      <c r="D1189" s="5"/>
    </row>
    <row r="1190" spans="1:4" ht="13">
      <c r="A1190" s="5" t="str">
        <f ca="1">IFERROR(__xludf.DUMMYFUNCTION("""COMPUTED_VALUE"""),"20130823MSNOS")</f>
        <v>20130823MSNOS</v>
      </c>
      <c r="B1190" s="5" t="str">
        <f ca="1">IFERROR(__xludf.DUMMYFUNCTION("""COMPUTED_VALUE"""),"Unknown")</f>
        <v>Unknown</v>
      </c>
      <c r="C1190" s="5" t="str">
        <f ca="1">IFERROR(__xludf.DUMMYFUNCTION("""COMPUTED_VALUE"""),"Unknown")</f>
        <v>Unknown</v>
      </c>
      <c r="D1190" s="5"/>
    </row>
    <row r="1191" spans="1:4" ht="13">
      <c r="A1191" s="5" t="str">
        <f ca="1">IFERROR(__xludf.DUMMYFUNCTION("""COMPUTED_VALUE"""),"20130822TNWEM")</f>
        <v>20130822TNWEM</v>
      </c>
      <c r="B1191" s="5" t="str">
        <f ca="1">IFERROR(__xludf.DUMMYFUNCTION("""COMPUTED_VALUE"""),"Handgun")</f>
        <v>Handgun</v>
      </c>
      <c r="C1191" s="5" t="str">
        <f ca="1">IFERROR(__xludf.DUMMYFUNCTION("""COMPUTED_VALUE"""),"Unknown")</f>
        <v>Unknown</v>
      </c>
      <c r="D1191" s="5"/>
    </row>
    <row r="1192" spans="1:4" ht="13">
      <c r="A1192" s="5" t="str">
        <f ca="1">IFERROR(__xludf.DUMMYFUNCTION("""COMPUTED_VALUE"""),"20130820GAROD")</f>
        <v>20130820GAROD</v>
      </c>
      <c r="B1192" s="5" t="str">
        <f ca="1">IFERROR(__xludf.DUMMYFUNCTION("""COMPUTED_VALUE"""),"Rifle")</f>
        <v>Rifle</v>
      </c>
      <c r="C1192" s="5" t="str">
        <f ca="1">IFERROR(__xludf.DUMMYFUNCTION("""COMPUTED_VALUE"""),"AK-47")</f>
        <v>AK-47</v>
      </c>
      <c r="D1192" s="5"/>
    </row>
    <row r="1193" spans="1:4" ht="13">
      <c r="A1193" s="5" t="str">
        <f ca="1">IFERROR(__xludf.DUMMYFUNCTION("""COMPUTED_VALUE"""),"20130815TNNOC")</f>
        <v>20130815TNNOC</v>
      </c>
      <c r="B1193" s="5" t="str">
        <f ca="1">IFERROR(__xludf.DUMMYFUNCTION("""COMPUTED_VALUE"""),"Handgun")</f>
        <v>Handgun</v>
      </c>
      <c r="C1193" s="5" t="str">
        <f ca="1">IFERROR(__xludf.DUMMYFUNCTION("""COMPUTED_VALUE"""),"Unknown")</f>
        <v>Unknown</v>
      </c>
      <c r="D1193" s="5"/>
    </row>
    <row r="1194" spans="1:4" ht="13">
      <c r="A1194" s="5" t="str">
        <f ca="1">IFERROR(__xludf.DUMMYFUNCTION("""COMPUTED_VALUE"""),"20130619FLALW")</f>
        <v>20130619FLALW</v>
      </c>
      <c r="B1194" s="5" t="str">
        <f ca="1">IFERROR(__xludf.DUMMYFUNCTION("""COMPUTED_VALUE"""),"Handgun")</f>
        <v>Handgun</v>
      </c>
      <c r="C1194" s="5" t="str">
        <f ca="1">IFERROR(__xludf.DUMMYFUNCTION("""COMPUTED_VALUE"""),"Unknown")</f>
        <v>Unknown</v>
      </c>
      <c r="D1194" s="5"/>
    </row>
    <row r="1195" spans="1:4" ht="13">
      <c r="A1195" s="5" t="str">
        <f ca="1">IFERROR(__xludf.DUMMYFUNCTION("""COMPUTED_VALUE"""),"20130618NCHIC")</f>
        <v>20130618NCHIC</v>
      </c>
      <c r="B1195" s="5" t="str">
        <f ca="1">IFERROR(__xludf.DUMMYFUNCTION("""COMPUTED_VALUE"""),"Multiple Handguns")</f>
        <v>Multiple Handguns</v>
      </c>
      <c r="C1195" s="5" t="str">
        <f ca="1">IFERROR(__xludf.DUMMYFUNCTION("""COMPUTED_VALUE"""),"Unknown")</f>
        <v>Unknown</v>
      </c>
      <c r="D1195" s="5"/>
    </row>
    <row r="1196" spans="1:4" ht="13">
      <c r="A1196" s="5" t="str">
        <f ca="1">IFERROR(__xludf.DUMMYFUNCTION("""COMPUTED_VALUE"""),"20130523FLREH")</f>
        <v>20130523FLREH</v>
      </c>
      <c r="B1196" s="5" t="str">
        <f ca="1">IFERROR(__xludf.DUMMYFUNCTION("""COMPUTED_VALUE"""),"Handgun")</f>
        <v>Handgun</v>
      </c>
      <c r="C1196" s="5" t="str">
        <f ca="1">IFERROR(__xludf.DUMMYFUNCTION("""COMPUTED_VALUE"""),".38 caliber")</f>
        <v>.38 caliber</v>
      </c>
      <c r="D1196" s="5"/>
    </row>
    <row r="1197" spans="1:4" ht="13">
      <c r="A1197" s="5" t="str">
        <f ca="1">IFERROR(__xludf.DUMMYFUNCTION("""COMPUTED_VALUE"""),"20130513ALOSB")</f>
        <v>20130513ALOSB</v>
      </c>
      <c r="B1197" s="5" t="str">
        <f ca="1">IFERROR(__xludf.DUMMYFUNCTION("""COMPUTED_VALUE"""),"Handgun")</f>
        <v>Handgun</v>
      </c>
      <c r="C1197" s="5" t="str">
        <f ca="1">IFERROR(__xludf.DUMMYFUNCTION("""COMPUTED_VALUE"""),"Unknown")</f>
        <v>Unknown</v>
      </c>
      <c r="D1197" s="5"/>
    </row>
    <row r="1198" spans="1:4" ht="13">
      <c r="A1198" s="5" t="str">
        <f ca="1">IFERROR(__xludf.DUMMYFUNCTION("""COMPUTED_VALUE"""),"20130430NMTUT")</f>
        <v>20130430NMTUT</v>
      </c>
      <c r="B1198" s="5" t="str">
        <f ca="1">IFERROR(__xludf.DUMMYFUNCTION("""COMPUTED_VALUE"""),"Rifle")</f>
        <v>Rifle</v>
      </c>
      <c r="C1198" s="5" t="str">
        <f ca="1">IFERROR(__xludf.DUMMYFUNCTION("""COMPUTED_VALUE"""),"Unknown")</f>
        <v>Unknown</v>
      </c>
      <c r="D1198" s="5"/>
    </row>
    <row r="1199" spans="1:4" ht="13">
      <c r="A1199" s="5" t="str">
        <f ca="1">IFERROR(__xludf.DUMMYFUNCTION("""COMPUTED_VALUE"""),"20130429OHLAC")</f>
        <v>20130429OHLAC</v>
      </c>
      <c r="B1199" s="5" t="str">
        <f ca="1">IFERROR(__xludf.DUMMYFUNCTION("""COMPUTED_VALUE"""),"Handgun")</f>
        <v>Handgun</v>
      </c>
      <c r="C1199" s="5" t="str">
        <f ca="1">IFERROR(__xludf.DUMMYFUNCTION("""COMPUTED_VALUE"""),".45 caliber")</f>
        <v>.45 caliber</v>
      </c>
      <c r="D1199" s="5"/>
    </row>
    <row r="1200" spans="1:4" ht="13">
      <c r="A1200" s="5" t="str">
        <f ca="1">IFERROR(__xludf.DUMMYFUNCTION("""COMPUTED_VALUE"""),"20130416TXTET")</f>
        <v>20130416TXTET</v>
      </c>
      <c r="B1200" s="5" t="str">
        <f ca="1">IFERROR(__xludf.DUMMYFUNCTION("""COMPUTED_VALUE"""),"Handgun")</f>
        <v>Handgun</v>
      </c>
      <c r="C1200" s="5" t="str">
        <f ca="1">IFERROR(__xludf.DUMMYFUNCTION("""COMPUTED_VALUE"""),"Unknown")</f>
        <v>Unknown</v>
      </c>
      <c r="D1200" s="5"/>
    </row>
    <row r="1201" spans="1:4" ht="13">
      <c r="A1201" s="5" t="str">
        <f ca="1">IFERROR(__xludf.DUMMYFUNCTION("""COMPUTED_VALUE"""),"20130321MIDAS")</f>
        <v>20130321MIDAS</v>
      </c>
      <c r="B1201" s="5" t="str">
        <f ca="1">IFERROR(__xludf.DUMMYFUNCTION("""COMPUTED_VALUE"""),"Handgun")</f>
        <v>Handgun</v>
      </c>
      <c r="C1201" s="5" t="str">
        <f ca="1">IFERROR(__xludf.DUMMYFUNCTION("""COMPUTED_VALUE"""),".40 caliber")</f>
        <v>.40 caliber</v>
      </c>
      <c r="D1201" s="5"/>
    </row>
    <row r="1202" spans="1:4" ht="13">
      <c r="A1202" s="5" t="str">
        <f ca="1">IFERROR(__xludf.DUMMYFUNCTION("""COMPUTED_VALUE"""),"20130227GAGRA")</f>
        <v>20130227GAGRA</v>
      </c>
      <c r="B1202" s="5" t="str">
        <f ca="1">IFERROR(__xludf.DUMMYFUNCTION("""COMPUTED_VALUE"""),"Handgun")</f>
        <v>Handgun</v>
      </c>
      <c r="C1202" s="5" t="str">
        <f ca="1">IFERROR(__xludf.DUMMYFUNCTION("""COMPUTED_VALUE"""),".38 caliber")</f>
        <v>.38 caliber</v>
      </c>
      <c r="D1202" s="5"/>
    </row>
    <row r="1203" spans="1:4" ht="13">
      <c r="A1203" s="5" t="str">
        <f ca="1">IFERROR(__xludf.DUMMYFUNCTION("""COMPUTED_VALUE"""),"20130213CAHIS")</f>
        <v>20130213CAHIS</v>
      </c>
      <c r="B1203" s="5" t="str">
        <f ca="1">IFERROR(__xludf.DUMMYFUNCTION("""COMPUTED_VALUE"""),"Handgun")</f>
        <v>Handgun</v>
      </c>
      <c r="C1203" s="5" t="str">
        <f ca="1">IFERROR(__xludf.DUMMYFUNCTION("""COMPUTED_VALUE"""),"Unknown")</f>
        <v>Unknown</v>
      </c>
      <c r="D1203" s="5"/>
    </row>
    <row r="1204" spans="1:4" ht="13">
      <c r="A1204" s="5" t="str">
        <f ca="1">IFERROR(__xludf.DUMMYFUNCTION("""COMPUTED_VALUE"""),"20130201MIMAD")</f>
        <v>20130201MIMAD</v>
      </c>
      <c r="B1204" s="5" t="str">
        <f ca="1">IFERROR(__xludf.DUMMYFUNCTION("""COMPUTED_VALUE"""),"Handgun")</f>
        <v>Handgun</v>
      </c>
      <c r="C1204" s="5" t="str">
        <f ca="1">IFERROR(__xludf.DUMMYFUNCTION("""COMPUTED_VALUE"""),"Unknown")</f>
        <v>Unknown</v>
      </c>
      <c r="D1204" s="5"/>
    </row>
    <row r="1205" spans="1:4" ht="13">
      <c r="A1205" s="5" t="str">
        <f ca="1">IFERROR(__xludf.DUMMYFUNCTION("""COMPUTED_VALUE"""),"20130131GAPRA")</f>
        <v>20130131GAPRA</v>
      </c>
      <c r="B1205" s="5" t="str">
        <f ca="1">IFERROR(__xludf.DUMMYFUNCTION("""COMPUTED_VALUE"""),"Handgun")</f>
        <v>Handgun</v>
      </c>
      <c r="C1205" s="5" t="str">
        <f ca="1">IFERROR(__xludf.DUMMYFUNCTION("""COMPUTED_VALUE"""),"Unknown")</f>
        <v>Unknown</v>
      </c>
      <c r="D1205" s="5"/>
    </row>
    <row r="1206" spans="1:4" ht="13">
      <c r="A1206" s="5" t="str">
        <f ca="1">IFERROR(__xludf.DUMMYFUNCTION("""COMPUTED_VALUE"""),"20130131GAPRA")</f>
        <v>20130131GAPRA</v>
      </c>
      <c r="B1206" s="5" t="str">
        <f ca="1">IFERROR(__xludf.DUMMYFUNCTION("""COMPUTED_VALUE"""),"Handgun")</f>
        <v>Handgun</v>
      </c>
      <c r="C1206" s="5"/>
      <c r="D1206" s="5"/>
    </row>
    <row r="1207" spans="1:4" ht="13">
      <c r="A1207" s="5" t="str">
        <f ca="1">IFERROR(__xludf.DUMMYFUNCTION("""COMPUTED_VALUE"""),"20130111MIOSD")</f>
        <v>20130111MIOSD</v>
      </c>
      <c r="B1207" s="5" t="str">
        <f ca="1">IFERROR(__xludf.DUMMYFUNCTION("""COMPUTED_VALUE"""),"Unknown")</f>
        <v>Unknown</v>
      </c>
      <c r="C1207" s="5" t="str">
        <f ca="1">IFERROR(__xludf.DUMMYFUNCTION("""COMPUTED_VALUE"""),"Unknown")</f>
        <v>Unknown</v>
      </c>
      <c r="D1207" s="5"/>
    </row>
    <row r="1208" spans="1:4" ht="13">
      <c r="A1208" s="5" t="str">
        <f ca="1">IFERROR(__xludf.DUMMYFUNCTION("""COMPUTED_VALUE"""),"20130110CATAT")</f>
        <v>20130110CATAT</v>
      </c>
      <c r="B1208" s="5" t="str">
        <f ca="1">IFERROR(__xludf.DUMMYFUNCTION("""COMPUTED_VALUE"""),"Shotgun")</f>
        <v>Shotgun</v>
      </c>
      <c r="C1208" s="5" t="str">
        <f ca="1">IFERROR(__xludf.DUMMYFUNCTION("""COMPUTED_VALUE"""),"12 gauge")</f>
        <v>12 gauge</v>
      </c>
      <c r="D1208" s="5"/>
    </row>
    <row r="1209" spans="1:4" ht="13">
      <c r="A1209" s="5" t="str">
        <f ca="1">IFERROR(__xludf.DUMMYFUNCTION("""COMPUTED_VALUE"""),"20130107FLAPF")</f>
        <v>20130107FLAPF</v>
      </c>
      <c r="B1209" s="5" t="str">
        <f ca="1">IFERROR(__xludf.DUMMYFUNCTION("""COMPUTED_VALUE"""),"Unknown")</f>
        <v>Unknown</v>
      </c>
      <c r="C1209" s="5" t="str">
        <f ca="1">IFERROR(__xludf.DUMMYFUNCTION("""COMPUTED_VALUE"""),"Unknown")</f>
        <v>Unknown</v>
      </c>
      <c r="D1209" s="5"/>
    </row>
    <row r="1210" spans="1:4" ht="13">
      <c r="A1210" s="5" t="str">
        <f ca="1">IFERROR(__xludf.DUMMYFUNCTION("""COMPUTED_VALUE"""),"20121214CTSAN")</f>
        <v>20121214CTSAN</v>
      </c>
      <c r="B1210" s="5" t="str">
        <f ca="1">IFERROR(__xludf.DUMMYFUNCTION("""COMPUTED_VALUE"""),"Handgun")</f>
        <v>Handgun</v>
      </c>
      <c r="C1210" s="5" t="str">
        <f ca="1">IFERROR(__xludf.DUMMYFUNCTION("""COMPUTED_VALUE"""),"10mm")</f>
        <v>10mm</v>
      </c>
      <c r="D1210" s="5"/>
    </row>
    <row r="1211" spans="1:4" ht="13">
      <c r="A1211" s="5" t="str">
        <f ca="1">IFERROR(__xludf.DUMMYFUNCTION("""COMPUTED_VALUE"""),"20121214CTSAN")</f>
        <v>20121214CTSAN</v>
      </c>
      <c r="B1211" s="5" t="str">
        <f ca="1">IFERROR(__xludf.DUMMYFUNCTION("""COMPUTED_VALUE"""),"Handgun")</f>
        <v>Handgun</v>
      </c>
      <c r="C1211" s="5" t="str">
        <f ca="1">IFERROR(__xludf.DUMMYFUNCTION("""COMPUTED_VALUE"""),"9mm")</f>
        <v>9mm</v>
      </c>
      <c r="D1211" s="5"/>
    </row>
    <row r="1212" spans="1:4" ht="13">
      <c r="A1212" s="5" t="str">
        <f ca="1">IFERROR(__xludf.DUMMYFUNCTION("""COMPUTED_VALUE"""),"20121214CTSAN")</f>
        <v>20121214CTSAN</v>
      </c>
      <c r="B1212" s="5" t="str">
        <f ca="1">IFERROR(__xludf.DUMMYFUNCTION("""COMPUTED_VALUE"""),"Rifle")</f>
        <v>Rifle</v>
      </c>
      <c r="C1212" s="5" t="str">
        <f ca="1">IFERROR(__xludf.DUMMYFUNCTION("""COMPUTED_VALUE"""),"AR-15")</f>
        <v>AR-15</v>
      </c>
      <c r="D1212" s="5"/>
    </row>
    <row r="1213" spans="1:4" ht="13">
      <c r="A1213" s="5" t="str">
        <f ca="1">IFERROR(__xludf.DUMMYFUNCTION("""COMPUTED_VALUE"""),"20121214CTSAN")</f>
        <v>20121214CTSAN</v>
      </c>
      <c r="B1213" s="5" t="str">
        <f ca="1">IFERROR(__xludf.DUMMYFUNCTION("""COMPUTED_VALUE"""),"Shotgun")</f>
        <v>Shotgun</v>
      </c>
      <c r="C1213" s="5" t="str">
        <f ca="1">IFERROR(__xludf.DUMMYFUNCTION("""COMPUTED_VALUE"""),"12 gauge")</f>
        <v>12 gauge</v>
      </c>
      <c r="D1213" s="5"/>
    </row>
    <row r="1214" spans="1:4" ht="13">
      <c r="A1214" s="5" t="str">
        <f ca="1">IFERROR(__xludf.DUMMYFUNCTION("""COMPUTED_VALUE"""),"20121210TXSPH")</f>
        <v>20121210TXSPH</v>
      </c>
      <c r="B1214" s="5" t="str">
        <f ca="1">IFERROR(__xludf.DUMMYFUNCTION("""COMPUTED_VALUE"""),"Handgun")</f>
        <v>Handgun</v>
      </c>
      <c r="C1214" s="5" t="str">
        <f ca="1">IFERROR(__xludf.DUMMYFUNCTION("""COMPUTED_VALUE"""),"Unknown")</f>
        <v>Unknown</v>
      </c>
      <c r="D1214" s="5"/>
    </row>
    <row r="1215" spans="1:4" ht="13">
      <c r="A1215" s="5" t="str">
        <f ca="1">IFERROR(__xludf.DUMMYFUNCTION("""COMPUTED_VALUE"""),"20121019ILBAC")</f>
        <v>20121019ILBAC</v>
      </c>
      <c r="B1215" s="5" t="str">
        <f ca="1">IFERROR(__xludf.DUMMYFUNCTION("""COMPUTED_VALUE"""),"Unknown")</f>
        <v>Unknown</v>
      </c>
      <c r="C1215" s="5" t="str">
        <f ca="1">IFERROR(__xludf.DUMMYFUNCTION("""COMPUTED_VALUE"""),"Unknown")</f>
        <v>Unknown</v>
      </c>
      <c r="D1215" s="5"/>
    </row>
    <row r="1216" spans="1:4" ht="13">
      <c r="A1216" s="5" t="str">
        <f ca="1">IFERROR(__xludf.DUMMYFUNCTION("""COMPUTED_VALUE"""),"20121012NDFAF")</f>
        <v>20121012NDFAF</v>
      </c>
      <c r="B1216" s="5" t="str">
        <f ca="1">IFERROR(__xludf.DUMMYFUNCTION("""COMPUTED_VALUE"""),"Handgun")</f>
        <v>Handgun</v>
      </c>
      <c r="C1216" s="5" t="str">
        <f ca="1">IFERROR(__xludf.DUMMYFUNCTION("""COMPUTED_VALUE"""),"Unknown")</f>
        <v>Unknown</v>
      </c>
      <c r="D1216" s="5"/>
    </row>
    <row r="1217" spans="1:4" ht="13">
      <c r="A1217" s="5" t="str">
        <f ca="1">IFERROR(__xludf.DUMMYFUNCTION("""COMPUTED_VALUE"""),"20120926OKSTS")</f>
        <v>20120926OKSTS</v>
      </c>
      <c r="B1217" s="5" t="str">
        <f ca="1">IFERROR(__xludf.DUMMYFUNCTION("""COMPUTED_VALUE"""),"Handgun")</f>
        <v>Handgun</v>
      </c>
      <c r="C1217" s="5" t="str">
        <f ca="1">IFERROR(__xludf.DUMMYFUNCTION("""COMPUTED_VALUE"""),"Unknown")</f>
        <v>Unknown</v>
      </c>
      <c r="D1217" s="5"/>
    </row>
    <row r="1218" spans="1:4" ht="13">
      <c r="A1218" s="5" t="str">
        <f ca="1">IFERROR(__xludf.DUMMYFUNCTION("""COMPUTED_VALUE"""),"20120907ILNON")</f>
        <v>20120907ILNON</v>
      </c>
      <c r="B1218" s="5" t="str">
        <f ca="1">IFERROR(__xludf.DUMMYFUNCTION("""COMPUTED_VALUE"""),"Handgun")</f>
        <v>Handgun</v>
      </c>
      <c r="C1218" s="5" t="str">
        <f ca="1">IFERROR(__xludf.DUMMYFUNCTION("""COMPUTED_VALUE"""),".22 caliber")</f>
        <v>.22 caliber</v>
      </c>
      <c r="D1218" s="5"/>
    </row>
    <row r="1219" spans="1:4" ht="13">
      <c r="A1219" s="5" t="str">
        <f ca="1">IFERROR(__xludf.DUMMYFUNCTION("""COMPUTED_VALUE"""),"20120827MDPEP")</f>
        <v>20120827MDPEP</v>
      </c>
      <c r="B1219" s="5" t="str">
        <f ca="1">IFERROR(__xludf.DUMMYFUNCTION("""COMPUTED_VALUE"""),"Shotgun")</f>
        <v>Shotgun</v>
      </c>
      <c r="C1219" s="5" t="str">
        <f ca="1">IFERROR(__xludf.DUMMYFUNCTION("""COMPUTED_VALUE"""),"12 gauge")</f>
        <v>12 gauge</v>
      </c>
      <c r="D1219" s="5"/>
    </row>
    <row r="1220" spans="1:4" ht="13">
      <c r="A1220" s="5" t="str">
        <f ca="1">IFERROR(__xludf.DUMMYFUNCTION("""COMPUTED_VALUE"""),"20120824GABAH")</f>
        <v>20120824GABAH</v>
      </c>
      <c r="B1220" s="5" t="str">
        <f ca="1">IFERROR(__xludf.DUMMYFUNCTION("""COMPUTED_VALUE"""),"Handgun")</f>
        <v>Handgun</v>
      </c>
      <c r="C1220" s="5" t="str">
        <f ca="1">IFERROR(__xludf.DUMMYFUNCTION("""COMPUTED_VALUE"""),"Unknown")</f>
        <v>Unknown</v>
      </c>
      <c r="D1220" s="5"/>
    </row>
    <row r="1221" spans="1:4" ht="13">
      <c r="A1221" s="5" t="str">
        <f ca="1">IFERROR(__xludf.DUMMYFUNCTION("""COMPUTED_VALUE"""),"20120816TNHAM")</f>
        <v>20120816TNHAM</v>
      </c>
      <c r="B1221" s="5" t="str">
        <f ca="1">IFERROR(__xludf.DUMMYFUNCTION("""COMPUTED_VALUE"""),"Unknown")</f>
        <v>Unknown</v>
      </c>
      <c r="C1221" s="5" t="str">
        <f ca="1">IFERROR(__xludf.DUMMYFUNCTION("""COMPUTED_VALUE"""),"Unknown")</f>
        <v>Unknown</v>
      </c>
      <c r="D1221" s="5"/>
    </row>
    <row r="1222" spans="1:4" ht="13">
      <c r="A1222" s="5" t="str">
        <f ca="1">IFERROR(__xludf.DUMMYFUNCTION("""COMPUTED_VALUE"""),"20120706RINAP")</f>
        <v>20120706RINAP</v>
      </c>
      <c r="B1222" s="5" t="str">
        <f ca="1">IFERROR(__xludf.DUMMYFUNCTION("""COMPUTED_VALUE"""),"No Data")</f>
        <v>No Data</v>
      </c>
      <c r="C1222" s="5"/>
      <c r="D1222" s="5"/>
    </row>
    <row r="1223" spans="1:4" ht="13">
      <c r="A1223" s="5" t="str">
        <f ca="1">IFERROR(__xludf.DUMMYFUNCTION("""COMPUTED_VALUE"""),"20120525NCMAC")</f>
        <v>20120525NCMAC</v>
      </c>
      <c r="B1223" s="5" t="str">
        <f ca="1">IFERROR(__xludf.DUMMYFUNCTION("""COMPUTED_VALUE"""),"Handgun")</f>
        <v>Handgun</v>
      </c>
      <c r="C1223" s="5" t="str">
        <f ca="1">IFERROR(__xludf.DUMMYFUNCTION("""COMPUTED_VALUE"""),".44 caliber")</f>
        <v>.44 caliber</v>
      </c>
      <c r="D1223" s="5"/>
    </row>
    <row r="1224" spans="1:4" ht="13">
      <c r="A1224" s="5" t="str">
        <f ca="1">IFERROR(__xludf.DUMMYFUNCTION("""COMPUTED_VALUE"""),"20120525AZWEA")</f>
        <v>20120525AZWEA</v>
      </c>
      <c r="B1224" s="5" t="str">
        <f ca="1">IFERROR(__xludf.DUMMYFUNCTION("""COMPUTED_VALUE"""),"Handgun")</f>
        <v>Handgun</v>
      </c>
      <c r="C1224" s="5" t="str">
        <f ca="1">IFERROR(__xludf.DUMMYFUNCTION("""COMPUTED_VALUE"""),"Unknown")</f>
        <v>Unknown</v>
      </c>
      <c r="D1224" s="5"/>
    </row>
    <row r="1225" spans="1:4" ht="13">
      <c r="A1225" s="5" t="str">
        <f ca="1">IFERROR(__xludf.DUMMYFUNCTION("""COMPUTED_VALUE"""),"20120401ARKIR")</f>
        <v>20120401ARKIR</v>
      </c>
      <c r="B1225" s="5" t="str">
        <f ca="1">IFERROR(__xludf.DUMMYFUNCTION("""COMPUTED_VALUE"""),"Handgun")</f>
        <v>Handgun</v>
      </c>
      <c r="C1225" s="5" t="str">
        <f ca="1">IFERROR(__xludf.DUMMYFUNCTION("""COMPUTED_VALUE"""),"Unknown")</f>
        <v>Unknown</v>
      </c>
      <c r="D1225" s="5"/>
    </row>
    <row r="1226" spans="1:4" ht="13">
      <c r="A1226" s="5" t="str">
        <f ca="1">IFERROR(__xludf.DUMMYFUNCTION("""COMPUTED_VALUE"""),"20120315ALLEM")</f>
        <v>20120315ALLEM</v>
      </c>
      <c r="B1226" s="5" t="str">
        <f ca="1">IFERROR(__xludf.DUMMYFUNCTION("""COMPUTED_VALUE"""),"Handgun")</f>
        <v>Handgun</v>
      </c>
      <c r="C1226" s="5" t="str">
        <f ca="1">IFERROR(__xludf.DUMMYFUNCTION("""COMPUTED_VALUE"""),"Unknown")</f>
        <v>Unknown</v>
      </c>
      <c r="D1226" s="5"/>
    </row>
    <row r="1227" spans="1:4" ht="13">
      <c r="A1227" s="5" t="str">
        <f ca="1">IFERROR(__xludf.DUMMYFUNCTION("""COMPUTED_VALUE"""),"20120306FLEPJ")</f>
        <v>20120306FLEPJ</v>
      </c>
      <c r="B1227" s="5" t="str">
        <f ca="1">IFERROR(__xludf.DUMMYFUNCTION("""COMPUTED_VALUE"""),"Rifle")</f>
        <v>Rifle</v>
      </c>
      <c r="C1227" s="5" t="str">
        <f ca="1">IFERROR(__xludf.DUMMYFUNCTION("""COMPUTED_VALUE"""),"AK-47")</f>
        <v>AK-47</v>
      </c>
      <c r="D1227" s="5"/>
    </row>
    <row r="1228" spans="1:4" ht="13">
      <c r="A1228" s="5" t="str">
        <f ca="1">IFERROR(__xludf.DUMMYFUNCTION("""COMPUTED_VALUE"""),"20120227OHCHC")</f>
        <v>20120227OHCHC</v>
      </c>
      <c r="B1228" s="5" t="str">
        <f ca="1">IFERROR(__xludf.DUMMYFUNCTION("""COMPUTED_VALUE"""),"Handgun")</f>
        <v>Handgun</v>
      </c>
      <c r="C1228" s="5" t="str">
        <f ca="1">IFERROR(__xludf.DUMMYFUNCTION("""COMPUTED_VALUE"""),".22 caliber")</f>
        <v>.22 caliber</v>
      </c>
      <c r="D1228" s="5"/>
    </row>
    <row r="1229" spans="1:4" ht="13">
      <c r="A1229" s="5" t="str">
        <f ca="1">IFERROR(__xludf.DUMMYFUNCTION("""COMPUTED_VALUE"""),"20120222WAARB")</f>
        <v>20120222WAARB</v>
      </c>
      <c r="B1229" s="5" t="str">
        <f ca="1">IFERROR(__xludf.DUMMYFUNCTION("""COMPUTED_VALUE"""),"Handgun")</f>
        <v>Handgun</v>
      </c>
      <c r="C1229" s="5" t="str">
        <f ca="1">IFERROR(__xludf.DUMMYFUNCTION("""COMPUTED_VALUE"""),".45 caliber")</f>
        <v>.45 caliber</v>
      </c>
      <c r="D1229" s="5"/>
    </row>
    <row r="1230" spans="1:4" ht="13">
      <c r="A1230" s="5" t="str">
        <f ca="1">IFERROR(__xludf.DUMMYFUNCTION("""COMPUTED_VALUE"""),"20120210NHWAW")</f>
        <v>20120210NHWAW</v>
      </c>
      <c r="B1230" s="5" t="str">
        <f ca="1">IFERROR(__xludf.DUMMYFUNCTION("""COMPUTED_VALUE"""),"Shotgun")</f>
        <v>Shotgun</v>
      </c>
      <c r="C1230" s="5" t="str">
        <f ca="1">IFERROR(__xludf.DUMMYFUNCTION("""COMPUTED_VALUE"""),"20 gauge")</f>
        <v>20 gauge</v>
      </c>
      <c r="D1230" s="5"/>
    </row>
    <row r="1231" spans="1:4" ht="13">
      <c r="A1231" s="5" t="str">
        <f ca="1">IFERROR(__xludf.DUMMYFUNCTION("""COMPUTED_VALUE"""),"20120110TXNOH")</f>
        <v>20120110TXNOH</v>
      </c>
      <c r="B1231" s="5" t="str">
        <f ca="1">IFERROR(__xludf.DUMMYFUNCTION("""COMPUTED_VALUE"""),"Handgun")</f>
        <v>Handgun</v>
      </c>
      <c r="C1231" s="5" t="str">
        <f ca="1">IFERROR(__xludf.DUMMYFUNCTION("""COMPUTED_VALUE"""),"Unknown")</f>
        <v>Unknown</v>
      </c>
      <c r="D1231" s="5"/>
    </row>
    <row r="1232" spans="1:4" ht="13">
      <c r="A1232" s="5" t="str">
        <f ca="1">IFERROR(__xludf.DUMMYFUNCTION("""COMPUTED_VALUE"""),"20120104TXCUB")</f>
        <v>20120104TXCUB</v>
      </c>
      <c r="B1232" s="5" t="str">
        <f ca="1">IFERROR(__xludf.DUMMYFUNCTION("""COMPUTED_VALUE"""),"Handgun")</f>
        <v>Handgun</v>
      </c>
      <c r="C1232" s="5" t="str">
        <f ca="1">IFERROR(__xludf.DUMMYFUNCTION("""COMPUTED_VALUE"""),"Airsoft")</f>
        <v>Airsoft</v>
      </c>
      <c r="D1232" s="5"/>
    </row>
    <row r="1233" spans="1:4" ht="13">
      <c r="A1233" s="5" t="str">
        <f ca="1">IFERROR(__xludf.DUMMYFUNCTION("""COMPUTED_VALUE"""),"20111228MINOF")</f>
        <v>20111228MINOF</v>
      </c>
      <c r="B1233" s="5" t="str">
        <f ca="1">IFERROR(__xludf.DUMMYFUNCTION("""COMPUTED_VALUE"""),"Handgun")</f>
        <v>Handgun</v>
      </c>
      <c r="C1233" s="5" t="str">
        <f ca="1">IFERROR(__xludf.DUMMYFUNCTION("""COMPUTED_VALUE"""),"Unknown")</f>
        <v>Unknown</v>
      </c>
      <c r="D1233" s="5"/>
    </row>
    <row r="1234" spans="1:4" ht="13">
      <c r="A1234" s="5" t="str">
        <f ca="1">IFERROR(__xludf.DUMMYFUNCTION("""COMPUTED_VALUE"""),"20111212TXHAE")</f>
        <v>20111212TXHAE</v>
      </c>
      <c r="B1234" s="5" t="str">
        <f ca="1">IFERROR(__xludf.DUMMYFUNCTION("""COMPUTED_VALUE"""),"Rifle")</f>
        <v>Rifle</v>
      </c>
      <c r="C1234" s="5" t="str">
        <f ca="1">IFERROR(__xludf.DUMMYFUNCTION("""COMPUTED_VALUE"""),".308 caliber")</f>
        <v>.308 caliber</v>
      </c>
      <c r="D1234" s="5"/>
    </row>
    <row r="1235" spans="1:4" ht="13">
      <c r="A1235" s="5" t="str">
        <f ca="1">IFERROR(__xludf.DUMMYFUNCTION("""COMPUTED_VALUE"""),"20111024NCCAF")</f>
        <v>20111024NCCAF</v>
      </c>
      <c r="B1235" s="5" t="str">
        <f ca="1">IFERROR(__xludf.DUMMYFUNCTION("""COMPUTED_VALUE"""),"Rifle")</f>
        <v>Rifle</v>
      </c>
      <c r="C1235" s="5" t="str">
        <f ca="1">IFERROR(__xludf.DUMMYFUNCTION("""COMPUTED_VALUE"""),".22 caliber")</f>
        <v>.22 caliber</v>
      </c>
      <c r="D1235" s="5"/>
    </row>
    <row r="1236" spans="1:4" ht="13">
      <c r="A1236" s="5" t="str">
        <f ca="1">IFERROR(__xludf.DUMMYFUNCTION("""COMPUTED_VALUE"""),"20110930ORWIP")</f>
        <v>20110930ORWIP</v>
      </c>
      <c r="B1236" s="5" t="str">
        <f ca="1">IFERROR(__xludf.DUMMYFUNCTION("""COMPUTED_VALUE"""),"Handgun")</f>
        <v>Handgun</v>
      </c>
      <c r="C1236" s="5" t="str">
        <f ca="1">IFERROR(__xludf.DUMMYFUNCTION("""COMPUTED_VALUE"""),".22 caliber")</f>
        <v>.22 caliber</v>
      </c>
      <c r="D1236" s="5" t="str">
        <f ca="1">IFERROR(__xludf.DUMMYFUNCTION("""COMPUTED_VALUE"""),".22 pistol and double barreled shotgun")</f>
        <v>.22 pistol and double barreled shotgun</v>
      </c>
    </row>
    <row r="1237" spans="1:4" ht="13">
      <c r="A1237" s="5" t="str">
        <f ca="1">IFERROR(__xludf.DUMMYFUNCTION("""COMPUTED_VALUE"""),"20110930ORWIP")</f>
        <v>20110930ORWIP</v>
      </c>
      <c r="B1237" s="5" t="str">
        <f ca="1">IFERROR(__xludf.DUMMYFUNCTION("""COMPUTED_VALUE"""),"Shotgun")</f>
        <v>Shotgun</v>
      </c>
      <c r="C1237" s="5" t="str">
        <f ca="1">IFERROR(__xludf.DUMMYFUNCTION("""COMPUTED_VALUE"""),"Double-barreled")</f>
        <v>Double-barreled</v>
      </c>
      <c r="D1237" s="5" t="str">
        <f ca="1">IFERROR(__xludf.DUMMYFUNCTION("""COMPUTED_VALUE"""),".22 pistol and double barreled shotgun")</f>
        <v>.22 pistol and double barreled shotgun</v>
      </c>
    </row>
    <row r="1238" spans="1:4" ht="13">
      <c r="A1238" s="5" t="str">
        <f ca="1">IFERROR(__xludf.DUMMYFUNCTION("""COMPUTED_VALUE"""),"20110930NCGAC")</f>
        <v>20110930NCGAC</v>
      </c>
      <c r="B1238" s="5" t="str">
        <f ca="1">IFERROR(__xludf.DUMMYFUNCTION("""COMPUTED_VALUE"""),"Handgun")</f>
        <v>Handgun</v>
      </c>
      <c r="C1238" s="5" t="str">
        <f ca="1">IFERROR(__xludf.DUMMYFUNCTION("""COMPUTED_VALUE"""),"Unknown")</f>
        <v>Unknown</v>
      </c>
      <c r="D1238" s="5"/>
    </row>
    <row r="1239" spans="1:4" ht="13">
      <c r="A1239" s="5" t="str">
        <f ca="1">IFERROR(__xludf.DUMMYFUNCTION("""COMPUTED_VALUE"""),"20110923WAISS")</f>
        <v>20110923WAISS</v>
      </c>
      <c r="B1239" s="5" t="str">
        <f ca="1">IFERROR(__xludf.DUMMYFUNCTION("""COMPUTED_VALUE"""),"Rifle")</f>
        <v>Rifle</v>
      </c>
      <c r="C1239" s="5" t="str">
        <f ca="1">IFERROR(__xludf.DUMMYFUNCTION("""COMPUTED_VALUE"""),"Unknown")</f>
        <v>Unknown</v>
      </c>
      <c r="D1239" s="5"/>
    </row>
    <row r="1240" spans="1:4" ht="13">
      <c r="A1240" s="5" t="str">
        <f ca="1">IFERROR(__xludf.DUMMYFUNCTION("""COMPUTED_VALUE"""),"20110523HIHIP")</f>
        <v>20110523HIHIP</v>
      </c>
      <c r="B1240" s="5" t="str">
        <f ca="1">IFERROR(__xludf.DUMMYFUNCTION("""COMPUTED_VALUE"""),"Handgun")</f>
        <v>Handgun</v>
      </c>
      <c r="C1240" s="5" t="str">
        <f ca="1">IFERROR(__xludf.DUMMYFUNCTION("""COMPUTED_VALUE"""),".45 caliber")</f>
        <v>.45 caliber</v>
      </c>
      <c r="D1240" s="5"/>
    </row>
    <row r="1241" spans="1:4" ht="13">
      <c r="A1241" s="5" t="str">
        <f ca="1">IFERROR(__xludf.DUMMYFUNCTION("""COMPUTED_VALUE"""),"20110517WAHOE")</f>
        <v>20110517WAHOE</v>
      </c>
      <c r="B1241" s="5" t="str">
        <f ca="1">IFERROR(__xludf.DUMMYFUNCTION("""COMPUTED_VALUE"""),"Handgun")</f>
        <v>Handgun</v>
      </c>
      <c r="C1241" s="5" t="str">
        <f ca="1">IFERROR(__xludf.DUMMYFUNCTION("""COMPUTED_VALUE"""),"Unknown")</f>
        <v>Unknown</v>
      </c>
      <c r="D1241" s="5"/>
    </row>
    <row r="1242" spans="1:4" ht="13">
      <c r="A1242" s="5" t="str">
        <f ca="1">IFERROR(__xludf.DUMMYFUNCTION("""COMPUTED_VALUE"""),"20110419TXBEH")</f>
        <v>20110419TXBEH</v>
      </c>
      <c r="B1242" s="5" t="str">
        <f ca="1">IFERROR(__xludf.DUMMYFUNCTION("""COMPUTED_VALUE"""),"Handgun")</f>
        <v>Handgun</v>
      </c>
      <c r="C1242" s="5" t="str">
        <f ca="1">IFERROR(__xludf.DUMMYFUNCTION("""COMPUTED_VALUE"""),".38 caliber")</f>
        <v>.38 caliber</v>
      </c>
      <c r="D1242" s="5"/>
    </row>
    <row r="1243" spans="1:4" ht="13">
      <c r="A1243" s="5" t="str">
        <f ca="1">IFERROR(__xludf.DUMMYFUNCTION("""COMPUTED_VALUE"""),"20110413FLSHA")</f>
        <v>20110413FLSHA</v>
      </c>
      <c r="B1243" s="5" t="str">
        <f ca="1">IFERROR(__xludf.DUMMYFUNCTION("""COMPUTED_VALUE"""),"Handgun")</f>
        <v>Handgun</v>
      </c>
      <c r="C1243" s="5" t="str">
        <f ca="1">IFERROR(__xludf.DUMMYFUNCTION("""COMPUTED_VALUE"""),"Unknown")</f>
        <v>Unknown</v>
      </c>
      <c r="D1243" s="5"/>
    </row>
    <row r="1244" spans="1:4" ht="13">
      <c r="A1244" s="5" t="str">
        <f ca="1">IFERROR(__xludf.DUMMYFUNCTION("""COMPUTED_VALUE"""),"20110330TXWOH")</f>
        <v>20110330TXWOH</v>
      </c>
      <c r="B1244" s="5" t="str">
        <f ca="1">IFERROR(__xludf.DUMMYFUNCTION("""COMPUTED_VALUE"""),"Handgun")</f>
        <v>Handgun</v>
      </c>
      <c r="C1244" s="5" t="str">
        <f ca="1">IFERROR(__xludf.DUMMYFUNCTION("""COMPUTED_VALUE"""),"Unknown")</f>
        <v>Unknown</v>
      </c>
      <c r="D1244" s="5"/>
    </row>
    <row r="1245" spans="1:4" ht="13">
      <c r="A1245" s="5" t="str">
        <f ca="1">IFERROR(__xludf.DUMMYFUNCTION("""COMPUTED_VALUE"""),"20110325INMAM")</f>
        <v>20110325INMAM</v>
      </c>
      <c r="B1245" s="5" t="str">
        <f ca="1">IFERROR(__xludf.DUMMYFUNCTION("""COMPUTED_VALUE"""),"Handgun")</f>
        <v>Handgun</v>
      </c>
      <c r="C1245" s="5" t="str">
        <f ca="1">IFERROR(__xludf.DUMMYFUNCTION("""COMPUTED_VALUE"""),"9mm")</f>
        <v>9mm</v>
      </c>
      <c r="D1245" s="5"/>
    </row>
    <row r="1246" spans="1:4" ht="13">
      <c r="A1246" s="5" t="str">
        <f ca="1">IFERROR(__xludf.DUMMYFUNCTION("""COMPUTED_VALUE"""),"20110202CALOP")</f>
        <v>20110202CALOP</v>
      </c>
      <c r="B1246" s="5" t="str">
        <f ca="1">IFERROR(__xludf.DUMMYFUNCTION("""COMPUTED_VALUE"""),"Handgun")</f>
        <v>Handgun</v>
      </c>
      <c r="C1246" s="5" t="str">
        <f ca="1">IFERROR(__xludf.DUMMYFUNCTION("""COMPUTED_VALUE"""),".357 caliber")</f>
        <v>.357 caliber</v>
      </c>
      <c r="D1246" s="5"/>
    </row>
    <row r="1247" spans="1:4" ht="13">
      <c r="A1247" s="5" t="str">
        <f ca="1">IFERROR(__xludf.DUMMYFUNCTION("""COMPUTED_VALUE"""),"20110118CAGAL")</f>
        <v>20110118CAGAL</v>
      </c>
      <c r="B1247" s="5" t="str">
        <f ca="1">IFERROR(__xludf.DUMMYFUNCTION("""COMPUTED_VALUE"""),"Handgun")</f>
        <v>Handgun</v>
      </c>
      <c r="C1247" s="5" t="str">
        <f ca="1">IFERROR(__xludf.DUMMYFUNCTION("""COMPUTED_VALUE"""),"Unknown")</f>
        <v>Unknown</v>
      </c>
      <c r="D1247" s="5"/>
    </row>
    <row r="1248" spans="1:4" ht="13">
      <c r="A1248" s="5" t="str">
        <f ca="1">IFERROR(__xludf.DUMMYFUNCTION("""COMPUTED_VALUE"""),"20110105NEMIO")</f>
        <v>20110105NEMIO</v>
      </c>
      <c r="B1248" s="5" t="str">
        <f ca="1">IFERROR(__xludf.DUMMYFUNCTION("""COMPUTED_VALUE"""),"Handgun")</f>
        <v>Handgun</v>
      </c>
      <c r="C1248" s="5" t="str">
        <f ca="1">IFERROR(__xludf.DUMMYFUNCTION("""COMPUTED_VALUE"""),".40 caliber")</f>
        <v>.40 caliber</v>
      </c>
      <c r="D1248" s="5"/>
    </row>
    <row r="1249" spans="1:4" ht="13">
      <c r="A1249" s="5" t="str">
        <f ca="1">IFERROR(__xludf.DUMMYFUNCTION("""COMPUTED_VALUE"""),"20110104INCRC")</f>
        <v>20110104INCRC</v>
      </c>
      <c r="B1249" s="5" t="str">
        <f ca="1">IFERROR(__xludf.DUMMYFUNCTION("""COMPUTED_VALUE"""),"Other")</f>
        <v>Other</v>
      </c>
      <c r="C1249" s="5" t="str">
        <f ca="1">IFERROR(__xludf.DUMMYFUNCTION("""COMPUTED_VALUE"""),"BB")</f>
        <v>BB</v>
      </c>
      <c r="D1249" s="5"/>
    </row>
    <row r="1250" spans="1:4" ht="13">
      <c r="A1250" s="5" t="str">
        <f ca="1">IFERROR(__xludf.DUMMYFUNCTION("""COMPUTED_VALUE"""),"20101206COAUA")</f>
        <v>20101206COAUA</v>
      </c>
      <c r="B1250" s="5" t="str">
        <f ca="1">IFERROR(__xludf.DUMMYFUNCTION("""COMPUTED_VALUE"""),"Handgun")</f>
        <v>Handgun</v>
      </c>
      <c r="C1250" s="5" t="str">
        <f ca="1">IFERROR(__xludf.DUMMYFUNCTION("""COMPUTED_VALUE"""),"Unknown")</f>
        <v>Unknown</v>
      </c>
      <c r="D1250" s="5"/>
    </row>
    <row r="1251" spans="1:4" ht="13">
      <c r="A1251" s="5" t="str">
        <f ca="1">IFERROR(__xludf.DUMMYFUNCTION("""COMPUTED_VALUE"""),"20101129WIMAM")</f>
        <v>20101129WIMAM</v>
      </c>
      <c r="B1251" s="5" t="str">
        <f ca="1">IFERROR(__xludf.DUMMYFUNCTION("""COMPUTED_VALUE"""),"Handgun")</f>
        <v>Handgun</v>
      </c>
      <c r="C1251" s="5" t="str">
        <f ca="1">IFERROR(__xludf.DUMMYFUNCTION("""COMPUTED_VALUE"""),"Unknown")</f>
        <v>Unknown</v>
      </c>
      <c r="D1251" s="5"/>
    </row>
    <row r="1252" spans="1:4" ht="13">
      <c r="A1252" s="5" t="str">
        <f ca="1">IFERROR(__xludf.DUMMYFUNCTION("""COMPUTED_VALUE"""),"20101023KSTOT")</f>
        <v>20101023KSTOT</v>
      </c>
      <c r="B1252" s="5" t="str">
        <f ca="1">IFERROR(__xludf.DUMMYFUNCTION("""COMPUTED_VALUE"""),"Handgun")</f>
        <v>Handgun</v>
      </c>
      <c r="C1252" s="5" t="str">
        <f ca="1">IFERROR(__xludf.DUMMYFUNCTION("""COMPUTED_VALUE"""),"Unknown")</f>
        <v>Unknown</v>
      </c>
      <c r="D1252" s="5"/>
    </row>
    <row r="1253" spans="1:4" ht="13">
      <c r="A1253" s="5" t="str">
        <f ca="1">IFERROR(__xludf.DUMMYFUNCTION("""COMPUTED_VALUE"""),"20101008CAKEC")</f>
        <v>20101008CAKEC</v>
      </c>
      <c r="B1253" s="5" t="str">
        <f ca="1">IFERROR(__xludf.DUMMYFUNCTION("""COMPUTED_VALUE"""),"Handgun")</f>
        <v>Handgun</v>
      </c>
      <c r="C1253" s="5" t="str">
        <f ca="1">IFERROR(__xludf.DUMMYFUNCTION("""COMPUTED_VALUE"""),".357 caliber")</f>
        <v>.357 caliber</v>
      </c>
      <c r="D1253" s="5"/>
    </row>
    <row r="1254" spans="1:4" ht="13">
      <c r="A1254" s="5" t="str">
        <f ca="1">IFERROR(__xludf.DUMMYFUNCTION("""COMPUTED_VALUE"""),"20101001CAALS")</f>
        <v>20101001CAALS</v>
      </c>
      <c r="B1254" s="5" t="str">
        <f ca="1">IFERROR(__xludf.DUMMYFUNCTION("""COMPUTED_VALUE"""),"No Data")</f>
        <v>No Data</v>
      </c>
      <c r="C1254" s="5"/>
      <c r="D1254" s="5"/>
    </row>
    <row r="1255" spans="1:4" ht="13">
      <c r="A1255" s="5" t="str">
        <f ca="1">IFERROR(__xludf.DUMMYFUNCTION("""COMPUTED_VALUE"""),"20100921SCSOC")</f>
        <v>20100921SCSOC</v>
      </c>
      <c r="B1255" s="5" t="str">
        <f ca="1">IFERROR(__xludf.DUMMYFUNCTION("""COMPUTED_VALUE"""),"Handgun")</f>
        <v>Handgun</v>
      </c>
      <c r="C1255" s="5" t="str">
        <f ca="1">IFERROR(__xludf.DUMMYFUNCTION("""COMPUTED_VALUE"""),"Unknown")</f>
        <v>Unknown</v>
      </c>
      <c r="D1255" s="5"/>
    </row>
    <row r="1256" spans="1:4" ht="13">
      <c r="A1256" s="5" t="str">
        <f ca="1">IFERROR(__xludf.DUMMYFUNCTION("""COMPUTED_VALUE"""),"20100908MIMUD")</f>
        <v>20100908MIMUD</v>
      </c>
      <c r="B1256" s="5" t="str">
        <f ca="1">IFERROR(__xludf.DUMMYFUNCTION("""COMPUTED_VALUE"""),"No Data")</f>
        <v>No Data</v>
      </c>
      <c r="C1256" s="5"/>
      <c r="D1256" s="5"/>
    </row>
    <row r="1257" spans="1:4" ht="13">
      <c r="A1257" s="5" t="str">
        <f ca="1">IFERROR(__xludf.DUMMYFUNCTION("""COMPUTED_VALUE"""),"20100830TNSUB")</f>
        <v>20100830TNSUB</v>
      </c>
      <c r="B1257" s="5" t="str">
        <f ca="1">IFERROR(__xludf.DUMMYFUNCTION("""COMPUTED_VALUE"""),"Handgun")</f>
        <v>Handgun</v>
      </c>
      <c r="C1257" s="5" t="str">
        <f ca="1">IFERROR(__xludf.DUMMYFUNCTION("""COMPUTED_VALUE"""),".38 caliber")</f>
        <v>.38 caliber</v>
      </c>
      <c r="D1257" s="5"/>
    </row>
    <row r="1258" spans="1:4" ht="13">
      <c r="A1258" s="5" t="str">
        <f ca="1">IFERROR(__xludf.DUMMYFUNCTION("""COMPUTED_VALUE"""),"20100518CASOS")</f>
        <v>20100518CASOS</v>
      </c>
      <c r="B1258" s="5" t="str">
        <f ca="1">IFERROR(__xludf.DUMMYFUNCTION("""COMPUTED_VALUE"""),"Handgun")</f>
        <v>Handgun</v>
      </c>
      <c r="C1258" s="5" t="str">
        <f ca="1">IFERROR(__xludf.DUMMYFUNCTION("""COMPUTED_VALUE"""),"Unknown")</f>
        <v>Unknown</v>
      </c>
      <c r="D1258" s="5"/>
    </row>
    <row r="1259" spans="1:4" ht="13">
      <c r="A1259" s="5" t="str">
        <f ca="1">IFERROR(__xludf.DUMMYFUNCTION("""COMPUTED_VALUE"""),"20100428VAWOP")</f>
        <v>20100428VAWOP</v>
      </c>
      <c r="B1259" s="5" t="str">
        <f ca="1">IFERROR(__xludf.DUMMYFUNCTION("""COMPUTED_VALUE"""),"Handgun")</f>
        <v>Handgun</v>
      </c>
      <c r="C1259" s="5" t="str">
        <f ca="1">IFERROR(__xludf.DUMMYFUNCTION("""COMPUTED_VALUE"""),"Unknown")</f>
        <v>Unknown</v>
      </c>
      <c r="D1259" s="5"/>
    </row>
    <row r="1260" spans="1:4" ht="13">
      <c r="A1260" s="5" t="str">
        <f ca="1">IFERROR(__xludf.DUMMYFUNCTION("""COMPUTED_VALUE"""),"20100226WABIT")</f>
        <v>20100226WABIT</v>
      </c>
      <c r="B1260" s="5" t="str">
        <f ca="1">IFERROR(__xludf.DUMMYFUNCTION("""COMPUTED_VALUE"""),"No Data")</f>
        <v>No Data</v>
      </c>
      <c r="C1260" s="5"/>
      <c r="D1260" s="5"/>
    </row>
    <row r="1261" spans="1:4" ht="13">
      <c r="A1261" s="5" t="str">
        <f ca="1">IFERROR(__xludf.DUMMYFUNCTION("""COMPUTED_VALUE"""),"20100223CODEL")</f>
        <v>20100223CODEL</v>
      </c>
      <c r="B1261" s="5" t="str">
        <f ca="1">IFERROR(__xludf.DUMMYFUNCTION("""COMPUTED_VALUE"""),"Rifle")</f>
        <v>Rifle</v>
      </c>
      <c r="C1261" s="5" t="str">
        <f ca="1">IFERROR(__xludf.DUMMYFUNCTION("""COMPUTED_VALUE"""),".30-06")</f>
        <v>.30-06</v>
      </c>
      <c r="D1261" s="5"/>
    </row>
    <row r="1262" spans="1:4" ht="13">
      <c r="A1262" s="5" t="str">
        <f ca="1">IFERROR(__xludf.DUMMYFUNCTION("""COMPUTED_VALUE"""),"20100210TNINK")</f>
        <v>20100210TNINK</v>
      </c>
      <c r="B1262" s="5" t="str">
        <f ca="1">IFERROR(__xludf.DUMMYFUNCTION("""COMPUTED_VALUE"""),"Handgun")</f>
        <v>Handgun</v>
      </c>
      <c r="C1262" s="5" t="str">
        <f ca="1">IFERROR(__xludf.DUMMYFUNCTION("""COMPUTED_VALUE"""),"Unknown")</f>
        <v>Unknown</v>
      </c>
      <c r="D1262" s="5"/>
    </row>
    <row r="1263" spans="1:4" ht="13">
      <c r="A1263" s="5" t="str">
        <f ca="1">IFERROR(__xludf.DUMMYFUNCTION("""COMPUTED_VALUE"""),"20100205ALDIM")</f>
        <v>20100205ALDIM</v>
      </c>
      <c r="B1263" s="5" t="str">
        <f ca="1">IFERROR(__xludf.DUMMYFUNCTION("""COMPUTED_VALUE"""),"Handgun")</f>
        <v>Handgun</v>
      </c>
      <c r="C1263" s="5" t="str">
        <f ca="1">IFERROR(__xludf.DUMMYFUNCTION("""COMPUTED_VALUE"""),".22 caliber")</f>
        <v>.22 caliber</v>
      </c>
      <c r="D1263" s="5"/>
    </row>
    <row r="1264" spans="1:4" ht="13">
      <c r="A1264" s="5" t="str">
        <f ca="1">IFERROR(__xludf.DUMMYFUNCTION("""COMPUTED_VALUE"""),"20100120ALLIL")</f>
        <v>20100120ALLIL</v>
      </c>
      <c r="B1264" s="5" t="str">
        <f ca="1">IFERROR(__xludf.DUMMYFUNCTION("""COMPUTED_VALUE"""),"No Data")</f>
        <v>No Data</v>
      </c>
      <c r="C1264" s="5"/>
      <c r="D1264" s="5"/>
    </row>
    <row r="1265" spans="1:4" ht="13">
      <c r="A1265" s="5" t="str">
        <f ca="1">IFERROR(__xludf.DUMMYFUNCTION("""COMPUTED_VALUE"""),"20091211LABOS")</f>
        <v>20091211LABOS</v>
      </c>
      <c r="B1265" s="5" t="str">
        <f ca="1">IFERROR(__xludf.DUMMYFUNCTION("""COMPUTED_VALUE"""),"Handgun")</f>
        <v>Handgun</v>
      </c>
      <c r="C1265" s="5" t="str">
        <f ca="1">IFERROR(__xludf.DUMMYFUNCTION("""COMPUTED_VALUE"""),"Unknown")</f>
        <v>Unknown</v>
      </c>
      <c r="D1265" s="5"/>
    </row>
    <row r="1266" spans="1:4" ht="13">
      <c r="A1266" s="5" t="str">
        <f ca="1">IFERROR(__xludf.DUMMYFUNCTION("""COMPUTED_VALUE"""),"20091106PAHAW")</f>
        <v>20091106PAHAW</v>
      </c>
      <c r="B1266" s="5" t="str">
        <f ca="1">IFERROR(__xludf.DUMMYFUNCTION("""COMPUTED_VALUE"""),"Handgun")</f>
        <v>Handgun</v>
      </c>
      <c r="C1266" s="5" t="str">
        <f ca="1">IFERROR(__xludf.DUMMYFUNCTION("""COMPUTED_VALUE"""),".22 caliber")</f>
        <v>.22 caliber</v>
      </c>
      <c r="D1266" s="5"/>
    </row>
    <row r="1267" spans="1:4" ht="13">
      <c r="A1267" s="5" t="str">
        <f ca="1">IFERROR(__xludf.DUMMYFUNCTION("""COMPUTED_VALUE"""),"20091030CAWIL")</f>
        <v>20091030CAWIL</v>
      </c>
      <c r="B1267" s="5" t="str">
        <f ca="1">IFERROR(__xludf.DUMMYFUNCTION("""COMPUTED_VALUE"""),"Shotgun")</f>
        <v>Shotgun</v>
      </c>
      <c r="C1267" s="5" t="str">
        <f ca="1">IFERROR(__xludf.DUMMYFUNCTION("""COMPUTED_VALUE"""),".25 caliber")</f>
        <v>.25 caliber</v>
      </c>
      <c r="D1267" s="5"/>
    </row>
    <row r="1268" spans="1:4" ht="13">
      <c r="A1268" s="5" t="str">
        <f ca="1">IFERROR(__xludf.DUMMYFUNCTION("""COMPUTED_VALUE"""),"20091016SCCAC")</f>
        <v>20091016SCCAC</v>
      </c>
      <c r="B1268" s="5" t="str">
        <f ca="1">IFERROR(__xludf.DUMMYFUNCTION("""COMPUTED_VALUE"""),"Handgun")</f>
        <v>Handgun</v>
      </c>
      <c r="C1268" s="5" t="str">
        <f ca="1">IFERROR(__xludf.DUMMYFUNCTION("""COMPUTED_VALUE"""),"Service Weapon")</f>
        <v>Service Weapon</v>
      </c>
      <c r="D1268" s="5"/>
    </row>
    <row r="1269" spans="1:4" ht="13">
      <c r="A1269" s="5" t="str">
        <f ca="1">IFERROR(__xludf.DUMMYFUNCTION("""COMPUTED_VALUE"""),"20091008NYMAM")</f>
        <v>20091008NYMAM</v>
      </c>
      <c r="B1269" s="5" t="str">
        <f ca="1">IFERROR(__xludf.DUMMYFUNCTION("""COMPUTED_VALUE"""),"Rifle")</f>
        <v>Rifle</v>
      </c>
      <c r="C1269" s="5" t="str">
        <f ca="1">IFERROR(__xludf.DUMMYFUNCTION("""COMPUTED_VALUE"""),".22 caliber")</f>
        <v>.22 caliber</v>
      </c>
      <c r="D1269" s="5"/>
    </row>
    <row r="1270" spans="1:4" ht="13">
      <c r="A1270" s="5" t="str">
        <f ca="1">IFERROR(__xludf.DUMMYFUNCTION("""COMPUTED_VALUE"""),"20090916VAVIG")</f>
        <v>20090916VAVIG</v>
      </c>
      <c r="B1270" s="5" t="str">
        <f ca="1">IFERROR(__xludf.DUMMYFUNCTION("""COMPUTED_VALUE"""),"Handgun")</f>
        <v>Handgun</v>
      </c>
      <c r="C1270" s="5" t="str">
        <f ca="1">IFERROR(__xludf.DUMMYFUNCTION("""COMPUTED_VALUE"""),".40 caliber")</f>
        <v>.40 caliber</v>
      </c>
      <c r="D1270" s="5"/>
    </row>
    <row r="1271" spans="1:4" ht="13">
      <c r="A1271" s="5" t="str">
        <f ca="1">IFERROR(__xludf.DUMMYFUNCTION("""COMPUTED_VALUE"""),"20090908CTSTS")</f>
        <v>20090908CTSTS</v>
      </c>
      <c r="B1271" s="5" t="str">
        <f ca="1">IFERROR(__xludf.DUMMYFUNCTION("""COMPUTED_VALUE"""),"Handgun")</f>
        <v>Handgun</v>
      </c>
      <c r="C1271" s="5" t="str">
        <f ca="1">IFERROR(__xludf.DUMMYFUNCTION("""COMPUTED_VALUE"""),".22 caliber")</f>
        <v>.22 caliber</v>
      </c>
      <c r="D1271" s="5"/>
    </row>
    <row r="1272" spans="1:4" ht="13">
      <c r="A1272" s="5" t="str">
        <f ca="1">IFERROR(__xludf.DUMMYFUNCTION("""COMPUTED_VALUE"""),"20090827NCWEF")</f>
        <v>20090827NCWEF</v>
      </c>
      <c r="B1272" s="5" t="str">
        <f ca="1">IFERROR(__xludf.DUMMYFUNCTION("""COMPUTED_VALUE"""),"Handgun")</f>
        <v>Handgun</v>
      </c>
      <c r="C1272" s="5" t="str">
        <f ca="1">IFERROR(__xludf.DUMMYFUNCTION("""COMPUTED_VALUE"""),"Unknown")</f>
        <v>Unknown</v>
      </c>
      <c r="D1272" s="5"/>
    </row>
    <row r="1273" spans="1:4" ht="13">
      <c r="A1273" s="5" t="str">
        <f ca="1">IFERROR(__xludf.DUMMYFUNCTION("""COMPUTED_VALUE"""),"20090624IAAPP")</f>
        <v>20090624IAAPP</v>
      </c>
      <c r="B1273" s="5" t="str">
        <f ca="1">IFERROR(__xludf.DUMMYFUNCTION("""COMPUTED_VALUE"""),"Handgun")</f>
        <v>Handgun</v>
      </c>
      <c r="C1273" s="5" t="str">
        <f ca="1">IFERROR(__xludf.DUMMYFUNCTION("""COMPUTED_VALUE"""),".22 caliber")</f>
        <v>.22 caliber</v>
      </c>
      <c r="D1273" s="5"/>
    </row>
    <row r="1274" spans="1:4" ht="13">
      <c r="A1274" s="5" t="str">
        <f ca="1">IFERROR(__xludf.DUMMYFUNCTION("""COMPUTED_VALUE"""),"20090615CAINS")</f>
        <v>20090615CAINS</v>
      </c>
      <c r="B1274" s="5" t="str">
        <f ca="1">IFERROR(__xludf.DUMMYFUNCTION("""COMPUTED_VALUE"""),"Handgun")</f>
        <v>Handgun</v>
      </c>
      <c r="C1274" s="5" t="str">
        <f ca="1">IFERROR(__xludf.DUMMYFUNCTION("""COMPUTED_VALUE"""),"Unknown")</f>
        <v>Unknown</v>
      </c>
      <c r="D1274" s="5"/>
    </row>
    <row r="1275" spans="1:4" ht="13">
      <c r="A1275" s="5" t="str">
        <f ca="1">IFERROR(__xludf.DUMMYFUNCTION("""COMPUTED_VALUE"""),"20090518LALAL")</f>
        <v>20090518LALAL</v>
      </c>
      <c r="B1275" s="5" t="str">
        <f ca="1">IFERROR(__xludf.DUMMYFUNCTION("""COMPUTED_VALUE"""),"Handgun")</f>
        <v>Handgun</v>
      </c>
      <c r="C1275" s="5" t="str">
        <f ca="1">IFERROR(__xludf.DUMMYFUNCTION("""COMPUTED_VALUE"""),".25 caliber")</f>
        <v>.25 caliber</v>
      </c>
      <c r="D1275" s="5"/>
    </row>
    <row r="1276" spans="1:4" ht="13">
      <c r="A1276" s="5" t="str">
        <f ca="1">IFERROR(__xludf.DUMMYFUNCTION("""COMPUTED_VALUE"""),"20090505NYCAC")</f>
        <v>20090505NYCAC</v>
      </c>
      <c r="B1276" s="5" t="str">
        <f ca="1">IFERROR(__xludf.DUMMYFUNCTION("""COMPUTED_VALUE"""),"Shotgun")</f>
        <v>Shotgun</v>
      </c>
      <c r="C1276" s="5" t="str">
        <f ca="1">IFERROR(__xludf.DUMMYFUNCTION("""COMPUTED_VALUE"""),"Unknown")</f>
        <v>Unknown</v>
      </c>
      <c r="D1276" s="5"/>
    </row>
    <row r="1277" spans="1:4" ht="13">
      <c r="A1277" s="5" t="str">
        <f ca="1">IFERROR(__xludf.DUMMYFUNCTION("""COMPUTED_VALUE"""),"20090501WISHS")</f>
        <v>20090501WISHS</v>
      </c>
      <c r="B1277" s="5" t="str">
        <f ca="1">IFERROR(__xludf.DUMMYFUNCTION("""COMPUTED_VALUE"""),"No Data")</f>
        <v>No Data</v>
      </c>
      <c r="C1277" s="5"/>
      <c r="D1277" s="5"/>
    </row>
    <row r="1278" spans="1:4" ht="13">
      <c r="A1278" s="5" t="str">
        <f ca="1">IFERROR(__xludf.DUMMYFUNCTION("""COMPUTED_VALUE"""),"20090413CALOL")</f>
        <v>20090413CALOL</v>
      </c>
      <c r="B1278" s="5" t="str">
        <f ca="1">IFERROR(__xludf.DUMMYFUNCTION("""COMPUTED_VALUE"""),"Handgun")</f>
        <v>Handgun</v>
      </c>
      <c r="C1278" s="5" t="str">
        <f ca="1">IFERROR(__xludf.DUMMYFUNCTION("""COMPUTED_VALUE"""),"Unknown")</f>
        <v>Unknown</v>
      </c>
      <c r="D1278" s="5"/>
    </row>
    <row r="1279" spans="1:4" ht="13">
      <c r="A1279" s="5" t="str">
        <f ca="1">IFERROR(__xludf.DUMMYFUNCTION("""COMPUTED_VALUE"""),"20090311TXCYH")</f>
        <v>20090311TXCYH</v>
      </c>
      <c r="B1279" s="5" t="str">
        <f ca="1">IFERROR(__xludf.DUMMYFUNCTION("""COMPUTED_VALUE"""),"Handgun")</f>
        <v>Handgun</v>
      </c>
      <c r="C1279" s="5" t="str">
        <f ca="1">IFERROR(__xludf.DUMMYFUNCTION("""COMPUTED_VALUE"""),"Unknown")</f>
        <v>Unknown</v>
      </c>
      <c r="D1279" s="5"/>
    </row>
    <row r="1280" spans="1:4" ht="13">
      <c r="A1280" s="5" t="str">
        <f ca="1">IFERROR(__xludf.DUMMYFUNCTION("""COMPUTED_VALUE"""),"20090310FLRIJ")</f>
        <v>20090310FLRIJ</v>
      </c>
      <c r="B1280" s="5" t="str">
        <f ca="1">IFERROR(__xludf.DUMMYFUNCTION("""COMPUTED_VALUE"""),"Handgun")</f>
        <v>Handgun</v>
      </c>
      <c r="C1280" s="5" t="str">
        <f ca="1">IFERROR(__xludf.DUMMYFUNCTION("""COMPUTED_VALUE"""),"Unknown")</f>
        <v>Unknown</v>
      </c>
      <c r="D1280" s="5"/>
    </row>
    <row r="1281" spans="1:4" ht="13">
      <c r="A1281" s="5" t="str">
        <f ca="1">IFERROR(__xludf.DUMMYFUNCTION("""COMPUTED_VALUE"""),"20090306NCWEF")</f>
        <v>20090306NCWEF</v>
      </c>
      <c r="B1281" s="5" t="str">
        <f ca="1">IFERROR(__xludf.DUMMYFUNCTION("""COMPUTED_VALUE"""),"No Data")</f>
        <v>No Data</v>
      </c>
      <c r="C1281" s="5"/>
      <c r="D1281" s="5"/>
    </row>
    <row r="1282" spans="1:4" ht="13">
      <c r="A1282" s="5" t="str">
        <f ca="1">IFERROR(__xludf.DUMMYFUNCTION("""COMPUTED_VALUE"""),"20090302SDROS")</f>
        <v>20090302SDROS</v>
      </c>
      <c r="B1282" s="5" t="str">
        <f ca="1">IFERROR(__xludf.DUMMYFUNCTION("""COMPUTED_VALUE"""),"Other")</f>
        <v>Other</v>
      </c>
      <c r="C1282" s="5" t="str">
        <f ca="1">IFERROR(__xludf.DUMMYFUNCTION("""COMPUTED_VALUE"""),"Pellet")</f>
        <v>Pellet</v>
      </c>
      <c r="D1282" s="5"/>
    </row>
    <row r="1283" spans="1:4" ht="13">
      <c r="A1283" s="5" t="str">
        <f ca="1">IFERROR(__xludf.DUMMYFUNCTION("""COMPUTED_VALUE"""),"20090223CTBRN")</f>
        <v>20090223CTBRN</v>
      </c>
      <c r="B1283" s="5" t="str">
        <f ca="1">IFERROR(__xludf.DUMMYFUNCTION("""COMPUTED_VALUE"""),"Handgun")</f>
        <v>Handgun</v>
      </c>
      <c r="C1283" s="5" t="str">
        <f ca="1">IFERROR(__xludf.DUMMYFUNCTION("""COMPUTED_VALUE"""),"Unknown")</f>
        <v>Unknown</v>
      </c>
      <c r="D1283" s="5"/>
    </row>
    <row r="1284" spans="1:4" ht="13">
      <c r="A1284" s="5" t="str">
        <f ca="1">IFERROR(__xludf.DUMMYFUNCTION("""COMPUTED_VALUE"""),"20090220CAJOH")</f>
        <v>20090220CAJOH</v>
      </c>
      <c r="B1284" s="5" t="str">
        <f ca="1">IFERROR(__xludf.DUMMYFUNCTION("""COMPUTED_VALUE"""),"Shotgun")</f>
        <v>Shotgun</v>
      </c>
      <c r="C1284" s="5" t="str">
        <f ca="1">IFERROR(__xludf.DUMMYFUNCTION("""COMPUTED_VALUE"""),"Unknown")</f>
        <v>Unknown</v>
      </c>
      <c r="D1284" s="5"/>
    </row>
    <row r="1285" spans="1:4" ht="13">
      <c r="A1285" s="5" t="str">
        <f ca="1">IFERROR(__xludf.DUMMYFUNCTION("""COMPUTED_VALUE"""),"20090217MICED")</f>
        <v>20090217MICED</v>
      </c>
      <c r="B1285" s="5" t="str">
        <f ca="1">IFERROR(__xludf.DUMMYFUNCTION("""COMPUTED_VALUE"""),"Handgun")</f>
        <v>Handgun</v>
      </c>
      <c r="C1285" s="5" t="str">
        <f ca="1">IFERROR(__xludf.DUMMYFUNCTION("""COMPUTED_VALUE"""),"Unknown")</f>
        <v>Unknown</v>
      </c>
      <c r="D1285" s="5"/>
    </row>
    <row r="1286" spans="1:4" ht="13">
      <c r="A1286" s="5" t="str">
        <f ca="1">IFERROR(__xludf.DUMMYFUNCTION("""COMPUTED_VALUE"""),"20090211NCSCZ")</f>
        <v>20090211NCSCZ</v>
      </c>
      <c r="B1286" s="5" t="str">
        <f ca="1">IFERROR(__xludf.DUMMYFUNCTION("""COMPUTED_VALUE"""),"Handgun")</f>
        <v>Handgun</v>
      </c>
      <c r="C1286" s="5" t="str">
        <f ca="1">IFERROR(__xludf.DUMMYFUNCTION("""COMPUTED_VALUE"""),".22 caliber")</f>
        <v>.22 caliber</v>
      </c>
      <c r="D1286" s="5"/>
    </row>
    <row r="1287" spans="1:4" ht="13">
      <c r="A1287" s="5" t="str">
        <f ca="1">IFERROR(__xludf.DUMMYFUNCTION("""COMPUTED_VALUE"""),"20090210CABAE")</f>
        <v>20090210CABAE</v>
      </c>
      <c r="B1287" s="5" t="str">
        <f ca="1">IFERROR(__xludf.DUMMYFUNCTION("""COMPUTED_VALUE"""),"Handgun")</f>
        <v>Handgun</v>
      </c>
      <c r="C1287" s="5" t="str">
        <f ca="1">IFERROR(__xludf.DUMMYFUNCTION("""COMPUTED_VALUE"""),".22 caliber")</f>
        <v>.22 caliber</v>
      </c>
      <c r="D1287" s="5"/>
    </row>
    <row r="1288" spans="1:4" ht="13">
      <c r="A1288" s="5" t="str">
        <f ca="1">IFERROR(__xludf.DUMMYFUNCTION("""COMPUTED_VALUE"""),"20090127NCCLC")</f>
        <v>20090127NCCLC</v>
      </c>
      <c r="B1288" s="5" t="str">
        <f ca="1">IFERROR(__xludf.DUMMYFUNCTION("""COMPUTED_VALUE"""),"Handgun")</f>
        <v>Handgun</v>
      </c>
      <c r="C1288" s="5" t="str">
        <f ca="1">IFERROR(__xludf.DUMMYFUNCTION("""COMPUTED_VALUE"""),"Unknown")</f>
        <v>Unknown</v>
      </c>
      <c r="D1288" s="5"/>
    </row>
    <row r="1289" spans="1:4" ht="13">
      <c r="A1289" s="5" t="str">
        <f ca="1">IFERROR(__xludf.DUMMYFUNCTION("""COMPUTED_VALUE"""),"20090123ILCAC")</f>
        <v>20090123ILCAC</v>
      </c>
      <c r="B1289" s="5" t="str">
        <f ca="1">IFERROR(__xludf.DUMMYFUNCTION("""COMPUTED_VALUE"""),"Handgun")</f>
        <v>Handgun</v>
      </c>
      <c r="C1289" s="5" t="str">
        <f ca="1">IFERROR(__xludf.DUMMYFUNCTION("""COMPUTED_VALUE"""),"Unknown")</f>
        <v>Unknown</v>
      </c>
      <c r="D1289" s="5"/>
    </row>
    <row r="1290" spans="1:4" ht="13">
      <c r="A1290" s="5" t="str">
        <f ca="1">IFERROR(__xludf.DUMMYFUNCTION("""COMPUTED_VALUE"""),"20090120PAEAE")</f>
        <v>20090120PAEAE</v>
      </c>
      <c r="B1290" s="5" t="str">
        <f ca="1">IFERROR(__xludf.DUMMYFUNCTION("""COMPUTED_VALUE"""),"Handgun")</f>
        <v>Handgun</v>
      </c>
      <c r="C1290" s="5" t="str">
        <f ca="1">IFERROR(__xludf.DUMMYFUNCTION("""COMPUTED_VALUE"""),"Unknown")</f>
        <v>Unknown</v>
      </c>
      <c r="D1290" s="5"/>
    </row>
    <row r="1291" spans="1:4" ht="13">
      <c r="A1291" s="5" t="str">
        <f ca="1">IFERROR(__xludf.DUMMYFUNCTION("""COMPUTED_VALUE"""),"20090120MIBEM")</f>
        <v>20090120MIBEM</v>
      </c>
      <c r="B1291" s="5" t="str">
        <f ca="1">IFERROR(__xludf.DUMMYFUNCTION("""COMPUTED_VALUE"""),"Multiple Handguns")</f>
        <v>Multiple Handguns</v>
      </c>
      <c r="C1291" s="5" t="str">
        <f ca="1">IFERROR(__xludf.DUMMYFUNCTION("""COMPUTED_VALUE"""),"Unknown")</f>
        <v>Unknown</v>
      </c>
      <c r="D1291" s="5"/>
    </row>
    <row r="1292" spans="1:4" ht="13">
      <c r="A1292" s="5" t="str">
        <f ca="1">IFERROR(__xludf.DUMMYFUNCTION("""COMPUTED_VALUE"""),"20090120ILCOC")</f>
        <v>20090120ILCOC</v>
      </c>
      <c r="B1292" s="5" t="str">
        <f ca="1">IFERROR(__xludf.DUMMYFUNCTION("""COMPUTED_VALUE"""),"Handgun")</f>
        <v>Handgun</v>
      </c>
      <c r="C1292" s="5" t="str">
        <f ca="1">IFERROR(__xludf.DUMMYFUNCTION("""COMPUTED_VALUE"""),"Unknown")</f>
        <v>Unknown</v>
      </c>
      <c r="D1292" s="5"/>
    </row>
    <row r="1293" spans="1:4" ht="13">
      <c r="A1293" s="5" t="str">
        <f ca="1">IFERROR(__xludf.DUMMYFUNCTION("""COMPUTED_VALUE"""),"20090114ILPEC")</f>
        <v>20090114ILPEC</v>
      </c>
      <c r="B1293" s="5" t="str">
        <f ca="1">IFERROR(__xludf.DUMMYFUNCTION("""COMPUTED_VALUE"""),"No Data")</f>
        <v>No Data</v>
      </c>
      <c r="C1293" s="5"/>
      <c r="D1293" s="5"/>
    </row>
    <row r="1294" spans="1:4" ht="13">
      <c r="A1294" s="5" t="str">
        <f ca="1">IFERROR(__xludf.DUMMYFUNCTION("""COMPUTED_VALUE"""),"20090109ILDUC")</f>
        <v>20090109ILDUC</v>
      </c>
      <c r="B1294" s="5" t="str">
        <f ca="1">IFERROR(__xludf.DUMMYFUNCTION("""COMPUTED_VALUE"""),"Handgun")</f>
        <v>Handgun</v>
      </c>
      <c r="C1294" s="5" t="str">
        <f ca="1">IFERROR(__xludf.DUMMYFUNCTION("""COMPUTED_VALUE"""),"Unknown")</f>
        <v>Unknown</v>
      </c>
      <c r="D1294" s="5"/>
    </row>
    <row r="1295" spans="1:4" ht="13">
      <c r="A1295" s="5" t="str">
        <f ca="1">IFERROR(__xludf.DUMMYFUNCTION("""COMPUTED_VALUE"""),"20090108DEWIN")</f>
        <v>20090108DEWIN</v>
      </c>
      <c r="B1295" s="5" t="str">
        <f ca="1">IFERROR(__xludf.DUMMYFUNCTION("""COMPUTED_VALUE"""),"Handgun")</f>
        <v>Handgun</v>
      </c>
      <c r="C1295" s="5" t="str">
        <f ca="1">IFERROR(__xludf.DUMMYFUNCTION("""COMPUTED_VALUE"""),"Service Weapon")</f>
        <v>Service Weapon</v>
      </c>
      <c r="D1295" s="5"/>
    </row>
    <row r="1296" spans="1:4" ht="13">
      <c r="A1296" s="5" t="str">
        <f ca="1">IFERROR(__xludf.DUMMYFUNCTION("""COMPUTED_VALUE"""),"20081231OKKEN")</f>
        <v>20081231OKKEN</v>
      </c>
      <c r="B1296" s="5" t="str">
        <f ca="1">IFERROR(__xludf.DUMMYFUNCTION("""COMPUTED_VALUE"""),"No Data")</f>
        <v>No Data</v>
      </c>
      <c r="C1296" s="5"/>
      <c r="D1296" s="5"/>
    </row>
    <row r="1297" spans="1:4" ht="13">
      <c r="A1297" s="5" t="str">
        <f ca="1">IFERROR(__xludf.DUMMYFUNCTION("""COMPUTED_VALUE"""),"20081231GASHS")</f>
        <v>20081231GASHS</v>
      </c>
      <c r="B1297" s="5" t="str">
        <f ca="1">IFERROR(__xludf.DUMMYFUNCTION("""COMPUTED_VALUE"""),"Shotgun")</f>
        <v>Shotgun</v>
      </c>
      <c r="C1297" s="5" t="str">
        <f ca="1">IFERROR(__xludf.DUMMYFUNCTION("""COMPUTED_VALUE"""),"Unknown")</f>
        <v>Unknown</v>
      </c>
      <c r="D1297" s="5"/>
    </row>
    <row r="1298" spans="1:4" ht="13">
      <c r="A1298" s="5" t="str">
        <f ca="1">IFERROR(__xludf.DUMMYFUNCTION("""COMPUTED_VALUE"""),"20081227PAWIP")</f>
        <v>20081227PAWIP</v>
      </c>
      <c r="B1298" s="5" t="str">
        <f ca="1">IFERROR(__xludf.DUMMYFUNCTION("""COMPUTED_VALUE"""),"No Data")</f>
        <v>No Data</v>
      </c>
      <c r="C1298" s="5"/>
      <c r="D1298" s="5"/>
    </row>
    <row r="1299" spans="1:4" ht="13">
      <c r="A1299" s="5" t="str">
        <f ca="1">IFERROR(__xludf.DUMMYFUNCTION("""COMPUTED_VALUE"""),"20081222FLLAL")</f>
        <v>20081222FLLAL</v>
      </c>
      <c r="B1299" s="5" t="str">
        <f ca="1">IFERROR(__xludf.DUMMYFUNCTION("""COMPUTED_VALUE"""),"Handgun")</f>
        <v>Handgun</v>
      </c>
      <c r="C1299" s="5" t="str">
        <f ca="1">IFERROR(__xludf.DUMMYFUNCTION("""COMPUTED_VALUE"""),"Unknown")</f>
        <v>Unknown</v>
      </c>
      <c r="D1299" s="5"/>
    </row>
    <row r="1300" spans="1:4" ht="13">
      <c r="A1300" s="5" t="str">
        <f ca="1">IFERROR(__xludf.DUMMYFUNCTION("""COMPUTED_VALUE"""),"20081221SCSUS")</f>
        <v>20081221SCSUS</v>
      </c>
      <c r="B1300" s="5" t="str">
        <f ca="1">IFERROR(__xludf.DUMMYFUNCTION("""COMPUTED_VALUE"""),"Handgun")</f>
        <v>Handgun</v>
      </c>
      <c r="C1300" s="5" t="str">
        <f ca="1">IFERROR(__xludf.DUMMYFUNCTION("""COMPUTED_VALUE"""),"Unknown")</f>
        <v>Unknown</v>
      </c>
      <c r="D1300" s="5"/>
    </row>
    <row r="1301" spans="1:4" ht="13">
      <c r="A1301" s="5" t="str">
        <f ca="1">IFERROR(__xludf.DUMMYFUNCTION("""COMPUTED_VALUE"""),"20081212NYWIM")</f>
        <v>20081212NYWIM</v>
      </c>
      <c r="B1301" s="5" t="str">
        <f ca="1">IFERROR(__xludf.DUMMYFUNCTION("""COMPUTED_VALUE"""),"Handgun")</f>
        <v>Handgun</v>
      </c>
      <c r="C1301" s="5" t="str">
        <f ca="1">IFERROR(__xludf.DUMMYFUNCTION("""COMPUTED_VALUE"""),"9mm")</f>
        <v>9mm</v>
      </c>
      <c r="D1301" s="5"/>
    </row>
    <row r="1302" spans="1:4" ht="13">
      <c r="A1302" s="5" t="str">
        <f ca="1">IFERROR(__xludf.DUMMYFUNCTION("""COMPUTED_VALUE"""),"20081212NCGUA")</f>
        <v>20081212NCGUA</v>
      </c>
      <c r="B1302" s="5" t="str">
        <f ca="1">IFERROR(__xludf.DUMMYFUNCTION("""COMPUTED_VALUE"""),"Handgun")</f>
        <v>Handgun</v>
      </c>
      <c r="C1302" s="5" t="str">
        <f ca="1">IFERROR(__xludf.DUMMYFUNCTION("""COMPUTED_VALUE"""),"9mm")</f>
        <v>9mm</v>
      </c>
      <c r="D1302" s="5"/>
    </row>
    <row r="1303" spans="1:4" ht="13">
      <c r="A1303" s="5" t="str">
        <f ca="1">IFERROR(__xludf.DUMMYFUNCTION("""COMPUTED_VALUE"""),"20081205MNSHF")</f>
        <v>20081205MNSHF</v>
      </c>
      <c r="B1303" s="5" t="str">
        <f ca="1">IFERROR(__xludf.DUMMYFUNCTION("""COMPUTED_VALUE"""),"Handgun")</f>
        <v>Handgun</v>
      </c>
      <c r="C1303" s="5" t="str">
        <f ca="1">IFERROR(__xludf.DUMMYFUNCTION("""COMPUTED_VALUE"""),"Unknown")</f>
        <v>Unknown</v>
      </c>
      <c r="D1303" s="5"/>
    </row>
    <row r="1304" spans="1:4" ht="13">
      <c r="A1304" s="5" t="str">
        <f ca="1">IFERROR(__xludf.DUMMYFUNCTION("""COMPUTED_VALUE"""),"20081202CAKIK")</f>
        <v>20081202CAKIK</v>
      </c>
      <c r="B1304" s="5" t="str">
        <f ca="1">IFERROR(__xludf.DUMMYFUNCTION("""COMPUTED_VALUE"""),"Handgun")</f>
        <v>Handgun</v>
      </c>
      <c r="C1304" s="5" t="str">
        <f ca="1">IFERROR(__xludf.DUMMYFUNCTION("""COMPUTED_VALUE"""),".22 caliber")</f>
        <v>.22 caliber</v>
      </c>
      <c r="D1304" s="5"/>
    </row>
    <row r="1305" spans="1:4" ht="13">
      <c r="A1305" s="5" t="str">
        <f ca="1">IFERROR(__xludf.DUMMYFUNCTION("""COMPUTED_VALUE"""),"20081130CAOAG")</f>
        <v>20081130CAOAG</v>
      </c>
      <c r="B1305" s="5" t="str">
        <f ca="1">IFERROR(__xludf.DUMMYFUNCTION("""COMPUTED_VALUE"""),"Handgun")</f>
        <v>Handgun</v>
      </c>
      <c r="C1305" s="5" t="str">
        <f ca="1">IFERROR(__xludf.DUMMYFUNCTION("""COMPUTED_VALUE"""),"Unknown")</f>
        <v>Unknown</v>
      </c>
      <c r="D1305" s="5"/>
    </row>
    <row r="1306" spans="1:4" ht="13">
      <c r="A1306" s="5" t="str">
        <f ca="1">IFERROR(__xludf.DUMMYFUNCTION("""COMPUTED_VALUE"""),"20081125TXNOH")</f>
        <v>20081125TXNOH</v>
      </c>
      <c r="B1306" s="5" t="str">
        <f ca="1">IFERROR(__xludf.DUMMYFUNCTION("""COMPUTED_VALUE"""),"No Data")</f>
        <v>No Data</v>
      </c>
      <c r="C1306" s="5"/>
      <c r="D1306" s="5"/>
    </row>
    <row r="1307" spans="1:4" ht="13">
      <c r="A1307" s="5" t="str">
        <f ca="1">IFERROR(__xludf.DUMMYFUNCTION("""COMPUTED_VALUE"""),"20081118CACOO")</f>
        <v>20081118CACOO</v>
      </c>
      <c r="B1307" s="5" t="str">
        <f ca="1">IFERROR(__xludf.DUMMYFUNCTION("""COMPUTED_VALUE"""),"Handgun")</f>
        <v>Handgun</v>
      </c>
      <c r="C1307" s="5" t="str">
        <f ca="1">IFERROR(__xludf.DUMMYFUNCTION("""COMPUTED_VALUE"""),"Unknown")</f>
        <v>Unknown</v>
      </c>
      <c r="D1307" s="5"/>
    </row>
    <row r="1308" spans="1:4" ht="13">
      <c r="A1308" s="5" t="str">
        <f ca="1">IFERROR(__xludf.DUMMYFUNCTION("""COMPUTED_VALUE"""),"20081118CACEC")</f>
        <v>20081118CACEC</v>
      </c>
      <c r="B1308" s="5" t="str">
        <f ca="1">IFERROR(__xludf.DUMMYFUNCTION("""COMPUTED_VALUE"""),"Handgun")</f>
        <v>Handgun</v>
      </c>
      <c r="C1308" s="5" t="str">
        <f ca="1">IFERROR(__xludf.DUMMYFUNCTION("""COMPUTED_VALUE"""),"Unknown")</f>
        <v>Unknown</v>
      </c>
      <c r="D1308" s="5"/>
    </row>
    <row r="1309" spans="1:4" ht="13">
      <c r="A1309" s="5" t="str">
        <f ca="1">IFERROR(__xludf.DUMMYFUNCTION("""COMPUTED_VALUE"""),"20081115UTDES")</f>
        <v>20081115UTDES</v>
      </c>
      <c r="B1309" s="5" t="str">
        <f ca="1">IFERROR(__xludf.DUMMYFUNCTION("""COMPUTED_VALUE"""),"Handgun")</f>
        <v>Handgun</v>
      </c>
      <c r="C1309" s="5" t="str">
        <f ca="1">IFERROR(__xludf.DUMMYFUNCTION("""COMPUTED_VALUE"""),".38 caliber")</f>
        <v>.38 caliber</v>
      </c>
      <c r="D1309" s="5"/>
    </row>
    <row r="1310" spans="1:4" ht="13">
      <c r="A1310" s="5" t="str">
        <f ca="1">IFERROR(__xludf.DUMMYFUNCTION("""COMPUTED_VALUE"""),"20081115COTHL")</f>
        <v>20081115COTHL</v>
      </c>
      <c r="B1310" s="5" t="str">
        <f ca="1">IFERROR(__xludf.DUMMYFUNCTION("""COMPUTED_VALUE"""),"Handgun")</f>
        <v>Handgun</v>
      </c>
      <c r="C1310" s="5" t="str">
        <f ca="1">IFERROR(__xludf.DUMMYFUNCTION("""COMPUTED_VALUE"""),"Unknown")</f>
        <v>Unknown</v>
      </c>
      <c r="D1310" s="5"/>
    </row>
    <row r="1311" spans="1:4" ht="13">
      <c r="A1311" s="5" t="str">
        <f ca="1">IFERROR(__xludf.DUMMYFUNCTION("""COMPUTED_VALUE"""),"20081112FLDIF")</f>
        <v>20081112FLDIF</v>
      </c>
      <c r="B1311" s="5" t="str">
        <f ca="1">IFERROR(__xludf.DUMMYFUNCTION("""COMPUTED_VALUE"""),"Handgun")</f>
        <v>Handgun</v>
      </c>
      <c r="C1311" s="5" t="str">
        <f ca="1">IFERROR(__xludf.DUMMYFUNCTION("""COMPUTED_VALUE"""),".22 caliber")</f>
        <v>.22 caliber</v>
      </c>
      <c r="D1311" s="5"/>
    </row>
    <row r="1312" spans="1:4" ht="13">
      <c r="A1312" s="5" t="str">
        <f ca="1">IFERROR(__xludf.DUMMYFUNCTION("""COMPUTED_VALUE"""),"20081103CAELO")</f>
        <v>20081103CAELO</v>
      </c>
      <c r="B1312" s="5" t="str">
        <f ca="1">IFERROR(__xludf.DUMMYFUNCTION("""COMPUTED_VALUE"""),"Other")</f>
        <v>Other</v>
      </c>
      <c r="C1312" s="5" t="str">
        <f ca="1">IFERROR(__xludf.DUMMYFUNCTION("""COMPUTED_VALUE"""),"BB")</f>
        <v>BB</v>
      </c>
      <c r="D1312" s="5"/>
    </row>
    <row r="1313" spans="1:4" ht="13">
      <c r="A1313" s="5" t="str">
        <f ca="1">IFERROR(__xludf.DUMMYFUNCTION("""COMPUTED_VALUE"""),"20081103CABEB")</f>
        <v>20081103CABEB</v>
      </c>
      <c r="B1313" s="5" t="str">
        <f ca="1">IFERROR(__xludf.DUMMYFUNCTION("""COMPUTED_VALUE"""),"Handgun")</f>
        <v>Handgun</v>
      </c>
      <c r="C1313" s="5" t="str">
        <f ca="1">IFERROR(__xludf.DUMMYFUNCTION("""COMPUTED_VALUE"""),"Unknown")</f>
        <v>Unknown</v>
      </c>
      <c r="D1313" s="5"/>
    </row>
    <row r="1314" spans="1:4" ht="13">
      <c r="A1314" s="5" t="str">
        <f ca="1">IFERROR(__xludf.DUMMYFUNCTION("""COMPUTED_VALUE"""),"20081031MESTS")</f>
        <v>20081031MESTS</v>
      </c>
      <c r="B1314" s="5" t="str">
        <f ca="1">IFERROR(__xludf.DUMMYFUNCTION("""COMPUTED_VALUE"""),"No Data")</f>
        <v>No Data</v>
      </c>
      <c r="C1314" s="5"/>
      <c r="D1314" s="5"/>
    </row>
    <row r="1315" spans="1:4" ht="13">
      <c r="A1315" s="5" t="str">
        <f ca="1">IFERROR(__xludf.DUMMYFUNCTION("""COMPUTED_VALUE"""),"20081029CAELG")</f>
        <v>20081029CAELG</v>
      </c>
      <c r="B1315" s="5" t="str">
        <f ca="1">IFERROR(__xludf.DUMMYFUNCTION("""COMPUTED_VALUE"""),"Other")</f>
        <v>Other</v>
      </c>
      <c r="C1315" s="5" t="str">
        <f ca="1">IFERROR(__xludf.DUMMYFUNCTION("""COMPUTED_VALUE"""),"Pellet")</f>
        <v>Pellet</v>
      </c>
      <c r="D1315" s="5"/>
    </row>
    <row r="1316" spans="1:4" ht="13">
      <c r="A1316" s="5" t="str">
        <f ca="1">IFERROR(__xludf.DUMMYFUNCTION("""COMPUTED_VALUE"""),"20081023ALPRP")</f>
        <v>20081023ALPRP</v>
      </c>
      <c r="B1316" s="5" t="str">
        <f ca="1">IFERROR(__xludf.DUMMYFUNCTION("""COMPUTED_VALUE"""),"Handgun")</f>
        <v>Handgun</v>
      </c>
      <c r="C1316" s="5" t="str">
        <f ca="1">IFERROR(__xludf.DUMMYFUNCTION("""COMPUTED_VALUE"""),"Unknown")</f>
        <v>Unknown</v>
      </c>
      <c r="D1316" s="5"/>
    </row>
    <row r="1317" spans="1:4" ht="13">
      <c r="A1317" s="5" t="str">
        <f ca="1">IFERROR(__xludf.DUMMYFUNCTION("""COMPUTED_VALUE"""),"20081020CAVAA")</f>
        <v>20081020CAVAA</v>
      </c>
      <c r="B1317" s="5" t="str">
        <f ca="1">IFERROR(__xludf.DUMMYFUNCTION("""COMPUTED_VALUE"""),"Handgun")</f>
        <v>Handgun</v>
      </c>
      <c r="C1317" s="5" t="str">
        <f ca="1">IFERROR(__xludf.DUMMYFUNCTION("""COMPUTED_VALUE"""),"Unknown")</f>
        <v>Unknown</v>
      </c>
      <c r="D1317" s="5"/>
    </row>
    <row r="1318" spans="1:4" ht="13">
      <c r="A1318" s="5" t="str">
        <f ca="1">IFERROR(__xludf.DUMMYFUNCTION("""COMPUTED_VALUE"""),"20081016MIHED")</f>
        <v>20081016MIHED</v>
      </c>
      <c r="B1318" s="5" t="str">
        <f ca="1">IFERROR(__xludf.DUMMYFUNCTION("""COMPUTED_VALUE"""),"No Data")</f>
        <v>No Data</v>
      </c>
      <c r="C1318" s="5"/>
      <c r="D1318" s="5"/>
    </row>
    <row r="1319" spans="1:4" ht="13">
      <c r="A1319" s="5" t="str">
        <f ca="1">IFERROR(__xludf.DUMMYFUNCTION("""COMPUTED_VALUE"""),"20080919CAGEA")</f>
        <v>20080919CAGEA</v>
      </c>
      <c r="B1319" s="5" t="str">
        <f ca="1">IFERROR(__xludf.DUMMYFUNCTION("""COMPUTED_VALUE"""),"No Data")</f>
        <v>No Data</v>
      </c>
      <c r="C1319" s="5"/>
      <c r="D1319" s="5"/>
    </row>
    <row r="1320" spans="1:4" ht="13">
      <c r="A1320" s="5" t="str">
        <f ca="1">IFERROR(__xludf.DUMMYFUNCTION("""COMPUTED_VALUE"""),"20080915CAMIS")</f>
        <v>20080915CAMIS</v>
      </c>
      <c r="B1320" s="5" t="str">
        <f ca="1">IFERROR(__xludf.DUMMYFUNCTION("""COMPUTED_VALUE"""),"Handgun")</f>
        <v>Handgun</v>
      </c>
      <c r="C1320" s="5" t="str">
        <f ca="1">IFERROR(__xludf.DUMMYFUNCTION("""COMPUTED_VALUE"""),".38 caliber")</f>
        <v>.38 caliber</v>
      </c>
      <c r="D1320" s="5"/>
    </row>
    <row r="1321" spans="1:4" ht="13">
      <c r="A1321" s="5" t="str">
        <f ca="1">IFERROR(__xludf.DUMMYFUNCTION("""COMPUTED_VALUE"""),"20080902OHSOW")</f>
        <v>20080902OHSOW</v>
      </c>
      <c r="B1321" s="5" t="str">
        <f ca="1">IFERROR(__xludf.DUMMYFUNCTION("""COMPUTED_VALUE"""),"Handgun")</f>
        <v>Handgun</v>
      </c>
      <c r="C1321" s="5" t="str">
        <f ca="1">IFERROR(__xludf.DUMMYFUNCTION("""COMPUTED_VALUE"""),".45 caliber")</f>
        <v>.45 caliber</v>
      </c>
      <c r="D1321" s="5"/>
    </row>
    <row r="1322" spans="1:4" ht="13">
      <c r="A1322" s="5" t="str">
        <f ca="1">IFERROR(__xludf.DUMMYFUNCTION("""COMPUTED_VALUE"""),"20080821TNCEK")</f>
        <v>20080821TNCEK</v>
      </c>
      <c r="B1322" s="5" t="str">
        <f ca="1">IFERROR(__xludf.DUMMYFUNCTION("""COMPUTED_VALUE"""),"Handgun")</f>
        <v>Handgun</v>
      </c>
      <c r="C1322" s="5" t="str">
        <f ca="1">IFERROR(__xludf.DUMMYFUNCTION("""COMPUTED_VALUE"""),".22 caliber")</f>
        <v>.22 caliber</v>
      </c>
      <c r="D1322" s="5"/>
    </row>
    <row r="1323" spans="1:4" ht="13">
      <c r="A1323" s="5" t="str">
        <f ca="1">IFERROR(__xludf.DUMMYFUNCTION("""COMPUTED_VALUE"""),"20080814WALAF")</f>
        <v>20080814WALAF</v>
      </c>
      <c r="B1323" s="5" t="str">
        <f ca="1">IFERROR(__xludf.DUMMYFUNCTION("""COMPUTED_VALUE"""),"Handgun")</f>
        <v>Handgun</v>
      </c>
      <c r="C1323" s="5" t="str">
        <f ca="1">IFERROR(__xludf.DUMMYFUNCTION("""COMPUTED_VALUE"""),"Unknown")</f>
        <v>Unknown</v>
      </c>
      <c r="D1323" s="5"/>
    </row>
    <row r="1324" spans="1:4" ht="13">
      <c r="A1324" s="5" t="str">
        <f ca="1">IFERROR(__xludf.DUMMYFUNCTION("""COMPUTED_VALUE"""),"20080811WAWAK")</f>
        <v>20080811WAWAK</v>
      </c>
      <c r="B1324" s="5" t="str">
        <f ca="1">IFERROR(__xludf.DUMMYFUNCTION("""COMPUTED_VALUE"""),"Handgun")</f>
        <v>Handgun</v>
      </c>
      <c r="C1324" s="5" t="str">
        <f ca="1">IFERROR(__xludf.DUMMYFUNCTION("""COMPUTED_VALUE"""),".25 caliber")</f>
        <v>.25 caliber</v>
      </c>
      <c r="D1324" s="5"/>
    </row>
    <row r="1325" spans="1:4" ht="13">
      <c r="A1325" s="5" t="str">
        <f ca="1">IFERROR(__xludf.DUMMYFUNCTION("""COMPUTED_VALUE"""),"20080516LAMAT")</f>
        <v>20080516LAMAT</v>
      </c>
      <c r="B1325" s="5" t="str">
        <f ca="1">IFERROR(__xludf.DUMMYFUNCTION("""COMPUTED_VALUE"""),"No Data")</f>
        <v>No Data</v>
      </c>
      <c r="C1325" s="5"/>
      <c r="D1325" s="5"/>
    </row>
    <row r="1326" spans="1:4" ht="13">
      <c r="A1326" s="5" t="str">
        <f ca="1">IFERROR(__xludf.DUMMYFUNCTION("""COMPUTED_VALUE"""),"20080416CAROF")</f>
        <v>20080416CAROF</v>
      </c>
      <c r="B1326" s="5" t="str">
        <f ca="1">IFERROR(__xludf.DUMMYFUNCTION("""COMPUTED_VALUE"""),"Handgun")</f>
        <v>Handgun</v>
      </c>
      <c r="C1326" s="5" t="str">
        <f ca="1">IFERROR(__xludf.DUMMYFUNCTION("""COMPUTED_VALUE"""),"Service Weapon")</f>
        <v>Service Weapon</v>
      </c>
      <c r="D1326" s="5"/>
    </row>
    <row r="1327" spans="1:4" ht="13">
      <c r="A1327" s="5" t="str">
        <f ca="1">IFERROR(__xludf.DUMMYFUNCTION("""COMPUTED_VALUE"""),"20080306ALDAM")</f>
        <v>20080306ALDAM</v>
      </c>
      <c r="B1327" s="5" t="str">
        <f ca="1">IFERROR(__xludf.DUMMYFUNCTION("""COMPUTED_VALUE"""),"Handgun")</f>
        <v>Handgun</v>
      </c>
      <c r="C1327" s="5" t="str">
        <f ca="1">IFERROR(__xludf.DUMMYFUNCTION("""COMPUTED_VALUE"""),".38 caliber")</f>
        <v>.38 caliber</v>
      </c>
      <c r="D1327" s="5"/>
    </row>
    <row r="1328" spans="1:4" ht="13">
      <c r="A1328" s="5" t="str">
        <f ca="1">IFERROR(__xludf.DUMMYFUNCTION("""COMPUTED_VALUE"""),"20080214CAEOO")</f>
        <v>20080214CAEOO</v>
      </c>
      <c r="B1328" s="5" t="str">
        <f ca="1">IFERROR(__xludf.DUMMYFUNCTION("""COMPUTED_VALUE"""),"Handgun")</f>
        <v>Handgun</v>
      </c>
      <c r="C1328" s="5" t="str">
        <f ca="1">IFERROR(__xludf.DUMMYFUNCTION("""COMPUTED_VALUE"""),".22 caliber")</f>
        <v>.22 caliber</v>
      </c>
      <c r="D1328" s="5"/>
    </row>
    <row r="1329" spans="1:4" ht="13">
      <c r="A1329" s="5" t="str">
        <f ca="1">IFERROR(__xludf.DUMMYFUNCTION("""COMPUTED_VALUE"""),"20080211TNMIM")</f>
        <v>20080211TNMIM</v>
      </c>
      <c r="B1329" s="5" t="str">
        <f ca="1">IFERROR(__xludf.DUMMYFUNCTION("""COMPUTED_VALUE"""),"Handgun")</f>
        <v>Handgun</v>
      </c>
      <c r="C1329" s="5" t="str">
        <f ca="1">IFERROR(__xludf.DUMMYFUNCTION("""COMPUTED_VALUE"""),".22 caliber")</f>
        <v>.22 caliber</v>
      </c>
      <c r="D1329" s="5"/>
    </row>
    <row r="1330" spans="1:4" ht="13">
      <c r="A1330" s="5" t="str">
        <f ca="1">IFERROR(__xludf.DUMMYFUNCTION("""COMPUTED_VALUE"""),"20080204TNHAM")</f>
        <v>20080204TNHAM</v>
      </c>
      <c r="B1330" s="5" t="str">
        <f ca="1">IFERROR(__xludf.DUMMYFUNCTION("""COMPUTED_VALUE"""),"Handgun")</f>
        <v>Handgun</v>
      </c>
      <c r="C1330" s="5" t="str">
        <f ca="1">IFERROR(__xludf.DUMMYFUNCTION("""COMPUTED_VALUE"""),".38 caliber")</f>
        <v>.38 caliber</v>
      </c>
      <c r="D1330" s="5"/>
    </row>
    <row r="1331" spans="1:4" ht="13">
      <c r="A1331" s="5" t="str">
        <f ca="1">IFERROR(__xludf.DUMMYFUNCTION("""COMPUTED_VALUE"""),"20071221CABAU")</f>
        <v>20071221CABAU</v>
      </c>
      <c r="B1331" s="5" t="str">
        <f ca="1">IFERROR(__xludf.DUMMYFUNCTION("""COMPUTED_VALUE"""),"No Data")</f>
        <v>No Data</v>
      </c>
      <c r="C1331" s="5"/>
      <c r="D1331" s="5"/>
    </row>
    <row r="1332" spans="1:4" ht="13">
      <c r="A1332" s="5" t="str">
        <f ca="1">IFERROR(__xludf.DUMMYFUNCTION("""COMPUTED_VALUE"""),"20071126NYHOH")</f>
        <v>20071126NYHOH</v>
      </c>
      <c r="B1332" s="5" t="str">
        <f ca="1">IFERROR(__xludf.DUMMYFUNCTION("""COMPUTED_VALUE"""),"Handgun")</f>
        <v>Handgun</v>
      </c>
      <c r="C1332" s="5" t="str">
        <f ca="1">IFERROR(__xludf.DUMMYFUNCTION("""COMPUTED_VALUE"""),"Unknown")</f>
        <v>Unknown</v>
      </c>
      <c r="D1332" s="5"/>
    </row>
    <row r="1333" spans="1:4" ht="13">
      <c r="A1333" s="5" t="str">
        <f ca="1">IFERROR(__xludf.DUMMYFUNCTION("""COMPUTED_VALUE"""),"20071105LAJOR")</f>
        <v>20071105LAJOR</v>
      </c>
      <c r="B1333" s="5" t="str">
        <f ca="1">IFERROR(__xludf.DUMMYFUNCTION("""COMPUTED_VALUE"""),"Handgun")</f>
        <v>Handgun</v>
      </c>
      <c r="C1333" s="5" t="str">
        <f ca="1">IFERROR(__xludf.DUMMYFUNCTION("""COMPUTED_VALUE"""),"Unknown")</f>
        <v>Unknown</v>
      </c>
      <c r="D1333" s="5"/>
    </row>
    <row r="1334" spans="1:4" ht="13">
      <c r="A1334" s="5" t="str">
        <f ca="1">IFERROR(__xludf.DUMMYFUNCTION("""COMPUTED_VALUE"""),"20071024TNMAM")</f>
        <v>20071024TNMAM</v>
      </c>
      <c r="B1334" s="5" t="str">
        <f ca="1">IFERROR(__xludf.DUMMYFUNCTION("""COMPUTED_VALUE"""),"Handgun")</f>
        <v>Handgun</v>
      </c>
      <c r="C1334" s="5" t="str">
        <f ca="1">IFERROR(__xludf.DUMMYFUNCTION("""COMPUTED_VALUE"""),"Unknown")</f>
        <v>Unknown</v>
      </c>
      <c r="D1334" s="5"/>
    </row>
    <row r="1335" spans="1:4" ht="13">
      <c r="A1335" s="5" t="str">
        <f ca="1">IFERROR(__xludf.DUMMYFUNCTION("""COMPUTED_VALUE"""),"20071010OHSUC")</f>
        <v>20071010OHSUC</v>
      </c>
      <c r="B1335" s="5" t="str">
        <f ca="1">IFERROR(__xludf.DUMMYFUNCTION("""COMPUTED_VALUE"""),"Multiple Handguns")</f>
        <v>Multiple Handguns</v>
      </c>
      <c r="C1335" s="5" t="str">
        <f ca="1">IFERROR(__xludf.DUMMYFUNCTION("""COMPUTED_VALUE"""),"Unknown")</f>
        <v>Unknown</v>
      </c>
      <c r="D1335" s="5"/>
    </row>
    <row r="1336" spans="1:4" ht="13">
      <c r="A1336" s="5" t="str">
        <f ca="1">IFERROR(__xludf.DUMMYFUNCTION("""COMPUTED_VALUE"""),"20071001CTPLM")</f>
        <v>20071001CTPLM</v>
      </c>
      <c r="B1336" s="5" t="str">
        <f ca="1">IFERROR(__xludf.DUMMYFUNCTION("""COMPUTED_VALUE"""),"Other")</f>
        <v>Other</v>
      </c>
      <c r="C1336" s="5" t="str">
        <f ca="1">IFERROR(__xludf.DUMMYFUNCTION("""COMPUTED_VALUE"""),"BB")</f>
        <v>BB</v>
      </c>
      <c r="D1336" s="5"/>
    </row>
    <row r="1337" spans="1:4" ht="13">
      <c r="A1337" s="5" t="str">
        <f ca="1">IFERROR(__xludf.DUMMYFUNCTION("""COMPUTED_VALUE"""),"20070930AZSSP")</f>
        <v>20070930AZSSP</v>
      </c>
      <c r="B1337" s="5" t="str">
        <f ca="1">IFERROR(__xludf.DUMMYFUNCTION("""COMPUTED_VALUE"""),"No Data")</f>
        <v>No Data</v>
      </c>
      <c r="C1337" s="5"/>
      <c r="D1337" s="5"/>
    </row>
    <row r="1338" spans="1:4" ht="13">
      <c r="A1338" s="5" t="str">
        <f ca="1">IFERROR(__xludf.DUMMYFUNCTION("""COMPUTED_VALUE"""),"20070928CALAO")</f>
        <v>20070928CALAO</v>
      </c>
      <c r="B1338" s="5" t="str">
        <f ca="1">IFERROR(__xludf.DUMMYFUNCTION("""COMPUTED_VALUE"""),"Handgun")</f>
        <v>Handgun</v>
      </c>
      <c r="C1338" s="5" t="str">
        <f ca="1">IFERROR(__xludf.DUMMYFUNCTION("""COMPUTED_VALUE"""),".22 caliber")</f>
        <v>.22 caliber</v>
      </c>
      <c r="D1338" s="5"/>
    </row>
    <row r="1339" spans="1:4" ht="13">
      <c r="A1339" s="5" t="str">
        <f ca="1">IFERROR(__xludf.DUMMYFUNCTION("""COMPUTED_VALUE"""),"20070804NJMON")</f>
        <v>20070804NJMON</v>
      </c>
      <c r="B1339" s="5" t="str">
        <f ca="1">IFERROR(__xludf.DUMMYFUNCTION("""COMPUTED_VALUE"""),"Handgun")</f>
        <v>Handgun</v>
      </c>
      <c r="C1339" s="5" t="str">
        <f ca="1">IFERROR(__xludf.DUMMYFUNCTION("""COMPUTED_VALUE"""),".357 caliber")</f>
        <v>.357 caliber</v>
      </c>
      <c r="D1339" s="5"/>
    </row>
    <row r="1340" spans="1:4" ht="13">
      <c r="A1340" s="5" t="str">
        <f ca="1">IFERROR(__xludf.DUMMYFUNCTION("""COMPUTED_VALUE"""),"20070709ILCAC")</f>
        <v>20070709ILCAC</v>
      </c>
      <c r="B1340" s="5" t="str">
        <f ca="1">IFERROR(__xludf.DUMMYFUNCTION("""COMPUTED_VALUE"""),"No Data")</f>
        <v>No Data</v>
      </c>
      <c r="C1340" s="5"/>
      <c r="D1340" s="5"/>
    </row>
    <row r="1341" spans="1:4" ht="13">
      <c r="A1341" s="5" t="str">
        <f ca="1">IFERROR(__xludf.DUMMYFUNCTION("""COMPUTED_VALUE"""),"20070628TXDAD")</f>
        <v>20070628TXDAD</v>
      </c>
      <c r="B1341" s="5" t="str">
        <f ca="1">IFERROR(__xludf.DUMMYFUNCTION("""COMPUTED_VALUE"""),"Handgun")</f>
        <v>Handgun</v>
      </c>
      <c r="C1341" s="5" t="str">
        <f ca="1">IFERROR(__xludf.DUMMYFUNCTION("""COMPUTED_VALUE"""),"Unknown")</f>
        <v>Unknown</v>
      </c>
      <c r="D1341" s="5"/>
    </row>
    <row r="1342" spans="1:4" ht="13">
      <c r="A1342" s="5" t="str">
        <f ca="1">IFERROR(__xludf.DUMMYFUNCTION("""COMPUTED_VALUE"""),"20070617SCBRB")</f>
        <v>20070617SCBRB</v>
      </c>
      <c r="B1342" s="5" t="str">
        <f ca="1">IFERROR(__xludf.DUMMYFUNCTION("""COMPUTED_VALUE"""),"Handgun")</f>
        <v>Handgun</v>
      </c>
      <c r="C1342" s="5" t="str">
        <f ca="1">IFERROR(__xludf.DUMMYFUNCTION("""COMPUTED_VALUE"""),"Unknown")</f>
        <v>Unknown</v>
      </c>
      <c r="D1342" s="5"/>
    </row>
    <row r="1343" spans="1:4" ht="13">
      <c r="A1343" s="5" t="str">
        <f ca="1">IFERROR(__xludf.DUMMYFUNCTION("""COMPUTED_VALUE"""),"20070531NCNOG")</f>
        <v>20070531NCNOG</v>
      </c>
      <c r="B1343" s="5" t="str">
        <f ca="1">IFERROR(__xludf.DUMMYFUNCTION("""COMPUTED_VALUE"""),"Other")</f>
        <v>Other</v>
      </c>
      <c r="C1343" s="5" t="str">
        <f ca="1">IFERROR(__xludf.DUMMYFUNCTION("""COMPUTED_VALUE"""),"Pellet")</f>
        <v>Pellet</v>
      </c>
      <c r="D1343" s="5"/>
    </row>
    <row r="1344" spans="1:4" ht="13">
      <c r="A1344" s="5" t="str">
        <f ca="1">IFERROR(__xludf.DUMMYFUNCTION("""COMPUTED_VALUE"""),"20070530NCVAG")</f>
        <v>20070530NCVAG</v>
      </c>
      <c r="B1344" s="5" t="str">
        <f ca="1">IFERROR(__xludf.DUMMYFUNCTION("""COMPUTED_VALUE"""),"Other")</f>
        <v>Other</v>
      </c>
      <c r="C1344" s="5" t="str">
        <f ca="1">IFERROR(__xludf.DUMMYFUNCTION("""COMPUTED_VALUE"""),"Pellet")</f>
        <v>Pellet</v>
      </c>
      <c r="D1344" s="5"/>
    </row>
    <row r="1345" spans="1:4" ht="13">
      <c r="A1345" s="5" t="str">
        <f ca="1">IFERROR(__xludf.DUMMYFUNCTION("""COMPUTED_VALUE"""),"20070523RIOAC")</f>
        <v>20070523RIOAC</v>
      </c>
      <c r="B1345" s="5" t="str">
        <f ca="1">IFERROR(__xludf.DUMMYFUNCTION("""COMPUTED_VALUE"""),"Other")</f>
        <v>Other</v>
      </c>
      <c r="C1345" s="5" t="str">
        <f ca="1">IFERROR(__xludf.DUMMYFUNCTION("""COMPUTED_VALUE"""),"BB")</f>
        <v>BB</v>
      </c>
      <c r="D1345" s="5"/>
    </row>
    <row r="1346" spans="1:4" ht="13">
      <c r="A1346" s="5" t="str">
        <f ca="1">IFERROR(__xludf.DUMMYFUNCTION("""COMPUTED_VALUE"""),"20070515TXLIL")</f>
        <v>20070515TXLIL</v>
      </c>
      <c r="B1346" s="5" t="str">
        <f ca="1">IFERROR(__xludf.DUMMYFUNCTION("""COMPUTED_VALUE"""),"Handgun")</f>
        <v>Handgun</v>
      </c>
      <c r="C1346" s="5" t="str">
        <f ca="1">IFERROR(__xludf.DUMMYFUNCTION("""COMPUTED_VALUE"""),".38 caliber")</f>
        <v>.38 caliber</v>
      </c>
      <c r="D1346" s="5"/>
    </row>
    <row r="1347" spans="1:4" ht="13">
      <c r="A1347" s="5" t="str">
        <f ca="1">IFERROR(__xludf.DUMMYFUNCTION("""COMPUTED_VALUE"""),"20070512TXWEM")</f>
        <v>20070512TXWEM</v>
      </c>
      <c r="B1347" s="5" t="str">
        <f ca="1">IFERROR(__xludf.DUMMYFUNCTION("""COMPUTED_VALUE"""),"Shotgun")</f>
        <v>Shotgun</v>
      </c>
      <c r="C1347" s="5" t="str">
        <f ca="1">IFERROR(__xludf.DUMMYFUNCTION("""COMPUTED_VALUE"""),"Unknown")</f>
        <v>Unknown</v>
      </c>
      <c r="D1347" s="5"/>
    </row>
    <row r="1348" spans="1:4" ht="13">
      <c r="A1348" s="5" t="str">
        <f ca="1">IFERROR(__xludf.DUMMYFUNCTION("""COMPUTED_VALUE"""),"20070510MIHED")</f>
        <v>20070510MIHED</v>
      </c>
      <c r="B1348" s="5" t="str">
        <f ca="1">IFERROR(__xludf.DUMMYFUNCTION("""COMPUTED_VALUE"""),"No Data")</f>
        <v>No Data</v>
      </c>
      <c r="C1348" s="5"/>
      <c r="D1348" s="5"/>
    </row>
    <row r="1349" spans="1:4" ht="13">
      <c r="A1349" s="5" t="str">
        <f ca="1">IFERROR(__xludf.DUMMYFUNCTION("""COMPUTED_VALUE"""),"20070504TXTIE")</f>
        <v>20070504TXTIE</v>
      </c>
      <c r="B1349" s="5" t="str">
        <f ca="1">IFERROR(__xludf.DUMMYFUNCTION("""COMPUTED_VALUE"""),"Handgun")</f>
        <v>Handgun</v>
      </c>
      <c r="C1349" s="5" t="str">
        <f ca="1">IFERROR(__xludf.DUMMYFUNCTION("""COMPUTED_VALUE"""),".38 caliber")</f>
        <v>.38 caliber</v>
      </c>
      <c r="D1349" s="5"/>
    </row>
    <row r="1350" spans="1:4" ht="13">
      <c r="A1350" s="5" t="str">
        <f ca="1">IFERROR(__xludf.DUMMYFUNCTION("""COMPUTED_VALUE"""),"20070503OHGED")</f>
        <v>20070503OHGED</v>
      </c>
      <c r="B1350" s="5" t="str">
        <f ca="1">IFERROR(__xludf.DUMMYFUNCTION("""COMPUTED_VALUE"""),"Other")</f>
        <v>Other</v>
      </c>
      <c r="C1350" s="5" t="str">
        <f ca="1">IFERROR(__xludf.DUMMYFUNCTION("""COMPUTED_VALUE"""),"Pellet")</f>
        <v>Pellet</v>
      </c>
      <c r="D1350" s="5"/>
    </row>
    <row r="1351" spans="1:4" ht="13">
      <c r="A1351" s="5" t="str">
        <f ca="1">IFERROR(__xludf.DUMMYFUNCTION("""COMPUTED_VALUE"""),"20070418NCNOH")</f>
        <v>20070418NCNOH</v>
      </c>
      <c r="B1351" s="5" t="str">
        <f ca="1">IFERROR(__xludf.DUMMYFUNCTION("""COMPUTED_VALUE"""),"Handgun")</f>
        <v>Handgun</v>
      </c>
      <c r="C1351" s="5" t="str">
        <f ca="1">IFERROR(__xludf.DUMMYFUNCTION("""COMPUTED_VALUE"""),"Unknown")</f>
        <v>Unknown</v>
      </c>
      <c r="D1351" s="5"/>
    </row>
    <row r="1352" spans="1:4" ht="13">
      <c r="A1352" s="5" t="str">
        <f ca="1">IFERROR(__xludf.DUMMYFUNCTION("""COMPUTED_VALUE"""),"20070410ORSPG")</f>
        <v>20070410ORSPG</v>
      </c>
      <c r="B1352" s="5" t="str">
        <f ca="1">IFERROR(__xludf.DUMMYFUNCTION("""COMPUTED_VALUE"""),"Rifle")</f>
        <v>Rifle</v>
      </c>
      <c r="C1352" s="5" t="str">
        <f ca="1">IFERROR(__xludf.DUMMYFUNCTION("""COMPUTED_VALUE"""),".27 caliber")</f>
        <v>.27 caliber</v>
      </c>
      <c r="D1352" s="5"/>
    </row>
    <row r="1353" spans="1:4" ht="13">
      <c r="A1353" s="5" t="str">
        <f ca="1">IFERROR(__xludf.DUMMYFUNCTION("""COMPUTED_VALUE"""),"20070410ILCHC")</f>
        <v>20070410ILCHC</v>
      </c>
      <c r="B1353" s="5" t="str">
        <f ca="1">IFERROR(__xludf.DUMMYFUNCTION("""COMPUTED_VALUE"""),"Handgun")</f>
        <v>Handgun</v>
      </c>
      <c r="C1353" s="5" t="str">
        <f ca="1">IFERROR(__xludf.DUMMYFUNCTION("""COMPUTED_VALUE"""),"Unknown")</f>
        <v>Unknown</v>
      </c>
      <c r="D1353" s="5"/>
    </row>
    <row r="1354" spans="1:4" ht="13">
      <c r="A1354" s="5" t="str">
        <f ca="1">IFERROR(__xludf.DUMMYFUNCTION("""COMPUTED_VALUE"""),"20070329SCMYM")</f>
        <v>20070329SCMYM</v>
      </c>
      <c r="B1354" s="5" t="str">
        <f ca="1">IFERROR(__xludf.DUMMYFUNCTION("""COMPUTED_VALUE"""),"Handgun")</f>
        <v>Handgun</v>
      </c>
      <c r="C1354" s="5" t="str">
        <f ca="1">IFERROR(__xludf.DUMMYFUNCTION("""COMPUTED_VALUE"""),"Unknown")</f>
        <v>Unknown</v>
      </c>
      <c r="D1354" s="5"/>
    </row>
    <row r="1355" spans="1:4" ht="13">
      <c r="A1355" s="5" t="str">
        <f ca="1">IFERROR(__xludf.DUMMYFUNCTION("""COMPUTED_VALUE"""),"20070327CTSAH")</f>
        <v>20070327CTSAH</v>
      </c>
      <c r="B1355" s="5" t="str">
        <f ca="1">IFERROR(__xludf.DUMMYFUNCTION("""COMPUTED_VALUE"""),"Handgun")</f>
        <v>Handgun</v>
      </c>
      <c r="C1355" s="5" t="str">
        <f ca="1">IFERROR(__xludf.DUMMYFUNCTION("""COMPUTED_VALUE"""),"Unknown")</f>
        <v>Unknown</v>
      </c>
      <c r="D1355" s="5"/>
    </row>
    <row r="1356" spans="1:4" ht="13">
      <c r="A1356" s="5" t="str">
        <f ca="1">IFERROR(__xludf.DUMMYFUNCTION("""COMPUTED_VALUE"""),"20070323FLUNO")</f>
        <v>20070323FLUNO</v>
      </c>
      <c r="B1356" s="5" t="str">
        <f ca="1">IFERROR(__xludf.DUMMYFUNCTION("""COMPUTED_VALUE"""),"Other")</f>
        <v>Other</v>
      </c>
      <c r="C1356" s="5" t="str">
        <f ca="1">IFERROR(__xludf.DUMMYFUNCTION("""COMPUTED_VALUE"""),"Unknown")</f>
        <v>Unknown</v>
      </c>
      <c r="D1356" s="5"/>
    </row>
    <row r="1357" spans="1:4" ht="13">
      <c r="A1357" s="5" t="str">
        <f ca="1">IFERROR(__xludf.DUMMYFUNCTION("""COMPUTED_VALUE"""),"20070308TNEAC")</f>
        <v>20070308TNEAC</v>
      </c>
      <c r="B1357" s="5" t="str">
        <f ca="1">IFERROR(__xludf.DUMMYFUNCTION("""COMPUTED_VALUE"""),"Handgun")</f>
        <v>Handgun</v>
      </c>
      <c r="C1357" s="5" t="str">
        <f ca="1">IFERROR(__xludf.DUMMYFUNCTION("""COMPUTED_VALUE"""),"Unknown")</f>
        <v>Unknown</v>
      </c>
      <c r="D1357" s="5"/>
    </row>
    <row r="1358" spans="1:4" ht="13">
      <c r="A1358" s="5" t="str">
        <f ca="1">IFERROR(__xludf.DUMMYFUNCTION("""COMPUTED_VALUE"""),"20070307TXGRG")</f>
        <v>20070307TXGRG</v>
      </c>
      <c r="B1358" s="5" t="str">
        <f ca="1">IFERROR(__xludf.DUMMYFUNCTION("""COMPUTED_VALUE"""),"No Data")</f>
        <v>No Data</v>
      </c>
      <c r="C1358" s="5"/>
      <c r="D1358" s="5"/>
    </row>
    <row r="1359" spans="1:4" ht="13">
      <c r="A1359" s="5" t="str">
        <f ca="1">IFERROR(__xludf.DUMMYFUNCTION("""COMPUTED_VALUE"""),"20070307MIHEM")</f>
        <v>20070307MIHEM</v>
      </c>
      <c r="B1359" s="5" t="str">
        <f ca="1">IFERROR(__xludf.DUMMYFUNCTION("""COMPUTED_VALUE"""),"Handgun")</f>
        <v>Handgun</v>
      </c>
      <c r="C1359" s="5" t="str">
        <f ca="1">IFERROR(__xludf.DUMMYFUNCTION("""COMPUTED_VALUE"""),".44 caliber")</f>
        <v>.44 caliber</v>
      </c>
      <c r="D1359" s="5"/>
    </row>
    <row r="1360" spans="1:4" ht="13">
      <c r="A1360" s="5" t="str">
        <f ca="1">IFERROR(__xludf.DUMMYFUNCTION("""COMPUTED_VALUE"""),"20070307CACEC")</f>
        <v>20070307CACEC</v>
      </c>
      <c r="B1360" s="5" t="str">
        <f ca="1">IFERROR(__xludf.DUMMYFUNCTION("""COMPUTED_VALUE"""),"Handgun")</f>
        <v>Handgun</v>
      </c>
      <c r="C1360" s="5" t="str">
        <f ca="1">IFERROR(__xludf.DUMMYFUNCTION("""COMPUTED_VALUE"""),"Unknown")</f>
        <v>Unknown</v>
      </c>
      <c r="D1360" s="5"/>
    </row>
    <row r="1361" spans="1:4" ht="13">
      <c r="A1361" s="5" t="str">
        <f ca="1">IFERROR(__xludf.DUMMYFUNCTION("""COMPUTED_VALUE"""),"20070227GACLA")</f>
        <v>20070227GACLA</v>
      </c>
      <c r="B1361" s="5" t="str">
        <f ca="1">IFERROR(__xludf.DUMMYFUNCTION("""COMPUTED_VALUE"""),"Other")</f>
        <v>Other</v>
      </c>
      <c r="C1361" s="5" t="str">
        <f ca="1">IFERROR(__xludf.DUMMYFUNCTION("""COMPUTED_VALUE"""),"Airsoft")</f>
        <v>Airsoft</v>
      </c>
      <c r="D1361" s="5"/>
    </row>
    <row r="1362" spans="1:4" ht="13">
      <c r="A1362" s="5" t="str">
        <f ca="1">IFERROR(__xludf.DUMMYFUNCTION("""COMPUTED_VALUE"""),"20070226CASLA")</f>
        <v>20070226CASLA</v>
      </c>
      <c r="B1362" s="5" t="str">
        <f ca="1">IFERROR(__xludf.DUMMYFUNCTION("""COMPUTED_VALUE"""),"Other")</f>
        <v>Other</v>
      </c>
      <c r="C1362" s="5" t="str">
        <f ca="1">IFERROR(__xludf.DUMMYFUNCTION("""COMPUTED_VALUE"""),"Airsoft")</f>
        <v>Airsoft</v>
      </c>
      <c r="D1362" s="5"/>
    </row>
    <row r="1363" spans="1:4" ht="13">
      <c r="A1363" s="5" t="str">
        <f ca="1">IFERROR(__xludf.DUMMYFUNCTION("""COMPUTED_VALUE"""),"20070208TXSTP")</f>
        <v>20070208TXSTP</v>
      </c>
      <c r="B1363" s="5" t="str">
        <f ca="1">IFERROR(__xludf.DUMMYFUNCTION("""COMPUTED_VALUE"""),"Other")</f>
        <v>Other</v>
      </c>
      <c r="C1363" s="5" t="str">
        <f ca="1">IFERROR(__xludf.DUMMYFUNCTION("""COMPUTED_VALUE"""),"BB")</f>
        <v>BB</v>
      </c>
      <c r="D1363" s="5"/>
    </row>
    <row r="1364" spans="1:4" ht="13">
      <c r="A1364" s="5" t="str">
        <f ca="1">IFERROR(__xludf.DUMMYFUNCTION("""COMPUTED_VALUE"""),"20070208ORCRP")</f>
        <v>20070208ORCRP</v>
      </c>
      <c r="B1364" s="5" t="str">
        <f ca="1">IFERROR(__xludf.DUMMYFUNCTION("""COMPUTED_VALUE"""),"Handgun")</f>
        <v>Handgun</v>
      </c>
      <c r="C1364" s="5" t="str">
        <f ca="1">IFERROR(__xludf.DUMMYFUNCTION("""COMPUTED_VALUE"""),"Unknown")</f>
        <v>Unknown</v>
      </c>
      <c r="D1364" s="5"/>
    </row>
    <row r="1365" spans="1:4" ht="13">
      <c r="A1365" s="5" t="str">
        <f ca="1">IFERROR(__xludf.DUMMYFUNCTION("""COMPUTED_VALUE"""),"20070207FLPAJ")</f>
        <v>20070207FLPAJ</v>
      </c>
      <c r="B1365" s="5" t="str">
        <f ca="1">IFERROR(__xludf.DUMMYFUNCTION("""COMPUTED_VALUE"""),"Handgun")</f>
        <v>Handgun</v>
      </c>
      <c r="C1365" s="5" t="str">
        <f ca="1">IFERROR(__xludf.DUMMYFUNCTION("""COMPUTED_VALUE"""),"Unknown")</f>
        <v>Unknown</v>
      </c>
      <c r="D1365" s="5"/>
    </row>
    <row r="1366" spans="1:4" ht="13">
      <c r="A1366" s="5" t="str">
        <f ca="1">IFERROR(__xludf.DUMMYFUNCTION("""COMPUTED_VALUE"""),"20070131ILHIC")</f>
        <v>20070131ILHIC</v>
      </c>
      <c r="B1366" s="5" t="str">
        <f ca="1">IFERROR(__xludf.DUMMYFUNCTION("""COMPUTED_VALUE"""),"Handgun")</f>
        <v>Handgun</v>
      </c>
      <c r="C1366" s="5" t="str">
        <f ca="1">IFERROR(__xludf.DUMMYFUNCTION("""COMPUTED_VALUE"""),"Unknown")</f>
        <v>Unknown</v>
      </c>
      <c r="D1366" s="5"/>
    </row>
    <row r="1367" spans="1:4" ht="13">
      <c r="A1367" s="5" t="str">
        <f ca="1">IFERROR(__xludf.DUMMYFUNCTION("""COMPUTED_VALUE"""),"20070124TNHAS")</f>
        <v>20070124TNHAS</v>
      </c>
      <c r="B1367" s="5" t="str">
        <f ca="1">IFERROR(__xludf.DUMMYFUNCTION("""COMPUTED_VALUE"""),"Handgun")</f>
        <v>Handgun</v>
      </c>
      <c r="C1367" s="5" t="str">
        <f ca="1">IFERROR(__xludf.DUMMYFUNCTION("""COMPUTED_VALUE"""),".25 caliber")</f>
        <v>.25 caliber</v>
      </c>
      <c r="D1367" s="5"/>
    </row>
    <row r="1368" spans="1:4" ht="13">
      <c r="A1368" s="5" t="str">
        <f ca="1">IFERROR(__xludf.DUMMYFUNCTION("""COMPUTED_VALUE"""),"20070118PAWIP")</f>
        <v>20070118PAWIP</v>
      </c>
      <c r="B1368" s="5" t="str">
        <f ca="1">IFERROR(__xludf.DUMMYFUNCTION("""COMPUTED_VALUE"""),"Handgun")</f>
        <v>Handgun</v>
      </c>
      <c r="C1368" s="5" t="str">
        <f ca="1">IFERROR(__xludf.DUMMYFUNCTION("""COMPUTED_VALUE"""),"Unknown")</f>
        <v>Unknown</v>
      </c>
      <c r="D1368" s="5"/>
    </row>
    <row r="1369" spans="1:4" ht="13">
      <c r="A1369" s="5" t="str">
        <f ca="1">IFERROR(__xludf.DUMMYFUNCTION("""COMPUTED_VALUE"""),"20070109NVWEL")</f>
        <v>20070109NVWEL</v>
      </c>
      <c r="B1369" s="5" t="str">
        <f ca="1">IFERROR(__xludf.DUMMYFUNCTION("""COMPUTED_VALUE"""),"Handgun")</f>
        <v>Handgun</v>
      </c>
      <c r="C1369" s="5" t="str">
        <f ca="1">IFERROR(__xludf.DUMMYFUNCTION("""COMPUTED_VALUE"""),"Unknown")</f>
        <v>Unknown</v>
      </c>
      <c r="D1369" s="5"/>
    </row>
    <row r="1370" spans="1:4" ht="13">
      <c r="A1370" s="5" t="str">
        <f ca="1">IFERROR(__xludf.DUMMYFUNCTION("""COMPUTED_VALUE"""),"20070109CAGRV")</f>
        <v>20070109CAGRV</v>
      </c>
      <c r="B1370" s="5" t="str">
        <f ca="1">IFERROR(__xludf.DUMMYFUNCTION("""COMPUTED_VALUE"""),"No Data")</f>
        <v>No Data</v>
      </c>
      <c r="C1370" s="5"/>
      <c r="D1370" s="5"/>
    </row>
    <row r="1371" spans="1:4" ht="13">
      <c r="A1371" s="5" t="str">
        <f ca="1">IFERROR(__xludf.DUMMYFUNCTION("""COMPUTED_VALUE"""),"20070108OHROC")</f>
        <v>20070108OHROC</v>
      </c>
      <c r="B1371" s="5" t="str">
        <f ca="1">IFERROR(__xludf.DUMMYFUNCTION("""COMPUTED_VALUE"""),"Multiple Handguns")</f>
        <v>Multiple Handguns</v>
      </c>
      <c r="C1371" s="5" t="str">
        <f ca="1">IFERROR(__xludf.DUMMYFUNCTION("""COMPUTED_VALUE"""),"Unknown")</f>
        <v>Unknown</v>
      </c>
      <c r="D1371" s="5"/>
    </row>
    <row r="1372" spans="1:4" ht="13">
      <c r="A1372" s="5" t="str">
        <f ca="1">IFERROR(__xludf.DUMMYFUNCTION("""COMPUTED_VALUE"""),"20070104MINOD")</f>
        <v>20070104MINOD</v>
      </c>
      <c r="B1372" s="5" t="str">
        <f ca="1">IFERROR(__xludf.DUMMYFUNCTION("""COMPUTED_VALUE"""),"No Data")</f>
        <v>No Data</v>
      </c>
      <c r="C1372" s="5"/>
      <c r="D1372" s="5"/>
    </row>
    <row r="1373" spans="1:4" ht="13">
      <c r="A1373" s="5" t="str">
        <f ca="1">IFERROR(__xludf.DUMMYFUNCTION("""COMPUTED_VALUE"""),"20070103WAHET")</f>
        <v>20070103WAHET</v>
      </c>
      <c r="B1373" s="5" t="str">
        <f ca="1">IFERROR(__xludf.DUMMYFUNCTION("""COMPUTED_VALUE"""),"Handgun")</f>
        <v>Handgun</v>
      </c>
      <c r="C1373" s="5" t="str">
        <f ca="1">IFERROR(__xludf.DUMMYFUNCTION("""COMPUTED_VALUE"""),"9mm")</f>
        <v>9mm</v>
      </c>
      <c r="D1373" s="5"/>
    </row>
    <row r="1374" spans="1:4" ht="13">
      <c r="A1374" s="5" t="str">
        <f ca="1">IFERROR(__xludf.DUMMYFUNCTION("""COMPUTED_VALUE"""),"20070102NCWEF")</f>
        <v>20070102NCWEF</v>
      </c>
      <c r="B1374" s="5" t="str">
        <f ca="1">IFERROR(__xludf.DUMMYFUNCTION("""COMPUTED_VALUE"""),"Handgun")</f>
        <v>Handgun</v>
      </c>
      <c r="C1374" s="5" t="str">
        <f ca="1">IFERROR(__xludf.DUMMYFUNCTION("""COMPUTED_VALUE"""),"Unknown")</f>
        <v>Unknown</v>
      </c>
      <c r="D1374" s="5"/>
    </row>
    <row r="1375" spans="1:4" ht="13">
      <c r="A1375" s="5" t="str">
        <f ca="1">IFERROR(__xludf.DUMMYFUNCTION("""COMPUTED_VALUE"""),"20061214PAMCC")</f>
        <v>20061214PAMCC</v>
      </c>
      <c r="B1375" s="5" t="str">
        <f ca="1">IFERROR(__xludf.DUMMYFUNCTION("""COMPUTED_VALUE"""),"Rifle")</f>
        <v>Rifle</v>
      </c>
      <c r="C1375" s="5" t="str">
        <f ca="1">IFERROR(__xludf.DUMMYFUNCTION("""COMPUTED_VALUE"""),".22 caliber")</f>
        <v>.22 caliber</v>
      </c>
      <c r="D1375" s="5"/>
    </row>
    <row r="1376" spans="1:4" ht="13">
      <c r="A1376" s="5" t="str">
        <f ca="1">IFERROR(__xludf.DUMMYFUNCTION("""COMPUTED_VALUE"""),"20061213PABAB")</f>
        <v>20061213PABAB</v>
      </c>
      <c r="B1376" s="5" t="str">
        <f ca="1">IFERROR(__xludf.DUMMYFUNCTION("""COMPUTED_VALUE"""),"Other")</f>
        <v>Other</v>
      </c>
      <c r="C1376" s="5" t="str">
        <f ca="1">IFERROR(__xludf.DUMMYFUNCTION("""COMPUTED_VALUE"""),"Pellet")</f>
        <v>Pellet</v>
      </c>
      <c r="D1376" s="5"/>
    </row>
    <row r="1377" spans="1:4" ht="13">
      <c r="A1377" s="5" t="str">
        <f ca="1">IFERROR(__xludf.DUMMYFUNCTION("""COMPUTED_VALUE"""),"20061212PASPS")</f>
        <v>20061212PASPS</v>
      </c>
      <c r="B1377" s="5" t="str">
        <f ca="1">IFERROR(__xludf.DUMMYFUNCTION("""COMPUTED_VALUE"""),"Rifle")</f>
        <v>Rifle</v>
      </c>
      <c r="C1377" s="5" t="str">
        <f ca="1">IFERROR(__xludf.DUMMYFUNCTION("""COMPUTED_VALUE"""),"AK-47")</f>
        <v>AK-47</v>
      </c>
      <c r="D1377" s="5"/>
    </row>
    <row r="1378" spans="1:4" ht="13">
      <c r="A1378" s="5" t="str">
        <f ca="1">IFERROR(__xludf.DUMMYFUNCTION("""COMPUTED_VALUE"""),"20061211ILCLC")</f>
        <v>20061211ILCLC</v>
      </c>
      <c r="B1378" s="5" t="str">
        <f ca="1">IFERROR(__xludf.DUMMYFUNCTION("""COMPUTED_VALUE"""),"Handgun")</f>
        <v>Handgun</v>
      </c>
      <c r="C1378" s="5" t="str">
        <f ca="1">IFERROR(__xludf.DUMMYFUNCTION("""COMPUTED_VALUE"""),"Unknown")</f>
        <v>Unknown</v>
      </c>
      <c r="D1378" s="5"/>
    </row>
    <row r="1379" spans="1:4" ht="13">
      <c r="A1379" s="5" t="str">
        <f ca="1">IFERROR(__xludf.DUMMYFUNCTION("""COMPUTED_VALUE"""),"20061207NENOO")</f>
        <v>20061207NENOO</v>
      </c>
      <c r="B1379" s="5" t="str">
        <f ca="1">IFERROR(__xludf.DUMMYFUNCTION("""COMPUTED_VALUE"""),"Handgun")</f>
        <v>Handgun</v>
      </c>
      <c r="C1379" s="5" t="str">
        <f ca="1">IFERROR(__xludf.DUMMYFUNCTION("""COMPUTED_VALUE"""),"Unknown")</f>
        <v>Unknown</v>
      </c>
      <c r="D1379" s="5"/>
    </row>
    <row r="1380" spans="1:4" ht="13">
      <c r="A1380" s="5" t="str">
        <f ca="1">IFERROR(__xludf.DUMMYFUNCTION("""COMPUTED_VALUE"""),"20061201NCJOT")</f>
        <v>20061201NCJOT</v>
      </c>
      <c r="B1380" s="5" t="str">
        <f ca="1">IFERROR(__xludf.DUMMYFUNCTION("""COMPUTED_VALUE"""),"Handgun")</f>
        <v>Handgun</v>
      </c>
      <c r="C1380" s="5" t="str">
        <f ca="1">IFERROR(__xludf.DUMMYFUNCTION("""COMPUTED_VALUE"""),"9mm")</f>
        <v>9mm</v>
      </c>
      <c r="D1380" s="5"/>
    </row>
    <row r="1381" spans="1:4" ht="13">
      <c r="A1381" s="5" t="str">
        <f ca="1">IFERROR(__xludf.DUMMYFUNCTION("""COMPUTED_VALUE"""),"20061122GASAA")</f>
        <v>20061122GASAA</v>
      </c>
      <c r="B1381" s="5" t="str">
        <f ca="1">IFERROR(__xludf.DUMMYFUNCTION("""COMPUTED_VALUE"""),"Handgun")</f>
        <v>Handgun</v>
      </c>
      <c r="C1381" s="5" t="str">
        <f ca="1">IFERROR(__xludf.DUMMYFUNCTION("""COMPUTED_VALUE"""),"Unknown")</f>
        <v>Unknown</v>
      </c>
      <c r="D1381" s="5"/>
    </row>
    <row r="1382" spans="1:4" ht="13">
      <c r="A1382" s="5" t="str">
        <f ca="1">IFERROR(__xludf.DUMMYFUNCTION("""COMPUTED_VALUE"""),"20061111CALIO")</f>
        <v>20061111CALIO</v>
      </c>
      <c r="B1382" s="5" t="str">
        <f ca="1">IFERROR(__xludf.DUMMYFUNCTION("""COMPUTED_VALUE"""),"Handgun")</f>
        <v>Handgun</v>
      </c>
      <c r="C1382" s="5" t="str">
        <f ca="1">IFERROR(__xludf.DUMMYFUNCTION("""COMPUTED_VALUE"""),"Unknown")</f>
        <v>Unknown</v>
      </c>
      <c r="D1382" s="5"/>
    </row>
    <row r="1383" spans="1:4" ht="13">
      <c r="A1383" s="5" t="str">
        <f ca="1">IFERROR(__xludf.DUMMYFUNCTION("""COMPUTED_VALUE"""),"20061031TNHAK")</f>
        <v>20061031TNHAK</v>
      </c>
      <c r="B1383" s="5" t="str">
        <f ca="1">IFERROR(__xludf.DUMMYFUNCTION("""COMPUTED_VALUE"""),"Handgun")</f>
        <v>Handgun</v>
      </c>
      <c r="C1383" s="5" t="str">
        <f ca="1">IFERROR(__xludf.DUMMYFUNCTION("""COMPUTED_VALUE"""),".22 caliber")</f>
        <v>.22 caliber</v>
      </c>
      <c r="D1383" s="5"/>
    </row>
    <row r="1384" spans="1:4" ht="13">
      <c r="A1384" s="5" t="str">
        <f ca="1">IFERROR(__xludf.DUMMYFUNCTION("""COMPUTED_VALUE"""),"20061017TXSEK")</f>
        <v>20061017TXSEK</v>
      </c>
      <c r="B1384" s="5" t="str">
        <f ca="1">IFERROR(__xludf.DUMMYFUNCTION("""COMPUTED_VALUE"""),"No Data")</f>
        <v>No Data</v>
      </c>
      <c r="C1384" s="5"/>
      <c r="D1384" s="5"/>
    </row>
    <row r="1385" spans="1:4" ht="13">
      <c r="A1385" s="5" t="str">
        <f ca="1">IFERROR(__xludf.DUMMYFUNCTION("""COMPUTED_VALUE"""),"20061012MDGRB")</f>
        <v>20061012MDGRB</v>
      </c>
      <c r="B1385" s="5" t="str">
        <f ca="1">IFERROR(__xludf.DUMMYFUNCTION("""COMPUTED_VALUE"""),"Handgun")</f>
        <v>Handgun</v>
      </c>
      <c r="C1385" s="5" t="str">
        <f ca="1">IFERROR(__xludf.DUMMYFUNCTION("""COMPUTED_VALUE"""),".22 caliber")</f>
        <v>.22 caliber</v>
      </c>
      <c r="D1385" s="5"/>
    </row>
    <row r="1386" spans="1:4" ht="13">
      <c r="A1386" s="5" t="str">
        <f ca="1">IFERROR(__xludf.DUMMYFUNCTION("""COMPUTED_VALUE"""),"20061010NYPOP")</f>
        <v>20061010NYPOP</v>
      </c>
      <c r="B1386" s="5" t="str">
        <f ca="1">IFERROR(__xludf.DUMMYFUNCTION("""COMPUTED_VALUE"""),"Other")</f>
        <v>Other</v>
      </c>
      <c r="C1386" s="5" t="str">
        <f ca="1">IFERROR(__xludf.DUMMYFUNCTION("""COMPUTED_VALUE"""),"BB")</f>
        <v>BB</v>
      </c>
      <c r="D1386" s="5"/>
    </row>
    <row r="1387" spans="1:4" ht="13">
      <c r="A1387" s="5" t="str">
        <f ca="1">IFERROR(__xludf.DUMMYFUNCTION("""COMPUTED_VALUE"""),"20061009MOMEJ")</f>
        <v>20061009MOMEJ</v>
      </c>
      <c r="B1387" s="5" t="str">
        <f ca="1">IFERROR(__xludf.DUMMYFUNCTION("""COMPUTED_VALUE"""),"Rifle")</f>
        <v>Rifle</v>
      </c>
      <c r="C1387" s="5" t="str">
        <f ca="1">IFERROR(__xludf.DUMMYFUNCTION("""COMPUTED_VALUE"""),"7.26mm")</f>
        <v>7.26mm</v>
      </c>
      <c r="D1387" s="5"/>
    </row>
    <row r="1388" spans="1:4" ht="13">
      <c r="A1388" s="5" t="str">
        <f ca="1">IFERROR(__xludf.DUMMYFUNCTION("""COMPUTED_VALUE"""),"20061002PAWEN")</f>
        <v>20061002PAWEN</v>
      </c>
      <c r="B1388" s="5" t="str">
        <f ca="1">IFERROR(__xludf.DUMMYFUNCTION("""COMPUTED_VALUE"""),"Multiple Unknown")</f>
        <v>Multiple Unknown</v>
      </c>
      <c r="C1388" s="5" t="str">
        <f ca="1">IFERROR(__xludf.DUMMYFUNCTION("""COMPUTED_VALUE"""),"Unknown")</f>
        <v>Unknown</v>
      </c>
      <c r="D1388" s="5"/>
    </row>
    <row r="1389" spans="1:4" ht="13">
      <c r="A1389" s="5" t="str">
        <f ca="1">IFERROR(__xludf.DUMMYFUNCTION("""COMPUTED_VALUE"""),"20060929WIWEC")</f>
        <v>20060929WIWEC</v>
      </c>
      <c r="B1389" s="5" t="str">
        <f ca="1">IFERROR(__xludf.DUMMYFUNCTION("""COMPUTED_VALUE"""),"Multiple Unknown")</f>
        <v>Multiple Unknown</v>
      </c>
      <c r="C1389" s="5" t="str">
        <f ca="1">IFERROR(__xludf.DUMMYFUNCTION("""COMPUTED_VALUE"""),"Unknown")</f>
        <v>Unknown</v>
      </c>
      <c r="D1389" s="5"/>
    </row>
    <row r="1390" spans="1:4" ht="13">
      <c r="A1390" s="5" t="str">
        <f ca="1">IFERROR(__xludf.DUMMYFUNCTION("""COMPUTED_VALUE"""),"20060927COPLB")</f>
        <v>20060927COPLB</v>
      </c>
      <c r="B1390" s="5" t="str">
        <f ca="1">IFERROR(__xludf.DUMMYFUNCTION("""COMPUTED_VALUE"""),"Multiple Handguns")</f>
        <v>Multiple Handguns</v>
      </c>
      <c r="C1390" s="5" t="str">
        <f ca="1">IFERROR(__xludf.DUMMYFUNCTION("""COMPUTED_VALUE"""),"Unknown")</f>
        <v>Unknown</v>
      </c>
      <c r="D1390" s="5"/>
    </row>
    <row r="1391" spans="1:4" ht="13">
      <c r="A1391" s="5" t="str">
        <f ca="1">IFERROR(__xludf.DUMMYFUNCTION("""COMPUTED_VALUE"""),"20060921DCCAW")</f>
        <v>20060921DCCAW</v>
      </c>
      <c r="B1391" s="5" t="str">
        <f ca="1">IFERROR(__xludf.DUMMYFUNCTION("""COMPUTED_VALUE"""),"Handgun")</f>
        <v>Handgun</v>
      </c>
      <c r="C1391" s="5" t="str">
        <f ca="1">IFERROR(__xludf.DUMMYFUNCTION("""COMPUTED_VALUE"""),"Unknown")</f>
        <v>Unknown</v>
      </c>
      <c r="D1391" s="5"/>
    </row>
    <row r="1392" spans="1:4" ht="13">
      <c r="A1392" s="5" t="str">
        <f ca="1">IFERROR(__xludf.DUMMYFUNCTION("""COMPUTED_VALUE"""),"20060913MOWEC")</f>
        <v>20060913MOWEC</v>
      </c>
      <c r="B1392" s="5" t="str">
        <f ca="1">IFERROR(__xludf.DUMMYFUNCTION("""COMPUTED_VALUE"""),"Handgun")</f>
        <v>Handgun</v>
      </c>
      <c r="C1392" s="5" t="str">
        <f ca="1">IFERROR(__xludf.DUMMYFUNCTION("""COMPUTED_VALUE"""),"Service Weapon")</f>
        <v>Service Weapon</v>
      </c>
      <c r="D1392" s="5"/>
    </row>
    <row r="1393" spans="1:4" ht="13">
      <c r="A1393" s="5" t="str">
        <f ca="1">IFERROR(__xludf.DUMMYFUNCTION("""COMPUTED_VALUE"""),"20060908TXSOF")</f>
        <v>20060908TXSOF</v>
      </c>
      <c r="B1393" s="5" t="str">
        <f ca="1">IFERROR(__xludf.DUMMYFUNCTION("""COMPUTED_VALUE"""),"Handgun")</f>
        <v>Handgun</v>
      </c>
      <c r="C1393" s="5" t="str">
        <f ca="1">IFERROR(__xludf.DUMMYFUNCTION("""COMPUTED_VALUE"""),"Service Weapon")</f>
        <v>Service Weapon</v>
      </c>
      <c r="D1393" s="5"/>
    </row>
    <row r="1394" spans="1:4" ht="13">
      <c r="A1394" s="5" t="str">
        <f ca="1">IFERROR(__xludf.DUMMYFUNCTION("""COMPUTED_VALUE"""),"20060905TNKIM")</f>
        <v>20060905TNKIM</v>
      </c>
      <c r="B1394" s="5" t="str">
        <f ca="1">IFERROR(__xludf.DUMMYFUNCTION("""COMPUTED_VALUE"""),"Handgun")</f>
        <v>Handgun</v>
      </c>
      <c r="C1394" s="5" t="str">
        <f ca="1">IFERROR(__xludf.DUMMYFUNCTION("""COMPUTED_VALUE"""),"Unknown")</f>
        <v>Unknown</v>
      </c>
      <c r="D1394" s="5"/>
    </row>
    <row r="1395" spans="1:4" ht="13">
      <c r="A1395" s="5" t="str">
        <f ca="1">IFERROR(__xludf.DUMMYFUNCTION("""COMPUTED_VALUE"""),"20060831ALOXO")</f>
        <v>20060831ALOXO</v>
      </c>
      <c r="B1395" s="5" t="str">
        <f ca="1">IFERROR(__xludf.DUMMYFUNCTION("""COMPUTED_VALUE"""),"Handgun")</f>
        <v>Handgun</v>
      </c>
      <c r="C1395" s="5" t="str">
        <f ca="1">IFERROR(__xludf.DUMMYFUNCTION("""COMPUTED_VALUE"""),"Unknown")</f>
        <v>Unknown</v>
      </c>
      <c r="D1395" s="5"/>
    </row>
    <row r="1396" spans="1:4" ht="13">
      <c r="A1396" s="5" t="str">
        <f ca="1">IFERROR(__xludf.DUMMYFUNCTION("""COMPUTED_VALUE"""),"20060830NCORH")</f>
        <v>20060830NCORH</v>
      </c>
      <c r="B1396" s="5" t="str">
        <f ca="1">IFERROR(__xludf.DUMMYFUNCTION("""COMPUTED_VALUE"""),"Multiple Unknown")</f>
        <v>Multiple Unknown</v>
      </c>
      <c r="C1396" s="5" t="str">
        <f ca="1">IFERROR(__xludf.DUMMYFUNCTION("""COMPUTED_VALUE"""),"Unknown")</f>
        <v>Unknown</v>
      </c>
      <c r="D1396" s="5"/>
    </row>
    <row r="1397" spans="1:4" ht="13">
      <c r="A1397" s="5" t="str">
        <f ca="1">IFERROR(__xludf.DUMMYFUNCTION("""COMPUTED_VALUE"""),"20060829DCANW")</f>
        <v>20060829DCANW</v>
      </c>
      <c r="B1397" s="5" t="str">
        <f ca="1">IFERROR(__xludf.DUMMYFUNCTION("""COMPUTED_VALUE"""),"Handgun")</f>
        <v>Handgun</v>
      </c>
      <c r="C1397" s="5" t="str">
        <f ca="1">IFERROR(__xludf.DUMMYFUNCTION("""COMPUTED_VALUE"""),"Unknown")</f>
        <v>Unknown</v>
      </c>
      <c r="D1397" s="5"/>
    </row>
    <row r="1398" spans="1:4" ht="13">
      <c r="A1398" s="5" t="str">
        <f ca="1">IFERROR(__xludf.DUMMYFUNCTION("""COMPUTED_VALUE"""),"20060824VTESE")</f>
        <v>20060824VTESE</v>
      </c>
      <c r="B1398" s="5" t="str">
        <f ca="1">IFERROR(__xludf.DUMMYFUNCTION("""COMPUTED_VALUE"""),"Handgun")</f>
        <v>Handgun</v>
      </c>
      <c r="C1398" s="5" t="str">
        <f ca="1">IFERROR(__xludf.DUMMYFUNCTION("""COMPUTED_VALUE"""),".45 caliber")</f>
        <v>.45 caliber</v>
      </c>
      <c r="D1398" s="5"/>
    </row>
    <row r="1399" spans="1:4" ht="13">
      <c r="A1399" s="5" t="str">
        <f ca="1">IFERROR(__xludf.DUMMYFUNCTION("""COMPUTED_VALUE"""),"20060821INCAN")</f>
        <v>20060821INCAN</v>
      </c>
      <c r="B1399" s="5" t="str">
        <f ca="1">IFERROR(__xludf.DUMMYFUNCTION("""COMPUTED_VALUE"""),"Handgun")</f>
        <v>Handgun</v>
      </c>
      <c r="C1399" s="5" t="str">
        <f ca="1">IFERROR(__xludf.DUMMYFUNCTION("""COMPUTED_VALUE"""),"Unknown")</f>
        <v>Unknown</v>
      </c>
      <c r="D1399" s="5"/>
    </row>
    <row r="1400" spans="1:4" ht="13">
      <c r="A1400" s="5" t="str">
        <f ca="1">IFERROR(__xludf.DUMMYFUNCTION("""COMPUTED_VALUE"""),"20060820GALYH")</f>
        <v>20060820GALYH</v>
      </c>
      <c r="B1400" s="5" t="str">
        <f ca="1">IFERROR(__xludf.DUMMYFUNCTION("""COMPUTED_VALUE"""),"Handgun")</f>
        <v>Handgun</v>
      </c>
      <c r="C1400" s="5" t="str">
        <f ca="1">IFERROR(__xludf.DUMMYFUNCTION("""COMPUTED_VALUE"""),"Unknown")</f>
        <v>Unknown</v>
      </c>
      <c r="D1400" s="5"/>
    </row>
    <row r="1401" spans="1:4" ht="13">
      <c r="A1401" s="5" t="str">
        <f ca="1">IFERROR(__xludf.DUMMYFUNCTION("""COMPUTED_VALUE"""),"20060819OHSOY")</f>
        <v>20060819OHSOY</v>
      </c>
      <c r="B1401" s="5" t="str">
        <f ca="1">IFERROR(__xludf.DUMMYFUNCTION("""COMPUTED_VALUE"""),"Handgun")</f>
        <v>Handgun</v>
      </c>
      <c r="C1401" s="5" t="str">
        <f ca="1">IFERROR(__xludf.DUMMYFUNCTION("""COMPUTED_VALUE"""),"9mm")</f>
        <v>9mm</v>
      </c>
      <c r="D1401" s="5"/>
    </row>
    <row r="1402" spans="1:4" ht="13">
      <c r="A1402" s="5" t="str">
        <f ca="1">IFERROR(__xludf.DUMMYFUNCTION("""COMPUTED_VALUE"""),"20060817TXMEA")</f>
        <v>20060817TXMEA</v>
      </c>
      <c r="B1402" s="5" t="str">
        <f ca="1">IFERROR(__xludf.DUMMYFUNCTION("""COMPUTED_VALUE"""),"Handgun")</f>
        <v>Handgun</v>
      </c>
      <c r="C1402" s="5" t="str">
        <f ca="1">IFERROR(__xludf.DUMMYFUNCTION("""COMPUTED_VALUE"""),"Unknown")</f>
        <v>Unknown</v>
      </c>
      <c r="D1402" s="5"/>
    </row>
    <row r="1403" spans="1:4" ht="13">
      <c r="A1403" s="5" t="str">
        <f ca="1">IFERROR(__xludf.DUMMYFUNCTION("""COMPUTED_VALUE"""),"20060815KYJTV")</f>
        <v>20060815KYJTV</v>
      </c>
      <c r="B1403" s="5" t="str">
        <f ca="1">IFERROR(__xludf.DUMMYFUNCTION("""COMPUTED_VALUE"""),"Handgun")</f>
        <v>Handgun</v>
      </c>
      <c r="C1403" s="5" t="str">
        <f ca="1">IFERROR(__xludf.DUMMYFUNCTION("""COMPUTED_VALUE"""),"Unknown")</f>
        <v>Unknown</v>
      </c>
      <c r="D1403" s="5"/>
    </row>
    <row r="1404" spans="1:4" ht="13">
      <c r="A1404" s="5" t="str">
        <f ca="1">IFERROR(__xludf.DUMMYFUNCTION("""COMPUTED_VALUE"""),"20060731FLYOT")</f>
        <v>20060731FLYOT</v>
      </c>
      <c r="B1404" s="5" t="str">
        <f ca="1">IFERROR(__xludf.DUMMYFUNCTION("""COMPUTED_VALUE"""),"Handgun")</f>
        <v>Handgun</v>
      </c>
      <c r="C1404" s="5" t="str">
        <f ca="1">IFERROR(__xludf.DUMMYFUNCTION("""COMPUTED_VALUE"""),"Unknown")</f>
        <v>Unknown</v>
      </c>
      <c r="D1404" s="5"/>
    </row>
    <row r="1405" spans="1:4" ht="13">
      <c r="A1405" s="5" t="str">
        <f ca="1">IFERROR(__xludf.DUMMYFUNCTION("""COMPUTED_VALUE"""),"20060615MIPED")</f>
        <v>20060615MIPED</v>
      </c>
      <c r="B1405" s="5" t="str">
        <f ca="1">IFERROR(__xludf.DUMMYFUNCTION("""COMPUTED_VALUE"""),"Handgun")</f>
        <v>Handgun</v>
      </c>
      <c r="C1405" s="5" t="str">
        <f ca="1">IFERROR(__xludf.DUMMYFUNCTION("""COMPUTED_VALUE"""),"Unknown")</f>
        <v>Unknown</v>
      </c>
      <c r="D1405" s="5"/>
    </row>
    <row r="1406" spans="1:4" ht="13">
      <c r="A1406" s="5" t="str">
        <f ca="1">IFERROR(__xludf.DUMMYFUNCTION("""COMPUTED_VALUE"""),"20060606INWIG")</f>
        <v>20060606INWIG</v>
      </c>
      <c r="B1406" s="5" t="str">
        <f ca="1">IFERROR(__xludf.DUMMYFUNCTION("""COMPUTED_VALUE"""),"Handgun")</f>
        <v>Handgun</v>
      </c>
      <c r="C1406" s="5" t="str">
        <f ca="1">IFERROR(__xludf.DUMMYFUNCTION("""COMPUTED_VALUE"""),"Unknown")</f>
        <v>Unknown</v>
      </c>
      <c r="D1406" s="5"/>
    </row>
    <row r="1407" spans="1:4" ht="13">
      <c r="A1407" s="5" t="str">
        <f ca="1">IFERROR(__xludf.DUMMYFUNCTION("""COMPUTED_VALUE"""),"20060605CAVEL")</f>
        <v>20060605CAVEL</v>
      </c>
      <c r="B1407" s="5" t="str">
        <f ca="1">IFERROR(__xludf.DUMMYFUNCTION("""COMPUTED_VALUE"""),"Handgun")</f>
        <v>Handgun</v>
      </c>
      <c r="C1407" s="5" t="str">
        <f ca="1">IFERROR(__xludf.DUMMYFUNCTION("""COMPUTED_VALUE"""),".38 caliber")</f>
        <v>.38 caliber</v>
      </c>
      <c r="D1407" s="5"/>
    </row>
    <row r="1408" spans="1:4" ht="13">
      <c r="A1408" s="5" t="str">
        <f ca="1">IFERROR(__xludf.DUMMYFUNCTION("""COMPUTED_VALUE"""),"20060525PANON")</f>
        <v>20060525PANON</v>
      </c>
      <c r="B1408" s="5" t="str">
        <f ca="1">IFERROR(__xludf.DUMMYFUNCTION("""COMPUTED_VALUE"""),"Rifle")</f>
        <v>Rifle</v>
      </c>
      <c r="C1408" s="5" t="str">
        <f ca="1">IFERROR(__xludf.DUMMYFUNCTION("""COMPUTED_VALUE"""),".22 caliber")</f>
        <v>.22 caliber</v>
      </c>
      <c r="D1408" s="5"/>
    </row>
    <row r="1409" spans="1:4" ht="13">
      <c r="A1409" s="5" t="str">
        <f ca="1">IFERROR(__xludf.DUMMYFUNCTION("""COMPUTED_VALUE"""),"20060522SCBUI")</f>
        <v>20060522SCBUI</v>
      </c>
      <c r="B1409" s="5" t="str">
        <f ca="1">IFERROR(__xludf.DUMMYFUNCTION("""COMPUTED_VALUE"""),"Handgun")</f>
        <v>Handgun</v>
      </c>
      <c r="C1409" s="5" t="str">
        <f ca="1">IFERROR(__xludf.DUMMYFUNCTION("""COMPUTED_VALUE"""),".40 caliber")</f>
        <v>.40 caliber</v>
      </c>
      <c r="D1409" s="5"/>
    </row>
    <row r="1410" spans="1:4" ht="13">
      <c r="A1410" s="5" t="str">
        <f ca="1">IFERROR(__xludf.DUMMYFUNCTION("""COMPUTED_VALUE"""),"20060505FLPAM")</f>
        <v>20060505FLPAM</v>
      </c>
      <c r="B1410" s="5" t="str">
        <f ca="1">IFERROR(__xludf.DUMMYFUNCTION("""COMPUTED_VALUE"""),"Handgun")</f>
        <v>Handgun</v>
      </c>
      <c r="C1410" s="5" t="str">
        <f ca="1">IFERROR(__xludf.DUMMYFUNCTION("""COMPUTED_VALUE"""),"Unknown")</f>
        <v>Unknown</v>
      </c>
      <c r="D1410" s="5"/>
    </row>
    <row r="1411" spans="1:4" ht="13">
      <c r="A1411" s="5" t="str">
        <f ca="1">IFERROR(__xludf.DUMMYFUNCTION("""COMPUTED_VALUE"""),"20060424NCEAC")</f>
        <v>20060424NCEAC</v>
      </c>
      <c r="B1411" s="5" t="str">
        <f ca="1">IFERROR(__xludf.DUMMYFUNCTION("""COMPUTED_VALUE"""),"Shotgun")</f>
        <v>Shotgun</v>
      </c>
      <c r="C1411" s="5" t="str">
        <f ca="1">IFERROR(__xludf.DUMMYFUNCTION("""COMPUTED_VALUE"""),"Unknown")</f>
        <v>Unknown</v>
      </c>
      <c r="D1411" s="5"/>
    </row>
    <row r="1412" spans="1:4" ht="13">
      <c r="A1412" s="5" t="str">
        <f ca="1">IFERROR(__xludf.DUMMYFUNCTION("""COMPUTED_VALUE"""),"20060418TXWEH")</f>
        <v>20060418TXWEH</v>
      </c>
      <c r="B1412" s="5" t="str">
        <f ca="1">IFERROR(__xludf.DUMMYFUNCTION("""COMPUTED_VALUE"""),"Handgun")</f>
        <v>Handgun</v>
      </c>
      <c r="C1412" s="5" t="str">
        <f ca="1">IFERROR(__xludf.DUMMYFUNCTION("""COMPUTED_VALUE"""),"Unknown")</f>
        <v>Unknown</v>
      </c>
      <c r="D1412" s="5"/>
    </row>
    <row r="1413" spans="1:4" ht="13">
      <c r="A1413" s="5" t="str">
        <f ca="1">IFERROR(__xludf.DUMMYFUNCTION("""COMPUTED_VALUE"""),"20060405DCROW")</f>
        <v>20060405DCROW</v>
      </c>
      <c r="B1413" s="5" t="str">
        <f ca="1">IFERROR(__xludf.DUMMYFUNCTION("""COMPUTED_VALUE"""),"No Data")</f>
        <v>No Data</v>
      </c>
      <c r="C1413" s="5"/>
      <c r="D1413" s="5"/>
    </row>
    <row r="1414" spans="1:4" ht="13">
      <c r="A1414" s="5" t="str">
        <f ca="1">IFERROR(__xludf.DUMMYFUNCTION("""COMPUTED_VALUE"""),"20060314NVPIR")</f>
        <v>20060314NVPIR</v>
      </c>
      <c r="B1414" s="5" t="str">
        <f ca="1">IFERROR(__xludf.DUMMYFUNCTION("""COMPUTED_VALUE"""),"Handgun")</f>
        <v>Handgun</v>
      </c>
      <c r="C1414" s="5" t="str">
        <f ca="1">IFERROR(__xludf.DUMMYFUNCTION("""COMPUTED_VALUE"""),".38 caliber")</f>
        <v>.38 caliber</v>
      </c>
      <c r="D1414" s="5"/>
    </row>
    <row r="1415" spans="1:4" ht="13">
      <c r="A1415" s="5" t="str">
        <f ca="1">IFERROR(__xludf.DUMMYFUNCTION("""COMPUTED_VALUE"""),"20060310NYISN")</f>
        <v>20060310NYISN</v>
      </c>
      <c r="B1415" s="5" t="str">
        <f ca="1">IFERROR(__xludf.DUMMYFUNCTION("""COMPUTED_VALUE"""),"Other")</f>
        <v>Other</v>
      </c>
      <c r="C1415" s="5" t="str">
        <f ca="1">IFERROR(__xludf.DUMMYFUNCTION("""COMPUTED_VALUE"""),"BB")</f>
        <v>BB</v>
      </c>
      <c r="D1415" s="5"/>
    </row>
    <row r="1416" spans="1:4" ht="13">
      <c r="A1416" s="5" t="str">
        <f ca="1">IFERROR(__xludf.DUMMYFUNCTION("""COMPUTED_VALUE"""),"20060223ORROR")</f>
        <v>20060223ORROR</v>
      </c>
      <c r="B1416" s="5" t="str">
        <f ca="1">IFERROR(__xludf.DUMMYFUNCTION("""COMPUTED_VALUE"""),"Handgun")</f>
        <v>Handgun</v>
      </c>
      <c r="C1416" s="5" t="str">
        <f ca="1">IFERROR(__xludf.DUMMYFUNCTION("""COMPUTED_VALUE"""),"Unknown")</f>
        <v>Unknown</v>
      </c>
      <c r="D1416" s="5"/>
    </row>
    <row r="1417" spans="1:4" ht="13">
      <c r="A1417" s="5" t="str">
        <f ca="1">IFERROR(__xludf.DUMMYFUNCTION("""COMPUTED_VALUE"""),"20060221PAWEP")</f>
        <v>20060221PAWEP</v>
      </c>
      <c r="B1417" s="5" t="str">
        <f ca="1">IFERROR(__xludf.DUMMYFUNCTION("""COMPUTED_VALUE"""),"Rifle")</f>
        <v>Rifle</v>
      </c>
      <c r="C1417" s="5" t="str">
        <f ca="1">IFERROR(__xludf.DUMMYFUNCTION("""COMPUTED_VALUE"""),"AK-47")</f>
        <v>AK-47</v>
      </c>
      <c r="D1417" s="5"/>
    </row>
    <row r="1418" spans="1:4" ht="13">
      <c r="A1418" s="5" t="str">
        <f ca="1">IFERROR(__xludf.DUMMYFUNCTION("""COMPUTED_VALUE"""),"20060215PAWEY")</f>
        <v>20060215PAWEY</v>
      </c>
      <c r="B1418" s="5" t="str">
        <f ca="1">IFERROR(__xludf.DUMMYFUNCTION("""COMPUTED_VALUE"""),"Handgun")</f>
        <v>Handgun</v>
      </c>
      <c r="C1418" s="5" t="str">
        <f ca="1">IFERROR(__xludf.DUMMYFUNCTION("""COMPUTED_VALUE"""),".38 caliber")</f>
        <v>.38 caliber</v>
      </c>
      <c r="D1418" s="5"/>
    </row>
    <row r="1419" spans="1:4" ht="13">
      <c r="A1419" s="5" t="str">
        <f ca="1">IFERROR(__xludf.DUMMYFUNCTION("""COMPUTED_VALUE"""),"20060209DEWIN")</f>
        <v>20060209DEWIN</v>
      </c>
      <c r="B1419" s="5" t="str">
        <f ca="1">IFERROR(__xludf.DUMMYFUNCTION("""COMPUTED_VALUE"""),"Handgun")</f>
        <v>Handgun</v>
      </c>
      <c r="C1419" s="5" t="str">
        <f ca="1">IFERROR(__xludf.DUMMYFUNCTION("""COMPUTED_VALUE"""),"Unknown")</f>
        <v>Unknown</v>
      </c>
      <c r="D1419" s="5"/>
    </row>
    <row r="1420" spans="1:4" ht="13">
      <c r="A1420" s="5" t="str">
        <f ca="1">IFERROR(__xludf.DUMMYFUNCTION("""COMPUTED_VALUE"""),"20060203CALOC")</f>
        <v>20060203CALOC</v>
      </c>
      <c r="B1420" s="5" t="str">
        <f ca="1">IFERROR(__xludf.DUMMYFUNCTION("""COMPUTED_VALUE"""),"Handgun")</f>
        <v>Handgun</v>
      </c>
      <c r="C1420" s="5" t="str">
        <f ca="1">IFERROR(__xludf.DUMMYFUNCTION("""COMPUTED_VALUE"""),".22 caliber")</f>
        <v>.22 caliber</v>
      </c>
      <c r="D1420" s="5"/>
    </row>
    <row r="1421" spans="1:4" ht="13">
      <c r="A1421" s="5" t="str">
        <f ca="1">IFERROR(__xludf.DUMMYFUNCTION("""COMPUTED_VALUE"""),"20060130MTCMG")</f>
        <v>20060130MTCMG</v>
      </c>
      <c r="B1421" s="5" t="str">
        <f ca="1">IFERROR(__xludf.DUMMYFUNCTION("""COMPUTED_VALUE"""),"Handgun")</f>
        <v>Handgun</v>
      </c>
      <c r="C1421" s="5" t="str">
        <f ca="1">IFERROR(__xludf.DUMMYFUNCTION("""COMPUTED_VALUE"""),"Unknown")</f>
        <v>Unknown</v>
      </c>
      <c r="D1421" s="5"/>
    </row>
    <row r="1422" spans="1:4" ht="13">
      <c r="A1422" s="5" t="str">
        <f ca="1">IFERROR(__xludf.DUMMYFUNCTION("""COMPUTED_VALUE"""),"20060127TXLAG")</f>
        <v>20060127TXLAG</v>
      </c>
      <c r="B1422" s="5" t="str">
        <f ca="1">IFERROR(__xludf.DUMMYFUNCTION("""COMPUTED_VALUE"""),"Handgun")</f>
        <v>Handgun</v>
      </c>
      <c r="C1422" s="5" t="str">
        <f ca="1">IFERROR(__xludf.DUMMYFUNCTION("""COMPUTED_VALUE"""),"Unknown")</f>
        <v>Unknown</v>
      </c>
      <c r="D1422" s="5"/>
    </row>
    <row r="1423" spans="1:4" ht="13">
      <c r="A1423" s="5" t="str">
        <f ca="1">IFERROR(__xludf.DUMMYFUNCTION("""COMPUTED_VALUE"""),"20060123CAWIV")</f>
        <v>20060123CAWIV</v>
      </c>
      <c r="B1423" s="5" t="str">
        <f ca="1">IFERROR(__xludf.DUMMYFUNCTION("""COMPUTED_VALUE"""),"Handgun")</f>
        <v>Handgun</v>
      </c>
      <c r="C1423" s="5" t="str">
        <f ca="1">IFERROR(__xludf.DUMMYFUNCTION("""COMPUTED_VALUE"""),"Unknown")</f>
        <v>Unknown</v>
      </c>
      <c r="D1423" s="5"/>
    </row>
    <row r="1424" spans="1:4" ht="13">
      <c r="A1424" s="5" t="str">
        <f ca="1">IFERROR(__xludf.DUMMYFUNCTION("""COMPUTED_VALUE"""),"20060119OHWIC")</f>
        <v>20060119OHWIC</v>
      </c>
      <c r="B1424" s="5" t="str">
        <f ca="1">IFERROR(__xludf.DUMMYFUNCTION("""COMPUTED_VALUE"""),"No Data")</f>
        <v>No Data</v>
      </c>
      <c r="C1424" s="5"/>
      <c r="D1424" s="5"/>
    </row>
    <row r="1425" spans="1:4" ht="13">
      <c r="A1425" s="5" t="str">
        <f ca="1">IFERROR(__xludf.DUMMYFUNCTION("""COMPUTED_VALUE"""),"20060118VAINC")</f>
        <v>20060118VAINC</v>
      </c>
      <c r="B1425" s="5" t="str">
        <f ca="1">IFERROR(__xludf.DUMMYFUNCTION("""COMPUTED_VALUE"""),"Handgun")</f>
        <v>Handgun</v>
      </c>
      <c r="C1425" s="5" t="str">
        <f ca="1">IFERROR(__xludf.DUMMYFUNCTION("""COMPUTED_VALUE"""),"Unknown")</f>
        <v>Unknown</v>
      </c>
      <c r="D1425" s="5"/>
    </row>
    <row r="1426" spans="1:4" ht="13">
      <c r="A1426" s="5" t="str">
        <f ca="1">IFERROR(__xludf.DUMMYFUNCTION("""COMPUTED_VALUE"""),"20060118TXPAA")</f>
        <v>20060118TXPAA</v>
      </c>
      <c r="B1426" s="5" t="str">
        <f ca="1">IFERROR(__xludf.DUMMYFUNCTION("""COMPUTED_VALUE"""),"Handgun")</f>
        <v>Handgun</v>
      </c>
      <c r="C1426" s="5" t="str">
        <f ca="1">IFERROR(__xludf.DUMMYFUNCTION("""COMPUTED_VALUE"""),".22 caliber")</f>
        <v>.22 caliber</v>
      </c>
      <c r="D1426" s="5"/>
    </row>
    <row r="1427" spans="1:4" ht="13">
      <c r="A1427" s="5" t="str">
        <f ca="1">IFERROR(__xludf.DUMMYFUNCTION("""COMPUTED_VALUE"""),"20060118MTFRA")</f>
        <v>20060118MTFRA</v>
      </c>
      <c r="B1427" s="5" t="str">
        <f ca="1">IFERROR(__xludf.DUMMYFUNCTION("""COMPUTED_VALUE"""),"Other")</f>
        <v>Other</v>
      </c>
      <c r="C1427" s="5" t="str">
        <f ca="1">IFERROR(__xludf.DUMMYFUNCTION("""COMPUTED_VALUE"""),"Airsoft")</f>
        <v>Airsoft</v>
      </c>
      <c r="D1427" s="5"/>
    </row>
    <row r="1428" spans="1:4" ht="13">
      <c r="A1428" s="5" t="str">
        <f ca="1">IFERROR(__xludf.DUMMYFUNCTION("""COMPUTED_VALUE"""),"20060113MIOSD")</f>
        <v>20060113MIOSD</v>
      </c>
      <c r="B1428" s="5" t="str">
        <f ca="1">IFERROR(__xludf.DUMMYFUNCTION("""COMPUTED_VALUE"""),"Handgun")</f>
        <v>Handgun</v>
      </c>
      <c r="C1428" s="5" t="str">
        <f ca="1">IFERROR(__xludf.DUMMYFUNCTION("""COMPUTED_VALUE"""),"Unknown")</f>
        <v>Unknown</v>
      </c>
      <c r="D1428" s="5"/>
    </row>
    <row r="1429" spans="1:4" ht="13">
      <c r="A1429" s="5" t="str">
        <f ca="1">IFERROR(__xludf.DUMMYFUNCTION("""COMPUTED_VALUE"""),"20060113FLMIL")</f>
        <v>20060113FLMIL</v>
      </c>
      <c r="B1429" s="5" t="str">
        <f ca="1">IFERROR(__xludf.DUMMYFUNCTION("""COMPUTED_VALUE"""),"Rifle")</f>
        <v>Rifle</v>
      </c>
      <c r="C1429" s="5" t="str">
        <f ca="1">IFERROR(__xludf.DUMMYFUNCTION("""COMPUTED_VALUE"""),"Unknown")</f>
        <v>Unknown</v>
      </c>
      <c r="D1429" s="5"/>
    </row>
    <row r="1430" spans="1:4" ht="13">
      <c r="A1430" s="5" t="str">
        <f ca="1">IFERROR(__xludf.DUMMYFUNCTION("""COMPUTED_VALUE"""),"20060113ALPIP")</f>
        <v>20060113ALPIP</v>
      </c>
      <c r="B1430" s="5" t="str">
        <f ca="1">IFERROR(__xludf.DUMMYFUNCTION("""COMPUTED_VALUE"""),"Handgun")</f>
        <v>Handgun</v>
      </c>
      <c r="C1430" s="5" t="str">
        <f ca="1">IFERROR(__xludf.DUMMYFUNCTION("""COMPUTED_VALUE"""),"Unknown")</f>
        <v>Unknown</v>
      </c>
      <c r="D1430" s="5"/>
    </row>
    <row r="1431" spans="1:4" ht="13">
      <c r="A1431" s="5" t="str">
        <f ca="1">IFERROR(__xludf.DUMMYFUNCTION("""COMPUTED_VALUE"""),"20060111WIMAM")</f>
        <v>20060111WIMAM</v>
      </c>
      <c r="B1431" s="5" t="str">
        <f ca="1">IFERROR(__xludf.DUMMYFUNCTION("""COMPUTED_VALUE"""),"No Data")</f>
        <v>No Data</v>
      </c>
      <c r="C1431" s="5"/>
      <c r="D1431" s="5"/>
    </row>
    <row r="1432" spans="1:4" ht="13">
      <c r="A1432" s="5" t="str">
        <f ca="1">IFERROR(__xludf.DUMMYFUNCTION("""COMPUTED_VALUE"""),"20060110DEMOW")</f>
        <v>20060110DEMOW</v>
      </c>
      <c r="B1432" s="5" t="str">
        <f ca="1">IFERROR(__xludf.DUMMYFUNCTION("""COMPUTED_VALUE"""),"Handgun")</f>
        <v>Handgun</v>
      </c>
      <c r="C1432" s="5" t="str">
        <f ca="1">IFERROR(__xludf.DUMMYFUNCTION("""COMPUTED_VALUE"""),"Unknown")</f>
        <v>Unknown</v>
      </c>
      <c r="D1432" s="5"/>
    </row>
    <row r="1433" spans="1:4" ht="13">
      <c r="A1433" s="5" t="str">
        <f ca="1">IFERROR(__xludf.DUMMYFUNCTION("""COMPUTED_VALUE"""),"20060103NJLIJ")</f>
        <v>20060103NJLIJ</v>
      </c>
      <c r="B1433" s="5" t="str">
        <f ca="1">IFERROR(__xludf.DUMMYFUNCTION("""COMPUTED_VALUE"""),"Handgun")</f>
        <v>Handgun</v>
      </c>
      <c r="C1433" s="5" t="str">
        <f ca="1">IFERROR(__xludf.DUMMYFUNCTION("""COMPUTED_VALUE"""),"Unknown")</f>
        <v>Unknown</v>
      </c>
      <c r="D1433" s="5"/>
    </row>
    <row r="1434" spans="1:4" ht="13">
      <c r="A1434" s="5" t="str">
        <f ca="1">IFERROR(__xludf.DUMMYFUNCTION("""COMPUTED_VALUE"""),"20051206MICED")</f>
        <v>20051206MICED</v>
      </c>
      <c r="B1434" s="5" t="str">
        <f ca="1">IFERROR(__xludf.DUMMYFUNCTION("""COMPUTED_VALUE"""),"Handgun")</f>
        <v>Handgun</v>
      </c>
      <c r="C1434" s="5" t="str">
        <f ca="1">IFERROR(__xludf.DUMMYFUNCTION("""COMPUTED_VALUE"""),"Unknown")</f>
        <v>Unknown</v>
      </c>
      <c r="D1434" s="5"/>
    </row>
    <row r="1435" spans="1:4" ht="13">
      <c r="A1435" s="5" t="str">
        <f ca="1">IFERROR(__xludf.DUMMYFUNCTION("""COMPUTED_VALUE"""),"20051206CASAG")</f>
        <v>20051206CASAG</v>
      </c>
      <c r="B1435" s="5" t="str">
        <f ca="1">IFERROR(__xludf.DUMMYFUNCTION("""COMPUTED_VALUE"""),"Handgun")</f>
        <v>Handgun</v>
      </c>
      <c r="C1435" s="5" t="str">
        <f ca="1">IFERROR(__xludf.DUMMYFUNCTION("""COMPUTED_VALUE"""),"Unknown")</f>
        <v>Unknown</v>
      </c>
      <c r="D1435" s="5"/>
    </row>
    <row r="1436" spans="1:4" ht="13">
      <c r="A1436" s="5" t="str">
        <f ca="1">IFERROR(__xludf.DUMMYFUNCTION("""COMPUTED_VALUE"""),"20051205MABOR")</f>
        <v>20051205MABOR</v>
      </c>
      <c r="B1436" s="5" t="str">
        <f ca="1">IFERROR(__xludf.DUMMYFUNCTION("""COMPUTED_VALUE"""),"Handgun")</f>
        <v>Handgun</v>
      </c>
      <c r="C1436" s="5" t="str">
        <f ca="1">IFERROR(__xludf.DUMMYFUNCTION("""COMPUTED_VALUE"""),"Unknown")</f>
        <v>Unknown</v>
      </c>
      <c r="D1436" s="5"/>
    </row>
    <row r="1437" spans="1:4" ht="13">
      <c r="A1437" s="5" t="str">
        <f ca="1">IFERROR(__xludf.DUMMYFUNCTION("""COMPUTED_VALUE"""),"20051116TXIRS")</f>
        <v>20051116TXIRS</v>
      </c>
      <c r="B1437" s="5" t="str">
        <f ca="1">IFERROR(__xludf.DUMMYFUNCTION("""COMPUTED_VALUE"""),"Handgun")</f>
        <v>Handgun</v>
      </c>
      <c r="C1437" s="5" t="str">
        <f ca="1">IFERROR(__xludf.DUMMYFUNCTION("""COMPUTED_VALUE"""),"Service Weapon")</f>
        <v>Service Weapon</v>
      </c>
      <c r="D1437" s="5"/>
    </row>
    <row r="1438" spans="1:4" ht="13">
      <c r="A1438" s="5" t="str">
        <f ca="1">IFERROR(__xludf.DUMMYFUNCTION("""COMPUTED_VALUE"""),"20051115FLPAM")</f>
        <v>20051115FLPAM</v>
      </c>
      <c r="B1438" s="5" t="str">
        <f ca="1">IFERROR(__xludf.DUMMYFUNCTION("""COMPUTED_VALUE"""),"Handgun")</f>
        <v>Handgun</v>
      </c>
      <c r="C1438" s="5" t="str">
        <f ca="1">IFERROR(__xludf.DUMMYFUNCTION("""COMPUTED_VALUE"""),".25 caliber")</f>
        <v>.25 caliber</v>
      </c>
      <c r="D1438" s="5"/>
    </row>
    <row r="1439" spans="1:4" ht="13">
      <c r="A1439" s="5" t="str">
        <f ca="1">IFERROR(__xludf.DUMMYFUNCTION("""COMPUTED_VALUE"""),"20051108TNCAJ")</f>
        <v>20051108TNCAJ</v>
      </c>
      <c r="B1439" s="5" t="str">
        <f ca="1">IFERROR(__xludf.DUMMYFUNCTION("""COMPUTED_VALUE"""),"Handgun")</f>
        <v>Handgun</v>
      </c>
      <c r="C1439" s="5" t="str">
        <f ca="1">IFERROR(__xludf.DUMMYFUNCTION("""COMPUTED_VALUE"""),".22 caliber")</f>
        <v>.22 caliber</v>
      </c>
      <c r="D1439" s="5"/>
    </row>
    <row r="1440" spans="1:4" ht="13">
      <c r="A1440" s="5" t="str">
        <f ca="1">IFERROR(__xludf.DUMMYFUNCTION("""COMPUTED_VALUE"""),"20051028NYFAF")</f>
        <v>20051028NYFAF</v>
      </c>
      <c r="B1440" s="5" t="str">
        <f ca="1">IFERROR(__xludf.DUMMYFUNCTION("""COMPUTED_VALUE"""),"Handgun")</f>
        <v>Handgun</v>
      </c>
      <c r="C1440" s="5" t="str">
        <f ca="1">IFERROR(__xludf.DUMMYFUNCTION("""COMPUTED_VALUE"""),"Unknown")</f>
        <v>Unknown</v>
      </c>
      <c r="D1440" s="5"/>
    </row>
    <row r="1441" spans="1:4" ht="13">
      <c r="A1441" s="5" t="str">
        <f ca="1">IFERROR(__xludf.DUMMYFUNCTION("""COMPUTED_VALUE"""),"20051028MDANA")</f>
        <v>20051028MDANA</v>
      </c>
      <c r="B1441" s="5" t="str">
        <f ca="1">IFERROR(__xludf.DUMMYFUNCTION("""COMPUTED_VALUE"""),"Handgun")</f>
        <v>Handgun</v>
      </c>
      <c r="C1441" s="5" t="str">
        <f ca="1">IFERROR(__xludf.DUMMYFUNCTION("""COMPUTED_VALUE"""),"Unknown")</f>
        <v>Unknown</v>
      </c>
      <c r="D1441" s="5"/>
    </row>
    <row r="1442" spans="1:4" ht="13">
      <c r="A1442" s="5" t="str">
        <f ca="1">IFERROR(__xludf.DUMMYFUNCTION("""COMPUTED_VALUE"""),"20051027CABIF")</f>
        <v>20051027CABIF</v>
      </c>
      <c r="B1442" s="5" t="str">
        <f ca="1">IFERROR(__xludf.DUMMYFUNCTION("""COMPUTED_VALUE"""),"No Data")</f>
        <v>No Data</v>
      </c>
      <c r="C1442" s="5"/>
      <c r="D1442" s="5"/>
    </row>
    <row r="1443" spans="1:4" ht="13">
      <c r="A1443" s="5" t="str">
        <f ca="1">IFERROR(__xludf.DUMMYFUNCTION("""COMPUTED_VALUE"""),"20051020MISAS")</f>
        <v>20051020MISAS</v>
      </c>
      <c r="B1443" s="5" t="str">
        <f ca="1">IFERROR(__xludf.DUMMYFUNCTION("""COMPUTED_VALUE"""),"Handgun")</f>
        <v>Handgun</v>
      </c>
      <c r="C1443" s="5" t="str">
        <f ca="1">IFERROR(__xludf.DUMMYFUNCTION("""COMPUTED_VALUE"""),".38 caliber")</f>
        <v>.38 caliber</v>
      </c>
      <c r="D1443" s="5"/>
    </row>
    <row r="1444" spans="1:4" ht="13">
      <c r="A1444" s="5" t="str">
        <f ca="1">IFERROR(__xludf.DUMMYFUNCTION("""COMPUTED_VALUE"""),"20051019CASAS")</f>
        <v>20051019CASAS</v>
      </c>
      <c r="B1444" s="5" t="str">
        <f ca="1">IFERROR(__xludf.DUMMYFUNCTION("""COMPUTED_VALUE"""),"No Data")</f>
        <v>No Data</v>
      </c>
      <c r="C1444" s="5"/>
      <c r="D1444" s="5"/>
    </row>
    <row r="1445" spans="1:4" ht="13">
      <c r="A1445" s="5" t="str">
        <f ca="1">IFERROR(__xludf.DUMMYFUNCTION("""COMPUTED_VALUE"""),"20051014NYSAN")</f>
        <v>20051014NYSAN</v>
      </c>
      <c r="B1445" s="5" t="str">
        <f ca="1">IFERROR(__xludf.DUMMYFUNCTION("""COMPUTED_VALUE"""),"Handgun")</f>
        <v>Handgun</v>
      </c>
      <c r="C1445" s="5" t="str">
        <f ca="1">IFERROR(__xludf.DUMMYFUNCTION("""COMPUTED_VALUE"""),"Unknown")</f>
        <v>Unknown</v>
      </c>
      <c r="D1445" s="5"/>
    </row>
    <row r="1446" spans="1:4" ht="13">
      <c r="A1446" s="5" t="str">
        <f ca="1">IFERROR(__xludf.DUMMYFUNCTION("""COMPUTED_VALUE"""),"20051011MIFAF")</f>
        <v>20051011MIFAF</v>
      </c>
      <c r="B1446" s="5" t="str">
        <f ca="1">IFERROR(__xludf.DUMMYFUNCTION("""COMPUTED_VALUE"""),"Shotgun")</f>
        <v>Shotgun</v>
      </c>
      <c r="C1446" s="5" t="str">
        <f ca="1">IFERROR(__xludf.DUMMYFUNCTION("""COMPUTED_VALUE"""),"12 gauge")</f>
        <v>12 gauge</v>
      </c>
      <c r="D1446" s="5"/>
    </row>
    <row r="1447" spans="1:4" ht="13">
      <c r="A1447" s="5" t="str">
        <f ca="1">IFERROR(__xludf.DUMMYFUNCTION("""COMPUTED_VALUE"""),"20050924MISAS")</f>
        <v>20050924MISAS</v>
      </c>
      <c r="B1447" s="5" t="str">
        <f ca="1">IFERROR(__xludf.DUMMYFUNCTION("""COMPUTED_VALUE"""),"No Data")</f>
        <v>No Data</v>
      </c>
      <c r="C1447" s="5"/>
      <c r="D1447" s="5"/>
    </row>
    <row r="1448" spans="1:4" ht="13">
      <c r="A1448" s="5" t="str">
        <f ca="1">IFERROR(__xludf.DUMMYFUNCTION("""COMPUTED_VALUE"""),"20050913ILHAC")</f>
        <v>20050913ILHAC</v>
      </c>
      <c r="B1448" s="5" t="str">
        <f ca="1">IFERROR(__xludf.DUMMYFUNCTION("""COMPUTED_VALUE"""),"Handgun")</f>
        <v>Handgun</v>
      </c>
      <c r="C1448" s="5" t="str">
        <f ca="1">IFERROR(__xludf.DUMMYFUNCTION("""COMPUTED_VALUE"""),".25 caliber")</f>
        <v>.25 caliber</v>
      </c>
      <c r="D1448" s="5"/>
    </row>
    <row r="1449" spans="1:4" ht="13">
      <c r="A1449" s="5" t="str">
        <f ca="1">IFERROR(__xludf.DUMMYFUNCTION("""COMPUTED_VALUE"""),"20050902FLSOJ")</f>
        <v>20050902FLSOJ</v>
      </c>
      <c r="B1449" s="5" t="str">
        <f ca="1">IFERROR(__xludf.DUMMYFUNCTION("""COMPUTED_VALUE"""),"Handgun")</f>
        <v>Handgun</v>
      </c>
      <c r="C1449" s="5" t="str">
        <f ca="1">IFERROR(__xludf.DUMMYFUNCTION("""COMPUTED_VALUE"""),"Unknown")</f>
        <v>Unknown</v>
      </c>
      <c r="D1449" s="5"/>
    </row>
    <row r="1450" spans="1:4" ht="13">
      <c r="A1450" s="5" t="str">
        <f ca="1">IFERROR(__xludf.DUMMYFUNCTION("""COMPUTED_VALUE"""),"20050901AKDIA")</f>
        <v>20050901AKDIA</v>
      </c>
      <c r="B1450" s="5" t="str">
        <f ca="1">IFERROR(__xludf.DUMMYFUNCTION("""COMPUTED_VALUE"""),"Handgun")</f>
        <v>Handgun</v>
      </c>
      <c r="C1450" s="5" t="str">
        <f ca="1">IFERROR(__xludf.DUMMYFUNCTION("""COMPUTED_VALUE"""),"Unknown")</f>
        <v>Unknown</v>
      </c>
      <c r="D1450" s="5"/>
    </row>
    <row r="1451" spans="1:4" ht="13">
      <c r="A1451" s="5" t="str">
        <f ca="1">IFERROR(__xludf.DUMMYFUNCTION("""COMPUTED_VALUE"""),"20050825TNMAD")</f>
        <v>20050825TNMAD</v>
      </c>
      <c r="B1451" s="5" t="str">
        <f ca="1">IFERROR(__xludf.DUMMYFUNCTION("""COMPUTED_VALUE"""),"Handgun")</f>
        <v>Handgun</v>
      </c>
      <c r="C1451" s="5" t="str">
        <f ca="1">IFERROR(__xludf.DUMMYFUNCTION("""COMPUTED_VALUE"""),".38 caliber")</f>
        <v>.38 caliber</v>
      </c>
      <c r="D1451" s="5"/>
    </row>
    <row r="1452" spans="1:4" ht="13">
      <c r="A1452" s="5" t="str">
        <f ca="1">IFERROR(__xludf.DUMMYFUNCTION("""COMPUTED_VALUE"""),"20050819GAMOM")</f>
        <v>20050819GAMOM</v>
      </c>
      <c r="B1452" s="5" t="str">
        <f ca="1">IFERROR(__xludf.DUMMYFUNCTION("""COMPUTED_VALUE"""),"Handgun")</f>
        <v>Handgun</v>
      </c>
      <c r="C1452" s="5" t="str">
        <f ca="1">IFERROR(__xludf.DUMMYFUNCTION("""COMPUTED_VALUE"""),"Unknown")</f>
        <v>Unknown</v>
      </c>
      <c r="D1452" s="5"/>
    </row>
    <row r="1453" spans="1:4" ht="13">
      <c r="A1453" s="5" t="str">
        <f ca="1">IFERROR(__xludf.DUMMYFUNCTION("""COMPUTED_VALUE"""),"20050817CAPLB")</f>
        <v>20050817CAPLB</v>
      </c>
      <c r="B1453" s="5" t="str">
        <f ca="1">IFERROR(__xludf.DUMMYFUNCTION("""COMPUTED_VALUE"""),"Handgun")</f>
        <v>Handgun</v>
      </c>
      <c r="C1453" s="5" t="str">
        <f ca="1">IFERROR(__xludf.DUMMYFUNCTION("""COMPUTED_VALUE"""),"Unknown")</f>
        <v>Unknown</v>
      </c>
      <c r="D1453" s="5"/>
    </row>
    <row r="1454" spans="1:4" ht="13">
      <c r="A1454" s="5" t="str">
        <f ca="1">IFERROR(__xludf.DUMMYFUNCTION("""COMPUTED_VALUE"""),"20050816VICOE")</f>
        <v>20050816VICOE</v>
      </c>
      <c r="B1454" s="5" t="str">
        <f ca="1">IFERROR(__xludf.DUMMYFUNCTION("""COMPUTED_VALUE"""),"No Data")</f>
        <v>No Data</v>
      </c>
      <c r="C1454" s="5"/>
      <c r="D1454" s="5"/>
    </row>
    <row r="1455" spans="1:4" ht="13">
      <c r="A1455" s="5" t="str">
        <f ca="1">IFERROR(__xludf.DUMMYFUNCTION("""COMPUTED_VALUE"""),"20050718NJWEN")</f>
        <v>20050718NJWEN</v>
      </c>
      <c r="B1455" s="5" t="str">
        <f ca="1">IFERROR(__xludf.DUMMYFUNCTION("""COMPUTED_VALUE"""),"Handgun")</f>
        <v>Handgun</v>
      </c>
      <c r="C1455" s="5" t="str">
        <f ca="1">IFERROR(__xludf.DUMMYFUNCTION("""COMPUTED_VALUE"""),"Unknown")</f>
        <v>Unknown</v>
      </c>
      <c r="D1455" s="5"/>
    </row>
    <row r="1456" spans="1:4" ht="13">
      <c r="A1456" s="5" t="str">
        <f ca="1">IFERROR(__xludf.DUMMYFUNCTION("""COMPUTED_VALUE"""),"20050612NJBAA")</f>
        <v>20050612NJBAA</v>
      </c>
      <c r="B1456" s="5" t="str">
        <f ca="1">IFERROR(__xludf.DUMMYFUNCTION("""COMPUTED_VALUE"""),"Handgun")</f>
        <v>Handgun</v>
      </c>
      <c r="C1456" s="5" t="str">
        <f ca="1">IFERROR(__xludf.DUMMYFUNCTION("""COMPUTED_VALUE"""),"Unknown")</f>
        <v>Unknown</v>
      </c>
      <c r="D1456" s="5"/>
    </row>
    <row r="1457" spans="1:4" ht="13">
      <c r="A1457" s="5" t="str">
        <f ca="1">IFERROR(__xludf.DUMMYFUNCTION("""COMPUTED_VALUE"""),"20050608NYARP")</f>
        <v>20050608NYARP</v>
      </c>
      <c r="B1457" s="5" t="str">
        <f ca="1">IFERROR(__xludf.DUMMYFUNCTION("""COMPUTED_VALUE"""),"Other")</f>
        <v>Other</v>
      </c>
      <c r="C1457" s="5" t="str">
        <f ca="1">IFERROR(__xludf.DUMMYFUNCTION("""COMPUTED_VALUE"""),"BB")</f>
        <v>BB</v>
      </c>
      <c r="D1457" s="5"/>
    </row>
    <row r="1458" spans="1:4" ht="13">
      <c r="A1458" s="5" t="str">
        <f ca="1">IFERROR(__xludf.DUMMYFUNCTION("""COMPUTED_VALUE"""),"20050524LABOS")</f>
        <v>20050524LABOS</v>
      </c>
      <c r="B1458" s="5" t="str">
        <f ca="1">IFERROR(__xludf.DUMMYFUNCTION("""COMPUTED_VALUE"""),"Handgun")</f>
        <v>Handgun</v>
      </c>
      <c r="C1458" s="5" t="str">
        <f ca="1">IFERROR(__xludf.DUMMYFUNCTION("""COMPUTED_VALUE"""),".45 caliber")</f>
        <v>.45 caliber</v>
      </c>
      <c r="D1458" s="5"/>
    </row>
    <row r="1459" spans="1:4" ht="13">
      <c r="A1459" s="5" t="str">
        <f ca="1">IFERROR(__xludf.DUMMYFUNCTION("""COMPUTED_VALUE"""),"20050524COACD")</f>
        <v>20050524COACD</v>
      </c>
      <c r="B1459" s="5" t="str">
        <f ca="1">IFERROR(__xludf.DUMMYFUNCTION("""COMPUTED_VALUE"""),"Other")</f>
        <v>Other</v>
      </c>
      <c r="C1459" s="5" t="str">
        <f ca="1">IFERROR(__xludf.DUMMYFUNCTION("""COMPUTED_VALUE"""),"BB")</f>
        <v>BB</v>
      </c>
      <c r="D1459" s="5"/>
    </row>
    <row r="1460" spans="1:4" ht="13">
      <c r="A1460" s="5" t="str">
        <f ca="1">IFERROR(__xludf.DUMMYFUNCTION("""COMPUTED_VALUE"""),"20050520ILLOM")</f>
        <v>20050520ILLOM</v>
      </c>
      <c r="B1460" s="5" t="str">
        <f ca="1">IFERROR(__xludf.DUMMYFUNCTION("""COMPUTED_VALUE"""),"Other")</f>
        <v>Other</v>
      </c>
      <c r="C1460" s="5" t="str">
        <f ca="1">IFERROR(__xludf.DUMMYFUNCTION("""COMPUTED_VALUE"""),"Airsoft")</f>
        <v>Airsoft</v>
      </c>
      <c r="D1460" s="5"/>
    </row>
    <row r="1461" spans="1:4" ht="13">
      <c r="A1461" s="5" t="str">
        <f ca="1">IFERROR(__xludf.DUMMYFUNCTION("""COMPUTED_VALUE"""),"20050517PAHIL")</f>
        <v>20050517PAHIL</v>
      </c>
      <c r="B1461" s="5" t="str">
        <f ca="1">IFERROR(__xludf.DUMMYFUNCTION("""COMPUTED_VALUE"""),"Handgun")</f>
        <v>Handgun</v>
      </c>
      <c r="C1461" s="5" t="str">
        <f ca="1">IFERROR(__xludf.DUMMYFUNCTION("""COMPUTED_VALUE"""),"9mm")</f>
        <v>9mm</v>
      </c>
      <c r="D1461" s="5"/>
    </row>
    <row r="1462" spans="1:4" ht="13">
      <c r="A1462" s="5" t="str">
        <f ca="1">IFERROR(__xludf.DUMMYFUNCTION("""COMPUTED_VALUE"""),"20050514TXBER")</f>
        <v>20050514TXBER</v>
      </c>
      <c r="B1462" s="5" t="str">
        <f ca="1">IFERROR(__xludf.DUMMYFUNCTION("""COMPUTED_VALUE"""),"Handgun")</f>
        <v>Handgun</v>
      </c>
      <c r="C1462" s="5" t="str">
        <f ca="1">IFERROR(__xludf.DUMMYFUNCTION("""COMPUTED_VALUE"""),"9mm")</f>
        <v>9mm</v>
      </c>
      <c r="D1462" s="5"/>
    </row>
    <row r="1463" spans="1:4" ht="13">
      <c r="A1463" s="5" t="str">
        <f ca="1">IFERROR(__xludf.DUMMYFUNCTION("""COMPUTED_VALUE"""),"20050429OHDAC")</f>
        <v>20050429OHDAC</v>
      </c>
      <c r="B1463" s="5" t="str">
        <f ca="1">IFERROR(__xludf.DUMMYFUNCTION("""COMPUTED_VALUE"""),"No Data")</f>
        <v>No Data</v>
      </c>
      <c r="C1463" s="5"/>
      <c r="D1463" s="5"/>
    </row>
    <row r="1464" spans="1:4" ht="13">
      <c r="A1464" s="5" t="str">
        <f ca="1">IFERROR(__xludf.DUMMYFUNCTION("""COMPUTED_VALUE"""),"20050427LALER")</f>
        <v>20050427LALER</v>
      </c>
      <c r="B1464" s="5" t="str">
        <f ca="1">IFERROR(__xludf.DUMMYFUNCTION("""COMPUTED_VALUE"""),"Handgun")</f>
        <v>Handgun</v>
      </c>
      <c r="C1464" s="5" t="str">
        <f ca="1">IFERROR(__xludf.DUMMYFUNCTION("""COMPUTED_VALUE"""),".25 caliber")</f>
        <v>.25 caliber</v>
      </c>
      <c r="D1464" s="5"/>
    </row>
    <row r="1465" spans="1:4" ht="13">
      <c r="A1465" s="5" t="str">
        <f ca="1">IFERROR(__xludf.DUMMYFUNCTION("""COMPUTED_VALUE"""),"20050407TXCAC")</f>
        <v>20050407TXCAC</v>
      </c>
      <c r="B1465" s="5" t="str">
        <f ca="1">IFERROR(__xludf.DUMMYFUNCTION("""COMPUTED_VALUE"""),"Handgun")</f>
        <v>Handgun</v>
      </c>
      <c r="C1465" s="5" t="str">
        <f ca="1">IFERROR(__xludf.DUMMYFUNCTION("""COMPUTED_VALUE"""),".45 caliber")</f>
        <v>.45 caliber</v>
      </c>
      <c r="D1465" s="5"/>
    </row>
    <row r="1466" spans="1:4" ht="13">
      <c r="A1466" s="5" t="str">
        <f ca="1">IFERROR(__xludf.DUMMYFUNCTION("""COMPUTED_VALUE"""),"20050330TNEAM")</f>
        <v>20050330TNEAM</v>
      </c>
      <c r="B1466" s="5" t="str">
        <f ca="1">IFERROR(__xludf.DUMMYFUNCTION("""COMPUTED_VALUE"""),"Handgun")</f>
        <v>Handgun</v>
      </c>
      <c r="C1466" s="5" t="str">
        <f ca="1">IFERROR(__xludf.DUMMYFUNCTION("""COMPUTED_VALUE"""),"Unknown")</f>
        <v>Unknown</v>
      </c>
      <c r="D1466" s="5"/>
    </row>
    <row r="1467" spans="1:4" ht="13">
      <c r="A1467" s="5" t="str">
        <f ca="1">IFERROR(__xludf.DUMMYFUNCTION("""COMPUTED_VALUE"""),"20050324TNFAM")</f>
        <v>20050324TNFAM</v>
      </c>
      <c r="B1467" s="5" t="str">
        <f ca="1">IFERROR(__xludf.DUMMYFUNCTION("""COMPUTED_VALUE"""),"Handgun")</f>
        <v>Handgun</v>
      </c>
      <c r="C1467" s="5" t="str">
        <f ca="1">IFERROR(__xludf.DUMMYFUNCTION("""COMPUTED_VALUE"""),"Unknown")</f>
        <v>Unknown</v>
      </c>
      <c r="D1467" s="5"/>
    </row>
    <row r="1468" spans="1:4" ht="13">
      <c r="A1468" s="5" t="str">
        <f ca="1">IFERROR(__xludf.DUMMYFUNCTION("""COMPUTED_VALUE"""),"20050321NYNEB")</f>
        <v>20050321NYNEB</v>
      </c>
      <c r="B1468" s="5" t="str">
        <f ca="1">IFERROR(__xludf.DUMMYFUNCTION("""COMPUTED_VALUE"""),"Handgun")</f>
        <v>Handgun</v>
      </c>
      <c r="C1468" s="5" t="str">
        <f ca="1">IFERROR(__xludf.DUMMYFUNCTION("""COMPUTED_VALUE"""),".45 caliber")</f>
        <v>.45 caliber</v>
      </c>
      <c r="D1468" s="5"/>
    </row>
    <row r="1469" spans="1:4" ht="13">
      <c r="A1469" s="5" t="str">
        <f ca="1">IFERROR(__xludf.DUMMYFUNCTION("""COMPUTED_VALUE"""),"20050321MNRER")</f>
        <v>20050321MNRER</v>
      </c>
      <c r="B1469" s="5" t="str">
        <f ca="1">IFERROR(__xludf.DUMMYFUNCTION("""COMPUTED_VALUE"""),"Handgun")</f>
        <v>Handgun</v>
      </c>
      <c r="C1469" s="5" t="str">
        <f ca="1">IFERROR(__xludf.DUMMYFUNCTION("""COMPUTED_VALUE"""),".40 caliber")</f>
        <v>.40 caliber</v>
      </c>
      <c r="D1469" s="5"/>
    </row>
    <row r="1470" spans="1:4" ht="13">
      <c r="A1470" s="5" t="str">
        <f ca="1">IFERROR(__xludf.DUMMYFUNCTION("""COMPUTED_VALUE"""),"20050321MNRER")</f>
        <v>20050321MNRER</v>
      </c>
      <c r="B1470" s="5" t="str">
        <f ca="1">IFERROR(__xludf.DUMMYFUNCTION("""COMPUTED_VALUE"""),"Shotgun")</f>
        <v>Shotgun</v>
      </c>
      <c r="C1470" s="5" t="str">
        <f ca="1">IFERROR(__xludf.DUMMYFUNCTION("""COMPUTED_VALUE"""),"12 gauge")</f>
        <v>12 gauge</v>
      </c>
      <c r="D1470" s="5"/>
    </row>
    <row r="1471" spans="1:4" ht="13">
      <c r="A1471" s="5" t="str">
        <f ca="1">IFERROR(__xludf.DUMMYFUNCTION("""COMPUTED_VALUE"""),"20050317LAOPA")</f>
        <v>20050317LAOPA</v>
      </c>
      <c r="B1471" s="5" t="str">
        <f ca="1">IFERROR(__xludf.DUMMYFUNCTION("""COMPUTED_VALUE"""),"Handgun")</f>
        <v>Handgun</v>
      </c>
      <c r="C1471" s="5" t="str">
        <f ca="1">IFERROR(__xludf.DUMMYFUNCTION("""COMPUTED_VALUE"""),"Unknown")</f>
        <v>Unknown</v>
      </c>
      <c r="D1471" s="5"/>
    </row>
    <row r="1472" spans="1:4" ht="13">
      <c r="A1472" s="5" t="str">
        <f ca="1">IFERROR(__xludf.DUMMYFUNCTION("""COMPUTED_VALUE"""),"20050317CALOL")</f>
        <v>20050317CALOL</v>
      </c>
      <c r="B1472" s="5" t="str">
        <f ca="1">IFERROR(__xludf.DUMMYFUNCTION("""COMPUTED_VALUE"""),"Handgun")</f>
        <v>Handgun</v>
      </c>
      <c r="C1472" s="5" t="str">
        <f ca="1">IFERROR(__xludf.DUMMYFUNCTION("""COMPUTED_VALUE"""),"Unknown")</f>
        <v>Unknown</v>
      </c>
      <c r="D1472" s="5"/>
    </row>
    <row r="1473" spans="1:4" ht="13">
      <c r="A1473" s="5" t="str">
        <f ca="1">IFERROR(__xludf.DUMMYFUNCTION("""COMPUTED_VALUE"""),"20050316PACAP")</f>
        <v>20050316PACAP</v>
      </c>
      <c r="B1473" s="5" t="str">
        <f ca="1">IFERROR(__xludf.DUMMYFUNCTION("""COMPUTED_VALUE"""),"Rifle")</f>
        <v>Rifle</v>
      </c>
      <c r="C1473" s="5" t="str">
        <f ca="1">IFERROR(__xludf.DUMMYFUNCTION("""COMPUTED_VALUE"""),"AK-47")</f>
        <v>AK-47</v>
      </c>
      <c r="D1473" s="5"/>
    </row>
    <row r="1474" spans="1:4" ht="13">
      <c r="A1474" s="5" t="str">
        <f ca="1">IFERROR(__xludf.DUMMYFUNCTION("""COMPUTED_VALUE"""),"20050314OHLEC")</f>
        <v>20050314OHLEC</v>
      </c>
      <c r="B1474" s="5" t="str">
        <f ca="1">IFERROR(__xludf.DUMMYFUNCTION("""COMPUTED_VALUE"""),"Handgun")</f>
        <v>Handgun</v>
      </c>
      <c r="C1474" s="5" t="str">
        <f ca="1">IFERROR(__xludf.DUMMYFUNCTION("""COMPUTED_VALUE"""),".45 caliber")</f>
        <v>.45 caliber</v>
      </c>
      <c r="D1474" s="5"/>
    </row>
    <row r="1475" spans="1:4" ht="13">
      <c r="A1475" s="5" t="str">
        <f ca="1">IFERROR(__xludf.DUMMYFUNCTION("""COMPUTED_VALUE"""),"20050310TXZAD")</f>
        <v>20050310TXZAD</v>
      </c>
      <c r="B1475" s="5" t="str">
        <f ca="1">IFERROR(__xludf.DUMMYFUNCTION("""COMPUTED_VALUE"""),"Handgun")</f>
        <v>Handgun</v>
      </c>
      <c r="C1475" s="5" t="str">
        <f ca="1">IFERROR(__xludf.DUMMYFUNCTION("""COMPUTED_VALUE"""),"Unknown")</f>
        <v>Unknown</v>
      </c>
      <c r="D1475" s="5"/>
    </row>
    <row r="1476" spans="1:4" ht="13">
      <c r="A1476" s="5" t="str">
        <f ca="1">IFERROR(__xludf.DUMMYFUNCTION("""COMPUTED_VALUE"""),"20050309TNMAN")</f>
        <v>20050309TNMAN</v>
      </c>
      <c r="B1476" s="5" t="str">
        <f ca="1">IFERROR(__xludf.DUMMYFUNCTION("""COMPUTED_VALUE"""),"Handgun")</f>
        <v>Handgun</v>
      </c>
      <c r="C1476" s="5" t="str">
        <f ca="1">IFERROR(__xludf.DUMMYFUNCTION("""COMPUTED_VALUE"""),"Unknown")</f>
        <v>Unknown</v>
      </c>
      <c r="D1476" s="5"/>
    </row>
    <row r="1477" spans="1:4" ht="13">
      <c r="A1477" s="5" t="str">
        <f ca="1">IFERROR(__xludf.DUMMYFUNCTION("""COMPUTED_VALUE"""),"20050302TNSTD")</f>
        <v>20050302TNSTD</v>
      </c>
      <c r="B1477" s="5" t="str">
        <f ca="1">IFERROR(__xludf.DUMMYFUNCTION("""COMPUTED_VALUE"""),"Handgun")</f>
        <v>Handgun</v>
      </c>
      <c r="C1477" s="5" t="str">
        <f ca="1">IFERROR(__xludf.DUMMYFUNCTION("""COMPUTED_VALUE"""),".45 caliber")</f>
        <v>.45 caliber</v>
      </c>
      <c r="D1477" s="5"/>
    </row>
    <row r="1478" spans="1:4" ht="13">
      <c r="A1478" s="5" t="str">
        <f ca="1">IFERROR(__xludf.DUMMYFUNCTION("""COMPUTED_VALUE"""),"20050208ILBOC")</f>
        <v>20050208ILBOC</v>
      </c>
      <c r="B1478" s="5" t="str">
        <f ca="1">IFERROR(__xludf.DUMMYFUNCTION("""COMPUTED_VALUE"""),"No Data")</f>
        <v>No Data</v>
      </c>
      <c r="C1478" s="5"/>
      <c r="D1478" s="5"/>
    </row>
    <row r="1479" spans="1:4" ht="13">
      <c r="A1479" s="5" t="str">
        <f ca="1">IFERROR(__xludf.DUMMYFUNCTION("""COMPUTED_VALUE"""),"20050204GAMCA")</f>
        <v>20050204GAMCA</v>
      </c>
      <c r="B1479" s="5" t="str">
        <f ca="1">IFERROR(__xludf.DUMMYFUNCTION("""COMPUTED_VALUE"""),"Handgun")</f>
        <v>Handgun</v>
      </c>
      <c r="C1479" s="5" t="str">
        <f ca="1">IFERROR(__xludf.DUMMYFUNCTION("""COMPUTED_VALUE"""),"Unknown")</f>
        <v>Unknown</v>
      </c>
      <c r="D1479" s="5"/>
    </row>
    <row r="1480" spans="1:4" ht="13">
      <c r="A1480" s="5" t="str">
        <f ca="1">IFERROR(__xludf.DUMMYFUNCTION("""COMPUTED_VALUE"""),"20050126ILWOP")</f>
        <v>20050126ILWOP</v>
      </c>
      <c r="B1480" s="5" t="str">
        <f ca="1">IFERROR(__xludf.DUMMYFUNCTION("""COMPUTED_VALUE"""),"Handgun")</f>
        <v>Handgun</v>
      </c>
      <c r="C1480" s="5" t="str">
        <f ca="1">IFERROR(__xludf.DUMMYFUNCTION("""COMPUTED_VALUE"""),"Unknown")</f>
        <v>Unknown</v>
      </c>
      <c r="D1480" s="5"/>
    </row>
    <row r="1481" spans="1:4" ht="13">
      <c r="A1481" s="5" t="str">
        <f ca="1">IFERROR(__xludf.DUMMYFUNCTION("""COMPUTED_VALUE"""),"20050105PAMUN")</f>
        <v>20050105PAMUN</v>
      </c>
      <c r="B1481" s="5" t="str">
        <f ca="1">IFERROR(__xludf.DUMMYFUNCTION("""COMPUTED_VALUE"""),"Handgun")</f>
        <v>Handgun</v>
      </c>
      <c r="C1481" s="5" t="str">
        <f ca="1">IFERROR(__xludf.DUMMYFUNCTION("""COMPUTED_VALUE"""),"Unknown")</f>
        <v>Unknown</v>
      </c>
      <c r="D1481" s="5"/>
    </row>
    <row r="1482" spans="1:4" ht="13">
      <c r="A1482" s="5" t="str">
        <f ca="1">IFERROR(__xludf.DUMMYFUNCTION("""COMPUTED_VALUE"""),"20041231TXRIR")</f>
        <v>20041231TXRIR</v>
      </c>
      <c r="B1482" s="5" t="str">
        <f ca="1">IFERROR(__xludf.DUMMYFUNCTION("""COMPUTED_VALUE"""),"Handgun")</f>
        <v>Handgun</v>
      </c>
      <c r="C1482" s="5" t="str">
        <f ca="1">IFERROR(__xludf.DUMMYFUNCTION("""COMPUTED_VALUE"""),"Unknown")</f>
        <v>Unknown</v>
      </c>
      <c r="D1482" s="5"/>
    </row>
    <row r="1483" spans="1:4" ht="13">
      <c r="A1483" s="5" t="str">
        <f ca="1">IFERROR(__xludf.DUMMYFUNCTION("""COMPUTED_VALUE"""),"20041213LALAL")</f>
        <v>20041213LALAL</v>
      </c>
      <c r="B1483" s="5" t="str">
        <f ca="1">IFERROR(__xludf.DUMMYFUNCTION("""COMPUTED_VALUE"""),"Handgun")</f>
        <v>Handgun</v>
      </c>
      <c r="C1483" s="5" t="str">
        <f ca="1">IFERROR(__xludf.DUMMYFUNCTION("""COMPUTED_VALUE"""),"Unknown")</f>
        <v>Unknown</v>
      </c>
      <c r="D1483" s="5"/>
    </row>
    <row r="1484" spans="1:4" ht="13">
      <c r="A1484" s="5" t="str">
        <f ca="1">IFERROR(__xludf.DUMMYFUNCTION("""COMPUTED_VALUE"""),"20041209WALAS")</f>
        <v>20041209WALAS</v>
      </c>
      <c r="B1484" s="5" t="str">
        <f ca="1">IFERROR(__xludf.DUMMYFUNCTION("""COMPUTED_VALUE"""),"No Data")</f>
        <v>No Data</v>
      </c>
      <c r="C1484" s="5"/>
      <c r="D1484" s="5"/>
    </row>
    <row r="1485" spans="1:4" ht="13">
      <c r="A1485" s="5" t="str">
        <f ca="1">IFERROR(__xludf.DUMMYFUNCTION("""COMPUTED_VALUE"""),"20041119FLTEJ")</f>
        <v>20041119FLTEJ</v>
      </c>
      <c r="B1485" s="5" t="str">
        <f ca="1">IFERROR(__xludf.DUMMYFUNCTION("""COMPUTED_VALUE"""),"Handgun")</f>
        <v>Handgun</v>
      </c>
      <c r="C1485" s="5" t="str">
        <f ca="1">IFERROR(__xludf.DUMMYFUNCTION("""COMPUTED_VALUE"""),"Unknown")</f>
        <v>Unknown</v>
      </c>
      <c r="D1485" s="5"/>
    </row>
    <row r="1486" spans="1:4" ht="13">
      <c r="A1486" s="5" t="str">
        <f ca="1">IFERROR(__xludf.DUMMYFUNCTION("""COMPUTED_VALUE"""),"20041117FLAPA")</f>
        <v>20041117FLAPA</v>
      </c>
      <c r="B1486" s="5" t="str">
        <f ca="1">IFERROR(__xludf.DUMMYFUNCTION("""COMPUTED_VALUE"""),"Handgun")</f>
        <v>Handgun</v>
      </c>
      <c r="C1486" s="5" t="str">
        <f ca="1">IFERROR(__xludf.DUMMYFUNCTION("""COMPUTED_VALUE"""),"9mm")</f>
        <v>9mm</v>
      </c>
      <c r="D1486" s="5"/>
    </row>
    <row r="1487" spans="1:4" ht="13">
      <c r="A1487" s="5" t="str">
        <f ca="1">IFERROR(__xludf.DUMMYFUNCTION("""COMPUTED_VALUE"""),"20041116SCBAB")</f>
        <v>20041116SCBAB</v>
      </c>
      <c r="B1487" s="5" t="str">
        <f ca="1">IFERROR(__xludf.DUMMYFUNCTION("""COMPUTED_VALUE"""),"Handgun")</f>
        <v>Handgun</v>
      </c>
      <c r="C1487" s="5" t="str">
        <f ca="1">IFERROR(__xludf.DUMMYFUNCTION("""COMPUTED_VALUE"""),".22 caliber")</f>
        <v>.22 caliber</v>
      </c>
      <c r="D1487" s="5"/>
    </row>
    <row r="1488" spans="1:4" ht="13">
      <c r="A1488" s="5" t="str">
        <f ca="1">IFERROR(__xludf.DUMMYFUNCTION("""COMPUTED_VALUE"""),"20041115INBRG")</f>
        <v>20041115INBRG</v>
      </c>
      <c r="B1488" s="5" t="str">
        <f ca="1">IFERROR(__xludf.DUMMYFUNCTION("""COMPUTED_VALUE"""),"No Data")</f>
        <v>No Data</v>
      </c>
      <c r="C1488" s="5"/>
      <c r="D1488" s="5"/>
    </row>
    <row r="1489" spans="1:4" ht="13">
      <c r="A1489" s="5" t="str">
        <f ca="1">IFERROR(__xludf.DUMMYFUNCTION("""COMPUTED_VALUE"""),"20041115ALPAB")</f>
        <v>20041115ALPAB</v>
      </c>
      <c r="B1489" s="5" t="str">
        <f ca="1">IFERROR(__xludf.DUMMYFUNCTION("""COMPUTED_VALUE"""),"Handgun")</f>
        <v>Handgun</v>
      </c>
      <c r="C1489" s="5" t="str">
        <f ca="1">IFERROR(__xludf.DUMMYFUNCTION("""COMPUTED_VALUE"""),"Unknown")</f>
        <v>Unknown</v>
      </c>
      <c r="D1489" s="5"/>
    </row>
    <row r="1490" spans="1:4" ht="13">
      <c r="A1490" s="5" t="str">
        <f ca="1">IFERROR(__xludf.DUMMYFUNCTION("""COMPUTED_VALUE"""),"20041022CATYH")</f>
        <v>20041022CATYH</v>
      </c>
      <c r="B1490" s="5" t="str">
        <f ca="1">IFERROR(__xludf.DUMMYFUNCTION("""COMPUTED_VALUE"""),"No Data")</f>
        <v>No Data</v>
      </c>
      <c r="C1490" s="5"/>
      <c r="D1490" s="5"/>
    </row>
    <row r="1491" spans="1:4" ht="13">
      <c r="A1491" s="5" t="str">
        <f ca="1">IFERROR(__xludf.DUMMYFUNCTION("""COMPUTED_VALUE"""),"20041021MDTHB")</f>
        <v>20041021MDTHB</v>
      </c>
      <c r="B1491" s="5" t="str">
        <f ca="1">IFERROR(__xludf.DUMMYFUNCTION("""COMPUTED_VALUE"""),"Handgun")</f>
        <v>Handgun</v>
      </c>
      <c r="C1491" s="5" t="str">
        <f ca="1">IFERROR(__xludf.DUMMYFUNCTION("""COMPUTED_VALUE"""),"Unknown")</f>
        <v>Unknown</v>
      </c>
      <c r="D1491" s="5"/>
    </row>
    <row r="1492" spans="1:4" ht="13">
      <c r="A1492" s="5" t="str">
        <f ca="1">IFERROR(__xludf.DUMMYFUNCTION("""COMPUTED_VALUE"""),"20041015CABIB")</f>
        <v>20041015CABIB</v>
      </c>
      <c r="B1492" s="5" t="str">
        <f ca="1">IFERROR(__xludf.DUMMYFUNCTION("""COMPUTED_VALUE"""),"No Data")</f>
        <v>No Data</v>
      </c>
      <c r="C1492" s="5"/>
      <c r="D1492" s="5"/>
    </row>
    <row r="1493" spans="1:4" ht="13">
      <c r="A1493" s="5" t="str">
        <f ca="1">IFERROR(__xludf.DUMMYFUNCTION("""COMPUTED_VALUE"""),"20041012CALAS")</f>
        <v>20041012CALAS</v>
      </c>
      <c r="B1493" s="5" t="str">
        <f ca="1">IFERROR(__xludf.DUMMYFUNCTION("""COMPUTED_VALUE"""),"Handgun")</f>
        <v>Handgun</v>
      </c>
      <c r="C1493" s="5" t="str">
        <f ca="1">IFERROR(__xludf.DUMMYFUNCTION("""COMPUTED_VALUE"""),"Unknown")</f>
        <v>Unknown</v>
      </c>
      <c r="D1493" s="5"/>
    </row>
    <row r="1494" spans="1:4" ht="13">
      <c r="A1494" s="5" t="str">
        <f ca="1">IFERROR(__xludf.DUMMYFUNCTION("""COMPUTED_VALUE"""),"20041007MANEN")</f>
        <v>20041007MANEN</v>
      </c>
      <c r="B1494" s="5" t="str">
        <f ca="1">IFERROR(__xludf.DUMMYFUNCTION("""COMPUTED_VALUE"""),"Shotgun")</f>
        <v>Shotgun</v>
      </c>
      <c r="C1494" s="5" t="str">
        <f ca="1">IFERROR(__xludf.DUMMYFUNCTION("""COMPUTED_VALUE"""),"Unknown")</f>
        <v>Unknown</v>
      </c>
      <c r="D1494" s="5"/>
    </row>
    <row r="1495" spans="1:4" ht="13">
      <c r="A1495" s="5" t="str">
        <f ca="1">IFERROR(__xludf.DUMMYFUNCTION("""COMPUTED_VALUE"""),"20041002NEJEG")</f>
        <v>20041002NEJEG</v>
      </c>
      <c r="B1495" s="5" t="str">
        <f ca="1">IFERROR(__xludf.DUMMYFUNCTION("""COMPUTED_VALUE"""),"Handgun")</f>
        <v>Handgun</v>
      </c>
      <c r="C1495" s="5" t="str">
        <f ca="1">IFERROR(__xludf.DUMMYFUNCTION("""COMPUTED_VALUE"""),".357 caliber")</f>
        <v>.357 caliber</v>
      </c>
      <c r="D1495" s="5"/>
    </row>
    <row r="1496" spans="1:4" ht="13">
      <c r="A1496" s="5" t="str">
        <f ca="1">IFERROR(__xludf.DUMMYFUNCTION("""COMPUTED_VALUE"""),"20040915INWIG")</f>
        <v>20040915INWIG</v>
      </c>
      <c r="B1496" s="5" t="str">
        <f ca="1">IFERROR(__xludf.DUMMYFUNCTION("""COMPUTED_VALUE"""),"Handgun")</f>
        <v>Handgun</v>
      </c>
      <c r="C1496" s="5" t="str">
        <f ca="1">IFERROR(__xludf.DUMMYFUNCTION("""COMPUTED_VALUE"""),".38 caliber")</f>
        <v>.38 caliber</v>
      </c>
      <c r="D1496" s="5"/>
    </row>
    <row r="1497" spans="1:4" ht="13">
      <c r="A1497" s="5" t="str">
        <f ca="1">IFERROR(__xludf.DUMMYFUNCTION("""COMPUTED_VALUE"""),"20040912LABON")</f>
        <v>20040912LABON</v>
      </c>
      <c r="B1497" s="5" t="str">
        <f ca="1">IFERROR(__xludf.DUMMYFUNCTION("""COMPUTED_VALUE"""),"Handgun")</f>
        <v>Handgun</v>
      </c>
      <c r="C1497" s="5" t="str">
        <f ca="1">IFERROR(__xludf.DUMMYFUNCTION("""COMPUTED_VALUE"""),".38 caliber")</f>
        <v>.38 caliber</v>
      </c>
      <c r="D1497" s="5"/>
    </row>
    <row r="1498" spans="1:4" ht="13">
      <c r="A1498" s="5" t="str">
        <f ca="1">IFERROR(__xludf.DUMMYFUNCTION("""COMPUTED_VALUE"""),"20040830ILPRM")</f>
        <v>20040830ILPRM</v>
      </c>
      <c r="B1498" s="5" t="str">
        <f ca="1">IFERROR(__xludf.DUMMYFUNCTION("""COMPUTED_VALUE"""),"Handgun")</f>
        <v>Handgun</v>
      </c>
      <c r="C1498" s="5" t="str">
        <f ca="1">IFERROR(__xludf.DUMMYFUNCTION("""COMPUTED_VALUE"""),"Unknown")</f>
        <v>Unknown</v>
      </c>
      <c r="D1498" s="5"/>
    </row>
    <row r="1499" spans="1:4" ht="13">
      <c r="A1499" s="5" t="str">
        <f ca="1">IFERROR(__xludf.DUMMYFUNCTION("""COMPUTED_VALUE"""),"20040824TNHAM")</f>
        <v>20040824TNHAM</v>
      </c>
      <c r="B1499" s="5" t="str">
        <f ca="1">IFERROR(__xludf.DUMMYFUNCTION("""COMPUTED_VALUE"""),"Handgun")</f>
        <v>Handgun</v>
      </c>
      <c r="C1499" s="5" t="str">
        <f ca="1">IFERROR(__xludf.DUMMYFUNCTION("""COMPUTED_VALUE"""),"Unknown")</f>
        <v>Unknown</v>
      </c>
      <c r="D1499" s="5"/>
    </row>
    <row r="1500" spans="1:4" ht="13">
      <c r="A1500" s="5" t="str">
        <f ca="1">IFERROR(__xludf.DUMMYFUNCTION("""COMPUTED_VALUE"""),"20040803ALHUB")</f>
        <v>20040803ALHUB</v>
      </c>
      <c r="B1500" s="5" t="str">
        <f ca="1">IFERROR(__xludf.DUMMYFUNCTION("""COMPUTED_VALUE"""),"Handgun")</f>
        <v>Handgun</v>
      </c>
      <c r="C1500" s="5" t="str">
        <f ca="1">IFERROR(__xludf.DUMMYFUNCTION("""COMPUTED_VALUE"""),".22 caliber")</f>
        <v>.22 caliber</v>
      </c>
      <c r="D1500" s="5"/>
    </row>
    <row r="1501" spans="1:4" ht="13">
      <c r="A1501" s="5" t="str">
        <f ca="1">IFERROR(__xludf.DUMMYFUNCTION("""COMPUTED_VALUE"""),"20040609CACAO")</f>
        <v>20040609CACAO</v>
      </c>
      <c r="B1501" s="5" t="str">
        <f ca="1">IFERROR(__xludf.DUMMYFUNCTION("""COMPUTED_VALUE"""),"No Data")</f>
        <v>No Data</v>
      </c>
      <c r="C1501" s="5"/>
      <c r="D1501" s="5"/>
    </row>
    <row r="1502" spans="1:4" ht="13">
      <c r="A1502" s="5" t="str">
        <f ca="1">IFERROR(__xludf.DUMMYFUNCTION("""COMPUTED_VALUE"""),"20040524UTWES")</f>
        <v>20040524UTWES</v>
      </c>
      <c r="B1502" s="5" t="str">
        <f ca="1">IFERROR(__xludf.DUMMYFUNCTION("""COMPUTED_VALUE"""),"Handgun")</f>
        <v>Handgun</v>
      </c>
      <c r="C1502" s="5" t="str">
        <f ca="1">IFERROR(__xludf.DUMMYFUNCTION("""COMPUTED_VALUE"""),".38 caliber")</f>
        <v>.38 caliber</v>
      </c>
      <c r="D1502" s="5"/>
    </row>
    <row r="1503" spans="1:4" ht="13">
      <c r="A1503" s="5" t="str">
        <f ca="1">IFERROR(__xludf.DUMMYFUNCTION("""COMPUTED_VALUE"""),"20040512CAEAM")</f>
        <v>20040512CAEAM</v>
      </c>
      <c r="B1503" s="5" t="str">
        <f ca="1">IFERROR(__xludf.DUMMYFUNCTION("""COMPUTED_VALUE"""),"Shotgun")</f>
        <v>Shotgun</v>
      </c>
      <c r="C1503" s="5" t="str">
        <f ca="1">IFERROR(__xludf.DUMMYFUNCTION("""COMPUTED_VALUE"""),"Unknown")</f>
        <v>Unknown</v>
      </c>
      <c r="D1503" s="5"/>
    </row>
    <row r="1504" spans="1:4" ht="13">
      <c r="A1504" s="5" t="str">
        <f ca="1">IFERROR(__xludf.DUMMYFUNCTION("""COMPUTED_VALUE"""),"20040507MDRAR")</f>
        <v>20040507MDRAR</v>
      </c>
      <c r="B1504" s="5" t="str">
        <f ca="1">IFERROR(__xludf.DUMMYFUNCTION("""COMPUTED_VALUE"""),"Handgun")</f>
        <v>Handgun</v>
      </c>
      <c r="C1504" s="5" t="str">
        <f ca="1">IFERROR(__xludf.DUMMYFUNCTION("""COMPUTED_VALUE"""),"9mm")</f>
        <v>9mm</v>
      </c>
      <c r="D1504" s="5"/>
    </row>
    <row r="1505" spans="1:4" ht="13">
      <c r="A1505" s="5" t="str">
        <f ca="1">IFERROR(__xludf.DUMMYFUNCTION("""COMPUTED_VALUE"""),"20040504TXKAH")</f>
        <v>20040504TXKAH</v>
      </c>
      <c r="B1505" s="5" t="str">
        <f ca="1">IFERROR(__xludf.DUMMYFUNCTION("""COMPUTED_VALUE"""),"No Data")</f>
        <v>No Data</v>
      </c>
      <c r="C1505" s="5"/>
      <c r="D1505" s="5"/>
    </row>
    <row r="1506" spans="1:4" ht="13">
      <c r="A1506" s="5" t="str">
        <f ca="1">IFERROR(__xludf.DUMMYFUNCTION("""COMPUTED_VALUE"""),"20040317WACRJ")</f>
        <v>20040317WACRJ</v>
      </c>
      <c r="B1506" s="5" t="str">
        <f ca="1">IFERROR(__xludf.DUMMYFUNCTION("""COMPUTED_VALUE"""),"Rifle")</f>
        <v>Rifle</v>
      </c>
      <c r="C1506" s="5" t="str">
        <f ca="1">IFERROR(__xludf.DUMMYFUNCTION("""COMPUTED_VALUE"""),".22 caliber")</f>
        <v>.22 caliber</v>
      </c>
      <c r="D1506" s="5"/>
    </row>
    <row r="1507" spans="1:4" ht="13">
      <c r="A1507" s="5" t="str">
        <f ca="1">IFERROR(__xludf.DUMMYFUNCTION("""COMPUTED_VALUE"""),"20040305CASAL")</f>
        <v>20040305CASAL</v>
      </c>
      <c r="B1507" s="5" t="str">
        <f ca="1">IFERROR(__xludf.DUMMYFUNCTION("""COMPUTED_VALUE"""),"No Data")</f>
        <v>No Data</v>
      </c>
      <c r="C1507" s="5"/>
      <c r="D1507" s="5"/>
    </row>
    <row r="1508" spans="1:4" ht="13">
      <c r="A1508" s="5" t="str">
        <f ca="1">IFERROR(__xludf.DUMMYFUNCTION("""COMPUTED_VALUE"""),"20040220LAGAS")</f>
        <v>20040220LAGAS</v>
      </c>
      <c r="B1508" s="5" t="str">
        <f ca="1">IFERROR(__xludf.DUMMYFUNCTION("""COMPUTED_VALUE"""),"Handgun")</f>
        <v>Handgun</v>
      </c>
      <c r="C1508" s="5" t="str">
        <f ca="1">IFERROR(__xludf.DUMMYFUNCTION("""COMPUTED_VALUE"""),"Unknown")</f>
        <v>Unknown</v>
      </c>
      <c r="D1508" s="5"/>
    </row>
    <row r="1509" spans="1:4" ht="13">
      <c r="A1509" s="5" t="str">
        <f ca="1">IFERROR(__xludf.DUMMYFUNCTION("""COMPUTED_VALUE"""),"20040213OHCOD")</f>
        <v>20040213OHCOD</v>
      </c>
      <c r="B1509" s="5" t="str">
        <f ca="1">IFERROR(__xludf.DUMMYFUNCTION("""COMPUTED_VALUE"""),"Handgun")</f>
        <v>Handgun</v>
      </c>
      <c r="C1509" s="5" t="str">
        <f ca="1">IFERROR(__xludf.DUMMYFUNCTION("""COMPUTED_VALUE"""),"10mm")</f>
        <v>10mm</v>
      </c>
      <c r="D1509" s="5"/>
    </row>
    <row r="1510" spans="1:4" ht="13">
      <c r="A1510" s="5" t="str">
        <f ca="1">IFERROR(__xludf.DUMMYFUNCTION("""COMPUTED_VALUE"""),"20040211PATMP")</f>
        <v>20040211PATMP</v>
      </c>
      <c r="B1510" s="5" t="str">
        <f ca="1">IFERROR(__xludf.DUMMYFUNCTION("""COMPUTED_VALUE"""),"Multiple Unknown")</f>
        <v>Multiple Unknown</v>
      </c>
      <c r="C1510" s="5" t="str">
        <f ca="1">IFERROR(__xludf.DUMMYFUNCTION("""COMPUTED_VALUE"""),"Unknown")</f>
        <v>Unknown</v>
      </c>
      <c r="D1510" s="5"/>
    </row>
    <row r="1511" spans="1:4" ht="13">
      <c r="A1511" s="5" t="str">
        <f ca="1">IFERROR(__xludf.DUMMYFUNCTION("""COMPUTED_VALUE"""),"20040209NYCOE")</f>
        <v>20040209NYCOE</v>
      </c>
      <c r="B1511" s="5" t="str">
        <f ca="1">IFERROR(__xludf.DUMMYFUNCTION("""COMPUTED_VALUE"""),"Shotgun")</f>
        <v>Shotgun</v>
      </c>
      <c r="C1511" s="5" t="str">
        <f ca="1">IFERROR(__xludf.DUMMYFUNCTION("""COMPUTED_VALUE"""),"12 gauge")</f>
        <v>12 gauge</v>
      </c>
      <c r="D1511" s="5"/>
    </row>
    <row r="1512" spans="1:4" ht="13">
      <c r="A1512" s="5" t="str">
        <f ca="1">IFERROR(__xludf.DUMMYFUNCTION("""COMPUTED_VALUE"""),"20040206LAFAS")</f>
        <v>20040206LAFAS</v>
      </c>
      <c r="B1512" s="5" t="str">
        <f ca="1">IFERROR(__xludf.DUMMYFUNCTION("""COMPUTED_VALUE"""),"Handgun")</f>
        <v>Handgun</v>
      </c>
      <c r="C1512" s="5" t="str">
        <f ca="1">IFERROR(__xludf.DUMMYFUNCTION("""COMPUTED_VALUE"""),"Service Weapon")</f>
        <v>Service Weapon</v>
      </c>
      <c r="D1512" s="5"/>
    </row>
    <row r="1513" spans="1:4" ht="13">
      <c r="A1513" s="5" t="str">
        <f ca="1">IFERROR(__xludf.DUMMYFUNCTION("""COMPUTED_VALUE"""),"20040203TXYOH")</f>
        <v>20040203TXYOH</v>
      </c>
      <c r="B1513" s="5" t="str">
        <f ca="1">IFERROR(__xludf.DUMMYFUNCTION("""COMPUTED_VALUE"""),"Handgun")</f>
        <v>Handgun</v>
      </c>
      <c r="C1513" s="5" t="str">
        <f ca="1">IFERROR(__xludf.DUMMYFUNCTION("""COMPUTED_VALUE"""),".38 caliber")</f>
        <v>.38 caliber</v>
      </c>
      <c r="D1513" s="5"/>
    </row>
    <row r="1514" spans="1:4" ht="13">
      <c r="A1514" s="5" t="str">
        <f ca="1">IFERROR(__xludf.DUMMYFUNCTION("""COMPUTED_VALUE"""),"20040202DCBAW")</f>
        <v>20040202DCBAW</v>
      </c>
      <c r="B1514" s="5" t="str">
        <f ca="1">IFERROR(__xludf.DUMMYFUNCTION("""COMPUTED_VALUE"""),"Handgun")</f>
        <v>Handgun</v>
      </c>
      <c r="C1514" s="5" t="str">
        <f ca="1">IFERROR(__xludf.DUMMYFUNCTION("""COMPUTED_VALUE"""),".38 caliber")</f>
        <v>.38 caliber</v>
      </c>
      <c r="D1514" s="5"/>
    </row>
    <row r="1515" spans="1:4" ht="13">
      <c r="A1515" s="5" t="str">
        <f ca="1">IFERROR(__xludf.DUMMYFUNCTION("""COMPUTED_VALUE"""),"20040121NVFAH")</f>
        <v>20040121NVFAH</v>
      </c>
      <c r="B1515" s="5" t="str">
        <f ca="1">IFERROR(__xludf.DUMMYFUNCTION("""COMPUTED_VALUE"""),"Handgun")</f>
        <v>Handgun</v>
      </c>
      <c r="C1515" s="5" t="str">
        <f ca="1">IFERROR(__xludf.DUMMYFUNCTION("""COMPUTED_VALUE"""),"Unknown")</f>
        <v>Unknown</v>
      </c>
      <c r="D1515" s="5"/>
    </row>
    <row r="1516" spans="1:4" ht="13">
      <c r="A1516" s="5" t="str">
        <f ca="1">IFERROR(__xludf.DUMMYFUNCTION("""COMPUTED_VALUE"""),"20040115CAPOP")</f>
        <v>20040115CAPOP</v>
      </c>
      <c r="B1516" s="5" t="str">
        <f ca="1">IFERROR(__xludf.DUMMYFUNCTION("""COMPUTED_VALUE"""),"Handgun")</f>
        <v>Handgun</v>
      </c>
      <c r="C1516" s="5" t="str">
        <f ca="1">IFERROR(__xludf.DUMMYFUNCTION("""COMPUTED_VALUE"""),".22 caliber")</f>
        <v>.22 caliber</v>
      </c>
      <c r="D1516" s="5"/>
    </row>
    <row r="1517" spans="1:4" ht="13">
      <c r="A1517" s="5" t="str">
        <f ca="1">IFERROR(__xludf.DUMMYFUNCTION("""COMPUTED_VALUE"""),"20031229FLABE")</f>
        <v>20031229FLABE</v>
      </c>
      <c r="B1517" s="5" t="str">
        <f ca="1">IFERROR(__xludf.DUMMYFUNCTION("""COMPUTED_VALUE"""),"No Data")</f>
        <v>No Data</v>
      </c>
      <c r="C1517" s="5"/>
      <c r="D1517" s="5"/>
    </row>
    <row r="1518" spans="1:4" ht="13">
      <c r="A1518" s="5" t="str">
        <f ca="1">IFERROR(__xludf.DUMMYFUNCTION("""COMPUTED_VALUE"""),"20031222NJCOW")</f>
        <v>20031222NJCOW</v>
      </c>
      <c r="B1518" s="5" t="str">
        <f ca="1">IFERROR(__xludf.DUMMYFUNCTION("""COMPUTED_VALUE"""),"Handgun")</f>
        <v>Handgun</v>
      </c>
      <c r="C1518" s="5" t="str">
        <f ca="1">IFERROR(__xludf.DUMMYFUNCTION("""COMPUTED_VALUE"""),"9mm")</f>
        <v>9mm</v>
      </c>
      <c r="D1518" s="5"/>
    </row>
    <row r="1519" spans="1:4" ht="13">
      <c r="A1519" s="5" t="str">
        <f ca="1">IFERROR(__xludf.DUMMYFUNCTION("""COMPUTED_VALUE"""),"20031217MDOLM")</f>
        <v>20031217MDOLM</v>
      </c>
      <c r="B1519" s="5" t="str">
        <f ca="1">IFERROR(__xludf.DUMMYFUNCTION("""COMPUTED_VALUE"""),"Handgun")</f>
        <v>Handgun</v>
      </c>
      <c r="C1519" s="5" t="str">
        <f ca="1">IFERROR(__xludf.DUMMYFUNCTION("""COMPUTED_VALUE"""),".38 caliber")</f>
        <v>.38 caliber</v>
      </c>
      <c r="D1519" s="5"/>
    </row>
    <row r="1520" spans="1:4" ht="13">
      <c r="A1520" s="5" t="str">
        <f ca="1">IFERROR(__xludf.DUMMYFUNCTION("""COMPUTED_VALUE"""),"20031205ILCAC")</f>
        <v>20031205ILCAC</v>
      </c>
      <c r="B1520" s="5" t="str">
        <f ca="1">IFERROR(__xludf.DUMMYFUNCTION("""COMPUTED_VALUE"""),"Handgun")</f>
        <v>Handgun</v>
      </c>
      <c r="C1520" s="5" t="str">
        <f ca="1">IFERROR(__xludf.DUMMYFUNCTION("""COMPUTED_VALUE"""),"Unknown")</f>
        <v>Unknown</v>
      </c>
      <c r="D1520" s="5"/>
    </row>
    <row r="1521" spans="1:4" ht="13">
      <c r="A1521" s="5" t="str">
        <f ca="1">IFERROR(__xludf.DUMMYFUNCTION("""COMPUTED_VALUE"""),"20031204OKDOO")</f>
        <v>20031204OKDOO</v>
      </c>
      <c r="B1521" s="5" t="str">
        <f ca="1">IFERROR(__xludf.DUMMYFUNCTION("""COMPUTED_VALUE"""),"Handgun")</f>
        <v>Handgun</v>
      </c>
      <c r="C1521" s="5" t="str">
        <f ca="1">IFERROR(__xludf.DUMMYFUNCTION("""COMPUTED_VALUE"""),"Unknown")</f>
        <v>Unknown</v>
      </c>
      <c r="D1521" s="5"/>
    </row>
    <row r="1522" spans="1:4" ht="13">
      <c r="A1522" s="5" t="str">
        <f ca="1">IFERROR(__xludf.DUMMYFUNCTION("""COMPUTED_VALUE"""),"20031202ILFEC")</f>
        <v>20031202ILFEC</v>
      </c>
      <c r="B1522" s="5" t="str">
        <f ca="1">IFERROR(__xludf.DUMMYFUNCTION("""COMPUTED_VALUE"""),"Handgun")</f>
        <v>Handgun</v>
      </c>
      <c r="C1522" s="5" t="str">
        <f ca="1">IFERROR(__xludf.DUMMYFUNCTION("""COMPUTED_VALUE"""),"Unknown")</f>
        <v>Unknown</v>
      </c>
      <c r="D1522" s="5"/>
    </row>
    <row r="1523" spans="1:4" ht="13">
      <c r="A1523" s="5" t="str">
        <f ca="1">IFERROR(__xludf.DUMMYFUNCTION("""COMPUTED_VALUE"""),"20031113NCEAC")</f>
        <v>20031113NCEAC</v>
      </c>
      <c r="B1523" s="5" t="str">
        <f ca="1">IFERROR(__xludf.DUMMYFUNCTION("""COMPUTED_VALUE"""),"Handgun")</f>
        <v>Handgun</v>
      </c>
      <c r="C1523" s="5" t="str">
        <f ca="1">IFERROR(__xludf.DUMMYFUNCTION("""COMPUTED_VALUE"""),".25 caliber")</f>
        <v>.25 caliber</v>
      </c>
      <c r="D1523" s="5"/>
    </row>
    <row r="1524" spans="1:4" ht="13">
      <c r="A1524" s="5" t="str">
        <f ca="1">IFERROR(__xludf.DUMMYFUNCTION("""COMPUTED_VALUE"""),"20031108TXHIS")</f>
        <v>20031108TXHIS</v>
      </c>
      <c r="B1524" s="5" t="str">
        <f ca="1">IFERROR(__xludf.DUMMYFUNCTION("""COMPUTED_VALUE"""),"Handgun")</f>
        <v>Handgun</v>
      </c>
      <c r="C1524" s="5" t="str">
        <f ca="1">IFERROR(__xludf.DUMMYFUNCTION("""COMPUTED_VALUE"""),".38 caliber")</f>
        <v>.38 caliber</v>
      </c>
      <c r="D1524" s="5"/>
    </row>
    <row r="1525" spans="1:4" ht="13">
      <c r="A1525" s="5" t="str">
        <f ca="1">IFERROR(__xludf.DUMMYFUNCTION("""COMPUTED_VALUE"""),"20031030DCANW")</f>
        <v>20031030DCANW</v>
      </c>
      <c r="B1525" s="5" t="str">
        <f ca="1">IFERROR(__xludf.DUMMYFUNCTION("""COMPUTED_VALUE"""),"Handgun")</f>
        <v>Handgun</v>
      </c>
      <c r="C1525" s="5" t="str">
        <f ca="1">IFERROR(__xludf.DUMMYFUNCTION("""COMPUTED_VALUE"""),"Unknown")</f>
        <v>Unknown</v>
      </c>
      <c r="D1525" s="5"/>
    </row>
    <row r="1526" spans="1:4" ht="13">
      <c r="A1526" s="5" t="str">
        <f ca="1">IFERROR(__xludf.DUMMYFUNCTION("""COMPUTED_VALUE"""),"20031029LAMAM")</f>
        <v>20031029LAMAM</v>
      </c>
      <c r="B1526" s="5" t="str">
        <f ca="1">IFERROR(__xludf.DUMMYFUNCTION("""COMPUTED_VALUE"""),"Handgun")</f>
        <v>Handgun</v>
      </c>
      <c r="C1526" s="5" t="str">
        <f ca="1">IFERROR(__xludf.DUMMYFUNCTION("""COMPUTED_VALUE"""),"Unknown")</f>
        <v>Unknown</v>
      </c>
      <c r="D1526" s="5"/>
    </row>
    <row r="1527" spans="1:4" ht="13">
      <c r="A1527" s="5" t="str">
        <f ca="1">IFERROR(__xludf.DUMMYFUNCTION("""COMPUTED_VALUE"""),"20031007OHKEA")</f>
        <v>20031007OHKEA</v>
      </c>
      <c r="B1527" s="5" t="str">
        <f ca="1">IFERROR(__xludf.DUMMYFUNCTION("""COMPUTED_VALUE"""),"Handgun")</f>
        <v>Handgun</v>
      </c>
      <c r="C1527" s="5" t="str">
        <f ca="1">IFERROR(__xludf.DUMMYFUNCTION("""COMPUTED_VALUE"""),".22 caliber")</f>
        <v>.22 caliber</v>
      </c>
      <c r="D1527" s="5"/>
    </row>
    <row r="1528" spans="1:4" ht="13">
      <c r="A1528" s="5" t="str">
        <f ca="1">IFERROR(__xludf.DUMMYFUNCTION("""COMPUTED_VALUE"""),"20031001CARIS")</f>
        <v>20031001CARIS</v>
      </c>
      <c r="B1528" s="5" t="str">
        <f ca="1">IFERROR(__xludf.DUMMYFUNCTION("""COMPUTED_VALUE"""),"Shotgun")</f>
        <v>Shotgun</v>
      </c>
      <c r="C1528" s="5" t="str">
        <f ca="1">IFERROR(__xludf.DUMMYFUNCTION("""COMPUTED_VALUE"""),"12 gauge")</f>
        <v>12 gauge</v>
      </c>
      <c r="D1528" s="5"/>
    </row>
    <row r="1529" spans="1:4" ht="13">
      <c r="A1529" s="5" t="str">
        <f ca="1">IFERROR(__xludf.DUMMYFUNCTION("""COMPUTED_VALUE"""),"20030925NCBUL")</f>
        <v>20030925NCBUL</v>
      </c>
      <c r="B1529" s="5" t="str">
        <f ca="1">IFERROR(__xludf.DUMMYFUNCTION("""COMPUTED_VALUE"""),"Handgun")</f>
        <v>Handgun</v>
      </c>
      <c r="C1529" s="5" t="str">
        <f ca="1">IFERROR(__xludf.DUMMYFUNCTION("""COMPUTED_VALUE"""),"9mm")</f>
        <v>9mm</v>
      </c>
      <c r="D1529" s="5"/>
    </row>
    <row r="1530" spans="1:4" ht="13">
      <c r="A1530" s="5" t="str">
        <f ca="1">IFERROR(__xludf.DUMMYFUNCTION("""COMPUTED_VALUE"""),"20030924MNROC")</f>
        <v>20030924MNROC</v>
      </c>
      <c r="B1530" s="5" t="str">
        <f ca="1">IFERROR(__xludf.DUMMYFUNCTION("""COMPUTED_VALUE"""),"Handgun")</f>
        <v>Handgun</v>
      </c>
      <c r="C1530" s="5" t="str">
        <f ca="1">IFERROR(__xludf.DUMMYFUNCTION("""COMPUTED_VALUE"""),".22 caliber")</f>
        <v>.22 caliber</v>
      </c>
      <c r="D1530" s="5"/>
    </row>
    <row r="1531" spans="1:4" ht="13">
      <c r="A1531" s="5" t="str">
        <f ca="1">IFERROR(__xludf.DUMMYFUNCTION("""COMPUTED_VALUE"""),"20030922WALES")</f>
        <v>20030922WALES</v>
      </c>
      <c r="B1531" s="5" t="str">
        <f ca="1">IFERROR(__xludf.DUMMYFUNCTION("""COMPUTED_VALUE"""),"Handgun")</f>
        <v>Handgun</v>
      </c>
      <c r="C1531" s="5" t="str">
        <f ca="1">IFERROR(__xludf.DUMMYFUNCTION("""COMPUTED_VALUE"""),"9mm")</f>
        <v>9mm</v>
      </c>
      <c r="D1531" s="5"/>
    </row>
    <row r="1532" spans="1:4" ht="13">
      <c r="A1532" s="5" t="str">
        <f ca="1">IFERROR(__xludf.DUMMYFUNCTION("""COMPUTED_VALUE"""),"20030917MDOKE")</f>
        <v>20030917MDOKE</v>
      </c>
      <c r="B1532" s="5" t="str">
        <f ca="1">IFERROR(__xludf.DUMMYFUNCTION("""COMPUTED_VALUE"""),"Handgun")</f>
        <v>Handgun</v>
      </c>
      <c r="C1532" s="5" t="str">
        <f ca="1">IFERROR(__xludf.DUMMYFUNCTION("""COMPUTED_VALUE"""),".44 caliber")</f>
        <v>.44 caliber</v>
      </c>
      <c r="D1532" s="5"/>
    </row>
    <row r="1533" spans="1:4" ht="13">
      <c r="A1533" s="5" t="str">
        <f ca="1">IFERROR(__xludf.DUMMYFUNCTION("""COMPUTED_VALUE"""),"20030917MACHB")</f>
        <v>20030917MACHB</v>
      </c>
      <c r="B1533" s="5" t="str">
        <f ca="1">IFERROR(__xludf.DUMMYFUNCTION("""COMPUTED_VALUE"""),"Handgun")</f>
        <v>Handgun</v>
      </c>
      <c r="C1533" s="5" t="str">
        <f ca="1">IFERROR(__xludf.DUMMYFUNCTION("""COMPUTED_VALUE"""),"Unknown")</f>
        <v>Unknown</v>
      </c>
      <c r="D1533" s="5"/>
    </row>
    <row r="1534" spans="1:4" ht="13">
      <c r="A1534" s="5" t="str">
        <f ca="1">IFERROR(__xludf.DUMMYFUNCTION("""COMPUTED_VALUE"""),"20030910MSVIV")</f>
        <v>20030910MSVIV</v>
      </c>
      <c r="B1534" s="5" t="str">
        <f ca="1">IFERROR(__xludf.DUMMYFUNCTION("""COMPUTED_VALUE"""),"Handgun")</f>
        <v>Handgun</v>
      </c>
      <c r="C1534" s="5" t="str">
        <f ca="1">IFERROR(__xludf.DUMMYFUNCTION("""COMPUTED_VALUE"""),"Unknown")</f>
        <v>Unknown</v>
      </c>
      <c r="D1534" s="5"/>
    </row>
    <row r="1535" spans="1:4" ht="13">
      <c r="A1535" s="5" t="str">
        <f ca="1">IFERROR(__xludf.DUMMYFUNCTION("""COMPUTED_VALUE"""),"20030513PAFOJ")</f>
        <v>20030513PAFOJ</v>
      </c>
      <c r="B1535" s="5" t="str">
        <f ca="1">IFERROR(__xludf.DUMMYFUNCTION("""COMPUTED_VALUE"""),"No Data")</f>
        <v>No Data</v>
      </c>
      <c r="C1535" s="5"/>
      <c r="D1535" s="5"/>
    </row>
    <row r="1536" spans="1:4" ht="13">
      <c r="A1536" s="5" t="str">
        <f ca="1">IFERROR(__xludf.DUMMYFUNCTION("""COMPUTED_VALUE"""),"20030424PARER")</f>
        <v>20030424PARER</v>
      </c>
      <c r="B1536" s="5" t="str">
        <f ca="1">IFERROR(__xludf.DUMMYFUNCTION("""COMPUTED_VALUE"""),"Multiple Handguns")</f>
        <v>Multiple Handguns</v>
      </c>
      <c r="C1536" s="5" t="str">
        <f ca="1">IFERROR(__xludf.DUMMYFUNCTION("""COMPUTED_VALUE"""),"Unknown")</f>
        <v>Unknown</v>
      </c>
      <c r="D1536" s="5"/>
    </row>
    <row r="1537" spans="1:4" ht="13">
      <c r="A1537" s="5" t="str">
        <f ca="1">IFERROR(__xludf.DUMMYFUNCTION("""COMPUTED_VALUE"""),"20030416TXGRA")</f>
        <v>20030416TXGRA</v>
      </c>
      <c r="B1537" s="5" t="str">
        <f ca="1">IFERROR(__xludf.DUMMYFUNCTION("""COMPUTED_VALUE"""),"No Data")</f>
        <v>No Data</v>
      </c>
      <c r="C1537" s="5"/>
      <c r="D1537" s="5"/>
    </row>
    <row r="1538" spans="1:4" ht="13">
      <c r="A1538" s="5" t="str">
        <f ca="1">IFERROR(__xludf.DUMMYFUNCTION("""COMPUTED_VALUE"""),"20030414LAJON")</f>
        <v>20030414LAJON</v>
      </c>
      <c r="B1538" s="5" t="str">
        <f ca="1">IFERROR(__xludf.DUMMYFUNCTION("""COMPUTED_VALUE"""),"Multiple Rifles")</f>
        <v>Multiple Rifles</v>
      </c>
      <c r="C1538" s="5" t="str">
        <f ca="1">IFERROR(__xludf.DUMMYFUNCTION("""COMPUTED_VALUE"""),"Unknown")</f>
        <v>Unknown</v>
      </c>
      <c r="D1538" s="5"/>
    </row>
    <row r="1539" spans="1:4" ht="13">
      <c r="A1539" s="5" t="str">
        <f ca="1">IFERROR(__xludf.DUMMYFUNCTION("""COMPUTED_VALUE"""),"20030414LAFAS")</f>
        <v>20030414LAFAS</v>
      </c>
      <c r="B1539" s="5" t="str">
        <f ca="1">IFERROR(__xludf.DUMMYFUNCTION("""COMPUTED_VALUE"""),"Handgun")</f>
        <v>Handgun</v>
      </c>
      <c r="C1539" s="5" t="str">
        <f ca="1">IFERROR(__xludf.DUMMYFUNCTION("""COMPUTED_VALUE"""),"Unknown")</f>
        <v>Unknown</v>
      </c>
      <c r="D1539" s="5"/>
    </row>
    <row r="1540" spans="1:4" ht="13">
      <c r="A1540" s="5" t="str">
        <f ca="1">IFERROR(__xludf.DUMMYFUNCTION("""COMPUTED_VALUE"""),"20030410CAWAW")</f>
        <v>20030410CAWAW</v>
      </c>
      <c r="B1540" s="5" t="str">
        <f ca="1">IFERROR(__xludf.DUMMYFUNCTION("""COMPUTED_VALUE"""),"Handgun")</f>
        <v>Handgun</v>
      </c>
      <c r="C1540" s="5"/>
      <c r="D1540" s="5"/>
    </row>
    <row r="1541" spans="1:4" ht="13">
      <c r="A1541" s="5" t="str">
        <f ca="1">IFERROR(__xludf.DUMMYFUNCTION("""COMPUTED_VALUE"""),"20030401DCCAW")</f>
        <v>20030401DCCAW</v>
      </c>
      <c r="B1541" s="5" t="str">
        <f ca="1">IFERROR(__xludf.DUMMYFUNCTION("""COMPUTED_VALUE"""),"Handgun")</f>
        <v>Handgun</v>
      </c>
      <c r="C1541" s="5" t="str">
        <f ca="1">IFERROR(__xludf.DUMMYFUNCTION("""COMPUTED_VALUE"""),".22 caliber")</f>
        <v>.22 caliber</v>
      </c>
      <c r="D1541" s="5"/>
    </row>
    <row r="1542" spans="1:4" ht="13">
      <c r="A1542" s="5" t="str">
        <f ca="1">IFERROR(__xludf.DUMMYFUNCTION("""COMPUTED_VALUE"""),"20030330CAROW")</f>
        <v>20030330CAROW</v>
      </c>
      <c r="B1542" s="5" t="str">
        <f ca="1">IFERROR(__xludf.DUMMYFUNCTION("""COMPUTED_VALUE"""),"Handgun")</f>
        <v>Handgun</v>
      </c>
      <c r="C1542" s="5" t="str">
        <f ca="1">IFERROR(__xludf.DUMMYFUNCTION("""COMPUTED_VALUE"""),"Unknown")</f>
        <v>Unknown</v>
      </c>
      <c r="D1542" s="5"/>
    </row>
    <row r="1543" spans="1:4" ht="13">
      <c r="A1543" s="5" t="str">
        <f ca="1">IFERROR(__xludf.DUMMYFUNCTION("""COMPUTED_VALUE"""),"20030321MSNOM")</f>
        <v>20030321MSNOM</v>
      </c>
      <c r="B1543" s="5" t="str">
        <f ca="1">IFERROR(__xludf.DUMMYFUNCTION("""COMPUTED_VALUE"""),"Handgun")</f>
        <v>Handgun</v>
      </c>
      <c r="C1543" s="5" t="str">
        <f ca="1">IFERROR(__xludf.DUMMYFUNCTION("""COMPUTED_VALUE"""),"Unknown")</f>
        <v>Unknown</v>
      </c>
      <c r="D1543" s="5"/>
    </row>
    <row r="1544" spans="1:4" ht="13">
      <c r="A1544" s="5" t="str">
        <f ca="1">IFERROR(__xludf.DUMMYFUNCTION("""COMPUTED_VALUE"""),"20030318IACLG")</f>
        <v>20030318IACLG</v>
      </c>
      <c r="B1544" s="5" t="str">
        <f ca="1">IFERROR(__xludf.DUMMYFUNCTION("""COMPUTED_VALUE"""),"Rifle")</f>
        <v>Rifle</v>
      </c>
      <c r="C1544" s="5" t="str">
        <f ca="1">IFERROR(__xludf.DUMMYFUNCTION("""COMPUTED_VALUE"""),".22 caliber")</f>
        <v>.22 caliber</v>
      </c>
      <c r="D1544" s="5"/>
    </row>
    <row r="1545" spans="1:4" ht="13">
      <c r="A1545" s="5" t="str">
        <f ca="1">IFERROR(__xludf.DUMMYFUNCTION("""COMPUTED_VALUE"""),"20030205CORAW")</f>
        <v>20030205CORAW</v>
      </c>
      <c r="B1545" s="5" t="str">
        <f ca="1">IFERROR(__xludf.DUMMYFUNCTION("""COMPUTED_VALUE"""),"Handgun")</f>
        <v>Handgun</v>
      </c>
      <c r="C1545" s="5" t="str">
        <f ca="1">IFERROR(__xludf.DUMMYFUNCTION("""COMPUTED_VALUE"""),"Unknown")</f>
        <v>Unknown</v>
      </c>
      <c r="D1545" s="5"/>
    </row>
    <row r="1546" spans="1:4" ht="13">
      <c r="A1546" s="5" t="str">
        <f ca="1">IFERROR(__xludf.DUMMYFUNCTION("""COMPUTED_VALUE"""),"20030130OKJEJ")</f>
        <v>20030130OKJEJ</v>
      </c>
      <c r="B1546" s="5" t="str">
        <f ca="1">IFERROR(__xludf.DUMMYFUNCTION("""COMPUTED_VALUE"""),"Handgun")</f>
        <v>Handgun</v>
      </c>
      <c r="C1546" s="5" t="str">
        <f ca="1">IFERROR(__xludf.DUMMYFUNCTION("""COMPUTED_VALUE"""),"9mm")</f>
        <v>9mm</v>
      </c>
      <c r="D1546" s="5"/>
    </row>
    <row r="1547" spans="1:4" ht="13">
      <c r="A1547" s="5" t="str">
        <f ca="1">IFERROR(__xludf.DUMMYFUNCTION("""COMPUTED_VALUE"""),"20030121KYWEO")</f>
        <v>20030121KYWEO</v>
      </c>
      <c r="B1547" s="5" t="str">
        <f ca="1">IFERROR(__xludf.DUMMYFUNCTION("""COMPUTED_VALUE"""),"Handgun")</f>
        <v>Handgun</v>
      </c>
      <c r="C1547" s="5" t="str">
        <f ca="1">IFERROR(__xludf.DUMMYFUNCTION("""COMPUTED_VALUE"""),"Unknown")</f>
        <v>Unknown</v>
      </c>
      <c r="D1547" s="5"/>
    </row>
    <row r="1548" spans="1:4" ht="13">
      <c r="A1548" s="5" t="str">
        <f ca="1">IFERROR(__xludf.DUMMYFUNCTION("""COMPUTED_VALUE"""),"20021216ILENC")</f>
        <v>20021216ILENC</v>
      </c>
      <c r="B1548" s="5" t="str">
        <f ca="1">IFERROR(__xludf.DUMMYFUNCTION("""COMPUTED_VALUE"""),"Handgun")</f>
        <v>Handgun</v>
      </c>
      <c r="C1548" s="5" t="str">
        <f ca="1">IFERROR(__xludf.DUMMYFUNCTION("""COMPUTED_VALUE"""),"Unknown")</f>
        <v>Unknown</v>
      </c>
      <c r="D1548" s="5"/>
    </row>
    <row r="1549" spans="1:4" ht="13">
      <c r="A1549" s="5" t="str">
        <f ca="1">IFERROR(__xludf.DUMMYFUNCTION("""COMPUTED_VALUE"""),"20021212WAWIC")</f>
        <v>20021212WAWIC</v>
      </c>
      <c r="B1549" s="5" t="str">
        <f ca="1">IFERROR(__xludf.DUMMYFUNCTION("""COMPUTED_VALUE"""),"Rifle")</f>
        <v>Rifle</v>
      </c>
      <c r="C1549" s="5" t="str">
        <f ca="1">IFERROR(__xludf.DUMMYFUNCTION("""COMPUTED_VALUE"""),"Unknown")</f>
        <v>Unknown</v>
      </c>
      <c r="D1549" s="5"/>
    </row>
    <row r="1550" spans="1:4" ht="13">
      <c r="A1550" s="5" t="str">
        <f ca="1">IFERROR(__xludf.DUMMYFUNCTION("""COMPUTED_VALUE"""),"20021202MIOSD")</f>
        <v>20021202MIOSD</v>
      </c>
      <c r="B1550" s="5" t="str">
        <f ca="1">IFERROR(__xludf.DUMMYFUNCTION("""COMPUTED_VALUE"""),"Handgun")</f>
        <v>Handgun</v>
      </c>
      <c r="C1550" s="5" t="str">
        <f ca="1">IFERROR(__xludf.DUMMYFUNCTION("""COMPUTED_VALUE"""),"9mm")</f>
        <v>9mm</v>
      </c>
      <c r="D1550" s="5"/>
    </row>
    <row r="1551" spans="1:4" ht="13">
      <c r="A1551" s="5" t="str">
        <f ca="1">IFERROR(__xludf.DUMMYFUNCTION("""COMPUTED_VALUE"""),"20021115TXSCS")</f>
        <v>20021115TXSCS</v>
      </c>
      <c r="B1551" s="5" t="str">
        <f ca="1">IFERROR(__xludf.DUMMYFUNCTION("""COMPUTED_VALUE"""),"Shotgun")</f>
        <v>Shotgun</v>
      </c>
      <c r="C1551" s="5" t="str">
        <f ca="1">IFERROR(__xludf.DUMMYFUNCTION("""COMPUTED_VALUE"""),"Unknown")</f>
        <v>Unknown</v>
      </c>
      <c r="D1551" s="5"/>
    </row>
    <row r="1552" spans="1:4" ht="13">
      <c r="A1552" s="5" t="str">
        <f ca="1">IFERROR(__xludf.DUMMYFUNCTION("""COMPUTED_VALUE"""),"20021115CAAML")</f>
        <v>20021115CAAML</v>
      </c>
      <c r="B1552" s="5" t="str">
        <f ca="1">IFERROR(__xludf.DUMMYFUNCTION("""COMPUTED_VALUE"""),"No Data")</f>
        <v>No Data</v>
      </c>
      <c r="C1552" s="5"/>
      <c r="D1552" s="5"/>
    </row>
    <row r="1553" spans="1:4" ht="13">
      <c r="A1553" s="5" t="str">
        <f ca="1">IFERROR(__xludf.DUMMYFUNCTION("""COMPUTED_VALUE"""),"20021107MOSTL")</f>
        <v>20021107MOSTL</v>
      </c>
      <c r="B1553" s="5" t="str">
        <f ca="1">IFERROR(__xludf.DUMMYFUNCTION("""COMPUTED_VALUE"""),"Handgun")</f>
        <v>Handgun</v>
      </c>
      <c r="C1553" s="5" t="str">
        <f ca="1">IFERROR(__xludf.DUMMYFUNCTION("""COMPUTED_VALUE"""),"Unknown")</f>
        <v>Unknown</v>
      </c>
      <c r="D1553" s="5"/>
    </row>
    <row r="1554" spans="1:4" ht="13">
      <c r="A1554" s="5" t="str">
        <f ca="1">IFERROR(__xludf.DUMMYFUNCTION("""COMPUTED_VALUE"""),"20021029NJLIJ")</f>
        <v>20021029NJLIJ</v>
      </c>
      <c r="B1554" s="5" t="str">
        <f ca="1">IFERROR(__xludf.DUMMYFUNCTION("""COMPUTED_VALUE"""),"Handgun")</f>
        <v>Handgun</v>
      </c>
      <c r="C1554" s="5" t="str">
        <f ca="1">IFERROR(__xludf.DUMMYFUNCTION("""COMPUTED_VALUE"""),".38 caliber")</f>
        <v>.38 caliber</v>
      </c>
      <c r="D1554" s="5"/>
    </row>
    <row r="1555" spans="1:4" ht="13">
      <c r="A1555" s="5" t="str">
        <f ca="1">IFERROR(__xludf.DUMMYFUNCTION("""COMPUTED_VALUE"""),"20021007MDBEB")</f>
        <v>20021007MDBEB</v>
      </c>
      <c r="B1555" s="5" t="str">
        <f ca="1">IFERROR(__xludf.DUMMYFUNCTION("""COMPUTED_VALUE"""),"Rifle")</f>
        <v>Rifle</v>
      </c>
      <c r="C1555" s="5" t="str">
        <f ca="1">IFERROR(__xludf.DUMMYFUNCTION("""COMPUTED_VALUE"""),".223 caliber")</f>
        <v>.223 caliber</v>
      </c>
      <c r="D1555" s="5"/>
    </row>
    <row r="1556" spans="1:4" ht="13">
      <c r="A1556" s="5" t="str">
        <f ca="1">IFERROR(__xludf.DUMMYFUNCTION("""COMPUTED_VALUE"""),"20021004TXPAS")</f>
        <v>20021004TXPAS</v>
      </c>
      <c r="B1556" s="5" t="str">
        <f ca="1">IFERROR(__xludf.DUMMYFUNCTION("""COMPUTED_VALUE"""),"Handgun")</f>
        <v>Handgun</v>
      </c>
      <c r="C1556" s="5" t="str">
        <f ca="1">IFERROR(__xludf.DUMMYFUNCTION("""COMPUTED_VALUE"""),"9mm")</f>
        <v>9mm</v>
      </c>
      <c r="D1556" s="5"/>
    </row>
    <row r="1557" spans="1:4" ht="13">
      <c r="A1557" s="5" t="str">
        <f ca="1">IFERROR(__xludf.DUMMYFUNCTION("""COMPUTED_VALUE"""),"20021004MTCMG")</f>
        <v>20021004MTCMG</v>
      </c>
      <c r="B1557" s="5" t="str">
        <f ca="1">IFERROR(__xludf.DUMMYFUNCTION("""COMPUTED_VALUE"""),"Handgun")</f>
        <v>Handgun</v>
      </c>
      <c r="C1557" s="5" t="str">
        <f ca="1">IFERROR(__xludf.DUMMYFUNCTION("""COMPUTED_VALUE"""),"Unknown")</f>
        <v>Unknown</v>
      </c>
      <c r="D1557" s="5"/>
    </row>
    <row r="1558" spans="1:4" ht="13">
      <c r="A1558" s="5" t="str">
        <f ca="1">IFERROR(__xludf.DUMMYFUNCTION("""COMPUTED_VALUE"""),"20020426LAABN")</f>
        <v>20020426LAABN</v>
      </c>
      <c r="B1558" s="5" t="str">
        <f ca="1">IFERROR(__xludf.DUMMYFUNCTION("""COMPUTED_VALUE"""),"Handgun")</f>
        <v>Handgun</v>
      </c>
      <c r="C1558" s="5" t="str">
        <f ca="1">IFERROR(__xludf.DUMMYFUNCTION("""COMPUTED_VALUE"""),"9mm")</f>
        <v>9mm</v>
      </c>
      <c r="D1558" s="5"/>
    </row>
    <row r="1559" spans="1:4" ht="13">
      <c r="A1559" s="5" t="str">
        <f ca="1">IFERROR(__xludf.DUMMYFUNCTION("""COMPUTED_VALUE"""),"20020406MDLEB")</f>
        <v>20020406MDLEB</v>
      </c>
      <c r="B1559" s="5" t="str">
        <f ca="1">IFERROR(__xludf.DUMMYFUNCTION("""COMPUTED_VALUE"""),"Handgun")</f>
        <v>Handgun</v>
      </c>
      <c r="C1559" s="5" t="str">
        <f ca="1">IFERROR(__xludf.DUMMYFUNCTION("""COMPUTED_VALUE"""),"Service Weapon")</f>
        <v>Service Weapon</v>
      </c>
      <c r="D1559" s="5"/>
    </row>
    <row r="1560" spans="1:4" ht="13">
      <c r="A1560" s="5" t="str">
        <f ca="1">IFERROR(__xludf.DUMMYFUNCTION("""COMPUTED_VALUE"""),"20020322CAJOC")</f>
        <v>20020322CAJOC</v>
      </c>
      <c r="B1560" s="5" t="str">
        <f ca="1">IFERROR(__xludf.DUMMYFUNCTION("""COMPUTED_VALUE"""),"Handgun")</f>
        <v>Handgun</v>
      </c>
      <c r="C1560" s="5" t="str">
        <f ca="1">IFERROR(__xludf.DUMMYFUNCTION("""COMPUTED_VALUE"""),".22 caliber")</f>
        <v>.22 caliber</v>
      </c>
      <c r="D1560" s="5"/>
    </row>
    <row r="1561" spans="1:4" ht="13">
      <c r="A1561" s="5" t="str">
        <f ca="1">IFERROR(__xludf.DUMMYFUNCTION("""COMPUTED_VALUE"""),"20020207ILROC")</f>
        <v>20020207ILROC</v>
      </c>
      <c r="B1561" s="5" t="str">
        <f ca="1">IFERROR(__xludf.DUMMYFUNCTION("""COMPUTED_VALUE"""),"Handgun")</f>
        <v>Handgun</v>
      </c>
      <c r="C1561" s="5" t="str">
        <f ca="1">IFERROR(__xludf.DUMMYFUNCTION("""COMPUTED_VALUE"""),".38 caliber")</f>
        <v>.38 caliber</v>
      </c>
      <c r="D1561" s="5"/>
    </row>
    <row r="1562" spans="1:4" ht="13">
      <c r="A1562" s="5" t="str">
        <f ca="1">IFERROR(__xludf.DUMMYFUNCTION("""COMPUTED_VALUE"""),"20020206CAGAL")</f>
        <v>20020206CAGAL</v>
      </c>
      <c r="B1562" s="5" t="str">
        <f ca="1">IFERROR(__xludf.DUMMYFUNCTION("""COMPUTED_VALUE"""),"Handgun")</f>
        <v>Handgun</v>
      </c>
      <c r="C1562" s="5" t="str">
        <f ca="1">IFERROR(__xludf.DUMMYFUNCTION("""COMPUTED_VALUE"""),"Unknown")</f>
        <v>Unknown</v>
      </c>
      <c r="D1562" s="5"/>
    </row>
    <row r="1563" spans="1:4" ht="13">
      <c r="A1563" s="5" t="str">
        <f ca="1">IFERROR(__xludf.DUMMYFUNCTION("""COMPUTED_VALUE"""),"20020201TXBRB")</f>
        <v>20020201TXBRB</v>
      </c>
      <c r="B1563" s="5" t="str">
        <f ca="1">IFERROR(__xludf.DUMMYFUNCTION("""COMPUTED_VALUE"""),"Handgun")</f>
        <v>Handgun</v>
      </c>
      <c r="C1563" s="5" t="str">
        <f ca="1">IFERROR(__xludf.DUMMYFUNCTION("""COMPUTED_VALUE"""),".22 caliber")</f>
        <v>.22 caliber</v>
      </c>
      <c r="D1563" s="5"/>
    </row>
    <row r="1564" spans="1:4" ht="13">
      <c r="A1564" s="5" t="str">
        <f ca="1">IFERROR(__xludf.DUMMYFUNCTION("""COMPUTED_VALUE"""),"20020124PAOLO")</f>
        <v>20020124PAOLO</v>
      </c>
      <c r="B1564" s="5" t="str">
        <f ca="1">IFERROR(__xludf.DUMMYFUNCTION("""COMPUTED_VALUE"""),"Rifle")</f>
        <v>Rifle</v>
      </c>
      <c r="C1564" s="5" t="str">
        <f ca="1">IFERROR(__xludf.DUMMYFUNCTION("""COMPUTED_VALUE"""),"Unknown")</f>
        <v>Unknown</v>
      </c>
      <c r="D1564" s="5"/>
    </row>
    <row r="1565" spans="1:4" ht="13">
      <c r="A1565" s="5" t="str">
        <f ca="1">IFERROR(__xludf.DUMMYFUNCTION("""COMPUTED_VALUE"""),"20020115NYMAN")</f>
        <v>20020115NYMAN</v>
      </c>
      <c r="B1565" s="5" t="str">
        <f ca="1">IFERROR(__xludf.DUMMYFUNCTION("""COMPUTED_VALUE"""),"Handgun")</f>
        <v>Handgun</v>
      </c>
      <c r="C1565" s="5" t="str">
        <f ca="1">IFERROR(__xludf.DUMMYFUNCTION("""COMPUTED_VALUE"""),".38 caliber")</f>
        <v>.38 caliber</v>
      </c>
      <c r="D1565" s="5"/>
    </row>
    <row r="1566" spans="1:4" ht="13">
      <c r="A1566" s="5" t="str">
        <f ca="1">IFERROR(__xludf.DUMMYFUNCTION("""COMPUTED_VALUE"""),"20020111MSRAJ")</f>
        <v>20020111MSRAJ</v>
      </c>
      <c r="B1566" s="5" t="str">
        <f ca="1">IFERROR(__xludf.DUMMYFUNCTION("""COMPUTED_VALUE"""),"No Data")</f>
        <v>No Data</v>
      </c>
      <c r="C1566" s="5"/>
      <c r="D1566" s="5"/>
    </row>
    <row r="1567" spans="1:4" ht="13">
      <c r="A1567" s="5" t="str">
        <f ca="1">IFERROR(__xludf.DUMMYFUNCTION("""COMPUTED_VALUE"""),"20011130TXFRF")</f>
        <v>20011130TXFRF</v>
      </c>
      <c r="B1567" s="5" t="str">
        <f ca="1">IFERROR(__xludf.DUMMYFUNCTION("""COMPUTED_VALUE"""),"Handgun")</f>
        <v>Handgun</v>
      </c>
      <c r="C1567" s="5" t="str">
        <f ca="1">IFERROR(__xludf.DUMMYFUNCTION("""COMPUTED_VALUE"""),".357 caliber")</f>
        <v>.357 caliber</v>
      </c>
      <c r="D1567" s="5"/>
    </row>
    <row r="1568" spans="1:4" ht="13">
      <c r="A1568" s="5" t="str">
        <f ca="1">IFERROR(__xludf.DUMMYFUNCTION("""COMPUTED_VALUE"""),"20011112MICAC")</f>
        <v>20011112MICAC</v>
      </c>
      <c r="B1568" s="5" t="str">
        <f ca="1">IFERROR(__xludf.DUMMYFUNCTION("""COMPUTED_VALUE"""),"Multiple Unknown")</f>
        <v>Multiple Unknown</v>
      </c>
      <c r="C1568" s="5" t="str">
        <f ca="1">IFERROR(__xludf.DUMMYFUNCTION("""COMPUTED_VALUE"""),"Unknown")</f>
        <v>Unknown</v>
      </c>
      <c r="D1568" s="5"/>
    </row>
    <row r="1569" spans="1:4" ht="13">
      <c r="A1569" s="5" t="str">
        <f ca="1">IFERROR(__xludf.DUMMYFUNCTION("""COMPUTED_VALUE"""),"20011026MIBES")</f>
        <v>20011026MIBES</v>
      </c>
      <c r="B1569" s="5" t="str">
        <f ca="1">IFERROR(__xludf.DUMMYFUNCTION("""COMPUTED_VALUE"""),"Handgun")</f>
        <v>Handgun</v>
      </c>
      <c r="C1569" s="5" t="str">
        <f ca="1">IFERROR(__xludf.DUMMYFUNCTION("""COMPUTED_VALUE"""),"Unknown")</f>
        <v>Unknown</v>
      </c>
      <c r="D1569" s="5"/>
    </row>
    <row r="1570" spans="1:4" ht="13">
      <c r="A1570" s="5" t="str">
        <f ca="1">IFERROR(__xludf.DUMMYFUNCTION("""COMPUTED_VALUE"""),"20011026CARER")</f>
        <v>20011026CARER</v>
      </c>
      <c r="B1570" s="5" t="str">
        <f ca="1">IFERROR(__xludf.DUMMYFUNCTION("""COMPUTED_VALUE"""),"Handgun")</f>
        <v>Handgun</v>
      </c>
      <c r="C1570" s="5" t="str">
        <f ca="1">IFERROR(__xludf.DUMMYFUNCTION("""COMPUTED_VALUE"""),".38 caliber")</f>
        <v>.38 caliber</v>
      </c>
      <c r="D1570" s="5"/>
    </row>
    <row r="1571" spans="1:4" ht="13">
      <c r="A1571" s="5" t="str">
        <f ca="1">IFERROR(__xludf.DUMMYFUNCTION("""COMPUTED_VALUE"""),"20011012UTTAT")</f>
        <v>20011012UTTAT</v>
      </c>
      <c r="B1571" s="5" t="str">
        <f ca="1">IFERROR(__xludf.DUMMYFUNCTION("""COMPUTED_VALUE"""),"Handgun")</f>
        <v>Handgun</v>
      </c>
      <c r="C1571" s="5" t="str">
        <f ca="1">IFERROR(__xludf.DUMMYFUNCTION("""COMPUTED_VALUE"""),"Unknown")</f>
        <v>Unknown</v>
      </c>
      <c r="D1571" s="5"/>
    </row>
    <row r="1572" spans="1:4" ht="13">
      <c r="A1572" s="5" t="str">
        <f ca="1">IFERROR(__xludf.DUMMYFUNCTION("""COMPUTED_VALUE"""),"20010921MDLAB")</f>
        <v>20010921MDLAB</v>
      </c>
      <c r="B1572" s="5" t="str">
        <f ca="1">IFERROR(__xludf.DUMMYFUNCTION("""COMPUTED_VALUE"""),"Handgun")</f>
        <v>Handgun</v>
      </c>
      <c r="C1572" s="5" t="str">
        <f ca="1">IFERROR(__xludf.DUMMYFUNCTION("""COMPUTED_VALUE"""),"Unknown")</f>
        <v>Unknown</v>
      </c>
      <c r="D1572" s="5"/>
    </row>
    <row r="1573" spans="1:4" ht="13">
      <c r="A1573" s="5" t="str">
        <f ca="1">IFERROR(__xludf.DUMMYFUNCTION("""COMPUTED_VALUE"""),"20010912KYLAC")</f>
        <v>20010912KYLAC</v>
      </c>
      <c r="B1573" s="5" t="str">
        <f ca="1">IFERROR(__xludf.DUMMYFUNCTION("""COMPUTED_VALUE"""),"Handgun")</f>
        <v>Handgun</v>
      </c>
      <c r="C1573" s="5" t="str">
        <f ca="1">IFERROR(__xludf.DUMMYFUNCTION("""COMPUTED_VALUE"""),".38 caliber")</f>
        <v>.38 caliber</v>
      </c>
      <c r="D1573" s="5"/>
    </row>
    <row r="1574" spans="1:4" ht="13">
      <c r="A1574" s="5" t="str">
        <f ca="1">IFERROR(__xludf.DUMMYFUNCTION("""COMPUTED_VALUE"""),"20010730CABEL")</f>
        <v>20010730CABEL</v>
      </c>
      <c r="B1574" s="5" t="str">
        <f ca="1">IFERROR(__xludf.DUMMYFUNCTION("""COMPUTED_VALUE"""),"Handgun")</f>
        <v>Handgun</v>
      </c>
      <c r="C1574" s="5" t="str">
        <f ca="1">IFERROR(__xludf.DUMMYFUNCTION("""COMPUTED_VALUE"""),"Unknown")</f>
        <v>Unknown</v>
      </c>
      <c r="D1574" s="5"/>
    </row>
    <row r="1575" spans="1:4" ht="13">
      <c r="A1575" s="5" t="str">
        <f ca="1">IFERROR(__xludf.DUMMYFUNCTION("""COMPUTED_VALUE"""),"20010607TXOUA")</f>
        <v>20010607TXOUA</v>
      </c>
      <c r="B1575" s="5" t="str">
        <f ca="1">IFERROR(__xludf.DUMMYFUNCTION("""COMPUTED_VALUE"""),"Handgun")</f>
        <v>Handgun</v>
      </c>
      <c r="C1575" s="5" t="str">
        <f ca="1">IFERROR(__xludf.DUMMYFUNCTION("""COMPUTED_VALUE"""),"Service Weapon")</f>
        <v>Service Weapon</v>
      </c>
      <c r="D1575" s="5"/>
    </row>
    <row r="1576" spans="1:4" ht="13">
      <c r="A1576" s="5" t="str">
        <f ca="1">IFERROR(__xludf.DUMMYFUNCTION("""COMPUTED_VALUE"""),"20010515TXENE")</f>
        <v>20010515TXENE</v>
      </c>
      <c r="B1576" s="5" t="str">
        <f ca="1">IFERROR(__xludf.DUMMYFUNCTION("""COMPUTED_VALUE"""),"Handgun")</f>
        <v>Handgun</v>
      </c>
      <c r="C1576" s="5" t="str">
        <f ca="1">IFERROR(__xludf.DUMMYFUNCTION("""COMPUTED_VALUE"""),".357 caliber")</f>
        <v>.357 caliber</v>
      </c>
      <c r="D1576" s="5"/>
    </row>
    <row r="1577" spans="1:4" ht="13">
      <c r="A1577" s="5" t="str">
        <f ca="1">IFERROR(__xludf.DUMMYFUNCTION("""COMPUTED_VALUE"""),"20010425OHJOC")</f>
        <v>20010425OHJOC</v>
      </c>
      <c r="B1577" s="5" t="str">
        <f ca="1">IFERROR(__xludf.DUMMYFUNCTION("""COMPUTED_VALUE"""),"No Data")</f>
        <v>No Data</v>
      </c>
      <c r="C1577" s="5"/>
      <c r="D1577" s="5"/>
    </row>
    <row r="1578" spans="1:4" ht="13">
      <c r="A1578" s="5" t="str">
        <f ca="1">IFERROR(__xludf.DUMMYFUNCTION("""COMPUTED_VALUE"""),"20010420LAMOM")</f>
        <v>20010420LAMOM</v>
      </c>
      <c r="B1578" s="5" t="str">
        <f ca="1">IFERROR(__xludf.DUMMYFUNCTION("""COMPUTED_VALUE"""),"Handgun")</f>
        <v>Handgun</v>
      </c>
      <c r="C1578" s="5" t="str">
        <f ca="1">IFERROR(__xludf.DUMMYFUNCTION("""COMPUTED_VALUE"""),".38 caliber")</f>
        <v>.38 caliber</v>
      </c>
      <c r="D1578" s="5"/>
    </row>
    <row r="1579" spans="1:4" ht="13">
      <c r="A1579" s="5" t="str">
        <f ca="1">IFERROR(__xludf.DUMMYFUNCTION("""COMPUTED_VALUE"""),"20010410WAWAM")</f>
        <v>20010410WAWAM</v>
      </c>
      <c r="B1579" s="5" t="str">
        <f ca="1">IFERROR(__xludf.DUMMYFUNCTION("""COMPUTED_VALUE"""),"Rifle")</f>
        <v>Rifle</v>
      </c>
      <c r="C1579" s="5" t="str">
        <f ca="1">IFERROR(__xludf.DUMMYFUNCTION("""COMPUTED_VALUE"""),"Unknown")</f>
        <v>Unknown</v>
      </c>
      <c r="D1579" s="5"/>
    </row>
    <row r="1580" spans="1:4" ht="13">
      <c r="A1580" s="5" t="str">
        <f ca="1">IFERROR(__xludf.DUMMYFUNCTION("""COMPUTED_VALUE"""),"20010402TXKLH")</f>
        <v>20010402TXKLH</v>
      </c>
      <c r="B1580" s="5" t="str">
        <f ca="1">IFERROR(__xludf.DUMMYFUNCTION("""COMPUTED_VALUE"""),"Handgun")</f>
        <v>Handgun</v>
      </c>
      <c r="C1580" s="5" t="str">
        <f ca="1">IFERROR(__xludf.DUMMYFUNCTION("""COMPUTED_VALUE"""),".22 caliber")</f>
        <v>.22 caliber</v>
      </c>
      <c r="D1580" s="5"/>
    </row>
    <row r="1581" spans="1:4" ht="13">
      <c r="A1581" s="5" t="str">
        <f ca="1">IFERROR(__xludf.DUMMYFUNCTION("""COMPUTED_VALUE"""),"20010330INLEG")</f>
        <v>20010330INLEG</v>
      </c>
      <c r="B1581" s="5" t="str">
        <f ca="1">IFERROR(__xludf.DUMMYFUNCTION("""COMPUTED_VALUE"""),"Handgun")</f>
        <v>Handgun</v>
      </c>
      <c r="C1581" s="5" t="str">
        <f ca="1">IFERROR(__xludf.DUMMYFUNCTION("""COMPUTED_VALUE"""),"Unknown")</f>
        <v>Unknown</v>
      </c>
      <c r="D1581" s="5"/>
    </row>
    <row r="1582" spans="1:4" ht="13">
      <c r="A1582" s="5" t="str">
        <f ca="1">IFERROR(__xludf.DUMMYFUNCTION("""COMPUTED_VALUE"""),"20010322CAGRE")</f>
        <v>20010322CAGRE</v>
      </c>
      <c r="B1582" s="5" t="str">
        <f ca="1">IFERROR(__xludf.DUMMYFUNCTION("""COMPUTED_VALUE"""),"Multiple Unknown")</f>
        <v>Multiple Unknown</v>
      </c>
      <c r="C1582" s="5" t="str">
        <f ca="1">IFERROR(__xludf.DUMMYFUNCTION("""COMPUTED_VALUE"""),"Unknown")</f>
        <v>Unknown</v>
      </c>
      <c r="D1582" s="5"/>
    </row>
    <row r="1583" spans="1:4" ht="13">
      <c r="A1583" s="5" t="str">
        <f ca="1">IFERROR(__xludf.DUMMYFUNCTION("""COMPUTED_VALUE"""),"20010307WAKEC")</f>
        <v>20010307WAKEC</v>
      </c>
      <c r="B1583" s="5" t="str">
        <f ca="1">IFERROR(__xludf.DUMMYFUNCTION("""COMPUTED_VALUE"""),"Handgun")</f>
        <v>Handgun</v>
      </c>
      <c r="C1583" s="5" t="str">
        <f ca="1">IFERROR(__xludf.DUMMYFUNCTION("""COMPUTED_VALUE"""),"Unknown")</f>
        <v>Unknown</v>
      </c>
      <c r="D1583" s="5"/>
    </row>
    <row r="1584" spans="1:4" ht="13">
      <c r="A1584" s="5" t="str">
        <f ca="1">IFERROR(__xludf.DUMMYFUNCTION("""COMPUTED_VALUE"""),"20010307PABIW")</f>
        <v>20010307PABIW</v>
      </c>
      <c r="B1584" s="5" t="str">
        <f ca="1">IFERROR(__xludf.DUMMYFUNCTION("""COMPUTED_VALUE"""),"Handgun")</f>
        <v>Handgun</v>
      </c>
      <c r="C1584" s="5" t="str">
        <f ca="1">IFERROR(__xludf.DUMMYFUNCTION("""COMPUTED_VALUE"""),".22 caliber")</f>
        <v>.22 caliber</v>
      </c>
      <c r="D1584" s="5"/>
    </row>
    <row r="1585" spans="1:4" ht="13">
      <c r="A1585" s="5" t="str">
        <f ca="1">IFERROR(__xludf.DUMMYFUNCTION("""COMPUTED_VALUE"""),"20010306MDLAL")</f>
        <v>20010306MDLAL</v>
      </c>
      <c r="B1585" s="5" t="str">
        <f ca="1">IFERROR(__xludf.DUMMYFUNCTION("""COMPUTED_VALUE"""),"Handgun")</f>
        <v>Handgun</v>
      </c>
      <c r="C1585" s="5" t="str">
        <f ca="1">IFERROR(__xludf.DUMMYFUNCTION("""COMPUTED_VALUE"""),"Unknown")</f>
        <v>Unknown</v>
      </c>
      <c r="D1585" s="5"/>
    </row>
    <row r="1586" spans="1:4" ht="13">
      <c r="A1586" s="5" t="str">
        <f ca="1">IFERROR(__xludf.DUMMYFUNCTION("""COMPUTED_VALUE"""),"20010305CASAS")</f>
        <v>20010305CASAS</v>
      </c>
      <c r="B1586" s="5" t="str">
        <f ca="1">IFERROR(__xludf.DUMMYFUNCTION("""COMPUTED_VALUE"""),"Handgun")</f>
        <v>Handgun</v>
      </c>
      <c r="C1586" s="5" t="str">
        <f ca="1">IFERROR(__xludf.DUMMYFUNCTION("""COMPUTED_VALUE"""),".22 caliber")</f>
        <v>.22 caliber</v>
      </c>
      <c r="D1586" s="5"/>
    </row>
    <row r="1587" spans="1:4" ht="13">
      <c r="A1587" s="5" t="str">
        <f ca="1">IFERROR(__xludf.DUMMYFUNCTION("""COMPUTED_VALUE"""),"20010302CAHOS")</f>
        <v>20010302CAHOS</v>
      </c>
      <c r="B1587" s="5" t="str">
        <f ca="1">IFERROR(__xludf.DUMMYFUNCTION("""COMPUTED_VALUE"""),"No Data")</f>
        <v>No Data</v>
      </c>
      <c r="C1587" s="5"/>
      <c r="D1587" s="5"/>
    </row>
    <row r="1588" spans="1:4" ht="13">
      <c r="A1588" s="5" t="str">
        <f ca="1">IFERROR(__xludf.DUMMYFUNCTION("""COMPUTED_VALUE"""),"20010202MIOSD")</f>
        <v>20010202MIOSD</v>
      </c>
      <c r="B1588" s="5" t="str">
        <f ca="1">IFERROR(__xludf.DUMMYFUNCTION("""COMPUTED_VALUE"""),"No Data")</f>
        <v>No Data</v>
      </c>
      <c r="C1588" s="5"/>
      <c r="D1588" s="5"/>
    </row>
    <row r="1589" spans="1:4" ht="13">
      <c r="A1589" s="5" t="str">
        <f ca="1">IFERROR(__xludf.DUMMYFUNCTION("""COMPUTED_VALUE"""),"20010117MDLAB")</f>
        <v>20010117MDLAB</v>
      </c>
      <c r="B1589" s="5" t="str">
        <f ca="1">IFERROR(__xludf.DUMMYFUNCTION("""COMPUTED_VALUE"""),"Handgun")</f>
        <v>Handgun</v>
      </c>
      <c r="C1589" s="5" t="str">
        <f ca="1">IFERROR(__xludf.DUMMYFUNCTION("""COMPUTED_VALUE"""),".32 caliber")</f>
        <v>.32 caliber</v>
      </c>
      <c r="D1589" s="5"/>
    </row>
    <row r="1590" spans="1:4" ht="13">
      <c r="A1590" s="5" t="str">
        <f ca="1">IFERROR(__xludf.DUMMYFUNCTION("""COMPUTED_VALUE"""),"20010110CAHUO")</f>
        <v>20010110CAHUO</v>
      </c>
      <c r="B1590" s="5" t="str">
        <f ca="1">IFERROR(__xludf.DUMMYFUNCTION("""COMPUTED_VALUE"""),"Handgun")</f>
        <v>Handgun</v>
      </c>
      <c r="C1590" s="5" t="str">
        <f ca="1">IFERROR(__xludf.DUMMYFUNCTION("""COMPUTED_VALUE"""),"Unknown")</f>
        <v>Unknown</v>
      </c>
      <c r="D1590" s="5"/>
    </row>
    <row r="1591" spans="1:4" ht="13">
      <c r="A1591" s="5" t="str">
        <f ca="1">IFERROR(__xludf.DUMMYFUNCTION("""COMPUTED_VALUE"""),"20010103CABAS")</f>
        <v>20010103CABAS</v>
      </c>
      <c r="B1591" s="5" t="str">
        <f ca="1">IFERROR(__xludf.DUMMYFUNCTION("""COMPUTED_VALUE"""),"Handgun")</f>
        <v>Handgun</v>
      </c>
      <c r="C1591" s="5" t="str">
        <f ca="1">IFERROR(__xludf.DUMMYFUNCTION("""COMPUTED_VALUE"""),".38 caliber")</f>
        <v>.38 caliber</v>
      </c>
      <c r="D1591" s="5"/>
    </row>
    <row r="1592" spans="1:4" ht="13">
      <c r="A1592" s="5" t="str">
        <f ca="1">IFERROR(__xludf.DUMMYFUNCTION("""COMPUTED_VALUE"""),"20001221FLNOM")</f>
        <v>20001221FLNOM</v>
      </c>
      <c r="B1592" s="5" t="str">
        <f ca="1">IFERROR(__xludf.DUMMYFUNCTION("""COMPUTED_VALUE"""),"No Data")</f>
        <v>No Data</v>
      </c>
      <c r="C1592" s="5"/>
      <c r="D1592" s="5"/>
    </row>
    <row r="1593" spans="1:4" ht="13">
      <c r="A1593" s="5" t="str">
        <f ca="1">IFERROR(__xludf.DUMMYFUNCTION("""COMPUTED_VALUE"""),"20001207CARIR")</f>
        <v>20001207CARIR</v>
      </c>
      <c r="B1593" s="5" t="str">
        <f ca="1">IFERROR(__xludf.DUMMYFUNCTION("""COMPUTED_VALUE"""),"No Data")</f>
        <v>No Data</v>
      </c>
      <c r="C1593" s="5"/>
      <c r="D1593" s="5"/>
    </row>
    <row r="1594" spans="1:4" ht="13">
      <c r="A1594" s="5" t="str">
        <f ca="1">IFERROR(__xludf.DUMMYFUNCTION("""COMPUTED_VALUE"""),"20001201CAJUS")</f>
        <v>20001201CAJUS</v>
      </c>
      <c r="B1594" s="5" t="str">
        <f ca="1">IFERROR(__xludf.DUMMYFUNCTION("""COMPUTED_VALUE"""),"No Data")</f>
        <v>No Data</v>
      </c>
      <c r="C1594" s="5"/>
      <c r="D1594" s="5"/>
    </row>
    <row r="1595" spans="1:4" ht="13">
      <c r="A1595" s="5" t="str">
        <f ca="1">IFERROR(__xludf.DUMMYFUNCTION("""COMPUTED_VALUE"""),"20001201CAGRL")</f>
        <v>20001201CAGRL</v>
      </c>
      <c r="B1595" s="5" t="str">
        <f ca="1">IFERROR(__xludf.DUMMYFUNCTION("""COMPUTED_VALUE"""),"Handgun")</f>
        <v>Handgun</v>
      </c>
      <c r="C1595" s="5" t="str">
        <f ca="1">IFERROR(__xludf.DUMMYFUNCTION("""COMPUTED_VALUE"""),".38 caliber")</f>
        <v>.38 caliber</v>
      </c>
      <c r="D1595" s="5"/>
    </row>
    <row r="1596" spans="1:4" ht="13">
      <c r="A1596" s="5" t="str">
        <f ca="1">IFERROR(__xludf.DUMMYFUNCTION("""COMPUTED_VALUE"""),"20001101TXNEC")</f>
        <v>20001101TXNEC</v>
      </c>
      <c r="B1596" s="5" t="str">
        <f ca="1">IFERROR(__xludf.DUMMYFUNCTION("""COMPUTED_VALUE"""),"Handgun")</f>
        <v>Handgun</v>
      </c>
      <c r="C1596" s="5" t="str">
        <f ca="1">IFERROR(__xludf.DUMMYFUNCTION("""COMPUTED_VALUE"""),"9mm")</f>
        <v>9mm</v>
      </c>
      <c r="D1596" s="5"/>
    </row>
    <row r="1597" spans="1:4" ht="13">
      <c r="A1597" s="5" t="str">
        <f ca="1">IFERROR(__xludf.DUMMYFUNCTION("""COMPUTED_VALUE"""),"20001024AZPIG")</f>
        <v>20001024AZPIG</v>
      </c>
      <c r="B1597" s="5" t="str">
        <f ca="1">IFERROR(__xludf.DUMMYFUNCTION("""COMPUTED_VALUE"""),"Handgun")</f>
        <v>Handgun</v>
      </c>
      <c r="C1597" s="5" t="str">
        <f ca="1">IFERROR(__xludf.DUMMYFUNCTION("""COMPUTED_VALUE"""),"9mm")</f>
        <v>9mm</v>
      </c>
      <c r="D1597" s="5"/>
    </row>
    <row r="1598" spans="1:4" ht="13">
      <c r="A1598" s="5" t="str">
        <f ca="1">IFERROR(__xludf.DUMMYFUNCTION("""COMPUTED_VALUE"""),"20001005MNMIM")</f>
        <v>20001005MNMIM</v>
      </c>
      <c r="B1598" s="5" t="str">
        <f ca="1">IFERROR(__xludf.DUMMYFUNCTION("""COMPUTED_VALUE"""),"No Data")</f>
        <v>No Data</v>
      </c>
      <c r="C1598" s="5"/>
      <c r="D1598" s="5"/>
    </row>
    <row r="1599" spans="1:4" ht="13">
      <c r="A1599" s="5" t="str">
        <f ca="1">IFERROR(__xludf.DUMMYFUNCTION("""COMPUTED_VALUE"""),"20000926LACAN")</f>
        <v>20000926LACAN</v>
      </c>
      <c r="B1599" s="5" t="str">
        <f ca="1">IFERROR(__xludf.DUMMYFUNCTION("""COMPUTED_VALUE"""),"Handgun")</f>
        <v>Handgun</v>
      </c>
      <c r="C1599" s="5" t="str">
        <f ca="1">IFERROR(__xludf.DUMMYFUNCTION("""COMPUTED_VALUE"""),".38 caliber")</f>
        <v>.38 caliber</v>
      </c>
      <c r="D1599" s="5"/>
    </row>
    <row r="1600" spans="1:4" ht="13">
      <c r="A1600" s="5" t="str">
        <f ca="1">IFERROR(__xludf.DUMMYFUNCTION("""COMPUTED_VALUE"""),"20000918OHMOM")</f>
        <v>20000918OHMOM</v>
      </c>
      <c r="B1600" s="5" t="str">
        <f ca="1">IFERROR(__xludf.DUMMYFUNCTION("""COMPUTED_VALUE"""),"Handgun")</f>
        <v>Handgun</v>
      </c>
      <c r="C1600" s="5" t="str">
        <f ca="1">IFERROR(__xludf.DUMMYFUNCTION("""COMPUTED_VALUE"""),".38 caliber")</f>
        <v>.38 caliber</v>
      </c>
      <c r="D1600" s="5"/>
    </row>
    <row r="1601" spans="1:4" ht="13">
      <c r="A1601" s="5" t="str">
        <f ca="1">IFERROR(__xludf.DUMMYFUNCTION("""COMPUTED_VALUE"""),"20000907ILLOR")</f>
        <v>20000907ILLOR</v>
      </c>
      <c r="B1601" s="5" t="str">
        <f ca="1">IFERROR(__xludf.DUMMYFUNCTION("""COMPUTED_VALUE"""),"Handgun")</f>
        <v>Handgun</v>
      </c>
      <c r="C1601" s="5" t="str">
        <f ca="1">IFERROR(__xludf.DUMMYFUNCTION("""COMPUTED_VALUE"""),"Unknown")</f>
        <v>Unknown</v>
      </c>
      <c r="D1601" s="5"/>
    </row>
    <row r="1602" spans="1:4" ht="13">
      <c r="A1602" s="5" t="str">
        <f ca="1">IFERROR(__xludf.DUMMYFUNCTION("""COMPUTED_VALUE"""),"20000905OHBIB")</f>
        <v>20000905OHBIB</v>
      </c>
      <c r="B1602" s="5" t="str">
        <f ca="1">IFERROR(__xludf.DUMMYFUNCTION("""COMPUTED_VALUE"""),"No Data")</f>
        <v>No Data</v>
      </c>
      <c r="C1602" s="5"/>
      <c r="D1602" s="5"/>
    </row>
    <row r="1603" spans="1:4" ht="13">
      <c r="A1603" s="5" t="str">
        <f ca="1">IFERROR(__xludf.DUMMYFUNCTION("""COMPUTED_VALUE"""),"20000726OHTIC")</f>
        <v>20000726OHTIC</v>
      </c>
      <c r="B1603" s="5" t="str">
        <f ca="1">IFERROR(__xludf.DUMMYFUNCTION("""COMPUTED_VALUE"""),"No Data")</f>
        <v>No Data</v>
      </c>
      <c r="C1603" s="5"/>
      <c r="D1603" s="5"/>
    </row>
    <row r="1604" spans="1:4" ht="13">
      <c r="A1604" s="5" t="str">
        <f ca="1">IFERROR(__xludf.DUMMYFUNCTION("""COMPUTED_VALUE"""),"20000717WADIR")</f>
        <v>20000717WADIR</v>
      </c>
      <c r="B1604" s="5" t="str">
        <f ca="1">IFERROR(__xludf.DUMMYFUNCTION("""COMPUTED_VALUE"""),"Handgun")</f>
        <v>Handgun</v>
      </c>
      <c r="C1604" s="5" t="str">
        <f ca="1">IFERROR(__xludf.DUMMYFUNCTION("""COMPUTED_VALUE"""),".22 caliber")</f>
        <v>.22 caliber</v>
      </c>
      <c r="D1604" s="5"/>
    </row>
    <row r="1605" spans="1:4" ht="13">
      <c r="A1605" s="5" t="str">
        <f ca="1">IFERROR(__xludf.DUMMYFUNCTION("""COMPUTED_VALUE"""),"20000526FLLAL")</f>
        <v>20000526FLLAL</v>
      </c>
      <c r="B1605" s="5" t="str">
        <f ca="1">IFERROR(__xludf.DUMMYFUNCTION("""COMPUTED_VALUE"""),"Handgun")</f>
        <v>Handgun</v>
      </c>
      <c r="C1605" s="5" t="str">
        <f ca="1">IFERROR(__xludf.DUMMYFUNCTION("""COMPUTED_VALUE"""),".25 caliber")</f>
        <v>.25 caliber</v>
      </c>
      <c r="D1605" s="5"/>
    </row>
    <row r="1606" spans="1:4" ht="13">
      <c r="A1606" s="5" t="str">
        <f ca="1">IFERROR(__xludf.DUMMYFUNCTION("""COMPUTED_VALUE"""),"20000510AZCAS")</f>
        <v>20000510AZCAS</v>
      </c>
      <c r="B1606" s="5" t="str">
        <f ca="1">IFERROR(__xludf.DUMMYFUNCTION("""COMPUTED_VALUE"""),"Handgun")</f>
        <v>Handgun</v>
      </c>
      <c r="C1606" s="5" t="str">
        <f ca="1">IFERROR(__xludf.DUMMYFUNCTION("""COMPUTED_VALUE"""),"Unknown")</f>
        <v>Unknown</v>
      </c>
      <c r="D1606" s="5"/>
    </row>
    <row r="1607" spans="1:4" ht="13">
      <c r="A1607" s="5" t="str">
        <f ca="1">IFERROR(__xludf.DUMMYFUNCTION("""COMPUTED_VALUE"""),"20000502COTHD")</f>
        <v>20000502COTHD</v>
      </c>
      <c r="B1607" s="5" t="str">
        <f ca="1">IFERROR(__xludf.DUMMYFUNCTION("""COMPUTED_VALUE"""),"No Data")</f>
        <v>No Data</v>
      </c>
      <c r="C1607" s="5"/>
      <c r="D1607" s="5"/>
    </row>
    <row r="1608" spans="1:4" ht="13">
      <c r="A1608" s="5" t="str">
        <f ca="1">IFERROR(__xludf.DUMMYFUNCTION("""COMPUTED_VALUE"""),"20000410AZLAT")</f>
        <v>20000410AZLAT</v>
      </c>
      <c r="B1608" s="5" t="str">
        <f ca="1">IFERROR(__xludf.DUMMYFUNCTION("""COMPUTED_VALUE"""),"Handgun")</f>
        <v>Handgun</v>
      </c>
      <c r="C1608" s="5" t="str">
        <f ca="1">IFERROR(__xludf.DUMMYFUNCTION("""COMPUTED_VALUE"""),".38 caliber")</f>
        <v>.38 caliber</v>
      </c>
      <c r="D1608" s="5"/>
    </row>
    <row r="1609" spans="1:4" ht="13">
      <c r="A1609" s="5" t="str">
        <f ca="1">IFERROR(__xludf.DUMMYFUNCTION("""COMPUTED_VALUE"""),"20000406OKHUH")</f>
        <v>20000406OKHUH</v>
      </c>
      <c r="B1609" s="5" t="str">
        <f ca="1">IFERROR(__xludf.DUMMYFUNCTION("""COMPUTED_VALUE"""),"Handgun")</f>
        <v>Handgun</v>
      </c>
      <c r="C1609" s="5" t="str">
        <f ca="1">IFERROR(__xludf.DUMMYFUNCTION("""COMPUTED_VALUE"""),".38 caliber")</f>
        <v>.38 caliber</v>
      </c>
      <c r="D1609" s="5"/>
    </row>
    <row r="1610" spans="1:4" ht="13">
      <c r="A1610" s="5" t="str">
        <f ca="1">IFERROR(__xludf.DUMMYFUNCTION("""COMPUTED_VALUE"""),"20000323OHMCL")</f>
        <v>20000323OHMCL</v>
      </c>
      <c r="B1610" s="5" t="str">
        <f ca="1">IFERROR(__xludf.DUMMYFUNCTION("""COMPUTED_VALUE"""),"Handgun")</f>
        <v>Handgun</v>
      </c>
      <c r="C1610" s="5" t="str">
        <f ca="1">IFERROR(__xludf.DUMMYFUNCTION("""COMPUTED_VALUE"""),"9mm")</f>
        <v>9mm</v>
      </c>
      <c r="D1610" s="5"/>
    </row>
    <row r="1611" spans="1:4" ht="13">
      <c r="A1611" s="5" t="str">
        <f ca="1">IFERROR(__xludf.DUMMYFUNCTION("""COMPUTED_VALUE"""),"20000310GABES")</f>
        <v>20000310GABES</v>
      </c>
      <c r="B1611" s="5" t="str">
        <f ca="1">IFERROR(__xludf.DUMMYFUNCTION("""COMPUTED_VALUE"""),"No Data")</f>
        <v>No Data</v>
      </c>
      <c r="C1611" s="5"/>
      <c r="D1611" s="5"/>
    </row>
    <row r="1612" spans="1:4" ht="13">
      <c r="A1612" s="5" t="str">
        <f ca="1">IFERROR(__xludf.DUMMYFUNCTION("""COMPUTED_VALUE"""),"20000229MIBUF")</f>
        <v>20000229MIBUF</v>
      </c>
      <c r="B1612" s="5" t="str">
        <f ca="1">IFERROR(__xludf.DUMMYFUNCTION("""COMPUTED_VALUE"""),"Handgun")</f>
        <v>Handgun</v>
      </c>
      <c r="C1612" s="5" t="str">
        <f ca="1">IFERROR(__xludf.DUMMYFUNCTION("""COMPUTED_VALUE"""),".32 caliber")</f>
        <v>.32 caliber</v>
      </c>
      <c r="D1612" s="5"/>
    </row>
    <row r="1613" spans="1:4" ht="13">
      <c r="A1613" s="5" t="str">
        <f ca="1">IFERROR(__xludf.DUMMYFUNCTION("""COMPUTED_VALUE"""),"20000214ILDUC")</f>
        <v>20000214ILDUC</v>
      </c>
      <c r="B1613" s="5" t="str">
        <f ca="1">IFERROR(__xludf.DUMMYFUNCTION("""COMPUTED_VALUE"""),"Handgun")</f>
        <v>Handgun</v>
      </c>
      <c r="C1613" s="5" t="str">
        <f ca="1">IFERROR(__xludf.DUMMYFUNCTION("""COMPUTED_VALUE"""),"Unknown")</f>
        <v>Unknown</v>
      </c>
      <c r="D1613" s="5"/>
    </row>
    <row r="1614" spans="1:4" ht="13">
      <c r="A1614" s="5" t="str">
        <f ca="1">IFERROR(__xludf.DUMMYFUNCTION("""COMPUTED_VALUE"""),"20000210PAPEY")</f>
        <v>20000210PAPEY</v>
      </c>
      <c r="B1614" s="5" t="str">
        <f ca="1">IFERROR(__xludf.DUMMYFUNCTION("""COMPUTED_VALUE"""),"Handgun")</f>
        <v>Handgun</v>
      </c>
      <c r="C1614" s="5" t="str">
        <f ca="1">IFERROR(__xludf.DUMMYFUNCTION("""COMPUTED_VALUE"""),"Unknown")</f>
        <v>Unknown</v>
      </c>
      <c r="D1614" s="5"/>
    </row>
    <row r="1615" spans="1:4" ht="13">
      <c r="A1615" s="5" t="str">
        <f ca="1">IFERROR(__xludf.DUMMYFUNCTION("""COMPUTED_VALUE"""),"20000126NESOO")</f>
        <v>20000126NESOO</v>
      </c>
      <c r="B1615" s="5" t="str">
        <f ca="1">IFERROR(__xludf.DUMMYFUNCTION("""COMPUTED_VALUE"""),"No Data")</f>
        <v>No Data</v>
      </c>
      <c r="C1615" s="5"/>
      <c r="D1615" s="5"/>
    </row>
    <row r="1616" spans="1:4" ht="13">
      <c r="A1616" s="5" t="str">
        <f ca="1">IFERROR(__xludf.DUMMYFUNCTION("""COMPUTED_VALUE"""),"20000126CAALM")</f>
        <v>20000126CAALM</v>
      </c>
      <c r="B1616" s="5" t="str">
        <f ca="1">IFERROR(__xludf.DUMMYFUNCTION("""COMPUTED_VALUE"""),"Handgun")</f>
        <v>Handgun</v>
      </c>
      <c r="C1616" s="5" t="str">
        <f ca="1">IFERROR(__xludf.DUMMYFUNCTION("""COMPUTED_VALUE"""),".22 caliber")</f>
        <v>.22 caliber</v>
      </c>
      <c r="D1616" s="5"/>
    </row>
    <row r="1617" spans="1:4" ht="13">
      <c r="A1617" s="5" t="str">
        <f ca="1">IFERROR(__xludf.DUMMYFUNCTION("""COMPUTED_VALUE"""),"20000120NCERA")</f>
        <v>20000120NCERA</v>
      </c>
      <c r="B1617" s="5" t="str">
        <f ca="1">IFERROR(__xludf.DUMMYFUNCTION("""COMPUTED_VALUE"""),"Rifle")</f>
        <v>Rifle</v>
      </c>
      <c r="C1617" s="5" t="str">
        <f ca="1">IFERROR(__xludf.DUMMYFUNCTION("""COMPUTED_VALUE"""),".27 caliber")</f>
        <v>.27 caliber</v>
      </c>
      <c r="D1617" s="5"/>
    </row>
    <row r="1618" spans="1:4" ht="13">
      <c r="A1618" s="5" t="str">
        <f ca="1">IFERROR(__xludf.DUMMYFUNCTION("""COMPUTED_VALUE"""),"20000119FLRIN")</f>
        <v>20000119FLRIN</v>
      </c>
      <c r="B1618" s="5" t="str">
        <f ca="1">IFERROR(__xludf.DUMMYFUNCTION("""COMPUTED_VALUE"""),"Handgun")</f>
        <v>Handgun</v>
      </c>
      <c r="C1618" s="5" t="str">
        <f ca="1">IFERROR(__xludf.DUMMYFUNCTION("""COMPUTED_VALUE"""),".22 caliber")</f>
        <v>.22 caliber</v>
      </c>
      <c r="D1618" s="5"/>
    </row>
    <row r="1619" spans="1:4" ht="13">
      <c r="A1619" s="5" t="str">
        <f ca="1">IFERROR(__xludf.DUMMYFUNCTION("""COMPUTED_VALUE"""),"20000113NMALA")</f>
        <v>20000113NMALA</v>
      </c>
      <c r="B1619" s="5" t="str">
        <f ca="1">IFERROR(__xludf.DUMMYFUNCTION("""COMPUTED_VALUE"""),"Handgun")</f>
        <v>Handgun</v>
      </c>
      <c r="C1619" s="5" t="str">
        <f ca="1">IFERROR(__xludf.DUMMYFUNCTION("""COMPUTED_VALUE"""),".22 caliber")</f>
        <v>.22 caliber</v>
      </c>
      <c r="D1619" s="5"/>
    </row>
    <row r="1620" spans="1:4" ht="13">
      <c r="A1620" s="5" t="str">
        <f ca="1">IFERROR(__xludf.DUMMYFUNCTION("""COMPUTED_VALUE"""),"20000110AKBAA")</f>
        <v>20000110AKBAA</v>
      </c>
      <c r="B1620" s="5" t="str">
        <f ca="1">IFERROR(__xludf.DUMMYFUNCTION("""COMPUTED_VALUE"""),"Handgun")</f>
        <v>Handgun</v>
      </c>
      <c r="C1620" s="5" t="str">
        <f ca="1">IFERROR(__xludf.DUMMYFUNCTION("""COMPUTED_VALUE"""),"Unknown")</f>
        <v>Unknown</v>
      </c>
      <c r="D1620" s="5"/>
    </row>
    <row r="1621" spans="1:4" ht="13">
      <c r="A1621" s="5" t="str">
        <f ca="1">IFERROR(__xludf.DUMMYFUNCTION("""COMPUTED_VALUE"""),"19991206OKFOF")</f>
        <v>19991206OKFOF</v>
      </c>
      <c r="B1621" s="5" t="str">
        <f ca="1">IFERROR(__xludf.DUMMYFUNCTION("""COMPUTED_VALUE"""),"Handgun")</f>
        <v>Handgun</v>
      </c>
      <c r="C1621" s="5" t="str">
        <f ca="1">IFERROR(__xludf.DUMMYFUNCTION("""COMPUTED_VALUE"""),"9mm")</f>
        <v>9mm</v>
      </c>
      <c r="D1621" s="5"/>
    </row>
    <row r="1622" spans="1:4" ht="13">
      <c r="A1622" s="5" t="str">
        <f ca="1">IFERROR(__xludf.DUMMYFUNCTION("""COMPUTED_VALUE"""),"19991119NMDED")</f>
        <v>19991119NMDED</v>
      </c>
      <c r="B1622" s="5" t="str">
        <f ca="1">IFERROR(__xludf.DUMMYFUNCTION("""COMPUTED_VALUE"""),"Handgun")</f>
        <v>Handgun</v>
      </c>
      <c r="C1622" s="5" t="str">
        <f ca="1">IFERROR(__xludf.DUMMYFUNCTION("""COMPUTED_VALUE"""),".22 caliber")</f>
        <v>.22 caliber</v>
      </c>
      <c r="D1622" s="5"/>
    </row>
    <row r="1623" spans="1:4" ht="13">
      <c r="A1623" s="5" t="str">
        <f ca="1">IFERROR(__xludf.DUMMYFUNCTION("""COMPUTED_VALUE"""),"19991117TXDID")</f>
        <v>19991117TXDID</v>
      </c>
      <c r="B1623" s="5" t="str">
        <f ca="1">IFERROR(__xludf.DUMMYFUNCTION("""COMPUTED_VALUE"""),"Rifle")</f>
        <v>Rifle</v>
      </c>
      <c r="C1623" s="5" t="str">
        <f ca="1">IFERROR(__xludf.DUMMYFUNCTION("""COMPUTED_VALUE"""),".22 caliber")</f>
        <v>.22 caliber</v>
      </c>
      <c r="D1623" s="5"/>
    </row>
    <row r="1624" spans="1:4" ht="13">
      <c r="A1624" s="5" t="str">
        <f ca="1">IFERROR(__xludf.DUMMYFUNCTION("""COMPUTED_VALUE"""),"19991026WVGUB")</f>
        <v>19991026WVGUB</v>
      </c>
      <c r="B1624" s="5" t="str">
        <f ca="1">IFERROR(__xludf.DUMMYFUNCTION("""COMPUTED_VALUE"""),"No Data")</f>
        <v>No Data</v>
      </c>
      <c r="C1624" s="5"/>
      <c r="D1624" s="5"/>
    </row>
    <row r="1625" spans="1:4" ht="13">
      <c r="A1625" s="5" t="str">
        <f ca="1">IFERROR(__xludf.DUMMYFUNCTION("""COMPUTED_VALUE"""),"19991026PAMAP")</f>
        <v>19991026PAMAP</v>
      </c>
      <c r="B1625" s="5" t="str">
        <f ca="1">IFERROR(__xludf.DUMMYFUNCTION("""COMPUTED_VALUE"""),"No Data")</f>
        <v>No Data</v>
      </c>
      <c r="C1625" s="5"/>
      <c r="D1625" s="5"/>
    </row>
    <row r="1626" spans="1:4" ht="13">
      <c r="A1626" s="5" t="str">
        <f ca="1">IFERROR(__xludf.DUMMYFUNCTION("""COMPUTED_VALUE"""),"19991021CASAP")</f>
        <v>19991021CASAP</v>
      </c>
      <c r="B1626" s="5" t="str">
        <f ca="1">IFERROR(__xludf.DUMMYFUNCTION("""COMPUTED_VALUE"""),"Handgun")</f>
        <v>Handgun</v>
      </c>
      <c r="C1626" s="5" t="str">
        <f ca="1">IFERROR(__xludf.DUMMYFUNCTION("""COMPUTED_VALUE"""),"Unknown")</f>
        <v>Unknown</v>
      </c>
      <c r="D1626" s="5"/>
    </row>
    <row r="1627" spans="1:4" ht="13">
      <c r="A1627" s="5" t="str">
        <f ca="1">IFERROR(__xludf.DUMMYFUNCTION("""COMPUTED_VALUE"""),"19991011NVCLL")</f>
        <v>19991011NVCLL</v>
      </c>
      <c r="B1627" s="5" t="str">
        <f ca="1">IFERROR(__xludf.DUMMYFUNCTION("""COMPUTED_VALUE"""),"Handgun")</f>
        <v>Handgun</v>
      </c>
      <c r="C1627" s="5" t="str">
        <f ca="1">IFERROR(__xludf.DUMMYFUNCTION("""COMPUTED_VALUE"""),".357 caliber")</f>
        <v>.357 caliber</v>
      </c>
      <c r="D1627" s="5"/>
    </row>
    <row r="1628" spans="1:4" ht="13">
      <c r="A1628" s="5" t="str">
        <f ca="1">IFERROR(__xludf.DUMMYFUNCTION("""COMPUTED_VALUE"""),"19991004SDJOP")</f>
        <v>19991004SDJOP</v>
      </c>
      <c r="B1628" s="5" t="str">
        <f ca="1">IFERROR(__xludf.DUMMYFUNCTION("""COMPUTED_VALUE"""),"Handgun")</f>
        <v>Handgun</v>
      </c>
      <c r="C1628" s="5" t="str">
        <f ca="1">IFERROR(__xludf.DUMMYFUNCTION("""COMPUTED_VALUE"""),".25 caliber")</f>
        <v>.25 caliber</v>
      </c>
      <c r="D1628" s="5"/>
    </row>
    <row r="1629" spans="1:4" ht="13">
      <c r="A1629" s="5" t="str">
        <f ca="1">IFERROR(__xludf.DUMMYFUNCTION("""COMPUTED_VALUE"""),"19990927FLEGT")</f>
        <v>19990927FLEGT</v>
      </c>
      <c r="B1629" s="5" t="str">
        <f ca="1">IFERROR(__xludf.DUMMYFUNCTION("""COMPUTED_VALUE"""),"Unknown")</f>
        <v>Unknown</v>
      </c>
      <c r="C1629" s="5" t="str">
        <f ca="1">IFERROR(__xludf.DUMMYFUNCTION("""COMPUTED_VALUE"""),".22 caliber")</f>
        <v>.22 caliber</v>
      </c>
      <c r="D1629" s="5"/>
    </row>
    <row r="1630" spans="1:4" ht="13">
      <c r="A1630" s="5" t="str">
        <f ca="1">IFERROR(__xludf.DUMMYFUNCTION("""COMPUTED_VALUE"""),"19990909CASAS")</f>
        <v>19990909CASAS</v>
      </c>
      <c r="B1630" s="5" t="str">
        <f ca="1">IFERROR(__xludf.DUMMYFUNCTION("""COMPUTED_VALUE"""),"Handgun")</f>
        <v>Handgun</v>
      </c>
      <c r="C1630" s="5" t="str">
        <f ca="1">IFERROR(__xludf.DUMMYFUNCTION("""COMPUTED_VALUE"""),"Unknown")</f>
        <v>Unknown</v>
      </c>
      <c r="D1630" s="5"/>
    </row>
    <row r="1631" spans="1:4" ht="13">
      <c r="A1631" s="5" t="str">
        <f ca="1">IFERROR(__xludf.DUMMYFUNCTION("""COMPUTED_VALUE"""),"19990825GAJAM")</f>
        <v>19990825GAJAM</v>
      </c>
      <c r="B1631" s="5" t="str">
        <f ca="1">IFERROR(__xludf.DUMMYFUNCTION("""COMPUTED_VALUE"""),"No Data")</f>
        <v>No Data</v>
      </c>
      <c r="C1631" s="5"/>
      <c r="D1631" s="5"/>
    </row>
    <row r="1632" spans="1:4" ht="13">
      <c r="A1632" s="5" t="str">
        <f ca="1">IFERROR(__xludf.DUMMYFUNCTION("""COMPUTED_VALUE"""),"19990520GAHEC")</f>
        <v>19990520GAHEC</v>
      </c>
      <c r="B1632" s="5" t="str">
        <f ca="1">IFERROR(__xludf.DUMMYFUNCTION("""COMPUTED_VALUE"""),"Handgun")</f>
        <v>Handgun</v>
      </c>
      <c r="C1632" s="5" t="str">
        <f ca="1">IFERROR(__xludf.DUMMYFUNCTION("""COMPUTED_VALUE"""),".357 caliber")</f>
        <v>.357 caliber</v>
      </c>
      <c r="D1632" s="5" t="str">
        <f ca="1">IFERROR(__xludf.DUMMYFUNCTION("""COMPUTED_VALUE"""),".357 pistol, .22 rifle")</f>
        <v>.357 pistol, .22 rifle</v>
      </c>
    </row>
    <row r="1633" spans="1:4" ht="13">
      <c r="A1633" s="5" t="str">
        <f ca="1">IFERROR(__xludf.DUMMYFUNCTION("""COMPUTED_VALUE"""),"19990520GAHEC")</f>
        <v>19990520GAHEC</v>
      </c>
      <c r="B1633" s="5" t="str">
        <f ca="1">IFERROR(__xludf.DUMMYFUNCTION("""COMPUTED_VALUE"""),"Rifle")</f>
        <v>Rifle</v>
      </c>
      <c r="C1633" s="5" t="str">
        <f ca="1">IFERROR(__xludf.DUMMYFUNCTION("""COMPUTED_VALUE"""),".22 caliber")</f>
        <v>.22 caliber</v>
      </c>
      <c r="D1633" s="5" t="str">
        <f ca="1">IFERROR(__xludf.DUMMYFUNCTION("""COMPUTED_VALUE"""),".357 pistol, .22 rifle")</f>
        <v>.357 pistol, .22 rifle</v>
      </c>
    </row>
    <row r="1634" spans="1:4" ht="13">
      <c r="A1634" s="5" t="str">
        <f ca="1">IFERROR(__xludf.DUMMYFUNCTION("""COMPUTED_VALUE"""),"19990422LASCB")</f>
        <v>19990422LASCB</v>
      </c>
      <c r="B1634" s="5" t="str">
        <f ca="1">IFERROR(__xludf.DUMMYFUNCTION("""COMPUTED_VALUE"""),"Handgun")</f>
        <v>Handgun</v>
      </c>
      <c r="C1634" s="5" t="str">
        <f ca="1">IFERROR(__xludf.DUMMYFUNCTION("""COMPUTED_VALUE"""),".22 caliber")</f>
        <v>.22 caliber</v>
      </c>
      <c r="D1634" s="5"/>
    </row>
    <row r="1635" spans="1:4" ht="13">
      <c r="A1635" s="5" t="str">
        <f ca="1">IFERROR(__xludf.DUMMYFUNCTION("""COMPUTED_VALUE"""),"19990422GAMAA")</f>
        <v>19990422GAMAA</v>
      </c>
      <c r="B1635" s="5" t="str">
        <f ca="1">IFERROR(__xludf.DUMMYFUNCTION("""COMPUTED_VALUE"""),"Handgun")</f>
        <v>Handgun</v>
      </c>
      <c r="C1635" s="5" t="str">
        <f ca="1">IFERROR(__xludf.DUMMYFUNCTION("""COMPUTED_VALUE"""),"Unknown")</f>
        <v>Unknown</v>
      </c>
      <c r="D1635" s="5"/>
    </row>
    <row r="1636" spans="1:4" ht="13">
      <c r="A1636" s="5" t="str">
        <f ca="1">IFERROR(__xludf.DUMMYFUNCTION("""COMPUTED_VALUE"""),"19990420COCOL")</f>
        <v>19990420COCOL</v>
      </c>
      <c r="B1636" s="5" t="str">
        <f ca="1">IFERROR(__xludf.DUMMYFUNCTION("""COMPUTED_VALUE"""),"Handgun")</f>
        <v>Handgun</v>
      </c>
      <c r="C1636" s="5" t="str">
        <f ca="1">IFERROR(__xludf.DUMMYFUNCTION("""COMPUTED_VALUE"""),"9mm")</f>
        <v>9mm</v>
      </c>
      <c r="D1636" s="5" t="str">
        <f ca="1">IFERROR(__xludf.DUMMYFUNCTION("""COMPUTED_VALUE"""),"TECH 9 Mini")</f>
        <v>TECH 9 Mini</v>
      </c>
    </row>
    <row r="1637" spans="1:4" ht="13">
      <c r="A1637" s="5" t="str">
        <f ca="1">IFERROR(__xludf.DUMMYFUNCTION("""COMPUTED_VALUE"""),"19990420COCOL")</f>
        <v>19990420COCOL</v>
      </c>
      <c r="B1637" s="5" t="str">
        <f ca="1">IFERROR(__xludf.DUMMYFUNCTION("""COMPUTED_VALUE"""),"Rifle")</f>
        <v>Rifle</v>
      </c>
      <c r="C1637" s="5" t="str">
        <f ca="1">IFERROR(__xludf.DUMMYFUNCTION("""COMPUTED_VALUE"""),"9mm")</f>
        <v>9mm</v>
      </c>
      <c r="D1637" s="5" t="str">
        <f ca="1">IFERROR(__xludf.DUMMYFUNCTION("""COMPUTED_VALUE"""),"Hi-Point 995 Carbine")</f>
        <v>Hi-Point 995 Carbine</v>
      </c>
    </row>
    <row r="1638" spans="1:4" ht="13">
      <c r="A1638" s="5" t="str">
        <f ca="1">IFERROR(__xludf.DUMMYFUNCTION("""COMPUTED_VALUE"""),"19990420COCOL")</f>
        <v>19990420COCOL</v>
      </c>
      <c r="B1638" s="5" t="str">
        <f ca="1">IFERROR(__xludf.DUMMYFUNCTION("""COMPUTED_VALUE"""),"Shotgun")</f>
        <v>Shotgun</v>
      </c>
      <c r="C1638" s="5" t="str">
        <f ca="1">IFERROR(__xludf.DUMMYFUNCTION("""COMPUTED_VALUE"""),"12 gauge")</f>
        <v>12 gauge</v>
      </c>
      <c r="D1638" s="5" t="str">
        <f ca="1">IFERROR(__xludf.DUMMYFUNCTION("""COMPUTED_VALUE"""),"Pump Action")</f>
        <v>Pump Action</v>
      </c>
    </row>
    <row r="1639" spans="1:4" ht="13">
      <c r="A1639" s="5" t="str">
        <f ca="1">IFERROR(__xludf.DUMMYFUNCTION("""COMPUTED_VALUE"""),"19990420COCOL")</f>
        <v>19990420COCOL</v>
      </c>
      <c r="B1639" s="5" t="str">
        <f ca="1">IFERROR(__xludf.DUMMYFUNCTION("""COMPUTED_VALUE"""),"Shotgun")</f>
        <v>Shotgun</v>
      </c>
      <c r="C1639" s="5" t="str">
        <f ca="1">IFERROR(__xludf.DUMMYFUNCTION("""COMPUTED_VALUE"""),"12 gauge")</f>
        <v>12 gauge</v>
      </c>
      <c r="D1639" s="5" t="str">
        <f ca="1">IFERROR(__xludf.DUMMYFUNCTION("""COMPUTED_VALUE"""),"Double Barrel (sawed off)")</f>
        <v>Double Barrel (sawed off)</v>
      </c>
    </row>
    <row r="1640" spans="1:4" ht="13">
      <c r="A1640" s="5" t="str">
        <f ca="1">IFERROR(__xludf.DUMMYFUNCTION("""COMPUTED_VALUE"""),"19990416IDNON")</f>
        <v>19990416IDNON</v>
      </c>
      <c r="B1640" s="5" t="str">
        <f ca="1">IFERROR(__xludf.DUMMYFUNCTION("""COMPUTED_VALUE"""),"Shotgun")</f>
        <v>Shotgun</v>
      </c>
      <c r="C1640" s="5" t="str">
        <f ca="1">IFERROR(__xludf.DUMMYFUNCTION("""COMPUTED_VALUE"""),"Unknown")</f>
        <v>Unknown</v>
      </c>
      <c r="D1640" s="5"/>
    </row>
    <row r="1641" spans="1:4" ht="13">
      <c r="A1641" s="5" t="str">
        <f ca="1">IFERROR(__xludf.DUMMYFUNCTION("""COMPUTED_VALUE"""),"19990304ILNIS")</f>
        <v>19990304ILNIS</v>
      </c>
      <c r="B1641" s="5" t="str">
        <f ca="1">IFERROR(__xludf.DUMMYFUNCTION("""COMPUTED_VALUE"""),"Handgun")</f>
        <v>Handgun</v>
      </c>
      <c r="C1641" s="5" t="str">
        <f ca="1">IFERROR(__xludf.DUMMYFUNCTION("""COMPUTED_VALUE"""),".357 caliber")</f>
        <v>.357 caliber</v>
      </c>
      <c r="D1641" s="5"/>
    </row>
    <row r="1642" spans="1:4" ht="13">
      <c r="A1642" s="5" t="str">
        <f ca="1">IFERROR(__xludf.DUMMYFUNCTION("""COMPUTED_VALUE"""),"19990211MSJEP")</f>
        <v>19990211MSJEP</v>
      </c>
      <c r="B1642" s="5" t="str">
        <f ca="1">IFERROR(__xludf.DUMMYFUNCTION("""COMPUTED_VALUE"""),"No Data")</f>
        <v>No Data</v>
      </c>
      <c r="C1642" s="5"/>
      <c r="D1642" s="5"/>
    </row>
    <row r="1643" spans="1:4" ht="13">
      <c r="A1643" s="5" t="str">
        <f ca="1">IFERROR(__xludf.DUMMYFUNCTION("""COMPUTED_VALUE"""),"19990211ILOME")</f>
        <v>19990211ILOME</v>
      </c>
      <c r="B1643" s="5" t="str">
        <f ca="1">IFERROR(__xludf.DUMMYFUNCTION("""COMPUTED_VALUE"""),"Handgun")</f>
        <v>Handgun</v>
      </c>
      <c r="C1643" s="5" t="str">
        <f ca="1">IFERROR(__xludf.DUMMYFUNCTION("""COMPUTED_VALUE"""),".45 caliber")</f>
        <v>.45 caliber</v>
      </c>
      <c r="D1643" s="5"/>
    </row>
    <row r="1644" spans="1:4" ht="13">
      <c r="A1644" s="5" t="str">
        <f ca="1">IFERROR(__xludf.DUMMYFUNCTION("""COMPUTED_VALUE"""),"19990121TXRIN")</f>
        <v>19990121TXRIN</v>
      </c>
      <c r="B1644" s="5" t="str">
        <f ca="1">IFERROR(__xludf.DUMMYFUNCTION("""COMPUTED_VALUE"""),"Handgun")</f>
        <v>Handgun</v>
      </c>
      <c r="C1644" s="5" t="str">
        <f ca="1">IFERROR(__xludf.DUMMYFUNCTION("""COMPUTED_VALUE"""),"9mm")</f>
        <v>9mm</v>
      </c>
      <c r="D1644" s="5"/>
    </row>
    <row r="1645" spans="1:4" ht="13">
      <c r="A1645" s="5" t="str">
        <f ca="1">IFERROR(__xludf.DUMMYFUNCTION("""COMPUTED_VALUE"""),"19990114NYHAN")</f>
        <v>19990114NYHAN</v>
      </c>
      <c r="B1645" s="5" t="str">
        <f ca="1">IFERROR(__xludf.DUMMYFUNCTION("""COMPUTED_VALUE"""),"Handgun")</f>
        <v>Handgun</v>
      </c>
      <c r="C1645" s="5" t="str">
        <f ca="1">IFERROR(__xludf.DUMMYFUNCTION("""COMPUTED_VALUE"""),"Unknown")</f>
        <v>Unknown</v>
      </c>
      <c r="D1645" s="5"/>
    </row>
    <row r="1646" spans="1:4" ht="13">
      <c r="A1646" s="5" t="str">
        <f ca="1">IFERROR(__xludf.DUMMYFUNCTION("""COMPUTED_VALUE"""),"19990108GACEC")</f>
        <v>19990108GACEC</v>
      </c>
      <c r="B1646" s="5" t="str">
        <f ca="1">IFERROR(__xludf.DUMMYFUNCTION("""COMPUTED_VALUE"""),"Handgun")</f>
        <v>Handgun</v>
      </c>
      <c r="C1646" s="5" t="str">
        <f ca="1">IFERROR(__xludf.DUMMYFUNCTION("""COMPUTED_VALUE"""),"Unknown")</f>
        <v>Unknown</v>
      </c>
      <c r="D1646" s="5"/>
    </row>
    <row r="1647" spans="1:4" ht="13">
      <c r="A1647" s="5" t="str">
        <f ca="1">IFERROR(__xludf.DUMMYFUNCTION("""COMPUTED_VALUE"""),"19981211INBEI")</f>
        <v>19981211INBEI</v>
      </c>
      <c r="B1647" s="5" t="str">
        <f ca="1">IFERROR(__xludf.DUMMYFUNCTION("""COMPUTED_VALUE"""),"Handgun")</f>
        <v>Handgun</v>
      </c>
      <c r="C1647" s="5" t="str">
        <f ca="1">IFERROR(__xludf.DUMMYFUNCTION("""COMPUTED_VALUE"""),".22 caliber")</f>
        <v>.22 caliber</v>
      </c>
      <c r="D1647" s="5"/>
    </row>
    <row r="1648" spans="1:4" ht="13">
      <c r="A1648" s="5" t="str">
        <f ca="1">IFERROR(__xludf.DUMMYFUNCTION("""COMPUTED_VALUE"""),"19981203INERG")</f>
        <v>19981203INERG</v>
      </c>
      <c r="B1648" s="5" t="str">
        <f ca="1">IFERROR(__xludf.DUMMYFUNCTION("""COMPUTED_VALUE"""),"Handgun")</f>
        <v>Handgun</v>
      </c>
      <c r="C1648" s="5" t="str">
        <f ca="1">IFERROR(__xludf.DUMMYFUNCTION("""COMPUTED_VALUE"""),"Unknown")</f>
        <v>Unknown</v>
      </c>
      <c r="D1648" s="5"/>
    </row>
    <row r="1649" spans="1:4" ht="13">
      <c r="A1649" s="5" t="str">
        <f ca="1">IFERROR(__xludf.DUMMYFUNCTION("""COMPUTED_VALUE"""),"19981130NYHAH")</f>
        <v>19981130NYHAH</v>
      </c>
      <c r="B1649" s="5" t="str">
        <f ca="1">IFERROR(__xludf.DUMMYFUNCTION("""COMPUTED_VALUE"""),"Handgun")</f>
        <v>Handgun</v>
      </c>
      <c r="C1649" s="5" t="str">
        <f ca="1">IFERROR(__xludf.DUMMYFUNCTION("""COMPUTED_VALUE"""),".25 caliber")</f>
        <v>.25 caliber</v>
      </c>
      <c r="D1649" s="5"/>
    </row>
    <row r="1650" spans="1:4" ht="13">
      <c r="A1650" s="5" t="str">
        <f ca="1">IFERROR(__xludf.DUMMYFUNCTION("""COMPUTED_VALUE"""),"19981103PAMAP")</f>
        <v>19981103PAMAP</v>
      </c>
      <c r="B1650" s="5" t="str">
        <f ca="1">IFERROR(__xludf.DUMMYFUNCTION("""COMPUTED_VALUE"""),"Rifle")</f>
        <v>Rifle</v>
      </c>
      <c r="C1650" s="5" t="str">
        <f ca="1">IFERROR(__xludf.DUMMYFUNCTION("""COMPUTED_VALUE"""),"Unknown")</f>
        <v>Unknown</v>
      </c>
      <c r="D1650" s="5"/>
    </row>
    <row r="1651" spans="1:4" ht="13">
      <c r="A1651" s="5" t="str">
        <f ca="1">IFERROR(__xludf.DUMMYFUNCTION("""COMPUTED_VALUE"""),"19980930FLNOM")</f>
        <v>19980930FLNOM</v>
      </c>
      <c r="B1651" s="5" t="str">
        <f ca="1">IFERROR(__xludf.DUMMYFUNCTION("""COMPUTED_VALUE"""),"No Data")</f>
        <v>No Data</v>
      </c>
      <c r="C1651" s="5"/>
      <c r="D1651" s="5"/>
    </row>
    <row r="1652" spans="1:4" ht="13">
      <c r="A1652" s="5" t="str">
        <f ca="1">IFERROR(__xludf.DUMMYFUNCTION("""COMPUTED_VALUE"""),"19980930FLLEL")</f>
        <v>19980930FLLEL</v>
      </c>
      <c r="B1652" s="5" t="str">
        <f ca="1">IFERROR(__xludf.DUMMYFUNCTION("""COMPUTED_VALUE"""),"Handgun")</f>
        <v>Handgun</v>
      </c>
      <c r="C1652" s="5" t="str">
        <f ca="1">IFERROR(__xludf.DUMMYFUNCTION("""COMPUTED_VALUE"""),"Unknown")</f>
        <v>Unknown</v>
      </c>
      <c r="D1652" s="5"/>
    </row>
    <row r="1653" spans="1:4" ht="13">
      <c r="A1653" s="5" t="str">
        <f ca="1">IFERROR(__xludf.DUMMYFUNCTION("""COMPUTED_VALUE"""),"19980911CAHEG")</f>
        <v>19980911CAHEG</v>
      </c>
      <c r="B1653" s="5" t="str">
        <f ca="1">IFERROR(__xludf.DUMMYFUNCTION("""COMPUTED_VALUE"""),"No Data")</f>
        <v>No Data</v>
      </c>
      <c r="C1653" s="5"/>
      <c r="D1653" s="5"/>
    </row>
    <row r="1654" spans="1:4" ht="13">
      <c r="A1654" s="5" t="str">
        <f ca="1">IFERROR(__xludf.DUMMYFUNCTION("""COMPUTED_VALUE"""),"19980615VAARR")</f>
        <v>19980615VAARR</v>
      </c>
      <c r="B1654" s="5" t="str">
        <f ca="1">IFERROR(__xludf.DUMMYFUNCTION("""COMPUTED_VALUE"""),"Handgun")</f>
        <v>Handgun</v>
      </c>
      <c r="C1654" s="5" t="str">
        <f ca="1">IFERROR(__xludf.DUMMYFUNCTION("""COMPUTED_VALUE"""),".32 caliber")</f>
        <v>.32 caliber</v>
      </c>
      <c r="D1654" s="5"/>
    </row>
    <row r="1655" spans="1:4" ht="13">
      <c r="A1655" s="5" t="str">
        <f ca="1">IFERROR(__xludf.DUMMYFUNCTION("""COMPUTED_VALUE"""),"19980529FLSTF")</f>
        <v>19980529FLSTF</v>
      </c>
      <c r="B1655" s="5" t="str">
        <f ca="1">IFERROR(__xludf.DUMMYFUNCTION("""COMPUTED_VALUE"""),"Handgun")</f>
        <v>Handgun</v>
      </c>
      <c r="C1655" s="5" t="str">
        <f ca="1">IFERROR(__xludf.DUMMYFUNCTION("""COMPUTED_VALUE"""),"9mm")</f>
        <v>9mm</v>
      </c>
      <c r="D1655" s="5"/>
    </row>
    <row r="1656" spans="1:4" ht="13">
      <c r="A1656" s="5" t="str">
        <f ca="1">IFERROR(__xludf.DUMMYFUNCTION("""COMPUTED_VALUE"""),"19980527CAWAP")</f>
        <v>19980527CAWAP</v>
      </c>
      <c r="B1656" s="5" t="str">
        <f ca="1">IFERROR(__xludf.DUMMYFUNCTION("""COMPUTED_VALUE"""),"No Data")</f>
        <v>No Data</v>
      </c>
      <c r="C1656" s="5"/>
      <c r="D1656" s="5"/>
    </row>
    <row r="1657" spans="1:4" ht="13">
      <c r="A1657" s="5" t="str">
        <f ca="1">IFERROR(__xludf.DUMMYFUNCTION("""COMPUTED_VALUE"""),"19980521WAONO")</f>
        <v>19980521WAONO</v>
      </c>
      <c r="B1657" s="5" t="str">
        <f ca="1">IFERROR(__xludf.DUMMYFUNCTION("""COMPUTED_VALUE"""),"Handgun")</f>
        <v>Handgun</v>
      </c>
      <c r="C1657" s="5" t="str">
        <f ca="1">IFERROR(__xludf.DUMMYFUNCTION("""COMPUTED_VALUE"""),"9mm")</f>
        <v>9mm</v>
      </c>
      <c r="D1657" s="5"/>
    </row>
    <row r="1658" spans="1:4" ht="13">
      <c r="A1658" s="5" t="str">
        <f ca="1">IFERROR(__xludf.DUMMYFUNCTION("""COMPUTED_VALUE"""),"19980521ORTHS")</f>
        <v>19980521ORTHS</v>
      </c>
      <c r="B1658" s="5" t="str">
        <f ca="1">IFERROR(__xludf.DUMMYFUNCTION("""COMPUTED_VALUE"""),"Handgun")</f>
        <v>Handgun</v>
      </c>
      <c r="C1658" s="5" t="str">
        <f ca="1">IFERROR(__xludf.DUMMYFUNCTION("""COMPUTED_VALUE"""),"9mm")</f>
        <v>9mm</v>
      </c>
      <c r="D1658" s="5"/>
    </row>
    <row r="1659" spans="1:4" ht="13">
      <c r="A1659" s="5" t="str">
        <f ca="1">IFERROR(__xludf.DUMMYFUNCTION("""COMPUTED_VALUE"""),"19980521ORTHS")</f>
        <v>19980521ORTHS</v>
      </c>
      <c r="B1659" s="5" t="str">
        <f ca="1">IFERROR(__xludf.DUMMYFUNCTION("""COMPUTED_VALUE"""),"Handgun")</f>
        <v>Handgun</v>
      </c>
      <c r="C1659" s="5" t="str">
        <f ca="1">IFERROR(__xludf.DUMMYFUNCTION("""COMPUTED_VALUE"""),".22 caliber")</f>
        <v>.22 caliber</v>
      </c>
      <c r="D1659" s="5"/>
    </row>
    <row r="1660" spans="1:4" ht="13">
      <c r="A1660" s="5" t="str">
        <f ca="1">IFERROR(__xludf.DUMMYFUNCTION("""COMPUTED_VALUE"""),"19980521ORTHS")</f>
        <v>19980521ORTHS</v>
      </c>
      <c r="B1660" s="5" t="str">
        <f ca="1">IFERROR(__xludf.DUMMYFUNCTION("""COMPUTED_VALUE"""),"Rifle")</f>
        <v>Rifle</v>
      </c>
      <c r="C1660" s="5" t="str">
        <f ca="1">IFERROR(__xludf.DUMMYFUNCTION("""COMPUTED_VALUE"""),".22 caliber")</f>
        <v>.22 caliber</v>
      </c>
      <c r="D1660" s="5"/>
    </row>
    <row r="1661" spans="1:4" ht="13">
      <c r="A1661" s="5" t="str">
        <f ca="1">IFERROR(__xludf.DUMMYFUNCTION("""COMPUTED_VALUE"""),"19980521CARIR")</f>
        <v>19980521CARIR</v>
      </c>
      <c r="B1661" s="5" t="str">
        <f ca="1">IFERROR(__xludf.DUMMYFUNCTION("""COMPUTED_VALUE"""),"Handgun")</f>
        <v>Handgun</v>
      </c>
      <c r="C1661" s="5" t="str">
        <f ca="1">IFERROR(__xludf.DUMMYFUNCTION("""COMPUTED_VALUE"""),".38 caliber")</f>
        <v>.38 caliber</v>
      </c>
      <c r="D1661" s="5"/>
    </row>
    <row r="1662" spans="1:4" ht="13">
      <c r="A1662" s="5" t="str">
        <f ca="1">IFERROR(__xludf.DUMMYFUNCTION("""COMPUTED_VALUE"""),"19980519TNLIF")</f>
        <v>19980519TNLIF</v>
      </c>
      <c r="B1662" s="5" t="str">
        <f ca="1">IFERROR(__xludf.DUMMYFUNCTION("""COMPUTED_VALUE"""),"Rifle")</f>
        <v>Rifle</v>
      </c>
      <c r="C1662" s="5" t="str">
        <f ca="1">IFERROR(__xludf.DUMMYFUNCTION("""COMPUTED_VALUE"""),".22 caliber")</f>
        <v>.22 caliber</v>
      </c>
      <c r="D1662" s="5"/>
    </row>
    <row r="1663" spans="1:4" ht="13">
      <c r="A1663" s="5" t="str">
        <f ca="1">IFERROR(__xludf.DUMMYFUNCTION("""COMPUTED_VALUE"""),"19980501NYPUB")</f>
        <v>19980501NYPUB</v>
      </c>
      <c r="B1663" s="5" t="str">
        <f ca="1">IFERROR(__xludf.DUMMYFUNCTION("""COMPUTED_VALUE"""),"Handgun")</f>
        <v>Handgun</v>
      </c>
      <c r="C1663" s="5" t="str">
        <f ca="1">IFERROR(__xludf.DUMMYFUNCTION("""COMPUTED_VALUE"""),".357 caliber")</f>
        <v>.357 caliber</v>
      </c>
      <c r="D1663" s="5"/>
    </row>
    <row r="1664" spans="1:4" ht="13">
      <c r="A1664" s="5" t="str">
        <f ca="1">IFERROR(__xludf.DUMMYFUNCTION("""COMPUTED_VALUE"""),"19980501FLNOM")</f>
        <v>19980501FLNOM</v>
      </c>
      <c r="B1664" s="5" t="str">
        <f ca="1">IFERROR(__xludf.DUMMYFUNCTION("""COMPUTED_VALUE"""),"No Data")</f>
        <v>No Data</v>
      </c>
      <c r="C1664" s="5"/>
      <c r="D1664" s="5"/>
    </row>
    <row r="1665" spans="1:4" ht="13">
      <c r="A1665" s="5" t="str">
        <f ca="1">IFERROR(__xludf.DUMMYFUNCTION("""COMPUTED_VALUE"""),"19980428WIPAP")</f>
        <v>19980428WIPAP</v>
      </c>
      <c r="B1665" s="5" t="str">
        <f ca="1">IFERROR(__xludf.DUMMYFUNCTION("""COMPUTED_VALUE"""),"Handgun")</f>
        <v>Handgun</v>
      </c>
      <c r="C1665" s="5" t="str">
        <f ca="1">IFERROR(__xludf.DUMMYFUNCTION("""COMPUTED_VALUE"""),".22 caliber")</f>
        <v>.22 caliber</v>
      </c>
      <c r="D1665" s="5"/>
    </row>
    <row r="1666" spans="1:4" ht="13">
      <c r="A1666" s="5" t="str">
        <f ca="1">IFERROR(__xludf.DUMMYFUNCTION("""COMPUTED_VALUE"""),"19980428CAPHP")</f>
        <v>19980428CAPHP</v>
      </c>
      <c r="B1666" s="5" t="str">
        <f ca="1">IFERROR(__xludf.DUMMYFUNCTION("""COMPUTED_VALUE"""),"Handgun")</f>
        <v>Handgun</v>
      </c>
      <c r="C1666" s="5" t="str">
        <f ca="1">IFERROR(__xludf.DUMMYFUNCTION("""COMPUTED_VALUE"""),"Unknown")</f>
        <v>Unknown</v>
      </c>
      <c r="D1666" s="5"/>
    </row>
    <row r="1667" spans="1:4" ht="13">
      <c r="A1667" s="5" t="str">
        <f ca="1">IFERROR(__xludf.DUMMYFUNCTION("""COMPUTED_VALUE"""),"19980424PAPAE")</f>
        <v>19980424PAPAE</v>
      </c>
      <c r="B1667" s="5" t="str">
        <f ca="1">IFERROR(__xludf.DUMMYFUNCTION("""COMPUTED_VALUE"""),"Handgun")</f>
        <v>Handgun</v>
      </c>
      <c r="C1667" s="5" t="str">
        <f ca="1">IFERROR(__xludf.DUMMYFUNCTION("""COMPUTED_VALUE"""),".25 caliber")</f>
        <v>.25 caliber</v>
      </c>
      <c r="D1667" s="5"/>
    </row>
    <row r="1668" spans="1:4" ht="13">
      <c r="A1668" s="5" t="str">
        <f ca="1">IFERROR(__xludf.DUMMYFUNCTION("""COMPUTED_VALUE"""),"19980423CACUL")</f>
        <v>19980423CACUL</v>
      </c>
      <c r="B1668" s="5" t="str">
        <f ca="1">IFERROR(__xludf.DUMMYFUNCTION("""COMPUTED_VALUE"""),"No Data")</f>
        <v>No Data</v>
      </c>
      <c r="C1668" s="5"/>
      <c r="D1668" s="5"/>
    </row>
    <row r="1669" spans="1:4" ht="13">
      <c r="A1669" s="5" t="str">
        <f ca="1">IFERROR(__xludf.DUMMYFUNCTION("""COMPUTED_VALUE"""),"19980409IDTHA")</f>
        <v>19980409IDTHA</v>
      </c>
      <c r="B1669" s="5" t="str">
        <f ca="1">IFERROR(__xludf.DUMMYFUNCTION("""COMPUTED_VALUE"""),"Multiple Handguns")</f>
        <v>Multiple Handguns</v>
      </c>
      <c r="C1669" s="5" t="str">
        <f ca="1">IFERROR(__xludf.DUMMYFUNCTION("""COMPUTED_VALUE"""),".45 caliber")</f>
        <v>.45 caliber</v>
      </c>
      <c r="D1669" s="5"/>
    </row>
    <row r="1670" spans="1:4" ht="13">
      <c r="A1670" s="5" t="str">
        <f ca="1">IFERROR(__xludf.DUMMYFUNCTION("""COMPUTED_VALUE"""),"19980331WIOAO")</f>
        <v>19980331WIOAO</v>
      </c>
      <c r="B1670" s="5" t="str">
        <f ca="1">IFERROR(__xludf.DUMMYFUNCTION("""COMPUTED_VALUE"""),"Rifle")</f>
        <v>Rifle</v>
      </c>
      <c r="C1670" s="5" t="str">
        <f ca="1">IFERROR(__xludf.DUMMYFUNCTION("""COMPUTED_VALUE"""),"Unknown")</f>
        <v>Unknown</v>
      </c>
      <c r="D1670" s="5"/>
    </row>
    <row r="1671" spans="1:4" ht="13">
      <c r="A1671" s="5" t="str">
        <f ca="1">IFERROR(__xludf.DUMMYFUNCTION("""COMPUTED_VALUE"""),"19980330NCGRC")</f>
        <v>19980330NCGRC</v>
      </c>
      <c r="B1671" s="5" t="str">
        <f ca="1">IFERROR(__xludf.DUMMYFUNCTION("""COMPUTED_VALUE"""),"Handgun")</f>
        <v>Handgun</v>
      </c>
      <c r="C1671" s="5" t="str">
        <f ca="1">IFERROR(__xludf.DUMMYFUNCTION("""COMPUTED_VALUE"""),"Unknown")</f>
        <v>Unknown</v>
      </c>
      <c r="D1671" s="5"/>
    </row>
    <row r="1672" spans="1:4" ht="13">
      <c r="A1672" s="5" t="str">
        <f ca="1">IFERROR(__xludf.DUMMYFUNCTION("""COMPUTED_VALUE"""),"19980325MICOC")</f>
        <v>19980325MICOC</v>
      </c>
      <c r="B1672" s="5" t="str">
        <f ca="1">IFERROR(__xludf.DUMMYFUNCTION("""COMPUTED_VALUE"""),"Shotgun")</f>
        <v>Shotgun</v>
      </c>
      <c r="C1672" s="5" t="str">
        <f ca="1">IFERROR(__xludf.DUMMYFUNCTION("""COMPUTED_VALUE"""),"12 gauge")</f>
        <v>12 gauge</v>
      </c>
      <c r="D1672" s="5"/>
    </row>
    <row r="1673" spans="1:4" ht="13">
      <c r="A1673" s="5" t="str">
        <f ca="1">IFERROR(__xludf.DUMMYFUNCTION("""COMPUTED_VALUE"""),"19980325CAFED")</f>
        <v>19980325CAFED</v>
      </c>
      <c r="B1673" s="5" t="str">
        <f ca="1">IFERROR(__xludf.DUMMYFUNCTION("""COMPUTED_VALUE"""),"Handgun")</f>
        <v>Handgun</v>
      </c>
      <c r="C1673" s="5" t="str">
        <f ca="1">IFERROR(__xludf.DUMMYFUNCTION("""COMPUTED_VALUE"""),".22 caliber")</f>
        <v>.22 caliber</v>
      </c>
      <c r="D1673" s="5"/>
    </row>
    <row r="1674" spans="1:4" ht="13">
      <c r="A1674" s="5" t="str">
        <f ca="1">IFERROR(__xludf.DUMMYFUNCTION("""COMPUTED_VALUE"""),"19980324ARWEJ")</f>
        <v>19980324ARWEJ</v>
      </c>
      <c r="B1674" s="5" t="str">
        <f ca="1">IFERROR(__xludf.DUMMYFUNCTION("""COMPUTED_VALUE"""),"Multiple Unknown")</f>
        <v>Multiple Unknown</v>
      </c>
      <c r="C1674" s="5" t="str">
        <f ca="1">IFERROR(__xludf.DUMMYFUNCTION("""COMPUTED_VALUE"""),"Unknown")</f>
        <v>Unknown</v>
      </c>
      <c r="D1674" s="5"/>
    </row>
    <row r="1675" spans="1:4" ht="13">
      <c r="A1675" s="5" t="str">
        <f ca="1">IFERROR(__xludf.DUMMYFUNCTION("""COMPUTED_VALUE"""),"19980227VAMAF")</f>
        <v>19980227VAMAF</v>
      </c>
      <c r="B1675" s="5" t="str">
        <f ca="1">IFERROR(__xludf.DUMMYFUNCTION("""COMPUTED_VALUE"""),"Rifle")</f>
        <v>Rifle</v>
      </c>
      <c r="C1675" s="5" t="str">
        <f ca="1">IFERROR(__xludf.DUMMYFUNCTION("""COMPUTED_VALUE"""),".22 caliber")</f>
        <v>.22 caliber</v>
      </c>
      <c r="D1675" s="5"/>
    </row>
    <row r="1676" spans="1:4" ht="13">
      <c r="A1676" s="5" t="str">
        <f ca="1">IFERROR(__xludf.DUMMYFUNCTION("""COMPUTED_VALUE"""),"19980225MIRER")</f>
        <v>19980225MIRER</v>
      </c>
      <c r="B1676" s="5" t="str">
        <f ca="1">IFERROR(__xludf.DUMMYFUNCTION("""COMPUTED_VALUE"""),"Rifle")</f>
        <v>Rifle</v>
      </c>
      <c r="C1676" s="5" t="str">
        <f ca="1">IFERROR(__xludf.DUMMYFUNCTION("""COMPUTED_VALUE"""),".22 caliber")</f>
        <v>.22 caliber</v>
      </c>
      <c r="D1676" s="5"/>
    </row>
    <row r="1677" spans="1:4" ht="13">
      <c r="A1677" s="5" t="str">
        <f ca="1">IFERROR(__xludf.DUMMYFUNCTION("""COMPUTED_VALUE"""),"19980212NJHOH")</f>
        <v>19980212NJHOH</v>
      </c>
      <c r="B1677" s="5" t="str">
        <f ca="1">IFERROR(__xludf.DUMMYFUNCTION("""COMPUTED_VALUE"""),"Handgun")</f>
        <v>Handgun</v>
      </c>
      <c r="C1677" s="5" t="str">
        <f ca="1">IFERROR(__xludf.DUMMYFUNCTION("""COMPUTED_VALUE"""),".38 caliber")</f>
        <v>.38 caliber</v>
      </c>
      <c r="D1677" s="5"/>
    </row>
    <row r="1678" spans="1:4" ht="13">
      <c r="A1678" s="5" t="str">
        <f ca="1">IFERROR(__xludf.DUMMYFUNCTION("""COMPUTED_VALUE"""),"19971215ARSTS")</f>
        <v>19971215ARSTS</v>
      </c>
      <c r="B1678" s="5" t="str">
        <f ca="1">IFERROR(__xludf.DUMMYFUNCTION("""COMPUTED_VALUE"""),"Rifle")</f>
        <v>Rifle</v>
      </c>
      <c r="C1678" s="5" t="str">
        <f ca="1">IFERROR(__xludf.DUMMYFUNCTION("""COMPUTED_VALUE"""),".22 caliber")</f>
        <v>.22 caliber</v>
      </c>
      <c r="D1678" s="5"/>
    </row>
    <row r="1679" spans="1:4" ht="13">
      <c r="A1679" s="5" t="str">
        <f ca="1">IFERROR(__xludf.DUMMYFUNCTION("""COMPUTED_VALUE"""),"19971201KYHEW")</f>
        <v>19971201KYHEW</v>
      </c>
      <c r="B1679" s="5" t="str">
        <f ca="1">IFERROR(__xludf.DUMMYFUNCTION("""COMPUTED_VALUE"""),"Multiple Unknown")</f>
        <v>Multiple Unknown</v>
      </c>
      <c r="C1679" s="5" t="str">
        <f ca="1">IFERROR(__xludf.DUMMYFUNCTION("""COMPUTED_VALUE"""),".22 caliber")</f>
        <v>.22 caliber</v>
      </c>
      <c r="D1679" s="5" t="str">
        <f ca="1">IFERROR(__xludf.DUMMYFUNCTION("""COMPUTED_VALUE"""),"5 firearms from neighbor, 2 shotguns from father")</f>
        <v>5 firearms from neighbor, 2 shotguns from father</v>
      </c>
    </row>
    <row r="1680" spans="1:4" ht="13">
      <c r="A1680" s="5" t="str">
        <f ca="1">IFERROR(__xludf.DUMMYFUNCTION("""COMPUTED_VALUE"""),"19971201KYHEW")</f>
        <v>19971201KYHEW</v>
      </c>
      <c r="B1680" s="5" t="str">
        <f ca="1">IFERROR(__xludf.DUMMYFUNCTION("""COMPUTED_VALUE"""),"Shotgun")</f>
        <v>Shotgun</v>
      </c>
      <c r="C1680" s="5" t="str">
        <f ca="1">IFERROR(__xludf.DUMMYFUNCTION("""COMPUTED_VALUE"""),"Unknown")</f>
        <v>Unknown</v>
      </c>
      <c r="D1680" s="5" t="str">
        <f ca="1">IFERROR(__xludf.DUMMYFUNCTION("""COMPUTED_VALUE"""),"5 firearms from neighbor, 2 shotguns from father")</f>
        <v>5 firearms from neighbor, 2 shotguns from father</v>
      </c>
    </row>
    <row r="1681" spans="1:4" ht="13">
      <c r="A1681" s="5" t="str">
        <f ca="1">IFERROR(__xludf.DUMMYFUNCTION("""COMPUTED_VALUE"""),"19971201KYHEW")</f>
        <v>19971201KYHEW</v>
      </c>
      <c r="B1681" s="5" t="str">
        <f ca="1">IFERROR(__xludf.DUMMYFUNCTION("""COMPUTED_VALUE"""),"Shotgun")</f>
        <v>Shotgun</v>
      </c>
      <c r="C1681" s="5" t="str">
        <f ca="1">IFERROR(__xludf.DUMMYFUNCTION("""COMPUTED_VALUE"""),"Unknown")</f>
        <v>Unknown</v>
      </c>
      <c r="D1681" s="5" t="str">
        <f ca="1">IFERROR(__xludf.DUMMYFUNCTION("""COMPUTED_VALUE"""),"5 firearms from neighbor, 2 shotguns from father")</f>
        <v>5 firearms from neighbor, 2 shotguns from father</v>
      </c>
    </row>
    <row r="1682" spans="1:4" ht="13">
      <c r="A1682" s="5" t="str">
        <f ca="1">IFERROR(__xludf.DUMMYFUNCTION("""COMPUTED_VALUE"""),"19971113CACRS")</f>
        <v>19971113CACRS</v>
      </c>
      <c r="B1682" s="5" t="str">
        <f ca="1">IFERROR(__xludf.DUMMYFUNCTION("""COMPUTED_VALUE"""),"Handgun")</f>
        <v>Handgun</v>
      </c>
      <c r="C1682" s="5" t="str">
        <f ca="1">IFERROR(__xludf.DUMMYFUNCTION("""COMPUTED_VALUE"""),"Unknown")</f>
        <v>Unknown</v>
      </c>
      <c r="D1682" s="5"/>
    </row>
    <row r="1683" spans="1:4" ht="13">
      <c r="A1683" s="5" t="str">
        <f ca="1">IFERROR(__xludf.DUMMYFUNCTION("""COMPUTED_VALUE"""),"19971107FLRIJ")</f>
        <v>19971107FLRIJ</v>
      </c>
      <c r="B1683" s="5" t="str">
        <f ca="1">IFERROR(__xludf.DUMMYFUNCTION("""COMPUTED_VALUE"""),"Handgun")</f>
        <v>Handgun</v>
      </c>
      <c r="C1683" s="5" t="str">
        <f ca="1">IFERROR(__xludf.DUMMYFUNCTION("""COMPUTED_VALUE"""),"Unknown")</f>
        <v>Unknown</v>
      </c>
      <c r="D1683" s="5"/>
    </row>
    <row r="1684" spans="1:4" ht="13">
      <c r="A1684" s="5" t="str">
        <f ca="1">IFERROR(__xludf.DUMMYFUNCTION("""COMPUTED_VALUE"""),"19971022CAJON")</f>
        <v>19971022CAJON</v>
      </c>
      <c r="B1684" s="5" t="str">
        <f ca="1">IFERROR(__xludf.DUMMYFUNCTION("""COMPUTED_VALUE"""),"Handgun")</f>
        <v>Handgun</v>
      </c>
      <c r="C1684" s="5" t="str">
        <f ca="1">IFERROR(__xludf.DUMMYFUNCTION("""COMPUTED_VALUE"""),"9mm")</f>
        <v>9mm</v>
      </c>
      <c r="D1684" s="5"/>
    </row>
    <row r="1685" spans="1:4" ht="13">
      <c r="A1685" s="5" t="str">
        <f ca="1">IFERROR(__xludf.DUMMYFUNCTION("""COMPUTED_VALUE"""),"19971020CAMCO")</f>
        <v>19971020CAMCO</v>
      </c>
      <c r="B1685" s="5" t="str">
        <f ca="1">IFERROR(__xludf.DUMMYFUNCTION("""COMPUTED_VALUE"""),"No Data")</f>
        <v>No Data</v>
      </c>
      <c r="C1685" s="5"/>
      <c r="D1685" s="5"/>
    </row>
    <row r="1686" spans="1:4" ht="13">
      <c r="A1686" s="5" t="str">
        <f ca="1">IFERROR(__xludf.DUMMYFUNCTION("""COMPUTED_VALUE"""),"19971015FLLIP")</f>
        <v>19971015FLLIP</v>
      </c>
      <c r="B1686" s="5" t="str">
        <f ca="1">IFERROR(__xludf.DUMMYFUNCTION("""COMPUTED_VALUE"""),"Shotgun")</f>
        <v>Shotgun</v>
      </c>
      <c r="C1686" s="5" t="str">
        <f ca="1">IFERROR(__xludf.DUMMYFUNCTION("""COMPUTED_VALUE"""),".38 caliber")</f>
        <v>.38 caliber</v>
      </c>
      <c r="D1686" s="5"/>
    </row>
    <row r="1687" spans="1:4" ht="13">
      <c r="A1687" s="5" t="str">
        <f ca="1">IFERROR(__xludf.DUMMYFUNCTION("""COMPUTED_VALUE"""),"19971014TXLAG")</f>
        <v>19971014TXLAG</v>
      </c>
      <c r="B1687" s="5" t="str">
        <f ca="1">IFERROR(__xludf.DUMMYFUNCTION("""COMPUTED_VALUE"""),"Handgun")</f>
        <v>Handgun</v>
      </c>
      <c r="C1687" s="5" t="str">
        <f ca="1">IFERROR(__xludf.DUMMYFUNCTION("""COMPUTED_VALUE"""),"Unknown")</f>
        <v>Unknown</v>
      </c>
      <c r="D1687" s="5"/>
    </row>
    <row r="1688" spans="1:4" ht="13">
      <c r="A1688" s="5" t="str">
        <f ca="1">IFERROR(__xludf.DUMMYFUNCTION("""COMPUTED_VALUE"""),"19971010INWAG")</f>
        <v>19971010INWAG</v>
      </c>
      <c r="B1688" s="5" t="str">
        <f ca="1">IFERROR(__xludf.DUMMYFUNCTION("""COMPUTED_VALUE"""),"Handgun")</f>
        <v>Handgun</v>
      </c>
      <c r="C1688" s="5" t="str">
        <f ca="1">IFERROR(__xludf.DUMMYFUNCTION("""COMPUTED_VALUE"""),"Unknown")</f>
        <v>Unknown</v>
      </c>
      <c r="D1688" s="5"/>
    </row>
    <row r="1689" spans="1:4" ht="13">
      <c r="A1689" s="5" t="str">
        <f ca="1">IFERROR(__xludf.DUMMYFUNCTION("""COMPUTED_VALUE"""),"19971005OKMOO")</f>
        <v>19971005OKMOO</v>
      </c>
      <c r="B1689" s="5" t="str">
        <f ca="1">IFERROR(__xludf.DUMMYFUNCTION("""COMPUTED_VALUE"""),"Handgun")</f>
        <v>Handgun</v>
      </c>
      <c r="C1689" s="5" t="str">
        <f ca="1">IFERROR(__xludf.DUMMYFUNCTION("""COMPUTED_VALUE"""),"9mm")</f>
        <v>9mm</v>
      </c>
      <c r="D1689" s="5"/>
    </row>
    <row r="1690" spans="1:4" ht="13">
      <c r="A1690" s="5" t="str">
        <f ca="1">IFERROR(__xludf.DUMMYFUNCTION("""COMPUTED_VALUE"""),"19971001MSPEP")</f>
        <v>19971001MSPEP</v>
      </c>
      <c r="B1690" s="5" t="str">
        <f ca="1">IFERROR(__xludf.DUMMYFUNCTION("""COMPUTED_VALUE"""),"Rifle")</f>
        <v>Rifle</v>
      </c>
      <c r="C1690" s="5" t="str">
        <f ca="1">IFERROR(__xludf.DUMMYFUNCTION("""COMPUTED_VALUE"""),".30-30")</f>
        <v>.30-30</v>
      </c>
      <c r="D1690" s="5"/>
    </row>
    <row r="1691" spans="1:4" ht="13">
      <c r="A1691" s="5" t="str">
        <f ca="1">IFERROR(__xludf.DUMMYFUNCTION("""COMPUTED_VALUE"""),"19970624ALJEM")</f>
        <v>19970624ALJEM</v>
      </c>
      <c r="B1691" s="5" t="str">
        <f ca="1">IFERROR(__xludf.DUMMYFUNCTION("""COMPUTED_VALUE"""),"Handgun")</f>
        <v>Handgun</v>
      </c>
      <c r="C1691" s="5" t="str">
        <f ca="1">IFERROR(__xludf.DUMMYFUNCTION("""COMPUTED_VALUE"""),".38 caliber")</f>
        <v>.38 caliber</v>
      </c>
      <c r="D1691" s="5"/>
    </row>
    <row r="1692" spans="1:4" ht="13">
      <c r="A1692" s="5" t="str">
        <f ca="1">IFERROR(__xludf.DUMMYFUNCTION("""COMPUTED_VALUE"""),"19970520OHDUD")</f>
        <v>19970520OHDUD</v>
      </c>
      <c r="B1692" s="5" t="str">
        <f ca="1">IFERROR(__xludf.DUMMYFUNCTION("""COMPUTED_VALUE"""),"Handgun")</f>
        <v>Handgun</v>
      </c>
      <c r="C1692" s="5" t="str">
        <f ca="1">IFERROR(__xludf.DUMMYFUNCTION("""COMPUTED_VALUE"""),".38 caliber")</f>
        <v>.38 caliber</v>
      </c>
      <c r="D1692" s="5"/>
    </row>
    <row r="1693" spans="1:4" ht="13">
      <c r="A1693" s="5" t="str">
        <f ca="1">IFERROR(__xludf.DUMMYFUNCTION("""COMPUTED_VALUE"""),"19970513FLNOM")</f>
        <v>19970513FLNOM</v>
      </c>
      <c r="B1693" s="5" t="str">
        <f ca="1">IFERROR(__xludf.DUMMYFUNCTION("""COMPUTED_VALUE"""),"Handgun")</f>
        <v>Handgun</v>
      </c>
      <c r="C1693" s="5" t="str">
        <f ca="1">IFERROR(__xludf.DUMMYFUNCTION("""COMPUTED_VALUE"""),".38 caliber")</f>
        <v>.38 caliber</v>
      </c>
      <c r="D1693" s="5"/>
    </row>
    <row r="1694" spans="1:4" ht="13">
      <c r="A1694" s="5" t="str">
        <f ca="1">IFERROR(__xludf.DUMMYFUNCTION("""COMPUTED_VALUE"""),"19970430NYCIN")</f>
        <v>19970430NYCIN</v>
      </c>
      <c r="B1694" s="5" t="str">
        <f ca="1">IFERROR(__xludf.DUMMYFUNCTION("""COMPUTED_VALUE"""),"No Data")</f>
        <v>No Data</v>
      </c>
      <c r="C1694" s="5"/>
      <c r="D1694" s="5"/>
    </row>
    <row r="1695" spans="1:4" ht="13">
      <c r="A1695" s="5" t="str">
        <f ca="1">IFERROR(__xludf.DUMMYFUNCTION("""COMPUTED_VALUE"""),"19970428CAJOL")</f>
        <v>19970428CAJOL</v>
      </c>
      <c r="B1695" s="5" t="str">
        <f ca="1">IFERROR(__xludf.DUMMYFUNCTION("""COMPUTED_VALUE"""),"Handgun")</f>
        <v>Handgun</v>
      </c>
      <c r="C1695" s="5" t="str">
        <f ca="1">IFERROR(__xludf.DUMMYFUNCTION("""COMPUTED_VALUE"""),"Unknown")</f>
        <v>Unknown</v>
      </c>
      <c r="D1695" s="5"/>
    </row>
    <row r="1696" spans="1:4" ht="13">
      <c r="A1696" s="5" t="str">
        <f ca="1">IFERROR(__xludf.DUMMYFUNCTION("""COMPUTED_VALUE"""),"19970403CAMAM")</f>
        <v>19970403CAMAM</v>
      </c>
      <c r="B1696" s="5" t="str">
        <f ca="1">IFERROR(__xludf.DUMMYFUNCTION("""COMPUTED_VALUE"""),"No Data")</f>
        <v>No Data</v>
      </c>
      <c r="C1696" s="5"/>
      <c r="D1696" s="5"/>
    </row>
    <row r="1697" spans="1:4" ht="13">
      <c r="A1697" s="5" t="str">
        <f ca="1">IFERROR(__xludf.DUMMYFUNCTION("""COMPUTED_VALUE"""),"19970317MIPED")</f>
        <v>19970317MIPED</v>
      </c>
      <c r="B1697" s="5" t="str">
        <f ca="1">IFERROR(__xludf.DUMMYFUNCTION("""COMPUTED_VALUE"""),"Handgun")</f>
        <v>Handgun</v>
      </c>
      <c r="C1697" s="5" t="str">
        <f ca="1">IFERROR(__xludf.DUMMYFUNCTION("""COMPUTED_VALUE"""),"Unknown")</f>
        <v>Unknown</v>
      </c>
      <c r="D1697" s="5"/>
    </row>
    <row r="1698" spans="1:4" ht="13">
      <c r="A1698" s="5" t="str">
        <f ca="1">IFERROR(__xludf.DUMMYFUNCTION("""COMPUTED_VALUE"""),"19970221NVRAL")</f>
        <v>19970221NVRAL</v>
      </c>
      <c r="B1698" s="5" t="str">
        <f ca="1">IFERROR(__xludf.DUMMYFUNCTION("""COMPUTED_VALUE"""),"Handgun")</f>
        <v>Handgun</v>
      </c>
      <c r="C1698" s="5" t="str">
        <f ca="1">IFERROR(__xludf.DUMMYFUNCTION("""COMPUTED_VALUE"""),"9mm")</f>
        <v>9mm</v>
      </c>
      <c r="D1698" s="5"/>
    </row>
    <row r="1699" spans="1:4" ht="13">
      <c r="A1699" s="5" t="str">
        <f ca="1">IFERROR(__xludf.DUMMYFUNCTION("""COMPUTED_VALUE"""),"19970220FLFIJ")</f>
        <v>19970220FLFIJ</v>
      </c>
      <c r="B1699" s="5" t="str">
        <f ca="1">IFERROR(__xludf.DUMMYFUNCTION("""COMPUTED_VALUE"""),"Handgun")</f>
        <v>Handgun</v>
      </c>
      <c r="C1699" s="5" t="str">
        <f ca="1">IFERROR(__xludf.DUMMYFUNCTION("""COMPUTED_VALUE"""),"Unknown")</f>
        <v>Unknown</v>
      </c>
      <c r="D1699" s="5"/>
    </row>
    <row r="1700" spans="1:4" ht="13">
      <c r="A1700" s="5" t="str">
        <f ca="1">IFERROR(__xludf.DUMMYFUNCTION("""COMPUTED_VALUE"""),"19970219AKBEB")</f>
        <v>19970219AKBEB</v>
      </c>
      <c r="B1700" s="5" t="str">
        <f ca="1">IFERROR(__xludf.DUMMYFUNCTION("""COMPUTED_VALUE"""),"Shotgun")</f>
        <v>Shotgun</v>
      </c>
      <c r="C1700" s="5" t="str">
        <f ca="1">IFERROR(__xludf.DUMMYFUNCTION("""COMPUTED_VALUE"""),"12 gauge")</f>
        <v>12 gauge</v>
      </c>
      <c r="D1700" s="5"/>
    </row>
    <row r="1701" spans="1:4" ht="13">
      <c r="A1701" s="5" t="str">
        <f ca="1">IFERROR(__xludf.DUMMYFUNCTION("""COMPUTED_VALUE"""),"19970213NYSAB")</f>
        <v>19970213NYSAB</v>
      </c>
      <c r="B1701" s="5" t="str">
        <f ca="1">IFERROR(__xludf.DUMMYFUNCTION("""COMPUTED_VALUE"""),"Handgun")</f>
        <v>Handgun</v>
      </c>
      <c r="C1701" s="5" t="str">
        <f ca="1">IFERROR(__xludf.DUMMYFUNCTION("""COMPUTED_VALUE"""),"Unknown")</f>
        <v>Unknown</v>
      </c>
      <c r="D1701" s="5"/>
    </row>
    <row r="1702" spans="1:4" ht="13">
      <c r="A1702" s="5" t="str">
        <f ca="1">IFERROR(__xludf.DUMMYFUNCTION("""COMPUTED_VALUE"""),"19970213NYMOB")</f>
        <v>19970213NYMOB</v>
      </c>
      <c r="B1702" s="5" t="str">
        <f ca="1">IFERROR(__xludf.DUMMYFUNCTION("""COMPUTED_VALUE"""),"Handgun")</f>
        <v>Handgun</v>
      </c>
      <c r="C1702" s="5" t="str">
        <f ca="1">IFERROR(__xludf.DUMMYFUNCTION("""COMPUTED_VALUE"""),".25 caliber")</f>
        <v>.25 caliber</v>
      </c>
      <c r="D1702" s="5"/>
    </row>
    <row r="1703" spans="1:4" ht="13">
      <c r="A1703" s="5" t="str">
        <f ca="1">IFERROR(__xludf.DUMMYFUNCTION("""COMPUTED_VALUE"""),"19970206MSWIJ")</f>
        <v>19970206MSWIJ</v>
      </c>
      <c r="B1703" s="5" t="str">
        <f ca="1">IFERROR(__xludf.DUMMYFUNCTION("""COMPUTED_VALUE"""),"Handgun")</f>
        <v>Handgun</v>
      </c>
      <c r="C1703" s="5" t="str">
        <f ca="1">IFERROR(__xludf.DUMMYFUNCTION("""COMPUTED_VALUE"""),"9mm")</f>
        <v>9mm</v>
      </c>
      <c r="D1703" s="5"/>
    </row>
    <row r="1704" spans="1:4" ht="13">
      <c r="A1704" s="5" t="str">
        <f ca="1">IFERROR(__xludf.DUMMYFUNCTION("""COMPUTED_VALUE"""),"19970127FLCOW")</f>
        <v>19970127FLCOW</v>
      </c>
      <c r="B1704" s="5" t="str">
        <f ca="1">IFERROR(__xludf.DUMMYFUNCTION("""COMPUTED_VALUE"""),"Handgun")</f>
        <v>Handgun</v>
      </c>
      <c r="C1704" s="5" t="str">
        <f ca="1">IFERROR(__xludf.DUMMYFUNCTION("""COMPUTED_VALUE"""),".38 caliber")</f>
        <v>.38 caliber</v>
      </c>
      <c r="D1704" s="5"/>
    </row>
    <row r="1705" spans="1:4" ht="13">
      <c r="A1705" s="5" t="str">
        <f ca="1">IFERROR(__xludf.DUMMYFUNCTION("""COMPUTED_VALUE"""),"19970108NYCRN")</f>
        <v>19970108NYCRN</v>
      </c>
      <c r="B1705" s="5" t="str">
        <f ca="1">IFERROR(__xludf.DUMMYFUNCTION("""COMPUTED_VALUE"""),"Handgun")</f>
        <v>Handgun</v>
      </c>
      <c r="C1705" s="5" t="str">
        <f ca="1">IFERROR(__xludf.DUMMYFUNCTION("""COMPUTED_VALUE"""),"Unknown")</f>
        <v>Unknown</v>
      </c>
      <c r="D1705" s="5"/>
    </row>
    <row r="1706" spans="1:4" ht="13">
      <c r="A1706" s="5" t="str">
        <f ca="1">IFERROR(__xludf.DUMMYFUNCTION("""COMPUTED_VALUE"""),"19961127CAHIS")</f>
        <v>19961127CAHIS</v>
      </c>
      <c r="B1706" s="5" t="str">
        <f ca="1">IFERROR(__xludf.DUMMYFUNCTION("""COMPUTED_VALUE"""),"Handgun")</f>
        <v>Handgun</v>
      </c>
      <c r="C1706" s="5" t="str">
        <f ca="1">IFERROR(__xludf.DUMMYFUNCTION("""COMPUTED_VALUE"""),"Service Weapon")</f>
        <v>Service Weapon</v>
      </c>
      <c r="D1706" s="5"/>
    </row>
    <row r="1707" spans="1:4" ht="13">
      <c r="A1707" s="5" t="str">
        <f ca="1">IFERROR(__xludf.DUMMYFUNCTION("""COMPUTED_VALUE"""),"19961014MOSUS")</f>
        <v>19961014MOSUS</v>
      </c>
      <c r="B1707" s="5" t="str">
        <f ca="1">IFERROR(__xludf.DUMMYFUNCTION("""COMPUTED_VALUE"""),"No Data")</f>
        <v>No Data</v>
      </c>
      <c r="C1707" s="5"/>
      <c r="D1707" s="5"/>
    </row>
    <row r="1708" spans="1:4" ht="13">
      <c r="A1708" s="5" t="str">
        <f ca="1">IFERROR(__xludf.DUMMYFUNCTION("""COMPUTED_VALUE"""),"19961009ARJAS")</f>
        <v>19961009ARJAS</v>
      </c>
      <c r="B1708" s="5" t="str">
        <f ca="1">IFERROR(__xludf.DUMMYFUNCTION("""COMPUTED_VALUE"""),"No Data")</f>
        <v>No Data</v>
      </c>
      <c r="C1708" s="5"/>
      <c r="D1708" s="5"/>
    </row>
    <row r="1709" spans="1:4" ht="13">
      <c r="A1709" s="5" t="str">
        <f ca="1">IFERROR(__xludf.DUMMYFUNCTION("""COMPUTED_VALUE"""),"19961004CASTP")</f>
        <v>19961004CASTP</v>
      </c>
      <c r="B1709" s="5" t="str">
        <f ca="1">IFERROR(__xludf.DUMMYFUNCTION("""COMPUTED_VALUE"""),"No Data")</f>
        <v>No Data</v>
      </c>
      <c r="C1709" s="5"/>
      <c r="D1709" s="5"/>
    </row>
    <row r="1710" spans="1:4" ht="13">
      <c r="A1710" s="5" t="str">
        <f ca="1">IFERROR(__xludf.DUMMYFUNCTION("""COMPUTED_VALUE"""),"19961002PASMP")</f>
        <v>19961002PASMP</v>
      </c>
      <c r="B1710" s="5" t="str">
        <f ca="1">IFERROR(__xludf.DUMMYFUNCTION("""COMPUTED_VALUE"""),"No Data")</f>
        <v>No Data</v>
      </c>
      <c r="C1710" s="5"/>
      <c r="D1710" s="5"/>
    </row>
    <row r="1711" spans="1:4" ht="13">
      <c r="A1711" s="5" t="str">
        <f ca="1">IFERROR(__xludf.DUMMYFUNCTION("""COMPUTED_VALUE"""),"19960925GADED")</f>
        <v>19960925GADED</v>
      </c>
      <c r="B1711" s="5" t="str">
        <f ca="1">IFERROR(__xludf.DUMMYFUNCTION("""COMPUTED_VALUE"""),"No Data")</f>
        <v>No Data</v>
      </c>
      <c r="C1711" s="5"/>
      <c r="D1711" s="5"/>
    </row>
    <row r="1712" spans="1:4" ht="13">
      <c r="A1712" s="5" t="str">
        <f ca="1">IFERROR(__xludf.DUMMYFUNCTION("""COMPUTED_VALUE"""),"19960726CAJOL")</f>
        <v>19960726CAJOL</v>
      </c>
      <c r="B1712" s="5" t="str">
        <f ca="1">IFERROR(__xludf.DUMMYFUNCTION("""COMPUTED_VALUE"""),"Handgun")</f>
        <v>Handgun</v>
      </c>
      <c r="C1712" s="5" t="str">
        <f ca="1">IFERROR(__xludf.DUMMYFUNCTION("""COMPUTED_VALUE"""),"9mm")</f>
        <v>9mm</v>
      </c>
      <c r="D1712" s="5"/>
    </row>
    <row r="1713" spans="1:4" ht="13">
      <c r="A1713" s="5" t="str">
        <f ca="1">IFERROR(__xludf.DUMMYFUNCTION("""COMPUTED_VALUE"""),"19960604CAWEH")</f>
        <v>19960604CAWEH</v>
      </c>
      <c r="B1713" s="5" t="str">
        <f ca="1">IFERROR(__xludf.DUMMYFUNCTION("""COMPUTED_VALUE"""),"No Data")</f>
        <v>No Data</v>
      </c>
      <c r="C1713" s="5"/>
      <c r="D1713" s="5"/>
    </row>
    <row r="1714" spans="1:4" ht="13">
      <c r="A1714" s="5" t="str">
        <f ca="1">IFERROR(__xludf.DUMMYFUNCTION("""COMPUTED_VALUE"""),"19960522CACOC")</f>
        <v>19960522CACOC</v>
      </c>
      <c r="B1714" s="5" t="str">
        <f ca="1">IFERROR(__xludf.DUMMYFUNCTION("""COMPUTED_VALUE"""),"Handgun")</f>
        <v>Handgun</v>
      </c>
      <c r="C1714" s="5" t="str">
        <f ca="1">IFERROR(__xludf.DUMMYFUNCTION("""COMPUTED_VALUE"""),"Unknown")</f>
        <v>Unknown</v>
      </c>
      <c r="D1714" s="5"/>
    </row>
    <row r="1715" spans="1:4" ht="13">
      <c r="A1715" s="5" t="str">
        <f ca="1">IFERROR(__xludf.DUMMYFUNCTION("""COMPUTED_VALUE"""),"19960514UTBIT")</f>
        <v>19960514UTBIT</v>
      </c>
      <c r="B1715" s="5" t="str">
        <f ca="1">IFERROR(__xludf.DUMMYFUNCTION("""COMPUTED_VALUE"""),"Handgun")</f>
        <v>Handgun</v>
      </c>
      <c r="C1715" s="5" t="str">
        <f ca="1">IFERROR(__xludf.DUMMYFUNCTION("""COMPUTED_VALUE"""),".357 caliber")</f>
        <v>.357 caliber</v>
      </c>
      <c r="D1715" s="5"/>
    </row>
    <row r="1716" spans="1:4" ht="13">
      <c r="A1716" s="5" t="str">
        <f ca="1">IFERROR(__xludf.DUMMYFUNCTION("""COMPUTED_VALUE"""),"19960415DCMCW")</f>
        <v>19960415DCMCW</v>
      </c>
      <c r="B1716" s="5" t="str">
        <f ca="1">IFERROR(__xludf.DUMMYFUNCTION("""COMPUTED_VALUE"""),"No Data")</f>
        <v>No Data</v>
      </c>
      <c r="C1716" s="5"/>
      <c r="D1716" s="5"/>
    </row>
    <row r="1717" spans="1:4" ht="13">
      <c r="A1717" s="5" t="str">
        <f ca="1">IFERROR(__xludf.DUMMYFUNCTION("""COMPUTED_VALUE"""),"19960411ALTAT")</f>
        <v>19960411ALTAT</v>
      </c>
      <c r="B1717" s="5" t="str">
        <f ca="1">IFERROR(__xludf.DUMMYFUNCTION("""COMPUTED_VALUE"""),"Shotgun")</f>
        <v>Shotgun</v>
      </c>
      <c r="C1717" s="5" t="str">
        <f ca="1">IFERROR(__xludf.DUMMYFUNCTION("""COMPUTED_VALUE"""),"12 gauge")</f>
        <v>12 gauge</v>
      </c>
      <c r="D1717" s="5"/>
    </row>
    <row r="1718" spans="1:4" ht="13">
      <c r="A1718" s="5" t="str">
        <f ca="1">IFERROR(__xludf.DUMMYFUNCTION("""COMPUTED_VALUE"""),"19960319NVSWL")</f>
        <v>19960319NVSWL</v>
      </c>
      <c r="B1718" s="5" t="str">
        <f ca="1">IFERROR(__xludf.DUMMYFUNCTION("""COMPUTED_VALUE"""),"Other")</f>
        <v>Other</v>
      </c>
      <c r="C1718" s="5" t="str">
        <f ca="1">IFERROR(__xludf.DUMMYFUNCTION("""COMPUTED_VALUE"""),"Pellet")</f>
        <v>Pellet</v>
      </c>
      <c r="D1718" s="5"/>
    </row>
    <row r="1719" spans="1:4" ht="13">
      <c r="A1719" s="5" t="str">
        <f ca="1">IFERROR(__xludf.DUMMYFUNCTION("""COMPUTED_VALUE"""),"19960311NCNON")</f>
        <v>19960311NCNON</v>
      </c>
      <c r="B1719" s="5" t="str">
        <f ca="1">IFERROR(__xludf.DUMMYFUNCTION("""COMPUTED_VALUE"""),"Handgun")</f>
        <v>Handgun</v>
      </c>
      <c r="C1719" s="5" t="str">
        <f ca="1">IFERROR(__xludf.DUMMYFUNCTION("""COMPUTED_VALUE"""),"9mm")</f>
        <v>9mm</v>
      </c>
      <c r="D1719" s="5"/>
    </row>
    <row r="1720" spans="1:4" ht="13">
      <c r="A1720" s="5" t="str">
        <f ca="1">IFERROR(__xludf.DUMMYFUNCTION("""COMPUTED_VALUE"""),"19960229MOBES")</f>
        <v>19960229MOBES</v>
      </c>
      <c r="B1720" s="5" t="str">
        <f ca="1">IFERROR(__xludf.DUMMYFUNCTION("""COMPUTED_VALUE"""),"Handgun")</f>
        <v>Handgun</v>
      </c>
      <c r="C1720" s="5" t="str">
        <f ca="1">IFERROR(__xludf.DUMMYFUNCTION("""COMPUTED_VALUE"""),"9mm")</f>
        <v>9mm</v>
      </c>
      <c r="D1720" s="5"/>
    </row>
    <row r="1721" spans="1:4" ht="13">
      <c r="A1721" s="5" t="str">
        <f ca="1">IFERROR(__xludf.DUMMYFUNCTION("""COMPUTED_VALUE"""),"19960222GAJES")</f>
        <v>19960222GAJES</v>
      </c>
      <c r="B1721" s="5" t="str">
        <f ca="1">IFERROR(__xludf.DUMMYFUNCTION("""COMPUTED_VALUE"""),"Handgun")</f>
        <v>Handgun</v>
      </c>
      <c r="C1721" s="5" t="str">
        <f ca="1">IFERROR(__xludf.DUMMYFUNCTION("""COMPUTED_VALUE"""),".38 caliber")</f>
        <v>.38 caliber</v>
      </c>
      <c r="D1721" s="5"/>
    </row>
    <row r="1722" spans="1:4" ht="13">
      <c r="A1722" s="5" t="str">
        <f ca="1">IFERROR(__xludf.DUMMYFUNCTION("""COMPUTED_VALUE"""),"19960208CAMIM")</f>
        <v>19960208CAMIM</v>
      </c>
      <c r="B1722" s="5" t="str">
        <f ca="1">IFERROR(__xludf.DUMMYFUNCTION("""COMPUTED_VALUE"""),"Unknown")</f>
        <v>Unknown</v>
      </c>
      <c r="C1722" s="5" t="str">
        <f ca="1">IFERROR(__xludf.DUMMYFUNCTION("""COMPUTED_VALUE"""),".38 caliber")</f>
        <v>.38 caliber</v>
      </c>
      <c r="D1722" s="5"/>
    </row>
    <row r="1723" spans="1:4" ht="13">
      <c r="A1723" s="5" t="str">
        <f ca="1">IFERROR(__xludf.DUMMYFUNCTION("""COMPUTED_VALUE"""),"19960202WAFRM")</f>
        <v>19960202WAFRM</v>
      </c>
      <c r="B1723" s="5" t="str">
        <f ca="1">IFERROR(__xludf.DUMMYFUNCTION("""COMPUTED_VALUE"""),"Handgun")</f>
        <v>Handgun</v>
      </c>
      <c r="C1723" s="5" t="str">
        <f ca="1">IFERROR(__xludf.DUMMYFUNCTION("""COMPUTED_VALUE"""),"Unknown")</f>
        <v>Unknown</v>
      </c>
      <c r="D1723" s="5" t="str">
        <f ca="1">IFERROR(__xludf.DUMMYFUNCTION("""COMPUTED_VALUE"""),"Rifle and 2 handguns taken from father")</f>
        <v>Rifle and 2 handguns taken from father</v>
      </c>
    </row>
    <row r="1724" spans="1:4" ht="13">
      <c r="A1724" s="5" t="str">
        <f ca="1">IFERROR(__xludf.DUMMYFUNCTION("""COMPUTED_VALUE"""),"19960202WAFRM")</f>
        <v>19960202WAFRM</v>
      </c>
      <c r="B1724" s="5" t="str">
        <f ca="1">IFERROR(__xludf.DUMMYFUNCTION("""COMPUTED_VALUE"""),"Handgun")</f>
        <v>Handgun</v>
      </c>
      <c r="C1724" s="5" t="str">
        <f ca="1">IFERROR(__xludf.DUMMYFUNCTION("""COMPUTED_VALUE"""),"Unknown")</f>
        <v>Unknown</v>
      </c>
      <c r="D1724" s="5" t="str">
        <f ca="1">IFERROR(__xludf.DUMMYFUNCTION("""COMPUTED_VALUE"""),"Rifle and 2 handguns taken from father")</f>
        <v>Rifle and 2 handguns taken from father</v>
      </c>
    </row>
    <row r="1725" spans="1:4" ht="13">
      <c r="A1725" s="5" t="str">
        <f ca="1">IFERROR(__xludf.DUMMYFUNCTION("""COMPUTED_VALUE"""),"19960202WAFRM")</f>
        <v>19960202WAFRM</v>
      </c>
      <c r="B1725" s="5" t="str">
        <f ca="1">IFERROR(__xludf.DUMMYFUNCTION("""COMPUTED_VALUE"""),"Rifle")</f>
        <v>Rifle</v>
      </c>
      <c r="C1725" s="5" t="str">
        <f ca="1">IFERROR(__xludf.DUMMYFUNCTION("""COMPUTED_VALUE"""),".30-30")</f>
        <v>.30-30</v>
      </c>
      <c r="D1725" s="5" t="str">
        <f ca="1">IFERROR(__xludf.DUMMYFUNCTION("""COMPUTED_VALUE"""),"Rifle and 2 handguns taken from father")</f>
        <v>Rifle and 2 handguns taken from father</v>
      </c>
    </row>
    <row r="1726" spans="1:4" ht="13">
      <c r="A1726" s="5" t="str">
        <f ca="1">IFERROR(__xludf.DUMMYFUNCTION("""COMPUTED_VALUE"""),"19960126TNEAM")</f>
        <v>19960126TNEAM</v>
      </c>
      <c r="B1726" s="5" t="str">
        <f ca="1">IFERROR(__xludf.DUMMYFUNCTION("""COMPUTED_VALUE"""),"Handgun")</f>
        <v>Handgun</v>
      </c>
      <c r="C1726" s="5" t="str">
        <f ca="1">IFERROR(__xludf.DUMMYFUNCTION("""COMPUTED_VALUE"""),"Unknown")</f>
        <v>Unknown</v>
      </c>
      <c r="D1726" s="5"/>
    </row>
    <row r="1727" spans="1:4" ht="13">
      <c r="A1727" s="5" t="str">
        <f ca="1">IFERROR(__xludf.DUMMYFUNCTION("""COMPUTED_VALUE"""),"19960119DCWIW")</f>
        <v>19960119DCWIW</v>
      </c>
      <c r="B1727" s="5" t="str">
        <f ca="1">IFERROR(__xludf.DUMMYFUNCTION("""COMPUTED_VALUE"""),"No Data")</f>
        <v>No Data</v>
      </c>
      <c r="C1727" s="5"/>
      <c r="D1727" s="5"/>
    </row>
    <row r="1728" spans="1:4" ht="13">
      <c r="A1728" s="5" t="str">
        <f ca="1">IFERROR(__xludf.DUMMYFUNCTION("""COMPUTED_VALUE"""),"19960102PAGIG")</f>
        <v>19960102PAGIG</v>
      </c>
      <c r="B1728" s="5" t="str">
        <f ca="1">IFERROR(__xludf.DUMMYFUNCTION("""COMPUTED_VALUE"""),"No Data")</f>
        <v>No Data</v>
      </c>
      <c r="C1728" s="5"/>
      <c r="D1728" s="5"/>
    </row>
    <row r="1729" spans="1:4" ht="13">
      <c r="A1729" s="5" t="str">
        <f ca="1">IFERROR(__xludf.DUMMYFUNCTION("""COMPUTED_VALUE"""),"19951128NYTHN")</f>
        <v>19951128NYTHN</v>
      </c>
      <c r="B1729" s="5" t="str">
        <f ca="1">IFERROR(__xludf.DUMMYFUNCTION("""COMPUTED_VALUE"""),"Handgun")</f>
        <v>Handgun</v>
      </c>
      <c r="C1729" s="5" t="str">
        <f ca="1">IFERROR(__xludf.DUMMYFUNCTION("""COMPUTED_VALUE"""),".25 caliber")</f>
        <v>.25 caliber</v>
      </c>
      <c r="D1729" s="5"/>
    </row>
    <row r="1730" spans="1:4" ht="13">
      <c r="A1730" s="5" t="str">
        <f ca="1">IFERROR(__xludf.DUMMYFUNCTION("""COMPUTED_VALUE"""),"19951115TNRIL")</f>
        <v>19951115TNRIL</v>
      </c>
      <c r="B1730" s="5" t="str">
        <f ca="1">IFERROR(__xludf.DUMMYFUNCTION("""COMPUTED_VALUE"""),"Rifle")</f>
        <v>Rifle</v>
      </c>
      <c r="C1730" s="5" t="str">
        <f ca="1">IFERROR(__xludf.DUMMYFUNCTION("""COMPUTED_VALUE"""),".22 caliber")</f>
        <v>.22 caliber</v>
      </c>
      <c r="D1730" s="5"/>
    </row>
    <row r="1731" spans="1:4" ht="13">
      <c r="A1731" s="5" t="str">
        <f ca="1">IFERROR(__xludf.DUMMYFUNCTION("""COMPUTED_VALUE"""),"19951102FLBLM")</f>
        <v>19951102FLBLM</v>
      </c>
      <c r="B1731" s="5" t="str">
        <f ca="1">IFERROR(__xludf.DUMMYFUNCTION("""COMPUTED_VALUE"""),"No Data")</f>
        <v>No Data</v>
      </c>
      <c r="C1731" s="5"/>
      <c r="D1731" s="5"/>
    </row>
    <row r="1732" spans="1:4" ht="13">
      <c r="A1732" s="5" t="str">
        <f ca="1">IFERROR(__xludf.DUMMYFUNCTION("""COMPUTED_VALUE"""),"19951030VAJOR")</f>
        <v>19951030VAJOR</v>
      </c>
      <c r="B1732" s="5" t="str">
        <f ca="1">IFERROR(__xludf.DUMMYFUNCTION("""COMPUTED_VALUE"""),"Handgun")</f>
        <v>Handgun</v>
      </c>
      <c r="C1732" s="5" t="str">
        <f ca="1">IFERROR(__xludf.DUMMYFUNCTION("""COMPUTED_VALUE"""),".38 caliber")</f>
        <v>.38 caliber</v>
      </c>
      <c r="D1732" s="5"/>
    </row>
    <row r="1733" spans="1:4" ht="13">
      <c r="A1733" s="5" t="str">
        <f ca="1">IFERROR(__xludf.DUMMYFUNCTION("""COMPUTED_VALUE"""),"19951023FLLAC")</f>
        <v>19951023FLLAC</v>
      </c>
      <c r="B1733" s="5" t="str">
        <f ca="1">IFERROR(__xludf.DUMMYFUNCTION("""COMPUTED_VALUE"""),"Handgun")</f>
        <v>Handgun</v>
      </c>
      <c r="C1733" s="5" t="str">
        <f ca="1">IFERROR(__xludf.DUMMYFUNCTION("""COMPUTED_VALUE"""),".25 caliber")</f>
        <v>.25 caliber</v>
      </c>
      <c r="D1733" s="5"/>
    </row>
    <row r="1734" spans="1:4" ht="13">
      <c r="A1734" s="5" t="str">
        <f ca="1">IFERROR(__xludf.DUMMYFUNCTION("""COMPUTED_VALUE"""),"19951012SCBLB")</f>
        <v>19951012SCBLB</v>
      </c>
      <c r="B1734" s="5" t="str">
        <f ca="1">IFERROR(__xludf.DUMMYFUNCTION("""COMPUTED_VALUE"""),"Handgun")</f>
        <v>Handgun</v>
      </c>
      <c r="C1734" s="5" t="str">
        <f ca="1">IFERROR(__xludf.DUMMYFUNCTION("""COMPUTED_VALUE"""),".32 caliber")</f>
        <v>.32 caliber</v>
      </c>
      <c r="D1734" s="5"/>
    </row>
    <row r="1735" spans="1:4" ht="13">
      <c r="A1735" s="5" t="str">
        <f ca="1">IFERROR(__xludf.DUMMYFUNCTION("""COMPUTED_VALUE"""),"19950929FLTAT")</f>
        <v>19950929FLTAT</v>
      </c>
      <c r="B1735" s="5" t="str">
        <f ca="1">IFERROR(__xludf.DUMMYFUNCTION("""COMPUTED_VALUE"""),"Handgun")</f>
        <v>Handgun</v>
      </c>
      <c r="C1735" s="5" t="str">
        <f ca="1">IFERROR(__xludf.DUMMYFUNCTION("""COMPUTED_VALUE"""),"9mm")</f>
        <v>9mm</v>
      </c>
      <c r="D1735" s="5"/>
    </row>
    <row r="1736" spans="1:4" ht="13">
      <c r="A1736" s="5" t="str">
        <f ca="1">IFERROR(__xludf.DUMMYFUNCTION("""COMPUTED_VALUE"""),"19950927ALBLP")</f>
        <v>19950927ALBLP</v>
      </c>
      <c r="B1736" s="5" t="str">
        <f ca="1">IFERROR(__xludf.DUMMYFUNCTION("""COMPUTED_VALUE"""),"Handgun")</f>
        <v>Handgun</v>
      </c>
      <c r="C1736" s="5" t="str">
        <f ca="1">IFERROR(__xludf.DUMMYFUNCTION("""COMPUTED_VALUE"""),"Unknown")</f>
        <v>Unknown</v>
      </c>
      <c r="D1736" s="5"/>
    </row>
    <row r="1737" spans="1:4" ht="13">
      <c r="A1737" s="5" t="str">
        <f ca="1">IFERROR(__xludf.DUMMYFUNCTION("""COMPUTED_VALUE"""),"19950915KYGEW")</f>
        <v>19950915KYGEW</v>
      </c>
      <c r="B1737" s="5" t="str">
        <f ca="1">IFERROR(__xludf.DUMMYFUNCTION("""COMPUTED_VALUE"""),"Multiple Handguns")</f>
        <v>Multiple Handguns</v>
      </c>
      <c r="C1737" s="5" t="str">
        <f ca="1">IFERROR(__xludf.DUMMYFUNCTION("""COMPUTED_VALUE"""),"Unknown")</f>
        <v>Unknown</v>
      </c>
      <c r="D1737" s="5"/>
    </row>
    <row r="1738" spans="1:4" ht="13">
      <c r="A1738" s="5" t="str">
        <f ca="1">IFERROR(__xludf.DUMMYFUNCTION("""COMPUTED_VALUE"""),"19950914KSOLO")</f>
        <v>19950914KSOLO</v>
      </c>
      <c r="B1738" s="5" t="str">
        <f ca="1">IFERROR(__xludf.DUMMYFUNCTION("""COMPUTED_VALUE"""),"Handgun")</f>
        <v>Handgun</v>
      </c>
      <c r="C1738" s="5" t="str">
        <f ca="1">IFERROR(__xludf.DUMMYFUNCTION("""COMPUTED_VALUE"""),".22 caliber")</f>
        <v>.22 caliber</v>
      </c>
      <c r="D1738" s="5"/>
    </row>
    <row r="1739" spans="1:4" ht="13">
      <c r="A1739" s="5" t="str">
        <f ca="1">IFERROR(__xludf.DUMMYFUNCTION("""COMPUTED_VALUE"""),"19950912TNCYM")</f>
        <v>19950912TNCYM</v>
      </c>
      <c r="B1739" s="5" t="str">
        <f ca="1">IFERROR(__xludf.DUMMYFUNCTION("""COMPUTED_VALUE"""),"Handgun")</f>
        <v>Handgun</v>
      </c>
      <c r="C1739" s="5" t="str">
        <f ca="1">IFERROR(__xludf.DUMMYFUNCTION("""COMPUTED_VALUE"""),".38 caliber")</f>
        <v>.38 caliber</v>
      </c>
      <c r="D1739" s="5"/>
    </row>
    <row r="1740" spans="1:4" ht="13">
      <c r="A1740" s="5" t="str">
        <f ca="1">IFERROR(__xludf.DUMMYFUNCTION("""COMPUTED_VALUE"""),"19950829TXMEL")</f>
        <v>19950829TXMEL</v>
      </c>
      <c r="B1740" s="5" t="str">
        <f ca="1">IFERROR(__xludf.DUMMYFUNCTION("""COMPUTED_VALUE"""),"Shotgun")</f>
        <v>Shotgun</v>
      </c>
      <c r="C1740" s="5" t="str">
        <f ca="1">IFERROR(__xludf.DUMMYFUNCTION("""COMPUTED_VALUE"""),"Unknown")</f>
        <v>Unknown</v>
      </c>
      <c r="D1740" s="5"/>
    </row>
    <row r="1741" spans="1:4" ht="13">
      <c r="A1741" s="5" t="str">
        <f ca="1">IFERROR(__xludf.DUMMYFUNCTION("""COMPUTED_VALUE"""),"19950614FLLAL")</f>
        <v>19950614FLLAL</v>
      </c>
      <c r="B1741" s="5" t="str">
        <f ca="1">IFERROR(__xludf.DUMMYFUNCTION("""COMPUTED_VALUE"""),"Handgun")</f>
        <v>Handgun</v>
      </c>
      <c r="C1741" s="5" t="str">
        <f ca="1">IFERROR(__xludf.DUMMYFUNCTION("""COMPUTED_VALUE"""),".45 caliber")</f>
        <v>.45 caliber</v>
      </c>
      <c r="D1741" s="5"/>
    </row>
    <row r="1742" spans="1:4" ht="13">
      <c r="A1742" s="5" t="str">
        <f ca="1">IFERROR(__xludf.DUMMYFUNCTION("""COMPUTED_VALUE"""),"19950327MIRED")</f>
        <v>19950327MIRED</v>
      </c>
      <c r="B1742" s="5" t="str">
        <f ca="1">IFERROR(__xludf.DUMMYFUNCTION("""COMPUTED_VALUE"""),"Handgun")</f>
        <v>Handgun</v>
      </c>
      <c r="C1742" s="5" t="str">
        <f ca="1">IFERROR(__xludf.DUMMYFUNCTION("""COMPUTED_VALUE"""),".22 caliber")</f>
        <v>.22 caliber</v>
      </c>
      <c r="D1742" s="5"/>
    </row>
    <row r="1743" spans="1:4" ht="13">
      <c r="A1743" s="5" t="str">
        <f ca="1">IFERROR(__xludf.DUMMYFUNCTION("""COMPUTED_VALUE"""),"19950303MIPED")</f>
        <v>19950303MIPED</v>
      </c>
      <c r="B1743" s="5" t="str">
        <f ca="1">IFERROR(__xludf.DUMMYFUNCTION("""COMPUTED_VALUE"""),"Handgun")</f>
        <v>Handgun</v>
      </c>
      <c r="C1743" s="5" t="str">
        <f ca="1">IFERROR(__xludf.DUMMYFUNCTION("""COMPUTED_VALUE"""),"Unknown")</f>
        <v>Unknown</v>
      </c>
      <c r="D1743" s="5"/>
    </row>
    <row r="1744" spans="1:4" ht="13">
      <c r="A1744" s="5" t="str">
        <f ca="1">IFERROR(__xludf.DUMMYFUNCTION("""COMPUTED_VALUE"""),"19950208NECHS")</f>
        <v>19950208NECHS</v>
      </c>
      <c r="B1744" s="5" t="str">
        <f ca="1">IFERROR(__xludf.DUMMYFUNCTION("""COMPUTED_VALUE"""),"Handgun")</f>
        <v>Handgun</v>
      </c>
      <c r="C1744" s="5" t="str">
        <f ca="1">IFERROR(__xludf.DUMMYFUNCTION("""COMPUTED_VALUE"""),"Unknown")</f>
        <v>Unknown</v>
      </c>
      <c r="D1744" s="5"/>
    </row>
    <row r="1745" spans="1:4" ht="13">
      <c r="A1745" s="5" t="str">
        <f ca="1">IFERROR(__xludf.DUMMYFUNCTION("""COMPUTED_VALUE"""),"19950202CAJOL")</f>
        <v>19950202CAJOL</v>
      </c>
      <c r="B1745" s="5" t="str">
        <f ca="1">IFERROR(__xludf.DUMMYFUNCTION("""COMPUTED_VALUE"""),"Handgun")</f>
        <v>Handgun</v>
      </c>
      <c r="C1745" s="5" t="str">
        <f ca="1">IFERROR(__xludf.DUMMYFUNCTION("""COMPUTED_VALUE"""),"Unknown")</f>
        <v>Unknown</v>
      </c>
      <c r="D1745" s="5"/>
    </row>
    <row r="1746" spans="1:4" ht="13">
      <c r="A1746" s="5" t="str">
        <f ca="1">IFERROR(__xludf.DUMMYFUNCTION("""COMPUTED_VALUE"""),"19950124DCSPW")</f>
        <v>19950124DCSPW</v>
      </c>
      <c r="B1746" s="5" t="str">
        <f ca="1">IFERROR(__xludf.DUMMYFUNCTION("""COMPUTED_VALUE"""),"Handgun")</f>
        <v>Handgun</v>
      </c>
      <c r="C1746" s="5" t="str">
        <f ca="1">IFERROR(__xludf.DUMMYFUNCTION("""COMPUTED_VALUE"""),"Unknown")</f>
        <v>Unknown</v>
      </c>
      <c r="D1746" s="5"/>
    </row>
    <row r="1747" spans="1:4" ht="13">
      <c r="A1747" s="5" t="str">
        <f ca="1">IFERROR(__xludf.DUMMYFUNCTION("""COMPUTED_VALUE"""),"19950123CASAR")</f>
        <v>19950123CASAR</v>
      </c>
      <c r="B1747" s="5" t="str">
        <f ca="1">IFERROR(__xludf.DUMMYFUNCTION("""COMPUTED_VALUE"""),"Shotgun")</f>
        <v>Shotgun</v>
      </c>
      <c r="C1747" s="5" t="str">
        <f ca="1">IFERROR(__xludf.DUMMYFUNCTION("""COMPUTED_VALUE"""),"Unknown")</f>
        <v>Unknown</v>
      </c>
      <c r="D1747" s="5"/>
    </row>
    <row r="1748" spans="1:4" ht="13">
      <c r="A1748" s="5" t="str">
        <f ca="1">IFERROR(__xludf.DUMMYFUNCTION("""COMPUTED_VALUE"""),"19950112WAGAS")</f>
        <v>19950112WAGAS</v>
      </c>
      <c r="B1748" s="5" t="str">
        <f ca="1">IFERROR(__xludf.DUMMYFUNCTION("""COMPUTED_VALUE"""),"Handgun")</f>
        <v>Handgun</v>
      </c>
      <c r="C1748" s="5" t="str">
        <f ca="1">IFERROR(__xludf.DUMMYFUNCTION("""COMPUTED_VALUE"""),"9mm")</f>
        <v>9mm</v>
      </c>
      <c r="D1748" s="5"/>
    </row>
    <row r="1749" spans="1:4" ht="13">
      <c r="A1749" s="5" t="str">
        <f ca="1">IFERROR(__xludf.DUMMYFUNCTION("""COMPUTED_VALUE"""),"19950110FLPAP")</f>
        <v>19950110FLPAP</v>
      </c>
      <c r="B1749" s="5" t="str">
        <f ca="1">IFERROR(__xludf.DUMMYFUNCTION("""COMPUTED_VALUE"""),"Handgun")</f>
        <v>Handgun</v>
      </c>
      <c r="C1749" s="5" t="str">
        <f ca="1">IFERROR(__xludf.DUMMYFUNCTION("""COMPUTED_VALUE"""),".25 caliber")</f>
        <v>.25 caliber</v>
      </c>
      <c r="D1749" s="5"/>
    </row>
    <row r="1750" spans="1:4" ht="13">
      <c r="A1750" s="5" t="str">
        <f ca="1">IFERROR(__xludf.DUMMYFUNCTION("""COMPUTED_VALUE"""),"19950105DCCAW")</f>
        <v>19950105DCCAW</v>
      </c>
      <c r="B1750" s="5" t="str">
        <f ca="1">IFERROR(__xludf.DUMMYFUNCTION("""COMPUTED_VALUE"""),"Handgun")</f>
        <v>Handgun</v>
      </c>
      <c r="C1750" s="5" t="str">
        <f ca="1">IFERROR(__xludf.DUMMYFUNCTION("""COMPUTED_VALUE"""),".38 caliber")</f>
        <v>.38 caliber</v>
      </c>
      <c r="D1750" s="5"/>
    </row>
    <row r="1751" spans="1:4" ht="13">
      <c r="A1751" s="5" t="str">
        <f ca="1">IFERROR(__xludf.DUMMYFUNCTION("""COMPUTED_VALUE"""),"19941207FLPAM")</f>
        <v>19941207FLPAM</v>
      </c>
      <c r="B1751" s="5" t="str">
        <f ca="1">IFERROR(__xludf.DUMMYFUNCTION("""COMPUTED_VALUE"""),"Handgun")</f>
        <v>Handgun</v>
      </c>
      <c r="C1751" s="5"/>
      <c r="D1751" s="5"/>
    </row>
    <row r="1752" spans="1:4" ht="13">
      <c r="A1752" s="5" t="str">
        <f ca="1">IFERROR(__xludf.DUMMYFUNCTION("""COMPUTED_VALUE"""),"19941115WASTT")</f>
        <v>19941115WASTT</v>
      </c>
      <c r="B1752" s="5" t="str">
        <f ca="1">IFERROR(__xludf.DUMMYFUNCTION("""COMPUTED_VALUE"""),"Handgun")</f>
        <v>Handgun</v>
      </c>
      <c r="C1752" s="5" t="str">
        <f ca="1">IFERROR(__xludf.DUMMYFUNCTION("""COMPUTED_VALUE"""),"Unknown")</f>
        <v>Unknown</v>
      </c>
      <c r="D1752" s="5"/>
    </row>
    <row r="1753" spans="1:4" ht="13">
      <c r="A1753" s="5" t="str">
        <f ca="1">IFERROR(__xludf.DUMMYFUNCTION("""COMPUTED_VALUE"""),"19941108IAWEM")</f>
        <v>19941108IAWEM</v>
      </c>
      <c r="B1753" s="5" t="str">
        <f ca="1">IFERROR(__xludf.DUMMYFUNCTION("""COMPUTED_VALUE"""),"No Data")</f>
        <v>No Data</v>
      </c>
      <c r="C1753" s="5"/>
      <c r="D1753" s="5"/>
    </row>
    <row r="1754" spans="1:4" ht="13">
      <c r="A1754" s="5" t="str">
        <f ca="1">IFERROR(__xludf.DUMMYFUNCTION("""COMPUTED_VALUE"""),"19941107OHWIW")</f>
        <v>19941107OHWIW</v>
      </c>
      <c r="B1754" s="5" t="str">
        <f ca="1">IFERROR(__xludf.DUMMYFUNCTION("""COMPUTED_VALUE"""),"No Data")</f>
        <v>No Data</v>
      </c>
      <c r="C1754" s="5"/>
      <c r="D1754" s="5"/>
    </row>
    <row r="1755" spans="1:4" ht="13">
      <c r="A1755" s="5" t="str">
        <f ca="1">IFERROR(__xludf.DUMMYFUNCTION("""COMPUTED_VALUE"""),"19941105CATHS")</f>
        <v>19941105CATHS</v>
      </c>
      <c r="B1755" s="5" t="str">
        <f ca="1">IFERROR(__xludf.DUMMYFUNCTION("""COMPUTED_VALUE"""),"Handgun")</f>
        <v>Handgun</v>
      </c>
      <c r="C1755" s="5" t="str">
        <f ca="1">IFERROR(__xludf.DUMMYFUNCTION("""COMPUTED_VALUE"""),"Unknown")</f>
        <v>Unknown</v>
      </c>
      <c r="D1755" s="5"/>
    </row>
    <row r="1756" spans="1:4" ht="13">
      <c r="A1756" s="5" t="str">
        <f ca="1">IFERROR(__xludf.DUMMYFUNCTION("""COMPUTED_VALUE"""),"19941031CAALA")</f>
        <v>19941031CAALA</v>
      </c>
      <c r="B1756" s="5" t="str">
        <f ca="1">IFERROR(__xludf.DUMMYFUNCTION("""COMPUTED_VALUE"""),"Handgun")</f>
        <v>Handgun</v>
      </c>
      <c r="C1756" s="5" t="str">
        <f ca="1">IFERROR(__xludf.DUMMYFUNCTION("""COMPUTED_VALUE"""),".45 caliber")</f>
        <v>.45 caliber</v>
      </c>
      <c r="D1756" s="5"/>
    </row>
    <row r="1757" spans="1:4" ht="13">
      <c r="A1757" s="5" t="str">
        <f ca="1">IFERROR(__xludf.DUMMYFUNCTION("""COMPUTED_VALUE"""),"19941017ILHUC")</f>
        <v>19941017ILHUC</v>
      </c>
      <c r="B1757" s="5" t="str">
        <f ca="1">IFERROR(__xludf.DUMMYFUNCTION("""COMPUTED_VALUE"""),"Handgun")</f>
        <v>Handgun</v>
      </c>
      <c r="C1757" s="5" t="str">
        <f ca="1">IFERROR(__xludf.DUMMYFUNCTION("""COMPUTED_VALUE"""),"Unknown")</f>
        <v>Unknown</v>
      </c>
      <c r="D1757" s="5"/>
    </row>
    <row r="1758" spans="1:4" ht="13">
      <c r="A1758" s="5" t="str">
        <f ca="1">IFERROR(__xludf.DUMMYFUNCTION("""COMPUTED_VALUE"""),"19941012NCGRG")</f>
        <v>19941012NCGRG</v>
      </c>
      <c r="B1758" s="5" t="str">
        <f ca="1">IFERROR(__xludf.DUMMYFUNCTION("""COMPUTED_VALUE"""),"No Data")</f>
        <v>No Data</v>
      </c>
      <c r="C1758" s="5"/>
      <c r="D1758" s="5"/>
    </row>
    <row r="1759" spans="1:4" ht="13">
      <c r="A1759" s="5" t="str">
        <f ca="1">IFERROR(__xludf.DUMMYFUNCTION("""COMPUTED_VALUE"""),"19940922ORLEL")</f>
        <v>19940922ORLEL</v>
      </c>
      <c r="B1759" s="5" t="str">
        <f ca="1">IFERROR(__xludf.DUMMYFUNCTION("""COMPUTED_VALUE"""),"Handgun")</f>
        <v>Handgun</v>
      </c>
      <c r="C1759" s="5" t="str">
        <f ca="1">IFERROR(__xludf.DUMMYFUNCTION("""COMPUTED_VALUE"""),".22 caliber")</f>
        <v>.22 caliber</v>
      </c>
      <c r="D1759" s="5"/>
    </row>
    <row r="1760" spans="1:4" ht="13">
      <c r="A1760" s="5" t="str">
        <f ca="1">IFERROR(__xludf.DUMMYFUNCTION("""COMPUTED_VALUE"""),"19940919CALOL")</f>
        <v>19940919CALOL</v>
      </c>
      <c r="B1760" s="5" t="str">
        <f ca="1">IFERROR(__xludf.DUMMYFUNCTION("""COMPUTED_VALUE"""),"No Data")</f>
        <v>No Data</v>
      </c>
      <c r="C1760" s="5"/>
      <c r="D1760" s="5"/>
    </row>
    <row r="1761" spans="1:4" ht="13">
      <c r="A1761" s="5" t="str">
        <f ca="1">IFERROR(__xludf.DUMMYFUNCTION("""COMPUTED_VALUE"""),"19940908NYSWA")</f>
        <v>19940908NYSWA</v>
      </c>
      <c r="B1761" s="5" t="str">
        <f ca="1">IFERROR(__xludf.DUMMYFUNCTION("""COMPUTED_VALUE"""),"Handgun")</f>
        <v>Handgun</v>
      </c>
      <c r="C1761" s="5" t="str">
        <f ca="1">IFERROR(__xludf.DUMMYFUNCTION("""COMPUTED_VALUE"""),".22 caliber")</f>
        <v>.22 caliber</v>
      </c>
      <c r="D1761" s="5"/>
    </row>
    <row r="1762" spans="1:4" ht="13">
      <c r="A1762" s="5" t="str">
        <f ca="1">IFERROR(__xludf.DUMMYFUNCTION("""COMPUTED_VALUE"""),"19940907CAHOL")</f>
        <v>19940907CAHOL</v>
      </c>
      <c r="B1762" s="5" t="str">
        <f ca="1">IFERROR(__xludf.DUMMYFUNCTION("""COMPUTED_VALUE"""),"No Data")</f>
        <v>No Data</v>
      </c>
      <c r="C1762" s="5"/>
      <c r="D1762" s="5"/>
    </row>
    <row r="1763" spans="1:4" ht="13">
      <c r="A1763" s="5" t="str">
        <f ca="1">IFERROR(__xludf.DUMMYFUNCTION("""COMPUTED_VALUE"""),"19940725IAOTO")</f>
        <v>19940725IAOTO</v>
      </c>
      <c r="B1763" s="5" t="str">
        <f ca="1">IFERROR(__xludf.DUMMYFUNCTION("""COMPUTED_VALUE"""),"Handgun")</f>
        <v>Handgun</v>
      </c>
      <c r="C1763" s="5" t="str">
        <f ca="1">IFERROR(__xludf.DUMMYFUNCTION("""COMPUTED_VALUE"""),"Unknown")</f>
        <v>Unknown</v>
      </c>
      <c r="D1763" s="5"/>
    </row>
    <row r="1764" spans="1:4" ht="13">
      <c r="A1764" s="5" t="str">
        <f ca="1">IFERROR(__xludf.DUMMYFUNCTION("""COMPUTED_VALUE"""),"19940724PAMAM")</f>
        <v>19940724PAMAM</v>
      </c>
      <c r="B1764" s="5" t="str">
        <f ca="1">IFERROR(__xludf.DUMMYFUNCTION("""COMPUTED_VALUE"""),"No Data")</f>
        <v>No Data</v>
      </c>
      <c r="C1764" s="5"/>
      <c r="D1764" s="5"/>
    </row>
    <row r="1765" spans="1:4" ht="13">
      <c r="A1765" s="5" t="str">
        <f ca="1">IFERROR(__xludf.DUMMYFUNCTION("""COMPUTED_VALUE"""),"19940526KYLAU")</f>
        <v>19940526KYLAU</v>
      </c>
      <c r="B1765" s="5" t="str">
        <f ca="1">IFERROR(__xludf.DUMMYFUNCTION("""COMPUTED_VALUE"""),"Handgun")</f>
        <v>Handgun</v>
      </c>
      <c r="C1765" s="5" t="str">
        <f ca="1">IFERROR(__xludf.DUMMYFUNCTION("""COMPUTED_VALUE"""),"Unknown")</f>
        <v>Unknown</v>
      </c>
      <c r="D1765" s="5"/>
    </row>
    <row r="1766" spans="1:4" ht="13">
      <c r="A1766" s="5" t="str">
        <f ca="1">IFERROR(__xludf.DUMMYFUNCTION("""COMPUTED_VALUE"""),"19940525NJLAW")</f>
        <v>19940525NJLAW</v>
      </c>
      <c r="B1766" s="5" t="str">
        <f ca="1">IFERROR(__xludf.DUMMYFUNCTION("""COMPUTED_VALUE"""),"Handgun")</f>
        <v>Handgun</v>
      </c>
      <c r="C1766" s="5" t="str">
        <f ca="1">IFERROR(__xludf.DUMMYFUNCTION("""COMPUTED_VALUE"""),".357 caliber")</f>
        <v>.357 caliber</v>
      </c>
      <c r="D1766" s="5"/>
    </row>
    <row r="1767" spans="1:4" ht="13">
      <c r="A1767" s="5" t="str">
        <f ca="1">IFERROR(__xludf.DUMMYFUNCTION("""COMPUTED_VALUE"""),"19940525INLAS")</f>
        <v>19940525INLAS</v>
      </c>
      <c r="B1767" s="5" t="str">
        <f ca="1">IFERROR(__xludf.DUMMYFUNCTION("""COMPUTED_VALUE"""),"Handgun")</f>
        <v>Handgun</v>
      </c>
      <c r="C1767" s="5" t="str">
        <f ca="1">IFERROR(__xludf.DUMMYFUNCTION("""COMPUTED_VALUE"""),".22 caliber")</f>
        <v>.22 caliber</v>
      </c>
      <c r="D1767" s="5"/>
    </row>
    <row r="1768" spans="1:4" ht="13">
      <c r="A1768" s="5" t="str">
        <f ca="1">IFERROR(__xludf.DUMMYFUNCTION("""COMPUTED_VALUE"""),"19940502FLNON")</f>
        <v>19940502FLNON</v>
      </c>
      <c r="B1768" s="5" t="str">
        <f ca="1">IFERROR(__xludf.DUMMYFUNCTION("""COMPUTED_VALUE"""),"Handgun")</f>
        <v>Handgun</v>
      </c>
      <c r="C1768" s="5" t="str">
        <f ca="1">IFERROR(__xludf.DUMMYFUNCTION("""COMPUTED_VALUE"""),".38 caliber")</f>
        <v>.38 caliber</v>
      </c>
      <c r="D1768" s="5"/>
    </row>
    <row r="1769" spans="1:4" ht="13">
      <c r="A1769" s="5" t="str">
        <f ca="1">IFERROR(__xludf.DUMMYFUNCTION("""COMPUTED_VALUE"""),"19940421TNJTN")</f>
        <v>19940421TNJTN</v>
      </c>
      <c r="B1769" s="5" t="str">
        <f ca="1">IFERROR(__xludf.DUMMYFUNCTION("""COMPUTED_VALUE"""),"Handgun")</f>
        <v>Handgun</v>
      </c>
      <c r="C1769" s="5" t="str">
        <f ca="1">IFERROR(__xludf.DUMMYFUNCTION("""COMPUTED_VALUE"""),".25 caliber")</f>
        <v>.25 caliber</v>
      </c>
      <c r="D1769" s="5"/>
    </row>
    <row r="1770" spans="1:4" ht="13">
      <c r="A1770" s="5" t="str">
        <f ca="1">IFERROR(__xludf.DUMMYFUNCTION("""COMPUTED_VALUE"""),"19940420INDIS")</f>
        <v>19940420INDIS</v>
      </c>
      <c r="B1770" s="5" t="str">
        <f ca="1">IFERROR(__xludf.DUMMYFUNCTION("""COMPUTED_VALUE"""),"Handgun")</f>
        <v>Handgun</v>
      </c>
      <c r="C1770" s="5" t="str">
        <f ca="1">IFERROR(__xludf.DUMMYFUNCTION("""COMPUTED_VALUE"""),"Unknown")</f>
        <v>Unknown</v>
      </c>
      <c r="D1770" s="5"/>
    </row>
    <row r="1771" spans="1:4" ht="13">
      <c r="A1771" s="5" t="str">
        <f ca="1">IFERROR(__xludf.DUMMYFUNCTION("""COMPUTED_VALUE"""),"19940419DCELW")</f>
        <v>19940419DCELW</v>
      </c>
      <c r="B1771" s="5" t="str">
        <f ca="1">IFERROR(__xludf.DUMMYFUNCTION("""COMPUTED_VALUE"""),"No Data")</f>
        <v>No Data</v>
      </c>
      <c r="C1771" s="5"/>
      <c r="D1771" s="5"/>
    </row>
    <row r="1772" spans="1:4" ht="13">
      <c r="A1772" s="5" t="str">
        <f ca="1">IFERROR(__xludf.DUMMYFUNCTION("""COMPUTED_VALUE"""),"19940413CA49L")</f>
        <v>19940413CA49L</v>
      </c>
      <c r="B1772" s="5" t="str">
        <f ca="1">IFERROR(__xludf.DUMMYFUNCTION("""COMPUTED_VALUE"""),"Handgun")</f>
        <v>Handgun</v>
      </c>
      <c r="C1772" s="5" t="str">
        <f ca="1">IFERROR(__xludf.DUMMYFUNCTION("""COMPUTED_VALUE"""),".38 caliber")</f>
        <v>.38 caliber</v>
      </c>
      <c r="D1772" s="5"/>
    </row>
    <row r="1773" spans="1:4" ht="13">
      <c r="A1773" s="5" t="str">
        <f ca="1">IFERROR(__xludf.DUMMYFUNCTION("""COMPUTED_VALUE"""),"19940412MTMAB")</f>
        <v>19940412MTMAB</v>
      </c>
      <c r="B1773" s="5" t="str">
        <f ca="1">IFERROR(__xludf.DUMMYFUNCTION("""COMPUTED_VALUE"""),"Handgun")</f>
        <v>Handgun</v>
      </c>
      <c r="C1773" s="5" t="str">
        <f ca="1">IFERROR(__xludf.DUMMYFUNCTION("""COMPUTED_VALUE"""),".22 caliber")</f>
        <v>.22 caliber</v>
      </c>
      <c r="D1773" s="5"/>
    </row>
    <row r="1774" spans="1:4" ht="13">
      <c r="A1774" s="5" t="str">
        <f ca="1">IFERROR(__xludf.DUMMYFUNCTION("""COMPUTED_VALUE"""),"19940408MDLAU")</f>
        <v>19940408MDLAU</v>
      </c>
      <c r="B1774" s="5" t="str">
        <f ca="1">IFERROR(__xludf.DUMMYFUNCTION("""COMPUTED_VALUE"""),"Handgun")</f>
        <v>Handgun</v>
      </c>
      <c r="C1774" s="5" t="str">
        <f ca="1">IFERROR(__xludf.DUMMYFUNCTION("""COMPUTED_VALUE"""),"9mm")</f>
        <v>9mm</v>
      </c>
      <c r="D1774" s="5"/>
    </row>
    <row r="1775" spans="1:4" ht="13">
      <c r="A1775" s="5" t="str">
        <f ca="1">IFERROR(__xludf.DUMMYFUNCTION("""COMPUTED_VALUE"""),"19940405TXMCA")</f>
        <v>19940405TXMCA</v>
      </c>
      <c r="B1775" s="5" t="str">
        <f ca="1">IFERROR(__xludf.DUMMYFUNCTION("""COMPUTED_VALUE"""),"Handgun")</f>
        <v>Handgun</v>
      </c>
      <c r="C1775" s="5" t="str">
        <f ca="1">IFERROR(__xludf.DUMMYFUNCTION("""COMPUTED_VALUE"""),"Unknown")</f>
        <v>Unknown</v>
      </c>
      <c r="D1775" s="5"/>
    </row>
    <row r="1776" spans="1:4" ht="13">
      <c r="A1776" s="5" t="str">
        <f ca="1">IFERROR(__xludf.DUMMYFUNCTION("""COMPUTED_VALUE"""),"19940325GAETC")</f>
        <v>19940325GAETC</v>
      </c>
      <c r="B1776" s="5" t="str">
        <f ca="1">IFERROR(__xludf.DUMMYFUNCTION("""COMPUTED_VALUE"""),"Handgun")</f>
        <v>Handgun</v>
      </c>
      <c r="C1776" s="5" t="str">
        <f ca="1">IFERROR(__xludf.DUMMYFUNCTION("""COMPUTED_VALUE"""),"9mm")</f>
        <v>9mm</v>
      </c>
      <c r="D1776" s="5"/>
    </row>
    <row r="1777" spans="1:4" ht="13">
      <c r="A1777" s="5" t="str">
        <f ca="1">IFERROR(__xludf.DUMMYFUNCTION("""COMPUTED_VALUE"""),"19940323WABAS")</f>
        <v>19940323WABAS</v>
      </c>
      <c r="B1777" s="5" t="str">
        <f ca="1">IFERROR(__xludf.DUMMYFUNCTION("""COMPUTED_VALUE"""),"No Data")</f>
        <v>No Data</v>
      </c>
      <c r="C1777" s="5"/>
      <c r="D1777" s="5"/>
    </row>
    <row r="1778" spans="1:4" ht="13">
      <c r="A1778" s="5" t="str">
        <f ca="1">IFERROR(__xludf.DUMMYFUNCTION("""COMPUTED_VALUE"""),"19940315SCGOC")</f>
        <v>19940315SCGOC</v>
      </c>
      <c r="B1778" s="5" t="str">
        <f ca="1">IFERROR(__xludf.DUMMYFUNCTION("""COMPUTED_VALUE"""),"No Data")</f>
        <v>No Data</v>
      </c>
      <c r="C1778" s="5"/>
      <c r="D1778" s="5"/>
    </row>
    <row r="1779" spans="1:4" ht="13">
      <c r="A1779" s="5" t="str">
        <f ca="1">IFERROR(__xludf.DUMMYFUNCTION("""COMPUTED_VALUE"""),"19940309DCEAW")</f>
        <v>19940309DCEAW</v>
      </c>
      <c r="B1779" s="5" t="str">
        <f ca="1">IFERROR(__xludf.DUMMYFUNCTION("""COMPUTED_VALUE"""),"Handgun")</f>
        <v>Handgun</v>
      </c>
      <c r="C1779" s="5" t="str">
        <f ca="1">IFERROR(__xludf.DUMMYFUNCTION("""COMPUTED_VALUE"""),"Unknown")</f>
        <v>Unknown</v>
      </c>
      <c r="D1779" s="5"/>
    </row>
    <row r="1780" spans="1:4" ht="13">
      <c r="A1780" s="5" t="str">
        <f ca="1">IFERROR(__xludf.DUMMYFUNCTION("""COMPUTED_VALUE"""),"19940303ALENB")</f>
        <v>19940303ALENB</v>
      </c>
      <c r="B1780" s="5" t="str">
        <f ca="1">IFERROR(__xludf.DUMMYFUNCTION("""COMPUTED_VALUE"""),"Handgun")</f>
        <v>Handgun</v>
      </c>
      <c r="C1780" s="5" t="str">
        <f ca="1">IFERROR(__xludf.DUMMYFUNCTION("""COMPUTED_VALUE"""),"Unknown")</f>
        <v>Unknown</v>
      </c>
      <c r="D1780" s="5"/>
    </row>
    <row r="1781" spans="1:4" ht="13">
      <c r="A1781" s="5" t="str">
        <f ca="1">IFERROR(__xludf.DUMMYFUNCTION("""COMPUTED_VALUE"""),"19940301MOKEB")</f>
        <v>19940301MOKEB</v>
      </c>
      <c r="B1781" s="5" t="str">
        <f ca="1">IFERROR(__xludf.DUMMYFUNCTION("""COMPUTED_VALUE"""),"Shotgun")</f>
        <v>Shotgun</v>
      </c>
      <c r="C1781" s="5" t="str">
        <f ca="1">IFERROR(__xludf.DUMMYFUNCTION("""COMPUTED_VALUE"""),"Unknown")</f>
        <v>Unknown</v>
      </c>
      <c r="D1781" s="5"/>
    </row>
    <row r="1782" spans="1:4" ht="13">
      <c r="A1782" s="5" t="str">
        <f ca="1">IFERROR(__xludf.DUMMYFUNCTION("""COMPUTED_VALUE"""),"19940218SCSPS")</f>
        <v>19940218SCSPS</v>
      </c>
      <c r="B1782" s="5" t="str">
        <f ca="1">IFERROR(__xludf.DUMMYFUNCTION("""COMPUTED_VALUE"""),"Handgun")</f>
        <v>Handgun</v>
      </c>
      <c r="C1782" s="5" t="str">
        <f ca="1">IFERROR(__xludf.DUMMYFUNCTION("""COMPUTED_VALUE"""),"9mm")</f>
        <v>9mm</v>
      </c>
      <c r="D1782" s="5"/>
    </row>
    <row r="1783" spans="1:4" ht="13">
      <c r="A1783" s="5" t="str">
        <f ca="1">IFERROR(__xludf.DUMMYFUNCTION("""COMPUTED_VALUE"""),"19940208MIOSD")</f>
        <v>19940208MIOSD</v>
      </c>
      <c r="B1783" s="5" t="str">
        <f ca="1">IFERROR(__xludf.DUMMYFUNCTION("""COMPUTED_VALUE"""),"No Data")</f>
        <v>No Data</v>
      </c>
      <c r="C1783" s="5"/>
      <c r="D1783" s="5"/>
    </row>
    <row r="1784" spans="1:4" ht="13">
      <c r="A1784" s="5" t="str">
        <f ca="1">IFERROR(__xludf.DUMMYFUNCTION("""COMPUTED_VALUE"""),"19940131WAWHS")</f>
        <v>19940131WAWHS</v>
      </c>
      <c r="B1784" s="5" t="str">
        <f ca="1">IFERROR(__xludf.DUMMYFUNCTION("""COMPUTED_VALUE"""),"Rifle")</f>
        <v>Rifle</v>
      </c>
      <c r="C1784" s="5" t="str">
        <f ca="1">IFERROR(__xludf.DUMMYFUNCTION("""COMPUTED_VALUE"""),"Semiautomatic")</f>
        <v>Semiautomatic</v>
      </c>
      <c r="D1784" s="5"/>
    </row>
    <row r="1785" spans="1:4" ht="13">
      <c r="A1785" s="5" t="str">
        <f ca="1">IFERROR(__xludf.DUMMYFUNCTION("""COMPUTED_VALUE"""),"19940127CAWAS")</f>
        <v>19940127CAWAS</v>
      </c>
      <c r="B1785" s="5" t="str">
        <f ca="1">IFERROR(__xludf.DUMMYFUNCTION("""COMPUTED_VALUE"""),"Unknown")</f>
        <v>Unknown</v>
      </c>
      <c r="C1785" s="5" t="str">
        <f ca="1">IFERROR(__xludf.DUMMYFUNCTION("""COMPUTED_VALUE"""),"Unknown")</f>
        <v>Unknown</v>
      </c>
      <c r="D1785" s="5"/>
    </row>
    <row r="1786" spans="1:4" ht="13">
      <c r="A1786" s="5" t="str">
        <f ca="1">IFERROR(__xludf.DUMMYFUNCTION("""COMPUTED_VALUE"""),"19940126DCPAW")</f>
        <v>19940126DCPAW</v>
      </c>
      <c r="B1786" s="5" t="str">
        <f ca="1">IFERROR(__xludf.DUMMYFUNCTION("""COMPUTED_VALUE"""),"Handgun")</f>
        <v>Handgun</v>
      </c>
      <c r="C1786" s="5" t="str">
        <f ca="1">IFERROR(__xludf.DUMMYFUNCTION("""COMPUTED_VALUE"""),"9mm")</f>
        <v>9mm</v>
      </c>
      <c r="D1786" s="5"/>
    </row>
    <row r="1787" spans="1:4" ht="13">
      <c r="A1787" s="5" t="str">
        <f ca="1">IFERROR(__xludf.DUMMYFUNCTION("""COMPUTED_VALUE"""),"19940126DCELW")</f>
        <v>19940126DCELW</v>
      </c>
      <c r="B1787" s="5" t="str">
        <f ca="1">IFERROR(__xludf.DUMMYFUNCTION("""COMPUTED_VALUE"""),"No Data")</f>
        <v>No Data</v>
      </c>
      <c r="C1787" s="5"/>
      <c r="D1787" s="5"/>
    </row>
    <row r="1788" spans="1:4" ht="13">
      <c r="A1788" s="5" t="str">
        <f ca="1">IFERROR(__xludf.DUMMYFUNCTION("""COMPUTED_VALUE"""),"19940124SCEAC")</f>
        <v>19940124SCEAC</v>
      </c>
      <c r="B1788" s="5" t="str">
        <f ca="1">IFERROR(__xludf.DUMMYFUNCTION("""COMPUTED_VALUE"""),"Handgun")</f>
        <v>Handgun</v>
      </c>
      <c r="C1788" s="5" t="str">
        <f ca="1">IFERROR(__xludf.DUMMYFUNCTION("""COMPUTED_VALUE"""),".22 caliber")</f>
        <v>.22 caliber</v>
      </c>
      <c r="D1788" s="5"/>
    </row>
    <row r="1789" spans="1:4" ht="13">
      <c r="A1789" s="5" t="str">
        <f ca="1">IFERROR(__xludf.DUMMYFUNCTION("""COMPUTED_VALUE"""),"19940121TXKEK")</f>
        <v>19940121TXKEK</v>
      </c>
      <c r="B1789" s="5" t="str">
        <f ca="1">IFERROR(__xludf.DUMMYFUNCTION("""COMPUTED_VALUE"""),"Rifle")</f>
        <v>Rifle</v>
      </c>
      <c r="C1789" s="5" t="str">
        <f ca="1">IFERROR(__xludf.DUMMYFUNCTION("""COMPUTED_VALUE"""),".30-30")</f>
        <v>.30-30</v>
      </c>
      <c r="D1789" s="5"/>
    </row>
    <row r="1790" spans="1:4" ht="13">
      <c r="A1790" s="5" t="str">
        <f ca="1">IFERROR(__xludf.DUMMYFUNCTION("""COMPUTED_VALUE"""),"19940120CALOH")</f>
        <v>19940120CALOH</v>
      </c>
      <c r="B1790" s="5" t="str">
        <f ca="1">IFERROR(__xludf.DUMMYFUNCTION("""COMPUTED_VALUE"""),"No Data")</f>
        <v>No Data</v>
      </c>
      <c r="C1790" s="5"/>
      <c r="D1790" s="5"/>
    </row>
    <row r="1791" spans="1:4" ht="13">
      <c r="A1791" s="5" t="str">
        <f ca="1">IFERROR(__xludf.DUMMYFUNCTION("""COMPUTED_VALUE"""),"19931217MICHC")</f>
        <v>19931217MICHC</v>
      </c>
      <c r="B1791" s="5" t="str">
        <f ca="1">IFERROR(__xludf.DUMMYFUNCTION("""COMPUTED_VALUE"""),"Handgun")</f>
        <v>Handgun</v>
      </c>
      <c r="C1791" s="5" t="str">
        <f ca="1">IFERROR(__xludf.DUMMYFUNCTION("""COMPUTED_VALUE"""),"Unknown")</f>
        <v>Unknown</v>
      </c>
      <c r="D1791" s="5"/>
    </row>
    <row r="1792" spans="1:4" ht="13">
      <c r="A1792" s="5" t="str">
        <f ca="1">IFERROR(__xludf.DUMMYFUNCTION("""COMPUTED_VALUE"""),"19931215CACHS")</f>
        <v>19931215CACHS</v>
      </c>
      <c r="B1792" s="5" t="str">
        <f ca="1">IFERROR(__xludf.DUMMYFUNCTION("""COMPUTED_VALUE"""),"Handgun")</f>
        <v>Handgun</v>
      </c>
      <c r="C1792" s="5" t="str">
        <f ca="1">IFERROR(__xludf.DUMMYFUNCTION("""COMPUTED_VALUE"""),"Unknown")</f>
        <v>Unknown</v>
      </c>
      <c r="D1792" s="5"/>
    </row>
    <row r="1793" spans="1:4" ht="13">
      <c r="A1793" s="5" t="str">
        <f ca="1">IFERROR(__xludf.DUMMYFUNCTION("""COMPUTED_VALUE"""),"19931208GABES")</f>
        <v>19931208GABES</v>
      </c>
      <c r="B1793" s="5" t="str">
        <f ca="1">IFERROR(__xludf.DUMMYFUNCTION("""COMPUTED_VALUE"""),"Handgun")</f>
        <v>Handgun</v>
      </c>
      <c r="C1793" s="5" t="str">
        <f ca="1">IFERROR(__xludf.DUMMYFUNCTION("""COMPUTED_VALUE"""),"Unknown")</f>
        <v>Unknown</v>
      </c>
      <c r="D1793" s="5"/>
    </row>
    <row r="1794" spans="1:4" ht="13">
      <c r="A1794" s="5" t="str">
        <f ca="1">IFERROR(__xludf.DUMMYFUNCTION("""COMPUTED_VALUE"""),"19931202CTNEN")</f>
        <v>19931202CTNEN</v>
      </c>
      <c r="B1794" s="5" t="str">
        <f ca="1">IFERROR(__xludf.DUMMYFUNCTION("""COMPUTED_VALUE"""),"No Data")</f>
        <v>No Data</v>
      </c>
      <c r="C1794" s="5"/>
      <c r="D1794" s="5"/>
    </row>
    <row r="1795" spans="1:4" ht="13">
      <c r="A1795" s="5" t="str">
        <f ca="1">IFERROR(__xludf.DUMMYFUNCTION("""COMPUTED_VALUE"""),"19931201WIWAW")</f>
        <v>19931201WIWAW</v>
      </c>
      <c r="B1795" s="5" t="str">
        <f ca="1">IFERROR(__xludf.DUMMYFUNCTION("""COMPUTED_VALUE"""),"No Data")</f>
        <v>No Data</v>
      </c>
      <c r="C1795" s="5"/>
      <c r="D1795" s="5"/>
    </row>
    <row r="1796" spans="1:4" ht="13">
      <c r="A1796" s="5" t="str">
        <f ca="1">IFERROR(__xludf.DUMMYFUNCTION("""COMPUTED_VALUE"""),"19931111ILRIS")</f>
        <v>19931111ILRIS</v>
      </c>
      <c r="B1796" s="5" t="str">
        <f ca="1">IFERROR(__xludf.DUMMYFUNCTION("""COMPUTED_VALUE"""),"Handgun")</f>
        <v>Handgun</v>
      </c>
      <c r="C1796" s="5" t="str">
        <f ca="1">IFERROR(__xludf.DUMMYFUNCTION("""COMPUTED_VALUE"""),"Unknown")</f>
        <v>Unknown</v>
      </c>
      <c r="D1796" s="5"/>
    </row>
    <row r="1797" spans="1:4" ht="13">
      <c r="A1797" s="5" t="str">
        <f ca="1">IFERROR(__xludf.DUMMYFUNCTION("""COMPUTED_VALUE"""),"19931104MSBAB")</f>
        <v>19931104MSBAB</v>
      </c>
      <c r="B1797" s="5" t="str">
        <f ca="1">IFERROR(__xludf.DUMMYFUNCTION("""COMPUTED_VALUE"""),"No Data")</f>
        <v>No Data</v>
      </c>
      <c r="C1797" s="5"/>
      <c r="D1797" s="5"/>
    </row>
    <row r="1798" spans="1:4" ht="13">
      <c r="A1798" s="5" t="str">
        <f ca="1">IFERROR(__xludf.DUMMYFUNCTION("""COMPUTED_VALUE"""),"19931104FLTEJ")</f>
        <v>19931104FLTEJ</v>
      </c>
      <c r="B1798" s="5" t="str">
        <f ca="1">IFERROR(__xludf.DUMMYFUNCTION("""COMPUTED_VALUE"""),"Handgun")</f>
        <v>Handgun</v>
      </c>
      <c r="C1798" s="5" t="str">
        <f ca="1">IFERROR(__xludf.DUMMYFUNCTION("""COMPUTED_VALUE"""),"Unknown")</f>
        <v>Unknown</v>
      </c>
      <c r="D1798" s="5"/>
    </row>
    <row r="1799" spans="1:4" ht="13">
      <c r="A1799" s="5" t="str">
        <f ca="1">IFERROR(__xludf.DUMMYFUNCTION("""COMPUTED_VALUE"""),"19931104CTNEN")</f>
        <v>19931104CTNEN</v>
      </c>
      <c r="B1799" s="5" t="str">
        <f ca="1">IFERROR(__xludf.DUMMYFUNCTION("""COMPUTED_VALUE"""),"No Data")</f>
        <v>No Data</v>
      </c>
      <c r="C1799" s="5"/>
      <c r="D1799" s="5"/>
    </row>
    <row r="1800" spans="1:4" ht="13">
      <c r="A1800" s="5" t="str">
        <f ca="1">IFERROR(__xludf.DUMMYFUNCTION("""COMPUTED_VALUE"""),"19931101ILSUC")</f>
        <v>19931101ILSUC</v>
      </c>
      <c r="B1800" s="5" t="str">
        <f ca="1">IFERROR(__xludf.DUMMYFUNCTION("""COMPUTED_VALUE"""),"Handgun")</f>
        <v>Handgun</v>
      </c>
      <c r="C1800" s="5" t="str">
        <f ca="1">IFERROR(__xludf.DUMMYFUNCTION("""COMPUTED_VALUE"""),"Unknown")</f>
        <v>Unknown</v>
      </c>
      <c r="D1800" s="5"/>
    </row>
    <row r="1801" spans="1:4" ht="13">
      <c r="A1801" s="5" t="str">
        <f ca="1">IFERROR(__xludf.DUMMYFUNCTION("""COMPUTED_VALUE"""),"19931018DCJHW")</f>
        <v>19931018DCJHW</v>
      </c>
      <c r="B1801" s="5" t="str">
        <f ca="1">IFERROR(__xludf.DUMMYFUNCTION("""COMPUTED_VALUE"""),"Handgun")</f>
        <v>Handgun</v>
      </c>
      <c r="C1801" s="5" t="str">
        <f ca="1">IFERROR(__xludf.DUMMYFUNCTION("""COMPUTED_VALUE"""),"Unknown")</f>
        <v>Unknown</v>
      </c>
      <c r="D1801" s="5"/>
    </row>
    <row r="1802" spans="1:4" ht="13">
      <c r="A1802" s="5" t="str">
        <f ca="1">IFERROR(__xludf.DUMMYFUNCTION("""COMPUTED_VALUE"""),"19931012DEDON")</f>
        <v>19931012DEDON</v>
      </c>
      <c r="B1802" s="5" t="str">
        <f ca="1">IFERROR(__xludf.DUMMYFUNCTION("""COMPUTED_VALUE"""),"Handgun")</f>
        <v>Handgun</v>
      </c>
      <c r="C1802" s="5" t="str">
        <f ca="1">IFERROR(__xludf.DUMMYFUNCTION("""COMPUTED_VALUE"""),".25 caliber")</f>
        <v>.25 caliber</v>
      </c>
      <c r="D1802" s="5"/>
    </row>
    <row r="1803" spans="1:4" ht="13">
      <c r="A1803" s="5" t="str">
        <f ca="1">IFERROR(__xludf.DUMMYFUNCTION("""COMPUTED_VALUE"""),"19930928MSCOG")</f>
        <v>19930928MSCOG</v>
      </c>
      <c r="B1803" s="5" t="str">
        <f ca="1">IFERROR(__xludf.DUMMYFUNCTION("""COMPUTED_VALUE"""),"Handgun")</f>
        <v>Handgun</v>
      </c>
      <c r="C1803" s="5" t="str">
        <f ca="1">IFERROR(__xludf.DUMMYFUNCTION("""COMPUTED_VALUE"""),".22 caliber")</f>
        <v>.22 caliber</v>
      </c>
      <c r="D1803" s="5"/>
    </row>
    <row r="1804" spans="1:4" ht="13">
      <c r="A1804" s="5" t="str">
        <f ca="1">IFERROR(__xludf.DUMMYFUNCTION("""COMPUTED_VALUE"""),"19930925DCWEW")</f>
        <v>19930925DCWEW</v>
      </c>
      <c r="B1804" s="5" t="str">
        <f ca="1">IFERROR(__xludf.DUMMYFUNCTION("""COMPUTED_VALUE"""),"Handgun")</f>
        <v>Handgun</v>
      </c>
      <c r="C1804" s="5" t="str">
        <f ca="1">IFERROR(__xludf.DUMMYFUNCTION("""COMPUTED_VALUE"""),"Unknown")</f>
        <v>Unknown</v>
      </c>
      <c r="D1804" s="5"/>
    </row>
    <row r="1805" spans="1:4" ht="13">
      <c r="A1805" s="5" t="str">
        <f ca="1">IFERROR(__xludf.DUMMYFUNCTION("""COMPUTED_VALUE"""),"19930917WYCES")</f>
        <v>19930917WYCES</v>
      </c>
      <c r="B1805" s="5" t="str">
        <f ca="1">IFERROR(__xludf.DUMMYFUNCTION("""COMPUTED_VALUE"""),"Multiple Unknown")</f>
        <v>Multiple Unknown</v>
      </c>
      <c r="C1805" s="5" t="str">
        <f ca="1">IFERROR(__xludf.DUMMYFUNCTION("""COMPUTED_VALUE"""),"Unknown")</f>
        <v>Unknown</v>
      </c>
      <c r="D1805" s="5" t="str">
        <f ca="1">IFERROR(__xludf.DUMMYFUNCTION("""COMPUTED_VALUE"""),"Owned multiple firearms, military")</f>
        <v>Owned multiple firearms, military</v>
      </c>
    </row>
    <row r="1806" spans="1:4" ht="13">
      <c r="A1806" s="5" t="str">
        <f ca="1">IFERROR(__xludf.DUMMYFUNCTION("""COMPUTED_VALUE"""),"19930917ILDOD")</f>
        <v>19930917ILDOD</v>
      </c>
      <c r="B1806" s="5" t="str">
        <f ca="1">IFERROR(__xludf.DUMMYFUNCTION("""COMPUTED_VALUE"""),"Handgun")</f>
        <v>Handgun</v>
      </c>
      <c r="C1806" s="5" t="str">
        <f ca="1">IFERROR(__xludf.DUMMYFUNCTION("""COMPUTED_VALUE"""),".25 caliber")</f>
        <v>.25 caliber</v>
      </c>
      <c r="D1806" s="5"/>
    </row>
    <row r="1807" spans="1:4" ht="13">
      <c r="A1807" s="5" t="str">
        <f ca="1">IFERROR(__xludf.DUMMYFUNCTION("""COMPUTED_VALUE"""),"19930916ILROC")</f>
        <v>19930916ILROC</v>
      </c>
      <c r="B1807" s="5" t="str">
        <f ca="1">IFERROR(__xludf.DUMMYFUNCTION("""COMPUTED_VALUE"""),"No Data")</f>
        <v>No Data</v>
      </c>
      <c r="C1807" s="5"/>
      <c r="D1807" s="5"/>
    </row>
    <row r="1808" spans="1:4" ht="13">
      <c r="A1808" s="5" t="str">
        <f ca="1">IFERROR(__xludf.DUMMYFUNCTION("""COMPUTED_VALUE"""),"19930912ALFAF")</f>
        <v>19930912ALFAF</v>
      </c>
      <c r="B1808" s="5" t="str">
        <f ca="1">IFERROR(__xludf.DUMMYFUNCTION("""COMPUTED_VALUE"""),"Handgun")</f>
        <v>Handgun</v>
      </c>
      <c r="C1808" s="5"/>
      <c r="D1808" s="5"/>
    </row>
    <row r="1809" spans="1:4" ht="13">
      <c r="A1809" s="5" t="str">
        <f ca="1">IFERROR(__xludf.DUMMYFUNCTION("""COMPUTED_VALUE"""),"19930902TXROD")</f>
        <v>19930902TXROD</v>
      </c>
      <c r="B1809" s="5" t="str">
        <f ca="1">IFERROR(__xludf.DUMMYFUNCTION("""COMPUTED_VALUE"""),"Handgun")</f>
        <v>Handgun</v>
      </c>
      <c r="C1809" s="5" t="str">
        <f ca="1">IFERROR(__xludf.DUMMYFUNCTION("""COMPUTED_VALUE"""),"Unknown")</f>
        <v>Unknown</v>
      </c>
      <c r="D1809" s="5"/>
    </row>
    <row r="1810" spans="1:4" ht="13">
      <c r="A1810" s="5" t="str">
        <f ca="1">IFERROR(__xludf.DUMMYFUNCTION("""COMPUTED_VALUE"""),"19930901KSJUJ")</f>
        <v>19930901KSJUJ</v>
      </c>
      <c r="B1810" s="5" t="str">
        <f ca="1">IFERROR(__xludf.DUMMYFUNCTION("""COMPUTED_VALUE"""),"Handgun")</f>
        <v>Handgun</v>
      </c>
      <c r="C1810" s="5" t="str">
        <f ca="1">IFERROR(__xludf.DUMMYFUNCTION("""COMPUTED_VALUE"""),"Unknown")</f>
        <v>Unknown</v>
      </c>
      <c r="D1810" s="5"/>
    </row>
    <row r="1811" spans="1:4" ht="13">
      <c r="A1811" s="5" t="str">
        <f ca="1">IFERROR(__xludf.DUMMYFUNCTION("""COMPUTED_VALUE"""),"19930831GAHAA")</f>
        <v>19930831GAHAA</v>
      </c>
      <c r="B1811" s="5" t="str">
        <f ca="1">IFERROR(__xludf.DUMMYFUNCTION("""COMPUTED_VALUE"""),"Handgun")</f>
        <v>Handgun</v>
      </c>
      <c r="C1811" s="5" t="str">
        <f ca="1">IFERROR(__xludf.DUMMYFUNCTION("""COMPUTED_VALUE"""),".22 caliber")</f>
        <v>.22 caliber</v>
      </c>
      <c r="D1811" s="5"/>
    </row>
    <row r="1812" spans="1:4" ht="13">
      <c r="A1812" s="5" t="str">
        <f ca="1">IFERROR(__xludf.DUMMYFUNCTION("""COMPUTED_VALUE"""),"19930803NYTHN")</f>
        <v>19930803NYTHN</v>
      </c>
      <c r="B1812" s="5" t="str">
        <f ca="1">IFERROR(__xludf.DUMMYFUNCTION("""COMPUTED_VALUE"""),"Handgun")</f>
        <v>Handgun</v>
      </c>
      <c r="C1812" s="5" t="str">
        <f ca="1">IFERROR(__xludf.DUMMYFUNCTION("""COMPUTED_VALUE"""),"Unknown")</f>
        <v>Unknown</v>
      </c>
      <c r="D1812" s="5"/>
    </row>
    <row r="1813" spans="1:4" ht="13">
      <c r="A1813" s="5" t="str">
        <f ca="1">IFERROR(__xludf.DUMMYFUNCTION("""COMPUTED_VALUE"""),"19930707CADOL")</f>
        <v>19930707CADOL</v>
      </c>
      <c r="B1813" s="5" t="str">
        <f ca="1">IFERROR(__xludf.DUMMYFUNCTION("""COMPUTED_VALUE"""),"Handgun")</f>
        <v>Handgun</v>
      </c>
      <c r="C1813" s="5" t="str">
        <f ca="1">IFERROR(__xludf.DUMMYFUNCTION("""COMPUTED_VALUE"""),"Unknown")</f>
        <v>Unknown</v>
      </c>
      <c r="D1813" s="5"/>
    </row>
    <row r="1814" spans="1:4" ht="13">
      <c r="A1814" s="5" t="str">
        <f ca="1">IFERROR(__xludf.DUMMYFUNCTION("""COMPUTED_VALUE"""),"19930527LAFRN")</f>
        <v>19930527LAFRN</v>
      </c>
      <c r="B1814" s="5" t="str">
        <f ca="1">IFERROR(__xludf.DUMMYFUNCTION("""COMPUTED_VALUE"""),"Handgun")</f>
        <v>Handgun</v>
      </c>
      <c r="C1814" s="5" t="str">
        <f ca="1">IFERROR(__xludf.DUMMYFUNCTION("""COMPUTED_VALUE"""),"Unknown")</f>
        <v>Unknown</v>
      </c>
      <c r="D1814" s="5"/>
    </row>
    <row r="1815" spans="1:4" ht="13">
      <c r="A1815" s="5" t="str">
        <f ca="1">IFERROR(__xludf.DUMMYFUNCTION("""COMPUTED_VALUE"""),"19930524PAUPP")</f>
        <v>19930524PAUPP</v>
      </c>
      <c r="B1815" s="5" t="str">
        <f ca="1">IFERROR(__xludf.DUMMYFUNCTION("""COMPUTED_VALUE"""),"Handgun")</f>
        <v>Handgun</v>
      </c>
      <c r="C1815" s="5" t="str">
        <f ca="1">IFERROR(__xludf.DUMMYFUNCTION("""COMPUTED_VALUE"""),".22 caliber")</f>
        <v>.22 caliber</v>
      </c>
      <c r="D1815" s="5"/>
    </row>
    <row r="1816" spans="1:4" ht="13">
      <c r="A1816" s="5" t="str">
        <f ca="1">IFERROR(__xludf.DUMMYFUNCTION("""COMPUTED_VALUE"""),"19930514TXNII")</f>
        <v>19930514TXNII</v>
      </c>
      <c r="B1816" s="5" t="str">
        <f ca="1">IFERROR(__xludf.DUMMYFUNCTION("""COMPUTED_VALUE"""),"Handgun")</f>
        <v>Handgun</v>
      </c>
      <c r="C1816" s="5" t="str">
        <f ca="1">IFERROR(__xludf.DUMMYFUNCTION("""COMPUTED_VALUE"""),".38 caliber")</f>
        <v>.38 caliber</v>
      </c>
      <c r="D1816" s="5"/>
    </row>
    <row r="1817" spans="1:4" ht="13">
      <c r="A1817" s="5" t="str">
        <f ca="1">IFERROR(__xludf.DUMMYFUNCTION("""COMPUTED_VALUE"""),"19930416WAMOT")</f>
        <v>19930416WAMOT</v>
      </c>
      <c r="B1817" s="5" t="str">
        <f ca="1">IFERROR(__xludf.DUMMYFUNCTION("""COMPUTED_VALUE"""),"Handgun")</f>
        <v>Handgun</v>
      </c>
      <c r="C1817" s="5" t="str">
        <f ca="1">IFERROR(__xludf.DUMMYFUNCTION("""COMPUTED_VALUE"""),".357 caliber")</f>
        <v>.357 caliber</v>
      </c>
      <c r="D1817" s="5"/>
    </row>
    <row r="1818" spans="1:4" ht="13">
      <c r="A1818" s="5" t="str">
        <f ca="1">IFERROR(__xludf.DUMMYFUNCTION("""COMPUTED_VALUE"""),"19930416CAGRS")</f>
        <v>19930416CAGRS</v>
      </c>
      <c r="B1818" s="5" t="str">
        <f ca="1">IFERROR(__xludf.DUMMYFUNCTION("""COMPUTED_VALUE"""),"Handgun")</f>
        <v>Handgun</v>
      </c>
      <c r="C1818" s="5" t="str">
        <f ca="1">IFERROR(__xludf.DUMMYFUNCTION("""COMPUTED_VALUE"""),"Unknown")</f>
        <v>Unknown</v>
      </c>
      <c r="D1818" s="5"/>
    </row>
    <row r="1819" spans="1:4" ht="13">
      <c r="A1819" s="5" t="str">
        <f ca="1">IFERROR(__xludf.DUMMYFUNCTION("""COMPUTED_VALUE"""),"19930415MAFOA")</f>
        <v>19930415MAFOA</v>
      </c>
      <c r="B1819" s="5" t="str">
        <f ca="1">IFERROR(__xludf.DUMMYFUNCTION("""COMPUTED_VALUE"""),"Shotgun")</f>
        <v>Shotgun</v>
      </c>
      <c r="C1819" s="5" t="str">
        <f ca="1">IFERROR(__xludf.DUMMYFUNCTION("""COMPUTED_VALUE"""),"Unknown")</f>
        <v>Unknown</v>
      </c>
      <c r="D1819" s="5"/>
    </row>
    <row r="1820" spans="1:4" ht="13">
      <c r="A1820" s="5" t="str">
        <f ca="1">IFERROR(__xludf.DUMMYFUNCTION("""COMPUTED_VALUE"""),"19930403CAGRS")</f>
        <v>19930403CAGRS</v>
      </c>
      <c r="B1820" s="5" t="str">
        <f ca="1">IFERROR(__xludf.DUMMYFUNCTION("""COMPUTED_VALUE"""),"Shotgun")</f>
        <v>Shotgun</v>
      </c>
      <c r="C1820" s="5" t="str">
        <f ca="1">IFERROR(__xludf.DUMMYFUNCTION("""COMPUTED_VALUE"""),"Unknown")</f>
        <v>Unknown</v>
      </c>
      <c r="D1820" s="5"/>
    </row>
    <row r="1821" spans="1:4" ht="13">
      <c r="A1821" s="5" t="str">
        <f ca="1">IFERROR(__xludf.DUMMYFUNCTION("""COMPUTED_VALUE"""),"19930325MOSUS")</f>
        <v>19930325MOSUS</v>
      </c>
      <c r="B1821" s="5" t="str">
        <f ca="1">IFERROR(__xludf.DUMMYFUNCTION("""COMPUTED_VALUE"""),"Handgun")</f>
        <v>Handgun</v>
      </c>
      <c r="C1821" s="5" t="str">
        <f ca="1">IFERROR(__xludf.DUMMYFUNCTION("""COMPUTED_VALUE"""),"Unknown")</f>
        <v>Unknown</v>
      </c>
      <c r="D1821" s="5"/>
    </row>
    <row r="1822" spans="1:4" ht="13">
      <c r="A1822" s="5" t="str">
        <f ca="1">IFERROR(__xludf.DUMMYFUNCTION("""COMPUTED_VALUE"""),"19930318GAHAH")</f>
        <v>19930318GAHAH</v>
      </c>
      <c r="B1822" s="5" t="str">
        <f ca="1">IFERROR(__xludf.DUMMYFUNCTION("""COMPUTED_VALUE"""),"Handgun")</f>
        <v>Handgun</v>
      </c>
      <c r="C1822" s="5" t="str">
        <f ca="1">IFERROR(__xludf.DUMMYFUNCTION("""COMPUTED_VALUE"""),"Unknown")</f>
        <v>Unknown</v>
      </c>
      <c r="D1822" s="5"/>
    </row>
    <row r="1823" spans="1:4" ht="13">
      <c r="A1823" s="5" t="str">
        <f ca="1">IFERROR(__xludf.DUMMYFUNCTION("""COMPUTED_VALUE"""),"19930308VADOD")</f>
        <v>19930308VADOD</v>
      </c>
      <c r="B1823" s="5" t="str">
        <f ca="1">IFERROR(__xludf.DUMMYFUNCTION("""COMPUTED_VALUE"""),"Handgun")</f>
        <v>Handgun</v>
      </c>
      <c r="C1823" s="5" t="str">
        <f ca="1">IFERROR(__xludf.DUMMYFUNCTION("""COMPUTED_VALUE"""),".38 caliber")</f>
        <v>.38 caliber</v>
      </c>
      <c r="D1823" s="5"/>
    </row>
    <row r="1824" spans="1:4" ht="13">
      <c r="A1824" s="5" t="str">
        <f ca="1">IFERROR(__xludf.DUMMYFUNCTION("""COMPUTED_VALUE"""),"19930226MAGLG")</f>
        <v>19930226MAGLG</v>
      </c>
      <c r="B1824" s="5" t="str">
        <f ca="1">IFERROR(__xludf.DUMMYFUNCTION("""COMPUTED_VALUE"""),"No Data")</f>
        <v>No Data</v>
      </c>
      <c r="C1824" s="5"/>
      <c r="D1824" s="5"/>
    </row>
    <row r="1825" spans="1:4" ht="13">
      <c r="A1825" s="5" t="str">
        <f ca="1">IFERROR(__xludf.DUMMYFUNCTION("""COMPUTED_VALUE"""),"19930222CAREL")</f>
        <v>19930222CAREL</v>
      </c>
      <c r="B1825" s="5" t="str">
        <f ca="1">IFERROR(__xludf.DUMMYFUNCTION("""COMPUTED_VALUE"""),"Handgun")</f>
        <v>Handgun</v>
      </c>
      <c r="C1825" s="5" t="str">
        <f ca="1">IFERROR(__xludf.DUMMYFUNCTION("""COMPUTED_VALUE"""),"Unknown")</f>
        <v>Unknown</v>
      </c>
      <c r="D1825" s="5"/>
    </row>
    <row r="1826" spans="1:4" ht="13">
      <c r="A1826" s="5" t="str">
        <f ca="1">IFERROR(__xludf.DUMMYFUNCTION("""COMPUTED_VALUE"""),"19930208MNMIM")</f>
        <v>19930208MNMIM</v>
      </c>
      <c r="B1826" s="5" t="str">
        <f ca="1">IFERROR(__xludf.DUMMYFUNCTION("""COMPUTED_VALUE"""),"Rifle")</f>
        <v>Rifle</v>
      </c>
      <c r="C1826" s="5" t="str">
        <f ca="1">IFERROR(__xludf.DUMMYFUNCTION("""COMPUTED_VALUE"""),".30-30")</f>
        <v>.30-30</v>
      </c>
      <c r="D1826" s="5"/>
    </row>
    <row r="1827" spans="1:4" ht="13">
      <c r="A1827" s="5" t="str">
        <f ca="1">IFERROR(__xludf.DUMMYFUNCTION("""COMPUTED_VALUE"""),"19930208DCWAW")</f>
        <v>19930208DCWAW</v>
      </c>
      <c r="B1827" s="5" t="str">
        <f ca="1">IFERROR(__xludf.DUMMYFUNCTION("""COMPUTED_VALUE"""),"Handgun")</f>
        <v>Handgun</v>
      </c>
      <c r="C1827" s="5" t="str">
        <f ca="1">IFERROR(__xludf.DUMMYFUNCTION("""COMPUTED_VALUE"""),"Unknown")</f>
        <v>Unknown</v>
      </c>
      <c r="D1827" s="5"/>
    </row>
    <row r="1828" spans="1:4" ht="13">
      <c r="A1828" s="5" t="str">
        <f ca="1">IFERROR(__xludf.DUMMYFUNCTION("""COMPUTED_VALUE"""),"19930204GACLA")</f>
        <v>19930204GACLA</v>
      </c>
      <c r="B1828" s="5" t="str">
        <f ca="1">IFERROR(__xludf.DUMMYFUNCTION("""COMPUTED_VALUE"""),"Handgun")</f>
        <v>Handgun</v>
      </c>
      <c r="C1828" s="5" t="str">
        <f ca="1">IFERROR(__xludf.DUMMYFUNCTION("""COMPUTED_VALUE"""),"Unknown")</f>
        <v>Unknown</v>
      </c>
      <c r="D1828" s="5"/>
    </row>
    <row r="1829" spans="1:4" ht="13">
      <c r="A1829" s="5" t="str">
        <f ca="1">IFERROR(__xludf.DUMMYFUNCTION("""COMPUTED_VALUE"""),"19930203SCLEL")</f>
        <v>19930203SCLEL</v>
      </c>
      <c r="B1829" s="5" t="str">
        <f ca="1">IFERROR(__xludf.DUMMYFUNCTION("""COMPUTED_VALUE"""),"Handgun")</f>
        <v>Handgun</v>
      </c>
      <c r="C1829" s="5"/>
      <c r="D1829" s="5"/>
    </row>
    <row r="1830" spans="1:4" ht="13">
      <c r="A1830" s="5" t="str">
        <f ca="1">IFERROR(__xludf.DUMMYFUNCTION("""COMPUTED_VALUE"""),"19930203SCGAC")</f>
        <v>19930203SCGAC</v>
      </c>
      <c r="B1830" s="5" t="str">
        <f ca="1">IFERROR(__xludf.DUMMYFUNCTION("""COMPUTED_VALUE"""),"Handgun")</f>
        <v>Handgun</v>
      </c>
      <c r="C1830" s="5" t="str">
        <f ca="1">IFERROR(__xludf.DUMMYFUNCTION("""COMPUTED_VALUE"""),"9mm")</f>
        <v>9mm</v>
      </c>
      <c r="D1830" s="5"/>
    </row>
    <row r="1831" spans="1:4" ht="13">
      <c r="A1831" s="5" t="str">
        <f ca="1">IFERROR(__xludf.DUMMYFUNCTION("""COMPUTED_VALUE"""),"19930201WARER")</f>
        <v>19930201WARER</v>
      </c>
      <c r="B1831" s="5" t="str">
        <f ca="1">IFERROR(__xludf.DUMMYFUNCTION("""COMPUTED_VALUE"""),"No Data")</f>
        <v>No Data</v>
      </c>
      <c r="C1831" s="5"/>
      <c r="D1831" s="5"/>
    </row>
    <row r="1832" spans="1:4" ht="13">
      <c r="A1832" s="5" t="str">
        <f ca="1">IFERROR(__xludf.DUMMYFUNCTION("""COMPUTED_VALUE"""),"19930201NYAMA")</f>
        <v>19930201NYAMA</v>
      </c>
      <c r="B1832" s="5" t="str">
        <f ca="1">IFERROR(__xludf.DUMMYFUNCTION("""COMPUTED_VALUE"""),"Handgun")</f>
        <v>Handgun</v>
      </c>
      <c r="C1832" s="5" t="str">
        <f ca="1">IFERROR(__xludf.DUMMYFUNCTION("""COMPUTED_VALUE"""),".22 caliber")</f>
        <v>.22 caliber</v>
      </c>
      <c r="D1832" s="5"/>
    </row>
    <row r="1833" spans="1:4" ht="13">
      <c r="A1833" s="5" t="str">
        <f ca="1">IFERROR(__xludf.DUMMYFUNCTION("""COMPUTED_VALUE"""),"19930121CAFAL")</f>
        <v>19930121CAFAL</v>
      </c>
      <c r="B1833" s="5" t="str">
        <f ca="1">IFERROR(__xludf.DUMMYFUNCTION("""COMPUTED_VALUE"""),"Handgun")</f>
        <v>Handgun</v>
      </c>
      <c r="C1833" s="5" t="str">
        <f ca="1">IFERROR(__xludf.DUMMYFUNCTION("""COMPUTED_VALUE"""),".357 caliber")</f>
        <v>.357 caliber</v>
      </c>
      <c r="D1833" s="5"/>
    </row>
    <row r="1834" spans="1:4" ht="13">
      <c r="A1834" s="5" t="str">
        <f ca="1">IFERROR(__xludf.DUMMYFUNCTION("""COMPUTED_VALUE"""),"19930118KYEAG")</f>
        <v>19930118KYEAG</v>
      </c>
      <c r="B1834" s="5" t="str">
        <f ca="1">IFERROR(__xludf.DUMMYFUNCTION("""COMPUTED_VALUE"""),"Handgun")</f>
        <v>Handgun</v>
      </c>
      <c r="C1834" s="5" t="str">
        <f ca="1">IFERROR(__xludf.DUMMYFUNCTION("""COMPUTED_VALUE"""),".38 caliber")</f>
        <v>.38 caliber</v>
      </c>
      <c r="D1834" s="5"/>
    </row>
    <row r="1835" spans="1:4" ht="13">
      <c r="A1835" s="5" t="str">
        <f ca="1">IFERROR(__xludf.DUMMYFUNCTION("""COMPUTED_VALUE"""),"19930112FLNOM")</f>
        <v>19930112FLNOM</v>
      </c>
      <c r="B1835" s="5" t="str">
        <f ca="1">IFERROR(__xludf.DUMMYFUNCTION("""COMPUTED_VALUE"""),"Handgun")</f>
        <v>Handgun</v>
      </c>
      <c r="C1835" s="5" t="str">
        <f ca="1">IFERROR(__xludf.DUMMYFUNCTION("""COMPUTED_VALUE"""),"Unknown")</f>
        <v>Unknown</v>
      </c>
      <c r="D1835" s="5"/>
    </row>
    <row r="1836" spans="1:4" ht="13">
      <c r="A1836" s="5" t="str">
        <f ca="1">IFERROR(__xludf.DUMMYFUNCTION("""COMPUTED_VALUE"""),"19930108PACRM")</f>
        <v>19930108PACRM</v>
      </c>
      <c r="B1836" s="5" t="str">
        <f ca="1">IFERROR(__xludf.DUMMYFUNCTION("""COMPUTED_VALUE"""),"Handgun")</f>
        <v>Handgun</v>
      </c>
      <c r="C1836" s="5"/>
      <c r="D1836" s="5"/>
    </row>
    <row r="1837" spans="1:4" ht="13">
      <c r="A1837" s="5" t="str">
        <f ca="1">IFERROR(__xludf.DUMMYFUNCTION("""COMPUTED_VALUE"""),"19930105NYBRB")</f>
        <v>19930105NYBRB</v>
      </c>
      <c r="B1837" s="5" t="str">
        <f ca="1">IFERROR(__xludf.DUMMYFUNCTION("""COMPUTED_VALUE"""),"No Data")</f>
        <v>No Data</v>
      </c>
      <c r="C1837" s="5"/>
      <c r="D1837" s="5"/>
    </row>
    <row r="1838" spans="1:4" ht="13">
      <c r="A1838" s="5" t="str">
        <f ca="1">IFERROR(__xludf.DUMMYFUNCTION("""COMPUTED_VALUE"""),"19921214NYWAW")</f>
        <v>19921214NYWAW</v>
      </c>
      <c r="B1838" s="5" t="str">
        <f ca="1">IFERROR(__xludf.DUMMYFUNCTION("""COMPUTED_VALUE"""),"Handgun")</f>
        <v>Handgun</v>
      </c>
      <c r="C1838" s="5" t="str">
        <f ca="1">IFERROR(__xludf.DUMMYFUNCTION("""COMPUTED_VALUE"""),".357 caliber")</f>
        <v>.357 caliber</v>
      </c>
      <c r="D1838" s="5"/>
    </row>
    <row r="1839" spans="1:4" ht="13">
      <c r="A1839" s="5" t="str">
        <f ca="1">IFERROR(__xludf.DUMMYFUNCTION("""COMPUTED_VALUE"""),"19921203ILWOC")</f>
        <v>19921203ILWOC</v>
      </c>
      <c r="B1839" s="5" t="str">
        <f ca="1">IFERROR(__xludf.DUMMYFUNCTION("""COMPUTED_VALUE"""),"Handgun")</f>
        <v>Handgun</v>
      </c>
      <c r="C1839" s="5" t="str">
        <f ca="1">IFERROR(__xludf.DUMMYFUNCTION("""COMPUTED_VALUE"""),".357 caliber")</f>
        <v>.357 caliber</v>
      </c>
      <c r="D1839" s="5"/>
    </row>
    <row r="1840" spans="1:4" ht="13">
      <c r="A1840" s="5" t="str">
        <f ca="1">IFERROR(__xludf.DUMMYFUNCTION("""COMPUTED_VALUE"""),"19921130ILORC")</f>
        <v>19921130ILORC</v>
      </c>
      <c r="B1840" s="5" t="str">
        <f ca="1">IFERROR(__xludf.DUMMYFUNCTION("""COMPUTED_VALUE"""),"Handgun")</f>
        <v>Handgun</v>
      </c>
      <c r="C1840" s="5" t="str">
        <f ca="1">IFERROR(__xludf.DUMMYFUNCTION("""COMPUTED_VALUE"""),"Unknown")</f>
        <v>Unknown</v>
      </c>
      <c r="D1840" s="5"/>
    </row>
    <row r="1841" spans="1:4" ht="13">
      <c r="A1841" s="5" t="str">
        <f ca="1">IFERROR(__xludf.DUMMYFUNCTION("""COMPUTED_VALUE"""),"19921124ALROM")</f>
        <v>19921124ALROM</v>
      </c>
      <c r="B1841" s="5" t="str">
        <f ca="1">IFERROR(__xludf.DUMMYFUNCTION("""COMPUTED_VALUE"""),"Handgun")</f>
        <v>Handgun</v>
      </c>
      <c r="C1841" s="5" t="str">
        <f ca="1">IFERROR(__xludf.DUMMYFUNCTION("""COMPUTED_VALUE"""),"Unknown")</f>
        <v>Unknown</v>
      </c>
      <c r="D1841" s="5"/>
    </row>
    <row r="1842" spans="1:4" ht="13">
      <c r="A1842" s="5" t="str">
        <f ca="1">IFERROR(__xludf.DUMMYFUNCTION("""COMPUTED_VALUE"""),"19921120ILTIC")</f>
        <v>19921120ILTIC</v>
      </c>
      <c r="B1842" s="5" t="str">
        <f ca="1">IFERROR(__xludf.DUMMYFUNCTION("""COMPUTED_VALUE"""),"Handgun")</f>
        <v>Handgun</v>
      </c>
      <c r="C1842" s="5" t="str">
        <f ca="1">IFERROR(__xludf.DUMMYFUNCTION("""COMPUTED_VALUE"""),".22 caliber")</f>
        <v>.22 caliber</v>
      </c>
      <c r="D1842" s="5"/>
    </row>
    <row r="1843" spans="1:4" ht="13">
      <c r="A1843" s="5" t="str">
        <f ca="1">IFERROR(__xludf.DUMMYFUNCTION("""COMPUTED_VALUE"""),"19921116ALFAB")</f>
        <v>19921116ALFAB</v>
      </c>
      <c r="B1843" s="5" t="str">
        <f ca="1">IFERROR(__xludf.DUMMYFUNCTION("""COMPUTED_VALUE"""),"Handgun")</f>
        <v>Handgun</v>
      </c>
      <c r="C1843" s="5" t="str">
        <f ca="1">IFERROR(__xludf.DUMMYFUNCTION("""COMPUTED_VALUE"""),"Unknown")</f>
        <v>Unknown</v>
      </c>
      <c r="D1843" s="5"/>
    </row>
    <row r="1844" spans="1:4" ht="13">
      <c r="A1844" s="5" t="str">
        <f ca="1">IFERROR(__xludf.DUMMYFUNCTION("""COMPUTED_VALUE"""),"19921113TXLAC")</f>
        <v>19921113TXLAC</v>
      </c>
      <c r="B1844" s="5" t="str">
        <f ca="1">IFERROR(__xludf.DUMMYFUNCTION("""COMPUTED_VALUE"""),"Handgun")</f>
        <v>Handgun</v>
      </c>
      <c r="C1844" s="5" t="str">
        <f ca="1">IFERROR(__xludf.DUMMYFUNCTION("""COMPUTED_VALUE"""),".45 caliber")</f>
        <v>.45 caliber</v>
      </c>
      <c r="D1844" s="5"/>
    </row>
    <row r="1845" spans="1:4" ht="13">
      <c r="A1845" s="5" t="str">
        <f ca="1">IFERROR(__xludf.DUMMYFUNCTION("""COMPUTED_VALUE"""),"19921110ILSHC")</f>
        <v>19921110ILSHC</v>
      </c>
      <c r="B1845" s="5" t="str">
        <f ca="1">IFERROR(__xludf.DUMMYFUNCTION("""COMPUTED_VALUE"""),"Handgun")</f>
        <v>Handgun</v>
      </c>
      <c r="C1845" s="5" t="str">
        <f ca="1">IFERROR(__xludf.DUMMYFUNCTION("""COMPUTED_VALUE"""),".22 caliber")</f>
        <v>.22 caliber</v>
      </c>
      <c r="D1845" s="5"/>
    </row>
    <row r="1846" spans="1:4" ht="13">
      <c r="A1846" s="5" t="str">
        <f ca="1">IFERROR(__xludf.DUMMYFUNCTION("""COMPUTED_VALUE"""),"19921104MIMUD")</f>
        <v>19921104MIMUD</v>
      </c>
      <c r="B1846" s="5" t="str">
        <f ca="1">IFERROR(__xludf.DUMMYFUNCTION("""COMPUTED_VALUE"""),"Handgun")</f>
        <v>Handgun</v>
      </c>
      <c r="C1846" s="5" t="str">
        <f ca="1">IFERROR(__xludf.DUMMYFUNCTION("""COMPUTED_VALUE"""),"Unknown")</f>
        <v>Unknown</v>
      </c>
      <c r="D1846" s="5"/>
    </row>
    <row r="1847" spans="1:4" ht="13">
      <c r="A1847" s="5" t="str">
        <f ca="1">IFERROR(__xludf.DUMMYFUNCTION("""COMPUTED_VALUE"""),"19921104MIMAD")</f>
        <v>19921104MIMAD</v>
      </c>
      <c r="B1847" s="5" t="str">
        <f ca="1">IFERROR(__xludf.DUMMYFUNCTION("""COMPUTED_VALUE"""),"No Data")</f>
        <v>No Data</v>
      </c>
      <c r="C1847" s="5"/>
      <c r="D1847" s="5"/>
    </row>
    <row r="1848" spans="1:4" ht="13">
      <c r="A1848" s="5" t="str">
        <f ca="1">IFERROR(__xludf.DUMMYFUNCTION("""COMPUTED_VALUE"""),"19921104MIFID")</f>
        <v>19921104MIFID</v>
      </c>
      <c r="B1848" s="5" t="str">
        <f ca="1">IFERROR(__xludf.DUMMYFUNCTION("""COMPUTED_VALUE"""),"Multiple Unknown")</f>
        <v>Multiple Unknown</v>
      </c>
      <c r="C1848" s="5" t="str">
        <f ca="1">IFERROR(__xludf.DUMMYFUNCTION("""COMPUTED_VALUE"""),"Unknown")</f>
        <v>Unknown</v>
      </c>
      <c r="D1848" s="5"/>
    </row>
    <row r="1849" spans="1:4" ht="13">
      <c r="A1849" s="5" t="str">
        <f ca="1">IFERROR(__xludf.DUMMYFUNCTION("""COMPUTED_VALUE"""),"19921019NYEVB")</f>
        <v>19921019NYEVB</v>
      </c>
      <c r="B1849" s="5" t="str">
        <f ca="1">IFERROR(__xludf.DUMMYFUNCTION("""COMPUTED_VALUE"""),"Rifle")</f>
        <v>Rifle</v>
      </c>
      <c r="C1849" s="5" t="str">
        <f ca="1">IFERROR(__xludf.DUMMYFUNCTION("""COMPUTED_VALUE"""),"Unknown")</f>
        <v>Unknown</v>
      </c>
      <c r="D1849" s="5"/>
    </row>
    <row r="1850" spans="1:4" ht="13">
      <c r="A1850" s="5" t="str">
        <f ca="1">IFERROR(__xludf.DUMMYFUNCTION("""COMPUTED_VALUE"""),"19921013AZDET")</f>
        <v>19921013AZDET</v>
      </c>
      <c r="B1850" s="5" t="str">
        <f ca="1">IFERROR(__xludf.DUMMYFUNCTION("""COMPUTED_VALUE"""),"Handgun")</f>
        <v>Handgun</v>
      </c>
      <c r="C1850" s="5" t="str">
        <f ca="1">IFERROR(__xludf.DUMMYFUNCTION("""COMPUTED_VALUE"""),".22 caliber")</f>
        <v>.22 caliber</v>
      </c>
      <c r="D1850" s="5"/>
    </row>
    <row r="1851" spans="1:4" ht="13">
      <c r="A1851" s="5" t="str">
        <f ca="1">IFERROR(__xludf.DUMMYFUNCTION("""COMPUTED_VALUE"""),"19920930TXHOH")</f>
        <v>19920930TXHOH</v>
      </c>
      <c r="B1851" s="5" t="str">
        <f ca="1">IFERROR(__xludf.DUMMYFUNCTION("""COMPUTED_VALUE"""),"Shotgun")</f>
        <v>Shotgun</v>
      </c>
      <c r="C1851" s="5" t="str">
        <f ca="1">IFERROR(__xludf.DUMMYFUNCTION("""COMPUTED_VALUE"""),"Unknown")</f>
        <v>Unknown</v>
      </c>
      <c r="D1851" s="5"/>
    </row>
    <row r="1852" spans="1:4" ht="13">
      <c r="A1852" s="5" t="str">
        <f ca="1">IFERROR(__xludf.DUMMYFUNCTION("""COMPUTED_VALUE"""),"19920930CAPAL")</f>
        <v>19920930CAPAL</v>
      </c>
      <c r="B1852" s="5" t="str">
        <f ca="1">IFERROR(__xludf.DUMMYFUNCTION("""COMPUTED_VALUE"""),"Handgun")</f>
        <v>Handgun</v>
      </c>
      <c r="C1852" s="5"/>
      <c r="D1852" s="5"/>
    </row>
    <row r="1853" spans="1:4" ht="13">
      <c r="A1853" s="5" t="str">
        <f ca="1">IFERROR(__xludf.DUMMYFUNCTION("""COMPUTED_VALUE"""),"19920928CAHIS")</f>
        <v>19920928CAHIS</v>
      </c>
      <c r="B1853" s="5" t="str">
        <f ca="1">IFERROR(__xludf.DUMMYFUNCTION("""COMPUTED_VALUE"""),"Handgun")</f>
        <v>Handgun</v>
      </c>
      <c r="C1853" s="5" t="str">
        <f ca="1">IFERROR(__xludf.DUMMYFUNCTION("""COMPUTED_VALUE"""),"Unknown")</f>
        <v>Unknown</v>
      </c>
      <c r="D1853" s="5"/>
    </row>
    <row r="1854" spans="1:4" ht="13">
      <c r="A1854" s="5" t="str">
        <f ca="1">IFERROR(__xludf.DUMMYFUNCTION("""COMPUTED_VALUE"""),"19920911TXPAA")</f>
        <v>19920911TXPAA</v>
      </c>
      <c r="B1854" s="5" t="str">
        <f ca="1">IFERROR(__xludf.DUMMYFUNCTION("""COMPUTED_VALUE"""),"Handgun")</f>
        <v>Handgun</v>
      </c>
      <c r="C1854" s="5" t="str">
        <f ca="1">IFERROR(__xludf.DUMMYFUNCTION("""COMPUTED_VALUE"""),".22 caliber")</f>
        <v>.22 caliber</v>
      </c>
      <c r="D1854" s="5"/>
    </row>
    <row r="1855" spans="1:4" ht="13">
      <c r="A1855" s="5" t="str">
        <f ca="1">IFERROR(__xludf.DUMMYFUNCTION("""COMPUTED_VALUE"""),"19920606CAMEM")</f>
        <v>19920606CAMEM</v>
      </c>
      <c r="B1855" s="5" t="str">
        <f ca="1">IFERROR(__xludf.DUMMYFUNCTION("""COMPUTED_VALUE"""),"Handgun")</f>
        <v>Handgun</v>
      </c>
      <c r="C1855" s="5" t="str">
        <f ca="1">IFERROR(__xludf.DUMMYFUNCTION("""COMPUTED_VALUE"""),"Unknown")</f>
        <v>Unknown</v>
      </c>
      <c r="D1855" s="5"/>
    </row>
    <row r="1856" spans="1:4" ht="13">
      <c r="A1856" s="5" t="str">
        <f ca="1">IFERROR(__xludf.DUMMYFUNCTION("""COMPUTED_VALUE"""),"19920530DCARW")</f>
        <v>19920530DCARW</v>
      </c>
      <c r="B1856" s="5" t="str">
        <f ca="1">IFERROR(__xludf.DUMMYFUNCTION("""COMPUTED_VALUE"""),"Handgun")</f>
        <v>Handgun</v>
      </c>
      <c r="C1856" s="5"/>
      <c r="D1856" s="5"/>
    </row>
    <row r="1857" spans="1:4" ht="13">
      <c r="A1857" s="5" t="str">
        <f ca="1">IFERROR(__xludf.DUMMYFUNCTION("""COMPUTED_VALUE"""),"19920529CAVEL")</f>
        <v>19920529CAVEL</v>
      </c>
      <c r="B1857" s="5" t="str">
        <f ca="1">IFERROR(__xludf.DUMMYFUNCTION("""COMPUTED_VALUE"""),"No Data")</f>
        <v>No Data</v>
      </c>
      <c r="C1857" s="5"/>
      <c r="D1857" s="5"/>
    </row>
    <row r="1858" spans="1:4" ht="13">
      <c r="A1858" s="5" t="str">
        <f ca="1">IFERROR(__xludf.DUMMYFUNCTION("""COMPUTED_VALUE"""),"19920514TXHUH")</f>
        <v>19920514TXHUH</v>
      </c>
      <c r="B1858" s="5" t="str">
        <f ca="1">IFERROR(__xludf.DUMMYFUNCTION("""COMPUTED_VALUE"""),"Handgun")</f>
        <v>Handgun</v>
      </c>
      <c r="C1858" s="5" t="str">
        <f ca="1">IFERROR(__xludf.DUMMYFUNCTION("""COMPUTED_VALUE"""),"Unknown")</f>
        <v>Unknown</v>
      </c>
      <c r="D1858" s="5"/>
    </row>
    <row r="1859" spans="1:4" ht="13">
      <c r="A1859" s="5" t="str">
        <f ca="1">IFERROR(__xludf.DUMMYFUNCTION("""COMPUTED_VALUE"""),"19920514CASIN")</f>
        <v>19920514CASIN</v>
      </c>
      <c r="B1859" s="5" t="str">
        <f ca="1">IFERROR(__xludf.DUMMYFUNCTION("""COMPUTED_VALUE"""),"Handgun")</f>
        <v>Handgun</v>
      </c>
      <c r="C1859" s="5" t="str">
        <f ca="1">IFERROR(__xludf.DUMMYFUNCTION("""COMPUTED_VALUE"""),".357 caliber")</f>
        <v>.357 caliber</v>
      </c>
      <c r="D1859" s="5"/>
    </row>
    <row r="1860" spans="1:4" ht="13">
      <c r="A1860" s="5" t="str">
        <f ca="1">IFERROR(__xludf.DUMMYFUNCTION("""COMPUTED_VALUE"""),"19920501CALIO")</f>
        <v>19920501CALIO</v>
      </c>
      <c r="B1860" s="5" t="str">
        <f ca="1">IFERROR(__xludf.DUMMYFUNCTION("""COMPUTED_VALUE"""),"Rifle")</f>
        <v>Rifle</v>
      </c>
      <c r="C1860" s="5" t="str">
        <f ca="1">IFERROR(__xludf.DUMMYFUNCTION("""COMPUTED_VALUE"""),".22 caliber")</f>
        <v>.22 caliber</v>
      </c>
      <c r="D1860" s="5" t="str">
        <f ca="1">IFERROR(__xludf.DUMMYFUNCTION("""COMPUTED_VALUE"""),"Shotgun and .22 rifle")</f>
        <v>Shotgun and .22 rifle</v>
      </c>
    </row>
    <row r="1861" spans="1:4" ht="13">
      <c r="A1861" s="5" t="str">
        <f ca="1">IFERROR(__xludf.DUMMYFUNCTION("""COMPUTED_VALUE"""),"19920501CALIO")</f>
        <v>19920501CALIO</v>
      </c>
      <c r="B1861" s="5" t="str">
        <f ca="1">IFERROR(__xludf.DUMMYFUNCTION("""COMPUTED_VALUE"""),"Shotgun")</f>
        <v>Shotgun</v>
      </c>
      <c r="C1861" s="5" t="str">
        <f ca="1">IFERROR(__xludf.DUMMYFUNCTION("""COMPUTED_VALUE"""),"Unknown")</f>
        <v>Unknown</v>
      </c>
      <c r="D1861" s="5" t="str">
        <f ca="1">IFERROR(__xludf.DUMMYFUNCTION("""COMPUTED_VALUE"""),"Shotgun and .22 rifle")</f>
        <v>Shotgun and .22 rifle</v>
      </c>
    </row>
    <row r="1862" spans="1:4" ht="13">
      <c r="A1862" s="5" t="str">
        <f ca="1">IFERROR(__xludf.DUMMYFUNCTION("""COMPUTED_VALUE"""),"19920417TXLID")</f>
        <v>19920417TXLID</v>
      </c>
      <c r="B1862" s="5" t="str">
        <f ca="1">IFERROR(__xludf.DUMMYFUNCTION("""COMPUTED_VALUE"""),"No Data")</f>
        <v>No Data</v>
      </c>
      <c r="C1862" s="5"/>
      <c r="D1862" s="5"/>
    </row>
    <row r="1863" spans="1:4" ht="13">
      <c r="A1863" s="5" t="str">
        <f ca="1">IFERROR(__xludf.DUMMYFUNCTION("""COMPUTED_VALUE"""),"19920409FLFOF")</f>
        <v>19920409FLFOF</v>
      </c>
      <c r="B1863" s="5" t="str">
        <f ca="1">IFERROR(__xludf.DUMMYFUNCTION("""COMPUTED_VALUE"""),"Handgun")</f>
        <v>Handgun</v>
      </c>
      <c r="C1863" s="5" t="str">
        <f ca="1">IFERROR(__xludf.DUMMYFUNCTION("""COMPUTED_VALUE"""),"Unknown")</f>
        <v>Unknown</v>
      </c>
      <c r="D1863" s="5"/>
    </row>
    <row r="1864" spans="1:4" ht="13">
      <c r="A1864" s="5" t="str">
        <f ca="1">IFERROR(__xludf.DUMMYFUNCTION("""COMPUTED_VALUE"""),"19920331LAOPA")</f>
        <v>19920331LAOPA</v>
      </c>
      <c r="B1864" s="5" t="str">
        <f ca="1">IFERROR(__xludf.DUMMYFUNCTION("""COMPUTED_VALUE"""),"Handgun")</f>
        <v>Handgun</v>
      </c>
      <c r="C1864" s="5" t="str">
        <f ca="1">IFERROR(__xludf.DUMMYFUNCTION("""COMPUTED_VALUE"""),"Unknown")</f>
        <v>Unknown</v>
      </c>
      <c r="D1864" s="5"/>
    </row>
    <row r="1865" spans="1:4" ht="13">
      <c r="A1865" s="5" t="str">
        <f ca="1">IFERROR(__xludf.DUMMYFUNCTION("""COMPUTED_VALUE"""),"19920305OHHAO")</f>
        <v>19920305OHHAO</v>
      </c>
      <c r="B1865" s="5" t="str">
        <f ca="1">IFERROR(__xludf.DUMMYFUNCTION("""COMPUTED_VALUE"""),"Handgun")</f>
        <v>Handgun</v>
      </c>
      <c r="C1865" s="5" t="str">
        <f ca="1">IFERROR(__xludf.DUMMYFUNCTION("""COMPUTED_VALUE"""),"Unknown")</f>
        <v>Unknown</v>
      </c>
      <c r="D1865" s="5"/>
    </row>
    <row r="1866" spans="1:4" ht="13">
      <c r="A1866" s="5" t="str">
        <f ca="1">IFERROR(__xludf.DUMMYFUNCTION("""COMPUTED_VALUE"""),"19920226NYTHB")</f>
        <v>19920226NYTHB</v>
      </c>
      <c r="B1866" s="5" t="str">
        <f ca="1">IFERROR(__xludf.DUMMYFUNCTION("""COMPUTED_VALUE"""),"Handgun")</f>
        <v>Handgun</v>
      </c>
      <c r="C1866" s="5" t="str">
        <f ca="1">IFERROR(__xludf.DUMMYFUNCTION("""COMPUTED_VALUE"""),".38 caliber")</f>
        <v>.38 caliber</v>
      </c>
      <c r="D1866" s="5"/>
    </row>
    <row r="1867" spans="1:4" ht="13">
      <c r="A1867" s="5" t="str">
        <f ca="1">IFERROR(__xludf.DUMMYFUNCTION("""COMPUTED_VALUE"""),"19920207VABON")</f>
        <v>19920207VABON</v>
      </c>
      <c r="B1867" s="5" t="str">
        <f ca="1">IFERROR(__xludf.DUMMYFUNCTION("""COMPUTED_VALUE"""),"Handgun")</f>
        <v>Handgun</v>
      </c>
      <c r="C1867" s="5" t="str">
        <f ca="1">IFERROR(__xludf.DUMMYFUNCTION("""COMPUTED_VALUE"""),"Unknown")</f>
        <v>Unknown</v>
      </c>
      <c r="D1867" s="5"/>
    </row>
    <row r="1868" spans="1:4" ht="13">
      <c r="A1868" s="5" t="str">
        <f ca="1">IFERROR(__xludf.DUMMYFUNCTION("""COMPUTED_VALUE"""),"19920206OKDOO")</f>
        <v>19920206OKDOO</v>
      </c>
      <c r="B1868" s="5" t="str">
        <f ca="1">IFERROR(__xludf.DUMMYFUNCTION("""COMPUTED_VALUE"""),"No Data")</f>
        <v>No Data</v>
      </c>
      <c r="C1868" s="5"/>
      <c r="D1868" s="5"/>
    </row>
    <row r="1869" spans="1:4" ht="13">
      <c r="A1869" s="5" t="str">
        <f ca="1">IFERROR(__xludf.DUMMYFUNCTION("""COMPUTED_VALUE"""),"19920131LAFRG")</f>
        <v>19920131LAFRG</v>
      </c>
      <c r="B1869" s="5" t="str">
        <f ca="1">IFERROR(__xludf.DUMMYFUNCTION("""COMPUTED_VALUE"""),"Handgun")</f>
        <v>Handgun</v>
      </c>
      <c r="C1869" s="5" t="str">
        <f ca="1">IFERROR(__xludf.DUMMYFUNCTION("""COMPUTED_VALUE"""),"Unknown")</f>
        <v>Unknown</v>
      </c>
      <c r="D1869" s="5"/>
    </row>
    <row r="1870" spans="1:4" ht="13">
      <c r="A1870" s="5" t="str">
        <f ca="1">IFERROR(__xludf.DUMMYFUNCTION("""COMPUTED_VALUE"""),"19920128LAFRG")</f>
        <v>19920128LAFRG</v>
      </c>
      <c r="B1870" s="5" t="str">
        <f ca="1">IFERROR(__xludf.DUMMYFUNCTION("""COMPUTED_VALUE"""),"Handgun")</f>
        <v>Handgun</v>
      </c>
      <c r="C1870" s="5" t="str">
        <f ca="1">IFERROR(__xludf.DUMMYFUNCTION("""COMPUTED_VALUE"""),"Unknown")</f>
        <v>Unknown</v>
      </c>
      <c r="D1870" s="5"/>
    </row>
    <row r="1871" spans="1:4" ht="13">
      <c r="A1871" s="5" t="str">
        <f ca="1">IFERROR(__xludf.DUMMYFUNCTION("""COMPUTED_VALUE"""),"19920117SCGRG")</f>
        <v>19920117SCGRG</v>
      </c>
      <c r="B1871" s="5" t="str">
        <f ca="1">IFERROR(__xludf.DUMMYFUNCTION("""COMPUTED_VALUE"""),"Handgun")</f>
        <v>Handgun</v>
      </c>
      <c r="C1871" s="5"/>
      <c r="D1871" s="5"/>
    </row>
    <row r="1872" spans="1:4" ht="13">
      <c r="A1872" s="5" t="str">
        <f ca="1">IFERROR(__xludf.DUMMYFUNCTION("""COMPUTED_VALUE"""),"19911226NCWHW")</f>
        <v>19911226NCWHW</v>
      </c>
      <c r="B1872" s="5" t="str">
        <f ca="1">IFERROR(__xludf.DUMMYFUNCTION("""COMPUTED_VALUE"""),"Handgun")</f>
        <v>Handgun</v>
      </c>
      <c r="C1872" s="5" t="str">
        <f ca="1">IFERROR(__xludf.DUMMYFUNCTION("""COMPUTED_VALUE"""),"Unknown")</f>
        <v>Unknown</v>
      </c>
      <c r="D1872" s="5"/>
    </row>
    <row r="1873" spans="1:4" ht="13">
      <c r="A1873" s="5" t="str">
        <f ca="1">IFERROR(__xludf.DUMMYFUNCTION("""COMPUTED_VALUE"""),"19911125NYTHB")</f>
        <v>19911125NYTHB</v>
      </c>
      <c r="B1873" s="5" t="str">
        <f ca="1">IFERROR(__xludf.DUMMYFUNCTION("""COMPUTED_VALUE"""),"Handgun")</f>
        <v>Handgun</v>
      </c>
      <c r="C1873" s="5" t="str">
        <f ca="1">IFERROR(__xludf.DUMMYFUNCTION("""COMPUTED_VALUE"""),"9mm")</f>
        <v>9mm</v>
      </c>
      <c r="D1873" s="5"/>
    </row>
    <row r="1874" spans="1:4" ht="13">
      <c r="A1874" s="5" t="str">
        <f ca="1">IFERROR(__xludf.DUMMYFUNCTION("""COMPUTED_VALUE"""),"19911114TXMIH")</f>
        <v>19911114TXMIH</v>
      </c>
      <c r="B1874" s="5" t="str">
        <f ca="1">IFERROR(__xludf.DUMMYFUNCTION("""COMPUTED_VALUE"""),"Handgun")</f>
        <v>Handgun</v>
      </c>
      <c r="C1874" s="5" t="str">
        <f ca="1">IFERROR(__xludf.DUMMYFUNCTION("""COMPUTED_VALUE"""),"Unknown")</f>
        <v>Unknown</v>
      </c>
      <c r="D1874" s="5"/>
    </row>
    <row r="1875" spans="1:4" ht="13">
      <c r="A1875" s="5" t="str">
        <f ca="1">IFERROR(__xludf.DUMMYFUNCTION("""COMPUTED_VALUE"""),"19911111TXYSE")</f>
        <v>19911111TXYSE</v>
      </c>
      <c r="B1875" s="5" t="str">
        <f ca="1">IFERROR(__xludf.DUMMYFUNCTION("""COMPUTED_VALUE"""),"Handgun")</f>
        <v>Handgun</v>
      </c>
      <c r="C1875" s="5" t="str">
        <f ca="1">IFERROR(__xludf.DUMMYFUNCTION("""COMPUTED_VALUE"""),"Unknown")</f>
        <v>Unknown</v>
      </c>
      <c r="D1875" s="5"/>
    </row>
    <row r="1876" spans="1:4" ht="13">
      <c r="A1876" s="5" t="str">
        <f ca="1">IFERROR(__xludf.DUMMYFUNCTION("""COMPUTED_VALUE"""),"19911106LAWAN")</f>
        <v>19911106LAWAN</v>
      </c>
      <c r="B1876" s="5" t="str">
        <f ca="1">IFERROR(__xludf.DUMMYFUNCTION("""COMPUTED_VALUE"""),"Handgun")</f>
        <v>Handgun</v>
      </c>
      <c r="C1876" s="5" t="str">
        <f ca="1">IFERROR(__xludf.DUMMYFUNCTION("""COMPUTED_VALUE"""),"Unknown")</f>
        <v>Unknown</v>
      </c>
      <c r="D1876" s="5"/>
    </row>
    <row r="1877" spans="1:4" ht="13">
      <c r="A1877" s="5" t="str">
        <f ca="1">IFERROR(__xludf.DUMMYFUNCTION("""COMPUTED_VALUE"""),"19911023TXOAD")</f>
        <v>19911023TXOAD</v>
      </c>
      <c r="B1877" s="5" t="str">
        <f ca="1">IFERROR(__xludf.DUMMYFUNCTION("""COMPUTED_VALUE"""),"Handgun")</f>
        <v>Handgun</v>
      </c>
      <c r="C1877" s="5" t="str">
        <f ca="1">IFERROR(__xludf.DUMMYFUNCTION("""COMPUTED_VALUE"""),"Unknown")</f>
        <v>Unknown</v>
      </c>
      <c r="D1877" s="5"/>
    </row>
    <row r="1878" spans="1:4" ht="13">
      <c r="A1878" s="5" t="str">
        <f ca="1">IFERROR(__xludf.DUMMYFUNCTION("""COMPUTED_VALUE"""),"19911015TXGEP")</f>
        <v>19911015TXGEP</v>
      </c>
      <c r="B1878" s="5" t="str">
        <f ca="1">IFERROR(__xludf.DUMMYFUNCTION("""COMPUTED_VALUE"""),"Rifle")</f>
        <v>Rifle</v>
      </c>
      <c r="C1878" s="5" t="str">
        <f ca="1">IFERROR(__xludf.DUMMYFUNCTION("""COMPUTED_VALUE"""),".22 caliber")</f>
        <v>.22 caliber</v>
      </c>
      <c r="D1878" s="5"/>
    </row>
    <row r="1879" spans="1:4" ht="13">
      <c r="A1879" s="5" t="str">
        <f ca="1">IFERROR(__xludf.DUMMYFUNCTION("""COMPUTED_VALUE"""),"19911015SCWOW")</f>
        <v>19911015SCWOW</v>
      </c>
      <c r="B1879" s="5" t="str">
        <f ca="1">IFERROR(__xludf.DUMMYFUNCTION("""COMPUTED_VALUE"""),"Handgun")</f>
        <v>Handgun</v>
      </c>
      <c r="C1879" s="5" t="str">
        <f ca="1">IFERROR(__xludf.DUMMYFUNCTION("""COMPUTED_VALUE"""),"Unknown")</f>
        <v>Unknown</v>
      </c>
      <c r="D1879" s="5"/>
    </row>
    <row r="1880" spans="1:4" ht="13">
      <c r="A1880" s="5" t="str">
        <f ca="1">IFERROR(__xludf.DUMMYFUNCTION("""COMPUTED_VALUE"""),"19911015NHMOS")</f>
        <v>19911015NHMOS</v>
      </c>
      <c r="B1880" s="5" t="str">
        <f ca="1">IFERROR(__xludf.DUMMYFUNCTION("""COMPUTED_VALUE"""),"Rifle")</f>
        <v>Rifle</v>
      </c>
      <c r="C1880" s="5" t="str">
        <f ca="1">IFERROR(__xludf.DUMMYFUNCTION("""COMPUTED_VALUE"""),"Unknown")</f>
        <v>Unknown</v>
      </c>
      <c r="D1880" s="5"/>
    </row>
    <row r="1881" spans="1:4" ht="13">
      <c r="A1881" s="5" t="str">
        <f ca="1">IFERROR(__xludf.DUMMYFUNCTION("""COMPUTED_VALUE"""),"19911011MAMAR")</f>
        <v>19911011MAMAR</v>
      </c>
      <c r="B1881" s="5" t="str">
        <f ca="1">IFERROR(__xludf.DUMMYFUNCTION("""COMPUTED_VALUE"""),"Handgun")</f>
        <v>Handgun</v>
      </c>
      <c r="C1881" s="5" t="str">
        <f ca="1">IFERROR(__xludf.DUMMYFUNCTION("""COMPUTED_VALUE"""),".22 caliber")</f>
        <v>.22 caliber</v>
      </c>
      <c r="D1881" s="5"/>
    </row>
    <row r="1882" spans="1:4" ht="13">
      <c r="A1882" s="5" t="str">
        <f ca="1">IFERROR(__xludf.DUMMYFUNCTION("""COMPUTED_VALUE"""),"19911009NYJAB")</f>
        <v>19911009NYJAB</v>
      </c>
      <c r="B1882" s="5" t="str">
        <f ca="1">IFERROR(__xludf.DUMMYFUNCTION("""COMPUTED_VALUE"""),"Handgun")</f>
        <v>Handgun</v>
      </c>
      <c r="C1882" s="5" t="str">
        <f ca="1">IFERROR(__xludf.DUMMYFUNCTION("""COMPUTED_VALUE"""),"Unknown")</f>
        <v>Unknown</v>
      </c>
      <c r="D1882" s="5"/>
    </row>
    <row r="1883" spans="1:4" ht="13">
      <c r="A1883" s="5" t="str">
        <f ca="1">IFERROR(__xludf.DUMMYFUNCTION("""COMPUTED_VALUE"""),"19911004CAROL")</f>
        <v>19911004CAROL</v>
      </c>
      <c r="B1883" s="5" t="str">
        <f ca="1">IFERROR(__xludf.DUMMYFUNCTION("""COMPUTED_VALUE"""),"Handgun")</f>
        <v>Handgun</v>
      </c>
      <c r="C1883" s="5" t="str">
        <f ca="1">IFERROR(__xludf.DUMMYFUNCTION("""COMPUTED_VALUE"""),"Unknown")</f>
        <v>Unknown</v>
      </c>
      <c r="D1883" s="5"/>
    </row>
    <row r="1884" spans="1:4" ht="13">
      <c r="A1884" s="5" t="str">
        <f ca="1">IFERROR(__xludf.DUMMYFUNCTION("""COMPUTED_VALUE"""),"19911004CADOL")</f>
        <v>19911004CADOL</v>
      </c>
      <c r="B1884" s="5" t="str">
        <f ca="1">IFERROR(__xludf.DUMMYFUNCTION("""COMPUTED_VALUE"""),"Handgun")</f>
        <v>Handgun</v>
      </c>
      <c r="C1884" s="5" t="str">
        <f ca="1">IFERROR(__xludf.DUMMYFUNCTION("""COMPUTED_VALUE"""),"Unknown")</f>
        <v>Unknown</v>
      </c>
      <c r="D1884" s="5"/>
    </row>
    <row r="1885" spans="1:4" ht="13">
      <c r="A1885" s="5" t="str">
        <f ca="1">IFERROR(__xludf.DUMMYFUNCTION("""COMPUTED_VALUE"""),"19911002TXSPH")</f>
        <v>19911002TXSPH</v>
      </c>
      <c r="B1885" s="5" t="str">
        <f ca="1">IFERROR(__xludf.DUMMYFUNCTION("""COMPUTED_VALUE"""),"Handgun")</f>
        <v>Handgun</v>
      </c>
      <c r="C1885" s="5" t="str">
        <f ca="1">IFERROR(__xludf.DUMMYFUNCTION("""COMPUTED_VALUE"""),".25 caliber")</f>
        <v>.25 caliber</v>
      </c>
      <c r="D1885" s="5"/>
    </row>
    <row r="1886" spans="1:4" ht="13">
      <c r="A1886" s="5" t="str">
        <f ca="1">IFERROR(__xludf.DUMMYFUNCTION("""COMPUTED_VALUE"""),"19910918TXCRC")</f>
        <v>19910918TXCRC</v>
      </c>
      <c r="B1886" s="5" t="str">
        <f ca="1">IFERROR(__xludf.DUMMYFUNCTION("""COMPUTED_VALUE"""),"Handgun")</f>
        <v>Handgun</v>
      </c>
      <c r="C1886" s="5" t="str">
        <f ca="1">IFERROR(__xludf.DUMMYFUNCTION("""COMPUTED_VALUE"""),".38 caliber")</f>
        <v>.38 caliber</v>
      </c>
      <c r="D1886" s="5"/>
    </row>
    <row r="1887" spans="1:4" ht="13">
      <c r="A1887" s="5" t="str">
        <f ca="1">IFERROR(__xludf.DUMMYFUNCTION("""COMPUTED_VALUE"""),"19910917ILWOC")</f>
        <v>19910917ILWOC</v>
      </c>
      <c r="B1887" s="5" t="str">
        <f ca="1">IFERROR(__xludf.DUMMYFUNCTION("""COMPUTED_VALUE"""),"Handgun")</f>
        <v>Handgun</v>
      </c>
      <c r="C1887" s="5" t="str">
        <f ca="1">IFERROR(__xludf.DUMMYFUNCTION("""COMPUTED_VALUE"""),"Unknown")</f>
        <v>Unknown</v>
      </c>
      <c r="D1887" s="5"/>
    </row>
    <row r="1888" spans="1:4" ht="13">
      <c r="A1888" s="5" t="str">
        <f ca="1">IFERROR(__xludf.DUMMYFUNCTION("""COMPUTED_VALUE"""),"19910913TXMAH")</f>
        <v>19910913TXMAH</v>
      </c>
      <c r="B1888" s="5" t="str">
        <f ca="1">IFERROR(__xludf.DUMMYFUNCTION("""COMPUTED_VALUE"""),"Handgun")</f>
        <v>Handgun</v>
      </c>
      <c r="C1888" s="5" t="str">
        <f ca="1">IFERROR(__xludf.DUMMYFUNCTION("""COMPUTED_VALUE"""),"Unknown")</f>
        <v>Unknown</v>
      </c>
      <c r="D1888" s="5"/>
    </row>
    <row r="1889" spans="1:4" ht="13">
      <c r="A1889" s="5" t="str">
        <f ca="1">IFERROR(__xludf.DUMMYFUNCTION("""COMPUTED_VALUE"""),"19910730CAENC")</f>
        <v>19910730CAENC</v>
      </c>
      <c r="B1889" s="5" t="str">
        <f ca="1">IFERROR(__xludf.DUMMYFUNCTION("""COMPUTED_VALUE"""),"Handgun")</f>
        <v>Handgun</v>
      </c>
      <c r="C1889" s="5" t="str">
        <f ca="1">IFERROR(__xludf.DUMMYFUNCTION("""COMPUTED_VALUE"""),"Unknown")</f>
        <v>Unknown</v>
      </c>
      <c r="D1889" s="5"/>
    </row>
    <row r="1890" spans="1:4" ht="13">
      <c r="A1890" s="5" t="str">
        <f ca="1">IFERROR(__xludf.DUMMYFUNCTION("""COMPUTED_VALUE"""),"19910722CAWEL")</f>
        <v>19910722CAWEL</v>
      </c>
      <c r="B1890" s="5" t="str">
        <f ca="1">IFERROR(__xludf.DUMMYFUNCTION("""COMPUTED_VALUE"""),"Handgun")</f>
        <v>Handgun</v>
      </c>
      <c r="C1890" s="5" t="str">
        <f ca="1">IFERROR(__xludf.DUMMYFUNCTION("""COMPUTED_VALUE"""),".22 caliber")</f>
        <v>.22 caliber</v>
      </c>
      <c r="D1890" s="5"/>
    </row>
    <row r="1891" spans="1:4" ht="13">
      <c r="A1891" s="5" t="str">
        <f ca="1">IFERROR(__xludf.DUMMYFUNCTION("""COMPUTED_VALUE"""),"19910521FLSCP")</f>
        <v>19910521FLSCP</v>
      </c>
      <c r="B1891" s="5" t="str">
        <f ca="1">IFERROR(__xludf.DUMMYFUNCTION("""COMPUTED_VALUE"""),"Handgun")</f>
        <v>Handgun</v>
      </c>
      <c r="C1891" s="5" t="str">
        <f ca="1">IFERROR(__xludf.DUMMYFUNCTION("""COMPUTED_VALUE"""),".22 caliber")</f>
        <v>.22 caliber</v>
      </c>
      <c r="D1891" s="5"/>
    </row>
    <row r="1892" spans="1:4" ht="13">
      <c r="A1892" s="5" t="str">
        <f ca="1">IFERROR(__xludf.DUMMYFUNCTION("""COMPUTED_VALUE"""),"19910521CAROS")</f>
        <v>19910521CAROS</v>
      </c>
      <c r="B1892" s="5" t="str">
        <f ca="1">IFERROR(__xludf.DUMMYFUNCTION("""COMPUTED_VALUE"""),"Handgun")</f>
        <v>Handgun</v>
      </c>
      <c r="C1892" s="5" t="str">
        <f ca="1">IFERROR(__xludf.DUMMYFUNCTION("""COMPUTED_VALUE"""),"Unknown")</f>
        <v>Unknown</v>
      </c>
      <c r="D1892" s="5"/>
    </row>
    <row r="1893" spans="1:4" ht="13">
      <c r="A1893" s="5" t="str">
        <f ca="1">IFERROR(__xludf.DUMMYFUNCTION("""COMPUTED_VALUE"""),"19910516KSCOK")</f>
        <v>19910516KSCOK</v>
      </c>
      <c r="B1893" s="5" t="str">
        <f ca="1">IFERROR(__xludf.DUMMYFUNCTION("""COMPUTED_VALUE"""),"Rifle")</f>
        <v>Rifle</v>
      </c>
      <c r="C1893" s="5" t="str">
        <f ca="1">IFERROR(__xludf.DUMMYFUNCTION("""COMPUTED_VALUE"""),".22 caliber")</f>
        <v>.22 caliber</v>
      </c>
      <c r="D1893" s="5"/>
    </row>
    <row r="1894" spans="1:4" ht="13">
      <c r="A1894" s="5" t="str">
        <f ca="1">IFERROR(__xludf.DUMMYFUNCTION("""COMPUTED_VALUE"""),"19910510OHFRC")</f>
        <v>19910510OHFRC</v>
      </c>
      <c r="B1894" s="5" t="str">
        <f ca="1">IFERROR(__xludf.DUMMYFUNCTION("""COMPUTED_VALUE"""),"Handgun")</f>
        <v>Handgun</v>
      </c>
      <c r="C1894" s="5" t="str">
        <f ca="1">IFERROR(__xludf.DUMMYFUNCTION("""COMPUTED_VALUE"""),"Unknown")</f>
        <v>Unknown</v>
      </c>
      <c r="D1894" s="5"/>
    </row>
    <row r="1895" spans="1:4" ht="13">
      <c r="A1895" s="5" t="str">
        <f ca="1">IFERROR(__xludf.DUMMYFUNCTION("""COMPUTED_VALUE"""),"19910423MSHUB")</f>
        <v>19910423MSHUB</v>
      </c>
      <c r="B1895" s="5" t="str">
        <f ca="1">IFERROR(__xludf.DUMMYFUNCTION("""COMPUTED_VALUE"""),"Handgun")</f>
        <v>Handgun</v>
      </c>
      <c r="C1895" s="5" t="str">
        <f ca="1">IFERROR(__xludf.DUMMYFUNCTION("""COMPUTED_VALUE"""),".22 caliber")</f>
        <v>.22 caliber</v>
      </c>
      <c r="D1895" s="5"/>
    </row>
    <row r="1896" spans="1:4" ht="13">
      <c r="A1896" s="5" t="str">
        <f ca="1">IFERROR(__xludf.DUMMYFUNCTION("""COMPUTED_VALUE"""),"19910423CARAC")</f>
        <v>19910423CARAC</v>
      </c>
      <c r="B1896" s="5" t="str">
        <f ca="1">IFERROR(__xludf.DUMMYFUNCTION("""COMPUTED_VALUE"""),"No Data")</f>
        <v>No Data</v>
      </c>
      <c r="C1896" s="5"/>
      <c r="D1896" s="5"/>
    </row>
    <row r="1897" spans="1:4" ht="13">
      <c r="A1897" s="5" t="str">
        <f ca="1">IFERROR(__xludf.DUMMYFUNCTION("""COMPUTED_VALUE"""),"19910411SCNOR")</f>
        <v>19910411SCNOR</v>
      </c>
      <c r="B1897" s="5" t="str">
        <f ca="1">IFERROR(__xludf.DUMMYFUNCTION("""COMPUTED_VALUE"""),"Handgun")</f>
        <v>Handgun</v>
      </c>
      <c r="C1897" s="5" t="str">
        <f ca="1">IFERROR(__xludf.DUMMYFUNCTION("""COMPUTED_VALUE"""),".22 caliber")</f>
        <v>.22 caliber</v>
      </c>
      <c r="D1897" s="5"/>
    </row>
    <row r="1898" spans="1:4" ht="13">
      <c r="A1898" s="5" t="str">
        <f ca="1">IFERROR(__xludf.DUMMYFUNCTION("""COMPUTED_VALUE"""),"19910325NCGAC")</f>
        <v>19910325NCGAC</v>
      </c>
      <c r="B1898" s="5" t="str">
        <f ca="1">IFERROR(__xludf.DUMMYFUNCTION("""COMPUTED_VALUE"""),"No Data")</f>
        <v>No Data</v>
      </c>
      <c r="C1898" s="5"/>
      <c r="D1898" s="5"/>
    </row>
    <row r="1899" spans="1:4" ht="13">
      <c r="A1899" s="5" t="str">
        <f ca="1">IFERROR(__xludf.DUMMYFUNCTION("""COMPUTED_VALUE"""),"19910314SCWOP")</f>
        <v>19910314SCWOP</v>
      </c>
      <c r="B1899" s="5" t="str">
        <f ca="1">IFERROR(__xludf.DUMMYFUNCTION("""COMPUTED_VALUE"""),"No Data")</f>
        <v>No Data</v>
      </c>
      <c r="C1899" s="5"/>
      <c r="D1899" s="5"/>
    </row>
    <row r="1900" spans="1:4" ht="13">
      <c r="A1900" s="5" t="str">
        <f ca="1">IFERROR(__xludf.DUMMYFUNCTION("""COMPUTED_VALUE"""),"19910313ALSES")</f>
        <v>19910313ALSES</v>
      </c>
      <c r="B1900" s="5" t="str">
        <f ca="1">IFERROR(__xludf.DUMMYFUNCTION("""COMPUTED_VALUE"""),"Handgun")</f>
        <v>Handgun</v>
      </c>
      <c r="C1900" s="5" t="str">
        <f ca="1">IFERROR(__xludf.DUMMYFUNCTION("""COMPUTED_VALUE"""),".22 caliber")</f>
        <v>.22 caliber</v>
      </c>
      <c r="D1900" s="5"/>
    </row>
    <row r="1901" spans="1:4" ht="13">
      <c r="A1901" s="5" t="str">
        <f ca="1">IFERROR(__xludf.DUMMYFUNCTION("""COMPUTED_VALUE"""),"19910219LABON")</f>
        <v>19910219LABON</v>
      </c>
      <c r="B1901" s="5" t="str">
        <f ca="1">IFERROR(__xludf.DUMMYFUNCTION("""COMPUTED_VALUE"""),"Handgun")</f>
        <v>Handgun</v>
      </c>
      <c r="C1901" s="5" t="str">
        <f ca="1">IFERROR(__xludf.DUMMYFUNCTION("""COMPUTED_VALUE"""),"Unknown")</f>
        <v>Unknown</v>
      </c>
      <c r="D1901" s="5"/>
    </row>
    <row r="1902" spans="1:4" ht="13">
      <c r="A1902" s="5" t="str">
        <f ca="1">IFERROR(__xludf.DUMMYFUNCTION("""COMPUTED_VALUE"""),"19910117TXHOD")</f>
        <v>19910117TXHOD</v>
      </c>
      <c r="B1902" s="5" t="str">
        <f ca="1">IFERROR(__xludf.DUMMYFUNCTION("""COMPUTED_VALUE"""),"Handgun")</f>
        <v>Handgun</v>
      </c>
      <c r="C1902" s="5" t="str">
        <f ca="1">IFERROR(__xludf.DUMMYFUNCTION("""COMPUTED_VALUE"""),"Unknown")</f>
        <v>Unknown</v>
      </c>
      <c r="D1902" s="5"/>
    </row>
    <row r="1903" spans="1:4" ht="13">
      <c r="A1903" s="5" t="str">
        <f ca="1">IFERROR(__xludf.DUMMYFUNCTION("""COMPUTED_VALUE"""),"19910108TXRIR")</f>
        <v>19910108TXRIR</v>
      </c>
      <c r="B1903" s="5" t="str">
        <f ca="1">IFERROR(__xludf.DUMMYFUNCTION("""COMPUTED_VALUE"""),"Handgun")</f>
        <v>Handgun</v>
      </c>
      <c r="C1903" s="5" t="str">
        <f ca="1">IFERROR(__xludf.DUMMYFUNCTION("""COMPUTED_VALUE"""),".357 caliber")</f>
        <v>.357 caliber</v>
      </c>
      <c r="D1903" s="5"/>
    </row>
    <row r="1904" spans="1:4" ht="13">
      <c r="A1904" s="5" t="str">
        <f ca="1">IFERROR(__xludf.DUMMYFUNCTION("""COMPUTED_VALUE"""),"19901213LASAS")</f>
        <v>19901213LASAS</v>
      </c>
      <c r="B1904" s="5" t="str">
        <f ca="1">IFERROR(__xludf.DUMMYFUNCTION("""COMPUTED_VALUE"""),"No Data")</f>
        <v>No Data</v>
      </c>
      <c r="C1904" s="5"/>
      <c r="D1904" s="5"/>
    </row>
    <row r="1905" spans="1:4" ht="13">
      <c r="A1905" s="5" t="str">
        <f ca="1">IFERROR(__xludf.DUMMYFUNCTION("""COMPUTED_VALUE"""),"19901110TXJUD")</f>
        <v>19901110TXJUD</v>
      </c>
      <c r="B1905" s="5" t="str">
        <f ca="1">IFERROR(__xludf.DUMMYFUNCTION("""COMPUTED_VALUE"""),"Handgun")</f>
        <v>Handgun</v>
      </c>
      <c r="C1905" s="5" t="str">
        <f ca="1">IFERROR(__xludf.DUMMYFUNCTION("""COMPUTED_VALUE"""),".25 caliber")</f>
        <v>.25 caliber</v>
      </c>
      <c r="D1905" s="5" t="str">
        <f ca="1">IFERROR(__xludf.DUMMYFUNCTION("""COMPUTED_VALUE"""),"Automatic")</f>
        <v>Automatic</v>
      </c>
    </row>
    <row r="1906" spans="1:4" ht="13">
      <c r="A1906" s="5" t="str">
        <f ca="1">IFERROR(__xludf.DUMMYFUNCTION("""COMPUTED_VALUE"""),"19901030TXNAG")</f>
        <v>19901030TXNAG</v>
      </c>
      <c r="B1906" s="5" t="str">
        <f ca="1">IFERROR(__xludf.DUMMYFUNCTION("""COMPUTED_VALUE"""),"Handgun")</f>
        <v>Handgun</v>
      </c>
      <c r="C1906" s="5" t="str">
        <f ca="1">IFERROR(__xludf.DUMMYFUNCTION("""COMPUTED_VALUE"""),".25 caliber")</f>
        <v>.25 caliber</v>
      </c>
      <c r="D1906" s="5"/>
    </row>
    <row r="1907" spans="1:4" ht="13">
      <c r="A1907" s="5" t="str">
        <f ca="1">IFERROR(__xludf.DUMMYFUNCTION("""COMPUTED_VALUE"""),"19901029INCHC")</f>
        <v>19901029INCHC</v>
      </c>
      <c r="B1907" s="5" t="str">
        <f ca="1">IFERROR(__xludf.DUMMYFUNCTION("""COMPUTED_VALUE"""),"Handgun")</f>
        <v>Handgun</v>
      </c>
      <c r="C1907" s="5" t="str">
        <f ca="1">IFERROR(__xludf.DUMMYFUNCTION("""COMPUTED_VALUE"""),".44 caliber")</f>
        <v>.44 caliber</v>
      </c>
      <c r="D1907" s="5"/>
    </row>
    <row r="1908" spans="1:4" ht="13">
      <c r="A1908" s="5" t="str">
        <f ca="1">IFERROR(__xludf.DUMMYFUNCTION("""COMPUTED_VALUE"""),"19901002TXWHD")</f>
        <v>19901002TXWHD</v>
      </c>
      <c r="B1908" s="5" t="str">
        <f ca="1">IFERROR(__xludf.DUMMYFUNCTION("""COMPUTED_VALUE"""),"Handgun")</f>
        <v>Handgun</v>
      </c>
      <c r="C1908" s="5" t="str">
        <f ca="1">IFERROR(__xludf.DUMMYFUNCTION("""COMPUTED_VALUE"""),"Unknown")</f>
        <v>Unknown</v>
      </c>
      <c r="D1908" s="5"/>
    </row>
    <row r="1909" spans="1:4" ht="13">
      <c r="A1909" s="5" t="str">
        <f ca="1">IFERROR(__xludf.DUMMYFUNCTION("""COMPUTED_VALUE"""),"19900922ALLEB")</f>
        <v>19900922ALLEB</v>
      </c>
      <c r="B1909" s="5" t="str">
        <f ca="1">IFERROR(__xludf.DUMMYFUNCTION("""COMPUTED_VALUE"""),"Handgun")</f>
        <v>Handgun</v>
      </c>
      <c r="C1909" s="5" t="str">
        <f ca="1">IFERROR(__xludf.DUMMYFUNCTION("""COMPUTED_VALUE"""),"Unknown")</f>
        <v>Unknown</v>
      </c>
      <c r="D1909" s="5"/>
    </row>
    <row r="1910" spans="1:4" ht="13">
      <c r="A1910" s="5" t="str">
        <f ca="1">IFERROR(__xludf.DUMMYFUNCTION("""COMPUTED_VALUE"""),"19900911TXSAS")</f>
        <v>19900911TXSAS</v>
      </c>
      <c r="B1910" s="5" t="str">
        <f ca="1">IFERROR(__xludf.DUMMYFUNCTION("""COMPUTED_VALUE"""),"Handgun")</f>
        <v>Handgun</v>
      </c>
      <c r="C1910" s="5" t="str">
        <f ca="1">IFERROR(__xludf.DUMMYFUNCTION("""COMPUTED_VALUE"""),".45 caliber")</f>
        <v>.45 caliber</v>
      </c>
      <c r="D1910" s="5"/>
    </row>
    <row r="1911" spans="1:4" ht="13">
      <c r="A1911" s="5" t="str">
        <f ca="1">IFERROR(__xludf.DUMMYFUNCTION("""COMPUTED_VALUE"""),"19900906GASOC")</f>
        <v>19900906GASOC</v>
      </c>
      <c r="B1911" s="5" t="str">
        <f ca="1">IFERROR(__xludf.DUMMYFUNCTION("""COMPUTED_VALUE"""),"Rifle")</f>
        <v>Rifle</v>
      </c>
      <c r="C1911" s="5" t="str">
        <f ca="1">IFERROR(__xludf.DUMMYFUNCTION("""COMPUTED_VALUE"""),".30-06")</f>
        <v>.30-06</v>
      </c>
      <c r="D1911" s="5"/>
    </row>
    <row r="1912" spans="1:4" ht="13">
      <c r="A1912" s="5" t="str">
        <f ca="1">IFERROR(__xludf.DUMMYFUNCTION("""COMPUTED_VALUE"""),"19900906GASOC")</f>
        <v>19900906GASOC</v>
      </c>
      <c r="B1912" s="5" t="str">
        <f ca="1">IFERROR(__xludf.DUMMYFUNCTION("""COMPUTED_VALUE"""),"Shotgun")</f>
        <v>Shotgun</v>
      </c>
      <c r="C1912" s="5" t="str">
        <f ca="1">IFERROR(__xludf.DUMMYFUNCTION("""COMPUTED_VALUE"""),"12 gauge")</f>
        <v>12 gauge</v>
      </c>
      <c r="D1912" s="5"/>
    </row>
    <row r="1913" spans="1:4" ht="13">
      <c r="A1913" s="5" t="str">
        <f ca="1">IFERROR(__xludf.DUMMYFUNCTION("""COMPUTED_VALUE"""),"19900906GASOC")</f>
        <v>19900906GASOC</v>
      </c>
      <c r="B1913" s="5" t="str">
        <f ca="1">IFERROR(__xludf.DUMMYFUNCTION("""COMPUTED_VALUE"""),"Handgun")</f>
        <v>Handgun</v>
      </c>
      <c r="C1913" s="5" t="str">
        <f ca="1">IFERROR(__xludf.DUMMYFUNCTION("""COMPUTED_VALUE"""),".25 caliber")</f>
        <v>.25 caliber</v>
      </c>
      <c r="D1913" s="5"/>
    </row>
    <row r="1914" spans="1:4" ht="13">
      <c r="A1914" s="5" t="str">
        <f ca="1">IFERROR(__xludf.DUMMYFUNCTION("""COMPUTED_VALUE"""),"19900827TXWHD")</f>
        <v>19900827TXWHD</v>
      </c>
      <c r="B1914" s="5" t="str">
        <f ca="1">IFERROR(__xludf.DUMMYFUNCTION("""COMPUTED_VALUE"""),"Handgun")</f>
        <v>Handgun</v>
      </c>
      <c r="C1914" s="5" t="str">
        <f ca="1">IFERROR(__xludf.DUMMYFUNCTION("""COMPUTED_VALUE"""),"Unknown")</f>
        <v>Unknown</v>
      </c>
      <c r="D1914" s="5"/>
    </row>
    <row r="1915" spans="1:4" ht="13">
      <c r="A1915" s="5" t="str">
        <f ca="1">IFERROR(__xludf.DUMMYFUNCTION("""COMPUTED_VALUE"""),"19900827NVELL")</f>
        <v>19900827NVELL</v>
      </c>
      <c r="B1915" s="5" t="str">
        <f ca="1">IFERROR(__xludf.DUMMYFUNCTION("""COMPUTED_VALUE"""),"Handgun")</f>
        <v>Handgun</v>
      </c>
      <c r="C1915" s="5" t="str">
        <f ca="1">IFERROR(__xludf.DUMMYFUNCTION("""COMPUTED_VALUE"""),"Unknown")</f>
        <v>Unknown</v>
      </c>
      <c r="D1915" s="5"/>
    </row>
    <row r="1916" spans="1:4" ht="13">
      <c r="A1916" s="5" t="str">
        <f ca="1">IFERROR(__xludf.DUMMYFUNCTION("""COMPUTED_VALUE"""),"19900824NCMYC")</f>
        <v>19900824NCMYC</v>
      </c>
      <c r="B1916" s="5" t="str">
        <f ca="1">IFERROR(__xludf.DUMMYFUNCTION("""COMPUTED_VALUE"""),"Handgun")</f>
        <v>Handgun</v>
      </c>
      <c r="C1916" s="5" t="str">
        <f ca="1">IFERROR(__xludf.DUMMYFUNCTION("""COMPUTED_VALUE"""),"Unknown")</f>
        <v>Unknown</v>
      </c>
      <c r="D1916" s="5"/>
    </row>
    <row r="1917" spans="1:4" ht="13">
      <c r="A1917" s="5" t="str">
        <f ca="1">IFERROR(__xludf.DUMMYFUNCTION("""COMPUTED_VALUE"""),"19900531TXSUF")</f>
        <v>19900531TXSUF</v>
      </c>
      <c r="B1917" s="5" t="str">
        <f ca="1">IFERROR(__xludf.DUMMYFUNCTION("""COMPUTED_VALUE"""),"Handgun")</f>
        <v>Handgun</v>
      </c>
      <c r="C1917" s="5" t="str">
        <f ca="1">IFERROR(__xludf.DUMMYFUNCTION("""COMPUTED_VALUE"""),".22 caliber")</f>
        <v>.22 caliber</v>
      </c>
      <c r="D1917" s="5"/>
    </row>
    <row r="1918" spans="1:4" ht="13">
      <c r="A1918" s="5" t="str">
        <f ca="1">IFERROR(__xludf.DUMMYFUNCTION("""COMPUTED_VALUE"""),"19900520TNHIC")</f>
        <v>19900520TNHIC</v>
      </c>
      <c r="B1918" s="5" t="str">
        <f ca="1">IFERROR(__xludf.DUMMYFUNCTION("""COMPUTED_VALUE"""),"No Data")</f>
        <v>No Data</v>
      </c>
      <c r="C1918" s="5"/>
      <c r="D1918" s="5"/>
    </row>
    <row r="1919" spans="1:4" ht="13">
      <c r="A1919" s="5" t="str">
        <f ca="1">IFERROR(__xludf.DUMMYFUNCTION("""COMPUTED_VALUE"""),"19900504CAMOE")</f>
        <v>19900504CAMOE</v>
      </c>
      <c r="B1919" s="5" t="str">
        <f ca="1">IFERROR(__xludf.DUMMYFUNCTION("""COMPUTED_VALUE"""),"Handgun")</f>
        <v>Handgun</v>
      </c>
      <c r="C1919" s="5" t="str">
        <f ca="1">IFERROR(__xludf.DUMMYFUNCTION("""COMPUTED_VALUE"""),"Unknown")</f>
        <v>Unknown</v>
      </c>
      <c r="D1919" s="5"/>
    </row>
    <row r="1920" spans="1:4" ht="13">
      <c r="A1920" s="5" t="str">
        <f ca="1">IFERROR(__xludf.DUMMYFUNCTION("""COMPUTED_VALUE"""),"19900403TXSKD")</f>
        <v>19900403TXSKD</v>
      </c>
      <c r="B1920" s="5" t="str">
        <f ca="1">IFERROR(__xludf.DUMMYFUNCTION("""COMPUTED_VALUE"""),"Handgun")</f>
        <v>Handgun</v>
      </c>
      <c r="C1920" s="5" t="str">
        <f ca="1">IFERROR(__xludf.DUMMYFUNCTION("""COMPUTED_VALUE"""),".25 caliber")</f>
        <v>.25 caliber</v>
      </c>
      <c r="D1920" s="5"/>
    </row>
    <row r="1921" spans="1:4" ht="13">
      <c r="A1921" s="5" t="str">
        <f ca="1">IFERROR(__xludf.DUMMYFUNCTION("""COMPUTED_VALUE"""),"19900327NYNEB")</f>
        <v>19900327NYNEB</v>
      </c>
      <c r="B1921" s="5" t="str">
        <f ca="1">IFERROR(__xludf.DUMMYFUNCTION("""COMPUTED_VALUE"""),"Handgun")</f>
        <v>Handgun</v>
      </c>
      <c r="C1921" s="5" t="str">
        <f ca="1">IFERROR(__xludf.DUMMYFUNCTION("""COMPUTED_VALUE"""),".38 caliber")</f>
        <v>.38 caliber</v>
      </c>
      <c r="D1921" s="5"/>
    </row>
    <row r="1922" spans="1:4" ht="13">
      <c r="A1922" s="5" t="str">
        <f ca="1">IFERROR(__xludf.DUMMYFUNCTION("""COMPUTED_VALUE"""),"19900220OHTAC")</f>
        <v>19900220OHTAC</v>
      </c>
      <c r="B1922" s="5" t="str">
        <f ca="1">IFERROR(__xludf.DUMMYFUNCTION("""COMPUTED_VALUE"""),"Handgun")</f>
        <v>Handgun</v>
      </c>
      <c r="C1922" s="5" t="str">
        <f ca="1">IFERROR(__xludf.DUMMYFUNCTION("""COMPUTED_VALUE"""),"9mm")</f>
        <v>9mm</v>
      </c>
      <c r="D1922" s="5"/>
    </row>
    <row r="1923" spans="1:4" ht="13">
      <c r="A1923" s="5" t="str">
        <f ca="1">IFERROR(__xludf.DUMMYFUNCTION("""COMPUTED_VALUE"""),"19900116RICEP")</f>
        <v>19900116RICEP</v>
      </c>
      <c r="B1923" s="5" t="str">
        <f ca="1">IFERROR(__xludf.DUMMYFUNCTION("""COMPUTED_VALUE"""),"No Data")</f>
        <v>No Data</v>
      </c>
      <c r="C1923" s="5"/>
      <c r="D1923" s="5"/>
    </row>
    <row r="1924" spans="1:4" ht="13">
      <c r="A1924" s="5" t="str">
        <f ca="1">IFERROR(__xludf.DUMMYFUNCTION("""COMPUTED_VALUE"""),"19891212SCCHC")</f>
        <v>19891212SCCHC</v>
      </c>
      <c r="B1924" s="5" t="str">
        <f ca="1">IFERROR(__xludf.DUMMYFUNCTION("""COMPUTED_VALUE"""),"Handgun")</f>
        <v>Handgun</v>
      </c>
      <c r="C1924" s="5" t="str">
        <f ca="1">IFERROR(__xludf.DUMMYFUNCTION("""COMPUTED_VALUE"""),".45 caliber")</f>
        <v>.45 caliber</v>
      </c>
      <c r="D1924" s="5"/>
    </row>
    <row r="1925" spans="1:4" ht="13">
      <c r="A1925" s="5" t="str">
        <f ca="1">IFERROR(__xludf.DUMMYFUNCTION("""COMPUTED_VALUE"""),"19891205TXWWD")</f>
        <v>19891205TXWWD</v>
      </c>
      <c r="B1925" s="5" t="str">
        <f ca="1">IFERROR(__xludf.DUMMYFUNCTION("""COMPUTED_VALUE"""),"Handgun")</f>
        <v>Handgun</v>
      </c>
      <c r="C1925" s="5" t="str">
        <f ca="1">IFERROR(__xludf.DUMMYFUNCTION("""COMPUTED_VALUE"""),".25 caliber")</f>
        <v>.25 caliber</v>
      </c>
      <c r="D1925" s="5"/>
    </row>
    <row r="1926" spans="1:4" ht="13">
      <c r="A1926" s="5" t="str">
        <f ca="1">IFERROR(__xludf.DUMMYFUNCTION("""COMPUTED_VALUE"""),"19891205PASEM")</f>
        <v>19891205PASEM</v>
      </c>
      <c r="B1926" s="5" t="str">
        <f ca="1">IFERROR(__xludf.DUMMYFUNCTION("""COMPUTED_VALUE"""),"Handgun")</f>
        <v>Handgun</v>
      </c>
      <c r="C1926" s="5" t="str">
        <f ca="1">IFERROR(__xludf.DUMMYFUNCTION("""COMPUTED_VALUE"""),".22 caliber")</f>
        <v>.22 caliber</v>
      </c>
      <c r="D1926" s="5"/>
    </row>
    <row r="1927" spans="1:4" ht="13">
      <c r="A1927" s="5" t="str">
        <f ca="1">IFERROR(__xludf.DUMMYFUNCTION("""COMPUTED_VALUE"""),"19891204LACAS")</f>
        <v>19891204LACAS</v>
      </c>
      <c r="B1927" s="5" t="str">
        <f ca="1">IFERROR(__xludf.DUMMYFUNCTION("""COMPUTED_VALUE"""),"No Data")</f>
        <v>No Data</v>
      </c>
      <c r="C1927" s="5"/>
      <c r="D1927" s="5"/>
    </row>
    <row r="1928" spans="1:4" ht="13">
      <c r="A1928" s="5" t="str">
        <f ca="1">IFERROR(__xludf.DUMMYFUNCTION("""COMPUTED_VALUE"""),"19891122CACHO")</f>
        <v>19891122CACHO</v>
      </c>
      <c r="B1928" s="5" t="str">
        <f ca="1">IFERROR(__xludf.DUMMYFUNCTION("""COMPUTED_VALUE"""),"Handgun")</f>
        <v>Handgun</v>
      </c>
      <c r="C1928" s="5" t="str">
        <f ca="1">IFERROR(__xludf.DUMMYFUNCTION("""COMPUTED_VALUE"""),".22 caliber")</f>
        <v>.22 caliber</v>
      </c>
      <c r="D1928" s="5"/>
    </row>
    <row r="1929" spans="1:4" ht="13">
      <c r="A1929" s="5" t="str">
        <f ca="1">IFERROR(__xludf.DUMMYFUNCTION("""COMPUTED_VALUE"""),"19891115TXWOA")</f>
        <v>19891115TXWOA</v>
      </c>
      <c r="B1929" s="5" t="str">
        <f ca="1">IFERROR(__xludf.DUMMYFUNCTION("""COMPUTED_VALUE"""),"Handgun")</f>
        <v>Handgun</v>
      </c>
      <c r="C1929" s="5" t="str">
        <f ca="1">IFERROR(__xludf.DUMMYFUNCTION("""COMPUTED_VALUE"""),".22 caliber")</f>
        <v>.22 caliber</v>
      </c>
      <c r="D1929" s="5"/>
    </row>
    <row r="1930" spans="1:4" ht="13">
      <c r="A1930" s="5" t="str">
        <f ca="1">IFERROR(__xludf.DUMMYFUNCTION("""COMPUTED_VALUE"""),"19891113NYALN")</f>
        <v>19891113NYALN</v>
      </c>
      <c r="B1930" s="5" t="str">
        <f ca="1">IFERROR(__xludf.DUMMYFUNCTION("""COMPUTED_VALUE"""),"Handgun")</f>
        <v>Handgun</v>
      </c>
      <c r="C1930" s="5" t="str">
        <f ca="1">IFERROR(__xludf.DUMMYFUNCTION("""COMPUTED_VALUE"""),".22 caliber")</f>
        <v>.22 caliber</v>
      </c>
      <c r="D1930" s="5"/>
    </row>
    <row r="1931" spans="1:4" ht="13">
      <c r="A1931" s="5" t="str">
        <f ca="1">IFERROR(__xludf.DUMMYFUNCTION("""COMPUTED_VALUE"""),"19891031TXOLD")</f>
        <v>19891031TXOLD</v>
      </c>
      <c r="B1931" s="5" t="str">
        <f ca="1">IFERROR(__xludf.DUMMYFUNCTION("""COMPUTED_VALUE"""),"Other")</f>
        <v>Other</v>
      </c>
      <c r="C1931" s="5" t="str">
        <f ca="1">IFERROR(__xludf.DUMMYFUNCTION("""COMPUTED_VALUE"""),"BB")</f>
        <v>BB</v>
      </c>
      <c r="D1931" s="5"/>
    </row>
    <row r="1932" spans="1:4" ht="13">
      <c r="A1932" s="5" t="str">
        <f ca="1">IFERROR(__xludf.DUMMYFUNCTION("""COMPUTED_VALUE"""),"19891005CALOA")</f>
        <v>19891005CALOA</v>
      </c>
      <c r="B1932" s="5" t="str">
        <f ca="1">IFERROR(__xludf.DUMMYFUNCTION("""COMPUTED_VALUE"""),"Handgun")</f>
        <v>Handgun</v>
      </c>
      <c r="C1932" s="5" t="str">
        <f ca="1">IFERROR(__xludf.DUMMYFUNCTION("""COMPUTED_VALUE"""),"Unknown")</f>
        <v>Unknown</v>
      </c>
      <c r="D1932" s="5" t="str">
        <f ca="1">IFERROR(__xludf.DUMMYFUNCTION("""COMPUTED_VALUE"""),"Shotgun, pistol")</f>
        <v>Shotgun, pistol</v>
      </c>
    </row>
    <row r="1933" spans="1:4" ht="13">
      <c r="A1933" s="5" t="str">
        <f ca="1">IFERROR(__xludf.DUMMYFUNCTION("""COMPUTED_VALUE"""),"19891005CALOA")</f>
        <v>19891005CALOA</v>
      </c>
      <c r="B1933" s="5" t="str">
        <f ca="1">IFERROR(__xludf.DUMMYFUNCTION("""COMPUTED_VALUE"""),"Shotgun")</f>
        <v>Shotgun</v>
      </c>
      <c r="C1933" s="5" t="str">
        <f ca="1">IFERROR(__xludf.DUMMYFUNCTION("""COMPUTED_VALUE"""),"Unknown")</f>
        <v>Unknown</v>
      </c>
      <c r="D1933" s="5" t="str">
        <f ca="1">IFERROR(__xludf.DUMMYFUNCTION("""COMPUTED_VALUE"""),"Shotgun, pistol")</f>
        <v>Shotgun, pistol</v>
      </c>
    </row>
    <row r="1934" spans="1:4" ht="13">
      <c r="A1934" s="5" t="str">
        <f ca="1">IFERROR(__xludf.DUMMYFUNCTION("""COMPUTED_VALUE"""),"19890918KYJAM")</f>
        <v>19890918KYJAM</v>
      </c>
      <c r="B1934" s="5" t="str">
        <f ca="1">IFERROR(__xludf.DUMMYFUNCTION("""COMPUTED_VALUE"""),"Shotgun")</f>
        <v>Shotgun</v>
      </c>
      <c r="C1934" s="5" t="str">
        <f ca="1">IFERROR(__xludf.DUMMYFUNCTION("""COMPUTED_VALUE"""),"Unknown")</f>
        <v>Unknown</v>
      </c>
      <c r="D1934" s="5"/>
    </row>
    <row r="1935" spans="1:4" ht="13">
      <c r="A1935" s="5" t="str">
        <f ca="1">IFERROR(__xludf.DUMMYFUNCTION("""COMPUTED_VALUE"""),"19890911AZDYE")</f>
        <v>19890911AZDYE</v>
      </c>
      <c r="B1935" s="5" t="str">
        <f ca="1">IFERROR(__xludf.DUMMYFUNCTION("""COMPUTED_VALUE"""),"Handgun")</f>
        <v>Handgun</v>
      </c>
      <c r="C1935" s="5" t="str">
        <f ca="1">IFERROR(__xludf.DUMMYFUNCTION("""COMPUTED_VALUE"""),".25 caliber")</f>
        <v>.25 caliber</v>
      </c>
      <c r="D1935" s="5"/>
    </row>
    <row r="1936" spans="1:4" ht="13">
      <c r="A1936" s="5" t="str">
        <f ca="1">IFERROR(__xludf.DUMMYFUNCTION("""COMPUTED_VALUE"""),"19890901VASAV")</f>
        <v>19890901VASAV</v>
      </c>
      <c r="B1936" s="5" t="str">
        <f ca="1">IFERROR(__xludf.DUMMYFUNCTION("""COMPUTED_VALUE"""),"Multiple Handguns")</f>
        <v>Multiple Handguns</v>
      </c>
      <c r="C1936" s="5"/>
      <c r="D1936" s="5"/>
    </row>
    <row r="1937" spans="1:4" ht="13">
      <c r="A1937" s="5" t="str">
        <f ca="1">IFERROR(__xludf.DUMMYFUNCTION("""COMPUTED_VALUE"""),"19890426TXAMD")</f>
        <v>19890426TXAMD</v>
      </c>
      <c r="B1937" s="5" t="str">
        <f ca="1">IFERROR(__xludf.DUMMYFUNCTION("""COMPUTED_VALUE"""),"Handgun")</f>
        <v>Handgun</v>
      </c>
      <c r="C1937" s="5" t="str">
        <f ca="1">IFERROR(__xludf.DUMMYFUNCTION("""COMPUTED_VALUE"""),".22 caliber")</f>
        <v>.22 caliber</v>
      </c>
      <c r="D1937" s="5"/>
    </row>
    <row r="1938" spans="1:4" ht="13">
      <c r="A1938" s="5" t="str">
        <f ca="1">IFERROR(__xludf.DUMMYFUNCTION("""COMPUTED_VALUE"""),"19890303INWIG")</f>
        <v>19890303INWIG</v>
      </c>
      <c r="B1938" s="5" t="str">
        <f ca="1">IFERROR(__xludf.DUMMYFUNCTION("""COMPUTED_VALUE"""),"Handgun")</f>
        <v>Handgun</v>
      </c>
      <c r="C1938" s="5" t="str">
        <f ca="1">IFERROR(__xludf.DUMMYFUNCTION("""COMPUTED_VALUE"""),".22 caliber")</f>
        <v>.22 caliber</v>
      </c>
      <c r="D1938" s="5"/>
    </row>
    <row r="1939" spans="1:4" ht="13">
      <c r="A1939" s="5" t="str">
        <f ca="1">IFERROR(__xludf.DUMMYFUNCTION("""COMPUTED_VALUE"""),"19890210UTTHK")</f>
        <v>19890210UTTHK</v>
      </c>
      <c r="B1939" s="5" t="str">
        <f ca="1">IFERROR(__xludf.DUMMYFUNCTION("""COMPUTED_VALUE"""),"Handgun")</f>
        <v>Handgun</v>
      </c>
      <c r="C1939" s="5" t="str">
        <f ca="1">IFERROR(__xludf.DUMMYFUNCTION("""COMPUTED_VALUE"""),".22 caliber")</f>
        <v>.22 caliber</v>
      </c>
      <c r="D1939" s="5"/>
    </row>
    <row r="1940" spans="1:4" ht="13">
      <c r="A1940" s="5" t="str">
        <f ca="1">IFERROR(__xludf.DUMMYFUNCTION("""COMPUTED_VALUE"""),"19890209IDRIR")</f>
        <v>19890209IDRIR</v>
      </c>
      <c r="B1940" s="5" t="str">
        <f ca="1">IFERROR(__xludf.DUMMYFUNCTION("""COMPUTED_VALUE"""),"Handgun")</f>
        <v>Handgun</v>
      </c>
      <c r="C1940" s="5" t="str">
        <f ca="1">IFERROR(__xludf.DUMMYFUNCTION("""COMPUTED_VALUE"""),".22 caliber")</f>
        <v>.22 caliber</v>
      </c>
      <c r="D1940" s="5"/>
    </row>
    <row r="1941" spans="1:4" ht="13">
      <c r="A1941" s="5" t="str">
        <f ca="1">IFERROR(__xludf.DUMMYFUNCTION("""COMPUTED_VALUE"""),"19890126DCWOW")</f>
        <v>19890126DCWOW</v>
      </c>
      <c r="B1941" s="5" t="str">
        <f ca="1">IFERROR(__xludf.DUMMYFUNCTION("""COMPUTED_VALUE"""),"Handgun")</f>
        <v>Handgun</v>
      </c>
      <c r="C1941" s="5" t="str">
        <f ca="1">IFERROR(__xludf.DUMMYFUNCTION("""COMPUTED_VALUE"""),"Unknown")</f>
        <v>Unknown</v>
      </c>
      <c r="D1941" s="5"/>
    </row>
    <row r="1942" spans="1:4" ht="13">
      <c r="A1942" s="5" t="str">
        <f ca="1">IFERROR(__xludf.DUMMYFUNCTION("""COMPUTED_VALUE"""),"19890117CACLS")</f>
        <v>19890117CACLS</v>
      </c>
      <c r="B1942" s="5" t="str">
        <f ca="1">IFERROR(__xludf.DUMMYFUNCTION("""COMPUTED_VALUE"""),"Handgun")</f>
        <v>Handgun</v>
      </c>
      <c r="C1942" s="5" t="str">
        <f ca="1">IFERROR(__xludf.DUMMYFUNCTION("""COMPUTED_VALUE"""),"9mm")</f>
        <v>9mm</v>
      </c>
      <c r="D1942" s="5" t="str">
        <f ca="1">IFERROR(__xludf.DUMMYFUNCTION("""COMPUTED_VALUE"""),"Taurus PT92 pistol")</f>
        <v>Taurus PT92 pistol</v>
      </c>
    </row>
    <row r="1943" spans="1:4" ht="13">
      <c r="A1943" s="5" t="str">
        <f ca="1">IFERROR(__xludf.DUMMYFUNCTION("""COMPUTED_VALUE"""),"19890117CACLS")</f>
        <v>19890117CACLS</v>
      </c>
      <c r="B1943" s="5" t="str">
        <f ca="1">IFERROR(__xludf.DUMMYFUNCTION("""COMPUTED_VALUE"""),"Rifle")</f>
        <v>Rifle</v>
      </c>
      <c r="C1943" s="5" t="str">
        <f ca="1">IFERROR(__xludf.DUMMYFUNCTION("""COMPUTED_VALUE"""),".223 caliber")</f>
        <v>.223 caliber</v>
      </c>
      <c r="D1943" s="5" t="str">
        <f ca="1">IFERROR(__xludf.DUMMYFUNCTION("""COMPUTED_VALUE"""),"Semi-auto; Legal purchased AK-47 rifle carved with the words ""freedom"", ""victory"", ""Earthman"", and ""Hezbollah""")</f>
        <v>Semi-auto; Legal purchased AK-47 rifle carved with the words "freedom", "victory", "Earthman", and "Hezbollah"</v>
      </c>
    </row>
    <row r="1944" spans="1:4" ht="13">
      <c r="A1944" s="5" t="str">
        <f ca="1">IFERROR(__xludf.DUMMYFUNCTION("""COMPUTED_VALUE"""),"19890105ARHEL")</f>
        <v>19890105ARHEL</v>
      </c>
      <c r="B1944" s="5" t="str">
        <f ca="1">IFERROR(__xludf.DUMMYFUNCTION("""COMPUTED_VALUE"""),"Handgun")</f>
        <v>Handgun</v>
      </c>
      <c r="C1944" s="5" t="str">
        <f ca="1">IFERROR(__xludf.DUMMYFUNCTION("""COMPUTED_VALUE"""),".22 caliber")</f>
        <v>.22 caliber</v>
      </c>
      <c r="D1944" s="5"/>
    </row>
    <row r="1945" spans="1:4" ht="13">
      <c r="A1945" s="5" t="str">
        <f ca="1">IFERROR(__xludf.DUMMYFUNCTION("""COMPUTED_VALUE"""),"19881216VAATV")</f>
        <v>19881216VAATV</v>
      </c>
      <c r="B1945" s="5" t="str">
        <f ca="1">IFERROR(__xludf.DUMMYFUNCTION("""COMPUTED_VALUE"""),"Handgun")</f>
        <v>Handgun</v>
      </c>
      <c r="C1945" s="5" t="str">
        <f ca="1">IFERROR(__xludf.DUMMYFUNCTION("""COMPUTED_VALUE"""),"9mm")</f>
        <v>9mm</v>
      </c>
      <c r="D1945" s="5"/>
    </row>
    <row r="1946" spans="1:4" ht="13">
      <c r="A1946" s="5" t="str">
        <f ca="1">IFERROR(__xludf.DUMMYFUNCTION("""COMPUTED_VALUE"""),"19881122TXABA")</f>
        <v>19881122TXABA</v>
      </c>
      <c r="B1946" s="5" t="str">
        <f ca="1">IFERROR(__xludf.DUMMYFUNCTION("""COMPUTED_VALUE"""),"Handgun")</f>
        <v>Handgun</v>
      </c>
      <c r="C1946" s="5" t="str">
        <f ca="1">IFERROR(__xludf.DUMMYFUNCTION("""COMPUTED_VALUE"""),".22 caliber")</f>
        <v>.22 caliber</v>
      </c>
      <c r="D1946" s="5"/>
    </row>
    <row r="1947" spans="1:4" ht="13">
      <c r="A1947" s="5" t="str">
        <f ca="1">IFERROR(__xludf.DUMMYFUNCTION("""COMPUTED_VALUE"""),"19881107UTGLS")</f>
        <v>19881107UTGLS</v>
      </c>
      <c r="B1947" s="5" t="str">
        <f ca="1">IFERROR(__xludf.DUMMYFUNCTION("""COMPUTED_VALUE"""),"Handgun")</f>
        <v>Handgun</v>
      </c>
      <c r="C1947" s="5" t="str">
        <f ca="1">IFERROR(__xludf.DUMMYFUNCTION("""COMPUTED_VALUE"""),".22 caliber")</f>
        <v>.22 caliber</v>
      </c>
      <c r="D1947" s="5"/>
    </row>
    <row r="1948" spans="1:4" ht="13">
      <c r="A1948" s="5" t="str">
        <f ca="1">IFERROR(__xludf.DUMMYFUNCTION("""COMPUTED_VALUE"""),"19881101FLPAJ")</f>
        <v>19881101FLPAJ</v>
      </c>
      <c r="B1948" s="5" t="str">
        <f ca="1">IFERROR(__xludf.DUMMYFUNCTION("""COMPUTED_VALUE"""),"Handgun")</f>
        <v>Handgun</v>
      </c>
      <c r="C1948" s="5" t="str">
        <f ca="1">IFERROR(__xludf.DUMMYFUNCTION("""COMPUTED_VALUE"""),".25 caliber")</f>
        <v>.25 caliber</v>
      </c>
      <c r="D1948" s="5"/>
    </row>
    <row r="1949" spans="1:4" ht="13">
      <c r="A1949" s="5" t="str">
        <f ca="1">IFERROR(__xludf.DUMMYFUNCTION("""COMPUTED_VALUE"""),"19881007TXDIP")</f>
        <v>19881007TXDIP</v>
      </c>
      <c r="B1949" s="5" t="str">
        <f ca="1">IFERROR(__xludf.DUMMYFUNCTION("""COMPUTED_VALUE"""),"Handgun")</f>
        <v>Handgun</v>
      </c>
      <c r="C1949" s="5" t="str">
        <f ca="1">IFERROR(__xludf.DUMMYFUNCTION("""COMPUTED_VALUE"""),".22 caliber")</f>
        <v>.22 caliber</v>
      </c>
      <c r="D1949" s="5"/>
    </row>
    <row r="1950" spans="1:4" ht="13">
      <c r="A1950" s="5" t="str">
        <f ca="1">IFERROR(__xludf.DUMMYFUNCTION("""COMPUTED_VALUE"""),"19881007MDSOB")</f>
        <v>19881007MDSOB</v>
      </c>
      <c r="B1950" s="5" t="str">
        <f ca="1">IFERROR(__xludf.DUMMYFUNCTION("""COMPUTED_VALUE"""),"Handgun")</f>
        <v>Handgun</v>
      </c>
      <c r="C1950" s="5" t="str">
        <f ca="1">IFERROR(__xludf.DUMMYFUNCTION("""COMPUTED_VALUE"""),"Unknown")</f>
        <v>Unknown</v>
      </c>
      <c r="D1950" s="5"/>
    </row>
    <row r="1951" spans="1:4" ht="13">
      <c r="A1951" s="5" t="str">
        <f ca="1">IFERROR(__xludf.DUMMYFUNCTION("""COMPUTED_VALUE"""),"19881006ALMOM")</f>
        <v>19881006ALMOM</v>
      </c>
      <c r="B1951" s="5" t="str">
        <f ca="1">IFERROR(__xludf.DUMMYFUNCTION("""COMPUTED_VALUE"""),"Handgun")</f>
        <v>Handgun</v>
      </c>
      <c r="C1951" s="5" t="str">
        <f ca="1">IFERROR(__xludf.DUMMYFUNCTION("""COMPUTED_VALUE"""),"Unknown")</f>
        <v>Unknown</v>
      </c>
      <c r="D1951" s="5"/>
    </row>
    <row r="1952" spans="1:4" ht="13">
      <c r="A1952" s="5" t="str">
        <f ca="1">IFERROR(__xludf.DUMMYFUNCTION("""COMPUTED_VALUE"""),"19881005MDEDB")</f>
        <v>19881005MDEDB</v>
      </c>
      <c r="B1952" s="5" t="str">
        <f ca="1">IFERROR(__xludf.DUMMYFUNCTION("""COMPUTED_VALUE"""),"Handgun")</f>
        <v>Handgun</v>
      </c>
      <c r="C1952" s="5" t="str">
        <f ca="1">IFERROR(__xludf.DUMMYFUNCTION("""COMPUTED_VALUE"""),"Unknown")</f>
        <v>Unknown</v>
      </c>
      <c r="D1952" s="5"/>
    </row>
    <row r="1953" spans="1:4" ht="13">
      <c r="A1953" s="5" t="str">
        <f ca="1">IFERROR(__xludf.DUMMYFUNCTION("""COMPUTED_VALUE"""),"19881004LAISB")</f>
        <v>19881004LAISB</v>
      </c>
      <c r="B1953" s="5" t="str">
        <f ca="1">IFERROR(__xludf.DUMMYFUNCTION("""COMPUTED_VALUE"""),"No Data")</f>
        <v>No Data</v>
      </c>
      <c r="C1953" s="5"/>
      <c r="D1953" s="5"/>
    </row>
    <row r="1954" spans="1:4" ht="13">
      <c r="A1954" s="5" t="str">
        <f ca="1">IFERROR(__xludf.DUMMYFUNCTION("""COMPUTED_VALUE"""),"19881004FLJEJ")</f>
        <v>19881004FLJEJ</v>
      </c>
      <c r="B1954" s="5" t="str">
        <f ca="1">IFERROR(__xludf.DUMMYFUNCTION("""COMPUTED_VALUE"""),"Handgun")</f>
        <v>Handgun</v>
      </c>
      <c r="C1954" s="5" t="str">
        <f ca="1">IFERROR(__xludf.DUMMYFUNCTION("""COMPUTED_VALUE"""),"Unknown")</f>
        <v>Unknown</v>
      </c>
      <c r="D1954" s="5"/>
    </row>
    <row r="1955" spans="1:4" ht="13">
      <c r="A1955" s="5" t="str">
        <f ca="1">IFERROR(__xludf.DUMMYFUNCTION("""COMPUTED_VALUE"""),"19881003FLMAM")</f>
        <v>19881003FLMAM</v>
      </c>
      <c r="B1955" s="5" t="str">
        <f ca="1">IFERROR(__xludf.DUMMYFUNCTION("""COMPUTED_VALUE"""),"Rifle")</f>
        <v>Rifle</v>
      </c>
      <c r="C1955" s="5" t="str">
        <f ca="1">IFERROR(__xludf.DUMMYFUNCTION("""COMPUTED_VALUE"""),"Unknown")</f>
        <v>Unknown</v>
      </c>
      <c r="D1955" s="5"/>
    </row>
    <row r="1956" spans="1:4" ht="13">
      <c r="A1956" s="5" t="str">
        <f ca="1">IFERROR(__xludf.DUMMYFUNCTION("""COMPUTED_VALUE"""),"19880926SCOAG")</f>
        <v>19880926SCOAG</v>
      </c>
      <c r="B1956" s="5" t="str">
        <f ca="1">IFERROR(__xludf.DUMMYFUNCTION("""COMPUTED_VALUE"""),"Handgun")</f>
        <v>Handgun</v>
      </c>
      <c r="C1956" s="5" t="str">
        <f ca="1">IFERROR(__xludf.DUMMYFUNCTION("""COMPUTED_VALUE"""),".22 caliber")</f>
        <v>.22 caliber</v>
      </c>
      <c r="D1956" s="5"/>
    </row>
    <row r="1957" spans="1:4" ht="13">
      <c r="A1957" s="5" t="str">
        <f ca="1">IFERROR(__xludf.DUMMYFUNCTION("""COMPUTED_VALUE"""),"19880922ILMOC")</f>
        <v>19880922ILMOC</v>
      </c>
      <c r="B1957" s="5" t="str">
        <f ca="1">IFERROR(__xludf.DUMMYFUNCTION("""COMPUTED_VALUE"""),"Handgun")</f>
        <v>Handgun</v>
      </c>
      <c r="C1957" s="5" t="str">
        <f ca="1">IFERROR(__xludf.DUMMYFUNCTION("""COMPUTED_VALUE"""),".38 caliber")</f>
        <v>.38 caliber</v>
      </c>
      <c r="D1957" s="5"/>
    </row>
    <row r="1958" spans="1:4" ht="13">
      <c r="A1958" s="5" t="str">
        <f ca="1">IFERROR(__xludf.DUMMYFUNCTION("""COMPUTED_VALUE"""),"19880903TXLID")</f>
        <v>19880903TXLID</v>
      </c>
      <c r="B1958" s="5" t="str">
        <f ca="1">IFERROR(__xludf.DUMMYFUNCTION("""COMPUTED_VALUE"""),"Handgun")</f>
        <v>Handgun</v>
      </c>
      <c r="C1958" s="5" t="str">
        <f ca="1">IFERROR(__xludf.DUMMYFUNCTION("""COMPUTED_VALUE"""),"Unknown")</f>
        <v>Unknown</v>
      </c>
      <c r="D1958" s="5"/>
    </row>
    <row r="1959" spans="1:4" ht="13">
      <c r="A1959" s="5" t="str">
        <f ca="1">IFERROR(__xludf.DUMMYFUNCTION("""COMPUTED_VALUE"""),"19880902NCGAC")</f>
        <v>19880902NCGAC</v>
      </c>
      <c r="B1959" s="5" t="str">
        <f ca="1">IFERROR(__xludf.DUMMYFUNCTION("""COMPUTED_VALUE"""),"Handgun")</f>
        <v>Handgun</v>
      </c>
      <c r="C1959" s="5" t="str">
        <f ca="1">IFERROR(__xludf.DUMMYFUNCTION("""COMPUTED_VALUE"""),".38 caliber")</f>
        <v>.38 caliber</v>
      </c>
      <c r="D1959" s="5"/>
    </row>
    <row r="1960" spans="1:4" ht="13">
      <c r="A1960" s="5" t="str">
        <f ca="1">IFERROR(__xludf.DUMMYFUNCTION("""COMPUTED_VALUE"""),"19880902GAGLA")</f>
        <v>19880902GAGLA</v>
      </c>
      <c r="B1960" s="5" t="str">
        <f ca="1">IFERROR(__xludf.DUMMYFUNCTION("""COMPUTED_VALUE"""),"Handgun")</f>
        <v>Handgun</v>
      </c>
      <c r="C1960" s="5" t="str">
        <f ca="1">IFERROR(__xludf.DUMMYFUNCTION("""COMPUTED_VALUE"""),"Unknown")</f>
        <v>Unknown</v>
      </c>
      <c r="D1960" s="5"/>
    </row>
    <row r="1961" spans="1:4" ht="13">
      <c r="A1961" s="5" t="str">
        <f ca="1">IFERROR(__xludf.DUMMYFUNCTION("""COMPUTED_VALUE"""),"19880831SCWEA")</f>
        <v>19880831SCWEA</v>
      </c>
      <c r="B1961" s="5" t="str">
        <f ca="1">IFERROR(__xludf.DUMMYFUNCTION("""COMPUTED_VALUE"""),"Handgun")</f>
        <v>Handgun</v>
      </c>
      <c r="C1961" s="5" t="str">
        <f ca="1">IFERROR(__xludf.DUMMYFUNCTION("""COMPUTED_VALUE"""),".25 caliber")</f>
        <v>.25 caliber</v>
      </c>
      <c r="D1961" s="5"/>
    </row>
    <row r="1962" spans="1:4" ht="13">
      <c r="A1962" s="5" t="str">
        <f ca="1">IFERROR(__xludf.DUMMYFUNCTION("""COMPUTED_VALUE"""),"19880831MICED")</f>
        <v>19880831MICED</v>
      </c>
      <c r="B1962" s="5" t="str">
        <f ca="1">IFERROR(__xludf.DUMMYFUNCTION("""COMPUTED_VALUE"""),"Multiple Handguns")</f>
        <v>Multiple Handguns</v>
      </c>
      <c r="C1962" s="5" t="str">
        <f ca="1">IFERROR(__xludf.DUMMYFUNCTION("""COMPUTED_VALUE"""),"Unknown")</f>
        <v>Unknown</v>
      </c>
      <c r="D1962" s="5"/>
    </row>
    <row r="1963" spans="1:4" ht="13">
      <c r="A1963" s="5" t="str">
        <f ca="1">IFERROR(__xludf.DUMMYFUNCTION("""COMPUTED_VALUE"""),"19880711MSLAJ")</f>
        <v>19880711MSLAJ</v>
      </c>
      <c r="B1963" s="5" t="str">
        <f ca="1">IFERROR(__xludf.DUMMYFUNCTION("""COMPUTED_VALUE"""),"Handgun")</f>
        <v>Handgun</v>
      </c>
      <c r="C1963" s="5" t="str">
        <f ca="1">IFERROR(__xludf.DUMMYFUNCTION("""COMPUTED_VALUE"""),".22 caliber")</f>
        <v>.22 caliber</v>
      </c>
      <c r="D1963" s="5"/>
    </row>
    <row r="1964" spans="1:4" ht="13">
      <c r="A1964" s="5" t="str">
        <f ca="1">IFERROR(__xludf.DUMMYFUNCTION("""COMPUTED_VALUE"""),"19880710WISIM")</f>
        <v>19880710WISIM</v>
      </c>
      <c r="B1964" s="5" t="str">
        <f ca="1">IFERROR(__xludf.DUMMYFUNCTION("""COMPUTED_VALUE"""),"Other")</f>
        <v>Other</v>
      </c>
      <c r="C1964" s="5" t="str">
        <f ca="1">IFERROR(__xludf.DUMMYFUNCTION("""COMPUTED_VALUE"""),"Submachine gun")</f>
        <v>Submachine gun</v>
      </c>
      <c r="D1964" s="5"/>
    </row>
    <row r="1965" spans="1:4" ht="13">
      <c r="A1965" s="5" t="str">
        <f ca="1">IFERROR(__xludf.DUMMYFUNCTION("""COMPUTED_VALUE"""),"19880630HIAIO")</f>
        <v>19880630HIAIO</v>
      </c>
      <c r="B1965" s="5" t="str">
        <f ca="1">IFERROR(__xludf.DUMMYFUNCTION("""COMPUTED_VALUE"""),"Handgun")</f>
        <v>Handgun</v>
      </c>
      <c r="C1965" s="5" t="str">
        <f ca="1">IFERROR(__xludf.DUMMYFUNCTION("""COMPUTED_VALUE"""),".38 caliber")</f>
        <v>.38 caliber</v>
      </c>
      <c r="D1965" s="5"/>
    </row>
    <row r="1966" spans="1:4" ht="13">
      <c r="A1966" s="5" t="str">
        <f ca="1">IFERROR(__xludf.DUMMYFUNCTION("""COMPUTED_VALUE"""),"19880617MIJOD")</f>
        <v>19880617MIJOD</v>
      </c>
      <c r="B1966" s="5" t="str">
        <f ca="1">IFERROR(__xludf.DUMMYFUNCTION("""COMPUTED_VALUE"""),"Handgun")</f>
        <v>Handgun</v>
      </c>
      <c r="C1966" s="5" t="str">
        <f ca="1">IFERROR(__xludf.DUMMYFUNCTION("""COMPUTED_VALUE"""),".22 caliber")</f>
        <v>.22 caliber</v>
      </c>
      <c r="D1966" s="5"/>
    </row>
    <row r="1967" spans="1:4" ht="13">
      <c r="A1967" s="5" t="str">
        <f ca="1">IFERROR(__xludf.DUMMYFUNCTION("""COMPUTED_VALUE"""),"19880602MSWIJ")</f>
        <v>19880602MSWIJ</v>
      </c>
      <c r="B1967" s="5" t="str">
        <f ca="1">IFERROR(__xludf.DUMMYFUNCTION("""COMPUTED_VALUE"""),"Handgun")</f>
        <v>Handgun</v>
      </c>
      <c r="C1967" s="5" t="str">
        <f ca="1">IFERROR(__xludf.DUMMYFUNCTION("""COMPUTED_VALUE"""),".357 caliber")</f>
        <v>.357 caliber</v>
      </c>
      <c r="D1967" s="5"/>
    </row>
    <row r="1968" spans="1:4" ht="13">
      <c r="A1968" s="5" t="str">
        <f ca="1">IFERROR(__xludf.DUMMYFUNCTION("""COMPUTED_VALUE"""),"19880531NYPUB")</f>
        <v>19880531NYPUB</v>
      </c>
      <c r="B1968" s="5" t="str">
        <f ca="1">IFERROR(__xludf.DUMMYFUNCTION("""COMPUTED_VALUE"""),"No Data")</f>
        <v>No Data</v>
      </c>
      <c r="C1968" s="5"/>
      <c r="D1968" s="5"/>
    </row>
    <row r="1969" spans="1:4" ht="13">
      <c r="A1969" s="5" t="str">
        <f ca="1">IFERROR(__xludf.DUMMYFUNCTION("""COMPUTED_VALUE"""),"19880520ILHUW")</f>
        <v>19880520ILHUW</v>
      </c>
      <c r="B1969" s="5" t="str">
        <f ca="1">IFERROR(__xludf.DUMMYFUNCTION("""COMPUTED_VALUE"""),"Handgun")</f>
        <v>Handgun</v>
      </c>
      <c r="C1969" s="5" t="str">
        <f ca="1">IFERROR(__xludf.DUMMYFUNCTION("""COMPUTED_VALUE"""),".357 caliber")</f>
        <v>.357 caliber</v>
      </c>
      <c r="D1969" s="5"/>
    </row>
    <row r="1970" spans="1:4" ht="13">
      <c r="A1970" s="5" t="str">
        <f ca="1">IFERROR(__xludf.DUMMYFUNCTION("""COMPUTED_VALUE"""),"19880520ILHUW")</f>
        <v>19880520ILHUW</v>
      </c>
      <c r="B1970" s="5" t="str">
        <f ca="1">IFERROR(__xludf.DUMMYFUNCTION("""COMPUTED_VALUE"""),"Handgun")</f>
        <v>Handgun</v>
      </c>
      <c r="C1970" s="5" t="str">
        <f ca="1">IFERROR(__xludf.DUMMYFUNCTION("""COMPUTED_VALUE"""),".22 caliber")</f>
        <v>.22 caliber</v>
      </c>
      <c r="D1970" s="5"/>
    </row>
    <row r="1971" spans="1:4" ht="13">
      <c r="A1971" s="5" t="str">
        <f ca="1">IFERROR(__xludf.DUMMYFUNCTION("""COMPUTED_VALUE"""),"19880520ILHUW")</f>
        <v>19880520ILHUW</v>
      </c>
      <c r="B1971" s="5" t="str">
        <f ca="1">IFERROR(__xludf.DUMMYFUNCTION("""COMPUTED_VALUE"""),"Handgun")</f>
        <v>Handgun</v>
      </c>
      <c r="C1971" s="5" t="str">
        <f ca="1">IFERROR(__xludf.DUMMYFUNCTION("""COMPUTED_VALUE"""),".32 caliber")</f>
        <v>.32 caliber</v>
      </c>
      <c r="D1971" s="5"/>
    </row>
    <row r="1972" spans="1:4" ht="13">
      <c r="A1972" s="5" t="str">
        <f ca="1">IFERROR(__xludf.DUMMYFUNCTION("""COMPUTED_VALUE"""),"19880516FLFOF")</f>
        <v>19880516FLFOF</v>
      </c>
      <c r="B1972" s="5" t="str">
        <f ca="1">IFERROR(__xludf.DUMMYFUNCTION("""COMPUTED_VALUE"""),"Handgun")</f>
        <v>Handgun</v>
      </c>
      <c r="C1972" s="5" t="str">
        <f ca="1">IFERROR(__xludf.DUMMYFUNCTION("""COMPUTED_VALUE"""),".22 caliber")</f>
        <v>.22 caliber</v>
      </c>
      <c r="D1972" s="5"/>
    </row>
    <row r="1973" spans="1:4" ht="13">
      <c r="A1973" s="5" t="str">
        <f ca="1">IFERROR(__xludf.DUMMYFUNCTION("""COMPUTED_VALUE"""),"19880505ILMAC")</f>
        <v>19880505ILMAC</v>
      </c>
      <c r="B1973" s="5" t="str">
        <f ca="1">IFERROR(__xludf.DUMMYFUNCTION("""COMPUTED_VALUE"""),"Handgun")</f>
        <v>Handgun</v>
      </c>
      <c r="C1973" s="5" t="str">
        <f ca="1">IFERROR(__xludf.DUMMYFUNCTION("""COMPUTED_VALUE"""),".38 caliber")</f>
        <v>.38 caliber</v>
      </c>
      <c r="D1973" s="5"/>
    </row>
    <row r="1974" spans="1:4" ht="13">
      <c r="A1974" s="5" t="str">
        <f ca="1">IFERROR(__xludf.DUMMYFUNCTION("""COMPUTED_VALUE"""),"19880324TXTRA")</f>
        <v>19880324TXTRA</v>
      </c>
      <c r="B1974" s="5" t="str">
        <f ca="1">IFERROR(__xludf.DUMMYFUNCTION("""COMPUTED_VALUE"""),"Other")</f>
        <v>Other</v>
      </c>
      <c r="C1974" s="5" t="str">
        <f ca="1">IFERROR(__xludf.DUMMYFUNCTION("""COMPUTED_VALUE"""),"BB")</f>
        <v>BB</v>
      </c>
      <c r="D1974" s="5"/>
    </row>
    <row r="1975" spans="1:4" ht="13">
      <c r="A1975" s="5" t="str">
        <f ca="1">IFERROR(__xludf.DUMMYFUNCTION("""COMPUTED_VALUE"""),"19880323CACAS")</f>
        <v>19880323CACAS</v>
      </c>
      <c r="B1975" s="5" t="str">
        <f ca="1">IFERROR(__xludf.DUMMYFUNCTION("""COMPUTED_VALUE"""),"No Data")</f>
        <v>No Data</v>
      </c>
      <c r="C1975" s="5"/>
      <c r="D1975" s="5"/>
    </row>
    <row r="1976" spans="1:4" ht="13">
      <c r="A1976" s="5" t="str">
        <f ca="1">IFERROR(__xludf.DUMMYFUNCTION("""COMPUTED_VALUE"""),"19880304MILED")</f>
        <v>19880304MILED</v>
      </c>
      <c r="B1976" s="5" t="str">
        <f ca="1">IFERROR(__xludf.DUMMYFUNCTION("""COMPUTED_VALUE"""),"No Data")</f>
        <v>No Data</v>
      </c>
      <c r="C1976" s="5"/>
      <c r="D1976" s="5"/>
    </row>
    <row r="1977" spans="1:4" ht="13">
      <c r="A1977" s="5" t="str">
        <f ca="1">IFERROR(__xludf.DUMMYFUNCTION("""COMPUTED_VALUE"""),"19880226RIBRB")</f>
        <v>19880226RIBRB</v>
      </c>
      <c r="B1977" s="5" t="str">
        <f ca="1">IFERROR(__xludf.DUMMYFUNCTION("""COMPUTED_VALUE"""),"Handgun")</f>
        <v>Handgun</v>
      </c>
      <c r="C1977" s="5" t="str">
        <f ca="1">IFERROR(__xludf.DUMMYFUNCTION("""COMPUTED_VALUE"""),".22 caliber")</f>
        <v>.22 caliber</v>
      </c>
      <c r="D1977" s="5"/>
    </row>
    <row r="1978" spans="1:4" ht="13">
      <c r="A1978" s="5" t="str">
        <f ca="1">IFERROR(__xludf.DUMMYFUNCTION("""COMPUTED_VALUE"""),"19880211FLPIL")</f>
        <v>19880211FLPIL</v>
      </c>
      <c r="B1978" s="5" t="str">
        <f ca="1">IFERROR(__xludf.DUMMYFUNCTION("""COMPUTED_VALUE"""),"Handgun")</f>
        <v>Handgun</v>
      </c>
      <c r="C1978" s="5" t="str">
        <f ca="1">IFERROR(__xludf.DUMMYFUNCTION("""COMPUTED_VALUE"""),".38 caliber")</f>
        <v>.38 caliber</v>
      </c>
      <c r="D1978" s="5" t="str">
        <f ca="1">IFERROR(__xludf.DUMMYFUNCTION("""COMPUTED_VALUE"""),".38 pistols (both)")</f>
        <v>.38 pistols (both)</v>
      </c>
    </row>
    <row r="1979" spans="1:4" ht="13">
      <c r="A1979" s="5" t="str">
        <f ca="1">IFERROR(__xludf.DUMMYFUNCTION("""COMPUTED_VALUE"""),"19880211FLPIL")</f>
        <v>19880211FLPIL</v>
      </c>
      <c r="B1979" s="5" t="str">
        <f ca="1">IFERROR(__xludf.DUMMYFUNCTION("""COMPUTED_VALUE"""),"Handgun")</f>
        <v>Handgun</v>
      </c>
      <c r="C1979" s="5" t="str">
        <f ca="1">IFERROR(__xludf.DUMMYFUNCTION("""COMPUTED_VALUE"""),".38 caliber")</f>
        <v>.38 caliber</v>
      </c>
      <c r="D1979" s="5" t="str">
        <f ca="1">IFERROR(__xludf.DUMMYFUNCTION("""COMPUTED_VALUE"""),".38 pistols (both)")</f>
        <v>.38 pistols (both)</v>
      </c>
    </row>
    <row r="1980" spans="1:4" ht="13">
      <c r="A1980" s="5" t="str">
        <f ca="1">IFERROR(__xludf.DUMMYFUNCTION("""COMPUTED_VALUE"""),"19880202ALWET")</f>
        <v>19880202ALWET</v>
      </c>
      <c r="B1980" s="5" t="str">
        <f ca="1">IFERROR(__xludf.DUMMYFUNCTION("""COMPUTED_VALUE"""),"Multiple Unknown")</f>
        <v>Multiple Unknown</v>
      </c>
      <c r="C1980" s="5" t="str">
        <f ca="1">IFERROR(__xludf.DUMMYFUNCTION("""COMPUTED_VALUE"""),"Unknown")</f>
        <v>Unknown</v>
      </c>
      <c r="D1980" s="5"/>
    </row>
    <row r="1981" spans="1:4" ht="13">
      <c r="A1981" s="5" t="str">
        <f ca="1">IFERROR(__xludf.DUMMYFUNCTION("""COMPUTED_VALUE"""),"19880129TXREA")</f>
        <v>19880129TXREA</v>
      </c>
      <c r="B1981" s="5" t="str">
        <f ca="1">IFERROR(__xludf.DUMMYFUNCTION("""COMPUTED_VALUE"""),"No Data")</f>
        <v>No Data</v>
      </c>
      <c r="C1981" s="5"/>
      <c r="D1981" s="5"/>
    </row>
    <row r="1982" spans="1:4" ht="13">
      <c r="A1982" s="5" t="str">
        <f ca="1">IFERROR(__xludf.DUMMYFUNCTION("""COMPUTED_VALUE"""),"19880120LASIR")</f>
        <v>19880120LASIR</v>
      </c>
      <c r="B1982" s="5" t="str">
        <f ca="1">IFERROR(__xludf.DUMMYFUNCTION("""COMPUTED_VALUE"""),"Handgun")</f>
        <v>Handgun</v>
      </c>
      <c r="C1982" s="5" t="str">
        <f ca="1">IFERROR(__xludf.DUMMYFUNCTION("""COMPUTED_VALUE"""),".357 caliber")</f>
        <v>.357 caliber</v>
      </c>
      <c r="D1982" s="5"/>
    </row>
    <row r="1983" spans="1:4" ht="13">
      <c r="A1983" s="5" t="str">
        <f ca="1">IFERROR(__xludf.DUMMYFUNCTION("""COMPUTED_VALUE"""),"19880108PACRM")</f>
        <v>19880108PACRM</v>
      </c>
      <c r="B1983" s="5" t="str">
        <f ca="1">IFERROR(__xludf.DUMMYFUNCTION("""COMPUTED_VALUE"""),"Handgun")</f>
        <v>Handgun</v>
      </c>
      <c r="C1983" s="5" t="str">
        <f ca="1">IFERROR(__xludf.DUMMYFUNCTION("""COMPUTED_VALUE"""),".32 caliber")</f>
        <v>.32 caliber</v>
      </c>
      <c r="D1983" s="5"/>
    </row>
    <row r="1984" spans="1:4" ht="13">
      <c r="A1984" s="5" t="str">
        <f ca="1">IFERROR(__xludf.DUMMYFUNCTION("""COMPUTED_VALUE"""),"19880106FLGAT")</f>
        <v>19880106FLGAT</v>
      </c>
      <c r="B1984" s="5" t="str">
        <f ca="1">IFERROR(__xludf.DUMMYFUNCTION("""COMPUTED_VALUE"""),"Handgun")</f>
        <v>Handgun</v>
      </c>
      <c r="C1984" s="5" t="str">
        <f ca="1">IFERROR(__xludf.DUMMYFUNCTION("""COMPUTED_VALUE"""),".357 caliber")</f>
        <v>.357 caliber</v>
      </c>
      <c r="D1984" s="5"/>
    </row>
    <row r="1985" spans="1:4" ht="13">
      <c r="A1985" s="5" t="str">
        <f ca="1">IFERROR(__xludf.DUMMYFUNCTION("""COMPUTED_VALUE"""),"19880105PASPS")</f>
        <v>19880105PASPS</v>
      </c>
      <c r="B1985" s="5" t="str">
        <f ca="1">IFERROR(__xludf.DUMMYFUNCTION("""COMPUTED_VALUE"""),"Handgun")</f>
        <v>Handgun</v>
      </c>
      <c r="C1985" s="5" t="str">
        <f ca="1">IFERROR(__xludf.DUMMYFUNCTION("""COMPUTED_VALUE"""),"Unknown")</f>
        <v>Unknown</v>
      </c>
      <c r="D1985" s="5"/>
    </row>
    <row r="1986" spans="1:4" ht="13">
      <c r="A1986" s="5" t="str">
        <f ca="1">IFERROR(__xludf.DUMMYFUNCTION("""COMPUTED_VALUE"""),"19871216TXMAK")</f>
        <v>19871216TXMAK</v>
      </c>
      <c r="B1986" s="5" t="str">
        <f ca="1">IFERROR(__xludf.DUMMYFUNCTION("""COMPUTED_VALUE"""),"Handgun")</f>
        <v>Handgun</v>
      </c>
      <c r="C1986" s="5" t="str">
        <f ca="1">IFERROR(__xludf.DUMMYFUNCTION("""COMPUTED_VALUE"""),".357 caliber")</f>
        <v>.357 caliber</v>
      </c>
      <c r="D1986" s="5"/>
    </row>
    <row r="1987" spans="1:4" ht="13">
      <c r="A1987" s="5" t="str">
        <f ca="1">IFERROR(__xludf.DUMMYFUNCTION("""COMPUTED_VALUE"""),"19871215NYGRB")</f>
        <v>19871215NYGRB</v>
      </c>
      <c r="B1987" s="5" t="str">
        <f ca="1">IFERROR(__xludf.DUMMYFUNCTION("""COMPUTED_VALUE"""),"No Data")</f>
        <v>No Data</v>
      </c>
      <c r="C1987" s="5"/>
      <c r="D1987" s="5"/>
    </row>
    <row r="1988" spans="1:4" ht="13">
      <c r="A1988" s="5" t="str">
        <f ca="1">IFERROR(__xludf.DUMMYFUNCTION("""COMPUTED_VALUE"""),"19871204NYEAN")</f>
        <v>19871204NYEAN</v>
      </c>
      <c r="B1988" s="5" t="str">
        <f ca="1">IFERROR(__xludf.DUMMYFUNCTION("""COMPUTED_VALUE"""),"Handgun")</f>
        <v>Handgun</v>
      </c>
      <c r="C1988" s="5" t="str">
        <f ca="1">IFERROR(__xludf.DUMMYFUNCTION("""COMPUTED_VALUE"""),"Unknown")</f>
        <v>Unknown</v>
      </c>
      <c r="D1988" s="5"/>
    </row>
    <row r="1989" spans="1:4" ht="13">
      <c r="A1989" s="5" t="str">
        <f ca="1">IFERROR(__xludf.DUMMYFUNCTION("""COMPUTED_VALUE"""),"19871202FLENJ")</f>
        <v>19871202FLENJ</v>
      </c>
      <c r="B1989" s="5" t="str">
        <f ca="1">IFERROR(__xludf.DUMMYFUNCTION("""COMPUTED_VALUE"""),"Handgun")</f>
        <v>Handgun</v>
      </c>
      <c r="C1989" s="5" t="str">
        <f ca="1">IFERROR(__xludf.DUMMYFUNCTION("""COMPUTED_VALUE"""),".357 caliber")</f>
        <v>.357 caliber</v>
      </c>
      <c r="D1989" s="5"/>
    </row>
    <row r="1990" spans="1:4" ht="13">
      <c r="A1990" s="5" t="str">
        <f ca="1">IFERROR(__xludf.DUMMYFUNCTION("""COMPUTED_VALUE"""),"19871130TXPES")</f>
        <v>19871130TXPES</v>
      </c>
      <c r="B1990" s="5" t="str">
        <f ca="1">IFERROR(__xludf.DUMMYFUNCTION("""COMPUTED_VALUE"""),"Handgun")</f>
        <v>Handgun</v>
      </c>
      <c r="C1990" s="5" t="str">
        <f ca="1">IFERROR(__xludf.DUMMYFUNCTION("""COMPUTED_VALUE"""),"Unknown")</f>
        <v>Unknown</v>
      </c>
      <c r="D1990" s="5"/>
    </row>
    <row r="1991" spans="1:4" ht="13">
      <c r="A1991" s="5" t="str">
        <f ca="1">IFERROR(__xludf.DUMMYFUNCTION("""COMPUTED_VALUE"""),"19871114FLCLC")</f>
        <v>19871114FLCLC</v>
      </c>
      <c r="B1991" s="5" t="str">
        <f ca="1">IFERROR(__xludf.DUMMYFUNCTION("""COMPUTED_VALUE"""),"Handgun")</f>
        <v>Handgun</v>
      </c>
      <c r="C1991" s="5" t="str">
        <f ca="1">IFERROR(__xludf.DUMMYFUNCTION("""COMPUTED_VALUE"""),".45 caliber")</f>
        <v>.45 caliber</v>
      </c>
      <c r="D1991" s="5"/>
    </row>
    <row r="1992" spans="1:4" ht="13">
      <c r="A1992" s="5" t="str">
        <f ca="1">IFERROR(__xludf.DUMMYFUNCTION("""COMPUTED_VALUE"""),"19871104MISOD")</f>
        <v>19871104MISOD</v>
      </c>
      <c r="B1992" s="5" t="str">
        <f ca="1">IFERROR(__xludf.DUMMYFUNCTION("""COMPUTED_VALUE"""),"Handgun")</f>
        <v>Handgun</v>
      </c>
      <c r="C1992" s="5" t="str">
        <f ca="1">IFERROR(__xludf.DUMMYFUNCTION("""COMPUTED_VALUE"""),"Unknown")</f>
        <v>Unknown</v>
      </c>
      <c r="D1992" s="5"/>
    </row>
    <row r="1993" spans="1:4" ht="13">
      <c r="A1993" s="5" t="str">
        <f ca="1">IFERROR(__xludf.DUMMYFUNCTION("""COMPUTED_VALUE"""),"19871030NCSOK")</f>
        <v>19871030NCSOK</v>
      </c>
      <c r="B1993" s="5" t="str">
        <f ca="1">IFERROR(__xludf.DUMMYFUNCTION("""COMPUTED_VALUE"""),"Handgun")</f>
        <v>Handgun</v>
      </c>
      <c r="C1993" s="5" t="str">
        <f ca="1">IFERROR(__xludf.DUMMYFUNCTION("""COMPUTED_VALUE"""),".22 caliber")</f>
        <v>.22 caliber</v>
      </c>
      <c r="D1993" s="5"/>
    </row>
    <row r="1994" spans="1:4" ht="13">
      <c r="A1994" s="5" t="str">
        <f ca="1">IFERROR(__xludf.DUMMYFUNCTION("""COMPUTED_VALUE"""),"19871014ILDUC")</f>
        <v>19871014ILDUC</v>
      </c>
      <c r="B1994" s="5" t="str">
        <f ca="1">IFERROR(__xludf.DUMMYFUNCTION("""COMPUTED_VALUE"""),"Handgun")</f>
        <v>Handgun</v>
      </c>
      <c r="C1994" s="5" t="str">
        <f ca="1">IFERROR(__xludf.DUMMYFUNCTION("""COMPUTED_VALUE"""),"Unknown")</f>
        <v>Unknown</v>
      </c>
      <c r="D1994" s="5"/>
    </row>
    <row r="1995" spans="1:4" ht="13">
      <c r="A1995" s="5" t="str">
        <f ca="1">IFERROR(__xludf.DUMMYFUNCTION("""COMPUTED_VALUE"""),"19870928ILILL")</f>
        <v>19870928ILILL</v>
      </c>
      <c r="B1995" s="5" t="str">
        <f ca="1">IFERROR(__xludf.DUMMYFUNCTION("""COMPUTED_VALUE"""),"Handgun")</f>
        <v>Handgun</v>
      </c>
      <c r="C1995" s="5" t="str">
        <f ca="1">IFERROR(__xludf.DUMMYFUNCTION("""COMPUTED_VALUE"""),".22 caliber")</f>
        <v>.22 caliber</v>
      </c>
      <c r="D1995" s="5"/>
    </row>
    <row r="1996" spans="1:4" ht="13">
      <c r="A1996" s="5" t="str">
        <f ca="1">IFERROR(__xludf.DUMMYFUNCTION("""COMPUTED_VALUE"""),"19870513ILOAO")</f>
        <v>19870513ILOAO</v>
      </c>
      <c r="B1996" s="5" t="str">
        <f ca="1">IFERROR(__xludf.DUMMYFUNCTION("""COMPUTED_VALUE"""),"Handgun")</f>
        <v>Handgun</v>
      </c>
      <c r="C1996" s="5" t="str">
        <f ca="1">IFERROR(__xludf.DUMMYFUNCTION("""COMPUTED_VALUE"""),".25 caliber")</f>
        <v>.25 caliber</v>
      </c>
      <c r="D1996" s="5"/>
    </row>
    <row r="1997" spans="1:4" ht="13">
      <c r="A1997" s="5" t="str">
        <f ca="1">IFERROR(__xludf.DUMMYFUNCTION("""COMPUTED_VALUE"""),"19870506FLLET")</f>
        <v>19870506FLLET</v>
      </c>
      <c r="B1997" s="5" t="str">
        <f ca="1">IFERROR(__xludf.DUMMYFUNCTION("""COMPUTED_VALUE"""),"Handgun")</f>
        <v>Handgun</v>
      </c>
      <c r="C1997" s="5" t="str">
        <f ca="1">IFERROR(__xludf.DUMMYFUNCTION("""COMPUTED_VALUE"""),".38 caliber")</f>
        <v>.38 caliber</v>
      </c>
      <c r="D1997" s="5"/>
    </row>
    <row r="1998" spans="1:4" ht="13">
      <c r="A1998" s="5" t="str">
        <f ca="1">IFERROR(__xludf.DUMMYFUNCTION("""COMPUTED_VALUE"""),"19870506ARMAJ")</f>
        <v>19870506ARMAJ</v>
      </c>
      <c r="B1998" s="5" t="str">
        <f ca="1">IFERROR(__xludf.DUMMYFUNCTION("""COMPUTED_VALUE"""),"Handgun")</f>
        <v>Handgun</v>
      </c>
      <c r="C1998" s="5" t="str">
        <f ca="1">IFERROR(__xludf.DUMMYFUNCTION("""COMPUTED_VALUE"""),".25 caliber")</f>
        <v>.25 caliber</v>
      </c>
      <c r="D1998" s="5"/>
    </row>
    <row r="1999" spans="1:4" ht="13">
      <c r="A1999" s="5" t="str">
        <f ca="1">IFERROR(__xludf.DUMMYFUNCTION("""COMPUTED_VALUE"""),"19870503INPII")</f>
        <v>19870503INPII</v>
      </c>
      <c r="B1999" s="5" t="str">
        <f ca="1">IFERROR(__xludf.DUMMYFUNCTION("""COMPUTED_VALUE"""),"Handgun")</f>
        <v>Handgun</v>
      </c>
      <c r="C1999" s="5" t="str">
        <f ca="1">IFERROR(__xludf.DUMMYFUNCTION("""COMPUTED_VALUE"""),"Unknown")</f>
        <v>Unknown</v>
      </c>
      <c r="D1999" s="5"/>
    </row>
    <row r="2000" spans="1:4" ht="13">
      <c r="A2000" s="5" t="str">
        <f ca="1">IFERROR(__xludf.DUMMYFUNCTION("""COMPUTED_VALUE"""),"19870430ORGRP")</f>
        <v>19870430ORGRP</v>
      </c>
      <c r="B2000" s="5" t="str">
        <f ca="1">IFERROR(__xludf.DUMMYFUNCTION("""COMPUTED_VALUE"""),"Handgun")</f>
        <v>Handgun</v>
      </c>
      <c r="C2000" s="5" t="str">
        <f ca="1">IFERROR(__xludf.DUMMYFUNCTION("""COMPUTED_VALUE"""),"Unknown")</f>
        <v>Unknown</v>
      </c>
      <c r="D2000" s="5"/>
    </row>
    <row r="2001" spans="1:4" ht="13">
      <c r="A2001" s="5" t="str">
        <f ca="1">IFERROR(__xludf.DUMMYFUNCTION("""COMPUTED_VALUE"""),"19870416MIMUD")</f>
        <v>19870416MIMUD</v>
      </c>
      <c r="B2001" s="5" t="str">
        <f ca="1">IFERROR(__xludf.DUMMYFUNCTION("""COMPUTED_VALUE"""),"Handgun")</f>
        <v>Handgun</v>
      </c>
      <c r="C2001" s="5" t="str">
        <f ca="1">IFERROR(__xludf.DUMMYFUNCTION("""COMPUTED_VALUE"""),"Unknown")</f>
        <v>Unknown</v>
      </c>
      <c r="D2001" s="5"/>
    </row>
    <row r="2002" spans="1:4" ht="13">
      <c r="A2002" s="5" t="str">
        <f ca="1">IFERROR(__xludf.DUMMYFUNCTION("""COMPUTED_VALUE"""),"19870330CAPAS")</f>
        <v>19870330CAPAS</v>
      </c>
      <c r="B2002" s="5" t="str">
        <f ca="1">IFERROR(__xludf.DUMMYFUNCTION("""COMPUTED_VALUE"""),"Handgun")</f>
        <v>Handgun</v>
      </c>
      <c r="C2002" s="5" t="str">
        <f ca="1">IFERROR(__xludf.DUMMYFUNCTION("""COMPUTED_VALUE"""),"Unknown")</f>
        <v>Unknown</v>
      </c>
      <c r="D2002" s="5"/>
    </row>
    <row r="2003" spans="1:4" ht="13">
      <c r="A2003" s="5" t="str">
        <f ca="1">IFERROR(__xludf.DUMMYFUNCTION("""COMPUTED_VALUE"""),"19870306TXRIE")</f>
        <v>19870306TXRIE</v>
      </c>
      <c r="B2003" s="5" t="str">
        <f ca="1">IFERROR(__xludf.DUMMYFUNCTION("""COMPUTED_VALUE"""),"No Data")</f>
        <v>No Data</v>
      </c>
      <c r="C2003" s="5"/>
      <c r="D2003" s="5"/>
    </row>
    <row r="2004" spans="1:4" ht="13">
      <c r="A2004" s="5" t="str">
        <f ca="1">IFERROR(__xludf.DUMMYFUNCTION("""COMPUTED_VALUE"""),"19870302MODED")</f>
        <v>19870302MODED</v>
      </c>
      <c r="B2004" s="5" t="str">
        <f ca="1">IFERROR(__xludf.DUMMYFUNCTION("""COMPUTED_VALUE"""),"Handgun")</f>
        <v>Handgun</v>
      </c>
      <c r="C2004" s="5" t="str">
        <f ca="1">IFERROR(__xludf.DUMMYFUNCTION("""COMPUTED_VALUE"""),".45 caliber")</f>
        <v>.45 caliber</v>
      </c>
      <c r="D2004" s="5"/>
    </row>
    <row r="2005" spans="1:4" ht="13">
      <c r="A2005" s="5" t="str">
        <f ca="1">IFERROR(__xludf.DUMMYFUNCTION("""COMPUTED_VALUE"""),"19870224NYMON")</f>
        <v>19870224NYMON</v>
      </c>
      <c r="B2005" s="5" t="str">
        <f ca="1">IFERROR(__xludf.DUMMYFUNCTION("""COMPUTED_VALUE"""),"Handgun")</f>
        <v>Handgun</v>
      </c>
      <c r="C2005" s="5" t="str">
        <f ca="1">IFERROR(__xludf.DUMMYFUNCTION("""COMPUTED_VALUE"""),"Unknown")</f>
        <v>Unknown</v>
      </c>
      <c r="D2005" s="5"/>
    </row>
    <row r="2006" spans="1:4" ht="13">
      <c r="A2006" s="5" t="str">
        <f ca="1">IFERROR(__xludf.DUMMYFUNCTION("""COMPUTED_VALUE"""),"19870213AZORM")</f>
        <v>19870213AZORM</v>
      </c>
      <c r="B2006" s="5" t="str">
        <f ca="1">IFERROR(__xludf.DUMMYFUNCTION("""COMPUTED_VALUE"""),"Multiple Unknown")</f>
        <v>Multiple Unknown</v>
      </c>
      <c r="C2006" s="5" t="str">
        <f ca="1">IFERROR(__xludf.DUMMYFUNCTION("""COMPUTED_VALUE"""),"Unknown")</f>
        <v>Unknown</v>
      </c>
      <c r="D2006" s="5"/>
    </row>
    <row r="2007" spans="1:4" ht="13">
      <c r="A2007" s="5" t="str">
        <f ca="1">IFERROR(__xludf.DUMMYFUNCTION("""COMPUTED_VALUE"""),"19870210ARDAD")</f>
        <v>19870210ARDAD</v>
      </c>
      <c r="B2007" s="5" t="str">
        <f ca="1">IFERROR(__xludf.DUMMYFUNCTION("""COMPUTED_VALUE"""),"Rifle")</f>
        <v>Rifle</v>
      </c>
      <c r="C2007" s="5" t="str">
        <f ca="1">IFERROR(__xludf.DUMMYFUNCTION("""COMPUTED_VALUE"""),"Unknown")</f>
        <v>Unknown</v>
      </c>
      <c r="D2007" s="5"/>
    </row>
    <row r="2008" spans="1:4" ht="13">
      <c r="A2008" s="5" t="str">
        <f ca="1">IFERROR(__xludf.DUMMYFUNCTION("""COMPUTED_VALUE"""),"19870123MIRED")</f>
        <v>19870123MIRED</v>
      </c>
      <c r="B2008" s="5" t="str">
        <f ca="1">IFERROR(__xludf.DUMMYFUNCTION("""COMPUTED_VALUE"""),"No Data")</f>
        <v>No Data</v>
      </c>
      <c r="C2008" s="5"/>
      <c r="D2008" s="5"/>
    </row>
    <row r="2009" spans="1:4" ht="13">
      <c r="A2009" s="5" t="str">
        <f ca="1">IFERROR(__xludf.DUMMYFUNCTION("""COMPUTED_VALUE"""),"19870114CALOL")</f>
        <v>19870114CALOL</v>
      </c>
      <c r="B2009" s="5" t="str">
        <f ca="1">IFERROR(__xludf.DUMMYFUNCTION("""COMPUTED_VALUE"""),"Handgun")</f>
        <v>Handgun</v>
      </c>
      <c r="C2009" s="5" t="str">
        <f ca="1">IFERROR(__xludf.DUMMYFUNCTION("""COMPUTED_VALUE"""),".22 caliber")</f>
        <v>.22 caliber</v>
      </c>
      <c r="D2009" s="5"/>
    </row>
    <row r="2010" spans="1:4" ht="13">
      <c r="A2010" s="5" t="str">
        <f ca="1">IFERROR(__xludf.DUMMYFUNCTION("""COMPUTED_VALUE"""),"19861204MTFEL")</f>
        <v>19861204MTFEL</v>
      </c>
      <c r="B2010" s="5" t="str">
        <f ca="1">IFERROR(__xludf.DUMMYFUNCTION("""COMPUTED_VALUE"""),"No Data")</f>
        <v>No Data</v>
      </c>
      <c r="C2010" s="5"/>
      <c r="D2010" s="5"/>
    </row>
    <row r="2011" spans="1:4" ht="13">
      <c r="A2011" s="5" t="str">
        <f ca="1">IFERROR(__xludf.DUMMYFUNCTION("""COMPUTED_VALUE"""),"19861008TXSOD")</f>
        <v>19861008TXSOD</v>
      </c>
      <c r="B2011" s="5" t="str">
        <f ca="1">IFERROR(__xludf.DUMMYFUNCTION("""COMPUTED_VALUE"""),"Handgun")</f>
        <v>Handgun</v>
      </c>
      <c r="C2011" s="5" t="str">
        <f ca="1">IFERROR(__xludf.DUMMYFUNCTION("""COMPUTED_VALUE"""),".22 caliber")</f>
        <v>.22 caliber</v>
      </c>
      <c r="D2011" s="5"/>
    </row>
    <row r="2012" spans="1:4" ht="13">
      <c r="A2012" s="5" t="str">
        <f ca="1">IFERROR(__xludf.DUMMYFUNCTION("""COMPUTED_VALUE"""),"19861003CAMOM")</f>
        <v>19861003CAMOM</v>
      </c>
      <c r="B2012" s="5" t="str">
        <f ca="1">IFERROR(__xludf.DUMMYFUNCTION("""COMPUTED_VALUE"""),"Handgun")</f>
        <v>Handgun</v>
      </c>
      <c r="C2012" s="5" t="str">
        <f ca="1">IFERROR(__xludf.DUMMYFUNCTION("""COMPUTED_VALUE"""),".22 caliber")</f>
        <v>.22 caliber</v>
      </c>
      <c r="D2012" s="5"/>
    </row>
    <row r="2013" spans="1:4" ht="13">
      <c r="A2013" s="5" t="str">
        <f ca="1">IFERROR(__xludf.DUMMYFUNCTION("""COMPUTED_VALUE"""),"19860918CABEB")</f>
        <v>19860918CABEB</v>
      </c>
      <c r="B2013" s="5" t="str">
        <f ca="1">IFERROR(__xludf.DUMMYFUNCTION("""COMPUTED_VALUE"""),"Handgun")</f>
        <v>Handgun</v>
      </c>
      <c r="C2013" s="5" t="str">
        <f ca="1">IFERROR(__xludf.DUMMYFUNCTION("""COMPUTED_VALUE"""),".38 caliber")</f>
        <v>.38 caliber</v>
      </c>
      <c r="D2013" s="5"/>
    </row>
    <row r="2014" spans="1:4" ht="13">
      <c r="A2014" s="5" t="str">
        <f ca="1">IFERROR(__xludf.DUMMYFUNCTION("""COMPUTED_VALUE"""),"19860912CAFAL")</f>
        <v>19860912CAFAL</v>
      </c>
      <c r="B2014" s="5" t="str">
        <f ca="1">IFERROR(__xludf.DUMMYFUNCTION("""COMPUTED_VALUE"""),"Handgun")</f>
        <v>Handgun</v>
      </c>
      <c r="C2014" s="5" t="str">
        <f ca="1">IFERROR(__xludf.DUMMYFUNCTION("""COMPUTED_VALUE"""),"Unknown")</f>
        <v>Unknown</v>
      </c>
      <c r="D2014" s="5"/>
    </row>
    <row r="2015" spans="1:4" ht="13">
      <c r="A2015" s="5" t="str">
        <f ca="1">IFERROR(__xludf.DUMMYFUNCTION("""COMPUTED_VALUE"""),"19860517TNMAN")</f>
        <v>19860517TNMAN</v>
      </c>
      <c r="B2015" s="5" t="str">
        <f ca="1">IFERROR(__xludf.DUMMYFUNCTION("""COMPUTED_VALUE"""),"Handgun")</f>
        <v>Handgun</v>
      </c>
      <c r="C2015" s="5" t="str">
        <f ca="1">IFERROR(__xludf.DUMMYFUNCTION("""COMPUTED_VALUE"""),".22 caliber")</f>
        <v>.22 caliber</v>
      </c>
      <c r="D2015" s="5"/>
    </row>
    <row r="2016" spans="1:4" ht="13">
      <c r="A2016" s="5" t="str">
        <f ca="1">IFERROR(__xludf.DUMMYFUNCTION("""COMPUTED_VALUE"""),"19860515GACAA")</f>
        <v>19860515GACAA</v>
      </c>
      <c r="B2016" s="5" t="str">
        <f ca="1">IFERROR(__xludf.DUMMYFUNCTION("""COMPUTED_VALUE"""),"Rifle")</f>
        <v>Rifle</v>
      </c>
      <c r="C2016" s="5" t="str">
        <f ca="1">IFERROR(__xludf.DUMMYFUNCTION("""COMPUTED_VALUE"""),"Unknown")</f>
        <v>Unknown</v>
      </c>
      <c r="D2016" s="5"/>
    </row>
    <row r="2017" spans="1:4" ht="13">
      <c r="A2017" s="5" t="str">
        <f ca="1">IFERROR(__xludf.DUMMYFUNCTION("""COMPUTED_VALUE"""),"19860509NCPIF")</f>
        <v>19860509NCPIF</v>
      </c>
      <c r="B2017" s="5" t="str">
        <f ca="1">IFERROR(__xludf.DUMMYFUNCTION("""COMPUTED_VALUE"""),"Handgun")</f>
        <v>Handgun</v>
      </c>
      <c r="C2017" s="5" t="str">
        <f ca="1">IFERROR(__xludf.DUMMYFUNCTION("""COMPUTED_VALUE"""),".25 caliber")</f>
        <v>.25 caliber</v>
      </c>
      <c r="D2017" s="5"/>
    </row>
    <row r="2018" spans="1:4" ht="13">
      <c r="A2018" s="5" t="str">
        <f ca="1">IFERROR(__xludf.DUMMYFUNCTION("""COMPUTED_VALUE"""),"19860506PAMOK")</f>
        <v>19860506PAMOK</v>
      </c>
      <c r="B2018" s="5" t="str">
        <f ca="1">IFERROR(__xludf.DUMMYFUNCTION("""COMPUTED_VALUE"""),"Multiple Handguns")</f>
        <v>Multiple Handguns</v>
      </c>
      <c r="C2018" s="5"/>
      <c r="D2018" s="5" t="str">
        <f ca="1">IFERROR(__xludf.DUMMYFUNCTION("""COMPUTED_VALUE"""),"revolver and a semi-automatic pistol, box of ammo")</f>
        <v>revolver and a semi-automatic pistol, box of ammo</v>
      </c>
    </row>
    <row r="2019" spans="1:4" ht="13">
      <c r="A2019" s="5" t="str">
        <f ca="1">IFERROR(__xludf.DUMMYFUNCTION("""COMPUTED_VALUE"""),"19860429MOSES")</f>
        <v>19860429MOSES</v>
      </c>
      <c r="B2019" s="5" t="str">
        <f ca="1">IFERROR(__xludf.DUMMYFUNCTION("""COMPUTED_VALUE"""),"Shotgun")</f>
        <v>Shotgun</v>
      </c>
      <c r="C2019" s="5" t="str">
        <f ca="1">IFERROR(__xludf.DUMMYFUNCTION("""COMPUTED_VALUE"""),"12 gauge")</f>
        <v>12 gauge</v>
      </c>
      <c r="D2019" s="5"/>
    </row>
    <row r="2020" spans="1:4" ht="13">
      <c r="A2020" s="5" t="str">
        <f ca="1">IFERROR(__xludf.DUMMYFUNCTION("""COMPUTED_VALUE"""),"19860423FLCHM")</f>
        <v>19860423FLCHM</v>
      </c>
      <c r="B2020" s="5" t="str">
        <f ca="1">IFERROR(__xludf.DUMMYFUNCTION("""COMPUTED_VALUE"""),"Handgun")</f>
        <v>Handgun</v>
      </c>
      <c r="C2020" s="5" t="str">
        <f ca="1">IFERROR(__xludf.DUMMYFUNCTION("""COMPUTED_VALUE"""),".22 caliber")</f>
        <v>.22 caliber</v>
      </c>
      <c r="D2020" s="5"/>
    </row>
    <row r="2021" spans="1:4" ht="13">
      <c r="A2021" s="5" t="str">
        <f ca="1">IFERROR(__xludf.DUMMYFUNCTION("""COMPUTED_VALUE"""),"19860306ILTHD")</f>
        <v>19860306ILTHD</v>
      </c>
      <c r="B2021" s="5" t="str">
        <f ca="1">IFERROR(__xludf.DUMMYFUNCTION("""COMPUTED_VALUE"""),"Handgun")</f>
        <v>Handgun</v>
      </c>
      <c r="C2021" s="5" t="str">
        <f ca="1">IFERROR(__xludf.DUMMYFUNCTION("""COMPUTED_VALUE"""),".357 caliber")</f>
        <v>.357 caliber</v>
      </c>
      <c r="D2021" s="5"/>
    </row>
    <row r="2022" spans="1:4" ht="13">
      <c r="A2022" s="5" t="str">
        <f ca="1">IFERROR(__xludf.DUMMYFUNCTION("""COMPUTED_VALUE"""),"19860224LABOS")</f>
        <v>19860224LABOS</v>
      </c>
      <c r="B2022" s="5" t="str">
        <f ca="1">IFERROR(__xludf.DUMMYFUNCTION("""COMPUTED_VALUE"""),"Handgun")</f>
        <v>Handgun</v>
      </c>
      <c r="C2022" s="5" t="str">
        <f ca="1">IFERROR(__xludf.DUMMYFUNCTION("""COMPUTED_VALUE"""),".45 caliber")</f>
        <v>.45 caliber</v>
      </c>
      <c r="D2022" s="5"/>
    </row>
    <row r="2023" spans="1:4" ht="13">
      <c r="A2023" s="5" t="str">
        <f ca="1">IFERROR(__xludf.DUMMYFUNCTION("""COMPUTED_VALUE"""),"19860129MDLAB")</f>
        <v>19860129MDLAB</v>
      </c>
      <c r="B2023" s="5" t="str">
        <f ca="1">IFERROR(__xludf.DUMMYFUNCTION("""COMPUTED_VALUE"""),"Handgun")</f>
        <v>Handgun</v>
      </c>
      <c r="C2023" s="5" t="str">
        <f ca="1">IFERROR(__xludf.DUMMYFUNCTION("""COMPUTED_VALUE"""),"Unknown")</f>
        <v>Unknown</v>
      </c>
      <c r="D2023" s="5"/>
    </row>
    <row r="2024" spans="1:4" ht="13">
      <c r="A2024" s="5" t="str">
        <f ca="1">IFERROR(__xludf.DUMMYFUNCTION("""COMPUTED_VALUE"""),"19860117CAVAL")</f>
        <v>19860117CAVAL</v>
      </c>
      <c r="B2024" s="5" t="str">
        <f ca="1">IFERROR(__xludf.DUMMYFUNCTION("""COMPUTED_VALUE"""),"Handgun")</f>
        <v>Handgun</v>
      </c>
      <c r="C2024" s="5" t="str">
        <f ca="1">IFERROR(__xludf.DUMMYFUNCTION("""COMPUTED_VALUE"""),"Unknown")</f>
        <v>Unknown</v>
      </c>
      <c r="D2024" s="5"/>
    </row>
    <row r="2025" spans="1:4" ht="13">
      <c r="A2025" s="5" t="str">
        <f ca="1">IFERROR(__xludf.DUMMYFUNCTION("""COMPUTED_VALUE"""),"19860109NCNOD")</f>
        <v>19860109NCNOD</v>
      </c>
      <c r="B2025" s="5" t="str">
        <f ca="1">IFERROR(__xludf.DUMMYFUNCTION("""COMPUTED_VALUE"""),"Handgun")</f>
        <v>Handgun</v>
      </c>
      <c r="C2025" s="5" t="str">
        <f ca="1">IFERROR(__xludf.DUMMYFUNCTION("""COMPUTED_VALUE"""),".22 caliber")</f>
        <v>.22 caliber</v>
      </c>
      <c r="D2025" s="5"/>
    </row>
    <row r="2026" spans="1:4" ht="13">
      <c r="A2026" s="5" t="str">
        <f ca="1">IFERROR(__xludf.DUMMYFUNCTION("""COMPUTED_VALUE"""),"19851210CTPOP")</f>
        <v>19851210CTPOP</v>
      </c>
      <c r="B2026" s="5" t="str">
        <f ca="1">IFERROR(__xludf.DUMMYFUNCTION("""COMPUTED_VALUE"""),"Handgun")</f>
        <v>Handgun</v>
      </c>
      <c r="C2026" s="5" t="str">
        <f ca="1">IFERROR(__xludf.DUMMYFUNCTION("""COMPUTED_VALUE"""),"9mm")</f>
        <v>9mm</v>
      </c>
      <c r="D2026" s="5"/>
    </row>
    <row r="2027" spans="1:4" ht="13">
      <c r="A2027" s="5" t="str">
        <f ca="1">IFERROR(__xludf.DUMMYFUNCTION("""COMPUTED_VALUE"""),"19851209PAARP")</f>
        <v>19851209PAARP</v>
      </c>
      <c r="B2027" s="5" t="str">
        <f ca="1">IFERROR(__xludf.DUMMYFUNCTION("""COMPUTED_VALUE"""),"Other")</f>
        <v>Other</v>
      </c>
      <c r="C2027" s="5" t="str">
        <f ca="1">IFERROR(__xludf.DUMMYFUNCTION("""COMPUTED_VALUE"""),"Unknown")</f>
        <v>Unknown</v>
      </c>
      <c r="D2027" s="5"/>
    </row>
    <row r="2028" spans="1:4" ht="13">
      <c r="A2028" s="5" t="str">
        <f ca="1">IFERROR(__xludf.DUMMYFUNCTION("""COMPUTED_VALUE"""),"19851203NHCOC")</f>
        <v>19851203NHCOC</v>
      </c>
      <c r="B2028" s="5" t="str">
        <f ca="1">IFERROR(__xludf.DUMMYFUNCTION("""COMPUTED_VALUE"""),"Shotgun")</f>
        <v>Shotgun</v>
      </c>
      <c r="C2028" s="5" t="str">
        <f ca="1">IFERROR(__xludf.DUMMYFUNCTION("""COMPUTED_VALUE"""),"20 gauge")</f>
        <v>20 gauge</v>
      </c>
      <c r="D2028" s="5"/>
    </row>
    <row r="2029" spans="1:4" ht="13">
      <c r="A2029" s="5" t="str">
        <f ca="1">IFERROR(__xludf.DUMMYFUNCTION("""COMPUTED_VALUE"""),"19851127ALCHB")</f>
        <v>19851127ALCHB</v>
      </c>
      <c r="B2029" s="5" t="str">
        <f ca="1">IFERROR(__xludf.DUMMYFUNCTION("""COMPUTED_VALUE"""),"Handgun")</f>
        <v>Handgun</v>
      </c>
      <c r="C2029" s="5" t="str">
        <f ca="1">IFERROR(__xludf.DUMMYFUNCTION("""COMPUTED_VALUE"""),".22 caliber")</f>
        <v>.22 caliber</v>
      </c>
      <c r="D2029" s="5"/>
    </row>
    <row r="2030" spans="1:4" ht="13">
      <c r="A2030" s="5" t="str">
        <f ca="1">IFERROR(__xludf.DUMMYFUNCTION("""COMPUTED_VALUE"""),"19851126WASPS")</f>
        <v>19851126WASPS</v>
      </c>
      <c r="B2030" s="5" t="str">
        <f ca="1">IFERROR(__xludf.DUMMYFUNCTION("""COMPUTED_VALUE"""),"Rifle")</f>
        <v>Rifle</v>
      </c>
      <c r="C2030" s="5" t="str">
        <f ca="1">IFERROR(__xludf.DUMMYFUNCTION("""COMPUTED_VALUE"""),".22 caliber")</f>
        <v>.22 caliber</v>
      </c>
      <c r="D2030" s="5"/>
    </row>
    <row r="2031" spans="1:4" ht="13">
      <c r="A2031" s="5" t="str">
        <f ca="1">IFERROR(__xludf.DUMMYFUNCTION("""COMPUTED_VALUE"""),"19851022OHSOG")</f>
        <v>19851022OHSOG</v>
      </c>
      <c r="B2031" s="5" t="str">
        <f ca="1">IFERROR(__xludf.DUMMYFUNCTION("""COMPUTED_VALUE"""),"Handgun")</f>
        <v>Handgun</v>
      </c>
      <c r="C2031" s="5" t="str">
        <f ca="1">IFERROR(__xludf.DUMMYFUNCTION("""COMPUTED_VALUE"""),"Service Weapon")</f>
        <v>Service Weapon</v>
      </c>
      <c r="D2031" s="5"/>
    </row>
    <row r="2032" spans="1:4" ht="13">
      <c r="A2032" s="5" t="str">
        <f ca="1">IFERROR(__xludf.DUMMYFUNCTION("""COMPUTED_VALUE"""),"19851018MIMUD")</f>
        <v>19851018MIMUD</v>
      </c>
      <c r="B2032" s="5" t="str">
        <f ca="1">IFERROR(__xludf.DUMMYFUNCTION("""COMPUTED_VALUE"""),"Shotgun")</f>
        <v>Shotgun</v>
      </c>
      <c r="C2032" s="5" t="str">
        <f ca="1">IFERROR(__xludf.DUMMYFUNCTION("""COMPUTED_VALUE"""),"Unknown")</f>
        <v>Unknown</v>
      </c>
      <c r="D2032" s="5"/>
    </row>
    <row r="2033" spans="1:4" ht="13">
      <c r="A2033" s="5" t="str">
        <f ca="1">IFERROR(__xludf.DUMMYFUNCTION("""COMPUTED_VALUE"""),"19851008MDLAB")</f>
        <v>19851008MDLAB</v>
      </c>
      <c r="B2033" s="5" t="str">
        <f ca="1">IFERROR(__xludf.DUMMYFUNCTION("""COMPUTED_VALUE"""),"Handgun")</f>
        <v>Handgun</v>
      </c>
      <c r="C2033" s="5" t="str">
        <f ca="1">IFERROR(__xludf.DUMMYFUNCTION("""COMPUTED_VALUE"""),"Unknown")</f>
        <v>Unknown</v>
      </c>
      <c r="D2033" s="5"/>
    </row>
    <row r="2034" spans="1:4" ht="13">
      <c r="A2034" s="5" t="str">
        <f ca="1">IFERROR(__xludf.DUMMYFUNCTION("""COMPUTED_VALUE"""),"19850925OHTRT")</f>
        <v>19850925OHTRT</v>
      </c>
      <c r="B2034" s="5" t="str">
        <f ca="1">IFERROR(__xludf.DUMMYFUNCTION("""COMPUTED_VALUE"""),"Handgun")</f>
        <v>Handgun</v>
      </c>
      <c r="C2034" s="5" t="str">
        <f ca="1">IFERROR(__xludf.DUMMYFUNCTION("""COMPUTED_VALUE"""),"Unknown")</f>
        <v>Unknown</v>
      </c>
      <c r="D2034" s="5"/>
    </row>
    <row r="2035" spans="1:4" ht="13">
      <c r="A2035" s="5" t="str">
        <f ca="1">IFERROR(__xludf.DUMMYFUNCTION("""COMPUTED_VALUE"""),"19850920TXLAC")</f>
        <v>19850920TXLAC</v>
      </c>
      <c r="B2035" s="5" t="str">
        <f ca="1">IFERROR(__xludf.DUMMYFUNCTION("""COMPUTED_VALUE"""),"Handgun")</f>
        <v>Handgun</v>
      </c>
      <c r="C2035" s="5" t="str">
        <f ca="1">IFERROR(__xludf.DUMMYFUNCTION("""COMPUTED_VALUE"""),".357 caliber")</f>
        <v>.357 caliber</v>
      </c>
      <c r="D2035" s="5"/>
    </row>
    <row r="2036" spans="1:4" ht="13">
      <c r="A2036" s="5" t="str">
        <f ca="1">IFERROR(__xludf.DUMMYFUNCTION("""COMPUTED_VALUE"""),"19850909TXWHH")</f>
        <v>19850909TXWHH</v>
      </c>
      <c r="B2036" s="5" t="str">
        <f ca="1">IFERROR(__xludf.DUMMYFUNCTION("""COMPUTED_VALUE"""),"Handgun")</f>
        <v>Handgun</v>
      </c>
      <c r="C2036" s="5" t="str">
        <f ca="1">IFERROR(__xludf.DUMMYFUNCTION("""COMPUTED_VALUE"""),"Unknown")</f>
        <v>Unknown</v>
      </c>
      <c r="D2036" s="5"/>
    </row>
    <row r="2037" spans="1:4" ht="13">
      <c r="A2037" s="5" t="str">
        <f ca="1">IFERROR(__xludf.DUMMYFUNCTION("""COMPUTED_VALUE"""),"19850904VAEAR")</f>
        <v>19850904VAEAR</v>
      </c>
      <c r="B2037" s="5" t="str">
        <f ca="1">IFERROR(__xludf.DUMMYFUNCTION("""COMPUTED_VALUE"""),"Handgun")</f>
        <v>Handgun</v>
      </c>
      <c r="C2037" s="5" t="str">
        <f ca="1">IFERROR(__xludf.DUMMYFUNCTION("""COMPUTED_VALUE"""),".38 caliber")</f>
        <v>.38 caliber</v>
      </c>
      <c r="D2037" s="5"/>
    </row>
    <row r="2038" spans="1:4" ht="13">
      <c r="A2038" s="5" t="str">
        <f ca="1">IFERROR(__xludf.DUMMYFUNCTION("""COMPUTED_VALUE"""),"19850724TXHIH")</f>
        <v>19850724TXHIH</v>
      </c>
      <c r="B2038" s="5" t="str">
        <f ca="1">IFERROR(__xludf.DUMMYFUNCTION("""COMPUTED_VALUE"""),"Handgun")</f>
        <v>Handgun</v>
      </c>
      <c r="C2038" s="5" t="str">
        <f ca="1">IFERROR(__xludf.DUMMYFUNCTION("""COMPUTED_VALUE"""),"Unknown")</f>
        <v>Unknown</v>
      </c>
      <c r="D2038" s="5"/>
    </row>
    <row r="2039" spans="1:4" ht="13">
      <c r="A2039" s="5" t="str">
        <f ca="1">IFERROR(__xludf.DUMMYFUNCTION("""COMPUTED_VALUE"""),"19850516FLPAB")</f>
        <v>19850516FLPAB</v>
      </c>
      <c r="B2039" s="5" t="str">
        <f ca="1">IFERROR(__xludf.DUMMYFUNCTION("""COMPUTED_VALUE"""),"Handgun")</f>
        <v>Handgun</v>
      </c>
      <c r="C2039" s="5" t="str">
        <f ca="1">IFERROR(__xludf.DUMMYFUNCTION("""COMPUTED_VALUE"""),"Unknown")</f>
        <v>Unknown</v>
      </c>
      <c r="D2039" s="5"/>
    </row>
    <row r="2040" spans="1:4" ht="13">
      <c r="A2040" s="5" t="str">
        <f ca="1">IFERROR(__xludf.DUMMYFUNCTION("""COMPUTED_VALUE"""),"19850418TNSOS")</f>
        <v>19850418TNSOS</v>
      </c>
      <c r="B2040" s="5" t="str">
        <f ca="1">IFERROR(__xludf.DUMMYFUNCTION("""COMPUTED_VALUE"""),"Handgun")</f>
        <v>Handgun</v>
      </c>
      <c r="C2040" s="5" t="str">
        <f ca="1">IFERROR(__xludf.DUMMYFUNCTION("""COMPUTED_VALUE"""),".45 caliber")</f>
        <v>.45 caliber</v>
      </c>
      <c r="D2040" s="5"/>
    </row>
    <row r="2041" spans="1:4" ht="13">
      <c r="A2041" s="5" t="str">
        <f ca="1">IFERROR(__xludf.DUMMYFUNCTION("""COMPUTED_VALUE"""),"19850416TXMAA")</f>
        <v>19850416TXMAA</v>
      </c>
      <c r="B2041" s="5" t="str">
        <f ca="1">IFERROR(__xludf.DUMMYFUNCTION("""COMPUTED_VALUE"""),"Handgun")</f>
        <v>Handgun</v>
      </c>
      <c r="C2041" s="5" t="str">
        <f ca="1">IFERROR(__xludf.DUMMYFUNCTION("""COMPUTED_VALUE"""),"Service Weapon")</f>
        <v>Service Weapon</v>
      </c>
      <c r="D2041" s="5"/>
    </row>
    <row r="2042" spans="1:4" ht="13">
      <c r="A2042" s="5" t="str">
        <f ca="1">IFERROR(__xludf.DUMMYFUNCTION("""COMPUTED_VALUE"""),"19850205CTAIH")</f>
        <v>19850205CTAIH</v>
      </c>
      <c r="B2042" s="5" t="str">
        <f ca="1">IFERROR(__xludf.DUMMYFUNCTION("""COMPUTED_VALUE"""),"Handgun")</f>
        <v>Handgun</v>
      </c>
      <c r="C2042" s="5" t="str">
        <f ca="1">IFERROR(__xludf.DUMMYFUNCTION("""COMPUTED_VALUE"""),"Unknown")</f>
        <v>Unknown</v>
      </c>
      <c r="D2042" s="5"/>
    </row>
    <row r="2043" spans="1:4" ht="13">
      <c r="A2043" s="5" t="str">
        <f ca="1">IFERROR(__xludf.DUMMYFUNCTION("""COMPUTED_VALUE"""),"19850126MASTB")</f>
        <v>19850126MASTB</v>
      </c>
      <c r="B2043" s="5" t="str">
        <f ca="1">IFERROR(__xludf.DUMMYFUNCTION("""COMPUTED_VALUE"""),"Handgun")</f>
        <v>Handgun</v>
      </c>
      <c r="C2043" s="5" t="str">
        <f ca="1">IFERROR(__xludf.DUMMYFUNCTION("""COMPUTED_VALUE"""),"Unknown")</f>
        <v>Unknown</v>
      </c>
      <c r="D2043" s="5"/>
    </row>
    <row r="2044" spans="1:4" ht="13">
      <c r="A2044" s="5" t="str">
        <f ca="1">IFERROR(__xludf.DUMMYFUNCTION("""COMPUTED_VALUE"""),"19850121KSGOG")</f>
        <v>19850121KSGOG</v>
      </c>
      <c r="B2044" s="5" t="str">
        <f ca="1">IFERROR(__xludf.DUMMYFUNCTION("""COMPUTED_VALUE"""),"Handgun")</f>
        <v>Handgun</v>
      </c>
      <c r="C2044" s="5" t="str">
        <f ca="1">IFERROR(__xludf.DUMMYFUNCTION("""COMPUTED_VALUE"""),".357 caliber")</f>
        <v>.357 caliber</v>
      </c>
      <c r="D2044" s="5" t="str">
        <f ca="1">IFERROR(__xludf.DUMMYFUNCTION("""COMPUTED_VALUE"""),"M1A .308 and .357 Magnum")</f>
        <v>M1A .308 and .357 Magnum</v>
      </c>
    </row>
    <row r="2045" spans="1:4" ht="13">
      <c r="A2045" s="5" t="str">
        <f ca="1">IFERROR(__xludf.DUMMYFUNCTION("""COMPUTED_VALUE"""),"19850121KSGOG")</f>
        <v>19850121KSGOG</v>
      </c>
      <c r="B2045" s="5" t="str">
        <f ca="1">IFERROR(__xludf.DUMMYFUNCTION("""COMPUTED_VALUE"""),"Rifle")</f>
        <v>Rifle</v>
      </c>
      <c r="C2045" s="5" t="str">
        <f ca="1">IFERROR(__xludf.DUMMYFUNCTION("""COMPUTED_VALUE"""),".308 caliber")</f>
        <v>.308 caliber</v>
      </c>
      <c r="D2045" s="5" t="str">
        <f ca="1">IFERROR(__xludf.DUMMYFUNCTION("""COMPUTED_VALUE"""),"M1A .308 and .357 Magnum")</f>
        <v>M1A .308 and .357 Magnum</v>
      </c>
    </row>
    <row r="2046" spans="1:4" ht="13">
      <c r="A2046" s="5" t="str">
        <f ca="1">IFERROR(__xludf.DUMMYFUNCTION("""COMPUTED_VALUE"""),"19850118TXARA")</f>
        <v>19850118TXARA</v>
      </c>
      <c r="B2046" s="5" t="str">
        <f ca="1">IFERROR(__xludf.DUMMYFUNCTION("""COMPUTED_VALUE"""),"Shotgun")</f>
        <v>Shotgun</v>
      </c>
      <c r="C2046" s="5" t="str">
        <f ca="1">IFERROR(__xludf.DUMMYFUNCTION("""COMPUTED_VALUE"""),"410 gauge")</f>
        <v>410 gauge</v>
      </c>
      <c r="D2046" s="5"/>
    </row>
    <row r="2047" spans="1:4" ht="13">
      <c r="A2047" s="5" t="str">
        <f ca="1">IFERROR(__xludf.DUMMYFUNCTION("""COMPUTED_VALUE"""),"19841207MOEDS")</f>
        <v>19841207MOEDS</v>
      </c>
      <c r="B2047" s="5" t="str">
        <f ca="1">IFERROR(__xludf.DUMMYFUNCTION("""COMPUTED_VALUE"""),"Multiple Unknown")</f>
        <v>Multiple Unknown</v>
      </c>
      <c r="C2047" s="5" t="str">
        <f ca="1">IFERROR(__xludf.DUMMYFUNCTION("""COMPUTED_VALUE"""),"Unknown")</f>
        <v>Unknown</v>
      </c>
      <c r="D2047" s="5"/>
    </row>
    <row r="2048" spans="1:4" ht="13">
      <c r="A2048" s="5" t="str">
        <f ca="1">IFERROR(__xludf.DUMMYFUNCTION("""COMPUTED_VALUE"""),"19841126MDMIR")</f>
        <v>19841126MDMIR</v>
      </c>
      <c r="B2048" s="5" t="str">
        <f ca="1">IFERROR(__xludf.DUMMYFUNCTION("""COMPUTED_VALUE"""),"Handgun")</f>
        <v>Handgun</v>
      </c>
      <c r="C2048" s="5" t="str">
        <f ca="1">IFERROR(__xludf.DUMMYFUNCTION("""COMPUTED_VALUE"""),".22 caliber")</f>
        <v>.22 caliber</v>
      </c>
      <c r="D2048" s="5"/>
    </row>
    <row r="2049" spans="1:4" ht="13">
      <c r="A2049" s="5" t="str">
        <f ca="1">IFERROR(__xludf.DUMMYFUNCTION("""COMPUTED_VALUE"""),"19841109CTWIN")</f>
        <v>19841109CTWIN</v>
      </c>
      <c r="B2049" s="5" t="str">
        <f ca="1">IFERROR(__xludf.DUMMYFUNCTION("""COMPUTED_VALUE"""),"Handgun")</f>
        <v>Handgun</v>
      </c>
      <c r="C2049" s="5" t="str">
        <f ca="1">IFERROR(__xludf.DUMMYFUNCTION("""COMPUTED_VALUE"""),"9mm")</f>
        <v>9mm</v>
      </c>
      <c r="D2049" s="5"/>
    </row>
    <row r="2050" spans="1:4" ht="13">
      <c r="A2050" s="5" t="str">
        <f ca="1">IFERROR(__xludf.DUMMYFUNCTION("""COMPUTED_VALUE"""),"19841031LAEAG")</f>
        <v>19841031LAEAG</v>
      </c>
      <c r="B2050" s="5" t="str">
        <f ca="1">IFERROR(__xludf.DUMMYFUNCTION("""COMPUTED_VALUE"""),"Handgun")</f>
        <v>Handgun</v>
      </c>
      <c r="C2050" s="5" t="str">
        <f ca="1">IFERROR(__xludf.DUMMYFUNCTION("""COMPUTED_VALUE"""),".22 caliber")</f>
        <v>.22 caliber</v>
      </c>
      <c r="D2050" s="5"/>
    </row>
    <row r="2051" spans="1:4" ht="13">
      <c r="A2051" s="5" t="str">
        <f ca="1">IFERROR(__xludf.DUMMYFUNCTION("""COMPUTED_VALUE"""),"19841030SCPEP")</f>
        <v>19841030SCPEP</v>
      </c>
      <c r="B2051" s="5" t="str">
        <f ca="1">IFERROR(__xludf.DUMMYFUNCTION("""COMPUTED_VALUE"""),"Handgun")</f>
        <v>Handgun</v>
      </c>
      <c r="C2051" s="5" t="str">
        <f ca="1">IFERROR(__xludf.DUMMYFUNCTION("""COMPUTED_VALUE"""),".32 caliber")</f>
        <v>.32 caliber</v>
      </c>
      <c r="D2051" s="5"/>
    </row>
    <row r="2052" spans="1:4" ht="13">
      <c r="A2052" s="5" t="str">
        <f ca="1">IFERROR(__xludf.DUMMYFUNCTION("""COMPUTED_VALUE"""),"19841024OHWEC")</f>
        <v>19841024OHWEC</v>
      </c>
      <c r="B2052" s="5" t="str">
        <f ca="1">IFERROR(__xludf.DUMMYFUNCTION("""COMPUTED_VALUE"""),"Handgun")</f>
        <v>Handgun</v>
      </c>
      <c r="C2052" s="5" t="str">
        <f ca="1">IFERROR(__xludf.DUMMYFUNCTION("""COMPUTED_VALUE"""),"Unknown")</f>
        <v>Unknown</v>
      </c>
      <c r="D2052" s="5"/>
    </row>
    <row r="2053" spans="1:4" ht="13">
      <c r="A2053" s="5" t="str">
        <f ca="1">IFERROR(__xludf.DUMMYFUNCTION("""COMPUTED_VALUE"""),"19841024MISOD")</f>
        <v>19841024MISOD</v>
      </c>
      <c r="B2053" s="5" t="str">
        <f ca="1">IFERROR(__xludf.DUMMYFUNCTION("""COMPUTED_VALUE"""),"Handgun")</f>
        <v>Handgun</v>
      </c>
      <c r="C2053" s="5" t="str">
        <f ca="1">IFERROR(__xludf.DUMMYFUNCTION("""COMPUTED_VALUE"""),".38 caliber")</f>
        <v>.38 caliber</v>
      </c>
      <c r="D2053" s="5"/>
    </row>
    <row r="2054" spans="1:4" ht="13">
      <c r="A2054" s="5" t="str">
        <f ca="1">IFERROR(__xludf.DUMMYFUNCTION("""COMPUTED_VALUE"""),"19841022MICED")</f>
        <v>19841022MICED</v>
      </c>
      <c r="B2054" s="5" t="str">
        <f ca="1">IFERROR(__xludf.DUMMYFUNCTION("""COMPUTED_VALUE"""),"Handgun")</f>
        <v>Handgun</v>
      </c>
      <c r="C2054" s="5" t="str">
        <f ca="1">IFERROR(__xludf.DUMMYFUNCTION("""COMPUTED_VALUE"""),"Unknown")</f>
        <v>Unknown</v>
      </c>
      <c r="D2054" s="5"/>
    </row>
    <row r="2055" spans="1:4" ht="13">
      <c r="A2055" s="5" t="str">
        <f ca="1">IFERROR(__xludf.DUMMYFUNCTION("""COMPUTED_VALUE"""),"19841021PAWYE")</f>
        <v>19841021PAWYE</v>
      </c>
      <c r="B2055" s="5" t="str">
        <f ca="1">IFERROR(__xludf.DUMMYFUNCTION("""COMPUTED_VALUE"""),"Other")</f>
        <v>Other</v>
      </c>
      <c r="C2055" s="5" t="str">
        <f ca="1">IFERROR(__xludf.DUMMYFUNCTION("""COMPUTED_VALUE"""),"Pellet")</f>
        <v>Pellet</v>
      </c>
      <c r="D2055" s="5"/>
    </row>
    <row r="2056" spans="1:4" ht="13">
      <c r="A2056" s="5" t="str">
        <f ca="1">IFERROR(__xludf.DUMMYFUNCTION("""COMPUTED_VALUE"""),"19840928TXRIN")</f>
        <v>19840928TXRIN</v>
      </c>
      <c r="B2056" s="5" t="str">
        <f ca="1">IFERROR(__xludf.DUMMYFUNCTION("""COMPUTED_VALUE"""),"Multiple Unknown")</f>
        <v>Multiple Unknown</v>
      </c>
      <c r="C2056" s="5" t="str">
        <f ca="1">IFERROR(__xludf.DUMMYFUNCTION("""COMPUTED_VALUE"""),"Unknown")</f>
        <v>Unknown</v>
      </c>
      <c r="D2056" s="5"/>
    </row>
    <row r="2057" spans="1:4" ht="13">
      <c r="A2057" s="5" t="str">
        <f ca="1">IFERROR(__xludf.DUMMYFUNCTION("""COMPUTED_VALUE"""),"19840928TXMIH")</f>
        <v>19840928TXMIH</v>
      </c>
      <c r="B2057" s="5" t="str">
        <f ca="1">IFERROR(__xludf.DUMMYFUNCTION("""COMPUTED_VALUE"""),"Rifle")</f>
        <v>Rifle</v>
      </c>
      <c r="C2057" s="5" t="str">
        <f ca="1">IFERROR(__xludf.DUMMYFUNCTION("""COMPUTED_VALUE"""),"Unknown")</f>
        <v>Unknown</v>
      </c>
      <c r="D2057" s="5"/>
    </row>
    <row r="2058" spans="1:4" ht="13">
      <c r="A2058" s="5" t="str">
        <f ca="1">IFERROR(__xludf.DUMMYFUNCTION("""COMPUTED_VALUE"""),"19840831LABOS")</f>
        <v>19840831LABOS</v>
      </c>
      <c r="B2058" s="5" t="str">
        <f ca="1">IFERROR(__xludf.DUMMYFUNCTION("""COMPUTED_VALUE"""),"Handgun")</f>
        <v>Handgun</v>
      </c>
      <c r="C2058" s="5" t="str">
        <f ca="1">IFERROR(__xludf.DUMMYFUNCTION("""COMPUTED_VALUE"""),"Unknown")</f>
        <v>Unknown</v>
      </c>
      <c r="D2058" s="5"/>
    </row>
    <row r="2059" spans="1:4" ht="13">
      <c r="A2059" s="5" t="str">
        <f ca="1">IFERROR(__xludf.DUMMYFUNCTION("""COMPUTED_VALUE"""),"19840710MIMUD")</f>
        <v>19840710MIMUD</v>
      </c>
      <c r="B2059" s="5" t="str">
        <f ca="1">IFERROR(__xludf.DUMMYFUNCTION("""COMPUTED_VALUE"""),"No Data")</f>
        <v>No Data</v>
      </c>
      <c r="C2059" s="5"/>
      <c r="D2059" s="5"/>
    </row>
    <row r="2060" spans="1:4" ht="13">
      <c r="A2060" s="5" t="str">
        <f ca="1">IFERROR(__xludf.DUMMYFUNCTION("""COMPUTED_VALUE"""),"19840522OHCLC")</f>
        <v>19840522OHCLC</v>
      </c>
      <c r="B2060" s="5" t="str">
        <f ca="1">IFERROR(__xludf.DUMMYFUNCTION("""COMPUTED_VALUE"""),"Handgun")</f>
        <v>Handgun</v>
      </c>
      <c r="C2060" s="5" t="str">
        <f ca="1">IFERROR(__xludf.DUMMYFUNCTION("""COMPUTED_VALUE"""),".25 caliber")</f>
        <v>.25 caliber</v>
      </c>
      <c r="D2060" s="5"/>
    </row>
    <row r="2061" spans="1:4" ht="13">
      <c r="A2061" s="5" t="str">
        <f ca="1">IFERROR(__xludf.DUMMYFUNCTION("""COMPUTED_VALUE"""),"19840518CANON")</f>
        <v>19840518CANON</v>
      </c>
      <c r="B2061" s="5" t="str">
        <f ca="1">IFERROR(__xludf.DUMMYFUNCTION("""COMPUTED_VALUE"""),"Shotgun")</f>
        <v>Shotgun</v>
      </c>
      <c r="C2061" s="5" t="str">
        <f ca="1">IFERROR(__xludf.DUMMYFUNCTION("""COMPUTED_VALUE"""),"Unknown")</f>
        <v>Unknown</v>
      </c>
      <c r="D2061" s="5"/>
    </row>
    <row r="2062" spans="1:4" ht="13">
      <c r="A2062" s="5" t="str">
        <f ca="1">IFERROR(__xludf.DUMMYFUNCTION("""COMPUTED_VALUE"""),"19840517TXBOH")</f>
        <v>19840517TXBOH</v>
      </c>
      <c r="B2062" s="5" t="str">
        <f ca="1">IFERROR(__xludf.DUMMYFUNCTION("""COMPUTED_VALUE"""),"Handgun")</f>
        <v>Handgun</v>
      </c>
      <c r="C2062" s="5" t="str">
        <f ca="1">IFERROR(__xludf.DUMMYFUNCTION("""COMPUTED_VALUE"""),".25 caliber")</f>
        <v>.25 caliber</v>
      </c>
      <c r="D2062" s="5"/>
    </row>
    <row r="2063" spans="1:4" ht="13">
      <c r="A2063" s="5" t="str">
        <f ca="1">IFERROR(__xludf.DUMMYFUNCTION("""COMPUTED_VALUE"""),"19840517IASOP")</f>
        <v>19840517IASOP</v>
      </c>
      <c r="B2063" s="5" t="str">
        <f ca="1">IFERROR(__xludf.DUMMYFUNCTION("""COMPUTED_VALUE"""),"Handgun")</f>
        <v>Handgun</v>
      </c>
      <c r="C2063" s="5" t="str">
        <f ca="1">IFERROR(__xludf.DUMMYFUNCTION("""COMPUTED_VALUE"""),".38 caliber")</f>
        <v>.38 caliber</v>
      </c>
      <c r="D2063" s="5"/>
    </row>
    <row r="2064" spans="1:4" ht="13">
      <c r="A2064" s="5" t="str">
        <f ca="1">IFERROR(__xludf.DUMMYFUNCTION("""COMPUTED_VALUE"""),"19840515MTCMG")</f>
        <v>19840515MTCMG</v>
      </c>
      <c r="B2064" s="5" t="str">
        <f ca="1">IFERROR(__xludf.DUMMYFUNCTION("""COMPUTED_VALUE"""),"Rifle")</f>
        <v>Rifle</v>
      </c>
      <c r="C2064" s="5" t="str">
        <f ca="1">IFERROR(__xludf.DUMMYFUNCTION("""COMPUTED_VALUE"""),".22 caliber")</f>
        <v>.22 caliber</v>
      </c>
      <c r="D2064" s="5"/>
    </row>
    <row r="2065" spans="1:4" ht="13">
      <c r="A2065" s="5" t="str">
        <f ca="1">IFERROR(__xludf.DUMMYFUNCTION("""COMPUTED_VALUE"""),"19840426NCROW")</f>
        <v>19840426NCROW</v>
      </c>
      <c r="B2065" s="5" t="str">
        <f ca="1">IFERROR(__xludf.DUMMYFUNCTION("""COMPUTED_VALUE"""),"Handgun")</f>
        <v>Handgun</v>
      </c>
      <c r="C2065" s="5" t="str">
        <f ca="1">IFERROR(__xludf.DUMMYFUNCTION("""COMPUTED_VALUE"""),"Unknown")</f>
        <v>Unknown</v>
      </c>
      <c r="D2065" s="5"/>
    </row>
    <row r="2066" spans="1:4" ht="13">
      <c r="A2066" s="5" t="str">
        <f ca="1">IFERROR(__xludf.DUMMYFUNCTION("""COMPUTED_VALUE"""),"19840420MIPRD")</f>
        <v>19840420MIPRD</v>
      </c>
      <c r="B2066" s="5" t="str">
        <f ca="1">IFERROR(__xludf.DUMMYFUNCTION("""COMPUTED_VALUE"""),"Handgun")</f>
        <v>Handgun</v>
      </c>
      <c r="C2066" s="5" t="str">
        <f ca="1">IFERROR(__xludf.DUMMYFUNCTION("""COMPUTED_VALUE"""),"Unknown")</f>
        <v>Unknown</v>
      </c>
      <c r="D2066" s="5"/>
    </row>
    <row r="2067" spans="1:4" ht="13">
      <c r="A2067" s="5" t="str">
        <f ca="1">IFERROR(__xludf.DUMMYFUNCTION("""COMPUTED_VALUE"""),"19840405LACLC")</f>
        <v>19840405LACLC</v>
      </c>
      <c r="B2067" s="5" t="str">
        <f ca="1">IFERROR(__xludf.DUMMYFUNCTION("""COMPUTED_VALUE"""),"Handgun")</f>
        <v>Handgun</v>
      </c>
      <c r="C2067" s="5" t="str">
        <f ca="1">IFERROR(__xludf.DUMMYFUNCTION("""COMPUTED_VALUE"""),"Unknown")</f>
        <v>Unknown</v>
      </c>
      <c r="D2067" s="5"/>
    </row>
    <row r="2068" spans="1:4" ht="13">
      <c r="A2068" s="5" t="str">
        <f ca="1">IFERROR(__xludf.DUMMYFUNCTION("""COMPUTED_VALUE"""),"19840224CA49L")</f>
        <v>19840224CA49L</v>
      </c>
      <c r="B2068" s="5" t="str">
        <f ca="1">IFERROR(__xludf.DUMMYFUNCTION("""COMPUTED_VALUE"""),"Rifle")</f>
        <v>Rifle</v>
      </c>
      <c r="C2068" s="5" t="str">
        <f ca="1">IFERROR(__xludf.DUMMYFUNCTION("""COMPUTED_VALUE"""),"AR-15")</f>
        <v>AR-15</v>
      </c>
      <c r="D2068" s="5" t="str">
        <f ca="1">IFERROR(__xludf.DUMMYFUNCTION("""COMPUTED_VALUE"""),"AR15 and 2 shotguns")</f>
        <v>AR15 and 2 shotguns</v>
      </c>
    </row>
    <row r="2069" spans="1:4" ht="13">
      <c r="A2069" s="5" t="str">
        <f ca="1">IFERROR(__xludf.DUMMYFUNCTION("""COMPUTED_VALUE"""),"19840224CA49L")</f>
        <v>19840224CA49L</v>
      </c>
      <c r="B2069" s="5" t="str">
        <f ca="1">IFERROR(__xludf.DUMMYFUNCTION("""COMPUTED_VALUE"""),"Shotgun")</f>
        <v>Shotgun</v>
      </c>
      <c r="C2069" s="5" t="str">
        <f ca="1">IFERROR(__xludf.DUMMYFUNCTION("""COMPUTED_VALUE"""),"Unknown")</f>
        <v>Unknown</v>
      </c>
      <c r="D2069" s="5" t="str">
        <f ca="1">IFERROR(__xludf.DUMMYFUNCTION("""COMPUTED_VALUE"""),"AR15 and 2 shotguns")</f>
        <v>AR15 and 2 shotguns</v>
      </c>
    </row>
    <row r="2070" spans="1:4" ht="13">
      <c r="A2070" s="5" t="str">
        <f ca="1">IFERROR(__xludf.DUMMYFUNCTION("""COMPUTED_VALUE"""),"19840224CA49L")</f>
        <v>19840224CA49L</v>
      </c>
      <c r="B2070" s="5" t="str">
        <f ca="1">IFERROR(__xludf.DUMMYFUNCTION("""COMPUTED_VALUE"""),"Shotgun")</f>
        <v>Shotgun</v>
      </c>
      <c r="C2070" s="5" t="str">
        <f ca="1">IFERROR(__xludf.DUMMYFUNCTION("""COMPUTED_VALUE"""),"Unknown")</f>
        <v>Unknown</v>
      </c>
      <c r="D2070" s="5" t="str">
        <f ca="1">IFERROR(__xludf.DUMMYFUNCTION("""COMPUTED_VALUE"""),"AR15 and 2 shotguns")</f>
        <v>AR15 and 2 shotguns</v>
      </c>
    </row>
    <row r="2071" spans="1:4" ht="13">
      <c r="A2071" s="5" t="str">
        <f ca="1">IFERROR(__xludf.DUMMYFUNCTION("""COMPUTED_VALUE"""),"19840221TXSHH")</f>
        <v>19840221TXSHH</v>
      </c>
      <c r="B2071" s="5" t="str">
        <f ca="1">IFERROR(__xludf.DUMMYFUNCTION("""COMPUTED_VALUE"""),"Handgun")</f>
        <v>Handgun</v>
      </c>
      <c r="C2071" s="5" t="str">
        <f ca="1">IFERROR(__xludf.DUMMYFUNCTION("""COMPUTED_VALUE"""),".38 caliber")</f>
        <v>.38 caliber</v>
      </c>
      <c r="D2071" s="5"/>
    </row>
    <row r="2072" spans="1:4" ht="13">
      <c r="A2072" s="5" t="str">
        <f ca="1">IFERROR(__xludf.DUMMYFUNCTION("""COMPUTED_VALUE"""),"19840206KYCEL")</f>
        <v>19840206KYCEL</v>
      </c>
      <c r="B2072" s="5" t="str">
        <f ca="1">IFERROR(__xludf.DUMMYFUNCTION("""COMPUTED_VALUE"""),"Handgun")</f>
        <v>Handgun</v>
      </c>
      <c r="C2072" s="5" t="str">
        <f ca="1">IFERROR(__xludf.DUMMYFUNCTION("""COMPUTED_VALUE"""),"Unknown")</f>
        <v>Unknown</v>
      </c>
      <c r="D2072" s="5"/>
    </row>
    <row r="2073" spans="1:4" ht="13">
      <c r="A2073" s="5" t="str">
        <f ca="1">IFERROR(__xludf.DUMMYFUNCTION("""COMPUTED_VALUE"""),"19840105MDLAB")</f>
        <v>19840105MDLAB</v>
      </c>
      <c r="B2073" s="5" t="str">
        <f ca="1">IFERROR(__xludf.DUMMYFUNCTION("""COMPUTED_VALUE"""),"Handgun")</f>
        <v>Handgun</v>
      </c>
      <c r="C2073" s="5" t="str">
        <f ca="1">IFERROR(__xludf.DUMMYFUNCTION("""COMPUTED_VALUE"""),"Unknown")</f>
        <v>Unknown</v>
      </c>
      <c r="D2073" s="5"/>
    </row>
    <row r="2074" spans="1:4" ht="13">
      <c r="A2074" s="5" t="str">
        <f ca="1">IFERROR(__xludf.DUMMYFUNCTION("""COMPUTED_VALUE"""),"19831216ILBOR")</f>
        <v>19831216ILBOR</v>
      </c>
      <c r="B2074" s="5" t="str">
        <f ca="1">IFERROR(__xludf.DUMMYFUNCTION("""COMPUTED_VALUE"""),"Handgun")</f>
        <v>Handgun</v>
      </c>
      <c r="C2074" s="5" t="str">
        <f ca="1">IFERROR(__xludf.DUMMYFUNCTION("""COMPUTED_VALUE"""),".357 caliber")</f>
        <v>.357 caliber</v>
      </c>
      <c r="D2074" s="5"/>
    </row>
    <row r="2075" spans="1:4" ht="13">
      <c r="A2075" s="5" t="str">
        <f ca="1">IFERROR(__xludf.DUMMYFUNCTION("""COMPUTED_VALUE"""),"19831202INCRC")</f>
        <v>19831202INCRC</v>
      </c>
      <c r="B2075" s="5" t="str">
        <f ca="1">IFERROR(__xludf.DUMMYFUNCTION("""COMPUTED_VALUE"""),"Handgun")</f>
        <v>Handgun</v>
      </c>
      <c r="C2075" s="5" t="str">
        <f ca="1">IFERROR(__xludf.DUMMYFUNCTION("""COMPUTED_VALUE"""),".44 caliber")</f>
        <v>.44 caliber</v>
      </c>
      <c r="D2075" s="5"/>
    </row>
    <row r="2076" spans="1:4" ht="13">
      <c r="A2076" s="5" t="str">
        <f ca="1">IFERROR(__xludf.DUMMYFUNCTION("""COMPUTED_VALUE"""),"19831118MDHAB")</f>
        <v>19831118MDHAB</v>
      </c>
      <c r="B2076" s="5" t="str">
        <f ca="1">IFERROR(__xludf.DUMMYFUNCTION("""COMPUTED_VALUE"""),"Handgun")</f>
        <v>Handgun</v>
      </c>
      <c r="C2076" s="5" t="str">
        <f ca="1">IFERROR(__xludf.DUMMYFUNCTION("""COMPUTED_VALUE"""),"Unknown")</f>
        <v>Unknown</v>
      </c>
      <c r="D2076" s="5"/>
    </row>
    <row r="2077" spans="1:4" ht="13">
      <c r="A2077" s="5" t="str">
        <f ca="1">IFERROR(__xludf.DUMMYFUNCTION("""COMPUTED_VALUE"""),"19831117ILJAC")</f>
        <v>19831117ILJAC</v>
      </c>
      <c r="B2077" s="5" t="str">
        <f ca="1">IFERROR(__xludf.DUMMYFUNCTION("""COMPUTED_VALUE"""),"Handgun")</f>
        <v>Handgun</v>
      </c>
      <c r="C2077" s="5" t="str">
        <f ca="1">IFERROR(__xludf.DUMMYFUNCTION("""COMPUTED_VALUE"""),"Unknown")</f>
        <v>Unknown</v>
      </c>
      <c r="D2077" s="5"/>
    </row>
    <row r="2078" spans="1:4" ht="13">
      <c r="A2078" s="5" t="str">
        <f ca="1">IFERROR(__xludf.DUMMYFUNCTION("""COMPUTED_VALUE"""),"19831108MIHIH")</f>
        <v>19831108MIHIH</v>
      </c>
      <c r="B2078" s="5" t="str">
        <f ca="1">IFERROR(__xludf.DUMMYFUNCTION("""COMPUTED_VALUE"""),"Handgun")</f>
        <v>Handgun</v>
      </c>
      <c r="C2078" s="5" t="str">
        <f ca="1">IFERROR(__xludf.DUMMYFUNCTION("""COMPUTED_VALUE"""),".38 caliber")</f>
        <v>.38 caliber</v>
      </c>
      <c r="D2078" s="5"/>
    </row>
    <row r="2079" spans="1:4" ht="13">
      <c r="A2079" s="5" t="str">
        <f ca="1">IFERROR(__xludf.DUMMYFUNCTION("""COMPUTED_VALUE"""),"19831022MDCAB")</f>
        <v>19831022MDCAB</v>
      </c>
      <c r="B2079" s="5" t="str">
        <f ca="1">IFERROR(__xludf.DUMMYFUNCTION("""COMPUTED_VALUE"""),"Other")</f>
        <v>Other</v>
      </c>
      <c r="C2079" s="5" t="str">
        <f ca="1">IFERROR(__xludf.DUMMYFUNCTION("""COMPUTED_VALUE"""),"Starter")</f>
        <v>Starter</v>
      </c>
      <c r="D2079" s="5"/>
    </row>
    <row r="2080" spans="1:4" ht="13">
      <c r="A2080" s="5" t="str">
        <f ca="1">IFERROR(__xludf.DUMMYFUNCTION("""COMPUTED_VALUE"""),"19831007CACOL")</f>
        <v>19831007CACOL</v>
      </c>
      <c r="B2080" s="5" t="str">
        <f ca="1">IFERROR(__xludf.DUMMYFUNCTION("""COMPUTED_VALUE"""),"Handgun")</f>
        <v>Handgun</v>
      </c>
      <c r="C2080" s="5" t="str">
        <f ca="1">IFERROR(__xludf.DUMMYFUNCTION("""COMPUTED_VALUE"""),"Unknown")</f>
        <v>Unknown</v>
      </c>
      <c r="D2080" s="5"/>
    </row>
    <row r="2081" spans="1:4" ht="13">
      <c r="A2081" s="5" t="str">
        <f ca="1">IFERROR(__xludf.DUMMYFUNCTION("""COMPUTED_VALUE"""),"19830930TXTET")</f>
        <v>19830930TXTET</v>
      </c>
      <c r="B2081" s="5" t="str">
        <f ca="1">IFERROR(__xludf.DUMMYFUNCTION("""COMPUTED_VALUE"""),"No Data")</f>
        <v>No Data</v>
      </c>
      <c r="C2081" s="5"/>
      <c r="D2081" s="5"/>
    </row>
    <row r="2082" spans="1:4" ht="13">
      <c r="A2082" s="5" t="str">
        <f ca="1">IFERROR(__xludf.DUMMYFUNCTION("""COMPUTED_VALUE"""),"19830921MDWAB")</f>
        <v>19830921MDWAB</v>
      </c>
      <c r="B2082" s="5" t="str">
        <f ca="1">IFERROR(__xludf.DUMMYFUNCTION("""COMPUTED_VALUE"""),"Handgun")</f>
        <v>Handgun</v>
      </c>
      <c r="C2082" s="5" t="str">
        <f ca="1">IFERROR(__xludf.DUMMYFUNCTION("""COMPUTED_VALUE"""),".22 caliber")</f>
        <v>.22 caliber</v>
      </c>
      <c r="D2082" s="5"/>
    </row>
    <row r="2083" spans="1:4" ht="13">
      <c r="A2083" s="5" t="str">
        <f ca="1">IFERROR(__xludf.DUMMYFUNCTION("""COMPUTED_VALUE"""),"19830912MIHED")</f>
        <v>19830912MIHED</v>
      </c>
      <c r="B2083" s="5" t="str">
        <f ca="1">IFERROR(__xludf.DUMMYFUNCTION("""COMPUTED_VALUE"""),"Handgun")</f>
        <v>Handgun</v>
      </c>
      <c r="C2083" s="5" t="str">
        <f ca="1">IFERROR(__xludf.DUMMYFUNCTION("""COMPUTED_VALUE"""),"Unknown")</f>
        <v>Unknown</v>
      </c>
      <c r="D2083" s="5"/>
    </row>
    <row r="2084" spans="1:4" ht="13">
      <c r="A2084" s="5" t="str">
        <f ca="1">IFERROR(__xludf.DUMMYFUNCTION("""COMPUTED_VALUE"""),"19830912CAMAC")</f>
        <v>19830912CAMAC</v>
      </c>
      <c r="B2084" s="5" t="str">
        <f ca="1">IFERROR(__xludf.DUMMYFUNCTION("""COMPUTED_VALUE"""),"Multiple Handguns")</f>
        <v>Multiple Handguns</v>
      </c>
      <c r="C2084" s="5" t="str">
        <f ca="1">IFERROR(__xludf.DUMMYFUNCTION("""COMPUTED_VALUE"""),"Unknown")</f>
        <v>Unknown</v>
      </c>
      <c r="D2084" s="5"/>
    </row>
    <row r="2085" spans="1:4" ht="13">
      <c r="A2085" s="5" t="str">
        <f ca="1">IFERROR(__xludf.DUMMYFUNCTION("""COMPUTED_VALUE"""),"19830526PAGRJ")</f>
        <v>19830526PAGRJ</v>
      </c>
      <c r="B2085" s="5" t="str">
        <f ca="1">IFERROR(__xludf.DUMMYFUNCTION("""COMPUTED_VALUE"""),"Handgun")</f>
        <v>Handgun</v>
      </c>
      <c r="C2085" s="5" t="str">
        <f ca="1">IFERROR(__xludf.DUMMYFUNCTION("""COMPUTED_VALUE"""),".22 caliber")</f>
        <v>.22 caliber</v>
      </c>
      <c r="D2085" s="5"/>
    </row>
    <row r="2086" spans="1:4" ht="13">
      <c r="A2086" s="5" t="str">
        <f ca="1">IFERROR(__xludf.DUMMYFUNCTION("""COMPUTED_VALUE"""),"19830523OHMAM")</f>
        <v>19830523OHMAM</v>
      </c>
      <c r="B2086" s="5" t="str">
        <f ca="1">IFERROR(__xludf.DUMMYFUNCTION("""COMPUTED_VALUE"""),"Handgun")</f>
        <v>Handgun</v>
      </c>
      <c r="C2086" s="5" t="str">
        <f ca="1">IFERROR(__xludf.DUMMYFUNCTION("""COMPUTED_VALUE"""),"Unknown")</f>
        <v>Unknown</v>
      </c>
      <c r="D2086" s="5"/>
    </row>
    <row r="2087" spans="1:4" ht="13">
      <c r="A2087" s="5" t="str">
        <f ca="1">IFERROR(__xludf.DUMMYFUNCTION("""COMPUTED_VALUE"""),"19830518FLNOM")</f>
        <v>19830518FLNOM</v>
      </c>
      <c r="B2087" s="5" t="str">
        <f ca="1">IFERROR(__xludf.DUMMYFUNCTION("""COMPUTED_VALUE"""),"Handgun")</f>
        <v>Handgun</v>
      </c>
      <c r="C2087" s="5" t="str">
        <f ca="1">IFERROR(__xludf.DUMMYFUNCTION("""COMPUTED_VALUE"""),"Unknown")</f>
        <v>Unknown</v>
      </c>
      <c r="D2087" s="5"/>
    </row>
    <row r="2088" spans="1:4" ht="13">
      <c r="A2088" s="5" t="str">
        <f ca="1">IFERROR(__xludf.DUMMYFUNCTION("""COMPUTED_VALUE"""),"19830516TXLAD")</f>
        <v>19830516TXLAD</v>
      </c>
      <c r="B2088" s="5" t="str">
        <f ca="1">IFERROR(__xludf.DUMMYFUNCTION("""COMPUTED_VALUE"""),"Handgun")</f>
        <v>Handgun</v>
      </c>
      <c r="C2088" s="5" t="str">
        <f ca="1">IFERROR(__xludf.DUMMYFUNCTION("""COMPUTED_VALUE"""),".357 caliber")</f>
        <v>.357 caliber</v>
      </c>
      <c r="D2088" s="5"/>
    </row>
    <row r="2089" spans="1:4" ht="13">
      <c r="A2089" s="5" t="str">
        <f ca="1">IFERROR(__xludf.DUMMYFUNCTION("""COMPUTED_VALUE"""),"19830516NYBRN")</f>
        <v>19830516NYBRN</v>
      </c>
      <c r="B2089" s="5" t="str">
        <f ca="1">IFERROR(__xludf.DUMMYFUNCTION("""COMPUTED_VALUE"""),"Rifle")</f>
        <v>Rifle</v>
      </c>
      <c r="C2089" s="5" t="str">
        <f ca="1">IFERROR(__xludf.DUMMYFUNCTION("""COMPUTED_VALUE"""),".22 caliber")</f>
        <v>.22 caliber</v>
      </c>
      <c r="D2089" s="5"/>
    </row>
    <row r="2090" spans="1:4" ht="13">
      <c r="A2090" s="5" t="str">
        <f ca="1">IFERROR(__xludf.DUMMYFUNCTION("""COMPUTED_VALUE"""),"19830421MOBES")</f>
        <v>19830421MOBES</v>
      </c>
      <c r="B2090" s="5" t="str">
        <f ca="1">IFERROR(__xludf.DUMMYFUNCTION("""COMPUTED_VALUE"""),"No Data")</f>
        <v>No Data</v>
      </c>
      <c r="C2090" s="5"/>
      <c r="D2090" s="5"/>
    </row>
    <row r="2091" spans="1:4" ht="13">
      <c r="A2091" s="5" t="str">
        <f ca="1">IFERROR(__xludf.DUMMYFUNCTION("""COMPUTED_VALUE"""),"19830331ILSAC")</f>
        <v>19830331ILSAC</v>
      </c>
      <c r="B2091" s="5" t="str">
        <f ca="1">IFERROR(__xludf.DUMMYFUNCTION("""COMPUTED_VALUE"""),"Handgun")</f>
        <v>Handgun</v>
      </c>
      <c r="C2091" s="5" t="str">
        <f ca="1">IFERROR(__xludf.DUMMYFUNCTION("""COMPUTED_VALUE"""),".38 caliber")</f>
        <v>.38 caliber</v>
      </c>
      <c r="D2091" s="5"/>
    </row>
    <row r="2092" spans="1:4" ht="13">
      <c r="A2092" s="5" t="str">
        <f ca="1">IFERROR(__xludf.DUMMYFUNCTION("""COMPUTED_VALUE"""),"19830202NMALA")</f>
        <v>19830202NMALA</v>
      </c>
      <c r="B2092" s="5" t="str">
        <f ca="1">IFERROR(__xludf.DUMMYFUNCTION("""COMPUTED_VALUE"""),"No Data")</f>
        <v>No Data</v>
      </c>
      <c r="C2092" s="5"/>
      <c r="D2092" s="5"/>
    </row>
    <row r="2093" spans="1:4" ht="13">
      <c r="A2093" s="5" t="str">
        <f ca="1">IFERROR(__xludf.DUMMYFUNCTION("""COMPUTED_VALUE"""),"19830201TNRIM")</f>
        <v>19830201TNRIM</v>
      </c>
      <c r="B2093" s="5" t="str">
        <f ca="1">IFERROR(__xludf.DUMMYFUNCTION("""COMPUTED_VALUE"""),"Handgun")</f>
        <v>Handgun</v>
      </c>
      <c r="C2093" s="5" t="str">
        <f ca="1">IFERROR(__xludf.DUMMYFUNCTION("""COMPUTED_VALUE"""),".25 caliber")</f>
        <v>.25 caliber</v>
      </c>
      <c r="D2093" s="5"/>
    </row>
    <row r="2094" spans="1:4" ht="13">
      <c r="A2094" s="5" t="str">
        <f ca="1">IFERROR(__xludf.DUMMYFUNCTION("""COMPUTED_VALUE"""),"19830131FLDED")</f>
        <v>19830131FLDED</v>
      </c>
      <c r="B2094" s="5" t="str">
        <f ca="1">IFERROR(__xludf.DUMMYFUNCTION("""COMPUTED_VALUE"""),"Handgun")</f>
        <v>Handgun</v>
      </c>
      <c r="C2094" s="5" t="str">
        <f ca="1">IFERROR(__xludf.DUMMYFUNCTION("""COMPUTED_VALUE"""),".22 caliber")</f>
        <v>.22 caliber</v>
      </c>
      <c r="D2094" s="5"/>
    </row>
    <row r="2095" spans="1:4" ht="13">
      <c r="A2095" s="5" t="str">
        <f ca="1">IFERROR(__xludf.DUMMYFUNCTION("""COMPUTED_VALUE"""),"19830130TXWEC")</f>
        <v>19830130TXWEC</v>
      </c>
      <c r="B2095" s="5" t="str">
        <f ca="1">IFERROR(__xludf.DUMMYFUNCTION("""COMPUTED_VALUE"""),"Handgun")</f>
        <v>Handgun</v>
      </c>
      <c r="C2095" s="5" t="str">
        <f ca="1">IFERROR(__xludf.DUMMYFUNCTION("""COMPUTED_VALUE"""),"Unknown")</f>
        <v>Unknown</v>
      </c>
      <c r="D2095" s="5"/>
    </row>
    <row r="2096" spans="1:4" ht="13">
      <c r="A2096" s="5" t="str">
        <f ca="1">IFERROR(__xludf.DUMMYFUNCTION("""COMPUTED_VALUE"""),"19830128MDWIB")</f>
        <v>19830128MDWIB</v>
      </c>
      <c r="B2096" s="5" t="str">
        <f ca="1">IFERROR(__xludf.DUMMYFUNCTION("""COMPUTED_VALUE"""),"Handgun")</f>
        <v>Handgun</v>
      </c>
      <c r="C2096" s="5" t="str">
        <f ca="1">IFERROR(__xludf.DUMMYFUNCTION("""COMPUTED_VALUE"""),".25 caliber")</f>
        <v>.25 caliber</v>
      </c>
      <c r="D2096" s="5"/>
    </row>
    <row r="2097" spans="1:4" ht="13">
      <c r="A2097" s="5" t="str">
        <f ca="1">IFERROR(__xludf.DUMMYFUNCTION("""COMPUTED_VALUE"""),"19830120MOPAB")</f>
        <v>19830120MOPAB</v>
      </c>
      <c r="B2097" s="5" t="str">
        <f ca="1">IFERROR(__xludf.DUMMYFUNCTION("""COMPUTED_VALUE"""),"Handgun")</f>
        <v>Handgun</v>
      </c>
      <c r="C2097" s="5" t="str">
        <f ca="1">IFERROR(__xludf.DUMMYFUNCTION("""COMPUTED_VALUE"""),".22 caliber")</f>
        <v>.22 caliber</v>
      </c>
      <c r="D2097" s="5" t="str">
        <f ca="1">IFERROR(__xludf.DUMMYFUNCTION("""COMPUTED_VALUE"""),"Two .22 automatic")</f>
        <v>Two .22 automatic</v>
      </c>
    </row>
    <row r="2098" spans="1:4" ht="13">
      <c r="A2098" s="5" t="str">
        <f ca="1">IFERROR(__xludf.DUMMYFUNCTION("""COMPUTED_VALUE"""),"19830120MOPAB")</f>
        <v>19830120MOPAB</v>
      </c>
      <c r="B2098" s="5" t="str">
        <f ca="1">IFERROR(__xludf.DUMMYFUNCTION("""COMPUTED_VALUE"""),"Handgun")</f>
        <v>Handgun</v>
      </c>
      <c r="C2098" s="5" t="str">
        <f ca="1">IFERROR(__xludf.DUMMYFUNCTION("""COMPUTED_VALUE"""),".22 caliber")</f>
        <v>.22 caliber</v>
      </c>
      <c r="D2098" s="5" t="str">
        <f ca="1">IFERROR(__xludf.DUMMYFUNCTION("""COMPUTED_VALUE"""),"Two .22 automatic")</f>
        <v>Two .22 automatic</v>
      </c>
    </row>
    <row r="2099" spans="1:4" ht="13">
      <c r="A2099" s="5" t="str">
        <f ca="1">IFERROR(__xludf.DUMMYFUNCTION("""COMPUTED_VALUE"""),"19830118TXJOH")</f>
        <v>19830118TXJOH</v>
      </c>
      <c r="B2099" s="5" t="str">
        <f ca="1">IFERROR(__xludf.DUMMYFUNCTION("""COMPUTED_VALUE"""),"Handgun")</f>
        <v>Handgun</v>
      </c>
      <c r="C2099" s="5" t="str">
        <f ca="1">IFERROR(__xludf.DUMMYFUNCTION("""COMPUTED_VALUE"""),".22 caliber")</f>
        <v>.22 caliber</v>
      </c>
      <c r="D2099" s="5"/>
    </row>
    <row r="2100" spans="1:4" ht="13">
      <c r="A2100" s="5" t="str">
        <f ca="1">IFERROR(__xludf.DUMMYFUNCTION("""COMPUTED_VALUE"""),"19821220MIFID")</f>
        <v>19821220MIFID</v>
      </c>
      <c r="B2100" s="5" t="str">
        <f ca="1">IFERROR(__xludf.DUMMYFUNCTION("""COMPUTED_VALUE"""),"Handgun")</f>
        <v>Handgun</v>
      </c>
      <c r="C2100" s="5" t="str">
        <f ca="1">IFERROR(__xludf.DUMMYFUNCTION("""COMPUTED_VALUE"""),"Unknown")</f>
        <v>Unknown</v>
      </c>
      <c r="D2100" s="5"/>
    </row>
    <row r="2101" spans="1:4" ht="13">
      <c r="A2101" s="5" t="str">
        <f ca="1">IFERROR(__xludf.DUMMYFUNCTION("""COMPUTED_VALUE"""),"19821206ALHUH")</f>
        <v>19821206ALHUH</v>
      </c>
      <c r="B2101" s="5" t="str">
        <f ca="1">IFERROR(__xludf.DUMMYFUNCTION("""COMPUTED_VALUE"""),"Handgun")</f>
        <v>Handgun</v>
      </c>
      <c r="C2101" s="5" t="str">
        <f ca="1">IFERROR(__xludf.DUMMYFUNCTION("""COMPUTED_VALUE"""),"Unknown")</f>
        <v>Unknown</v>
      </c>
      <c r="D2101" s="5"/>
    </row>
    <row r="2102" spans="1:4" ht="13">
      <c r="A2102" s="5" t="str">
        <f ca="1">IFERROR(__xludf.DUMMYFUNCTION("""COMPUTED_VALUE"""),"19821112MSWIJ")</f>
        <v>19821112MSWIJ</v>
      </c>
      <c r="B2102" s="5" t="str">
        <f ca="1">IFERROR(__xludf.DUMMYFUNCTION("""COMPUTED_VALUE"""),"Shotgun")</f>
        <v>Shotgun</v>
      </c>
      <c r="C2102" s="5" t="str">
        <f ca="1">IFERROR(__xludf.DUMMYFUNCTION("""COMPUTED_VALUE"""),"Unknown")</f>
        <v>Unknown</v>
      </c>
      <c r="D2102" s="5"/>
    </row>
    <row r="2103" spans="1:4" ht="13">
      <c r="A2103" s="5" t="str">
        <f ca="1">IFERROR(__xludf.DUMMYFUNCTION("""COMPUTED_VALUE"""),"19821108MICOD")</f>
        <v>19821108MICOD</v>
      </c>
      <c r="B2103" s="5" t="str">
        <f ca="1">IFERROR(__xludf.DUMMYFUNCTION("""COMPUTED_VALUE"""),"Handgun")</f>
        <v>Handgun</v>
      </c>
      <c r="C2103" s="5" t="str">
        <f ca="1">IFERROR(__xludf.DUMMYFUNCTION("""COMPUTED_VALUE"""),".22 caliber")</f>
        <v>.22 caliber</v>
      </c>
      <c r="D2103" s="5"/>
    </row>
    <row r="2104" spans="1:4" ht="13">
      <c r="A2104" s="5" t="str">
        <f ca="1">IFERROR(__xludf.DUMMYFUNCTION("""COMPUTED_VALUE"""),"19821101NYELE")</f>
        <v>19821101NYELE</v>
      </c>
      <c r="B2104" s="5" t="str">
        <f ca="1">IFERROR(__xludf.DUMMYFUNCTION("""COMPUTED_VALUE"""),"Handgun")</f>
        <v>Handgun</v>
      </c>
      <c r="C2104" s="5" t="str">
        <f ca="1">IFERROR(__xludf.DUMMYFUNCTION("""COMPUTED_VALUE"""),"Unknown")</f>
        <v>Unknown</v>
      </c>
      <c r="D2104" s="5"/>
    </row>
    <row r="2105" spans="1:4" ht="13">
      <c r="A2105" s="5" t="str">
        <f ca="1">IFERROR(__xludf.DUMMYFUNCTION("""COMPUTED_VALUE"""),"19820915ARSOP")</f>
        <v>19820915ARSOP</v>
      </c>
      <c r="B2105" s="5" t="str">
        <f ca="1">IFERROR(__xludf.DUMMYFUNCTION("""COMPUTED_VALUE"""),"Handgun")</f>
        <v>Handgun</v>
      </c>
      <c r="C2105" s="5" t="str">
        <f ca="1">IFERROR(__xludf.DUMMYFUNCTION("""COMPUTED_VALUE"""),".22 caliber")</f>
        <v>.22 caliber</v>
      </c>
      <c r="D2105" s="5"/>
    </row>
    <row r="2106" spans="1:4" ht="13">
      <c r="A2106" s="5" t="str">
        <f ca="1">IFERROR(__xludf.DUMMYFUNCTION("""COMPUTED_VALUE"""),"19820910VALAB")</f>
        <v>19820910VALAB</v>
      </c>
      <c r="B2106" s="5" t="str">
        <f ca="1">IFERROR(__xludf.DUMMYFUNCTION("""COMPUTED_VALUE"""),"No Data")</f>
        <v>No Data</v>
      </c>
      <c r="C2106" s="5"/>
      <c r="D2106" s="5"/>
    </row>
    <row r="2107" spans="1:4" ht="13">
      <c r="A2107" s="5" t="str">
        <f ca="1">IFERROR(__xludf.DUMMYFUNCTION("""COMPUTED_VALUE"""),"19820527NVGAL")</f>
        <v>19820527NVGAL</v>
      </c>
      <c r="B2107" s="5" t="str">
        <f ca="1">IFERROR(__xludf.DUMMYFUNCTION("""COMPUTED_VALUE"""),"Other")</f>
        <v>Other</v>
      </c>
      <c r="C2107" s="5" t="str">
        <f ca="1">IFERROR(__xludf.DUMMYFUNCTION("""COMPUTED_VALUE"""),"Pellet")</f>
        <v>Pellet</v>
      </c>
      <c r="D2107" s="5"/>
    </row>
    <row r="2108" spans="1:4" ht="13">
      <c r="A2108" s="5" t="str">
        <f ca="1">IFERROR(__xludf.DUMMYFUNCTION("""COMPUTED_VALUE"""),"19820430FLANA")</f>
        <v>19820430FLANA</v>
      </c>
      <c r="B2108" s="5" t="str">
        <f ca="1">IFERROR(__xludf.DUMMYFUNCTION("""COMPUTED_VALUE"""),"Handgun")</f>
        <v>Handgun</v>
      </c>
      <c r="C2108" s="5" t="str">
        <f ca="1">IFERROR(__xludf.DUMMYFUNCTION("""COMPUTED_VALUE"""),".22 caliber")</f>
        <v>.22 caliber</v>
      </c>
      <c r="D2108" s="5"/>
    </row>
    <row r="2109" spans="1:4" ht="13">
      <c r="A2109" s="5" t="str">
        <f ca="1">IFERROR(__xludf.DUMMYFUNCTION("""COMPUTED_VALUE"""),"19820429GARUE")</f>
        <v>19820429GARUE</v>
      </c>
      <c r="B2109" s="5" t="str">
        <f ca="1">IFERROR(__xludf.DUMMYFUNCTION("""COMPUTED_VALUE"""),"Rifle")</f>
        <v>Rifle</v>
      </c>
      <c r="C2109" s="5" t="str">
        <f ca="1">IFERROR(__xludf.DUMMYFUNCTION("""COMPUTED_VALUE"""),"Unknown")</f>
        <v>Unknown</v>
      </c>
      <c r="D2109" s="5"/>
    </row>
    <row r="2110" spans="1:4" ht="13">
      <c r="A2110" s="5" t="str">
        <f ca="1">IFERROR(__xludf.DUMMYFUNCTION("""COMPUTED_VALUE"""),"19820415MDFOB")</f>
        <v>19820415MDFOB</v>
      </c>
      <c r="B2110" s="5" t="str">
        <f ca="1">IFERROR(__xludf.DUMMYFUNCTION("""COMPUTED_VALUE"""),"Handgun")</f>
        <v>Handgun</v>
      </c>
      <c r="C2110" s="5" t="str">
        <f ca="1">IFERROR(__xludf.DUMMYFUNCTION("""COMPUTED_VALUE"""),".32 caliber")</f>
        <v>.32 caliber</v>
      </c>
      <c r="D2110" s="5"/>
    </row>
    <row r="2111" spans="1:4" ht="13">
      <c r="A2111" s="5" t="str">
        <f ca="1">IFERROR(__xludf.DUMMYFUNCTION("""COMPUTED_VALUE"""),"19820407CODEL")</f>
        <v>19820407CODEL</v>
      </c>
      <c r="B2111" s="5" t="str">
        <f ca="1">IFERROR(__xludf.DUMMYFUNCTION("""COMPUTED_VALUE"""),"Handgun")</f>
        <v>Handgun</v>
      </c>
      <c r="C2111" s="5" t="str">
        <f ca="1">IFERROR(__xludf.DUMMYFUNCTION("""COMPUTED_VALUE"""),".38 caliber")</f>
        <v>.38 caliber</v>
      </c>
      <c r="D2111" s="5"/>
    </row>
    <row r="2112" spans="1:4" ht="13">
      <c r="A2112" s="5" t="str">
        <f ca="1">IFERROR(__xludf.DUMMYFUNCTION("""COMPUTED_VALUE"""),"19820319NVVAL")</f>
        <v>19820319NVVAL</v>
      </c>
      <c r="B2112" s="5" t="str">
        <f ca="1">IFERROR(__xludf.DUMMYFUNCTION("""COMPUTED_VALUE"""),"Handgun")</f>
        <v>Handgun</v>
      </c>
      <c r="C2112" s="5" t="str">
        <f ca="1">IFERROR(__xludf.DUMMYFUNCTION("""COMPUTED_VALUE"""),".22 caliber")</f>
        <v>.22 caliber</v>
      </c>
      <c r="D2112" s="5"/>
    </row>
    <row r="2113" spans="1:4" ht="13">
      <c r="A2113" s="5" t="str">
        <f ca="1">IFERROR(__xludf.DUMMYFUNCTION("""COMPUTED_VALUE"""),"19820317OHLOL")</f>
        <v>19820317OHLOL</v>
      </c>
      <c r="B2113" s="5" t="str">
        <f ca="1">IFERROR(__xludf.DUMMYFUNCTION("""COMPUTED_VALUE"""),"Handgun")</f>
        <v>Handgun</v>
      </c>
      <c r="C2113" s="5" t="str">
        <f ca="1">IFERROR(__xludf.DUMMYFUNCTION("""COMPUTED_VALUE"""),".25 caliber")</f>
        <v>.25 caliber</v>
      </c>
      <c r="D2113" s="5"/>
    </row>
    <row r="2114" spans="1:4" ht="13">
      <c r="A2114" s="5" t="str">
        <f ca="1">IFERROR(__xludf.DUMMYFUNCTION("""COMPUTED_VALUE"""),"19820315ORSPS")</f>
        <v>19820315ORSPS</v>
      </c>
      <c r="B2114" s="5" t="str">
        <f ca="1">IFERROR(__xludf.DUMMYFUNCTION("""COMPUTED_VALUE"""),"Handgun")</f>
        <v>Handgun</v>
      </c>
      <c r="C2114" s="5" t="str">
        <f ca="1">IFERROR(__xludf.DUMMYFUNCTION("""COMPUTED_VALUE"""),".38 caliber")</f>
        <v>.38 caliber</v>
      </c>
      <c r="D2114" s="5"/>
    </row>
    <row r="2115" spans="1:4" ht="13">
      <c r="A2115" s="5" t="str">
        <f ca="1">IFERROR(__xludf.DUMMYFUNCTION("""COMPUTED_VALUE"""),"19820209LAJON")</f>
        <v>19820209LAJON</v>
      </c>
      <c r="B2115" s="5" t="str">
        <f ca="1">IFERROR(__xludf.DUMMYFUNCTION("""COMPUTED_VALUE"""),"No Data")</f>
        <v>No Data</v>
      </c>
      <c r="C2115" s="5"/>
      <c r="D2115" s="5"/>
    </row>
    <row r="2116" spans="1:4" ht="13">
      <c r="A2116" s="5" t="str">
        <f ca="1">IFERROR(__xludf.DUMMYFUNCTION("""COMPUTED_VALUE"""),"19820208MADOD")</f>
        <v>19820208MADOD</v>
      </c>
      <c r="B2116" s="5" t="str">
        <f ca="1">IFERROR(__xludf.DUMMYFUNCTION("""COMPUTED_VALUE"""),"Handgun")</f>
        <v>Handgun</v>
      </c>
      <c r="C2116" s="5" t="str">
        <f ca="1">IFERROR(__xludf.DUMMYFUNCTION("""COMPUTED_VALUE"""),".38 caliber")</f>
        <v>.38 caliber</v>
      </c>
      <c r="D2116" s="5"/>
    </row>
    <row r="2117" spans="1:4" ht="13">
      <c r="A2117" s="5" t="str">
        <f ca="1">IFERROR(__xludf.DUMMYFUNCTION("""COMPUTED_VALUE"""),"19820205TNHAM")</f>
        <v>19820205TNHAM</v>
      </c>
      <c r="B2117" s="5" t="str">
        <f ca="1">IFERROR(__xludf.DUMMYFUNCTION("""COMPUTED_VALUE"""),"Handgun")</f>
        <v>Handgun</v>
      </c>
      <c r="C2117" s="5" t="str">
        <f ca="1">IFERROR(__xludf.DUMMYFUNCTION("""COMPUTED_VALUE"""),"Unknown")</f>
        <v>Unknown</v>
      </c>
      <c r="D2117" s="5"/>
    </row>
    <row r="2118" spans="1:4" ht="13">
      <c r="A2118" s="5" t="str">
        <f ca="1">IFERROR(__xludf.DUMMYFUNCTION("""COMPUTED_VALUE"""),"19811223NYJAB")</f>
        <v>19811223NYJAB</v>
      </c>
      <c r="B2118" s="5" t="str">
        <f ca="1">IFERROR(__xludf.DUMMYFUNCTION("""COMPUTED_VALUE"""),"Handgun")</f>
        <v>Handgun</v>
      </c>
      <c r="C2118" s="5" t="str">
        <f ca="1">IFERROR(__xludf.DUMMYFUNCTION("""COMPUTED_VALUE"""),"Unknown")</f>
        <v>Unknown</v>
      </c>
      <c r="D2118" s="5"/>
    </row>
    <row r="2119" spans="1:4" ht="13">
      <c r="A2119" s="5" t="str">
        <f ca="1">IFERROR(__xludf.DUMMYFUNCTION("""COMPUTED_VALUE"""),"19811216TXUNH")</f>
        <v>19811216TXUNH</v>
      </c>
      <c r="B2119" s="5" t="str">
        <f ca="1">IFERROR(__xludf.DUMMYFUNCTION("""COMPUTED_VALUE"""),"Handgun")</f>
        <v>Handgun</v>
      </c>
      <c r="C2119" s="5" t="str">
        <f ca="1">IFERROR(__xludf.DUMMYFUNCTION("""COMPUTED_VALUE"""),".22 caliber")</f>
        <v>.22 caliber</v>
      </c>
      <c r="D2119" s="5"/>
    </row>
    <row r="2120" spans="1:4" ht="13">
      <c r="A2120" s="5" t="str">
        <f ca="1">IFERROR(__xludf.DUMMYFUNCTION("""COMPUTED_VALUE"""),"19811209NYGEB")</f>
        <v>19811209NYGEB</v>
      </c>
      <c r="B2120" s="5" t="str">
        <f ca="1">IFERROR(__xludf.DUMMYFUNCTION("""COMPUTED_VALUE"""),"Handgun")</f>
        <v>Handgun</v>
      </c>
      <c r="C2120" s="5" t="str">
        <f ca="1">IFERROR(__xludf.DUMMYFUNCTION("""COMPUTED_VALUE"""),"Unknown")</f>
        <v>Unknown</v>
      </c>
      <c r="D2120" s="5"/>
    </row>
    <row r="2121" spans="1:4" ht="13">
      <c r="A2121" s="5" t="str">
        <f ca="1">IFERROR(__xludf.DUMMYFUNCTION("""COMPUTED_VALUE"""),"19811013CTHAH")</f>
        <v>19811013CTHAH</v>
      </c>
      <c r="B2121" s="5" t="str">
        <f ca="1">IFERROR(__xludf.DUMMYFUNCTION("""COMPUTED_VALUE"""),"Handgun")</f>
        <v>Handgun</v>
      </c>
      <c r="C2121" s="5" t="str">
        <f ca="1">IFERROR(__xludf.DUMMYFUNCTION("""COMPUTED_VALUE"""),"Unknown")</f>
        <v>Unknown</v>
      </c>
      <c r="D2121" s="5"/>
    </row>
    <row r="2122" spans="1:4" ht="13">
      <c r="A2122" s="5" t="str">
        <f ca="1">IFERROR(__xludf.DUMMYFUNCTION("""COMPUTED_VALUE"""),"19810913MDABA")</f>
        <v>19810913MDABA</v>
      </c>
      <c r="B2122" s="5" t="str">
        <f ca="1">IFERROR(__xludf.DUMMYFUNCTION("""COMPUTED_VALUE"""),"Handgun")</f>
        <v>Handgun</v>
      </c>
      <c r="C2122" s="5" t="str">
        <f ca="1">IFERROR(__xludf.DUMMYFUNCTION("""COMPUTED_VALUE"""),"Service Weapon")</f>
        <v>Service Weapon</v>
      </c>
      <c r="D2122" s="5"/>
    </row>
    <row r="2123" spans="1:4" ht="13">
      <c r="A2123" s="5" t="str">
        <f ca="1">IFERROR(__xludf.DUMMYFUNCTION("""COMPUTED_VALUE"""),"19810908FLSTW")</f>
        <v>19810908FLSTW</v>
      </c>
      <c r="B2123" s="5" t="str">
        <f ca="1">IFERROR(__xludf.DUMMYFUNCTION("""COMPUTED_VALUE"""),"Handgun")</f>
        <v>Handgun</v>
      </c>
      <c r="C2123" s="5" t="str">
        <f ca="1">IFERROR(__xludf.DUMMYFUNCTION("""COMPUTED_VALUE"""),".22 caliber")</f>
        <v>.22 caliber</v>
      </c>
      <c r="D2123" s="5"/>
    </row>
    <row r="2124" spans="1:4" ht="13">
      <c r="A2124" s="5" t="str">
        <f ca="1">IFERROR(__xludf.DUMMYFUNCTION("""COMPUTED_VALUE"""),"19810904NMHOS")</f>
        <v>19810904NMHOS</v>
      </c>
      <c r="B2124" s="5" t="str">
        <f ca="1">IFERROR(__xludf.DUMMYFUNCTION("""COMPUTED_VALUE"""),"Handgun")</f>
        <v>Handgun</v>
      </c>
      <c r="C2124" s="5" t="str">
        <f ca="1">IFERROR(__xludf.DUMMYFUNCTION("""COMPUTED_VALUE"""),".22 caliber")</f>
        <v>.22 caliber</v>
      </c>
      <c r="D2124" s="5"/>
    </row>
    <row r="2125" spans="1:4" ht="13">
      <c r="A2125" s="5" t="str">
        <f ca="1">IFERROR(__xludf.DUMMYFUNCTION("""COMPUTED_VALUE"""),"19810901PAWIP")</f>
        <v>19810901PAWIP</v>
      </c>
      <c r="B2125" s="5" t="str">
        <f ca="1">IFERROR(__xludf.DUMMYFUNCTION("""COMPUTED_VALUE"""),"Handgun")</f>
        <v>Handgun</v>
      </c>
      <c r="C2125" s="5" t="str">
        <f ca="1">IFERROR(__xludf.DUMMYFUNCTION("""COMPUTED_VALUE"""),".25 caliber")</f>
        <v>.25 caliber</v>
      </c>
      <c r="D2125" s="5"/>
    </row>
    <row r="2126" spans="1:4" ht="13">
      <c r="A2126" s="5" t="str">
        <f ca="1">IFERROR(__xludf.DUMMYFUNCTION("""COMPUTED_VALUE"""),"19810515LANEN")</f>
        <v>19810515LANEN</v>
      </c>
      <c r="B2126" s="5" t="str">
        <f ca="1">IFERROR(__xludf.DUMMYFUNCTION("""COMPUTED_VALUE"""),"Handgun")</f>
        <v>Handgun</v>
      </c>
      <c r="C2126" s="5" t="str">
        <f ca="1">IFERROR(__xludf.DUMMYFUNCTION("""COMPUTED_VALUE"""),".22 caliber")</f>
        <v>.22 caliber</v>
      </c>
      <c r="D2126" s="5"/>
    </row>
    <row r="2127" spans="1:4" ht="13">
      <c r="A2127" s="5" t="str">
        <f ca="1">IFERROR(__xludf.DUMMYFUNCTION("""COMPUTED_VALUE"""),"19810407MSPOP")</f>
        <v>19810407MSPOP</v>
      </c>
      <c r="B2127" s="5" t="str">
        <f ca="1">IFERROR(__xludf.DUMMYFUNCTION("""COMPUTED_VALUE"""),"No Data")</f>
        <v>No Data</v>
      </c>
      <c r="C2127" s="5"/>
      <c r="D2127" s="5"/>
    </row>
    <row r="2128" spans="1:4" ht="13">
      <c r="A2128" s="5" t="str">
        <f ca="1">IFERROR(__xludf.DUMMYFUNCTION("""COMPUTED_VALUE"""),"19810402OHALC")</f>
        <v>19810402OHALC</v>
      </c>
      <c r="B2128" s="5" t="str">
        <f ca="1">IFERROR(__xludf.DUMMYFUNCTION("""COMPUTED_VALUE"""),"Handgun")</f>
        <v>Handgun</v>
      </c>
      <c r="C2128" s="5" t="str">
        <f ca="1">IFERROR(__xludf.DUMMYFUNCTION("""COMPUTED_VALUE"""),".22 caliber")</f>
        <v>.22 caliber</v>
      </c>
      <c r="D2128" s="5"/>
    </row>
    <row r="2129" spans="1:4" ht="13">
      <c r="A2129" s="5" t="str">
        <f ca="1">IFERROR(__xludf.DUMMYFUNCTION("""COMPUTED_VALUE"""),"19810328FLDIF")</f>
        <v>19810328FLDIF</v>
      </c>
      <c r="B2129" s="5" t="str">
        <f ca="1">IFERROR(__xludf.DUMMYFUNCTION("""COMPUTED_VALUE"""),"Handgun")</f>
        <v>Handgun</v>
      </c>
      <c r="C2129" s="5" t="str">
        <f ca="1">IFERROR(__xludf.DUMMYFUNCTION("""COMPUTED_VALUE"""),"Unknown")</f>
        <v>Unknown</v>
      </c>
      <c r="D2129" s="5"/>
    </row>
    <row r="2130" spans="1:4" ht="13">
      <c r="A2130" s="5" t="str">
        <f ca="1">IFERROR(__xludf.DUMMYFUNCTION("""COMPUTED_VALUE"""),"19810303INMAI")</f>
        <v>19810303INMAI</v>
      </c>
      <c r="B2130" s="5" t="str">
        <f ca="1">IFERROR(__xludf.DUMMYFUNCTION("""COMPUTED_VALUE"""),"Handgun")</f>
        <v>Handgun</v>
      </c>
      <c r="C2130" s="5" t="str">
        <f ca="1">IFERROR(__xludf.DUMMYFUNCTION("""COMPUTED_VALUE"""),"Unknown")</f>
        <v>Unknown</v>
      </c>
      <c r="D2130" s="5"/>
    </row>
    <row r="2131" spans="1:4" ht="13">
      <c r="A2131" s="5" t="str">
        <f ca="1">IFERROR(__xludf.DUMMYFUNCTION("""COMPUTED_VALUE"""),"19810210CAMAL")</f>
        <v>19810210CAMAL</v>
      </c>
      <c r="B2131" s="5" t="str">
        <f ca="1">IFERROR(__xludf.DUMMYFUNCTION("""COMPUTED_VALUE"""),"Shotgun")</f>
        <v>Shotgun</v>
      </c>
      <c r="C2131" s="5" t="str">
        <f ca="1">IFERROR(__xludf.DUMMYFUNCTION("""COMPUTED_VALUE"""),"Unknown")</f>
        <v>Unknown</v>
      </c>
      <c r="D2131" s="5"/>
    </row>
    <row r="2132" spans="1:4" ht="13">
      <c r="A2132" s="5" t="str">
        <f ca="1">IFERROR(__xludf.DUMMYFUNCTION("""COMPUTED_VALUE"""),"19810210ARLIL")</f>
        <v>19810210ARLIL</v>
      </c>
      <c r="B2132" s="5" t="str">
        <f ca="1">IFERROR(__xludf.DUMMYFUNCTION("""COMPUTED_VALUE"""),"Handgun")</f>
        <v>Handgun</v>
      </c>
      <c r="C2132" s="5" t="str">
        <f ca="1">IFERROR(__xludf.DUMMYFUNCTION("""COMPUTED_VALUE"""),"Unknown")</f>
        <v>Unknown</v>
      </c>
      <c r="D2132" s="5"/>
    </row>
    <row r="2133" spans="1:4" ht="13">
      <c r="A2133" s="5" t="str">
        <f ca="1">IFERROR(__xludf.DUMMYFUNCTION("""COMPUTED_VALUE"""),"19810122MDFRB")</f>
        <v>19810122MDFRB</v>
      </c>
      <c r="B2133" s="5" t="str">
        <f ca="1">IFERROR(__xludf.DUMMYFUNCTION("""COMPUTED_VALUE"""),"Handgun")</f>
        <v>Handgun</v>
      </c>
      <c r="C2133" s="5" t="str">
        <f ca="1">IFERROR(__xludf.DUMMYFUNCTION("""COMPUTED_VALUE"""),"Unknown")</f>
        <v>Unknown</v>
      </c>
      <c r="D2133" s="5"/>
    </row>
    <row r="2134" spans="1:4" ht="13">
      <c r="A2134" s="5" t="str">
        <f ca="1">IFERROR(__xludf.DUMMYFUNCTION("""COMPUTED_VALUE"""),"19810121OHWIB")</f>
        <v>19810121OHWIB</v>
      </c>
      <c r="B2134" s="5" t="str">
        <f ca="1">IFERROR(__xludf.DUMMYFUNCTION("""COMPUTED_VALUE"""),"Handgun")</f>
        <v>Handgun</v>
      </c>
      <c r="C2134" s="5" t="str">
        <f ca="1">IFERROR(__xludf.DUMMYFUNCTION("""COMPUTED_VALUE"""),".38 caliber")</f>
        <v>.38 caliber</v>
      </c>
      <c r="D2134" s="5"/>
    </row>
    <row r="2135" spans="1:4" ht="13">
      <c r="A2135" s="5" t="str">
        <f ca="1">IFERROR(__xludf.DUMMYFUNCTION("""COMPUTED_VALUE"""),"19801212OHLOL")</f>
        <v>19801212OHLOL</v>
      </c>
      <c r="B2135" s="5" t="str">
        <f ca="1">IFERROR(__xludf.DUMMYFUNCTION("""COMPUTED_VALUE"""),"Handgun")</f>
        <v>Handgun</v>
      </c>
      <c r="C2135" s="5" t="str">
        <f ca="1">IFERROR(__xludf.DUMMYFUNCTION("""COMPUTED_VALUE"""),".22 caliber")</f>
        <v>.22 caliber</v>
      </c>
      <c r="D2135" s="5"/>
    </row>
    <row r="2136" spans="1:4" ht="13">
      <c r="A2136" s="5" t="str">
        <f ca="1">IFERROR(__xludf.DUMMYFUNCTION("""COMPUTED_VALUE"""),"19801212ALPAB")</f>
        <v>19801212ALPAB</v>
      </c>
      <c r="B2136" s="5" t="str">
        <f ca="1">IFERROR(__xludf.DUMMYFUNCTION("""COMPUTED_VALUE"""),"Handgun")</f>
        <v>Handgun</v>
      </c>
      <c r="C2136" s="5" t="str">
        <f ca="1">IFERROR(__xludf.DUMMYFUNCTION("""COMPUTED_VALUE"""),"Unknown")</f>
        <v>Unknown</v>
      </c>
      <c r="D2136" s="5"/>
    </row>
    <row r="2137" spans="1:4" ht="13">
      <c r="A2137" s="5" t="str">
        <f ca="1">IFERROR(__xludf.DUMMYFUNCTION("""COMPUTED_VALUE"""),"19801117TXEAF")</f>
        <v>19801117TXEAF</v>
      </c>
      <c r="B2137" s="5" t="str">
        <f ca="1">IFERROR(__xludf.DUMMYFUNCTION("""COMPUTED_VALUE"""),"Handgun")</f>
        <v>Handgun</v>
      </c>
      <c r="C2137" s="5" t="str">
        <f ca="1">IFERROR(__xludf.DUMMYFUNCTION("""COMPUTED_VALUE"""),".22 caliber")</f>
        <v>.22 caliber</v>
      </c>
      <c r="D2137" s="5"/>
    </row>
    <row r="2138" spans="1:4" ht="13">
      <c r="A2138" s="5" t="str">
        <f ca="1">IFERROR(__xludf.DUMMYFUNCTION("""COMPUTED_VALUE"""),"19801031ALHUH")</f>
        <v>19801031ALHUH</v>
      </c>
      <c r="B2138" s="5" t="str">
        <f ca="1">IFERROR(__xludf.DUMMYFUNCTION("""COMPUTED_VALUE"""),"Handgun")</f>
        <v>Handgun</v>
      </c>
      <c r="C2138" s="5" t="str">
        <f ca="1">IFERROR(__xludf.DUMMYFUNCTION("""COMPUTED_VALUE"""),".22 caliber")</f>
        <v>.22 caliber</v>
      </c>
      <c r="D2138" s="5"/>
    </row>
    <row r="2139" spans="1:4" ht="13">
      <c r="A2139" s="5" t="str">
        <f ca="1">IFERROR(__xludf.DUMMYFUNCTION("""COMPUTED_VALUE"""),"19801013ALCET")</f>
        <v>19801013ALCET</v>
      </c>
      <c r="B2139" s="5" t="str">
        <f ca="1">IFERROR(__xludf.DUMMYFUNCTION("""COMPUTED_VALUE"""),"Handgun")</f>
        <v>Handgun</v>
      </c>
      <c r="C2139" s="5" t="str">
        <f ca="1">IFERROR(__xludf.DUMMYFUNCTION("""COMPUTED_VALUE"""),"Unknown")</f>
        <v>Unknown</v>
      </c>
      <c r="D2139" s="5"/>
    </row>
    <row r="2140" spans="1:4" ht="13">
      <c r="A2140" s="5" t="str">
        <f ca="1">IFERROR(__xludf.DUMMYFUNCTION("""COMPUTED_VALUE"""),"19800926CTBRB")</f>
        <v>19800926CTBRB</v>
      </c>
      <c r="B2140" s="5" t="str">
        <f ca="1">IFERROR(__xludf.DUMMYFUNCTION("""COMPUTED_VALUE"""),"Rifle")</f>
        <v>Rifle</v>
      </c>
      <c r="C2140" s="5" t="str">
        <f ca="1">IFERROR(__xludf.DUMMYFUNCTION("""COMPUTED_VALUE"""),".22 caliber")</f>
        <v>.22 caliber</v>
      </c>
      <c r="D2140" s="5"/>
    </row>
    <row r="2141" spans="1:4" ht="13">
      <c r="A2141" s="5" t="str">
        <f ca="1">IFERROR(__xludf.DUMMYFUNCTION("""COMPUTED_VALUE"""),"19800911ALJOM")</f>
        <v>19800911ALJOM</v>
      </c>
      <c r="B2141" s="5" t="str">
        <f ca="1">IFERROR(__xludf.DUMMYFUNCTION("""COMPUTED_VALUE"""),"Handgun")</f>
        <v>Handgun</v>
      </c>
      <c r="C2141" s="5" t="str">
        <f ca="1">IFERROR(__xludf.DUMMYFUNCTION("""COMPUTED_VALUE"""),"Unknown")</f>
        <v>Unknown</v>
      </c>
      <c r="D2141" s="5"/>
    </row>
    <row r="2142" spans="1:4" ht="13">
      <c r="A2142" s="5" t="str">
        <f ca="1">IFERROR(__xludf.DUMMYFUNCTION("""COMPUTED_VALUE"""),"19800910DCSPW")</f>
        <v>19800910DCSPW</v>
      </c>
      <c r="B2142" s="5" t="str">
        <f ca="1">IFERROR(__xludf.DUMMYFUNCTION("""COMPUTED_VALUE"""),"Handgun")</f>
        <v>Handgun</v>
      </c>
      <c r="C2142" s="5" t="str">
        <f ca="1">IFERROR(__xludf.DUMMYFUNCTION("""COMPUTED_VALUE"""),".25 caliber")</f>
        <v>.25 caliber</v>
      </c>
      <c r="D2142" s="5"/>
    </row>
    <row r="2143" spans="1:4" ht="13">
      <c r="A2143" s="5" t="str">
        <f ca="1">IFERROR(__xludf.DUMMYFUNCTION("""COMPUTED_VALUE"""),"19800908FLFOJ")</f>
        <v>19800908FLFOJ</v>
      </c>
      <c r="B2143" s="5" t="str">
        <f ca="1">IFERROR(__xludf.DUMMYFUNCTION("""COMPUTED_VALUE"""),"Handgun")</f>
        <v>Handgun</v>
      </c>
      <c r="C2143" s="5" t="str">
        <f ca="1">IFERROR(__xludf.DUMMYFUNCTION("""COMPUTED_VALUE"""),"Unknown")</f>
        <v>Unknown</v>
      </c>
      <c r="D2143" s="5"/>
    </row>
    <row r="2144" spans="1:4" ht="13">
      <c r="A2144" s="5" t="str">
        <f ca="1">IFERROR(__xludf.DUMMYFUNCTION("""COMPUTED_VALUE"""),"19800902CAWHL")</f>
        <v>19800902CAWHL</v>
      </c>
      <c r="B2144" s="5" t="str">
        <f ca="1">IFERROR(__xludf.DUMMYFUNCTION("""COMPUTED_VALUE"""),"Shotgun")</f>
        <v>Shotgun</v>
      </c>
      <c r="C2144" s="5" t="str">
        <f ca="1">IFERROR(__xludf.DUMMYFUNCTION("""COMPUTED_VALUE"""),"12 gauge")</f>
        <v>12 gauge</v>
      </c>
      <c r="D2144" s="5"/>
    </row>
    <row r="2145" spans="1:4" ht="13">
      <c r="A2145" s="5" t="str">
        <f ca="1">IFERROR(__xludf.DUMMYFUNCTION("""COMPUTED_VALUE"""),"19800530NYCLB")</f>
        <v>19800530NYCLB</v>
      </c>
      <c r="B2145" s="5" t="str">
        <f ca="1">IFERROR(__xludf.DUMMYFUNCTION("""COMPUTED_VALUE"""),"Handgun")</f>
        <v>Handgun</v>
      </c>
      <c r="C2145" s="5" t="str">
        <f ca="1">IFERROR(__xludf.DUMMYFUNCTION("""COMPUTED_VALUE"""),".38 caliber")</f>
        <v>.38 caliber</v>
      </c>
      <c r="D2145" s="5"/>
    </row>
    <row r="2146" spans="1:4" ht="13">
      <c r="A2146" s="5" t="str">
        <f ca="1">IFERROR(__xludf.DUMMYFUNCTION("""COMPUTED_VALUE"""),"19800417VACAC")</f>
        <v>19800417VACAC</v>
      </c>
      <c r="B2146" s="5" t="str">
        <f ca="1">IFERROR(__xludf.DUMMYFUNCTION("""COMPUTED_VALUE"""),"Handgun")</f>
        <v>Handgun</v>
      </c>
      <c r="C2146" s="5" t="str">
        <f ca="1">IFERROR(__xludf.DUMMYFUNCTION("""COMPUTED_VALUE"""),"Unknown")</f>
        <v>Unknown</v>
      </c>
      <c r="D2146" s="5"/>
    </row>
    <row r="2147" spans="1:4" ht="13">
      <c r="A2147" s="5" t="str">
        <f ca="1">IFERROR(__xludf.DUMMYFUNCTION("""COMPUTED_VALUE"""),"19800331MDFRB")</f>
        <v>19800331MDFRB</v>
      </c>
      <c r="B2147" s="5" t="str">
        <f ca="1">IFERROR(__xludf.DUMMYFUNCTION("""COMPUTED_VALUE"""),"Handgun")</f>
        <v>Handgun</v>
      </c>
      <c r="C2147" s="5" t="str">
        <f ca="1">IFERROR(__xludf.DUMMYFUNCTION("""COMPUTED_VALUE"""),".32 caliber")</f>
        <v>.32 caliber</v>
      </c>
      <c r="D2147" s="5"/>
    </row>
    <row r="2148" spans="1:4" ht="13">
      <c r="A2148" s="5" t="str">
        <f ca="1">IFERROR(__xludf.DUMMYFUNCTION("""COMPUTED_VALUE"""),"19800320TXJLD")</f>
        <v>19800320TXJLD</v>
      </c>
      <c r="B2148" s="5" t="str">
        <f ca="1">IFERROR(__xludf.DUMMYFUNCTION("""COMPUTED_VALUE"""),"Handgun")</f>
        <v>Handgun</v>
      </c>
      <c r="C2148" s="5" t="str">
        <f ca="1">IFERROR(__xludf.DUMMYFUNCTION("""COMPUTED_VALUE"""),".38 caliber")</f>
        <v>.38 caliber</v>
      </c>
      <c r="D2148" s="5"/>
    </row>
    <row r="2149" spans="1:4" ht="13">
      <c r="A2149" s="5" t="str">
        <f ca="1">IFERROR(__xludf.DUMMYFUNCTION("""COMPUTED_VALUE"""),"19800215MSHUM")</f>
        <v>19800215MSHUM</v>
      </c>
      <c r="B2149" s="5" t="str">
        <f ca="1">IFERROR(__xludf.DUMMYFUNCTION("""COMPUTED_VALUE"""),"Handgun")</f>
        <v>Handgun</v>
      </c>
      <c r="C2149" s="5" t="str">
        <f ca="1">IFERROR(__xludf.DUMMYFUNCTION("""COMPUTED_VALUE"""),".32 caliber")</f>
        <v>.32 caliber</v>
      </c>
      <c r="D2149" s="5"/>
    </row>
    <row r="2150" spans="1:4" ht="13">
      <c r="A2150" s="5" t="str">
        <f ca="1">IFERROR(__xludf.DUMMYFUNCTION("""COMPUTED_VALUE"""),"19800211INARI")</f>
        <v>19800211INARI</v>
      </c>
      <c r="B2150" s="5" t="str">
        <f ca="1">IFERROR(__xludf.DUMMYFUNCTION("""COMPUTED_VALUE"""),"Handgun")</f>
        <v>Handgun</v>
      </c>
      <c r="C2150" s="5" t="str">
        <f ca="1">IFERROR(__xludf.DUMMYFUNCTION("""COMPUTED_VALUE"""),".22 caliber")</f>
        <v>.22 caliber</v>
      </c>
      <c r="D2150" s="5"/>
    </row>
    <row r="2151" spans="1:4" ht="13">
      <c r="A2151" s="5" t="str">
        <f ca="1">IFERROR(__xludf.DUMMYFUNCTION("""COMPUTED_VALUE"""),"19800207TXVAL")</f>
        <v>19800207TXVAL</v>
      </c>
      <c r="B2151" s="5" t="str">
        <f ca="1">IFERROR(__xludf.DUMMYFUNCTION("""COMPUTED_VALUE"""),"Handgun")</f>
        <v>Handgun</v>
      </c>
      <c r="C2151" s="5" t="str">
        <f ca="1">IFERROR(__xludf.DUMMYFUNCTION("""COMPUTED_VALUE"""),".25 caliber")</f>
        <v>.25 caliber</v>
      </c>
      <c r="D2151" s="5"/>
    </row>
    <row r="2152" spans="1:4" ht="13">
      <c r="A2152" s="5" t="str">
        <f ca="1">IFERROR(__xludf.DUMMYFUNCTION("""COMPUTED_VALUE"""),"19800201DCLAW")</f>
        <v>19800201DCLAW</v>
      </c>
      <c r="B2152" s="5" t="str">
        <f ca="1">IFERROR(__xludf.DUMMYFUNCTION("""COMPUTED_VALUE"""),"Handgun")</f>
        <v>Handgun</v>
      </c>
      <c r="C2152" s="5" t="str">
        <f ca="1">IFERROR(__xludf.DUMMYFUNCTION("""COMPUTED_VALUE"""),".22 caliber")</f>
        <v>.22 caliber</v>
      </c>
      <c r="D2152" s="5"/>
    </row>
    <row r="2153" spans="1:4" ht="13">
      <c r="A2153" s="5" t="str">
        <f ca="1">IFERROR(__xludf.DUMMYFUNCTION("""COMPUTED_VALUE"""),"19800129VALAW")</f>
        <v>19800129VALAW</v>
      </c>
      <c r="B2153" s="5" t="str">
        <f ca="1">IFERROR(__xludf.DUMMYFUNCTION("""COMPUTED_VALUE"""),"Handgun")</f>
        <v>Handgun</v>
      </c>
      <c r="C2153" s="5" t="str">
        <f ca="1">IFERROR(__xludf.DUMMYFUNCTION("""COMPUTED_VALUE"""),".45 caliber")</f>
        <v>.45 caliber</v>
      </c>
      <c r="D2153" s="5"/>
    </row>
    <row r="2154" spans="1:4" ht="13">
      <c r="A2154" s="5" t="str">
        <f ca="1">IFERROR(__xludf.DUMMYFUNCTION("""COMPUTED_VALUE"""),"19800107ARSTS")</f>
        <v>19800107ARSTS</v>
      </c>
      <c r="B2154" s="5" t="str">
        <f ca="1">IFERROR(__xludf.DUMMYFUNCTION("""COMPUTED_VALUE"""),"Handgun")</f>
        <v>Handgun</v>
      </c>
      <c r="C2154" s="5" t="str">
        <f ca="1">IFERROR(__xludf.DUMMYFUNCTION("""COMPUTED_VALUE"""),".22 caliber")</f>
        <v>.22 caliber</v>
      </c>
      <c r="D2154" s="5"/>
    </row>
    <row r="2155" spans="1:4" ht="13">
      <c r="A2155" s="5" t="str">
        <f ca="1">IFERROR(__xludf.DUMMYFUNCTION("""COMPUTED_VALUE"""),"19791221MOBLS")</f>
        <v>19791221MOBLS</v>
      </c>
      <c r="B2155" s="5" t="str">
        <f ca="1">IFERROR(__xludf.DUMMYFUNCTION("""COMPUTED_VALUE"""),"Handgun")</f>
        <v>Handgun</v>
      </c>
      <c r="C2155" s="5" t="str">
        <f ca="1">IFERROR(__xludf.DUMMYFUNCTION("""COMPUTED_VALUE"""),"Unknown")</f>
        <v>Unknown</v>
      </c>
      <c r="D2155" s="5"/>
    </row>
    <row r="2156" spans="1:4" ht="13">
      <c r="A2156" s="5" t="str">
        <f ca="1">IFERROR(__xludf.DUMMYFUNCTION("""COMPUTED_VALUE"""),"19791203MDEAB")</f>
        <v>19791203MDEAB</v>
      </c>
      <c r="B2156" s="5" t="str">
        <f ca="1">IFERROR(__xludf.DUMMYFUNCTION("""COMPUTED_VALUE"""),"Handgun")</f>
        <v>Handgun</v>
      </c>
      <c r="C2156" s="5" t="str">
        <f ca="1">IFERROR(__xludf.DUMMYFUNCTION("""COMPUTED_VALUE"""),".25 caliber")</f>
        <v>.25 caliber</v>
      </c>
      <c r="D2156" s="5"/>
    </row>
    <row r="2157" spans="1:4" ht="13">
      <c r="A2157" s="5" t="str">
        <f ca="1">IFERROR(__xludf.DUMMYFUNCTION("""COMPUTED_VALUE"""),"19791130TXUNL")</f>
        <v>19791130TXUNL</v>
      </c>
      <c r="B2157" s="5" t="str">
        <f ca="1">IFERROR(__xludf.DUMMYFUNCTION("""COMPUTED_VALUE"""),"Handgun")</f>
        <v>Handgun</v>
      </c>
      <c r="C2157" s="5" t="str">
        <f ca="1">IFERROR(__xludf.DUMMYFUNCTION("""COMPUTED_VALUE"""),".22 caliber")</f>
        <v>.22 caliber</v>
      </c>
      <c r="D2157" s="5"/>
    </row>
    <row r="2158" spans="1:4" ht="13">
      <c r="A2158" s="5" t="str">
        <f ca="1">IFERROR(__xludf.DUMMYFUNCTION("""COMPUTED_VALUE"""),"19791105INWAI")</f>
        <v>19791105INWAI</v>
      </c>
      <c r="B2158" s="5" t="str">
        <f ca="1">IFERROR(__xludf.DUMMYFUNCTION("""COMPUTED_VALUE"""),"Handgun")</f>
        <v>Handgun</v>
      </c>
      <c r="C2158" s="5" t="str">
        <f ca="1">IFERROR(__xludf.DUMMYFUNCTION("""COMPUTED_VALUE"""),"Unknown")</f>
        <v>Unknown</v>
      </c>
      <c r="D2158" s="5"/>
    </row>
    <row r="2159" spans="1:4" ht="13">
      <c r="A2159" s="5" t="str">
        <f ca="1">IFERROR(__xludf.DUMMYFUNCTION("""COMPUTED_VALUE"""),"19791023MOOFS")</f>
        <v>19791023MOOFS</v>
      </c>
      <c r="B2159" s="5" t="str">
        <f ca="1">IFERROR(__xludf.DUMMYFUNCTION("""COMPUTED_VALUE"""),"Handgun")</f>
        <v>Handgun</v>
      </c>
      <c r="C2159" s="5" t="str">
        <f ca="1">IFERROR(__xludf.DUMMYFUNCTION("""COMPUTED_VALUE"""),"Unknown")</f>
        <v>Unknown</v>
      </c>
      <c r="D2159" s="5"/>
    </row>
    <row r="2160" spans="1:4" ht="13">
      <c r="A2160" s="5" t="str">
        <f ca="1">IFERROR(__xludf.DUMMYFUNCTION("""COMPUTED_VALUE"""),"19790928MACHC")</f>
        <v>19790928MACHC</v>
      </c>
      <c r="B2160" s="5" t="str">
        <f ca="1">IFERROR(__xludf.DUMMYFUNCTION("""COMPUTED_VALUE"""),"Rifle")</f>
        <v>Rifle</v>
      </c>
      <c r="C2160" s="5" t="str">
        <f ca="1">IFERROR(__xludf.DUMMYFUNCTION("""COMPUTED_VALUE"""),"Unknown")</f>
        <v>Unknown</v>
      </c>
      <c r="D2160" s="5"/>
    </row>
    <row r="2161" spans="1:4" ht="13">
      <c r="A2161" s="5" t="str">
        <f ca="1">IFERROR(__xludf.DUMMYFUNCTION("""COMPUTED_VALUE"""),"19790926LACAN")</f>
        <v>19790926LACAN</v>
      </c>
      <c r="B2161" s="5" t="str">
        <f ca="1">IFERROR(__xludf.DUMMYFUNCTION("""COMPUTED_VALUE"""),"Handgun")</f>
        <v>Handgun</v>
      </c>
      <c r="C2161" s="5" t="str">
        <f ca="1">IFERROR(__xludf.DUMMYFUNCTION("""COMPUTED_VALUE"""),".38 caliber")</f>
        <v>.38 caliber</v>
      </c>
      <c r="D2161" s="5"/>
    </row>
    <row r="2162" spans="1:4" ht="13">
      <c r="A2162" s="5" t="str">
        <f ca="1">IFERROR(__xludf.DUMMYFUNCTION("""COMPUTED_VALUE"""),"19790614OHNEN")</f>
        <v>19790614OHNEN</v>
      </c>
      <c r="B2162" s="5" t="str">
        <f ca="1">IFERROR(__xludf.DUMMYFUNCTION("""COMPUTED_VALUE"""),"Handgun")</f>
        <v>Handgun</v>
      </c>
      <c r="C2162" s="5" t="str">
        <f ca="1">IFERROR(__xludf.DUMMYFUNCTION("""COMPUTED_VALUE"""),".22 caliber")</f>
        <v>.22 caliber</v>
      </c>
      <c r="D2162" s="5"/>
    </row>
    <row r="2163" spans="1:4" ht="13">
      <c r="A2163" s="5" t="str">
        <f ca="1">IFERROR(__xludf.DUMMYFUNCTION("""COMPUTED_VALUE"""),"19790426TXAZA")</f>
        <v>19790426TXAZA</v>
      </c>
      <c r="B2163" s="5" t="str">
        <f ca="1">IFERROR(__xludf.DUMMYFUNCTION("""COMPUTED_VALUE"""),"Handgun")</f>
        <v>Handgun</v>
      </c>
      <c r="C2163" s="5" t="str">
        <f ca="1">IFERROR(__xludf.DUMMYFUNCTION("""COMPUTED_VALUE"""),".22 caliber")</f>
        <v>.22 caliber</v>
      </c>
      <c r="D2163" s="5"/>
    </row>
    <row r="2164" spans="1:4" ht="13">
      <c r="A2164" s="5" t="str">
        <f ca="1">IFERROR(__xludf.DUMMYFUNCTION("""COMPUTED_VALUE"""),"19790425PAMAH")</f>
        <v>19790425PAMAH</v>
      </c>
      <c r="B2164" s="5" t="str">
        <f ca="1">IFERROR(__xludf.DUMMYFUNCTION("""COMPUTED_VALUE"""),"Rifle")</f>
        <v>Rifle</v>
      </c>
      <c r="C2164" s="5" t="str">
        <f ca="1">IFERROR(__xludf.DUMMYFUNCTION("""COMPUTED_VALUE"""),"Unknown")</f>
        <v>Unknown</v>
      </c>
      <c r="D2164" s="5"/>
    </row>
    <row r="2165" spans="1:4" ht="13">
      <c r="A2165" s="5" t="str">
        <f ca="1">IFERROR(__xludf.DUMMYFUNCTION("""COMPUTED_VALUE"""),"19790416WIWIM")</f>
        <v>19790416WIWIM</v>
      </c>
      <c r="B2165" s="5" t="str">
        <f ca="1">IFERROR(__xludf.DUMMYFUNCTION("""COMPUTED_VALUE"""),"Shotgun")</f>
        <v>Shotgun</v>
      </c>
      <c r="C2165" s="5" t="str">
        <f ca="1">IFERROR(__xludf.DUMMYFUNCTION("""COMPUTED_VALUE"""),"Unknown")</f>
        <v>Unknown</v>
      </c>
      <c r="D2165" s="5"/>
    </row>
    <row r="2166" spans="1:4" ht="13">
      <c r="A2166" s="5" t="str">
        <f ca="1">IFERROR(__xludf.DUMMYFUNCTION("""COMPUTED_VALUE"""),"19790328CALOL")</f>
        <v>19790328CALOL</v>
      </c>
      <c r="B2166" s="5" t="str">
        <f ca="1">IFERROR(__xludf.DUMMYFUNCTION("""COMPUTED_VALUE"""),"Handgun")</f>
        <v>Handgun</v>
      </c>
      <c r="C2166" s="5" t="str">
        <f ca="1">IFERROR(__xludf.DUMMYFUNCTION("""COMPUTED_VALUE"""),"Unknown")</f>
        <v>Unknown</v>
      </c>
      <c r="D2166" s="5"/>
    </row>
    <row r="2167" spans="1:4" ht="13">
      <c r="A2167" s="5" t="str">
        <f ca="1">IFERROR(__xludf.DUMMYFUNCTION("""COMPUTED_VALUE"""),"19790314FLMCM")</f>
        <v>19790314FLMCM</v>
      </c>
      <c r="B2167" s="5" t="str">
        <f ca="1">IFERROR(__xludf.DUMMYFUNCTION("""COMPUTED_VALUE"""),"Handgun")</f>
        <v>Handgun</v>
      </c>
      <c r="C2167" s="5" t="str">
        <f ca="1">IFERROR(__xludf.DUMMYFUNCTION("""COMPUTED_VALUE"""),"Unknown")</f>
        <v>Unknown</v>
      </c>
      <c r="D2167" s="5"/>
    </row>
    <row r="2168" spans="1:4" ht="13">
      <c r="A2168" s="5" t="str">
        <f ca="1">IFERROR(__xludf.DUMMYFUNCTION("""COMPUTED_VALUE"""),"19790226CABAB")</f>
        <v>19790226CABAB</v>
      </c>
      <c r="B2168" s="5" t="str">
        <f ca="1">IFERROR(__xludf.DUMMYFUNCTION("""COMPUTED_VALUE"""),"Handgun")</f>
        <v>Handgun</v>
      </c>
      <c r="C2168" s="5"/>
      <c r="D2168" s="5" t="str">
        <f ca="1">IFERROR(__xludf.DUMMYFUNCTION("""COMPUTED_VALUE"""),"Pistol")</f>
        <v>Pistol</v>
      </c>
    </row>
    <row r="2169" spans="1:4" ht="13">
      <c r="A2169" s="5" t="str">
        <f ca="1">IFERROR(__xludf.DUMMYFUNCTION("""COMPUTED_VALUE"""),"19790129CAGRS")</f>
        <v>19790129CAGRS</v>
      </c>
      <c r="B2169" s="5" t="str">
        <f ca="1">IFERROR(__xludf.DUMMYFUNCTION("""COMPUTED_VALUE"""),"Rifle")</f>
        <v>Rifle</v>
      </c>
      <c r="C2169" s="5" t="str">
        <f ca="1">IFERROR(__xludf.DUMMYFUNCTION("""COMPUTED_VALUE"""),".22 caliber")</f>
        <v>.22 caliber</v>
      </c>
      <c r="D2169" s="5"/>
    </row>
    <row r="2170" spans="1:4" ht="13">
      <c r="A2170" s="5" t="str">
        <f ca="1">IFERROR(__xludf.DUMMYFUNCTION("""COMPUTED_VALUE"""),"19781214CTWIN")</f>
        <v>19781214CTWIN</v>
      </c>
      <c r="B2170" s="5" t="str">
        <f ca="1">IFERROR(__xludf.DUMMYFUNCTION("""COMPUTED_VALUE"""),"Handgun")</f>
        <v>Handgun</v>
      </c>
      <c r="C2170" s="5" t="str">
        <f ca="1">IFERROR(__xludf.DUMMYFUNCTION("""COMPUTED_VALUE"""),"Unknown")</f>
        <v>Unknown</v>
      </c>
      <c r="D2170" s="5"/>
    </row>
    <row r="2171" spans="1:4" ht="13">
      <c r="A2171" s="5" t="str">
        <f ca="1">IFERROR(__xludf.DUMMYFUNCTION("""COMPUTED_VALUE"""),"19781129NYPAN")</f>
        <v>19781129NYPAN</v>
      </c>
      <c r="B2171" s="5" t="str">
        <f ca="1">IFERROR(__xludf.DUMMYFUNCTION("""COMPUTED_VALUE"""),"Handgun")</f>
        <v>Handgun</v>
      </c>
      <c r="C2171" s="5" t="str">
        <f ca="1">IFERROR(__xludf.DUMMYFUNCTION("""COMPUTED_VALUE"""),".22 caliber")</f>
        <v>.22 caliber</v>
      </c>
      <c r="D2171" s="5"/>
    </row>
    <row r="2172" spans="1:4" ht="13">
      <c r="A2172" s="5" t="str">
        <f ca="1">IFERROR(__xludf.DUMMYFUNCTION("""COMPUTED_VALUE"""),"19781017MOUNU")</f>
        <v>19781017MOUNU</v>
      </c>
      <c r="B2172" s="5" t="str">
        <f ca="1">IFERROR(__xludf.DUMMYFUNCTION("""COMPUTED_VALUE"""),"Handgun")</f>
        <v>Handgun</v>
      </c>
      <c r="C2172" s="5" t="str">
        <f ca="1">IFERROR(__xludf.DUMMYFUNCTION("""COMPUTED_VALUE"""),"Unknown")</f>
        <v>Unknown</v>
      </c>
      <c r="D2172" s="5"/>
    </row>
    <row r="2173" spans="1:4" ht="13">
      <c r="A2173" s="5" t="str">
        <f ca="1">IFERROR(__xludf.DUMMYFUNCTION("""COMPUTED_VALUE"""),"19781017ALLAL")</f>
        <v>19781017ALLAL</v>
      </c>
      <c r="B2173" s="5" t="str">
        <f ca="1">IFERROR(__xludf.DUMMYFUNCTION("""COMPUTED_VALUE"""),"Handgun")</f>
        <v>Handgun</v>
      </c>
      <c r="C2173" s="5" t="str">
        <f ca="1">IFERROR(__xludf.DUMMYFUNCTION("""COMPUTED_VALUE"""),".22 caliber")</f>
        <v>.22 caliber</v>
      </c>
      <c r="D2173" s="5"/>
    </row>
    <row r="2174" spans="1:4" ht="13">
      <c r="A2174" s="5" t="str">
        <f ca="1">IFERROR(__xludf.DUMMYFUNCTION("""COMPUTED_VALUE"""),"19780610MAWEW")</f>
        <v>19780610MAWEW</v>
      </c>
      <c r="B2174" s="5" t="str">
        <f ca="1">IFERROR(__xludf.DUMMYFUNCTION("""COMPUTED_VALUE"""),"Handgun")</f>
        <v>Handgun</v>
      </c>
      <c r="C2174" s="5" t="str">
        <f ca="1">IFERROR(__xludf.DUMMYFUNCTION("""COMPUTED_VALUE"""),".22 caliber")</f>
        <v>.22 caliber</v>
      </c>
      <c r="D2174" s="5"/>
    </row>
    <row r="2175" spans="1:4" ht="13">
      <c r="A2175" s="5" t="str">
        <f ca="1">IFERROR(__xludf.DUMMYFUNCTION("""COMPUTED_VALUE"""),"19780607DEDOD")</f>
        <v>19780607DEDOD</v>
      </c>
      <c r="B2175" s="5" t="str">
        <f ca="1">IFERROR(__xludf.DUMMYFUNCTION("""COMPUTED_VALUE"""),"Handgun")</f>
        <v>Handgun</v>
      </c>
      <c r="C2175" s="5" t="str">
        <f ca="1">IFERROR(__xludf.DUMMYFUNCTION("""COMPUTED_VALUE"""),"Unknown")</f>
        <v>Unknown</v>
      </c>
      <c r="D2175" s="5"/>
    </row>
    <row r="2176" spans="1:4" ht="13">
      <c r="A2176" s="5" t="str">
        <f ca="1">IFERROR(__xludf.DUMMYFUNCTION("""COMPUTED_VALUE"""),"19780519PADOP")</f>
        <v>19780519PADOP</v>
      </c>
      <c r="B2176" s="5" t="str">
        <f ca="1">IFERROR(__xludf.DUMMYFUNCTION("""COMPUTED_VALUE"""),"Multiple Rifles")</f>
        <v>Multiple Rifles</v>
      </c>
      <c r="C2176" s="5" t="str">
        <f ca="1">IFERROR(__xludf.DUMMYFUNCTION("""COMPUTED_VALUE"""),"Unknown")</f>
        <v>Unknown</v>
      </c>
      <c r="D2176" s="5"/>
    </row>
    <row r="2177" spans="1:4" ht="13">
      <c r="A2177" s="5" t="str">
        <f ca="1">IFERROR(__xludf.DUMMYFUNCTION("""COMPUTED_VALUE"""),"19780518TXMUA")</f>
        <v>19780518TXMUA</v>
      </c>
      <c r="B2177" s="5" t="str">
        <f ca="1">IFERROR(__xludf.DUMMYFUNCTION("""COMPUTED_VALUE"""),"Rifle")</f>
        <v>Rifle</v>
      </c>
      <c r="C2177" s="5" t="str">
        <f ca="1">IFERROR(__xludf.DUMMYFUNCTION("""COMPUTED_VALUE"""),".22 caliber")</f>
        <v>.22 caliber</v>
      </c>
      <c r="D2177" s="5"/>
    </row>
    <row r="2178" spans="1:4" ht="13">
      <c r="A2178" s="5" t="str">
        <f ca="1">IFERROR(__xludf.DUMMYFUNCTION("""COMPUTED_VALUE"""),"19780428ILRIN")</f>
        <v>19780428ILRIN</v>
      </c>
      <c r="B2178" s="5" t="str">
        <f ca="1">IFERROR(__xludf.DUMMYFUNCTION("""COMPUTED_VALUE"""),"Handgun")</f>
        <v>Handgun</v>
      </c>
      <c r="C2178" s="5" t="str">
        <f ca="1">IFERROR(__xludf.DUMMYFUNCTION("""COMPUTED_VALUE"""),"Unknown")</f>
        <v>Unknown</v>
      </c>
      <c r="D2178" s="5"/>
    </row>
    <row r="2179" spans="1:4" ht="13">
      <c r="A2179" s="5" t="str">
        <f ca="1">IFERROR(__xludf.DUMMYFUNCTION("""COMPUTED_VALUE"""),"19780426TXPAD")</f>
        <v>19780426TXPAD</v>
      </c>
      <c r="B2179" s="5" t="str">
        <f ca="1">IFERROR(__xludf.DUMMYFUNCTION("""COMPUTED_VALUE"""),"Handgun")</f>
        <v>Handgun</v>
      </c>
      <c r="C2179" s="5" t="str">
        <f ca="1">IFERROR(__xludf.DUMMYFUNCTION("""COMPUTED_VALUE"""),".38 caliber")</f>
        <v>.38 caliber</v>
      </c>
      <c r="D2179" s="5"/>
    </row>
    <row r="2180" spans="1:4" ht="13">
      <c r="A2180" s="5" t="str">
        <f ca="1">IFERROR(__xludf.DUMMYFUNCTION("""COMPUTED_VALUE"""),"19780414MIFOD")</f>
        <v>19780414MIFOD</v>
      </c>
      <c r="B2180" s="5" t="str">
        <f ca="1">IFERROR(__xludf.DUMMYFUNCTION("""COMPUTED_VALUE"""),"Handgun")</f>
        <v>Handgun</v>
      </c>
      <c r="C2180" s="5" t="str">
        <f ca="1">IFERROR(__xludf.DUMMYFUNCTION("""COMPUTED_VALUE"""),"Unknown")</f>
        <v>Unknown</v>
      </c>
      <c r="D2180" s="5"/>
    </row>
    <row r="2181" spans="1:4" ht="13">
      <c r="A2181" s="5" t="str">
        <f ca="1">IFERROR(__xludf.DUMMYFUNCTION("""COMPUTED_VALUE"""),"19780329TNGAN")</f>
        <v>19780329TNGAN</v>
      </c>
      <c r="B2181" s="5" t="str">
        <f ca="1">IFERROR(__xludf.DUMMYFUNCTION("""COMPUTED_VALUE"""),"Handgun")</f>
        <v>Handgun</v>
      </c>
      <c r="C2181" s="5" t="str">
        <f ca="1">IFERROR(__xludf.DUMMYFUNCTION("""COMPUTED_VALUE"""),"Unknown")</f>
        <v>Unknown</v>
      </c>
      <c r="D2181" s="5"/>
    </row>
    <row r="2182" spans="1:4" ht="13">
      <c r="A2182" s="5" t="str">
        <f ca="1">IFERROR(__xludf.DUMMYFUNCTION("""COMPUTED_VALUE"""),"19780309CAMOS")</f>
        <v>19780309CAMOS</v>
      </c>
      <c r="B2182" s="5" t="str">
        <f ca="1">IFERROR(__xludf.DUMMYFUNCTION("""COMPUTED_VALUE"""),"Rifle")</f>
        <v>Rifle</v>
      </c>
      <c r="C2182" s="5" t="str">
        <f ca="1">IFERROR(__xludf.DUMMYFUNCTION("""COMPUTED_VALUE"""),".22 caliber")</f>
        <v>.22 caliber</v>
      </c>
      <c r="D2182" s="5"/>
    </row>
    <row r="2183" spans="1:4" ht="13">
      <c r="A2183" s="5" t="str">
        <f ca="1">IFERROR(__xludf.DUMMYFUNCTION("""COMPUTED_VALUE"""),"19780222MIEVL")</f>
        <v>19780222MIEVL</v>
      </c>
      <c r="B2183" s="5" t="str">
        <f ca="1">IFERROR(__xludf.DUMMYFUNCTION("""COMPUTED_VALUE"""),"Handgun")</f>
        <v>Handgun</v>
      </c>
      <c r="C2183" s="5" t="str">
        <f ca="1">IFERROR(__xludf.DUMMYFUNCTION("""COMPUTED_VALUE"""),".22 caliber")</f>
        <v>.22 caliber</v>
      </c>
      <c r="D2183" s="5"/>
    </row>
    <row r="2184" spans="1:4" ht="13">
      <c r="A2184" s="5" t="str">
        <f ca="1">IFERROR(__xludf.DUMMYFUNCTION("""COMPUTED_VALUE"""),"19780209WVHAS")</f>
        <v>19780209WVHAS</v>
      </c>
      <c r="B2184" s="5" t="str">
        <f ca="1">IFERROR(__xludf.DUMMYFUNCTION("""COMPUTED_VALUE"""),"Handgun")</f>
        <v>Handgun</v>
      </c>
      <c r="C2184" s="5" t="str">
        <f ca="1">IFERROR(__xludf.DUMMYFUNCTION("""COMPUTED_VALUE"""),".22 caliber")</f>
        <v>.22 caliber</v>
      </c>
      <c r="D2184" s="5"/>
    </row>
    <row r="2185" spans="1:4" ht="13">
      <c r="A2185" s="5" t="str">
        <f ca="1">IFERROR(__xludf.DUMMYFUNCTION("""COMPUTED_VALUE"""),"19780111KYCHH")</f>
        <v>19780111KYCHH</v>
      </c>
      <c r="B2185" s="5" t="str">
        <f ca="1">IFERROR(__xludf.DUMMYFUNCTION("""COMPUTED_VALUE"""),"Handgun")</f>
        <v>Handgun</v>
      </c>
      <c r="C2185" s="5" t="str">
        <f ca="1">IFERROR(__xludf.DUMMYFUNCTION("""COMPUTED_VALUE"""),".32 caliber")</f>
        <v>.32 caliber</v>
      </c>
      <c r="D2185" s="5"/>
    </row>
    <row r="2186" spans="1:4" ht="13">
      <c r="A2186" s="5" t="str">
        <f ca="1">IFERROR(__xludf.DUMMYFUNCTION("""COMPUTED_VALUE"""),"19771215MABLC")</f>
        <v>19771215MABLC</v>
      </c>
      <c r="B2186" s="5" t="str">
        <f ca="1">IFERROR(__xludf.DUMMYFUNCTION("""COMPUTED_VALUE"""),"No Data")</f>
        <v>No Data</v>
      </c>
      <c r="C2186" s="5"/>
      <c r="D2186" s="5"/>
    </row>
    <row r="2187" spans="1:4" ht="13">
      <c r="A2187" s="5" t="str">
        <f ca="1">IFERROR(__xludf.DUMMYFUNCTION("""COMPUTED_VALUE"""),"19771212FLWEW")</f>
        <v>19771212FLWEW</v>
      </c>
      <c r="B2187" s="5" t="str">
        <f ca="1">IFERROR(__xludf.DUMMYFUNCTION("""COMPUTED_VALUE"""),"Handgun")</f>
        <v>Handgun</v>
      </c>
      <c r="C2187" s="5" t="str">
        <f ca="1">IFERROR(__xludf.DUMMYFUNCTION("""COMPUTED_VALUE"""),"Unknown")</f>
        <v>Unknown</v>
      </c>
      <c r="D2187" s="5"/>
    </row>
    <row r="2188" spans="1:4" ht="13">
      <c r="A2188" s="5" t="str">
        <f ca="1">IFERROR(__xludf.DUMMYFUNCTION("""COMPUTED_VALUE"""),"19771209CAPES")</f>
        <v>19771209CAPES</v>
      </c>
      <c r="B2188" s="5" t="str">
        <f ca="1">IFERROR(__xludf.DUMMYFUNCTION("""COMPUTED_VALUE"""),"Handgun")</f>
        <v>Handgun</v>
      </c>
      <c r="C2188" s="5" t="str">
        <f ca="1">IFERROR(__xludf.DUMMYFUNCTION("""COMPUTED_VALUE"""),".22 caliber")</f>
        <v>.22 caliber</v>
      </c>
      <c r="D2188" s="5"/>
    </row>
    <row r="2189" spans="1:4" ht="13">
      <c r="A2189" s="5" t="str">
        <f ca="1">IFERROR(__xludf.DUMMYFUNCTION("""COMPUTED_VALUE"""),"19771129MOVAS")</f>
        <v>19771129MOVAS</v>
      </c>
      <c r="B2189" s="5" t="str">
        <f ca="1">IFERROR(__xludf.DUMMYFUNCTION("""COMPUTED_VALUE"""),"No Data")</f>
        <v>No Data</v>
      </c>
      <c r="C2189" s="5"/>
      <c r="D2189" s="5"/>
    </row>
    <row r="2190" spans="1:4" ht="13">
      <c r="A2190" s="5" t="str">
        <f ca="1">IFERROR(__xludf.DUMMYFUNCTION("""COMPUTED_VALUE"""),"19771129MOHAS")</f>
        <v>19771129MOHAS</v>
      </c>
      <c r="B2190" s="5" t="str">
        <f ca="1">IFERROR(__xludf.DUMMYFUNCTION("""COMPUTED_VALUE"""),"Rifle")</f>
        <v>Rifle</v>
      </c>
      <c r="C2190" s="5" t="str">
        <f ca="1">IFERROR(__xludf.DUMMYFUNCTION("""COMPUTED_VALUE"""),".22 caliber")</f>
        <v>.22 caliber</v>
      </c>
      <c r="D2190" s="5"/>
    </row>
    <row r="2191" spans="1:4" ht="13">
      <c r="A2191" s="5" t="str">
        <f ca="1">IFERROR(__xludf.DUMMYFUNCTION("""COMPUTED_VALUE"""),"19770711COSOC")</f>
        <v>19770711COSOC</v>
      </c>
      <c r="B2191" s="5" t="str">
        <f ca="1">IFERROR(__xludf.DUMMYFUNCTION("""COMPUTED_VALUE"""),"Handgun")</f>
        <v>Handgun</v>
      </c>
      <c r="C2191" s="5" t="str">
        <f ca="1">IFERROR(__xludf.DUMMYFUNCTION("""COMPUTED_VALUE"""),".32 caliber")</f>
        <v>.32 caliber</v>
      </c>
      <c r="D2191" s="5"/>
    </row>
    <row r="2192" spans="1:4" ht="13">
      <c r="A2192" s="5" t="str">
        <f ca="1">IFERROR(__xludf.DUMMYFUNCTION("""COMPUTED_VALUE"""),"19770622ILHOC")</f>
        <v>19770622ILHOC</v>
      </c>
      <c r="B2192" s="5" t="str">
        <f ca="1">IFERROR(__xludf.DUMMYFUNCTION("""COMPUTED_VALUE"""),"No Data")</f>
        <v>No Data</v>
      </c>
      <c r="C2192" s="5"/>
      <c r="D2192" s="5"/>
    </row>
    <row r="2193" spans="1:4" ht="13">
      <c r="A2193" s="5" t="str">
        <f ca="1">IFERROR(__xludf.DUMMYFUNCTION("""COMPUTED_VALUE"""),"19770517FLSTC")</f>
        <v>19770517FLSTC</v>
      </c>
      <c r="B2193" s="5" t="str">
        <f ca="1">IFERROR(__xludf.DUMMYFUNCTION("""COMPUTED_VALUE"""),"Rifle")</f>
        <v>Rifle</v>
      </c>
      <c r="C2193" s="5" t="str">
        <f ca="1">IFERROR(__xludf.DUMMYFUNCTION("""COMPUTED_VALUE"""),".22 caliber")</f>
        <v>.22 caliber</v>
      </c>
      <c r="D2193" s="5"/>
    </row>
    <row r="2194" spans="1:4" ht="13">
      <c r="A2194" s="5" t="str">
        <f ca="1">IFERROR(__xludf.DUMMYFUNCTION("""COMPUTED_VALUE"""),"19770418TNPIN")</f>
        <v>19770418TNPIN</v>
      </c>
      <c r="B2194" s="5" t="str">
        <f ca="1">IFERROR(__xludf.DUMMYFUNCTION("""COMPUTED_VALUE"""),"Handgun")</f>
        <v>Handgun</v>
      </c>
      <c r="C2194" s="5" t="str">
        <f ca="1">IFERROR(__xludf.DUMMYFUNCTION("""COMPUTED_VALUE"""),"Unknown")</f>
        <v>Unknown</v>
      </c>
      <c r="D2194" s="5"/>
    </row>
    <row r="2195" spans="1:4" ht="13">
      <c r="A2195" s="5" t="str">
        <f ca="1">IFERROR(__xludf.DUMMYFUNCTION("""COMPUTED_VALUE"""),"19770407TXWHW")</f>
        <v>19770407TXWHW</v>
      </c>
      <c r="B2195" s="5" t="str">
        <f ca="1">IFERROR(__xludf.DUMMYFUNCTION("""COMPUTED_VALUE"""),"Handgun")</f>
        <v>Handgun</v>
      </c>
      <c r="C2195" s="5" t="str">
        <f ca="1">IFERROR(__xludf.DUMMYFUNCTION("""COMPUTED_VALUE"""),".38 caliber")</f>
        <v>.38 caliber</v>
      </c>
      <c r="D2195" s="5"/>
    </row>
    <row r="2196" spans="1:4" ht="13">
      <c r="A2196" s="5" t="str">
        <f ca="1">IFERROR(__xludf.DUMMYFUNCTION("""COMPUTED_VALUE"""),"19770321NYPAH")</f>
        <v>19770321NYPAH</v>
      </c>
      <c r="B2196" s="5" t="str">
        <f ca="1">IFERROR(__xludf.DUMMYFUNCTION("""COMPUTED_VALUE"""),"Rifle")</f>
        <v>Rifle</v>
      </c>
      <c r="C2196" s="5" t="str">
        <f ca="1">IFERROR(__xludf.DUMMYFUNCTION("""COMPUTED_VALUE"""),".22 caliber")</f>
        <v>.22 caliber</v>
      </c>
      <c r="D2196" s="5"/>
    </row>
    <row r="2197" spans="1:4" ht="13">
      <c r="A2197" s="5" t="str">
        <f ca="1">IFERROR(__xludf.DUMMYFUNCTION("""COMPUTED_VALUE"""),"19770308ILCOE")</f>
        <v>19770308ILCOE</v>
      </c>
      <c r="B2197" s="5" t="str">
        <f ca="1">IFERROR(__xludf.DUMMYFUNCTION("""COMPUTED_VALUE"""),"Handgun")</f>
        <v>Handgun</v>
      </c>
      <c r="C2197" s="5" t="str">
        <f ca="1">IFERROR(__xludf.DUMMYFUNCTION("""COMPUTED_VALUE"""),".25 caliber")</f>
        <v>.25 caliber</v>
      </c>
      <c r="D2197" s="5"/>
    </row>
    <row r="2198" spans="1:4" ht="13">
      <c r="A2198" s="5" t="str">
        <f ca="1">IFERROR(__xludf.DUMMYFUNCTION("""COMPUTED_VALUE"""),"19770228TXHOA")</f>
        <v>19770228TXHOA</v>
      </c>
      <c r="B2198" s="5" t="str">
        <f ca="1">IFERROR(__xludf.DUMMYFUNCTION("""COMPUTED_VALUE"""),"Handgun")</f>
        <v>Handgun</v>
      </c>
      <c r="C2198" s="5" t="str">
        <f ca="1">IFERROR(__xludf.DUMMYFUNCTION("""COMPUTED_VALUE"""),"Unknown")</f>
        <v>Unknown</v>
      </c>
      <c r="D2198" s="5"/>
    </row>
    <row r="2199" spans="1:4" ht="13">
      <c r="A2199" s="5" t="str">
        <f ca="1">IFERROR(__xludf.DUMMYFUNCTION("""COMPUTED_VALUE"""),"19770228MOROS")</f>
        <v>19770228MOROS</v>
      </c>
      <c r="B2199" s="5" t="str">
        <f ca="1">IFERROR(__xludf.DUMMYFUNCTION("""COMPUTED_VALUE"""),"No Data")</f>
        <v>No Data</v>
      </c>
      <c r="C2199" s="5"/>
      <c r="D2199" s="5"/>
    </row>
    <row r="2200" spans="1:4" ht="13">
      <c r="A2200" s="5" t="str">
        <f ca="1">IFERROR(__xludf.DUMMYFUNCTION("""COMPUTED_VALUE"""),"19770209ILFEC")</f>
        <v>19770209ILFEC</v>
      </c>
      <c r="B2200" s="5" t="str">
        <f ca="1">IFERROR(__xludf.DUMMYFUNCTION("""COMPUTED_VALUE"""),"Handgun")</f>
        <v>Handgun</v>
      </c>
      <c r="C2200" s="5" t="str">
        <f ca="1">IFERROR(__xludf.DUMMYFUNCTION("""COMPUTED_VALUE"""),"Unknown")</f>
        <v>Unknown</v>
      </c>
      <c r="D2200" s="5"/>
    </row>
    <row r="2201" spans="1:4" ht="13">
      <c r="A2201" s="5" t="str">
        <f ca="1">IFERROR(__xludf.DUMMYFUNCTION("""COMPUTED_VALUE"""),"19770113ILOLB")</f>
        <v>19770113ILOLB</v>
      </c>
      <c r="B2201" s="5" t="str">
        <f ca="1">IFERROR(__xludf.DUMMYFUNCTION("""COMPUTED_VALUE"""),"Handgun")</f>
        <v>Handgun</v>
      </c>
      <c r="C2201" s="5" t="str">
        <f ca="1">IFERROR(__xludf.DUMMYFUNCTION("""COMPUTED_VALUE"""),"Unknown")</f>
        <v>Unknown</v>
      </c>
      <c r="D2201" s="5"/>
    </row>
    <row r="2202" spans="1:4" ht="13">
      <c r="A2202" s="5" t="str">
        <f ca="1">IFERROR(__xludf.DUMMYFUNCTION("""COMPUTED_VALUE"""),"19761210MOFRS")</f>
        <v>19761210MOFRS</v>
      </c>
      <c r="B2202" s="5" t="str">
        <f ca="1">IFERROR(__xludf.DUMMYFUNCTION("""COMPUTED_VALUE"""),"Handgun")</f>
        <v>Handgun</v>
      </c>
      <c r="C2202" s="5" t="str">
        <f ca="1">IFERROR(__xludf.DUMMYFUNCTION("""COMPUTED_VALUE"""),".38 caliber")</f>
        <v>.38 caliber</v>
      </c>
      <c r="D2202" s="5"/>
    </row>
    <row r="2203" spans="1:4" ht="13">
      <c r="A2203" s="5" t="str">
        <f ca="1">IFERROR(__xludf.DUMMYFUNCTION("""COMPUTED_VALUE"""),"19761110MIBUD")</f>
        <v>19761110MIBUD</v>
      </c>
      <c r="B2203" s="5" t="str">
        <f ca="1">IFERROR(__xludf.DUMMYFUNCTION("""COMPUTED_VALUE"""),"Handgun")</f>
        <v>Handgun</v>
      </c>
      <c r="C2203" s="5" t="str">
        <f ca="1">IFERROR(__xludf.DUMMYFUNCTION("""COMPUTED_VALUE"""),"Unknown")</f>
        <v>Unknown</v>
      </c>
      <c r="D2203" s="5"/>
    </row>
    <row r="2204" spans="1:4" ht="13">
      <c r="A2204" s="5" t="str">
        <f ca="1">IFERROR(__xludf.DUMMYFUNCTION("""COMPUTED_VALUE"""),"19760920NCGUG")</f>
        <v>19760920NCGUG</v>
      </c>
      <c r="B2204" s="5" t="str">
        <f ca="1">IFERROR(__xludf.DUMMYFUNCTION("""COMPUTED_VALUE"""),"Shotgun")</f>
        <v>Shotgun</v>
      </c>
      <c r="C2204" s="5" t="str">
        <f ca="1">IFERROR(__xludf.DUMMYFUNCTION("""COMPUTED_VALUE"""),"Unknown")</f>
        <v>Unknown</v>
      </c>
      <c r="D2204" s="5"/>
    </row>
    <row r="2205" spans="1:4" ht="13">
      <c r="A2205" s="5" t="str">
        <f ca="1">IFERROR(__xludf.DUMMYFUNCTION("""COMPUTED_VALUE"""),"19760602MDMTC")</f>
        <v>19760602MDMTC</v>
      </c>
      <c r="B2205" s="5" t="str">
        <f ca="1">IFERROR(__xludf.DUMMYFUNCTION("""COMPUTED_VALUE"""),"No Data")</f>
        <v>No Data</v>
      </c>
      <c r="C2205" s="5"/>
      <c r="D2205" s="5"/>
    </row>
    <row r="2206" spans="1:4" ht="13">
      <c r="A2206" s="5" t="str">
        <f ca="1">IFERROR(__xludf.DUMMYFUNCTION("""COMPUTED_VALUE"""),"19760514FLPAW")</f>
        <v>19760514FLPAW</v>
      </c>
      <c r="B2206" s="5" t="str">
        <f ca="1">IFERROR(__xludf.DUMMYFUNCTION("""COMPUTED_VALUE"""),"Handgun")</f>
        <v>Handgun</v>
      </c>
      <c r="C2206" s="5" t="str">
        <f ca="1">IFERROR(__xludf.DUMMYFUNCTION("""COMPUTED_VALUE"""),".38 caliber")</f>
        <v>.38 caliber</v>
      </c>
      <c r="D2206" s="5"/>
    </row>
    <row r="2207" spans="1:4" ht="13">
      <c r="A2207" s="5" t="str">
        <f ca="1">IFERROR(__xludf.DUMMYFUNCTION("""COMPUTED_VALUE"""),"19760513MOMAS")</f>
        <v>19760513MOMAS</v>
      </c>
      <c r="B2207" s="5" t="str">
        <f ca="1">IFERROR(__xludf.DUMMYFUNCTION("""COMPUTED_VALUE"""),"Handgun")</f>
        <v>Handgun</v>
      </c>
      <c r="C2207" s="5" t="str">
        <f ca="1">IFERROR(__xludf.DUMMYFUNCTION("""COMPUTED_VALUE"""),"Unknown")</f>
        <v>Unknown</v>
      </c>
      <c r="D2207" s="5"/>
    </row>
    <row r="2208" spans="1:4" ht="13">
      <c r="A2208" s="5" t="str">
        <f ca="1">IFERROR(__xludf.DUMMYFUNCTION("""COMPUTED_VALUE"""),"19760412TXODF")</f>
        <v>19760412TXODF</v>
      </c>
      <c r="B2208" s="5" t="str">
        <f ca="1">IFERROR(__xludf.DUMMYFUNCTION("""COMPUTED_VALUE"""),"Handgun")</f>
        <v>Handgun</v>
      </c>
      <c r="C2208" s="5" t="str">
        <f ca="1">IFERROR(__xludf.DUMMYFUNCTION("""COMPUTED_VALUE"""),"Unknown")</f>
        <v>Unknown</v>
      </c>
      <c r="D2208" s="5"/>
    </row>
    <row r="2209" spans="1:4" ht="13">
      <c r="A2209" s="5" t="str">
        <f ca="1">IFERROR(__xludf.DUMMYFUNCTION("""COMPUTED_VALUE"""),"19760212MIMUD")</f>
        <v>19760212MIMUD</v>
      </c>
      <c r="B2209" s="5" t="str">
        <f ca="1">IFERROR(__xludf.DUMMYFUNCTION("""COMPUTED_VALUE"""),"Handgun")</f>
        <v>Handgun</v>
      </c>
      <c r="C2209" s="5" t="str">
        <f ca="1">IFERROR(__xludf.DUMMYFUNCTION("""COMPUTED_VALUE"""),"Unknown")</f>
        <v>Unknown</v>
      </c>
      <c r="D2209" s="5"/>
    </row>
    <row r="2210" spans="1:4" ht="13">
      <c r="A2210" s="5" t="str">
        <f ca="1">IFERROR(__xludf.DUMMYFUNCTION("""COMPUTED_VALUE"""),"19760206FLESP")</f>
        <v>19760206FLESP</v>
      </c>
      <c r="B2210" s="5" t="str">
        <f ca="1">IFERROR(__xludf.DUMMYFUNCTION("""COMPUTED_VALUE"""),"No Data")</f>
        <v>No Data</v>
      </c>
      <c r="C2210" s="5"/>
      <c r="D2210" s="5"/>
    </row>
    <row r="2211" spans="1:4" ht="13">
      <c r="A2211" s="5" t="str">
        <f ca="1">IFERROR(__xludf.DUMMYFUNCTION("""COMPUTED_VALUE"""),"19760123OHCOC")</f>
        <v>19760123OHCOC</v>
      </c>
      <c r="B2211" s="5" t="str">
        <f ca="1">IFERROR(__xludf.DUMMYFUNCTION("""COMPUTED_VALUE"""),"Handgun")</f>
        <v>Handgun</v>
      </c>
      <c r="C2211" s="5" t="str">
        <f ca="1">IFERROR(__xludf.DUMMYFUNCTION("""COMPUTED_VALUE"""),".25 caliber")</f>
        <v>.25 caliber</v>
      </c>
      <c r="D2211" s="5"/>
    </row>
    <row r="2212" spans="1:4" ht="13">
      <c r="A2212" s="5" t="str">
        <f ca="1">IFERROR(__xludf.DUMMYFUNCTION("""COMPUTED_VALUE"""),"19760101AZCAP")</f>
        <v>19760101AZCAP</v>
      </c>
      <c r="B2212" s="5" t="str">
        <f ca="1">IFERROR(__xludf.DUMMYFUNCTION("""COMPUTED_VALUE"""),"Rifle")</f>
        <v>Rifle</v>
      </c>
      <c r="C2212" s="5" t="str">
        <f ca="1">IFERROR(__xludf.DUMMYFUNCTION("""COMPUTED_VALUE"""),".22 caliber")</f>
        <v>.22 caliber</v>
      </c>
      <c r="D2212" s="5"/>
    </row>
    <row r="2213" spans="1:4" ht="13">
      <c r="A2213" s="5" t="str">
        <f ca="1">IFERROR(__xludf.DUMMYFUNCTION("""COMPUTED_VALUE"""),"19751218CAORS")</f>
        <v>19751218CAORS</v>
      </c>
      <c r="B2213" s="5" t="str">
        <f ca="1">IFERROR(__xludf.DUMMYFUNCTION("""COMPUTED_VALUE"""),"Rifle")</f>
        <v>Rifle</v>
      </c>
      <c r="C2213" s="5" t="str">
        <f ca="1">IFERROR(__xludf.DUMMYFUNCTION("""COMPUTED_VALUE"""),".22 caliber")</f>
        <v>.22 caliber</v>
      </c>
      <c r="D2213" s="5"/>
    </row>
    <row r="2214" spans="1:4" ht="13">
      <c r="A2214" s="5" t="str">
        <f ca="1">IFERROR(__xludf.DUMMYFUNCTION("""COMPUTED_VALUE"""),"19751024GAMUA")</f>
        <v>19751024GAMUA</v>
      </c>
      <c r="B2214" s="5" t="str">
        <f ca="1">IFERROR(__xludf.DUMMYFUNCTION("""COMPUTED_VALUE"""),"Handgun")</f>
        <v>Handgun</v>
      </c>
      <c r="C2214" s="5" t="str">
        <f ca="1">IFERROR(__xludf.DUMMYFUNCTION("""COMPUTED_VALUE"""),".38 caliber")</f>
        <v>.38 caliber</v>
      </c>
      <c r="D2214" s="5"/>
    </row>
    <row r="2215" spans="1:4" ht="13">
      <c r="A2215" s="5" t="str">
        <f ca="1">IFERROR(__xludf.DUMMYFUNCTION("""COMPUTED_VALUE"""),"19751001NMHEA")</f>
        <v>19751001NMHEA</v>
      </c>
      <c r="B2215" s="5" t="str">
        <f ca="1">IFERROR(__xludf.DUMMYFUNCTION("""COMPUTED_VALUE"""),"Handgun")</f>
        <v>Handgun</v>
      </c>
      <c r="C2215" s="5" t="str">
        <f ca="1">IFERROR(__xludf.DUMMYFUNCTION("""COMPUTED_VALUE"""),".38 caliber")</f>
        <v>.38 caliber</v>
      </c>
      <c r="D2215" s="5"/>
    </row>
    <row r="2216" spans="1:4" ht="13">
      <c r="A2216" s="5" t="str">
        <f ca="1">IFERROR(__xludf.DUMMYFUNCTION("""COMPUTED_VALUE"""),"19750911OKGRO")</f>
        <v>19750911OKGRO</v>
      </c>
      <c r="B2216" s="5" t="str">
        <f ca="1">IFERROR(__xludf.DUMMYFUNCTION("""COMPUTED_VALUE"""),"Unknown")</f>
        <v>Unknown</v>
      </c>
      <c r="C2216" s="5" t="str">
        <f ca="1">IFERROR(__xludf.DUMMYFUNCTION("""COMPUTED_VALUE"""),"Unknown")</f>
        <v>Unknown</v>
      </c>
      <c r="D2216" s="5"/>
    </row>
    <row r="2217" spans="1:4" ht="13">
      <c r="A2217" s="5" t="str">
        <f ca="1">IFERROR(__xludf.DUMMYFUNCTION("""COMPUTED_VALUE"""),"19750711MOCES")</f>
        <v>19750711MOCES</v>
      </c>
      <c r="B2217" s="5" t="str">
        <f ca="1">IFERROR(__xludf.DUMMYFUNCTION("""COMPUTED_VALUE"""),"Handgun")</f>
        <v>Handgun</v>
      </c>
      <c r="C2217" s="5" t="str">
        <f ca="1">IFERROR(__xludf.DUMMYFUNCTION("""COMPUTED_VALUE"""),"Unknown")</f>
        <v>Unknown</v>
      </c>
      <c r="D2217" s="5"/>
    </row>
    <row r="2218" spans="1:4" ht="13">
      <c r="A2218" s="5" t="str">
        <f ca="1">IFERROR(__xludf.DUMMYFUNCTION("""COMPUTED_VALUE"""),"19750709ILDEC")</f>
        <v>19750709ILDEC</v>
      </c>
      <c r="B2218" s="5" t="str">
        <f ca="1">IFERROR(__xludf.DUMMYFUNCTION("""COMPUTED_VALUE"""),"No Data")</f>
        <v>No Data</v>
      </c>
      <c r="C2218" s="5"/>
      <c r="D2218" s="5"/>
    </row>
    <row r="2219" spans="1:4" ht="13">
      <c r="A2219" s="5" t="str">
        <f ca="1">IFERROR(__xludf.DUMMYFUNCTION("""COMPUTED_VALUE"""),"19750527MIPID")</f>
        <v>19750527MIPID</v>
      </c>
      <c r="B2219" s="5" t="str">
        <f ca="1">IFERROR(__xludf.DUMMYFUNCTION("""COMPUTED_VALUE"""),"Rifle")</f>
        <v>Rifle</v>
      </c>
      <c r="C2219" s="5" t="str">
        <f ca="1">IFERROR(__xludf.DUMMYFUNCTION("""COMPUTED_VALUE"""),"Unknown")</f>
        <v>Unknown</v>
      </c>
      <c r="D2219" s="5"/>
    </row>
    <row r="2220" spans="1:4" ht="13">
      <c r="A2220" s="5" t="str">
        <f ca="1">IFERROR(__xludf.DUMMYFUNCTION("""COMPUTED_VALUE"""),"19750515MOROS")</f>
        <v>19750515MOROS</v>
      </c>
      <c r="B2220" s="5" t="str">
        <f ca="1">IFERROR(__xludf.DUMMYFUNCTION("""COMPUTED_VALUE"""),"Handgun")</f>
        <v>Handgun</v>
      </c>
      <c r="C2220" s="5" t="str">
        <f ca="1">IFERROR(__xludf.DUMMYFUNCTION("""COMPUTED_VALUE"""),".32 caliber")</f>
        <v>.32 caliber</v>
      </c>
      <c r="D2220" s="5"/>
    </row>
    <row r="2221" spans="1:4" ht="13">
      <c r="A2221" s="5" t="str">
        <f ca="1">IFERROR(__xludf.DUMMYFUNCTION("""COMPUTED_VALUE"""),"19750321VAFAR")</f>
        <v>19750321VAFAR</v>
      </c>
      <c r="B2221" s="5" t="str">
        <f ca="1">IFERROR(__xludf.DUMMYFUNCTION("""COMPUTED_VALUE"""),"Rifle")</f>
        <v>Rifle</v>
      </c>
      <c r="C2221" s="5" t="str">
        <f ca="1">IFERROR(__xludf.DUMMYFUNCTION("""COMPUTED_VALUE"""),".22 caliber")</f>
        <v>.22 caliber</v>
      </c>
      <c r="D2221" s="5"/>
    </row>
    <row r="2222" spans="1:4" ht="13">
      <c r="A2222" s="5" t="str">
        <f ca="1">IFERROR(__xludf.DUMMYFUNCTION("""COMPUTED_VALUE"""),"19750321OHPAD")</f>
        <v>19750321OHPAD</v>
      </c>
      <c r="B2222" s="5" t="str">
        <f ca="1">IFERROR(__xludf.DUMMYFUNCTION("""COMPUTED_VALUE"""),"Handgun")</f>
        <v>Handgun</v>
      </c>
      <c r="C2222" s="5" t="str">
        <f ca="1">IFERROR(__xludf.DUMMYFUNCTION("""COMPUTED_VALUE"""),".22 caliber")</f>
        <v>.22 caliber</v>
      </c>
      <c r="D2222" s="5"/>
    </row>
    <row r="2223" spans="1:4" ht="13">
      <c r="A2223" s="5" t="str">
        <f ca="1">IFERROR(__xludf.DUMMYFUNCTION("""COMPUTED_VALUE"""),"19750318MOSUS")</f>
        <v>19750318MOSUS</v>
      </c>
      <c r="B2223" s="5" t="str">
        <f ca="1">IFERROR(__xludf.DUMMYFUNCTION("""COMPUTED_VALUE"""),"Unknown")</f>
        <v>Unknown</v>
      </c>
      <c r="C2223" s="5" t="str">
        <f ca="1">IFERROR(__xludf.DUMMYFUNCTION("""COMPUTED_VALUE"""),"Unknown")</f>
        <v>Unknown</v>
      </c>
      <c r="D2223" s="5"/>
    </row>
    <row r="2224" spans="1:4" ht="13">
      <c r="A2224" s="5" t="str">
        <f ca="1">IFERROR(__xludf.DUMMYFUNCTION("""COMPUTED_VALUE"""),"19750312TXJOH")</f>
        <v>19750312TXJOH</v>
      </c>
      <c r="B2224" s="5" t="str">
        <f ca="1">IFERROR(__xludf.DUMMYFUNCTION("""COMPUTED_VALUE"""),"Handgun")</f>
        <v>Handgun</v>
      </c>
      <c r="C2224" s="5" t="str">
        <f ca="1">IFERROR(__xludf.DUMMYFUNCTION("""COMPUTED_VALUE"""),"Unknown")</f>
        <v>Unknown</v>
      </c>
      <c r="D2224" s="5"/>
    </row>
    <row r="2225" spans="1:4" ht="13">
      <c r="A2225" s="5" t="str">
        <f ca="1">IFERROR(__xludf.DUMMYFUNCTION("""COMPUTED_VALUE"""),"19750224NJSTP")</f>
        <v>19750224NJSTP</v>
      </c>
      <c r="B2225" s="5" t="str">
        <f ca="1">IFERROR(__xludf.DUMMYFUNCTION("""COMPUTED_VALUE"""),"Shotgun")</f>
        <v>Shotgun</v>
      </c>
      <c r="C2225" s="5" t="str">
        <f ca="1">IFERROR(__xludf.DUMMYFUNCTION("""COMPUTED_VALUE"""),"Unknown")</f>
        <v>Unknown</v>
      </c>
      <c r="D2225" s="5"/>
    </row>
    <row r="2226" spans="1:4" ht="13">
      <c r="A2226" s="5" t="str">
        <f ca="1">IFERROR(__xludf.DUMMYFUNCTION("""COMPUTED_VALUE"""),"19750207NYBOM")</f>
        <v>19750207NYBOM</v>
      </c>
      <c r="B2226" s="5" t="str">
        <f ca="1">IFERROR(__xludf.DUMMYFUNCTION("""COMPUTED_VALUE"""),"Handgun")</f>
        <v>Handgun</v>
      </c>
      <c r="C2226" s="5" t="str">
        <f ca="1">IFERROR(__xludf.DUMMYFUNCTION("""COMPUTED_VALUE"""),".38 caliber")</f>
        <v>.38 caliber</v>
      </c>
      <c r="D2226" s="5"/>
    </row>
    <row r="2227" spans="1:4" ht="13">
      <c r="A2227" s="5" t="str">
        <f ca="1">IFERROR(__xludf.DUMMYFUNCTION("""COMPUTED_VALUE"""),"19741230NYOLO")</f>
        <v>19741230NYOLO</v>
      </c>
      <c r="B2227" s="5" t="str">
        <f ca="1">IFERROR(__xludf.DUMMYFUNCTION("""COMPUTED_VALUE"""),"Multiple Unknown")</f>
        <v>Multiple Unknown</v>
      </c>
      <c r="C2227" s="5" t="str">
        <f ca="1">IFERROR(__xludf.DUMMYFUNCTION("""COMPUTED_VALUE"""),"Unknown")</f>
        <v>Unknown</v>
      </c>
      <c r="D2227" s="5"/>
    </row>
    <row r="2228" spans="1:4" ht="13">
      <c r="A2228" s="5" t="str">
        <f ca="1">IFERROR(__xludf.DUMMYFUNCTION("""COMPUTED_VALUE"""),"19741218CAMAL")</f>
        <v>19741218CAMAL</v>
      </c>
      <c r="B2228" s="5" t="str">
        <f ca="1">IFERROR(__xludf.DUMMYFUNCTION("""COMPUTED_VALUE"""),"Handgun")</f>
        <v>Handgun</v>
      </c>
      <c r="C2228" s="5" t="str">
        <f ca="1">IFERROR(__xludf.DUMMYFUNCTION("""COMPUTED_VALUE"""),"Unknown")</f>
        <v>Unknown</v>
      </c>
      <c r="D2228" s="5"/>
    </row>
    <row r="2229" spans="1:4" ht="13">
      <c r="A2229" s="5" t="str">
        <f ca="1">IFERROR(__xludf.DUMMYFUNCTION("""COMPUTED_VALUE"""),"19741125SCCAC")</f>
        <v>19741125SCCAC</v>
      </c>
      <c r="B2229" s="5" t="str">
        <f ca="1">IFERROR(__xludf.DUMMYFUNCTION("""COMPUTED_VALUE"""),"Handgun")</f>
        <v>Handgun</v>
      </c>
      <c r="C2229" s="5" t="str">
        <f ca="1">IFERROR(__xludf.DUMMYFUNCTION("""COMPUTED_VALUE"""),"Unknown")</f>
        <v>Unknown</v>
      </c>
      <c r="D2229" s="5"/>
    </row>
    <row r="2230" spans="1:4" ht="13">
      <c r="A2230" s="5" t="str">
        <f ca="1">IFERROR(__xludf.DUMMYFUNCTION("""COMPUTED_VALUE"""),"19741121ARBOL")</f>
        <v>19741121ARBOL</v>
      </c>
      <c r="B2230" s="5" t="str">
        <f ca="1">IFERROR(__xludf.DUMMYFUNCTION("""COMPUTED_VALUE"""),"Handgun")</f>
        <v>Handgun</v>
      </c>
      <c r="C2230" s="5" t="str">
        <f ca="1">IFERROR(__xludf.DUMMYFUNCTION("""COMPUTED_VALUE"""),".38 caliber")</f>
        <v>.38 caliber</v>
      </c>
      <c r="D2230" s="5"/>
    </row>
    <row r="2231" spans="1:4" ht="13">
      <c r="A2231" s="5" t="str">
        <f ca="1">IFERROR(__xludf.DUMMYFUNCTION("""COMPUTED_VALUE"""),"19741118SCCAC")</f>
        <v>19741118SCCAC</v>
      </c>
      <c r="B2231" s="5" t="str">
        <f ca="1">IFERROR(__xludf.DUMMYFUNCTION("""COMPUTED_VALUE"""),"No Data")</f>
        <v>No Data</v>
      </c>
      <c r="C2231" s="5"/>
      <c r="D2231" s="5"/>
    </row>
    <row r="2232" spans="1:4" ht="13">
      <c r="A2232" s="5" t="str">
        <f ca="1">IFERROR(__xludf.DUMMYFUNCTION("""COMPUTED_VALUE"""),"19741021MDDOB")</f>
        <v>19741021MDDOB</v>
      </c>
      <c r="B2232" s="5" t="str">
        <f ca="1">IFERROR(__xludf.DUMMYFUNCTION("""COMPUTED_VALUE"""),"Handgun")</f>
        <v>Handgun</v>
      </c>
      <c r="C2232" s="5" t="str">
        <f ca="1">IFERROR(__xludf.DUMMYFUNCTION("""COMPUTED_VALUE"""),"Unknown")</f>
        <v>Unknown</v>
      </c>
      <c r="D2232" s="5"/>
    </row>
    <row r="2233" spans="1:4" ht="13">
      <c r="A2233" s="5" t="str">
        <f ca="1">IFERROR(__xludf.DUMMYFUNCTION("""COMPUTED_VALUE"""),"19741007LADEH")</f>
        <v>19741007LADEH</v>
      </c>
      <c r="B2233" s="5" t="str">
        <f ca="1">IFERROR(__xludf.DUMMYFUNCTION("""COMPUTED_VALUE"""),"Handgun")</f>
        <v>Handgun</v>
      </c>
      <c r="C2233" s="5" t="str">
        <f ca="1">IFERROR(__xludf.DUMMYFUNCTION("""COMPUTED_VALUE"""),".45 caliber")</f>
        <v>.45 caliber</v>
      </c>
      <c r="D2233" s="5"/>
    </row>
    <row r="2234" spans="1:4" ht="13">
      <c r="A2234" s="5" t="str">
        <f ca="1">IFERROR(__xludf.DUMMYFUNCTION("""COMPUTED_VALUE"""),"19740925CASAL")</f>
        <v>19740925CASAL</v>
      </c>
      <c r="B2234" s="5" t="str">
        <f ca="1">IFERROR(__xludf.DUMMYFUNCTION("""COMPUTED_VALUE"""),"Handgun")</f>
        <v>Handgun</v>
      </c>
      <c r="C2234" s="5" t="str">
        <f ca="1">IFERROR(__xludf.DUMMYFUNCTION("""COMPUTED_VALUE"""),"Unknown")</f>
        <v>Unknown</v>
      </c>
      <c r="D2234" s="5"/>
    </row>
    <row r="2235" spans="1:4" ht="13">
      <c r="A2235" s="5" t="str">
        <f ca="1">IFERROR(__xludf.DUMMYFUNCTION("""COMPUTED_VALUE"""),"19740923CAJED")</f>
        <v>19740923CAJED</v>
      </c>
      <c r="B2235" s="5" t="str">
        <f ca="1">IFERROR(__xludf.DUMMYFUNCTION("""COMPUTED_VALUE"""),"Handgun")</f>
        <v>Handgun</v>
      </c>
      <c r="C2235" s="5" t="str">
        <f ca="1">IFERROR(__xludf.DUMMYFUNCTION("""COMPUTED_VALUE"""),"Unknown")</f>
        <v>Unknown</v>
      </c>
      <c r="D2235" s="5"/>
    </row>
    <row r="2236" spans="1:4" ht="13">
      <c r="A2236" s="5" t="str">
        <f ca="1">IFERROR(__xludf.DUMMYFUNCTION("""COMPUTED_VALUE"""),"19740519FLHIO")</f>
        <v>19740519FLHIO</v>
      </c>
      <c r="B2236" s="5" t="str">
        <f ca="1">IFERROR(__xludf.DUMMYFUNCTION("""COMPUTED_VALUE"""),"Rifle")</f>
        <v>Rifle</v>
      </c>
      <c r="C2236" s="5" t="str">
        <f ca="1">IFERROR(__xludf.DUMMYFUNCTION("""COMPUTED_VALUE"""),"Unknown")</f>
        <v>Unknown</v>
      </c>
      <c r="D2236" s="5"/>
    </row>
    <row r="2237" spans="1:4" ht="13">
      <c r="A2237" s="5" t="str">
        <f ca="1">IFERROR(__xludf.DUMMYFUNCTION("""COMPUTED_VALUE"""),"19740510TNCHR")</f>
        <v>19740510TNCHR</v>
      </c>
      <c r="B2237" s="5" t="str">
        <f ca="1">IFERROR(__xludf.DUMMYFUNCTION("""COMPUTED_VALUE"""),"Handgun")</f>
        <v>Handgun</v>
      </c>
      <c r="C2237" s="5" t="str">
        <f ca="1">IFERROR(__xludf.DUMMYFUNCTION("""COMPUTED_VALUE"""),"Unknown")</f>
        <v>Unknown</v>
      </c>
      <c r="D2237" s="5"/>
    </row>
    <row r="2238" spans="1:4" ht="13">
      <c r="A2238" s="5" t="str">
        <f ca="1">IFERROR(__xludf.DUMMYFUNCTION("""COMPUTED_VALUE"""),"19740402CTSTB")</f>
        <v>19740402CTSTB</v>
      </c>
      <c r="B2238" s="5" t="str">
        <f ca="1">IFERROR(__xludf.DUMMYFUNCTION("""COMPUTED_VALUE"""),"Other")</f>
        <v>Other</v>
      </c>
      <c r="C2238" s="5" t="str">
        <f ca="1">IFERROR(__xludf.DUMMYFUNCTION("""COMPUTED_VALUE"""),"Unknown")</f>
        <v>Unknown</v>
      </c>
      <c r="D2238" s="5"/>
    </row>
    <row r="2239" spans="1:4" ht="13">
      <c r="A2239" s="5" t="str">
        <f ca="1">IFERROR(__xludf.DUMMYFUNCTION("""COMPUTED_VALUE"""),"19740322INBRB")</f>
        <v>19740322INBRB</v>
      </c>
      <c r="B2239" s="5" t="str">
        <f ca="1">IFERROR(__xludf.DUMMYFUNCTION("""COMPUTED_VALUE"""),"Rifle")</f>
        <v>Rifle</v>
      </c>
      <c r="C2239" s="5" t="str">
        <f ca="1">IFERROR(__xludf.DUMMYFUNCTION("""COMPUTED_VALUE"""),".22 caliber")</f>
        <v>.22 caliber</v>
      </c>
      <c r="D2239" s="5"/>
    </row>
    <row r="2240" spans="1:4" ht="13">
      <c r="A2240" s="5" t="str">
        <f ca="1">IFERROR(__xludf.DUMMYFUNCTION("""COMPUTED_VALUE"""),"19740207CAJAO")</f>
        <v>19740207CAJAO</v>
      </c>
      <c r="B2240" s="5" t="str">
        <f ca="1">IFERROR(__xludf.DUMMYFUNCTION("""COMPUTED_VALUE"""),"Handgun")</f>
        <v>Handgun</v>
      </c>
      <c r="C2240" s="5" t="str">
        <f ca="1">IFERROR(__xludf.DUMMYFUNCTION("""COMPUTED_VALUE"""),"Unknown")</f>
        <v>Unknown</v>
      </c>
      <c r="D2240" s="5"/>
    </row>
    <row r="2241" spans="1:4" ht="13">
      <c r="A2241" s="5" t="str">
        <f ca="1">IFERROR(__xludf.DUMMYFUNCTION("""COMPUTED_VALUE"""),"19740122CALOL")</f>
        <v>19740122CALOL</v>
      </c>
      <c r="B2241" s="5" t="str">
        <f ca="1">IFERROR(__xludf.DUMMYFUNCTION("""COMPUTED_VALUE"""),"No Data")</f>
        <v>No Data</v>
      </c>
      <c r="C2241" s="5"/>
      <c r="D2241" s="5"/>
    </row>
    <row r="2242" spans="1:4" ht="13">
      <c r="A2242" s="5" t="str">
        <f ca="1">IFERROR(__xludf.DUMMYFUNCTION("""COMPUTED_VALUE"""),"19740117ILBAC")</f>
        <v>19740117ILBAC</v>
      </c>
      <c r="B2242" s="5" t="str">
        <f ca="1">IFERROR(__xludf.DUMMYFUNCTION("""COMPUTED_VALUE"""),"Handgun")</f>
        <v>Handgun</v>
      </c>
      <c r="C2242" s="5" t="str">
        <f ca="1">IFERROR(__xludf.DUMMYFUNCTION("""COMPUTED_VALUE"""),".38 caliber")</f>
        <v>.38 caliber</v>
      </c>
      <c r="D2242" s="5" t="str">
        <f ca="1">IFERROR(__xludf.DUMMYFUNCTION("""COMPUTED_VALUE"""),".38-caliber snub-nose revolver and .45-caliber pistol")</f>
        <v>.38-caliber snub-nose revolver and .45-caliber pistol</v>
      </c>
    </row>
    <row r="2243" spans="1:4" ht="13">
      <c r="A2243" s="5" t="str">
        <f ca="1">IFERROR(__xludf.DUMMYFUNCTION("""COMPUTED_VALUE"""),"19740117ILBAC")</f>
        <v>19740117ILBAC</v>
      </c>
      <c r="B2243" s="5" t="str">
        <f ca="1">IFERROR(__xludf.DUMMYFUNCTION("""COMPUTED_VALUE"""),"Handgun")</f>
        <v>Handgun</v>
      </c>
      <c r="C2243" s="5" t="str">
        <f ca="1">IFERROR(__xludf.DUMMYFUNCTION("""COMPUTED_VALUE"""),".45 caliber")</f>
        <v>.45 caliber</v>
      </c>
      <c r="D2243" s="5" t="str">
        <f ca="1">IFERROR(__xludf.DUMMYFUNCTION("""COMPUTED_VALUE"""),".38-caliber snub-nose revolver and .45-caliber pistol")</f>
        <v>.38-caliber snub-nose revolver and .45-caliber pistol</v>
      </c>
    </row>
    <row r="2244" spans="1:4" ht="13">
      <c r="A2244" s="5" t="str">
        <f ca="1">IFERROR(__xludf.DUMMYFUNCTION("""COMPUTED_VALUE"""),"19731213OHHUC")</f>
        <v>19731213OHHUC</v>
      </c>
      <c r="B2244" s="5" t="str">
        <f ca="1">IFERROR(__xludf.DUMMYFUNCTION("""COMPUTED_VALUE"""),"Handgun")</f>
        <v>Handgun</v>
      </c>
      <c r="C2244" s="5" t="str">
        <f ca="1">IFERROR(__xludf.DUMMYFUNCTION("""COMPUTED_VALUE"""),".22 caliber")</f>
        <v>.22 caliber</v>
      </c>
      <c r="D2244" s="5"/>
    </row>
    <row r="2245" spans="1:4" ht="13">
      <c r="A2245" s="5" t="str">
        <f ca="1">IFERROR(__xludf.DUMMYFUNCTION("""COMPUTED_VALUE"""),"19731206CAFRL")</f>
        <v>19731206CAFRL</v>
      </c>
      <c r="B2245" s="5" t="str">
        <f ca="1">IFERROR(__xludf.DUMMYFUNCTION("""COMPUTED_VALUE"""),"Handgun")</f>
        <v>Handgun</v>
      </c>
      <c r="C2245" s="5" t="str">
        <f ca="1">IFERROR(__xludf.DUMMYFUNCTION("""COMPUTED_VALUE"""),"Unknown")</f>
        <v>Unknown</v>
      </c>
      <c r="D2245" s="5"/>
    </row>
    <row r="2246" spans="1:4" ht="13">
      <c r="A2246" s="5" t="str">
        <f ca="1">IFERROR(__xludf.DUMMYFUNCTION("""COMPUTED_VALUE"""),"19731109CALOL")</f>
        <v>19731109CALOL</v>
      </c>
      <c r="B2246" s="5" t="str">
        <f ca="1">IFERROR(__xludf.DUMMYFUNCTION("""COMPUTED_VALUE"""),"No Data")</f>
        <v>No Data</v>
      </c>
      <c r="C2246" s="5"/>
      <c r="D2246" s="5"/>
    </row>
    <row r="2247" spans="1:4" ht="13">
      <c r="A2247" s="5" t="str">
        <f ca="1">IFERROR(__xludf.DUMMYFUNCTION("""COMPUTED_VALUE"""),"19731108ILWOC")</f>
        <v>19731108ILWOC</v>
      </c>
      <c r="B2247" s="5" t="str">
        <f ca="1">IFERROR(__xludf.DUMMYFUNCTION("""COMPUTED_VALUE"""),"Handgun")</f>
        <v>Handgun</v>
      </c>
      <c r="C2247" s="5" t="str">
        <f ca="1">IFERROR(__xludf.DUMMYFUNCTION("""COMPUTED_VALUE"""),".38 caliber")</f>
        <v>.38 caliber</v>
      </c>
      <c r="D2247" s="5"/>
    </row>
    <row r="2248" spans="1:4" ht="13">
      <c r="A2248" s="5" t="str">
        <f ca="1">IFERROR(__xludf.DUMMYFUNCTION("""COMPUTED_VALUE"""),"19731031MONOS")</f>
        <v>19731031MONOS</v>
      </c>
      <c r="B2248" s="5" t="str">
        <f ca="1">IFERROR(__xludf.DUMMYFUNCTION("""COMPUTED_VALUE"""),"Shotgun")</f>
        <v>Shotgun</v>
      </c>
      <c r="C2248" s="5" t="str">
        <f ca="1">IFERROR(__xludf.DUMMYFUNCTION("""COMPUTED_VALUE"""),"Unknown")</f>
        <v>Unknown</v>
      </c>
      <c r="D2248" s="5"/>
    </row>
    <row r="2249" spans="1:4" ht="13">
      <c r="A2249" s="5" t="str">
        <f ca="1">IFERROR(__xludf.DUMMYFUNCTION("""COMPUTED_VALUE"""),"19731024MNCEM")</f>
        <v>19731024MNCEM</v>
      </c>
      <c r="B2249" s="5" t="str">
        <f ca="1">IFERROR(__xludf.DUMMYFUNCTION("""COMPUTED_VALUE"""),"Shotgun")</f>
        <v>Shotgun</v>
      </c>
      <c r="C2249" s="5" t="str">
        <f ca="1">IFERROR(__xludf.DUMMYFUNCTION("""COMPUTED_VALUE"""),"Unknown")</f>
        <v>Unknown</v>
      </c>
      <c r="D2249" s="5"/>
    </row>
    <row r="2250" spans="1:4" ht="13">
      <c r="A2250" s="5" t="str">
        <f ca="1">IFERROR(__xludf.DUMMYFUNCTION("""COMPUTED_VALUE"""),"19731023OHBAB")</f>
        <v>19731023OHBAB</v>
      </c>
      <c r="B2250" s="5" t="str">
        <f ca="1">IFERROR(__xludf.DUMMYFUNCTION("""COMPUTED_VALUE"""),"Handgun")</f>
        <v>Handgun</v>
      </c>
      <c r="C2250" s="5" t="str">
        <f ca="1">IFERROR(__xludf.DUMMYFUNCTION("""COMPUTED_VALUE"""),".22 caliber")</f>
        <v>.22 caliber</v>
      </c>
      <c r="D2250" s="5"/>
    </row>
    <row r="2251" spans="1:4" ht="13">
      <c r="A2251" s="5" t="str">
        <f ca="1">IFERROR(__xludf.DUMMYFUNCTION("""COMPUTED_VALUE"""),"19731023MOSUS")</f>
        <v>19731023MOSUS</v>
      </c>
      <c r="B2251" s="5" t="str">
        <f ca="1">IFERROR(__xludf.DUMMYFUNCTION("""COMPUTED_VALUE"""),"Multiple Unknown")</f>
        <v>Multiple Unknown</v>
      </c>
      <c r="C2251" s="5" t="str">
        <f ca="1">IFERROR(__xludf.DUMMYFUNCTION("""COMPUTED_VALUE"""),"Unknown")</f>
        <v>Unknown</v>
      </c>
      <c r="D2251" s="5"/>
    </row>
    <row r="2252" spans="1:4" ht="13">
      <c r="A2252" s="5" t="str">
        <f ca="1">IFERROR(__xludf.DUMMYFUNCTION("""COMPUTED_VALUE"""),"19731019MOBES")</f>
        <v>19731019MOBES</v>
      </c>
      <c r="B2252" s="5" t="str">
        <f ca="1">IFERROR(__xludf.DUMMYFUNCTION("""COMPUTED_VALUE"""),"No Data")</f>
        <v>No Data</v>
      </c>
      <c r="C2252" s="5"/>
      <c r="D2252" s="5"/>
    </row>
    <row r="2253" spans="1:4" ht="13">
      <c r="A2253" s="5" t="str">
        <f ca="1">IFERROR(__xludf.DUMMYFUNCTION("""COMPUTED_VALUE"""),"19731002ILELA")</f>
        <v>19731002ILELA</v>
      </c>
      <c r="B2253" s="5" t="str">
        <f ca="1">IFERROR(__xludf.DUMMYFUNCTION("""COMPUTED_VALUE"""),"Handgun")</f>
        <v>Handgun</v>
      </c>
      <c r="C2253" s="5" t="str">
        <f ca="1">IFERROR(__xludf.DUMMYFUNCTION("""COMPUTED_VALUE"""),".38 caliber")</f>
        <v>.38 caliber</v>
      </c>
      <c r="D2253" s="5"/>
    </row>
    <row r="2254" spans="1:4" ht="13">
      <c r="A2254" s="5" t="str">
        <f ca="1">IFERROR(__xludf.DUMMYFUNCTION("""COMPUTED_VALUE"""),"19730928CAWIL")</f>
        <v>19730928CAWIL</v>
      </c>
      <c r="B2254" s="5" t="str">
        <f ca="1">IFERROR(__xludf.DUMMYFUNCTION("""COMPUTED_VALUE"""),"Handgun")</f>
        <v>Handgun</v>
      </c>
      <c r="C2254" s="5" t="str">
        <f ca="1">IFERROR(__xludf.DUMMYFUNCTION("""COMPUTED_VALUE"""),"Unknown")</f>
        <v>Unknown</v>
      </c>
      <c r="D2254" s="5"/>
    </row>
    <row r="2255" spans="1:4" ht="13">
      <c r="A2255" s="5" t="str">
        <f ca="1">IFERROR(__xludf.DUMMYFUNCTION("""COMPUTED_VALUE"""),"19730501OHRAY")</f>
        <v>19730501OHRAY</v>
      </c>
      <c r="B2255" s="5" t="str">
        <f ca="1">IFERROR(__xludf.DUMMYFUNCTION("""COMPUTED_VALUE"""),"Handgun")</f>
        <v>Handgun</v>
      </c>
      <c r="C2255" s="5" t="str">
        <f ca="1">IFERROR(__xludf.DUMMYFUNCTION("""COMPUTED_VALUE"""),"Unknown")</f>
        <v>Unknown</v>
      </c>
      <c r="D2255" s="5"/>
    </row>
    <row r="2256" spans="1:4" ht="13">
      <c r="A2256" s="5" t="str">
        <f ca="1">IFERROR(__xludf.DUMMYFUNCTION("""COMPUTED_VALUE"""),"19730405CALOL")</f>
        <v>19730405CALOL</v>
      </c>
      <c r="B2256" s="5" t="str">
        <f ca="1">IFERROR(__xludf.DUMMYFUNCTION("""COMPUTED_VALUE"""),"Handgun")</f>
        <v>Handgun</v>
      </c>
      <c r="C2256" s="5" t="str">
        <f ca="1">IFERROR(__xludf.DUMMYFUNCTION("""COMPUTED_VALUE"""),"Unknown")</f>
        <v>Unknown</v>
      </c>
      <c r="D2256" s="5"/>
    </row>
    <row r="2257" spans="1:4" ht="13">
      <c r="A2257" s="5" t="str">
        <f ca="1">IFERROR(__xludf.DUMMYFUNCTION("""COMPUTED_VALUE"""),"19730226VAARR")</f>
        <v>19730226VAARR</v>
      </c>
      <c r="B2257" s="5" t="str">
        <f ca="1">IFERROR(__xludf.DUMMYFUNCTION("""COMPUTED_VALUE"""),"Handgun")</f>
        <v>Handgun</v>
      </c>
      <c r="C2257" s="5" t="str">
        <f ca="1">IFERROR(__xludf.DUMMYFUNCTION("""COMPUTED_VALUE"""),".38 caliber")</f>
        <v>.38 caliber</v>
      </c>
      <c r="D2257" s="5"/>
    </row>
    <row r="2258" spans="1:4" ht="13">
      <c r="A2258" s="5" t="str">
        <f ca="1">IFERROR(__xludf.DUMMYFUNCTION("""COMPUTED_VALUE"""),"19730212ALBOM")</f>
        <v>19730212ALBOM</v>
      </c>
      <c r="B2258" s="5" t="str">
        <f ca="1">IFERROR(__xludf.DUMMYFUNCTION("""COMPUTED_VALUE"""),"Handgun")</f>
        <v>Handgun</v>
      </c>
      <c r="C2258" s="5" t="str">
        <f ca="1">IFERROR(__xludf.DUMMYFUNCTION("""COMPUTED_VALUE"""),"Unknown")</f>
        <v>Unknown</v>
      </c>
      <c r="D2258" s="5"/>
    </row>
    <row r="2259" spans="1:4" ht="13">
      <c r="A2259" s="5" t="str">
        <f ca="1">IFERROR(__xludf.DUMMYFUNCTION("""COMPUTED_VALUE"""),"19730131NCCUB")</f>
        <v>19730131NCCUB</v>
      </c>
      <c r="B2259" s="5" t="str">
        <f ca="1">IFERROR(__xludf.DUMMYFUNCTION("""COMPUTED_VALUE"""),"Handgun")</f>
        <v>Handgun</v>
      </c>
      <c r="C2259" s="5" t="str">
        <f ca="1">IFERROR(__xludf.DUMMYFUNCTION("""COMPUTED_VALUE"""),"Unknown")</f>
        <v>Unknown</v>
      </c>
      <c r="D2259" s="5"/>
    </row>
    <row r="2260" spans="1:4" ht="13">
      <c r="A2260" s="5" t="str">
        <f ca="1">IFERROR(__xludf.DUMMYFUNCTION("""COMPUTED_VALUE"""),"19730118CAJOL")</f>
        <v>19730118CAJOL</v>
      </c>
      <c r="B2260" s="5" t="str">
        <f ca="1">IFERROR(__xludf.DUMMYFUNCTION("""COMPUTED_VALUE"""),"Handgun")</f>
        <v>Handgun</v>
      </c>
      <c r="C2260" s="5" t="str">
        <f ca="1">IFERROR(__xludf.DUMMYFUNCTION("""COMPUTED_VALUE"""),"Unknown")</f>
        <v>Unknown</v>
      </c>
      <c r="D2260" s="5"/>
    </row>
    <row r="2261" spans="1:4" ht="13">
      <c r="A2261" s="5" t="str">
        <f ca="1">IFERROR(__xludf.DUMMYFUNCTION("""COMPUTED_VALUE"""),"19730105NCSOS")</f>
        <v>19730105NCSOS</v>
      </c>
      <c r="B2261" s="5" t="str">
        <f ca="1">IFERROR(__xludf.DUMMYFUNCTION("""COMPUTED_VALUE"""),"Handgun")</f>
        <v>Handgun</v>
      </c>
      <c r="C2261" s="5" t="str">
        <f ca="1">IFERROR(__xludf.DUMMYFUNCTION("""COMPUTED_VALUE"""),"Unknown")</f>
        <v>Unknown</v>
      </c>
      <c r="D2261" s="5"/>
    </row>
    <row r="2262" spans="1:4" ht="13">
      <c r="A2262" s="5" t="str">
        <f ca="1">IFERROR(__xludf.DUMMYFUNCTION("""COMPUTED_VALUE"""),"19721129FLMIM")</f>
        <v>19721129FLMIM</v>
      </c>
      <c r="B2262" s="5" t="str">
        <f ca="1">IFERROR(__xludf.DUMMYFUNCTION("""COMPUTED_VALUE"""),"No Data")</f>
        <v>No Data</v>
      </c>
      <c r="C2262" s="5"/>
      <c r="D2262" s="5"/>
    </row>
    <row r="2263" spans="1:4" ht="13">
      <c r="A2263" s="5" t="str">
        <f ca="1">IFERROR(__xludf.DUMMYFUNCTION("""COMPUTED_VALUE"""),"19721127MIPOP")</f>
        <v>19721127MIPOP</v>
      </c>
      <c r="B2263" s="5" t="str">
        <f ca="1">IFERROR(__xludf.DUMMYFUNCTION("""COMPUTED_VALUE"""),"No Data")</f>
        <v>No Data</v>
      </c>
      <c r="C2263" s="5"/>
      <c r="D2263" s="5"/>
    </row>
    <row r="2264" spans="1:4" ht="13">
      <c r="A2264" s="5" t="str">
        <f ca="1">IFERROR(__xludf.DUMMYFUNCTION("""COMPUTED_VALUE"""),"19721111CAJEL")</f>
        <v>19721111CAJEL</v>
      </c>
      <c r="B2264" s="5" t="str">
        <f ca="1">IFERROR(__xludf.DUMMYFUNCTION("""COMPUTED_VALUE"""),"No Data")</f>
        <v>No Data</v>
      </c>
      <c r="C2264" s="5"/>
      <c r="D2264" s="5"/>
    </row>
    <row r="2265" spans="1:4" ht="13">
      <c r="A2265" s="5" t="str">
        <f ca="1">IFERROR(__xludf.DUMMYFUNCTION("""COMPUTED_VALUE"""),"19720921OHTHA")</f>
        <v>19720921OHTHA</v>
      </c>
      <c r="B2265" s="5" t="str">
        <f ca="1">IFERROR(__xludf.DUMMYFUNCTION("""COMPUTED_VALUE"""),"Handgun")</f>
        <v>Handgun</v>
      </c>
      <c r="C2265" s="5" t="str">
        <f ca="1">IFERROR(__xludf.DUMMYFUNCTION("""COMPUTED_VALUE"""),"Unknown")</f>
        <v>Unknown</v>
      </c>
      <c r="D2265" s="5"/>
    </row>
    <row r="2266" spans="1:4" ht="13">
      <c r="A2266" s="5" t="str">
        <f ca="1">IFERROR(__xludf.DUMMYFUNCTION("""COMPUTED_VALUE"""),"19720919TXCUH")</f>
        <v>19720919TXCUH</v>
      </c>
      <c r="B2266" s="5" t="str">
        <f ca="1">IFERROR(__xludf.DUMMYFUNCTION("""COMPUTED_VALUE"""),"Handgun")</f>
        <v>Handgun</v>
      </c>
      <c r="C2266" s="5" t="str">
        <f ca="1">IFERROR(__xludf.DUMMYFUNCTION("""COMPUTED_VALUE"""),".22 caliber")</f>
        <v>.22 caliber</v>
      </c>
      <c r="D2266" s="5"/>
    </row>
    <row r="2267" spans="1:4" ht="13">
      <c r="A2267" s="5" t="str">
        <f ca="1">IFERROR(__xludf.DUMMYFUNCTION("""COMPUTED_VALUE"""),"19720915MISAS")</f>
        <v>19720915MISAS</v>
      </c>
      <c r="B2267" s="5" t="str">
        <f ca="1">IFERROR(__xludf.DUMMYFUNCTION("""COMPUTED_VALUE"""),"No Data")</f>
        <v>No Data</v>
      </c>
      <c r="C2267" s="5"/>
      <c r="D2267" s="5"/>
    </row>
    <row r="2268" spans="1:4" ht="13">
      <c r="A2268" s="5" t="str">
        <f ca="1">IFERROR(__xludf.DUMMYFUNCTION("""COMPUTED_VALUE"""),"19720914TXFRH")</f>
        <v>19720914TXFRH</v>
      </c>
      <c r="B2268" s="5" t="str">
        <f ca="1">IFERROR(__xludf.DUMMYFUNCTION("""COMPUTED_VALUE"""),"Handgun")</f>
        <v>Handgun</v>
      </c>
      <c r="C2268" s="5" t="str">
        <f ca="1">IFERROR(__xludf.DUMMYFUNCTION("""COMPUTED_VALUE"""),".25 caliber")</f>
        <v>.25 caliber</v>
      </c>
      <c r="D2268" s="5"/>
    </row>
    <row r="2269" spans="1:4" ht="13">
      <c r="A2269" s="5" t="str">
        <f ca="1">IFERROR(__xludf.DUMMYFUNCTION("""COMPUTED_VALUE"""),"19720505INDEI")</f>
        <v>19720505INDEI</v>
      </c>
      <c r="B2269" s="5" t="str">
        <f ca="1">IFERROR(__xludf.DUMMYFUNCTION("""COMPUTED_VALUE"""),"Handgun")</f>
        <v>Handgun</v>
      </c>
      <c r="C2269" s="5" t="str">
        <f ca="1">IFERROR(__xludf.DUMMYFUNCTION("""COMPUTED_VALUE"""),".32 caliber")</f>
        <v>.32 caliber</v>
      </c>
      <c r="D2269" s="5"/>
    </row>
    <row r="2270" spans="1:4" ht="13">
      <c r="A2270" s="5" t="str">
        <f ca="1">IFERROR(__xludf.DUMMYFUNCTION("""COMPUTED_VALUE"""),"19720504NVLIR")</f>
        <v>19720504NVLIR</v>
      </c>
      <c r="B2270" s="5" t="str">
        <f ca="1">IFERROR(__xludf.DUMMYFUNCTION("""COMPUTED_VALUE"""),"Handgun")</f>
        <v>Handgun</v>
      </c>
      <c r="C2270" s="5" t="str">
        <f ca="1">IFERROR(__xludf.DUMMYFUNCTION("""COMPUTED_VALUE"""),".22 caliber")</f>
        <v>.22 caliber</v>
      </c>
      <c r="D2270" s="5"/>
    </row>
    <row r="2271" spans="1:4" ht="13">
      <c r="A2271" s="5" t="str">
        <f ca="1">IFERROR(__xludf.DUMMYFUNCTION("""COMPUTED_VALUE"""),"19720412LAEAG")</f>
        <v>19720412LAEAG</v>
      </c>
      <c r="B2271" s="5" t="str">
        <f ca="1">IFERROR(__xludf.DUMMYFUNCTION("""COMPUTED_VALUE"""),"No Data")</f>
        <v>No Data</v>
      </c>
      <c r="C2271" s="5"/>
      <c r="D2271" s="5"/>
    </row>
    <row r="2272" spans="1:4" ht="13">
      <c r="A2272" s="5" t="str">
        <f ca="1">IFERROR(__xludf.DUMMYFUNCTION("""COMPUTED_VALUE"""),"19720313TXUNH")</f>
        <v>19720313TXUNH</v>
      </c>
      <c r="B2272" s="5" t="str">
        <f ca="1">IFERROR(__xludf.DUMMYFUNCTION("""COMPUTED_VALUE"""),"Handgun")</f>
        <v>Handgun</v>
      </c>
      <c r="C2272" s="5" t="str">
        <f ca="1">IFERROR(__xludf.DUMMYFUNCTION("""COMPUTED_VALUE"""),"Unknown")</f>
        <v>Unknown</v>
      </c>
      <c r="D2272" s="5"/>
    </row>
    <row r="2273" spans="1:4" ht="13">
      <c r="A2273" s="5" t="str">
        <f ca="1">IFERROR(__xludf.DUMMYFUNCTION("""COMPUTED_VALUE"""),"19720228CAMAL")</f>
        <v>19720228CAMAL</v>
      </c>
      <c r="B2273" s="5" t="str">
        <f ca="1">IFERROR(__xludf.DUMMYFUNCTION("""COMPUTED_VALUE"""),"Handgun")</f>
        <v>Handgun</v>
      </c>
      <c r="C2273" s="5" t="str">
        <f ca="1">IFERROR(__xludf.DUMMYFUNCTION("""COMPUTED_VALUE"""),".22 caliber")</f>
        <v>.22 caliber</v>
      </c>
      <c r="D2273" s="5"/>
    </row>
    <row r="2274" spans="1:4" ht="13">
      <c r="A2274" s="5" t="str">
        <f ca="1">IFERROR(__xludf.DUMMYFUNCTION("""COMPUTED_VALUE"""),"19720215ILKEC")</f>
        <v>19720215ILKEC</v>
      </c>
      <c r="B2274" s="5" t="str">
        <f ca="1">IFERROR(__xludf.DUMMYFUNCTION("""COMPUTED_VALUE"""),"Handgun")</f>
        <v>Handgun</v>
      </c>
      <c r="C2274" s="5" t="str">
        <f ca="1">IFERROR(__xludf.DUMMYFUNCTION("""COMPUTED_VALUE"""),"Service Weapon")</f>
        <v>Service Weapon</v>
      </c>
      <c r="D2274" s="5"/>
    </row>
    <row r="2275" spans="1:4" ht="13">
      <c r="A2275" s="5" t="str">
        <f ca="1">IFERROR(__xludf.DUMMYFUNCTION("""COMPUTED_VALUE"""),"19720214ILCAC")</f>
        <v>19720214ILCAC</v>
      </c>
      <c r="B2275" s="5" t="str">
        <f ca="1">IFERROR(__xludf.DUMMYFUNCTION("""COMPUTED_VALUE"""),"Handgun")</f>
        <v>Handgun</v>
      </c>
      <c r="C2275" s="5" t="str">
        <f ca="1">IFERROR(__xludf.DUMMYFUNCTION("""COMPUTED_VALUE"""),"Unknown")</f>
        <v>Unknown</v>
      </c>
      <c r="D2275" s="5"/>
    </row>
    <row r="2276" spans="1:4" ht="13">
      <c r="A2276" s="5" t="str">
        <f ca="1">IFERROR(__xludf.DUMMYFUNCTION("""COMPUTED_VALUE"""),"19720126MDHAB")</f>
        <v>19720126MDHAB</v>
      </c>
      <c r="B2276" s="5" t="str">
        <f ca="1">IFERROR(__xludf.DUMMYFUNCTION("""COMPUTED_VALUE"""),"Rifle")</f>
        <v>Rifle</v>
      </c>
      <c r="C2276" s="5" t="str">
        <f ca="1">IFERROR(__xludf.DUMMYFUNCTION("""COMPUTED_VALUE"""),".22 caliber")</f>
        <v>.22 caliber</v>
      </c>
      <c r="D2276" s="5"/>
    </row>
    <row r="2277" spans="1:4" ht="13">
      <c r="A2277" s="5" t="str">
        <f ca="1">IFERROR(__xludf.DUMMYFUNCTION("""COMPUTED_VALUE"""),"19720126MDGWB")</f>
        <v>19720126MDGWB</v>
      </c>
      <c r="B2277" s="5" t="str">
        <f ca="1">IFERROR(__xludf.DUMMYFUNCTION("""COMPUTED_VALUE"""),"Handgun")</f>
        <v>Handgun</v>
      </c>
      <c r="C2277" s="5" t="str">
        <f ca="1">IFERROR(__xludf.DUMMYFUNCTION("""COMPUTED_VALUE"""),"Unknown")</f>
        <v>Unknown</v>
      </c>
      <c r="D2277" s="5"/>
    </row>
    <row r="2278" spans="1:4" ht="13">
      <c r="A2278" s="5" t="str">
        <f ca="1">IFERROR(__xludf.DUMMYFUNCTION("""COMPUTED_VALUE"""),"19720124OHSTS")</f>
        <v>19720124OHSTS</v>
      </c>
      <c r="B2278" s="5" t="str">
        <f ca="1">IFERROR(__xludf.DUMMYFUNCTION("""COMPUTED_VALUE"""),"Handgun")</f>
        <v>Handgun</v>
      </c>
      <c r="C2278" s="5" t="str">
        <f ca="1">IFERROR(__xludf.DUMMYFUNCTION("""COMPUTED_VALUE"""),".22 caliber")</f>
        <v>.22 caliber</v>
      </c>
      <c r="D2278" s="5"/>
    </row>
    <row r="2279" spans="1:4" ht="13">
      <c r="A2279" s="5" t="str">
        <f ca="1">IFERROR(__xludf.DUMMYFUNCTION("""COMPUTED_VALUE"""),"19720105DCPAW")</f>
        <v>19720105DCPAW</v>
      </c>
      <c r="B2279" s="5" t="str">
        <f ca="1">IFERROR(__xludf.DUMMYFUNCTION("""COMPUTED_VALUE"""),"Handgun")</f>
        <v>Handgun</v>
      </c>
      <c r="C2279" s="5" t="str">
        <f ca="1">IFERROR(__xludf.DUMMYFUNCTION("""COMPUTED_VALUE"""),".22 caliber")</f>
        <v>.22 caliber</v>
      </c>
      <c r="D2279" s="5"/>
    </row>
    <row r="2280" spans="1:4" ht="13">
      <c r="A2280" s="5" t="str">
        <f ca="1">IFERROR(__xludf.DUMMYFUNCTION("""COMPUTED_VALUE"""),"19711213MDCAB")</f>
        <v>19711213MDCAB</v>
      </c>
      <c r="B2280" s="5" t="str">
        <f ca="1">IFERROR(__xludf.DUMMYFUNCTION("""COMPUTED_VALUE"""),"Handgun")</f>
        <v>Handgun</v>
      </c>
      <c r="C2280" s="5" t="str">
        <f ca="1">IFERROR(__xludf.DUMMYFUNCTION("""COMPUTED_VALUE"""),".22 caliber")</f>
        <v>.22 caliber</v>
      </c>
      <c r="D2280" s="5"/>
    </row>
    <row r="2281" spans="1:4" ht="13">
      <c r="A2281" s="5" t="str">
        <f ca="1">IFERROR(__xludf.DUMMYFUNCTION("""COMPUTED_VALUE"""),"19711206CALOL")</f>
        <v>19711206CALOL</v>
      </c>
      <c r="B2281" s="5" t="str">
        <f ca="1">IFERROR(__xludf.DUMMYFUNCTION("""COMPUTED_VALUE"""),"Handgun")</f>
        <v>Handgun</v>
      </c>
      <c r="C2281" s="5" t="str">
        <f ca="1">IFERROR(__xludf.DUMMYFUNCTION("""COMPUTED_VALUE"""),".22 caliber")</f>
        <v>.22 caliber</v>
      </c>
      <c r="D2281" s="5"/>
    </row>
    <row r="2282" spans="1:4" ht="13">
      <c r="A2282" s="5" t="str">
        <f ca="1">IFERROR(__xludf.DUMMYFUNCTION("""COMPUTED_VALUE"""),"19711124MDEDB")</f>
        <v>19711124MDEDB</v>
      </c>
      <c r="B2282" s="5" t="str">
        <f ca="1">IFERROR(__xludf.DUMMYFUNCTION("""COMPUTED_VALUE"""),"Handgun")</f>
        <v>Handgun</v>
      </c>
      <c r="C2282" s="5" t="str">
        <f ca="1">IFERROR(__xludf.DUMMYFUNCTION("""COMPUTED_VALUE"""),"Unknown")</f>
        <v>Unknown</v>
      </c>
      <c r="D2282" s="5"/>
    </row>
    <row r="2283" spans="1:4" ht="13">
      <c r="A2283" s="5" t="str">
        <f ca="1">IFERROR(__xludf.DUMMYFUNCTION("""COMPUTED_VALUE"""),"19711108OKGRT")</f>
        <v>19711108OKGRT</v>
      </c>
      <c r="B2283" s="5" t="str">
        <f ca="1">IFERROR(__xludf.DUMMYFUNCTION("""COMPUTED_VALUE"""),"Handgun")</f>
        <v>Handgun</v>
      </c>
      <c r="C2283" s="5" t="str">
        <f ca="1">IFERROR(__xludf.DUMMYFUNCTION("""COMPUTED_VALUE"""),".22 caliber")</f>
        <v>.22 caliber</v>
      </c>
      <c r="D2283" s="5"/>
    </row>
    <row r="2284" spans="1:4" ht="13">
      <c r="A2284" s="5" t="str">
        <f ca="1">IFERROR(__xludf.DUMMYFUNCTION("""COMPUTED_VALUE"""),"19711103NMCAC")</f>
        <v>19711103NMCAC</v>
      </c>
      <c r="B2284" s="5" t="str">
        <f ca="1">IFERROR(__xludf.DUMMYFUNCTION("""COMPUTED_VALUE"""),"Rifle")</f>
        <v>Rifle</v>
      </c>
      <c r="C2284" s="5" t="str">
        <f ca="1">IFERROR(__xludf.DUMMYFUNCTION("""COMPUTED_VALUE"""),"Automatic")</f>
        <v>Automatic</v>
      </c>
      <c r="D2284" s="5"/>
    </row>
    <row r="2285" spans="1:4" ht="13">
      <c r="A2285" s="5" t="str">
        <f ca="1">IFERROR(__xludf.DUMMYFUNCTION("""COMPUTED_VALUE"""),"19711029MDFRB")</f>
        <v>19711029MDFRB</v>
      </c>
      <c r="B2285" s="5" t="str">
        <f ca="1">IFERROR(__xludf.DUMMYFUNCTION("""COMPUTED_VALUE"""),"Handgun")</f>
        <v>Handgun</v>
      </c>
      <c r="C2285" s="5" t="str">
        <f ca="1">IFERROR(__xludf.DUMMYFUNCTION("""COMPUTED_VALUE"""),"Unknown")</f>
        <v>Unknown</v>
      </c>
      <c r="D2285" s="5"/>
    </row>
    <row r="2286" spans="1:4" ht="13">
      <c r="A2286" s="5" t="str">
        <f ca="1">IFERROR(__xludf.DUMMYFUNCTION("""COMPUTED_VALUE"""),"19711029MDFOB")</f>
        <v>19711029MDFOB</v>
      </c>
      <c r="B2286" s="5" t="str">
        <f ca="1">IFERROR(__xludf.DUMMYFUNCTION("""COMPUTED_VALUE"""),"Rifle")</f>
        <v>Rifle</v>
      </c>
      <c r="C2286" s="5" t="str">
        <f ca="1">IFERROR(__xludf.DUMMYFUNCTION("""COMPUTED_VALUE"""),".22 caliber")</f>
        <v>.22 caliber</v>
      </c>
      <c r="D2286" s="5"/>
    </row>
    <row r="2287" spans="1:4" ht="13">
      <c r="A2287" s="5" t="str">
        <f ca="1">IFERROR(__xludf.DUMMYFUNCTION("""COMPUTED_VALUE"""),"19711028MDCIB")</f>
        <v>19711028MDCIB</v>
      </c>
      <c r="B2287" s="5" t="str">
        <f ca="1">IFERROR(__xludf.DUMMYFUNCTION("""COMPUTED_VALUE"""),"Handgun")</f>
        <v>Handgun</v>
      </c>
      <c r="C2287" s="5" t="str">
        <f ca="1">IFERROR(__xludf.DUMMYFUNCTION("""COMPUTED_VALUE"""),"Unknown")</f>
        <v>Unknown</v>
      </c>
      <c r="D2287" s="5"/>
    </row>
    <row r="2288" spans="1:4" ht="13">
      <c r="A2288" s="5" t="str">
        <f ca="1">IFERROR(__xludf.DUMMYFUNCTION("""COMPUTED_VALUE"""),"19710929VAPEP")</f>
        <v>19710929VAPEP</v>
      </c>
      <c r="B2288" s="5" t="str">
        <f ca="1">IFERROR(__xludf.DUMMYFUNCTION("""COMPUTED_VALUE"""),"Handgun")</f>
        <v>Handgun</v>
      </c>
      <c r="C2288" s="5" t="str">
        <f ca="1">IFERROR(__xludf.DUMMYFUNCTION("""COMPUTED_VALUE"""),"Unknown")</f>
        <v>Unknown</v>
      </c>
      <c r="D2288" s="5"/>
    </row>
    <row r="2289" spans="1:4" ht="13">
      <c r="A2289" s="5" t="str">
        <f ca="1">IFERROR(__xludf.DUMMYFUNCTION("""COMPUTED_VALUE"""),"19710928MNCEM")</f>
        <v>19710928MNCEM</v>
      </c>
      <c r="B2289" s="5" t="str">
        <f ca="1">IFERROR(__xludf.DUMMYFUNCTION("""COMPUTED_VALUE"""),"No Data")</f>
        <v>No Data</v>
      </c>
      <c r="C2289" s="5"/>
      <c r="D2289" s="5"/>
    </row>
    <row r="2290" spans="1:4" ht="13">
      <c r="A2290" s="5" t="str">
        <f ca="1">IFERROR(__xludf.DUMMYFUNCTION("""COMPUTED_VALUE"""),"19710924NYMCB")</f>
        <v>19710924NYMCB</v>
      </c>
      <c r="B2290" s="5" t="str">
        <f ca="1">IFERROR(__xludf.DUMMYFUNCTION("""COMPUTED_VALUE"""),"Handgun")</f>
        <v>Handgun</v>
      </c>
      <c r="C2290" s="5" t="str">
        <f ca="1">IFERROR(__xludf.DUMMYFUNCTION("""COMPUTED_VALUE"""),"Unknown")</f>
        <v>Unknown</v>
      </c>
      <c r="D2290" s="5"/>
    </row>
    <row r="2291" spans="1:4" ht="13">
      <c r="A2291" s="5" t="str">
        <f ca="1">IFERROR(__xludf.DUMMYFUNCTION("""COMPUTED_VALUE"""),"19710909TXDUL")</f>
        <v>19710909TXDUL</v>
      </c>
      <c r="B2291" s="5" t="str">
        <f ca="1">IFERROR(__xludf.DUMMYFUNCTION("""COMPUTED_VALUE"""),"Handgun")</f>
        <v>Handgun</v>
      </c>
      <c r="C2291" s="5" t="str">
        <f ca="1">IFERROR(__xludf.DUMMYFUNCTION("""COMPUTED_VALUE"""),".22 caliber")</f>
        <v>.22 caliber</v>
      </c>
      <c r="D2291" s="5"/>
    </row>
    <row r="2292" spans="1:4" ht="13">
      <c r="A2292" s="5" t="str">
        <f ca="1">IFERROR(__xludf.DUMMYFUNCTION("""COMPUTED_VALUE"""),"19710820PAMOM")</f>
        <v>19710820PAMOM</v>
      </c>
      <c r="B2292" s="5" t="str">
        <f ca="1">IFERROR(__xludf.DUMMYFUNCTION("""COMPUTED_VALUE"""),"Handgun")</f>
        <v>Handgun</v>
      </c>
      <c r="C2292" s="5" t="str">
        <f ca="1">IFERROR(__xludf.DUMMYFUNCTION("""COMPUTED_VALUE"""),"Unknown")</f>
        <v>Unknown</v>
      </c>
      <c r="D2292" s="5"/>
    </row>
    <row r="2293" spans="1:4" ht="13">
      <c r="A2293" s="5" t="str">
        <f ca="1">IFERROR(__xludf.DUMMYFUNCTION("""COMPUTED_VALUE"""),"19710602NYEAE")</f>
        <v>19710602NYEAE</v>
      </c>
      <c r="B2293" s="5" t="str">
        <f ca="1">IFERROR(__xludf.DUMMYFUNCTION("""COMPUTED_VALUE"""),"Handgun")</f>
        <v>Handgun</v>
      </c>
      <c r="C2293" s="5" t="str">
        <f ca="1">IFERROR(__xludf.DUMMYFUNCTION("""COMPUTED_VALUE"""),".22 caliber")</f>
        <v>.22 caliber</v>
      </c>
      <c r="D2293" s="5"/>
    </row>
    <row r="2294" spans="1:4" ht="13">
      <c r="A2294" s="5" t="str">
        <f ca="1">IFERROR(__xludf.DUMMYFUNCTION("""COMPUTED_VALUE"""),"19710527MIBES")</f>
        <v>19710527MIBES</v>
      </c>
      <c r="B2294" s="5" t="str">
        <f ca="1">IFERROR(__xludf.DUMMYFUNCTION("""COMPUTED_VALUE"""),"Handgun")</f>
        <v>Handgun</v>
      </c>
      <c r="C2294" s="5" t="str">
        <f ca="1">IFERROR(__xludf.DUMMYFUNCTION("""COMPUTED_VALUE"""),"Unknown")</f>
        <v>Unknown</v>
      </c>
      <c r="D2294" s="5"/>
    </row>
    <row r="2295" spans="1:4" ht="13">
      <c r="A2295" s="5" t="str">
        <f ca="1">IFERROR(__xludf.DUMMYFUNCTION("""COMPUTED_VALUE"""),"19710405PAWIH")</f>
        <v>19710405PAWIH</v>
      </c>
      <c r="B2295" s="5" t="str">
        <f ca="1">IFERROR(__xludf.DUMMYFUNCTION("""COMPUTED_VALUE"""),"Handgun")</f>
        <v>Handgun</v>
      </c>
      <c r="C2295" s="5" t="str">
        <f ca="1">IFERROR(__xludf.DUMMYFUNCTION("""COMPUTED_VALUE"""),"Unknown")</f>
        <v>Unknown</v>
      </c>
      <c r="D2295" s="5"/>
    </row>
    <row r="2296" spans="1:4" ht="13">
      <c r="A2296" s="5" t="str">
        <f ca="1">IFERROR(__xludf.DUMMYFUNCTION("""COMPUTED_VALUE"""),"19710309AZROT")</f>
        <v>19710309AZROT</v>
      </c>
      <c r="B2296" s="5" t="str">
        <f ca="1">IFERROR(__xludf.DUMMYFUNCTION("""COMPUTED_VALUE"""),"Handgun")</f>
        <v>Handgun</v>
      </c>
      <c r="C2296" s="5" t="str">
        <f ca="1">IFERROR(__xludf.DUMMYFUNCTION("""COMPUTED_VALUE"""),".22 caliber")</f>
        <v>.22 caliber</v>
      </c>
      <c r="D2296" s="5"/>
    </row>
    <row r="2297" spans="1:4" ht="13">
      <c r="A2297" s="5" t="str">
        <f ca="1">IFERROR(__xludf.DUMMYFUNCTION("""COMPUTED_VALUE"""),"19710225OHFRC")</f>
        <v>19710225OHFRC</v>
      </c>
      <c r="B2297" s="5" t="str">
        <f ca="1">IFERROR(__xludf.DUMMYFUNCTION("""COMPUTED_VALUE"""),"Rifle")</f>
        <v>Rifle</v>
      </c>
      <c r="C2297" s="5" t="str">
        <f ca="1">IFERROR(__xludf.DUMMYFUNCTION("""COMPUTED_VALUE"""),".22 caliber")</f>
        <v>.22 caliber</v>
      </c>
      <c r="D2297" s="5"/>
    </row>
    <row r="2298" spans="1:4" ht="13">
      <c r="A2298" s="5" t="str">
        <f ca="1">IFERROR(__xludf.DUMMYFUNCTION("""COMPUTED_VALUE"""),"19710210TXOAD")</f>
        <v>19710210TXOAD</v>
      </c>
      <c r="B2298" s="5" t="str">
        <f ca="1">IFERROR(__xludf.DUMMYFUNCTION("""COMPUTED_VALUE"""),"Shotgun")</f>
        <v>Shotgun</v>
      </c>
      <c r="C2298" s="5" t="str">
        <f ca="1">IFERROR(__xludf.DUMMYFUNCTION("""COMPUTED_VALUE"""),"12 gauge")</f>
        <v>12 gauge</v>
      </c>
      <c r="D2298" s="5"/>
    </row>
    <row r="2299" spans="1:4" ht="13">
      <c r="A2299" s="5" t="str">
        <f ca="1">IFERROR(__xludf.DUMMYFUNCTION("""COMPUTED_VALUE"""),"19710205PAJOW")</f>
        <v>19710205PAJOW</v>
      </c>
      <c r="B2299" s="5" t="str">
        <f ca="1">IFERROR(__xludf.DUMMYFUNCTION("""COMPUTED_VALUE"""),"Handgun")</f>
        <v>Handgun</v>
      </c>
      <c r="C2299" s="5" t="str">
        <f ca="1">IFERROR(__xludf.DUMMYFUNCTION("""COMPUTED_VALUE"""),"Unknown")</f>
        <v>Unknown</v>
      </c>
      <c r="D2299" s="5"/>
    </row>
    <row r="2300" spans="1:4" ht="13">
      <c r="A2300" s="5" t="str">
        <f ca="1">IFERROR(__xludf.DUMMYFUNCTION("""COMPUTED_VALUE"""),"19710202PAMOP")</f>
        <v>19710202PAMOP</v>
      </c>
      <c r="B2300" s="5" t="str">
        <f ca="1">IFERROR(__xludf.DUMMYFUNCTION("""COMPUTED_VALUE"""),"Handgun")</f>
        <v>Handgun</v>
      </c>
      <c r="C2300" s="5" t="str">
        <f ca="1">IFERROR(__xludf.DUMMYFUNCTION("""COMPUTED_VALUE"""),".45 caliber")</f>
        <v>.45 caliber</v>
      </c>
      <c r="D2300" s="5"/>
    </row>
    <row r="2301" spans="1:4" ht="13">
      <c r="A2301" s="5" t="str">
        <f ca="1">IFERROR(__xludf.DUMMYFUNCTION("""COMPUTED_VALUE"""),"19701212WIXAA")</f>
        <v>19701212WIXAA</v>
      </c>
      <c r="B2301" s="5" t="str">
        <f ca="1">IFERROR(__xludf.DUMMYFUNCTION("""COMPUTED_VALUE"""),"Handgun")</f>
        <v>Handgun</v>
      </c>
      <c r="C2301" s="5" t="str">
        <f ca="1">IFERROR(__xludf.DUMMYFUNCTION("""COMPUTED_VALUE"""),"Service Weapon")</f>
        <v>Service Weapon</v>
      </c>
      <c r="D2301" s="5"/>
    </row>
    <row r="2302" spans="1:4" ht="13">
      <c r="A2302" s="5" t="str">
        <f ca="1">IFERROR(__xludf.DUMMYFUNCTION("""COMPUTED_VALUE"""),"19701120ILHAC")</f>
        <v>19701120ILHAC</v>
      </c>
      <c r="B2302" s="5" t="str">
        <f ca="1">IFERROR(__xludf.DUMMYFUNCTION("""COMPUTED_VALUE"""),"Handgun")</f>
        <v>Handgun</v>
      </c>
      <c r="C2302" s="5" t="str">
        <f ca="1">IFERROR(__xludf.DUMMYFUNCTION("""COMPUTED_VALUE"""),"Unknown")</f>
        <v>Unknown</v>
      </c>
      <c r="D2302" s="5"/>
    </row>
    <row r="2303" spans="1:4" ht="13">
      <c r="A2303" s="5" t="str">
        <f ca="1">IFERROR(__xludf.DUMMYFUNCTION("""COMPUTED_VALUE"""),"19701027OHAPM")</f>
        <v>19701027OHAPM</v>
      </c>
      <c r="B2303" s="5" t="str">
        <f ca="1">IFERROR(__xludf.DUMMYFUNCTION("""COMPUTED_VALUE"""),"Handgun")</f>
        <v>Handgun</v>
      </c>
      <c r="C2303" s="5" t="str">
        <f ca="1">IFERROR(__xludf.DUMMYFUNCTION("""COMPUTED_VALUE"""),".38 caliber")</f>
        <v>.38 caliber</v>
      </c>
      <c r="D2303" s="5"/>
    </row>
    <row r="2304" spans="1:4" ht="13">
      <c r="A2304" s="5" t="str">
        <f ca="1">IFERROR(__xludf.DUMMYFUNCTION("""COMPUTED_VALUE"""),"19701020TNWAN")</f>
        <v>19701020TNWAN</v>
      </c>
      <c r="B2304" s="5" t="str">
        <f ca="1">IFERROR(__xludf.DUMMYFUNCTION("""COMPUTED_VALUE"""),"Handgun")</f>
        <v>Handgun</v>
      </c>
      <c r="C2304" s="5" t="str">
        <f ca="1">IFERROR(__xludf.DUMMYFUNCTION("""COMPUTED_VALUE"""),"Unknown")</f>
        <v>Unknown</v>
      </c>
      <c r="D2304" s="5"/>
    </row>
    <row r="2305" spans="1:4" ht="13">
      <c r="A2305" s="5" t="str">
        <f ca="1">IFERROR(__xludf.DUMMYFUNCTION("""COMPUTED_VALUE"""),"19701019TNBOM")</f>
        <v>19701019TNBOM</v>
      </c>
      <c r="B2305" s="5" t="str">
        <f ca="1">IFERROR(__xludf.DUMMYFUNCTION("""COMPUTED_VALUE"""),"Handgun")</f>
        <v>Handgun</v>
      </c>
      <c r="C2305" s="5" t="str">
        <f ca="1">IFERROR(__xludf.DUMMYFUNCTION("""COMPUTED_VALUE"""),"Unknown")</f>
        <v>Unknown</v>
      </c>
      <c r="D2305" s="5"/>
    </row>
    <row r="2306" spans="1:4" ht="13">
      <c r="A2306" s="5" t="str">
        <f ca="1">IFERROR(__xludf.DUMMYFUNCTION("""COMPUTED_VALUE"""),"19701005MIPOD")</f>
        <v>19701005MIPOD</v>
      </c>
      <c r="B2306" s="5" t="str">
        <f ca="1">IFERROR(__xludf.DUMMYFUNCTION("""COMPUTED_VALUE"""),"Handgun")</f>
        <v>Handgun</v>
      </c>
      <c r="C2306" s="5" t="str">
        <f ca="1">IFERROR(__xludf.DUMMYFUNCTION("""COMPUTED_VALUE"""),"Unknown")</f>
        <v>Unknown</v>
      </c>
      <c r="D2306" s="5"/>
    </row>
    <row r="2307" spans="1:4" ht="13">
      <c r="A2307" s="5" t="str">
        <f ca="1">IFERROR(__xludf.DUMMYFUNCTION("""COMPUTED_VALUE"""),"19700928IACED")</f>
        <v>19700928IACED</v>
      </c>
      <c r="B2307" s="5" t="str">
        <f ca="1">IFERROR(__xludf.DUMMYFUNCTION("""COMPUTED_VALUE"""),"No Data")</f>
        <v>No Data</v>
      </c>
      <c r="C2307" s="5"/>
      <c r="D2307" s="5"/>
    </row>
    <row r="2308" spans="1:4" ht="13">
      <c r="A2308" s="5" t="str">
        <f ca="1">IFERROR(__xludf.DUMMYFUNCTION("""COMPUTED_VALUE"""),"19700924IDMEM")</f>
        <v>19700924IDMEM</v>
      </c>
      <c r="B2308" s="5" t="str">
        <f ca="1">IFERROR(__xludf.DUMMYFUNCTION("""COMPUTED_VALUE"""),"Handgun")</f>
        <v>Handgun</v>
      </c>
      <c r="C2308" s="5" t="str">
        <f ca="1">IFERROR(__xludf.DUMMYFUNCTION("""COMPUTED_VALUE"""),".22 caliber")</f>
        <v>.22 caliber</v>
      </c>
      <c r="D2308" s="5"/>
    </row>
    <row r="2309" spans="1:4" ht="13">
      <c r="A2309" s="5" t="str">
        <f ca="1">IFERROR(__xludf.DUMMYFUNCTION("""COMPUTED_VALUE"""),"19700914TNHAN")</f>
        <v>19700914TNHAN</v>
      </c>
      <c r="B2309" s="5" t="str">
        <f ca="1">IFERROR(__xludf.DUMMYFUNCTION("""COMPUTED_VALUE"""),"Rifle")</f>
        <v>Rifle</v>
      </c>
      <c r="C2309" s="5" t="str">
        <f ca="1">IFERROR(__xludf.DUMMYFUNCTION("""COMPUTED_VALUE"""),"Unknown")</f>
        <v>Unknown</v>
      </c>
      <c r="D2309" s="5"/>
    </row>
    <row r="2310" spans="1:4" ht="13">
      <c r="A2310" s="5" t="str">
        <f ca="1">IFERROR(__xludf.DUMMYFUNCTION("""COMPUTED_VALUE"""),"19700831FLALM")</f>
        <v>19700831FLALM</v>
      </c>
      <c r="B2310" s="5" t="str">
        <f ca="1">IFERROR(__xludf.DUMMYFUNCTION("""COMPUTED_VALUE"""),"Rifle")</f>
        <v>Rifle</v>
      </c>
      <c r="C2310" s="5" t="str">
        <f ca="1">IFERROR(__xludf.DUMMYFUNCTION("""COMPUTED_VALUE"""),"Unknown")</f>
        <v>Unknown</v>
      </c>
      <c r="D2310" s="5"/>
    </row>
    <row r="2311" spans="1:4" ht="13">
      <c r="A2311" s="5" t="str">
        <f ca="1">IFERROR(__xludf.DUMMYFUNCTION("""COMPUTED_VALUE"""),"19700828TXRIE")</f>
        <v>19700828TXRIE</v>
      </c>
      <c r="B2311" s="5" t="str">
        <f ca="1">IFERROR(__xludf.DUMMYFUNCTION("""COMPUTED_VALUE"""),"Handgun")</f>
        <v>Handgun</v>
      </c>
      <c r="C2311" s="5" t="str">
        <f ca="1">IFERROR(__xludf.DUMMYFUNCTION("""COMPUTED_VALUE"""),"Unknown")</f>
        <v>Unknown</v>
      </c>
      <c r="D2311" s="5"/>
    </row>
    <row r="2312" spans="1:4" ht="13">
      <c r="A2312" s="5" t="str">
        <f ca="1">IFERROR(__xludf.DUMMYFUNCTION("""COMPUTED_VALUE"""),"19700515UTBEO")</f>
        <v>19700515UTBEO</v>
      </c>
      <c r="B2312" s="5" t="str">
        <f ca="1">IFERROR(__xludf.DUMMYFUNCTION("""COMPUTED_VALUE"""),"Handgun")</f>
        <v>Handgun</v>
      </c>
      <c r="C2312" s="5" t="str">
        <f ca="1">IFERROR(__xludf.DUMMYFUNCTION("""COMPUTED_VALUE"""),"9mm")</f>
        <v>9mm</v>
      </c>
      <c r="D2312" s="5"/>
    </row>
    <row r="2313" spans="1:4" ht="13">
      <c r="A2313" s="5" t="str">
        <f ca="1">IFERROR(__xludf.DUMMYFUNCTION("""COMPUTED_VALUE"""),"19700508FLCAD")</f>
        <v>19700508FLCAD</v>
      </c>
      <c r="B2313" s="5" t="str">
        <f ca="1">IFERROR(__xludf.DUMMYFUNCTION("""COMPUTED_VALUE"""),"Handgun")</f>
        <v>Handgun</v>
      </c>
      <c r="C2313" s="5" t="str">
        <f ca="1">IFERROR(__xludf.DUMMYFUNCTION("""COMPUTED_VALUE"""),".22 caliber")</f>
        <v>.22 caliber</v>
      </c>
      <c r="D2313" s="5"/>
    </row>
    <row r="2314" spans="1:4" ht="13">
      <c r="A2314" s="5" t="str">
        <f ca="1">IFERROR(__xludf.DUMMYFUNCTION("""COMPUTED_VALUE"""),"19700422DEPIW")</f>
        <v>19700422DEPIW</v>
      </c>
      <c r="B2314" s="5" t="str">
        <f ca="1">IFERROR(__xludf.DUMMYFUNCTION("""COMPUTED_VALUE"""),"Handgun")</f>
        <v>Handgun</v>
      </c>
      <c r="C2314" s="5" t="str">
        <f ca="1">IFERROR(__xludf.DUMMYFUNCTION("""COMPUTED_VALUE"""),".38 caliber")</f>
        <v>.38 caliber</v>
      </c>
      <c r="D2314" s="5"/>
    </row>
    <row r="2315" spans="1:4" ht="13">
      <c r="A2315" s="5" t="str">
        <f ca="1">IFERROR(__xludf.DUMMYFUNCTION("""COMPUTED_VALUE"""),"19700415ARPIP")</f>
        <v>19700415ARPIP</v>
      </c>
      <c r="B2315" s="5" t="str">
        <f ca="1">IFERROR(__xludf.DUMMYFUNCTION("""COMPUTED_VALUE"""),"Multiple Handguns")</f>
        <v>Multiple Handguns</v>
      </c>
      <c r="C2315" s="5" t="str">
        <f ca="1">IFERROR(__xludf.DUMMYFUNCTION("""COMPUTED_VALUE"""),"Unknown")</f>
        <v>Unknown</v>
      </c>
      <c r="D2315" s="5"/>
    </row>
    <row r="2316" spans="1:4" ht="13">
      <c r="A2316" s="5" t="str">
        <f ca="1">IFERROR(__xludf.DUMMYFUNCTION("""COMPUTED_VALUE"""),"19700323CADAL")</f>
        <v>19700323CADAL</v>
      </c>
      <c r="B2316" s="5" t="str">
        <f ca="1">IFERROR(__xludf.DUMMYFUNCTION("""COMPUTED_VALUE"""),"Handgun")</f>
        <v>Handgun</v>
      </c>
      <c r="C2316" s="5" t="str">
        <f ca="1">IFERROR(__xludf.DUMMYFUNCTION("""COMPUTED_VALUE"""),"Unknown")</f>
        <v>Unknown</v>
      </c>
      <c r="D2316" s="5"/>
    </row>
    <row r="2317" spans="1:4" ht="13">
      <c r="A2317" s="5" t="str">
        <f ca="1">IFERROR(__xludf.DUMMYFUNCTION("""COMPUTED_VALUE"""),"19700206OHJOC")</f>
        <v>19700206OHJOC</v>
      </c>
      <c r="B2317" s="5" t="str">
        <f ca="1">IFERROR(__xludf.DUMMYFUNCTION("""COMPUTED_VALUE"""),"Handgun")</f>
        <v>Handgun</v>
      </c>
      <c r="C2317" s="5" t="str">
        <f ca="1">IFERROR(__xludf.DUMMYFUNCTION("""COMPUTED_VALUE"""),"Unknown")</f>
        <v>Unknown</v>
      </c>
      <c r="D2317" s="5"/>
    </row>
    <row r="2318" spans="1:4" ht="13">
      <c r="A2318" s="5" t="str">
        <f ca="1">IFERROR(__xludf.DUMMYFUNCTION("""COMPUTED_VALUE"""),"19700105DCUNW")</f>
        <v>19700105DCUNW</v>
      </c>
      <c r="B2318" s="5" t="str">
        <f ca="1">IFERROR(__xludf.DUMMYFUNCTION("""COMPUTED_VALUE"""),"Handgun")</f>
        <v>Handgun</v>
      </c>
      <c r="C2318" s="5" t="str">
        <f ca="1">IFERROR(__xludf.DUMMYFUNCTION("""COMPUTED_VALUE"""),"Unknown")</f>
        <v>Unknown</v>
      </c>
      <c r="D2318" s="5"/>
    </row>
    <row r="2319" spans="1:4" ht="13">
      <c r="A2319" s="5" t="str">
        <f ca="1">IFERROR(__xludf.DUMMYFUNCTION("""COMPUTED_VALUE"""),"19700105DCSOW")</f>
        <v>19700105DCSOW</v>
      </c>
      <c r="B2319" s="5" t="str">
        <f ca="1">IFERROR(__xludf.DUMMYFUNCTION("""COMPUTED_VALUE"""),"Handgun")</f>
        <v>Handgun</v>
      </c>
      <c r="C2319" s="5" t="str">
        <f ca="1">IFERROR(__xludf.DUMMYFUNCTION("""COMPUTED_VALUE"""),".22 caliber")</f>
        <v>.22 caliber</v>
      </c>
      <c r="D2319" s="5"/>
    </row>
    <row r="2320" spans="1:4" ht="13">
      <c r="A2320" s="5" t="str">
        <f ca="1">IFERROR(__xludf.DUMMYFUNCTION("""COMPUTED_VALUE"""),"19700105DCHIW")</f>
        <v>19700105DCHIW</v>
      </c>
      <c r="B2320" s="5" t="str">
        <f ca="1">IFERROR(__xludf.DUMMYFUNCTION("""COMPUTED_VALUE"""),"Handgun")</f>
        <v>Handgun</v>
      </c>
      <c r="C2320" s="5" t="str">
        <f ca="1">IFERROR(__xludf.DUMMYFUNCTION("""COMPUTED_VALUE"""),"Unknown")</f>
        <v>Unknown</v>
      </c>
      <c r="D23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Incident</vt:lpstr>
      <vt:lpstr>Shooter</vt:lpstr>
      <vt:lpstr>Victim</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2023-06-30T15:04:48Z</dcterms:modified>
</cp:coreProperties>
</file>